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BDC2321C-7176-426B-9755-AD3AD7B6F112}" xr6:coauthVersionLast="45" xr6:coauthVersionMax="45" xr10:uidLastSave="{00000000-0000-0000-0000-000000000000}"/>
  <bookViews>
    <workbookView xWindow="8110" yWindow="0" windowWidth="11060" windowHeight="10000" tabRatio="609" xr2:uid="{5174F2F4-3259-4D90-B57A-C50D0AB18A6A}"/>
  </bookViews>
  <sheets>
    <sheet name="Record info" sheetId="2" r:id="rId1"/>
    <sheet name="Land use" sheetId="4" r:id="rId2"/>
    <sheet name="Reported burning" sheetId="12"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burning'!$A$1:$A$4015</definedName>
    <definedName name="_xlnm._FilterDatabase" localSheetId="5" hidden="1">'Fire Policy'!$A$1:$A$798</definedName>
    <definedName name="_xlnm._FilterDatabase" localSheetId="4" hidden="1">'Fire suppression'!$A$1:$A$711</definedName>
    <definedName name="_xlnm._FilterDatabase" localSheetId="1" hidden="1">'Land use'!$A$1:$A$1224</definedName>
    <definedName name="_xlnm._FilterDatabase" localSheetId="0" hidden="1">'Record info'!$A$1:$A$1224</definedName>
    <definedName name="_xlnm._FilterDatabase" localSheetId="2" hidden="1">'Reported burning'!$A$1:$A$2948</definedName>
    <definedName name="_xlnm.Print_Titles" localSheetId="1">'Land use'!$1:$1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213" i="10" l="1"/>
  <c r="B4214" i="10"/>
  <c r="B4215" i="10"/>
  <c r="B4216" i="10"/>
  <c r="B4217" i="10"/>
  <c r="A4212" i="10"/>
  <c r="B4212" i="10"/>
  <c r="C4212" i="10"/>
  <c r="D4212" i="10"/>
  <c r="E4212" i="10"/>
  <c r="F4212" i="10"/>
  <c r="G4212" i="10"/>
  <c r="H4212" i="10"/>
  <c r="G3983" i="10"/>
  <c r="G3031" i="10"/>
  <c r="K1635" i="12"/>
  <c r="K1191" i="10" l="1"/>
  <c r="K1121" i="10"/>
  <c r="K1120" i="10"/>
  <c r="K1119" i="10"/>
  <c r="K1118" i="10"/>
  <c r="K1117" i="10"/>
  <c r="K1116" i="10"/>
  <c r="K1115" i="10"/>
  <c r="K1114" i="10"/>
  <c r="K1113" i="10"/>
  <c r="G288" i="10"/>
  <c r="G289" i="10"/>
  <c r="G290" i="10"/>
  <c r="G291" i="10"/>
  <c r="G151" i="10"/>
  <c r="K4328" i="12" l="1"/>
  <c r="K4327" i="12"/>
  <c r="K4326" i="12"/>
  <c r="K4325" i="12"/>
  <c r="A4259" i="10"/>
  <c r="A4260" i="10"/>
  <c r="A4261" i="10"/>
  <c r="A4262" i="10"/>
  <c r="K4323" i="12"/>
  <c r="K4322" i="12"/>
  <c r="K4314" i="12"/>
  <c r="K4306" i="12"/>
  <c r="K4305" i="12"/>
  <c r="J4306" i="12"/>
  <c r="J4305" i="12"/>
  <c r="K4278" i="12"/>
  <c r="K4277" i="12"/>
  <c r="K4276" i="12"/>
  <c r="J4278" i="12"/>
  <c r="J4277" i="12"/>
  <c r="J4276" i="12"/>
  <c r="K4263" i="12"/>
  <c r="J4263" i="12"/>
  <c r="K4247" i="12"/>
  <c r="K4244" i="12" s="1"/>
  <c r="K4240" i="12"/>
  <c r="K4239" i="12"/>
  <c r="K4238" i="12"/>
  <c r="K4237" i="12"/>
  <c r="K4234" i="12"/>
  <c r="K4224" i="12" a="1"/>
  <c r="K4224" i="12" s="1"/>
  <c r="K4223" i="12" a="1"/>
  <c r="K4223" i="12" s="1"/>
  <c r="K4222" i="12" a="1"/>
  <c r="K4222" i="12" s="1"/>
  <c r="K4225" i="12" s="1"/>
  <c r="K4221" i="12" a="1"/>
  <c r="K4221" i="12" s="1"/>
  <c r="K4117" i="12"/>
  <c r="K4038" i="12"/>
  <c r="K4039" i="12"/>
  <c r="K4040" i="12"/>
  <c r="K4041" i="12"/>
  <c r="K4042" i="12"/>
  <c r="K4043" i="12"/>
  <c r="K4044" i="12"/>
  <c r="K4045" i="12"/>
  <c r="K4046" i="12"/>
  <c r="K4047" i="12"/>
  <c r="K4024" i="12"/>
  <c r="K4032" i="12" s="1"/>
  <c r="J4022" i="12"/>
  <c r="K4014" i="12"/>
  <c r="K4022" i="12" s="1"/>
  <c r="J4014" i="12"/>
  <c r="K4004" i="12"/>
  <c r="K4012" i="12" s="1"/>
  <c r="K3998" i="12"/>
  <c r="K3995" i="12"/>
  <c r="K3994" i="12"/>
  <c r="K3986" i="12"/>
  <c r="K3985" i="12"/>
  <c r="K3984" i="12"/>
  <c r="J3986" i="12"/>
  <c r="J3985" i="12"/>
  <c r="J3984" i="12"/>
  <c r="K3980" i="12"/>
  <c r="K3979" i="12"/>
  <c r="K3978" i="12"/>
  <c r="K3977" i="12"/>
  <c r="K3976" i="12"/>
  <c r="K3972" i="12"/>
  <c r="K3960" i="12"/>
  <c r="J3960" i="12" s="1"/>
  <c r="K3959" i="12"/>
  <c r="J3959" i="12" s="1"/>
  <c r="K3958" i="12"/>
  <c r="J3939" i="12"/>
  <c r="K3939" i="12" s="1"/>
  <c r="J3933" i="12"/>
  <c r="K3933" i="12" s="1"/>
  <c r="J3932" i="12"/>
  <c r="K3932" i="12" s="1"/>
  <c r="J3931" i="12"/>
  <c r="K3931" i="12" s="1"/>
  <c r="K3924" i="12"/>
  <c r="K3915" i="12"/>
  <c r="K3914" i="12"/>
  <c r="K3913" i="12"/>
  <c r="K3912" i="12"/>
  <c r="K3911" i="12"/>
  <c r="K3910" i="12"/>
  <c r="K3887" i="12"/>
  <c r="K3886" i="12"/>
  <c r="K3885" i="12"/>
  <c r="K3884" i="12"/>
  <c r="K3883" i="12"/>
  <c r="K3882" i="12"/>
  <c r="K3881" i="12"/>
  <c r="K3880" i="12"/>
  <c r="K3879" i="12"/>
  <c r="K3878" i="12"/>
  <c r="K3877" i="12"/>
  <c r="K3876" i="12"/>
  <c r="K3875" i="12"/>
  <c r="K3874" i="12"/>
  <c r="K3873" i="12"/>
  <c r="K3872" i="12"/>
  <c r="K3871" i="12"/>
  <c r="K3870" i="12"/>
  <c r="K3632" i="12"/>
  <c r="K3624" i="12"/>
  <c r="K3628" i="12"/>
  <c r="K3626" i="12" s="1"/>
  <c r="J3625" i="12"/>
  <c r="J3624" i="12"/>
  <c r="K3540" i="12"/>
  <c r="K3542" i="12"/>
  <c r="K3541" i="12"/>
  <c r="K3399" i="12"/>
  <c r="K3285" i="12"/>
  <c r="K3284" i="12"/>
  <c r="K3283" i="12"/>
  <c r="K3282" i="12"/>
  <c r="K3281" i="12"/>
  <c r="K3280" i="12"/>
  <c r="K3279" i="12"/>
  <c r="K3278" i="12"/>
  <c r="K3105" i="12"/>
  <c r="K3104" i="12"/>
  <c r="K3103" i="12"/>
  <c r="K3102" i="12"/>
  <c r="K3037" i="12"/>
  <c r="K3036" i="12"/>
  <c r="K3035" i="12"/>
  <c r="K3034" i="12"/>
  <c r="Y2995" i="12"/>
  <c r="Y2996" i="12"/>
  <c r="Y2994" i="12"/>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K2952" i="12"/>
  <c r="J2952" i="12"/>
  <c r="Y2539" i="12"/>
  <c r="Y2538" i="12"/>
  <c r="K2539" i="12"/>
  <c r="K2538" i="12"/>
  <c r="K2510" i="12"/>
  <c r="K2508" i="12"/>
  <c r="K2506" i="12"/>
  <c r="K2504" i="12"/>
  <c r="K2500" i="12"/>
  <c r="K2501" i="12" s="1"/>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Y859" i="12"/>
  <c r="U860" i="12"/>
  <c r="Q863" i="12"/>
  <c r="U863" i="12"/>
  <c r="V863" i="12"/>
  <c r="W1128" i="12"/>
  <c r="K1130" i="12"/>
  <c r="W1130" i="12"/>
  <c r="K1132" i="12"/>
  <c r="W1132" i="12"/>
  <c r="K1134" i="12"/>
  <c r="W1134" i="12"/>
  <c r="K1136" i="12"/>
  <c r="W1136" i="12"/>
  <c r="K1138" i="12"/>
  <c r="W1138" i="12"/>
  <c r="W1409" i="12"/>
  <c r="Y1409" i="12"/>
  <c r="W1410" i="12"/>
  <c r="Y1410" i="12"/>
  <c r="Q1455" i="12"/>
  <c r="Y1455" i="12"/>
  <c r="Q1460" i="12"/>
  <c r="Y1460" i="12"/>
  <c r="Q1465" i="12"/>
  <c r="Y1465" i="12"/>
  <c r="U1474" i="12"/>
  <c r="K1660" i="12"/>
  <c r="U1660" i="12"/>
  <c r="Q1660" i="12" s="1"/>
  <c r="J1665" i="12"/>
  <c r="K1665" i="12"/>
  <c r="U1665" i="12"/>
  <c r="Y1665" i="12" s="1"/>
  <c r="W1665" i="12"/>
  <c r="J1666" i="12"/>
  <c r="K1666" i="12"/>
  <c r="U1666" i="12"/>
  <c r="W1666" i="12" s="1"/>
  <c r="Q1839" i="12"/>
  <c r="O2053" i="12"/>
  <c r="U2057" i="12"/>
  <c r="Y2057" i="12" s="1"/>
  <c r="Y2157" i="12"/>
  <c r="Y2158" i="12"/>
  <c r="Y2159" i="12"/>
  <c r="Y2160" i="12"/>
  <c r="Y2161" i="12"/>
  <c r="Y2162" i="12"/>
  <c r="J2163" i="12"/>
  <c r="K2163" i="12"/>
  <c r="Q2163" i="12"/>
  <c r="U2163" i="12"/>
  <c r="Y2163" i="12"/>
  <c r="J2164" i="12"/>
  <c r="K2164" i="12"/>
  <c r="U2164" i="12"/>
  <c r="Y2164" i="12"/>
  <c r="J2165" i="12"/>
  <c r="K2165" i="12"/>
  <c r="U2165" i="12"/>
  <c r="Y2165" i="12"/>
  <c r="J2166" i="12"/>
  <c r="K2166" i="12"/>
  <c r="U2166" i="12"/>
  <c r="Y2166" i="12"/>
  <c r="J2167" i="12"/>
  <c r="K2167" i="12"/>
  <c r="U2167" i="12"/>
  <c r="Y2167" i="12"/>
  <c r="J2168" i="12"/>
  <c r="K2168" i="12"/>
  <c r="U2168" i="12"/>
  <c r="Y2168" i="12"/>
  <c r="J2169" i="12"/>
  <c r="K2169" i="12"/>
  <c r="U2169" i="12"/>
  <c r="Y2169" i="12"/>
  <c r="J2170" i="12"/>
  <c r="K2170" i="12"/>
  <c r="U2170" i="12"/>
  <c r="Y2170" i="12"/>
  <c r="K2171" i="12"/>
  <c r="Q2171" i="12"/>
  <c r="Y2171" i="12"/>
  <c r="W2172" i="12"/>
  <c r="Y2172" i="12"/>
  <c r="K2173" i="12"/>
  <c r="Q2173" i="12"/>
  <c r="W2173" i="12"/>
  <c r="Y2173" i="12"/>
  <c r="K2174" i="12"/>
  <c r="Q2174" i="12"/>
  <c r="Y2174" i="12"/>
  <c r="K2175" i="12"/>
  <c r="Q2175" i="12"/>
  <c r="Y2175" i="12"/>
  <c r="U2177" i="12"/>
  <c r="Y2177" i="12" s="1"/>
  <c r="K2178" i="12"/>
  <c r="K2177" i="12" s="1"/>
  <c r="Q2178" i="12"/>
  <c r="Q2177" i="12" s="1"/>
  <c r="Y2178" i="12"/>
  <c r="K2179" i="12"/>
  <c r="Q2179" i="12"/>
  <c r="Y2179" i="12"/>
  <c r="J2189" i="12"/>
  <c r="K2189" i="12" s="1"/>
  <c r="J2190" i="12"/>
  <c r="K2190" i="12" s="1"/>
  <c r="J2191" i="12"/>
  <c r="K2191" i="12" s="1"/>
  <c r="J2192" i="12"/>
  <c r="K2192" i="12" s="1"/>
  <c r="J2193" i="12"/>
  <c r="K2193" i="12" s="1"/>
  <c r="J2194" i="12"/>
  <c r="K2194" i="12" s="1"/>
  <c r="J2195" i="12"/>
  <c r="K2195" i="12"/>
  <c r="J2196" i="12"/>
  <c r="K2196" i="12" s="1"/>
  <c r="J2197" i="12"/>
  <c r="K2197" i="12" s="1"/>
  <c r="K2198" i="12"/>
  <c r="Q2198" i="12"/>
  <c r="Y2198" i="12"/>
  <c r="K2199" i="12"/>
  <c r="U2199" i="12"/>
  <c r="Q2199" i="12" s="1"/>
  <c r="K2200" i="12"/>
  <c r="Q2200" i="12"/>
  <c r="U2200" i="12"/>
  <c r="Y2200" i="12" s="1"/>
  <c r="K2201" i="12"/>
  <c r="Q2201" i="12"/>
  <c r="Y2201" i="12"/>
  <c r="Y2211" i="12"/>
  <c r="Y2212" i="12"/>
  <c r="Y2213" i="12"/>
  <c r="Q2220" i="12"/>
  <c r="Y2220" i="12"/>
  <c r="K2309" i="12"/>
  <c r="K2310" i="12"/>
  <c r="J2313" i="12"/>
  <c r="K2313" i="12"/>
  <c r="Y2313" i="12"/>
  <c r="J2316" i="12"/>
  <c r="J2318" i="12" s="1"/>
  <c r="K2316" i="12"/>
  <c r="K2319" i="12" s="1"/>
  <c r="Q2316" i="12"/>
  <c r="U2316" i="12"/>
  <c r="W2316" i="12"/>
  <c r="Y2316" i="12"/>
  <c r="K2329" i="12"/>
  <c r="K2331" i="12" s="1"/>
  <c r="U2329" i="12"/>
  <c r="W2329" i="12"/>
  <c r="K2338" i="12"/>
  <c r="K2346" i="12" s="1"/>
  <c r="W2338" i="12"/>
  <c r="K2347" i="12"/>
  <c r="K2353" i="12" s="1"/>
  <c r="W2347" i="12"/>
  <c r="J2356" i="12"/>
  <c r="J2358" i="12" s="1"/>
  <c r="K2356" i="12"/>
  <c r="K2359" i="12" s="1"/>
  <c r="W2356" i="12"/>
  <c r="K2365" i="12"/>
  <c r="W2365" i="12"/>
  <c r="K2372" i="12"/>
  <c r="K2374" i="12"/>
  <c r="K2377" i="12" s="1"/>
  <c r="W2374" i="12"/>
  <c r="V2383" i="12"/>
  <c r="V2384" i="12"/>
  <c r="V2385" i="12"/>
  <c r="V2386" i="12"/>
  <c r="V2387" i="12"/>
  <c r="V2388" i="12"/>
  <c r="X2449" i="12"/>
  <c r="Y2500" i="12"/>
  <c r="Q2500" i="12" s="1"/>
  <c r="J2504" i="12"/>
  <c r="J2506" i="12"/>
  <c r="J2508" i="12"/>
  <c r="J2510" i="12"/>
  <c r="U2528" i="12"/>
  <c r="Q2528" i="12" s="1"/>
  <c r="Y2528" i="12"/>
  <c r="U2529" i="12"/>
  <c r="U2531" i="12"/>
  <c r="Q2531" i="12" s="1"/>
  <c r="U2532" i="12"/>
  <c r="Q2532" i="12" s="1"/>
  <c r="U2537" i="12"/>
  <c r="K2537" i="12" s="1"/>
  <c r="Y2537" i="12"/>
  <c r="Y2544" i="12"/>
  <c r="Y2545" i="12"/>
  <c r="W2546" i="12"/>
  <c r="Y2546" i="12"/>
  <c r="W2552" i="12"/>
  <c r="Y2552" i="12"/>
  <c r="Y2582" i="12"/>
  <c r="X2587" i="12"/>
  <c r="U2600" i="12"/>
  <c r="Y2600" i="12" s="1"/>
  <c r="U2601" i="12"/>
  <c r="Y2601" i="12"/>
  <c r="U2602" i="12"/>
  <c r="Y2602" i="12" s="1"/>
  <c r="U2603" i="12"/>
  <c r="Y2603" i="12" s="1"/>
  <c r="U2604" i="12"/>
  <c r="Y2604" i="12"/>
  <c r="U2605" i="12"/>
  <c r="Y2605" i="12"/>
  <c r="U2606" i="12"/>
  <c r="Y2606" i="12" s="1"/>
  <c r="U2607" i="12"/>
  <c r="Y2607" i="12" s="1"/>
  <c r="U2608" i="12"/>
  <c r="Y2608" i="12" s="1"/>
  <c r="U2609" i="12"/>
  <c r="Y2609" i="12"/>
  <c r="U2610" i="12"/>
  <c r="Y2610" i="12"/>
  <c r="U2611" i="12"/>
  <c r="Y2611" i="12" s="1"/>
  <c r="U2612" i="12"/>
  <c r="Y2612" i="12" s="1"/>
  <c r="U2613" i="12"/>
  <c r="Y2613" i="12"/>
  <c r="U2614" i="12"/>
  <c r="Y2614" i="12"/>
  <c r="U2615" i="12"/>
  <c r="Y2615" i="12" s="1"/>
  <c r="U2616" i="12"/>
  <c r="Y2616" i="12" s="1"/>
  <c r="U2617" i="12"/>
  <c r="Y2617" i="12" s="1"/>
  <c r="U2618" i="12"/>
  <c r="Y2618" i="12"/>
  <c r="U2619" i="12"/>
  <c r="Y2619" i="12" s="1"/>
  <c r="U2620" i="12"/>
  <c r="Y2620" i="12" s="1"/>
  <c r="U2621" i="12"/>
  <c r="Y2621" i="12" s="1"/>
  <c r="U2622" i="12"/>
  <c r="Y2622" i="12"/>
  <c r="U2623" i="12"/>
  <c r="Y2623" i="12" s="1"/>
  <c r="U2624" i="12"/>
  <c r="Y2624" i="12"/>
  <c r="U2625" i="12"/>
  <c r="Y2625" i="12" s="1"/>
  <c r="U2626" i="12"/>
  <c r="Y2626" i="12" s="1"/>
  <c r="U2627" i="12"/>
  <c r="Y2627" i="12" s="1"/>
  <c r="U2628" i="12"/>
  <c r="Y2628" i="12"/>
  <c r="U2629" i="12"/>
  <c r="Y2629" i="12" s="1"/>
  <c r="U2630" i="12"/>
  <c r="Y2630" i="12" s="1"/>
  <c r="U2631" i="12"/>
  <c r="Y2631" i="12" s="1"/>
  <c r="U2632" i="12"/>
  <c r="Y2632" i="12"/>
  <c r="U2633" i="12"/>
  <c r="Y2633" i="12"/>
  <c r="U2634" i="12"/>
  <c r="Y2634" i="12" s="1"/>
  <c r="U2635" i="12"/>
  <c r="Y2635" i="12" s="1"/>
  <c r="U2636" i="12"/>
  <c r="Y2636" i="12"/>
  <c r="U2637" i="12"/>
  <c r="Y2637" i="12"/>
  <c r="U2638" i="12"/>
  <c r="Y2638" i="12" s="1"/>
  <c r="U2639" i="12"/>
  <c r="Y2639" i="12" s="1"/>
  <c r="U2640" i="12"/>
  <c r="Y2640" i="12" s="1"/>
  <c r="U2641" i="12"/>
  <c r="Y2641" i="12"/>
  <c r="U2642" i="12"/>
  <c r="Y2642" i="12"/>
  <c r="U2643" i="12"/>
  <c r="Y2643" i="12" s="1"/>
  <c r="U2644" i="12"/>
  <c r="Y2644" i="12" s="1"/>
  <c r="U2645" i="12"/>
  <c r="Y2645" i="12"/>
  <c r="U2646" i="12"/>
  <c r="Y2646" i="12"/>
  <c r="U2647" i="12"/>
  <c r="Y2647" i="12" s="1"/>
  <c r="U2648" i="12"/>
  <c r="Y2648" i="12" s="1"/>
  <c r="U2649" i="12"/>
  <c r="Y2649" i="12" s="1"/>
  <c r="U2650" i="12"/>
  <c r="Y2650" i="12"/>
  <c r="U2651" i="12"/>
  <c r="Y2651" i="12" s="1"/>
  <c r="U2652" i="12"/>
  <c r="Y2652" i="12" s="1"/>
  <c r="U2653" i="12"/>
  <c r="Y2653" i="12" s="1"/>
  <c r="U2654" i="12"/>
  <c r="Y2654" i="12"/>
  <c r="U2655" i="12"/>
  <c r="Y2655" i="12" s="1"/>
  <c r="U2656" i="12"/>
  <c r="Y2656" i="12"/>
  <c r="U2657" i="12"/>
  <c r="Y2657" i="12" s="1"/>
  <c r="U2658" i="12"/>
  <c r="Y2658" i="12" s="1"/>
  <c r="U2659" i="12"/>
  <c r="Y2659" i="12" s="1"/>
  <c r="U2660" i="12"/>
  <c r="Y2660" i="12"/>
  <c r="U2661" i="12"/>
  <c r="Y2661" i="12" s="1"/>
  <c r="U2662" i="12"/>
  <c r="Y2662" i="12" s="1"/>
  <c r="U2663" i="12"/>
  <c r="Y2663" i="12" s="1"/>
  <c r="U2664" i="12"/>
  <c r="Y2664" i="12"/>
  <c r="U2665" i="12"/>
  <c r="Y2665" i="12"/>
  <c r="U2666" i="12"/>
  <c r="Y2666" i="12" s="1"/>
  <c r="U2667" i="12"/>
  <c r="Y2667" i="12" s="1"/>
  <c r="U2668" i="12"/>
  <c r="Y2668" i="12"/>
  <c r="U2669" i="12"/>
  <c r="Y2669" i="12"/>
  <c r="U2670" i="12"/>
  <c r="Y2670" i="12" s="1"/>
  <c r="U2671" i="12"/>
  <c r="Y2671" i="12" s="1"/>
  <c r="U2672" i="12"/>
  <c r="Y2672" i="12" s="1"/>
  <c r="U2673" i="12"/>
  <c r="Y2673" i="12"/>
  <c r="U2674" i="12"/>
  <c r="Y2674" i="12"/>
  <c r="U2675" i="12"/>
  <c r="Y2675" i="12" s="1"/>
  <c r="U2676" i="12"/>
  <c r="Y2676" i="12"/>
  <c r="U2677" i="12"/>
  <c r="Y2677" i="12"/>
  <c r="U2678" i="12"/>
  <c r="Y2678" i="12"/>
  <c r="Y2679" i="12"/>
  <c r="Y2680" i="12"/>
  <c r="Y2681" i="12"/>
  <c r="U2682" i="12"/>
  <c r="Y2682" i="12" s="1"/>
  <c r="U2683" i="12"/>
  <c r="Y2683" i="12" s="1"/>
  <c r="U2684" i="12"/>
  <c r="Y2684" i="12" s="1"/>
  <c r="U2685" i="12"/>
  <c r="Y2685" i="12" s="1"/>
  <c r="U2686" i="12"/>
  <c r="Y2686" i="12" s="1"/>
  <c r="U2687" i="12"/>
  <c r="Y2687" i="12" s="1"/>
  <c r="U2688" i="12"/>
  <c r="Y2688" i="12" s="1"/>
  <c r="U2689" i="12"/>
  <c r="Y2689" i="12" s="1"/>
  <c r="U2690" i="12"/>
  <c r="Y2690" i="12" s="1"/>
  <c r="U2691" i="12"/>
  <c r="Y2691" i="12" s="1"/>
  <c r="U2692" i="12"/>
  <c r="Y2692" i="12" s="1"/>
  <c r="U2693" i="12"/>
  <c r="Y2693" i="12" s="1"/>
  <c r="U2694" i="12"/>
  <c r="Y2694" i="12" s="1"/>
  <c r="U2695" i="12"/>
  <c r="Y2695" i="12" s="1"/>
  <c r="U2696" i="12"/>
  <c r="Y2696" i="12" s="1"/>
  <c r="Y2697" i="12"/>
  <c r="Y2698" i="12"/>
  <c r="Y2699" i="12"/>
  <c r="U2700" i="12"/>
  <c r="Y2700" i="12"/>
  <c r="U2701" i="12"/>
  <c r="Y2701" i="12"/>
  <c r="U2702" i="12"/>
  <c r="Y2702" i="12" s="1"/>
  <c r="U2703" i="12"/>
  <c r="Y2703" i="12"/>
  <c r="U2704" i="12"/>
  <c r="Y2704" i="12"/>
  <c r="U2705" i="12"/>
  <c r="Y2705" i="12"/>
  <c r="U2706" i="12"/>
  <c r="Y2706" i="12" s="1"/>
  <c r="U2707" i="12"/>
  <c r="Y2707" i="12" s="1"/>
  <c r="U2708" i="12"/>
  <c r="Y2708" i="12" s="1"/>
  <c r="U2709" i="12"/>
  <c r="Y2709" i="12" s="1"/>
  <c r="U2710" i="12"/>
  <c r="Y2710" i="12" s="1"/>
  <c r="U2711" i="12"/>
  <c r="Y2711" i="12" s="1"/>
  <c r="U2712" i="12"/>
  <c r="Y2712" i="12"/>
  <c r="U2713" i="12"/>
  <c r="Y2713" i="12"/>
  <c r="U2714" i="12"/>
  <c r="Y2714" i="12" s="1"/>
  <c r="Y2715" i="12"/>
  <c r="Y2716" i="12"/>
  <c r="Y2717" i="12"/>
  <c r="U2718" i="12"/>
  <c r="Y2718" i="12" s="1"/>
  <c r="U2719" i="12"/>
  <c r="Y2719" i="12" s="1"/>
  <c r="U2720" i="12"/>
  <c r="Y2720" i="12" s="1"/>
  <c r="U2721" i="12"/>
  <c r="Y2721" i="12" s="1"/>
  <c r="U2722" i="12"/>
  <c r="Y2722" i="12" s="1"/>
  <c r="U2723" i="12"/>
  <c r="Y2723" i="12" s="1"/>
  <c r="U2724" i="12"/>
  <c r="Y2724" i="12" s="1"/>
  <c r="U2725" i="12"/>
  <c r="Y2725" i="12" s="1"/>
  <c r="U2726" i="12"/>
  <c r="Y2726" i="12" s="1"/>
  <c r="U2727" i="12"/>
  <c r="Y2727" i="12" s="1"/>
  <c r="U2728" i="12"/>
  <c r="Y2728" i="12" s="1"/>
  <c r="U2729" i="12"/>
  <c r="Y2729" i="12" s="1"/>
  <c r="U2730" i="12"/>
  <c r="Y2730" i="12" s="1"/>
  <c r="U2731" i="12"/>
  <c r="Y2731" i="12" s="1"/>
  <c r="U2732" i="12"/>
  <c r="Y2732" i="12" s="1"/>
  <c r="Y2733" i="12"/>
  <c r="Y2734" i="12"/>
  <c r="Y2735" i="12"/>
  <c r="U2736" i="12"/>
  <c r="Y2736" i="12"/>
  <c r="U2737" i="12"/>
  <c r="Y2737" i="12" s="1"/>
  <c r="U2738" i="12"/>
  <c r="Y2738" i="12"/>
  <c r="U2739" i="12"/>
  <c r="Y2739" i="12" s="1"/>
  <c r="U2740" i="12"/>
  <c r="Y2740" i="12"/>
  <c r="U2741" i="12"/>
  <c r="Y2741" i="12" s="1"/>
  <c r="U2742" i="12"/>
  <c r="Y2742" i="12"/>
  <c r="U2743" i="12"/>
  <c r="Y2743" i="12" s="1"/>
  <c r="U2744" i="12"/>
  <c r="Y2744" i="12" s="1"/>
  <c r="U2745" i="12"/>
  <c r="Y2745" i="12" s="1"/>
  <c r="U2746" i="12"/>
  <c r="Y2746" i="12" s="1"/>
  <c r="U2747" i="12"/>
  <c r="Y2747" i="12"/>
  <c r="U2748" i="12"/>
  <c r="Y2748" i="12" s="1"/>
  <c r="U2749" i="12"/>
  <c r="Y2749" i="12" s="1"/>
  <c r="U2750" i="12"/>
  <c r="Y2750" i="12"/>
  <c r="Y2751" i="12"/>
  <c r="Y2752" i="12"/>
  <c r="Y2753" i="12"/>
  <c r="U2754" i="12"/>
  <c r="Y2754" i="12" s="1"/>
  <c r="U2755" i="12"/>
  <c r="Y2755" i="12" s="1"/>
  <c r="U2756" i="12"/>
  <c r="Y2756" i="12" s="1"/>
  <c r="U2757" i="12"/>
  <c r="Y2757" i="12" s="1"/>
  <c r="U2758" i="12"/>
  <c r="Y2758" i="12" s="1"/>
  <c r="U2759" i="12"/>
  <c r="Y2759" i="12" s="1"/>
  <c r="U2760" i="12"/>
  <c r="Y2760" i="12" s="1"/>
  <c r="U2761" i="12"/>
  <c r="Y2761" i="12" s="1"/>
  <c r="U2762" i="12"/>
  <c r="Y2762" i="12" s="1"/>
  <c r="U2763" i="12"/>
  <c r="Y2763" i="12" s="1"/>
  <c r="U2764" i="12"/>
  <c r="Y2764" i="12" s="1"/>
  <c r="U2765" i="12"/>
  <c r="Y2765" i="12" s="1"/>
  <c r="U2766" i="12"/>
  <c r="Y2766" i="12" s="1"/>
  <c r="U2767" i="12"/>
  <c r="Y2767" i="12" s="1"/>
  <c r="U2768" i="12"/>
  <c r="Y2768" i="12" s="1"/>
  <c r="Y2769" i="12"/>
  <c r="Y2770" i="12"/>
  <c r="Y2771" i="12"/>
  <c r="U2772" i="12"/>
  <c r="Y2772" i="12" s="1"/>
  <c r="U2773" i="12"/>
  <c r="Y2773" i="12"/>
  <c r="U2774" i="12"/>
  <c r="Y2774" i="12"/>
  <c r="U2775" i="12"/>
  <c r="Y2775" i="12" s="1"/>
  <c r="U2776" i="12"/>
  <c r="Y2776" i="12" s="1"/>
  <c r="U2777" i="12"/>
  <c r="Y2777" i="12" s="1"/>
  <c r="U2778" i="12"/>
  <c r="Y2778" i="12" s="1"/>
  <c r="U2779" i="12"/>
  <c r="Y2779" i="12"/>
  <c r="U2780" i="12"/>
  <c r="Y2780" i="12" s="1"/>
  <c r="U2781" i="12"/>
  <c r="Y2781" i="12" s="1"/>
  <c r="U2782" i="12"/>
  <c r="Y2782" i="12"/>
  <c r="U2783" i="12"/>
  <c r="Y2783" i="12"/>
  <c r="U2784" i="12"/>
  <c r="Y2784" i="12" s="1"/>
  <c r="U2785" i="12"/>
  <c r="Y2785" i="12" s="1"/>
  <c r="U2786" i="12"/>
  <c r="Y2786" i="12" s="1"/>
  <c r="Y2787" i="12"/>
  <c r="Y2788" i="12"/>
  <c r="Y2789" i="12"/>
  <c r="U2790" i="12"/>
  <c r="Y2790" i="12" s="1"/>
  <c r="U2791" i="12"/>
  <c r="Y2791" i="12" s="1"/>
  <c r="U2792" i="12"/>
  <c r="Y2792" i="12" s="1"/>
  <c r="U2793" i="12"/>
  <c r="Y2793" i="12" s="1"/>
  <c r="U2794" i="12"/>
  <c r="Y2794" i="12" s="1"/>
  <c r="U2795" i="12"/>
  <c r="Y2795" i="12" s="1"/>
  <c r="U2796" i="12"/>
  <c r="Y2796" i="12" s="1"/>
  <c r="U2797" i="12"/>
  <c r="Y2797" i="12" s="1"/>
  <c r="U2798" i="12"/>
  <c r="Y2798" i="12" s="1"/>
  <c r="U2799" i="12"/>
  <c r="Y2799" i="12" s="1"/>
  <c r="U2800" i="12"/>
  <c r="Y2800" i="12" s="1"/>
  <c r="U2801" i="12"/>
  <c r="Y2801" i="12" s="1"/>
  <c r="U2802" i="12"/>
  <c r="Y2802" i="12" s="1"/>
  <c r="U2803" i="12"/>
  <c r="Y2803" i="12" s="1"/>
  <c r="U2804" i="12"/>
  <c r="Y2804" i="12" s="1"/>
  <c r="Y2805" i="12"/>
  <c r="Y2806" i="12"/>
  <c r="Y2807" i="12"/>
  <c r="U2808" i="12"/>
  <c r="Y2808" i="12" s="1"/>
  <c r="U2809" i="12"/>
  <c r="Y2809" i="12"/>
  <c r="U2810" i="12"/>
  <c r="Y2810" i="12"/>
  <c r="U2811" i="12"/>
  <c r="Y2811" i="12" s="1"/>
  <c r="U2812" i="12"/>
  <c r="Y2812" i="12" s="1"/>
  <c r="U2813" i="12"/>
  <c r="Y2813" i="12" s="1"/>
  <c r="U2814" i="12"/>
  <c r="Y2814" i="12" s="1"/>
  <c r="U2815" i="12"/>
  <c r="Y2815" i="12" s="1"/>
  <c r="U2816" i="12"/>
  <c r="Y2816" i="12" s="1"/>
  <c r="U2817" i="12"/>
  <c r="Y2817" i="12"/>
  <c r="U2818" i="12"/>
  <c r="Y2818" i="12"/>
  <c r="U2819" i="12"/>
  <c r="Y2819" i="12" s="1"/>
  <c r="U2820" i="12"/>
  <c r="Y2820" i="12"/>
  <c r="U2821" i="12"/>
  <c r="Y2821" i="12" s="1"/>
  <c r="U2822" i="12"/>
  <c r="Y2822" i="12" s="1"/>
  <c r="Y2823" i="12"/>
  <c r="Y2824" i="12"/>
  <c r="Y2825" i="12"/>
  <c r="U2826" i="12"/>
  <c r="Y2826" i="12" s="1"/>
  <c r="U2827" i="12"/>
  <c r="Y2827" i="12" s="1"/>
  <c r="U2828" i="12"/>
  <c r="Y2828" i="12" s="1"/>
  <c r="U2829" i="12"/>
  <c r="Y2829" i="12" s="1"/>
  <c r="U2830" i="12"/>
  <c r="Y2830" i="12" s="1"/>
  <c r="U2831" i="12"/>
  <c r="Y2831" i="12" s="1"/>
  <c r="U2832" i="12"/>
  <c r="Y2832" i="12" s="1"/>
  <c r="U2833" i="12"/>
  <c r="Y2833" i="12" s="1"/>
  <c r="U2834" i="12"/>
  <c r="Y2834" i="12" s="1"/>
  <c r="U2835" i="12"/>
  <c r="Y2835" i="12" s="1"/>
  <c r="U2836" i="12"/>
  <c r="Y2836" i="12" s="1"/>
  <c r="U2837" i="12"/>
  <c r="Y2837" i="12" s="1"/>
  <c r="U2838" i="12"/>
  <c r="Y2838" i="12" s="1"/>
  <c r="U2839" i="12"/>
  <c r="Y2839" i="12" s="1"/>
  <c r="U2840" i="12"/>
  <c r="Y2840" i="12" s="1"/>
  <c r="Y2841" i="12"/>
  <c r="Y2842" i="12"/>
  <c r="Y2843" i="12"/>
  <c r="U2844" i="12"/>
  <c r="Y2844" i="12"/>
  <c r="U2845" i="12"/>
  <c r="Y2845" i="12"/>
  <c r="U2846" i="12"/>
  <c r="Y2846" i="12" s="1"/>
  <c r="U2847" i="12"/>
  <c r="Y2847" i="12"/>
  <c r="U2848" i="12"/>
  <c r="Y2848" i="12" s="1"/>
  <c r="U2849" i="12"/>
  <c r="Y2849" i="12" s="1"/>
  <c r="U2850" i="12"/>
  <c r="Y2850" i="12" s="1"/>
  <c r="U2851" i="12"/>
  <c r="Y2851" i="12"/>
  <c r="U2852" i="12"/>
  <c r="Y2852" i="12" s="1"/>
  <c r="U2853" i="12"/>
  <c r="Y2853" i="12"/>
  <c r="U2854" i="12"/>
  <c r="Y2854" i="12" s="1"/>
  <c r="Y2855" i="12"/>
  <c r="Y2856" i="12"/>
  <c r="Y2857" i="12"/>
  <c r="Y2858" i="12"/>
  <c r="Y2859" i="12"/>
  <c r="Y2860" i="12"/>
  <c r="Y2861" i="12"/>
  <c r="Y2862" i="12"/>
  <c r="Y2863" i="12"/>
  <c r="Y2864" i="12"/>
  <c r="Y2865" i="12"/>
  <c r="Y2866" i="12"/>
  <c r="Y2867" i="12"/>
  <c r="Y2868" i="12"/>
  <c r="Y2869" i="12"/>
  <c r="Y2870" i="12"/>
  <c r="Y2871" i="12"/>
  <c r="Y2872" i="12"/>
  <c r="Y2873" i="12"/>
  <c r="U2880" i="12"/>
  <c r="Y2880" i="12" s="1"/>
  <c r="U2881" i="12"/>
  <c r="Y2881" i="12" s="1"/>
  <c r="P2952" i="12"/>
  <c r="Q2952" i="12"/>
  <c r="V2952" i="12"/>
  <c r="W2952" i="12"/>
  <c r="X2952" i="12"/>
  <c r="Y2952" i="12"/>
  <c r="Y2997" i="12"/>
  <c r="Y2998" i="12"/>
  <c r="J3001" i="12"/>
  <c r="J3034" i="12"/>
  <c r="J3035" i="12"/>
  <c r="J3036" i="12"/>
  <c r="J3037" i="12"/>
  <c r="Q3082" i="12"/>
  <c r="Y3082" i="12"/>
  <c r="Y3091" i="12"/>
  <c r="Y3092" i="12"/>
  <c r="Y3093" i="12"/>
  <c r="Y3094" i="12"/>
  <c r="Y3095" i="12"/>
  <c r="Y3096" i="12"/>
  <c r="Y3097" i="12"/>
  <c r="Q3102" i="12"/>
  <c r="Q3103" i="12"/>
  <c r="Q3104" i="12"/>
  <c r="Q3105" i="12"/>
  <c r="W3160" i="12"/>
  <c r="Y3160" i="12"/>
  <c r="W3161" i="12"/>
  <c r="Y3161" i="12"/>
  <c r="W3162" i="12"/>
  <c r="Y3162" i="12" s="1"/>
  <c r="W3163" i="12"/>
  <c r="Y3163" i="12" s="1"/>
  <c r="W3164" i="12"/>
  <c r="Y3164" i="12"/>
  <c r="W3165" i="12"/>
  <c r="Y3165" i="12" s="1"/>
  <c r="W3166" i="12"/>
  <c r="Y3166" i="12"/>
  <c r="W3167" i="12"/>
  <c r="Y3167" i="12" s="1"/>
  <c r="Y3184" i="12"/>
  <c r="Y3186" i="12"/>
  <c r="Y3187" i="12"/>
  <c r="Y3188" i="12"/>
  <c r="Y3189" i="12"/>
  <c r="Y3190" i="12"/>
  <c r="Y3191" i="12"/>
  <c r="Y3194" i="12"/>
  <c r="Y3195" i="12"/>
  <c r="Y3196" i="12"/>
  <c r="Y3197" i="12"/>
  <c r="Y3198" i="12"/>
  <c r="W3204" i="12"/>
  <c r="Y3204" i="12"/>
  <c r="W3227" i="12"/>
  <c r="Y3227" i="12" s="1"/>
  <c r="U3244" i="12"/>
  <c r="Y3244" i="12"/>
  <c r="U3258" i="12"/>
  <c r="X3258" i="12" s="1"/>
  <c r="V3258" i="12"/>
  <c r="T3266" i="12"/>
  <c r="T3267" i="12"/>
  <c r="T3268" i="12"/>
  <c r="T3269" i="12"/>
  <c r="T3270" i="12"/>
  <c r="Q3278" i="12"/>
  <c r="U3278" i="12"/>
  <c r="Y3278" i="12"/>
  <c r="Q3279" i="12"/>
  <c r="U3279" i="12"/>
  <c r="Y3279" i="12"/>
  <c r="Q3280" i="12"/>
  <c r="U3280" i="12"/>
  <c r="Y3280" i="12" s="1"/>
  <c r="Q3281" i="12"/>
  <c r="U3281" i="12"/>
  <c r="Y3281" i="12" s="1"/>
  <c r="Q3282" i="12"/>
  <c r="U3282" i="12"/>
  <c r="Y3282" i="12" s="1"/>
  <c r="Q3283" i="12"/>
  <c r="U3283" i="12"/>
  <c r="Y3283" i="12"/>
  <c r="Q3284" i="12"/>
  <c r="U3284" i="12"/>
  <c r="Y3284" i="12"/>
  <c r="Q3285" i="12"/>
  <c r="U3285" i="12"/>
  <c r="Y3285" i="12" s="1"/>
  <c r="T3286" i="12"/>
  <c r="T3287" i="12"/>
  <c r="T3288" i="12"/>
  <c r="L3289" i="12"/>
  <c r="N3289" i="12"/>
  <c r="P3289" i="12"/>
  <c r="L3290" i="12"/>
  <c r="N3290" i="12"/>
  <c r="P3290" i="12"/>
  <c r="L3293" i="12"/>
  <c r="N3293" i="12"/>
  <c r="P3293" i="12"/>
  <c r="M3295" i="12"/>
  <c r="M3296" i="12"/>
  <c r="U3297" i="12"/>
  <c r="Y3297" i="12" s="1"/>
  <c r="U3298" i="12"/>
  <c r="Y3298" i="12" s="1"/>
  <c r="Y3303" i="12"/>
  <c r="Y3304" i="12"/>
  <c r="W3399" i="12"/>
  <c r="U3410" i="12"/>
  <c r="Y3410" i="12" s="1"/>
  <c r="U3411" i="12"/>
  <c r="Y3411" i="12" s="1"/>
  <c r="U3420" i="12"/>
  <c r="W3420" i="12"/>
  <c r="Y3420" i="12"/>
  <c r="W3421" i="12"/>
  <c r="Y3421" i="12" s="1"/>
  <c r="U3421" i="12" s="1"/>
  <c r="W3422" i="12"/>
  <c r="Y3422" i="12" s="1"/>
  <c r="U3422" i="12" s="1"/>
  <c r="W3423" i="12"/>
  <c r="Y3423" i="12" s="1"/>
  <c r="U3423" i="12" s="1"/>
  <c r="W3424" i="12"/>
  <c r="Y3424" i="12" s="1"/>
  <c r="U3424" i="12" s="1"/>
  <c r="W3425" i="12"/>
  <c r="Y3425" i="12" s="1"/>
  <c r="U3425" i="12" s="1"/>
  <c r="W3426" i="12"/>
  <c r="Y3426" i="12"/>
  <c r="U3426" i="12" s="1"/>
  <c r="W3427" i="12"/>
  <c r="Y3427" i="12" s="1"/>
  <c r="U3427" i="12" s="1"/>
  <c r="W3428" i="12"/>
  <c r="Y3428" i="12"/>
  <c r="U3428" i="12" s="1"/>
  <c r="W3429" i="12"/>
  <c r="Y3429" i="12" s="1"/>
  <c r="U3429" i="12" s="1"/>
  <c r="W3430" i="12"/>
  <c r="Y3430" i="12" s="1"/>
  <c r="U3430" i="12" s="1"/>
  <c r="W3431" i="12"/>
  <c r="Y3431" i="12" s="1"/>
  <c r="U3431" i="12" s="1"/>
  <c r="W3432" i="12"/>
  <c r="Y3432" i="12"/>
  <c r="U3432" i="12" s="1"/>
  <c r="W3433" i="12"/>
  <c r="Y3433" i="12" s="1"/>
  <c r="U3433" i="12" s="1"/>
  <c r="W3434" i="12"/>
  <c r="Y3434" i="12" s="1"/>
  <c r="U3434" i="12" s="1"/>
  <c r="W3435" i="12"/>
  <c r="Y3435" i="12" s="1"/>
  <c r="U3435" i="12" s="1"/>
  <c r="Y3436" i="12"/>
  <c r="Y3437" i="12"/>
  <c r="W3438" i="12"/>
  <c r="Y3438" i="12"/>
  <c r="U3438" i="12" s="1"/>
  <c r="W3439" i="12"/>
  <c r="Y3439" i="12" s="1"/>
  <c r="U3439" i="12" s="1"/>
  <c r="W3440" i="12"/>
  <c r="Y3441" i="12" s="1"/>
  <c r="U3441" i="12" s="1"/>
  <c r="W3441" i="12"/>
  <c r="W3442" i="12"/>
  <c r="Y3443" i="12" s="1"/>
  <c r="U3443" i="12" s="1"/>
  <c r="Y3442" i="12"/>
  <c r="U3442" i="12" s="1"/>
  <c r="W3443" i="12"/>
  <c r="Y3444" i="12" s="1"/>
  <c r="U3444" i="12" s="1"/>
  <c r="W3444" i="12"/>
  <c r="W3445" i="12"/>
  <c r="Y3445" i="12" s="1"/>
  <c r="U3445" i="12" s="1"/>
  <c r="W3446" i="12"/>
  <c r="Y3446" i="12" s="1"/>
  <c r="U3446" i="12" s="1"/>
  <c r="W3447" i="12"/>
  <c r="Y3447" i="12" s="1"/>
  <c r="U3447" i="12" s="1"/>
  <c r="W3451" i="12"/>
  <c r="Y3451" i="12" s="1"/>
  <c r="U3451" i="12" s="1"/>
  <c r="W3452" i="12"/>
  <c r="Y3452" i="12" s="1"/>
  <c r="U3452" i="12" s="1"/>
  <c r="W3453" i="12"/>
  <c r="Y3453" i="12"/>
  <c r="U3453" i="12" s="1"/>
  <c r="W3454" i="12"/>
  <c r="Y3454" i="12" s="1"/>
  <c r="U3454" i="12" s="1"/>
  <c r="W3455" i="12"/>
  <c r="Y3455" i="12"/>
  <c r="U3455" i="12" s="1"/>
  <c r="W3456" i="12"/>
  <c r="Y3456" i="12" s="1"/>
  <c r="U3456" i="12" s="1"/>
  <c r="W3457" i="12"/>
  <c r="Y3457" i="12" s="1"/>
  <c r="U3457" i="12" s="1"/>
  <c r="W3458" i="12"/>
  <c r="Y3458" i="12" s="1"/>
  <c r="U3458" i="12" s="1"/>
  <c r="W3459" i="12"/>
  <c r="Y3459" i="12"/>
  <c r="U3459" i="12" s="1"/>
  <c r="W3462" i="12"/>
  <c r="Y3462" i="12" s="1"/>
  <c r="U3462" i="12" s="1"/>
  <c r="W3463" i="12"/>
  <c r="Y3463" i="12" s="1"/>
  <c r="U3463" i="12" s="1"/>
  <c r="W3464" i="12"/>
  <c r="Y3464" i="12" s="1"/>
  <c r="U3464" i="12" s="1"/>
  <c r="W3465" i="12"/>
  <c r="Y3465" i="12"/>
  <c r="U3465" i="12" s="1"/>
  <c r="W3466" i="12"/>
  <c r="Y3466" i="12" s="1"/>
  <c r="U3466" i="12" s="1"/>
  <c r="W3467" i="12"/>
  <c r="Y3467" i="12"/>
  <c r="U3467" i="12" s="1"/>
  <c r="W3468" i="12"/>
  <c r="Y3468" i="12" s="1"/>
  <c r="U3468" i="12" s="1"/>
  <c r="W3469" i="12"/>
  <c r="Y3469" i="12" s="1"/>
  <c r="U3469" i="12" s="1"/>
  <c r="W3470" i="12"/>
  <c r="Y3470" i="12" s="1"/>
  <c r="U3470" i="12" s="1"/>
  <c r="W3471" i="12"/>
  <c r="Y3471" i="12"/>
  <c r="U3471" i="12" s="1"/>
  <c r="W3472" i="12"/>
  <c r="Y3472" i="12" s="1"/>
  <c r="U3472" i="12" s="1"/>
  <c r="W3473" i="12"/>
  <c r="Y3473" i="12" s="1"/>
  <c r="U3473" i="12" s="1"/>
  <c r="W3474" i="12"/>
  <c r="Y3474" i="12" s="1"/>
  <c r="U3474" i="12" s="1"/>
  <c r="W3475" i="12"/>
  <c r="Y3475" i="12"/>
  <c r="U3475" i="12" s="1"/>
  <c r="W3476" i="12"/>
  <c r="Y3476" i="12" s="1"/>
  <c r="U3476" i="12" s="1"/>
  <c r="W3477" i="12"/>
  <c r="Y3477" i="12"/>
  <c r="U3477" i="12" s="1"/>
  <c r="W3478" i="12"/>
  <c r="Y3478" i="12" s="1"/>
  <c r="U3478" i="12" s="1"/>
  <c r="W3479" i="12"/>
  <c r="Y3479" i="12" s="1"/>
  <c r="U3479" i="12" s="1"/>
  <c r="W3480" i="12"/>
  <c r="Y3480" i="12" s="1"/>
  <c r="U3480" i="12" s="1"/>
  <c r="W3481" i="12"/>
  <c r="Y3481" i="12"/>
  <c r="U3481" i="12" s="1"/>
  <c r="W3482" i="12"/>
  <c r="Y3482" i="12" s="1"/>
  <c r="U3482" i="12" s="1"/>
  <c r="W3483" i="12"/>
  <c r="Y3483" i="12" s="1"/>
  <c r="U3483" i="12" s="1"/>
  <c r="W3484" i="12"/>
  <c r="Y3484" i="12" s="1"/>
  <c r="U3484" i="12" s="1"/>
  <c r="W3485" i="12"/>
  <c r="Y3485" i="12"/>
  <c r="U3485" i="12" s="1"/>
  <c r="W3486" i="12"/>
  <c r="Y3486" i="12" s="1"/>
  <c r="U3486" i="12" s="1"/>
  <c r="W3487" i="12"/>
  <c r="Y3487" i="12" s="1"/>
  <c r="U3487" i="12" s="1"/>
  <c r="W3488" i="12"/>
  <c r="Y3488" i="12" s="1"/>
  <c r="U3488" i="12" s="1"/>
  <c r="W3489" i="12"/>
  <c r="Y3489" i="12"/>
  <c r="U3489" i="12" s="1"/>
  <c r="W3490" i="12"/>
  <c r="Y3490" i="12" s="1"/>
  <c r="U3490" i="12" s="1"/>
  <c r="W3491" i="12"/>
  <c r="Y3491" i="12"/>
  <c r="U3491" i="12" s="1"/>
  <c r="W3492" i="12"/>
  <c r="Y3492" i="12" s="1"/>
  <c r="U3492" i="12" s="1"/>
  <c r="W3493" i="12"/>
  <c r="Y3493" i="12" s="1"/>
  <c r="U3493" i="12" s="1"/>
  <c r="W3494" i="12"/>
  <c r="Y3494" i="12" s="1"/>
  <c r="U3494" i="12" s="1"/>
  <c r="W3495" i="12"/>
  <c r="Y3495" i="12"/>
  <c r="U3495" i="12" s="1"/>
  <c r="W3496" i="12"/>
  <c r="Y3496" i="12" s="1"/>
  <c r="U3496" i="12" s="1"/>
  <c r="W3497" i="12"/>
  <c r="Y3497" i="12" s="1"/>
  <c r="U3497" i="12" s="1"/>
  <c r="W3498" i="12"/>
  <c r="Y3498" i="12" s="1"/>
  <c r="U3498" i="12" s="1"/>
  <c r="W3499" i="12"/>
  <c r="Y3499" i="12"/>
  <c r="U3499" i="12" s="1"/>
  <c r="W3500" i="12"/>
  <c r="Y3500" i="12" s="1"/>
  <c r="U3500" i="12" s="1"/>
  <c r="W3501" i="12"/>
  <c r="Y3501" i="12" s="1"/>
  <c r="U3501" i="12" s="1"/>
  <c r="W3502" i="12"/>
  <c r="Y3502" i="12" s="1"/>
  <c r="U3502" i="12" s="1"/>
  <c r="W3503" i="12"/>
  <c r="Y3503" i="12" s="1"/>
  <c r="U3503" i="12" s="1"/>
  <c r="W3504" i="12"/>
  <c r="Y3504" i="12" s="1"/>
  <c r="U3504" i="12" s="1"/>
  <c r="W3505" i="12"/>
  <c r="Y3505" i="12" s="1"/>
  <c r="U3505" i="12" s="1"/>
  <c r="W3506" i="12"/>
  <c r="Y3506" i="12" s="1"/>
  <c r="U3506" i="12" s="1"/>
  <c r="W3507" i="12"/>
  <c r="Y3507" i="12"/>
  <c r="U3507" i="12" s="1"/>
  <c r="W3508" i="12"/>
  <c r="Y3508" i="12" s="1"/>
  <c r="U3508" i="12" s="1"/>
  <c r="U3509" i="12"/>
  <c r="W3509" i="12"/>
  <c r="Y3509" i="12" s="1"/>
  <c r="W3510" i="12"/>
  <c r="Y3510" i="12" s="1"/>
  <c r="U3510" i="12" s="1"/>
  <c r="W3513" i="12"/>
  <c r="Y3513" i="12"/>
  <c r="U3513" i="12" s="1"/>
  <c r="W3514" i="12"/>
  <c r="Y3514" i="12" s="1"/>
  <c r="U3514" i="12" s="1"/>
  <c r="W3515" i="12"/>
  <c r="Y3515" i="12" s="1"/>
  <c r="U3515" i="12" s="1"/>
  <c r="W3516" i="12"/>
  <c r="Y3516" i="12" s="1"/>
  <c r="U3516" i="12" s="1"/>
  <c r="W3517" i="12"/>
  <c r="Y3517" i="12"/>
  <c r="U3517" i="12" s="1"/>
  <c r="W3518" i="12"/>
  <c r="Y3518" i="12" s="1"/>
  <c r="U3518" i="12" s="1"/>
  <c r="W3519" i="12"/>
  <c r="Y3519" i="12" s="1"/>
  <c r="U3519" i="12" s="1"/>
  <c r="W3520" i="12"/>
  <c r="Y3520" i="12" s="1"/>
  <c r="U3520" i="12" s="1"/>
  <c r="W3521" i="12"/>
  <c r="Y3521" i="12" s="1"/>
  <c r="U3521" i="12" s="1"/>
  <c r="W3522" i="12"/>
  <c r="Y3522" i="12" s="1"/>
  <c r="U3522" i="12" s="1"/>
  <c r="W3523" i="12"/>
  <c r="Y3523" i="12" s="1"/>
  <c r="U3523" i="12" s="1"/>
  <c r="W3524" i="12"/>
  <c r="Y3524" i="12" s="1"/>
  <c r="U3524" i="12" s="1"/>
  <c r="W3525" i="12"/>
  <c r="Y3525" i="12"/>
  <c r="U3525" i="12" s="1"/>
  <c r="W3526" i="12"/>
  <c r="Y3526" i="12" s="1"/>
  <c r="U3526" i="12" s="1"/>
  <c r="W3527" i="12"/>
  <c r="Y3527" i="12" s="1"/>
  <c r="U3527" i="12" s="1"/>
  <c r="W3528" i="12"/>
  <c r="Y3528" i="12" s="1"/>
  <c r="U3528" i="12" s="1"/>
  <c r="Y3533" i="12"/>
  <c r="U3535" i="12"/>
  <c r="Y3535" i="12" s="1"/>
  <c r="Y3540" i="12"/>
  <c r="Y3541" i="12"/>
  <c r="Y3542" i="12"/>
  <c r="W3584" i="12"/>
  <c r="U3585" i="12"/>
  <c r="Y3586" i="12"/>
  <c r="U3587" i="12"/>
  <c r="W3587" i="12" s="1"/>
  <c r="Y3587" i="12"/>
  <c r="U3588" i="12"/>
  <c r="U3589" i="12" s="1"/>
  <c r="Y3589" i="12" s="1"/>
  <c r="W3588" i="12"/>
  <c r="Y3588" i="12"/>
  <c r="U3590" i="12"/>
  <c r="W3590" i="12" s="1"/>
  <c r="Y3590" i="12"/>
  <c r="U3591" i="12"/>
  <c r="W3591" i="12"/>
  <c r="Y3591" i="12"/>
  <c r="Y3593" i="12"/>
  <c r="T3598" i="12"/>
  <c r="U3613" i="12"/>
  <c r="Y3613" i="12"/>
  <c r="J3666" i="12"/>
  <c r="J3667" i="12"/>
  <c r="J3668" i="12"/>
  <c r="J3669" i="12"/>
  <c r="J3670" i="12"/>
  <c r="J3671" i="12"/>
  <c r="J3673" i="12"/>
  <c r="U3674" i="12"/>
  <c r="Y3674" i="12" s="1"/>
  <c r="W3674" i="12"/>
  <c r="U3675" i="12"/>
  <c r="Y3675" i="12"/>
  <c r="U3676" i="12"/>
  <c r="Y3676" i="12"/>
  <c r="U3677" i="12"/>
  <c r="Y3677" i="12" s="1"/>
  <c r="W3677" i="12"/>
  <c r="U3682" i="12"/>
  <c r="Y3682" i="12" s="1"/>
  <c r="Y3683" i="12"/>
  <c r="Y3684" i="12"/>
  <c r="Y3685" i="12"/>
  <c r="Y3686" i="12"/>
  <c r="U3687" i="12"/>
  <c r="Y3687" i="12" s="1"/>
  <c r="Y3688" i="12"/>
  <c r="Y3689" i="12"/>
  <c r="Y3690" i="12"/>
  <c r="Y3691" i="12"/>
  <c r="U3692" i="12"/>
  <c r="Y3692" i="12" s="1"/>
  <c r="Y3693" i="12"/>
  <c r="Y3694" i="12"/>
  <c r="Y3695" i="12"/>
  <c r="Y3696" i="12"/>
  <c r="U3697" i="12"/>
  <c r="Y3697" i="12" s="1"/>
  <c r="Y3698" i="12"/>
  <c r="Y3699" i="12"/>
  <c r="Y3700" i="12"/>
  <c r="Y3701" i="12"/>
  <c r="Y3702" i="12"/>
  <c r="Y3703" i="12"/>
  <c r="Y3704" i="12"/>
  <c r="Y3705" i="12"/>
  <c r="Y3706" i="12"/>
  <c r="U3707" i="12"/>
  <c r="Y3707" i="12"/>
  <c r="U3708" i="12"/>
  <c r="Y3708" i="12"/>
  <c r="Y3709" i="12"/>
  <c r="Y3710" i="12"/>
  <c r="Y3711" i="12"/>
  <c r="Y3712" i="12"/>
  <c r="Y3713" i="12"/>
  <c r="U3717" i="12"/>
  <c r="U3718" i="12"/>
  <c r="U3738" i="12"/>
  <c r="U3742" i="12"/>
  <c r="Y3742" i="12" s="1"/>
  <c r="U3743" i="12"/>
  <c r="Y3743" i="12" s="1"/>
  <c r="U3744" i="12"/>
  <c r="Y3744" i="12"/>
  <c r="U3745" i="12"/>
  <c r="Y3745" i="12"/>
  <c r="U3746" i="12"/>
  <c r="Y3746" i="12" s="1"/>
  <c r="U3747" i="12"/>
  <c r="Y3747" i="12"/>
  <c r="U3754" i="12"/>
  <c r="Y3754" i="12"/>
  <c r="U3755" i="12"/>
  <c r="Y3755" i="12"/>
  <c r="U3756" i="12"/>
  <c r="Y3756" i="12" s="1"/>
  <c r="U3779" i="12"/>
  <c r="Y3779" i="12"/>
  <c r="U3780" i="12"/>
  <c r="Y3780" i="12"/>
  <c r="U3781" i="12"/>
  <c r="Y3781" i="12"/>
  <c r="U3782" i="12"/>
  <c r="Y3782" i="12" s="1"/>
  <c r="U3783" i="12"/>
  <c r="Y3783" i="12"/>
  <c r="U3788" i="12"/>
  <c r="W3788" i="12"/>
  <c r="Y3788" i="12"/>
  <c r="U3789" i="12"/>
  <c r="W3789" i="12" s="1"/>
  <c r="U3790" i="12"/>
  <c r="Y3790" i="12" s="1"/>
  <c r="U3791" i="12"/>
  <c r="U3792" i="12"/>
  <c r="W3792" i="12" s="1"/>
  <c r="U3793" i="12"/>
  <c r="W3793" i="12" s="1"/>
  <c r="U3794" i="12"/>
  <c r="Y3794" i="12" s="1"/>
  <c r="W3794" i="12"/>
  <c r="U3795" i="12"/>
  <c r="W3795" i="12" s="1"/>
  <c r="U3796" i="12"/>
  <c r="Y3796" i="12" s="1"/>
  <c r="U3797" i="12"/>
  <c r="W3797" i="12" s="1"/>
  <c r="U3798" i="12"/>
  <c r="Y3798" i="12" s="1"/>
  <c r="W3798" i="12"/>
  <c r="U3799" i="12"/>
  <c r="U3800" i="12"/>
  <c r="W3800" i="12" s="1"/>
  <c r="U3801" i="12"/>
  <c r="W3801" i="12" s="1"/>
  <c r="U3802" i="12"/>
  <c r="Y3802" i="12" s="1"/>
  <c r="U3803" i="12"/>
  <c r="W3803" i="12" s="1"/>
  <c r="U3804" i="12"/>
  <c r="W3804" i="12" s="1"/>
  <c r="U3805" i="12"/>
  <c r="W3805" i="12" s="1"/>
  <c r="U3806" i="12"/>
  <c r="Y3806" i="12" s="1"/>
  <c r="U3807" i="12"/>
  <c r="U3808" i="12"/>
  <c r="Y3808" i="12" s="1"/>
  <c r="W3808" i="12"/>
  <c r="U3809" i="12"/>
  <c r="W3809" i="12" s="1"/>
  <c r="U3810" i="12"/>
  <c r="Y3810" i="12" s="1"/>
  <c r="U3811" i="12"/>
  <c r="W3811" i="12" s="1"/>
  <c r="U3812" i="12"/>
  <c r="W3812" i="12" s="1"/>
  <c r="Y3812" i="12"/>
  <c r="U3813" i="12"/>
  <c r="W3813" i="12" s="1"/>
  <c r="U3814" i="12"/>
  <c r="W3814" i="12" s="1"/>
  <c r="U3815" i="12"/>
  <c r="U3816" i="12"/>
  <c r="Y3816" i="12" s="1"/>
  <c r="U3817" i="12"/>
  <c r="W3817" i="12" s="1"/>
  <c r="U3818" i="12"/>
  <c r="Y3818" i="12" s="1"/>
  <c r="U3819" i="12"/>
  <c r="W3819" i="12" s="1"/>
  <c r="U3820" i="12"/>
  <c r="W3820" i="12" s="1"/>
  <c r="U3822" i="12"/>
  <c r="W3822" i="12" s="1"/>
  <c r="U3824" i="12"/>
  <c r="W3824" i="12" s="1"/>
  <c r="Y3824" i="12"/>
  <c r="U3852" i="12"/>
  <c r="Q3859" i="12"/>
  <c r="U3859" i="12"/>
  <c r="K3859" i="12" s="1"/>
  <c r="Y3859" i="12"/>
  <c r="Q3860" i="12"/>
  <c r="U3860" i="12"/>
  <c r="Y3860" i="12" s="1"/>
  <c r="Q3861" i="12"/>
  <c r="U3861" i="12"/>
  <c r="K3861" i="12" s="1"/>
  <c r="Y3861" i="12"/>
  <c r="Y3870" i="12"/>
  <c r="Y3871" i="12"/>
  <c r="Y3872" i="12"/>
  <c r="Y3873" i="12"/>
  <c r="Y3874" i="12"/>
  <c r="Y3875" i="12"/>
  <c r="Y3876" i="12"/>
  <c r="Y3877" i="12"/>
  <c r="Y3878" i="12"/>
  <c r="Y3879" i="12"/>
  <c r="Y3880" i="12"/>
  <c r="Y3881" i="12"/>
  <c r="Y3882" i="12"/>
  <c r="Y3883" i="12"/>
  <c r="Y3884" i="12"/>
  <c r="Y3885" i="12"/>
  <c r="Y3886" i="12"/>
  <c r="Y3887" i="12"/>
  <c r="Y3924" i="12"/>
  <c r="Q3931" i="12"/>
  <c r="Q3932" i="12"/>
  <c r="Q3933" i="12"/>
  <c r="J3934" i="12"/>
  <c r="K3934" i="12" s="1"/>
  <c r="Q3934" i="12"/>
  <c r="J3935" i="12"/>
  <c r="K3935" i="12" s="1"/>
  <c r="Q3935" i="12"/>
  <c r="J3936" i="12"/>
  <c r="K3936" i="12" s="1"/>
  <c r="Q3936" i="12"/>
  <c r="J3937" i="12"/>
  <c r="K3937" i="12" s="1"/>
  <c r="J3940" i="12"/>
  <c r="K3940" i="12" s="1"/>
  <c r="J3941" i="12"/>
  <c r="K3941" i="12" s="1"/>
  <c r="Q3941" i="12"/>
  <c r="Y3941" i="12"/>
  <c r="J3942" i="12"/>
  <c r="K3942" i="12" s="1"/>
  <c r="Q3942" i="12"/>
  <c r="Y3942" i="12"/>
  <c r="O3943" i="12"/>
  <c r="W3950" i="12"/>
  <c r="Q3959" i="12"/>
  <c r="Q3960" i="12"/>
  <c r="W3961" i="12"/>
  <c r="W3962" i="12"/>
  <c r="W3963" i="12"/>
  <c r="W3964" i="12"/>
  <c r="W3965" i="12"/>
  <c r="W3966" i="12"/>
  <c r="W3967" i="12"/>
  <c r="Y3994" i="12"/>
  <c r="Y3995" i="12"/>
  <c r="V4034" i="12"/>
  <c r="V4035" i="12" s="1"/>
  <c r="U4038" i="12"/>
  <c r="W4038" i="12" s="1"/>
  <c r="U4039" i="12"/>
  <c r="Y4039" i="12"/>
  <c r="U4040" i="12"/>
  <c r="U4050" i="12" s="1"/>
  <c r="Y4050" i="12" s="1"/>
  <c r="W4040" i="12"/>
  <c r="Y4040" i="12"/>
  <c r="U4041" i="12"/>
  <c r="U4042" i="12"/>
  <c r="Y4042" i="12" s="1"/>
  <c r="U4043" i="12"/>
  <c r="W4043" i="12" s="1"/>
  <c r="U4044" i="12"/>
  <c r="W4044" i="12" s="1"/>
  <c r="U4045" i="12"/>
  <c r="Y4045" i="12" s="1"/>
  <c r="U4046" i="12"/>
  <c r="Q4046" i="12" s="1"/>
  <c r="U4047" i="12"/>
  <c r="Y4047" i="12" s="1"/>
  <c r="U4048" i="12"/>
  <c r="Q4074" i="12"/>
  <c r="Q4076" i="12"/>
  <c r="Q4077" i="12"/>
  <c r="Y4085" i="12"/>
  <c r="Y4086" i="12"/>
  <c r="Y4087" i="12"/>
  <c r="U4097" i="12"/>
  <c r="Y4097" i="12" s="1"/>
  <c r="N4098" i="12"/>
  <c r="O4098" i="12"/>
  <c r="P4098" i="12"/>
  <c r="Q4098" i="12"/>
  <c r="T4098" i="12"/>
  <c r="U4098" i="12"/>
  <c r="Y4098" i="12" s="1"/>
  <c r="P4100" i="12"/>
  <c r="Q4100" i="12"/>
  <c r="P4103" i="12"/>
  <c r="Q4103" i="12"/>
  <c r="P4106" i="12"/>
  <c r="Q4106" i="12"/>
  <c r="P4110" i="12"/>
  <c r="Q4110" i="12"/>
  <c r="P4111" i="12"/>
  <c r="Q4111" i="12"/>
  <c r="Q4117" i="12"/>
  <c r="Y4118" i="12"/>
  <c r="Q4234" i="12"/>
  <c r="U4234" i="12"/>
  <c r="Y4234" i="12" s="1"/>
  <c r="Q4237" i="12"/>
  <c r="U4237" i="12"/>
  <c r="Y4237" i="12" s="1"/>
  <c r="Q4238" i="12"/>
  <c r="U4238" i="12"/>
  <c r="Y4238" i="12" s="1"/>
  <c r="U4244" i="12"/>
  <c r="Y4244" i="12" s="1"/>
  <c r="Q4263" i="12"/>
  <c r="U4263" i="12"/>
  <c r="Y4271" i="12"/>
  <c r="Y4272" i="12"/>
  <c r="Y4273" i="12"/>
  <c r="Y4274" i="12"/>
  <c r="Y4275" i="12"/>
  <c r="Q4276" i="12"/>
  <c r="Q4277" i="12"/>
  <c r="Q4278" i="12"/>
  <c r="Y4286" i="12"/>
  <c r="Y4291" i="12"/>
  <c r="Y4292" i="12"/>
  <c r="Y4293" i="12"/>
  <c r="Y4294" i="12"/>
  <c r="Y4295" i="12"/>
  <c r="Y4296" i="12"/>
  <c r="Y4297" i="12"/>
  <c r="Y4298" i="12"/>
  <c r="Y4299" i="12"/>
  <c r="Y4300" i="12"/>
  <c r="Y4301" i="12"/>
  <c r="Y4302" i="12"/>
  <c r="U4311" i="12"/>
  <c r="Y4311" i="12"/>
  <c r="Q4314" i="12"/>
  <c r="U4314" i="12"/>
  <c r="Y4314" i="12"/>
  <c r="U4316" i="12"/>
  <c r="Y4316" i="12" s="1"/>
  <c r="U4322" i="12"/>
  <c r="Q4322" i="12" s="1"/>
  <c r="U4323" i="12"/>
  <c r="Q4323" i="12" s="1"/>
  <c r="Z4334" i="12"/>
  <c r="Z4360" i="12"/>
  <c r="Z4362" i="12"/>
  <c r="P4371" i="12"/>
  <c r="Q4371" i="12"/>
  <c r="P4372" i="12"/>
  <c r="Q4372" i="12"/>
  <c r="W4383" i="12"/>
  <c r="Y4383" i="12"/>
  <c r="W4402" i="12"/>
  <c r="Y4402" i="12" s="1"/>
  <c r="Y4409" i="12"/>
  <c r="U4414" i="12"/>
  <c r="Y4414" i="12" s="1"/>
  <c r="U4415" i="12"/>
  <c r="Y4415" i="12" s="1"/>
  <c r="U4056" i="12" l="1"/>
  <c r="K2351" i="12"/>
  <c r="Q4042" i="12"/>
  <c r="Q4316" i="12"/>
  <c r="Y3817" i="12"/>
  <c r="W3806" i="12"/>
  <c r="K2344" i="12"/>
  <c r="Y1666" i="12"/>
  <c r="Y1660" i="12"/>
  <c r="K3860" i="12"/>
  <c r="W3816" i="12"/>
  <c r="Y3440" i="12"/>
  <c r="U3440" i="12" s="1"/>
  <c r="K2354" i="12"/>
  <c r="W3796" i="12"/>
  <c r="K2352" i="12"/>
  <c r="Y2199" i="12"/>
  <c r="K3997" i="12"/>
  <c r="U4054" i="12"/>
  <c r="W4054" i="12" s="1"/>
  <c r="W4050" i="12"/>
  <c r="Q4040" i="12"/>
  <c r="W3802" i="12"/>
  <c r="Y3793" i="12"/>
  <c r="K2318" i="12"/>
  <c r="Y4044" i="12"/>
  <c r="Q4039" i="12"/>
  <c r="W3810" i="12"/>
  <c r="Y3801" i="12"/>
  <c r="Y3792" i="12"/>
  <c r="K2379" i="12"/>
  <c r="Q4044" i="12"/>
  <c r="Y3804" i="12"/>
  <c r="Y3800" i="12"/>
  <c r="K2376" i="12"/>
  <c r="K2375" i="12" s="1"/>
  <c r="Y3813" i="12"/>
  <c r="W3790" i="12"/>
  <c r="Y3820" i="12"/>
  <c r="K2362" i="12"/>
  <c r="U4049" i="12"/>
  <c r="W4049" i="12" s="1"/>
  <c r="Y4043" i="12"/>
  <c r="Y3809" i="12"/>
  <c r="Y3805" i="12"/>
  <c r="K2361" i="12"/>
  <c r="J2361" i="12"/>
  <c r="J2357" i="12" s="1"/>
  <c r="K2337" i="12"/>
  <c r="U4053" i="12"/>
  <c r="Y4053" i="12" s="1"/>
  <c r="Q4043" i="12"/>
  <c r="Q4038" i="12"/>
  <c r="Y3819" i="12"/>
  <c r="J2360" i="12"/>
  <c r="K2335" i="12"/>
  <c r="K2358" i="12"/>
  <c r="K2332" i="12"/>
  <c r="K2363" i="12"/>
  <c r="U4052" i="12"/>
  <c r="W4042" i="12"/>
  <c r="W3818" i="12"/>
  <c r="Y3814" i="12"/>
  <c r="Y3811" i="12"/>
  <c r="Y3822" i="12"/>
  <c r="Y3803" i="12"/>
  <c r="Y3795" i="12"/>
  <c r="K2380" i="12"/>
  <c r="J2364" i="12"/>
  <c r="K2345" i="12"/>
  <c r="W4053" i="12"/>
  <c r="Y4049" i="12"/>
  <c r="W4041" i="12"/>
  <c r="Y4041" i="12"/>
  <c r="U4051" i="12"/>
  <c r="Q4041" i="12"/>
  <c r="K2373" i="12"/>
  <c r="K2367" i="12"/>
  <c r="K2368" i="12"/>
  <c r="K2369" i="12"/>
  <c r="K2370" i="12"/>
  <c r="K2371" i="12"/>
  <c r="W3799" i="12"/>
  <c r="Y3799" i="12"/>
  <c r="W4056" i="12"/>
  <c r="Y4056" i="12"/>
  <c r="W4048" i="12"/>
  <c r="Y4048" i="12"/>
  <c r="Q4045" i="12"/>
  <c r="W4045" i="12"/>
  <c r="W3852" i="12"/>
  <c r="Y3852" i="12"/>
  <c r="Y2529" i="12"/>
  <c r="Q2529" i="12"/>
  <c r="J2319" i="12"/>
  <c r="J2317" i="12"/>
  <c r="U4055" i="12"/>
  <c r="Q4047" i="12"/>
  <c r="W4047" i="12"/>
  <c r="W3815" i="12"/>
  <c r="Y3815" i="12"/>
  <c r="W3791" i="12"/>
  <c r="Y3791" i="12"/>
  <c r="W4046" i="12"/>
  <c r="Y4046" i="12"/>
  <c r="W3807" i="12"/>
  <c r="Y3807" i="12"/>
  <c r="W4039" i="12"/>
  <c r="U3534" i="12"/>
  <c r="Y3534" i="12" s="1"/>
  <c r="Y2532" i="12"/>
  <c r="K2364" i="12"/>
  <c r="K2360" i="12"/>
  <c r="K2350" i="12"/>
  <c r="K2343" i="12"/>
  <c r="K2336" i="12"/>
  <c r="K2317" i="12"/>
  <c r="K2349" i="12"/>
  <c r="K2348" i="12" s="1"/>
  <c r="K2342" i="12"/>
  <c r="K2341" i="12"/>
  <c r="K2334" i="12"/>
  <c r="K2330" i="12" s="1"/>
  <c r="Y3797" i="12"/>
  <c r="Y3789" i="12"/>
  <c r="Y2531" i="12"/>
  <c r="K2382" i="12"/>
  <c r="K2378" i="12"/>
  <c r="J2363" i="12"/>
  <c r="J2359" i="12"/>
  <c r="K2355" i="12"/>
  <c r="K2340" i="12"/>
  <c r="K2333" i="12"/>
  <c r="Y4038" i="12"/>
  <c r="K2381" i="12"/>
  <c r="J2362" i="12"/>
  <c r="J2320" i="12" l="1"/>
  <c r="Y4054" i="12"/>
  <c r="K2320" i="12"/>
  <c r="Y4052" i="12"/>
  <c r="W4052" i="12"/>
  <c r="K2366" i="12"/>
  <c r="K2339" i="12"/>
  <c r="K2357" i="12"/>
  <c r="W4051" i="12"/>
  <c r="Y4051" i="12"/>
  <c r="W4055" i="12"/>
  <c r="Y4055" i="12"/>
  <c r="A2165" i="10" l="1"/>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D1984" i="10" l="1"/>
  <c r="J235" i="2"/>
  <c r="I235" i="2"/>
  <c r="J234" i="2"/>
  <c r="I234" i="2"/>
  <c r="A3922" i="10" l="1"/>
  <c r="B3922" i="10"/>
  <c r="C3922" i="10"/>
  <c r="D3922" i="10"/>
  <c r="E3922" i="10"/>
  <c r="F3922" i="10"/>
  <c r="G3922" i="10"/>
  <c r="H3922" i="10"/>
  <c r="R1567" i="4"/>
  <c r="K1567" i="2"/>
  <c r="A4417" i="10"/>
  <c r="B4417" i="10"/>
  <c r="C4417" i="10"/>
  <c r="D4417" i="10"/>
  <c r="E4417" i="10"/>
  <c r="F4417" i="10"/>
  <c r="G4417" i="10"/>
  <c r="H4417" i="10"/>
  <c r="A4418" i="10"/>
  <c r="B4418" i="10"/>
  <c r="C4418" i="10"/>
  <c r="D4418" i="10"/>
  <c r="E4418" i="10"/>
  <c r="F4418" i="10"/>
  <c r="G4418" i="10"/>
  <c r="H4418" i="10"/>
  <c r="A4419" i="10"/>
  <c r="B4419" i="10"/>
  <c r="C4419" i="10"/>
  <c r="D4419" i="10"/>
  <c r="E4419" i="10"/>
  <c r="F4419" i="10"/>
  <c r="G4419" i="10"/>
  <c r="H4419" i="10"/>
  <c r="N1798" i="2"/>
  <c r="J1798" i="2"/>
  <c r="I1798" i="2"/>
  <c r="J1796" i="2"/>
  <c r="A4414" i="10"/>
  <c r="B4414" i="10"/>
  <c r="C4414" i="10"/>
  <c r="D4414" i="10"/>
  <c r="E4414" i="10"/>
  <c r="F4414" i="10"/>
  <c r="G4414" i="10"/>
  <c r="H4414" i="10"/>
  <c r="A4415" i="10"/>
  <c r="B4415" i="10"/>
  <c r="C4415" i="10"/>
  <c r="D4415" i="10"/>
  <c r="E4415" i="10"/>
  <c r="F4415" i="10"/>
  <c r="G4415" i="10"/>
  <c r="H4415" i="10"/>
  <c r="A4416" i="10"/>
  <c r="B4416" i="10"/>
  <c r="C4416" i="10"/>
  <c r="D4416" i="10"/>
  <c r="E4416" i="10"/>
  <c r="F4416" i="10"/>
  <c r="G4416" i="10"/>
  <c r="H4416" i="10"/>
  <c r="I1796" i="2"/>
  <c r="A4406" i="10"/>
  <c r="B4406" i="10"/>
  <c r="C4406" i="10"/>
  <c r="D4406" i="10"/>
  <c r="E4406" i="10"/>
  <c r="F4406" i="10"/>
  <c r="G4406" i="10"/>
  <c r="H4406" i="10"/>
  <c r="A4407" i="10"/>
  <c r="B4407" i="10"/>
  <c r="C4407" i="10"/>
  <c r="D4407" i="10"/>
  <c r="E4407" i="10"/>
  <c r="F4407" i="10"/>
  <c r="G4407" i="10"/>
  <c r="H4407" i="10"/>
  <c r="R1790" i="4"/>
  <c r="J1790" i="2"/>
  <c r="I1787" i="2"/>
  <c r="K1786" i="2"/>
  <c r="J1786" i="2"/>
  <c r="I1786" i="2"/>
  <c r="K1785" i="2"/>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3" i="10"/>
  <c r="B4403" i="10"/>
  <c r="C4403" i="10"/>
  <c r="D4403" i="10"/>
  <c r="E4403" i="10"/>
  <c r="F4403" i="10"/>
  <c r="G4403" i="10"/>
  <c r="H4403" i="10"/>
  <c r="A4404" i="10"/>
  <c r="B4404" i="10"/>
  <c r="C4404" i="10"/>
  <c r="D4404" i="10"/>
  <c r="E4404" i="10"/>
  <c r="F4404" i="10"/>
  <c r="G4404" i="10"/>
  <c r="H4404" i="10"/>
  <c r="A4405" i="10"/>
  <c r="B4405" i="10"/>
  <c r="C4405" i="10"/>
  <c r="D4405" i="10"/>
  <c r="E4405" i="10"/>
  <c r="F4405" i="10"/>
  <c r="G4405" i="10"/>
  <c r="H4405"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1" i="10"/>
  <c r="B4411" i="10"/>
  <c r="C4411" i="10"/>
  <c r="D4411" i="10"/>
  <c r="E4411" i="10"/>
  <c r="F4411" i="10"/>
  <c r="G4411" i="10"/>
  <c r="H4411" i="10"/>
  <c r="A4412" i="10"/>
  <c r="B4412" i="10"/>
  <c r="C4412" i="10"/>
  <c r="D4412" i="10"/>
  <c r="E4412" i="10"/>
  <c r="F4412" i="10"/>
  <c r="G4412" i="10"/>
  <c r="H4412" i="10"/>
  <c r="A4413" i="10"/>
  <c r="B4413" i="10"/>
  <c r="C4413" i="10"/>
  <c r="D4413" i="10"/>
  <c r="E4413" i="10"/>
  <c r="F4413" i="10"/>
  <c r="G4413" i="10"/>
  <c r="H4413"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5138" i="10"/>
  <c r="B5138" i="10"/>
  <c r="C5138" i="10"/>
  <c r="D5138" i="10"/>
  <c r="E5138" i="10"/>
  <c r="F5138" i="10"/>
  <c r="G5138" i="10"/>
  <c r="H5138" i="10"/>
  <c r="A5139" i="10"/>
  <c r="B5139" i="10"/>
  <c r="C5139" i="10"/>
  <c r="D5139" i="10"/>
  <c r="E5139" i="10"/>
  <c r="F5139" i="10"/>
  <c r="G5139" i="10"/>
  <c r="H5139" i="10"/>
  <c r="A5140" i="10"/>
  <c r="B5140" i="10"/>
  <c r="C5140" i="10"/>
  <c r="D5140" i="10"/>
  <c r="E5140" i="10"/>
  <c r="F5140" i="10"/>
  <c r="G5140" i="10"/>
  <c r="H5140" i="10"/>
  <c r="A5141" i="10"/>
  <c r="B5141" i="10"/>
  <c r="C5141" i="10"/>
  <c r="D5141" i="10"/>
  <c r="E5141" i="10"/>
  <c r="F5141" i="10"/>
  <c r="G5141" i="10"/>
  <c r="H5141"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A2310" i="10"/>
  <c r="B2310" i="10"/>
  <c r="C2310" i="10"/>
  <c r="D2310" i="10"/>
  <c r="E2310" i="10"/>
  <c r="F2310" i="10"/>
  <c r="G2310" i="10"/>
  <c r="H2310" i="10"/>
  <c r="A2311" i="10"/>
  <c r="B2311" i="10"/>
  <c r="C2311" i="10"/>
  <c r="D2311" i="10"/>
  <c r="E2311" i="10"/>
  <c r="F2311" i="10"/>
  <c r="G2311" i="10"/>
  <c r="H2311" i="10"/>
  <c r="A2312" i="10"/>
  <c r="B2312" i="10"/>
  <c r="C2312" i="10"/>
  <c r="D2312" i="10"/>
  <c r="E2312" i="10"/>
  <c r="F2312" i="10"/>
  <c r="G2312" i="10"/>
  <c r="H2312" i="10"/>
  <c r="A2313" i="10"/>
  <c r="B2313" i="10"/>
  <c r="C2313" i="10"/>
  <c r="D2313" i="10"/>
  <c r="E2313" i="10"/>
  <c r="F2313" i="10"/>
  <c r="G2313" i="10"/>
  <c r="H2313" i="10"/>
  <c r="E3713" i="10"/>
  <c r="E3712" i="10"/>
  <c r="E3661" i="10"/>
  <c r="A2492" i="10"/>
  <c r="B2492" i="10"/>
  <c r="C2492" i="10"/>
  <c r="D2492" i="10"/>
  <c r="E2492" i="10"/>
  <c r="F2492" i="10"/>
  <c r="G2492" i="10"/>
  <c r="H2492" i="10"/>
  <c r="A2493" i="10"/>
  <c r="B2493" i="10"/>
  <c r="C2493" i="10"/>
  <c r="D2493" i="10"/>
  <c r="E2493" i="10"/>
  <c r="F2493" i="10"/>
  <c r="G2493" i="10"/>
  <c r="H2493"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J1029" i="2"/>
  <c r="I1029" i="2"/>
  <c r="J1033" i="2"/>
  <c r="I1033" i="2"/>
  <c r="J1031" i="2"/>
  <c r="I1031" i="2"/>
  <c r="J1030" i="2"/>
  <c r="I1030" i="2"/>
  <c r="J1028" i="2"/>
  <c r="I1028" i="2"/>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A4376" i="10"/>
  <c r="B4376" i="10"/>
  <c r="C4376" i="10"/>
  <c r="D4376" i="10"/>
  <c r="E4376" i="10"/>
  <c r="F4376" i="10"/>
  <c r="G4376" i="10"/>
  <c r="H4376" i="10"/>
  <c r="A4377" i="10"/>
  <c r="B4377" i="10"/>
  <c r="C4377" i="10"/>
  <c r="D4377" i="10"/>
  <c r="E4377" i="10"/>
  <c r="F4377" i="10"/>
  <c r="G4377" i="10"/>
  <c r="H4377" i="10"/>
  <c r="A4378" i="10"/>
  <c r="B4378" i="10"/>
  <c r="C4378" i="10"/>
  <c r="D4378" i="10"/>
  <c r="E4378" i="10"/>
  <c r="F4378" i="10"/>
  <c r="G4378" i="10"/>
  <c r="H4378" i="10"/>
  <c r="K1779" i="2"/>
  <c r="N1779" i="2"/>
  <c r="K1778" i="2"/>
  <c r="J1777" i="2"/>
  <c r="A4315" i="10" l="1"/>
  <c r="B4315" i="10"/>
  <c r="C4315" i="10"/>
  <c r="D4315" i="10"/>
  <c r="E4315" i="10"/>
  <c r="F4315" i="10"/>
  <c r="G4315" i="10"/>
  <c r="H4315" i="10"/>
  <c r="K1777" i="2"/>
  <c r="N1777" i="2" s="1"/>
  <c r="P1776" i="4"/>
  <c r="Q1776" i="4" s="1"/>
  <c r="P1775" i="4"/>
  <c r="Q1775" i="4" s="1"/>
  <c r="A4344" i="10"/>
  <c r="B4344" i="10"/>
  <c r="C4344" i="10"/>
  <c r="D4344" i="10"/>
  <c r="E4344" i="10"/>
  <c r="F4344" i="10"/>
  <c r="G4344" i="10"/>
  <c r="H4344" i="10"/>
  <c r="I1776" i="2"/>
  <c r="J1775" i="2"/>
  <c r="I1775" i="2"/>
  <c r="K1774" i="2"/>
  <c r="J1774" i="2"/>
  <c r="I1774" i="2"/>
  <c r="K1773" i="2"/>
  <c r="I1772" i="4"/>
  <c r="J1768" i="2"/>
  <c r="I1768" i="2"/>
  <c r="Q1768" i="4"/>
  <c r="R1768" i="4"/>
  <c r="R1767" i="4"/>
  <c r="A4195" i="10" l="1"/>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201" i="10"/>
  <c r="B4201" i="10"/>
  <c r="C4201" i="10"/>
  <c r="D4201" i="10"/>
  <c r="E4201" i="10"/>
  <c r="F4201" i="10"/>
  <c r="G4201" i="10"/>
  <c r="H4201" i="10"/>
  <c r="A4202" i="10"/>
  <c r="B4202" i="10"/>
  <c r="C4202" i="10"/>
  <c r="D4202" i="10"/>
  <c r="E4202" i="10"/>
  <c r="F4202" i="10"/>
  <c r="G4202" i="10"/>
  <c r="H4202"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26" i="10"/>
  <c r="B4126" i="10"/>
  <c r="C4126" i="10"/>
  <c r="D4126" i="10"/>
  <c r="E4126" i="10"/>
  <c r="F4126" i="10"/>
  <c r="G4126" i="10"/>
  <c r="H4126" i="10"/>
  <c r="A4127" i="10"/>
  <c r="B4127" i="10"/>
  <c r="C4127" i="10"/>
  <c r="D4127" i="10"/>
  <c r="E4127" i="10"/>
  <c r="F4127" i="10"/>
  <c r="G4127" i="10"/>
  <c r="H4127"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Q1766" i="4"/>
  <c r="R1766" i="4"/>
  <c r="C4291" i="10"/>
  <c r="C4292" i="10"/>
  <c r="C4293" i="10"/>
  <c r="C4294" i="10"/>
  <c r="C4295" i="10"/>
  <c r="C4296" i="10"/>
  <c r="C4297" i="10"/>
  <c r="C4298" i="10"/>
  <c r="C4299" i="10"/>
  <c r="C4300" i="10"/>
  <c r="C4301" i="10"/>
  <c r="C4302" i="10"/>
  <c r="K1765" i="2"/>
  <c r="K1764" i="2"/>
  <c r="K1763" i="2"/>
  <c r="K1762" i="2"/>
  <c r="K1761" i="2"/>
  <c r="K1760" i="2"/>
  <c r="K1759" i="2"/>
  <c r="K1757" i="2"/>
  <c r="K1758" i="2"/>
  <c r="K1756" i="2"/>
  <c r="K1754" i="2"/>
  <c r="K1755" i="2"/>
  <c r="B4260" i="10"/>
  <c r="C4260" i="10"/>
  <c r="D4260" i="10"/>
  <c r="E4260" i="10"/>
  <c r="F4260" i="10"/>
  <c r="G4260" i="10"/>
  <c r="H4260" i="10"/>
  <c r="A4258" i="10"/>
  <c r="B4258" i="10"/>
  <c r="C4258" i="10"/>
  <c r="D4258" i="10"/>
  <c r="E4258" i="10"/>
  <c r="F4258" i="10"/>
  <c r="G4258" i="10"/>
  <c r="H4258" i="10"/>
  <c r="B4259" i="10"/>
  <c r="C4259" i="10"/>
  <c r="D4259" i="10"/>
  <c r="E4259" i="10"/>
  <c r="F4259" i="10"/>
  <c r="G4259" i="10"/>
  <c r="H4259" i="10"/>
  <c r="A4257" i="10"/>
  <c r="B4257" i="10"/>
  <c r="C4257" i="10"/>
  <c r="D4257" i="10"/>
  <c r="E4257" i="10"/>
  <c r="F4257" i="10"/>
  <c r="G4257" i="10"/>
  <c r="H4257" i="10"/>
  <c r="B4261" i="10"/>
  <c r="C4261" i="10"/>
  <c r="D4261" i="10"/>
  <c r="E4261" i="10"/>
  <c r="F4261" i="10"/>
  <c r="G4261" i="10"/>
  <c r="H4261" i="10"/>
  <c r="B4262" i="10"/>
  <c r="C4262" i="10"/>
  <c r="D4262" i="10"/>
  <c r="E4262" i="10"/>
  <c r="F4262" i="10"/>
  <c r="G4262" i="10"/>
  <c r="H4262" i="10"/>
  <c r="K1753" i="2"/>
  <c r="K1752" i="2"/>
  <c r="R1751" i="4"/>
  <c r="N1751" i="4"/>
  <c r="O1751" i="4"/>
  <c r="N1750" i="4"/>
  <c r="I1700" i="2" l="1"/>
  <c r="J1642" i="2"/>
  <c r="I1642" i="2"/>
  <c r="J1742" i="2"/>
  <c r="I1742" i="2"/>
  <c r="K1740" i="2"/>
  <c r="K1739" i="2"/>
  <c r="J1737" i="2"/>
  <c r="I1737" i="2"/>
  <c r="K1737" i="2"/>
  <c r="J1736" i="2"/>
  <c r="I1736" i="2"/>
  <c r="K1733" i="2"/>
  <c r="K1732" i="2"/>
  <c r="K1731" i="2"/>
  <c r="K1730" i="2"/>
  <c r="J1730" i="2"/>
  <c r="I1730" i="2"/>
  <c r="J1729" i="2"/>
  <c r="I1729" i="2"/>
  <c r="K1729" i="2"/>
  <c r="N1729" i="2" s="1"/>
  <c r="I1728" i="2"/>
  <c r="J1728" i="2"/>
  <c r="J1727" i="2"/>
  <c r="I1727" i="2"/>
  <c r="K1728" i="2"/>
  <c r="K1727" i="2"/>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3" i="10"/>
  <c r="C4213" i="10"/>
  <c r="D4213" i="10"/>
  <c r="E4213" i="10"/>
  <c r="F4213" i="10"/>
  <c r="G4213" i="10"/>
  <c r="H4213" i="10"/>
  <c r="A4214" i="10"/>
  <c r="C4214" i="10"/>
  <c r="D4214" i="10"/>
  <c r="E4214" i="10"/>
  <c r="F4214" i="10"/>
  <c r="G4214" i="10"/>
  <c r="H4214" i="10"/>
  <c r="A4215" i="10"/>
  <c r="C4215" i="10"/>
  <c r="D4215" i="10"/>
  <c r="E4215" i="10"/>
  <c r="F4215" i="10"/>
  <c r="G4215" i="10"/>
  <c r="H4215" i="10"/>
  <c r="A4216" i="10"/>
  <c r="C4216" i="10"/>
  <c r="D4216" i="10"/>
  <c r="E4216" i="10"/>
  <c r="F4216" i="10"/>
  <c r="G4216" i="10"/>
  <c r="H4216" i="10"/>
  <c r="A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54" i="10"/>
  <c r="B4254" i="10"/>
  <c r="C4254" i="10"/>
  <c r="D4254" i="10"/>
  <c r="E4254" i="10"/>
  <c r="F4254" i="10"/>
  <c r="G4254" i="10"/>
  <c r="H4254" i="10"/>
  <c r="A4255" i="10"/>
  <c r="B4255" i="10"/>
  <c r="C4255" i="10"/>
  <c r="D4255" i="10"/>
  <c r="E4255" i="10"/>
  <c r="F4255" i="10"/>
  <c r="G4255" i="10"/>
  <c r="H4255" i="10"/>
  <c r="A4256" i="10"/>
  <c r="B4256" i="10"/>
  <c r="C4256" i="10"/>
  <c r="D4256" i="10"/>
  <c r="E4256" i="10"/>
  <c r="F4256" i="10"/>
  <c r="G4256" i="10"/>
  <c r="H4256"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C4288" i="10"/>
  <c r="D4288" i="10"/>
  <c r="E4288" i="10"/>
  <c r="F4288" i="10"/>
  <c r="G4288" i="10"/>
  <c r="H4288" i="10"/>
  <c r="A4289" i="10"/>
  <c r="B4289" i="10"/>
  <c r="C4289" i="10"/>
  <c r="D4289" i="10"/>
  <c r="E4289" i="10"/>
  <c r="F4289" i="10"/>
  <c r="G4289" i="10"/>
  <c r="H4289" i="10"/>
  <c r="A4290" i="10"/>
  <c r="B4290" i="10"/>
  <c r="C4290" i="10"/>
  <c r="D4290" i="10"/>
  <c r="E4290" i="10"/>
  <c r="F4290" i="10"/>
  <c r="G4290" i="10"/>
  <c r="H4290" i="10"/>
  <c r="A4291" i="10"/>
  <c r="B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D4300" i="10"/>
  <c r="E4300" i="10"/>
  <c r="F4300" i="10"/>
  <c r="G4300" i="10"/>
  <c r="H4300" i="10"/>
  <c r="A4301" i="10"/>
  <c r="B4301" i="10"/>
  <c r="D4301" i="10"/>
  <c r="E4301" i="10"/>
  <c r="F4301" i="10"/>
  <c r="G4301" i="10"/>
  <c r="H4301" i="10"/>
  <c r="A4302" i="10"/>
  <c r="B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2" i="10"/>
  <c r="B4312" i="10"/>
  <c r="C4312" i="10"/>
  <c r="D4312" i="10"/>
  <c r="E4312" i="10"/>
  <c r="F4312" i="10"/>
  <c r="G4312" i="10"/>
  <c r="H4312" i="10"/>
  <c r="A4313" i="10"/>
  <c r="B4313" i="10"/>
  <c r="C4313" i="10"/>
  <c r="D4313" i="10"/>
  <c r="E4313" i="10"/>
  <c r="F4313" i="10"/>
  <c r="G4313" i="10"/>
  <c r="H4313" i="10"/>
  <c r="A4314" i="10"/>
  <c r="B4314" i="10"/>
  <c r="C4314" i="10"/>
  <c r="D4314" i="10"/>
  <c r="E4314" i="10"/>
  <c r="F4314" i="10"/>
  <c r="G4314" i="10"/>
  <c r="H4314"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1" i="10"/>
  <c r="B4341" i="10"/>
  <c r="C4341" i="10"/>
  <c r="D4341" i="10"/>
  <c r="E4341" i="10"/>
  <c r="F4341" i="10"/>
  <c r="G4341" i="10"/>
  <c r="H4341" i="10"/>
  <c r="A4342" i="10"/>
  <c r="B4342" i="10"/>
  <c r="C4342" i="10"/>
  <c r="D4342" i="10"/>
  <c r="E4342" i="10"/>
  <c r="F4342" i="10"/>
  <c r="G4342" i="10"/>
  <c r="H4342" i="10"/>
  <c r="A4343" i="10"/>
  <c r="B4343" i="10"/>
  <c r="C4343" i="10"/>
  <c r="D4343" i="10"/>
  <c r="E4343" i="10"/>
  <c r="F4343" i="10"/>
  <c r="G4343" i="10"/>
  <c r="H4343"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K1726" i="2"/>
  <c r="R1726" i="4" s="1"/>
  <c r="P1726" i="4" s="1"/>
  <c r="A4117" i="10"/>
  <c r="B4117" i="10"/>
  <c r="C4117" i="10"/>
  <c r="D4117" i="10"/>
  <c r="E4117" i="10"/>
  <c r="F4117" i="10"/>
  <c r="G4117" i="10"/>
  <c r="H4117" i="10"/>
  <c r="I1725" i="4"/>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115" i="10"/>
  <c r="B4115" i="10"/>
  <c r="C4115" i="10"/>
  <c r="D4115" i="10"/>
  <c r="E4115" i="10"/>
  <c r="F4115" i="10"/>
  <c r="G4115" i="10"/>
  <c r="H4115" i="10"/>
  <c r="A4116" i="10"/>
  <c r="B4116" i="10"/>
  <c r="C4116" i="10"/>
  <c r="D4116" i="10"/>
  <c r="E4116" i="10"/>
  <c r="F4116" i="10"/>
  <c r="G4116" i="10"/>
  <c r="H4116"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18" i="10"/>
  <c r="B4118" i="10"/>
  <c r="C4118" i="10"/>
  <c r="D4118" i="10"/>
  <c r="E4118" i="10"/>
  <c r="F4118" i="10"/>
  <c r="G4118" i="10"/>
  <c r="H4118" i="10"/>
  <c r="J1635" i="2"/>
  <c r="I1635" i="2"/>
  <c r="K1635" i="2"/>
  <c r="K1634" i="2"/>
  <c r="K1633" i="2"/>
  <c r="J1634" i="2"/>
  <c r="I1634" i="2"/>
  <c r="J1633" i="2"/>
  <c r="I1633" i="2"/>
  <c r="K1631" i="2"/>
  <c r="I1632" i="2"/>
  <c r="I1631" i="2"/>
  <c r="K1630" i="2"/>
  <c r="K1629" i="2"/>
  <c r="K1628" i="2"/>
  <c r="K1627" i="2"/>
  <c r="J1627" i="2"/>
  <c r="N1626" i="2"/>
  <c r="J1626" i="2"/>
  <c r="I1626" i="2"/>
  <c r="K1626" i="2"/>
  <c r="H1622" i="4"/>
  <c r="H4060" i="10"/>
  <c r="K1621" i="2"/>
  <c r="R1620" i="4"/>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K1612" i="2"/>
  <c r="K1611" i="2"/>
  <c r="J1610" i="2"/>
  <c r="I1610" i="2"/>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H4058" i="10"/>
  <c r="A4059" i="10"/>
  <c r="B4059" i="10"/>
  <c r="C4059" i="10"/>
  <c r="D4059" i="10"/>
  <c r="E4059" i="10"/>
  <c r="F4059" i="10"/>
  <c r="G4059" i="10"/>
  <c r="H4059" i="10"/>
  <c r="A4060" i="10"/>
  <c r="B4060" i="10"/>
  <c r="C4060" i="10"/>
  <c r="D4060" i="10"/>
  <c r="E4060" i="10"/>
  <c r="F4060" i="10"/>
  <c r="G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203" i="10"/>
  <c r="B4203" i="10"/>
  <c r="C4203" i="10"/>
  <c r="D4203" i="10"/>
  <c r="E4203" i="10"/>
  <c r="F4203" i="10"/>
  <c r="G4203" i="10"/>
  <c r="H4203" i="10"/>
  <c r="A4204" i="10"/>
  <c r="B4204" i="10"/>
  <c r="C4204" i="10"/>
  <c r="D4204" i="10"/>
  <c r="E4204" i="10"/>
  <c r="F4204" i="10"/>
  <c r="G4204" i="10"/>
  <c r="H4204" i="10"/>
  <c r="R1608" i="4"/>
  <c r="N1608" i="4"/>
  <c r="R1607" i="4"/>
  <c r="N1607" i="4"/>
  <c r="R1606" i="4"/>
  <c r="N1606" i="4"/>
  <c r="K1608" i="2"/>
  <c r="K1607" i="2"/>
  <c r="K1606" i="2"/>
  <c r="I1607" i="2"/>
  <c r="R1605" i="4"/>
  <c r="N1605" i="4"/>
  <c r="N1604" i="4"/>
  <c r="R1604" i="4"/>
  <c r="K1602" i="2"/>
  <c r="M1602" i="4" s="1"/>
  <c r="B3976" i="10"/>
  <c r="B3977" i="10"/>
  <c r="B3978" i="10"/>
  <c r="B3979" i="10"/>
  <c r="B3980" i="10"/>
  <c r="B3981" i="10"/>
  <c r="C3976" i="10"/>
  <c r="D3976" i="10"/>
  <c r="E3976" i="10"/>
  <c r="F3976" i="10"/>
  <c r="G3976" i="10"/>
  <c r="H3976" i="10"/>
  <c r="C3977" i="10"/>
  <c r="D3977" i="10"/>
  <c r="E3977" i="10"/>
  <c r="F3977" i="10"/>
  <c r="G3977" i="10"/>
  <c r="H3977" i="10"/>
  <c r="C3978" i="10"/>
  <c r="D3978" i="10"/>
  <c r="E3978" i="10"/>
  <c r="F3978" i="10"/>
  <c r="G3978" i="10"/>
  <c r="H3978" i="10"/>
  <c r="C3979" i="10"/>
  <c r="D3979" i="10"/>
  <c r="E3979" i="10"/>
  <c r="F3979" i="10"/>
  <c r="G3979" i="10"/>
  <c r="H3979" i="10"/>
  <c r="C3980" i="10"/>
  <c r="D3980" i="10"/>
  <c r="E3980" i="10"/>
  <c r="F3980" i="10"/>
  <c r="G3980" i="10"/>
  <c r="H3980" i="10"/>
  <c r="J1594" i="2"/>
  <c r="I1594" i="2"/>
  <c r="K1594" i="2"/>
  <c r="A3964" i="10"/>
  <c r="B3964" i="10"/>
  <c r="C3964" i="10"/>
  <c r="D3964" i="10"/>
  <c r="E3964" i="10"/>
  <c r="F3964" i="10"/>
  <c r="G3964" i="10"/>
  <c r="H3964" i="10"/>
  <c r="A3965" i="10"/>
  <c r="B3965" i="10"/>
  <c r="C3965" i="10"/>
  <c r="D3965" i="10"/>
  <c r="E3965" i="10"/>
  <c r="F3965" i="10"/>
  <c r="G3965" i="10"/>
  <c r="H3965" i="10"/>
  <c r="A3966" i="10"/>
  <c r="B3966" i="10"/>
  <c r="C3966" i="10"/>
  <c r="D3966" i="10"/>
  <c r="E3966" i="10"/>
  <c r="F3966" i="10"/>
  <c r="G3966" i="10"/>
  <c r="H3966" i="10"/>
  <c r="A3967" i="10"/>
  <c r="B3967" i="10"/>
  <c r="C3967" i="10"/>
  <c r="D3967" i="10"/>
  <c r="E3967" i="10"/>
  <c r="F3967" i="10"/>
  <c r="G3967" i="10"/>
  <c r="H3967" i="10"/>
  <c r="K1588" i="2"/>
  <c r="K1587" i="2"/>
  <c r="K1589" i="2"/>
  <c r="K1590" i="2"/>
  <c r="K1591" i="2"/>
  <c r="K1592" i="2"/>
  <c r="J1582" i="2"/>
  <c r="J1581" i="2"/>
  <c r="N1579" i="4"/>
  <c r="R1579" i="4"/>
  <c r="K1579" i="2"/>
  <c r="R1578" i="4"/>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B3974" i="10"/>
  <c r="C3974" i="10"/>
  <c r="D3974" i="10"/>
  <c r="E3974" i="10"/>
  <c r="F3974" i="10"/>
  <c r="G3974" i="10"/>
  <c r="H3974" i="10"/>
  <c r="A3975" i="10"/>
  <c r="B3975" i="10"/>
  <c r="C3975" i="10"/>
  <c r="D3975" i="10"/>
  <c r="E3975" i="10"/>
  <c r="F3975" i="10"/>
  <c r="G3975" i="10"/>
  <c r="H3975" i="10"/>
  <c r="A3976" i="10"/>
  <c r="A3977" i="10"/>
  <c r="A3978" i="10"/>
  <c r="A3979" i="10"/>
  <c r="A3980" i="10"/>
  <c r="A3981" i="10"/>
  <c r="C3981" i="10"/>
  <c r="D3981" i="10"/>
  <c r="E3981" i="10"/>
  <c r="F3981" i="10"/>
  <c r="G3981" i="10"/>
  <c r="H3981" i="10"/>
  <c r="A3982" i="10"/>
  <c r="B3982" i="10"/>
  <c r="C3982" i="10"/>
  <c r="D3982" i="10"/>
  <c r="E3982" i="10"/>
  <c r="F3982" i="10"/>
  <c r="G3982" i="10"/>
  <c r="H3982" i="10"/>
  <c r="A3983" i="10"/>
  <c r="B3983" i="10"/>
  <c r="C3983" i="10"/>
  <c r="D3983" i="10"/>
  <c r="E3983" i="10"/>
  <c r="F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A4014" i="10"/>
  <c r="B4014" i="10"/>
  <c r="C4014" i="10"/>
  <c r="D4014" i="10"/>
  <c r="E4014" i="10"/>
  <c r="F4014" i="10"/>
  <c r="G4014" i="10"/>
  <c r="H4014" i="10"/>
  <c r="A4015" i="10"/>
  <c r="B4015" i="10"/>
  <c r="C4015" i="10"/>
  <c r="D4015" i="10"/>
  <c r="E4015" i="10"/>
  <c r="F4015" i="10"/>
  <c r="G4015" i="10"/>
  <c r="H4015" i="10"/>
  <c r="M1577" i="4"/>
  <c r="K1577" i="2"/>
  <c r="N1577" i="4" s="1"/>
  <c r="P1577" i="4" s="1"/>
  <c r="J1576" i="2"/>
  <c r="I1576" i="2"/>
  <c r="N1575" i="4"/>
  <c r="R1575" i="4" s="1"/>
  <c r="K1575" i="2"/>
  <c r="J1575" i="2"/>
  <c r="I1575" i="2"/>
  <c r="O1574" i="4"/>
  <c r="J1574" i="2"/>
  <c r="I1574" i="2"/>
  <c r="K1574" i="2"/>
  <c r="P1574" i="4" s="1"/>
  <c r="I1573" i="2"/>
  <c r="J1573" i="2"/>
  <c r="K1573" i="2"/>
  <c r="D3932" i="10"/>
  <c r="E3932" i="10"/>
  <c r="F3932" i="10"/>
  <c r="G3932" i="10"/>
  <c r="H3932" i="10"/>
  <c r="D3933" i="10"/>
  <c r="E3933" i="10"/>
  <c r="F3933" i="10"/>
  <c r="G3933" i="10"/>
  <c r="H3933" i="10"/>
  <c r="D3934" i="10"/>
  <c r="E3934" i="10"/>
  <c r="F3934" i="10"/>
  <c r="G3934" i="10"/>
  <c r="H3934" i="10"/>
  <c r="D3935" i="10"/>
  <c r="E3935" i="10"/>
  <c r="F3935" i="10"/>
  <c r="G3935" i="10"/>
  <c r="H3935" i="10"/>
  <c r="D3936" i="10"/>
  <c r="E3936" i="10"/>
  <c r="F3936" i="10"/>
  <c r="G3936" i="10"/>
  <c r="H3936" i="10"/>
  <c r="C3932" i="10"/>
  <c r="C3933" i="10"/>
  <c r="C3934" i="10"/>
  <c r="C3935" i="10"/>
  <c r="C3936" i="10"/>
  <c r="A3933" i="10"/>
  <c r="B3933" i="10"/>
  <c r="A3934" i="10"/>
  <c r="B3934" i="10"/>
  <c r="A3935" i="10"/>
  <c r="B3935" i="10"/>
  <c r="A3936" i="10"/>
  <c r="B3936" i="10"/>
  <c r="I1572" i="2"/>
  <c r="J1571" i="2"/>
  <c r="I1571" i="2"/>
  <c r="J1570" i="2"/>
  <c r="I1570" i="2"/>
  <c r="J1569" i="2"/>
  <c r="I1569" i="2"/>
  <c r="R1569" i="4"/>
  <c r="R1568" i="4"/>
  <c r="K1568" i="2"/>
  <c r="J1568" i="2"/>
  <c r="I1568" i="2"/>
  <c r="K1566" i="2"/>
  <c r="K1565" i="2"/>
  <c r="K1564" i="2"/>
  <c r="J1564" i="2"/>
  <c r="I1564" i="2"/>
  <c r="J1563" i="2"/>
  <c r="I1563" i="2"/>
  <c r="K1563" i="2"/>
  <c r="J1562" i="2"/>
  <c r="I1562" i="2"/>
  <c r="K1561" i="2"/>
  <c r="J1561" i="2"/>
  <c r="I1561" i="2"/>
  <c r="I1560" i="2"/>
  <c r="K1559" i="2"/>
  <c r="J1559" i="2"/>
  <c r="I1559" i="2"/>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J1783" i="2"/>
  <c r="I1783" i="2"/>
  <c r="I1782" i="2"/>
  <c r="J1782" i="2"/>
  <c r="K1782" i="2"/>
  <c r="A4381" i="10"/>
  <c r="B4381" i="10"/>
  <c r="C4381" i="10"/>
  <c r="D4381" i="10"/>
  <c r="E4381" i="10"/>
  <c r="F4381" i="10"/>
  <c r="G4381" i="10"/>
  <c r="H4381" i="10"/>
  <c r="A4380" i="10"/>
  <c r="B4380" i="10"/>
  <c r="C4380" i="10"/>
  <c r="D4380" i="10"/>
  <c r="E4380" i="10"/>
  <c r="F4380" i="10"/>
  <c r="G4380" i="10"/>
  <c r="H4380" i="10"/>
  <c r="J1781" i="2"/>
  <c r="I1781" i="2"/>
  <c r="C2949" i="10"/>
  <c r="D2949" i="10"/>
  <c r="E2949" i="10"/>
  <c r="F2949" i="10"/>
  <c r="G2949" i="10"/>
  <c r="H2949" i="10"/>
  <c r="C2950" i="10"/>
  <c r="D2950" i="10"/>
  <c r="E2950" i="10"/>
  <c r="F2950" i="10"/>
  <c r="G2950" i="10"/>
  <c r="H2950" i="10"/>
  <c r="C2951" i="10"/>
  <c r="D2951" i="10"/>
  <c r="E2951" i="10"/>
  <c r="F2951" i="10"/>
  <c r="G2951" i="10"/>
  <c r="H2951" i="10"/>
  <c r="C2952" i="10"/>
  <c r="D2952" i="10"/>
  <c r="E2952" i="10"/>
  <c r="F2952" i="10"/>
  <c r="G2952" i="10"/>
  <c r="H2952" i="10"/>
  <c r="C4379" i="10"/>
  <c r="D4379" i="10"/>
  <c r="E4379" i="10"/>
  <c r="F4379" i="10"/>
  <c r="G4379" i="10"/>
  <c r="H4379" i="10"/>
  <c r="B2949" i="10"/>
  <c r="B2950" i="10"/>
  <c r="B2951" i="10"/>
  <c r="B2952" i="10"/>
  <c r="B4379" i="10"/>
  <c r="A2949" i="10"/>
  <c r="A2950" i="10"/>
  <c r="A2951" i="10"/>
  <c r="A2952" i="10"/>
  <c r="A4379" i="10"/>
  <c r="J1780" i="2"/>
  <c r="K1224" i="2"/>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Q1556" i="4"/>
  <c r="O1556" i="4"/>
  <c r="Q1557" i="4"/>
  <c r="O1557" i="4"/>
  <c r="J1557" i="2"/>
  <c r="I1557" i="2"/>
  <c r="I1556" i="2"/>
  <c r="J1556" i="2"/>
  <c r="N1557" i="2"/>
  <c r="N1556" i="2"/>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9" i="10"/>
  <c r="B3869" i="10"/>
  <c r="C3869" i="10"/>
  <c r="D3869" i="10"/>
  <c r="E3869" i="10"/>
  <c r="F3869" i="10"/>
  <c r="G3869" i="10"/>
  <c r="H3869" i="10"/>
  <c r="J1555" i="2"/>
  <c r="I1554" i="2"/>
  <c r="J1554" i="2"/>
  <c r="K1554" i="2"/>
  <c r="R1554" i="4" s="1"/>
  <c r="R1574" i="4" l="1"/>
  <c r="J1553" i="2"/>
  <c r="I1553" i="2"/>
  <c r="N1552" i="2"/>
  <c r="I1552" i="4"/>
  <c r="J1552" i="2"/>
  <c r="I1552" i="2"/>
  <c r="K1551" i="2"/>
  <c r="P1551" i="4"/>
  <c r="R1551" i="4" s="1"/>
  <c r="I1551" i="2"/>
  <c r="R1549" i="4"/>
  <c r="S1549" i="4"/>
  <c r="R1550" i="4"/>
  <c r="R1548" i="4"/>
  <c r="S1548" i="4"/>
  <c r="R1547" i="4"/>
  <c r="R1546" i="4"/>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4" i="10"/>
  <c r="F3784"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783" i="10"/>
  <c r="B3783" i="10"/>
  <c r="A3784" i="10"/>
  <c r="B3784"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C3783" i="10"/>
  <c r="D3783" i="10"/>
  <c r="E3783" i="10"/>
  <c r="F3783" i="10"/>
  <c r="G3783" i="10"/>
  <c r="H3783" i="10"/>
  <c r="C3784" i="10"/>
  <c r="D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K1521" i="2" l="1"/>
  <c r="J1521" i="2"/>
  <c r="I1521" i="2"/>
  <c r="R1520" i="4"/>
  <c r="R1513" i="4"/>
  <c r="Q1519" i="4"/>
  <c r="R1519" i="4" s="1"/>
  <c r="Q1518" i="4"/>
  <c r="R1518" i="4" s="1"/>
  <c r="Q1517" i="4"/>
  <c r="R1517" i="4" s="1"/>
  <c r="Q1516" i="4"/>
  <c r="R1516" i="4" s="1"/>
  <c r="Q1514" i="4"/>
  <c r="R1514" i="4" s="1"/>
  <c r="Q1515" i="4"/>
  <c r="R1515" i="4" s="1"/>
  <c r="J1511" i="2"/>
  <c r="I1511" i="2"/>
  <c r="A3706" i="10"/>
  <c r="B3706" i="10"/>
  <c r="C3706" i="10"/>
  <c r="D3706" i="10"/>
  <c r="E3706" i="10"/>
  <c r="F3706" i="10"/>
  <c r="G3706" i="10"/>
  <c r="H3706"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J1510" i="2"/>
  <c r="J1509" i="2"/>
  <c r="M1508" i="4"/>
  <c r="R1501" i="4"/>
  <c r="K1501" i="2"/>
  <c r="P1501" i="4" s="1"/>
  <c r="F3660" i="10"/>
  <c r="S1499" i="4"/>
  <c r="R1499" i="4"/>
  <c r="K1498" i="2"/>
  <c r="J1498" i="2"/>
  <c r="I1498" i="2"/>
  <c r="K1499" i="2"/>
  <c r="J1499" i="2"/>
  <c r="I1499" i="2"/>
  <c r="Q1498" i="4"/>
  <c r="R1498" i="4"/>
  <c r="P1498" i="4"/>
  <c r="K1496" i="2"/>
  <c r="J1495" i="2"/>
  <c r="I1495" i="2"/>
  <c r="A3649" i="10"/>
  <c r="B3649" i="10"/>
  <c r="C3649" i="10"/>
  <c r="D3649" i="10"/>
  <c r="E3649" i="10"/>
  <c r="F3649" i="10"/>
  <c r="G3649" i="10"/>
  <c r="H3649" i="10"/>
  <c r="A3650" i="10"/>
  <c r="B3650" i="10"/>
  <c r="C3650" i="10"/>
  <c r="D3650" i="10"/>
  <c r="E3650" i="10"/>
  <c r="F3650" i="10"/>
  <c r="G3650" i="10"/>
  <c r="H3650"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28" i="10"/>
  <c r="B3628" i="10"/>
  <c r="C3628" i="10"/>
  <c r="D3628" i="10"/>
  <c r="E3628" i="10"/>
  <c r="F3628" i="10"/>
  <c r="G3628" i="10"/>
  <c r="H3628" i="10"/>
  <c r="S1483" i="4"/>
  <c r="K1483" i="2"/>
  <c r="N1483" i="4" s="1"/>
  <c r="L1482" i="4"/>
  <c r="N1482" i="2"/>
  <c r="K1482" i="2"/>
  <c r="I1482" i="2"/>
  <c r="J1482" i="2"/>
  <c r="Q1480" i="4"/>
  <c r="R1480" i="4"/>
  <c r="K1480" i="2"/>
  <c r="D3599" i="10"/>
  <c r="N1501" i="4" l="1"/>
  <c r="Q1483" i="4"/>
  <c r="R1483" i="4"/>
  <c r="I1467" i="2"/>
  <c r="J1467" i="2"/>
  <c r="K1467" i="2"/>
  <c r="J1466" i="2"/>
  <c r="I1466" i="2"/>
  <c r="J1465" i="2"/>
  <c r="I1465" i="2"/>
  <c r="K1464" i="2"/>
  <c r="K1461" i="2"/>
  <c r="K1460" i="2"/>
  <c r="J1460" i="2"/>
  <c r="I1460" i="2"/>
  <c r="J1459" i="2"/>
  <c r="I1459" i="2"/>
  <c r="J1458" i="2"/>
  <c r="I1458" i="2"/>
  <c r="N1448" i="2"/>
  <c r="R1440" i="4"/>
  <c r="N1440" i="4"/>
  <c r="P1440" i="4" s="1"/>
  <c r="O1440" i="4" s="1"/>
  <c r="R1441" i="4"/>
  <c r="N1441" i="4"/>
  <c r="P1441" i="4" s="1"/>
  <c r="O1441" i="4" s="1"/>
  <c r="B3575" i="10"/>
  <c r="B3576" i="10"/>
  <c r="B3577" i="10"/>
  <c r="B3578" i="10"/>
  <c r="A3575" i="10"/>
  <c r="A3576" i="10"/>
  <c r="A3574" i="10"/>
  <c r="A3558" i="10"/>
  <c r="B3558" i="10"/>
  <c r="C3558" i="10"/>
  <c r="D3558" i="10"/>
  <c r="E3558" i="10"/>
  <c r="F3558" i="10"/>
  <c r="G3558" i="10"/>
  <c r="H3558" i="10"/>
  <c r="I1441" i="2"/>
  <c r="I1440" i="2"/>
  <c r="N1423" i="4"/>
  <c r="P1423" i="4" s="1"/>
  <c r="O1423" i="4" s="1"/>
  <c r="R1423" i="4"/>
  <c r="I1423" i="2"/>
  <c r="O1483" i="4" l="1"/>
  <c r="P1483" i="4"/>
  <c r="N1422" i="4"/>
  <c r="E2176" i="10" l="1"/>
  <c r="A3367" i="10"/>
  <c r="B3367" i="10"/>
  <c r="C3367" i="10"/>
  <c r="D3367" i="10"/>
  <c r="E3367" i="10"/>
  <c r="F3367" i="10"/>
  <c r="G3367" i="10"/>
  <c r="H3367" i="10"/>
  <c r="I1419" i="2"/>
  <c r="J1419" i="2"/>
  <c r="J1416" i="2"/>
  <c r="I1416" i="2"/>
  <c r="J1415" i="2"/>
  <c r="I1415" i="2"/>
  <c r="J1414" i="2"/>
  <c r="I1414" i="2"/>
  <c r="J1413" i="2"/>
  <c r="I1413" i="2"/>
  <c r="K1419" i="2"/>
  <c r="K1418" i="2"/>
  <c r="K1417" i="2"/>
  <c r="K1416" i="2"/>
  <c r="K1415" i="2"/>
  <c r="K1414" i="2"/>
  <c r="K1413" i="2"/>
  <c r="K1412" i="2"/>
  <c r="K1411" i="2"/>
  <c r="S1410" i="4"/>
  <c r="K1409" i="2"/>
  <c r="K1410" i="2" s="1"/>
  <c r="I1407" i="4"/>
  <c r="P1406" i="4"/>
  <c r="O1406" i="4"/>
  <c r="S1406" i="4"/>
  <c r="R1406" i="4"/>
  <c r="K1406" i="2"/>
  <c r="N1406" i="2" s="1"/>
  <c r="K1403" i="2"/>
  <c r="H1402" i="4"/>
  <c r="H1401" i="4"/>
  <c r="A3364" i="10"/>
  <c r="B3364" i="10"/>
  <c r="C3364" i="10"/>
  <c r="D3364" i="10"/>
  <c r="E3364" i="10"/>
  <c r="F3364" i="10"/>
  <c r="G3364" i="10"/>
  <c r="H3364" i="10"/>
  <c r="A3365" i="10"/>
  <c r="B3365" i="10"/>
  <c r="C3365" i="10"/>
  <c r="D3365" i="10"/>
  <c r="E3365" i="10"/>
  <c r="F3365" i="10"/>
  <c r="G3365" i="10"/>
  <c r="H3365" i="10"/>
  <c r="N1395" i="4"/>
  <c r="N1395" i="2"/>
  <c r="J1394" i="2"/>
  <c r="I1394" i="2"/>
  <c r="N1409" i="2" l="1"/>
  <c r="I1393" i="4"/>
  <c r="H1393" i="4" s="1"/>
  <c r="K1373" i="2"/>
  <c r="K1374" i="2"/>
  <c r="K1375" i="2"/>
  <c r="K1376" i="2"/>
  <c r="K1377" i="2"/>
  <c r="K1378" i="2"/>
  <c r="K1379" i="2"/>
  <c r="K1380" i="2"/>
  <c r="K1382" i="2"/>
  <c r="K1384" i="2"/>
  <c r="K1385" i="2"/>
  <c r="K1386" i="2"/>
  <c r="K1372" i="2"/>
  <c r="J1370" i="2"/>
  <c r="I1370" i="2"/>
  <c r="O1366" i="4"/>
  <c r="P1366" i="4" s="1"/>
  <c r="P1365" i="4"/>
  <c r="N1365" i="2"/>
  <c r="K1364" i="2"/>
  <c r="J1364" i="2"/>
  <c r="I1364" i="2"/>
  <c r="J1363" i="2"/>
  <c r="I1363" i="2"/>
  <c r="J1362" i="2"/>
  <c r="I1362" i="2"/>
  <c r="J1361" i="4"/>
  <c r="K1361" i="2" s="1"/>
  <c r="J1360" i="4"/>
  <c r="K1360" i="2" s="1"/>
  <c r="I1359" i="2"/>
  <c r="K1359" i="2"/>
  <c r="K1358" i="2"/>
  <c r="K1357" i="2"/>
  <c r="J1359" i="4"/>
  <c r="J1357" i="4"/>
  <c r="J1358" i="4"/>
  <c r="N1356" i="2"/>
  <c r="P1340" i="4"/>
  <c r="J1340" i="2"/>
  <c r="I1340" i="2"/>
  <c r="K1340" i="2"/>
  <c r="A3236" i="10"/>
  <c r="A3237" i="10"/>
  <c r="A3238" i="10"/>
  <c r="K1328" i="2"/>
  <c r="K1325" i="2"/>
  <c r="K1324" i="2"/>
  <c r="K1321" i="2"/>
  <c r="K1320" i="2"/>
  <c r="K1317" i="2"/>
  <c r="K1318" i="2"/>
  <c r="K1314" i="2"/>
  <c r="K1315" i="2"/>
  <c r="K1316" i="2"/>
  <c r="K1313" i="2"/>
  <c r="K1312" i="2"/>
  <c r="K1310" i="2"/>
  <c r="K1309" i="2"/>
  <c r="K1308" i="2"/>
  <c r="H1035" i="4"/>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R1296" i="4"/>
  <c r="R1295" i="4"/>
  <c r="Q1294" i="4"/>
  <c r="R1294" i="4"/>
  <c r="R1293" i="4"/>
  <c r="N1298" i="2"/>
  <c r="N1297" i="2"/>
  <c r="K1298" i="2"/>
  <c r="K1297" i="2"/>
  <c r="J1298" i="2"/>
  <c r="J1297" i="2"/>
  <c r="I1298" i="2"/>
  <c r="I1297" i="2"/>
  <c r="K1292" i="2"/>
  <c r="K1288" i="2"/>
  <c r="K1286" i="2"/>
  <c r="K1285" i="2"/>
  <c r="K1284" i="2"/>
  <c r="K1283" i="2"/>
  <c r="K1282" i="2"/>
  <c r="K1281" i="2"/>
  <c r="K1280" i="2"/>
  <c r="K1279" i="2"/>
  <c r="K1278" i="2"/>
  <c r="K1277" i="2"/>
  <c r="K1276" i="2"/>
  <c r="K1271" i="2"/>
  <c r="R1271" i="4" s="1"/>
  <c r="K1270" i="2"/>
  <c r="R1270" i="4" s="1"/>
  <c r="K1269" i="2"/>
  <c r="R1269" i="4" s="1"/>
  <c r="K1268" i="2"/>
  <c r="R1268" i="4" s="1"/>
  <c r="K1267" i="2" l="1"/>
  <c r="J1267" i="2"/>
  <c r="I1267" i="2"/>
  <c r="J1266" i="2"/>
  <c r="I1266" i="2"/>
  <c r="O1263" i="4"/>
  <c r="H1263" i="4"/>
  <c r="I1262" i="4"/>
  <c r="I1260" i="4"/>
  <c r="K1260" i="2" s="1"/>
  <c r="K1255" i="2"/>
  <c r="K1256" i="2"/>
  <c r="P1254" i="4"/>
  <c r="K1254" i="2"/>
  <c r="N1254" i="2" s="1"/>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6" i="2"/>
  <c r="J1235" i="2"/>
  <c r="J1234" i="2"/>
  <c r="J1233" i="2"/>
  <c r="J1232" i="2"/>
  <c r="J1231" i="2"/>
  <c r="J1230" i="2"/>
  <c r="I1236" i="2"/>
  <c r="I1235" i="2"/>
  <c r="I1234" i="2"/>
  <c r="I1233" i="2"/>
  <c r="I1232" i="2"/>
  <c r="I1231" i="2"/>
  <c r="I1230" i="2"/>
  <c r="J1229" i="2"/>
  <c r="I1229" i="2"/>
  <c r="J1226" i="2"/>
  <c r="I1226" i="2"/>
  <c r="A2954" i="10" l="1"/>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B3236" i="10"/>
  <c r="C3236" i="10"/>
  <c r="D3236" i="10"/>
  <c r="E3236" i="10"/>
  <c r="F3236" i="10"/>
  <c r="G3236" i="10"/>
  <c r="H3236" i="10"/>
  <c r="B3237" i="10"/>
  <c r="C3237" i="10"/>
  <c r="D3237" i="10"/>
  <c r="E3237" i="10"/>
  <c r="F3237" i="10"/>
  <c r="G3237" i="10"/>
  <c r="H3237"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6" i="10"/>
  <c r="B3366" i="10"/>
  <c r="C3366" i="10"/>
  <c r="D3366" i="10"/>
  <c r="E3366" i="10"/>
  <c r="F3366" i="10"/>
  <c r="G3366" i="10"/>
  <c r="H3366"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B3574" i="10"/>
  <c r="C3574" i="10"/>
  <c r="D3574" i="10"/>
  <c r="E3574" i="10"/>
  <c r="F3574" i="10"/>
  <c r="G3574" i="10"/>
  <c r="H3574" i="10"/>
  <c r="C3575" i="10"/>
  <c r="D3575" i="10"/>
  <c r="E3575" i="10"/>
  <c r="F3575" i="10"/>
  <c r="G3575" i="10"/>
  <c r="H3575" i="10"/>
  <c r="C3576" i="10"/>
  <c r="D3576" i="10"/>
  <c r="E3576" i="10"/>
  <c r="F3576" i="10"/>
  <c r="G3576" i="10"/>
  <c r="H3576" i="10"/>
  <c r="A3577" i="10"/>
  <c r="C3577" i="10"/>
  <c r="D3577" i="10"/>
  <c r="E3577" i="10"/>
  <c r="F3577" i="10"/>
  <c r="G3577" i="10"/>
  <c r="H3577" i="10"/>
  <c r="A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G3660" i="10"/>
  <c r="H3660" i="10"/>
  <c r="A3661" i="10"/>
  <c r="B3661" i="10"/>
  <c r="C3661" i="10"/>
  <c r="D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F3712" i="10"/>
  <c r="G3712" i="10"/>
  <c r="H3712" i="10"/>
  <c r="A3713" i="10"/>
  <c r="B3713" i="10"/>
  <c r="C3713" i="10"/>
  <c r="D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2515" i="10" l="1"/>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AA2530" i="10" l="1"/>
  <c r="AA2531" i="10"/>
  <c r="AA2532" i="10"/>
  <c r="AA2533" i="10"/>
  <c r="Y2530" i="10"/>
  <c r="Z2530" i="10"/>
  <c r="Y2531" i="10"/>
  <c r="Z2531" i="10"/>
  <c r="Y2532" i="10"/>
  <c r="Z2532" i="10"/>
  <c r="Y2533" i="10"/>
  <c r="Z2533" i="10"/>
  <c r="A2533" i="10"/>
  <c r="B2533" i="10"/>
  <c r="C2533" i="10"/>
  <c r="D2533" i="10"/>
  <c r="E2533" i="10"/>
  <c r="F2533" i="10"/>
  <c r="G2533" i="10"/>
  <c r="H2533" i="10"/>
  <c r="E2532" i="10"/>
  <c r="E2529" i="10"/>
  <c r="A2530" i="10"/>
  <c r="B2530" i="10"/>
  <c r="C2530" i="10"/>
  <c r="D2530" i="10"/>
  <c r="E2530" i="10"/>
  <c r="F2530" i="10"/>
  <c r="G2530" i="10"/>
  <c r="H2530" i="10"/>
  <c r="R1059" i="4"/>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53" i="10"/>
  <c r="B2953" i="10"/>
  <c r="C2953" i="10"/>
  <c r="D2953" i="10"/>
  <c r="E2953" i="10"/>
  <c r="F2953" i="10"/>
  <c r="G2953" i="10"/>
  <c r="H2953" i="10"/>
  <c r="J1155" i="2" l="1"/>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5" i="10"/>
  <c r="D2875" i="10"/>
  <c r="E2875" i="10"/>
  <c r="F2875" i="10"/>
  <c r="G2875" i="10"/>
  <c r="H2875" i="10"/>
  <c r="A2875" i="10"/>
  <c r="B2875" i="10"/>
  <c r="A2873" i="10"/>
  <c r="B2873" i="10"/>
  <c r="C2873" i="10"/>
  <c r="D2873" i="10"/>
  <c r="E2873" i="10"/>
  <c r="F2873" i="10"/>
  <c r="G2873" i="10"/>
  <c r="H2873" i="10"/>
  <c r="A2874" i="10"/>
  <c r="B2874" i="10"/>
  <c r="C2874" i="10"/>
  <c r="D2874" i="10"/>
  <c r="E2874" i="10"/>
  <c r="F2874" i="10"/>
  <c r="G2874" i="10"/>
  <c r="H2874"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I2589" i="10"/>
  <c r="I2590"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K1115" i="2"/>
  <c r="A2575" i="10"/>
  <c r="B2575" i="10"/>
  <c r="C2575" i="10"/>
  <c r="D2575" i="10"/>
  <c r="E2575" i="10"/>
  <c r="F2575" i="10"/>
  <c r="G2575" i="10"/>
  <c r="H2575" i="10"/>
  <c r="H1084" i="4"/>
  <c r="H1083" i="4"/>
  <c r="K1075" i="2"/>
  <c r="J1074" i="2"/>
  <c r="I1074" i="2"/>
  <c r="K1074" i="2"/>
  <c r="I1069" i="2" l="1"/>
  <c r="J1069" i="2"/>
  <c r="K1069" i="2"/>
  <c r="K1068" i="2"/>
  <c r="K1067" i="2"/>
  <c r="K1065" i="2"/>
  <c r="J1065" i="2"/>
  <c r="I1065" i="2"/>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G2561" i="10"/>
  <c r="H2561" i="10"/>
  <c r="A2562" i="10"/>
  <c r="B2562" i="10"/>
  <c r="C2562" i="10"/>
  <c r="D2562" i="10"/>
  <c r="E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H2565" i="10"/>
  <c r="A2566" i="10"/>
  <c r="B2566" i="10"/>
  <c r="C2566" i="10"/>
  <c r="D2566" i="10"/>
  <c r="E2566" i="10"/>
  <c r="F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K1064" i="2"/>
  <c r="Q1064" i="4" s="1"/>
  <c r="J1063" i="2"/>
  <c r="I1063" i="2"/>
  <c r="AA2498" i="10"/>
  <c r="AA2499" i="10"/>
  <c r="AA2500" i="10"/>
  <c r="AA2501" i="10"/>
  <c r="AA2502" i="10"/>
  <c r="AA2503" i="10"/>
  <c r="AA2504" i="10"/>
  <c r="AA2505" i="10"/>
  <c r="AA2506" i="10"/>
  <c r="AA2507" i="10"/>
  <c r="AA2508" i="10"/>
  <c r="AA2509" i="10"/>
  <c r="AA2510" i="10"/>
  <c r="AA2511" i="10"/>
  <c r="AA2512" i="10"/>
  <c r="AA2513" i="10"/>
  <c r="AA2528" i="10"/>
  <c r="AA2529" i="10"/>
  <c r="AA2534" i="10"/>
  <c r="AA2535" i="10"/>
  <c r="AA2536" i="10"/>
  <c r="AA2537" i="10"/>
  <c r="AA2538" i="10"/>
  <c r="AA2539" i="10"/>
  <c r="Y2499" i="10"/>
  <c r="Z2499" i="10"/>
  <c r="Y2500" i="10"/>
  <c r="Z2500" i="10"/>
  <c r="Y2501" i="10"/>
  <c r="Z2501" i="10"/>
  <c r="Y2502" i="10"/>
  <c r="Z2502" i="10"/>
  <c r="Y2503" i="10"/>
  <c r="Z2503" i="10"/>
  <c r="Y2504" i="10"/>
  <c r="Z2504" i="10"/>
  <c r="Y2505" i="10"/>
  <c r="Z2505" i="10"/>
  <c r="Y2506" i="10"/>
  <c r="Z2506" i="10"/>
  <c r="Y2507" i="10"/>
  <c r="Z2507" i="10"/>
  <c r="Y2508" i="10"/>
  <c r="Z2508" i="10"/>
  <c r="Y2509" i="10"/>
  <c r="Z2509" i="10"/>
  <c r="Y2510" i="10"/>
  <c r="Z2510" i="10"/>
  <c r="Y2511" i="10"/>
  <c r="Z2511" i="10"/>
  <c r="Y2512" i="10"/>
  <c r="Z2512" i="10"/>
  <c r="Y2513" i="10"/>
  <c r="Z2513" i="10"/>
  <c r="Y2528" i="10"/>
  <c r="Z2528" i="10"/>
  <c r="Y2529" i="10"/>
  <c r="Z2529" i="10"/>
  <c r="Y2534" i="10"/>
  <c r="Z2534" i="10"/>
  <c r="Y2535" i="10"/>
  <c r="Z2535" i="10"/>
  <c r="Y2536" i="10"/>
  <c r="Z2536" i="10"/>
  <c r="Y2537" i="10"/>
  <c r="Z2537" i="10"/>
  <c r="Y2538" i="10"/>
  <c r="Z2538" i="10"/>
  <c r="Y2539" i="10"/>
  <c r="Z2539" i="10"/>
  <c r="Z2498" i="10"/>
  <c r="Y2498"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K991" i="2"/>
  <c r="K992" i="2"/>
  <c r="K993" i="2"/>
  <c r="K994" i="2"/>
  <c r="K995" i="2"/>
  <c r="K996" i="2"/>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O1065" i="4" l="1"/>
  <c r="R1065" i="4" s="1"/>
  <c r="K990" i="2"/>
  <c r="S1065" i="4"/>
  <c r="O1064" i="4"/>
  <c r="R1064" i="4" s="1"/>
  <c r="A2383" i="10" l="1"/>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28" i="10"/>
  <c r="B2528" i="10"/>
  <c r="C2528" i="10"/>
  <c r="D2528" i="10"/>
  <c r="E2528" i="10"/>
  <c r="F2528" i="10"/>
  <c r="G2528" i="10"/>
  <c r="H2528" i="10"/>
  <c r="A2529" i="10"/>
  <c r="B2529" i="10"/>
  <c r="C2529" i="10"/>
  <c r="D2529" i="10"/>
  <c r="F2529" i="10"/>
  <c r="G2529" i="10"/>
  <c r="H2529" i="10"/>
  <c r="A2531" i="10"/>
  <c r="B2531" i="10"/>
  <c r="C2531" i="10"/>
  <c r="D2531" i="10"/>
  <c r="E2531" i="10"/>
  <c r="F2531" i="10"/>
  <c r="G2531" i="10"/>
  <c r="H2531" i="10"/>
  <c r="A2532" i="10"/>
  <c r="B2532" i="10"/>
  <c r="C2532" i="10"/>
  <c r="D2532" i="10"/>
  <c r="F2532" i="10"/>
  <c r="G2532" i="10"/>
  <c r="H2532"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C2164" i="10"/>
  <c r="D2164" i="10"/>
  <c r="E2164" i="10"/>
  <c r="F2164" i="10"/>
  <c r="G2164" i="10"/>
  <c r="H2164" i="10"/>
  <c r="A2164" i="10"/>
  <c r="B2164" i="10"/>
  <c r="P949" i="4" l="1"/>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C2151" i="10"/>
  <c r="D2151" i="10"/>
  <c r="E2151" i="10"/>
  <c r="F2151" i="10"/>
  <c r="G2151" i="10"/>
  <c r="H2151" i="10"/>
  <c r="A2151" i="10"/>
  <c r="B2151" i="10"/>
  <c r="A2152" i="10"/>
  <c r="B2152" i="10"/>
  <c r="A2153" i="10"/>
  <c r="B2153" i="10"/>
  <c r="A2154" i="10"/>
  <c r="B2154" i="10"/>
  <c r="K929" i="2"/>
  <c r="H1060"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N932" i="2" l="1"/>
  <c r="N928" i="2"/>
  <c r="A1634" i="10" l="1"/>
  <c r="A1633" i="10"/>
  <c r="A1632" i="10"/>
  <c r="A1631" i="10"/>
  <c r="A1630" i="10"/>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D1841" i="10"/>
  <c r="D1842" i="10"/>
  <c r="D1843" i="10"/>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H288" i="10"/>
  <c r="A289" i="10"/>
  <c r="B289" i="10"/>
  <c r="C289" i="10"/>
  <c r="D289" i="10"/>
  <c r="E289" i="10"/>
  <c r="F289" i="10"/>
  <c r="H289" i="10"/>
  <c r="A290" i="10"/>
  <c r="B290" i="10"/>
  <c r="C290" i="10"/>
  <c r="D290" i="10"/>
  <c r="E290" i="10"/>
  <c r="F290" i="10"/>
  <c r="H290" i="10"/>
  <c r="A291" i="10"/>
  <c r="B291" i="10"/>
  <c r="C291" i="10"/>
  <c r="D291" i="10"/>
  <c r="E291" i="10"/>
  <c r="F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K810" i="2" l="1"/>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L1191" i="10"/>
  <c r="M1191" i="10"/>
  <c r="N1191" i="10"/>
  <c r="O1191" i="10"/>
  <c r="P1191" i="10"/>
  <c r="Q1191" i="10"/>
  <c r="R1191" i="10"/>
  <c r="S1191" i="10"/>
  <c r="T1191" i="10"/>
  <c r="U1191" i="10"/>
  <c r="V1191" i="10"/>
  <c r="W1191" i="10"/>
  <c r="X1191" i="10"/>
  <c r="K627" i="2"/>
  <c r="K628" i="2"/>
  <c r="K629" i="2"/>
  <c r="K630" i="2"/>
  <c r="K626" i="2"/>
  <c r="H624" i="4"/>
  <c r="N623" i="2"/>
  <c r="J624" i="2"/>
  <c r="N624" i="2"/>
  <c r="J623" i="2"/>
  <c r="J620" i="2"/>
  <c r="I620" i="2"/>
  <c r="J619" i="2"/>
  <c r="I1134" i="10"/>
  <c r="I1135" i="10"/>
  <c r="I1136" i="10"/>
  <c r="I1137" i="10"/>
  <c r="I1138" i="10"/>
  <c r="I1154" i="10"/>
  <c r="I1155" i="10"/>
  <c r="I1156" i="10"/>
  <c r="I1157" i="10"/>
  <c r="I1158" i="10"/>
  <c r="I1159" i="10"/>
  <c r="I1130" i="10"/>
  <c r="I1131" i="10"/>
  <c r="I1132" i="10"/>
  <c r="I1133" i="10"/>
  <c r="I1129" i="10"/>
  <c r="K618" i="2"/>
  <c r="I618" i="2"/>
  <c r="J618" i="2"/>
  <c r="J616" i="2"/>
  <c r="I616" i="2"/>
  <c r="H616" i="4"/>
  <c r="J615" i="2"/>
  <c r="I615" i="2"/>
  <c r="J614" i="2"/>
  <c r="I614" i="2"/>
  <c r="X1116" i="10"/>
  <c r="Y1116" i="10"/>
  <c r="Z1116" i="10"/>
  <c r="AA1116" i="10"/>
  <c r="X1117" i="10"/>
  <c r="Y1117" i="10"/>
  <c r="Z1117" i="10"/>
  <c r="AA1117" i="10"/>
  <c r="X1118" i="10"/>
  <c r="Y1118" i="10"/>
  <c r="Z1118" i="10"/>
  <c r="AA1118" i="10"/>
  <c r="X1119" i="10"/>
  <c r="Y1119" i="10"/>
  <c r="Z1119" i="10"/>
  <c r="AA1119" i="10"/>
  <c r="X1120" i="10"/>
  <c r="Y1120" i="10"/>
  <c r="Z1120" i="10"/>
  <c r="AA1120" i="10"/>
  <c r="X1121" i="10"/>
  <c r="Y1121" i="10"/>
  <c r="Z1121" i="10"/>
  <c r="AA1121" i="10"/>
  <c r="L1113" i="10"/>
  <c r="M1113" i="10"/>
  <c r="N1113" i="10"/>
  <c r="O1113" i="10"/>
  <c r="P1113" i="10"/>
  <c r="Q1113" i="10"/>
  <c r="R1113" i="10"/>
  <c r="S1113" i="10"/>
  <c r="T1113" i="10"/>
  <c r="U1113" i="10"/>
  <c r="W1113" i="10"/>
  <c r="L1114" i="10"/>
  <c r="M1114" i="10"/>
  <c r="N1114" i="10"/>
  <c r="O1114" i="10"/>
  <c r="P1114" i="10"/>
  <c r="Q1114" i="10"/>
  <c r="R1114" i="10"/>
  <c r="S1114" i="10"/>
  <c r="T1114" i="10"/>
  <c r="U1114" i="10"/>
  <c r="W1114" i="10"/>
  <c r="L1115" i="10"/>
  <c r="M1115" i="10"/>
  <c r="N1115" i="10"/>
  <c r="O1115" i="10"/>
  <c r="P1115" i="10"/>
  <c r="Q1115" i="10"/>
  <c r="R1115" i="10"/>
  <c r="S1115" i="10"/>
  <c r="T1115" i="10"/>
  <c r="U1115" i="10"/>
  <c r="W1115" i="10"/>
  <c r="L1116" i="10"/>
  <c r="M1116" i="10"/>
  <c r="N1116" i="10"/>
  <c r="O1116" i="10"/>
  <c r="P1116" i="10"/>
  <c r="Q1116" i="10"/>
  <c r="R1116" i="10"/>
  <c r="S1116" i="10"/>
  <c r="T1116" i="10"/>
  <c r="U1116" i="10"/>
  <c r="V1116" i="10"/>
  <c r="W1116" i="10"/>
  <c r="L1117" i="10"/>
  <c r="M1117" i="10"/>
  <c r="N1117" i="10"/>
  <c r="O1117" i="10"/>
  <c r="P1117" i="10"/>
  <c r="Q1117" i="10"/>
  <c r="R1117" i="10"/>
  <c r="S1117" i="10"/>
  <c r="T1117" i="10"/>
  <c r="U1117" i="10"/>
  <c r="V1117" i="10"/>
  <c r="W1117" i="10"/>
  <c r="L1118" i="10"/>
  <c r="M1118" i="10"/>
  <c r="N1118" i="10"/>
  <c r="O1118" i="10"/>
  <c r="P1118" i="10"/>
  <c r="Q1118" i="10"/>
  <c r="R1118" i="10"/>
  <c r="S1118" i="10"/>
  <c r="T1118" i="10"/>
  <c r="U1118" i="10"/>
  <c r="V1118" i="10"/>
  <c r="W1118" i="10"/>
  <c r="L1119" i="10"/>
  <c r="M1119" i="10"/>
  <c r="N1119" i="10"/>
  <c r="O1119" i="10"/>
  <c r="P1119" i="10"/>
  <c r="Q1119" i="10"/>
  <c r="R1119" i="10"/>
  <c r="S1119" i="10"/>
  <c r="T1119" i="10"/>
  <c r="U1119" i="10"/>
  <c r="V1119" i="10"/>
  <c r="W1119" i="10"/>
  <c r="L1120" i="10"/>
  <c r="M1120" i="10"/>
  <c r="N1120" i="10"/>
  <c r="O1120" i="10"/>
  <c r="P1120" i="10"/>
  <c r="Q1120" i="10"/>
  <c r="R1120" i="10"/>
  <c r="S1120" i="10"/>
  <c r="T1120" i="10"/>
  <c r="U1120" i="10"/>
  <c r="V1120" i="10"/>
  <c r="W1120" i="10"/>
  <c r="L1121" i="10"/>
  <c r="M1121" i="10"/>
  <c r="N1121" i="10"/>
  <c r="O1121" i="10"/>
  <c r="P1121" i="10"/>
  <c r="Q1121" i="10"/>
  <c r="R1121" i="10"/>
  <c r="S1121" i="10"/>
  <c r="T1121" i="10"/>
  <c r="U1121" i="10"/>
  <c r="V1121" i="10"/>
  <c r="W1121" i="10"/>
  <c r="J1114" i="10"/>
  <c r="J1115" i="10"/>
  <c r="J1116" i="10"/>
  <c r="J1117" i="10"/>
  <c r="J1118" i="10"/>
  <c r="J1119" i="10"/>
  <c r="J1120" i="10"/>
  <c r="J1121" i="10"/>
  <c r="J1113" i="10"/>
  <c r="I613" i="4"/>
  <c r="I611" i="4"/>
  <c r="I612" i="4"/>
  <c r="N609" i="2"/>
  <c r="N610" i="2"/>
  <c r="J607" i="4" l="1"/>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M535" i="4" l="1"/>
  <c r="P535" i="4"/>
  <c r="Q535" i="4" s="1"/>
  <c r="J535" i="4" s="1"/>
  <c r="J535" i="2"/>
  <c r="I535" i="2"/>
  <c r="I533" i="4"/>
  <c r="P533" i="4"/>
  <c r="N534" i="2"/>
  <c r="N533" i="2"/>
  <c r="N528" i="2" l="1"/>
  <c r="J532" i="2"/>
  <c r="I532" i="2"/>
  <c r="N531" i="2"/>
  <c r="N530" i="2"/>
  <c r="I524" i="4"/>
  <c r="I525" i="4"/>
  <c r="I526" i="4"/>
  <c r="I527" i="4"/>
  <c r="K509" i="2" l="1"/>
  <c r="S507" i="4"/>
  <c r="R507" i="4"/>
  <c r="S506" i="4"/>
  <c r="P507" i="4"/>
  <c r="Q507" i="4"/>
  <c r="Q506" i="4"/>
  <c r="K394" i="2" l="1"/>
  <c r="Q131" i="4"/>
  <c r="Q130" i="4"/>
  <c r="Q129" i="4"/>
  <c r="R131" i="4"/>
  <c r="R130" i="4"/>
  <c r="R129" i="4"/>
  <c r="K131" i="2"/>
  <c r="K130" i="2"/>
  <c r="K129" i="2"/>
  <c r="F2561" i="10" l="1"/>
  <c r="F2562" i="10"/>
  <c r="G2565" i="10"/>
  <c r="G256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<sst xmlns="http://schemas.openxmlformats.org/spreadsheetml/2006/main" count="277031" uniqueCount="11604">
  <si>
    <t>Notes</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</si>
  <si>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</si>
  <si>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</si>
  <si>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</si>
  <si>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</si>
  <si>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</si>
  <si>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</si>
  <si>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</si>
  <si>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</si>
  <si>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</si>
  <si>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</si>
  <si>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</si>
  <si>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</si>
  <si>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</si>
  <si>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</si>
  <si>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</si>
  <si>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</si>
  <si>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</si>
  <si>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</si>
  <si>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</si>
  <si>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</si>
  <si>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</si>
  <si>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</si>
  <si>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</si>
  <si>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</si>
  <si>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</si>
  <si>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</si>
  <si>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</si>
  <si>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</si>
  <si>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</si>
  <si>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</si>
  <si>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</si>
  <si>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</si>
  <si>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</si>
  <si>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</si>
  <si>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</si>
  <si>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</si>
  <si>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</si>
  <si>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</si>
  <si>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</si>
  <si>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</si>
  <si>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</si>
  <si>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</si>
  <si>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</si>
  <si>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</si>
  <si>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</si>
  <si>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</si>
  <si>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</si>
  <si>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</si>
  <si>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</si>
  <si>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</si>
  <si>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</si>
  <si>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</si>
  <si>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</si>
  <si>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</si>
  <si>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</si>
  <si>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</si>
  <si>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</si>
  <si>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</si>
  <si>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</si>
  <si>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</si>
  <si>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</si>
  <si>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</si>
  <si>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</si>
  <si>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</si>
  <si>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</si>
  <si>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</si>
  <si>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</si>
  <si>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</si>
  <si>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</si>
  <si>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</si>
  <si>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</si>
  <si>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</si>
  <si>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</si>
  <si>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</si>
  <si>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</si>
  <si>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</si>
  <si>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</si>
  <si>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</si>
  <si>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</si>
  <si>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</si>
  <si>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</si>
  <si>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</si>
  <si>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</si>
  <si>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</si>
  <si>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</si>
  <si>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</si>
  <si>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</si>
  <si>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</si>
  <si>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</si>
  <si>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</si>
  <si>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</si>
  <si>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</si>
  <si>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</si>
  <si>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</si>
  <si>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</si>
  <si>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</si>
  <si>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</si>
  <si>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</si>
  <si>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</si>
  <si>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</si>
  <si>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</si>
  <si>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</si>
  <si>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</si>
  <si>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</si>
  <si>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</si>
  <si>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</si>
  <si>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</si>
  <si>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</si>
  <si>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</si>
  <si>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</si>
  <si>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</si>
  <si>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</si>
  <si>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</si>
  <si>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</si>
  <si>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</si>
  <si>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</si>
  <si>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</si>
  <si>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</si>
  <si>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</si>
  <si>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</si>
  <si>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</si>
  <si>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</si>
  <si>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</si>
  <si>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</si>
  <si>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</si>
  <si>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</si>
  <si>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</si>
  <si>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</si>
  <si>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</si>
  <si>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</si>
  <si>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</si>
  <si>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</si>
  <si>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</si>
  <si>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</si>
  <si>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</si>
  <si>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</si>
  <si>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</si>
  <si>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</si>
  <si>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</si>
  <si>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</si>
  <si>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</si>
  <si>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</si>
  <si>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</si>
  <si>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</si>
  <si>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</si>
  <si>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</si>
  <si>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</si>
  <si>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</si>
  <si>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</si>
  <si>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</si>
  <si>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</si>
  <si>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</si>
  <si>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</si>
  <si>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</si>
  <si>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</si>
  <si>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</si>
  <si>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</si>
  <si>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</si>
  <si>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</si>
  <si>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</si>
  <si>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</si>
  <si>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</si>
  <si>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</si>
  <si>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</si>
  <si>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</si>
  <si>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</si>
  <si>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</si>
  <si>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</si>
  <si>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</si>
  <si>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</si>
  <si>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</si>
  <si>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</si>
  <si>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</si>
  <si>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</si>
  <si>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</si>
  <si>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</si>
  <si>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</si>
  <si>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</si>
  <si>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</si>
  <si>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</si>
  <si>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</si>
  <si>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</si>
  <si>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</si>
  <si>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</si>
  <si>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</si>
  <si>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</si>
  <si>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</si>
  <si>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</si>
  <si>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</si>
  <si>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</si>
  <si>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</si>
  <si>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</si>
  <si>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</si>
  <si>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</si>
  <si>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</si>
  <si>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</si>
  <si>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</si>
  <si>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</si>
  <si>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</si>
  <si>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</si>
  <si>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</si>
  <si>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</si>
  <si>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</si>
  <si>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</si>
  <si>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</si>
  <si>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</si>
  <si>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</si>
  <si>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</si>
  <si>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</si>
  <si>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</si>
  <si>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</si>
  <si>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</si>
  <si>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</si>
  <si>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</si>
  <si>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</si>
  <si>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</si>
  <si>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</si>
  <si>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</si>
  <si>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</si>
  <si>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</si>
  <si>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</si>
  <si>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</si>
  <si>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</si>
  <si>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</si>
  <si>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</si>
  <si>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</si>
  <si>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</si>
  <si>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</si>
  <si>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</si>
  <si>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</si>
  <si>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</si>
  <si>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</si>
  <si>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</si>
  <si>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</si>
  <si>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</si>
  <si>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</si>
  <si>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</si>
  <si>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</si>
  <si>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</si>
  <si>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</si>
  <si>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</si>
  <si>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</si>
  <si>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</si>
  <si>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</si>
  <si>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</si>
  <si>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</si>
  <si>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</si>
  <si>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</si>
  <si>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</si>
  <si>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</si>
  <si>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</si>
  <si>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</si>
  <si>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</si>
  <si>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</si>
  <si>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</si>
  <si>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</si>
  <si>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</si>
  <si>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</si>
  <si>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</si>
  <si>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</si>
  <si>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</si>
  <si>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</si>
  <si>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</si>
  <si>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</si>
  <si>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</si>
  <si>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</si>
  <si>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</si>
  <si>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</si>
  <si>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</si>
  <si>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</si>
  <si>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</si>
  <si>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</si>
  <si>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</si>
  <si>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</si>
  <si>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</si>
  <si>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</si>
  <si>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</si>
  <si>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</si>
  <si>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</si>
  <si>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</si>
  <si>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</si>
  <si>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</si>
  <si>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</si>
  <si>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</si>
  <si>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</si>
  <si>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</si>
  <si>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</si>
  <si>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</si>
  <si>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</si>
  <si>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</si>
  <si>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</si>
  <si>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</si>
  <si>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</si>
  <si>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</si>
  <si>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</si>
  <si>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</si>
  <si>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</si>
  <si>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</si>
  <si>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</si>
  <si>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</si>
  <si>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</si>
  <si>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</si>
  <si>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</si>
  <si>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</si>
  <si>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</si>
  <si>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</si>
  <si>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</si>
  <si>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</si>
  <si>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</si>
  <si>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</si>
  <si>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</si>
  <si>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</si>
  <si>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</si>
  <si>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</si>
  <si>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</si>
  <si>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</si>
  <si>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</si>
  <si>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</si>
  <si>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</si>
  <si>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</si>
  <si>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</si>
  <si>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</si>
  <si>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</si>
  <si>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</si>
  <si>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</si>
  <si>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</si>
  <si>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</si>
  <si>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</si>
  <si>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</si>
  <si>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</si>
  <si>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</si>
  <si>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</si>
  <si>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</si>
  <si>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</si>
  <si>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</si>
  <si>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</si>
  <si>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</si>
  <si>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</si>
  <si>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</si>
  <si>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</si>
  <si>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</si>
  <si>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</si>
  <si>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</si>
  <si>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</si>
  <si>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</si>
  <si>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</si>
  <si>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</si>
  <si>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</si>
  <si>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</si>
  <si>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</si>
  <si>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</si>
  <si>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</si>
  <si>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</si>
  <si>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</si>
  <si>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</si>
  <si>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</si>
  <si>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</si>
  <si>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</si>
  <si>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</si>
  <si>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</si>
  <si>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</si>
  <si>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</si>
  <si>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</si>
  <si>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</si>
  <si>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</si>
  <si>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</si>
  <si>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</si>
  <si>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</si>
  <si>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</si>
  <si>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</si>
  <si>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</si>
  <si>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</si>
  <si>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</si>
  <si>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</si>
  <si>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</si>
  <si>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</si>
  <si>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</si>
  <si>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</si>
  <si>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</si>
  <si>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</si>
  <si>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</si>
  <si>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</si>
  <si>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</si>
  <si>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</si>
  <si>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</si>
  <si>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</si>
  <si>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</si>
  <si>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</si>
  <si>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</si>
  <si>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</si>
  <si>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</si>
  <si>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</si>
  <si>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</si>
  <si>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</si>
  <si>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</si>
  <si>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</si>
  <si>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</si>
  <si>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</si>
  <si>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</si>
  <si>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</si>
  <si>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</si>
  <si>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</si>
  <si>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</si>
  <si>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</si>
  <si>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</si>
  <si>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</si>
  <si>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</si>
  <si>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</si>
  <si>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</si>
  <si>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</si>
  <si>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</si>
  <si>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</si>
  <si>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</si>
  <si>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</si>
  <si>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</si>
  <si>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</si>
  <si>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</si>
  <si>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</si>
  <si>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</si>
  <si>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</si>
  <si>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</si>
  <si>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</si>
  <si>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</si>
  <si>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</si>
  <si>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</si>
  <si>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</si>
  <si>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</si>
  <si>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</si>
  <si>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</si>
  <si>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</si>
  <si>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</si>
  <si>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</si>
  <si>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</si>
  <si>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</si>
  <si>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</si>
  <si>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</si>
  <si>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</si>
  <si>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</si>
  <si>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</si>
  <si>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</si>
  <si>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</si>
  <si>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</si>
  <si>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</si>
  <si>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</si>
  <si>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</si>
  <si>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</si>
  <si>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</si>
  <si>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</si>
  <si>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</si>
  <si>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</si>
  <si>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</si>
  <si>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</si>
  <si>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</si>
  <si>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</si>
  <si>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</si>
  <si>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</si>
  <si>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</si>
  <si>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</si>
  <si>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</si>
  <si>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</si>
  <si>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</si>
  <si>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</si>
  <si>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</si>
  <si>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</si>
  <si>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</si>
  <si>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</si>
  <si>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</si>
  <si>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</si>
  <si>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</si>
  <si>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</si>
  <si>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</si>
  <si>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</si>
  <si>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</si>
  <si>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</si>
  <si>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</si>
  <si>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</si>
  <si>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</si>
  <si>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</si>
  <si>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</si>
  <si>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</si>
  <si>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</si>
  <si>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</si>
  <si>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</si>
  <si>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</si>
  <si>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</si>
  <si>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</si>
  <si>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</si>
  <si>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</si>
  <si>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</si>
  <si>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</si>
  <si>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</si>
  <si>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</si>
  <si>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</si>
  <si>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</si>
  <si>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</si>
  <si>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</si>
  <si>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</si>
  <si>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</si>
  <si>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</si>
  <si>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</si>
  <si>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</si>
  <si>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</si>
  <si>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</si>
  <si>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</si>
  <si>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</si>
  <si>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</si>
  <si>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</si>
  <si>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</si>
  <si>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</si>
  <si>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</si>
  <si>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</si>
  <si>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</si>
  <si>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</si>
  <si>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</si>
  <si>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</si>
  <si>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</si>
  <si>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</si>
  <si>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</si>
  <si>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</si>
  <si>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</si>
  <si>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</si>
  <si>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</si>
  <si>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</si>
  <si>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</si>
  <si>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</si>
  <si>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</si>
  <si>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</si>
  <si>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</si>
  <si>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</si>
  <si>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</si>
  <si>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</si>
  <si>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</si>
  <si>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</si>
  <si>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</si>
  <si>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</si>
  <si>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</si>
  <si>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</si>
  <si>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</si>
  <si>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</si>
  <si>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</si>
  <si>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</si>
  <si>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</si>
  <si>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</si>
  <si>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</si>
  <si>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</si>
  <si>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</si>
  <si>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</si>
  <si>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</si>
  <si>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</si>
  <si>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</si>
  <si>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</si>
  <si>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</si>
  <si>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</si>
  <si>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</si>
  <si>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</si>
  <si>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</si>
  <si>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</si>
  <si>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</si>
  <si>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</si>
  <si>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</si>
  <si>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</si>
  <si>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</si>
  <si>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</si>
  <si>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</si>
  <si>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</si>
  <si>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</si>
  <si>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</si>
  <si>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</si>
  <si>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</si>
  <si>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</si>
  <si>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</si>
  <si>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</si>
  <si>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</si>
  <si>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</si>
  <si>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</si>
  <si>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</si>
  <si>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</si>
  <si>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</si>
  <si>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</si>
  <si>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</si>
  <si>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</si>
  <si>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</si>
  <si>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</si>
  <si>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</si>
  <si>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</si>
  <si>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</si>
  <si>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</si>
  <si>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</si>
  <si>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</si>
  <si>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</si>
  <si>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</si>
  <si>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</si>
  <si>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</si>
  <si>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</si>
  <si>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</si>
  <si>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</si>
  <si>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</si>
  <si>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</si>
  <si>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</si>
  <si>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</si>
  <si>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</si>
  <si>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</si>
  <si>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</si>
  <si>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</si>
  <si>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</si>
  <si>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</si>
  <si>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</si>
  <si>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</si>
  <si>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</si>
  <si>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</si>
  <si>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</si>
  <si>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</si>
  <si>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</si>
  <si>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</si>
  <si>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</si>
  <si>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</si>
  <si>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</si>
  <si>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</si>
  <si>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</si>
  <si>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</si>
  <si>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</si>
  <si>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</si>
  <si>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</si>
  <si>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</si>
  <si>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</si>
  <si>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</si>
  <si>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</si>
  <si>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</si>
  <si>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</si>
  <si>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</si>
  <si>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</si>
  <si>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</si>
  <si>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</si>
  <si>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</si>
  <si>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</si>
  <si>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</si>
  <si>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</si>
  <si>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</si>
  <si>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</si>
  <si>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</si>
  <si>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</si>
  <si>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</si>
  <si>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</si>
  <si>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</si>
  <si>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</si>
  <si>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</si>
  <si>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</si>
  <si>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</si>
  <si>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</si>
  <si>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</si>
  <si>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</si>
  <si>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</si>
  <si>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</si>
  <si>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</si>
  <si>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</si>
  <si>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</si>
  <si>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</si>
  <si>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</si>
  <si>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</si>
  <si>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</si>
  <si>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</si>
  <si>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</si>
  <si>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</si>
  <si>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</si>
  <si>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</si>
  <si>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</si>
  <si>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</si>
  <si>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</si>
  <si>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</si>
  <si>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</si>
  <si>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</si>
  <si>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</si>
  <si>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</si>
  <si>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</si>
  <si>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</si>
  <si>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</si>
  <si>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</si>
  <si>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</si>
  <si>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</si>
  <si>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</si>
  <si>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</si>
  <si>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</si>
  <si>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</si>
  <si>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</si>
  <si>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</si>
  <si>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</si>
  <si>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</si>
  <si>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</si>
  <si>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</si>
  <si>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</si>
  <si>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</si>
  <si>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</si>
  <si>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</si>
  <si>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</si>
  <si>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</si>
  <si>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</si>
  <si>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</si>
  <si>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</si>
  <si>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</si>
  <si>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</si>
  <si>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</si>
  <si>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</si>
  <si>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</si>
  <si>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</si>
  <si>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</si>
  <si>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</si>
  <si>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</si>
  <si>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</si>
  <si>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</si>
  <si>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</si>
  <si>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</si>
  <si>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</si>
  <si>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</si>
  <si>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</si>
  <si>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</si>
  <si>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</si>
  <si>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</si>
  <si>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</si>
  <si>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</si>
  <si>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</si>
  <si>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</si>
  <si>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</si>
  <si>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</si>
  <si>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</si>
  <si>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</si>
  <si>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</si>
  <si>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</si>
  <si>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</si>
  <si>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</si>
  <si>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</si>
  <si>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</si>
  <si>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</si>
  <si>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</si>
  <si>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</si>
  <si>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</si>
  <si>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</si>
  <si>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</si>
  <si>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</si>
  <si>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</si>
  <si>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</si>
  <si>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</si>
  <si>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</si>
  <si>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</si>
  <si>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</si>
  <si>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</si>
  <si>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</si>
  <si>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</si>
  <si>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</si>
  <si>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</si>
  <si>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</si>
  <si>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</si>
  <si>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</si>
  <si>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</si>
  <si>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</si>
  <si>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</si>
  <si>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</si>
  <si>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</si>
  <si>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</si>
  <si>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</si>
  <si>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</si>
  <si>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</si>
  <si>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</si>
  <si>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</si>
  <si>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</si>
  <si>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</si>
  <si>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</si>
  <si>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</si>
  <si>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</si>
  <si>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</si>
  <si>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</si>
  <si>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</si>
  <si>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</si>
  <si>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</si>
  <si>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</si>
  <si>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</si>
  <si>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</si>
  <si>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</si>
  <si>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</si>
  <si>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</si>
  <si>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</si>
  <si>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</si>
  <si>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</si>
  <si>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</si>
  <si>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</si>
  <si>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</si>
  <si>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</si>
  <si>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</si>
  <si>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</si>
  <si>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</si>
  <si>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</si>
  <si>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</si>
  <si>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</si>
  <si>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</si>
  <si>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</si>
  <si>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</si>
  <si>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</si>
  <si>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</si>
  <si>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</si>
  <si>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</si>
  <si>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</si>
  <si>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</si>
  <si>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</si>
  <si>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</si>
  <si>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</si>
  <si>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</si>
  <si>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</si>
  <si>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</si>
  <si>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</si>
  <si>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</si>
  <si>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</si>
  <si>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</si>
  <si>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</si>
  <si>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</si>
  <si>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</si>
  <si>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</si>
  <si>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</si>
  <si>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</si>
  <si>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</si>
  <si>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</si>
  <si>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</si>
  <si>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</si>
  <si>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</si>
  <si>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</si>
  <si>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</si>
  <si>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</si>
  <si>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</si>
  <si>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</si>
  <si>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</si>
  <si>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</si>
  <si>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</si>
  <si>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</si>
  <si>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</si>
  <si>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</si>
  <si>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</si>
  <si>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</si>
  <si>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</si>
  <si>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</si>
  <si>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</si>
  <si>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</si>
  <si>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</si>
  <si>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</si>
  <si>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</si>
  <si>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</si>
  <si>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</si>
  <si>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</si>
  <si>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</si>
  <si>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</si>
  <si>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</si>
  <si>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</si>
  <si>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</si>
  <si>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</si>
  <si>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</si>
  <si>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</si>
  <si>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</si>
  <si>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</si>
  <si>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</si>
  <si>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</si>
  <si>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</si>
  <si>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</si>
  <si>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</si>
  <si>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</si>
  <si>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</si>
  <si>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</si>
  <si>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</si>
  <si>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</si>
  <si>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</si>
  <si>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</si>
  <si>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</si>
  <si>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</si>
  <si>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</si>
  <si>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</si>
  <si>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</si>
  <si>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</si>
  <si>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</si>
  <si>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</si>
  <si>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</si>
  <si>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</si>
  <si>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</si>
  <si>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</si>
  <si>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</si>
  <si>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</si>
  <si>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</si>
  <si>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</si>
  <si>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</si>
  <si>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</si>
  <si>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</si>
  <si>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</si>
  <si>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</si>
  <si>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</si>
  <si>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</si>
  <si>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</si>
  <si>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</si>
  <si>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</si>
  <si>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</si>
  <si>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</si>
  <si>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</si>
  <si>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</si>
  <si>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</si>
  <si>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</si>
  <si>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</si>
  <si>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</si>
  <si>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</si>
  <si>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</si>
  <si>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</si>
  <si>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</si>
  <si>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</si>
  <si>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</si>
  <si>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</si>
  <si>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</si>
  <si>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</si>
  <si>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</si>
  <si>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</si>
  <si>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</si>
  <si>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</si>
  <si>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</si>
  <si>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</si>
  <si>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</si>
  <si>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</si>
  <si>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</si>
  <si>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</si>
  <si>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</si>
  <si>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</si>
  <si>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</si>
  <si>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</si>
  <si>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</si>
  <si>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</si>
  <si>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</si>
  <si>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</si>
  <si>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</si>
  <si>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</si>
  <si>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</si>
  <si>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</si>
  <si>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</si>
  <si>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</si>
  <si>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</si>
  <si>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</si>
  <si>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</si>
  <si>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</si>
  <si>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</si>
  <si>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</si>
  <si>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</si>
  <si>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</si>
  <si>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</si>
  <si>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</si>
  <si>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</si>
  <si>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</si>
  <si>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</si>
  <si>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</si>
  <si>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</si>
  <si>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</si>
  <si>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</si>
  <si>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</si>
  <si>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</si>
  <si>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</si>
  <si>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</si>
  <si>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</si>
  <si>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</si>
  <si>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</si>
  <si>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</si>
  <si>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</si>
  <si>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</si>
  <si>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</si>
  <si>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</si>
  <si>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</si>
  <si>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</si>
  <si>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</si>
  <si>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</si>
  <si>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</si>
  <si>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</si>
  <si>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</si>
  <si>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</si>
  <si>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</si>
  <si>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</si>
  <si>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</si>
  <si>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</si>
  <si>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</si>
  <si>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</si>
  <si>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</si>
  <si>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</si>
  <si>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</si>
  <si>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</si>
  <si>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</si>
  <si>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</si>
  <si>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</si>
  <si>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</si>
  <si>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</si>
  <si>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</si>
  <si>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</si>
  <si>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</si>
  <si>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</si>
  <si>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</si>
  <si>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</si>
  <si>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</si>
  <si>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</si>
  <si>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</si>
  <si>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</si>
  <si>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</si>
  <si>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</si>
  <si>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</si>
  <si>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</si>
  <si>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</si>
  <si>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</si>
  <si>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</si>
  <si>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</si>
  <si>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</si>
  <si>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</si>
  <si>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</si>
  <si>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</si>
  <si>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</si>
  <si>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</si>
  <si>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</si>
  <si>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</si>
  <si>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</si>
  <si>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</si>
  <si>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</si>
  <si>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</si>
  <si>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</si>
  <si>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</si>
  <si>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</si>
  <si>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</si>
  <si>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</si>
  <si>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</si>
  <si>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</si>
  <si>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</si>
  <si>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</si>
  <si>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</si>
  <si>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</si>
  <si>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</si>
  <si>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</si>
  <si>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</si>
  <si>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</si>
  <si>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</si>
  <si>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</si>
  <si>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</si>
  <si>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</si>
  <si>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</si>
  <si>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</si>
  <si>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</si>
  <si>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</si>
  <si>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</si>
  <si>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</si>
  <si>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</si>
  <si>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</si>
  <si>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</si>
  <si>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</si>
  <si>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</si>
  <si>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</si>
  <si>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</si>
  <si>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</si>
  <si>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</si>
  <si>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</si>
  <si>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</si>
  <si>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</si>
  <si>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</si>
  <si>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</si>
  <si>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</si>
  <si>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</si>
  <si>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</si>
  <si>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</si>
  <si>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</si>
  <si>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</si>
  <si>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</si>
  <si>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</si>
  <si>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</si>
  <si>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</si>
  <si>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</si>
  <si>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</si>
  <si>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</si>
  <si>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</si>
  <si>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</si>
  <si>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</si>
  <si>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</si>
  <si>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</si>
  <si>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</si>
  <si>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</si>
  <si>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</si>
  <si>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</si>
  <si>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</si>
  <si>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</si>
  <si>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</si>
  <si>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</si>
  <si>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</si>
  <si>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</si>
  <si>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</si>
  <si>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</si>
  <si>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</si>
  <si>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</si>
  <si>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</si>
  <si>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</si>
  <si>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</si>
  <si>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</si>
  <si>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</si>
  <si>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</si>
  <si>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</si>
  <si>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</si>
  <si>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</si>
  <si>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</si>
  <si>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</si>
  <si>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</si>
  <si>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</si>
  <si>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</si>
  <si>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</si>
  <si>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</si>
  <si>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</si>
  <si>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</si>
  <si>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</si>
  <si>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</si>
  <si>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</si>
  <si>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</si>
  <si>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</si>
  <si>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</si>
  <si>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</si>
  <si>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</si>
  <si>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</si>
  <si>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</si>
  <si>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</si>
  <si>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</si>
  <si>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</si>
  <si>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</si>
  <si>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</si>
  <si>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</si>
  <si>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</si>
  <si>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</si>
  <si>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</si>
  <si>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</si>
  <si>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</si>
  <si>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</si>
  <si>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</si>
  <si>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</si>
  <si>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</si>
  <si>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</si>
  <si>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</si>
  <si>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</si>
  <si>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</si>
  <si>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</si>
  <si>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</si>
  <si>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</si>
  <si>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</si>
  <si>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</si>
  <si>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</si>
  <si>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</si>
  <si>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</si>
  <si>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</si>
  <si>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</si>
  <si>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</si>
  <si>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</si>
  <si>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</si>
  <si>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</si>
  <si>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</si>
  <si>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</si>
  <si>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</si>
  <si>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</si>
  <si>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</si>
  <si>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</si>
  <si>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</si>
  <si>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</si>
  <si>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</si>
  <si>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</si>
  <si>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</si>
  <si>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</si>
  <si>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</si>
  <si>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</si>
  <si>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</si>
  <si>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</si>
  <si>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</si>
  <si>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</si>
  <si>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</si>
  <si>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</si>
  <si>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</si>
  <si>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</si>
  <si>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</si>
  <si>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</si>
  <si>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</si>
  <si>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</si>
  <si>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</si>
  <si>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</si>
  <si>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</si>
  <si>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</si>
  <si>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</si>
  <si>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</si>
  <si>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</si>
  <si>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</si>
  <si>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</si>
  <si>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</si>
  <si>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</si>
  <si>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</si>
  <si>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</si>
  <si>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</si>
  <si>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</si>
  <si>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</si>
  <si>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</si>
  <si>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</si>
  <si>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</si>
  <si>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</si>
  <si>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</si>
  <si>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</si>
  <si>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</si>
  <si>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</si>
  <si>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</si>
  <si>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</si>
  <si>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</si>
  <si>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</si>
  <si>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</si>
  <si>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</si>
  <si>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</si>
  <si>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</si>
  <si>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</si>
  <si>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</si>
  <si>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</si>
  <si>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</si>
  <si>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</si>
  <si>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</si>
  <si>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</si>
  <si>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</si>
  <si>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</si>
  <si>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</si>
  <si>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</si>
  <si>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</si>
  <si>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</si>
  <si>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</si>
  <si>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</si>
  <si>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</si>
  <si>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</si>
  <si>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</si>
  <si>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</si>
  <si>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</si>
  <si>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</si>
  <si>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</si>
  <si>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</si>
  <si>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</si>
  <si>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</si>
  <si>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</si>
  <si>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</si>
  <si>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</si>
  <si>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</si>
  <si>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</si>
  <si>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</si>
  <si>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</si>
  <si>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</si>
  <si>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</si>
  <si>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</si>
  <si>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</si>
  <si>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</si>
  <si>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</si>
  <si>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</si>
  <si>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</si>
  <si>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</si>
  <si>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</si>
  <si>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</si>
  <si>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</si>
  <si>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</si>
  <si>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</si>
  <si>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</si>
  <si>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</si>
  <si>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</si>
  <si>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</si>
  <si>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</si>
  <si>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</si>
  <si>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</si>
  <si>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</si>
  <si>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</si>
  <si>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</si>
  <si>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</si>
  <si>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</si>
  <si>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</si>
  <si>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</si>
  <si>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</si>
  <si>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</si>
  <si>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</si>
  <si>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</si>
  <si>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</si>
  <si>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</si>
  <si>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</si>
  <si>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</si>
  <si>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</si>
  <si>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</si>
  <si>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</si>
  <si>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</si>
  <si>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</si>
  <si>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</si>
  <si>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</si>
  <si>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</si>
  <si>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</si>
  <si>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</si>
  <si>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</si>
  <si>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</si>
  <si>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</si>
  <si>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</si>
  <si>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</si>
  <si>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</si>
  <si>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</si>
  <si>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</si>
  <si>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</si>
  <si>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</si>
  <si>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</si>
  <si>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</si>
  <si>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</si>
  <si>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</si>
  <si>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</si>
  <si>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</si>
  <si>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</si>
  <si>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</si>
  <si>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</si>
  <si>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</si>
  <si>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</si>
  <si>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</si>
  <si>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</si>
  <si>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</si>
  <si>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</si>
  <si>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</si>
  <si>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</si>
  <si>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</si>
  <si>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</si>
  <si>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</si>
  <si>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</si>
  <si>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</si>
  <si>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</si>
  <si>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</si>
  <si>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</si>
  <si>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</si>
  <si>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</si>
  <si>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</si>
  <si>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</si>
  <si>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</si>
  <si>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</si>
  <si>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</si>
  <si>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</si>
  <si>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</si>
  <si>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</si>
  <si>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</si>
  <si>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</si>
  <si>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</si>
  <si>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</si>
  <si>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</si>
  <si>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</si>
  <si>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</si>
  <si>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</si>
  <si>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</si>
  <si>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</si>
  <si>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</si>
  <si>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</si>
  <si>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</si>
  <si>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</si>
  <si>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</si>
  <si>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</si>
  <si>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</si>
  <si>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</si>
  <si>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</si>
  <si>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</si>
  <si>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</si>
  <si>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</si>
  <si>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</si>
  <si>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</si>
  <si>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</si>
  <si>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</si>
  <si>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</si>
  <si>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</si>
  <si>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</si>
  <si>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</si>
  <si>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</si>
  <si>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</si>
  <si>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</si>
  <si>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</si>
  <si>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</si>
  <si>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</si>
  <si>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</si>
  <si>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</si>
  <si>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</si>
  <si>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</si>
  <si>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</si>
  <si>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</si>
  <si>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</si>
  <si>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</si>
  <si>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</si>
  <si>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</si>
  <si>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</si>
  <si>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</si>
  <si>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</si>
  <si>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</si>
  <si>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</si>
  <si>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</si>
  <si>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</si>
  <si>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</si>
  <si>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</si>
  <si>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</si>
  <si>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</si>
  <si>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</si>
  <si>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</si>
  <si>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</si>
  <si>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</si>
  <si>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</si>
  <si>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</si>
  <si>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</si>
  <si>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</si>
  <si>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</si>
  <si>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</si>
  <si>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</si>
  <si>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</si>
  <si>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</si>
  <si>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</si>
  <si>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</si>
  <si>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</si>
  <si>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</si>
  <si>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</si>
  <si>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</si>
  <si>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</si>
  <si>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</si>
  <si>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</si>
  <si>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</si>
  <si>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</si>
  <si>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</si>
  <si>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</si>
  <si>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</si>
  <si>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</si>
  <si>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</si>
  <si>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</si>
  <si>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</si>
  <si>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</si>
  <si>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</si>
  <si>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</si>
  <si>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</si>
  <si>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</si>
  <si>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</si>
  <si>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</si>
  <si>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</si>
  <si>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</si>
  <si>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</si>
  <si>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</si>
  <si>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</si>
  <si>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</si>
  <si>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</si>
  <si>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</si>
  <si>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</si>
  <si>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</si>
  <si>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</si>
  <si>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</si>
  <si>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</si>
  <si>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</si>
  <si>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</si>
  <si>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</si>
  <si>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</si>
  <si>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</si>
  <si>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</si>
  <si>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</si>
  <si>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</si>
  <si>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</si>
  <si>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</si>
  <si>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</si>
  <si>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</si>
  <si>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</si>
  <si>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</si>
  <si>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</si>
  <si>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</si>
  <si>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</si>
  <si>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</si>
  <si>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</si>
  <si>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</si>
  <si>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</si>
  <si>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</si>
  <si>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</si>
  <si>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</si>
  <si>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</si>
  <si>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</si>
  <si>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</si>
  <si>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</si>
  <si>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</si>
  <si>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</si>
  <si>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</si>
  <si>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</si>
  <si>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</si>
  <si>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</si>
  <si>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</si>
  <si>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</si>
  <si>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</si>
  <si>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</si>
  <si>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</si>
  <si>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</si>
  <si>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</si>
  <si>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</si>
  <si>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</si>
  <si>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</si>
  <si>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</si>
  <si>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</si>
  <si>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</si>
  <si>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</si>
  <si>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</si>
  <si>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</si>
  <si>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</si>
  <si>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</si>
  <si>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</si>
  <si>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</si>
  <si>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</si>
  <si>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</si>
  <si>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</si>
  <si>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</si>
  <si>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</si>
  <si>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</si>
  <si>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</si>
  <si>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</si>
  <si>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</si>
  <si>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</si>
  <si>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</si>
  <si>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</si>
  <si>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</si>
  <si>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</si>
  <si>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</si>
  <si>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</si>
  <si>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</si>
  <si>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</si>
  <si>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</si>
  <si>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</si>
  <si>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</si>
  <si>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</si>
  <si>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</si>
  <si>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</si>
  <si>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</si>
  <si>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</si>
  <si>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</si>
  <si>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</si>
  <si>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</si>
  <si>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</si>
  <si>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</si>
  <si>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</si>
  <si>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</si>
  <si>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</si>
  <si>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</si>
  <si>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</si>
  <si>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</si>
  <si>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</si>
  <si>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</si>
  <si>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</si>
  <si>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</si>
  <si>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</si>
  <si>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</si>
  <si>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</si>
  <si>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</si>
  <si>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</si>
  <si>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</si>
  <si>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</si>
  <si>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</si>
  <si>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</si>
  <si>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</si>
  <si>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</si>
  <si>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</si>
  <si>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</si>
  <si>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</si>
  <si>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</si>
  <si>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</si>
  <si>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</si>
  <si>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</si>
  <si>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</si>
  <si>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</si>
  <si>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</si>
  <si>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</si>
  <si>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</si>
  <si>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</si>
  <si>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</si>
  <si>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</si>
  <si>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</si>
  <si>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</si>
  <si>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</si>
  <si>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</si>
  <si>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</si>
  <si>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</si>
  <si>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</si>
  <si>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</si>
  <si>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</si>
  <si>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</si>
  <si>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</si>
  <si>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</si>
  <si>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</si>
  <si>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</si>
  <si>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</si>
  <si>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</si>
  <si>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</si>
  <si>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</si>
  <si>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</si>
  <si>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</si>
  <si>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</si>
  <si>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</si>
  <si>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</si>
  <si>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</si>
  <si>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</si>
  <si>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</si>
  <si>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</si>
  <si>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</si>
  <si>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</si>
  <si>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</si>
  <si>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</si>
  <si>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</si>
  <si>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</si>
  <si>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</si>
  <si>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</si>
  <si>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</si>
  <si>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</si>
  <si>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</si>
  <si>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</si>
  <si>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</si>
  <si>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</si>
  <si>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</si>
  <si>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</si>
  <si>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</si>
  <si>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</si>
  <si>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</si>
  <si>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</si>
  <si>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</si>
  <si>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</si>
  <si>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</si>
  <si>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</si>
  <si>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</si>
  <si>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</si>
  <si>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</si>
  <si>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</si>
  <si>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</si>
  <si>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</si>
  <si>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</si>
  <si>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</si>
  <si>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</si>
  <si>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</si>
  <si>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</si>
  <si>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</si>
  <si>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</si>
  <si>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</si>
  <si>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</si>
  <si>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</si>
  <si>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</si>
  <si>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</si>
  <si>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</si>
  <si>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</si>
  <si>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</si>
  <si>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</si>
  <si>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</si>
  <si>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</si>
  <si>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</si>
  <si>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</si>
  <si>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</si>
  <si>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</si>
  <si>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</si>
  <si>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</si>
  <si>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</si>
  <si>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</si>
  <si>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</si>
  <si>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</si>
  <si>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</si>
  <si>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</si>
  <si>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</si>
  <si>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</si>
  <si>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</si>
  <si>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</si>
  <si>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</si>
  <si>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</si>
  <si>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</si>
  <si>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</si>
  <si>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</si>
  <si>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</si>
  <si>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</si>
  <si>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</si>
  <si>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</si>
  <si>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</si>
  <si>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</si>
  <si>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</si>
  <si>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</si>
  <si>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</si>
  <si>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</si>
  <si>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</si>
  <si>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</si>
  <si>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</si>
  <si>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</si>
  <si>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</si>
  <si>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</si>
  <si>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</si>
  <si>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</si>
  <si>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</si>
  <si>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</si>
  <si>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</si>
  <si>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</si>
  <si>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</si>
  <si>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</si>
  <si>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</si>
  <si>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</si>
  <si>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</si>
  <si>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</si>
  <si>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</si>
  <si>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</si>
  <si>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</si>
  <si>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</si>
  <si>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</si>
  <si>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</si>
  <si>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</si>
  <si>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</si>
  <si>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</si>
  <si>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</si>
  <si>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</si>
  <si>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</si>
  <si>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</si>
  <si>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</si>
  <si>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</si>
  <si>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</si>
  <si>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</si>
  <si>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</si>
  <si>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</si>
  <si>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</si>
  <si>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</si>
  <si>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</si>
  <si>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</si>
  <si>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</si>
  <si>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</si>
  <si>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</si>
  <si>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</si>
  <si>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</si>
  <si>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</si>
  <si>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</si>
  <si>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</si>
  <si>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</si>
  <si>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</si>
  <si>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</si>
  <si>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</si>
  <si>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</si>
  <si>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</si>
  <si>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</si>
  <si>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</si>
  <si>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</si>
  <si>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</si>
  <si>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</si>
  <si>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</si>
  <si>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</si>
  <si>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</si>
  <si>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</si>
  <si>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</si>
  <si>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</si>
  <si>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</si>
  <si>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</si>
  <si>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</si>
  <si>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</si>
  <si>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</si>
  <si>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</si>
  <si>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</si>
  <si>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</si>
  <si>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</si>
  <si>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</si>
  <si>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</si>
  <si>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</si>
  <si>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</si>
  <si>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</si>
  <si>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</si>
  <si>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</si>
  <si>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</si>
  <si>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</si>
  <si>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</si>
  <si>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</si>
  <si>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</si>
  <si>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</si>
  <si>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</si>
  <si>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</si>
  <si>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</si>
  <si>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</si>
  <si>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</si>
  <si>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</si>
  <si>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</si>
  <si>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</si>
  <si>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</si>
  <si>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</si>
  <si>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</si>
  <si>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</si>
  <si>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</si>
  <si>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</si>
  <si>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</si>
  <si>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</si>
  <si>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</si>
  <si>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</si>
  <si>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</si>
  <si>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</si>
  <si>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</si>
  <si>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</si>
  <si>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</si>
  <si>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</si>
  <si>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</si>
  <si>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</si>
  <si>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</si>
  <si>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</si>
  <si>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</si>
  <si>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</si>
  <si>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</si>
  <si>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</si>
  <si>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</si>
  <si>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</si>
  <si>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</si>
  <si>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</si>
  <si>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</si>
  <si>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</si>
  <si>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</si>
  <si>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</si>
  <si>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</si>
  <si>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</si>
  <si>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</si>
  <si>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</si>
  <si>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</si>
  <si>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</si>
  <si>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</si>
  <si>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</si>
  <si>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</si>
  <si>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</si>
  <si>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</si>
  <si>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</si>
  <si>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</si>
  <si>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</si>
  <si>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</si>
  <si>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</si>
  <si>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</si>
  <si>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</si>
  <si>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</si>
  <si>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</si>
  <si>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</si>
  <si>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</si>
  <si>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</si>
  <si>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</si>
  <si>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</si>
  <si>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</si>
  <si>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</si>
  <si>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</si>
  <si>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</si>
  <si>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</si>
  <si>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</si>
  <si>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</si>
  <si>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</si>
  <si>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</si>
  <si>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</si>
  <si>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</si>
  <si>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</si>
  <si>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</si>
  <si>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</si>
  <si>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</si>
  <si>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</si>
  <si>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</si>
  <si>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</si>
  <si>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</si>
  <si>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</si>
  <si>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</si>
  <si>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</si>
  <si>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</si>
  <si>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</si>
  <si>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</si>
  <si>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</si>
  <si>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</si>
  <si>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</si>
  <si>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</si>
  <si>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</si>
  <si>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</si>
  <si>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</si>
  <si>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</si>
  <si>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</si>
  <si>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</si>
  <si>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</si>
  <si>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</si>
  <si>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</si>
  <si>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</si>
  <si>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</si>
  <si>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</si>
  <si>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</si>
  <si>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</si>
  <si>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</si>
  <si>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</si>
  <si>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</si>
  <si>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</si>
  <si>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</si>
  <si>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</si>
  <si>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</si>
  <si>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</si>
  <si>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</si>
  <si>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</si>
  <si>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</si>
  <si>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</si>
  <si>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</si>
  <si>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</si>
  <si>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</si>
  <si>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</si>
  <si>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</si>
  <si>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</si>
  <si>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</si>
  <si>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</si>
  <si>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</si>
  <si>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</si>
  <si>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</si>
  <si>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</si>
  <si>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</si>
  <si>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</si>
  <si>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</si>
  <si>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</si>
  <si>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</si>
  <si>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</si>
  <si>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</si>
  <si>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</si>
  <si>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</si>
  <si>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</si>
  <si>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</si>
  <si>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</si>
  <si>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</si>
  <si>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</si>
  <si>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</si>
  <si>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</si>
  <si>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</si>
  <si>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</si>
  <si>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</si>
  <si>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</si>
  <si>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</si>
  <si>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</si>
  <si>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</si>
  <si>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</si>
  <si>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</si>
  <si>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</si>
  <si>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</si>
  <si>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</si>
  <si>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</si>
  <si>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</si>
  <si>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</si>
  <si>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</si>
  <si>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</si>
  <si>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</si>
  <si>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</si>
  <si>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</si>
  <si>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</si>
  <si>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</si>
  <si>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</si>
  <si>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</si>
  <si>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</si>
  <si>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</si>
  <si>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</si>
  <si>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</si>
  <si>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</si>
  <si>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</si>
  <si>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</si>
  <si>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</si>
  <si>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</si>
  <si>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</si>
  <si>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</si>
  <si>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</si>
  <si>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</si>
  <si>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</si>
  <si>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</si>
  <si>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</si>
  <si>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</si>
  <si>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</si>
  <si>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</si>
  <si>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</si>
  <si>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</si>
  <si>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</si>
  <si>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</si>
  <si>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</si>
  <si>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</si>
  <si>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</si>
  <si>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</si>
  <si>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</si>
  <si>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</si>
  <si>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</si>
  <si>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</si>
  <si>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</si>
  <si>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</si>
  <si>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</si>
  <si>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</si>
  <si>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</si>
  <si>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</si>
  <si>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</si>
  <si>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</si>
  <si>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</si>
  <si>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</si>
  <si>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</si>
  <si>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</si>
  <si>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</si>
  <si>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</si>
  <si>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</si>
  <si>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</si>
  <si>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</si>
  <si>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</si>
  <si>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</si>
  <si>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</si>
  <si>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</si>
  <si>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</si>
  <si>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</si>
  <si>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</si>
  <si>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</si>
  <si>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</si>
  <si>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</si>
  <si>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</si>
  <si>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</si>
  <si>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</si>
  <si>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</si>
  <si>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</si>
  <si>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</si>
  <si>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</si>
  <si>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</si>
  <si>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</si>
  <si>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</si>
  <si>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</si>
  <si>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</si>
  <si>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</si>
  <si>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</si>
  <si>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</si>
  <si>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</si>
  <si>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</si>
  <si>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</si>
  <si>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</si>
  <si>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</si>
  <si>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</si>
  <si>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</si>
  <si>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</si>
  <si>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</si>
  <si>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</si>
  <si>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</si>
  <si>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</si>
  <si>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</si>
  <si>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</si>
  <si>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</si>
  <si>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</si>
  <si>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</si>
  <si>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</si>
  <si>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</si>
  <si>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</si>
  <si>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</si>
  <si>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</si>
  <si>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</si>
  <si>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</si>
  <si>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</si>
  <si>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</si>
  <si>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</si>
  <si>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</si>
  <si>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</si>
  <si>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</si>
  <si>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</si>
  <si>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</si>
  <si>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</si>
  <si>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</si>
  <si>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</si>
  <si>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</si>
  <si>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</si>
  <si>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</si>
  <si>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</si>
  <si>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</si>
  <si>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</si>
  <si>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</si>
  <si>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</si>
  <si>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</si>
  <si>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</si>
  <si>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</si>
  <si>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</si>
  <si>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</si>
  <si>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</si>
  <si>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</si>
  <si>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</si>
  <si>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</si>
  <si>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</si>
  <si>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</si>
  <si>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</si>
  <si>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</si>
  <si>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</si>
  <si>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</si>
  <si>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</si>
  <si>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</si>
  <si>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</si>
  <si>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</si>
  <si>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</si>
  <si>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</si>
  <si>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</si>
  <si>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</si>
  <si>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</si>
  <si>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</si>
  <si>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</si>
  <si>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</si>
  <si>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</si>
  <si>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</si>
  <si>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</si>
  <si>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</si>
  <si>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</si>
  <si>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</si>
  <si>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</si>
  <si>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</si>
  <si>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</si>
  <si>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</si>
  <si>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</si>
  <si>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</si>
  <si>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</si>
  <si>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</si>
  <si>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</si>
  <si>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</si>
  <si>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</si>
  <si>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</si>
  <si>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</si>
  <si>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</si>
  <si>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</si>
  <si>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</si>
  <si>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</si>
  <si>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</si>
  <si>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</si>
  <si>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</si>
  <si>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</si>
  <si>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</si>
  <si>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</si>
  <si>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</si>
  <si>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</si>
  <si>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</si>
  <si>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</si>
  <si>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</si>
  <si>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</si>
  <si>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</si>
  <si>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</si>
  <si>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</si>
  <si>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</si>
  <si>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</si>
  <si>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</si>
  <si>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</si>
  <si>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</si>
  <si>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</si>
  <si>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</si>
  <si>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</si>
  <si>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</si>
  <si>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</si>
  <si>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</si>
  <si>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</si>
  <si>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</si>
  <si>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</si>
  <si>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</si>
  <si>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</si>
  <si>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</si>
  <si>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</si>
  <si>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</si>
  <si>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</si>
  <si>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</si>
  <si>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</si>
  <si>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</si>
  <si>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</si>
  <si>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</si>
  <si>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</si>
  <si>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</si>
  <si>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</si>
  <si>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</si>
  <si>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</si>
  <si>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</si>
  <si>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</si>
  <si>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</si>
  <si>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</si>
  <si>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</si>
  <si>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</si>
  <si>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</si>
  <si>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</si>
  <si>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</si>
  <si>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</si>
  <si>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</si>
  <si>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</si>
  <si>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</si>
  <si>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</si>
  <si>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</si>
  <si>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</si>
  <si>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</si>
  <si>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</si>
  <si>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</si>
  <si>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</si>
  <si>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</si>
  <si>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</si>
  <si>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</si>
  <si>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</si>
  <si>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</si>
  <si>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</si>
  <si>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</si>
  <si>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</si>
  <si>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</si>
  <si>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</si>
  <si>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</si>
  <si>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</si>
  <si>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</si>
  <si>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</si>
  <si>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</si>
  <si>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</si>
  <si>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</si>
  <si>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</si>
  <si>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</si>
  <si>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</si>
  <si>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</si>
  <si>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</si>
  <si>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</si>
  <si>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</si>
  <si>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</si>
  <si>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</si>
  <si>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</si>
  <si>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</si>
  <si>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</si>
  <si>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</si>
  <si>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</si>
  <si>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</si>
  <si>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</si>
  <si>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</si>
  <si>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</si>
  <si>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</si>
  <si>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</si>
  <si>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</si>
  <si>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</si>
  <si>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</si>
  <si>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</si>
  <si>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</si>
  <si>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</si>
  <si>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</si>
  <si>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</si>
  <si>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</si>
  <si>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</si>
  <si>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</si>
  <si>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</si>
  <si>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</si>
  <si>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</si>
  <si>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</si>
  <si>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</si>
  <si>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</si>
  <si>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</si>
  <si>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</si>
  <si>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</si>
  <si>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</si>
  <si>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</si>
  <si>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</si>
  <si>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</si>
  <si>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</si>
  <si>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</si>
  <si>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</si>
  <si>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</si>
  <si>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</si>
  <si>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</si>
  <si>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</si>
  <si>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</si>
  <si>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</si>
  <si>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</si>
  <si>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</si>
  <si>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</si>
  <si>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</si>
  <si>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</si>
  <si>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</si>
  <si>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</si>
  <si>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</si>
  <si>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</si>
  <si>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</si>
  <si>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</si>
  <si>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</si>
  <si>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</si>
  <si>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</si>
  <si>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</si>
  <si>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</si>
  <si>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</si>
  <si>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</si>
  <si>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</si>
  <si>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</si>
  <si>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</si>
  <si>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</si>
  <si>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</si>
  <si>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</si>
  <si>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</si>
  <si>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</si>
  <si>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</si>
  <si>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</si>
  <si>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</si>
  <si>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</si>
  <si>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</si>
  <si>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</si>
  <si>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</si>
  <si>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</si>
  <si>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</si>
  <si>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</si>
  <si>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</si>
  <si>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</si>
  <si>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</si>
  <si>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</si>
  <si>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</si>
  <si>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</si>
  <si>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</si>
  <si>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</si>
  <si>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</si>
  <si>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</si>
  <si>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</si>
  <si>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</si>
  <si>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</si>
  <si>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</si>
  <si>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</si>
  <si>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</si>
  <si>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</si>
  <si>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</si>
  <si>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</si>
  <si>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</si>
  <si>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</si>
  <si>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</si>
  <si>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</si>
  <si>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</si>
  <si>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</si>
  <si>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</si>
  <si>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</si>
  <si>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</si>
  <si>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</si>
  <si>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</si>
  <si>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</si>
  <si>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</si>
  <si>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</si>
  <si>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</si>
  <si>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</si>
  <si>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</si>
  <si>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</si>
  <si>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</si>
  <si>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</si>
  <si>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</si>
  <si>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</si>
  <si>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</si>
  <si>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</si>
  <si>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</si>
  <si>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</si>
  <si>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</si>
  <si>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</si>
  <si>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</si>
  <si>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</si>
  <si>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</si>
  <si>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</si>
  <si>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</si>
  <si>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</si>
  <si>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</si>
  <si>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</si>
  <si>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</si>
  <si>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</si>
  <si>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</si>
  <si>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</si>
  <si>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</si>
  <si>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</si>
  <si>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</si>
  <si>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</si>
  <si>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</si>
  <si>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</si>
  <si>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</si>
  <si>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</si>
  <si>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</si>
  <si>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</si>
  <si>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</si>
  <si>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</si>
  <si>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</si>
  <si>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</si>
  <si>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</si>
  <si>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</si>
  <si>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</si>
  <si>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</si>
  <si>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</si>
  <si>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</si>
  <si>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</si>
  <si>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</si>
  <si>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</si>
  <si>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</si>
  <si>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</si>
  <si>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</si>
  <si>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</si>
  <si>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</si>
  <si>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</si>
  <si>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</si>
  <si>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</si>
  <si>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</si>
  <si>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</si>
  <si>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</si>
  <si>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</si>
  <si>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</si>
  <si>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</si>
  <si>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</si>
  <si>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</si>
  <si>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</si>
  <si>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</si>
  <si>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</si>
  <si>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</si>
  <si>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</si>
  <si>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</si>
  <si>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</si>
  <si>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</si>
  <si>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</si>
  <si>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</si>
  <si>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</si>
  <si>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</si>
  <si>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</si>
  <si>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</si>
  <si>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</si>
  <si>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</si>
  <si>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</si>
  <si>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</si>
  <si>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</si>
  <si>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</si>
  <si>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</si>
  <si>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</si>
  <si>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</si>
  <si>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</si>
  <si>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</si>
  <si>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</si>
  <si>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</si>
  <si>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</si>
  <si>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</si>
  <si>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</si>
  <si>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</si>
  <si>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</si>
  <si>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</si>
  <si>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</si>
  <si>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</si>
  <si>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</si>
  <si>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</si>
  <si>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</si>
  <si>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</si>
  <si>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</si>
  <si>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</si>
  <si>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</si>
  <si>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</si>
  <si>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</si>
  <si>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</si>
  <si>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</si>
  <si>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</si>
  <si>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</si>
  <si>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</si>
  <si>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</si>
  <si>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</si>
  <si>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</si>
  <si>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</si>
  <si>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</si>
  <si>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</si>
  <si>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</si>
  <si>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</si>
  <si>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</si>
  <si>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</si>
  <si>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</si>
  <si>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</si>
  <si>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</si>
  <si>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</si>
  <si>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</si>
  <si>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</si>
  <si>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</si>
  <si>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</si>
  <si>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</si>
  <si>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</si>
  <si>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</si>
  <si>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</si>
  <si>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</si>
  <si>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</si>
  <si>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</si>
  <si>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</si>
  <si>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</si>
  <si>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</si>
  <si>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</si>
  <si>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</si>
  <si>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</si>
  <si>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</si>
  <si>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</si>
  <si>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</si>
  <si>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</si>
  <si>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</si>
  <si>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</si>
  <si>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</si>
  <si>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</si>
  <si>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</si>
  <si>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</si>
  <si>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</si>
  <si>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</si>
  <si>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</si>
  <si>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</si>
  <si>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</si>
  <si>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</si>
  <si>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</si>
  <si>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</si>
  <si>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</si>
  <si>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</si>
  <si>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</si>
  <si>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</si>
  <si>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</si>
  <si>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</si>
  <si>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</si>
  <si>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</si>
  <si>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</si>
  <si>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</si>
  <si>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</si>
  <si>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</si>
  <si>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</si>
  <si>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</si>
  <si>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</si>
  <si>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</si>
  <si>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</si>
  <si>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</si>
  <si>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</si>
  <si>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</si>
  <si>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</si>
  <si>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</si>
  <si>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</si>
  <si>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</si>
  <si>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</si>
  <si>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</si>
  <si>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</si>
  <si>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</si>
  <si>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</si>
  <si>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</si>
  <si>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</si>
  <si>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</si>
  <si>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</si>
  <si>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</si>
  <si>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</si>
  <si>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</si>
  <si>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</si>
  <si>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</si>
  <si>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</si>
  <si>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</si>
  <si>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</si>
  <si>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</si>
  <si>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</si>
  <si>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</si>
  <si>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</si>
  <si>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</si>
  <si>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</si>
  <si>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</si>
  <si>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</si>
  <si>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</si>
  <si>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</si>
  <si>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</si>
  <si>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</si>
  <si>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</si>
  <si>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</si>
  <si>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</si>
  <si>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</si>
  <si>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</si>
  <si>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</si>
  <si>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</si>
  <si>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</si>
  <si>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</si>
  <si>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</si>
  <si>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</si>
  <si>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</si>
  <si>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</si>
  <si>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</si>
  <si>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</si>
  <si>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</si>
  <si>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</si>
  <si>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</si>
  <si>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</si>
  <si>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</si>
  <si>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</si>
  <si>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</si>
  <si>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</si>
  <si>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</si>
  <si>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</si>
  <si>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</si>
  <si>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</si>
  <si>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</si>
  <si>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</si>
  <si>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</si>
  <si>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</si>
  <si>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</si>
  <si>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</si>
  <si>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</si>
  <si>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</si>
  <si>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</si>
  <si>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</si>
  <si>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</si>
  <si>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</si>
  <si>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</si>
  <si>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</si>
  <si>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</si>
  <si>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</si>
  <si>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</si>
  <si>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</si>
  <si>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</si>
  <si>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</si>
  <si>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</si>
  <si>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</si>
  <si>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</si>
  <si>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</si>
  <si>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</si>
  <si>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</si>
  <si>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</si>
  <si>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</si>
  <si>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</si>
  <si>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</si>
  <si>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</si>
  <si>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</si>
  <si>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</si>
  <si>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</si>
  <si>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</si>
  <si>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</si>
  <si>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</si>
  <si>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</si>
  <si>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</si>
  <si>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</si>
  <si>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</si>
  <si>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</si>
  <si>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</si>
  <si>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</si>
  <si>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</si>
  <si>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</si>
  <si>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</si>
  <si>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</si>
  <si>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</si>
  <si>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</si>
  <si>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</si>
  <si>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</si>
  <si>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</si>
  <si>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</si>
  <si>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</si>
  <si>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</si>
  <si>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</si>
  <si>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</si>
  <si>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</si>
  <si>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</si>
  <si>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</si>
  <si>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</si>
  <si>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</si>
  <si>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</si>
  <si>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</si>
  <si>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</si>
  <si>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</si>
  <si>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</si>
  <si>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</si>
  <si>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</si>
  <si>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</si>
  <si>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</si>
  <si>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</si>
  <si>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</si>
  <si>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</si>
  <si>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</si>
  <si>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</si>
  <si>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</si>
  <si>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</si>
  <si>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</si>
  <si>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</si>
  <si>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</si>
  <si>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</si>
  <si>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</si>
  <si>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</si>
  <si>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</si>
  <si>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</si>
  <si>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</si>
  <si>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</si>
  <si>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</si>
  <si>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</si>
  <si>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</si>
  <si>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</si>
  <si>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</si>
  <si>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</si>
  <si>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</si>
  <si>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</si>
  <si>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</si>
  <si>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</si>
  <si>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</si>
  <si>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</si>
  <si>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</si>
  <si>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</si>
  <si>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</si>
  <si>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</si>
  <si>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</si>
  <si>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</si>
  <si>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</si>
  <si>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</si>
  <si>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</si>
  <si>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</si>
  <si>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</si>
  <si>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</si>
  <si>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</si>
  <si>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</si>
  <si>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</si>
  <si>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</si>
  <si>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</si>
  <si>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</si>
  <si>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</si>
  <si>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</si>
  <si>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</si>
  <si>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</si>
  <si>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</si>
  <si>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</si>
  <si>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</si>
  <si>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</si>
  <si>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</si>
  <si>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</si>
  <si>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</si>
  <si>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</si>
  <si>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</si>
  <si>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</si>
  <si>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</si>
  <si>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</si>
  <si>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</si>
  <si>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</si>
  <si>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</si>
  <si>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</si>
  <si>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</si>
  <si>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</si>
  <si>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</si>
  <si>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</si>
  <si>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</si>
  <si>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</si>
  <si>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</si>
  <si>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</si>
  <si>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</si>
  <si>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</si>
  <si>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</si>
  <si>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</si>
  <si>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</si>
  <si>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</si>
  <si>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</si>
  <si>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</si>
  <si>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</si>
  <si>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</si>
  <si>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</si>
  <si>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</si>
  <si>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</si>
  <si>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</si>
  <si>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</si>
  <si>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</si>
  <si>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</si>
  <si>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</si>
  <si>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</si>
  <si>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</si>
  <si>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</si>
  <si>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</si>
  <si>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</si>
  <si>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</si>
  <si>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</si>
  <si>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</si>
  <si>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</si>
  <si>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</si>
  <si>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</si>
  <si>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</si>
  <si>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</si>
  <si>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</si>
  <si>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</si>
  <si>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</si>
  <si>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</si>
  <si>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</si>
  <si>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</si>
  <si>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</si>
  <si>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</si>
  <si>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</si>
  <si>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</si>
  <si>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</si>
  <si>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</si>
  <si>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</si>
  <si>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</si>
  <si>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</si>
  <si>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</si>
  <si>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</si>
  <si>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</si>
  <si>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</si>
  <si>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</si>
  <si>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</si>
  <si>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</si>
  <si>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</si>
  <si>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</si>
  <si>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</si>
  <si>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</si>
  <si>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</si>
  <si>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</si>
  <si>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</si>
  <si>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</si>
  <si>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</si>
  <si>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</si>
  <si>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</si>
  <si>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</si>
  <si>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</si>
  <si>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</si>
  <si>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</si>
  <si>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</si>
  <si>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</si>
  <si>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</si>
  <si>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</si>
  <si>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</si>
  <si>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</si>
  <si>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</si>
  <si>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</si>
  <si>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</si>
  <si>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</si>
  <si>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</si>
  <si>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</si>
  <si>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</si>
  <si>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</si>
  <si>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</si>
  <si>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</si>
  <si>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</si>
  <si>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</si>
  <si>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</si>
  <si>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</si>
  <si>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</si>
  <si>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</si>
  <si>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</si>
  <si>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</si>
  <si>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</si>
  <si>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</si>
  <si>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</si>
  <si>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</si>
  <si>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</si>
  <si>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</si>
  <si>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</si>
  <si>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</si>
  <si>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</si>
  <si>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</si>
  <si>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</si>
  <si>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</si>
  <si>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</si>
  <si>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</si>
  <si>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</si>
  <si>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</si>
  <si>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</si>
  <si>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</si>
  <si>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</si>
  <si>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</si>
  <si>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</si>
  <si>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</si>
  <si>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</si>
  <si>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</si>
  <si>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</si>
  <si>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</si>
  <si>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</si>
  <si>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</si>
  <si>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</si>
  <si>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</si>
  <si>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</si>
  <si>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</si>
  <si>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</si>
  <si>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</si>
  <si>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</si>
  <si>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</si>
  <si>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</si>
  <si>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</si>
  <si>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</si>
  <si>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</si>
  <si>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</si>
  <si>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</si>
  <si>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</si>
  <si>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</si>
  <si>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</si>
  <si>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</si>
  <si>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</si>
  <si>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</si>
  <si>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</si>
  <si>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</si>
  <si>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</si>
  <si>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</si>
  <si>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</si>
  <si>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</si>
  <si>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</si>
  <si>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</si>
  <si>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</si>
  <si>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</si>
  <si>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</si>
  <si>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</si>
  <si>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</si>
  <si>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</si>
  <si>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</si>
  <si>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</si>
  <si>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</si>
  <si>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</si>
  <si>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</si>
  <si>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</si>
  <si>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</si>
  <si>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</si>
  <si>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</si>
  <si>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</si>
  <si>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</si>
  <si>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</si>
  <si>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</si>
  <si>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</si>
  <si>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</si>
  <si>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</si>
  <si>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</si>
  <si>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</si>
  <si>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</si>
  <si>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</si>
  <si>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</si>
  <si>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</si>
  <si>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</si>
  <si>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</si>
  <si>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</si>
  <si>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</si>
  <si>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</si>
  <si>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</si>
  <si>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</si>
  <si>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</si>
  <si>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</si>
  <si>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</si>
  <si>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</si>
  <si>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</si>
  <si>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</si>
  <si>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</si>
  <si>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</si>
  <si>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</si>
  <si>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</si>
  <si>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</si>
  <si>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</si>
  <si>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</si>
  <si>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</si>
  <si>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</si>
  <si>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</si>
  <si>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</si>
  <si>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</si>
  <si>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</si>
  <si>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</si>
  <si>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</si>
  <si>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</si>
  <si>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</si>
  <si>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</si>
  <si>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</si>
  <si>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</si>
  <si>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</si>
  <si>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</si>
  <si>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</si>
  <si>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</si>
  <si>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</si>
  <si>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</si>
  <si>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</si>
  <si>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</si>
  <si>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</si>
  <si>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</si>
  <si>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</si>
  <si>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</si>
  <si>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</si>
  <si>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</si>
  <si>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</si>
  <si>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</si>
  <si>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</si>
  <si>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</si>
  <si>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</si>
  <si>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</si>
  <si>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</si>
  <si>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</si>
  <si>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</si>
  <si>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</si>
  <si>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</si>
  <si>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</si>
  <si>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</si>
  <si>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</si>
  <si>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</si>
  <si>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</si>
  <si>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</si>
  <si>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</si>
  <si>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</si>
  <si>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</si>
  <si>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</si>
  <si>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</si>
  <si>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</si>
  <si>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</si>
  <si>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</si>
  <si>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</si>
  <si>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</si>
  <si>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</si>
  <si>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</si>
  <si>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</si>
  <si>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</si>
  <si>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</si>
  <si>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</si>
  <si>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</si>
  <si>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</si>
  <si>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</si>
  <si>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</si>
  <si>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</si>
  <si>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</si>
  <si>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</si>
  <si>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</si>
  <si>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</si>
  <si>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</si>
  <si>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</si>
  <si>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</si>
  <si>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</si>
  <si>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</si>
  <si>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</si>
  <si>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</si>
  <si>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</si>
  <si>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</si>
  <si>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</si>
  <si>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</si>
  <si>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</si>
  <si>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</si>
  <si>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</si>
  <si>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</si>
  <si>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</si>
  <si>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</si>
  <si>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</si>
  <si>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</si>
  <si>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</si>
  <si>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</si>
  <si>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</si>
  <si>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</si>
  <si>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</si>
  <si>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</si>
  <si>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</si>
  <si>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</si>
  <si>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</si>
  <si>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</si>
  <si>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</si>
  <si>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</si>
  <si>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</si>
  <si>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</si>
  <si>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</si>
  <si>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</si>
  <si>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</si>
  <si>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</si>
  <si>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</si>
  <si>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</si>
  <si>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</si>
  <si>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</si>
  <si>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</si>
  <si>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</si>
  <si>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</si>
  <si>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</si>
  <si>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</si>
  <si>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</si>
  <si>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</si>
  <si>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</si>
  <si>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</si>
  <si>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</si>
  <si>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</si>
  <si>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</si>
  <si>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</si>
  <si>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</si>
  <si>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</si>
  <si>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</si>
  <si>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</si>
  <si>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</si>
  <si>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</si>
  <si>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</si>
  <si>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</si>
  <si>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</si>
  <si>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</si>
  <si>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</si>
  <si>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</si>
  <si>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</si>
  <si>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</si>
  <si>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</si>
  <si>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</si>
  <si>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</si>
  <si>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</si>
  <si>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</si>
  <si>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</si>
  <si>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</si>
  <si>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</si>
  <si>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</si>
  <si>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</si>
  <si>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</si>
  <si>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</si>
  <si>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</si>
  <si>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</si>
  <si>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</si>
  <si>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</si>
  <si>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</si>
  <si>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</si>
  <si>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</si>
  <si>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</si>
  <si>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</si>
  <si>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</si>
  <si>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</si>
  <si>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</si>
  <si>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</si>
  <si>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</si>
  <si>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</si>
  <si>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</si>
  <si>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</si>
  <si>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</si>
  <si>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</si>
  <si>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</si>
  <si>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</si>
  <si>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</si>
  <si>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</si>
  <si>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</si>
  <si>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</si>
  <si>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</si>
  <si>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</si>
  <si>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</si>
  <si>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</si>
  <si>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</si>
  <si>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</si>
  <si>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</si>
  <si>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</si>
  <si>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</si>
  <si>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</si>
  <si>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</si>
  <si>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</si>
  <si>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</si>
  <si>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</si>
  <si>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</si>
  <si>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</si>
  <si>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</si>
  <si>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</si>
  <si>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</si>
  <si>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</si>
  <si>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</si>
  <si>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</si>
  <si>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</si>
  <si>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</si>
  <si>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</si>
  <si>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</si>
  <si>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</si>
  <si>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</si>
  <si>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</si>
  <si>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</si>
  <si>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</si>
  <si>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</si>
  <si>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</si>
  <si>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</si>
  <si>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</si>
  <si>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</si>
  <si>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</si>
  <si>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</si>
  <si>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</si>
  <si>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</si>
  <si>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</si>
  <si>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</si>
  <si>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</si>
  <si>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</si>
  <si>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</si>
  <si>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</si>
  <si>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</si>
  <si>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</si>
  <si>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</si>
  <si>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</si>
  <si>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</si>
  <si>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</si>
  <si>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</si>
  <si>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</si>
  <si>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</si>
  <si>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</si>
  <si>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</si>
  <si>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</si>
  <si>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</si>
  <si>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</si>
  <si>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</si>
  <si>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</si>
  <si>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</si>
  <si>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</si>
  <si>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</si>
  <si>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</si>
  <si>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</si>
  <si>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</si>
  <si>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</si>
  <si>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</si>
  <si>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</si>
  <si>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</si>
  <si>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</si>
  <si>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</si>
  <si>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</si>
  <si>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</si>
  <si>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</si>
  <si>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</si>
  <si>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</si>
  <si>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</si>
  <si>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</si>
  <si>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</si>
  <si>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</si>
  <si>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</si>
  <si>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</si>
  <si>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</si>
  <si>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</si>
  <si>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</si>
  <si>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</si>
  <si>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</si>
  <si>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</si>
  <si>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</si>
  <si>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</si>
  <si>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</si>
  <si>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</si>
  <si>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</si>
  <si>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</si>
  <si>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</si>
  <si>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</si>
  <si>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</si>
  <si>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</si>
  <si>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</si>
  <si>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</si>
  <si>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</si>
  <si>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</si>
  <si>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</si>
  <si>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</si>
  <si>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</si>
  <si>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</si>
  <si>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</si>
  <si>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</si>
  <si>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</si>
  <si>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</si>
  <si>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</si>
  <si>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</si>
  <si>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</si>
  <si>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</si>
  <si>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</si>
  <si>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</si>
  <si>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</si>
  <si>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</si>
  <si>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</si>
  <si>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</si>
  <si>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</si>
  <si>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</si>
  <si>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</si>
  <si>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</si>
  <si>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</si>
  <si>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</si>
  <si>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</si>
  <si>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</si>
  <si>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</si>
  <si>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</si>
  <si>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</si>
  <si>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</si>
  <si>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</si>
  <si>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</si>
  <si>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</si>
  <si>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</si>
  <si>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</si>
  <si>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</si>
  <si>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</si>
  <si>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</si>
  <si>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</si>
  <si>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</si>
  <si>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</si>
  <si>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</si>
  <si>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</si>
  <si>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</si>
  <si>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</si>
  <si>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</si>
  <si>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</si>
  <si>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</si>
  <si>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</si>
  <si>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</si>
  <si>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</si>
  <si>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</si>
  <si>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</si>
  <si>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</si>
  <si>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</si>
  <si>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</si>
  <si>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</si>
  <si>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</si>
  <si>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</si>
  <si>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</si>
  <si>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</si>
  <si>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</si>
  <si>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</si>
  <si>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</si>
  <si>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</si>
  <si>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</si>
  <si>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</si>
  <si>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</si>
  <si>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</si>
  <si>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</si>
  <si>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</si>
  <si>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</si>
  <si>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</si>
  <si>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</si>
  <si>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</si>
  <si>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</si>
  <si>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</si>
  <si>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</si>
  <si>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</si>
  <si>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</si>
  <si>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</si>
  <si>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</si>
  <si>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</si>
  <si>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</si>
  <si>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</si>
  <si>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</si>
  <si>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</si>
  <si>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</si>
  <si>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</si>
  <si>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</si>
  <si>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</si>
  <si>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</si>
  <si>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</si>
  <si>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</si>
  <si>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</si>
  <si>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</si>
  <si>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</si>
  <si>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</si>
  <si>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</si>
  <si>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</si>
  <si>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</si>
  <si>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</si>
  <si>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</si>
  <si>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</si>
  <si>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</si>
  <si>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</si>
  <si>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</si>
  <si>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</si>
  <si>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</si>
  <si>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</si>
  <si>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</si>
  <si>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</si>
  <si>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</si>
  <si>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</si>
  <si>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</si>
  <si>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</si>
  <si>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</si>
  <si>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</si>
  <si>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</si>
  <si>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</si>
  <si>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</si>
  <si>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</si>
  <si>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</si>
  <si>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</si>
  <si>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</si>
  <si>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</si>
  <si>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</si>
  <si>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</si>
  <si>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</si>
  <si>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</si>
  <si>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</si>
  <si>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</si>
  <si>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</si>
  <si>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</si>
  <si>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</si>
  <si>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</si>
  <si>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</si>
  <si>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</si>
  <si>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</si>
  <si>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</si>
  <si>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</si>
  <si>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</si>
  <si>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</si>
  <si>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</si>
  <si>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</si>
  <si>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</si>
  <si>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</si>
  <si>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</si>
  <si>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</si>
  <si>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</si>
  <si>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</si>
  <si>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</si>
  <si>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</si>
  <si>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</si>
  <si>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</si>
  <si>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</si>
  <si>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</si>
  <si>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</si>
  <si>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</si>
  <si>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</si>
  <si>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</si>
  <si>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</si>
  <si>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</si>
  <si>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</si>
  <si>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</si>
  <si>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</si>
  <si>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</si>
  <si>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</si>
  <si>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</si>
  <si>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</si>
  <si>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</si>
  <si>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</si>
  <si>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</si>
  <si>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</si>
  <si>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</si>
  <si>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</si>
  <si>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</si>
  <si>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</si>
  <si>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</si>
  <si>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</si>
  <si>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</si>
  <si>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</si>
  <si>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</si>
  <si>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</si>
  <si>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</si>
  <si>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</si>
  <si>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</si>
  <si>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</si>
  <si>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</si>
  <si>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</si>
  <si>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</si>
  <si>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</si>
  <si>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</si>
  <si>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</si>
  <si>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</si>
  <si>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</si>
  <si>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</si>
  <si>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</si>
  <si>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</si>
  <si>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</si>
  <si>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</si>
  <si>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</si>
  <si>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</si>
  <si>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</si>
  <si>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</si>
  <si>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</si>
  <si>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</si>
  <si>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</si>
  <si>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</si>
  <si>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</si>
  <si>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</si>
  <si>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</si>
  <si>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</si>
  <si>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</si>
  <si>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</si>
  <si>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</si>
  <si>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</si>
  <si>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</si>
  <si>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</si>
  <si>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</si>
  <si>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</si>
  <si>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</si>
  <si>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</si>
  <si>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</si>
  <si>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</si>
  <si>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</si>
  <si>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</si>
  <si>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</si>
  <si>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</si>
  <si>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</si>
  <si>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</si>
  <si>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</si>
  <si>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</si>
  <si>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</si>
  <si>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</si>
  <si>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</si>
  <si>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</si>
  <si>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</si>
  <si>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</si>
  <si>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</si>
  <si>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</si>
  <si>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</si>
  <si>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</si>
  <si>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</si>
  <si>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</si>
  <si>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</si>
  <si>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</si>
  <si>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</si>
  <si>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</si>
  <si>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</si>
  <si>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</si>
  <si>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</si>
  <si>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</si>
  <si>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</si>
  <si>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</si>
  <si>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</si>
  <si>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</si>
  <si>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</si>
  <si>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</si>
  <si>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</si>
  <si>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</si>
  <si>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</si>
  <si>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</si>
  <si>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</si>
  <si>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</si>
  <si>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</si>
  <si>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</si>
  <si>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</si>
  <si>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</si>
  <si>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</si>
  <si>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</si>
  <si>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</si>
  <si>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</si>
  <si>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</si>
  <si>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</si>
  <si>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</si>
  <si>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</si>
  <si>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</si>
  <si>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</si>
  <si>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</si>
  <si>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</si>
  <si>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</si>
  <si>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</si>
  <si>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</si>
  <si>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</si>
  <si>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</si>
  <si>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</si>
  <si>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</si>
  <si>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</si>
  <si>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</si>
  <si>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</si>
  <si>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</si>
  <si>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</si>
  <si>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</si>
  <si>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</si>
  <si>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</si>
  <si>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</si>
  <si>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</si>
  <si>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</si>
  <si>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</si>
  <si>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</si>
  <si>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</si>
  <si>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</si>
  <si>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</si>
  <si>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</si>
  <si>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</si>
  <si>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</si>
  <si>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</si>
  <si>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</si>
  <si>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</si>
  <si>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</si>
  <si>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</si>
  <si>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</si>
  <si>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</si>
  <si>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</si>
  <si>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</si>
  <si>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</si>
  <si>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</si>
  <si>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</si>
  <si>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</si>
  <si>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</si>
  <si>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</si>
  <si>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</si>
  <si>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</si>
  <si>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</si>
  <si>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</si>
  <si>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</si>
  <si>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</si>
  <si>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</si>
  <si>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</si>
  <si>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</si>
  <si>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</si>
  <si>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</si>
  <si>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</si>
  <si>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</si>
  <si>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</si>
  <si>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</si>
  <si>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</si>
  <si>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</si>
  <si>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</si>
  <si>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</si>
  <si>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</si>
  <si>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</si>
  <si>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</si>
  <si>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</si>
  <si>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</si>
  <si>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</si>
  <si>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</si>
  <si>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</si>
  <si>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</si>
  <si>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</si>
  <si>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</si>
  <si>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</si>
  <si>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</si>
  <si>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</si>
  <si>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</si>
  <si>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</si>
  <si>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</si>
  <si>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</si>
  <si>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</si>
  <si>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</si>
  <si>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</si>
  <si>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</si>
  <si>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</si>
  <si>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</si>
  <si>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</si>
  <si>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</si>
  <si>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</si>
  <si>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</si>
  <si>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</si>
  <si>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</si>
  <si>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</si>
  <si>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</si>
  <si>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</si>
  <si>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</si>
  <si>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</si>
  <si>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</si>
  <si>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</si>
  <si>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</si>
  <si>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</si>
  <si>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</si>
  <si>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</si>
  <si>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</si>
  <si>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</si>
  <si>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</si>
  <si>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</si>
  <si>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</si>
  <si>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</si>
  <si>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</si>
  <si>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</si>
  <si>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</si>
  <si>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</si>
  <si>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</si>
  <si>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</si>
  <si>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</si>
  <si>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</si>
  <si>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</si>
  <si>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</si>
  <si>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</si>
  <si>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</si>
  <si>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</si>
  <si>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</si>
  <si>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</si>
  <si>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</si>
  <si>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</si>
  <si>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</si>
  <si>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</si>
  <si>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</si>
  <si>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</si>
  <si>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</si>
  <si>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</si>
  <si>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</si>
  <si>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</si>
  <si>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</si>
  <si>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</si>
  <si>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</si>
  <si>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</si>
  <si>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</si>
  <si>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</si>
  <si>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</si>
  <si>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</si>
  <si>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</si>
  <si>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</si>
  <si>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</si>
  <si>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</si>
  <si>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</si>
  <si>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</si>
  <si>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</si>
  <si>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</si>
  <si>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</si>
  <si>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</si>
  <si>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</si>
  <si>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</si>
  <si>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</si>
  <si>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</si>
  <si>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</si>
  <si>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</si>
  <si>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</si>
  <si>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</si>
  <si>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</si>
  <si>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</si>
  <si>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</si>
  <si>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</si>
  <si>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</si>
  <si>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</si>
  <si>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</si>
  <si>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</si>
  <si>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</si>
  <si>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</si>
  <si>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</si>
  <si>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</si>
  <si>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</si>
  <si>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</si>
  <si>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</si>
  <si>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</si>
  <si>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</si>
  <si>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</si>
  <si>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</si>
  <si>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</si>
  <si>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</si>
  <si>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</si>
  <si>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</si>
  <si>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</si>
  <si>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</si>
  <si>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</si>
  <si>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</si>
  <si>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</si>
  <si>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</si>
  <si>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</si>
  <si>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</si>
  <si>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</si>
  <si>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</si>
  <si>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</si>
  <si>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</si>
  <si>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</si>
  <si>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</si>
  <si>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</si>
  <si>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</si>
  <si>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</si>
  <si>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</si>
  <si>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</si>
  <si>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</si>
  <si>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</si>
  <si>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</si>
  <si>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</si>
  <si>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</si>
  <si>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</si>
  <si>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</si>
  <si>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</si>
  <si>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</si>
  <si>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</si>
  <si>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</si>
  <si>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</si>
  <si>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</si>
  <si>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</si>
  <si>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</si>
  <si>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</si>
  <si>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</si>
  <si>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</si>
  <si>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</si>
  <si>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</si>
  <si>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</si>
  <si>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</si>
  <si>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</si>
  <si>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</si>
  <si>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</si>
  <si>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</si>
  <si>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</si>
  <si>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</si>
  <si>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</si>
  <si>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</si>
  <si>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</si>
  <si>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</si>
  <si>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</si>
  <si>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</si>
  <si>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</si>
  <si>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</si>
  <si>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</si>
  <si>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</si>
  <si>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</si>
  <si>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</si>
  <si>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</si>
  <si>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</si>
  <si>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</si>
  <si>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</si>
  <si>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</si>
  <si>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</si>
  <si>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</si>
  <si>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</si>
  <si>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</si>
  <si>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</si>
  <si>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</si>
  <si>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</si>
  <si>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</si>
  <si>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</si>
  <si>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</si>
  <si>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</si>
  <si>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</si>
  <si>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</si>
  <si>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</si>
  <si>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</si>
  <si>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</si>
  <si>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</si>
  <si>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</si>
  <si>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</si>
  <si>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</si>
  <si>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</si>
  <si>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</si>
  <si>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</si>
  <si>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</si>
  <si>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</si>
  <si>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</si>
  <si>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</si>
  <si>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</si>
  <si>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</si>
  <si>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</si>
  <si>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</si>
  <si>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</si>
  <si>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</si>
  <si>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</si>
  <si>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</si>
  <si>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</si>
  <si>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</si>
  <si>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</si>
  <si>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</si>
  <si>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</si>
  <si>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</si>
  <si>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</si>
  <si>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</si>
  <si>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</si>
  <si>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</si>
  <si>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</si>
  <si>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</si>
  <si>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</si>
  <si>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</si>
  <si>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</si>
  <si>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</si>
  <si>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</si>
  <si>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</si>
  <si>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</si>
  <si>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</si>
  <si>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</si>
  <si>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</si>
  <si>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</si>
  <si>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</si>
  <si>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</si>
  <si>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</si>
  <si>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</si>
  <si>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</si>
  <si>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</si>
  <si>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</si>
  <si>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</si>
  <si>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</si>
  <si>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</si>
  <si>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</si>
  <si>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</si>
  <si>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</si>
  <si>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</si>
  <si>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</si>
  <si>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</si>
  <si>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</si>
  <si>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</si>
  <si>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</si>
  <si>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</si>
  <si>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</si>
  <si>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</si>
  <si>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</si>
  <si>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</si>
  <si>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</si>
  <si>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</si>
  <si>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</si>
  <si>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</si>
  <si>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</si>
  <si>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</si>
  <si>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</si>
  <si>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</si>
  <si>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</si>
  <si>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</si>
  <si>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</si>
  <si>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</si>
  <si>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</si>
  <si>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</si>
  <si>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</si>
  <si>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</si>
  <si>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</si>
  <si>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</si>
  <si>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</si>
  <si>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</si>
  <si>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</si>
  <si>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</si>
  <si>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</si>
  <si>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</si>
  <si>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</si>
  <si>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</si>
  <si>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</si>
  <si>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</si>
  <si>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</si>
  <si>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</si>
  <si>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</si>
  <si>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</si>
  <si>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</si>
  <si>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</si>
  <si>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</si>
  <si>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</si>
  <si>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</si>
  <si>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</si>
  <si>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</si>
  <si>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</si>
  <si>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</si>
  <si>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</si>
  <si>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</si>
  <si>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</si>
  <si>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</si>
  <si>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</si>
  <si>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</si>
  <si>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</si>
  <si>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</si>
  <si>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</si>
  <si>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</si>
  <si>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</si>
  <si>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</si>
  <si>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</si>
  <si>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</si>
  <si>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</si>
  <si>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</si>
  <si>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</si>
  <si>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</si>
  <si>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</si>
  <si>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</si>
  <si>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</si>
  <si>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</si>
  <si>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</si>
  <si>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</si>
  <si>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</si>
  <si>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</si>
  <si>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</si>
  <si>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</si>
  <si>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</si>
  <si>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</si>
  <si>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</si>
  <si>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</si>
  <si>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</si>
  <si>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</si>
  <si>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</si>
  <si>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</si>
  <si>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</si>
  <si>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</si>
  <si>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</si>
  <si>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</si>
  <si>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</si>
  <si>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</si>
  <si>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</si>
  <si>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</si>
  <si>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</si>
  <si>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</si>
  <si>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</si>
  <si>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</si>
  <si>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</si>
  <si>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</si>
  <si>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</si>
  <si>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</si>
  <si>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</si>
  <si>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</si>
  <si>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</si>
  <si>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</si>
  <si>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</si>
  <si>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</si>
  <si>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</si>
  <si>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</si>
  <si>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</si>
  <si>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</si>
  <si>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</si>
  <si>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</si>
  <si>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</si>
  <si>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</si>
  <si>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</si>
  <si>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</si>
  <si>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</si>
  <si>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</si>
  <si>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</si>
  <si>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</si>
  <si>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</si>
  <si>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</si>
  <si>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</si>
  <si>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</si>
  <si>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</si>
  <si>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</si>
  <si>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</si>
  <si>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</si>
  <si>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</si>
  <si>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</si>
  <si>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</si>
  <si>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</si>
  <si>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</si>
  <si>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</si>
  <si>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</si>
  <si>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</si>
  <si>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</si>
  <si>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</si>
  <si>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</si>
  <si>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</si>
  <si>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</si>
  <si>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</si>
  <si>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</si>
  <si>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</si>
  <si>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</si>
  <si>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</si>
  <si>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</si>
  <si>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</si>
  <si>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</si>
  <si>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</si>
  <si>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</si>
  <si>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</si>
  <si>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</si>
  <si>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</si>
  <si>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</si>
  <si>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</si>
  <si>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</si>
  <si>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</si>
  <si>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</si>
  <si>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</si>
  <si>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</si>
  <si>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</si>
  <si>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</si>
  <si>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</si>
  <si>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</si>
  <si>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</si>
  <si>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</si>
  <si>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</si>
  <si>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</si>
  <si>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</si>
  <si>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</si>
  <si>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</si>
  <si>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</si>
  <si>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</si>
  <si>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</si>
  <si>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</si>
  <si>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</si>
  <si>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</si>
  <si>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</si>
  <si>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</si>
  <si>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</si>
  <si>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</si>
  <si>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</si>
  <si>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</si>
  <si>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</si>
  <si>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</si>
  <si>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</si>
  <si>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</si>
  <si>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</si>
  <si>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</si>
  <si>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</si>
  <si>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</si>
  <si>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</si>
  <si>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</si>
  <si>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</si>
  <si>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</si>
  <si>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</si>
  <si>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</si>
  <si>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</si>
  <si>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</si>
  <si>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</si>
  <si>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</si>
  <si>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</si>
  <si>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</si>
  <si>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</si>
  <si>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</si>
  <si>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</si>
  <si>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</si>
  <si>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</si>
  <si>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</si>
  <si>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</si>
  <si>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</si>
  <si>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</si>
  <si>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</si>
  <si>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</si>
  <si>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</si>
  <si>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</si>
  <si>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</si>
  <si>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</si>
  <si>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</si>
  <si>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</si>
  <si>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</si>
  <si>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</si>
  <si>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</si>
  <si>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</si>
  <si>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</si>
  <si>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</si>
  <si>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</si>
  <si>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</si>
  <si>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</si>
  <si>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</si>
  <si>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</si>
  <si>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</si>
  <si>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</si>
  <si>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</si>
  <si>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</si>
  <si>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</si>
  <si>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</si>
  <si>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</si>
  <si>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</si>
  <si>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</si>
  <si>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</si>
  <si>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</si>
  <si>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</si>
  <si>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</si>
  <si>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</si>
  <si>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</si>
  <si>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</si>
  <si>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</si>
  <si>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</si>
  <si>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</si>
  <si>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</si>
  <si>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</si>
  <si>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</si>
  <si>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</si>
  <si>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</si>
  <si>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</si>
  <si>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</si>
  <si>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</si>
  <si>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</si>
  <si>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</si>
  <si>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</si>
  <si>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</si>
  <si>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</si>
  <si>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</si>
  <si>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</si>
  <si>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</si>
  <si>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</si>
  <si>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</si>
  <si>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</si>
  <si>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</si>
  <si>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</si>
  <si>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</si>
  <si>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</si>
  <si>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</si>
  <si>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</si>
  <si>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</si>
  <si>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</si>
  <si>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</si>
  <si>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</si>
  <si>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</si>
  <si>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</si>
  <si>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</si>
  <si>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</si>
  <si>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</si>
  <si>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</si>
  <si>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</si>
  <si>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</si>
  <si>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</si>
  <si>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</si>
  <si>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</si>
  <si>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</si>
  <si>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</si>
  <si>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</si>
  <si>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</si>
  <si>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</si>
  <si>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</si>
  <si>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</si>
  <si>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</si>
  <si>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</si>
  <si>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</si>
  <si>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</si>
  <si>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</si>
  <si>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</si>
  <si>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</si>
  <si>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</si>
  <si>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</si>
  <si>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</si>
  <si>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</si>
  <si>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</si>
  <si>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</si>
  <si>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</si>
  <si>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</si>
  <si>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</si>
  <si>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</si>
  <si>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</si>
  <si>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</si>
  <si>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</si>
  <si>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</si>
  <si>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</si>
  <si>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</si>
  <si>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</si>
  <si>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</si>
  <si>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</si>
  <si>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</si>
  <si>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</si>
  <si>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</si>
  <si>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</si>
  <si>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</si>
  <si>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</si>
  <si>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</si>
  <si>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</si>
  <si>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</si>
  <si>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</si>
  <si>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</si>
  <si>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</si>
  <si>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</si>
  <si>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</si>
  <si>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</si>
  <si>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</si>
  <si>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</si>
  <si>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</si>
  <si>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</si>
  <si>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</si>
  <si>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</si>
  <si>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</si>
  <si>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</si>
  <si>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</si>
  <si>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</si>
  <si>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</si>
  <si>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</si>
  <si>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</si>
  <si>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</si>
  <si>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</si>
  <si>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</si>
  <si>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</si>
  <si>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</si>
  <si>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</si>
  <si>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</si>
  <si>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</si>
  <si>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</si>
  <si>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</si>
  <si>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</si>
  <si>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</si>
  <si>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</si>
  <si>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</si>
  <si>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</si>
  <si>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</si>
  <si>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</si>
  <si>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</si>
  <si>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</si>
  <si>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</si>
  <si>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</si>
  <si>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</si>
  <si>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</si>
  <si>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</si>
  <si>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</si>
  <si>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</si>
  <si>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</si>
  <si>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</si>
  <si>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</si>
  <si>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</si>
  <si>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</si>
  <si>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</si>
  <si>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</si>
  <si>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</si>
  <si>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</si>
  <si>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</si>
  <si>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</si>
  <si>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</si>
  <si>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</si>
  <si>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</si>
  <si>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</si>
  <si>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</si>
  <si>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</si>
  <si>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</si>
  <si>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</si>
  <si>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</si>
  <si>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</si>
  <si>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</si>
  <si>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</si>
  <si>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</si>
  <si>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</si>
  <si>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</si>
  <si>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</si>
  <si>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</si>
  <si>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</si>
  <si>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</si>
  <si>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</si>
  <si>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</si>
  <si>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</si>
  <si>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</si>
  <si>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</si>
  <si>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</si>
  <si>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</si>
  <si>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</si>
  <si>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</si>
  <si>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</si>
  <si>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</si>
  <si>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</si>
  <si>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</si>
  <si>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</si>
  <si>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</si>
  <si>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</si>
  <si>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</si>
  <si>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</si>
  <si>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</si>
  <si>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</si>
  <si>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</si>
  <si>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</si>
  <si>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</si>
  <si>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</si>
  <si>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</si>
  <si>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</si>
  <si>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</si>
  <si>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</si>
  <si>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</si>
  <si>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</si>
  <si>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</si>
  <si>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</si>
  <si>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</si>
  <si>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</si>
  <si>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</si>
  <si>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</si>
  <si>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</si>
  <si>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</si>
  <si>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</si>
  <si>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</si>
  <si>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</si>
  <si>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</si>
  <si>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</si>
  <si>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</si>
  <si>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</si>
  <si>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</si>
  <si>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</si>
  <si>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</si>
  <si>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</si>
  <si>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</si>
  <si>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</si>
  <si>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</si>
  <si>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</si>
  <si>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</si>
  <si>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</si>
  <si>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</si>
  <si>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</si>
  <si>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</si>
  <si>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</si>
  <si>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</si>
  <si>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</si>
  <si>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</si>
  <si>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</si>
  <si>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</si>
  <si>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</si>
  <si>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</si>
  <si>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</si>
  <si>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</si>
  <si>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</si>
  <si>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</si>
  <si>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</si>
  <si>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</si>
  <si>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</si>
  <si>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</si>
  <si>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</si>
  <si>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</si>
  <si>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</si>
  <si>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</si>
  <si>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</si>
  <si>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</si>
  <si>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</si>
  <si>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</si>
  <si>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</si>
  <si>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</si>
  <si>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</si>
  <si>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</si>
  <si>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</si>
  <si>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</si>
  <si>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</si>
  <si>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</si>
  <si>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</si>
  <si>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</si>
  <si>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</si>
  <si>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</si>
  <si>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</si>
  <si>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</si>
  <si>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</si>
  <si>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</si>
  <si>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</si>
  <si>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</si>
  <si>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</si>
  <si>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</si>
  <si>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</si>
  <si>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</si>
  <si>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</si>
  <si>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</si>
  <si>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</si>
  <si>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</si>
  <si>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</si>
  <si>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</si>
  <si>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</si>
  <si>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</si>
  <si>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</si>
  <si>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</si>
  <si>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</si>
  <si>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</si>
  <si>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</si>
  <si>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</si>
  <si>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</si>
  <si>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</si>
  <si>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</si>
  <si>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</si>
  <si>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</si>
  <si>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</si>
  <si>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</si>
  <si>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</si>
  <si>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</si>
  <si>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</si>
  <si>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</si>
  <si>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</si>
  <si>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</si>
  <si>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</si>
  <si>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</si>
  <si>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</si>
  <si>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</si>
  <si>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</si>
  <si>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</si>
  <si>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</si>
  <si>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</si>
  <si>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</si>
  <si>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</si>
  <si>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</si>
  <si>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</si>
  <si>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</si>
  <si>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</si>
  <si>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</si>
  <si>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</si>
  <si>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</si>
  <si>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</si>
  <si>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</si>
  <si>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</si>
  <si>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</si>
  <si>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</si>
  <si>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</si>
  <si>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</si>
  <si>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</si>
  <si>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</si>
  <si>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</si>
  <si>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</si>
  <si>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</si>
  <si>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</si>
  <si>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</si>
  <si>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</si>
  <si>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</si>
  <si>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</si>
  <si>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</si>
  <si>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</si>
  <si>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</si>
  <si>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</si>
  <si>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</si>
  <si>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</si>
  <si>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</si>
  <si>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</si>
  <si>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</si>
  <si>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</si>
  <si>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</si>
  <si>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</si>
  <si>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</si>
  <si>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</si>
  <si>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</si>
  <si>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</si>
  <si>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</si>
  <si>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</si>
  <si>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</si>
  <si>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</si>
  <si>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</si>
  <si>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</si>
  <si>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</si>
  <si>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</si>
  <si>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</si>
  <si>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</si>
  <si>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</si>
  <si>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</si>
  <si>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</si>
  <si>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</si>
  <si>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</si>
  <si>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</si>
  <si>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</si>
  <si>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</si>
  <si>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</si>
  <si>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</si>
  <si>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</si>
  <si>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</si>
  <si>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</si>
  <si>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</si>
  <si>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</si>
  <si>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</si>
  <si>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</si>
  <si>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</si>
  <si>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</si>
  <si>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</si>
  <si>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</si>
  <si>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</si>
  <si>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</si>
  <si>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</si>
  <si>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</si>
  <si>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</si>
  <si>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</si>
  <si>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</si>
  <si>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</si>
  <si>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</si>
  <si>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</si>
  <si>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</si>
  <si>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</si>
  <si>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</si>
  <si>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</si>
  <si>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</si>
  <si>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</si>
  <si>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</si>
  <si>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</si>
  <si>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</si>
  <si>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</si>
  <si>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</si>
  <si>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</si>
  <si>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</si>
  <si>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</si>
  <si>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</si>
  <si>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</si>
  <si>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</si>
  <si>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</si>
  <si>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</si>
  <si>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</si>
  <si>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</si>
  <si>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</si>
  <si>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</si>
  <si>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</si>
  <si>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</si>
  <si>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</si>
  <si>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</si>
  <si>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</si>
  <si>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</si>
  <si>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</si>
  <si>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</si>
  <si>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</si>
  <si>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</si>
  <si>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</si>
  <si>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</si>
  <si>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</si>
  <si>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</si>
  <si>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</si>
  <si>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</si>
  <si>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</si>
  <si>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</si>
  <si>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</si>
  <si>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</si>
  <si>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</si>
  <si>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</si>
  <si>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</si>
  <si>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</si>
  <si>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</si>
  <si>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</si>
  <si>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</si>
  <si>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</si>
  <si>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</si>
  <si>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</si>
  <si>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</si>
  <si>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</si>
  <si>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</si>
  <si>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</si>
  <si>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</si>
  <si>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</si>
  <si>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</si>
  <si>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</si>
  <si>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</si>
  <si>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</si>
  <si>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</si>
  <si>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</si>
  <si>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</si>
  <si>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</si>
  <si>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</si>
  <si>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</si>
  <si>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</si>
  <si>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</si>
  <si>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</si>
  <si>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</si>
  <si>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</si>
  <si>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</si>
  <si>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</si>
  <si>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</si>
  <si>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</si>
  <si>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</si>
  <si>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</si>
  <si>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</si>
  <si>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</si>
  <si>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</si>
  <si>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</si>
  <si>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</si>
  <si>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</si>
  <si>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</si>
  <si>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</si>
  <si>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</si>
  <si>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</si>
  <si>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</si>
  <si>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</si>
  <si>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</si>
  <si>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</si>
  <si>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</si>
  <si>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</si>
  <si>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</si>
  <si>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</si>
  <si>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</si>
  <si>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</si>
  <si>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</si>
  <si>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</si>
  <si>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</si>
  <si>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</si>
  <si>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</si>
  <si>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</si>
  <si>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</si>
  <si>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</si>
  <si>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</si>
  <si>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</si>
  <si>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</si>
  <si>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</si>
  <si>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</si>
  <si>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</si>
  <si>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</si>
  <si>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</si>
  <si>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</si>
  <si>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</si>
  <si>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</si>
  <si>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</si>
  <si>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</si>
  <si>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</si>
  <si>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</si>
  <si>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</si>
  <si>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</si>
  <si>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</si>
  <si>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</si>
  <si>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</si>
  <si>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</si>
  <si>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</si>
  <si>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</si>
  <si>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</si>
  <si>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</si>
  <si>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</si>
  <si>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</si>
  <si>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</si>
  <si>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</si>
  <si>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</si>
  <si>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</si>
  <si>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</si>
  <si>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</si>
  <si>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</si>
  <si>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</si>
  <si>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</si>
  <si>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</si>
  <si>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</si>
  <si>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</si>
  <si>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</si>
  <si>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</si>
  <si>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</si>
  <si>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</si>
  <si>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</si>
  <si>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</si>
  <si>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</si>
  <si>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</si>
  <si>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</si>
  <si>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</si>
  <si>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</si>
  <si>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</si>
  <si>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</si>
  <si>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</si>
  <si>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</si>
  <si>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</si>
  <si>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</si>
  <si>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</si>
  <si>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</si>
  <si>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</si>
  <si>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</si>
  <si>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</si>
  <si>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</si>
  <si>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</si>
  <si>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</si>
  <si>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</si>
  <si>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</si>
  <si>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</si>
  <si>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</si>
  <si>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</si>
  <si>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</si>
  <si>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</si>
  <si>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</si>
  <si>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</si>
  <si>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</si>
  <si>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</si>
  <si>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</si>
  <si>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</si>
  <si>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</si>
  <si>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</si>
  <si>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</si>
  <si>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</si>
  <si>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</si>
  <si>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</si>
  <si>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</si>
  <si>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</si>
  <si>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</si>
  <si>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</si>
  <si>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</si>
  <si>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</si>
  <si>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</si>
  <si>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</si>
  <si>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</si>
  <si>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</si>
  <si>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</si>
  <si>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</si>
  <si>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</si>
  <si>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</si>
  <si>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</si>
  <si>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</si>
  <si>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</si>
  <si>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</si>
  <si>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</si>
  <si>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</si>
  <si>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</si>
  <si>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</si>
  <si>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</si>
  <si>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</si>
  <si>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</si>
  <si>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</si>
  <si>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</si>
  <si>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</si>
  <si>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</si>
  <si>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</si>
  <si>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</si>
  <si>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</si>
  <si>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</si>
  <si>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</si>
  <si>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</si>
  <si>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</si>
  <si>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</si>
  <si>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</si>
  <si>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</si>
  <si>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</si>
  <si>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</si>
  <si>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</si>
  <si>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</si>
  <si>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</si>
  <si>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</si>
  <si>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</si>
  <si>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</si>
  <si>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</si>
  <si>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</si>
  <si>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</si>
  <si>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</si>
  <si>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</si>
  <si>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</si>
  <si>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</si>
  <si>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</si>
  <si>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</si>
  <si>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</si>
  <si>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</si>
  <si>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</si>
  <si>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</si>
  <si>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</si>
  <si>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</si>
  <si>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</si>
  <si>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</si>
  <si>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</si>
  <si>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</si>
  <si>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</si>
  <si>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</si>
  <si>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</si>
  <si>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</si>
  <si>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</si>
  <si>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</si>
  <si>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</si>
  <si>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</si>
  <si>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</si>
  <si>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</si>
  <si>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</si>
  <si>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</si>
  <si>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</si>
  <si>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</si>
  <si>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</si>
  <si>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</si>
  <si>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</si>
  <si>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</si>
  <si>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</si>
  <si>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</si>
  <si>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</si>
  <si>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</si>
  <si>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</si>
  <si>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</si>
  <si>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</si>
  <si>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</si>
  <si>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</si>
  <si>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</si>
  <si>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</si>
  <si>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</si>
  <si>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</si>
  <si>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</si>
  <si>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</si>
  <si>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</si>
  <si>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</si>
  <si>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</si>
  <si>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</si>
  <si>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</si>
  <si>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</si>
  <si>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</si>
  <si>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</si>
  <si>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</si>
  <si>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</si>
  <si>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</si>
  <si>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</si>
  <si>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</si>
  <si>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</si>
  <si>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</si>
  <si>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</si>
  <si>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</si>
  <si>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</si>
  <si>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</si>
  <si>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</si>
  <si>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</si>
  <si>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</si>
  <si>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</si>
  <si>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</si>
  <si>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</si>
  <si>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</si>
  <si>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</si>
  <si>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</si>
  <si>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</si>
  <si>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</si>
  <si>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</si>
  <si>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</si>
  <si>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</si>
  <si>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</si>
  <si>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</si>
  <si>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</si>
  <si>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</si>
  <si>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</si>
  <si>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</si>
  <si>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</si>
  <si>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</si>
  <si>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</si>
  <si>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</si>
  <si>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</si>
  <si>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</si>
  <si>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</si>
  <si>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</si>
  <si>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</si>
  <si>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</si>
  <si>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</si>
  <si>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</si>
  <si>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</si>
  <si>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</si>
  <si>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</si>
  <si>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</si>
  <si>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</si>
  <si>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</si>
  <si>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</si>
  <si>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</si>
  <si>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</si>
  <si>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</si>
  <si>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</si>
  <si>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</si>
  <si>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</si>
  <si>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</si>
  <si>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</si>
  <si>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</si>
  <si>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</si>
  <si>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</si>
  <si>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</si>
  <si>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</si>
  <si>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</si>
  <si>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</si>
  <si>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</si>
  <si>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</si>
  <si>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</si>
  <si>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</si>
  <si>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</si>
  <si>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</si>
  <si>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</si>
  <si>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</si>
  <si>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</si>
  <si>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</si>
  <si>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</si>
  <si>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</si>
  <si>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</si>
  <si>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</si>
  <si>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</si>
  <si>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</si>
  <si>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</si>
  <si>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</si>
  <si>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</si>
  <si>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</si>
  <si>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</si>
  <si>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</si>
  <si>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</si>
  <si>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</si>
  <si>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</si>
  <si>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</si>
  <si>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</si>
  <si>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</si>
  <si>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</si>
  <si>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</si>
  <si>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</si>
  <si>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</si>
  <si>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</si>
  <si>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</si>
  <si>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</si>
  <si>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</si>
  <si>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</si>
  <si>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</si>
  <si>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</si>
  <si>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</si>
  <si>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</si>
  <si>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</si>
  <si>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</si>
  <si>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</si>
  <si>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</si>
  <si>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</si>
  <si>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</si>
  <si>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</si>
  <si>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</si>
  <si>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</si>
  <si>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</si>
  <si>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</si>
  <si>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</si>
  <si>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</si>
  <si>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</si>
  <si>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</si>
  <si>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</si>
  <si>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</si>
  <si>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</si>
  <si>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</si>
  <si>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</si>
  <si>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</si>
  <si>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</si>
  <si>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</si>
  <si>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</si>
  <si>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</si>
  <si>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</si>
  <si>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</si>
  <si>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</si>
  <si>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</si>
  <si>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</si>
  <si>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</si>
  <si>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</si>
  <si>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</si>
  <si>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</si>
  <si>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</si>
  <si>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</si>
  <si>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</si>
  <si>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</si>
  <si>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</si>
  <si>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</si>
  <si>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</si>
  <si>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</si>
  <si>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</si>
  <si>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</si>
  <si>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</si>
  <si>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</si>
  <si>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</si>
  <si>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</si>
  <si>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</si>
  <si>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</si>
  <si>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</si>
  <si>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</si>
  <si>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</si>
  <si>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</si>
  <si>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</si>
  <si>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</si>
  <si>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</si>
  <si>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</si>
  <si>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</si>
  <si>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</si>
  <si>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</si>
  <si>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</si>
  <si>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</si>
  <si>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</si>
  <si>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</si>
  <si>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</si>
  <si>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</si>
  <si>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</si>
  <si>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</si>
  <si>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</si>
  <si>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</si>
  <si>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</si>
  <si>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</si>
  <si>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</si>
  <si>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</si>
  <si>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</si>
  <si>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</si>
  <si>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</si>
  <si>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</si>
  <si>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</si>
  <si>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</si>
  <si>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</si>
  <si>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</si>
  <si>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</si>
  <si>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</si>
  <si>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</si>
  <si>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</si>
  <si>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</si>
  <si>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</si>
  <si>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</si>
  <si>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</si>
  <si>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</si>
  <si>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</si>
  <si>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</si>
  <si>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</si>
  <si>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</si>
  <si>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</si>
  <si>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</si>
  <si>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</si>
  <si>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</si>
  <si>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</si>
  <si>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</si>
  <si>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</si>
  <si>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</si>
  <si>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</si>
  <si>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</si>
  <si>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</si>
  <si>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</si>
  <si>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</si>
  <si>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</si>
  <si>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</si>
  <si>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</si>
  <si>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</si>
  <si>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</si>
  <si>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</si>
  <si>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</si>
  <si>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</si>
  <si>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</si>
  <si>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</si>
  <si>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</si>
  <si>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</si>
  <si>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</si>
  <si>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</si>
  <si>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</si>
  <si>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</si>
  <si>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</si>
  <si>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</si>
  <si>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</si>
  <si>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</si>
  <si>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</si>
  <si>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</si>
  <si>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</si>
  <si>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</si>
  <si>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</si>
  <si>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</si>
  <si>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</si>
  <si>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</si>
  <si>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</si>
  <si>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</si>
  <si>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</si>
  <si>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</si>
  <si>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</si>
  <si>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</si>
  <si>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</si>
  <si>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</si>
  <si>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</si>
  <si>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</si>
  <si>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</si>
  <si>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</si>
  <si>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</si>
  <si>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</si>
  <si>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</si>
  <si>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</si>
  <si>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</si>
  <si>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</si>
  <si>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</si>
  <si>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</si>
  <si>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</si>
  <si>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</si>
  <si>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</si>
  <si>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</si>
  <si>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</si>
  <si>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</si>
  <si>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</si>
  <si>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</si>
  <si>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</si>
  <si>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</si>
  <si>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</si>
  <si>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</si>
  <si>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</si>
  <si>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</si>
  <si>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</si>
  <si>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</si>
  <si>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</si>
  <si>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</si>
  <si>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</si>
  <si>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</si>
  <si>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</si>
  <si>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</si>
  <si>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</si>
  <si>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</si>
  <si>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</si>
  <si>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</si>
  <si>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</si>
  <si>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</si>
  <si>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</si>
  <si>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</si>
  <si>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</si>
  <si>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</si>
  <si>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</si>
  <si>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</si>
  <si>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</si>
  <si>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</si>
  <si>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</si>
  <si>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</si>
  <si>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</si>
  <si>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</si>
  <si>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</si>
  <si>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</si>
  <si>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</si>
  <si>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</si>
  <si>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</si>
  <si>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</si>
  <si>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</si>
  <si>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</si>
  <si>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</si>
  <si>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</si>
  <si>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</si>
  <si>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</si>
  <si>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</si>
  <si>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</si>
  <si>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</si>
  <si>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</si>
  <si>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</si>
  <si>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</si>
  <si>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</si>
  <si>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</si>
  <si>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</si>
  <si>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</si>
  <si>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</si>
  <si>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</si>
  <si>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</si>
  <si>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</si>
  <si>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</si>
  <si>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</si>
  <si>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</si>
  <si>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</si>
  <si>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</si>
  <si>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</si>
  <si>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</si>
  <si>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</si>
  <si>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</si>
  <si>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</si>
  <si>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</si>
  <si>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</si>
  <si>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</si>
  <si>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</si>
  <si>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</si>
  <si>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</si>
  <si>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</si>
  <si>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</si>
  <si>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</si>
  <si>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</si>
  <si>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</si>
  <si>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</si>
  <si>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</si>
  <si>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</si>
  <si>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</si>
  <si>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</si>
  <si>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</si>
  <si>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</si>
  <si>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</si>
  <si>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</si>
  <si>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</si>
  <si>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</si>
  <si>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</si>
  <si>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</si>
  <si>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</si>
  <si>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</si>
  <si>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</si>
  <si>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</si>
  <si>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</si>
  <si>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</si>
  <si>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</si>
  <si>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</si>
  <si>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</si>
  <si>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</si>
  <si>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</si>
  <si>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</si>
  <si>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</si>
  <si>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</si>
  <si>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</si>
  <si>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</si>
  <si>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</si>
  <si>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</si>
  <si>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</si>
  <si>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</si>
  <si>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</si>
  <si>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</si>
  <si>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</si>
  <si>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</si>
  <si>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</si>
  <si>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</si>
  <si>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</si>
  <si>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</si>
  <si>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</si>
  <si>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</si>
  <si>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</si>
  <si>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</si>
  <si>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</si>
  <si>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</si>
  <si>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</si>
  <si>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</si>
  <si>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</si>
  <si>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</si>
  <si>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</si>
  <si>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</si>
  <si>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</si>
  <si>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</si>
  <si>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</si>
  <si>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</si>
  <si>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</si>
  <si>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</si>
  <si>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</si>
  <si>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</si>
  <si>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</si>
  <si>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</si>
  <si>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</si>
  <si>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</si>
  <si>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</si>
  <si>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</si>
  <si>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</si>
  <si>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</si>
  <si>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</si>
  <si>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</si>
  <si>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</si>
  <si>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</si>
  <si>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</si>
  <si>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</si>
  <si>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</si>
  <si>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</si>
  <si>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</si>
  <si>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</si>
  <si>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</si>
  <si>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</si>
  <si>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</si>
  <si>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</si>
  <si>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</si>
  <si>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</si>
  <si>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</si>
  <si>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</si>
  <si>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</si>
  <si>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</si>
  <si>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</si>
  <si>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</si>
  <si>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</si>
  <si>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</si>
  <si>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</si>
  <si>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</si>
  <si>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</si>
  <si>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</si>
  <si>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</si>
  <si>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</si>
  <si>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</si>
  <si>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</si>
  <si>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</si>
  <si>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</si>
  <si>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</si>
  <si>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</si>
  <si>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</si>
  <si>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</si>
  <si>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</si>
  <si>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</si>
  <si>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</si>
  <si>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</si>
  <si>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</si>
  <si>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</si>
  <si>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</si>
  <si>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</si>
  <si>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</si>
  <si>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</si>
  <si>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</si>
  <si>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</si>
  <si>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</si>
  <si>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</si>
  <si>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</si>
  <si>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</si>
  <si>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</si>
  <si>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</si>
  <si>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</si>
  <si>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</si>
  <si>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</si>
  <si>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</si>
  <si>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</si>
  <si>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</si>
  <si>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</si>
  <si>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</si>
  <si>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</si>
  <si>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</si>
  <si>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</si>
  <si>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</si>
  <si>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</si>
  <si>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</si>
  <si>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</si>
  <si>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</si>
  <si>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</si>
  <si>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</si>
  <si>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</si>
  <si>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</si>
  <si>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</si>
  <si>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</si>
  <si>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</si>
  <si>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</si>
  <si>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</si>
  <si>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</si>
  <si>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</si>
  <si>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</si>
  <si>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</si>
  <si>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</si>
  <si>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</si>
  <si>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</si>
  <si>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</si>
  <si>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</si>
  <si>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</si>
  <si>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</si>
  <si>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</si>
  <si>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</si>
  <si>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</si>
  <si>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</si>
  <si>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</si>
  <si>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</si>
  <si>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</si>
  <si>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</si>
  <si>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</si>
  <si>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</si>
  <si>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</si>
  <si>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</si>
  <si>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</si>
  <si>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</si>
  <si>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</si>
  <si>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</si>
  <si>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</si>
  <si>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</si>
  <si>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</si>
  <si>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</si>
  <si>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</si>
  <si>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</si>
  <si>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</si>
  <si>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</si>
  <si>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</si>
  <si>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</si>
  <si>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</si>
  <si>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</si>
  <si>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</si>
  <si>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</si>
  <si>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</si>
  <si>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</si>
  <si>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</si>
  <si>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</si>
  <si>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</si>
  <si>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</si>
  <si>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</si>
  <si>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</si>
  <si>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</si>
  <si>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</si>
  <si>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</si>
  <si>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</si>
  <si>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</si>
  <si>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</si>
  <si>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</si>
  <si>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</si>
  <si>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</si>
  <si>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</si>
  <si>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</si>
  <si>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</si>
  <si>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</si>
  <si>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</si>
  <si>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</si>
  <si>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</si>
  <si>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</si>
  <si>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</si>
  <si>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</si>
  <si>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</si>
  <si>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</si>
  <si>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</si>
  <si>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</si>
  <si>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</si>
  <si>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</si>
  <si>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</si>
  <si>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</si>
  <si>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</si>
  <si>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</si>
  <si>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</si>
  <si>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</si>
  <si>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</si>
  <si>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</si>
  <si>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</si>
  <si>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</si>
  <si>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</si>
  <si>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</si>
  <si>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</si>
  <si>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</si>
  <si>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</si>
  <si>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</si>
  <si>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</si>
  <si>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</si>
  <si>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</si>
  <si>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</si>
  <si>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</si>
  <si>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</si>
  <si>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</si>
  <si>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</si>
  <si>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</si>
  <si>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</si>
  <si>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</si>
  <si>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</si>
  <si>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</si>
  <si>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</si>
  <si>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</si>
  <si>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</si>
  <si>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</si>
  <si>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</si>
  <si>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</si>
  <si>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</si>
  <si>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</si>
  <si>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</si>
  <si>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</si>
  <si>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</si>
  <si>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</si>
  <si>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</si>
  <si>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</si>
  <si>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</si>
  <si>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</si>
  <si>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</si>
  <si>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</si>
  <si>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</si>
  <si>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</si>
  <si>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</si>
  <si>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</si>
  <si>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</si>
  <si>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</si>
  <si>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</si>
  <si>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</si>
  <si>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</si>
  <si>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</si>
  <si>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</si>
  <si>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</si>
  <si>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</si>
  <si>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</si>
  <si>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</si>
  <si>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</si>
  <si>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</si>
  <si>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</si>
  <si>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</si>
  <si>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</si>
  <si>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</si>
  <si>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</si>
  <si>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</si>
  <si>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</si>
  <si>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</si>
  <si>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</si>
  <si>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</si>
  <si>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</si>
  <si>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</si>
  <si>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</si>
  <si>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</si>
  <si>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</si>
  <si>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</si>
  <si>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</si>
  <si>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</si>
  <si>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</si>
  <si>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</si>
  <si>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</si>
  <si>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</si>
  <si>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</si>
  <si>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</si>
  <si>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</si>
  <si>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</si>
  <si>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</si>
  <si>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</si>
  <si>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</si>
  <si>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</si>
  <si>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</si>
  <si>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</si>
  <si>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</si>
  <si>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</si>
  <si>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</si>
  <si>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</si>
  <si>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</si>
  <si>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</si>
  <si>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</si>
  <si>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</si>
  <si>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</si>
  <si>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</si>
  <si>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</si>
  <si>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</si>
  <si>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</si>
  <si>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</si>
  <si>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</si>
  <si>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</si>
  <si>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</si>
  <si>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</si>
  <si>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</si>
  <si>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</si>
  <si>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</si>
  <si>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</si>
  <si>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</si>
  <si>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</si>
  <si>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</si>
  <si>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</si>
  <si>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</si>
  <si>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</si>
  <si>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</si>
  <si>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</si>
  <si>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</si>
  <si>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</si>
  <si>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</si>
  <si>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</si>
  <si>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</si>
  <si>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</si>
  <si>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</si>
  <si>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</si>
  <si>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</si>
  <si>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</si>
  <si>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</si>
  <si>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</si>
  <si>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</si>
  <si>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</si>
  <si>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</si>
  <si>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</si>
  <si>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</si>
  <si>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</si>
  <si>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</si>
  <si>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</si>
  <si>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</si>
  <si>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</si>
  <si>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</si>
  <si>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</si>
  <si>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</si>
  <si>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</si>
  <si>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</si>
  <si>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</si>
  <si>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</si>
  <si>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</si>
  <si>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</si>
  <si>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</si>
  <si>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</si>
  <si>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</si>
  <si>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</si>
  <si>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</si>
  <si>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</si>
  <si>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</si>
  <si>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</si>
  <si>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</si>
  <si>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</si>
  <si>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</si>
  <si>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</si>
  <si>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</si>
  <si>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</si>
  <si>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</si>
  <si>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</si>
  <si>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</si>
  <si>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</si>
  <si>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</si>
  <si>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</si>
  <si>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</si>
  <si>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</si>
  <si>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</si>
  <si>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</si>
  <si>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</si>
  <si>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</si>
  <si>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</si>
  <si>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</si>
  <si>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</si>
  <si>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</si>
  <si>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</si>
  <si>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</si>
  <si>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</si>
  <si>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</si>
  <si>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</si>
  <si>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</si>
  <si>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</si>
  <si>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</si>
  <si>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</si>
  <si>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</si>
  <si>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</si>
  <si>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</si>
  <si>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</si>
  <si>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</si>
  <si>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</si>
  <si>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</si>
  <si>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</si>
  <si>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</si>
  <si>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</si>
  <si>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</si>
  <si>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</si>
  <si>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</si>
  <si>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</si>
  <si>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</si>
  <si>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</si>
  <si>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</si>
  <si>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</si>
  <si>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</si>
  <si>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</si>
  <si>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</si>
  <si>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</si>
  <si>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</si>
  <si>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</si>
  <si>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</si>
  <si>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</si>
  <si>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</si>
  <si>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</si>
  <si>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</si>
  <si>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</si>
  <si>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</si>
  <si>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</si>
  <si>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</si>
  <si>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</si>
  <si>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</si>
  <si>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</si>
  <si>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</si>
  <si>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</si>
  <si>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</si>
  <si>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</si>
  <si>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</si>
  <si>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</si>
  <si>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</si>
  <si>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</si>
  <si>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</si>
  <si>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</si>
  <si>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</si>
  <si>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</si>
  <si>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</si>
  <si>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</si>
  <si>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</si>
  <si>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</si>
  <si>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</si>
  <si>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</si>
  <si>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</si>
  <si>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</si>
  <si>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</si>
  <si>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</si>
  <si>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</si>
  <si>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</si>
  <si>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</si>
  <si>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</si>
  <si>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</si>
  <si>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</si>
  <si>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</si>
  <si>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</si>
  <si>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</si>
  <si>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</si>
  <si>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</si>
  <si>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</si>
  <si>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</si>
  <si>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</si>
  <si>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</si>
  <si>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</si>
  <si>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</si>
  <si>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</si>
  <si>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</si>
  <si>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</si>
  <si>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</si>
  <si>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</si>
  <si>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</si>
  <si>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</si>
  <si>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</si>
  <si>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</si>
  <si>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</si>
  <si>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</si>
  <si>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</si>
  <si>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</si>
  <si>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</si>
  <si>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</si>
  <si>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</si>
  <si>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</si>
  <si>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</si>
  <si>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</si>
  <si>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</si>
  <si>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</si>
  <si>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</si>
  <si>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</si>
  <si>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</si>
  <si>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</si>
  <si>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</si>
  <si>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</si>
  <si>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</si>
  <si>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</si>
  <si>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</si>
  <si>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</si>
  <si>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</si>
  <si>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</si>
  <si>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</si>
  <si>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</si>
  <si>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</si>
  <si>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</si>
  <si>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</si>
  <si>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</si>
  <si>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</si>
  <si>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</si>
  <si>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</si>
  <si>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</si>
  <si>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</si>
  <si>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</si>
  <si>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</si>
  <si>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</si>
  <si>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</si>
  <si>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</si>
  <si>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</si>
  <si>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</si>
  <si>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</si>
  <si>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</si>
  <si>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</si>
  <si>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</si>
  <si>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</si>
  <si>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</si>
  <si>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</si>
  <si>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</si>
  <si>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</si>
  <si>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</si>
  <si>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</si>
  <si>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</si>
  <si>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</si>
  <si>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</si>
  <si>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</si>
  <si>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</si>
  <si>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</si>
  <si>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</si>
  <si>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</si>
  <si>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</si>
  <si>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</si>
  <si>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</si>
  <si>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</si>
  <si>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</si>
  <si>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</si>
  <si>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</si>
  <si>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</si>
  <si>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</si>
  <si>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</si>
  <si>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</si>
  <si>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</si>
  <si>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</si>
  <si>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</si>
  <si>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</si>
  <si>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</si>
  <si>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</si>
  <si>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</si>
  <si>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</si>
  <si>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</si>
  <si>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</si>
  <si>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</si>
  <si>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</si>
  <si>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</si>
  <si>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</si>
  <si>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</si>
  <si>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</si>
  <si>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</si>
  <si>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</si>
  <si>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</si>
  <si>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</si>
  <si>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</si>
  <si>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</si>
  <si>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</si>
  <si>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</si>
  <si>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</si>
  <si>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</si>
  <si>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</si>
  <si>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</si>
  <si>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</si>
  <si>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</si>
  <si>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</si>
  <si>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</si>
  <si>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</si>
  <si>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</si>
  <si>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</si>
  <si>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</si>
  <si>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</si>
  <si>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</si>
  <si>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</si>
  <si>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</si>
  <si>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</si>
  <si>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</si>
  <si>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</si>
  <si>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</si>
  <si>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</si>
  <si>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</si>
  <si>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</si>
  <si>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</si>
  <si>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</si>
  <si>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</si>
  <si>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</si>
  <si>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</si>
  <si>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</si>
  <si>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</si>
  <si>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</si>
  <si>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</si>
  <si>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</si>
  <si>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</si>
  <si>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</si>
  <si>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</si>
  <si>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</si>
  <si>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</si>
  <si>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</si>
  <si>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</si>
  <si>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</si>
  <si>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</si>
  <si>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</si>
  <si>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</si>
  <si>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</si>
  <si>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</si>
  <si>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</si>
  <si>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</si>
  <si>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</si>
  <si>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</si>
  <si>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</si>
  <si>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</si>
  <si>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</si>
  <si>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</si>
  <si>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</si>
  <si>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</si>
  <si>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</si>
  <si>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</si>
  <si>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</si>
  <si>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</si>
  <si>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</si>
  <si>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</si>
  <si>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</si>
  <si>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</si>
  <si>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</si>
  <si>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</si>
  <si>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</si>
  <si>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</si>
  <si>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</si>
  <si>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</si>
  <si>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</si>
  <si>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</si>
  <si>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</si>
  <si>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</si>
  <si>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</si>
  <si>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</si>
  <si>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</si>
  <si>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</si>
  <si>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</si>
  <si>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</si>
  <si>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</si>
  <si>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</si>
  <si>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</si>
  <si>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</si>
  <si>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</si>
  <si>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</si>
  <si>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</si>
  <si>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</si>
  <si>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</si>
  <si>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</si>
  <si>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</si>
  <si>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</si>
  <si>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</si>
  <si>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</si>
  <si>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</si>
  <si>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</si>
  <si>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</si>
  <si>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</si>
  <si>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</si>
  <si>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</si>
  <si>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</si>
  <si>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</si>
  <si>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</si>
  <si>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</si>
  <si>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</si>
  <si>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</si>
  <si>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</si>
  <si>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</si>
  <si>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</si>
  <si>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</si>
  <si>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</si>
  <si>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</si>
  <si>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</si>
  <si>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</si>
  <si>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</si>
  <si>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</si>
  <si>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</si>
  <si>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</si>
  <si>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</si>
  <si>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</si>
  <si>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</si>
  <si>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</si>
  <si>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</si>
  <si>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</si>
  <si>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</si>
  <si>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</si>
  <si>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</si>
  <si>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</si>
  <si>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</si>
  <si>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</si>
  <si>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</si>
  <si>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</si>
  <si>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</si>
  <si>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</si>
  <si>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</si>
  <si>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</si>
  <si>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</si>
  <si>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</si>
  <si>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</si>
  <si>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</si>
  <si>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</si>
  <si>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</si>
  <si>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</si>
  <si>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</si>
  <si>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</si>
  <si>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</si>
  <si>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</si>
  <si>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</si>
  <si>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</si>
  <si>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</si>
  <si>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</si>
  <si>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</si>
  <si>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</si>
  <si>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</si>
  <si>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</si>
  <si>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</si>
  <si>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</si>
  <si>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</si>
  <si>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</si>
  <si>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</si>
  <si>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</si>
  <si>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</si>
  <si>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</si>
  <si>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</si>
  <si>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</si>
  <si>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</si>
  <si>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</si>
  <si>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</si>
  <si>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</si>
  <si>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</si>
  <si>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</si>
  <si>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</si>
  <si>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</si>
  <si>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</si>
  <si>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</si>
  <si>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</si>
  <si>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</si>
  <si>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</si>
  <si>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</si>
  <si>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</si>
  <si>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</si>
  <si>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</si>
  <si>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</si>
  <si>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</si>
  <si>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</si>
  <si>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</si>
  <si>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</si>
  <si>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</si>
  <si>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</si>
  <si>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</si>
  <si>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</si>
  <si>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</si>
  <si>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</si>
  <si>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</si>
  <si>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</si>
  <si>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</si>
  <si>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</si>
  <si>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</si>
  <si>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</si>
  <si>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</si>
  <si>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</si>
  <si>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</si>
  <si>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</si>
  <si>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</si>
  <si>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</si>
  <si>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</si>
  <si>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</si>
  <si>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</si>
  <si>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</si>
  <si>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</si>
  <si>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</si>
  <si>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</si>
  <si>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</si>
  <si>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</si>
  <si>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</si>
  <si>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</si>
  <si>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</si>
  <si>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</si>
  <si>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</si>
  <si>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</si>
  <si>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</si>
  <si>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</si>
  <si>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</si>
  <si>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</si>
  <si>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</si>
  <si>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</si>
  <si>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</si>
  <si>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</si>
  <si>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</si>
  <si>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</si>
  <si>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</si>
  <si>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</si>
  <si>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</si>
  <si>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</si>
  <si>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</si>
  <si>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</si>
  <si>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</si>
  <si>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</si>
  <si>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</si>
  <si>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</si>
  <si>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</si>
  <si>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</si>
  <si>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</si>
  <si>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</si>
  <si>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</si>
  <si>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</si>
  <si>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</si>
  <si>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</si>
  <si>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</si>
  <si>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</si>
  <si>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</si>
  <si>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</si>
  <si>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</si>
  <si>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</si>
  <si>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</si>
  <si>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</si>
  <si>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</si>
  <si>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</si>
  <si>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</si>
  <si>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</si>
  <si>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</si>
  <si>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</si>
  <si>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</si>
  <si>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</si>
  <si>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</si>
  <si>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</si>
  <si>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</si>
  <si>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</si>
  <si>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</si>
  <si>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</si>
  <si>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</si>
  <si>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</si>
  <si>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</si>
  <si>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</si>
  <si>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</si>
  <si>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</si>
  <si>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</si>
  <si>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</si>
  <si>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</si>
  <si>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</si>
  <si>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</si>
  <si>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</si>
  <si>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</si>
  <si>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</si>
  <si>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</si>
  <si>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</si>
  <si>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</si>
  <si>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</si>
  <si>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</si>
  <si>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</si>
  <si>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</si>
  <si>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</si>
  <si>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</si>
  <si>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</si>
  <si>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</si>
  <si>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</si>
  <si>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</si>
  <si>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</si>
  <si>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</si>
  <si>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</si>
  <si>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</si>
  <si>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</si>
  <si>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</si>
  <si>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</si>
  <si>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</si>
  <si>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</si>
  <si>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</si>
  <si>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</si>
  <si>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</si>
  <si>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</si>
  <si>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</si>
  <si>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</si>
  <si>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</si>
  <si>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</si>
  <si>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</si>
  <si>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</si>
  <si>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</si>
  <si>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</si>
  <si>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</si>
  <si>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</si>
  <si>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</si>
  <si>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</si>
  <si>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</si>
  <si>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</si>
  <si>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</si>
  <si>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</si>
  <si>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</si>
  <si>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</si>
  <si>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</si>
  <si>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</si>
  <si>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</si>
  <si>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</si>
  <si>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</si>
  <si>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</si>
  <si>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</si>
  <si>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</si>
  <si>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</si>
  <si>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</si>
  <si>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</si>
  <si>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</si>
  <si>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</si>
  <si>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</si>
  <si>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</si>
  <si>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</si>
  <si>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</si>
  <si>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</si>
  <si>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</si>
  <si>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</si>
  <si>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</si>
  <si>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</si>
  <si>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</si>
  <si>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</si>
  <si>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</si>
  <si>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</si>
  <si>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</si>
  <si>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</si>
  <si>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</si>
  <si>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</si>
  <si>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</si>
  <si>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</si>
  <si>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</si>
  <si>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</si>
  <si>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</si>
  <si>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</si>
  <si>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</si>
  <si>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</si>
  <si>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</si>
  <si>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</si>
  <si>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</si>
  <si>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</si>
  <si>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</si>
  <si>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</si>
  <si>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</si>
  <si>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</si>
  <si>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</si>
  <si>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</si>
  <si>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</si>
  <si>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</si>
  <si>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</si>
  <si>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</si>
  <si>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</si>
  <si>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</si>
  <si>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</si>
  <si>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</si>
  <si>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</si>
  <si>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</si>
  <si>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</si>
  <si>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</si>
  <si>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</si>
  <si>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</si>
  <si>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</si>
  <si>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</si>
  <si>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</si>
  <si>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</si>
  <si>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</si>
  <si>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</si>
  <si>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</si>
  <si>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</si>
  <si>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</si>
  <si>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</si>
  <si>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</si>
  <si>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</si>
  <si>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</si>
  <si>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</si>
  <si>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</si>
  <si>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</si>
  <si>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</si>
  <si>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</si>
  <si>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</si>
  <si>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</si>
  <si>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</si>
  <si>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</si>
  <si>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</si>
  <si>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</si>
  <si>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</si>
  <si>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</si>
  <si>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</si>
  <si>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</si>
  <si>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</si>
  <si>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</si>
  <si>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</si>
  <si>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</si>
  <si>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</si>
  <si>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</si>
  <si>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</si>
  <si>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</si>
  <si>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</si>
  <si>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</si>
  <si>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</si>
  <si>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</si>
  <si>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</si>
  <si>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</si>
  <si>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</si>
  <si>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</si>
  <si>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</si>
  <si>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</si>
  <si>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</si>
  <si>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</si>
  <si>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</si>
  <si>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</si>
  <si>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</si>
  <si>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</si>
  <si>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</si>
  <si>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</si>
  <si>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</si>
  <si>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</si>
  <si>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</si>
  <si>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</si>
  <si>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</si>
  <si>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</si>
  <si>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</si>
  <si>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</si>
  <si>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</si>
  <si>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</si>
  <si>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</si>
  <si>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</si>
  <si>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</si>
  <si>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</si>
  <si>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</si>
  <si>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</si>
  <si>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</si>
  <si>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</si>
  <si>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</si>
  <si>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</si>
  <si>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</si>
  <si>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</si>
  <si>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</si>
  <si>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</si>
  <si>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</si>
  <si>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</si>
  <si>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</si>
  <si>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</si>
  <si>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</si>
  <si>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</si>
  <si>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</si>
  <si>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</si>
  <si>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</si>
  <si>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</si>
  <si>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</si>
  <si>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</si>
  <si>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</si>
  <si>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</si>
  <si>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</si>
  <si>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</si>
  <si>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</si>
  <si>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</si>
  <si>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</si>
  <si>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</si>
  <si>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</si>
  <si>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</si>
  <si>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</si>
  <si>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</si>
  <si>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</si>
  <si>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</si>
  <si>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</si>
  <si>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</si>
  <si>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</si>
  <si>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</si>
  <si>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</si>
  <si>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</si>
  <si>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</si>
  <si>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</si>
  <si>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</si>
  <si>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</si>
  <si>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</si>
  <si>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</si>
  <si>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</si>
  <si>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</si>
  <si>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</si>
  <si>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</si>
  <si>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</si>
  <si>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</si>
  <si>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</si>
  <si>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</si>
  <si>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</si>
  <si>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</si>
  <si>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</si>
  <si>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</si>
  <si>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</si>
  <si>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</si>
  <si>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</si>
  <si>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</si>
  <si>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</si>
  <si>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</si>
  <si>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</si>
  <si>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</si>
  <si>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</si>
  <si>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</si>
  <si>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</si>
  <si>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</si>
  <si>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</si>
  <si>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</si>
  <si>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</si>
  <si>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</si>
  <si>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</si>
  <si>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</si>
  <si>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</si>
  <si>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</si>
  <si>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</si>
  <si>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</si>
  <si>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</si>
  <si>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</si>
  <si>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</si>
  <si>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</si>
  <si>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</si>
  <si>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</si>
  <si>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</si>
  <si>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</si>
  <si>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</si>
  <si>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</si>
  <si>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</si>
  <si>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</si>
  <si>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</si>
  <si>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</si>
  <si>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</si>
  <si>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</si>
  <si>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</si>
  <si>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</si>
  <si>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</si>
  <si>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</si>
  <si>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</si>
  <si>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</si>
  <si>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</si>
  <si>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</si>
  <si>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</si>
  <si>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</si>
  <si>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</si>
  <si>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</si>
  <si>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</si>
  <si>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</si>
  <si>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</si>
  <si>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</si>
  <si>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</si>
  <si>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</si>
  <si>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</si>
  <si>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</si>
  <si>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</si>
  <si>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</si>
  <si>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</si>
  <si>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</si>
  <si>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</si>
  <si>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</si>
  <si>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</si>
  <si>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</si>
  <si>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</si>
  <si>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</si>
  <si>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</si>
  <si>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</si>
  <si>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</si>
  <si>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</si>
  <si>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</si>
  <si>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</si>
  <si>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</si>
  <si>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</si>
  <si>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</si>
  <si>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</si>
  <si>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</si>
  <si>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</si>
  <si>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</si>
  <si>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</si>
  <si>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</si>
  <si>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</si>
  <si>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</si>
  <si>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</si>
  <si>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</si>
  <si>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</si>
  <si>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</si>
  <si>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</si>
  <si>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</si>
  <si>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</si>
  <si>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</si>
  <si>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</si>
  <si>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</si>
  <si>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</si>
  <si>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</si>
  <si>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</si>
  <si>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</si>
  <si>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</si>
  <si>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</si>
  <si>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</si>
  <si>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</si>
  <si>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</si>
  <si>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</si>
  <si>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</si>
  <si>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</si>
  <si>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</si>
  <si>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</si>
  <si>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</si>
  <si>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</si>
  <si>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</si>
  <si>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</si>
  <si>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</si>
  <si>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</si>
  <si>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</si>
  <si>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</si>
  <si>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</si>
  <si>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</si>
  <si>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</si>
  <si>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</si>
  <si>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</si>
  <si>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</si>
  <si>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</si>
  <si>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</si>
  <si>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</si>
  <si>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</si>
  <si>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</si>
  <si>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</si>
  <si>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</si>
  <si>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</si>
  <si>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</si>
  <si>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</si>
  <si>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</si>
  <si>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</si>
  <si>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</si>
  <si>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</si>
  <si>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</si>
  <si>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</si>
  <si>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</si>
  <si>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</si>
  <si>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</si>
  <si>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</si>
  <si>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</si>
  <si>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</si>
  <si>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</si>
  <si>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</si>
  <si>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</si>
  <si>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</si>
  <si>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</si>
  <si>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</si>
  <si>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</si>
  <si>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</si>
  <si>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</si>
  <si>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</si>
  <si>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</si>
  <si>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</si>
  <si>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</si>
  <si>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</si>
  <si>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</si>
  <si>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</si>
  <si>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</si>
  <si>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</si>
  <si>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</si>
  <si>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</si>
  <si>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</si>
  <si>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</si>
  <si>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</si>
  <si>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</si>
  <si>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</si>
  <si>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</si>
  <si>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</si>
  <si>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</si>
  <si>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</si>
  <si>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</si>
  <si>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</si>
  <si>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</si>
  <si>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</si>
  <si>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</si>
  <si>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</si>
  <si>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</si>
  <si>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</si>
  <si>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</si>
  <si>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</si>
  <si>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</si>
  <si>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</si>
  <si>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</si>
  <si>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</si>
  <si>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</si>
  <si>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</si>
  <si>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</si>
  <si>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</si>
  <si>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</si>
  <si>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</si>
  <si>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</si>
  <si>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</si>
  <si>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</si>
  <si>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</si>
  <si>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</si>
  <si>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</si>
  <si>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</si>
  <si>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</si>
  <si>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</si>
  <si>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</si>
  <si>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</si>
  <si>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</si>
  <si>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</si>
  <si>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</si>
  <si>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</si>
  <si>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</si>
  <si>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</si>
  <si>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</si>
  <si>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</si>
  <si>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</si>
  <si>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</si>
  <si>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</si>
  <si>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</si>
  <si>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</si>
  <si>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</si>
  <si>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</si>
  <si>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</si>
  <si>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</si>
  <si>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</si>
  <si>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</si>
  <si>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</si>
  <si>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</si>
  <si>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</si>
  <si>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</si>
  <si>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</si>
  <si>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</si>
  <si>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</si>
  <si>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</si>
  <si>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</si>
  <si>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</si>
  <si>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</si>
  <si>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</si>
  <si>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</si>
  <si>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</si>
  <si>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</si>
  <si>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</si>
  <si>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</si>
  <si>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</si>
  <si>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</si>
  <si>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</si>
  <si>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</si>
  <si>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</si>
  <si>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</si>
  <si>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</si>
  <si>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</si>
  <si>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</si>
  <si>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</si>
  <si>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</si>
  <si>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</si>
  <si>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</si>
  <si>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</si>
  <si>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</si>
  <si>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</si>
  <si>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</si>
  <si>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</si>
  <si>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</si>
  <si>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</si>
  <si>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</si>
  <si>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</si>
  <si>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</si>
  <si>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</si>
  <si>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</si>
  <si>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</si>
  <si>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</si>
  <si>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</si>
  <si>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</si>
  <si>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</si>
  <si>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</si>
  <si>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</si>
  <si>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</si>
  <si>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</si>
  <si>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</si>
  <si>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</si>
  <si>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</si>
  <si>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</si>
  <si>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</si>
  <si>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</si>
  <si>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</si>
  <si>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</si>
  <si>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</si>
  <si>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</si>
  <si>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</si>
  <si>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</si>
  <si>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</si>
  <si>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</si>
  <si>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</si>
  <si>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</si>
  <si>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</si>
  <si>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</si>
  <si>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</si>
  <si>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</si>
  <si>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</si>
  <si>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</si>
  <si>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</si>
  <si>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</si>
  <si>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</si>
  <si>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</si>
  <si>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</si>
  <si>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</si>
  <si>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</si>
  <si>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</si>
  <si>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</si>
  <si>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</si>
  <si>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</si>
  <si>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</si>
  <si>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</si>
  <si>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</si>
  <si>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</si>
  <si>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</si>
  <si>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</si>
  <si>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</si>
  <si>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</si>
  <si>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</si>
  <si>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</si>
  <si>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</si>
  <si>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</si>
  <si>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</si>
  <si>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</si>
  <si>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</si>
  <si>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</si>
  <si>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</si>
  <si>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</si>
  <si>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</si>
  <si>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</si>
  <si>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</si>
  <si>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</si>
  <si>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</si>
  <si>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</si>
  <si>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</si>
  <si>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</si>
  <si>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</si>
  <si>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</si>
  <si>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</si>
  <si>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</si>
  <si>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</si>
  <si>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</si>
  <si>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</si>
  <si>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</si>
  <si>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</si>
  <si>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</si>
  <si>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</si>
  <si>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</si>
  <si>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</si>
  <si>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</si>
  <si>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</si>
  <si>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</si>
  <si>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</si>
  <si>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</si>
  <si>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</si>
  <si>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</si>
  <si>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</si>
  <si>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</si>
  <si>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</si>
  <si>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</si>
  <si>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</si>
  <si>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</si>
  <si>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</si>
  <si>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</si>
  <si>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</si>
  <si>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</si>
  <si>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</si>
  <si>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</si>
  <si>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</si>
  <si>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</si>
  <si>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</si>
  <si>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</si>
  <si>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</si>
  <si>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</si>
  <si>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</si>
  <si>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</si>
  <si>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</si>
  <si>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</si>
  <si>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</si>
  <si>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</si>
  <si>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</si>
  <si>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</si>
  <si>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</si>
  <si>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</si>
  <si>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</si>
  <si>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</si>
  <si>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</si>
  <si>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</si>
  <si>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</si>
  <si>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</si>
  <si>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</si>
  <si>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</si>
  <si>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</si>
  <si>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</si>
  <si>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</si>
  <si>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</si>
  <si>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</si>
  <si>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</si>
  <si>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</si>
  <si>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</si>
  <si>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</si>
  <si>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</si>
  <si>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</si>
  <si>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</si>
  <si>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</si>
  <si>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</si>
  <si>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</si>
  <si>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</si>
  <si>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</si>
  <si>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</si>
  <si>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</si>
  <si>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</si>
  <si>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</si>
  <si>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</si>
  <si>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</si>
  <si>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</si>
  <si>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</si>
  <si>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</si>
  <si>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</si>
  <si>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</si>
  <si>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</si>
  <si>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</si>
  <si>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</si>
  <si>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</si>
  <si>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</si>
  <si>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</si>
  <si>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</si>
  <si>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</si>
  <si>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</si>
  <si>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</si>
  <si>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</si>
  <si>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</si>
  <si>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</si>
  <si>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</si>
  <si>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</si>
  <si>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</si>
  <si>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</si>
  <si>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</si>
  <si>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</si>
  <si>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</si>
  <si>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</si>
  <si>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</si>
  <si>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</si>
  <si>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</si>
  <si>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</si>
  <si>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</si>
  <si>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</si>
  <si>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</si>
  <si>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</si>
  <si>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</si>
  <si>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</si>
  <si>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</si>
  <si>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</si>
  <si>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</si>
  <si>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</si>
  <si>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</si>
  <si>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</si>
  <si>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</si>
  <si>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</si>
  <si>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</si>
  <si>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</si>
  <si>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</si>
  <si>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</si>
  <si>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</si>
  <si>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</si>
  <si>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</si>
  <si>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</si>
  <si>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</si>
  <si>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</si>
  <si>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</si>
  <si>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</si>
  <si>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</si>
  <si>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</si>
  <si>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</si>
  <si>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</si>
  <si>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</si>
  <si>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</si>
  <si>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</si>
  <si>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</si>
  <si>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</si>
  <si>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</si>
  <si>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</si>
  <si>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</si>
  <si>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</si>
  <si>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</si>
  <si>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</si>
  <si>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</si>
  <si>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</si>
  <si>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</si>
  <si>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</si>
  <si>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</si>
  <si>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</si>
  <si>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</si>
  <si>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</si>
  <si>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</si>
  <si>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</si>
  <si>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</si>
  <si>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</si>
  <si>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</si>
  <si>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</si>
  <si>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</si>
  <si>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</si>
  <si>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</si>
  <si>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</si>
  <si>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</si>
  <si>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</si>
  <si>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</si>
  <si>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</si>
  <si>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</si>
  <si>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</si>
  <si>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</si>
  <si>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</si>
  <si>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</si>
  <si>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</si>
  <si>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</si>
  <si>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</si>
  <si>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</si>
  <si>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</si>
  <si>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</si>
  <si>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</si>
  <si>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</si>
  <si>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</si>
  <si>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</si>
  <si>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</si>
  <si>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</si>
  <si>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</si>
  <si>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</si>
  <si>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</si>
  <si>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</si>
  <si>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</si>
  <si>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</si>
  <si>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</si>
  <si>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</si>
  <si>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</si>
  <si>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</si>
  <si>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</si>
  <si>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</si>
  <si>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</si>
  <si>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</si>
  <si>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</si>
  <si>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</si>
  <si>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</si>
  <si>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</si>
  <si>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</si>
  <si>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</si>
  <si>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</si>
  <si>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</si>
  <si>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</si>
  <si>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</si>
  <si>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</si>
  <si>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</si>
  <si>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</si>
  <si>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</si>
  <si>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</si>
  <si>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</si>
  <si>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</si>
  <si>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</si>
  <si>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</si>
  <si>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</si>
  <si>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</si>
  <si>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</si>
  <si>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</si>
  <si>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</si>
  <si>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</si>
  <si>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</si>
  <si>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</si>
  <si>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</si>
  <si>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</si>
  <si>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</si>
  <si>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</si>
  <si>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</si>
  <si>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</si>
  <si>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</si>
  <si>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</si>
  <si>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</si>
  <si>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</si>
  <si>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</si>
  <si>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</si>
  <si>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</si>
  <si>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</si>
  <si>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</si>
  <si>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</si>
  <si>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</si>
  <si>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</si>
  <si>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</si>
  <si>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</si>
  <si>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</si>
  <si>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</si>
  <si>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</si>
  <si>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</si>
  <si>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</si>
  <si>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</si>
  <si>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</si>
  <si>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</si>
  <si>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</si>
  <si>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</si>
  <si>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</si>
  <si>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</si>
  <si>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</si>
  <si>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</si>
  <si>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</si>
  <si>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</si>
  <si>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</si>
  <si>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</si>
  <si>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</si>
  <si>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</si>
  <si>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</si>
  <si>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</si>
  <si>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</si>
  <si>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</si>
  <si>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</si>
  <si>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</si>
  <si>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</si>
  <si>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</si>
  <si>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</si>
  <si>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</si>
  <si>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</si>
  <si>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</si>
  <si>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</si>
  <si>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</si>
  <si>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</si>
  <si>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</si>
  <si>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</si>
  <si>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</si>
  <si>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</si>
  <si>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</si>
  <si>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</si>
  <si>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</si>
  <si>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</si>
  <si>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</si>
  <si>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</si>
  <si>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</si>
  <si>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</si>
  <si>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</si>
  <si>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</si>
  <si>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</si>
  <si>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</si>
  <si>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</si>
  <si>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</si>
  <si>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</si>
  <si>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</si>
  <si>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</si>
  <si>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</si>
  <si>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</si>
  <si>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</si>
  <si>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</si>
  <si>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</si>
  <si>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</si>
  <si>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</si>
  <si>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</si>
  <si>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</si>
  <si>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</si>
  <si>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</si>
  <si>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</si>
  <si>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</si>
  <si>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</si>
  <si>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</si>
  <si>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</si>
  <si>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</si>
  <si>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</si>
  <si>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</si>
  <si>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</si>
  <si>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</si>
  <si>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</si>
  <si>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</si>
  <si>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</si>
  <si>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</si>
  <si>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</si>
  <si>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</si>
  <si>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</si>
  <si>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</si>
  <si>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</si>
  <si>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</si>
  <si>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</si>
  <si>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</si>
  <si>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</si>
  <si>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</si>
  <si>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</si>
  <si>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</si>
  <si>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</si>
  <si>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</si>
  <si>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</si>
  <si>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</si>
  <si>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</si>
  <si>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</si>
  <si>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</si>
  <si>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</si>
  <si>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</si>
  <si>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</si>
  <si>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</si>
  <si>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</si>
  <si>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</si>
  <si>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</si>
  <si>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</si>
  <si>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</si>
  <si>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</si>
  <si>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</si>
  <si>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</si>
  <si>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</si>
  <si>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</si>
  <si>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</si>
  <si>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</si>
  <si>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</si>
  <si>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</si>
  <si>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</si>
  <si>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</si>
  <si>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</si>
  <si>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</si>
  <si>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</si>
  <si>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</si>
  <si>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</si>
  <si>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</si>
  <si>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</si>
  <si>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</si>
  <si>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</si>
  <si>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</si>
  <si>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</si>
  <si>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</si>
  <si>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</si>
  <si>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</si>
  <si>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</si>
  <si>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</si>
  <si>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</si>
  <si>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</si>
  <si>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</si>
  <si>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</si>
  <si>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</si>
  <si>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</si>
  <si>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</si>
  <si>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</si>
  <si>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</si>
  <si>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</si>
  <si>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</si>
  <si>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</si>
  <si>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</si>
  <si>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</si>
  <si>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</si>
  <si>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</si>
  <si>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</si>
  <si>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</si>
  <si>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</si>
  <si>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</si>
  <si>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</si>
  <si>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</si>
  <si>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</si>
  <si>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</si>
  <si>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</si>
  <si>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</si>
  <si>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</si>
  <si>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</si>
  <si>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</si>
  <si>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</si>
  <si>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</si>
  <si>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</si>
  <si>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</si>
  <si>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</si>
  <si>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</si>
  <si>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</si>
  <si>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</si>
  <si>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</si>
  <si>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</si>
  <si>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</si>
  <si>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</si>
  <si>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</si>
  <si>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</si>
  <si>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</si>
  <si>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</si>
  <si>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</si>
  <si>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</si>
  <si>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</si>
  <si>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</si>
  <si>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</si>
  <si>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</si>
  <si>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</si>
  <si>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</si>
  <si>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</si>
  <si>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</si>
  <si>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</si>
  <si>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</si>
  <si>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</si>
  <si>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</si>
  <si>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</si>
  <si>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</si>
  <si>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</si>
  <si>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</si>
  <si>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</si>
  <si>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</si>
  <si>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</si>
  <si>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</si>
  <si>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</si>
  <si>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</si>
  <si>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</si>
  <si>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</si>
  <si>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</si>
  <si>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</si>
  <si>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</si>
  <si>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</si>
  <si>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</si>
  <si>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</si>
  <si>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</si>
  <si>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</si>
  <si>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</si>
  <si>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</si>
  <si>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</si>
  <si>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</si>
  <si>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</si>
  <si>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</si>
  <si>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</si>
  <si>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</si>
  <si>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</si>
  <si>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</si>
  <si>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</si>
  <si>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</si>
  <si>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</si>
  <si>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</si>
  <si>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</si>
  <si>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</si>
  <si>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</si>
  <si>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</si>
  <si>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</si>
  <si>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</si>
  <si>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</si>
  <si>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</si>
  <si>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</si>
  <si>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</si>
  <si>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</si>
  <si>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</si>
  <si>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</si>
  <si>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</si>
  <si>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</si>
  <si>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</si>
  <si>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</si>
  <si>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</si>
  <si>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</si>
  <si>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</si>
  <si>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</si>
  <si>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</si>
  <si>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</si>
  <si>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</si>
  <si>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</si>
  <si>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</si>
  <si>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</si>
  <si>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</si>
  <si>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</si>
  <si>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</si>
  <si>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</si>
  <si>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</si>
  <si>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</si>
  <si>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</si>
  <si>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</si>
  <si>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</si>
  <si>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</si>
  <si>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</si>
  <si>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</si>
  <si>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</si>
  <si>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</si>
  <si>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</si>
  <si>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</si>
  <si>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</si>
  <si>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</si>
  <si>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</si>
  <si>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</si>
  <si>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</si>
  <si>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</si>
  <si>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</si>
  <si>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</si>
  <si>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</si>
  <si>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</si>
  <si>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</si>
  <si>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</si>
  <si>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</si>
  <si>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</si>
  <si>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</si>
  <si>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</si>
  <si>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</si>
  <si>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</si>
  <si>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</si>
  <si>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</si>
  <si>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</si>
  <si>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</si>
  <si>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</si>
  <si>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</si>
  <si>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</si>
  <si>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</si>
  <si>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</si>
  <si>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</si>
  <si>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</si>
  <si>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</si>
  <si>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</si>
  <si>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</si>
  <si>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</si>
  <si>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</si>
  <si>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</si>
  <si>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</si>
  <si>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</si>
  <si>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</si>
  <si>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</si>
  <si>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</si>
  <si>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</si>
  <si>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</si>
  <si>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</si>
  <si>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</si>
  <si>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</si>
  <si>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</si>
  <si>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</si>
  <si>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</si>
  <si>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</si>
  <si>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</si>
  <si>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</si>
  <si>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</si>
  <si>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</si>
  <si>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</si>
  <si>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</si>
  <si>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</si>
  <si>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</si>
  <si>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</si>
  <si>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</si>
  <si>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</si>
  <si>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</si>
  <si>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</si>
  <si>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</si>
  <si>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</si>
  <si>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</si>
  <si>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</si>
  <si>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</si>
  <si>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</si>
  <si>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</si>
  <si>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</si>
  <si>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</si>
  <si>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</si>
  <si>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</si>
  <si>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</si>
  <si>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</si>
  <si>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</si>
  <si>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</si>
  <si>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</si>
  <si>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</si>
  <si>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</si>
  <si>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</si>
  <si>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</si>
  <si>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</si>
  <si>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</si>
  <si>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</si>
  <si>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</si>
  <si>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</si>
  <si>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</si>
  <si>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</si>
  <si>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</si>
  <si>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</si>
  <si>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</si>
  <si>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</si>
  <si>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</si>
  <si>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</si>
  <si>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</si>
  <si>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</si>
  <si>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</si>
  <si>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</si>
  <si>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</si>
  <si>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</si>
  <si>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</si>
  <si>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</si>
  <si>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</si>
  <si>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</si>
  <si>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</si>
  <si>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</si>
  <si>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</si>
  <si>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</si>
  <si>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</si>
  <si>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</si>
  <si>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</si>
  <si>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</si>
  <si>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</si>
  <si>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</si>
  <si>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</si>
  <si>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</si>
  <si>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</si>
  <si>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</si>
  <si>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</si>
  <si>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</si>
  <si>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</si>
  <si>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</si>
  <si>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</si>
  <si>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</si>
  <si>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</si>
  <si>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</si>
  <si>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</si>
  <si>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</si>
  <si>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</si>
  <si>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</si>
  <si>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</si>
  <si>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</si>
  <si>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</si>
  <si>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</si>
  <si>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</si>
  <si>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</si>
  <si>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</si>
  <si>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</si>
  <si>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</si>
  <si>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</si>
  <si>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</si>
  <si>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</si>
  <si>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</si>
  <si>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</si>
  <si>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</si>
  <si>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</si>
  <si>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</si>
  <si>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</si>
  <si>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</si>
  <si>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</si>
  <si>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</si>
  <si>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</si>
  <si>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</si>
  <si>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</si>
  <si>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</si>
  <si>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</si>
  <si>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</si>
  <si>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</si>
  <si>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</si>
  <si>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</si>
  <si>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</si>
  <si>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</si>
  <si>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</si>
  <si>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</si>
  <si>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</si>
  <si>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</si>
  <si>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</si>
  <si>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</si>
  <si>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</si>
  <si>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</si>
  <si>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</si>
  <si>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</si>
  <si>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</si>
  <si>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</si>
  <si>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</si>
  <si>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</si>
  <si>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</si>
  <si>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</si>
  <si>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</si>
  <si>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</si>
  <si>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</si>
  <si>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</si>
  <si>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</si>
  <si>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</si>
  <si>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</si>
  <si>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</si>
  <si>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</si>
  <si>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</si>
  <si>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</si>
  <si>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</si>
  <si>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</si>
  <si>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</si>
  <si>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</si>
  <si>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</si>
  <si>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</si>
  <si>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</si>
  <si>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</si>
  <si>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</si>
  <si>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</si>
  <si>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</si>
  <si>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</si>
  <si>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</si>
  <si>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</si>
  <si>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</si>
  <si>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</si>
  <si>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</si>
  <si>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</si>
  <si>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</si>
  <si>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</si>
  <si>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</si>
  <si>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</si>
  <si>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</si>
  <si>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</si>
  <si>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</si>
  <si>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</si>
  <si>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</si>
  <si>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</si>
  <si>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</si>
  <si>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</si>
  <si>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</si>
  <si>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</si>
  <si>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</si>
  <si>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</si>
  <si>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</si>
  <si>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</si>
  <si>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</si>
  <si>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</si>
  <si>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</si>
  <si>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</si>
  <si>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</si>
  <si>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</si>
  <si>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</si>
  <si>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</si>
  <si>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</si>
  <si>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</si>
  <si>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</si>
  <si>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</si>
  <si>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</si>
  <si>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</si>
  <si>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</si>
  <si>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</si>
  <si>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</si>
  <si>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</si>
  <si>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</si>
  <si>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</si>
  <si>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</si>
  <si>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</si>
  <si>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</si>
  <si>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</si>
  <si>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</si>
  <si>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</si>
  <si>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</si>
  <si>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</si>
  <si>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</si>
  <si>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</si>
  <si>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</si>
  <si>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</si>
  <si>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</si>
  <si>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</si>
  <si>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</si>
  <si>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</si>
  <si>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</si>
  <si>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</si>
  <si>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</si>
  <si>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</si>
  <si>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</si>
  <si>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</si>
  <si>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</si>
  <si>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</si>
  <si>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</si>
  <si>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</si>
  <si>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</si>
  <si>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</si>
  <si>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</si>
  <si>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</si>
  <si>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</si>
  <si>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</si>
  <si>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</si>
  <si>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</si>
  <si>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</si>
  <si>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</si>
  <si>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</si>
  <si>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</si>
  <si>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</si>
  <si>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</si>
  <si>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</si>
  <si>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</si>
  <si>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</si>
  <si>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</si>
  <si>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</si>
  <si>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</si>
  <si>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</si>
  <si>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</si>
  <si>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</si>
  <si>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</si>
  <si>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</si>
  <si>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</si>
  <si>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</si>
  <si>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</si>
  <si>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</si>
  <si>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</si>
  <si>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</si>
  <si>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</si>
  <si>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</si>
  <si>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</si>
  <si>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</si>
  <si>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</si>
  <si>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</si>
  <si>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</si>
  <si>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</si>
  <si>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</si>
  <si>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</si>
  <si>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</si>
  <si>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</si>
  <si>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</si>
  <si>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</si>
  <si>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</si>
  <si>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</si>
  <si>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</si>
  <si>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</si>
  <si>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</si>
  <si>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</si>
  <si>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</si>
  <si>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</si>
  <si>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</si>
  <si>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</si>
  <si>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</si>
  <si>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</si>
  <si>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</si>
  <si>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</si>
  <si>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</si>
  <si>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</si>
  <si>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</si>
  <si>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</si>
  <si>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</si>
  <si>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</si>
  <si>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</si>
  <si>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</si>
  <si>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</si>
  <si>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</si>
  <si>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</si>
  <si>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</si>
  <si>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</si>
  <si>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</si>
  <si>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</si>
  <si>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</si>
  <si>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</si>
  <si>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</si>
  <si>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</si>
  <si>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</si>
  <si>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</si>
  <si>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</si>
  <si>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</si>
  <si>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</si>
  <si>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</si>
  <si>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</si>
  <si>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</si>
  <si>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</si>
  <si>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</si>
  <si>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</si>
  <si>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</si>
  <si>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</si>
  <si>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</si>
  <si>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</si>
  <si>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</si>
  <si>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</si>
  <si>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</si>
  <si>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</si>
  <si>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</si>
  <si>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</si>
  <si>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</si>
  <si>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</si>
  <si>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</si>
  <si>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</si>
  <si>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</si>
  <si>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</si>
  <si>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</si>
  <si>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</si>
  <si>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</si>
  <si>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</si>
  <si>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</si>
  <si>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</si>
  <si>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</si>
  <si>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</si>
  <si>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</si>
  <si>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</si>
  <si>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</si>
  <si>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</si>
  <si>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</si>
  <si>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</si>
  <si>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</si>
  <si>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</si>
  <si>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</si>
  <si>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</si>
  <si>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</si>
  <si>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</si>
  <si>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</si>
  <si>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</si>
  <si>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</si>
  <si>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</si>
  <si>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</si>
  <si>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</si>
  <si>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</si>
  <si>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</si>
  <si>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</si>
  <si>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</si>
  <si>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</si>
  <si>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</si>
  <si>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</si>
  <si>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</si>
  <si>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</si>
  <si>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</si>
  <si>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</si>
  <si>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</si>
  <si>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</si>
  <si>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</si>
  <si>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</si>
  <si>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</si>
  <si>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</si>
  <si>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</si>
  <si>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</si>
  <si>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</si>
  <si>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</si>
  <si>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</si>
  <si>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</si>
  <si>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</si>
  <si>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</si>
  <si>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</si>
  <si>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</si>
  <si>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</si>
  <si>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</si>
  <si>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</si>
  <si>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</si>
  <si>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</si>
  <si>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</si>
  <si>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</si>
  <si>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</si>
  <si>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</si>
  <si>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</si>
  <si>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</si>
  <si>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</si>
  <si>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</si>
  <si>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</si>
  <si>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</si>
  <si>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</si>
  <si>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</si>
  <si>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</si>
  <si>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</si>
  <si>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</si>
  <si>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</si>
  <si>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</si>
  <si>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</si>
  <si>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</si>
  <si>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</si>
  <si>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</si>
  <si>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</si>
  <si>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</si>
  <si>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</si>
  <si>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</si>
  <si>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</si>
  <si>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</si>
  <si>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</si>
  <si>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</si>
  <si>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</si>
  <si>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</si>
  <si>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</si>
  <si>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</si>
  <si>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</si>
  <si>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</si>
  <si>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</si>
  <si>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</si>
  <si>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</si>
  <si>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</si>
  <si>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</si>
  <si>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</si>
  <si>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</si>
  <si>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</si>
  <si>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</si>
  <si>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</si>
  <si>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</si>
  <si>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</si>
  <si>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</si>
  <si>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</si>
  <si>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</si>
  <si>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</si>
  <si>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</si>
  <si>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</si>
  <si>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</si>
  <si>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</si>
  <si>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</si>
  <si>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</si>
  <si>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</si>
  <si>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</si>
  <si>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</si>
  <si>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</si>
  <si>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</si>
  <si>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</si>
  <si>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</si>
  <si>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</si>
  <si>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</si>
  <si>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</si>
  <si>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</si>
  <si>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</si>
  <si>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</si>
  <si>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</si>
  <si>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</si>
  <si>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</si>
  <si>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</si>
  <si>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</si>
  <si>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</si>
  <si>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</si>
  <si>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</si>
  <si>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</si>
  <si>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</si>
  <si>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</si>
  <si>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</si>
  <si>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</si>
  <si>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</si>
  <si>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</si>
  <si>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</si>
  <si>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</si>
  <si>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</si>
  <si>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</si>
  <si>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</si>
  <si>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</si>
  <si>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</si>
  <si>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</si>
  <si>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</si>
  <si>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</si>
  <si>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</si>
  <si>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</si>
  <si>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</si>
  <si>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</si>
  <si>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</si>
  <si>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</si>
  <si>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</si>
  <si>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</si>
  <si>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</si>
  <si>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</si>
  <si>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</si>
  <si>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</si>
  <si>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</si>
  <si>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</si>
  <si>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</si>
  <si>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</si>
  <si>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</si>
  <si>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</si>
  <si>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</si>
  <si>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</si>
  <si>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</si>
  <si>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</si>
  <si>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</si>
  <si>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</si>
  <si>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</si>
  <si>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</si>
  <si>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</si>
  <si>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</si>
  <si>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</si>
  <si>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</si>
  <si>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</si>
  <si>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</si>
  <si>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</si>
  <si>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</si>
  <si>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</si>
  <si>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</si>
  <si>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</si>
  <si>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</si>
  <si>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</si>
  <si>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</si>
  <si>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</si>
  <si>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</si>
  <si>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</si>
  <si>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</si>
  <si>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</si>
  <si>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</si>
  <si>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</si>
  <si>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</si>
  <si>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</si>
  <si>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</si>
  <si>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</si>
  <si>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</si>
  <si>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</si>
  <si>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</si>
  <si>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</si>
  <si>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</si>
  <si>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</si>
  <si>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</si>
  <si>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</si>
  <si>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</si>
  <si>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</si>
  <si>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</si>
  <si>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</si>
  <si>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</si>
  <si>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</si>
  <si>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</si>
  <si>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</si>
  <si>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</si>
  <si>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</si>
  <si>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</si>
  <si>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</si>
  <si>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</si>
  <si>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</si>
  <si>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</si>
  <si>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</si>
  <si>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</si>
  <si>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</si>
  <si>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</si>
  <si>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</si>
  <si>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</si>
  <si>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</si>
  <si>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</si>
  <si>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</si>
  <si>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</si>
  <si>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</si>
  <si>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</si>
  <si>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</si>
  <si>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</si>
  <si>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</si>
  <si>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</si>
  <si>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</si>
  <si>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</si>
  <si>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</si>
  <si>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</si>
  <si>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</si>
  <si>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</si>
  <si>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</si>
  <si>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</si>
  <si>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</si>
  <si>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</si>
  <si>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</si>
  <si>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</si>
  <si>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</si>
  <si>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</si>
  <si>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</si>
  <si>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</si>
  <si>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</si>
  <si>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</si>
  <si>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</si>
  <si>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</si>
  <si>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</si>
  <si>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</si>
  <si>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</si>
  <si>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</si>
  <si>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</si>
  <si>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</si>
  <si>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</si>
  <si>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</si>
  <si>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</si>
  <si>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</si>
  <si>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</si>
  <si>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</si>
  <si>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</si>
  <si>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</si>
  <si>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</si>
  <si>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</si>
  <si>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</si>
  <si>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</si>
  <si>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</si>
  <si>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</si>
  <si>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</si>
  <si>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</si>
  <si>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</si>
  <si>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</si>
  <si>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</si>
  <si>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</si>
  <si>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</si>
  <si>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</si>
  <si>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</si>
  <si>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</si>
  <si>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</si>
  <si>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</si>
  <si>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</si>
  <si>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</si>
  <si>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</si>
  <si>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</si>
  <si>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</si>
  <si>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</si>
  <si>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</si>
  <si>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</si>
  <si>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</si>
  <si>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</si>
  <si>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</si>
  <si>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</si>
  <si>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</si>
  <si>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</si>
  <si>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</si>
  <si>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</si>
  <si>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</si>
  <si>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</si>
  <si>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</si>
  <si>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</si>
  <si>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</si>
  <si>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</si>
  <si>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</si>
  <si>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</si>
  <si>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</si>
  <si>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</si>
  <si>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</si>
  <si>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</si>
  <si>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</si>
  <si>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</si>
  <si>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</si>
  <si>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</si>
  <si>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</si>
  <si>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</si>
  <si>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</si>
  <si>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</si>
  <si>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</si>
  <si>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</si>
  <si>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</si>
  <si>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</si>
  <si>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</si>
  <si>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</si>
  <si>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</si>
  <si>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</si>
  <si>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</si>
  <si>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</si>
  <si>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</si>
  <si>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</si>
  <si>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</si>
  <si>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</si>
  <si>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</si>
  <si>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</si>
  <si>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</si>
  <si>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</si>
  <si>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</si>
  <si>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</si>
  <si>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</si>
  <si>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</si>
  <si>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</si>
  <si>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</si>
  <si>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</si>
  <si>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</si>
  <si>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</si>
  <si>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</si>
  <si>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</si>
  <si>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</si>
  <si>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</si>
  <si>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</si>
  <si>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</si>
  <si>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</si>
  <si>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</si>
  <si>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</si>
  <si>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</si>
  <si>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</si>
  <si>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</si>
  <si>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</si>
  <si>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</si>
  <si>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</si>
  <si>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</si>
  <si>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</si>
  <si>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</si>
  <si>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</si>
  <si>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</si>
  <si>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</si>
  <si>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</si>
  <si>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</si>
  <si>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</si>
  <si>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</si>
  <si>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</si>
  <si>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</si>
  <si>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</si>
  <si>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</si>
  <si>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</si>
  <si>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</si>
  <si>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</si>
  <si>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</si>
  <si>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</si>
  <si>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</si>
  <si>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</si>
  <si>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</si>
  <si>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</si>
  <si>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</si>
  <si>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</si>
  <si>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</si>
  <si>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</si>
  <si>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</si>
  <si>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</si>
  <si>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</si>
  <si>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</si>
  <si>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</si>
  <si>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</si>
  <si>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</si>
  <si>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</si>
  <si>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</si>
  <si>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</si>
  <si>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</si>
  <si>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</si>
  <si>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</si>
  <si>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</si>
  <si>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</si>
  <si>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</si>
  <si>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</si>
  <si>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</si>
  <si>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</si>
  <si>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</si>
  <si>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</si>
  <si>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</si>
  <si>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</si>
  <si>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</si>
  <si>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</si>
  <si>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</si>
  <si>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</si>
  <si>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</si>
  <si>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</si>
  <si>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</si>
  <si>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</si>
  <si>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</si>
  <si>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</si>
  <si>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</si>
  <si>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</si>
  <si>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</si>
  <si>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</si>
  <si>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</si>
  <si>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</si>
  <si>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</si>
  <si>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</si>
  <si>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</si>
  <si>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</si>
  <si>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</si>
  <si>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</si>
  <si>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</si>
  <si>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</si>
  <si>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</si>
  <si>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</si>
  <si>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</si>
  <si>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</si>
  <si>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</si>
  <si>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</si>
  <si>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</si>
  <si>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</si>
  <si>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</si>
  <si>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</si>
  <si>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</si>
  <si>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</si>
  <si>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</si>
  <si>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</si>
  <si>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</si>
  <si>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</si>
  <si>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</si>
  <si>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</si>
  <si>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</si>
  <si>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</si>
  <si>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</si>
  <si>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</si>
  <si>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</si>
  <si>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</si>
  <si>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</si>
  <si>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</si>
  <si>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</si>
  <si>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</si>
  <si>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</si>
  <si>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</si>
  <si>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</si>
  <si>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</si>
  <si>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</si>
  <si>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</si>
  <si>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</si>
  <si>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</si>
  <si>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</si>
  <si>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</si>
  <si>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</si>
  <si>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</si>
  <si>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</si>
  <si>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</si>
  <si>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</si>
  <si>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</si>
  <si>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</si>
  <si>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</si>
  <si>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</si>
  <si>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</si>
  <si>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</si>
  <si>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</si>
  <si>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</si>
  <si>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</si>
  <si>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</si>
  <si>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</si>
  <si>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</si>
  <si>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</si>
  <si>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</si>
  <si>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</si>
  <si>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</si>
  <si>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</si>
  <si>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</si>
  <si>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</si>
  <si>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</si>
  <si>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</si>
  <si>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</si>
  <si>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</si>
  <si>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</si>
  <si>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</si>
  <si>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</si>
  <si>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</si>
  <si>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</si>
  <si>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</si>
  <si>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</si>
  <si>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</si>
  <si>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</si>
  <si>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</si>
  <si>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</si>
  <si>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</si>
  <si>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</si>
  <si>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</si>
  <si>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</si>
  <si>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</si>
  <si>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</si>
  <si>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</si>
  <si>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</si>
  <si>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</si>
  <si>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</si>
  <si>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</si>
  <si>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</si>
  <si>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</si>
  <si>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</si>
  <si>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</si>
  <si>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</si>
  <si>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</si>
  <si>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</si>
  <si>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</si>
  <si>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</si>
  <si>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</si>
  <si>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</si>
  <si>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</si>
  <si>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</si>
  <si>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</si>
  <si>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</si>
  <si>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</si>
  <si>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</si>
  <si>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</si>
  <si>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</si>
  <si>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</si>
  <si>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</si>
  <si>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</si>
  <si>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</si>
  <si>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</si>
  <si>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</si>
  <si>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</si>
  <si>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</si>
  <si>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</si>
  <si>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</si>
  <si>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</si>
  <si>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</si>
  <si>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</si>
  <si>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</si>
  <si>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</si>
  <si>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</si>
  <si>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</si>
  <si>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</si>
  <si>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</si>
  <si>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</si>
  <si>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</si>
  <si>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</si>
  <si>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</si>
  <si>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</si>
  <si>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</si>
  <si>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</si>
  <si>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</si>
  <si>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</si>
  <si>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</si>
  <si>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</si>
  <si>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</si>
  <si>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</si>
  <si>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</si>
  <si>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</si>
  <si>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</si>
  <si>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</si>
  <si>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</si>
  <si>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</si>
  <si>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</si>
  <si>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</si>
  <si>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</si>
  <si>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</si>
  <si>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</si>
  <si>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</si>
  <si>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</si>
  <si>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</si>
  <si>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</si>
  <si>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</si>
  <si>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</si>
  <si>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</si>
  <si>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</si>
  <si>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</si>
  <si>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</si>
  <si>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</si>
  <si>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</si>
  <si>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</si>
  <si>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</si>
  <si>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</si>
  <si>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</si>
  <si>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</si>
  <si>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</si>
  <si>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</si>
  <si>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</si>
  <si>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</si>
  <si>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</si>
  <si>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</si>
  <si>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</si>
  <si>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</si>
  <si>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</si>
  <si>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</si>
  <si>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</si>
  <si>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</si>
  <si>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</si>
  <si>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</si>
  <si>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</si>
  <si>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</si>
  <si>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</si>
  <si>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</si>
  <si>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</si>
  <si>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</si>
  <si>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</si>
  <si>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</si>
  <si>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</si>
  <si>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</si>
  <si>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</si>
  <si>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</si>
  <si>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</si>
  <si>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</si>
  <si>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</si>
  <si>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</si>
  <si>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</si>
  <si>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</si>
  <si>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</si>
  <si>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</si>
  <si>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</si>
  <si>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</si>
  <si>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</si>
  <si>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</si>
  <si>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</si>
  <si>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</si>
  <si>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</si>
  <si>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</si>
  <si>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</si>
  <si>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</si>
  <si>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</si>
  <si>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</si>
  <si>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</si>
  <si>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</si>
  <si>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</si>
  <si>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</si>
  <si>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</si>
  <si>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</si>
  <si>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</si>
  <si>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</si>
  <si>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</si>
  <si>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</si>
  <si>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</si>
  <si>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</si>
  <si>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</si>
  <si>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</si>
  <si>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</si>
  <si>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</si>
  <si>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</si>
  <si>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</si>
  <si>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</si>
  <si>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</si>
  <si>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</si>
  <si>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</si>
  <si>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</si>
  <si>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</si>
  <si>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</si>
  <si>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</si>
  <si>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</si>
  <si>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</si>
  <si>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</si>
  <si>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</si>
  <si>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</si>
  <si>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</si>
  <si>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</si>
  <si>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</si>
  <si>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</si>
  <si>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</si>
  <si>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</si>
  <si>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</si>
  <si>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</si>
  <si>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</si>
  <si>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</si>
  <si>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</si>
  <si>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</si>
  <si>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</si>
  <si>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</si>
  <si>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</si>
  <si>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</si>
  <si>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</si>
  <si>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</si>
  <si>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</si>
  <si>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</si>
  <si>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</si>
  <si>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</si>
  <si>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</si>
  <si>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</si>
  <si>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</si>
  <si>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</si>
  <si>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</si>
  <si>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</si>
  <si>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</si>
  <si>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</si>
  <si>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</si>
  <si>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</si>
  <si>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</si>
  <si>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</si>
  <si>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</si>
  <si>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</si>
  <si>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</si>
  <si>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</si>
  <si>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</si>
  <si>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</si>
  <si>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</si>
  <si>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</si>
  <si>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</si>
  <si>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</si>
  <si>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</si>
  <si>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</si>
  <si>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</si>
  <si>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</si>
  <si>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</si>
  <si>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</si>
  <si>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</si>
  <si>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</si>
  <si>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</si>
  <si>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</si>
  <si>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</si>
  <si>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</si>
  <si>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</si>
  <si>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</si>
  <si>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</si>
  <si>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</si>
  <si>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</si>
  <si>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</si>
  <si>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</si>
  <si>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</si>
  <si>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</si>
  <si>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</si>
  <si>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</si>
  <si>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</si>
  <si>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</si>
  <si>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</si>
  <si>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</si>
  <si>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</si>
  <si>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</si>
  <si>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</si>
  <si>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</si>
  <si>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</si>
  <si>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</si>
  <si>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</si>
  <si>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</si>
  <si>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</si>
  <si>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</si>
  <si>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</si>
  <si>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</si>
  <si>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</si>
  <si>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</si>
  <si>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</si>
  <si>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</si>
  <si>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</si>
  <si>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</si>
  <si>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</si>
  <si>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</si>
  <si>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</si>
  <si>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</si>
  <si>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</si>
  <si>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</si>
  <si>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</si>
  <si>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</si>
  <si>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</si>
  <si>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</si>
  <si>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</si>
  <si>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</si>
  <si>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</si>
  <si>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</si>
  <si>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</si>
  <si>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</si>
  <si>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</si>
  <si>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</si>
  <si>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</si>
  <si>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</si>
  <si>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</si>
  <si>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</si>
  <si>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</si>
  <si>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</si>
  <si>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</si>
  <si>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</si>
  <si>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</si>
  <si>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</si>
  <si>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</si>
  <si>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</si>
  <si>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</si>
  <si>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</si>
  <si>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</si>
  <si>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</si>
  <si>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</si>
  <si>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</si>
  <si>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</si>
  <si>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</si>
  <si>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</si>
  <si>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</si>
  <si>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</si>
  <si>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</si>
  <si>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</si>
  <si>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</si>
  <si>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</si>
  <si>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</si>
  <si>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</si>
  <si>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</si>
  <si>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</si>
  <si>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</si>
  <si>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</si>
  <si>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</si>
  <si>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</si>
  <si>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</si>
  <si>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</si>
  <si>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</si>
  <si>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</si>
  <si>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</si>
  <si>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</si>
  <si>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</si>
  <si>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</si>
  <si>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</si>
  <si>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</si>
  <si>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</si>
  <si>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</si>
  <si>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</si>
  <si>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</si>
  <si>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</si>
  <si>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</si>
  <si>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</si>
  <si>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</si>
  <si>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</si>
  <si>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</si>
  <si>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</si>
  <si>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</si>
  <si>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</si>
  <si>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</si>
  <si>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</si>
  <si>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</si>
  <si>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</si>
  <si>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</si>
  <si>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</si>
  <si>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</si>
  <si>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</si>
  <si>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</si>
  <si>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</si>
  <si>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</si>
  <si>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</si>
  <si>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</si>
  <si>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</si>
  <si>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</si>
  <si>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</si>
  <si>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</si>
  <si>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</si>
  <si>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</si>
  <si>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</si>
  <si>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</si>
  <si>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</si>
  <si>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</si>
  <si>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</si>
  <si>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</si>
  <si>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</si>
  <si>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</si>
  <si>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</si>
  <si>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</si>
  <si>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</si>
  <si>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</si>
  <si>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</si>
  <si>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</si>
  <si>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</si>
  <si>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</si>
  <si>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</si>
  <si>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</si>
  <si>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</si>
  <si>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</si>
  <si>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</si>
  <si>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</si>
  <si>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</si>
  <si>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</si>
  <si>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</si>
  <si>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</si>
  <si>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</si>
  <si>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</si>
  <si>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</si>
  <si>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</si>
  <si>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</si>
  <si>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</si>
  <si>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</si>
  <si>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</si>
  <si>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</si>
  <si>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</si>
  <si>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</si>
  <si>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</si>
  <si>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</si>
  <si>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</si>
  <si>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</si>
  <si>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</si>
  <si>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</si>
  <si>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</si>
  <si>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</si>
  <si>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</si>
  <si>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</si>
  <si>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</si>
  <si>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</si>
  <si>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</si>
  <si>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</si>
  <si>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</si>
  <si>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</si>
  <si>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</si>
  <si>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</si>
  <si>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</si>
  <si>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</si>
  <si>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</si>
  <si>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</si>
  <si>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</si>
  <si>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</si>
  <si>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</si>
  <si>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</si>
  <si>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</si>
  <si>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</si>
  <si>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</si>
  <si>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</si>
  <si>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</si>
  <si>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</si>
  <si>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</si>
  <si>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</si>
  <si>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</si>
  <si>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</si>
  <si>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</si>
  <si>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</si>
  <si>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</si>
  <si>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</si>
  <si>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</si>
  <si>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</si>
  <si>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</si>
  <si>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</si>
  <si>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</si>
  <si>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</si>
  <si>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</si>
  <si>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</si>
  <si>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</si>
  <si>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</si>
  <si>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</si>
  <si>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</si>
  <si>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</si>
  <si>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</si>
  <si>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</si>
  <si>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</si>
  <si>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</si>
  <si>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</si>
  <si>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</si>
  <si>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</si>
  <si>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</si>
  <si>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</si>
  <si>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</si>
  <si>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</si>
  <si>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</si>
  <si>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</si>
  <si>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</si>
  <si>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</si>
  <si>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</si>
  <si>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</si>
  <si>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</si>
  <si>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</si>
  <si>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</si>
  <si>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</si>
  <si>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</si>
  <si>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</si>
  <si>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</si>
  <si>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</si>
  <si>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</si>
  <si>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</si>
  <si>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</si>
  <si>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</si>
  <si>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</si>
  <si>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</si>
  <si>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</si>
  <si>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</si>
  <si>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</si>
  <si>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</si>
  <si>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</si>
  <si>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</si>
  <si>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</si>
  <si>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</si>
  <si>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</si>
  <si>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</si>
  <si>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</si>
  <si>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</si>
  <si>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</si>
  <si>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</si>
  <si>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</si>
  <si>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</si>
  <si>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</si>
  <si>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</si>
  <si>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</si>
  <si>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</si>
  <si>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</si>
  <si>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</si>
  <si>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</si>
  <si>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</si>
  <si>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</si>
  <si>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</si>
  <si>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</si>
  <si>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</si>
  <si>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</si>
  <si>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</si>
  <si>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</si>
  <si>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</si>
  <si>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</si>
  <si>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</si>
  <si>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</si>
  <si>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</si>
  <si>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</si>
  <si>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</si>
  <si>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</si>
  <si>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</si>
  <si>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</si>
  <si>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</si>
  <si>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</si>
  <si>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</si>
  <si>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</si>
  <si>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</si>
  <si>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</si>
  <si>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</si>
  <si>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</si>
  <si>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</si>
  <si>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</si>
  <si>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</si>
  <si>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</si>
  <si>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</si>
  <si>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</si>
  <si>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</si>
  <si>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</si>
  <si>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</si>
  <si>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</si>
  <si>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</si>
  <si>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</si>
  <si>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</si>
  <si>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</si>
  <si>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</si>
  <si>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</si>
  <si>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</si>
  <si>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</si>
  <si>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</si>
  <si>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</si>
  <si>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</si>
  <si>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</si>
  <si>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</si>
  <si>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</si>
  <si>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</si>
  <si>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</si>
  <si>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</si>
  <si>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</si>
  <si>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</si>
  <si>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</si>
  <si>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</si>
  <si>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</si>
  <si>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</si>
  <si>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</si>
  <si>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</si>
  <si>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</si>
  <si>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</si>
  <si>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</si>
  <si>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</si>
  <si>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</si>
  <si>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</si>
  <si>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</si>
  <si>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</si>
  <si>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</si>
  <si>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</si>
  <si>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</si>
  <si>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</si>
  <si>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</si>
  <si>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</si>
  <si>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</si>
  <si>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</si>
  <si>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</si>
  <si>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</si>
  <si>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</si>
  <si>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</si>
  <si>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</si>
  <si>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</si>
  <si>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</si>
  <si>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</si>
  <si>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</si>
  <si>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</si>
  <si>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</si>
  <si>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</si>
  <si>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</si>
  <si>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</si>
  <si>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</si>
  <si>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</si>
  <si>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</si>
  <si>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</si>
  <si>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</si>
  <si>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</si>
  <si>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</si>
  <si>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</si>
  <si>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</si>
  <si>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</si>
  <si>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</si>
  <si>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</si>
  <si>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</si>
  <si>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</si>
  <si>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</si>
  <si>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</si>
  <si>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</si>
  <si>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</si>
  <si>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</si>
  <si>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</si>
  <si>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</si>
  <si>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</si>
  <si>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</si>
  <si>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</si>
  <si>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</si>
  <si>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</si>
  <si>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</si>
  <si>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</si>
  <si>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</si>
  <si>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</si>
  <si>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</si>
  <si>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</si>
  <si>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</si>
  <si>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</si>
  <si>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</si>
  <si>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</si>
  <si>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</si>
  <si>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</si>
  <si>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</si>
  <si>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</si>
  <si>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</si>
  <si>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</si>
  <si>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</si>
  <si>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</si>
  <si>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</si>
  <si>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</si>
  <si>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</si>
  <si>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</si>
  <si>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</si>
  <si>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</si>
  <si>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</si>
  <si>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</si>
  <si>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</si>
  <si>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</si>
  <si>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</si>
  <si>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</si>
  <si>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</si>
  <si>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</si>
  <si>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</si>
  <si>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</si>
  <si>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</si>
  <si>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</si>
  <si>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</si>
  <si>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</si>
  <si>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</si>
  <si>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</si>
  <si>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</si>
  <si>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</si>
  <si>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</si>
  <si>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</si>
  <si>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</si>
  <si>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</si>
  <si>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</si>
  <si>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</si>
  <si>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</si>
  <si>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</si>
  <si>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</si>
  <si>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</si>
  <si>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</si>
  <si>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</si>
  <si>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</si>
  <si>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</si>
  <si>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</si>
  <si>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</si>
  <si>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</si>
  <si>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</si>
  <si>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</si>
  <si>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</si>
  <si>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</si>
  <si>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</si>
  <si>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</si>
  <si>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</si>
  <si>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</si>
  <si>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</si>
  <si>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</si>
  <si>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</si>
  <si>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</si>
  <si>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</si>
  <si>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</si>
  <si>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</si>
  <si>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</si>
  <si>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</si>
  <si>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</si>
  <si>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</si>
  <si>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</si>
  <si>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</si>
  <si>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</si>
  <si>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</si>
  <si>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</si>
  <si>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</si>
  <si>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</si>
  <si>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</si>
  <si>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</si>
  <si>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</si>
  <si>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</si>
  <si>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</si>
  <si>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</si>
  <si>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</si>
  <si>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</si>
  <si>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</si>
  <si>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</si>
  <si>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</si>
  <si>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</si>
  <si>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</si>
  <si>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</si>
  <si>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</si>
  <si>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</si>
  <si>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</si>
  <si>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</si>
  <si>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</si>
  <si>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</si>
  <si>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</si>
  <si>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</si>
  <si>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</si>
  <si>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</si>
  <si>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</si>
  <si>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</si>
  <si>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</si>
  <si>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</si>
  <si>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</si>
  <si>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</si>
  <si>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</si>
  <si>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</si>
  <si>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</si>
  <si>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</si>
  <si>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</si>
  <si>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</si>
  <si>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</si>
  <si>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</si>
  <si>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</si>
  <si>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</si>
  <si>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</si>
  <si>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</si>
  <si>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</si>
  <si>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</si>
  <si>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</si>
  <si>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</si>
  <si>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</si>
  <si>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</si>
  <si>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</si>
  <si>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</si>
  <si>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</si>
  <si>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</si>
  <si>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</si>
  <si>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</si>
  <si>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</si>
  <si>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</si>
  <si>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</si>
  <si>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</si>
  <si>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</si>
  <si>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</si>
  <si>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</si>
  <si>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</si>
  <si>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</si>
  <si>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</si>
  <si>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</si>
  <si>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</si>
  <si>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</si>
  <si>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</si>
  <si>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</si>
  <si>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</si>
  <si>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</si>
  <si>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</si>
  <si>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</si>
  <si>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</si>
  <si>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</si>
  <si>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</si>
  <si>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</si>
  <si>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</si>
  <si>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</si>
  <si>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</si>
  <si>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</si>
  <si>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</si>
  <si>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</si>
  <si>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</si>
  <si>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</si>
  <si>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</si>
  <si>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</si>
  <si>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</si>
  <si>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</si>
  <si>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</si>
  <si>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</si>
  <si>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</si>
  <si>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</si>
  <si>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</si>
  <si>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</si>
  <si>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</si>
  <si>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</si>
  <si>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</si>
  <si>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</si>
  <si>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</si>
  <si>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</si>
  <si>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</si>
  <si>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</si>
  <si>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</si>
  <si>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</si>
  <si>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</si>
  <si>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</si>
  <si>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</si>
  <si>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</si>
  <si>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</si>
  <si>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</si>
  <si>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</si>
  <si>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</si>
  <si>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</si>
  <si>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</si>
  <si>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</si>
  <si>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</si>
  <si>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</si>
  <si>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</si>
  <si>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</si>
  <si>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</si>
  <si>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</si>
  <si>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</si>
  <si>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</si>
  <si>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</si>
  <si>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</si>
  <si>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</si>
  <si>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</si>
  <si>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</si>
  <si>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</si>
  <si>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</si>
  <si>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</si>
  <si>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</si>
  <si>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</si>
  <si>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</si>
  <si>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</si>
  <si>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</si>
  <si>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</si>
  <si>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</si>
  <si>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</si>
  <si>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</si>
  <si>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</si>
  <si>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</si>
  <si>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</si>
  <si>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</si>
  <si>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</si>
  <si>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</si>
  <si>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</si>
  <si>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</si>
  <si>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</si>
  <si>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</si>
  <si>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</si>
  <si>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</si>
  <si>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</si>
  <si>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</si>
  <si>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</si>
  <si>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</si>
  <si>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</si>
  <si>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</si>
  <si>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</si>
  <si>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</si>
  <si>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</si>
  <si>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</si>
  <si>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</si>
  <si>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</si>
  <si>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</si>
  <si>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</si>
  <si>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</si>
  <si>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</si>
  <si>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</si>
  <si>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</si>
  <si>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</si>
  <si>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</si>
  <si>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</si>
  <si>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</si>
  <si>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</si>
  <si>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</si>
  <si>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</si>
  <si>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</si>
  <si>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</si>
  <si>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</si>
  <si>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</si>
  <si>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</si>
  <si>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</si>
  <si>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</si>
  <si>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</si>
  <si>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</si>
  <si>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</si>
  <si>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</si>
  <si>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</si>
  <si>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</si>
  <si>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</si>
  <si>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</si>
  <si>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</si>
  <si>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</si>
  <si>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</si>
  <si>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</si>
  <si>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</si>
  <si>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</si>
  <si>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</si>
  <si>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</si>
  <si>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</si>
  <si>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</si>
  <si>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</si>
  <si>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</si>
  <si>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</si>
  <si>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</si>
  <si>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</si>
  <si>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</si>
  <si>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</si>
  <si>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</si>
  <si>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</si>
  <si>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</si>
  <si>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</si>
  <si>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</si>
  <si>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</si>
  <si>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</si>
  <si>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</si>
  <si>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</si>
  <si>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</si>
  <si>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</si>
  <si>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</si>
  <si>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</si>
  <si>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</si>
  <si>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</si>
  <si>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</si>
  <si>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</si>
  <si>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</si>
  <si>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</si>
  <si>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</si>
  <si>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</si>
  <si>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</si>
  <si>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</si>
  <si>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</si>
  <si>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</si>
  <si>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</si>
  <si>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</si>
  <si>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</si>
  <si>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</si>
  <si>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</si>
  <si>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</si>
  <si>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</si>
  <si>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</si>
  <si>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</si>
  <si>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</si>
  <si>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</si>
  <si>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</si>
  <si>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</si>
  <si>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</si>
  <si>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</si>
  <si>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</si>
  <si>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</si>
  <si>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</si>
  <si>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</si>
  <si>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</si>
  <si>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</si>
  <si>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</si>
  <si>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</si>
  <si>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</si>
  <si>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</si>
  <si>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</si>
  <si>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</si>
  <si>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</si>
  <si>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</si>
  <si>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</si>
  <si>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</si>
  <si>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</si>
  <si>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</si>
  <si>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</si>
  <si>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</si>
  <si>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</si>
  <si>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</si>
  <si>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</si>
  <si>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</si>
  <si>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</si>
  <si>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</si>
  <si>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</si>
  <si>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</si>
  <si>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</si>
  <si>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</si>
  <si>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</si>
  <si>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</si>
  <si>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</si>
  <si>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</si>
  <si>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</si>
  <si>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</si>
  <si>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</si>
  <si>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</si>
  <si>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</si>
  <si>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</si>
  <si>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</si>
  <si>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</si>
  <si>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</si>
  <si>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</si>
  <si>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</si>
  <si>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</si>
  <si>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</si>
  <si>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</si>
  <si>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</si>
  <si>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</si>
  <si>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</si>
  <si>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</si>
  <si>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</si>
  <si>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</si>
  <si>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</si>
  <si>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</si>
  <si>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</si>
  <si>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</si>
  <si>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</si>
  <si>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</si>
  <si>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</si>
  <si>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</si>
  <si>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</si>
  <si>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</si>
  <si>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</si>
  <si>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</si>
  <si>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</si>
  <si>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</si>
  <si>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</si>
  <si>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</si>
  <si>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</si>
  <si>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</si>
  <si>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</si>
  <si>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</si>
  <si>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</si>
  <si>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</si>
  <si>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</si>
  <si>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</si>
  <si>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</si>
  <si>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</si>
  <si>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</si>
  <si>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</si>
  <si>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</si>
  <si>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</si>
  <si>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</si>
  <si>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</si>
  <si>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</si>
  <si>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</si>
  <si>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</si>
  <si>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</si>
  <si>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</si>
  <si>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</si>
  <si>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</si>
  <si>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</si>
  <si>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</si>
  <si>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</si>
  <si>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</si>
  <si>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</si>
  <si>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</si>
  <si>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</si>
  <si>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</si>
  <si>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</si>
  <si>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</si>
  <si>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</si>
  <si>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</si>
  <si>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</si>
  <si>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</si>
  <si>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</si>
  <si>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</si>
  <si>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</si>
  <si>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</si>
  <si>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</si>
  <si>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</si>
  <si>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</si>
  <si>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</si>
  <si>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</si>
  <si>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</si>
  <si>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</si>
  <si>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</si>
  <si>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</si>
  <si>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</si>
  <si>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</si>
  <si>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</si>
  <si>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</si>
  <si>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</si>
  <si>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</si>
  <si>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</si>
  <si>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</si>
  <si>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</si>
  <si>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</si>
  <si>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</si>
  <si>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</si>
  <si>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</si>
  <si>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</si>
  <si>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</si>
  <si>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</si>
  <si>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</si>
  <si>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</si>
  <si>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</si>
  <si>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</si>
  <si>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</si>
  <si>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</si>
  <si>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</si>
  <si>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</si>
  <si>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</si>
  <si>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</si>
  <si>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</si>
  <si>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</si>
  <si>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</si>
  <si>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</si>
  <si>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</si>
  <si>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</si>
  <si>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</si>
  <si>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</si>
  <si>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</si>
  <si>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</si>
  <si>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</si>
  <si>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</si>
  <si>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</si>
  <si>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</si>
  <si>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</si>
  <si>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</si>
  <si>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</si>
  <si>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</si>
  <si>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</si>
  <si>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</si>
  <si>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</si>
  <si>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</si>
  <si>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</si>
  <si>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</si>
  <si>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</si>
  <si>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</si>
  <si>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</si>
  <si>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</si>
  <si>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</si>
  <si>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</si>
  <si>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</si>
  <si>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</si>
  <si>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</si>
  <si>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</si>
  <si>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</si>
  <si>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</si>
  <si>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</si>
  <si>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</si>
  <si>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</si>
  <si>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</si>
  <si>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</si>
  <si>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</si>
  <si>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</si>
  <si>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</si>
  <si>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</si>
  <si>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</si>
  <si>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</si>
  <si>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</si>
  <si>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</si>
  <si>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</si>
  <si>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</si>
  <si>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</si>
  <si>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</si>
  <si>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</si>
  <si>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</si>
  <si>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</si>
  <si>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</si>
  <si>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</si>
  <si>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</si>
  <si>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</si>
  <si>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</si>
  <si>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</si>
  <si>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</si>
  <si>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</si>
  <si>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</si>
  <si>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</si>
  <si>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</si>
  <si>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</si>
  <si>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</si>
  <si>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</si>
  <si>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</si>
  <si>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</si>
  <si>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</si>
  <si>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</si>
  <si>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</si>
  <si>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</si>
  <si>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</si>
  <si>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</si>
  <si>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</si>
  <si>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</si>
  <si>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</si>
  <si>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</si>
  <si>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</si>
  <si>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</si>
  <si>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</si>
  <si>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</si>
  <si>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</si>
  <si>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</si>
  <si>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</si>
  <si>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</si>
  <si>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</si>
  <si>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</si>
  <si>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</si>
  <si>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</si>
  <si>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</si>
  <si>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</si>
  <si>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</si>
  <si>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</si>
  <si>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</si>
  <si>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</si>
  <si>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</si>
  <si>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</si>
  <si>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</si>
  <si>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</si>
  <si>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</si>
  <si>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</si>
  <si>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</si>
  <si>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</si>
  <si>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</si>
  <si>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</si>
  <si>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</si>
  <si>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</si>
  <si>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</si>
  <si>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</si>
  <si>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</si>
  <si>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</si>
  <si>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</si>
  <si>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</si>
  <si>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</si>
  <si>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</si>
  <si>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</si>
  <si>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</si>
  <si>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</si>
  <si>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</si>
  <si>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</si>
  <si>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</si>
  <si>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</si>
  <si>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</si>
  <si>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</si>
  <si>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</si>
  <si>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</si>
  <si>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</si>
  <si>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</si>
  <si>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</si>
  <si>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</si>
  <si>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</si>
  <si>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</si>
  <si>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</si>
  <si>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</si>
  <si>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</si>
  <si>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</si>
  <si>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</si>
  <si>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</si>
  <si>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</si>
  <si>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</si>
  <si>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</si>
  <si>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</si>
  <si>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</si>
  <si>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</si>
  <si>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</si>
  <si>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</si>
  <si>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</si>
  <si>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</si>
  <si>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</si>
  <si>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</si>
  <si>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</si>
  <si>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</si>
  <si>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</si>
  <si>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</si>
  <si>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</si>
  <si>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</si>
  <si>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</si>
  <si>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</si>
  <si>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</si>
  <si>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</si>
  <si>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</si>
  <si>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</si>
  <si>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</si>
  <si>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</si>
  <si>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</si>
  <si>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</si>
  <si>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</si>
  <si>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</si>
  <si>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</si>
  <si>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</si>
  <si>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</si>
  <si>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</si>
  <si>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</si>
  <si>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</si>
  <si>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</si>
  <si>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</si>
  <si>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</si>
  <si>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</si>
  <si>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</si>
  <si>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</si>
  <si>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</si>
  <si>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</si>
  <si>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</si>
  <si>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</si>
  <si>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</si>
  <si>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</si>
  <si>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</si>
  <si>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</si>
  <si>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</si>
  <si>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</si>
  <si>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</si>
  <si>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</si>
  <si>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</si>
  <si>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</si>
  <si>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</si>
  <si>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</si>
  <si>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</si>
  <si>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</si>
  <si>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</si>
  <si>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</si>
  <si>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</si>
  <si>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</si>
  <si>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</si>
  <si>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</si>
  <si>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</si>
  <si>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</si>
  <si>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</si>
  <si>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</si>
  <si>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</si>
  <si>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</si>
  <si>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</si>
  <si>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</si>
  <si>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</si>
  <si>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</si>
  <si>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</si>
  <si>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</si>
  <si>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</si>
  <si>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</si>
  <si>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</si>
  <si>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</si>
  <si>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</si>
  <si>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</si>
  <si>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</si>
  <si>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</si>
  <si>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</si>
  <si>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</si>
  <si>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</si>
  <si>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</si>
  <si>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</si>
  <si>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</si>
  <si>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</si>
  <si>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</si>
  <si>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</si>
  <si>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</si>
  <si>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</si>
  <si>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</si>
  <si>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</si>
  <si>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</si>
  <si>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</si>
  <si>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</si>
  <si>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</si>
  <si>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</si>
  <si>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</si>
  <si>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</si>
  <si>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</si>
  <si>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</si>
  <si>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</si>
  <si>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</si>
  <si>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</si>
  <si>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</si>
  <si>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</si>
  <si>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</si>
  <si>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</si>
  <si>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</si>
  <si>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</si>
  <si>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</si>
  <si>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</si>
  <si>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</si>
  <si>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</si>
  <si>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</si>
  <si>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</si>
  <si>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</si>
  <si>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</si>
  <si>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</si>
  <si>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</si>
  <si>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</si>
  <si>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</si>
  <si>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</si>
  <si>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</si>
  <si>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</si>
  <si>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</si>
  <si>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</si>
  <si>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</si>
  <si>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</si>
  <si>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</si>
  <si>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</si>
  <si>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</si>
  <si>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</si>
  <si>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</si>
  <si>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</si>
  <si>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</si>
  <si>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</si>
  <si>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</si>
  <si>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</si>
  <si>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</si>
  <si>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</si>
  <si>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</si>
  <si>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</si>
  <si>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</si>
  <si>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</si>
  <si>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</si>
  <si>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</si>
  <si>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</si>
  <si>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</si>
  <si>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</si>
  <si>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</si>
  <si>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</si>
  <si>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</si>
  <si>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</si>
  <si>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</si>
  <si>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</si>
  <si>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</si>
  <si>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</si>
  <si>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</si>
  <si>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</si>
  <si>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</si>
  <si>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</si>
  <si>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</si>
  <si>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</si>
  <si>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</si>
  <si>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</si>
  <si>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</si>
  <si>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</si>
  <si>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</si>
  <si>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</si>
  <si>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</si>
  <si>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</si>
  <si>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</si>
  <si>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</si>
  <si>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</si>
  <si>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</si>
  <si>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</si>
  <si>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</si>
  <si>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</si>
  <si>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</si>
  <si>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</si>
  <si>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</si>
  <si>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</si>
  <si>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</si>
  <si>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</si>
  <si>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</si>
  <si>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</si>
  <si>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</si>
  <si>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</si>
  <si>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</si>
  <si>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</si>
  <si>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</si>
  <si>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</si>
  <si>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</si>
  <si>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</si>
  <si>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</si>
  <si>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</si>
  <si>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</si>
  <si>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</si>
  <si>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</si>
  <si>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</si>
  <si>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</si>
  <si>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</si>
  <si>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</si>
  <si>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</si>
  <si>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</si>
  <si>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</si>
  <si>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</si>
  <si>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</si>
  <si>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</si>
  <si>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</si>
  <si>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</si>
  <si>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</si>
  <si>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</si>
  <si>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</si>
  <si>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</si>
  <si>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</si>
  <si>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</si>
  <si>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</si>
  <si>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</si>
  <si>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</si>
  <si>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</si>
  <si>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</si>
  <si>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</si>
  <si>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</si>
  <si>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</si>
  <si>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</si>
  <si>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</si>
  <si>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</si>
  <si>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</si>
  <si>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</si>
  <si>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</si>
  <si>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</si>
  <si>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</si>
  <si>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</si>
  <si>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</si>
  <si>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</si>
  <si>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</si>
  <si>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</si>
  <si>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</si>
  <si>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</si>
  <si>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</si>
  <si>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</si>
  <si>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</si>
  <si>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</si>
  <si>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</si>
  <si>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</si>
  <si>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</si>
  <si>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</si>
  <si>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</si>
  <si>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</si>
  <si>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</si>
  <si>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</si>
  <si>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</si>
  <si>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</si>
  <si>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</si>
  <si>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</si>
  <si>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</si>
  <si>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</si>
  <si>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</si>
  <si>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</si>
  <si>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</si>
  <si>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</si>
  <si>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</si>
  <si>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</si>
  <si>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</si>
  <si>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</si>
  <si>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</si>
  <si>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</si>
  <si>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</si>
  <si>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</si>
  <si>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</si>
  <si>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</si>
  <si>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</si>
  <si>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</si>
  <si>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</si>
  <si>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</si>
  <si>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</si>
  <si>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</si>
  <si>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</si>
  <si>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</si>
  <si>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</si>
  <si>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</si>
  <si>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</si>
  <si>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</si>
  <si>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</si>
  <si>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</si>
  <si>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</si>
  <si>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</si>
  <si>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</si>
  <si>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</si>
  <si>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</si>
  <si>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</si>
  <si>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</si>
  <si>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</si>
  <si>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</si>
  <si>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</si>
  <si>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</si>
  <si>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</si>
  <si>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</si>
  <si>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</si>
  <si>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</si>
  <si>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</si>
  <si>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</si>
  <si>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</si>
  <si>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</si>
  <si>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</si>
  <si>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</si>
  <si>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</si>
  <si>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</si>
  <si>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</si>
  <si>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</si>
  <si>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</si>
  <si>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</si>
  <si>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</si>
  <si>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</si>
  <si>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</si>
  <si>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</si>
  <si>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</si>
  <si>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</si>
  <si>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</si>
  <si>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</si>
  <si>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</si>
  <si>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</si>
  <si>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</si>
  <si>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</si>
  <si>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</si>
  <si>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</si>
  <si>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</si>
  <si>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</si>
  <si>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</si>
  <si>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</si>
  <si>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</si>
  <si>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</si>
  <si>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</si>
  <si>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</si>
  <si>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</si>
  <si>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</si>
  <si>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</si>
  <si>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</si>
  <si>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</si>
  <si>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</si>
  <si>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</si>
  <si>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</si>
  <si>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</si>
  <si>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</si>
  <si>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</si>
  <si>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</si>
  <si>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</si>
  <si>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</si>
  <si>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</si>
  <si>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</si>
  <si>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</si>
  <si>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</si>
  <si>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</si>
  <si>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</si>
  <si>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</si>
  <si>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</si>
  <si>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</si>
  <si>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</si>
  <si>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</si>
  <si>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</si>
  <si>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</si>
  <si>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</si>
  <si>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</si>
  <si>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</si>
  <si>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</si>
  <si>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</si>
  <si>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</si>
  <si>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</si>
  <si>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</si>
  <si>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</si>
  <si>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</si>
  <si>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</si>
  <si>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</si>
  <si>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</si>
  <si>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</si>
  <si>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</si>
  <si>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</si>
  <si>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</si>
  <si>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</si>
  <si>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</si>
  <si>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</si>
  <si>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</si>
  <si>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</si>
  <si>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</si>
  <si>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</si>
  <si>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</si>
  <si>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</si>
  <si>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</si>
  <si>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</si>
  <si>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</si>
  <si>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</si>
  <si>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</si>
  <si>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</si>
  <si>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</si>
  <si>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</si>
  <si>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</si>
  <si>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</si>
  <si>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</si>
  <si>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</si>
  <si>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</si>
  <si>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</si>
  <si>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</si>
  <si>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</si>
  <si>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</si>
  <si>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</si>
  <si>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</si>
  <si>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</si>
  <si>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</si>
  <si>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</si>
  <si>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</si>
  <si>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</si>
  <si>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</si>
  <si>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</si>
  <si>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</si>
  <si>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</si>
  <si>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</si>
  <si>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</si>
  <si>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</si>
  <si>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</si>
  <si>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</si>
  <si>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</si>
  <si>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</si>
  <si>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</si>
  <si>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</si>
  <si>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</si>
  <si>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</si>
  <si>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</si>
  <si>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</si>
  <si>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</si>
  <si>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</si>
  <si>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</si>
  <si>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</si>
  <si>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</si>
  <si>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</si>
  <si>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</si>
  <si>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</si>
  <si>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</si>
  <si>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</si>
  <si>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</si>
  <si>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</si>
  <si>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</si>
  <si>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</si>
  <si>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</si>
  <si>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</si>
  <si>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</si>
  <si>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</si>
  <si>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</si>
  <si>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</si>
  <si>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</si>
  <si>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</si>
  <si>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</si>
  <si>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</si>
  <si>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</si>
  <si>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</si>
  <si>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</si>
  <si>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</si>
  <si>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</si>
  <si>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</si>
  <si>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</si>
  <si>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</si>
  <si>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</si>
  <si>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</si>
  <si>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</si>
  <si>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</si>
  <si>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</si>
  <si>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</si>
  <si>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</si>
  <si>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</si>
  <si>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</si>
  <si>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</si>
  <si>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</si>
  <si>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</si>
  <si>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</si>
  <si>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</si>
  <si>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</si>
  <si>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</si>
  <si>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</si>
  <si>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</si>
  <si>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</si>
  <si>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</si>
  <si>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</si>
  <si>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</si>
  <si>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</si>
  <si>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</si>
  <si>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</si>
  <si>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</si>
  <si>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</si>
  <si>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</si>
  <si>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</si>
  <si>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</si>
  <si>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</si>
  <si>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</si>
  <si>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</si>
  <si>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</si>
  <si>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</si>
  <si>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</si>
  <si>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</si>
  <si>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</si>
  <si>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</si>
  <si>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</si>
  <si>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</si>
  <si>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</si>
  <si>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</si>
  <si>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</si>
  <si>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</si>
  <si>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</si>
  <si>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</si>
  <si>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</si>
  <si>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</si>
  <si>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</si>
  <si>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</si>
  <si>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</si>
  <si>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</si>
  <si>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</si>
  <si>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</si>
  <si>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</si>
  <si>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</si>
  <si>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</si>
  <si>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</si>
  <si>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</si>
  <si>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</si>
  <si>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</si>
  <si>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</si>
  <si>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</si>
  <si>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</si>
  <si>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</si>
  <si>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</si>
  <si>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</si>
  <si>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</si>
  <si>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</si>
  <si>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</si>
  <si>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</si>
  <si>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</si>
  <si>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</si>
  <si>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</si>
  <si>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</si>
  <si>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</si>
  <si>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</si>
  <si>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</si>
  <si>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</si>
  <si>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</si>
  <si>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</si>
  <si>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</si>
  <si>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</si>
  <si>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</si>
  <si>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</si>
  <si>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</si>
  <si>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</si>
  <si>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</si>
  <si>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</si>
  <si>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</si>
  <si>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</si>
  <si>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</si>
  <si>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</si>
  <si>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</si>
  <si>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</si>
  <si>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</si>
  <si>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</si>
  <si>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</si>
  <si>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</si>
  <si>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</si>
  <si>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</si>
  <si>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</si>
  <si>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</si>
  <si>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</si>
  <si>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</si>
  <si>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</si>
  <si>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</si>
  <si>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</si>
  <si>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</si>
  <si>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</si>
  <si>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</si>
  <si>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</si>
  <si>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</si>
  <si>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</si>
  <si>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</si>
  <si>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</si>
  <si>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</si>
  <si>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</si>
  <si>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</si>
  <si>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</si>
  <si>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</si>
  <si>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</si>
  <si>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</si>
  <si>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</si>
  <si>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</si>
  <si>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</si>
  <si>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</si>
  <si>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</si>
  <si>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</si>
  <si>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</si>
  <si>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</si>
  <si>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</si>
  <si>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</si>
  <si>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</si>
  <si>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</si>
  <si>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</si>
  <si>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</si>
  <si>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</si>
  <si>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</si>
  <si>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</si>
  <si>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</si>
  <si>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</si>
  <si>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</si>
  <si>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</si>
  <si>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</si>
  <si>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</si>
  <si>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</si>
  <si>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</si>
  <si>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</si>
  <si>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</si>
  <si>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</si>
  <si>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</si>
  <si>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</si>
  <si>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</si>
  <si>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</si>
  <si>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</si>
  <si>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</si>
  <si>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</si>
  <si>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</si>
  <si>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</si>
  <si>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</si>
  <si>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</si>
  <si>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</si>
  <si>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</si>
  <si>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</si>
  <si>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</si>
  <si>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</si>
  <si>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</si>
  <si>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</si>
  <si>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</si>
  <si>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</si>
  <si>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</si>
  <si>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</si>
  <si>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</si>
  <si>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</si>
  <si>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</si>
  <si>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</si>
  <si>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</si>
  <si>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</si>
  <si>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</si>
  <si>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</si>
  <si>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</si>
  <si>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</si>
  <si>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</si>
  <si>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</si>
  <si>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</si>
  <si>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</si>
  <si>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</si>
  <si>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</si>
  <si>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</si>
  <si>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</si>
  <si>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</si>
  <si>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</si>
  <si>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</si>
  <si>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</si>
  <si>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</si>
  <si>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</si>
  <si>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</si>
  <si>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</si>
  <si>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</si>
  <si>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</si>
  <si>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</si>
  <si>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</si>
  <si>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</si>
  <si>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</si>
  <si>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</si>
  <si>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</si>
  <si>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</si>
  <si>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</si>
  <si>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</si>
  <si>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</si>
  <si>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</si>
  <si>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</si>
  <si>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</si>
  <si>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</si>
  <si>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</si>
  <si>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</si>
  <si>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</si>
  <si>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</si>
  <si>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</si>
  <si>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</si>
  <si>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</si>
  <si>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</si>
  <si>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</si>
  <si>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</si>
  <si>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</si>
  <si>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</si>
  <si>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</si>
  <si>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</si>
  <si>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</si>
  <si>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</si>
  <si>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</si>
  <si>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</si>
  <si>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</si>
  <si>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</si>
  <si>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</si>
  <si>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</si>
  <si>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</si>
  <si>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</si>
  <si>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</si>
  <si>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</si>
  <si>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</si>
  <si>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</si>
  <si>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</si>
  <si>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</si>
  <si>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</si>
  <si>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</si>
  <si>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</si>
  <si>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</si>
  <si>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</si>
  <si>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</si>
  <si>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</si>
  <si>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</si>
  <si>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</si>
  <si>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</si>
  <si>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</si>
  <si>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</si>
  <si>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</si>
  <si>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</si>
  <si>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</si>
  <si>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</si>
  <si>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</si>
  <si>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</si>
  <si>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</si>
  <si>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</si>
  <si>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</si>
  <si>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</si>
  <si>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</si>
  <si>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</si>
  <si>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</si>
  <si>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</si>
  <si>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</si>
  <si>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</si>
  <si>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</si>
  <si>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</si>
  <si>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</si>
  <si>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</si>
  <si>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</si>
  <si>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</si>
  <si>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</si>
  <si>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</si>
  <si>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</si>
  <si>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</si>
  <si>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</si>
  <si>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</si>
  <si>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</si>
  <si>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</si>
  <si>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</si>
  <si>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</si>
  <si>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</si>
  <si>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</si>
  <si>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</si>
  <si>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</si>
  <si>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</si>
  <si>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</si>
  <si>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</si>
  <si>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</si>
  <si>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</si>
  <si>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</si>
  <si>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</si>
  <si>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</si>
  <si>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</si>
  <si>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</si>
  <si>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</si>
  <si>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</si>
  <si>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</si>
  <si>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</si>
  <si>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</si>
  <si>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</si>
  <si>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</si>
  <si>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</si>
  <si>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</si>
  <si>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</si>
  <si>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</si>
  <si>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</si>
  <si>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</si>
  <si>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</si>
  <si>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</si>
  <si>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</si>
  <si>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</si>
  <si>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</si>
  <si>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</si>
  <si>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</si>
  <si>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</si>
  <si>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</si>
  <si>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</si>
  <si>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</si>
  <si>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</si>
  <si>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UK</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</si>
  <si>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</si>
  <si>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</si>
  <si>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</si>
  <si>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</si>
  <si>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</si>
  <si>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</si>
  <si>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</si>
  <si>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</si>
  <si>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</si>
  <si>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</si>
  <si>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</si>
  <si>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</si>
  <si>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</si>
  <si>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</si>
  <si>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</si>
  <si>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</si>
  <si>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</si>
  <si>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</si>
  <si>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</si>
  <si>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</si>
  <si>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</si>
  <si>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</si>
  <si>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</si>
  <si>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</si>
  <si>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</si>
  <si>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</si>
  <si>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</si>
  <si>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</si>
  <si>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</si>
  <si>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</si>
  <si>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</si>
  <si>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</si>
  <si>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</si>
  <si>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</si>
  <si>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</si>
  <si>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</si>
  <si>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</si>
  <si>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</si>
  <si>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</si>
  <si>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</si>
  <si>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</si>
  <si>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</si>
  <si>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</si>
  <si>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</si>
  <si>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</si>
  <si>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</si>
  <si>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</si>
  <si>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</si>
  <si>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</si>
  <si>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</si>
  <si>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</si>
  <si>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</si>
  <si>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</si>
  <si>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</si>
  <si>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</si>
  <si>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</si>
  <si>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</si>
  <si>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</si>
  <si>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</si>
  <si>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</si>
  <si>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</si>
  <si>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</si>
  <si>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</si>
  <si>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</si>
  <si>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</si>
  <si>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</si>
  <si>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</si>
  <si>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</si>
  <si>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</si>
  <si>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</si>
  <si>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</si>
  <si>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</si>
  <si>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</si>
  <si>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</si>
  <si>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</si>
  <si>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</si>
  <si>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</si>
  <si>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</si>
  <si>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</si>
  <si>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</si>
  <si>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</si>
  <si>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</si>
  <si>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</si>
  <si>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</si>
  <si>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</si>
  <si>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</si>
  <si>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</si>
  <si>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</si>
  <si>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</si>
  <si>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</si>
  <si>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</si>
  <si>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</si>
  <si>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</si>
  <si>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</si>
  <si>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</si>
  <si>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</si>
  <si>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</si>
  <si>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</si>
  <si>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</si>
  <si>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</si>
  <si>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</si>
  <si>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</si>
  <si>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</si>
  <si>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</si>
  <si>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</si>
  <si>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</si>
  <si>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</si>
  <si>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</si>
  <si>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</si>
  <si>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</si>
  <si>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</si>
  <si>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</si>
  <si>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</si>
  <si>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</si>
  <si>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</si>
  <si>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</si>
  <si>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</si>
  <si>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</si>
  <si>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</si>
  <si>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</si>
  <si>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</si>
  <si>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</si>
  <si>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</si>
  <si>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</si>
  <si>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</si>
  <si>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</si>
  <si>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</si>
  <si>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</si>
  <si>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</si>
  <si>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</si>
  <si>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</si>
  <si>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</si>
  <si>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</si>
  <si>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</si>
  <si>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</si>
  <si>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</si>
  <si>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</si>
  <si>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</si>
  <si>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</si>
  <si>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</si>
  <si>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</si>
  <si>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</si>
  <si>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</si>
  <si>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</si>
  <si>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</si>
  <si>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</si>
  <si>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</si>
  <si>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</si>
  <si>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</si>
  <si>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</si>
  <si>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</si>
  <si>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</si>
  <si>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</si>
  <si>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</si>
  <si>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</si>
  <si>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</si>
  <si>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</si>
  <si>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</si>
  <si>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</si>
  <si>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</si>
  <si>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</si>
  <si>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</si>
  <si>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</si>
  <si>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</si>
  <si>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</si>
  <si>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</si>
  <si>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</si>
  <si>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</si>
  <si>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</si>
  <si>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</si>
  <si>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</si>
  <si>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</si>
  <si>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</si>
  <si>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</si>
  <si>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</si>
  <si>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</si>
  <si>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</si>
  <si>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</si>
  <si>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</si>
  <si>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</si>
  <si>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</si>
  <si>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</si>
  <si>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</si>
  <si>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</si>
  <si>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</si>
  <si>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</si>
  <si>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</si>
  <si>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</si>
  <si>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</si>
  <si>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</si>
  <si>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</si>
  <si>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</si>
  <si>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</si>
  <si>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</si>
  <si>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</si>
  <si>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</si>
  <si>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</si>
  <si>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</si>
  <si>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</si>
  <si>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</si>
  <si>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</si>
  <si>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</si>
  <si>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</si>
  <si>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</si>
  <si>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</si>
  <si>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</si>
  <si>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</si>
  <si>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</si>
  <si>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</si>
  <si>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</si>
  <si>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</si>
  <si>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</si>
  <si>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</si>
  <si>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</si>
  <si>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</si>
  <si>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</si>
  <si>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</si>
  <si>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</si>
  <si>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</si>
  <si>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</si>
  <si>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</si>
  <si>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</si>
  <si>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</si>
  <si>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</si>
  <si>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</si>
  <si>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</si>
  <si>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</si>
  <si>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</si>
  <si>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</si>
  <si>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</si>
  <si>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</si>
  <si>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</si>
  <si>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</si>
  <si>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</si>
  <si>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</si>
  <si>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</si>
  <si>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</si>
  <si>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</si>
  <si>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</si>
  <si>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</si>
  <si>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</si>
  <si>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</si>
  <si>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</si>
  <si>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</si>
  <si>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</si>
  <si>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</si>
  <si>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</si>
  <si>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</si>
  <si>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</si>
  <si>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</si>
  <si>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</si>
  <si>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</si>
  <si>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</si>
  <si>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</si>
  <si>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</si>
  <si>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</si>
  <si>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</si>
  <si>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</si>
  <si>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</si>
  <si>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</si>
  <si>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</si>
  <si>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</si>
  <si>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</si>
  <si>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</si>
  <si>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</si>
  <si>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</si>
  <si>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</si>
  <si>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</si>
  <si>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</si>
  <si>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</si>
  <si>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</si>
  <si>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</si>
  <si>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</si>
  <si>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</si>
  <si>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</si>
  <si>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</si>
  <si>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</si>
  <si>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</si>
  <si>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</si>
  <si>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</si>
  <si>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</si>
  <si>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</si>
  <si>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</si>
  <si>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</si>
  <si>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</si>
  <si>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</si>
  <si>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</si>
  <si>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</si>
  <si>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</si>
  <si>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</si>
  <si>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</si>
  <si>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</si>
  <si>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</si>
  <si>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</si>
  <si>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</si>
  <si>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</si>
  <si>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</si>
  <si>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</si>
  <si>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Fires started by shepherds were smaller than average (20 % of wildfires, but 11% of area burned). Total BA is not given</t>
  </si>
  <si>
    <t>70% of ignitions occurred in areas with population density &gt;100 km2-1, but these were only 21% of the country</t>
  </si>
  <si>
    <t>437b</t>
  </si>
  <si>
    <t>437c</t>
  </si>
  <si>
    <t>437d</t>
  </si>
  <si>
    <t>Southeastern</t>
  </si>
  <si>
    <t>Cantons of Ticino, Graubuenden and Uri</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</si>
  <si>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</si>
  <si>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</si>
  <si>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</si>
  <si>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</si>
  <si>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</si>
  <si>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</si>
  <si>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</si>
  <si>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</si>
  <si>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</si>
  <si>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</si>
  <si>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</si>
  <si>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</si>
  <si>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</si>
  <si>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</si>
  <si>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</si>
  <si>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</si>
  <si>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</si>
  <si>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</si>
  <si>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</si>
  <si>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</si>
  <si>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</si>
  <si>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</si>
  <si>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</si>
  <si>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</si>
  <si>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</si>
  <si>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</si>
  <si>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</si>
  <si>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</si>
  <si>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</si>
  <si>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</si>
  <si>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</si>
  <si>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</si>
  <si>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</si>
  <si>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</si>
  <si>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</si>
  <si>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</si>
  <si>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</si>
  <si>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</si>
  <si>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</si>
  <si>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</si>
  <si>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</si>
  <si>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</si>
  <si>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</si>
  <si>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</si>
  <si>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</si>
  <si>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</si>
  <si>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</si>
  <si>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</si>
  <si>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</si>
  <si>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</si>
  <si>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</si>
  <si>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</si>
  <si>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</si>
  <si>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</si>
  <si>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</si>
  <si>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</si>
  <si>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</si>
  <si>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</si>
  <si>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</si>
  <si>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</si>
  <si>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</si>
  <si>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</si>
  <si>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</si>
  <si>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</si>
  <si>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</si>
  <si>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</si>
  <si>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</si>
  <si>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</si>
  <si>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</si>
  <si>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</si>
  <si>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</si>
  <si>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</si>
  <si>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</si>
  <si>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</si>
  <si>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</si>
  <si>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</si>
  <si>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</si>
  <si>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</si>
  <si>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</si>
  <si>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</si>
  <si>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</si>
  <si>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</si>
  <si>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</si>
  <si>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</si>
  <si>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</si>
  <si>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</si>
  <si>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</si>
  <si>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</si>
  <si>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</si>
  <si>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</si>
  <si>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</si>
  <si>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</si>
  <si>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</si>
  <si>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</si>
  <si>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</si>
  <si>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</si>
  <si>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</si>
  <si>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</si>
  <si>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</si>
  <si>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</si>
  <si>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</si>
  <si>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</si>
  <si>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</si>
  <si>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</si>
  <si>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</si>
  <si>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</si>
  <si>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</si>
  <si>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</si>
  <si>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</si>
  <si>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</si>
  <si>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</si>
  <si>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</si>
  <si>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</si>
  <si>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</si>
  <si>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</si>
  <si>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</si>
  <si>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</si>
  <si>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</si>
  <si>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</si>
  <si>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</si>
  <si>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</si>
  <si>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</si>
  <si>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</si>
  <si>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</si>
  <si>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</si>
  <si>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</si>
  <si>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</si>
  <si>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</si>
  <si>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</si>
  <si>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</si>
  <si>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</si>
  <si>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</si>
  <si>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</si>
  <si>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</si>
  <si>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</si>
  <si>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</si>
  <si>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</si>
  <si>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</si>
  <si>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</si>
  <si>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</si>
  <si>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</si>
  <si>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</si>
  <si>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</si>
  <si>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</si>
  <si>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</si>
  <si>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</si>
  <si>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</si>
  <si>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</si>
  <si>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</si>
  <si>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</si>
  <si>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Prescribed burning was done in the cooler season, in spite of pressure from ecological community to burn during the summer for conservation reasons. Managers favoured 'safety' of conservation concerns</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</si>
  <si>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</si>
  <si>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</si>
  <si>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</si>
  <si>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</si>
  <si>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</si>
  <si>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</si>
  <si>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</si>
  <si>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</si>
  <si>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</si>
  <si>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</si>
  <si>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</si>
  <si>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</si>
  <si>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</si>
  <si>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</si>
  <si>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</si>
  <si>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</si>
  <si>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</si>
  <si>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</si>
  <si>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</si>
  <si>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</si>
  <si>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</si>
  <si>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</si>
  <si>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</si>
  <si>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</si>
  <si>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</si>
  <si>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</si>
  <si>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</si>
  <si>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</si>
  <si>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</si>
  <si>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</si>
  <si>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</si>
  <si>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</si>
  <si>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</si>
  <si>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</si>
  <si>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</si>
  <si>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</si>
  <si>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</si>
  <si>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</si>
  <si>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</si>
  <si>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</si>
  <si>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</si>
  <si>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</si>
  <si>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</si>
  <si>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</si>
  <si>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</si>
  <si>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</si>
  <si>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</si>
  <si>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</si>
  <si>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</si>
  <si>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</si>
  <si>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</si>
  <si>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</si>
  <si>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</si>
  <si>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</si>
  <si>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</si>
  <si>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</si>
  <si>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</si>
  <si>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</si>
  <si>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</si>
  <si>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</si>
  <si>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</si>
  <si>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</si>
  <si>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</si>
  <si>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</si>
  <si>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</si>
  <si>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</si>
  <si>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</si>
  <si>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</si>
  <si>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</si>
  <si>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</si>
  <si>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</si>
  <si>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</si>
  <si>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</si>
  <si>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</si>
  <si>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</si>
  <si>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</si>
  <si>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</si>
  <si>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</si>
  <si>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</si>
  <si>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</si>
  <si>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</si>
  <si>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</si>
  <si>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</si>
  <si>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</si>
  <si>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</si>
  <si>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</si>
  <si>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</si>
  <si>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</si>
  <si>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</si>
  <si>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</si>
  <si>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</si>
  <si>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</si>
  <si>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</si>
  <si>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</si>
  <si>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</si>
  <si>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</si>
  <si>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</si>
  <si>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</si>
  <si>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</si>
  <si>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</si>
  <si>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</si>
  <si>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</si>
  <si>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</si>
  <si>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</si>
  <si>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</si>
  <si>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</si>
  <si>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</si>
  <si>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</si>
  <si>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</si>
  <si>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</si>
  <si>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</si>
  <si>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</si>
  <si>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</si>
  <si>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</si>
  <si>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</si>
  <si>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</si>
  <si>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</si>
  <si>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</si>
  <si>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</si>
  <si>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</si>
  <si>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</si>
  <si>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</si>
  <si>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</si>
  <si>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</si>
  <si>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</si>
  <si>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</si>
  <si>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</si>
  <si>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</si>
  <si>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</si>
  <si>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</si>
  <si>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</si>
  <si>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</si>
  <si>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</si>
  <si>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</si>
  <si>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</si>
  <si>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</si>
  <si>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</si>
  <si>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</si>
  <si>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</si>
  <si>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</si>
  <si>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</si>
  <si>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</si>
  <si>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</si>
  <si>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</si>
  <si>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</si>
  <si>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</si>
  <si>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</si>
  <si>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</si>
  <si>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</si>
  <si>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</si>
  <si>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</si>
  <si>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</si>
  <si>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</si>
  <si>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</si>
  <si>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</si>
  <si>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</si>
  <si>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</si>
  <si>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</si>
  <si>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</si>
  <si>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</si>
  <si>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</si>
  <si>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</si>
  <si>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</si>
  <si>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</si>
  <si>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</si>
  <si>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</si>
  <si>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</si>
  <si>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</si>
  <si>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</si>
  <si>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</si>
  <si>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</si>
  <si>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</si>
  <si>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</si>
  <si>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</si>
  <si>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</si>
  <si>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</si>
  <si>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</si>
  <si>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</si>
  <si>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</si>
  <si>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</si>
  <si>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</si>
  <si>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</si>
  <si>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</si>
  <si>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</si>
  <si>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</si>
  <si>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</si>
  <si>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</si>
  <si>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</si>
  <si>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</si>
  <si>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</si>
  <si>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</si>
  <si>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</si>
  <si>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</si>
  <si>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</si>
  <si>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</si>
  <si>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</si>
  <si>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</si>
  <si>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</si>
  <si>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</si>
  <si>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</si>
  <si>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</si>
  <si>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</si>
  <si>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</si>
  <si>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</si>
  <si>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</si>
  <si>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</si>
  <si>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</si>
  <si>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</si>
  <si>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</si>
  <si>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</si>
  <si>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</si>
  <si>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</si>
  <si>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</si>
  <si>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</si>
  <si>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</si>
  <si>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</si>
  <si>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</si>
  <si>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</si>
  <si>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</si>
  <si>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</si>
  <si>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</si>
  <si>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</si>
  <si>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</si>
  <si>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</si>
  <si>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</si>
  <si>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</si>
  <si>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</si>
  <si>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</si>
  <si>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</si>
  <si>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</si>
  <si>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</si>
  <si>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</si>
  <si>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</si>
  <si>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</si>
  <si>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</si>
  <si>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</si>
  <si>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</si>
  <si>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</si>
  <si>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</si>
  <si>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</si>
  <si>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</si>
  <si>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</si>
  <si>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</si>
  <si>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</si>
  <si>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</si>
  <si>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</si>
  <si>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</si>
  <si>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</si>
  <si>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</si>
  <si>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</si>
  <si>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</si>
  <si>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</si>
  <si>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</si>
  <si>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</si>
  <si>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</si>
  <si>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</si>
  <si>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</si>
  <si>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</si>
  <si>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</si>
  <si>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</si>
  <si>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</si>
  <si>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</si>
  <si>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</si>
  <si>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</si>
  <si>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</si>
  <si>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</si>
  <si>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</si>
  <si>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</si>
  <si>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</si>
  <si>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</si>
  <si>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</si>
  <si>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</si>
  <si>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</si>
  <si>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</si>
  <si>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</si>
  <si>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</si>
  <si>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</si>
  <si>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</si>
  <si>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</si>
  <si>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</si>
  <si>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</si>
  <si>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</si>
  <si>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</si>
  <si>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</si>
  <si>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</si>
  <si>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</si>
  <si>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</si>
  <si>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</si>
  <si>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</si>
  <si>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</si>
  <si>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</si>
  <si>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</si>
  <si>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</si>
  <si>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</si>
  <si>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</si>
  <si>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</si>
  <si>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</si>
  <si>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</si>
  <si>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</si>
  <si>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</si>
  <si>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</si>
  <si>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</si>
  <si>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</si>
  <si>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</si>
  <si>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</si>
  <si>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</si>
  <si>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</si>
  <si>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</si>
  <si>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</si>
  <si>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</si>
  <si>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</si>
  <si>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</si>
  <si>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</si>
  <si>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</si>
  <si>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</si>
  <si>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</si>
  <si>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</si>
  <si>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</si>
  <si>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</si>
  <si>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</si>
  <si>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</si>
  <si>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</si>
  <si>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</si>
  <si>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</si>
  <si>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</si>
  <si>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</si>
  <si>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</si>
  <si>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</si>
  <si>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</si>
  <si>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</si>
  <si>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</si>
  <si>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</si>
  <si>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</si>
  <si>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</si>
  <si>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</si>
  <si>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</si>
  <si>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</si>
  <si>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</si>
  <si>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</si>
  <si>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</si>
  <si>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</si>
  <si>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</si>
  <si>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</si>
  <si>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</si>
  <si>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</si>
  <si>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</si>
  <si>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</si>
  <si>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</si>
  <si>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</si>
  <si>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</si>
  <si>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</si>
  <si>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</si>
  <si>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</si>
  <si>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</si>
  <si>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</si>
  <si>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</si>
  <si>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</si>
  <si>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</si>
  <si>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</si>
  <si>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</si>
  <si>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</si>
  <si>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</si>
  <si>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</si>
  <si>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</si>
  <si>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</si>
  <si>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</si>
  <si>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</si>
  <si>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</si>
  <si>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</si>
  <si>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</si>
  <si>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</si>
  <si>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</si>
  <si>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</si>
  <si>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</si>
  <si>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</si>
  <si>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</si>
  <si>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</si>
  <si>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</si>
  <si>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</si>
  <si>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</si>
  <si>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</si>
  <si>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</si>
  <si>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</si>
  <si>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</si>
  <si>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</si>
  <si>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</si>
  <si>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</si>
  <si>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</si>
  <si>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</si>
  <si>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</si>
  <si>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</si>
  <si>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</si>
  <si>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</si>
  <si>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</si>
  <si>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</si>
  <si>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</si>
  <si>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</si>
  <si>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</si>
  <si>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</si>
  <si>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</si>
  <si>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</si>
  <si>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</si>
  <si>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</si>
  <si>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</si>
  <si>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</si>
  <si>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</si>
  <si>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</si>
  <si>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</si>
  <si>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</si>
  <si>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</si>
  <si>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</si>
  <si>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</si>
  <si>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</si>
  <si>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</si>
  <si>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</si>
  <si>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</si>
  <si>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</si>
  <si>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</si>
  <si>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</si>
  <si>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</si>
  <si>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</si>
  <si>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</si>
  <si>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</si>
  <si>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</si>
  <si>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</si>
  <si>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</si>
  <si>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</si>
  <si>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</si>
  <si>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</si>
  <si>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</si>
  <si>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</si>
  <si>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</si>
  <si>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</si>
  <si>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</si>
  <si>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</si>
  <si>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</si>
  <si>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</si>
  <si>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</si>
  <si>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</si>
  <si>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</si>
  <si>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</si>
  <si>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</si>
  <si>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</si>
  <si>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</si>
  <si>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</si>
  <si>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</si>
  <si>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</si>
  <si>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</si>
  <si>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</si>
  <si>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</si>
  <si>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</si>
  <si>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</si>
  <si>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</si>
  <si>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</si>
  <si>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</si>
  <si>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</si>
  <si>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</si>
  <si>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</si>
  <si>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</si>
  <si>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</si>
  <si>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</si>
  <si>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</si>
  <si>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</si>
  <si>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</si>
  <si>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</si>
  <si>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</si>
  <si>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</si>
  <si>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</si>
  <si>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</si>
  <si>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</si>
  <si>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</si>
  <si>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</si>
  <si>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</si>
  <si>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</si>
  <si>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</si>
  <si>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</si>
  <si>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</si>
  <si>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</si>
  <si>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</si>
  <si>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</si>
  <si>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</si>
  <si>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</si>
  <si>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</si>
  <si>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</si>
  <si>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</si>
  <si>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</si>
  <si>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</si>
  <si>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</si>
  <si>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</si>
  <si>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</si>
  <si>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</si>
  <si>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</si>
  <si>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</si>
  <si>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</si>
  <si>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</si>
  <si>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</si>
  <si>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</si>
  <si>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</si>
  <si>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</si>
  <si>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</si>
  <si>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</si>
  <si>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</si>
  <si>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</si>
  <si>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</si>
  <si>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</si>
  <si>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</si>
  <si>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</si>
  <si>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</si>
  <si>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</si>
  <si>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</si>
  <si>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</si>
  <si>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</si>
  <si>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</si>
  <si>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</si>
  <si>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</si>
  <si>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</si>
  <si>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</si>
  <si>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</si>
  <si>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</si>
  <si>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</si>
  <si>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</si>
  <si>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</si>
  <si>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</si>
  <si>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</si>
  <si>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</si>
  <si>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</si>
  <si>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</si>
  <si>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</si>
  <si>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</si>
  <si>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</si>
  <si>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</si>
  <si>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</si>
  <si>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</si>
  <si>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</si>
  <si>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</si>
  <si>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</si>
  <si>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</si>
  <si>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</si>
  <si>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</si>
  <si>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</si>
  <si>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</si>
  <si>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</si>
  <si>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</si>
  <si>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</si>
  <si>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</si>
  <si>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</si>
  <si>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</si>
  <si>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</si>
  <si>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</si>
  <si>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</si>
  <si>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</si>
  <si>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</si>
  <si>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</si>
  <si>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</si>
  <si>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</si>
  <si>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</si>
  <si>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</si>
  <si>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</si>
  <si>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</si>
  <si>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</si>
  <si>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</si>
  <si>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</si>
  <si>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</si>
  <si>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</si>
  <si>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</si>
  <si>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</si>
  <si>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</si>
  <si>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</si>
  <si>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</si>
  <si>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</si>
  <si>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</si>
  <si>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</si>
  <si>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</si>
  <si>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</si>
  <si>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</si>
  <si>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</si>
  <si>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</si>
  <si>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</si>
  <si>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</si>
  <si>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</si>
  <si>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</si>
  <si>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</si>
  <si>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</si>
  <si>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</si>
  <si>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</si>
  <si>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</si>
  <si>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</si>
  <si>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</si>
  <si>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</si>
  <si>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</si>
  <si>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</si>
  <si>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</si>
  <si>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</si>
  <si>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</si>
  <si>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</si>
  <si>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</si>
  <si>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</si>
  <si>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</si>
  <si>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</si>
  <si>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</si>
  <si>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</si>
  <si>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</si>
  <si>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</si>
  <si>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</si>
  <si>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</si>
  <si>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</si>
  <si>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</si>
  <si>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</si>
  <si>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</si>
  <si>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</si>
  <si>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</si>
  <si>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</si>
  <si>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</si>
  <si>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</si>
  <si>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</si>
  <si>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</si>
  <si>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</si>
  <si>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</si>
  <si>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</si>
  <si>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</si>
  <si>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</si>
  <si>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</si>
  <si>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</si>
  <si>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</si>
  <si>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</si>
  <si>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</si>
  <si>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</si>
  <si>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</si>
  <si>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</si>
  <si>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</si>
  <si>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</si>
  <si>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</si>
  <si>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</si>
  <si>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</si>
  <si>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</si>
  <si>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</si>
  <si>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</si>
  <si>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</si>
  <si>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</si>
  <si>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</si>
  <si>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</si>
  <si>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</si>
  <si>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</si>
  <si>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</si>
  <si>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</si>
  <si>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</si>
  <si>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</si>
  <si>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</si>
  <si>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</si>
  <si>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</si>
  <si>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</si>
  <si>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</si>
  <si>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</si>
  <si>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</si>
  <si>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</si>
  <si>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</si>
  <si>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</si>
  <si>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</si>
  <si>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</si>
  <si>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</si>
  <si>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</si>
  <si>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</si>
  <si>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</si>
  <si>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</si>
  <si>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</si>
  <si>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</si>
  <si>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</si>
  <si>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</si>
  <si>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</si>
  <si>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</si>
  <si>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</si>
  <si>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</si>
  <si>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</si>
  <si>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</si>
  <si>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</si>
  <si>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</si>
  <si>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</si>
  <si>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</si>
  <si>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</si>
  <si>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</si>
  <si>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</si>
  <si>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</si>
  <si>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</si>
  <si>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</si>
  <si>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</si>
  <si>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</si>
  <si>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</si>
  <si>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</si>
  <si>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</si>
  <si>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</si>
  <si>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</si>
  <si>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</si>
  <si>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</si>
  <si>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</si>
  <si>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</si>
  <si>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</si>
  <si>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</si>
  <si>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</si>
  <si>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</si>
  <si>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</si>
  <si>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</si>
  <si>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</si>
  <si>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</si>
  <si>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</si>
  <si>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</si>
  <si>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</si>
  <si>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</si>
  <si>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</si>
  <si>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</si>
  <si>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</si>
  <si>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</si>
  <si>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</si>
  <si>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</si>
  <si>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</si>
  <si>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</si>
  <si>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</si>
  <si>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</si>
  <si>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</si>
  <si>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</si>
  <si>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</si>
  <si>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</si>
  <si>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</si>
  <si>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</si>
  <si>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</si>
  <si>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</si>
  <si>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</si>
  <si>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</si>
  <si>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</si>
  <si>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</si>
  <si>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</si>
  <si>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</si>
  <si>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</si>
  <si>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</si>
  <si>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</si>
  <si>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</si>
  <si>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</si>
  <si>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</si>
  <si>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</si>
  <si>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</si>
  <si>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</si>
  <si>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</si>
  <si>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</si>
  <si>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</si>
  <si>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</si>
  <si>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</si>
  <si>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</si>
  <si>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</si>
  <si>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</si>
  <si>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</si>
  <si>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</si>
  <si>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</si>
  <si>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</si>
  <si>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</si>
  <si>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</si>
  <si>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</si>
  <si>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</si>
  <si>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</si>
  <si>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</si>
  <si>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</si>
  <si>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</si>
  <si>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</si>
  <si>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</si>
  <si>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</si>
  <si>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</si>
  <si>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</si>
  <si>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</si>
  <si>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</si>
  <si>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</si>
  <si>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</si>
  <si>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</si>
  <si>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</si>
  <si>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</si>
  <si>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</si>
  <si>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</si>
  <si>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</si>
  <si>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</si>
  <si>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</si>
  <si>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</si>
  <si>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</si>
  <si>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</si>
  <si>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</si>
  <si>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</si>
  <si>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</si>
  <si>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</si>
  <si>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</si>
  <si>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</si>
  <si>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</si>
  <si>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</si>
  <si>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</si>
  <si>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</si>
  <si>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</si>
  <si>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</si>
  <si>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</si>
  <si>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</si>
  <si>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</si>
  <si>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</si>
  <si>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</si>
  <si>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</si>
  <si>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</si>
  <si>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</si>
  <si>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</si>
  <si>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</si>
  <si>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</si>
  <si>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</si>
  <si>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</si>
  <si>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</si>
  <si>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</si>
  <si>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</si>
  <si>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</si>
  <si>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</si>
  <si>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</si>
  <si>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</si>
  <si>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</si>
  <si>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</si>
  <si>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</si>
  <si>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</si>
  <si>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</si>
  <si>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</si>
  <si>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</si>
  <si>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</si>
  <si>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</si>
  <si>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</si>
  <si>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</si>
  <si>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</si>
  <si>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</si>
  <si>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</si>
  <si>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</si>
  <si>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</si>
  <si>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</si>
  <si>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</si>
  <si>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</si>
  <si>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</si>
  <si>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</si>
  <si>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</si>
  <si>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</si>
  <si>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</si>
  <si>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</si>
  <si>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</si>
  <si>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</si>
  <si>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</si>
  <si>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</si>
  <si>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</si>
  <si>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</si>
  <si>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</si>
  <si>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</si>
  <si>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</si>
  <si>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</si>
  <si>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</si>
  <si>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</si>
  <si>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</si>
  <si>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</si>
  <si>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</si>
  <si>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</si>
  <si>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</si>
  <si>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</si>
  <si>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</si>
  <si>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</si>
  <si>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</si>
  <si>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</si>
  <si>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</si>
  <si>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</si>
  <si>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</si>
  <si>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</si>
  <si>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</si>
  <si>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</si>
  <si>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</si>
  <si>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</si>
  <si>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</si>
  <si>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</si>
  <si>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</si>
  <si>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</si>
  <si>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</si>
  <si>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</si>
  <si>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</si>
  <si>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</si>
  <si>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</si>
  <si>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</si>
  <si>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</si>
  <si>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</si>
  <si>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</si>
  <si>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</si>
  <si>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</si>
  <si>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</si>
  <si>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</si>
  <si>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</si>
  <si>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</si>
  <si>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</si>
  <si>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</si>
  <si>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</si>
  <si>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</si>
  <si>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</si>
  <si>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</si>
  <si>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</si>
  <si>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</si>
  <si>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</si>
  <si>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</si>
  <si>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</si>
  <si>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</si>
  <si>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</si>
  <si>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</si>
  <si>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</si>
  <si>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</si>
  <si>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</si>
  <si>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</si>
  <si>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</si>
  <si>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</si>
  <si>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</si>
  <si>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</si>
  <si>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</si>
  <si>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</si>
  <si>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</si>
  <si>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</si>
  <si>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</si>
  <si>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</si>
  <si>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</si>
  <si>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</si>
  <si>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</si>
  <si>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</si>
  <si>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</si>
  <si>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</si>
  <si>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</si>
  <si>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</si>
  <si>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</si>
  <si>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</si>
  <si>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</si>
  <si>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</si>
  <si>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</si>
  <si>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</si>
  <si>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</si>
  <si>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</si>
  <si>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</si>
  <si>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</si>
  <si>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</si>
  <si>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</si>
  <si>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</si>
  <si>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</si>
  <si>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</si>
  <si>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</si>
  <si>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</si>
  <si>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</si>
  <si>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</si>
  <si>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</si>
  <si>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</si>
  <si>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</si>
  <si>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</si>
  <si>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</si>
  <si>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</si>
  <si>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</si>
  <si>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</si>
  <si>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</si>
  <si>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</si>
  <si>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</si>
  <si>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</si>
  <si>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</si>
  <si>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</si>
  <si>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</si>
  <si>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</si>
  <si>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</si>
  <si>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</si>
  <si>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</si>
  <si>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</si>
  <si>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</si>
  <si>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</si>
  <si>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</si>
  <si>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</si>
  <si>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</si>
  <si>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</si>
  <si>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</si>
  <si>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</si>
  <si>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</si>
  <si>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</si>
  <si>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</si>
  <si>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</si>
  <si>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</si>
  <si>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</si>
  <si>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</si>
  <si>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</si>
  <si>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</si>
  <si>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</si>
  <si>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</si>
  <si>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</si>
  <si>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</si>
  <si>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</si>
  <si>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</si>
  <si>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</si>
  <si>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</si>
  <si>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</si>
  <si>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</si>
  <si>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</si>
  <si>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</si>
  <si>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</si>
  <si>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</si>
  <si>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</si>
  <si>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</si>
  <si>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</si>
  <si>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</si>
  <si>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</si>
  <si>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</si>
  <si>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</si>
  <si>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</si>
  <si>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</si>
  <si>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</si>
  <si>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</si>
  <si>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</si>
  <si>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</si>
  <si>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</si>
  <si>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</si>
  <si>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</si>
  <si>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</si>
  <si>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</si>
  <si>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</si>
  <si>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</si>
  <si>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</si>
  <si>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</si>
  <si>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</si>
  <si>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</si>
  <si>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</si>
  <si>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</si>
  <si>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</si>
  <si>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</si>
  <si>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</si>
  <si>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</si>
  <si>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</si>
  <si>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</si>
  <si>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</si>
  <si>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</si>
  <si>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</si>
  <si>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</si>
  <si>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</si>
  <si>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</si>
  <si>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</si>
  <si>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</si>
  <si>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</si>
  <si>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</si>
  <si>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</si>
  <si>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</si>
  <si>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</si>
  <si>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</si>
  <si>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</si>
  <si>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</si>
  <si>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</si>
  <si>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</si>
  <si>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</si>
  <si>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</si>
  <si>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</si>
  <si>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</si>
  <si>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</si>
  <si>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</si>
  <si>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</si>
  <si>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</si>
  <si>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</si>
  <si>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</si>
  <si>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</si>
  <si>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</si>
  <si>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</si>
  <si>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</si>
  <si>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</si>
  <si>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</si>
  <si>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</si>
  <si>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</si>
  <si>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</si>
  <si>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</si>
  <si>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</si>
  <si>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</si>
  <si>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</si>
  <si>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</si>
  <si>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</si>
  <si>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</si>
  <si>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</si>
  <si>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</si>
  <si>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</si>
  <si>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</si>
  <si>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</si>
  <si>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</si>
  <si>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</si>
  <si>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</si>
  <si>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</si>
  <si>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</si>
  <si>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</si>
  <si>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</si>
  <si>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</si>
  <si>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</si>
  <si>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</si>
  <si>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</si>
  <si>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</si>
  <si>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</si>
  <si>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</si>
  <si>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</si>
  <si>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</si>
  <si>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</si>
  <si>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</si>
  <si>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</si>
  <si>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</si>
  <si>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</si>
  <si>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</si>
  <si>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</si>
  <si>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</si>
  <si>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</si>
  <si>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</si>
  <si>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</si>
  <si>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Burning still took palce at large scales, but was often in a less controlled manner owing to the threat of prosecution</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</si>
  <si>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</si>
  <si>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</si>
  <si>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</si>
  <si>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</si>
  <si>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</si>
  <si>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</si>
  <si>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</si>
  <si>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</si>
  <si>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</si>
  <si>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</si>
  <si>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</si>
  <si>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</si>
  <si>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</si>
  <si>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</si>
  <si>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</si>
  <si>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</si>
  <si>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</si>
  <si>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</si>
  <si>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</si>
  <si>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</si>
  <si>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</si>
  <si>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</si>
  <si>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</si>
  <si>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</si>
  <si>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</si>
  <si>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</si>
  <si>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</si>
  <si>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</si>
  <si>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</si>
  <si>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</si>
  <si>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</si>
  <si>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</si>
  <si>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</si>
  <si>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</si>
  <si>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</si>
  <si>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</si>
  <si>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</si>
  <si>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</si>
  <si>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</si>
  <si>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</si>
  <si>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</si>
  <si>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</si>
  <si>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</si>
  <si>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</si>
  <si>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</si>
  <si>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</si>
  <si>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</si>
  <si>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</si>
  <si>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</si>
  <si>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</si>
  <si>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</si>
  <si>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</si>
  <si>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</si>
  <si>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</si>
  <si>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</si>
  <si>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</si>
  <si>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</si>
  <si>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</si>
  <si>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</si>
  <si>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</si>
  <si>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</si>
  <si>
    <t>Village name could not be identified and georeferenced; study mean used</t>
  </si>
  <si>
    <t>306bh</t>
  </si>
  <si>
    <t>Middle point of country used</t>
  </si>
  <si>
    <t>Qualitative Comparative Analysis of policy impact on deforestation; Middle point of country used</t>
  </si>
  <si>
    <t>Younger generation did not adopt fire for general conservation or Pyrome management</t>
  </si>
  <si>
    <t>Early-season Pyrome management fires were lit much less frequently than by aboriginal land users. This meant that large late-season fires dominated</t>
  </si>
  <si>
    <r>
      <t>Number of fires, land cover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</si>
  <si>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r>
      <t>Number of total, total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</si>
  <si>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t>Fires in 'Forests and semi-natural areas'</t>
  </si>
  <si>
    <t>314a.3</t>
  </si>
  <si>
    <t>314b.6</t>
  </si>
  <si>
    <t>Given large-scale of study, ignitions are provided as estimate</t>
  </si>
  <si>
    <t>Burned area assumes some proportion of burning is pile burning hence, BA% &lt; residue% burned</t>
  </si>
  <si>
    <t>Excellent source for pile burning vs field burning of residues</t>
  </si>
  <si>
    <t>437a.1</t>
  </si>
  <si>
    <t>437a.2</t>
  </si>
  <si>
    <t>437a.3</t>
  </si>
  <si>
    <t>437a.4</t>
  </si>
  <si>
    <t>437a.5</t>
  </si>
  <si>
    <t>437a.6</t>
  </si>
  <si>
    <t>437a.7</t>
  </si>
  <si>
    <t>437a.8</t>
  </si>
  <si>
    <t>437b.1</t>
  </si>
  <si>
    <t>437c.1</t>
  </si>
  <si>
    <t>437d.1</t>
  </si>
  <si>
    <t>SPLIF = Jurisdiction of Forest Fire Prevention Service; in Spanish</t>
  </si>
  <si>
    <t>461a.2</t>
  </si>
  <si>
    <t>461b.2</t>
  </si>
  <si>
    <t>461b.3</t>
  </si>
  <si>
    <t>Number of fires based on number of patches identified from aerial photo, minus the mean number during years after aboriginal people had left the area. Oral evidence and fire size from satellites suggest the Aborigines burned year round, even in 'marginal weather conditions (light winds, moist fuels)'</t>
  </si>
  <si>
    <t>Regime reported and demarcated between aboriginal and lightning fire regimes, but specific fire use separations are estimated</t>
  </si>
  <si>
    <t>Regime reported and demarcated between aboriginal and lightning fire regimes, but unclear if all fires were lightning or merely majority</t>
  </si>
  <si>
    <t>Burned area based on 40-50% of residue straw being broadcast burned (with some pile burning) and 10% of stubble being pile burned</t>
  </si>
  <si>
    <t>459a.6</t>
  </si>
  <si>
    <t>Ignitions is estimated from author bins of 'average number of fires'</t>
  </si>
  <si>
    <t>High fire density in the region is attributed to the WUI: it accounted for 8% of fires in all of Argentina</t>
  </si>
  <si>
    <t>Ignitions assumes recorded fires are spread ~evenly between plantation and degraded forests; assumes 'production' forests are occupied by industrial foresters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</si>
</sst>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48">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0" fillId="0" borderId="7" xfId="0" applyFill="1" applyBorder="1"/>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12" fillId="0" borderId="4" xfId="0" applyNumberFormat="1" applyFont="1" applyBorder="1" applyAlignment="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0" fillId="0" borderId="7" xfId="0" applyFont="1" applyFill="1" applyBorder="1" applyAlignment="1">
      <alignment wrapText="1"/>
    </xf>
    <xf numFmtId="0" fontId="3" fillId="0" borderId="4" xfId="1" applyFont="1" applyFill="1" applyBorder="1"/>
    <xf numFmtId="0" fontId="28"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10" fillId="2" borderId="4" xfId="0" applyFont="1" applyFill="1" applyBorder="1" applyAlignment="1">
      <alignment wrapText="1"/>
    </xf>
    <xf numFmtId="164" fontId="23" fillId="0" borderId="4" xfId="0" applyNumberFormat="1" applyFont="1" applyFill="1" applyBorder="1"/>
    <xf numFmtId="0" fontId="0" fillId="0" borderId="6" xfId="0" applyFill="1" applyBorder="1" applyAlignment="1">
      <alignment horizontal="left" wrapText="1"/>
    </xf>
    <xf numFmtId="0" fontId="0" fillId="0" borderId="4" xfId="0" quotePrefix="1" applyFill="1" applyBorder="1" applyAlignment="1">
      <alignment wrapText="1"/>
    </xf>
    <xf numFmtId="0" fontId="10" fillId="0" borderId="0" xfId="0" applyFont="1"/>
    <xf numFmtId="164" fontId="0" fillId="2" borderId="4" xfId="0" applyNumberFormat="1" applyFont="1" applyFill="1" applyBorder="1"/>
    <xf numFmtId="0" fontId="2" fillId="0" borderId="3" xfId="0" applyFont="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s://www.mdpi.com/2073-4433/3/1/164/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dx.doi.org/10.1016/j.foreco.2016.03.009" TargetMode="External"/><Relationship Id="rId1259" Type="http://schemas.openxmlformats.org/officeDocument/2006/relationships/hyperlink" Target="https://www.mdpi.com/2571-6255/1/1/4/htm"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www.tandfonline.com/doi/full/10.1080/10962247.2016.1268982" TargetMode="External"/><Relationship Id="rId1119" Type="http://schemas.openxmlformats.org/officeDocument/2006/relationships/hyperlink" Target="https://journals.plos.org/plosone/article?id=10.1371/journal.pone.0159035"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1326" Type="http://schemas.openxmlformats.org/officeDocument/2006/relationships/hyperlink" Target="http://www.ecologyandsociety.org/vol20/iss3/art38/"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insidecostarica.com/dailynews/2011/april/11/costarica11041103.htm" TargetMode="External"/><Relationship Id="rId1172" Type="http://schemas.openxmlformats.org/officeDocument/2006/relationships/hyperlink" Target="https://link.springer.com/article/10.1007/s10342-015-0933-8"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7" Type="http://schemas.openxmlformats.org/officeDocument/2006/relationships/hyperlink" Target="https://dx.doi.org/10.1371%2Fjournal.pone.0197218"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83" Type="http://schemas.openxmlformats.org/officeDocument/2006/relationships/hyperlink" Target="http://dx.doi.org/10.1016/j.foreco.2012.07.005" TargetMode="External"/><Relationship Id="rId1390" Type="http://schemas.openxmlformats.org/officeDocument/2006/relationships/printerSettings" Target="../printerSettings/printerSettings1.bin"/><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1250" Type="http://schemas.openxmlformats.org/officeDocument/2006/relationships/hyperlink" Target="https://www.mdpi.com/2571-6255/1/1/4/htm" TargetMode="External"/><Relationship Id="rId1348" Type="http://schemas.openxmlformats.org/officeDocument/2006/relationships/hyperlink" Target="https://novapublishers.com/shop/wildland-fires-a-worldwide-reality/" TargetMode="External"/><Relationship Id="rId357" Type="http://schemas.openxmlformats.org/officeDocument/2006/relationships/hyperlink" Target="https://pubmed.ncbi.nlm.nih.gov/15748801/" TargetMode="External"/><Relationship Id="rId1110" Type="http://schemas.openxmlformats.org/officeDocument/2006/relationships/hyperlink" Target="http://dx.doi.org/10.1016/j.gloenvcha.2013.04.005" TargetMode="External"/><Relationship Id="rId1194" Type="http://schemas.openxmlformats.org/officeDocument/2006/relationships/hyperlink" Target="https://www.publish.csiro.au/wf/wf01010" TargetMode="External"/><Relationship Id="rId1208"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1261" Type="http://schemas.openxmlformats.org/officeDocument/2006/relationships/hyperlink" Target="https://www.mdpi.com/2571-6255/1/1/4/htm" TargetMode="External"/><Relationship Id="rId1359"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link.springer.com/article/10.1007/s11027-006-9039-4" TargetMode="External"/><Relationship Id="rId1219" Type="http://schemas.openxmlformats.org/officeDocument/2006/relationships/hyperlink" Target="https://doi.org/10.1016/j.jenvman.2017.09.053"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1272" Type="http://schemas.openxmlformats.org/officeDocument/2006/relationships/hyperlink" Target="https://www.mdpi.com/2571-6255/1/1/4/htm"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link.springer.com/content/pdf/10.1007/s13280-018-1084-1.pdf" TargetMode="External"/><Relationship Id="rId1283" Type="http://schemas.openxmlformats.org/officeDocument/2006/relationships/hyperlink" Target="https://www.mdpi.com/2571-6255/1/1/4/htm"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www.tandfonline.com/doi/abs/10.1080/08941920.2014.918226" TargetMode="External"/><Relationship Id="rId1143" Type="http://schemas.openxmlformats.org/officeDocument/2006/relationships/hyperlink" Target="http://dx.doi.org/10.1016/j.forpol.2014.09.012"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350" Type="http://schemas.openxmlformats.org/officeDocument/2006/relationships/hyperlink" Target="https://novapublishers.com/shop/wildland-fires-a-worldwide-reality/"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mdpi.com/2071-1050/11/6/1762" TargetMode="External"/><Relationship Id="rId1087" Type="http://schemas.openxmlformats.org/officeDocument/2006/relationships/hyperlink" Target="http://www.pnas.orgcgidoi10.1073pnas.0900991106/" TargetMode="External"/><Relationship Id="rId1210"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94" Type="http://schemas.openxmlformats.org/officeDocument/2006/relationships/hyperlink" Target="https://www.mdpi.com/2571-6255/1/1/4/htm" TargetMode="External"/><Relationship Id="rId1308" Type="http://schemas.openxmlformats.org/officeDocument/2006/relationships/hyperlink" Target="https://www.mdpi.com/2571-6255/1/1/4/htm"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doi.org/10.3390/f8100372" TargetMode="External"/><Relationship Id="rId1361" Type="http://schemas.openxmlformats.org/officeDocument/2006/relationships/hyperlink" Target="https://onlinelibrary.wiley.com/doi/abs/10.1111/j.1467-9493.2006.00240.x"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pubmed.ncbi.nlm.nih.gov/19201513/" TargetMode="External"/><Relationship Id="rId1221" Type="http://schemas.openxmlformats.org/officeDocument/2006/relationships/hyperlink" Target="https://doi.org/10.1016/j.jenvman.2017.09.053"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www.ecologyandsociety.org/vol9/iss1/art15" TargetMode="External"/><Relationship Id="rId1319" Type="http://schemas.openxmlformats.org/officeDocument/2006/relationships/hyperlink" Target="https://www.jstor.org/stable/25765157"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pnas.org/content/109/19/7559" TargetMode="External"/><Relationship Id="rId1372" Type="http://schemas.openxmlformats.org/officeDocument/2006/relationships/hyperlink" Target="http://dx.doi.org/10.5751/ES-05070-170337"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2" Type="http://schemas.openxmlformats.org/officeDocument/2006/relationships/hyperlink" Target="https://www.mdpi.com/2571-6255/1/1/4/htm"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www.fao.org/3/XII/0278-B1.htm" TargetMode="External"/><Relationship Id="rId1383" Type="http://schemas.openxmlformats.org/officeDocument/2006/relationships/hyperlink" Target="https://doi.org/10.1515/opag-2020-0019"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jstor.org/stable/pdf/27654196.pdf" TargetMode="External"/><Relationship Id="rId1036" Type="http://schemas.openxmlformats.org/officeDocument/2006/relationships/hyperlink" Target="https://link.springer.com/article/10.1007/s11842-015-9311-0" TargetMode="External"/><Relationship Id="rId1243" Type="http://schemas.openxmlformats.org/officeDocument/2006/relationships/hyperlink" Target="https://www.mdpi.com/2571-6255/1/1/4/htm"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1187"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310" Type="http://schemas.openxmlformats.org/officeDocument/2006/relationships/hyperlink" Target="https://www.mdpi.com/2571-6255/1/1/4/htm"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doi.org/10.1080/13504509.2018.1491429" TargetMode="External"/><Relationship Id="rId1254" Type="http://schemas.openxmlformats.org/officeDocument/2006/relationships/hyperlink" Target="https://www.mdpi.com/2571-6255/1/1/4/htm"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jstor.org/stable/43582372" TargetMode="External"/><Relationship Id="rId1321" Type="http://schemas.openxmlformats.org/officeDocument/2006/relationships/hyperlink" Target="http://dx.doi.org/10.1016/j.ecolind.2014.08.034"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9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www.sciencedirect.com/science/article/pii/S1462901117307694?casa_token=1sjjxHogWbkAAAAA:6AZyPnXlIxr2egTtkZkGoBia5G5PNaGPpGAs8IONer_Ic7oejDU7jKLQ_RL76aXLMK294yFkDg" TargetMode="External"/><Relationship Id="rId1265" Type="http://schemas.openxmlformats.org/officeDocument/2006/relationships/hyperlink" Target="https://www.mdpi.com/2571-6255/1/1/4/htm"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book/10.1007/978-81-322-1662-9" TargetMode="External"/><Relationship Id="rId1332" Type="http://schemas.openxmlformats.org/officeDocument/2006/relationships/hyperlink" Target="https://novapublishers.com/shop/wildland-fires-a-worldwide-reality/"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1276" Type="http://schemas.openxmlformats.org/officeDocument/2006/relationships/hyperlink" Target="https://www.mdpi.com/2571-6255/1/1/4/htm"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onlinelibrary.wiley.com/doi/abs/10.1002/ldr.2545"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343" Type="http://schemas.openxmlformats.org/officeDocument/2006/relationships/hyperlink" Target="https://dx.doi.org/10.1371%2Fjournal.pone.0197218"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120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87" Type="http://schemas.openxmlformats.org/officeDocument/2006/relationships/hyperlink" Target="https://www.mdpi.com/2571-6255/1/1/4/htm"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1147" Type="http://schemas.openxmlformats.org/officeDocument/2006/relationships/hyperlink" Target="https://www.jstor.org/stable/24106801?read-now=1&amp;seq=1" TargetMode="External"/><Relationship Id="rId1354" Type="http://schemas.openxmlformats.org/officeDocument/2006/relationships/hyperlink" Target="https://onlinelibrary.wiley.com/doi/abs/10.1111/risa.12855"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sciencedirect.com/science/article/pii/S0167880996010997" TargetMode="External"/><Relationship Id="rId1214" Type="http://schemas.openxmlformats.org/officeDocument/2006/relationships/hyperlink" Target="http://pods.dasnr.okstate.edu/docushare/dsweb/Get/Document-11743/NREM-2905web.pdf"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www.celpa.pt/wp-content/uploads/2016/09/Boletim_WEB_2015.pdf" TargetMode="External"/><Relationship Id="rId1298" Type="http://schemas.openxmlformats.org/officeDocument/2006/relationships/hyperlink" Target="https://www.mdpi.com/2571-6255/1/1/4/htm"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158" Type="http://schemas.openxmlformats.org/officeDocument/2006/relationships/hyperlink" Target="http://dx.doi.org/10.1098/rstb.2015.0341" TargetMode="External"/><Relationship Id="rId1365" Type="http://schemas.openxmlformats.org/officeDocument/2006/relationships/hyperlink" Target="https://link.springer.com/article/10.1007/s11027-010-9236-z"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iopscience.iop.org/article/10.1088/1748-9326/aa751d" TargetMode="External"/><Relationship Id="rId1225" Type="http://schemas.openxmlformats.org/officeDocument/2006/relationships/hyperlink" Target="https://scion.contentdm.oclc.org/digital/collection/p20044coll13/id/57/"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reader.elsevier.com/reader/sd/pii/S0146638012000575?token=DB6A3A0247400FE0BA11023308B4ACAA35C9EAC449D18C7F55CD9067E8A51C1356EEC001A19A368335920898A07EAF93" TargetMode="External"/><Relationship Id="rId1169" Type="http://schemas.openxmlformats.org/officeDocument/2006/relationships/hyperlink" Target="https://www.fs.fed.us/psw/publications/north/psw_2013_north004.pdf" TargetMode="External"/><Relationship Id="rId1376" Type="http://schemas.openxmlformats.org/officeDocument/2006/relationships/hyperlink" Target="https://doi.org/10.1111/j.1365-2664.2006.01222.x"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acp.copernicus.org/preprints/6/9655/2006/acpd-6-9655-2006.pdf"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www.pnas.orgcgidoi10.1073pnas.0900991106/" TargetMode="External"/><Relationship Id="rId1303" Type="http://schemas.openxmlformats.org/officeDocument/2006/relationships/hyperlink" Target="https://www.mdpi.com/2571-6255/1/1/4/htm"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researchgate.net/publication/248885612_Remote_sensing_of_fire_regimes_in_semi-arid_Nusa_Tenggara_Timur_eastern_Indonesia_Current_patterns_future_prospects" TargetMode="External"/><Relationship Id="rId1387" Type="http://schemas.openxmlformats.org/officeDocument/2006/relationships/hyperlink" Target="https://doi.org/10.1016/j.flora.2020.151613"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www.mdpi.com/2571-6255/1/1/4/htm"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oi.org/10.1080/03056244.2015.1085381" TargetMode="External"/><Relationship Id="rId1314" Type="http://schemas.openxmlformats.org/officeDocument/2006/relationships/hyperlink" Target="http://dx.doi.org/10.1016/j.jenvman.2012.12.006"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core.ac.uk/download/pdf/190559436.pdf" TargetMode="External"/><Relationship Id="rId1160" Type="http://schemas.openxmlformats.org/officeDocument/2006/relationships/hyperlink" Target="http://dx.doi.org/10.3390/fire1030040"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1258" Type="http://schemas.openxmlformats.org/officeDocument/2006/relationships/hyperlink" Target="https://www.mdpi.com/2571-6255/1/1/4/htm"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tandfonline.com/doi/full/10.1080/10962247.2016.1268982" TargetMode="External"/><Relationship Id="rId1118" Type="http://schemas.openxmlformats.org/officeDocument/2006/relationships/hyperlink" Target="https://www.jstor.org/stable/43582372" TargetMode="External"/><Relationship Id="rId1325" Type="http://schemas.openxmlformats.org/officeDocument/2006/relationships/hyperlink" Target="https://doi.org/10.1016/j.jenvman.2018.12.116"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insidecostarica.com/dailynews/2011/april/11/costarica11041103.htm"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1171" Type="http://schemas.openxmlformats.org/officeDocument/2006/relationships/hyperlink" Target="https://www.fs.fed.us/psw/publications/north/psw_2013_north004.pdf" TargetMode="External"/><Relationship Id="rId1269" Type="http://schemas.openxmlformats.org/officeDocument/2006/relationships/hyperlink" Target="https://www.mdpi.com/2571-6255/1/1/4/htm"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129" Type="http://schemas.openxmlformats.org/officeDocument/2006/relationships/hyperlink" Target="https://advances.sciencemag.org/content/advances/4/11/eaat2993.full.pdf"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336" Type="http://schemas.openxmlformats.org/officeDocument/2006/relationships/hyperlink" Target="https://dx.doi.org/10.1371%2Fjournal.pone.0197218"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academic.oup.com/jof/article/116/2/143/4930767" TargetMode="External"/><Relationship Id="rId997"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82" Type="http://schemas.openxmlformats.org/officeDocument/2006/relationships/hyperlink" Target="http://dx.doi.org/10.1016/j.foreco.2012.11.003"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1042" Type="http://schemas.openxmlformats.org/officeDocument/2006/relationships/hyperlink" Target="https://doi.org/10.1016/j.gloenvcha.2020.102096"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sciencedirect.com/science/article/pii/S0301479713005586?via%3Dihub" TargetMode="External"/><Relationship Id="rId1347" Type="http://schemas.openxmlformats.org/officeDocument/2006/relationships/hyperlink" Target="https://dx.doi.org/10.1371%2Fjournal.pone.0197218"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publish.csiro.au/wf/wf01010" TargetMode="External"/><Relationship Id="rId1207" Type="http://schemas.openxmlformats.org/officeDocument/2006/relationships/hyperlink" Target="http://www.jstor.com/stable/3589034"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68" Type="http://schemas.openxmlformats.org/officeDocument/2006/relationships/hyperlink" Target="https://www.mdpi.com/1999-4907/7/10/237" TargetMode="External"/><Relationship Id="rId1053" Type="http://schemas.openxmlformats.org/officeDocument/2006/relationships/hyperlink" Target="https://link.springer.com/content/pdf/10.1007/s13143-013-0015-0.pdf" TargetMode="External"/><Relationship Id="rId1260" Type="http://schemas.openxmlformats.org/officeDocument/2006/relationships/hyperlink" Target="https://www.mdpi.com/2571-6255/1/1/4/htm" TargetMode="External"/><Relationship Id="rId630" Type="http://schemas.openxmlformats.org/officeDocument/2006/relationships/hyperlink" Target="https://link.springer.com/article/10.1186/s42408-019-0041-0"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1358" Type="http://schemas.openxmlformats.org/officeDocument/2006/relationships/hyperlink" Target="http://dx.doi.org/10.1016/j.apgeog.2013.06.010"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07/s10745-019-00096-6" TargetMode="External"/><Relationship Id="rId1120" Type="http://schemas.openxmlformats.org/officeDocument/2006/relationships/hyperlink" Target="https://link.springer.com/article/10.1007/s11027-006-9039-4" TargetMode="External"/><Relationship Id="rId1218" Type="http://schemas.openxmlformats.org/officeDocument/2006/relationships/hyperlink" Target="https://link.springer.com/article/10.1007/s10661-010-1583-4"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www.mdpi.com/1999-4907/7/10/237" TargetMode="External"/><Relationship Id="rId434" Type="http://schemas.openxmlformats.org/officeDocument/2006/relationships/hyperlink" Target="https://www.scirp.org/journal/paperinformation.aspx?paperid=27362" TargetMode="External"/><Relationship Id="rId641" Type="http://schemas.openxmlformats.org/officeDocument/2006/relationships/hyperlink" Target="https://www.ncbi.nlm.nih.gov/pmc/articles/PMC6163030/"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linkinghub.elsevier.com/retrieve/pii/S0921818116302090" TargetMode="External"/><Relationship Id="rId1271" Type="http://schemas.openxmlformats.org/officeDocument/2006/relationships/hyperlink" Target="https://www.mdpi.com/2571-6255/1/1/4/htm" TargetMode="External"/><Relationship Id="rId1369" Type="http://schemas.openxmlformats.org/officeDocument/2006/relationships/hyperlink" Target="https://link.springer.com/article/10.1007/s11027-010-9236-z"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dfs.semanticscholar.org/ad35/96c82623cf33cb44dda5d20f40837b915c92.pdf" TargetMode="External"/><Relationship Id="rId1131" Type="http://schemas.openxmlformats.org/officeDocument/2006/relationships/hyperlink" Target="https://advances.sciencemag.org/content/advances/4/11/eaat2993.full.pdf" TargetMode="External"/><Relationship Id="rId1229" Type="http://schemas.openxmlformats.org/officeDocument/2006/relationships/hyperlink" Target="https://www.pnas.org/content/115/1/121"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82" Type="http://schemas.openxmlformats.org/officeDocument/2006/relationships/hyperlink" Target="https://www.mdpi.com/2571-6255/1/1/4/htm"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www.tandfonline.com/doi/abs/10.1080/08941920.2014.918226" TargetMode="External"/><Relationship Id="rId1142" Type="http://schemas.openxmlformats.org/officeDocument/2006/relationships/hyperlink" Target="https://www.sciencedirect.com/science/article/abs/pii/S026483770600003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96" Type="http://schemas.openxmlformats.org/officeDocument/2006/relationships/hyperlink" Target="https://doi.org/10.1016/j.landusepol.2018.10.022"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86" Type="http://schemas.openxmlformats.org/officeDocument/2006/relationships/hyperlink" Target="http://www.pnas.orgcgidoi10.1073pnas.0900991106/" TargetMode="External"/><Relationship Id="rId1293" Type="http://schemas.openxmlformats.org/officeDocument/2006/relationships/hyperlink" Target="https://www.mdpi.com/2571-6255/1/1/4/htm" TargetMode="External"/><Relationship Id="rId1307" Type="http://schemas.openxmlformats.org/officeDocument/2006/relationships/hyperlink" Target="https://www.mdpi.com/2571-6255/1/1/4/htm"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968" Type="http://schemas.openxmlformats.org/officeDocument/2006/relationships/hyperlink" Target="https://books.google.co.uk/books?hl=en&amp;lr=&amp;id=y4EIyCJvWC4C&amp;oi=fnd&amp;pg=PR4&amp;ots=IcTNYTFUZn&amp;sig=NalGHA2GwWwqU5AnRD1E0-7XDuw&amp;redir_esc=y" TargetMode="External"/><Relationship Id="rId1153" Type="http://schemas.openxmlformats.org/officeDocument/2006/relationships/hyperlink" Target="https://doi.org/10.3390/f8100372"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pubmed.ncbi.nlm.nih.gov/19201513/" TargetMode="External"/><Relationship Id="rId1360" Type="http://schemas.openxmlformats.org/officeDocument/2006/relationships/hyperlink" Target="https://onlinelibrary.wiley.com/doi/abs/10.1111/j.1467-9493.2006.00240.x"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www.ecologyandsociety.org/vol9/iss1/art15" TargetMode="External"/><Relationship Id="rId1220" Type="http://schemas.openxmlformats.org/officeDocument/2006/relationships/hyperlink" Target="https://doi.org/10.1016/j.jenvman.2017.09.053" TargetMode="External"/><Relationship Id="rId1318" Type="http://schemas.openxmlformats.org/officeDocument/2006/relationships/hyperlink" Target="https://www.bfa.fcnym.unlp.edu.ar/catalogo/doc_num.php?explnum_id=653"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79" Type="http://schemas.openxmlformats.org/officeDocument/2006/relationships/hyperlink" Target="https://www.mdpi.com/2072-4292/2/4/1057/htm" TargetMode="External"/><Relationship Id="rId24" Type="http://schemas.openxmlformats.org/officeDocument/2006/relationships/hyperlink" Target="https://doi.org/10.14989/68482"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534" Type="http://schemas.openxmlformats.org/officeDocument/2006/relationships/hyperlink" Target="https://doi.org/10.1007/s13280-018-1118-8"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mdpi.com/1999-4907/7/10/237" TargetMode="External"/><Relationship Id="rId1164" Type="http://schemas.openxmlformats.org/officeDocument/2006/relationships/hyperlink" Target="https://www.forest-trends.org/publications/indonesia-illegalities-in-forest-clearance-in-large-scale-plantations/" TargetMode="External"/><Relationship Id="rId1371" Type="http://schemas.openxmlformats.org/officeDocument/2006/relationships/hyperlink" Target="https://doi.org/10.2993/0278-0771-35.1.140"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1329" Type="http://schemas.openxmlformats.org/officeDocument/2006/relationships/hyperlink" Target="https://novapublishers.com/shop/wildland-fires-a-worldwide-reality/"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5334/ijc.977"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1175" Type="http://schemas.openxmlformats.org/officeDocument/2006/relationships/hyperlink" Target="http://www.fao.org/3/XII/0278-B1.htm" TargetMode="External"/><Relationship Id="rId1382" Type="http://schemas.openxmlformats.org/officeDocument/2006/relationships/hyperlink" Target="https://www.tandfonline.com/doi/pdf/10.1080/01431160802541549?casa_token=VvQKr63g90oAAAAA:5lIZgUpimC29ddxdhl62Ltgw6UcreXwrXKMmQYz9srj_YrOBWFnIARU6VPac-CCiXT-tgFOT3k0"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linkinghub.elsevier.com/retrieve/pii/S2211464514000839"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link.springer.com/article/10.1134/S187537281803004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www.mdpi.com/2071-1050/12/3/995"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6" Type="http://schemas.openxmlformats.org/officeDocument/2006/relationships/hyperlink" Target="https://www.sciencedirect.com/science/article/abs/pii/S0264837718305210?via%3Dihub" TargetMode="External"/><Relationship Id="rId1253" Type="http://schemas.openxmlformats.org/officeDocument/2006/relationships/hyperlink" Target="https://www.mdpi.com/2571-6255/1/1/4/htm" TargetMode="External"/><Relationship Id="rId623" Type="http://schemas.openxmlformats.org/officeDocument/2006/relationships/hyperlink" Target="https://doi.org/10.1080/08941929709381043"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esajournals.onlinelibrary.wiley.com/doi/full/10.1890/130015"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s://www.jstor.org/stable/43582372" TargetMode="External"/><Relationship Id="rId119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320" Type="http://schemas.openxmlformats.org/officeDocument/2006/relationships/hyperlink" Target="https://doi.org/10.1016/j.landurbplan.2018.02.010"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634" Type="http://schemas.openxmlformats.org/officeDocument/2006/relationships/hyperlink" Target="https://www.sciencedirect.com/science/article/pii/S0378112710006924" TargetMode="External"/><Relationship Id="rId841" Type="http://schemas.openxmlformats.org/officeDocument/2006/relationships/hyperlink" Target="https://www.mdpi.com/1999-4907/7/10/237" TargetMode="External"/><Relationship Id="rId1264" Type="http://schemas.openxmlformats.org/officeDocument/2006/relationships/hyperlink" Target="https://www.mdpi.com/2571-6255/1/1/4/htm" TargetMode="External"/><Relationship Id="rId273" Type="http://schemas.openxmlformats.org/officeDocument/2006/relationships/hyperlink" Target="https://link.springer.com/article/10.1007/s11629-019-5416-9" TargetMode="External"/><Relationship Id="rId480" Type="http://schemas.openxmlformats.org/officeDocument/2006/relationships/hyperlink" Target="https://link.springer.com/article/10.1023/A:1014519113923"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book/10.1007/978-81-322-1662-9" TargetMode="External"/><Relationship Id="rId1331" Type="http://schemas.openxmlformats.org/officeDocument/2006/relationships/hyperlink" Target="https://novapublishers.com/shop/wildland-fires-a-worldwide-reality/"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92" Type="http://schemas.openxmlformats.org/officeDocument/2006/relationships/hyperlink" Target="https://www.ajol.info/index.php/sajae/article/view/76886"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438" Type="http://schemas.openxmlformats.org/officeDocument/2006/relationships/hyperlink" Target="https://www.sciencedirect.com/science/article/pii/S0167880911000405" TargetMode="External"/><Relationship Id="rId645" Type="http://schemas.openxmlformats.org/officeDocument/2006/relationships/hyperlink" Target="http://www2.fire.uni-freiburg.de/sevilla-2007/contributions/doc/cd/SESIONES_TEMATICAS/ST2/Velez_SPAIN_DGB_ExpeEnglish.pdf" TargetMode="External"/><Relationship Id="rId852" Type="http://schemas.openxmlformats.org/officeDocument/2006/relationships/hyperlink" Target="https://www.mdpi.com/1999-4907/7/10/237" TargetMode="External"/><Relationship Id="rId1068" Type="http://schemas.openxmlformats.org/officeDocument/2006/relationships/hyperlink" Target="https://linkinghub.elsevier.com/retrieve/pii/S0921818116302090" TargetMode="External"/><Relationship Id="rId1275" Type="http://schemas.openxmlformats.org/officeDocument/2006/relationships/hyperlink" Target="https://www.mdpi.com/2571-6255/1/1/4/htm"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1135" Type="http://schemas.openxmlformats.org/officeDocument/2006/relationships/hyperlink" Target="https://onlinelibrary.wiley.com/doi/abs/10.1002/ldr.2545" TargetMode="External"/><Relationship Id="rId1342" Type="http://schemas.openxmlformats.org/officeDocument/2006/relationships/hyperlink" Target="https://dx.doi.org/10.1371%2Fjournal.pone.0197218" TargetMode="External"/><Relationship Id="rId79"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89" Type="http://schemas.openxmlformats.org/officeDocument/2006/relationships/hyperlink" Target="https://www.mendeley.com/catalogue/8a778ab6-cfbd-3258-911a-89e248136cc9/" TargetMode="External"/><Relationship Id="rId796" Type="http://schemas.openxmlformats.org/officeDocument/2006/relationships/hyperlink" Target="https://esajournals.onlinelibrary.wiley.com/doi/full/10.1890/120298" TargetMode="External"/><Relationship Id="rId120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449" Type="http://schemas.openxmlformats.org/officeDocument/2006/relationships/hyperlink" Target="../../../../Downloads/FireSyntheisisPaperMarch2012Draft.pdf" TargetMode="External"/><Relationship Id="rId656" Type="http://schemas.openxmlformats.org/officeDocument/2006/relationships/hyperlink" Target="http://www2.fire.uni-freiburg.de/sevilla-2007/contributions/doc/cd/SESIONES_TEMATICAS/ST2/Velez_SPAIN_DGB_ExpeEnglish.pdf" TargetMode="External"/><Relationship Id="rId863" Type="http://schemas.openxmlformats.org/officeDocument/2006/relationships/hyperlink" Target="https://www.mdpi.com/1999-4907/7/10/237" TargetMode="External"/><Relationship Id="rId1079" Type="http://schemas.openxmlformats.org/officeDocument/2006/relationships/hyperlink" Target="https://journals.plos.org/plosone/article/file?id=10.1371/journal.pone.0029212&amp;type=printable" TargetMode="External"/><Relationship Id="rId1286" Type="http://schemas.openxmlformats.org/officeDocument/2006/relationships/hyperlink" Target="https://www.mdpi.com/2571-6255/1/1/4/htm" TargetMode="External"/><Relationship Id="rId211" Type="http://schemas.openxmlformats.org/officeDocument/2006/relationships/hyperlink" Target="https://link.springer.com/content/pdf/10.1007/s10745-006-9089-y.pdf"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516" Type="http://schemas.openxmlformats.org/officeDocument/2006/relationships/hyperlink" Target="https://www.sciencedirect.com/science/article/pii/S0301479711004701?via%3Dihub" TargetMode="External"/><Relationship Id="rId1146" Type="http://schemas.openxmlformats.org/officeDocument/2006/relationships/hyperlink" Target="https://link.springer.com/article/10.1007/s11676-014-0471-0" TargetMode="External"/><Relationship Id="rId723" Type="http://schemas.openxmlformats.org/officeDocument/2006/relationships/hyperlink" Target="https://www.sciencedirect.com/science/article/pii/S0301479799903353" TargetMode="External"/><Relationship Id="rId930" Type="http://schemas.openxmlformats.org/officeDocument/2006/relationships/hyperlink" Target="https://www.jstor.org/stable/2388588" TargetMode="External"/><Relationship Id="rId1006" Type="http://schemas.openxmlformats.org/officeDocument/2006/relationships/hyperlink" Target="https://www.researchgate.net/publication/222259152" TargetMode="External"/><Relationship Id="rId1353" Type="http://schemas.openxmlformats.org/officeDocument/2006/relationships/hyperlink" Target="https://onlinelibrary.wiley.com/doi/abs/10.1111/risa.12855"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dx.doi.org/10.3390/su11061641" TargetMode="External"/><Relationship Id="rId1213" Type="http://schemas.openxmlformats.org/officeDocument/2006/relationships/hyperlink" Target="http://pods.dasnr.okstate.edu/docushare/dsweb/Get/Document-11743/NREM-2905web.pdf" TargetMode="External"/><Relationship Id="rId1255" Type="http://schemas.openxmlformats.org/officeDocument/2006/relationships/hyperlink" Target="https://www.mdpi.com/2571-6255/1/1/4/htm" TargetMode="External"/><Relationship Id="rId1297" Type="http://schemas.openxmlformats.org/officeDocument/2006/relationships/hyperlink" Target="https://www.mdpi.com/2571-6255/1/1/4/htm"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jstor.org/stable/43582372" TargetMode="External"/><Relationship Id="rId1322" Type="http://schemas.openxmlformats.org/officeDocument/2006/relationships/hyperlink" Target="http://dx.doi.org/10.1016/j.jenvman.2013.03.011"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57" Type="http://schemas.openxmlformats.org/officeDocument/2006/relationships/hyperlink" Target="http://dx.doi.org/10.1098/rstb.2015.0341" TargetMode="External"/><Relationship Id="rId119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364" Type="http://schemas.openxmlformats.org/officeDocument/2006/relationships/hyperlink" Target="https://link.springer.com/article/10.4996/fireecology.0602043"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www.jstage.jst.go.jp/article/jsta/58/4/58_155/_pdf/-char/ja" TargetMode="External"/><Relationship Id="rId1059" Type="http://schemas.openxmlformats.org/officeDocument/2006/relationships/hyperlink" Target="https://www.sciencedirect.com/science/article/pii/S1462901117307694?casa_token=1sjjxHogWbkAAAAA:6AZyPnXlIxr2egTtkZkGoBia5G5PNaGPpGAs8IONer_Ic7oejDU7jKLQ_RL76aXLMK294yFkDg" TargetMode="External"/><Relationship Id="rId1224" Type="http://schemas.openxmlformats.org/officeDocument/2006/relationships/hyperlink" Target="https://scion.contentdm.oclc.org/digital/collection/p20044coll13/id/57/" TargetMode="External"/><Relationship Id="rId1266" Type="http://schemas.openxmlformats.org/officeDocument/2006/relationships/hyperlink" Target="https://www.mdpi.com/2571-6255/1/1/4/htm"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reader.elsevier.com/reader/sd/pii/S0146638012000575?token=DB6A3A0247400FE0BA11023308B4ACAA35C9EAC449D18C7F55CD9067E8A51C1356EEC001A19A368335920898A07EAF93" TargetMode="External"/><Relationship Id="rId1126" Type="http://schemas.openxmlformats.org/officeDocument/2006/relationships/hyperlink" Target="https://link.springer.com/book/10.1007/978-81-322-1662-9"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1168" Type="http://schemas.openxmlformats.org/officeDocument/2006/relationships/hyperlink" Target="https://www.fs.fed.us/psw/publications/north/psw_2013_north004.pdf" TargetMode="External"/><Relationship Id="rId1333" Type="http://schemas.openxmlformats.org/officeDocument/2006/relationships/hyperlink" Target="https://novapublishers.com/shop/wildland-fires-a-worldwide-reality/" TargetMode="External"/><Relationship Id="rId1375" Type="http://schemas.openxmlformats.org/officeDocument/2006/relationships/hyperlink" Target="https://doi.org/10.1080/08941920.2016.1239296"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doi.org/10.1016/j.enpol.2019.110882" TargetMode="External"/><Relationship Id="rId1028" Type="http://schemas.openxmlformats.org/officeDocument/2006/relationships/hyperlink" Target="https://acp.copernicus.org/preprints/6/9655/2006/acpd-6-9655-2006.pdf"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tandfonline.com/doi/pdf/10.1080/08941920.2014.905894?needAccess=true&amp;instName=King%27s+College+London" TargetMode="External"/><Relationship Id="rId1277" Type="http://schemas.openxmlformats.org/officeDocument/2006/relationships/hyperlink" Target="https://www.mdpi.com/2571-6255/1/1/4/htm" TargetMode="External"/><Relationship Id="rId1302" Type="http://schemas.openxmlformats.org/officeDocument/2006/relationships/hyperlink" Target="https://www.mdpi.com/2571-6255/1/1/4/htm"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onlinelibrary.wiley.com/doi/full/10.1111/j.1744-7429.2009.00495.x?dmmsuid=0&amp;dmmspid=0&amp;dmmsmid=0" TargetMode="External"/><Relationship Id="rId1179" Type="http://schemas.openxmlformats.org/officeDocument/2006/relationships/hyperlink" Target="http://www.fao.org/3/XII/0278-B1.htm" TargetMode="External"/><Relationship Id="rId1344" Type="http://schemas.openxmlformats.org/officeDocument/2006/relationships/hyperlink" Target="https://dx.doi.org/10.1371%2Fjournal.pone.0197218" TargetMode="External"/><Relationship Id="rId1386" Type="http://schemas.openxmlformats.org/officeDocument/2006/relationships/hyperlink" Target="https://journals.plos.org/plosone/article?id=10.1371/journal.pone.0081226"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1190" Type="http://schemas.openxmlformats.org/officeDocument/2006/relationships/hyperlink" Target="https://www.bbc.co.uk/news/av/science-environment-54126762" TargetMode="External"/><Relationship Id="rId120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6" Type="http://schemas.openxmlformats.org/officeDocument/2006/relationships/hyperlink" Target="https://www.mdpi.com/2571-6255/1/1/4/htm"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link.springer.com/content/pdf/10.1007/s13143-013-0015-0.pdf" TargetMode="External"/><Relationship Id="rId1288" Type="http://schemas.openxmlformats.org/officeDocument/2006/relationships/hyperlink" Target="https://www.mdpi.com/2571-6255/1/1/4/htm"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1148" Type="http://schemas.openxmlformats.org/officeDocument/2006/relationships/hyperlink" Target="https://fireecology.springeropen.com/articles/10.4996/fireecology.130312013" TargetMode="External"/><Relationship Id="rId1313" Type="http://schemas.openxmlformats.org/officeDocument/2006/relationships/hyperlink" Target="http://dx.doi.org/10.1016/j.jenvman.2012.12.006" TargetMode="External"/><Relationship Id="rId1355" Type="http://schemas.openxmlformats.org/officeDocument/2006/relationships/hyperlink" Target="https://zslpublications.onlinelibrary.wiley.com/doi/abs/10.1111/j.1469-1795.2009.00337.x"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reap-canada.com/library/IntDev/8%20Strategies%20to%20Avoid%20Crop%20Residue%20Burning%20in%20the%20Philippine%20Context%20(1999).htm" TargetMode="External"/><Relationship Id="rId1008" Type="http://schemas.openxmlformats.org/officeDocument/2006/relationships/hyperlink" Target="https://www.sciencedirect.com/science/article/pii/S0167880996010997" TargetMode="External"/><Relationship Id="rId1215" Type="http://schemas.openxmlformats.org/officeDocument/2006/relationships/hyperlink" Target="http://pods.dasnr.okstate.edu/docushare/dsweb/Get/Document-11743/NREM-2905web.pdf"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257" Type="http://schemas.openxmlformats.org/officeDocument/2006/relationships/hyperlink" Target="https://www.mdpi.com/2571-6255/1/1/4/htm" TargetMode="External"/><Relationship Id="rId1299" Type="http://schemas.openxmlformats.org/officeDocument/2006/relationships/hyperlink" Target="https://www.mdpi.com/2571-6255/1/1/4/htm"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linkinghub.elsevier.com/retrieve/pii/S0921818116302090" TargetMode="External"/><Relationship Id="rId1117" Type="http://schemas.openxmlformats.org/officeDocument/2006/relationships/hyperlink" Target="https://www.jstor.org/stable/43582372" TargetMode="External"/><Relationship Id="rId1159" Type="http://schemas.openxmlformats.org/officeDocument/2006/relationships/hyperlink" Target="https://www.agriculturejournals.cz/web/jfs.htm?type=volume&amp;volume=59" TargetMode="External"/><Relationship Id="rId1324" Type="http://schemas.openxmlformats.org/officeDocument/2006/relationships/hyperlink" Target="http://dx.doi.org/10.1016/j.geoforum.2010.05.004" TargetMode="External"/><Relationship Id="rId1366" Type="http://schemas.openxmlformats.org/officeDocument/2006/relationships/hyperlink" Target="https://link.springer.com/article/10.1007/s11027-010-9236-z"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insidecostarica.com/dailynews/2011/april/11/costarica11041103.htm" TargetMode="External"/><Relationship Id="rId1019" Type="http://schemas.openxmlformats.org/officeDocument/2006/relationships/hyperlink" Target="https://www.tandfonline.com/doi/full/10.1080/10962247.2016.1268982" TargetMode="External"/><Relationship Id="rId1170" Type="http://schemas.openxmlformats.org/officeDocument/2006/relationships/hyperlink" Target="https://www.fs.fed.us/psw/publications/north/psw_2013_north004.pdf"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1226" Type="http://schemas.openxmlformats.org/officeDocument/2006/relationships/hyperlink" Target="https://www.mdpi.com/2571-6255/1/1/4/htm" TargetMode="External"/><Relationship Id="rId1268" Type="http://schemas.openxmlformats.org/officeDocument/2006/relationships/hyperlink" Target="https://www.mdpi.com/2571-6255/1/1/4/htm"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www.conaf.cl/incendios-forestales/incendios-forestales-en-chile/estadisticas-historicas/" TargetMode="External"/><Relationship Id="rId1128" Type="http://schemas.openxmlformats.org/officeDocument/2006/relationships/hyperlink" Target="https://advances.sciencemag.org/content/advances/4/11/eaat2993.full.pdf" TargetMode="External"/><Relationship Id="rId1335" Type="http://schemas.openxmlformats.org/officeDocument/2006/relationships/hyperlink" Target="https://novapublishers.com/shop/wildland-fires-a-worldwide-reality/"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link.springer.com/article/10.1007/s10745-010-9362-y" TargetMode="External"/><Relationship Id="rId996"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377" Type="http://schemas.openxmlformats.org/officeDocument/2006/relationships/hyperlink" Target="https://doi.org/10.1016/j.agee.2009.02.018"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181"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237" Type="http://schemas.openxmlformats.org/officeDocument/2006/relationships/hyperlink" Target="https://www.mdpi.com/2571-6255/1/1/4/htm" TargetMode="External"/><Relationship Id="rId1279" Type="http://schemas.openxmlformats.org/officeDocument/2006/relationships/hyperlink" Target="https://www.mdpi.com/2571-6255/1/1/4/htm"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doi.org/10.1016/j.gloenvcha.2020.102096" TargetMode="External"/><Relationship Id="rId1083" Type="http://schemas.openxmlformats.org/officeDocument/2006/relationships/hyperlink" Target="http://www.pnas.orgcgidoi10.1073pnas.0900991106/" TargetMode="External"/><Relationship Id="rId1139" Type="http://schemas.openxmlformats.org/officeDocument/2006/relationships/hyperlink" Target="https://onlinelibrary.wiley.com/doi/full/10.1111/j.1744-7429.2009.00495.x?dmmsuid=0&amp;dmmspid=0&amp;dmmsmid=0" TargetMode="External"/><Relationship Id="rId1290" Type="http://schemas.openxmlformats.org/officeDocument/2006/relationships/hyperlink" Target="https://www.mdpi.com/2571-6255/1/1/4/htm" TargetMode="External"/><Relationship Id="rId1304" Type="http://schemas.openxmlformats.org/officeDocument/2006/relationships/hyperlink" Target="https://www.mdpi.com/2571-6255/1/1/4/htm" TargetMode="External"/><Relationship Id="rId1346" Type="http://schemas.openxmlformats.org/officeDocument/2006/relationships/hyperlink" Target="https://dx.doi.org/10.1371%2Fjournal.pone.0197218"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researchgate.net/publication/248885612_Remote_sensing_of_fire_regimes_in_semi-arid_Nusa_Tenggara_Timur_eastern_Indonesia_Current_patterns_future_prospects" TargetMode="External"/><Relationship Id="rId1150" Type="http://schemas.openxmlformats.org/officeDocument/2006/relationships/hyperlink" Target="https://fireecology.springeropen.com/articles/10.4996/fireecology.130312013" TargetMode="External"/><Relationship Id="rId1388" Type="http://schemas.openxmlformats.org/officeDocument/2006/relationships/hyperlink" Target="https://www.nature.com/articles/s41559-017-0099"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nrs.fs.fed.us/pubs/jrnl/2007/nrs_2007_sturtevant_002.pdf" TargetMode="External"/><Relationship Id="rId120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8" Type="http://schemas.openxmlformats.org/officeDocument/2006/relationships/hyperlink" Target="https://www.mdpi.com/2571-6255/1/1/4/htm"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135223101530080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s://royalsocietypublishing.org/doi/10.1098/rstb.2007.2203" TargetMode="External"/><Relationship Id="rId1108" Type="http://schemas.openxmlformats.org/officeDocument/2006/relationships/hyperlink" Target="https://doi.org/10.1080/03056244.2015.1085381" TargetMode="External"/><Relationship Id="rId1315" Type="http://schemas.openxmlformats.org/officeDocument/2006/relationships/hyperlink" Target="https://link.springer.com/article/10.1007/s00267-012-9825-6"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1357" Type="http://schemas.openxmlformats.org/officeDocument/2006/relationships/hyperlink" Target="http://dx.doi.org/10.1016/j.landusepol.2015.03.006"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link.springer.com/article/10.1007/s10661-010-1583-4"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s://linkinghub.elsevier.com/retrieve/pii/S0921818116302090" TargetMode="External"/><Relationship Id="rId1270" Type="http://schemas.openxmlformats.org/officeDocument/2006/relationships/hyperlink" Target="https://www.mdpi.com/2571-6255/1/1/4/htm"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1368" Type="http://schemas.openxmlformats.org/officeDocument/2006/relationships/hyperlink" Target="https://link.springer.com/article/10.1007/s11027-010-9236-z"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https://advances.sciencemag.org/content/advances/4/11/eaat2993.full.pdf" TargetMode="External"/><Relationship Id="rId1228" Type="http://schemas.openxmlformats.org/officeDocument/2006/relationships/hyperlink" Target="https://journals.uair.arizona.edu/index.php/jrm/article/view/19888"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378112716312555?token=2B91B95E32FC5747530F4D06414C0119172AFEC360F9236F3572CBA96D8B1862634CA2C16C9A549AD19E598C226344BF"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1281" Type="http://schemas.openxmlformats.org/officeDocument/2006/relationships/hyperlink" Target="https://www.mdpi.com/2571-6255/1/1/4/htm" TargetMode="External"/><Relationship Id="rId1379" Type="http://schemas.openxmlformats.org/officeDocument/2006/relationships/hyperlink" Target="https://eecentre.org/Modules/EECResources/UploadFile/Attachment/Vegetation-Fires-Global-Change-UN-White-Paper-GFMC-2013.pdf"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www.tandfonline.com/doi/abs/10.1080/08941920.2014.918226" TargetMode="External"/><Relationship Id="rId1141" Type="http://schemas.openxmlformats.org/officeDocument/2006/relationships/hyperlink" Target="https://link.springer.com/article/10.1007/s10457-016-9912-4"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92" Type="http://schemas.openxmlformats.org/officeDocument/2006/relationships/hyperlink" Target="https://www.mdpi.com/2571-6255/1/1/4/htm" TargetMode="External"/><Relationship Id="rId1306" Type="http://schemas.openxmlformats.org/officeDocument/2006/relationships/hyperlink" Target="https://www.mdpi.com/2571-6255/1/1/4/htm"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books.google.co.uk/books?hl=en&amp;lr=&amp;id=y4EIyCJvWC4C&amp;oi=fnd&amp;pg=PR4&amp;ots=IcTNYTFUZn&amp;sig=NalGHA2GwWwqU5AnRD1E0-7XDuw&amp;redir_esc=y" TargetMode="External"/><Relationship Id="rId1152" Type="http://schemas.openxmlformats.org/officeDocument/2006/relationships/hyperlink" Target="http://dx.doi.org/10.1016/j.jenvman.2012.11.004"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pubmed.ncbi.nlm.nih.gov/19201513/"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s://mediatum.ub.tum.de/doc/603323/603323.pdf" TargetMode="External"/><Relationship Id="rId1317" Type="http://schemas.openxmlformats.org/officeDocument/2006/relationships/hyperlink" Target="https://www.bfa.fcnym.unlp.edu.ar/catalogo/doc_num.php?explnum_id=653"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www.mdpi.com/2072-4292/2/4/1057/htm" TargetMode="External"/><Relationship Id="rId1163" Type="http://schemas.openxmlformats.org/officeDocument/2006/relationships/hyperlink" Target="http://dx.doi.org/10.1016/j.foreco.2012.07.019" TargetMode="External"/><Relationship Id="rId1370" Type="http://schemas.openxmlformats.org/officeDocument/2006/relationships/hyperlink" Target="https://link.springer.com/article/10.1007/s11027-010-9236-z"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researchgate.net/publication/310540577"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1230" Type="http://schemas.openxmlformats.org/officeDocument/2006/relationships/hyperlink" Target="https://www.mdpi.com/2571-6255/1/1/4/htm" TargetMode="External"/><Relationship Id="rId1328" Type="http://schemas.openxmlformats.org/officeDocument/2006/relationships/hyperlink" Target="https://novapublishers.com/shop/wildland-fires-a-worldwide-reality/"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deas.repec.org/a/pje/journl/article29winv.html"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174" Type="http://schemas.openxmlformats.org/officeDocument/2006/relationships/hyperlink" Target="http://www.fao.org/3/XII/0278-B1.htm" TargetMode="External"/><Relationship Id="rId1381" Type="http://schemas.openxmlformats.org/officeDocument/2006/relationships/hyperlink" Target="https://eecentre.org/Modules/EECResources/UploadFile/Attachment/Vegetation-Fires-Global-Change-UN-White-Paper-GFMC-2013.pdf"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www.scielo.br/scielo.php?pid=S1519-566X2005000400016&amp;script=sci_arttext&amp;tlng=pt" TargetMode="External"/><Relationship Id="rId1241" Type="http://schemas.openxmlformats.org/officeDocument/2006/relationships/hyperlink" Target="https://www.mdpi.com/2571-6255/1/1/4/htm" TargetMode="External"/><Relationship Id="rId1339" Type="http://schemas.openxmlformats.org/officeDocument/2006/relationships/hyperlink" Target="https://dx.doi.org/10.1371%2Fjournal.pone.0197218"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s://link.springer.com/article/10.1007/s10745-014-9641-0"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jamba.org.za/index.php/jamba/article/view/224" TargetMode="External"/><Relationship Id="rId1252" Type="http://schemas.openxmlformats.org/officeDocument/2006/relationships/hyperlink" Target="https://www.mdpi.com/2571-6255/1/1/4/htm"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esajournals.onlinelibrary.wiley.com/doi/full/10.1890/120137"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56" Type="http://schemas.openxmlformats.org/officeDocument/2006/relationships/hyperlink" Target="https://link.springer.com/content/pdf/10.1007/s13143-013-0015-0.pdf" TargetMode="External"/><Relationship Id="rId1263" Type="http://schemas.openxmlformats.org/officeDocument/2006/relationships/hyperlink" Target="https://www.mdpi.com/2571-6255/1/1/4/htm"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30" Type="http://schemas.openxmlformats.org/officeDocument/2006/relationships/hyperlink" Target="https://novapublishers.com/shop/wildland-fires-a-worldwide-reality/"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www.ajol.info/index.php/sajae/article/view/76886"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1274" Type="http://schemas.openxmlformats.org/officeDocument/2006/relationships/hyperlink" Target="https://www.mdpi.com/2571-6255/1/1/4/htm"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doi.org/10.1300/J091v19n01_09" TargetMode="External"/><Relationship Id="rId1341" Type="http://schemas.openxmlformats.org/officeDocument/2006/relationships/hyperlink" Target="https://dx.doi.org/10.1371%2Fjournal.pone.0197218"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www.nature.com/articles/s41558-020-0716-1" TargetMode="External"/><Relationship Id="rId1285" Type="http://schemas.openxmlformats.org/officeDocument/2006/relationships/hyperlink" Target="https://www.mdpi.com/2571-6255/1/1/4/htm"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dx.doi.org/10.1016/j.landusepol.2015.03.006" TargetMode="External"/><Relationship Id="rId1352" Type="http://schemas.openxmlformats.org/officeDocument/2006/relationships/hyperlink" Target="https://bg.copernicus.org/preprints/bg-2020-174/bg-2020-174.pdf"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mdpi.com/2071-1050/11/6/1762" TargetMode="External"/><Relationship Id="rId1212" Type="http://schemas.openxmlformats.org/officeDocument/2006/relationships/hyperlink" Target="https://doi.org/10.1007/s10745-018-0013-z"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296" Type="http://schemas.openxmlformats.org/officeDocument/2006/relationships/hyperlink" Target="https://www.mdpi.com/2571-6255/1/1/4/htm"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1156" Type="http://schemas.openxmlformats.org/officeDocument/2006/relationships/hyperlink" Target="http://dx.doi.org/10.1098/rstb.2015.0341" TargetMode="External"/><Relationship Id="rId1363" Type="http://schemas.openxmlformats.org/officeDocument/2006/relationships/hyperlink" Target="https://onlinelibrary.wiley.com/doi/abs/10.1111/aec.12377"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www.sciencedirect.com/science/article/pii/S014019630900305X"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bioone.org/journals/wildlife-biology/volume-2017/issue-4/wlb.00318/Managing-grassland-for-wildlife--the-effects-of-rotational-burning/10.2981/wlb.00318.full"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1167" Type="http://schemas.openxmlformats.org/officeDocument/2006/relationships/hyperlink" Target="https://www.fs.fed.us/psw/publications/north/psw_2013_north004.pdf" TargetMode="External"/><Relationship Id="rId1374" Type="http://schemas.openxmlformats.org/officeDocument/2006/relationships/hyperlink" Target="https://onlinelibrary.wiley.com/doi/10.1046/j.1365-2699.2001.00555.x"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acp.copernicus.org/preprints/6/9655/2006/acpd-6-9655-2006.pdf"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journals.plos.org/plosone/article/file?id=10.1371/journal.pone.0029212&amp;type=printable" TargetMode="External"/><Relationship Id="rId1301" Type="http://schemas.openxmlformats.org/officeDocument/2006/relationships/hyperlink" Target="https://www.mdpi.com/2571-6255/1/1/4/htm"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www.jstor.org/stable/pdf/27654196.pdf" TargetMode="External"/><Relationship Id="rId1178" Type="http://schemas.openxmlformats.org/officeDocument/2006/relationships/hyperlink" Target="http://www.fao.org/3/XII/0278-B1.htm" TargetMode="External"/><Relationship Id="rId1385" Type="http://schemas.openxmlformats.org/officeDocument/2006/relationships/hyperlink" Target="https://journals.plos.org/plosone/article?id=10.1371/journal.pone.0081226"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springer.com/article/10.1007/s11842-015-9311-0" TargetMode="External"/><Relationship Id="rId1245" Type="http://schemas.openxmlformats.org/officeDocument/2006/relationships/hyperlink" Target="https://www.mdpi.com/2571-6255/1/1/4/htm"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d-nb.info/104264179X/34" TargetMode="External"/><Relationship Id="rId1312" Type="http://schemas.openxmlformats.org/officeDocument/2006/relationships/hyperlink" Target="https://www.mdpi.com/2571-6255/1/1/4/htm"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esajournals.onlinelibrary.wiley.com/doi/epdf/10.1890/09-2004.1"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reap-canada.com/library/IntDev/8%20Strategies%20to%20Avoid%20Crop%20Residue%20Burning%20in%20the%20Philippine%20Context%20(1999).htm" TargetMode="External"/><Relationship Id="rId1049" Type="http://schemas.openxmlformats.org/officeDocument/2006/relationships/hyperlink" Target="https://link.springer.com/content/pdf/10.1007/s13143-013-0015-0.pdf" TargetMode="External"/><Relationship Id="rId1256" Type="http://schemas.openxmlformats.org/officeDocument/2006/relationships/hyperlink" Target="https://www.mdpi.com/2571-6255/1/1/4/htm"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323" Type="http://schemas.openxmlformats.org/officeDocument/2006/relationships/hyperlink" Target="https://doi.org/10.1016/j.foreco.2019.117723"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bioone.org/journals/southwestern-entomologist/volume-34/issue-3/059.034.0302/Impact-of-Sugarcane-Burning-on-the-Stalkborer-iDiatraea-considerate-i/10.3958/059.034.0302.short"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1267" Type="http://schemas.openxmlformats.org/officeDocument/2006/relationships/hyperlink" Target="https://www.mdpi.com/2571-6255/1/1/4/htm"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doi:10.3390/rs8120986" TargetMode="External"/><Relationship Id="rId1334" Type="http://schemas.openxmlformats.org/officeDocument/2006/relationships/hyperlink" Target="https://novapublishers.com/shop/wildland-fires-a-worldwide-reality/"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aaqr.org/articles/aaqr-12-06-oa-0150" TargetMode="External"/><Relationship Id="rId1180" Type="http://schemas.openxmlformats.org/officeDocument/2006/relationships/hyperlink" Target="https://www.fs.fed.us/rm/pubs_other/rmrs_2014_calkin_d001.pdf"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www.researchgate.net/publication/40116523" TargetMode="External"/><Relationship Id="rId1278" Type="http://schemas.openxmlformats.org/officeDocument/2006/relationships/hyperlink" Target="https://www.mdpi.com/2571-6255/1/1/4/htm"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full/10.1111/j.1744-7429.2009.00495.x?dmmsuid=0&amp;dmmspid=0&amp;dmmsmid=0" TargetMode="External"/><Relationship Id="rId1345" Type="http://schemas.openxmlformats.org/officeDocument/2006/relationships/hyperlink" Target="https://dx.doi.org/10.1371%2Fjournal.pone.0197218"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link.springer.com/article/10.1007/s10021-009-9234-8" TargetMode="External"/><Relationship Id="rId120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1289" Type="http://schemas.openxmlformats.org/officeDocument/2006/relationships/hyperlink" Target="https://www.mdpi.com/2571-6255/1/1/4/htm"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s://link.springer.com/content/pdf/10.1007/s13143-013-0015-0.pdf" TargetMode="External"/><Relationship Id="rId1149" Type="http://schemas.openxmlformats.org/officeDocument/2006/relationships/hyperlink" Target="https://fireecology.springeropen.com/articles/10.4996/fireecology.130312013" TargetMode="External"/><Relationship Id="rId1356" Type="http://schemas.openxmlformats.org/officeDocument/2006/relationships/hyperlink" Target="http://dx.doi.org/10.1016/j.apgeog.2014.11.025"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sciencedirect.com/science/article/pii/S1352231015300807"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1216" Type="http://schemas.openxmlformats.org/officeDocument/2006/relationships/hyperlink" Target="http://pods.dasnr.okstate.edu/docushare/dsweb/Get/Document-11743/NREM-2905web.pdf"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linkinghub.elsevier.com/retrieve/pii/S0921818116302090"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1367" Type="http://schemas.openxmlformats.org/officeDocument/2006/relationships/hyperlink" Target="https://link.springer.com/article/10.1007/s11027-010-9236-z"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doi.org/10.1016/j.rama.2019.08.014"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mdpi.com/1999-4907/7/10/237" TargetMode="External"/><Relationship Id="rId1073" Type="http://schemas.openxmlformats.org/officeDocument/2006/relationships/hyperlink" Target="https://www.conaf.cl/incendios-forestales/incendios-forestales-en-chile/estadisticas-historicas/" TargetMode="External"/><Relationship Id="rId1280" Type="http://schemas.openxmlformats.org/officeDocument/2006/relationships/hyperlink" Target="https://www.mdpi.com/2571-6255/1/1/4/htm"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ww.pnas.org/content/pnas/103/39/14637.full.pdf" TargetMode="External"/><Relationship Id="rId955" Type="http://schemas.openxmlformats.org/officeDocument/2006/relationships/hyperlink" Target="https://link.springer.com/article/10.1007/s10745-010-9325-3" TargetMode="External"/><Relationship Id="rId1140" Type="http://schemas.openxmlformats.org/officeDocument/2006/relationships/hyperlink" Target="https://doi.org/10.1080/19376812.2012.759013" TargetMode="External"/><Relationship Id="rId1378" Type="http://schemas.openxmlformats.org/officeDocument/2006/relationships/hyperlink" Target="https://eecentre.org/Modules/EECResources/UploadFile/Attachment/Vegetation-Fires-Global-Change-UN-White-Paper-GFMC-2013.pdf"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4" Type="http://schemas.openxmlformats.org/officeDocument/2006/relationships/hyperlink" Target="http://www.pnas.orgcgidoi10.1073pnas.0900991106/" TargetMode="External"/><Relationship Id="rId1305" Type="http://schemas.openxmlformats.org/officeDocument/2006/relationships/hyperlink" Target="https://www.mdpi.com/2571-6255/1/1/4/htm"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661" Type="http://schemas.openxmlformats.org/officeDocument/2006/relationships/hyperlink" Target="http://www.sandeeonline.org/uploads/documents/publication/962_PUB_Working_Paper_66_Ridhima_Gupta.pdf"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books.google.co.uk/books?hl=en&amp;lr=&amp;id=y4EIyCJvWC4C&amp;oi=fnd&amp;pg=PR4&amp;ots=IcTNYTFUZn&amp;sig=NalGHA2GwWwqU5AnRD1E0-7XDuw&amp;redir_esc=y" TargetMode="External"/><Relationship Id="rId1291" Type="http://schemas.openxmlformats.org/officeDocument/2006/relationships/hyperlink" Target="https://www.mdpi.com/2571-6255/1/1/4/htm" TargetMode="External"/><Relationship Id="rId1389" Type="http://schemas.openxmlformats.org/officeDocument/2006/relationships/hyperlink" Target="https://digitalcommons.usu.edu/hwi/vol12/iss1/"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1151" Type="http://schemas.openxmlformats.org/officeDocument/2006/relationships/hyperlink" Target="https://fireecology.springeropen.com/articles/10.4996/fireecology.130312013" TargetMode="External"/><Relationship Id="rId1249" Type="http://schemas.openxmlformats.org/officeDocument/2006/relationships/hyperlink" Target="https://www.mdpi.com/2571-6255/1/1/4/htm"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www.ncbi.nlm.nih.gov/pmc/articles/PMC6518002/" TargetMode="External"/><Relationship Id="rId1109" Type="http://schemas.openxmlformats.org/officeDocument/2006/relationships/hyperlink" Target="http://dx.doi.org/10.1016/j.gloenvcha.2013.04.005"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80/19460171.2020.1724168" TargetMode="External"/><Relationship Id="rId1095" Type="http://schemas.openxmlformats.org/officeDocument/2006/relationships/hyperlink" Target="https://royalsocietypublishing.org/doi/10.1098/rstb.2007.2203" TargetMode="External"/><Relationship Id="rId1316" Type="http://schemas.openxmlformats.org/officeDocument/2006/relationships/hyperlink" Target="https://www.semanticscholar.org/paper/EFFECTS-OF-FIRE-ON-BIRDS-IN-PARAMO-HABITAT-OF-Koenen-Koenen/67aade4752b0651eb28658da115dc6aa5fd6769c"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532" Type="http://schemas.openxmlformats.org/officeDocument/2006/relationships/hyperlink" Target="http://www.jstor.com/stable/41236635" TargetMode="External"/><Relationship Id="rId977" Type="http://schemas.openxmlformats.org/officeDocument/2006/relationships/hyperlink" Target="https://www.mdpi.com/2072-4292/2/4/1057/htm" TargetMode="External"/><Relationship Id="rId1162"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mdpi.com/1999-4907/7/10/237" TargetMode="External"/><Relationship Id="rId1022" Type="http://schemas.openxmlformats.org/officeDocument/2006/relationships/hyperlink" Target="https://www.researchgate.net/publication/310540577" TargetMode="External"/><Relationship Id="rId269" Type="http://schemas.openxmlformats.org/officeDocument/2006/relationships/hyperlink" Target="https://link.springer.com/article/10.1007/s11027-006-9038-5" TargetMode="External"/><Relationship Id="rId476" Type="http://schemas.openxmlformats.org/officeDocument/2006/relationships/hyperlink" Target="https://www.jstor.org/stable/43123720" TargetMode="External"/><Relationship Id="rId683" Type="http://schemas.openxmlformats.org/officeDocument/2006/relationships/hyperlink" Target="https://doi.org/10.1007/s11625-018-0592-z"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327" Type="http://schemas.openxmlformats.org/officeDocument/2006/relationships/hyperlink" Target="http://www.ecologyandsociety.org/vol20/iss3/art38/"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doi.org/10.1071/WF18152" TargetMode="External"/><Relationship Id="rId988" Type="http://schemas.openxmlformats.org/officeDocument/2006/relationships/hyperlink" Target="https://ideas.repec.org/a/pje/journl/article29winv.html" TargetMode="External"/><Relationship Id="rId1173" Type="http://schemas.openxmlformats.org/officeDocument/2006/relationships/hyperlink" Target="http://www.fao.org/3/XII/0278-B1.htm" TargetMode="External"/><Relationship Id="rId1380" Type="http://schemas.openxmlformats.org/officeDocument/2006/relationships/hyperlink" Target="https://eecentre.org/Modules/EECResources/UploadFile/Attachment/Vegetation-Fires-Global-Change-UN-White-Paper-GFMC-2013.pdf"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dx.doi.org/10.1071/RJ12095" TargetMode="External"/><Relationship Id="rId848" Type="http://schemas.openxmlformats.org/officeDocument/2006/relationships/hyperlink" Target="https://www.mdpi.com/1999-4907/7/10/237" TargetMode="External"/><Relationship Id="rId1033" Type="http://schemas.openxmlformats.org/officeDocument/2006/relationships/hyperlink" Target="https://linkinghub.elsevier.com/retrieve/pii/S030147971300296X"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240" Type="http://schemas.openxmlformats.org/officeDocument/2006/relationships/hyperlink" Target="https://www.mdpi.com/2571-6255/1/1/4/htm" TargetMode="External"/><Relationship Id="rId1338" Type="http://schemas.openxmlformats.org/officeDocument/2006/relationships/hyperlink" Target="https://dx.doi.org/10.1371%2Fjournal.pone.0197218"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s://link.springer.com/article/10.1007/s10745-014-9641-0" TargetMode="External"/><Relationship Id="rId1184" Type="http://schemas.openxmlformats.org/officeDocument/2006/relationships/hyperlink" Target="http://dx.doi.org/10.1016/j.foreco.2012.07.005" TargetMode="External"/><Relationship Id="rId44" Type="http://schemas.openxmlformats.org/officeDocument/2006/relationships/hyperlink" Target="https://doi.org/10.14989/68482" TargetMode="External"/><Relationship Id="rId554" Type="http://schemas.openxmlformats.org/officeDocument/2006/relationships/hyperlink" Target="https://doi.org/10.1080/00049182.2019.1686731"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www.mdpi.com/1999-4907/7/10/237"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jamba.org.za/index.php/jamba/article/view/224" TargetMode="External"/><Relationship Id="rId1251" Type="http://schemas.openxmlformats.org/officeDocument/2006/relationships/hyperlink" Target="https://www.mdpi.com/2571-6255/1/1/4/htm" TargetMode="External"/><Relationship Id="rId1349" Type="http://schemas.openxmlformats.org/officeDocument/2006/relationships/hyperlink" Target="https://novapublishers.com/shop/wildland-fires-a-worldwide-reality/"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1111"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esajournals.onlinelibrary.wiley.com/doi/full/10.1890/120137" TargetMode="External"/><Relationship Id="rId1209"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262" Type="http://schemas.openxmlformats.org/officeDocument/2006/relationships/hyperlink" Target="https://www.mdpi.com/2571-6255/1/1/4/htm"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link.springer.com/content/pdf/10.1007/s11258-008-9459-1.pdf" TargetMode="External"/><Relationship Id="rId1122" Type="http://schemas.openxmlformats.org/officeDocument/2006/relationships/hyperlink" Target="https://link.springer.com/article/10.1007/s11027-006-9039-4"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www.ajol.info/index.php/sajae/article/view/76886"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linkinghub.elsevier.com/retrieve/pii/S0921818116302090" TargetMode="External"/><Relationship Id="rId1273" Type="http://schemas.openxmlformats.org/officeDocument/2006/relationships/hyperlink" Target="https://www.mdpi.com/2571-6255/1/1/4/htm" TargetMode="External"/><Relationship Id="rId850" Type="http://schemas.openxmlformats.org/officeDocument/2006/relationships/hyperlink" Target="https://www.mdpi.com/1999-4907/7/10/237"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808" Type="http://schemas.openxmlformats.org/officeDocument/2006/relationships/hyperlink" Target="https://www.researchgate.net/publication/311487251" TargetMode="External"/><Relationship Id="rId1340" Type="http://schemas.openxmlformats.org/officeDocument/2006/relationships/hyperlink" Target="https://dx.doi.org/10.1371%2Fjournal.pone.0197218"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https://link.springer.com/article/10.1007/s00267-020-01265-w"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s://link.springer.com/content/pdf/10.1007/s13280-018-1084-1.pdf" TargetMode="External"/><Relationship Id="rId120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www.mdpi.com/1999-4907/7/10/237" TargetMode="External"/><Relationship Id="rId959" Type="http://schemas.openxmlformats.org/officeDocument/2006/relationships/hyperlink" Target="https://academic.oup.com/jof/article/108/2/71/4599394" TargetMode="External"/><Relationship Id="rId1284" Type="http://schemas.openxmlformats.org/officeDocument/2006/relationships/hyperlink" Target="https://www.mdpi.com/2571-6255/1/1/4/htm"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dx.doi.org/10.1016/j.forpol.2014.09.012" TargetMode="External"/><Relationship Id="rId1351" Type="http://schemas.openxmlformats.org/officeDocument/2006/relationships/hyperlink" Target="https://link.springer.com/article/10.1007/s00704-012-0653-7"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mdpi.com/2071-1050/11/6/1762" TargetMode="External"/><Relationship Id="rId121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72" Type="http://schemas.openxmlformats.org/officeDocument/2006/relationships/hyperlink" Target="https://www.mdpi.com/1999-4907/7/10/237" TargetMode="External"/><Relationship Id="rId1088" Type="http://schemas.openxmlformats.org/officeDocument/2006/relationships/hyperlink" Target="http://www.pnas.orgcgidoi10.1073pnas.0900991106/" TargetMode="External"/><Relationship Id="rId1295" Type="http://schemas.openxmlformats.org/officeDocument/2006/relationships/hyperlink" Target="https://www.mdpi.com/2571-6255/1/1/4/htm" TargetMode="External"/><Relationship Id="rId1309" Type="http://schemas.openxmlformats.org/officeDocument/2006/relationships/hyperlink" Target="https://www.mdpi.com/2571-6255/1/1/4/htm" TargetMode="External"/><Relationship Id="rId15" Type="http://schemas.openxmlformats.org/officeDocument/2006/relationships/hyperlink" Target="https://doi.org/10.14989/68482"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dx.doi.org/10.1016/j.foreco.2007.04.050" TargetMode="External"/><Relationship Id="rId1362" Type="http://schemas.openxmlformats.org/officeDocument/2006/relationships/hyperlink" Target="https://doi.org/10.1080/089419299279704"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1015" Type="http://schemas.openxmlformats.org/officeDocument/2006/relationships/hyperlink" Target="https://www.mdpi.com/1424-8220/17/3/437" TargetMode="External"/><Relationship Id="rId1222" Type="http://schemas.openxmlformats.org/officeDocument/2006/relationships/hyperlink" Target="https://www.researchgate.net/publication/305888426" TargetMode="External"/><Relationship Id="rId469" Type="http://schemas.openxmlformats.org/officeDocument/2006/relationships/hyperlink" Target="https://fireecology.springeropen.com/articles/10.4996/fireecology.0701057" TargetMode="External"/><Relationship Id="rId676" Type="http://schemas.openxmlformats.org/officeDocument/2006/relationships/hyperlink" Target="https://doi.org/10.1007/s11625-018-0592-z" TargetMode="External"/><Relationship Id="rId883" Type="http://schemas.openxmlformats.org/officeDocument/2006/relationships/hyperlink" Target="https://www.mdpi.com/1999-4907/7/10/237" TargetMode="External"/><Relationship Id="rId1099" Type="http://schemas.openxmlformats.org/officeDocument/2006/relationships/hyperlink" Target="https://link.springer.com/article/10.1007/s10745-014-9641-0"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329" Type="http://schemas.openxmlformats.org/officeDocument/2006/relationships/hyperlink" Target="https://www.mdpi.com/2571-6255/2/3/39" TargetMode="External"/><Relationship Id="rId536" Type="http://schemas.openxmlformats.org/officeDocument/2006/relationships/hyperlink" Target="https://doi.org/10.5751/ES-11260-240426" TargetMode="External"/><Relationship Id="rId1166" Type="http://schemas.openxmlformats.org/officeDocument/2006/relationships/hyperlink" Target="http://dx.doi.org/10.5849/jof.14-058" TargetMode="External"/><Relationship Id="rId1373" Type="http://schemas.openxmlformats.org/officeDocument/2006/relationships/hyperlink" Target="https://onlinelibrary.wiley.com/doi/10.1046/j.1365-2699.2001.00555.x" TargetMode="External"/><Relationship Id="rId175" Type="http://schemas.openxmlformats.org/officeDocument/2006/relationships/hyperlink" Target="http://www.ecologyandsociety.org/vol13/iss2/art2/" TargetMode="External"/><Relationship Id="rId743" Type="http://schemas.openxmlformats.org/officeDocument/2006/relationships/hyperlink" Target="https://www.witpress.com/elibrary/wit-transactions-on-ecology-and-the-environment/137/21150" TargetMode="External"/><Relationship Id="rId950" Type="http://schemas.openxmlformats.org/officeDocument/2006/relationships/hyperlink" Target="https://pdfs.semanticscholar.org/ad35/96c82623cf33cb44dda5d20f40837b915c92.pdf" TargetMode="External"/><Relationship Id="rId1026"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603" Type="http://schemas.openxmlformats.org/officeDocument/2006/relationships/hyperlink" Target="https://www.researchgate.net/publication/319522477"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33" Type="http://schemas.openxmlformats.org/officeDocument/2006/relationships/hyperlink" Target="https://www.mdpi.com/2571-6255/1/1/4/htm" TargetMode="External"/><Relationship Id="rId242" Type="http://schemas.openxmlformats.org/officeDocument/2006/relationships/hyperlink" Target="https://link.springer.com/article/10.1007/BF00046411" TargetMode="External"/><Relationship Id="rId894" Type="http://schemas.openxmlformats.org/officeDocument/2006/relationships/hyperlink" Target="https://www.mdpi.com/1999-4907/7/10/237" TargetMode="External"/><Relationship Id="rId1177" Type="http://schemas.openxmlformats.org/officeDocument/2006/relationships/hyperlink" Target="http://www.fao.org/3/XII/0278-B1.htm" TargetMode="External"/><Relationship Id="rId1300" Type="http://schemas.openxmlformats.org/officeDocument/2006/relationships/hyperlink" Target="https://www.mdpi.com/2571-6255/1/1/4/htm" TargetMode="External"/><Relationship Id="rId37" Type="http://schemas.openxmlformats.org/officeDocument/2006/relationships/hyperlink" Target="https://doi.org/10.14989/68482" TargetMode="External"/><Relationship Id="rId102" Type="http://schemas.openxmlformats.org/officeDocument/2006/relationships/hyperlink" Target="https://www.tandfonline.com/doi/full/10.1080/08941920.2013.820813" TargetMode="External"/><Relationship Id="rId547" Type="http://schemas.openxmlformats.org/officeDocument/2006/relationships/hyperlink" Target="http://gfmc.online/wp-content/uploads/06-IFFN-34-Nepal-2-3.pdf" TargetMode="External"/><Relationship Id="rId754" Type="http://schemas.openxmlformats.org/officeDocument/2006/relationships/hyperlink" Target="https://www.tandfonline.com/doi/full/10.1080/03066150.2015.1013099" TargetMode="External"/><Relationship Id="rId961" Type="http://schemas.openxmlformats.org/officeDocument/2006/relationships/hyperlink" Target="https://www.jstor.org/stable/pdf/27654196.pdf" TargetMode="External"/><Relationship Id="rId1384" Type="http://schemas.openxmlformats.org/officeDocument/2006/relationships/hyperlink" Target="http://dx.doi.org/10.1016/j.ecolecon.2017.08.010"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614" Type="http://schemas.openxmlformats.org/officeDocument/2006/relationships/hyperlink" Target="https://www.pnas.org/content/pnas/109/26/10287.full.pdf" TargetMode="External"/><Relationship Id="rId821" Type="http://schemas.openxmlformats.org/officeDocument/2006/relationships/hyperlink" Target="https://www.researchgate.net/publication/311487251" TargetMode="External"/><Relationship Id="rId1037" Type="http://schemas.openxmlformats.org/officeDocument/2006/relationships/hyperlink" Target="https://link.springer.com/article/10.1007/s11842-015-9311-0" TargetMode="External"/><Relationship Id="rId1244" Type="http://schemas.openxmlformats.org/officeDocument/2006/relationships/hyperlink" Target="https://www.mdpi.com/2571-6255/1/1/4/htm" TargetMode="External"/><Relationship Id="rId253" Type="http://schemas.openxmlformats.org/officeDocument/2006/relationships/hyperlink" Target="https://www.sciencedirect.com/science/article/pii/S0264837716300060?via%3Dihub" TargetMode="External"/><Relationship Id="rId460" Type="http://schemas.openxmlformats.org/officeDocument/2006/relationships/hyperlink" Target="https://onlinelibrary.wiley.com/doi/full/10.1111/j.1365-2699.2004.01062.x"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d-nb.info/104264179X/34" TargetMode="External"/><Relationship Id="rId1311" Type="http://schemas.openxmlformats.org/officeDocument/2006/relationships/hyperlink" Target="https://www.mdpi.com/2571-6255/1/1/4/htm"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8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00"/>
  <sheetViews>
    <sheetView tabSelected="1" zoomScale="55" zoomScaleNormal="55" workbookViewId="0">
      <pane ySplit="1" topLeftCell="A523" activePane="bottomLeft" state="frozen"/>
      <selection activeCell="I1" sqref="I1"/>
      <selection pane="bottomLeft" activeCell="B530" sqref="B530"/>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5" t="s">
        <v>2259</v>
      </c>
      <c r="B1" s="15" t="s">
        <v>2</v>
      </c>
      <c r="C1" s="15" t="s">
        <v>2260</v>
      </c>
      <c r="D1" s="15" t="s">
        <v>95</v>
      </c>
      <c r="E1" s="15" t="s">
        <v>2349</v>
      </c>
      <c r="F1" s="15" t="s">
        <v>3</v>
      </c>
      <c r="G1" s="15" t="s">
        <v>438</v>
      </c>
      <c r="H1" s="15" t="s">
        <v>58</v>
      </c>
      <c r="I1" s="67" t="s">
        <v>4</v>
      </c>
      <c r="J1" s="67" t="s">
        <v>5</v>
      </c>
      <c r="K1" s="67" t="s">
        <v>2431</v>
      </c>
      <c r="L1" s="15" t="s">
        <v>151</v>
      </c>
      <c r="M1" s="15" t="s">
        <v>928</v>
      </c>
      <c r="N1" s="15" t="s">
        <v>180</v>
      </c>
      <c r="O1" s="27" t="s">
        <v>65</v>
      </c>
      <c r="P1" s="27" t="s">
        <v>5180</v>
      </c>
      <c r="Q1" s="64" t="s">
        <v>0</v>
      </c>
    </row>
    <row r="2" spans="1:21" ht="41.5" customHeight="1">
      <c r="A2" s="66">
        <v>1</v>
      </c>
      <c r="B2" s="7" t="s">
        <v>10</v>
      </c>
      <c r="C2" s="5" t="s">
        <v>14</v>
      </c>
      <c r="D2" s="5" t="s">
        <v>2393</v>
      </c>
      <c r="E2" s="39" t="s">
        <v>2394</v>
      </c>
      <c r="F2" s="5" t="s">
        <v>56</v>
      </c>
      <c r="G2" s="74" t="s">
        <v>2272</v>
      </c>
      <c r="H2" s="5" t="s">
        <v>57</v>
      </c>
      <c r="I2" s="25">
        <v>-20.100000000000001</v>
      </c>
      <c r="J2" s="25">
        <v>46.89</v>
      </c>
      <c r="K2" s="25">
        <v>18</v>
      </c>
      <c r="L2" s="5">
        <v>1998</v>
      </c>
      <c r="M2" s="5">
        <v>1998</v>
      </c>
      <c r="N2" s="5">
        <v>97</v>
      </c>
      <c r="O2" s="5" t="s">
        <v>66</v>
      </c>
      <c r="P2" s="5" t="s">
        <v>5181</v>
      </c>
      <c r="Q2" s="5"/>
    </row>
    <row r="3" spans="1:21" ht="41.5" customHeight="1">
      <c r="A3" s="31">
        <v>1</v>
      </c>
      <c r="B3" s="37" t="s">
        <v>10</v>
      </c>
      <c r="C3" s="3" t="s">
        <v>15</v>
      </c>
      <c r="D3" s="5" t="s">
        <v>2393</v>
      </c>
      <c r="E3" s="39" t="s">
        <v>2394</v>
      </c>
      <c r="F3" s="3" t="s">
        <v>19</v>
      </c>
      <c r="G3" s="41" t="s">
        <v>2272</v>
      </c>
      <c r="H3" s="3" t="s">
        <v>57</v>
      </c>
      <c r="I3" s="21">
        <v>-18.61</v>
      </c>
      <c r="J3" s="21">
        <v>45.83</v>
      </c>
      <c r="K3" s="21" t="s">
        <v>2272</v>
      </c>
      <c r="L3" s="3">
        <v>1998</v>
      </c>
      <c r="M3" s="3">
        <v>1998</v>
      </c>
      <c r="N3" s="3">
        <v>20</v>
      </c>
      <c r="O3" s="3" t="s">
        <v>66</v>
      </c>
      <c r="P3" s="5" t="s">
        <v>5181</v>
      </c>
      <c r="Q3" s="3"/>
    </row>
    <row r="4" spans="1:21" ht="41.5" customHeight="1">
      <c r="A4" s="31">
        <v>1</v>
      </c>
      <c r="B4" s="37" t="s">
        <v>10</v>
      </c>
      <c r="C4" s="3" t="s">
        <v>16</v>
      </c>
      <c r="D4" s="5" t="s">
        <v>2393</v>
      </c>
      <c r="E4" s="39" t="s">
        <v>2394</v>
      </c>
      <c r="F4" s="3" t="s">
        <v>20</v>
      </c>
      <c r="G4" s="41" t="s">
        <v>2272</v>
      </c>
      <c r="H4" s="3" t="s">
        <v>57</v>
      </c>
      <c r="I4" s="21">
        <v>-19.39</v>
      </c>
      <c r="J4" s="21">
        <v>47.04</v>
      </c>
      <c r="K4" s="21" t="s">
        <v>2272</v>
      </c>
      <c r="L4" s="3">
        <v>1998</v>
      </c>
      <c r="M4" s="3">
        <v>1998</v>
      </c>
      <c r="N4" s="3">
        <v>116</v>
      </c>
      <c r="O4" s="3" t="s">
        <v>66</v>
      </c>
      <c r="P4" s="5" t="s">
        <v>5181</v>
      </c>
      <c r="Q4" s="3"/>
    </row>
    <row r="5" spans="1:21" ht="41.5" customHeight="1">
      <c r="A5" s="31">
        <v>1</v>
      </c>
      <c r="B5" s="37" t="s">
        <v>10</v>
      </c>
      <c r="C5" s="3" t="s">
        <v>17</v>
      </c>
      <c r="D5" s="5" t="s">
        <v>2393</v>
      </c>
      <c r="E5" s="39" t="s">
        <v>2394</v>
      </c>
      <c r="F5" s="3" t="s">
        <v>21</v>
      </c>
      <c r="G5" s="41" t="s">
        <v>2272</v>
      </c>
      <c r="H5" s="3" t="s">
        <v>57</v>
      </c>
      <c r="I5" s="21">
        <v>-20.54</v>
      </c>
      <c r="J5" s="21">
        <v>46.65</v>
      </c>
      <c r="K5" s="21" t="s">
        <v>2272</v>
      </c>
      <c r="L5" s="3">
        <v>1998</v>
      </c>
      <c r="M5" s="3">
        <v>1998</v>
      </c>
      <c r="N5" s="3">
        <v>200</v>
      </c>
      <c r="O5" s="3" t="s">
        <v>66</v>
      </c>
      <c r="P5" s="5" t="s">
        <v>5181</v>
      </c>
      <c r="Q5" s="3"/>
    </row>
    <row r="6" spans="1:21" ht="41.5" customHeight="1">
      <c r="A6" s="31">
        <v>1</v>
      </c>
      <c r="B6" s="37" t="s">
        <v>10</v>
      </c>
      <c r="C6" s="3" t="s">
        <v>18</v>
      </c>
      <c r="D6" s="5" t="s">
        <v>2393</v>
      </c>
      <c r="E6" s="39" t="s">
        <v>2394</v>
      </c>
      <c r="F6" s="3" t="s">
        <v>22</v>
      </c>
      <c r="G6" s="41" t="s">
        <v>2272</v>
      </c>
      <c r="H6" s="3" t="s">
        <v>57</v>
      </c>
      <c r="I6" s="21">
        <v>-22.11</v>
      </c>
      <c r="J6" s="21">
        <v>46.9</v>
      </c>
      <c r="K6" s="21" t="s">
        <v>2272</v>
      </c>
      <c r="L6" s="3">
        <v>1998</v>
      </c>
      <c r="M6" s="3">
        <v>1998</v>
      </c>
      <c r="N6" s="3">
        <v>28</v>
      </c>
      <c r="O6" s="3" t="s">
        <v>66</v>
      </c>
      <c r="P6" s="5" t="s">
        <v>5181</v>
      </c>
      <c r="Q6" s="3"/>
    </row>
    <row r="7" spans="1:21" ht="41.5" customHeight="1">
      <c r="A7" s="91">
        <v>1</v>
      </c>
      <c r="B7" s="92" t="s">
        <v>10</v>
      </c>
      <c r="C7" s="93" t="s">
        <v>70</v>
      </c>
      <c r="D7" s="74" t="s">
        <v>2393</v>
      </c>
      <c r="E7" s="96" t="s">
        <v>2394</v>
      </c>
      <c r="F7" s="75" t="s">
        <v>78</v>
      </c>
      <c r="G7" s="75" t="s">
        <v>2272</v>
      </c>
      <c r="H7" s="93" t="s">
        <v>71</v>
      </c>
      <c r="I7" s="94" t="s">
        <v>1</v>
      </c>
      <c r="J7" s="94" t="s">
        <v>1</v>
      </c>
      <c r="K7" s="94" t="s">
        <v>2272</v>
      </c>
      <c r="L7" s="93">
        <v>1998</v>
      </c>
      <c r="M7" s="93">
        <v>1998</v>
      </c>
      <c r="N7" s="93" t="s">
        <v>2272</v>
      </c>
      <c r="O7" s="93" t="s">
        <v>66</v>
      </c>
      <c r="P7" s="5" t="s">
        <v>5181</v>
      </c>
      <c r="Q7" s="93"/>
      <c r="U7" s="14"/>
    </row>
    <row r="8" spans="1:21" ht="41.5" customHeight="1">
      <c r="A8" s="31">
        <v>2</v>
      </c>
      <c r="B8" s="37" t="s">
        <v>79</v>
      </c>
      <c r="C8" s="31" t="s">
        <v>80</v>
      </c>
      <c r="D8" s="31" t="s">
        <v>2393</v>
      </c>
      <c r="E8" s="28" t="s">
        <v>2395</v>
      </c>
      <c r="F8" s="3" t="s">
        <v>85</v>
      </c>
      <c r="G8" s="3" t="s">
        <v>85</v>
      </c>
      <c r="H8" s="3" t="s">
        <v>86</v>
      </c>
      <c r="I8" s="21">
        <v>30.7741833715288</v>
      </c>
      <c r="J8" s="21">
        <v>75.160195001733896</v>
      </c>
      <c r="K8" s="21" t="s">
        <v>2272</v>
      </c>
      <c r="L8" s="3">
        <v>2016</v>
      </c>
      <c r="M8" s="3">
        <v>2016</v>
      </c>
      <c r="N8" s="3" t="s">
        <v>2272</v>
      </c>
      <c r="O8" s="3" t="s">
        <v>66</v>
      </c>
      <c r="P8" s="5" t="s">
        <v>5181</v>
      </c>
      <c r="Q8" s="3" t="s">
        <v>2258</v>
      </c>
      <c r="U8" s="14"/>
    </row>
    <row r="9" spans="1:21" ht="41.5" customHeight="1">
      <c r="A9" s="31">
        <v>2</v>
      </c>
      <c r="B9" s="37" t="s">
        <v>79</v>
      </c>
      <c r="C9" s="31" t="s">
        <v>219</v>
      </c>
      <c r="D9" s="31" t="s">
        <v>2393</v>
      </c>
      <c r="E9" s="28" t="s">
        <v>2395</v>
      </c>
      <c r="F9" s="3" t="s">
        <v>189</v>
      </c>
      <c r="G9" s="3" t="s">
        <v>85</v>
      </c>
      <c r="H9" s="3" t="s">
        <v>86</v>
      </c>
      <c r="I9" s="21">
        <v>31.806079678960199</v>
      </c>
      <c r="J9" s="21">
        <v>74.857274427412904</v>
      </c>
      <c r="K9" s="21">
        <v>0.57692310000000002</v>
      </c>
      <c r="L9" s="3">
        <v>2016</v>
      </c>
      <c r="M9" s="3">
        <v>2016</v>
      </c>
      <c r="N9" s="3" t="s">
        <v>2272</v>
      </c>
      <c r="O9" s="3" t="s">
        <v>66</v>
      </c>
      <c r="P9" s="5" t="s">
        <v>5181</v>
      </c>
      <c r="Q9" s="3"/>
      <c r="U9" s="14"/>
    </row>
    <row r="10" spans="1:21" ht="41.5" customHeight="1">
      <c r="A10" s="31">
        <v>2</v>
      </c>
      <c r="B10" s="37" t="s">
        <v>79</v>
      </c>
      <c r="C10" s="31" t="s">
        <v>220</v>
      </c>
      <c r="D10" s="31" t="s">
        <v>2393</v>
      </c>
      <c r="E10" s="28" t="s">
        <v>2395</v>
      </c>
      <c r="F10" s="3" t="s">
        <v>190</v>
      </c>
      <c r="G10" s="3" t="s">
        <v>85</v>
      </c>
      <c r="H10" s="3" t="s">
        <v>86</v>
      </c>
      <c r="I10" s="21">
        <v>31.773750763335801</v>
      </c>
      <c r="J10" s="21">
        <v>74.825405747756193</v>
      </c>
      <c r="K10" s="21">
        <v>0.74291499999999999</v>
      </c>
      <c r="L10" s="3">
        <v>2016</v>
      </c>
      <c r="M10" s="3">
        <v>2016</v>
      </c>
      <c r="N10" s="3" t="s">
        <v>2272</v>
      </c>
      <c r="O10" s="3" t="s">
        <v>66</v>
      </c>
      <c r="P10" s="5" t="s">
        <v>5181</v>
      </c>
      <c r="Q10" s="3"/>
      <c r="U10" s="14"/>
    </row>
    <row r="11" spans="1:21" ht="41.5" customHeight="1">
      <c r="A11" s="31">
        <v>2</v>
      </c>
      <c r="B11" s="37" t="s">
        <v>79</v>
      </c>
      <c r="C11" s="31" t="s">
        <v>221</v>
      </c>
      <c r="D11" s="31" t="s">
        <v>2393</v>
      </c>
      <c r="E11" s="28" t="s">
        <v>2395</v>
      </c>
      <c r="F11" s="3" t="s">
        <v>191</v>
      </c>
      <c r="G11" s="3" t="s">
        <v>85</v>
      </c>
      <c r="H11" s="3" t="s">
        <v>86</v>
      </c>
      <c r="I11" s="21">
        <v>31.7706358661579</v>
      </c>
      <c r="J11" s="21">
        <v>75.010733646819205</v>
      </c>
      <c r="K11" s="21">
        <v>0.47823890000000002</v>
      </c>
      <c r="L11" s="3">
        <v>2016</v>
      </c>
      <c r="M11" s="3">
        <v>2016</v>
      </c>
      <c r="N11" s="3" t="s">
        <v>2272</v>
      </c>
      <c r="O11" s="3" t="s">
        <v>66</v>
      </c>
      <c r="P11" s="5" t="s">
        <v>5181</v>
      </c>
      <c r="Q11" s="3"/>
      <c r="U11" s="14"/>
    </row>
    <row r="12" spans="1:21" ht="41.5" customHeight="1">
      <c r="A12" s="31">
        <v>2</v>
      </c>
      <c r="B12" s="37" t="s">
        <v>79</v>
      </c>
      <c r="C12" s="31" t="s">
        <v>222</v>
      </c>
      <c r="D12" s="31" t="s">
        <v>2393</v>
      </c>
      <c r="E12" s="28" t="s">
        <v>2395</v>
      </c>
      <c r="F12" s="3" t="s">
        <v>192</v>
      </c>
      <c r="G12" s="3" t="s">
        <v>85</v>
      </c>
      <c r="H12" s="3" t="s">
        <v>86</v>
      </c>
      <c r="I12" s="21">
        <v>31.743130427735998</v>
      </c>
      <c r="J12" s="21">
        <v>75.085087608463198</v>
      </c>
      <c r="K12" s="21">
        <v>0.59979760000000004</v>
      </c>
      <c r="L12" s="3">
        <v>2016</v>
      </c>
      <c r="M12" s="3">
        <v>2016</v>
      </c>
      <c r="N12" s="3" t="s">
        <v>2272</v>
      </c>
      <c r="O12" s="3" t="s">
        <v>66</v>
      </c>
      <c r="P12" s="5" t="s">
        <v>5181</v>
      </c>
      <c r="Q12" s="3"/>
      <c r="U12" s="14"/>
    </row>
    <row r="13" spans="1:21" ht="41.5" customHeight="1">
      <c r="A13" s="31">
        <v>2</v>
      </c>
      <c r="B13" s="37" t="s">
        <v>79</v>
      </c>
      <c r="C13" s="31" t="s">
        <v>223</v>
      </c>
      <c r="D13" s="31" t="s">
        <v>2393</v>
      </c>
      <c r="E13" s="28" t="s">
        <v>2395</v>
      </c>
      <c r="F13" s="3" t="s">
        <v>193</v>
      </c>
      <c r="G13" s="3" t="s">
        <v>85</v>
      </c>
      <c r="H13" s="3" t="s">
        <v>86</v>
      </c>
      <c r="I13" s="21">
        <v>31.6895568868383</v>
      </c>
      <c r="J13" s="21">
        <v>74.946363875020296</v>
      </c>
      <c r="K13" s="21">
        <v>0.78643719999999995</v>
      </c>
      <c r="L13" s="3">
        <v>2016</v>
      </c>
      <c r="M13" s="3">
        <v>2016</v>
      </c>
      <c r="N13" s="3" t="s">
        <v>2272</v>
      </c>
      <c r="O13" s="3" t="s">
        <v>66</v>
      </c>
      <c r="P13" s="5" t="s">
        <v>5181</v>
      </c>
      <c r="Q13" s="3"/>
      <c r="U13" s="14"/>
    </row>
    <row r="14" spans="1:21" ht="41.5" customHeight="1">
      <c r="A14" s="31">
        <v>2</v>
      </c>
      <c r="B14" s="37" t="s">
        <v>79</v>
      </c>
      <c r="C14" s="31" t="s">
        <v>255</v>
      </c>
      <c r="D14" s="31" t="s">
        <v>2393</v>
      </c>
      <c r="E14" s="28" t="s">
        <v>2395</v>
      </c>
      <c r="F14" s="3" t="s">
        <v>194</v>
      </c>
      <c r="G14" s="3" t="s">
        <v>85</v>
      </c>
      <c r="H14" s="3" t="s">
        <v>86</v>
      </c>
      <c r="I14" s="21">
        <v>31.652058720007201</v>
      </c>
      <c r="J14" s="21">
        <v>75.016924434195204</v>
      </c>
      <c r="K14" s="21">
        <v>0.61336029999999997</v>
      </c>
      <c r="L14" s="3">
        <v>2016</v>
      </c>
      <c r="M14" s="3">
        <v>2016</v>
      </c>
      <c r="N14" s="3" t="s">
        <v>2272</v>
      </c>
      <c r="O14" s="3" t="s">
        <v>66</v>
      </c>
      <c r="P14" s="5" t="s">
        <v>5181</v>
      </c>
      <c r="Q14" s="3"/>
      <c r="U14" s="14"/>
    </row>
    <row r="15" spans="1:21" ht="41.5" customHeight="1">
      <c r="A15" s="31">
        <v>2</v>
      </c>
      <c r="B15" s="37" t="s">
        <v>79</v>
      </c>
      <c r="C15" s="31" t="s">
        <v>256</v>
      </c>
      <c r="D15" s="31" t="s">
        <v>2393</v>
      </c>
      <c r="E15" s="28" t="s">
        <v>2395</v>
      </c>
      <c r="F15" s="3" t="s">
        <v>195</v>
      </c>
      <c r="G15" s="3" t="s">
        <v>85</v>
      </c>
      <c r="H15" s="3" t="s">
        <v>86</v>
      </c>
      <c r="I15" s="21">
        <v>31.626553913577801</v>
      </c>
      <c r="J15" s="21">
        <v>74.970795330643099</v>
      </c>
      <c r="K15" s="21">
        <v>0.60576920000000001</v>
      </c>
      <c r="L15" s="3">
        <v>2016</v>
      </c>
      <c r="M15" s="3">
        <v>2016</v>
      </c>
      <c r="N15" s="3" t="s">
        <v>2272</v>
      </c>
      <c r="O15" s="3" t="s">
        <v>66</v>
      </c>
      <c r="P15" s="5" t="s">
        <v>5181</v>
      </c>
      <c r="Q15" s="3"/>
      <c r="U15" s="14"/>
    </row>
    <row r="16" spans="1:21" ht="41.5" customHeight="1">
      <c r="A16" s="31">
        <v>2</v>
      </c>
      <c r="B16" s="37" t="s">
        <v>79</v>
      </c>
      <c r="C16" s="31" t="s">
        <v>257</v>
      </c>
      <c r="D16" s="31" t="s">
        <v>2393</v>
      </c>
      <c r="E16" s="28" t="s">
        <v>2395</v>
      </c>
      <c r="F16" s="3" t="s">
        <v>196</v>
      </c>
      <c r="G16" s="3" t="s">
        <v>85</v>
      </c>
      <c r="H16" s="3" t="s">
        <v>86</v>
      </c>
      <c r="I16" s="21">
        <v>31.6139956753082</v>
      </c>
      <c r="J16" s="21">
        <v>75.114598950032502</v>
      </c>
      <c r="K16" s="21">
        <v>0.444332</v>
      </c>
      <c r="L16" s="3">
        <v>2016</v>
      </c>
      <c r="M16" s="3">
        <v>2016</v>
      </c>
      <c r="N16" s="3" t="s">
        <v>2272</v>
      </c>
      <c r="O16" s="3" t="s">
        <v>66</v>
      </c>
      <c r="P16" s="5" t="s">
        <v>5181</v>
      </c>
      <c r="Q16" s="3"/>
      <c r="U16" s="14"/>
    </row>
    <row r="17" spans="1:21" ht="41.5" customHeight="1">
      <c r="A17" s="31">
        <v>2</v>
      </c>
      <c r="B17" s="37" t="s">
        <v>79</v>
      </c>
      <c r="C17" s="31" t="s">
        <v>258</v>
      </c>
      <c r="D17" s="31" t="s">
        <v>2393</v>
      </c>
      <c r="E17" s="28" t="s">
        <v>2395</v>
      </c>
      <c r="F17" s="3" t="s">
        <v>197</v>
      </c>
      <c r="G17" s="3" t="s">
        <v>85</v>
      </c>
      <c r="H17" s="3" t="s">
        <v>86</v>
      </c>
      <c r="I17" s="21">
        <v>31.596091775009999</v>
      </c>
      <c r="J17" s="21">
        <v>75.026377738499207</v>
      </c>
      <c r="K17" s="21">
        <v>0.68502019999999997</v>
      </c>
      <c r="L17" s="3">
        <v>2016</v>
      </c>
      <c r="M17" s="3">
        <v>2016</v>
      </c>
      <c r="N17" s="3" t="s">
        <v>2272</v>
      </c>
      <c r="O17" s="3" t="s">
        <v>66</v>
      </c>
      <c r="P17" s="5" t="s">
        <v>5181</v>
      </c>
      <c r="Q17" s="3"/>
      <c r="U17" s="14"/>
    </row>
    <row r="18" spans="1:21" ht="41.5" customHeight="1">
      <c r="A18" s="31">
        <v>2</v>
      </c>
      <c r="B18" s="37" t="s">
        <v>79</v>
      </c>
      <c r="C18" s="31" t="s">
        <v>259</v>
      </c>
      <c r="D18" s="31" t="s">
        <v>2393</v>
      </c>
      <c r="E18" s="28" t="s">
        <v>2395</v>
      </c>
      <c r="F18" s="3" t="s">
        <v>198</v>
      </c>
      <c r="G18" s="3" t="s">
        <v>85</v>
      </c>
      <c r="H18" s="3" t="s">
        <v>86</v>
      </c>
      <c r="I18" s="21">
        <v>31.584350987828799</v>
      </c>
      <c r="J18" s="21">
        <v>75.105410372997198</v>
      </c>
      <c r="K18" s="21">
        <v>1.1295550000000001</v>
      </c>
      <c r="L18" s="3">
        <v>2016</v>
      </c>
      <c r="M18" s="3">
        <v>2016</v>
      </c>
      <c r="N18" s="3" t="s">
        <v>2272</v>
      </c>
      <c r="O18" s="3" t="s">
        <v>66</v>
      </c>
      <c r="P18" s="5" t="s">
        <v>5181</v>
      </c>
      <c r="Q18" s="3"/>
      <c r="U18" s="14"/>
    </row>
    <row r="19" spans="1:21" ht="41.5" customHeight="1">
      <c r="A19" s="31">
        <v>2</v>
      </c>
      <c r="B19" s="37" t="s">
        <v>79</v>
      </c>
      <c r="C19" s="31" t="s">
        <v>260</v>
      </c>
      <c r="D19" s="31" t="s">
        <v>2393</v>
      </c>
      <c r="E19" s="28" t="s">
        <v>2395</v>
      </c>
      <c r="F19" s="3" t="s">
        <v>199</v>
      </c>
      <c r="G19" s="3" t="s">
        <v>85</v>
      </c>
      <c r="H19" s="3" t="s">
        <v>86</v>
      </c>
      <c r="I19" s="21">
        <v>30.421134700887801</v>
      </c>
      <c r="J19" s="21">
        <v>74.661359121356199</v>
      </c>
      <c r="K19" s="21">
        <v>1.234818</v>
      </c>
      <c r="L19" s="3">
        <v>2016</v>
      </c>
      <c r="M19" s="3">
        <v>2016</v>
      </c>
      <c r="N19" s="3" t="s">
        <v>2272</v>
      </c>
      <c r="O19" s="3" t="s">
        <v>66</v>
      </c>
      <c r="P19" s="5" t="s">
        <v>5181</v>
      </c>
      <c r="Q19" s="3"/>
      <c r="U19" s="14"/>
    </row>
    <row r="20" spans="1:21" ht="41.5" customHeight="1">
      <c r="A20" s="31">
        <v>2</v>
      </c>
      <c r="B20" s="37" t="s">
        <v>79</v>
      </c>
      <c r="C20" s="31" t="s">
        <v>261</v>
      </c>
      <c r="D20" s="31" t="s">
        <v>2393</v>
      </c>
      <c r="E20" s="28" t="s">
        <v>2395</v>
      </c>
      <c r="F20" s="3" t="s">
        <v>200</v>
      </c>
      <c r="G20" s="3" t="s">
        <v>85</v>
      </c>
      <c r="H20" s="3" t="s">
        <v>86</v>
      </c>
      <c r="I20" s="21">
        <v>30.419580500828399</v>
      </c>
      <c r="J20" s="21">
        <v>75.971216213258501</v>
      </c>
      <c r="K20" s="21">
        <v>0.72874490000000003</v>
      </c>
      <c r="L20" s="3">
        <v>2016</v>
      </c>
      <c r="M20" s="3">
        <v>2016</v>
      </c>
      <c r="N20" s="3" t="s">
        <v>2272</v>
      </c>
      <c r="O20" s="3" t="s">
        <v>66</v>
      </c>
      <c r="P20" s="5" t="s">
        <v>5181</v>
      </c>
      <c r="Q20" s="3"/>
      <c r="U20" s="14"/>
    </row>
    <row r="21" spans="1:21" ht="41.5" customHeight="1">
      <c r="A21" s="31">
        <v>2</v>
      </c>
      <c r="B21" s="37" t="s">
        <v>79</v>
      </c>
      <c r="C21" s="31" t="s">
        <v>262</v>
      </c>
      <c r="D21" s="31" t="s">
        <v>2393</v>
      </c>
      <c r="E21" s="28" t="s">
        <v>2395</v>
      </c>
      <c r="F21" s="3" t="s">
        <v>201</v>
      </c>
      <c r="G21" s="3" t="s">
        <v>85</v>
      </c>
      <c r="H21" s="3" t="s">
        <v>86</v>
      </c>
      <c r="I21" s="21">
        <v>30.381901640579301</v>
      </c>
      <c r="J21" s="21">
        <v>75.767988647637907</v>
      </c>
      <c r="K21" s="21">
        <v>0.71255060000000003</v>
      </c>
      <c r="L21" s="3">
        <v>2016</v>
      </c>
      <c r="M21" s="3">
        <v>2016</v>
      </c>
      <c r="N21" s="3" t="s">
        <v>2272</v>
      </c>
      <c r="O21" s="3" t="s">
        <v>66</v>
      </c>
      <c r="P21" s="5" t="s">
        <v>5181</v>
      </c>
      <c r="Q21" s="3"/>
      <c r="U21" s="14"/>
    </row>
    <row r="22" spans="1:21" ht="41.5" customHeight="1">
      <c r="A22" s="31">
        <v>2</v>
      </c>
      <c r="B22" s="37" t="s">
        <v>79</v>
      </c>
      <c r="C22" s="31" t="s">
        <v>263</v>
      </c>
      <c r="D22" s="31" t="s">
        <v>2393</v>
      </c>
      <c r="E22" s="28" t="s">
        <v>2395</v>
      </c>
      <c r="F22" s="3" t="s">
        <v>202</v>
      </c>
      <c r="G22" s="3" t="s">
        <v>85</v>
      </c>
      <c r="H22" s="3" t="s">
        <v>86</v>
      </c>
      <c r="I22" s="21">
        <v>30.357994178233799</v>
      </c>
      <c r="J22" s="21">
        <v>74.817006318894499</v>
      </c>
      <c r="K22" s="21">
        <v>0.82995949999999996</v>
      </c>
      <c r="L22" s="3">
        <v>2016</v>
      </c>
      <c r="M22" s="3">
        <v>2016</v>
      </c>
      <c r="N22" s="3" t="s">
        <v>2272</v>
      </c>
      <c r="O22" s="3" t="s">
        <v>66</v>
      </c>
      <c r="P22" s="5" t="s">
        <v>5181</v>
      </c>
      <c r="Q22" s="3"/>
      <c r="U22" s="14"/>
    </row>
    <row r="23" spans="1:21" ht="41.5" customHeight="1">
      <c r="A23" s="31">
        <v>2</v>
      </c>
      <c r="B23" s="37" t="s">
        <v>79</v>
      </c>
      <c r="C23" s="31" t="s">
        <v>264</v>
      </c>
      <c r="D23" s="31" t="s">
        <v>2393</v>
      </c>
      <c r="E23" s="28" t="s">
        <v>2395</v>
      </c>
      <c r="F23" s="3" t="s">
        <v>203</v>
      </c>
      <c r="G23" s="3" t="s">
        <v>85</v>
      </c>
      <c r="H23" s="3" t="s">
        <v>86</v>
      </c>
      <c r="I23" s="21">
        <v>30.3480102934614</v>
      </c>
      <c r="J23" s="21">
        <v>75.933439860555794</v>
      </c>
      <c r="K23" s="21">
        <v>0.73157890000000003</v>
      </c>
      <c r="L23" s="3">
        <v>2016</v>
      </c>
      <c r="M23" s="3">
        <v>2016</v>
      </c>
      <c r="N23" s="3" t="s">
        <v>2272</v>
      </c>
      <c r="O23" s="3" t="s">
        <v>66</v>
      </c>
      <c r="P23" s="5" t="s">
        <v>5181</v>
      </c>
      <c r="Q23" s="3"/>
      <c r="U23" s="14"/>
    </row>
    <row r="24" spans="1:21" ht="41.5" customHeight="1">
      <c r="A24" s="31">
        <v>2</v>
      </c>
      <c r="B24" s="37" t="s">
        <v>79</v>
      </c>
      <c r="C24" s="31" t="s">
        <v>265</v>
      </c>
      <c r="D24" s="31" t="s">
        <v>2393</v>
      </c>
      <c r="E24" s="28" t="s">
        <v>2395</v>
      </c>
      <c r="F24" s="3" t="s">
        <v>204</v>
      </c>
      <c r="G24" s="3" t="s">
        <v>85</v>
      </c>
      <c r="H24" s="3" t="s">
        <v>86</v>
      </c>
      <c r="I24" s="21">
        <v>30.3342971040794</v>
      </c>
      <c r="J24" s="21">
        <v>74.674783908587202</v>
      </c>
      <c r="K24" s="21">
        <v>0.57287449999999995</v>
      </c>
      <c r="L24" s="3">
        <v>2016</v>
      </c>
      <c r="M24" s="3">
        <v>2016</v>
      </c>
      <c r="N24" s="3" t="s">
        <v>2272</v>
      </c>
      <c r="O24" s="3" t="s">
        <v>66</v>
      </c>
      <c r="P24" s="5" t="s">
        <v>5181</v>
      </c>
      <c r="Q24" s="3"/>
      <c r="U24" s="14"/>
    </row>
    <row r="25" spans="1:21" ht="41.5" customHeight="1">
      <c r="A25" s="31">
        <v>2</v>
      </c>
      <c r="B25" s="37" t="s">
        <v>79</v>
      </c>
      <c r="C25" s="31" t="s">
        <v>266</v>
      </c>
      <c r="D25" s="31" t="s">
        <v>2393</v>
      </c>
      <c r="E25" s="28" t="s">
        <v>2395</v>
      </c>
      <c r="F25" s="3" t="s">
        <v>205</v>
      </c>
      <c r="G25" s="3" t="s">
        <v>85</v>
      </c>
      <c r="H25" s="3" t="s">
        <v>86</v>
      </c>
      <c r="I25" s="21">
        <v>30.332088118433202</v>
      </c>
      <c r="J25" s="21">
        <v>75.684613092155601</v>
      </c>
      <c r="K25" s="21">
        <v>0.68380569999999996</v>
      </c>
      <c r="L25" s="3">
        <v>2016</v>
      </c>
      <c r="M25" s="3">
        <v>2016</v>
      </c>
      <c r="N25" s="3" t="s">
        <v>2272</v>
      </c>
      <c r="O25" s="3" t="s">
        <v>66</v>
      </c>
      <c r="P25" s="5" t="s">
        <v>5181</v>
      </c>
      <c r="Q25" s="3"/>
      <c r="U25" s="14"/>
    </row>
    <row r="26" spans="1:21" ht="41.5" customHeight="1">
      <c r="A26" s="31">
        <v>2</v>
      </c>
      <c r="B26" s="37" t="s">
        <v>79</v>
      </c>
      <c r="C26" s="31" t="s">
        <v>267</v>
      </c>
      <c r="D26" s="31" t="s">
        <v>2393</v>
      </c>
      <c r="E26" s="28" t="s">
        <v>2395</v>
      </c>
      <c r="F26" s="3" t="s">
        <v>206</v>
      </c>
      <c r="G26" s="3" t="s">
        <v>85</v>
      </c>
      <c r="H26" s="3" t="s">
        <v>86</v>
      </c>
      <c r="I26" s="21">
        <v>30.333561955300901</v>
      </c>
      <c r="J26" s="21">
        <v>74.530787163503405</v>
      </c>
      <c r="K26" s="21">
        <v>1.016194</v>
      </c>
      <c r="L26" s="3">
        <v>2016</v>
      </c>
      <c r="M26" s="3">
        <v>2016</v>
      </c>
      <c r="N26" s="3" t="s">
        <v>2272</v>
      </c>
      <c r="O26" s="3" t="s">
        <v>66</v>
      </c>
      <c r="P26" s="5" t="s">
        <v>5181</v>
      </c>
      <c r="Q26" s="3"/>
      <c r="U26" s="14"/>
    </row>
    <row r="27" spans="1:21" ht="41.5" customHeight="1">
      <c r="A27" s="31">
        <v>2</v>
      </c>
      <c r="B27" s="37" t="s">
        <v>79</v>
      </c>
      <c r="C27" s="31" t="s">
        <v>268</v>
      </c>
      <c r="D27" s="31" t="s">
        <v>2393</v>
      </c>
      <c r="E27" s="28" t="s">
        <v>2395</v>
      </c>
      <c r="F27" s="3" t="s">
        <v>207</v>
      </c>
      <c r="G27" s="3" t="s">
        <v>85</v>
      </c>
      <c r="H27" s="3" t="s">
        <v>86</v>
      </c>
      <c r="I27" s="21">
        <v>30.310836140775098</v>
      </c>
      <c r="J27" s="21">
        <v>75.820666771390094</v>
      </c>
      <c r="K27" s="21">
        <v>0.70404860000000002</v>
      </c>
      <c r="L27" s="3">
        <v>2016</v>
      </c>
      <c r="M27" s="3">
        <v>2016</v>
      </c>
      <c r="N27" s="3" t="s">
        <v>2272</v>
      </c>
      <c r="O27" s="3" t="s">
        <v>66</v>
      </c>
      <c r="P27" s="5" t="s">
        <v>5181</v>
      </c>
      <c r="Q27" s="3"/>
      <c r="U27" s="14"/>
    </row>
    <row r="28" spans="1:21" ht="41.5" customHeight="1">
      <c r="A28" s="31">
        <v>2</v>
      </c>
      <c r="B28" s="37" t="s">
        <v>79</v>
      </c>
      <c r="C28" s="31" t="s">
        <v>269</v>
      </c>
      <c r="D28" s="31" t="s">
        <v>2393</v>
      </c>
      <c r="E28" s="28" t="s">
        <v>2395</v>
      </c>
      <c r="F28" s="3" t="s">
        <v>208</v>
      </c>
      <c r="G28" s="3" t="s">
        <v>85</v>
      </c>
      <c r="H28" s="3" t="s">
        <v>86</v>
      </c>
      <c r="I28" s="21">
        <v>30.303236710750301</v>
      </c>
      <c r="J28" s="21">
        <v>74.455343292657204</v>
      </c>
      <c r="K28" s="21">
        <v>1.7069840000000001</v>
      </c>
      <c r="L28" s="3">
        <v>2016</v>
      </c>
      <c r="M28" s="3">
        <v>2016</v>
      </c>
      <c r="N28" s="3" t="s">
        <v>2272</v>
      </c>
      <c r="O28" s="3" t="s">
        <v>66</v>
      </c>
      <c r="P28" s="5" t="s">
        <v>5181</v>
      </c>
      <c r="Q28" s="3"/>
      <c r="U28" s="14"/>
    </row>
    <row r="29" spans="1:21" ht="41.5" customHeight="1">
      <c r="A29" s="31">
        <v>2</v>
      </c>
      <c r="B29" s="37" t="s">
        <v>79</v>
      </c>
      <c r="C29" s="31" t="s">
        <v>270</v>
      </c>
      <c r="D29" s="31" t="s">
        <v>2393</v>
      </c>
      <c r="E29" s="28" t="s">
        <v>2395</v>
      </c>
      <c r="F29" s="3" t="s">
        <v>209</v>
      </c>
      <c r="G29" s="3" t="s">
        <v>85</v>
      </c>
      <c r="H29" s="3" t="s">
        <v>86</v>
      </c>
      <c r="I29" s="21">
        <v>30.267181957802801</v>
      </c>
      <c r="J29" s="21">
        <v>74.692416639093594</v>
      </c>
      <c r="K29" s="21">
        <v>0.91194330000000001</v>
      </c>
      <c r="L29" s="3">
        <v>2016</v>
      </c>
      <c r="M29" s="3">
        <v>2016</v>
      </c>
      <c r="N29" s="3" t="s">
        <v>2272</v>
      </c>
      <c r="O29" s="3" t="s">
        <v>66</v>
      </c>
      <c r="P29" s="5" t="s">
        <v>5181</v>
      </c>
      <c r="Q29" s="3"/>
      <c r="U29" s="14"/>
    </row>
    <row r="30" spans="1:21" ht="41.5" customHeight="1">
      <c r="A30" s="31">
        <v>2</v>
      </c>
      <c r="B30" s="37" t="s">
        <v>79</v>
      </c>
      <c r="C30" s="31" t="s">
        <v>271</v>
      </c>
      <c r="D30" s="31" t="s">
        <v>2393</v>
      </c>
      <c r="E30" s="28" t="s">
        <v>2395</v>
      </c>
      <c r="F30" s="3" t="s">
        <v>210</v>
      </c>
      <c r="G30" s="3" t="s">
        <v>85</v>
      </c>
      <c r="H30" s="3" t="s">
        <v>86</v>
      </c>
      <c r="I30" s="21">
        <v>30.2793653671051</v>
      </c>
      <c r="J30" s="21">
        <v>74.588347301047307</v>
      </c>
      <c r="K30" s="21">
        <v>1.1619429999999999</v>
      </c>
      <c r="L30" s="3">
        <v>2016</v>
      </c>
      <c r="M30" s="3">
        <v>2016</v>
      </c>
      <c r="N30" s="3" t="s">
        <v>2272</v>
      </c>
      <c r="O30" s="3" t="s">
        <v>66</v>
      </c>
      <c r="P30" s="5" t="s">
        <v>5181</v>
      </c>
      <c r="Q30" s="3"/>
      <c r="U30" s="14"/>
    </row>
    <row r="31" spans="1:21" ht="41.5" customHeight="1">
      <c r="A31" s="31">
        <v>2</v>
      </c>
      <c r="B31" s="37" t="s">
        <v>79</v>
      </c>
      <c r="C31" s="31" t="s">
        <v>272</v>
      </c>
      <c r="D31" s="31" t="s">
        <v>2393</v>
      </c>
      <c r="E31" s="28" t="s">
        <v>2395</v>
      </c>
      <c r="F31" s="3" t="s">
        <v>211</v>
      </c>
      <c r="G31" s="3" t="s">
        <v>85</v>
      </c>
      <c r="H31" s="3" t="s">
        <v>86</v>
      </c>
      <c r="I31" s="21">
        <v>30.308972307371501</v>
      </c>
      <c r="J31" s="21">
        <v>75.975085984540002</v>
      </c>
      <c r="K31" s="21">
        <v>0.43319839999999998</v>
      </c>
      <c r="L31" s="3">
        <v>2016</v>
      </c>
      <c r="M31" s="3">
        <v>2016</v>
      </c>
      <c r="N31" s="3" t="s">
        <v>2272</v>
      </c>
      <c r="O31" s="3" t="s">
        <v>66</v>
      </c>
      <c r="P31" s="5" t="s">
        <v>5181</v>
      </c>
      <c r="Q31" s="3"/>
      <c r="U31" s="14"/>
    </row>
    <row r="32" spans="1:21" ht="41.5" customHeight="1">
      <c r="A32" s="31">
        <v>2</v>
      </c>
      <c r="B32" s="37" t="s">
        <v>79</v>
      </c>
      <c r="C32" s="31" t="s">
        <v>273</v>
      </c>
      <c r="D32" s="31" t="s">
        <v>2393</v>
      </c>
      <c r="E32" s="28" t="s">
        <v>2395</v>
      </c>
      <c r="F32" s="3" t="s">
        <v>212</v>
      </c>
      <c r="G32" s="3" t="s">
        <v>85</v>
      </c>
      <c r="H32" s="3" t="s">
        <v>86</v>
      </c>
      <c r="I32" s="21">
        <v>30.2866586000845</v>
      </c>
      <c r="J32" s="21">
        <v>75.734371331418799</v>
      </c>
      <c r="K32" s="21">
        <v>0.81174089999999999</v>
      </c>
      <c r="L32" s="3">
        <v>2016</v>
      </c>
      <c r="M32" s="3">
        <v>2016</v>
      </c>
      <c r="N32" s="3" t="s">
        <v>2272</v>
      </c>
      <c r="O32" s="3" t="s">
        <v>66</v>
      </c>
      <c r="P32" s="5" t="s">
        <v>5181</v>
      </c>
      <c r="Q32" s="3"/>
      <c r="U32" s="14"/>
    </row>
    <row r="33" spans="1:21" ht="41.5" customHeight="1">
      <c r="A33" s="31">
        <v>2</v>
      </c>
      <c r="B33" s="37" t="s">
        <v>79</v>
      </c>
      <c r="C33" s="31" t="s">
        <v>274</v>
      </c>
      <c r="D33" s="31" t="s">
        <v>2393</v>
      </c>
      <c r="E33" s="28" t="s">
        <v>2395</v>
      </c>
      <c r="F33" s="3" t="s">
        <v>213</v>
      </c>
      <c r="G33" s="3" t="s">
        <v>85</v>
      </c>
      <c r="H33" s="3" t="s">
        <v>86</v>
      </c>
      <c r="I33" s="21">
        <v>30.239434740141601</v>
      </c>
      <c r="J33" s="21">
        <v>75.754663834013598</v>
      </c>
      <c r="K33" s="21">
        <v>0.92206480000000002</v>
      </c>
      <c r="L33" s="3">
        <v>2016</v>
      </c>
      <c r="M33" s="3">
        <v>2016</v>
      </c>
      <c r="N33" s="3" t="s">
        <v>2272</v>
      </c>
      <c r="O33" s="3" t="s">
        <v>66</v>
      </c>
      <c r="P33" s="5" t="s">
        <v>5181</v>
      </c>
      <c r="Q33" s="3"/>
      <c r="U33" s="14"/>
    </row>
    <row r="34" spans="1:21" ht="41.5" customHeight="1">
      <c r="A34" s="31">
        <v>2</v>
      </c>
      <c r="B34" s="37" t="s">
        <v>79</v>
      </c>
      <c r="C34" s="31" t="s">
        <v>275</v>
      </c>
      <c r="D34" s="31" t="s">
        <v>2393</v>
      </c>
      <c r="E34" s="28" t="s">
        <v>2395</v>
      </c>
      <c r="F34" s="3" t="s">
        <v>214</v>
      </c>
      <c r="G34" s="3" t="s">
        <v>85</v>
      </c>
      <c r="H34" s="3" t="s">
        <v>86</v>
      </c>
      <c r="I34" s="21">
        <v>30.213243779885101</v>
      </c>
      <c r="J34" s="21">
        <v>75.628440281843595</v>
      </c>
      <c r="K34" s="21">
        <v>0.89068829999999999</v>
      </c>
      <c r="L34" s="3">
        <v>2016</v>
      </c>
      <c r="M34" s="3">
        <v>2016</v>
      </c>
      <c r="N34" s="3" t="s">
        <v>2272</v>
      </c>
      <c r="O34" s="3" t="s">
        <v>66</v>
      </c>
      <c r="P34" s="5" t="s">
        <v>5181</v>
      </c>
      <c r="Q34" s="3"/>
      <c r="U34" s="14"/>
    </row>
    <row r="35" spans="1:21" ht="41.5" customHeight="1">
      <c r="A35" s="31">
        <v>2</v>
      </c>
      <c r="B35" s="37" t="s">
        <v>79</v>
      </c>
      <c r="C35" s="31" t="s">
        <v>288</v>
      </c>
      <c r="D35" s="31" t="s">
        <v>2393</v>
      </c>
      <c r="E35" s="28" t="s">
        <v>2395</v>
      </c>
      <c r="F35" s="3" t="s">
        <v>215</v>
      </c>
      <c r="G35" s="3" t="s">
        <v>85</v>
      </c>
      <c r="H35" s="3" t="s">
        <v>86</v>
      </c>
      <c r="I35" s="21">
        <v>30.198490370101698</v>
      </c>
      <c r="J35" s="21">
        <v>74.744110277349904</v>
      </c>
      <c r="K35" s="21">
        <v>1.1449389999999999</v>
      </c>
      <c r="L35" s="3">
        <v>2016</v>
      </c>
      <c r="M35" s="3">
        <v>2016</v>
      </c>
      <c r="N35" s="3" t="s">
        <v>2272</v>
      </c>
      <c r="O35" s="3" t="s">
        <v>66</v>
      </c>
      <c r="P35" s="5" t="s">
        <v>5181</v>
      </c>
      <c r="Q35" s="3"/>
      <c r="U35" s="14"/>
    </row>
    <row r="36" spans="1:21" ht="41.5" customHeight="1">
      <c r="A36" s="31">
        <v>2</v>
      </c>
      <c r="B36" s="37" t="s">
        <v>79</v>
      </c>
      <c r="C36" s="31" t="s">
        <v>289</v>
      </c>
      <c r="D36" s="31" t="s">
        <v>2393</v>
      </c>
      <c r="E36" s="28" t="s">
        <v>2395</v>
      </c>
      <c r="F36" s="3" t="s">
        <v>216</v>
      </c>
      <c r="G36" s="3" t="s">
        <v>85</v>
      </c>
      <c r="H36" s="3" t="s">
        <v>86</v>
      </c>
      <c r="I36" s="21">
        <v>30.128640460784101</v>
      </c>
      <c r="J36" s="21">
        <v>74.606548409143102</v>
      </c>
      <c r="K36" s="21">
        <v>0.66700400000000004</v>
      </c>
      <c r="L36" s="3">
        <v>2016</v>
      </c>
      <c r="M36" s="3">
        <v>2016</v>
      </c>
      <c r="N36" s="3" t="s">
        <v>2272</v>
      </c>
      <c r="O36" s="3" t="s">
        <v>66</v>
      </c>
      <c r="P36" s="5" t="s">
        <v>5181</v>
      </c>
      <c r="Q36" s="3"/>
      <c r="U36" s="14"/>
    </row>
    <row r="37" spans="1:21" ht="41.5" customHeight="1">
      <c r="A37" s="31">
        <v>2</v>
      </c>
      <c r="B37" s="37" t="s">
        <v>79</v>
      </c>
      <c r="C37" s="31" t="s">
        <v>290</v>
      </c>
      <c r="D37" s="31" t="s">
        <v>2393</v>
      </c>
      <c r="E37" s="28" t="s">
        <v>2395</v>
      </c>
      <c r="F37" s="3" t="s">
        <v>217</v>
      </c>
      <c r="G37" s="3" t="s">
        <v>85</v>
      </c>
      <c r="H37" s="3" t="s">
        <v>86</v>
      </c>
      <c r="I37" s="21">
        <v>30.1304841529683</v>
      </c>
      <c r="J37" s="21">
        <v>75.645494469996393</v>
      </c>
      <c r="K37" s="21">
        <v>0.51670039999999995</v>
      </c>
      <c r="L37" s="3">
        <v>2016</v>
      </c>
      <c r="M37" s="3">
        <v>2016</v>
      </c>
      <c r="N37" s="3" t="s">
        <v>2272</v>
      </c>
      <c r="O37" s="3" t="s">
        <v>66</v>
      </c>
      <c r="P37" s="5" t="s">
        <v>5181</v>
      </c>
      <c r="Q37" s="3"/>
      <c r="U37" s="14"/>
    </row>
    <row r="38" spans="1:21" ht="41.5" customHeight="1">
      <c r="A38" s="31">
        <v>2</v>
      </c>
      <c r="B38" s="37" t="s">
        <v>79</v>
      </c>
      <c r="C38" s="31" t="s">
        <v>291</v>
      </c>
      <c r="D38" s="31" t="s">
        <v>2393</v>
      </c>
      <c r="E38" s="28" t="s">
        <v>2395</v>
      </c>
      <c r="F38" s="3" t="s">
        <v>218</v>
      </c>
      <c r="G38" s="3" t="s">
        <v>85</v>
      </c>
      <c r="H38" s="3" t="s">
        <v>86</v>
      </c>
      <c r="I38" s="21">
        <v>30.0894328671552</v>
      </c>
      <c r="J38" s="21">
        <v>74.703833759819403</v>
      </c>
      <c r="K38" s="21">
        <v>0.87246959999999996</v>
      </c>
      <c r="L38" s="3">
        <v>2016</v>
      </c>
      <c r="M38" s="3">
        <v>2016</v>
      </c>
      <c r="N38" s="3" t="s">
        <v>2272</v>
      </c>
      <c r="O38" s="3" t="s">
        <v>66</v>
      </c>
      <c r="P38" s="5" t="s">
        <v>5181</v>
      </c>
      <c r="Q38" s="3"/>
      <c r="U38" s="14"/>
    </row>
    <row r="39" spans="1:21" ht="41.5" customHeight="1">
      <c r="A39" s="31">
        <v>2</v>
      </c>
      <c r="B39" s="37" t="s">
        <v>79</v>
      </c>
      <c r="C39" s="3" t="s">
        <v>87</v>
      </c>
      <c r="D39" s="31" t="s">
        <v>2393</v>
      </c>
      <c r="E39" s="28" t="s">
        <v>2395</v>
      </c>
      <c r="F39" s="3" t="s">
        <v>88</v>
      </c>
      <c r="G39" s="3" t="s">
        <v>88</v>
      </c>
      <c r="H39" s="3" t="s">
        <v>86</v>
      </c>
      <c r="I39" s="21">
        <v>29.678193861136599</v>
      </c>
      <c r="J39" s="21">
        <v>76.341552366334696</v>
      </c>
      <c r="K39" s="21" t="s">
        <v>2272</v>
      </c>
      <c r="L39" s="3">
        <v>2016</v>
      </c>
      <c r="M39" s="3">
        <v>2016</v>
      </c>
      <c r="N39" s="3" t="s">
        <v>2272</v>
      </c>
      <c r="O39" s="3" t="s">
        <v>66</v>
      </c>
      <c r="P39" s="5" t="s">
        <v>5181</v>
      </c>
      <c r="Q39" s="3" t="s">
        <v>2258</v>
      </c>
      <c r="U39" s="14"/>
    </row>
    <row r="40" spans="1:21" ht="41.5" customHeight="1">
      <c r="A40" s="31">
        <v>2</v>
      </c>
      <c r="B40" s="37" t="s">
        <v>79</v>
      </c>
      <c r="C40" s="31" t="s">
        <v>276</v>
      </c>
      <c r="D40" s="31" t="s">
        <v>2393</v>
      </c>
      <c r="E40" s="28" t="s">
        <v>2395</v>
      </c>
      <c r="F40" s="3" t="s">
        <v>224</v>
      </c>
      <c r="G40" s="3" t="s">
        <v>88</v>
      </c>
      <c r="H40" s="3" t="s">
        <v>86</v>
      </c>
      <c r="I40" s="21">
        <v>30.1369209870827</v>
      </c>
      <c r="J40" s="21">
        <v>76.913228884142896</v>
      </c>
      <c r="K40" s="21">
        <v>0.25951419999999997</v>
      </c>
      <c r="L40" s="3">
        <v>2016</v>
      </c>
      <c r="M40" s="3">
        <v>2016</v>
      </c>
      <c r="N40" s="3" t="s">
        <v>2272</v>
      </c>
      <c r="O40" s="3" t="s">
        <v>66</v>
      </c>
      <c r="P40" s="5" t="s">
        <v>5181</v>
      </c>
      <c r="Q40" s="3"/>
      <c r="U40" s="14"/>
    </row>
    <row r="41" spans="1:21" ht="41.5" customHeight="1">
      <c r="A41" s="31">
        <v>2</v>
      </c>
      <c r="B41" s="37" t="s">
        <v>79</v>
      </c>
      <c r="C41" s="31" t="s">
        <v>277</v>
      </c>
      <c r="D41" s="31" t="s">
        <v>2393</v>
      </c>
      <c r="E41" s="28" t="s">
        <v>2395</v>
      </c>
      <c r="F41" s="3" t="s">
        <v>225</v>
      </c>
      <c r="G41" s="3" t="s">
        <v>88</v>
      </c>
      <c r="H41" s="3" t="s">
        <v>86</v>
      </c>
      <c r="I41" s="21">
        <v>30.099961648540301</v>
      </c>
      <c r="J41" s="21">
        <v>76.693235107918099</v>
      </c>
      <c r="K41" s="21">
        <v>0.45141700000000001</v>
      </c>
      <c r="L41" s="3">
        <v>2016</v>
      </c>
      <c r="M41" s="3">
        <v>2016</v>
      </c>
      <c r="N41" s="3" t="s">
        <v>2272</v>
      </c>
      <c r="O41" s="3" t="s">
        <v>66</v>
      </c>
      <c r="P41" s="5" t="s">
        <v>5181</v>
      </c>
      <c r="Q41" s="3"/>
      <c r="U41" s="14"/>
    </row>
    <row r="42" spans="1:21" ht="41.5" customHeight="1">
      <c r="A42" s="31">
        <v>2</v>
      </c>
      <c r="B42" s="37" t="s">
        <v>79</v>
      </c>
      <c r="C42" s="31" t="s">
        <v>278</v>
      </c>
      <c r="D42" s="31" t="s">
        <v>2393</v>
      </c>
      <c r="E42" s="28" t="s">
        <v>2395</v>
      </c>
      <c r="F42" s="3" t="s">
        <v>226</v>
      </c>
      <c r="G42" s="3" t="s">
        <v>88</v>
      </c>
      <c r="H42" s="3" t="s">
        <v>86</v>
      </c>
      <c r="I42" s="21">
        <v>30.059973529970399</v>
      </c>
      <c r="J42" s="21">
        <v>76.703495254683105</v>
      </c>
      <c r="K42" s="21">
        <v>0.51214570000000004</v>
      </c>
      <c r="L42" s="3">
        <v>2016</v>
      </c>
      <c r="M42" s="3">
        <v>2016</v>
      </c>
      <c r="N42" s="3" t="s">
        <v>2272</v>
      </c>
      <c r="O42" s="3" t="s">
        <v>66</v>
      </c>
      <c r="P42" s="5" t="s">
        <v>5181</v>
      </c>
      <c r="Q42" s="3"/>
      <c r="U42" s="14"/>
    </row>
    <row r="43" spans="1:21" ht="41.5" customHeight="1">
      <c r="A43" s="31">
        <v>2</v>
      </c>
      <c r="B43" s="37" t="s">
        <v>79</v>
      </c>
      <c r="C43" s="31" t="s">
        <v>279</v>
      </c>
      <c r="D43" s="31" t="s">
        <v>2393</v>
      </c>
      <c r="E43" s="28" t="s">
        <v>2395</v>
      </c>
      <c r="F43" s="3" t="s">
        <v>227</v>
      </c>
      <c r="G43" s="3" t="s">
        <v>88</v>
      </c>
      <c r="H43" s="3" t="s">
        <v>86</v>
      </c>
      <c r="I43" s="21">
        <v>30.0473632934501</v>
      </c>
      <c r="J43" s="21">
        <v>76.667196487195795</v>
      </c>
      <c r="K43" s="21">
        <v>0.61538459999999995</v>
      </c>
      <c r="L43" s="3">
        <v>2016</v>
      </c>
      <c r="M43" s="3">
        <v>2016</v>
      </c>
      <c r="N43" s="3" t="s">
        <v>2272</v>
      </c>
      <c r="O43" s="3" t="s">
        <v>66</v>
      </c>
      <c r="P43" s="5" t="s">
        <v>5181</v>
      </c>
      <c r="Q43" s="3"/>
      <c r="U43" s="14"/>
    </row>
    <row r="44" spans="1:21" ht="41.5" customHeight="1">
      <c r="A44" s="31">
        <v>2</v>
      </c>
      <c r="B44" s="37" t="s">
        <v>79</v>
      </c>
      <c r="C44" s="31" t="s">
        <v>280</v>
      </c>
      <c r="D44" s="31" t="s">
        <v>2393</v>
      </c>
      <c r="E44" s="28" t="s">
        <v>2395</v>
      </c>
      <c r="F44" s="3" t="s">
        <v>228</v>
      </c>
      <c r="G44" s="3" t="s">
        <v>88</v>
      </c>
      <c r="H44" s="3" t="s">
        <v>86</v>
      </c>
      <c r="I44" s="21">
        <v>29.951171039617499</v>
      </c>
      <c r="J44" s="21">
        <v>76.724481375172203</v>
      </c>
      <c r="K44" s="21">
        <v>0.25303639999999999</v>
      </c>
      <c r="L44" s="3">
        <v>2016</v>
      </c>
      <c r="M44" s="3">
        <v>2016</v>
      </c>
      <c r="N44" s="3" t="s">
        <v>2272</v>
      </c>
      <c r="O44" s="3" t="s">
        <v>66</v>
      </c>
      <c r="P44" s="5" t="s">
        <v>5181</v>
      </c>
      <c r="Q44" s="3"/>
      <c r="U44" s="14"/>
    </row>
    <row r="45" spans="1:21" ht="41.5" customHeight="1">
      <c r="A45" s="31">
        <v>2</v>
      </c>
      <c r="B45" s="37" t="s">
        <v>79</v>
      </c>
      <c r="C45" s="31" t="s">
        <v>281</v>
      </c>
      <c r="D45" s="31" t="s">
        <v>2393</v>
      </c>
      <c r="E45" s="28" t="s">
        <v>2395</v>
      </c>
      <c r="F45" s="3" t="s">
        <v>229</v>
      </c>
      <c r="G45" s="3" t="s">
        <v>88</v>
      </c>
      <c r="H45" s="3" t="s">
        <v>86</v>
      </c>
      <c r="I45" s="21">
        <v>29.942875047072999</v>
      </c>
      <c r="J45" s="21">
        <v>76.915694556299499</v>
      </c>
      <c r="K45" s="21">
        <v>0.33319840000000001</v>
      </c>
      <c r="L45" s="3">
        <v>2016</v>
      </c>
      <c r="M45" s="3">
        <v>2016</v>
      </c>
      <c r="N45" s="3" t="s">
        <v>2272</v>
      </c>
      <c r="O45" s="3" t="s">
        <v>66</v>
      </c>
      <c r="P45" s="5" t="s">
        <v>5181</v>
      </c>
      <c r="Q45" s="3"/>
      <c r="U45" s="14"/>
    </row>
    <row r="46" spans="1:21" ht="41.5" customHeight="1">
      <c r="A46" s="31">
        <v>2</v>
      </c>
      <c r="B46" s="37" t="s">
        <v>79</v>
      </c>
      <c r="C46" s="31" t="s">
        <v>282</v>
      </c>
      <c r="D46" s="31" t="s">
        <v>2393</v>
      </c>
      <c r="E46" s="28" t="s">
        <v>2395</v>
      </c>
      <c r="F46" s="3" t="s">
        <v>230</v>
      </c>
      <c r="G46" s="3" t="s">
        <v>88</v>
      </c>
      <c r="H46" s="3" t="s">
        <v>86</v>
      </c>
      <c r="I46" s="21">
        <v>29.9943696643594</v>
      </c>
      <c r="J46" s="21">
        <v>76.738785518287401</v>
      </c>
      <c r="K46" s="21">
        <v>0.86599190000000004</v>
      </c>
      <c r="L46" s="3">
        <v>2016</v>
      </c>
      <c r="M46" s="3">
        <v>2016</v>
      </c>
      <c r="N46" s="3" t="s">
        <v>2272</v>
      </c>
      <c r="O46" s="3" t="s">
        <v>66</v>
      </c>
      <c r="P46" s="5" t="s">
        <v>5181</v>
      </c>
      <c r="Q46" s="3"/>
      <c r="U46" s="14"/>
    </row>
    <row r="47" spans="1:21" ht="41.5" customHeight="1">
      <c r="A47" s="31">
        <v>2</v>
      </c>
      <c r="B47" s="37" t="s">
        <v>79</v>
      </c>
      <c r="C47" s="31" t="s">
        <v>283</v>
      </c>
      <c r="D47" s="31" t="s">
        <v>2393</v>
      </c>
      <c r="E47" s="28" t="s">
        <v>2395</v>
      </c>
      <c r="F47" s="3" t="s">
        <v>231</v>
      </c>
      <c r="G47" s="3" t="s">
        <v>88</v>
      </c>
      <c r="H47" s="3" t="s">
        <v>86</v>
      </c>
      <c r="I47" s="21">
        <v>30.027913952654998</v>
      </c>
      <c r="J47" s="21">
        <v>76.734842690880896</v>
      </c>
      <c r="K47" s="21">
        <v>1.1943319999999999</v>
      </c>
      <c r="L47" s="3">
        <v>2016</v>
      </c>
      <c r="M47" s="3">
        <v>2016</v>
      </c>
      <c r="N47" s="3" t="s">
        <v>2272</v>
      </c>
      <c r="O47" s="3" t="s">
        <v>66</v>
      </c>
      <c r="P47" s="5" t="s">
        <v>5181</v>
      </c>
      <c r="Q47" s="3"/>
      <c r="U47" s="14"/>
    </row>
    <row r="48" spans="1:21" ht="41.5" customHeight="1">
      <c r="A48" s="31">
        <v>2</v>
      </c>
      <c r="B48" s="37" t="s">
        <v>79</v>
      </c>
      <c r="C48" s="31" t="s">
        <v>284</v>
      </c>
      <c r="D48" s="31" t="s">
        <v>2393</v>
      </c>
      <c r="E48" s="28" t="s">
        <v>2395</v>
      </c>
      <c r="F48" s="3" t="s">
        <v>232</v>
      </c>
      <c r="G48" s="3" t="s">
        <v>88</v>
      </c>
      <c r="H48" s="3" t="s">
        <v>86</v>
      </c>
      <c r="I48" s="21">
        <v>30.019510728166399</v>
      </c>
      <c r="J48" s="21">
        <v>76.851760969488893</v>
      </c>
      <c r="K48" s="21">
        <v>0.71457490000000001</v>
      </c>
      <c r="L48" s="3">
        <v>2016</v>
      </c>
      <c r="M48" s="3">
        <v>2016</v>
      </c>
      <c r="N48" s="3" t="s">
        <v>2272</v>
      </c>
      <c r="O48" s="3" t="s">
        <v>66</v>
      </c>
      <c r="P48" s="5" t="s">
        <v>5181</v>
      </c>
      <c r="Q48" s="3"/>
      <c r="U48" s="14"/>
    </row>
    <row r="49" spans="1:21" ht="41.5" customHeight="1">
      <c r="A49" s="31">
        <v>2</v>
      </c>
      <c r="B49" s="37" t="s">
        <v>79</v>
      </c>
      <c r="C49" s="31" t="s">
        <v>285</v>
      </c>
      <c r="D49" s="31" t="s">
        <v>2393</v>
      </c>
      <c r="E49" s="28" t="s">
        <v>2395</v>
      </c>
      <c r="F49" s="3" t="s">
        <v>233</v>
      </c>
      <c r="G49" s="3" t="s">
        <v>88</v>
      </c>
      <c r="H49" s="3" t="s">
        <v>86</v>
      </c>
      <c r="I49" s="21">
        <v>30.042620174605599</v>
      </c>
      <c r="J49" s="21">
        <v>76.851408101939498</v>
      </c>
      <c r="K49" s="21">
        <v>1.0866400000000001</v>
      </c>
      <c r="L49" s="3">
        <v>2016</v>
      </c>
      <c r="M49" s="3">
        <v>2016</v>
      </c>
      <c r="N49" s="3" t="s">
        <v>2272</v>
      </c>
      <c r="O49" s="3" t="s">
        <v>66</v>
      </c>
      <c r="P49" s="5" t="s">
        <v>5181</v>
      </c>
      <c r="Q49" s="3"/>
      <c r="U49" s="14"/>
    </row>
    <row r="50" spans="1:21" ht="41.5" customHeight="1">
      <c r="A50" s="31">
        <v>2</v>
      </c>
      <c r="B50" s="37" t="s">
        <v>79</v>
      </c>
      <c r="C50" s="31" t="s">
        <v>286</v>
      </c>
      <c r="D50" s="31" t="s">
        <v>2393</v>
      </c>
      <c r="E50" s="28" t="s">
        <v>2395</v>
      </c>
      <c r="F50" s="3" t="s">
        <v>234</v>
      </c>
      <c r="G50" s="3" t="s">
        <v>88</v>
      </c>
      <c r="H50" s="3" t="s">
        <v>86</v>
      </c>
      <c r="I50" s="21">
        <v>30.096675523739499</v>
      </c>
      <c r="J50" s="21">
        <v>76.801926868303198</v>
      </c>
      <c r="K50" s="21">
        <v>1.0364370000000001</v>
      </c>
      <c r="L50" s="3">
        <v>2016</v>
      </c>
      <c r="M50" s="3">
        <v>2016</v>
      </c>
      <c r="N50" s="3" t="s">
        <v>2272</v>
      </c>
      <c r="O50" s="3" t="s">
        <v>66</v>
      </c>
      <c r="P50" s="5" t="s">
        <v>5181</v>
      </c>
      <c r="Q50" s="3"/>
      <c r="U50" s="14"/>
    </row>
    <row r="51" spans="1:21" ht="41.5" customHeight="1">
      <c r="A51" s="31">
        <v>2</v>
      </c>
      <c r="B51" s="37" t="s">
        <v>79</v>
      </c>
      <c r="C51" s="31" t="s">
        <v>287</v>
      </c>
      <c r="D51" s="31" t="s">
        <v>2393</v>
      </c>
      <c r="E51" s="28" t="s">
        <v>2395</v>
      </c>
      <c r="F51" s="3" t="s">
        <v>235</v>
      </c>
      <c r="G51" s="3" t="s">
        <v>88</v>
      </c>
      <c r="H51" s="3" t="s">
        <v>86</v>
      </c>
      <c r="I51" s="21">
        <v>30.105812353328901</v>
      </c>
      <c r="J51" s="21">
        <v>76.937579425873295</v>
      </c>
      <c r="K51" s="21">
        <v>0.55222669999999996</v>
      </c>
      <c r="L51" s="3">
        <v>2016</v>
      </c>
      <c r="M51" s="3">
        <v>2016</v>
      </c>
      <c r="N51" s="3" t="s">
        <v>2272</v>
      </c>
      <c r="O51" s="3" t="s">
        <v>66</v>
      </c>
      <c r="P51" s="5" t="s">
        <v>5181</v>
      </c>
      <c r="Q51" s="3"/>
      <c r="U51" s="14"/>
    </row>
    <row r="52" spans="1:21" ht="41.5" customHeight="1">
      <c r="A52" s="31">
        <v>2</v>
      </c>
      <c r="B52" s="37" t="s">
        <v>79</v>
      </c>
      <c r="C52" s="31" t="s">
        <v>292</v>
      </c>
      <c r="D52" s="31" t="s">
        <v>2393</v>
      </c>
      <c r="E52" s="28" t="s">
        <v>2395</v>
      </c>
      <c r="F52" s="3" t="s">
        <v>236</v>
      </c>
      <c r="G52" s="3" t="s">
        <v>88</v>
      </c>
      <c r="H52" s="3" t="s">
        <v>86</v>
      </c>
      <c r="I52" s="21">
        <v>30.1472192622184</v>
      </c>
      <c r="J52" s="21">
        <v>76.946532169023897</v>
      </c>
      <c r="K52" s="21">
        <v>0.47206480000000001</v>
      </c>
      <c r="L52" s="3">
        <v>2016</v>
      </c>
      <c r="M52" s="3">
        <v>2016</v>
      </c>
      <c r="N52" s="3" t="s">
        <v>2272</v>
      </c>
      <c r="O52" s="3" t="s">
        <v>66</v>
      </c>
      <c r="P52" s="5" t="s">
        <v>5181</v>
      </c>
      <c r="Q52" s="3"/>
      <c r="U52" s="14"/>
    </row>
    <row r="53" spans="1:21" ht="41.5" customHeight="1">
      <c r="A53" s="31">
        <v>2</v>
      </c>
      <c r="B53" s="37" t="s">
        <v>79</v>
      </c>
      <c r="C53" s="31" t="s">
        <v>293</v>
      </c>
      <c r="D53" s="31" t="s">
        <v>2393</v>
      </c>
      <c r="E53" s="28" t="s">
        <v>2395</v>
      </c>
      <c r="F53" s="3" t="s">
        <v>237</v>
      </c>
      <c r="G53" s="3" t="s">
        <v>88</v>
      </c>
      <c r="H53" s="3" t="s">
        <v>86</v>
      </c>
      <c r="I53" s="21">
        <v>30.016530158192399</v>
      </c>
      <c r="J53" s="21">
        <v>76.942547862255296</v>
      </c>
      <c r="K53" s="21">
        <v>0.70850199999999997</v>
      </c>
      <c r="L53" s="3">
        <v>2016</v>
      </c>
      <c r="M53" s="3">
        <v>2016</v>
      </c>
      <c r="N53" s="3" t="s">
        <v>2272</v>
      </c>
      <c r="O53" s="3" t="s">
        <v>66</v>
      </c>
      <c r="P53" s="5" t="s">
        <v>5181</v>
      </c>
      <c r="Q53" s="3"/>
      <c r="U53" s="14"/>
    </row>
    <row r="54" spans="1:21" ht="41.5" customHeight="1">
      <c r="A54" s="31">
        <v>2</v>
      </c>
      <c r="B54" s="37" t="s">
        <v>79</v>
      </c>
      <c r="C54" s="31" t="s">
        <v>294</v>
      </c>
      <c r="D54" s="31" t="s">
        <v>2393</v>
      </c>
      <c r="E54" s="28" t="s">
        <v>2395</v>
      </c>
      <c r="F54" s="3" t="s">
        <v>238</v>
      </c>
      <c r="G54" s="3" t="s">
        <v>88</v>
      </c>
      <c r="H54" s="3" t="s">
        <v>86</v>
      </c>
      <c r="I54" s="21">
        <v>29.023185012030201</v>
      </c>
      <c r="J54" s="21">
        <v>77.081907496663803</v>
      </c>
      <c r="K54" s="21">
        <v>0.38421050000000001</v>
      </c>
      <c r="L54" s="3">
        <v>2016</v>
      </c>
      <c r="M54" s="3">
        <v>2016</v>
      </c>
      <c r="N54" s="3" t="s">
        <v>2272</v>
      </c>
      <c r="O54" s="3" t="s">
        <v>66</v>
      </c>
      <c r="P54" s="5" t="s">
        <v>5181</v>
      </c>
      <c r="Q54" s="3"/>
      <c r="U54" s="14"/>
    </row>
    <row r="55" spans="1:21" ht="41.5" customHeight="1">
      <c r="A55" s="31">
        <v>2</v>
      </c>
      <c r="B55" s="37" t="s">
        <v>79</v>
      </c>
      <c r="C55" s="31" t="s">
        <v>295</v>
      </c>
      <c r="D55" s="31" t="s">
        <v>2393</v>
      </c>
      <c r="E55" s="28" t="s">
        <v>2395</v>
      </c>
      <c r="F55" s="3" t="s">
        <v>239</v>
      </c>
      <c r="G55" s="3" t="s">
        <v>88</v>
      </c>
      <c r="H55" s="3" t="s">
        <v>86</v>
      </c>
      <c r="I55" s="21">
        <v>29.027438339907601</v>
      </c>
      <c r="J55" s="21">
        <v>77.1348024006072</v>
      </c>
      <c r="K55" s="21">
        <v>0.93522269999999996</v>
      </c>
      <c r="L55" s="3">
        <v>2016</v>
      </c>
      <c r="M55" s="3">
        <v>2016</v>
      </c>
      <c r="N55" s="3" t="s">
        <v>2272</v>
      </c>
      <c r="O55" s="3" t="s">
        <v>66</v>
      </c>
      <c r="P55" s="5" t="s">
        <v>5181</v>
      </c>
      <c r="Q55" s="3"/>
      <c r="U55" s="14"/>
    </row>
    <row r="56" spans="1:21" ht="41.5" customHeight="1">
      <c r="A56" s="31">
        <v>2</v>
      </c>
      <c r="B56" s="37" t="s">
        <v>79</v>
      </c>
      <c r="C56" s="31" t="s">
        <v>296</v>
      </c>
      <c r="D56" s="31" t="s">
        <v>2393</v>
      </c>
      <c r="E56" s="28" t="s">
        <v>2395</v>
      </c>
      <c r="F56" s="3" t="s">
        <v>240</v>
      </c>
      <c r="G56" s="3" t="s">
        <v>88</v>
      </c>
      <c r="H56" s="3" t="s">
        <v>86</v>
      </c>
      <c r="I56" s="21">
        <v>28.989687371392002</v>
      </c>
      <c r="J56" s="21">
        <v>77.159592757102004</v>
      </c>
      <c r="K56" s="21">
        <v>0.77165989999999995</v>
      </c>
      <c r="L56" s="3">
        <v>2016</v>
      </c>
      <c r="M56" s="3">
        <v>2016</v>
      </c>
      <c r="N56" s="3" t="s">
        <v>2272</v>
      </c>
      <c r="O56" s="3" t="s">
        <v>66</v>
      </c>
      <c r="P56" s="5" t="s">
        <v>5181</v>
      </c>
      <c r="Q56" s="3"/>
      <c r="U56" s="14"/>
    </row>
    <row r="57" spans="1:21" ht="41.5" customHeight="1">
      <c r="A57" s="31">
        <v>2</v>
      </c>
      <c r="B57" s="37" t="s">
        <v>79</v>
      </c>
      <c r="C57" s="31" t="s">
        <v>297</v>
      </c>
      <c r="D57" s="31" t="s">
        <v>2393</v>
      </c>
      <c r="E57" s="28" t="s">
        <v>2395</v>
      </c>
      <c r="F57" s="3" t="s">
        <v>241</v>
      </c>
      <c r="G57" s="3" t="s">
        <v>88</v>
      </c>
      <c r="H57" s="3" t="s">
        <v>86</v>
      </c>
      <c r="I57" s="21">
        <v>28.9781192795352</v>
      </c>
      <c r="J57" s="21">
        <v>77.176413881359593</v>
      </c>
      <c r="K57" s="21">
        <v>0.89959509999999998</v>
      </c>
      <c r="L57" s="3">
        <v>2016</v>
      </c>
      <c r="M57" s="3">
        <v>2016</v>
      </c>
      <c r="N57" s="3" t="s">
        <v>2272</v>
      </c>
      <c r="O57" s="3" t="s">
        <v>66</v>
      </c>
      <c r="P57" s="5" t="s">
        <v>5181</v>
      </c>
      <c r="Q57" s="3"/>
      <c r="U57" s="14"/>
    </row>
    <row r="58" spans="1:21" ht="41.5" customHeight="1">
      <c r="A58" s="31">
        <v>2</v>
      </c>
      <c r="B58" s="37" t="s">
        <v>79</v>
      </c>
      <c r="C58" s="31" t="s">
        <v>298</v>
      </c>
      <c r="D58" s="31" t="s">
        <v>2393</v>
      </c>
      <c r="E58" s="28" t="s">
        <v>2395</v>
      </c>
      <c r="F58" s="3" t="s">
        <v>242</v>
      </c>
      <c r="G58" s="3" t="s">
        <v>88</v>
      </c>
      <c r="H58" s="3" t="s">
        <v>86</v>
      </c>
      <c r="I58" s="21">
        <v>28.928848618112099</v>
      </c>
      <c r="J58" s="21">
        <v>77.150910508035807</v>
      </c>
      <c r="K58" s="21">
        <v>8.9878540000000007E-2</v>
      </c>
      <c r="L58" s="3">
        <v>2016</v>
      </c>
      <c r="M58" s="3">
        <v>2016</v>
      </c>
      <c r="N58" s="3" t="s">
        <v>2272</v>
      </c>
      <c r="O58" s="3" t="s">
        <v>66</v>
      </c>
      <c r="P58" s="5" t="s">
        <v>5181</v>
      </c>
      <c r="Q58" s="3"/>
      <c r="U58" s="14"/>
    </row>
    <row r="59" spans="1:21" ht="41.5" customHeight="1">
      <c r="A59" s="31">
        <v>2</v>
      </c>
      <c r="B59" s="37" t="s">
        <v>79</v>
      </c>
      <c r="C59" s="31" t="s">
        <v>299</v>
      </c>
      <c r="D59" s="31" t="s">
        <v>2393</v>
      </c>
      <c r="E59" s="28" t="s">
        <v>2395</v>
      </c>
      <c r="F59" s="3" t="s">
        <v>243</v>
      </c>
      <c r="G59" s="3" t="s">
        <v>88</v>
      </c>
      <c r="H59" s="3" t="s">
        <v>86</v>
      </c>
      <c r="I59" s="21">
        <v>29.610022318786001</v>
      </c>
      <c r="J59" s="21">
        <v>75.486159805774506</v>
      </c>
      <c r="K59" s="21">
        <v>0.39878540000000001</v>
      </c>
      <c r="L59" s="3">
        <v>2016</v>
      </c>
      <c r="M59" s="3">
        <v>2016</v>
      </c>
      <c r="N59" s="3" t="s">
        <v>2272</v>
      </c>
      <c r="O59" s="3" t="s">
        <v>66</v>
      </c>
      <c r="P59" s="5" t="s">
        <v>5181</v>
      </c>
      <c r="Q59" s="3"/>
      <c r="U59" s="14"/>
    </row>
    <row r="60" spans="1:21" ht="41.5" customHeight="1">
      <c r="A60" s="31">
        <v>2</v>
      </c>
      <c r="B60" s="37" t="s">
        <v>79</v>
      </c>
      <c r="C60" s="31" t="s">
        <v>300</v>
      </c>
      <c r="D60" s="31" t="s">
        <v>2393</v>
      </c>
      <c r="E60" s="28" t="s">
        <v>2395</v>
      </c>
      <c r="F60" s="3" t="s">
        <v>244</v>
      </c>
      <c r="G60" s="3" t="s">
        <v>88</v>
      </c>
      <c r="H60" s="3" t="s">
        <v>86</v>
      </c>
      <c r="I60" s="21">
        <v>29.619918834645201</v>
      </c>
      <c r="J60" s="21">
        <v>75.647372967060605</v>
      </c>
      <c r="K60" s="21">
        <v>0.38866400000000001</v>
      </c>
      <c r="L60" s="3">
        <v>2016</v>
      </c>
      <c r="M60" s="3">
        <v>2016</v>
      </c>
      <c r="N60" s="3" t="s">
        <v>2272</v>
      </c>
      <c r="O60" s="3" t="s">
        <v>66</v>
      </c>
      <c r="P60" s="5" t="s">
        <v>5181</v>
      </c>
      <c r="Q60" s="3"/>
      <c r="U60" s="14"/>
    </row>
    <row r="61" spans="1:21" ht="41.5" customHeight="1">
      <c r="A61" s="31">
        <v>2</v>
      </c>
      <c r="B61" s="37" t="s">
        <v>79</v>
      </c>
      <c r="C61" s="31" t="s">
        <v>301</v>
      </c>
      <c r="D61" s="31" t="s">
        <v>2393</v>
      </c>
      <c r="E61" s="28" t="s">
        <v>2395</v>
      </c>
      <c r="F61" s="3" t="s">
        <v>245</v>
      </c>
      <c r="G61" s="3" t="s">
        <v>88</v>
      </c>
      <c r="H61" s="3" t="s">
        <v>86</v>
      </c>
      <c r="I61" s="21">
        <v>29.598302799730298</v>
      </c>
      <c r="J61" s="21">
        <v>75.5832721824207</v>
      </c>
      <c r="K61" s="21">
        <v>0.44534410000000002</v>
      </c>
      <c r="L61" s="3">
        <v>2016</v>
      </c>
      <c r="M61" s="3">
        <v>2016</v>
      </c>
      <c r="N61" s="3" t="s">
        <v>2272</v>
      </c>
      <c r="O61" s="3" t="s">
        <v>66</v>
      </c>
      <c r="P61" s="5" t="s">
        <v>5181</v>
      </c>
      <c r="Q61" s="3"/>
      <c r="U61" s="14"/>
    </row>
    <row r="62" spans="1:21" ht="41.5" customHeight="1">
      <c r="A62" s="31">
        <v>2</v>
      </c>
      <c r="B62" s="37" t="s">
        <v>79</v>
      </c>
      <c r="C62" s="31" t="s">
        <v>302</v>
      </c>
      <c r="D62" s="31" t="s">
        <v>2393</v>
      </c>
      <c r="E62" s="28" t="s">
        <v>2395</v>
      </c>
      <c r="F62" s="3" t="s">
        <v>246</v>
      </c>
      <c r="G62" s="3" t="s">
        <v>88</v>
      </c>
      <c r="H62" s="3" t="s">
        <v>86</v>
      </c>
      <c r="I62" s="21">
        <v>29.431641992700701</v>
      </c>
      <c r="J62" s="21">
        <v>75.656888245791507</v>
      </c>
      <c r="K62" s="21">
        <v>0.66194330000000001</v>
      </c>
      <c r="L62" s="3">
        <v>2016</v>
      </c>
      <c r="M62" s="3">
        <v>2016</v>
      </c>
      <c r="N62" s="3" t="s">
        <v>2272</v>
      </c>
      <c r="O62" s="3" t="s">
        <v>66</v>
      </c>
      <c r="P62" s="5" t="s">
        <v>5181</v>
      </c>
      <c r="Q62" s="3"/>
      <c r="U62" s="14"/>
    </row>
    <row r="63" spans="1:21" ht="41.5" customHeight="1">
      <c r="A63" s="31">
        <v>2</v>
      </c>
      <c r="B63" s="37" t="s">
        <v>79</v>
      </c>
      <c r="C63" s="31" t="s">
        <v>303</v>
      </c>
      <c r="D63" s="31" t="s">
        <v>2393</v>
      </c>
      <c r="E63" s="28" t="s">
        <v>2395</v>
      </c>
      <c r="F63" s="3" t="s">
        <v>247</v>
      </c>
      <c r="G63" s="3" t="s">
        <v>88</v>
      </c>
      <c r="H63" s="3" t="s">
        <v>86</v>
      </c>
      <c r="I63" s="21">
        <v>29.569580444512201</v>
      </c>
      <c r="J63" s="21">
        <v>75.6609874166151</v>
      </c>
      <c r="K63" s="21">
        <v>0.34574899999999997</v>
      </c>
      <c r="L63" s="3">
        <v>2016</v>
      </c>
      <c r="M63" s="3">
        <v>2016</v>
      </c>
      <c r="N63" s="3" t="s">
        <v>2272</v>
      </c>
      <c r="O63" s="3" t="s">
        <v>66</v>
      </c>
      <c r="P63" s="5" t="s">
        <v>5181</v>
      </c>
      <c r="Q63" s="3"/>
      <c r="U63" s="14"/>
    </row>
    <row r="64" spans="1:21" ht="41.5" customHeight="1">
      <c r="A64" s="31">
        <v>2</v>
      </c>
      <c r="B64" s="37" t="s">
        <v>79</v>
      </c>
      <c r="C64" s="31" t="s">
        <v>304</v>
      </c>
      <c r="D64" s="31" t="s">
        <v>2393</v>
      </c>
      <c r="E64" s="28" t="s">
        <v>2395</v>
      </c>
      <c r="F64" s="3" t="s">
        <v>248</v>
      </c>
      <c r="G64" s="3" t="s">
        <v>88</v>
      </c>
      <c r="H64" s="3" t="s">
        <v>86</v>
      </c>
      <c r="I64" s="21">
        <v>29.555842899866398</v>
      </c>
      <c r="J64" s="21">
        <v>75.502049496546803</v>
      </c>
      <c r="K64" s="21">
        <v>0.41295549999999998</v>
      </c>
      <c r="L64" s="3">
        <v>2016</v>
      </c>
      <c r="M64" s="3">
        <v>2016</v>
      </c>
      <c r="N64" s="3" t="s">
        <v>2272</v>
      </c>
      <c r="O64" s="3" t="s">
        <v>66</v>
      </c>
      <c r="P64" s="5" t="s">
        <v>5181</v>
      </c>
      <c r="Q64" s="3"/>
      <c r="U64" s="14"/>
    </row>
    <row r="65" spans="1:21" ht="41.5" customHeight="1">
      <c r="A65" s="31">
        <v>2</v>
      </c>
      <c r="B65" s="37" t="s">
        <v>79</v>
      </c>
      <c r="C65" s="31" t="s">
        <v>305</v>
      </c>
      <c r="D65" s="31" t="s">
        <v>2393</v>
      </c>
      <c r="E65" s="28" t="s">
        <v>2395</v>
      </c>
      <c r="F65" s="3" t="s">
        <v>249</v>
      </c>
      <c r="G65" s="3" t="s">
        <v>88</v>
      </c>
      <c r="H65" s="3" t="s">
        <v>86</v>
      </c>
      <c r="I65" s="21">
        <v>29.637913812540798</v>
      </c>
      <c r="J65" s="21">
        <v>75.433375978951503</v>
      </c>
      <c r="K65" s="21">
        <v>1.23583</v>
      </c>
      <c r="L65" s="3">
        <v>2016</v>
      </c>
      <c r="M65" s="3">
        <v>2016</v>
      </c>
      <c r="N65" s="3" t="s">
        <v>2272</v>
      </c>
      <c r="O65" s="3" t="s">
        <v>66</v>
      </c>
      <c r="P65" s="5" t="s">
        <v>5181</v>
      </c>
      <c r="Q65" s="3"/>
      <c r="U65" s="14"/>
    </row>
    <row r="66" spans="1:21" ht="41.5" customHeight="1">
      <c r="A66" s="31">
        <v>2</v>
      </c>
      <c r="B66" s="37" t="s">
        <v>79</v>
      </c>
      <c r="C66" s="31" t="s">
        <v>306</v>
      </c>
      <c r="D66" s="31" t="s">
        <v>2393</v>
      </c>
      <c r="E66" s="28" t="s">
        <v>2395</v>
      </c>
      <c r="F66" s="3" t="s">
        <v>250</v>
      </c>
      <c r="G66" s="3" t="s">
        <v>88</v>
      </c>
      <c r="H66" s="3" t="s">
        <v>86</v>
      </c>
      <c r="I66" s="21">
        <v>29.591754128692799</v>
      </c>
      <c r="J66" s="21">
        <v>75.327187445953001</v>
      </c>
      <c r="K66" s="21">
        <v>1.1052630000000001</v>
      </c>
      <c r="L66" s="3">
        <v>2016</v>
      </c>
      <c r="M66" s="3">
        <v>2016</v>
      </c>
      <c r="N66" s="3" t="s">
        <v>2272</v>
      </c>
      <c r="O66" s="3" t="s">
        <v>66</v>
      </c>
      <c r="P66" s="5" t="s">
        <v>5181</v>
      </c>
      <c r="Q66" s="3"/>
      <c r="U66" s="14"/>
    </row>
    <row r="67" spans="1:21" ht="41.5" customHeight="1">
      <c r="A67" s="31">
        <v>2</v>
      </c>
      <c r="B67" s="37" t="s">
        <v>79</v>
      </c>
      <c r="C67" s="31" t="s">
        <v>307</v>
      </c>
      <c r="D67" s="31" t="s">
        <v>2393</v>
      </c>
      <c r="E67" s="28" t="s">
        <v>2395</v>
      </c>
      <c r="F67" s="3" t="s">
        <v>251</v>
      </c>
      <c r="G67" s="3" t="s">
        <v>88</v>
      </c>
      <c r="H67" s="3" t="s">
        <v>86</v>
      </c>
      <c r="I67" s="21">
        <v>29.445284226812699</v>
      </c>
      <c r="J67" s="21">
        <v>75.356791152061803</v>
      </c>
      <c r="K67" s="21">
        <v>0.80323889999999998</v>
      </c>
      <c r="L67" s="3">
        <v>2016</v>
      </c>
      <c r="M67" s="3">
        <v>2016</v>
      </c>
      <c r="N67" s="3" t="s">
        <v>2272</v>
      </c>
      <c r="O67" s="3" t="s">
        <v>66</v>
      </c>
      <c r="P67" s="5" t="s">
        <v>5181</v>
      </c>
      <c r="Q67" s="3"/>
      <c r="U67" s="14"/>
    </row>
    <row r="68" spans="1:21" ht="41.5" customHeight="1">
      <c r="A68" s="31">
        <v>2</v>
      </c>
      <c r="B68" s="37" t="s">
        <v>79</v>
      </c>
      <c r="C68" s="31" t="s">
        <v>308</v>
      </c>
      <c r="D68" s="31" t="s">
        <v>2393</v>
      </c>
      <c r="E68" s="28" t="s">
        <v>2395</v>
      </c>
      <c r="F68" s="3" t="s">
        <v>252</v>
      </c>
      <c r="G68" s="3" t="s">
        <v>88</v>
      </c>
      <c r="H68" s="3" t="s">
        <v>86</v>
      </c>
      <c r="I68" s="21">
        <v>29.393440711273499</v>
      </c>
      <c r="J68" s="21">
        <v>75.457549568664604</v>
      </c>
      <c r="K68" s="21">
        <v>0.92712550000000005</v>
      </c>
      <c r="L68" s="3">
        <v>2016</v>
      </c>
      <c r="M68" s="3">
        <v>2016</v>
      </c>
      <c r="N68" s="3" t="s">
        <v>2272</v>
      </c>
      <c r="O68" s="3" t="s">
        <v>66</v>
      </c>
      <c r="P68" s="5" t="s">
        <v>5181</v>
      </c>
      <c r="Q68" s="3"/>
      <c r="U68" s="14"/>
    </row>
    <row r="69" spans="1:21" ht="41.5" customHeight="1">
      <c r="A69" s="31">
        <v>2</v>
      </c>
      <c r="B69" s="37" t="s">
        <v>79</v>
      </c>
      <c r="C69" s="31" t="s">
        <v>309</v>
      </c>
      <c r="D69" s="31" t="s">
        <v>2393</v>
      </c>
      <c r="E69" s="28" t="s">
        <v>2395</v>
      </c>
      <c r="F69" s="3" t="s">
        <v>253</v>
      </c>
      <c r="G69" s="3" t="s">
        <v>88</v>
      </c>
      <c r="H69" s="3" t="s">
        <v>86</v>
      </c>
      <c r="I69" s="21">
        <v>29.494263674187</v>
      </c>
      <c r="J69" s="21">
        <v>75.2158340909304</v>
      </c>
      <c r="K69" s="21">
        <v>1.234413</v>
      </c>
      <c r="L69" s="3">
        <v>2016</v>
      </c>
      <c r="M69" s="3">
        <v>2016</v>
      </c>
      <c r="N69" s="3" t="s">
        <v>2272</v>
      </c>
      <c r="O69" s="3" t="s">
        <v>66</v>
      </c>
      <c r="P69" s="5" t="s">
        <v>5181</v>
      </c>
      <c r="Q69" s="3"/>
      <c r="U69" s="14"/>
    </row>
    <row r="70" spans="1:21" ht="41.5" customHeight="1">
      <c r="A70" s="31">
        <v>2</v>
      </c>
      <c r="B70" s="37" t="s">
        <v>79</v>
      </c>
      <c r="C70" s="31" t="s">
        <v>310</v>
      </c>
      <c r="D70" s="31" t="s">
        <v>2393</v>
      </c>
      <c r="E70" s="28" t="s">
        <v>2395</v>
      </c>
      <c r="F70" s="3" t="s">
        <v>254</v>
      </c>
      <c r="G70" s="3" t="s">
        <v>88</v>
      </c>
      <c r="H70" s="3" t="s">
        <v>86</v>
      </c>
      <c r="I70" s="21">
        <v>29.439847867511698</v>
      </c>
      <c r="J70" s="21">
        <v>75.134312690372596</v>
      </c>
      <c r="K70" s="21">
        <v>1.3076920000000001</v>
      </c>
      <c r="L70" s="3">
        <v>2016</v>
      </c>
      <c r="M70" s="3">
        <v>2016</v>
      </c>
      <c r="N70" s="3" t="s">
        <v>2272</v>
      </c>
      <c r="O70" s="3" t="s">
        <v>66</v>
      </c>
      <c r="P70" s="5" t="s">
        <v>5181</v>
      </c>
      <c r="Q70" s="3"/>
      <c r="U70" s="14"/>
    </row>
    <row r="71" spans="1:21" ht="41.5" customHeight="1">
      <c r="A71" s="31">
        <v>3</v>
      </c>
      <c r="B71" s="37" t="s">
        <v>91</v>
      </c>
      <c r="C71" s="3" t="s">
        <v>92</v>
      </c>
      <c r="D71" s="31" t="s">
        <v>2393</v>
      </c>
      <c r="E71" s="28" t="s">
        <v>2394</v>
      </c>
      <c r="F71" s="33" t="s">
        <v>1251</v>
      </c>
      <c r="G71" s="3" t="s">
        <v>85</v>
      </c>
      <c r="H71" s="3" t="s">
        <v>86</v>
      </c>
      <c r="I71" s="21">
        <v>30.153421300000002</v>
      </c>
      <c r="J71" s="21">
        <v>76.276552699999996</v>
      </c>
      <c r="K71" s="21" t="s">
        <v>2272</v>
      </c>
      <c r="L71" s="3">
        <v>2009</v>
      </c>
      <c r="M71" s="3">
        <v>2009</v>
      </c>
      <c r="N71" s="3" t="s">
        <v>2272</v>
      </c>
      <c r="O71" s="3" t="s">
        <v>66</v>
      </c>
      <c r="P71" s="5" t="s">
        <v>5181</v>
      </c>
      <c r="Q71" s="3"/>
      <c r="U71" s="14"/>
    </row>
    <row r="72" spans="1:21" ht="41.5" customHeight="1">
      <c r="A72" s="31">
        <v>3</v>
      </c>
      <c r="B72" s="37" t="s">
        <v>91</v>
      </c>
      <c r="C72" s="3" t="s">
        <v>1249</v>
      </c>
      <c r="D72" s="31" t="s">
        <v>2393</v>
      </c>
      <c r="E72" s="28" t="s">
        <v>2394</v>
      </c>
      <c r="F72" s="3" t="s">
        <v>1252</v>
      </c>
      <c r="G72" s="3" t="s">
        <v>85</v>
      </c>
      <c r="H72" s="3" t="s">
        <v>86</v>
      </c>
      <c r="I72" s="21">
        <v>30.421217200000001</v>
      </c>
      <c r="J72" s="21">
        <v>76.255839300000005</v>
      </c>
      <c r="K72" s="21" t="s">
        <v>2272</v>
      </c>
      <c r="L72" s="3">
        <v>2009</v>
      </c>
      <c r="M72" s="3">
        <v>2009</v>
      </c>
      <c r="N72" s="3" t="s">
        <v>2272</v>
      </c>
      <c r="O72" s="3" t="s">
        <v>66</v>
      </c>
      <c r="P72" s="5" t="s">
        <v>5181</v>
      </c>
      <c r="Q72" s="3"/>
      <c r="U72" s="14"/>
    </row>
    <row r="73" spans="1:21" ht="41.5" customHeight="1">
      <c r="A73" s="31">
        <v>3</v>
      </c>
      <c r="B73" s="37" t="s">
        <v>91</v>
      </c>
      <c r="C73" s="3" t="s">
        <v>1250</v>
      </c>
      <c r="D73" s="31" t="s">
        <v>2393</v>
      </c>
      <c r="E73" s="28" t="s">
        <v>2394</v>
      </c>
      <c r="F73" s="3" t="s">
        <v>1289</v>
      </c>
      <c r="G73" s="3" t="s">
        <v>85</v>
      </c>
      <c r="H73" s="3" t="s">
        <v>86</v>
      </c>
      <c r="I73" s="21">
        <v>30.420780100000002</v>
      </c>
      <c r="J73" s="21">
        <v>76.291645099999997</v>
      </c>
      <c r="K73" s="21" t="s">
        <v>2272</v>
      </c>
      <c r="L73" s="3">
        <v>2009</v>
      </c>
      <c r="M73" s="3">
        <v>2009</v>
      </c>
      <c r="N73" s="3" t="s">
        <v>2272</v>
      </c>
      <c r="O73" s="3" t="s">
        <v>66</v>
      </c>
      <c r="P73" s="5" t="s">
        <v>5181</v>
      </c>
      <c r="Q73" s="4"/>
      <c r="U73" s="14"/>
    </row>
    <row r="74" spans="1:21" ht="41.5" customHeight="1">
      <c r="A74" s="31">
        <v>4</v>
      </c>
      <c r="B74" s="37" t="s">
        <v>97</v>
      </c>
      <c r="C74" s="3" t="s">
        <v>96</v>
      </c>
      <c r="D74" s="31" t="s">
        <v>2393</v>
      </c>
      <c r="E74" s="28" t="s">
        <v>2394</v>
      </c>
      <c r="F74" s="3" t="s">
        <v>1278</v>
      </c>
      <c r="G74" s="3" t="s">
        <v>85</v>
      </c>
      <c r="H74" s="3" t="s">
        <v>86</v>
      </c>
      <c r="I74" s="21">
        <v>31.633544199999999</v>
      </c>
      <c r="J74" s="21">
        <v>74.870120299999996</v>
      </c>
      <c r="K74" s="21" t="s">
        <v>2272</v>
      </c>
      <c r="L74" s="3">
        <v>1996</v>
      </c>
      <c r="M74" s="3">
        <v>1996</v>
      </c>
      <c r="N74" s="3" t="s">
        <v>2272</v>
      </c>
      <c r="O74" s="3" t="s">
        <v>66</v>
      </c>
      <c r="P74" s="5" t="s">
        <v>5181</v>
      </c>
      <c r="Q74" s="4"/>
      <c r="U74" s="14"/>
    </row>
    <row r="75" spans="1:21" ht="41.5" customHeight="1">
      <c r="A75" s="31">
        <v>4</v>
      </c>
      <c r="B75" s="37" t="s">
        <v>97</v>
      </c>
      <c r="C75" s="3" t="s">
        <v>1268</v>
      </c>
      <c r="D75" s="31" t="s">
        <v>2393</v>
      </c>
      <c r="E75" s="28" t="s">
        <v>2394</v>
      </c>
      <c r="F75" s="3" t="s">
        <v>1279</v>
      </c>
      <c r="G75" s="3" t="s">
        <v>85</v>
      </c>
      <c r="H75" s="3" t="s">
        <v>86</v>
      </c>
      <c r="I75" s="21">
        <v>30.2087702</v>
      </c>
      <c r="J75" s="21">
        <v>74.958686900000004</v>
      </c>
      <c r="K75" s="21" t="s">
        <v>2272</v>
      </c>
      <c r="L75" s="3">
        <v>1996</v>
      </c>
      <c r="M75" s="3">
        <v>1996</v>
      </c>
      <c r="N75" s="3" t="s">
        <v>2272</v>
      </c>
      <c r="O75" s="3" t="s">
        <v>66</v>
      </c>
      <c r="P75" s="5" t="s">
        <v>5181</v>
      </c>
      <c r="Q75" s="4"/>
      <c r="U75" s="14"/>
    </row>
    <row r="76" spans="1:21" ht="41.5" customHeight="1">
      <c r="A76" s="31">
        <v>4</v>
      </c>
      <c r="B76" s="37" t="s">
        <v>97</v>
      </c>
      <c r="C76" s="3" t="s">
        <v>1269</v>
      </c>
      <c r="D76" s="31" t="s">
        <v>2393</v>
      </c>
      <c r="E76" s="28" t="s">
        <v>2394</v>
      </c>
      <c r="F76" s="3" t="s">
        <v>1280</v>
      </c>
      <c r="G76" s="3" t="s">
        <v>85</v>
      </c>
      <c r="H76" s="3" t="s">
        <v>86</v>
      </c>
      <c r="I76" s="21">
        <v>30.599855000000002</v>
      </c>
      <c r="J76" s="21">
        <v>74.762310099999993</v>
      </c>
      <c r="K76" s="21" t="s">
        <v>2272</v>
      </c>
      <c r="L76" s="3">
        <v>1996</v>
      </c>
      <c r="M76" s="3">
        <v>1996</v>
      </c>
      <c r="N76" s="3" t="s">
        <v>2272</v>
      </c>
      <c r="O76" s="3" t="s">
        <v>66</v>
      </c>
      <c r="P76" s="5" t="s">
        <v>5181</v>
      </c>
      <c r="Q76" s="4"/>
      <c r="U76" s="14"/>
    </row>
    <row r="77" spans="1:21" ht="41.5" customHeight="1">
      <c r="A77" s="31">
        <v>4</v>
      </c>
      <c r="B77" s="37" t="s">
        <v>97</v>
      </c>
      <c r="C77" s="3" t="s">
        <v>1270</v>
      </c>
      <c r="D77" s="31" t="s">
        <v>2393</v>
      </c>
      <c r="E77" s="28" t="s">
        <v>2394</v>
      </c>
      <c r="F77" s="3" t="s">
        <v>1281</v>
      </c>
      <c r="G77" s="3" t="s">
        <v>85</v>
      </c>
      <c r="H77" s="3" t="s">
        <v>86</v>
      </c>
      <c r="I77" s="21">
        <v>30.652760000000001</v>
      </c>
      <c r="J77" s="21">
        <v>76.355230000000006</v>
      </c>
      <c r="K77" s="21" t="s">
        <v>2272</v>
      </c>
      <c r="L77" s="3">
        <v>1996</v>
      </c>
      <c r="M77" s="3">
        <v>1996</v>
      </c>
      <c r="N77" s="3" t="s">
        <v>2272</v>
      </c>
      <c r="O77" s="3" t="s">
        <v>66</v>
      </c>
      <c r="P77" s="5" t="s">
        <v>5181</v>
      </c>
      <c r="Q77" s="4"/>
      <c r="U77" s="14"/>
    </row>
    <row r="78" spans="1:21" ht="41.5" customHeight="1">
      <c r="A78" s="31">
        <v>4</v>
      </c>
      <c r="B78" s="37" t="s">
        <v>97</v>
      </c>
      <c r="C78" s="3" t="s">
        <v>1271</v>
      </c>
      <c r="D78" s="31" t="s">
        <v>2393</v>
      </c>
      <c r="E78" s="28" t="s">
        <v>2394</v>
      </c>
      <c r="F78" s="3" t="s">
        <v>1282</v>
      </c>
      <c r="G78" s="3" t="s">
        <v>85</v>
      </c>
      <c r="H78" s="3" t="s">
        <v>86</v>
      </c>
      <c r="I78" s="21">
        <v>30.931942200000002</v>
      </c>
      <c r="J78" s="21">
        <v>74.624271300000004</v>
      </c>
      <c r="K78" s="21" t="s">
        <v>2272</v>
      </c>
      <c r="L78" s="3">
        <v>1996</v>
      </c>
      <c r="M78" s="3">
        <v>1996</v>
      </c>
      <c r="N78" s="3" t="s">
        <v>2272</v>
      </c>
      <c r="O78" s="3" t="s">
        <v>66</v>
      </c>
      <c r="P78" s="5" t="s">
        <v>5181</v>
      </c>
      <c r="Q78" s="4"/>
      <c r="U78" s="14"/>
    </row>
    <row r="79" spans="1:21" ht="41.5" customHeight="1">
      <c r="A79" s="31">
        <v>4</v>
      </c>
      <c r="B79" s="37" t="s">
        <v>97</v>
      </c>
      <c r="C79" s="3" t="s">
        <v>1272</v>
      </c>
      <c r="D79" s="31" t="s">
        <v>2393</v>
      </c>
      <c r="E79" s="28" t="s">
        <v>2394</v>
      </c>
      <c r="F79" s="3" t="s">
        <v>1283</v>
      </c>
      <c r="G79" s="3" t="s">
        <v>85</v>
      </c>
      <c r="H79" s="3" t="s">
        <v>86</v>
      </c>
      <c r="I79" s="21">
        <v>32.042656999999998</v>
      </c>
      <c r="J79" s="21">
        <v>75.408415599999998</v>
      </c>
      <c r="K79" s="21" t="s">
        <v>2272</v>
      </c>
      <c r="L79" s="3">
        <v>1996</v>
      </c>
      <c r="M79" s="3">
        <v>1996</v>
      </c>
      <c r="N79" s="3" t="s">
        <v>2272</v>
      </c>
      <c r="O79" s="3" t="s">
        <v>66</v>
      </c>
      <c r="P79" s="5" t="s">
        <v>5181</v>
      </c>
      <c r="Q79" s="4"/>
      <c r="U79" s="14"/>
    </row>
    <row r="80" spans="1:21" ht="41.5" customHeight="1">
      <c r="A80" s="31">
        <v>4</v>
      </c>
      <c r="B80" s="37" t="s">
        <v>97</v>
      </c>
      <c r="C80" s="3" t="s">
        <v>1273</v>
      </c>
      <c r="D80" s="31" t="s">
        <v>2393</v>
      </c>
      <c r="E80" s="28" t="s">
        <v>2394</v>
      </c>
      <c r="F80" s="33" t="s">
        <v>1284</v>
      </c>
      <c r="G80" s="3" t="s">
        <v>85</v>
      </c>
      <c r="H80" s="3" t="s">
        <v>86</v>
      </c>
      <c r="I80" s="21">
        <v>31.322397800000001</v>
      </c>
      <c r="J80" s="21">
        <v>75.573419299999998</v>
      </c>
      <c r="K80" s="21" t="s">
        <v>2272</v>
      </c>
      <c r="L80" s="3">
        <v>1996</v>
      </c>
      <c r="M80" s="3">
        <v>1996</v>
      </c>
      <c r="N80" s="3" t="s">
        <v>2272</v>
      </c>
      <c r="O80" s="3" t="s">
        <v>66</v>
      </c>
      <c r="P80" s="5" t="s">
        <v>5181</v>
      </c>
      <c r="Q80" s="3"/>
      <c r="U80" s="14"/>
    </row>
    <row r="81" spans="1:21" ht="41.5" customHeight="1">
      <c r="A81" s="31">
        <v>4</v>
      </c>
      <c r="B81" s="37" t="s">
        <v>97</v>
      </c>
      <c r="C81" s="3" t="s">
        <v>1274</v>
      </c>
      <c r="D81" s="31" t="s">
        <v>2393</v>
      </c>
      <c r="E81" s="28" t="s">
        <v>2394</v>
      </c>
      <c r="F81" s="3" t="s">
        <v>1285</v>
      </c>
      <c r="G81" s="3" t="s">
        <v>85</v>
      </c>
      <c r="H81" s="3" t="s">
        <v>86</v>
      </c>
      <c r="I81" s="21">
        <v>31.375614800000001</v>
      </c>
      <c r="J81" s="21">
        <v>75.391874400000006</v>
      </c>
      <c r="K81" s="21" t="s">
        <v>2272</v>
      </c>
      <c r="L81" s="3">
        <v>1996</v>
      </c>
      <c r="M81" s="3">
        <v>1996</v>
      </c>
      <c r="N81" s="3" t="s">
        <v>2272</v>
      </c>
      <c r="O81" s="3" t="s">
        <v>66</v>
      </c>
      <c r="P81" s="5" t="s">
        <v>5181</v>
      </c>
      <c r="Q81" s="3"/>
      <c r="U81" s="14"/>
    </row>
    <row r="82" spans="1:21" ht="41.5" customHeight="1">
      <c r="A82" s="31">
        <v>4</v>
      </c>
      <c r="B82" s="37" t="s">
        <v>97</v>
      </c>
      <c r="C82" s="3" t="s">
        <v>1275</v>
      </c>
      <c r="D82" s="31" t="s">
        <v>2393</v>
      </c>
      <c r="E82" s="28" t="s">
        <v>2394</v>
      </c>
      <c r="F82" s="3" t="s">
        <v>1286</v>
      </c>
      <c r="G82" s="3" t="s">
        <v>85</v>
      </c>
      <c r="H82" s="3" t="s">
        <v>86</v>
      </c>
      <c r="I82" s="21">
        <v>30.9003452</v>
      </c>
      <c r="J82" s="21">
        <v>75.856673299999997</v>
      </c>
      <c r="K82" s="21" t="s">
        <v>2272</v>
      </c>
      <c r="L82" s="3">
        <v>1996</v>
      </c>
      <c r="M82" s="3">
        <v>1996</v>
      </c>
      <c r="N82" s="3" t="s">
        <v>2272</v>
      </c>
      <c r="O82" s="3" t="s">
        <v>66</v>
      </c>
      <c r="P82" s="5" t="s">
        <v>5181</v>
      </c>
      <c r="Q82" s="3"/>
      <c r="U82" s="14"/>
    </row>
    <row r="83" spans="1:21" ht="41.5" customHeight="1">
      <c r="A83" s="31">
        <v>4</v>
      </c>
      <c r="B83" s="37" t="s">
        <v>97</v>
      </c>
      <c r="C83" s="3" t="s">
        <v>1276</v>
      </c>
      <c r="D83" s="31" t="s">
        <v>2393</v>
      </c>
      <c r="E83" s="28" t="s">
        <v>2394</v>
      </c>
      <c r="F83" s="3" t="s">
        <v>1287</v>
      </c>
      <c r="G83" s="3" t="s">
        <v>85</v>
      </c>
      <c r="H83" s="3" t="s">
        <v>86</v>
      </c>
      <c r="I83" s="21">
        <v>30.21387</v>
      </c>
      <c r="J83" s="21">
        <v>76.370175000000003</v>
      </c>
      <c r="K83" s="21" t="s">
        <v>2272</v>
      </c>
      <c r="L83" s="3">
        <v>1996</v>
      </c>
      <c r="M83" s="3">
        <v>1996</v>
      </c>
      <c r="N83" s="3" t="s">
        <v>2272</v>
      </c>
      <c r="O83" s="3" t="s">
        <v>66</v>
      </c>
      <c r="P83" s="5" t="s">
        <v>5181</v>
      </c>
      <c r="Q83" s="3"/>
      <c r="U83" s="14"/>
    </row>
    <row r="84" spans="1:21" ht="41.5" customHeight="1">
      <c r="A84" s="31">
        <v>4</v>
      </c>
      <c r="B84" s="37" t="s">
        <v>97</v>
      </c>
      <c r="C84" s="3" t="s">
        <v>1277</v>
      </c>
      <c r="D84" s="31" t="s">
        <v>2393</v>
      </c>
      <c r="E84" s="28" t="s">
        <v>2394</v>
      </c>
      <c r="F84" s="3" t="s">
        <v>1288</v>
      </c>
      <c r="G84" s="3" t="s">
        <v>85</v>
      </c>
      <c r="H84" s="3" t="s">
        <v>86</v>
      </c>
      <c r="I84" s="21">
        <v>30.242213199999998</v>
      </c>
      <c r="J84" s="21">
        <v>75.842785899999996</v>
      </c>
      <c r="K84" s="21" t="s">
        <v>2272</v>
      </c>
      <c r="L84" s="3">
        <v>1996</v>
      </c>
      <c r="M84" s="3">
        <v>1996</v>
      </c>
      <c r="N84" s="3" t="s">
        <v>2272</v>
      </c>
      <c r="O84" s="3" t="s">
        <v>66</v>
      </c>
      <c r="P84" s="5" t="s">
        <v>5181</v>
      </c>
      <c r="Q84" s="3"/>
      <c r="U84" s="14"/>
    </row>
    <row r="85" spans="1:21" ht="41.5" customHeight="1">
      <c r="A85" s="31">
        <v>5</v>
      </c>
      <c r="B85" s="37" t="s">
        <v>104</v>
      </c>
      <c r="C85" s="3" t="s">
        <v>101</v>
      </c>
      <c r="D85" s="31" t="s">
        <v>2393</v>
      </c>
      <c r="E85" s="29" t="s">
        <v>2395</v>
      </c>
      <c r="F85" s="22" t="s">
        <v>100</v>
      </c>
      <c r="G85" s="22" t="s">
        <v>2272</v>
      </c>
      <c r="H85" s="3" t="s">
        <v>86</v>
      </c>
      <c r="I85" s="21">
        <v>30.43</v>
      </c>
      <c r="J85" s="21">
        <v>76.09</v>
      </c>
      <c r="K85" s="21">
        <v>901</v>
      </c>
      <c r="L85" s="3">
        <v>2018</v>
      </c>
      <c r="M85" s="3">
        <v>2018</v>
      </c>
      <c r="N85" s="3" t="s">
        <v>2272</v>
      </c>
      <c r="O85" s="3" t="s">
        <v>66</v>
      </c>
      <c r="P85" s="5" t="s">
        <v>5181</v>
      </c>
      <c r="Q85" s="3"/>
      <c r="U85" s="14"/>
    </row>
    <row r="86" spans="1:21" ht="43.5">
      <c r="A86" s="31">
        <v>6</v>
      </c>
      <c r="B86" s="37" t="s">
        <v>106</v>
      </c>
      <c r="C86" s="3" t="s">
        <v>105</v>
      </c>
      <c r="D86" s="31" t="s">
        <v>2393</v>
      </c>
      <c r="E86" s="28" t="s">
        <v>2394</v>
      </c>
      <c r="F86" s="28" t="s">
        <v>1325</v>
      </c>
      <c r="G86" s="28" t="s">
        <v>107</v>
      </c>
      <c r="H86" s="28" t="s">
        <v>86</v>
      </c>
      <c r="I86" s="21">
        <v>29.690674900000001</v>
      </c>
      <c r="J86" s="21">
        <v>76.837599999999995</v>
      </c>
      <c r="K86" s="21" t="s">
        <v>2272</v>
      </c>
      <c r="L86" s="3">
        <v>2018</v>
      </c>
      <c r="M86" s="3">
        <v>2018</v>
      </c>
      <c r="N86" s="3" t="s">
        <v>2272</v>
      </c>
      <c r="O86" s="3" t="s">
        <v>66</v>
      </c>
      <c r="P86" s="5" t="s">
        <v>5181</v>
      </c>
      <c r="Q86" s="4" t="s">
        <v>1494</v>
      </c>
      <c r="U86" s="14"/>
    </row>
    <row r="87" spans="1:21" ht="43.5">
      <c r="A87" s="31">
        <v>6</v>
      </c>
      <c r="B87" s="37" t="s">
        <v>106</v>
      </c>
      <c r="C87" s="3" t="s">
        <v>1313</v>
      </c>
      <c r="D87" s="31" t="s">
        <v>2393</v>
      </c>
      <c r="E87" s="28" t="s">
        <v>2394</v>
      </c>
      <c r="F87" s="28" t="s">
        <v>1326</v>
      </c>
      <c r="G87" s="28" t="s">
        <v>107</v>
      </c>
      <c r="H87" s="28" t="s">
        <v>86</v>
      </c>
      <c r="I87" s="21">
        <v>29.690674900000001</v>
      </c>
      <c r="J87" s="21">
        <v>76.837599999999995</v>
      </c>
      <c r="K87" s="21" t="s">
        <v>2272</v>
      </c>
      <c r="L87" s="3">
        <v>2018</v>
      </c>
      <c r="M87" s="3">
        <v>2018</v>
      </c>
      <c r="N87" s="3" t="s">
        <v>2272</v>
      </c>
      <c r="O87" s="3" t="s">
        <v>66</v>
      </c>
      <c r="P87" s="5" t="s">
        <v>5181</v>
      </c>
      <c r="Q87" s="4" t="s">
        <v>1494</v>
      </c>
      <c r="U87" s="14"/>
    </row>
    <row r="88" spans="1:21" ht="43.5">
      <c r="A88" s="31">
        <v>6</v>
      </c>
      <c r="B88" s="37" t="s">
        <v>106</v>
      </c>
      <c r="C88" s="3" t="s">
        <v>1314</v>
      </c>
      <c r="D88" s="31" t="s">
        <v>2393</v>
      </c>
      <c r="E88" s="28" t="s">
        <v>2394</v>
      </c>
      <c r="F88" s="28" t="s">
        <v>1327</v>
      </c>
      <c r="G88" s="28" t="s">
        <v>107</v>
      </c>
      <c r="H88" s="28" t="s">
        <v>86</v>
      </c>
      <c r="I88" s="21">
        <v>29.690674900000001</v>
      </c>
      <c r="J88" s="21">
        <v>76.837599999999995</v>
      </c>
      <c r="K88" s="21" t="s">
        <v>2272</v>
      </c>
      <c r="L88" s="3">
        <v>2018</v>
      </c>
      <c r="M88" s="3">
        <v>2018</v>
      </c>
      <c r="N88" s="3" t="s">
        <v>2272</v>
      </c>
      <c r="O88" s="3" t="s">
        <v>66</v>
      </c>
      <c r="P88" s="5" t="s">
        <v>5181</v>
      </c>
      <c r="Q88" s="4" t="s">
        <v>1494</v>
      </c>
      <c r="U88" s="14"/>
    </row>
    <row r="89" spans="1:21" ht="43.5">
      <c r="A89" s="31">
        <v>6</v>
      </c>
      <c r="B89" s="37" t="s">
        <v>106</v>
      </c>
      <c r="C89" s="3" t="s">
        <v>1315</v>
      </c>
      <c r="D89" s="31" t="s">
        <v>2393</v>
      </c>
      <c r="E89" s="28" t="s">
        <v>2394</v>
      </c>
      <c r="F89" s="28" t="s">
        <v>1328</v>
      </c>
      <c r="G89" s="28" t="s">
        <v>107</v>
      </c>
      <c r="H89" s="28" t="s">
        <v>86</v>
      </c>
      <c r="I89" s="21">
        <v>29.690674900000001</v>
      </c>
      <c r="J89" s="21">
        <v>76.837599999999995</v>
      </c>
      <c r="K89" s="21" t="s">
        <v>2272</v>
      </c>
      <c r="L89" s="3">
        <v>2018</v>
      </c>
      <c r="M89" s="3">
        <v>2018</v>
      </c>
      <c r="N89" s="3" t="s">
        <v>2272</v>
      </c>
      <c r="O89" s="3" t="s">
        <v>66</v>
      </c>
      <c r="P89" s="5" t="s">
        <v>5181</v>
      </c>
      <c r="Q89" s="4" t="s">
        <v>1494</v>
      </c>
      <c r="U89" s="14"/>
    </row>
    <row r="90" spans="1:21" ht="43.5">
      <c r="A90" s="31">
        <v>6</v>
      </c>
      <c r="B90" s="37" t="s">
        <v>106</v>
      </c>
      <c r="C90" s="3" t="s">
        <v>1316</v>
      </c>
      <c r="D90" s="31" t="s">
        <v>2393</v>
      </c>
      <c r="E90" s="28" t="s">
        <v>2394</v>
      </c>
      <c r="F90" s="28" t="s">
        <v>1329</v>
      </c>
      <c r="G90" s="28" t="s">
        <v>107</v>
      </c>
      <c r="H90" s="28" t="s">
        <v>86</v>
      </c>
      <c r="I90" s="21">
        <v>29.690674900000001</v>
      </c>
      <c r="J90" s="21">
        <v>76.837599999999995</v>
      </c>
      <c r="K90" s="21" t="s">
        <v>2272</v>
      </c>
      <c r="L90" s="3">
        <v>2018</v>
      </c>
      <c r="M90" s="3">
        <v>2018</v>
      </c>
      <c r="N90" s="3" t="s">
        <v>2272</v>
      </c>
      <c r="O90" s="3" t="s">
        <v>66</v>
      </c>
      <c r="P90" s="5" t="s">
        <v>5181</v>
      </c>
      <c r="Q90" s="4" t="s">
        <v>1494</v>
      </c>
      <c r="U90" s="14"/>
    </row>
    <row r="91" spans="1:21" ht="43.5">
      <c r="A91" s="31">
        <v>6</v>
      </c>
      <c r="B91" s="37" t="s">
        <v>106</v>
      </c>
      <c r="C91" s="3" t="s">
        <v>1317</v>
      </c>
      <c r="D91" s="31" t="s">
        <v>2393</v>
      </c>
      <c r="E91" s="28" t="s">
        <v>2394</v>
      </c>
      <c r="F91" s="28" t="s">
        <v>1330</v>
      </c>
      <c r="G91" s="28" t="s">
        <v>107</v>
      </c>
      <c r="H91" s="28" t="s">
        <v>86</v>
      </c>
      <c r="I91" s="21">
        <v>29.690674900000001</v>
      </c>
      <c r="J91" s="21">
        <v>76.837599999999995</v>
      </c>
      <c r="K91" s="21" t="s">
        <v>2272</v>
      </c>
      <c r="L91" s="3">
        <v>2018</v>
      </c>
      <c r="M91" s="3">
        <v>2018</v>
      </c>
      <c r="N91" s="3" t="s">
        <v>2272</v>
      </c>
      <c r="O91" s="3" t="s">
        <v>66</v>
      </c>
      <c r="P91" s="5" t="s">
        <v>5181</v>
      </c>
      <c r="Q91" s="4" t="s">
        <v>1494</v>
      </c>
      <c r="U91" s="14"/>
    </row>
    <row r="92" spans="1:21" ht="43.5">
      <c r="A92" s="31">
        <v>6</v>
      </c>
      <c r="B92" s="37" t="s">
        <v>106</v>
      </c>
      <c r="C92" s="3" t="s">
        <v>1318</v>
      </c>
      <c r="D92" s="31" t="s">
        <v>2393</v>
      </c>
      <c r="E92" s="28" t="s">
        <v>2394</v>
      </c>
      <c r="F92" s="28" t="s">
        <v>1331</v>
      </c>
      <c r="G92" s="28" t="s">
        <v>107</v>
      </c>
      <c r="H92" s="28" t="s">
        <v>86</v>
      </c>
      <c r="I92" s="21">
        <v>29.690674900000001</v>
      </c>
      <c r="J92" s="21">
        <v>76.837599999999995</v>
      </c>
      <c r="K92" s="21" t="s">
        <v>2272</v>
      </c>
      <c r="L92" s="3">
        <v>2018</v>
      </c>
      <c r="M92" s="3">
        <v>2018</v>
      </c>
      <c r="N92" s="3" t="s">
        <v>2272</v>
      </c>
      <c r="O92" s="3" t="s">
        <v>66</v>
      </c>
      <c r="P92" s="5" t="s">
        <v>5181</v>
      </c>
      <c r="Q92" s="4" t="s">
        <v>1494</v>
      </c>
      <c r="U92" s="14"/>
    </row>
    <row r="93" spans="1:21" ht="43.5">
      <c r="A93" s="31">
        <v>6</v>
      </c>
      <c r="B93" s="37" t="s">
        <v>106</v>
      </c>
      <c r="C93" s="3" t="s">
        <v>1319</v>
      </c>
      <c r="D93" s="31" t="s">
        <v>2393</v>
      </c>
      <c r="E93" s="28" t="s">
        <v>2394</v>
      </c>
      <c r="F93" s="28" t="s">
        <v>1332</v>
      </c>
      <c r="G93" s="28" t="s">
        <v>107</v>
      </c>
      <c r="H93" s="28" t="s">
        <v>86</v>
      </c>
      <c r="I93" s="21">
        <v>29.690674900000001</v>
      </c>
      <c r="J93" s="21">
        <v>76.837599999999995</v>
      </c>
      <c r="K93" s="21" t="s">
        <v>2272</v>
      </c>
      <c r="L93" s="3">
        <v>2018</v>
      </c>
      <c r="M93" s="3">
        <v>2018</v>
      </c>
      <c r="N93" s="3" t="s">
        <v>2272</v>
      </c>
      <c r="O93" s="3" t="s">
        <v>66</v>
      </c>
      <c r="P93" s="5" t="s">
        <v>5181</v>
      </c>
      <c r="Q93" s="4" t="s">
        <v>1494</v>
      </c>
      <c r="U93" s="14"/>
    </row>
    <row r="94" spans="1:21" ht="43.5">
      <c r="A94" s="31">
        <v>6</v>
      </c>
      <c r="B94" s="37" t="s">
        <v>106</v>
      </c>
      <c r="C94" s="3" t="s">
        <v>1320</v>
      </c>
      <c r="D94" s="31" t="s">
        <v>2393</v>
      </c>
      <c r="E94" s="28" t="s">
        <v>2394</v>
      </c>
      <c r="F94" s="28" t="s">
        <v>1333</v>
      </c>
      <c r="G94" s="28" t="s">
        <v>107</v>
      </c>
      <c r="H94" s="28" t="s">
        <v>86</v>
      </c>
      <c r="I94" s="21">
        <v>29.690674900000001</v>
      </c>
      <c r="J94" s="21">
        <v>76.837599999999995</v>
      </c>
      <c r="K94" s="21" t="s">
        <v>2272</v>
      </c>
      <c r="L94" s="3">
        <v>2018</v>
      </c>
      <c r="M94" s="3">
        <v>2018</v>
      </c>
      <c r="N94" s="3" t="s">
        <v>2272</v>
      </c>
      <c r="O94" s="3" t="s">
        <v>66</v>
      </c>
      <c r="P94" s="5" t="s">
        <v>5181</v>
      </c>
      <c r="Q94" s="4" t="s">
        <v>1494</v>
      </c>
      <c r="U94" s="14"/>
    </row>
    <row r="95" spans="1:21" ht="43.5">
      <c r="A95" s="31">
        <v>6</v>
      </c>
      <c r="B95" s="37" t="s">
        <v>106</v>
      </c>
      <c r="C95" s="3" t="s">
        <v>1321</v>
      </c>
      <c r="D95" s="31" t="s">
        <v>2393</v>
      </c>
      <c r="E95" s="28" t="s">
        <v>2394</v>
      </c>
      <c r="F95" s="28" t="s">
        <v>1334</v>
      </c>
      <c r="G95" s="28" t="s">
        <v>107</v>
      </c>
      <c r="H95" s="28" t="s">
        <v>86</v>
      </c>
      <c r="I95" s="21">
        <v>29.690674900000001</v>
      </c>
      <c r="J95" s="21">
        <v>76.837599999999995</v>
      </c>
      <c r="K95" s="21" t="s">
        <v>2272</v>
      </c>
      <c r="L95" s="3">
        <v>2018</v>
      </c>
      <c r="M95" s="3">
        <v>2018</v>
      </c>
      <c r="N95" s="3" t="s">
        <v>2272</v>
      </c>
      <c r="O95" s="3" t="s">
        <v>66</v>
      </c>
      <c r="P95" s="5" t="s">
        <v>5181</v>
      </c>
      <c r="Q95" s="4" t="s">
        <v>1494</v>
      </c>
      <c r="U95" s="14"/>
    </row>
    <row r="96" spans="1:21" ht="43.5">
      <c r="A96" s="31">
        <v>6</v>
      </c>
      <c r="B96" s="37" t="s">
        <v>106</v>
      </c>
      <c r="C96" s="3" t="s">
        <v>1322</v>
      </c>
      <c r="D96" s="31" t="s">
        <v>2393</v>
      </c>
      <c r="E96" s="28" t="s">
        <v>2394</v>
      </c>
      <c r="F96" s="28" t="s">
        <v>1335</v>
      </c>
      <c r="G96" s="28" t="s">
        <v>107</v>
      </c>
      <c r="H96" s="28" t="s">
        <v>86</v>
      </c>
      <c r="I96" s="21">
        <v>29.690674900000001</v>
      </c>
      <c r="J96" s="21">
        <v>76.837599999999995</v>
      </c>
      <c r="K96" s="21" t="s">
        <v>2272</v>
      </c>
      <c r="L96" s="3">
        <v>2018</v>
      </c>
      <c r="M96" s="3">
        <v>2018</v>
      </c>
      <c r="N96" s="3" t="s">
        <v>2272</v>
      </c>
      <c r="O96" s="3" t="s">
        <v>66</v>
      </c>
      <c r="P96" s="5" t="s">
        <v>5181</v>
      </c>
      <c r="Q96" s="4" t="s">
        <v>1494</v>
      </c>
      <c r="U96" s="14"/>
    </row>
    <row r="97" spans="1:21" ht="43.5">
      <c r="A97" s="31">
        <v>6</v>
      </c>
      <c r="B97" s="37" t="s">
        <v>106</v>
      </c>
      <c r="C97" s="3" t="s">
        <v>1357</v>
      </c>
      <c r="D97" s="31" t="s">
        <v>2393</v>
      </c>
      <c r="E97" s="28" t="s">
        <v>2394</v>
      </c>
      <c r="F97" s="28" t="s">
        <v>1358</v>
      </c>
      <c r="G97" s="28" t="s">
        <v>107</v>
      </c>
      <c r="H97" s="28" t="s">
        <v>86</v>
      </c>
      <c r="I97" s="21">
        <v>29.690674900000001</v>
      </c>
      <c r="J97" s="21">
        <v>76.837599999999995</v>
      </c>
      <c r="K97" s="21" t="s">
        <v>2272</v>
      </c>
      <c r="L97" s="3">
        <v>2018</v>
      </c>
      <c r="M97" s="3">
        <v>2018</v>
      </c>
      <c r="N97" s="3" t="s">
        <v>2272</v>
      </c>
      <c r="O97" s="3" t="s">
        <v>66</v>
      </c>
      <c r="P97" s="5" t="s">
        <v>5181</v>
      </c>
      <c r="Q97" s="4" t="s">
        <v>1494</v>
      </c>
      <c r="U97" s="14"/>
    </row>
    <row r="98" spans="1:21" ht="40" customHeight="1">
      <c r="A98" s="31">
        <v>7</v>
      </c>
      <c r="B98" s="37" t="s">
        <v>111</v>
      </c>
      <c r="C98" s="3" t="s">
        <v>110</v>
      </c>
      <c r="D98" s="31" t="s">
        <v>2393</v>
      </c>
      <c r="E98" s="28" t="s">
        <v>2394</v>
      </c>
      <c r="F98" s="28" t="s">
        <v>2272</v>
      </c>
      <c r="G98" s="28" t="s">
        <v>1378</v>
      </c>
      <c r="H98" s="28" t="s">
        <v>112</v>
      </c>
      <c r="I98" s="21">
        <v>33.950000000000003</v>
      </c>
      <c r="J98" s="21">
        <v>118.29</v>
      </c>
      <c r="K98" s="21" t="s">
        <v>2272</v>
      </c>
      <c r="L98" s="3">
        <v>2006</v>
      </c>
      <c r="M98" s="3">
        <v>2006</v>
      </c>
      <c r="N98" s="3" t="s">
        <v>2272</v>
      </c>
      <c r="O98" s="3" t="s">
        <v>66</v>
      </c>
      <c r="P98" s="5" t="s">
        <v>5181</v>
      </c>
      <c r="Q98" s="3" t="s">
        <v>1379</v>
      </c>
      <c r="U98" s="14"/>
    </row>
    <row r="99" spans="1:21" ht="45.5" customHeight="1">
      <c r="A99" s="31">
        <v>8</v>
      </c>
      <c r="B99" s="37" t="s">
        <v>120</v>
      </c>
      <c r="C99" s="3" t="s">
        <v>121</v>
      </c>
      <c r="D99" s="31" t="s">
        <v>2393</v>
      </c>
      <c r="E99" s="28" t="s">
        <v>2394</v>
      </c>
      <c r="F99" s="24" t="s">
        <v>2272</v>
      </c>
      <c r="G99" s="24" t="s">
        <v>5023</v>
      </c>
      <c r="H99" s="28" t="s">
        <v>119</v>
      </c>
      <c r="I99" s="21">
        <v>-3.0722933000000001</v>
      </c>
      <c r="J99" s="21">
        <v>-55.513213499999999</v>
      </c>
      <c r="K99" s="21" t="s">
        <v>2272</v>
      </c>
      <c r="L99" s="3">
        <v>2010</v>
      </c>
      <c r="M99" s="3">
        <v>2010</v>
      </c>
      <c r="N99" s="3" t="s">
        <v>2272</v>
      </c>
      <c r="O99" s="3" t="s">
        <v>66</v>
      </c>
      <c r="P99" s="5" t="s">
        <v>5181</v>
      </c>
      <c r="Q99" s="3" t="s">
        <v>1379</v>
      </c>
      <c r="U99" s="13"/>
    </row>
    <row r="100" spans="1:21" ht="48.5" customHeight="1">
      <c r="A100" s="31">
        <v>9</v>
      </c>
      <c r="B100" s="37" t="s">
        <v>152</v>
      </c>
      <c r="C100" s="3" t="s">
        <v>131</v>
      </c>
      <c r="D100" s="31" t="s">
        <v>2393</v>
      </c>
      <c r="E100" s="28" t="s">
        <v>2400</v>
      </c>
      <c r="F100" s="29" t="s">
        <v>2272</v>
      </c>
      <c r="G100" s="29" t="s">
        <v>133</v>
      </c>
      <c r="H100" s="28" t="s">
        <v>132</v>
      </c>
      <c r="I100" s="21">
        <v>-9.37635E-2</v>
      </c>
      <c r="J100" s="21">
        <v>-72.040356399999993</v>
      </c>
      <c r="K100" s="21">
        <v>280000</v>
      </c>
      <c r="L100" s="3">
        <v>2005</v>
      </c>
      <c r="M100" s="3">
        <v>2005</v>
      </c>
      <c r="N100" s="3" t="s">
        <v>2272</v>
      </c>
      <c r="O100" s="3" t="s">
        <v>66</v>
      </c>
      <c r="P100" s="5" t="s">
        <v>5181</v>
      </c>
      <c r="Q100" s="4" t="s">
        <v>1380</v>
      </c>
      <c r="U100" s="13"/>
    </row>
    <row r="101" spans="1:21" ht="50.5" customHeight="1">
      <c r="A101" s="31">
        <v>9</v>
      </c>
      <c r="B101" s="37" t="s">
        <v>152</v>
      </c>
      <c r="C101" s="3" t="s">
        <v>134</v>
      </c>
      <c r="D101" s="31" t="s">
        <v>2393</v>
      </c>
      <c r="E101" s="28" t="s">
        <v>2400</v>
      </c>
      <c r="F101" s="29" t="s">
        <v>2272</v>
      </c>
      <c r="G101" s="29" t="s">
        <v>396</v>
      </c>
      <c r="H101" s="28" t="s">
        <v>132</v>
      </c>
      <c r="I101" s="21">
        <v>-9.37635E-2</v>
      </c>
      <c r="J101" s="21">
        <v>-72.040356399999993</v>
      </c>
      <c r="K101" s="21">
        <v>177800</v>
      </c>
      <c r="L101" s="3">
        <v>2005</v>
      </c>
      <c r="M101" s="3">
        <v>2005</v>
      </c>
      <c r="N101" s="3" t="s">
        <v>2272</v>
      </c>
      <c r="O101" s="3" t="s">
        <v>66</v>
      </c>
      <c r="P101" s="5" t="s">
        <v>5181</v>
      </c>
      <c r="Q101" s="3" t="s">
        <v>1379</v>
      </c>
    </row>
    <row r="102" spans="1:21" ht="48" customHeight="1">
      <c r="A102" s="31">
        <v>10</v>
      </c>
      <c r="B102" s="53" t="s">
        <v>2293</v>
      </c>
      <c r="C102" s="11" t="s">
        <v>143</v>
      </c>
      <c r="D102" s="31" t="s">
        <v>2393</v>
      </c>
      <c r="E102" s="28" t="s">
        <v>2394</v>
      </c>
      <c r="F102" s="30" t="s">
        <v>2294</v>
      </c>
      <c r="G102" s="30" t="s">
        <v>2295</v>
      </c>
      <c r="H102" s="40" t="s">
        <v>892</v>
      </c>
      <c r="I102" s="70">
        <v>-0.25</v>
      </c>
      <c r="J102" s="70">
        <v>116.5</v>
      </c>
      <c r="K102" s="70" t="s">
        <v>2272</v>
      </c>
      <c r="L102" s="89">
        <v>2001</v>
      </c>
      <c r="M102" s="89">
        <v>2001</v>
      </c>
      <c r="N102" s="70" t="s">
        <v>2272</v>
      </c>
      <c r="O102" s="3" t="s">
        <v>66</v>
      </c>
      <c r="P102" s="5" t="s">
        <v>5181</v>
      </c>
      <c r="Q102" s="19" t="s">
        <v>2302</v>
      </c>
    </row>
    <row r="103" spans="1:21" ht="64" customHeight="1">
      <c r="A103" s="31">
        <v>11</v>
      </c>
      <c r="B103" s="37" t="s">
        <v>149</v>
      </c>
      <c r="C103" s="3" t="s">
        <v>148</v>
      </c>
      <c r="D103" s="31" t="s">
        <v>2393</v>
      </c>
      <c r="E103" s="29" t="s">
        <v>2401</v>
      </c>
      <c r="F103" s="29" t="s">
        <v>150</v>
      </c>
      <c r="G103" s="29" t="s">
        <v>1377</v>
      </c>
      <c r="H103" s="28" t="s">
        <v>132</v>
      </c>
      <c r="I103" s="21">
        <v>2</v>
      </c>
      <c r="J103" s="21">
        <v>-72.5</v>
      </c>
      <c r="K103" s="21">
        <v>54136</v>
      </c>
      <c r="L103" s="3">
        <v>2001</v>
      </c>
      <c r="M103" s="3">
        <v>2009</v>
      </c>
      <c r="N103" s="3" t="s">
        <v>2272</v>
      </c>
      <c r="O103" s="3" t="s">
        <v>66</v>
      </c>
      <c r="P103" s="5" t="s">
        <v>5181</v>
      </c>
      <c r="Q103" s="4" t="s">
        <v>1381</v>
      </c>
    </row>
    <row r="104" spans="1:21" ht="94.5" customHeight="1">
      <c r="A104" s="31">
        <v>12</v>
      </c>
      <c r="B104" s="37" t="s">
        <v>162</v>
      </c>
      <c r="C104" s="3" t="s">
        <v>160</v>
      </c>
      <c r="D104" s="31" t="s">
        <v>2393</v>
      </c>
      <c r="E104" s="29" t="s">
        <v>2401</v>
      </c>
      <c r="F104" s="29" t="s">
        <v>2272</v>
      </c>
      <c r="G104" s="29" t="s">
        <v>163</v>
      </c>
      <c r="H104" s="28" t="s">
        <v>119</v>
      </c>
      <c r="I104" s="21">
        <v>-13</v>
      </c>
      <c r="J104" s="21">
        <v>-56</v>
      </c>
      <c r="K104" s="21">
        <v>900000</v>
      </c>
      <c r="L104" s="3">
        <v>2002</v>
      </c>
      <c r="M104" s="3">
        <v>2012</v>
      </c>
      <c r="N104" s="3" t="s">
        <v>2272</v>
      </c>
      <c r="O104" s="3" t="s">
        <v>147</v>
      </c>
      <c r="P104" s="5" t="s">
        <v>5181</v>
      </c>
      <c r="Q104" s="4" t="s">
        <v>1384</v>
      </c>
    </row>
    <row r="105" spans="1:21" ht="41" customHeight="1">
      <c r="A105" s="31">
        <v>12</v>
      </c>
      <c r="B105" s="37" t="s">
        <v>162</v>
      </c>
      <c r="C105" s="3" t="s">
        <v>161</v>
      </c>
      <c r="D105" s="31" t="s">
        <v>2393</v>
      </c>
      <c r="E105" s="29" t="s">
        <v>2401</v>
      </c>
      <c r="F105" s="29" t="s">
        <v>2272</v>
      </c>
      <c r="G105" s="29" t="s">
        <v>164</v>
      </c>
      <c r="H105" s="28" t="s">
        <v>119</v>
      </c>
      <c r="I105" s="21">
        <v>-5</v>
      </c>
      <c r="J105" s="21">
        <v>-52</v>
      </c>
      <c r="K105" s="21">
        <v>1200000</v>
      </c>
      <c r="L105" s="3">
        <v>2002</v>
      </c>
      <c r="M105" s="3">
        <v>2012</v>
      </c>
      <c r="N105" s="3" t="s">
        <v>2272</v>
      </c>
      <c r="O105" s="3" t="s">
        <v>147</v>
      </c>
      <c r="P105" s="5" t="s">
        <v>5181</v>
      </c>
      <c r="Q105" s="3"/>
    </row>
    <row r="106" spans="1:21" ht="41" customHeight="1">
      <c r="A106" s="31">
        <v>13</v>
      </c>
      <c r="B106" s="37" t="s">
        <v>175</v>
      </c>
      <c r="C106" s="3" t="s">
        <v>172</v>
      </c>
      <c r="D106" s="31" t="s">
        <v>2393</v>
      </c>
      <c r="E106" s="28" t="s">
        <v>2394</v>
      </c>
      <c r="F106" s="29" t="s">
        <v>176</v>
      </c>
      <c r="G106" s="29" t="s">
        <v>2272</v>
      </c>
      <c r="H106" s="28" t="s">
        <v>179</v>
      </c>
      <c r="I106" s="21">
        <v>4.05</v>
      </c>
      <c r="J106" s="21">
        <v>11.55</v>
      </c>
      <c r="K106" s="21" t="s">
        <v>2272</v>
      </c>
      <c r="L106" s="3">
        <v>2003</v>
      </c>
      <c r="M106" s="3">
        <v>2003</v>
      </c>
      <c r="N106" s="22">
        <v>85.3</v>
      </c>
      <c r="O106" s="3" t="s">
        <v>181</v>
      </c>
      <c r="P106" s="5" t="s">
        <v>5181</v>
      </c>
      <c r="Q106" s="3"/>
    </row>
    <row r="107" spans="1:21" ht="41" customHeight="1">
      <c r="A107" s="31">
        <v>13</v>
      </c>
      <c r="B107" s="37" t="s">
        <v>175</v>
      </c>
      <c r="C107" s="3" t="s">
        <v>173</v>
      </c>
      <c r="D107" s="31" t="s">
        <v>2393</v>
      </c>
      <c r="E107" s="28" t="s">
        <v>2394</v>
      </c>
      <c r="F107" s="29" t="s">
        <v>177</v>
      </c>
      <c r="G107" s="29" t="s">
        <v>2272</v>
      </c>
      <c r="H107" s="28" t="s">
        <v>179</v>
      </c>
      <c r="I107" s="21">
        <v>3.91</v>
      </c>
      <c r="J107" s="21">
        <v>11.87</v>
      </c>
      <c r="K107" s="21" t="s">
        <v>2272</v>
      </c>
      <c r="L107" s="3">
        <v>2003</v>
      </c>
      <c r="M107" s="3">
        <v>2003</v>
      </c>
      <c r="N107" s="22">
        <v>35.9</v>
      </c>
      <c r="O107" s="3" t="s">
        <v>181</v>
      </c>
      <c r="P107" s="5" t="s">
        <v>5181</v>
      </c>
      <c r="Q107" s="3"/>
    </row>
    <row r="108" spans="1:21" ht="41" customHeight="1">
      <c r="A108" s="31">
        <v>13</v>
      </c>
      <c r="B108" s="37" t="s">
        <v>175</v>
      </c>
      <c r="C108" s="3" t="s">
        <v>174</v>
      </c>
      <c r="D108" s="31" t="s">
        <v>2393</v>
      </c>
      <c r="E108" s="28" t="s">
        <v>2394</v>
      </c>
      <c r="F108" s="29" t="s">
        <v>178</v>
      </c>
      <c r="G108" s="29" t="s">
        <v>2272</v>
      </c>
      <c r="H108" s="28" t="s">
        <v>179</v>
      </c>
      <c r="I108" s="21">
        <v>2.81</v>
      </c>
      <c r="J108" s="21">
        <v>10.31</v>
      </c>
      <c r="K108" s="21" t="s">
        <v>2272</v>
      </c>
      <c r="L108" s="3">
        <v>2003</v>
      </c>
      <c r="M108" s="3">
        <v>2003</v>
      </c>
      <c r="N108" s="22">
        <v>7.8</v>
      </c>
      <c r="O108" s="3" t="s">
        <v>181</v>
      </c>
      <c r="P108" s="5" t="s">
        <v>5181</v>
      </c>
      <c r="Q108" s="3"/>
    </row>
    <row r="109" spans="1:21" ht="41" customHeight="1">
      <c r="A109" s="31">
        <v>14</v>
      </c>
      <c r="B109" s="37" t="s">
        <v>372</v>
      </c>
      <c r="C109" s="3" t="s">
        <v>371</v>
      </c>
      <c r="D109" s="31" t="s">
        <v>2393</v>
      </c>
      <c r="E109" s="28" t="s">
        <v>2394</v>
      </c>
      <c r="F109" s="29" t="s">
        <v>373</v>
      </c>
      <c r="G109" s="29" t="s">
        <v>2272</v>
      </c>
      <c r="H109" s="28" t="s">
        <v>374</v>
      </c>
      <c r="I109" s="21">
        <v>8.91</v>
      </c>
      <c r="J109" s="21">
        <v>-78.5</v>
      </c>
      <c r="K109" s="21">
        <v>32</v>
      </c>
      <c r="L109" s="3">
        <v>2004</v>
      </c>
      <c r="M109" s="3">
        <v>2004</v>
      </c>
      <c r="N109" s="3" t="s">
        <v>2272</v>
      </c>
      <c r="O109" s="3" t="s">
        <v>181</v>
      </c>
      <c r="P109" s="5" t="s">
        <v>5181</v>
      </c>
      <c r="Q109" s="3"/>
    </row>
    <row r="110" spans="1:21" ht="41" customHeight="1">
      <c r="A110" s="31">
        <v>15</v>
      </c>
      <c r="B110" s="37" t="s">
        <v>382</v>
      </c>
      <c r="C110" s="3" t="s">
        <v>380</v>
      </c>
      <c r="D110" s="31" t="s">
        <v>2393</v>
      </c>
      <c r="E110" s="28" t="s">
        <v>2394</v>
      </c>
      <c r="F110" s="29" t="s">
        <v>384</v>
      </c>
      <c r="G110" s="29" t="s">
        <v>2272</v>
      </c>
      <c r="H110" s="28" t="s">
        <v>383</v>
      </c>
      <c r="I110" s="21">
        <v>-6.1333333333333302</v>
      </c>
      <c r="J110" s="21">
        <v>37.116666666666703</v>
      </c>
      <c r="K110" s="21">
        <v>125.3</v>
      </c>
      <c r="L110" s="3">
        <v>1995</v>
      </c>
      <c r="M110" s="3">
        <v>1995</v>
      </c>
      <c r="N110" s="3" t="s">
        <v>2272</v>
      </c>
      <c r="O110" s="3" t="s">
        <v>181</v>
      </c>
      <c r="P110" s="5" t="s">
        <v>5181</v>
      </c>
      <c r="Q110" s="3"/>
    </row>
    <row r="111" spans="1:21" ht="41" customHeight="1">
      <c r="A111" s="31">
        <v>15</v>
      </c>
      <c r="B111" s="37" t="s">
        <v>382</v>
      </c>
      <c r="C111" s="3" t="s">
        <v>381</v>
      </c>
      <c r="D111" s="31" t="s">
        <v>2393</v>
      </c>
      <c r="E111" s="28" t="s">
        <v>2394</v>
      </c>
      <c r="F111" s="29" t="s">
        <v>385</v>
      </c>
      <c r="G111" s="29" t="s">
        <v>2272</v>
      </c>
      <c r="H111" s="28" t="s">
        <v>383</v>
      </c>
      <c r="I111" s="21">
        <v>-7.0333333333333297</v>
      </c>
      <c r="J111" s="21">
        <v>36.15</v>
      </c>
      <c r="K111" s="21">
        <v>42.77</v>
      </c>
      <c r="L111" s="3">
        <v>1995</v>
      </c>
      <c r="M111" s="3">
        <v>1995</v>
      </c>
      <c r="N111" s="3" t="s">
        <v>2272</v>
      </c>
      <c r="O111" s="3" t="s">
        <v>181</v>
      </c>
      <c r="P111" s="5" t="s">
        <v>5181</v>
      </c>
      <c r="Q111" s="3"/>
    </row>
    <row r="112" spans="1:21" ht="32.5" customHeight="1">
      <c r="A112" s="31">
        <v>15</v>
      </c>
      <c r="B112" s="37" t="s">
        <v>382</v>
      </c>
      <c r="C112" s="3" t="s">
        <v>386</v>
      </c>
      <c r="D112" s="31" t="s">
        <v>2393</v>
      </c>
      <c r="E112" s="28" t="s">
        <v>2394</v>
      </c>
      <c r="F112" s="29" t="s">
        <v>384</v>
      </c>
      <c r="G112" s="29" t="s">
        <v>2272</v>
      </c>
      <c r="H112" s="28" t="s">
        <v>383</v>
      </c>
      <c r="I112" s="21">
        <v>-6.1333333333333302</v>
      </c>
      <c r="J112" s="21">
        <v>37.116666666666703</v>
      </c>
      <c r="K112" s="21">
        <v>72</v>
      </c>
      <c r="L112" s="3">
        <v>2014</v>
      </c>
      <c r="M112" s="3">
        <v>2014</v>
      </c>
      <c r="N112" s="22">
        <v>18.180555600000002</v>
      </c>
      <c r="O112" s="3" t="s">
        <v>181</v>
      </c>
      <c r="P112" s="5" t="s">
        <v>5181</v>
      </c>
      <c r="Q112" s="3"/>
    </row>
    <row r="113" spans="1:17" ht="40.5" customHeight="1">
      <c r="A113" s="31">
        <v>15</v>
      </c>
      <c r="B113" s="37" t="s">
        <v>382</v>
      </c>
      <c r="C113" s="3" t="s">
        <v>387</v>
      </c>
      <c r="D113" s="31" t="s">
        <v>2393</v>
      </c>
      <c r="E113" s="28" t="s">
        <v>2394</v>
      </c>
      <c r="F113" s="29" t="s">
        <v>385</v>
      </c>
      <c r="G113" s="29" t="s">
        <v>2272</v>
      </c>
      <c r="H113" s="28" t="s">
        <v>383</v>
      </c>
      <c r="I113" s="21">
        <v>-7.0333333333333297</v>
      </c>
      <c r="J113" s="21">
        <v>36.15</v>
      </c>
      <c r="K113" s="21">
        <v>42.77</v>
      </c>
      <c r="L113" s="3">
        <v>2014</v>
      </c>
      <c r="M113" s="3">
        <v>2014</v>
      </c>
      <c r="N113" s="22">
        <v>55.7400047</v>
      </c>
      <c r="O113" s="3" t="s">
        <v>181</v>
      </c>
      <c r="P113" s="5" t="s">
        <v>5181</v>
      </c>
      <c r="Q113" s="3"/>
    </row>
    <row r="114" spans="1:17" ht="48" customHeight="1">
      <c r="A114" s="31">
        <v>16</v>
      </c>
      <c r="B114" s="37" t="s">
        <v>415</v>
      </c>
      <c r="C114" s="3" t="s">
        <v>414</v>
      </c>
      <c r="D114" s="31" t="s">
        <v>2393</v>
      </c>
      <c r="E114" s="28" t="s">
        <v>2394</v>
      </c>
      <c r="F114" s="29" t="s">
        <v>416</v>
      </c>
      <c r="G114" s="29" t="s">
        <v>2272</v>
      </c>
      <c r="H114" s="28" t="s">
        <v>383</v>
      </c>
      <c r="I114" s="21">
        <v>-6.56666666666667</v>
      </c>
      <c r="J114" s="21">
        <v>37.883333333333297</v>
      </c>
      <c r="K114" s="21">
        <v>26.4</v>
      </c>
      <c r="L114" s="3">
        <v>1997</v>
      </c>
      <c r="M114" s="3">
        <v>1997</v>
      </c>
      <c r="N114" s="3">
        <v>22</v>
      </c>
      <c r="O114" s="3" t="s">
        <v>181</v>
      </c>
      <c r="P114" s="5" t="s">
        <v>5181</v>
      </c>
      <c r="Q114" s="3"/>
    </row>
    <row r="115" spans="1:17" ht="40" customHeight="1">
      <c r="A115" s="31">
        <v>17</v>
      </c>
      <c r="B115" s="37" t="s">
        <v>419</v>
      </c>
      <c r="C115" s="3" t="s">
        <v>418</v>
      </c>
      <c r="D115" s="31" t="s">
        <v>2393</v>
      </c>
      <c r="E115" s="28" t="s">
        <v>2394</v>
      </c>
      <c r="F115" s="3" t="s">
        <v>2272</v>
      </c>
      <c r="G115" s="29" t="s">
        <v>421</v>
      </c>
      <c r="H115" s="28" t="s">
        <v>420</v>
      </c>
      <c r="I115" s="21">
        <v>-10.343518400000001</v>
      </c>
      <c r="J115" s="21">
        <v>30.486528799999999</v>
      </c>
      <c r="K115" s="21">
        <v>142087</v>
      </c>
      <c r="L115" s="3">
        <v>1984</v>
      </c>
      <c r="M115" s="3">
        <v>1984</v>
      </c>
      <c r="N115" s="3">
        <v>4.5</v>
      </c>
      <c r="O115" s="3" t="s">
        <v>181</v>
      </c>
      <c r="P115" s="5" t="s">
        <v>5181</v>
      </c>
      <c r="Q115" s="3"/>
    </row>
    <row r="116" spans="1:17" ht="36.5" customHeight="1">
      <c r="A116" s="31">
        <v>17</v>
      </c>
      <c r="B116" s="38" t="s">
        <v>427</v>
      </c>
      <c r="C116" s="3" t="s">
        <v>425</v>
      </c>
      <c r="D116" s="31" t="s">
        <v>2393</v>
      </c>
      <c r="E116" s="28" t="s">
        <v>2394</v>
      </c>
      <c r="F116" s="3" t="s">
        <v>2272</v>
      </c>
      <c r="G116" s="29" t="s">
        <v>421</v>
      </c>
      <c r="H116" s="28" t="s">
        <v>420</v>
      </c>
      <c r="I116" s="21">
        <v>-10.343518400000001</v>
      </c>
      <c r="J116" s="21">
        <v>30.486528799999999</v>
      </c>
      <c r="K116" s="21">
        <v>142087</v>
      </c>
      <c r="L116" s="3">
        <v>1949</v>
      </c>
      <c r="M116" s="3">
        <v>1949</v>
      </c>
      <c r="N116" s="3">
        <v>2.4</v>
      </c>
      <c r="O116" s="3" t="s">
        <v>181</v>
      </c>
      <c r="P116" s="5" t="s">
        <v>5181</v>
      </c>
      <c r="Q116" s="3"/>
    </row>
    <row r="117" spans="1:17" ht="42.5" customHeight="1">
      <c r="A117" s="31">
        <v>18</v>
      </c>
      <c r="B117" s="38" t="s">
        <v>2405</v>
      </c>
      <c r="C117" s="3" t="s">
        <v>428</v>
      </c>
      <c r="D117" s="31" t="s">
        <v>2393</v>
      </c>
      <c r="E117" s="28" t="s">
        <v>2394</v>
      </c>
      <c r="F117" s="29" t="s">
        <v>2272</v>
      </c>
      <c r="G117" s="29" t="s">
        <v>429</v>
      </c>
      <c r="H117" s="28" t="s">
        <v>383</v>
      </c>
      <c r="I117" s="21">
        <v>-5.1100000000000003</v>
      </c>
      <c r="J117" s="21">
        <v>26.05</v>
      </c>
      <c r="K117" s="21">
        <v>142500</v>
      </c>
      <c r="L117" s="3">
        <v>2006</v>
      </c>
      <c r="M117" s="3">
        <v>2007</v>
      </c>
      <c r="N117" s="3" t="s">
        <v>2272</v>
      </c>
      <c r="O117" s="3" t="s">
        <v>66</v>
      </c>
      <c r="P117" s="5" t="s">
        <v>5181</v>
      </c>
      <c r="Q117" s="3"/>
    </row>
    <row r="118" spans="1:17" ht="43.5" customHeight="1">
      <c r="A118" s="31">
        <v>19</v>
      </c>
      <c r="B118" s="37" t="s">
        <v>2406</v>
      </c>
      <c r="C118" s="3" t="s">
        <v>436</v>
      </c>
      <c r="D118" s="31" t="s">
        <v>2393</v>
      </c>
      <c r="E118" s="28" t="s">
        <v>2394</v>
      </c>
      <c r="F118" s="29" t="s">
        <v>437</v>
      </c>
      <c r="G118" s="29" t="s">
        <v>439</v>
      </c>
      <c r="H118" s="28" t="s">
        <v>383</v>
      </c>
      <c r="I118" s="21">
        <v>-7.25</v>
      </c>
      <c r="J118" s="21">
        <v>36.75</v>
      </c>
      <c r="K118" s="21" t="s">
        <v>2272</v>
      </c>
      <c r="L118" s="3">
        <v>2004</v>
      </c>
      <c r="M118" s="3">
        <v>2004</v>
      </c>
      <c r="N118" s="3" t="s">
        <v>2272</v>
      </c>
      <c r="O118" s="3" t="s">
        <v>66</v>
      </c>
      <c r="P118" s="5" t="s">
        <v>5181</v>
      </c>
      <c r="Q118" s="3"/>
    </row>
    <row r="119" spans="1:17" ht="47.5" customHeight="1">
      <c r="A119" s="31">
        <v>20</v>
      </c>
      <c r="B119" s="37" t="s">
        <v>441</v>
      </c>
      <c r="C119" s="3" t="s">
        <v>444</v>
      </c>
      <c r="D119" s="31" t="s">
        <v>2393</v>
      </c>
      <c r="E119" s="28" t="s">
        <v>2394</v>
      </c>
      <c r="F119" s="29" t="s">
        <v>442</v>
      </c>
      <c r="G119" s="3" t="s">
        <v>443</v>
      </c>
      <c r="H119" s="28" t="s">
        <v>383</v>
      </c>
      <c r="I119" s="21">
        <v>-8.68333333333333</v>
      </c>
      <c r="J119" s="21">
        <v>32.299999999999997</v>
      </c>
      <c r="K119" s="21" t="s">
        <v>2272</v>
      </c>
      <c r="L119" s="3">
        <v>2001</v>
      </c>
      <c r="M119" s="3">
        <v>2006</v>
      </c>
      <c r="N119" s="3" t="s">
        <v>2272</v>
      </c>
      <c r="O119" s="3" t="s">
        <v>66</v>
      </c>
      <c r="P119" s="5" t="s">
        <v>5181</v>
      </c>
      <c r="Q119" s="3"/>
    </row>
    <row r="120" spans="1:17" ht="71" customHeight="1">
      <c r="A120" s="31">
        <v>21</v>
      </c>
      <c r="B120" s="37" t="s">
        <v>457</v>
      </c>
      <c r="C120" s="3" t="s">
        <v>452</v>
      </c>
      <c r="D120" s="31" t="s">
        <v>2393</v>
      </c>
      <c r="E120" s="28" t="s">
        <v>2394</v>
      </c>
      <c r="F120" s="29" t="s">
        <v>454</v>
      </c>
      <c r="G120" s="3" t="s">
        <v>455</v>
      </c>
      <c r="H120" s="28" t="s">
        <v>383</v>
      </c>
      <c r="I120" s="21">
        <v>-8.0569529000000006</v>
      </c>
      <c r="J120" s="21">
        <v>31.752707600000001</v>
      </c>
      <c r="K120" s="21" t="s">
        <v>2272</v>
      </c>
      <c r="L120" s="3">
        <v>1991</v>
      </c>
      <c r="M120" s="3">
        <v>1993</v>
      </c>
      <c r="N120" s="3">
        <v>47</v>
      </c>
      <c r="O120" s="3" t="s">
        <v>66</v>
      </c>
      <c r="P120" s="5" t="s">
        <v>5181</v>
      </c>
      <c r="Q120" s="3"/>
    </row>
    <row r="121" spans="1:17" ht="56.5" customHeight="1">
      <c r="A121" s="31">
        <v>21</v>
      </c>
      <c r="B121" s="37" t="s">
        <v>457</v>
      </c>
      <c r="C121" s="3" t="s">
        <v>453</v>
      </c>
      <c r="D121" s="31" t="s">
        <v>2393</v>
      </c>
      <c r="E121" s="28" t="s">
        <v>2394</v>
      </c>
      <c r="F121" s="29" t="s">
        <v>456</v>
      </c>
      <c r="G121" s="29" t="s">
        <v>463</v>
      </c>
      <c r="H121" s="28" t="s">
        <v>420</v>
      </c>
      <c r="I121" s="21">
        <v>-8.9023839000000002</v>
      </c>
      <c r="J121" s="21">
        <v>32.0330455</v>
      </c>
      <c r="K121" s="21" t="s">
        <v>2272</v>
      </c>
      <c r="L121" s="3">
        <v>1991</v>
      </c>
      <c r="M121" s="3">
        <v>1993</v>
      </c>
      <c r="N121" s="3">
        <v>28</v>
      </c>
      <c r="O121" s="3" t="s">
        <v>66</v>
      </c>
      <c r="P121" s="5" t="s">
        <v>5181</v>
      </c>
      <c r="Q121" s="3"/>
    </row>
    <row r="122" spans="1:17" ht="34.5" customHeight="1">
      <c r="A122" s="31">
        <v>22</v>
      </c>
      <c r="B122" s="37" t="s">
        <v>468</v>
      </c>
      <c r="C122" s="3" t="s">
        <v>464</v>
      </c>
      <c r="D122" s="31" t="s">
        <v>2393</v>
      </c>
      <c r="E122" s="28" t="s">
        <v>2394</v>
      </c>
      <c r="F122" s="29" t="s">
        <v>469</v>
      </c>
      <c r="G122" s="3" t="s">
        <v>455</v>
      </c>
      <c r="H122" s="28" t="s">
        <v>383</v>
      </c>
      <c r="I122" s="21">
        <v>-8.7279999999999998</v>
      </c>
      <c r="J122" s="21">
        <v>31.725999999999999</v>
      </c>
      <c r="K122" s="21" t="s">
        <v>2272</v>
      </c>
      <c r="L122" s="3">
        <v>2010</v>
      </c>
      <c r="M122" s="3">
        <v>2010</v>
      </c>
      <c r="N122" s="3">
        <v>86</v>
      </c>
      <c r="O122" s="3" t="s">
        <v>66</v>
      </c>
      <c r="P122" s="5" t="s">
        <v>5181</v>
      </c>
      <c r="Q122" s="3"/>
    </row>
    <row r="123" spans="1:17" ht="40" customHeight="1">
      <c r="A123" s="31">
        <v>22</v>
      </c>
      <c r="B123" s="37" t="s">
        <v>468</v>
      </c>
      <c r="C123" s="3" t="s">
        <v>465</v>
      </c>
      <c r="D123" s="31" t="s">
        <v>2393</v>
      </c>
      <c r="E123" s="28" t="s">
        <v>2394</v>
      </c>
      <c r="F123" s="29" t="s">
        <v>470</v>
      </c>
      <c r="G123" s="3" t="s">
        <v>455</v>
      </c>
      <c r="H123" s="28" t="s">
        <v>383</v>
      </c>
      <c r="I123" s="21">
        <v>-7.4089999999999998</v>
      </c>
      <c r="J123" s="21">
        <v>31.14</v>
      </c>
      <c r="K123" s="21" t="s">
        <v>2272</v>
      </c>
      <c r="L123" s="3">
        <v>2010</v>
      </c>
      <c r="M123" s="3">
        <v>2010</v>
      </c>
      <c r="N123" s="3">
        <v>13.5</v>
      </c>
      <c r="O123" s="3" t="s">
        <v>66</v>
      </c>
      <c r="P123" s="5" t="s">
        <v>5181</v>
      </c>
      <c r="Q123" s="3"/>
    </row>
    <row r="124" spans="1:17" ht="119.5" customHeight="1">
      <c r="A124" s="31">
        <v>22</v>
      </c>
      <c r="B124" s="37" t="s">
        <v>468</v>
      </c>
      <c r="C124" s="3" t="s">
        <v>466</v>
      </c>
      <c r="D124" s="31" t="s">
        <v>2393</v>
      </c>
      <c r="E124" s="28" t="s">
        <v>2394</v>
      </c>
      <c r="F124" s="29" t="s">
        <v>471</v>
      </c>
      <c r="G124" s="3" t="s">
        <v>473</v>
      </c>
      <c r="H124" s="28" t="s">
        <v>420</v>
      </c>
      <c r="I124" s="21">
        <v>-10.436999999999999</v>
      </c>
      <c r="J124" s="21">
        <v>31.257000000000001</v>
      </c>
      <c r="K124" s="21" t="s">
        <v>2272</v>
      </c>
      <c r="L124" s="3">
        <v>2010</v>
      </c>
      <c r="M124" s="3">
        <v>2010</v>
      </c>
      <c r="N124" s="3">
        <v>24</v>
      </c>
      <c r="O124" s="3" t="s">
        <v>66</v>
      </c>
      <c r="P124" s="5" t="s">
        <v>5181</v>
      </c>
      <c r="Q124" s="4" t="s">
        <v>1482</v>
      </c>
    </row>
    <row r="125" spans="1:17" ht="38.5" customHeight="1">
      <c r="A125" s="31">
        <v>22</v>
      </c>
      <c r="B125" s="37" t="s">
        <v>468</v>
      </c>
      <c r="C125" s="3" t="s">
        <v>467</v>
      </c>
      <c r="D125" s="31" t="s">
        <v>2393</v>
      </c>
      <c r="E125" s="28" t="s">
        <v>2394</v>
      </c>
      <c r="F125" s="29" t="s">
        <v>472</v>
      </c>
      <c r="G125" s="3" t="s">
        <v>473</v>
      </c>
      <c r="H125" s="28" t="s">
        <v>420</v>
      </c>
      <c r="I125" s="21">
        <v>-15.913</v>
      </c>
      <c r="J125" s="21">
        <v>25.952999999999999</v>
      </c>
      <c r="K125" s="21" t="s">
        <v>2272</v>
      </c>
      <c r="L125" s="3">
        <v>2010</v>
      </c>
      <c r="M125" s="3">
        <v>2010</v>
      </c>
      <c r="N125" s="3">
        <v>25</v>
      </c>
      <c r="O125" s="3" t="s">
        <v>66</v>
      </c>
      <c r="P125" s="5" t="s">
        <v>5181</v>
      </c>
      <c r="Q125" s="3"/>
    </row>
    <row r="126" spans="1:17" ht="36" customHeight="1">
      <c r="A126" s="31">
        <v>22</v>
      </c>
      <c r="B126" s="37" t="s">
        <v>468</v>
      </c>
      <c r="C126" s="3" t="s">
        <v>495</v>
      </c>
      <c r="D126" s="31" t="s">
        <v>2393</v>
      </c>
      <c r="E126" s="28" t="s">
        <v>2394</v>
      </c>
      <c r="F126" s="29" t="s">
        <v>469</v>
      </c>
      <c r="G126" s="3" t="s">
        <v>455</v>
      </c>
      <c r="H126" s="28" t="s">
        <v>383</v>
      </c>
      <c r="I126" s="21">
        <v>-8.7279999999999998</v>
      </c>
      <c r="J126" s="21">
        <v>31.725999999999999</v>
      </c>
      <c r="K126" s="21" t="s">
        <v>2272</v>
      </c>
      <c r="L126" s="3">
        <v>1990</v>
      </c>
      <c r="M126" s="3">
        <v>1990</v>
      </c>
      <c r="N126" s="3" t="s">
        <v>2272</v>
      </c>
      <c r="O126" s="3" t="s">
        <v>181</v>
      </c>
      <c r="P126" s="5" t="s">
        <v>5181</v>
      </c>
      <c r="Q126" s="3"/>
    </row>
    <row r="127" spans="1:17" ht="28" customHeight="1">
      <c r="A127" s="31">
        <v>22</v>
      </c>
      <c r="B127" s="37" t="s">
        <v>468</v>
      </c>
      <c r="C127" s="3" t="s">
        <v>496</v>
      </c>
      <c r="D127" s="31" t="s">
        <v>2393</v>
      </c>
      <c r="E127" s="28" t="s">
        <v>2394</v>
      </c>
      <c r="F127" s="29" t="s">
        <v>470</v>
      </c>
      <c r="G127" s="3" t="s">
        <v>455</v>
      </c>
      <c r="H127" s="28" t="s">
        <v>383</v>
      </c>
      <c r="I127" s="21">
        <v>-7.4089999999999998</v>
      </c>
      <c r="J127" s="21">
        <v>31.14</v>
      </c>
      <c r="K127" s="21" t="s">
        <v>2272</v>
      </c>
      <c r="L127" s="3">
        <v>1997</v>
      </c>
      <c r="M127" s="3">
        <v>1997</v>
      </c>
      <c r="N127" s="3" t="s">
        <v>2272</v>
      </c>
      <c r="O127" s="3" t="s">
        <v>181</v>
      </c>
      <c r="P127" s="5" t="s">
        <v>5181</v>
      </c>
      <c r="Q127" s="3"/>
    </row>
    <row r="128" spans="1:17" ht="32" customHeight="1">
      <c r="A128" s="31">
        <v>22</v>
      </c>
      <c r="B128" s="37" t="s">
        <v>468</v>
      </c>
      <c r="C128" s="3" t="s">
        <v>497</v>
      </c>
      <c r="D128" s="31" t="s">
        <v>2393</v>
      </c>
      <c r="E128" s="28" t="s">
        <v>2394</v>
      </c>
      <c r="F128" s="29" t="s">
        <v>471</v>
      </c>
      <c r="G128" s="3" t="s">
        <v>473</v>
      </c>
      <c r="H128" s="28" t="s">
        <v>420</v>
      </c>
      <c r="I128" s="21">
        <v>-10.436999999999999</v>
      </c>
      <c r="J128" s="21">
        <v>31.257000000000001</v>
      </c>
      <c r="K128" s="21" t="s">
        <v>2272</v>
      </c>
      <c r="L128" s="90">
        <v>1990</v>
      </c>
      <c r="M128" s="90">
        <v>1990</v>
      </c>
      <c r="N128" s="3" t="s">
        <v>2272</v>
      </c>
      <c r="O128" s="3" t="s">
        <v>181</v>
      </c>
      <c r="P128" s="5" t="s">
        <v>5181</v>
      </c>
      <c r="Q128" s="3"/>
    </row>
    <row r="129" spans="1:17" ht="32" customHeight="1">
      <c r="A129" s="31">
        <v>23</v>
      </c>
      <c r="B129" s="53" t="s">
        <v>2303</v>
      </c>
      <c r="C129" s="11" t="s">
        <v>507</v>
      </c>
      <c r="D129" s="31" t="s">
        <v>2393</v>
      </c>
      <c r="E129" s="40" t="s">
        <v>2395</v>
      </c>
      <c r="F129" s="30" t="s">
        <v>2294</v>
      </c>
      <c r="G129" s="30" t="s">
        <v>2295</v>
      </c>
      <c r="H129" s="40" t="s">
        <v>892</v>
      </c>
      <c r="I129" s="70">
        <v>-0.25</v>
      </c>
      <c r="J129" s="70">
        <v>116.5</v>
      </c>
      <c r="K129" s="70">
        <f>226342/100</f>
        <v>2263.42</v>
      </c>
      <c r="L129" s="89">
        <v>1987</v>
      </c>
      <c r="M129" s="89">
        <v>1992</v>
      </c>
      <c r="N129" s="70" t="s">
        <v>2272</v>
      </c>
      <c r="O129" s="70" t="s">
        <v>66</v>
      </c>
      <c r="P129" s="5" t="s">
        <v>5181</v>
      </c>
      <c r="Q129" s="11"/>
    </row>
    <row r="130" spans="1:17" ht="32" customHeight="1">
      <c r="A130" s="31">
        <v>23</v>
      </c>
      <c r="B130" s="53" t="s">
        <v>2303</v>
      </c>
      <c r="C130" s="11" t="s">
        <v>2311</v>
      </c>
      <c r="D130" s="31" t="s">
        <v>2393</v>
      </c>
      <c r="E130" s="40" t="s">
        <v>2395</v>
      </c>
      <c r="F130" s="30" t="s">
        <v>2294</v>
      </c>
      <c r="G130" s="30" t="s">
        <v>2295</v>
      </c>
      <c r="H130" s="40" t="s">
        <v>892</v>
      </c>
      <c r="I130" s="70">
        <v>-0.25</v>
      </c>
      <c r="J130" s="70">
        <v>116.5</v>
      </c>
      <c r="K130" s="70">
        <f t="shared" ref="K130:K131" si="0">226342/100</f>
        <v>2263.42</v>
      </c>
      <c r="L130" s="89">
        <v>1992</v>
      </c>
      <c r="M130" s="89">
        <v>1997</v>
      </c>
      <c r="N130" s="70" t="s">
        <v>2272</v>
      </c>
      <c r="O130" s="70" t="s">
        <v>66</v>
      </c>
      <c r="P130" s="5" t="s">
        <v>5181</v>
      </c>
      <c r="Q130" s="11"/>
    </row>
    <row r="131" spans="1:17" ht="32" customHeight="1">
      <c r="A131" s="31">
        <v>23</v>
      </c>
      <c r="B131" s="53" t="s">
        <v>2303</v>
      </c>
      <c r="C131" s="11" t="s">
        <v>2312</v>
      </c>
      <c r="D131" s="31" t="s">
        <v>2393</v>
      </c>
      <c r="E131" s="40" t="s">
        <v>2395</v>
      </c>
      <c r="F131" s="30" t="s">
        <v>2294</v>
      </c>
      <c r="G131" s="30" t="s">
        <v>2295</v>
      </c>
      <c r="H131" s="40" t="s">
        <v>892</v>
      </c>
      <c r="I131" s="70">
        <v>-0.25</v>
      </c>
      <c r="J131" s="70">
        <v>116.5</v>
      </c>
      <c r="K131" s="70">
        <f t="shared" si="0"/>
        <v>2263.42</v>
      </c>
      <c r="L131" s="89">
        <v>1997</v>
      </c>
      <c r="M131" s="89">
        <v>2000</v>
      </c>
      <c r="N131" s="70" t="s">
        <v>2272</v>
      </c>
      <c r="O131" s="70" t="s">
        <v>66</v>
      </c>
      <c r="P131" s="5" t="s">
        <v>5181</v>
      </c>
      <c r="Q131" s="11"/>
    </row>
    <row r="132" spans="1:17" ht="41" customHeight="1">
      <c r="A132" s="31">
        <v>24</v>
      </c>
      <c r="B132" s="37" t="s">
        <v>509</v>
      </c>
      <c r="C132" s="3" t="s">
        <v>508</v>
      </c>
      <c r="D132" s="31" t="s">
        <v>2393</v>
      </c>
      <c r="E132" s="28" t="s">
        <v>2394</v>
      </c>
      <c r="F132" s="29" t="s">
        <v>510</v>
      </c>
      <c r="G132" s="29" t="s">
        <v>510</v>
      </c>
      <c r="H132" s="28" t="s">
        <v>71</v>
      </c>
      <c r="I132" s="21">
        <v>-18.936</v>
      </c>
      <c r="J132" s="21">
        <v>48.143999999999998</v>
      </c>
      <c r="K132" s="21" t="s">
        <v>2272</v>
      </c>
      <c r="L132" s="90">
        <v>2003</v>
      </c>
      <c r="M132" s="90">
        <v>2004</v>
      </c>
      <c r="N132" s="3" t="s">
        <v>2272</v>
      </c>
      <c r="O132" s="3" t="s">
        <v>66</v>
      </c>
      <c r="P132" s="5" t="s">
        <v>5181</v>
      </c>
      <c r="Q132" s="3"/>
    </row>
    <row r="133" spans="1:17" ht="43.5" customHeight="1">
      <c r="A133" s="31">
        <v>25</v>
      </c>
      <c r="B133" s="37" t="s">
        <v>519</v>
      </c>
      <c r="C133" s="3" t="s">
        <v>518</v>
      </c>
      <c r="D133" s="31" t="s">
        <v>2393</v>
      </c>
      <c r="E133" s="28" t="s">
        <v>2394</v>
      </c>
      <c r="F133" s="29" t="s">
        <v>2272</v>
      </c>
      <c r="G133" s="29" t="s">
        <v>1495</v>
      </c>
      <c r="H133" s="28" t="s">
        <v>71</v>
      </c>
      <c r="I133" s="21">
        <v>-24.289283000000001</v>
      </c>
      <c r="J133" s="21">
        <v>44.203907100000002</v>
      </c>
      <c r="K133" s="21">
        <v>10000</v>
      </c>
      <c r="L133" s="90">
        <v>2013</v>
      </c>
      <c r="M133" s="90">
        <v>2013</v>
      </c>
      <c r="N133" s="3">
        <v>75</v>
      </c>
      <c r="O133" s="3" t="s">
        <v>66</v>
      </c>
      <c r="P133" s="5" t="s">
        <v>5181</v>
      </c>
      <c r="Q133" s="3"/>
    </row>
    <row r="134" spans="1:17" ht="39" customHeight="1">
      <c r="A134" s="31">
        <v>26</v>
      </c>
      <c r="B134" s="37" t="s">
        <v>542</v>
      </c>
      <c r="C134" s="3" t="s">
        <v>544</v>
      </c>
      <c r="D134" s="31" t="s">
        <v>2393</v>
      </c>
      <c r="E134" s="28" t="s">
        <v>2395</v>
      </c>
      <c r="F134" s="3" t="s">
        <v>2272</v>
      </c>
      <c r="G134" s="3" t="s">
        <v>543</v>
      </c>
      <c r="H134" s="28" t="s">
        <v>119</v>
      </c>
      <c r="I134" s="21">
        <v>-3.2707711000000002</v>
      </c>
      <c r="J134" s="21">
        <v>-64.653319800000006</v>
      </c>
      <c r="K134" s="21">
        <v>7850</v>
      </c>
      <c r="L134" s="3">
        <v>1987</v>
      </c>
      <c r="M134" s="3">
        <v>1987</v>
      </c>
      <c r="N134" s="3">
        <v>0.7525965</v>
      </c>
      <c r="O134" s="3" t="s">
        <v>181</v>
      </c>
      <c r="P134" s="5" t="s">
        <v>5181</v>
      </c>
      <c r="Q134" s="3"/>
    </row>
    <row r="135" spans="1:17" ht="36.5" customHeight="1">
      <c r="A135" s="31">
        <v>26</v>
      </c>
      <c r="B135" s="37" t="s">
        <v>542</v>
      </c>
      <c r="C135" s="3" t="s">
        <v>545</v>
      </c>
      <c r="D135" s="31" t="s">
        <v>2393</v>
      </c>
      <c r="E135" s="28" t="s">
        <v>2395</v>
      </c>
      <c r="F135" s="3" t="s">
        <v>2272</v>
      </c>
      <c r="G135" s="3" t="s">
        <v>543</v>
      </c>
      <c r="H135" s="28" t="s">
        <v>119</v>
      </c>
      <c r="I135" s="21">
        <v>-3.2707711000000002</v>
      </c>
      <c r="J135" s="21">
        <v>-64.653319800000006</v>
      </c>
      <c r="K135" s="21">
        <v>7850</v>
      </c>
      <c r="L135" s="3">
        <v>2014</v>
      </c>
      <c r="M135" s="3">
        <v>2014</v>
      </c>
      <c r="N135" s="3">
        <v>2.6</v>
      </c>
      <c r="O135" s="3" t="s">
        <v>181</v>
      </c>
      <c r="P135" s="5" t="s">
        <v>5181</v>
      </c>
      <c r="Q135" s="3"/>
    </row>
    <row r="136" spans="1:17" ht="82" customHeight="1">
      <c r="A136" s="31">
        <v>27</v>
      </c>
      <c r="B136" s="57" t="s">
        <v>552</v>
      </c>
      <c r="C136" s="24" t="s">
        <v>1724</v>
      </c>
      <c r="D136" s="31" t="s">
        <v>2393</v>
      </c>
      <c r="E136" s="58" t="s">
        <v>2409</v>
      </c>
      <c r="F136" s="59" t="s">
        <v>2272</v>
      </c>
      <c r="G136" s="59" t="s">
        <v>551</v>
      </c>
      <c r="H136" s="58" t="s">
        <v>119</v>
      </c>
      <c r="I136" s="21">
        <v>-9.5613574678780395</v>
      </c>
      <c r="J136" s="21">
        <v>-72.146726164833694</v>
      </c>
      <c r="K136" s="21" t="s">
        <v>2272</v>
      </c>
      <c r="L136" s="59">
        <v>2013</v>
      </c>
      <c r="M136" s="59">
        <v>2013</v>
      </c>
      <c r="N136" s="22" t="s">
        <v>2272</v>
      </c>
      <c r="O136" s="22" t="s">
        <v>66</v>
      </c>
      <c r="P136" s="5" t="s">
        <v>5181</v>
      </c>
      <c r="Q136" s="24" t="s">
        <v>2410</v>
      </c>
    </row>
    <row r="137" spans="1:17" ht="82" customHeight="1">
      <c r="A137" s="31">
        <v>27</v>
      </c>
      <c r="B137" s="57" t="s">
        <v>552</v>
      </c>
      <c r="C137" s="24" t="s">
        <v>1723</v>
      </c>
      <c r="D137" s="31" t="s">
        <v>2393</v>
      </c>
      <c r="E137" s="58" t="s">
        <v>2409</v>
      </c>
      <c r="F137" s="59" t="s">
        <v>2272</v>
      </c>
      <c r="G137" s="59" t="s">
        <v>551</v>
      </c>
      <c r="H137" s="58" t="s">
        <v>119</v>
      </c>
      <c r="I137" s="21">
        <v>-10.0178741847118</v>
      </c>
      <c r="J137" s="21">
        <v>-66.789736696113494</v>
      </c>
      <c r="K137" s="21" t="s">
        <v>2272</v>
      </c>
      <c r="L137" s="59">
        <v>2013</v>
      </c>
      <c r="M137" s="59">
        <v>2013</v>
      </c>
      <c r="N137" s="22" t="s">
        <v>2272</v>
      </c>
      <c r="O137" s="22" t="s">
        <v>66</v>
      </c>
      <c r="P137" s="5" t="s">
        <v>5181</v>
      </c>
      <c r="Q137" s="24" t="s">
        <v>2410</v>
      </c>
    </row>
    <row r="138" spans="1:17" ht="82" customHeight="1">
      <c r="A138" s="31">
        <v>27</v>
      </c>
      <c r="B138" s="57" t="s">
        <v>552</v>
      </c>
      <c r="C138" s="24" t="s">
        <v>1725</v>
      </c>
      <c r="D138" s="31" t="s">
        <v>2393</v>
      </c>
      <c r="E138" s="58" t="s">
        <v>2409</v>
      </c>
      <c r="F138" s="59" t="s">
        <v>2272</v>
      </c>
      <c r="G138" s="59" t="s">
        <v>551</v>
      </c>
      <c r="H138" s="58" t="s">
        <v>119</v>
      </c>
      <c r="I138" s="21">
        <v>-10.134021327849601</v>
      </c>
      <c r="J138" s="21">
        <v>-67.760082002684399</v>
      </c>
      <c r="K138" s="21" t="s">
        <v>2272</v>
      </c>
      <c r="L138" s="59">
        <v>2013</v>
      </c>
      <c r="M138" s="59">
        <v>2013</v>
      </c>
      <c r="N138" s="22" t="s">
        <v>2272</v>
      </c>
      <c r="O138" s="22" t="s">
        <v>66</v>
      </c>
      <c r="P138" s="5" t="s">
        <v>5181</v>
      </c>
      <c r="Q138" s="24" t="s">
        <v>2410</v>
      </c>
    </row>
    <row r="139" spans="1:17" ht="82" customHeight="1">
      <c r="A139" s="31">
        <v>27</v>
      </c>
      <c r="B139" s="57" t="s">
        <v>552</v>
      </c>
      <c r="C139" s="24" t="s">
        <v>1726</v>
      </c>
      <c r="D139" s="31" t="s">
        <v>2393</v>
      </c>
      <c r="E139" s="58" t="s">
        <v>2409</v>
      </c>
      <c r="F139" s="59" t="s">
        <v>2272</v>
      </c>
      <c r="G139" s="59" t="s">
        <v>551</v>
      </c>
      <c r="H139" s="58" t="s">
        <v>119</v>
      </c>
      <c r="I139" s="21">
        <v>-10.5748970950303</v>
      </c>
      <c r="J139" s="21">
        <v>-67.721638571044593</v>
      </c>
      <c r="K139" s="21" t="s">
        <v>2272</v>
      </c>
      <c r="L139" s="59">
        <v>2013</v>
      </c>
      <c r="M139" s="59">
        <v>2013</v>
      </c>
      <c r="N139" s="22" t="s">
        <v>2272</v>
      </c>
      <c r="O139" s="22" t="s">
        <v>66</v>
      </c>
      <c r="P139" s="5" t="s">
        <v>5181</v>
      </c>
      <c r="Q139" s="24" t="s">
        <v>2410</v>
      </c>
    </row>
    <row r="140" spans="1:17" ht="82" customHeight="1">
      <c r="A140" s="31">
        <v>27</v>
      </c>
      <c r="B140" s="57" t="s">
        <v>552</v>
      </c>
      <c r="C140" s="24" t="s">
        <v>1727</v>
      </c>
      <c r="D140" s="31" t="s">
        <v>2393</v>
      </c>
      <c r="E140" s="58" t="s">
        <v>2409</v>
      </c>
      <c r="F140" s="59" t="s">
        <v>2272</v>
      </c>
      <c r="G140" s="59" t="s">
        <v>551</v>
      </c>
      <c r="H140" s="58" t="s">
        <v>119</v>
      </c>
      <c r="I140" s="21">
        <v>-10.2610180632664</v>
      </c>
      <c r="J140" s="21">
        <v>-67.144257961522896</v>
      </c>
      <c r="K140" s="21" t="s">
        <v>2272</v>
      </c>
      <c r="L140" s="59">
        <v>2013</v>
      </c>
      <c r="M140" s="59">
        <v>2013</v>
      </c>
      <c r="N140" s="22" t="s">
        <v>2272</v>
      </c>
      <c r="O140" s="22" t="s">
        <v>66</v>
      </c>
      <c r="P140" s="5" t="s">
        <v>5181</v>
      </c>
      <c r="Q140" s="24" t="s">
        <v>2410</v>
      </c>
    </row>
    <row r="141" spans="1:17" ht="82" customHeight="1">
      <c r="A141" s="31">
        <v>27</v>
      </c>
      <c r="B141" s="57" t="s">
        <v>552</v>
      </c>
      <c r="C141" s="24" t="s">
        <v>1730</v>
      </c>
      <c r="D141" s="31" t="s">
        <v>2393</v>
      </c>
      <c r="E141" s="58" t="s">
        <v>2409</v>
      </c>
      <c r="F141" s="59" t="s">
        <v>2272</v>
      </c>
      <c r="G141" s="59" t="s">
        <v>551</v>
      </c>
      <c r="H141" s="58" t="s">
        <v>119</v>
      </c>
      <c r="I141" s="21">
        <v>-9.0983561319372601</v>
      </c>
      <c r="J141" s="21">
        <v>-68.708961155312096</v>
      </c>
      <c r="K141" s="21" t="s">
        <v>2272</v>
      </c>
      <c r="L141" s="59">
        <v>2013</v>
      </c>
      <c r="M141" s="59">
        <v>2013</v>
      </c>
      <c r="N141" s="22" t="s">
        <v>2272</v>
      </c>
      <c r="O141" s="22" t="s">
        <v>66</v>
      </c>
      <c r="P141" s="5" t="s">
        <v>5181</v>
      </c>
      <c r="Q141" s="24" t="s">
        <v>2410</v>
      </c>
    </row>
    <row r="142" spans="1:17" ht="82" customHeight="1">
      <c r="A142" s="31">
        <v>27</v>
      </c>
      <c r="B142" s="57" t="s">
        <v>552</v>
      </c>
      <c r="C142" s="24" t="s">
        <v>1731</v>
      </c>
      <c r="D142" s="31" t="s">
        <v>2393</v>
      </c>
      <c r="E142" s="58" t="s">
        <v>2409</v>
      </c>
      <c r="F142" s="59" t="s">
        <v>2272</v>
      </c>
      <c r="G142" s="59" t="s">
        <v>551</v>
      </c>
      <c r="H142" s="58" t="s">
        <v>119</v>
      </c>
      <c r="I142" s="21">
        <v>-6.4239667922074499</v>
      </c>
      <c r="J142" s="21">
        <v>-68.264657652830493</v>
      </c>
      <c r="K142" s="21" t="s">
        <v>2272</v>
      </c>
      <c r="L142" s="59">
        <v>2013</v>
      </c>
      <c r="M142" s="59">
        <v>2013</v>
      </c>
      <c r="N142" s="22" t="s">
        <v>2272</v>
      </c>
      <c r="O142" s="22" t="s">
        <v>66</v>
      </c>
      <c r="P142" s="5" t="s">
        <v>5181</v>
      </c>
      <c r="Q142" s="24" t="s">
        <v>2410</v>
      </c>
    </row>
    <row r="143" spans="1:17" ht="82" customHeight="1">
      <c r="A143" s="31">
        <v>27</v>
      </c>
      <c r="B143" s="57" t="s">
        <v>552</v>
      </c>
      <c r="C143" s="24" t="s">
        <v>1728</v>
      </c>
      <c r="D143" s="31" t="s">
        <v>2393</v>
      </c>
      <c r="E143" s="58" t="s">
        <v>2409</v>
      </c>
      <c r="F143" s="59" t="s">
        <v>2272</v>
      </c>
      <c r="G143" s="59" t="s">
        <v>551</v>
      </c>
      <c r="H143" s="58" t="s">
        <v>119</v>
      </c>
      <c r="I143" s="21">
        <v>1.04573330617113</v>
      </c>
      <c r="J143" s="21">
        <v>-66.938947787509605</v>
      </c>
      <c r="K143" s="21" t="s">
        <v>2272</v>
      </c>
      <c r="L143" s="59">
        <v>2013</v>
      </c>
      <c r="M143" s="59">
        <v>2013</v>
      </c>
      <c r="N143" s="22" t="s">
        <v>2272</v>
      </c>
      <c r="O143" s="22" t="s">
        <v>66</v>
      </c>
      <c r="P143" s="5" t="s">
        <v>5181</v>
      </c>
      <c r="Q143" s="24" t="s">
        <v>2410</v>
      </c>
    </row>
    <row r="144" spans="1:17" ht="82" customHeight="1">
      <c r="A144" s="31">
        <v>27</v>
      </c>
      <c r="B144" s="57" t="s">
        <v>552</v>
      </c>
      <c r="C144" s="24" t="s">
        <v>1729</v>
      </c>
      <c r="D144" s="31" t="s">
        <v>2393</v>
      </c>
      <c r="E144" s="58" t="s">
        <v>2409</v>
      </c>
      <c r="F144" s="59" t="s">
        <v>2272</v>
      </c>
      <c r="G144" s="59" t="s">
        <v>551</v>
      </c>
      <c r="H144" s="58" t="s">
        <v>119</v>
      </c>
      <c r="I144" s="21">
        <v>-0.379556690268325</v>
      </c>
      <c r="J144" s="21">
        <v>-64.947348495189104</v>
      </c>
      <c r="K144" s="21" t="s">
        <v>2272</v>
      </c>
      <c r="L144" s="59">
        <v>2013</v>
      </c>
      <c r="M144" s="59">
        <v>2013</v>
      </c>
      <c r="N144" s="22" t="s">
        <v>2272</v>
      </c>
      <c r="O144" s="22" t="s">
        <v>66</v>
      </c>
      <c r="P144" s="5" t="s">
        <v>5181</v>
      </c>
      <c r="Q144" s="24" t="s">
        <v>2410</v>
      </c>
    </row>
    <row r="145" spans="1:17" ht="82" customHeight="1">
      <c r="A145" s="31">
        <v>27</v>
      </c>
      <c r="B145" s="57" t="s">
        <v>552</v>
      </c>
      <c r="C145" s="24" t="s">
        <v>1732</v>
      </c>
      <c r="D145" s="31" t="s">
        <v>2393</v>
      </c>
      <c r="E145" s="58" t="s">
        <v>2409</v>
      </c>
      <c r="F145" s="59" t="s">
        <v>2272</v>
      </c>
      <c r="G145" s="59" t="s">
        <v>551</v>
      </c>
      <c r="H145" s="58" t="s">
        <v>119</v>
      </c>
      <c r="I145" s="21">
        <v>-1.62905389506969</v>
      </c>
      <c r="J145" s="21">
        <v>-65.792490922185706</v>
      </c>
      <c r="K145" s="21" t="s">
        <v>2272</v>
      </c>
      <c r="L145" s="59">
        <v>2013</v>
      </c>
      <c r="M145" s="59">
        <v>2013</v>
      </c>
      <c r="N145" s="22" t="s">
        <v>2272</v>
      </c>
      <c r="O145" s="22" t="s">
        <v>66</v>
      </c>
      <c r="P145" s="5" t="s">
        <v>5181</v>
      </c>
      <c r="Q145" s="24" t="s">
        <v>2410</v>
      </c>
    </row>
    <row r="146" spans="1:17" ht="82" customHeight="1">
      <c r="A146" s="31">
        <v>27</v>
      </c>
      <c r="B146" s="57" t="s">
        <v>552</v>
      </c>
      <c r="C146" s="24" t="s">
        <v>1733</v>
      </c>
      <c r="D146" s="31" t="s">
        <v>2393</v>
      </c>
      <c r="E146" s="58" t="s">
        <v>2409</v>
      </c>
      <c r="F146" s="59" t="s">
        <v>2272</v>
      </c>
      <c r="G146" s="59" t="s">
        <v>551</v>
      </c>
      <c r="H146" s="58" t="s">
        <v>119</v>
      </c>
      <c r="I146" s="21">
        <v>-3.1894407519560599</v>
      </c>
      <c r="J146" s="21">
        <v>-60.259330326162001</v>
      </c>
      <c r="K146" s="21" t="s">
        <v>2272</v>
      </c>
      <c r="L146" s="59">
        <v>2013</v>
      </c>
      <c r="M146" s="59">
        <v>2013</v>
      </c>
      <c r="N146" s="22" t="s">
        <v>2272</v>
      </c>
      <c r="O146" s="22" t="s">
        <v>66</v>
      </c>
      <c r="P146" s="5" t="s">
        <v>5181</v>
      </c>
      <c r="Q146" s="24" t="s">
        <v>2410</v>
      </c>
    </row>
    <row r="147" spans="1:17" ht="82" customHeight="1">
      <c r="A147" s="31">
        <v>27</v>
      </c>
      <c r="B147" s="57" t="s">
        <v>552</v>
      </c>
      <c r="C147" s="24" t="s">
        <v>1734</v>
      </c>
      <c r="D147" s="31" t="s">
        <v>2393</v>
      </c>
      <c r="E147" s="58" t="s">
        <v>2409</v>
      </c>
      <c r="F147" s="59" t="s">
        <v>2272</v>
      </c>
      <c r="G147" s="59" t="s">
        <v>551</v>
      </c>
      <c r="H147" s="58" t="s">
        <v>119</v>
      </c>
      <c r="I147" s="21">
        <v>-2.7128890286808498</v>
      </c>
      <c r="J147" s="21">
        <v>-59.697903775910198</v>
      </c>
      <c r="K147" s="21" t="s">
        <v>2272</v>
      </c>
      <c r="L147" s="59">
        <v>2013</v>
      </c>
      <c r="M147" s="59">
        <v>2013</v>
      </c>
      <c r="N147" s="22" t="s">
        <v>2272</v>
      </c>
      <c r="O147" s="22" t="s">
        <v>66</v>
      </c>
      <c r="P147" s="5" t="s">
        <v>5181</v>
      </c>
      <c r="Q147" s="24" t="s">
        <v>2410</v>
      </c>
    </row>
    <row r="148" spans="1:17" ht="82" customHeight="1">
      <c r="A148" s="31">
        <v>27</v>
      </c>
      <c r="B148" s="57" t="s">
        <v>552</v>
      </c>
      <c r="C148" s="24" t="s">
        <v>1735</v>
      </c>
      <c r="D148" s="31" t="s">
        <v>2393</v>
      </c>
      <c r="E148" s="58" t="s">
        <v>2409</v>
      </c>
      <c r="F148" s="59" t="s">
        <v>2272</v>
      </c>
      <c r="G148" s="59" t="s">
        <v>551</v>
      </c>
      <c r="H148" s="58" t="s">
        <v>119</v>
      </c>
      <c r="I148" s="21">
        <v>-2.5004455209047798</v>
      </c>
      <c r="J148" s="21">
        <v>-54.810507429964801</v>
      </c>
      <c r="K148" s="21" t="s">
        <v>2272</v>
      </c>
      <c r="L148" s="59">
        <v>2013</v>
      </c>
      <c r="M148" s="59">
        <v>2013</v>
      </c>
      <c r="N148" s="22" t="s">
        <v>2272</v>
      </c>
      <c r="O148" s="22" t="s">
        <v>66</v>
      </c>
      <c r="P148" s="5" t="s">
        <v>5181</v>
      </c>
      <c r="Q148" s="24" t="s">
        <v>2410</v>
      </c>
    </row>
    <row r="149" spans="1:17" ht="82" customHeight="1">
      <c r="A149" s="31">
        <v>27</v>
      </c>
      <c r="B149" s="57" t="s">
        <v>552</v>
      </c>
      <c r="C149" s="24" t="s">
        <v>1736</v>
      </c>
      <c r="D149" s="31" t="s">
        <v>2393</v>
      </c>
      <c r="E149" s="58" t="s">
        <v>2409</v>
      </c>
      <c r="F149" s="59" t="s">
        <v>2272</v>
      </c>
      <c r="G149" s="59" t="s">
        <v>551</v>
      </c>
      <c r="H149" s="58" t="s">
        <v>119</v>
      </c>
      <c r="I149" s="21">
        <v>-2.1105943215507499</v>
      </c>
      <c r="J149" s="21">
        <v>-53.725391238420997</v>
      </c>
      <c r="K149" s="21" t="s">
        <v>2272</v>
      </c>
      <c r="L149" s="59">
        <v>2013</v>
      </c>
      <c r="M149" s="59">
        <v>2013</v>
      </c>
      <c r="N149" s="22" t="s">
        <v>2272</v>
      </c>
      <c r="O149" s="22" t="s">
        <v>66</v>
      </c>
      <c r="P149" s="5" t="s">
        <v>5181</v>
      </c>
      <c r="Q149" s="24" t="s">
        <v>2410</v>
      </c>
    </row>
    <row r="150" spans="1:17" ht="82" customHeight="1">
      <c r="A150" s="31">
        <v>27</v>
      </c>
      <c r="B150" s="57" t="s">
        <v>552</v>
      </c>
      <c r="C150" s="24" t="s">
        <v>1737</v>
      </c>
      <c r="D150" s="31" t="s">
        <v>2393</v>
      </c>
      <c r="E150" s="58" t="s">
        <v>2409</v>
      </c>
      <c r="F150" s="59" t="s">
        <v>2272</v>
      </c>
      <c r="G150" s="59" t="s">
        <v>551</v>
      </c>
      <c r="H150" s="58" t="s">
        <v>119</v>
      </c>
      <c r="I150" s="21">
        <v>-10.975694674970599</v>
      </c>
      <c r="J150" s="21">
        <v>-68.609640143045496</v>
      </c>
      <c r="K150" s="21" t="s">
        <v>2272</v>
      </c>
      <c r="L150" s="59">
        <v>2013</v>
      </c>
      <c r="M150" s="59">
        <v>2013</v>
      </c>
      <c r="N150" s="22" t="s">
        <v>2272</v>
      </c>
      <c r="O150" s="22" t="s">
        <v>66</v>
      </c>
      <c r="P150" s="5" t="s">
        <v>5181</v>
      </c>
      <c r="Q150" s="24" t="s">
        <v>2410</v>
      </c>
    </row>
    <row r="151" spans="1:17" ht="82" customHeight="1">
      <c r="A151" s="31">
        <v>27</v>
      </c>
      <c r="B151" s="57" t="s">
        <v>552</v>
      </c>
      <c r="C151" s="24" t="s">
        <v>1738</v>
      </c>
      <c r="D151" s="31" t="s">
        <v>2393</v>
      </c>
      <c r="E151" s="58" t="s">
        <v>2409</v>
      </c>
      <c r="F151" s="59" t="s">
        <v>2272</v>
      </c>
      <c r="G151" s="59" t="s">
        <v>551</v>
      </c>
      <c r="H151" s="58" t="s">
        <v>119</v>
      </c>
      <c r="I151" s="21">
        <v>-10.864270837572001</v>
      </c>
      <c r="J151" s="21">
        <v>-69.009507405147303</v>
      </c>
      <c r="K151" s="21" t="s">
        <v>2272</v>
      </c>
      <c r="L151" s="59">
        <v>2013</v>
      </c>
      <c r="M151" s="59">
        <v>2013</v>
      </c>
      <c r="N151" s="22" t="s">
        <v>2272</v>
      </c>
      <c r="O151" s="22" t="s">
        <v>66</v>
      </c>
      <c r="P151" s="5" t="s">
        <v>5181</v>
      </c>
      <c r="Q151" s="24" t="s">
        <v>2410</v>
      </c>
    </row>
    <row r="152" spans="1:17" ht="82" customHeight="1">
      <c r="A152" s="31">
        <v>27</v>
      </c>
      <c r="B152" s="57" t="s">
        <v>552</v>
      </c>
      <c r="C152" s="24" t="s">
        <v>1739</v>
      </c>
      <c r="D152" s="31" t="s">
        <v>2393</v>
      </c>
      <c r="E152" s="58" t="s">
        <v>2409</v>
      </c>
      <c r="F152" s="59" t="s">
        <v>2272</v>
      </c>
      <c r="G152" s="59" t="s">
        <v>551</v>
      </c>
      <c r="H152" s="58" t="s">
        <v>119</v>
      </c>
      <c r="I152" s="21">
        <v>-4.0137928139320902</v>
      </c>
      <c r="J152" s="21">
        <v>-55.441524644168503</v>
      </c>
      <c r="K152" s="21" t="s">
        <v>2272</v>
      </c>
      <c r="L152" s="59">
        <v>2013</v>
      </c>
      <c r="M152" s="59">
        <v>2013</v>
      </c>
      <c r="N152" s="22" t="s">
        <v>2272</v>
      </c>
      <c r="O152" s="22" t="s">
        <v>66</v>
      </c>
      <c r="P152" s="5" t="s">
        <v>5181</v>
      </c>
      <c r="Q152" s="24" t="s">
        <v>2410</v>
      </c>
    </row>
    <row r="153" spans="1:17" ht="82" customHeight="1">
      <c r="A153" s="31">
        <v>27</v>
      </c>
      <c r="B153" s="57" t="s">
        <v>552</v>
      </c>
      <c r="C153" s="24" t="s">
        <v>1740</v>
      </c>
      <c r="D153" s="31" t="s">
        <v>2393</v>
      </c>
      <c r="E153" s="58" t="s">
        <v>2409</v>
      </c>
      <c r="F153" s="59" t="s">
        <v>2272</v>
      </c>
      <c r="G153" s="59" t="s">
        <v>551</v>
      </c>
      <c r="H153" s="58" t="s">
        <v>119</v>
      </c>
      <c r="I153" s="21">
        <v>-4.2542802096062502</v>
      </c>
      <c r="J153" s="21">
        <v>-55.173616881827698</v>
      </c>
      <c r="K153" s="21" t="s">
        <v>2272</v>
      </c>
      <c r="L153" s="59">
        <v>2013</v>
      </c>
      <c r="M153" s="59">
        <v>2013</v>
      </c>
      <c r="N153" s="22" t="s">
        <v>2272</v>
      </c>
      <c r="O153" s="22" t="s">
        <v>66</v>
      </c>
      <c r="P153" s="5" t="s">
        <v>5181</v>
      </c>
      <c r="Q153" s="24" t="s">
        <v>2410</v>
      </c>
    </row>
    <row r="154" spans="1:17" ht="82" customHeight="1">
      <c r="A154" s="31">
        <v>27</v>
      </c>
      <c r="B154" s="57" t="s">
        <v>552</v>
      </c>
      <c r="C154" s="24" t="s">
        <v>1741</v>
      </c>
      <c r="D154" s="31" t="s">
        <v>2393</v>
      </c>
      <c r="E154" s="58" t="s">
        <v>2409</v>
      </c>
      <c r="F154" s="59" t="s">
        <v>2272</v>
      </c>
      <c r="G154" s="59" t="s">
        <v>551</v>
      </c>
      <c r="H154" s="58" t="s">
        <v>119</v>
      </c>
      <c r="I154" s="21">
        <v>-3.77440714575134</v>
      </c>
      <c r="J154" s="21">
        <v>-53.385328409585</v>
      </c>
      <c r="K154" s="21" t="s">
        <v>2272</v>
      </c>
      <c r="L154" s="59">
        <v>2013</v>
      </c>
      <c r="M154" s="59">
        <v>2013</v>
      </c>
      <c r="N154" s="22" t="s">
        <v>2272</v>
      </c>
      <c r="O154" s="22" t="s">
        <v>66</v>
      </c>
      <c r="P154" s="5" t="s">
        <v>5181</v>
      </c>
      <c r="Q154" s="24" t="s">
        <v>2410</v>
      </c>
    </row>
    <row r="155" spans="1:17" ht="82" customHeight="1">
      <c r="A155" s="31">
        <v>27</v>
      </c>
      <c r="B155" s="57" t="s">
        <v>552</v>
      </c>
      <c r="C155" s="24" t="s">
        <v>1742</v>
      </c>
      <c r="D155" s="31" t="s">
        <v>2393</v>
      </c>
      <c r="E155" s="58" t="s">
        <v>2409</v>
      </c>
      <c r="F155" s="59" t="s">
        <v>2272</v>
      </c>
      <c r="G155" s="59" t="s">
        <v>551</v>
      </c>
      <c r="H155" s="58" t="s">
        <v>119</v>
      </c>
      <c r="I155" s="21">
        <v>-0.93638944272485802</v>
      </c>
      <c r="J155" s="21">
        <v>-52.315722027779998</v>
      </c>
      <c r="K155" s="21" t="s">
        <v>2272</v>
      </c>
      <c r="L155" s="59">
        <v>2013</v>
      </c>
      <c r="M155" s="59">
        <v>2013</v>
      </c>
      <c r="N155" s="22" t="s">
        <v>2272</v>
      </c>
      <c r="O155" s="22" t="s">
        <v>66</v>
      </c>
      <c r="P155" s="5" t="s">
        <v>5181</v>
      </c>
      <c r="Q155" s="24" t="s">
        <v>2410</v>
      </c>
    </row>
    <row r="156" spans="1:17" ht="82" customHeight="1">
      <c r="A156" s="31">
        <v>27</v>
      </c>
      <c r="B156" s="57" t="s">
        <v>552</v>
      </c>
      <c r="C156" s="24" t="s">
        <v>1743</v>
      </c>
      <c r="D156" s="31" t="s">
        <v>2393</v>
      </c>
      <c r="E156" s="58" t="s">
        <v>2409</v>
      </c>
      <c r="F156" s="59" t="s">
        <v>2272</v>
      </c>
      <c r="G156" s="59" t="s">
        <v>551</v>
      </c>
      <c r="H156" s="58" t="s">
        <v>119</v>
      </c>
      <c r="I156" s="21">
        <v>-3.0591397000514098</v>
      </c>
      <c r="J156" s="21">
        <v>-52.214124001360403</v>
      </c>
      <c r="K156" s="21" t="s">
        <v>2272</v>
      </c>
      <c r="L156" s="59">
        <v>2013</v>
      </c>
      <c r="M156" s="59">
        <v>2013</v>
      </c>
      <c r="N156" s="22" t="s">
        <v>2272</v>
      </c>
      <c r="O156" s="22" t="s">
        <v>66</v>
      </c>
      <c r="P156" s="5" t="s">
        <v>5181</v>
      </c>
      <c r="Q156" s="24" t="s">
        <v>2410</v>
      </c>
    </row>
    <row r="157" spans="1:17" ht="82" customHeight="1">
      <c r="A157" s="31">
        <v>27</v>
      </c>
      <c r="B157" s="57" t="s">
        <v>552</v>
      </c>
      <c r="C157" s="24" t="s">
        <v>1744</v>
      </c>
      <c r="D157" s="31" t="s">
        <v>2393</v>
      </c>
      <c r="E157" s="58" t="s">
        <v>2409</v>
      </c>
      <c r="F157" s="59" t="s">
        <v>2272</v>
      </c>
      <c r="G157" s="59" t="s">
        <v>551</v>
      </c>
      <c r="H157" s="58" t="s">
        <v>119</v>
      </c>
      <c r="I157" s="21">
        <v>-3.18124783150297</v>
      </c>
      <c r="J157" s="21">
        <v>-51.468963253373801</v>
      </c>
      <c r="K157" s="21" t="s">
        <v>2272</v>
      </c>
      <c r="L157" s="59">
        <v>2013</v>
      </c>
      <c r="M157" s="59">
        <v>2013</v>
      </c>
      <c r="N157" s="22" t="s">
        <v>2272</v>
      </c>
      <c r="O157" s="22" t="s">
        <v>66</v>
      </c>
      <c r="P157" s="5" t="s">
        <v>5181</v>
      </c>
      <c r="Q157" s="24" t="s">
        <v>2410</v>
      </c>
    </row>
    <row r="158" spans="1:17" ht="82" customHeight="1">
      <c r="A158" s="31">
        <v>27</v>
      </c>
      <c r="B158" s="57" t="s">
        <v>552</v>
      </c>
      <c r="C158" s="24" t="s">
        <v>1745</v>
      </c>
      <c r="D158" s="31" t="s">
        <v>2393</v>
      </c>
      <c r="E158" s="58" t="s">
        <v>2409</v>
      </c>
      <c r="F158" s="59" t="s">
        <v>2272</v>
      </c>
      <c r="G158" s="59" t="s">
        <v>551</v>
      </c>
      <c r="H158" s="58" t="s">
        <v>119</v>
      </c>
      <c r="I158" s="21">
        <v>-3.3826514302898398</v>
      </c>
      <c r="J158" s="21">
        <v>-51.052026611523303</v>
      </c>
      <c r="K158" s="21" t="s">
        <v>2272</v>
      </c>
      <c r="L158" s="59">
        <v>2013</v>
      </c>
      <c r="M158" s="59">
        <v>2013</v>
      </c>
      <c r="N158" s="22" t="s">
        <v>2272</v>
      </c>
      <c r="O158" s="22" t="s">
        <v>66</v>
      </c>
      <c r="P158" s="5" t="s">
        <v>5181</v>
      </c>
      <c r="Q158" s="24" t="s">
        <v>2410</v>
      </c>
    </row>
    <row r="159" spans="1:17" ht="82" customHeight="1">
      <c r="A159" s="31">
        <v>27</v>
      </c>
      <c r="B159" s="57" t="s">
        <v>552</v>
      </c>
      <c r="C159" s="24" t="s">
        <v>1746</v>
      </c>
      <c r="D159" s="31" t="s">
        <v>2393</v>
      </c>
      <c r="E159" s="58" t="s">
        <v>2409</v>
      </c>
      <c r="F159" s="59" t="s">
        <v>2272</v>
      </c>
      <c r="G159" s="59" t="s">
        <v>551</v>
      </c>
      <c r="H159" s="58" t="s">
        <v>119</v>
      </c>
      <c r="I159" s="21">
        <v>1.0400138675181301</v>
      </c>
      <c r="J159" s="21">
        <v>-52.005825843251799</v>
      </c>
      <c r="K159" s="21" t="s">
        <v>2272</v>
      </c>
      <c r="L159" s="59">
        <v>2013</v>
      </c>
      <c r="M159" s="59">
        <v>2013</v>
      </c>
      <c r="N159" s="22" t="s">
        <v>2272</v>
      </c>
      <c r="O159" s="22" t="s">
        <v>66</v>
      </c>
      <c r="P159" s="5" t="s">
        <v>5181</v>
      </c>
      <c r="Q159" s="24" t="s">
        <v>2410</v>
      </c>
    </row>
    <row r="160" spans="1:17" ht="82" customHeight="1">
      <c r="A160" s="31">
        <v>27</v>
      </c>
      <c r="B160" s="57" t="s">
        <v>552</v>
      </c>
      <c r="C160" s="24" t="s">
        <v>1747</v>
      </c>
      <c r="D160" s="31" t="s">
        <v>2393</v>
      </c>
      <c r="E160" s="58" t="s">
        <v>2409</v>
      </c>
      <c r="F160" s="59" t="s">
        <v>2272</v>
      </c>
      <c r="G160" s="59" t="s">
        <v>551</v>
      </c>
      <c r="H160" s="58" t="s">
        <v>119</v>
      </c>
      <c r="I160" s="21">
        <v>0.84945155392632599</v>
      </c>
      <c r="J160" s="21">
        <v>-51.607090785769799</v>
      </c>
      <c r="K160" s="21" t="s">
        <v>2272</v>
      </c>
      <c r="L160" s="59">
        <v>2013</v>
      </c>
      <c r="M160" s="59">
        <v>2013</v>
      </c>
      <c r="N160" s="22" t="s">
        <v>2272</v>
      </c>
      <c r="O160" s="22" t="s">
        <v>66</v>
      </c>
      <c r="P160" s="5" t="s">
        <v>5181</v>
      </c>
      <c r="Q160" s="24" t="s">
        <v>2410</v>
      </c>
    </row>
    <row r="161" spans="1:17" ht="82" customHeight="1">
      <c r="A161" s="31">
        <v>27</v>
      </c>
      <c r="B161" s="57" t="s">
        <v>552</v>
      </c>
      <c r="C161" s="24" t="s">
        <v>1748</v>
      </c>
      <c r="D161" s="31" t="s">
        <v>2393</v>
      </c>
      <c r="E161" s="58" t="s">
        <v>2409</v>
      </c>
      <c r="F161" s="59" t="s">
        <v>2272</v>
      </c>
      <c r="G161" s="59" t="s">
        <v>551</v>
      </c>
      <c r="H161" s="58" t="s">
        <v>119</v>
      </c>
      <c r="I161" s="21">
        <v>-0.25394354846828998</v>
      </c>
      <c r="J161" s="21">
        <v>-51.5147030606838</v>
      </c>
      <c r="K161" s="21" t="s">
        <v>2272</v>
      </c>
      <c r="L161" s="59">
        <v>2013</v>
      </c>
      <c r="M161" s="59">
        <v>2013</v>
      </c>
      <c r="N161" s="22" t="s">
        <v>2272</v>
      </c>
      <c r="O161" s="22" t="s">
        <v>66</v>
      </c>
      <c r="P161" s="5" t="s">
        <v>5181</v>
      </c>
      <c r="Q161" s="24" t="s">
        <v>2410</v>
      </c>
    </row>
    <row r="162" spans="1:17" ht="82" customHeight="1">
      <c r="A162" s="31">
        <v>27</v>
      </c>
      <c r="B162" s="57" t="s">
        <v>552</v>
      </c>
      <c r="C162" s="24" t="s">
        <v>1749</v>
      </c>
      <c r="D162" s="31" t="s">
        <v>2393</v>
      </c>
      <c r="E162" s="58" t="s">
        <v>2409</v>
      </c>
      <c r="F162" s="59" t="s">
        <v>2272</v>
      </c>
      <c r="G162" s="59" t="s">
        <v>551</v>
      </c>
      <c r="H162" s="58" t="s">
        <v>119</v>
      </c>
      <c r="I162" s="21">
        <v>-0.14102194500985801</v>
      </c>
      <c r="J162" s="21">
        <v>-51.420931333601501</v>
      </c>
      <c r="K162" s="21" t="s">
        <v>2272</v>
      </c>
      <c r="L162" s="59">
        <v>2013</v>
      </c>
      <c r="M162" s="59">
        <v>2013</v>
      </c>
      <c r="N162" s="22" t="s">
        <v>2272</v>
      </c>
      <c r="O162" s="22" t="s">
        <v>66</v>
      </c>
      <c r="P162" s="5" t="s">
        <v>5181</v>
      </c>
      <c r="Q162" s="24" t="s">
        <v>2410</v>
      </c>
    </row>
    <row r="163" spans="1:17" ht="82" customHeight="1">
      <c r="A163" s="31">
        <v>27</v>
      </c>
      <c r="B163" s="57" t="s">
        <v>552</v>
      </c>
      <c r="C163" s="24" t="s">
        <v>1750</v>
      </c>
      <c r="D163" s="31" t="s">
        <v>2393</v>
      </c>
      <c r="E163" s="58" t="s">
        <v>2409</v>
      </c>
      <c r="F163" s="59" t="s">
        <v>2272</v>
      </c>
      <c r="G163" s="59" t="s">
        <v>551</v>
      </c>
      <c r="H163" s="58" t="s">
        <v>119</v>
      </c>
      <c r="I163" s="21">
        <v>-2.03525697417244</v>
      </c>
      <c r="J163" s="21">
        <v>-50.9419192022741</v>
      </c>
      <c r="K163" s="21" t="s">
        <v>2272</v>
      </c>
      <c r="L163" s="59">
        <v>2013</v>
      </c>
      <c r="M163" s="59">
        <v>2013</v>
      </c>
      <c r="N163" s="22" t="s">
        <v>2272</v>
      </c>
      <c r="O163" s="22" t="s">
        <v>66</v>
      </c>
      <c r="P163" s="5" t="s">
        <v>5181</v>
      </c>
      <c r="Q163" s="24" t="s">
        <v>2410</v>
      </c>
    </row>
    <row r="164" spans="1:17" ht="82" customHeight="1">
      <c r="A164" s="31">
        <v>27</v>
      </c>
      <c r="B164" s="57" t="s">
        <v>552</v>
      </c>
      <c r="C164" s="24" t="s">
        <v>1751</v>
      </c>
      <c r="D164" s="31" t="s">
        <v>2393</v>
      </c>
      <c r="E164" s="58" t="s">
        <v>2409</v>
      </c>
      <c r="F164" s="59" t="s">
        <v>2272</v>
      </c>
      <c r="G164" s="59" t="s">
        <v>551</v>
      </c>
      <c r="H164" s="58" t="s">
        <v>119</v>
      </c>
      <c r="I164" s="21">
        <v>-1.9634013085656801</v>
      </c>
      <c r="J164" s="21">
        <v>-50.890630922426702</v>
      </c>
      <c r="K164" s="21" t="s">
        <v>2272</v>
      </c>
      <c r="L164" s="59">
        <v>2013</v>
      </c>
      <c r="M164" s="59">
        <v>2013</v>
      </c>
      <c r="N164" s="22" t="s">
        <v>2272</v>
      </c>
      <c r="O164" s="22" t="s">
        <v>66</v>
      </c>
      <c r="P164" s="5" t="s">
        <v>5181</v>
      </c>
      <c r="Q164" s="24" t="s">
        <v>2410</v>
      </c>
    </row>
    <row r="165" spans="1:17" ht="82" customHeight="1">
      <c r="A165" s="31">
        <v>27</v>
      </c>
      <c r="B165" s="57" t="s">
        <v>552</v>
      </c>
      <c r="C165" s="24" t="s">
        <v>1752</v>
      </c>
      <c r="D165" s="31" t="s">
        <v>2393</v>
      </c>
      <c r="E165" s="58" t="s">
        <v>2409</v>
      </c>
      <c r="F165" s="59" t="s">
        <v>2272</v>
      </c>
      <c r="G165" s="59" t="s">
        <v>551</v>
      </c>
      <c r="H165" s="58" t="s">
        <v>119</v>
      </c>
      <c r="I165" s="21">
        <v>-6.2830614759706904</v>
      </c>
      <c r="J165" s="21">
        <v>-51.647410398917401</v>
      </c>
      <c r="K165" s="21" t="s">
        <v>2272</v>
      </c>
      <c r="L165" s="59">
        <v>2013</v>
      </c>
      <c r="M165" s="59">
        <v>2013</v>
      </c>
      <c r="N165" s="22" t="s">
        <v>2272</v>
      </c>
      <c r="O165" s="22" t="s">
        <v>66</v>
      </c>
      <c r="P165" s="5" t="s">
        <v>5181</v>
      </c>
      <c r="Q165" s="24" t="s">
        <v>2410</v>
      </c>
    </row>
    <row r="166" spans="1:17" ht="82" customHeight="1">
      <c r="A166" s="31">
        <v>27</v>
      </c>
      <c r="B166" s="57" t="s">
        <v>552</v>
      </c>
      <c r="C166" s="24" t="s">
        <v>1753</v>
      </c>
      <c r="D166" s="31" t="s">
        <v>2393</v>
      </c>
      <c r="E166" s="58" t="s">
        <v>2409</v>
      </c>
      <c r="F166" s="59" t="s">
        <v>2272</v>
      </c>
      <c r="G166" s="59" t="s">
        <v>551</v>
      </c>
      <c r="H166" s="58" t="s">
        <v>119</v>
      </c>
      <c r="I166" s="21">
        <v>-4.7845497118208096</v>
      </c>
      <c r="J166" s="21">
        <v>-49.305165772932298</v>
      </c>
      <c r="K166" s="21" t="s">
        <v>2272</v>
      </c>
      <c r="L166" s="59">
        <v>2013</v>
      </c>
      <c r="M166" s="59">
        <v>2013</v>
      </c>
      <c r="N166" s="22" t="s">
        <v>2272</v>
      </c>
      <c r="O166" s="22" t="s">
        <v>66</v>
      </c>
      <c r="P166" s="5" t="s">
        <v>5181</v>
      </c>
      <c r="Q166" s="24" t="s">
        <v>2410</v>
      </c>
    </row>
    <row r="167" spans="1:17" ht="82" customHeight="1">
      <c r="A167" s="31">
        <v>27</v>
      </c>
      <c r="B167" s="57" t="s">
        <v>552</v>
      </c>
      <c r="C167" s="24" t="s">
        <v>1754</v>
      </c>
      <c r="D167" s="31" t="s">
        <v>2393</v>
      </c>
      <c r="E167" s="58" t="s">
        <v>2409</v>
      </c>
      <c r="F167" s="59" t="s">
        <v>2272</v>
      </c>
      <c r="G167" s="59" t="s">
        <v>551</v>
      </c>
      <c r="H167" s="58" t="s">
        <v>119</v>
      </c>
      <c r="I167" s="21">
        <v>-5.43361237687167</v>
      </c>
      <c r="J167" s="21">
        <v>-49.093104877413701</v>
      </c>
      <c r="K167" s="21" t="s">
        <v>2272</v>
      </c>
      <c r="L167" s="59">
        <v>2013</v>
      </c>
      <c r="M167" s="59">
        <v>2013</v>
      </c>
      <c r="N167" s="22" t="s">
        <v>2272</v>
      </c>
      <c r="O167" s="22" t="s">
        <v>66</v>
      </c>
      <c r="P167" s="5" t="s">
        <v>5181</v>
      </c>
      <c r="Q167" s="24" t="s">
        <v>2410</v>
      </c>
    </row>
    <row r="168" spans="1:17" ht="82" customHeight="1">
      <c r="A168" s="31">
        <v>27</v>
      </c>
      <c r="B168" s="57" t="s">
        <v>552</v>
      </c>
      <c r="C168" s="24" t="s">
        <v>1755</v>
      </c>
      <c r="D168" s="31" t="s">
        <v>2393</v>
      </c>
      <c r="E168" s="58" t="s">
        <v>2409</v>
      </c>
      <c r="F168" s="59" t="s">
        <v>2272</v>
      </c>
      <c r="G168" s="59" t="s">
        <v>551</v>
      </c>
      <c r="H168" s="58" t="s">
        <v>119</v>
      </c>
      <c r="I168" s="21">
        <v>-5.27892003048078</v>
      </c>
      <c r="J168" s="21">
        <v>-49.395325111684102</v>
      </c>
      <c r="K168" s="21" t="s">
        <v>2272</v>
      </c>
      <c r="L168" s="59">
        <v>2013</v>
      </c>
      <c r="M168" s="59">
        <v>2013</v>
      </c>
      <c r="N168" s="22" t="s">
        <v>2272</v>
      </c>
      <c r="O168" s="22" t="s">
        <v>66</v>
      </c>
      <c r="P168" s="5" t="s">
        <v>5181</v>
      </c>
      <c r="Q168" s="24" t="s">
        <v>2410</v>
      </c>
    </row>
    <row r="169" spans="1:17" ht="82" customHeight="1">
      <c r="A169" s="31">
        <v>27</v>
      </c>
      <c r="B169" s="57" t="s">
        <v>552</v>
      </c>
      <c r="C169" s="24" t="s">
        <v>1756</v>
      </c>
      <c r="D169" s="31" t="s">
        <v>2393</v>
      </c>
      <c r="E169" s="58" t="s">
        <v>2409</v>
      </c>
      <c r="F169" s="59" t="s">
        <v>2272</v>
      </c>
      <c r="G169" s="59" t="s">
        <v>551</v>
      </c>
      <c r="H169" s="58" t="s">
        <v>119</v>
      </c>
      <c r="I169" s="21">
        <v>-5.1200070287159702</v>
      </c>
      <c r="J169" s="21">
        <v>-48.434942762262303</v>
      </c>
      <c r="K169" s="21" t="s">
        <v>2272</v>
      </c>
      <c r="L169" s="59">
        <v>2013</v>
      </c>
      <c r="M169" s="59">
        <v>2013</v>
      </c>
      <c r="N169" s="22" t="s">
        <v>2272</v>
      </c>
      <c r="O169" s="22" t="s">
        <v>66</v>
      </c>
      <c r="P169" s="5" t="s">
        <v>5181</v>
      </c>
      <c r="Q169" s="24" t="s">
        <v>2410</v>
      </c>
    </row>
    <row r="170" spans="1:17" ht="82" customHeight="1">
      <c r="A170" s="31">
        <v>27</v>
      </c>
      <c r="B170" s="57" t="s">
        <v>552</v>
      </c>
      <c r="C170" s="24" t="s">
        <v>1757</v>
      </c>
      <c r="D170" s="31" t="s">
        <v>2393</v>
      </c>
      <c r="E170" s="58" t="s">
        <v>2409</v>
      </c>
      <c r="F170" s="59" t="s">
        <v>2272</v>
      </c>
      <c r="G170" s="59" t="s">
        <v>551</v>
      </c>
      <c r="H170" s="58" t="s">
        <v>119</v>
      </c>
      <c r="I170" s="21">
        <v>-5.1857602038248602</v>
      </c>
      <c r="J170" s="21">
        <v>-47.9609711232319</v>
      </c>
      <c r="K170" s="21" t="s">
        <v>2272</v>
      </c>
      <c r="L170" s="59">
        <v>2013</v>
      </c>
      <c r="M170" s="59">
        <v>2013</v>
      </c>
      <c r="N170" s="22" t="s">
        <v>2272</v>
      </c>
      <c r="O170" s="22" t="s">
        <v>66</v>
      </c>
      <c r="P170" s="5" t="s">
        <v>5181</v>
      </c>
      <c r="Q170" s="24" t="s">
        <v>2410</v>
      </c>
    </row>
    <row r="171" spans="1:17" ht="82" customHeight="1">
      <c r="A171" s="31">
        <v>27</v>
      </c>
      <c r="B171" s="57" t="s">
        <v>552</v>
      </c>
      <c r="C171" s="24" t="s">
        <v>1758</v>
      </c>
      <c r="D171" s="31" t="s">
        <v>2393</v>
      </c>
      <c r="E171" s="58" t="s">
        <v>2409</v>
      </c>
      <c r="F171" s="59" t="s">
        <v>2272</v>
      </c>
      <c r="G171" s="59" t="s">
        <v>551</v>
      </c>
      <c r="H171" s="58" t="s">
        <v>119</v>
      </c>
      <c r="I171" s="21">
        <v>-3.02736403086393</v>
      </c>
      <c r="J171" s="21">
        <v>-42.361579646213897</v>
      </c>
      <c r="K171" s="21" t="s">
        <v>2272</v>
      </c>
      <c r="L171" s="59">
        <v>2013</v>
      </c>
      <c r="M171" s="59">
        <v>2013</v>
      </c>
      <c r="N171" s="22" t="s">
        <v>2272</v>
      </c>
      <c r="O171" s="22" t="s">
        <v>66</v>
      </c>
      <c r="P171" s="5" t="s">
        <v>5181</v>
      </c>
      <c r="Q171" s="24" t="s">
        <v>2410</v>
      </c>
    </row>
    <row r="172" spans="1:17" ht="82" customHeight="1">
      <c r="A172" s="31">
        <v>27</v>
      </c>
      <c r="B172" s="57" t="s">
        <v>552</v>
      </c>
      <c r="C172" s="24" t="s">
        <v>1759</v>
      </c>
      <c r="D172" s="31" t="s">
        <v>2393</v>
      </c>
      <c r="E172" s="58" t="s">
        <v>2409</v>
      </c>
      <c r="F172" s="59" t="s">
        <v>2272</v>
      </c>
      <c r="G172" s="59" t="s">
        <v>551</v>
      </c>
      <c r="H172" s="58" t="s">
        <v>119</v>
      </c>
      <c r="I172" s="21">
        <v>-3.1535418016516301</v>
      </c>
      <c r="J172" s="21">
        <v>-43.823853367904903</v>
      </c>
      <c r="K172" s="21" t="s">
        <v>2272</v>
      </c>
      <c r="L172" s="59">
        <v>2013</v>
      </c>
      <c r="M172" s="59">
        <v>2013</v>
      </c>
      <c r="N172" s="22" t="s">
        <v>2272</v>
      </c>
      <c r="O172" s="22" t="s">
        <v>66</v>
      </c>
      <c r="P172" s="5" t="s">
        <v>5181</v>
      </c>
      <c r="Q172" s="24" t="s">
        <v>2410</v>
      </c>
    </row>
    <row r="173" spans="1:17" ht="82" customHeight="1">
      <c r="A173" s="31">
        <v>27</v>
      </c>
      <c r="B173" s="57" t="s">
        <v>552</v>
      </c>
      <c r="C173" s="24" t="s">
        <v>1760</v>
      </c>
      <c r="D173" s="31" t="s">
        <v>2393</v>
      </c>
      <c r="E173" s="58" t="s">
        <v>2409</v>
      </c>
      <c r="F173" s="59" t="s">
        <v>2272</v>
      </c>
      <c r="G173" s="59" t="s">
        <v>551</v>
      </c>
      <c r="H173" s="58" t="s">
        <v>119</v>
      </c>
      <c r="I173" s="21">
        <v>-4.4320868520059999</v>
      </c>
      <c r="J173" s="21">
        <v>-44.780033182653902</v>
      </c>
      <c r="K173" s="21" t="s">
        <v>2272</v>
      </c>
      <c r="L173" s="59">
        <v>2013</v>
      </c>
      <c r="M173" s="59">
        <v>2013</v>
      </c>
      <c r="N173" s="22" t="s">
        <v>2272</v>
      </c>
      <c r="O173" s="22" t="s">
        <v>66</v>
      </c>
      <c r="P173" s="5" t="s">
        <v>5181</v>
      </c>
      <c r="Q173" s="24" t="s">
        <v>2410</v>
      </c>
    </row>
    <row r="174" spans="1:17" ht="82" customHeight="1">
      <c r="A174" s="31">
        <v>27</v>
      </c>
      <c r="B174" s="57" t="s">
        <v>552</v>
      </c>
      <c r="C174" s="24" t="s">
        <v>1761</v>
      </c>
      <c r="D174" s="31" t="s">
        <v>2393</v>
      </c>
      <c r="E174" s="58" t="s">
        <v>2409</v>
      </c>
      <c r="F174" s="59" t="s">
        <v>2272</v>
      </c>
      <c r="G174" s="59" t="s">
        <v>551</v>
      </c>
      <c r="H174" s="58" t="s">
        <v>119</v>
      </c>
      <c r="I174" s="21">
        <v>-1.7699796122715801</v>
      </c>
      <c r="J174" s="21">
        <v>-48.725603836775001</v>
      </c>
      <c r="K174" s="21" t="s">
        <v>2272</v>
      </c>
      <c r="L174" s="59">
        <v>2013</v>
      </c>
      <c r="M174" s="59">
        <v>2013</v>
      </c>
      <c r="N174" s="22" t="s">
        <v>2272</v>
      </c>
      <c r="O174" s="22" t="s">
        <v>66</v>
      </c>
      <c r="P174" s="5" t="s">
        <v>5181</v>
      </c>
      <c r="Q174" s="24" t="s">
        <v>2410</v>
      </c>
    </row>
    <row r="175" spans="1:17" ht="82" customHeight="1">
      <c r="A175" s="31">
        <v>27</v>
      </c>
      <c r="B175" s="57" t="s">
        <v>552</v>
      </c>
      <c r="C175" s="24" t="s">
        <v>1762</v>
      </c>
      <c r="D175" s="31" t="s">
        <v>2393</v>
      </c>
      <c r="E175" s="58" t="s">
        <v>2409</v>
      </c>
      <c r="F175" s="59" t="s">
        <v>2272</v>
      </c>
      <c r="G175" s="59" t="s">
        <v>551</v>
      </c>
      <c r="H175" s="58" t="s">
        <v>119</v>
      </c>
      <c r="I175" s="21">
        <v>-1.7555566896342101</v>
      </c>
      <c r="J175" s="21">
        <v>-48.771873216568601</v>
      </c>
      <c r="K175" s="21" t="s">
        <v>2272</v>
      </c>
      <c r="L175" s="59">
        <v>2013</v>
      </c>
      <c r="M175" s="59">
        <v>2013</v>
      </c>
      <c r="N175" s="22" t="s">
        <v>2272</v>
      </c>
      <c r="O175" s="22" t="s">
        <v>66</v>
      </c>
      <c r="P175" s="5" t="s">
        <v>5181</v>
      </c>
      <c r="Q175" s="24" t="s">
        <v>2410</v>
      </c>
    </row>
    <row r="176" spans="1:17" ht="82" customHeight="1">
      <c r="A176" s="31">
        <v>27</v>
      </c>
      <c r="B176" s="57" t="s">
        <v>552</v>
      </c>
      <c r="C176" s="24" t="s">
        <v>1763</v>
      </c>
      <c r="D176" s="31" t="s">
        <v>2393</v>
      </c>
      <c r="E176" s="58" t="s">
        <v>2409</v>
      </c>
      <c r="F176" s="59" t="s">
        <v>2272</v>
      </c>
      <c r="G176" s="59" t="s">
        <v>551</v>
      </c>
      <c r="H176" s="58" t="s">
        <v>119</v>
      </c>
      <c r="I176" s="21">
        <v>-1.17899017828899</v>
      </c>
      <c r="J176" s="21">
        <v>-47.876652321925697</v>
      </c>
      <c r="K176" s="21" t="s">
        <v>2272</v>
      </c>
      <c r="L176" s="59">
        <v>2013</v>
      </c>
      <c r="M176" s="59">
        <v>2013</v>
      </c>
      <c r="N176" s="22" t="s">
        <v>2272</v>
      </c>
      <c r="O176" s="22" t="s">
        <v>66</v>
      </c>
      <c r="P176" s="5" t="s">
        <v>5181</v>
      </c>
      <c r="Q176" s="24" t="s">
        <v>2410</v>
      </c>
    </row>
    <row r="177" spans="1:17" ht="82" customHeight="1">
      <c r="A177" s="31">
        <v>27</v>
      </c>
      <c r="B177" s="57" t="s">
        <v>552</v>
      </c>
      <c r="C177" s="24" t="s">
        <v>1764</v>
      </c>
      <c r="D177" s="31" t="s">
        <v>2393</v>
      </c>
      <c r="E177" s="58" t="s">
        <v>2409</v>
      </c>
      <c r="F177" s="59" t="s">
        <v>2272</v>
      </c>
      <c r="G177" s="59" t="s">
        <v>551</v>
      </c>
      <c r="H177" s="58" t="s">
        <v>119</v>
      </c>
      <c r="I177" s="21">
        <v>-2.15594860867354</v>
      </c>
      <c r="J177" s="21">
        <v>-47.7743226649592</v>
      </c>
      <c r="K177" s="21" t="s">
        <v>2272</v>
      </c>
      <c r="L177" s="59">
        <v>2013</v>
      </c>
      <c r="M177" s="59">
        <v>2013</v>
      </c>
      <c r="N177" s="22" t="s">
        <v>2272</v>
      </c>
      <c r="O177" s="22" t="s">
        <v>66</v>
      </c>
      <c r="P177" s="5" t="s">
        <v>5181</v>
      </c>
      <c r="Q177" s="24" t="s">
        <v>2410</v>
      </c>
    </row>
    <row r="178" spans="1:17" ht="82" customHeight="1">
      <c r="A178" s="31">
        <v>27</v>
      </c>
      <c r="B178" s="57" t="s">
        <v>552</v>
      </c>
      <c r="C178" s="24" t="s">
        <v>1765</v>
      </c>
      <c r="D178" s="31" t="s">
        <v>2393</v>
      </c>
      <c r="E178" s="58" t="s">
        <v>2409</v>
      </c>
      <c r="F178" s="59" t="s">
        <v>2272</v>
      </c>
      <c r="G178" s="59" t="s">
        <v>551</v>
      </c>
      <c r="H178" s="58" t="s">
        <v>119</v>
      </c>
      <c r="I178" s="21">
        <v>-1.0871119621162599</v>
      </c>
      <c r="J178" s="21">
        <v>-47.002492607475801</v>
      </c>
      <c r="K178" s="21" t="s">
        <v>2272</v>
      </c>
      <c r="L178" s="59">
        <v>2013</v>
      </c>
      <c r="M178" s="59">
        <v>2013</v>
      </c>
      <c r="N178" s="22" t="s">
        <v>2272</v>
      </c>
      <c r="O178" s="22" t="s">
        <v>66</v>
      </c>
      <c r="P178" s="5" t="s">
        <v>5181</v>
      </c>
      <c r="Q178" s="24" t="s">
        <v>2410</v>
      </c>
    </row>
    <row r="179" spans="1:17" ht="82" customHeight="1">
      <c r="A179" s="31">
        <v>27</v>
      </c>
      <c r="B179" s="57" t="s">
        <v>552</v>
      </c>
      <c r="C179" s="24" t="s">
        <v>1766</v>
      </c>
      <c r="D179" s="31" t="s">
        <v>2393</v>
      </c>
      <c r="E179" s="58" t="s">
        <v>2409</v>
      </c>
      <c r="F179" s="59" t="s">
        <v>2272</v>
      </c>
      <c r="G179" s="59" t="s">
        <v>551</v>
      </c>
      <c r="H179" s="58" t="s">
        <v>119</v>
      </c>
      <c r="I179" s="21">
        <v>-1.7919956882308301</v>
      </c>
      <c r="J179" s="21">
        <v>-47.148373173231001</v>
      </c>
      <c r="K179" s="21" t="s">
        <v>2272</v>
      </c>
      <c r="L179" s="59">
        <v>2013</v>
      </c>
      <c r="M179" s="59">
        <v>2013</v>
      </c>
      <c r="N179" s="22" t="s">
        <v>2272</v>
      </c>
      <c r="O179" s="22" t="s">
        <v>66</v>
      </c>
      <c r="P179" s="5" t="s">
        <v>5181</v>
      </c>
      <c r="Q179" s="24" t="s">
        <v>2410</v>
      </c>
    </row>
    <row r="180" spans="1:17" ht="82" customHeight="1">
      <c r="A180" s="31">
        <v>27</v>
      </c>
      <c r="B180" s="57" t="s">
        <v>552</v>
      </c>
      <c r="C180" s="24" t="s">
        <v>1767</v>
      </c>
      <c r="D180" s="31" t="s">
        <v>2393</v>
      </c>
      <c r="E180" s="58" t="s">
        <v>2409</v>
      </c>
      <c r="F180" s="59" t="s">
        <v>2272</v>
      </c>
      <c r="G180" s="59" t="s">
        <v>551</v>
      </c>
      <c r="H180" s="58" t="s">
        <v>119</v>
      </c>
      <c r="I180" s="21">
        <v>-9.4327043589160091</v>
      </c>
      <c r="J180" s="21">
        <v>-62.861690333039199</v>
      </c>
      <c r="K180" s="21" t="s">
        <v>2272</v>
      </c>
      <c r="L180" s="59">
        <v>2013</v>
      </c>
      <c r="M180" s="59">
        <v>2013</v>
      </c>
      <c r="N180" s="22" t="s">
        <v>2272</v>
      </c>
      <c r="O180" s="22" t="s">
        <v>66</v>
      </c>
      <c r="P180" s="5" t="s">
        <v>5181</v>
      </c>
      <c r="Q180" s="24" t="s">
        <v>2410</v>
      </c>
    </row>
    <row r="181" spans="1:17" ht="82" customHeight="1">
      <c r="A181" s="31">
        <v>27</v>
      </c>
      <c r="B181" s="57" t="s">
        <v>552</v>
      </c>
      <c r="C181" s="24" t="s">
        <v>1768</v>
      </c>
      <c r="D181" s="31" t="s">
        <v>2393</v>
      </c>
      <c r="E181" s="58" t="s">
        <v>2409</v>
      </c>
      <c r="F181" s="59" t="s">
        <v>2272</v>
      </c>
      <c r="G181" s="59" t="s">
        <v>551</v>
      </c>
      <c r="H181" s="58" t="s">
        <v>119</v>
      </c>
      <c r="I181" s="21">
        <v>-10.6578776365489</v>
      </c>
      <c r="J181" s="21">
        <v>-63.082704064583403</v>
      </c>
      <c r="K181" s="21" t="s">
        <v>2272</v>
      </c>
      <c r="L181" s="59">
        <v>2013</v>
      </c>
      <c r="M181" s="59">
        <v>2013</v>
      </c>
      <c r="N181" s="22" t="s">
        <v>2272</v>
      </c>
      <c r="O181" s="22" t="s">
        <v>66</v>
      </c>
      <c r="P181" s="5" t="s">
        <v>5181</v>
      </c>
      <c r="Q181" s="24" t="s">
        <v>2410</v>
      </c>
    </row>
    <row r="182" spans="1:17" ht="82" customHeight="1">
      <c r="A182" s="31">
        <v>27</v>
      </c>
      <c r="B182" s="57" t="s">
        <v>552</v>
      </c>
      <c r="C182" s="24" t="s">
        <v>1769</v>
      </c>
      <c r="D182" s="31" t="s">
        <v>2393</v>
      </c>
      <c r="E182" s="58" t="s">
        <v>2409</v>
      </c>
      <c r="F182" s="59" t="s">
        <v>2272</v>
      </c>
      <c r="G182" s="59" t="s">
        <v>551</v>
      </c>
      <c r="H182" s="58" t="s">
        <v>119</v>
      </c>
      <c r="I182" s="21">
        <v>-13.596579223026</v>
      </c>
      <c r="J182" s="21">
        <v>-59.614161000066503</v>
      </c>
      <c r="K182" s="21" t="s">
        <v>2272</v>
      </c>
      <c r="L182" s="59">
        <v>2013</v>
      </c>
      <c r="M182" s="59">
        <v>2013</v>
      </c>
      <c r="N182" s="22" t="s">
        <v>2272</v>
      </c>
      <c r="O182" s="22" t="s">
        <v>66</v>
      </c>
      <c r="P182" s="5" t="s">
        <v>5181</v>
      </c>
      <c r="Q182" s="24" t="s">
        <v>2410</v>
      </c>
    </row>
    <row r="183" spans="1:17" ht="82" customHeight="1">
      <c r="A183" s="31">
        <v>27</v>
      </c>
      <c r="B183" s="57" t="s">
        <v>552</v>
      </c>
      <c r="C183" s="24" t="s">
        <v>1770</v>
      </c>
      <c r="D183" s="31" t="s">
        <v>2393</v>
      </c>
      <c r="E183" s="58" t="s">
        <v>2409</v>
      </c>
      <c r="F183" s="59" t="s">
        <v>2272</v>
      </c>
      <c r="G183" s="59" t="s">
        <v>551</v>
      </c>
      <c r="H183" s="58" t="s">
        <v>119</v>
      </c>
      <c r="I183" s="21">
        <v>-14.7496545101748</v>
      </c>
      <c r="J183" s="21">
        <v>-59.235153189501901</v>
      </c>
      <c r="K183" s="21" t="s">
        <v>2272</v>
      </c>
      <c r="L183" s="59">
        <v>2013</v>
      </c>
      <c r="M183" s="59">
        <v>2013</v>
      </c>
      <c r="N183" s="22" t="s">
        <v>2272</v>
      </c>
      <c r="O183" s="22" t="s">
        <v>66</v>
      </c>
      <c r="P183" s="5" t="s">
        <v>5181</v>
      </c>
      <c r="Q183" s="24" t="s">
        <v>2410</v>
      </c>
    </row>
    <row r="184" spans="1:17" ht="59" customHeight="1">
      <c r="A184" s="31">
        <v>28</v>
      </c>
      <c r="B184" s="37" t="s">
        <v>559</v>
      </c>
      <c r="C184" s="3" t="s">
        <v>553</v>
      </c>
      <c r="D184" s="31" t="s">
        <v>2411</v>
      </c>
      <c r="E184" s="28" t="s">
        <v>2394</v>
      </c>
      <c r="F184" s="3" t="s">
        <v>558</v>
      </c>
      <c r="G184" s="3" t="s">
        <v>557</v>
      </c>
      <c r="H184" s="28" t="s">
        <v>119</v>
      </c>
      <c r="I184" s="21">
        <v>-10.592850800000001</v>
      </c>
      <c r="J184" s="21">
        <v>-67.837599299999994</v>
      </c>
      <c r="K184" s="21">
        <v>3176</v>
      </c>
      <c r="L184" s="3">
        <v>1996</v>
      </c>
      <c r="M184" s="3">
        <v>1996</v>
      </c>
      <c r="N184" s="3" t="s">
        <v>2272</v>
      </c>
      <c r="O184" s="3" t="s">
        <v>181</v>
      </c>
      <c r="P184" s="5" t="s">
        <v>5181</v>
      </c>
      <c r="Q184" s="3"/>
    </row>
    <row r="185" spans="1:17" ht="62.5" customHeight="1">
      <c r="A185" s="31">
        <v>28</v>
      </c>
      <c r="B185" s="37" t="s">
        <v>559</v>
      </c>
      <c r="C185" s="3" t="s">
        <v>554</v>
      </c>
      <c r="D185" s="31" t="s">
        <v>2411</v>
      </c>
      <c r="E185" s="28" t="s">
        <v>2394</v>
      </c>
      <c r="F185" s="3" t="s">
        <v>556</v>
      </c>
      <c r="G185" s="3" t="s">
        <v>555</v>
      </c>
      <c r="H185" s="28" t="s">
        <v>119</v>
      </c>
      <c r="I185" s="21">
        <v>-10.6615097</v>
      </c>
      <c r="J185" s="21">
        <v>-62.162539299999999</v>
      </c>
      <c r="K185" s="21">
        <v>3000</v>
      </c>
      <c r="L185" s="3">
        <v>1996</v>
      </c>
      <c r="M185" s="3">
        <v>1996</v>
      </c>
      <c r="N185" s="3" t="s">
        <v>2272</v>
      </c>
      <c r="O185" s="3" t="s">
        <v>181</v>
      </c>
      <c r="P185" s="5" t="s">
        <v>5181</v>
      </c>
      <c r="Q185" s="3"/>
    </row>
    <row r="186" spans="1:17" ht="62.5" customHeight="1">
      <c r="A186" s="31">
        <v>29</v>
      </c>
      <c r="B186" s="37" t="s">
        <v>587</v>
      </c>
      <c r="C186" s="3" t="s">
        <v>569</v>
      </c>
      <c r="D186" s="3" t="s">
        <v>2393</v>
      </c>
      <c r="E186" s="28" t="s">
        <v>2394</v>
      </c>
      <c r="F186" s="3" t="s">
        <v>2272</v>
      </c>
      <c r="G186" s="3" t="s">
        <v>1908</v>
      </c>
      <c r="H186" s="28" t="s">
        <v>1944</v>
      </c>
      <c r="I186" s="21">
        <v>-19.1550036118843</v>
      </c>
      <c r="J186" s="21">
        <v>23.576400374991898</v>
      </c>
      <c r="K186" s="21" t="s">
        <v>2272</v>
      </c>
      <c r="L186" s="3">
        <v>1985</v>
      </c>
      <c r="M186" s="3">
        <v>1985</v>
      </c>
      <c r="N186" s="3" t="s">
        <v>2272</v>
      </c>
      <c r="O186" s="3" t="s">
        <v>66</v>
      </c>
      <c r="P186" s="5" t="s">
        <v>5181</v>
      </c>
      <c r="Q186" s="4" t="s">
        <v>1949</v>
      </c>
    </row>
    <row r="187" spans="1:17" ht="62.5" customHeight="1">
      <c r="A187" s="31">
        <v>29</v>
      </c>
      <c r="B187" s="37" t="s">
        <v>587</v>
      </c>
      <c r="C187" s="3" t="s">
        <v>570</v>
      </c>
      <c r="D187" s="3" t="s">
        <v>2393</v>
      </c>
      <c r="E187" s="28" t="s">
        <v>2394</v>
      </c>
      <c r="F187" s="3" t="s">
        <v>1909</v>
      </c>
      <c r="G187" s="3" t="s">
        <v>2272</v>
      </c>
      <c r="H187" s="28" t="s">
        <v>1944</v>
      </c>
      <c r="I187" s="21">
        <v>-20.027692239804701</v>
      </c>
      <c r="J187" s="21">
        <v>21.535794259086799</v>
      </c>
      <c r="K187" s="21" t="s">
        <v>2272</v>
      </c>
      <c r="L187" s="3">
        <v>1985</v>
      </c>
      <c r="M187" s="3">
        <v>1985</v>
      </c>
      <c r="N187" s="3" t="s">
        <v>2272</v>
      </c>
      <c r="O187" s="3" t="s">
        <v>66</v>
      </c>
      <c r="P187" s="5" t="s">
        <v>5181</v>
      </c>
      <c r="Q187" s="4" t="s">
        <v>1949</v>
      </c>
    </row>
    <row r="188" spans="1:17" ht="62.5" customHeight="1">
      <c r="A188" s="31">
        <v>29</v>
      </c>
      <c r="B188" s="37" t="s">
        <v>587</v>
      </c>
      <c r="C188" s="3" t="s">
        <v>571</v>
      </c>
      <c r="D188" s="3" t="s">
        <v>2393</v>
      </c>
      <c r="E188" s="28" t="s">
        <v>2394</v>
      </c>
      <c r="F188" s="3" t="s">
        <v>1910</v>
      </c>
      <c r="G188" s="3" t="s">
        <v>2272</v>
      </c>
      <c r="H188" s="28" t="s">
        <v>1944</v>
      </c>
      <c r="I188" s="21">
        <v>-22.177074171542799</v>
      </c>
      <c r="J188" s="21">
        <v>22.9406037306229</v>
      </c>
      <c r="K188" s="21" t="s">
        <v>2272</v>
      </c>
      <c r="L188" s="3">
        <v>1985</v>
      </c>
      <c r="M188" s="3">
        <v>1985</v>
      </c>
      <c r="N188" s="3" t="s">
        <v>2272</v>
      </c>
      <c r="O188" s="3" t="s">
        <v>66</v>
      </c>
      <c r="P188" s="5" t="s">
        <v>5181</v>
      </c>
      <c r="Q188" s="4" t="s">
        <v>1949</v>
      </c>
    </row>
    <row r="189" spans="1:17" ht="62.5" customHeight="1">
      <c r="A189" s="31">
        <v>29</v>
      </c>
      <c r="B189" s="37" t="s">
        <v>587</v>
      </c>
      <c r="C189" s="3" t="s">
        <v>572</v>
      </c>
      <c r="D189" s="3" t="s">
        <v>2393</v>
      </c>
      <c r="E189" s="28" t="s">
        <v>2394</v>
      </c>
      <c r="F189" s="3" t="s">
        <v>2272</v>
      </c>
      <c r="G189" s="3" t="s">
        <v>1911</v>
      </c>
      <c r="H189" s="28" t="s">
        <v>1944</v>
      </c>
      <c r="I189" s="21">
        <v>-24.155826383108899</v>
      </c>
      <c r="J189" s="21">
        <v>25.641106096813001</v>
      </c>
      <c r="K189" s="21" t="s">
        <v>2272</v>
      </c>
      <c r="L189" s="3">
        <v>1985</v>
      </c>
      <c r="M189" s="3">
        <v>1985</v>
      </c>
      <c r="N189" s="3" t="s">
        <v>2272</v>
      </c>
      <c r="O189" s="3" t="s">
        <v>66</v>
      </c>
      <c r="P189" s="5" t="s">
        <v>5181</v>
      </c>
      <c r="Q189" s="4" t="s">
        <v>1949</v>
      </c>
    </row>
    <row r="190" spans="1:17" ht="62.5" customHeight="1">
      <c r="A190" s="31">
        <v>29</v>
      </c>
      <c r="B190" s="37" t="s">
        <v>587</v>
      </c>
      <c r="C190" s="3" t="s">
        <v>573</v>
      </c>
      <c r="D190" s="3" t="s">
        <v>2393</v>
      </c>
      <c r="E190" s="28" t="s">
        <v>2394</v>
      </c>
      <c r="F190" s="3" t="s">
        <v>2272</v>
      </c>
      <c r="G190" s="3" t="s">
        <v>1912</v>
      </c>
      <c r="H190" s="28" t="s">
        <v>1945</v>
      </c>
      <c r="I190" s="21">
        <v>11.7625316349495</v>
      </c>
      <c r="J190" s="21">
        <v>-2.9505707368399201</v>
      </c>
      <c r="K190" s="21" t="s">
        <v>2272</v>
      </c>
      <c r="L190" s="3">
        <v>1985</v>
      </c>
      <c r="M190" s="3">
        <v>1985</v>
      </c>
      <c r="N190" s="3">
        <v>40</v>
      </c>
      <c r="O190" s="3" t="s">
        <v>66</v>
      </c>
      <c r="P190" s="5" t="s">
        <v>5181</v>
      </c>
      <c r="Q190" s="4" t="s">
        <v>1949</v>
      </c>
    </row>
    <row r="191" spans="1:17" ht="62.5" customHeight="1">
      <c r="A191" s="31">
        <v>29</v>
      </c>
      <c r="B191" s="37" t="s">
        <v>587</v>
      </c>
      <c r="C191" s="3" t="s">
        <v>574</v>
      </c>
      <c r="D191" s="3" t="s">
        <v>2393</v>
      </c>
      <c r="E191" s="28" t="s">
        <v>2394</v>
      </c>
      <c r="F191" s="3" t="s">
        <v>1913</v>
      </c>
      <c r="G191" s="3" t="s">
        <v>2272</v>
      </c>
      <c r="H191" s="28" t="s">
        <v>1945</v>
      </c>
      <c r="I191" s="21">
        <v>10.879954780908401</v>
      </c>
      <c r="J191" s="21">
        <v>-4.8309661266719202</v>
      </c>
      <c r="K191" s="21" t="s">
        <v>2272</v>
      </c>
      <c r="L191" s="3">
        <v>1985</v>
      </c>
      <c r="M191" s="3">
        <v>1985</v>
      </c>
      <c r="N191" s="3">
        <v>35</v>
      </c>
      <c r="O191" s="3" t="s">
        <v>66</v>
      </c>
      <c r="P191" s="5" t="s">
        <v>5181</v>
      </c>
      <c r="Q191" s="4" t="s">
        <v>1949</v>
      </c>
    </row>
    <row r="192" spans="1:17" ht="62.5" customHeight="1">
      <c r="A192" s="31">
        <v>29</v>
      </c>
      <c r="B192" s="37" t="s">
        <v>587</v>
      </c>
      <c r="C192" s="3" t="s">
        <v>575</v>
      </c>
      <c r="D192" s="3" t="s">
        <v>2393</v>
      </c>
      <c r="E192" s="28" t="s">
        <v>2394</v>
      </c>
      <c r="F192" s="3" t="s">
        <v>2272</v>
      </c>
      <c r="G192" s="3" t="s">
        <v>1914</v>
      </c>
      <c r="H192" s="28" t="s">
        <v>1945</v>
      </c>
      <c r="I192" s="21">
        <v>12.611229274703099</v>
      </c>
      <c r="J192" s="21">
        <v>-0.64660085477323204</v>
      </c>
      <c r="K192" s="21" t="s">
        <v>2272</v>
      </c>
      <c r="L192" s="3">
        <v>1985</v>
      </c>
      <c r="M192" s="3">
        <v>1985</v>
      </c>
      <c r="N192" s="3">
        <v>80</v>
      </c>
      <c r="O192" s="3" t="s">
        <v>66</v>
      </c>
      <c r="P192" s="5" t="s">
        <v>5181</v>
      </c>
      <c r="Q192" s="4" t="s">
        <v>1949</v>
      </c>
    </row>
    <row r="193" spans="1:17" ht="62.5" customHeight="1">
      <c r="A193" s="31">
        <v>29</v>
      </c>
      <c r="B193" s="37" t="s">
        <v>587</v>
      </c>
      <c r="C193" s="3" t="s">
        <v>576</v>
      </c>
      <c r="D193" s="3" t="s">
        <v>2393</v>
      </c>
      <c r="E193" s="28" t="s">
        <v>2394</v>
      </c>
      <c r="F193" s="3" t="s">
        <v>1915</v>
      </c>
      <c r="G193" s="3" t="s">
        <v>2272</v>
      </c>
      <c r="H193" s="28" t="s">
        <v>1945</v>
      </c>
      <c r="I193" s="21">
        <v>13.624934400000001</v>
      </c>
      <c r="J193" s="21">
        <v>-2.3813621</v>
      </c>
      <c r="K193" s="21" t="s">
        <v>2272</v>
      </c>
      <c r="L193" s="3">
        <v>1985</v>
      </c>
      <c r="M193" s="3">
        <v>1985</v>
      </c>
      <c r="N193" s="3">
        <v>50</v>
      </c>
      <c r="O193" s="3" t="s">
        <v>66</v>
      </c>
      <c r="P193" s="5" t="s">
        <v>5181</v>
      </c>
      <c r="Q193" s="4" t="s">
        <v>1949</v>
      </c>
    </row>
    <row r="194" spans="1:17" ht="62.5" customHeight="1">
      <c r="A194" s="31">
        <v>29</v>
      </c>
      <c r="B194" s="37" t="s">
        <v>587</v>
      </c>
      <c r="C194" s="3" t="s">
        <v>577</v>
      </c>
      <c r="D194" s="3" t="s">
        <v>2393</v>
      </c>
      <c r="E194" s="28" t="s">
        <v>2394</v>
      </c>
      <c r="F194" s="3" t="s">
        <v>2272</v>
      </c>
      <c r="G194" s="3" t="s">
        <v>1916</v>
      </c>
      <c r="H194" s="28" t="s">
        <v>179</v>
      </c>
      <c r="I194" s="21">
        <v>10.7540723034762</v>
      </c>
      <c r="J194" s="21">
        <v>13.8139047147715</v>
      </c>
      <c r="K194" s="21" t="s">
        <v>2272</v>
      </c>
      <c r="L194" s="3">
        <v>1985</v>
      </c>
      <c r="M194" s="3">
        <v>1985</v>
      </c>
      <c r="N194" s="3">
        <v>80</v>
      </c>
      <c r="O194" s="3" t="s">
        <v>66</v>
      </c>
      <c r="P194" s="5" t="s">
        <v>5181</v>
      </c>
      <c r="Q194" s="4" t="s">
        <v>1949</v>
      </c>
    </row>
    <row r="195" spans="1:17" ht="62.5" customHeight="1">
      <c r="A195" s="31">
        <v>29</v>
      </c>
      <c r="B195" s="37" t="s">
        <v>587</v>
      </c>
      <c r="C195" s="3" t="s">
        <v>1871</v>
      </c>
      <c r="D195" s="3" t="s">
        <v>2393</v>
      </c>
      <c r="E195" s="28" t="s">
        <v>2394</v>
      </c>
      <c r="F195" s="3" t="s">
        <v>2272</v>
      </c>
      <c r="G195" s="3" t="s">
        <v>1917</v>
      </c>
      <c r="H195" s="28" t="s">
        <v>179</v>
      </c>
      <c r="I195" s="21">
        <v>9.9535292565250302</v>
      </c>
      <c r="J195" s="21">
        <v>13.610720350500401</v>
      </c>
      <c r="K195" s="21" t="s">
        <v>2272</v>
      </c>
      <c r="L195" s="3">
        <v>1985</v>
      </c>
      <c r="M195" s="3">
        <v>1985</v>
      </c>
      <c r="N195" s="3">
        <v>40</v>
      </c>
      <c r="O195" s="3" t="s">
        <v>66</v>
      </c>
      <c r="P195" s="5" t="s">
        <v>5181</v>
      </c>
      <c r="Q195" s="4" t="s">
        <v>1949</v>
      </c>
    </row>
    <row r="196" spans="1:17" ht="62.5" customHeight="1">
      <c r="A196" s="31">
        <v>29</v>
      </c>
      <c r="B196" s="37" t="s">
        <v>587</v>
      </c>
      <c r="C196" s="3" t="s">
        <v>1872</v>
      </c>
      <c r="D196" s="3" t="s">
        <v>2393</v>
      </c>
      <c r="E196" s="28" t="s">
        <v>2394</v>
      </c>
      <c r="F196" s="3" t="s">
        <v>1918</v>
      </c>
      <c r="G196" s="3" t="s">
        <v>2272</v>
      </c>
      <c r="H196" s="28" t="s">
        <v>179</v>
      </c>
      <c r="I196" s="21">
        <v>7.6463651053823902</v>
      </c>
      <c r="J196" s="21">
        <v>13.904896788598201</v>
      </c>
      <c r="K196" s="21" t="s">
        <v>2272</v>
      </c>
      <c r="L196" s="3">
        <v>1985</v>
      </c>
      <c r="M196" s="3">
        <v>1985</v>
      </c>
      <c r="N196" s="3">
        <v>80</v>
      </c>
      <c r="O196" s="3" t="s">
        <v>66</v>
      </c>
      <c r="P196" s="5" t="s">
        <v>5181</v>
      </c>
      <c r="Q196" s="4" t="s">
        <v>1949</v>
      </c>
    </row>
    <row r="197" spans="1:17" ht="62.5" customHeight="1">
      <c r="A197" s="31">
        <v>29</v>
      </c>
      <c r="B197" s="37" t="s">
        <v>587</v>
      </c>
      <c r="C197" s="3" t="s">
        <v>1873</v>
      </c>
      <c r="D197" s="3" t="s">
        <v>2393</v>
      </c>
      <c r="E197" s="28" t="s">
        <v>2394</v>
      </c>
      <c r="F197" s="3" t="s">
        <v>2272</v>
      </c>
      <c r="G197" s="3" t="s">
        <v>2261</v>
      </c>
      <c r="H197" s="28" t="s">
        <v>179</v>
      </c>
      <c r="I197" s="21">
        <v>10.478421277062999</v>
      </c>
      <c r="J197" s="21">
        <v>14.254079002415599</v>
      </c>
      <c r="K197" s="21" t="s">
        <v>2272</v>
      </c>
      <c r="L197" s="3">
        <v>1985</v>
      </c>
      <c r="M197" s="3">
        <v>1985</v>
      </c>
      <c r="N197" s="3">
        <v>100</v>
      </c>
      <c r="O197" s="3" t="s">
        <v>66</v>
      </c>
      <c r="P197" s="5" t="s">
        <v>5181</v>
      </c>
      <c r="Q197" s="4" t="s">
        <v>1949</v>
      </c>
    </row>
    <row r="198" spans="1:17" ht="62.5" customHeight="1">
      <c r="A198" s="31">
        <v>29</v>
      </c>
      <c r="B198" s="37" t="s">
        <v>587</v>
      </c>
      <c r="C198" s="3" t="s">
        <v>1874</v>
      </c>
      <c r="D198" s="3" t="s">
        <v>2393</v>
      </c>
      <c r="E198" s="28" t="s">
        <v>2394</v>
      </c>
      <c r="F198" s="3" t="s">
        <v>1919</v>
      </c>
      <c r="G198" s="3" t="s">
        <v>2272</v>
      </c>
      <c r="H198" s="28" t="s">
        <v>179</v>
      </c>
      <c r="I198" s="21">
        <v>6.19295809572984</v>
      </c>
      <c r="J198" s="21">
        <v>12.562541729679101</v>
      </c>
      <c r="K198" s="21" t="s">
        <v>2272</v>
      </c>
      <c r="L198" s="3">
        <v>1985</v>
      </c>
      <c r="M198" s="3">
        <v>1985</v>
      </c>
      <c r="N198" s="3">
        <v>40</v>
      </c>
      <c r="O198" s="3" t="s">
        <v>66</v>
      </c>
      <c r="P198" s="5" t="s">
        <v>5181</v>
      </c>
      <c r="Q198" s="4" t="s">
        <v>1949</v>
      </c>
    </row>
    <row r="199" spans="1:17" ht="62.5" customHeight="1">
      <c r="A199" s="31">
        <v>29</v>
      </c>
      <c r="B199" s="37" t="s">
        <v>587</v>
      </c>
      <c r="C199" s="3" t="s">
        <v>1875</v>
      </c>
      <c r="D199" s="3" t="s">
        <v>2393</v>
      </c>
      <c r="E199" s="28" t="s">
        <v>2394</v>
      </c>
      <c r="F199" s="3" t="s">
        <v>2272</v>
      </c>
      <c r="G199" s="3" t="s">
        <v>1920</v>
      </c>
      <c r="H199" s="28" t="s">
        <v>179</v>
      </c>
      <c r="I199" s="21">
        <v>5.85743574413838</v>
      </c>
      <c r="J199" s="21">
        <v>10.287874022904401</v>
      </c>
      <c r="K199" s="21" t="s">
        <v>2272</v>
      </c>
      <c r="L199" s="3">
        <v>1985</v>
      </c>
      <c r="M199" s="3">
        <v>1985</v>
      </c>
      <c r="N199" s="3">
        <v>40</v>
      </c>
      <c r="O199" s="3" t="s">
        <v>66</v>
      </c>
      <c r="P199" s="5" t="s">
        <v>5181</v>
      </c>
      <c r="Q199" s="4" t="s">
        <v>1949</v>
      </c>
    </row>
    <row r="200" spans="1:17" ht="53" customHeight="1">
      <c r="A200" s="31">
        <v>29</v>
      </c>
      <c r="B200" s="37" t="s">
        <v>587</v>
      </c>
      <c r="C200" s="3" t="s">
        <v>1876</v>
      </c>
      <c r="D200" s="3" t="s">
        <v>2393</v>
      </c>
      <c r="E200" s="28" t="s">
        <v>2394</v>
      </c>
      <c r="F200" s="3" t="s">
        <v>2272</v>
      </c>
      <c r="G200" s="3" t="s">
        <v>2262</v>
      </c>
      <c r="H200" s="3" t="s">
        <v>588</v>
      </c>
      <c r="I200" s="21">
        <v>8.9565306545839896</v>
      </c>
      <c r="J200" s="21">
        <v>-6.7699408234470502</v>
      </c>
      <c r="K200" s="21" t="s">
        <v>2272</v>
      </c>
      <c r="L200" s="3">
        <v>1985</v>
      </c>
      <c r="M200" s="3">
        <v>1985</v>
      </c>
      <c r="N200" s="3">
        <v>5</v>
      </c>
      <c r="O200" s="3" t="s">
        <v>66</v>
      </c>
      <c r="P200" s="5" t="s">
        <v>5181</v>
      </c>
      <c r="Q200" s="4" t="s">
        <v>1949</v>
      </c>
    </row>
    <row r="201" spans="1:17" ht="54" customHeight="1">
      <c r="A201" s="31">
        <v>29</v>
      </c>
      <c r="B201" s="37" t="s">
        <v>587</v>
      </c>
      <c r="C201" s="3" t="s">
        <v>1879</v>
      </c>
      <c r="D201" s="3" t="s">
        <v>2393</v>
      </c>
      <c r="E201" s="28" t="s">
        <v>2394</v>
      </c>
      <c r="F201" s="3" t="s">
        <v>2272</v>
      </c>
      <c r="G201" s="3" t="s">
        <v>2263</v>
      </c>
      <c r="H201" s="3" t="s">
        <v>588</v>
      </c>
      <c r="I201" s="21">
        <v>9.2805623820391894</v>
      </c>
      <c r="J201" s="21">
        <v>-5.1582710783539101</v>
      </c>
      <c r="K201" s="21" t="s">
        <v>2272</v>
      </c>
      <c r="L201" s="3">
        <v>1985</v>
      </c>
      <c r="M201" s="3">
        <v>1985</v>
      </c>
      <c r="N201" s="3">
        <v>15</v>
      </c>
      <c r="O201" s="3" t="s">
        <v>66</v>
      </c>
      <c r="P201" s="5" t="s">
        <v>5181</v>
      </c>
      <c r="Q201" s="4" t="s">
        <v>1949</v>
      </c>
    </row>
    <row r="202" spans="1:17" ht="42.5" customHeight="1">
      <c r="A202" s="31">
        <v>29</v>
      </c>
      <c r="B202" s="37" t="s">
        <v>587</v>
      </c>
      <c r="C202" s="3" t="s">
        <v>1880</v>
      </c>
      <c r="D202" s="3" t="s">
        <v>2393</v>
      </c>
      <c r="E202" s="28" t="s">
        <v>2394</v>
      </c>
      <c r="F202" s="3" t="s">
        <v>2272</v>
      </c>
      <c r="G202" s="3" t="s">
        <v>2264</v>
      </c>
      <c r="H202" s="3" t="s">
        <v>1946</v>
      </c>
      <c r="I202" s="21">
        <v>9.7010633278366498</v>
      </c>
      <c r="J202" s="21">
        <v>39.511526716167502</v>
      </c>
      <c r="K202" s="21" t="s">
        <v>2272</v>
      </c>
      <c r="L202" s="3">
        <v>1985</v>
      </c>
      <c r="M202" s="3">
        <v>1985</v>
      </c>
      <c r="N202" s="3">
        <v>38</v>
      </c>
      <c r="O202" s="3" t="s">
        <v>66</v>
      </c>
      <c r="P202" s="5" t="s">
        <v>5181</v>
      </c>
      <c r="Q202" s="4" t="s">
        <v>1949</v>
      </c>
    </row>
    <row r="203" spans="1:17" ht="42.5" customHeight="1">
      <c r="A203" s="31">
        <v>29</v>
      </c>
      <c r="B203" s="37" t="s">
        <v>587</v>
      </c>
      <c r="C203" s="3" t="s">
        <v>1877</v>
      </c>
      <c r="D203" s="3" t="s">
        <v>2393</v>
      </c>
      <c r="E203" s="28" t="s">
        <v>2394</v>
      </c>
      <c r="F203" s="3" t="s">
        <v>1921</v>
      </c>
      <c r="G203" s="3" t="s">
        <v>2272</v>
      </c>
      <c r="H203" s="3" t="s">
        <v>1946</v>
      </c>
      <c r="I203" s="21">
        <v>9.5371298000000007</v>
      </c>
      <c r="J203" s="21">
        <v>38.298010499999997</v>
      </c>
      <c r="K203" s="21" t="s">
        <v>2272</v>
      </c>
      <c r="L203" s="3">
        <v>1985</v>
      </c>
      <c r="M203" s="3">
        <v>1985</v>
      </c>
      <c r="N203" s="3">
        <v>73</v>
      </c>
      <c r="O203" s="3" t="s">
        <v>66</v>
      </c>
      <c r="P203" s="5" t="s">
        <v>5181</v>
      </c>
      <c r="Q203" s="4" t="s">
        <v>1949</v>
      </c>
    </row>
    <row r="204" spans="1:17" ht="42.5" customHeight="1">
      <c r="A204" s="31">
        <v>29</v>
      </c>
      <c r="B204" s="37" t="s">
        <v>587</v>
      </c>
      <c r="C204" s="3" t="s">
        <v>1878</v>
      </c>
      <c r="D204" s="3" t="s">
        <v>2393</v>
      </c>
      <c r="E204" s="28" t="s">
        <v>2394</v>
      </c>
      <c r="F204" s="3" t="s">
        <v>1922</v>
      </c>
      <c r="G204" s="3" t="s">
        <v>2272</v>
      </c>
      <c r="H204" s="3" t="s">
        <v>1946</v>
      </c>
      <c r="I204" s="21">
        <v>8.5412740581124407</v>
      </c>
      <c r="J204" s="21">
        <v>39.240746538084103</v>
      </c>
      <c r="K204" s="21" t="s">
        <v>2272</v>
      </c>
      <c r="L204" s="3">
        <v>1985</v>
      </c>
      <c r="M204" s="3">
        <v>1985</v>
      </c>
      <c r="N204" s="3">
        <v>48</v>
      </c>
      <c r="O204" s="3" t="s">
        <v>66</v>
      </c>
      <c r="P204" s="5" t="s">
        <v>5181</v>
      </c>
      <c r="Q204" s="4" t="s">
        <v>1949</v>
      </c>
    </row>
    <row r="205" spans="1:17" ht="42.5" customHeight="1">
      <c r="A205" s="31">
        <v>29</v>
      </c>
      <c r="B205" s="37" t="s">
        <v>587</v>
      </c>
      <c r="C205" s="3" t="s">
        <v>1881</v>
      </c>
      <c r="D205" s="3" t="s">
        <v>2393</v>
      </c>
      <c r="E205" s="28" t="s">
        <v>2394</v>
      </c>
      <c r="F205" s="3" t="s">
        <v>1923</v>
      </c>
      <c r="G205" s="3" t="s">
        <v>2272</v>
      </c>
      <c r="H205" s="3" t="s">
        <v>1946</v>
      </c>
      <c r="I205" s="21">
        <v>8.9109453314877207</v>
      </c>
      <c r="J205" s="21">
        <v>39.778849259040399</v>
      </c>
      <c r="K205" s="21" t="s">
        <v>2272</v>
      </c>
      <c r="L205" s="3">
        <v>1985</v>
      </c>
      <c r="M205" s="3">
        <v>1985</v>
      </c>
      <c r="N205" s="3">
        <v>56</v>
      </c>
      <c r="O205" s="3" t="s">
        <v>66</v>
      </c>
      <c r="P205" s="5" t="s">
        <v>5181</v>
      </c>
      <c r="Q205" s="4" t="s">
        <v>1949</v>
      </c>
    </row>
    <row r="206" spans="1:17" ht="42.5" customHeight="1">
      <c r="A206" s="31">
        <v>29</v>
      </c>
      <c r="B206" s="37" t="s">
        <v>587</v>
      </c>
      <c r="C206" s="3" t="s">
        <v>1882</v>
      </c>
      <c r="D206" s="3" t="s">
        <v>2393</v>
      </c>
      <c r="E206" s="28" t="s">
        <v>2394</v>
      </c>
      <c r="F206" s="3" t="s">
        <v>2272</v>
      </c>
      <c r="G206" s="3" t="s">
        <v>1924</v>
      </c>
      <c r="H206" s="3" t="s">
        <v>1946</v>
      </c>
      <c r="I206" s="21">
        <v>8.9563244356202603</v>
      </c>
      <c r="J206" s="21">
        <v>38.635089337677897</v>
      </c>
      <c r="K206" s="21" t="s">
        <v>2272</v>
      </c>
      <c r="L206" s="3">
        <v>1985</v>
      </c>
      <c r="M206" s="3">
        <v>1985</v>
      </c>
      <c r="N206" s="3">
        <v>62</v>
      </c>
      <c r="O206" s="3" t="s">
        <v>66</v>
      </c>
      <c r="P206" s="5" t="s">
        <v>5181</v>
      </c>
      <c r="Q206" s="4" t="s">
        <v>1949</v>
      </c>
    </row>
    <row r="207" spans="1:17" ht="35.5" customHeight="1">
      <c r="A207" s="31">
        <v>29</v>
      </c>
      <c r="B207" s="37" t="s">
        <v>587</v>
      </c>
      <c r="C207" s="3" t="s">
        <v>1883</v>
      </c>
      <c r="D207" s="3" t="s">
        <v>2393</v>
      </c>
      <c r="E207" s="28" t="s">
        <v>2394</v>
      </c>
      <c r="F207" s="3" t="s">
        <v>2272</v>
      </c>
      <c r="G207" s="3" t="s">
        <v>2265</v>
      </c>
      <c r="H207" s="3" t="s">
        <v>593</v>
      </c>
      <c r="I207" s="21">
        <v>8.5819159467874293</v>
      </c>
      <c r="J207" s="21">
        <v>-10.130781904648501</v>
      </c>
      <c r="K207" s="21" t="s">
        <v>2272</v>
      </c>
      <c r="L207" s="3">
        <v>1985</v>
      </c>
      <c r="M207" s="3">
        <v>1985</v>
      </c>
      <c r="N207" s="3">
        <v>40</v>
      </c>
      <c r="O207" s="3" t="s">
        <v>66</v>
      </c>
      <c r="P207" s="5" t="s">
        <v>5181</v>
      </c>
      <c r="Q207" s="4" t="s">
        <v>1949</v>
      </c>
    </row>
    <row r="208" spans="1:17" ht="43.5">
      <c r="A208" s="31">
        <v>29</v>
      </c>
      <c r="B208" s="37" t="s">
        <v>587</v>
      </c>
      <c r="C208" s="3" t="s">
        <v>1884</v>
      </c>
      <c r="D208" s="3" t="s">
        <v>2393</v>
      </c>
      <c r="E208" s="28" t="s">
        <v>2394</v>
      </c>
      <c r="F208" s="3" t="s">
        <v>1925</v>
      </c>
      <c r="G208" s="3" t="s">
        <v>2272</v>
      </c>
      <c r="H208" s="3" t="s">
        <v>593</v>
      </c>
      <c r="I208" s="21">
        <v>9.1926133141272608</v>
      </c>
      <c r="J208" s="21">
        <v>-10.1270234863621</v>
      </c>
      <c r="K208" s="21" t="s">
        <v>2272</v>
      </c>
      <c r="L208" s="3">
        <v>1985</v>
      </c>
      <c r="M208" s="3">
        <v>1985</v>
      </c>
      <c r="N208" s="3">
        <v>10</v>
      </c>
      <c r="O208" s="3" t="s">
        <v>66</v>
      </c>
      <c r="P208" s="5" t="s">
        <v>5181</v>
      </c>
      <c r="Q208" s="4" t="s">
        <v>1949</v>
      </c>
    </row>
    <row r="209" spans="1:17" ht="43.5">
      <c r="A209" s="31">
        <v>29</v>
      </c>
      <c r="B209" s="37" t="s">
        <v>587</v>
      </c>
      <c r="C209" s="3" t="s">
        <v>1885</v>
      </c>
      <c r="D209" s="3" t="s">
        <v>2393</v>
      </c>
      <c r="E209" s="28" t="s">
        <v>2394</v>
      </c>
      <c r="F209" s="3" t="s">
        <v>1926</v>
      </c>
      <c r="G209" s="3" t="s">
        <v>2272</v>
      </c>
      <c r="H209" s="3" t="s">
        <v>593</v>
      </c>
      <c r="I209" s="21">
        <v>10.3780704523846</v>
      </c>
      <c r="J209" s="21">
        <v>-9.3436712934814103</v>
      </c>
      <c r="K209" s="21" t="s">
        <v>2272</v>
      </c>
      <c r="L209" s="3">
        <v>1985</v>
      </c>
      <c r="M209" s="3">
        <v>1985</v>
      </c>
      <c r="N209" s="3">
        <v>20</v>
      </c>
      <c r="O209" s="3" t="s">
        <v>66</v>
      </c>
      <c r="P209" s="5" t="s">
        <v>5181</v>
      </c>
      <c r="Q209" s="4" t="s">
        <v>1949</v>
      </c>
    </row>
    <row r="210" spans="1:17" ht="43.5">
      <c r="A210" s="31">
        <v>29</v>
      </c>
      <c r="B210" s="37" t="s">
        <v>587</v>
      </c>
      <c r="C210" s="3" t="s">
        <v>1886</v>
      </c>
      <c r="D210" s="3" t="s">
        <v>2393</v>
      </c>
      <c r="E210" s="28" t="s">
        <v>2394</v>
      </c>
      <c r="F210" s="3" t="s">
        <v>1927</v>
      </c>
      <c r="G210" s="3" t="s">
        <v>2272</v>
      </c>
      <c r="H210" s="3" t="s">
        <v>593</v>
      </c>
      <c r="I210" s="21">
        <v>9.7581678869289892</v>
      </c>
      <c r="J210" s="21">
        <v>-8.3894311210800598</v>
      </c>
      <c r="K210" s="21" t="s">
        <v>2272</v>
      </c>
      <c r="L210" s="3">
        <v>1985</v>
      </c>
      <c r="M210" s="3">
        <v>1985</v>
      </c>
      <c r="N210" s="3">
        <v>5</v>
      </c>
      <c r="O210" s="3" t="s">
        <v>66</v>
      </c>
      <c r="P210" s="5" t="s">
        <v>5181</v>
      </c>
      <c r="Q210" s="4" t="s">
        <v>1949</v>
      </c>
    </row>
    <row r="211" spans="1:17" ht="43.5">
      <c r="A211" s="31">
        <v>29</v>
      </c>
      <c r="B211" s="37" t="s">
        <v>587</v>
      </c>
      <c r="C211" s="3" t="s">
        <v>1887</v>
      </c>
      <c r="D211" s="3" t="s">
        <v>2393</v>
      </c>
      <c r="E211" s="28" t="s">
        <v>2394</v>
      </c>
      <c r="F211" s="3" t="s">
        <v>1928</v>
      </c>
      <c r="G211" s="3" t="s">
        <v>2272</v>
      </c>
      <c r="H211" s="3" t="s">
        <v>1947</v>
      </c>
      <c r="I211" s="21">
        <v>-1.05326535882621</v>
      </c>
      <c r="J211" s="21">
        <v>34.233128203218499</v>
      </c>
      <c r="K211" s="21" t="s">
        <v>2272</v>
      </c>
      <c r="L211" s="3">
        <v>1985</v>
      </c>
      <c r="M211" s="3">
        <v>1985</v>
      </c>
      <c r="N211" s="3">
        <v>114</v>
      </c>
      <c r="O211" s="3" t="s">
        <v>66</v>
      </c>
      <c r="P211" s="5" t="s">
        <v>5181</v>
      </c>
      <c r="Q211" s="4" t="s">
        <v>1949</v>
      </c>
    </row>
    <row r="212" spans="1:17" ht="43.5">
      <c r="A212" s="31">
        <v>29</v>
      </c>
      <c r="B212" s="37" t="s">
        <v>587</v>
      </c>
      <c r="C212" s="3" t="s">
        <v>1888</v>
      </c>
      <c r="D212" s="3" t="s">
        <v>2393</v>
      </c>
      <c r="E212" s="28" t="s">
        <v>2394</v>
      </c>
      <c r="F212" s="3" t="s">
        <v>2272</v>
      </c>
      <c r="G212" s="3" t="s">
        <v>2266</v>
      </c>
      <c r="H212" s="3" t="s">
        <v>1947</v>
      </c>
      <c r="I212" s="21">
        <v>0.45486420025156998</v>
      </c>
      <c r="J212" s="21">
        <v>34.151681286482699</v>
      </c>
      <c r="K212" s="21" t="s">
        <v>2272</v>
      </c>
      <c r="L212" s="3">
        <v>1985</v>
      </c>
      <c r="M212" s="3">
        <v>1985</v>
      </c>
      <c r="N212" s="3">
        <v>140</v>
      </c>
      <c r="O212" s="3" t="s">
        <v>66</v>
      </c>
      <c r="P212" s="5" t="s">
        <v>5181</v>
      </c>
      <c r="Q212" s="4" t="s">
        <v>1949</v>
      </c>
    </row>
    <row r="213" spans="1:17" ht="43.5">
      <c r="A213" s="31">
        <v>29</v>
      </c>
      <c r="B213" s="37" t="s">
        <v>587</v>
      </c>
      <c r="C213" s="3" t="s">
        <v>1889</v>
      </c>
      <c r="D213" s="3" t="s">
        <v>2393</v>
      </c>
      <c r="E213" s="28" t="s">
        <v>2394</v>
      </c>
      <c r="F213" s="3" t="s">
        <v>1929</v>
      </c>
      <c r="G213" s="3" t="s">
        <v>2272</v>
      </c>
      <c r="H213" s="3" t="s">
        <v>1947</v>
      </c>
      <c r="I213" s="21">
        <v>0.80842829999999999</v>
      </c>
      <c r="J213" s="21">
        <v>34.597132000000002</v>
      </c>
      <c r="K213" s="21" t="s">
        <v>2272</v>
      </c>
      <c r="L213" s="3">
        <v>1985</v>
      </c>
      <c r="M213" s="3">
        <v>1985</v>
      </c>
      <c r="N213" s="3">
        <v>290</v>
      </c>
      <c r="O213" s="3" t="s">
        <v>66</v>
      </c>
      <c r="P213" s="5" t="s">
        <v>5181</v>
      </c>
      <c r="Q213" s="4" t="s">
        <v>1949</v>
      </c>
    </row>
    <row r="214" spans="1:17" ht="43.5">
      <c r="A214" s="31">
        <v>29</v>
      </c>
      <c r="B214" s="37" t="s">
        <v>587</v>
      </c>
      <c r="C214" s="3" t="s">
        <v>1890</v>
      </c>
      <c r="D214" s="3" t="s">
        <v>2393</v>
      </c>
      <c r="E214" s="28" t="s">
        <v>2394</v>
      </c>
      <c r="F214" s="3" t="s">
        <v>1930</v>
      </c>
      <c r="G214" s="3" t="s">
        <v>2272</v>
      </c>
      <c r="H214" s="3" t="s">
        <v>1947</v>
      </c>
      <c r="I214" s="21">
        <v>0.291596674258286</v>
      </c>
      <c r="J214" s="21">
        <v>34.744010615011298</v>
      </c>
      <c r="K214" s="21" t="s">
        <v>2272</v>
      </c>
      <c r="L214" s="3">
        <v>1985</v>
      </c>
      <c r="M214" s="3">
        <v>1985</v>
      </c>
      <c r="N214" s="3">
        <v>294</v>
      </c>
      <c r="O214" s="3" t="s">
        <v>66</v>
      </c>
      <c r="P214" s="5" t="s">
        <v>5181</v>
      </c>
      <c r="Q214" s="4" t="s">
        <v>1949</v>
      </c>
    </row>
    <row r="215" spans="1:17" ht="43.5">
      <c r="A215" s="31">
        <v>29</v>
      </c>
      <c r="B215" s="37" t="s">
        <v>587</v>
      </c>
      <c r="C215" s="3" t="s">
        <v>1891</v>
      </c>
      <c r="D215" s="3" t="s">
        <v>2393</v>
      </c>
      <c r="E215" s="28" t="s">
        <v>2394</v>
      </c>
      <c r="F215" s="3" t="s">
        <v>1931</v>
      </c>
      <c r="G215" s="3" t="s">
        <v>2272</v>
      </c>
      <c r="H215" s="3" t="s">
        <v>1947</v>
      </c>
      <c r="I215" s="21">
        <v>-6.1732799999999997E-2</v>
      </c>
      <c r="J215" s="21">
        <v>34.242159700000002</v>
      </c>
      <c r="K215" s="21" t="s">
        <v>2272</v>
      </c>
      <c r="L215" s="3">
        <v>1985</v>
      </c>
      <c r="M215" s="3">
        <v>1985</v>
      </c>
      <c r="N215" s="3">
        <v>186</v>
      </c>
      <c r="O215" s="3" t="s">
        <v>66</v>
      </c>
      <c r="P215" s="5" t="s">
        <v>5181</v>
      </c>
      <c r="Q215" s="4" t="s">
        <v>1949</v>
      </c>
    </row>
    <row r="216" spans="1:17" ht="43.5">
      <c r="A216" s="31">
        <v>29</v>
      </c>
      <c r="B216" s="37" t="s">
        <v>587</v>
      </c>
      <c r="C216" s="3" t="s">
        <v>1892</v>
      </c>
      <c r="D216" s="3" t="s">
        <v>2393</v>
      </c>
      <c r="E216" s="28" t="s">
        <v>2394</v>
      </c>
      <c r="F216" s="3" t="s">
        <v>1932</v>
      </c>
      <c r="G216" s="3" t="s">
        <v>2272</v>
      </c>
      <c r="H216" s="3" t="s">
        <v>1947</v>
      </c>
      <c r="I216" s="21">
        <v>-0.65604770000000001</v>
      </c>
      <c r="J216" s="21">
        <v>37.723767799999997</v>
      </c>
      <c r="K216" s="21" t="s">
        <v>2272</v>
      </c>
      <c r="L216" s="3">
        <v>1985</v>
      </c>
      <c r="M216" s="3">
        <v>1985</v>
      </c>
      <c r="N216" s="3">
        <v>50</v>
      </c>
      <c r="O216" s="3" t="s">
        <v>66</v>
      </c>
      <c r="P216" s="5" t="s">
        <v>5181</v>
      </c>
      <c r="Q216" s="4" t="s">
        <v>1949</v>
      </c>
    </row>
    <row r="217" spans="1:17" ht="43.5">
      <c r="A217" s="31">
        <v>29</v>
      </c>
      <c r="B217" s="37" t="s">
        <v>587</v>
      </c>
      <c r="C217" s="3" t="s">
        <v>1893</v>
      </c>
      <c r="D217" s="3" t="s">
        <v>2393</v>
      </c>
      <c r="E217" s="28" t="s">
        <v>2394</v>
      </c>
      <c r="F217" s="3" t="s">
        <v>1933</v>
      </c>
      <c r="G217" s="3" t="s">
        <v>2272</v>
      </c>
      <c r="H217" s="3" t="s">
        <v>1947</v>
      </c>
      <c r="I217" s="21">
        <v>-1.49466613675008</v>
      </c>
      <c r="J217" s="21">
        <v>37.309466507023103</v>
      </c>
      <c r="K217" s="21" t="s">
        <v>2272</v>
      </c>
      <c r="L217" s="3">
        <v>1985</v>
      </c>
      <c r="M217" s="3">
        <v>1985</v>
      </c>
      <c r="N217" s="3">
        <v>50</v>
      </c>
      <c r="O217" s="3" t="s">
        <v>66</v>
      </c>
      <c r="P217" s="5" t="s">
        <v>5181</v>
      </c>
      <c r="Q217" s="4" t="s">
        <v>1949</v>
      </c>
    </row>
    <row r="218" spans="1:17" ht="43.5">
      <c r="A218" s="31">
        <v>29</v>
      </c>
      <c r="B218" s="37" t="s">
        <v>587</v>
      </c>
      <c r="C218" s="3" t="s">
        <v>1894</v>
      </c>
      <c r="D218" s="3" t="s">
        <v>2393</v>
      </c>
      <c r="E218" s="28" t="s">
        <v>2394</v>
      </c>
      <c r="F218" s="3" t="s">
        <v>1934</v>
      </c>
      <c r="G218" s="3" t="s">
        <v>2272</v>
      </c>
      <c r="H218" s="3" t="s">
        <v>1948</v>
      </c>
      <c r="I218" s="21">
        <v>10.184846260740899</v>
      </c>
      <c r="J218" s="21">
        <v>10.087467265941401</v>
      </c>
      <c r="K218" s="21" t="s">
        <v>2272</v>
      </c>
      <c r="L218" s="3">
        <v>1985</v>
      </c>
      <c r="M218" s="3">
        <v>1985</v>
      </c>
      <c r="N218" s="3">
        <v>56</v>
      </c>
      <c r="O218" s="3" t="s">
        <v>66</v>
      </c>
      <c r="P218" s="5" t="s">
        <v>5181</v>
      </c>
      <c r="Q218" s="4" t="s">
        <v>1949</v>
      </c>
    </row>
    <row r="219" spans="1:17" ht="43.5">
      <c r="A219" s="31">
        <v>29</v>
      </c>
      <c r="B219" s="37" t="s">
        <v>587</v>
      </c>
      <c r="C219" s="3" t="s">
        <v>1895</v>
      </c>
      <c r="D219" s="3" t="s">
        <v>2393</v>
      </c>
      <c r="E219" s="28" t="s">
        <v>2394</v>
      </c>
      <c r="F219" s="3" t="s">
        <v>1935</v>
      </c>
      <c r="G219" s="3" t="s">
        <v>2272</v>
      </c>
      <c r="H219" s="3" t="s">
        <v>1948</v>
      </c>
      <c r="I219" s="21">
        <v>11.7470698</v>
      </c>
      <c r="J219" s="21">
        <v>8.5247107</v>
      </c>
      <c r="K219" s="21" t="s">
        <v>2272</v>
      </c>
      <c r="L219" s="3">
        <v>1985</v>
      </c>
      <c r="M219" s="3">
        <v>1985</v>
      </c>
      <c r="N219" s="3">
        <v>120</v>
      </c>
      <c r="O219" s="3" t="s">
        <v>66</v>
      </c>
      <c r="P219" s="5" t="s">
        <v>5181</v>
      </c>
      <c r="Q219" s="4" t="s">
        <v>1949</v>
      </c>
    </row>
    <row r="220" spans="1:17" ht="43.5">
      <c r="A220" s="31">
        <v>29</v>
      </c>
      <c r="B220" s="37" t="s">
        <v>587</v>
      </c>
      <c r="C220" s="3" t="s">
        <v>1896</v>
      </c>
      <c r="D220" s="3" t="s">
        <v>2393</v>
      </c>
      <c r="E220" s="28" t="s">
        <v>2394</v>
      </c>
      <c r="F220" s="3" t="s">
        <v>2272</v>
      </c>
      <c r="G220" s="3" t="s">
        <v>1936</v>
      </c>
      <c r="H220" s="3" t="s">
        <v>1948</v>
      </c>
      <c r="I220" s="21">
        <v>10.9346742196129</v>
      </c>
      <c r="J220" s="21">
        <v>6.4864121272305297</v>
      </c>
      <c r="K220" s="21" t="s">
        <v>2272</v>
      </c>
      <c r="L220" s="3">
        <v>1985</v>
      </c>
      <c r="M220" s="3">
        <v>1985</v>
      </c>
      <c r="N220" s="3">
        <v>75</v>
      </c>
      <c r="O220" s="3" t="s">
        <v>66</v>
      </c>
      <c r="P220" s="5" t="s">
        <v>5181</v>
      </c>
      <c r="Q220" s="4" t="s">
        <v>1949</v>
      </c>
    </row>
    <row r="221" spans="1:17" ht="43.5">
      <c r="A221" s="31">
        <v>29</v>
      </c>
      <c r="B221" s="37" t="s">
        <v>587</v>
      </c>
      <c r="C221" s="3" t="s">
        <v>1898</v>
      </c>
      <c r="D221" s="3" t="s">
        <v>2393</v>
      </c>
      <c r="E221" s="28" t="s">
        <v>2394</v>
      </c>
      <c r="F221" s="3" t="s">
        <v>2272</v>
      </c>
      <c r="G221" s="3" t="s">
        <v>1937</v>
      </c>
      <c r="H221" s="3" t="s">
        <v>1948</v>
      </c>
      <c r="I221" s="21">
        <v>8.1573808999999997</v>
      </c>
      <c r="J221" s="21">
        <v>3.6146533999999999</v>
      </c>
      <c r="K221" s="21" t="s">
        <v>2272</v>
      </c>
      <c r="L221" s="3">
        <v>1985</v>
      </c>
      <c r="M221" s="3">
        <v>1985</v>
      </c>
      <c r="N221" s="3">
        <v>75</v>
      </c>
      <c r="O221" s="3" t="s">
        <v>66</v>
      </c>
      <c r="P221" s="5" t="s">
        <v>5181</v>
      </c>
      <c r="Q221" s="4" t="s">
        <v>1949</v>
      </c>
    </row>
    <row r="222" spans="1:17" ht="43.5">
      <c r="A222" s="31">
        <v>29</v>
      </c>
      <c r="B222" s="37" t="s">
        <v>587</v>
      </c>
      <c r="C222" s="3" t="s">
        <v>1897</v>
      </c>
      <c r="D222" s="3" t="s">
        <v>2393</v>
      </c>
      <c r="E222" s="28" t="s">
        <v>2394</v>
      </c>
      <c r="F222" s="3" t="s">
        <v>1938</v>
      </c>
      <c r="G222" s="3" t="s">
        <v>2272</v>
      </c>
      <c r="H222" s="3" t="s">
        <v>383</v>
      </c>
      <c r="I222" s="21">
        <v>-2.58248307797657</v>
      </c>
      <c r="J222" s="21">
        <v>32.933062434046398</v>
      </c>
      <c r="K222" s="21" t="s">
        <v>2272</v>
      </c>
      <c r="L222" s="3">
        <v>1985</v>
      </c>
      <c r="M222" s="3">
        <v>1985</v>
      </c>
      <c r="N222" s="3">
        <v>93</v>
      </c>
      <c r="O222" s="3" t="s">
        <v>66</v>
      </c>
      <c r="P222" s="5" t="s">
        <v>5181</v>
      </c>
      <c r="Q222" s="4" t="s">
        <v>1949</v>
      </c>
    </row>
    <row r="223" spans="1:17" ht="43.5">
      <c r="A223" s="31">
        <v>29</v>
      </c>
      <c r="B223" s="37" t="s">
        <v>587</v>
      </c>
      <c r="C223" s="3" t="s">
        <v>1899</v>
      </c>
      <c r="D223" s="3" t="s">
        <v>2393</v>
      </c>
      <c r="E223" s="28" t="s">
        <v>2394</v>
      </c>
      <c r="F223" s="3" t="s">
        <v>1939</v>
      </c>
      <c r="G223" s="3" t="s">
        <v>2272</v>
      </c>
      <c r="H223" s="3" t="s">
        <v>383</v>
      </c>
      <c r="I223" s="21">
        <v>-2.5477856192488799</v>
      </c>
      <c r="J223" s="21">
        <v>33.131996822341598</v>
      </c>
      <c r="K223" s="21" t="s">
        <v>2272</v>
      </c>
      <c r="L223" s="3">
        <v>1985</v>
      </c>
      <c r="M223" s="3">
        <v>1985</v>
      </c>
      <c r="N223" s="3">
        <v>93</v>
      </c>
      <c r="O223" s="3" t="s">
        <v>66</v>
      </c>
      <c r="P223" s="5" t="s">
        <v>5181</v>
      </c>
      <c r="Q223" s="4" t="s">
        <v>1949</v>
      </c>
    </row>
    <row r="224" spans="1:17" ht="43.5">
      <c r="A224" s="31">
        <v>29</v>
      </c>
      <c r="B224" s="37" t="s">
        <v>587</v>
      </c>
      <c r="C224" s="3" t="s">
        <v>1900</v>
      </c>
      <c r="D224" s="3" t="s">
        <v>2393</v>
      </c>
      <c r="E224" s="28" t="s">
        <v>2394</v>
      </c>
      <c r="F224" s="3" t="s">
        <v>2272</v>
      </c>
      <c r="G224" s="3" t="s">
        <v>2267</v>
      </c>
      <c r="H224" s="3" t="s">
        <v>383</v>
      </c>
      <c r="I224" s="21">
        <v>-2.7583633999999999</v>
      </c>
      <c r="J224" s="21">
        <v>36.263084599999999</v>
      </c>
      <c r="K224" s="21" t="s">
        <v>2272</v>
      </c>
      <c r="L224" s="3">
        <v>1985</v>
      </c>
      <c r="M224" s="3">
        <v>1985</v>
      </c>
      <c r="N224" s="3">
        <v>82</v>
      </c>
      <c r="O224" s="3" t="s">
        <v>66</v>
      </c>
      <c r="P224" s="5" t="s">
        <v>5181</v>
      </c>
      <c r="Q224" s="4" t="s">
        <v>1949</v>
      </c>
    </row>
    <row r="225" spans="1:17" ht="43.5">
      <c r="A225" s="31">
        <v>29</v>
      </c>
      <c r="B225" s="37" t="s">
        <v>587</v>
      </c>
      <c r="C225" s="3" t="s">
        <v>1901</v>
      </c>
      <c r="D225" s="3" t="s">
        <v>2393</v>
      </c>
      <c r="E225" s="28" t="s">
        <v>2394</v>
      </c>
      <c r="F225" s="3" t="s">
        <v>1940</v>
      </c>
      <c r="G225" s="3" t="s">
        <v>2272</v>
      </c>
      <c r="H225" s="3" t="s">
        <v>383</v>
      </c>
      <c r="I225" s="21">
        <v>-6.6839193130463297</v>
      </c>
      <c r="J225" s="21">
        <v>36.9300452709182</v>
      </c>
      <c r="K225" s="21" t="s">
        <v>2272</v>
      </c>
      <c r="L225" s="3">
        <v>1985</v>
      </c>
      <c r="M225" s="3">
        <v>1985</v>
      </c>
      <c r="N225" s="3">
        <v>11</v>
      </c>
      <c r="O225" s="3" t="s">
        <v>66</v>
      </c>
      <c r="P225" s="5" t="s">
        <v>5181</v>
      </c>
      <c r="Q225" s="4" t="s">
        <v>1949</v>
      </c>
    </row>
    <row r="226" spans="1:17" ht="43.5">
      <c r="A226" s="31">
        <v>29</v>
      </c>
      <c r="B226" s="37" t="s">
        <v>587</v>
      </c>
      <c r="C226" s="3" t="s">
        <v>1902</v>
      </c>
      <c r="D226" s="3" t="s">
        <v>2393</v>
      </c>
      <c r="E226" s="28" t="s">
        <v>2394</v>
      </c>
      <c r="F226" s="3" t="s">
        <v>1941</v>
      </c>
      <c r="G226" s="3" t="s">
        <v>2272</v>
      </c>
      <c r="H226" s="3" t="s">
        <v>383</v>
      </c>
      <c r="I226" s="21">
        <v>-7.2303392056484297</v>
      </c>
      <c r="J226" s="21">
        <v>37.137819629899198</v>
      </c>
      <c r="K226" s="21" t="s">
        <v>2272</v>
      </c>
      <c r="L226" s="3">
        <v>1985</v>
      </c>
      <c r="M226" s="3">
        <v>1985</v>
      </c>
      <c r="N226" s="3">
        <v>11</v>
      </c>
      <c r="O226" s="3" t="s">
        <v>66</v>
      </c>
      <c r="P226" s="5" t="s">
        <v>5181</v>
      </c>
      <c r="Q226" s="4" t="s">
        <v>1949</v>
      </c>
    </row>
    <row r="227" spans="1:17" ht="43.5">
      <c r="A227" s="31">
        <v>29</v>
      </c>
      <c r="B227" s="37" t="s">
        <v>587</v>
      </c>
      <c r="C227" s="3" t="s">
        <v>1903</v>
      </c>
      <c r="D227" s="3" t="s">
        <v>2393</v>
      </c>
      <c r="E227" s="28" t="s">
        <v>2394</v>
      </c>
      <c r="F227" s="3" t="s">
        <v>2272</v>
      </c>
      <c r="G227" s="3" t="s">
        <v>2268</v>
      </c>
      <c r="H227" s="3" t="s">
        <v>420</v>
      </c>
      <c r="I227" s="21">
        <v>-12.444365636971501</v>
      </c>
      <c r="J227" s="21">
        <v>31.8403551771199</v>
      </c>
      <c r="K227" s="21" t="s">
        <v>2272</v>
      </c>
      <c r="L227" s="3">
        <v>1985</v>
      </c>
      <c r="M227" s="3">
        <v>1985</v>
      </c>
      <c r="N227" s="3">
        <v>14</v>
      </c>
      <c r="O227" s="3" t="s">
        <v>66</v>
      </c>
      <c r="P227" s="5" t="s">
        <v>5181</v>
      </c>
      <c r="Q227" s="4" t="s">
        <v>1949</v>
      </c>
    </row>
    <row r="228" spans="1:17" ht="43.5">
      <c r="A228" s="31">
        <v>29</v>
      </c>
      <c r="B228" s="37" t="s">
        <v>587</v>
      </c>
      <c r="C228" s="3" t="s">
        <v>1904</v>
      </c>
      <c r="D228" s="3" t="s">
        <v>2393</v>
      </c>
      <c r="E228" s="28" t="s">
        <v>2394</v>
      </c>
      <c r="F228" s="3" t="s">
        <v>1942</v>
      </c>
      <c r="G228" s="3" t="s">
        <v>2272</v>
      </c>
      <c r="H228" s="3" t="s">
        <v>420</v>
      </c>
      <c r="I228" s="21">
        <v>-14.0584127</v>
      </c>
      <c r="J228" s="21">
        <v>32.043968999999997</v>
      </c>
      <c r="K228" s="21" t="s">
        <v>2272</v>
      </c>
      <c r="L228" s="3">
        <v>1985</v>
      </c>
      <c r="M228" s="3">
        <v>1985</v>
      </c>
      <c r="N228" s="3">
        <v>8</v>
      </c>
      <c r="O228" s="3" t="s">
        <v>66</v>
      </c>
      <c r="P228" s="5" t="s">
        <v>5181</v>
      </c>
      <c r="Q228" s="4" t="s">
        <v>1949</v>
      </c>
    </row>
    <row r="229" spans="1:17" ht="43.5">
      <c r="A229" s="31">
        <v>29</v>
      </c>
      <c r="B229" s="37" t="s">
        <v>587</v>
      </c>
      <c r="C229" s="3" t="s">
        <v>1905</v>
      </c>
      <c r="D229" s="3" t="s">
        <v>2393</v>
      </c>
      <c r="E229" s="28" t="s">
        <v>2394</v>
      </c>
      <c r="F229" s="3" t="s">
        <v>1943</v>
      </c>
      <c r="G229" s="3" t="s">
        <v>2272</v>
      </c>
      <c r="H229" s="3" t="s">
        <v>420</v>
      </c>
      <c r="I229" s="21">
        <v>-15.066667000000001</v>
      </c>
      <c r="J229" s="21">
        <v>26.7</v>
      </c>
      <c r="K229" s="21" t="s">
        <v>2272</v>
      </c>
      <c r="L229" s="3">
        <v>1985</v>
      </c>
      <c r="M229" s="3">
        <v>1985</v>
      </c>
      <c r="N229" s="3">
        <v>4</v>
      </c>
      <c r="O229" s="3" t="s">
        <v>66</v>
      </c>
      <c r="P229" s="5" t="s">
        <v>5181</v>
      </c>
      <c r="Q229" s="4" t="s">
        <v>1949</v>
      </c>
    </row>
    <row r="230" spans="1:17" ht="43.5">
      <c r="A230" s="31">
        <v>29</v>
      </c>
      <c r="B230" s="37" t="s">
        <v>587</v>
      </c>
      <c r="C230" s="3" t="s">
        <v>1906</v>
      </c>
      <c r="D230" s="3" t="s">
        <v>2393</v>
      </c>
      <c r="E230" s="28" t="s">
        <v>2394</v>
      </c>
      <c r="F230" s="3" t="s">
        <v>2272</v>
      </c>
      <c r="G230" s="3" t="s">
        <v>2269</v>
      </c>
      <c r="H230" s="3" t="s">
        <v>420</v>
      </c>
      <c r="I230" s="21">
        <v>-13.655516303036601</v>
      </c>
      <c r="J230" s="21">
        <v>29.3866042032402</v>
      </c>
      <c r="K230" s="21" t="s">
        <v>2272</v>
      </c>
      <c r="L230" s="3">
        <v>1985</v>
      </c>
      <c r="M230" s="3">
        <v>1985</v>
      </c>
      <c r="N230" s="3">
        <v>4</v>
      </c>
      <c r="O230" s="3" t="s">
        <v>66</v>
      </c>
      <c r="P230" s="5" t="s">
        <v>5181</v>
      </c>
      <c r="Q230" s="4" t="s">
        <v>1949</v>
      </c>
    </row>
    <row r="231" spans="1:17" ht="33" customHeight="1">
      <c r="A231" s="31">
        <v>29</v>
      </c>
      <c r="B231" s="37" t="s">
        <v>587</v>
      </c>
      <c r="C231" s="3" t="s">
        <v>1907</v>
      </c>
      <c r="D231" s="3"/>
      <c r="E231" s="3" t="s">
        <v>2394</v>
      </c>
      <c r="F231" s="3" t="s">
        <v>2272</v>
      </c>
      <c r="G231" s="3" t="s">
        <v>2270</v>
      </c>
      <c r="H231" s="3" t="s">
        <v>420</v>
      </c>
      <c r="I231" s="21">
        <v>-15.880079042101301</v>
      </c>
      <c r="J231" s="21">
        <v>27.7193537803699</v>
      </c>
      <c r="K231" s="21" t="s">
        <v>2272</v>
      </c>
      <c r="L231" s="3">
        <v>1985</v>
      </c>
      <c r="M231" s="3">
        <v>1985</v>
      </c>
      <c r="N231" s="3">
        <v>18</v>
      </c>
      <c r="O231" s="4" t="s">
        <v>1</v>
      </c>
      <c r="P231" s="5" t="s">
        <v>5181</v>
      </c>
      <c r="Q231" s="4"/>
    </row>
    <row r="232" spans="1:17" ht="29">
      <c r="A232" s="31">
        <v>30</v>
      </c>
      <c r="B232" s="37" t="s">
        <v>602</v>
      </c>
      <c r="C232" s="3" t="s">
        <v>586</v>
      </c>
      <c r="D232" s="3" t="s">
        <v>2411</v>
      </c>
      <c r="E232" s="3" t="s">
        <v>2394</v>
      </c>
      <c r="F232" s="22" t="s">
        <v>610</v>
      </c>
      <c r="G232" s="22" t="s">
        <v>510</v>
      </c>
      <c r="H232" s="3" t="s">
        <v>601</v>
      </c>
      <c r="I232" s="21">
        <v>-18.8333327</v>
      </c>
      <c r="J232" s="21">
        <v>48.433332999999998</v>
      </c>
      <c r="K232" s="21" t="s">
        <v>2272</v>
      </c>
      <c r="L232" s="3">
        <v>1993</v>
      </c>
      <c r="M232" s="3">
        <v>1993</v>
      </c>
      <c r="N232" s="3">
        <v>15</v>
      </c>
      <c r="O232" s="4" t="s">
        <v>609</v>
      </c>
      <c r="P232" s="5" t="s">
        <v>5181</v>
      </c>
      <c r="Q232" s="3"/>
    </row>
    <row r="233" spans="1:17" ht="29">
      <c r="A233" s="31">
        <v>30</v>
      </c>
      <c r="B233" s="37" t="s">
        <v>602</v>
      </c>
      <c r="C233" s="3" t="s">
        <v>590</v>
      </c>
      <c r="D233" s="3" t="s">
        <v>2411</v>
      </c>
      <c r="E233" s="3" t="s">
        <v>2394</v>
      </c>
      <c r="F233" s="22" t="s">
        <v>611</v>
      </c>
      <c r="G233" s="22" t="s">
        <v>510</v>
      </c>
      <c r="H233" s="3" t="s">
        <v>601</v>
      </c>
      <c r="I233" s="21">
        <v>-18.917000000000002</v>
      </c>
      <c r="J233" s="21">
        <v>48.567</v>
      </c>
      <c r="K233" s="21" t="s">
        <v>2272</v>
      </c>
      <c r="L233" s="3">
        <v>1993</v>
      </c>
      <c r="M233" s="3">
        <v>1993</v>
      </c>
      <c r="N233" s="3">
        <v>15</v>
      </c>
      <c r="O233" s="4" t="s">
        <v>609</v>
      </c>
      <c r="P233" s="5" t="s">
        <v>5181</v>
      </c>
      <c r="Q233" s="3"/>
    </row>
    <row r="234" spans="1:17" ht="29">
      <c r="A234" s="31">
        <v>30</v>
      </c>
      <c r="B234" s="37" t="s">
        <v>602</v>
      </c>
      <c r="C234" s="3" t="s">
        <v>592</v>
      </c>
      <c r="D234" s="3" t="s">
        <v>2411</v>
      </c>
      <c r="E234" s="3" t="s">
        <v>2394</v>
      </c>
      <c r="F234" s="22" t="s">
        <v>612</v>
      </c>
      <c r="G234" s="22" t="s">
        <v>510</v>
      </c>
      <c r="H234" s="3" t="s">
        <v>601</v>
      </c>
      <c r="I234" s="21">
        <f>AVERAGE(I232:I233,I236)</f>
        <v>-18.878597433333336</v>
      </c>
      <c r="J234" s="21">
        <f>AVERAGE(J232:J233,J236)</f>
        <v>48.456784999999996</v>
      </c>
      <c r="K234" s="21" t="s">
        <v>2272</v>
      </c>
      <c r="L234" s="3">
        <v>1993</v>
      </c>
      <c r="M234" s="3">
        <v>1993</v>
      </c>
      <c r="N234" s="3">
        <v>15</v>
      </c>
      <c r="O234" s="4" t="s">
        <v>609</v>
      </c>
      <c r="P234" s="5" t="s">
        <v>5181</v>
      </c>
      <c r="Q234" s="4" t="s">
        <v>11567</v>
      </c>
    </row>
    <row r="235" spans="1:17" ht="29">
      <c r="A235" s="31">
        <v>30</v>
      </c>
      <c r="B235" s="37" t="s">
        <v>602</v>
      </c>
      <c r="C235" s="3" t="s">
        <v>595</v>
      </c>
      <c r="D235" s="3" t="s">
        <v>2411</v>
      </c>
      <c r="E235" s="3" t="s">
        <v>2394</v>
      </c>
      <c r="F235" s="22" t="s">
        <v>613</v>
      </c>
      <c r="G235" s="22" t="s">
        <v>510</v>
      </c>
      <c r="H235" s="3" t="s">
        <v>601</v>
      </c>
      <c r="I235" s="21">
        <f>I234</f>
        <v>-18.878597433333336</v>
      </c>
      <c r="J235" s="21">
        <f>J234</f>
        <v>48.456784999999996</v>
      </c>
      <c r="K235" s="21" t="s">
        <v>2272</v>
      </c>
      <c r="L235" s="3">
        <v>1993</v>
      </c>
      <c r="M235" s="3">
        <v>1993</v>
      </c>
      <c r="N235" s="3">
        <v>15</v>
      </c>
      <c r="O235" s="4" t="s">
        <v>609</v>
      </c>
      <c r="P235" s="5" t="s">
        <v>5181</v>
      </c>
      <c r="Q235" s="4" t="s">
        <v>11567</v>
      </c>
    </row>
    <row r="236" spans="1:17" ht="29">
      <c r="A236" s="31">
        <v>30</v>
      </c>
      <c r="B236" s="37" t="s">
        <v>602</v>
      </c>
      <c r="C236" s="3" t="s">
        <v>598</v>
      </c>
      <c r="D236" s="3" t="s">
        <v>2411</v>
      </c>
      <c r="E236" s="3" t="s">
        <v>2394</v>
      </c>
      <c r="F236" s="22" t="s">
        <v>614</v>
      </c>
      <c r="G236" s="22" t="s">
        <v>510</v>
      </c>
      <c r="H236" s="3" t="s">
        <v>601</v>
      </c>
      <c r="I236" s="21">
        <v>-18.885459600000001</v>
      </c>
      <c r="J236" s="21">
        <v>48.370021999999999</v>
      </c>
      <c r="K236" s="21" t="s">
        <v>2272</v>
      </c>
      <c r="L236" s="3">
        <v>1993</v>
      </c>
      <c r="M236" s="3">
        <v>1993</v>
      </c>
      <c r="N236" s="3">
        <v>15</v>
      </c>
      <c r="O236" s="4" t="s">
        <v>609</v>
      </c>
      <c r="P236" s="5" t="s">
        <v>5181</v>
      </c>
      <c r="Q236" s="3"/>
    </row>
    <row r="237" spans="1:17" ht="34.5" customHeight="1">
      <c r="A237" s="149">
        <v>31</v>
      </c>
      <c r="B237" s="150" t="s">
        <v>3216</v>
      </c>
      <c r="C237" s="22" t="s">
        <v>600</v>
      </c>
      <c r="D237" s="22" t="s">
        <v>2393</v>
      </c>
      <c r="E237" s="3" t="s">
        <v>2394</v>
      </c>
      <c r="F237" s="22" t="s">
        <v>2272</v>
      </c>
      <c r="G237" s="22" t="s">
        <v>2272</v>
      </c>
      <c r="H237" s="28" t="s">
        <v>578</v>
      </c>
      <c r="I237" s="73">
        <v>7.5</v>
      </c>
      <c r="J237" s="73">
        <v>81</v>
      </c>
      <c r="K237" s="73" t="s">
        <v>2272</v>
      </c>
      <c r="L237" s="8">
        <v>1990</v>
      </c>
      <c r="M237" s="8">
        <v>1990</v>
      </c>
      <c r="N237" s="22" t="s">
        <v>2272</v>
      </c>
      <c r="O237" s="22" t="s">
        <v>1</v>
      </c>
      <c r="P237" s="5" t="s">
        <v>5181</v>
      </c>
      <c r="Q237" s="24" t="s">
        <v>3215</v>
      </c>
    </row>
    <row r="238" spans="1:17" ht="30" customHeight="1">
      <c r="A238" s="149">
        <v>32</v>
      </c>
      <c r="B238" s="153" t="s">
        <v>3217</v>
      </c>
      <c r="C238" s="22" t="s">
        <v>619</v>
      </c>
      <c r="D238" s="22" t="s">
        <v>2393</v>
      </c>
      <c r="E238" s="3" t="s">
        <v>2394</v>
      </c>
      <c r="F238" s="22" t="s">
        <v>583</v>
      </c>
      <c r="G238" s="24" t="s">
        <v>581</v>
      </c>
      <c r="H238" s="28" t="s">
        <v>582</v>
      </c>
      <c r="I238" s="73">
        <v>9</v>
      </c>
      <c r="J238" s="73">
        <v>-73</v>
      </c>
      <c r="K238" s="73">
        <v>1500</v>
      </c>
      <c r="L238" s="22">
        <v>1991</v>
      </c>
      <c r="M238" s="22">
        <v>1991</v>
      </c>
      <c r="N238" s="22">
        <v>0.8</v>
      </c>
      <c r="O238" s="22" t="s">
        <v>1</v>
      </c>
      <c r="P238" s="5" t="s">
        <v>5181</v>
      </c>
      <c r="Q238" s="22"/>
    </row>
    <row r="239" spans="1:17" ht="29" customHeight="1">
      <c r="A239" s="31">
        <v>33</v>
      </c>
      <c r="B239" s="37" t="s">
        <v>621</v>
      </c>
      <c r="C239" s="3" t="s">
        <v>620</v>
      </c>
      <c r="D239" s="3" t="s">
        <v>2393</v>
      </c>
      <c r="E239" s="28" t="s">
        <v>2394</v>
      </c>
      <c r="F239" s="3" t="s">
        <v>622</v>
      </c>
      <c r="G239" s="22" t="s">
        <v>623</v>
      </c>
      <c r="H239" s="28" t="s">
        <v>624</v>
      </c>
      <c r="I239" s="21">
        <v>17.121307999999999</v>
      </c>
      <c r="J239" s="21">
        <v>121.0828161</v>
      </c>
      <c r="K239" s="21" t="s">
        <v>2272</v>
      </c>
      <c r="L239" s="3">
        <v>1981</v>
      </c>
      <c r="M239" s="3">
        <v>1983</v>
      </c>
      <c r="N239" s="3" t="s">
        <v>2272</v>
      </c>
      <c r="O239" s="3" t="s">
        <v>181</v>
      </c>
      <c r="P239" s="5" t="s">
        <v>5181</v>
      </c>
      <c r="Q239" s="3"/>
    </row>
    <row r="240" spans="1:17" ht="25.5" customHeight="1">
      <c r="A240" s="31">
        <v>34</v>
      </c>
      <c r="B240" s="37" t="s">
        <v>640</v>
      </c>
      <c r="C240" s="3" t="s">
        <v>639</v>
      </c>
      <c r="D240" s="3" t="s">
        <v>2393</v>
      </c>
      <c r="E240" s="28" t="s">
        <v>2394</v>
      </c>
      <c r="F240" s="3" t="s">
        <v>2272</v>
      </c>
      <c r="G240" s="3" t="s">
        <v>2272</v>
      </c>
      <c r="H240" s="28" t="s">
        <v>641</v>
      </c>
      <c r="I240" s="21">
        <v>0.77375859999999996</v>
      </c>
      <c r="J240" s="21">
        <v>111.5774689</v>
      </c>
      <c r="K240" s="21" t="s">
        <v>2272</v>
      </c>
      <c r="L240" s="3">
        <v>1975</v>
      </c>
      <c r="M240" s="3">
        <v>1975</v>
      </c>
      <c r="N240" s="3" t="s">
        <v>2272</v>
      </c>
      <c r="O240" s="3" t="s">
        <v>1</v>
      </c>
      <c r="P240" s="5" t="s">
        <v>5181</v>
      </c>
      <c r="Q240" s="3"/>
    </row>
    <row r="241" spans="1:17" ht="29" customHeight="1">
      <c r="A241" s="31">
        <v>35</v>
      </c>
      <c r="B241" s="37" t="s">
        <v>645</v>
      </c>
      <c r="C241" s="3" t="s">
        <v>649</v>
      </c>
      <c r="D241" s="3" t="s">
        <v>2393</v>
      </c>
      <c r="E241" s="28" t="s">
        <v>2395</v>
      </c>
      <c r="F241" s="3" t="s">
        <v>646</v>
      </c>
      <c r="G241" s="3" t="s">
        <v>647</v>
      </c>
      <c r="H241" s="28" t="s">
        <v>648</v>
      </c>
      <c r="I241" s="21">
        <v>-1.733333</v>
      </c>
      <c r="J241" s="21">
        <v>-77.483333000000002</v>
      </c>
      <c r="K241" s="21">
        <v>3533</v>
      </c>
      <c r="L241" s="3">
        <v>1999</v>
      </c>
      <c r="M241" s="3">
        <v>2001</v>
      </c>
      <c r="N241" s="3">
        <v>0.27200679999999999</v>
      </c>
      <c r="O241" s="3" t="s">
        <v>181</v>
      </c>
      <c r="P241" s="5" t="s">
        <v>5181</v>
      </c>
      <c r="Q241" s="3"/>
    </row>
    <row r="242" spans="1:17" ht="46.5" customHeight="1">
      <c r="A242" s="31">
        <v>36</v>
      </c>
      <c r="B242" s="37" t="s">
        <v>653</v>
      </c>
      <c r="C242" s="3" t="s">
        <v>652</v>
      </c>
      <c r="D242" s="3" t="s">
        <v>2393</v>
      </c>
      <c r="E242" s="28" t="s">
        <v>2394</v>
      </c>
      <c r="F242" s="36" t="s">
        <v>3211</v>
      </c>
      <c r="G242" s="3" t="s">
        <v>655</v>
      </c>
      <c r="H242" s="28" t="s">
        <v>656</v>
      </c>
      <c r="I242" s="21">
        <v>-4.95</v>
      </c>
      <c r="J242" s="21">
        <v>-73.25</v>
      </c>
      <c r="K242" s="21">
        <v>2.2999999999999998</v>
      </c>
      <c r="L242" s="3">
        <v>1994</v>
      </c>
      <c r="M242" s="3">
        <v>1995</v>
      </c>
      <c r="N242" s="3" t="s">
        <v>2272</v>
      </c>
      <c r="O242" s="3" t="s">
        <v>181</v>
      </c>
      <c r="P242" s="5" t="s">
        <v>5181</v>
      </c>
      <c r="Q242" s="4" t="s">
        <v>2013</v>
      </c>
    </row>
    <row r="243" spans="1:17" ht="47" customHeight="1">
      <c r="A243" s="31">
        <v>37</v>
      </c>
      <c r="B243" s="37" t="s">
        <v>2015</v>
      </c>
      <c r="C243" s="3" t="s">
        <v>658</v>
      </c>
      <c r="D243" s="3" t="s">
        <v>2393</v>
      </c>
      <c r="E243" s="28" t="s">
        <v>2394</v>
      </c>
      <c r="F243" s="3" t="s">
        <v>660</v>
      </c>
      <c r="G243" s="3" t="s">
        <v>659</v>
      </c>
      <c r="H243" s="28" t="s">
        <v>588</v>
      </c>
      <c r="I243" s="21">
        <v>5.6666666000000001</v>
      </c>
      <c r="J243" s="21">
        <v>-7.3333329999999997</v>
      </c>
      <c r="K243" s="21" t="s">
        <v>2272</v>
      </c>
      <c r="L243" s="3">
        <v>1990</v>
      </c>
      <c r="M243" s="3">
        <v>1990</v>
      </c>
      <c r="N243" s="3" t="s">
        <v>2272</v>
      </c>
      <c r="O243" s="3" t="s">
        <v>66</v>
      </c>
      <c r="P243" s="5" t="s">
        <v>5181</v>
      </c>
      <c r="Q243" s="3"/>
    </row>
    <row r="244" spans="1:17" ht="51.5" customHeight="1">
      <c r="A244" s="31">
        <v>38</v>
      </c>
      <c r="B244" s="37" t="s">
        <v>665</v>
      </c>
      <c r="C244" s="3" t="s">
        <v>664</v>
      </c>
      <c r="D244" s="3" t="s">
        <v>2393</v>
      </c>
      <c r="E244" s="28" t="s">
        <v>2394</v>
      </c>
      <c r="F244" s="3" t="s">
        <v>2272</v>
      </c>
      <c r="G244" s="3" t="s">
        <v>667</v>
      </c>
      <c r="H244" s="28" t="s">
        <v>730</v>
      </c>
      <c r="I244" s="21">
        <v>19.8333333</v>
      </c>
      <c r="J244" s="21">
        <v>102.16666666666001</v>
      </c>
      <c r="K244" s="21" t="s">
        <v>2272</v>
      </c>
      <c r="L244" s="3">
        <v>2004</v>
      </c>
      <c r="M244" s="3">
        <v>2004</v>
      </c>
      <c r="N244" s="3" t="s">
        <v>2272</v>
      </c>
      <c r="O244" s="3" t="s">
        <v>66</v>
      </c>
      <c r="P244" s="5" t="s">
        <v>5181</v>
      </c>
      <c r="Q244" s="4" t="s">
        <v>2020</v>
      </c>
    </row>
    <row r="245" spans="1:17" ht="73.5" customHeight="1">
      <c r="A245" s="31">
        <v>39</v>
      </c>
      <c r="B245" s="37" t="s">
        <v>672</v>
      </c>
      <c r="C245" s="3" t="s">
        <v>671</v>
      </c>
      <c r="D245" s="3" t="s">
        <v>2393</v>
      </c>
      <c r="E245" s="28" t="s">
        <v>2394</v>
      </c>
      <c r="F245" s="3" t="s">
        <v>2272</v>
      </c>
      <c r="G245" s="3" t="s">
        <v>673</v>
      </c>
      <c r="H245" s="28" t="s">
        <v>730</v>
      </c>
      <c r="I245" s="21">
        <v>20.07</v>
      </c>
      <c r="J245" s="21">
        <v>102.62</v>
      </c>
      <c r="K245" s="21" t="s">
        <v>2272</v>
      </c>
      <c r="L245" s="3">
        <v>1991</v>
      </c>
      <c r="M245" s="3">
        <v>1992</v>
      </c>
      <c r="N245" s="3" t="s">
        <v>2272</v>
      </c>
      <c r="O245" s="3" t="s">
        <v>181</v>
      </c>
      <c r="P245" s="5" t="s">
        <v>5181</v>
      </c>
      <c r="Q245" s="4" t="s">
        <v>2271</v>
      </c>
    </row>
    <row r="246" spans="1:17" ht="56" customHeight="1">
      <c r="A246" s="31">
        <v>40</v>
      </c>
      <c r="B246" s="37" t="s">
        <v>675</v>
      </c>
      <c r="C246" s="3" t="s">
        <v>674</v>
      </c>
      <c r="D246" s="3" t="s">
        <v>2393</v>
      </c>
      <c r="E246" s="28" t="s">
        <v>2394</v>
      </c>
      <c r="F246" s="3" t="s">
        <v>2272</v>
      </c>
      <c r="G246" s="3" t="s">
        <v>676</v>
      </c>
      <c r="H246" s="28" t="s">
        <v>730</v>
      </c>
      <c r="I246" s="21">
        <v>21.791531500000001</v>
      </c>
      <c r="J246" s="21">
        <v>102.102801</v>
      </c>
      <c r="K246" s="21" t="s">
        <v>2272</v>
      </c>
      <c r="L246" s="3">
        <v>2001</v>
      </c>
      <c r="M246" s="3">
        <v>2002</v>
      </c>
      <c r="N246" s="3">
        <v>8</v>
      </c>
      <c r="O246" s="3" t="s">
        <v>181</v>
      </c>
      <c r="P246" s="5" t="s">
        <v>5181</v>
      </c>
      <c r="Q246" s="4" t="s">
        <v>2273</v>
      </c>
    </row>
    <row r="247" spans="1:17" ht="86" customHeight="1">
      <c r="A247" s="31">
        <v>40</v>
      </c>
      <c r="B247" s="37" t="s">
        <v>675</v>
      </c>
      <c r="C247" s="3" t="s">
        <v>677</v>
      </c>
      <c r="D247" s="3" t="s">
        <v>2393</v>
      </c>
      <c r="E247" s="28" t="s">
        <v>2394</v>
      </c>
      <c r="F247" s="3" t="s">
        <v>2272</v>
      </c>
      <c r="G247" s="3" t="s">
        <v>676</v>
      </c>
      <c r="H247" s="28" t="s">
        <v>730</v>
      </c>
      <c r="I247" s="21">
        <v>21.791531500000001</v>
      </c>
      <c r="J247" s="21">
        <v>102.102801</v>
      </c>
      <c r="K247" s="21" t="s">
        <v>2272</v>
      </c>
      <c r="L247" s="3">
        <v>1996</v>
      </c>
      <c r="M247" s="3">
        <v>1996</v>
      </c>
      <c r="N247" s="3">
        <v>8</v>
      </c>
      <c r="O247" s="3" t="s">
        <v>181</v>
      </c>
      <c r="P247" s="5" t="s">
        <v>5181</v>
      </c>
      <c r="Q247" s="4" t="s">
        <v>2274</v>
      </c>
    </row>
    <row r="248" spans="1:17" ht="82.5" customHeight="1">
      <c r="A248" s="31">
        <v>41</v>
      </c>
      <c r="B248" s="37" t="s">
        <v>684</v>
      </c>
      <c r="C248" s="3" t="s">
        <v>681</v>
      </c>
      <c r="D248" s="3" t="s">
        <v>2393</v>
      </c>
      <c r="E248" s="28" t="s">
        <v>2394</v>
      </c>
      <c r="F248" s="3" t="s">
        <v>2272</v>
      </c>
      <c r="G248" s="3" t="s">
        <v>667</v>
      </c>
      <c r="H248" s="28" t="s">
        <v>730</v>
      </c>
      <c r="I248" s="21">
        <v>20.098929099999999</v>
      </c>
      <c r="J248" s="21">
        <v>102.556566</v>
      </c>
      <c r="K248" s="21" t="s">
        <v>2272</v>
      </c>
      <c r="L248" s="3">
        <v>1991</v>
      </c>
      <c r="M248" s="3">
        <v>1993</v>
      </c>
      <c r="N248" s="3" t="s">
        <v>2272</v>
      </c>
      <c r="O248" s="3" t="s">
        <v>181</v>
      </c>
      <c r="P248" s="5" t="s">
        <v>5181</v>
      </c>
      <c r="Q248" s="4" t="s">
        <v>2037</v>
      </c>
    </row>
    <row r="249" spans="1:17" ht="93.5" customHeight="1">
      <c r="A249" s="31">
        <v>41</v>
      </c>
      <c r="B249" s="37" t="s">
        <v>684</v>
      </c>
      <c r="C249" s="3" t="s">
        <v>682</v>
      </c>
      <c r="D249" s="3" t="s">
        <v>2393</v>
      </c>
      <c r="E249" s="28" t="s">
        <v>2394</v>
      </c>
      <c r="F249" s="3" t="s">
        <v>2272</v>
      </c>
      <c r="G249" s="3" t="s">
        <v>667</v>
      </c>
      <c r="H249" s="28" t="s">
        <v>730</v>
      </c>
      <c r="I249" s="21">
        <v>20.098929099999999</v>
      </c>
      <c r="J249" s="21">
        <v>102.556566</v>
      </c>
      <c r="K249" s="21" t="s">
        <v>2272</v>
      </c>
      <c r="L249" s="3">
        <v>1991</v>
      </c>
      <c r="M249" s="3">
        <v>1993</v>
      </c>
      <c r="N249" s="3" t="s">
        <v>2272</v>
      </c>
      <c r="O249" s="3" t="s">
        <v>181</v>
      </c>
      <c r="P249" s="5" t="s">
        <v>5181</v>
      </c>
      <c r="Q249" s="4" t="s">
        <v>2037</v>
      </c>
    </row>
    <row r="250" spans="1:17" ht="89" customHeight="1">
      <c r="A250" s="31">
        <v>41</v>
      </c>
      <c r="B250" s="37" t="s">
        <v>684</v>
      </c>
      <c r="C250" s="3" t="s">
        <v>683</v>
      </c>
      <c r="D250" s="3" t="s">
        <v>2393</v>
      </c>
      <c r="E250" s="28" t="s">
        <v>2394</v>
      </c>
      <c r="F250" s="3" t="s">
        <v>2272</v>
      </c>
      <c r="G250" s="3" t="s">
        <v>667</v>
      </c>
      <c r="H250" s="28" t="s">
        <v>730</v>
      </c>
      <c r="I250" s="21">
        <v>20.098929099999999</v>
      </c>
      <c r="J250" s="21">
        <v>102.556566</v>
      </c>
      <c r="K250" s="21" t="s">
        <v>2272</v>
      </c>
      <c r="L250" s="3">
        <v>1991</v>
      </c>
      <c r="M250" s="3">
        <v>1993</v>
      </c>
      <c r="N250" s="3" t="s">
        <v>2272</v>
      </c>
      <c r="O250" s="3" t="s">
        <v>181</v>
      </c>
      <c r="P250" s="5" t="s">
        <v>5181</v>
      </c>
      <c r="Q250" s="4" t="s">
        <v>2037</v>
      </c>
    </row>
    <row r="251" spans="1:17" ht="66" customHeight="1">
      <c r="A251" s="31">
        <v>41</v>
      </c>
      <c r="B251" s="37" t="s">
        <v>684</v>
      </c>
      <c r="C251" s="3" t="s">
        <v>691</v>
      </c>
      <c r="D251" s="3" t="s">
        <v>2393</v>
      </c>
      <c r="E251" s="28" t="s">
        <v>2394</v>
      </c>
      <c r="F251" s="3" t="s">
        <v>2272</v>
      </c>
      <c r="G251" s="3" t="s">
        <v>694</v>
      </c>
      <c r="H251" s="28" t="s">
        <v>730</v>
      </c>
      <c r="I251" s="21">
        <v>20.306200400000002</v>
      </c>
      <c r="J251" s="21">
        <v>100.6674939</v>
      </c>
      <c r="K251" s="21" t="s">
        <v>2272</v>
      </c>
      <c r="L251" s="3">
        <v>1991</v>
      </c>
      <c r="M251" s="3">
        <v>1993</v>
      </c>
      <c r="N251" s="3" t="s">
        <v>2272</v>
      </c>
      <c r="O251" s="3" t="s">
        <v>181</v>
      </c>
      <c r="P251" s="5" t="s">
        <v>5181</v>
      </c>
      <c r="Q251" s="4" t="s">
        <v>2037</v>
      </c>
    </row>
    <row r="252" spans="1:17" ht="80" customHeight="1">
      <c r="A252" s="31">
        <v>41</v>
      </c>
      <c r="B252" s="37" t="s">
        <v>684</v>
      </c>
      <c r="C252" s="3" t="s">
        <v>692</v>
      </c>
      <c r="D252" s="3" t="s">
        <v>2393</v>
      </c>
      <c r="E252" s="28" t="s">
        <v>2394</v>
      </c>
      <c r="F252" s="3" t="s">
        <v>2272</v>
      </c>
      <c r="G252" s="3" t="s">
        <v>694</v>
      </c>
      <c r="H252" s="28" t="s">
        <v>730</v>
      </c>
      <c r="I252" s="21">
        <v>20.306200400000002</v>
      </c>
      <c r="J252" s="21">
        <v>100.6674939</v>
      </c>
      <c r="K252" s="21" t="s">
        <v>2272</v>
      </c>
      <c r="L252" s="3">
        <v>1991</v>
      </c>
      <c r="M252" s="3">
        <v>1993</v>
      </c>
      <c r="N252" s="3" t="s">
        <v>2272</v>
      </c>
      <c r="O252" s="3" t="s">
        <v>181</v>
      </c>
      <c r="P252" s="5" t="s">
        <v>5181</v>
      </c>
      <c r="Q252" s="4" t="s">
        <v>2037</v>
      </c>
    </row>
    <row r="253" spans="1:17" ht="73.5" customHeight="1">
      <c r="A253" s="31">
        <v>41</v>
      </c>
      <c r="B253" s="37" t="s">
        <v>684</v>
      </c>
      <c r="C253" s="3" t="s">
        <v>693</v>
      </c>
      <c r="D253" s="3" t="s">
        <v>2393</v>
      </c>
      <c r="E253" s="28" t="s">
        <v>2394</v>
      </c>
      <c r="F253" s="3" t="s">
        <v>2272</v>
      </c>
      <c r="G253" s="3" t="s">
        <v>694</v>
      </c>
      <c r="H253" s="28" t="s">
        <v>730</v>
      </c>
      <c r="I253" s="21">
        <v>20.306200400000002</v>
      </c>
      <c r="J253" s="21">
        <v>100.6674939</v>
      </c>
      <c r="K253" s="21" t="s">
        <v>2272</v>
      </c>
      <c r="L253" s="3">
        <v>1991</v>
      </c>
      <c r="M253" s="3">
        <v>1993</v>
      </c>
      <c r="N253" s="3" t="s">
        <v>2272</v>
      </c>
      <c r="O253" s="3" t="s">
        <v>181</v>
      </c>
      <c r="P253" s="5" t="s">
        <v>5181</v>
      </c>
      <c r="Q253" s="4" t="s">
        <v>2037</v>
      </c>
    </row>
    <row r="254" spans="1:17" ht="73.5" customHeight="1">
      <c r="A254" s="31">
        <v>41</v>
      </c>
      <c r="B254" s="37" t="s">
        <v>684</v>
      </c>
      <c r="C254" s="3" t="s">
        <v>2031</v>
      </c>
      <c r="D254" s="3" t="s">
        <v>2393</v>
      </c>
      <c r="E254" s="28" t="s">
        <v>2394</v>
      </c>
      <c r="F254" s="3" t="s">
        <v>2272</v>
      </c>
      <c r="G254" s="3" t="s">
        <v>701</v>
      </c>
      <c r="H254" s="28" t="s">
        <v>730</v>
      </c>
      <c r="I254" s="21">
        <v>20.515810500000001</v>
      </c>
      <c r="J254" s="21">
        <v>101.540317</v>
      </c>
      <c r="K254" s="21" t="s">
        <v>2272</v>
      </c>
      <c r="L254" s="3">
        <v>1991</v>
      </c>
      <c r="M254" s="3">
        <v>1993</v>
      </c>
      <c r="N254" s="3" t="s">
        <v>2272</v>
      </c>
      <c r="O254" s="3" t="s">
        <v>181</v>
      </c>
      <c r="P254" s="5" t="s">
        <v>5181</v>
      </c>
      <c r="Q254" s="4" t="s">
        <v>2037</v>
      </c>
    </row>
    <row r="255" spans="1:17" ht="73.5" customHeight="1">
      <c r="A255" s="31">
        <v>41</v>
      </c>
      <c r="B255" s="37" t="s">
        <v>684</v>
      </c>
      <c r="C255" s="3" t="s">
        <v>2032</v>
      </c>
      <c r="D255" s="3" t="s">
        <v>2393</v>
      </c>
      <c r="E255" s="28" t="s">
        <v>2394</v>
      </c>
      <c r="F255" s="3" t="s">
        <v>2272</v>
      </c>
      <c r="G255" s="3" t="s">
        <v>701</v>
      </c>
      <c r="H255" s="28" t="s">
        <v>730</v>
      </c>
      <c r="I255" s="21">
        <v>20.515810500000001</v>
      </c>
      <c r="J255" s="21">
        <v>101.540317</v>
      </c>
      <c r="K255" s="21" t="s">
        <v>2272</v>
      </c>
      <c r="L255" s="3">
        <v>1991</v>
      </c>
      <c r="M255" s="3">
        <v>1993</v>
      </c>
      <c r="N255" s="3" t="s">
        <v>2272</v>
      </c>
      <c r="O255" s="3" t="s">
        <v>181</v>
      </c>
      <c r="P255" s="5" t="s">
        <v>5181</v>
      </c>
      <c r="Q255" s="4" t="s">
        <v>2037</v>
      </c>
    </row>
    <row r="256" spans="1:17" ht="80" customHeight="1">
      <c r="A256" s="31">
        <v>41</v>
      </c>
      <c r="B256" s="37" t="s">
        <v>684</v>
      </c>
      <c r="C256" s="3" t="s">
        <v>2033</v>
      </c>
      <c r="D256" s="3" t="s">
        <v>2393</v>
      </c>
      <c r="E256" s="28" t="s">
        <v>2394</v>
      </c>
      <c r="F256" s="3" t="s">
        <v>2272</v>
      </c>
      <c r="G256" s="3" t="s">
        <v>701</v>
      </c>
      <c r="H256" s="28" t="s">
        <v>730</v>
      </c>
      <c r="I256" s="21">
        <v>20.515810500000001</v>
      </c>
      <c r="J256" s="21">
        <v>101.540317</v>
      </c>
      <c r="K256" s="21" t="s">
        <v>2272</v>
      </c>
      <c r="L256" s="3">
        <v>1991</v>
      </c>
      <c r="M256" s="3">
        <v>1993</v>
      </c>
      <c r="N256" s="3" t="s">
        <v>2272</v>
      </c>
      <c r="O256" s="3" t="s">
        <v>181</v>
      </c>
      <c r="P256" s="5" t="s">
        <v>5181</v>
      </c>
      <c r="Q256" s="4" t="s">
        <v>2037</v>
      </c>
    </row>
    <row r="257" spans="1:17" ht="45.5" customHeight="1">
      <c r="A257" s="31">
        <v>42</v>
      </c>
      <c r="B257" s="37" t="s">
        <v>699</v>
      </c>
      <c r="C257" s="3" t="s">
        <v>695</v>
      </c>
      <c r="D257" s="3" t="s">
        <v>2393</v>
      </c>
      <c r="E257" s="28" t="s">
        <v>2394</v>
      </c>
      <c r="F257" s="3" t="s">
        <v>2029</v>
      </c>
      <c r="G257" s="3" t="s">
        <v>667</v>
      </c>
      <c r="H257" s="28" t="s">
        <v>730</v>
      </c>
      <c r="I257" s="21">
        <v>19.839105199999999</v>
      </c>
      <c r="J257" s="21">
        <v>102.33638139999999</v>
      </c>
      <c r="K257" s="21" t="s">
        <v>2272</v>
      </c>
      <c r="L257" s="3">
        <v>2003</v>
      </c>
      <c r="M257" s="3">
        <v>2003</v>
      </c>
      <c r="N257" s="3" t="s">
        <v>2272</v>
      </c>
      <c r="O257" s="3" t="s">
        <v>181</v>
      </c>
      <c r="P257" s="5" t="s">
        <v>5181</v>
      </c>
      <c r="Q257" s="3" t="s">
        <v>2028</v>
      </c>
    </row>
    <row r="258" spans="1:17" ht="46.5" customHeight="1">
      <c r="A258" s="31">
        <v>42</v>
      </c>
      <c r="B258" s="37" t="s">
        <v>699</v>
      </c>
      <c r="C258" s="3" t="s">
        <v>696</v>
      </c>
      <c r="D258" s="3" t="s">
        <v>2393</v>
      </c>
      <c r="E258" s="28" t="s">
        <v>2394</v>
      </c>
      <c r="F258" s="3" t="s">
        <v>700</v>
      </c>
      <c r="G258" s="3" t="s">
        <v>701</v>
      </c>
      <c r="H258" s="28" t="s">
        <v>730</v>
      </c>
      <c r="I258" s="21">
        <v>20.515810500000001</v>
      </c>
      <c r="J258" s="21">
        <v>101.540317</v>
      </c>
      <c r="K258" s="21" t="s">
        <v>2272</v>
      </c>
      <c r="L258" s="3">
        <v>2003</v>
      </c>
      <c r="M258" s="3">
        <v>2003</v>
      </c>
      <c r="N258" s="3" t="s">
        <v>2272</v>
      </c>
      <c r="O258" s="3" t="s">
        <v>181</v>
      </c>
      <c r="P258" s="5" t="s">
        <v>5181</v>
      </c>
      <c r="Q258" s="3" t="s">
        <v>2028</v>
      </c>
    </row>
    <row r="259" spans="1:17" ht="39" customHeight="1">
      <c r="A259" s="31">
        <v>42</v>
      </c>
      <c r="B259" s="37" t="s">
        <v>699</v>
      </c>
      <c r="C259" s="3" t="s">
        <v>697</v>
      </c>
      <c r="D259" s="3" t="s">
        <v>2393</v>
      </c>
      <c r="E259" s="28" t="s">
        <v>2394</v>
      </c>
      <c r="F259" s="3" t="s">
        <v>6081</v>
      </c>
      <c r="G259" s="3" t="s">
        <v>667</v>
      </c>
      <c r="H259" s="28" t="s">
        <v>730</v>
      </c>
      <c r="I259" s="21">
        <v>19.839105199999999</v>
      </c>
      <c r="J259" s="21">
        <v>102.33638139999999</v>
      </c>
      <c r="K259" s="21" t="s">
        <v>2272</v>
      </c>
      <c r="L259" s="3">
        <v>2003</v>
      </c>
      <c r="M259" s="3">
        <v>2003</v>
      </c>
      <c r="N259" s="3" t="s">
        <v>2272</v>
      </c>
      <c r="O259" s="3" t="s">
        <v>181</v>
      </c>
      <c r="P259" s="5" t="s">
        <v>5181</v>
      </c>
      <c r="Q259" s="3" t="s">
        <v>2028</v>
      </c>
    </row>
    <row r="260" spans="1:17" ht="54.5" customHeight="1">
      <c r="A260" s="31">
        <v>42</v>
      </c>
      <c r="B260" s="37" t="s">
        <v>699</v>
      </c>
      <c r="C260" s="3" t="s">
        <v>698</v>
      </c>
      <c r="D260" s="3" t="s">
        <v>2393</v>
      </c>
      <c r="E260" s="28" t="s">
        <v>2394</v>
      </c>
      <c r="F260" s="3" t="s">
        <v>2029</v>
      </c>
      <c r="G260" s="3" t="s">
        <v>667</v>
      </c>
      <c r="H260" s="28" t="s">
        <v>730</v>
      </c>
      <c r="I260" s="21">
        <v>19.839105199999999</v>
      </c>
      <c r="J260" s="21">
        <v>102.33638139999999</v>
      </c>
      <c r="K260" s="21" t="s">
        <v>2272</v>
      </c>
      <c r="L260" s="3">
        <v>1970</v>
      </c>
      <c r="M260" s="3">
        <v>1970</v>
      </c>
      <c r="N260" s="3" t="s">
        <v>2272</v>
      </c>
      <c r="O260" s="3" t="s">
        <v>181</v>
      </c>
      <c r="P260" s="5" t="s">
        <v>5181</v>
      </c>
      <c r="Q260" s="4" t="s">
        <v>2030</v>
      </c>
    </row>
    <row r="261" spans="1:17" ht="51" customHeight="1">
      <c r="A261" s="31">
        <v>42</v>
      </c>
      <c r="B261" s="37" t="s">
        <v>699</v>
      </c>
      <c r="C261" s="11" t="s">
        <v>702</v>
      </c>
      <c r="D261" s="3" t="s">
        <v>2393</v>
      </c>
      <c r="E261" s="28" t="s">
        <v>2394</v>
      </c>
      <c r="F261" s="3" t="s">
        <v>700</v>
      </c>
      <c r="G261" s="3" t="s">
        <v>701</v>
      </c>
      <c r="H261" s="28" t="s">
        <v>730</v>
      </c>
      <c r="I261" s="21">
        <v>20.515810500000001</v>
      </c>
      <c r="J261" s="21">
        <v>101.540317</v>
      </c>
      <c r="K261" s="21" t="s">
        <v>2272</v>
      </c>
      <c r="L261" s="3">
        <v>1970</v>
      </c>
      <c r="M261" s="3">
        <v>1970</v>
      </c>
      <c r="N261" s="3" t="s">
        <v>2272</v>
      </c>
      <c r="O261" s="3" t="s">
        <v>181</v>
      </c>
      <c r="P261" s="5" t="s">
        <v>5181</v>
      </c>
      <c r="Q261" s="4" t="s">
        <v>2030</v>
      </c>
    </row>
    <row r="262" spans="1:17" ht="58.5" customHeight="1">
      <c r="A262" s="31">
        <v>42</v>
      </c>
      <c r="B262" s="37" t="s">
        <v>699</v>
      </c>
      <c r="C262" s="11" t="s">
        <v>703</v>
      </c>
      <c r="D262" s="3" t="s">
        <v>2393</v>
      </c>
      <c r="E262" s="28" t="s">
        <v>2394</v>
      </c>
      <c r="F262" s="3" t="s">
        <v>6081</v>
      </c>
      <c r="G262" s="3" t="s">
        <v>667</v>
      </c>
      <c r="H262" s="28" t="s">
        <v>730</v>
      </c>
      <c r="I262" s="21">
        <v>19.839105199999999</v>
      </c>
      <c r="J262" s="21">
        <v>102.33638139999999</v>
      </c>
      <c r="K262" s="21" t="s">
        <v>2272</v>
      </c>
      <c r="L262" s="3">
        <v>1970</v>
      </c>
      <c r="M262" s="3">
        <v>1970</v>
      </c>
      <c r="N262" s="3" t="s">
        <v>2272</v>
      </c>
      <c r="O262" s="3" t="s">
        <v>181</v>
      </c>
      <c r="P262" s="5" t="s">
        <v>5181</v>
      </c>
      <c r="Q262" s="4" t="s">
        <v>2030</v>
      </c>
    </row>
    <row r="263" spans="1:17" ht="36.5" customHeight="1">
      <c r="A263" s="31">
        <v>43</v>
      </c>
      <c r="B263" s="37" t="s">
        <v>725</v>
      </c>
      <c r="C263" s="11" t="s">
        <v>722</v>
      </c>
      <c r="D263" s="11" t="s">
        <v>2393</v>
      </c>
      <c r="E263" s="28" t="s">
        <v>2394</v>
      </c>
      <c r="F263" s="3" t="s">
        <v>726</v>
      </c>
      <c r="G263" s="3" t="s">
        <v>729</v>
      </c>
      <c r="H263" s="28" t="s">
        <v>730</v>
      </c>
      <c r="I263" s="21">
        <v>19.771062000000001</v>
      </c>
      <c r="J263" s="21">
        <v>102.1790506</v>
      </c>
      <c r="K263" s="21">
        <v>1.5</v>
      </c>
      <c r="L263" s="3">
        <v>2000</v>
      </c>
      <c r="M263" s="3">
        <v>2000</v>
      </c>
      <c r="N263" s="3" t="s">
        <v>2272</v>
      </c>
      <c r="O263" s="3" t="s">
        <v>181</v>
      </c>
      <c r="P263" s="5" t="s">
        <v>5181</v>
      </c>
      <c r="Q263" s="3" t="s">
        <v>2038</v>
      </c>
    </row>
    <row r="264" spans="1:17" ht="36.5" customHeight="1">
      <c r="A264" s="31">
        <v>43</v>
      </c>
      <c r="B264" s="37" t="s">
        <v>725</v>
      </c>
      <c r="C264" s="11" t="s">
        <v>723</v>
      </c>
      <c r="D264" s="11" t="s">
        <v>2393</v>
      </c>
      <c r="E264" s="28" t="s">
        <v>2394</v>
      </c>
      <c r="F264" s="3" t="s">
        <v>727</v>
      </c>
      <c r="G264" s="3" t="s">
        <v>729</v>
      </c>
      <c r="H264" s="28" t="s">
        <v>730</v>
      </c>
      <c r="I264" s="21">
        <v>19.774985399999998</v>
      </c>
      <c r="J264" s="21">
        <v>102.184848</v>
      </c>
      <c r="K264" s="21">
        <v>1.3</v>
      </c>
      <c r="L264" s="3">
        <v>2000</v>
      </c>
      <c r="M264" s="3">
        <v>2000</v>
      </c>
      <c r="N264" s="3" t="s">
        <v>2272</v>
      </c>
      <c r="O264" s="3" t="s">
        <v>181</v>
      </c>
      <c r="P264" s="5" t="s">
        <v>5181</v>
      </c>
      <c r="Q264" s="3" t="s">
        <v>2038</v>
      </c>
    </row>
    <row r="265" spans="1:17" ht="33" customHeight="1">
      <c r="A265" s="31">
        <v>43</v>
      </c>
      <c r="B265" s="37" t="s">
        <v>725</v>
      </c>
      <c r="C265" s="11" t="s">
        <v>724</v>
      </c>
      <c r="D265" s="11" t="s">
        <v>2393</v>
      </c>
      <c r="E265" s="28" t="s">
        <v>2394</v>
      </c>
      <c r="F265" s="3" t="s">
        <v>728</v>
      </c>
      <c r="G265" s="3" t="s">
        <v>729</v>
      </c>
      <c r="H265" s="28" t="s">
        <v>730</v>
      </c>
      <c r="I265" s="21">
        <v>19.695749500000002</v>
      </c>
      <c r="J265" s="21">
        <v>102.1111959</v>
      </c>
      <c r="K265" s="21">
        <v>3.3</v>
      </c>
      <c r="L265" s="3">
        <v>2000</v>
      </c>
      <c r="M265" s="3">
        <v>2000</v>
      </c>
      <c r="N265" s="3" t="s">
        <v>2272</v>
      </c>
      <c r="O265" s="3" t="s">
        <v>181</v>
      </c>
      <c r="P265" s="5" t="s">
        <v>5181</v>
      </c>
      <c r="Q265" s="3" t="s">
        <v>2038</v>
      </c>
    </row>
    <row r="266" spans="1:17" ht="38" customHeight="1">
      <c r="A266" s="31">
        <v>44</v>
      </c>
      <c r="B266" s="37" t="s">
        <v>745</v>
      </c>
      <c r="C266" s="11" t="s">
        <v>744</v>
      </c>
      <c r="D266" s="11" t="s">
        <v>2393</v>
      </c>
      <c r="E266" s="28" t="s">
        <v>2394</v>
      </c>
      <c r="F266" s="11" t="s">
        <v>746</v>
      </c>
      <c r="G266" s="11" t="s">
        <v>667</v>
      </c>
      <c r="H266" s="40" t="s">
        <v>730</v>
      </c>
      <c r="I266" s="21">
        <v>20.939957700000001</v>
      </c>
      <c r="J266" s="21">
        <v>102.7594185</v>
      </c>
      <c r="K266" s="21" t="s">
        <v>2272</v>
      </c>
      <c r="L266" s="11">
        <v>2001</v>
      </c>
      <c r="M266" s="11">
        <v>2001</v>
      </c>
      <c r="N266" s="3" t="s">
        <v>2272</v>
      </c>
      <c r="O266" s="3" t="s">
        <v>181</v>
      </c>
      <c r="P266" s="5" t="s">
        <v>5181</v>
      </c>
      <c r="Q266" s="3"/>
    </row>
    <row r="267" spans="1:17" ht="40" customHeight="1">
      <c r="A267" s="31">
        <v>45</v>
      </c>
      <c r="B267" s="38" t="s">
        <v>763</v>
      </c>
      <c r="C267" s="11" t="s">
        <v>750</v>
      </c>
      <c r="D267" s="11" t="s">
        <v>2393</v>
      </c>
      <c r="E267" s="3" t="s">
        <v>2395</v>
      </c>
      <c r="F267" s="3" t="s">
        <v>755</v>
      </c>
      <c r="G267" s="3" t="s">
        <v>758</v>
      </c>
      <c r="H267" s="40" t="s">
        <v>730</v>
      </c>
      <c r="I267" s="21">
        <v>20.299527999999999</v>
      </c>
      <c r="J267" s="21">
        <v>104.0488866</v>
      </c>
      <c r="K267" s="21" t="s">
        <v>2272</v>
      </c>
      <c r="L267" s="3">
        <v>1999</v>
      </c>
      <c r="M267" s="3">
        <v>1999</v>
      </c>
      <c r="N267" s="3" t="s">
        <v>2272</v>
      </c>
      <c r="O267" s="3" t="s">
        <v>181</v>
      </c>
      <c r="P267" s="5" t="s">
        <v>5181</v>
      </c>
      <c r="Q267" s="3" t="s">
        <v>2041</v>
      </c>
    </row>
    <row r="268" spans="1:17" ht="42.5" customHeight="1">
      <c r="A268" s="31">
        <v>45</v>
      </c>
      <c r="B268" s="38" t="s">
        <v>763</v>
      </c>
      <c r="C268" s="11" t="s">
        <v>753</v>
      </c>
      <c r="D268" s="11" t="s">
        <v>2393</v>
      </c>
      <c r="E268" s="3" t="s">
        <v>2395</v>
      </c>
      <c r="F268" s="11" t="s">
        <v>756</v>
      </c>
      <c r="G268" s="3" t="s">
        <v>758</v>
      </c>
      <c r="H268" s="40" t="s">
        <v>730</v>
      </c>
      <c r="I268" s="21">
        <v>20.299527999999999</v>
      </c>
      <c r="J268" s="21">
        <v>104.0488866</v>
      </c>
      <c r="K268" s="21" t="s">
        <v>2272</v>
      </c>
      <c r="L268" s="3">
        <v>1999</v>
      </c>
      <c r="M268" s="3">
        <v>1999</v>
      </c>
      <c r="N268" s="3" t="s">
        <v>2272</v>
      </c>
      <c r="O268" s="3" t="s">
        <v>181</v>
      </c>
      <c r="P268" s="5" t="s">
        <v>5181</v>
      </c>
      <c r="Q268" s="3" t="s">
        <v>2041</v>
      </c>
    </row>
    <row r="269" spans="1:17" ht="45.5" customHeight="1">
      <c r="A269" s="31">
        <v>45</v>
      </c>
      <c r="B269" s="38" t="s">
        <v>763</v>
      </c>
      <c r="C269" s="11" t="s">
        <v>754</v>
      </c>
      <c r="D269" s="11" t="s">
        <v>2393</v>
      </c>
      <c r="E269" s="3" t="s">
        <v>2395</v>
      </c>
      <c r="F269" s="11" t="s">
        <v>757</v>
      </c>
      <c r="G269" s="3" t="s">
        <v>758</v>
      </c>
      <c r="H269" s="40" t="s">
        <v>730</v>
      </c>
      <c r="I269" s="21">
        <v>20.299527999999999</v>
      </c>
      <c r="J269" s="21">
        <v>104.0488866</v>
      </c>
      <c r="K269" s="21" t="s">
        <v>2272</v>
      </c>
      <c r="L269" s="3">
        <v>1999</v>
      </c>
      <c r="M269" s="3">
        <v>1999</v>
      </c>
      <c r="N269" s="3" t="s">
        <v>2272</v>
      </c>
      <c r="O269" s="3" t="s">
        <v>181</v>
      </c>
      <c r="P269" s="5" t="s">
        <v>5181</v>
      </c>
      <c r="Q269" s="3" t="s">
        <v>2041</v>
      </c>
    </row>
    <row r="270" spans="1:17" ht="42.5" customHeight="1">
      <c r="A270" s="31">
        <v>46</v>
      </c>
      <c r="B270" s="37" t="s">
        <v>764</v>
      </c>
      <c r="C270" s="11" t="s">
        <v>752</v>
      </c>
      <c r="D270" s="11" t="s">
        <v>2393</v>
      </c>
      <c r="E270" s="28" t="s">
        <v>2394</v>
      </c>
      <c r="F270" s="3" t="s">
        <v>765</v>
      </c>
      <c r="G270" s="3" t="s">
        <v>766</v>
      </c>
      <c r="H270" s="3" t="s">
        <v>767</v>
      </c>
      <c r="I270" s="21">
        <v>17.823548899999999</v>
      </c>
      <c r="J270" s="21">
        <v>-101.4426484</v>
      </c>
      <c r="K270" s="21">
        <v>45</v>
      </c>
      <c r="L270" s="23">
        <v>1990</v>
      </c>
      <c r="M270" s="23">
        <v>1994</v>
      </c>
      <c r="N270" s="3">
        <v>15</v>
      </c>
      <c r="O270" s="3" t="s">
        <v>181</v>
      </c>
      <c r="P270" s="5" t="s">
        <v>5181</v>
      </c>
      <c r="Q270" s="4" t="s">
        <v>2215</v>
      </c>
    </row>
    <row r="271" spans="1:17" ht="39" customHeight="1">
      <c r="A271" s="31">
        <v>47</v>
      </c>
      <c r="B271" s="37" t="s">
        <v>772</v>
      </c>
      <c r="C271" s="11" t="s">
        <v>770</v>
      </c>
      <c r="D271" s="11" t="s">
        <v>2393</v>
      </c>
      <c r="E271" s="28" t="s">
        <v>2394</v>
      </c>
      <c r="F271" s="11" t="s">
        <v>773</v>
      </c>
      <c r="G271" s="11" t="s">
        <v>774</v>
      </c>
      <c r="H271" s="3" t="s">
        <v>776</v>
      </c>
      <c r="I271" s="21">
        <v>22.647969499999999</v>
      </c>
      <c r="J271" s="21">
        <v>105.95001860000001</v>
      </c>
      <c r="K271" s="21" t="s">
        <v>2272</v>
      </c>
      <c r="L271" s="3">
        <v>1995</v>
      </c>
      <c r="M271" s="3">
        <v>1995</v>
      </c>
      <c r="N271" s="3">
        <v>72</v>
      </c>
      <c r="O271" s="3" t="s">
        <v>181</v>
      </c>
      <c r="P271" s="5" t="s">
        <v>5181</v>
      </c>
      <c r="Q271" s="3"/>
    </row>
    <row r="272" spans="1:17" ht="38" customHeight="1">
      <c r="A272" s="31">
        <v>47</v>
      </c>
      <c r="B272" s="37" t="s">
        <v>772</v>
      </c>
      <c r="C272" s="11" t="s">
        <v>771</v>
      </c>
      <c r="D272" s="11" t="s">
        <v>2393</v>
      </c>
      <c r="E272" s="28" t="s">
        <v>2394</v>
      </c>
      <c r="F272" s="11" t="s">
        <v>775</v>
      </c>
      <c r="G272" s="11" t="s">
        <v>774</v>
      </c>
      <c r="H272" s="3" t="s">
        <v>776</v>
      </c>
      <c r="I272" s="21">
        <v>22.431302599999999</v>
      </c>
      <c r="J272" s="21">
        <v>106.01732149999999</v>
      </c>
      <c r="K272" s="21" t="s">
        <v>2272</v>
      </c>
      <c r="L272" s="3">
        <v>1995</v>
      </c>
      <c r="M272" s="3">
        <v>1995</v>
      </c>
      <c r="N272" s="3">
        <v>72</v>
      </c>
      <c r="O272" s="3" t="s">
        <v>181</v>
      </c>
      <c r="P272" s="5" t="s">
        <v>5181</v>
      </c>
      <c r="Q272" s="3"/>
    </row>
    <row r="273" spans="1:17" ht="33" customHeight="1">
      <c r="A273" s="31">
        <v>48</v>
      </c>
      <c r="B273" s="37" t="s">
        <v>785</v>
      </c>
      <c r="C273" s="11" t="s">
        <v>781</v>
      </c>
      <c r="D273" s="11" t="s">
        <v>2393</v>
      </c>
      <c r="E273" s="28" t="s">
        <v>2394</v>
      </c>
      <c r="F273" s="11" t="s">
        <v>782</v>
      </c>
      <c r="G273" s="3" t="s">
        <v>1050</v>
      </c>
      <c r="H273" s="11" t="s">
        <v>783</v>
      </c>
      <c r="I273" s="21">
        <v>1.2029251999999999</v>
      </c>
      <c r="J273" s="21">
        <v>112.0567959</v>
      </c>
      <c r="K273" s="21" t="s">
        <v>2272</v>
      </c>
      <c r="L273" s="3">
        <v>1992</v>
      </c>
      <c r="M273" s="3">
        <v>1996</v>
      </c>
      <c r="N273" s="3" t="s">
        <v>2272</v>
      </c>
      <c r="O273" s="3" t="s">
        <v>181</v>
      </c>
      <c r="P273" s="5" t="s">
        <v>5181</v>
      </c>
      <c r="Q273" s="3"/>
    </row>
    <row r="274" spans="1:17" ht="36.5" customHeight="1">
      <c r="A274" s="31">
        <v>48</v>
      </c>
      <c r="B274" s="37" t="s">
        <v>785</v>
      </c>
      <c r="C274" s="3" t="s">
        <v>786</v>
      </c>
      <c r="D274" s="11" t="s">
        <v>2393</v>
      </c>
      <c r="E274" s="28" t="s">
        <v>2394</v>
      </c>
      <c r="F274" s="11" t="s">
        <v>784</v>
      </c>
      <c r="G274" s="3" t="s">
        <v>1050</v>
      </c>
      <c r="H274" s="11" t="s">
        <v>783</v>
      </c>
      <c r="I274" s="21">
        <v>1.1331169999999999</v>
      </c>
      <c r="J274" s="21">
        <v>111.6519503</v>
      </c>
      <c r="K274" s="21" t="s">
        <v>2272</v>
      </c>
      <c r="L274" s="3">
        <v>1995</v>
      </c>
      <c r="M274" s="3">
        <v>1996</v>
      </c>
      <c r="N274" s="3" t="s">
        <v>2272</v>
      </c>
      <c r="O274" s="3" t="s">
        <v>181</v>
      </c>
      <c r="P274" s="5" t="s">
        <v>5181</v>
      </c>
      <c r="Q274" s="3"/>
    </row>
    <row r="275" spans="1:17" ht="67" customHeight="1">
      <c r="A275" s="31">
        <v>49</v>
      </c>
      <c r="B275" s="37" t="s">
        <v>800</v>
      </c>
      <c r="C275" s="11" t="s">
        <v>794</v>
      </c>
      <c r="D275" s="11" t="s">
        <v>2393</v>
      </c>
      <c r="E275" s="28" t="s">
        <v>2394</v>
      </c>
      <c r="F275" s="3" t="s">
        <v>801</v>
      </c>
      <c r="G275" s="3" t="s">
        <v>806</v>
      </c>
      <c r="H275" s="11" t="s">
        <v>783</v>
      </c>
      <c r="I275" s="21">
        <v>5.8859678999999998</v>
      </c>
      <c r="J275" s="21">
        <v>116.231697</v>
      </c>
      <c r="K275" s="21" t="s">
        <v>2272</v>
      </c>
      <c r="L275" s="3">
        <v>1995</v>
      </c>
      <c r="M275" s="3">
        <v>1995</v>
      </c>
      <c r="N275" s="3" t="s">
        <v>2272</v>
      </c>
      <c r="O275" s="3" t="s">
        <v>181</v>
      </c>
      <c r="P275" s="5" t="s">
        <v>5181</v>
      </c>
      <c r="Q275" s="4" t="s">
        <v>2050</v>
      </c>
    </row>
    <row r="276" spans="1:17" ht="62" customHeight="1">
      <c r="A276" s="31">
        <v>49</v>
      </c>
      <c r="B276" s="37" t="s">
        <v>800</v>
      </c>
      <c r="C276" s="11" t="s">
        <v>795</v>
      </c>
      <c r="D276" s="11" t="s">
        <v>2393</v>
      </c>
      <c r="E276" s="28" t="s">
        <v>2394</v>
      </c>
      <c r="F276" s="3" t="s">
        <v>802</v>
      </c>
      <c r="G276" s="3" t="s">
        <v>806</v>
      </c>
      <c r="H276" s="11" t="s">
        <v>783</v>
      </c>
      <c r="I276" s="21">
        <v>5.8859678999999998</v>
      </c>
      <c r="J276" s="21">
        <v>116.231697</v>
      </c>
      <c r="K276" s="21" t="s">
        <v>2272</v>
      </c>
      <c r="L276" s="3">
        <v>1995</v>
      </c>
      <c r="M276" s="3">
        <v>1995</v>
      </c>
      <c r="N276" s="3" t="s">
        <v>2272</v>
      </c>
      <c r="O276" s="3" t="s">
        <v>181</v>
      </c>
      <c r="P276" s="5" t="s">
        <v>5181</v>
      </c>
      <c r="Q276" s="4" t="s">
        <v>2048</v>
      </c>
    </row>
    <row r="277" spans="1:17" ht="62.5" customHeight="1">
      <c r="A277" s="31">
        <v>49</v>
      </c>
      <c r="B277" s="37" t="s">
        <v>800</v>
      </c>
      <c r="C277" s="11" t="s">
        <v>796</v>
      </c>
      <c r="D277" s="11" t="s">
        <v>2393</v>
      </c>
      <c r="E277" s="28" t="s">
        <v>2394</v>
      </c>
      <c r="F277" s="3" t="s">
        <v>803</v>
      </c>
      <c r="G277" s="3" t="s">
        <v>806</v>
      </c>
      <c r="H277" s="11" t="s">
        <v>783</v>
      </c>
      <c r="I277" s="21">
        <v>5.8859678999999998</v>
      </c>
      <c r="J277" s="21">
        <v>116.231697</v>
      </c>
      <c r="K277" s="21" t="s">
        <v>2272</v>
      </c>
      <c r="L277" s="3">
        <v>1995</v>
      </c>
      <c r="M277" s="3">
        <v>1995</v>
      </c>
      <c r="N277" s="3" t="s">
        <v>2272</v>
      </c>
      <c r="O277" s="3" t="s">
        <v>181</v>
      </c>
      <c r="P277" s="5" t="s">
        <v>5181</v>
      </c>
      <c r="Q277" s="4" t="s">
        <v>2048</v>
      </c>
    </row>
    <row r="278" spans="1:17" ht="59.5" customHeight="1">
      <c r="A278" s="31">
        <v>49</v>
      </c>
      <c r="B278" s="37" t="s">
        <v>800</v>
      </c>
      <c r="C278" s="11" t="s">
        <v>797</v>
      </c>
      <c r="D278" s="11" t="s">
        <v>2393</v>
      </c>
      <c r="E278" s="28" t="s">
        <v>2394</v>
      </c>
      <c r="F278" s="3" t="s">
        <v>2049</v>
      </c>
      <c r="G278" s="3" t="s">
        <v>806</v>
      </c>
      <c r="H278" s="11" t="s">
        <v>783</v>
      </c>
      <c r="I278" s="21">
        <v>5.8859678999999998</v>
      </c>
      <c r="J278" s="21">
        <v>116.231697</v>
      </c>
      <c r="K278" s="21" t="s">
        <v>2272</v>
      </c>
      <c r="L278" s="3">
        <v>1995</v>
      </c>
      <c r="M278" s="3">
        <v>1995</v>
      </c>
      <c r="N278" s="3" t="s">
        <v>2272</v>
      </c>
      <c r="O278" s="3" t="s">
        <v>181</v>
      </c>
      <c r="P278" s="5" t="s">
        <v>5181</v>
      </c>
      <c r="Q278" s="4" t="s">
        <v>2048</v>
      </c>
    </row>
    <row r="279" spans="1:17" ht="61.5" customHeight="1">
      <c r="A279" s="31">
        <v>49</v>
      </c>
      <c r="B279" s="37" t="s">
        <v>800</v>
      </c>
      <c r="C279" s="11" t="s">
        <v>798</v>
      </c>
      <c r="D279" s="11" t="s">
        <v>2393</v>
      </c>
      <c r="E279" s="28" t="s">
        <v>2394</v>
      </c>
      <c r="F279" s="3" t="s">
        <v>804</v>
      </c>
      <c r="G279" s="3" t="s">
        <v>806</v>
      </c>
      <c r="H279" s="11" t="s">
        <v>783</v>
      </c>
      <c r="I279" s="21">
        <v>5.8859678999999998</v>
      </c>
      <c r="J279" s="21">
        <v>116.231697</v>
      </c>
      <c r="K279" s="21" t="s">
        <v>2272</v>
      </c>
      <c r="L279" s="3">
        <v>1995</v>
      </c>
      <c r="M279" s="3">
        <v>1995</v>
      </c>
      <c r="N279" s="3" t="s">
        <v>2272</v>
      </c>
      <c r="O279" s="3" t="s">
        <v>181</v>
      </c>
      <c r="P279" s="5" t="s">
        <v>5181</v>
      </c>
      <c r="Q279" s="4" t="s">
        <v>2048</v>
      </c>
    </row>
    <row r="280" spans="1:17" ht="66" customHeight="1">
      <c r="A280" s="31">
        <v>49</v>
      </c>
      <c r="B280" s="37" t="s">
        <v>800</v>
      </c>
      <c r="C280" s="11" t="s">
        <v>799</v>
      </c>
      <c r="D280" s="11" t="s">
        <v>2393</v>
      </c>
      <c r="E280" s="28" t="s">
        <v>2394</v>
      </c>
      <c r="F280" s="3" t="s">
        <v>805</v>
      </c>
      <c r="G280" s="3" t="s">
        <v>806</v>
      </c>
      <c r="H280" s="11" t="s">
        <v>783</v>
      </c>
      <c r="I280" s="21">
        <v>5.8859678999999998</v>
      </c>
      <c r="J280" s="21">
        <v>116.231697</v>
      </c>
      <c r="K280" s="21" t="s">
        <v>2272</v>
      </c>
      <c r="L280" s="3">
        <v>1995</v>
      </c>
      <c r="M280" s="3">
        <v>1995</v>
      </c>
      <c r="N280" s="3" t="s">
        <v>2272</v>
      </c>
      <c r="O280" s="3" t="s">
        <v>181</v>
      </c>
      <c r="P280" s="5" t="s">
        <v>5181</v>
      </c>
      <c r="Q280" s="4" t="s">
        <v>2048</v>
      </c>
    </row>
    <row r="281" spans="1:17" ht="40.5" customHeight="1">
      <c r="A281" s="31">
        <v>50</v>
      </c>
      <c r="B281" s="38" t="s">
        <v>815</v>
      </c>
      <c r="C281" s="11" t="s">
        <v>814</v>
      </c>
      <c r="D281" s="11" t="s">
        <v>2393</v>
      </c>
      <c r="E281" s="28" t="s">
        <v>2394</v>
      </c>
      <c r="F281" s="3" t="s">
        <v>816</v>
      </c>
      <c r="G281" s="3" t="s">
        <v>806</v>
      </c>
      <c r="H281" s="3" t="s">
        <v>783</v>
      </c>
      <c r="I281" s="21">
        <v>5.8859678999999998</v>
      </c>
      <c r="J281" s="21">
        <v>116.231697</v>
      </c>
      <c r="K281" s="21" t="s">
        <v>2272</v>
      </c>
      <c r="L281" s="3">
        <v>1965</v>
      </c>
      <c r="M281" s="3">
        <v>1965</v>
      </c>
      <c r="N281" s="3" t="s">
        <v>2272</v>
      </c>
      <c r="O281" s="3" t="s">
        <v>181</v>
      </c>
      <c r="P281" s="5" t="s">
        <v>5181</v>
      </c>
      <c r="Q281" s="4" t="s">
        <v>2056</v>
      </c>
    </row>
    <row r="282" spans="1:17" ht="28.5" customHeight="1">
      <c r="A282" s="31">
        <v>51</v>
      </c>
      <c r="B282" s="37" t="s">
        <v>818</v>
      </c>
      <c r="C282" s="11" t="s">
        <v>821</v>
      </c>
      <c r="D282" s="11" t="s">
        <v>2393</v>
      </c>
      <c r="E282" s="28" t="s">
        <v>2394</v>
      </c>
      <c r="F282" s="11" t="s">
        <v>819</v>
      </c>
      <c r="G282" s="3" t="s">
        <v>2272</v>
      </c>
      <c r="H282" s="11" t="s">
        <v>820</v>
      </c>
      <c r="I282" s="21">
        <v>15.1933358</v>
      </c>
      <c r="J282" s="21">
        <v>-84.602742500000005</v>
      </c>
      <c r="K282" s="21">
        <v>81.58</v>
      </c>
      <c r="L282" s="3">
        <v>2000</v>
      </c>
      <c r="M282" s="3">
        <v>2001</v>
      </c>
      <c r="N282" s="3" t="s">
        <v>2272</v>
      </c>
      <c r="O282" s="3" t="s">
        <v>181</v>
      </c>
      <c r="P282" s="5" t="s">
        <v>5181</v>
      </c>
      <c r="Q282" s="3" t="s">
        <v>2057</v>
      </c>
    </row>
    <row r="283" spans="1:17" ht="54.5" customHeight="1">
      <c r="A283" s="31">
        <v>52</v>
      </c>
      <c r="B283" s="37" t="s">
        <v>826</v>
      </c>
      <c r="C283" s="11" t="s">
        <v>825</v>
      </c>
      <c r="D283" s="11" t="s">
        <v>2393</v>
      </c>
      <c r="E283" s="28" t="s">
        <v>2394</v>
      </c>
      <c r="F283" s="60" t="s">
        <v>827</v>
      </c>
      <c r="G283" s="11" t="s">
        <v>828</v>
      </c>
      <c r="H283" s="11" t="s">
        <v>767</v>
      </c>
      <c r="I283" s="21">
        <v>20.492525700000002</v>
      </c>
      <c r="J283" s="21">
        <v>-89.070106699999997</v>
      </c>
      <c r="K283" s="21" t="s">
        <v>2272</v>
      </c>
      <c r="L283" s="11">
        <v>1995</v>
      </c>
      <c r="M283" s="11">
        <v>1995</v>
      </c>
      <c r="N283" s="3" t="s">
        <v>2272</v>
      </c>
      <c r="O283" s="3" t="s">
        <v>181</v>
      </c>
      <c r="P283" s="5" t="s">
        <v>5181</v>
      </c>
      <c r="Q283" s="4" t="s">
        <v>2061</v>
      </c>
    </row>
    <row r="284" spans="1:17" ht="34.5" customHeight="1">
      <c r="A284" s="31">
        <v>53</v>
      </c>
      <c r="B284" s="38" t="s">
        <v>834</v>
      </c>
      <c r="C284" s="11" t="s">
        <v>833</v>
      </c>
      <c r="D284" s="11" t="s">
        <v>2393</v>
      </c>
      <c r="E284" s="28" t="s">
        <v>2394</v>
      </c>
      <c r="F284" s="3" t="s">
        <v>835</v>
      </c>
      <c r="G284" s="3" t="s">
        <v>828</v>
      </c>
      <c r="H284" s="11" t="s">
        <v>767</v>
      </c>
      <c r="I284" s="21">
        <v>20.483878499999999</v>
      </c>
      <c r="J284" s="21">
        <v>-88.778742100000002</v>
      </c>
      <c r="K284" s="21" t="s">
        <v>2272</v>
      </c>
      <c r="L284" s="3">
        <v>1990</v>
      </c>
      <c r="M284" s="3">
        <v>1990</v>
      </c>
      <c r="N284" s="3" t="s">
        <v>2272</v>
      </c>
      <c r="O284" s="3" t="s">
        <v>181</v>
      </c>
      <c r="P284" s="5" t="s">
        <v>5181</v>
      </c>
      <c r="Q284" s="3" t="s">
        <v>2028</v>
      </c>
    </row>
    <row r="285" spans="1:17" ht="34" customHeight="1">
      <c r="A285" s="31">
        <v>54</v>
      </c>
      <c r="B285" s="37" t="s">
        <v>839</v>
      </c>
      <c r="C285" s="11" t="s">
        <v>837</v>
      </c>
      <c r="D285" s="11" t="s">
        <v>2393</v>
      </c>
      <c r="E285" s="11" t="s">
        <v>2395</v>
      </c>
      <c r="F285" s="3" t="s">
        <v>845</v>
      </c>
      <c r="G285" s="3" t="s">
        <v>838</v>
      </c>
      <c r="H285" s="11" t="s">
        <v>767</v>
      </c>
      <c r="I285" s="21">
        <v>20.100000000000001</v>
      </c>
      <c r="J285" s="21">
        <v>-88.87</v>
      </c>
      <c r="K285" s="21" t="s">
        <v>2272</v>
      </c>
      <c r="L285" s="3">
        <v>1988</v>
      </c>
      <c r="M285" s="3">
        <v>1988</v>
      </c>
      <c r="N285" s="3" t="s">
        <v>2272</v>
      </c>
      <c r="O285" s="3" t="s">
        <v>181</v>
      </c>
      <c r="P285" s="5" t="s">
        <v>5181</v>
      </c>
      <c r="Q285" s="3"/>
    </row>
    <row r="286" spans="1:17" ht="36.5" customHeight="1">
      <c r="A286" s="31">
        <v>54</v>
      </c>
      <c r="B286" s="37" t="s">
        <v>839</v>
      </c>
      <c r="C286" s="11" t="s">
        <v>840</v>
      </c>
      <c r="D286" s="11" t="s">
        <v>2393</v>
      </c>
      <c r="E286" s="11" t="s">
        <v>2395</v>
      </c>
      <c r="F286" s="3" t="s">
        <v>846</v>
      </c>
      <c r="G286" s="3" t="s">
        <v>838</v>
      </c>
      <c r="H286" s="11" t="s">
        <v>767</v>
      </c>
      <c r="I286" s="21">
        <v>20.166667</v>
      </c>
      <c r="J286" s="21">
        <v>-88.83</v>
      </c>
      <c r="K286" s="21" t="s">
        <v>2272</v>
      </c>
      <c r="L286" s="3">
        <v>1988</v>
      </c>
      <c r="M286" s="3">
        <v>1988</v>
      </c>
      <c r="N286" s="3" t="s">
        <v>2272</v>
      </c>
      <c r="O286" s="3" t="s">
        <v>181</v>
      </c>
      <c r="P286" s="5" t="s">
        <v>5181</v>
      </c>
      <c r="Q286" s="3"/>
    </row>
    <row r="287" spans="1:17" ht="41" customHeight="1">
      <c r="A287" s="31">
        <v>54</v>
      </c>
      <c r="B287" s="37" t="s">
        <v>839</v>
      </c>
      <c r="C287" s="11" t="s">
        <v>841</v>
      </c>
      <c r="D287" s="11" t="s">
        <v>2393</v>
      </c>
      <c r="E287" s="11" t="s">
        <v>2395</v>
      </c>
      <c r="F287" s="3" t="s">
        <v>845</v>
      </c>
      <c r="G287" s="3" t="s">
        <v>838</v>
      </c>
      <c r="H287" s="11" t="s">
        <v>767</v>
      </c>
      <c r="I287" s="21">
        <v>20.100000000000001</v>
      </c>
      <c r="J287" s="21">
        <v>-88.87</v>
      </c>
      <c r="K287" s="21" t="s">
        <v>2272</v>
      </c>
      <c r="L287" s="11">
        <v>1994</v>
      </c>
      <c r="M287" s="11">
        <v>1994</v>
      </c>
      <c r="N287" s="3" t="s">
        <v>2272</v>
      </c>
      <c r="O287" s="3" t="s">
        <v>181</v>
      </c>
      <c r="P287" s="5" t="s">
        <v>5181</v>
      </c>
      <c r="Q287" s="3"/>
    </row>
    <row r="288" spans="1:17" ht="44.5" customHeight="1">
      <c r="A288" s="31">
        <v>54</v>
      </c>
      <c r="B288" s="37" t="s">
        <v>839</v>
      </c>
      <c r="C288" s="11" t="s">
        <v>842</v>
      </c>
      <c r="D288" s="11" t="s">
        <v>2393</v>
      </c>
      <c r="E288" s="11" t="s">
        <v>2395</v>
      </c>
      <c r="F288" s="3" t="s">
        <v>846</v>
      </c>
      <c r="G288" s="3" t="s">
        <v>838</v>
      </c>
      <c r="H288" s="11" t="s">
        <v>767</v>
      </c>
      <c r="I288" s="21">
        <v>20.166667</v>
      </c>
      <c r="J288" s="21">
        <v>-88.83</v>
      </c>
      <c r="K288" s="21" t="s">
        <v>2272</v>
      </c>
      <c r="L288" s="11">
        <v>1994</v>
      </c>
      <c r="M288" s="11">
        <v>1994</v>
      </c>
      <c r="N288" s="3" t="s">
        <v>2272</v>
      </c>
      <c r="O288" s="3" t="s">
        <v>181</v>
      </c>
      <c r="P288" s="5" t="s">
        <v>5181</v>
      </c>
      <c r="Q288" s="3"/>
    </row>
    <row r="289" spans="1:17" ht="43.5" customHeight="1">
      <c r="A289" s="31">
        <v>54</v>
      </c>
      <c r="B289" s="37" t="s">
        <v>839</v>
      </c>
      <c r="C289" s="11" t="s">
        <v>843</v>
      </c>
      <c r="D289" s="11" t="s">
        <v>2393</v>
      </c>
      <c r="E289" s="11" t="s">
        <v>2395</v>
      </c>
      <c r="F289" s="3" t="s">
        <v>845</v>
      </c>
      <c r="G289" s="3" t="s">
        <v>838</v>
      </c>
      <c r="H289" s="11" t="s">
        <v>767</v>
      </c>
      <c r="I289" s="21">
        <v>20.100000000000001</v>
      </c>
      <c r="J289" s="21">
        <v>-88.87</v>
      </c>
      <c r="K289" s="21" t="s">
        <v>2272</v>
      </c>
      <c r="L289" s="11">
        <v>2001</v>
      </c>
      <c r="M289" s="11">
        <v>2001</v>
      </c>
      <c r="N289" s="3" t="s">
        <v>2272</v>
      </c>
      <c r="O289" s="3" t="s">
        <v>181</v>
      </c>
      <c r="P289" s="5" t="s">
        <v>5181</v>
      </c>
      <c r="Q289" s="4" t="s">
        <v>2063</v>
      </c>
    </row>
    <row r="290" spans="1:17" ht="38" customHeight="1">
      <c r="A290" s="31">
        <v>54</v>
      </c>
      <c r="B290" s="37" t="s">
        <v>839</v>
      </c>
      <c r="C290" s="11" t="s">
        <v>844</v>
      </c>
      <c r="D290" s="11" t="s">
        <v>2393</v>
      </c>
      <c r="E290" s="11" t="s">
        <v>2395</v>
      </c>
      <c r="F290" s="3" t="s">
        <v>846</v>
      </c>
      <c r="G290" s="3" t="s">
        <v>838</v>
      </c>
      <c r="H290" s="11" t="s">
        <v>767</v>
      </c>
      <c r="I290" s="21">
        <v>20.166667</v>
      </c>
      <c r="J290" s="21">
        <v>-88.83</v>
      </c>
      <c r="K290" s="21" t="s">
        <v>2272</v>
      </c>
      <c r="L290" s="11">
        <v>2001</v>
      </c>
      <c r="M290" s="11">
        <v>2001</v>
      </c>
      <c r="N290" s="3" t="s">
        <v>2272</v>
      </c>
      <c r="O290" s="3" t="s">
        <v>181</v>
      </c>
      <c r="P290" s="5" t="s">
        <v>5181</v>
      </c>
      <c r="Q290" s="4" t="s">
        <v>2063</v>
      </c>
    </row>
    <row r="291" spans="1:17" ht="34.5" customHeight="1">
      <c r="A291" s="31">
        <v>55</v>
      </c>
      <c r="B291" s="37" t="s">
        <v>855</v>
      </c>
      <c r="C291" s="11" t="s">
        <v>859</v>
      </c>
      <c r="D291" s="11" t="s">
        <v>2393</v>
      </c>
      <c r="E291" s="3" t="s">
        <v>2394</v>
      </c>
      <c r="F291" s="3" t="s">
        <v>856</v>
      </c>
      <c r="G291" s="3" t="s">
        <v>857</v>
      </c>
      <c r="H291" s="3" t="s">
        <v>383</v>
      </c>
      <c r="I291" s="21">
        <v>-5.0809839999999999</v>
      </c>
      <c r="J291" s="21">
        <v>32.073554999999999</v>
      </c>
      <c r="K291" s="21" t="s">
        <v>2272</v>
      </c>
      <c r="L291" s="3">
        <v>2001</v>
      </c>
      <c r="M291" s="3">
        <v>2001</v>
      </c>
      <c r="N291" s="3">
        <v>12</v>
      </c>
      <c r="O291" s="4" t="s">
        <v>858</v>
      </c>
      <c r="P291" s="5" t="s">
        <v>5181</v>
      </c>
      <c r="Q291" s="3"/>
    </row>
    <row r="292" spans="1:17" ht="34.5" customHeight="1">
      <c r="A292" s="31">
        <v>56</v>
      </c>
      <c r="B292" s="37" t="s">
        <v>867</v>
      </c>
      <c r="C292" s="11" t="s">
        <v>866</v>
      </c>
      <c r="D292" s="11" t="s">
        <v>2393</v>
      </c>
      <c r="E292" s="19" t="s">
        <v>2415</v>
      </c>
      <c r="F292" s="11" t="s">
        <v>868</v>
      </c>
      <c r="G292" s="11" t="s">
        <v>869</v>
      </c>
      <c r="H292" s="11" t="s">
        <v>420</v>
      </c>
      <c r="I292" s="21">
        <v>-11.492426116531</v>
      </c>
      <c r="J292" s="21">
        <v>31.285913680023501</v>
      </c>
      <c r="K292" s="21">
        <v>122.1</v>
      </c>
      <c r="L292" s="3">
        <v>2001</v>
      </c>
      <c r="M292" s="3">
        <v>2001</v>
      </c>
      <c r="N292" s="3">
        <v>6.18</v>
      </c>
      <c r="O292" s="3" t="s">
        <v>181</v>
      </c>
      <c r="P292" s="5" t="s">
        <v>5181</v>
      </c>
      <c r="Q292" s="3" t="s">
        <v>2057</v>
      </c>
    </row>
    <row r="293" spans="1:17" ht="34.5" customHeight="1">
      <c r="A293" s="31">
        <v>56</v>
      </c>
      <c r="B293" s="37" t="s">
        <v>867</v>
      </c>
      <c r="C293" s="34" t="s">
        <v>2068</v>
      </c>
      <c r="D293" s="11" t="s">
        <v>2393</v>
      </c>
      <c r="E293" s="19" t="s">
        <v>2415</v>
      </c>
      <c r="F293" s="11" t="s">
        <v>868</v>
      </c>
      <c r="G293" s="11" t="s">
        <v>869</v>
      </c>
      <c r="H293" s="11" t="s">
        <v>420</v>
      </c>
      <c r="I293" s="21">
        <v>-11.509104311079501</v>
      </c>
      <c r="J293" s="21">
        <v>31.3015686574665</v>
      </c>
      <c r="K293" s="21">
        <v>31.9</v>
      </c>
      <c r="L293" s="3">
        <v>2001</v>
      </c>
      <c r="M293" s="3">
        <v>2001</v>
      </c>
      <c r="N293" s="3">
        <v>16.75</v>
      </c>
      <c r="O293" s="3" t="s">
        <v>181</v>
      </c>
      <c r="P293" s="5" t="s">
        <v>5181</v>
      </c>
      <c r="Q293" s="3" t="s">
        <v>2057</v>
      </c>
    </row>
    <row r="294" spans="1:17" ht="34.5" customHeight="1">
      <c r="A294" s="31">
        <v>56</v>
      </c>
      <c r="B294" s="37" t="s">
        <v>867</v>
      </c>
      <c r="C294" s="34" t="s">
        <v>2069</v>
      </c>
      <c r="D294" s="11" t="s">
        <v>2393</v>
      </c>
      <c r="E294" s="19" t="s">
        <v>2415</v>
      </c>
      <c r="F294" s="11" t="s">
        <v>868</v>
      </c>
      <c r="G294" s="11" t="s">
        <v>869</v>
      </c>
      <c r="H294" s="11" t="s">
        <v>420</v>
      </c>
      <c r="I294" s="21">
        <v>-11.5171857028981</v>
      </c>
      <c r="J294" s="21">
        <v>31.326802515288598</v>
      </c>
      <c r="K294" s="21">
        <v>171.5</v>
      </c>
      <c r="L294" s="3">
        <v>2001</v>
      </c>
      <c r="M294" s="3">
        <v>2001</v>
      </c>
      <c r="N294" s="3">
        <v>4.76</v>
      </c>
      <c r="O294" s="3" t="s">
        <v>181</v>
      </c>
      <c r="P294" s="5" t="s">
        <v>5181</v>
      </c>
      <c r="Q294" s="3" t="s">
        <v>2057</v>
      </c>
    </row>
    <row r="295" spans="1:17" ht="34.5" customHeight="1">
      <c r="A295" s="31">
        <v>56</v>
      </c>
      <c r="B295" s="37" t="s">
        <v>867</v>
      </c>
      <c r="C295" s="34" t="s">
        <v>2070</v>
      </c>
      <c r="D295" s="11" t="s">
        <v>2393</v>
      </c>
      <c r="E295" s="19" t="s">
        <v>2415</v>
      </c>
      <c r="F295" s="11" t="s">
        <v>868</v>
      </c>
      <c r="G295" s="11" t="s">
        <v>869</v>
      </c>
      <c r="H295" s="11" t="s">
        <v>420</v>
      </c>
      <c r="I295" s="21">
        <v>-11.5178724717953</v>
      </c>
      <c r="J295" s="21">
        <v>31.284374343124099</v>
      </c>
      <c r="K295" s="21">
        <v>96.5</v>
      </c>
      <c r="L295" s="3">
        <v>2001</v>
      </c>
      <c r="M295" s="3">
        <v>2001</v>
      </c>
      <c r="N295" s="3">
        <v>3.12</v>
      </c>
      <c r="O295" s="3" t="s">
        <v>181</v>
      </c>
      <c r="P295" s="5" t="s">
        <v>5181</v>
      </c>
      <c r="Q295" s="3" t="s">
        <v>2057</v>
      </c>
    </row>
    <row r="296" spans="1:17" ht="34.5" customHeight="1">
      <c r="A296" s="31">
        <v>56</v>
      </c>
      <c r="B296" s="37" t="s">
        <v>867</v>
      </c>
      <c r="C296" s="34" t="s">
        <v>2071</v>
      </c>
      <c r="D296" s="11" t="s">
        <v>2393</v>
      </c>
      <c r="E296" s="19" t="s">
        <v>2415</v>
      </c>
      <c r="F296" s="11" t="s">
        <v>868</v>
      </c>
      <c r="G296" s="11" t="s">
        <v>869</v>
      </c>
      <c r="H296" s="11" t="s">
        <v>420</v>
      </c>
      <c r="I296" s="21">
        <v>-11.5365833543825</v>
      </c>
      <c r="J296" s="21">
        <v>31.226744079397601</v>
      </c>
      <c r="K296" s="21">
        <v>391.5</v>
      </c>
      <c r="L296" s="3">
        <v>2001</v>
      </c>
      <c r="M296" s="3">
        <v>2001</v>
      </c>
      <c r="N296" s="3">
        <v>1.97</v>
      </c>
      <c r="O296" s="3" t="s">
        <v>181</v>
      </c>
      <c r="P296" s="5" t="s">
        <v>5181</v>
      </c>
      <c r="Q296" s="3" t="s">
        <v>2057</v>
      </c>
    </row>
    <row r="297" spans="1:17" ht="34.5" customHeight="1">
      <c r="A297" s="31">
        <v>56</v>
      </c>
      <c r="B297" s="37" t="s">
        <v>867</v>
      </c>
      <c r="C297" s="34" t="s">
        <v>2072</v>
      </c>
      <c r="D297" s="11" t="s">
        <v>2393</v>
      </c>
      <c r="E297" s="19" t="s">
        <v>2415</v>
      </c>
      <c r="F297" s="11" t="s">
        <v>868</v>
      </c>
      <c r="G297" s="11" t="s">
        <v>869</v>
      </c>
      <c r="H297" s="11" t="s">
        <v>420</v>
      </c>
      <c r="I297" s="21">
        <v>-11.567591538915901</v>
      </c>
      <c r="J297" s="21">
        <v>31.2459202094348</v>
      </c>
      <c r="K297" s="21">
        <v>223.8</v>
      </c>
      <c r="L297" s="3">
        <v>2001</v>
      </c>
      <c r="M297" s="3">
        <v>2001</v>
      </c>
      <c r="N297" s="3">
        <v>2.2200000000000002</v>
      </c>
      <c r="O297" s="3" t="s">
        <v>181</v>
      </c>
      <c r="P297" s="5" t="s">
        <v>5181</v>
      </c>
      <c r="Q297" s="3" t="s">
        <v>2057</v>
      </c>
    </row>
    <row r="298" spans="1:17" ht="34.5" customHeight="1">
      <c r="A298" s="31">
        <v>56</v>
      </c>
      <c r="B298" s="37" t="s">
        <v>867</v>
      </c>
      <c r="C298" s="34" t="s">
        <v>2073</v>
      </c>
      <c r="D298" s="11" t="s">
        <v>2393</v>
      </c>
      <c r="E298" s="19" t="s">
        <v>2415</v>
      </c>
      <c r="F298" s="11" t="s">
        <v>868</v>
      </c>
      <c r="G298" s="11" t="s">
        <v>869</v>
      </c>
      <c r="H298" s="11" t="s">
        <v>420</v>
      </c>
      <c r="I298" s="21">
        <v>-11.6107035790767</v>
      </c>
      <c r="J298" s="21">
        <v>31.276519647301399</v>
      </c>
      <c r="K298" s="21">
        <v>60.3</v>
      </c>
      <c r="L298" s="3">
        <v>2001</v>
      </c>
      <c r="M298" s="3">
        <v>2001</v>
      </c>
      <c r="N298" s="3">
        <v>7.66</v>
      </c>
      <c r="O298" s="3" t="s">
        <v>181</v>
      </c>
      <c r="P298" s="5" t="s">
        <v>5181</v>
      </c>
      <c r="Q298" s="3" t="s">
        <v>2057</v>
      </c>
    </row>
    <row r="299" spans="1:17" ht="34.5" customHeight="1">
      <c r="A299" s="31">
        <v>56</v>
      </c>
      <c r="B299" s="37" t="s">
        <v>867</v>
      </c>
      <c r="C299" s="34" t="s">
        <v>2074</v>
      </c>
      <c r="D299" s="11" t="s">
        <v>2393</v>
      </c>
      <c r="E299" s="19" t="s">
        <v>2415</v>
      </c>
      <c r="F299" s="11" t="s">
        <v>868</v>
      </c>
      <c r="G299" s="11" t="s">
        <v>869</v>
      </c>
      <c r="H299" s="11" t="s">
        <v>420</v>
      </c>
      <c r="I299" s="21">
        <v>-11.6314245859738</v>
      </c>
      <c r="J299" s="21">
        <v>31.1827076866306</v>
      </c>
      <c r="K299" s="21">
        <v>127.5</v>
      </c>
      <c r="L299" s="3">
        <v>2001</v>
      </c>
      <c r="M299" s="3">
        <v>2001</v>
      </c>
      <c r="N299" s="3">
        <v>4.1399999999999997</v>
      </c>
      <c r="O299" s="3" t="s">
        <v>181</v>
      </c>
      <c r="P299" s="5" t="s">
        <v>5181</v>
      </c>
      <c r="Q299" s="3" t="s">
        <v>2057</v>
      </c>
    </row>
    <row r="300" spans="1:17" ht="34.5" customHeight="1">
      <c r="A300" s="31">
        <v>56</v>
      </c>
      <c r="B300" s="37" t="s">
        <v>867</v>
      </c>
      <c r="C300" s="34" t="s">
        <v>2075</v>
      </c>
      <c r="D300" s="11" t="s">
        <v>2393</v>
      </c>
      <c r="E300" s="19" t="s">
        <v>2415</v>
      </c>
      <c r="F300" s="11" t="s">
        <v>868</v>
      </c>
      <c r="G300" s="11" t="s">
        <v>869</v>
      </c>
      <c r="H300" s="11" t="s">
        <v>420</v>
      </c>
      <c r="I300" s="21">
        <v>-11.6412059683904</v>
      </c>
      <c r="J300" s="21">
        <v>31.276438086716698</v>
      </c>
      <c r="K300" s="21">
        <v>97.7</v>
      </c>
      <c r="L300" s="3">
        <v>2001</v>
      </c>
      <c r="M300" s="3">
        <v>2001</v>
      </c>
      <c r="N300" s="3">
        <v>5.95</v>
      </c>
      <c r="O300" s="3" t="s">
        <v>181</v>
      </c>
      <c r="P300" s="5" t="s">
        <v>5181</v>
      </c>
      <c r="Q300" s="3" t="s">
        <v>2057</v>
      </c>
    </row>
    <row r="301" spans="1:17" ht="34.5" customHeight="1">
      <c r="A301" s="31">
        <v>56</v>
      </c>
      <c r="B301" s="37" t="s">
        <v>867</v>
      </c>
      <c r="C301" s="34" t="s">
        <v>2076</v>
      </c>
      <c r="D301" s="11" t="s">
        <v>2393</v>
      </c>
      <c r="E301" s="19" t="s">
        <v>2415</v>
      </c>
      <c r="F301" s="11" t="s">
        <v>868</v>
      </c>
      <c r="G301" s="11" t="s">
        <v>869</v>
      </c>
      <c r="H301" s="11" t="s">
        <v>420</v>
      </c>
      <c r="I301" s="21">
        <v>-11.5498172931767</v>
      </c>
      <c r="J301" s="21">
        <v>31.307077777484398</v>
      </c>
      <c r="K301" s="21">
        <v>67.5</v>
      </c>
      <c r="L301" s="3">
        <v>2001</v>
      </c>
      <c r="M301" s="3">
        <v>2001</v>
      </c>
      <c r="N301" s="3">
        <v>21.42</v>
      </c>
      <c r="O301" s="3" t="s">
        <v>181</v>
      </c>
      <c r="P301" s="5" t="s">
        <v>5181</v>
      </c>
      <c r="Q301" s="3" t="s">
        <v>2057</v>
      </c>
    </row>
    <row r="302" spans="1:17" ht="34.5" customHeight="1">
      <c r="A302" s="31">
        <v>56</v>
      </c>
      <c r="B302" s="37" t="s">
        <v>867</v>
      </c>
      <c r="C302" s="34" t="s">
        <v>2077</v>
      </c>
      <c r="D302" s="11" t="s">
        <v>2393</v>
      </c>
      <c r="E302" s="19" t="s">
        <v>2415</v>
      </c>
      <c r="F302" s="11" t="s">
        <v>868</v>
      </c>
      <c r="G302" s="11" t="s">
        <v>869</v>
      </c>
      <c r="H302" s="11" t="s">
        <v>420</v>
      </c>
      <c r="I302" s="21">
        <v>-11.5591986768359</v>
      </c>
      <c r="J302" s="21">
        <v>31.2814082423012</v>
      </c>
      <c r="K302" s="21">
        <v>20.3</v>
      </c>
      <c r="L302" s="3">
        <v>2001</v>
      </c>
      <c r="M302" s="3">
        <v>2001</v>
      </c>
      <c r="N302" s="3">
        <v>11.12</v>
      </c>
      <c r="O302" s="3" t="s">
        <v>181</v>
      </c>
      <c r="P302" s="5" t="s">
        <v>5181</v>
      </c>
      <c r="Q302" s="3" t="s">
        <v>2057</v>
      </c>
    </row>
    <row r="303" spans="1:17" ht="34.5" customHeight="1">
      <c r="A303" s="31">
        <v>56</v>
      </c>
      <c r="B303" s="37" t="s">
        <v>867</v>
      </c>
      <c r="C303" s="34" t="s">
        <v>2078</v>
      </c>
      <c r="D303" s="11" t="s">
        <v>2393</v>
      </c>
      <c r="E303" s="19" t="s">
        <v>2415</v>
      </c>
      <c r="F303" s="11" t="s">
        <v>868</v>
      </c>
      <c r="G303" s="11" t="s">
        <v>869</v>
      </c>
      <c r="H303" s="11" t="s">
        <v>420</v>
      </c>
      <c r="I303" s="21">
        <v>-11.576736592623099</v>
      </c>
      <c r="J303" s="21">
        <v>31.3023795745192</v>
      </c>
      <c r="K303" s="21">
        <v>36</v>
      </c>
      <c r="L303" s="3">
        <v>2001</v>
      </c>
      <c r="M303" s="3">
        <v>2001</v>
      </c>
      <c r="N303" s="3">
        <v>14.27</v>
      </c>
      <c r="O303" s="3" t="s">
        <v>181</v>
      </c>
      <c r="P303" s="5" t="s">
        <v>5181</v>
      </c>
      <c r="Q303" s="3" t="s">
        <v>2057</v>
      </c>
    </row>
    <row r="304" spans="1:17" ht="34.5" customHeight="1">
      <c r="A304" s="31">
        <v>56</v>
      </c>
      <c r="B304" s="37" t="s">
        <v>867</v>
      </c>
      <c r="C304" s="34" t="s">
        <v>2079</v>
      </c>
      <c r="D304" s="11" t="s">
        <v>2393</v>
      </c>
      <c r="E304" s="19" t="s">
        <v>2415</v>
      </c>
      <c r="F304" s="11" t="s">
        <v>868</v>
      </c>
      <c r="G304" s="11" t="s">
        <v>869</v>
      </c>
      <c r="H304" s="11" t="s">
        <v>420</v>
      </c>
      <c r="I304" s="21">
        <v>-11.5230027462087</v>
      </c>
      <c r="J304" s="21">
        <v>31.296715673074999</v>
      </c>
      <c r="K304" s="21">
        <v>60.6</v>
      </c>
      <c r="L304" s="3">
        <v>2001</v>
      </c>
      <c r="M304" s="3">
        <v>2001</v>
      </c>
      <c r="N304" s="3" t="s">
        <v>2272</v>
      </c>
      <c r="O304" s="3" t="s">
        <v>181</v>
      </c>
      <c r="P304" s="5" t="s">
        <v>5181</v>
      </c>
      <c r="Q304" s="3" t="s">
        <v>2057</v>
      </c>
    </row>
    <row r="305" spans="1:17" ht="34.5" customHeight="1">
      <c r="A305" s="31">
        <v>56</v>
      </c>
      <c r="B305" s="37" t="s">
        <v>867</v>
      </c>
      <c r="C305" s="34" t="s">
        <v>2080</v>
      </c>
      <c r="D305" s="11" t="s">
        <v>2393</v>
      </c>
      <c r="E305" s="19" t="s">
        <v>2415</v>
      </c>
      <c r="F305" s="11" t="s">
        <v>868</v>
      </c>
      <c r="G305" s="11" t="s">
        <v>869</v>
      </c>
      <c r="H305" s="11" t="s">
        <v>420</v>
      </c>
      <c r="I305" s="21">
        <v>-11.5293712322225</v>
      </c>
      <c r="J305" s="21">
        <v>31.320875285438099</v>
      </c>
      <c r="K305" s="21">
        <v>90.5</v>
      </c>
      <c r="L305" s="3">
        <v>2001</v>
      </c>
      <c r="M305" s="3">
        <v>2001</v>
      </c>
      <c r="N305" s="3">
        <v>6.27</v>
      </c>
      <c r="O305" s="3" t="s">
        <v>181</v>
      </c>
      <c r="P305" s="5" t="s">
        <v>5181</v>
      </c>
      <c r="Q305" s="3" t="s">
        <v>2057</v>
      </c>
    </row>
    <row r="306" spans="1:17" ht="34.5" customHeight="1">
      <c r="A306" s="31">
        <v>56</v>
      </c>
      <c r="B306" s="37" t="s">
        <v>867</v>
      </c>
      <c r="C306" s="34" t="s">
        <v>2081</v>
      </c>
      <c r="D306" s="11" t="s">
        <v>2393</v>
      </c>
      <c r="E306" s="19" t="s">
        <v>2415</v>
      </c>
      <c r="F306" s="11" t="s">
        <v>868</v>
      </c>
      <c r="G306" s="11" t="s">
        <v>869</v>
      </c>
      <c r="H306" s="11" t="s">
        <v>420</v>
      </c>
      <c r="I306" s="21">
        <v>-11.540749268528399</v>
      </c>
      <c r="J306" s="21">
        <v>31.333471070167398</v>
      </c>
      <c r="K306" s="21">
        <v>196.7</v>
      </c>
      <c r="L306" s="3">
        <v>2001</v>
      </c>
      <c r="M306" s="3">
        <v>2001</v>
      </c>
      <c r="N306" s="3">
        <v>5.67</v>
      </c>
      <c r="O306" s="3" t="s">
        <v>181</v>
      </c>
      <c r="P306" s="5" t="s">
        <v>5181</v>
      </c>
      <c r="Q306" s="3" t="s">
        <v>2057</v>
      </c>
    </row>
    <row r="307" spans="1:17" ht="34.5" customHeight="1">
      <c r="A307" s="31">
        <v>56</v>
      </c>
      <c r="B307" s="37" t="s">
        <v>867</v>
      </c>
      <c r="C307" s="34" t="s">
        <v>2082</v>
      </c>
      <c r="D307" s="11" t="s">
        <v>2393</v>
      </c>
      <c r="E307" s="19" t="s">
        <v>2415</v>
      </c>
      <c r="F307" s="11" t="s">
        <v>868</v>
      </c>
      <c r="G307" s="11" t="s">
        <v>869</v>
      </c>
      <c r="H307" s="11" t="s">
        <v>420</v>
      </c>
      <c r="I307" s="21">
        <v>-11.587525861605</v>
      </c>
      <c r="J307" s="21">
        <v>31.0712386258372</v>
      </c>
      <c r="K307" s="21">
        <v>44.6</v>
      </c>
      <c r="L307" s="3">
        <v>2001</v>
      </c>
      <c r="M307" s="3">
        <v>2001</v>
      </c>
      <c r="N307" s="3">
        <v>15.16</v>
      </c>
      <c r="O307" s="3" t="s">
        <v>181</v>
      </c>
      <c r="P307" s="5" t="s">
        <v>5181</v>
      </c>
      <c r="Q307" s="3" t="s">
        <v>2057</v>
      </c>
    </row>
    <row r="308" spans="1:17" ht="34.5" customHeight="1">
      <c r="A308" s="31">
        <v>56</v>
      </c>
      <c r="B308" s="37" t="s">
        <v>867</v>
      </c>
      <c r="C308" s="34" t="s">
        <v>2083</v>
      </c>
      <c r="D308" s="11" t="s">
        <v>2393</v>
      </c>
      <c r="E308" s="19" t="s">
        <v>2415</v>
      </c>
      <c r="F308" s="11" t="s">
        <v>868</v>
      </c>
      <c r="G308" s="11" t="s">
        <v>869</v>
      </c>
      <c r="H308" s="11" t="s">
        <v>420</v>
      </c>
      <c r="I308" s="21">
        <v>-11.655467105891599</v>
      </c>
      <c r="J308" s="21">
        <v>31.035439906006602</v>
      </c>
      <c r="K308" s="21">
        <v>101.2</v>
      </c>
      <c r="L308" s="3">
        <v>2001</v>
      </c>
      <c r="M308" s="3">
        <v>2001</v>
      </c>
      <c r="N308" s="3">
        <v>4.29</v>
      </c>
      <c r="O308" s="3" t="s">
        <v>181</v>
      </c>
      <c r="P308" s="5" t="s">
        <v>5181</v>
      </c>
      <c r="Q308" s="3" t="s">
        <v>2057</v>
      </c>
    </row>
    <row r="309" spans="1:17" ht="34.5" customHeight="1">
      <c r="A309" s="31">
        <v>56</v>
      </c>
      <c r="B309" s="37" t="s">
        <v>867</v>
      </c>
      <c r="C309" s="34" t="s">
        <v>2084</v>
      </c>
      <c r="D309" s="11" t="s">
        <v>2393</v>
      </c>
      <c r="E309" s="19" t="s">
        <v>2415</v>
      </c>
      <c r="F309" s="11" t="s">
        <v>868</v>
      </c>
      <c r="G309" s="11" t="s">
        <v>869</v>
      </c>
      <c r="H309" s="11" t="s">
        <v>420</v>
      </c>
      <c r="I309" s="21">
        <v>-11.649774296097</v>
      </c>
      <c r="J309" s="21">
        <v>31.109317890522298</v>
      </c>
      <c r="K309" s="21">
        <v>131.30000000000001</v>
      </c>
      <c r="L309" s="3">
        <v>2001</v>
      </c>
      <c r="M309" s="3">
        <v>2001</v>
      </c>
      <c r="N309" s="3">
        <v>3.85</v>
      </c>
      <c r="O309" s="3" t="s">
        <v>181</v>
      </c>
      <c r="P309" s="5" t="s">
        <v>5181</v>
      </c>
      <c r="Q309" s="3" t="s">
        <v>2057</v>
      </c>
    </row>
    <row r="310" spans="1:17" ht="34.5" customHeight="1">
      <c r="A310" s="31">
        <v>56</v>
      </c>
      <c r="B310" s="37" t="s">
        <v>867</v>
      </c>
      <c r="C310" s="34" t="s">
        <v>2085</v>
      </c>
      <c r="D310" s="11" t="s">
        <v>2393</v>
      </c>
      <c r="E310" s="19" t="s">
        <v>2415</v>
      </c>
      <c r="F310" s="11" t="s">
        <v>868</v>
      </c>
      <c r="G310" s="11" t="s">
        <v>869</v>
      </c>
      <c r="H310" s="11" t="s">
        <v>420</v>
      </c>
      <c r="I310" s="21">
        <v>-11.6996520512901</v>
      </c>
      <c r="J310" s="21">
        <v>31.009092747872501</v>
      </c>
      <c r="K310" s="21">
        <v>70.599999999999994</v>
      </c>
      <c r="L310" s="3">
        <v>2001</v>
      </c>
      <c r="M310" s="3">
        <v>2001</v>
      </c>
      <c r="N310" s="3">
        <v>5.49</v>
      </c>
      <c r="O310" s="3" t="s">
        <v>181</v>
      </c>
      <c r="P310" s="5" t="s">
        <v>5181</v>
      </c>
      <c r="Q310" s="3" t="s">
        <v>2057</v>
      </c>
    </row>
    <row r="311" spans="1:17" ht="34.5" customHeight="1">
      <c r="A311" s="31">
        <v>56</v>
      </c>
      <c r="B311" s="37" t="s">
        <v>867</v>
      </c>
      <c r="C311" s="34" t="s">
        <v>2086</v>
      </c>
      <c r="D311" s="11" t="s">
        <v>2393</v>
      </c>
      <c r="E311" s="19" t="s">
        <v>2415</v>
      </c>
      <c r="F311" s="11" t="s">
        <v>868</v>
      </c>
      <c r="G311" s="11" t="s">
        <v>869</v>
      </c>
      <c r="H311" s="11" t="s">
        <v>420</v>
      </c>
      <c r="I311" s="21">
        <v>-11.7286085747076</v>
      </c>
      <c r="J311" s="21">
        <v>31.1645873600234</v>
      </c>
      <c r="K311" s="21">
        <v>318.10000000000002</v>
      </c>
      <c r="L311" s="3">
        <v>2001</v>
      </c>
      <c r="M311" s="3">
        <v>2001</v>
      </c>
      <c r="N311" s="3">
        <v>1.03</v>
      </c>
      <c r="O311" s="3" t="s">
        <v>181</v>
      </c>
      <c r="P311" s="5" t="s">
        <v>5181</v>
      </c>
      <c r="Q311" s="3" t="s">
        <v>2057</v>
      </c>
    </row>
    <row r="312" spans="1:17" ht="34.5" customHeight="1">
      <c r="A312" s="31">
        <v>56</v>
      </c>
      <c r="B312" s="37" t="s">
        <v>867</v>
      </c>
      <c r="C312" s="34" t="s">
        <v>2087</v>
      </c>
      <c r="D312" s="11" t="s">
        <v>2393</v>
      </c>
      <c r="E312" s="19" t="s">
        <v>2415</v>
      </c>
      <c r="F312" s="11" t="s">
        <v>868</v>
      </c>
      <c r="G312" s="11" t="s">
        <v>869</v>
      </c>
      <c r="H312" s="11" t="s">
        <v>420</v>
      </c>
      <c r="I312" s="21">
        <v>-11.7938790289416</v>
      </c>
      <c r="J312" s="21">
        <v>30.9438719880497</v>
      </c>
      <c r="K312" s="21">
        <v>45.3</v>
      </c>
      <c r="L312" s="3">
        <v>2001</v>
      </c>
      <c r="M312" s="3">
        <v>2001</v>
      </c>
      <c r="N312" s="3">
        <v>3.84</v>
      </c>
      <c r="O312" s="3" t="s">
        <v>181</v>
      </c>
      <c r="P312" s="5" t="s">
        <v>5181</v>
      </c>
      <c r="Q312" s="3" t="s">
        <v>2057</v>
      </c>
    </row>
    <row r="313" spans="1:17" ht="34.5" customHeight="1">
      <c r="A313" s="31">
        <v>56</v>
      </c>
      <c r="B313" s="37" t="s">
        <v>867</v>
      </c>
      <c r="C313" s="34" t="s">
        <v>2088</v>
      </c>
      <c r="D313" s="11" t="s">
        <v>2393</v>
      </c>
      <c r="E313" s="19" t="s">
        <v>2415</v>
      </c>
      <c r="F313" s="11" t="s">
        <v>868</v>
      </c>
      <c r="G313" s="11" t="s">
        <v>869</v>
      </c>
      <c r="H313" s="11" t="s">
        <v>420</v>
      </c>
      <c r="I313" s="21">
        <v>-11.7147095623396</v>
      </c>
      <c r="J313" s="21">
        <v>31.272104993970299</v>
      </c>
      <c r="K313" s="21">
        <v>108.7</v>
      </c>
      <c r="L313" s="3">
        <v>2001</v>
      </c>
      <c r="M313" s="3">
        <v>2001</v>
      </c>
      <c r="N313" s="3">
        <v>4.74</v>
      </c>
      <c r="O313" s="3" t="s">
        <v>181</v>
      </c>
      <c r="P313" s="5" t="s">
        <v>5181</v>
      </c>
      <c r="Q313" s="3" t="s">
        <v>2057</v>
      </c>
    </row>
    <row r="314" spans="1:17" ht="34.5" customHeight="1">
      <c r="A314" s="31">
        <v>56</v>
      </c>
      <c r="B314" s="37" t="s">
        <v>867</v>
      </c>
      <c r="C314" s="34" t="s">
        <v>2089</v>
      </c>
      <c r="D314" s="11" t="s">
        <v>2393</v>
      </c>
      <c r="E314" s="19" t="s">
        <v>2415</v>
      </c>
      <c r="F314" s="11" t="s">
        <v>868</v>
      </c>
      <c r="G314" s="11" t="s">
        <v>869</v>
      </c>
      <c r="H314" s="11" t="s">
        <v>420</v>
      </c>
      <c r="I314" s="21">
        <v>-11.776184326327501</v>
      </c>
      <c r="J314" s="21">
        <v>31.242800110637202</v>
      </c>
      <c r="K314" s="21">
        <v>139.9</v>
      </c>
      <c r="L314" s="3">
        <v>2001</v>
      </c>
      <c r="M314" s="3">
        <v>2001</v>
      </c>
      <c r="N314" s="3">
        <v>4.46</v>
      </c>
      <c r="O314" s="3" t="s">
        <v>181</v>
      </c>
      <c r="P314" s="5" t="s">
        <v>5181</v>
      </c>
      <c r="Q314" s="3" t="s">
        <v>2057</v>
      </c>
    </row>
    <row r="315" spans="1:17" ht="34.5" customHeight="1">
      <c r="A315" s="31">
        <v>56</v>
      </c>
      <c r="B315" s="37" t="s">
        <v>867</v>
      </c>
      <c r="C315" s="34" t="s">
        <v>2090</v>
      </c>
      <c r="D315" s="11" t="s">
        <v>2393</v>
      </c>
      <c r="E315" s="19" t="s">
        <v>2415</v>
      </c>
      <c r="F315" s="11" t="s">
        <v>868</v>
      </c>
      <c r="G315" s="11" t="s">
        <v>869</v>
      </c>
      <c r="H315" s="11" t="s">
        <v>420</v>
      </c>
      <c r="I315" s="21">
        <v>-11.7910654021347</v>
      </c>
      <c r="J315" s="21">
        <v>31.268037392952401</v>
      </c>
      <c r="K315" s="21">
        <v>22.7</v>
      </c>
      <c r="L315" s="3">
        <v>2001</v>
      </c>
      <c r="M315" s="3">
        <v>2001</v>
      </c>
      <c r="N315" s="3">
        <v>23.88</v>
      </c>
      <c r="O315" s="3" t="s">
        <v>181</v>
      </c>
      <c r="P315" s="5" t="s">
        <v>5181</v>
      </c>
      <c r="Q315" s="3" t="s">
        <v>2057</v>
      </c>
    </row>
    <row r="316" spans="1:17" ht="34.5" customHeight="1">
      <c r="A316" s="31">
        <v>56</v>
      </c>
      <c r="B316" s="37" t="s">
        <v>867</v>
      </c>
      <c r="C316" s="34" t="s">
        <v>2091</v>
      </c>
      <c r="D316" s="11" t="s">
        <v>2393</v>
      </c>
      <c r="E316" s="19" t="s">
        <v>2415</v>
      </c>
      <c r="F316" s="11" t="s">
        <v>868</v>
      </c>
      <c r="G316" s="11" t="s">
        <v>869</v>
      </c>
      <c r="H316" s="11" t="s">
        <v>420</v>
      </c>
      <c r="I316" s="21">
        <v>-11.841826252264701</v>
      </c>
      <c r="J316" s="21">
        <v>31.214310500460499</v>
      </c>
      <c r="K316" s="21">
        <v>45.1</v>
      </c>
      <c r="L316" s="3">
        <v>2001</v>
      </c>
      <c r="M316" s="3">
        <v>2001</v>
      </c>
      <c r="N316" s="3">
        <v>7.94</v>
      </c>
      <c r="O316" s="3" t="s">
        <v>181</v>
      </c>
      <c r="P316" s="5" t="s">
        <v>5181</v>
      </c>
      <c r="Q316" s="3" t="s">
        <v>2057</v>
      </c>
    </row>
    <row r="317" spans="1:17" ht="34.5" customHeight="1">
      <c r="A317" s="31">
        <v>56</v>
      </c>
      <c r="B317" s="37" t="s">
        <v>867</v>
      </c>
      <c r="C317" s="34" t="s">
        <v>2092</v>
      </c>
      <c r="D317" s="11" t="s">
        <v>2393</v>
      </c>
      <c r="E317" s="19" t="s">
        <v>2415</v>
      </c>
      <c r="F317" s="11" t="s">
        <v>868</v>
      </c>
      <c r="G317" s="11" t="s">
        <v>869</v>
      </c>
      <c r="H317" s="11" t="s">
        <v>420</v>
      </c>
      <c r="I317" s="21">
        <v>-11.880896787207</v>
      </c>
      <c r="J317" s="21">
        <v>31.257529328508699</v>
      </c>
      <c r="K317" s="21">
        <v>44.7</v>
      </c>
      <c r="L317" s="3">
        <v>2001</v>
      </c>
      <c r="M317" s="3">
        <v>2001</v>
      </c>
      <c r="N317" s="3">
        <v>8.81</v>
      </c>
      <c r="O317" s="3" t="s">
        <v>181</v>
      </c>
      <c r="P317" s="5" t="s">
        <v>5181</v>
      </c>
      <c r="Q317" s="3" t="s">
        <v>2057</v>
      </c>
    </row>
    <row r="318" spans="1:17" ht="34.5" customHeight="1">
      <c r="A318" s="31">
        <v>56</v>
      </c>
      <c r="B318" s="37" t="s">
        <v>867</v>
      </c>
      <c r="C318" s="34" t="s">
        <v>2093</v>
      </c>
      <c r="D318" s="11" t="s">
        <v>2393</v>
      </c>
      <c r="E318" s="19" t="s">
        <v>2415</v>
      </c>
      <c r="F318" s="11" t="s">
        <v>868</v>
      </c>
      <c r="G318" s="11" t="s">
        <v>869</v>
      </c>
      <c r="H318" s="11" t="s">
        <v>420</v>
      </c>
      <c r="I318" s="21">
        <v>-11.492426116531</v>
      </c>
      <c r="J318" s="21">
        <v>31.285913680023501</v>
      </c>
      <c r="K318" s="21">
        <v>122.1</v>
      </c>
      <c r="L318" s="35">
        <v>1994</v>
      </c>
      <c r="M318" s="35">
        <v>1994</v>
      </c>
      <c r="N318" s="3">
        <v>2.76</v>
      </c>
      <c r="O318" s="3" t="s">
        <v>181</v>
      </c>
      <c r="P318" s="5" t="s">
        <v>5181</v>
      </c>
      <c r="Q318" s="3" t="s">
        <v>2057</v>
      </c>
    </row>
    <row r="319" spans="1:17" ht="34.5" customHeight="1">
      <c r="A319" s="31">
        <v>56</v>
      </c>
      <c r="B319" s="37" t="s">
        <v>867</v>
      </c>
      <c r="C319" s="34" t="s">
        <v>2094</v>
      </c>
      <c r="D319" s="11" t="s">
        <v>2393</v>
      </c>
      <c r="E319" s="19" t="s">
        <v>2415</v>
      </c>
      <c r="F319" s="11" t="s">
        <v>868</v>
      </c>
      <c r="G319" s="11" t="s">
        <v>869</v>
      </c>
      <c r="H319" s="11" t="s">
        <v>420</v>
      </c>
      <c r="I319" s="21">
        <v>-11.509104311079501</v>
      </c>
      <c r="J319" s="21">
        <v>31.3015686574665</v>
      </c>
      <c r="K319" s="21">
        <v>31.9</v>
      </c>
      <c r="L319" s="35">
        <v>1994</v>
      </c>
      <c r="M319" s="35">
        <v>1994</v>
      </c>
      <c r="N319" s="3">
        <v>6.17</v>
      </c>
      <c r="O319" s="3" t="s">
        <v>181</v>
      </c>
      <c r="P319" s="5" t="s">
        <v>5181</v>
      </c>
      <c r="Q319" s="3" t="s">
        <v>2057</v>
      </c>
    </row>
    <row r="320" spans="1:17" ht="34.5" customHeight="1">
      <c r="A320" s="31">
        <v>56</v>
      </c>
      <c r="B320" s="37" t="s">
        <v>867</v>
      </c>
      <c r="C320" s="34" t="s">
        <v>2095</v>
      </c>
      <c r="D320" s="11" t="s">
        <v>2393</v>
      </c>
      <c r="E320" s="19" t="s">
        <v>2415</v>
      </c>
      <c r="F320" s="11" t="s">
        <v>868</v>
      </c>
      <c r="G320" s="11" t="s">
        <v>869</v>
      </c>
      <c r="H320" s="11" t="s">
        <v>420</v>
      </c>
      <c r="I320" s="21">
        <v>-11.5171857028981</v>
      </c>
      <c r="J320" s="21">
        <v>31.326802515288598</v>
      </c>
      <c r="K320" s="21">
        <v>171.5</v>
      </c>
      <c r="L320" s="35">
        <v>1994</v>
      </c>
      <c r="M320" s="35">
        <v>1994</v>
      </c>
      <c r="N320" s="3">
        <v>4.91</v>
      </c>
      <c r="O320" s="3" t="s">
        <v>181</v>
      </c>
      <c r="P320" s="5" t="s">
        <v>5181</v>
      </c>
      <c r="Q320" s="3" t="s">
        <v>2057</v>
      </c>
    </row>
    <row r="321" spans="1:17" ht="34.5" customHeight="1">
      <c r="A321" s="31">
        <v>56</v>
      </c>
      <c r="B321" s="37" t="s">
        <v>867</v>
      </c>
      <c r="C321" s="34" t="s">
        <v>2096</v>
      </c>
      <c r="D321" s="11" t="s">
        <v>2393</v>
      </c>
      <c r="E321" s="19" t="s">
        <v>2415</v>
      </c>
      <c r="F321" s="11" t="s">
        <v>868</v>
      </c>
      <c r="G321" s="11" t="s">
        <v>869</v>
      </c>
      <c r="H321" s="11" t="s">
        <v>420</v>
      </c>
      <c r="I321" s="21">
        <v>-11.5178724717953</v>
      </c>
      <c r="J321" s="21">
        <v>31.284374343124099</v>
      </c>
      <c r="K321" s="21">
        <v>96.5</v>
      </c>
      <c r="L321" s="35">
        <v>1994</v>
      </c>
      <c r="M321" s="35">
        <v>1994</v>
      </c>
      <c r="N321" s="3">
        <v>3.28</v>
      </c>
      <c r="O321" s="3" t="s">
        <v>181</v>
      </c>
      <c r="P321" s="5" t="s">
        <v>5181</v>
      </c>
      <c r="Q321" s="3" t="s">
        <v>2057</v>
      </c>
    </row>
    <row r="322" spans="1:17" ht="34.5" customHeight="1">
      <c r="A322" s="31">
        <v>56</v>
      </c>
      <c r="B322" s="37" t="s">
        <v>867</v>
      </c>
      <c r="C322" s="34" t="s">
        <v>2097</v>
      </c>
      <c r="D322" s="11" t="s">
        <v>2393</v>
      </c>
      <c r="E322" s="19" t="s">
        <v>2415</v>
      </c>
      <c r="F322" s="11" t="s">
        <v>868</v>
      </c>
      <c r="G322" s="11" t="s">
        <v>869</v>
      </c>
      <c r="H322" s="11" t="s">
        <v>420</v>
      </c>
      <c r="I322" s="21">
        <v>-11.5365833543825</v>
      </c>
      <c r="J322" s="21">
        <v>31.226744079397601</v>
      </c>
      <c r="K322" s="21">
        <v>391.5</v>
      </c>
      <c r="L322" s="35">
        <v>1994</v>
      </c>
      <c r="M322" s="35">
        <v>1994</v>
      </c>
      <c r="N322" s="3">
        <v>1.88</v>
      </c>
      <c r="O322" s="3" t="s">
        <v>181</v>
      </c>
      <c r="P322" s="5" t="s">
        <v>5181</v>
      </c>
      <c r="Q322" s="3" t="s">
        <v>2057</v>
      </c>
    </row>
    <row r="323" spans="1:17" ht="34.5" customHeight="1">
      <c r="A323" s="31">
        <v>56</v>
      </c>
      <c r="B323" s="37" t="s">
        <v>867</v>
      </c>
      <c r="C323" s="34" t="s">
        <v>2098</v>
      </c>
      <c r="D323" s="11" t="s">
        <v>2393</v>
      </c>
      <c r="E323" s="19" t="s">
        <v>2415</v>
      </c>
      <c r="F323" s="11" t="s">
        <v>868</v>
      </c>
      <c r="G323" s="11" t="s">
        <v>869</v>
      </c>
      <c r="H323" s="11" t="s">
        <v>420</v>
      </c>
      <c r="I323" s="21">
        <v>-11.567591538915901</v>
      </c>
      <c r="J323" s="21">
        <v>31.2459202094348</v>
      </c>
      <c r="K323" s="21">
        <v>223.8</v>
      </c>
      <c r="L323" s="35">
        <v>1994</v>
      </c>
      <c r="M323" s="35">
        <v>1994</v>
      </c>
      <c r="N323" s="3">
        <v>1.93</v>
      </c>
      <c r="O323" s="3" t="s">
        <v>181</v>
      </c>
      <c r="P323" s="5" t="s">
        <v>5181</v>
      </c>
      <c r="Q323" s="3" t="s">
        <v>2057</v>
      </c>
    </row>
    <row r="324" spans="1:17" ht="34.5" customHeight="1">
      <c r="A324" s="31">
        <v>56</v>
      </c>
      <c r="B324" s="37" t="s">
        <v>867</v>
      </c>
      <c r="C324" s="34" t="s">
        <v>2099</v>
      </c>
      <c r="D324" s="11" t="s">
        <v>2393</v>
      </c>
      <c r="E324" s="19" t="s">
        <v>2415</v>
      </c>
      <c r="F324" s="11" t="s">
        <v>868</v>
      </c>
      <c r="G324" s="11" t="s">
        <v>869</v>
      </c>
      <c r="H324" s="11" t="s">
        <v>420</v>
      </c>
      <c r="I324" s="21">
        <v>-11.6107035790767</v>
      </c>
      <c r="J324" s="21">
        <v>31.276519647301399</v>
      </c>
      <c r="K324" s="21">
        <v>60.3</v>
      </c>
      <c r="L324" s="35">
        <v>1994</v>
      </c>
      <c r="M324" s="35">
        <v>1994</v>
      </c>
      <c r="N324" s="3">
        <v>6.8</v>
      </c>
      <c r="O324" s="3" t="s">
        <v>181</v>
      </c>
      <c r="P324" s="5" t="s">
        <v>5181</v>
      </c>
      <c r="Q324" s="3" t="s">
        <v>2057</v>
      </c>
    </row>
    <row r="325" spans="1:17" ht="34.5" customHeight="1">
      <c r="A325" s="31">
        <v>56</v>
      </c>
      <c r="B325" s="37" t="s">
        <v>867</v>
      </c>
      <c r="C325" s="34" t="s">
        <v>2100</v>
      </c>
      <c r="D325" s="11" t="s">
        <v>2393</v>
      </c>
      <c r="E325" s="19" t="s">
        <v>2415</v>
      </c>
      <c r="F325" s="11" t="s">
        <v>868</v>
      </c>
      <c r="G325" s="11" t="s">
        <v>869</v>
      </c>
      <c r="H325" s="11" t="s">
        <v>420</v>
      </c>
      <c r="I325" s="21">
        <v>-11.6314245859738</v>
      </c>
      <c r="J325" s="21">
        <v>31.1827076866306</v>
      </c>
      <c r="K325" s="21">
        <v>127.5</v>
      </c>
      <c r="L325" s="35">
        <v>1994</v>
      </c>
      <c r="M325" s="35">
        <v>1994</v>
      </c>
      <c r="N325" s="3">
        <v>3.79</v>
      </c>
      <c r="O325" s="3" t="s">
        <v>181</v>
      </c>
      <c r="P325" s="5" t="s">
        <v>5181</v>
      </c>
      <c r="Q325" s="3" t="s">
        <v>2057</v>
      </c>
    </row>
    <row r="326" spans="1:17" ht="34.5" customHeight="1">
      <c r="A326" s="31">
        <v>56</v>
      </c>
      <c r="B326" s="37" t="s">
        <v>867</v>
      </c>
      <c r="C326" s="34" t="s">
        <v>2101</v>
      </c>
      <c r="D326" s="11" t="s">
        <v>2393</v>
      </c>
      <c r="E326" s="19" t="s">
        <v>2415</v>
      </c>
      <c r="F326" s="11" t="s">
        <v>868</v>
      </c>
      <c r="G326" s="11" t="s">
        <v>869</v>
      </c>
      <c r="H326" s="11" t="s">
        <v>420</v>
      </c>
      <c r="I326" s="21">
        <v>-11.6412059683904</v>
      </c>
      <c r="J326" s="21">
        <v>31.276438086716698</v>
      </c>
      <c r="K326" s="21">
        <v>97.7</v>
      </c>
      <c r="L326" s="35">
        <v>1994</v>
      </c>
      <c r="M326" s="35">
        <v>1994</v>
      </c>
      <c r="N326" s="3">
        <v>5.18</v>
      </c>
      <c r="O326" s="3" t="s">
        <v>181</v>
      </c>
      <c r="P326" s="5" t="s">
        <v>5181</v>
      </c>
      <c r="Q326" s="3" t="s">
        <v>2057</v>
      </c>
    </row>
    <row r="327" spans="1:17" ht="34.5" customHeight="1">
      <c r="A327" s="31">
        <v>56</v>
      </c>
      <c r="B327" s="37" t="s">
        <v>867</v>
      </c>
      <c r="C327" s="34" t="s">
        <v>2102</v>
      </c>
      <c r="D327" s="11" t="s">
        <v>2393</v>
      </c>
      <c r="E327" s="19" t="s">
        <v>2415</v>
      </c>
      <c r="F327" s="11" t="s">
        <v>868</v>
      </c>
      <c r="G327" s="11" t="s">
        <v>869</v>
      </c>
      <c r="H327" s="11" t="s">
        <v>420</v>
      </c>
      <c r="I327" s="21">
        <v>-11.5498172931767</v>
      </c>
      <c r="J327" s="21">
        <v>31.307077777484398</v>
      </c>
      <c r="K327" s="21">
        <v>67.5</v>
      </c>
      <c r="L327" s="35">
        <v>1994</v>
      </c>
      <c r="M327" s="35">
        <v>1994</v>
      </c>
      <c r="N327" s="3">
        <v>9.23</v>
      </c>
      <c r="O327" s="3" t="s">
        <v>181</v>
      </c>
      <c r="P327" s="5" t="s">
        <v>5181</v>
      </c>
      <c r="Q327" s="3" t="s">
        <v>2057</v>
      </c>
    </row>
    <row r="328" spans="1:17" ht="34.5" customHeight="1">
      <c r="A328" s="31">
        <v>56</v>
      </c>
      <c r="B328" s="37" t="s">
        <v>867</v>
      </c>
      <c r="C328" s="34" t="s">
        <v>2103</v>
      </c>
      <c r="D328" s="11" t="s">
        <v>2393</v>
      </c>
      <c r="E328" s="19" t="s">
        <v>2415</v>
      </c>
      <c r="F328" s="11" t="s">
        <v>868</v>
      </c>
      <c r="G328" s="11" t="s">
        <v>869</v>
      </c>
      <c r="H328" s="11" t="s">
        <v>420</v>
      </c>
      <c r="I328" s="21">
        <v>-11.5591986768359</v>
      </c>
      <c r="J328" s="21">
        <v>31.2814082423012</v>
      </c>
      <c r="K328" s="21">
        <v>20.3</v>
      </c>
      <c r="L328" s="35">
        <v>1994</v>
      </c>
      <c r="M328" s="35">
        <v>1994</v>
      </c>
      <c r="N328" s="3">
        <v>14.22</v>
      </c>
      <c r="O328" s="3" t="s">
        <v>181</v>
      </c>
      <c r="P328" s="5" t="s">
        <v>5181</v>
      </c>
      <c r="Q328" s="3" t="s">
        <v>2057</v>
      </c>
    </row>
    <row r="329" spans="1:17" ht="34.5" customHeight="1">
      <c r="A329" s="31">
        <v>56</v>
      </c>
      <c r="B329" s="37" t="s">
        <v>867</v>
      </c>
      <c r="C329" s="34" t="s">
        <v>2104</v>
      </c>
      <c r="D329" s="11" t="s">
        <v>2393</v>
      </c>
      <c r="E329" s="19" t="s">
        <v>2415</v>
      </c>
      <c r="F329" s="11" t="s">
        <v>868</v>
      </c>
      <c r="G329" s="11" t="s">
        <v>869</v>
      </c>
      <c r="H329" s="11" t="s">
        <v>420</v>
      </c>
      <c r="I329" s="21">
        <v>-11.576736592623099</v>
      </c>
      <c r="J329" s="21">
        <v>31.3023795745192</v>
      </c>
      <c r="K329" s="21">
        <v>36</v>
      </c>
      <c r="L329" s="35">
        <v>1994</v>
      </c>
      <c r="M329" s="35">
        <v>1994</v>
      </c>
      <c r="N329" s="3">
        <v>11.58</v>
      </c>
      <c r="O329" s="3" t="s">
        <v>181</v>
      </c>
      <c r="P329" s="5" t="s">
        <v>5181</v>
      </c>
      <c r="Q329" s="3" t="s">
        <v>2057</v>
      </c>
    </row>
    <row r="330" spans="1:17" ht="34.5" customHeight="1">
      <c r="A330" s="31">
        <v>56</v>
      </c>
      <c r="B330" s="37" t="s">
        <v>867</v>
      </c>
      <c r="C330" s="34" t="s">
        <v>2105</v>
      </c>
      <c r="D330" s="11" t="s">
        <v>2393</v>
      </c>
      <c r="E330" s="19" t="s">
        <v>2415</v>
      </c>
      <c r="F330" s="11" t="s">
        <v>868</v>
      </c>
      <c r="G330" s="11" t="s">
        <v>869</v>
      </c>
      <c r="H330" s="11" t="s">
        <v>420</v>
      </c>
      <c r="I330" s="21">
        <v>-11.5230027462087</v>
      </c>
      <c r="J330" s="21">
        <v>31.296715673074999</v>
      </c>
      <c r="K330" s="21">
        <v>60.6</v>
      </c>
      <c r="L330" s="35">
        <v>1994</v>
      </c>
      <c r="M330" s="35">
        <v>1994</v>
      </c>
      <c r="N330" s="3">
        <v>6.38</v>
      </c>
      <c r="O330" s="3" t="s">
        <v>181</v>
      </c>
      <c r="P330" s="5" t="s">
        <v>5181</v>
      </c>
      <c r="Q330" s="3" t="s">
        <v>2057</v>
      </c>
    </row>
    <row r="331" spans="1:17" ht="34.5" customHeight="1">
      <c r="A331" s="31">
        <v>56</v>
      </c>
      <c r="B331" s="37" t="s">
        <v>867</v>
      </c>
      <c r="C331" s="34" t="s">
        <v>2106</v>
      </c>
      <c r="D331" s="11" t="s">
        <v>2393</v>
      </c>
      <c r="E331" s="19" t="s">
        <v>2415</v>
      </c>
      <c r="F331" s="11" t="s">
        <v>868</v>
      </c>
      <c r="G331" s="11" t="s">
        <v>869</v>
      </c>
      <c r="H331" s="11" t="s">
        <v>420</v>
      </c>
      <c r="I331" s="21">
        <v>-11.5293712322225</v>
      </c>
      <c r="J331" s="21">
        <v>31.320875285438099</v>
      </c>
      <c r="K331" s="21">
        <v>90.5</v>
      </c>
      <c r="L331" s="35">
        <v>1994</v>
      </c>
      <c r="M331" s="35">
        <v>1994</v>
      </c>
      <c r="N331" s="3">
        <v>4.97</v>
      </c>
      <c r="O331" s="3" t="s">
        <v>181</v>
      </c>
      <c r="P331" s="5" t="s">
        <v>5181</v>
      </c>
      <c r="Q331" s="3" t="s">
        <v>2057</v>
      </c>
    </row>
    <row r="332" spans="1:17" ht="34.5" customHeight="1">
      <c r="A332" s="31">
        <v>56</v>
      </c>
      <c r="B332" s="37" t="s">
        <v>867</v>
      </c>
      <c r="C332" s="34" t="s">
        <v>2107</v>
      </c>
      <c r="D332" s="11" t="s">
        <v>2393</v>
      </c>
      <c r="E332" s="19" t="s">
        <v>2415</v>
      </c>
      <c r="F332" s="11" t="s">
        <v>868</v>
      </c>
      <c r="G332" s="11" t="s">
        <v>869</v>
      </c>
      <c r="H332" s="11" t="s">
        <v>420</v>
      </c>
      <c r="I332" s="21">
        <v>-11.540749268528399</v>
      </c>
      <c r="J332" s="21">
        <v>31.333471070167398</v>
      </c>
      <c r="K332" s="21">
        <v>196.7</v>
      </c>
      <c r="L332" s="35">
        <v>1994</v>
      </c>
      <c r="M332" s="35">
        <v>1994</v>
      </c>
      <c r="N332" s="3">
        <v>2.4500000000000002</v>
      </c>
      <c r="O332" s="3" t="s">
        <v>181</v>
      </c>
      <c r="P332" s="5" t="s">
        <v>5181</v>
      </c>
      <c r="Q332" s="3" t="s">
        <v>2057</v>
      </c>
    </row>
    <row r="333" spans="1:17" ht="34.5" customHeight="1">
      <c r="A333" s="31">
        <v>56</v>
      </c>
      <c r="B333" s="37" t="s">
        <v>867</v>
      </c>
      <c r="C333" s="34" t="s">
        <v>2108</v>
      </c>
      <c r="D333" s="11" t="s">
        <v>2393</v>
      </c>
      <c r="E333" s="19" t="s">
        <v>2415</v>
      </c>
      <c r="F333" s="11" t="s">
        <v>868</v>
      </c>
      <c r="G333" s="11" t="s">
        <v>869</v>
      </c>
      <c r="H333" s="11" t="s">
        <v>420</v>
      </c>
      <c r="I333" s="21">
        <v>-11.587525861605</v>
      </c>
      <c r="J333" s="21">
        <v>31.0712386258372</v>
      </c>
      <c r="K333" s="21">
        <v>44.6</v>
      </c>
      <c r="L333" s="35">
        <v>1994</v>
      </c>
      <c r="M333" s="35">
        <v>1994</v>
      </c>
      <c r="N333" s="3">
        <v>17.22</v>
      </c>
      <c r="O333" s="3" t="s">
        <v>181</v>
      </c>
      <c r="P333" s="5" t="s">
        <v>5181</v>
      </c>
      <c r="Q333" s="3" t="s">
        <v>2057</v>
      </c>
    </row>
    <row r="334" spans="1:17" ht="34.5" customHeight="1">
      <c r="A334" s="31">
        <v>56</v>
      </c>
      <c r="B334" s="37" t="s">
        <v>867</v>
      </c>
      <c r="C334" s="34" t="s">
        <v>2109</v>
      </c>
      <c r="D334" s="11" t="s">
        <v>2393</v>
      </c>
      <c r="E334" s="19" t="s">
        <v>2415</v>
      </c>
      <c r="F334" s="11" t="s">
        <v>868</v>
      </c>
      <c r="G334" s="11" t="s">
        <v>869</v>
      </c>
      <c r="H334" s="11" t="s">
        <v>420</v>
      </c>
      <c r="I334" s="21">
        <v>-11.655467105891599</v>
      </c>
      <c r="J334" s="21">
        <v>31.035439906006602</v>
      </c>
      <c r="K334" s="21">
        <v>101.2</v>
      </c>
      <c r="L334" s="35">
        <v>1994</v>
      </c>
      <c r="M334" s="35">
        <v>1994</v>
      </c>
      <c r="N334" s="3">
        <v>4.07</v>
      </c>
      <c r="O334" s="3" t="s">
        <v>181</v>
      </c>
      <c r="P334" s="5" t="s">
        <v>5181</v>
      </c>
      <c r="Q334" s="3" t="s">
        <v>2057</v>
      </c>
    </row>
    <row r="335" spans="1:17" ht="34.5" customHeight="1">
      <c r="A335" s="31">
        <v>56</v>
      </c>
      <c r="B335" s="37" t="s">
        <v>867</v>
      </c>
      <c r="C335" s="34" t="s">
        <v>2110</v>
      </c>
      <c r="D335" s="11" t="s">
        <v>2393</v>
      </c>
      <c r="E335" s="19" t="s">
        <v>2415</v>
      </c>
      <c r="F335" s="11" t="s">
        <v>868</v>
      </c>
      <c r="G335" s="11" t="s">
        <v>869</v>
      </c>
      <c r="H335" s="11" t="s">
        <v>420</v>
      </c>
      <c r="I335" s="21">
        <v>-11.649774296097</v>
      </c>
      <c r="J335" s="21">
        <v>31.109317890522298</v>
      </c>
      <c r="K335" s="21">
        <v>131.30000000000001</v>
      </c>
      <c r="L335" s="35">
        <v>1994</v>
      </c>
      <c r="M335" s="35">
        <v>1994</v>
      </c>
      <c r="N335" s="3">
        <v>2.97</v>
      </c>
      <c r="O335" s="3" t="s">
        <v>181</v>
      </c>
      <c r="P335" s="5" t="s">
        <v>5181</v>
      </c>
      <c r="Q335" s="3" t="s">
        <v>2057</v>
      </c>
    </row>
    <row r="336" spans="1:17" ht="34.5" customHeight="1">
      <c r="A336" s="31">
        <v>56</v>
      </c>
      <c r="B336" s="37" t="s">
        <v>867</v>
      </c>
      <c r="C336" s="34" t="s">
        <v>2111</v>
      </c>
      <c r="D336" s="11" t="s">
        <v>2393</v>
      </c>
      <c r="E336" s="19" t="s">
        <v>2415</v>
      </c>
      <c r="F336" s="11" t="s">
        <v>868</v>
      </c>
      <c r="G336" s="11" t="s">
        <v>869</v>
      </c>
      <c r="H336" s="11" t="s">
        <v>420</v>
      </c>
      <c r="I336" s="21">
        <v>-11.6996520512901</v>
      </c>
      <c r="J336" s="21">
        <v>31.009092747872501</v>
      </c>
      <c r="K336" s="21">
        <v>70.599999999999994</v>
      </c>
      <c r="L336" s="35">
        <v>1994</v>
      </c>
      <c r="M336" s="35">
        <v>1994</v>
      </c>
      <c r="N336" s="3">
        <v>7.33</v>
      </c>
      <c r="O336" s="3" t="s">
        <v>181</v>
      </c>
      <c r="P336" s="5" t="s">
        <v>5181</v>
      </c>
      <c r="Q336" s="3" t="s">
        <v>2057</v>
      </c>
    </row>
    <row r="337" spans="1:17" ht="34.5" customHeight="1">
      <c r="A337" s="31">
        <v>56</v>
      </c>
      <c r="B337" s="37" t="s">
        <v>867</v>
      </c>
      <c r="C337" s="34" t="s">
        <v>2112</v>
      </c>
      <c r="D337" s="11" t="s">
        <v>2393</v>
      </c>
      <c r="E337" s="19" t="s">
        <v>2415</v>
      </c>
      <c r="F337" s="11" t="s">
        <v>868</v>
      </c>
      <c r="G337" s="11" t="s">
        <v>869</v>
      </c>
      <c r="H337" s="11" t="s">
        <v>420</v>
      </c>
      <c r="I337" s="21">
        <v>-11.7286085747076</v>
      </c>
      <c r="J337" s="21">
        <v>31.1645873600234</v>
      </c>
      <c r="K337" s="21">
        <v>318.10000000000002</v>
      </c>
      <c r="L337" s="35">
        <v>1994</v>
      </c>
      <c r="M337" s="35">
        <v>1994</v>
      </c>
      <c r="N337" s="3">
        <v>1.04</v>
      </c>
      <c r="O337" s="3" t="s">
        <v>181</v>
      </c>
      <c r="P337" s="5" t="s">
        <v>5181</v>
      </c>
      <c r="Q337" s="3" t="s">
        <v>2057</v>
      </c>
    </row>
    <row r="338" spans="1:17" ht="34.5" customHeight="1">
      <c r="A338" s="31">
        <v>56</v>
      </c>
      <c r="B338" s="37" t="s">
        <v>867</v>
      </c>
      <c r="C338" s="34" t="s">
        <v>2113</v>
      </c>
      <c r="D338" s="11" t="s">
        <v>2393</v>
      </c>
      <c r="E338" s="19" t="s">
        <v>2415</v>
      </c>
      <c r="F338" s="11" t="s">
        <v>868</v>
      </c>
      <c r="G338" s="11" t="s">
        <v>869</v>
      </c>
      <c r="H338" s="11" t="s">
        <v>420</v>
      </c>
      <c r="I338" s="21">
        <v>-11.7938790289416</v>
      </c>
      <c r="J338" s="21">
        <v>30.9438719880497</v>
      </c>
      <c r="K338" s="21">
        <v>45.3</v>
      </c>
      <c r="L338" s="35">
        <v>1994</v>
      </c>
      <c r="M338" s="35">
        <v>1994</v>
      </c>
      <c r="N338" s="3">
        <v>5.03</v>
      </c>
      <c r="O338" s="3" t="s">
        <v>181</v>
      </c>
      <c r="P338" s="5" t="s">
        <v>5181</v>
      </c>
      <c r="Q338" s="3" t="s">
        <v>2057</v>
      </c>
    </row>
    <row r="339" spans="1:17" ht="34.5" customHeight="1">
      <c r="A339" s="31">
        <v>56</v>
      </c>
      <c r="B339" s="37" t="s">
        <v>867</v>
      </c>
      <c r="C339" s="34" t="s">
        <v>2114</v>
      </c>
      <c r="D339" s="11" t="s">
        <v>2393</v>
      </c>
      <c r="E339" s="19" t="s">
        <v>2415</v>
      </c>
      <c r="F339" s="11" t="s">
        <v>868</v>
      </c>
      <c r="G339" s="11" t="s">
        <v>869</v>
      </c>
      <c r="H339" s="11" t="s">
        <v>420</v>
      </c>
      <c r="I339" s="21">
        <v>-11.7147095623396</v>
      </c>
      <c r="J339" s="21">
        <v>31.272104993970299</v>
      </c>
      <c r="K339" s="21">
        <v>108.7</v>
      </c>
      <c r="L339" s="35">
        <v>1994</v>
      </c>
      <c r="M339" s="35">
        <v>1994</v>
      </c>
      <c r="N339" s="3">
        <v>2.0299999999999998</v>
      </c>
      <c r="O339" s="3" t="s">
        <v>181</v>
      </c>
      <c r="P339" s="5" t="s">
        <v>5181</v>
      </c>
      <c r="Q339" s="3" t="s">
        <v>2057</v>
      </c>
    </row>
    <row r="340" spans="1:17" ht="34.5" customHeight="1">
      <c r="A340" s="31">
        <v>56</v>
      </c>
      <c r="B340" s="37" t="s">
        <v>867</v>
      </c>
      <c r="C340" s="34" t="s">
        <v>2115</v>
      </c>
      <c r="D340" s="11" t="s">
        <v>2393</v>
      </c>
      <c r="E340" s="19" t="s">
        <v>2415</v>
      </c>
      <c r="F340" s="11" t="s">
        <v>868</v>
      </c>
      <c r="G340" s="11" t="s">
        <v>869</v>
      </c>
      <c r="H340" s="11" t="s">
        <v>420</v>
      </c>
      <c r="I340" s="21">
        <v>-11.776184326327501</v>
      </c>
      <c r="J340" s="21">
        <v>31.242800110637202</v>
      </c>
      <c r="K340" s="21">
        <v>139.9</v>
      </c>
      <c r="L340" s="35">
        <v>1994</v>
      </c>
      <c r="M340" s="35">
        <v>1994</v>
      </c>
      <c r="N340" s="3">
        <v>2.2799999999999998</v>
      </c>
      <c r="O340" s="3" t="s">
        <v>181</v>
      </c>
      <c r="P340" s="5" t="s">
        <v>5181</v>
      </c>
      <c r="Q340" s="3" t="s">
        <v>2057</v>
      </c>
    </row>
    <row r="341" spans="1:17" ht="34.5" customHeight="1">
      <c r="A341" s="31">
        <v>56</v>
      </c>
      <c r="B341" s="37" t="s">
        <v>867</v>
      </c>
      <c r="C341" s="34" t="s">
        <v>2116</v>
      </c>
      <c r="D341" s="11" t="s">
        <v>2393</v>
      </c>
      <c r="E341" s="19" t="s">
        <v>2415</v>
      </c>
      <c r="F341" s="11" t="s">
        <v>868</v>
      </c>
      <c r="G341" s="11" t="s">
        <v>869</v>
      </c>
      <c r="H341" s="11" t="s">
        <v>420</v>
      </c>
      <c r="I341" s="21">
        <v>-11.7910654021347</v>
      </c>
      <c r="J341" s="21">
        <v>31.268037392952401</v>
      </c>
      <c r="K341" s="21">
        <v>22.7</v>
      </c>
      <c r="L341" s="35">
        <v>1994</v>
      </c>
      <c r="M341" s="35">
        <v>1994</v>
      </c>
      <c r="N341" s="3">
        <v>18.68</v>
      </c>
      <c r="O341" s="3" t="s">
        <v>181</v>
      </c>
      <c r="P341" s="5" t="s">
        <v>5181</v>
      </c>
      <c r="Q341" s="3" t="s">
        <v>2057</v>
      </c>
    </row>
    <row r="342" spans="1:17" ht="34.5" customHeight="1">
      <c r="A342" s="31">
        <v>56</v>
      </c>
      <c r="B342" s="37" t="s">
        <v>867</v>
      </c>
      <c r="C342" s="34" t="s">
        <v>2117</v>
      </c>
      <c r="D342" s="11" t="s">
        <v>2393</v>
      </c>
      <c r="E342" s="19" t="s">
        <v>2415</v>
      </c>
      <c r="F342" s="11" t="s">
        <v>868</v>
      </c>
      <c r="G342" s="11" t="s">
        <v>869</v>
      </c>
      <c r="H342" s="11" t="s">
        <v>420</v>
      </c>
      <c r="I342" s="21">
        <v>-11.841826252264701</v>
      </c>
      <c r="J342" s="21">
        <v>31.214310500460499</v>
      </c>
      <c r="K342" s="21">
        <v>45.1</v>
      </c>
      <c r="L342" s="35">
        <v>1994</v>
      </c>
      <c r="M342" s="35">
        <v>1994</v>
      </c>
      <c r="N342" s="3">
        <v>7.61</v>
      </c>
      <c r="O342" s="3" t="s">
        <v>181</v>
      </c>
      <c r="P342" s="5" t="s">
        <v>5181</v>
      </c>
      <c r="Q342" s="3" t="s">
        <v>2057</v>
      </c>
    </row>
    <row r="343" spans="1:17" ht="34.5" customHeight="1">
      <c r="A343" s="31">
        <v>56</v>
      </c>
      <c r="B343" s="37" t="s">
        <v>867</v>
      </c>
      <c r="C343" s="34" t="s">
        <v>2118</v>
      </c>
      <c r="D343" s="11" t="s">
        <v>2393</v>
      </c>
      <c r="E343" s="19" t="s">
        <v>2415</v>
      </c>
      <c r="F343" s="11" t="s">
        <v>868</v>
      </c>
      <c r="G343" s="11" t="s">
        <v>869</v>
      </c>
      <c r="H343" s="11" t="s">
        <v>420</v>
      </c>
      <c r="I343" s="21">
        <v>-11.880896787207</v>
      </c>
      <c r="J343" s="21">
        <v>31.257529328508699</v>
      </c>
      <c r="K343" s="21">
        <v>44.7</v>
      </c>
      <c r="L343" s="35">
        <v>1994</v>
      </c>
      <c r="M343" s="35">
        <v>1994</v>
      </c>
      <c r="N343" s="3">
        <v>8.66</v>
      </c>
      <c r="O343" s="3" t="s">
        <v>181</v>
      </c>
      <c r="P343" s="5" t="s">
        <v>5181</v>
      </c>
      <c r="Q343" s="3" t="s">
        <v>2057</v>
      </c>
    </row>
    <row r="344" spans="1:17" ht="43.5" customHeight="1">
      <c r="A344" s="31">
        <v>57</v>
      </c>
      <c r="B344" s="51" t="s">
        <v>874</v>
      </c>
      <c r="C344" s="34" t="s">
        <v>873</v>
      </c>
      <c r="D344" s="11" t="s">
        <v>2393</v>
      </c>
      <c r="E344" s="34" t="s">
        <v>2395</v>
      </c>
      <c r="F344" s="3" t="s">
        <v>875</v>
      </c>
      <c r="G344" s="34" t="s">
        <v>869</v>
      </c>
      <c r="H344" s="34" t="s">
        <v>420</v>
      </c>
      <c r="I344" s="69">
        <v>-11.66</v>
      </c>
      <c r="J344" s="69">
        <v>31.1666666666667</v>
      </c>
      <c r="K344" s="69" t="s">
        <v>2272</v>
      </c>
      <c r="L344" s="35">
        <v>1993</v>
      </c>
      <c r="M344" s="35">
        <v>1994</v>
      </c>
      <c r="N344" s="35" t="s">
        <v>2272</v>
      </c>
      <c r="O344" s="35" t="s">
        <v>181</v>
      </c>
      <c r="P344" s="5" t="s">
        <v>5181</v>
      </c>
      <c r="Q344" s="35"/>
    </row>
    <row r="345" spans="1:17" ht="35.5" customHeight="1">
      <c r="A345" s="31">
        <v>58</v>
      </c>
      <c r="B345" s="37" t="s">
        <v>879</v>
      </c>
      <c r="C345" s="11" t="s">
        <v>878</v>
      </c>
      <c r="D345" s="11" t="s">
        <v>2393</v>
      </c>
      <c r="E345" s="3" t="s">
        <v>2394</v>
      </c>
      <c r="F345" s="3" t="s">
        <v>881</v>
      </c>
      <c r="G345" s="3" t="s">
        <v>882</v>
      </c>
      <c r="H345" s="3" t="s">
        <v>767</v>
      </c>
      <c r="I345" s="21">
        <v>19.236110799999999</v>
      </c>
      <c r="J345" s="21">
        <v>-89.314444399999999</v>
      </c>
      <c r="K345" s="21" t="s">
        <v>2272</v>
      </c>
      <c r="L345" s="3">
        <v>2002</v>
      </c>
      <c r="M345" s="3">
        <v>2003</v>
      </c>
      <c r="N345" s="3" t="s">
        <v>2272</v>
      </c>
      <c r="O345" s="35" t="s">
        <v>66</v>
      </c>
      <c r="P345" s="5" t="s">
        <v>5181</v>
      </c>
      <c r="Q345" s="3"/>
    </row>
    <row r="346" spans="1:17" ht="33.5" customHeight="1">
      <c r="A346" s="31">
        <v>59</v>
      </c>
      <c r="B346" s="37" t="s">
        <v>884</v>
      </c>
      <c r="C346" s="11" t="s">
        <v>883</v>
      </c>
      <c r="D346" s="11" t="s">
        <v>2393</v>
      </c>
      <c r="E346" s="3" t="s">
        <v>2394</v>
      </c>
      <c r="F346" s="11" t="s">
        <v>887</v>
      </c>
      <c r="G346" s="3" t="s">
        <v>885</v>
      </c>
      <c r="H346" s="11" t="s">
        <v>886</v>
      </c>
      <c r="I346" s="21">
        <v>9.8000000000000007</v>
      </c>
      <c r="J346" s="21">
        <v>-12.1</v>
      </c>
      <c r="K346" s="21" t="s">
        <v>2272</v>
      </c>
      <c r="L346" s="11">
        <v>1984</v>
      </c>
      <c r="M346" s="11">
        <v>1987</v>
      </c>
      <c r="N346" s="3" t="s">
        <v>2272</v>
      </c>
      <c r="O346" s="35" t="s">
        <v>181</v>
      </c>
      <c r="P346" s="5" t="s">
        <v>5181</v>
      </c>
      <c r="Q346" s="3"/>
    </row>
    <row r="347" spans="1:17" ht="40.5" customHeight="1">
      <c r="A347" s="31">
        <v>60</v>
      </c>
      <c r="B347" s="38" t="s">
        <v>896</v>
      </c>
      <c r="C347" s="11" t="s">
        <v>894</v>
      </c>
      <c r="D347" s="11" t="s">
        <v>2393</v>
      </c>
      <c r="E347" s="3" t="s">
        <v>2394</v>
      </c>
      <c r="F347" s="11" t="s">
        <v>890</v>
      </c>
      <c r="G347" s="11" t="s">
        <v>891</v>
      </c>
      <c r="H347" s="11" t="s">
        <v>892</v>
      </c>
      <c r="I347" s="70">
        <v>-0.4</v>
      </c>
      <c r="J347" s="70">
        <v>110.1</v>
      </c>
      <c r="K347" s="21">
        <v>10</v>
      </c>
      <c r="L347" s="3">
        <v>1990</v>
      </c>
      <c r="M347" s="3">
        <v>1995</v>
      </c>
      <c r="N347" s="3" t="s">
        <v>2272</v>
      </c>
      <c r="O347" s="3" t="s">
        <v>181</v>
      </c>
      <c r="P347" s="5" t="s">
        <v>5181</v>
      </c>
      <c r="Q347" s="3" t="s">
        <v>893</v>
      </c>
    </row>
    <row r="348" spans="1:17" ht="36" customHeight="1">
      <c r="A348" s="31">
        <v>61</v>
      </c>
      <c r="B348" s="37" t="s">
        <v>898</v>
      </c>
      <c r="C348" s="11" t="s">
        <v>897</v>
      </c>
      <c r="D348" s="11" t="s">
        <v>2393</v>
      </c>
      <c r="E348" s="3" t="s">
        <v>2394</v>
      </c>
      <c r="F348" s="3" t="s">
        <v>881</v>
      </c>
      <c r="G348" s="3" t="s">
        <v>882</v>
      </c>
      <c r="H348" s="3" t="s">
        <v>767</v>
      </c>
      <c r="I348" s="21">
        <v>19.236110799999999</v>
      </c>
      <c r="J348" s="21">
        <v>-89.314444399999999</v>
      </c>
      <c r="K348" s="21">
        <v>73.400000000000006</v>
      </c>
      <c r="L348" s="3">
        <v>2000</v>
      </c>
      <c r="M348" s="3">
        <v>2000</v>
      </c>
      <c r="N348" s="3">
        <v>40.599454999999999</v>
      </c>
      <c r="O348" s="3" t="s">
        <v>181</v>
      </c>
      <c r="P348" s="5" t="s">
        <v>5181</v>
      </c>
      <c r="Q348" s="3"/>
    </row>
    <row r="349" spans="1:17" ht="31" customHeight="1">
      <c r="A349" s="31">
        <v>62</v>
      </c>
      <c r="B349" s="37" t="s">
        <v>903</v>
      </c>
      <c r="C349" s="11" t="s">
        <v>902</v>
      </c>
      <c r="D349" s="11" t="s">
        <v>2393</v>
      </c>
      <c r="E349" s="3" t="s">
        <v>2394</v>
      </c>
      <c r="F349" s="11" t="s">
        <v>904</v>
      </c>
      <c r="G349" s="3" t="s">
        <v>2272</v>
      </c>
      <c r="H349" s="3" t="s">
        <v>656</v>
      </c>
      <c r="I349" s="21">
        <v>-7.7889141000000004</v>
      </c>
      <c r="J349" s="21">
        <v>-74.964837000000003</v>
      </c>
      <c r="K349" s="21" t="s">
        <v>2272</v>
      </c>
      <c r="L349" s="3">
        <v>1986</v>
      </c>
      <c r="M349" s="3">
        <v>1986</v>
      </c>
      <c r="N349" s="3" t="s">
        <v>2272</v>
      </c>
      <c r="O349" s="3" t="s">
        <v>181</v>
      </c>
      <c r="P349" s="5" t="s">
        <v>5181</v>
      </c>
      <c r="Q349" s="3" t="s">
        <v>2210</v>
      </c>
    </row>
    <row r="350" spans="1:17" ht="31" customHeight="1">
      <c r="A350" s="31">
        <v>62</v>
      </c>
      <c r="B350" s="37" t="s">
        <v>903</v>
      </c>
      <c r="C350" s="11" t="s">
        <v>905</v>
      </c>
      <c r="D350" s="11" t="s">
        <v>2393</v>
      </c>
      <c r="E350" s="3" t="s">
        <v>2394</v>
      </c>
      <c r="F350" s="11" t="s">
        <v>904</v>
      </c>
      <c r="G350" s="3" t="s">
        <v>2272</v>
      </c>
      <c r="H350" s="3" t="s">
        <v>656</v>
      </c>
      <c r="I350" s="21">
        <v>-7.7889141000000004</v>
      </c>
      <c r="J350" s="21">
        <v>-74.964837000000003</v>
      </c>
      <c r="K350" s="21" t="s">
        <v>2272</v>
      </c>
      <c r="L350" s="3">
        <v>1996</v>
      </c>
      <c r="M350" s="3">
        <v>1996</v>
      </c>
      <c r="N350" s="3" t="s">
        <v>2272</v>
      </c>
      <c r="O350" s="3" t="s">
        <v>181</v>
      </c>
      <c r="P350" s="5" t="s">
        <v>5181</v>
      </c>
      <c r="Q350" s="3" t="s">
        <v>2210</v>
      </c>
    </row>
    <row r="351" spans="1:17" ht="31" customHeight="1">
      <c r="A351" s="31">
        <v>62</v>
      </c>
      <c r="B351" s="37" t="s">
        <v>903</v>
      </c>
      <c r="C351" s="11" t="s">
        <v>916</v>
      </c>
      <c r="D351" s="11" t="s">
        <v>2393</v>
      </c>
      <c r="E351" s="3" t="s">
        <v>2394</v>
      </c>
      <c r="F351" s="11" t="s">
        <v>904</v>
      </c>
      <c r="G351" s="3" t="s">
        <v>2272</v>
      </c>
      <c r="H351" s="3" t="s">
        <v>656</v>
      </c>
      <c r="I351" s="21">
        <v>-7.7889141000000004</v>
      </c>
      <c r="J351" s="21">
        <v>-74.964837000000003</v>
      </c>
      <c r="K351" s="21" t="s">
        <v>2272</v>
      </c>
      <c r="L351" s="3">
        <v>2006</v>
      </c>
      <c r="M351" s="3">
        <v>2006</v>
      </c>
      <c r="N351" s="3" t="s">
        <v>2272</v>
      </c>
      <c r="O351" s="3" t="s">
        <v>181</v>
      </c>
      <c r="P351" s="5" t="s">
        <v>5181</v>
      </c>
      <c r="Q351" s="3" t="s">
        <v>2210</v>
      </c>
    </row>
    <row r="352" spans="1:17" ht="31" customHeight="1">
      <c r="A352" s="31">
        <v>62</v>
      </c>
      <c r="B352" s="37" t="s">
        <v>903</v>
      </c>
      <c r="C352" s="11" t="s">
        <v>917</v>
      </c>
      <c r="D352" s="11" t="s">
        <v>2393</v>
      </c>
      <c r="E352" s="3" t="s">
        <v>2394</v>
      </c>
      <c r="F352" s="11" t="s">
        <v>950</v>
      </c>
      <c r="G352" s="3" t="s">
        <v>2272</v>
      </c>
      <c r="H352" s="3" t="s">
        <v>656</v>
      </c>
      <c r="I352" s="21">
        <v>-7.7889141000000004</v>
      </c>
      <c r="J352" s="21">
        <v>-74.964837000000003</v>
      </c>
      <c r="K352" s="21" t="s">
        <v>2272</v>
      </c>
      <c r="L352" s="3">
        <v>2007</v>
      </c>
      <c r="M352" s="3">
        <v>2007</v>
      </c>
      <c r="N352" s="3" t="s">
        <v>2272</v>
      </c>
      <c r="O352" s="3" t="s">
        <v>181</v>
      </c>
      <c r="P352" s="5" t="s">
        <v>5181</v>
      </c>
      <c r="Q352" s="3" t="s">
        <v>2210</v>
      </c>
    </row>
    <row r="353" spans="1:17" ht="31" customHeight="1">
      <c r="A353" s="31">
        <v>62</v>
      </c>
      <c r="B353" s="37" t="s">
        <v>903</v>
      </c>
      <c r="C353" s="11" t="s">
        <v>918</v>
      </c>
      <c r="D353" s="11" t="s">
        <v>2393</v>
      </c>
      <c r="E353" s="3" t="s">
        <v>2394</v>
      </c>
      <c r="F353" s="11" t="s">
        <v>919</v>
      </c>
      <c r="G353" s="3" t="s">
        <v>2272</v>
      </c>
      <c r="H353" s="3" t="s">
        <v>656</v>
      </c>
      <c r="I353" s="21">
        <v>-8.2927380999999993</v>
      </c>
      <c r="J353" s="21">
        <v>-74.420045299999998</v>
      </c>
      <c r="K353" s="21" t="s">
        <v>2272</v>
      </c>
      <c r="L353" s="3">
        <v>2007</v>
      </c>
      <c r="M353" s="3">
        <v>2007</v>
      </c>
      <c r="N353" s="3" t="s">
        <v>2272</v>
      </c>
      <c r="O353" s="3" t="s">
        <v>181</v>
      </c>
      <c r="P353" s="5" t="s">
        <v>5181</v>
      </c>
      <c r="Q353" s="3" t="s">
        <v>2210</v>
      </c>
    </row>
    <row r="354" spans="1:17" ht="32.5" customHeight="1">
      <c r="A354" s="31">
        <v>63</v>
      </c>
      <c r="B354" s="37" t="s">
        <v>909</v>
      </c>
      <c r="C354" s="11" t="s">
        <v>908</v>
      </c>
      <c r="D354" s="11" t="s">
        <v>2393</v>
      </c>
      <c r="E354" s="3" t="s">
        <v>2395</v>
      </c>
      <c r="F354" s="11" t="s">
        <v>906</v>
      </c>
      <c r="G354" s="3" t="s">
        <v>907</v>
      </c>
      <c r="H354" s="3" t="s">
        <v>119</v>
      </c>
      <c r="I354" s="21">
        <v>-1.3930022</v>
      </c>
      <c r="J354" s="21">
        <v>-48.861753499999999</v>
      </c>
      <c r="K354" s="21">
        <v>3365</v>
      </c>
      <c r="L354" s="11">
        <v>2000</v>
      </c>
      <c r="M354" s="11">
        <v>2000</v>
      </c>
      <c r="N354" s="3">
        <v>5.5</v>
      </c>
      <c r="O354" s="3" t="s">
        <v>66</v>
      </c>
      <c r="P354" s="5" t="s">
        <v>5181</v>
      </c>
      <c r="Q354" s="3"/>
    </row>
    <row r="355" spans="1:17" ht="40" customHeight="1">
      <c r="A355" s="149">
        <v>64</v>
      </c>
      <c r="B355" s="53" t="s">
        <v>5049</v>
      </c>
      <c r="C355" s="23" t="s">
        <v>930</v>
      </c>
      <c r="D355" s="11" t="s">
        <v>2393</v>
      </c>
      <c r="E355" s="3" t="s">
        <v>2395</v>
      </c>
      <c r="F355" s="11" t="s">
        <v>5050</v>
      </c>
      <c r="G355" s="11" t="s">
        <v>3733</v>
      </c>
      <c r="H355" s="11" t="s">
        <v>1946</v>
      </c>
      <c r="I355" s="70">
        <f>6 + 53/60</f>
        <v>6.8833333333333329</v>
      </c>
      <c r="J355" s="70">
        <f>39 + 32/60</f>
        <v>39.533333333333331</v>
      </c>
      <c r="K355" s="70">
        <f>95*40*0.69</f>
        <v>2622</v>
      </c>
      <c r="L355" s="11">
        <v>1968</v>
      </c>
      <c r="M355" s="11">
        <v>2016</v>
      </c>
      <c r="N355" s="11" t="s">
        <v>2272</v>
      </c>
      <c r="O355" s="3" t="s">
        <v>66</v>
      </c>
      <c r="P355" s="5" t="s">
        <v>5181</v>
      </c>
      <c r="Q355" s="11"/>
    </row>
    <row r="356" spans="1:17" ht="40" customHeight="1">
      <c r="A356" s="149">
        <v>64</v>
      </c>
      <c r="B356" s="53" t="s">
        <v>5049</v>
      </c>
      <c r="C356" s="23" t="s">
        <v>5053</v>
      </c>
      <c r="D356" s="11" t="s">
        <v>2393</v>
      </c>
      <c r="E356" s="3" t="s">
        <v>2395</v>
      </c>
      <c r="F356" s="11" t="s">
        <v>5051</v>
      </c>
      <c r="G356" s="11" t="s">
        <v>3733</v>
      </c>
      <c r="H356" s="11" t="s">
        <v>1946</v>
      </c>
      <c r="I356" s="70">
        <f t="shared" ref="I356" si="1">6 + 53/60</f>
        <v>6.8833333333333329</v>
      </c>
      <c r="J356" s="70">
        <f t="shared" ref="J356" si="2">39 + 32/60</f>
        <v>39.533333333333331</v>
      </c>
      <c r="K356" s="70">
        <f>95*40*0.31</f>
        <v>1178</v>
      </c>
      <c r="L356" s="11">
        <v>1968</v>
      </c>
      <c r="M356" s="11">
        <v>2016</v>
      </c>
      <c r="N356" s="11" t="s">
        <v>2272</v>
      </c>
      <c r="O356" s="3" t="s">
        <v>66</v>
      </c>
      <c r="P356" s="5" t="s">
        <v>5181</v>
      </c>
      <c r="Q356" s="11" t="s">
        <v>5052</v>
      </c>
    </row>
    <row r="357" spans="1:17" ht="32.5" customHeight="1">
      <c r="A357" s="31">
        <v>65</v>
      </c>
      <c r="B357" s="37" t="s">
        <v>925</v>
      </c>
      <c r="C357" s="11" t="s">
        <v>924</v>
      </c>
      <c r="D357" s="11" t="s">
        <v>2393</v>
      </c>
      <c r="E357" s="3" t="s">
        <v>2395</v>
      </c>
      <c r="F357" s="3" t="s">
        <v>927</v>
      </c>
      <c r="G357" s="3" t="s">
        <v>2272</v>
      </c>
      <c r="H357" s="3" t="s">
        <v>926</v>
      </c>
      <c r="I357" s="21">
        <v>-2</v>
      </c>
      <c r="J357" s="21">
        <v>-78</v>
      </c>
      <c r="K357" s="21" t="s">
        <v>2272</v>
      </c>
      <c r="L357" s="3">
        <v>1987</v>
      </c>
      <c r="M357" s="3">
        <v>1987</v>
      </c>
      <c r="N357" s="3" t="s">
        <v>2272</v>
      </c>
      <c r="O357" s="3" t="s">
        <v>147</v>
      </c>
      <c r="P357" s="5" t="s">
        <v>5181</v>
      </c>
      <c r="Q357" s="3" t="s">
        <v>2210</v>
      </c>
    </row>
    <row r="358" spans="1:17" ht="31" customHeight="1">
      <c r="A358" s="31">
        <v>65</v>
      </c>
      <c r="B358" s="37" t="s">
        <v>925</v>
      </c>
      <c r="C358" s="11" t="s">
        <v>929</v>
      </c>
      <c r="D358" s="11" t="s">
        <v>2393</v>
      </c>
      <c r="E358" s="3" t="s">
        <v>2395</v>
      </c>
      <c r="F358" s="3" t="s">
        <v>927</v>
      </c>
      <c r="G358" s="3" t="s">
        <v>2272</v>
      </c>
      <c r="H358" s="3" t="s">
        <v>926</v>
      </c>
      <c r="I358" s="21">
        <v>-2</v>
      </c>
      <c r="J358" s="21">
        <v>-78</v>
      </c>
      <c r="K358" s="21" t="s">
        <v>2272</v>
      </c>
      <c r="L358" s="3">
        <v>1997</v>
      </c>
      <c r="M358" s="3">
        <v>1997</v>
      </c>
      <c r="N358" s="3" t="s">
        <v>2272</v>
      </c>
      <c r="O358" s="3" t="s">
        <v>181</v>
      </c>
      <c r="P358" s="5" t="s">
        <v>5181</v>
      </c>
      <c r="Q358" s="3" t="s">
        <v>2210</v>
      </c>
    </row>
    <row r="359" spans="1:17" ht="33" customHeight="1">
      <c r="A359" s="31">
        <v>66</v>
      </c>
      <c r="B359" s="37" t="s">
        <v>936</v>
      </c>
      <c r="C359" s="11" t="s">
        <v>935</v>
      </c>
      <c r="D359" s="11" t="s">
        <v>2393</v>
      </c>
      <c r="E359" s="3" t="s">
        <v>2394</v>
      </c>
      <c r="F359" s="3" t="s">
        <v>937</v>
      </c>
      <c r="G359" s="3" t="s">
        <v>2272</v>
      </c>
      <c r="H359" s="3" t="s">
        <v>582</v>
      </c>
      <c r="I359" s="21">
        <v>5.5308409999999997</v>
      </c>
      <c r="J359" s="21">
        <v>-67.405763300000004</v>
      </c>
      <c r="K359" s="21" t="s">
        <v>2272</v>
      </c>
      <c r="L359" s="3">
        <v>2000</v>
      </c>
      <c r="M359" s="3">
        <v>2000</v>
      </c>
      <c r="N359" s="3" t="s">
        <v>2272</v>
      </c>
      <c r="O359" s="3" t="s">
        <v>181</v>
      </c>
      <c r="P359" s="5" t="s">
        <v>5181</v>
      </c>
      <c r="Q359" s="3" t="s">
        <v>2210</v>
      </c>
    </row>
    <row r="360" spans="1:17" ht="29.5" customHeight="1">
      <c r="A360" s="31">
        <v>67</v>
      </c>
      <c r="B360" s="37" t="s">
        <v>942</v>
      </c>
      <c r="C360" s="11" t="s">
        <v>941</v>
      </c>
      <c r="D360" s="11" t="s">
        <v>2393</v>
      </c>
      <c r="E360" s="3" t="s">
        <v>2395</v>
      </c>
      <c r="F360" s="3" t="s">
        <v>944</v>
      </c>
      <c r="G360" s="3" t="s">
        <v>2272</v>
      </c>
      <c r="H360" s="3" t="s">
        <v>656</v>
      </c>
      <c r="I360" s="21">
        <v>-3.9191615999999998</v>
      </c>
      <c r="J360" s="21">
        <v>-73.166010400000005</v>
      </c>
      <c r="K360" s="21">
        <v>69.48</v>
      </c>
      <c r="L360" s="3">
        <v>1993</v>
      </c>
      <c r="M360" s="3">
        <v>1993</v>
      </c>
      <c r="N360" s="3">
        <v>24.525043199999999</v>
      </c>
      <c r="O360" s="3" t="s">
        <v>147</v>
      </c>
      <c r="P360" s="5" t="s">
        <v>5181</v>
      </c>
      <c r="Q360" s="3" t="s">
        <v>2210</v>
      </c>
    </row>
    <row r="361" spans="1:17" ht="32" customHeight="1">
      <c r="A361" s="31">
        <v>67</v>
      </c>
      <c r="B361" s="37" t="s">
        <v>942</v>
      </c>
      <c r="C361" s="11" t="s">
        <v>943</v>
      </c>
      <c r="D361" s="11" t="s">
        <v>2393</v>
      </c>
      <c r="E361" s="3" t="s">
        <v>2395</v>
      </c>
      <c r="F361" s="3" t="s">
        <v>944</v>
      </c>
      <c r="G361" s="3" t="s">
        <v>2272</v>
      </c>
      <c r="H361" s="3" t="s">
        <v>656</v>
      </c>
      <c r="I361" s="21">
        <v>-3.9191615999999998</v>
      </c>
      <c r="J361" s="21">
        <v>-73.166010400000005</v>
      </c>
      <c r="K361" s="21">
        <v>69.48</v>
      </c>
      <c r="L361" s="3">
        <v>2005</v>
      </c>
      <c r="M361" s="3">
        <v>2005</v>
      </c>
      <c r="N361" s="3">
        <v>22.279792700000002</v>
      </c>
      <c r="O361" s="3" t="s">
        <v>147</v>
      </c>
      <c r="P361" s="5" t="s">
        <v>5181</v>
      </c>
      <c r="Q361" s="3" t="s">
        <v>2210</v>
      </c>
    </row>
    <row r="362" spans="1:17" ht="33.5" customHeight="1">
      <c r="A362" s="31">
        <v>68</v>
      </c>
      <c r="B362" s="37" t="s">
        <v>952</v>
      </c>
      <c r="C362" s="11" t="s">
        <v>951</v>
      </c>
      <c r="D362" s="11" t="s">
        <v>2393</v>
      </c>
      <c r="E362" s="3" t="s">
        <v>2394</v>
      </c>
      <c r="F362" s="3" t="s">
        <v>953</v>
      </c>
      <c r="G362" s="3" t="s">
        <v>2272</v>
      </c>
      <c r="H362" s="3" t="s">
        <v>119</v>
      </c>
      <c r="I362" s="21">
        <v>-4.4984377000000002</v>
      </c>
      <c r="J362" s="21">
        <v>-44.899010099999998</v>
      </c>
      <c r="K362" s="21" t="s">
        <v>2272</v>
      </c>
      <c r="L362" s="3">
        <v>1999</v>
      </c>
      <c r="M362" s="3">
        <v>2001</v>
      </c>
      <c r="N362" s="3" t="s">
        <v>2272</v>
      </c>
      <c r="O362" s="3" t="s">
        <v>181</v>
      </c>
      <c r="P362" s="5" t="s">
        <v>5181</v>
      </c>
      <c r="Q362" s="3" t="s">
        <v>2210</v>
      </c>
    </row>
    <row r="363" spans="1:17" ht="40" customHeight="1">
      <c r="A363" s="31">
        <v>69</v>
      </c>
      <c r="B363" s="37" t="s">
        <v>957</v>
      </c>
      <c r="C363" s="11" t="s">
        <v>956</v>
      </c>
      <c r="D363" s="11" t="s">
        <v>2393</v>
      </c>
      <c r="E363" s="3" t="s">
        <v>2394</v>
      </c>
      <c r="F363" s="3" t="s">
        <v>666</v>
      </c>
      <c r="G363" s="3" t="s">
        <v>667</v>
      </c>
      <c r="H363" s="3" t="s">
        <v>730</v>
      </c>
      <c r="I363" s="21">
        <v>19.8333333</v>
      </c>
      <c r="J363" s="21">
        <v>102.16666666666001</v>
      </c>
      <c r="K363" s="21">
        <v>4.3</v>
      </c>
      <c r="L363" s="3">
        <v>2001</v>
      </c>
      <c r="M363" s="3">
        <v>2003</v>
      </c>
      <c r="N363" s="3">
        <v>116.9767442</v>
      </c>
      <c r="O363" s="3" t="s">
        <v>181</v>
      </c>
      <c r="P363" s="5" t="s">
        <v>5181</v>
      </c>
      <c r="Q363" s="3"/>
    </row>
    <row r="364" spans="1:17" ht="33.5" customHeight="1">
      <c r="A364" s="31">
        <v>69</v>
      </c>
      <c r="B364" s="37" t="s">
        <v>957</v>
      </c>
      <c r="C364" s="11" t="s">
        <v>962</v>
      </c>
      <c r="D364" s="11" t="s">
        <v>2393</v>
      </c>
      <c r="E364" s="3" t="s">
        <v>2394</v>
      </c>
      <c r="F364" s="3" t="s">
        <v>666</v>
      </c>
      <c r="G364" s="3" t="s">
        <v>667</v>
      </c>
      <c r="H364" s="3" t="s">
        <v>730</v>
      </c>
      <c r="I364" s="21">
        <v>19.8333333</v>
      </c>
      <c r="J364" s="21">
        <v>102.16666666666001</v>
      </c>
      <c r="K364" s="21">
        <v>4.3</v>
      </c>
      <c r="L364" s="11">
        <v>1995</v>
      </c>
      <c r="M364" s="11">
        <v>1995</v>
      </c>
      <c r="N364" s="3">
        <v>94.8837209</v>
      </c>
      <c r="O364" s="3" t="s">
        <v>181</v>
      </c>
      <c r="P364" s="5" t="s">
        <v>5181</v>
      </c>
      <c r="Q364" s="3"/>
    </row>
    <row r="365" spans="1:17" ht="43.5">
      <c r="A365" s="31">
        <v>69</v>
      </c>
      <c r="B365" s="37" t="s">
        <v>957</v>
      </c>
      <c r="C365" s="11" t="s">
        <v>963</v>
      </c>
      <c r="D365" s="11" t="s">
        <v>2393</v>
      </c>
      <c r="E365" s="3" t="s">
        <v>2394</v>
      </c>
      <c r="F365" s="3" t="s">
        <v>666</v>
      </c>
      <c r="G365" s="3" t="s">
        <v>667</v>
      </c>
      <c r="H365" s="3" t="s">
        <v>730</v>
      </c>
      <c r="I365" s="21">
        <v>19.8333333</v>
      </c>
      <c r="J365" s="21">
        <v>102.16666666666001</v>
      </c>
      <c r="K365" s="21">
        <v>4.3</v>
      </c>
      <c r="L365" s="11">
        <v>1990</v>
      </c>
      <c r="M365" s="11">
        <v>1990</v>
      </c>
      <c r="N365" s="3">
        <v>81.162790700000002</v>
      </c>
      <c r="O365" s="3" t="s">
        <v>181</v>
      </c>
      <c r="P365" s="5" t="s">
        <v>5181</v>
      </c>
      <c r="Q365" s="4" t="s">
        <v>964</v>
      </c>
    </row>
    <row r="366" spans="1:17" ht="43" customHeight="1">
      <c r="A366" s="31">
        <v>70</v>
      </c>
      <c r="B366" s="37" t="s">
        <v>968</v>
      </c>
      <c r="C366" s="11" t="s">
        <v>972</v>
      </c>
      <c r="D366" s="11" t="s">
        <v>2393</v>
      </c>
      <c r="E366" s="3" t="s">
        <v>2394</v>
      </c>
      <c r="F366" s="11" t="s">
        <v>2272</v>
      </c>
      <c r="G366" s="11" t="s">
        <v>971</v>
      </c>
      <c r="H366" s="11" t="s">
        <v>969</v>
      </c>
      <c r="I366" s="21">
        <v>21.7688749</v>
      </c>
      <c r="J366" s="21">
        <v>92.368007399999996</v>
      </c>
      <c r="K366" s="21" t="s">
        <v>2272</v>
      </c>
      <c r="L366" s="8">
        <v>2002</v>
      </c>
      <c r="M366" s="8">
        <v>2002</v>
      </c>
      <c r="N366" s="3" t="s">
        <v>2272</v>
      </c>
      <c r="O366" s="3" t="s">
        <v>181</v>
      </c>
      <c r="P366" s="5" t="s">
        <v>5181</v>
      </c>
      <c r="Q366" s="9" t="s">
        <v>970</v>
      </c>
    </row>
    <row r="367" spans="1:17" ht="39" customHeight="1">
      <c r="A367" s="31">
        <v>71</v>
      </c>
      <c r="B367" s="37" t="s">
        <v>979</v>
      </c>
      <c r="C367" s="11" t="s">
        <v>974</v>
      </c>
      <c r="D367" s="11" t="s">
        <v>2411</v>
      </c>
      <c r="E367" s="3" t="s">
        <v>2394</v>
      </c>
      <c r="F367" s="11" t="s">
        <v>975</v>
      </c>
      <c r="G367" s="3" t="s">
        <v>2272</v>
      </c>
      <c r="H367" s="11" t="s">
        <v>976</v>
      </c>
      <c r="I367" s="21">
        <v>13.7234768</v>
      </c>
      <c r="J367" s="21">
        <v>107.0623339</v>
      </c>
      <c r="K367" s="21">
        <v>14.3125</v>
      </c>
      <c r="L367" s="11">
        <v>1984</v>
      </c>
      <c r="M367" s="11">
        <v>2007</v>
      </c>
      <c r="N367" s="3">
        <v>32</v>
      </c>
      <c r="O367" s="3" t="s">
        <v>66</v>
      </c>
      <c r="P367" s="5" t="s">
        <v>5181</v>
      </c>
      <c r="Q367" s="3" t="s">
        <v>2210</v>
      </c>
    </row>
    <row r="368" spans="1:17" ht="39" customHeight="1">
      <c r="A368" s="31">
        <v>71</v>
      </c>
      <c r="B368" s="37" t="s">
        <v>979</v>
      </c>
      <c r="C368" s="11" t="s">
        <v>977</v>
      </c>
      <c r="D368" s="11" t="s">
        <v>2411</v>
      </c>
      <c r="E368" s="3" t="s">
        <v>2394</v>
      </c>
      <c r="F368" s="11" t="s">
        <v>980</v>
      </c>
      <c r="G368" s="3" t="s">
        <v>2272</v>
      </c>
      <c r="H368" s="11" t="s">
        <v>976</v>
      </c>
      <c r="I368" s="21">
        <v>13.743923499999999</v>
      </c>
      <c r="J368" s="21">
        <v>107.2633027</v>
      </c>
      <c r="K368" s="21">
        <v>15.975</v>
      </c>
      <c r="L368" s="11">
        <v>1984</v>
      </c>
      <c r="M368" s="11">
        <v>2007</v>
      </c>
      <c r="N368" s="3">
        <v>40</v>
      </c>
      <c r="O368" s="3" t="s">
        <v>66</v>
      </c>
      <c r="P368" s="5" t="s">
        <v>5181</v>
      </c>
      <c r="Q368" s="3" t="s">
        <v>2210</v>
      </c>
    </row>
    <row r="369" spans="1:17" ht="32.5" customHeight="1">
      <c r="A369" s="31">
        <v>71</v>
      </c>
      <c r="B369" s="37" t="s">
        <v>979</v>
      </c>
      <c r="C369" s="11" t="s">
        <v>978</v>
      </c>
      <c r="D369" s="11" t="s">
        <v>2411</v>
      </c>
      <c r="E369" s="3" t="s">
        <v>2394</v>
      </c>
      <c r="F369" s="11" t="s">
        <v>981</v>
      </c>
      <c r="G369" s="3" t="s">
        <v>2272</v>
      </c>
      <c r="H369" s="11" t="s">
        <v>976</v>
      </c>
      <c r="I369" s="21">
        <v>13.8420044</v>
      </c>
      <c r="J369" s="21">
        <v>107.1566967</v>
      </c>
      <c r="K369" s="21">
        <v>26.470590000000001</v>
      </c>
      <c r="L369" s="11">
        <v>1984</v>
      </c>
      <c r="M369" s="11">
        <v>2007</v>
      </c>
      <c r="N369" s="3">
        <v>17</v>
      </c>
      <c r="O369" s="3" t="s">
        <v>66</v>
      </c>
      <c r="P369" s="5" t="s">
        <v>5181</v>
      </c>
      <c r="Q369" s="3" t="s">
        <v>2210</v>
      </c>
    </row>
    <row r="370" spans="1:17" ht="30" customHeight="1">
      <c r="A370" s="31">
        <v>72</v>
      </c>
      <c r="B370" s="37" t="s">
        <v>995</v>
      </c>
      <c r="C370" s="11" t="s">
        <v>986</v>
      </c>
      <c r="D370" s="11" t="s">
        <v>2393</v>
      </c>
      <c r="E370" s="3" t="s">
        <v>2394</v>
      </c>
      <c r="F370" s="3" t="s">
        <v>996</v>
      </c>
      <c r="G370" s="3" t="s">
        <v>997</v>
      </c>
      <c r="H370" s="3" t="s">
        <v>112</v>
      </c>
      <c r="I370" s="21">
        <v>21.683333333333302</v>
      </c>
      <c r="J370" s="21">
        <v>101.416666666667</v>
      </c>
      <c r="K370" s="21" t="s">
        <v>2272</v>
      </c>
      <c r="L370" s="3">
        <v>1985</v>
      </c>
      <c r="M370" s="3">
        <v>1985</v>
      </c>
      <c r="N370" s="3" t="s">
        <v>2272</v>
      </c>
      <c r="O370" s="3" t="s">
        <v>181</v>
      </c>
      <c r="P370" s="5" t="s">
        <v>5181</v>
      </c>
      <c r="Q370" s="3"/>
    </row>
    <row r="371" spans="1:17" ht="29" customHeight="1">
      <c r="A371" s="31">
        <v>72</v>
      </c>
      <c r="B371" s="37" t="s">
        <v>995</v>
      </c>
      <c r="C371" s="11" t="s">
        <v>987</v>
      </c>
      <c r="D371" s="11" t="s">
        <v>2393</v>
      </c>
      <c r="E371" s="3" t="s">
        <v>2394</v>
      </c>
      <c r="F371" s="3" t="s">
        <v>996</v>
      </c>
      <c r="G371" s="3" t="s">
        <v>997</v>
      </c>
      <c r="H371" s="3" t="s">
        <v>112</v>
      </c>
      <c r="I371" s="21">
        <v>21.683333333333302</v>
      </c>
      <c r="J371" s="21">
        <v>101.416666666667</v>
      </c>
      <c r="K371" s="21" t="s">
        <v>2272</v>
      </c>
      <c r="L371" s="3">
        <v>1987</v>
      </c>
      <c r="M371" s="3">
        <v>1987</v>
      </c>
      <c r="N371" s="3" t="s">
        <v>2272</v>
      </c>
      <c r="O371" s="3" t="s">
        <v>181</v>
      </c>
      <c r="P371" s="5" t="s">
        <v>5181</v>
      </c>
      <c r="Q371" s="3"/>
    </row>
    <row r="372" spans="1:17" ht="27" customHeight="1">
      <c r="A372" s="31">
        <v>72</v>
      </c>
      <c r="B372" s="37" t="s">
        <v>995</v>
      </c>
      <c r="C372" s="11" t="s">
        <v>988</v>
      </c>
      <c r="D372" s="11" t="s">
        <v>2393</v>
      </c>
      <c r="E372" s="3" t="s">
        <v>2394</v>
      </c>
      <c r="F372" s="3" t="s">
        <v>996</v>
      </c>
      <c r="G372" s="3" t="s">
        <v>997</v>
      </c>
      <c r="H372" s="3" t="s">
        <v>112</v>
      </c>
      <c r="I372" s="21">
        <v>21.683333333333302</v>
      </c>
      <c r="J372" s="21">
        <v>101.416666666667</v>
      </c>
      <c r="K372" s="21" t="s">
        <v>2272</v>
      </c>
      <c r="L372" s="3">
        <v>1990</v>
      </c>
      <c r="M372" s="3">
        <v>1990</v>
      </c>
      <c r="N372" s="3" t="s">
        <v>2272</v>
      </c>
      <c r="O372" s="3" t="s">
        <v>181</v>
      </c>
      <c r="P372" s="5" t="s">
        <v>5181</v>
      </c>
      <c r="Q372" s="3"/>
    </row>
    <row r="373" spans="1:17" ht="29" customHeight="1">
      <c r="A373" s="31">
        <v>72</v>
      </c>
      <c r="B373" s="37" t="s">
        <v>995</v>
      </c>
      <c r="C373" s="11" t="s">
        <v>989</v>
      </c>
      <c r="D373" s="11" t="s">
        <v>2393</v>
      </c>
      <c r="E373" s="3" t="s">
        <v>2394</v>
      </c>
      <c r="F373" s="3" t="s">
        <v>996</v>
      </c>
      <c r="G373" s="3" t="s">
        <v>997</v>
      </c>
      <c r="H373" s="3" t="s">
        <v>112</v>
      </c>
      <c r="I373" s="21">
        <v>21.683333333333302</v>
      </c>
      <c r="J373" s="21">
        <v>101.416666666667</v>
      </c>
      <c r="K373" s="21" t="s">
        <v>2272</v>
      </c>
      <c r="L373" s="3">
        <v>1995</v>
      </c>
      <c r="M373" s="3">
        <v>1995</v>
      </c>
      <c r="N373" s="3" t="s">
        <v>2272</v>
      </c>
      <c r="O373" s="3" t="s">
        <v>181</v>
      </c>
      <c r="P373" s="5" t="s">
        <v>5181</v>
      </c>
      <c r="Q373" s="3"/>
    </row>
    <row r="374" spans="1:17" ht="31.5" customHeight="1">
      <c r="A374" s="31">
        <v>72</v>
      </c>
      <c r="B374" s="37" t="s">
        <v>995</v>
      </c>
      <c r="C374" s="11" t="s">
        <v>990</v>
      </c>
      <c r="D374" s="11" t="s">
        <v>2393</v>
      </c>
      <c r="E374" s="3" t="s">
        <v>2394</v>
      </c>
      <c r="F374" s="3" t="s">
        <v>996</v>
      </c>
      <c r="G374" s="3" t="s">
        <v>997</v>
      </c>
      <c r="H374" s="3" t="s">
        <v>112</v>
      </c>
      <c r="I374" s="21">
        <v>21.683333333333302</v>
      </c>
      <c r="J374" s="21">
        <v>101.416666666667</v>
      </c>
      <c r="K374" s="21" t="s">
        <v>2272</v>
      </c>
      <c r="L374" s="3">
        <v>2000</v>
      </c>
      <c r="M374" s="3">
        <v>2000</v>
      </c>
      <c r="N374" s="3" t="s">
        <v>2272</v>
      </c>
      <c r="O374" s="3" t="s">
        <v>181</v>
      </c>
      <c r="P374" s="5" t="s">
        <v>5181</v>
      </c>
      <c r="Q374" s="3"/>
    </row>
    <row r="375" spans="1:17" ht="26.5" customHeight="1">
      <c r="A375" s="31">
        <v>72</v>
      </c>
      <c r="B375" s="37" t="s">
        <v>995</v>
      </c>
      <c r="C375" s="11" t="s">
        <v>991</v>
      </c>
      <c r="D375" s="11" t="s">
        <v>2393</v>
      </c>
      <c r="E375" s="3" t="s">
        <v>2394</v>
      </c>
      <c r="F375" s="3" t="s">
        <v>998</v>
      </c>
      <c r="G375" s="3" t="s">
        <v>997</v>
      </c>
      <c r="H375" s="3" t="s">
        <v>112</v>
      </c>
      <c r="I375" s="21">
        <v>21.983333333333299</v>
      </c>
      <c r="J375" s="21">
        <v>101.15</v>
      </c>
      <c r="K375" s="21">
        <v>2.4724119999999998</v>
      </c>
      <c r="L375" s="3">
        <v>1987</v>
      </c>
      <c r="M375" s="3">
        <v>1987</v>
      </c>
      <c r="N375" s="3">
        <v>1.0313816</v>
      </c>
      <c r="O375" s="3" t="s">
        <v>181</v>
      </c>
      <c r="P375" s="5" t="s">
        <v>5181</v>
      </c>
      <c r="Q375" s="3"/>
    </row>
    <row r="376" spans="1:17" ht="28" customHeight="1">
      <c r="A376" s="31">
        <v>72</v>
      </c>
      <c r="B376" s="37" t="s">
        <v>995</v>
      </c>
      <c r="C376" s="11" t="s">
        <v>993</v>
      </c>
      <c r="D376" s="11" t="s">
        <v>2393</v>
      </c>
      <c r="E376" s="3" t="s">
        <v>2394</v>
      </c>
      <c r="F376" s="3" t="s">
        <v>998</v>
      </c>
      <c r="G376" s="3" t="s">
        <v>997</v>
      </c>
      <c r="H376" s="3" t="s">
        <v>112</v>
      </c>
      <c r="I376" s="21">
        <v>21.983333333333299</v>
      </c>
      <c r="J376" s="21">
        <v>101.15</v>
      </c>
      <c r="K376" s="21">
        <v>2.299471</v>
      </c>
      <c r="L376" s="3">
        <v>1990</v>
      </c>
      <c r="M376" s="3">
        <v>1990</v>
      </c>
      <c r="N376" s="3">
        <v>1.1132997</v>
      </c>
      <c r="O376" s="3" t="s">
        <v>181</v>
      </c>
      <c r="P376" s="5" t="s">
        <v>5181</v>
      </c>
      <c r="Q376" s="3"/>
    </row>
    <row r="377" spans="1:17" ht="29" customHeight="1">
      <c r="A377" s="31">
        <v>72</v>
      </c>
      <c r="B377" s="37" t="s">
        <v>995</v>
      </c>
      <c r="C377" s="11" t="s">
        <v>992</v>
      </c>
      <c r="D377" s="11" t="s">
        <v>2393</v>
      </c>
      <c r="E377" s="3" t="s">
        <v>2394</v>
      </c>
      <c r="F377" s="3" t="s">
        <v>998</v>
      </c>
      <c r="G377" s="3" t="s">
        <v>997</v>
      </c>
      <c r="H377" s="3" t="s">
        <v>112</v>
      </c>
      <c r="I377" s="21">
        <v>21.983333333333299</v>
      </c>
      <c r="J377" s="21">
        <v>101.15</v>
      </c>
      <c r="K377" s="21">
        <v>2.0112350000000001</v>
      </c>
      <c r="L377" s="3">
        <v>1995</v>
      </c>
      <c r="M377" s="3">
        <v>1995</v>
      </c>
      <c r="N377" s="3">
        <v>1.2877658000000001</v>
      </c>
      <c r="O377" s="3" t="s">
        <v>181</v>
      </c>
      <c r="P377" s="5" t="s">
        <v>5181</v>
      </c>
      <c r="Q377" s="3"/>
    </row>
    <row r="378" spans="1:17" ht="27" customHeight="1">
      <c r="A378" s="31">
        <v>72</v>
      </c>
      <c r="B378" s="37" t="s">
        <v>995</v>
      </c>
      <c r="C378" s="11" t="s">
        <v>994</v>
      </c>
      <c r="D378" s="11" t="s">
        <v>2393</v>
      </c>
      <c r="E378" s="3" t="s">
        <v>2394</v>
      </c>
      <c r="F378" s="3" t="s">
        <v>998</v>
      </c>
      <c r="G378" s="3" t="s">
        <v>997</v>
      </c>
      <c r="H378" s="3" t="s">
        <v>112</v>
      </c>
      <c r="I378" s="21">
        <v>21.983333333333299</v>
      </c>
      <c r="J378" s="21">
        <v>101.15</v>
      </c>
      <c r="K378" s="21">
        <v>1.7230000000000001</v>
      </c>
      <c r="L378" s="3">
        <v>2000</v>
      </c>
      <c r="M378" s="3">
        <v>2000</v>
      </c>
      <c r="N378" s="3">
        <v>1.5612303999999999</v>
      </c>
      <c r="O378" s="3" t="s">
        <v>181</v>
      </c>
      <c r="P378" s="5" t="s">
        <v>5181</v>
      </c>
      <c r="Q378" s="3"/>
    </row>
    <row r="379" spans="1:17" ht="28.5" customHeight="1">
      <c r="A379" s="31">
        <v>73</v>
      </c>
      <c r="B379" s="37" t="s">
        <v>1017</v>
      </c>
      <c r="C379" s="11" t="s">
        <v>1013</v>
      </c>
      <c r="D379" s="11" t="s">
        <v>2393</v>
      </c>
      <c r="E379" s="11" t="s">
        <v>2417</v>
      </c>
      <c r="F379" s="11" t="s">
        <v>1014</v>
      </c>
      <c r="G379" s="3" t="s">
        <v>700</v>
      </c>
      <c r="H379" s="3" t="s">
        <v>730</v>
      </c>
      <c r="I379" s="21">
        <v>20.966666666666701</v>
      </c>
      <c r="J379" s="21">
        <v>101.683333333333</v>
      </c>
      <c r="K379" s="21">
        <v>25.97</v>
      </c>
      <c r="L379" s="3">
        <v>2004</v>
      </c>
      <c r="M379" s="3">
        <v>2004</v>
      </c>
      <c r="N379" s="3" t="s">
        <v>2272</v>
      </c>
      <c r="O379" s="3" t="s">
        <v>181</v>
      </c>
      <c r="P379" s="5" t="s">
        <v>5181</v>
      </c>
      <c r="Q379" s="3"/>
    </row>
    <row r="380" spans="1:17" ht="25.5" customHeight="1">
      <c r="A380" s="31">
        <v>73</v>
      </c>
      <c r="B380" s="37" t="s">
        <v>1017</v>
      </c>
      <c r="C380" s="11" t="s">
        <v>1016</v>
      </c>
      <c r="D380" s="11" t="s">
        <v>2393</v>
      </c>
      <c r="E380" s="11" t="s">
        <v>2417</v>
      </c>
      <c r="F380" s="11" t="s">
        <v>1015</v>
      </c>
      <c r="G380" s="3" t="s">
        <v>700</v>
      </c>
      <c r="H380" s="3" t="s">
        <v>730</v>
      </c>
      <c r="I380" s="21">
        <v>20.983333333333299</v>
      </c>
      <c r="J380" s="21">
        <v>101.666666666667</v>
      </c>
      <c r="K380" s="21">
        <v>31.08</v>
      </c>
      <c r="L380" s="3">
        <v>2004</v>
      </c>
      <c r="M380" s="3">
        <v>2004</v>
      </c>
      <c r="N380" s="3" t="s">
        <v>2272</v>
      </c>
      <c r="O380" s="3" t="s">
        <v>181</v>
      </c>
      <c r="P380" s="5" t="s">
        <v>5181</v>
      </c>
      <c r="Q380" s="3"/>
    </row>
    <row r="381" spans="1:17" ht="27" customHeight="1">
      <c r="A381" s="31">
        <v>74</v>
      </c>
      <c r="B381" s="37" t="s">
        <v>1022</v>
      </c>
      <c r="C381" s="11" t="s">
        <v>1020</v>
      </c>
      <c r="D381" s="11" t="s">
        <v>2393</v>
      </c>
      <c r="E381" s="3" t="s">
        <v>2394</v>
      </c>
      <c r="F381" s="3" t="s">
        <v>1023</v>
      </c>
      <c r="G381" s="3" t="s">
        <v>1024</v>
      </c>
      <c r="H381" s="3" t="s">
        <v>624</v>
      </c>
      <c r="I381" s="21">
        <v>9.9743686</v>
      </c>
      <c r="J381" s="21">
        <v>118.6709395</v>
      </c>
      <c r="K381" s="21" t="s">
        <v>2272</v>
      </c>
      <c r="L381" s="3">
        <v>2001</v>
      </c>
      <c r="M381" s="3">
        <v>2004</v>
      </c>
      <c r="N381" s="3" t="s">
        <v>2272</v>
      </c>
      <c r="O381" s="3" t="s">
        <v>181</v>
      </c>
      <c r="P381" s="5" t="s">
        <v>5181</v>
      </c>
      <c r="Q381" s="22" t="s">
        <v>2210</v>
      </c>
    </row>
    <row r="382" spans="1:17" ht="31" customHeight="1">
      <c r="A382" s="31">
        <v>74</v>
      </c>
      <c r="B382" s="37" t="s">
        <v>1022</v>
      </c>
      <c r="C382" s="11" t="s">
        <v>1021</v>
      </c>
      <c r="D382" s="11" t="s">
        <v>2393</v>
      </c>
      <c r="E382" s="3" t="s">
        <v>2394</v>
      </c>
      <c r="F382" s="3" t="s">
        <v>1023</v>
      </c>
      <c r="G382" s="3" t="s">
        <v>1024</v>
      </c>
      <c r="H382" s="3" t="s">
        <v>624</v>
      </c>
      <c r="I382" s="21">
        <v>9.9743686</v>
      </c>
      <c r="J382" s="21">
        <v>118.6709395</v>
      </c>
      <c r="K382" s="21" t="s">
        <v>2272</v>
      </c>
      <c r="L382" s="3">
        <v>2006</v>
      </c>
      <c r="M382" s="3">
        <v>2008</v>
      </c>
      <c r="N382" s="3" t="s">
        <v>2272</v>
      </c>
      <c r="O382" s="3" t="s">
        <v>181</v>
      </c>
      <c r="P382" s="5" t="s">
        <v>5181</v>
      </c>
      <c r="Q382" s="22" t="s">
        <v>2210</v>
      </c>
    </row>
    <row r="383" spans="1:17" ht="37" customHeight="1">
      <c r="A383" s="31">
        <v>75</v>
      </c>
      <c r="B383" s="38" t="s">
        <v>1039</v>
      </c>
      <c r="C383" s="19" t="s">
        <v>1038</v>
      </c>
      <c r="D383" s="11" t="s">
        <v>2393</v>
      </c>
      <c r="E383" s="19" t="s">
        <v>2419</v>
      </c>
      <c r="F383" s="4" t="s">
        <v>1040</v>
      </c>
      <c r="G383" s="4" t="s">
        <v>1047</v>
      </c>
      <c r="H383" s="4" t="s">
        <v>112</v>
      </c>
      <c r="I383" s="71">
        <v>22.5</v>
      </c>
      <c r="J383" s="71">
        <v>100</v>
      </c>
      <c r="K383" s="71" t="s">
        <v>2272</v>
      </c>
      <c r="L383" s="4">
        <v>2003</v>
      </c>
      <c r="M383" s="4">
        <v>2009</v>
      </c>
      <c r="N383" s="4" t="s">
        <v>2272</v>
      </c>
      <c r="O383" s="4" t="s">
        <v>66</v>
      </c>
      <c r="P383" s="5" t="s">
        <v>5181</v>
      </c>
      <c r="Q383" s="4" t="s">
        <v>2420</v>
      </c>
    </row>
    <row r="384" spans="1:17" ht="40.5" customHeight="1">
      <c r="A384" s="31">
        <v>75</v>
      </c>
      <c r="B384" s="38" t="s">
        <v>1039</v>
      </c>
      <c r="C384" s="11" t="s">
        <v>1041</v>
      </c>
      <c r="D384" s="11" t="s">
        <v>2393</v>
      </c>
      <c r="E384" s="19" t="s">
        <v>2419</v>
      </c>
      <c r="F384" s="11" t="s">
        <v>1045</v>
      </c>
      <c r="G384" s="11" t="s">
        <v>1046</v>
      </c>
      <c r="H384" s="11" t="s">
        <v>730</v>
      </c>
      <c r="I384" s="21">
        <v>21.622042199999999</v>
      </c>
      <c r="J384" s="21">
        <v>102.95030850000001</v>
      </c>
      <c r="K384" s="21" t="s">
        <v>2272</v>
      </c>
      <c r="L384" s="11">
        <v>1990</v>
      </c>
      <c r="M384" s="11">
        <v>2009</v>
      </c>
      <c r="N384" s="3" t="s">
        <v>2272</v>
      </c>
      <c r="O384" s="4" t="s">
        <v>66</v>
      </c>
      <c r="P384" s="5" t="s">
        <v>5181</v>
      </c>
      <c r="Q384" s="4" t="s">
        <v>2420</v>
      </c>
    </row>
    <row r="385" spans="1:17" ht="37.5" customHeight="1">
      <c r="A385" s="31">
        <v>75</v>
      </c>
      <c r="B385" s="38" t="s">
        <v>1039</v>
      </c>
      <c r="C385" s="11" t="s">
        <v>1042</v>
      </c>
      <c r="D385" s="11" t="s">
        <v>2393</v>
      </c>
      <c r="E385" s="19" t="s">
        <v>2419</v>
      </c>
      <c r="F385" s="3" t="s">
        <v>2272</v>
      </c>
      <c r="G385" s="11" t="s">
        <v>1048</v>
      </c>
      <c r="H385" s="11" t="s">
        <v>1049</v>
      </c>
      <c r="I385" s="21">
        <v>19.499354400000001</v>
      </c>
      <c r="J385" s="21">
        <v>98.998955899999999</v>
      </c>
      <c r="K385" s="21" t="s">
        <v>2272</v>
      </c>
      <c r="L385" s="11">
        <v>1985</v>
      </c>
      <c r="M385" s="11">
        <v>2009</v>
      </c>
      <c r="N385" s="3" t="s">
        <v>2272</v>
      </c>
      <c r="O385" s="4" t="s">
        <v>66</v>
      </c>
      <c r="P385" s="5" t="s">
        <v>5181</v>
      </c>
      <c r="Q385" s="4" t="s">
        <v>2420</v>
      </c>
    </row>
    <row r="386" spans="1:17" ht="33.5" customHeight="1">
      <c r="A386" s="31">
        <v>75</v>
      </c>
      <c r="B386" s="38" t="s">
        <v>1039</v>
      </c>
      <c r="C386" s="11" t="s">
        <v>1043</v>
      </c>
      <c r="D386" s="11" t="s">
        <v>2393</v>
      </c>
      <c r="E386" s="19" t="s">
        <v>2419</v>
      </c>
      <c r="F386" s="3" t="s">
        <v>2272</v>
      </c>
      <c r="G386" s="11" t="s">
        <v>1050</v>
      </c>
      <c r="H386" s="11" t="s">
        <v>783</v>
      </c>
      <c r="I386" s="21">
        <v>0.25384570000000001</v>
      </c>
      <c r="J386" s="21">
        <v>112.7852096</v>
      </c>
      <c r="K386" s="21" t="s">
        <v>2272</v>
      </c>
      <c r="L386" s="11">
        <v>2000</v>
      </c>
      <c r="M386" s="11">
        <v>2009</v>
      </c>
      <c r="N386" s="3" t="s">
        <v>2272</v>
      </c>
      <c r="O386" s="4" t="s">
        <v>66</v>
      </c>
      <c r="P386" s="5" t="s">
        <v>5181</v>
      </c>
      <c r="Q386" s="4" t="s">
        <v>2420</v>
      </c>
    </row>
    <row r="387" spans="1:17" ht="40.5" customHeight="1">
      <c r="A387" s="31">
        <v>75</v>
      </c>
      <c r="B387" s="38" t="s">
        <v>1039</v>
      </c>
      <c r="C387" s="11" t="s">
        <v>1044</v>
      </c>
      <c r="D387" s="11" t="s">
        <v>2393</v>
      </c>
      <c r="E387" s="19" t="s">
        <v>2419</v>
      </c>
      <c r="F387" s="3" t="s">
        <v>1052</v>
      </c>
      <c r="G387" s="11" t="s">
        <v>1053</v>
      </c>
      <c r="H387" s="11" t="s">
        <v>892</v>
      </c>
      <c r="I387" s="21">
        <v>-0.84087400000000001</v>
      </c>
      <c r="J387" s="21">
        <v>111.92265860000001</v>
      </c>
      <c r="K387" s="21" t="s">
        <v>2272</v>
      </c>
      <c r="L387" s="11">
        <v>1990</v>
      </c>
      <c r="M387" s="11">
        <v>2004</v>
      </c>
      <c r="N387" s="3" t="s">
        <v>2272</v>
      </c>
      <c r="O387" s="4" t="s">
        <v>66</v>
      </c>
      <c r="P387" s="5" t="s">
        <v>5181</v>
      </c>
      <c r="Q387" s="4" t="s">
        <v>2420</v>
      </c>
    </row>
    <row r="388" spans="1:17" ht="40.5" customHeight="1">
      <c r="A388" s="85">
        <v>75</v>
      </c>
      <c r="B388" s="86" t="s">
        <v>1039</v>
      </c>
      <c r="C388" s="12" t="s">
        <v>1051</v>
      </c>
      <c r="D388" s="11" t="s">
        <v>2393</v>
      </c>
      <c r="E388" s="19" t="s">
        <v>2419</v>
      </c>
      <c r="F388" s="12" t="s">
        <v>1054</v>
      </c>
      <c r="G388" s="12" t="s">
        <v>641</v>
      </c>
      <c r="H388" s="12" t="s">
        <v>892</v>
      </c>
      <c r="I388" s="83">
        <v>0.11927500000000001</v>
      </c>
      <c r="J388" s="83">
        <v>110.59729799999999</v>
      </c>
      <c r="K388" s="83" t="s">
        <v>2272</v>
      </c>
      <c r="L388" s="12">
        <v>1990</v>
      </c>
      <c r="M388" s="12">
        <v>2007</v>
      </c>
      <c r="N388" s="12" t="s">
        <v>2272</v>
      </c>
      <c r="O388" s="87" t="s">
        <v>66</v>
      </c>
      <c r="P388" s="5" t="s">
        <v>5181</v>
      </c>
      <c r="Q388" s="4" t="s">
        <v>2420</v>
      </c>
    </row>
    <row r="389" spans="1:17" ht="43" customHeight="1">
      <c r="A389" s="31">
        <v>76</v>
      </c>
      <c r="B389" s="37" t="s">
        <v>1069</v>
      </c>
      <c r="C389" s="11" t="s">
        <v>1068</v>
      </c>
      <c r="D389" s="11" t="s">
        <v>2393</v>
      </c>
      <c r="E389" s="19" t="s">
        <v>2395</v>
      </c>
      <c r="F389" s="4" t="s">
        <v>1070</v>
      </c>
      <c r="G389" s="4" t="s">
        <v>1047</v>
      </c>
      <c r="H389" s="4" t="s">
        <v>112</v>
      </c>
      <c r="I389" s="21">
        <v>21.975999999999999</v>
      </c>
      <c r="J389" s="21">
        <v>100.86199999999999</v>
      </c>
      <c r="K389" s="21" t="s">
        <v>2272</v>
      </c>
      <c r="L389" s="3">
        <v>2007</v>
      </c>
      <c r="M389" s="3">
        <v>2007</v>
      </c>
      <c r="N389" s="3" t="s">
        <v>2272</v>
      </c>
      <c r="O389" s="3" t="s">
        <v>181</v>
      </c>
      <c r="P389" s="5" t="s">
        <v>5181</v>
      </c>
      <c r="Q389" s="4" t="s">
        <v>2286</v>
      </c>
    </row>
    <row r="390" spans="1:17" ht="45.5" customHeight="1">
      <c r="A390" s="31">
        <v>76</v>
      </c>
      <c r="B390" s="37" t="s">
        <v>1069</v>
      </c>
      <c r="C390" s="11" t="s">
        <v>1072</v>
      </c>
      <c r="D390" s="11" t="s">
        <v>2393</v>
      </c>
      <c r="E390" s="19" t="s">
        <v>2395</v>
      </c>
      <c r="F390" s="4" t="s">
        <v>1070</v>
      </c>
      <c r="G390" s="4" t="s">
        <v>1047</v>
      </c>
      <c r="H390" s="4" t="s">
        <v>112</v>
      </c>
      <c r="I390" s="21">
        <v>21.975999999999999</v>
      </c>
      <c r="J390" s="21">
        <v>100.86199999999999</v>
      </c>
      <c r="K390" s="21" t="s">
        <v>2272</v>
      </c>
      <c r="L390" s="3">
        <v>1993</v>
      </c>
      <c r="M390" s="3">
        <v>1993</v>
      </c>
      <c r="N390" s="3" t="s">
        <v>2272</v>
      </c>
      <c r="O390" s="3" t="s">
        <v>181</v>
      </c>
      <c r="P390" s="5" t="s">
        <v>5181</v>
      </c>
      <c r="Q390" s="4" t="s">
        <v>2286</v>
      </c>
    </row>
    <row r="391" spans="1:17" ht="37" customHeight="1">
      <c r="A391" s="31">
        <v>77</v>
      </c>
      <c r="B391" s="37" t="s">
        <v>1096</v>
      </c>
      <c r="C391" s="11" t="s">
        <v>1082</v>
      </c>
      <c r="D391" s="11" t="s">
        <v>2393</v>
      </c>
      <c r="E391" s="19" t="s">
        <v>2419</v>
      </c>
      <c r="F391" s="3" t="s">
        <v>2272</v>
      </c>
      <c r="G391" s="3" t="s">
        <v>2272</v>
      </c>
      <c r="H391" s="3" t="s">
        <v>383</v>
      </c>
      <c r="I391" s="246">
        <v>-6</v>
      </c>
      <c r="J391" s="246">
        <v>34.5</v>
      </c>
      <c r="K391" s="246" t="s">
        <v>2272</v>
      </c>
      <c r="L391" s="3">
        <v>1975</v>
      </c>
      <c r="M391" s="3">
        <v>2006</v>
      </c>
      <c r="N391" s="3" t="s">
        <v>2272</v>
      </c>
      <c r="O391" s="4" t="s">
        <v>66</v>
      </c>
      <c r="P391" s="5" t="s">
        <v>5181</v>
      </c>
      <c r="Q391" s="3" t="s">
        <v>11569</v>
      </c>
    </row>
    <row r="392" spans="1:17" ht="33" customHeight="1">
      <c r="A392" s="31">
        <v>78</v>
      </c>
      <c r="B392" s="38" t="s">
        <v>1116</v>
      </c>
      <c r="C392" s="11" t="s">
        <v>1095</v>
      </c>
      <c r="D392" s="11" t="s">
        <v>2393</v>
      </c>
      <c r="E392" s="3" t="s">
        <v>2394</v>
      </c>
      <c r="F392" s="4" t="s">
        <v>1097</v>
      </c>
      <c r="G392" s="3" t="s">
        <v>2272</v>
      </c>
      <c r="H392" s="3" t="s">
        <v>1049</v>
      </c>
      <c r="I392" s="21">
        <v>15.608643199999999</v>
      </c>
      <c r="J392" s="21">
        <v>99.320847999999998</v>
      </c>
      <c r="K392" s="21" t="s">
        <v>2272</v>
      </c>
      <c r="L392" s="3">
        <v>1988</v>
      </c>
      <c r="M392" s="3">
        <v>2000</v>
      </c>
      <c r="N392" s="3" t="s">
        <v>2272</v>
      </c>
      <c r="O392" s="4" t="s">
        <v>66</v>
      </c>
      <c r="P392" s="5" t="s">
        <v>5181</v>
      </c>
      <c r="Q392" s="3"/>
    </row>
    <row r="393" spans="1:17" ht="40" customHeight="1">
      <c r="A393" s="31">
        <v>79</v>
      </c>
      <c r="B393" s="38" t="s">
        <v>2326</v>
      </c>
      <c r="C393" s="23" t="s">
        <v>1114</v>
      </c>
      <c r="D393" s="11" t="s">
        <v>2393</v>
      </c>
      <c r="E393" s="3" t="s">
        <v>2394</v>
      </c>
      <c r="F393" s="22" t="s">
        <v>1117</v>
      </c>
      <c r="G393" s="22" t="s">
        <v>1119</v>
      </c>
      <c r="H393" s="22" t="s">
        <v>892</v>
      </c>
      <c r="I393" s="73">
        <v>-2.7517865000000001</v>
      </c>
      <c r="J393" s="73">
        <v>105.4245785</v>
      </c>
      <c r="K393" s="73">
        <v>280</v>
      </c>
      <c r="L393" s="22">
        <v>2002</v>
      </c>
      <c r="M393" s="22">
        <v>2003</v>
      </c>
      <c r="N393" s="22">
        <v>12</v>
      </c>
      <c r="O393" s="22" t="s">
        <v>66</v>
      </c>
      <c r="P393" s="5" t="s">
        <v>5181</v>
      </c>
      <c r="Q393" s="9"/>
    </row>
    <row r="394" spans="1:17" ht="37" customHeight="1">
      <c r="A394" s="31">
        <v>79</v>
      </c>
      <c r="B394" s="38" t="s">
        <v>2326</v>
      </c>
      <c r="C394" s="23" t="s">
        <v>1115</v>
      </c>
      <c r="D394" s="11" t="s">
        <v>2393</v>
      </c>
      <c r="E394" s="3" t="s">
        <v>2394</v>
      </c>
      <c r="F394" s="22" t="s">
        <v>1118</v>
      </c>
      <c r="G394" s="22" t="s">
        <v>1120</v>
      </c>
      <c r="H394" s="22" t="s">
        <v>892</v>
      </c>
      <c r="I394" s="73">
        <v>-3.9740739999999999</v>
      </c>
      <c r="J394" s="73">
        <v>105.403779</v>
      </c>
      <c r="K394" s="73">
        <f>(69+166)</f>
        <v>235</v>
      </c>
      <c r="L394" s="22">
        <v>2002</v>
      </c>
      <c r="M394" s="22">
        <v>2003</v>
      </c>
      <c r="N394" s="22">
        <v>25</v>
      </c>
      <c r="O394" s="22" t="s">
        <v>66</v>
      </c>
      <c r="P394" s="5" t="s">
        <v>5181</v>
      </c>
      <c r="Q394" s="9"/>
    </row>
    <row r="395" spans="1:17" ht="35.5" customHeight="1">
      <c r="A395" s="31">
        <v>80</v>
      </c>
      <c r="B395" s="37" t="s">
        <v>1121</v>
      </c>
      <c r="C395" s="11" t="s">
        <v>1122</v>
      </c>
      <c r="D395" s="11" t="s">
        <v>2393</v>
      </c>
      <c r="E395" s="3" t="s">
        <v>2394</v>
      </c>
      <c r="F395" s="3" t="s">
        <v>1123</v>
      </c>
      <c r="G395" s="3" t="s">
        <v>2272</v>
      </c>
      <c r="H395" s="3" t="s">
        <v>119</v>
      </c>
      <c r="I395" s="21">
        <v>-7.7858909000000001</v>
      </c>
      <c r="J395" s="21">
        <v>-51.979496300000001</v>
      </c>
      <c r="K395" s="21" t="s">
        <v>2272</v>
      </c>
      <c r="L395" s="3">
        <v>1989</v>
      </c>
      <c r="M395" s="3">
        <v>1989</v>
      </c>
      <c r="N395" s="3" t="s">
        <v>2272</v>
      </c>
      <c r="O395" s="4" t="s">
        <v>66</v>
      </c>
      <c r="P395" s="5" t="s">
        <v>5181</v>
      </c>
      <c r="Q395" s="3"/>
    </row>
    <row r="396" spans="1:17" ht="42" customHeight="1">
      <c r="A396" s="31">
        <v>81</v>
      </c>
      <c r="B396" s="53" t="s">
        <v>1133</v>
      </c>
      <c r="C396" s="23" t="s">
        <v>1132</v>
      </c>
      <c r="D396" s="11" t="s">
        <v>2393</v>
      </c>
      <c r="E396" s="19" t="s">
        <v>2419</v>
      </c>
      <c r="F396" s="23" t="s">
        <v>2272</v>
      </c>
      <c r="G396" s="23" t="s">
        <v>1134</v>
      </c>
      <c r="H396" s="23" t="s">
        <v>119</v>
      </c>
      <c r="I396" s="246">
        <v>-4</v>
      </c>
      <c r="J396" s="246">
        <v>-60</v>
      </c>
      <c r="K396" s="246" t="s">
        <v>2272</v>
      </c>
      <c r="L396" s="23">
        <v>1980</v>
      </c>
      <c r="M396" s="23">
        <v>2000</v>
      </c>
      <c r="N396" s="23" t="s">
        <v>2272</v>
      </c>
      <c r="O396" s="23" t="s">
        <v>147</v>
      </c>
      <c r="P396" s="5" t="s">
        <v>5181</v>
      </c>
      <c r="Q396" s="26" t="s">
        <v>11570</v>
      </c>
    </row>
    <row r="397" spans="1:17" ht="45.5" customHeight="1">
      <c r="A397" s="31">
        <v>82</v>
      </c>
      <c r="B397" s="53" t="s">
        <v>1133</v>
      </c>
      <c r="C397" s="23" t="s">
        <v>1138</v>
      </c>
      <c r="D397" s="11" t="s">
        <v>2393</v>
      </c>
      <c r="E397" s="19" t="s">
        <v>2419</v>
      </c>
      <c r="F397" s="22" t="s">
        <v>2272</v>
      </c>
      <c r="G397" s="22" t="s">
        <v>2272</v>
      </c>
      <c r="H397" s="22" t="s">
        <v>1139</v>
      </c>
      <c r="I397" s="246">
        <v>8</v>
      </c>
      <c r="J397" s="246">
        <v>-1</v>
      </c>
      <c r="K397" s="246">
        <v>238535</v>
      </c>
      <c r="L397" s="22">
        <v>1985</v>
      </c>
      <c r="M397" s="22">
        <v>2000</v>
      </c>
      <c r="N397" s="22" t="s">
        <v>2272</v>
      </c>
      <c r="O397" s="23" t="s">
        <v>147</v>
      </c>
      <c r="P397" s="5" t="s">
        <v>5181</v>
      </c>
      <c r="Q397" s="26" t="s">
        <v>11570</v>
      </c>
    </row>
    <row r="398" spans="1:17" ht="46" customHeight="1">
      <c r="A398" s="31">
        <v>82</v>
      </c>
      <c r="B398" s="53" t="s">
        <v>1133</v>
      </c>
      <c r="C398" s="23" t="s">
        <v>1151</v>
      </c>
      <c r="D398" s="11" t="s">
        <v>2393</v>
      </c>
      <c r="E398" s="19" t="s">
        <v>2419</v>
      </c>
      <c r="F398" s="22" t="s">
        <v>2272</v>
      </c>
      <c r="G398" s="22" t="s">
        <v>2272</v>
      </c>
      <c r="H398" s="23" t="s">
        <v>886</v>
      </c>
      <c r="I398" s="246">
        <v>8.5</v>
      </c>
      <c r="J398" s="246">
        <v>-12</v>
      </c>
      <c r="K398" s="246">
        <v>71740</v>
      </c>
      <c r="L398" s="22">
        <v>1991</v>
      </c>
      <c r="M398" s="22">
        <v>2000</v>
      </c>
      <c r="N398" s="22" t="s">
        <v>2272</v>
      </c>
      <c r="O398" s="23" t="s">
        <v>147</v>
      </c>
      <c r="P398" s="5" t="s">
        <v>5181</v>
      </c>
      <c r="Q398" s="26" t="s">
        <v>11570</v>
      </c>
    </row>
    <row r="399" spans="1:17" ht="50" customHeight="1">
      <c r="A399" s="31">
        <v>82</v>
      </c>
      <c r="B399" s="53" t="s">
        <v>1133</v>
      </c>
      <c r="C399" s="23" t="s">
        <v>1155</v>
      </c>
      <c r="D399" s="11" t="s">
        <v>2393</v>
      </c>
      <c r="E399" s="19" t="s">
        <v>2419</v>
      </c>
      <c r="F399" s="22" t="s">
        <v>2272</v>
      </c>
      <c r="G399" s="22" t="s">
        <v>2272</v>
      </c>
      <c r="H399" s="23" t="s">
        <v>1142</v>
      </c>
      <c r="I399" s="246">
        <v>6.5</v>
      </c>
      <c r="J399" s="246">
        <v>-9.5</v>
      </c>
      <c r="K399" s="246">
        <v>111369</v>
      </c>
      <c r="L399" s="22">
        <v>1989</v>
      </c>
      <c r="M399" s="22">
        <v>1997</v>
      </c>
      <c r="N399" s="22" t="s">
        <v>2272</v>
      </c>
      <c r="O399" s="23" t="s">
        <v>147</v>
      </c>
      <c r="P399" s="5" t="s">
        <v>5181</v>
      </c>
      <c r="Q399" s="26" t="s">
        <v>11570</v>
      </c>
    </row>
    <row r="400" spans="1:17" ht="55.5" customHeight="1">
      <c r="A400" s="31">
        <v>83</v>
      </c>
      <c r="B400" s="37" t="s">
        <v>1150</v>
      </c>
      <c r="C400" s="23" t="s">
        <v>1140</v>
      </c>
      <c r="D400" s="11" t="s">
        <v>2393</v>
      </c>
      <c r="E400" s="3" t="s">
        <v>2632</v>
      </c>
      <c r="F400" s="3" t="s">
        <v>2290</v>
      </c>
      <c r="G400" s="3" t="s">
        <v>164</v>
      </c>
      <c r="H400" s="3" t="s">
        <v>119</v>
      </c>
      <c r="I400" s="21">
        <v>-5.4302159999999997</v>
      </c>
      <c r="J400" s="21">
        <v>-49.030130399999997</v>
      </c>
      <c r="K400" s="21" t="s">
        <v>2272</v>
      </c>
      <c r="L400" s="3">
        <v>1997</v>
      </c>
      <c r="M400" s="3">
        <v>1997</v>
      </c>
      <c r="N400" s="3" t="s">
        <v>2272</v>
      </c>
      <c r="O400" s="4" t="s">
        <v>66</v>
      </c>
      <c r="P400" s="5" t="s">
        <v>5181</v>
      </c>
      <c r="Q400" s="4" t="s">
        <v>2424</v>
      </c>
    </row>
    <row r="401" spans="1:17" ht="38" customHeight="1">
      <c r="A401" s="31">
        <v>84</v>
      </c>
      <c r="B401" s="53" t="s">
        <v>1161</v>
      </c>
      <c r="C401" s="23" t="s">
        <v>1141</v>
      </c>
      <c r="D401" s="11" t="s">
        <v>2393</v>
      </c>
      <c r="E401" s="3" t="s">
        <v>2394</v>
      </c>
      <c r="F401" s="3" t="s">
        <v>1573</v>
      </c>
      <c r="G401" s="3" t="s">
        <v>1572</v>
      </c>
      <c r="H401" s="11" t="s">
        <v>119</v>
      </c>
      <c r="I401" s="21">
        <v>2.8227690926962898</v>
      </c>
      <c r="J401" s="21">
        <v>-60.699479422120802</v>
      </c>
      <c r="K401" s="21" t="s">
        <v>2272</v>
      </c>
      <c r="L401" s="3">
        <v>1996</v>
      </c>
      <c r="M401" s="3">
        <v>1997</v>
      </c>
      <c r="N401" s="3" t="s">
        <v>2272</v>
      </c>
      <c r="O401" s="4" t="s">
        <v>66</v>
      </c>
      <c r="P401" s="5" t="s">
        <v>5181</v>
      </c>
      <c r="Q401" s="3"/>
    </row>
    <row r="402" spans="1:17" ht="38" customHeight="1">
      <c r="A402" s="31">
        <v>84</v>
      </c>
      <c r="B402" s="53" t="s">
        <v>1161</v>
      </c>
      <c r="C402" s="23" t="s">
        <v>1499</v>
      </c>
      <c r="D402" s="11" t="s">
        <v>2393</v>
      </c>
      <c r="E402" s="3" t="s">
        <v>2394</v>
      </c>
      <c r="F402" s="3" t="s">
        <v>1574</v>
      </c>
      <c r="G402" s="3" t="s">
        <v>1572</v>
      </c>
      <c r="H402" s="11" t="s">
        <v>119</v>
      </c>
      <c r="I402" s="21">
        <v>-0.15659321164347501</v>
      </c>
      <c r="J402" s="21">
        <v>-50.392857142857203</v>
      </c>
      <c r="K402" s="21" t="s">
        <v>2272</v>
      </c>
      <c r="L402" s="3">
        <v>1996</v>
      </c>
      <c r="M402" s="3">
        <v>1997</v>
      </c>
      <c r="N402" s="3" t="s">
        <v>2272</v>
      </c>
      <c r="O402" s="4" t="s">
        <v>1</v>
      </c>
      <c r="P402" s="5" t="s">
        <v>5181</v>
      </c>
      <c r="Q402" s="3"/>
    </row>
    <row r="403" spans="1:17" ht="38" customHeight="1">
      <c r="A403" s="31">
        <v>84</v>
      </c>
      <c r="B403" s="53" t="s">
        <v>1161</v>
      </c>
      <c r="C403" s="23" t="s">
        <v>1500</v>
      </c>
      <c r="D403" s="11" t="s">
        <v>2393</v>
      </c>
      <c r="E403" s="3" t="s">
        <v>2394</v>
      </c>
      <c r="F403" s="3" t="s">
        <v>1575</v>
      </c>
      <c r="G403" s="3" t="s">
        <v>1572</v>
      </c>
      <c r="H403" s="11" t="s">
        <v>119</v>
      </c>
      <c r="I403" s="21">
        <v>-0.11488087586178</v>
      </c>
      <c r="J403" s="21">
        <v>-51.289595382528397</v>
      </c>
      <c r="K403" s="21" t="s">
        <v>2272</v>
      </c>
      <c r="L403" s="3">
        <v>1996</v>
      </c>
      <c r="M403" s="3">
        <v>1997</v>
      </c>
      <c r="N403" s="3" t="s">
        <v>2272</v>
      </c>
      <c r="O403" s="4" t="s">
        <v>1</v>
      </c>
      <c r="P403" s="5" t="s">
        <v>5181</v>
      </c>
      <c r="Q403" s="3"/>
    </row>
    <row r="404" spans="1:17" ht="38" customHeight="1">
      <c r="A404" s="31">
        <v>84</v>
      </c>
      <c r="B404" s="53" t="s">
        <v>1161</v>
      </c>
      <c r="C404" s="23" t="s">
        <v>1501</v>
      </c>
      <c r="D404" s="11" t="s">
        <v>2393</v>
      </c>
      <c r="E404" s="3" t="s">
        <v>2394</v>
      </c>
      <c r="F404" s="3" t="s">
        <v>1576</v>
      </c>
      <c r="G404" s="3" t="s">
        <v>1572</v>
      </c>
      <c r="H404" s="11" t="s">
        <v>119</v>
      </c>
      <c r="I404" s="21">
        <v>-3.9879770070593699E-2</v>
      </c>
      <c r="J404" s="21">
        <v>-51.172014628807197</v>
      </c>
      <c r="K404" s="21" t="s">
        <v>2272</v>
      </c>
      <c r="L404" s="3">
        <v>1996</v>
      </c>
      <c r="M404" s="3">
        <v>1997</v>
      </c>
      <c r="N404" s="3" t="s">
        <v>2272</v>
      </c>
      <c r="O404" s="4" t="s">
        <v>1</v>
      </c>
      <c r="P404" s="5" t="s">
        <v>5181</v>
      </c>
      <c r="Q404" s="3"/>
    </row>
    <row r="405" spans="1:17" ht="38" customHeight="1">
      <c r="A405" s="31">
        <v>84</v>
      </c>
      <c r="B405" s="53" t="s">
        <v>1161</v>
      </c>
      <c r="C405" s="23" t="s">
        <v>1502</v>
      </c>
      <c r="D405" s="11" t="s">
        <v>2393</v>
      </c>
      <c r="E405" s="3" t="s">
        <v>2394</v>
      </c>
      <c r="F405" s="3" t="s">
        <v>1577</v>
      </c>
      <c r="G405" s="3" t="s">
        <v>1572</v>
      </c>
      <c r="H405" s="11" t="s">
        <v>119</v>
      </c>
      <c r="I405" s="21">
        <v>-1.9412561810791</v>
      </c>
      <c r="J405" s="21">
        <v>-50.811181091372099</v>
      </c>
      <c r="K405" s="21" t="s">
        <v>2272</v>
      </c>
      <c r="L405" s="3">
        <v>1996</v>
      </c>
      <c r="M405" s="3">
        <v>1997</v>
      </c>
      <c r="N405" s="3" t="s">
        <v>2272</v>
      </c>
      <c r="O405" s="4" t="s">
        <v>1</v>
      </c>
      <c r="P405" s="5" t="s">
        <v>5181</v>
      </c>
      <c r="Q405" s="3"/>
    </row>
    <row r="406" spans="1:17" ht="38" customHeight="1">
      <c r="A406" s="31">
        <v>84</v>
      </c>
      <c r="B406" s="53" t="s">
        <v>1161</v>
      </c>
      <c r="C406" s="23" t="s">
        <v>1503</v>
      </c>
      <c r="D406" s="11" t="s">
        <v>2393</v>
      </c>
      <c r="E406" s="3" t="s">
        <v>2394</v>
      </c>
      <c r="F406" s="3" t="s">
        <v>1578</v>
      </c>
      <c r="G406" s="3" t="s">
        <v>1572</v>
      </c>
      <c r="H406" s="11" t="s">
        <v>119</v>
      </c>
      <c r="I406" s="21">
        <v>-1.8035310756504599</v>
      </c>
      <c r="J406" s="21">
        <v>-50.715273008241802</v>
      </c>
      <c r="K406" s="21" t="s">
        <v>2272</v>
      </c>
      <c r="L406" s="3">
        <v>1996</v>
      </c>
      <c r="M406" s="3">
        <v>1997</v>
      </c>
      <c r="N406" s="3" t="s">
        <v>2272</v>
      </c>
      <c r="O406" s="4" t="s">
        <v>1</v>
      </c>
      <c r="P406" s="5" t="s">
        <v>5181</v>
      </c>
      <c r="Q406" s="3"/>
    </row>
    <row r="407" spans="1:17" ht="38" customHeight="1">
      <c r="A407" s="31">
        <v>84</v>
      </c>
      <c r="B407" s="53" t="s">
        <v>1161</v>
      </c>
      <c r="C407" s="23" t="s">
        <v>1504</v>
      </c>
      <c r="D407" s="11" t="s">
        <v>2393</v>
      </c>
      <c r="E407" s="3" t="s">
        <v>2394</v>
      </c>
      <c r="F407" s="3" t="s">
        <v>1579</v>
      </c>
      <c r="G407" s="3" t="s">
        <v>1572</v>
      </c>
      <c r="H407" s="11" t="s">
        <v>119</v>
      </c>
      <c r="I407" s="21">
        <v>-2.0051280172137398</v>
      </c>
      <c r="J407" s="21">
        <v>-49.859546703296701</v>
      </c>
      <c r="K407" s="21" t="s">
        <v>2272</v>
      </c>
      <c r="L407" s="3">
        <v>1996</v>
      </c>
      <c r="M407" s="3">
        <v>1997</v>
      </c>
      <c r="N407" s="3" t="s">
        <v>2272</v>
      </c>
      <c r="O407" s="4" t="s">
        <v>1</v>
      </c>
      <c r="P407" s="5" t="s">
        <v>5181</v>
      </c>
      <c r="Q407" s="3"/>
    </row>
    <row r="408" spans="1:17" ht="38" customHeight="1">
      <c r="A408" s="31">
        <v>84</v>
      </c>
      <c r="B408" s="53" t="s">
        <v>1161</v>
      </c>
      <c r="C408" s="23" t="s">
        <v>1505</v>
      </c>
      <c r="D408" s="11" t="s">
        <v>2393</v>
      </c>
      <c r="E408" s="3" t="s">
        <v>2394</v>
      </c>
      <c r="F408" s="3" t="s">
        <v>1580</v>
      </c>
      <c r="G408" s="3" t="s">
        <v>1572</v>
      </c>
      <c r="H408" s="11" t="s">
        <v>119</v>
      </c>
      <c r="I408" s="21">
        <v>-2.2482691774738002</v>
      </c>
      <c r="J408" s="21">
        <v>-49.5080418152153</v>
      </c>
      <c r="K408" s="21" t="s">
        <v>2272</v>
      </c>
      <c r="L408" s="3">
        <v>1996</v>
      </c>
      <c r="M408" s="3">
        <v>1997</v>
      </c>
      <c r="N408" s="3" t="s">
        <v>2272</v>
      </c>
      <c r="O408" s="4" t="s">
        <v>1</v>
      </c>
      <c r="P408" s="5" t="s">
        <v>5181</v>
      </c>
      <c r="Q408" s="3"/>
    </row>
    <row r="409" spans="1:17" ht="38" customHeight="1">
      <c r="A409" s="31">
        <v>84</v>
      </c>
      <c r="B409" s="53" t="s">
        <v>1161</v>
      </c>
      <c r="C409" s="23" t="s">
        <v>1506</v>
      </c>
      <c r="D409" s="11" t="s">
        <v>2393</v>
      </c>
      <c r="E409" s="3" t="s">
        <v>2394</v>
      </c>
      <c r="F409" s="3" t="s">
        <v>1581</v>
      </c>
      <c r="G409" s="3" t="s">
        <v>1572</v>
      </c>
      <c r="H409" s="11" t="s">
        <v>119</v>
      </c>
      <c r="I409" s="21">
        <v>-2.4372263652139798</v>
      </c>
      <c r="J409" s="21">
        <v>-54.708240186849501</v>
      </c>
      <c r="K409" s="21" t="s">
        <v>2272</v>
      </c>
      <c r="L409" s="3">
        <v>1996</v>
      </c>
      <c r="M409" s="3">
        <v>1997</v>
      </c>
      <c r="N409" s="3" t="s">
        <v>2272</v>
      </c>
      <c r="O409" s="4" t="s">
        <v>1</v>
      </c>
      <c r="P409" s="5" t="s">
        <v>5181</v>
      </c>
      <c r="Q409" s="3"/>
    </row>
    <row r="410" spans="1:17" ht="38" customHeight="1">
      <c r="A410" s="31">
        <v>84</v>
      </c>
      <c r="B410" s="53" t="s">
        <v>1161</v>
      </c>
      <c r="C410" s="23" t="s">
        <v>1507</v>
      </c>
      <c r="D410" s="11" t="s">
        <v>2393</v>
      </c>
      <c r="E410" s="3" t="s">
        <v>2394</v>
      </c>
      <c r="F410" s="3" t="s">
        <v>1582</v>
      </c>
      <c r="G410" s="3" t="s">
        <v>1572</v>
      </c>
      <c r="H410" s="11" t="s">
        <v>119</v>
      </c>
      <c r="I410" s="21">
        <v>-1.2964209572181999</v>
      </c>
      <c r="J410" s="21">
        <v>-47.9187843406593</v>
      </c>
      <c r="K410" s="21" t="s">
        <v>2272</v>
      </c>
      <c r="L410" s="3">
        <v>1996</v>
      </c>
      <c r="M410" s="3">
        <v>1997</v>
      </c>
      <c r="N410" s="3" t="s">
        <v>2272</v>
      </c>
      <c r="O410" s="4" t="s">
        <v>1</v>
      </c>
      <c r="P410" s="5" t="s">
        <v>5181</v>
      </c>
      <c r="Q410" s="3"/>
    </row>
    <row r="411" spans="1:17" ht="38" customHeight="1">
      <c r="A411" s="31">
        <v>84</v>
      </c>
      <c r="B411" s="53" t="s">
        <v>1161</v>
      </c>
      <c r="C411" s="23" t="s">
        <v>1508</v>
      </c>
      <c r="D411" s="11" t="s">
        <v>2393</v>
      </c>
      <c r="E411" s="3" t="s">
        <v>2394</v>
      </c>
      <c r="F411" s="3" t="s">
        <v>1583</v>
      </c>
      <c r="G411" s="3" t="s">
        <v>1572</v>
      </c>
      <c r="H411" s="11" t="s">
        <v>119</v>
      </c>
      <c r="I411" s="21">
        <v>-1.51825892927523</v>
      </c>
      <c r="J411" s="21">
        <v>-48.0370235233516</v>
      </c>
      <c r="K411" s="21" t="s">
        <v>2272</v>
      </c>
      <c r="L411" s="3">
        <v>1996</v>
      </c>
      <c r="M411" s="3">
        <v>1997</v>
      </c>
      <c r="N411" s="3" t="s">
        <v>2272</v>
      </c>
      <c r="O411" s="4" t="s">
        <v>1</v>
      </c>
      <c r="P411" s="5" t="s">
        <v>5181</v>
      </c>
      <c r="Q411" s="3"/>
    </row>
    <row r="412" spans="1:17" ht="38" customHeight="1">
      <c r="A412" s="31">
        <v>84</v>
      </c>
      <c r="B412" s="53" t="s">
        <v>1161</v>
      </c>
      <c r="C412" s="23" t="s">
        <v>1509</v>
      </c>
      <c r="D412" s="11" t="s">
        <v>2393</v>
      </c>
      <c r="E412" s="3" t="s">
        <v>2394</v>
      </c>
      <c r="F412" s="3" t="s">
        <v>1584</v>
      </c>
      <c r="G412" s="3" t="s">
        <v>1572</v>
      </c>
      <c r="H412" s="11" t="s">
        <v>119</v>
      </c>
      <c r="I412" s="21">
        <v>-1.20171867626732</v>
      </c>
      <c r="J412" s="21">
        <v>-47.180006507799398</v>
      </c>
      <c r="K412" s="21" t="s">
        <v>2272</v>
      </c>
      <c r="L412" s="3">
        <v>1996</v>
      </c>
      <c r="M412" s="3">
        <v>1997</v>
      </c>
      <c r="N412" s="3" t="s">
        <v>2272</v>
      </c>
      <c r="O412" s="4" t="s">
        <v>1</v>
      </c>
      <c r="P412" s="5" t="s">
        <v>5181</v>
      </c>
      <c r="Q412" s="3"/>
    </row>
    <row r="413" spans="1:17" ht="38" customHeight="1">
      <c r="A413" s="31">
        <v>84</v>
      </c>
      <c r="B413" s="53" t="s">
        <v>1161</v>
      </c>
      <c r="C413" s="23" t="s">
        <v>1510</v>
      </c>
      <c r="D413" s="11" t="s">
        <v>2393</v>
      </c>
      <c r="E413" s="3" t="s">
        <v>2394</v>
      </c>
      <c r="F413" s="3" t="s">
        <v>1585</v>
      </c>
      <c r="G413" s="3" t="s">
        <v>1572</v>
      </c>
      <c r="H413" s="11" t="s">
        <v>119</v>
      </c>
      <c r="I413" s="21">
        <v>-3.0054872830583501</v>
      </c>
      <c r="J413" s="21">
        <v>-47.376126520306698</v>
      </c>
      <c r="K413" s="21" t="s">
        <v>2272</v>
      </c>
      <c r="L413" s="3">
        <v>1996</v>
      </c>
      <c r="M413" s="3">
        <v>1997</v>
      </c>
      <c r="N413" s="3" t="s">
        <v>2272</v>
      </c>
      <c r="O413" s="4" t="s">
        <v>1</v>
      </c>
      <c r="P413" s="5" t="s">
        <v>5181</v>
      </c>
      <c r="Q413" s="3"/>
    </row>
    <row r="414" spans="1:17" ht="38" customHeight="1">
      <c r="A414" s="31">
        <v>84</v>
      </c>
      <c r="B414" s="53" t="s">
        <v>1161</v>
      </c>
      <c r="C414" s="23" t="s">
        <v>1511</v>
      </c>
      <c r="D414" s="11" t="s">
        <v>2393</v>
      </c>
      <c r="E414" s="3" t="s">
        <v>2394</v>
      </c>
      <c r="F414" s="3" t="s">
        <v>1586</v>
      </c>
      <c r="G414" s="3" t="s">
        <v>1572</v>
      </c>
      <c r="H414" s="11" t="s">
        <v>119</v>
      </c>
      <c r="I414" s="21">
        <v>-2.9382717004654499</v>
      </c>
      <c r="J414" s="21">
        <v>-48.950892857142897</v>
      </c>
      <c r="K414" s="21" t="s">
        <v>2272</v>
      </c>
      <c r="L414" s="3">
        <v>1996</v>
      </c>
      <c r="M414" s="3">
        <v>1997</v>
      </c>
      <c r="N414" s="3" t="s">
        <v>2272</v>
      </c>
      <c r="O414" s="4" t="s">
        <v>1</v>
      </c>
      <c r="P414" s="5" t="s">
        <v>5181</v>
      </c>
      <c r="Q414" s="3"/>
    </row>
    <row r="415" spans="1:17" ht="38" customHeight="1">
      <c r="A415" s="31">
        <v>84</v>
      </c>
      <c r="B415" s="53" t="s">
        <v>1161</v>
      </c>
      <c r="C415" s="23" t="s">
        <v>1512</v>
      </c>
      <c r="D415" s="11" t="s">
        <v>2393</v>
      </c>
      <c r="E415" s="3" t="s">
        <v>2394</v>
      </c>
      <c r="F415" s="3" t="s">
        <v>1587</v>
      </c>
      <c r="G415" s="3" t="s">
        <v>1572</v>
      </c>
      <c r="H415" s="11" t="s">
        <v>119</v>
      </c>
      <c r="I415" s="21">
        <v>-3.76600100718727</v>
      </c>
      <c r="J415" s="21">
        <v>-49.677712912087898</v>
      </c>
      <c r="K415" s="21" t="s">
        <v>2272</v>
      </c>
      <c r="L415" s="3">
        <v>1996</v>
      </c>
      <c r="M415" s="3">
        <v>1997</v>
      </c>
      <c r="N415" s="3" t="s">
        <v>2272</v>
      </c>
      <c r="O415" s="4" t="s">
        <v>1</v>
      </c>
      <c r="P415" s="5" t="s">
        <v>5181</v>
      </c>
      <c r="Q415" s="3"/>
    </row>
    <row r="416" spans="1:17" ht="38" customHeight="1">
      <c r="A416" s="31">
        <v>84</v>
      </c>
      <c r="B416" s="53" t="s">
        <v>1161</v>
      </c>
      <c r="C416" s="23" t="s">
        <v>1513</v>
      </c>
      <c r="D416" s="11" t="s">
        <v>2393</v>
      </c>
      <c r="E416" s="3" t="s">
        <v>2394</v>
      </c>
      <c r="F416" s="3" t="s">
        <v>1588</v>
      </c>
      <c r="G416" s="3" t="s">
        <v>1572</v>
      </c>
      <c r="H416" s="11" t="s">
        <v>119</v>
      </c>
      <c r="I416" s="21">
        <v>-3.8440359757502902</v>
      </c>
      <c r="J416" s="21">
        <v>-49.098394758982998</v>
      </c>
      <c r="K416" s="21" t="s">
        <v>2272</v>
      </c>
      <c r="L416" s="3">
        <v>1996</v>
      </c>
      <c r="M416" s="3">
        <v>1997</v>
      </c>
      <c r="N416" s="3" t="s">
        <v>2272</v>
      </c>
      <c r="O416" s="4" t="s">
        <v>1</v>
      </c>
      <c r="P416" s="5" t="s">
        <v>5181</v>
      </c>
      <c r="Q416" s="3"/>
    </row>
    <row r="417" spans="1:17" ht="38" customHeight="1">
      <c r="A417" s="31">
        <v>84</v>
      </c>
      <c r="B417" s="53" t="s">
        <v>1161</v>
      </c>
      <c r="C417" s="23" t="s">
        <v>1514</v>
      </c>
      <c r="D417" s="11" t="s">
        <v>2393</v>
      </c>
      <c r="E417" s="3" t="s">
        <v>2394</v>
      </c>
      <c r="F417" s="3" t="s">
        <v>1589</v>
      </c>
      <c r="G417" s="3" t="s">
        <v>1572</v>
      </c>
      <c r="H417" s="11" t="s">
        <v>119</v>
      </c>
      <c r="I417" s="21">
        <v>-4.4430925275499202</v>
      </c>
      <c r="J417" s="21">
        <v>-49.115378511022598</v>
      </c>
      <c r="K417" s="21" t="s">
        <v>2272</v>
      </c>
      <c r="L417" s="3">
        <v>1996</v>
      </c>
      <c r="M417" s="3">
        <v>1997</v>
      </c>
      <c r="N417" s="3" t="s">
        <v>2272</v>
      </c>
      <c r="O417" s="4" t="s">
        <v>1</v>
      </c>
      <c r="P417" s="5" t="s">
        <v>5181</v>
      </c>
      <c r="Q417" s="3"/>
    </row>
    <row r="418" spans="1:17" ht="38" customHeight="1">
      <c r="A418" s="31">
        <v>84</v>
      </c>
      <c r="B418" s="53" t="s">
        <v>1161</v>
      </c>
      <c r="C418" s="23" t="s">
        <v>1515</v>
      </c>
      <c r="D418" s="11" t="s">
        <v>2393</v>
      </c>
      <c r="E418" s="3" t="s">
        <v>2394</v>
      </c>
      <c r="F418" s="3" t="s">
        <v>1590</v>
      </c>
      <c r="G418" s="3" t="s">
        <v>1572</v>
      </c>
      <c r="H418" s="11" t="s">
        <v>119</v>
      </c>
      <c r="I418" s="21">
        <v>-4.1483536922172499</v>
      </c>
      <c r="J418" s="21">
        <v>-50.221285398199598</v>
      </c>
      <c r="K418" s="21" t="s">
        <v>2272</v>
      </c>
      <c r="L418" s="3">
        <v>1996</v>
      </c>
      <c r="M418" s="3">
        <v>1997</v>
      </c>
      <c r="N418" s="3" t="s">
        <v>2272</v>
      </c>
      <c r="O418" s="4" t="s">
        <v>1</v>
      </c>
      <c r="P418" s="5" t="s">
        <v>5181</v>
      </c>
      <c r="Q418" s="3"/>
    </row>
    <row r="419" spans="1:17" ht="38" customHeight="1">
      <c r="A419" s="31">
        <v>84</v>
      </c>
      <c r="B419" s="53" t="s">
        <v>1161</v>
      </c>
      <c r="C419" s="23" t="s">
        <v>1516</v>
      </c>
      <c r="D419" s="11" t="s">
        <v>2393</v>
      </c>
      <c r="E419" s="3" t="s">
        <v>2394</v>
      </c>
      <c r="F419" s="3" t="s">
        <v>1591</v>
      </c>
      <c r="G419" s="3" t="s">
        <v>1572</v>
      </c>
      <c r="H419" s="11" t="s">
        <v>119</v>
      </c>
      <c r="I419" s="21">
        <v>-5.1314749053399398</v>
      </c>
      <c r="J419" s="21">
        <v>-49.331363271381399</v>
      </c>
      <c r="K419" s="21" t="s">
        <v>2272</v>
      </c>
      <c r="L419" s="3">
        <v>1996</v>
      </c>
      <c r="M419" s="3">
        <v>1997</v>
      </c>
      <c r="N419" s="3" t="s">
        <v>2272</v>
      </c>
      <c r="O419" s="4" t="s">
        <v>1</v>
      </c>
      <c r="P419" s="5" t="s">
        <v>5181</v>
      </c>
      <c r="Q419" s="3"/>
    </row>
    <row r="420" spans="1:17" ht="38" customHeight="1">
      <c r="A420" s="31">
        <v>84</v>
      </c>
      <c r="B420" s="53" t="s">
        <v>1161</v>
      </c>
      <c r="C420" s="23" t="s">
        <v>1517</v>
      </c>
      <c r="D420" s="11" t="s">
        <v>2393</v>
      </c>
      <c r="E420" s="3" t="s">
        <v>2394</v>
      </c>
      <c r="F420" s="3" t="s">
        <v>1592</v>
      </c>
      <c r="G420" s="3" t="s">
        <v>1572</v>
      </c>
      <c r="H420" s="11" t="s">
        <v>119</v>
      </c>
      <c r="I420" s="21">
        <v>-5.3671920713892503</v>
      </c>
      <c r="J420" s="21">
        <v>-49.1262086808891</v>
      </c>
      <c r="K420" s="21" t="s">
        <v>2272</v>
      </c>
      <c r="L420" s="3">
        <v>1996</v>
      </c>
      <c r="M420" s="3">
        <v>1997</v>
      </c>
      <c r="N420" s="3" t="s">
        <v>2272</v>
      </c>
      <c r="O420" s="4" t="s">
        <v>1</v>
      </c>
      <c r="P420" s="5" t="s">
        <v>5181</v>
      </c>
      <c r="Q420" s="3"/>
    </row>
    <row r="421" spans="1:17" ht="38" customHeight="1">
      <c r="A421" s="31">
        <v>84</v>
      </c>
      <c r="B421" s="53" t="s">
        <v>1161</v>
      </c>
      <c r="C421" s="23" t="s">
        <v>1518</v>
      </c>
      <c r="D421" s="11" t="s">
        <v>2393</v>
      </c>
      <c r="E421" s="3" t="s">
        <v>2394</v>
      </c>
      <c r="F421" s="3" t="s">
        <v>1593</v>
      </c>
      <c r="G421" s="3" t="s">
        <v>1572</v>
      </c>
      <c r="H421" s="11" t="s">
        <v>119</v>
      </c>
      <c r="I421" s="21">
        <v>-4.78912783814493</v>
      </c>
      <c r="J421" s="21">
        <v>-48.077477224964703</v>
      </c>
      <c r="K421" s="21" t="s">
        <v>2272</v>
      </c>
      <c r="L421" s="3">
        <v>1996</v>
      </c>
      <c r="M421" s="3">
        <v>1997</v>
      </c>
      <c r="N421" s="3" t="s">
        <v>2272</v>
      </c>
      <c r="O421" s="4" t="s">
        <v>1</v>
      </c>
      <c r="P421" s="5" t="s">
        <v>5181</v>
      </c>
      <c r="Q421" s="3"/>
    </row>
    <row r="422" spans="1:17" ht="38" customHeight="1">
      <c r="A422" s="31">
        <v>84</v>
      </c>
      <c r="B422" s="53" t="s">
        <v>1161</v>
      </c>
      <c r="C422" s="23" t="s">
        <v>1519</v>
      </c>
      <c r="D422" s="11" t="s">
        <v>2393</v>
      </c>
      <c r="E422" s="3" t="s">
        <v>2394</v>
      </c>
      <c r="F422" s="3" t="s">
        <v>1594</v>
      </c>
      <c r="G422" s="3" t="s">
        <v>1572</v>
      </c>
      <c r="H422" s="11" t="s">
        <v>119</v>
      </c>
      <c r="I422" s="21">
        <v>-4.3009790901881901</v>
      </c>
      <c r="J422" s="21">
        <v>-47.5524868857675</v>
      </c>
      <c r="K422" s="21" t="s">
        <v>2272</v>
      </c>
      <c r="L422" s="3">
        <v>1996</v>
      </c>
      <c r="M422" s="3">
        <v>1997</v>
      </c>
      <c r="N422" s="3" t="s">
        <v>2272</v>
      </c>
      <c r="O422" s="4" t="s">
        <v>1</v>
      </c>
      <c r="P422" s="5" t="s">
        <v>5181</v>
      </c>
      <c r="Q422" s="3"/>
    </row>
    <row r="423" spans="1:17" ht="38" customHeight="1">
      <c r="A423" s="31">
        <v>84</v>
      </c>
      <c r="B423" s="53" t="s">
        <v>1161</v>
      </c>
      <c r="C423" s="23" t="s">
        <v>1520</v>
      </c>
      <c r="D423" s="11" t="s">
        <v>2393</v>
      </c>
      <c r="E423" s="3" t="s">
        <v>2394</v>
      </c>
      <c r="F423" s="3" t="s">
        <v>1595</v>
      </c>
      <c r="G423" s="3" t="s">
        <v>1572</v>
      </c>
      <c r="H423" s="11" t="s">
        <v>119</v>
      </c>
      <c r="I423" s="21">
        <v>-4.9366265977531496</v>
      </c>
      <c r="J423" s="21">
        <v>-47.492951126108203</v>
      </c>
      <c r="K423" s="21" t="s">
        <v>2272</v>
      </c>
      <c r="L423" s="3">
        <v>1996</v>
      </c>
      <c r="M423" s="3">
        <v>1997</v>
      </c>
      <c r="N423" s="3" t="s">
        <v>2272</v>
      </c>
      <c r="O423" s="4" t="s">
        <v>1</v>
      </c>
      <c r="P423" s="5" t="s">
        <v>5181</v>
      </c>
      <c r="Q423" s="3"/>
    </row>
    <row r="424" spans="1:17" ht="38" customHeight="1">
      <c r="A424" s="31">
        <v>84</v>
      </c>
      <c r="B424" s="53" t="s">
        <v>1161</v>
      </c>
      <c r="C424" s="23" t="s">
        <v>1521</v>
      </c>
      <c r="D424" s="11" t="s">
        <v>2393</v>
      </c>
      <c r="E424" s="3" t="s">
        <v>2394</v>
      </c>
      <c r="F424" s="3" t="s">
        <v>1596</v>
      </c>
      <c r="G424" s="3" t="s">
        <v>1572</v>
      </c>
      <c r="H424" s="11" t="s">
        <v>119</v>
      </c>
      <c r="I424" s="21">
        <v>-5.5088508851075</v>
      </c>
      <c r="J424" s="21">
        <v>-47.498421433914402</v>
      </c>
      <c r="K424" s="21" t="s">
        <v>2272</v>
      </c>
      <c r="L424" s="3">
        <v>1996</v>
      </c>
      <c r="M424" s="3">
        <v>1997</v>
      </c>
      <c r="N424" s="3" t="s">
        <v>2272</v>
      </c>
      <c r="O424" s="4" t="s">
        <v>1</v>
      </c>
      <c r="P424" s="5" t="s">
        <v>5181</v>
      </c>
      <c r="Q424" s="3"/>
    </row>
    <row r="425" spans="1:17" ht="38" customHeight="1">
      <c r="A425" s="31">
        <v>84</v>
      </c>
      <c r="B425" s="53" t="s">
        <v>1161</v>
      </c>
      <c r="C425" s="23" t="s">
        <v>1522</v>
      </c>
      <c r="D425" s="11" t="s">
        <v>2393</v>
      </c>
      <c r="E425" s="3" t="s">
        <v>2394</v>
      </c>
      <c r="F425" s="3" t="s">
        <v>1597</v>
      </c>
      <c r="G425" s="3" t="s">
        <v>1572</v>
      </c>
      <c r="H425" s="11" t="s">
        <v>119</v>
      </c>
      <c r="I425" s="21">
        <v>-7.1997800630427999</v>
      </c>
      <c r="J425" s="21">
        <v>-48.207763697865303</v>
      </c>
      <c r="K425" s="21" t="s">
        <v>2272</v>
      </c>
      <c r="L425" s="3">
        <v>1996</v>
      </c>
      <c r="M425" s="3">
        <v>1997</v>
      </c>
      <c r="N425" s="3" t="s">
        <v>2272</v>
      </c>
      <c r="O425" s="4" t="s">
        <v>1</v>
      </c>
      <c r="P425" s="5" t="s">
        <v>5181</v>
      </c>
      <c r="Q425" s="3"/>
    </row>
    <row r="426" spans="1:17" ht="38" customHeight="1">
      <c r="A426" s="31">
        <v>84</v>
      </c>
      <c r="B426" s="53" t="s">
        <v>1161</v>
      </c>
      <c r="C426" s="23" t="s">
        <v>1523</v>
      </c>
      <c r="D426" s="11" t="s">
        <v>2393</v>
      </c>
      <c r="E426" s="3" t="s">
        <v>2394</v>
      </c>
      <c r="F426" s="3" t="s">
        <v>1598</v>
      </c>
      <c r="G426" s="3" t="s">
        <v>1572</v>
      </c>
      <c r="H426" s="11" t="s">
        <v>119</v>
      </c>
      <c r="I426" s="21">
        <v>-8.0390507431143892</v>
      </c>
      <c r="J426" s="21">
        <v>-50.032178260396499</v>
      </c>
      <c r="K426" s="21" t="s">
        <v>2272</v>
      </c>
      <c r="L426" s="3">
        <v>1996</v>
      </c>
      <c r="M426" s="3">
        <v>1997</v>
      </c>
      <c r="N426" s="3" t="s">
        <v>2272</v>
      </c>
      <c r="O426" s="4" t="s">
        <v>1</v>
      </c>
      <c r="P426" s="5" t="s">
        <v>5181</v>
      </c>
      <c r="Q426" s="3"/>
    </row>
    <row r="427" spans="1:17" ht="38" customHeight="1">
      <c r="A427" s="31">
        <v>84</v>
      </c>
      <c r="B427" s="53" t="s">
        <v>1161</v>
      </c>
      <c r="C427" s="23" t="s">
        <v>1524</v>
      </c>
      <c r="D427" s="11" t="s">
        <v>2393</v>
      </c>
      <c r="E427" s="3" t="s">
        <v>2394</v>
      </c>
      <c r="F427" s="3" t="s">
        <v>1599</v>
      </c>
      <c r="G427" s="3" t="s">
        <v>1572</v>
      </c>
      <c r="H427" s="11" t="s">
        <v>119</v>
      </c>
      <c r="I427" s="21">
        <v>-3.7237356457542101</v>
      </c>
      <c r="J427" s="21">
        <v>-53.740427137350999</v>
      </c>
      <c r="K427" s="21" t="s">
        <v>2272</v>
      </c>
      <c r="L427" s="3">
        <v>1996</v>
      </c>
      <c r="M427" s="3">
        <v>1997</v>
      </c>
      <c r="N427" s="3" t="s">
        <v>2272</v>
      </c>
      <c r="O427" s="4" t="s">
        <v>1</v>
      </c>
      <c r="P427" s="5" t="s">
        <v>5181</v>
      </c>
      <c r="Q427" s="3"/>
    </row>
    <row r="428" spans="1:17" ht="38" customHeight="1">
      <c r="A428" s="31">
        <v>84</v>
      </c>
      <c r="B428" s="53" t="s">
        <v>1161</v>
      </c>
      <c r="C428" s="23" t="s">
        <v>1525</v>
      </c>
      <c r="D428" s="11" t="s">
        <v>2393</v>
      </c>
      <c r="E428" s="3" t="s">
        <v>2394</v>
      </c>
      <c r="F428" s="3" t="s">
        <v>1600</v>
      </c>
      <c r="G428" s="3" t="s">
        <v>1572</v>
      </c>
      <c r="H428" s="11" t="s">
        <v>119</v>
      </c>
      <c r="I428" s="21">
        <v>-3.2038159402087598</v>
      </c>
      <c r="J428" s="21">
        <v>-52.220773663445001</v>
      </c>
      <c r="K428" s="21" t="s">
        <v>2272</v>
      </c>
      <c r="L428" s="3">
        <v>1996</v>
      </c>
      <c r="M428" s="3">
        <v>1997</v>
      </c>
      <c r="N428" s="3" t="s">
        <v>2272</v>
      </c>
      <c r="O428" s="4" t="s">
        <v>1</v>
      </c>
      <c r="P428" s="5" t="s">
        <v>5181</v>
      </c>
      <c r="Q428" s="3"/>
    </row>
    <row r="429" spans="1:17" ht="38" customHeight="1">
      <c r="A429" s="31">
        <v>84</v>
      </c>
      <c r="B429" s="53" t="s">
        <v>1161</v>
      </c>
      <c r="C429" s="23" t="s">
        <v>1526</v>
      </c>
      <c r="D429" s="11" t="s">
        <v>2393</v>
      </c>
      <c r="E429" s="3" t="s">
        <v>2394</v>
      </c>
      <c r="F429" s="3" t="s">
        <v>1601</v>
      </c>
      <c r="G429" s="3" t="s">
        <v>1572</v>
      </c>
      <c r="H429" s="11" t="s">
        <v>119</v>
      </c>
      <c r="I429" s="21">
        <v>-3.0807614927548701</v>
      </c>
      <c r="J429" s="21">
        <v>-60.005573770002499</v>
      </c>
      <c r="K429" s="21" t="s">
        <v>2272</v>
      </c>
      <c r="L429" s="3">
        <v>1996</v>
      </c>
      <c r="M429" s="3">
        <v>1997</v>
      </c>
      <c r="N429" s="3" t="s">
        <v>2272</v>
      </c>
      <c r="O429" s="4" t="s">
        <v>1</v>
      </c>
      <c r="P429" s="5" t="s">
        <v>5181</v>
      </c>
      <c r="Q429" s="3"/>
    </row>
    <row r="430" spans="1:17" ht="38" customHeight="1">
      <c r="A430" s="31">
        <v>84</v>
      </c>
      <c r="B430" s="53" t="s">
        <v>1161</v>
      </c>
      <c r="C430" s="23" t="s">
        <v>1527</v>
      </c>
      <c r="D430" s="11" t="s">
        <v>2393</v>
      </c>
      <c r="E430" s="3" t="s">
        <v>2394</v>
      </c>
      <c r="F430" s="3" t="s">
        <v>1602</v>
      </c>
      <c r="G430" s="3" t="s">
        <v>1572</v>
      </c>
      <c r="H430" s="11" t="s">
        <v>119</v>
      </c>
      <c r="I430" s="21">
        <v>-3.1271254676765499</v>
      </c>
      <c r="J430" s="21">
        <v>-58.435247861486097</v>
      </c>
      <c r="K430" s="21" t="s">
        <v>2272</v>
      </c>
      <c r="L430" s="3">
        <v>1996</v>
      </c>
      <c r="M430" s="3">
        <v>1997</v>
      </c>
      <c r="N430" s="3" t="s">
        <v>2272</v>
      </c>
      <c r="O430" s="4" t="s">
        <v>1</v>
      </c>
      <c r="P430" s="5" t="s">
        <v>5181</v>
      </c>
      <c r="Q430" s="3"/>
    </row>
    <row r="431" spans="1:17" ht="38" customHeight="1">
      <c r="A431" s="31">
        <v>84</v>
      </c>
      <c r="B431" s="53" t="s">
        <v>1161</v>
      </c>
      <c r="C431" s="23" t="s">
        <v>1528</v>
      </c>
      <c r="D431" s="11" t="s">
        <v>2393</v>
      </c>
      <c r="E431" s="3" t="s">
        <v>2394</v>
      </c>
      <c r="F431" s="3" t="s">
        <v>1603</v>
      </c>
      <c r="G431" s="3" t="s">
        <v>1572</v>
      </c>
      <c r="H431" s="11" t="s">
        <v>119</v>
      </c>
      <c r="I431" s="21">
        <v>-5.0200964012498401</v>
      </c>
      <c r="J431" s="21">
        <v>-56.183806147974103</v>
      </c>
      <c r="K431" s="21" t="s">
        <v>2272</v>
      </c>
      <c r="L431" s="3">
        <v>1996</v>
      </c>
      <c r="M431" s="3">
        <v>1997</v>
      </c>
      <c r="N431" s="3" t="s">
        <v>2272</v>
      </c>
      <c r="O431" s="4" t="s">
        <v>1</v>
      </c>
      <c r="P431" s="5" t="s">
        <v>5181</v>
      </c>
      <c r="Q431" s="3"/>
    </row>
    <row r="432" spans="1:17" ht="38" customHeight="1">
      <c r="A432" s="31">
        <v>84</v>
      </c>
      <c r="B432" s="53" t="s">
        <v>1161</v>
      </c>
      <c r="C432" s="23" t="s">
        <v>1529</v>
      </c>
      <c r="D432" s="11" t="s">
        <v>2393</v>
      </c>
      <c r="E432" s="3" t="s">
        <v>2394</v>
      </c>
      <c r="F432" s="3" t="s">
        <v>1604</v>
      </c>
      <c r="G432" s="3" t="s">
        <v>1572</v>
      </c>
      <c r="H432" s="11" t="s">
        <v>119</v>
      </c>
      <c r="I432" s="21">
        <v>-7.0570183231481796</v>
      </c>
      <c r="J432" s="21">
        <v>-55.408612759063502</v>
      </c>
      <c r="K432" s="21" t="s">
        <v>2272</v>
      </c>
      <c r="L432" s="3">
        <v>1996</v>
      </c>
      <c r="M432" s="3">
        <v>1997</v>
      </c>
      <c r="N432" s="3" t="s">
        <v>2272</v>
      </c>
      <c r="O432" s="4" t="s">
        <v>1</v>
      </c>
      <c r="P432" s="5" t="s">
        <v>5181</v>
      </c>
      <c r="Q432" s="3"/>
    </row>
    <row r="433" spans="1:17" ht="38" customHeight="1">
      <c r="A433" s="31">
        <v>84</v>
      </c>
      <c r="B433" s="53" t="s">
        <v>1161</v>
      </c>
      <c r="C433" s="23" t="s">
        <v>1530</v>
      </c>
      <c r="D433" s="11" t="s">
        <v>2393</v>
      </c>
      <c r="E433" s="3" t="s">
        <v>2394</v>
      </c>
      <c r="F433" s="3" t="s">
        <v>1605</v>
      </c>
      <c r="G433" s="3" t="s">
        <v>1572</v>
      </c>
      <c r="H433" s="11" t="s">
        <v>119</v>
      </c>
      <c r="I433" s="21">
        <v>-7.5156206407053601</v>
      </c>
      <c r="J433" s="21">
        <v>-63.029073241371201</v>
      </c>
      <c r="K433" s="21" t="s">
        <v>2272</v>
      </c>
      <c r="L433" s="3">
        <v>1996</v>
      </c>
      <c r="M433" s="3">
        <v>1997</v>
      </c>
      <c r="N433" s="3" t="s">
        <v>2272</v>
      </c>
      <c r="O433" s="4" t="s">
        <v>1</v>
      </c>
      <c r="P433" s="5" t="s">
        <v>5181</v>
      </c>
      <c r="Q433" s="3"/>
    </row>
    <row r="434" spans="1:17" ht="38" customHeight="1">
      <c r="A434" s="31">
        <v>84</v>
      </c>
      <c r="B434" s="53" t="s">
        <v>1161</v>
      </c>
      <c r="C434" s="23" t="s">
        <v>1531</v>
      </c>
      <c r="D434" s="11" t="s">
        <v>2393</v>
      </c>
      <c r="E434" s="3" t="s">
        <v>2394</v>
      </c>
      <c r="F434" s="3" t="s">
        <v>1606</v>
      </c>
      <c r="G434" s="3" t="s">
        <v>1572</v>
      </c>
      <c r="H434" s="11" t="s">
        <v>119</v>
      </c>
      <c r="I434" s="21">
        <v>-10.153283488015999</v>
      </c>
      <c r="J434" s="21">
        <v>-67.738495570591397</v>
      </c>
      <c r="K434" s="21" t="s">
        <v>2272</v>
      </c>
      <c r="L434" s="3">
        <v>1996</v>
      </c>
      <c r="M434" s="3">
        <v>1997</v>
      </c>
      <c r="N434" s="3" t="s">
        <v>2272</v>
      </c>
      <c r="O434" s="4" t="s">
        <v>1</v>
      </c>
      <c r="P434" s="5" t="s">
        <v>5181</v>
      </c>
      <c r="Q434" s="3"/>
    </row>
    <row r="435" spans="1:17" ht="38" customHeight="1">
      <c r="A435" s="31">
        <v>84</v>
      </c>
      <c r="B435" s="53" t="s">
        <v>1161</v>
      </c>
      <c r="C435" s="23" t="s">
        <v>1532</v>
      </c>
      <c r="D435" s="11" t="s">
        <v>2393</v>
      </c>
      <c r="E435" s="3" t="s">
        <v>2394</v>
      </c>
      <c r="F435" s="3" t="s">
        <v>1607</v>
      </c>
      <c r="G435" s="3" t="s">
        <v>1572</v>
      </c>
      <c r="H435" s="11" t="s">
        <v>119</v>
      </c>
      <c r="I435" s="21">
        <v>-10.805865805514401</v>
      </c>
      <c r="J435" s="21">
        <v>-65.310293347799202</v>
      </c>
      <c r="K435" s="21" t="s">
        <v>2272</v>
      </c>
      <c r="L435" s="3">
        <v>1996</v>
      </c>
      <c r="M435" s="3">
        <v>1997</v>
      </c>
      <c r="N435" s="3" t="s">
        <v>2272</v>
      </c>
      <c r="O435" s="4" t="s">
        <v>1</v>
      </c>
      <c r="P435" s="5" t="s">
        <v>5181</v>
      </c>
      <c r="Q435" s="3"/>
    </row>
    <row r="436" spans="1:17" ht="38" customHeight="1">
      <c r="A436" s="31">
        <v>84</v>
      </c>
      <c r="B436" s="53" t="s">
        <v>1161</v>
      </c>
      <c r="C436" s="23" t="s">
        <v>1533</v>
      </c>
      <c r="D436" s="11" t="s">
        <v>2393</v>
      </c>
      <c r="E436" s="3" t="s">
        <v>2394</v>
      </c>
      <c r="F436" s="3" t="s">
        <v>1608</v>
      </c>
      <c r="G436" s="3" t="s">
        <v>1572</v>
      </c>
      <c r="H436" s="11" t="s">
        <v>119</v>
      </c>
      <c r="I436" s="21">
        <v>-14.5368254301712</v>
      </c>
      <c r="J436" s="21">
        <v>-59.537453425076599</v>
      </c>
      <c r="K436" s="21" t="s">
        <v>2272</v>
      </c>
      <c r="L436" s="3">
        <v>1996</v>
      </c>
      <c r="M436" s="3">
        <v>1997</v>
      </c>
      <c r="N436" s="3" t="s">
        <v>2272</v>
      </c>
      <c r="O436" s="4" t="s">
        <v>1</v>
      </c>
      <c r="P436" s="5" t="s">
        <v>5181</v>
      </c>
      <c r="Q436" s="3"/>
    </row>
    <row r="437" spans="1:17" ht="38" customHeight="1">
      <c r="A437" s="31">
        <v>84</v>
      </c>
      <c r="B437" s="53" t="s">
        <v>1161</v>
      </c>
      <c r="C437" s="23" t="s">
        <v>1534</v>
      </c>
      <c r="D437" s="11" t="s">
        <v>2393</v>
      </c>
      <c r="E437" s="3" t="s">
        <v>2394</v>
      </c>
      <c r="F437" s="3" t="s">
        <v>1609</v>
      </c>
      <c r="G437" s="3" t="s">
        <v>1572</v>
      </c>
      <c r="H437" s="11" t="s">
        <v>119</v>
      </c>
      <c r="I437" s="21">
        <v>-11.4258469281459</v>
      </c>
      <c r="J437" s="21">
        <v>-58.769399713254003</v>
      </c>
      <c r="K437" s="21" t="s">
        <v>2272</v>
      </c>
      <c r="L437" s="3">
        <v>1996</v>
      </c>
      <c r="M437" s="3">
        <v>1997</v>
      </c>
      <c r="N437" s="3" t="s">
        <v>2272</v>
      </c>
      <c r="O437" s="4" t="s">
        <v>1</v>
      </c>
      <c r="P437" s="5" t="s">
        <v>5181</v>
      </c>
      <c r="Q437" s="3"/>
    </row>
    <row r="438" spans="1:17" ht="38" customHeight="1">
      <c r="A438" s="31">
        <v>84</v>
      </c>
      <c r="B438" s="53" t="s">
        <v>1161</v>
      </c>
      <c r="C438" s="23" t="s">
        <v>1535</v>
      </c>
      <c r="D438" s="11" t="s">
        <v>2393</v>
      </c>
      <c r="E438" s="3" t="s">
        <v>2394</v>
      </c>
      <c r="F438" s="3" t="s">
        <v>1610</v>
      </c>
      <c r="G438" s="3" t="s">
        <v>1572</v>
      </c>
      <c r="H438" s="11" t="s">
        <v>119</v>
      </c>
      <c r="I438" s="21">
        <v>-10.395011634998401</v>
      </c>
      <c r="J438" s="21">
        <v>-57.7149674224775</v>
      </c>
      <c r="K438" s="21" t="s">
        <v>2272</v>
      </c>
      <c r="L438" s="3">
        <v>1996</v>
      </c>
      <c r="M438" s="3">
        <v>1997</v>
      </c>
      <c r="N438" s="3" t="s">
        <v>2272</v>
      </c>
      <c r="O438" s="4" t="s">
        <v>1</v>
      </c>
      <c r="P438" s="5" t="s">
        <v>5181</v>
      </c>
      <c r="Q438" s="3"/>
    </row>
    <row r="439" spans="1:17" ht="38" customHeight="1">
      <c r="A439" s="31">
        <v>84</v>
      </c>
      <c r="B439" s="53" t="s">
        <v>1161</v>
      </c>
      <c r="C439" s="23" t="s">
        <v>1536</v>
      </c>
      <c r="D439" s="11" t="s">
        <v>2393</v>
      </c>
      <c r="E439" s="3" t="s">
        <v>2394</v>
      </c>
      <c r="F439" s="3" t="s">
        <v>1611</v>
      </c>
      <c r="G439" s="3" t="s">
        <v>1572</v>
      </c>
      <c r="H439" s="11" t="s">
        <v>119</v>
      </c>
      <c r="I439" s="21">
        <v>-10.334680208078399</v>
      </c>
      <c r="J439" s="21">
        <v>-58.492365181673598</v>
      </c>
      <c r="K439" s="21" t="s">
        <v>2272</v>
      </c>
      <c r="L439" s="3">
        <v>1996</v>
      </c>
      <c r="M439" s="3">
        <v>1997</v>
      </c>
      <c r="N439" s="3" t="s">
        <v>2272</v>
      </c>
      <c r="O439" s="4" t="s">
        <v>1</v>
      </c>
      <c r="P439" s="5" t="s">
        <v>5181</v>
      </c>
      <c r="Q439" s="3"/>
    </row>
    <row r="440" spans="1:17" ht="38" customHeight="1">
      <c r="A440" s="31">
        <v>84</v>
      </c>
      <c r="B440" s="53" t="s">
        <v>1161</v>
      </c>
      <c r="C440" s="23" t="s">
        <v>1537</v>
      </c>
      <c r="D440" s="11" t="s">
        <v>2393</v>
      </c>
      <c r="E440" s="3" t="s">
        <v>2394</v>
      </c>
      <c r="F440" s="3" t="s">
        <v>1612</v>
      </c>
      <c r="G440" s="3" t="s">
        <v>1572</v>
      </c>
      <c r="H440" s="11" t="s">
        <v>119</v>
      </c>
      <c r="I440" s="21">
        <v>-10.3186462375398</v>
      </c>
      <c r="J440" s="21">
        <v>-59.347625680520501</v>
      </c>
      <c r="K440" s="21" t="s">
        <v>2272</v>
      </c>
      <c r="L440" s="3">
        <v>1996</v>
      </c>
      <c r="M440" s="3">
        <v>1997</v>
      </c>
      <c r="N440" s="3" t="s">
        <v>2272</v>
      </c>
      <c r="O440" s="4" t="s">
        <v>1</v>
      </c>
      <c r="P440" s="5" t="s">
        <v>5181</v>
      </c>
      <c r="Q440" s="3"/>
    </row>
    <row r="441" spans="1:17" ht="38" customHeight="1">
      <c r="A441" s="31">
        <v>84</v>
      </c>
      <c r="B441" s="53" t="s">
        <v>1161</v>
      </c>
      <c r="C441" s="23" t="s">
        <v>1538</v>
      </c>
      <c r="D441" s="11" t="s">
        <v>2393</v>
      </c>
      <c r="E441" s="3" t="s">
        <v>2394</v>
      </c>
      <c r="F441" s="3" t="s">
        <v>1613</v>
      </c>
      <c r="G441" s="3" t="s">
        <v>1572</v>
      </c>
      <c r="H441" s="11" t="s">
        <v>119</v>
      </c>
      <c r="I441" s="21">
        <v>-9.8403113973094403</v>
      </c>
      <c r="J441" s="21">
        <v>-56.069971871366597</v>
      </c>
      <c r="K441" s="21" t="s">
        <v>2272</v>
      </c>
      <c r="L441" s="3">
        <v>1996</v>
      </c>
      <c r="M441" s="3">
        <v>1997</v>
      </c>
      <c r="N441" s="3" t="s">
        <v>2272</v>
      </c>
      <c r="O441" s="4" t="s">
        <v>1</v>
      </c>
      <c r="P441" s="5" t="s">
        <v>5181</v>
      </c>
      <c r="Q441" s="3"/>
    </row>
    <row r="442" spans="1:17" ht="38" customHeight="1">
      <c r="A442" s="31">
        <v>84</v>
      </c>
      <c r="B442" s="53" t="s">
        <v>1161</v>
      </c>
      <c r="C442" s="23" t="s">
        <v>1539</v>
      </c>
      <c r="D442" s="11" t="s">
        <v>2393</v>
      </c>
      <c r="E442" s="3" t="s">
        <v>2394</v>
      </c>
      <c r="F442" s="3" t="s">
        <v>1614</v>
      </c>
      <c r="G442" s="3" t="s">
        <v>1572</v>
      </c>
      <c r="H442" s="11" t="s">
        <v>119</v>
      </c>
      <c r="I442" s="21">
        <v>-9.9480615800158905</v>
      </c>
      <c r="J442" s="21">
        <v>-54.909098553009102</v>
      </c>
      <c r="K442" s="21" t="s">
        <v>2272</v>
      </c>
      <c r="L442" s="3">
        <v>1996</v>
      </c>
      <c r="M442" s="3">
        <v>1997</v>
      </c>
      <c r="N442" s="3" t="s">
        <v>2272</v>
      </c>
      <c r="O442" s="4" t="s">
        <v>1</v>
      </c>
      <c r="P442" s="5" t="s">
        <v>5181</v>
      </c>
      <c r="Q442" s="3"/>
    </row>
    <row r="443" spans="1:17" ht="38" customHeight="1">
      <c r="A443" s="31">
        <v>84</v>
      </c>
      <c r="B443" s="53" t="s">
        <v>1161</v>
      </c>
      <c r="C443" s="23" t="s">
        <v>1540</v>
      </c>
      <c r="D443" s="11" t="s">
        <v>2393</v>
      </c>
      <c r="E443" s="3" t="s">
        <v>2394</v>
      </c>
      <c r="F443" s="3" t="s">
        <v>1615</v>
      </c>
      <c r="G443" s="3" t="s">
        <v>1572</v>
      </c>
      <c r="H443" s="11" t="s">
        <v>119</v>
      </c>
      <c r="I443" s="21">
        <v>-10.2287312756744</v>
      </c>
      <c r="J443" s="21">
        <v>-54.985097013777199</v>
      </c>
      <c r="K443" s="21" t="s">
        <v>2272</v>
      </c>
      <c r="L443" s="3">
        <v>1996</v>
      </c>
      <c r="M443" s="3">
        <v>1997</v>
      </c>
      <c r="N443" s="3" t="s">
        <v>2272</v>
      </c>
      <c r="O443" s="4" t="s">
        <v>1</v>
      </c>
      <c r="P443" s="5" t="s">
        <v>5181</v>
      </c>
      <c r="Q443" s="3"/>
    </row>
    <row r="444" spans="1:17" ht="38" customHeight="1">
      <c r="A444" s="31">
        <v>84</v>
      </c>
      <c r="B444" s="53" t="s">
        <v>1161</v>
      </c>
      <c r="C444" s="23" t="s">
        <v>1541</v>
      </c>
      <c r="D444" s="11" t="s">
        <v>2393</v>
      </c>
      <c r="E444" s="3" t="s">
        <v>2394</v>
      </c>
      <c r="F444" s="3" t="s">
        <v>1616</v>
      </c>
      <c r="G444" s="3" t="s">
        <v>1572</v>
      </c>
      <c r="H444" s="11" t="s">
        <v>119</v>
      </c>
      <c r="I444" s="21">
        <v>-13.8243217062452</v>
      </c>
      <c r="J444" s="21">
        <v>-56.081663107690602</v>
      </c>
      <c r="K444" s="21" t="s">
        <v>2272</v>
      </c>
      <c r="L444" s="3">
        <v>1996</v>
      </c>
      <c r="M444" s="3">
        <v>1997</v>
      </c>
      <c r="N444" s="3" t="s">
        <v>2272</v>
      </c>
      <c r="O444" s="4" t="s">
        <v>1</v>
      </c>
      <c r="P444" s="5" t="s">
        <v>5181</v>
      </c>
      <c r="Q444" s="3"/>
    </row>
    <row r="445" spans="1:17" ht="38" customHeight="1">
      <c r="A445" s="31">
        <v>84</v>
      </c>
      <c r="B445" s="53" t="s">
        <v>1161</v>
      </c>
      <c r="C445" s="23" t="s">
        <v>1542</v>
      </c>
      <c r="D445" s="11" t="s">
        <v>2393</v>
      </c>
      <c r="E445" s="3" t="s">
        <v>2394</v>
      </c>
      <c r="F445" s="3" t="s">
        <v>1617</v>
      </c>
      <c r="G445" s="3" t="s">
        <v>1572</v>
      </c>
      <c r="H445" s="11" t="s">
        <v>119</v>
      </c>
      <c r="I445" s="21">
        <v>-12.5441722567155</v>
      </c>
      <c r="J445" s="21">
        <v>-55.722527472527503</v>
      </c>
      <c r="K445" s="21" t="s">
        <v>2272</v>
      </c>
      <c r="L445" s="3">
        <v>1996</v>
      </c>
      <c r="M445" s="3">
        <v>1997</v>
      </c>
      <c r="N445" s="3" t="s">
        <v>2272</v>
      </c>
      <c r="O445" s="4" t="s">
        <v>1</v>
      </c>
      <c r="P445" s="5" t="s">
        <v>5181</v>
      </c>
      <c r="Q445" s="3"/>
    </row>
    <row r="446" spans="1:17" ht="38" customHeight="1">
      <c r="A446" s="31">
        <v>84</v>
      </c>
      <c r="B446" s="53" t="s">
        <v>1161</v>
      </c>
      <c r="C446" s="23" t="s">
        <v>1543</v>
      </c>
      <c r="D446" s="11" t="s">
        <v>2393</v>
      </c>
      <c r="E446" s="3" t="s">
        <v>2394</v>
      </c>
      <c r="F446" s="3" t="s">
        <v>1618</v>
      </c>
      <c r="G446" s="3" t="s">
        <v>1572</v>
      </c>
      <c r="H446" s="11" t="s">
        <v>119</v>
      </c>
      <c r="I446" s="21">
        <v>-12.2866038164908</v>
      </c>
      <c r="J446" s="21">
        <v>-55.296703296703299</v>
      </c>
      <c r="K446" s="21" t="s">
        <v>2272</v>
      </c>
      <c r="L446" s="3">
        <v>1996</v>
      </c>
      <c r="M446" s="3">
        <v>1997</v>
      </c>
      <c r="N446" s="3" t="s">
        <v>2272</v>
      </c>
      <c r="O446" s="4" t="s">
        <v>1</v>
      </c>
      <c r="P446" s="5" t="s">
        <v>5181</v>
      </c>
      <c r="Q446" s="3"/>
    </row>
    <row r="447" spans="1:17" ht="38" customHeight="1">
      <c r="A447" s="31">
        <v>84</v>
      </c>
      <c r="B447" s="53" t="s">
        <v>1161</v>
      </c>
      <c r="C447" s="23" t="s">
        <v>1544</v>
      </c>
      <c r="D447" s="11" t="s">
        <v>2393</v>
      </c>
      <c r="E447" s="3" t="s">
        <v>2394</v>
      </c>
      <c r="F447" s="3" t="s">
        <v>1619</v>
      </c>
      <c r="G447" s="3" t="s">
        <v>1572</v>
      </c>
      <c r="H447" s="11" t="s">
        <v>119</v>
      </c>
      <c r="I447" s="21">
        <v>-12.371160660934899</v>
      </c>
      <c r="J447" s="21">
        <v>-54.931403700166797</v>
      </c>
      <c r="K447" s="21" t="s">
        <v>2272</v>
      </c>
      <c r="L447" s="3">
        <v>1996</v>
      </c>
      <c r="M447" s="3">
        <v>1997</v>
      </c>
      <c r="N447" s="3" t="s">
        <v>2272</v>
      </c>
      <c r="O447" s="4" t="s">
        <v>1</v>
      </c>
      <c r="P447" s="5" t="s">
        <v>5181</v>
      </c>
      <c r="Q447" s="3"/>
    </row>
    <row r="448" spans="1:17" ht="38" customHeight="1">
      <c r="A448" s="31">
        <v>84</v>
      </c>
      <c r="B448" s="53" t="s">
        <v>1161</v>
      </c>
      <c r="C448" s="23" t="s">
        <v>1545</v>
      </c>
      <c r="D448" s="11" t="s">
        <v>2393</v>
      </c>
      <c r="E448" s="3" t="s">
        <v>2394</v>
      </c>
      <c r="F448" s="3" t="s">
        <v>1620</v>
      </c>
      <c r="G448" s="3" t="s">
        <v>1572</v>
      </c>
      <c r="H448" s="11" t="s">
        <v>119</v>
      </c>
      <c r="I448" s="21">
        <v>-11.8499455484011</v>
      </c>
      <c r="J448" s="21">
        <v>-55.514951993756299</v>
      </c>
      <c r="K448" s="21" t="s">
        <v>2272</v>
      </c>
      <c r="L448" s="3">
        <v>1996</v>
      </c>
      <c r="M448" s="3">
        <v>1997</v>
      </c>
      <c r="N448" s="3" t="s">
        <v>2272</v>
      </c>
      <c r="O448" s="4" t="s">
        <v>1</v>
      </c>
      <c r="P448" s="5" t="s">
        <v>5181</v>
      </c>
      <c r="Q448" s="3"/>
    </row>
    <row r="449" spans="1:17" ht="38" customHeight="1">
      <c r="A449" s="31">
        <v>84</v>
      </c>
      <c r="B449" s="53" t="s">
        <v>1161</v>
      </c>
      <c r="C449" s="23" t="s">
        <v>1546</v>
      </c>
      <c r="D449" s="11" t="s">
        <v>2393</v>
      </c>
      <c r="E449" s="3" t="s">
        <v>2394</v>
      </c>
      <c r="F449" s="3" t="s">
        <v>1621</v>
      </c>
      <c r="G449" s="3" t="s">
        <v>1572</v>
      </c>
      <c r="H449" s="11" t="s">
        <v>119</v>
      </c>
      <c r="I449" s="21">
        <v>-11.967018425737599</v>
      </c>
      <c r="J449" s="21">
        <v>-55.279947465830404</v>
      </c>
      <c r="K449" s="21" t="s">
        <v>2272</v>
      </c>
      <c r="L449" s="3">
        <v>1996</v>
      </c>
      <c r="M449" s="3">
        <v>1997</v>
      </c>
      <c r="N449" s="3" t="s">
        <v>2272</v>
      </c>
      <c r="O449" s="4" t="s">
        <v>1</v>
      </c>
      <c r="P449" s="5" t="s">
        <v>5181</v>
      </c>
      <c r="Q449" s="3"/>
    </row>
    <row r="450" spans="1:17" ht="38" customHeight="1">
      <c r="A450" s="31">
        <v>84</v>
      </c>
      <c r="B450" s="53" t="s">
        <v>1161</v>
      </c>
      <c r="C450" s="23" t="s">
        <v>1547</v>
      </c>
      <c r="D450" s="11" t="s">
        <v>2393</v>
      </c>
      <c r="E450" s="3" t="s">
        <v>2394</v>
      </c>
      <c r="F450" s="3" t="s">
        <v>1622</v>
      </c>
      <c r="G450" s="3" t="s">
        <v>1572</v>
      </c>
      <c r="H450" s="11" t="s">
        <v>119</v>
      </c>
      <c r="I450" s="21">
        <v>-11.508886844151199</v>
      </c>
      <c r="J450" s="21">
        <v>-54.879636974837297</v>
      </c>
      <c r="K450" s="21" t="s">
        <v>2272</v>
      </c>
      <c r="L450" s="3">
        <v>1996</v>
      </c>
      <c r="M450" s="3">
        <v>1997</v>
      </c>
      <c r="N450" s="3" t="s">
        <v>2272</v>
      </c>
      <c r="O450" s="4" t="s">
        <v>1</v>
      </c>
      <c r="P450" s="5" t="s">
        <v>5181</v>
      </c>
      <c r="Q450" s="3"/>
    </row>
    <row r="451" spans="1:17" ht="38" customHeight="1">
      <c r="A451" s="31">
        <v>84</v>
      </c>
      <c r="B451" s="53" t="s">
        <v>1161</v>
      </c>
      <c r="C451" s="23" t="s">
        <v>1548</v>
      </c>
      <c r="D451" s="11" t="s">
        <v>2393</v>
      </c>
      <c r="E451" s="3" t="s">
        <v>2394</v>
      </c>
      <c r="F451" s="3" t="s">
        <v>1623</v>
      </c>
      <c r="G451" s="3" t="s">
        <v>1572</v>
      </c>
      <c r="H451" s="11" t="s">
        <v>119</v>
      </c>
      <c r="I451" s="21">
        <v>-11.534666501908699</v>
      </c>
      <c r="J451" s="21">
        <v>-54.366420145238401</v>
      </c>
      <c r="K451" s="21" t="s">
        <v>2272</v>
      </c>
      <c r="L451" s="3">
        <v>1996</v>
      </c>
      <c r="M451" s="3">
        <v>1997</v>
      </c>
      <c r="N451" s="3" t="s">
        <v>2272</v>
      </c>
      <c r="O451" s="4" t="s">
        <v>1</v>
      </c>
      <c r="P451" s="5" t="s">
        <v>5181</v>
      </c>
      <c r="Q451" s="3"/>
    </row>
    <row r="452" spans="1:17" ht="38" customHeight="1">
      <c r="A452" s="31">
        <v>84</v>
      </c>
      <c r="B452" s="53" t="s">
        <v>1161</v>
      </c>
      <c r="C452" s="23" t="s">
        <v>1549</v>
      </c>
      <c r="D452" s="11" t="s">
        <v>2393</v>
      </c>
      <c r="E452" s="3" t="s">
        <v>2394</v>
      </c>
      <c r="F452" s="3" t="s">
        <v>1624</v>
      </c>
      <c r="G452" s="3" t="s">
        <v>1572</v>
      </c>
      <c r="H452" s="11" t="s">
        <v>119</v>
      </c>
      <c r="I452" s="21">
        <v>-11.083237396686201</v>
      </c>
      <c r="J452" s="21">
        <v>-54.519847149218599</v>
      </c>
      <c r="K452" s="21" t="s">
        <v>2272</v>
      </c>
      <c r="L452" s="3">
        <v>1996</v>
      </c>
      <c r="M452" s="3">
        <v>1997</v>
      </c>
      <c r="N452" s="3" t="s">
        <v>2272</v>
      </c>
      <c r="O452" s="4" t="s">
        <v>1</v>
      </c>
      <c r="P452" s="5" t="s">
        <v>5181</v>
      </c>
      <c r="Q452" s="3"/>
    </row>
    <row r="453" spans="1:17" ht="38" customHeight="1">
      <c r="A453" s="31">
        <v>84</v>
      </c>
      <c r="B453" s="53" t="s">
        <v>1161</v>
      </c>
      <c r="C453" s="23" t="s">
        <v>1550</v>
      </c>
      <c r="D453" s="11" t="s">
        <v>2393</v>
      </c>
      <c r="E453" s="3" t="s">
        <v>2394</v>
      </c>
      <c r="F453" s="3" t="s">
        <v>1625</v>
      </c>
      <c r="G453" s="3" t="s">
        <v>1572</v>
      </c>
      <c r="H453" s="11" t="s">
        <v>119</v>
      </c>
      <c r="I453" s="21">
        <v>-11.2535189439607</v>
      </c>
      <c r="J453" s="21">
        <v>-57.508241758241702</v>
      </c>
      <c r="K453" s="21" t="s">
        <v>2272</v>
      </c>
      <c r="L453" s="3">
        <v>1996</v>
      </c>
      <c r="M453" s="3">
        <v>1997</v>
      </c>
      <c r="N453" s="3" t="s">
        <v>2272</v>
      </c>
      <c r="O453" s="4" t="s">
        <v>1</v>
      </c>
      <c r="P453" s="5" t="s">
        <v>5181</v>
      </c>
      <c r="Q453" s="3"/>
    </row>
    <row r="454" spans="1:17" ht="38" customHeight="1">
      <c r="A454" s="31">
        <v>84</v>
      </c>
      <c r="B454" s="53" t="s">
        <v>1161</v>
      </c>
      <c r="C454" s="23" t="s">
        <v>1551</v>
      </c>
      <c r="D454" s="11" t="s">
        <v>2393</v>
      </c>
      <c r="E454" s="3" t="s">
        <v>2394</v>
      </c>
      <c r="F454" s="3" t="s">
        <v>1626</v>
      </c>
      <c r="G454" s="3" t="s">
        <v>1572</v>
      </c>
      <c r="H454" s="11" t="s">
        <v>119</v>
      </c>
      <c r="I454" s="21">
        <v>-11.5347490058889</v>
      </c>
      <c r="J454" s="21">
        <v>-57.409394552064498</v>
      </c>
      <c r="K454" s="21" t="s">
        <v>2272</v>
      </c>
      <c r="L454" s="3">
        <v>1996</v>
      </c>
      <c r="M454" s="3">
        <v>1997</v>
      </c>
      <c r="N454" s="3" t="s">
        <v>2272</v>
      </c>
      <c r="O454" s="4" t="s">
        <v>1</v>
      </c>
      <c r="P454" s="5" t="s">
        <v>5181</v>
      </c>
      <c r="Q454" s="3"/>
    </row>
    <row r="455" spans="1:17" ht="38" customHeight="1">
      <c r="A455" s="31">
        <v>84</v>
      </c>
      <c r="B455" s="53" t="s">
        <v>1161</v>
      </c>
      <c r="C455" s="23" t="s">
        <v>1552</v>
      </c>
      <c r="D455" s="11" t="s">
        <v>2393</v>
      </c>
      <c r="E455" s="3" t="s">
        <v>2394</v>
      </c>
      <c r="F455" s="3" t="s">
        <v>1627</v>
      </c>
      <c r="G455" s="3" t="s">
        <v>1572</v>
      </c>
      <c r="H455" s="11" t="s">
        <v>119</v>
      </c>
      <c r="I455" s="21">
        <v>-11.3082271339758</v>
      </c>
      <c r="J455" s="21">
        <v>-56.819521869638699</v>
      </c>
      <c r="K455" s="21" t="s">
        <v>2272</v>
      </c>
      <c r="L455" s="3">
        <v>1996</v>
      </c>
      <c r="M455" s="3">
        <v>1997</v>
      </c>
      <c r="N455" s="3" t="s">
        <v>2272</v>
      </c>
      <c r="O455" s="4" t="s">
        <v>1</v>
      </c>
      <c r="P455" s="5" t="s">
        <v>5181</v>
      </c>
      <c r="Q455" s="3"/>
    </row>
    <row r="456" spans="1:17" ht="38" customHeight="1">
      <c r="A456" s="31">
        <v>84</v>
      </c>
      <c r="B456" s="53" t="s">
        <v>1161</v>
      </c>
      <c r="C456" s="23" t="s">
        <v>1553</v>
      </c>
      <c r="D456" s="11" t="s">
        <v>2393</v>
      </c>
      <c r="E456" s="3" t="s">
        <v>2394</v>
      </c>
      <c r="F456" s="3" t="s">
        <v>1628</v>
      </c>
      <c r="G456" s="3" t="s">
        <v>1572</v>
      </c>
      <c r="H456" s="11" t="s">
        <v>119</v>
      </c>
      <c r="I456" s="21">
        <v>-12.121016598174499</v>
      </c>
      <c r="J456" s="21">
        <v>-58.005782511000803</v>
      </c>
      <c r="K456" s="21" t="s">
        <v>2272</v>
      </c>
      <c r="L456" s="3">
        <v>1996</v>
      </c>
      <c r="M456" s="3">
        <v>1997</v>
      </c>
      <c r="N456" s="3" t="s">
        <v>2272</v>
      </c>
      <c r="O456" s="4" t="s">
        <v>1</v>
      </c>
      <c r="P456" s="5" t="s">
        <v>5181</v>
      </c>
      <c r="Q456" s="3"/>
    </row>
    <row r="457" spans="1:17" ht="38" customHeight="1">
      <c r="A457" s="31">
        <v>84</v>
      </c>
      <c r="B457" s="53" t="s">
        <v>1161</v>
      </c>
      <c r="C457" s="23" t="s">
        <v>1554</v>
      </c>
      <c r="D457" s="11" t="s">
        <v>2393</v>
      </c>
      <c r="E457" s="3" t="s">
        <v>2394</v>
      </c>
      <c r="F457" s="3" t="s">
        <v>1629</v>
      </c>
      <c r="G457" s="3" t="s">
        <v>1572</v>
      </c>
      <c r="H457" s="11" t="s">
        <v>119</v>
      </c>
      <c r="I457" s="21">
        <v>-13.666464327188899</v>
      </c>
      <c r="J457" s="21">
        <v>-59.788376924492098</v>
      </c>
      <c r="K457" s="21" t="s">
        <v>2272</v>
      </c>
      <c r="L457" s="3">
        <v>1996</v>
      </c>
      <c r="M457" s="3">
        <v>1997</v>
      </c>
      <c r="N457" s="3" t="s">
        <v>2272</v>
      </c>
      <c r="O457" s="4" t="s">
        <v>1</v>
      </c>
      <c r="P457" s="5" t="s">
        <v>5181</v>
      </c>
      <c r="Q457" s="3"/>
    </row>
    <row r="458" spans="1:17" ht="38" customHeight="1">
      <c r="A458" s="31">
        <v>84</v>
      </c>
      <c r="B458" s="53" t="s">
        <v>1161</v>
      </c>
      <c r="C458" s="23" t="s">
        <v>1555</v>
      </c>
      <c r="D458" s="11" t="s">
        <v>2393</v>
      </c>
      <c r="E458" s="3" t="s">
        <v>2394</v>
      </c>
      <c r="F458" s="3" t="s">
        <v>1630</v>
      </c>
      <c r="G458" s="3" t="s">
        <v>1572</v>
      </c>
      <c r="H458" s="11" t="s">
        <v>119</v>
      </c>
      <c r="I458" s="21">
        <v>-11.4370183263364</v>
      </c>
      <c r="J458" s="21">
        <v>-61.457417582417598</v>
      </c>
      <c r="K458" s="21" t="s">
        <v>2272</v>
      </c>
      <c r="L458" s="3">
        <v>1996</v>
      </c>
      <c r="M458" s="3">
        <v>1997</v>
      </c>
      <c r="N458" s="3" t="s">
        <v>2272</v>
      </c>
      <c r="O458" s="4" t="s">
        <v>1</v>
      </c>
      <c r="P458" s="5" t="s">
        <v>5181</v>
      </c>
      <c r="Q458" s="3"/>
    </row>
    <row r="459" spans="1:17" ht="38" customHeight="1">
      <c r="A459" s="31">
        <v>84</v>
      </c>
      <c r="B459" s="53" t="s">
        <v>1161</v>
      </c>
      <c r="C459" s="23" t="s">
        <v>1556</v>
      </c>
      <c r="D459" s="11" t="s">
        <v>2393</v>
      </c>
      <c r="E459" s="3" t="s">
        <v>2394</v>
      </c>
      <c r="F459" s="3" t="s">
        <v>1631</v>
      </c>
      <c r="G459" s="3" t="s">
        <v>1572</v>
      </c>
      <c r="H459" s="11" t="s">
        <v>119</v>
      </c>
      <c r="I459" s="21">
        <v>-11.688514592825999</v>
      </c>
      <c r="J459" s="21">
        <v>-61.174479962291997</v>
      </c>
      <c r="K459" s="21" t="s">
        <v>2272</v>
      </c>
      <c r="L459" s="3">
        <v>1996</v>
      </c>
      <c r="M459" s="3">
        <v>1997</v>
      </c>
      <c r="N459" s="3" t="s">
        <v>2272</v>
      </c>
      <c r="O459" s="4" t="s">
        <v>1</v>
      </c>
      <c r="P459" s="5" t="s">
        <v>5181</v>
      </c>
      <c r="Q459" s="3"/>
    </row>
    <row r="460" spans="1:17" ht="38" customHeight="1">
      <c r="A460" s="31">
        <v>84</v>
      </c>
      <c r="B460" s="53" t="s">
        <v>1161</v>
      </c>
      <c r="C460" s="23" t="s">
        <v>1557</v>
      </c>
      <c r="D460" s="11" t="s">
        <v>2393</v>
      </c>
      <c r="E460" s="3" t="s">
        <v>2394</v>
      </c>
      <c r="F460" s="3" t="s">
        <v>1632</v>
      </c>
      <c r="G460" s="3" t="s">
        <v>1572</v>
      </c>
      <c r="H460" s="11" t="s">
        <v>119</v>
      </c>
      <c r="I460" s="21">
        <v>-11.536509059139901</v>
      </c>
      <c r="J460" s="21">
        <v>-61.016344035099102</v>
      </c>
      <c r="K460" s="21" t="s">
        <v>2272</v>
      </c>
      <c r="L460" s="3">
        <v>1996</v>
      </c>
      <c r="M460" s="3">
        <v>1997</v>
      </c>
      <c r="N460" s="3" t="s">
        <v>2272</v>
      </c>
      <c r="O460" s="4" t="s">
        <v>1</v>
      </c>
      <c r="P460" s="5" t="s">
        <v>5181</v>
      </c>
      <c r="Q460" s="3"/>
    </row>
    <row r="461" spans="1:17" ht="38" customHeight="1">
      <c r="A461" s="31">
        <v>84</v>
      </c>
      <c r="B461" s="53" t="s">
        <v>1161</v>
      </c>
      <c r="C461" s="23" t="s">
        <v>1558</v>
      </c>
      <c r="D461" s="11" t="s">
        <v>2393</v>
      </c>
      <c r="E461" s="3" t="s">
        <v>2394</v>
      </c>
      <c r="F461" s="3" t="s">
        <v>1633</v>
      </c>
      <c r="G461" s="3" t="s">
        <v>1572</v>
      </c>
      <c r="H461" s="11" t="s">
        <v>119</v>
      </c>
      <c r="I461" s="21">
        <v>-11.928844176496099</v>
      </c>
      <c r="J461" s="21">
        <v>-61.995793269230802</v>
      </c>
      <c r="K461" s="21" t="s">
        <v>2272</v>
      </c>
      <c r="L461" s="3">
        <v>1996</v>
      </c>
      <c r="M461" s="3">
        <v>1997</v>
      </c>
      <c r="N461" s="3" t="s">
        <v>2272</v>
      </c>
      <c r="O461" s="4" t="s">
        <v>1</v>
      </c>
      <c r="P461" s="5" t="s">
        <v>5181</v>
      </c>
      <c r="Q461" s="3"/>
    </row>
    <row r="462" spans="1:17" ht="38" customHeight="1">
      <c r="A462" s="31">
        <v>84</v>
      </c>
      <c r="B462" s="53" t="s">
        <v>1161</v>
      </c>
      <c r="C462" s="23" t="s">
        <v>1559</v>
      </c>
      <c r="D462" s="11" t="s">
        <v>2393</v>
      </c>
      <c r="E462" s="3" t="s">
        <v>2394</v>
      </c>
      <c r="F462" s="3" t="s">
        <v>1634</v>
      </c>
      <c r="G462" s="3" t="s">
        <v>1572</v>
      </c>
      <c r="H462" s="11" t="s">
        <v>119</v>
      </c>
      <c r="I462" s="21">
        <v>-11.7254594230468</v>
      </c>
      <c r="J462" s="21">
        <v>-62.145384874044197</v>
      </c>
      <c r="K462" s="21" t="s">
        <v>2272</v>
      </c>
      <c r="L462" s="3">
        <v>1996</v>
      </c>
      <c r="M462" s="3">
        <v>1997</v>
      </c>
      <c r="N462" s="3" t="s">
        <v>2272</v>
      </c>
      <c r="O462" s="4" t="s">
        <v>1</v>
      </c>
      <c r="P462" s="5" t="s">
        <v>5181</v>
      </c>
      <c r="Q462" s="3"/>
    </row>
    <row r="463" spans="1:17" ht="38" customHeight="1">
      <c r="A463" s="31">
        <v>84</v>
      </c>
      <c r="B463" s="53" t="s">
        <v>1161</v>
      </c>
      <c r="C463" s="23" t="s">
        <v>1560</v>
      </c>
      <c r="D463" s="11" t="s">
        <v>2393</v>
      </c>
      <c r="E463" s="3" t="s">
        <v>2394</v>
      </c>
      <c r="F463" s="3" t="s">
        <v>1635</v>
      </c>
      <c r="G463" s="3" t="s">
        <v>1572</v>
      </c>
      <c r="H463" s="11" t="s">
        <v>119</v>
      </c>
      <c r="I463" s="21">
        <v>-12.060184630483599</v>
      </c>
      <c r="J463" s="21">
        <v>-63.569282280219802</v>
      </c>
      <c r="K463" s="21" t="s">
        <v>2272</v>
      </c>
      <c r="L463" s="3">
        <v>1996</v>
      </c>
      <c r="M463" s="3">
        <v>1997</v>
      </c>
      <c r="N463" s="3" t="s">
        <v>2272</v>
      </c>
      <c r="O463" s="4" t="s">
        <v>1</v>
      </c>
      <c r="P463" s="5" t="s">
        <v>5181</v>
      </c>
      <c r="Q463" s="3"/>
    </row>
    <row r="464" spans="1:17" ht="38" customHeight="1">
      <c r="A464" s="31">
        <v>84</v>
      </c>
      <c r="B464" s="53" t="s">
        <v>1161</v>
      </c>
      <c r="C464" s="23" t="s">
        <v>1561</v>
      </c>
      <c r="D464" s="11" t="s">
        <v>2393</v>
      </c>
      <c r="E464" s="3" t="s">
        <v>2394</v>
      </c>
      <c r="F464" s="3" t="s">
        <v>1636</v>
      </c>
      <c r="G464" s="3" t="s">
        <v>1572</v>
      </c>
      <c r="H464" s="11" t="s">
        <v>119</v>
      </c>
      <c r="I464" s="21">
        <v>-10.8643374228556</v>
      </c>
      <c r="J464" s="21">
        <v>-61.926796093733898</v>
      </c>
      <c r="K464" s="21" t="s">
        <v>2272</v>
      </c>
      <c r="L464" s="3">
        <v>1996</v>
      </c>
      <c r="M464" s="3">
        <v>1997</v>
      </c>
      <c r="N464" s="3" t="s">
        <v>2272</v>
      </c>
      <c r="O464" s="4" t="s">
        <v>1</v>
      </c>
      <c r="P464" s="5" t="s">
        <v>5181</v>
      </c>
      <c r="Q464" s="3"/>
    </row>
    <row r="465" spans="1:17" ht="38" customHeight="1">
      <c r="A465" s="31">
        <v>84</v>
      </c>
      <c r="B465" s="53" t="s">
        <v>1161</v>
      </c>
      <c r="C465" s="23" t="s">
        <v>1562</v>
      </c>
      <c r="D465" s="11" t="s">
        <v>2393</v>
      </c>
      <c r="E465" s="3" t="s">
        <v>2394</v>
      </c>
      <c r="F465" s="3" t="s">
        <v>1637</v>
      </c>
      <c r="G465" s="3" t="s">
        <v>1572</v>
      </c>
      <c r="H465" s="11" t="s">
        <v>119</v>
      </c>
      <c r="I465" s="21">
        <v>-10.7118410944519</v>
      </c>
      <c r="J465" s="21">
        <v>-62.258541993893701</v>
      </c>
      <c r="K465" s="21" t="s">
        <v>2272</v>
      </c>
      <c r="L465" s="3">
        <v>1996</v>
      </c>
      <c r="M465" s="3">
        <v>1997</v>
      </c>
      <c r="N465" s="3" t="s">
        <v>2272</v>
      </c>
      <c r="O465" s="4" t="s">
        <v>1</v>
      </c>
      <c r="P465" s="5" t="s">
        <v>5181</v>
      </c>
      <c r="Q465" s="3"/>
    </row>
    <row r="466" spans="1:17" ht="38" customHeight="1">
      <c r="A466" s="31">
        <v>84</v>
      </c>
      <c r="B466" s="53" t="s">
        <v>1161</v>
      </c>
      <c r="C466" s="23" t="s">
        <v>1563</v>
      </c>
      <c r="D466" s="11" t="s">
        <v>2393</v>
      </c>
      <c r="E466" s="3" t="s">
        <v>2394</v>
      </c>
      <c r="F466" s="3" t="s">
        <v>1638</v>
      </c>
      <c r="G466" s="3" t="s">
        <v>1572</v>
      </c>
      <c r="H466" s="11" t="s">
        <v>119</v>
      </c>
      <c r="I466" s="21">
        <v>-10.4347370683873</v>
      </c>
      <c r="J466" s="21">
        <v>-62.485636021078498</v>
      </c>
      <c r="K466" s="21" t="s">
        <v>2272</v>
      </c>
      <c r="L466" s="3">
        <v>1996</v>
      </c>
      <c r="M466" s="3">
        <v>1997</v>
      </c>
      <c r="N466" s="3" t="s">
        <v>2272</v>
      </c>
      <c r="O466" s="4" t="s">
        <v>1</v>
      </c>
      <c r="P466" s="5" t="s">
        <v>5181</v>
      </c>
      <c r="Q466" s="3"/>
    </row>
    <row r="467" spans="1:17" ht="38" customHeight="1">
      <c r="A467" s="31">
        <v>84</v>
      </c>
      <c r="B467" s="53" t="s">
        <v>1161</v>
      </c>
      <c r="C467" s="23" t="s">
        <v>1564</v>
      </c>
      <c r="D467" s="11" t="s">
        <v>2393</v>
      </c>
      <c r="E467" s="3" t="s">
        <v>2394</v>
      </c>
      <c r="F467" s="3" t="s">
        <v>1639</v>
      </c>
      <c r="G467" s="3" t="s">
        <v>1572</v>
      </c>
      <c r="H467" s="11" t="s">
        <v>119</v>
      </c>
      <c r="I467" s="21">
        <v>-9.42700109758424</v>
      </c>
      <c r="J467" s="21">
        <v>-62.000726902612399</v>
      </c>
      <c r="K467" s="21" t="s">
        <v>2272</v>
      </c>
      <c r="L467" s="3">
        <v>1996</v>
      </c>
      <c r="M467" s="3">
        <v>1997</v>
      </c>
      <c r="N467" s="3" t="s">
        <v>2272</v>
      </c>
      <c r="O467" s="4" t="s">
        <v>1</v>
      </c>
      <c r="P467" s="5" t="s">
        <v>5181</v>
      </c>
      <c r="Q467" s="3"/>
    </row>
    <row r="468" spans="1:17" ht="38" customHeight="1">
      <c r="A468" s="31">
        <v>84</v>
      </c>
      <c r="B468" s="53" t="s">
        <v>1161</v>
      </c>
      <c r="C468" s="23" t="s">
        <v>1565</v>
      </c>
      <c r="D468" s="11" t="s">
        <v>2393</v>
      </c>
      <c r="E468" s="3" t="s">
        <v>2394</v>
      </c>
      <c r="F468" s="3" t="s">
        <v>1640</v>
      </c>
      <c r="G468" s="3" t="s">
        <v>1572</v>
      </c>
      <c r="H468" s="11" t="s">
        <v>119</v>
      </c>
      <c r="I468" s="21">
        <v>-9.35831408612008</v>
      </c>
      <c r="J468" s="21">
        <v>-62.586886696230998</v>
      </c>
      <c r="K468" s="21" t="s">
        <v>2272</v>
      </c>
      <c r="L468" s="3">
        <v>1996</v>
      </c>
      <c r="M468" s="3">
        <v>1997</v>
      </c>
      <c r="N468" s="3" t="s">
        <v>2272</v>
      </c>
      <c r="O468" s="4" t="s">
        <v>1</v>
      </c>
      <c r="P468" s="5" t="s">
        <v>5181</v>
      </c>
      <c r="Q468" s="3"/>
    </row>
    <row r="469" spans="1:17" ht="38" customHeight="1">
      <c r="A469" s="31">
        <v>84</v>
      </c>
      <c r="B469" s="53" t="s">
        <v>1161</v>
      </c>
      <c r="C469" s="23" t="s">
        <v>1566</v>
      </c>
      <c r="D469" s="11" t="s">
        <v>2393</v>
      </c>
      <c r="E469" s="3" t="s">
        <v>2394</v>
      </c>
      <c r="F469" s="3" t="s">
        <v>1641</v>
      </c>
      <c r="G469" s="3" t="s">
        <v>1572</v>
      </c>
      <c r="H469" s="11" t="s">
        <v>119</v>
      </c>
      <c r="I469" s="21">
        <v>-8.7662178967217592</v>
      </c>
      <c r="J469" s="21">
        <v>-63.8712222292083</v>
      </c>
      <c r="K469" s="21" t="s">
        <v>2272</v>
      </c>
      <c r="L469" s="3">
        <v>1996</v>
      </c>
      <c r="M469" s="3">
        <v>1997</v>
      </c>
      <c r="N469" s="3" t="s">
        <v>2272</v>
      </c>
      <c r="O469" s="4" t="s">
        <v>1</v>
      </c>
      <c r="P469" s="5" t="s">
        <v>5181</v>
      </c>
      <c r="Q469" s="3"/>
    </row>
    <row r="470" spans="1:17" ht="38" customHeight="1">
      <c r="A470" s="31">
        <v>84</v>
      </c>
      <c r="B470" s="53" t="s">
        <v>1161</v>
      </c>
      <c r="C470" s="23" t="s">
        <v>1567</v>
      </c>
      <c r="D470" s="11" t="s">
        <v>2393</v>
      </c>
      <c r="E470" s="3" t="s">
        <v>2394</v>
      </c>
      <c r="F470" s="3" t="s">
        <v>1642</v>
      </c>
      <c r="G470" s="3" t="s">
        <v>1572</v>
      </c>
      <c r="H470" s="11" t="s">
        <v>119</v>
      </c>
      <c r="I470" s="21">
        <v>-9.9059775731374309</v>
      </c>
      <c r="J470" s="21">
        <v>-63.032967032967001</v>
      </c>
      <c r="K470" s="21" t="s">
        <v>2272</v>
      </c>
      <c r="L470" s="3">
        <v>1996</v>
      </c>
      <c r="M470" s="3">
        <v>1997</v>
      </c>
      <c r="N470" s="3" t="s">
        <v>2272</v>
      </c>
      <c r="O470" s="4" t="s">
        <v>1</v>
      </c>
      <c r="P470" s="5" t="s">
        <v>5181</v>
      </c>
      <c r="Q470" s="3"/>
    </row>
    <row r="471" spans="1:17" ht="38" customHeight="1">
      <c r="A471" s="31">
        <v>84</v>
      </c>
      <c r="B471" s="53" t="s">
        <v>1161</v>
      </c>
      <c r="C471" s="23" t="s">
        <v>1568</v>
      </c>
      <c r="D471" s="11" t="s">
        <v>2393</v>
      </c>
      <c r="E471" s="3" t="s">
        <v>2394</v>
      </c>
      <c r="F471" s="3" t="s">
        <v>1643</v>
      </c>
      <c r="G471" s="3" t="s">
        <v>1572</v>
      </c>
      <c r="H471" s="11" t="s">
        <v>119</v>
      </c>
      <c r="I471" s="21">
        <v>-10.2626495294784</v>
      </c>
      <c r="J471" s="21">
        <v>-63.299886099591298</v>
      </c>
      <c r="K471" s="21" t="s">
        <v>2272</v>
      </c>
      <c r="L471" s="3">
        <v>1996</v>
      </c>
      <c r="M471" s="3">
        <v>1997</v>
      </c>
      <c r="N471" s="3" t="s">
        <v>2272</v>
      </c>
      <c r="O471" s="4" t="s">
        <v>1</v>
      </c>
      <c r="P471" s="5" t="s">
        <v>5181</v>
      </c>
      <c r="Q471" s="3"/>
    </row>
    <row r="472" spans="1:17" ht="38" customHeight="1">
      <c r="A472" s="31">
        <v>84</v>
      </c>
      <c r="B472" s="53" t="s">
        <v>1161</v>
      </c>
      <c r="C472" s="23" t="s">
        <v>1569</v>
      </c>
      <c r="D472" s="11" t="s">
        <v>2393</v>
      </c>
      <c r="E472" s="3" t="s">
        <v>2394</v>
      </c>
      <c r="F472" s="3" t="s">
        <v>1644</v>
      </c>
      <c r="G472" s="3" t="s">
        <v>1572</v>
      </c>
      <c r="H472" s="11" t="s">
        <v>119</v>
      </c>
      <c r="I472" s="21">
        <v>-9.7814503515399096</v>
      </c>
      <c r="J472" s="21">
        <v>-63.554567782134598</v>
      </c>
      <c r="K472" s="21" t="s">
        <v>2272</v>
      </c>
      <c r="L472" s="3">
        <v>1996</v>
      </c>
      <c r="M472" s="3">
        <v>1997</v>
      </c>
      <c r="N472" s="3" t="s">
        <v>2272</v>
      </c>
      <c r="O472" s="4" t="s">
        <v>1</v>
      </c>
      <c r="P472" s="5" t="s">
        <v>5181</v>
      </c>
      <c r="Q472" s="3"/>
    </row>
    <row r="473" spans="1:17" ht="38" customHeight="1">
      <c r="A473" s="31">
        <v>84</v>
      </c>
      <c r="B473" s="53" t="s">
        <v>1161</v>
      </c>
      <c r="C473" s="23" t="s">
        <v>1570</v>
      </c>
      <c r="D473" s="11" t="s">
        <v>2393</v>
      </c>
      <c r="E473" s="3" t="s">
        <v>2394</v>
      </c>
      <c r="F473" s="3" t="s">
        <v>1645</v>
      </c>
      <c r="G473" s="3" t="s">
        <v>1572</v>
      </c>
      <c r="H473" s="11" t="s">
        <v>119</v>
      </c>
      <c r="I473" s="21">
        <v>-9.7205866148294096</v>
      </c>
      <c r="J473" s="21">
        <v>-63.318810096153797</v>
      </c>
      <c r="K473" s="21" t="s">
        <v>2272</v>
      </c>
      <c r="L473" s="3">
        <v>1996</v>
      </c>
      <c r="M473" s="3">
        <v>1997</v>
      </c>
      <c r="N473" s="3" t="s">
        <v>2272</v>
      </c>
      <c r="O473" s="4" t="s">
        <v>1</v>
      </c>
      <c r="P473" s="5" t="s">
        <v>5181</v>
      </c>
      <c r="Q473" s="3"/>
    </row>
    <row r="474" spans="1:17" ht="38" customHeight="1">
      <c r="A474" s="31">
        <v>84</v>
      </c>
      <c r="B474" s="53" t="s">
        <v>1161</v>
      </c>
      <c r="C474" s="23" t="s">
        <v>1571</v>
      </c>
      <c r="D474" s="11" t="s">
        <v>2393</v>
      </c>
      <c r="E474" s="3" t="s">
        <v>2394</v>
      </c>
      <c r="F474" s="3" t="s">
        <v>1646</v>
      </c>
      <c r="G474" s="3" t="s">
        <v>1572</v>
      </c>
      <c r="H474" s="11" t="s">
        <v>119</v>
      </c>
      <c r="I474" s="21">
        <v>-10.5708117428132</v>
      </c>
      <c r="J474" s="21">
        <v>-63.621314225063301</v>
      </c>
      <c r="K474" s="21" t="s">
        <v>2272</v>
      </c>
      <c r="L474" s="3">
        <v>1996</v>
      </c>
      <c r="M474" s="3">
        <v>1997</v>
      </c>
      <c r="N474" s="3" t="s">
        <v>2272</v>
      </c>
      <c r="O474" s="4" t="s">
        <v>1</v>
      </c>
      <c r="P474" s="5" t="s">
        <v>5181</v>
      </c>
      <c r="Q474" s="3"/>
    </row>
    <row r="475" spans="1:17" ht="43" customHeight="1">
      <c r="A475" s="31">
        <v>85</v>
      </c>
      <c r="B475" s="53" t="s">
        <v>1162</v>
      </c>
      <c r="C475" s="23" t="s">
        <v>1149</v>
      </c>
      <c r="D475" s="11" t="s">
        <v>2393</v>
      </c>
      <c r="E475" s="3" t="s">
        <v>2394</v>
      </c>
      <c r="F475" s="4" t="s">
        <v>1163</v>
      </c>
      <c r="G475" s="3" t="s">
        <v>1164</v>
      </c>
      <c r="H475" s="3" t="s">
        <v>892</v>
      </c>
      <c r="I475" s="21">
        <v>-0.77628699999999995</v>
      </c>
      <c r="J475" s="21">
        <v>100.48071729999999</v>
      </c>
      <c r="K475" s="21" t="s">
        <v>2272</v>
      </c>
      <c r="L475" s="3">
        <v>2000</v>
      </c>
      <c r="M475" s="3">
        <v>2000</v>
      </c>
      <c r="N475" s="3" t="s">
        <v>2272</v>
      </c>
      <c r="O475" s="4" t="s">
        <v>66</v>
      </c>
      <c r="P475" s="5" t="s">
        <v>5181</v>
      </c>
      <c r="Q475" s="3" t="s">
        <v>2291</v>
      </c>
    </row>
    <row r="476" spans="1:17" ht="42" customHeight="1">
      <c r="A476" s="31">
        <v>85</v>
      </c>
      <c r="B476" s="53" t="s">
        <v>1162</v>
      </c>
      <c r="C476" s="23" t="s">
        <v>1165</v>
      </c>
      <c r="D476" s="11" t="s">
        <v>2393</v>
      </c>
      <c r="E476" s="3" t="s">
        <v>2394</v>
      </c>
      <c r="F476" s="4" t="s">
        <v>1166</v>
      </c>
      <c r="G476" s="3" t="s">
        <v>1164</v>
      </c>
      <c r="H476" s="3" t="s">
        <v>892</v>
      </c>
      <c r="I476" s="21">
        <v>3.7843939</v>
      </c>
      <c r="J476" s="21">
        <v>97.258130300000005</v>
      </c>
      <c r="K476" s="21" t="s">
        <v>2272</v>
      </c>
      <c r="L476" s="3">
        <v>2000</v>
      </c>
      <c r="M476" s="3">
        <v>2000</v>
      </c>
      <c r="N476" s="3" t="s">
        <v>2272</v>
      </c>
      <c r="O476" s="4" t="s">
        <v>66</v>
      </c>
      <c r="P476" s="5" t="s">
        <v>5181</v>
      </c>
      <c r="Q476" s="3" t="s">
        <v>2291</v>
      </c>
    </row>
    <row r="477" spans="1:17" ht="43" customHeight="1">
      <c r="A477" s="31">
        <v>85</v>
      </c>
      <c r="B477" s="53" t="s">
        <v>1162</v>
      </c>
      <c r="C477" s="23" t="s">
        <v>1167</v>
      </c>
      <c r="D477" s="11" t="s">
        <v>2393</v>
      </c>
      <c r="E477" s="3" t="s">
        <v>2394</v>
      </c>
      <c r="F477" s="3" t="s">
        <v>1169</v>
      </c>
      <c r="G477" s="3" t="s">
        <v>1168</v>
      </c>
      <c r="H477" s="3" t="s">
        <v>892</v>
      </c>
      <c r="I477" s="21">
        <v>2.582303</v>
      </c>
      <c r="J477" s="21">
        <v>115.6859664</v>
      </c>
      <c r="K477" s="21" t="s">
        <v>2272</v>
      </c>
      <c r="L477" s="3">
        <v>2000</v>
      </c>
      <c r="M477" s="3">
        <v>2000</v>
      </c>
      <c r="N477" s="3" t="s">
        <v>2272</v>
      </c>
      <c r="O477" s="4" t="s">
        <v>66</v>
      </c>
      <c r="P477" s="5" t="s">
        <v>5181</v>
      </c>
      <c r="Q477" s="3" t="s">
        <v>2291</v>
      </c>
    </row>
    <row r="478" spans="1:17" ht="50" customHeight="1">
      <c r="A478" s="31">
        <v>86</v>
      </c>
      <c r="B478" s="37" t="s">
        <v>1175</v>
      </c>
      <c r="C478" s="23" t="s">
        <v>1174</v>
      </c>
      <c r="D478" s="11" t="s">
        <v>2393</v>
      </c>
      <c r="E478" s="3" t="s">
        <v>2632</v>
      </c>
      <c r="F478" s="3" t="s">
        <v>2272</v>
      </c>
      <c r="G478" s="11" t="s">
        <v>1176</v>
      </c>
      <c r="H478" s="11" t="s">
        <v>119</v>
      </c>
      <c r="I478" s="21">
        <v>1.8444187999999999</v>
      </c>
      <c r="J478" s="21">
        <v>-61.8580629</v>
      </c>
      <c r="K478" s="21" t="s">
        <v>2272</v>
      </c>
      <c r="L478" s="11">
        <v>1998</v>
      </c>
      <c r="M478" s="11">
        <v>1999</v>
      </c>
      <c r="N478" s="3" t="s">
        <v>2272</v>
      </c>
      <c r="O478" s="3" t="s">
        <v>66</v>
      </c>
      <c r="P478" s="5" t="s">
        <v>5181</v>
      </c>
      <c r="Q478" s="4" t="s">
        <v>1177</v>
      </c>
    </row>
    <row r="479" spans="1:17" ht="62" customHeight="1">
      <c r="A479" s="31">
        <v>87</v>
      </c>
      <c r="B479" s="37" t="s">
        <v>1188</v>
      </c>
      <c r="C479" s="23" t="s">
        <v>1187</v>
      </c>
      <c r="D479" s="11" t="s">
        <v>2393</v>
      </c>
      <c r="E479" s="3" t="s">
        <v>2632</v>
      </c>
      <c r="F479" s="3" t="s">
        <v>1189</v>
      </c>
      <c r="G479" s="3" t="s">
        <v>1190</v>
      </c>
      <c r="H479" s="3" t="s">
        <v>776</v>
      </c>
      <c r="I479" s="21">
        <v>20.876207600000001</v>
      </c>
      <c r="J479" s="21">
        <v>105.2410666</v>
      </c>
      <c r="K479" s="21">
        <v>7.5</v>
      </c>
      <c r="L479" s="3">
        <v>1988</v>
      </c>
      <c r="M479" s="3">
        <v>1994</v>
      </c>
      <c r="N479" s="3">
        <v>52</v>
      </c>
      <c r="O479" s="3" t="s">
        <v>181</v>
      </c>
      <c r="P479" s="5" t="s">
        <v>5181</v>
      </c>
      <c r="Q479" s="3" t="s">
        <v>2418</v>
      </c>
    </row>
    <row r="480" spans="1:17" ht="49" customHeight="1">
      <c r="A480" s="31">
        <v>87</v>
      </c>
      <c r="B480" s="37" t="s">
        <v>1188</v>
      </c>
      <c r="C480" s="23" t="s">
        <v>1191</v>
      </c>
      <c r="D480" s="11" t="s">
        <v>2393</v>
      </c>
      <c r="E480" s="3" t="s">
        <v>2632</v>
      </c>
      <c r="F480" s="3" t="s">
        <v>1189</v>
      </c>
      <c r="G480" s="3" t="s">
        <v>1190</v>
      </c>
      <c r="H480" s="3" t="s">
        <v>776</v>
      </c>
      <c r="I480" s="21">
        <v>20.876207600000001</v>
      </c>
      <c r="J480" s="21">
        <v>105.2410666</v>
      </c>
      <c r="K480" s="21">
        <v>7.5</v>
      </c>
      <c r="L480" s="3">
        <v>1995</v>
      </c>
      <c r="M480" s="3">
        <v>1999</v>
      </c>
      <c r="N480" s="3">
        <v>58</v>
      </c>
      <c r="O480" s="3" t="s">
        <v>181</v>
      </c>
      <c r="P480" s="5" t="s">
        <v>5181</v>
      </c>
      <c r="Q480" s="3" t="s">
        <v>2418</v>
      </c>
    </row>
    <row r="481" spans="1:17" ht="38" customHeight="1">
      <c r="A481" s="31">
        <v>87</v>
      </c>
      <c r="B481" s="37" t="s">
        <v>1188</v>
      </c>
      <c r="C481" s="23" t="s">
        <v>1192</v>
      </c>
      <c r="D481" s="11" t="s">
        <v>2393</v>
      </c>
      <c r="E481" s="3" t="s">
        <v>2632</v>
      </c>
      <c r="F481" s="3" t="s">
        <v>1189</v>
      </c>
      <c r="G481" s="3" t="s">
        <v>1190</v>
      </c>
      <c r="H481" s="3" t="s">
        <v>776</v>
      </c>
      <c r="I481" s="21">
        <v>20.876207600000001</v>
      </c>
      <c r="J481" s="21">
        <v>105.2410666</v>
      </c>
      <c r="K481" s="21">
        <v>7.5</v>
      </c>
      <c r="L481" s="3">
        <v>2000</v>
      </c>
      <c r="M481" s="3">
        <v>2003</v>
      </c>
      <c r="N481" s="3">
        <v>64</v>
      </c>
      <c r="O481" s="3" t="s">
        <v>181</v>
      </c>
      <c r="P481" s="5" t="s">
        <v>5181</v>
      </c>
      <c r="Q481" s="3" t="s">
        <v>2418</v>
      </c>
    </row>
    <row r="482" spans="1:17" ht="26" customHeight="1">
      <c r="A482" s="31">
        <v>88</v>
      </c>
      <c r="B482" s="37" t="s">
        <v>1222</v>
      </c>
      <c r="C482" s="23" t="s">
        <v>1201</v>
      </c>
      <c r="D482" s="11" t="s">
        <v>2393</v>
      </c>
      <c r="E482" s="3" t="s">
        <v>2394</v>
      </c>
      <c r="F482" s="3" t="s">
        <v>1220</v>
      </c>
      <c r="G482" s="3" t="s">
        <v>1221</v>
      </c>
      <c r="H482" s="3" t="s">
        <v>112</v>
      </c>
      <c r="I482" s="21">
        <v>27.871398599999999</v>
      </c>
      <c r="J482" s="21">
        <v>98.339702000000003</v>
      </c>
      <c r="K482" s="21" t="s">
        <v>2272</v>
      </c>
      <c r="L482" s="3">
        <v>2002</v>
      </c>
      <c r="M482" s="3">
        <v>2002</v>
      </c>
      <c r="N482" s="3" t="s">
        <v>2272</v>
      </c>
      <c r="O482" s="3" t="s">
        <v>66</v>
      </c>
      <c r="P482" s="5" t="s">
        <v>5181</v>
      </c>
      <c r="Q482" s="3"/>
    </row>
    <row r="483" spans="1:17" ht="27" customHeight="1">
      <c r="A483" s="31">
        <v>88</v>
      </c>
      <c r="B483" s="37" t="s">
        <v>1222</v>
      </c>
      <c r="C483" s="23" t="s">
        <v>1202</v>
      </c>
      <c r="D483" s="11" t="s">
        <v>2393</v>
      </c>
      <c r="E483" s="3" t="s">
        <v>2394</v>
      </c>
      <c r="F483" s="3" t="s">
        <v>1220</v>
      </c>
      <c r="G483" s="3" t="s">
        <v>1221</v>
      </c>
      <c r="H483" s="3" t="s">
        <v>112</v>
      </c>
      <c r="I483" s="21">
        <v>27.871398599999999</v>
      </c>
      <c r="J483" s="21">
        <v>98.339702000000003</v>
      </c>
      <c r="K483" s="21" t="s">
        <v>2272</v>
      </c>
      <c r="L483" s="3">
        <v>2009</v>
      </c>
      <c r="M483" s="3">
        <v>2009</v>
      </c>
      <c r="N483" s="3" t="s">
        <v>2272</v>
      </c>
      <c r="O483" s="3" t="s">
        <v>66</v>
      </c>
      <c r="P483" s="5" t="s">
        <v>5181</v>
      </c>
      <c r="Q483" s="3"/>
    </row>
    <row r="484" spans="1:17" ht="29" customHeight="1">
      <c r="A484" s="31">
        <v>88</v>
      </c>
      <c r="B484" s="37" t="s">
        <v>1222</v>
      </c>
      <c r="C484" s="23" t="s">
        <v>1203</v>
      </c>
      <c r="D484" s="11" t="s">
        <v>2393</v>
      </c>
      <c r="E484" s="3" t="s">
        <v>2394</v>
      </c>
      <c r="F484" s="3" t="s">
        <v>1219</v>
      </c>
      <c r="G484" s="3" t="s">
        <v>1221</v>
      </c>
      <c r="H484" s="3" t="s">
        <v>112</v>
      </c>
      <c r="I484" s="21">
        <v>28.108406200000001</v>
      </c>
      <c r="J484" s="21">
        <v>98.322796199999999</v>
      </c>
      <c r="K484" s="21" t="s">
        <v>2272</v>
      </c>
      <c r="L484" s="3">
        <v>2002</v>
      </c>
      <c r="M484" s="3">
        <v>2002</v>
      </c>
      <c r="N484" s="3" t="s">
        <v>2272</v>
      </c>
      <c r="O484" s="3" t="s">
        <v>66</v>
      </c>
      <c r="P484" s="5" t="s">
        <v>5181</v>
      </c>
      <c r="Q484" s="3"/>
    </row>
    <row r="485" spans="1:17" ht="30" customHeight="1">
      <c r="A485" s="31">
        <v>88</v>
      </c>
      <c r="B485" s="37" t="s">
        <v>1222</v>
      </c>
      <c r="C485" s="23" t="s">
        <v>1204</v>
      </c>
      <c r="D485" s="11" t="s">
        <v>2393</v>
      </c>
      <c r="E485" s="3" t="s">
        <v>2394</v>
      </c>
      <c r="F485" s="3" t="s">
        <v>1219</v>
      </c>
      <c r="G485" s="3" t="s">
        <v>1221</v>
      </c>
      <c r="H485" s="3" t="s">
        <v>112</v>
      </c>
      <c r="I485" s="21">
        <v>28.108406200000001</v>
      </c>
      <c r="J485" s="21">
        <v>98.322796199999999</v>
      </c>
      <c r="K485" s="21" t="s">
        <v>2272</v>
      </c>
      <c r="L485" s="3">
        <v>2009</v>
      </c>
      <c r="M485" s="3">
        <v>2009</v>
      </c>
      <c r="N485" s="3" t="s">
        <v>2272</v>
      </c>
      <c r="O485" s="3" t="s">
        <v>66</v>
      </c>
      <c r="P485" s="5" t="s">
        <v>5181</v>
      </c>
      <c r="Q485" s="3"/>
    </row>
    <row r="486" spans="1:17" ht="38" customHeight="1">
      <c r="A486" s="31">
        <v>89</v>
      </c>
      <c r="B486" s="37" t="s">
        <v>1225</v>
      </c>
      <c r="C486" s="23" t="s">
        <v>1228</v>
      </c>
      <c r="D486" s="11" t="s">
        <v>2393</v>
      </c>
      <c r="E486" s="3" t="s">
        <v>2394</v>
      </c>
      <c r="F486" s="3" t="s">
        <v>1226</v>
      </c>
      <c r="G486" s="3" t="s">
        <v>1227</v>
      </c>
      <c r="H486" s="3" t="s">
        <v>383</v>
      </c>
      <c r="I486" s="21">
        <v>-3.0032768999999999</v>
      </c>
      <c r="J486" s="21">
        <v>36.699071000000004</v>
      </c>
      <c r="K486" s="21" t="s">
        <v>2272</v>
      </c>
      <c r="L486" s="3">
        <v>2018</v>
      </c>
      <c r="M486" s="3">
        <v>2018</v>
      </c>
      <c r="N486" s="3" t="s">
        <v>2272</v>
      </c>
      <c r="O486" s="3" t="s">
        <v>66</v>
      </c>
      <c r="P486" s="5" t="s">
        <v>5181</v>
      </c>
      <c r="Q486" s="3"/>
    </row>
    <row r="487" spans="1:17" ht="59" customHeight="1">
      <c r="A487" s="31">
        <v>89</v>
      </c>
      <c r="B487" s="37" t="s">
        <v>1225</v>
      </c>
      <c r="C487" s="23" t="s">
        <v>1236</v>
      </c>
      <c r="D487" s="11" t="s">
        <v>2393</v>
      </c>
      <c r="E487" s="3" t="s">
        <v>2394</v>
      </c>
      <c r="F487" s="3" t="s">
        <v>2272</v>
      </c>
      <c r="G487" s="3" t="s">
        <v>1234</v>
      </c>
      <c r="H487" s="3" t="s">
        <v>1235</v>
      </c>
      <c r="I487" s="21">
        <v>-10.8</v>
      </c>
      <c r="J487" s="21">
        <v>33.799999999999997</v>
      </c>
      <c r="K487" s="21" t="s">
        <v>2272</v>
      </c>
      <c r="L487" s="3">
        <v>2018</v>
      </c>
      <c r="M487" s="3">
        <v>2018</v>
      </c>
      <c r="N487" s="3" t="s">
        <v>2272</v>
      </c>
      <c r="O487" s="3" t="s">
        <v>66</v>
      </c>
      <c r="P487" s="5" t="s">
        <v>5181</v>
      </c>
      <c r="Q487" s="3"/>
    </row>
    <row r="488" spans="1:17" ht="43.5" customHeight="1">
      <c r="A488" s="101">
        <v>90</v>
      </c>
      <c r="B488" s="37" t="s">
        <v>2440</v>
      </c>
      <c r="C488" s="3" t="s">
        <v>2441</v>
      </c>
      <c r="D488" s="3" t="s">
        <v>2393</v>
      </c>
      <c r="E488" s="3" t="s">
        <v>2394</v>
      </c>
      <c r="F488" s="3" t="s">
        <v>2442</v>
      </c>
      <c r="G488" s="3" t="s">
        <v>2443</v>
      </c>
      <c r="H488" s="3" t="s">
        <v>86</v>
      </c>
      <c r="I488" s="21">
        <v>23.5034329</v>
      </c>
      <c r="J488" s="70">
        <v>92.417972500000005</v>
      </c>
      <c r="K488" s="21" t="s">
        <v>2272</v>
      </c>
      <c r="L488" s="3">
        <v>2010</v>
      </c>
      <c r="M488" s="3">
        <v>2010</v>
      </c>
      <c r="N488" s="3" t="s">
        <v>2272</v>
      </c>
      <c r="O488" s="3" t="s">
        <v>66</v>
      </c>
      <c r="P488" s="5" t="s">
        <v>5181</v>
      </c>
      <c r="Q488" s="3"/>
    </row>
    <row r="489" spans="1:17" ht="38.5" customHeight="1">
      <c r="A489" s="101">
        <v>90</v>
      </c>
      <c r="B489" s="37" t="s">
        <v>2440</v>
      </c>
      <c r="C489" s="3" t="s">
        <v>2444</v>
      </c>
      <c r="D489" s="3" t="s">
        <v>2393</v>
      </c>
      <c r="E489" s="3" t="s">
        <v>2632</v>
      </c>
      <c r="F489" s="3" t="s">
        <v>2446</v>
      </c>
      <c r="G489" s="3" t="s">
        <v>2443</v>
      </c>
      <c r="H489" s="3" t="s">
        <v>86</v>
      </c>
      <c r="I489" s="21">
        <v>22.974637099999999</v>
      </c>
      <c r="J489" s="70">
        <v>92.750520499999993</v>
      </c>
      <c r="K489" s="21" t="s">
        <v>2272</v>
      </c>
      <c r="L489" s="3">
        <v>2010</v>
      </c>
      <c r="M489" s="3">
        <v>2010</v>
      </c>
      <c r="N489" s="3" t="s">
        <v>2272</v>
      </c>
      <c r="O489" s="3" t="s">
        <v>66</v>
      </c>
      <c r="P489" s="5" t="s">
        <v>5181</v>
      </c>
      <c r="Q489" s="4" t="s">
        <v>2447</v>
      </c>
    </row>
    <row r="490" spans="1:17" ht="27" customHeight="1">
      <c r="A490" s="101">
        <v>91</v>
      </c>
      <c r="B490" s="37" t="s">
        <v>2460</v>
      </c>
      <c r="C490" s="3" t="s">
        <v>2461</v>
      </c>
      <c r="D490" s="3" t="s">
        <v>2393</v>
      </c>
      <c r="E490" s="3" t="s">
        <v>2394</v>
      </c>
      <c r="F490" s="3" t="s">
        <v>2477</v>
      </c>
      <c r="G490" s="3" t="s">
        <v>2443</v>
      </c>
      <c r="H490" s="3" t="s">
        <v>86</v>
      </c>
      <c r="I490" s="21">
        <v>24.294976299999998</v>
      </c>
      <c r="J490" s="21">
        <v>92.640020500000006</v>
      </c>
      <c r="K490" s="21" t="s">
        <v>2272</v>
      </c>
      <c r="L490" s="3">
        <v>2018</v>
      </c>
      <c r="M490" s="3">
        <v>2018</v>
      </c>
      <c r="N490" s="3" t="s">
        <v>2272</v>
      </c>
      <c r="O490" s="3" t="s">
        <v>181</v>
      </c>
      <c r="P490" s="5" t="s">
        <v>5181</v>
      </c>
      <c r="Q490" s="4" t="s">
        <v>2493</v>
      </c>
    </row>
    <row r="491" spans="1:17" ht="32" customHeight="1">
      <c r="A491" s="101">
        <v>91</v>
      </c>
      <c r="B491" s="37" t="s">
        <v>2460</v>
      </c>
      <c r="C491" s="3" t="s">
        <v>2462</v>
      </c>
      <c r="D491" s="3" t="s">
        <v>2393</v>
      </c>
      <c r="E491" s="3" t="s">
        <v>2394</v>
      </c>
      <c r="F491" s="3" t="s">
        <v>2478</v>
      </c>
      <c r="G491" s="3" t="s">
        <v>2443</v>
      </c>
      <c r="H491" s="3" t="s">
        <v>86</v>
      </c>
      <c r="I491" s="21">
        <v>23.980968900000001</v>
      </c>
      <c r="J491" s="21">
        <v>92.718894399999996</v>
      </c>
      <c r="K491" s="21" t="s">
        <v>2272</v>
      </c>
      <c r="L491" s="3">
        <v>2018</v>
      </c>
      <c r="M491" s="3">
        <v>2018</v>
      </c>
      <c r="N491" s="3" t="s">
        <v>2272</v>
      </c>
      <c r="O491" s="3" t="s">
        <v>181</v>
      </c>
      <c r="P491" s="5" t="s">
        <v>5181</v>
      </c>
      <c r="Q491" s="4" t="s">
        <v>2493</v>
      </c>
    </row>
    <row r="492" spans="1:17" ht="29">
      <c r="A492" s="101">
        <v>91</v>
      </c>
      <c r="B492" s="37" t="s">
        <v>2460</v>
      </c>
      <c r="C492" s="3" t="s">
        <v>2463</v>
      </c>
      <c r="D492" s="3" t="s">
        <v>2393</v>
      </c>
      <c r="E492" s="3" t="s">
        <v>2394</v>
      </c>
      <c r="F492" s="3" t="s">
        <v>2479</v>
      </c>
      <c r="G492" s="3" t="s">
        <v>2443</v>
      </c>
      <c r="H492" s="3" t="s">
        <v>86</v>
      </c>
      <c r="I492" s="21">
        <v>23.900757599999999</v>
      </c>
      <c r="J492" s="21">
        <v>92.921340799999996</v>
      </c>
      <c r="K492" s="21" t="s">
        <v>2272</v>
      </c>
      <c r="L492" s="3">
        <v>2018</v>
      </c>
      <c r="M492" s="3">
        <v>2018</v>
      </c>
      <c r="N492" s="3" t="s">
        <v>2272</v>
      </c>
      <c r="O492" s="3" t="s">
        <v>181</v>
      </c>
      <c r="P492" s="5" t="s">
        <v>5181</v>
      </c>
      <c r="Q492" s="4" t="s">
        <v>2493</v>
      </c>
    </row>
    <row r="493" spans="1:17" ht="29">
      <c r="A493" s="101">
        <v>91</v>
      </c>
      <c r="B493" s="37" t="s">
        <v>2460</v>
      </c>
      <c r="C493" s="3" t="s">
        <v>2464</v>
      </c>
      <c r="D493" s="3" t="s">
        <v>2393</v>
      </c>
      <c r="E493" s="3" t="s">
        <v>2394</v>
      </c>
      <c r="F493" s="3" t="s">
        <v>2480</v>
      </c>
      <c r="G493" s="3" t="s">
        <v>2443</v>
      </c>
      <c r="H493" s="3" t="s">
        <v>86</v>
      </c>
      <c r="I493" s="21">
        <v>23.867775000000002</v>
      </c>
      <c r="J493" s="21">
        <v>92.422106499999998</v>
      </c>
      <c r="K493" s="21" t="s">
        <v>2272</v>
      </c>
      <c r="L493" s="3">
        <v>2018</v>
      </c>
      <c r="M493" s="3">
        <v>2018</v>
      </c>
      <c r="N493" s="3" t="s">
        <v>2272</v>
      </c>
      <c r="O493" s="3" t="s">
        <v>181</v>
      </c>
      <c r="P493" s="5" t="s">
        <v>5181</v>
      </c>
      <c r="Q493" s="4" t="s">
        <v>2493</v>
      </c>
    </row>
    <row r="494" spans="1:17" ht="29">
      <c r="A494" s="101">
        <v>91</v>
      </c>
      <c r="B494" s="37" t="s">
        <v>2460</v>
      </c>
      <c r="C494" s="3" t="s">
        <v>2465</v>
      </c>
      <c r="D494" s="3" t="s">
        <v>2393</v>
      </c>
      <c r="E494" s="3" t="s">
        <v>2394</v>
      </c>
      <c r="F494" s="3" t="s">
        <v>2481</v>
      </c>
      <c r="G494" s="3" t="s">
        <v>2443</v>
      </c>
      <c r="H494" s="3" t="s">
        <v>86</v>
      </c>
      <c r="I494" s="21">
        <v>23.7703384</v>
      </c>
      <c r="J494" s="21">
        <v>92.520412100000001</v>
      </c>
      <c r="K494" s="21" t="s">
        <v>2272</v>
      </c>
      <c r="L494" s="3">
        <v>2018</v>
      </c>
      <c r="M494" s="3">
        <v>2018</v>
      </c>
      <c r="N494" s="3" t="s">
        <v>2272</v>
      </c>
      <c r="O494" s="3" t="s">
        <v>181</v>
      </c>
      <c r="P494" s="5" t="s">
        <v>5181</v>
      </c>
      <c r="Q494" s="4" t="s">
        <v>2493</v>
      </c>
    </row>
    <row r="495" spans="1:17" ht="29">
      <c r="A495" s="101">
        <v>91</v>
      </c>
      <c r="B495" s="37" t="s">
        <v>2460</v>
      </c>
      <c r="C495" s="3" t="s">
        <v>2466</v>
      </c>
      <c r="D495" s="3" t="s">
        <v>2393</v>
      </c>
      <c r="E495" s="3" t="s">
        <v>2394</v>
      </c>
      <c r="F495" s="3" t="s">
        <v>2482</v>
      </c>
      <c r="G495" s="3" t="s">
        <v>2443</v>
      </c>
      <c r="H495" s="3" t="s">
        <v>86</v>
      </c>
      <c r="I495" s="21">
        <v>23.724429900000001</v>
      </c>
      <c r="J495" s="21">
        <v>93.304273100000003</v>
      </c>
      <c r="K495" s="21" t="s">
        <v>2272</v>
      </c>
      <c r="L495" s="3">
        <v>2018</v>
      </c>
      <c r="M495" s="3">
        <v>2018</v>
      </c>
      <c r="N495" s="3" t="s">
        <v>2272</v>
      </c>
      <c r="O495" s="3" t="s">
        <v>181</v>
      </c>
      <c r="P495" s="5" t="s">
        <v>5181</v>
      </c>
      <c r="Q495" s="4" t="s">
        <v>2493</v>
      </c>
    </row>
    <row r="496" spans="1:17" ht="29">
      <c r="A496" s="101">
        <v>91</v>
      </c>
      <c r="B496" s="37" t="s">
        <v>2460</v>
      </c>
      <c r="C496" s="3" t="s">
        <v>2467</v>
      </c>
      <c r="D496" s="3" t="s">
        <v>2393</v>
      </c>
      <c r="E496" s="3" t="s">
        <v>2394</v>
      </c>
      <c r="F496" s="3" t="s">
        <v>2483</v>
      </c>
      <c r="G496" s="3" t="s">
        <v>2443</v>
      </c>
      <c r="H496" s="3" t="s">
        <v>86</v>
      </c>
      <c r="I496" s="21">
        <v>23.505746200000001</v>
      </c>
      <c r="J496" s="21">
        <v>93.243906600000003</v>
      </c>
      <c r="K496" s="21" t="s">
        <v>2272</v>
      </c>
      <c r="L496" s="3">
        <v>2018</v>
      </c>
      <c r="M496" s="3">
        <v>2018</v>
      </c>
      <c r="N496" s="3" t="s">
        <v>2272</v>
      </c>
      <c r="O496" s="3" t="s">
        <v>181</v>
      </c>
      <c r="P496" s="5" t="s">
        <v>5181</v>
      </c>
      <c r="Q496" s="4" t="s">
        <v>2493</v>
      </c>
    </row>
    <row r="497" spans="1:17" ht="29">
      <c r="A497" s="101">
        <v>91</v>
      </c>
      <c r="B497" s="37" t="s">
        <v>2460</v>
      </c>
      <c r="C497" s="3" t="s">
        <v>2468</v>
      </c>
      <c r="D497" s="3" t="s">
        <v>2393</v>
      </c>
      <c r="E497" s="3" t="s">
        <v>2394</v>
      </c>
      <c r="F497" s="3" t="s">
        <v>2484</v>
      </c>
      <c r="G497" s="3" t="s">
        <v>2443</v>
      </c>
      <c r="H497" s="3" t="s">
        <v>86</v>
      </c>
      <c r="I497" s="21">
        <v>23.470427399999998</v>
      </c>
      <c r="J497" s="21">
        <v>92.717029699999998</v>
      </c>
      <c r="K497" s="21" t="s">
        <v>2272</v>
      </c>
      <c r="L497" s="3">
        <v>2018</v>
      </c>
      <c r="M497" s="3">
        <v>2018</v>
      </c>
      <c r="N497" s="3" t="s">
        <v>2272</v>
      </c>
      <c r="O497" s="3" t="s">
        <v>181</v>
      </c>
      <c r="P497" s="5" t="s">
        <v>5181</v>
      </c>
      <c r="Q497" s="4" t="s">
        <v>2493</v>
      </c>
    </row>
    <row r="498" spans="1:17" ht="29">
      <c r="A498" s="101">
        <v>91</v>
      </c>
      <c r="B498" s="37" t="s">
        <v>2460</v>
      </c>
      <c r="C498" s="3" t="s">
        <v>2469</v>
      </c>
      <c r="D498" s="3" t="s">
        <v>2393</v>
      </c>
      <c r="E498" s="3" t="s">
        <v>2394</v>
      </c>
      <c r="F498" s="3" t="s">
        <v>2485</v>
      </c>
      <c r="G498" s="3" t="s">
        <v>2443</v>
      </c>
      <c r="H498" s="3" t="s">
        <v>86</v>
      </c>
      <c r="I498" s="21">
        <v>23.361906000000001</v>
      </c>
      <c r="J498" s="21">
        <v>92.921965</v>
      </c>
      <c r="K498" s="21" t="s">
        <v>2272</v>
      </c>
      <c r="L498" s="3">
        <v>2018</v>
      </c>
      <c r="M498" s="3">
        <v>2018</v>
      </c>
      <c r="N498" s="3" t="s">
        <v>2272</v>
      </c>
      <c r="O498" s="3" t="s">
        <v>181</v>
      </c>
      <c r="P498" s="5" t="s">
        <v>5181</v>
      </c>
      <c r="Q498" s="4" t="s">
        <v>2493</v>
      </c>
    </row>
    <row r="499" spans="1:17" ht="29">
      <c r="A499" s="101">
        <v>91</v>
      </c>
      <c r="B499" s="37" t="s">
        <v>2460</v>
      </c>
      <c r="C499" s="3" t="s">
        <v>2470</v>
      </c>
      <c r="D499" s="3" t="s">
        <v>2393</v>
      </c>
      <c r="E499" s="3" t="s">
        <v>2394</v>
      </c>
      <c r="F499" s="3" t="s">
        <v>2486</v>
      </c>
      <c r="G499" s="3" t="s">
        <v>2443</v>
      </c>
      <c r="H499" s="3" t="s">
        <v>86</v>
      </c>
      <c r="I499" s="21">
        <v>23.1713755</v>
      </c>
      <c r="J499" s="21">
        <v>92.9897445</v>
      </c>
      <c r="K499" s="21" t="s">
        <v>2272</v>
      </c>
      <c r="L499" s="3">
        <v>2018</v>
      </c>
      <c r="M499" s="3">
        <v>2018</v>
      </c>
      <c r="N499" s="3" t="s">
        <v>2272</v>
      </c>
      <c r="O499" s="3" t="s">
        <v>181</v>
      </c>
      <c r="P499" s="5" t="s">
        <v>5181</v>
      </c>
      <c r="Q499" s="4" t="s">
        <v>2493</v>
      </c>
    </row>
    <row r="500" spans="1:17" ht="29">
      <c r="A500" s="101">
        <v>91</v>
      </c>
      <c r="B500" s="37" t="s">
        <v>2460</v>
      </c>
      <c r="C500" s="3" t="s">
        <v>2471</v>
      </c>
      <c r="D500" s="3" t="s">
        <v>2393</v>
      </c>
      <c r="E500" s="3" t="s">
        <v>2394</v>
      </c>
      <c r="F500" s="3" t="s">
        <v>2487</v>
      </c>
      <c r="G500" s="3" t="s">
        <v>2443</v>
      </c>
      <c r="H500" s="3" t="s">
        <v>86</v>
      </c>
      <c r="I500" s="21">
        <v>23.112962799999998</v>
      </c>
      <c r="J500" s="21">
        <v>92.744386000000006</v>
      </c>
      <c r="K500" s="21" t="s">
        <v>2272</v>
      </c>
      <c r="L500" s="3">
        <v>2018</v>
      </c>
      <c r="M500" s="3">
        <v>2018</v>
      </c>
      <c r="N500" s="3" t="s">
        <v>2272</v>
      </c>
      <c r="O500" s="3" t="s">
        <v>181</v>
      </c>
      <c r="P500" s="5" t="s">
        <v>5181</v>
      </c>
      <c r="Q500" s="4" t="s">
        <v>2493</v>
      </c>
    </row>
    <row r="501" spans="1:17" ht="29">
      <c r="A501" s="101">
        <v>91</v>
      </c>
      <c r="B501" s="37" t="s">
        <v>2460</v>
      </c>
      <c r="C501" s="3" t="s">
        <v>2472</v>
      </c>
      <c r="D501" s="3" t="s">
        <v>2393</v>
      </c>
      <c r="E501" s="3" t="s">
        <v>2394</v>
      </c>
      <c r="F501" s="3" t="s">
        <v>2488</v>
      </c>
      <c r="G501" s="3" t="s">
        <v>2443</v>
      </c>
      <c r="H501" s="3" t="s">
        <v>86</v>
      </c>
      <c r="I501" s="21">
        <v>23.020536199999999</v>
      </c>
      <c r="J501" s="21">
        <v>92.921340799999996</v>
      </c>
      <c r="K501" s="21" t="s">
        <v>2272</v>
      </c>
      <c r="L501" s="3">
        <v>2018</v>
      </c>
      <c r="M501" s="3">
        <v>2018</v>
      </c>
      <c r="N501" s="3" t="s">
        <v>2272</v>
      </c>
      <c r="O501" s="3" t="s">
        <v>181</v>
      </c>
      <c r="P501" s="5" t="s">
        <v>5181</v>
      </c>
      <c r="Q501" s="4" t="s">
        <v>2493</v>
      </c>
    </row>
    <row r="502" spans="1:17" ht="29">
      <c r="A502" s="101">
        <v>91</v>
      </c>
      <c r="B502" s="37" t="s">
        <v>2460</v>
      </c>
      <c r="C502" s="3" t="s">
        <v>2473</v>
      </c>
      <c r="D502" s="3" t="s">
        <v>2393</v>
      </c>
      <c r="E502" s="3" t="s">
        <v>2394</v>
      </c>
      <c r="F502" s="3" t="s">
        <v>2489</v>
      </c>
      <c r="G502" s="3" t="s">
        <v>2443</v>
      </c>
      <c r="H502" s="3" t="s">
        <v>86</v>
      </c>
      <c r="I502" s="21">
        <v>22.5989322</v>
      </c>
      <c r="J502" s="21">
        <v>93.026329000000004</v>
      </c>
      <c r="K502" s="21" t="s">
        <v>2272</v>
      </c>
      <c r="L502" s="3">
        <v>2018</v>
      </c>
      <c r="M502" s="3">
        <v>2018</v>
      </c>
      <c r="N502" s="3" t="s">
        <v>2272</v>
      </c>
      <c r="O502" s="3" t="s">
        <v>181</v>
      </c>
      <c r="P502" s="5" t="s">
        <v>5181</v>
      </c>
      <c r="Q502" s="4" t="s">
        <v>2493</v>
      </c>
    </row>
    <row r="503" spans="1:17" ht="29">
      <c r="A503" s="101">
        <v>91</v>
      </c>
      <c r="B503" s="37" t="s">
        <v>2460</v>
      </c>
      <c r="C503" s="3" t="s">
        <v>2474</v>
      </c>
      <c r="D503" s="3" t="s">
        <v>2393</v>
      </c>
      <c r="E503" s="3" t="s">
        <v>2394</v>
      </c>
      <c r="F503" s="3" t="s">
        <v>2490</v>
      </c>
      <c r="G503" s="3" t="s">
        <v>2443</v>
      </c>
      <c r="H503" s="3" t="s">
        <v>86</v>
      </c>
      <c r="I503" s="21">
        <v>22.524369400000001</v>
      </c>
      <c r="J503" s="21">
        <v>93.033837000000005</v>
      </c>
      <c r="K503" s="21" t="s">
        <v>2272</v>
      </c>
      <c r="L503" s="3">
        <v>2018</v>
      </c>
      <c r="M503" s="3">
        <v>2018</v>
      </c>
      <c r="N503" s="3" t="s">
        <v>2272</v>
      </c>
      <c r="O503" s="3" t="s">
        <v>181</v>
      </c>
      <c r="P503" s="5" t="s">
        <v>5181</v>
      </c>
      <c r="Q503" s="4" t="s">
        <v>2493</v>
      </c>
    </row>
    <row r="504" spans="1:17" ht="29">
      <c r="A504" s="101">
        <v>91</v>
      </c>
      <c r="B504" s="37" t="s">
        <v>2460</v>
      </c>
      <c r="C504" s="3" t="s">
        <v>2475</v>
      </c>
      <c r="D504" s="3" t="s">
        <v>2393</v>
      </c>
      <c r="E504" s="3" t="s">
        <v>2394</v>
      </c>
      <c r="F504" s="3" t="s">
        <v>2491</v>
      </c>
      <c r="G504" s="3" t="s">
        <v>2443</v>
      </c>
      <c r="H504" s="3" t="s">
        <v>86</v>
      </c>
      <c r="I504" s="21">
        <v>22.4066279</v>
      </c>
      <c r="J504" s="21">
        <v>92.899185299999999</v>
      </c>
      <c r="K504" s="21" t="s">
        <v>2272</v>
      </c>
      <c r="L504" s="3">
        <v>2018</v>
      </c>
      <c r="M504" s="3">
        <v>2018</v>
      </c>
      <c r="N504" s="3" t="s">
        <v>2272</v>
      </c>
      <c r="O504" s="3" t="s">
        <v>181</v>
      </c>
      <c r="P504" s="5" t="s">
        <v>5181</v>
      </c>
      <c r="Q504" s="4" t="s">
        <v>2493</v>
      </c>
    </row>
    <row r="505" spans="1:17" ht="29">
      <c r="A505" s="101">
        <v>91</v>
      </c>
      <c r="B505" s="37" t="s">
        <v>2460</v>
      </c>
      <c r="C505" s="3" t="s">
        <v>2476</v>
      </c>
      <c r="D505" s="3" t="s">
        <v>2393</v>
      </c>
      <c r="E505" s="3" t="s">
        <v>2394</v>
      </c>
      <c r="F505" s="3" t="s">
        <v>2492</v>
      </c>
      <c r="G505" s="3" t="s">
        <v>2443</v>
      </c>
      <c r="H505" s="3" t="s">
        <v>86</v>
      </c>
      <c r="I505" s="21">
        <v>22.3687322</v>
      </c>
      <c r="J505" s="21">
        <v>93.038217099999997</v>
      </c>
      <c r="K505" s="21" t="s">
        <v>2272</v>
      </c>
      <c r="L505" s="3">
        <v>2018</v>
      </c>
      <c r="M505" s="3">
        <v>2018</v>
      </c>
      <c r="N505" s="3" t="s">
        <v>2272</v>
      </c>
      <c r="O505" s="3" t="s">
        <v>181</v>
      </c>
      <c r="P505" s="5" t="s">
        <v>5181</v>
      </c>
      <c r="Q505" s="4" t="s">
        <v>2493</v>
      </c>
    </row>
    <row r="506" spans="1:17" ht="81.5" customHeight="1">
      <c r="A506" s="101">
        <v>92</v>
      </c>
      <c r="B506" s="37" t="s">
        <v>2512</v>
      </c>
      <c r="C506" s="3" t="s">
        <v>2513</v>
      </c>
      <c r="D506" s="3" t="s">
        <v>2393</v>
      </c>
      <c r="E506" s="3" t="s">
        <v>2400</v>
      </c>
      <c r="F506" s="3" t="s">
        <v>2516</v>
      </c>
      <c r="G506" s="3"/>
      <c r="H506" s="3" t="s">
        <v>2514</v>
      </c>
      <c r="I506" s="21">
        <v>0.57427340000000004</v>
      </c>
      <c r="J506" s="21">
        <v>25.164243800000001</v>
      </c>
      <c r="K506" s="21">
        <v>46779</v>
      </c>
      <c r="L506" s="3">
        <v>2000</v>
      </c>
      <c r="M506" s="3">
        <v>2015</v>
      </c>
      <c r="N506" s="3" t="s">
        <v>2272</v>
      </c>
      <c r="O506" s="3" t="s">
        <v>147</v>
      </c>
      <c r="P506" s="5" t="s">
        <v>5181</v>
      </c>
      <c r="Q506" s="4" t="s">
        <v>2528</v>
      </c>
    </row>
    <row r="507" spans="1:17" ht="78.5" customHeight="1">
      <c r="A507" s="101">
        <v>92</v>
      </c>
      <c r="B507" s="37" t="s">
        <v>2512</v>
      </c>
      <c r="C507" s="3" t="s">
        <v>2515</v>
      </c>
      <c r="D507" s="3" t="s">
        <v>2393</v>
      </c>
      <c r="E507" s="3" t="s">
        <v>2400</v>
      </c>
      <c r="F507" s="3" t="s">
        <v>2517</v>
      </c>
      <c r="G507" s="3"/>
      <c r="H507" s="3" t="s">
        <v>2514</v>
      </c>
      <c r="I507" s="21">
        <v>0.57427340000000004</v>
      </c>
      <c r="J507" s="21">
        <v>25.164243800000001</v>
      </c>
      <c r="K507" s="21">
        <v>25428</v>
      </c>
      <c r="L507" s="3">
        <v>2000</v>
      </c>
      <c r="M507" s="3">
        <v>2015</v>
      </c>
      <c r="N507" s="3" t="s">
        <v>2272</v>
      </c>
      <c r="O507" s="3" t="s">
        <v>147</v>
      </c>
      <c r="P507" s="5" t="s">
        <v>5181</v>
      </c>
      <c r="Q507" s="4" t="s">
        <v>2528</v>
      </c>
    </row>
    <row r="508" spans="1:17" ht="85.5" customHeight="1">
      <c r="A508" s="101">
        <v>93</v>
      </c>
      <c r="B508" s="37" t="s">
        <v>2525</v>
      </c>
      <c r="C508" s="11" t="s">
        <v>2526</v>
      </c>
      <c r="D508" s="3" t="s">
        <v>2393</v>
      </c>
      <c r="E508" s="3" t="s">
        <v>2400</v>
      </c>
      <c r="F508" s="108"/>
      <c r="G508" s="3"/>
      <c r="H508" s="3" t="s">
        <v>2514</v>
      </c>
      <c r="I508" s="21">
        <v>-4.0335159999999997</v>
      </c>
      <c r="J508" s="21">
        <v>21.730005999999999</v>
      </c>
      <c r="K508" s="109">
        <v>2345000</v>
      </c>
      <c r="L508" s="3">
        <v>2000</v>
      </c>
      <c r="M508" s="3">
        <v>2010</v>
      </c>
      <c r="N508" s="3" t="s">
        <v>2272</v>
      </c>
      <c r="O508" s="3" t="s">
        <v>147</v>
      </c>
      <c r="P508" s="5" t="s">
        <v>5181</v>
      </c>
      <c r="Q508" s="4" t="s">
        <v>2532</v>
      </c>
    </row>
    <row r="509" spans="1:17" ht="68.5" customHeight="1">
      <c r="A509" s="101">
        <v>94</v>
      </c>
      <c r="B509" s="37" t="s">
        <v>2534</v>
      </c>
      <c r="C509" s="11" t="s">
        <v>2535</v>
      </c>
      <c r="D509" s="3" t="s">
        <v>2393</v>
      </c>
      <c r="E509" s="3" t="s">
        <v>2394</v>
      </c>
      <c r="F509" s="3" t="s">
        <v>2536</v>
      </c>
      <c r="G509" s="3"/>
      <c r="H509" s="3" t="s">
        <v>2514</v>
      </c>
      <c r="I509" s="21">
        <v>1.6710695</v>
      </c>
      <c r="J509" s="21">
        <v>28.487357500000002</v>
      </c>
      <c r="K509" s="21">
        <f>1390000/100</f>
        <v>13900</v>
      </c>
      <c r="L509" s="3">
        <v>1989</v>
      </c>
      <c r="M509" s="3">
        <v>1996</v>
      </c>
      <c r="N509" s="3" t="s">
        <v>2272</v>
      </c>
      <c r="O509" s="3" t="s">
        <v>2541</v>
      </c>
      <c r="P509" s="5" t="s">
        <v>5181</v>
      </c>
      <c r="Q509" s="4" t="s">
        <v>2538</v>
      </c>
    </row>
    <row r="510" spans="1:17" ht="44.5" customHeight="1">
      <c r="A510" s="101">
        <v>95</v>
      </c>
      <c r="B510" s="37" t="s">
        <v>2544</v>
      </c>
      <c r="C510" s="11" t="s">
        <v>2545</v>
      </c>
      <c r="D510" s="3" t="s">
        <v>2393</v>
      </c>
      <c r="E510" s="3" t="s">
        <v>2394</v>
      </c>
      <c r="F510" s="11" t="s">
        <v>2546</v>
      </c>
      <c r="G510" s="11" t="s">
        <v>2547</v>
      </c>
      <c r="H510" s="11" t="s">
        <v>86</v>
      </c>
      <c r="I510" s="21">
        <v>25.5188424</v>
      </c>
      <c r="J510" s="21">
        <v>91.769229699999997</v>
      </c>
      <c r="K510" s="3" t="s">
        <v>2272</v>
      </c>
      <c r="L510" s="3">
        <v>2002</v>
      </c>
      <c r="M510" s="3">
        <v>2002</v>
      </c>
      <c r="N510" s="3" t="s">
        <v>2272</v>
      </c>
      <c r="O510" s="3" t="s">
        <v>66</v>
      </c>
      <c r="P510" s="5" t="s">
        <v>5181</v>
      </c>
      <c r="Q510" s="3"/>
    </row>
    <row r="511" spans="1:17" ht="40" customHeight="1">
      <c r="A511" s="101">
        <v>95</v>
      </c>
      <c r="B511" s="37" t="s">
        <v>2544</v>
      </c>
      <c r="C511" s="11" t="s">
        <v>2552</v>
      </c>
      <c r="D511" s="3" t="s">
        <v>2393</v>
      </c>
      <c r="E511" s="3" t="s">
        <v>2394</v>
      </c>
      <c r="F511" s="11" t="s">
        <v>2546</v>
      </c>
      <c r="G511" s="11" t="s">
        <v>2547</v>
      </c>
      <c r="H511" s="11" t="s">
        <v>86</v>
      </c>
      <c r="I511" s="21">
        <v>25.5188424</v>
      </c>
      <c r="J511" s="21">
        <v>91.769229699999997</v>
      </c>
      <c r="K511" s="3" t="s">
        <v>2272</v>
      </c>
      <c r="L511" s="3">
        <v>1977</v>
      </c>
      <c r="M511" s="3">
        <v>1997</v>
      </c>
      <c r="N511" s="3" t="s">
        <v>2272</v>
      </c>
      <c r="O511" s="3" t="s">
        <v>66</v>
      </c>
      <c r="P511" s="5" t="s">
        <v>5181</v>
      </c>
      <c r="Q511" s="3"/>
    </row>
    <row r="512" spans="1:17" ht="33.5" customHeight="1">
      <c r="A512" s="101">
        <v>96</v>
      </c>
      <c r="B512" s="37" t="s">
        <v>2559</v>
      </c>
      <c r="C512" s="11" t="s">
        <v>2558</v>
      </c>
      <c r="D512" s="3" t="s">
        <v>2393</v>
      </c>
      <c r="E512" s="3" t="s">
        <v>2394</v>
      </c>
      <c r="F512" s="3" t="s">
        <v>2563</v>
      </c>
      <c r="G512" s="11" t="s">
        <v>2547</v>
      </c>
      <c r="H512" s="11" t="s">
        <v>86</v>
      </c>
      <c r="I512" s="21">
        <v>25.4886783</v>
      </c>
      <c r="J512" s="21">
        <v>91.923077399999997</v>
      </c>
      <c r="K512" s="21">
        <v>4</v>
      </c>
      <c r="L512" s="3">
        <v>2015</v>
      </c>
      <c r="M512" s="3">
        <v>2015</v>
      </c>
      <c r="N512" s="3">
        <v>400</v>
      </c>
      <c r="O512" s="3" t="s">
        <v>2594</v>
      </c>
      <c r="P512" s="5" t="s">
        <v>5181</v>
      </c>
      <c r="Q512" s="3" t="s">
        <v>2564</v>
      </c>
    </row>
    <row r="513" spans="1:17" ht="50" customHeight="1">
      <c r="A513" s="101">
        <v>97</v>
      </c>
      <c r="B513" s="37" t="s">
        <v>2570</v>
      </c>
      <c r="C513" s="3" t="s">
        <v>2569</v>
      </c>
      <c r="D513" s="3" t="s">
        <v>2393</v>
      </c>
      <c r="E513" s="3" t="s">
        <v>2394</v>
      </c>
      <c r="F513" s="3" t="s">
        <v>2572</v>
      </c>
      <c r="G513" s="3" t="s">
        <v>2592</v>
      </c>
      <c r="H513" s="3" t="s">
        <v>119</v>
      </c>
      <c r="I513" s="21">
        <v>-23.0974059422356</v>
      </c>
      <c r="J513" s="21">
        <v>-44.775559402084099</v>
      </c>
      <c r="K513" s="3" t="s">
        <v>2272</v>
      </c>
      <c r="L513" s="3">
        <v>2010</v>
      </c>
      <c r="M513" s="3">
        <v>2010</v>
      </c>
      <c r="N513" s="3" t="s">
        <v>2272</v>
      </c>
      <c r="O513" s="3" t="s">
        <v>2594</v>
      </c>
      <c r="P513" s="5" t="s">
        <v>5181</v>
      </c>
      <c r="Q513" s="3" t="s">
        <v>2564</v>
      </c>
    </row>
    <row r="514" spans="1:17" ht="45.5" customHeight="1">
      <c r="A514" s="101">
        <v>97</v>
      </c>
      <c r="B514" s="37" t="s">
        <v>2570</v>
      </c>
      <c r="C514" s="11" t="s">
        <v>2571</v>
      </c>
      <c r="D514" s="3" t="s">
        <v>2393</v>
      </c>
      <c r="E514" s="3" t="s">
        <v>2394</v>
      </c>
      <c r="F514" s="3" t="s">
        <v>2573</v>
      </c>
      <c r="G514" s="3" t="s">
        <v>2592</v>
      </c>
      <c r="H514" s="3" t="s">
        <v>119</v>
      </c>
      <c r="I514" s="21">
        <v>-23.143267046426601</v>
      </c>
      <c r="J514" s="21">
        <v>-44.7834975358017</v>
      </c>
      <c r="K514" s="3" t="s">
        <v>2272</v>
      </c>
      <c r="L514" s="3">
        <v>2010</v>
      </c>
      <c r="M514" s="3">
        <v>2010</v>
      </c>
      <c r="N514" s="3" t="s">
        <v>2272</v>
      </c>
      <c r="O514" s="3" t="s">
        <v>2594</v>
      </c>
      <c r="P514" s="5" t="s">
        <v>5181</v>
      </c>
      <c r="Q514" s="3" t="s">
        <v>2564</v>
      </c>
    </row>
    <row r="515" spans="1:17" ht="45.5" customHeight="1">
      <c r="A515" s="101">
        <v>97</v>
      </c>
      <c r="B515" s="37" t="s">
        <v>2570</v>
      </c>
      <c r="C515" s="3" t="s">
        <v>2583</v>
      </c>
      <c r="D515" s="3" t="s">
        <v>2393</v>
      </c>
      <c r="E515" s="3" t="s">
        <v>2394</v>
      </c>
      <c r="F515" s="3" t="s">
        <v>2574</v>
      </c>
      <c r="G515" s="3" t="s">
        <v>2592</v>
      </c>
      <c r="H515" s="3" t="s">
        <v>119</v>
      </c>
      <c r="I515" s="21">
        <v>-23.159083315672699</v>
      </c>
      <c r="J515" s="21">
        <v>-44.690054086538503</v>
      </c>
      <c r="K515" s="3" t="s">
        <v>2272</v>
      </c>
      <c r="L515" s="3">
        <v>2010</v>
      </c>
      <c r="M515" s="3">
        <v>2010</v>
      </c>
      <c r="N515" s="3" t="s">
        <v>2272</v>
      </c>
      <c r="O515" s="3" t="s">
        <v>2594</v>
      </c>
      <c r="P515" s="5" t="s">
        <v>5181</v>
      </c>
      <c r="Q515" s="3" t="s">
        <v>2564</v>
      </c>
    </row>
    <row r="516" spans="1:17" ht="45.5" customHeight="1">
      <c r="A516" s="101">
        <v>97</v>
      </c>
      <c r="B516" s="37" t="s">
        <v>2570</v>
      </c>
      <c r="C516" s="11" t="s">
        <v>2584</v>
      </c>
      <c r="D516" s="3" t="s">
        <v>2393</v>
      </c>
      <c r="E516" s="3" t="s">
        <v>2394</v>
      </c>
      <c r="F516" s="3" t="s">
        <v>2575</v>
      </c>
      <c r="G516" s="3" t="s">
        <v>2592</v>
      </c>
      <c r="H516" s="3" t="s">
        <v>119</v>
      </c>
      <c r="I516" s="21">
        <v>-23.347563699999998</v>
      </c>
      <c r="J516" s="21">
        <v>-44.606878299999998</v>
      </c>
      <c r="K516" s="3" t="s">
        <v>2272</v>
      </c>
      <c r="L516" s="3">
        <v>2010</v>
      </c>
      <c r="M516" s="3">
        <v>2010</v>
      </c>
      <c r="N516" s="3" t="s">
        <v>2272</v>
      </c>
      <c r="O516" s="3" t="s">
        <v>2594</v>
      </c>
      <c r="P516" s="5" t="s">
        <v>5181</v>
      </c>
      <c r="Q516" s="3" t="s">
        <v>2564</v>
      </c>
    </row>
    <row r="517" spans="1:17" ht="45.5" customHeight="1">
      <c r="A517" s="101">
        <v>97</v>
      </c>
      <c r="B517" s="37" t="s">
        <v>2570</v>
      </c>
      <c r="C517" s="3" t="s">
        <v>2585</v>
      </c>
      <c r="D517" s="3" t="s">
        <v>2393</v>
      </c>
      <c r="E517" s="3" t="s">
        <v>2394</v>
      </c>
      <c r="F517" s="3" t="s">
        <v>2576</v>
      </c>
      <c r="G517" s="3" t="s">
        <v>2592</v>
      </c>
      <c r="H517" s="3" t="s">
        <v>119</v>
      </c>
      <c r="I517" s="21">
        <v>-23.333858142425299</v>
      </c>
      <c r="J517" s="21">
        <v>-44.681611158873302</v>
      </c>
      <c r="K517" s="3" t="s">
        <v>2272</v>
      </c>
      <c r="L517" s="3">
        <v>2010</v>
      </c>
      <c r="M517" s="3">
        <v>2010</v>
      </c>
      <c r="N517" s="3" t="s">
        <v>2272</v>
      </c>
      <c r="O517" s="3" t="s">
        <v>2594</v>
      </c>
      <c r="P517" s="5" t="s">
        <v>5181</v>
      </c>
      <c r="Q517" s="3" t="s">
        <v>2564</v>
      </c>
    </row>
    <row r="518" spans="1:17" ht="45.5" customHeight="1">
      <c r="A518" s="101">
        <v>97</v>
      </c>
      <c r="B518" s="37" t="s">
        <v>2570</v>
      </c>
      <c r="C518" s="11" t="s">
        <v>2586</v>
      </c>
      <c r="D518" s="3" t="s">
        <v>2393</v>
      </c>
      <c r="E518" s="3" t="s">
        <v>2394</v>
      </c>
      <c r="F518" s="3" t="s">
        <v>2577</v>
      </c>
      <c r="G518" s="3" t="s">
        <v>2592</v>
      </c>
      <c r="H518" s="3" t="s">
        <v>119</v>
      </c>
      <c r="I518" s="21">
        <v>-23.347223385198099</v>
      </c>
      <c r="J518" s="21">
        <v>-44.725984510521798</v>
      </c>
      <c r="K518" s="3" t="s">
        <v>2272</v>
      </c>
      <c r="L518" s="3">
        <v>2010</v>
      </c>
      <c r="M518" s="3">
        <v>2010</v>
      </c>
      <c r="N518" s="3" t="s">
        <v>2272</v>
      </c>
      <c r="O518" s="3" t="s">
        <v>2594</v>
      </c>
      <c r="P518" s="5" t="s">
        <v>5181</v>
      </c>
      <c r="Q518" s="3" t="s">
        <v>2564</v>
      </c>
    </row>
    <row r="519" spans="1:17" ht="45.5" customHeight="1">
      <c r="A519" s="101">
        <v>97</v>
      </c>
      <c r="B519" s="37" t="s">
        <v>2570</v>
      </c>
      <c r="C519" s="3" t="s">
        <v>2587</v>
      </c>
      <c r="D519" s="3" t="s">
        <v>2393</v>
      </c>
      <c r="E519" s="3" t="s">
        <v>2394</v>
      </c>
      <c r="F519" s="3" t="s">
        <v>2578</v>
      </c>
      <c r="G519" s="3" t="s">
        <v>2593</v>
      </c>
      <c r="H519" s="3" t="s">
        <v>119</v>
      </c>
      <c r="I519" s="21">
        <v>-25.4826185698094</v>
      </c>
      <c r="J519" s="21">
        <v>-48.667356189123403</v>
      </c>
      <c r="K519" s="3" t="s">
        <v>2272</v>
      </c>
      <c r="L519" s="3">
        <v>2009</v>
      </c>
      <c r="M519" s="3">
        <v>2010</v>
      </c>
      <c r="N519" s="3" t="s">
        <v>2272</v>
      </c>
      <c r="O519" s="3" t="s">
        <v>2594</v>
      </c>
      <c r="P519" s="5" t="s">
        <v>5181</v>
      </c>
      <c r="Q519" s="3" t="s">
        <v>2564</v>
      </c>
    </row>
    <row r="520" spans="1:17" ht="45.5" customHeight="1">
      <c r="A520" s="101">
        <v>97</v>
      </c>
      <c r="B520" s="37" t="s">
        <v>2570</v>
      </c>
      <c r="C520" s="11" t="s">
        <v>2588</v>
      </c>
      <c r="D520" s="3" t="s">
        <v>2393</v>
      </c>
      <c r="E520" s="3" t="s">
        <v>2394</v>
      </c>
      <c r="F520" s="3" t="s">
        <v>2579</v>
      </c>
      <c r="G520" s="3" t="s">
        <v>2593</v>
      </c>
      <c r="H520" s="3" t="s">
        <v>119</v>
      </c>
      <c r="I520" s="21">
        <v>-28.286353495216002</v>
      </c>
      <c r="J520" s="21">
        <v>-48.917064133498101</v>
      </c>
      <c r="K520" s="3" t="s">
        <v>2272</v>
      </c>
      <c r="L520" s="3">
        <v>2009</v>
      </c>
      <c r="M520" s="3">
        <v>2010</v>
      </c>
      <c r="N520" s="3" t="s">
        <v>2272</v>
      </c>
      <c r="O520" s="3" t="s">
        <v>2594</v>
      </c>
      <c r="P520" s="5" t="s">
        <v>5181</v>
      </c>
      <c r="Q520" s="3" t="s">
        <v>2564</v>
      </c>
    </row>
    <row r="521" spans="1:17" ht="45.5" customHeight="1">
      <c r="A521" s="101">
        <v>97</v>
      </c>
      <c r="B521" s="37" t="s">
        <v>2570</v>
      </c>
      <c r="C521" s="3" t="s">
        <v>2589</v>
      </c>
      <c r="D521" s="3" t="s">
        <v>2393</v>
      </c>
      <c r="E521" s="3" t="s">
        <v>2394</v>
      </c>
      <c r="F521" s="3" t="s">
        <v>2580</v>
      </c>
      <c r="G521" s="3" t="s">
        <v>2593</v>
      </c>
      <c r="H521" s="3" t="s">
        <v>119</v>
      </c>
      <c r="I521" s="21">
        <v>-26.453789514667498</v>
      </c>
      <c r="J521" s="21">
        <v>-48.699178050726701</v>
      </c>
      <c r="K521" s="3" t="s">
        <v>2272</v>
      </c>
      <c r="L521" s="3">
        <v>2009</v>
      </c>
      <c r="M521" s="3">
        <v>2010</v>
      </c>
      <c r="N521" s="3" t="s">
        <v>2272</v>
      </c>
      <c r="O521" s="3" t="s">
        <v>2594</v>
      </c>
      <c r="P521" s="5" t="s">
        <v>5181</v>
      </c>
      <c r="Q521" s="3" t="s">
        <v>2564</v>
      </c>
    </row>
    <row r="522" spans="1:17" ht="45.5" customHeight="1">
      <c r="A522" s="101">
        <v>97</v>
      </c>
      <c r="B522" s="37" t="s">
        <v>2570</v>
      </c>
      <c r="C522" s="11" t="s">
        <v>2590</v>
      </c>
      <c r="D522" s="3" t="s">
        <v>2393</v>
      </c>
      <c r="E522" s="3" t="s">
        <v>2394</v>
      </c>
      <c r="F522" s="3" t="s">
        <v>2581</v>
      </c>
      <c r="G522" s="3" t="s">
        <v>2593</v>
      </c>
      <c r="H522" s="3" t="s">
        <v>119</v>
      </c>
      <c r="I522" s="21">
        <v>-28.4157535236101</v>
      </c>
      <c r="J522" s="21">
        <v>-48.786403142983403</v>
      </c>
      <c r="K522" s="3" t="s">
        <v>2272</v>
      </c>
      <c r="L522" s="3">
        <v>2009</v>
      </c>
      <c r="M522" s="3">
        <v>2010</v>
      </c>
      <c r="N522" s="3" t="s">
        <v>2272</v>
      </c>
      <c r="O522" s="3" t="s">
        <v>2594</v>
      </c>
      <c r="P522" s="5" t="s">
        <v>5181</v>
      </c>
      <c r="Q522" s="3" t="s">
        <v>2564</v>
      </c>
    </row>
    <row r="523" spans="1:17" ht="45.5" customHeight="1">
      <c r="A523" s="101">
        <v>97</v>
      </c>
      <c r="B523" s="37" t="s">
        <v>2570</v>
      </c>
      <c r="C523" s="3" t="s">
        <v>2591</v>
      </c>
      <c r="D523" s="3" t="s">
        <v>2393</v>
      </c>
      <c r="E523" s="3" t="s">
        <v>2394</v>
      </c>
      <c r="F523" s="3" t="s">
        <v>2582</v>
      </c>
      <c r="G523" s="3" t="s">
        <v>2593</v>
      </c>
      <c r="H523" s="3" t="s">
        <v>119</v>
      </c>
      <c r="I523" s="21">
        <v>-28.350406100560299</v>
      </c>
      <c r="J523" s="21">
        <v>-48.967841292206799</v>
      </c>
      <c r="K523" s="3" t="s">
        <v>2272</v>
      </c>
      <c r="L523" s="3">
        <v>2009</v>
      </c>
      <c r="M523" s="3">
        <v>2010</v>
      </c>
      <c r="N523" s="3" t="s">
        <v>2272</v>
      </c>
      <c r="O523" s="3" t="s">
        <v>2594</v>
      </c>
      <c r="P523" s="5" t="s">
        <v>5181</v>
      </c>
      <c r="Q523" s="3" t="s">
        <v>2564</v>
      </c>
    </row>
    <row r="524" spans="1:17" ht="37" customHeight="1">
      <c r="A524" s="101">
        <v>98</v>
      </c>
      <c r="B524" s="37" t="s">
        <v>2618</v>
      </c>
      <c r="C524" s="11" t="s">
        <v>2619</v>
      </c>
      <c r="D524" s="3" t="s">
        <v>2393</v>
      </c>
      <c r="E524" s="3" t="s">
        <v>2417</v>
      </c>
      <c r="F524" s="3" t="s">
        <v>2621</v>
      </c>
      <c r="G524" s="3" t="s">
        <v>2295</v>
      </c>
      <c r="H524" s="3" t="s">
        <v>892</v>
      </c>
      <c r="I524" s="21">
        <v>1.6850102</v>
      </c>
      <c r="J524" s="21">
        <v>117.10465499999999</v>
      </c>
      <c r="K524" s="3" t="s">
        <v>2272</v>
      </c>
      <c r="L524" s="3">
        <v>2003</v>
      </c>
      <c r="M524" s="3">
        <v>2012</v>
      </c>
      <c r="N524" s="3" t="s">
        <v>2272</v>
      </c>
      <c r="O524" s="3" t="s">
        <v>66</v>
      </c>
      <c r="P524" s="5" t="s">
        <v>5181</v>
      </c>
      <c r="Q524" s="3" t="s">
        <v>2564</v>
      </c>
    </row>
    <row r="525" spans="1:17" ht="42.5" customHeight="1">
      <c r="A525" s="101">
        <v>98</v>
      </c>
      <c r="B525" s="37" t="s">
        <v>2618</v>
      </c>
      <c r="C525" s="11" t="s">
        <v>2620</v>
      </c>
      <c r="D525" s="3" t="s">
        <v>2393</v>
      </c>
      <c r="E525" s="3" t="s">
        <v>2417</v>
      </c>
      <c r="F525" s="3" t="s">
        <v>2621</v>
      </c>
      <c r="G525" s="3" t="s">
        <v>2295</v>
      </c>
      <c r="H525" s="3" t="s">
        <v>892</v>
      </c>
      <c r="I525" s="21">
        <v>1.6850102</v>
      </c>
      <c r="J525" s="21">
        <v>117.10465499999999</v>
      </c>
      <c r="K525" s="3" t="s">
        <v>2272</v>
      </c>
      <c r="L525" s="3">
        <v>2013</v>
      </c>
      <c r="M525" s="3">
        <v>2015</v>
      </c>
      <c r="N525" s="3" t="s">
        <v>2272</v>
      </c>
      <c r="O525" s="3" t="s">
        <v>66</v>
      </c>
      <c r="P525" s="5" t="s">
        <v>5181</v>
      </c>
      <c r="Q525" s="3" t="s">
        <v>2564</v>
      </c>
    </row>
    <row r="526" spans="1:17" ht="42.5" customHeight="1">
      <c r="A526" s="101">
        <v>98</v>
      </c>
      <c r="B526" s="37" t="s">
        <v>2618</v>
      </c>
      <c r="C526" s="11" t="s">
        <v>2673</v>
      </c>
      <c r="D526" s="3" t="s">
        <v>2393</v>
      </c>
      <c r="E526" s="3" t="s">
        <v>2417</v>
      </c>
      <c r="F526" s="3" t="s">
        <v>2622</v>
      </c>
      <c r="G526" s="3" t="s">
        <v>2295</v>
      </c>
      <c r="H526" s="3" t="s">
        <v>892</v>
      </c>
      <c r="I526" s="21">
        <v>1.9464336</v>
      </c>
      <c r="J526" s="21">
        <v>116.83876100000001</v>
      </c>
      <c r="K526" s="3" t="s">
        <v>2272</v>
      </c>
      <c r="L526" s="3">
        <v>2003</v>
      </c>
      <c r="M526" s="3">
        <v>2012</v>
      </c>
      <c r="N526" s="3" t="s">
        <v>2272</v>
      </c>
      <c r="O526" s="3" t="s">
        <v>66</v>
      </c>
      <c r="P526" s="5" t="s">
        <v>5181</v>
      </c>
      <c r="Q526" s="3" t="s">
        <v>2564</v>
      </c>
    </row>
    <row r="527" spans="1:17" ht="42" customHeight="1">
      <c r="A527" s="101">
        <v>98</v>
      </c>
      <c r="B527" s="37" t="s">
        <v>2618</v>
      </c>
      <c r="C527" s="11" t="s">
        <v>2677</v>
      </c>
      <c r="D527" s="3" t="s">
        <v>2393</v>
      </c>
      <c r="E527" s="3" t="s">
        <v>2417</v>
      </c>
      <c r="F527" s="3" t="s">
        <v>2622</v>
      </c>
      <c r="G527" s="3" t="s">
        <v>2295</v>
      </c>
      <c r="H527" s="3" t="s">
        <v>892</v>
      </c>
      <c r="I527" s="21">
        <v>1.9464336</v>
      </c>
      <c r="J527" s="21">
        <v>116.83876100000001</v>
      </c>
      <c r="K527" s="3" t="s">
        <v>2272</v>
      </c>
      <c r="L527" s="3">
        <v>2013</v>
      </c>
      <c r="M527" s="3">
        <v>2015</v>
      </c>
      <c r="N527" s="3" t="s">
        <v>2272</v>
      </c>
      <c r="O527" s="3" t="s">
        <v>66</v>
      </c>
      <c r="P527" s="5" t="s">
        <v>5181</v>
      </c>
      <c r="Q527" s="3" t="s">
        <v>2564</v>
      </c>
    </row>
    <row r="528" spans="1:17" ht="41" customHeight="1">
      <c r="A528" s="101">
        <v>99</v>
      </c>
      <c r="B528" s="37" t="s">
        <v>2701</v>
      </c>
      <c r="C528" s="11" t="s">
        <v>2702</v>
      </c>
      <c r="D528" s="3" t="s">
        <v>2393</v>
      </c>
      <c r="E528" s="11" t="s">
        <v>2394</v>
      </c>
      <c r="F528" s="139" t="s">
        <v>2712</v>
      </c>
      <c r="G528" s="3" t="s">
        <v>2705</v>
      </c>
      <c r="H528" s="3" t="s">
        <v>119</v>
      </c>
      <c r="I528" s="21">
        <v>-2.1441834000000002</v>
      </c>
      <c r="J528" s="21">
        <v>-64.999331999999995</v>
      </c>
      <c r="K528" s="21">
        <v>34740</v>
      </c>
      <c r="L528" s="3">
        <v>2012</v>
      </c>
      <c r="M528" s="3">
        <v>2014</v>
      </c>
      <c r="N528" s="21">
        <f>(11532+3860)/K528</f>
        <v>0.44306275187104205</v>
      </c>
      <c r="O528" s="3" t="s">
        <v>66</v>
      </c>
      <c r="P528" s="5" t="s">
        <v>5181</v>
      </c>
      <c r="Q528" s="4" t="s">
        <v>2708</v>
      </c>
    </row>
    <row r="529" spans="1:17" ht="41" customHeight="1">
      <c r="A529" s="101">
        <v>99</v>
      </c>
      <c r="B529" s="37" t="s">
        <v>2701</v>
      </c>
      <c r="C529" s="11" t="s">
        <v>2703</v>
      </c>
      <c r="D529" s="3" t="s">
        <v>2393</v>
      </c>
      <c r="E529" s="11" t="s">
        <v>2394</v>
      </c>
      <c r="F529" s="139" t="s">
        <v>2713</v>
      </c>
      <c r="G529" s="3" t="s">
        <v>2706</v>
      </c>
      <c r="H529" s="3" t="s">
        <v>119</v>
      </c>
      <c r="I529" s="21">
        <v>-4.0921206000000003</v>
      </c>
      <c r="J529" s="21">
        <v>-55.367818100000001</v>
      </c>
      <c r="K529" s="21">
        <v>6775.1</v>
      </c>
      <c r="L529" s="3">
        <v>2010</v>
      </c>
      <c r="M529" s="3">
        <v>2010</v>
      </c>
      <c r="N529" s="3" t="s">
        <v>2272</v>
      </c>
      <c r="O529" s="3" t="s">
        <v>66</v>
      </c>
      <c r="P529" s="5" t="s">
        <v>5181</v>
      </c>
      <c r="Q529" s="4" t="s">
        <v>2709</v>
      </c>
    </row>
    <row r="530" spans="1:17" ht="41" customHeight="1">
      <c r="A530" s="101">
        <v>99</v>
      </c>
      <c r="B530" s="37" t="s">
        <v>2701</v>
      </c>
      <c r="C530" s="11" t="s">
        <v>2704</v>
      </c>
      <c r="D530" s="3" t="s">
        <v>2393</v>
      </c>
      <c r="E530" s="11" t="s">
        <v>2394</v>
      </c>
      <c r="F530" s="139" t="s">
        <v>2714</v>
      </c>
      <c r="G530" s="3" t="s">
        <v>2707</v>
      </c>
      <c r="H530" s="3" t="s">
        <v>119</v>
      </c>
      <c r="I530" s="21">
        <v>-3.1968033999999999</v>
      </c>
      <c r="J530" s="21">
        <v>-47.3195111</v>
      </c>
      <c r="K530" s="21">
        <v>19342</v>
      </c>
      <c r="L530" s="3">
        <v>2012</v>
      </c>
      <c r="M530" s="3">
        <v>2013</v>
      </c>
      <c r="N530" s="21">
        <f>91000/K530</f>
        <v>4.7047875090476685</v>
      </c>
      <c r="O530" s="3" t="s">
        <v>66</v>
      </c>
      <c r="P530" s="5" t="s">
        <v>5181</v>
      </c>
      <c r="Q530" s="4" t="s">
        <v>2710</v>
      </c>
    </row>
    <row r="531" spans="1:17" ht="41" customHeight="1">
      <c r="A531" s="101">
        <v>99</v>
      </c>
      <c r="B531" s="37" t="s">
        <v>2701</v>
      </c>
      <c r="C531" s="11" t="s">
        <v>2719</v>
      </c>
      <c r="D531" s="3" t="s">
        <v>2393</v>
      </c>
      <c r="E531" s="11" t="s">
        <v>2394</v>
      </c>
      <c r="F531" s="139" t="s">
        <v>2714</v>
      </c>
      <c r="G531" s="3" t="s">
        <v>2707</v>
      </c>
      <c r="H531" s="3" t="s">
        <v>119</v>
      </c>
      <c r="I531" s="21">
        <v>-3.1968033999999999</v>
      </c>
      <c r="J531" s="21">
        <v>-47.3195111</v>
      </c>
      <c r="K531" s="21">
        <v>19342</v>
      </c>
      <c r="L531" s="3">
        <v>2015</v>
      </c>
      <c r="M531" s="3">
        <v>2015</v>
      </c>
      <c r="N531" s="21">
        <f>91000/K531</f>
        <v>4.7047875090476685</v>
      </c>
      <c r="O531" s="3" t="s">
        <v>66</v>
      </c>
      <c r="P531" s="5" t="s">
        <v>5181</v>
      </c>
      <c r="Q531" s="4" t="s">
        <v>2710</v>
      </c>
    </row>
    <row r="532" spans="1:17" ht="42.5" customHeight="1">
      <c r="A532" s="101">
        <v>100</v>
      </c>
      <c r="B532" s="37" t="s">
        <v>2700</v>
      </c>
      <c r="C532" s="3" t="s">
        <v>2741</v>
      </c>
      <c r="D532" s="3" t="s">
        <v>2393</v>
      </c>
      <c r="E532" s="11" t="s">
        <v>2394</v>
      </c>
      <c r="F532" s="4" t="s">
        <v>2743</v>
      </c>
      <c r="G532" s="3" t="s">
        <v>2272</v>
      </c>
      <c r="H532" s="3" t="s">
        <v>119</v>
      </c>
      <c r="I532" s="21">
        <f>-2 - 0.733333333333333</f>
        <v>-2.7333333333333329</v>
      </c>
      <c r="J532" s="21">
        <f>-55 - (41/60)</f>
        <v>-55.68333333333333</v>
      </c>
      <c r="K532" s="21" t="s">
        <v>2272</v>
      </c>
      <c r="L532" s="3">
        <v>1997</v>
      </c>
      <c r="M532" s="3">
        <v>1998</v>
      </c>
      <c r="N532" s="3" t="s">
        <v>2272</v>
      </c>
      <c r="O532" s="3" t="s">
        <v>66</v>
      </c>
      <c r="P532" s="5" t="s">
        <v>5181</v>
      </c>
      <c r="Q532" s="3"/>
    </row>
    <row r="533" spans="1:17" ht="38" customHeight="1">
      <c r="A533" s="101">
        <v>101</v>
      </c>
      <c r="B533" s="37" t="s">
        <v>2745</v>
      </c>
      <c r="C533" s="3" t="s">
        <v>2746</v>
      </c>
      <c r="D533" s="3" t="s">
        <v>2393</v>
      </c>
      <c r="E533" s="11" t="s">
        <v>2394</v>
      </c>
      <c r="F533" s="3" t="s">
        <v>2747</v>
      </c>
      <c r="G533" s="3" t="s">
        <v>2272</v>
      </c>
      <c r="H533" s="3" t="s">
        <v>2748</v>
      </c>
      <c r="I533" s="21">
        <v>-11.293819600000001</v>
      </c>
      <c r="J533" s="21">
        <v>159.7935248</v>
      </c>
      <c r="K533" s="21">
        <v>25</v>
      </c>
      <c r="L533" s="3">
        <v>2006</v>
      </c>
      <c r="M533" s="3">
        <v>2007</v>
      </c>
      <c r="N533" s="3">
        <f>860/K533</f>
        <v>34.4</v>
      </c>
      <c r="O533" s="3" t="s">
        <v>66</v>
      </c>
      <c r="P533" s="5" t="s">
        <v>5181</v>
      </c>
      <c r="Q533" s="3" t="s">
        <v>2749</v>
      </c>
    </row>
    <row r="534" spans="1:17" ht="39" customHeight="1">
      <c r="A534" s="101">
        <v>101</v>
      </c>
      <c r="B534" s="38" t="s">
        <v>2750</v>
      </c>
      <c r="C534" s="3" t="s">
        <v>2751</v>
      </c>
      <c r="D534" s="3" t="s">
        <v>2393</v>
      </c>
      <c r="E534" s="11" t="s">
        <v>2394</v>
      </c>
      <c r="F534" s="3" t="s">
        <v>2747</v>
      </c>
      <c r="G534" s="3" t="s">
        <v>2272</v>
      </c>
      <c r="H534" s="3" t="s">
        <v>2748</v>
      </c>
      <c r="I534" s="21">
        <v>-11.293819600000001</v>
      </c>
      <c r="J534" s="21">
        <v>159.7935248</v>
      </c>
      <c r="K534" s="21">
        <v>25</v>
      </c>
      <c r="L534" s="3">
        <v>1965</v>
      </c>
      <c r="M534" s="3">
        <v>1966</v>
      </c>
      <c r="N534" s="3">
        <f>860/K534</f>
        <v>34.4</v>
      </c>
      <c r="O534" s="3" t="s">
        <v>66</v>
      </c>
      <c r="P534" s="5" t="s">
        <v>5181</v>
      </c>
      <c r="Q534" s="3" t="s">
        <v>2749</v>
      </c>
    </row>
    <row r="535" spans="1:17" ht="46" customHeight="1">
      <c r="A535" s="101">
        <v>102</v>
      </c>
      <c r="B535" s="37" t="s">
        <v>2757</v>
      </c>
      <c r="C535" s="3" t="s">
        <v>2758</v>
      </c>
      <c r="D535" s="3" t="s">
        <v>2393</v>
      </c>
      <c r="E535" s="11" t="s">
        <v>2394</v>
      </c>
      <c r="F535" s="139" t="s">
        <v>2760</v>
      </c>
      <c r="G535" s="3" t="s">
        <v>2759</v>
      </c>
      <c r="H535" s="3" t="s">
        <v>420</v>
      </c>
      <c r="I535" s="21">
        <f>-14-(0.133333333333333)</f>
        <v>-14.133333333333333</v>
      </c>
      <c r="J535" s="21">
        <f>31 + (43/60)</f>
        <v>31.716666666666665</v>
      </c>
      <c r="K535" s="21">
        <v>1.1160000000000001</v>
      </c>
      <c r="L535" s="3">
        <v>2008</v>
      </c>
      <c r="M535" s="3">
        <v>2008</v>
      </c>
      <c r="N535" s="21" t="s">
        <v>2272</v>
      </c>
      <c r="O535" s="3" t="s">
        <v>66</v>
      </c>
      <c r="P535" s="5" t="s">
        <v>5181</v>
      </c>
      <c r="Q535" s="3"/>
    </row>
    <row r="536" spans="1:17" ht="46" customHeight="1">
      <c r="A536" s="101">
        <v>103</v>
      </c>
      <c r="B536" s="37" t="s">
        <v>2763</v>
      </c>
      <c r="C536" s="3" t="s">
        <v>2764</v>
      </c>
      <c r="D536" s="11" t="s">
        <v>2411</v>
      </c>
      <c r="E536" s="11" t="s">
        <v>2415</v>
      </c>
      <c r="F536" s="3" t="s">
        <v>2772</v>
      </c>
      <c r="G536" s="3" t="s">
        <v>2777</v>
      </c>
      <c r="H536" s="3" t="s">
        <v>578</v>
      </c>
      <c r="I536" s="21">
        <v>6.9071277999999996</v>
      </c>
      <c r="J536" s="21">
        <v>81.554174399999994</v>
      </c>
      <c r="K536" s="3" t="s">
        <v>2272</v>
      </c>
      <c r="L536" s="3">
        <v>2011</v>
      </c>
      <c r="M536" s="3">
        <v>2012</v>
      </c>
      <c r="N536" s="21" t="s">
        <v>2272</v>
      </c>
      <c r="O536" s="3" t="s">
        <v>66</v>
      </c>
      <c r="P536" s="5" t="s">
        <v>5181</v>
      </c>
      <c r="Q536" s="4" t="s">
        <v>2785</v>
      </c>
    </row>
    <row r="537" spans="1:17" ht="43.5">
      <c r="A537" s="101">
        <v>103</v>
      </c>
      <c r="B537" s="37" t="s">
        <v>2763</v>
      </c>
      <c r="C537" s="3" t="s">
        <v>2768</v>
      </c>
      <c r="D537" s="11" t="s">
        <v>2411</v>
      </c>
      <c r="E537" s="11" t="s">
        <v>2415</v>
      </c>
      <c r="F537" s="3" t="s">
        <v>2773</v>
      </c>
      <c r="G537" s="3" t="s">
        <v>2777</v>
      </c>
      <c r="H537" s="3" t="s">
        <v>578</v>
      </c>
      <c r="I537" s="21">
        <v>6.4404225000000004</v>
      </c>
      <c r="J537" s="21">
        <v>81.133262299999998</v>
      </c>
      <c r="K537" s="3" t="s">
        <v>2272</v>
      </c>
      <c r="L537" s="3">
        <v>2011</v>
      </c>
      <c r="M537" s="3">
        <v>2012</v>
      </c>
      <c r="N537" s="21" t="s">
        <v>2272</v>
      </c>
      <c r="O537" s="3" t="s">
        <v>66</v>
      </c>
      <c r="P537" s="5" t="s">
        <v>5181</v>
      </c>
      <c r="Q537" s="4" t="s">
        <v>2785</v>
      </c>
    </row>
    <row r="538" spans="1:17" ht="43.5">
      <c r="A538" s="101">
        <v>103</v>
      </c>
      <c r="B538" s="37" t="s">
        <v>2763</v>
      </c>
      <c r="C538" s="3" t="s">
        <v>2769</v>
      </c>
      <c r="D538" s="11" t="s">
        <v>2411</v>
      </c>
      <c r="E538" s="11" t="s">
        <v>2415</v>
      </c>
      <c r="F538" s="3" t="s">
        <v>2774</v>
      </c>
      <c r="G538" s="3" t="s">
        <v>2777</v>
      </c>
      <c r="H538" s="3" t="s">
        <v>578</v>
      </c>
      <c r="I538" s="21">
        <v>6.7578582000000003</v>
      </c>
      <c r="J538" s="21">
        <v>81.239112000000006</v>
      </c>
      <c r="K538" s="3" t="s">
        <v>2272</v>
      </c>
      <c r="L538" s="3">
        <v>2011</v>
      </c>
      <c r="M538" s="3">
        <v>2012</v>
      </c>
      <c r="N538" s="21" t="s">
        <v>2272</v>
      </c>
      <c r="O538" s="3" t="s">
        <v>66</v>
      </c>
      <c r="P538" s="5" t="s">
        <v>5181</v>
      </c>
      <c r="Q538" s="4" t="s">
        <v>2785</v>
      </c>
    </row>
    <row r="539" spans="1:17" ht="43.5">
      <c r="A539" s="101">
        <v>103</v>
      </c>
      <c r="B539" s="37" t="s">
        <v>2763</v>
      </c>
      <c r="C539" s="3" t="s">
        <v>2770</v>
      </c>
      <c r="D539" s="11" t="s">
        <v>2411</v>
      </c>
      <c r="E539" s="11" t="s">
        <v>2415</v>
      </c>
      <c r="F539" s="3" t="s">
        <v>2775</v>
      </c>
      <c r="G539" s="3" t="s">
        <v>2777</v>
      </c>
      <c r="H539" s="3" t="s">
        <v>578</v>
      </c>
      <c r="I539" s="21">
        <v>6.4144278999999997</v>
      </c>
      <c r="J539" s="21">
        <v>81.327332100000007</v>
      </c>
      <c r="K539" s="3" t="s">
        <v>2272</v>
      </c>
      <c r="L539" s="3">
        <v>2011</v>
      </c>
      <c r="M539" s="3">
        <v>2012</v>
      </c>
      <c r="N539" s="21" t="s">
        <v>2272</v>
      </c>
      <c r="O539" s="3" t="s">
        <v>66</v>
      </c>
      <c r="P539" s="5" t="s">
        <v>5181</v>
      </c>
      <c r="Q539" s="4" t="s">
        <v>2785</v>
      </c>
    </row>
    <row r="540" spans="1:17" ht="43.5">
      <c r="A540" s="101">
        <v>103</v>
      </c>
      <c r="B540" s="37" t="s">
        <v>2763</v>
      </c>
      <c r="C540" s="3" t="s">
        <v>2771</v>
      </c>
      <c r="D540" s="11" t="s">
        <v>2411</v>
      </c>
      <c r="E540" s="11" t="s">
        <v>2415</v>
      </c>
      <c r="F540" s="3" t="s">
        <v>2776</v>
      </c>
      <c r="G540" s="3" t="s">
        <v>2777</v>
      </c>
      <c r="H540" s="3" t="s">
        <v>578</v>
      </c>
      <c r="I540" s="21">
        <v>6.3369369999999998</v>
      </c>
      <c r="J540" s="21">
        <v>80.9184774</v>
      </c>
      <c r="K540" s="3" t="s">
        <v>2272</v>
      </c>
      <c r="L540" s="3">
        <v>2011</v>
      </c>
      <c r="M540" s="3">
        <v>2012</v>
      </c>
      <c r="N540" s="21" t="s">
        <v>2272</v>
      </c>
      <c r="O540" s="3" t="s">
        <v>66</v>
      </c>
      <c r="P540" s="5" t="s">
        <v>5181</v>
      </c>
      <c r="Q540" s="4" t="s">
        <v>2785</v>
      </c>
    </row>
    <row r="541" spans="1:17" ht="46.5" customHeight="1">
      <c r="A541" s="101">
        <v>104</v>
      </c>
      <c r="B541" s="37" t="s">
        <v>2790</v>
      </c>
      <c r="C541" s="11" t="s">
        <v>2791</v>
      </c>
      <c r="D541" s="11" t="s">
        <v>2393</v>
      </c>
      <c r="E541" s="11" t="s">
        <v>2395</v>
      </c>
      <c r="F541" s="3" t="s">
        <v>2272</v>
      </c>
      <c r="G541" s="3" t="s">
        <v>2792</v>
      </c>
      <c r="H541" s="3" t="s">
        <v>1946</v>
      </c>
      <c r="I541" s="21">
        <v>4.95</v>
      </c>
      <c r="J541" s="21">
        <f>AVERAGE((7+(44/60)), (38  + (36/60)))</f>
        <v>23.166666666666668</v>
      </c>
      <c r="K541" s="21">
        <v>5426</v>
      </c>
      <c r="L541" s="3">
        <v>1987</v>
      </c>
      <c r="M541" s="3">
        <v>1987</v>
      </c>
      <c r="N541" s="21">
        <f>300000/K541</f>
        <v>55.289347585698486</v>
      </c>
      <c r="O541" s="3" t="s">
        <v>66</v>
      </c>
      <c r="P541" s="5" t="s">
        <v>5181</v>
      </c>
      <c r="Q541" s="3" t="s">
        <v>2793</v>
      </c>
    </row>
    <row r="542" spans="1:17" ht="46.5" customHeight="1">
      <c r="A542" s="101">
        <v>104</v>
      </c>
      <c r="B542" s="37" t="s">
        <v>2790</v>
      </c>
      <c r="C542" s="11" t="s">
        <v>2794</v>
      </c>
      <c r="D542" s="11" t="s">
        <v>2393</v>
      </c>
      <c r="E542" s="11" t="s">
        <v>2395</v>
      </c>
      <c r="F542" s="3" t="s">
        <v>2272</v>
      </c>
      <c r="G542" s="3" t="s">
        <v>2792</v>
      </c>
      <c r="H542" s="3" t="s">
        <v>1946</v>
      </c>
      <c r="I542" s="21">
        <v>4.95</v>
      </c>
      <c r="J542" s="21">
        <f t="shared" ref="J542:J543" si="3">AVERAGE((7+(44/60)), (38  + (36/60)))</f>
        <v>23.166666666666668</v>
      </c>
      <c r="K542" s="21">
        <v>5426</v>
      </c>
      <c r="L542" s="3">
        <v>1995</v>
      </c>
      <c r="M542" s="3">
        <v>1995</v>
      </c>
      <c r="N542" s="21">
        <f>400000/K542</f>
        <v>73.719130114264658</v>
      </c>
      <c r="O542" s="3" t="s">
        <v>66</v>
      </c>
      <c r="P542" s="5" t="s">
        <v>5181</v>
      </c>
      <c r="Q542" s="3" t="s">
        <v>2793</v>
      </c>
    </row>
    <row r="543" spans="1:17" ht="46.5" customHeight="1">
      <c r="A543" s="101">
        <v>104</v>
      </c>
      <c r="B543" s="37" t="s">
        <v>2790</v>
      </c>
      <c r="C543" s="11" t="s">
        <v>2795</v>
      </c>
      <c r="D543" s="11" t="s">
        <v>2393</v>
      </c>
      <c r="E543" s="11" t="s">
        <v>2395</v>
      </c>
      <c r="F543" s="3" t="s">
        <v>2272</v>
      </c>
      <c r="G543" s="3" t="s">
        <v>2792</v>
      </c>
      <c r="H543" s="3" t="s">
        <v>1946</v>
      </c>
      <c r="I543" s="21">
        <v>4.95</v>
      </c>
      <c r="J543" s="21">
        <f t="shared" si="3"/>
        <v>23.166666666666668</v>
      </c>
      <c r="K543" s="21">
        <v>5426</v>
      </c>
      <c r="L543" s="3">
        <v>2003</v>
      </c>
      <c r="M543" s="3">
        <v>2003</v>
      </c>
      <c r="N543" s="21">
        <f>500000/K543</f>
        <v>92.148912642830808</v>
      </c>
      <c r="O543" s="3" t="s">
        <v>66</v>
      </c>
      <c r="P543" s="5" t="s">
        <v>5181</v>
      </c>
      <c r="Q543" s="3" t="s">
        <v>2793</v>
      </c>
    </row>
    <row r="544" spans="1:17" ht="46.5" customHeight="1">
      <c r="A544" s="101">
        <v>105</v>
      </c>
      <c r="B544" s="37" t="s">
        <v>2810</v>
      </c>
      <c r="C544" s="11" t="s">
        <v>2805</v>
      </c>
      <c r="D544" s="11" t="s">
        <v>2393</v>
      </c>
      <c r="E544" s="11" t="s">
        <v>2394</v>
      </c>
      <c r="F544" s="3" t="s">
        <v>2811</v>
      </c>
      <c r="G544" s="3" t="s">
        <v>2792</v>
      </c>
      <c r="H544" s="3" t="s">
        <v>1946</v>
      </c>
      <c r="I544" s="21">
        <v>4.9708218000000004</v>
      </c>
      <c r="J544" s="21">
        <v>38.218069399999997</v>
      </c>
      <c r="K544" s="3" t="s">
        <v>2272</v>
      </c>
      <c r="L544" s="3">
        <v>2001</v>
      </c>
      <c r="M544" s="3">
        <v>2001</v>
      </c>
      <c r="N544" s="3" t="s">
        <v>2272</v>
      </c>
      <c r="O544" s="3" t="s">
        <v>66</v>
      </c>
      <c r="P544" s="5" t="s">
        <v>5181</v>
      </c>
      <c r="Q544" s="3" t="s">
        <v>2210</v>
      </c>
    </row>
    <row r="545" spans="1:17" ht="46.5" customHeight="1">
      <c r="A545" s="101">
        <v>105</v>
      </c>
      <c r="B545" s="37" t="s">
        <v>2810</v>
      </c>
      <c r="C545" s="11" t="s">
        <v>2806</v>
      </c>
      <c r="D545" s="11" t="s">
        <v>2393</v>
      </c>
      <c r="E545" s="11" t="s">
        <v>2394</v>
      </c>
      <c r="F545" s="3" t="s">
        <v>2812</v>
      </c>
      <c r="G545" s="3" t="s">
        <v>2792</v>
      </c>
      <c r="H545" s="3" t="s">
        <v>1946</v>
      </c>
      <c r="I545" s="21">
        <v>4.8764811999999997</v>
      </c>
      <c r="J545" s="21">
        <v>38.588563100000002</v>
      </c>
      <c r="K545" s="3" t="s">
        <v>2272</v>
      </c>
      <c r="L545" s="3">
        <v>2001</v>
      </c>
      <c r="M545" s="3">
        <v>2001</v>
      </c>
      <c r="N545" s="3" t="s">
        <v>2272</v>
      </c>
      <c r="O545" s="3" t="s">
        <v>66</v>
      </c>
      <c r="P545" s="5" t="s">
        <v>5181</v>
      </c>
      <c r="Q545" s="3" t="s">
        <v>2210</v>
      </c>
    </row>
    <row r="546" spans="1:17" ht="35.5" customHeight="1">
      <c r="A546" s="101">
        <v>105</v>
      </c>
      <c r="B546" s="37" t="s">
        <v>2810</v>
      </c>
      <c r="C546" s="11" t="s">
        <v>2807</v>
      </c>
      <c r="D546" s="11" t="s">
        <v>2393</v>
      </c>
      <c r="E546" s="11" t="s">
        <v>2394</v>
      </c>
      <c r="F546" s="3" t="s">
        <v>2813</v>
      </c>
      <c r="G546" s="3" t="s">
        <v>2792</v>
      </c>
      <c r="H546" s="3" t="s">
        <v>1946</v>
      </c>
      <c r="I546" s="21">
        <v>4.8590485000000001</v>
      </c>
      <c r="J546" s="21">
        <v>39.156598199999998</v>
      </c>
      <c r="K546" s="3" t="s">
        <v>2272</v>
      </c>
      <c r="L546" s="3">
        <v>2001</v>
      </c>
      <c r="M546" s="3">
        <v>2001</v>
      </c>
      <c r="N546" s="3" t="s">
        <v>2272</v>
      </c>
      <c r="O546" s="3" t="s">
        <v>66</v>
      </c>
      <c r="P546" s="5" t="s">
        <v>5181</v>
      </c>
      <c r="Q546" s="3" t="s">
        <v>2210</v>
      </c>
    </row>
    <row r="547" spans="1:17" ht="34.5" customHeight="1">
      <c r="A547" s="101">
        <v>105</v>
      </c>
      <c r="B547" s="37" t="s">
        <v>2810</v>
      </c>
      <c r="C547" s="11" t="s">
        <v>2808</v>
      </c>
      <c r="D547" s="11" t="s">
        <v>2393</v>
      </c>
      <c r="E547" s="11" t="s">
        <v>2394</v>
      </c>
      <c r="F547" s="3" t="s">
        <v>2814</v>
      </c>
      <c r="G547" s="3" t="s">
        <v>2792</v>
      </c>
      <c r="H547" s="3" t="s">
        <v>1946</v>
      </c>
      <c r="I547" s="21">
        <v>4.3661963000000004</v>
      </c>
      <c r="J547" s="21">
        <v>38.277742799999999</v>
      </c>
      <c r="K547" s="3" t="s">
        <v>2272</v>
      </c>
      <c r="L547" s="3">
        <v>2001</v>
      </c>
      <c r="M547" s="3">
        <v>2001</v>
      </c>
      <c r="N547" s="3" t="s">
        <v>2272</v>
      </c>
      <c r="O547" s="3" t="s">
        <v>66</v>
      </c>
      <c r="P547" s="5" t="s">
        <v>5181</v>
      </c>
      <c r="Q547" s="3" t="s">
        <v>2210</v>
      </c>
    </row>
    <row r="548" spans="1:17" ht="37" customHeight="1">
      <c r="A548" s="101">
        <v>105</v>
      </c>
      <c r="B548" s="37" t="s">
        <v>2810</v>
      </c>
      <c r="C548" s="11" t="s">
        <v>2809</v>
      </c>
      <c r="D548" s="11" t="s">
        <v>2393</v>
      </c>
      <c r="E548" s="11" t="s">
        <v>2394</v>
      </c>
      <c r="F548" s="3" t="s">
        <v>2815</v>
      </c>
      <c r="G548" s="3" t="s">
        <v>2792</v>
      </c>
      <c r="H548" s="3" t="s">
        <v>1946</v>
      </c>
      <c r="I548" s="21">
        <v>3.9142096999999998</v>
      </c>
      <c r="J548" s="21">
        <v>38.508583199999997</v>
      </c>
      <c r="K548" s="3" t="s">
        <v>2272</v>
      </c>
      <c r="L548" s="3">
        <v>2001</v>
      </c>
      <c r="M548" s="3">
        <v>2001</v>
      </c>
      <c r="N548" s="3" t="s">
        <v>2272</v>
      </c>
      <c r="O548" s="3" t="s">
        <v>66</v>
      </c>
      <c r="P548" s="5" t="s">
        <v>5181</v>
      </c>
      <c r="Q548" s="3" t="s">
        <v>2210</v>
      </c>
    </row>
    <row r="549" spans="1:17" ht="48" customHeight="1">
      <c r="A549" s="101">
        <v>105</v>
      </c>
      <c r="B549" s="37" t="s">
        <v>2810</v>
      </c>
      <c r="C549" s="11" t="s">
        <v>2816</v>
      </c>
      <c r="D549" s="11" t="s">
        <v>2393</v>
      </c>
      <c r="E549" s="11" t="s">
        <v>2394</v>
      </c>
      <c r="F549" s="3" t="s">
        <v>2272</v>
      </c>
      <c r="G549" s="3" t="s">
        <v>2792</v>
      </c>
      <c r="H549" s="3" t="s">
        <v>1946</v>
      </c>
      <c r="I549" s="21">
        <f>AVERAGE(I544:I548)</f>
        <v>4.5973515000000003</v>
      </c>
      <c r="J549" s="21">
        <f>AVERAGE(J544:J548)</f>
        <v>38.549911340000001</v>
      </c>
      <c r="K549" s="3" t="s">
        <v>2272</v>
      </c>
      <c r="L549" s="3">
        <v>1970</v>
      </c>
      <c r="M549" s="3">
        <v>1975</v>
      </c>
      <c r="N549" s="3" t="s">
        <v>2272</v>
      </c>
      <c r="O549" s="3" t="s">
        <v>66</v>
      </c>
      <c r="P549" s="5" t="s">
        <v>5181</v>
      </c>
      <c r="Q549" s="4" t="s">
        <v>2833</v>
      </c>
    </row>
    <row r="550" spans="1:17" ht="42.5" customHeight="1">
      <c r="A550" s="101">
        <v>106</v>
      </c>
      <c r="B550" s="37" t="s">
        <v>2836</v>
      </c>
      <c r="C550" s="11" t="s">
        <v>2834</v>
      </c>
      <c r="D550" s="11" t="s">
        <v>2393</v>
      </c>
      <c r="E550" s="11" t="s">
        <v>2395</v>
      </c>
      <c r="F550" s="3" t="s">
        <v>2838</v>
      </c>
      <c r="G550" s="3" t="s">
        <v>2272</v>
      </c>
      <c r="H550" s="3" t="s">
        <v>2837</v>
      </c>
      <c r="I550" s="21">
        <v>-7.1583851000000003</v>
      </c>
      <c r="J550" s="21">
        <v>146.91341019999999</v>
      </c>
      <c r="K550" s="3" t="s">
        <v>2272</v>
      </c>
      <c r="L550" s="3">
        <v>1999</v>
      </c>
      <c r="M550" s="3">
        <v>1999</v>
      </c>
      <c r="N550" s="3" t="s">
        <v>2272</v>
      </c>
      <c r="O550" s="3" t="s">
        <v>66</v>
      </c>
      <c r="P550" s="5" t="s">
        <v>5181</v>
      </c>
      <c r="Q550" s="3" t="s">
        <v>2210</v>
      </c>
    </row>
    <row r="551" spans="1:17" ht="46.5" customHeight="1">
      <c r="A551" s="101">
        <v>106</v>
      </c>
      <c r="B551" s="37" t="s">
        <v>2836</v>
      </c>
      <c r="C551" s="11" t="s">
        <v>2835</v>
      </c>
      <c r="D551" s="11" t="s">
        <v>2393</v>
      </c>
      <c r="E551" s="11" t="s">
        <v>2395</v>
      </c>
      <c r="F551" s="3" t="s">
        <v>2838</v>
      </c>
      <c r="G551" s="3" t="s">
        <v>2272</v>
      </c>
      <c r="H551" s="3" t="s">
        <v>2837</v>
      </c>
      <c r="I551" s="21">
        <v>-7.1583851000000003</v>
      </c>
      <c r="J551" s="21">
        <v>146.91341019999999</v>
      </c>
      <c r="K551" s="3" t="s">
        <v>2272</v>
      </c>
      <c r="L551" s="3">
        <v>2011</v>
      </c>
      <c r="M551" s="3">
        <v>2011</v>
      </c>
      <c r="N551" s="3" t="s">
        <v>2272</v>
      </c>
      <c r="O551" s="3" t="s">
        <v>66</v>
      </c>
      <c r="P551" s="5" t="s">
        <v>5181</v>
      </c>
      <c r="Q551" s="3" t="s">
        <v>2210</v>
      </c>
    </row>
    <row r="552" spans="1:17" ht="47" customHeight="1">
      <c r="A552" s="101">
        <v>107</v>
      </c>
      <c r="B552" s="37" t="s">
        <v>2844</v>
      </c>
      <c r="C552" s="3" t="s">
        <v>2843</v>
      </c>
      <c r="D552" s="11" t="s">
        <v>2393</v>
      </c>
      <c r="E552" s="11" t="s">
        <v>2394</v>
      </c>
      <c r="F552" s="3" t="s">
        <v>2272</v>
      </c>
      <c r="G552" s="3" t="s">
        <v>2845</v>
      </c>
      <c r="H552" s="3" t="s">
        <v>1139</v>
      </c>
      <c r="I552" s="21">
        <v>6.75</v>
      </c>
      <c r="J552" s="21">
        <f>-2 -(0.05)</f>
        <v>-2.0499999999999998</v>
      </c>
      <c r="K552" s="144">
        <v>2411</v>
      </c>
      <c r="L552" s="8">
        <v>2010</v>
      </c>
      <c r="M552" s="8">
        <v>2010</v>
      </c>
      <c r="N552" s="21">
        <f>139174/K552</f>
        <v>57.724595603484033</v>
      </c>
      <c r="O552" s="3" t="s">
        <v>66</v>
      </c>
      <c r="P552" s="5" t="s">
        <v>5181</v>
      </c>
      <c r="Q552" s="4" t="s">
        <v>2846</v>
      </c>
    </row>
    <row r="553" spans="1:17" ht="44.5" customHeight="1">
      <c r="A553" s="101">
        <v>108</v>
      </c>
      <c r="B553" s="37" t="s">
        <v>2857</v>
      </c>
      <c r="C553" s="3" t="s">
        <v>2858</v>
      </c>
      <c r="D553" s="3" t="s">
        <v>2393</v>
      </c>
      <c r="E553" s="3" t="s">
        <v>2632</v>
      </c>
      <c r="F553" s="3" t="s">
        <v>2859</v>
      </c>
      <c r="G553" s="3" t="s">
        <v>2860</v>
      </c>
      <c r="H553" s="3" t="s">
        <v>892</v>
      </c>
      <c r="I553" s="21">
        <v>0.66639459999999995</v>
      </c>
      <c r="J553" s="21">
        <v>100.14809409999999</v>
      </c>
      <c r="K553" s="3" t="s">
        <v>2272</v>
      </c>
      <c r="L553" s="3">
        <v>2002</v>
      </c>
      <c r="M553" s="3">
        <v>2002</v>
      </c>
      <c r="N553" s="3">
        <v>66</v>
      </c>
      <c r="O553" s="3" t="s">
        <v>2637</v>
      </c>
      <c r="P553" s="5" t="s">
        <v>5181</v>
      </c>
      <c r="Q553" s="4" t="s">
        <v>2793</v>
      </c>
    </row>
    <row r="554" spans="1:17" ht="55.5" customHeight="1">
      <c r="A554" s="101">
        <v>108</v>
      </c>
      <c r="B554" s="37" t="s">
        <v>2857</v>
      </c>
      <c r="C554" s="3" t="s">
        <v>2865</v>
      </c>
      <c r="D554" s="3" t="s">
        <v>2393</v>
      </c>
      <c r="E554" s="3" t="s">
        <v>2632</v>
      </c>
      <c r="F554" s="3" t="s">
        <v>2859</v>
      </c>
      <c r="G554" s="3" t="s">
        <v>2860</v>
      </c>
      <c r="H554" s="3" t="s">
        <v>892</v>
      </c>
      <c r="I554" s="21">
        <v>0.66639459999999995</v>
      </c>
      <c r="J554" s="21">
        <v>100.14809409999999</v>
      </c>
      <c r="K554" s="3" t="s">
        <v>2272</v>
      </c>
      <c r="L554" s="3">
        <v>1945</v>
      </c>
      <c r="M554" s="3">
        <v>1965</v>
      </c>
      <c r="N554" s="3" t="s">
        <v>2272</v>
      </c>
      <c r="O554" s="3" t="s">
        <v>2637</v>
      </c>
      <c r="P554" s="5" t="s">
        <v>5181</v>
      </c>
      <c r="Q554" s="4" t="s">
        <v>2864</v>
      </c>
    </row>
    <row r="555" spans="1:17" ht="40" customHeight="1">
      <c r="A555" s="101">
        <v>109</v>
      </c>
      <c r="B555" s="37" t="s">
        <v>2875</v>
      </c>
      <c r="C555" s="3" t="s">
        <v>2876</v>
      </c>
      <c r="D555" s="3" t="s">
        <v>2393</v>
      </c>
      <c r="E555" s="3" t="s">
        <v>2394</v>
      </c>
      <c r="F555" s="3" t="s">
        <v>2272</v>
      </c>
      <c r="G555" s="3" t="s">
        <v>2877</v>
      </c>
      <c r="H555" s="3" t="s">
        <v>86</v>
      </c>
      <c r="I555" s="21">
        <f>AVERAGE(26 + (22/60), 28 + (8/60))</f>
        <v>27.25</v>
      </c>
      <c r="J555" s="21">
        <f>AVERAGE(89 + (36/60), 97 + (19/60))</f>
        <v>93.458333333333329</v>
      </c>
      <c r="K555" s="3" t="s">
        <v>2272</v>
      </c>
      <c r="L555" s="22">
        <v>2010</v>
      </c>
      <c r="M555" s="22">
        <v>2015</v>
      </c>
      <c r="N555" s="3" t="s">
        <v>2272</v>
      </c>
      <c r="O555" s="3" t="s">
        <v>2637</v>
      </c>
      <c r="P555" s="5" t="s">
        <v>5181</v>
      </c>
      <c r="Q555" s="4" t="s">
        <v>3012</v>
      </c>
    </row>
    <row r="556" spans="1:17" ht="34" customHeight="1">
      <c r="A556" s="101">
        <v>110</v>
      </c>
      <c r="B556" s="37" t="s">
        <v>2880</v>
      </c>
      <c r="C556" s="11" t="s">
        <v>2881</v>
      </c>
      <c r="D556" s="3" t="s">
        <v>2393</v>
      </c>
      <c r="E556" s="3" t="s">
        <v>2394</v>
      </c>
      <c r="F556" s="3" t="s">
        <v>2885</v>
      </c>
      <c r="G556" s="3" t="s">
        <v>2272</v>
      </c>
      <c r="H556" s="3" t="s">
        <v>2884</v>
      </c>
      <c r="I556" s="21">
        <v>16.478462</v>
      </c>
      <c r="J556" s="21">
        <v>-88.611639800000006</v>
      </c>
      <c r="K556" s="3" t="s">
        <v>2272</v>
      </c>
      <c r="L556" s="3">
        <v>2016</v>
      </c>
      <c r="M556" s="3">
        <v>2018</v>
      </c>
      <c r="N556" s="3" t="s">
        <v>2272</v>
      </c>
      <c r="O556" s="3" t="s">
        <v>66</v>
      </c>
      <c r="P556" s="5" t="s">
        <v>5181</v>
      </c>
      <c r="Q556" s="3" t="s">
        <v>2888</v>
      </c>
    </row>
    <row r="557" spans="1:17" ht="33.5" customHeight="1">
      <c r="A557" s="101">
        <v>110</v>
      </c>
      <c r="B557" s="37" t="s">
        <v>2880</v>
      </c>
      <c r="C557" s="11" t="s">
        <v>2882</v>
      </c>
      <c r="D557" s="3" t="s">
        <v>2393</v>
      </c>
      <c r="E557" s="3" t="s">
        <v>2394</v>
      </c>
      <c r="F557" s="3" t="s">
        <v>2886</v>
      </c>
      <c r="G557" s="3" t="s">
        <v>2272</v>
      </c>
      <c r="H557" s="3" t="s">
        <v>2884</v>
      </c>
      <c r="I557" s="21">
        <f>16 + (31/60)</f>
        <v>16.516666666666666</v>
      </c>
      <c r="J557" s="21">
        <f>-88 - (0.633333333333333)</f>
        <v>-88.63333333333334</v>
      </c>
      <c r="K557" s="3" t="s">
        <v>2272</v>
      </c>
      <c r="L557" s="3">
        <v>2016</v>
      </c>
      <c r="M557" s="3">
        <v>2018</v>
      </c>
      <c r="N557" s="3" t="s">
        <v>2272</v>
      </c>
      <c r="O557" s="3" t="s">
        <v>66</v>
      </c>
      <c r="P557" s="5" t="s">
        <v>5181</v>
      </c>
      <c r="Q557" s="3" t="s">
        <v>2888</v>
      </c>
    </row>
    <row r="558" spans="1:17" ht="35.5" customHeight="1">
      <c r="A558" s="101">
        <v>110</v>
      </c>
      <c r="B558" s="37" t="s">
        <v>2880</v>
      </c>
      <c r="C558" s="11" t="s">
        <v>2883</v>
      </c>
      <c r="D558" s="3" t="s">
        <v>2393</v>
      </c>
      <c r="E558" s="3" t="s">
        <v>2394</v>
      </c>
      <c r="F558" s="3" t="s">
        <v>2887</v>
      </c>
      <c r="G558" s="3" t="s">
        <v>2272</v>
      </c>
      <c r="H558" s="3" t="s">
        <v>2884</v>
      </c>
      <c r="I558" s="21">
        <v>16.510779200000002</v>
      </c>
      <c r="J558" s="21">
        <v>-88.546886499999999</v>
      </c>
      <c r="K558" s="3" t="s">
        <v>2272</v>
      </c>
      <c r="L558" s="3">
        <v>2016</v>
      </c>
      <c r="M558" s="3">
        <v>2018</v>
      </c>
      <c r="N558" s="3" t="s">
        <v>2272</v>
      </c>
      <c r="O558" s="3" t="s">
        <v>66</v>
      </c>
      <c r="P558" s="5" t="s">
        <v>5181</v>
      </c>
      <c r="Q558" s="3" t="s">
        <v>2888</v>
      </c>
    </row>
    <row r="559" spans="1:17" ht="41.5" customHeight="1">
      <c r="A559" s="101">
        <v>110</v>
      </c>
      <c r="B559" s="37" t="s">
        <v>2880</v>
      </c>
      <c r="C559" s="11" t="s">
        <v>2919</v>
      </c>
      <c r="D559" s="3" t="s">
        <v>2393</v>
      </c>
      <c r="E559" s="3" t="s">
        <v>2394</v>
      </c>
      <c r="F559" s="11" t="s">
        <v>2920</v>
      </c>
      <c r="G559" s="3" t="s">
        <v>2272</v>
      </c>
      <c r="H559" s="11" t="s">
        <v>2921</v>
      </c>
      <c r="I559" s="21">
        <v>16.330165900000001</v>
      </c>
      <c r="J559" s="21">
        <v>-88.602237799999997</v>
      </c>
      <c r="K559" s="145">
        <v>152.5</v>
      </c>
      <c r="L559" s="3">
        <v>2016</v>
      </c>
      <c r="M559" s="3">
        <v>2018</v>
      </c>
      <c r="N559" s="3" t="s">
        <v>2272</v>
      </c>
      <c r="O559" s="3" t="s">
        <v>66</v>
      </c>
      <c r="P559" s="5" t="s">
        <v>5181</v>
      </c>
      <c r="Q559" s="3" t="s">
        <v>2922</v>
      </c>
    </row>
    <row r="560" spans="1:17" ht="50.5" customHeight="1">
      <c r="A560" s="101">
        <v>111</v>
      </c>
      <c r="B560" s="37" t="s">
        <v>2928</v>
      </c>
      <c r="C560" s="11" t="s">
        <v>2929</v>
      </c>
      <c r="D560" s="3" t="s">
        <v>2393</v>
      </c>
      <c r="E560" s="3" t="s">
        <v>2394</v>
      </c>
      <c r="F560" s="36" t="s">
        <v>654</v>
      </c>
      <c r="G560" s="3" t="s">
        <v>655</v>
      </c>
      <c r="H560" s="28" t="s">
        <v>656</v>
      </c>
      <c r="I560" s="21">
        <v>-4.95</v>
      </c>
      <c r="J560" s="21">
        <v>-73.25</v>
      </c>
      <c r="K560" s="21">
        <f>866/100</f>
        <v>8.66</v>
      </c>
      <c r="L560" s="3">
        <v>1990</v>
      </c>
      <c r="M560" s="3">
        <v>2000</v>
      </c>
      <c r="N560" s="21">
        <f>365.5/K560</f>
        <v>42.20554272517321</v>
      </c>
      <c r="O560" s="3" t="s">
        <v>2637</v>
      </c>
      <c r="P560" s="5" t="s">
        <v>5181</v>
      </c>
      <c r="Q560" s="4" t="s">
        <v>2930</v>
      </c>
    </row>
    <row r="561" spans="1:17" ht="53" customHeight="1">
      <c r="A561" s="101">
        <v>111</v>
      </c>
      <c r="B561" s="37" t="s">
        <v>2928</v>
      </c>
      <c r="C561" s="11" t="s">
        <v>2931</v>
      </c>
      <c r="D561" s="3" t="s">
        <v>2393</v>
      </c>
      <c r="E561" s="3" t="s">
        <v>2394</v>
      </c>
      <c r="F561" s="36" t="s">
        <v>654</v>
      </c>
      <c r="G561" s="3" t="s">
        <v>655</v>
      </c>
      <c r="H561" s="28" t="s">
        <v>656</v>
      </c>
      <c r="I561" s="21">
        <v>-4.95</v>
      </c>
      <c r="J561" s="21">
        <v>-73.25</v>
      </c>
      <c r="K561" s="21">
        <f>866/100</f>
        <v>8.66</v>
      </c>
      <c r="L561" s="11">
        <v>2000</v>
      </c>
      <c r="M561" s="11">
        <v>2014</v>
      </c>
      <c r="N561" s="21">
        <f>348/K561</f>
        <v>40.184757505773675</v>
      </c>
      <c r="O561" s="3" t="s">
        <v>2637</v>
      </c>
      <c r="P561" s="5" t="s">
        <v>5181</v>
      </c>
      <c r="Q561" s="4" t="s">
        <v>2930</v>
      </c>
    </row>
    <row r="562" spans="1:17" ht="50" customHeight="1">
      <c r="A562" s="101">
        <v>112</v>
      </c>
      <c r="B562" s="37" t="s">
        <v>2938</v>
      </c>
      <c r="C562" s="3" t="s">
        <v>2939</v>
      </c>
      <c r="D562" s="3" t="s">
        <v>2393</v>
      </c>
      <c r="E562" s="3" t="s">
        <v>2394</v>
      </c>
      <c r="F562" s="3" t="s">
        <v>2941</v>
      </c>
      <c r="G562" s="3" t="s">
        <v>2940</v>
      </c>
      <c r="H562" s="3" t="s">
        <v>656</v>
      </c>
      <c r="I562" s="21">
        <v>9.6613299999999995</v>
      </c>
      <c r="J562" s="21">
        <v>118.4720116</v>
      </c>
      <c r="K562" s="21">
        <f>350/N562</f>
        <v>4.666666666666667</v>
      </c>
      <c r="L562" s="3">
        <v>1980</v>
      </c>
      <c r="M562" s="3">
        <v>1991</v>
      </c>
      <c r="N562" s="3">
        <v>75</v>
      </c>
      <c r="O562" s="3" t="s">
        <v>2637</v>
      </c>
      <c r="P562" s="5" t="s">
        <v>5181</v>
      </c>
      <c r="Q562" s="3"/>
    </row>
    <row r="563" spans="1:17" ht="44.5" customHeight="1">
      <c r="A563" s="101">
        <v>113</v>
      </c>
      <c r="B563" s="37" t="s">
        <v>2948</v>
      </c>
      <c r="C563" s="11" t="s">
        <v>2949</v>
      </c>
      <c r="D563" s="3" t="s">
        <v>2393</v>
      </c>
      <c r="E563" s="3" t="s">
        <v>2394</v>
      </c>
      <c r="F563" s="3" t="s">
        <v>2950</v>
      </c>
      <c r="G563" s="3" t="s">
        <v>2951</v>
      </c>
      <c r="H563" s="3" t="s">
        <v>119</v>
      </c>
      <c r="I563" s="21">
        <v>-8.3902674000000008</v>
      </c>
      <c r="J563" s="21">
        <v>-47.768381599999998</v>
      </c>
      <c r="K563" s="21">
        <v>3200</v>
      </c>
      <c r="L563" s="8">
        <v>2002</v>
      </c>
      <c r="M563" s="8">
        <v>2002</v>
      </c>
      <c r="N563" s="3">
        <f>200/K563</f>
        <v>6.25E-2</v>
      </c>
      <c r="O563" s="3" t="s">
        <v>66</v>
      </c>
      <c r="P563" s="5" t="s">
        <v>5181</v>
      </c>
      <c r="Q563" s="3" t="s">
        <v>2982</v>
      </c>
    </row>
    <row r="564" spans="1:17" ht="40" customHeight="1">
      <c r="A564" s="101">
        <v>114</v>
      </c>
      <c r="B564" s="37" t="s">
        <v>3794</v>
      </c>
      <c r="C564" s="3" t="s">
        <v>2983</v>
      </c>
      <c r="D564" s="3" t="s">
        <v>2393</v>
      </c>
      <c r="E564" s="3" t="s">
        <v>2395</v>
      </c>
      <c r="F564" s="3" t="s">
        <v>2272</v>
      </c>
      <c r="G564" s="3" t="s">
        <v>2981</v>
      </c>
      <c r="H564" s="3" t="s">
        <v>2980</v>
      </c>
      <c r="I564" s="21">
        <v>14</v>
      </c>
      <c r="J564" s="21">
        <v>-13</v>
      </c>
      <c r="K564" s="21">
        <f>2000000/100</f>
        <v>20000</v>
      </c>
      <c r="L564" s="3">
        <v>1998</v>
      </c>
      <c r="M564" s="3">
        <v>1998</v>
      </c>
      <c r="N564" s="3" t="s">
        <v>2272</v>
      </c>
      <c r="O564" s="3" t="s">
        <v>66</v>
      </c>
      <c r="P564" s="5" t="s">
        <v>5181</v>
      </c>
      <c r="Q564" s="3"/>
    </row>
    <row r="565" spans="1:17" ht="40" customHeight="1">
      <c r="A565" s="101">
        <v>115</v>
      </c>
      <c r="B565" s="37" t="s">
        <v>3013</v>
      </c>
      <c r="C565" s="3" t="s">
        <v>2990</v>
      </c>
      <c r="D565" s="3" t="s">
        <v>2393</v>
      </c>
      <c r="E565" s="3" t="s">
        <v>2394</v>
      </c>
      <c r="F565" s="3" t="s">
        <v>2272</v>
      </c>
      <c r="G565" s="3" t="s">
        <v>3014</v>
      </c>
      <c r="H565" s="3" t="s">
        <v>119</v>
      </c>
      <c r="I565" s="21">
        <v>-15.7879989</v>
      </c>
      <c r="J565" s="21">
        <v>-47.751701799999999</v>
      </c>
      <c r="K565" s="21">
        <v>5814</v>
      </c>
      <c r="L565" s="8">
        <v>1995</v>
      </c>
      <c r="M565" s="8">
        <v>1995</v>
      </c>
      <c r="N565" s="3" t="s">
        <v>2272</v>
      </c>
      <c r="O565" s="3" t="s">
        <v>66</v>
      </c>
      <c r="P565" s="5" t="s">
        <v>5181</v>
      </c>
      <c r="Q565" s="4" t="s">
        <v>3015</v>
      </c>
    </row>
    <row r="566" spans="1:17" ht="34.5" customHeight="1">
      <c r="A566" s="101">
        <v>116</v>
      </c>
      <c r="B566" s="37" t="s">
        <v>3034</v>
      </c>
      <c r="C566" s="11" t="s">
        <v>3032</v>
      </c>
      <c r="D566" s="11" t="s">
        <v>2393</v>
      </c>
      <c r="E566" s="3" t="s">
        <v>2394</v>
      </c>
      <c r="F566" s="3" t="s">
        <v>3033</v>
      </c>
      <c r="G566" s="3" t="s">
        <v>2272</v>
      </c>
      <c r="H566" s="3" t="s">
        <v>1945</v>
      </c>
      <c r="I566" s="21">
        <f>12+(13/60)</f>
        <v>12.216666666666667</v>
      </c>
      <c r="J566" s="21">
        <f>-2-(42/60)</f>
        <v>-2.7</v>
      </c>
      <c r="K566" s="21">
        <f>30000/100</f>
        <v>300</v>
      </c>
      <c r="L566" s="3">
        <v>1992</v>
      </c>
      <c r="M566" s="3">
        <v>2003</v>
      </c>
      <c r="N566" s="3" t="s">
        <v>2272</v>
      </c>
      <c r="O566" s="3" t="s">
        <v>66</v>
      </c>
      <c r="P566" s="5" t="s">
        <v>5181</v>
      </c>
      <c r="Q566" s="3"/>
    </row>
    <row r="567" spans="1:17" ht="35" customHeight="1">
      <c r="A567" s="101">
        <v>117</v>
      </c>
      <c r="B567" s="37" t="s">
        <v>3038</v>
      </c>
      <c r="C567" s="11" t="s">
        <v>3039</v>
      </c>
      <c r="D567" s="11" t="s">
        <v>2393</v>
      </c>
      <c r="E567" s="3" t="s">
        <v>2394</v>
      </c>
      <c r="F567" s="108" t="s">
        <v>3056</v>
      </c>
      <c r="G567" s="3" t="s">
        <v>3042</v>
      </c>
      <c r="H567" s="3" t="s">
        <v>119</v>
      </c>
      <c r="I567" s="21">
        <v>-10.285575</v>
      </c>
      <c r="J567" s="21">
        <v>-46.764769000000001</v>
      </c>
      <c r="K567" s="21">
        <f>1580-K569</f>
        <v>495.85365853658527</v>
      </c>
      <c r="L567" s="3">
        <v>2014</v>
      </c>
      <c r="M567" s="3">
        <v>2015</v>
      </c>
      <c r="N567" s="3" t="s">
        <v>2272</v>
      </c>
      <c r="O567" s="3" t="s">
        <v>66</v>
      </c>
      <c r="P567" s="5" t="s">
        <v>5181</v>
      </c>
      <c r="Q567" s="3" t="s">
        <v>3043</v>
      </c>
    </row>
    <row r="568" spans="1:17" ht="37" customHeight="1">
      <c r="A568" s="101">
        <v>117</v>
      </c>
      <c r="B568" s="37" t="s">
        <v>3038</v>
      </c>
      <c r="C568" s="11" t="s">
        <v>3040</v>
      </c>
      <c r="D568" s="11" t="s">
        <v>2393</v>
      </c>
      <c r="E568" s="3" t="s">
        <v>2394</v>
      </c>
      <c r="F568" s="108" t="s">
        <v>3056</v>
      </c>
      <c r="G568" s="4" t="s">
        <v>3041</v>
      </c>
      <c r="H568" s="3" t="s">
        <v>119</v>
      </c>
      <c r="I568" s="21">
        <v>-10.8193436</v>
      </c>
      <c r="J568" s="21">
        <v>-46.520679000000001</v>
      </c>
      <c r="K568" s="21" t="s">
        <v>2272</v>
      </c>
      <c r="L568" s="3">
        <v>2014</v>
      </c>
      <c r="M568" s="3">
        <v>2015</v>
      </c>
      <c r="N568" s="3" t="s">
        <v>2272</v>
      </c>
      <c r="O568" s="3" t="s">
        <v>66</v>
      </c>
      <c r="P568" s="5" t="s">
        <v>5181</v>
      </c>
      <c r="Q568" s="3" t="s">
        <v>3043</v>
      </c>
    </row>
    <row r="569" spans="1:17" ht="37.5" customHeight="1">
      <c r="A569" s="101">
        <v>117</v>
      </c>
      <c r="B569" s="37" t="s">
        <v>3038</v>
      </c>
      <c r="C569" s="11" t="s">
        <v>3057</v>
      </c>
      <c r="D569" s="11" t="s">
        <v>2393</v>
      </c>
      <c r="E569" s="3" t="s">
        <v>2394</v>
      </c>
      <c r="F569" s="108" t="s">
        <v>3059</v>
      </c>
      <c r="G569" s="3" t="s">
        <v>3042</v>
      </c>
      <c r="H569" s="3" t="s">
        <v>119</v>
      </c>
      <c r="I569" s="21">
        <v>-10.285575</v>
      </c>
      <c r="J569" s="21">
        <v>-46.764769000000001</v>
      </c>
      <c r="K569" s="21">
        <f>('Reported burning'!U974/('Reported burning'!Y974/100)) / 100</f>
        <v>1084.1463414634147</v>
      </c>
      <c r="L569" s="3">
        <v>2014</v>
      </c>
      <c r="M569" s="3">
        <v>2015</v>
      </c>
      <c r="N569" s="3" t="s">
        <v>2272</v>
      </c>
      <c r="O569" s="3" t="s">
        <v>66</v>
      </c>
      <c r="P569" s="5" t="s">
        <v>5181</v>
      </c>
      <c r="Q569" s="3" t="s">
        <v>3043</v>
      </c>
    </row>
    <row r="570" spans="1:17" ht="36" customHeight="1">
      <c r="A570" s="101">
        <v>117</v>
      </c>
      <c r="B570" s="37" t="s">
        <v>3038</v>
      </c>
      <c r="C570" s="11" t="s">
        <v>3058</v>
      </c>
      <c r="D570" s="11" t="s">
        <v>2393</v>
      </c>
      <c r="E570" s="3" t="s">
        <v>2394</v>
      </c>
      <c r="F570" s="108" t="s">
        <v>3059</v>
      </c>
      <c r="G570" s="4" t="s">
        <v>3041</v>
      </c>
      <c r="H570" s="3" t="s">
        <v>119</v>
      </c>
      <c r="I570" s="21">
        <v>-10.8193436</v>
      </c>
      <c r="J570" s="21">
        <v>-46.520679000000001</v>
      </c>
      <c r="K570" s="21" t="s">
        <v>2272</v>
      </c>
      <c r="L570" s="3">
        <v>2014</v>
      </c>
      <c r="M570" s="3">
        <v>2015</v>
      </c>
      <c r="N570" s="3" t="s">
        <v>2272</v>
      </c>
      <c r="O570" s="3" t="s">
        <v>66</v>
      </c>
      <c r="P570" s="5" t="s">
        <v>5181</v>
      </c>
      <c r="Q570" s="3" t="s">
        <v>3043</v>
      </c>
    </row>
    <row r="571" spans="1:17" ht="36" customHeight="1">
      <c r="A571" s="101">
        <v>117</v>
      </c>
      <c r="B571" s="37" t="s">
        <v>3038</v>
      </c>
      <c r="C571" s="11" t="s">
        <v>5034</v>
      </c>
      <c r="D571" s="11" t="s">
        <v>2393</v>
      </c>
      <c r="E571" s="3" t="s">
        <v>2394</v>
      </c>
      <c r="F571" s="108" t="s">
        <v>5032</v>
      </c>
      <c r="G571" s="4" t="s">
        <v>5033</v>
      </c>
      <c r="H571" s="3" t="s">
        <v>119</v>
      </c>
      <c r="I571">
        <f>-10-(22/60)</f>
        <v>-10.366666666666667</v>
      </c>
      <c r="J571" s="21">
        <f>-46-(46/60)</f>
        <v>-46.766666666666666</v>
      </c>
      <c r="K571" s="21">
        <v>8710</v>
      </c>
      <c r="L571" s="3">
        <v>2014</v>
      </c>
      <c r="M571" s="3">
        <v>2015</v>
      </c>
      <c r="N571" s="3" t="s">
        <v>2272</v>
      </c>
      <c r="O571" s="3" t="s">
        <v>66</v>
      </c>
      <c r="P571" s="5" t="s">
        <v>5181</v>
      </c>
      <c r="Q571" s="4" t="s">
        <v>5035</v>
      </c>
    </row>
    <row r="572" spans="1:17" ht="40" customHeight="1">
      <c r="A572" s="101">
        <v>118</v>
      </c>
      <c r="B572" s="37" t="s">
        <v>3094</v>
      </c>
      <c r="C572" s="3" t="s">
        <v>3092</v>
      </c>
      <c r="D572" s="11" t="s">
        <v>2393</v>
      </c>
      <c r="E572" s="3" t="s">
        <v>2394</v>
      </c>
      <c r="F572" s="3" t="s">
        <v>3106</v>
      </c>
      <c r="G572" s="3" t="s">
        <v>3099</v>
      </c>
      <c r="H572" s="3" t="s">
        <v>3105</v>
      </c>
      <c r="I572" s="21">
        <v>-15.6900526</v>
      </c>
      <c r="J572" s="21">
        <v>167.1700716</v>
      </c>
      <c r="K572" s="21" t="s">
        <v>2272</v>
      </c>
      <c r="L572" s="3">
        <v>2007</v>
      </c>
      <c r="M572" s="3">
        <v>2011</v>
      </c>
      <c r="N572" s="3" t="s">
        <v>2272</v>
      </c>
      <c r="O572" s="3" t="s">
        <v>2637</v>
      </c>
      <c r="P572" s="5" t="s">
        <v>5181</v>
      </c>
      <c r="Q572" s="4" t="s">
        <v>3112</v>
      </c>
    </row>
    <row r="573" spans="1:17" ht="39" customHeight="1">
      <c r="A573" s="101">
        <v>118</v>
      </c>
      <c r="B573" s="37" t="s">
        <v>3094</v>
      </c>
      <c r="C573" s="3" t="s">
        <v>3093</v>
      </c>
      <c r="D573" s="11" t="s">
        <v>2393</v>
      </c>
      <c r="E573" s="3" t="s">
        <v>2394</v>
      </c>
      <c r="F573" s="3" t="s">
        <v>3108</v>
      </c>
      <c r="G573" s="3" t="s">
        <v>3100</v>
      </c>
      <c r="H573" s="3" t="s">
        <v>3105</v>
      </c>
      <c r="I573" s="21">
        <v>-15.1561577</v>
      </c>
      <c r="J573" s="21">
        <v>166.9007095</v>
      </c>
      <c r="K573" s="21" t="s">
        <v>2272</v>
      </c>
      <c r="L573" s="3">
        <v>2007</v>
      </c>
      <c r="M573" s="3">
        <v>2011</v>
      </c>
      <c r="N573" s="3" t="s">
        <v>2272</v>
      </c>
      <c r="O573" s="3" t="s">
        <v>2637</v>
      </c>
      <c r="P573" s="5" t="s">
        <v>5181</v>
      </c>
      <c r="Q573" s="4" t="s">
        <v>3112</v>
      </c>
    </row>
    <row r="574" spans="1:17" ht="40" customHeight="1">
      <c r="A574" s="101">
        <v>118</v>
      </c>
      <c r="B574" s="37" t="s">
        <v>3094</v>
      </c>
      <c r="C574" s="3" t="s">
        <v>3095</v>
      </c>
      <c r="D574" s="11" t="s">
        <v>2393</v>
      </c>
      <c r="E574" s="3" t="s">
        <v>2394</v>
      </c>
      <c r="F574" s="3" t="s">
        <v>3107</v>
      </c>
      <c r="G574" s="3" t="s">
        <v>3101</v>
      </c>
      <c r="H574" s="3" t="s">
        <v>3105</v>
      </c>
      <c r="I574" s="21">
        <v>-16.233180699999998</v>
      </c>
      <c r="J574" s="21">
        <v>167.49609950000001</v>
      </c>
      <c r="K574" s="21" t="s">
        <v>2272</v>
      </c>
      <c r="L574" s="3">
        <v>2007</v>
      </c>
      <c r="M574" s="3">
        <v>2011</v>
      </c>
      <c r="N574" s="3" t="s">
        <v>2272</v>
      </c>
      <c r="O574" s="3" t="s">
        <v>2637</v>
      </c>
      <c r="P574" s="5" t="s">
        <v>5181</v>
      </c>
      <c r="Q574" s="4" t="s">
        <v>3112</v>
      </c>
    </row>
    <row r="575" spans="1:17" ht="34.5" customHeight="1">
      <c r="A575" s="101">
        <v>118</v>
      </c>
      <c r="B575" s="37" t="s">
        <v>3094</v>
      </c>
      <c r="C575" s="3" t="s">
        <v>3096</v>
      </c>
      <c r="D575" s="11" t="s">
        <v>2393</v>
      </c>
      <c r="E575" s="3" t="s">
        <v>2394</v>
      </c>
      <c r="F575" s="3" t="s">
        <v>3109</v>
      </c>
      <c r="G575" s="3" t="s">
        <v>3102</v>
      </c>
      <c r="H575" s="3" t="s">
        <v>3105</v>
      </c>
      <c r="I575" s="21">
        <v>-15.375091299999999</v>
      </c>
      <c r="J575" s="21">
        <v>167.8320837</v>
      </c>
      <c r="K575" s="21" t="s">
        <v>2272</v>
      </c>
      <c r="L575" s="3">
        <v>2007</v>
      </c>
      <c r="M575" s="3">
        <v>2011</v>
      </c>
      <c r="N575" s="3" t="s">
        <v>2272</v>
      </c>
      <c r="O575" s="3" t="s">
        <v>2637</v>
      </c>
      <c r="P575" s="5" t="s">
        <v>5181</v>
      </c>
      <c r="Q575" s="4" t="s">
        <v>3112</v>
      </c>
    </row>
    <row r="576" spans="1:17" ht="42.5" customHeight="1">
      <c r="A576" s="101">
        <v>118</v>
      </c>
      <c r="B576" s="37" t="s">
        <v>3094</v>
      </c>
      <c r="C576" s="3" t="s">
        <v>3097</v>
      </c>
      <c r="D576" s="11" t="s">
        <v>2393</v>
      </c>
      <c r="E576" s="3" t="s">
        <v>2394</v>
      </c>
      <c r="F576" s="3" t="s">
        <v>3110</v>
      </c>
      <c r="G576" s="3" t="s">
        <v>3103</v>
      </c>
      <c r="H576" s="3" t="s">
        <v>3105</v>
      </c>
      <c r="I576" s="21">
        <v>-19.4858689</v>
      </c>
      <c r="J576" s="21">
        <v>169.3635601</v>
      </c>
      <c r="K576" s="21" t="s">
        <v>2272</v>
      </c>
      <c r="L576" s="3">
        <v>2007</v>
      </c>
      <c r="M576" s="3">
        <v>2011</v>
      </c>
      <c r="N576" s="3" t="s">
        <v>2272</v>
      </c>
      <c r="O576" s="3" t="s">
        <v>2637</v>
      </c>
      <c r="P576" s="5" t="s">
        <v>5181</v>
      </c>
      <c r="Q576" s="4" t="s">
        <v>3112</v>
      </c>
    </row>
    <row r="577" spans="1:17" ht="38" customHeight="1">
      <c r="A577" s="101">
        <v>118</v>
      </c>
      <c r="B577" s="37" t="s">
        <v>3094</v>
      </c>
      <c r="C577" s="3" t="s">
        <v>3098</v>
      </c>
      <c r="D577" s="11" t="s">
        <v>2393</v>
      </c>
      <c r="E577" s="3" t="s">
        <v>2394</v>
      </c>
      <c r="F577" s="3" t="s">
        <v>3111</v>
      </c>
      <c r="G577" s="3" t="s">
        <v>3104</v>
      </c>
      <c r="H577" s="3" t="s">
        <v>3105</v>
      </c>
      <c r="I577" s="21">
        <v>-15.7326221</v>
      </c>
      <c r="J577" s="21">
        <v>168.19587709999999</v>
      </c>
      <c r="K577" s="21" t="s">
        <v>2272</v>
      </c>
      <c r="L577" s="3">
        <v>2007</v>
      </c>
      <c r="M577" s="3">
        <v>2011</v>
      </c>
      <c r="N577" s="3" t="s">
        <v>2272</v>
      </c>
      <c r="O577" s="3" t="s">
        <v>2637</v>
      </c>
      <c r="P577" s="5" t="s">
        <v>5181</v>
      </c>
      <c r="Q577" s="4" t="s">
        <v>3112</v>
      </c>
    </row>
    <row r="578" spans="1:17" ht="29" customHeight="1">
      <c r="A578" s="101">
        <v>119</v>
      </c>
      <c r="B578" s="37" t="s">
        <v>3123</v>
      </c>
      <c r="C578" s="11" t="s">
        <v>3124</v>
      </c>
      <c r="D578" s="11" t="s">
        <v>2393</v>
      </c>
      <c r="E578" s="3" t="s">
        <v>2394</v>
      </c>
      <c r="F578" s="3" t="s">
        <v>3129</v>
      </c>
      <c r="G578" s="3" t="s">
        <v>2272</v>
      </c>
      <c r="H578" s="3" t="s">
        <v>3128</v>
      </c>
      <c r="I578" s="21">
        <v>3.9310513</v>
      </c>
      <c r="J578" s="21">
        <v>-58.765934899999998</v>
      </c>
      <c r="K578" s="21" t="s">
        <v>2272</v>
      </c>
      <c r="L578" s="3">
        <v>2015</v>
      </c>
      <c r="M578" s="3">
        <v>2015</v>
      </c>
      <c r="N578" s="3" t="s">
        <v>2272</v>
      </c>
      <c r="O578" s="3" t="s">
        <v>66</v>
      </c>
      <c r="P578" s="5" t="s">
        <v>5181</v>
      </c>
      <c r="Q578" s="3" t="s">
        <v>2210</v>
      </c>
    </row>
    <row r="579" spans="1:17" ht="30" customHeight="1">
      <c r="A579" s="101">
        <v>119</v>
      </c>
      <c r="B579" s="37" t="s">
        <v>3123</v>
      </c>
      <c r="C579" s="11" t="s">
        <v>3125</v>
      </c>
      <c r="D579" s="11" t="s">
        <v>2393</v>
      </c>
      <c r="E579" s="3" t="s">
        <v>2394</v>
      </c>
      <c r="F579" s="3" t="s">
        <v>3130</v>
      </c>
      <c r="G579" s="3" t="s">
        <v>2272</v>
      </c>
      <c r="H579" s="3" t="s">
        <v>3128</v>
      </c>
      <c r="I579" s="21">
        <v>4.4318368000000001</v>
      </c>
      <c r="J579" s="21">
        <v>-58.627468399999998</v>
      </c>
      <c r="K579" s="21" t="s">
        <v>2272</v>
      </c>
      <c r="L579" s="3">
        <v>2015</v>
      </c>
      <c r="M579" s="3">
        <v>2015</v>
      </c>
      <c r="N579" s="3" t="s">
        <v>2272</v>
      </c>
      <c r="O579" s="3" t="s">
        <v>66</v>
      </c>
      <c r="P579" s="5" t="s">
        <v>5181</v>
      </c>
      <c r="Q579" s="3" t="s">
        <v>2210</v>
      </c>
    </row>
    <row r="580" spans="1:17" ht="32" customHeight="1">
      <c r="A580" s="101">
        <v>119</v>
      </c>
      <c r="B580" s="37" t="s">
        <v>3123</v>
      </c>
      <c r="C580" s="11" t="s">
        <v>3126</v>
      </c>
      <c r="D580" s="11" t="s">
        <v>2393</v>
      </c>
      <c r="E580" s="3" t="s">
        <v>2394</v>
      </c>
      <c r="F580" s="3" t="s">
        <v>3131</v>
      </c>
      <c r="G580" s="3" t="s">
        <v>2272</v>
      </c>
      <c r="H580" s="3" t="s">
        <v>119</v>
      </c>
      <c r="I580" s="21">
        <v>4.3228954999999996</v>
      </c>
      <c r="J580" s="21">
        <v>-60.324549400000002</v>
      </c>
      <c r="K580" s="21" t="s">
        <v>2272</v>
      </c>
      <c r="L580" s="3">
        <v>2015</v>
      </c>
      <c r="M580" s="3">
        <v>2015</v>
      </c>
      <c r="N580" s="3" t="s">
        <v>2272</v>
      </c>
      <c r="O580" s="3" t="s">
        <v>66</v>
      </c>
      <c r="P580" s="5" t="s">
        <v>5181</v>
      </c>
      <c r="Q580" s="3" t="s">
        <v>2210</v>
      </c>
    </row>
    <row r="581" spans="1:17" ht="31.5" customHeight="1">
      <c r="A581" s="101">
        <v>119</v>
      </c>
      <c r="B581" s="37" t="s">
        <v>3123</v>
      </c>
      <c r="C581" s="11" t="s">
        <v>3127</v>
      </c>
      <c r="D581" s="11" t="s">
        <v>2393</v>
      </c>
      <c r="E581" s="3" t="s">
        <v>2394</v>
      </c>
      <c r="F581" s="3" t="s">
        <v>3132</v>
      </c>
      <c r="G581" s="3" t="s">
        <v>2272</v>
      </c>
      <c r="H581" s="3" t="s">
        <v>582</v>
      </c>
      <c r="I581" s="21">
        <v>5.5</v>
      </c>
      <c r="J581" s="21">
        <v>-62</v>
      </c>
      <c r="K581" s="21" t="s">
        <v>2272</v>
      </c>
      <c r="L581" s="3">
        <v>2015</v>
      </c>
      <c r="M581" s="3">
        <v>2015</v>
      </c>
      <c r="N581" s="3" t="s">
        <v>2272</v>
      </c>
      <c r="O581" s="3" t="s">
        <v>66</v>
      </c>
      <c r="P581" s="5" t="s">
        <v>5181</v>
      </c>
      <c r="Q581" s="3" t="s">
        <v>2210</v>
      </c>
    </row>
    <row r="582" spans="1:17" ht="38" customHeight="1">
      <c r="A582" s="101">
        <v>120</v>
      </c>
      <c r="B582" s="37" t="s">
        <v>3218</v>
      </c>
      <c r="C582" s="11" t="s">
        <v>3219</v>
      </c>
      <c r="D582" s="11" t="s">
        <v>2393</v>
      </c>
      <c r="E582" s="3" t="s">
        <v>2394</v>
      </c>
      <c r="F582" s="11" t="s">
        <v>3220</v>
      </c>
      <c r="G582" s="11" t="s">
        <v>2295</v>
      </c>
      <c r="H582" s="11" t="s">
        <v>892</v>
      </c>
      <c r="I582" s="21">
        <f>0 - (11/60)</f>
        <v>-0.18333333333333332</v>
      </c>
      <c r="J582" s="21">
        <f>115 + (33.5/60)</f>
        <v>115.55833333333334</v>
      </c>
      <c r="K582" s="21">
        <f>13800/100</f>
        <v>138</v>
      </c>
      <c r="L582" s="3">
        <v>2013</v>
      </c>
      <c r="M582" s="3">
        <v>2013</v>
      </c>
      <c r="N582" s="3" t="s">
        <v>2272</v>
      </c>
      <c r="O582" s="3" t="s">
        <v>66</v>
      </c>
      <c r="P582" s="5" t="s">
        <v>5181</v>
      </c>
      <c r="Q582" s="3"/>
    </row>
    <row r="583" spans="1:17" ht="43.5" customHeight="1">
      <c r="A583" s="101">
        <v>120</v>
      </c>
      <c r="B583" s="38" t="s">
        <v>3226</v>
      </c>
      <c r="C583" s="11" t="s">
        <v>3225</v>
      </c>
      <c r="D583" s="11" t="s">
        <v>2393</v>
      </c>
      <c r="E583" s="3" t="s">
        <v>2394</v>
      </c>
      <c r="F583" s="11" t="s">
        <v>3220</v>
      </c>
      <c r="G583" s="11" t="s">
        <v>2295</v>
      </c>
      <c r="H583" s="11" t="s">
        <v>892</v>
      </c>
      <c r="I583" s="21">
        <f>0 - (11/60)</f>
        <v>-0.18333333333333332</v>
      </c>
      <c r="J583" s="21">
        <f>115 + (33.5/60)</f>
        <v>115.55833333333334</v>
      </c>
      <c r="K583" s="21">
        <f>13800/100</f>
        <v>138</v>
      </c>
      <c r="L583" s="8">
        <v>1990</v>
      </c>
      <c r="M583" s="8">
        <v>1990</v>
      </c>
      <c r="N583" s="3" t="s">
        <v>2272</v>
      </c>
      <c r="O583" s="3" t="s">
        <v>66</v>
      </c>
      <c r="P583" s="5" t="s">
        <v>5181</v>
      </c>
      <c r="Q583" s="4" t="s">
        <v>3227</v>
      </c>
    </row>
    <row r="584" spans="1:17" ht="38" customHeight="1">
      <c r="A584" s="101">
        <v>121</v>
      </c>
      <c r="B584" s="37" t="s">
        <v>3234</v>
      </c>
      <c r="C584" s="11" t="s">
        <v>3233</v>
      </c>
      <c r="D584" s="11" t="s">
        <v>2393</v>
      </c>
      <c r="E584" s="3" t="s">
        <v>2394</v>
      </c>
      <c r="F584" s="3" t="s">
        <v>3238</v>
      </c>
      <c r="G584" s="3" t="s">
        <v>3235</v>
      </c>
      <c r="H584" s="3" t="s">
        <v>767</v>
      </c>
      <c r="I584" s="21">
        <v>18.892454699999998</v>
      </c>
      <c r="J584" s="21">
        <v>-89.380381</v>
      </c>
      <c r="K584" s="21" t="s">
        <v>2272</v>
      </c>
      <c r="L584" s="3">
        <v>1997</v>
      </c>
      <c r="M584" s="3">
        <v>2003</v>
      </c>
      <c r="N584" s="3" t="s">
        <v>2272</v>
      </c>
      <c r="O584" s="3" t="s">
        <v>66</v>
      </c>
      <c r="P584" s="5" t="s">
        <v>5181</v>
      </c>
      <c r="Q584" s="3"/>
    </row>
    <row r="585" spans="1:17" ht="32.5" customHeight="1">
      <c r="A585" s="101">
        <v>121</v>
      </c>
      <c r="B585" s="37" t="s">
        <v>3234</v>
      </c>
      <c r="C585" s="11" t="s">
        <v>3236</v>
      </c>
      <c r="D585" s="11" t="s">
        <v>2393</v>
      </c>
      <c r="E585" s="3" t="s">
        <v>2394</v>
      </c>
      <c r="F585" s="3" t="s">
        <v>3239</v>
      </c>
      <c r="G585" s="3" t="s">
        <v>3235</v>
      </c>
      <c r="H585" s="3" t="s">
        <v>767</v>
      </c>
      <c r="I585" s="21">
        <v>18.354931199999999</v>
      </c>
      <c r="J585" s="21">
        <v>-89.538063699999995</v>
      </c>
      <c r="K585" s="21" t="s">
        <v>2272</v>
      </c>
      <c r="L585" s="3">
        <v>1997</v>
      </c>
      <c r="M585" s="3">
        <v>2003</v>
      </c>
      <c r="N585" s="3" t="s">
        <v>2272</v>
      </c>
      <c r="O585" s="3" t="s">
        <v>66</v>
      </c>
      <c r="P585" s="5" t="s">
        <v>5181</v>
      </c>
      <c r="Q585" s="3"/>
    </row>
    <row r="586" spans="1:17" ht="37" customHeight="1">
      <c r="A586" s="101">
        <v>121</v>
      </c>
      <c r="B586" s="37" t="s">
        <v>3234</v>
      </c>
      <c r="C586" s="11" t="s">
        <v>3237</v>
      </c>
      <c r="D586" s="11" t="s">
        <v>2393</v>
      </c>
      <c r="E586" s="3" t="s">
        <v>2394</v>
      </c>
      <c r="F586" s="3" t="s">
        <v>3240</v>
      </c>
      <c r="G586" s="3" t="s">
        <v>3235</v>
      </c>
      <c r="H586" s="3" t="s">
        <v>767</v>
      </c>
      <c r="I586" s="21">
        <v>18.297375899999999</v>
      </c>
      <c r="J586" s="21">
        <v>-88.653923800000001</v>
      </c>
      <c r="K586" s="21" t="s">
        <v>2272</v>
      </c>
      <c r="L586" s="3">
        <v>1997</v>
      </c>
      <c r="M586" s="3">
        <v>2003</v>
      </c>
      <c r="N586" s="3" t="s">
        <v>2272</v>
      </c>
      <c r="O586" s="3" t="s">
        <v>66</v>
      </c>
      <c r="P586" s="5" t="s">
        <v>5181</v>
      </c>
      <c r="Q586" s="3"/>
    </row>
    <row r="587" spans="1:17" ht="35.5" customHeight="1">
      <c r="A587" s="101">
        <v>121</v>
      </c>
      <c r="B587" s="37" t="s">
        <v>3234</v>
      </c>
      <c r="C587" s="11" t="s">
        <v>3241</v>
      </c>
      <c r="D587" s="11" t="s">
        <v>2393</v>
      </c>
      <c r="E587" s="3" t="s">
        <v>2394</v>
      </c>
      <c r="F587" s="3" t="s">
        <v>3244</v>
      </c>
      <c r="G587" s="3" t="s">
        <v>3235</v>
      </c>
      <c r="H587" s="3" t="s">
        <v>767</v>
      </c>
      <c r="I587" s="21">
        <v>18.724161500000001</v>
      </c>
      <c r="J587" s="21">
        <v>-89.130375299999997</v>
      </c>
      <c r="K587" s="21" t="s">
        <v>2272</v>
      </c>
      <c r="L587" s="3">
        <v>1997</v>
      </c>
      <c r="M587" s="3">
        <v>2003</v>
      </c>
      <c r="N587" s="3" t="s">
        <v>2272</v>
      </c>
      <c r="O587" s="3" t="s">
        <v>66</v>
      </c>
      <c r="P587" s="5" t="s">
        <v>5181</v>
      </c>
      <c r="Q587" s="3"/>
    </row>
    <row r="588" spans="1:17" ht="39" customHeight="1">
      <c r="A588" s="101">
        <v>121</v>
      </c>
      <c r="B588" s="37" t="s">
        <v>3234</v>
      </c>
      <c r="C588" s="11" t="s">
        <v>3242</v>
      </c>
      <c r="D588" s="11" t="s">
        <v>2393</v>
      </c>
      <c r="E588" s="3" t="s">
        <v>2394</v>
      </c>
      <c r="F588" s="139" t="s">
        <v>3245</v>
      </c>
      <c r="G588" s="3" t="s">
        <v>3235</v>
      </c>
      <c r="H588" s="3" t="s">
        <v>767</v>
      </c>
      <c r="I588" s="21">
        <f>AVERAGE(I584:I587, I589:I593, I595:I597)</f>
        <v>18.259933675000003</v>
      </c>
      <c r="J588" s="21">
        <f>AVERAGE(J584:J587, J589:J593, J595:J597)</f>
        <v>-90.020224825</v>
      </c>
      <c r="K588" s="21" t="s">
        <v>2272</v>
      </c>
      <c r="L588" s="3">
        <v>1997</v>
      </c>
      <c r="M588" s="3">
        <v>2003</v>
      </c>
      <c r="N588" s="3" t="s">
        <v>2272</v>
      </c>
      <c r="O588" s="3" t="s">
        <v>66</v>
      </c>
      <c r="P588" s="5" t="s">
        <v>5181</v>
      </c>
      <c r="Q588" s="4" t="s">
        <v>3263</v>
      </c>
    </row>
    <row r="589" spans="1:17" ht="34.5" customHeight="1">
      <c r="A589" s="101">
        <v>121</v>
      </c>
      <c r="B589" s="37" t="s">
        <v>3234</v>
      </c>
      <c r="C589" s="11" t="s">
        <v>3243</v>
      </c>
      <c r="D589" s="11" t="s">
        <v>2393</v>
      </c>
      <c r="E589" s="3" t="s">
        <v>2394</v>
      </c>
      <c r="F589" s="3" t="s">
        <v>3246</v>
      </c>
      <c r="G589" s="3" t="s">
        <v>3235</v>
      </c>
      <c r="H589" s="3" t="s">
        <v>767</v>
      </c>
      <c r="I589" s="21">
        <v>18.4583491</v>
      </c>
      <c r="J589" s="21">
        <v>-88.929538800000003</v>
      </c>
      <c r="K589" s="21" t="s">
        <v>2272</v>
      </c>
      <c r="L589" s="3">
        <v>1997</v>
      </c>
      <c r="M589" s="3">
        <v>2003</v>
      </c>
      <c r="N589" s="3" t="s">
        <v>2272</v>
      </c>
      <c r="O589" s="3" t="s">
        <v>66</v>
      </c>
      <c r="P589" s="5" t="s">
        <v>5181</v>
      </c>
      <c r="Q589" s="4"/>
    </row>
    <row r="590" spans="1:17" ht="33.5" customHeight="1">
      <c r="A590" s="101">
        <v>121</v>
      </c>
      <c r="B590" s="37" t="s">
        <v>3234</v>
      </c>
      <c r="C590" s="11" t="s">
        <v>3247</v>
      </c>
      <c r="D590" s="11" t="s">
        <v>2393</v>
      </c>
      <c r="E590" s="3" t="s">
        <v>2394</v>
      </c>
      <c r="F590" s="3" t="s">
        <v>3250</v>
      </c>
      <c r="G590" s="3" t="s">
        <v>3235</v>
      </c>
      <c r="H590" s="3" t="s">
        <v>767</v>
      </c>
      <c r="I590" s="21">
        <v>18.0716663</v>
      </c>
      <c r="J590" s="21">
        <v>-91.244444400000006</v>
      </c>
      <c r="K590" s="21" t="s">
        <v>2272</v>
      </c>
      <c r="L590" s="3">
        <v>1997</v>
      </c>
      <c r="M590" s="3">
        <v>2003</v>
      </c>
      <c r="N590" s="3" t="s">
        <v>2272</v>
      </c>
      <c r="O590" s="3" t="s">
        <v>66</v>
      </c>
      <c r="P590" s="5" t="s">
        <v>5181</v>
      </c>
      <c r="Q590" s="4"/>
    </row>
    <row r="591" spans="1:17" ht="28" customHeight="1">
      <c r="A591" s="101">
        <v>121</v>
      </c>
      <c r="B591" s="37" t="s">
        <v>3234</v>
      </c>
      <c r="C591" s="11" t="s">
        <v>3248</v>
      </c>
      <c r="D591" s="11" t="s">
        <v>2393</v>
      </c>
      <c r="E591" s="3" t="s">
        <v>2394</v>
      </c>
      <c r="F591" s="3" t="s">
        <v>3251</v>
      </c>
      <c r="G591" s="3" t="s">
        <v>3235</v>
      </c>
      <c r="H591" s="3" t="s">
        <v>767</v>
      </c>
      <c r="I591" s="21">
        <v>17.7542899</v>
      </c>
      <c r="J591" s="21">
        <v>-91.823419099999995</v>
      </c>
      <c r="K591" s="21" t="s">
        <v>2272</v>
      </c>
      <c r="L591" s="3">
        <v>1997</v>
      </c>
      <c r="M591" s="3">
        <v>2003</v>
      </c>
      <c r="N591" s="3" t="s">
        <v>2272</v>
      </c>
      <c r="O591" s="3" t="s">
        <v>66</v>
      </c>
      <c r="P591" s="5" t="s">
        <v>5181</v>
      </c>
      <c r="Q591" s="4"/>
    </row>
    <row r="592" spans="1:17" ht="35.5" customHeight="1">
      <c r="A592" s="101">
        <v>121</v>
      </c>
      <c r="B592" s="37" t="s">
        <v>3234</v>
      </c>
      <c r="C592" s="11" t="s">
        <v>3249</v>
      </c>
      <c r="D592" s="11" t="s">
        <v>2393</v>
      </c>
      <c r="E592" s="3" t="s">
        <v>2394</v>
      </c>
      <c r="F592" s="3" t="s">
        <v>3252</v>
      </c>
      <c r="G592" s="3" t="s">
        <v>3235</v>
      </c>
      <c r="H592" s="3" t="s">
        <v>767</v>
      </c>
      <c r="I592" s="21">
        <v>17.8246407</v>
      </c>
      <c r="J592" s="21">
        <v>-89.278543999999997</v>
      </c>
      <c r="K592" s="21" t="s">
        <v>2272</v>
      </c>
      <c r="L592" s="3">
        <v>1997</v>
      </c>
      <c r="M592" s="3">
        <v>2003</v>
      </c>
      <c r="N592" s="3" t="s">
        <v>2272</v>
      </c>
      <c r="O592" s="3" t="s">
        <v>66</v>
      </c>
      <c r="P592" s="5" t="s">
        <v>5181</v>
      </c>
      <c r="Q592" s="4"/>
    </row>
    <row r="593" spans="1:17" ht="32.5" customHeight="1">
      <c r="A593" s="101">
        <v>121</v>
      </c>
      <c r="B593" s="37" t="s">
        <v>3234</v>
      </c>
      <c r="C593" s="11" t="s">
        <v>3253</v>
      </c>
      <c r="D593" s="11" t="s">
        <v>2393</v>
      </c>
      <c r="E593" s="3" t="s">
        <v>2394</v>
      </c>
      <c r="F593" s="3" t="s">
        <v>3256</v>
      </c>
      <c r="G593" s="3" t="s">
        <v>3235</v>
      </c>
      <c r="H593" s="3" t="s">
        <v>767</v>
      </c>
      <c r="I593" s="21">
        <v>18.481388500000001</v>
      </c>
      <c r="J593" s="21">
        <v>-90.208333300000007</v>
      </c>
      <c r="K593" s="21" t="s">
        <v>2272</v>
      </c>
      <c r="L593" s="3">
        <v>1997</v>
      </c>
      <c r="M593" s="3">
        <v>2003</v>
      </c>
      <c r="N593" s="3" t="s">
        <v>2272</v>
      </c>
      <c r="O593" s="3" t="s">
        <v>66</v>
      </c>
      <c r="P593" s="5" t="s">
        <v>5181</v>
      </c>
      <c r="Q593" s="4"/>
    </row>
    <row r="594" spans="1:17" ht="36.5" customHeight="1">
      <c r="A594" s="101">
        <v>121</v>
      </c>
      <c r="B594" s="37" t="s">
        <v>3234</v>
      </c>
      <c r="C594" s="11" t="s">
        <v>3254</v>
      </c>
      <c r="D594" s="11" t="s">
        <v>2393</v>
      </c>
      <c r="E594" s="3" t="s">
        <v>2394</v>
      </c>
      <c r="F594" s="139" t="s">
        <v>3257</v>
      </c>
      <c r="G594" s="3" t="s">
        <v>3235</v>
      </c>
      <c r="H594" s="3" t="s">
        <v>767</v>
      </c>
      <c r="I594" s="21">
        <v>18.259933675000003</v>
      </c>
      <c r="J594" s="21">
        <v>-90.020224825</v>
      </c>
      <c r="K594" s="21" t="s">
        <v>2272</v>
      </c>
      <c r="L594" s="3">
        <v>1997</v>
      </c>
      <c r="M594" s="3">
        <v>2003</v>
      </c>
      <c r="N594" s="3" t="s">
        <v>2272</v>
      </c>
      <c r="O594" s="3" t="s">
        <v>66</v>
      </c>
      <c r="P594" s="5" t="s">
        <v>5181</v>
      </c>
      <c r="Q594" s="4" t="s">
        <v>3263</v>
      </c>
    </row>
    <row r="595" spans="1:17" ht="34.5" customHeight="1">
      <c r="A595" s="101">
        <v>121</v>
      </c>
      <c r="B595" s="37" t="s">
        <v>3234</v>
      </c>
      <c r="C595" s="11" t="s">
        <v>3255</v>
      </c>
      <c r="D595" s="11" t="s">
        <v>2393</v>
      </c>
      <c r="E595" s="3" t="s">
        <v>2394</v>
      </c>
      <c r="F595" s="3" t="s">
        <v>3258</v>
      </c>
      <c r="G595" s="3" t="s">
        <v>3235</v>
      </c>
      <c r="H595" s="3" t="s">
        <v>767</v>
      </c>
      <c r="I595" s="21">
        <v>17.9226797</v>
      </c>
      <c r="J595" s="21">
        <v>-89.227179000000007</v>
      </c>
      <c r="K595" s="21" t="s">
        <v>2272</v>
      </c>
      <c r="L595" s="3">
        <v>1997</v>
      </c>
      <c r="M595" s="3">
        <v>2003</v>
      </c>
      <c r="N595" s="3" t="s">
        <v>2272</v>
      </c>
      <c r="O595" s="3" t="s">
        <v>66</v>
      </c>
      <c r="P595" s="5" t="s">
        <v>5181</v>
      </c>
      <c r="Q595" s="3"/>
    </row>
    <row r="596" spans="1:17" ht="32" customHeight="1">
      <c r="A596" s="101">
        <v>121</v>
      </c>
      <c r="B596" s="37" t="s">
        <v>3234</v>
      </c>
      <c r="C596" s="11" t="s">
        <v>3259</v>
      </c>
      <c r="D596" s="11" t="s">
        <v>2393</v>
      </c>
      <c r="E596" s="3" t="s">
        <v>2394</v>
      </c>
      <c r="F596" s="3" t="s">
        <v>3261</v>
      </c>
      <c r="G596" s="3" t="s">
        <v>3235</v>
      </c>
      <c r="H596" s="3" t="s">
        <v>767</v>
      </c>
      <c r="I596" s="21">
        <v>18.020896700000002</v>
      </c>
      <c r="J596" s="21">
        <v>-93.382742100000002</v>
      </c>
      <c r="K596" s="21" t="s">
        <v>2272</v>
      </c>
      <c r="L596" s="3">
        <v>1997</v>
      </c>
      <c r="M596" s="3">
        <v>2003</v>
      </c>
      <c r="N596" s="3" t="s">
        <v>2272</v>
      </c>
      <c r="O596" s="3" t="s">
        <v>66</v>
      </c>
      <c r="P596" s="5" t="s">
        <v>5181</v>
      </c>
      <c r="Q596" s="3"/>
    </row>
    <row r="597" spans="1:17" ht="32.5" customHeight="1">
      <c r="A597" s="101">
        <v>121</v>
      </c>
      <c r="B597" s="37" t="s">
        <v>3234</v>
      </c>
      <c r="C597" s="11" t="s">
        <v>3260</v>
      </c>
      <c r="D597" s="11" t="s">
        <v>2393</v>
      </c>
      <c r="E597" s="3" t="s">
        <v>2394</v>
      </c>
      <c r="F597" s="3" t="s">
        <v>3262</v>
      </c>
      <c r="G597" s="3" t="s">
        <v>3235</v>
      </c>
      <c r="H597" s="3" t="s">
        <v>767</v>
      </c>
      <c r="I597" s="21">
        <v>18.316369900000002</v>
      </c>
      <c r="J597" s="21">
        <v>-89.445753400000001</v>
      </c>
      <c r="K597" s="21" t="s">
        <v>2272</v>
      </c>
      <c r="L597" s="3">
        <v>1997</v>
      </c>
      <c r="M597" s="3">
        <v>2003</v>
      </c>
      <c r="N597" s="3" t="s">
        <v>2272</v>
      </c>
      <c r="O597" s="3" t="s">
        <v>66</v>
      </c>
      <c r="P597" s="5" t="s">
        <v>5181</v>
      </c>
      <c r="Q597" s="3"/>
    </row>
    <row r="598" spans="1:17" ht="31.5" customHeight="1">
      <c r="A598" s="101">
        <v>122</v>
      </c>
      <c r="B598" s="37" t="s">
        <v>3280</v>
      </c>
      <c r="C598" s="11" t="s">
        <v>3281</v>
      </c>
      <c r="D598" s="11" t="s">
        <v>2393</v>
      </c>
      <c r="E598" s="3" t="s">
        <v>2394</v>
      </c>
      <c r="F598" s="4" t="s">
        <v>3283</v>
      </c>
      <c r="G598" s="3" t="s">
        <v>163</v>
      </c>
      <c r="H598" s="3" t="s">
        <v>119</v>
      </c>
      <c r="I598" s="21">
        <v>-13.3238237</v>
      </c>
      <c r="J598" s="21">
        <v>-51.679792200000001</v>
      </c>
      <c r="K598" s="152">
        <f>328966/100</f>
        <v>3289.66</v>
      </c>
      <c r="L598" s="3">
        <v>2001</v>
      </c>
      <c r="M598" s="3">
        <v>2002</v>
      </c>
      <c r="N598" s="3" t="s">
        <v>2272</v>
      </c>
      <c r="O598" s="3" t="s">
        <v>66</v>
      </c>
      <c r="P598" s="5" t="s">
        <v>5181</v>
      </c>
      <c r="Q598" s="3"/>
    </row>
    <row r="599" spans="1:17" ht="31" customHeight="1">
      <c r="A599" s="101">
        <v>122</v>
      </c>
      <c r="B599" s="37" t="s">
        <v>3280</v>
      </c>
      <c r="C599" s="11" t="s">
        <v>3282</v>
      </c>
      <c r="D599" s="11" t="s">
        <v>2393</v>
      </c>
      <c r="E599" s="3" t="s">
        <v>2394</v>
      </c>
      <c r="F599" s="3" t="s">
        <v>3284</v>
      </c>
      <c r="G599" s="3" t="s">
        <v>163</v>
      </c>
      <c r="H599" s="3" t="s">
        <v>119</v>
      </c>
      <c r="I599" s="154">
        <v>-14.3885811</v>
      </c>
      <c r="J599" s="154">
        <v>-52.014338700000003</v>
      </c>
      <c r="K599" s="152">
        <f>218515/100</f>
        <v>2185.15</v>
      </c>
      <c r="L599" s="3">
        <v>2001</v>
      </c>
      <c r="M599" s="3">
        <v>2002</v>
      </c>
      <c r="N599" s="3" t="s">
        <v>2272</v>
      </c>
      <c r="O599" s="3" t="s">
        <v>66</v>
      </c>
      <c r="P599" s="5" t="s">
        <v>5181</v>
      </c>
      <c r="Q599" s="3"/>
    </row>
    <row r="600" spans="1:17" ht="28" customHeight="1">
      <c r="A600" s="101">
        <v>123</v>
      </c>
      <c r="B600" s="37" t="s">
        <v>3291</v>
      </c>
      <c r="C600" s="11" t="s">
        <v>3292</v>
      </c>
      <c r="D600" s="11" t="s">
        <v>2393</v>
      </c>
      <c r="E600" s="3" t="s">
        <v>2394</v>
      </c>
      <c r="F600" s="3" t="s">
        <v>3294</v>
      </c>
      <c r="G600" s="3" t="s">
        <v>3293</v>
      </c>
      <c r="H600" s="3" t="s">
        <v>1946</v>
      </c>
      <c r="I600" s="154">
        <v>5.7156862000000004</v>
      </c>
      <c r="J600" s="154">
        <v>36.471662000000002</v>
      </c>
      <c r="K600" s="21">
        <f>40*40</f>
        <v>1600</v>
      </c>
      <c r="L600" s="3">
        <v>2008</v>
      </c>
      <c r="M600" s="3">
        <v>2008</v>
      </c>
      <c r="N600" s="3">
        <f>10000/K600</f>
        <v>6.25</v>
      </c>
      <c r="O600" s="3" t="s">
        <v>66</v>
      </c>
      <c r="P600" s="5" t="s">
        <v>5181</v>
      </c>
      <c r="Q600" s="4" t="s">
        <v>3299</v>
      </c>
    </row>
    <row r="601" spans="1:17" ht="32.5" customHeight="1">
      <c r="A601" s="101">
        <v>123</v>
      </c>
      <c r="B601" s="37" t="s">
        <v>3291</v>
      </c>
      <c r="C601" s="3" t="s">
        <v>3297</v>
      </c>
      <c r="D601" s="11" t="s">
        <v>2393</v>
      </c>
      <c r="E601" s="3" t="s">
        <v>2394</v>
      </c>
      <c r="F601" s="11" t="s">
        <v>3295</v>
      </c>
      <c r="G601" s="3" t="s">
        <v>3293</v>
      </c>
      <c r="H601" s="3" t="s">
        <v>1946</v>
      </c>
      <c r="I601" s="154">
        <v>5.8939000000000004</v>
      </c>
      <c r="J601" s="154">
        <v>36.153799999999997</v>
      </c>
      <c r="K601" s="21">
        <f t="shared" ref="K601:K605" si="4">40*40</f>
        <v>1600</v>
      </c>
      <c r="L601" s="3">
        <v>2008</v>
      </c>
      <c r="M601" s="3">
        <v>2008</v>
      </c>
      <c r="N601" s="3">
        <f t="shared" ref="N601:N602" si="5">10000/K601</f>
        <v>6.25</v>
      </c>
      <c r="O601" s="3" t="s">
        <v>66</v>
      </c>
      <c r="P601" s="5" t="s">
        <v>5181</v>
      </c>
      <c r="Q601" s="4" t="s">
        <v>3299</v>
      </c>
    </row>
    <row r="602" spans="1:17" ht="35.5" customHeight="1">
      <c r="A602" s="101">
        <v>123</v>
      </c>
      <c r="B602" s="37" t="s">
        <v>3291</v>
      </c>
      <c r="C602" s="3" t="s">
        <v>3298</v>
      </c>
      <c r="D602" s="11" t="s">
        <v>2393</v>
      </c>
      <c r="E602" s="3" t="s">
        <v>2394</v>
      </c>
      <c r="F602" s="11" t="s">
        <v>3296</v>
      </c>
      <c r="G602" s="3" t="s">
        <v>3293</v>
      </c>
      <c r="H602" s="3" t="s">
        <v>1946</v>
      </c>
      <c r="I602" s="154">
        <f>5+(35/60)</f>
        <v>5.583333333333333</v>
      </c>
      <c r="J602" s="154">
        <f>35 + (56/60)</f>
        <v>35.93333333333333</v>
      </c>
      <c r="K602" s="21">
        <f t="shared" si="4"/>
        <v>1600</v>
      </c>
      <c r="L602" s="3">
        <v>2008</v>
      </c>
      <c r="M602" s="3">
        <v>2008</v>
      </c>
      <c r="N602" s="3">
        <f t="shared" si="5"/>
        <v>6.25</v>
      </c>
      <c r="O602" s="3" t="s">
        <v>66</v>
      </c>
      <c r="P602" s="5" t="s">
        <v>5181</v>
      </c>
      <c r="Q602" s="4" t="s">
        <v>3299</v>
      </c>
    </row>
    <row r="603" spans="1:17" ht="36.5" customHeight="1">
      <c r="A603" s="101">
        <v>123</v>
      </c>
      <c r="B603" s="37" t="s">
        <v>3291</v>
      </c>
      <c r="C603" s="11" t="s">
        <v>3300</v>
      </c>
      <c r="D603" s="11" t="s">
        <v>2393</v>
      </c>
      <c r="E603" s="3" t="s">
        <v>2394</v>
      </c>
      <c r="F603" s="3" t="s">
        <v>3294</v>
      </c>
      <c r="G603" s="3" t="s">
        <v>3293</v>
      </c>
      <c r="H603" s="3" t="s">
        <v>1946</v>
      </c>
      <c r="I603" s="154">
        <v>5.7156862000000004</v>
      </c>
      <c r="J603" s="154">
        <v>36.471662000000002</v>
      </c>
      <c r="K603" s="21">
        <f>40*40</f>
        <v>1600</v>
      </c>
      <c r="L603" s="3">
        <v>1968</v>
      </c>
      <c r="M603" s="3">
        <v>1970</v>
      </c>
      <c r="N603" s="3">
        <f>6000/K603</f>
        <v>3.75</v>
      </c>
      <c r="O603" s="3" t="s">
        <v>66</v>
      </c>
      <c r="P603" s="5" t="s">
        <v>5181</v>
      </c>
      <c r="Q603" s="4" t="s">
        <v>3299</v>
      </c>
    </row>
    <row r="604" spans="1:17" ht="33.5" customHeight="1">
      <c r="A604" s="101">
        <v>123</v>
      </c>
      <c r="B604" s="37" t="s">
        <v>3291</v>
      </c>
      <c r="C604" s="3" t="s">
        <v>3301</v>
      </c>
      <c r="D604" s="11" t="s">
        <v>2393</v>
      </c>
      <c r="E604" s="3" t="s">
        <v>2394</v>
      </c>
      <c r="F604" s="11" t="s">
        <v>3295</v>
      </c>
      <c r="G604" s="3" t="s">
        <v>3293</v>
      </c>
      <c r="H604" s="3" t="s">
        <v>1946</v>
      </c>
      <c r="I604" s="154">
        <v>5.8939000000000004</v>
      </c>
      <c r="J604" s="154">
        <v>36.153799999999997</v>
      </c>
      <c r="K604" s="21">
        <f t="shared" si="4"/>
        <v>1600</v>
      </c>
      <c r="L604" s="3">
        <v>1968</v>
      </c>
      <c r="M604" s="3">
        <v>1970</v>
      </c>
      <c r="N604" s="3">
        <f t="shared" ref="N604:N605" si="6">6000/K604</f>
        <v>3.75</v>
      </c>
      <c r="O604" s="3" t="s">
        <v>66</v>
      </c>
      <c r="P604" s="5" t="s">
        <v>5181</v>
      </c>
      <c r="Q604" s="4" t="s">
        <v>3299</v>
      </c>
    </row>
    <row r="605" spans="1:17" ht="32" customHeight="1">
      <c r="A605" s="101">
        <v>123</v>
      </c>
      <c r="B605" s="37" t="s">
        <v>3291</v>
      </c>
      <c r="C605" s="3" t="s">
        <v>3302</v>
      </c>
      <c r="D605" s="11" t="s">
        <v>2393</v>
      </c>
      <c r="E605" s="3" t="s">
        <v>2394</v>
      </c>
      <c r="F605" s="11" t="s">
        <v>3296</v>
      </c>
      <c r="G605" s="3" t="s">
        <v>3293</v>
      </c>
      <c r="H605" s="3" t="s">
        <v>1946</v>
      </c>
      <c r="I605" s="154">
        <f>5+(35/60)</f>
        <v>5.583333333333333</v>
      </c>
      <c r="J605" s="154">
        <f>35 + (56/60)</f>
        <v>35.93333333333333</v>
      </c>
      <c r="K605" s="21">
        <f t="shared" si="4"/>
        <v>1600</v>
      </c>
      <c r="L605" s="3">
        <v>1968</v>
      </c>
      <c r="M605" s="3">
        <v>1970</v>
      </c>
      <c r="N605" s="3">
        <f t="shared" si="6"/>
        <v>3.75</v>
      </c>
      <c r="O605" s="3" t="s">
        <v>66</v>
      </c>
      <c r="P605" s="5" t="s">
        <v>5181</v>
      </c>
      <c r="Q605" s="4" t="s">
        <v>3299</v>
      </c>
    </row>
    <row r="606" spans="1:17" ht="29" customHeight="1">
      <c r="A606" s="101">
        <v>124</v>
      </c>
      <c r="B606" s="37" t="s">
        <v>3331</v>
      </c>
      <c r="C606" s="3" t="s">
        <v>3310</v>
      </c>
      <c r="D606" s="3" t="s">
        <v>2411</v>
      </c>
      <c r="E606" s="3" t="s">
        <v>2394</v>
      </c>
      <c r="F606" s="3" t="s">
        <v>3332</v>
      </c>
      <c r="G606" s="3" t="s">
        <v>3333</v>
      </c>
      <c r="H606" s="3" t="s">
        <v>601</v>
      </c>
      <c r="I606" s="21">
        <v>-17.5157697</v>
      </c>
      <c r="J606" s="21">
        <v>48.429371000000003</v>
      </c>
      <c r="K606" s="21">
        <f>9850/100</f>
        <v>98.5</v>
      </c>
      <c r="L606" s="11">
        <v>2007</v>
      </c>
      <c r="M606" s="11">
        <v>2007</v>
      </c>
      <c r="N606" s="21" t="s">
        <v>2272</v>
      </c>
      <c r="O606" s="3" t="s">
        <v>66</v>
      </c>
      <c r="P606" s="5" t="s">
        <v>5181</v>
      </c>
      <c r="Q606" s="3"/>
    </row>
    <row r="607" spans="1:17" ht="37" customHeight="1">
      <c r="A607" s="101">
        <v>125</v>
      </c>
      <c r="B607" s="37" t="s">
        <v>3346</v>
      </c>
      <c r="C607" s="11" t="s">
        <v>3347</v>
      </c>
      <c r="D607" s="3" t="s">
        <v>2411</v>
      </c>
      <c r="E607" s="3" t="s">
        <v>2394</v>
      </c>
      <c r="F607" s="3" t="s">
        <v>3348</v>
      </c>
      <c r="G607" s="3" t="s">
        <v>3333</v>
      </c>
      <c r="H607" s="3" t="s">
        <v>601</v>
      </c>
      <c r="I607" s="21">
        <v>-17.350000000000001</v>
      </c>
      <c r="J607" s="21">
        <v>48.4</v>
      </c>
      <c r="K607" s="21">
        <f>(23000+81500)/100</f>
        <v>1045</v>
      </c>
      <c r="L607" s="3">
        <v>2000</v>
      </c>
      <c r="M607" s="3">
        <v>2000</v>
      </c>
      <c r="N607" s="21" t="s">
        <v>2272</v>
      </c>
      <c r="O607" s="3" t="s">
        <v>66</v>
      </c>
      <c r="P607" s="5" t="s">
        <v>5181</v>
      </c>
      <c r="Q607" s="3" t="s">
        <v>2210</v>
      </c>
    </row>
    <row r="608" spans="1:17" ht="39" customHeight="1">
      <c r="A608" s="101">
        <v>126</v>
      </c>
      <c r="B608" s="37" t="s">
        <v>3358</v>
      </c>
      <c r="C608" s="3" t="s">
        <v>3359</v>
      </c>
      <c r="D608" s="3" t="s">
        <v>2393</v>
      </c>
      <c r="E608" s="3" t="s">
        <v>2394</v>
      </c>
      <c r="F608" s="3" t="s">
        <v>3360</v>
      </c>
      <c r="G608" s="3" t="s">
        <v>2272</v>
      </c>
      <c r="H608" s="3" t="s">
        <v>179</v>
      </c>
      <c r="I608" s="21">
        <v>8.3047433000000002</v>
      </c>
      <c r="J608" s="21">
        <v>13.7923908</v>
      </c>
      <c r="K608" s="21">
        <v>1800</v>
      </c>
      <c r="L608" s="3">
        <v>2004</v>
      </c>
      <c r="M608" s="3">
        <v>2004</v>
      </c>
      <c r="N608" s="21" t="s">
        <v>2272</v>
      </c>
      <c r="O608" s="3" t="s">
        <v>66</v>
      </c>
      <c r="P608" s="5" t="s">
        <v>5181</v>
      </c>
      <c r="Q608" s="3"/>
    </row>
    <row r="609" spans="1:17" ht="32" customHeight="1">
      <c r="A609" s="101">
        <v>127</v>
      </c>
      <c r="B609" s="37" t="s">
        <v>3364</v>
      </c>
      <c r="C609" s="3" t="s">
        <v>3365</v>
      </c>
      <c r="D609" s="3" t="s">
        <v>2393</v>
      </c>
      <c r="E609" s="3" t="s">
        <v>2394</v>
      </c>
      <c r="F609" s="3" t="s">
        <v>3367</v>
      </c>
      <c r="G609" s="11" t="s">
        <v>3363</v>
      </c>
      <c r="H609" s="3" t="s">
        <v>1946</v>
      </c>
      <c r="I609" s="21">
        <v>9.0598636999999993</v>
      </c>
      <c r="J609" s="21">
        <v>40.002817700000001</v>
      </c>
      <c r="K609" s="21">
        <v>1080</v>
      </c>
      <c r="L609" s="8">
        <v>2000</v>
      </c>
      <c r="M609" s="8">
        <v>2000</v>
      </c>
      <c r="N609" s="21">
        <f>21442/K609</f>
        <v>19.853703703703705</v>
      </c>
      <c r="O609" s="3" t="s">
        <v>66</v>
      </c>
      <c r="P609" s="5" t="s">
        <v>5181</v>
      </c>
      <c r="Q609" s="4" t="s">
        <v>3380</v>
      </c>
    </row>
    <row r="610" spans="1:17" ht="36.5" customHeight="1">
      <c r="A610" s="101">
        <v>127</v>
      </c>
      <c r="B610" s="37" t="s">
        <v>3364</v>
      </c>
      <c r="C610" s="3" t="s">
        <v>3366</v>
      </c>
      <c r="D610" s="3" t="s">
        <v>2393</v>
      </c>
      <c r="E610" s="3" t="s">
        <v>2394</v>
      </c>
      <c r="F610" s="3" t="s">
        <v>3368</v>
      </c>
      <c r="G610" s="11" t="s">
        <v>3363</v>
      </c>
      <c r="H610" s="3" t="s">
        <v>1946</v>
      </c>
      <c r="I610" s="21">
        <v>8.9253792999999995</v>
      </c>
      <c r="J610" s="21">
        <v>39.949866499999999</v>
      </c>
      <c r="K610" s="21">
        <v>1169</v>
      </c>
      <c r="L610" s="8">
        <v>2000</v>
      </c>
      <c r="M610" s="8">
        <v>2000</v>
      </c>
      <c r="N610" s="21">
        <f>74932/K610</f>
        <v>64.099230111206154</v>
      </c>
      <c r="O610" s="3" t="s">
        <v>66</v>
      </c>
      <c r="P610" s="5" t="s">
        <v>5181</v>
      </c>
      <c r="Q610" s="4" t="s">
        <v>3380</v>
      </c>
    </row>
    <row r="611" spans="1:17" ht="32" customHeight="1">
      <c r="A611" s="101">
        <v>128</v>
      </c>
      <c r="B611" s="37" t="s">
        <v>3372</v>
      </c>
      <c r="C611" s="3" t="s">
        <v>3373</v>
      </c>
      <c r="D611" s="3" t="s">
        <v>2393</v>
      </c>
      <c r="E611" s="3" t="s">
        <v>2394</v>
      </c>
      <c r="F611" s="3" t="s">
        <v>3375</v>
      </c>
      <c r="G611" s="3" t="s">
        <v>3379</v>
      </c>
      <c r="H611" s="3" t="s">
        <v>1946</v>
      </c>
      <c r="I611" s="21">
        <v>4.7214292000000002</v>
      </c>
      <c r="J611" s="21">
        <v>38.765087100000002</v>
      </c>
      <c r="K611" s="21" t="s">
        <v>2272</v>
      </c>
      <c r="L611" s="3">
        <v>2002</v>
      </c>
      <c r="M611" s="3">
        <v>2003</v>
      </c>
      <c r="N611" s="21" t="s">
        <v>2272</v>
      </c>
      <c r="O611" s="3" t="s">
        <v>66</v>
      </c>
      <c r="P611" s="5" t="s">
        <v>5181</v>
      </c>
      <c r="Q611" s="3"/>
    </row>
    <row r="612" spans="1:17" ht="31" customHeight="1">
      <c r="A612" s="101">
        <v>128</v>
      </c>
      <c r="B612" s="37" t="s">
        <v>3372</v>
      </c>
      <c r="C612" s="3" t="s">
        <v>3374</v>
      </c>
      <c r="D612" s="3" t="s">
        <v>2393</v>
      </c>
      <c r="E612" s="3" t="s">
        <v>2394</v>
      </c>
      <c r="F612" s="3" t="s">
        <v>3376</v>
      </c>
      <c r="G612" s="3" t="s">
        <v>3379</v>
      </c>
      <c r="H612" s="3" t="s">
        <v>1946</v>
      </c>
      <c r="I612" s="21">
        <v>4.9833328999999997</v>
      </c>
      <c r="J612" s="21">
        <v>37.1</v>
      </c>
      <c r="K612" s="21" t="s">
        <v>2272</v>
      </c>
      <c r="L612" s="3">
        <v>2002</v>
      </c>
      <c r="M612" s="3">
        <v>2003</v>
      </c>
      <c r="N612" s="21" t="s">
        <v>2272</v>
      </c>
      <c r="O612" s="3" t="s">
        <v>66</v>
      </c>
      <c r="P612" s="5" t="s">
        <v>5181</v>
      </c>
      <c r="Q612" s="3"/>
    </row>
    <row r="613" spans="1:17" ht="29" customHeight="1">
      <c r="A613" s="101">
        <v>128</v>
      </c>
      <c r="B613" s="37" t="s">
        <v>3372</v>
      </c>
      <c r="C613" s="3" t="s">
        <v>3378</v>
      </c>
      <c r="D613" s="3" t="s">
        <v>2393</v>
      </c>
      <c r="E613" s="3" t="s">
        <v>2394</v>
      </c>
      <c r="F613" s="11" t="s">
        <v>3377</v>
      </c>
      <c r="G613" s="3" t="s">
        <v>3379</v>
      </c>
      <c r="H613" s="3" t="s">
        <v>1946</v>
      </c>
      <c r="I613" s="21">
        <v>4.8933847000000004</v>
      </c>
      <c r="J613" s="21">
        <v>38.1082678</v>
      </c>
      <c r="K613" s="21" t="s">
        <v>2272</v>
      </c>
      <c r="L613" s="3">
        <v>2002</v>
      </c>
      <c r="M613" s="3">
        <v>2003</v>
      </c>
      <c r="N613" s="21" t="s">
        <v>2272</v>
      </c>
      <c r="O613" s="3" t="s">
        <v>66</v>
      </c>
      <c r="P613" s="5" t="s">
        <v>5181</v>
      </c>
      <c r="Q613" s="3"/>
    </row>
    <row r="614" spans="1:17" ht="33" customHeight="1">
      <c r="A614" s="101">
        <v>129</v>
      </c>
      <c r="B614" s="37" t="s">
        <v>3398</v>
      </c>
      <c r="C614" s="3" t="s">
        <v>3381</v>
      </c>
      <c r="D614" s="3" t="s">
        <v>2393</v>
      </c>
      <c r="E614" s="3" t="s">
        <v>2394</v>
      </c>
      <c r="F614" s="3" t="s">
        <v>3399</v>
      </c>
      <c r="G614" s="3" t="s">
        <v>3400</v>
      </c>
      <c r="H614" s="3" t="s">
        <v>1946</v>
      </c>
      <c r="I614" s="21">
        <f>4 +(48.6/60)</f>
        <v>4.8100000000000005</v>
      </c>
      <c r="J614" s="21">
        <f>38+(19.1/60)</f>
        <v>38.318333333333335</v>
      </c>
      <c r="K614" s="21" t="s">
        <v>2272</v>
      </c>
      <c r="L614" s="3">
        <v>1970</v>
      </c>
      <c r="M614" s="3">
        <v>1979</v>
      </c>
      <c r="N614" s="21" t="s">
        <v>2272</v>
      </c>
      <c r="O614" s="3" t="s">
        <v>66</v>
      </c>
      <c r="P614" s="5" t="s">
        <v>5181</v>
      </c>
      <c r="Q614" s="4" t="s">
        <v>3401</v>
      </c>
    </row>
    <row r="615" spans="1:17" ht="33.5" customHeight="1">
      <c r="A615" s="101">
        <v>129</v>
      </c>
      <c r="B615" s="37" t="s">
        <v>3398</v>
      </c>
      <c r="C615" s="3" t="s">
        <v>3382</v>
      </c>
      <c r="D615" s="3" t="s">
        <v>2393</v>
      </c>
      <c r="E615" s="3" t="s">
        <v>2394</v>
      </c>
      <c r="F615" s="3" t="s">
        <v>3399</v>
      </c>
      <c r="G615" s="3" t="s">
        <v>3400</v>
      </c>
      <c r="H615" s="3" t="s">
        <v>1946</v>
      </c>
      <c r="I615" s="21">
        <f>4 +(48.6/60)</f>
        <v>4.8100000000000005</v>
      </c>
      <c r="J615" s="21">
        <f>38+(19.1/60)</f>
        <v>38.318333333333335</v>
      </c>
      <c r="K615" s="21" t="s">
        <v>2272</v>
      </c>
      <c r="L615" s="3">
        <v>1980</v>
      </c>
      <c r="M615" s="3">
        <v>1989</v>
      </c>
      <c r="N615" s="21" t="s">
        <v>2272</v>
      </c>
      <c r="O615" s="3" t="s">
        <v>66</v>
      </c>
      <c r="P615" s="5" t="s">
        <v>5181</v>
      </c>
      <c r="Q615" s="4" t="s">
        <v>3401</v>
      </c>
    </row>
    <row r="616" spans="1:17" ht="32" customHeight="1">
      <c r="A616" s="101">
        <v>129</v>
      </c>
      <c r="B616" s="37" t="s">
        <v>3398</v>
      </c>
      <c r="C616" s="3" t="s">
        <v>3383</v>
      </c>
      <c r="D616" s="3" t="s">
        <v>2393</v>
      </c>
      <c r="E616" s="3" t="s">
        <v>2394</v>
      </c>
      <c r="F616" s="3" t="s">
        <v>3399</v>
      </c>
      <c r="G616" s="3" t="s">
        <v>3400</v>
      </c>
      <c r="H616" s="3" t="s">
        <v>1946</v>
      </c>
      <c r="I616" s="21">
        <f>4 +(48.6/60)</f>
        <v>4.8100000000000005</v>
      </c>
      <c r="J616" s="21">
        <f>38+(19.1/60)</f>
        <v>38.318333333333335</v>
      </c>
      <c r="K616" s="21" t="s">
        <v>2272</v>
      </c>
      <c r="L616" s="3">
        <v>2003</v>
      </c>
      <c r="M616" s="3">
        <v>2003</v>
      </c>
      <c r="N616" s="21" t="s">
        <v>2272</v>
      </c>
      <c r="O616" s="3" t="s">
        <v>66</v>
      </c>
      <c r="P616" s="5" t="s">
        <v>5181</v>
      </c>
      <c r="Q616" s="4" t="s">
        <v>3401</v>
      </c>
    </row>
    <row r="617" spans="1:17" ht="39" customHeight="1">
      <c r="A617" s="101">
        <v>130</v>
      </c>
      <c r="B617" s="37" t="s">
        <v>3407</v>
      </c>
      <c r="C617" s="11" t="s">
        <v>3408</v>
      </c>
      <c r="D617" s="3" t="s">
        <v>2393</v>
      </c>
      <c r="E617" s="3" t="s">
        <v>2394</v>
      </c>
      <c r="F617" s="3" t="s">
        <v>3415</v>
      </c>
      <c r="G617" s="3" t="s">
        <v>3410</v>
      </c>
      <c r="H617" s="3" t="s">
        <v>3409</v>
      </c>
      <c r="I617" s="21">
        <v>-22.8202973</v>
      </c>
      <c r="J617" s="21">
        <v>122.12676570000001</v>
      </c>
      <c r="K617" s="21" t="s">
        <v>2272</v>
      </c>
      <c r="L617" s="3">
        <v>2000</v>
      </c>
      <c r="M617" s="3">
        <v>2001</v>
      </c>
      <c r="N617" s="21" t="s">
        <v>2272</v>
      </c>
      <c r="O617" s="3" t="s">
        <v>66</v>
      </c>
      <c r="P617" s="5" t="s">
        <v>5181</v>
      </c>
      <c r="Q617" s="3" t="s">
        <v>2210</v>
      </c>
    </row>
    <row r="618" spans="1:17" ht="39" customHeight="1">
      <c r="A618" s="101">
        <v>131</v>
      </c>
      <c r="B618" s="37" t="s">
        <v>3420</v>
      </c>
      <c r="C618" s="11" t="s">
        <v>3421</v>
      </c>
      <c r="D618" s="3" t="s">
        <v>2393</v>
      </c>
      <c r="E618" s="3" t="s">
        <v>2395</v>
      </c>
      <c r="F618" s="4" t="s">
        <v>3422</v>
      </c>
      <c r="G618" s="3" t="s">
        <v>3410</v>
      </c>
      <c r="H618" s="3" t="s">
        <v>3409</v>
      </c>
      <c r="I618" s="21">
        <f>-22-(58/2/60)</f>
        <v>-22.483333333333334</v>
      </c>
      <c r="J618" s="21">
        <f>AVERAGE(127.5, 128+5/6)</f>
        <v>128.16666666666669</v>
      </c>
      <c r="K618" s="21">
        <f>241210/100</f>
        <v>2412.1</v>
      </c>
      <c r="L618" s="3">
        <v>1953</v>
      </c>
      <c r="M618" s="3">
        <v>2000</v>
      </c>
      <c r="N618" s="21" t="s">
        <v>2272</v>
      </c>
      <c r="O618" s="3" t="s">
        <v>66</v>
      </c>
      <c r="P618" s="5" t="s">
        <v>5181</v>
      </c>
      <c r="Q618" s="3" t="s">
        <v>3423</v>
      </c>
    </row>
    <row r="619" spans="1:17" ht="40.5" customHeight="1">
      <c r="A619" s="101">
        <v>132</v>
      </c>
      <c r="B619" s="37" t="s">
        <v>3439</v>
      </c>
      <c r="C619" s="11" t="s">
        <v>3440</v>
      </c>
      <c r="D619" s="3" t="s">
        <v>2393</v>
      </c>
      <c r="E619" s="3" t="s">
        <v>2394</v>
      </c>
      <c r="F619" s="4" t="s">
        <v>3453</v>
      </c>
      <c r="G619" s="3" t="s">
        <v>3454</v>
      </c>
      <c r="H619" s="3" t="s">
        <v>3409</v>
      </c>
      <c r="I619" s="21">
        <v>-13.1</v>
      </c>
      <c r="J619" s="21">
        <f>132 +(25/60)</f>
        <v>132.41666666666666</v>
      </c>
      <c r="K619" s="21" t="s">
        <v>2272</v>
      </c>
      <c r="L619" s="3">
        <v>1981</v>
      </c>
      <c r="M619" s="3">
        <v>1993</v>
      </c>
      <c r="N619" s="21" t="s">
        <v>2272</v>
      </c>
      <c r="O619" s="3" t="s">
        <v>66</v>
      </c>
      <c r="P619" s="5" t="s">
        <v>5181</v>
      </c>
      <c r="Q619" s="3" t="s">
        <v>3441</v>
      </c>
    </row>
    <row r="620" spans="1:17" ht="43" customHeight="1">
      <c r="A620" s="101">
        <v>133</v>
      </c>
      <c r="B620" s="37" t="s">
        <v>3456</v>
      </c>
      <c r="C620" s="3" t="s">
        <v>3455</v>
      </c>
      <c r="D620" s="3" t="s">
        <v>2393</v>
      </c>
      <c r="E620" s="3" t="s">
        <v>2394</v>
      </c>
      <c r="F620" s="3" t="s">
        <v>3457</v>
      </c>
      <c r="G620" s="3" t="s">
        <v>2272</v>
      </c>
      <c r="H620" s="3" t="s">
        <v>601</v>
      </c>
      <c r="I620" s="83">
        <f>-16-(0.266666666666667)</f>
        <v>-16.266666666666666</v>
      </c>
      <c r="J620" s="83">
        <f>46 +( 55/60)</f>
        <v>46.916666666666664</v>
      </c>
      <c r="K620" s="21" t="s">
        <v>2272</v>
      </c>
      <c r="L620" s="3">
        <v>1997</v>
      </c>
      <c r="M620" s="3">
        <v>1997</v>
      </c>
      <c r="N620" s="21" t="s">
        <v>2272</v>
      </c>
      <c r="O620" s="3" t="s">
        <v>66</v>
      </c>
      <c r="P620" s="5" t="s">
        <v>5181</v>
      </c>
      <c r="Q620" s="3"/>
    </row>
    <row r="621" spans="1:17" ht="44" customHeight="1">
      <c r="A621" s="101">
        <v>134</v>
      </c>
      <c r="B621" s="37" t="s">
        <v>3482</v>
      </c>
      <c r="C621" s="3" t="s">
        <v>3486</v>
      </c>
      <c r="D621" s="3" t="s">
        <v>2393</v>
      </c>
      <c r="E621" s="3" t="s">
        <v>2632</v>
      </c>
      <c r="F621" s="3" t="s">
        <v>3483</v>
      </c>
      <c r="G621" s="3" t="s">
        <v>3484</v>
      </c>
      <c r="H621" s="3" t="s">
        <v>3485</v>
      </c>
      <c r="I621" s="83">
        <v>-18.755756000000002</v>
      </c>
      <c r="J621" s="83">
        <v>31.550623000000002</v>
      </c>
      <c r="K621" s="21" t="s">
        <v>2272</v>
      </c>
      <c r="L621" s="3">
        <v>2009</v>
      </c>
      <c r="M621" s="3">
        <v>2014</v>
      </c>
      <c r="N621" s="21" t="s">
        <v>2272</v>
      </c>
      <c r="O621" s="3" t="s">
        <v>66</v>
      </c>
      <c r="P621" s="5" t="s">
        <v>5181</v>
      </c>
      <c r="Q621" s="3"/>
    </row>
    <row r="622" spans="1:17" ht="45.5" customHeight="1">
      <c r="A622" s="101">
        <v>134</v>
      </c>
      <c r="B622" s="37" t="s">
        <v>3482</v>
      </c>
      <c r="C622" s="3" t="s">
        <v>3487</v>
      </c>
      <c r="D622" s="3" t="s">
        <v>2393</v>
      </c>
      <c r="E622" s="3" t="s">
        <v>2631</v>
      </c>
      <c r="F622" s="3" t="s">
        <v>2272</v>
      </c>
      <c r="G622" s="3" t="s">
        <v>2272</v>
      </c>
      <c r="H622" s="3" t="s">
        <v>3485</v>
      </c>
      <c r="I622" s="21">
        <v>-19.0156153</v>
      </c>
      <c r="J622" s="21">
        <v>29.152802000000001</v>
      </c>
      <c r="K622" s="21">
        <v>390757</v>
      </c>
      <c r="L622" s="3">
        <v>1960</v>
      </c>
      <c r="M622" s="3">
        <v>1999</v>
      </c>
      <c r="N622" s="21" t="s">
        <v>2272</v>
      </c>
      <c r="O622" s="3" t="s">
        <v>66</v>
      </c>
      <c r="P622" s="5" t="s">
        <v>5181</v>
      </c>
      <c r="Q622" s="3" t="s">
        <v>3488</v>
      </c>
    </row>
    <row r="623" spans="1:17" ht="55.5" customHeight="1">
      <c r="A623" s="101">
        <v>135</v>
      </c>
      <c r="B623" s="37" t="s">
        <v>3524</v>
      </c>
      <c r="C623" s="11" t="s">
        <v>3525</v>
      </c>
      <c r="D623" s="3" t="s">
        <v>2393</v>
      </c>
      <c r="E623" s="11" t="s">
        <v>2394</v>
      </c>
      <c r="F623" s="3" t="s">
        <v>1226</v>
      </c>
      <c r="G623" s="3" t="s">
        <v>3526</v>
      </c>
      <c r="H623" s="3" t="s">
        <v>383</v>
      </c>
      <c r="I623" s="21">
        <v>-3</v>
      </c>
      <c r="J623" s="21">
        <f>36 +(42/60)</f>
        <v>36.700000000000003</v>
      </c>
      <c r="K623" s="21">
        <v>2000</v>
      </c>
      <c r="L623" s="3">
        <v>1990</v>
      </c>
      <c r="M623" s="3">
        <v>1990</v>
      </c>
      <c r="N623" s="21">
        <f>(600+((2000-600)/(28)*13))/K623</f>
        <v>0.625</v>
      </c>
      <c r="O623" s="3" t="s">
        <v>66</v>
      </c>
      <c r="P623" s="5" t="s">
        <v>5181</v>
      </c>
      <c r="Q623" s="4" t="s">
        <v>3547</v>
      </c>
    </row>
    <row r="624" spans="1:17" ht="44.5" customHeight="1">
      <c r="A624" s="101">
        <v>135</v>
      </c>
      <c r="B624" s="37" t="s">
        <v>3524</v>
      </c>
      <c r="C624" s="11" t="s">
        <v>3527</v>
      </c>
      <c r="D624" s="3" t="s">
        <v>2393</v>
      </c>
      <c r="E624" s="11" t="s">
        <v>2394</v>
      </c>
      <c r="F624" s="3" t="s">
        <v>1226</v>
      </c>
      <c r="G624" s="3" t="s">
        <v>3526</v>
      </c>
      <c r="H624" s="3" t="s">
        <v>383</v>
      </c>
      <c r="I624" s="21">
        <v>-3</v>
      </c>
      <c r="J624" s="21">
        <f>36 +(42/60)</f>
        <v>36.700000000000003</v>
      </c>
      <c r="K624" s="21">
        <v>2000</v>
      </c>
      <c r="L624" s="3">
        <v>2005</v>
      </c>
      <c r="M624" s="3">
        <v>2005</v>
      </c>
      <c r="N624" s="3">
        <f>3000/K623</f>
        <v>1.5</v>
      </c>
      <c r="O624" s="3" t="s">
        <v>66</v>
      </c>
      <c r="P624" s="5" t="s">
        <v>5181</v>
      </c>
      <c r="Q624" s="3"/>
    </row>
    <row r="625" spans="1:17" ht="42.5" customHeight="1">
      <c r="A625" s="101">
        <v>136</v>
      </c>
      <c r="B625" s="37" t="s">
        <v>3573</v>
      </c>
      <c r="C625" s="3" t="s">
        <v>3572</v>
      </c>
      <c r="D625" s="3" t="s">
        <v>2393</v>
      </c>
      <c r="E625" s="3" t="s">
        <v>2631</v>
      </c>
      <c r="F625" s="3" t="s">
        <v>2272</v>
      </c>
      <c r="G625" s="3" t="s">
        <v>2272</v>
      </c>
      <c r="H625" s="3" t="s">
        <v>3571</v>
      </c>
      <c r="I625" s="21">
        <v>1.3681551000000001</v>
      </c>
      <c r="J625" s="21">
        <v>32.303241</v>
      </c>
      <c r="K625" s="21">
        <v>241037</v>
      </c>
      <c r="L625" s="3">
        <v>1974</v>
      </c>
      <c r="M625" s="3">
        <v>2018</v>
      </c>
      <c r="N625" s="21" t="s">
        <v>2272</v>
      </c>
      <c r="O625" s="3" t="s">
        <v>66</v>
      </c>
      <c r="P625" s="5" t="s">
        <v>5181</v>
      </c>
      <c r="Q625" s="3" t="s">
        <v>3574</v>
      </c>
    </row>
    <row r="626" spans="1:17" ht="55" customHeight="1">
      <c r="A626" s="101">
        <v>137</v>
      </c>
      <c r="B626" s="37" t="s">
        <v>3580</v>
      </c>
      <c r="C626" s="3" t="s">
        <v>3581</v>
      </c>
      <c r="D626" s="3" t="s">
        <v>2393</v>
      </c>
      <c r="E626" s="11" t="s">
        <v>2395</v>
      </c>
      <c r="F626" s="3" t="s">
        <v>3582</v>
      </c>
      <c r="G626" s="3" t="s">
        <v>3583</v>
      </c>
      <c r="H626" s="3" t="s">
        <v>1946</v>
      </c>
      <c r="I626" s="21">
        <v>4.0409151000000003</v>
      </c>
      <c r="J626" s="21">
        <v>38.317003300000003</v>
      </c>
      <c r="K626" s="21">
        <f>735.9/5</f>
        <v>147.18</v>
      </c>
      <c r="L626" s="3">
        <v>2011</v>
      </c>
      <c r="M626" s="3">
        <v>2011</v>
      </c>
      <c r="N626" s="21" t="s">
        <v>2272</v>
      </c>
      <c r="O626" s="3" t="s">
        <v>66</v>
      </c>
      <c r="P626" s="5" t="s">
        <v>5181</v>
      </c>
      <c r="Q626" s="3" t="s">
        <v>2210</v>
      </c>
    </row>
    <row r="627" spans="1:17" ht="55" customHeight="1">
      <c r="A627" s="101">
        <v>137</v>
      </c>
      <c r="B627" s="37" t="s">
        <v>3580</v>
      </c>
      <c r="C627" s="3" t="s">
        <v>3584</v>
      </c>
      <c r="D627" s="3" t="s">
        <v>2393</v>
      </c>
      <c r="E627" s="11" t="s">
        <v>2395</v>
      </c>
      <c r="F627" s="3" t="s">
        <v>3590</v>
      </c>
      <c r="G627" s="3" t="s">
        <v>3592</v>
      </c>
      <c r="H627" s="3" t="s">
        <v>1946</v>
      </c>
      <c r="I627" s="21">
        <v>4.8607559</v>
      </c>
      <c r="J627" s="21">
        <v>38.277996799999997</v>
      </c>
      <c r="K627" s="21">
        <f t="shared" ref="K627:K630" si="7">735.9/5</f>
        <v>147.18</v>
      </c>
      <c r="L627" s="3">
        <v>2011</v>
      </c>
      <c r="M627" s="3">
        <v>2011</v>
      </c>
      <c r="N627" s="21" t="s">
        <v>2272</v>
      </c>
      <c r="O627" s="3" t="s">
        <v>66</v>
      </c>
      <c r="P627" s="5" t="s">
        <v>5181</v>
      </c>
      <c r="Q627" s="3" t="s">
        <v>2210</v>
      </c>
    </row>
    <row r="628" spans="1:17" ht="55" customHeight="1">
      <c r="A628" s="101">
        <v>137</v>
      </c>
      <c r="B628" s="37" t="s">
        <v>3580</v>
      </c>
      <c r="C628" s="3" t="s">
        <v>3585</v>
      </c>
      <c r="D628" s="3" t="s">
        <v>2393</v>
      </c>
      <c r="E628" s="11" t="s">
        <v>2395</v>
      </c>
      <c r="F628" s="3" t="s">
        <v>3591</v>
      </c>
      <c r="G628" s="3" t="s">
        <v>3592</v>
      </c>
      <c r="H628" s="3" t="s">
        <v>1946</v>
      </c>
      <c r="I628" s="21">
        <v>3.9800346000000002</v>
      </c>
      <c r="J628" s="21">
        <v>38.356403499999999</v>
      </c>
      <c r="K628" s="21">
        <f t="shared" si="7"/>
        <v>147.18</v>
      </c>
      <c r="L628" s="3">
        <v>2011</v>
      </c>
      <c r="M628" s="3">
        <v>2011</v>
      </c>
      <c r="N628" s="21" t="s">
        <v>2272</v>
      </c>
      <c r="O628" s="3" t="s">
        <v>66</v>
      </c>
      <c r="P628" s="5" t="s">
        <v>5181</v>
      </c>
      <c r="Q628" s="3" t="s">
        <v>2210</v>
      </c>
    </row>
    <row r="629" spans="1:17" ht="55" customHeight="1">
      <c r="A629" s="101">
        <v>137</v>
      </c>
      <c r="B629" s="37" t="s">
        <v>3580</v>
      </c>
      <c r="C629" s="3" t="s">
        <v>3586</v>
      </c>
      <c r="D629" s="3" t="s">
        <v>2393</v>
      </c>
      <c r="E629" s="11" t="s">
        <v>2395</v>
      </c>
      <c r="F629" s="3" t="s">
        <v>3589</v>
      </c>
      <c r="G629" s="3" t="s">
        <v>3592</v>
      </c>
      <c r="H629" s="3" t="s">
        <v>1946</v>
      </c>
      <c r="I629" s="21">
        <v>4.0891713999999997</v>
      </c>
      <c r="J629" s="21">
        <v>38.695056600000001</v>
      </c>
      <c r="K629" s="21">
        <f t="shared" si="7"/>
        <v>147.18</v>
      </c>
      <c r="L629" s="3">
        <v>2011</v>
      </c>
      <c r="M629" s="3">
        <v>2011</v>
      </c>
      <c r="N629" s="21" t="s">
        <v>2272</v>
      </c>
      <c r="O629" s="3" t="s">
        <v>66</v>
      </c>
      <c r="P629" s="5" t="s">
        <v>5181</v>
      </c>
      <c r="Q629" s="3" t="s">
        <v>2210</v>
      </c>
    </row>
    <row r="630" spans="1:17" ht="55" customHeight="1">
      <c r="A630" s="101">
        <v>137</v>
      </c>
      <c r="B630" s="37" t="s">
        <v>3580</v>
      </c>
      <c r="C630" s="3" t="s">
        <v>3587</v>
      </c>
      <c r="D630" s="3" t="s">
        <v>2393</v>
      </c>
      <c r="E630" s="11" t="s">
        <v>2395</v>
      </c>
      <c r="F630" s="3" t="s">
        <v>3588</v>
      </c>
      <c r="G630" s="3" t="s">
        <v>3592</v>
      </c>
      <c r="H630" s="3" t="s">
        <v>1946</v>
      </c>
      <c r="I630" s="21">
        <v>4.1980908000000001</v>
      </c>
      <c r="J630" s="21">
        <v>38.3916483</v>
      </c>
      <c r="K630" s="21">
        <f t="shared" si="7"/>
        <v>147.18</v>
      </c>
      <c r="L630" s="3">
        <v>2011</v>
      </c>
      <c r="M630" s="3">
        <v>2011</v>
      </c>
      <c r="N630" s="21" t="s">
        <v>2272</v>
      </c>
      <c r="O630" s="3" t="s">
        <v>66</v>
      </c>
      <c r="P630" s="5" t="s">
        <v>5181</v>
      </c>
      <c r="Q630" s="3" t="s">
        <v>2210</v>
      </c>
    </row>
    <row r="631" spans="1:17" ht="49" customHeight="1">
      <c r="A631" s="101">
        <v>138</v>
      </c>
      <c r="B631" s="37" t="s">
        <v>3608</v>
      </c>
      <c r="C631" s="11" t="s">
        <v>3609</v>
      </c>
      <c r="D631" s="3" t="s">
        <v>2393</v>
      </c>
      <c r="E631" s="3" t="s">
        <v>2394</v>
      </c>
      <c r="F631" s="3" t="s">
        <v>3610</v>
      </c>
      <c r="G631" s="3" t="s">
        <v>3616</v>
      </c>
      <c r="H631" s="3" t="s">
        <v>3611</v>
      </c>
      <c r="I631" s="21">
        <v>-37</v>
      </c>
      <c r="J631" s="21">
        <v>-71</v>
      </c>
      <c r="K631" s="21" t="s">
        <v>2272</v>
      </c>
      <c r="L631" s="3">
        <v>2011</v>
      </c>
      <c r="M631" s="3">
        <v>2011</v>
      </c>
      <c r="N631" s="21" t="s">
        <v>2272</v>
      </c>
      <c r="O631" s="3" t="s">
        <v>66</v>
      </c>
      <c r="P631" s="5" t="s">
        <v>5181</v>
      </c>
      <c r="Q631" s="3" t="s">
        <v>2210</v>
      </c>
    </row>
    <row r="632" spans="1:17" ht="37" customHeight="1">
      <c r="A632" s="101">
        <v>139</v>
      </c>
      <c r="B632" s="37" t="s">
        <v>3619</v>
      </c>
      <c r="C632" s="11" t="s">
        <v>3620</v>
      </c>
      <c r="D632" s="3" t="s">
        <v>2393</v>
      </c>
      <c r="E632" s="3" t="s">
        <v>2632</v>
      </c>
      <c r="F632" s="4" t="s">
        <v>3626</v>
      </c>
      <c r="G632" s="3" t="s">
        <v>3627</v>
      </c>
      <c r="H632" s="3" t="s">
        <v>119</v>
      </c>
      <c r="I632" s="21">
        <v>-7.1178698000000002</v>
      </c>
      <c r="J632" s="21">
        <v>-47.203155600000002</v>
      </c>
      <c r="K632" s="21">
        <f>1500</f>
        <v>1500</v>
      </c>
      <c r="L632" s="3">
        <v>2012</v>
      </c>
      <c r="M632" s="3">
        <v>2017</v>
      </c>
      <c r="N632" s="21" t="s">
        <v>2272</v>
      </c>
      <c r="O632" s="3" t="s">
        <v>66</v>
      </c>
      <c r="P632" s="5" t="s">
        <v>5181</v>
      </c>
      <c r="Q632" s="3"/>
    </row>
    <row r="633" spans="1:17" ht="37" customHeight="1">
      <c r="A633" s="101">
        <v>139</v>
      </c>
      <c r="B633" s="37" t="s">
        <v>3619</v>
      </c>
      <c r="C633" s="11" t="s">
        <v>3621</v>
      </c>
      <c r="D633" s="3" t="s">
        <v>2393</v>
      </c>
      <c r="E633" s="3" t="s">
        <v>2632</v>
      </c>
      <c r="F633" s="3" t="s">
        <v>3628</v>
      </c>
      <c r="G633" s="3" t="s">
        <v>2951</v>
      </c>
      <c r="H633" s="3" t="s">
        <v>119</v>
      </c>
      <c r="I633" s="21">
        <v>-10.285575</v>
      </c>
      <c r="J633" s="21">
        <v>-46.764769000000001</v>
      </c>
      <c r="K633" s="21">
        <f>1500</f>
        <v>1500</v>
      </c>
      <c r="L633" s="3">
        <v>2012</v>
      </c>
      <c r="M633" s="3">
        <v>2017</v>
      </c>
      <c r="N633" s="21" t="s">
        <v>2272</v>
      </c>
      <c r="O633" s="3" t="s">
        <v>66</v>
      </c>
      <c r="P633" s="5" t="s">
        <v>5181</v>
      </c>
      <c r="Q633" s="3"/>
    </row>
    <row r="634" spans="1:17" ht="37" customHeight="1">
      <c r="A634" s="101">
        <v>139</v>
      </c>
      <c r="B634" s="37" t="s">
        <v>3619</v>
      </c>
      <c r="C634" s="11" t="s">
        <v>3624</v>
      </c>
      <c r="D634" s="3" t="s">
        <v>2393</v>
      </c>
      <c r="E634" s="3" t="s">
        <v>2632</v>
      </c>
      <c r="F634" s="4" t="s">
        <v>3629</v>
      </c>
      <c r="G634" s="3" t="s">
        <v>2951</v>
      </c>
      <c r="H634" s="3" t="s">
        <v>119</v>
      </c>
      <c r="I634" s="21">
        <v>-10.8193436</v>
      </c>
      <c r="J634" s="21">
        <v>-46.520679000000001</v>
      </c>
      <c r="K634" s="21">
        <f>1500</f>
        <v>1500</v>
      </c>
      <c r="L634" s="3">
        <v>2012</v>
      </c>
      <c r="M634" s="3">
        <v>2017</v>
      </c>
      <c r="N634" s="21" t="s">
        <v>2272</v>
      </c>
      <c r="O634" s="3" t="s">
        <v>66</v>
      </c>
      <c r="P634" s="5" t="s">
        <v>5181</v>
      </c>
      <c r="Q634" s="3"/>
    </row>
    <row r="635" spans="1:17" ht="36.5" customHeight="1">
      <c r="A635" s="101">
        <v>139</v>
      </c>
      <c r="B635" s="37" t="s">
        <v>3619</v>
      </c>
      <c r="C635" s="11" t="s">
        <v>3625</v>
      </c>
      <c r="D635" s="3" t="s">
        <v>2393</v>
      </c>
      <c r="E635" s="3" t="s">
        <v>2632</v>
      </c>
      <c r="F635" s="3" t="s">
        <v>3622</v>
      </c>
      <c r="G635" s="3" t="s">
        <v>3623</v>
      </c>
      <c r="H635" s="3" t="s">
        <v>582</v>
      </c>
      <c r="I635" s="21">
        <v>5.203373</v>
      </c>
      <c r="J635" s="21">
        <v>-61.754542000000001</v>
      </c>
      <c r="K635" s="21">
        <v>18000</v>
      </c>
      <c r="L635" s="3">
        <v>1998</v>
      </c>
      <c r="M635" s="3">
        <v>2017</v>
      </c>
      <c r="N635" s="21" t="s">
        <v>2272</v>
      </c>
      <c r="O635" s="3" t="s">
        <v>66</v>
      </c>
      <c r="P635" s="5" t="s">
        <v>5181</v>
      </c>
      <c r="Q635" s="3"/>
    </row>
    <row r="636" spans="1:17" ht="42" customHeight="1">
      <c r="A636" s="101">
        <v>140</v>
      </c>
      <c r="B636" s="37" t="s">
        <v>3658</v>
      </c>
      <c r="C636" s="3" t="s">
        <v>3659</v>
      </c>
      <c r="D636" s="11" t="s">
        <v>2393</v>
      </c>
      <c r="E636" s="3" t="s">
        <v>3660</v>
      </c>
      <c r="F636" s="3" t="s">
        <v>2272</v>
      </c>
      <c r="G636" s="3" t="s">
        <v>2272</v>
      </c>
      <c r="H636" s="3" t="s">
        <v>3485</v>
      </c>
      <c r="I636" s="21">
        <v>-19.0156153</v>
      </c>
      <c r="J636" s="21">
        <v>29.152802000000001</v>
      </c>
      <c r="K636" s="21">
        <v>390757</v>
      </c>
      <c r="L636" s="3">
        <v>2000</v>
      </c>
      <c r="M636" s="3">
        <v>2012</v>
      </c>
      <c r="N636" s="21" t="s">
        <v>2272</v>
      </c>
      <c r="O636" s="3" t="s">
        <v>66</v>
      </c>
      <c r="P636" s="5" t="s">
        <v>5181</v>
      </c>
      <c r="Q636" s="3"/>
    </row>
    <row r="637" spans="1:17" ht="35.5" customHeight="1">
      <c r="A637" s="101">
        <v>140</v>
      </c>
      <c r="B637" s="37" t="s">
        <v>3658</v>
      </c>
      <c r="C637" s="3" t="s">
        <v>3661</v>
      </c>
      <c r="D637" s="11" t="s">
        <v>2393</v>
      </c>
      <c r="E637" s="3" t="s">
        <v>2631</v>
      </c>
      <c r="F637" s="3" t="s">
        <v>2272</v>
      </c>
      <c r="G637" s="3" t="s">
        <v>2272</v>
      </c>
      <c r="H637" s="3" t="s">
        <v>3485</v>
      </c>
      <c r="I637" s="21">
        <v>-19.0156153</v>
      </c>
      <c r="J637" s="21">
        <v>29.152802000000001</v>
      </c>
      <c r="K637" s="21">
        <v>390757</v>
      </c>
      <c r="L637" s="3">
        <v>1960</v>
      </c>
      <c r="M637" s="3">
        <v>1999</v>
      </c>
      <c r="N637" s="21" t="s">
        <v>2272</v>
      </c>
      <c r="O637" s="3" t="s">
        <v>66</v>
      </c>
      <c r="P637" s="5" t="s">
        <v>5181</v>
      </c>
      <c r="Q637" s="3"/>
    </row>
    <row r="638" spans="1:17" ht="38" customHeight="1">
      <c r="A638" s="101">
        <v>141</v>
      </c>
      <c r="B638" s="37" t="s">
        <v>3694</v>
      </c>
      <c r="C638" s="11" t="s">
        <v>3695</v>
      </c>
      <c r="D638" s="11" t="s">
        <v>2393</v>
      </c>
      <c r="E638" s="3" t="s">
        <v>2394</v>
      </c>
      <c r="F638" s="3" t="s">
        <v>3698</v>
      </c>
      <c r="G638" s="3" t="s">
        <v>3699</v>
      </c>
      <c r="H638" s="3" t="s">
        <v>3697</v>
      </c>
      <c r="I638" s="21">
        <v>47.25</v>
      </c>
      <c r="J638" s="21">
        <f>84 + (55/60)</f>
        <v>84.916666666666671</v>
      </c>
      <c r="K638" s="21">
        <v>10500</v>
      </c>
      <c r="L638" s="3">
        <v>2010</v>
      </c>
      <c r="M638" s="3">
        <v>2011</v>
      </c>
      <c r="N638" s="21">
        <f>36800/K638</f>
        <v>3.5047619047619047</v>
      </c>
      <c r="O638" s="3" t="s">
        <v>66</v>
      </c>
      <c r="P638" s="5" t="s">
        <v>5181</v>
      </c>
      <c r="Q638" s="3"/>
    </row>
    <row r="639" spans="1:17" ht="36.5" customHeight="1">
      <c r="A639" s="101">
        <v>141</v>
      </c>
      <c r="B639" s="37" t="s">
        <v>3694</v>
      </c>
      <c r="C639" s="11" t="s">
        <v>3696</v>
      </c>
      <c r="D639" s="11" t="s">
        <v>2393</v>
      </c>
      <c r="E639" s="3" t="s">
        <v>2394</v>
      </c>
      <c r="F639" s="3" t="s">
        <v>3700</v>
      </c>
      <c r="G639" s="3" t="s">
        <v>3701</v>
      </c>
      <c r="H639" s="3" t="s">
        <v>3697</v>
      </c>
      <c r="I639" s="21">
        <f>49 + 16/60</f>
        <v>49.266666666666666</v>
      </c>
      <c r="J639" s="21">
        <f>AVERAGE(85+53/60, 86+8/60)</f>
        <v>86.00833333333334</v>
      </c>
      <c r="K639" s="21">
        <v>13167</v>
      </c>
      <c r="L639" s="3">
        <v>2010</v>
      </c>
      <c r="M639" s="3">
        <v>2011</v>
      </c>
      <c r="N639" s="21">
        <f>30000/K639</f>
        <v>2.2784233310549098</v>
      </c>
      <c r="O639" s="3" t="s">
        <v>66</v>
      </c>
      <c r="P639" s="5" t="s">
        <v>5181</v>
      </c>
      <c r="Q639" s="3"/>
    </row>
    <row r="640" spans="1:17" ht="38" customHeight="1">
      <c r="A640" s="101">
        <v>142</v>
      </c>
      <c r="B640" s="37" t="s">
        <v>3710</v>
      </c>
      <c r="C640" s="11" t="s">
        <v>3711</v>
      </c>
      <c r="D640" s="11" t="s">
        <v>2393</v>
      </c>
      <c r="E640" s="3" t="s">
        <v>2395</v>
      </c>
      <c r="F640" s="3" t="s">
        <v>3712</v>
      </c>
      <c r="G640" s="3" t="s">
        <v>2272</v>
      </c>
      <c r="H640" s="3" t="s">
        <v>3713</v>
      </c>
      <c r="I640" s="21">
        <v>-18</v>
      </c>
      <c r="J640" s="21">
        <v>22.5</v>
      </c>
      <c r="K640" s="21">
        <v>4055.31</v>
      </c>
      <c r="L640" s="3">
        <v>2000</v>
      </c>
      <c r="M640" s="3">
        <v>2015</v>
      </c>
      <c r="N640" s="21" t="s">
        <v>2272</v>
      </c>
      <c r="O640" s="3" t="s">
        <v>66</v>
      </c>
      <c r="P640" s="5" t="s">
        <v>5181</v>
      </c>
      <c r="Q640" s="3" t="s">
        <v>3714</v>
      </c>
    </row>
    <row r="641" spans="1:17" ht="40" customHeight="1">
      <c r="A641" s="101">
        <v>143</v>
      </c>
      <c r="B641" s="37" t="s">
        <v>5029</v>
      </c>
      <c r="C641" s="11" t="s">
        <v>3732</v>
      </c>
      <c r="D641" s="11" t="s">
        <v>2393</v>
      </c>
      <c r="E641" s="3" t="s">
        <v>2394</v>
      </c>
      <c r="F641" s="3" t="s">
        <v>3733</v>
      </c>
      <c r="G641" s="3" t="s">
        <v>3734</v>
      </c>
      <c r="H641" s="3" t="s">
        <v>1946</v>
      </c>
      <c r="I641" s="21">
        <f>6+49/60</f>
        <v>6.8166666666666664</v>
      </c>
      <c r="J641" s="21">
        <f>39+15/60</f>
        <v>39.25</v>
      </c>
      <c r="K641" s="71">
        <f>50*25</f>
        <v>1250</v>
      </c>
      <c r="L641" s="90">
        <v>2005</v>
      </c>
      <c r="M641" s="3">
        <v>2008</v>
      </c>
      <c r="N641" s="21" t="s">
        <v>2272</v>
      </c>
      <c r="O641" s="3" t="s">
        <v>66</v>
      </c>
      <c r="P641" s="5" t="s">
        <v>5181</v>
      </c>
      <c r="Q641" s="3"/>
    </row>
    <row r="642" spans="1:17" ht="34.5" customHeight="1">
      <c r="A642" s="101">
        <v>144</v>
      </c>
      <c r="B642" s="37" t="s">
        <v>3746</v>
      </c>
      <c r="C642" s="3" t="s">
        <v>3747</v>
      </c>
      <c r="D642" s="11" t="s">
        <v>2393</v>
      </c>
      <c r="E642" s="3" t="s">
        <v>2394</v>
      </c>
      <c r="F642" s="3" t="s">
        <v>3748</v>
      </c>
      <c r="G642" s="3" t="s">
        <v>3749</v>
      </c>
      <c r="H642" s="3" t="s">
        <v>601</v>
      </c>
      <c r="I642" s="21">
        <v>-24.970725399999999</v>
      </c>
      <c r="J642" s="21">
        <v>44.309004700000003</v>
      </c>
      <c r="K642" s="21" t="s">
        <v>2272</v>
      </c>
      <c r="L642" s="3">
        <v>1997</v>
      </c>
      <c r="M642" s="3">
        <v>1997</v>
      </c>
      <c r="N642" s="3">
        <v>12</v>
      </c>
      <c r="O642" s="3" t="s">
        <v>66</v>
      </c>
      <c r="P642" s="5" t="s">
        <v>5181</v>
      </c>
      <c r="Q642" s="3"/>
    </row>
    <row r="643" spans="1:17" ht="34.5" customHeight="1">
      <c r="A643" s="101">
        <v>144</v>
      </c>
      <c r="B643" s="37" t="s">
        <v>3746</v>
      </c>
      <c r="C643" s="3" t="s">
        <v>3753</v>
      </c>
      <c r="D643" s="11" t="s">
        <v>2393</v>
      </c>
      <c r="E643" s="3" t="s">
        <v>2394</v>
      </c>
      <c r="F643" s="3" t="s">
        <v>3754</v>
      </c>
      <c r="G643" s="3" t="s">
        <v>3749</v>
      </c>
      <c r="H643" s="3" t="s">
        <v>601</v>
      </c>
      <c r="I643" s="21">
        <v>-24.358923000000001</v>
      </c>
      <c r="J643" s="21">
        <v>44.552897600000001</v>
      </c>
      <c r="K643" s="21" t="s">
        <v>2272</v>
      </c>
      <c r="L643" s="3">
        <v>1997</v>
      </c>
      <c r="M643" s="3">
        <v>1997</v>
      </c>
      <c r="N643" s="3">
        <v>12</v>
      </c>
      <c r="O643" s="3" t="s">
        <v>66</v>
      </c>
      <c r="P643" s="5" t="s">
        <v>5181</v>
      </c>
      <c r="Q643" s="3"/>
    </row>
    <row r="644" spans="1:17" ht="36.5" customHeight="1">
      <c r="A644" s="101">
        <v>145</v>
      </c>
      <c r="B644" s="37" t="s">
        <v>3763</v>
      </c>
      <c r="C644" s="3" t="s">
        <v>3764</v>
      </c>
      <c r="D644" s="11" t="s">
        <v>2393</v>
      </c>
      <c r="E644" s="3" t="s">
        <v>2394</v>
      </c>
      <c r="F644" s="3" t="s">
        <v>3767</v>
      </c>
      <c r="G644" s="3" t="s">
        <v>3766</v>
      </c>
      <c r="H644" s="3" t="s">
        <v>3765</v>
      </c>
      <c r="I644" s="21">
        <v>-31.304893799999999</v>
      </c>
      <c r="J644" s="21">
        <v>30.2599901</v>
      </c>
      <c r="K644" s="21" t="s">
        <v>2272</v>
      </c>
      <c r="L644" s="158">
        <v>1995</v>
      </c>
      <c r="M644" s="158">
        <v>1995</v>
      </c>
      <c r="N644" s="21" t="s">
        <v>2272</v>
      </c>
      <c r="O644" s="3" t="s">
        <v>66</v>
      </c>
      <c r="P644" s="5" t="s">
        <v>5181</v>
      </c>
      <c r="Q644" s="3"/>
    </row>
    <row r="645" spans="1:17" ht="41" customHeight="1">
      <c r="A645" s="101">
        <v>146</v>
      </c>
      <c r="B645" s="37" t="s">
        <v>3777</v>
      </c>
      <c r="C645" s="11" t="s">
        <v>3778</v>
      </c>
      <c r="D645" s="11" t="s">
        <v>2393</v>
      </c>
      <c r="E645" s="3" t="s">
        <v>2394</v>
      </c>
      <c r="F645" s="11" t="s">
        <v>3780</v>
      </c>
      <c r="G645" s="11" t="s">
        <v>3779</v>
      </c>
      <c r="H645" s="3" t="s">
        <v>3765</v>
      </c>
      <c r="I645" s="21">
        <f>-31-(17/60)</f>
        <v>-31.283333333333335</v>
      </c>
      <c r="J645" s="21">
        <f>29 + 59.5/60</f>
        <v>29.991666666666667</v>
      </c>
      <c r="K645" s="21" t="s">
        <v>2272</v>
      </c>
      <c r="L645" s="3">
        <v>1996</v>
      </c>
      <c r="M645" s="3">
        <v>2003</v>
      </c>
      <c r="N645" s="21" t="s">
        <v>2272</v>
      </c>
      <c r="O645" s="3" t="s">
        <v>66</v>
      </c>
      <c r="P645" s="5" t="s">
        <v>5181</v>
      </c>
      <c r="Q645" s="3"/>
    </row>
    <row r="646" spans="1:17" ht="38.5" customHeight="1">
      <c r="A646" s="101">
        <v>147</v>
      </c>
      <c r="B646" s="37" t="s">
        <v>3791</v>
      </c>
      <c r="C646" s="11" t="s">
        <v>3792</v>
      </c>
      <c r="D646" s="11" t="s">
        <v>2393</v>
      </c>
      <c r="E646" s="3" t="s">
        <v>2395</v>
      </c>
      <c r="F646" s="3" t="s">
        <v>2272</v>
      </c>
      <c r="G646" s="3" t="s">
        <v>3795</v>
      </c>
      <c r="H646" s="3" t="s">
        <v>3793</v>
      </c>
      <c r="I646" s="21">
        <v>12.204695299999999</v>
      </c>
      <c r="J646" s="21">
        <v>-8.2842389000000001</v>
      </c>
      <c r="K646" s="21">
        <v>6720</v>
      </c>
      <c r="L646" s="3">
        <v>1998</v>
      </c>
      <c r="M646" s="3">
        <v>1999</v>
      </c>
      <c r="N646" s="21" t="s">
        <v>2272</v>
      </c>
      <c r="O646" s="3" t="s">
        <v>66</v>
      </c>
      <c r="P646" s="5" t="s">
        <v>5181</v>
      </c>
      <c r="Q646" s="3"/>
    </row>
    <row r="647" spans="1:17" ht="42" customHeight="1">
      <c r="A647" s="101">
        <v>148</v>
      </c>
      <c r="B647" s="37" t="s">
        <v>3810</v>
      </c>
      <c r="C647" s="11" t="s">
        <v>3811</v>
      </c>
      <c r="D647" s="11" t="s">
        <v>2393</v>
      </c>
      <c r="E647" s="3" t="s">
        <v>2395</v>
      </c>
      <c r="F647" s="3" t="s">
        <v>3812</v>
      </c>
      <c r="G647" s="3" t="s">
        <v>2272</v>
      </c>
      <c r="H647" s="11" t="s">
        <v>3793</v>
      </c>
      <c r="I647" s="21">
        <v>11.2862917</v>
      </c>
      <c r="J647" s="21">
        <v>-8.7761057000000005</v>
      </c>
      <c r="K647" s="21">
        <f>175*175</f>
        <v>30625</v>
      </c>
      <c r="L647" s="11">
        <v>1999</v>
      </c>
      <c r="M647" s="11">
        <v>2011</v>
      </c>
      <c r="N647" s="21" t="s">
        <v>2272</v>
      </c>
      <c r="O647" s="3" t="s">
        <v>66</v>
      </c>
      <c r="P647" s="5" t="s">
        <v>5181</v>
      </c>
      <c r="Q647" s="3"/>
    </row>
    <row r="648" spans="1:17" ht="41.5" customHeight="1">
      <c r="A648" s="101">
        <v>149</v>
      </c>
      <c r="B648" s="37" t="s">
        <v>3826</v>
      </c>
      <c r="C648" s="3" t="s">
        <v>3827</v>
      </c>
      <c r="D648" s="3" t="s">
        <v>2393</v>
      </c>
      <c r="E648" s="3" t="s">
        <v>2394</v>
      </c>
      <c r="F648" s="3" t="s">
        <v>3829</v>
      </c>
      <c r="G648" s="3" t="s">
        <v>3828</v>
      </c>
      <c r="H648" s="3" t="s">
        <v>1946</v>
      </c>
      <c r="I648" s="21">
        <v>11.75</v>
      </c>
      <c r="J648" s="21">
        <v>39.75</v>
      </c>
      <c r="K648" s="21" t="s">
        <v>2272</v>
      </c>
      <c r="L648" s="3">
        <v>2013</v>
      </c>
      <c r="M648" s="3">
        <v>2014</v>
      </c>
      <c r="N648" s="3">
        <v>37</v>
      </c>
      <c r="O648" s="3" t="s">
        <v>66</v>
      </c>
      <c r="P648" s="5" t="s">
        <v>5181</v>
      </c>
      <c r="Q648" s="3"/>
    </row>
    <row r="649" spans="1:17" ht="36" customHeight="1">
      <c r="A649" s="101">
        <v>149</v>
      </c>
      <c r="B649" s="37" t="s">
        <v>3826</v>
      </c>
      <c r="C649" s="3" t="s">
        <v>3830</v>
      </c>
      <c r="D649" s="3" t="s">
        <v>2393</v>
      </c>
      <c r="E649" s="3" t="s">
        <v>2394</v>
      </c>
      <c r="F649" s="3" t="s">
        <v>3831</v>
      </c>
      <c r="G649" s="3" t="s">
        <v>3828</v>
      </c>
      <c r="H649" s="3" t="s">
        <v>1946</v>
      </c>
      <c r="I649" s="21">
        <v>12</v>
      </c>
      <c r="J649" s="21">
        <v>40.4</v>
      </c>
      <c r="K649" s="21" t="s">
        <v>2272</v>
      </c>
      <c r="L649" s="3">
        <v>2013</v>
      </c>
      <c r="M649" s="3">
        <v>2014</v>
      </c>
      <c r="N649" s="3">
        <v>12</v>
      </c>
      <c r="O649" s="3" t="s">
        <v>66</v>
      </c>
      <c r="P649" s="5" t="s">
        <v>5181</v>
      </c>
      <c r="Q649" s="3"/>
    </row>
    <row r="650" spans="1:17" ht="47.5" customHeight="1">
      <c r="A650" s="101">
        <v>150</v>
      </c>
      <c r="B650" s="37" t="s">
        <v>3835</v>
      </c>
      <c r="C650" s="11" t="s">
        <v>3836</v>
      </c>
      <c r="D650" s="11" t="s">
        <v>2393</v>
      </c>
      <c r="E650" s="11" t="s">
        <v>2394</v>
      </c>
      <c r="F650" s="139" t="s">
        <v>3837</v>
      </c>
      <c r="G650" s="3" t="s">
        <v>3838</v>
      </c>
      <c r="H650" s="3" t="s">
        <v>3713</v>
      </c>
      <c r="I650" s="21">
        <v>-20.291195299999998</v>
      </c>
      <c r="J650" s="21">
        <v>19.796045500000002</v>
      </c>
      <c r="K650" s="21">
        <v>4500</v>
      </c>
      <c r="L650" s="3">
        <v>2002</v>
      </c>
      <c r="M650" s="3">
        <v>2002</v>
      </c>
      <c r="N650" s="21" t="s">
        <v>2272</v>
      </c>
      <c r="O650" s="3" t="s">
        <v>66</v>
      </c>
      <c r="P650" s="5" t="s">
        <v>5181</v>
      </c>
      <c r="Q650" s="4" t="s">
        <v>3839</v>
      </c>
    </row>
    <row r="651" spans="1:17" ht="55" customHeight="1">
      <c r="A651" s="101">
        <v>151</v>
      </c>
      <c r="B651" s="37" t="s">
        <v>3844</v>
      </c>
      <c r="C651" s="11" t="s">
        <v>3845</v>
      </c>
      <c r="D651" s="11" t="s">
        <v>2393</v>
      </c>
      <c r="E651" s="11" t="s">
        <v>2394</v>
      </c>
      <c r="F651" s="4" t="s">
        <v>3846</v>
      </c>
      <c r="G651" s="3" t="s">
        <v>3847</v>
      </c>
      <c r="H651" s="3" t="s">
        <v>86</v>
      </c>
      <c r="I651" s="21">
        <f>11 + AVERAGE(32, 43)/60</f>
        <v>11.625</v>
      </c>
      <c r="J651" s="21">
        <f>76 + AVERAGE(22, 45) / 60</f>
        <v>76.558333333333337</v>
      </c>
      <c r="K651" s="21">
        <v>321</v>
      </c>
      <c r="L651" s="8">
        <v>1991</v>
      </c>
      <c r="M651" s="8">
        <v>1991</v>
      </c>
      <c r="N651" s="21" t="s">
        <v>2272</v>
      </c>
      <c r="O651" s="3" t="s">
        <v>66</v>
      </c>
      <c r="P651" s="5" t="s">
        <v>5181</v>
      </c>
      <c r="Q651" s="4" t="s">
        <v>3848</v>
      </c>
    </row>
    <row r="652" spans="1:17" ht="65.5" customHeight="1">
      <c r="A652" s="101">
        <v>152</v>
      </c>
      <c r="B652" s="37" t="s">
        <v>3855</v>
      </c>
      <c r="C652" s="11" t="s">
        <v>3856</v>
      </c>
      <c r="D652" s="11" t="s">
        <v>2393</v>
      </c>
      <c r="E652" s="11" t="s">
        <v>2415</v>
      </c>
      <c r="F652" s="3" t="s">
        <v>3857</v>
      </c>
      <c r="G652" s="3" t="s">
        <v>3623</v>
      </c>
      <c r="H652" s="3" t="s">
        <v>582</v>
      </c>
      <c r="I652" s="21">
        <v>4.9754106</v>
      </c>
      <c r="J652" s="21">
        <v>-61.151833799999999</v>
      </c>
      <c r="K652" s="21">
        <v>3600</v>
      </c>
      <c r="L652" s="3">
        <v>1992</v>
      </c>
      <c r="M652" s="3">
        <v>2004</v>
      </c>
      <c r="N652" s="21" t="s">
        <v>2272</v>
      </c>
      <c r="O652" s="3" t="s">
        <v>66</v>
      </c>
      <c r="P652" s="5" t="s">
        <v>5181</v>
      </c>
      <c r="Q652" s="4" t="s">
        <v>3858</v>
      </c>
    </row>
    <row r="653" spans="1:17" ht="47.5" customHeight="1">
      <c r="A653" s="101">
        <v>153</v>
      </c>
      <c r="B653" s="37" t="s">
        <v>3886</v>
      </c>
      <c r="C653" s="11" t="s">
        <v>3887</v>
      </c>
      <c r="D653" s="11" t="s">
        <v>2393</v>
      </c>
      <c r="E653" s="11" t="s">
        <v>2394</v>
      </c>
      <c r="F653" s="3" t="s">
        <v>2272</v>
      </c>
      <c r="G653" s="3" t="s">
        <v>3889</v>
      </c>
      <c r="H653" s="3" t="s">
        <v>3793</v>
      </c>
      <c r="I653" s="21">
        <f>11+16/60</f>
        <v>11.266666666666667</v>
      </c>
      <c r="J653" s="21">
        <f>-7 - 21/60</f>
        <v>-7.35</v>
      </c>
      <c r="K653" s="21" t="s">
        <v>2272</v>
      </c>
      <c r="L653" s="3">
        <v>2014</v>
      </c>
      <c r="M653" s="3">
        <v>2014</v>
      </c>
      <c r="N653" s="21" t="s">
        <v>2272</v>
      </c>
      <c r="O653" s="3" t="s">
        <v>66</v>
      </c>
      <c r="P653" s="5" t="s">
        <v>5181</v>
      </c>
      <c r="Q653" s="3"/>
    </row>
    <row r="654" spans="1:17" ht="47" customHeight="1">
      <c r="A654" s="101">
        <v>153</v>
      </c>
      <c r="B654" s="37" t="s">
        <v>3886</v>
      </c>
      <c r="C654" s="11" t="s">
        <v>3888</v>
      </c>
      <c r="D654" s="11" t="s">
        <v>2393</v>
      </c>
      <c r="E654" s="11" t="s">
        <v>2394</v>
      </c>
      <c r="F654" s="3" t="s">
        <v>2272</v>
      </c>
      <c r="G654" s="3" t="s">
        <v>3890</v>
      </c>
      <c r="H654" s="3" t="s">
        <v>3793</v>
      </c>
      <c r="I654" s="21">
        <f>12 + 38/60</f>
        <v>12.633333333333333</v>
      </c>
      <c r="J654" s="21">
        <f>-5-1/60</f>
        <v>-5.0166666666666666</v>
      </c>
      <c r="K654" s="21" t="s">
        <v>2272</v>
      </c>
      <c r="L654" s="3">
        <v>2014</v>
      </c>
      <c r="M654" s="3">
        <v>2014</v>
      </c>
      <c r="N654" s="21" t="s">
        <v>2272</v>
      </c>
      <c r="O654" s="3" t="s">
        <v>66</v>
      </c>
      <c r="P654" s="5" t="s">
        <v>5181</v>
      </c>
      <c r="Q654" s="3"/>
    </row>
    <row r="655" spans="1:17" ht="41.5" customHeight="1">
      <c r="A655" s="101">
        <v>154</v>
      </c>
      <c r="B655" s="37" t="s">
        <v>3895</v>
      </c>
      <c r="C655" s="3" t="s">
        <v>3896</v>
      </c>
      <c r="D655" s="11" t="s">
        <v>2393</v>
      </c>
      <c r="E655" s="11" t="s">
        <v>2394</v>
      </c>
      <c r="F655" s="3" t="s">
        <v>2272</v>
      </c>
      <c r="G655" s="3" t="s">
        <v>3897</v>
      </c>
      <c r="H655" s="3" t="s">
        <v>1139</v>
      </c>
      <c r="I655" s="21">
        <v>10.793835700000001</v>
      </c>
      <c r="J655" s="21">
        <v>-0.20930380000000001</v>
      </c>
      <c r="K655" s="21" t="s">
        <v>2272</v>
      </c>
      <c r="L655" s="3">
        <v>2012</v>
      </c>
      <c r="M655" s="3">
        <v>2014</v>
      </c>
      <c r="N655" s="21" t="s">
        <v>2272</v>
      </c>
      <c r="O655" s="3" t="s">
        <v>66</v>
      </c>
      <c r="P655" s="5" t="s">
        <v>5181</v>
      </c>
      <c r="Q655" s="3"/>
    </row>
    <row r="656" spans="1:17" ht="41.5" customHeight="1">
      <c r="A656" s="101">
        <v>154</v>
      </c>
      <c r="B656" s="37" t="s">
        <v>3895</v>
      </c>
      <c r="C656" s="3" t="s">
        <v>3902</v>
      </c>
      <c r="D656" s="11" t="s">
        <v>2393</v>
      </c>
      <c r="E656" s="11" t="s">
        <v>2394</v>
      </c>
      <c r="F656" s="3" t="s">
        <v>2272</v>
      </c>
      <c r="G656" s="11" t="s">
        <v>3898</v>
      </c>
      <c r="H656" s="3" t="s">
        <v>1139</v>
      </c>
      <c r="I656" s="21">
        <v>10.940053900000001</v>
      </c>
      <c r="J656" s="21">
        <v>-0.48181069999999998</v>
      </c>
      <c r="K656" s="21" t="s">
        <v>2272</v>
      </c>
      <c r="L656" s="3">
        <v>2012</v>
      </c>
      <c r="M656" s="3">
        <v>2014</v>
      </c>
      <c r="N656" s="21" t="s">
        <v>2272</v>
      </c>
      <c r="O656" s="3" t="s">
        <v>66</v>
      </c>
      <c r="P656" s="5" t="s">
        <v>5181</v>
      </c>
      <c r="Q656" s="3"/>
    </row>
    <row r="657" spans="1:17" ht="41.5" customHeight="1">
      <c r="A657" s="101">
        <v>154</v>
      </c>
      <c r="B657" s="37" t="s">
        <v>3895</v>
      </c>
      <c r="C657" s="3" t="s">
        <v>3904</v>
      </c>
      <c r="D657" s="11" t="s">
        <v>2393</v>
      </c>
      <c r="E657" s="11" t="s">
        <v>2394</v>
      </c>
      <c r="F657" s="3" t="s">
        <v>2272</v>
      </c>
      <c r="G657" s="11" t="s">
        <v>3899</v>
      </c>
      <c r="H657" s="3" t="s">
        <v>1139</v>
      </c>
      <c r="I657" s="21">
        <v>10.4290115</v>
      </c>
      <c r="J657" s="21">
        <v>-0.39070129999999997</v>
      </c>
      <c r="K657" s="21" t="s">
        <v>2272</v>
      </c>
      <c r="L657" s="3">
        <v>2012</v>
      </c>
      <c r="M657" s="3">
        <v>2014</v>
      </c>
      <c r="N657" s="21" t="s">
        <v>2272</v>
      </c>
      <c r="O657" s="3" t="s">
        <v>66</v>
      </c>
      <c r="P657" s="5" t="s">
        <v>5181</v>
      </c>
      <c r="Q657" s="3"/>
    </row>
    <row r="658" spans="1:17" ht="41.5" customHeight="1">
      <c r="A658" s="101">
        <v>154</v>
      </c>
      <c r="B658" s="37" t="s">
        <v>3895</v>
      </c>
      <c r="C658" s="3" t="s">
        <v>3903</v>
      </c>
      <c r="D658" s="11" t="s">
        <v>2393</v>
      </c>
      <c r="E658" s="11" t="s">
        <v>2394</v>
      </c>
      <c r="F658" s="3" t="s">
        <v>2272</v>
      </c>
      <c r="G658" s="11" t="s">
        <v>3900</v>
      </c>
      <c r="H658" s="3" t="s">
        <v>1139</v>
      </c>
      <c r="I658" s="21">
        <v>9.9246359000000002</v>
      </c>
      <c r="J658" s="21">
        <v>-0.43144850000000001</v>
      </c>
      <c r="K658" s="21" t="s">
        <v>2272</v>
      </c>
      <c r="L658" s="3">
        <v>2012</v>
      </c>
      <c r="M658" s="3">
        <v>2014</v>
      </c>
      <c r="N658" s="21" t="s">
        <v>2272</v>
      </c>
      <c r="O658" s="3" t="s">
        <v>66</v>
      </c>
      <c r="P658" s="5" t="s">
        <v>5181</v>
      </c>
      <c r="Q658" s="3"/>
    </row>
    <row r="659" spans="1:17" ht="41.5" customHeight="1">
      <c r="A659" s="101">
        <v>154</v>
      </c>
      <c r="B659" s="37" t="s">
        <v>3895</v>
      </c>
      <c r="C659" s="3" t="s">
        <v>3905</v>
      </c>
      <c r="D659" s="11" t="s">
        <v>2393</v>
      </c>
      <c r="E659" s="11" t="s">
        <v>2394</v>
      </c>
      <c r="F659" s="3" t="s">
        <v>2272</v>
      </c>
      <c r="G659" s="11" t="s">
        <v>3901</v>
      </c>
      <c r="H659" s="3" t="s">
        <v>1139</v>
      </c>
      <c r="I659" s="21">
        <v>8.9420306000000007</v>
      </c>
      <c r="J659" s="21">
        <v>1.7106300000000001E-2</v>
      </c>
      <c r="K659" s="21" t="s">
        <v>2272</v>
      </c>
      <c r="L659" s="3">
        <v>2012</v>
      </c>
      <c r="M659" s="3">
        <v>2014</v>
      </c>
      <c r="N659" s="21" t="s">
        <v>2272</v>
      </c>
      <c r="O659" s="3" t="s">
        <v>66</v>
      </c>
      <c r="P659" s="5" t="s">
        <v>5181</v>
      </c>
      <c r="Q659" s="3"/>
    </row>
    <row r="660" spans="1:17" ht="41.5" customHeight="1">
      <c r="A660" s="101">
        <v>154</v>
      </c>
      <c r="B660" s="37" t="s">
        <v>3895</v>
      </c>
      <c r="C660" s="3" t="s">
        <v>3906</v>
      </c>
      <c r="D660" s="11" t="s">
        <v>2393</v>
      </c>
      <c r="E660" s="11" t="s">
        <v>2394</v>
      </c>
      <c r="F660" s="3" t="s">
        <v>2272</v>
      </c>
      <c r="G660" s="11" t="s">
        <v>3907</v>
      </c>
      <c r="H660" s="3" t="s">
        <v>1139</v>
      </c>
      <c r="I660" s="21">
        <v>8.9269064</v>
      </c>
      <c r="J660" s="21">
        <v>-1.3932036999999999</v>
      </c>
      <c r="K660" s="21" t="s">
        <v>2272</v>
      </c>
      <c r="L660" s="3">
        <v>2012</v>
      </c>
      <c r="M660" s="3">
        <v>2014</v>
      </c>
      <c r="N660" s="21" t="s">
        <v>2272</v>
      </c>
      <c r="O660" s="3" t="s">
        <v>66</v>
      </c>
      <c r="P660" s="5" t="s">
        <v>5181</v>
      </c>
      <c r="Q660" s="3"/>
    </row>
    <row r="661" spans="1:17" ht="31" customHeight="1">
      <c r="A661" s="101">
        <v>155</v>
      </c>
      <c r="B661" s="37" t="s">
        <v>3941</v>
      </c>
      <c r="C661" s="11" t="s">
        <v>3916</v>
      </c>
      <c r="D661" s="11" t="s">
        <v>2393</v>
      </c>
      <c r="E661" s="11" t="s">
        <v>2394</v>
      </c>
      <c r="F661" s="33" t="s">
        <v>2272</v>
      </c>
      <c r="G661" s="11" t="s">
        <v>3929</v>
      </c>
      <c r="H661" s="11" t="s">
        <v>3928</v>
      </c>
      <c r="I661" s="21">
        <v>13.349641399999999</v>
      </c>
      <c r="J661" s="21">
        <v>-16.019096399999999</v>
      </c>
      <c r="K661" s="21" t="s">
        <v>2272</v>
      </c>
      <c r="L661" s="22">
        <v>2008</v>
      </c>
      <c r="M661" s="22">
        <v>2009</v>
      </c>
      <c r="N661" s="21" t="s">
        <v>2272</v>
      </c>
      <c r="O661" s="3" t="s">
        <v>66</v>
      </c>
      <c r="P661" s="5" t="s">
        <v>5181</v>
      </c>
      <c r="Q661" s="24" t="s">
        <v>4377</v>
      </c>
    </row>
    <row r="662" spans="1:17" ht="31" customHeight="1">
      <c r="A662" s="101">
        <v>155</v>
      </c>
      <c r="B662" s="37" t="s">
        <v>3941</v>
      </c>
      <c r="C662" s="11" t="s">
        <v>3917</v>
      </c>
      <c r="D662" s="11" t="s">
        <v>2393</v>
      </c>
      <c r="E662" s="11" t="s">
        <v>2394</v>
      </c>
      <c r="F662" s="3" t="s">
        <v>2272</v>
      </c>
      <c r="G662" s="11" t="s">
        <v>3930</v>
      </c>
      <c r="H662" s="11" t="s">
        <v>3928</v>
      </c>
      <c r="I662" s="21">
        <v>13.7160305</v>
      </c>
      <c r="J662" s="21">
        <v>-15.100198600000001</v>
      </c>
      <c r="K662" s="21" t="s">
        <v>2272</v>
      </c>
      <c r="L662" s="22">
        <v>2008</v>
      </c>
      <c r="M662" s="22">
        <v>2009</v>
      </c>
      <c r="N662" s="21" t="s">
        <v>2272</v>
      </c>
      <c r="O662" s="3" t="s">
        <v>66</v>
      </c>
      <c r="P662" s="5" t="s">
        <v>5181</v>
      </c>
      <c r="Q662" s="24" t="s">
        <v>4377</v>
      </c>
    </row>
    <row r="663" spans="1:17" ht="31" customHeight="1">
      <c r="A663" s="101">
        <v>155</v>
      </c>
      <c r="B663" s="37" t="s">
        <v>3941</v>
      </c>
      <c r="C663" s="11" t="s">
        <v>3918</v>
      </c>
      <c r="D663" s="11" t="s">
        <v>2393</v>
      </c>
      <c r="E663" s="11" t="s">
        <v>2394</v>
      </c>
      <c r="F663" s="33" t="s">
        <v>2272</v>
      </c>
      <c r="G663" s="11" t="s">
        <v>4407</v>
      </c>
      <c r="H663" s="11" t="s">
        <v>3928</v>
      </c>
      <c r="I663" s="21">
        <v>13.5721112</v>
      </c>
      <c r="J663" s="21">
        <v>-15.2698559</v>
      </c>
      <c r="K663" s="21" t="s">
        <v>2272</v>
      </c>
      <c r="L663" s="22">
        <v>2008</v>
      </c>
      <c r="M663" s="22">
        <v>2009</v>
      </c>
      <c r="N663" s="21" t="s">
        <v>2272</v>
      </c>
      <c r="O663" s="3" t="s">
        <v>66</v>
      </c>
      <c r="P663" s="5" t="s">
        <v>5181</v>
      </c>
      <c r="Q663" s="24" t="s">
        <v>4377</v>
      </c>
    </row>
    <row r="664" spans="1:17" ht="31" customHeight="1">
      <c r="A664" s="101">
        <v>155</v>
      </c>
      <c r="B664" s="37" t="s">
        <v>3941</v>
      </c>
      <c r="C664" s="11" t="s">
        <v>3919</v>
      </c>
      <c r="D664" s="11" t="s">
        <v>2393</v>
      </c>
      <c r="E664" s="11" t="s">
        <v>2394</v>
      </c>
      <c r="F664" s="3" t="s">
        <v>2272</v>
      </c>
      <c r="G664" s="11" t="s">
        <v>3931</v>
      </c>
      <c r="H664" s="11" t="s">
        <v>2980</v>
      </c>
      <c r="I664" s="21">
        <v>12.7896705</v>
      </c>
      <c r="J664" s="21">
        <v>-16.310594500000001</v>
      </c>
      <c r="K664" s="21" t="s">
        <v>2272</v>
      </c>
      <c r="L664" s="22">
        <v>2008</v>
      </c>
      <c r="M664" s="22">
        <v>2009</v>
      </c>
      <c r="N664" s="21" t="s">
        <v>2272</v>
      </c>
      <c r="O664" s="3" t="s">
        <v>66</v>
      </c>
      <c r="P664" s="5" t="s">
        <v>5181</v>
      </c>
      <c r="Q664" s="24" t="s">
        <v>4377</v>
      </c>
    </row>
    <row r="665" spans="1:17" ht="31" customHeight="1">
      <c r="A665" s="101">
        <v>155</v>
      </c>
      <c r="B665" s="37" t="s">
        <v>3941</v>
      </c>
      <c r="C665" s="11" t="s">
        <v>3920</v>
      </c>
      <c r="D665" s="11" t="s">
        <v>2393</v>
      </c>
      <c r="E665" s="11" t="s">
        <v>2394</v>
      </c>
      <c r="F665" s="33" t="s">
        <v>2272</v>
      </c>
      <c r="G665" s="3" t="s">
        <v>3932</v>
      </c>
      <c r="H665" s="11" t="s">
        <v>2980</v>
      </c>
      <c r="I665" s="21">
        <v>12.7486046</v>
      </c>
      <c r="J665" s="21">
        <v>-14.159317</v>
      </c>
      <c r="K665" s="21" t="s">
        <v>2272</v>
      </c>
      <c r="L665" s="22">
        <v>2008</v>
      </c>
      <c r="M665" s="22">
        <v>2009</v>
      </c>
      <c r="N665" s="21" t="s">
        <v>2272</v>
      </c>
      <c r="O665" s="3" t="s">
        <v>66</v>
      </c>
      <c r="P665" s="5" t="s">
        <v>5181</v>
      </c>
      <c r="Q665" s="24" t="s">
        <v>4377</v>
      </c>
    </row>
    <row r="666" spans="1:17" ht="31" customHeight="1">
      <c r="A666" s="101">
        <v>155</v>
      </c>
      <c r="B666" s="37" t="s">
        <v>3941</v>
      </c>
      <c r="C666" s="11" t="s">
        <v>3921</v>
      </c>
      <c r="D666" s="11" t="s">
        <v>2393</v>
      </c>
      <c r="E666" s="11" t="s">
        <v>2394</v>
      </c>
      <c r="F666" s="3" t="s">
        <v>2272</v>
      </c>
      <c r="G666" s="3" t="s">
        <v>3933</v>
      </c>
      <c r="H666" s="11" t="s">
        <v>2980</v>
      </c>
      <c r="I666" s="21">
        <v>12.5380691</v>
      </c>
      <c r="J666" s="21">
        <v>-12.310642</v>
      </c>
      <c r="K666" s="21" t="s">
        <v>2272</v>
      </c>
      <c r="L666" s="22">
        <v>2008</v>
      </c>
      <c r="M666" s="22">
        <v>2009</v>
      </c>
      <c r="N666" s="21" t="s">
        <v>2272</v>
      </c>
      <c r="O666" s="3" t="s">
        <v>66</v>
      </c>
      <c r="P666" s="5" t="s">
        <v>5181</v>
      </c>
      <c r="Q666" s="24" t="s">
        <v>4377</v>
      </c>
    </row>
    <row r="667" spans="1:17" ht="31" customHeight="1">
      <c r="A667" s="101">
        <v>155</v>
      </c>
      <c r="B667" s="37" t="s">
        <v>3941</v>
      </c>
      <c r="C667" s="11" t="s">
        <v>3922</v>
      </c>
      <c r="D667" s="11" t="s">
        <v>2393</v>
      </c>
      <c r="E667" s="11" t="s">
        <v>2394</v>
      </c>
      <c r="F667" s="33" t="s">
        <v>2272</v>
      </c>
      <c r="G667" s="3" t="s">
        <v>3934</v>
      </c>
      <c r="H667" s="3" t="s">
        <v>3793</v>
      </c>
      <c r="I667" s="21">
        <v>12.586008100000001</v>
      </c>
      <c r="J667" s="21">
        <v>-9.8033237</v>
      </c>
      <c r="K667" s="21" t="s">
        <v>2272</v>
      </c>
      <c r="L667" s="22">
        <v>2008</v>
      </c>
      <c r="M667" s="22">
        <v>2009</v>
      </c>
      <c r="N667" s="21" t="s">
        <v>2272</v>
      </c>
      <c r="O667" s="3" t="s">
        <v>66</v>
      </c>
      <c r="P667" s="5" t="s">
        <v>5181</v>
      </c>
      <c r="Q667" s="24" t="s">
        <v>4377</v>
      </c>
    </row>
    <row r="668" spans="1:17" ht="31" customHeight="1">
      <c r="A668" s="101">
        <v>155</v>
      </c>
      <c r="B668" s="37" t="s">
        <v>3941</v>
      </c>
      <c r="C668" s="11" t="s">
        <v>3923</v>
      </c>
      <c r="D668" s="11" t="s">
        <v>2393</v>
      </c>
      <c r="E668" s="11" t="s">
        <v>2394</v>
      </c>
      <c r="F668" s="3" t="s">
        <v>2272</v>
      </c>
      <c r="G668" s="3" t="s">
        <v>3935</v>
      </c>
      <c r="H668" s="3" t="s">
        <v>3793</v>
      </c>
      <c r="I668" s="21">
        <v>10.527438</v>
      </c>
      <c r="J668" s="21">
        <v>-6.9035045999999998</v>
      </c>
      <c r="K668" s="21" t="s">
        <v>2272</v>
      </c>
      <c r="L668" s="22">
        <v>2008</v>
      </c>
      <c r="M668" s="22">
        <v>2009</v>
      </c>
      <c r="N668" s="21" t="s">
        <v>2272</v>
      </c>
      <c r="O668" s="3" t="s">
        <v>66</v>
      </c>
      <c r="P668" s="5" t="s">
        <v>5181</v>
      </c>
      <c r="Q668" s="24" t="s">
        <v>4377</v>
      </c>
    </row>
    <row r="669" spans="1:17" ht="31" customHeight="1">
      <c r="A669" s="101">
        <v>155</v>
      </c>
      <c r="B669" s="37" t="s">
        <v>3941</v>
      </c>
      <c r="C669" s="11" t="s">
        <v>3924</v>
      </c>
      <c r="D669" s="11" t="s">
        <v>2393</v>
      </c>
      <c r="E669" s="11" t="s">
        <v>2394</v>
      </c>
      <c r="F669" s="33" t="s">
        <v>2272</v>
      </c>
      <c r="G669" s="3" t="s">
        <v>3936</v>
      </c>
      <c r="H669" s="3" t="s">
        <v>3793</v>
      </c>
      <c r="I669" s="21">
        <v>10.4564567</v>
      </c>
      <c r="J669" s="21">
        <v>-7.4489020999999997</v>
      </c>
      <c r="K669" s="21" t="s">
        <v>2272</v>
      </c>
      <c r="L669" s="22">
        <v>2008</v>
      </c>
      <c r="M669" s="22">
        <v>2009</v>
      </c>
      <c r="N669" s="21" t="s">
        <v>2272</v>
      </c>
      <c r="O669" s="3" t="s">
        <v>66</v>
      </c>
      <c r="P669" s="5" t="s">
        <v>5181</v>
      </c>
      <c r="Q669" s="24" t="s">
        <v>4377</v>
      </c>
    </row>
    <row r="670" spans="1:17" ht="30" customHeight="1">
      <c r="A670" s="101">
        <v>155</v>
      </c>
      <c r="B670" s="37" t="s">
        <v>3941</v>
      </c>
      <c r="C670" s="11" t="s">
        <v>3925</v>
      </c>
      <c r="D670" s="11" t="s">
        <v>2393</v>
      </c>
      <c r="E670" s="11" t="s">
        <v>2394</v>
      </c>
      <c r="F670" s="3" t="s">
        <v>2272</v>
      </c>
      <c r="G670" s="3" t="s">
        <v>3937</v>
      </c>
      <c r="H670" s="3" t="s">
        <v>3939</v>
      </c>
      <c r="I670" s="21">
        <v>11.7544994</v>
      </c>
      <c r="J670" s="21">
        <v>-13.204300399999999</v>
      </c>
      <c r="K670" s="21" t="s">
        <v>2272</v>
      </c>
      <c r="L670" s="22">
        <v>2008</v>
      </c>
      <c r="M670" s="22">
        <v>2009</v>
      </c>
      <c r="N670" s="21" t="s">
        <v>2272</v>
      </c>
      <c r="O670" s="3" t="s">
        <v>66</v>
      </c>
      <c r="P670" s="5" t="s">
        <v>5181</v>
      </c>
      <c r="Q670" s="24" t="s">
        <v>4377</v>
      </c>
    </row>
    <row r="671" spans="1:17" ht="30" customHeight="1">
      <c r="A671" s="101">
        <v>155</v>
      </c>
      <c r="B671" s="37" t="s">
        <v>3941</v>
      </c>
      <c r="C671" s="11" t="s">
        <v>3926</v>
      </c>
      <c r="D671" s="11" t="s">
        <v>2393</v>
      </c>
      <c r="E671" s="11" t="s">
        <v>2394</v>
      </c>
      <c r="F671" s="33" t="s">
        <v>2272</v>
      </c>
      <c r="G671" s="3" t="s">
        <v>3938</v>
      </c>
      <c r="H671" s="3" t="s">
        <v>3939</v>
      </c>
      <c r="I671" s="21">
        <v>11.291210700000001</v>
      </c>
      <c r="J671" s="21">
        <v>-10.711305100000001</v>
      </c>
      <c r="K671" s="21" t="s">
        <v>2272</v>
      </c>
      <c r="L671" s="22">
        <v>2008</v>
      </c>
      <c r="M671" s="22">
        <v>2009</v>
      </c>
      <c r="N671" s="21" t="s">
        <v>2272</v>
      </c>
      <c r="O671" s="3" t="s">
        <v>66</v>
      </c>
      <c r="P671" s="5" t="s">
        <v>5181</v>
      </c>
      <c r="Q671" s="24" t="s">
        <v>4377</v>
      </c>
    </row>
    <row r="672" spans="1:17" ht="34.5" customHeight="1">
      <c r="A672" s="101">
        <v>155</v>
      </c>
      <c r="B672" s="37" t="s">
        <v>3941</v>
      </c>
      <c r="C672" s="11" t="s">
        <v>3927</v>
      </c>
      <c r="D672" s="11" t="s">
        <v>2393</v>
      </c>
      <c r="E672" s="11" t="s">
        <v>2394</v>
      </c>
      <c r="F672" s="3" t="s">
        <v>2272</v>
      </c>
      <c r="G672" s="3" t="s">
        <v>3940</v>
      </c>
      <c r="H672" s="3" t="s">
        <v>3939</v>
      </c>
      <c r="I672" s="21">
        <v>8.8076275000000006</v>
      </c>
      <c r="J672" s="21">
        <v>-8.3084334999999996</v>
      </c>
      <c r="K672" s="21" t="s">
        <v>2272</v>
      </c>
      <c r="L672" s="22">
        <v>2008</v>
      </c>
      <c r="M672" s="22">
        <v>2009</v>
      </c>
      <c r="N672" s="21" t="s">
        <v>2272</v>
      </c>
      <c r="O672" s="3" t="s">
        <v>66</v>
      </c>
      <c r="P672" s="5" t="s">
        <v>5181</v>
      </c>
      <c r="Q672" s="24" t="s">
        <v>4377</v>
      </c>
    </row>
    <row r="673" spans="1:17" ht="35" customHeight="1">
      <c r="A673" s="101">
        <v>156</v>
      </c>
      <c r="B673" s="37" t="s">
        <v>3960</v>
      </c>
      <c r="C673" s="11" t="s">
        <v>3961</v>
      </c>
      <c r="D673" s="11" t="s">
        <v>2393</v>
      </c>
      <c r="E673" s="11" t="s">
        <v>2417</v>
      </c>
      <c r="F673" s="3" t="s">
        <v>2272</v>
      </c>
      <c r="G673" s="3" t="s">
        <v>3965</v>
      </c>
      <c r="H673" s="3" t="s">
        <v>383</v>
      </c>
      <c r="I673" s="21">
        <v>-3.7622458999999999</v>
      </c>
      <c r="J673" s="21">
        <v>32.958203500000003</v>
      </c>
      <c r="K673" s="21" t="s">
        <v>2272</v>
      </c>
      <c r="L673" s="3">
        <v>1962</v>
      </c>
      <c r="M673" s="3">
        <v>2000</v>
      </c>
      <c r="N673" s="21">
        <v>42</v>
      </c>
      <c r="O673" s="3" t="s">
        <v>66</v>
      </c>
      <c r="P673" s="5" t="s">
        <v>5181</v>
      </c>
      <c r="Q673" s="3" t="s">
        <v>3966</v>
      </c>
    </row>
    <row r="674" spans="1:17" ht="39.5" customHeight="1">
      <c r="A674" s="101">
        <v>156</v>
      </c>
      <c r="B674" s="37" t="s">
        <v>3960</v>
      </c>
      <c r="C674" s="11" t="s">
        <v>3962</v>
      </c>
      <c r="D674" s="11" t="s">
        <v>2393</v>
      </c>
      <c r="E674" s="11" t="s">
        <v>2417</v>
      </c>
      <c r="F674" s="3" t="s">
        <v>3963</v>
      </c>
      <c r="G674" s="3" t="s">
        <v>3964</v>
      </c>
      <c r="H674" s="3" t="s">
        <v>1947</v>
      </c>
      <c r="I674" s="21">
        <v>3.2100271</v>
      </c>
      <c r="J674" s="21">
        <v>35.347988600000001</v>
      </c>
      <c r="K674" s="21" t="s">
        <v>2272</v>
      </c>
      <c r="L674" s="3">
        <v>1962</v>
      </c>
      <c r="M674" s="3">
        <v>1981</v>
      </c>
      <c r="N674" s="21" t="s">
        <v>2272</v>
      </c>
      <c r="O674" s="3" t="s">
        <v>66</v>
      </c>
      <c r="P674" s="5" t="s">
        <v>5181</v>
      </c>
      <c r="Q674" s="3" t="s">
        <v>3966</v>
      </c>
    </row>
    <row r="675" spans="1:17" ht="35.5" customHeight="1">
      <c r="A675" s="101">
        <v>156</v>
      </c>
      <c r="B675" s="37" t="s">
        <v>3960</v>
      </c>
      <c r="C675" s="11" t="s">
        <v>3967</v>
      </c>
      <c r="D675" s="11" t="s">
        <v>2393</v>
      </c>
      <c r="E675" s="11" t="s">
        <v>2417</v>
      </c>
      <c r="F675" s="3" t="s">
        <v>3963</v>
      </c>
      <c r="G675" s="3" t="s">
        <v>3964</v>
      </c>
      <c r="H675" s="3" t="s">
        <v>1947</v>
      </c>
      <c r="I675" s="21">
        <v>3.2100271</v>
      </c>
      <c r="J675" s="21">
        <v>35.347988600000001</v>
      </c>
      <c r="K675" s="21" t="s">
        <v>2272</v>
      </c>
      <c r="L675" s="3">
        <v>1982</v>
      </c>
      <c r="M675" s="3">
        <v>2000</v>
      </c>
      <c r="N675" s="21" t="s">
        <v>2272</v>
      </c>
      <c r="O675" s="3" t="s">
        <v>66</v>
      </c>
      <c r="P675" s="5" t="s">
        <v>5181</v>
      </c>
      <c r="Q675" s="3" t="s">
        <v>3966</v>
      </c>
    </row>
    <row r="676" spans="1:17" ht="47" customHeight="1">
      <c r="A676" s="101">
        <v>157</v>
      </c>
      <c r="B676" s="37" t="s">
        <v>3983</v>
      </c>
      <c r="C676" s="11" t="s">
        <v>3984</v>
      </c>
      <c r="D676" s="11" t="s">
        <v>2393</v>
      </c>
      <c r="E676" s="11" t="s">
        <v>2394</v>
      </c>
      <c r="F676" s="3" t="s">
        <v>3987</v>
      </c>
      <c r="G676" s="3" t="s">
        <v>3986</v>
      </c>
      <c r="H676" s="11" t="s">
        <v>1946</v>
      </c>
      <c r="I676" s="21">
        <v>5.5543749</v>
      </c>
      <c r="J676" s="21">
        <v>39.390632600000004</v>
      </c>
      <c r="K676" s="21" t="s">
        <v>2272</v>
      </c>
      <c r="L676" s="162" t="s">
        <v>2272</v>
      </c>
      <c r="M676" s="162" t="s">
        <v>2272</v>
      </c>
      <c r="N676" s="21" t="s">
        <v>2272</v>
      </c>
      <c r="O676" s="3" t="s">
        <v>66</v>
      </c>
      <c r="P676" s="5" t="s">
        <v>5181</v>
      </c>
      <c r="Q676" s="160" t="s">
        <v>3991</v>
      </c>
    </row>
    <row r="677" spans="1:17" ht="46.5" customHeight="1">
      <c r="A677" s="101">
        <v>157</v>
      </c>
      <c r="B677" s="37" t="s">
        <v>3983</v>
      </c>
      <c r="C677" s="11" t="s">
        <v>3985</v>
      </c>
      <c r="D677" s="11" t="s">
        <v>2393</v>
      </c>
      <c r="E677" s="11" t="s">
        <v>2394</v>
      </c>
      <c r="F677" s="3" t="s">
        <v>3988</v>
      </c>
      <c r="G677" s="3" t="s">
        <v>3986</v>
      </c>
      <c r="H677" s="11" t="s">
        <v>1946</v>
      </c>
      <c r="I677" s="21">
        <v>4.7750095999999997</v>
      </c>
      <c r="J677" s="21">
        <v>39.5168842</v>
      </c>
      <c r="K677" s="21" t="s">
        <v>2272</v>
      </c>
      <c r="L677" s="162" t="s">
        <v>2272</v>
      </c>
      <c r="M677" s="162" t="s">
        <v>2272</v>
      </c>
      <c r="N677" s="21" t="s">
        <v>2272</v>
      </c>
      <c r="O677" s="3" t="s">
        <v>66</v>
      </c>
      <c r="P677" s="5" t="s">
        <v>5181</v>
      </c>
      <c r="Q677" s="160" t="s">
        <v>3991</v>
      </c>
    </row>
    <row r="678" spans="1:17" ht="47" customHeight="1">
      <c r="A678" s="101">
        <v>157</v>
      </c>
      <c r="B678" s="37" t="s">
        <v>3983</v>
      </c>
      <c r="C678" s="11" t="s">
        <v>3990</v>
      </c>
      <c r="D678" s="11" t="s">
        <v>2393</v>
      </c>
      <c r="E678" s="11" t="s">
        <v>2394</v>
      </c>
      <c r="F678" s="3" t="s">
        <v>3989</v>
      </c>
      <c r="G678" s="3" t="s">
        <v>3986</v>
      </c>
      <c r="H678" s="11" t="s">
        <v>1946</v>
      </c>
      <c r="I678" s="21">
        <v>6.6468730000000003</v>
      </c>
      <c r="J678" s="21">
        <v>39.360786500000003</v>
      </c>
      <c r="K678" s="21" t="s">
        <v>2272</v>
      </c>
      <c r="L678" s="162" t="s">
        <v>2272</v>
      </c>
      <c r="M678" s="162" t="s">
        <v>2272</v>
      </c>
      <c r="N678" s="21" t="s">
        <v>2272</v>
      </c>
      <c r="O678" s="3" t="s">
        <v>66</v>
      </c>
      <c r="P678" s="5" t="s">
        <v>5181</v>
      </c>
      <c r="Q678" s="160" t="s">
        <v>3991</v>
      </c>
    </row>
    <row r="679" spans="1:17" ht="47" customHeight="1">
      <c r="A679" s="101">
        <v>158</v>
      </c>
      <c r="B679" s="37" t="s">
        <v>4011</v>
      </c>
      <c r="C679" s="11" t="s">
        <v>4010</v>
      </c>
      <c r="D679" s="11" t="s">
        <v>2393</v>
      </c>
      <c r="E679" s="11" t="s">
        <v>2394</v>
      </c>
      <c r="F679" s="3" t="s">
        <v>2272</v>
      </c>
      <c r="G679" s="3" t="s">
        <v>4012</v>
      </c>
      <c r="H679" s="3" t="s">
        <v>179</v>
      </c>
      <c r="I679" s="21">
        <f>AVERAGE(7.48, 7.23)</f>
        <v>7.3550000000000004</v>
      </c>
      <c r="J679" s="21">
        <f>AVERAGE(11.97, 12.23)</f>
        <v>12.100000000000001</v>
      </c>
      <c r="K679" s="21">
        <v>600</v>
      </c>
      <c r="L679" s="3">
        <v>2004</v>
      </c>
      <c r="M679" s="3">
        <v>2004</v>
      </c>
      <c r="N679" s="21" t="s">
        <v>2272</v>
      </c>
      <c r="O679" s="3" t="s">
        <v>66</v>
      </c>
      <c r="P679" s="5" t="s">
        <v>5181</v>
      </c>
      <c r="Q679" s="4" t="s">
        <v>4013</v>
      </c>
    </row>
    <row r="680" spans="1:17" ht="32" customHeight="1">
      <c r="A680" s="101">
        <v>159</v>
      </c>
      <c r="B680" s="37" t="s">
        <v>4022</v>
      </c>
      <c r="C680" s="11" t="s">
        <v>4023</v>
      </c>
      <c r="D680" s="11" t="s">
        <v>2393</v>
      </c>
      <c r="E680" s="11" t="s">
        <v>2394</v>
      </c>
      <c r="F680" s="3" t="s">
        <v>4028</v>
      </c>
      <c r="G680" s="3" t="s">
        <v>4032</v>
      </c>
      <c r="H680" s="11" t="s">
        <v>4027</v>
      </c>
      <c r="I680" s="21">
        <v>47.786200800000003</v>
      </c>
      <c r="J680" s="21">
        <v>112.11603650000001</v>
      </c>
      <c r="K680" s="21" t="s">
        <v>2272</v>
      </c>
      <c r="L680" s="3">
        <v>1994</v>
      </c>
      <c r="M680" s="3">
        <v>1995</v>
      </c>
      <c r="N680" s="21" t="s">
        <v>2272</v>
      </c>
      <c r="O680" s="3" t="s">
        <v>2636</v>
      </c>
      <c r="P680" s="5" t="s">
        <v>5181</v>
      </c>
      <c r="Q680" s="3"/>
    </row>
    <row r="681" spans="1:17" ht="32" customHeight="1">
      <c r="A681" s="101">
        <v>159</v>
      </c>
      <c r="B681" s="37" t="s">
        <v>4022</v>
      </c>
      <c r="C681" s="11" t="s">
        <v>4024</v>
      </c>
      <c r="D681" s="11" t="s">
        <v>2393</v>
      </c>
      <c r="E681" s="11" t="s">
        <v>2394</v>
      </c>
      <c r="F681" s="3" t="s">
        <v>4029</v>
      </c>
      <c r="G681" s="3" t="s">
        <v>4032</v>
      </c>
      <c r="H681" s="11" t="s">
        <v>4027</v>
      </c>
      <c r="I681" s="21">
        <v>47.021670499999999</v>
      </c>
      <c r="J681" s="21">
        <v>112.5286084</v>
      </c>
      <c r="K681" s="21" t="s">
        <v>2272</v>
      </c>
      <c r="L681" s="3">
        <v>1994</v>
      </c>
      <c r="M681" s="3">
        <v>1995</v>
      </c>
      <c r="N681" s="21" t="s">
        <v>2272</v>
      </c>
      <c r="O681" s="3" t="s">
        <v>2636</v>
      </c>
      <c r="P681" s="5" t="s">
        <v>5181</v>
      </c>
      <c r="Q681" s="3"/>
    </row>
    <row r="682" spans="1:17" ht="32" customHeight="1">
      <c r="A682" s="101">
        <v>159</v>
      </c>
      <c r="B682" s="37" t="s">
        <v>4022</v>
      </c>
      <c r="C682" s="11" t="s">
        <v>4025</v>
      </c>
      <c r="D682" s="11" t="s">
        <v>2393</v>
      </c>
      <c r="E682" s="11" t="s">
        <v>2394</v>
      </c>
      <c r="F682" s="3" t="s">
        <v>4030</v>
      </c>
      <c r="G682" s="3" t="s">
        <v>4033</v>
      </c>
      <c r="H682" s="11" t="s">
        <v>4027</v>
      </c>
      <c r="I682" s="21">
        <v>48.014630699999998</v>
      </c>
      <c r="J682" s="21">
        <v>100.05073350000001</v>
      </c>
      <c r="K682" s="21" t="s">
        <v>2272</v>
      </c>
      <c r="L682" s="3">
        <v>1993</v>
      </c>
      <c r="M682" s="3">
        <v>1993</v>
      </c>
      <c r="N682" s="21" t="s">
        <v>2272</v>
      </c>
      <c r="O682" s="3" t="s">
        <v>2636</v>
      </c>
      <c r="P682" s="5" t="s">
        <v>5181</v>
      </c>
      <c r="Q682" s="3"/>
    </row>
    <row r="683" spans="1:17" ht="32" customHeight="1">
      <c r="A683" s="101">
        <v>159</v>
      </c>
      <c r="B683" s="37" t="s">
        <v>4022</v>
      </c>
      <c r="C683" s="11" t="s">
        <v>4026</v>
      </c>
      <c r="D683" s="11" t="s">
        <v>2393</v>
      </c>
      <c r="E683" s="11" t="s">
        <v>2394</v>
      </c>
      <c r="F683" s="3" t="s">
        <v>4031</v>
      </c>
      <c r="G683" s="3" t="s">
        <v>4033</v>
      </c>
      <c r="H683" s="11" t="s">
        <v>4027</v>
      </c>
      <c r="I683" s="21">
        <v>47.596265099999997</v>
      </c>
      <c r="J683" s="21">
        <v>101.20940210000001</v>
      </c>
      <c r="K683" s="21" t="s">
        <v>2272</v>
      </c>
      <c r="L683" s="3">
        <v>1995</v>
      </c>
      <c r="M683" s="3">
        <v>1995</v>
      </c>
      <c r="N683" s="21" t="s">
        <v>2272</v>
      </c>
      <c r="O683" s="3" t="s">
        <v>2636</v>
      </c>
      <c r="P683" s="5" t="s">
        <v>5181</v>
      </c>
      <c r="Q683" s="3"/>
    </row>
    <row r="684" spans="1:17" ht="30" customHeight="1">
      <c r="A684" s="101">
        <v>160</v>
      </c>
      <c r="B684" s="37" t="s">
        <v>4045</v>
      </c>
      <c r="C684" s="11" t="s">
        <v>4043</v>
      </c>
      <c r="D684" s="11" t="s">
        <v>2393</v>
      </c>
      <c r="E684" s="11" t="s">
        <v>2631</v>
      </c>
      <c r="F684" s="3" t="s">
        <v>2272</v>
      </c>
      <c r="G684" s="3" t="s">
        <v>4047</v>
      </c>
      <c r="H684" s="3" t="s">
        <v>4046</v>
      </c>
      <c r="I684" s="21">
        <v>37.429386700000002</v>
      </c>
      <c r="J684" s="21">
        <v>22.388074499999998</v>
      </c>
      <c r="K684" s="21" t="s">
        <v>2272</v>
      </c>
      <c r="L684" s="3">
        <v>1992</v>
      </c>
      <c r="M684" s="3">
        <v>2011</v>
      </c>
      <c r="N684" s="21" t="s">
        <v>2272</v>
      </c>
      <c r="O684" s="3" t="s">
        <v>66</v>
      </c>
      <c r="P684" s="5" t="s">
        <v>5181</v>
      </c>
      <c r="Q684" s="3"/>
    </row>
    <row r="685" spans="1:17" ht="30" customHeight="1">
      <c r="A685" s="101">
        <v>160</v>
      </c>
      <c r="B685" s="37" t="s">
        <v>4045</v>
      </c>
      <c r="C685" s="11" t="s">
        <v>4054</v>
      </c>
      <c r="D685" s="11" t="s">
        <v>2393</v>
      </c>
      <c r="E685" s="11" t="s">
        <v>2631</v>
      </c>
      <c r="F685" s="3" t="s">
        <v>2272</v>
      </c>
      <c r="G685" s="11" t="s">
        <v>4048</v>
      </c>
      <c r="H685" s="3" t="s">
        <v>4046</v>
      </c>
      <c r="I685" s="21">
        <v>37.85</v>
      </c>
      <c r="J685" s="21">
        <v>24.9</v>
      </c>
      <c r="K685" s="21" t="s">
        <v>2272</v>
      </c>
      <c r="L685" s="3">
        <v>1992</v>
      </c>
      <c r="M685" s="3">
        <v>2011</v>
      </c>
      <c r="N685" s="21" t="s">
        <v>2272</v>
      </c>
      <c r="O685" s="3" t="s">
        <v>66</v>
      </c>
      <c r="P685" s="5" t="s">
        <v>5181</v>
      </c>
      <c r="Q685" s="3"/>
    </row>
    <row r="686" spans="1:17" ht="30" customHeight="1">
      <c r="A686" s="101">
        <v>160</v>
      </c>
      <c r="B686" s="37" t="s">
        <v>4045</v>
      </c>
      <c r="C686" s="11" t="s">
        <v>4055</v>
      </c>
      <c r="D686" s="11" t="s">
        <v>2393</v>
      </c>
      <c r="E686" s="11" t="s">
        <v>2631</v>
      </c>
      <c r="F686" s="3" t="s">
        <v>2272</v>
      </c>
      <c r="G686" s="11" t="s">
        <v>4049</v>
      </c>
      <c r="H686" s="3" t="s">
        <v>4046</v>
      </c>
      <c r="I686" s="21">
        <v>38.7352116</v>
      </c>
      <c r="J686" s="21">
        <v>21.3725807</v>
      </c>
      <c r="K686" s="21" t="s">
        <v>2272</v>
      </c>
      <c r="L686" s="3">
        <v>1992</v>
      </c>
      <c r="M686" s="3">
        <v>2011</v>
      </c>
      <c r="N686" s="21" t="s">
        <v>2272</v>
      </c>
      <c r="O686" s="3" t="s">
        <v>66</v>
      </c>
      <c r="P686" s="5" t="s">
        <v>5181</v>
      </c>
      <c r="Q686" s="3"/>
    </row>
    <row r="687" spans="1:17" ht="30" customHeight="1">
      <c r="A687" s="101">
        <v>160</v>
      </c>
      <c r="B687" s="37" t="s">
        <v>4045</v>
      </c>
      <c r="C687" s="11" t="s">
        <v>4056</v>
      </c>
      <c r="D687" s="11" t="s">
        <v>2393</v>
      </c>
      <c r="E687" s="11" t="s">
        <v>2631</v>
      </c>
      <c r="F687" s="3" t="s">
        <v>2272</v>
      </c>
      <c r="G687" s="11" t="s">
        <v>4050</v>
      </c>
      <c r="H687" s="3" t="s">
        <v>4046</v>
      </c>
      <c r="I687" s="21">
        <v>39.6605031</v>
      </c>
      <c r="J687" s="21">
        <v>20.719313199999998</v>
      </c>
      <c r="K687" s="21" t="s">
        <v>2272</v>
      </c>
      <c r="L687" s="3">
        <v>1992</v>
      </c>
      <c r="M687" s="3">
        <v>2011</v>
      </c>
      <c r="N687" s="21" t="s">
        <v>2272</v>
      </c>
      <c r="O687" s="3" t="s">
        <v>66</v>
      </c>
      <c r="P687" s="5" t="s">
        <v>5181</v>
      </c>
      <c r="Q687" s="3"/>
    </row>
    <row r="688" spans="1:17" ht="30" customHeight="1">
      <c r="A688" s="101">
        <v>160</v>
      </c>
      <c r="B688" s="37" t="s">
        <v>4045</v>
      </c>
      <c r="C688" s="11" t="s">
        <v>4057</v>
      </c>
      <c r="D688" s="11" t="s">
        <v>2393</v>
      </c>
      <c r="E688" s="11" t="s">
        <v>2631</v>
      </c>
      <c r="F688" s="3" t="s">
        <v>2272</v>
      </c>
      <c r="G688" s="11" t="s">
        <v>4051</v>
      </c>
      <c r="H688" s="3" t="s">
        <v>4046</v>
      </c>
      <c r="I688" s="21">
        <v>40.789708400000002</v>
      </c>
      <c r="J688" s="21">
        <v>23.705434799999999</v>
      </c>
      <c r="K688" s="21" t="s">
        <v>2272</v>
      </c>
      <c r="L688" s="3">
        <v>1992</v>
      </c>
      <c r="M688" s="3">
        <v>2011</v>
      </c>
      <c r="N688" s="21" t="s">
        <v>2272</v>
      </c>
      <c r="O688" s="3" t="s">
        <v>66</v>
      </c>
      <c r="P688" s="5" t="s">
        <v>5181</v>
      </c>
      <c r="Q688" s="3"/>
    </row>
    <row r="689" spans="1:17" ht="30" customHeight="1">
      <c r="A689" s="101">
        <v>160</v>
      </c>
      <c r="B689" s="37" t="s">
        <v>4045</v>
      </c>
      <c r="C689" s="11" t="s">
        <v>4058</v>
      </c>
      <c r="D689" s="11" t="s">
        <v>2393</v>
      </c>
      <c r="E689" s="11" t="s">
        <v>2631</v>
      </c>
      <c r="F689" s="3" t="s">
        <v>2272</v>
      </c>
      <c r="G689" s="11" t="s">
        <v>4052</v>
      </c>
      <c r="H689" s="3" t="s">
        <v>4046</v>
      </c>
      <c r="I689" s="21">
        <v>37.078574699999997</v>
      </c>
      <c r="J689" s="21">
        <v>21.970439299999999</v>
      </c>
      <c r="K689" s="21" t="s">
        <v>2272</v>
      </c>
      <c r="L689" s="3">
        <v>1992</v>
      </c>
      <c r="M689" s="3">
        <v>2011</v>
      </c>
      <c r="N689" s="21" t="s">
        <v>2272</v>
      </c>
      <c r="O689" s="3" t="s">
        <v>66</v>
      </c>
      <c r="P689" s="5" t="s">
        <v>5181</v>
      </c>
      <c r="Q689" s="3"/>
    </row>
    <row r="690" spans="1:17" ht="30" customHeight="1">
      <c r="A690" s="101">
        <v>160</v>
      </c>
      <c r="B690" s="37" t="s">
        <v>4045</v>
      </c>
      <c r="C690" s="11" t="s">
        <v>4059</v>
      </c>
      <c r="D690" s="11" t="s">
        <v>2393</v>
      </c>
      <c r="E690" s="11" t="s">
        <v>2631</v>
      </c>
      <c r="F690" s="3" t="s">
        <v>2272</v>
      </c>
      <c r="G690" s="11" t="s">
        <v>4053</v>
      </c>
      <c r="H690" s="3" t="s">
        <v>4046</v>
      </c>
      <c r="I690" s="21">
        <v>39.582922799999999</v>
      </c>
      <c r="J690" s="21">
        <v>22.726840299999999</v>
      </c>
      <c r="K690" s="21" t="s">
        <v>2272</v>
      </c>
      <c r="L690" s="3">
        <v>1992</v>
      </c>
      <c r="M690" s="3">
        <v>2011</v>
      </c>
      <c r="N690" s="21" t="s">
        <v>2272</v>
      </c>
      <c r="O690" s="3" t="s">
        <v>66</v>
      </c>
      <c r="P690" s="5" t="s">
        <v>5181</v>
      </c>
      <c r="Q690" s="3"/>
    </row>
    <row r="691" spans="1:17" ht="53.5" customHeight="1">
      <c r="A691" s="101">
        <v>161</v>
      </c>
      <c r="B691" s="37" t="s">
        <v>4080</v>
      </c>
      <c r="C691" s="11" t="s">
        <v>4081</v>
      </c>
      <c r="D691" s="11" t="s">
        <v>2393</v>
      </c>
      <c r="E691" s="3" t="s">
        <v>2394</v>
      </c>
      <c r="F691" s="3" t="s">
        <v>2272</v>
      </c>
      <c r="G691" s="3" t="s">
        <v>4082</v>
      </c>
      <c r="H691" s="3" t="s">
        <v>4027</v>
      </c>
      <c r="I691" s="21">
        <v>49</v>
      </c>
      <c r="J691" s="21">
        <v>105</v>
      </c>
      <c r="K691" s="21">
        <f>900*400</f>
        <v>360000</v>
      </c>
      <c r="L691" s="90">
        <v>1982</v>
      </c>
      <c r="M691" s="3">
        <v>2020</v>
      </c>
      <c r="N691" s="21" t="s">
        <v>2272</v>
      </c>
      <c r="O691" s="3" t="s">
        <v>66</v>
      </c>
      <c r="P691" s="5" t="s">
        <v>5181</v>
      </c>
      <c r="Q691" s="4" t="s">
        <v>4083</v>
      </c>
    </row>
    <row r="692" spans="1:17" ht="55.5" customHeight="1">
      <c r="A692" s="101">
        <v>162</v>
      </c>
      <c r="B692" s="37" t="s">
        <v>4102</v>
      </c>
      <c r="C692" s="11" t="s">
        <v>4103</v>
      </c>
      <c r="D692" s="11" t="s">
        <v>2393</v>
      </c>
      <c r="E692" s="3" t="s">
        <v>2409</v>
      </c>
      <c r="F692" s="139" t="s">
        <v>4110</v>
      </c>
      <c r="G692" s="3" t="s">
        <v>4106</v>
      </c>
      <c r="H692" s="3" t="s">
        <v>4107</v>
      </c>
      <c r="I692" s="21">
        <v>38.209899499999999</v>
      </c>
      <c r="J692" s="21">
        <v>-96.467848599999996</v>
      </c>
      <c r="K692" s="21" t="s">
        <v>2272</v>
      </c>
      <c r="L692" s="90">
        <v>1880</v>
      </c>
      <c r="M692" s="11">
        <v>1990</v>
      </c>
      <c r="N692" s="21" t="s">
        <v>2272</v>
      </c>
      <c r="O692" s="3" t="s">
        <v>66</v>
      </c>
      <c r="P692" s="5" t="s">
        <v>5181</v>
      </c>
      <c r="Q692" s="4" t="s">
        <v>4111</v>
      </c>
    </row>
    <row r="693" spans="1:17" ht="52.5" customHeight="1">
      <c r="A693" s="101">
        <v>162</v>
      </c>
      <c r="B693" s="37" t="s">
        <v>4102</v>
      </c>
      <c r="C693" s="11" t="s">
        <v>4104</v>
      </c>
      <c r="D693" s="11" t="s">
        <v>2393</v>
      </c>
      <c r="E693" s="3" t="s">
        <v>2409</v>
      </c>
      <c r="F693" s="139" t="s">
        <v>4109</v>
      </c>
      <c r="G693" s="3" t="s">
        <v>4108</v>
      </c>
      <c r="H693" s="3" t="s">
        <v>4105</v>
      </c>
      <c r="I693" s="21">
        <v>-45.481157699999997</v>
      </c>
      <c r="J693" s="21">
        <v>170.21678069999999</v>
      </c>
      <c r="K693" s="21" t="s">
        <v>2272</v>
      </c>
      <c r="L693" s="90">
        <v>1865</v>
      </c>
      <c r="M693" s="11">
        <v>1990</v>
      </c>
      <c r="N693" s="21" t="s">
        <v>2272</v>
      </c>
      <c r="O693" s="3" t="s">
        <v>66</v>
      </c>
      <c r="P693" s="5" t="s">
        <v>5181</v>
      </c>
      <c r="Q693" s="4" t="s">
        <v>4111</v>
      </c>
    </row>
    <row r="694" spans="1:17" ht="47.5" customHeight="1">
      <c r="A694" s="101">
        <v>163</v>
      </c>
      <c r="B694" s="37" t="s">
        <v>4125</v>
      </c>
      <c r="C694" s="11" t="s">
        <v>4124</v>
      </c>
      <c r="D694" s="11" t="s">
        <v>2393</v>
      </c>
      <c r="E694" s="3" t="s">
        <v>2394</v>
      </c>
      <c r="F694" s="3" t="s">
        <v>4126</v>
      </c>
      <c r="G694" s="3" t="s">
        <v>4127</v>
      </c>
      <c r="H694" s="3" t="s">
        <v>4107</v>
      </c>
      <c r="I694" s="21">
        <v>38.645959099999999</v>
      </c>
      <c r="J694" s="21">
        <v>-120.8445846</v>
      </c>
      <c r="K694" s="21" t="s">
        <v>2272</v>
      </c>
      <c r="L694" s="3">
        <v>2001</v>
      </c>
      <c r="M694" s="3">
        <v>2002</v>
      </c>
      <c r="N694" s="21" t="s">
        <v>2272</v>
      </c>
      <c r="O694" s="3" t="s">
        <v>66</v>
      </c>
      <c r="P694" s="5" t="s">
        <v>5181</v>
      </c>
      <c r="Q694" s="3"/>
    </row>
    <row r="695" spans="1:17" ht="48" customHeight="1">
      <c r="A695" s="101">
        <v>164</v>
      </c>
      <c r="B695" s="37" t="s">
        <v>4132</v>
      </c>
      <c r="C695" s="3" t="s">
        <v>4133</v>
      </c>
      <c r="D695" s="11" t="s">
        <v>2393</v>
      </c>
      <c r="E695" s="3" t="s">
        <v>2394</v>
      </c>
      <c r="F695" s="3" t="s">
        <v>4134</v>
      </c>
      <c r="G695" s="3" t="s">
        <v>4135</v>
      </c>
      <c r="H695" s="3" t="s">
        <v>86</v>
      </c>
      <c r="I695" s="21">
        <f>AVERAGE(29 + 48/60, 29+23/60)</f>
        <v>29.591666666666669</v>
      </c>
      <c r="J695" s="21">
        <f>AVERAGE(78 + 39/60, 79+9/60)</f>
        <v>78.900000000000006</v>
      </c>
      <c r="K695" s="21">
        <v>1288.32</v>
      </c>
      <c r="L695" s="160">
        <v>2014</v>
      </c>
      <c r="M695" s="160">
        <v>2014</v>
      </c>
      <c r="N695" s="21" t="s">
        <v>2272</v>
      </c>
      <c r="O695" s="3" t="s">
        <v>66</v>
      </c>
      <c r="P695" s="5" t="s">
        <v>5181</v>
      </c>
      <c r="Q695" s="161" t="s">
        <v>4136</v>
      </c>
    </row>
    <row r="696" spans="1:17" ht="29" customHeight="1">
      <c r="A696" s="101">
        <v>165</v>
      </c>
      <c r="B696" s="37" t="s">
        <v>4143</v>
      </c>
      <c r="C696" s="11" t="s">
        <v>4141</v>
      </c>
      <c r="D696" s="11" t="s">
        <v>2393</v>
      </c>
      <c r="E696" s="3" t="s">
        <v>2394</v>
      </c>
      <c r="F696" s="3" t="s">
        <v>4144</v>
      </c>
      <c r="G696" s="3" t="s">
        <v>4145</v>
      </c>
      <c r="H696" s="3" t="s">
        <v>1947</v>
      </c>
      <c r="I696" s="21">
        <v>-2.3948835000000002</v>
      </c>
      <c r="J696" s="21">
        <v>37.9732038</v>
      </c>
      <c r="K696" s="21" t="s">
        <v>2272</v>
      </c>
      <c r="L696" s="3">
        <v>2012</v>
      </c>
      <c r="M696" s="3">
        <v>2012</v>
      </c>
      <c r="N696" s="21" t="s">
        <v>2272</v>
      </c>
      <c r="O696" s="3" t="s">
        <v>66</v>
      </c>
      <c r="P696" s="5" t="s">
        <v>5181</v>
      </c>
      <c r="Q696" s="3"/>
    </row>
    <row r="697" spans="1:17" ht="29" customHeight="1">
      <c r="A697" s="101">
        <v>165</v>
      </c>
      <c r="B697" s="37" t="s">
        <v>4143</v>
      </c>
      <c r="C697" s="11" t="s">
        <v>4142</v>
      </c>
      <c r="D697" s="11" t="s">
        <v>2393</v>
      </c>
      <c r="E697" s="3" t="s">
        <v>2394</v>
      </c>
      <c r="F697" s="3" t="s">
        <v>4146</v>
      </c>
      <c r="G697" s="3" t="s">
        <v>4147</v>
      </c>
      <c r="H697" s="3" t="s">
        <v>1947</v>
      </c>
      <c r="I697" s="21">
        <v>-2.9064418000000001</v>
      </c>
      <c r="J697" s="21">
        <v>37.545422799999997</v>
      </c>
      <c r="K697" s="21">
        <v>2427</v>
      </c>
      <c r="L697" s="3">
        <v>2012</v>
      </c>
      <c r="M697" s="3">
        <v>2012</v>
      </c>
      <c r="N697" s="21">
        <f>15000/K697</f>
        <v>6.1804697156983934</v>
      </c>
      <c r="O697" s="3" t="s">
        <v>66</v>
      </c>
      <c r="P697" s="5" t="s">
        <v>5181</v>
      </c>
      <c r="Q697" s="3"/>
    </row>
    <row r="698" spans="1:17" ht="35.5" customHeight="1">
      <c r="A698" s="101">
        <v>166</v>
      </c>
      <c r="B698" s="37" t="s">
        <v>4191</v>
      </c>
      <c r="C698" s="11" t="s">
        <v>4192</v>
      </c>
      <c r="D698" s="11" t="s">
        <v>2393</v>
      </c>
      <c r="E698" s="3" t="s">
        <v>2395</v>
      </c>
      <c r="F698" s="3" t="s">
        <v>4193</v>
      </c>
      <c r="G698" s="3" t="s">
        <v>4194</v>
      </c>
      <c r="H698" s="3" t="s">
        <v>3611</v>
      </c>
      <c r="I698" s="21">
        <v>-27.9045177</v>
      </c>
      <c r="J698" s="21">
        <v>-58.683236200000003</v>
      </c>
      <c r="K698" s="21">
        <f>191976/100</f>
        <v>1919.76</v>
      </c>
      <c r="L698" s="3">
        <v>2000</v>
      </c>
      <c r="M698" s="3">
        <v>2005</v>
      </c>
      <c r="N698" s="21" t="s">
        <v>2272</v>
      </c>
      <c r="O698" s="3" t="s">
        <v>66</v>
      </c>
      <c r="P698" s="5" t="s">
        <v>5181</v>
      </c>
      <c r="Q698" s="3"/>
    </row>
    <row r="699" spans="1:17" ht="32.5" customHeight="1">
      <c r="A699" s="101">
        <v>167</v>
      </c>
      <c r="B699" s="37" t="s">
        <v>4204</v>
      </c>
      <c r="C699" s="11" t="s">
        <v>4205</v>
      </c>
      <c r="D699" s="11" t="s">
        <v>2393</v>
      </c>
      <c r="E699" s="3" t="s">
        <v>2632</v>
      </c>
      <c r="F699" s="3" t="s">
        <v>4206</v>
      </c>
      <c r="G699" s="3" t="s">
        <v>4207</v>
      </c>
      <c r="H699" s="3" t="s">
        <v>1946</v>
      </c>
      <c r="I699" s="21">
        <f>4 + 5/6</f>
        <v>4.833333333333333</v>
      </c>
      <c r="J699" s="21">
        <f>37 + 39.5/60</f>
        <v>37.658333333333331</v>
      </c>
      <c r="K699" s="21" t="s">
        <v>2272</v>
      </c>
      <c r="L699" s="3">
        <v>2011</v>
      </c>
      <c r="M699" s="3">
        <v>2012</v>
      </c>
      <c r="N699" s="21" t="s">
        <v>2272</v>
      </c>
      <c r="O699" s="3" t="s">
        <v>66</v>
      </c>
      <c r="P699" s="5" t="s">
        <v>5181</v>
      </c>
      <c r="Q699" s="3"/>
    </row>
    <row r="700" spans="1:17" ht="43" customHeight="1">
      <c r="A700" s="101">
        <v>168</v>
      </c>
      <c r="B700" s="37" t="s">
        <v>4214</v>
      </c>
      <c r="C700" s="3" t="s">
        <v>4215</v>
      </c>
      <c r="D700" s="11" t="s">
        <v>2393</v>
      </c>
      <c r="E700" s="3" t="s">
        <v>2394</v>
      </c>
      <c r="F700" s="3" t="s">
        <v>4217</v>
      </c>
      <c r="G700" s="3" t="s">
        <v>2272</v>
      </c>
      <c r="H700" s="3" t="s">
        <v>420</v>
      </c>
      <c r="I700" s="21">
        <v>-12.5464509</v>
      </c>
      <c r="J700" s="21">
        <v>30.215519</v>
      </c>
      <c r="K700" s="21">
        <v>390</v>
      </c>
      <c r="L700" s="3">
        <v>2004</v>
      </c>
      <c r="M700" s="3">
        <v>2004</v>
      </c>
      <c r="N700" s="21" t="s">
        <v>2272</v>
      </c>
      <c r="O700" s="3" t="s">
        <v>66</v>
      </c>
      <c r="P700" s="5" t="s">
        <v>5181</v>
      </c>
      <c r="Q700" s="3"/>
    </row>
    <row r="701" spans="1:17" ht="44" customHeight="1">
      <c r="A701" s="101">
        <v>168</v>
      </c>
      <c r="B701" s="37" t="s">
        <v>4214</v>
      </c>
      <c r="C701" s="3" t="s">
        <v>4216</v>
      </c>
      <c r="D701" s="11" t="s">
        <v>2393</v>
      </c>
      <c r="E701" s="3" t="s">
        <v>2394</v>
      </c>
      <c r="F701" s="4" t="s">
        <v>4218</v>
      </c>
      <c r="G701" s="3" t="s">
        <v>2272</v>
      </c>
      <c r="H701" s="3" t="s">
        <v>420</v>
      </c>
      <c r="I701" s="21">
        <v>-12.6814923</v>
      </c>
      <c r="J701" s="21">
        <v>30.155905600000001</v>
      </c>
      <c r="K701" s="21">
        <f>4280-K700</f>
        <v>3890</v>
      </c>
      <c r="L701" s="3">
        <v>2004</v>
      </c>
      <c r="M701" s="3">
        <v>2004</v>
      </c>
      <c r="N701" s="21" t="s">
        <v>2272</v>
      </c>
      <c r="O701" s="3" t="s">
        <v>66</v>
      </c>
      <c r="P701" s="5" t="s">
        <v>5181</v>
      </c>
      <c r="Q701" s="3"/>
    </row>
    <row r="702" spans="1:17" ht="37" customHeight="1">
      <c r="A702" s="101">
        <v>169</v>
      </c>
      <c r="B702" s="37" t="s">
        <v>4250</v>
      </c>
      <c r="C702" s="3" t="s">
        <v>4251</v>
      </c>
      <c r="D702" s="11" t="s">
        <v>2393</v>
      </c>
      <c r="E702" s="3" t="s">
        <v>2417</v>
      </c>
      <c r="F702" s="3" t="s">
        <v>4253</v>
      </c>
      <c r="G702" s="3" t="s">
        <v>2272</v>
      </c>
      <c r="H702" s="3" t="s">
        <v>4256</v>
      </c>
      <c r="I702" s="21">
        <f>36+25/60</f>
        <v>36.416666666666664</v>
      </c>
      <c r="J702" s="21">
        <f>4 + 6/60</f>
        <v>4.0999999999999996</v>
      </c>
      <c r="K702" s="21">
        <f>5784/100</f>
        <v>57.84</v>
      </c>
      <c r="L702" s="3">
        <v>2010</v>
      </c>
      <c r="M702" s="3">
        <v>2010</v>
      </c>
      <c r="N702" s="21">
        <f>9488/K702</f>
        <v>164.03872752420469</v>
      </c>
      <c r="O702" s="3" t="s">
        <v>66</v>
      </c>
      <c r="P702" s="5" t="s">
        <v>5181</v>
      </c>
      <c r="Q702" s="38" t="s">
        <v>6080</v>
      </c>
    </row>
    <row r="703" spans="1:17" ht="34.5" customHeight="1">
      <c r="A703" s="101">
        <v>169</v>
      </c>
      <c r="B703" s="37" t="s">
        <v>4250</v>
      </c>
      <c r="C703" s="3" t="s">
        <v>4252</v>
      </c>
      <c r="D703" s="11" t="s">
        <v>2393</v>
      </c>
      <c r="E703" s="3" t="s">
        <v>2417</v>
      </c>
      <c r="F703" s="3" t="s">
        <v>4254</v>
      </c>
      <c r="G703" s="3" t="s">
        <v>2272</v>
      </c>
      <c r="H703" s="3" t="s">
        <v>4256</v>
      </c>
      <c r="I703" s="21">
        <f>36+25/60</f>
        <v>36.416666666666664</v>
      </c>
      <c r="J703" s="21">
        <f>4 + 6/60</f>
        <v>4.0999999999999996</v>
      </c>
      <c r="K703" s="21">
        <f>5677/100</f>
        <v>56.77</v>
      </c>
      <c r="L703" s="3">
        <v>2010</v>
      </c>
      <c r="M703" s="3">
        <v>2010</v>
      </c>
      <c r="N703" s="21">
        <f>17322/K703</f>
        <v>305.12594680288885</v>
      </c>
      <c r="O703" s="3" t="s">
        <v>66</v>
      </c>
      <c r="P703" s="5" t="s">
        <v>5181</v>
      </c>
      <c r="Q703" s="38" t="s">
        <v>6080</v>
      </c>
    </row>
    <row r="704" spans="1:17" ht="33.5" customHeight="1">
      <c r="A704" s="101">
        <v>169</v>
      </c>
      <c r="B704" s="37" t="s">
        <v>4250</v>
      </c>
      <c r="C704" s="11" t="s">
        <v>4060</v>
      </c>
      <c r="D704" s="11" t="s">
        <v>2393</v>
      </c>
      <c r="E704" s="3" t="s">
        <v>2417</v>
      </c>
      <c r="F704" s="3" t="s">
        <v>4255</v>
      </c>
      <c r="G704" s="3" t="s">
        <v>2272</v>
      </c>
      <c r="H704" s="3" t="s">
        <v>4256</v>
      </c>
      <c r="I704" s="21">
        <f>36+25/60</f>
        <v>36.416666666666664</v>
      </c>
      <c r="J704" s="21">
        <f>AVERAGE(3 + 55/60, 4+1/6)</f>
        <v>4.041666666666667</v>
      </c>
      <c r="K704" s="21">
        <f>8900/100</f>
        <v>89</v>
      </c>
      <c r="L704" s="3">
        <v>2010</v>
      </c>
      <c r="M704" s="3">
        <v>2010</v>
      </c>
      <c r="N704" s="21">
        <f>18371/K704</f>
        <v>206.41573033707866</v>
      </c>
      <c r="O704" s="3" t="s">
        <v>66</v>
      </c>
      <c r="P704" s="5" t="s">
        <v>5181</v>
      </c>
      <c r="Q704" s="38" t="s">
        <v>6080</v>
      </c>
    </row>
    <row r="705" spans="1:17" ht="49" customHeight="1">
      <c r="A705" s="101">
        <v>170</v>
      </c>
      <c r="B705" s="37" t="s">
        <v>4310</v>
      </c>
      <c r="C705" s="11" t="s">
        <v>4308</v>
      </c>
      <c r="D705" s="11" t="s">
        <v>2393</v>
      </c>
      <c r="E705" s="3" t="s">
        <v>2394</v>
      </c>
      <c r="F705" s="3" t="s">
        <v>2272</v>
      </c>
      <c r="G705" s="3" t="s">
        <v>4311</v>
      </c>
      <c r="H705" s="11" t="s">
        <v>4309</v>
      </c>
      <c r="I705" s="21">
        <v>37.333351</v>
      </c>
      <c r="J705" s="21">
        <v>-4.5765007000000004</v>
      </c>
      <c r="K705" s="21">
        <v>82678</v>
      </c>
      <c r="L705" s="3">
        <v>2003</v>
      </c>
      <c r="M705" s="3">
        <v>2009</v>
      </c>
      <c r="N705" s="21" t="s">
        <v>2272</v>
      </c>
      <c r="O705" s="3" t="s">
        <v>66</v>
      </c>
      <c r="P705" s="5" t="s">
        <v>5181</v>
      </c>
      <c r="Q705" s="4" t="s">
        <v>4326</v>
      </c>
    </row>
    <row r="706" spans="1:17" ht="39" customHeight="1">
      <c r="A706" s="165">
        <v>170</v>
      </c>
      <c r="B706" s="51" t="s">
        <v>4310</v>
      </c>
      <c r="C706" s="34" t="s">
        <v>4312</v>
      </c>
      <c r="D706" s="34" t="s">
        <v>2393</v>
      </c>
      <c r="E706" s="35" t="s">
        <v>2394</v>
      </c>
      <c r="F706" s="35" t="s">
        <v>4322</v>
      </c>
      <c r="G706" s="35" t="s">
        <v>4311</v>
      </c>
      <c r="H706" s="34" t="s">
        <v>4309</v>
      </c>
      <c r="I706" s="14">
        <v>36.688008000000004</v>
      </c>
      <c r="J706" s="14">
        <v>-5.7051084000000003</v>
      </c>
      <c r="K706" s="69">
        <f>23.46/10</f>
        <v>2.3460000000000001</v>
      </c>
      <c r="L706" s="35">
        <v>2003</v>
      </c>
      <c r="M706" s="35">
        <v>2009</v>
      </c>
      <c r="N706" s="69" t="s">
        <v>2272</v>
      </c>
      <c r="O706" s="35" t="s">
        <v>66</v>
      </c>
      <c r="P706" s="5" t="s">
        <v>5181</v>
      </c>
      <c r="Q706" s="163" t="s">
        <v>4323</v>
      </c>
    </row>
    <row r="707" spans="1:17" ht="39" customHeight="1">
      <c r="A707" s="101">
        <v>170</v>
      </c>
      <c r="B707" s="37" t="s">
        <v>4310</v>
      </c>
      <c r="C707" s="11" t="s">
        <v>4313</v>
      </c>
      <c r="D707" s="34" t="s">
        <v>2393</v>
      </c>
      <c r="E707" s="35" t="s">
        <v>2394</v>
      </c>
      <c r="F707" s="35" t="s">
        <v>4322</v>
      </c>
      <c r="G707" s="35" t="s">
        <v>4311</v>
      </c>
      <c r="H707" s="34" t="s">
        <v>4309</v>
      </c>
      <c r="I707" s="21">
        <v>37.498520499999998</v>
      </c>
      <c r="J707" s="21">
        <v>-7.0745521</v>
      </c>
      <c r="K707" s="69">
        <f t="shared" ref="K707:K715" si="8">23.46/10</f>
        <v>2.3460000000000001</v>
      </c>
      <c r="L707" s="35">
        <v>2003</v>
      </c>
      <c r="M707" s="35">
        <v>2009</v>
      </c>
      <c r="N707" s="69" t="s">
        <v>2272</v>
      </c>
      <c r="O707" s="35" t="s">
        <v>66</v>
      </c>
      <c r="P707" s="5" t="s">
        <v>5181</v>
      </c>
      <c r="Q707" s="163" t="s">
        <v>4323</v>
      </c>
    </row>
    <row r="708" spans="1:17" ht="39" customHeight="1">
      <c r="A708" s="101">
        <v>170</v>
      </c>
      <c r="B708" s="37" t="s">
        <v>4310</v>
      </c>
      <c r="C708" s="11" t="s">
        <v>4314</v>
      </c>
      <c r="D708" s="34" t="s">
        <v>2393</v>
      </c>
      <c r="E708" s="35" t="s">
        <v>2394</v>
      </c>
      <c r="F708" s="35" t="s">
        <v>4322</v>
      </c>
      <c r="G708" s="35" t="s">
        <v>4311</v>
      </c>
      <c r="H708" s="34" t="s">
        <v>4309</v>
      </c>
      <c r="I708" s="21">
        <v>38.043869299999997</v>
      </c>
      <c r="J708" s="21">
        <v>-5.1794403999999998</v>
      </c>
      <c r="K708" s="69">
        <f t="shared" si="8"/>
        <v>2.3460000000000001</v>
      </c>
      <c r="L708" s="35">
        <v>2003</v>
      </c>
      <c r="M708" s="35">
        <v>2009</v>
      </c>
      <c r="N708" s="69" t="s">
        <v>2272</v>
      </c>
      <c r="O708" s="35" t="s">
        <v>66</v>
      </c>
      <c r="P708" s="5" t="s">
        <v>5181</v>
      </c>
      <c r="Q708" s="163" t="s">
        <v>4323</v>
      </c>
    </row>
    <row r="709" spans="1:17" ht="39" customHeight="1">
      <c r="A709" s="101">
        <v>170</v>
      </c>
      <c r="B709" s="37" t="s">
        <v>4310</v>
      </c>
      <c r="C709" s="11" t="s">
        <v>4315</v>
      </c>
      <c r="D709" s="34" t="s">
        <v>2393</v>
      </c>
      <c r="E709" s="35" t="s">
        <v>2394</v>
      </c>
      <c r="F709" s="35" t="s">
        <v>4322</v>
      </c>
      <c r="G709" s="35" t="s">
        <v>4311</v>
      </c>
      <c r="H709" s="34" t="s">
        <v>4309</v>
      </c>
      <c r="I709" s="21">
        <f>38+27/60</f>
        <v>38.450000000000003</v>
      </c>
      <c r="J709" s="21">
        <f>-2-36/60</f>
        <v>-2.6</v>
      </c>
      <c r="K709" s="69">
        <f t="shared" si="8"/>
        <v>2.3460000000000001</v>
      </c>
      <c r="L709" s="35">
        <v>2003</v>
      </c>
      <c r="M709" s="35">
        <v>2009</v>
      </c>
      <c r="N709" s="69" t="s">
        <v>2272</v>
      </c>
      <c r="O709" s="35" t="s">
        <v>66</v>
      </c>
      <c r="P709" s="5" t="s">
        <v>5181</v>
      </c>
      <c r="Q709" s="163" t="s">
        <v>4323</v>
      </c>
    </row>
    <row r="710" spans="1:17" ht="39" customHeight="1">
      <c r="A710" s="101">
        <v>170</v>
      </c>
      <c r="B710" s="37" t="s">
        <v>4310</v>
      </c>
      <c r="C710" s="11" t="s">
        <v>4316</v>
      </c>
      <c r="D710" s="34" t="s">
        <v>2393</v>
      </c>
      <c r="E710" s="35" t="s">
        <v>2394</v>
      </c>
      <c r="F710" s="35" t="s">
        <v>4322</v>
      </c>
      <c r="G710" s="35" t="s">
        <v>4311</v>
      </c>
      <c r="H710" s="34" t="s">
        <v>4309</v>
      </c>
      <c r="I710" s="21">
        <f>38 + 29/60</f>
        <v>38.483333333333334</v>
      </c>
      <c r="J710" s="21">
        <f>-2-49/60</f>
        <v>-2.8166666666666664</v>
      </c>
      <c r="K710" s="69">
        <f t="shared" si="8"/>
        <v>2.3460000000000001</v>
      </c>
      <c r="L710" s="35">
        <v>2003</v>
      </c>
      <c r="M710" s="35">
        <v>2009</v>
      </c>
      <c r="N710" s="69" t="s">
        <v>2272</v>
      </c>
      <c r="O710" s="35" t="s">
        <v>66</v>
      </c>
      <c r="P710" s="5" t="s">
        <v>5181</v>
      </c>
      <c r="Q710" s="163" t="s">
        <v>4323</v>
      </c>
    </row>
    <row r="711" spans="1:17" ht="39" customHeight="1">
      <c r="A711" s="101">
        <v>170</v>
      </c>
      <c r="B711" s="37" t="s">
        <v>4310</v>
      </c>
      <c r="C711" s="11" t="s">
        <v>4317</v>
      </c>
      <c r="D711" s="34" t="s">
        <v>2393</v>
      </c>
      <c r="E711" s="35" t="s">
        <v>2394</v>
      </c>
      <c r="F711" s="35" t="s">
        <v>4322</v>
      </c>
      <c r="G711" s="35" t="s">
        <v>4311</v>
      </c>
      <c r="H711" s="34" t="s">
        <v>4309</v>
      </c>
      <c r="I711" s="21">
        <v>37.8344892</v>
      </c>
      <c r="J711" s="21">
        <v>-2.9360164000000002</v>
      </c>
      <c r="K711" s="69">
        <f t="shared" si="8"/>
        <v>2.3460000000000001</v>
      </c>
      <c r="L711" s="35">
        <v>2003</v>
      </c>
      <c r="M711" s="35">
        <v>2009</v>
      </c>
      <c r="N711" s="69" t="s">
        <v>2272</v>
      </c>
      <c r="O711" s="35" t="s">
        <v>66</v>
      </c>
      <c r="P711" s="5" t="s">
        <v>5181</v>
      </c>
      <c r="Q711" s="163" t="s">
        <v>4323</v>
      </c>
    </row>
    <row r="712" spans="1:17" ht="39" customHeight="1">
      <c r="A712" s="101">
        <v>170</v>
      </c>
      <c r="B712" s="37" t="s">
        <v>4310</v>
      </c>
      <c r="C712" s="11" t="s">
        <v>4318</v>
      </c>
      <c r="D712" s="34" t="s">
        <v>2393</v>
      </c>
      <c r="E712" s="35" t="s">
        <v>2394</v>
      </c>
      <c r="F712" s="35" t="s">
        <v>4322</v>
      </c>
      <c r="G712" s="35" t="s">
        <v>4311</v>
      </c>
      <c r="H712" s="34" t="s">
        <v>4309</v>
      </c>
      <c r="I712" s="21">
        <v>37.064624000000002</v>
      </c>
      <c r="J712" s="21">
        <v>-3.3127602</v>
      </c>
      <c r="K712" s="69">
        <f t="shared" si="8"/>
        <v>2.3460000000000001</v>
      </c>
      <c r="L712" s="35">
        <v>2003</v>
      </c>
      <c r="M712" s="35">
        <v>2009</v>
      </c>
      <c r="N712" s="69" t="s">
        <v>2272</v>
      </c>
      <c r="O712" s="35" t="s">
        <v>66</v>
      </c>
      <c r="P712" s="5" t="s">
        <v>5181</v>
      </c>
      <c r="Q712" s="163" t="s">
        <v>4323</v>
      </c>
    </row>
    <row r="713" spans="1:17" ht="39" customHeight="1">
      <c r="A713" s="101">
        <v>170</v>
      </c>
      <c r="B713" s="37" t="s">
        <v>4310</v>
      </c>
      <c r="C713" s="11" t="s">
        <v>4319</v>
      </c>
      <c r="D713" s="11" t="s">
        <v>2393</v>
      </c>
      <c r="E713" s="3" t="s">
        <v>2394</v>
      </c>
      <c r="F713" s="3" t="s">
        <v>4322</v>
      </c>
      <c r="G713" s="3" t="s">
        <v>4311</v>
      </c>
      <c r="H713" s="11" t="s">
        <v>4309</v>
      </c>
      <c r="I713" s="21">
        <v>36.5959547</v>
      </c>
      <c r="J713" s="21">
        <v>-4.4345077000000002</v>
      </c>
      <c r="K713" s="21">
        <f t="shared" si="8"/>
        <v>2.3460000000000001</v>
      </c>
      <c r="L713" s="3">
        <v>2003</v>
      </c>
      <c r="M713" s="3">
        <v>2009</v>
      </c>
      <c r="N713" s="21" t="s">
        <v>2272</v>
      </c>
      <c r="O713" s="3" t="s">
        <v>66</v>
      </c>
      <c r="P713" s="5" t="s">
        <v>5181</v>
      </c>
      <c r="Q713" s="4" t="s">
        <v>4323</v>
      </c>
    </row>
    <row r="714" spans="1:17" ht="39" customHeight="1">
      <c r="A714" s="101">
        <v>170</v>
      </c>
      <c r="B714" s="37" t="s">
        <v>4310</v>
      </c>
      <c r="C714" s="11" t="s">
        <v>4320</v>
      </c>
      <c r="D714" s="11" t="s">
        <v>2393</v>
      </c>
      <c r="E714" s="3" t="s">
        <v>2394</v>
      </c>
      <c r="F714" s="3" t="s">
        <v>4322</v>
      </c>
      <c r="G714" s="3" t="s">
        <v>4311</v>
      </c>
      <c r="H714" s="11" t="s">
        <v>4309</v>
      </c>
      <c r="I714" s="21">
        <v>36.694679700000002</v>
      </c>
      <c r="J714" s="21">
        <v>-4.5031409</v>
      </c>
      <c r="K714" s="21">
        <f t="shared" si="8"/>
        <v>2.3460000000000001</v>
      </c>
      <c r="L714" s="3">
        <v>2003</v>
      </c>
      <c r="M714" s="3">
        <v>2009</v>
      </c>
      <c r="N714" s="21" t="s">
        <v>2272</v>
      </c>
      <c r="O714" s="3" t="s">
        <v>66</v>
      </c>
      <c r="P714" s="5" t="s">
        <v>5181</v>
      </c>
      <c r="Q714" s="4" t="s">
        <v>4323</v>
      </c>
    </row>
    <row r="715" spans="1:17" ht="39" customHeight="1">
      <c r="A715" s="101">
        <v>170</v>
      </c>
      <c r="B715" s="37" t="s">
        <v>4310</v>
      </c>
      <c r="C715" s="11" t="s">
        <v>4321</v>
      </c>
      <c r="D715" s="11" t="s">
        <v>2393</v>
      </c>
      <c r="E715" s="3" t="s">
        <v>2394</v>
      </c>
      <c r="F715" s="3" t="s">
        <v>4322</v>
      </c>
      <c r="G715" s="3" t="s">
        <v>4311</v>
      </c>
      <c r="H715" s="11" t="s">
        <v>4309</v>
      </c>
      <c r="I715" s="21">
        <v>36.750232599999997</v>
      </c>
      <c r="J715" s="21">
        <v>-4.8053749000000003</v>
      </c>
      <c r="K715" s="21">
        <f t="shared" si="8"/>
        <v>2.3460000000000001</v>
      </c>
      <c r="L715" s="3">
        <v>2003</v>
      </c>
      <c r="M715" s="3">
        <v>2009</v>
      </c>
      <c r="N715" s="21" t="s">
        <v>2272</v>
      </c>
      <c r="O715" s="3" t="s">
        <v>66</v>
      </c>
      <c r="P715" s="5" t="s">
        <v>5181</v>
      </c>
      <c r="Q715" s="4" t="s">
        <v>4323</v>
      </c>
    </row>
    <row r="716" spans="1:17" ht="55.5" customHeight="1">
      <c r="A716" s="31">
        <v>171</v>
      </c>
      <c r="B716" s="37" t="s">
        <v>4354</v>
      </c>
      <c r="C716" s="3" t="s">
        <v>4355</v>
      </c>
      <c r="D716" s="11" t="s">
        <v>2393</v>
      </c>
      <c r="E716" s="3" t="s">
        <v>2417</v>
      </c>
      <c r="F716" s="11" t="s">
        <v>4353</v>
      </c>
      <c r="G716" s="11" t="s">
        <v>3616</v>
      </c>
      <c r="H716" s="11" t="s">
        <v>3611</v>
      </c>
      <c r="I716" s="21">
        <v>-42.974161500000001</v>
      </c>
      <c r="J716" s="21">
        <v>-71.591682199999994</v>
      </c>
      <c r="K716" s="21">
        <v>2596</v>
      </c>
      <c r="L716" s="11">
        <v>1937</v>
      </c>
      <c r="M716" s="11">
        <v>1937</v>
      </c>
      <c r="N716" s="21" t="s">
        <v>2272</v>
      </c>
      <c r="O716" s="3" t="s">
        <v>66</v>
      </c>
      <c r="P716" s="5" t="s">
        <v>5181</v>
      </c>
      <c r="Q716" s="4" t="s">
        <v>4376</v>
      </c>
    </row>
    <row r="717" spans="1:17" ht="41" customHeight="1">
      <c r="A717" s="31">
        <v>171</v>
      </c>
      <c r="B717" s="37" t="s">
        <v>4354</v>
      </c>
      <c r="C717" s="3" t="s">
        <v>4357</v>
      </c>
      <c r="D717" s="11" t="s">
        <v>2393</v>
      </c>
      <c r="E717" s="3" t="s">
        <v>2394</v>
      </c>
      <c r="F717" s="11" t="s">
        <v>4353</v>
      </c>
      <c r="G717" s="11" t="s">
        <v>3616</v>
      </c>
      <c r="H717" s="11" t="s">
        <v>3611</v>
      </c>
      <c r="I717" s="21">
        <v>-42.974161500000001</v>
      </c>
      <c r="J717" s="21">
        <v>-71.591682199999994</v>
      </c>
      <c r="K717" s="21">
        <v>2596</v>
      </c>
      <c r="L717" s="11">
        <v>2016</v>
      </c>
      <c r="M717" s="11">
        <v>2017</v>
      </c>
      <c r="N717" s="21">
        <f>320/K717</f>
        <v>0.12326656394453005</v>
      </c>
      <c r="O717" s="3" t="s">
        <v>66</v>
      </c>
      <c r="P717" s="5" t="s">
        <v>5181</v>
      </c>
      <c r="Q717" s="3" t="s">
        <v>4356</v>
      </c>
    </row>
    <row r="718" spans="1:17" ht="35.5" customHeight="1">
      <c r="A718" s="166">
        <v>172</v>
      </c>
      <c r="B718" s="57" t="s">
        <v>4383</v>
      </c>
      <c r="C718" s="23" t="s">
        <v>4382</v>
      </c>
      <c r="D718" s="22" t="s">
        <v>2411</v>
      </c>
      <c r="E718" s="22" t="s">
        <v>2395</v>
      </c>
      <c r="F718" s="3" t="s">
        <v>2272</v>
      </c>
      <c r="G718" s="23" t="s">
        <v>3929</v>
      </c>
      <c r="H718" s="23" t="s">
        <v>3928</v>
      </c>
      <c r="I718" s="73">
        <v>13.349641399999999</v>
      </c>
      <c r="J718" s="73">
        <v>-16.019096399999999</v>
      </c>
      <c r="K718" s="21" t="s">
        <v>2272</v>
      </c>
      <c r="L718" s="22">
        <v>2008</v>
      </c>
      <c r="M718" s="22">
        <v>2009</v>
      </c>
      <c r="N718" s="73" t="s">
        <v>2272</v>
      </c>
      <c r="O718" s="3" t="s">
        <v>66</v>
      </c>
      <c r="P718" s="5" t="s">
        <v>5181</v>
      </c>
      <c r="Q718" s="24" t="s">
        <v>4389</v>
      </c>
    </row>
    <row r="719" spans="1:17" ht="35.5" customHeight="1">
      <c r="A719" s="166">
        <v>172</v>
      </c>
      <c r="B719" s="57" t="s">
        <v>4383</v>
      </c>
      <c r="C719" s="23" t="s">
        <v>4384</v>
      </c>
      <c r="D719" s="22" t="s">
        <v>2411</v>
      </c>
      <c r="E719" s="22" t="s">
        <v>2395</v>
      </c>
      <c r="F719" s="33" t="s">
        <v>2272</v>
      </c>
      <c r="G719" s="23" t="s">
        <v>3930</v>
      </c>
      <c r="H719" s="23" t="s">
        <v>3928</v>
      </c>
      <c r="I719" s="73">
        <v>13.7160305</v>
      </c>
      <c r="J719" s="73">
        <v>-15.100198600000001</v>
      </c>
      <c r="K719" s="21" t="s">
        <v>2272</v>
      </c>
      <c r="L719" s="22">
        <v>2008</v>
      </c>
      <c r="M719" s="22">
        <v>2009</v>
      </c>
      <c r="N719" s="73" t="s">
        <v>2272</v>
      </c>
      <c r="O719" s="3" t="s">
        <v>66</v>
      </c>
      <c r="P719" s="5" t="s">
        <v>5181</v>
      </c>
      <c r="Q719" s="24" t="s">
        <v>4389</v>
      </c>
    </row>
    <row r="720" spans="1:17" ht="35.5" customHeight="1">
      <c r="A720" s="166">
        <v>172</v>
      </c>
      <c r="B720" s="57" t="s">
        <v>4383</v>
      </c>
      <c r="C720" s="23" t="s">
        <v>4385</v>
      </c>
      <c r="D720" s="22" t="s">
        <v>2411</v>
      </c>
      <c r="E720" s="22" t="s">
        <v>2395</v>
      </c>
      <c r="F720" s="3" t="s">
        <v>2272</v>
      </c>
      <c r="G720" s="23" t="s">
        <v>4407</v>
      </c>
      <c r="H720" s="23" t="s">
        <v>3928</v>
      </c>
      <c r="I720" s="73">
        <v>13.5721112</v>
      </c>
      <c r="J720" s="73">
        <v>-15.2698559</v>
      </c>
      <c r="K720" s="21" t="s">
        <v>2272</v>
      </c>
      <c r="L720" s="22">
        <v>2008</v>
      </c>
      <c r="M720" s="22">
        <v>2009</v>
      </c>
      <c r="N720" s="73" t="s">
        <v>2272</v>
      </c>
      <c r="O720" s="3" t="s">
        <v>66</v>
      </c>
      <c r="P720" s="5" t="s">
        <v>5181</v>
      </c>
      <c r="Q720" s="24" t="s">
        <v>4389</v>
      </c>
    </row>
    <row r="721" spans="1:17" ht="35.5" customHeight="1">
      <c r="A721" s="166">
        <v>172</v>
      </c>
      <c r="B721" s="57" t="s">
        <v>4383</v>
      </c>
      <c r="C721" s="23" t="s">
        <v>4386</v>
      </c>
      <c r="D721" s="22" t="s">
        <v>2411</v>
      </c>
      <c r="E721" s="22" t="s">
        <v>2395</v>
      </c>
      <c r="F721" s="3" t="s">
        <v>2272</v>
      </c>
      <c r="G721" s="3" t="s">
        <v>3937</v>
      </c>
      <c r="H721" s="3" t="s">
        <v>3939</v>
      </c>
      <c r="I721" s="21">
        <v>11.7544994</v>
      </c>
      <c r="J721" s="21">
        <v>-13.204300399999999</v>
      </c>
      <c r="K721" s="21">
        <v>11350</v>
      </c>
      <c r="L721" s="22">
        <v>2008</v>
      </c>
      <c r="M721" s="22">
        <v>2009</v>
      </c>
      <c r="N721" s="73">
        <v>13</v>
      </c>
      <c r="O721" s="3" t="s">
        <v>66</v>
      </c>
      <c r="P721" s="5" t="s">
        <v>5181</v>
      </c>
      <c r="Q721" s="24" t="s">
        <v>4389</v>
      </c>
    </row>
    <row r="722" spans="1:17" ht="35.5" customHeight="1">
      <c r="A722" s="166">
        <v>172</v>
      </c>
      <c r="B722" s="57" t="s">
        <v>4383</v>
      </c>
      <c r="C722" s="23" t="s">
        <v>4387</v>
      </c>
      <c r="D722" s="22" t="s">
        <v>2411</v>
      </c>
      <c r="E722" s="22" t="s">
        <v>2395</v>
      </c>
      <c r="F722" s="33" t="s">
        <v>2272</v>
      </c>
      <c r="G722" s="3" t="s">
        <v>3938</v>
      </c>
      <c r="H722" s="3" t="s">
        <v>3939</v>
      </c>
      <c r="I722" s="21">
        <v>11.291210700000001</v>
      </c>
      <c r="J722" s="21">
        <v>-10.711305100000001</v>
      </c>
      <c r="K722" s="21">
        <v>3474</v>
      </c>
      <c r="L722" s="22">
        <v>2008</v>
      </c>
      <c r="M722" s="22">
        <v>2009</v>
      </c>
      <c r="N722" s="73" t="s">
        <v>2272</v>
      </c>
      <c r="O722" s="3" t="s">
        <v>66</v>
      </c>
      <c r="P722" s="5" t="s">
        <v>5181</v>
      </c>
      <c r="Q722" s="24" t="s">
        <v>4389</v>
      </c>
    </row>
    <row r="723" spans="1:17" ht="35.5" customHeight="1">
      <c r="A723" s="166">
        <v>172</v>
      </c>
      <c r="B723" s="57" t="s">
        <v>4383</v>
      </c>
      <c r="C723" s="23" t="s">
        <v>4388</v>
      </c>
      <c r="D723" s="22" t="s">
        <v>2411</v>
      </c>
      <c r="E723" s="22" t="s">
        <v>2395</v>
      </c>
      <c r="F723" s="3" t="s">
        <v>2272</v>
      </c>
      <c r="G723" s="3" t="s">
        <v>3940</v>
      </c>
      <c r="H723" s="3" t="s">
        <v>3939</v>
      </c>
      <c r="I723" s="21">
        <v>8.8076275000000006</v>
      </c>
      <c r="J723" s="21">
        <v>-8.3084334999999996</v>
      </c>
      <c r="K723" s="21">
        <v>3129.69</v>
      </c>
      <c r="L723" s="22">
        <v>2008</v>
      </c>
      <c r="M723" s="22">
        <v>2009</v>
      </c>
      <c r="N723" s="73" t="s">
        <v>2272</v>
      </c>
      <c r="O723" s="3" t="s">
        <v>66</v>
      </c>
      <c r="P723" s="5" t="s">
        <v>5181</v>
      </c>
      <c r="Q723" s="24" t="s">
        <v>4389</v>
      </c>
    </row>
    <row r="724" spans="1:17" ht="41" customHeight="1">
      <c r="A724" s="166">
        <v>173</v>
      </c>
      <c r="B724" s="37" t="s">
        <v>4414</v>
      </c>
      <c r="C724" s="23" t="s">
        <v>4413</v>
      </c>
      <c r="D724" s="3" t="s">
        <v>2393</v>
      </c>
      <c r="E724" s="3" t="s">
        <v>2632</v>
      </c>
      <c r="F724" s="3" t="s">
        <v>2272</v>
      </c>
      <c r="G724" s="3" t="s">
        <v>4418</v>
      </c>
      <c r="H724" s="3" t="s">
        <v>4415</v>
      </c>
      <c r="I724" s="21">
        <v>35.279265500000001</v>
      </c>
      <c r="J724" s="21">
        <v>63.872084999999998</v>
      </c>
      <c r="K724" s="73" t="s">
        <v>2272</v>
      </c>
      <c r="L724" s="90">
        <v>2006</v>
      </c>
      <c r="M724" s="167">
        <v>2006</v>
      </c>
      <c r="N724" s="73" t="s">
        <v>2272</v>
      </c>
      <c r="O724" s="3" t="s">
        <v>66</v>
      </c>
      <c r="P724" s="5" t="s">
        <v>5181</v>
      </c>
      <c r="Q724" s="3"/>
    </row>
    <row r="725" spans="1:17" ht="38" customHeight="1">
      <c r="A725" s="166">
        <v>173</v>
      </c>
      <c r="B725" s="37" t="s">
        <v>4414</v>
      </c>
      <c r="C725" s="23" t="s">
        <v>4416</v>
      </c>
      <c r="D725" s="3" t="s">
        <v>2393</v>
      </c>
      <c r="E725" s="3" t="s">
        <v>2632</v>
      </c>
      <c r="F725" s="3" t="s">
        <v>4419</v>
      </c>
      <c r="G725" s="3" t="s">
        <v>2272</v>
      </c>
      <c r="H725" s="11" t="s">
        <v>4417</v>
      </c>
      <c r="I725" s="21">
        <v>35.866898399999997</v>
      </c>
      <c r="J725" s="21">
        <v>61.665154600000001</v>
      </c>
      <c r="K725" s="73" t="s">
        <v>2272</v>
      </c>
      <c r="L725" s="90">
        <v>2006</v>
      </c>
      <c r="M725" s="167">
        <v>2006</v>
      </c>
      <c r="N725" s="73" t="s">
        <v>2272</v>
      </c>
      <c r="O725" s="3" t="s">
        <v>66</v>
      </c>
      <c r="P725" s="5" t="s">
        <v>5181</v>
      </c>
      <c r="Q725" s="3"/>
    </row>
    <row r="726" spans="1:17" ht="50" customHeight="1">
      <c r="A726" s="166">
        <v>174</v>
      </c>
      <c r="B726" s="37" t="s">
        <v>4430</v>
      </c>
      <c r="C726" s="23" t="s">
        <v>4431</v>
      </c>
      <c r="D726" s="3" t="s">
        <v>2393</v>
      </c>
      <c r="E726" s="3" t="s">
        <v>2394</v>
      </c>
      <c r="F726" s="3" t="s">
        <v>4432</v>
      </c>
      <c r="G726" s="3" t="s">
        <v>3766</v>
      </c>
      <c r="H726" s="3" t="s">
        <v>3765</v>
      </c>
      <c r="I726" s="21">
        <v>-33.5</v>
      </c>
      <c r="J726" s="21">
        <v>25.332999999999998</v>
      </c>
      <c r="K726" s="21" t="s">
        <v>2272</v>
      </c>
      <c r="L726" s="90">
        <v>2001</v>
      </c>
      <c r="M726" s="167">
        <v>2002</v>
      </c>
      <c r="N726" s="73" t="s">
        <v>2272</v>
      </c>
      <c r="O726" s="3" t="s">
        <v>66</v>
      </c>
      <c r="P726" s="5" t="s">
        <v>5181</v>
      </c>
      <c r="Q726" s="3"/>
    </row>
    <row r="727" spans="1:17" ht="44.5" customHeight="1">
      <c r="A727" s="166">
        <v>175</v>
      </c>
      <c r="B727" s="37" t="s">
        <v>4442</v>
      </c>
      <c r="C727" s="23" t="s">
        <v>4443</v>
      </c>
      <c r="D727" s="3" t="s">
        <v>2393</v>
      </c>
      <c r="E727" s="3" t="s">
        <v>2631</v>
      </c>
      <c r="F727" s="3" t="s">
        <v>4444</v>
      </c>
      <c r="G727" s="3" t="s">
        <v>4445</v>
      </c>
      <c r="H727" s="3" t="s">
        <v>767</v>
      </c>
      <c r="I727" s="21">
        <v>16.594422600000001</v>
      </c>
      <c r="J727" s="21">
        <v>-92.363898300000002</v>
      </c>
      <c r="K727" s="21" t="s">
        <v>2272</v>
      </c>
      <c r="L727" s="167">
        <v>1990</v>
      </c>
      <c r="M727" s="167">
        <v>1990</v>
      </c>
      <c r="N727" s="73" t="s">
        <v>2272</v>
      </c>
      <c r="O727" s="3" t="s">
        <v>66</v>
      </c>
      <c r="P727" s="5" t="s">
        <v>5181</v>
      </c>
      <c r="Q727" s="4" t="s">
        <v>4450</v>
      </c>
    </row>
    <row r="728" spans="1:17" ht="43.5" customHeight="1">
      <c r="A728" s="166">
        <v>175</v>
      </c>
      <c r="B728" s="37" t="s">
        <v>4442</v>
      </c>
      <c r="C728" s="23" t="s">
        <v>4446</v>
      </c>
      <c r="D728" s="3" t="s">
        <v>2393</v>
      </c>
      <c r="E728" s="3" t="s">
        <v>2632</v>
      </c>
      <c r="F728" s="3" t="s">
        <v>4447</v>
      </c>
      <c r="G728" s="3" t="s">
        <v>4445</v>
      </c>
      <c r="H728" s="3" t="s">
        <v>767</v>
      </c>
      <c r="I728" s="21">
        <v>16.594422600000001</v>
      </c>
      <c r="J728" s="21">
        <v>-92.363898300000002</v>
      </c>
      <c r="K728" s="21" t="s">
        <v>2272</v>
      </c>
      <c r="L728" s="167">
        <v>2010</v>
      </c>
      <c r="M728" s="167">
        <v>2010</v>
      </c>
      <c r="N728" s="73" t="s">
        <v>2272</v>
      </c>
      <c r="O728" s="3" t="s">
        <v>66</v>
      </c>
      <c r="P728" s="5" t="s">
        <v>5181</v>
      </c>
      <c r="Q728" s="4" t="s">
        <v>4451</v>
      </c>
    </row>
    <row r="729" spans="1:17" ht="52" customHeight="1">
      <c r="A729" s="166">
        <v>175</v>
      </c>
      <c r="B729" s="38" t="s">
        <v>4449</v>
      </c>
      <c r="C729" s="23" t="s">
        <v>4448</v>
      </c>
      <c r="D729" s="3" t="s">
        <v>2393</v>
      </c>
      <c r="E729" s="3" t="s">
        <v>2632</v>
      </c>
      <c r="F729" s="3" t="s">
        <v>4447</v>
      </c>
      <c r="G729" s="3" t="s">
        <v>4445</v>
      </c>
      <c r="H729" s="3" t="s">
        <v>767</v>
      </c>
      <c r="I729" s="21">
        <v>20.597460399999999</v>
      </c>
      <c r="J729" s="21">
        <v>-88.162852200000003</v>
      </c>
      <c r="K729" s="21" t="s">
        <v>2272</v>
      </c>
      <c r="L729" s="167">
        <v>1990</v>
      </c>
      <c r="M729" s="167">
        <v>1990</v>
      </c>
      <c r="N729" s="73" t="s">
        <v>2272</v>
      </c>
      <c r="O729" s="3" t="s">
        <v>66</v>
      </c>
      <c r="P729" s="5" t="s">
        <v>5181</v>
      </c>
      <c r="Q729" s="3"/>
    </row>
    <row r="730" spans="1:17" ht="58.5" customHeight="1">
      <c r="A730" s="166">
        <v>176</v>
      </c>
      <c r="B730" s="37" t="s">
        <v>4467</v>
      </c>
      <c r="C730" s="3" t="s">
        <v>4468</v>
      </c>
      <c r="D730" s="3" t="s">
        <v>2393</v>
      </c>
      <c r="E730" s="3" t="s">
        <v>2394</v>
      </c>
      <c r="F730" s="3" t="s">
        <v>4469</v>
      </c>
      <c r="G730" s="3" t="s">
        <v>3964</v>
      </c>
      <c r="H730" s="3" t="s">
        <v>1947</v>
      </c>
      <c r="I730" s="21">
        <f>3 + 7/60</f>
        <v>3.1166666666666667</v>
      </c>
      <c r="J730" s="21">
        <f>35+35/60</f>
        <v>35.583333333333336</v>
      </c>
      <c r="K730" s="21">
        <v>840</v>
      </c>
      <c r="L730" s="3">
        <v>1987</v>
      </c>
      <c r="M730" s="3">
        <v>1987</v>
      </c>
      <c r="N730" s="73" t="s">
        <v>2272</v>
      </c>
      <c r="O730" s="3" t="s">
        <v>66</v>
      </c>
      <c r="P730" s="5" t="s">
        <v>5181</v>
      </c>
      <c r="Q730" s="3"/>
    </row>
    <row r="731" spans="1:17" ht="49" customHeight="1">
      <c r="A731" s="166">
        <v>177</v>
      </c>
      <c r="B731" s="37" t="s">
        <v>4479</v>
      </c>
      <c r="C731" s="3" t="s">
        <v>4480</v>
      </c>
      <c r="D731" s="3" t="s">
        <v>2393</v>
      </c>
      <c r="E731" s="4" t="s">
        <v>2634</v>
      </c>
      <c r="F731" s="3" t="s">
        <v>4481</v>
      </c>
      <c r="G731" s="3" t="s">
        <v>2272</v>
      </c>
      <c r="H731" s="3" t="s">
        <v>1947</v>
      </c>
      <c r="I731" s="21">
        <v>-1.25</v>
      </c>
      <c r="J731" s="21">
        <v>35.25</v>
      </c>
      <c r="K731" s="21">
        <v>2250</v>
      </c>
      <c r="L731" s="3">
        <v>1950</v>
      </c>
      <c r="M731" s="3">
        <v>1966</v>
      </c>
      <c r="N731" s="73">
        <f>202/K731</f>
        <v>8.9777777777777776E-2</v>
      </c>
      <c r="O731" s="3" t="s">
        <v>66</v>
      </c>
      <c r="P731" s="5" t="s">
        <v>5181</v>
      </c>
      <c r="Q731" s="3"/>
    </row>
    <row r="732" spans="1:17" ht="49" customHeight="1">
      <c r="A732" s="166">
        <v>177</v>
      </c>
      <c r="B732" s="37" t="s">
        <v>4479</v>
      </c>
      <c r="C732" s="3" t="s">
        <v>4482</v>
      </c>
      <c r="D732" s="3" t="s">
        <v>2393</v>
      </c>
      <c r="E732" s="4" t="s">
        <v>2634</v>
      </c>
      <c r="F732" s="3" t="s">
        <v>4481</v>
      </c>
      <c r="G732" s="3" t="s">
        <v>2272</v>
      </c>
      <c r="H732" s="3" t="s">
        <v>1947</v>
      </c>
      <c r="I732" s="21">
        <v>-1.25</v>
      </c>
      <c r="J732" s="21">
        <v>35.25</v>
      </c>
      <c r="K732" s="21">
        <v>2250</v>
      </c>
      <c r="L732" s="169">
        <v>1967</v>
      </c>
      <c r="M732" s="169">
        <v>1982</v>
      </c>
      <c r="N732" s="73">
        <f>1283/K732</f>
        <v>0.57022222222222219</v>
      </c>
      <c r="O732" s="3" t="s">
        <v>66</v>
      </c>
      <c r="P732" s="5" t="s">
        <v>5181</v>
      </c>
      <c r="Q732" s="3"/>
    </row>
    <row r="733" spans="1:17" ht="49" customHeight="1">
      <c r="A733" s="166">
        <v>177</v>
      </c>
      <c r="B733" s="37" t="s">
        <v>4479</v>
      </c>
      <c r="C733" s="3" t="s">
        <v>4483</v>
      </c>
      <c r="D733" s="3" t="s">
        <v>2393</v>
      </c>
      <c r="E733" s="4" t="s">
        <v>2634</v>
      </c>
      <c r="F733" s="3" t="s">
        <v>4481</v>
      </c>
      <c r="G733" s="3" t="s">
        <v>2272</v>
      </c>
      <c r="H733" s="3" t="s">
        <v>1947</v>
      </c>
      <c r="I733" s="21">
        <v>-1.25</v>
      </c>
      <c r="J733" s="21">
        <v>35.25</v>
      </c>
      <c r="K733" s="21">
        <v>2250</v>
      </c>
      <c r="L733" s="169">
        <v>1983</v>
      </c>
      <c r="M733" s="169">
        <v>1998</v>
      </c>
      <c r="N733" s="73">
        <f>4151/K733</f>
        <v>1.8448888888888888</v>
      </c>
      <c r="O733" s="3" t="s">
        <v>66</v>
      </c>
      <c r="P733" s="5" t="s">
        <v>5181</v>
      </c>
      <c r="Q733" s="3"/>
    </row>
    <row r="734" spans="1:17" ht="49" customHeight="1">
      <c r="A734" s="166">
        <v>177</v>
      </c>
      <c r="B734" s="37" t="s">
        <v>4479</v>
      </c>
      <c r="C734" s="3" t="s">
        <v>4484</v>
      </c>
      <c r="D734" s="3" t="s">
        <v>2393</v>
      </c>
      <c r="E734" s="4" t="s">
        <v>2634</v>
      </c>
      <c r="F734" s="3" t="s">
        <v>4481</v>
      </c>
      <c r="G734" s="3" t="s">
        <v>2272</v>
      </c>
      <c r="H734" s="3" t="s">
        <v>1947</v>
      </c>
      <c r="I734" s="21">
        <v>-1.25</v>
      </c>
      <c r="J734" s="21">
        <v>35.25</v>
      </c>
      <c r="K734" s="21">
        <v>2250</v>
      </c>
      <c r="L734" s="169">
        <v>1999</v>
      </c>
      <c r="M734" s="169">
        <v>2000</v>
      </c>
      <c r="N734" s="73">
        <f>8428/K734</f>
        <v>3.7457777777777777</v>
      </c>
      <c r="O734" s="3" t="s">
        <v>66</v>
      </c>
      <c r="P734" s="5" t="s">
        <v>5181</v>
      </c>
      <c r="Q734" s="3"/>
    </row>
    <row r="735" spans="1:17" ht="50" customHeight="1">
      <c r="A735" s="166">
        <v>178</v>
      </c>
      <c r="B735" s="37" t="s">
        <v>4496</v>
      </c>
      <c r="C735" s="11" t="s">
        <v>4497</v>
      </c>
      <c r="D735" s="3" t="s">
        <v>2393</v>
      </c>
      <c r="E735" s="3" t="s">
        <v>2394</v>
      </c>
      <c r="F735" s="3" t="s">
        <v>4500</v>
      </c>
      <c r="G735" s="3" t="s">
        <v>2272</v>
      </c>
      <c r="H735" s="3" t="s">
        <v>1947</v>
      </c>
      <c r="I735" s="21">
        <f>17/60</f>
        <v>0.28333333333333333</v>
      </c>
      <c r="J735" s="21">
        <f>37+53/60</f>
        <v>37.883333333333333</v>
      </c>
      <c r="K735" s="21" t="s">
        <v>2272</v>
      </c>
      <c r="L735" s="3">
        <v>1984</v>
      </c>
      <c r="M735" s="3">
        <v>2004</v>
      </c>
      <c r="N735" s="21" t="s">
        <v>2272</v>
      </c>
      <c r="O735" s="3" t="s">
        <v>66</v>
      </c>
      <c r="P735" s="5" t="s">
        <v>5181</v>
      </c>
      <c r="Q735" s="3" t="s">
        <v>4502</v>
      </c>
    </row>
    <row r="736" spans="1:17" ht="45" customHeight="1">
      <c r="A736" s="166">
        <v>178</v>
      </c>
      <c r="B736" s="37" t="s">
        <v>4496</v>
      </c>
      <c r="C736" s="11" t="s">
        <v>4501</v>
      </c>
      <c r="D736" s="3" t="s">
        <v>2393</v>
      </c>
      <c r="E736" s="3" t="s">
        <v>2394</v>
      </c>
      <c r="F736" s="3" t="s">
        <v>4500</v>
      </c>
      <c r="G736" s="3" t="s">
        <v>2272</v>
      </c>
      <c r="H736" s="3" t="s">
        <v>1947</v>
      </c>
      <c r="I736" s="21">
        <f>17/60</f>
        <v>0.28333333333333333</v>
      </c>
      <c r="J736" s="21">
        <f>37+53/60</f>
        <v>37.883333333333333</v>
      </c>
      <c r="K736" s="21" t="s">
        <v>2272</v>
      </c>
      <c r="L736" s="3">
        <v>2004</v>
      </c>
      <c r="M736" s="3">
        <v>2006</v>
      </c>
      <c r="N736" s="21" t="s">
        <v>2272</v>
      </c>
      <c r="O736" s="3" t="s">
        <v>66</v>
      </c>
      <c r="P736" s="5" t="s">
        <v>5181</v>
      </c>
      <c r="Q736" s="3"/>
    </row>
    <row r="737" spans="1:17" ht="43" customHeight="1">
      <c r="A737" s="166">
        <v>179</v>
      </c>
      <c r="B737" s="37" t="s">
        <v>4512</v>
      </c>
      <c r="C737" s="3" t="s">
        <v>4513</v>
      </c>
      <c r="D737" s="3" t="s">
        <v>2393</v>
      </c>
      <c r="E737" s="3" t="s">
        <v>2394</v>
      </c>
      <c r="F737" s="3" t="s">
        <v>4518</v>
      </c>
      <c r="G737" s="11" t="s">
        <v>4509</v>
      </c>
      <c r="H737" s="11" t="s">
        <v>4510</v>
      </c>
      <c r="I737" s="21">
        <f>-26 - 16.5/60</f>
        <v>-26.274999999999999</v>
      </c>
      <c r="J737" s="21">
        <f>31 + 53.5/60</f>
        <v>31.891666666666666</v>
      </c>
      <c r="K737" s="21">
        <v>124</v>
      </c>
      <c r="L737" s="3">
        <v>1967</v>
      </c>
      <c r="M737" s="3">
        <v>1997</v>
      </c>
      <c r="N737" s="21" t="s">
        <v>2272</v>
      </c>
      <c r="O737" s="3" t="s">
        <v>66</v>
      </c>
      <c r="P737" s="5" t="s">
        <v>5181</v>
      </c>
      <c r="Q737" s="3"/>
    </row>
    <row r="738" spans="1:17" ht="43" customHeight="1">
      <c r="A738" s="166">
        <v>179</v>
      </c>
      <c r="B738" s="37" t="s">
        <v>4512</v>
      </c>
      <c r="C738" s="3" t="s">
        <v>4514</v>
      </c>
      <c r="D738" s="3" t="s">
        <v>2393</v>
      </c>
      <c r="E738" s="3" t="s">
        <v>2394</v>
      </c>
      <c r="F738" s="3" t="s">
        <v>4519</v>
      </c>
      <c r="G738" s="11" t="s">
        <v>4509</v>
      </c>
      <c r="H738" s="11" t="s">
        <v>4510</v>
      </c>
      <c r="I738" s="21">
        <f t="shared" ref="I738:I741" si="9">-26 - 16.5/60</f>
        <v>-26.274999999999999</v>
      </c>
      <c r="J738" s="21">
        <f t="shared" ref="J738:J741" si="10">31 + 53.5/60</f>
        <v>31.891666666666666</v>
      </c>
      <c r="K738" s="21">
        <v>39</v>
      </c>
      <c r="L738" s="3">
        <v>1967</v>
      </c>
      <c r="M738" s="3">
        <v>1997</v>
      </c>
      <c r="N738" s="21" t="s">
        <v>2272</v>
      </c>
      <c r="O738" s="3" t="s">
        <v>66</v>
      </c>
      <c r="P738" s="5" t="s">
        <v>5181</v>
      </c>
      <c r="Q738" s="3"/>
    </row>
    <row r="739" spans="1:17" ht="43" customHeight="1">
      <c r="A739" s="166">
        <v>179</v>
      </c>
      <c r="B739" s="37" t="s">
        <v>4512</v>
      </c>
      <c r="C739" s="3" t="s">
        <v>4515</v>
      </c>
      <c r="D739" s="3" t="s">
        <v>2393</v>
      </c>
      <c r="E739" s="3" t="s">
        <v>2394</v>
      </c>
      <c r="F739" s="4" t="s">
        <v>4520</v>
      </c>
      <c r="G739" s="11" t="s">
        <v>4509</v>
      </c>
      <c r="H739" s="11" t="s">
        <v>4510</v>
      </c>
      <c r="I739" s="21">
        <f t="shared" si="9"/>
        <v>-26.274999999999999</v>
      </c>
      <c r="J739" s="21">
        <f t="shared" si="10"/>
        <v>31.891666666666666</v>
      </c>
      <c r="K739" s="21">
        <v>15</v>
      </c>
      <c r="L739" s="3">
        <v>1967</v>
      </c>
      <c r="M739" s="3">
        <v>1997</v>
      </c>
      <c r="N739" s="21" t="s">
        <v>2272</v>
      </c>
      <c r="O739" s="3" t="s">
        <v>66</v>
      </c>
      <c r="P739" s="5" t="s">
        <v>5181</v>
      </c>
      <c r="Q739" s="3"/>
    </row>
    <row r="740" spans="1:17" ht="43" customHeight="1">
      <c r="A740" s="166">
        <v>179</v>
      </c>
      <c r="B740" s="37" t="s">
        <v>4512</v>
      </c>
      <c r="C740" s="3" t="s">
        <v>4516</v>
      </c>
      <c r="D740" s="3" t="s">
        <v>2393</v>
      </c>
      <c r="E740" s="3" t="s">
        <v>2394</v>
      </c>
      <c r="F740" s="4" t="s">
        <v>4521</v>
      </c>
      <c r="G740" s="11" t="s">
        <v>4509</v>
      </c>
      <c r="H740" s="11" t="s">
        <v>4510</v>
      </c>
      <c r="I740" s="21">
        <f t="shared" si="9"/>
        <v>-26.274999999999999</v>
      </c>
      <c r="J740" s="21">
        <f t="shared" si="10"/>
        <v>31.891666666666666</v>
      </c>
      <c r="K740" s="21">
        <v>38</v>
      </c>
      <c r="L740" s="3">
        <v>1967</v>
      </c>
      <c r="M740" s="3">
        <v>1997</v>
      </c>
      <c r="N740" s="21" t="s">
        <v>2272</v>
      </c>
      <c r="O740" s="3" t="s">
        <v>66</v>
      </c>
      <c r="P740" s="5" t="s">
        <v>5181</v>
      </c>
      <c r="Q740" s="3"/>
    </row>
    <row r="741" spans="1:17" ht="43" customHeight="1">
      <c r="A741" s="166">
        <v>179</v>
      </c>
      <c r="B741" s="37" t="s">
        <v>4512</v>
      </c>
      <c r="C741" s="3" t="s">
        <v>4517</v>
      </c>
      <c r="D741" s="3" t="s">
        <v>2393</v>
      </c>
      <c r="E741" s="3" t="s">
        <v>2394</v>
      </c>
      <c r="F741" s="3" t="s">
        <v>4522</v>
      </c>
      <c r="G741" s="11" t="s">
        <v>4509</v>
      </c>
      <c r="H741" s="11" t="s">
        <v>4510</v>
      </c>
      <c r="I741" s="21">
        <f t="shared" si="9"/>
        <v>-26.274999999999999</v>
      </c>
      <c r="J741" s="21">
        <f t="shared" si="10"/>
        <v>31.891666666666666</v>
      </c>
      <c r="K741" s="21">
        <v>0.5</v>
      </c>
      <c r="L741" s="3">
        <v>1967</v>
      </c>
      <c r="M741" s="3">
        <v>1997</v>
      </c>
      <c r="N741" s="21" t="s">
        <v>2272</v>
      </c>
      <c r="O741" s="3" t="s">
        <v>66</v>
      </c>
      <c r="P741" s="5" t="s">
        <v>5181</v>
      </c>
      <c r="Q741" s="3"/>
    </row>
    <row r="742" spans="1:17" ht="43.5" customHeight="1">
      <c r="A742" s="166">
        <v>180</v>
      </c>
      <c r="B742" s="37" t="s">
        <v>4537</v>
      </c>
      <c r="C742" s="11" t="s">
        <v>4538</v>
      </c>
      <c r="D742" s="3" t="s">
        <v>2393</v>
      </c>
      <c r="E742" s="3" t="s">
        <v>2632</v>
      </c>
      <c r="F742" s="3" t="s">
        <v>4539</v>
      </c>
      <c r="G742" s="3" t="s">
        <v>4540</v>
      </c>
      <c r="H742" s="3" t="s">
        <v>1944</v>
      </c>
      <c r="I742" s="21">
        <v>-19.3195555</v>
      </c>
      <c r="J742" s="21">
        <v>23.007431</v>
      </c>
      <c r="K742" s="21" t="s">
        <v>2272</v>
      </c>
      <c r="L742" s="3">
        <v>2006</v>
      </c>
      <c r="M742" s="3">
        <v>2006</v>
      </c>
      <c r="N742" s="21" t="s">
        <v>2272</v>
      </c>
      <c r="O742" s="3" t="s">
        <v>66</v>
      </c>
      <c r="P742" s="5" t="s">
        <v>5181</v>
      </c>
      <c r="Q742" s="3"/>
    </row>
    <row r="743" spans="1:17" ht="44.5" customHeight="1">
      <c r="A743" s="166">
        <v>180</v>
      </c>
      <c r="B743" s="37" t="s">
        <v>4537</v>
      </c>
      <c r="C743" s="11" t="s">
        <v>4541</v>
      </c>
      <c r="D743" s="3" t="s">
        <v>2393</v>
      </c>
      <c r="E743" s="3" t="s">
        <v>2632</v>
      </c>
      <c r="F743" s="3" t="s">
        <v>4543</v>
      </c>
      <c r="G743" s="3" t="s">
        <v>4542</v>
      </c>
      <c r="H743" s="3" t="s">
        <v>420</v>
      </c>
      <c r="I743" s="21">
        <v>-16.747628200000001</v>
      </c>
      <c r="J743" s="21">
        <v>24.087938900000001</v>
      </c>
      <c r="K743" s="21" t="s">
        <v>2272</v>
      </c>
      <c r="L743" s="11">
        <v>2010</v>
      </c>
      <c r="M743" s="11">
        <v>2010</v>
      </c>
      <c r="N743" s="21" t="s">
        <v>2272</v>
      </c>
      <c r="O743" s="3" t="s">
        <v>66</v>
      </c>
      <c r="P743" s="5" t="s">
        <v>5181</v>
      </c>
      <c r="Q743" s="3"/>
    </row>
    <row r="744" spans="1:17" ht="43" customHeight="1">
      <c r="A744" s="166">
        <v>180</v>
      </c>
      <c r="B744" s="37" t="s">
        <v>4537</v>
      </c>
      <c r="C744" s="11" t="s">
        <v>4566</v>
      </c>
      <c r="D744" s="3" t="s">
        <v>2393</v>
      </c>
      <c r="E744" s="3" t="s">
        <v>2632</v>
      </c>
      <c r="F744" s="3" t="s">
        <v>4567</v>
      </c>
      <c r="G744" s="3" t="s">
        <v>4568</v>
      </c>
      <c r="H744" s="3" t="s">
        <v>3765</v>
      </c>
      <c r="I744" s="21">
        <v>-27.808495600000001</v>
      </c>
      <c r="J744" s="21">
        <v>32.346019499999997</v>
      </c>
      <c r="K744" s="21">
        <v>170</v>
      </c>
      <c r="L744" s="11">
        <v>2004</v>
      </c>
      <c r="M744" s="11">
        <v>2010</v>
      </c>
      <c r="N744" s="21" t="s">
        <v>2272</v>
      </c>
      <c r="O744" s="3" t="s">
        <v>66</v>
      </c>
      <c r="P744" s="5" t="s">
        <v>5181</v>
      </c>
      <c r="Q744" s="3"/>
    </row>
    <row r="745" spans="1:17" ht="42.5" customHeight="1">
      <c r="A745" s="166">
        <v>180</v>
      </c>
      <c r="B745" s="37" t="s">
        <v>4537</v>
      </c>
      <c r="C745" s="11" t="s">
        <v>4577</v>
      </c>
      <c r="D745" s="3" t="s">
        <v>2393</v>
      </c>
      <c r="E745" s="3" t="s">
        <v>2394</v>
      </c>
      <c r="F745" s="3" t="s">
        <v>4576</v>
      </c>
      <c r="G745" s="3" t="s">
        <v>2272</v>
      </c>
      <c r="H745" s="3" t="s">
        <v>383</v>
      </c>
      <c r="I745" s="21">
        <v>-3.2261674999999999</v>
      </c>
      <c r="J745" s="21">
        <v>35.446659500000003</v>
      </c>
      <c r="K745" s="21">
        <v>170</v>
      </c>
      <c r="L745" s="11">
        <v>1995</v>
      </c>
      <c r="M745" s="11">
        <v>2003</v>
      </c>
      <c r="N745" s="21" t="s">
        <v>2272</v>
      </c>
      <c r="O745" s="3" t="s">
        <v>66</v>
      </c>
      <c r="P745" s="5" t="s">
        <v>5181</v>
      </c>
      <c r="Q745" s="3"/>
    </row>
    <row r="746" spans="1:17" ht="42.5" customHeight="1">
      <c r="A746" s="166">
        <v>180</v>
      </c>
      <c r="B746" s="37" t="s">
        <v>4537</v>
      </c>
      <c r="C746" s="11" t="s">
        <v>4580</v>
      </c>
      <c r="D746" s="3" t="s">
        <v>2393</v>
      </c>
      <c r="E746" s="3" t="s">
        <v>2631</v>
      </c>
      <c r="F746" s="3" t="s">
        <v>4582</v>
      </c>
      <c r="G746" s="3" t="s">
        <v>2272</v>
      </c>
      <c r="H746" s="3" t="s">
        <v>3765</v>
      </c>
      <c r="I746" s="21">
        <v>-23.988384799999999</v>
      </c>
      <c r="J746" s="21">
        <v>31.554740200000001</v>
      </c>
      <c r="K746" s="21">
        <v>170</v>
      </c>
      <c r="L746" s="11">
        <v>2010</v>
      </c>
      <c r="M746" s="11">
        <v>2010</v>
      </c>
      <c r="N746" s="21" t="s">
        <v>2272</v>
      </c>
      <c r="O746" s="3" t="s">
        <v>66</v>
      </c>
      <c r="P746" s="5" t="s">
        <v>5181</v>
      </c>
      <c r="Q746" s="3"/>
    </row>
    <row r="747" spans="1:17" ht="42" customHeight="1">
      <c r="A747" s="166">
        <v>180</v>
      </c>
      <c r="B747" s="37" t="s">
        <v>4537</v>
      </c>
      <c r="C747" s="11" t="s">
        <v>4581</v>
      </c>
      <c r="D747" s="3" t="s">
        <v>2393</v>
      </c>
      <c r="E747" s="3" t="s">
        <v>2631</v>
      </c>
      <c r="F747" s="3" t="s">
        <v>4583</v>
      </c>
      <c r="G747" s="3" t="s">
        <v>2272</v>
      </c>
      <c r="H747" s="3" t="s">
        <v>3765</v>
      </c>
      <c r="I747" s="21">
        <v>-25.244948900000001</v>
      </c>
      <c r="J747" s="21">
        <v>27.0891302</v>
      </c>
      <c r="K747" s="21">
        <v>170</v>
      </c>
      <c r="L747" s="11">
        <v>2010</v>
      </c>
      <c r="M747" s="11">
        <v>2010</v>
      </c>
      <c r="N747" s="21" t="s">
        <v>2272</v>
      </c>
      <c r="O747" s="3" t="s">
        <v>66</v>
      </c>
      <c r="P747" s="5" t="s">
        <v>5181</v>
      </c>
      <c r="Q747" s="3"/>
    </row>
    <row r="748" spans="1:17" ht="57" customHeight="1">
      <c r="A748" s="166">
        <v>181</v>
      </c>
      <c r="B748" s="38" t="s">
        <v>4595</v>
      </c>
      <c r="C748" s="11" t="s">
        <v>4592</v>
      </c>
      <c r="D748" s="3" t="s">
        <v>2393</v>
      </c>
      <c r="E748" s="3" t="s">
        <v>2394</v>
      </c>
      <c r="F748" s="3" t="s">
        <v>4593</v>
      </c>
      <c r="G748" s="3" t="s">
        <v>2272</v>
      </c>
      <c r="H748" s="3" t="s">
        <v>3713</v>
      </c>
      <c r="I748" s="21">
        <v>-18.855590899999999</v>
      </c>
      <c r="J748" s="21">
        <v>16.329319699999999</v>
      </c>
      <c r="K748" s="21">
        <v>22720</v>
      </c>
      <c r="L748" s="3">
        <v>1981</v>
      </c>
      <c r="M748" s="3">
        <v>1997</v>
      </c>
      <c r="N748" s="21" t="s">
        <v>2272</v>
      </c>
      <c r="O748" s="3" t="s">
        <v>66</v>
      </c>
      <c r="P748" s="5" t="s">
        <v>5181</v>
      </c>
      <c r="Q748" s="3"/>
    </row>
    <row r="749" spans="1:17" ht="41" customHeight="1">
      <c r="A749" s="166">
        <v>181</v>
      </c>
      <c r="B749" s="38" t="s">
        <v>4594</v>
      </c>
      <c r="C749" s="11" t="s">
        <v>4596</v>
      </c>
      <c r="D749" s="3" t="s">
        <v>2393</v>
      </c>
      <c r="E749" s="3" t="s">
        <v>2394</v>
      </c>
      <c r="F749" s="3" t="s">
        <v>4599</v>
      </c>
      <c r="G749" s="3" t="s">
        <v>2272</v>
      </c>
      <c r="H749" s="3" t="s">
        <v>3409</v>
      </c>
      <c r="I749" s="21">
        <v>-25.312678600000002</v>
      </c>
      <c r="J749" s="21">
        <v>131.02235709999999</v>
      </c>
      <c r="K749" s="21" t="s">
        <v>2272</v>
      </c>
      <c r="L749" s="3">
        <v>2001</v>
      </c>
      <c r="M749" s="3">
        <v>2001</v>
      </c>
      <c r="N749" s="21" t="s">
        <v>2272</v>
      </c>
      <c r="O749" s="3" t="s">
        <v>66</v>
      </c>
      <c r="P749" s="5" t="s">
        <v>5181</v>
      </c>
      <c r="Q749" s="3"/>
    </row>
    <row r="750" spans="1:17" ht="37" customHeight="1">
      <c r="A750" s="166">
        <v>181</v>
      </c>
      <c r="B750" s="38" t="s">
        <v>4594</v>
      </c>
      <c r="C750" s="11" t="s">
        <v>4597</v>
      </c>
      <c r="D750" s="3" t="s">
        <v>2393</v>
      </c>
      <c r="E750" s="3" t="s">
        <v>2394</v>
      </c>
      <c r="F750" s="3" t="s">
        <v>4600</v>
      </c>
      <c r="G750" s="3" t="s">
        <v>2272</v>
      </c>
      <c r="H750" s="3" t="s">
        <v>3409</v>
      </c>
      <c r="I750" s="21">
        <v>-13.092293099999999</v>
      </c>
      <c r="J750" s="21">
        <v>132.39376580000001</v>
      </c>
      <c r="K750" s="21" t="s">
        <v>2272</v>
      </c>
      <c r="L750" s="3">
        <v>2001</v>
      </c>
      <c r="M750" s="3">
        <v>2001</v>
      </c>
      <c r="N750" s="21" t="s">
        <v>2272</v>
      </c>
      <c r="O750" s="3" t="s">
        <v>66</v>
      </c>
      <c r="P750" s="5" t="s">
        <v>5181</v>
      </c>
      <c r="Q750" s="3"/>
    </row>
    <row r="751" spans="1:17" ht="41" customHeight="1">
      <c r="A751" s="166">
        <v>181</v>
      </c>
      <c r="B751" s="38" t="s">
        <v>4594</v>
      </c>
      <c r="C751" s="11" t="s">
        <v>4598</v>
      </c>
      <c r="D751" s="3" t="s">
        <v>2393</v>
      </c>
      <c r="E751" s="3" t="s">
        <v>2394</v>
      </c>
      <c r="F751" s="3" t="s">
        <v>4583</v>
      </c>
      <c r="G751" s="3" t="s">
        <v>2272</v>
      </c>
      <c r="H751" s="3" t="s">
        <v>3765</v>
      </c>
      <c r="I751" s="21">
        <v>-25.244948900000001</v>
      </c>
      <c r="J751" s="21">
        <v>27.0891302</v>
      </c>
      <c r="K751" s="21">
        <f>50000/100</f>
        <v>500</v>
      </c>
      <c r="L751" s="3">
        <v>2001</v>
      </c>
      <c r="M751" s="3">
        <v>2001</v>
      </c>
      <c r="N751" s="21" t="s">
        <v>2272</v>
      </c>
      <c r="O751" s="3" t="s">
        <v>66</v>
      </c>
      <c r="P751" s="5" t="s">
        <v>5181</v>
      </c>
      <c r="Q751" s="3"/>
    </row>
    <row r="752" spans="1:17" ht="43" customHeight="1">
      <c r="A752" s="166">
        <v>182</v>
      </c>
      <c r="B752" s="37" t="s">
        <v>4620</v>
      </c>
      <c r="C752" s="11" t="s">
        <v>4615</v>
      </c>
      <c r="D752" s="3" t="s">
        <v>2393</v>
      </c>
      <c r="E752" s="3" t="s">
        <v>2394</v>
      </c>
      <c r="F752" s="3" t="s">
        <v>4621</v>
      </c>
      <c r="G752" s="3" t="s">
        <v>2272</v>
      </c>
      <c r="H752" s="3" t="s">
        <v>1944</v>
      </c>
      <c r="I752" s="21">
        <v>-26</v>
      </c>
      <c r="J752" s="21">
        <v>22.4</v>
      </c>
      <c r="K752" s="21" t="s">
        <v>2272</v>
      </c>
      <c r="L752" s="160">
        <v>2004</v>
      </c>
      <c r="M752" s="160">
        <v>2004</v>
      </c>
      <c r="N752" s="21" t="s">
        <v>2272</v>
      </c>
      <c r="O752" s="3" t="s">
        <v>66</v>
      </c>
      <c r="P752" s="5" t="s">
        <v>5181</v>
      </c>
      <c r="Q752" s="4" t="s">
        <v>4622</v>
      </c>
    </row>
    <row r="753" spans="1:17" ht="44.5" customHeight="1">
      <c r="A753" s="166">
        <v>182</v>
      </c>
      <c r="B753" s="37" t="s">
        <v>4620</v>
      </c>
      <c r="C753" s="11" t="s">
        <v>4616</v>
      </c>
      <c r="D753" s="3" t="s">
        <v>2393</v>
      </c>
      <c r="E753" s="3" t="s">
        <v>2394</v>
      </c>
      <c r="F753" s="3" t="s">
        <v>4618</v>
      </c>
      <c r="G753" s="3" t="s">
        <v>2272</v>
      </c>
      <c r="H753" s="3" t="s">
        <v>1944</v>
      </c>
      <c r="I753" s="21">
        <v>-21</v>
      </c>
      <c r="J753" s="21">
        <v>24.75</v>
      </c>
      <c r="K753" s="21" t="s">
        <v>2272</v>
      </c>
      <c r="L753" s="160">
        <v>2004</v>
      </c>
      <c r="M753" s="160">
        <v>2004</v>
      </c>
      <c r="N753" s="21" t="s">
        <v>2272</v>
      </c>
      <c r="O753" s="3" t="s">
        <v>66</v>
      </c>
      <c r="P753" s="5" t="s">
        <v>5181</v>
      </c>
      <c r="Q753" s="4" t="s">
        <v>4622</v>
      </c>
    </row>
    <row r="754" spans="1:17" ht="43.5" customHeight="1">
      <c r="A754" s="166">
        <v>182</v>
      </c>
      <c r="B754" s="37" t="s">
        <v>4620</v>
      </c>
      <c r="C754" s="11" t="s">
        <v>4617</v>
      </c>
      <c r="D754" s="3" t="s">
        <v>2393</v>
      </c>
      <c r="E754" s="3" t="s">
        <v>2394</v>
      </c>
      <c r="F754" s="3" t="s">
        <v>4619</v>
      </c>
      <c r="G754" s="3" t="s">
        <v>2272</v>
      </c>
      <c r="H754" s="3" t="s">
        <v>1944</v>
      </c>
      <c r="I754" s="21">
        <v>-24.5992307</v>
      </c>
      <c r="J754" s="21">
        <v>26.0002967</v>
      </c>
      <c r="K754" s="21" t="s">
        <v>2272</v>
      </c>
      <c r="L754" s="160">
        <v>2004</v>
      </c>
      <c r="M754" s="160">
        <v>2004</v>
      </c>
      <c r="N754" s="21" t="s">
        <v>2272</v>
      </c>
      <c r="O754" s="3" t="s">
        <v>66</v>
      </c>
      <c r="P754" s="5" t="s">
        <v>5181</v>
      </c>
      <c r="Q754" s="4" t="s">
        <v>4622</v>
      </c>
    </row>
    <row r="755" spans="1:17" ht="42" customHeight="1">
      <c r="A755" s="166">
        <v>183</v>
      </c>
      <c r="B755" s="37" t="s">
        <v>4637</v>
      </c>
      <c r="C755" s="11" t="s">
        <v>4638</v>
      </c>
      <c r="D755" s="3" t="s">
        <v>2393</v>
      </c>
      <c r="E755" s="3" t="s">
        <v>2394</v>
      </c>
      <c r="F755" s="11" t="s">
        <v>4640</v>
      </c>
      <c r="G755" s="11" t="s">
        <v>4641</v>
      </c>
      <c r="H755" s="11" t="s">
        <v>4642</v>
      </c>
      <c r="I755" s="21">
        <f>31 + 2/6</f>
        <v>31.333333333333332</v>
      </c>
      <c r="J755" s="21">
        <f>34 + 5.5/6</f>
        <v>34.916666666666664</v>
      </c>
      <c r="K755" s="21">
        <v>30</v>
      </c>
      <c r="L755" s="23">
        <v>1997</v>
      </c>
      <c r="M755" s="23">
        <v>1999</v>
      </c>
      <c r="N755" s="21" t="s">
        <v>2272</v>
      </c>
      <c r="O755" s="3" t="s">
        <v>66</v>
      </c>
      <c r="P755" s="5" t="s">
        <v>5181</v>
      </c>
      <c r="Q755" s="19" t="s">
        <v>4644</v>
      </c>
    </row>
    <row r="756" spans="1:17" ht="49" customHeight="1">
      <c r="A756" s="166">
        <v>183</v>
      </c>
      <c r="B756" s="37" t="s">
        <v>4637</v>
      </c>
      <c r="C756" s="11" t="s">
        <v>4639</v>
      </c>
      <c r="D756" s="3" t="s">
        <v>2393</v>
      </c>
      <c r="E756" s="3" t="s">
        <v>2394</v>
      </c>
      <c r="F756" s="11" t="s">
        <v>4640</v>
      </c>
      <c r="G756" s="11" t="s">
        <v>4641</v>
      </c>
      <c r="H756" s="11" t="s">
        <v>4643</v>
      </c>
      <c r="I756" s="21">
        <f>31 + 2/6</f>
        <v>31.333333333333332</v>
      </c>
      <c r="J756" s="21">
        <f>34 + 5.5/6</f>
        <v>34.916666666666664</v>
      </c>
      <c r="K756" s="21">
        <v>30</v>
      </c>
      <c r="L756" s="23">
        <v>1997</v>
      </c>
      <c r="M756" s="23">
        <v>1999</v>
      </c>
      <c r="N756" s="21" t="s">
        <v>2272</v>
      </c>
      <c r="O756" s="3" t="s">
        <v>66</v>
      </c>
      <c r="P756" s="5" t="s">
        <v>5181</v>
      </c>
      <c r="Q756" s="19" t="s">
        <v>4644</v>
      </c>
    </row>
    <row r="757" spans="1:17" ht="41" customHeight="1">
      <c r="A757" s="166">
        <v>184</v>
      </c>
      <c r="B757" s="37" t="s">
        <v>4655</v>
      </c>
      <c r="C757" s="11" t="s">
        <v>4656</v>
      </c>
      <c r="D757" s="3" t="s">
        <v>2393</v>
      </c>
      <c r="E757" s="3" t="s">
        <v>2394</v>
      </c>
      <c r="F757" s="3" t="s">
        <v>4657</v>
      </c>
      <c r="G757" s="3" t="s">
        <v>3583</v>
      </c>
      <c r="H757" s="3" t="s">
        <v>1946</v>
      </c>
      <c r="I757" s="21">
        <f>4.75</f>
        <v>4.75</v>
      </c>
      <c r="J757" s="21">
        <f>38.25</f>
        <v>38.25</v>
      </c>
      <c r="K757" s="21" t="s">
        <v>2272</v>
      </c>
      <c r="L757" s="3">
        <v>2009</v>
      </c>
      <c r="M757" s="3">
        <v>2009</v>
      </c>
      <c r="N757" s="21" t="s">
        <v>2272</v>
      </c>
      <c r="O757" s="3" t="s">
        <v>66</v>
      </c>
      <c r="P757" s="5" t="s">
        <v>5181</v>
      </c>
      <c r="Q757" s="19" t="s">
        <v>4658</v>
      </c>
    </row>
    <row r="758" spans="1:17" ht="42.5" customHeight="1">
      <c r="A758" s="166">
        <v>185</v>
      </c>
      <c r="B758" s="37" t="s">
        <v>4675</v>
      </c>
      <c r="C758" s="11" t="s">
        <v>4666</v>
      </c>
      <c r="D758" s="3" t="s">
        <v>2393</v>
      </c>
      <c r="E758" s="3" t="s">
        <v>2394</v>
      </c>
      <c r="F758" s="3" t="s">
        <v>4671</v>
      </c>
      <c r="G758" s="11" t="s">
        <v>4670</v>
      </c>
      <c r="H758" s="11" t="s">
        <v>1947</v>
      </c>
      <c r="I758" s="21">
        <v>-1.5670063000000001</v>
      </c>
      <c r="J758" s="21">
        <v>35.417772599999999</v>
      </c>
      <c r="K758" s="21">
        <v>629.15</v>
      </c>
      <c r="L758" s="3">
        <v>1998</v>
      </c>
      <c r="M758" s="3">
        <v>1999</v>
      </c>
      <c r="N758" s="21" t="s">
        <v>2272</v>
      </c>
      <c r="O758" s="3" t="s">
        <v>2636</v>
      </c>
      <c r="P758" s="5" t="s">
        <v>5181</v>
      </c>
      <c r="Q758" s="4" t="s">
        <v>4700</v>
      </c>
    </row>
    <row r="759" spans="1:17" ht="42.5" customHeight="1">
      <c r="A759" s="166">
        <v>185</v>
      </c>
      <c r="B759" s="37" t="s">
        <v>4675</v>
      </c>
      <c r="C759" s="11" t="s">
        <v>4667</v>
      </c>
      <c r="D759" s="3" t="s">
        <v>2393</v>
      </c>
      <c r="E759" s="3" t="s">
        <v>2394</v>
      </c>
      <c r="F759" s="3" t="s">
        <v>4672</v>
      </c>
      <c r="G759" s="11" t="s">
        <v>4670</v>
      </c>
      <c r="H759" s="11" t="s">
        <v>1947</v>
      </c>
      <c r="I759" s="21">
        <v>-1.4423280999999999</v>
      </c>
      <c r="J759" s="21">
        <v>35.243078300000001</v>
      </c>
      <c r="K759" s="21">
        <v>876.75</v>
      </c>
      <c r="L759" s="3">
        <v>1998</v>
      </c>
      <c r="M759" s="3">
        <v>1999</v>
      </c>
      <c r="N759" s="21" t="s">
        <v>2272</v>
      </c>
      <c r="O759" s="3" t="s">
        <v>2636</v>
      </c>
      <c r="P759" s="5" t="s">
        <v>5181</v>
      </c>
      <c r="Q759" s="4" t="s">
        <v>4700</v>
      </c>
    </row>
    <row r="760" spans="1:17" ht="42.5" customHeight="1">
      <c r="A760" s="166">
        <v>185</v>
      </c>
      <c r="B760" s="37" t="s">
        <v>4675</v>
      </c>
      <c r="C760" s="11" t="s">
        <v>4668</v>
      </c>
      <c r="D760" s="3" t="s">
        <v>2393</v>
      </c>
      <c r="E760" s="3" t="s">
        <v>2394</v>
      </c>
      <c r="F760" s="3" t="s">
        <v>4673</v>
      </c>
      <c r="G760" s="11" t="s">
        <v>4670</v>
      </c>
      <c r="H760" s="11" t="s">
        <v>1947</v>
      </c>
      <c r="I760" s="21">
        <v>-1.1029850000000001</v>
      </c>
      <c r="J760" s="21">
        <v>35.389451999999999</v>
      </c>
      <c r="K760" s="21">
        <v>495</v>
      </c>
      <c r="L760" s="3">
        <v>1998</v>
      </c>
      <c r="M760" s="3">
        <v>1999</v>
      </c>
      <c r="N760" s="21" t="s">
        <v>2272</v>
      </c>
      <c r="O760" s="3" t="s">
        <v>2636</v>
      </c>
      <c r="P760" s="5" t="s">
        <v>5181</v>
      </c>
      <c r="Q760" s="4" t="s">
        <v>4700</v>
      </c>
    </row>
    <row r="761" spans="1:17" ht="42.5" customHeight="1">
      <c r="A761" s="166">
        <v>185</v>
      </c>
      <c r="B761" s="37" t="s">
        <v>4675</v>
      </c>
      <c r="C761" s="11" t="s">
        <v>4669</v>
      </c>
      <c r="D761" s="3" t="s">
        <v>2393</v>
      </c>
      <c r="E761" s="3" t="s">
        <v>2394</v>
      </c>
      <c r="F761" s="3" t="s">
        <v>4674</v>
      </c>
      <c r="G761" s="11" t="s">
        <v>4670</v>
      </c>
      <c r="H761" s="11" t="s">
        <v>1947</v>
      </c>
      <c r="I761" s="21">
        <v>-0.8221676</v>
      </c>
      <c r="J761" s="21">
        <v>35.398656699999997</v>
      </c>
      <c r="K761" s="21" t="s">
        <v>2272</v>
      </c>
      <c r="L761" s="3">
        <v>1998</v>
      </c>
      <c r="M761" s="3">
        <v>1999</v>
      </c>
      <c r="N761" s="21" t="s">
        <v>2272</v>
      </c>
      <c r="O761" s="3" t="s">
        <v>2636</v>
      </c>
      <c r="P761" s="5" t="s">
        <v>5181</v>
      </c>
      <c r="Q761" s="4" t="s">
        <v>4700</v>
      </c>
    </row>
    <row r="762" spans="1:17" ht="43.5" customHeight="1">
      <c r="A762" s="166">
        <v>186</v>
      </c>
      <c r="B762" s="37" t="s">
        <v>4689</v>
      </c>
      <c r="C762" s="11" t="s">
        <v>4690</v>
      </c>
      <c r="D762" s="3" t="s">
        <v>2393</v>
      </c>
      <c r="E762" s="3" t="s">
        <v>2394</v>
      </c>
      <c r="F762" s="3" t="s">
        <v>4695</v>
      </c>
      <c r="G762" s="3" t="s">
        <v>2272</v>
      </c>
      <c r="H762" s="3" t="s">
        <v>4693</v>
      </c>
      <c r="I762" s="21">
        <v>12.040833299999999</v>
      </c>
      <c r="J762" s="21">
        <v>3.0341667000000001</v>
      </c>
      <c r="K762" s="21">
        <f>10000/3</f>
        <v>3333.3333333333335</v>
      </c>
      <c r="L762" s="3">
        <v>2002</v>
      </c>
      <c r="M762" s="3">
        <v>2002</v>
      </c>
      <c r="N762" s="21" t="s">
        <v>2272</v>
      </c>
      <c r="O762" s="3" t="s">
        <v>66</v>
      </c>
      <c r="P762" s="5" t="s">
        <v>5181</v>
      </c>
      <c r="Q762" s="4" t="s">
        <v>4696</v>
      </c>
    </row>
    <row r="763" spans="1:17" ht="41.5" customHeight="1">
      <c r="A763" s="166">
        <v>186</v>
      </c>
      <c r="B763" s="37" t="s">
        <v>4689</v>
      </c>
      <c r="C763" s="11" t="s">
        <v>4691</v>
      </c>
      <c r="D763" s="3" t="s">
        <v>2393</v>
      </c>
      <c r="E763" s="3" t="s">
        <v>2394</v>
      </c>
      <c r="F763" s="3" t="s">
        <v>4695</v>
      </c>
      <c r="G763" s="3" t="s">
        <v>2272</v>
      </c>
      <c r="H763" s="3" t="s">
        <v>1945</v>
      </c>
      <c r="I763" s="21">
        <v>11.9146827</v>
      </c>
      <c r="J763" s="21">
        <v>2.1957206999999999</v>
      </c>
      <c r="K763" s="21">
        <f t="shared" ref="K763:K764" si="11">10000/3</f>
        <v>3333.3333333333335</v>
      </c>
      <c r="L763" s="3">
        <v>2002</v>
      </c>
      <c r="M763" s="3">
        <v>2002</v>
      </c>
      <c r="N763" s="21" t="s">
        <v>2272</v>
      </c>
      <c r="O763" s="3" t="s">
        <v>66</v>
      </c>
      <c r="P763" s="5" t="s">
        <v>5181</v>
      </c>
      <c r="Q763" s="4" t="s">
        <v>4696</v>
      </c>
    </row>
    <row r="764" spans="1:17" ht="41.5" customHeight="1">
      <c r="A764" s="166">
        <v>186</v>
      </c>
      <c r="B764" s="37" t="s">
        <v>4689</v>
      </c>
      <c r="C764" s="11" t="s">
        <v>4692</v>
      </c>
      <c r="D764" s="3" t="s">
        <v>2393</v>
      </c>
      <c r="E764" s="3" t="s">
        <v>2394</v>
      </c>
      <c r="F764" s="3" t="s">
        <v>4695</v>
      </c>
      <c r="G764" s="3" t="s">
        <v>2272</v>
      </c>
      <c r="H764" s="3" t="s">
        <v>4694</v>
      </c>
      <c r="I764" s="21">
        <v>12.0621489</v>
      </c>
      <c r="J764" s="21">
        <v>2.4321755999999999</v>
      </c>
      <c r="K764" s="21">
        <f t="shared" si="11"/>
        <v>3333.3333333333335</v>
      </c>
      <c r="L764" s="3">
        <v>2002</v>
      </c>
      <c r="M764" s="3">
        <v>2002</v>
      </c>
      <c r="N764" s="21" t="s">
        <v>2272</v>
      </c>
      <c r="O764" s="3" t="s">
        <v>66</v>
      </c>
      <c r="P764" s="5" t="s">
        <v>5181</v>
      </c>
      <c r="Q764" s="4" t="s">
        <v>4696</v>
      </c>
    </row>
    <row r="765" spans="1:17" ht="42.5" customHeight="1">
      <c r="A765" s="166">
        <v>187</v>
      </c>
      <c r="B765" s="37" t="s">
        <v>4710</v>
      </c>
      <c r="C765" s="11" t="s">
        <v>4711</v>
      </c>
      <c r="D765" s="3" t="s">
        <v>2393</v>
      </c>
      <c r="E765" s="3" t="s">
        <v>2395</v>
      </c>
      <c r="F765" s="3" t="s">
        <v>2272</v>
      </c>
      <c r="G765" s="3" t="s">
        <v>4713</v>
      </c>
      <c r="H765" s="3" t="s">
        <v>4712</v>
      </c>
      <c r="I765" s="21">
        <v>14.3130237</v>
      </c>
      <c r="J765" s="21">
        <v>33.456600700000003</v>
      </c>
      <c r="K765" s="21" t="s">
        <v>2272</v>
      </c>
      <c r="L765" s="3">
        <v>2000</v>
      </c>
      <c r="M765" s="3">
        <v>2007</v>
      </c>
      <c r="N765" s="21" t="s">
        <v>2272</v>
      </c>
      <c r="O765" s="3" t="s">
        <v>66</v>
      </c>
      <c r="P765" s="5" t="s">
        <v>5181</v>
      </c>
      <c r="Q765" s="3" t="s">
        <v>4714</v>
      </c>
    </row>
    <row r="766" spans="1:17" ht="43" customHeight="1">
      <c r="A766" s="166">
        <v>187</v>
      </c>
      <c r="B766" s="37" t="s">
        <v>4715</v>
      </c>
      <c r="C766" s="11" t="s">
        <v>4716</v>
      </c>
      <c r="D766" s="3" t="s">
        <v>2393</v>
      </c>
      <c r="E766" s="3" t="s">
        <v>2394</v>
      </c>
      <c r="F766" s="3" t="s">
        <v>2272</v>
      </c>
      <c r="G766" s="3" t="s">
        <v>4717</v>
      </c>
      <c r="H766" s="3" t="s">
        <v>4712</v>
      </c>
      <c r="I766" s="21">
        <v>13.26074</v>
      </c>
      <c r="J766" s="21">
        <v>32.8455297</v>
      </c>
      <c r="K766" s="21" t="s">
        <v>2272</v>
      </c>
      <c r="L766" s="3">
        <v>2000</v>
      </c>
      <c r="M766" s="3">
        <v>2007</v>
      </c>
      <c r="N766" s="21" t="s">
        <v>2272</v>
      </c>
      <c r="O766" s="3" t="s">
        <v>66</v>
      </c>
      <c r="P766" s="5" t="s">
        <v>5181</v>
      </c>
      <c r="Q766" s="3" t="s">
        <v>4714</v>
      </c>
    </row>
    <row r="767" spans="1:17" ht="39.5" customHeight="1">
      <c r="A767" s="166">
        <v>188</v>
      </c>
      <c r="B767" s="37" t="s">
        <v>4732</v>
      </c>
      <c r="C767" s="11" t="s">
        <v>4729</v>
      </c>
      <c r="D767" s="3" t="s">
        <v>2393</v>
      </c>
      <c r="E767" s="3" t="s">
        <v>2394</v>
      </c>
      <c r="F767" s="11" t="s">
        <v>4731</v>
      </c>
      <c r="G767" s="3" t="s">
        <v>2272</v>
      </c>
      <c r="H767" s="11" t="s">
        <v>4728</v>
      </c>
      <c r="I767" s="21">
        <v>37</v>
      </c>
      <c r="J767" s="21">
        <v>32.75</v>
      </c>
      <c r="K767" s="21" t="s">
        <v>2272</v>
      </c>
      <c r="L767" s="11">
        <v>2015</v>
      </c>
      <c r="M767" s="11">
        <v>2015</v>
      </c>
      <c r="N767" s="21" t="s">
        <v>2272</v>
      </c>
      <c r="O767" s="3" t="s">
        <v>66</v>
      </c>
      <c r="P767" s="5" t="s">
        <v>5181</v>
      </c>
      <c r="Q767" s="3" t="s">
        <v>4714</v>
      </c>
    </row>
    <row r="768" spans="1:17" ht="39.5" customHeight="1">
      <c r="A768" s="166">
        <v>188</v>
      </c>
      <c r="B768" s="37" t="s">
        <v>4732</v>
      </c>
      <c r="C768" s="11" t="s">
        <v>4730</v>
      </c>
      <c r="D768" s="3" t="s">
        <v>2393</v>
      </c>
      <c r="E768" s="3" t="s">
        <v>2394</v>
      </c>
      <c r="F768" s="11" t="s">
        <v>4731</v>
      </c>
      <c r="G768" s="3" t="s">
        <v>2272</v>
      </c>
      <c r="H768" s="11" t="s">
        <v>4728</v>
      </c>
      <c r="I768" s="21">
        <v>37.158519300000002</v>
      </c>
      <c r="J768" s="21">
        <v>31.889355299999998</v>
      </c>
      <c r="K768" s="21" t="s">
        <v>2272</v>
      </c>
      <c r="L768" s="11">
        <v>2015</v>
      </c>
      <c r="M768" s="11">
        <v>2015</v>
      </c>
      <c r="N768" s="21" t="s">
        <v>2272</v>
      </c>
      <c r="O768" s="3" t="s">
        <v>66</v>
      </c>
      <c r="P768" s="5" t="s">
        <v>5181</v>
      </c>
      <c r="Q768" s="3" t="s">
        <v>4714</v>
      </c>
    </row>
    <row r="769" spans="1:17" s="117" customFormat="1" ht="49.5" customHeight="1">
      <c r="A769" s="166">
        <v>189</v>
      </c>
      <c r="B769" s="37" t="s">
        <v>4738</v>
      </c>
      <c r="C769" s="11" t="s">
        <v>4737</v>
      </c>
      <c r="D769" s="3" t="s">
        <v>2393</v>
      </c>
      <c r="E769" s="3" t="s">
        <v>2395</v>
      </c>
      <c r="F769" s="11" t="s">
        <v>4739</v>
      </c>
      <c r="G769" s="11" t="s">
        <v>4568</v>
      </c>
      <c r="H769" s="11" t="s">
        <v>3765</v>
      </c>
      <c r="I769" s="21">
        <v>-27.901354300000001</v>
      </c>
      <c r="J769" s="21">
        <v>32.256438199999998</v>
      </c>
      <c r="K769" s="21">
        <v>900</v>
      </c>
      <c r="L769" s="3">
        <v>2000</v>
      </c>
      <c r="M769" s="3">
        <v>2000</v>
      </c>
      <c r="N769" s="21" t="s">
        <v>2272</v>
      </c>
      <c r="O769" s="3" t="s">
        <v>66</v>
      </c>
      <c r="P769" s="5" t="s">
        <v>5181</v>
      </c>
      <c r="Q769" s="3" t="s">
        <v>4714</v>
      </c>
    </row>
    <row r="770" spans="1:17" s="117" customFormat="1" ht="49.5" customHeight="1">
      <c r="A770" s="166">
        <v>189</v>
      </c>
      <c r="B770" s="37" t="s">
        <v>4738</v>
      </c>
      <c r="C770" s="11" t="s">
        <v>4742</v>
      </c>
      <c r="D770" s="3" t="s">
        <v>2393</v>
      </c>
      <c r="E770" s="3" t="s">
        <v>2395</v>
      </c>
      <c r="F770" s="11" t="s">
        <v>4740</v>
      </c>
      <c r="G770" s="11" t="s">
        <v>4568</v>
      </c>
      <c r="H770" s="11" t="s">
        <v>3765</v>
      </c>
      <c r="I770" s="21">
        <v>-27.901354300000001</v>
      </c>
      <c r="J770" s="21">
        <v>32.256438199999998</v>
      </c>
      <c r="K770" s="21" t="s">
        <v>2272</v>
      </c>
      <c r="L770" s="3">
        <v>2000</v>
      </c>
      <c r="M770" s="3">
        <v>2000</v>
      </c>
      <c r="N770" s="21">
        <v>151</v>
      </c>
      <c r="O770" s="3" t="s">
        <v>66</v>
      </c>
      <c r="P770" s="5" t="s">
        <v>5181</v>
      </c>
      <c r="Q770" s="3" t="s">
        <v>4714</v>
      </c>
    </row>
    <row r="771" spans="1:17" s="117" customFormat="1" ht="49.5" customHeight="1">
      <c r="A771" s="166">
        <v>189</v>
      </c>
      <c r="B771" s="37" t="s">
        <v>4738</v>
      </c>
      <c r="C771" s="11" t="s">
        <v>4743</v>
      </c>
      <c r="D771" s="3" t="s">
        <v>2393</v>
      </c>
      <c r="E771" s="3" t="s">
        <v>2395</v>
      </c>
      <c r="F771" s="11" t="s">
        <v>4741</v>
      </c>
      <c r="G771" s="11" t="s">
        <v>4568</v>
      </c>
      <c r="H771" s="11" t="s">
        <v>3765</v>
      </c>
      <c r="I771" s="21">
        <v>-27.901354300000001</v>
      </c>
      <c r="J771" s="21">
        <v>32.256438199999998</v>
      </c>
      <c r="K771" s="21" t="s">
        <v>2272</v>
      </c>
      <c r="L771" s="3">
        <v>2000</v>
      </c>
      <c r="M771" s="3">
        <v>2000</v>
      </c>
      <c r="N771" s="21">
        <v>1</v>
      </c>
      <c r="O771" s="3" t="s">
        <v>66</v>
      </c>
      <c r="P771" s="5" t="s">
        <v>5181</v>
      </c>
      <c r="Q771" s="4" t="s">
        <v>4762</v>
      </c>
    </row>
    <row r="772" spans="1:17" ht="42" customHeight="1">
      <c r="A772" s="166">
        <v>190</v>
      </c>
      <c r="B772" s="37" t="s">
        <v>4763</v>
      </c>
      <c r="C772" s="3" t="s">
        <v>4768</v>
      </c>
      <c r="D772" s="3" t="s">
        <v>2393</v>
      </c>
      <c r="E772" s="3" t="s">
        <v>2394</v>
      </c>
      <c r="F772" s="11" t="s">
        <v>4767</v>
      </c>
      <c r="G772" s="11" t="s">
        <v>4568</v>
      </c>
      <c r="H772" s="11" t="s">
        <v>3765</v>
      </c>
      <c r="I772" s="21">
        <v>-28.042000000000002</v>
      </c>
      <c r="J772" s="21">
        <v>32.041960000000003</v>
      </c>
      <c r="K772" s="21">
        <v>25</v>
      </c>
      <c r="L772" s="3">
        <v>1955</v>
      </c>
      <c r="M772" s="3">
        <v>2000</v>
      </c>
      <c r="N772" s="21" t="s">
        <v>2272</v>
      </c>
      <c r="O772" s="3" t="s">
        <v>66</v>
      </c>
      <c r="P772" s="5" t="s">
        <v>5181</v>
      </c>
      <c r="Q772" s="3"/>
    </row>
    <row r="773" spans="1:17" ht="39" customHeight="1">
      <c r="A773" s="166">
        <v>191</v>
      </c>
      <c r="B773" s="37" t="s">
        <v>4771</v>
      </c>
      <c r="C773" s="11" t="s">
        <v>4772</v>
      </c>
      <c r="D773" s="3" t="s">
        <v>2393</v>
      </c>
      <c r="E773" s="3" t="s">
        <v>2632</v>
      </c>
      <c r="F773" s="3" t="s">
        <v>4774</v>
      </c>
      <c r="G773" s="3" t="s">
        <v>4773</v>
      </c>
      <c r="H773" s="3" t="s">
        <v>1947</v>
      </c>
      <c r="I773" s="21">
        <v>0.93876939999999998</v>
      </c>
      <c r="J773" s="21">
        <v>36.035071299999998</v>
      </c>
      <c r="K773" s="21">
        <v>436</v>
      </c>
      <c r="L773" s="90">
        <v>2014</v>
      </c>
      <c r="M773" s="3">
        <v>2015</v>
      </c>
      <c r="N773" s="21">
        <v>27</v>
      </c>
      <c r="O773" s="3" t="s">
        <v>66</v>
      </c>
      <c r="P773" s="5" t="s">
        <v>5181</v>
      </c>
      <c r="Q773" s="3"/>
    </row>
    <row r="774" spans="1:17" ht="66.5" customHeight="1">
      <c r="A774" s="166">
        <v>191</v>
      </c>
      <c r="B774" s="37" t="s">
        <v>4771</v>
      </c>
      <c r="C774" s="11" t="s">
        <v>4776</v>
      </c>
      <c r="D774" s="3" t="s">
        <v>2393</v>
      </c>
      <c r="E774" s="3" t="s">
        <v>2632</v>
      </c>
      <c r="F774" s="3" t="s">
        <v>4774</v>
      </c>
      <c r="G774" s="3" t="s">
        <v>4773</v>
      </c>
      <c r="H774" s="3" t="s">
        <v>1947</v>
      </c>
      <c r="I774" s="21">
        <v>0.93876939999999998</v>
      </c>
      <c r="J774" s="21">
        <v>36.035071299999998</v>
      </c>
      <c r="K774" s="21">
        <v>436</v>
      </c>
      <c r="L774" s="90">
        <v>1975</v>
      </c>
      <c r="M774" s="3">
        <v>1990</v>
      </c>
      <c r="N774" s="21" t="s">
        <v>2272</v>
      </c>
      <c r="O774" s="3" t="s">
        <v>66</v>
      </c>
      <c r="P774" s="5" t="s">
        <v>5181</v>
      </c>
      <c r="Q774" s="19" t="s">
        <v>4777</v>
      </c>
    </row>
    <row r="775" spans="1:17" ht="72.5" customHeight="1">
      <c r="A775" s="166">
        <v>192</v>
      </c>
      <c r="B775" s="37" t="s">
        <v>4785</v>
      </c>
      <c r="C775" s="11" t="s">
        <v>4786</v>
      </c>
      <c r="D775" s="3" t="s">
        <v>2393</v>
      </c>
      <c r="E775" s="3" t="s">
        <v>2417</v>
      </c>
      <c r="F775" s="3" t="s">
        <v>4787</v>
      </c>
      <c r="G775" s="3" t="s">
        <v>4773</v>
      </c>
      <c r="H775" s="3" t="s">
        <v>1947</v>
      </c>
      <c r="I775" s="21">
        <v>0.93876939999999998</v>
      </c>
      <c r="J775" s="21">
        <v>36.035071299999998</v>
      </c>
      <c r="K775" s="21" t="s">
        <v>2272</v>
      </c>
      <c r="L775" s="90">
        <v>1950</v>
      </c>
      <c r="M775" s="3">
        <v>2000</v>
      </c>
      <c r="N775" s="21" t="s">
        <v>2272</v>
      </c>
      <c r="O775" s="3" t="s">
        <v>66</v>
      </c>
      <c r="P775" s="5" t="s">
        <v>5181</v>
      </c>
      <c r="Q775" s="19" t="s">
        <v>4777</v>
      </c>
    </row>
    <row r="776" spans="1:17" ht="58" customHeight="1">
      <c r="A776" s="166">
        <v>192</v>
      </c>
      <c r="B776" s="37" t="s">
        <v>4785</v>
      </c>
      <c r="C776" s="11" t="s">
        <v>4788</v>
      </c>
      <c r="D776" s="3" t="s">
        <v>2393</v>
      </c>
      <c r="E776" s="3" t="s">
        <v>2417</v>
      </c>
      <c r="F776" s="3" t="s">
        <v>4787</v>
      </c>
      <c r="G776" s="3" t="s">
        <v>4773</v>
      </c>
      <c r="H776" s="3" t="s">
        <v>1947</v>
      </c>
      <c r="I776" s="21">
        <v>0.71382299999999999</v>
      </c>
      <c r="J776" s="21">
        <v>36.003399799999997</v>
      </c>
      <c r="K776" s="21" t="s">
        <v>2272</v>
      </c>
      <c r="L776" s="89">
        <v>2000</v>
      </c>
      <c r="M776" s="11">
        <v>2015</v>
      </c>
      <c r="N776" s="21" t="s">
        <v>2272</v>
      </c>
      <c r="O776" s="3" t="s">
        <v>66</v>
      </c>
      <c r="P776" s="5" t="s">
        <v>5181</v>
      </c>
      <c r="Q776" s="3"/>
    </row>
    <row r="777" spans="1:17" ht="43" customHeight="1">
      <c r="A777" s="166">
        <v>193</v>
      </c>
      <c r="B777" s="37" t="s">
        <v>4793</v>
      </c>
      <c r="C777" s="11" t="s">
        <v>4794</v>
      </c>
      <c r="D777" s="11" t="s">
        <v>2393</v>
      </c>
      <c r="E777" s="3" t="s">
        <v>2417</v>
      </c>
      <c r="F777" s="3" t="s">
        <v>4796</v>
      </c>
      <c r="G777" s="3" t="s">
        <v>2272</v>
      </c>
      <c r="H777" s="3" t="s">
        <v>4027</v>
      </c>
      <c r="I777" s="21">
        <v>48</v>
      </c>
      <c r="J777" s="21">
        <v>107.5</v>
      </c>
      <c r="K777" s="21">
        <v>8735</v>
      </c>
      <c r="L777" s="90">
        <v>1924</v>
      </c>
      <c r="M777" s="3">
        <v>1990</v>
      </c>
      <c r="N777" s="21" t="s">
        <v>2272</v>
      </c>
      <c r="O777" s="3" t="s">
        <v>66</v>
      </c>
      <c r="P777" s="5" t="s">
        <v>5181</v>
      </c>
      <c r="Q777" s="4" t="s">
        <v>4795</v>
      </c>
    </row>
    <row r="778" spans="1:17" ht="40" customHeight="1">
      <c r="A778" s="166">
        <v>193</v>
      </c>
      <c r="B778" s="37" t="s">
        <v>4793</v>
      </c>
      <c r="C778" s="11" t="s">
        <v>4797</v>
      </c>
      <c r="D778" s="11" t="s">
        <v>2393</v>
      </c>
      <c r="E778" s="3" t="s">
        <v>2417</v>
      </c>
      <c r="F778" s="3" t="s">
        <v>4796</v>
      </c>
      <c r="G778" s="3" t="s">
        <v>2272</v>
      </c>
      <c r="H778" s="3" t="s">
        <v>4027</v>
      </c>
      <c r="I778" s="21">
        <v>48</v>
      </c>
      <c r="J778" s="21">
        <v>107.5</v>
      </c>
      <c r="K778" s="21">
        <v>8735</v>
      </c>
      <c r="L778" s="89">
        <v>1990</v>
      </c>
      <c r="M778" s="11">
        <v>2009</v>
      </c>
      <c r="N778" s="21">
        <f>1221000/K778</f>
        <v>139.78248425872926</v>
      </c>
      <c r="O778" s="3" t="s">
        <v>66</v>
      </c>
      <c r="P778" s="5" t="s">
        <v>5181</v>
      </c>
      <c r="Q778" s="4" t="s">
        <v>4795</v>
      </c>
    </row>
    <row r="779" spans="1:17" ht="45" customHeight="1">
      <c r="A779" s="166">
        <v>193</v>
      </c>
      <c r="B779" s="37" t="s">
        <v>4793</v>
      </c>
      <c r="C779" s="11" t="s">
        <v>4798</v>
      </c>
      <c r="D779" s="11" t="s">
        <v>2393</v>
      </c>
      <c r="E779" s="3" t="s">
        <v>2394</v>
      </c>
      <c r="F779" s="60" t="s">
        <v>4801</v>
      </c>
      <c r="G779" s="3" t="s">
        <v>4804</v>
      </c>
      <c r="H779" s="3" t="s">
        <v>4027</v>
      </c>
      <c r="I779" s="21">
        <v>48</v>
      </c>
      <c r="J779" s="21">
        <v>107</v>
      </c>
      <c r="K779" s="21">
        <v>2</v>
      </c>
      <c r="L779" s="89">
        <v>1990</v>
      </c>
      <c r="M779" s="11">
        <v>2009</v>
      </c>
      <c r="N779" s="21" t="s">
        <v>2272</v>
      </c>
      <c r="O779" s="3" t="s">
        <v>66</v>
      </c>
      <c r="P779" s="5" t="s">
        <v>5181</v>
      </c>
      <c r="Q779" s="3" t="s">
        <v>2210</v>
      </c>
    </row>
    <row r="780" spans="1:17" ht="45" customHeight="1">
      <c r="A780" s="166">
        <v>193</v>
      </c>
      <c r="B780" s="37" t="s">
        <v>4793</v>
      </c>
      <c r="C780" s="11" t="s">
        <v>4799</v>
      </c>
      <c r="D780" s="11" t="s">
        <v>2393</v>
      </c>
      <c r="E780" s="3" t="s">
        <v>2394</v>
      </c>
      <c r="F780" s="60" t="s">
        <v>4802</v>
      </c>
      <c r="G780" s="3" t="s">
        <v>2272</v>
      </c>
      <c r="H780" s="3" t="s">
        <v>4027</v>
      </c>
      <c r="I780" s="21">
        <v>48</v>
      </c>
      <c r="J780" s="21">
        <v>107.5</v>
      </c>
      <c r="K780" s="21">
        <v>2</v>
      </c>
      <c r="L780" s="89">
        <v>1990</v>
      </c>
      <c r="M780" s="11">
        <v>2009</v>
      </c>
      <c r="N780" s="21" t="s">
        <v>2272</v>
      </c>
      <c r="O780" s="3" t="s">
        <v>66</v>
      </c>
      <c r="P780" s="5" t="s">
        <v>5181</v>
      </c>
      <c r="Q780" s="3" t="s">
        <v>2210</v>
      </c>
    </row>
    <row r="781" spans="1:17" ht="45" customHeight="1">
      <c r="A781" s="166">
        <v>193</v>
      </c>
      <c r="B781" s="37" t="s">
        <v>4793</v>
      </c>
      <c r="C781" s="11" t="s">
        <v>4800</v>
      </c>
      <c r="D781" s="11" t="s">
        <v>2393</v>
      </c>
      <c r="E781" s="3" t="s">
        <v>2394</v>
      </c>
      <c r="F781" s="60" t="s">
        <v>4803</v>
      </c>
      <c r="G781" s="3" t="s">
        <v>2272</v>
      </c>
      <c r="H781" s="3" t="s">
        <v>4027</v>
      </c>
      <c r="I781" s="21">
        <v>48.2</v>
      </c>
      <c r="J781" s="21">
        <v>108</v>
      </c>
      <c r="K781" s="21">
        <v>3.6</v>
      </c>
      <c r="L781" s="89">
        <v>1990</v>
      </c>
      <c r="M781" s="11">
        <v>2009</v>
      </c>
      <c r="N781" s="21" t="s">
        <v>2272</v>
      </c>
      <c r="O781" s="3" t="s">
        <v>66</v>
      </c>
      <c r="P781" s="5" t="s">
        <v>5181</v>
      </c>
      <c r="Q781" s="3" t="s">
        <v>2210</v>
      </c>
    </row>
    <row r="782" spans="1:17" ht="51" customHeight="1">
      <c r="A782" s="166">
        <v>194</v>
      </c>
      <c r="B782" s="37" t="s">
        <v>4836</v>
      </c>
      <c r="C782" s="11" t="s">
        <v>4828</v>
      </c>
      <c r="D782" s="11" t="s">
        <v>2393</v>
      </c>
      <c r="E782" s="11" t="s">
        <v>2394</v>
      </c>
      <c r="F782" s="3" t="s">
        <v>2272</v>
      </c>
      <c r="G782" s="3" t="s">
        <v>4311</v>
      </c>
      <c r="H782" s="3" t="s">
        <v>4309</v>
      </c>
      <c r="I782" s="21">
        <v>37.328295199999999</v>
      </c>
      <c r="J782" s="21">
        <v>-4.5042868</v>
      </c>
      <c r="K782" s="21">
        <f>6000/100</f>
        <v>60</v>
      </c>
      <c r="L782" s="3">
        <v>2010</v>
      </c>
      <c r="M782" s="3">
        <v>2018</v>
      </c>
      <c r="N782" s="21" t="s">
        <v>2272</v>
      </c>
      <c r="O782" s="3" t="s">
        <v>66</v>
      </c>
      <c r="P782" s="5" t="s">
        <v>5181</v>
      </c>
      <c r="Q782" s="4" t="s">
        <v>4837</v>
      </c>
    </row>
    <row r="783" spans="1:17" ht="55" customHeight="1">
      <c r="A783" s="166">
        <v>195</v>
      </c>
      <c r="B783" s="53" t="s">
        <v>4844</v>
      </c>
      <c r="C783" s="11" t="s">
        <v>4843</v>
      </c>
      <c r="D783" s="11" t="s">
        <v>2393</v>
      </c>
      <c r="E783" s="11" t="s">
        <v>4842</v>
      </c>
      <c r="F783" s="3" t="s">
        <v>2272</v>
      </c>
      <c r="G783" s="23" t="s">
        <v>4311</v>
      </c>
      <c r="H783" s="23" t="s">
        <v>4309</v>
      </c>
      <c r="I783" s="21">
        <f>AVERAGE(I784:I807)</f>
        <v>-4.3734684538849988</v>
      </c>
      <c r="J783" s="21">
        <f>AVERAGE(J784:J807)</f>
        <v>37.298506191515123</v>
      </c>
      <c r="K783" s="72">
        <f>1549</f>
        <v>1549</v>
      </c>
      <c r="L783" s="23">
        <v>1988</v>
      </c>
      <c r="M783" s="11">
        <v>2000</v>
      </c>
      <c r="N783" s="70" t="s">
        <v>2272</v>
      </c>
      <c r="O783" s="11" t="s">
        <v>66</v>
      </c>
      <c r="P783" s="5" t="s">
        <v>5181</v>
      </c>
      <c r="Q783" s="19" t="s">
        <v>4883</v>
      </c>
    </row>
    <row r="784" spans="1:17" ht="55" customHeight="1">
      <c r="A784" s="166">
        <v>195</v>
      </c>
      <c r="B784" s="53" t="s">
        <v>4844</v>
      </c>
      <c r="C784" s="11" t="s">
        <v>4845</v>
      </c>
      <c r="D784" s="11" t="s">
        <v>2393</v>
      </c>
      <c r="E784" s="11" t="s">
        <v>4842</v>
      </c>
      <c r="F784" s="174" t="s">
        <v>4869</v>
      </c>
      <c r="G784" s="23" t="s">
        <v>4311</v>
      </c>
      <c r="H784" s="23" t="s">
        <v>4309</v>
      </c>
      <c r="I784" s="21">
        <v>-2.1917559999999998</v>
      </c>
      <c r="J784" s="21">
        <v>36.722192</v>
      </c>
      <c r="K784" s="175">
        <f>45663/100</f>
        <v>456.63</v>
      </c>
      <c r="L784" s="23">
        <v>1988</v>
      </c>
      <c r="M784" s="11">
        <v>2000</v>
      </c>
      <c r="N784" s="70" t="s">
        <v>2272</v>
      </c>
      <c r="O784" s="11" t="s">
        <v>66</v>
      </c>
      <c r="P784" s="5" t="s">
        <v>5181</v>
      </c>
      <c r="Q784" s="19"/>
    </row>
    <row r="785" spans="1:17" ht="55" customHeight="1">
      <c r="A785" s="166">
        <v>195</v>
      </c>
      <c r="B785" s="53" t="s">
        <v>4844</v>
      </c>
      <c r="C785" s="11" t="s">
        <v>4846</v>
      </c>
      <c r="D785" s="11" t="s">
        <v>2393</v>
      </c>
      <c r="E785" s="11" t="s">
        <v>4842</v>
      </c>
      <c r="F785" s="174" t="s">
        <v>4870</v>
      </c>
      <c r="G785" s="23" t="s">
        <v>4311</v>
      </c>
      <c r="H785" s="23" t="s">
        <v>4309</v>
      </c>
      <c r="I785" s="21">
        <v>-2.0469151000000001</v>
      </c>
      <c r="J785" s="21">
        <v>37.769821</v>
      </c>
      <c r="K785" s="72">
        <f>22670/100</f>
        <v>226.7</v>
      </c>
      <c r="L785" s="23">
        <v>1988</v>
      </c>
      <c r="M785" s="11">
        <v>2000</v>
      </c>
      <c r="N785" s="70" t="s">
        <v>2272</v>
      </c>
      <c r="O785" s="11" t="s">
        <v>66</v>
      </c>
      <c r="P785" s="5" t="s">
        <v>5181</v>
      </c>
      <c r="Q785" s="19"/>
    </row>
    <row r="786" spans="1:17" ht="55" customHeight="1">
      <c r="A786" s="166">
        <v>195</v>
      </c>
      <c r="B786" s="53" t="s">
        <v>4844</v>
      </c>
      <c r="C786" s="11" t="s">
        <v>4847</v>
      </c>
      <c r="D786" s="11" t="s">
        <v>2393</v>
      </c>
      <c r="E786" s="11" t="s">
        <v>4842</v>
      </c>
      <c r="F786" s="23" t="s">
        <v>4871</v>
      </c>
      <c r="G786" s="23" t="s">
        <v>4311</v>
      </c>
      <c r="H786" s="23" t="s">
        <v>4309</v>
      </c>
      <c r="I786" s="21">
        <v>-5.3672516000000003</v>
      </c>
      <c r="J786" s="21">
        <v>36.759118000000001</v>
      </c>
      <c r="K786" s="72">
        <f>51695/100</f>
        <v>516.95000000000005</v>
      </c>
      <c r="L786" s="23">
        <v>1988</v>
      </c>
      <c r="M786" s="11">
        <v>2000</v>
      </c>
      <c r="N786" s="70" t="s">
        <v>2272</v>
      </c>
      <c r="O786" s="11" t="s">
        <v>66</v>
      </c>
      <c r="P786" s="5" t="s">
        <v>5181</v>
      </c>
      <c r="Q786" s="19"/>
    </row>
    <row r="787" spans="1:17" ht="55" customHeight="1">
      <c r="A787" s="166">
        <v>195</v>
      </c>
      <c r="B787" s="53" t="s">
        <v>4844</v>
      </c>
      <c r="C787" s="11" t="s">
        <v>4848</v>
      </c>
      <c r="D787" s="11" t="s">
        <v>2393</v>
      </c>
      <c r="E787" s="11" t="s">
        <v>4842</v>
      </c>
      <c r="F787" s="23" t="s">
        <v>4872</v>
      </c>
      <c r="G787" s="23" t="s">
        <v>4311</v>
      </c>
      <c r="H787" s="23" t="s">
        <v>4309</v>
      </c>
      <c r="I787" s="21">
        <v>-6.1727332932400003</v>
      </c>
      <c r="J787" s="21">
        <v>36.418017296363203</v>
      </c>
      <c r="K787" s="72">
        <f>10522/100</f>
        <v>105.22</v>
      </c>
      <c r="L787" s="23">
        <v>1988</v>
      </c>
      <c r="M787" s="11">
        <v>2000</v>
      </c>
      <c r="N787" s="70" t="s">
        <v>2272</v>
      </c>
      <c r="O787" s="11" t="s">
        <v>66</v>
      </c>
      <c r="P787" s="5" t="s">
        <v>5181</v>
      </c>
      <c r="Q787" s="19"/>
    </row>
    <row r="788" spans="1:17" ht="55" customHeight="1">
      <c r="A788" s="166">
        <v>195</v>
      </c>
      <c r="B788" s="53" t="s">
        <v>4844</v>
      </c>
      <c r="C788" s="11" t="s">
        <v>4849</v>
      </c>
      <c r="D788" s="11" t="s">
        <v>2393</v>
      </c>
      <c r="E788" s="11" t="s">
        <v>4842</v>
      </c>
      <c r="F788" s="23" t="s">
        <v>4873</v>
      </c>
      <c r="G788" s="23" t="s">
        <v>4311</v>
      </c>
      <c r="H788" s="23" t="s">
        <v>4309</v>
      </c>
      <c r="I788" s="21">
        <v>-5.6037464999999997</v>
      </c>
      <c r="J788" s="21">
        <v>36.3485941</v>
      </c>
      <c r="K788" s="72">
        <f>167767/100</f>
        <v>1677.67</v>
      </c>
      <c r="L788" s="23">
        <v>1988</v>
      </c>
      <c r="M788" s="11">
        <v>2000</v>
      </c>
      <c r="N788" s="70" t="s">
        <v>2272</v>
      </c>
      <c r="O788" s="11" t="s">
        <v>66</v>
      </c>
      <c r="P788" s="5" t="s">
        <v>5181</v>
      </c>
      <c r="Q788" s="19"/>
    </row>
    <row r="789" spans="1:17" ht="55" customHeight="1">
      <c r="A789" s="166">
        <v>195</v>
      </c>
      <c r="B789" s="53" t="s">
        <v>4844</v>
      </c>
      <c r="C789" s="11" t="s">
        <v>4850</v>
      </c>
      <c r="D789" s="11" t="s">
        <v>2393</v>
      </c>
      <c r="E789" s="11" t="s">
        <v>4842</v>
      </c>
      <c r="F789" s="23" t="s">
        <v>4874</v>
      </c>
      <c r="G789" s="23" t="s">
        <v>4311</v>
      </c>
      <c r="H789" s="23" t="s">
        <v>4309</v>
      </c>
      <c r="I789" s="21">
        <v>-5.9487895999999996</v>
      </c>
      <c r="J789" s="21">
        <v>36.186901400000004</v>
      </c>
      <c r="K789" s="72">
        <f>4863/100</f>
        <v>48.63</v>
      </c>
      <c r="L789" s="23">
        <v>1988</v>
      </c>
      <c r="M789" s="11">
        <v>2000</v>
      </c>
      <c r="N789" s="70" t="s">
        <v>2272</v>
      </c>
      <c r="O789" s="11" t="s">
        <v>66</v>
      </c>
      <c r="P789" s="5" t="s">
        <v>5181</v>
      </c>
      <c r="Q789" s="19"/>
    </row>
    <row r="790" spans="1:17" ht="55" customHeight="1">
      <c r="A790" s="166">
        <v>195</v>
      </c>
      <c r="B790" s="53" t="s">
        <v>4844</v>
      </c>
      <c r="C790" s="11" t="s">
        <v>4851</v>
      </c>
      <c r="D790" s="11" t="s">
        <v>2393</v>
      </c>
      <c r="E790" s="11" t="s">
        <v>4842</v>
      </c>
      <c r="F790" s="23" t="s">
        <v>4875</v>
      </c>
      <c r="G790" s="23" t="s">
        <v>4311</v>
      </c>
      <c r="H790" s="23" t="s">
        <v>4309</v>
      </c>
      <c r="I790" s="21">
        <v>-5.5894766999999996</v>
      </c>
      <c r="J790" s="21">
        <v>36.013178799999999</v>
      </c>
      <c r="K790" s="72">
        <f>18931/100</f>
        <v>189.31</v>
      </c>
      <c r="L790" s="23">
        <v>1988</v>
      </c>
      <c r="M790" s="11">
        <v>2000</v>
      </c>
      <c r="N790" s="70" t="s">
        <v>2272</v>
      </c>
      <c r="O790" s="11" t="s">
        <v>66</v>
      </c>
      <c r="P790" s="5" t="s">
        <v>5181</v>
      </c>
      <c r="Q790" s="19"/>
    </row>
    <row r="791" spans="1:17" ht="55" customHeight="1">
      <c r="A791" s="166">
        <v>195</v>
      </c>
      <c r="B791" s="53" t="s">
        <v>4844</v>
      </c>
      <c r="C791" s="11" t="s">
        <v>4852</v>
      </c>
      <c r="D791" s="11" t="s">
        <v>2393</v>
      </c>
      <c r="E791" s="11" t="s">
        <v>4842</v>
      </c>
      <c r="F791" s="11" t="s">
        <v>4876</v>
      </c>
      <c r="G791" s="11" t="s">
        <v>4311</v>
      </c>
      <c r="H791" s="11" t="s">
        <v>4309</v>
      </c>
      <c r="I791" s="21">
        <v>-4.2739966999999996</v>
      </c>
      <c r="J791" s="21">
        <v>38.198005999999999</v>
      </c>
      <c r="K791" s="70">
        <f>38449/100</f>
        <v>384.49</v>
      </c>
      <c r="L791" s="11">
        <v>1988</v>
      </c>
      <c r="M791" s="11">
        <v>2000</v>
      </c>
      <c r="N791" s="70" t="s">
        <v>2272</v>
      </c>
      <c r="O791" s="11" t="s">
        <v>66</v>
      </c>
      <c r="P791" s="5" t="s">
        <v>5181</v>
      </c>
      <c r="Q791" s="19"/>
    </row>
    <row r="792" spans="1:17" ht="55" customHeight="1">
      <c r="A792" s="166">
        <v>195</v>
      </c>
      <c r="B792" s="53" t="s">
        <v>4844</v>
      </c>
      <c r="C792" s="11" t="s">
        <v>4853</v>
      </c>
      <c r="D792" s="11" t="s">
        <v>2393</v>
      </c>
      <c r="E792" s="11" t="s">
        <v>4842</v>
      </c>
      <c r="F792" s="11" t="s">
        <v>4877</v>
      </c>
      <c r="G792" s="11" t="s">
        <v>4311</v>
      </c>
      <c r="H792" s="11" t="s">
        <v>4309</v>
      </c>
      <c r="I792" s="21">
        <v>-5.2688879999999996</v>
      </c>
      <c r="J792" s="21">
        <v>37.9029746</v>
      </c>
      <c r="K792" s="70">
        <f>60042/100</f>
        <v>600.41999999999996</v>
      </c>
      <c r="L792" s="11">
        <v>1988</v>
      </c>
      <c r="M792" s="11">
        <v>2000</v>
      </c>
      <c r="N792" s="70" t="s">
        <v>2272</v>
      </c>
      <c r="O792" s="11" t="s">
        <v>66</v>
      </c>
      <c r="P792" s="5" t="s">
        <v>5181</v>
      </c>
      <c r="Q792" s="19"/>
    </row>
    <row r="793" spans="1:17" ht="55" customHeight="1">
      <c r="A793" s="166">
        <v>195</v>
      </c>
      <c r="B793" s="53" t="s">
        <v>4844</v>
      </c>
      <c r="C793" s="11" t="s">
        <v>4854</v>
      </c>
      <c r="D793" s="11" t="s">
        <v>2393</v>
      </c>
      <c r="E793" s="11" t="s">
        <v>4842</v>
      </c>
      <c r="F793" s="11" t="s">
        <v>4878</v>
      </c>
      <c r="G793" s="11" t="s">
        <v>4311</v>
      </c>
      <c r="H793" s="11" t="s">
        <v>4309</v>
      </c>
      <c r="I793" s="21">
        <v>-4.3359635000000001</v>
      </c>
      <c r="J793" s="21">
        <v>37.452826100000003</v>
      </c>
      <c r="K793" s="70">
        <f>32056/100</f>
        <v>320.56</v>
      </c>
      <c r="L793" s="11">
        <v>1988</v>
      </c>
      <c r="M793" s="11">
        <v>2000</v>
      </c>
      <c r="N793" s="70" t="s">
        <v>2272</v>
      </c>
      <c r="O793" s="11" t="s">
        <v>66</v>
      </c>
      <c r="P793" s="5" t="s">
        <v>5181</v>
      </c>
      <c r="Q793" s="19"/>
    </row>
    <row r="794" spans="1:17" ht="55" customHeight="1">
      <c r="A794" s="166">
        <v>195</v>
      </c>
      <c r="B794" s="53" t="s">
        <v>4844</v>
      </c>
      <c r="C794" s="11" t="s">
        <v>4855</v>
      </c>
      <c r="D794" s="11" t="s">
        <v>2393</v>
      </c>
      <c r="E794" s="11" t="s">
        <v>4842</v>
      </c>
      <c r="F794" s="11" t="s">
        <v>4879</v>
      </c>
      <c r="G794" s="11" t="s">
        <v>4311</v>
      </c>
      <c r="H794" s="11" t="s">
        <v>4309</v>
      </c>
      <c r="I794" s="21">
        <v>-3.1620577999999999</v>
      </c>
      <c r="J794" s="21">
        <v>37.092430700000001</v>
      </c>
      <c r="K794" s="70">
        <f>86208/100</f>
        <v>862.08</v>
      </c>
      <c r="L794" s="11">
        <v>1988</v>
      </c>
      <c r="M794" s="11">
        <v>2000</v>
      </c>
      <c r="N794" s="70" t="s">
        <v>2272</v>
      </c>
      <c r="O794" s="11" t="s">
        <v>66</v>
      </c>
      <c r="P794" s="5" t="s">
        <v>5181</v>
      </c>
      <c r="Q794" s="19"/>
    </row>
    <row r="795" spans="1:17" ht="55" customHeight="1">
      <c r="A795" s="166">
        <v>195</v>
      </c>
      <c r="B795" s="53" t="s">
        <v>4844</v>
      </c>
      <c r="C795" s="11" t="s">
        <v>4856</v>
      </c>
      <c r="D795" s="11" t="s">
        <v>2393</v>
      </c>
      <c r="E795" s="11" t="s">
        <v>4842</v>
      </c>
      <c r="F795" s="11" t="s">
        <v>4880</v>
      </c>
      <c r="G795" s="11" t="s">
        <v>4311</v>
      </c>
      <c r="H795" s="11" t="s">
        <v>4309</v>
      </c>
      <c r="I795" s="21">
        <v>-2.7488888999999999</v>
      </c>
      <c r="J795" s="21">
        <v>37.252222199999999</v>
      </c>
      <c r="K795" s="70">
        <f>53649/100</f>
        <v>536.49</v>
      </c>
      <c r="L795" s="11">
        <v>1988</v>
      </c>
      <c r="M795" s="11">
        <v>2000</v>
      </c>
      <c r="N795" s="70" t="s">
        <v>2272</v>
      </c>
      <c r="O795" s="11" t="s">
        <v>66</v>
      </c>
      <c r="P795" s="5" t="s">
        <v>5181</v>
      </c>
      <c r="Q795" s="19"/>
    </row>
    <row r="796" spans="1:17" ht="55" customHeight="1">
      <c r="A796" s="166">
        <v>195</v>
      </c>
      <c r="B796" s="53" t="s">
        <v>4844</v>
      </c>
      <c r="C796" s="11" t="s">
        <v>4857</v>
      </c>
      <c r="D796" s="11" t="s">
        <v>2393</v>
      </c>
      <c r="E796" s="11" t="s">
        <v>4842</v>
      </c>
      <c r="F796" s="11" t="s">
        <v>4881</v>
      </c>
      <c r="G796" s="11" t="s">
        <v>4311</v>
      </c>
      <c r="H796" s="11" t="s">
        <v>4309</v>
      </c>
      <c r="I796" s="21">
        <v>-2.7580700999999999</v>
      </c>
      <c r="J796" s="21">
        <v>37.882684699999999</v>
      </c>
      <c r="K796" s="70">
        <f>12300/100</f>
        <v>123</v>
      </c>
      <c r="L796" s="11">
        <v>1988</v>
      </c>
      <c r="M796" s="11">
        <v>2000</v>
      </c>
      <c r="N796" s="70" t="s">
        <v>2272</v>
      </c>
      <c r="O796" s="11" t="s">
        <v>66</v>
      </c>
      <c r="P796" s="5" t="s">
        <v>5181</v>
      </c>
      <c r="Q796" s="19"/>
    </row>
    <row r="797" spans="1:17" ht="55" customHeight="1">
      <c r="A797" s="166">
        <v>195</v>
      </c>
      <c r="B797" s="53" t="s">
        <v>4844</v>
      </c>
      <c r="C797" s="11" t="s">
        <v>4858</v>
      </c>
      <c r="D797" s="11" t="s">
        <v>2393</v>
      </c>
      <c r="E797" s="11" t="s">
        <v>4842</v>
      </c>
      <c r="F797" s="11" t="s">
        <v>4882</v>
      </c>
      <c r="G797" s="11" t="s">
        <v>4311</v>
      </c>
      <c r="H797" s="11" t="s">
        <v>4309</v>
      </c>
      <c r="I797" s="21">
        <v>-3.4884496</v>
      </c>
      <c r="J797" s="21">
        <v>37.253073399999998</v>
      </c>
      <c r="K797" s="70">
        <f>12128/100</f>
        <v>121.28</v>
      </c>
      <c r="L797" s="11">
        <v>1988</v>
      </c>
      <c r="M797" s="11">
        <v>2000</v>
      </c>
      <c r="N797" s="70" t="s">
        <v>2272</v>
      </c>
      <c r="O797" s="11" t="s">
        <v>66</v>
      </c>
      <c r="P797" s="5" t="s">
        <v>5181</v>
      </c>
      <c r="Q797" s="19"/>
    </row>
    <row r="798" spans="1:17" ht="55" customHeight="1">
      <c r="A798" s="166">
        <v>195</v>
      </c>
      <c r="B798" s="53" t="s">
        <v>4844</v>
      </c>
      <c r="C798" s="11" t="s">
        <v>4859</v>
      </c>
      <c r="D798" s="11" t="s">
        <v>2393</v>
      </c>
      <c r="E798" s="11" t="s">
        <v>4842</v>
      </c>
      <c r="F798" s="11" t="s">
        <v>4884</v>
      </c>
      <c r="G798" s="11" t="s">
        <v>4311</v>
      </c>
      <c r="H798" s="11" t="s">
        <v>4309</v>
      </c>
      <c r="I798" s="21">
        <v>-6.4344466999999996</v>
      </c>
      <c r="J798" s="21">
        <v>37.0427289</v>
      </c>
      <c r="K798" s="70">
        <v>1300</v>
      </c>
      <c r="L798" s="11">
        <v>1988</v>
      </c>
      <c r="M798" s="11">
        <v>2000</v>
      </c>
      <c r="N798" s="70" t="s">
        <v>2272</v>
      </c>
      <c r="O798" s="11" t="s">
        <v>66</v>
      </c>
      <c r="P798" s="5" t="s">
        <v>5181</v>
      </c>
      <c r="Q798" s="19"/>
    </row>
    <row r="799" spans="1:17" ht="55" customHeight="1">
      <c r="A799" s="166">
        <v>195</v>
      </c>
      <c r="B799" s="53" t="s">
        <v>4844</v>
      </c>
      <c r="C799" s="11" t="s">
        <v>4860</v>
      </c>
      <c r="D799" s="11" t="s">
        <v>2393</v>
      </c>
      <c r="E799" s="11" t="s">
        <v>4842</v>
      </c>
      <c r="F799" s="11" t="s">
        <v>4885</v>
      </c>
      <c r="G799" s="11" t="s">
        <v>4311</v>
      </c>
      <c r="H799" s="11" t="s">
        <v>4309</v>
      </c>
      <c r="I799" s="21">
        <v>-6.8333332999999996</v>
      </c>
      <c r="J799" s="21">
        <v>37.933333300000001</v>
      </c>
      <c r="K799" s="70">
        <f>184000/100</f>
        <v>1840</v>
      </c>
      <c r="L799" s="11">
        <v>1988</v>
      </c>
      <c r="M799" s="11">
        <v>2000</v>
      </c>
      <c r="N799" s="70" t="s">
        <v>2272</v>
      </c>
      <c r="O799" s="11" t="s">
        <v>66</v>
      </c>
      <c r="P799" s="5" t="s">
        <v>5181</v>
      </c>
      <c r="Q799" s="19"/>
    </row>
    <row r="800" spans="1:17" ht="55" customHeight="1">
      <c r="A800" s="166">
        <v>195</v>
      </c>
      <c r="B800" s="53" t="s">
        <v>4844</v>
      </c>
      <c r="C800" s="11" t="s">
        <v>4861</v>
      </c>
      <c r="D800" s="11" t="s">
        <v>2393</v>
      </c>
      <c r="E800" s="11" t="s">
        <v>4842</v>
      </c>
      <c r="F800" s="11" t="s">
        <v>4886</v>
      </c>
      <c r="G800" s="11" t="s">
        <v>4311</v>
      </c>
      <c r="H800" s="11" t="s">
        <v>4309</v>
      </c>
      <c r="I800" s="21">
        <v>-3.561026</v>
      </c>
      <c r="J800" s="21">
        <v>38.410043199999997</v>
      </c>
      <c r="K800" s="70">
        <f>7649/100</f>
        <v>76.489999999999995</v>
      </c>
      <c r="L800" s="11">
        <v>1988</v>
      </c>
      <c r="M800" s="11">
        <v>2000</v>
      </c>
      <c r="N800" s="70" t="s">
        <v>2272</v>
      </c>
      <c r="O800" s="11" t="s">
        <v>66</v>
      </c>
      <c r="P800" s="5" t="s">
        <v>5181</v>
      </c>
      <c r="Q800" s="19"/>
    </row>
    <row r="801" spans="1:17" ht="55" customHeight="1">
      <c r="A801" s="166">
        <v>195</v>
      </c>
      <c r="B801" s="53" t="s">
        <v>4844</v>
      </c>
      <c r="C801" s="11" t="s">
        <v>4862</v>
      </c>
      <c r="D801" s="11" t="s">
        <v>2393</v>
      </c>
      <c r="E801" s="11" t="s">
        <v>4842</v>
      </c>
      <c r="F801" s="11" t="s">
        <v>4887</v>
      </c>
      <c r="G801" s="11" t="s">
        <v>4311</v>
      </c>
      <c r="H801" s="11" t="s">
        <v>4309</v>
      </c>
      <c r="I801" s="21">
        <v>-4.0286780000000002</v>
      </c>
      <c r="J801" s="21">
        <v>38.2897569</v>
      </c>
      <c r="K801" s="70">
        <f>74774/100</f>
        <v>747.74</v>
      </c>
      <c r="L801" s="11">
        <v>1988</v>
      </c>
      <c r="M801" s="11">
        <v>2000</v>
      </c>
      <c r="N801" s="70" t="s">
        <v>2272</v>
      </c>
      <c r="O801" s="11" t="s">
        <v>66</v>
      </c>
      <c r="P801" s="5" t="s">
        <v>5181</v>
      </c>
      <c r="Q801" s="19"/>
    </row>
    <row r="802" spans="1:17" ht="55" customHeight="1">
      <c r="A802" s="166">
        <v>195</v>
      </c>
      <c r="B802" s="53" t="s">
        <v>4844</v>
      </c>
      <c r="C802" s="11" t="s">
        <v>4863</v>
      </c>
      <c r="D802" s="11" t="s">
        <v>2393</v>
      </c>
      <c r="E802" s="11" t="s">
        <v>4842</v>
      </c>
      <c r="F802" s="19" t="s">
        <v>4888</v>
      </c>
      <c r="G802" s="11" t="s">
        <v>4311</v>
      </c>
      <c r="H802" s="11" t="s">
        <v>4309</v>
      </c>
      <c r="I802" s="21">
        <v>-2.7381671999999999</v>
      </c>
      <c r="J802" s="21">
        <v>38.158175999999997</v>
      </c>
      <c r="K802" s="70">
        <f>209920/100</f>
        <v>2099.1999999999998</v>
      </c>
      <c r="L802" s="11">
        <v>1988</v>
      </c>
      <c r="M802" s="11">
        <v>2000</v>
      </c>
      <c r="N802" s="70" t="s">
        <v>2272</v>
      </c>
      <c r="O802" s="11" t="s">
        <v>66</v>
      </c>
      <c r="P802" s="5" t="s">
        <v>5181</v>
      </c>
      <c r="Q802" s="19"/>
    </row>
    <row r="803" spans="1:17" ht="55" customHeight="1">
      <c r="A803" s="166">
        <v>195</v>
      </c>
      <c r="B803" s="53" t="s">
        <v>4844</v>
      </c>
      <c r="C803" s="11" t="s">
        <v>4864</v>
      </c>
      <c r="D803" s="11" t="s">
        <v>2393</v>
      </c>
      <c r="E803" s="11" t="s">
        <v>4842</v>
      </c>
      <c r="F803" s="11" t="s">
        <v>4889</v>
      </c>
      <c r="G803" s="11" t="s">
        <v>4311</v>
      </c>
      <c r="H803" s="11" t="s">
        <v>4309</v>
      </c>
      <c r="I803" s="21">
        <v>-3.4291667000000001</v>
      </c>
      <c r="J803" s="21">
        <v>37.745833300000001</v>
      </c>
      <c r="K803" s="70">
        <f>19000/100</f>
        <v>190</v>
      </c>
      <c r="L803" s="11">
        <v>1988</v>
      </c>
      <c r="M803" s="11">
        <v>2000</v>
      </c>
      <c r="N803" s="70" t="s">
        <v>2272</v>
      </c>
      <c r="O803" s="11" t="s">
        <v>66</v>
      </c>
      <c r="P803" s="5" t="s">
        <v>5181</v>
      </c>
      <c r="Q803" s="19"/>
    </row>
    <row r="804" spans="1:17" ht="55" customHeight="1">
      <c r="A804" s="166">
        <v>195</v>
      </c>
      <c r="B804" s="53" t="s">
        <v>4844</v>
      </c>
      <c r="C804" s="11" t="s">
        <v>4865</v>
      </c>
      <c r="D804" s="11" t="s">
        <v>2393</v>
      </c>
      <c r="E804" s="11" t="s">
        <v>4842</v>
      </c>
      <c r="F804" s="11" t="s">
        <v>4890</v>
      </c>
      <c r="G804" s="11" t="s">
        <v>4311</v>
      </c>
      <c r="H804" s="11" t="s">
        <v>4309</v>
      </c>
      <c r="I804" s="21">
        <v>-4.3667907000000001</v>
      </c>
      <c r="J804" s="21">
        <v>36.841895800000003</v>
      </c>
      <c r="K804" s="70">
        <f>4996/100</f>
        <v>49.96</v>
      </c>
      <c r="L804" s="11">
        <v>1988</v>
      </c>
      <c r="M804" s="11">
        <v>2000</v>
      </c>
      <c r="N804" s="70" t="s">
        <v>2272</v>
      </c>
      <c r="O804" s="11" t="s">
        <v>66</v>
      </c>
      <c r="P804" s="5" t="s">
        <v>5181</v>
      </c>
      <c r="Q804" s="19"/>
    </row>
    <row r="805" spans="1:17" ht="55" customHeight="1">
      <c r="A805" s="166">
        <v>195</v>
      </c>
      <c r="B805" s="53" t="s">
        <v>4844</v>
      </c>
      <c r="C805" s="11" t="s">
        <v>4866</v>
      </c>
      <c r="D805" s="11" t="s">
        <v>2393</v>
      </c>
      <c r="E805" s="11" t="s">
        <v>4842</v>
      </c>
      <c r="F805" s="19" t="s">
        <v>4891</v>
      </c>
      <c r="G805" s="11" t="s">
        <v>4311</v>
      </c>
      <c r="H805" s="11" t="s">
        <v>4309</v>
      </c>
      <c r="I805" s="21">
        <v>-3.8652695000000001</v>
      </c>
      <c r="J805" s="21">
        <v>36.847572800000002</v>
      </c>
      <c r="K805" s="70">
        <f>40663/100</f>
        <v>406.63</v>
      </c>
      <c r="L805" s="11">
        <v>1988</v>
      </c>
      <c r="M805" s="11">
        <v>2000</v>
      </c>
      <c r="N805" s="70" t="s">
        <v>2272</v>
      </c>
      <c r="O805" s="11" t="s">
        <v>66</v>
      </c>
      <c r="P805" s="5" t="s">
        <v>5181</v>
      </c>
      <c r="Q805" s="19"/>
    </row>
    <row r="806" spans="1:17" ht="55" customHeight="1">
      <c r="A806" s="166">
        <v>195</v>
      </c>
      <c r="B806" s="53" t="s">
        <v>4844</v>
      </c>
      <c r="C806" s="11" t="s">
        <v>4867</v>
      </c>
      <c r="D806" s="11" t="s">
        <v>2393</v>
      </c>
      <c r="E806" s="11" t="s">
        <v>4842</v>
      </c>
      <c r="F806" s="11" t="s">
        <v>4892</v>
      </c>
      <c r="G806" s="11" t="s">
        <v>4311</v>
      </c>
      <c r="H806" s="11" t="s">
        <v>4309</v>
      </c>
      <c r="I806" s="21">
        <v>-4.9350928999999999</v>
      </c>
      <c r="J806" s="21">
        <v>36.722982799999997</v>
      </c>
      <c r="K806" s="70">
        <f>18530/100</f>
        <v>185.3</v>
      </c>
      <c r="L806" s="11">
        <v>1988</v>
      </c>
      <c r="M806" s="11">
        <v>2000</v>
      </c>
      <c r="N806" s="70" t="s">
        <v>2272</v>
      </c>
      <c r="O806" s="11" t="s">
        <v>66</v>
      </c>
      <c r="P806" s="5" t="s">
        <v>5181</v>
      </c>
      <c r="Q806" s="19"/>
    </row>
    <row r="807" spans="1:17" ht="55" customHeight="1">
      <c r="A807" s="166">
        <v>195</v>
      </c>
      <c r="B807" s="53" t="s">
        <v>4844</v>
      </c>
      <c r="C807" s="11" t="s">
        <v>4868</v>
      </c>
      <c r="D807" s="11" t="s">
        <v>2393</v>
      </c>
      <c r="E807" s="11" t="s">
        <v>4842</v>
      </c>
      <c r="F807" s="11" t="s">
        <v>4893</v>
      </c>
      <c r="G807" s="11" t="s">
        <v>4311</v>
      </c>
      <c r="H807" s="11" t="s">
        <v>4309</v>
      </c>
      <c r="I807" s="21">
        <v>-5.8142885</v>
      </c>
      <c r="J807" s="21">
        <v>37.919785300000001</v>
      </c>
      <c r="K807" s="70">
        <f>177484/100</f>
        <v>1774.84</v>
      </c>
      <c r="L807" s="11">
        <v>1988</v>
      </c>
      <c r="M807" s="11">
        <v>2000</v>
      </c>
      <c r="N807" s="70" t="s">
        <v>2272</v>
      </c>
      <c r="O807" s="11" t="s">
        <v>66</v>
      </c>
      <c r="P807" s="5" t="s">
        <v>5181</v>
      </c>
      <c r="Q807" s="19"/>
    </row>
    <row r="808" spans="1:17" ht="43.5" customHeight="1">
      <c r="A808" s="166">
        <v>196</v>
      </c>
      <c r="B808" s="37" t="s">
        <v>4919</v>
      </c>
      <c r="C808" s="11" t="s">
        <v>4920</v>
      </c>
      <c r="D808" s="11" t="s">
        <v>2393</v>
      </c>
      <c r="E808" s="11" t="s">
        <v>2394</v>
      </c>
      <c r="F808" s="3" t="s">
        <v>4923</v>
      </c>
      <c r="G808" s="3" t="s">
        <v>4922</v>
      </c>
      <c r="H808" s="3" t="s">
        <v>4921</v>
      </c>
      <c r="I808" s="21">
        <v>31.64686</v>
      </c>
      <c r="J808" s="21">
        <v>-6.4636088000000003</v>
      </c>
      <c r="K808" s="21" t="s">
        <v>2272</v>
      </c>
      <c r="L808" s="3">
        <v>2004</v>
      </c>
      <c r="M808" s="3">
        <v>2009</v>
      </c>
      <c r="N808" s="21" t="s">
        <v>2272</v>
      </c>
      <c r="O808" s="3" t="s">
        <v>2636</v>
      </c>
      <c r="P808" s="5" t="s">
        <v>5181</v>
      </c>
      <c r="Q808" s="4" t="s">
        <v>4925</v>
      </c>
    </row>
    <row r="809" spans="1:17" ht="41.5" customHeight="1">
      <c r="A809" s="166">
        <v>196</v>
      </c>
      <c r="B809" s="37" t="s">
        <v>4919</v>
      </c>
      <c r="C809" s="11" t="s">
        <v>4924</v>
      </c>
      <c r="D809" s="11" t="s">
        <v>2393</v>
      </c>
      <c r="E809" s="11" t="s">
        <v>2394</v>
      </c>
      <c r="F809" s="3" t="s">
        <v>4927</v>
      </c>
      <c r="G809" s="3" t="s">
        <v>4926</v>
      </c>
      <c r="H809" s="3" t="s">
        <v>4921</v>
      </c>
      <c r="I809" s="21">
        <v>31.213474099999999</v>
      </c>
      <c r="J809" s="21">
        <v>-9.5471030999999993</v>
      </c>
      <c r="K809" s="21" t="s">
        <v>2272</v>
      </c>
      <c r="L809" s="3">
        <v>2004</v>
      </c>
      <c r="M809" s="3">
        <v>2009</v>
      </c>
      <c r="N809" s="21" t="s">
        <v>2272</v>
      </c>
      <c r="O809" s="3" t="s">
        <v>2636</v>
      </c>
      <c r="P809" s="5" t="s">
        <v>5181</v>
      </c>
      <c r="Q809" s="4" t="s">
        <v>4925</v>
      </c>
    </row>
    <row r="810" spans="1:17" ht="39" customHeight="1">
      <c r="A810" s="166">
        <v>197</v>
      </c>
      <c r="B810" s="37" t="s">
        <v>4953</v>
      </c>
      <c r="C810" s="11" t="s">
        <v>4934</v>
      </c>
      <c r="D810" s="11" t="s">
        <v>2393</v>
      </c>
      <c r="E810" s="11" t="s">
        <v>4842</v>
      </c>
      <c r="F810" s="3" t="s">
        <v>2272</v>
      </c>
      <c r="G810" s="3" t="s">
        <v>4936</v>
      </c>
      <c r="H810" s="3" t="s">
        <v>4937</v>
      </c>
      <c r="I810" s="21">
        <v>40.061622800000002</v>
      </c>
      <c r="J810" s="21">
        <v>8.9789212000000003</v>
      </c>
      <c r="K810" s="21">
        <f>2346169/100</f>
        <v>23461.69</v>
      </c>
      <c r="L810" s="11">
        <v>2000</v>
      </c>
      <c r="M810" s="11">
        <v>2004</v>
      </c>
      <c r="N810" s="21" t="s">
        <v>2272</v>
      </c>
      <c r="O810" s="11" t="s">
        <v>66</v>
      </c>
      <c r="P810" s="5" t="s">
        <v>5181</v>
      </c>
      <c r="Q810" s="4" t="s">
        <v>4935</v>
      </c>
    </row>
    <row r="811" spans="1:17" ht="31.5" customHeight="1">
      <c r="A811" s="166">
        <v>198</v>
      </c>
      <c r="B811" s="37" t="s">
        <v>4954</v>
      </c>
      <c r="C811" s="11" t="s">
        <v>4955</v>
      </c>
      <c r="D811" s="3" t="s">
        <v>2628</v>
      </c>
      <c r="E811" s="3" t="s">
        <v>2631</v>
      </c>
      <c r="F811" s="3" t="s">
        <v>2272</v>
      </c>
      <c r="G811" s="3" t="s">
        <v>4956</v>
      </c>
      <c r="H811" s="3" t="s">
        <v>1946</v>
      </c>
      <c r="I811" s="21">
        <v>7.5135350000000001</v>
      </c>
      <c r="J811" s="21">
        <v>44.339283000000002</v>
      </c>
      <c r="K811" s="21" t="s">
        <v>2272</v>
      </c>
      <c r="L811" s="3">
        <v>2002</v>
      </c>
      <c r="M811" s="3">
        <v>2009</v>
      </c>
      <c r="N811" s="21" t="s">
        <v>2272</v>
      </c>
      <c r="O811" s="11" t="s">
        <v>66</v>
      </c>
      <c r="P811" s="5" t="s">
        <v>5181</v>
      </c>
      <c r="Q811" s="4"/>
    </row>
    <row r="812" spans="1:17" ht="36.5" customHeight="1">
      <c r="A812" s="166">
        <v>198</v>
      </c>
      <c r="B812" s="37" t="s">
        <v>4954</v>
      </c>
      <c r="C812" s="11" t="s">
        <v>4959</v>
      </c>
      <c r="D812" s="3" t="s">
        <v>2628</v>
      </c>
      <c r="E812" s="3" t="s">
        <v>2631</v>
      </c>
      <c r="F812" s="3" t="s">
        <v>2272</v>
      </c>
      <c r="G812" s="3" t="s">
        <v>4960</v>
      </c>
      <c r="H812" s="3" t="s">
        <v>1946</v>
      </c>
      <c r="I812" s="21">
        <v>4.8210772999999998</v>
      </c>
      <c r="J812" s="21">
        <v>39.848957800000001</v>
      </c>
      <c r="K812" s="21" t="s">
        <v>2272</v>
      </c>
      <c r="L812" s="3">
        <v>2002</v>
      </c>
      <c r="M812" s="3">
        <v>2009</v>
      </c>
      <c r="N812" s="21" t="s">
        <v>2272</v>
      </c>
      <c r="O812" s="11" t="s">
        <v>66</v>
      </c>
      <c r="P812" s="5" t="s">
        <v>5181</v>
      </c>
      <c r="Q812" s="4" t="s">
        <v>4658</v>
      </c>
    </row>
    <row r="813" spans="1:17" ht="41.5" customHeight="1">
      <c r="A813" s="166">
        <v>198</v>
      </c>
      <c r="B813" s="37" t="s">
        <v>4954</v>
      </c>
      <c r="C813" s="11" t="s">
        <v>4965</v>
      </c>
      <c r="D813" s="3" t="s">
        <v>2628</v>
      </c>
      <c r="E813" s="3" t="s">
        <v>2631</v>
      </c>
      <c r="F813" s="3" t="s">
        <v>2272</v>
      </c>
      <c r="G813" s="11" t="s">
        <v>4964</v>
      </c>
      <c r="H813" s="11" t="s">
        <v>3571</v>
      </c>
      <c r="I813" s="21">
        <v>2.8156618999999998</v>
      </c>
      <c r="J813" s="21">
        <v>34.278856599999997</v>
      </c>
      <c r="K813" s="21" t="s">
        <v>2272</v>
      </c>
      <c r="L813" s="3">
        <v>2001</v>
      </c>
      <c r="M813" s="3">
        <v>2011</v>
      </c>
      <c r="N813" s="21" t="s">
        <v>2272</v>
      </c>
      <c r="O813" s="11" t="s">
        <v>66</v>
      </c>
      <c r="P813" s="5" t="s">
        <v>5181</v>
      </c>
      <c r="Q813" s="3"/>
    </row>
    <row r="814" spans="1:17" ht="40.5" customHeight="1">
      <c r="A814" s="166">
        <v>198</v>
      </c>
      <c r="B814" s="37" t="s">
        <v>4954</v>
      </c>
      <c r="C814" s="11" t="s">
        <v>4967</v>
      </c>
      <c r="D814" s="3" t="s">
        <v>2628</v>
      </c>
      <c r="E814" s="3" t="s">
        <v>2631</v>
      </c>
      <c r="F814" s="3" t="s">
        <v>2272</v>
      </c>
      <c r="G814" s="3" t="s">
        <v>4969</v>
      </c>
      <c r="H814" s="11" t="s">
        <v>4968</v>
      </c>
      <c r="I814" s="21">
        <v>9.2034134000000005</v>
      </c>
      <c r="J814" s="21">
        <v>29.936733499999999</v>
      </c>
      <c r="K814" s="21" t="s">
        <v>2272</v>
      </c>
      <c r="L814" s="11">
        <v>2002</v>
      </c>
      <c r="M814" s="11">
        <v>2013</v>
      </c>
      <c r="N814" s="21" t="s">
        <v>2272</v>
      </c>
      <c r="O814" s="11" t="s">
        <v>66</v>
      </c>
      <c r="P814" s="5" t="s">
        <v>5181</v>
      </c>
      <c r="Q814" s="3"/>
    </row>
    <row r="815" spans="1:17" ht="42" customHeight="1">
      <c r="A815" s="166">
        <v>198</v>
      </c>
      <c r="B815" s="37" t="s">
        <v>4954</v>
      </c>
      <c r="C815" s="11" t="s">
        <v>4971</v>
      </c>
      <c r="D815" s="3" t="s">
        <v>2628</v>
      </c>
      <c r="E815" s="3" t="s">
        <v>2631</v>
      </c>
      <c r="F815" s="3" t="s">
        <v>2272</v>
      </c>
      <c r="G815" s="3" t="s">
        <v>4969</v>
      </c>
      <c r="H815" s="11" t="s">
        <v>4968</v>
      </c>
      <c r="I815" s="21">
        <v>10.6282593</v>
      </c>
      <c r="J815" s="21">
        <v>41.107728299999998</v>
      </c>
      <c r="K815" s="21" t="s">
        <v>2272</v>
      </c>
      <c r="L815" s="11">
        <v>2002</v>
      </c>
      <c r="M815" s="11">
        <v>2013</v>
      </c>
      <c r="N815" s="21" t="s">
        <v>2272</v>
      </c>
      <c r="O815" s="11" t="s">
        <v>66</v>
      </c>
      <c r="P815" s="5" t="s">
        <v>5181</v>
      </c>
      <c r="Q815" s="3"/>
    </row>
    <row r="816" spans="1:17" ht="48.5" customHeight="1">
      <c r="A816" s="166">
        <v>199</v>
      </c>
      <c r="B816" s="37" t="s">
        <v>4974</v>
      </c>
      <c r="C816" s="11" t="s">
        <v>4972</v>
      </c>
      <c r="D816" s="3" t="s">
        <v>2393</v>
      </c>
      <c r="E816" s="3" t="s">
        <v>2417</v>
      </c>
      <c r="F816" s="11" t="s">
        <v>4976</v>
      </c>
      <c r="G816" s="11" t="s">
        <v>4975</v>
      </c>
      <c r="H816" s="11" t="s">
        <v>1944</v>
      </c>
      <c r="I816" s="21">
        <v>-25.25</v>
      </c>
      <c r="J816" s="21">
        <v>21.75</v>
      </c>
      <c r="K816" s="21" t="s">
        <v>2272</v>
      </c>
      <c r="L816" s="3">
        <v>1976</v>
      </c>
      <c r="M816" s="160">
        <v>2004</v>
      </c>
      <c r="N816" s="21" t="s">
        <v>2272</v>
      </c>
      <c r="O816" s="11" t="s">
        <v>66</v>
      </c>
      <c r="P816" s="5" t="s">
        <v>5181</v>
      </c>
      <c r="Q816" s="4" t="s">
        <v>4977</v>
      </c>
    </row>
    <row r="817" spans="1:17" ht="43" customHeight="1">
      <c r="A817" s="166">
        <v>200</v>
      </c>
      <c r="B817" s="38" t="s">
        <v>4988</v>
      </c>
      <c r="C817" s="11" t="s">
        <v>4989</v>
      </c>
      <c r="D817" s="3" t="s">
        <v>2411</v>
      </c>
      <c r="E817" s="3" t="s">
        <v>2394</v>
      </c>
      <c r="F817" s="60" t="s">
        <v>4990</v>
      </c>
      <c r="G817" s="3" t="s">
        <v>2272</v>
      </c>
      <c r="H817" s="11" t="s">
        <v>3713</v>
      </c>
      <c r="I817" s="21">
        <v>-20.514149499999998</v>
      </c>
      <c r="J817" s="21">
        <v>20</v>
      </c>
      <c r="K817" s="21" t="s">
        <v>2272</v>
      </c>
      <c r="L817" s="11">
        <v>1994</v>
      </c>
      <c r="M817" s="11">
        <v>1994</v>
      </c>
      <c r="N817" s="21" t="s">
        <v>2272</v>
      </c>
      <c r="O817" s="11" t="s">
        <v>66</v>
      </c>
      <c r="P817" s="5" t="s">
        <v>5181</v>
      </c>
      <c r="Q817" s="4" t="s">
        <v>4991</v>
      </c>
    </row>
    <row r="818" spans="1:17" ht="35.5" customHeight="1">
      <c r="A818" s="166">
        <v>201</v>
      </c>
      <c r="B818" s="37" t="s">
        <v>5081</v>
      </c>
      <c r="C818" s="11" t="s">
        <v>5082</v>
      </c>
      <c r="D818" s="3" t="s">
        <v>2393</v>
      </c>
      <c r="E818" s="3" t="s">
        <v>2394</v>
      </c>
      <c r="F818" s="3" t="s">
        <v>5083</v>
      </c>
      <c r="G818" s="3" t="s">
        <v>5084</v>
      </c>
      <c r="H818" s="11" t="s">
        <v>5085</v>
      </c>
      <c r="I818" s="21">
        <f>66+37/69</f>
        <v>66.536231884057969</v>
      </c>
      <c r="J818" s="21">
        <f>19+50/60</f>
        <v>19.833333333333332</v>
      </c>
      <c r="K818" s="21">
        <v>19334</v>
      </c>
      <c r="L818" s="11">
        <v>2018</v>
      </c>
      <c r="M818" s="11">
        <v>2018</v>
      </c>
      <c r="N818" s="21" t="s">
        <v>2272</v>
      </c>
      <c r="O818" s="11" t="s">
        <v>66</v>
      </c>
      <c r="P818" s="11" t="s">
        <v>5182</v>
      </c>
      <c r="Q818" s="4" t="s">
        <v>5086</v>
      </c>
    </row>
    <row r="819" spans="1:17" ht="43.5" customHeight="1">
      <c r="A819" s="166">
        <v>202</v>
      </c>
      <c r="B819" s="37" t="s">
        <v>5093</v>
      </c>
      <c r="C819" s="11" t="s">
        <v>5094</v>
      </c>
      <c r="D819" s="3" t="s">
        <v>2393</v>
      </c>
      <c r="E819" s="3" t="s">
        <v>2394</v>
      </c>
      <c r="F819" s="3" t="s">
        <v>2272</v>
      </c>
      <c r="G819" s="11" t="s">
        <v>5095</v>
      </c>
      <c r="H819" s="11" t="s">
        <v>1948</v>
      </c>
      <c r="I819" s="21">
        <v>7.8402092000000003</v>
      </c>
      <c r="J819" s="21">
        <v>3.9292001000000001</v>
      </c>
      <c r="K819" s="21">
        <v>28454</v>
      </c>
      <c r="L819" s="11">
        <v>2014</v>
      </c>
      <c r="M819" s="11">
        <v>2014</v>
      </c>
      <c r="N819" s="21" t="s">
        <v>2272</v>
      </c>
      <c r="O819" s="11" t="s">
        <v>66</v>
      </c>
      <c r="P819" s="11" t="s">
        <v>5182</v>
      </c>
      <c r="Q819" s="3"/>
    </row>
    <row r="820" spans="1:17" ht="43.5" customHeight="1">
      <c r="A820" s="166">
        <v>202</v>
      </c>
      <c r="B820" s="37" t="s">
        <v>5093</v>
      </c>
      <c r="C820" s="11" t="s">
        <v>5098</v>
      </c>
      <c r="D820" s="3" t="s">
        <v>2393</v>
      </c>
      <c r="E820" s="3" t="s">
        <v>2394</v>
      </c>
      <c r="F820" s="3" t="s">
        <v>2272</v>
      </c>
      <c r="G820" s="11" t="s">
        <v>5096</v>
      </c>
      <c r="H820" s="11" t="s">
        <v>1948</v>
      </c>
      <c r="I820" s="21">
        <v>7.538119</v>
      </c>
      <c r="J820" s="21">
        <v>4.5552811000000002</v>
      </c>
      <c r="K820" s="21">
        <v>9251</v>
      </c>
      <c r="L820" s="11">
        <v>2014</v>
      </c>
      <c r="M820" s="11">
        <v>2014</v>
      </c>
      <c r="N820" s="21" t="s">
        <v>2272</v>
      </c>
      <c r="O820" s="11" t="s">
        <v>66</v>
      </c>
      <c r="P820" s="11" t="s">
        <v>5182</v>
      </c>
      <c r="Q820" s="3"/>
    </row>
    <row r="821" spans="1:17" ht="43.5" customHeight="1">
      <c r="A821" s="166">
        <v>202</v>
      </c>
      <c r="B821" s="37" t="s">
        <v>5093</v>
      </c>
      <c r="C821" s="11" t="s">
        <v>5099</v>
      </c>
      <c r="D821" s="3" t="s">
        <v>2393</v>
      </c>
      <c r="E821" s="3" t="s">
        <v>2394</v>
      </c>
      <c r="F821" s="3" t="s">
        <v>2272</v>
      </c>
      <c r="G821" s="11" t="s">
        <v>5097</v>
      </c>
      <c r="H821" s="11" t="s">
        <v>1948</v>
      </c>
      <c r="I821" s="21">
        <v>7.1165304999999996</v>
      </c>
      <c r="J821" s="21">
        <v>3.6499621000000002</v>
      </c>
      <c r="K821" s="21">
        <v>16980</v>
      </c>
      <c r="L821" s="11">
        <v>2014</v>
      </c>
      <c r="M821" s="11">
        <v>2014</v>
      </c>
      <c r="N821" s="21" t="s">
        <v>2272</v>
      </c>
      <c r="O821" s="11" t="s">
        <v>66</v>
      </c>
      <c r="P821" s="11" t="s">
        <v>5182</v>
      </c>
      <c r="Q821" s="3"/>
    </row>
    <row r="822" spans="1:17" ht="43.5" customHeight="1">
      <c r="A822" s="166">
        <v>203</v>
      </c>
      <c r="B822" s="37" t="s">
        <v>5102</v>
      </c>
      <c r="C822" s="3" t="s">
        <v>5103</v>
      </c>
      <c r="D822" s="3" t="s">
        <v>2393</v>
      </c>
      <c r="E822" s="3" t="s">
        <v>2394</v>
      </c>
      <c r="F822" s="3" t="s">
        <v>2272</v>
      </c>
      <c r="G822" s="3" t="s">
        <v>5101</v>
      </c>
      <c r="H822" s="11" t="s">
        <v>1948</v>
      </c>
      <c r="I822" s="21">
        <v>9</v>
      </c>
      <c r="J822" s="21">
        <v>12.5</v>
      </c>
      <c r="K822" s="21">
        <v>7282.2</v>
      </c>
      <c r="L822" s="3">
        <v>2015</v>
      </c>
      <c r="M822" s="3">
        <v>2015</v>
      </c>
      <c r="N822" s="21" t="s">
        <v>2272</v>
      </c>
      <c r="O822" s="11" t="s">
        <v>66</v>
      </c>
      <c r="P822" s="11" t="s">
        <v>5182</v>
      </c>
      <c r="Q822" s="3"/>
    </row>
    <row r="823" spans="1:17" ht="43" customHeight="1">
      <c r="A823" s="166">
        <v>204</v>
      </c>
      <c r="B823" s="37" t="s">
        <v>5110</v>
      </c>
      <c r="C823" s="11" t="s">
        <v>5111</v>
      </c>
      <c r="D823" s="3" t="s">
        <v>2393</v>
      </c>
      <c r="E823" s="3" t="s">
        <v>2394</v>
      </c>
      <c r="F823" s="11" t="s">
        <v>5112</v>
      </c>
      <c r="G823" s="11" t="s">
        <v>5113</v>
      </c>
      <c r="H823" s="11" t="s">
        <v>1948</v>
      </c>
      <c r="I823" s="21">
        <f>AVERAGE(9 + 11/60, 9+39/60)</f>
        <v>9.4166666666666679</v>
      </c>
      <c r="J823" s="21">
        <f>AVERAGE(12 + 11/60, 12 + 49/60)</f>
        <v>12.5</v>
      </c>
      <c r="K823" s="21" t="s">
        <v>2272</v>
      </c>
      <c r="L823" s="11">
        <v>2016</v>
      </c>
      <c r="M823" s="11">
        <v>2016</v>
      </c>
      <c r="N823" s="21" t="s">
        <v>2272</v>
      </c>
      <c r="O823" s="11" t="s">
        <v>66</v>
      </c>
      <c r="P823" s="11" t="s">
        <v>5182</v>
      </c>
      <c r="Q823" s="3"/>
    </row>
    <row r="824" spans="1:17" ht="57" customHeight="1">
      <c r="A824" s="166">
        <v>205</v>
      </c>
      <c r="B824" s="37" t="s">
        <v>5116</v>
      </c>
      <c r="C824" s="11" t="s">
        <v>5117</v>
      </c>
      <c r="D824" s="3" t="s">
        <v>2393</v>
      </c>
      <c r="E824" s="3" t="s">
        <v>2417</v>
      </c>
      <c r="F824" s="60" t="s">
        <v>5128</v>
      </c>
      <c r="G824" s="3" t="s">
        <v>5127</v>
      </c>
      <c r="H824" s="11" t="s">
        <v>3409</v>
      </c>
      <c r="I824" s="178">
        <v>-16.347667699999999</v>
      </c>
      <c r="J824" s="21">
        <v>132.70656389999999</v>
      </c>
      <c r="K824" s="21">
        <v>26000</v>
      </c>
      <c r="L824" s="3">
        <v>1996</v>
      </c>
      <c r="M824" s="3">
        <v>2005</v>
      </c>
      <c r="N824" s="21" t="s">
        <v>2272</v>
      </c>
      <c r="O824" s="11" t="s">
        <v>66</v>
      </c>
      <c r="P824" s="11" t="s">
        <v>5182</v>
      </c>
      <c r="Q824" s="4" t="s">
        <v>5133</v>
      </c>
    </row>
    <row r="825" spans="1:17" ht="57" customHeight="1">
      <c r="A825" s="166">
        <v>205</v>
      </c>
      <c r="B825" s="37" t="s">
        <v>5116</v>
      </c>
      <c r="C825" s="11" t="s">
        <v>5118</v>
      </c>
      <c r="D825" s="3" t="s">
        <v>2393</v>
      </c>
      <c r="E825" s="3" t="s">
        <v>2417</v>
      </c>
      <c r="F825" s="60" t="s">
        <v>5129</v>
      </c>
      <c r="G825" s="3" t="s">
        <v>5127</v>
      </c>
      <c r="H825" s="11" t="s">
        <v>3409</v>
      </c>
      <c r="I825" s="21">
        <v>-15.2194482</v>
      </c>
      <c r="J825" s="21">
        <v>131.77928410000001</v>
      </c>
      <c r="K825" s="21">
        <v>28000</v>
      </c>
      <c r="L825" s="3">
        <v>1995</v>
      </c>
      <c r="M825" s="3">
        <v>2004</v>
      </c>
      <c r="N825" s="21" t="s">
        <v>2272</v>
      </c>
      <c r="O825" s="11" t="s">
        <v>66</v>
      </c>
      <c r="P825" s="11" t="s">
        <v>5182</v>
      </c>
      <c r="Q825" s="4" t="s">
        <v>5133</v>
      </c>
    </row>
    <row r="826" spans="1:17" ht="57" customHeight="1">
      <c r="A826" s="166">
        <v>205</v>
      </c>
      <c r="B826" s="37" t="s">
        <v>5116</v>
      </c>
      <c r="C826" s="11" t="s">
        <v>5119</v>
      </c>
      <c r="D826" s="3" t="s">
        <v>2393</v>
      </c>
      <c r="E826" s="3" t="s">
        <v>2417</v>
      </c>
      <c r="F826" s="60" t="s">
        <v>5130</v>
      </c>
      <c r="G826" s="3" t="s">
        <v>5127</v>
      </c>
      <c r="H826" s="11" t="s">
        <v>3409</v>
      </c>
      <c r="I826" s="21">
        <v>-13.6592447</v>
      </c>
      <c r="J826" s="21">
        <v>134.8716282</v>
      </c>
      <c r="K826" s="21">
        <v>11000</v>
      </c>
      <c r="L826" s="3">
        <v>2006</v>
      </c>
      <c r="M826" s="3">
        <v>2015</v>
      </c>
      <c r="N826" s="21" t="s">
        <v>2272</v>
      </c>
      <c r="O826" s="11" t="s">
        <v>66</v>
      </c>
      <c r="P826" s="11" t="s">
        <v>5182</v>
      </c>
      <c r="Q826" s="4" t="s">
        <v>5133</v>
      </c>
    </row>
    <row r="827" spans="1:17" ht="57" customHeight="1">
      <c r="A827" s="166">
        <v>205</v>
      </c>
      <c r="B827" s="37" t="s">
        <v>5116</v>
      </c>
      <c r="C827" s="11" t="s">
        <v>5120</v>
      </c>
      <c r="D827" s="3" t="s">
        <v>2393</v>
      </c>
      <c r="E827" s="3" t="s">
        <v>2417</v>
      </c>
      <c r="F827" s="60" t="s">
        <v>5131</v>
      </c>
      <c r="G827" s="3" t="s">
        <v>5127</v>
      </c>
      <c r="H827" s="11" t="s">
        <v>3409</v>
      </c>
      <c r="I827" s="21">
        <v>-14.2296459</v>
      </c>
      <c r="J827" s="21">
        <v>135.27392330000001</v>
      </c>
      <c r="K827" s="21">
        <v>5000</v>
      </c>
      <c r="L827" s="3">
        <v>2000</v>
      </c>
      <c r="M827" s="3">
        <v>2014</v>
      </c>
      <c r="N827" s="21" t="s">
        <v>2272</v>
      </c>
      <c r="O827" s="11" t="s">
        <v>66</v>
      </c>
      <c r="P827" s="11" t="s">
        <v>5182</v>
      </c>
      <c r="Q827" s="4" t="s">
        <v>5133</v>
      </c>
    </row>
    <row r="828" spans="1:17" ht="57" customHeight="1">
      <c r="A828" s="166">
        <v>205</v>
      </c>
      <c r="B828" s="37" t="s">
        <v>5116</v>
      </c>
      <c r="C828" s="11" t="s">
        <v>5121</v>
      </c>
      <c r="D828" s="3" t="s">
        <v>2393</v>
      </c>
      <c r="E828" s="3" t="s">
        <v>2417</v>
      </c>
      <c r="F828" s="60" t="s">
        <v>5132</v>
      </c>
      <c r="G828" s="3" t="s">
        <v>5127</v>
      </c>
      <c r="H828" s="11" t="s">
        <v>3409</v>
      </c>
      <c r="I828" s="21">
        <v>-14.658561600000001</v>
      </c>
      <c r="J828" s="21">
        <v>134.6898109</v>
      </c>
      <c r="K828" s="21">
        <v>10000</v>
      </c>
      <c r="L828" s="3">
        <v>2000</v>
      </c>
      <c r="M828" s="3">
        <v>2015</v>
      </c>
      <c r="N828" s="21" t="s">
        <v>2272</v>
      </c>
      <c r="O828" s="11" t="s">
        <v>66</v>
      </c>
      <c r="P828" s="11" t="s">
        <v>5182</v>
      </c>
      <c r="Q828" s="4" t="s">
        <v>5133</v>
      </c>
    </row>
    <row r="829" spans="1:17" ht="57" customHeight="1">
      <c r="A829" s="166">
        <v>205</v>
      </c>
      <c r="B829" s="37" t="s">
        <v>5116</v>
      </c>
      <c r="C829" s="11" t="s">
        <v>5122</v>
      </c>
      <c r="D829" s="3" t="s">
        <v>2393</v>
      </c>
      <c r="E829" s="3" t="s">
        <v>2417</v>
      </c>
      <c r="F829" s="60" t="s">
        <v>5128</v>
      </c>
      <c r="G829" s="3" t="s">
        <v>5127</v>
      </c>
      <c r="H829" s="11" t="s">
        <v>3409</v>
      </c>
      <c r="I829" s="178">
        <v>-16.347667699999999</v>
      </c>
      <c r="J829" s="21">
        <v>132.70656389999999</v>
      </c>
      <c r="K829" s="21">
        <v>26000</v>
      </c>
      <c r="L829" s="3">
        <v>2015</v>
      </c>
      <c r="M829" s="3">
        <v>2017</v>
      </c>
      <c r="N829" s="21" t="s">
        <v>2272</v>
      </c>
      <c r="O829" s="11" t="s">
        <v>66</v>
      </c>
      <c r="P829" s="11" t="s">
        <v>5182</v>
      </c>
      <c r="Q829" s="4" t="s">
        <v>5133</v>
      </c>
    </row>
    <row r="830" spans="1:17" ht="57" customHeight="1">
      <c r="A830" s="166">
        <v>205</v>
      </c>
      <c r="B830" s="37" t="s">
        <v>5116</v>
      </c>
      <c r="C830" s="11" t="s">
        <v>5123</v>
      </c>
      <c r="D830" s="3" t="s">
        <v>2393</v>
      </c>
      <c r="E830" s="3" t="s">
        <v>2417</v>
      </c>
      <c r="F830" s="60" t="s">
        <v>5129</v>
      </c>
      <c r="G830" s="3" t="s">
        <v>5127</v>
      </c>
      <c r="H830" s="11" t="s">
        <v>3409</v>
      </c>
      <c r="I830" s="21">
        <v>-15.2194482</v>
      </c>
      <c r="J830" s="21">
        <v>131.77928410000001</v>
      </c>
      <c r="K830" s="21">
        <v>28000</v>
      </c>
      <c r="L830" s="3">
        <v>2015</v>
      </c>
      <c r="M830" s="3">
        <v>2017</v>
      </c>
      <c r="N830" s="21" t="s">
        <v>2272</v>
      </c>
      <c r="O830" s="11" t="s">
        <v>66</v>
      </c>
      <c r="P830" s="11" t="s">
        <v>5182</v>
      </c>
      <c r="Q830" s="4" t="s">
        <v>5133</v>
      </c>
    </row>
    <row r="831" spans="1:17" ht="57" customHeight="1">
      <c r="A831" s="166">
        <v>205</v>
      </c>
      <c r="B831" s="37" t="s">
        <v>5116</v>
      </c>
      <c r="C831" s="11" t="s">
        <v>5124</v>
      </c>
      <c r="D831" s="3" t="s">
        <v>2393</v>
      </c>
      <c r="E831" s="3" t="s">
        <v>2417</v>
      </c>
      <c r="F831" s="60" t="s">
        <v>5130</v>
      </c>
      <c r="G831" s="3" t="s">
        <v>5127</v>
      </c>
      <c r="H831" s="11" t="s">
        <v>3409</v>
      </c>
      <c r="I831" s="21">
        <v>-13.6592447</v>
      </c>
      <c r="J831" s="21">
        <v>134.8716282</v>
      </c>
      <c r="K831" s="21">
        <v>11000</v>
      </c>
      <c r="L831" s="3">
        <v>2016</v>
      </c>
      <c r="M831" s="3">
        <v>2017</v>
      </c>
      <c r="N831" s="21" t="s">
        <v>2272</v>
      </c>
      <c r="O831" s="11" t="s">
        <v>66</v>
      </c>
      <c r="P831" s="11" t="s">
        <v>5182</v>
      </c>
      <c r="Q831" s="4" t="s">
        <v>5133</v>
      </c>
    </row>
    <row r="832" spans="1:17" ht="57" customHeight="1">
      <c r="A832" s="166">
        <v>205</v>
      </c>
      <c r="B832" s="37" t="s">
        <v>5116</v>
      </c>
      <c r="C832" s="11" t="s">
        <v>5125</v>
      </c>
      <c r="D832" s="3" t="s">
        <v>2393</v>
      </c>
      <c r="E832" s="3" t="s">
        <v>2417</v>
      </c>
      <c r="F832" s="60" t="s">
        <v>5131</v>
      </c>
      <c r="G832" s="3" t="s">
        <v>5127</v>
      </c>
      <c r="H832" s="11" t="s">
        <v>3409</v>
      </c>
      <c r="I832" s="21">
        <v>-14.2296459</v>
      </c>
      <c r="J832" s="21">
        <v>135.27392330000001</v>
      </c>
      <c r="K832" s="21">
        <v>5000</v>
      </c>
      <c r="L832" s="3">
        <v>2015</v>
      </c>
      <c r="M832" s="3">
        <v>2017</v>
      </c>
      <c r="N832" s="21" t="s">
        <v>2272</v>
      </c>
      <c r="O832" s="11" t="s">
        <v>66</v>
      </c>
      <c r="P832" s="11" t="s">
        <v>5182</v>
      </c>
      <c r="Q832" s="4" t="s">
        <v>5133</v>
      </c>
    </row>
    <row r="833" spans="1:17" ht="57" customHeight="1">
      <c r="A833" s="166">
        <v>205</v>
      </c>
      <c r="B833" s="37" t="s">
        <v>5116</v>
      </c>
      <c r="C833" s="11" t="s">
        <v>5126</v>
      </c>
      <c r="D833" s="3" t="s">
        <v>2393</v>
      </c>
      <c r="E833" s="3" t="s">
        <v>2417</v>
      </c>
      <c r="F833" s="60" t="s">
        <v>5132</v>
      </c>
      <c r="G833" s="3" t="s">
        <v>5127</v>
      </c>
      <c r="H833" s="11" t="s">
        <v>3409</v>
      </c>
      <c r="I833" s="21">
        <v>-14.658561600000001</v>
      </c>
      <c r="J833" s="21">
        <v>134.6898109</v>
      </c>
      <c r="K833" s="21">
        <v>10000</v>
      </c>
      <c r="L833" s="3">
        <v>2016</v>
      </c>
      <c r="M833" s="3">
        <v>2017</v>
      </c>
      <c r="N833" s="21" t="s">
        <v>2272</v>
      </c>
      <c r="O833" s="11" t="s">
        <v>66</v>
      </c>
      <c r="P833" s="11" t="s">
        <v>5182</v>
      </c>
      <c r="Q833" s="4" t="s">
        <v>5133</v>
      </c>
    </row>
    <row r="834" spans="1:17" ht="40" customHeight="1">
      <c r="A834" s="166">
        <v>206</v>
      </c>
      <c r="B834" s="37" t="s">
        <v>5183</v>
      </c>
      <c r="C834" s="11" t="s">
        <v>5184</v>
      </c>
      <c r="D834" s="3" t="s">
        <v>2393</v>
      </c>
      <c r="E834" s="3" t="s">
        <v>2395</v>
      </c>
      <c r="F834" s="3" t="s">
        <v>5185</v>
      </c>
      <c r="G834" s="3" t="s">
        <v>1053</v>
      </c>
      <c r="H834" s="3" t="s">
        <v>892</v>
      </c>
      <c r="I834" s="21">
        <f>-2 - 2/6</f>
        <v>-2.3333333333333335</v>
      </c>
      <c r="J834" s="21">
        <f>114 + 3/6</f>
        <v>114.5</v>
      </c>
      <c r="K834" s="21">
        <f>48191/100</f>
        <v>481.91</v>
      </c>
      <c r="L834" s="3">
        <v>2014</v>
      </c>
      <c r="M834" s="3">
        <v>2016</v>
      </c>
      <c r="N834" s="21" t="s">
        <v>2272</v>
      </c>
      <c r="O834" s="11" t="s">
        <v>66</v>
      </c>
      <c r="P834" s="11" t="s">
        <v>5182</v>
      </c>
      <c r="Q834" s="3"/>
    </row>
    <row r="835" spans="1:17" ht="38.5" customHeight="1">
      <c r="A835" s="166">
        <v>207</v>
      </c>
      <c r="B835" s="37" t="s">
        <v>5202</v>
      </c>
      <c r="C835" s="11" t="s">
        <v>5203</v>
      </c>
      <c r="D835" s="11" t="s">
        <v>2393</v>
      </c>
      <c r="E835" s="11" t="s">
        <v>2394</v>
      </c>
      <c r="F835" s="60" t="s">
        <v>5204</v>
      </c>
      <c r="G835" s="11" t="s">
        <v>5206</v>
      </c>
      <c r="H835" s="11" t="s">
        <v>5205</v>
      </c>
      <c r="I835" s="21">
        <v>36.923876499999999</v>
      </c>
      <c r="J835" s="21">
        <v>139.06780000000001</v>
      </c>
      <c r="K835" s="21">
        <f>9.7/100</f>
        <v>9.6999999999999989E-2</v>
      </c>
      <c r="L835" s="3">
        <v>2015</v>
      </c>
      <c r="M835" s="3">
        <v>2016</v>
      </c>
      <c r="N835" s="21" t="s">
        <v>2272</v>
      </c>
      <c r="O835" s="11" t="s">
        <v>66</v>
      </c>
      <c r="P835" s="11" t="s">
        <v>5182</v>
      </c>
      <c r="Q835" s="3"/>
    </row>
    <row r="836" spans="1:17" ht="48" customHeight="1">
      <c r="A836" s="166">
        <v>208</v>
      </c>
      <c r="B836" s="37" t="s">
        <v>5216</v>
      </c>
      <c r="C836" s="23" t="s">
        <v>5217</v>
      </c>
      <c r="D836" s="23" t="s">
        <v>2393</v>
      </c>
      <c r="E836" s="23" t="s">
        <v>2394</v>
      </c>
      <c r="F836" s="23" t="s">
        <v>5220</v>
      </c>
      <c r="G836" s="23" t="s">
        <v>5219</v>
      </c>
      <c r="H836" s="23" t="s">
        <v>5218</v>
      </c>
      <c r="I836" s="73">
        <f>28 + 5.5/60</f>
        <v>28.091666666666665</v>
      </c>
      <c r="J836" s="73">
        <f xml:space="preserve"> 85 + 23.4/60</f>
        <v>85.39</v>
      </c>
      <c r="K836" s="73">
        <v>1</v>
      </c>
      <c r="L836" s="22">
        <v>2011</v>
      </c>
      <c r="M836" s="22">
        <v>2011</v>
      </c>
      <c r="N836" s="73" t="s">
        <v>2272</v>
      </c>
      <c r="O836" s="23" t="s">
        <v>66</v>
      </c>
      <c r="P836" s="23" t="s">
        <v>5182</v>
      </c>
      <c r="Q836" s="22"/>
    </row>
    <row r="837" spans="1:17" ht="43.5" customHeight="1">
      <c r="A837" s="166">
        <v>209</v>
      </c>
      <c r="B837" s="37" t="s">
        <v>5227</v>
      </c>
      <c r="C837" s="23" t="s">
        <v>5228</v>
      </c>
      <c r="D837" s="3" t="s">
        <v>2411</v>
      </c>
      <c r="E837" s="23" t="s">
        <v>2394</v>
      </c>
      <c r="F837" s="3" t="s">
        <v>5237</v>
      </c>
      <c r="G837" s="3" t="s">
        <v>5242</v>
      </c>
      <c r="H837" s="3" t="s">
        <v>5218</v>
      </c>
      <c r="I837" s="21">
        <v>28.679242299999999</v>
      </c>
      <c r="J837" s="21">
        <v>80.505154899999994</v>
      </c>
      <c r="K837" s="21">
        <f>1594/100</f>
        <v>15.94</v>
      </c>
      <c r="L837" s="3">
        <v>2004</v>
      </c>
      <c r="M837" s="3">
        <v>2004</v>
      </c>
      <c r="N837" s="73" t="s">
        <v>2272</v>
      </c>
      <c r="O837" s="23" t="s">
        <v>66</v>
      </c>
      <c r="P837" s="23" t="s">
        <v>5182</v>
      </c>
      <c r="Q837" s="3"/>
    </row>
    <row r="838" spans="1:17" ht="28.5" customHeight="1">
      <c r="A838" s="166">
        <v>209</v>
      </c>
      <c r="B838" s="37" t="s">
        <v>5227</v>
      </c>
      <c r="C838" s="23" t="s">
        <v>5230</v>
      </c>
      <c r="D838" s="3" t="s">
        <v>2411</v>
      </c>
      <c r="E838" s="23" t="s">
        <v>2394</v>
      </c>
      <c r="F838" s="11" t="s">
        <v>5238</v>
      </c>
      <c r="G838" s="3" t="s">
        <v>5242</v>
      </c>
      <c r="H838" s="3" t="s">
        <v>5218</v>
      </c>
      <c r="I838" s="21">
        <v>28.467973099999998</v>
      </c>
      <c r="J838" s="21">
        <v>81.010586700000005</v>
      </c>
      <c r="K838" s="21">
        <f>8261/100</f>
        <v>82.61</v>
      </c>
      <c r="L838" s="3">
        <v>2004</v>
      </c>
      <c r="M838" s="3">
        <v>2004</v>
      </c>
      <c r="N838" s="73" t="s">
        <v>2272</v>
      </c>
      <c r="O838" s="23" t="s">
        <v>66</v>
      </c>
      <c r="P838" s="3" t="s">
        <v>5181</v>
      </c>
      <c r="Q838" s="3"/>
    </row>
    <row r="839" spans="1:17" ht="28.5" customHeight="1">
      <c r="A839" s="166">
        <v>209</v>
      </c>
      <c r="B839" s="37" t="s">
        <v>5227</v>
      </c>
      <c r="C839" s="23" t="s">
        <v>5231</v>
      </c>
      <c r="D839" s="3" t="s">
        <v>2411</v>
      </c>
      <c r="E839" s="23" t="s">
        <v>2394</v>
      </c>
      <c r="F839" s="11" t="s">
        <v>5239</v>
      </c>
      <c r="G839" s="3" t="s">
        <v>5242</v>
      </c>
      <c r="H839" s="3" t="s">
        <v>5218</v>
      </c>
      <c r="I839" s="21">
        <v>28.096767799999999</v>
      </c>
      <c r="J839" s="21">
        <v>81.2960128</v>
      </c>
      <c r="K839" s="21">
        <f>1422/100</f>
        <v>14.22</v>
      </c>
      <c r="L839" s="3">
        <v>2004</v>
      </c>
      <c r="M839" s="3">
        <v>2004</v>
      </c>
      <c r="N839" s="73" t="s">
        <v>2272</v>
      </c>
      <c r="O839" s="23" t="s">
        <v>66</v>
      </c>
      <c r="P839" s="3" t="s">
        <v>5181</v>
      </c>
      <c r="Q839" s="3"/>
    </row>
    <row r="840" spans="1:17" ht="28.5" customHeight="1">
      <c r="A840" s="166">
        <v>209</v>
      </c>
      <c r="B840" s="37" t="s">
        <v>5227</v>
      </c>
      <c r="C840" s="23" t="s">
        <v>5232</v>
      </c>
      <c r="D840" s="3" t="s">
        <v>2411</v>
      </c>
      <c r="E840" s="23" t="s">
        <v>2394</v>
      </c>
      <c r="F840" s="11" t="s">
        <v>5240</v>
      </c>
      <c r="G840" s="3" t="s">
        <v>5242</v>
      </c>
      <c r="H840" s="3" t="s">
        <v>5218</v>
      </c>
      <c r="I840" s="21">
        <v>27.994374799999999</v>
      </c>
      <c r="J840" s="21">
        <v>81.512683600000003</v>
      </c>
      <c r="K840" s="21">
        <f>2665/100</f>
        <v>26.65</v>
      </c>
      <c r="L840" s="3">
        <v>2004</v>
      </c>
      <c r="M840" s="3">
        <v>2004</v>
      </c>
      <c r="N840" s="73" t="s">
        <v>2272</v>
      </c>
      <c r="O840" s="23" t="s">
        <v>66</v>
      </c>
      <c r="P840" s="3" t="s">
        <v>5181</v>
      </c>
      <c r="Q840" s="3"/>
    </row>
    <row r="841" spans="1:17" ht="28.5" customHeight="1">
      <c r="A841" s="166">
        <v>209</v>
      </c>
      <c r="B841" s="37" t="s">
        <v>5227</v>
      </c>
      <c r="C841" s="23" t="s">
        <v>5233</v>
      </c>
      <c r="D841" s="3" t="s">
        <v>2411</v>
      </c>
      <c r="E841" s="23" t="s">
        <v>2394</v>
      </c>
      <c r="F841" s="11" t="s">
        <v>5241</v>
      </c>
      <c r="G841" s="3" t="s">
        <v>5242</v>
      </c>
      <c r="H841" s="3" t="s">
        <v>5218</v>
      </c>
      <c r="I841" s="21">
        <v>27.466681099999999</v>
      </c>
      <c r="J841" s="21">
        <v>83.241941299999993</v>
      </c>
      <c r="K841" s="21">
        <f>889/100</f>
        <v>8.89</v>
      </c>
      <c r="L841" s="3">
        <v>2004</v>
      </c>
      <c r="M841" s="3">
        <v>2004</v>
      </c>
      <c r="N841" s="73" t="s">
        <v>2272</v>
      </c>
      <c r="O841" s="23" t="s">
        <v>66</v>
      </c>
      <c r="P841" s="3" t="s">
        <v>5181</v>
      </c>
      <c r="Q841" s="3"/>
    </row>
    <row r="842" spans="1:17" ht="28.5" customHeight="1">
      <c r="A842" s="166">
        <v>209</v>
      </c>
      <c r="B842" s="37" t="s">
        <v>5227</v>
      </c>
      <c r="C842" s="23" t="s">
        <v>5234</v>
      </c>
      <c r="D842" s="3" t="s">
        <v>2411</v>
      </c>
      <c r="E842" s="23" t="s">
        <v>2394</v>
      </c>
      <c r="F842" s="11" t="s">
        <v>5229</v>
      </c>
      <c r="G842" s="3" t="s">
        <v>5242</v>
      </c>
      <c r="H842" s="3" t="s">
        <v>5218</v>
      </c>
      <c r="I842" s="21">
        <v>27.0329312</v>
      </c>
      <c r="J842" s="21">
        <v>84.400949499999996</v>
      </c>
      <c r="K842" s="21">
        <f>4751/100</f>
        <v>47.51</v>
      </c>
      <c r="L842" s="3">
        <v>2004</v>
      </c>
      <c r="M842" s="3">
        <v>2004</v>
      </c>
      <c r="N842" s="73" t="s">
        <v>2272</v>
      </c>
      <c r="O842" s="23" t="s">
        <v>66</v>
      </c>
      <c r="P842" s="3" t="s">
        <v>5181</v>
      </c>
      <c r="Q842" s="3"/>
    </row>
    <row r="843" spans="1:17" ht="28.5" customHeight="1">
      <c r="A843" s="166">
        <v>209</v>
      </c>
      <c r="B843" s="37" t="s">
        <v>5227</v>
      </c>
      <c r="C843" s="23" t="s">
        <v>5235</v>
      </c>
      <c r="D843" s="3" t="s">
        <v>2411</v>
      </c>
      <c r="E843" s="23" t="s">
        <v>2394</v>
      </c>
      <c r="F843" s="11" t="s">
        <v>5236</v>
      </c>
      <c r="G843" s="3" t="s">
        <v>5242</v>
      </c>
      <c r="H843" s="3" t="s">
        <v>5218</v>
      </c>
      <c r="I843" s="21">
        <v>27.549236799999999</v>
      </c>
      <c r="J843" s="21">
        <v>82.814955299999994</v>
      </c>
      <c r="K843" s="21">
        <f>817/100</f>
        <v>8.17</v>
      </c>
      <c r="L843" s="3">
        <v>2004</v>
      </c>
      <c r="M843" s="3">
        <v>2004</v>
      </c>
      <c r="N843" s="73" t="s">
        <v>2272</v>
      </c>
      <c r="O843" s="23" t="s">
        <v>66</v>
      </c>
      <c r="P843" s="3" t="s">
        <v>5181</v>
      </c>
      <c r="Q843" s="3"/>
    </row>
    <row r="844" spans="1:17" ht="33.5" customHeight="1">
      <c r="A844" s="166">
        <v>210</v>
      </c>
      <c r="B844" s="37" t="s">
        <v>5336</v>
      </c>
      <c r="C844" s="23" t="s">
        <v>5331</v>
      </c>
      <c r="D844" s="11" t="s">
        <v>2393</v>
      </c>
      <c r="E844" s="11" t="s">
        <v>2395</v>
      </c>
      <c r="F844" s="3" t="s">
        <v>5338</v>
      </c>
      <c r="G844" s="11" t="s">
        <v>5335</v>
      </c>
      <c r="H844" s="11" t="s">
        <v>892</v>
      </c>
      <c r="I844" s="21">
        <v>0.38180150000000002</v>
      </c>
      <c r="J844" s="21">
        <v>101.83745260000001</v>
      </c>
      <c r="K844" s="21">
        <f>(9113+32981+23994+48531+160231+4563)/100</f>
        <v>2794.13</v>
      </c>
      <c r="L844" s="3">
        <v>2013</v>
      </c>
      <c r="M844" s="3">
        <v>2015</v>
      </c>
      <c r="N844" s="73" t="s">
        <v>2272</v>
      </c>
      <c r="O844" s="23" t="s">
        <v>66</v>
      </c>
      <c r="P844" s="23" t="s">
        <v>5182</v>
      </c>
      <c r="Q844" s="3"/>
    </row>
    <row r="845" spans="1:17" ht="33.5" customHeight="1">
      <c r="A845" s="166">
        <v>210</v>
      </c>
      <c r="B845" s="37" t="s">
        <v>5336</v>
      </c>
      <c r="C845" s="23" t="s">
        <v>5332</v>
      </c>
      <c r="D845" s="11" t="s">
        <v>2393</v>
      </c>
      <c r="E845" s="11" t="s">
        <v>2395</v>
      </c>
      <c r="F845" s="3" t="s">
        <v>5338</v>
      </c>
      <c r="G845" s="11" t="s">
        <v>5335</v>
      </c>
      <c r="H845" s="11" t="s">
        <v>892</v>
      </c>
      <c r="I845" s="21">
        <v>0.38180150000000002</v>
      </c>
      <c r="J845" s="21">
        <v>101.83745260000001</v>
      </c>
      <c r="K845" s="21">
        <f>(9113+32981+23994+48531+160231+4563)/100</f>
        <v>2794.13</v>
      </c>
      <c r="L845" s="3">
        <v>2016</v>
      </c>
      <c r="M845" s="3">
        <v>2017</v>
      </c>
      <c r="N845" s="73" t="s">
        <v>2272</v>
      </c>
      <c r="O845" s="23" t="s">
        <v>66</v>
      </c>
      <c r="P845" s="23" t="s">
        <v>5182</v>
      </c>
      <c r="Q845" s="3"/>
    </row>
    <row r="846" spans="1:17" ht="33.5" customHeight="1">
      <c r="A846" s="166">
        <v>210</v>
      </c>
      <c r="B846" s="37" t="s">
        <v>5336</v>
      </c>
      <c r="C846" s="23" t="s">
        <v>5333</v>
      </c>
      <c r="D846" s="11" t="s">
        <v>2393</v>
      </c>
      <c r="E846" s="11" t="s">
        <v>2395</v>
      </c>
      <c r="F846" s="3" t="s">
        <v>5337</v>
      </c>
      <c r="G846" s="11" t="s">
        <v>5335</v>
      </c>
      <c r="H846" s="11" t="s">
        <v>892</v>
      </c>
      <c r="I846" s="21">
        <v>0.38180150000000002</v>
      </c>
      <c r="J846" s="21">
        <v>101.83745260000001</v>
      </c>
      <c r="K846" s="21">
        <f>(3844+7119+43538+31444+26238+75281)/100</f>
        <v>1874.64</v>
      </c>
      <c r="L846" s="3">
        <v>2013</v>
      </c>
      <c r="M846" s="3">
        <v>2015</v>
      </c>
      <c r="N846" s="73" t="s">
        <v>2272</v>
      </c>
      <c r="O846" s="23" t="s">
        <v>66</v>
      </c>
      <c r="P846" s="23" t="s">
        <v>5182</v>
      </c>
      <c r="Q846" s="3"/>
    </row>
    <row r="847" spans="1:17" ht="33.5" customHeight="1">
      <c r="A847" s="166">
        <v>210</v>
      </c>
      <c r="B847" s="37" t="s">
        <v>5336</v>
      </c>
      <c r="C847" s="23" t="s">
        <v>5334</v>
      </c>
      <c r="D847" s="11" t="s">
        <v>2393</v>
      </c>
      <c r="E847" s="11" t="s">
        <v>2395</v>
      </c>
      <c r="F847" s="3" t="s">
        <v>5337</v>
      </c>
      <c r="G847" s="11" t="s">
        <v>5335</v>
      </c>
      <c r="H847" s="11" t="s">
        <v>892</v>
      </c>
      <c r="I847" s="21">
        <v>0.38180150000000002</v>
      </c>
      <c r="J847" s="21">
        <v>101.83745260000001</v>
      </c>
      <c r="K847" s="21">
        <f>(3844+7119+43538+31444+26238+75281)/100</f>
        <v>1874.64</v>
      </c>
      <c r="L847" s="3">
        <v>2016</v>
      </c>
      <c r="M847" s="3">
        <v>2017</v>
      </c>
      <c r="N847" s="73" t="s">
        <v>2272</v>
      </c>
      <c r="O847" s="23" t="s">
        <v>66</v>
      </c>
      <c r="P847" s="23" t="s">
        <v>5182</v>
      </c>
      <c r="Q847" s="3"/>
    </row>
    <row r="848" spans="1:17" ht="28" customHeight="1">
      <c r="A848" s="166">
        <v>211</v>
      </c>
      <c r="B848" s="37" t="s">
        <v>5356</v>
      </c>
      <c r="C848" s="23" t="s">
        <v>5355</v>
      </c>
      <c r="D848" s="11" t="s">
        <v>2393</v>
      </c>
      <c r="E848" s="23" t="s">
        <v>2394</v>
      </c>
      <c r="F848" s="3" t="s">
        <v>5357</v>
      </c>
      <c r="G848" s="3" t="s">
        <v>5358</v>
      </c>
      <c r="H848" s="11" t="s">
        <v>1948</v>
      </c>
      <c r="I848" s="21">
        <v>5.2789324999999998</v>
      </c>
      <c r="J848" s="21">
        <f>7 + 3/6</f>
        <v>7.5</v>
      </c>
      <c r="K848" s="21">
        <v>83.5</v>
      </c>
      <c r="L848" s="3">
        <v>2018</v>
      </c>
      <c r="M848" s="3">
        <v>2018</v>
      </c>
      <c r="N848" s="73" t="s">
        <v>2272</v>
      </c>
      <c r="O848" s="23" t="s">
        <v>66</v>
      </c>
      <c r="P848" s="23" t="s">
        <v>5182</v>
      </c>
      <c r="Q848" s="3"/>
    </row>
    <row r="849" spans="1:17" ht="32.5" customHeight="1">
      <c r="A849" s="166">
        <v>212</v>
      </c>
      <c r="B849" s="37" t="s">
        <v>5363</v>
      </c>
      <c r="C849" s="23" t="s">
        <v>5364</v>
      </c>
      <c r="D849" s="11" t="s">
        <v>2393</v>
      </c>
      <c r="E849" s="23" t="s">
        <v>2394</v>
      </c>
      <c r="F849" s="11" t="s">
        <v>5365</v>
      </c>
      <c r="G849" s="11" t="s">
        <v>5366</v>
      </c>
      <c r="H849" s="11" t="s">
        <v>5367</v>
      </c>
      <c r="I849" s="21">
        <v>50.223177</v>
      </c>
      <c r="J849" s="21">
        <v>-121.5703489</v>
      </c>
      <c r="K849" s="73" t="s">
        <v>2272</v>
      </c>
      <c r="L849" s="3">
        <v>2013</v>
      </c>
      <c r="M849" s="3">
        <v>2013</v>
      </c>
      <c r="N849" s="73" t="s">
        <v>2272</v>
      </c>
      <c r="O849" s="23" t="s">
        <v>66</v>
      </c>
      <c r="P849" s="23" t="s">
        <v>5182</v>
      </c>
      <c r="Q849" s="3"/>
    </row>
    <row r="850" spans="1:17" ht="54.5" customHeight="1">
      <c r="A850" s="166">
        <v>213</v>
      </c>
      <c r="B850" s="37" t="s">
        <v>5376</v>
      </c>
      <c r="C850" s="3" t="s">
        <v>5379</v>
      </c>
      <c r="D850" s="11" t="s">
        <v>2393</v>
      </c>
      <c r="E850" s="23" t="s">
        <v>2394</v>
      </c>
      <c r="F850" s="19" t="s">
        <v>5377</v>
      </c>
      <c r="G850" s="11" t="s">
        <v>5378</v>
      </c>
      <c r="H850" s="11" t="s">
        <v>3409</v>
      </c>
      <c r="I850" s="21">
        <v>-30.2251966</v>
      </c>
      <c r="J850" s="21">
        <v>151.5917676</v>
      </c>
      <c r="K850" s="73" t="s">
        <v>2272</v>
      </c>
      <c r="L850" s="3">
        <v>2015</v>
      </c>
      <c r="M850" s="3">
        <v>2015</v>
      </c>
      <c r="N850" s="73" t="s">
        <v>2272</v>
      </c>
      <c r="O850" s="23" t="s">
        <v>66</v>
      </c>
      <c r="P850" s="23" t="s">
        <v>5182</v>
      </c>
      <c r="Q850" s="4" t="s">
        <v>5380</v>
      </c>
    </row>
    <row r="851" spans="1:17" ht="40" customHeight="1">
      <c r="A851" s="166">
        <v>214</v>
      </c>
      <c r="B851" s="37" t="s">
        <v>5396</v>
      </c>
      <c r="C851" s="11" t="s">
        <v>5397</v>
      </c>
      <c r="D851" s="11" t="s">
        <v>2393</v>
      </c>
      <c r="E851" s="23" t="s">
        <v>2417</v>
      </c>
      <c r="F851" s="3" t="s">
        <v>5127</v>
      </c>
      <c r="G851" s="3" t="s">
        <v>5398</v>
      </c>
      <c r="H851" s="11" t="s">
        <v>3409</v>
      </c>
      <c r="I851" s="21">
        <v>-14.790237400000001</v>
      </c>
      <c r="J851" s="21">
        <v>132.4698094</v>
      </c>
      <c r="K851" s="73" t="s">
        <v>2272</v>
      </c>
      <c r="L851" s="11">
        <v>1999</v>
      </c>
      <c r="M851" s="11">
        <v>2018</v>
      </c>
      <c r="N851" s="73" t="s">
        <v>2272</v>
      </c>
      <c r="O851" s="23" t="s">
        <v>66</v>
      </c>
      <c r="P851" s="23" t="s">
        <v>5182</v>
      </c>
      <c r="Q851" s="3" t="s">
        <v>5399</v>
      </c>
    </row>
    <row r="852" spans="1:17" ht="32" customHeight="1">
      <c r="A852" s="166">
        <v>215</v>
      </c>
      <c r="B852" s="37" t="s">
        <v>5407</v>
      </c>
      <c r="C852" s="11" t="s">
        <v>5408</v>
      </c>
      <c r="D852" s="11" t="s">
        <v>2393</v>
      </c>
      <c r="E852" s="23" t="s">
        <v>2394</v>
      </c>
      <c r="F852" s="3" t="s">
        <v>5409</v>
      </c>
      <c r="G852" s="3" t="s">
        <v>4127</v>
      </c>
      <c r="H852" s="3" t="s">
        <v>4107</v>
      </c>
      <c r="I852" s="21">
        <v>41.75</v>
      </c>
      <c r="J852" s="21">
        <v>-123.5</v>
      </c>
      <c r="K852" s="21">
        <f>1919+2728</f>
        <v>4647</v>
      </c>
      <c r="L852" s="3">
        <v>2008</v>
      </c>
      <c r="M852" s="3">
        <v>2009</v>
      </c>
      <c r="N852" s="73" t="s">
        <v>2272</v>
      </c>
      <c r="O852" s="23" t="s">
        <v>66</v>
      </c>
      <c r="P852" s="23" t="s">
        <v>5182</v>
      </c>
      <c r="Q852" s="3" t="s">
        <v>2210</v>
      </c>
    </row>
    <row r="853" spans="1:17" ht="36.5" customHeight="1">
      <c r="A853" s="166">
        <v>216</v>
      </c>
      <c r="B853" s="37" t="s">
        <v>5414</v>
      </c>
      <c r="C853" s="11" t="s">
        <v>5415</v>
      </c>
      <c r="D853" s="11" t="s">
        <v>2393</v>
      </c>
      <c r="E853" s="23" t="s">
        <v>2394</v>
      </c>
      <c r="F853" s="11" t="s">
        <v>5416</v>
      </c>
      <c r="G853" s="3" t="s">
        <v>5127</v>
      </c>
      <c r="H853" s="11" t="s">
        <v>3409</v>
      </c>
      <c r="I853" s="21">
        <v>-14.7184116</v>
      </c>
      <c r="J853" s="21">
        <v>135.06096249999999</v>
      </c>
      <c r="K853" s="21">
        <v>19170</v>
      </c>
      <c r="L853" s="3">
        <v>2016</v>
      </c>
      <c r="M853" s="3">
        <v>2019</v>
      </c>
      <c r="N853" s="73" t="s">
        <v>2272</v>
      </c>
      <c r="O853" s="23" t="s">
        <v>66</v>
      </c>
      <c r="P853" s="23" t="s">
        <v>5182</v>
      </c>
      <c r="Q853" s="3" t="s">
        <v>2210</v>
      </c>
    </row>
    <row r="854" spans="1:17" ht="37.5" customHeight="1">
      <c r="A854" s="166">
        <v>217</v>
      </c>
      <c r="B854" s="37" t="s">
        <v>5422</v>
      </c>
      <c r="C854" s="11" t="s">
        <v>5421</v>
      </c>
      <c r="D854" s="11" t="s">
        <v>2393</v>
      </c>
      <c r="E854" s="23" t="s">
        <v>2632</v>
      </c>
      <c r="F854" s="3" t="s">
        <v>5423</v>
      </c>
      <c r="G854" s="3" t="s">
        <v>4127</v>
      </c>
      <c r="H854" s="3" t="s">
        <v>4107</v>
      </c>
      <c r="I854" s="21">
        <v>37.804652300000001</v>
      </c>
      <c r="J854" s="21">
        <v>-118.93180700000001</v>
      </c>
      <c r="K854" s="21" t="s">
        <v>2272</v>
      </c>
      <c r="L854" s="3">
        <v>2016</v>
      </c>
      <c r="M854" s="3">
        <v>2017</v>
      </c>
      <c r="N854" s="73" t="s">
        <v>2272</v>
      </c>
      <c r="O854" s="23" t="s">
        <v>66</v>
      </c>
      <c r="P854" s="23" t="s">
        <v>5182</v>
      </c>
      <c r="Q854" s="3" t="s">
        <v>2210</v>
      </c>
    </row>
    <row r="855" spans="1:17" ht="38" customHeight="1">
      <c r="A855" s="166">
        <v>218</v>
      </c>
      <c r="B855" s="37" t="s">
        <v>5432</v>
      </c>
      <c r="C855" s="11" t="s">
        <v>5434</v>
      </c>
      <c r="D855" s="11" t="s">
        <v>2393</v>
      </c>
      <c r="E855" s="3" t="s">
        <v>2395</v>
      </c>
      <c r="F855" s="139" t="s">
        <v>5436</v>
      </c>
      <c r="G855" s="3" t="s">
        <v>5441</v>
      </c>
      <c r="H855" s="11" t="s">
        <v>5435</v>
      </c>
      <c r="I855" s="21">
        <f>12+5/60</f>
        <v>12.083333333333334</v>
      </c>
      <c r="J855" s="21">
        <v>-14.885611900000001</v>
      </c>
      <c r="K855" s="21" t="s">
        <v>2272</v>
      </c>
      <c r="L855" s="3">
        <v>2008</v>
      </c>
      <c r="M855" s="3">
        <v>2015</v>
      </c>
      <c r="N855" s="21">
        <f>AVERAGE(33.6, 22.5)</f>
        <v>28.05</v>
      </c>
      <c r="O855" s="23" t="s">
        <v>66</v>
      </c>
      <c r="P855" s="23" t="s">
        <v>5182</v>
      </c>
      <c r="Q855" s="3"/>
    </row>
    <row r="856" spans="1:17" ht="38" customHeight="1">
      <c r="A856" s="166">
        <v>218</v>
      </c>
      <c r="B856" s="37" t="s">
        <v>5432</v>
      </c>
      <c r="C856" s="11" t="s">
        <v>5437</v>
      </c>
      <c r="D856" s="11" t="s">
        <v>2393</v>
      </c>
      <c r="E856" s="3" t="s">
        <v>2395</v>
      </c>
      <c r="F856" s="139" t="s">
        <v>5446</v>
      </c>
      <c r="G856" s="3" t="s">
        <v>5442</v>
      </c>
      <c r="H856" s="11" t="s">
        <v>5435</v>
      </c>
      <c r="I856" s="21">
        <f>12+15/60</f>
        <v>12.25</v>
      </c>
      <c r="J856" s="21">
        <f>-15-25/60</f>
        <v>-15.416666666666666</v>
      </c>
      <c r="K856" s="21" t="s">
        <v>2272</v>
      </c>
      <c r="L856" s="3">
        <v>2008</v>
      </c>
      <c r="M856" s="3">
        <v>2015</v>
      </c>
      <c r="N856" s="73">
        <v>39.799999999999997</v>
      </c>
      <c r="O856" s="23" t="s">
        <v>66</v>
      </c>
      <c r="P856" s="23" t="s">
        <v>5182</v>
      </c>
      <c r="Q856" s="3"/>
    </row>
    <row r="857" spans="1:17" ht="38" customHeight="1">
      <c r="A857" s="166">
        <v>218</v>
      </c>
      <c r="B857" s="37" t="s">
        <v>5432</v>
      </c>
      <c r="C857" s="11" t="s">
        <v>5438</v>
      </c>
      <c r="D857" s="11" t="s">
        <v>2393</v>
      </c>
      <c r="E857" s="3" t="s">
        <v>2395</v>
      </c>
      <c r="F857" s="139" t="s">
        <v>5447</v>
      </c>
      <c r="G857" s="3" t="s">
        <v>5443</v>
      </c>
      <c r="H857" s="11" t="s">
        <v>5435</v>
      </c>
      <c r="I857" s="21">
        <f>12+16/60</f>
        <v>12.266666666666667</v>
      </c>
      <c r="J857" s="21">
        <f>-16</f>
        <v>-16</v>
      </c>
      <c r="K857" s="21" t="s">
        <v>2272</v>
      </c>
      <c r="L857" s="3">
        <v>2008</v>
      </c>
      <c r="M857" s="3">
        <v>2015</v>
      </c>
      <c r="N857" s="73">
        <f>AVERAGE(35.8, 110.9)</f>
        <v>73.349999999999994</v>
      </c>
      <c r="O857" s="23" t="s">
        <v>66</v>
      </c>
      <c r="P857" s="23" t="s">
        <v>5182</v>
      </c>
      <c r="Q857" s="3"/>
    </row>
    <row r="858" spans="1:17" ht="38" customHeight="1">
      <c r="A858" s="166">
        <v>218</v>
      </c>
      <c r="B858" s="37" t="s">
        <v>5432</v>
      </c>
      <c r="C858" s="11" t="s">
        <v>5440</v>
      </c>
      <c r="D858" s="11" t="s">
        <v>2393</v>
      </c>
      <c r="E858" s="3" t="s">
        <v>2395</v>
      </c>
      <c r="F858" s="139" t="s">
        <v>5448</v>
      </c>
      <c r="G858" s="3" t="s">
        <v>5444</v>
      </c>
      <c r="H858" s="11" t="s">
        <v>5435</v>
      </c>
      <c r="I858" s="21">
        <f>11+45/60</f>
        <v>11.75</v>
      </c>
      <c r="J858" s="21">
        <f>-15-3/60</f>
        <v>-15.05</v>
      </c>
      <c r="K858" s="21" t="s">
        <v>2272</v>
      </c>
      <c r="L858" s="3">
        <v>2008</v>
      </c>
      <c r="M858" s="3">
        <v>2015</v>
      </c>
      <c r="N858" s="73">
        <v>19.399999999999999</v>
      </c>
      <c r="O858" s="23" t="s">
        <v>66</v>
      </c>
      <c r="P858" s="23" t="s">
        <v>5182</v>
      </c>
      <c r="Q858" s="3"/>
    </row>
    <row r="859" spans="1:17" ht="38" customHeight="1">
      <c r="A859" s="166">
        <v>218</v>
      </c>
      <c r="B859" s="37" t="s">
        <v>5432</v>
      </c>
      <c r="C859" s="11" t="s">
        <v>5439</v>
      </c>
      <c r="D859" s="11" t="s">
        <v>2393</v>
      </c>
      <c r="E859" s="3" t="s">
        <v>2395</v>
      </c>
      <c r="F859" s="139" t="s">
        <v>5449</v>
      </c>
      <c r="G859" s="3" t="s">
        <v>5445</v>
      </c>
      <c r="H859" s="11" t="s">
        <v>5435</v>
      </c>
      <c r="I859" s="21">
        <f>11+26/60</f>
        <v>11.433333333333334</v>
      </c>
      <c r="J859" s="21">
        <f>-15-13/60</f>
        <v>-15.216666666666667</v>
      </c>
      <c r="K859" s="21" t="s">
        <v>2272</v>
      </c>
      <c r="L859" s="3">
        <v>2008</v>
      </c>
      <c r="M859" s="3">
        <v>2015</v>
      </c>
      <c r="N859" s="73">
        <v>22</v>
      </c>
      <c r="O859" s="23" t="s">
        <v>66</v>
      </c>
      <c r="P859" s="23" t="s">
        <v>5182</v>
      </c>
      <c r="Q859" s="3"/>
    </row>
    <row r="860" spans="1:17" ht="39.5" customHeight="1">
      <c r="A860" s="166">
        <v>219</v>
      </c>
      <c r="B860" s="37" t="s">
        <v>5522</v>
      </c>
      <c r="C860" s="11" t="s">
        <v>5521</v>
      </c>
      <c r="D860" s="11" t="s">
        <v>2393</v>
      </c>
      <c r="E860" s="23" t="s">
        <v>2394</v>
      </c>
      <c r="F860" s="3" t="s">
        <v>5523</v>
      </c>
      <c r="G860" s="3" t="s">
        <v>5527</v>
      </c>
      <c r="H860" s="11" t="s">
        <v>1139</v>
      </c>
      <c r="I860" s="21">
        <v>10.4290115</v>
      </c>
      <c r="J860" s="21">
        <v>-0.39070129999999997</v>
      </c>
      <c r="K860" s="21" t="s">
        <v>2272</v>
      </c>
      <c r="L860" s="3">
        <v>2010</v>
      </c>
      <c r="M860" s="3">
        <v>2010</v>
      </c>
      <c r="N860" s="21" t="s">
        <v>2272</v>
      </c>
      <c r="O860" s="23" t="s">
        <v>66</v>
      </c>
      <c r="P860" s="23" t="s">
        <v>5182</v>
      </c>
      <c r="Q860" s="3" t="s">
        <v>5543</v>
      </c>
    </row>
    <row r="861" spans="1:17" ht="39.5" customHeight="1">
      <c r="A861" s="166">
        <v>219</v>
      </c>
      <c r="B861" s="37" t="s">
        <v>5522</v>
      </c>
      <c r="C861" s="11" t="s">
        <v>5533</v>
      </c>
      <c r="D861" s="11" t="s">
        <v>2393</v>
      </c>
      <c r="E861" s="23" t="s">
        <v>2394</v>
      </c>
      <c r="F861" s="23" t="s">
        <v>5524</v>
      </c>
      <c r="G861" s="11" t="s">
        <v>5526</v>
      </c>
      <c r="H861" s="11" t="s">
        <v>1139</v>
      </c>
      <c r="I861" s="21">
        <v>7.3825552999999999</v>
      </c>
      <c r="J861" s="21">
        <v>-1.3594508000000001</v>
      </c>
      <c r="K861" s="21" t="s">
        <v>2272</v>
      </c>
      <c r="L861" s="3">
        <v>2010</v>
      </c>
      <c r="M861" s="3">
        <v>2010</v>
      </c>
      <c r="N861" s="21" t="s">
        <v>2272</v>
      </c>
      <c r="O861" s="23" t="s">
        <v>66</v>
      </c>
      <c r="P861" s="23" t="s">
        <v>5182</v>
      </c>
      <c r="Q861" s="3" t="s">
        <v>5543</v>
      </c>
    </row>
    <row r="862" spans="1:17" ht="39.5" customHeight="1">
      <c r="A862" s="166">
        <v>219</v>
      </c>
      <c r="B862" s="37" t="s">
        <v>5522</v>
      </c>
      <c r="C862" s="11" t="s">
        <v>5534</v>
      </c>
      <c r="D862" s="11" t="s">
        <v>2393</v>
      </c>
      <c r="E862" s="23" t="s">
        <v>2394</v>
      </c>
      <c r="F862" s="23" t="s">
        <v>5525</v>
      </c>
      <c r="G862" s="11" t="s">
        <v>5526</v>
      </c>
      <c r="H862" s="11" t="s">
        <v>1139</v>
      </c>
      <c r="I862" s="21">
        <v>7.1337909000000002</v>
      </c>
      <c r="J862" s="21">
        <v>-0.83461759999999996</v>
      </c>
      <c r="K862" s="21" t="s">
        <v>2272</v>
      </c>
      <c r="L862" s="3">
        <v>2010</v>
      </c>
      <c r="M862" s="3">
        <v>2010</v>
      </c>
      <c r="N862" s="21" t="s">
        <v>2272</v>
      </c>
      <c r="O862" s="23" t="s">
        <v>66</v>
      </c>
      <c r="P862" s="23" t="s">
        <v>5182</v>
      </c>
      <c r="Q862" s="3" t="s">
        <v>5543</v>
      </c>
    </row>
    <row r="863" spans="1:17" ht="39.5" customHeight="1">
      <c r="A863" s="166">
        <v>219</v>
      </c>
      <c r="B863" s="37" t="s">
        <v>5522</v>
      </c>
      <c r="C863" s="11" t="s">
        <v>5535</v>
      </c>
      <c r="D863" s="11" t="s">
        <v>2393</v>
      </c>
      <c r="E863" s="23" t="s">
        <v>2394</v>
      </c>
      <c r="F863" s="23" t="s">
        <v>5529</v>
      </c>
      <c r="G863" s="11" t="s">
        <v>5528</v>
      </c>
      <c r="H863" s="11" t="s">
        <v>1139</v>
      </c>
      <c r="I863" s="21">
        <v>7.5659910000000004</v>
      </c>
      <c r="J863" s="21">
        <v>-1.7061424000000001</v>
      </c>
      <c r="K863" s="21" t="s">
        <v>2272</v>
      </c>
      <c r="L863" s="3">
        <v>2010</v>
      </c>
      <c r="M863" s="3">
        <v>2010</v>
      </c>
      <c r="N863" s="21" t="s">
        <v>2272</v>
      </c>
      <c r="O863" s="23" t="s">
        <v>66</v>
      </c>
      <c r="P863" s="23" t="s">
        <v>5182</v>
      </c>
      <c r="Q863" s="3" t="s">
        <v>5543</v>
      </c>
    </row>
    <row r="864" spans="1:17" ht="39.5" customHeight="1">
      <c r="A864" s="166">
        <v>219</v>
      </c>
      <c r="B864" s="37" t="s">
        <v>5522</v>
      </c>
      <c r="C864" s="11" t="s">
        <v>5536</v>
      </c>
      <c r="D864" s="11" t="s">
        <v>2393</v>
      </c>
      <c r="E864" s="23" t="s">
        <v>2394</v>
      </c>
      <c r="F864" s="23" t="s">
        <v>5530</v>
      </c>
      <c r="G864" s="11" t="s">
        <v>5528</v>
      </c>
      <c r="H864" s="11" t="s">
        <v>1139</v>
      </c>
      <c r="I864" s="21">
        <v>7.7532189000000002</v>
      </c>
      <c r="J864" s="21">
        <v>-0.98370559999999996</v>
      </c>
      <c r="K864" s="21" t="s">
        <v>2272</v>
      </c>
      <c r="L864" s="3">
        <v>2010</v>
      </c>
      <c r="M864" s="3">
        <v>2010</v>
      </c>
      <c r="N864" s="21" t="s">
        <v>2272</v>
      </c>
      <c r="O864" s="23" t="s">
        <v>66</v>
      </c>
      <c r="P864" s="23" t="s">
        <v>5182</v>
      </c>
      <c r="Q864" s="3" t="s">
        <v>5543</v>
      </c>
    </row>
    <row r="865" spans="1:17" ht="39.5" customHeight="1">
      <c r="A865" s="166">
        <v>219</v>
      </c>
      <c r="B865" s="37" t="s">
        <v>5522</v>
      </c>
      <c r="C865" s="11" t="s">
        <v>5537</v>
      </c>
      <c r="D865" s="11" t="s">
        <v>2393</v>
      </c>
      <c r="E865" s="23" t="s">
        <v>2394</v>
      </c>
      <c r="F865" s="23" t="s">
        <v>5531</v>
      </c>
      <c r="G865" s="11" t="s">
        <v>5532</v>
      </c>
      <c r="H865" s="11" t="s">
        <v>1139</v>
      </c>
      <c r="I865" s="21">
        <v>6.4999998999999997</v>
      </c>
      <c r="J865" s="21">
        <v>-0.5</v>
      </c>
      <c r="K865" s="21" t="s">
        <v>2272</v>
      </c>
      <c r="L865" s="3">
        <v>2010</v>
      </c>
      <c r="M865" s="3">
        <v>2010</v>
      </c>
      <c r="N865" s="21" t="s">
        <v>2272</v>
      </c>
      <c r="O865" s="23" t="s">
        <v>66</v>
      </c>
      <c r="P865" s="23" t="s">
        <v>5182</v>
      </c>
      <c r="Q865" s="3" t="s">
        <v>5543</v>
      </c>
    </row>
    <row r="866" spans="1:17" ht="39.5" customHeight="1">
      <c r="A866" s="166">
        <v>219</v>
      </c>
      <c r="B866" s="37" t="s">
        <v>5522</v>
      </c>
      <c r="C866" s="11" t="s">
        <v>5541</v>
      </c>
      <c r="D866" s="11" t="s">
        <v>2393</v>
      </c>
      <c r="E866" s="23" t="s">
        <v>2394</v>
      </c>
      <c r="F866" s="23" t="s">
        <v>5538</v>
      </c>
      <c r="G866" s="11" t="s">
        <v>5540</v>
      </c>
      <c r="H866" s="11" t="s">
        <v>1139</v>
      </c>
      <c r="I866" s="21">
        <v>6.1678239000000001</v>
      </c>
      <c r="J866" s="21">
        <v>0.38658140000000002</v>
      </c>
      <c r="K866" s="21" t="s">
        <v>2272</v>
      </c>
      <c r="L866" s="3">
        <v>2010</v>
      </c>
      <c r="M866" s="3">
        <v>2010</v>
      </c>
      <c r="N866" s="21" t="s">
        <v>2272</v>
      </c>
      <c r="O866" s="23" t="s">
        <v>66</v>
      </c>
      <c r="P866" s="23" t="s">
        <v>5182</v>
      </c>
      <c r="Q866" s="3" t="s">
        <v>5543</v>
      </c>
    </row>
    <row r="867" spans="1:17" ht="39.5" customHeight="1">
      <c r="A867" s="166">
        <v>219</v>
      </c>
      <c r="B867" s="37" t="s">
        <v>5522</v>
      </c>
      <c r="C867" s="11" t="s">
        <v>5542</v>
      </c>
      <c r="D867" s="11" t="s">
        <v>2393</v>
      </c>
      <c r="E867" s="23" t="s">
        <v>2394</v>
      </c>
      <c r="F867" s="23" t="s">
        <v>5539</v>
      </c>
      <c r="G867" s="11" t="s">
        <v>5540</v>
      </c>
      <c r="H867" s="11" t="s">
        <v>1139</v>
      </c>
      <c r="I867" s="21">
        <v>6.1760519</v>
      </c>
      <c r="J867" s="21">
        <v>1.0313089</v>
      </c>
      <c r="K867" s="21" t="s">
        <v>2272</v>
      </c>
      <c r="L867" s="3">
        <v>2010</v>
      </c>
      <c r="M867" s="3">
        <v>2010</v>
      </c>
      <c r="N867" s="21" t="s">
        <v>2272</v>
      </c>
      <c r="O867" s="23" t="s">
        <v>66</v>
      </c>
      <c r="P867" s="23" t="s">
        <v>5182</v>
      </c>
      <c r="Q867" s="3" t="s">
        <v>5543</v>
      </c>
    </row>
    <row r="868" spans="1:17" ht="30" customHeight="1">
      <c r="A868" s="166">
        <v>220</v>
      </c>
      <c r="B868" s="37" t="s">
        <v>5571</v>
      </c>
      <c r="C868" s="11" t="s">
        <v>5572</v>
      </c>
      <c r="D868" s="11" t="s">
        <v>2393</v>
      </c>
      <c r="E868" s="23" t="s">
        <v>2395</v>
      </c>
      <c r="F868" s="3" t="s">
        <v>5573</v>
      </c>
      <c r="G868" s="3" t="s">
        <v>5574</v>
      </c>
      <c r="H868" s="11" t="s">
        <v>5575</v>
      </c>
      <c r="I868" s="21">
        <v>16</v>
      </c>
      <c r="J868" s="21">
        <v>121</v>
      </c>
      <c r="K868" s="21">
        <f>70531/100</f>
        <v>705.31</v>
      </c>
      <c r="L868" s="11">
        <v>2002</v>
      </c>
      <c r="M868" s="11">
        <v>2014</v>
      </c>
      <c r="N868" s="21" t="s">
        <v>2272</v>
      </c>
      <c r="O868" s="23" t="s">
        <v>66</v>
      </c>
      <c r="P868" s="23" t="s">
        <v>5182</v>
      </c>
      <c r="Q868" s="3"/>
    </row>
    <row r="869" spans="1:17" ht="39" customHeight="1">
      <c r="A869" s="166">
        <v>221</v>
      </c>
      <c r="B869" s="37" t="s">
        <v>5583</v>
      </c>
      <c r="C869" s="11" t="s">
        <v>5584</v>
      </c>
      <c r="D869" s="11" t="s">
        <v>2393</v>
      </c>
      <c r="E869" s="23" t="s">
        <v>2394</v>
      </c>
      <c r="F869" s="180" t="s">
        <v>5585</v>
      </c>
      <c r="G869" s="11" t="s">
        <v>641</v>
      </c>
      <c r="H869" s="11" t="s">
        <v>892</v>
      </c>
      <c r="I869" s="21">
        <v>0.83457400000000004</v>
      </c>
      <c r="J869" s="21">
        <v>112.86569249999999</v>
      </c>
      <c r="K869" s="21" t="s">
        <v>2272</v>
      </c>
      <c r="L869" s="3">
        <v>2017</v>
      </c>
      <c r="M869" s="3">
        <v>2017</v>
      </c>
      <c r="N869" s="21" t="s">
        <v>2272</v>
      </c>
      <c r="O869" s="23" t="s">
        <v>66</v>
      </c>
      <c r="P869" s="3" t="s">
        <v>5181</v>
      </c>
      <c r="Q869" s="4" t="s">
        <v>5586</v>
      </c>
    </row>
    <row r="870" spans="1:17" ht="33.5" customHeight="1">
      <c r="A870" s="166">
        <v>222</v>
      </c>
      <c r="B870" s="37" t="s">
        <v>5592</v>
      </c>
      <c r="C870" s="11" t="s">
        <v>5593</v>
      </c>
      <c r="D870" s="11" t="s">
        <v>2393</v>
      </c>
      <c r="E870" s="23" t="s">
        <v>2394</v>
      </c>
      <c r="F870" s="11" t="s">
        <v>2707</v>
      </c>
      <c r="G870" s="11" t="s">
        <v>164</v>
      </c>
      <c r="H870" s="11" t="s">
        <v>119</v>
      </c>
      <c r="I870" s="21">
        <v>-2.9940028999999999</v>
      </c>
      <c r="J870" s="21">
        <v>-47.358630699999999</v>
      </c>
      <c r="K870" s="21" t="s">
        <v>2272</v>
      </c>
      <c r="L870" s="3">
        <v>2015</v>
      </c>
      <c r="M870" s="3">
        <v>2015</v>
      </c>
      <c r="N870" s="21" t="s">
        <v>2272</v>
      </c>
      <c r="O870" s="23" t="s">
        <v>66</v>
      </c>
      <c r="P870" s="3" t="s">
        <v>5181</v>
      </c>
      <c r="Q870" s="3" t="s">
        <v>5596</v>
      </c>
    </row>
    <row r="871" spans="1:17" ht="32" customHeight="1">
      <c r="A871" s="166">
        <v>222</v>
      </c>
      <c r="B871" s="37" t="s">
        <v>5592</v>
      </c>
      <c r="C871" s="11" t="s">
        <v>5594</v>
      </c>
      <c r="D871" s="11" t="s">
        <v>2393</v>
      </c>
      <c r="E871" s="23" t="s">
        <v>2394</v>
      </c>
      <c r="F871" s="11" t="s">
        <v>5595</v>
      </c>
      <c r="G871" s="11" t="s">
        <v>164</v>
      </c>
      <c r="H871" s="11" t="s">
        <v>119</v>
      </c>
      <c r="I871" s="21">
        <v>-2.5596822000000001</v>
      </c>
      <c r="J871" s="21">
        <v>-47.496251100000002</v>
      </c>
      <c r="K871" s="21" t="s">
        <v>2272</v>
      </c>
      <c r="L871" s="3">
        <v>2015</v>
      </c>
      <c r="M871" s="3">
        <v>2015</v>
      </c>
      <c r="N871" s="21" t="s">
        <v>2272</v>
      </c>
      <c r="O871" s="23" t="s">
        <v>66</v>
      </c>
      <c r="P871" s="3" t="s">
        <v>5181</v>
      </c>
      <c r="Q871" s="3" t="s">
        <v>5596</v>
      </c>
    </row>
    <row r="872" spans="1:17" ht="38" customHeight="1">
      <c r="A872" s="166">
        <v>223</v>
      </c>
      <c r="B872" s="37" t="s">
        <v>5620</v>
      </c>
      <c r="C872" s="11" t="s">
        <v>5619</v>
      </c>
      <c r="D872" s="11" t="s">
        <v>2393</v>
      </c>
      <c r="E872" s="23" t="s">
        <v>2394</v>
      </c>
      <c r="F872" s="11" t="s">
        <v>2707</v>
      </c>
      <c r="G872" s="11" t="s">
        <v>164</v>
      </c>
      <c r="H872" s="11" t="s">
        <v>119</v>
      </c>
      <c r="I872" s="21">
        <v>-2.9940028999999999</v>
      </c>
      <c r="J872" s="21">
        <v>-47.358630699999999</v>
      </c>
      <c r="K872" s="21" t="s">
        <v>2272</v>
      </c>
      <c r="L872" s="3">
        <v>2015</v>
      </c>
      <c r="M872" s="3">
        <v>2015</v>
      </c>
      <c r="N872" s="21" t="s">
        <v>2272</v>
      </c>
      <c r="O872" s="23" t="s">
        <v>66</v>
      </c>
      <c r="P872" s="23" t="s">
        <v>5182</v>
      </c>
      <c r="Q872" s="3"/>
    </row>
    <row r="873" spans="1:17" ht="28" customHeight="1">
      <c r="A873" s="166">
        <v>223</v>
      </c>
      <c r="B873" s="37" t="s">
        <v>5620</v>
      </c>
      <c r="C873" s="11" t="s">
        <v>5623</v>
      </c>
      <c r="D873" s="11" t="s">
        <v>2393</v>
      </c>
      <c r="E873" s="23" t="s">
        <v>2394</v>
      </c>
      <c r="F873" s="11" t="s">
        <v>5595</v>
      </c>
      <c r="G873" s="11" t="s">
        <v>164</v>
      </c>
      <c r="H873" s="11" t="s">
        <v>119</v>
      </c>
      <c r="I873" s="21">
        <v>-2.5596822000000001</v>
      </c>
      <c r="J873" s="21">
        <v>-47.496251100000002</v>
      </c>
      <c r="K873" s="21" t="s">
        <v>2272</v>
      </c>
      <c r="L873" s="3">
        <v>2015</v>
      </c>
      <c r="M873" s="3">
        <v>2015</v>
      </c>
      <c r="N873" s="21" t="s">
        <v>2272</v>
      </c>
      <c r="O873" s="23" t="s">
        <v>66</v>
      </c>
      <c r="P873" s="23" t="s">
        <v>5182</v>
      </c>
      <c r="Q873" s="3"/>
    </row>
    <row r="874" spans="1:17" ht="28" customHeight="1">
      <c r="A874" s="166">
        <v>223</v>
      </c>
      <c r="B874" s="37" t="s">
        <v>5620</v>
      </c>
      <c r="C874" s="11" t="s">
        <v>5624</v>
      </c>
      <c r="D874" s="11" t="s">
        <v>2393</v>
      </c>
      <c r="E874" s="23" t="s">
        <v>2394</v>
      </c>
      <c r="F874" s="11" t="s">
        <v>5621</v>
      </c>
      <c r="G874" s="11" t="s">
        <v>164</v>
      </c>
      <c r="H874" s="11" t="s">
        <v>119</v>
      </c>
      <c r="I874" s="21">
        <v>-1.9281064999999999</v>
      </c>
      <c r="J874" s="21">
        <v>-47.778332800000001</v>
      </c>
      <c r="K874" s="21" t="s">
        <v>2272</v>
      </c>
      <c r="L874" s="3">
        <v>2015</v>
      </c>
      <c r="M874" s="3">
        <v>2015</v>
      </c>
      <c r="N874" s="21" t="s">
        <v>2272</v>
      </c>
      <c r="O874" s="23" t="s">
        <v>66</v>
      </c>
      <c r="P874" s="23" t="s">
        <v>5182</v>
      </c>
      <c r="Q874" s="3"/>
    </row>
    <row r="875" spans="1:17" ht="28" customHeight="1">
      <c r="A875" s="166">
        <v>223</v>
      </c>
      <c r="B875" s="37" t="s">
        <v>5620</v>
      </c>
      <c r="C875" s="11" t="s">
        <v>5625</v>
      </c>
      <c r="D875" s="11" t="s">
        <v>2393</v>
      </c>
      <c r="E875" s="23" t="s">
        <v>2394</v>
      </c>
      <c r="F875" s="11" t="s">
        <v>5622</v>
      </c>
      <c r="G875" s="11" t="s">
        <v>164</v>
      </c>
      <c r="H875" s="11" t="s">
        <v>119</v>
      </c>
      <c r="I875" s="21">
        <v>-1.7721188999999999</v>
      </c>
      <c r="J875" s="21">
        <v>-47.446589600000003</v>
      </c>
      <c r="K875" s="21" t="s">
        <v>2272</v>
      </c>
      <c r="L875" s="3">
        <v>2015</v>
      </c>
      <c r="M875" s="3">
        <v>2015</v>
      </c>
      <c r="N875" s="21" t="s">
        <v>2272</v>
      </c>
      <c r="O875" s="23" t="s">
        <v>66</v>
      </c>
      <c r="P875" s="23" t="s">
        <v>5182</v>
      </c>
      <c r="Q875" s="3"/>
    </row>
    <row r="876" spans="1:17" ht="29" customHeight="1">
      <c r="A876" s="166">
        <v>224</v>
      </c>
      <c r="B876" s="37" t="s">
        <v>5642</v>
      </c>
      <c r="C876" s="11" t="s">
        <v>5643</v>
      </c>
      <c r="D876" s="11" t="s">
        <v>2393</v>
      </c>
      <c r="E876" s="23" t="s">
        <v>2394</v>
      </c>
      <c r="F876" s="3" t="s">
        <v>5645</v>
      </c>
      <c r="G876" s="3" t="s">
        <v>5644</v>
      </c>
      <c r="H876" s="3" t="s">
        <v>892</v>
      </c>
      <c r="I876" s="21">
        <v>1.6675759000000001</v>
      </c>
      <c r="J876" s="21">
        <v>101.41145899999999</v>
      </c>
      <c r="K876" s="21" t="s">
        <v>2272</v>
      </c>
      <c r="L876" s="3">
        <v>2015</v>
      </c>
      <c r="M876" s="3">
        <v>2015</v>
      </c>
      <c r="N876" s="21" t="s">
        <v>2272</v>
      </c>
      <c r="O876" s="23" t="s">
        <v>66</v>
      </c>
      <c r="P876" s="3" t="s">
        <v>5181</v>
      </c>
      <c r="Q876" s="3"/>
    </row>
    <row r="877" spans="1:17" ht="54" customHeight="1">
      <c r="A877" s="166">
        <v>225</v>
      </c>
      <c r="B877" s="37" t="s">
        <v>5654</v>
      </c>
      <c r="C877" s="11" t="s">
        <v>5655</v>
      </c>
      <c r="D877" s="11" t="s">
        <v>2393</v>
      </c>
      <c r="E877" s="23" t="s">
        <v>2417</v>
      </c>
      <c r="F877" s="4" t="s">
        <v>5656</v>
      </c>
      <c r="G877" s="3" t="s">
        <v>5657</v>
      </c>
      <c r="H877" s="11" t="s">
        <v>3409</v>
      </c>
      <c r="I877" s="21">
        <v>-36.997885799999999</v>
      </c>
      <c r="J877" s="21">
        <v>144.5640659</v>
      </c>
      <c r="K877" s="21" t="s">
        <v>2272</v>
      </c>
      <c r="L877" s="11">
        <v>2016</v>
      </c>
      <c r="M877" s="11">
        <v>2018</v>
      </c>
      <c r="N877" s="21" t="s">
        <v>2272</v>
      </c>
      <c r="O877" s="23" t="s">
        <v>66</v>
      </c>
      <c r="P877" s="23" t="s">
        <v>5182</v>
      </c>
      <c r="Q877" s="3"/>
    </row>
    <row r="878" spans="1:17" ht="38" customHeight="1">
      <c r="A878" s="166">
        <v>226</v>
      </c>
      <c r="B878" s="37" t="s">
        <v>5669</v>
      </c>
      <c r="C878" s="11" t="s">
        <v>5670</v>
      </c>
      <c r="D878" s="11" t="s">
        <v>2393</v>
      </c>
      <c r="E878" s="23" t="s">
        <v>2394</v>
      </c>
      <c r="F878" s="3" t="s">
        <v>5672</v>
      </c>
      <c r="G878" s="3" t="s">
        <v>5671</v>
      </c>
      <c r="H878" s="3" t="s">
        <v>4107</v>
      </c>
      <c r="I878" s="21">
        <v>48.659928499999999</v>
      </c>
      <c r="J878" s="21">
        <v>-117.62298989999999</v>
      </c>
      <c r="K878" s="21" t="s">
        <v>2272</v>
      </c>
      <c r="L878" s="3">
        <v>2015</v>
      </c>
      <c r="M878" s="3">
        <v>2015</v>
      </c>
      <c r="N878" s="21" t="s">
        <v>2272</v>
      </c>
      <c r="O878" s="23" t="s">
        <v>66</v>
      </c>
      <c r="P878" s="23" t="s">
        <v>5182</v>
      </c>
      <c r="Q878" s="3"/>
    </row>
    <row r="879" spans="1:17" ht="37" customHeight="1">
      <c r="A879" s="166">
        <v>227</v>
      </c>
      <c r="B879" s="37" t="s">
        <v>5677</v>
      </c>
      <c r="C879" s="11" t="s">
        <v>5678</v>
      </c>
      <c r="D879" s="11" t="s">
        <v>2393</v>
      </c>
      <c r="E879" s="23" t="s">
        <v>2394</v>
      </c>
      <c r="F879" s="3" t="s">
        <v>5679</v>
      </c>
      <c r="G879" s="3" t="s">
        <v>5378</v>
      </c>
      <c r="H879" s="3" t="s">
        <v>3409</v>
      </c>
      <c r="I879" s="21">
        <v>-33.688485700000001</v>
      </c>
      <c r="J879" s="21">
        <v>150.6532861</v>
      </c>
      <c r="K879" s="21" t="s">
        <v>2272</v>
      </c>
      <c r="L879" s="3">
        <v>2014</v>
      </c>
      <c r="M879" s="3">
        <v>2017</v>
      </c>
      <c r="N879" s="21" t="s">
        <v>2272</v>
      </c>
      <c r="O879" s="23" t="s">
        <v>66</v>
      </c>
      <c r="P879" s="23" t="s">
        <v>5182</v>
      </c>
      <c r="Q879" s="3"/>
    </row>
    <row r="880" spans="1:17" ht="37.5" customHeight="1">
      <c r="A880" s="166">
        <v>228</v>
      </c>
      <c r="B880" s="37" t="s">
        <v>5686</v>
      </c>
      <c r="C880" s="11" t="s">
        <v>5687</v>
      </c>
      <c r="D880" s="11" t="s">
        <v>2393</v>
      </c>
      <c r="E880" s="23" t="s">
        <v>2394</v>
      </c>
      <c r="F880" s="3" t="s">
        <v>5689</v>
      </c>
      <c r="G880" s="3" t="s">
        <v>5690</v>
      </c>
      <c r="H880" s="3" t="s">
        <v>5688</v>
      </c>
      <c r="I880" s="21">
        <f>-17</f>
        <v>-17</v>
      </c>
      <c r="J880" s="21">
        <f>-61</f>
        <v>-61</v>
      </c>
      <c r="K880" s="21" t="s">
        <v>2272</v>
      </c>
      <c r="L880" s="3">
        <v>2013</v>
      </c>
      <c r="M880" s="3">
        <v>2013</v>
      </c>
      <c r="N880" s="21" t="s">
        <v>2272</v>
      </c>
      <c r="O880" s="23" t="s">
        <v>66</v>
      </c>
      <c r="P880" s="23" t="s">
        <v>5182</v>
      </c>
      <c r="Q880" s="3"/>
    </row>
    <row r="881" spans="1:17" ht="36.5" customHeight="1">
      <c r="A881" s="166">
        <v>229</v>
      </c>
      <c r="B881" s="37" t="s">
        <v>5710</v>
      </c>
      <c r="C881" s="11" t="s">
        <v>5709</v>
      </c>
      <c r="D881" s="11" t="s">
        <v>2393</v>
      </c>
      <c r="E881" s="23" t="s">
        <v>2394</v>
      </c>
      <c r="F881" s="4" t="s">
        <v>5708</v>
      </c>
      <c r="G881" s="11" t="s">
        <v>3847</v>
      </c>
      <c r="H881" s="11" t="s">
        <v>86</v>
      </c>
      <c r="I881" s="21">
        <v>11.9269962</v>
      </c>
      <c r="J881" s="21">
        <v>77.0878479</v>
      </c>
      <c r="K881" s="21">
        <v>575</v>
      </c>
      <c r="L881" s="3">
        <v>2016</v>
      </c>
      <c r="M881" s="3">
        <v>2016</v>
      </c>
      <c r="N881" s="21" t="s">
        <v>2272</v>
      </c>
      <c r="O881" s="23" t="s">
        <v>66</v>
      </c>
      <c r="P881" s="23" t="s">
        <v>5182</v>
      </c>
      <c r="Q881" s="3"/>
    </row>
    <row r="882" spans="1:17" ht="46.5" customHeight="1">
      <c r="A882" s="166">
        <v>230</v>
      </c>
      <c r="B882" s="37" t="s">
        <v>5716</v>
      </c>
      <c r="C882" s="11" t="s">
        <v>5717</v>
      </c>
      <c r="D882" s="11" t="s">
        <v>2393</v>
      </c>
      <c r="E882" s="23" t="s">
        <v>2394</v>
      </c>
      <c r="F882" s="3" t="s">
        <v>5718</v>
      </c>
      <c r="G882" s="3" t="s">
        <v>5719</v>
      </c>
      <c r="H882" s="11" t="s">
        <v>5218</v>
      </c>
      <c r="I882" s="21">
        <v>27.013861299999999</v>
      </c>
      <c r="J882" s="21">
        <v>87.821574299999995</v>
      </c>
      <c r="K882" s="21" t="s">
        <v>2272</v>
      </c>
      <c r="L882" s="3">
        <v>2015</v>
      </c>
      <c r="M882" s="3">
        <v>2015</v>
      </c>
      <c r="N882" s="21" t="s">
        <v>2272</v>
      </c>
      <c r="O882" s="23" t="s">
        <v>66</v>
      </c>
      <c r="P882" s="23" t="s">
        <v>5182</v>
      </c>
      <c r="Q882" s="3"/>
    </row>
    <row r="883" spans="1:17" ht="26.5" customHeight="1">
      <c r="A883" s="166">
        <v>230</v>
      </c>
      <c r="B883" s="37" t="s">
        <v>5716</v>
      </c>
      <c r="C883" s="11" t="s">
        <v>5720</v>
      </c>
      <c r="D883" s="11" t="s">
        <v>2393</v>
      </c>
      <c r="E883" s="23" t="s">
        <v>2394</v>
      </c>
      <c r="F883" s="3" t="s">
        <v>5724</v>
      </c>
      <c r="G883" s="3" t="s">
        <v>5719</v>
      </c>
      <c r="H883" s="11" t="s">
        <v>5218</v>
      </c>
      <c r="I883" s="21">
        <v>26.9892015</v>
      </c>
      <c r="J883" s="21">
        <v>87.993020999999999</v>
      </c>
      <c r="K883" s="21" t="s">
        <v>2272</v>
      </c>
      <c r="L883" s="3">
        <v>2015</v>
      </c>
      <c r="M883" s="3">
        <v>2015</v>
      </c>
      <c r="N883" s="21" t="s">
        <v>2272</v>
      </c>
      <c r="O883" s="23" t="s">
        <v>66</v>
      </c>
      <c r="P883" s="23" t="s">
        <v>5182</v>
      </c>
      <c r="Q883" s="3"/>
    </row>
    <row r="884" spans="1:17" ht="34.5" customHeight="1">
      <c r="A884" s="166">
        <v>230</v>
      </c>
      <c r="B884" s="37" t="s">
        <v>5716</v>
      </c>
      <c r="C884" s="11" t="s">
        <v>5721</v>
      </c>
      <c r="D884" s="11" t="s">
        <v>2393</v>
      </c>
      <c r="E884" s="23" t="s">
        <v>2394</v>
      </c>
      <c r="F884" s="3" t="s">
        <v>5725</v>
      </c>
      <c r="G884" s="3" t="s">
        <v>5719</v>
      </c>
      <c r="H884" s="11" t="s">
        <v>5218</v>
      </c>
      <c r="I884" s="21">
        <v>26.946999999999999</v>
      </c>
      <c r="J884" s="21">
        <v>88.025744000000003</v>
      </c>
      <c r="K884" s="21" t="s">
        <v>2272</v>
      </c>
      <c r="L884" s="3">
        <v>2015</v>
      </c>
      <c r="M884" s="3">
        <v>2015</v>
      </c>
      <c r="N884" s="21" t="s">
        <v>2272</v>
      </c>
      <c r="O884" s="23" t="s">
        <v>66</v>
      </c>
      <c r="P884" s="23" t="s">
        <v>5182</v>
      </c>
      <c r="Q884" s="3"/>
    </row>
    <row r="885" spans="1:17" ht="30" customHeight="1">
      <c r="A885" s="166">
        <v>230</v>
      </c>
      <c r="B885" s="37" t="s">
        <v>5716</v>
      </c>
      <c r="C885" s="11" t="s">
        <v>5722</v>
      </c>
      <c r="D885" s="11" t="s">
        <v>2393</v>
      </c>
      <c r="E885" s="23" t="s">
        <v>2394</v>
      </c>
      <c r="F885" s="3" t="s">
        <v>5723</v>
      </c>
      <c r="G885" s="3" t="s">
        <v>5719</v>
      </c>
      <c r="H885" s="11" t="s">
        <v>5218</v>
      </c>
      <c r="I885" s="21">
        <v>26.803654000000002</v>
      </c>
      <c r="J885" s="21">
        <v>88.150799300000003</v>
      </c>
      <c r="K885" s="21" t="s">
        <v>2272</v>
      </c>
      <c r="L885" s="3">
        <v>2015</v>
      </c>
      <c r="M885" s="3">
        <v>2015</v>
      </c>
      <c r="N885" s="21" t="s">
        <v>2272</v>
      </c>
      <c r="O885" s="23" t="s">
        <v>66</v>
      </c>
      <c r="P885" s="23" t="s">
        <v>5182</v>
      </c>
      <c r="Q885" s="3"/>
    </row>
    <row r="886" spans="1:17" ht="41" customHeight="1">
      <c r="A886" s="166">
        <v>231</v>
      </c>
      <c r="B886" s="37" t="s">
        <v>5732</v>
      </c>
      <c r="C886" s="11" t="s">
        <v>5733</v>
      </c>
      <c r="D886" s="11" t="s">
        <v>2393</v>
      </c>
      <c r="E886" s="23" t="s">
        <v>2394</v>
      </c>
      <c r="F886" s="3" t="s">
        <v>4253</v>
      </c>
      <c r="G886" s="3" t="s">
        <v>5734</v>
      </c>
      <c r="H886" s="11" t="s">
        <v>4256</v>
      </c>
      <c r="I886" s="21">
        <v>36.843739599999999</v>
      </c>
      <c r="J886" s="21">
        <v>4.1303998999999996</v>
      </c>
      <c r="K886" s="21" t="s">
        <v>2272</v>
      </c>
      <c r="L886" s="3">
        <v>2016</v>
      </c>
      <c r="M886" s="3">
        <v>2016</v>
      </c>
      <c r="N886" s="21">
        <v>168</v>
      </c>
      <c r="O886" s="23" t="s">
        <v>66</v>
      </c>
      <c r="P886" s="3" t="s">
        <v>5181</v>
      </c>
      <c r="Q886" s="3"/>
    </row>
    <row r="887" spans="1:17" ht="41" customHeight="1">
      <c r="A887" s="166">
        <v>231</v>
      </c>
      <c r="B887" s="37" t="s">
        <v>5732</v>
      </c>
      <c r="C887" s="11" t="s">
        <v>5737</v>
      </c>
      <c r="D887" s="11" t="s">
        <v>2393</v>
      </c>
      <c r="E887" s="23" t="s">
        <v>2394</v>
      </c>
      <c r="F887" s="3" t="s">
        <v>5735</v>
      </c>
      <c r="G887" s="3" t="s">
        <v>5734</v>
      </c>
      <c r="H887" s="11" t="s">
        <v>4256</v>
      </c>
      <c r="I887" s="21">
        <v>36.863439800000002</v>
      </c>
      <c r="J887" s="21">
        <v>4.1354508000000001</v>
      </c>
      <c r="K887" s="21" t="s">
        <v>2272</v>
      </c>
      <c r="L887" s="3">
        <v>2016</v>
      </c>
      <c r="M887" s="3">
        <v>2016</v>
      </c>
      <c r="N887" s="21">
        <v>287</v>
      </c>
      <c r="O887" s="23" t="s">
        <v>66</v>
      </c>
      <c r="P887" s="3" t="s">
        <v>5181</v>
      </c>
      <c r="Q887" s="3"/>
    </row>
    <row r="888" spans="1:17" ht="41" customHeight="1">
      <c r="A888" s="166">
        <v>231</v>
      </c>
      <c r="B888" s="37" t="s">
        <v>5732</v>
      </c>
      <c r="C888" s="11" t="s">
        <v>5738</v>
      </c>
      <c r="D888" s="11" t="s">
        <v>2393</v>
      </c>
      <c r="E888" s="23" t="s">
        <v>2394</v>
      </c>
      <c r="F888" s="3" t="s">
        <v>5736</v>
      </c>
      <c r="G888" s="3" t="s">
        <v>5734</v>
      </c>
      <c r="H888" s="11" t="s">
        <v>4256</v>
      </c>
      <c r="I888" s="21">
        <v>36.8561865</v>
      </c>
      <c r="J888" s="21">
        <v>3.9943854000000001</v>
      </c>
      <c r="K888" s="21" t="s">
        <v>2272</v>
      </c>
      <c r="L888" s="3">
        <v>2016</v>
      </c>
      <c r="M888" s="3">
        <v>2016</v>
      </c>
      <c r="N888" s="21">
        <v>213</v>
      </c>
      <c r="O888" s="23" t="s">
        <v>66</v>
      </c>
      <c r="P888" s="3" t="s">
        <v>5181</v>
      </c>
      <c r="Q888" s="3"/>
    </row>
    <row r="889" spans="1:17" ht="34.5" customHeight="1">
      <c r="A889" s="166">
        <v>232</v>
      </c>
      <c r="B889" s="37" t="s">
        <v>5772</v>
      </c>
      <c r="C889" s="11" t="s">
        <v>5773</v>
      </c>
      <c r="D889" s="11" t="s">
        <v>2393</v>
      </c>
      <c r="E889" s="3" t="s">
        <v>2632</v>
      </c>
      <c r="F889" s="11" t="s">
        <v>2272</v>
      </c>
      <c r="G889" s="11" t="s">
        <v>5775</v>
      </c>
      <c r="H889" s="11" t="s">
        <v>4107</v>
      </c>
      <c r="I889" s="21">
        <v>61.308075500000001</v>
      </c>
      <c r="J889" s="21">
        <v>-158.81583240000001</v>
      </c>
      <c r="K889" s="21">
        <v>1718000</v>
      </c>
      <c r="L889" s="3">
        <v>1950</v>
      </c>
      <c r="M889" s="3">
        <v>2004</v>
      </c>
      <c r="N889" s="21" t="s">
        <v>2272</v>
      </c>
      <c r="O889" s="23" t="s">
        <v>66</v>
      </c>
      <c r="P889" s="3" t="s">
        <v>5181</v>
      </c>
      <c r="Q889" s="3"/>
    </row>
    <row r="890" spans="1:17" ht="29.5" customHeight="1">
      <c r="A890" s="166">
        <v>232</v>
      </c>
      <c r="B890" s="37" t="s">
        <v>5772</v>
      </c>
      <c r="C890" s="11" t="s">
        <v>5774</v>
      </c>
      <c r="D890" s="11" t="s">
        <v>2393</v>
      </c>
      <c r="E890" s="3" t="s">
        <v>2632</v>
      </c>
      <c r="F890" s="11" t="s">
        <v>5776</v>
      </c>
      <c r="G890" s="11" t="s">
        <v>5775</v>
      </c>
      <c r="H890" s="11" t="s">
        <v>4107</v>
      </c>
      <c r="I890" s="21">
        <v>66.333347200000006</v>
      </c>
      <c r="J890" s="21">
        <v>-146.00054710000001</v>
      </c>
      <c r="K890" s="21" t="s">
        <v>2272</v>
      </c>
      <c r="L890" s="3">
        <v>1950</v>
      </c>
      <c r="M890" s="3">
        <v>2004</v>
      </c>
      <c r="N890" s="21" t="s">
        <v>2272</v>
      </c>
      <c r="O890" s="23" t="s">
        <v>66</v>
      </c>
      <c r="P890" s="3" t="s">
        <v>5181</v>
      </c>
      <c r="Q890" s="3"/>
    </row>
    <row r="891" spans="1:17" ht="37" customHeight="1">
      <c r="A891" s="166">
        <v>233</v>
      </c>
      <c r="B891" s="37" t="s">
        <v>5790</v>
      </c>
      <c r="C891" s="11" t="s">
        <v>5791</v>
      </c>
      <c r="D891" s="11" t="s">
        <v>2393</v>
      </c>
      <c r="E891" s="3" t="s">
        <v>2417</v>
      </c>
      <c r="F891" s="11" t="s">
        <v>2272</v>
      </c>
      <c r="G891" s="11" t="s">
        <v>5793</v>
      </c>
      <c r="H891" s="11" t="s">
        <v>5792</v>
      </c>
      <c r="I891" s="21">
        <v>44.427912599999999</v>
      </c>
      <c r="J891" s="21">
        <v>16.9487752</v>
      </c>
      <c r="K891" s="21">
        <v>12158</v>
      </c>
      <c r="L891" s="3">
        <v>2011</v>
      </c>
      <c r="M891" s="3">
        <v>2013</v>
      </c>
      <c r="N891" s="21" t="s">
        <v>2272</v>
      </c>
      <c r="O891" s="23" t="s">
        <v>66</v>
      </c>
      <c r="P891" s="23" t="s">
        <v>5182</v>
      </c>
      <c r="Q891" s="3"/>
    </row>
    <row r="892" spans="1:17" ht="36.5" customHeight="1">
      <c r="A892" s="166">
        <v>234</v>
      </c>
      <c r="B892" s="37" t="s">
        <v>5809</v>
      </c>
      <c r="C892" s="11" t="s">
        <v>5810</v>
      </c>
      <c r="D892" s="11" t="s">
        <v>2393</v>
      </c>
      <c r="E892" s="3" t="s">
        <v>2394</v>
      </c>
      <c r="F892" s="3" t="s">
        <v>5813</v>
      </c>
      <c r="G892" s="3" t="s">
        <v>2443</v>
      </c>
      <c r="H892" s="11" t="s">
        <v>86</v>
      </c>
      <c r="I892" s="21">
        <v>24.1760254</v>
      </c>
      <c r="J892" s="21">
        <v>92.710449199999999</v>
      </c>
      <c r="K892" s="21">
        <v>1386</v>
      </c>
      <c r="L892" s="11">
        <v>2016</v>
      </c>
      <c r="M892" s="11">
        <v>2016</v>
      </c>
      <c r="N892" s="21" t="s">
        <v>2272</v>
      </c>
      <c r="O892" s="23" t="s">
        <v>66</v>
      </c>
      <c r="P892" s="23" t="s">
        <v>5182</v>
      </c>
      <c r="Q892" s="3"/>
    </row>
    <row r="893" spans="1:17" ht="34.5" customHeight="1">
      <c r="A893" s="166">
        <v>234</v>
      </c>
      <c r="B893" s="37" t="s">
        <v>5809</v>
      </c>
      <c r="C893" s="11" t="s">
        <v>5811</v>
      </c>
      <c r="D893" s="11" t="s">
        <v>2393</v>
      </c>
      <c r="E893" s="3" t="s">
        <v>2394</v>
      </c>
      <c r="F893" s="3" t="s">
        <v>5812</v>
      </c>
      <c r="G893" s="3" t="s">
        <v>2443</v>
      </c>
      <c r="H893" s="11" t="s">
        <v>86</v>
      </c>
      <c r="I893" s="21">
        <v>22.366528500000001</v>
      </c>
      <c r="J893" s="21">
        <v>92.729449500000001</v>
      </c>
      <c r="K893" s="21" t="s">
        <v>2272</v>
      </c>
      <c r="L893" s="11">
        <v>2016</v>
      </c>
      <c r="M893" s="11">
        <v>2016</v>
      </c>
      <c r="N893" s="21" t="s">
        <v>2272</v>
      </c>
      <c r="O893" s="23" t="s">
        <v>66</v>
      </c>
      <c r="P893" s="23" t="s">
        <v>5182</v>
      </c>
      <c r="Q893" s="3"/>
    </row>
    <row r="894" spans="1:17" ht="34.5" customHeight="1">
      <c r="A894" s="166">
        <v>235</v>
      </c>
      <c r="B894" s="37" t="s">
        <v>5821</v>
      </c>
      <c r="C894" s="11" t="s">
        <v>5822</v>
      </c>
      <c r="D894" s="11" t="s">
        <v>2393</v>
      </c>
      <c r="E894" s="3" t="s">
        <v>2394</v>
      </c>
      <c r="F894" s="3" t="s">
        <v>5823</v>
      </c>
      <c r="G894" s="3" t="s">
        <v>5825</v>
      </c>
      <c r="H894" s="11" t="s">
        <v>5824</v>
      </c>
      <c r="I894" s="21">
        <f>21 + 9/60</f>
        <v>21.15</v>
      </c>
      <c r="J894" s="21">
        <f>96 + 29/60</f>
        <v>96.483333333333334</v>
      </c>
      <c r="K894" s="21">
        <f>265724/100</f>
        <v>2657.24</v>
      </c>
      <c r="L894" s="11">
        <v>2016</v>
      </c>
      <c r="M894" s="11">
        <v>2016</v>
      </c>
      <c r="N894" s="21">
        <f>80700/K894</f>
        <v>30.369857446071865</v>
      </c>
      <c r="O894" s="23" t="s">
        <v>66</v>
      </c>
      <c r="P894" s="23" t="s">
        <v>5182</v>
      </c>
      <c r="Q894" s="3"/>
    </row>
    <row r="895" spans="1:17" ht="56.5" customHeight="1">
      <c r="A895" s="182">
        <v>236</v>
      </c>
      <c r="B895" s="38" t="s">
        <v>5830</v>
      </c>
      <c r="C895" s="19" t="s">
        <v>5831</v>
      </c>
      <c r="D895" s="19" t="s">
        <v>2393</v>
      </c>
      <c r="E895" s="4" t="s">
        <v>4842</v>
      </c>
      <c r="F895" s="24" t="s">
        <v>5832</v>
      </c>
      <c r="G895" s="4" t="s">
        <v>5833</v>
      </c>
      <c r="H895" s="19" t="s">
        <v>4309</v>
      </c>
      <c r="I895" s="71">
        <v>43.208880299999997</v>
      </c>
      <c r="J895" s="71">
        <v>-4.3576147000000001</v>
      </c>
      <c r="K895" s="71" t="s">
        <v>2272</v>
      </c>
      <c r="L895" s="19">
        <v>1900</v>
      </c>
      <c r="M895" s="19">
        <v>2018</v>
      </c>
      <c r="N895" s="71" t="s">
        <v>2272</v>
      </c>
      <c r="O895" s="26" t="s">
        <v>66</v>
      </c>
      <c r="P895" s="26" t="s">
        <v>5834</v>
      </c>
      <c r="Q895" s="26" t="s">
        <v>5835</v>
      </c>
    </row>
    <row r="896" spans="1:17" ht="56.5" customHeight="1">
      <c r="A896" s="182">
        <v>237</v>
      </c>
      <c r="B896" s="38" t="s">
        <v>5841</v>
      </c>
      <c r="C896" s="19" t="s">
        <v>5838</v>
      </c>
      <c r="D896" s="19" t="s">
        <v>2393</v>
      </c>
      <c r="E896" s="4" t="s">
        <v>2400</v>
      </c>
      <c r="F896" s="24" t="s">
        <v>5842</v>
      </c>
      <c r="G896" s="11" t="s">
        <v>2272</v>
      </c>
      <c r="H896" s="19" t="s">
        <v>1947</v>
      </c>
      <c r="I896" s="71">
        <v>-0.15213840000000001</v>
      </c>
      <c r="J896" s="71">
        <v>37.308407899999999</v>
      </c>
      <c r="K896" s="71" t="s">
        <v>2272</v>
      </c>
      <c r="L896" s="19">
        <v>2000</v>
      </c>
      <c r="M896" s="19">
        <v>2015</v>
      </c>
      <c r="N896" s="71" t="s">
        <v>2272</v>
      </c>
      <c r="O896" s="26" t="s">
        <v>66</v>
      </c>
      <c r="P896" s="3" t="s">
        <v>5181</v>
      </c>
      <c r="Q896" s="26"/>
    </row>
    <row r="897" spans="1:17" ht="56.5" customHeight="1">
      <c r="A897" s="182">
        <v>238</v>
      </c>
      <c r="B897" s="38" t="s">
        <v>5849</v>
      </c>
      <c r="C897" s="19" t="s">
        <v>5843</v>
      </c>
      <c r="D897" s="19" t="s">
        <v>2393</v>
      </c>
      <c r="E897" s="4" t="s">
        <v>2394</v>
      </c>
      <c r="F897" s="24" t="s">
        <v>5862</v>
      </c>
      <c r="G897" s="11" t="s">
        <v>2272</v>
      </c>
      <c r="H897" s="19" t="s">
        <v>3571</v>
      </c>
      <c r="I897" s="71">
        <v>1.1496248</v>
      </c>
      <c r="J897" s="71">
        <v>34.547538799999998</v>
      </c>
      <c r="K897" s="71">
        <v>44.7</v>
      </c>
      <c r="L897" s="19">
        <v>1997</v>
      </c>
      <c r="M897" s="19">
        <v>1999</v>
      </c>
      <c r="N897" s="71" t="s">
        <v>2272</v>
      </c>
      <c r="O897" s="26" t="s">
        <v>66</v>
      </c>
      <c r="P897" s="3" t="s">
        <v>5181</v>
      </c>
      <c r="Q897" s="26"/>
    </row>
    <row r="898" spans="1:17" ht="56.5" customHeight="1">
      <c r="A898" s="182">
        <v>239</v>
      </c>
      <c r="B898" s="38" t="s">
        <v>5864</v>
      </c>
      <c r="C898" s="19" t="s">
        <v>5848</v>
      </c>
      <c r="D898" s="19" t="s">
        <v>2393</v>
      </c>
      <c r="E898" s="4" t="s">
        <v>2394</v>
      </c>
      <c r="F898" s="24" t="s">
        <v>5861</v>
      </c>
      <c r="G898" s="11" t="s">
        <v>2272</v>
      </c>
      <c r="H898" s="19" t="s">
        <v>1946</v>
      </c>
      <c r="I898" s="71">
        <v>13</v>
      </c>
      <c r="J898" s="71">
        <v>38</v>
      </c>
      <c r="K898" s="11" t="s">
        <v>2272</v>
      </c>
      <c r="L898" s="19">
        <v>1997</v>
      </c>
      <c r="M898" s="19">
        <v>1999</v>
      </c>
      <c r="N898" s="71" t="s">
        <v>2272</v>
      </c>
      <c r="O898" s="26" t="s">
        <v>66</v>
      </c>
      <c r="P898" s="3" t="s">
        <v>5181</v>
      </c>
      <c r="Q898" s="26"/>
    </row>
    <row r="899" spans="1:17" ht="56.5" customHeight="1">
      <c r="A899" s="182">
        <v>239</v>
      </c>
      <c r="B899" s="38" t="s">
        <v>5864</v>
      </c>
      <c r="C899" s="19" t="s">
        <v>5853</v>
      </c>
      <c r="D899" s="19" t="s">
        <v>2393</v>
      </c>
      <c r="E899" s="4" t="s">
        <v>2394</v>
      </c>
      <c r="F899" s="24" t="s">
        <v>3733</v>
      </c>
      <c r="G899" s="11" t="s">
        <v>2272</v>
      </c>
      <c r="H899" s="19" t="s">
        <v>1946</v>
      </c>
      <c r="I899" s="71">
        <f>6 + 45/60</f>
        <v>6.75</v>
      </c>
      <c r="J899" s="71">
        <f>39.75</f>
        <v>39.75</v>
      </c>
      <c r="K899" s="11" t="s">
        <v>2272</v>
      </c>
      <c r="L899" s="19">
        <v>1997</v>
      </c>
      <c r="M899" s="19">
        <v>1999</v>
      </c>
      <c r="N899" s="71" t="s">
        <v>2272</v>
      </c>
      <c r="O899" s="26" t="s">
        <v>66</v>
      </c>
      <c r="P899" s="3" t="s">
        <v>5181</v>
      </c>
      <c r="Q899" s="26"/>
    </row>
    <row r="900" spans="1:17" ht="56.5" customHeight="1">
      <c r="A900" s="182">
        <v>239</v>
      </c>
      <c r="B900" s="38" t="s">
        <v>5864</v>
      </c>
      <c r="C900" s="19" t="s">
        <v>5854</v>
      </c>
      <c r="D900" s="19" t="s">
        <v>2393</v>
      </c>
      <c r="E900" s="4" t="s">
        <v>2394</v>
      </c>
      <c r="F900" s="24" t="s">
        <v>5862</v>
      </c>
      <c r="G900" s="11" t="s">
        <v>2272</v>
      </c>
      <c r="H900" s="19" t="s">
        <v>3571</v>
      </c>
      <c r="I900" s="71">
        <v>1</v>
      </c>
      <c r="J900" s="71">
        <f>34.5</f>
        <v>34.5</v>
      </c>
      <c r="K900" s="11" t="s">
        <v>2272</v>
      </c>
      <c r="L900" s="19">
        <v>1997</v>
      </c>
      <c r="M900" s="19">
        <v>1999</v>
      </c>
      <c r="N900" s="71" t="s">
        <v>2272</v>
      </c>
      <c r="O900" s="26" t="s">
        <v>66</v>
      </c>
      <c r="P900" s="3" t="s">
        <v>5181</v>
      </c>
      <c r="Q900" s="26"/>
    </row>
    <row r="901" spans="1:17" ht="56.5" customHeight="1">
      <c r="A901" s="182">
        <v>239</v>
      </c>
      <c r="B901" s="38" t="s">
        <v>5864</v>
      </c>
      <c r="C901" s="19" t="s">
        <v>5855</v>
      </c>
      <c r="D901" s="19" t="s">
        <v>2393</v>
      </c>
      <c r="E901" s="4" t="s">
        <v>2394</v>
      </c>
      <c r="F901" s="24" t="s">
        <v>5863</v>
      </c>
      <c r="G901" s="11" t="s">
        <v>2272</v>
      </c>
      <c r="H901" s="19" t="s">
        <v>3571</v>
      </c>
      <c r="I901" s="71">
        <f>0 + 1/6</f>
        <v>0.16666666666666666</v>
      </c>
      <c r="J901" s="71">
        <v>30</v>
      </c>
      <c r="K901" s="11" t="s">
        <v>2272</v>
      </c>
      <c r="L901" s="19">
        <v>1997</v>
      </c>
      <c r="M901" s="19">
        <v>1999</v>
      </c>
      <c r="N901" s="71" t="s">
        <v>2272</v>
      </c>
      <c r="O901" s="26" t="s">
        <v>66</v>
      </c>
      <c r="P901" s="3" t="s">
        <v>5181</v>
      </c>
      <c r="Q901" s="26"/>
    </row>
    <row r="902" spans="1:17" ht="56.5" customHeight="1">
      <c r="A902" s="182">
        <v>240</v>
      </c>
      <c r="B902" s="38" t="s">
        <v>5870</v>
      </c>
      <c r="C902" s="19" t="s">
        <v>5856</v>
      </c>
      <c r="D902" s="19" t="s">
        <v>2393</v>
      </c>
      <c r="E902" s="4" t="s">
        <v>2394</v>
      </c>
      <c r="F902" s="24" t="s">
        <v>5871</v>
      </c>
      <c r="G902" s="11" t="s">
        <v>5872</v>
      </c>
      <c r="H902" s="19" t="s">
        <v>4105</v>
      </c>
      <c r="I902" s="71">
        <v>-34.884701900000003</v>
      </c>
      <c r="J902" s="71">
        <v>173.37160499999999</v>
      </c>
      <c r="K902" s="11">
        <f>5530/100</f>
        <v>55.3</v>
      </c>
      <c r="L902" s="19">
        <v>2015</v>
      </c>
      <c r="M902" s="19">
        <v>2015</v>
      </c>
      <c r="N902" s="71" t="s">
        <v>2272</v>
      </c>
      <c r="O902" s="26" t="s">
        <v>66</v>
      </c>
      <c r="P902" s="23" t="s">
        <v>5182</v>
      </c>
      <c r="Q902" s="26"/>
    </row>
    <row r="903" spans="1:17" ht="56.5" customHeight="1">
      <c r="A903" s="182">
        <v>240</v>
      </c>
      <c r="B903" s="38" t="s">
        <v>5870</v>
      </c>
      <c r="C903" s="19" t="s">
        <v>5873</v>
      </c>
      <c r="D903" s="19" t="s">
        <v>2393</v>
      </c>
      <c r="E903" s="4" t="s">
        <v>4842</v>
      </c>
      <c r="F903" s="11" t="s">
        <v>2272</v>
      </c>
      <c r="G903" s="11" t="s">
        <v>5874</v>
      </c>
      <c r="H903" s="19" t="s">
        <v>4105</v>
      </c>
      <c r="I903" s="71">
        <v>-34.911798400000002</v>
      </c>
      <c r="J903" s="71">
        <v>173.18610369999999</v>
      </c>
      <c r="K903" s="11">
        <v>7324</v>
      </c>
      <c r="L903" s="19">
        <v>2009</v>
      </c>
      <c r="M903" s="19">
        <v>2013</v>
      </c>
      <c r="N903" s="71">
        <f>110000/K903</f>
        <v>15.019115237575095</v>
      </c>
      <c r="O903" s="26" t="s">
        <v>66</v>
      </c>
      <c r="P903" s="23" t="s">
        <v>5182</v>
      </c>
      <c r="Q903" s="26"/>
    </row>
    <row r="904" spans="1:17" ht="56.5" customHeight="1">
      <c r="A904" s="182">
        <v>241</v>
      </c>
      <c r="B904" s="184" t="s">
        <v>5889</v>
      </c>
      <c r="C904" s="26" t="s">
        <v>5869</v>
      </c>
      <c r="D904" s="26" t="s">
        <v>2393</v>
      </c>
      <c r="E904" s="24" t="s">
        <v>2394</v>
      </c>
      <c r="F904" s="26" t="s">
        <v>5890</v>
      </c>
      <c r="G904" s="26" t="s">
        <v>5891</v>
      </c>
      <c r="H904" s="26" t="s">
        <v>4107</v>
      </c>
      <c r="I904" s="183">
        <f>40+39/60</f>
        <v>40.65</v>
      </c>
      <c r="J904" s="185">
        <f>-94.15</f>
        <v>-94.15</v>
      </c>
      <c r="K904" s="26">
        <f>28350/100</f>
        <v>283.5</v>
      </c>
      <c r="L904" s="26">
        <v>2014</v>
      </c>
      <c r="M904" s="26">
        <v>2014</v>
      </c>
      <c r="N904" s="82" t="s">
        <v>2272</v>
      </c>
      <c r="O904" s="26" t="s">
        <v>66</v>
      </c>
      <c r="P904" s="26" t="s">
        <v>5892</v>
      </c>
      <c r="Q904" s="26"/>
    </row>
    <row r="905" spans="1:17" ht="44" customHeight="1">
      <c r="A905" s="182">
        <v>242</v>
      </c>
      <c r="B905" s="184" t="s">
        <v>5900</v>
      </c>
      <c r="C905" s="26" t="s">
        <v>5893</v>
      </c>
      <c r="D905" s="26" t="s">
        <v>2393</v>
      </c>
      <c r="E905" s="24" t="s">
        <v>2394</v>
      </c>
      <c r="F905" s="26" t="s">
        <v>5890</v>
      </c>
      <c r="G905" s="26" t="s">
        <v>5891</v>
      </c>
      <c r="H905" s="26" t="s">
        <v>4107</v>
      </c>
      <c r="I905" s="183">
        <f>40+39/60</f>
        <v>40.65</v>
      </c>
      <c r="J905" s="185">
        <f>-94.15</f>
        <v>-94.15</v>
      </c>
      <c r="K905" s="26">
        <f>28350/100</f>
        <v>283.5</v>
      </c>
      <c r="L905" s="26">
        <v>2008</v>
      </c>
      <c r="M905" s="26">
        <v>2008</v>
      </c>
      <c r="N905" s="82" t="s">
        <v>2272</v>
      </c>
      <c r="O905" s="26" t="s">
        <v>66</v>
      </c>
      <c r="P905" s="26" t="s">
        <v>5181</v>
      </c>
      <c r="Q905" s="26" t="s">
        <v>5901</v>
      </c>
    </row>
    <row r="906" spans="1:17" ht="40.5" customHeight="1">
      <c r="A906" s="166">
        <v>243</v>
      </c>
      <c r="B906" s="37" t="s">
        <v>5837</v>
      </c>
      <c r="C906" s="11" t="s">
        <v>5903</v>
      </c>
      <c r="D906" s="11" t="s">
        <v>2393</v>
      </c>
      <c r="E906" s="3" t="s">
        <v>2394</v>
      </c>
      <c r="F906" s="3" t="s">
        <v>5839</v>
      </c>
      <c r="G906" s="11" t="s">
        <v>5840</v>
      </c>
      <c r="H906" s="11" t="s">
        <v>1947</v>
      </c>
      <c r="I906" s="21">
        <v>-9.7846900000000001E-2</v>
      </c>
      <c r="J906" s="21">
        <v>37.1231461</v>
      </c>
      <c r="K906" s="3">
        <f>14978/100</f>
        <v>149.78</v>
      </c>
      <c r="L906" s="3">
        <v>2015</v>
      </c>
      <c r="M906" s="3">
        <v>2016</v>
      </c>
      <c r="N906" s="82" t="s">
        <v>2272</v>
      </c>
      <c r="O906" s="26" t="s">
        <v>66</v>
      </c>
      <c r="P906" s="23" t="s">
        <v>5182</v>
      </c>
      <c r="Q906" s="3"/>
    </row>
    <row r="907" spans="1:17" ht="40.5" customHeight="1">
      <c r="A907" s="182">
        <v>244</v>
      </c>
      <c r="B907" s="37" t="s">
        <v>5925</v>
      </c>
      <c r="C907" s="26" t="s">
        <v>5926</v>
      </c>
      <c r="D907" s="11" t="s">
        <v>2393</v>
      </c>
      <c r="E907" s="3" t="s">
        <v>2394</v>
      </c>
      <c r="F907" s="3" t="s">
        <v>3623</v>
      </c>
      <c r="G907" s="3" t="s">
        <v>3622</v>
      </c>
      <c r="H907" s="3" t="s">
        <v>582</v>
      </c>
      <c r="I907" s="21">
        <v>5.5</v>
      </c>
      <c r="J907" s="21">
        <v>-62</v>
      </c>
      <c r="K907" s="21">
        <v>30000</v>
      </c>
      <c r="L907" s="3">
        <v>2007</v>
      </c>
      <c r="M907" s="3">
        <v>2018</v>
      </c>
      <c r="N907" s="82" t="s">
        <v>2272</v>
      </c>
      <c r="O907" s="26" t="s">
        <v>66</v>
      </c>
      <c r="P907" s="23" t="s">
        <v>5182</v>
      </c>
      <c r="Q907" s="3"/>
    </row>
    <row r="908" spans="1:17" ht="33.5" customHeight="1">
      <c r="A908" s="182">
        <v>245</v>
      </c>
      <c r="B908" s="37" t="s">
        <v>5941</v>
      </c>
      <c r="C908" s="26" t="s">
        <v>5942</v>
      </c>
      <c r="D908" s="11" t="s">
        <v>2393</v>
      </c>
      <c r="E908" s="3" t="s">
        <v>2394</v>
      </c>
      <c r="F908" s="3" t="s">
        <v>5943</v>
      </c>
      <c r="G908" s="3" t="s">
        <v>5944</v>
      </c>
      <c r="H908" s="3" t="s">
        <v>892</v>
      </c>
      <c r="I908" s="21">
        <v>-3.7574264999999998</v>
      </c>
      <c r="J908" s="21">
        <v>114.619467</v>
      </c>
      <c r="K908" s="21" t="s">
        <v>2272</v>
      </c>
      <c r="L908" s="3">
        <v>2013</v>
      </c>
      <c r="M908" s="3">
        <v>2015</v>
      </c>
      <c r="N908" s="82" t="s">
        <v>2272</v>
      </c>
      <c r="O908" s="26" t="s">
        <v>66</v>
      </c>
      <c r="P908" s="23" t="s">
        <v>5182</v>
      </c>
      <c r="Q908" s="3"/>
    </row>
    <row r="909" spans="1:17" ht="30" customHeight="1">
      <c r="A909" s="182">
        <v>245</v>
      </c>
      <c r="B909" s="37" t="s">
        <v>5941</v>
      </c>
      <c r="C909" s="26" t="s">
        <v>5946</v>
      </c>
      <c r="D909" s="11" t="s">
        <v>2393</v>
      </c>
      <c r="E909" s="3" t="s">
        <v>2394</v>
      </c>
      <c r="F909" s="3" t="s">
        <v>5945</v>
      </c>
      <c r="G909" s="3" t="s">
        <v>5944</v>
      </c>
      <c r="H909" s="3" t="s">
        <v>892</v>
      </c>
      <c r="I909" s="21">
        <v>-3.728971</v>
      </c>
      <c r="J909" s="21">
        <v>114.68717599999999</v>
      </c>
      <c r="K909" s="21" t="s">
        <v>2272</v>
      </c>
      <c r="L909" s="3">
        <v>2013</v>
      </c>
      <c r="M909" s="3">
        <v>2015</v>
      </c>
      <c r="N909" s="82" t="s">
        <v>2272</v>
      </c>
      <c r="O909" s="26" t="s">
        <v>66</v>
      </c>
      <c r="P909" s="23" t="s">
        <v>5182</v>
      </c>
      <c r="Q909" s="3"/>
    </row>
    <row r="910" spans="1:17" ht="31.5" customHeight="1">
      <c r="A910" s="182">
        <v>246</v>
      </c>
      <c r="B910" s="37" t="s">
        <v>5951</v>
      </c>
      <c r="C910" s="26" t="s">
        <v>5949</v>
      </c>
      <c r="D910" s="11" t="s">
        <v>2393</v>
      </c>
      <c r="E910" s="3" t="s">
        <v>2394</v>
      </c>
      <c r="F910" s="11" t="s">
        <v>5952</v>
      </c>
      <c r="G910" s="11" t="s">
        <v>4127</v>
      </c>
      <c r="H910" s="11" t="s">
        <v>4107</v>
      </c>
      <c r="I910" s="21">
        <v>37.224465100000003</v>
      </c>
      <c r="J910" s="21">
        <v>-119.50581029999999</v>
      </c>
      <c r="K910" s="21" t="s">
        <v>2272</v>
      </c>
      <c r="L910" s="3">
        <v>2013</v>
      </c>
      <c r="M910" s="3">
        <v>2015</v>
      </c>
      <c r="N910" s="82" t="s">
        <v>2272</v>
      </c>
      <c r="O910" s="26" t="s">
        <v>66</v>
      </c>
      <c r="P910" s="23" t="s">
        <v>5182</v>
      </c>
      <c r="Q910" s="3"/>
    </row>
    <row r="911" spans="1:17" ht="36.5" customHeight="1">
      <c r="A911" s="182">
        <v>247</v>
      </c>
      <c r="B911" s="37" t="s">
        <v>5961</v>
      </c>
      <c r="C911" s="26" t="s">
        <v>5962</v>
      </c>
      <c r="D911" s="11" t="s">
        <v>2393</v>
      </c>
      <c r="E911" s="3" t="s">
        <v>2394</v>
      </c>
      <c r="F911" s="11" t="s">
        <v>5644</v>
      </c>
      <c r="G911" s="11" t="s">
        <v>1168</v>
      </c>
      <c r="H911" s="3" t="s">
        <v>892</v>
      </c>
      <c r="I911" s="21">
        <v>1.5</v>
      </c>
      <c r="J911" s="21">
        <v>101.25</v>
      </c>
      <c r="K911" s="21" t="s">
        <v>2272</v>
      </c>
      <c r="L911" s="3">
        <v>2015</v>
      </c>
      <c r="M911" s="3">
        <v>2015</v>
      </c>
      <c r="N911" s="82" t="s">
        <v>2272</v>
      </c>
      <c r="O911" s="26" t="s">
        <v>66</v>
      </c>
      <c r="P911" s="23" t="s">
        <v>5182</v>
      </c>
      <c r="Q911" s="3"/>
    </row>
    <row r="912" spans="1:17" ht="35.5" customHeight="1">
      <c r="A912" s="182">
        <v>248</v>
      </c>
      <c r="B912" s="37" t="s">
        <v>5974</v>
      </c>
      <c r="C912" s="26" t="s">
        <v>5975</v>
      </c>
      <c r="D912" s="11" t="s">
        <v>2393</v>
      </c>
      <c r="E912" s="3" t="s">
        <v>2394</v>
      </c>
      <c r="F912" s="3" t="s">
        <v>5977</v>
      </c>
      <c r="G912" s="3" t="s">
        <v>5979</v>
      </c>
      <c r="H912" s="3" t="s">
        <v>5205</v>
      </c>
      <c r="I912" s="21">
        <v>38.498441700000001</v>
      </c>
      <c r="J912" s="21">
        <v>139.6896936</v>
      </c>
      <c r="K912" s="21" t="s">
        <v>2272</v>
      </c>
      <c r="L912" s="3">
        <v>2013</v>
      </c>
      <c r="M912" s="3">
        <v>2013</v>
      </c>
      <c r="N912" s="82" t="s">
        <v>2272</v>
      </c>
      <c r="O912" s="26" t="s">
        <v>66</v>
      </c>
      <c r="P912" s="23" t="s">
        <v>5182</v>
      </c>
      <c r="Q912" s="3"/>
    </row>
    <row r="913" spans="1:17" ht="42" customHeight="1">
      <c r="A913" s="182">
        <v>248</v>
      </c>
      <c r="B913" s="37" t="s">
        <v>5974</v>
      </c>
      <c r="C913" s="26" t="s">
        <v>6051</v>
      </c>
      <c r="D913" s="11" t="s">
        <v>2393</v>
      </c>
      <c r="E913" s="3" t="s">
        <v>2394</v>
      </c>
      <c r="F913" s="3" t="s">
        <v>5978</v>
      </c>
      <c r="G913" s="3" t="s">
        <v>5976</v>
      </c>
      <c r="H913" s="3" t="s">
        <v>5205</v>
      </c>
      <c r="I913" s="21">
        <v>38.475431999999998</v>
      </c>
      <c r="J913" s="21">
        <v>139.62194270000001</v>
      </c>
      <c r="K913" s="21" t="s">
        <v>2272</v>
      </c>
      <c r="L913" s="3">
        <v>2013</v>
      </c>
      <c r="M913" s="3">
        <v>2013</v>
      </c>
      <c r="N913" s="82" t="s">
        <v>2272</v>
      </c>
      <c r="O913" s="26" t="s">
        <v>66</v>
      </c>
      <c r="P913" s="23" t="s">
        <v>5182</v>
      </c>
      <c r="Q913" s="3"/>
    </row>
    <row r="914" spans="1:17" ht="42" customHeight="1">
      <c r="A914" s="182">
        <v>249</v>
      </c>
      <c r="B914" s="37" t="s">
        <v>5988</v>
      </c>
      <c r="C914" s="26" t="s">
        <v>5987</v>
      </c>
      <c r="D914" s="11" t="s">
        <v>2393</v>
      </c>
      <c r="E914" s="3" t="s">
        <v>2395</v>
      </c>
      <c r="F914" s="139" t="s">
        <v>5989</v>
      </c>
      <c r="G914" s="3" t="s">
        <v>5992</v>
      </c>
      <c r="H914" s="3" t="s">
        <v>3409</v>
      </c>
      <c r="I914" s="21">
        <f>-21 - 55/60</f>
        <v>-21.916666666666668</v>
      </c>
      <c r="J914" s="21">
        <f>122 +26/60</f>
        <v>122.43333333333334</v>
      </c>
      <c r="K914" s="21" t="s">
        <v>2272</v>
      </c>
      <c r="L914" s="3">
        <v>2000</v>
      </c>
      <c r="M914" s="3">
        <v>2010</v>
      </c>
      <c r="N914" s="82" t="s">
        <v>2272</v>
      </c>
      <c r="O914" s="26" t="s">
        <v>66</v>
      </c>
      <c r="P914" s="23" t="s">
        <v>5181</v>
      </c>
      <c r="Q914" s="3"/>
    </row>
    <row r="915" spans="1:17" ht="42" customHeight="1">
      <c r="A915" s="182">
        <v>249</v>
      </c>
      <c r="B915" s="37" t="s">
        <v>5988</v>
      </c>
      <c r="C915" s="26" t="s">
        <v>5991</v>
      </c>
      <c r="D915" s="11" t="s">
        <v>2393</v>
      </c>
      <c r="E915" s="3" t="s">
        <v>2395</v>
      </c>
      <c r="F915" s="139" t="s">
        <v>5990</v>
      </c>
      <c r="G915" s="3" t="s">
        <v>5992</v>
      </c>
      <c r="H915" s="3" t="s">
        <v>3409</v>
      </c>
      <c r="I915" s="21">
        <f>-21 - 55/60</f>
        <v>-21.916666666666668</v>
      </c>
      <c r="J915" s="21">
        <f>122 +26/60</f>
        <v>122.43333333333334</v>
      </c>
      <c r="K915" s="21" t="s">
        <v>2272</v>
      </c>
      <c r="L915" s="3">
        <v>2000</v>
      </c>
      <c r="M915" s="3">
        <v>2010</v>
      </c>
      <c r="N915" s="82" t="s">
        <v>2272</v>
      </c>
      <c r="O915" s="26" t="s">
        <v>66</v>
      </c>
      <c r="P915" s="23" t="s">
        <v>5181</v>
      </c>
      <c r="Q915" s="3"/>
    </row>
    <row r="916" spans="1:17" ht="40" customHeight="1">
      <c r="A916" s="182">
        <v>250</v>
      </c>
      <c r="B916" s="37" t="s">
        <v>6003</v>
      </c>
      <c r="C916" s="26" t="s">
        <v>5993</v>
      </c>
      <c r="D916" s="11" t="s">
        <v>2393</v>
      </c>
      <c r="E916" s="3" t="s">
        <v>2394</v>
      </c>
      <c r="F916" s="22" t="s">
        <v>6004</v>
      </c>
      <c r="G916" s="3" t="s">
        <v>2272</v>
      </c>
      <c r="H916" s="3" t="s">
        <v>5688</v>
      </c>
      <c r="I916" s="21">
        <v>-16.769966799999999</v>
      </c>
      <c r="J916" s="21">
        <v>-61.810863099999999</v>
      </c>
      <c r="K916" s="21" t="s">
        <v>2272</v>
      </c>
      <c r="L916" s="11">
        <v>2003</v>
      </c>
      <c r="M916" s="11">
        <v>2003</v>
      </c>
      <c r="N916" s="82" t="s">
        <v>2272</v>
      </c>
      <c r="O916" s="26" t="s">
        <v>66</v>
      </c>
      <c r="P916" s="23" t="s">
        <v>5181</v>
      </c>
      <c r="Q916" s="3"/>
    </row>
    <row r="917" spans="1:17" ht="45.5" customHeight="1">
      <c r="A917" s="182">
        <v>251</v>
      </c>
      <c r="B917" s="37" t="s">
        <v>6010</v>
      </c>
      <c r="C917" s="26" t="s">
        <v>6011</v>
      </c>
      <c r="D917" s="11" t="s">
        <v>2393</v>
      </c>
      <c r="E917" s="3" t="s">
        <v>2394</v>
      </c>
      <c r="F917" s="11" t="s">
        <v>6012</v>
      </c>
      <c r="G917" s="11" t="s">
        <v>4127</v>
      </c>
      <c r="H917" s="11" t="s">
        <v>4107</v>
      </c>
      <c r="I917" s="21">
        <v>41.609751299999999</v>
      </c>
      <c r="J917" s="21">
        <v>-123.2715446</v>
      </c>
      <c r="K917" s="21" t="s">
        <v>2272</v>
      </c>
      <c r="L917" s="11">
        <v>1990</v>
      </c>
      <c r="M917" s="11">
        <v>2014</v>
      </c>
      <c r="N917" s="82" t="s">
        <v>2272</v>
      </c>
      <c r="O917" s="26" t="s">
        <v>66</v>
      </c>
      <c r="P917" s="23" t="s">
        <v>5182</v>
      </c>
      <c r="Q917" s="23" t="s">
        <v>6013</v>
      </c>
    </row>
    <row r="918" spans="1:17" ht="39" customHeight="1">
      <c r="A918" s="182">
        <v>252</v>
      </c>
      <c r="B918" s="37" t="s">
        <v>6024</v>
      </c>
      <c r="C918" s="26" t="s">
        <v>6025</v>
      </c>
      <c r="D918" s="11" t="s">
        <v>2393</v>
      </c>
      <c r="E918" s="3" t="s">
        <v>2394</v>
      </c>
      <c r="F918" s="3" t="s">
        <v>6026</v>
      </c>
      <c r="G918" s="3" t="s">
        <v>6027</v>
      </c>
      <c r="H918" s="11" t="s">
        <v>5205</v>
      </c>
      <c r="I918" s="21">
        <v>32.898505900000004</v>
      </c>
      <c r="J918" s="21">
        <v>131.08747539999999</v>
      </c>
      <c r="K918" s="21">
        <v>76.7</v>
      </c>
      <c r="L918" s="11">
        <v>2014</v>
      </c>
      <c r="M918" s="11">
        <v>2014</v>
      </c>
      <c r="N918" s="82" t="s">
        <v>2272</v>
      </c>
      <c r="O918" s="26" t="s">
        <v>66</v>
      </c>
      <c r="P918" s="23" t="s">
        <v>5181</v>
      </c>
      <c r="Q918" s="3"/>
    </row>
    <row r="919" spans="1:17" ht="37.5" customHeight="1">
      <c r="A919" s="182">
        <v>253</v>
      </c>
      <c r="B919" s="37" t="s">
        <v>6031</v>
      </c>
      <c r="C919" s="26" t="s">
        <v>6032</v>
      </c>
      <c r="D919" s="11" t="s">
        <v>2393</v>
      </c>
      <c r="E919" s="3" t="s">
        <v>2394</v>
      </c>
      <c r="F919" s="3" t="s">
        <v>6033</v>
      </c>
      <c r="G919" s="3" t="s">
        <v>6034</v>
      </c>
      <c r="H919" s="11" t="s">
        <v>5205</v>
      </c>
      <c r="I919" s="21">
        <f>35 +56/60</f>
        <v>35.93333333333333</v>
      </c>
      <c r="J919" s="21">
        <f>137 + 36/60</f>
        <v>137.6</v>
      </c>
      <c r="K919" s="21">
        <f>SUM(910, 1050, 950, 1250, 1140, 1350, 110, 220, 2300, 990, 1800, 990, 1080, 460, 410) / (1000^2)</f>
        <v>1.5010000000000001E-2</v>
      </c>
      <c r="L919" s="11">
        <v>2010</v>
      </c>
      <c r="M919" s="11">
        <v>2011</v>
      </c>
      <c r="N919" s="82" t="s">
        <v>2272</v>
      </c>
      <c r="O919" s="26" t="s">
        <v>66</v>
      </c>
      <c r="P919" s="23" t="s">
        <v>5182</v>
      </c>
      <c r="Q919" s="3"/>
    </row>
    <row r="920" spans="1:17" ht="45.5" customHeight="1">
      <c r="A920" s="182">
        <v>254</v>
      </c>
      <c r="B920" s="37" t="s">
        <v>6044</v>
      </c>
      <c r="C920" s="26" t="s">
        <v>6041</v>
      </c>
      <c r="D920" s="11" t="s">
        <v>2393</v>
      </c>
      <c r="E920" s="3" t="s">
        <v>2394</v>
      </c>
      <c r="F920" s="11" t="s">
        <v>6042</v>
      </c>
      <c r="G920" s="11" t="s">
        <v>6043</v>
      </c>
      <c r="H920" s="11" t="s">
        <v>767</v>
      </c>
      <c r="I920" s="21">
        <v>18.488329199999999</v>
      </c>
      <c r="J920" s="21">
        <v>-89.685020600000001</v>
      </c>
      <c r="K920" s="21" t="s">
        <v>2272</v>
      </c>
      <c r="L920" s="11">
        <v>2012</v>
      </c>
      <c r="M920" s="11">
        <v>2012</v>
      </c>
      <c r="N920" s="82" t="s">
        <v>2272</v>
      </c>
      <c r="O920" s="26" t="s">
        <v>66</v>
      </c>
      <c r="P920" s="23" t="s">
        <v>5182</v>
      </c>
      <c r="Q920" s="3"/>
    </row>
    <row r="921" spans="1:17" ht="43.5" customHeight="1">
      <c r="A921" s="31">
        <v>255</v>
      </c>
      <c r="B921" s="37" t="s">
        <v>6053</v>
      </c>
      <c r="C921" s="3" t="s">
        <v>6054</v>
      </c>
      <c r="D921" s="11" t="s">
        <v>2393</v>
      </c>
      <c r="E921" s="3" t="s">
        <v>2394</v>
      </c>
      <c r="F921" s="3" t="s">
        <v>907</v>
      </c>
      <c r="G921" s="3" t="s">
        <v>164</v>
      </c>
      <c r="H921" s="3" t="s">
        <v>119</v>
      </c>
      <c r="I921" s="21">
        <v>-0.95485589999999998</v>
      </c>
      <c r="J921" s="21">
        <v>-49.588692999999999</v>
      </c>
      <c r="K921" s="21">
        <v>23000</v>
      </c>
      <c r="L921" s="3">
        <v>1993</v>
      </c>
      <c r="M921" s="3">
        <v>1993</v>
      </c>
      <c r="N921" s="82" t="s">
        <v>2272</v>
      </c>
      <c r="O921" s="26" t="s">
        <v>66</v>
      </c>
      <c r="P921" s="3" t="s">
        <v>5181</v>
      </c>
      <c r="Q921" s="3"/>
    </row>
    <row r="922" spans="1:17" ht="43.5" customHeight="1">
      <c r="A922" s="31">
        <v>255</v>
      </c>
      <c r="B922" s="37" t="s">
        <v>6053</v>
      </c>
      <c r="C922" s="26" t="s">
        <v>6055</v>
      </c>
      <c r="D922" s="11" t="s">
        <v>2393</v>
      </c>
      <c r="E922" s="3" t="s">
        <v>2394</v>
      </c>
      <c r="F922" s="3" t="s">
        <v>6057</v>
      </c>
      <c r="G922" s="3" t="s">
        <v>164</v>
      </c>
      <c r="H922" s="3" t="s">
        <v>119</v>
      </c>
      <c r="I922" s="21">
        <v>-2.3106019</v>
      </c>
      <c r="J922" s="21">
        <v>-54.831132400000001</v>
      </c>
      <c r="K922" s="21" t="s">
        <v>2272</v>
      </c>
      <c r="L922" s="3">
        <v>1993</v>
      </c>
      <c r="M922" s="3">
        <v>1993</v>
      </c>
      <c r="N922" s="82" t="s">
        <v>2272</v>
      </c>
      <c r="O922" s="26" t="s">
        <v>66</v>
      </c>
      <c r="P922" s="3" t="s">
        <v>5181</v>
      </c>
      <c r="Q922" s="3"/>
    </row>
    <row r="923" spans="1:17" ht="43.5" customHeight="1">
      <c r="A923" s="31">
        <v>255</v>
      </c>
      <c r="B923" s="37" t="s">
        <v>6053</v>
      </c>
      <c r="C923" s="26" t="s">
        <v>6056</v>
      </c>
      <c r="D923" s="11" t="s">
        <v>2393</v>
      </c>
      <c r="E923" s="3" t="s">
        <v>2394</v>
      </c>
      <c r="F923" s="3" t="s">
        <v>6058</v>
      </c>
      <c r="G923" s="3" t="s">
        <v>164</v>
      </c>
      <c r="H923" s="3" t="s">
        <v>119</v>
      </c>
      <c r="I923" s="21">
        <v>-9.3710164999999996</v>
      </c>
      <c r="J923" s="21">
        <v>-50.332479900000003</v>
      </c>
      <c r="K923" s="21" t="s">
        <v>2272</v>
      </c>
      <c r="L923" s="3">
        <v>1993</v>
      </c>
      <c r="M923" s="3">
        <v>1993</v>
      </c>
      <c r="N923" s="82" t="s">
        <v>2272</v>
      </c>
      <c r="O923" s="26" t="s">
        <v>66</v>
      </c>
      <c r="P923" s="3" t="s">
        <v>5181</v>
      </c>
      <c r="Q923" s="3"/>
    </row>
    <row r="924" spans="1:17" ht="70.5" customHeight="1">
      <c r="A924" s="101">
        <v>256</v>
      </c>
      <c r="B924" s="37" t="s">
        <v>6067</v>
      </c>
      <c r="C924" s="26" t="s">
        <v>6068</v>
      </c>
      <c r="D924" s="11" t="s">
        <v>2393</v>
      </c>
      <c r="E924" s="11" t="s">
        <v>4842</v>
      </c>
      <c r="F924" s="3" t="s">
        <v>2272</v>
      </c>
      <c r="G924" s="11" t="s">
        <v>6069</v>
      </c>
      <c r="H924" s="11" t="s">
        <v>6070</v>
      </c>
      <c r="I924" s="21">
        <f>AVERAGE(30 +42/60, 34.5)</f>
        <v>32.6</v>
      </c>
      <c r="J924" s="21">
        <f>AVERAGE(49 + 36/60, 55)</f>
        <v>52.3</v>
      </c>
      <c r="K924" s="21">
        <v>106175</v>
      </c>
      <c r="L924" s="3">
        <v>2008</v>
      </c>
      <c r="M924" s="3">
        <v>2011</v>
      </c>
      <c r="N924" s="82" t="s">
        <v>2272</v>
      </c>
      <c r="O924" s="26" t="s">
        <v>66</v>
      </c>
      <c r="P924" s="3" t="s">
        <v>5181</v>
      </c>
      <c r="Q924" s="4" t="s">
        <v>6074</v>
      </c>
    </row>
    <row r="925" spans="1:17" ht="40" customHeight="1">
      <c r="A925" s="101">
        <v>257</v>
      </c>
      <c r="B925" s="37" t="s">
        <v>6078</v>
      </c>
      <c r="C925" s="26" t="s">
        <v>6076</v>
      </c>
      <c r="D925" s="11" t="s">
        <v>2393</v>
      </c>
      <c r="E925" s="3" t="s">
        <v>2417</v>
      </c>
      <c r="F925" s="3" t="s">
        <v>6964</v>
      </c>
      <c r="G925" s="3" t="s">
        <v>6966</v>
      </c>
      <c r="H925" s="3" t="s">
        <v>6079</v>
      </c>
      <c r="I925" s="21">
        <v>9.1499997999999998</v>
      </c>
      <c r="J925" s="21">
        <v>-6.483333</v>
      </c>
      <c r="K925" s="21" t="s">
        <v>2272</v>
      </c>
      <c r="L925" s="3">
        <v>1985</v>
      </c>
      <c r="M925" s="3">
        <v>1995</v>
      </c>
      <c r="N925" s="3">
        <v>16</v>
      </c>
      <c r="O925" s="26" t="s">
        <v>66</v>
      </c>
      <c r="P925" s="198" t="s">
        <v>5181</v>
      </c>
      <c r="Q925" s="3" t="s">
        <v>6968</v>
      </c>
    </row>
    <row r="926" spans="1:17" ht="43.5" customHeight="1">
      <c r="A926" s="101">
        <v>257</v>
      </c>
      <c r="B926" s="37" t="s">
        <v>6078</v>
      </c>
      <c r="C926" s="26" t="s">
        <v>6077</v>
      </c>
      <c r="D926" s="11" t="s">
        <v>2393</v>
      </c>
      <c r="E926" s="198" t="s">
        <v>2417</v>
      </c>
      <c r="F926" s="3" t="s">
        <v>6965</v>
      </c>
      <c r="G926" s="3" t="s">
        <v>6967</v>
      </c>
      <c r="H926" s="3" t="s">
        <v>6079</v>
      </c>
      <c r="I926" s="21">
        <v>9.3744738000000005</v>
      </c>
      <c r="J926" s="21">
        <v>-5.6494460000000002</v>
      </c>
      <c r="K926" s="21" t="s">
        <v>2272</v>
      </c>
      <c r="L926" s="198">
        <v>1985</v>
      </c>
      <c r="M926" s="3">
        <v>1995</v>
      </c>
      <c r="N926" s="3">
        <v>73</v>
      </c>
      <c r="O926" s="26" t="s">
        <v>66</v>
      </c>
      <c r="P926" s="198" t="s">
        <v>5181</v>
      </c>
      <c r="Q926" s="198" t="s">
        <v>6968</v>
      </c>
    </row>
    <row r="927" spans="1:17" ht="45.5" customHeight="1">
      <c r="A927" s="187">
        <v>258</v>
      </c>
      <c r="B927" s="38" t="s">
        <v>6099</v>
      </c>
      <c r="C927" s="4" t="s">
        <v>6141</v>
      </c>
      <c r="D927" s="4" t="s">
        <v>2393</v>
      </c>
      <c r="E927" s="4" t="s">
        <v>2417</v>
      </c>
      <c r="F927" s="4" t="s">
        <v>6100</v>
      </c>
      <c r="G927" s="4" t="s">
        <v>4127</v>
      </c>
      <c r="H927" s="4" t="s">
        <v>4107</v>
      </c>
      <c r="I927" s="77">
        <v>38.837499999999999</v>
      </c>
      <c r="J927" s="70">
        <v>-120.89579999999999</v>
      </c>
      <c r="K927" s="71" t="s">
        <v>2272</v>
      </c>
      <c r="L927" s="4">
        <v>2007</v>
      </c>
      <c r="M927" s="4">
        <v>2015</v>
      </c>
      <c r="N927" s="71" t="s">
        <v>2272</v>
      </c>
      <c r="O927" s="4" t="s">
        <v>66</v>
      </c>
      <c r="P927" s="3" t="s">
        <v>6180</v>
      </c>
      <c r="Q927" s="4"/>
    </row>
    <row r="928" spans="1:17" ht="45.5" customHeight="1">
      <c r="A928" s="187">
        <v>258</v>
      </c>
      <c r="B928" s="38" t="s">
        <v>6099</v>
      </c>
      <c r="C928" s="4" t="s">
        <v>6142</v>
      </c>
      <c r="D928" s="4" t="s">
        <v>2393</v>
      </c>
      <c r="E928" s="4" t="s">
        <v>2417</v>
      </c>
      <c r="F928" s="4" t="s">
        <v>6101</v>
      </c>
      <c r="G928" s="4" t="s">
        <v>4127</v>
      </c>
      <c r="H928" s="4" t="s">
        <v>4107</v>
      </c>
      <c r="I928" s="77">
        <v>34.959200000000003</v>
      </c>
      <c r="J928" s="70">
        <v>-116.699</v>
      </c>
      <c r="K928" s="71">
        <v>146347</v>
      </c>
      <c r="L928" s="4">
        <v>2003</v>
      </c>
      <c r="M928" s="4">
        <v>2018</v>
      </c>
      <c r="N928" s="71">
        <f>23860000/K928</f>
        <v>163.03716509392061</v>
      </c>
      <c r="O928" s="4" t="s">
        <v>66</v>
      </c>
      <c r="P928" s="3" t="s">
        <v>6180</v>
      </c>
      <c r="Q928" s="4" t="s">
        <v>6102</v>
      </c>
    </row>
    <row r="929" spans="1:17" s="197" customFormat="1" ht="45.5" customHeight="1">
      <c r="A929" s="187">
        <v>258</v>
      </c>
      <c r="B929" s="38" t="s">
        <v>6099</v>
      </c>
      <c r="C929" s="4" t="s">
        <v>6629</v>
      </c>
      <c r="D929" s="4" t="s">
        <v>2393</v>
      </c>
      <c r="E929" s="11" t="s">
        <v>4842</v>
      </c>
      <c r="F929" s="4" t="s">
        <v>6632</v>
      </c>
      <c r="G929" s="4" t="s">
        <v>4127</v>
      </c>
      <c r="H929" s="4" t="s">
        <v>4107</v>
      </c>
      <c r="I929" s="77">
        <v>36.490676200000003</v>
      </c>
      <c r="J929" s="70">
        <v>-118.8255468</v>
      </c>
      <c r="K929" s="71">
        <f>3500</f>
        <v>3500</v>
      </c>
      <c r="L929" s="4">
        <v>1960</v>
      </c>
      <c r="M929" s="4">
        <v>2017</v>
      </c>
      <c r="N929" s="71" t="s">
        <v>2272</v>
      </c>
      <c r="O929" s="4" t="s">
        <v>66</v>
      </c>
      <c r="P929" s="198" t="s">
        <v>5181</v>
      </c>
      <c r="Q929" s="4"/>
    </row>
    <row r="930" spans="1:17" s="197" customFormat="1" ht="45.5" customHeight="1">
      <c r="A930" s="187">
        <v>258</v>
      </c>
      <c r="B930" s="38" t="s">
        <v>6099</v>
      </c>
      <c r="C930" s="4" t="s">
        <v>6630</v>
      </c>
      <c r="D930" s="4" t="s">
        <v>2393</v>
      </c>
      <c r="E930" s="11" t="s">
        <v>4842</v>
      </c>
      <c r="F930" s="4" t="s">
        <v>6633</v>
      </c>
      <c r="G930" s="4" t="s">
        <v>4127</v>
      </c>
      <c r="H930" s="4" t="s">
        <v>4107</v>
      </c>
      <c r="I930" s="77">
        <v>37.853309000000003</v>
      </c>
      <c r="J930" s="70">
        <v>-119.55110999999999</v>
      </c>
      <c r="K930" s="71">
        <v>3027</v>
      </c>
      <c r="L930" s="4">
        <v>1960</v>
      </c>
      <c r="M930" s="4">
        <v>2017</v>
      </c>
      <c r="N930" s="71" t="s">
        <v>2272</v>
      </c>
      <c r="O930" s="4" t="s">
        <v>66</v>
      </c>
      <c r="P930" s="198" t="s">
        <v>5181</v>
      </c>
      <c r="Q930" s="4"/>
    </row>
    <row r="931" spans="1:17" s="197" customFormat="1" ht="45.5" customHeight="1">
      <c r="A931" s="187">
        <v>258</v>
      </c>
      <c r="B931" s="38" t="s">
        <v>6099</v>
      </c>
      <c r="C931" s="4" t="s">
        <v>6631</v>
      </c>
      <c r="D931" s="4" t="s">
        <v>2393</v>
      </c>
      <c r="E931" s="11" t="s">
        <v>4842</v>
      </c>
      <c r="F931" s="4" t="s">
        <v>6634</v>
      </c>
      <c r="G931" s="4" t="s">
        <v>4127</v>
      </c>
      <c r="H931" s="4" t="s">
        <v>4107</v>
      </c>
      <c r="I931" s="77">
        <v>40.496962500000002</v>
      </c>
      <c r="J931" s="70">
        <v>-121.4102163</v>
      </c>
      <c r="K931" s="71">
        <v>430.8</v>
      </c>
      <c r="L931" s="4">
        <v>1960</v>
      </c>
      <c r="M931" s="4">
        <v>2017</v>
      </c>
      <c r="N931" s="71" t="s">
        <v>2272</v>
      </c>
      <c r="O931" s="4" t="s">
        <v>66</v>
      </c>
      <c r="P931" s="198" t="s">
        <v>5181</v>
      </c>
      <c r="Q931" s="4"/>
    </row>
    <row r="932" spans="1:17" ht="45.5" customHeight="1">
      <c r="A932" s="187">
        <v>259</v>
      </c>
      <c r="B932" s="38" t="s">
        <v>6103</v>
      </c>
      <c r="C932" s="4" t="s">
        <v>6143</v>
      </c>
      <c r="D932" s="4" t="s">
        <v>2393</v>
      </c>
      <c r="E932" s="11" t="s">
        <v>4842</v>
      </c>
      <c r="F932" s="4" t="s">
        <v>2272</v>
      </c>
      <c r="G932" s="4" t="s">
        <v>6104</v>
      </c>
      <c r="H932" s="4" t="s">
        <v>4046</v>
      </c>
      <c r="I932" s="70">
        <v>37.264158100000003</v>
      </c>
      <c r="J932" s="70">
        <v>22.496772700000001</v>
      </c>
      <c r="K932" s="71">
        <v>21549</v>
      </c>
      <c r="L932" s="4">
        <v>2000</v>
      </c>
      <c r="M932" s="4">
        <v>2007</v>
      </c>
      <c r="N932" s="71">
        <f t="shared" ref="N932" si="12">638942/21549</f>
        <v>29.650656642999675</v>
      </c>
      <c r="O932" s="4" t="s">
        <v>66</v>
      </c>
      <c r="P932" s="3" t="s">
        <v>6180</v>
      </c>
      <c r="Q932" s="4"/>
    </row>
    <row r="933" spans="1:17" ht="45.5" customHeight="1">
      <c r="A933" s="187">
        <v>260</v>
      </c>
      <c r="B933" s="38" t="s">
        <v>6655</v>
      </c>
      <c r="C933" s="4" t="s">
        <v>6144</v>
      </c>
      <c r="D933" s="4" t="s">
        <v>2393</v>
      </c>
      <c r="E933" s="11" t="s">
        <v>4842</v>
      </c>
      <c r="F933" s="4" t="s">
        <v>2272</v>
      </c>
      <c r="G933" s="4" t="s">
        <v>2272</v>
      </c>
      <c r="H933" s="4" t="s">
        <v>6105</v>
      </c>
      <c r="I933" s="70">
        <v>39.811516699999999</v>
      </c>
      <c r="J933" s="70">
        <v>-7.4631071000000002</v>
      </c>
      <c r="K933" s="71">
        <v>92212</v>
      </c>
      <c r="L933" s="4">
        <v>2003</v>
      </c>
      <c r="M933" s="4">
        <v>2005</v>
      </c>
      <c r="N933" s="71" t="s">
        <v>2272</v>
      </c>
      <c r="O933" s="4" t="s">
        <v>66</v>
      </c>
      <c r="P933" s="3" t="s">
        <v>6180</v>
      </c>
      <c r="Q933" s="4" t="s">
        <v>6656</v>
      </c>
    </row>
    <row r="934" spans="1:17" ht="45.5" customHeight="1">
      <c r="A934" s="187">
        <v>260</v>
      </c>
      <c r="B934" s="38" t="s">
        <v>6655</v>
      </c>
      <c r="C934" s="4" t="s">
        <v>6145</v>
      </c>
      <c r="D934" s="4" t="s">
        <v>2393</v>
      </c>
      <c r="E934" s="11" t="s">
        <v>4842</v>
      </c>
      <c r="F934" s="4" t="s">
        <v>2272</v>
      </c>
      <c r="G934" s="4" t="s">
        <v>6106</v>
      </c>
      <c r="H934" s="4" t="s">
        <v>4309</v>
      </c>
      <c r="I934" s="70">
        <v>42.799928600000001</v>
      </c>
      <c r="J934" s="70">
        <v>-8.0177344000000002</v>
      </c>
      <c r="K934" s="71">
        <v>29574</v>
      </c>
      <c r="L934" s="4">
        <v>2006</v>
      </c>
      <c r="M934" s="4">
        <v>2006</v>
      </c>
      <c r="N934" s="71">
        <v>91</v>
      </c>
      <c r="O934" s="4" t="s">
        <v>66</v>
      </c>
      <c r="P934" s="3" t="s">
        <v>6180</v>
      </c>
      <c r="Q934" s="4" t="s">
        <v>6107</v>
      </c>
    </row>
    <row r="935" spans="1:17" s="197" customFormat="1" ht="45.5" customHeight="1">
      <c r="A935" s="187">
        <v>260</v>
      </c>
      <c r="B935" s="38" t="s">
        <v>6655</v>
      </c>
      <c r="C935" s="4" t="s">
        <v>6146</v>
      </c>
      <c r="D935" s="4" t="s">
        <v>2393</v>
      </c>
      <c r="E935" s="11" t="s">
        <v>4842</v>
      </c>
      <c r="F935" s="4" t="s">
        <v>2272</v>
      </c>
      <c r="G935" s="4" t="s">
        <v>2272</v>
      </c>
      <c r="H935" s="4" t="s">
        <v>4309</v>
      </c>
      <c r="I935" s="70">
        <v>40.208500000000001</v>
      </c>
      <c r="J935" s="70">
        <v>-3.7130000000000001</v>
      </c>
      <c r="K935" s="71">
        <v>505990</v>
      </c>
      <c r="L935" s="4">
        <v>2006</v>
      </c>
      <c r="M935" s="4">
        <v>2006</v>
      </c>
      <c r="N935" s="71" t="s">
        <v>2272</v>
      </c>
      <c r="O935" s="4" t="s">
        <v>66</v>
      </c>
      <c r="P935" s="198" t="s">
        <v>6180</v>
      </c>
      <c r="Q935" s="4"/>
    </row>
    <row r="936" spans="1:17" ht="45.5" customHeight="1">
      <c r="A936" s="187">
        <v>260</v>
      </c>
      <c r="B936" s="38" t="s">
        <v>6655</v>
      </c>
      <c r="C936" s="4" t="s">
        <v>6665</v>
      </c>
      <c r="D936" s="4" t="s">
        <v>2393</v>
      </c>
      <c r="E936" s="11" t="s">
        <v>4842</v>
      </c>
      <c r="F936" s="4" t="s">
        <v>2272</v>
      </c>
      <c r="G936" s="4" t="s">
        <v>6104</v>
      </c>
      <c r="H936" s="4" t="s">
        <v>4046</v>
      </c>
      <c r="I936" s="70">
        <v>37.264158100000003</v>
      </c>
      <c r="J936" s="70">
        <v>22.496772700000001</v>
      </c>
      <c r="K936" s="71">
        <v>21549</v>
      </c>
      <c r="L936" s="4">
        <v>2007</v>
      </c>
      <c r="M936" s="4">
        <v>2007</v>
      </c>
      <c r="N936" s="71">
        <f t="shared" ref="N936" si="13">638942/21549</f>
        <v>29.650656642999675</v>
      </c>
      <c r="O936" s="4" t="s">
        <v>66</v>
      </c>
      <c r="P936" s="3" t="s">
        <v>6180</v>
      </c>
      <c r="Q936" s="4" t="s">
        <v>6669</v>
      </c>
    </row>
    <row r="937" spans="1:17" ht="45.5" customHeight="1">
      <c r="A937" s="187">
        <v>261</v>
      </c>
      <c r="B937" s="38" t="s">
        <v>6108</v>
      </c>
      <c r="C937" s="4" t="s">
        <v>6147</v>
      </c>
      <c r="D937" s="4" t="s">
        <v>2393</v>
      </c>
      <c r="E937" s="11" t="s">
        <v>4842</v>
      </c>
      <c r="F937" s="4" t="s">
        <v>2272</v>
      </c>
      <c r="G937" s="4" t="s">
        <v>6671</v>
      </c>
      <c r="H937" s="4" t="s">
        <v>6109</v>
      </c>
      <c r="I937" s="70">
        <f>43+24/60</f>
        <v>43.4</v>
      </c>
      <c r="J937" s="70">
        <f>5+22/60</f>
        <v>5.3666666666666663</v>
      </c>
      <c r="K937" s="71">
        <v>1680</v>
      </c>
      <c r="L937" s="4">
        <v>1990</v>
      </c>
      <c r="M937" s="4">
        <v>2007</v>
      </c>
      <c r="N937" s="71">
        <v>420</v>
      </c>
      <c r="O937" s="4" t="s">
        <v>66</v>
      </c>
      <c r="P937" s="3" t="s">
        <v>6180</v>
      </c>
      <c r="Q937" s="4" t="s">
        <v>6110</v>
      </c>
    </row>
    <row r="938" spans="1:17" ht="45.5" customHeight="1">
      <c r="A938" s="187">
        <v>261</v>
      </c>
      <c r="B938" s="38" t="s">
        <v>6108</v>
      </c>
      <c r="C938" s="4" t="s">
        <v>6148</v>
      </c>
      <c r="D938" s="4" t="s">
        <v>2393</v>
      </c>
      <c r="E938" s="11" t="s">
        <v>4842</v>
      </c>
      <c r="F938" s="4" t="s">
        <v>2272</v>
      </c>
      <c r="G938" s="4" t="s">
        <v>6671</v>
      </c>
      <c r="H938" s="4" t="s">
        <v>6109</v>
      </c>
      <c r="I938" s="70">
        <f t="shared" ref="I938:I942" si="14">43+24/60</f>
        <v>43.4</v>
      </c>
      <c r="J938" s="70">
        <f t="shared" ref="J938:J942" si="15">5+22/60</f>
        <v>5.3666666666666663</v>
      </c>
      <c r="K938" s="71">
        <v>1680</v>
      </c>
      <c r="L938" s="4">
        <v>1990</v>
      </c>
      <c r="M938" s="4">
        <v>2007</v>
      </c>
      <c r="N938" s="71">
        <v>420</v>
      </c>
      <c r="O938" s="4" t="s">
        <v>66</v>
      </c>
      <c r="P938" s="3" t="s">
        <v>6180</v>
      </c>
      <c r="Q938" s="4" t="s">
        <v>6111</v>
      </c>
    </row>
    <row r="939" spans="1:17" ht="45.5" customHeight="1">
      <c r="A939" s="187">
        <v>261</v>
      </c>
      <c r="B939" s="38" t="s">
        <v>6108</v>
      </c>
      <c r="C939" s="4" t="s">
        <v>6149</v>
      </c>
      <c r="D939" s="4" t="s">
        <v>2393</v>
      </c>
      <c r="E939" s="11" t="s">
        <v>4842</v>
      </c>
      <c r="F939" s="4" t="s">
        <v>2272</v>
      </c>
      <c r="G939" s="4" t="s">
        <v>6671</v>
      </c>
      <c r="H939" s="4" t="s">
        <v>6109</v>
      </c>
      <c r="I939" s="70">
        <f t="shared" si="14"/>
        <v>43.4</v>
      </c>
      <c r="J939" s="70">
        <f t="shared" si="15"/>
        <v>5.3666666666666663</v>
      </c>
      <c r="K939" s="71">
        <v>1680</v>
      </c>
      <c r="L939" s="4">
        <v>1990</v>
      </c>
      <c r="M939" s="4">
        <v>2007</v>
      </c>
      <c r="N939" s="71">
        <v>420</v>
      </c>
      <c r="O939" s="4" t="s">
        <v>66</v>
      </c>
      <c r="P939" s="3" t="s">
        <v>6180</v>
      </c>
      <c r="Q939" s="4" t="s">
        <v>6112</v>
      </c>
    </row>
    <row r="940" spans="1:17" ht="45.5" customHeight="1">
      <c r="A940" s="187">
        <v>261</v>
      </c>
      <c r="B940" s="38" t="s">
        <v>6108</v>
      </c>
      <c r="C940" s="4" t="s">
        <v>6150</v>
      </c>
      <c r="D940" s="4" t="s">
        <v>2393</v>
      </c>
      <c r="E940" s="11" t="s">
        <v>4842</v>
      </c>
      <c r="F940" s="4" t="s">
        <v>2272</v>
      </c>
      <c r="G940" s="4" t="s">
        <v>6671</v>
      </c>
      <c r="H940" s="4" t="s">
        <v>6109</v>
      </c>
      <c r="I940" s="70">
        <f t="shared" si="14"/>
        <v>43.4</v>
      </c>
      <c r="J940" s="70">
        <f t="shared" si="15"/>
        <v>5.3666666666666663</v>
      </c>
      <c r="K940" s="71">
        <v>1680</v>
      </c>
      <c r="L940" s="4">
        <v>1990</v>
      </c>
      <c r="M940" s="4">
        <v>2007</v>
      </c>
      <c r="N940" s="71">
        <v>420</v>
      </c>
      <c r="O940" s="4" t="s">
        <v>66</v>
      </c>
      <c r="P940" s="3" t="s">
        <v>6180</v>
      </c>
      <c r="Q940" s="4" t="s">
        <v>6113</v>
      </c>
    </row>
    <row r="941" spans="1:17" ht="45.5" customHeight="1">
      <c r="A941" s="187">
        <v>261</v>
      </c>
      <c r="B941" s="38" t="s">
        <v>6114</v>
      </c>
      <c r="C941" s="4" t="s">
        <v>6151</v>
      </c>
      <c r="D941" s="4" t="s">
        <v>2393</v>
      </c>
      <c r="E941" s="11" t="s">
        <v>4842</v>
      </c>
      <c r="F941" s="4" t="s">
        <v>2272</v>
      </c>
      <c r="G941" s="4" t="s">
        <v>6671</v>
      </c>
      <c r="H941" s="4" t="s">
        <v>6109</v>
      </c>
      <c r="I941" s="70">
        <f t="shared" si="14"/>
        <v>43.4</v>
      </c>
      <c r="J941" s="70">
        <f t="shared" si="15"/>
        <v>5.3666666666666663</v>
      </c>
      <c r="K941" s="71">
        <v>1680</v>
      </c>
      <c r="L941" s="4">
        <v>1990</v>
      </c>
      <c r="M941" s="4">
        <v>2007</v>
      </c>
      <c r="N941" s="71">
        <v>420</v>
      </c>
      <c r="O941" s="4" t="s">
        <v>66</v>
      </c>
      <c r="P941" s="3" t="s">
        <v>6180</v>
      </c>
      <c r="Q941" s="4" t="s">
        <v>6115</v>
      </c>
    </row>
    <row r="942" spans="1:17" ht="45.5" customHeight="1">
      <c r="A942" s="187">
        <v>261</v>
      </c>
      <c r="B942" s="38" t="s">
        <v>6108</v>
      </c>
      <c r="C942" s="4" t="s">
        <v>6152</v>
      </c>
      <c r="D942" s="4" t="s">
        <v>2393</v>
      </c>
      <c r="E942" s="11" t="s">
        <v>4842</v>
      </c>
      <c r="F942" s="4" t="s">
        <v>2272</v>
      </c>
      <c r="G942" s="4" t="s">
        <v>6671</v>
      </c>
      <c r="H942" s="4" t="s">
        <v>6109</v>
      </c>
      <c r="I942" s="70">
        <f t="shared" si="14"/>
        <v>43.4</v>
      </c>
      <c r="J942" s="70">
        <f t="shared" si="15"/>
        <v>5.3666666666666663</v>
      </c>
      <c r="K942" s="71">
        <v>1680</v>
      </c>
      <c r="L942" s="4">
        <v>1990</v>
      </c>
      <c r="M942" s="4">
        <v>2007</v>
      </c>
      <c r="N942" s="71">
        <v>420</v>
      </c>
      <c r="O942" s="4" t="s">
        <v>66</v>
      </c>
      <c r="P942" s="3" t="s">
        <v>6180</v>
      </c>
      <c r="Q942" s="4" t="s">
        <v>6116</v>
      </c>
    </row>
    <row r="943" spans="1:17" ht="45.5" customHeight="1">
      <c r="A943" s="187">
        <v>262</v>
      </c>
      <c r="B943" s="38" t="s">
        <v>6117</v>
      </c>
      <c r="C943" s="4" t="s">
        <v>6153</v>
      </c>
      <c r="D943" s="4" t="s">
        <v>2393</v>
      </c>
      <c r="E943" s="4" t="s">
        <v>2394</v>
      </c>
      <c r="F943" s="4" t="s">
        <v>6118</v>
      </c>
      <c r="G943" s="4" t="s">
        <v>6119</v>
      </c>
      <c r="H943" s="4" t="s">
        <v>4937</v>
      </c>
      <c r="I943" s="70">
        <v>46.273333333333298</v>
      </c>
      <c r="J943" s="70">
        <v>7.8220000000000001</v>
      </c>
      <c r="K943" s="71">
        <v>257</v>
      </c>
      <c r="L943" s="4">
        <v>2005</v>
      </c>
      <c r="M943" s="4">
        <v>2009</v>
      </c>
      <c r="N943" s="71" t="s">
        <v>2272</v>
      </c>
      <c r="O943" s="4" t="s">
        <v>66</v>
      </c>
      <c r="P943" s="3" t="s">
        <v>6180</v>
      </c>
      <c r="Q943" s="4"/>
    </row>
    <row r="944" spans="1:17" ht="45.5" customHeight="1">
      <c r="A944" s="187">
        <v>263</v>
      </c>
      <c r="B944" s="38" t="s">
        <v>6120</v>
      </c>
      <c r="C944" s="4" t="s">
        <v>6154</v>
      </c>
      <c r="D944" s="4" t="s">
        <v>2393</v>
      </c>
      <c r="E944" s="11" t="s">
        <v>4842</v>
      </c>
      <c r="F944" s="4" t="s">
        <v>6121</v>
      </c>
      <c r="G944" s="4" t="s">
        <v>6106</v>
      </c>
      <c r="H944" s="4" t="s">
        <v>4309</v>
      </c>
      <c r="I944" s="70">
        <v>43.126083700000002</v>
      </c>
      <c r="J944" s="70">
        <v>-7.0688597</v>
      </c>
      <c r="K944" s="71">
        <f>139153/0.856/100</f>
        <v>1625.6191588785048</v>
      </c>
      <c r="L944" s="4">
        <v>1991</v>
      </c>
      <c r="M944" s="4">
        <v>2008</v>
      </c>
      <c r="N944" s="71" t="s">
        <v>2272</v>
      </c>
      <c r="O944" s="4" t="s">
        <v>66</v>
      </c>
      <c r="P944" s="3" t="s">
        <v>6180</v>
      </c>
      <c r="Q944" s="4"/>
    </row>
    <row r="945" spans="1:17" ht="45.5" customHeight="1">
      <c r="A945" s="187">
        <v>264</v>
      </c>
      <c r="B945" s="38" t="s">
        <v>6122</v>
      </c>
      <c r="C945" s="4" t="s">
        <v>6155</v>
      </c>
      <c r="D945" s="4" t="s">
        <v>2393</v>
      </c>
      <c r="E945" s="11" t="s">
        <v>2417</v>
      </c>
      <c r="F945" s="4" t="s">
        <v>2272</v>
      </c>
      <c r="G945" s="4" t="s">
        <v>6106</v>
      </c>
      <c r="H945" s="4" t="s">
        <v>4309</v>
      </c>
      <c r="I945" s="70">
        <v>42.799928600000001</v>
      </c>
      <c r="J945" s="70">
        <v>-8.0177344000000002</v>
      </c>
      <c r="K945" s="71">
        <v>29574</v>
      </c>
      <c r="L945" s="4">
        <v>2006</v>
      </c>
      <c r="M945" s="4">
        <v>2016</v>
      </c>
      <c r="N945" s="71">
        <v>92</v>
      </c>
      <c r="O945" s="4" t="s">
        <v>66</v>
      </c>
      <c r="P945" s="3" t="s">
        <v>6180</v>
      </c>
      <c r="Q945" s="4"/>
    </row>
    <row r="946" spans="1:17" ht="45.5" customHeight="1">
      <c r="A946" s="187">
        <v>265</v>
      </c>
      <c r="B946" s="38" t="s">
        <v>6123</v>
      </c>
      <c r="C946" s="4" t="s">
        <v>6156</v>
      </c>
      <c r="D946" s="4" t="s">
        <v>2393</v>
      </c>
      <c r="E946" s="4" t="s">
        <v>2417</v>
      </c>
      <c r="F946" s="4" t="s">
        <v>2272</v>
      </c>
      <c r="G946" s="4" t="s">
        <v>4936</v>
      </c>
      <c r="H946" s="4" t="s">
        <v>4937</v>
      </c>
      <c r="I946" s="70">
        <v>40.201500000000003</v>
      </c>
      <c r="J946" s="70">
        <v>9.0214999999999996</v>
      </c>
      <c r="K946" s="71">
        <v>24100</v>
      </c>
      <c r="L946" s="4">
        <v>1990</v>
      </c>
      <c r="M946" s="4">
        <v>2015</v>
      </c>
      <c r="N946" s="71">
        <f>1650000/K946</f>
        <v>68.46473029045643</v>
      </c>
      <c r="O946" s="4" t="s">
        <v>66</v>
      </c>
      <c r="P946" s="3" t="s">
        <v>6180</v>
      </c>
      <c r="Q946" s="4"/>
    </row>
    <row r="947" spans="1:17" ht="45.5" customHeight="1">
      <c r="A947" s="187">
        <v>265</v>
      </c>
      <c r="B947" s="38" t="s">
        <v>6123</v>
      </c>
      <c r="C947" s="4" t="s">
        <v>6157</v>
      </c>
      <c r="D947" s="4" t="s">
        <v>2393</v>
      </c>
      <c r="E947" s="4" t="s">
        <v>2417</v>
      </c>
      <c r="F947" s="4" t="s">
        <v>2272</v>
      </c>
      <c r="G947" s="4" t="s">
        <v>6124</v>
      </c>
      <c r="H947" s="4" t="s">
        <v>6109</v>
      </c>
      <c r="I947" s="70">
        <v>42.066000000000003</v>
      </c>
      <c r="J947" s="70">
        <v>9.0214999999999996</v>
      </c>
      <c r="K947" s="71">
        <v>8700</v>
      </c>
      <c r="L947" s="4">
        <v>1990</v>
      </c>
      <c r="M947" s="4">
        <v>2015</v>
      </c>
      <c r="N947" s="71">
        <f>330000/K947</f>
        <v>37.931034482758619</v>
      </c>
      <c r="O947" s="4" t="s">
        <v>66</v>
      </c>
      <c r="P947" s="3" t="s">
        <v>6180</v>
      </c>
      <c r="Q947" s="4"/>
    </row>
    <row r="948" spans="1:17" ht="45.5" customHeight="1">
      <c r="A948" s="187">
        <v>265</v>
      </c>
      <c r="B948" s="38" t="s">
        <v>6123</v>
      </c>
      <c r="C948" s="4" t="s">
        <v>6158</v>
      </c>
      <c r="D948" s="4" t="s">
        <v>2393</v>
      </c>
      <c r="E948" s="4" t="s">
        <v>2417</v>
      </c>
      <c r="F948" s="4" t="s">
        <v>2272</v>
      </c>
      <c r="G948" s="4" t="s">
        <v>6125</v>
      </c>
      <c r="H948" s="4" t="s">
        <v>4309</v>
      </c>
      <c r="I948" s="70">
        <v>41.985333333333301</v>
      </c>
      <c r="J948" s="70">
        <v>1.8681666666666701</v>
      </c>
      <c r="K948" s="71">
        <v>32100</v>
      </c>
      <c r="L948" s="4">
        <v>1990</v>
      </c>
      <c r="M948" s="4">
        <v>2015</v>
      </c>
      <c r="N948" s="71">
        <f>7500000/K948</f>
        <v>233.64485981308411</v>
      </c>
      <c r="O948" s="4" t="s">
        <v>66</v>
      </c>
      <c r="P948" s="3" t="s">
        <v>6180</v>
      </c>
      <c r="Q948" s="4"/>
    </row>
    <row r="949" spans="1:17" s="197" customFormat="1" ht="45.5" customHeight="1">
      <c r="A949" s="207">
        <v>266</v>
      </c>
      <c r="B949" s="208" t="s">
        <v>6789</v>
      </c>
      <c r="C949" s="19" t="s">
        <v>6159</v>
      </c>
      <c r="D949" s="4" t="s">
        <v>2393</v>
      </c>
      <c r="E949" s="4" t="s">
        <v>6791</v>
      </c>
      <c r="F949" s="4" t="s">
        <v>2272</v>
      </c>
      <c r="G949" s="19" t="s">
        <v>6790</v>
      </c>
      <c r="H949" s="19" t="s">
        <v>6105</v>
      </c>
      <c r="I949" s="70">
        <f>41+53/60</f>
        <v>41.883333333333333</v>
      </c>
      <c r="J949" s="70">
        <f>-8-33/60</f>
        <v>-8.5500000000000007</v>
      </c>
      <c r="K949" s="77">
        <f>3697/100</f>
        <v>36.97</v>
      </c>
      <c r="L949" s="19">
        <v>1980</v>
      </c>
      <c r="M949" s="19">
        <v>1996</v>
      </c>
      <c r="N949" s="71">
        <v>113</v>
      </c>
      <c r="O949" s="4" t="s">
        <v>66</v>
      </c>
      <c r="P949" s="11" t="s">
        <v>5181</v>
      </c>
      <c r="Q949" s="19"/>
    </row>
    <row r="950" spans="1:17" s="197" customFormat="1" ht="45.5" customHeight="1">
      <c r="A950" s="207">
        <v>266</v>
      </c>
      <c r="B950" s="208" t="s">
        <v>6789</v>
      </c>
      <c r="C950" s="19" t="s">
        <v>6160</v>
      </c>
      <c r="D950" s="4" t="s">
        <v>2393</v>
      </c>
      <c r="E950" s="4" t="s">
        <v>4842</v>
      </c>
      <c r="F950" s="4" t="s">
        <v>2272</v>
      </c>
      <c r="G950" s="19" t="s">
        <v>6790</v>
      </c>
      <c r="H950" s="19" t="s">
        <v>6105</v>
      </c>
      <c r="I950" s="70">
        <f>41+53/60</f>
        <v>41.883333333333333</v>
      </c>
      <c r="J950" s="70">
        <f>-8-33/60</f>
        <v>-8.5500000000000007</v>
      </c>
      <c r="K950" s="77">
        <v>2200</v>
      </c>
      <c r="L950" s="19">
        <v>1988</v>
      </c>
      <c r="M950" s="19">
        <v>1995</v>
      </c>
      <c r="N950" s="71">
        <v>113</v>
      </c>
      <c r="O950" s="4" t="s">
        <v>66</v>
      </c>
      <c r="P950" s="11" t="s">
        <v>5181</v>
      </c>
      <c r="Q950" s="19"/>
    </row>
    <row r="951" spans="1:17" ht="45.5" customHeight="1">
      <c r="A951" s="187">
        <v>267</v>
      </c>
      <c r="B951" s="38" t="s">
        <v>6126</v>
      </c>
      <c r="C951" s="4" t="s">
        <v>6161</v>
      </c>
      <c r="D951" s="4" t="s">
        <v>2393</v>
      </c>
      <c r="E951" s="4" t="s">
        <v>2417</v>
      </c>
      <c r="F951" s="4" t="s">
        <v>6127</v>
      </c>
      <c r="G951" s="4" t="s">
        <v>2272</v>
      </c>
      <c r="H951" s="4" t="s">
        <v>4309</v>
      </c>
      <c r="I951" s="77">
        <v>43.362000000000002</v>
      </c>
      <c r="J951" s="70">
        <v>-8.6858333333333295</v>
      </c>
      <c r="K951" s="71">
        <v>37.83</v>
      </c>
      <c r="L951" s="4">
        <v>2006</v>
      </c>
      <c r="M951" s="4">
        <v>2007</v>
      </c>
      <c r="N951" s="71" t="s">
        <v>2272</v>
      </c>
      <c r="O951" s="4" t="s">
        <v>66</v>
      </c>
      <c r="P951" s="198" t="s">
        <v>6180</v>
      </c>
      <c r="Q951" s="4"/>
    </row>
    <row r="952" spans="1:17" ht="45.5" customHeight="1">
      <c r="A952" s="187">
        <v>267</v>
      </c>
      <c r="B952" s="38" t="s">
        <v>6126</v>
      </c>
      <c r="C952" s="4" t="s">
        <v>6162</v>
      </c>
      <c r="D952" s="4" t="s">
        <v>2393</v>
      </c>
      <c r="E952" s="4" t="s">
        <v>2417</v>
      </c>
      <c r="F952" s="4" t="s">
        <v>6128</v>
      </c>
      <c r="G952" s="4" t="s">
        <v>2272</v>
      </c>
      <c r="H952" s="4" t="s">
        <v>4309</v>
      </c>
      <c r="I952" s="77">
        <v>43.009</v>
      </c>
      <c r="J952" s="70">
        <v>-7.9279999999999999</v>
      </c>
      <c r="K952" s="71">
        <v>329.8</v>
      </c>
      <c r="L952" s="4">
        <v>2006</v>
      </c>
      <c r="M952" s="4">
        <v>2007</v>
      </c>
      <c r="N952" s="71" t="s">
        <v>2272</v>
      </c>
      <c r="O952" s="4" t="s">
        <v>66</v>
      </c>
      <c r="P952" s="198" t="s">
        <v>6180</v>
      </c>
      <c r="Q952" s="4"/>
    </row>
    <row r="953" spans="1:17" ht="45.5" customHeight="1">
      <c r="A953" s="187">
        <v>267</v>
      </c>
      <c r="B953" s="38" t="s">
        <v>6126</v>
      </c>
      <c r="C953" s="4" t="s">
        <v>6163</v>
      </c>
      <c r="D953" s="4" t="s">
        <v>2393</v>
      </c>
      <c r="E953" s="4" t="s">
        <v>2417</v>
      </c>
      <c r="F953" s="4" t="s">
        <v>6129</v>
      </c>
      <c r="G953" s="4" t="s">
        <v>2272</v>
      </c>
      <c r="H953" s="4" t="s">
        <v>4309</v>
      </c>
      <c r="I953" s="77">
        <v>42.335000000000001</v>
      </c>
      <c r="J953" s="70">
        <v>-7.8639000000000001</v>
      </c>
      <c r="K953" s="71">
        <v>85.2</v>
      </c>
      <c r="L953" s="4">
        <v>2006</v>
      </c>
      <c r="M953" s="4">
        <v>2007</v>
      </c>
      <c r="N953" s="71" t="s">
        <v>2272</v>
      </c>
      <c r="O953" s="4" t="s">
        <v>66</v>
      </c>
      <c r="P953" s="198" t="s">
        <v>6180</v>
      </c>
      <c r="Q953" s="4"/>
    </row>
    <row r="954" spans="1:17" ht="45.5" customHeight="1">
      <c r="A954" s="187">
        <v>267</v>
      </c>
      <c r="B954" s="38" t="s">
        <v>6126</v>
      </c>
      <c r="C954" s="4" t="s">
        <v>6164</v>
      </c>
      <c r="D954" s="4" t="s">
        <v>2393</v>
      </c>
      <c r="E954" s="4" t="s">
        <v>2417</v>
      </c>
      <c r="F954" s="4" t="s">
        <v>6130</v>
      </c>
      <c r="G954" s="4" t="s">
        <v>2272</v>
      </c>
      <c r="H954" s="4" t="s">
        <v>4309</v>
      </c>
      <c r="I954" s="77">
        <v>42.429000000000002</v>
      </c>
      <c r="J954" s="70">
        <v>-8.6446000000000005</v>
      </c>
      <c r="K954" s="71">
        <v>118.2</v>
      </c>
      <c r="L954" s="4">
        <v>2006</v>
      </c>
      <c r="M954" s="4">
        <v>2007</v>
      </c>
      <c r="N954" s="71" t="s">
        <v>2272</v>
      </c>
      <c r="O954" s="4" t="s">
        <v>66</v>
      </c>
      <c r="P954" s="198" t="s">
        <v>6180</v>
      </c>
      <c r="Q954" s="4"/>
    </row>
    <row r="955" spans="1:17" ht="45.5" customHeight="1">
      <c r="A955" s="187">
        <v>267</v>
      </c>
      <c r="B955" s="38" t="s">
        <v>6126</v>
      </c>
      <c r="C955" s="4" t="s">
        <v>6165</v>
      </c>
      <c r="D955" s="4" t="s">
        <v>2393</v>
      </c>
      <c r="E955" s="4" t="s">
        <v>2417</v>
      </c>
      <c r="F955" s="4" t="s">
        <v>6131</v>
      </c>
      <c r="G955" s="4" t="s">
        <v>2272</v>
      </c>
      <c r="H955" s="4" t="s">
        <v>4309</v>
      </c>
      <c r="I955" s="77">
        <v>43.360999999999997</v>
      </c>
      <c r="J955" s="70">
        <v>-5.8593000000000002</v>
      </c>
      <c r="K955" s="71">
        <v>10604</v>
      </c>
      <c r="L955" s="4">
        <v>2006</v>
      </c>
      <c r="M955" s="4">
        <v>2007</v>
      </c>
      <c r="N955" s="71" t="s">
        <v>2272</v>
      </c>
      <c r="O955" s="4" t="s">
        <v>66</v>
      </c>
      <c r="P955" s="198" t="s">
        <v>6180</v>
      </c>
      <c r="Q955" s="4"/>
    </row>
    <row r="956" spans="1:17" ht="45.5" customHeight="1">
      <c r="A956" s="187">
        <v>267</v>
      </c>
      <c r="B956" s="38" t="s">
        <v>6126</v>
      </c>
      <c r="C956" s="4" t="s">
        <v>6166</v>
      </c>
      <c r="D956" s="4" t="s">
        <v>2393</v>
      </c>
      <c r="E956" s="4" t="s">
        <v>2417</v>
      </c>
      <c r="F956" s="4" t="s">
        <v>6132</v>
      </c>
      <c r="G956" s="4" t="s">
        <v>2272</v>
      </c>
      <c r="H956" s="4" t="s">
        <v>4309</v>
      </c>
      <c r="I956" s="77">
        <v>43.182000000000002</v>
      </c>
      <c r="J956" s="70">
        <v>-3.9878</v>
      </c>
      <c r="K956" s="71">
        <v>5321</v>
      </c>
      <c r="L956" s="4">
        <v>2006</v>
      </c>
      <c r="M956" s="4">
        <v>2007</v>
      </c>
      <c r="N956" s="71" t="s">
        <v>2272</v>
      </c>
      <c r="O956" s="4" t="s">
        <v>66</v>
      </c>
      <c r="P956" s="198" t="s">
        <v>6180</v>
      </c>
      <c r="Q956" s="4"/>
    </row>
    <row r="957" spans="1:17" ht="45.5" customHeight="1">
      <c r="A957" s="187">
        <v>267</v>
      </c>
      <c r="B957" s="38" t="s">
        <v>6126</v>
      </c>
      <c r="C957" s="4" t="s">
        <v>6167</v>
      </c>
      <c r="D957" s="4" t="s">
        <v>2393</v>
      </c>
      <c r="E957" s="4" t="s">
        <v>2417</v>
      </c>
      <c r="F957" s="4" t="s">
        <v>6133</v>
      </c>
      <c r="G957" s="4" t="s">
        <v>2272</v>
      </c>
      <c r="H957" s="4" t="s">
        <v>4309</v>
      </c>
      <c r="I957" s="77">
        <v>42.597999999999999</v>
      </c>
      <c r="J957" s="70">
        <v>-5.9451666666666698</v>
      </c>
      <c r="K957" s="71">
        <v>39.03</v>
      </c>
      <c r="L957" s="4">
        <v>2006</v>
      </c>
      <c r="M957" s="4">
        <v>2007</v>
      </c>
      <c r="N957" s="71" t="s">
        <v>2272</v>
      </c>
      <c r="O957" s="4" t="s">
        <v>66</v>
      </c>
      <c r="P957" s="198" t="s">
        <v>6180</v>
      </c>
      <c r="Q957" s="4"/>
    </row>
    <row r="958" spans="1:17" ht="45.5" customHeight="1">
      <c r="A958" s="187">
        <v>267</v>
      </c>
      <c r="B958" s="38" t="s">
        <v>6126</v>
      </c>
      <c r="C958" s="4" t="s">
        <v>6168</v>
      </c>
      <c r="D958" s="4" t="s">
        <v>2393</v>
      </c>
      <c r="E958" s="4" t="s">
        <v>2417</v>
      </c>
      <c r="F958" s="4" t="s">
        <v>6134</v>
      </c>
      <c r="G958" s="4" t="s">
        <v>2272</v>
      </c>
      <c r="H958" s="4" t="s">
        <v>4309</v>
      </c>
      <c r="I958" s="77">
        <v>41.503</v>
      </c>
      <c r="J958" s="70">
        <v>-5.7468000000000004</v>
      </c>
      <c r="K958" s="71">
        <v>149.30000000000001</v>
      </c>
      <c r="L958" s="4">
        <v>2006</v>
      </c>
      <c r="M958" s="4">
        <v>2007</v>
      </c>
      <c r="N958" s="71" t="s">
        <v>2272</v>
      </c>
      <c r="O958" s="4" t="s">
        <v>66</v>
      </c>
      <c r="P958" s="198" t="s">
        <v>6180</v>
      </c>
      <c r="Q958" s="4"/>
    </row>
    <row r="959" spans="1:17" ht="45.5" customHeight="1">
      <c r="A959" s="187">
        <v>267</v>
      </c>
      <c r="B959" s="38" t="s">
        <v>6126</v>
      </c>
      <c r="C959" s="4" t="s">
        <v>6169</v>
      </c>
      <c r="D959" s="4" t="s">
        <v>2393</v>
      </c>
      <c r="E959" s="4" t="s">
        <v>2417</v>
      </c>
      <c r="F959" s="4" t="s">
        <v>6135</v>
      </c>
      <c r="G959" s="4" t="s">
        <v>2272</v>
      </c>
      <c r="H959" s="4" t="s">
        <v>4309</v>
      </c>
      <c r="I959" s="77">
        <v>40.655999999999999</v>
      </c>
      <c r="J959" s="70">
        <v>-4.6811999999999996</v>
      </c>
      <c r="K959" s="71">
        <v>231.9</v>
      </c>
      <c r="L959" s="4">
        <v>2006</v>
      </c>
      <c r="M959" s="4">
        <v>2007</v>
      </c>
      <c r="N959" s="71" t="s">
        <v>2272</v>
      </c>
      <c r="O959" s="4" t="s">
        <v>66</v>
      </c>
      <c r="P959" s="198" t="s">
        <v>6180</v>
      </c>
      <c r="Q959" s="4"/>
    </row>
    <row r="960" spans="1:17" ht="45.5" customHeight="1">
      <c r="A960" s="187">
        <v>267</v>
      </c>
      <c r="B960" s="38" t="s">
        <v>6126</v>
      </c>
      <c r="C960" s="4" t="s">
        <v>6170</v>
      </c>
      <c r="D960" s="4" t="s">
        <v>2393</v>
      </c>
      <c r="E960" s="4" t="s">
        <v>2417</v>
      </c>
      <c r="F960" s="4" t="s">
        <v>6136</v>
      </c>
      <c r="G960" s="4" t="s">
        <v>2272</v>
      </c>
      <c r="H960" s="4" t="s">
        <v>4309</v>
      </c>
      <c r="I960" s="77">
        <v>42.695</v>
      </c>
      <c r="J960" s="70">
        <v>-1.6760999999999999</v>
      </c>
      <c r="K960" s="71">
        <v>10391</v>
      </c>
      <c r="L960" s="4">
        <v>2006</v>
      </c>
      <c r="M960" s="4">
        <v>2007</v>
      </c>
      <c r="N960" s="71" t="s">
        <v>2272</v>
      </c>
      <c r="O960" s="4" t="s">
        <v>66</v>
      </c>
      <c r="P960" s="198" t="s">
        <v>6180</v>
      </c>
      <c r="Q960" s="4"/>
    </row>
    <row r="961" spans="1:17" ht="45.5" customHeight="1">
      <c r="A961" s="187">
        <v>267</v>
      </c>
      <c r="B961" s="38" t="s">
        <v>6126</v>
      </c>
      <c r="C961" s="4" t="s">
        <v>6171</v>
      </c>
      <c r="D961" s="4" t="s">
        <v>2393</v>
      </c>
      <c r="E961" s="4" t="s">
        <v>2417</v>
      </c>
      <c r="F961" s="4" t="s">
        <v>6137</v>
      </c>
      <c r="G961" s="4" t="s">
        <v>2272</v>
      </c>
      <c r="H961" s="4" t="s">
        <v>4309</v>
      </c>
      <c r="I961" s="77">
        <v>42.131</v>
      </c>
      <c r="J961" s="70">
        <v>0.67966666666666697</v>
      </c>
      <c r="K961" s="71">
        <v>161</v>
      </c>
      <c r="L961" s="4">
        <v>2006</v>
      </c>
      <c r="M961" s="4">
        <v>2007</v>
      </c>
      <c r="N961" s="71" t="s">
        <v>2272</v>
      </c>
      <c r="O961" s="4" t="s">
        <v>66</v>
      </c>
      <c r="P961" s="198" t="s">
        <v>6180</v>
      </c>
      <c r="Q961" s="4"/>
    </row>
    <row r="962" spans="1:17" ht="45.5" customHeight="1">
      <c r="A962" s="187">
        <v>267</v>
      </c>
      <c r="B962" s="38" t="s">
        <v>6126</v>
      </c>
      <c r="C962" s="4" t="s">
        <v>6172</v>
      </c>
      <c r="D962" s="4" t="s">
        <v>2393</v>
      </c>
      <c r="E962" s="4" t="s">
        <v>2417</v>
      </c>
      <c r="F962" s="4" t="s">
        <v>6138</v>
      </c>
      <c r="G962" s="4" t="s">
        <v>2272</v>
      </c>
      <c r="H962" s="4" t="s">
        <v>4309</v>
      </c>
      <c r="I962" s="77">
        <v>39.475000000000001</v>
      </c>
      <c r="J962" s="70">
        <v>-6.6206666666666703</v>
      </c>
      <c r="K962" s="71">
        <v>1750</v>
      </c>
      <c r="L962" s="4">
        <v>2006</v>
      </c>
      <c r="M962" s="4">
        <v>2007</v>
      </c>
      <c r="N962" s="71" t="s">
        <v>2272</v>
      </c>
      <c r="O962" s="4" t="s">
        <v>66</v>
      </c>
      <c r="P962" s="198" t="s">
        <v>6180</v>
      </c>
      <c r="Q962" s="4"/>
    </row>
    <row r="963" spans="1:17" s="197" customFormat="1" ht="45.5" customHeight="1">
      <c r="A963" s="207">
        <v>268</v>
      </c>
      <c r="B963" s="208" t="s">
        <v>6796</v>
      </c>
      <c r="C963" s="19" t="s">
        <v>6173</v>
      </c>
      <c r="D963" s="4" t="s">
        <v>2393</v>
      </c>
      <c r="E963" s="4" t="s">
        <v>2395</v>
      </c>
      <c r="F963" s="19" t="s">
        <v>6798</v>
      </c>
      <c r="G963" s="4" t="s">
        <v>2272</v>
      </c>
      <c r="H963" s="19" t="s">
        <v>6797</v>
      </c>
      <c r="I963" s="77">
        <v>46.091164999999997</v>
      </c>
      <c r="J963" s="70">
        <v>15.9262975</v>
      </c>
      <c r="K963" s="77">
        <v>1224</v>
      </c>
      <c r="L963" s="19">
        <v>1991</v>
      </c>
      <c r="M963" s="19">
        <v>2011</v>
      </c>
      <c r="N963" s="71">
        <f>133000/K963</f>
        <v>108.66013071895425</v>
      </c>
      <c r="O963" s="4" t="s">
        <v>66</v>
      </c>
      <c r="P963" s="198" t="s">
        <v>5181</v>
      </c>
      <c r="Q963" s="19"/>
    </row>
    <row r="964" spans="1:17" ht="45.5" customHeight="1">
      <c r="A964" s="207">
        <v>269</v>
      </c>
      <c r="B964" s="208" t="s">
        <v>6799</v>
      </c>
      <c r="C964" s="19" t="s">
        <v>6174</v>
      </c>
      <c r="D964" s="19" t="s">
        <v>2393</v>
      </c>
      <c r="E964" s="11" t="s">
        <v>2631</v>
      </c>
      <c r="F964" s="19" t="s">
        <v>6800</v>
      </c>
      <c r="G964" s="4" t="s">
        <v>2272</v>
      </c>
      <c r="H964" s="19" t="s">
        <v>4046</v>
      </c>
      <c r="I964" s="21">
        <v>38.683346999999998</v>
      </c>
      <c r="J964" s="21">
        <v>22.023790300000002</v>
      </c>
      <c r="K964" s="77">
        <f>56000/100</f>
        <v>560</v>
      </c>
      <c r="L964" s="19">
        <v>2000</v>
      </c>
      <c r="M964" s="19">
        <v>2000</v>
      </c>
      <c r="N964" s="77">
        <v>8</v>
      </c>
      <c r="O964" s="4" t="s">
        <v>66</v>
      </c>
      <c r="P964" s="198" t="s">
        <v>5181</v>
      </c>
      <c r="Q964" s="19"/>
    </row>
    <row r="965" spans="1:17" s="197" customFormat="1" ht="45.5" customHeight="1">
      <c r="A965" s="207">
        <v>269</v>
      </c>
      <c r="B965" s="208" t="s">
        <v>6799</v>
      </c>
      <c r="C965" s="19" t="s">
        <v>6801</v>
      </c>
      <c r="D965" s="19" t="s">
        <v>2393</v>
      </c>
      <c r="E965" s="11" t="s">
        <v>2631</v>
      </c>
      <c r="F965" s="19" t="s">
        <v>6824</v>
      </c>
      <c r="G965" s="4" t="s">
        <v>2272</v>
      </c>
      <c r="H965" s="19" t="s">
        <v>4046</v>
      </c>
      <c r="I965" s="21">
        <v>35.25</v>
      </c>
      <c r="J965" s="21">
        <v>25.15</v>
      </c>
      <c r="K965" s="77">
        <f>45000/100</f>
        <v>450</v>
      </c>
      <c r="L965" s="19">
        <v>2000</v>
      </c>
      <c r="M965" s="19">
        <v>2000</v>
      </c>
      <c r="N965" s="77">
        <v>59</v>
      </c>
      <c r="O965" s="4" t="s">
        <v>66</v>
      </c>
      <c r="P965" s="198" t="s">
        <v>5181</v>
      </c>
      <c r="Q965" s="19"/>
    </row>
    <row r="966" spans="1:17" s="197" customFormat="1" ht="45.5" customHeight="1">
      <c r="A966" s="207">
        <v>269</v>
      </c>
      <c r="B966" s="208" t="s">
        <v>6799</v>
      </c>
      <c r="C966" s="19" t="s">
        <v>6802</v>
      </c>
      <c r="D966" s="19" t="s">
        <v>2393</v>
      </c>
      <c r="E966" s="11" t="s">
        <v>2631</v>
      </c>
      <c r="F966" s="19" t="s">
        <v>6825</v>
      </c>
      <c r="G966" s="4" t="s">
        <v>6826</v>
      </c>
      <c r="H966" s="19" t="s">
        <v>6109</v>
      </c>
      <c r="I966" s="21">
        <v>42.882364872224102</v>
      </c>
      <c r="J966" s="21">
        <v>2.59374381836796</v>
      </c>
      <c r="K966" s="77">
        <f>250000/100</f>
        <v>2500</v>
      </c>
      <c r="L966" s="19">
        <v>2000</v>
      </c>
      <c r="M966" s="19">
        <v>2000</v>
      </c>
      <c r="N966" s="77">
        <v>13</v>
      </c>
      <c r="O966" s="4" t="s">
        <v>66</v>
      </c>
      <c r="P966" s="198" t="s">
        <v>5181</v>
      </c>
      <c r="Q966" s="19"/>
    </row>
    <row r="967" spans="1:17" s="197" customFormat="1" ht="45.5" customHeight="1">
      <c r="A967" s="207">
        <v>269</v>
      </c>
      <c r="B967" s="208" t="s">
        <v>6799</v>
      </c>
      <c r="C967" s="19" t="s">
        <v>6803</v>
      </c>
      <c r="D967" s="19" t="s">
        <v>2393</v>
      </c>
      <c r="E967" s="11" t="s">
        <v>2631</v>
      </c>
      <c r="F967" s="19" t="s">
        <v>6827</v>
      </c>
      <c r="G967" s="4" t="s">
        <v>2272</v>
      </c>
      <c r="H967" s="4" t="s">
        <v>4937</v>
      </c>
      <c r="I967" s="21">
        <v>42.192011899999997</v>
      </c>
      <c r="J967" s="21">
        <v>13.728916699999999</v>
      </c>
      <c r="K967" s="77">
        <f>190000/100</f>
        <v>1900</v>
      </c>
      <c r="L967" s="19">
        <v>2000</v>
      </c>
      <c r="M967" s="19">
        <v>2000</v>
      </c>
      <c r="N967" s="77">
        <v>30</v>
      </c>
      <c r="O967" s="4" t="s">
        <v>66</v>
      </c>
      <c r="P967" s="198" t="s">
        <v>5181</v>
      </c>
      <c r="Q967" s="19"/>
    </row>
    <row r="968" spans="1:17" s="197" customFormat="1" ht="45.5" customHeight="1">
      <c r="A968" s="207">
        <v>269</v>
      </c>
      <c r="B968" s="208" t="s">
        <v>6799</v>
      </c>
      <c r="C968" s="19" t="s">
        <v>6804</v>
      </c>
      <c r="D968" s="19" t="s">
        <v>2393</v>
      </c>
      <c r="E968" s="11" t="s">
        <v>2631</v>
      </c>
      <c r="F968" s="19" t="s">
        <v>6828</v>
      </c>
      <c r="G968" s="4" t="s">
        <v>2272</v>
      </c>
      <c r="H968" s="4" t="s">
        <v>4937</v>
      </c>
      <c r="I968" s="21">
        <v>40.643076600000001</v>
      </c>
      <c r="J968" s="21">
        <v>15.9699878</v>
      </c>
      <c r="K968" s="77">
        <f>201000/100</f>
        <v>2010</v>
      </c>
      <c r="L968" s="19">
        <v>2000</v>
      </c>
      <c r="M968" s="19">
        <v>2000</v>
      </c>
      <c r="N968" s="77">
        <v>54</v>
      </c>
      <c r="O968" s="4" t="s">
        <v>66</v>
      </c>
      <c r="P968" s="198" t="s">
        <v>5181</v>
      </c>
      <c r="Q968" s="19"/>
    </row>
    <row r="969" spans="1:17" s="197" customFormat="1" ht="45.5" customHeight="1">
      <c r="A969" s="207">
        <v>269</v>
      </c>
      <c r="B969" s="208" t="s">
        <v>6799</v>
      </c>
      <c r="C969" s="19" t="s">
        <v>6805</v>
      </c>
      <c r="D969" s="19" t="s">
        <v>2393</v>
      </c>
      <c r="E969" s="11" t="s">
        <v>2631</v>
      </c>
      <c r="F969" s="19" t="s">
        <v>6829</v>
      </c>
      <c r="G969" s="4" t="s">
        <v>2272</v>
      </c>
      <c r="H969" s="19" t="s">
        <v>4309</v>
      </c>
      <c r="I969" s="21">
        <v>37.083300100000002</v>
      </c>
      <c r="J969" s="21">
        <v>-3.0666983999999999</v>
      </c>
      <c r="K969" s="77">
        <f>70000/100</f>
        <v>700</v>
      </c>
      <c r="L969" s="19">
        <v>2000</v>
      </c>
      <c r="M969" s="19">
        <v>2000</v>
      </c>
      <c r="N969" s="77">
        <v>65</v>
      </c>
      <c r="O969" s="4" t="s">
        <v>66</v>
      </c>
      <c r="P969" s="198" t="s">
        <v>5181</v>
      </c>
      <c r="Q969" s="19"/>
    </row>
    <row r="970" spans="1:17" s="197" customFormat="1" ht="45.5" customHeight="1">
      <c r="A970" s="207">
        <v>269</v>
      </c>
      <c r="B970" s="208" t="s">
        <v>6799</v>
      </c>
      <c r="C970" s="19" t="s">
        <v>6806</v>
      </c>
      <c r="D970" s="19" t="s">
        <v>2393</v>
      </c>
      <c r="E970" s="11" t="s">
        <v>2631</v>
      </c>
      <c r="F970" s="19" t="s">
        <v>6830</v>
      </c>
      <c r="G970" s="4" t="s">
        <v>2272</v>
      </c>
      <c r="H970" s="19" t="s">
        <v>6105</v>
      </c>
      <c r="I970" s="21">
        <v>41.486120300000003</v>
      </c>
      <c r="J970" s="21">
        <v>-7.1787644000000004</v>
      </c>
      <c r="K970" s="77">
        <f>340000/100</f>
        <v>3400</v>
      </c>
      <c r="L970" s="19">
        <v>2000</v>
      </c>
      <c r="M970" s="19">
        <v>2000</v>
      </c>
      <c r="N970" s="77">
        <v>27</v>
      </c>
      <c r="O970" s="4" t="s">
        <v>66</v>
      </c>
      <c r="P970" s="198" t="s">
        <v>5181</v>
      </c>
      <c r="Q970" s="19"/>
    </row>
    <row r="971" spans="1:17" s="197" customFormat="1" ht="45.5" customHeight="1">
      <c r="A971" s="207">
        <v>269</v>
      </c>
      <c r="B971" s="208" t="s">
        <v>6799</v>
      </c>
      <c r="C971" s="19" t="s">
        <v>6807</v>
      </c>
      <c r="D971" s="19" t="s">
        <v>2393</v>
      </c>
      <c r="E971" s="11" t="s">
        <v>2631</v>
      </c>
      <c r="F971" s="19" t="s">
        <v>6831</v>
      </c>
      <c r="G971" s="4" t="s">
        <v>2272</v>
      </c>
      <c r="H971" s="19" t="s">
        <v>5085</v>
      </c>
      <c r="I971" s="21">
        <v>64.201952800000001</v>
      </c>
      <c r="J971" s="21">
        <v>19.718870200000001</v>
      </c>
      <c r="K971" s="77">
        <f>265000/100</f>
        <v>2650</v>
      </c>
      <c r="L971" s="19">
        <v>2000</v>
      </c>
      <c r="M971" s="19">
        <v>2000</v>
      </c>
      <c r="N971" s="77">
        <v>2</v>
      </c>
      <c r="O971" s="4" t="s">
        <v>66</v>
      </c>
      <c r="P971" s="198" t="s">
        <v>5181</v>
      </c>
      <c r="Q971" s="19"/>
    </row>
    <row r="972" spans="1:17" s="197" customFormat="1" ht="45.5" customHeight="1">
      <c r="A972" s="207">
        <v>269</v>
      </c>
      <c r="B972" s="208" t="s">
        <v>6799</v>
      </c>
      <c r="C972" s="19" t="s">
        <v>6808</v>
      </c>
      <c r="D972" s="19" t="s">
        <v>2393</v>
      </c>
      <c r="E972" s="11" t="s">
        <v>2631</v>
      </c>
      <c r="F972" s="19" t="s">
        <v>6832</v>
      </c>
      <c r="G972" s="4" t="s">
        <v>2272</v>
      </c>
      <c r="H972" s="19" t="s">
        <v>6833</v>
      </c>
      <c r="I972" s="21">
        <v>63.064316499999997</v>
      </c>
      <c r="J972" s="21">
        <v>28.322957899999999</v>
      </c>
      <c r="K972" s="77">
        <f>1999000/100</f>
        <v>19990</v>
      </c>
      <c r="L972" s="19">
        <v>2000</v>
      </c>
      <c r="M972" s="19">
        <v>2000</v>
      </c>
      <c r="N972" s="77">
        <v>14</v>
      </c>
      <c r="O972" s="4" t="s">
        <v>66</v>
      </c>
      <c r="P972" s="198" t="s">
        <v>5181</v>
      </c>
      <c r="Q972" s="19"/>
    </row>
    <row r="973" spans="1:17" s="197" customFormat="1" ht="45.5" customHeight="1">
      <c r="A973" s="207">
        <v>269</v>
      </c>
      <c r="B973" s="208" t="s">
        <v>6799</v>
      </c>
      <c r="C973" s="19" t="s">
        <v>6809</v>
      </c>
      <c r="D973" s="19" t="s">
        <v>2393</v>
      </c>
      <c r="E973" s="11" t="s">
        <v>2631</v>
      </c>
      <c r="F973" s="19" t="s">
        <v>6834</v>
      </c>
      <c r="G973" s="4" t="s">
        <v>2272</v>
      </c>
      <c r="H973" s="19" t="s">
        <v>6835</v>
      </c>
      <c r="I973" s="21">
        <v>47.075139200000002</v>
      </c>
      <c r="J973" s="21">
        <v>10.6642951</v>
      </c>
      <c r="K973" s="77">
        <f>335000/100</f>
        <v>3350</v>
      </c>
      <c r="L973" s="19">
        <v>2000</v>
      </c>
      <c r="M973" s="19">
        <v>2000</v>
      </c>
      <c r="N973" s="77">
        <v>26</v>
      </c>
      <c r="O973" s="4" t="s">
        <v>66</v>
      </c>
      <c r="P973" s="198" t="s">
        <v>5181</v>
      </c>
      <c r="Q973" s="19"/>
    </row>
    <row r="974" spans="1:17" s="197" customFormat="1" ht="45.5" customHeight="1">
      <c r="A974" s="207">
        <v>269</v>
      </c>
      <c r="B974" s="208" t="s">
        <v>6799</v>
      </c>
      <c r="C974" s="19" t="s">
        <v>6810</v>
      </c>
      <c r="D974" s="19" t="s">
        <v>2393</v>
      </c>
      <c r="E974" s="11" t="s">
        <v>2631</v>
      </c>
      <c r="F974" s="19" t="s">
        <v>6836</v>
      </c>
      <c r="G974" s="4" t="s">
        <v>2272</v>
      </c>
      <c r="H974" s="19" t="s">
        <v>6843</v>
      </c>
      <c r="I974" s="21">
        <v>46.2840104</v>
      </c>
      <c r="J974" s="21">
        <v>13.8594144</v>
      </c>
      <c r="K974" s="77">
        <f>84000/100</f>
        <v>840</v>
      </c>
      <c r="L974" s="19">
        <v>2000</v>
      </c>
      <c r="M974" s="19">
        <v>2000</v>
      </c>
      <c r="N974" s="77">
        <v>22</v>
      </c>
      <c r="O974" s="4" t="s">
        <v>66</v>
      </c>
      <c r="P974" s="198" t="s">
        <v>5181</v>
      </c>
      <c r="Q974" s="19"/>
    </row>
    <row r="975" spans="1:17" s="197" customFormat="1" ht="45.5" customHeight="1">
      <c r="A975" s="207">
        <v>269</v>
      </c>
      <c r="B975" s="208" t="s">
        <v>6799</v>
      </c>
      <c r="C975" s="19" t="s">
        <v>6811</v>
      </c>
      <c r="D975" s="19" t="s">
        <v>2393</v>
      </c>
      <c r="E975" s="11" t="s">
        <v>2631</v>
      </c>
      <c r="F975" s="19" t="s">
        <v>6853</v>
      </c>
      <c r="G975" s="4" t="s">
        <v>6854</v>
      </c>
      <c r="H975" s="19" t="s">
        <v>4937</v>
      </c>
      <c r="I975" s="21">
        <v>46.1666667</v>
      </c>
      <c r="J975" s="21">
        <v>11.25</v>
      </c>
      <c r="K975" s="77">
        <f>15000/100</f>
        <v>150</v>
      </c>
      <c r="L975" s="19">
        <v>2000</v>
      </c>
      <c r="M975" s="19">
        <v>2000</v>
      </c>
      <c r="N975" s="77">
        <v>69</v>
      </c>
      <c r="O975" s="4" t="s">
        <v>66</v>
      </c>
      <c r="P975" s="198" t="s">
        <v>5181</v>
      </c>
      <c r="Q975" s="19"/>
    </row>
    <row r="976" spans="1:17" s="197" customFormat="1" ht="45.5" customHeight="1">
      <c r="A976" s="207">
        <v>269</v>
      </c>
      <c r="B976" s="208" t="s">
        <v>6799</v>
      </c>
      <c r="C976" s="19" t="s">
        <v>6812</v>
      </c>
      <c r="D976" s="19" t="s">
        <v>2393</v>
      </c>
      <c r="E976" s="11" t="s">
        <v>2631</v>
      </c>
      <c r="F976" s="19" t="s">
        <v>6837</v>
      </c>
      <c r="G976" s="4" t="s">
        <v>2272</v>
      </c>
      <c r="H976" s="19" t="s">
        <v>6839</v>
      </c>
      <c r="I976" s="21">
        <v>47.3161925</v>
      </c>
      <c r="J976" s="21">
        <v>9.4316572999999995</v>
      </c>
      <c r="K976" s="77">
        <f>24000/100</f>
        <v>240</v>
      </c>
      <c r="L976" s="19">
        <v>2000</v>
      </c>
      <c r="M976" s="19">
        <v>2000</v>
      </c>
      <c r="N976" s="77">
        <v>224</v>
      </c>
      <c r="O976" s="4" t="s">
        <v>66</v>
      </c>
      <c r="P976" s="198" t="s">
        <v>5181</v>
      </c>
      <c r="Q976" s="19"/>
    </row>
    <row r="977" spans="1:17" s="197" customFormat="1" ht="45.5" customHeight="1">
      <c r="A977" s="207">
        <v>269</v>
      </c>
      <c r="B977" s="208" t="s">
        <v>6799</v>
      </c>
      <c r="C977" s="19" t="s">
        <v>6813</v>
      </c>
      <c r="D977" s="19" t="s">
        <v>2393</v>
      </c>
      <c r="E977" s="11" t="s">
        <v>2631</v>
      </c>
      <c r="F977" s="19" t="s">
        <v>6838</v>
      </c>
      <c r="G977" s="4" t="s">
        <v>2272</v>
      </c>
      <c r="H977" s="19" t="s">
        <v>6840</v>
      </c>
      <c r="I977" s="21">
        <v>47.539197100000003</v>
      </c>
      <c r="J977" s="21">
        <v>10.284401600000001</v>
      </c>
      <c r="K977" s="77">
        <f>153000/100</f>
        <v>1530</v>
      </c>
      <c r="L977" s="19">
        <v>2000</v>
      </c>
      <c r="M977" s="19">
        <v>2000</v>
      </c>
      <c r="N977" s="77">
        <v>94</v>
      </c>
      <c r="O977" s="4" t="s">
        <v>66</v>
      </c>
      <c r="P977" s="198" t="s">
        <v>5181</v>
      </c>
      <c r="Q977" s="19"/>
    </row>
    <row r="978" spans="1:17" s="197" customFormat="1" ht="45.5" customHeight="1">
      <c r="A978" s="207">
        <v>269</v>
      </c>
      <c r="B978" s="208" t="s">
        <v>6799</v>
      </c>
      <c r="C978" s="19" t="s">
        <v>6814</v>
      </c>
      <c r="D978" s="19" t="s">
        <v>2393</v>
      </c>
      <c r="E978" s="11" t="s">
        <v>2631</v>
      </c>
      <c r="F978" s="19" t="s">
        <v>6842</v>
      </c>
      <c r="G978" s="4" t="s">
        <v>6841</v>
      </c>
      <c r="H978" s="19" t="s">
        <v>6109</v>
      </c>
      <c r="I978" s="21">
        <v>45.717104900000002</v>
      </c>
      <c r="J978" s="21">
        <v>6.5742919999999998</v>
      </c>
      <c r="K978" s="77">
        <f>3890</f>
        <v>3890</v>
      </c>
      <c r="L978" s="19">
        <v>2000</v>
      </c>
      <c r="M978" s="19">
        <v>2000</v>
      </c>
      <c r="N978" s="77">
        <v>22</v>
      </c>
      <c r="O978" s="4" t="s">
        <v>66</v>
      </c>
      <c r="P978" s="198" t="s">
        <v>5181</v>
      </c>
      <c r="Q978" s="19"/>
    </row>
    <row r="979" spans="1:17" s="197" customFormat="1" ht="45.5" customHeight="1">
      <c r="A979" s="207">
        <v>269</v>
      </c>
      <c r="B979" s="208" t="s">
        <v>6799</v>
      </c>
      <c r="C979" s="19" t="s">
        <v>6815</v>
      </c>
      <c r="D979" s="19" t="s">
        <v>2393</v>
      </c>
      <c r="E979" s="11" t="s">
        <v>2631</v>
      </c>
      <c r="F979" s="19" t="s">
        <v>6844</v>
      </c>
      <c r="G979" s="4" t="s">
        <v>2272</v>
      </c>
      <c r="H979" s="19" t="s">
        <v>4937</v>
      </c>
      <c r="I979" s="21">
        <v>45.738887800000001</v>
      </c>
      <c r="J979" s="21">
        <v>7.4261866000000003</v>
      </c>
      <c r="K979" s="77">
        <v>3260</v>
      </c>
      <c r="L979" s="19">
        <v>2000</v>
      </c>
      <c r="M979" s="19">
        <v>2000</v>
      </c>
      <c r="N979" s="77">
        <v>36</v>
      </c>
      <c r="O979" s="4" t="s">
        <v>66</v>
      </c>
      <c r="P979" s="198" t="s">
        <v>5181</v>
      </c>
      <c r="Q979" s="19"/>
    </row>
    <row r="980" spans="1:17" s="197" customFormat="1" ht="45.5" customHeight="1">
      <c r="A980" s="207">
        <v>269</v>
      </c>
      <c r="B980" s="208" t="s">
        <v>6799</v>
      </c>
      <c r="C980" s="19" t="s">
        <v>6816</v>
      </c>
      <c r="D980" s="19" t="s">
        <v>2393</v>
      </c>
      <c r="E980" s="11" t="s">
        <v>2631</v>
      </c>
      <c r="F980" s="19" t="s">
        <v>6845</v>
      </c>
      <c r="G980" s="4" t="s">
        <v>2272</v>
      </c>
      <c r="H980" s="19" t="s">
        <v>6839</v>
      </c>
      <c r="I980" s="21">
        <v>46.190461399999997</v>
      </c>
      <c r="J980" s="21">
        <v>7.5449225999999996</v>
      </c>
      <c r="K980" s="77">
        <v>5220</v>
      </c>
      <c r="L980" s="19">
        <v>2000</v>
      </c>
      <c r="M980" s="19">
        <v>2000</v>
      </c>
      <c r="N980" s="77">
        <v>52</v>
      </c>
      <c r="O980" s="4" t="s">
        <v>66</v>
      </c>
      <c r="P980" s="198" t="s">
        <v>5181</v>
      </c>
      <c r="Q980" s="19"/>
    </row>
    <row r="981" spans="1:17" s="197" customFormat="1" ht="45.5" customHeight="1">
      <c r="A981" s="207">
        <v>269</v>
      </c>
      <c r="B981" s="208" t="s">
        <v>6799</v>
      </c>
      <c r="C981" s="19" t="s">
        <v>6817</v>
      </c>
      <c r="D981" s="19" t="s">
        <v>2393</v>
      </c>
      <c r="E981" s="11" t="s">
        <v>2631</v>
      </c>
      <c r="F981" s="19" t="s">
        <v>6855</v>
      </c>
      <c r="G981" s="4" t="s">
        <v>6856</v>
      </c>
      <c r="H981" s="19" t="s">
        <v>6109</v>
      </c>
      <c r="I981" s="21">
        <v>44.967608599999998</v>
      </c>
      <c r="J981" s="21">
        <v>5.5300643000000003</v>
      </c>
      <c r="K981" s="77">
        <v>1770</v>
      </c>
      <c r="L981" s="19">
        <v>2000</v>
      </c>
      <c r="M981" s="19">
        <v>2000</v>
      </c>
      <c r="N981" s="77">
        <v>17</v>
      </c>
      <c r="O981" s="4" t="s">
        <v>66</v>
      </c>
      <c r="P981" s="198" t="s">
        <v>5181</v>
      </c>
      <c r="Q981" s="19"/>
    </row>
    <row r="982" spans="1:17" s="197" customFormat="1" ht="45.5" customHeight="1">
      <c r="A982" s="207">
        <v>269</v>
      </c>
      <c r="B982" s="208" t="s">
        <v>6799</v>
      </c>
      <c r="C982" s="19" t="s">
        <v>6818</v>
      </c>
      <c r="D982" s="19" t="s">
        <v>2393</v>
      </c>
      <c r="E982" s="11" t="s">
        <v>2631</v>
      </c>
      <c r="F982" s="19" t="s">
        <v>6846</v>
      </c>
      <c r="G982" s="4" t="s">
        <v>2272</v>
      </c>
      <c r="H982" s="19" t="s">
        <v>6109</v>
      </c>
      <c r="I982" s="21">
        <v>46.374850000000002</v>
      </c>
      <c r="J982" s="21">
        <v>5.9737280000000004</v>
      </c>
      <c r="K982" s="77">
        <v>4300</v>
      </c>
      <c r="L982" s="19">
        <v>2000</v>
      </c>
      <c r="M982" s="19">
        <v>2000</v>
      </c>
      <c r="N982" s="77">
        <v>35</v>
      </c>
      <c r="O982" s="4" t="s">
        <v>66</v>
      </c>
      <c r="P982" s="198" t="s">
        <v>5181</v>
      </c>
      <c r="Q982" s="19"/>
    </row>
    <row r="983" spans="1:17" s="197" customFormat="1" ht="45.5" customHeight="1">
      <c r="A983" s="207">
        <v>269</v>
      </c>
      <c r="B983" s="208" t="s">
        <v>6799</v>
      </c>
      <c r="C983" s="19" t="s">
        <v>6819</v>
      </c>
      <c r="D983" s="19" t="s">
        <v>2393</v>
      </c>
      <c r="E983" s="11" t="s">
        <v>2631</v>
      </c>
      <c r="F983" s="19" t="s">
        <v>6848</v>
      </c>
      <c r="G983" s="4" t="s">
        <v>6847</v>
      </c>
      <c r="H983" s="19" t="s">
        <v>4309</v>
      </c>
      <c r="I983" s="21">
        <v>43.187215500000001</v>
      </c>
      <c r="J983" s="21">
        <v>-4.8215240000000001</v>
      </c>
      <c r="K983" s="77">
        <v>1800</v>
      </c>
      <c r="L983" s="19">
        <v>2000</v>
      </c>
      <c r="M983" s="19">
        <v>2000</v>
      </c>
      <c r="N983" s="77">
        <v>10</v>
      </c>
      <c r="O983" s="4" t="s">
        <v>66</v>
      </c>
      <c r="P983" s="198" t="s">
        <v>5181</v>
      </c>
      <c r="Q983" s="19"/>
    </row>
    <row r="984" spans="1:17" s="197" customFormat="1" ht="45.5" customHeight="1">
      <c r="A984" s="207">
        <v>269</v>
      </c>
      <c r="B984" s="208" t="s">
        <v>6799</v>
      </c>
      <c r="C984" s="19" t="s">
        <v>6820</v>
      </c>
      <c r="D984" s="19" t="s">
        <v>2393</v>
      </c>
      <c r="E984" s="11" t="s">
        <v>2631</v>
      </c>
      <c r="F984" s="19" t="s">
        <v>6849</v>
      </c>
      <c r="G984" s="4" t="s">
        <v>2272</v>
      </c>
      <c r="H984" s="19" t="s">
        <v>6109</v>
      </c>
      <c r="I984" s="21">
        <v>43.244912800000002</v>
      </c>
      <c r="J984" s="21">
        <v>-1.2891036</v>
      </c>
      <c r="K984" s="77">
        <v>2480</v>
      </c>
      <c r="L984" s="19">
        <v>2000</v>
      </c>
      <c r="M984" s="19">
        <v>2000</v>
      </c>
      <c r="N984" s="77">
        <v>100</v>
      </c>
      <c r="O984" s="4" t="s">
        <v>66</v>
      </c>
      <c r="P984" s="198" t="s">
        <v>5181</v>
      </c>
      <c r="Q984" s="19"/>
    </row>
    <row r="985" spans="1:17" s="197" customFormat="1" ht="45.5" customHeight="1">
      <c r="A985" s="207">
        <v>269</v>
      </c>
      <c r="B985" s="208" t="s">
        <v>6799</v>
      </c>
      <c r="C985" s="19" t="s">
        <v>6821</v>
      </c>
      <c r="D985" s="19" t="s">
        <v>2393</v>
      </c>
      <c r="E985" s="11" t="s">
        <v>2631</v>
      </c>
      <c r="F985" s="19" t="s">
        <v>6850</v>
      </c>
      <c r="G985" s="4" t="s">
        <v>2272</v>
      </c>
      <c r="H985" s="19" t="s">
        <v>4309</v>
      </c>
      <c r="I985" s="21">
        <v>42.95</v>
      </c>
      <c r="J985" s="21">
        <v>-2.3166669999999998</v>
      </c>
      <c r="K985" s="77">
        <v>1660</v>
      </c>
      <c r="L985" s="19">
        <v>2000</v>
      </c>
      <c r="M985" s="19">
        <v>2000</v>
      </c>
      <c r="N985" s="77">
        <v>13</v>
      </c>
      <c r="O985" s="4" t="s">
        <v>66</v>
      </c>
      <c r="P985" s="198" t="s">
        <v>5181</v>
      </c>
      <c r="Q985" s="19"/>
    </row>
    <row r="986" spans="1:17" s="197" customFormat="1" ht="45.5" customHeight="1">
      <c r="A986" s="207">
        <v>269</v>
      </c>
      <c r="B986" s="208" t="s">
        <v>6799</v>
      </c>
      <c r="C986" s="19" t="s">
        <v>6822</v>
      </c>
      <c r="D986" s="19" t="s">
        <v>2393</v>
      </c>
      <c r="E986" s="11" t="s">
        <v>2631</v>
      </c>
      <c r="F986" s="19" t="s">
        <v>6851</v>
      </c>
      <c r="G986" s="4" t="s">
        <v>2272</v>
      </c>
      <c r="H986" s="19" t="s">
        <v>6109</v>
      </c>
      <c r="I986" s="21">
        <v>42.840257893276302</v>
      </c>
      <c r="J986" s="21">
        <v>1.3032658975710401</v>
      </c>
      <c r="K986" s="77">
        <v>1200</v>
      </c>
      <c r="L986" s="19">
        <v>2000</v>
      </c>
      <c r="M986" s="19">
        <v>2000</v>
      </c>
      <c r="N986" s="77">
        <v>15</v>
      </c>
      <c r="O986" s="4" t="s">
        <v>66</v>
      </c>
      <c r="P986" s="198" t="s">
        <v>5181</v>
      </c>
      <c r="Q986" s="19"/>
    </row>
    <row r="987" spans="1:17" s="197" customFormat="1" ht="45.5" customHeight="1">
      <c r="A987" s="207">
        <v>269</v>
      </c>
      <c r="B987" s="208" t="s">
        <v>6799</v>
      </c>
      <c r="C987" s="19" t="s">
        <v>6823</v>
      </c>
      <c r="D987" s="19" t="s">
        <v>2393</v>
      </c>
      <c r="E987" s="11" t="s">
        <v>2631</v>
      </c>
      <c r="F987" s="19" t="s">
        <v>6852</v>
      </c>
      <c r="G987" s="4" t="s">
        <v>2272</v>
      </c>
      <c r="H987" s="19" t="s">
        <v>4309</v>
      </c>
      <c r="I987" s="21">
        <v>42.525766405594503</v>
      </c>
      <c r="J987" s="21">
        <v>1.08426298991359</v>
      </c>
      <c r="K987" s="77">
        <v>1120</v>
      </c>
      <c r="L987" s="19">
        <v>2000</v>
      </c>
      <c r="M987" s="19">
        <v>2000</v>
      </c>
      <c r="N987" s="77">
        <v>3</v>
      </c>
      <c r="O987" s="4" t="s">
        <v>66</v>
      </c>
      <c r="P987" s="198" t="s">
        <v>5181</v>
      </c>
      <c r="Q987" s="19"/>
    </row>
    <row r="988" spans="1:17" ht="45.5" customHeight="1">
      <c r="A988" s="187">
        <v>270</v>
      </c>
      <c r="B988" s="38" t="s">
        <v>6139</v>
      </c>
      <c r="C988" s="4" t="s">
        <v>6175</v>
      </c>
      <c r="D988" s="4" t="s">
        <v>2393</v>
      </c>
      <c r="E988" s="11" t="s">
        <v>4842</v>
      </c>
      <c r="F988" s="4" t="s">
        <v>2272</v>
      </c>
      <c r="G988" s="4" t="s">
        <v>4936</v>
      </c>
      <c r="H988" s="4" t="s">
        <v>4937</v>
      </c>
      <c r="I988" s="70">
        <v>40.201500000000003</v>
      </c>
      <c r="J988" s="70">
        <v>9.0214999999999996</v>
      </c>
      <c r="K988" s="71">
        <v>24100</v>
      </c>
      <c r="L988" s="4">
        <v>2006</v>
      </c>
      <c r="M988" s="4">
        <v>2010</v>
      </c>
      <c r="N988" s="71">
        <f>1650000/K988</f>
        <v>68.46473029045643</v>
      </c>
      <c r="O988" s="4" t="s">
        <v>66</v>
      </c>
      <c r="P988" s="198" t="s">
        <v>6180</v>
      </c>
      <c r="Q988" s="4"/>
    </row>
    <row r="989" spans="1:17" ht="45.5" customHeight="1">
      <c r="A989" s="187">
        <v>271</v>
      </c>
      <c r="B989" s="38" t="s">
        <v>6140</v>
      </c>
      <c r="C989" s="4" t="s">
        <v>6176</v>
      </c>
      <c r="D989" s="4" t="s">
        <v>2393</v>
      </c>
      <c r="E989" s="11" t="s">
        <v>4842</v>
      </c>
      <c r="F989" s="4" t="s">
        <v>2272</v>
      </c>
      <c r="G989" s="4" t="s">
        <v>2272</v>
      </c>
      <c r="H989" s="4" t="s">
        <v>6105</v>
      </c>
      <c r="I989" s="70">
        <v>39.666499999999999</v>
      </c>
      <c r="J989" s="70">
        <v>-8.3741666666666692</v>
      </c>
      <c r="K989" s="71">
        <v>89000</v>
      </c>
      <c r="L989" s="4">
        <v>2007</v>
      </c>
      <c r="M989" s="4">
        <v>2014</v>
      </c>
      <c r="N989" s="71" t="s">
        <v>2272</v>
      </c>
      <c r="O989" s="4" t="s">
        <v>66</v>
      </c>
      <c r="P989" s="3" t="s">
        <v>6180</v>
      </c>
      <c r="Q989" s="4"/>
    </row>
    <row r="990" spans="1:17" ht="88.5" customHeight="1">
      <c r="A990" s="207">
        <v>272</v>
      </c>
      <c r="B990" s="208" t="s">
        <v>6889</v>
      </c>
      <c r="C990" s="19" t="s">
        <v>6177</v>
      </c>
      <c r="D990" s="19" t="s">
        <v>2393</v>
      </c>
      <c r="E990" s="11" t="s">
        <v>4842</v>
      </c>
      <c r="F990" s="4" t="s">
        <v>2272</v>
      </c>
      <c r="G990" s="4" t="s">
        <v>6106</v>
      </c>
      <c r="H990" s="4" t="s">
        <v>4309</v>
      </c>
      <c r="I990" s="70">
        <v>42.799928600000001</v>
      </c>
      <c r="J990" s="70">
        <v>-8.0177344000000002</v>
      </c>
      <c r="K990" s="71">
        <f>SUM(K991:K996)</f>
        <v>29109</v>
      </c>
      <c r="L990" s="4">
        <v>1988</v>
      </c>
      <c r="M990" s="4">
        <v>2006</v>
      </c>
      <c r="N990" s="71" t="s">
        <v>2272</v>
      </c>
      <c r="O990" s="4" t="s">
        <v>66</v>
      </c>
      <c r="P990" s="198" t="s">
        <v>5181</v>
      </c>
      <c r="Q990" s="19" t="s">
        <v>6890</v>
      </c>
    </row>
    <row r="991" spans="1:17" s="197" customFormat="1" ht="88.5" customHeight="1">
      <c r="A991" s="207">
        <v>272</v>
      </c>
      <c r="B991" s="208" t="s">
        <v>6889</v>
      </c>
      <c r="C991" s="19" t="s">
        <v>6178</v>
      </c>
      <c r="D991" s="19" t="s">
        <v>2393</v>
      </c>
      <c r="E991" s="11" t="s">
        <v>4842</v>
      </c>
      <c r="F991" s="4" t="s">
        <v>2272</v>
      </c>
      <c r="G991" s="4" t="s">
        <v>6106</v>
      </c>
      <c r="H991" s="4" t="s">
        <v>4309</v>
      </c>
      <c r="I991" s="70">
        <v>42.799928600000001</v>
      </c>
      <c r="J991" s="70">
        <v>-8.0177344000000002</v>
      </c>
      <c r="K991" s="71">
        <f>36*9300/100</f>
        <v>3348</v>
      </c>
      <c r="L991" s="4">
        <v>1988</v>
      </c>
      <c r="M991" s="4">
        <v>2006</v>
      </c>
      <c r="N991" s="71" t="s">
        <v>2272</v>
      </c>
      <c r="O991" s="4" t="s">
        <v>66</v>
      </c>
      <c r="P991" s="198" t="s">
        <v>5181</v>
      </c>
      <c r="Q991" s="19" t="s">
        <v>6906</v>
      </c>
    </row>
    <row r="992" spans="1:17" s="197" customFormat="1" ht="88.5" customHeight="1">
      <c r="A992" s="207">
        <v>272</v>
      </c>
      <c r="B992" s="208" t="s">
        <v>6889</v>
      </c>
      <c r="C992" s="19" t="s">
        <v>6179</v>
      </c>
      <c r="D992" s="19" t="s">
        <v>2393</v>
      </c>
      <c r="E992" s="11" t="s">
        <v>4842</v>
      </c>
      <c r="F992" s="4" t="s">
        <v>2272</v>
      </c>
      <c r="G992" s="4" t="s">
        <v>6106</v>
      </c>
      <c r="H992" s="4" t="s">
        <v>4309</v>
      </c>
      <c r="I992" s="70">
        <v>42.799928600000001</v>
      </c>
      <c r="J992" s="70">
        <v>-8.0177344000000002</v>
      </c>
      <c r="K992" s="71">
        <f>37*9300/100</f>
        <v>3441</v>
      </c>
      <c r="L992" s="4">
        <v>1988</v>
      </c>
      <c r="M992" s="4">
        <v>2006</v>
      </c>
      <c r="N992" s="71" t="s">
        <v>2272</v>
      </c>
      <c r="O992" s="4" t="s">
        <v>66</v>
      </c>
      <c r="P992" s="198" t="s">
        <v>5181</v>
      </c>
      <c r="Q992" s="19" t="s">
        <v>6906</v>
      </c>
    </row>
    <row r="993" spans="1:17" s="197" customFormat="1" ht="88.5" customHeight="1">
      <c r="A993" s="207">
        <v>272</v>
      </c>
      <c r="B993" s="208" t="s">
        <v>6889</v>
      </c>
      <c r="C993" s="19" t="s">
        <v>6891</v>
      </c>
      <c r="D993" s="19" t="s">
        <v>2393</v>
      </c>
      <c r="E993" s="11" t="s">
        <v>4842</v>
      </c>
      <c r="F993" s="4" t="s">
        <v>2272</v>
      </c>
      <c r="G993" s="4" t="s">
        <v>6106</v>
      </c>
      <c r="H993" s="4" t="s">
        <v>4309</v>
      </c>
      <c r="I993" s="70">
        <v>42.799928600000001</v>
      </c>
      <c r="J993" s="70">
        <v>-8.0177344000000002</v>
      </c>
      <c r="K993" s="71">
        <f>92*9300/100</f>
        <v>8556</v>
      </c>
      <c r="L993" s="4">
        <v>1988</v>
      </c>
      <c r="M993" s="4">
        <v>2006</v>
      </c>
      <c r="N993" s="71" t="s">
        <v>2272</v>
      </c>
      <c r="O993" s="4" t="s">
        <v>66</v>
      </c>
      <c r="P993" s="198" t="s">
        <v>5181</v>
      </c>
      <c r="Q993" s="19" t="s">
        <v>6906</v>
      </c>
    </row>
    <row r="994" spans="1:17" s="197" customFormat="1" ht="88.5" customHeight="1">
      <c r="A994" s="207">
        <v>272</v>
      </c>
      <c r="B994" s="208" t="s">
        <v>6889</v>
      </c>
      <c r="C994" s="19" t="s">
        <v>6892</v>
      </c>
      <c r="D994" s="19" t="s">
        <v>2393</v>
      </c>
      <c r="E994" s="11" t="s">
        <v>4842</v>
      </c>
      <c r="F994" s="4" t="s">
        <v>2272</v>
      </c>
      <c r="G994" s="4" t="s">
        <v>6106</v>
      </c>
      <c r="H994" s="4" t="s">
        <v>4309</v>
      </c>
      <c r="I994" s="70">
        <v>42.799928600000001</v>
      </c>
      <c r="J994" s="70">
        <v>-8.0177344000000002</v>
      </c>
      <c r="K994" s="71">
        <f>110*9300/100</f>
        <v>10230</v>
      </c>
      <c r="L994" s="4">
        <v>1988</v>
      </c>
      <c r="M994" s="4">
        <v>2006</v>
      </c>
      <c r="N994" s="71" t="s">
        <v>2272</v>
      </c>
      <c r="O994" s="4" t="s">
        <v>66</v>
      </c>
      <c r="P994" s="198" t="s">
        <v>5181</v>
      </c>
      <c r="Q994" s="19" t="s">
        <v>6906</v>
      </c>
    </row>
    <row r="995" spans="1:17" s="197" customFormat="1" ht="88.5" customHeight="1">
      <c r="A995" s="207">
        <v>272</v>
      </c>
      <c r="B995" s="208" t="s">
        <v>6889</v>
      </c>
      <c r="C995" s="19" t="s">
        <v>6893</v>
      </c>
      <c r="D995" s="19" t="s">
        <v>2393</v>
      </c>
      <c r="E995" s="11" t="s">
        <v>4842</v>
      </c>
      <c r="F995" s="4" t="s">
        <v>2272</v>
      </c>
      <c r="G995" s="4" t="s">
        <v>6106</v>
      </c>
      <c r="H995" s="4" t="s">
        <v>4309</v>
      </c>
      <c r="I995" s="70">
        <v>42.799928600000001</v>
      </c>
      <c r="J995" s="70">
        <v>-8.0177344000000002</v>
      </c>
      <c r="K995" s="71">
        <f>17*9300/100</f>
        <v>1581</v>
      </c>
      <c r="L995" s="4">
        <v>1988</v>
      </c>
      <c r="M995" s="4">
        <v>2006</v>
      </c>
      <c r="N995" s="71" t="s">
        <v>2272</v>
      </c>
      <c r="O995" s="4" t="s">
        <v>66</v>
      </c>
      <c r="P995" s="198" t="s">
        <v>5181</v>
      </c>
      <c r="Q995" s="19" t="s">
        <v>6906</v>
      </c>
    </row>
    <row r="996" spans="1:17" s="197" customFormat="1" ht="88.5" customHeight="1">
      <c r="A996" s="207">
        <v>272</v>
      </c>
      <c r="B996" s="208" t="s">
        <v>6889</v>
      </c>
      <c r="C996" s="19" t="s">
        <v>6918</v>
      </c>
      <c r="D996" s="19" t="s">
        <v>2393</v>
      </c>
      <c r="E996" s="11" t="s">
        <v>4842</v>
      </c>
      <c r="F996" s="4" t="s">
        <v>2272</v>
      </c>
      <c r="G996" s="4" t="s">
        <v>6106</v>
      </c>
      <c r="H996" s="4" t="s">
        <v>4309</v>
      </c>
      <c r="I996" s="70">
        <v>42.799928600000001</v>
      </c>
      <c r="J996" s="70">
        <v>-8.0177344000000002</v>
      </c>
      <c r="K996" s="71">
        <f>21*9300/100</f>
        <v>1953</v>
      </c>
      <c r="L996" s="4">
        <v>1988</v>
      </c>
      <c r="M996" s="4">
        <v>2006</v>
      </c>
      <c r="N996" s="71" t="s">
        <v>2272</v>
      </c>
      <c r="O996" s="4" t="s">
        <v>66</v>
      </c>
      <c r="P996" s="198" t="s">
        <v>5181</v>
      </c>
      <c r="Q996" s="19" t="s">
        <v>6906</v>
      </c>
    </row>
    <row r="997" spans="1:17" ht="71" customHeight="1">
      <c r="A997" s="31">
        <v>273</v>
      </c>
      <c r="B997" s="37" t="s">
        <v>6258</v>
      </c>
      <c r="C997" s="3" t="s">
        <v>6357</v>
      </c>
      <c r="D997" s="3" t="s">
        <v>2393</v>
      </c>
      <c r="E997" s="3" t="s">
        <v>2394</v>
      </c>
      <c r="F997" s="3" t="s">
        <v>1278</v>
      </c>
      <c r="G997" s="3" t="s">
        <v>85</v>
      </c>
      <c r="H997" s="3" t="s">
        <v>86</v>
      </c>
      <c r="I997" s="21">
        <v>31.633979</v>
      </c>
      <c r="J997" s="21">
        <v>74.872264000000001</v>
      </c>
      <c r="K997" s="71" t="s">
        <v>2272</v>
      </c>
      <c r="L997" s="3">
        <v>2010</v>
      </c>
      <c r="M997" s="3">
        <v>2010</v>
      </c>
      <c r="N997" s="71" t="s">
        <v>2272</v>
      </c>
      <c r="O997" s="3" t="s">
        <v>66</v>
      </c>
      <c r="P997" s="3" t="s">
        <v>6318</v>
      </c>
      <c r="Q997" s="4" t="s">
        <v>6259</v>
      </c>
    </row>
    <row r="998" spans="1:17" ht="71" customHeight="1">
      <c r="A998" s="31">
        <v>273</v>
      </c>
      <c r="B998" s="37" t="s">
        <v>6258</v>
      </c>
      <c r="C998" s="3" t="s">
        <v>6358</v>
      </c>
      <c r="D998" s="3" t="s">
        <v>2393</v>
      </c>
      <c r="E998" s="3" t="s">
        <v>2394</v>
      </c>
      <c r="F998" s="3" t="s">
        <v>1286</v>
      </c>
      <c r="G998" s="3" t="s">
        <v>85</v>
      </c>
      <c r="H998" s="3" t="s">
        <v>86</v>
      </c>
      <c r="I998" s="21">
        <v>30.900964999999999</v>
      </c>
      <c r="J998" s="21">
        <v>75.857275999999999</v>
      </c>
      <c r="K998" s="71" t="s">
        <v>2272</v>
      </c>
      <c r="L998" s="3">
        <v>2010</v>
      </c>
      <c r="M998" s="3">
        <v>2010</v>
      </c>
      <c r="N998" s="71" t="s">
        <v>2272</v>
      </c>
      <c r="O998" s="3" t="s">
        <v>66</v>
      </c>
      <c r="P998" s="3" t="s">
        <v>6318</v>
      </c>
      <c r="Q998" s="4" t="s">
        <v>6260</v>
      </c>
    </row>
    <row r="999" spans="1:17" ht="71" customHeight="1">
      <c r="A999" s="31">
        <v>273</v>
      </c>
      <c r="B999" s="37" t="s">
        <v>6258</v>
      </c>
      <c r="C999" s="3" t="s">
        <v>6359</v>
      </c>
      <c r="D999" s="3" t="s">
        <v>2393</v>
      </c>
      <c r="E999" s="3" t="s">
        <v>2394</v>
      </c>
      <c r="F999" s="3" t="s">
        <v>1288</v>
      </c>
      <c r="G999" s="3" t="s">
        <v>85</v>
      </c>
      <c r="H999" s="3" t="s">
        <v>86</v>
      </c>
      <c r="I999" s="21">
        <v>30.245795999999999</v>
      </c>
      <c r="J999" s="21">
        <v>74.842072000000002</v>
      </c>
      <c r="K999" s="71" t="s">
        <v>2272</v>
      </c>
      <c r="L999" s="3">
        <v>2010</v>
      </c>
      <c r="M999" s="3">
        <v>2010</v>
      </c>
      <c r="N999" s="71" t="s">
        <v>2272</v>
      </c>
      <c r="O999" s="3" t="s">
        <v>66</v>
      </c>
      <c r="P999" s="3" t="s">
        <v>6318</v>
      </c>
      <c r="Q999" s="4" t="s">
        <v>6261</v>
      </c>
    </row>
    <row r="1000" spans="1:17" ht="71" customHeight="1">
      <c r="A1000" s="31">
        <v>274</v>
      </c>
      <c r="B1000" s="37" t="s">
        <v>6262</v>
      </c>
      <c r="C1000" s="31" t="s">
        <v>6360</v>
      </c>
      <c r="D1000" s="3" t="s">
        <v>2393</v>
      </c>
      <c r="E1000" s="3" t="s">
        <v>2394</v>
      </c>
      <c r="F1000" s="71" t="s">
        <v>2272</v>
      </c>
      <c r="G1000" s="3" t="s">
        <v>6263</v>
      </c>
      <c r="H1000" s="3" t="s">
        <v>86</v>
      </c>
      <c r="I1000" s="71">
        <f>AVERAGE(I39,I8)</f>
        <v>30.226188616332699</v>
      </c>
      <c r="J1000" s="71">
        <f>AVERAGE(J39,J8)</f>
        <v>75.750873684034303</v>
      </c>
      <c r="K1000" s="71" t="s">
        <v>2272</v>
      </c>
      <c r="L1000" s="3">
        <v>2007</v>
      </c>
      <c r="M1000" s="3">
        <v>2008</v>
      </c>
      <c r="N1000" s="71" t="s">
        <v>2272</v>
      </c>
      <c r="O1000" s="3" t="s">
        <v>66</v>
      </c>
      <c r="P1000" s="3" t="s">
        <v>6318</v>
      </c>
      <c r="Q1000" s="4" t="s">
        <v>6319</v>
      </c>
    </row>
    <row r="1001" spans="1:17" ht="71" customHeight="1">
      <c r="A1001" s="31">
        <v>275</v>
      </c>
      <c r="B1001" s="37" t="s">
        <v>6264</v>
      </c>
      <c r="C1001" s="3" t="s">
        <v>6320</v>
      </c>
      <c r="D1001" s="3" t="s">
        <v>2393</v>
      </c>
      <c r="E1001" s="3" t="s">
        <v>2394</v>
      </c>
      <c r="F1001" s="3" t="s">
        <v>1287</v>
      </c>
      <c r="G1001" s="3" t="s">
        <v>85</v>
      </c>
      <c r="H1001" s="3" t="s">
        <v>86</v>
      </c>
      <c r="I1001" s="195">
        <v>30.339780999999999</v>
      </c>
      <c r="J1001" s="195">
        <v>76.386880000000005</v>
      </c>
      <c r="K1001" s="71" t="s">
        <v>2272</v>
      </c>
      <c r="L1001" s="3">
        <v>2005</v>
      </c>
      <c r="M1001" s="3">
        <v>2005</v>
      </c>
      <c r="N1001" s="71" t="s">
        <v>2272</v>
      </c>
      <c r="O1001" s="3" t="s">
        <v>66</v>
      </c>
      <c r="P1001" s="3" t="s">
        <v>6318</v>
      </c>
      <c r="Q1001" s="4" t="s">
        <v>6265</v>
      </c>
    </row>
    <row r="1002" spans="1:17" ht="58">
      <c r="A1002" s="31">
        <v>275</v>
      </c>
      <c r="B1002" s="37" t="s">
        <v>6264</v>
      </c>
      <c r="C1002" s="3" t="s">
        <v>6321</v>
      </c>
      <c r="D1002" s="3" t="s">
        <v>2393</v>
      </c>
      <c r="E1002" s="3" t="s">
        <v>2394</v>
      </c>
      <c r="F1002" s="3" t="s">
        <v>6266</v>
      </c>
      <c r="G1002" s="3" t="s">
        <v>88</v>
      </c>
      <c r="H1002" s="3" t="s">
        <v>86</v>
      </c>
      <c r="I1002" s="195">
        <v>29.969512000000002</v>
      </c>
      <c r="J1002" s="195">
        <v>76.878281999999999</v>
      </c>
      <c r="K1002" s="71" t="s">
        <v>2272</v>
      </c>
      <c r="L1002" s="3">
        <v>2005</v>
      </c>
      <c r="M1002" s="3">
        <v>2005</v>
      </c>
      <c r="N1002" s="71" t="s">
        <v>2272</v>
      </c>
      <c r="O1002" s="3" t="s">
        <v>66</v>
      </c>
      <c r="P1002" s="3" t="s">
        <v>6318</v>
      </c>
      <c r="Q1002" s="4" t="s">
        <v>6265</v>
      </c>
    </row>
    <row r="1003" spans="1:17" ht="58">
      <c r="A1003" s="31">
        <v>275</v>
      </c>
      <c r="B1003" s="37" t="s">
        <v>6264</v>
      </c>
      <c r="C1003" s="3" t="s">
        <v>6322</v>
      </c>
      <c r="D1003" s="3" t="s">
        <v>2393</v>
      </c>
      <c r="E1003" s="3" t="s">
        <v>2394</v>
      </c>
      <c r="F1003" s="3" t="s">
        <v>6267</v>
      </c>
      <c r="G1003" s="3" t="s">
        <v>88</v>
      </c>
      <c r="H1003" s="3" t="s">
        <v>86</v>
      </c>
      <c r="I1003" s="195">
        <v>29.149187999999999</v>
      </c>
      <c r="J1003" s="195">
        <v>75.721653000000003</v>
      </c>
      <c r="K1003" s="71" t="s">
        <v>2272</v>
      </c>
      <c r="L1003" s="3">
        <v>2005</v>
      </c>
      <c r="M1003" s="3">
        <v>2005</v>
      </c>
      <c r="N1003" s="71" t="s">
        <v>2272</v>
      </c>
      <c r="O1003" s="3" t="s">
        <v>66</v>
      </c>
      <c r="P1003" s="3" t="s">
        <v>6318</v>
      </c>
      <c r="Q1003" s="4" t="s">
        <v>6265</v>
      </c>
    </row>
    <row r="1004" spans="1:17" ht="58">
      <c r="A1004" s="31">
        <v>275</v>
      </c>
      <c r="B1004" s="37" t="s">
        <v>6268</v>
      </c>
      <c r="C1004" s="3" t="s">
        <v>6323</v>
      </c>
      <c r="D1004" s="3" t="s">
        <v>2393</v>
      </c>
      <c r="E1004" s="3" t="s">
        <v>2394</v>
      </c>
      <c r="F1004" s="3" t="s">
        <v>6269</v>
      </c>
      <c r="G1004" s="3" t="s">
        <v>6270</v>
      </c>
      <c r="H1004" s="3" t="s">
        <v>86</v>
      </c>
      <c r="I1004" s="195">
        <v>28.984462000000001</v>
      </c>
      <c r="J1004" s="195">
        <v>77.706413999999995</v>
      </c>
      <c r="K1004" s="71" t="s">
        <v>2272</v>
      </c>
      <c r="L1004" s="3">
        <v>2005</v>
      </c>
      <c r="M1004" s="3">
        <v>2005</v>
      </c>
      <c r="N1004" s="71" t="s">
        <v>2272</v>
      </c>
      <c r="O1004" s="3" t="s">
        <v>66</v>
      </c>
      <c r="P1004" s="3" t="s">
        <v>6318</v>
      </c>
      <c r="Q1004" s="4" t="s">
        <v>6265</v>
      </c>
    </row>
    <row r="1005" spans="1:17" ht="58">
      <c r="A1005" s="31">
        <v>275</v>
      </c>
      <c r="B1005" s="37" t="s">
        <v>6268</v>
      </c>
      <c r="C1005" s="3" t="s">
        <v>6324</v>
      </c>
      <c r="D1005" s="3" t="s">
        <v>2393</v>
      </c>
      <c r="E1005" s="3" t="s">
        <v>2394</v>
      </c>
      <c r="F1005" s="3" t="s">
        <v>6271</v>
      </c>
      <c r="G1005" s="3" t="s">
        <v>6270</v>
      </c>
      <c r="H1005" s="3" t="s">
        <v>86</v>
      </c>
      <c r="I1005" s="195">
        <v>26.449922999999998</v>
      </c>
      <c r="J1005" s="195">
        <v>80.331873999999999</v>
      </c>
      <c r="K1005" s="71" t="s">
        <v>2272</v>
      </c>
      <c r="L1005" s="3">
        <v>2005</v>
      </c>
      <c r="M1005" s="3">
        <v>2005</v>
      </c>
      <c r="N1005" s="71" t="s">
        <v>2272</v>
      </c>
      <c r="O1005" s="3" t="s">
        <v>66</v>
      </c>
      <c r="P1005" s="3" t="s">
        <v>6318</v>
      </c>
      <c r="Q1005" s="4" t="s">
        <v>6265</v>
      </c>
    </row>
    <row r="1006" spans="1:17" ht="58">
      <c r="A1006" s="31">
        <v>275</v>
      </c>
      <c r="B1006" s="37" t="s">
        <v>6268</v>
      </c>
      <c r="C1006" s="3" t="s">
        <v>6325</v>
      </c>
      <c r="D1006" s="3" t="s">
        <v>2393</v>
      </c>
      <c r="E1006" s="3" t="s">
        <v>2394</v>
      </c>
      <c r="F1006" s="3" t="s">
        <v>6272</v>
      </c>
      <c r="G1006" s="3" t="s">
        <v>6270</v>
      </c>
      <c r="H1006" s="3" t="s">
        <v>86</v>
      </c>
      <c r="I1006" s="195">
        <v>26.772974999999999</v>
      </c>
      <c r="J1006" s="195">
        <v>82.145792999999998</v>
      </c>
      <c r="K1006" s="71" t="s">
        <v>2272</v>
      </c>
      <c r="L1006" s="3">
        <v>2005</v>
      </c>
      <c r="M1006" s="3">
        <v>2005</v>
      </c>
      <c r="N1006" s="71" t="s">
        <v>2272</v>
      </c>
      <c r="O1006" s="3" t="s">
        <v>66</v>
      </c>
      <c r="P1006" s="3" t="s">
        <v>6318</v>
      </c>
      <c r="Q1006" s="4" t="s">
        <v>6265</v>
      </c>
    </row>
    <row r="1007" spans="1:17" ht="58">
      <c r="A1007" s="31">
        <v>275</v>
      </c>
      <c r="B1007" s="37" t="s">
        <v>6273</v>
      </c>
      <c r="C1007" s="3" t="s">
        <v>6326</v>
      </c>
      <c r="D1007" s="3" t="s">
        <v>2393</v>
      </c>
      <c r="E1007" s="3" t="s">
        <v>2394</v>
      </c>
      <c r="F1007" s="3" t="s">
        <v>6274</v>
      </c>
      <c r="G1007" s="3" t="s">
        <v>6275</v>
      </c>
      <c r="H1007" s="3" t="s">
        <v>86</v>
      </c>
      <c r="I1007" s="195">
        <v>25.466155000000001</v>
      </c>
      <c r="J1007" s="195">
        <v>84.522219000000007</v>
      </c>
      <c r="K1007" s="71" t="s">
        <v>2272</v>
      </c>
      <c r="L1007" s="3">
        <v>2005</v>
      </c>
      <c r="M1007" s="3">
        <v>2005</v>
      </c>
      <c r="N1007" s="71" t="s">
        <v>2272</v>
      </c>
      <c r="O1007" s="3" t="s">
        <v>66</v>
      </c>
      <c r="P1007" s="3" t="s">
        <v>6318</v>
      </c>
      <c r="Q1007" s="4" t="s">
        <v>6265</v>
      </c>
    </row>
    <row r="1008" spans="1:17" ht="58">
      <c r="A1008" s="31">
        <v>275</v>
      </c>
      <c r="B1008" s="37" t="s">
        <v>6273</v>
      </c>
      <c r="C1008" s="3" t="s">
        <v>6327</v>
      </c>
      <c r="D1008" s="3" t="s">
        <v>2393</v>
      </c>
      <c r="E1008" s="3" t="s">
        <v>2394</v>
      </c>
      <c r="F1008" s="3" t="s">
        <v>6276</v>
      </c>
      <c r="G1008" s="3" t="s">
        <v>6275</v>
      </c>
      <c r="H1008" s="3" t="s">
        <v>86</v>
      </c>
      <c r="I1008" s="195">
        <v>25.856027000000001</v>
      </c>
      <c r="J1008" s="195">
        <v>85.786822999999998</v>
      </c>
      <c r="K1008" s="71" t="s">
        <v>2272</v>
      </c>
      <c r="L1008" s="3">
        <v>2005</v>
      </c>
      <c r="M1008" s="3">
        <v>2005</v>
      </c>
      <c r="N1008" s="71" t="s">
        <v>2272</v>
      </c>
      <c r="O1008" s="3" t="s">
        <v>66</v>
      </c>
      <c r="P1008" s="3" t="s">
        <v>6318</v>
      </c>
      <c r="Q1008" s="4" t="s">
        <v>6265</v>
      </c>
    </row>
    <row r="1009" spans="1:17" ht="58">
      <c r="A1009" s="31">
        <v>275</v>
      </c>
      <c r="B1009" s="37" t="s">
        <v>6273</v>
      </c>
      <c r="C1009" s="3" t="s">
        <v>6328</v>
      </c>
      <c r="D1009" s="3" t="s">
        <v>2393</v>
      </c>
      <c r="E1009" s="3" t="s">
        <v>2394</v>
      </c>
      <c r="F1009" s="3" t="s">
        <v>6277</v>
      </c>
      <c r="G1009" s="3" t="s">
        <v>6275</v>
      </c>
      <c r="H1009" s="3" t="s">
        <v>86</v>
      </c>
      <c r="I1009" s="195">
        <v>25.418164000000001</v>
      </c>
      <c r="J1009" s="195">
        <v>86.127154000000004</v>
      </c>
      <c r="K1009" s="71" t="s">
        <v>2272</v>
      </c>
      <c r="L1009" s="3">
        <v>2005</v>
      </c>
      <c r="M1009" s="3">
        <v>2005</v>
      </c>
      <c r="N1009" s="71" t="s">
        <v>2272</v>
      </c>
      <c r="O1009" s="3" t="s">
        <v>66</v>
      </c>
      <c r="P1009" s="3" t="s">
        <v>6318</v>
      </c>
      <c r="Q1009" s="4" t="s">
        <v>6265</v>
      </c>
    </row>
    <row r="1010" spans="1:17" ht="58">
      <c r="A1010" s="31">
        <v>275</v>
      </c>
      <c r="B1010" s="37" t="s">
        <v>6278</v>
      </c>
      <c r="C1010" s="3" t="s">
        <v>6329</v>
      </c>
      <c r="D1010" s="3" t="s">
        <v>2393</v>
      </c>
      <c r="E1010" s="3" t="s">
        <v>2394</v>
      </c>
      <c r="F1010" s="3" t="s">
        <v>6279</v>
      </c>
      <c r="G1010" s="3" t="s">
        <v>6280</v>
      </c>
      <c r="H1010" s="3" t="s">
        <v>86</v>
      </c>
      <c r="I1010" s="195">
        <v>25.178577000000001</v>
      </c>
      <c r="J1010" s="195">
        <v>88.246117999999996</v>
      </c>
      <c r="K1010" s="71" t="s">
        <v>2272</v>
      </c>
      <c r="L1010" s="3">
        <v>2005</v>
      </c>
      <c r="M1010" s="3">
        <v>2005</v>
      </c>
      <c r="N1010" s="71" t="s">
        <v>2272</v>
      </c>
      <c r="O1010" s="3" t="s">
        <v>66</v>
      </c>
      <c r="P1010" s="3" t="s">
        <v>6318</v>
      </c>
      <c r="Q1010" s="4" t="s">
        <v>6265</v>
      </c>
    </row>
    <row r="1011" spans="1:17" ht="58">
      <c r="A1011" s="31">
        <v>275</v>
      </c>
      <c r="B1011" s="37" t="s">
        <v>6278</v>
      </c>
      <c r="C1011" s="3" t="s">
        <v>6330</v>
      </c>
      <c r="D1011" s="3" t="s">
        <v>2393</v>
      </c>
      <c r="E1011" s="3" t="s">
        <v>2394</v>
      </c>
      <c r="F1011" s="3" t="s">
        <v>6281</v>
      </c>
      <c r="G1011" s="3" t="s">
        <v>6280</v>
      </c>
      <c r="H1011" s="3" t="s">
        <v>86</v>
      </c>
      <c r="I1011" s="195">
        <v>24.617218000000001</v>
      </c>
      <c r="J1011" s="195">
        <v>88.303489999999996</v>
      </c>
      <c r="K1011" s="71" t="s">
        <v>2272</v>
      </c>
      <c r="L1011" s="3">
        <v>2005</v>
      </c>
      <c r="M1011" s="3">
        <v>2005</v>
      </c>
      <c r="N1011" s="71" t="s">
        <v>2272</v>
      </c>
      <c r="O1011" s="3" t="s">
        <v>66</v>
      </c>
      <c r="P1011" s="3" t="s">
        <v>6318</v>
      </c>
      <c r="Q1011" s="4" t="s">
        <v>6265</v>
      </c>
    </row>
    <row r="1012" spans="1:17" ht="58">
      <c r="A1012" s="31">
        <v>275</v>
      </c>
      <c r="B1012" s="37" t="s">
        <v>6278</v>
      </c>
      <c r="C1012" s="3" t="s">
        <v>6331</v>
      </c>
      <c r="D1012" s="3" t="s">
        <v>2393</v>
      </c>
      <c r="E1012" s="3" t="s">
        <v>2394</v>
      </c>
      <c r="F1012" s="3" t="s">
        <v>6282</v>
      </c>
      <c r="G1012" s="3" t="s">
        <v>6280</v>
      </c>
      <c r="H1012" s="3" t="s">
        <v>86</v>
      </c>
      <c r="I1012" s="195">
        <v>22.425661000000002</v>
      </c>
      <c r="J1012" s="195">
        <v>87.319882000000007</v>
      </c>
      <c r="K1012" s="71" t="s">
        <v>2272</v>
      </c>
      <c r="L1012" s="3">
        <v>2005</v>
      </c>
      <c r="M1012" s="3">
        <v>2005</v>
      </c>
      <c r="N1012" s="71" t="s">
        <v>2272</v>
      </c>
      <c r="O1012" s="3" t="s">
        <v>66</v>
      </c>
      <c r="P1012" s="3" t="s">
        <v>6318</v>
      </c>
      <c r="Q1012" s="4" t="s">
        <v>6265</v>
      </c>
    </row>
    <row r="1013" spans="1:17" ht="51" customHeight="1">
      <c r="A1013" s="31">
        <v>276</v>
      </c>
      <c r="B1013" s="38" t="s">
        <v>6283</v>
      </c>
      <c r="C1013" s="3" t="s">
        <v>6332</v>
      </c>
      <c r="D1013" s="3" t="s">
        <v>2393</v>
      </c>
      <c r="E1013" s="3" t="s">
        <v>2417</v>
      </c>
      <c r="F1013" s="3" t="s">
        <v>6284</v>
      </c>
      <c r="G1013" s="3" t="s">
        <v>6285</v>
      </c>
      <c r="H1013" s="3" t="s">
        <v>1049</v>
      </c>
      <c r="I1013" s="195">
        <v>18.788343999999999</v>
      </c>
      <c r="J1013" s="195">
        <v>98.985301000000007</v>
      </c>
      <c r="K1013" s="71" t="s">
        <v>2272</v>
      </c>
      <c r="L1013" s="3">
        <v>2019</v>
      </c>
      <c r="M1013" s="3">
        <v>2019</v>
      </c>
      <c r="N1013" s="71" t="s">
        <v>2272</v>
      </c>
      <c r="O1013" s="3" t="s">
        <v>66</v>
      </c>
      <c r="P1013" s="3" t="s">
        <v>6318</v>
      </c>
      <c r="Q1013" s="4" t="s">
        <v>6286</v>
      </c>
    </row>
    <row r="1014" spans="1:17" ht="87">
      <c r="A1014" s="31">
        <v>277</v>
      </c>
      <c r="B1014" s="37" t="s">
        <v>8583</v>
      </c>
      <c r="C1014" s="3" t="s">
        <v>6333</v>
      </c>
      <c r="D1014" s="3" t="s">
        <v>2393</v>
      </c>
      <c r="E1014" s="3" t="s">
        <v>2417</v>
      </c>
      <c r="F1014" s="3" t="s">
        <v>6287</v>
      </c>
      <c r="G1014" s="3" t="s">
        <v>6288</v>
      </c>
      <c r="H1014" s="3" t="s">
        <v>112</v>
      </c>
      <c r="I1014" s="195">
        <v>31.370037</v>
      </c>
      <c r="J1014" s="195">
        <v>119.54579699999999</v>
      </c>
      <c r="K1014" s="71" t="s">
        <v>2272</v>
      </c>
      <c r="L1014" s="3">
        <v>2016</v>
      </c>
      <c r="M1014" s="3">
        <v>2016</v>
      </c>
      <c r="N1014" s="71" t="s">
        <v>2272</v>
      </c>
      <c r="O1014" s="3" t="s">
        <v>66</v>
      </c>
      <c r="P1014" s="3" t="s">
        <v>6318</v>
      </c>
      <c r="Q1014" s="4" t="s">
        <v>6289</v>
      </c>
    </row>
    <row r="1015" spans="1:17" ht="115.5" customHeight="1">
      <c r="A1015" s="31">
        <v>277</v>
      </c>
      <c r="B1015" s="37" t="s">
        <v>8583</v>
      </c>
      <c r="C1015" s="3" t="s">
        <v>6496</v>
      </c>
      <c r="D1015" s="3" t="s">
        <v>2393</v>
      </c>
      <c r="E1015" s="3" t="s">
        <v>2417</v>
      </c>
      <c r="F1015" s="3" t="s">
        <v>6290</v>
      </c>
      <c r="G1015" s="3" t="s">
        <v>6288</v>
      </c>
      <c r="H1015" s="3" t="s">
        <v>112</v>
      </c>
      <c r="I1015" s="195">
        <v>31.654971</v>
      </c>
      <c r="J1015" s="195">
        <v>120.753182</v>
      </c>
      <c r="K1015" s="71" t="s">
        <v>2272</v>
      </c>
      <c r="L1015" s="3">
        <v>2016</v>
      </c>
      <c r="M1015" s="3">
        <v>2016</v>
      </c>
      <c r="N1015" s="71" t="s">
        <v>2272</v>
      </c>
      <c r="O1015" s="3" t="s">
        <v>66</v>
      </c>
      <c r="P1015" s="3" t="s">
        <v>6318</v>
      </c>
      <c r="Q1015" s="4" t="s">
        <v>6289</v>
      </c>
    </row>
    <row r="1016" spans="1:17" ht="112" customHeight="1">
      <c r="A1016" s="31">
        <v>277</v>
      </c>
      <c r="B1016" s="37" t="s">
        <v>8583</v>
      </c>
      <c r="C1016" s="3" t="s">
        <v>6334</v>
      </c>
      <c r="D1016" s="3" t="s">
        <v>2393</v>
      </c>
      <c r="E1016" s="3" t="s">
        <v>2417</v>
      </c>
      <c r="F1016" s="3" t="s">
        <v>6291</v>
      </c>
      <c r="G1016" s="3" t="s">
        <v>6288</v>
      </c>
      <c r="H1016" s="3" t="s">
        <v>112</v>
      </c>
      <c r="I1016" s="195">
        <v>32.910459000000003</v>
      </c>
      <c r="J1016" s="195">
        <v>119.85254</v>
      </c>
      <c r="K1016" s="71" t="s">
        <v>2272</v>
      </c>
      <c r="L1016" s="3">
        <v>2016</v>
      </c>
      <c r="M1016" s="3">
        <v>2016</v>
      </c>
      <c r="N1016" s="71" t="s">
        <v>2272</v>
      </c>
      <c r="O1016" s="3" t="s">
        <v>66</v>
      </c>
      <c r="P1016" s="3" t="s">
        <v>6318</v>
      </c>
      <c r="Q1016" s="4" t="s">
        <v>6292</v>
      </c>
    </row>
    <row r="1017" spans="1:17" ht="87">
      <c r="A1017" s="31">
        <v>277</v>
      </c>
      <c r="B1017" s="37" t="s">
        <v>8583</v>
      </c>
      <c r="C1017" s="3" t="s">
        <v>6335</v>
      </c>
      <c r="D1017" s="3" t="s">
        <v>2393</v>
      </c>
      <c r="E1017" s="3" t="s">
        <v>2417</v>
      </c>
      <c r="F1017" s="3" t="s">
        <v>6293</v>
      </c>
      <c r="G1017" s="3" t="s">
        <v>6288</v>
      </c>
      <c r="H1017" s="3" t="s">
        <v>112</v>
      </c>
      <c r="I1017" s="195">
        <v>33.238593999999999</v>
      </c>
      <c r="J1017" s="195">
        <v>119.353319</v>
      </c>
      <c r="K1017" s="71" t="s">
        <v>2272</v>
      </c>
      <c r="L1017" s="3">
        <v>2016</v>
      </c>
      <c r="M1017" s="3">
        <v>2016</v>
      </c>
      <c r="N1017" s="71" t="s">
        <v>2272</v>
      </c>
      <c r="O1017" s="3" t="s">
        <v>66</v>
      </c>
      <c r="P1017" s="3" t="s">
        <v>6318</v>
      </c>
      <c r="Q1017" s="4" t="s">
        <v>6292</v>
      </c>
    </row>
    <row r="1018" spans="1:17" ht="87">
      <c r="A1018" s="31">
        <v>277</v>
      </c>
      <c r="B1018" s="37" t="s">
        <v>8583</v>
      </c>
      <c r="C1018" s="3" t="s">
        <v>6336</v>
      </c>
      <c r="D1018" s="3" t="s">
        <v>2393</v>
      </c>
      <c r="E1018" s="3" t="s">
        <v>2417</v>
      </c>
      <c r="F1018" s="3" t="s">
        <v>6294</v>
      </c>
      <c r="G1018" s="3" t="s">
        <v>6288</v>
      </c>
      <c r="H1018" s="3" t="s">
        <v>112</v>
      </c>
      <c r="I1018" s="195">
        <v>34.369579999999999</v>
      </c>
      <c r="J1018" s="195">
        <v>118.35453699999999</v>
      </c>
      <c r="K1018" s="71" t="s">
        <v>2272</v>
      </c>
      <c r="L1018" s="3">
        <v>2016</v>
      </c>
      <c r="M1018" s="3">
        <v>2016</v>
      </c>
      <c r="N1018" s="71" t="s">
        <v>2272</v>
      </c>
      <c r="O1018" s="3" t="s">
        <v>66</v>
      </c>
      <c r="P1018" s="3" t="s">
        <v>6318</v>
      </c>
      <c r="Q1018" s="4" t="s">
        <v>6295</v>
      </c>
    </row>
    <row r="1019" spans="1:17" ht="117" customHeight="1">
      <c r="A1019" s="31">
        <v>277</v>
      </c>
      <c r="B1019" s="37" t="s">
        <v>8583</v>
      </c>
      <c r="C1019" s="3" t="s">
        <v>6337</v>
      </c>
      <c r="D1019" s="3" t="s">
        <v>2393</v>
      </c>
      <c r="E1019" s="3" t="s">
        <v>2417</v>
      </c>
      <c r="F1019" s="3" t="s">
        <v>6296</v>
      </c>
      <c r="G1019" s="3" t="s">
        <v>6288</v>
      </c>
      <c r="H1019" s="3" t="s">
        <v>112</v>
      </c>
      <c r="I1019" s="195">
        <v>34.190972000000002</v>
      </c>
      <c r="J1019" s="195">
        <v>119.58672900000001</v>
      </c>
      <c r="K1019" s="71" t="s">
        <v>2272</v>
      </c>
      <c r="L1019" s="3">
        <v>2016</v>
      </c>
      <c r="M1019" s="3">
        <v>2016</v>
      </c>
      <c r="N1019" s="71" t="s">
        <v>2272</v>
      </c>
      <c r="O1019" s="3" t="s">
        <v>66</v>
      </c>
      <c r="P1019" s="3" t="s">
        <v>6318</v>
      </c>
      <c r="Q1019" s="4" t="s">
        <v>6295</v>
      </c>
    </row>
    <row r="1020" spans="1:17" ht="57.5" customHeight="1">
      <c r="A1020" s="31">
        <v>278</v>
      </c>
      <c r="B1020" s="38" t="s">
        <v>6297</v>
      </c>
      <c r="C1020" s="3" t="s">
        <v>8387</v>
      </c>
      <c r="D1020" s="3" t="s">
        <v>2393</v>
      </c>
      <c r="E1020" s="3" t="s">
        <v>2394</v>
      </c>
      <c r="F1020" s="3" t="s">
        <v>6298</v>
      </c>
      <c r="G1020" s="3" t="s">
        <v>85</v>
      </c>
      <c r="H1020" s="3" t="s">
        <v>6299</v>
      </c>
      <c r="I1020" s="195">
        <v>32.187691999999998</v>
      </c>
      <c r="J1020" s="195">
        <v>74.194452999999996</v>
      </c>
      <c r="K1020" s="71" t="s">
        <v>2272</v>
      </c>
      <c r="L1020" s="3">
        <v>2010</v>
      </c>
      <c r="M1020" s="3">
        <v>2010</v>
      </c>
      <c r="N1020" s="71" t="s">
        <v>2272</v>
      </c>
      <c r="O1020" s="3" t="s">
        <v>66</v>
      </c>
      <c r="P1020" s="3" t="s">
        <v>6318</v>
      </c>
      <c r="Q1020" s="4"/>
    </row>
    <row r="1021" spans="1:17" ht="88" customHeight="1">
      <c r="A1021" s="31">
        <v>278</v>
      </c>
      <c r="B1021" s="38" t="s">
        <v>6297</v>
      </c>
      <c r="C1021" s="3" t="s">
        <v>8388</v>
      </c>
      <c r="D1021" s="3" t="s">
        <v>2393</v>
      </c>
      <c r="E1021" s="3" t="s">
        <v>2394</v>
      </c>
      <c r="F1021" s="3" t="s">
        <v>6300</v>
      </c>
      <c r="G1021" s="3" t="s">
        <v>85</v>
      </c>
      <c r="H1021" s="3" t="s">
        <v>6299</v>
      </c>
      <c r="I1021" s="195">
        <v>32.494498999999998</v>
      </c>
      <c r="J1021" s="195">
        <v>74.522891999999999</v>
      </c>
      <c r="K1021" s="71" t="s">
        <v>2272</v>
      </c>
      <c r="L1021" s="3">
        <v>2010</v>
      </c>
      <c r="M1021" s="3">
        <v>2010</v>
      </c>
      <c r="N1021" s="71" t="s">
        <v>2272</v>
      </c>
      <c r="O1021" s="3" t="s">
        <v>66</v>
      </c>
      <c r="P1021" s="3" t="s">
        <v>6318</v>
      </c>
      <c r="Q1021" s="4"/>
    </row>
    <row r="1022" spans="1:17" ht="31" customHeight="1">
      <c r="A1022" s="31">
        <v>279</v>
      </c>
      <c r="B1022" s="37" t="s">
        <v>6301</v>
      </c>
      <c r="C1022" s="3" t="s">
        <v>6338</v>
      </c>
      <c r="D1022" s="3" t="s">
        <v>2393</v>
      </c>
      <c r="E1022" s="3" t="s">
        <v>2417</v>
      </c>
      <c r="F1022" s="3" t="s">
        <v>6302</v>
      </c>
      <c r="G1022" s="71" t="s">
        <v>2272</v>
      </c>
      <c r="H1022" s="3" t="s">
        <v>3485</v>
      </c>
      <c r="I1022" s="195">
        <v>-17.850000000000001</v>
      </c>
      <c r="J1022" s="195">
        <v>31.566666999999999</v>
      </c>
      <c r="K1022" s="71" t="s">
        <v>2272</v>
      </c>
      <c r="L1022" s="3">
        <v>2009</v>
      </c>
      <c r="M1022" s="3">
        <v>2010</v>
      </c>
      <c r="N1022" s="3">
        <v>104</v>
      </c>
      <c r="O1022" s="3" t="s">
        <v>66</v>
      </c>
      <c r="P1022" s="3" t="s">
        <v>6318</v>
      </c>
      <c r="Q1022" s="4"/>
    </row>
    <row r="1023" spans="1:17" ht="31" customHeight="1">
      <c r="A1023" s="31">
        <v>279</v>
      </c>
      <c r="B1023" s="37" t="s">
        <v>6301</v>
      </c>
      <c r="C1023" s="3" t="s">
        <v>6339</v>
      </c>
      <c r="D1023" s="3" t="s">
        <v>2393</v>
      </c>
      <c r="E1023" s="3" t="s">
        <v>2417</v>
      </c>
      <c r="F1023" s="3" t="s">
        <v>6303</v>
      </c>
      <c r="G1023" s="71" t="s">
        <v>2272</v>
      </c>
      <c r="H1023" s="3" t="s">
        <v>6346</v>
      </c>
      <c r="I1023" s="21">
        <v>-18.833333</v>
      </c>
      <c r="J1023" s="21">
        <v>33.183332999999998</v>
      </c>
      <c r="K1023" s="71" t="s">
        <v>2272</v>
      </c>
      <c r="L1023" s="3">
        <v>2009</v>
      </c>
      <c r="M1023" s="3">
        <v>2010</v>
      </c>
      <c r="N1023" s="3">
        <v>22</v>
      </c>
      <c r="O1023" s="3" t="s">
        <v>66</v>
      </c>
      <c r="P1023" s="3" t="s">
        <v>6318</v>
      </c>
      <c r="Q1023" s="4"/>
    </row>
    <row r="1024" spans="1:17" ht="31" customHeight="1">
      <c r="A1024" s="31">
        <v>279</v>
      </c>
      <c r="B1024" s="37" t="s">
        <v>6301</v>
      </c>
      <c r="C1024" s="3" t="s">
        <v>6340</v>
      </c>
      <c r="D1024" s="3" t="s">
        <v>2393</v>
      </c>
      <c r="E1024" s="3" t="s">
        <v>2417</v>
      </c>
      <c r="F1024" s="3" t="s">
        <v>6304</v>
      </c>
      <c r="G1024" s="71" t="s">
        <v>2272</v>
      </c>
      <c r="H1024" s="3" t="s">
        <v>6346</v>
      </c>
      <c r="I1024" s="21">
        <v>-18.766667000000002</v>
      </c>
      <c r="J1024" s="21">
        <v>34.333333000000003</v>
      </c>
      <c r="K1024" s="71" t="s">
        <v>2272</v>
      </c>
      <c r="L1024" s="3">
        <v>2009</v>
      </c>
      <c r="M1024" s="3">
        <v>2010</v>
      </c>
      <c r="N1024" s="3">
        <v>25</v>
      </c>
      <c r="O1024" s="3" t="s">
        <v>66</v>
      </c>
      <c r="P1024" s="3" t="s">
        <v>6318</v>
      </c>
      <c r="Q1024" s="4"/>
    </row>
    <row r="1025" spans="1:17" ht="32.5" customHeight="1">
      <c r="A1025" s="31">
        <v>280</v>
      </c>
      <c r="B1025" s="37" t="s">
        <v>6305</v>
      </c>
      <c r="C1025" s="3" t="s">
        <v>6341</v>
      </c>
      <c r="D1025" s="3" t="s">
        <v>2393</v>
      </c>
      <c r="E1025" s="3" t="s">
        <v>2394</v>
      </c>
      <c r="F1025" s="3" t="s">
        <v>6306</v>
      </c>
      <c r="G1025" s="3" t="s">
        <v>6307</v>
      </c>
      <c r="H1025" s="3" t="s">
        <v>776</v>
      </c>
      <c r="I1025" s="195">
        <v>20.26408</v>
      </c>
      <c r="J1025" s="195">
        <v>106.05813999999999</v>
      </c>
      <c r="K1025" s="71" t="s">
        <v>2272</v>
      </c>
      <c r="L1025" s="3">
        <v>2015</v>
      </c>
      <c r="M1025" s="3">
        <v>2015</v>
      </c>
      <c r="N1025" s="71" t="s">
        <v>2272</v>
      </c>
      <c r="O1025" s="3" t="s">
        <v>66</v>
      </c>
      <c r="P1025" s="3" t="s">
        <v>6318</v>
      </c>
      <c r="Q1025" s="4"/>
    </row>
    <row r="1026" spans="1:17" ht="32.5" customHeight="1">
      <c r="A1026" s="31">
        <v>280</v>
      </c>
      <c r="B1026" s="37" t="s">
        <v>6305</v>
      </c>
      <c r="C1026" s="3" t="s">
        <v>6342</v>
      </c>
      <c r="D1026" s="3" t="s">
        <v>2393</v>
      </c>
      <c r="E1026" s="3" t="s">
        <v>2394</v>
      </c>
      <c r="F1026" s="3" t="s">
        <v>6308</v>
      </c>
      <c r="G1026" s="3" t="s">
        <v>6309</v>
      </c>
      <c r="H1026" s="3" t="s">
        <v>776</v>
      </c>
      <c r="I1026" s="195">
        <v>21.342251000000001</v>
      </c>
      <c r="J1026" s="195">
        <v>106.014059</v>
      </c>
      <c r="K1026" s="71" t="s">
        <v>2272</v>
      </c>
      <c r="L1026" s="3">
        <v>2015</v>
      </c>
      <c r="M1026" s="3">
        <v>2015</v>
      </c>
      <c r="N1026" s="71" t="s">
        <v>2272</v>
      </c>
      <c r="O1026" s="3" t="s">
        <v>66</v>
      </c>
      <c r="P1026" s="3" t="s">
        <v>6318</v>
      </c>
      <c r="Q1026" s="4"/>
    </row>
    <row r="1027" spans="1:17" ht="32.5" customHeight="1">
      <c r="A1027" s="31">
        <v>280</v>
      </c>
      <c r="B1027" s="37" t="s">
        <v>6305</v>
      </c>
      <c r="C1027" s="3" t="s">
        <v>6343</v>
      </c>
      <c r="D1027" s="3" t="s">
        <v>2393</v>
      </c>
      <c r="E1027" s="3" t="s">
        <v>2394</v>
      </c>
      <c r="F1027" s="198" t="s">
        <v>6310</v>
      </c>
      <c r="G1027" s="198" t="s">
        <v>6311</v>
      </c>
      <c r="H1027" s="198" t="s">
        <v>776</v>
      </c>
      <c r="I1027" s="195">
        <v>21.868908999999999</v>
      </c>
      <c r="J1027" s="195">
        <v>104.18146900000001</v>
      </c>
      <c r="K1027" s="71" t="s">
        <v>2272</v>
      </c>
      <c r="L1027" s="3">
        <v>2015</v>
      </c>
      <c r="M1027" s="3">
        <v>2015</v>
      </c>
      <c r="N1027" s="71" t="s">
        <v>2272</v>
      </c>
      <c r="O1027" s="3" t="s">
        <v>66</v>
      </c>
      <c r="P1027" s="3" t="s">
        <v>6318</v>
      </c>
      <c r="Q1027" s="4"/>
    </row>
    <row r="1028" spans="1:17" ht="45.5" customHeight="1">
      <c r="A1028" s="101">
        <v>281</v>
      </c>
      <c r="B1028" s="53" t="s">
        <v>11282</v>
      </c>
      <c r="C1028" s="11" t="s">
        <v>5433</v>
      </c>
      <c r="D1028" s="198" t="s">
        <v>2393</v>
      </c>
      <c r="E1028" s="198" t="s">
        <v>2394</v>
      </c>
      <c r="F1028" s="198" t="s">
        <v>11288</v>
      </c>
      <c r="G1028" s="198" t="s">
        <v>11289</v>
      </c>
      <c r="H1028" s="11" t="s">
        <v>1139</v>
      </c>
      <c r="I1028" s="242">
        <f>7+16/60</f>
        <v>7.2666666666666666</v>
      </c>
      <c r="J1028" s="242">
        <f>-2-53/60</f>
        <v>-2.8833333333333333</v>
      </c>
      <c r="K1028" s="70">
        <v>1368</v>
      </c>
      <c r="L1028" s="11">
        <v>2006</v>
      </c>
      <c r="M1028" s="11">
        <v>2006</v>
      </c>
      <c r="N1028" s="71" t="s">
        <v>2272</v>
      </c>
      <c r="O1028" s="198" t="s">
        <v>66</v>
      </c>
      <c r="P1028" s="11" t="s">
        <v>5181</v>
      </c>
      <c r="Q1028" s="19"/>
    </row>
    <row r="1029" spans="1:17" s="197" customFormat="1" ht="45.5" customHeight="1">
      <c r="A1029" s="101">
        <v>281</v>
      </c>
      <c r="B1029" s="53" t="s">
        <v>11282</v>
      </c>
      <c r="C1029" s="11" t="s">
        <v>11283</v>
      </c>
      <c r="D1029" s="198" t="s">
        <v>2393</v>
      </c>
      <c r="E1029" s="198" t="s">
        <v>2394</v>
      </c>
      <c r="F1029" s="198" t="s">
        <v>11297</v>
      </c>
      <c r="G1029" s="11" t="s">
        <v>11290</v>
      </c>
      <c r="H1029" s="11" t="s">
        <v>1139</v>
      </c>
      <c r="I1029" s="242">
        <f>6+35/60</f>
        <v>6.583333333333333</v>
      </c>
      <c r="J1029" s="242">
        <f>-4/6</f>
        <v>-0.66666666666666663</v>
      </c>
      <c r="K1029" s="70">
        <v>1462</v>
      </c>
      <c r="L1029" s="11">
        <v>2006</v>
      </c>
      <c r="M1029" s="11">
        <v>2006</v>
      </c>
      <c r="N1029" s="71" t="s">
        <v>2272</v>
      </c>
      <c r="O1029" s="198" t="s">
        <v>66</v>
      </c>
      <c r="P1029" s="11" t="s">
        <v>5181</v>
      </c>
      <c r="Q1029" s="19"/>
    </row>
    <row r="1030" spans="1:17" s="197" customFormat="1" ht="45.5" customHeight="1">
      <c r="A1030" s="101">
        <v>281</v>
      </c>
      <c r="B1030" s="53" t="s">
        <v>11282</v>
      </c>
      <c r="C1030" s="11" t="s">
        <v>11284</v>
      </c>
      <c r="D1030" s="198" t="s">
        <v>2393</v>
      </c>
      <c r="E1030" s="198" t="s">
        <v>2394</v>
      </c>
      <c r="F1030" s="198" t="s">
        <v>11291</v>
      </c>
      <c r="G1030" s="11" t="s">
        <v>11290</v>
      </c>
      <c r="H1030" s="11" t="s">
        <v>1139</v>
      </c>
      <c r="I1030" s="242">
        <f>6+25/60</f>
        <v>6.416666666666667</v>
      </c>
      <c r="J1030" s="242">
        <f>-21/60</f>
        <v>-0.35</v>
      </c>
      <c r="K1030" s="70">
        <v>1150</v>
      </c>
      <c r="L1030" s="11">
        <v>2006</v>
      </c>
      <c r="M1030" s="11">
        <v>2006</v>
      </c>
      <c r="N1030" s="71" t="s">
        <v>2272</v>
      </c>
      <c r="O1030" s="198" t="s">
        <v>66</v>
      </c>
      <c r="P1030" s="11" t="s">
        <v>5181</v>
      </c>
      <c r="Q1030" s="19"/>
    </row>
    <row r="1031" spans="1:17" s="197" customFormat="1" ht="45.5" customHeight="1">
      <c r="A1031" s="101">
        <v>281</v>
      </c>
      <c r="B1031" s="53" t="s">
        <v>11282</v>
      </c>
      <c r="C1031" s="11" t="s">
        <v>11285</v>
      </c>
      <c r="D1031" s="198" t="s">
        <v>2393</v>
      </c>
      <c r="E1031" s="198" t="s">
        <v>2394</v>
      </c>
      <c r="F1031" s="198" t="s">
        <v>11292</v>
      </c>
      <c r="G1031" s="198" t="s">
        <v>11293</v>
      </c>
      <c r="H1031" s="11" t="s">
        <v>1139</v>
      </c>
      <c r="I1031" s="242">
        <f>5+26/60</f>
        <v>5.4333333333333336</v>
      </c>
      <c r="J1031" s="242">
        <f>-42/60</f>
        <v>-0.7</v>
      </c>
      <c r="K1031" s="70">
        <v>1022</v>
      </c>
      <c r="L1031" s="11">
        <v>2006</v>
      </c>
      <c r="M1031" s="11">
        <v>2006</v>
      </c>
      <c r="N1031" s="71" t="s">
        <v>2272</v>
      </c>
      <c r="O1031" s="198" t="s">
        <v>66</v>
      </c>
      <c r="P1031" s="11" t="s">
        <v>5181</v>
      </c>
      <c r="Q1031" s="19"/>
    </row>
    <row r="1032" spans="1:17" s="197" customFormat="1" ht="45.5" customHeight="1">
      <c r="A1032" s="101">
        <v>281</v>
      </c>
      <c r="B1032" s="53" t="s">
        <v>11282</v>
      </c>
      <c r="C1032" s="11" t="s">
        <v>11286</v>
      </c>
      <c r="D1032" s="198" t="s">
        <v>2393</v>
      </c>
      <c r="E1032" s="198" t="s">
        <v>2394</v>
      </c>
      <c r="F1032" s="198" t="s">
        <v>11295</v>
      </c>
      <c r="G1032" s="198" t="s">
        <v>11290</v>
      </c>
      <c r="H1032" s="11" t="s">
        <v>1139</v>
      </c>
      <c r="I1032" s="242">
        <v>7</v>
      </c>
      <c r="J1032" s="242">
        <v>-0.25</v>
      </c>
      <c r="K1032" s="70">
        <v>5040</v>
      </c>
      <c r="L1032" s="11">
        <v>2006</v>
      </c>
      <c r="M1032" s="11">
        <v>2006</v>
      </c>
      <c r="N1032" s="71" t="s">
        <v>2272</v>
      </c>
      <c r="O1032" s="198" t="s">
        <v>66</v>
      </c>
      <c r="P1032" s="11" t="s">
        <v>5181</v>
      </c>
      <c r="Q1032" s="19"/>
    </row>
    <row r="1033" spans="1:17" s="197" customFormat="1" ht="45.5" customHeight="1">
      <c r="A1033" s="101">
        <v>281</v>
      </c>
      <c r="B1033" s="53" t="s">
        <v>11282</v>
      </c>
      <c r="C1033" s="11" t="s">
        <v>11287</v>
      </c>
      <c r="D1033" s="198" t="s">
        <v>2393</v>
      </c>
      <c r="E1033" s="198" t="s">
        <v>2394</v>
      </c>
      <c r="F1033" s="198" t="s">
        <v>11296</v>
      </c>
      <c r="G1033" s="198" t="s">
        <v>11294</v>
      </c>
      <c r="H1033" s="11" t="s">
        <v>1139</v>
      </c>
      <c r="I1033" s="242">
        <f>6+36/60</f>
        <v>6.6</v>
      </c>
      <c r="J1033" s="242">
        <f>-1</f>
        <v>-1</v>
      </c>
      <c r="K1033" s="70">
        <v>1217.7</v>
      </c>
      <c r="L1033" s="11">
        <v>2006</v>
      </c>
      <c r="M1033" s="11">
        <v>2006</v>
      </c>
      <c r="N1033" s="71" t="s">
        <v>2272</v>
      </c>
      <c r="O1033" s="198" t="s">
        <v>66</v>
      </c>
      <c r="P1033" s="11" t="s">
        <v>5181</v>
      </c>
      <c r="Q1033" s="19"/>
    </row>
    <row r="1034" spans="1:17" ht="32.5" customHeight="1">
      <c r="A1034" s="31">
        <v>282</v>
      </c>
      <c r="B1034" s="37" t="s">
        <v>6312</v>
      </c>
      <c r="C1034" s="3" t="s">
        <v>6344</v>
      </c>
      <c r="D1034" s="3" t="s">
        <v>2393</v>
      </c>
      <c r="E1034" s="3" t="s">
        <v>2394</v>
      </c>
      <c r="F1034" s="3" t="s">
        <v>6313</v>
      </c>
      <c r="G1034" s="3" t="s">
        <v>6314</v>
      </c>
      <c r="H1034" s="3" t="s">
        <v>892</v>
      </c>
      <c r="I1034" s="195">
        <v>-8.7302070000000001</v>
      </c>
      <c r="J1034" s="195">
        <v>115.545165</v>
      </c>
      <c r="K1034" s="71" t="s">
        <v>2272</v>
      </c>
      <c r="L1034" s="3">
        <v>2017</v>
      </c>
      <c r="M1034" s="3">
        <v>2017</v>
      </c>
      <c r="N1034" s="71" t="s">
        <v>2272</v>
      </c>
      <c r="O1034" s="3" t="s">
        <v>66</v>
      </c>
      <c r="P1034" s="3" t="s">
        <v>6318</v>
      </c>
      <c r="Q1034" s="4"/>
    </row>
    <row r="1035" spans="1:17" ht="32.5" customHeight="1">
      <c r="A1035" s="31">
        <v>283</v>
      </c>
      <c r="B1035" s="37" t="s">
        <v>6315</v>
      </c>
      <c r="C1035" s="3" t="s">
        <v>6345</v>
      </c>
      <c r="D1035" s="3" t="s">
        <v>2393</v>
      </c>
      <c r="E1035" s="3" t="s">
        <v>2417</v>
      </c>
      <c r="F1035" s="71" t="s">
        <v>2272</v>
      </c>
      <c r="G1035" s="3" t="s">
        <v>6316</v>
      </c>
      <c r="H1035" s="3" t="s">
        <v>6317</v>
      </c>
      <c r="I1035" s="195">
        <v>51.79363</v>
      </c>
      <c r="J1035" s="195">
        <v>82.67586</v>
      </c>
      <c r="K1035" s="21">
        <v>86000</v>
      </c>
      <c r="L1035" s="3">
        <v>2013</v>
      </c>
      <c r="M1035" s="3">
        <v>2014</v>
      </c>
      <c r="N1035" s="71" t="s">
        <v>2272</v>
      </c>
      <c r="O1035" s="3" t="s">
        <v>66</v>
      </c>
      <c r="P1035" s="3" t="s">
        <v>6318</v>
      </c>
      <c r="Q1035" s="4"/>
    </row>
    <row r="1036" spans="1:17" ht="43" customHeight="1">
      <c r="A1036" s="182">
        <v>284</v>
      </c>
      <c r="B1036" s="200" t="s">
        <v>6361</v>
      </c>
      <c r="C1036" s="26" t="s">
        <v>6394</v>
      </c>
      <c r="D1036" s="26" t="s">
        <v>2628</v>
      </c>
      <c r="E1036" s="26" t="s">
        <v>2631</v>
      </c>
      <c r="F1036" s="26" t="s">
        <v>6362</v>
      </c>
      <c r="G1036" s="71" t="s">
        <v>2272</v>
      </c>
      <c r="H1036" s="26" t="s">
        <v>3409</v>
      </c>
      <c r="I1036" s="26">
        <v>-33.200000000000003</v>
      </c>
      <c r="J1036" s="26">
        <v>117.4</v>
      </c>
      <c r="K1036" s="26">
        <v>25000</v>
      </c>
      <c r="L1036" s="26">
        <v>1962</v>
      </c>
      <c r="M1036" s="26">
        <v>1990</v>
      </c>
      <c r="N1036" s="71" t="s">
        <v>2272</v>
      </c>
      <c r="O1036" s="26" t="s">
        <v>66</v>
      </c>
      <c r="P1036" s="19" t="s">
        <v>6393</v>
      </c>
      <c r="Q1036" s="26" t="s">
        <v>7849</v>
      </c>
    </row>
    <row r="1037" spans="1:17" ht="42" customHeight="1">
      <c r="A1037" s="182">
        <v>284</v>
      </c>
      <c r="B1037" s="201" t="s">
        <v>6361</v>
      </c>
      <c r="C1037" s="26" t="s">
        <v>6395</v>
      </c>
      <c r="D1037" s="26" t="s">
        <v>2628</v>
      </c>
      <c r="E1037" s="26" t="s">
        <v>2631</v>
      </c>
      <c r="F1037" s="26" t="s">
        <v>6362</v>
      </c>
      <c r="G1037" s="71" t="s">
        <v>2272</v>
      </c>
      <c r="H1037" s="26" t="s">
        <v>3409</v>
      </c>
      <c r="I1037" s="26">
        <v>-33.200000000000003</v>
      </c>
      <c r="J1037" s="26">
        <v>117.4</v>
      </c>
      <c r="K1037" s="26">
        <v>25000</v>
      </c>
      <c r="L1037" s="26">
        <v>1991</v>
      </c>
      <c r="M1037" s="26">
        <v>2012</v>
      </c>
      <c r="N1037" s="71" t="s">
        <v>2272</v>
      </c>
      <c r="O1037" s="26" t="s">
        <v>66</v>
      </c>
      <c r="P1037" s="19" t="s">
        <v>6393</v>
      </c>
      <c r="Q1037" s="26" t="s">
        <v>7849</v>
      </c>
    </row>
    <row r="1038" spans="1:17" ht="87">
      <c r="A1038" s="182">
        <v>285</v>
      </c>
      <c r="B1038" s="201" t="s">
        <v>6363</v>
      </c>
      <c r="C1038" s="26" t="s">
        <v>6396</v>
      </c>
      <c r="D1038" s="26" t="s">
        <v>2393</v>
      </c>
      <c r="E1038" s="26" t="s">
        <v>4842</v>
      </c>
      <c r="F1038" s="26" t="s">
        <v>6364</v>
      </c>
      <c r="G1038" s="26" t="s">
        <v>5775</v>
      </c>
      <c r="H1038" s="26" t="s">
        <v>4107</v>
      </c>
      <c r="I1038" s="26">
        <v>64.83</v>
      </c>
      <c r="J1038" s="26">
        <v>-147.72</v>
      </c>
      <c r="K1038" s="26">
        <v>79</v>
      </c>
      <c r="L1038" s="26">
        <v>1988</v>
      </c>
      <c r="M1038" s="26">
        <v>2016</v>
      </c>
      <c r="N1038" s="202">
        <v>379.74683544303798</v>
      </c>
      <c r="O1038" s="26" t="s">
        <v>66</v>
      </c>
      <c r="P1038" s="19" t="s">
        <v>6393</v>
      </c>
      <c r="Q1038" s="26" t="s">
        <v>6365</v>
      </c>
    </row>
    <row r="1039" spans="1:17" ht="130.5">
      <c r="A1039" s="182">
        <v>285</v>
      </c>
      <c r="B1039" s="201" t="s">
        <v>6363</v>
      </c>
      <c r="C1039" s="26" t="s">
        <v>6397</v>
      </c>
      <c r="D1039" s="26" t="s">
        <v>2393</v>
      </c>
      <c r="E1039" s="26" t="s">
        <v>4842</v>
      </c>
      <c r="F1039" s="71" t="s">
        <v>2272</v>
      </c>
      <c r="G1039" s="26" t="s">
        <v>5775</v>
      </c>
      <c r="H1039" s="26" t="s">
        <v>4107</v>
      </c>
      <c r="I1039" s="26">
        <v>65.5</v>
      </c>
      <c r="J1039" s="26">
        <v>-149.30000000000001</v>
      </c>
      <c r="K1039" s="26">
        <v>455000</v>
      </c>
      <c r="L1039" s="26">
        <v>1988</v>
      </c>
      <c r="M1039" s="26">
        <v>2016</v>
      </c>
      <c r="N1039" s="202">
        <v>0.25934065934065897</v>
      </c>
      <c r="O1039" s="4" t="s">
        <v>66</v>
      </c>
      <c r="P1039" s="19" t="s">
        <v>6393</v>
      </c>
      <c r="Q1039" s="26" t="s">
        <v>6366</v>
      </c>
    </row>
    <row r="1040" spans="1:17" ht="49" customHeight="1">
      <c r="A1040" s="187">
        <v>286</v>
      </c>
      <c r="B1040" s="201" t="s">
        <v>6367</v>
      </c>
      <c r="C1040" s="4" t="s">
        <v>6398</v>
      </c>
      <c r="D1040" s="4" t="s">
        <v>2411</v>
      </c>
      <c r="E1040" s="4" t="s">
        <v>2631</v>
      </c>
      <c r="F1040" s="71" t="s">
        <v>2272</v>
      </c>
      <c r="G1040" s="71" t="s">
        <v>2272</v>
      </c>
      <c r="H1040" s="4" t="s">
        <v>4027</v>
      </c>
      <c r="I1040" s="21">
        <v>47</v>
      </c>
      <c r="J1040" s="21">
        <v>104</v>
      </c>
      <c r="K1040" s="21">
        <v>1560000</v>
      </c>
      <c r="L1040" s="4">
        <v>2007</v>
      </c>
      <c r="M1040" s="4">
        <v>2007</v>
      </c>
      <c r="N1040" s="71" t="s">
        <v>2272</v>
      </c>
      <c r="O1040" s="4" t="s">
        <v>66</v>
      </c>
      <c r="P1040" s="19" t="s">
        <v>6393</v>
      </c>
      <c r="Q1040" s="4"/>
    </row>
    <row r="1041" spans="1:17" ht="49" customHeight="1">
      <c r="A1041" s="187">
        <v>286</v>
      </c>
      <c r="B1041" s="201" t="s">
        <v>6367</v>
      </c>
      <c r="C1041" s="4" t="s">
        <v>6399</v>
      </c>
      <c r="D1041" s="4" t="s">
        <v>2411</v>
      </c>
      <c r="E1041" s="4" t="s">
        <v>2631</v>
      </c>
      <c r="F1041" s="71" t="s">
        <v>2272</v>
      </c>
      <c r="G1041" s="71" t="s">
        <v>2272</v>
      </c>
      <c r="H1041" s="4" t="s">
        <v>4027</v>
      </c>
      <c r="I1041" s="21">
        <v>47</v>
      </c>
      <c r="J1041" s="21">
        <v>104</v>
      </c>
      <c r="K1041" s="21">
        <v>1560000</v>
      </c>
      <c r="L1041" s="4">
        <v>2007</v>
      </c>
      <c r="M1041" s="4">
        <v>2007</v>
      </c>
      <c r="N1041" s="71" t="s">
        <v>2272</v>
      </c>
      <c r="O1041" s="4" t="s">
        <v>66</v>
      </c>
      <c r="P1041" s="19" t="s">
        <v>6393</v>
      </c>
      <c r="Q1041" s="4"/>
    </row>
    <row r="1042" spans="1:17" ht="49" customHeight="1">
      <c r="A1042" s="187">
        <v>286</v>
      </c>
      <c r="B1042" s="201" t="s">
        <v>6367</v>
      </c>
      <c r="C1042" s="4" t="s">
        <v>6400</v>
      </c>
      <c r="D1042" s="4" t="s">
        <v>2411</v>
      </c>
      <c r="E1042" s="4" t="s">
        <v>2631</v>
      </c>
      <c r="F1042" s="71" t="s">
        <v>2272</v>
      </c>
      <c r="G1042" s="71" t="s">
        <v>2272</v>
      </c>
      <c r="H1042" s="4" t="s">
        <v>4027</v>
      </c>
      <c r="I1042" s="21">
        <v>47</v>
      </c>
      <c r="J1042" s="21">
        <v>104</v>
      </c>
      <c r="K1042" s="21">
        <v>1560000</v>
      </c>
      <c r="L1042" s="4">
        <v>2007</v>
      </c>
      <c r="M1042" s="4">
        <v>2007</v>
      </c>
      <c r="N1042" s="71" t="s">
        <v>2272</v>
      </c>
      <c r="O1042" s="4" t="s">
        <v>66</v>
      </c>
      <c r="P1042" s="19" t="s">
        <v>6393</v>
      </c>
      <c r="Q1042" s="4"/>
    </row>
    <row r="1043" spans="1:17" ht="49" customHeight="1">
      <c r="A1043" s="187">
        <v>287</v>
      </c>
      <c r="B1043" s="38" t="s">
        <v>6368</v>
      </c>
      <c r="C1043" s="4" t="s">
        <v>6401</v>
      </c>
      <c r="D1043" s="4" t="s">
        <v>2393</v>
      </c>
      <c r="E1043" s="26" t="s">
        <v>4842</v>
      </c>
      <c r="F1043" s="4" t="s">
        <v>6369</v>
      </c>
      <c r="G1043" s="4" t="s">
        <v>4127</v>
      </c>
      <c r="H1043" s="4" t="s">
        <v>4107</v>
      </c>
      <c r="I1043" s="71">
        <v>34.4</v>
      </c>
      <c r="J1043" s="71">
        <v>-118.3</v>
      </c>
      <c r="K1043" s="203">
        <v>264</v>
      </c>
      <c r="L1043" s="4">
        <v>1980</v>
      </c>
      <c r="M1043" s="4">
        <v>2007</v>
      </c>
      <c r="N1043" s="71" t="s">
        <v>2272</v>
      </c>
      <c r="O1043" s="4" t="s">
        <v>66</v>
      </c>
      <c r="P1043" s="19" t="s">
        <v>6393</v>
      </c>
      <c r="Q1043" s="4"/>
    </row>
    <row r="1044" spans="1:17" ht="49" customHeight="1">
      <c r="A1044" s="187">
        <v>287</v>
      </c>
      <c r="B1044" s="201" t="s">
        <v>6368</v>
      </c>
      <c r="C1044" s="4" t="s">
        <v>6402</v>
      </c>
      <c r="D1044" s="4" t="s">
        <v>2393</v>
      </c>
      <c r="E1044" s="26" t="s">
        <v>4842</v>
      </c>
      <c r="F1044" s="4" t="s">
        <v>6370</v>
      </c>
      <c r="G1044" s="4" t="s">
        <v>4127</v>
      </c>
      <c r="H1044" s="4" t="s">
        <v>4107</v>
      </c>
      <c r="I1044" s="71">
        <v>34.799999999999997</v>
      </c>
      <c r="J1044" s="71">
        <v>-119.6</v>
      </c>
      <c r="K1044" s="203">
        <v>615</v>
      </c>
      <c r="L1044" s="4">
        <v>1980</v>
      </c>
      <c r="M1044" s="4">
        <v>2007</v>
      </c>
      <c r="N1044" s="71" t="s">
        <v>2272</v>
      </c>
      <c r="O1044" s="4" t="s">
        <v>66</v>
      </c>
      <c r="P1044" s="19" t="s">
        <v>6393</v>
      </c>
      <c r="Q1044" s="4"/>
    </row>
    <row r="1045" spans="1:17" ht="49" customHeight="1">
      <c r="A1045" s="187">
        <v>287</v>
      </c>
      <c r="B1045" s="201" t="s">
        <v>6368</v>
      </c>
      <c r="C1045" s="4" t="s">
        <v>6403</v>
      </c>
      <c r="D1045" s="4" t="s">
        <v>2393</v>
      </c>
      <c r="E1045" s="26" t="s">
        <v>4842</v>
      </c>
      <c r="F1045" s="4" t="s">
        <v>6371</v>
      </c>
      <c r="G1045" s="4" t="s">
        <v>4127</v>
      </c>
      <c r="H1045" s="4" t="s">
        <v>4107</v>
      </c>
      <c r="I1045" s="71">
        <v>33.69</v>
      </c>
      <c r="J1045" s="71">
        <v>-116.6</v>
      </c>
      <c r="K1045" s="203">
        <v>305</v>
      </c>
      <c r="L1045" s="4">
        <v>1980</v>
      </c>
      <c r="M1045" s="4">
        <v>2007</v>
      </c>
      <c r="N1045" s="71" t="s">
        <v>2272</v>
      </c>
      <c r="O1045" s="4" t="s">
        <v>66</v>
      </c>
      <c r="P1045" s="19" t="s">
        <v>6393</v>
      </c>
      <c r="Q1045" s="4"/>
    </row>
    <row r="1046" spans="1:17" ht="49" customHeight="1">
      <c r="A1046" s="187">
        <v>287</v>
      </c>
      <c r="B1046" s="201" t="s">
        <v>6368</v>
      </c>
      <c r="C1046" s="4" t="s">
        <v>6404</v>
      </c>
      <c r="D1046" s="4" t="s">
        <v>2393</v>
      </c>
      <c r="E1046" s="26" t="s">
        <v>4842</v>
      </c>
      <c r="F1046" s="4" t="s">
        <v>6372</v>
      </c>
      <c r="G1046" s="4" t="s">
        <v>4127</v>
      </c>
      <c r="H1046" s="4" t="s">
        <v>4107</v>
      </c>
      <c r="I1046" s="71">
        <v>32.9</v>
      </c>
      <c r="J1046" s="71">
        <v>-116.5</v>
      </c>
      <c r="K1046" s="203">
        <v>211</v>
      </c>
      <c r="L1046" s="4">
        <v>1980</v>
      </c>
      <c r="M1046" s="4">
        <v>2007</v>
      </c>
      <c r="N1046" s="71" t="s">
        <v>2272</v>
      </c>
      <c r="O1046" s="4" t="s">
        <v>66</v>
      </c>
      <c r="P1046" s="19" t="s">
        <v>6393</v>
      </c>
      <c r="Q1046" s="4"/>
    </row>
    <row r="1047" spans="1:17" ht="72.5">
      <c r="A1047" s="187">
        <v>288</v>
      </c>
      <c r="B1047" s="200" t="s">
        <v>6373</v>
      </c>
      <c r="C1047" s="4" t="s">
        <v>6405</v>
      </c>
      <c r="D1047" s="4" t="s">
        <v>2393</v>
      </c>
      <c r="E1047" s="4" t="s">
        <v>2631</v>
      </c>
      <c r="F1047" s="4" t="s">
        <v>6374</v>
      </c>
      <c r="G1047" s="4" t="s">
        <v>6375</v>
      </c>
      <c r="H1047" s="4" t="s">
        <v>4107</v>
      </c>
      <c r="I1047" s="71">
        <v>43.2</v>
      </c>
      <c r="J1047" s="71">
        <v>-121.6</v>
      </c>
      <c r="K1047" s="203">
        <v>15578</v>
      </c>
      <c r="L1047" s="4">
        <v>1905</v>
      </c>
      <c r="M1047" s="4">
        <v>1924</v>
      </c>
      <c r="N1047" s="71" t="s">
        <v>2272</v>
      </c>
      <c r="O1047" s="4" t="s">
        <v>66</v>
      </c>
      <c r="P1047" s="19" t="s">
        <v>6393</v>
      </c>
      <c r="Q1047" s="4" t="s">
        <v>6376</v>
      </c>
    </row>
    <row r="1048" spans="1:17" ht="72.5">
      <c r="A1048" s="187">
        <v>288</v>
      </c>
      <c r="B1048" s="200" t="s">
        <v>6373</v>
      </c>
      <c r="C1048" s="4" t="s">
        <v>6406</v>
      </c>
      <c r="D1048" s="4" t="s">
        <v>2393</v>
      </c>
      <c r="E1048" s="4" t="s">
        <v>2631</v>
      </c>
      <c r="F1048" s="4" t="s">
        <v>6374</v>
      </c>
      <c r="G1048" s="4" t="s">
        <v>6375</v>
      </c>
      <c r="H1048" s="4" t="s">
        <v>4107</v>
      </c>
      <c r="I1048" s="71">
        <v>43.2</v>
      </c>
      <c r="J1048" s="71">
        <v>-121.6</v>
      </c>
      <c r="K1048" s="203">
        <v>15578</v>
      </c>
      <c r="L1048" s="4">
        <v>1925</v>
      </c>
      <c r="M1048" s="4">
        <v>1975</v>
      </c>
      <c r="N1048" s="71" t="s">
        <v>2272</v>
      </c>
      <c r="O1048" s="4" t="s">
        <v>66</v>
      </c>
      <c r="P1048" s="19" t="s">
        <v>6393</v>
      </c>
      <c r="Q1048" s="4" t="s">
        <v>6376</v>
      </c>
    </row>
    <row r="1049" spans="1:17" ht="72.5">
      <c r="A1049" s="187">
        <v>288</v>
      </c>
      <c r="B1049" s="200" t="s">
        <v>6373</v>
      </c>
      <c r="C1049" s="4" t="s">
        <v>6407</v>
      </c>
      <c r="D1049" s="4" t="s">
        <v>2393</v>
      </c>
      <c r="E1049" s="4" t="s">
        <v>2631</v>
      </c>
      <c r="F1049" s="4" t="s">
        <v>6374</v>
      </c>
      <c r="G1049" s="4" t="s">
        <v>6375</v>
      </c>
      <c r="H1049" s="4" t="s">
        <v>4107</v>
      </c>
      <c r="I1049" s="71">
        <v>43.2</v>
      </c>
      <c r="J1049" s="71">
        <v>-121.6</v>
      </c>
      <c r="K1049" s="203">
        <v>15578</v>
      </c>
      <c r="L1049" s="4">
        <v>1976</v>
      </c>
      <c r="M1049" s="4">
        <v>1995</v>
      </c>
      <c r="N1049" s="71" t="s">
        <v>2272</v>
      </c>
      <c r="O1049" s="4" t="s">
        <v>66</v>
      </c>
      <c r="P1049" s="19" t="s">
        <v>6393</v>
      </c>
      <c r="Q1049" s="4" t="s">
        <v>6376</v>
      </c>
    </row>
    <row r="1050" spans="1:17" ht="73.5" customHeight="1">
      <c r="A1050" s="187">
        <v>288</v>
      </c>
      <c r="B1050" s="200" t="s">
        <v>6373</v>
      </c>
      <c r="C1050" s="4" t="s">
        <v>6408</v>
      </c>
      <c r="D1050" s="4" t="s">
        <v>2393</v>
      </c>
      <c r="E1050" s="4" t="s">
        <v>2631</v>
      </c>
      <c r="F1050" s="4" t="s">
        <v>6374</v>
      </c>
      <c r="G1050" s="4" t="s">
        <v>6375</v>
      </c>
      <c r="H1050" s="4" t="s">
        <v>4107</v>
      </c>
      <c r="I1050" s="71">
        <v>43.2</v>
      </c>
      <c r="J1050" s="71">
        <v>-121.6</v>
      </c>
      <c r="K1050" s="203">
        <v>15578</v>
      </c>
      <c r="L1050" s="4">
        <v>1995</v>
      </c>
      <c r="M1050" s="4">
        <v>2010</v>
      </c>
      <c r="N1050" s="71" t="s">
        <v>2272</v>
      </c>
      <c r="O1050" s="4" t="s">
        <v>66</v>
      </c>
      <c r="P1050" s="19" t="s">
        <v>6393</v>
      </c>
      <c r="Q1050" s="4" t="s">
        <v>6376</v>
      </c>
    </row>
    <row r="1051" spans="1:17" ht="73.5" customHeight="1">
      <c r="A1051" s="187">
        <v>288</v>
      </c>
      <c r="B1051" s="200" t="s">
        <v>6373</v>
      </c>
      <c r="C1051" s="4" t="s">
        <v>6409</v>
      </c>
      <c r="D1051" s="4" t="s">
        <v>2393</v>
      </c>
      <c r="E1051" s="4" t="s">
        <v>2631</v>
      </c>
      <c r="F1051" s="4" t="s">
        <v>6374</v>
      </c>
      <c r="G1051" s="4" t="s">
        <v>6375</v>
      </c>
      <c r="H1051" s="4" t="s">
        <v>4107</v>
      </c>
      <c r="I1051" s="71">
        <v>42.8</v>
      </c>
      <c r="J1051" s="71">
        <v>-121.3</v>
      </c>
      <c r="K1051" s="71" t="s">
        <v>2272</v>
      </c>
      <c r="L1051" s="4">
        <v>1911</v>
      </c>
      <c r="M1051" s="4">
        <v>1924</v>
      </c>
      <c r="N1051" s="71" t="s">
        <v>2272</v>
      </c>
      <c r="O1051" s="4" t="s">
        <v>66</v>
      </c>
      <c r="P1051" s="19" t="s">
        <v>6393</v>
      </c>
      <c r="Q1051" s="4"/>
    </row>
    <row r="1052" spans="1:17" ht="73.5" customHeight="1">
      <c r="A1052" s="187">
        <v>288</v>
      </c>
      <c r="B1052" s="200" t="s">
        <v>6373</v>
      </c>
      <c r="C1052" s="4" t="s">
        <v>6410</v>
      </c>
      <c r="D1052" s="4" t="s">
        <v>2393</v>
      </c>
      <c r="E1052" s="4" t="s">
        <v>2631</v>
      </c>
      <c r="F1052" s="4" t="s">
        <v>6374</v>
      </c>
      <c r="G1052" s="4" t="s">
        <v>6375</v>
      </c>
      <c r="H1052" s="4" t="s">
        <v>4107</v>
      </c>
      <c r="I1052" s="71">
        <v>42.8</v>
      </c>
      <c r="J1052" s="71">
        <v>-121.3</v>
      </c>
      <c r="K1052" s="71" t="s">
        <v>2272</v>
      </c>
      <c r="L1052" s="4">
        <v>1925</v>
      </c>
      <c r="M1052" s="4">
        <v>1997</v>
      </c>
      <c r="N1052" s="71" t="s">
        <v>2272</v>
      </c>
      <c r="O1052" s="4" t="s">
        <v>66</v>
      </c>
      <c r="P1052" s="19" t="s">
        <v>6393</v>
      </c>
      <c r="Q1052" s="4"/>
    </row>
    <row r="1053" spans="1:17" ht="73.5" customHeight="1">
      <c r="A1053" s="187">
        <v>288</v>
      </c>
      <c r="B1053" s="200" t="s">
        <v>6373</v>
      </c>
      <c r="C1053" s="4" t="s">
        <v>6556</v>
      </c>
      <c r="D1053" s="4" t="s">
        <v>2393</v>
      </c>
      <c r="E1053" s="4" t="s">
        <v>2631</v>
      </c>
      <c r="F1053" s="4" t="s">
        <v>6374</v>
      </c>
      <c r="G1053" s="4" t="s">
        <v>6375</v>
      </c>
      <c r="H1053" s="4" t="s">
        <v>4107</v>
      </c>
      <c r="I1053" s="71">
        <v>42.8</v>
      </c>
      <c r="J1053" s="71">
        <v>-121.3</v>
      </c>
      <c r="K1053" s="71" t="s">
        <v>2272</v>
      </c>
      <c r="L1053" s="4">
        <v>1998</v>
      </c>
      <c r="M1053" s="4">
        <v>2010</v>
      </c>
      <c r="N1053" s="71" t="s">
        <v>2272</v>
      </c>
      <c r="O1053" s="4" t="s">
        <v>66</v>
      </c>
      <c r="P1053" s="19" t="s">
        <v>6393</v>
      </c>
      <c r="Q1053" s="4"/>
    </row>
    <row r="1054" spans="1:17" ht="43.5">
      <c r="A1054" s="187">
        <v>288</v>
      </c>
      <c r="B1054" s="200" t="s">
        <v>6373</v>
      </c>
      <c r="C1054" s="4" t="s">
        <v>6411</v>
      </c>
      <c r="D1054" s="4" t="s">
        <v>2393</v>
      </c>
      <c r="E1054" s="4" t="s">
        <v>2631</v>
      </c>
      <c r="F1054" s="4" t="s">
        <v>6377</v>
      </c>
      <c r="G1054" s="4" t="s">
        <v>6375</v>
      </c>
      <c r="H1054" s="4" t="s">
        <v>4107</v>
      </c>
      <c r="I1054" s="71">
        <v>44.8</v>
      </c>
      <c r="J1054" s="71">
        <v>-121.4</v>
      </c>
      <c r="K1054" s="203">
        <v>2640</v>
      </c>
      <c r="L1054" s="4">
        <v>1910</v>
      </c>
      <c r="M1054" s="4">
        <v>1924</v>
      </c>
      <c r="N1054" s="71" t="s">
        <v>2272</v>
      </c>
      <c r="O1054" s="4" t="s">
        <v>66</v>
      </c>
      <c r="P1054" s="19" t="s">
        <v>6393</v>
      </c>
      <c r="Q1054" s="4" t="s">
        <v>6378</v>
      </c>
    </row>
    <row r="1055" spans="1:17" ht="43.5">
      <c r="A1055" s="187">
        <v>288</v>
      </c>
      <c r="B1055" s="200" t="s">
        <v>6373</v>
      </c>
      <c r="C1055" s="4" t="s">
        <v>6412</v>
      </c>
      <c r="D1055" s="4" t="s">
        <v>2393</v>
      </c>
      <c r="E1055" s="4" t="s">
        <v>2631</v>
      </c>
      <c r="F1055" s="4" t="s">
        <v>6377</v>
      </c>
      <c r="G1055" s="4" t="s">
        <v>6375</v>
      </c>
      <c r="H1055" s="4" t="s">
        <v>4107</v>
      </c>
      <c r="I1055" s="71">
        <v>44.8</v>
      </c>
      <c r="J1055" s="71">
        <v>-121.4</v>
      </c>
      <c r="K1055" s="203">
        <v>2640</v>
      </c>
      <c r="L1055" s="4">
        <v>1925</v>
      </c>
      <c r="M1055" s="4">
        <v>1975</v>
      </c>
      <c r="N1055" s="71" t="s">
        <v>2272</v>
      </c>
      <c r="O1055" s="4" t="s">
        <v>66</v>
      </c>
      <c r="P1055" s="19" t="s">
        <v>6393</v>
      </c>
      <c r="Q1055" s="4" t="s">
        <v>6378</v>
      </c>
    </row>
    <row r="1056" spans="1:17" ht="43.5">
      <c r="A1056" s="187">
        <v>288</v>
      </c>
      <c r="B1056" s="200" t="s">
        <v>6373</v>
      </c>
      <c r="C1056" s="4" t="s">
        <v>6413</v>
      </c>
      <c r="D1056" s="4" t="s">
        <v>2393</v>
      </c>
      <c r="E1056" s="4" t="s">
        <v>2631</v>
      </c>
      <c r="F1056" s="4" t="s">
        <v>6377</v>
      </c>
      <c r="G1056" s="4" t="s">
        <v>6375</v>
      </c>
      <c r="H1056" s="4" t="s">
        <v>4107</v>
      </c>
      <c r="I1056" s="71">
        <v>44.8</v>
      </c>
      <c r="J1056" s="71">
        <v>-121.4</v>
      </c>
      <c r="K1056" s="203">
        <v>2640</v>
      </c>
      <c r="L1056" s="4">
        <v>1976</v>
      </c>
      <c r="M1056" s="4">
        <v>1995</v>
      </c>
      <c r="N1056" s="71" t="s">
        <v>2272</v>
      </c>
      <c r="O1056" s="4" t="s">
        <v>66</v>
      </c>
      <c r="P1056" s="19" t="s">
        <v>6393</v>
      </c>
      <c r="Q1056" s="4" t="s">
        <v>6378</v>
      </c>
    </row>
    <row r="1057" spans="1:17" ht="43.5">
      <c r="A1057" s="187">
        <v>288</v>
      </c>
      <c r="B1057" s="200" t="s">
        <v>6373</v>
      </c>
      <c r="C1057" s="4" t="s">
        <v>6414</v>
      </c>
      <c r="D1057" s="4" t="s">
        <v>2393</v>
      </c>
      <c r="E1057" s="4" t="s">
        <v>2631</v>
      </c>
      <c r="F1057" s="4" t="s">
        <v>6377</v>
      </c>
      <c r="G1057" s="4" t="s">
        <v>6375</v>
      </c>
      <c r="H1057" s="4" t="s">
        <v>4107</v>
      </c>
      <c r="I1057" s="71">
        <v>44.8</v>
      </c>
      <c r="J1057" s="71">
        <v>-121.4</v>
      </c>
      <c r="K1057" s="203">
        <v>2640</v>
      </c>
      <c r="L1057" s="4">
        <v>1996</v>
      </c>
      <c r="M1057" s="4">
        <v>2010</v>
      </c>
      <c r="N1057" s="71" t="s">
        <v>2272</v>
      </c>
      <c r="O1057" s="4" t="s">
        <v>66</v>
      </c>
      <c r="P1057" s="19" t="s">
        <v>6393</v>
      </c>
      <c r="Q1057" s="4" t="s">
        <v>6378</v>
      </c>
    </row>
    <row r="1058" spans="1:17" ht="41.5" customHeight="1">
      <c r="A1058" s="187">
        <v>289</v>
      </c>
      <c r="B1058" s="201" t="s">
        <v>6379</v>
      </c>
      <c r="C1058" s="4" t="s">
        <v>6415</v>
      </c>
      <c r="D1058" s="4" t="s">
        <v>2393</v>
      </c>
      <c r="E1058" s="4" t="s">
        <v>2631</v>
      </c>
      <c r="F1058" s="4" t="s">
        <v>6380</v>
      </c>
      <c r="G1058" s="4" t="s">
        <v>6381</v>
      </c>
      <c r="H1058" s="4" t="s">
        <v>5367</v>
      </c>
      <c r="I1058" s="71">
        <v>60</v>
      </c>
      <c r="J1058" s="71">
        <v>-112.1</v>
      </c>
      <c r="K1058" s="203">
        <v>43000</v>
      </c>
      <c r="L1058" s="4">
        <v>1970</v>
      </c>
      <c r="M1058" s="4">
        <v>2015</v>
      </c>
      <c r="N1058" s="71" t="s">
        <v>2272</v>
      </c>
      <c r="O1058" s="4" t="s">
        <v>66</v>
      </c>
      <c r="P1058" s="19" t="s">
        <v>6393</v>
      </c>
      <c r="Q1058" s="4"/>
    </row>
    <row r="1059" spans="1:17" ht="58">
      <c r="A1059" s="187">
        <v>289</v>
      </c>
      <c r="B1059" s="200" t="s">
        <v>6379</v>
      </c>
      <c r="C1059" s="4" t="s">
        <v>6416</v>
      </c>
      <c r="D1059" s="4" t="s">
        <v>2393</v>
      </c>
      <c r="E1059" s="4" t="s">
        <v>2631</v>
      </c>
      <c r="F1059" s="4" t="s">
        <v>6382</v>
      </c>
      <c r="G1059" s="4" t="s">
        <v>6381</v>
      </c>
      <c r="H1059" s="4" t="s">
        <v>5367</v>
      </c>
      <c r="I1059" s="71">
        <v>57.2</v>
      </c>
      <c r="J1059" s="71">
        <v>-111.5</v>
      </c>
      <c r="K1059" s="203">
        <v>79000</v>
      </c>
      <c r="L1059" s="4">
        <v>1970</v>
      </c>
      <c r="M1059" s="4">
        <v>2015</v>
      </c>
      <c r="N1059" s="4">
        <v>1.3</v>
      </c>
      <c r="O1059" s="4" t="s">
        <v>66</v>
      </c>
      <c r="P1059" s="19" t="s">
        <v>6393</v>
      </c>
      <c r="Q1059" s="4" t="s">
        <v>6383</v>
      </c>
    </row>
    <row r="1060" spans="1:17" ht="112.5" customHeight="1">
      <c r="A1060" s="187">
        <v>290</v>
      </c>
      <c r="B1060" s="54" t="s">
        <v>6384</v>
      </c>
      <c r="C1060" s="4" t="s">
        <v>6417</v>
      </c>
      <c r="D1060" s="4" t="s">
        <v>2411</v>
      </c>
      <c r="E1060" s="4" t="s">
        <v>2631</v>
      </c>
      <c r="F1060" s="4" t="s">
        <v>6385</v>
      </c>
      <c r="G1060" s="71" t="s">
        <v>2272</v>
      </c>
      <c r="H1060" s="4" t="s">
        <v>3485</v>
      </c>
      <c r="I1060" s="71">
        <v>-18.440000000000001</v>
      </c>
      <c r="J1060" s="71">
        <v>27.26</v>
      </c>
      <c r="K1060" s="203">
        <v>6387</v>
      </c>
      <c r="L1060" s="4">
        <v>1989</v>
      </c>
      <c r="M1060" s="4">
        <v>2007</v>
      </c>
      <c r="N1060" s="205">
        <v>3.0056779077770099</v>
      </c>
      <c r="O1060" s="4" t="s">
        <v>66</v>
      </c>
      <c r="P1060" s="19" t="s">
        <v>6393</v>
      </c>
      <c r="Q1060" s="4" t="s">
        <v>6386</v>
      </c>
    </row>
    <row r="1061" spans="1:17" ht="29" customHeight="1">
      <c r="A1061" s="187">
        <v>291</v>
      </c>
      <c r="B1061" s="201" t="s">
        <v>6387</v>
      </c>
      <c r="C1061" s="4" t="s">
        <v>6418</v>
      </c>
      <c r="D1061" s="4" t="s">
        <v>2393</v>
      </c>
      <c r="E1061" s="4" t="s">
        <v>2631</v>
      </c>
      <c r="F1061" s="4" t="s">
        <v>6388</v>
      </c>
      <c r="G1061" s="4" t="s">
        <v>6389</v>
      </c>
      <c r="H1061" s="4" t="s">
        <v>6390</v>
      </c>
      <c r="I1061" s="71">
        <v>65.17</v>
      </c>
      <c r="J1061" s="71">
        <v>18.75</v>
      </c>
      <c r="K1061" s="203">
        <v>598</v>
      </c>
      <c r="L1061" s="4">
        <v>1921</v>
      </c>
      <c r="M1061" s="4">
        <v>1970</v>
      </c>
      <c r="N1061" s="71" t="s">
        <v>2272</v>
      </c>
      <c r="O1061" s="4" t="s">
        <v>66</v>
      </c>
      <c r="P1061" s="19" t="s">
        <v>6393</v>
      </c>
      <c r="Q1061" s="4"/>
    </row>
    <row r="1062" spans="1:17" ht="32" customHeight="1">
      <c r="A1062" s="187">
        <v>292</v>
      </c>
      <c r="B1062" s="201" t="s">
        <v>6391</v>
      </c>
      <c r="C1062" s="4" t="s">
        <v>6419</v>
      </c>
      <c r="D1062" s="4" t="s">
        <v>2393</v>
      </c>
      <c r="E1062" s="4" t="s">
        <v>4842</v>
      </c>
      <c r="F1062" s="71" t="s">
        <v>2272</v>
      </c>
      <c r="G1062" s="71" t="s">
        <v>2272</v>
      </c>
      <c r="H1062" s="4" t="s">
        <v>6390</v>
      </c>
      <c r="I1062" s="71">
        <v>59.2</v>
      </c>
      <c r="J1062" s="71">
        <v>18.5</v>
      </c>
      <c r="K1062" s="203">
        <v>305360</v>
      </c>
      <c r="L1062" s="4">
        <v>2011</v>
      </c>
      <c r="M1062" s="4">
        <v>2015</v>
      </c>
      <c r="N1062" s="71" t="s">
        <v>2272</v>
      </c>
      <c r="O1062" s="4" t="s">
        <v>66</v>
      </c>
      <c r="P1062" s="19" t="s">
        <v>6393</v>
      </c>
      <c r="Q1062" s="4" t="s">
        <v>6392</v>
      </c>
    </row>
    <row r="1063" spans="1:17" ht="33.5" customHeight="1">
      <c r="A1063" s="207">
        <v>293</v>
      </c>
      <c r="B1063" s="37" t="s">
        <v>6978</v>
      </c>
      <c r="C1063" s="19" t="s">
        <v>6979</v>
      </c>
      <c r="D1063" s="4" t="s">
        <v>2393</v>
      </c>
      <c r="E1063" s="198" t="s">
        <v>2394</v>
      </c>
      <c r="F1063" s="19" t="s">
        <v>6980</v>
      </c>
      <c r="G1063" s="19" t="s">
        <v>6981</v>
      </c>
      <c r="H1063" s="19" t="s">
        <v>7283</v>
      </c>
      <c r="I1063" s="21">
        <f>48 + 23/60</f>
        <v>48.383333333333333</v>
      </c>
      <c r="J1063" s="21">
        <f>21 + 21.7/60</f>
        <v>21.361666666666668</v>
      </c>
      <c r="K1063" s="21">
        <v>1</v>
      </c>
      <c r="L1063" s="19">
        <v>2006</v>
      </c>
      <c r="M1063" s="19">
        <v>2007</v>
      </c>
      <c r="N1063" s="71" t="s">
        <v>2272</v>
      </c>
      <c r="O1063" s="4" t="s">
        <v>66</v>
      </c>
      <c r="P1063" s="19" t="s">
        <v>5181</v>
      </c>
      <c r="Q1063" s="198"/>
    </row>
    <row r="1064" spans="1:17" ht="38" customHeight="1">
      <c r="A1064" s="207">
        <v>294</v>
      </c>
      <c r="B1064" s="37" t="s">
        <v>6986</v>
      </c>
      <c r="C1064" s="19" t="s">
        <v>6987</v>
      </c>
      <c r="D1064" s="4" t="s">
        <v>2393</v>
      </c>
      <c r="E1064" s="198" t="s">
        <v>2395</v>
      </c>
      <c r="F1064" s="198" t="s">
        <v>6988</v>
      </c>
      <c r="G1064" s="77" t="s">
        <v>164</v>
      </c>
      <c r="H1064" s="19" t="s">
        <v>119</v>
      </c>
      <c r="I1064" s="21">
        <v>-7.9078809999999997</v>
      </c>
      <c r="J1064" s="21">
        <v>-55.433556799999998</v>
      </c>
      <c r="K1064" s="21">
        <f>185*185</f>
        <v>34225</v>
      </c>
      <c r="L1064" s="19">
        <v>2013</v>
      </c>
      <c r="M1064" s="19">
        <v>2014</v>
      </c>
      <c r="N1064" s="71" t="s">
        <v>2272</v>
      </c>
      <c r="O1064" s="4" t="s">
        <v>66</v>
      </c>
      <c r="P1064" s="19" t="s">
        <v>5181</v>
      </c>
      <c r="Q1064" s="4" t="s">
        <v>6999</v>
      </c>
    </row>
    <row r="1065" spans="1:17" ht="42.5" customHeight="1">
      <c r="A1065" s="207">
        <v>295</v>
      </c>
      <c r="B1065" s="37" t="s">
        <v>6997</v>
      </c>
      <c r="C1065" s="19" t="s">
        <v>6998</v>
      </c>
      <c r="D1065" s="4" t="s">
        <v>2393</v>
      </c>
      <c r="E1065" s="198" t="s">
        <v>2395</v>
      </c>
      <c r="F1065" s="71" t="s">
        <v>2272</v>
      </c>
      <c r="G1065" s="198" t="s">
        <v>163</v>
      </c>
      <c r="H1065" s="19" t="s">
        <v>119</v>
      </c>
      <c r="I1065" s="21">
        <f>AVERAGE(-9 - 15/60, -10-40/60)</f>
        <v>-9.9583333333333321</v>
      </c>
      <c r="J1065" s="21">
        <f>AVERAGE(-62 - 50/60, -60)</f>
        <v>-61.416666666666671</v>
      </c>
      <c r="K1065" s="21">
        <f>185*185</f>
        <v>34225</v>
      </c>
      <c r="L1065" s="198">
        <v>2005</v>
      </c>
      <c r="M1065" s="198">
        <v>2005</v>
      </c>
      <c r="N1065" s="71" t="s">
        <v>2272</v>
      </c>
      <c r="O1065" s="4" t="s">
        <v>66</v>
      </c>
      <c r="P1065" s="19" t="s">
        <v>5181</v>
      </c>
      <c r="Q1065" s="19" t="s">
        <v>7000</v>
      </c>
    </row>
    <row r="1066" spans="1:17" ht="37.5" customHeight="1">
      <c r="A1066" s="207">
        <v>296</v>
      </c>
      <c r="B1066" s="37" t="s">
        <v>7007</v>
      </c>
      <c r="C1066" s="19" t="s">
        <v>7008</v>
      </c>
      <c r="D1066" s="4" t="s">
        <v>2393</v>
      </c>
      <c r="E1066" s="198" t="s">
        <v>2400</v>
      </c>
      <c r="F1066" s="71" t="s">
        <v>2272</v>
      </c>
      <c r="G1066" s="198" t="s">
        <v>163</v>
      </c>
      <c r="H1066" s="19" t="s">
        <v>119</v>
      </c>
      <c r="I1066" s="21">
        <v>-12.6955445</v>
      </c>
      <c r="J1066" s="21">
        <v>-55.928997299999999</v>
      </c>
      <c r="K1066" s="21">
        <v>903357</v>
      </c>
      <c r="L1066" s="198">
        <v>2001</v>
      </c>
      <c r="M1066" s="198">
        <v>2004</v>
      </c>
      <c r="N1066" s="71" t="s">
        <v>2272</v>
      </c>
      <c r="O1066" s="198" t="s">
        <v>147</v>
      </c>
      <c r="P1066" s="19" t="s">
        <v>5181</v>
      </c>
      <c r="Q1066" s="198"/>
    </row>
    <row r="1067" spans="1:17" ht="39" customHeight="1">
      <c r="A1067" s="207">
        <v>297</v>
      </c>
      <c r="B1067" s="37" t="s">
        <v>7013</v>
      </c>
      <c r="C1067" s="19" t="s">
        <v>7014</v>
      </c>
      <c r="D1067" s="4" t="s">
        <v>2393</v>
      </c>
      <c r="E1067" s="198" t="s">
        <v>2632</v>
      </c>
      <c r="F1067" s="198" t="s">
        <v>7016</v>
      </c>
      <c r="G1067" s="198" t="s">
        <v>7015</v>
      </c>
      <c r="H1067" s="19" t="s">
        <v>4107</v>
      </c>
      <c r="I1067" s="21">
        <v>40.752764800000001</v>
      </c>
      <c r="J1067" s="21">
        <v>-104.0032815</v>
      </c>
      <c r="K1067" s="21">
        <f>60900/100</f>
        <v>609</v>
      </c>
      <c r="L1067" s="19">
        <v>2007</v>
      </c>
      <c r="M1067" s="19">
        <v>2010</v>
      </c>
      <c r="N1067" s="71" t="s">
        <v>2272</v>
      </c>
      <c r="O1067" s="4" t="s">
        <v>66</v>
      </c>
      <c r="P1067" s="19" t="s">
        <v>5181</v>
      </c>
      <c r="Q1067" s="4" t="s">
        <v>7018</v>
      </c>
    </row>
    <row r="1068" spans="1:17" ht="41.5" customHeight="1">
      <c r="A1068" s="207">
        <v>298</v>
      </c>
      <c r="B1068" s="37" t="s">
        <v>7025</v>
      </c>
      <c r="C1068" s="198" t="s">
        <v>7024</v>
      </c>
      <c r="D1068" s="4" t="s">
        <v>2393</v>
      </c>
      <c r="E1068" s="198" t="s">
        <v>2394</v>
      </c>
      <c r="F1068" s="198" t="s">
        <v>7023</v>
      </c>
      <c r="G1068" s="71" t="s">
        <v>2272</v>
      </c>
      <c r="H1068" s="198" t="s">
        <v>3611</v>
      </c>
      <c r="I1068" s="21">
        <v>-31.682602500000002</v>
      </c>
      <c r="J1068" s="21">
        <v>-64.837188999999995</v>
      </c>
      <c r="K1068" s="21">
        <f>200*16/(1000^2)</f>
        <v>3.2000000000000002E-3</v>
      </c>
      <c r="L1068" s="19">
        <v>2009</v>
      </c>
      <c r="M1068" s="19">
        <v>2009</v>
      </c>
      <c r="N1068" s="71" t="s">
        <v>2272</v>
      </c>
      <c r="O1068" s="4" t="s">
        <v>66</v>
      </c>
      <c r="P1068" s="19" t="s">
        <v>5181</v>
      </c>
      <c r="Q1068" s="198"/>
    </row>
    <row r="1069" spans="1:17" ht="38" customHeight="1">
      <c r="A1069" s="207">
        <v>299</v>
      </c>
      <c r="B1069" s="37" t="s">
        <v>7029</v>
      </c>
      <c r="C1069" s="19" t="s">
        <v>7030</v>
      </c>
      <c r="D1069" s="19" t="s">
        <v>2393</v>
      </c>
      <c r="E1069" s="198" t="s">
        <v>2417</v>
      </c>
      <c r="F1069" s="11" t="s">
        <v>7032</v>
      </c>
      <c r="G1069" s="11" t="s">
        <v>7031</v>
      </c>
      <c r="H1069" s="19" t="s">
        <v>4107</v>
      </c>
      <c r="I1069" s="21">
        <f>43 + 10 /60</f>
        <v>43.166666666666664</v>
      </c>
      <c r="J1069" s="21">
        <f>-116-48/60</f>
        <v>-116.8</v>
      </c>
      <c r="K1069" s="21">
        <f>324/100</f>
        <v>3.24</v>
      </c>
      <c r="L1069" s="19">
        <v>2004</v>
      </c>
      <c r="M1069" s="19">
        <v>2010</v>
      </c>
      <c r="N1069" s="71" t="s">
        <v>2272</v>
      </c>
      <c r="O1069" s="4" t="s">
        <v>66</v>
      </c>
      <c r="P1069" s="19" t="s">
        <v>5181</v>
      </c>
      <c r="Q1069" s="198"/>
    </row>
    <row r="1070" spans="1:17" ht="36.5" customHeight="1">
      <c r="A1070" s="207">
        <v>300</v>
      </c>
      <c r="B1070" s="53" t="s">
        <v>7036</v>
      </c>
      <c r="C1070" s="19" t="s">
        <v>7037</v>
      </c>
      <c r="D1070" s="19" t="s">
        <v>2393</v>
      </c>
      <c r="E1070" s="11" t="s">
        <v>2631</v>
      </c>
      <c r="F1070" s="77" t="s">
        <v>2272</v>
      </c>
      <c r="G1070" s="11" t="s">
        <v>7035</v>
      </c>
      <c r="H1070" s="19" t="s">
        <v>3409</v>
      </c>
      <c r="I1070" s="70">
        <v>-17.377790600000001</v>
      </c>
      <c r="J1070" s="70">
        <v>123.9260275</v>
      </c>
      <c r="K1070" s="70">
        <v>423517</v>
      </c>
      <c r="L1070" s="11">
        <v>1980</v>
      </c>
      <c r="M1070" s="11">
        <v>1997</v>
      </c>
      <c r="N1070" s="77" t="s">
        <v>2272</v>
      </c>
      <c r="O1070" s="19" t="s">
        <v>66</v>
      </c>
      <c r="P1070" s="19" t="s">
        <v>5181</v>
      </c>
      <c r="Q1070" s="11"/>
    </row>
    <row r="1071" spans="1:17" ht="44.5" customHeight="1">
      <c r="A1071" s="207">
        <v>301</v>
      </c>
      <c r="B1071" s="37" t="s">
        <v>7048</v>
      </c>
      <c r="C1071" s="19" t="s">
        <v>7049</v>
      </c>
      <c r="D1071" s="19" t="s">
        <v>2393</v>
      </c>
      <c r="E1071" s="198" t="s">
        <v>2417</v>
      </c>
      <c r="F1071" s="4" t="s">
        <v>7053</v>
      </c>
      <c r="G1071" s="198" t="s">
        <v>7056</v>
      </c>
      <c r="H1071" s="198" t="s">
        <v>119</v>
      </c>
      <c r="I1071" s="21">
        <v>-16</v>
      </c>
      <c r="J1071" s="21">
        <v>-42</v>
      </c>
      <c r="K1071" s="21">
        <v>609</v>
      </c>
      <c r="L1071" s="198">
        <v>2014</v>
      </c>
      <c r="M1071" s="198">
        <v>2014</v>
      </c>
      <c r="N1071" s="77" t="s">
        <v>2272</v>
      </c>
      <c r="O1071" s="19" t="s">
        <v>66</v>
      </c>
      <c r="P1071" s="19" t="s">
        <v>5181</v>
      </c>
      <c r="Q1071" s="4" t="s">
        <v>7052</v>
      </c>
    </row>
    <row r="1072" spans="1:17" ht="44.5" customHeight="1">
      <c r="A1072" s="207">
        <v>301</v>
      </c>
      <c r="B1072" s="37" t="s">
        <v>7048</v>
      </c>
      <c r="C1072" s="19" t="s">
        <v>7050</v>
      </c>
      <c r="D1072" s="19" t="s">
        <v>2393</v>
      </c>
      <c r="E1072" s="198" t="s">
        <v>2417</v>
      </c>
      <c r="F1072" s="4" t="s">
        <v>7054</v>
      </c>
      <c r="G1072" s="198" t="s">
        <v>7055</v>
      </c>
      <c r="H1072" s="198" t="s">
        <v>119</v>
      </c>
      <c r="I1072" s="21">
        <v>-15.823395100000001</v>
      </c>
      <c r="J1072" s="21">
        <v>-43.322687899999998</v>
      </c>
      <c r="K1072" s="21">
        <v>1761</v>
      </c>
      <c r="L1072" s="198">
        <v>2014</v>
      </c>
      <c r="M1072" s="198">
        <v>2014</v>
      </c>
      <c r="N1072" s="77" t="s">
        <v>2272</v>
      </c>
      <c r="O1072" s="19" t="s">
        <v>66</v>
      </c>
      <c r="P1072" s="19" t="s">
        <v>5181</v>
      </c>
      <c r="Q1072" s="4" t="s">
        <v>7052</v>
      </c>
    </row>
    <row r="1073" spans="1:17" ht="44.5" customHeight="1">
      <c r="A1073" s="207">
        <v>301</v>
      </c>
      <c r="B1073" s="37" t="s">
        <v>7048</v>
      </c>
      <c r="C1073" s="198" t="s">
        <v>7051</v>
      </c>
      <c r="D1073" s="19" t="s">
        <v>2393</v>
      </c>
      <c r="E1073" s="198" t="s">
        <v>2417</v>
      </c>
      <c r="F1073" s="4" t="s">
        <v>3041</v>
      </c>
      <c r="G1073" s="198" t="s">
        <v>2951</v>
      </c>
      <c r="H1073" s="198" t="s">
        <v>119</v>
      </c>
      <c r="I1073" s="21">
        <v>-14.578281</v>
      </c>
      <c r="J1073" s="21">
        <v>-38.866053600000001</v>
      </c>
      <c r="K1073" s="21">
        <v>7070</v>
      </c>
      <c r="L1073" s="198">
        <v>2014</v>
      </c>
      <c r="M1073" s="198">
        <v>2014</v>
      </c>
      <c r="N1073" s="77" t="s">
        <v>2272</v>
      </c>
      <c r="O1073" s="19" t="s">
        <v>66</v>
      </c>
      <c r="P1073" s="19" t="s">
        <v>5181</v>
      </c>
      <c r="Q1073" s="4" t="s">
        <v>7052</v>
      </c>
    </row>
    <row r="1074" spans="1:17" ht="36.5" customHeight="1">
      <c r="A1074" s="207">
        <v>302</v>
      </c>
      <c r="B1074" s="37" t="s">
        <v>7070</v>
      </c>
      <c r="C1074" s="198" t="s">
        <v>7069</v>
      </c>
      <c r="D1074" s="19" t="s">
        <v>2393</v>
      </c>
      <c r="E1074" s="198" t="s">
        <v>2394</v>
      </c>
      <c r="F1074" s="198" t="s">
        <v>7071</v>
      </c>
      <c r="G1074" s="198" t="s">
        <v>7072</v>
      </c>
      <c r="H1074" s="11" t="s">
        <v>6109</v>
      </c>
      <c r="I1074" s="21">
        <f>42 + 36/60</f>
        <v>42.6</v>
      </c>
      <c r="J1074" s="21">
        <f>1/60</f>
        <v>1.6666666666666666E-2</v>
      </c>
      <c r="K1074" s="21">
        <f>3.6/100</f>
        <v>3.6000000000000004E-2</v>
      </c>
      <c r="L1074" s="11">
        <v>2015</v>
      </c>
      <c r="M1074" s="11">
        <v>2015</v>
      </c>
      <c r="N1074" s="77" t="s">
        <v>2272</v>
      </c>
      <c r="O1074" s="19" t="s">
        <v>66</v>
      </c>
      <c r="P1074" s="19" t="s">
        <v>5181</v>
      </c>
      <c r="Q1074" s="198"/>
    </row>
    <row r="1075" spans="1:17" ht="39.5" customHeight="1">
      <c r="A1075" s="207">
        <v>303</v>
      </c>
      <c r="B1075" s="37" t="s">
        <v>7083</v>
      </c>
      <c r="C1075" s="19" t="s">
        <v>7084</v>
      </c>
      <c r="D1075" s="198" t="s">
        <v>2393</v>
      </c>
      <c r="E1075" s="198" t="s">
        <v>2417</v>
      </c>
      <c r="F1075" s="198" t="s">
        <v>7086</v>
      </c>
      <c r="G1075" s="198" t="s">
        <v>7085</v>
      </c>
      <c r="H1075" s="198" t="s">
        <v>4309</v>
      </c>
      <c r="I1075" s="21">
        <v>43.224080006857598</v>
      </c>
      <c r="J1075" s="21">
        <v>-7.6646931826081497</v>
      </c>
      <c r="K1075" s="21">
        <f>30000/0.6</f>
        <v>50000</v>
      </c>
      <c r="L1075" s="198">
        <v>2005</v>
      </c>
      <c r="M1075" s="198">
        <v>2009</v>
      </c>
      <c r="N1075" s="77" t="s">
        <v>2272</v>
      </c>
      <c r="O1075" s="19" t="s">
        <v>66</v>
      </c>
      <c r="P1075" s="19" t="s">
        <v>5181</v>
      </c>
      <c r="Q1075" s="19" t="s">
        <v>7103</v>
      </c>
    </row>
    <row r="1076" spans="1:17" ht="39.5" customHeight="1">
      <c r="A1076" s="207">
        <v>303</v>
      </c>
      <c r="B1076" s="37" t="s">
        <v>7083</v>
      </c>
      <c r="C1076" s="19" t="s">
        <v>7104</v>
      </c>
      <c r="D1076" s="198" t="s">
        <v>2393</v>
      </c>
      <c r="E1076" s="198" t="s">
        <v>2417</v>
      </c>
      <c r="F1076" s="198" t="s">
        <v>7087</v>
      </c>
      <c r="G1076" s="198" t="s">
        <v>7085</v>
      </c>
      <c r="H1076" s="198" t="s">
        <v>4309</v>
      </c>
      <c r="I1076" s="21">
        <v>43.284344685012499</v>
      </c>
      <c r="J1076" s="21">
        <v>-5.2442031536895302</v>
      </c>
      <c r="K1076" s="21">
        <v>6000</v>
      </c>
      <c r="L1076" s="198">
        <v>2005</v>
      </c>
      <c r="M1076" s="198">
        <v>2009</v>
      </c>
      <c r="N1076" s="77" t="s">
        <v>2272</v>
      </c>
      <c r="O1076" s="19" t="s">
        <v>66</v>
      </c>
      <c r="P1076" s="19" t="s">
        <v>5181</v>
      </c>
      <c r="Q1076" s="19" t="s">
        <v>7103</v>
      </c>
    </row>
    <row r="1077" spans="1:17" ht="39.5" customHeight="1">
      <c r="A1077" s="207">
        <v>303</v>
      </c>
      <c r="B1077" s="37" t="s">
        <v>7083</v>
      </c>
      <c r="C1077" s="19" t="s">
        <v>7105</v>
      </c>
      <c r="D1077" s="198" t="s">
        <v>2393</v>
      </c>
      <c r="E1077" s="198" t="s">
        <v>2417</v>
      </c>
      <c r="F1077" s="198" t="s">
        <v>7088</v>
      </c>
      <c r="G1077" s="198" t="s">
        <v>7085</v>
      </c>
      <c r="H1077" s="198" t="s">
        <v>4309</v>
      </c>
      <c r="I1077" s="21">
        <v>43.112988378599098</v>
      </c>
      <c r="J1077" s="21">
        <v>-2.7109157073804502</v>
      </c>
      <c r="K1077" s="21">
        <v>3000</v>
      </c>
      <c r="L1077" s="198">
        <v>2005</v>
      </c>
      <c r="M1077" s="198">
        <v>2009</v>
      </c>
      <c r="N1077" s="77" t="s">
        <v>2272</v>
      </c>
      <c r="O1077" s="19" t="s">
        <v>66</v>
      </c>
      <c r="P1077" s="19" t="s">
        <v>5181</v>
      </c>
      <c r="Q1077" s="19" t="s">
        <v>7103</v>
      </c>
    </row>
    <row r="1078" spans="1:17" ht="39.5" customHeight="1">
      <c r="A1078" s="207">
        <v>303</v>
      </c>
      <c r="B1078" s="37" t="s">
        <v>7083</v>
      </c>
      <c r="C1078" s="19" t="s">
        <v>7106</v>
      </c>
      <c r="D1078" s="198" t="s">
        <v>2393</v>
      </c>
      <c r="E1078" s="198" t="s">
        <v>2417</v>
      </c>
      <c r="F1078" s="11" t="s">
        <v>6136</v>
      </c>
      <c r="G1078" s="11" t="s">
        <v>7091</v>
      </c>
      <c r="H1078" s="198" t="s">
        <v>4309</v>
      </c>
      <c r="I1078" s="21">
        <v>42.858794319360598</v>
      </c>
      <c r="J1078" s="21">
        <v>-1.2826979314387601</v>
      </c>
      <c r="K1078" s="21">
        <v>1000</v>
      </c>
      <c r="L1078" s="198">
        <v>2005</v>
      </c>
      <c r="M1078" s="198">
        <v>2009</v>
      </c>
      <c r="N1078" s="77" t="s">
        <v>2272</v>
      </c>
      <c r="O1078" s="19" t="s">
        <v>66</v>
      </c>
      <c r="P1078" s="19" t="s">
        <v>5181</v>
      </c>
      <c r="Q1078" s="19" t="s">
        <v>7103</v>
      </c>
    </row>
    <row r="1079" spans="1:17" ht="39.5" customHeight="1">
      <c r="A1079" s="207">
        <v>303</v>
      </c>
      <c r="B1079" s="37" t="s">
        <v>7083</v>
      </c>
      <c r="C1079" s="19" t="s">
        <v>7107</v>
      </c>
      <c r="D1079" s="198" t="s">
        <v>2393</v>
      </c>
      <c r="E1079" s="198" t="s">
        <v>2417</v>
      </c>
      <c r="F1079" s="11" t="s">
        <v>7089</v>
      </c>
      <c r="G1079" s="11" t="s">
        <v>7091</v>
      </c>
      <c r="H1079" s="198" t="s">
        <v>4309</v>
      </c>
      <c r="I1079" s="21">
        <v>42.234142612692601</v>
      </c>
      <c r="J1079" s="21">
        <v>0.64997402018690098</v>
      </c>
      <c r="K1079" s="21">
        <v>6000</v>
      </c>
      <c r="L1079" s="198">
        <v>2005</v>
      </c>
      <c r="M1079" s="198">
        <v>2009</v>
      </c>
      <c r="N1079" s="77" t="s">
        <v>2272</v>
      </c>
      <c r="O1079" s="19" t="s">
        <v>66</v>
      </c>
      <c r="P1079" s="19" t="s">
        <v>5181</v>
      </c>
      <c r="Q1079" s="19" t="s">
        <v>7103</v>
      </c>
    </row>
    <row r="1080" spans="1:17" ht="39.5" customHeight="1">
      <c r="A1080" s="207">
        <v>303</v>
      </c>
      <c r="B1080" s="37" t="s">
        <v>7083</v>
      </c>
      <c r="C1080" s="19" t="s">
        <v>7108</v>
      </c>
      <c r="D1080" s="198" t="s">
        <v>2393</v>
      </c>
      <c r="E1080" s="198" t="s">
        <v>2417</v>
      </c>
      <c r="F1080" s="11" t="s">
        <v>7090</v>
      </c>
      <c r="G1080" s="11" t="s">
        <v>7091</v>
      </c>
      <c r="H1080" s="198" t="s">
        <v>4309</v>
      </c>
      <c r="I1080" s="21">
        <v>42.085069503480803</v>
      </c>
      <c r="J1080" s="21">
        <v>2.5175000198392001</v>
      </c>
      <c r="K1080" s="21">
        <v>2000</v>
      </c>
      <c r="L1080" s="198">
        <v>2005</v>
      </c>
      <c r="M1080" s="198">
        <v>2009</v>
      </c>
      <c r="N1080" s="77" t="s">
        <v>2272</v>
      </c>
      <c r="O1080" s="19" t="s">
        <v>66</v>
      </c>
      <c r="P1080" s="19" t="s">
        <v>5181</v>
      </c>
      <c r="Q1080" s="19" t="s">
        <v>7103</v>
      </c>
    </row>
    <row r="1081" spans="1:17" ht="39.5" customHeight="1">
      <c r="A1081" s="207">
        <v>303</v>
      </c>
      <c r="B1081" s="37" t="s">
        <v>7083</v>
      </c>
      <c r="C1081" s="19" t="s">
        <v>7109</v>
      </c>
      <c r="D1081" s="198" t="s">
        <v>2393</v>
      </c>
      <c r="E1081" s="198" t="s">
        <v>2417</v>
      </c>
      <c r="F1081" s="19" t="s">
        <v>7092</v>
      </c>
      <c r="G1081" s="198" t="s">
        <v>7100</v>
      </c>
      <c r="H1081" s="198" t="s">
        <v>4309</v>
      </c>
      <c r="I1081" s="21">
        <v>42.241385118929301</v>
      </c>
      <c r="J1081" s="21">
        <v>-2.1373345217399802</v>
      </c>
      <c r="K1081" s="21">
        <v>5000</v>
      </c>
      <c r="L1081" s="198">
        <v>2005</v>
      </c>
      <c r="M1081" s="198">
        <v>2009</v>
      </c>
      <c r="N1081" s="77" t="s">
        <v>2272</v>
      </c>
      <c r="O1081" s="19" t="s">
        <v>66</v>
      </c>
      <c r="P1081" s="19" t="s">
        <v>5181</v>
      </c>
      <c r="Q1081" s="19" t="s">
        <v>7103</v>
      </c>
    </row>
    <row r="1082" spans="1:17" ht="39.5" customHeight="1">
      <c r="A1082" s="207">
        <v>303</v>
      </c>
      <c r="B1082" s="37" t="s">
        <v>7083</v>
      </c>
      <c r="C1082" s="19" t="s">
        <v>7110</v>
      </c>
      <c r="D1082" s="198" t="s">
        <v>2393</v>
      </c>
      <c r="E1082" s="198" t="s">
        <v>2417</v>
      </c>
      <c r="F1082" s="19" t="s">
        <v>7093</v>
      </c>
      <c r="G1082" s="198" t="s">
        <v>7100</v>
      </c>
      <c r="H1082" s="198" t="s">
        <v>4309</v>
      </c>
      <c r="I1082" s="21">
        <v>40.725552574195703</v>
      </c>
      <c r="J1082" s="21">
        <v>-0.79917194337321795</v>
      </c>
      <c r="K1082" s="21">
        <v>5000</v>
      </c>
      <c r="L1082" s="198">
        <v>2005</v>
      </c>
      <c r="M1082" s="198">
        <v>2009</v>
      </c>
      <c r="N1082" s="77" t="s">
        <v>2272</v>
      </c>
      <c r="O1082" s="19" t="s">
        <v>66</v>
      </c>
      <c r="P1082" s="19" t="s">
        <v>5181</v>
      </c>
      <c r="Q1082" s="19" t="s">
        <v>7103</v>
      </c>
    </row>
    <row r="1083" spans="1:17" ht="39.5" customHeight="1">
      <c r="A1083" s="207">
        <v>303</v>
      </c>
      <c r="B1083" s="37" t="s">
        <v>7083</v>
      </c>
      <c r="C1083" s="19" t="s">
        <v>7111</v>
      </c>
      <c r="D1083" s="198" t="s">
        <v>2393</v>
      </c>
      <c r="E1083" s="198" t="s">
        <v>2417</v>
      </c>
      <c r="F1083" s="19" t="s">
        <v>7094</v>
      </c>
      <c r="G1083" s="198" t="s">
        <v>7100</v>
      </c>
      <c r="H1083" s="198" t="s">
        <v>4309</v>
      </c>
      <c r="I1083" s="21">
        <v>41.287346905146002</v>
      </c>
      <c r="J1083" s="21">
        <v>-3.77436906436238</v>
      </c>
      <c r="K1083" s="21">
        <v>15000</v>
      </c>
      <c r="L1083" s="198">
        <v>2005</v>
      </c>
      <c r="M1083" s="198">
        <v>2009</v>
      </c>
      <c r="N1083" s="77" t="s">
        <v>2272</v>
      </c>
      <c r="O1083" s="19" t="s">
        <v>66</v>
      </c>
      <c r="P1083" s="19" t="s">
        <v>5181</v>
      </c>
      <c r="Q1083" s="19" t="s">
        <v>7103</v>
      </c>
    </row>
    <row r="1084" spans="1:17" ht="39.5" customHeight="1">
      <c r="A1084" s="207">
        <v>303</v>
      </c>
      <c r="B1084" s="37" t="s">
        <v>7083</v>
      </c>
      <c r="C1084" s="19" t="s">
        <v>7112</v>
      </c>
      <c r="D1084" s="198" t="s">
        <v>2393</v>
      </c>
      <c r="E1084" s="198" t="s">
        <v>2417</v>
      </c>
      <c r="F1084" s="19" t="s">
        <v>7095</v>
      </c>
      <c r="G1084" s="198" t="s">
        <v>7100</v>
      </c>
      <c r="H1084" s="198" t="s">
        <v>4309</v>
      </c>
      <c r="I1084" s="21">
        <v>38.289214885243503</v>
      </c>
      <c r="J1084" s="21">
        <v>-2.04728771963822</v>
      </c>
      <c r="K1084" s="21">
        <v>2000</v>
      </c>
      <c r="L1084" s="198">
        <v>2005</v>
      </c>
      <c r="M1084" s="198">
        <v>2009</v>
      </c>
      <c r="N1084" s="77" t="s">
        <v>2272</v>
      </c>
      <c r="O1084" s="19" t="s">
        <v>66</v>
      </c>
      <c r="P1084" s="19" t="s">
        <v>5181</v>
      </c>
      <c r="Q1084" s="19" t="s">
        <v>7103</v>
      </c>
    </row>
    <row r="1085" spans="1:17" ht="39.5" customHeight="1">
      <c r="A1085" s="207">
        <v>303</v>
      </c>
      <c r="B1085" s="37" t="s">
        <v>7083</v>
      </c>
      <c r="C1085" s="19" t="s">
        <v>7113</v>
      </c>
      <c r="D1085" s="198" t="s">
        <v>2393</v>
      </c>
      <c r="E1085" s="198" t="s">
        <v>2417</v>
      </c>
      <c r="F1085" s="211" t="s">
        <v>7096</v>
      </c>
      <c r="G1085" s="198" t="s">
        <v>7100</v>
      </c>
      <c r="H1085" s="198" t="s">
        <v>4309</v>
      </c>
      <c r="I1085" s="21">
        <v>38.834407895083402</v>
      </c>
      <c r="J1085" s="21">
        <v>-4.7570266709673099</v>
      </c>
      <c r="K1085" s="21">
        <v>10000</v>
      </c>
      <c r="L1085" s="198">
        <v>2005</v>
      </c>
      <c r="M1085" s="198">
        <v>2009</v>
      </c>
      <c r="N1085" s="77" t="s">
        <v>2272</v>
      </c>
      <c r="O1085" s="19" t="s">
        <v>66</v>
      </c>
      <c r="P1085" s="19" t="s">
        <v>5181</v>
      </c>
      <c r="Q1085" s="19" t="s">
        <v>7103</v>
      </c>
    </row>
    <row r="1086" spans="1:17" ht="39.5" customHeight="1">
      <c r="A1086" s="207">
        <v>303</v>
      </c>
      <c r="B1086" s="37" t="s">
        <v>7083</v>
      </c>
      <c r="C1086" s="19" t="s">
        <v>7114</v>
      </c>
      <c r="D1086" s="198" t="s">
        <v>2393</v>
      </c>
      <c r="E1086" s="198" t="s">
        <v>2417</v>
      </c>
      <c r="F1086" s="19" t="s">
        <v>7097</v>
      </c>
      <c r="G1086" s="198" t="s">
        <v>7100</v>
      </c>
      <c r="H1086" s="198" t="s">
        <v>4309</v>
      </c>
      <c r="I1086" s="21">
        <v>37.248316172262001</v>
      </c>
      <c r="J1086" s="21">
        <v>-3.8211603556102798</v>
      </c>
      <c r="K1086" s="21">
        <v>5000</v>
      </c>
      <c r="L1086" s="198">
        <v>2005</v>
      </c>
      <c r="M1086" s="198">
        <v>2009</v>
      </c>
      <c r="N1086" s="77" t="s">
        <v>2272</v>
      </c>
      <c r="O1086" s="19" t="s">
        <v>66</v>
      </c>
      <c r="P1086" s="19" t="s">
        <v>5181</v>
      </c>
      <c r="Q1086" s="19" t="s">
        <v>7103</v>
      </c>
    </row>
    <row r="1087" spans="1:17" ht="39.5" customHeight="1">
      <c r="A1087" s="207">
        <v>303</v>
      </c>
      <c r="B1087" s="37" t="s">
        <v>7083</v>
      </c>
      <c r="C1087" s="19" t="s">
        <v>7115</v>
      </c>
      <c r="D1087" s="198" t="s">
        <v>2393</v>
      </c>
      <c r="E1087" s="198" t="s">
        <v>2417</v>
      </c>
      <c r="F1087" s="198" t="s">
        <v>7098</v>
      </c>
      <c r="G1087" s="198" t="s">
        <v>7101</v>
      </c>
      <c r="H1087" s="198" t="s">
        <v>4309</v>
      </c>
      <c r="I1087" s="21">
        <v>39.833258874736103</v>
      </c>
      <c r="J1087" s="21">
        <v>-5.7127010622592902</v>
      </c>
      <c r="K1087" s="21">
        <v>40000</v>
      </c>
      <c r="L1087" s="198">
        <v>2005</v>
      </c>
      <c r="M1087" s="198">
        <v>2009</v>
      </c>
      <c r="N1087" s="77" t="s">
        <v>2272</v>
      </c>
      <c r="O1087" s="19" t="s">
        <v>66</v>
      </c>
      <c r="P1087" s="19" t="s">
        <v>5181</v>
      </c>
      <c r="Q1087" s="19" t="s">
        <v>7103</v>
      </c>
    </row>
    <row r="1088" spans="1:17" ht="39.5" customHeight="1">
      <c r="A1088" s="207">
        <v>303</v>
      </c>
      <c r="B1088" s="37" t="s">
        <v>7083</v>
      </c>
      <c r="C1088" s="19" t="s">
        <v>7116</v>
      </c>
      <c r="D1088" s="198" t="s">
        <v>2393</v>
      </c>
      <c r="E1088" s="198" t="s">
        <v>2417</v>
      </c>
      <c r="F1088" s="139" t="s">
        <v>7099</v>
      </c>
      <c r="G1088" s="198" t="s">
        <v>7101</v>
      </c>
      <c r="H1088" s="198" t="s">
        <v>4309</v>
      </c>
      <c r="I1088" s="21">
        <v>38.4622130523667</v>
      </c>
      <c r="J1088" s="21">
        <v>-4.7575626327340501</v>
      </c>
      <c r="K1088" s="21">
        <v>6800</v>
      </c>
      <c r="L1088" s="198">
        <v>2005</v>
      </c>
      <c r="M1088" s="198">
        <v>2009</v>
      </c>
      <c r="N1088" s="77" t="s">
        <v>2272</v>
      </c>
      <c r="O1088" s="19" t="s">
        <v>66</v>
      </c>
      <c r="P1088" s="19" t="s">
        <v>5181</v>
      </c>
      <c r="Q1088" s="19" t="s">
        <v>7103</v>
      </c>
    </row>
    <row r="1089" spans="1:17" ht="39.5" customHeight="1">
      <c r="A1089" s="207">
        <v>303</v>
      </c>
      <c r="B1089" s="37" t="s">
        <v>7083</v>
      </c>
      <c r="C1089" s="19" t="s">
        <v>7117</v>
      </c>
      <c r="D1089" s="198" t="s">
        <v>2393</v>
      </c>
      <c r="E1089" s="198" t="s">
        <v>2417</v>
      </c>
      <c r="F1089" s="139" t="s">
        <v>7102</v>
      </c>
      <c r="G1089" s="198" t="s">
        <v>7101</v>
      </c>
      <c r="H1089" s="198" t="s">
        <v>4309</v>
      </c>
      <c r="I1089" s="21">
        <v>39.780001987619499</v>
      </c>
      <c r="J1089" s="21">
        <v>-2.98873263352833</v>
      </c>
      <c r="K1089" s="21">
        <v>35000</v>
      </c>
      <c r="L1089" s="198">
        <v>2005</v>
      </c>
      <c r="M1089" s="198">
        <v>2009</v>
      </c>
      <c r="N1089" s="77" t="s">
        <v>2272</v>
      </c>
      <c r="O1089" s="19" t="s">
        <v>66</v>
      </c>
      <c r="P1089" s="19" t="s">
        <v>5181</v>
      </c>
      <c r="Q1089" s="19" t="s">
        <v>7103</v>
      </c>
    </row>
    <row r="1090" spans="1:17" ht="39.5" customHeight="1">
      <c r="A1090" s="207">
        <v>303</v>
      </c>
      <c r="B1090" s="37" t="s">
        <v>7083</v>
      </c>
      <c r="C1090" s="19" t="s">
        <v>7118</v>
      </c>
      <c r="D1090" s="198" t="s">
        <v>2393</v>
      </c>
      <c r="E1090" s="198" t="s">
        <v>2417</v>
      </c>
      <c r="F1090" s="139" t="s">
        <v>7102</v>
      </c>
      <c r="G1090" s="198" t="s">
        <v>7101</v>
      </c>
      <c r="H1090" s="198" t="s">
        <v>4309</v>
      </c>
      <c r="I1090" s="21">
        <v>42.098985381613502</v>
      </c>
      <c r="J1090" s="21">
        <v>-5.6201001304150999</v>
      </c>
      <c r="K1090" s="21">
        <v>35000</v>
      </c>
      <c r="L1090" s="198">
        <v>2005</v>
      </c>
      <c r="M1090" s="198">
        <v>2009</v>
      </c>
      <c r="N1090" s="77" t="s">
        <v>2272</v>
      </c>
      <c r="O1090" s="19" t="s">
        <v>66</v>
      </c>
      <c r="P1090" s="19" t="s">
        <v>5181</v>
      </c>
      <c r="Q1090" s="19" t="s">
        <v>7103</v>
      </c>
    </row>
    <row r="1091" spans="1:17" ht="39.5" customHeight="1">
      <c r="A1091" s="207">
        <v>303</v>
      </c>
      <c r="B1091" s="37" t="s">
        <v>7083</v>
      </c>
      <c r="C1091" s="19" t="s">
        <v>7119</v>
      </c>
      <c r="D1091" s="198" t="s">
        <v>2393</v>
      </c>
      <c r="E1091" s="198" t="s">
        <v>2417</v>
      </c>
      <c r="F1091" s="22" t="s">
        <v>7133</v>
      </c>
      <c r="G1091" s="198" t="s">
        <v>5527</v>
      </c>
      <c r="H1091" s="198" t="s">
        <v>4937</v>
      </c>
      <c r="I1091" s="21">
        <v>44.786053241569597</v>
      </c>
      <c r="J1091" s="21">
        <v>7.1427774572134703</v>
      </c>
      <c r="K1091" s="21">
        <v>8300</v>
      </c>
      <c r="L1091" s="198">
        <v>2005</v>
      </c>
      <c r="M1091" s="198">
        <v>2009</v>
      </c>
      <c r="N1091" s="77" t="s">
        <v>2272</v>
      </c>
      <c r="O1091" s="19" t="s">
        <v>66</v>
      </c>
      <c r="P1091" s="19" t="s">
        <v>5181</v>
      </c>
      <c r="Q1091" s="19" t="s">
        <v>7103</v>
      </c>
    </row>
    <row r="1092" spans="1:17" ht="39.5" customHeight="1">
      <c r="A1092" s="207">
        <v>303</v>
      </c>
      <c r="B1092" s="37" t="s">
        <v>7083</v>
      </c>
      <c r="C1092" s="19" t="s">
        <v>7120</v>
      </c>
      <c r="D1092" s="198" t="s">
        <v>2393</v>
      </c>
      <c r="E1092" s="198" t="s">
        <v>2417</v>
      </c>
      <c r="F1092" s="22" t="s">
        <v>7134</v>
      </c>
      <c r="G1092" s="198" t="s">
        <v>5527</v>
      </c>
      <c r="H1092" s="198" t="s">
        <v>4937</v>
      </c>
      <c r="I1092" s="21">
        <v>46.053994108297701</v>
      </c>
      <c r="J1092" s="21">
        <v>8.6489329923080298</v>
      </c>
      <c r="K1092" s="21">
        <v>1400</v>
      </c>
      <c r="L1092" s="198">
        <v>2005</v>
      </c>
      <c r="M1092" s="198">
        <v>2009</v>
      </c>
      <c r="N1092" s="77" t="s">
        <v>2272</v>
      </c>
      <c r="O1092" s="19" t="s">
        <v>66</v>
      </c>
      <c r="P1092" s="19" t="s">
        <v>5181</v>
      </c>
      <c r="Q1092" s="19" t="s">
        <v>7103</v>
      </c>
    </row>
    <row r="1093" spans="1:17" ht="39.5" customHeight="1">
      <c r="A1093" s="207">
        <v>303</v>
      </c>
      <c r="B1093" s="37" t="s">
        <v>7083</v>
      </c>
      <c r="C1093" s="19" t="s">
        <v>7121</v>
      </c>
      <c r="D1093" s="198" t="s">
        <v>2393</v>
      </c>
      <c r="E1093" s="198" t="s">
        <v>2417</v>
      </c>
      <c r="F1093" s="22" t="s">
        <v>7135</v>
      </c>
      <c r="G1093" s="198" t="s">
        <v>5527</v>
      </c>
      <c r="H1093" s="198" t="s">
        <v>4937</v>
      </c>
      <c r="I1093" s="21">
        <v>46.0567127888919</v>
      </c>
      <c r="J1093" s="21">
        <v>10.163238582957501</v>
      </c>
      <c r="K1093" s="21">
        <v>1800</v>
      </c>
      <c r="L1093" s="198">
        <v>2005</v>
      </c>
      <c r="M1093" s="198">
        <v>2009</v>
      </c>
      <c r="N1093" s="77" t="s">
        <v>2272</v>
      </c>
      <c r="O1093" s="19" t="s">
        <v>66</v>
      </c>
      <c r="P1093" s="19" t="s">
        <v>5181</v>
      </c>
      <c r="Q1093" s="19" t="s">
        <v>7103</v>
      </c>
    </row>
    <row r="1094" spans="1:17" ht="39.5" customHeight="1">
      <c r="A1094" s="207">
        <v>303</v>
      </c>
      <c r="B1094" s="37" t="s">
        <v>7083</v>
      </c>
      <c r="C1094" s="19" t="s">
        <v>7122</v>
      </c>
      <c r="D1094" s="198" t="s">
        <v>2393</v>
      </c>
      <c r="E1094" s="198" t="s">
        <v>2417</v>
      </c>
      <c r="F1094" s="22" t="s">
        <v>7137</v>
      </c>
      <c r="G1094" s="198" t="s">
        <v>7136</v>
      </c>
      <c r="H1094" s="198" t="s">
        <v>4937</v>
      </c>
      <c r="I1094" s="21">
        <v>43.695919295380001</v>
      </c>
      <c r="J1094" s="21">
        <v>11.3329112261598</v>
      </c>
      <c r="K1094" s="21">
        <v>300</v>
      </c>
      <c r="L1094" s="198">
        <v>2005</v>
      </c>
      <c r="M1094" s="198">
        <v>2009</v>
      </c>
      <c r="N1094" s="77" t="s">
        <v>2272</v>
      </c>
      <c r="O1094" s="19" t="s">
        <v>66</v>
      </c>
      <c r="P1094" s="19" t="s">
        <v>5181</v>
      </c>
      <c r="Q1094" s="19" t="s">
        <v>7103</v>
      </c>
    </row>
    <row r="1095" spans="1:17" ht="39.5" customHeight="1">
      <c r="A1095" s="207">
        <v>303</v>
      </c>
      <c r="B1095" s="37" t="s">
        <v>7083</v>
      </c>
      <c r="C1095" s="19" t="s">
        <v>7123</v>
      </c>
      <c r="D1095" s="198" t="s">
        <v>2393</v>
      </c>
      <c r="E1095" s="198" t="s">
        <v>2417</v>
      </c>
      <c r="F1095" s="22" t="s">
        <v>7138</v>
      </c>
      <c r="G1095" s="198" t="s">
        <v>7136</v>
      </c>
      <c r="H1095" s="198" t="s">
        <v>4937</v>
      </c>
      <c r="I1095" s="21">
        <v>42.296414171528497</v>
      </c>
      <c r="J1095" s="21">
        <v>13.5080453900122</v>
      </c>
      <c r="K1095" s="21">
        <v>4000</v>
      </c>
      <c r="L1095" s="198">
        <v>2005</v>
      </c>
      <c r="M1095" s="198">
        <v>2009</v>
      </c>
      <c r="N1095" s="77" t="s">
        <v>2272</v>
      </c>
      <c r="O1095" s="19" t="s">
        <v>66</v>
      </c>
      <c r="P1095" s="19" t="s">
        <v>5181</v>
      </c>
      <c r="Q1095" s="19" t="s">
        <v>7103</v>
      </c>
    </row>
    <row r="1096" spans="1:17" ht="39.5" customHeight="1">
      <c r="A1096" s="207">
        <v>303</v>
      </c>
      <c r="B1096" s="37" t="s">
        <v>7083</v>
      </c>
      <c r="C1096" s="19" t="s">
        <v>7124</v>
      </c>
      <c r="D1096" s="198" t="s">
        <v>2393</v>
      </c>
      <c r="E1096" s="198" t="s">
        <v>2417</v>
      </c>
      <c r="F1096" s="22" t="s">
        <v>7139</v>
      </c>
      <c r="G1096" s="198" t="s">
        <v>7136</v>
      </c>
      <c r="H1096" s="198" t="s">
        <v>4937</v>
      </c>
      <c r="I1096" s="21">
        <v>42.252270368624501</v>
      </c>
      <c r="J1096" s="21">
        <v>11.8991803749865</v>
      </c>
      <c r="K1096" s="21">
        <v>500</v>
      </c>
      <c r="L1096" s="198">
        <v>2005</v>
      </c>
      <c r="M1096" s="198">
        <v>2009</v>
      </c>
      <c r="N1096" s="77" t="s">
        <v>2272</v>
      </c>
      <c r="O1096" s="19" t="s">
        <v>66</v>
      </c>
      <c r="P1096" s="19" t="s">
        <v>5181</v>
      </c>
      <c r="Q1096" s="19" t="s">
        <v>7103</v>
      </c>
    </row>
    <row r="1097" spans="1:17" ht="39.5" customHeight="1">
      <c r="A1097" s="207">
        <v>303</v>
      </c>
      <c r="B1097" s="37" t="s">
        <v>7083</v>
      </c>
      <c r="C1097" s="19" t="s">
        <v>7125</v>
      </c>
      <c r="D1097" s="198" t="s">
        <v>2393</v>
      </c>
      <c r="E1097" s="198" t="s">
        <v>2417</v>
      </c>
      <c r="F1097" s="22" t="s">
        <v>7140</v>
      </c>
      <c r="G1097" s="198" t="s">
        <v>7144</v>
      </c>
      <c r="H1097" s="198" t="s">
        <v>4937</v>
      </c>
      <c r="I1097" s="21">
        <v>41.592197485742602</v>
      </c>
      <c r="J1097" s="21">
        <v>15.322983447961599</v>
      </c>
      <c r="K1097" s="21">
        <v>2700</v>
      </c>
      <c r="L1097" s="198">
        <v>2005</v>
      </c>
      <c r="M1097" s="198">
        <v>2009</v>
      </c>
      <c r="N1097" s="77" t="s">
        <v>2272</v>
      </c>
      <c r="O1097" s="19" t="s">
        <v>66</v>
      </c>
      <c r="P1097" s="19" t="s">
        <v>5181</v>
      </c>
      <c r="Q1097" s="19" t="s">
        <v>7103</v>
      </c>
    </row>
    <row r="1098" spans="1:17" ht="39.5" customHeight="1">
      <c r="A1098" s="207">
        <v>303</v>
      </c>
      <c r="B1098" s="37" t="s">
        <v>7083</v>
      </c>
      <c r="C1098" s="19" t="s">
        <v>7126</v>
      </c>
      <c r="D1098" s="198" t="s">
        <v>2393</v>
      </c>
      <c r="E1098" s="198" t="s">
        <v>2417</v>
      </c>
      <c r="F1098" s="22" t="s">
        <v>7141</v>
      </c>
      <c r="G1098" s="198" t="s">
        <v>7144</v>
      </c>
      <c r="H1098" s="198" t="s">
        <v>4937</v>
      </c>
      <c r="I1098" s="21">
        <v>40.451649627680801</v>
      </c>
      <c r="J1098" s="21">
        <v>15.926151719880901</v>
      </c>
      <c r="K1098" s="21">
        <v>2000</v>
      </c>
      <c r="L1098" s="198">
        <v>2005</v>
      </c>
      <c r="M1098" s="198">
        <v>2009</v>
      </c>
      <c r="N1098" s="77" t="s">
        <v>2272</v>
      </c>
      <c r="O1098" s="19" t="s">
        <v>66</v>
      </c>
      <c r="P1098" s="19" t="s">
        <v>5181</v>
      </c>
      <c r="Q1098" s="19" t="s">
        <v>7103</v>
      </c>
    </row>
    <row r="1099" spans="1:17" ht="39.5" customHeight="1">
      <c r="A1099" s="207">
        <v>303</v>
      </c>
      <c r="B1099" s="37" t="s">
        <v>7083</v>
      </c>
      <c r="C1099" s="19" t="s">
        <v>7127</v>
      </c>
      <c r="D1099" s="198" t="s">
        <v>2393</v>
      </c>
      <c r="E1099" s="198" t="s">
        <v>2417</v>
      </c>
      <c r="F1099" s="22" t="s">
        <v>7142</v>
      </c>
      <c r="G1099" s="198" t="s">
        <v>7144</v>
      </c>
      <c r="H1099" s="198" t="s">
        <v>4937</v>
      </c>
      <c r="I1099" s="21">
        <v>39.027568398980598</v>
      </c>
      <c r="J1099" s="21">
        <v>16.491825716735399</v>
      </c>
      <c r="K1099" s="21">
        <v>1000</v>
      </c>
      <c r="L1099" s="198">
        <v>2005</v>
      </c>
      <c r="M1099" s="198">
        <v>2009</v>
      </c>
      <c r="N1099" s="77" t="s">
        <v>2272</v>
      </c>
      <c r="O1099" s="19" t="s">
        <v>66</v>
      </c>
      <c r="P1099" s="19" t="s">
        <v>5181</v>
      </c>
      <c r="Q1099" s="19" t="s">
        <v>7103</v>
      </c>
    </row>
    <row r="1100" spans="1:17" ht="39.5" customHeight="1">
      <c r="A1100" s="207">
        <v>303</v>
      </c>
      <c r="B1100" s="37" t="s">
        <v>7083</v>
      </c>
      <c r="C1100" s="19" t="s">
        <v>7128</v>
      </c>
      <c r="D1100" s="198" t="s">
        <v>2393</v>
      </c>
      <c r="E1100" s="198" t="s">
        <v>2417</v>
      </c>
      <c r="F1100" s="22" t="s">
        <v>7143</v>
      </c>
      <c r="G1100" s="198" t="s">
        <v>7144</v>
      </c>
      <c r="H1100" s="198" t="s">
        <v>4937</v>
      </c>
      <c r="I1100" s="21">
        <v>37.508857539689302</v>
      </c>
      <c r="J1100" s="21">
        <v>15.0851648351648</v>
      </c>
      <c r="K1100" s="21">
        <v>1500</v>
      </c>
      <c r="L1100" s="198">
        <v>2005</v>
      </c>
      <c r="M1100" s="198">
        <v>2009</v>
      </c>
      <c r="N1100" s="77" t="s">
        <v>2272</v>
      </c>
      <c r="O1100" s="19" t="s">
        <v>66</v>
      </c>
      <c r="P1100" s="19" t="s">
        <v>5181</v>
      </c>
      <c r="Q1100" s="19" t="s">
        <v>7103</v>
      </c>
    </row>
    <row r="1101" spans="1:17" ht="39.5" customHeight="1">
      <c r="A1101" s="207">
        <v>303</v>
      </c>
      <c r="B1101" s="37" t="s">
        <v>7083</v>
      </c>
      <c r="C1101" s="19" t="s">
        <v>7129</v>
      </c>
      <c r="D1101" s="198" t="s">
        <v>2393</v>
      </c>
      <c r="E1101" s="198" t="s">
        <v>2417</v>
      </c>
      <c r="F1101" s="22" t="s">
        <v>7145</v>
      </c>
      <c r="G1101" s="198" t="s">
        <v>4936</v>
      </c>
      <c r="H1101" s="198" t="s">
        <v>4937</v>
      </c>
      <c r="I1101" s="21">
        <v>41.063880014190403</v>
      </c>
      <c r="J1101" s="21">
        <v>9.2319210841608896</v>
      </c>
      <c r="K1101" s="21">
        <v>5500</v>
      </c>
      <c r="L1101" s="198">
        <v>2005</v>
      </c>
      <c r="M1101" s="198">
        <v>2009</v>
      </c>
      <c r="N1101" s="77" t="s">
        <v>2272</v>
      </c>
      <c r="O1101" s="19" t="s">
        <v>66</v>
      </c>
      <c r="P1101" s="19" t="s">
        <v>5181</v>
      </c>
      <c r="Q1101" s="19" t="s">
        <v>7103</v>
      </c>
    </row>
    <row r="1102" spans="1:17" ht="39.5" customHeight="1">
      <c r="A1102" s="207">
        <v>303</v>
      </c>
      <c r="B1102" s="37" t="s">
        <v>7083</v>
      </c>
      <c r="C1102" s="19" t="s">
        <v>7130</v>
      </c>
      <c r="D1102" s="198" t="s">
        <v>2393</v>
      </c>
      <c r="E1102" s="198" t="s">
        <v>2417</v>
      </c>
      <c r="F1102" s="22" t="s">
        <v>7146</v>
      </c>
      <c r="G1102" s="198" t="s">
        <v>4936</v>
      </c>
      <c r="H1102" s="198" t="s">
        <v>4937</v>
      </c>
      <c r="I1102" s="21">
        <v>40.654010026409502</v>
      </c>
      <c r="J1102" s="21">
        <v>8.7077413036274898</v>
      </c>
      <c r="K1102" s="21">
        <v>4000</v>
      </c>
      <c r="L1102" s="198">
        <v>2005</v>
      </c>
      <c r="M1102" s="198">
        <v>2009</v>
      </c>
      <c r="N1102" s="77" t="s">
        <v>2272</v>
      </c>
      <c r="O1102" s="19" t="s">
        <v>66</v>
      </c>
      <c r="P1102" s="19" t="s">
        <v>5181</v>
      </c>
      <c r="Q1102" s="19" t="s">
        <v>7103</v>
      </c>
    </row>
    <row r="1103" spans="1:17" ht="39.5" customHeight="1">
      <c r="A1103" s="207">
        <v>303</v>
      </c>
      <c r="B1103" s="37" t="s">
        <v>7083</v>
      </c>
      <c r="C1103" s="19" t="s">
        <v>7131</v>
      </c>
      <c r="D1103" s="198" t="s">
        <v>2393</v>
      </c>
      <c r="E1103" s="198" t="s">
        <v>2417</v>
      </c>
      <c r="F1103" s="22" t="s">
        <v>7147</v>
      </c>
      <c r="G1103" s="198" t="s">
        <v>4936</v>
      </c>
      <c r="H1103" s="198" t="s">
        <v>4937</v>
      </c>
      <c r="I1103" s="21">
        <v>40.267469975680399</v>
      </c>
      <c r="J1103" s="21">
        <v>9.0302474336965002</v>
      </c>
      <c r="K1103" s="21">
        <v>6000</v>
      </c>
      <c r="L1103" s="198">
        <v>2005</v>
      </c>
      <c r="M1103" s="198">
        <v>2009</v>
      </c>
      <c r="N1103" s="77" t="s">
        <v>2272</v>
      </c>
      <c r="O1103" s="19" t="s">
        <v>66</v>
      </c>
      <c r="P1103" s="19" t="s">
        <v>5181</v>
      </c>
      <c r="Q1103" s="19" t="s">
        <v>7103</v>
      </c>
    </row>
    <row r="1104" spans="1:17" ht="39.5" customHeight="1">
      <c r="A1104" s="207">
        <v>303</v>
      </c>
      <c r="B1104" s="37" t="s">
        <v>7083</v>
      </c>
      <c r="C1104" s="19" t="s">
        <v>7132</v>
      </c>
      <c r="D1104" s="198" t="s">
        <v>2393</v>
      </c>
      <c r="E1104" s="198" t="s">
        <v>2417</v>
      </c>
      <c r="F1104" s="22" t="s">
        <v>7148</v>
      </c>
      <c r="G1104" s="198" t="s">
        <v>4936</v>
      </c>
      <c r="H1104" s="198" t="s">
        <v>4937</v>
      </c>
      <c r="I1104" s="21">
        <v>39.7970204936885</v>
      </c>
      <c r="J1104" s="21">
        <v>9.3422291275959708</v>
      </c>
      <c r="K1104" s="21">
        <v>3500</v>
      </c>
      <c r="L1104" s="198">
        <v>2005</v>
      </c>
      <c r="M1104" s="198">
        <v>2009</v>
      </c>
      <c r="N1104" s="77" t="s">
        <v>2272</v>
      </c>
      <c r="O1104" s="19" t="s">
        <v>66</v>
      </c>
      <c r="P1104" s="19" t="s">
        <v>5181</v>
      </c>
      <c r="Q1104" s="19" t="s">
        <v>7103</v>
      </c>
    </row>
    <row r="1105" spans="1:17" ht="38" customHeight="1">
      <c r="A1105" s="207">
        <v>303</v>
      </c>
      <c r="B1105" s="37" t="s">
        <v>7083</v>
      </c>
      <c r="C1105" s="19" t="s">
        <v>7153</v>
      </c>
      <c r="D1105" s="198" t="s">
        <v>2393</v>
      </c>
      <c r="E1105" s="198" t="s">
        <v>2417</v>
      </c>
      <c r="F1105" s="26" t="s">
        <v>7149</v>
      </c>
      <c r="G1105" s="19" t="s">
        <v>7152</v>
      </c>
      <c r="H1105" s="19" t="s">
        <v>4046</v>
      </c>
      <c r="I1105" s="21">
        <v>40.085513711450503</v>
      </c>
      <c r="J1105" s="21">
        <v>20.971935568767599</v>
      </c>
      <c r="K1105" s="21">
        <v>1900</v>
      </c>
      <c r="L1105" s="198">
        <v>2005</v>
      </c>
      <c r="M1105" s="198">
        <v>2009</v>
      </c>
      <c r="N1105" s="77" t="s">
        <v>2272</v>
      </c>
      <c r="O1105" s="19" t="s">
        <v>66</v>
      </c>
      <c r="P1105" s="19" t="s">
        <v>5181</v>
      </c>
      <c r="Q1105" s="19" t="s">
        <v>7103</v>
      </c>
    </row>
    <row r="1106" spans="1:17" ht="38" customHeight="1">
      <c r="A1106" s="207">
        <v>303</v>
      </c>
      <c r="B1106" s="37" t="s">
        <v>7083</v>
      </c>
      <c r="C1106" s="19" t="s">
        <v>7154</v>
      </c>
      <c r="D1106" s="198" t="s">
        <v>2393</v>
      </c>
      <c r="E1106" s="198" t="s">
        <v>2417</v>
      </c>
      <c r="F1106" s="26" t="s">
        <v>7150</v>
      </c>
      <c r="G1106" s="19" t="s">
        <v>7152</v>
      </c>
      <c r="H1106" s="19" t="s">
        <v>4046</v>
      </c>
      <c r="I1106" s="21">
        <v>38.659634194312801</v>
      </c>
      <c r="J1106" s="21">
        <v>22.089581260848298</v>
      </c>
      <c r="K1106" s="21">
        <v>4200</v>
      </c>
      <c r="L1106" s="198">
        <v>2005</v>
      </c>
      <c r="M1106" s="198">
        <v>2009</v>
      </c>
      <c r="N1106" s="77" t="s">
        <v>2272</v>
      </c>
      <c r="O1106" s="19" t="s">
        <v>66</v>
      </c>
      <c r="P1106" s="19" t="s">
        <v>5181</v>
      </c>
      <c r="Q1106" s="19" t="s">
        <v>7103</v>
      </c>
    </row>
    <row r="1107" spans="1:17" ht="37" customHeight="1">
      <c r="A1107" s="207">
        <v>303</v>
      </c>
      <c r="B1107" s="37" t="s">
        <v>7083</v>
      </c>
      <c r="C1107" s="19" t="s">
        <v>7155</v>
      </c>
      <c r="D1107" s="198" t="s">
        <v>2393</v>
      </c>
      <c r="E1107" s="198" t="s">
        <v>2417</v>
      </c>
      <c r="F1107" s="26" t="s">
        <v>7151</v>
      </c>
      <c r="G1107" s="19" t="s">
        <v>7152</v>
      </c>
      <c r="H1107" s="19" t="s">
        <v>4046</v>
      </c>
      <c r="I1107" s="21">
        <v>38.013518653611399</v>
      </c>
      <c r="J1107" s="21">
        <v>22.1881458257579</v>
      </c>
      <c r="K1107" s="21">
        <v>1950</v>
      </c>
      <c r="L1107" s="198">
        <v>2005</v>
      </c>
      <c r="M1107" s="198">
        <v>2009</v>
      </c>
      <c r="N1107" s="77" t="s">
        <v>2272</v>
      </c>
      <c r="O1107" s="19" t="s">
        <v>66</v>
      </c>
      <c r="P1107" s="19" t="s">
        <v>5181</v>
      </c>
      <c r="Q1107" s="19" t="s">
        <v>7103</v>
      </c>
    </row>
    <row r="1108" spans="1:17" ht="37" customHeight="1">
      <c r="A1108" s="207">
        <v>303</v>
      </c>
      <c r="B1108" s="37" t="s">
        <v>7083</v>
      </c>
      <c r="C1108" s="19" t="s">
        <v>7156</v>
      </c>
      <c r="D1108" s="198" t="s">
        <v>2393</v>
      </c>
      <c r="E1108" s="198" t="s">
        <v>2417</v>
      </c>
      <c r="F1108" s="26" t="s">
        <v>7163</v>
      </c>
      <c r="G1108" s="19" t="s">
        <v>7165</v>
      </c>
      <c r="H1108" s="19" t="s">
        <v>4046</v>
      </c>
      <c r="I1108" s="21">
        <v>41.107411606433203</v>
      </c>
      <c r="J1108" s="21">
        <v>25.991871947202799</v>
      </c>
      <c r="K1108" s="21">
        <v>2200</v>
      </c>
      <c r="L1108" s="198">
        <v>2005</v>
      </c>
      <c r="M1108" s="198">
        <v>2009</v>
      </c>
      <c r="N1108" s="77" t="s">
        <v>2272</v>
      </c>
      <c r="O1108" s="19" t="s">
        <v>66</v>
      </c>
      <c r="P1108" s="19" t="s">
        <v>5181</v>
      </c>
      <c r="Q1108" s="19" t="s">
        <v>7103</v>
      </c>
    </row>
    <row r="1109" spans="1:17" ht="37" customHeight="1">
      <c r="A1109" s="207">
        <v>303</v>
      </c>
      <c r="B1109" s="37" t="s">
        <v>7083</v>
      </c>
      <c r="C1109" s="19" t="s">
        <v>7157</v>
      </c>
      <c r="D1109" s="198" t="s">
        <v>2393</v>
      </c>
      <c r="E1109" s="198" t="s">
        <v>2417</v>
      </c>
      <c r="F1109" s="26" t="s">
        <v>7164</v>
      </c>
      <c r="G1109" s="19" t="s">
        <v>7165</v>
      </c>
      <c r="H1109" s="19" t="s">
        <v>4046</v>
      </c>
      <c r="I1109" s="21">
        <v>40.418877644649598</v>
      </c>
      <c r="J1109" s="21">
        <v>23.430402030291901</v>
      </c>
      <c r="K1109" s="21">
        <v>9100</v>
      </c>
      <c r="L1109" s="198">
        <v>2005</v>
      </c>
      <c r="M1109" s="198">
        <v>2009</v>
      </c>
      <c r="N1109" s="77" t="s">
        <v>2272</v>
      </c>
      <c r="O1109" s="19" t="s">
        <v>66</v>
      </c>
      <c r="P1109" s="19" t="s">
        <v>5181</v>
      </c>
      <c r="Q1109" s="19" t="s">
        <v>7103</v>
      </c>
    </row>
    <row r="1110" spans="1:17" ht="37" customHeight="1">
      <c r="A1110" s="207">
        <v>303</v>
      </c>
      <c r="B1110" s="37" t="s">
        <v>7083</v>
      </c>
      <c r="C1110" s="19" t="s">
        <v>7158</v>
      </c>
      <c r="D1110" s="198" t="s">
        <v>2393</v>
      </c>
      <c r="E1110" s="198" t="s">
        <v>2417</v>
      </c>
      <c r="F1110" s="26" t="s">
        <v>7166</v>
      </c>
      <c r="G1110" s="19" t="s">
        <v>7171</v>
      </c>
      <c r="H1110" s="19" t="s">
        <v>4046</v>
      </c>
      <c r="I1110" s="21">
        <v>39.4300930193764</v>
      </c>
      <c r="J1110" s="21">
        <v>20.567054172226999</v>
      </c>
      <c r="K1110" s="21">
        <v>1600</v>
      </c>
      <c r="L1110" s="198">
        <v>2005</v>
      </c>
      <c r="M1110" s="198">
        <v>2009</v>
      </c>
      <c r="N1110" s="77" t="s">
        <v>2272</v>
      </c>
      <c r="O1110" s="19" t="s">
        <v>66</v>
      </c>
      <c r="P1110" s="19" t="s">
        <v>5181</v>
      </c>
      <c r="Q1110" s="19" t="s">
        <v>7103</v>
      </c>
    </row>
    <row r="1111" spans="1:17" ht="37" customHeight="1">
      <c r="A1111" s="207">
        <v>303</v>
      </c>
      <c r="B1111" s="37" t="s">
        <v>7083</v>
      </c>
      <c r="C1111" s="19" t="s">
        <v>7159</v>
      </c>
      <c r="D1111" s="198" t="s">
        <v>2393</v>
      </c>
      <c r="E1111" s="198" t="s">
        <v>2417</v>
      </c>
      <c r="F1111" s="26" t="s">
        <v>7167</v>
      </c>
      <c r="G1111" s="19" t="s">
        <v>7171</v>
      </c>
      <c r="H1111" s="19" t="s">
        <v>4046</v>
      </c>
      <c r="I1111" s="21">
        <v>39.559435364507401</v>
      </c>
      <c r="J1111" s="21">
        <v>22.699804553495301</v>
      </c>
      <c r="K1111" s="21">
        <v>3200</v>
      </c>
      <c r="L1111" s="198">
        <v>2005</v>
      </c>
      <c r="M1111" s="198">
        <v>2009</v>
      </c>
      <c r="N1111" s="77" t="s">
        <v>2272</v>
      </c>
      <c r="O1111" s="19" t="s">
        <v>66</v>
      </c>
      <c r="P1111" s="19" t="s">
        <v>5181</v>
      </c>
      <c r="Q1111" s="19" t="s">
        <v>7103</v>
      </c>
    </row>
    <row r="1112" spans="1:17" ht="37" customHeight="1">
      <c r="A1112" s="207">
        <v>303</v>
      </c>
      <c r="B1112" s="37" t="s">
        <v>7083</v>
      </c>
      <c r="C1112" s="19" t="s">
        <v>7160</v>
      </c>
      <c r="D1112" s="198" t="s">
        <v>2393</v>
      </c>
      <c r="E1112" s="198" t="s">
        <v>2417</v>
      </c>
      <c r="F1112" s="26" t="s">
        <v>7168</v>
      </c>
      <c r="G1112" s="19" t="s">
        <v>7171</v>
      </c>
      <c r="H1112" s="19" t="s">
        <v>4046</v>
      </c>
      <c r="I1112" s="21">
        <v>36.9211155759075</v>
      </c>
      <c r="J1112" s="21">
        <v>22.7194960924956</v>
      </c>
      <c r="K1112" s="21">
        <v>2800</v>
      </c>
      <c r="L1112" s="198">
        <v>2005</v>
      </c>
      <c r="M1112" s="198">
        <v>2009</v>
      </c>
      <c r="N1112" s="77" t="s">
        <v>2272</v>
      </c>
      <c r="O1112" s="19" t="s">
        <v>66</v>
      </c>
      <c r="P1112" s="19" t="s">
        <v>5181</v>
      </c>
      <c r="Q1112" s="19" t="s">
        <v>7103</v>
      </c>
    </row>
    <row r="1113" spans="1:17" ht="37" customHeight="1">
      <c r="A1113" s="207">
        <v>303</v>
      </c>
      <c r="B1113" s="37" t="s">
        <v>7083</v>
      </c>
      <c r="C1113" s="19" t="s">
        <v>7161</v>
      </c>
      <c r="D1113" s="198" t="s">
        <v>2393</v>
      </c>
      <c r="E1113" s="198" t="s">
        <v>2417</v>
      </c>
      <c r="F1113" s="26" t="s">
        <v>7169</v>
      </c>
      <c r="G1113" s="19" t="s">
        <v>7172</v>
      </c>
      <c r="H1113" s="19" t="s">
        <v>4046</v>
      </c>
      <c r="I1113" s="21">
        <v>35.158553279364199</v>
      </c>
      <c r="J1113" s="21">
        <v>25.113693557542099</v>
      </c>
      <c r="K1113" s="21">
        <v>1850</v>
      </c>
      <c r="L1113" s="198">
        <v>2005</v>
      </c>
      <c r="M1113" s="198">
        <v>2009</v>
      </c>
      <c r="N1113" s="77" t="s">
        <v>2272</v>
      </c>
      <c r="O1113" s="19" t="s">
        <v>66</v>
      </c>
      <c r="P1113" s="19" t="s">
        <v>5181</v>
      </c>
      <c r="Q1113" s="19" t="s">
        <v>7103</v>
      </c>
    </row>
    <row r="1114" spans="1:17" ht="37" customHeight="1">
      <c r="A1114" s="207">
        <v>303</v>
      </c>
      <c r="B1114" s="37" t="s">
        <v>7083</v>
      </c>
      <c r="C1114" s="19" t="s">
        <v>7162</v>
      </c>
      <c r="D1114" s="198" t="s">
        <v>2393</v>
      </c>
      <c r="E1114" s="198" t="s">
        <v>2417</v>
      </c>
      <c r="F1114" s="26" t="s">
        <v>7170</v>
      </c>
      <c r="G1114" s="19" t="s">
        <v>2272</v>
      </c>
      <c r="H1114" s="19" t="s">
        <v>4046</v>
      </c>
      <c r="I1114" s="21">
        <v>36.2265334255857</v>
      </c>
      <c r="J1114" s="21">
        <v>27.992578827783099</v>
      </c>
      <c r="K1114" s="21">
        <v>1250</v>
      </c>
      <c r="L1114" s="198">
        <v>2005</v>
      </c>
      <c r="M1114" s="198">
        <v>2009</v>
      </c>
      <c r="N1114" s="77" t="s">
        <v>2272</v>
      </c>
      <c r="O1114" s="19" t="s">
        <v>66</v>
      </c>
      <c r="P1114" s="19" t="s">
        <v>5181</v>
      </c>
      <c r="Q1114" s="19" t="s">
        <v>7103</v>
      </c>
    </row>
    <row r="1115" spans="1:17" ht="35.5" customHeight="1">
      <c r="A1115" s="207">
        <v>304</v>
      </c>
      <c r="B1115" s="37" t="s">
        <v>7222</v>
      </c>
      <c r="C1115" s="19" t="s">
        <v>7223</v>
      </c>
      <c r="D1115" s="198" t="s">
        <v>2393</v>
      </c>
      <c r="E1115" s="198" t="s">
        <v>2631</v>
      </c>
      <c r="F1115" s="19" t="s">
        <v>2272</v>
      </c>
      <c r="G1115" s="19" t="s">
        <v>2272</v>
      </c>
      <c r="H1115" s="211" t="s">
        <v>7228</v>
      </c>
      <c r="I1115" s="21">
        <v>45</v>
      </c>
      <c r="J1115" s="21">
        <v>7</v>
      </c>
      <c r="K1115" s="21">
        <f>92212 + 505990 + 301338 + 643801</f>
        <v>1543341</v>
      </c>
      <c r="L1115" s="11">
        <v>2010</v>
      </c>
      <c r="M1115" s="11">
        <v>2010</v>
      </c>
      <c r="N1115" s="77" t="s">
        <v>2272</v>
      </c>
      <c r="O1115" s="19" t="s">
        <v>66</v>
      </c>
      <c r="P1115" s="19" t="s">
        <v>5181</v>
      </c>
      <c r="Q1115" s="198" t="s">
        <v>7229</v>
      </c>
    </row>
    <row r="1116" spans="1:17" ht="35.5" customHeight="1">
      <c r="A1116" s="207">
        <v>304</v>
      </c>
      <c r="B1116" s="37" t="s">
        <v>7222</v>
      </c>
      <c r="C1116" s="19" t="s">
        <v>7224</v>
      </c>
      <c r="D1116" s="198" t="s">
        <v>2393</v>
      </c>
      <c r="E1116" s="198" t="s">
        <v>2631</v>
      </c>
      <c r="F1116" s="19" t="s">
        <v>2272</v>
      </c>
      <c r="G1116" s="19" t="s">
        <v>2272</v>
      </c>
      <c r="H1116" s="19" t="s">
        <v>4046</v>
      </c>
      <c r="I1116" s="21">
        <v>38.145839199999998</v>
      </c>
      <c r="J1116" s="21">
        <v>24.481300000000001</v>
      </c>
      <c r="K1116" s="21">
        <v>131957</v>
      </c>
      <c r="L1116" s="11">
        <v>2010</v>
      </c>
      <c r="M1116" s="11">
        <v>2010</v>
      </c>
      <c r="N1116" s="77" t="s">
        <v>2272</v>
      </c>
      <c r="O1116" s="19" t="s">
        <v>66</v>
      </c>
      <c r="P1116" s="19" t="s">
        <v>5181</v>
      </c>
      <c r="Q1116" s="198"/>
    </row>
    <row r="1117" spans="1:17" ht="35.5" customHeight="1">
      <c r="A1117" s="207">
        <v>304</v>
      </c>
      <c r="B1117" s="37" t="s">
        <v>7222</v>
      </c>
      <c r="C1117" s="19" t="s">
        <v>7225</v>
      </c>
      <c r="D1117" s="198" t="s">
        <v>2393</v>
      </c>
      <c r="E1117" s="198" t="s">
        <v>2631</v>
      </c>
      <c r="F1117" s="19" t="s">
        <v>2272</v>
      </c>
      <c r="G1117" s="198" t="s">
        <v>7235</v>
      </c>
      <c r="H1117" s="19" t="s">
        <v>6109</v>
      </c>
      <c r="I1117" s="21">
        <v>42.625776999999999</v>
      </c>
      <c r="J1117" s="21">
        <v>2.4497341000000001</v>
      </c>
      <c r="K1117" s="21">
        <v>4116</v>
      </c>
      <c r="L1117" s="11">
        <v>2008</v>
      </c>
      <c r="M1117" s="11">
        <v>2008</v>
      </c>
      <c r="N1117" s="77" t="s">
        <v>2272</v>
      </c>
      <c r="O1117" s="19" t="s">
        <v>66</v>
      </c>
      <c r="P1117" s="19" t="s">
        <v>5181</v>
      </c>
      <c r="Q1117" s="198" t="s">
        <v>5901</v>
      </c>
    </row>
    <row r="1118" spans="1:17" s="197" customFormat="1" ht="35.5" customHeight="1">
      <c r="A1118" s="207">
        <v>304</v>
      </c>
      <c r="B1118" s="37" t="s">
        <v>7222</v>
      </c>
      <c r="C1118" s="19" t="s">
        <v>7226</v>
      </c>
      <c r="D1118" s="198" t="s">
        <v>2393</v>
      </c>
      <c r="E1118" s="198" t="s">
        <v>2631</v>
      </c>
      <c r="F1118" s="19" t="s">
        <v>2272</v>
      </c>
      <c r="G1118" s="198" t="s">
        <v>7236</v>
      </c>
      <c r="H1118" s="19" t="s">
        <v>6109</v>
      </c>
      <c r="I1118" s="21">
        <v>43.187128000000001</v>
      </c>
      <c r="J1118" s="21">
        <v>-0.88125909999999996</v>
      </c>
      <c r="K1118" s="21">
        <v>7645</v>
      </c>
      <c r="L1118" s="11">
        <v>2008</v>
      </c>
      <c r="M1118" s="11">
        <v>2008</v>
      </c>
      <c r="N1118" s="77" t="s">
        <v>2272</v>
      </c>
      <c r="O1118" s="19" t="s">
        <v>66</v>
      </c>
      <c r="P1118" s="19" t="s">
        <v>5181</v>
      </c>
      <c r="Q1118" s="198" t="s">
        <v>5901</v>
      </c>
    </row>
    <row r="1119" spans="1:17" ht="36.5" customHeight="1">
      <c r="A1119" s="207">
        <v>304</v>
      </c>
      <c r="B1119" s="37" t="s">
        <v>7222</v>
      </c>
      <c r="C1119" s="19" t="s">
        <v>7227</v>
      </c>
      <c r="D1119" s="198" t="s">
        <v>2393</v>
      </c>
      <c r="E1119" s="198" t="s">
        <v>2631</v>
      </c>
      <c r="F1119" s="19" t="s">
        <v>2272</v>
      </c>
      <c r="G1119" s="198" t="s">
        <v>7237</v>
      </c>
      <c r="H1119" s="19" t="s">
        <v>6109</v>
      </c>
      <c r="I1119" s="21">
        <v>43.143320000000003</v>
      </c>
      <c r="J1119" s="21">
        <v>0.1594796</v>
      </c>
      <c r="K1119" s="21">
        <v>4464</v>
      </c>
      <c r="L1119" s="11">
        <v>2008</v>
      </c>
      <c r="M1119" s="11">
        <v>2008</v>
      </c>
      <c r="N1119" s="77" t="s">
        <v>2272</v>
      </c>
      <c r="O1119" s="19" t="s">
        <v>66</v>
      </c>
      <c r="P1119" s="19" t="s">
        <v>5181</v>
      </c>
      <c r="Q1119" s="198" t="s">
        <v>5901</v>
      </c>
    </row>
    <row r="1120" spans="1:17" ht="41" customHeight="1">
      <c r="A1120" s="207">
        <v>305</v>
      </c>
      <c r="B1120" s="37" t="s">
        <v>7256</v>
      </c>
      <c r="C1120" s="19" t="s">
        <v>7257</v>
      </c>
      <c r="D1120" s="198" t="s">
        <v>2628</v>
      </c>
      <c r="E1120" s="198" t="s">
        <v>4842</v>
      </c>
      <c r="F1120" s="19" t="s">
        <v>2272</v>
      </c>
      <c r="G1120" s="198" t="s">
        <v>7258</v>
      </c>
      <c r="H1120" s="19" t="s">
        <v>6109</v>
      </c>
      <c r="I1120" s="21">
        <v>48.089397499999997</v>
      </c>
      <c r="J1120" s="21">
        <v>-3.0784566</v>
      </c>
      <c r="K1120" s="21">
        <v>27208</v>
      </c>
      <c r="L1120" s="198">
        <v>2001</v>
      </c>
      <c r="M1120" s="198">
        <v>2015</v>
      </c>
      <c r="N1120" s="77" t="s">
        <v>2272</v>
      </c>
      <c r="O1120" s="19" t="s">
        <v>66</v>
      </c>
      <c r="P1120" s="19" t="s">
        <v>5181</v>
      </c>
      <c r="Q1120" s="198"/>
    </row>
    <row r="1121" spans="1:17" ht="41" customHeight="1">
      <c r="A1121" s="207">
        <v>305</v>
      </c>
      <c r="B1121" s="37" t="s">
        <v>7256</v>
      </c>
      <c r="C1121" s="19" t="s">
        <v>7270</v>
      </c>
      <c r="D1121" s="198" t="s">
        <v>2628</v>
      </c>
      <c r="E1121" s="198" t="s">
        <v>4842</v>
      </c>
      <c r="F1121" s="19" t="s">
        <v>2272</v>
      </c>
      <c r="G1121" s="11" t="s">
        <v>7259</v>
      </c>
      <c r="H1121" s="19" t="s">
        <v>6109</v>
      </c>
      <c r="I1121" s="21">
        <v>49.1259905</v>
      </c>
      <c r="J1121" s="21">
        <v>-7.5941999999999996E-2</v>
      </c>
      <c r="K1121" s="21">
        <v>29906</v>
      </c>
      <c r="L1121" s="198">
        <v>2001</v>
      </c>
      <c r="M1121" s="198">
        <v>2015</v>
      </c>
      <c r="N1121" s="77" t="s">
        <v>2272</v>
      </c>
      <c r="O1121" s="19" t="s">
        <v>66</v>
      </c>
      <c r="P1121" s="19" t="s">
        <v>5181</v>
      </c>
      <c r="Q1121" s="198"/>
    </row>
    <row r="1122" spans="1:17" ht="41" customHeight="1">
      <c r="A1122" s="207">
        <v>305</v>
      </c>
      <c r="B1122" s="37" t="s">
        <v>7256</v>
      </c>
      <c r="C1122" s="19" t="s">
        <v>7271</v>
      </c>
      <c r="D1122" s="198" t="s">
        <v>2628</v>
      </c>
      <c r="E1122" s="198" t="s">
        <v>4842</v>
      </c>
      <c r="F1122" s="19" t="s">
        <v>2272</v>
      </c>
      <c r="G1122" s="11" t="s">
        <v>7260</v>
      </c>
      <c r="H1122" s="19" t="s">
        <v>6109</v>
      </c>
      <c r="I1122" s="21">
        <v>50.529025500000003</v>
      </c>
      <c r="J1122" s="21">
        <v>2.8936380000000002</v>
      </c>
      <c r="K1122" s="21">
        <v>31813</v>
      </c>
      <c r="L1122" s="198">
        <v>2001</v>
      </c>
      <c r="M1122" s="198">
        <v>2015</v>
      </c>
      <c r="N1122" s="77" t="s">
        <v>2272</v>
      </c>
      <c r="O1122" s="19" t="s">
        <v>66</v>
      </c>
      <c r="P1122" s="19" t="s">
        <v>5181</v>
      </c>
      <c r="Q1122" s="198"/>
    </row>
    <row r="1123" spans="1:17" ht="41" customHeight="1">
      <c r="A1123" s="207">
        <v>305</v>
      </c>
      <c r="B1123" s="37" t="s">
        <v>7256</v>
      </c>
      <c r="C1123" s="19" t="s">
        <v>7272</v>
      </c>
      <c r="D1123" s="198" t="s">
        <v>2628</v>
      </c>
      <c r="E1123" s="198" t="s">
        <v>4842</v>
      </c>
      <c r="F1123" s="19" t="s">
        <v>2272</v>
      </c>
      <c r="G1123" s="11" t="s">
        <v>7261</v>
      </c>
      <c r="H1123" s="19" t="s">
        <v>6109</v>
      </c>
      <c r="I1123" s="21">
        <v>48.680792599999997</v>
      </c>
      <c r="J1123" s="21">
        <v>2.5025884999999999</v>
      </c>
      <c r="K1123" s="21">
        <v>12012</v>
      </c>
      <c r="L1123" s="198">
        <v>2001</v>
      </c>
      <c r="M1123" s="198">
        <v>2015</v>
      </c>
      <c r="N1123" s="77" t="s">
        <v>2272</v>
      </c>
      <c r="O1123" s="19" t="s">
        <v>66</v>
      </c>
      <c r="P1123" s="19" t="s">
        <v>5181</v>
      </c>
      <c r="Q1123" s="198"/>
    </row>
    <row r="1124" spans="1:17" ht="41" customHeight="1">
      <c r="A1124" s="207">
        <v>305</v>
      </c>
      <c r="B1124" s="37" t="s">
        <v>7256</v>
      </c>
      <c r="C1124" s="19" t="s">
        <v>7273</v>
      </c>
      <c r="D1124" s="198" t="s">
        <v>2628</v>
      </c>
      <c r="E1124" s="198" t="s">
        <v>4842</v>
      </c>
      <c r="F1124" s="19" t="s">
        <v>2272</v>
      </c>
      <c r="G1124" s="19" t="s">
        <v>7262</v>
      </c>
      <c r="H1124" s="19" t="s">
        <v>6109</v>
      </c>
      <c r="I1124" s="21">
        <v>48.872864</v>
      </c>
      <c r="J1124" s="21">
        <v>4.6373455000000003</v>
      </c>
      <c r="K1124" s="21">
        <v>57433</v>
      </c>
      <c r="L1124" s="198">
        <v>2001</v>
      </c>
      <c r="M1124" s="198">
        <v>2015</v>
      </c>
      <c r="N1124" s="77" t="s">
        <v>2272</v>
      </c>
      <c r="O1124" s="19" t="s">
        <v>66</v>
      </c>
      <c r="P1124" s="19" t="s">
        <v>5181</v>
      </c>
      <c r="Q1124" s="198"/>
    </row>
    <row r="1125" spans="1:17" ht="41" customHeight="1">
      <c r="A1125" s="207">
        <v>305</v>
      </c>
      <c r="B1125" s="37" t="s">
        <v>7256</v>
      </c>
      <c r="C1125" s="19" t="s">
        <v>7274</v>
      </c>
      <c r="D1125" s="198" t="s">
        <v>2628</v>
      </c>
      <c r="E1125" s="198" t="s">
        <v>4842</v>
      </c>
      <c r="F1125" s="19" t="s">
        <v>2272</v>
      </c>
      <c r="G1125" s="19" t="s">
        <v>7263</v>
      </c>
      <c r="H1125" s="19" t="s">
        <v>6109</v>
      </c>
      <c r="I1125" s="21">
        <v>47.417262000000001</v>
      </c>
      <c r="J1125" s="21">
        <v>-0.82148509999999997</v>
      </c>
      <c r="K1125" s="21">
        <v>32082</v>
      </c>
      <c r="L1125" s="198">
        <v>2001</v>
      </c>
      <c r="M1125" s="198">
        <v>2015</v>
      </c>
      <c r="N1125" s="77" t="s">
        <v>2272</v>
      </c>
      <c r="O1125" s="19" t="s">
        <v>66</v>
      </c>
      <c r="P1125" s="19" t="s">
        <v>5181</v>
      </c>
      <c r="Q1125" s="198"/>
    </row>
    <row r="1126" spans="1:17" ht="41" customHeight="1">
      <c r="A1126" s="207">
        <v>305</v>
      </c>
      <c r="B1126" s="37" t="s">
        <v>7256</v>
      </c>
      <c r="C1126" s="19" t="s">
        <v>7275</v>
      </c>
      <c r="D1126" s="198" t="s">
        <v>2628</v>
      </c>
      <c r="E1126" s="198" t="s">
        <v>4842</v>
      </c>
      <c r="F1126" s="19" t="s">
        <v>2272</v>
      </c>
      <c r="G1126" s="19" t="s">
        <v>7264</v>
      </c>
      <c r="H1126" s="19" t="s">
        <v>6109</v>
      </c>
      <c r="I1126" s="21">
        <v>47.643967500000002</v>
      </c>
      <c r="J1126" s="21">
        <v>1.5905734</v>
      </c>
      <c r="K1126" s="21">
        <v>39151</v>
      </c>
      <c r="L1126" s="198">
        <v>2001</v>
      </c>
      <c r="M1126" s="198">
        <v>2015</v>
      </c>
      <c r="N1126" s="77" t="s">
        <v>2272</v>
      </c>
      <c r="O1126" s="19" t="s">
        <v>66</v>
      </c>
      <c r="P1126" s="19" t="s">
        <v>5181</v>
      </c>
      <c r="Q1126" s="198"/>
    </row>
    <row r="1127" spans="1:17" ht="41" customHeight="1">
      <c r="A1127" s="207">
        <v>305</v>
      </c>
      <c r="B1127" s="37" t="s">
        <v>7256</v>
      </c>
      <c r="C1127" s="19" t="s">
        <v>7276</v>
      </c>
      <c r="D1127" s="198" t="s">
        <v>2628</v>
      </c>
      <c r="E1127" s="198" t="s">
        <v>4842</v>
      </c>
      <c r="F1127" s="19" t="s">
        <v>2272</v>
      </c>
      <c r="G1127" s="19" t="s">
        <v>7265</v>
      </c>
      <c r="H1127" s="19" t="s">
        <v>6109</v>
      </c>
      <c r="I1127" s="21">
        <v>47.278065499999997</v>
      </c>
      <c r="J1127" s="21">
        <v>4.9941358999999999</v>
      </c>
      <c r="K1127" s="21">
        <v>47784</v>
      </c>
      <c r="L1127" s="198">
        <v>2001</v>
      </c>
      <c r="M1127" s="198">
        <v>2015</v>
      </c>
      <c r="N1127" s="77" t="s">
        <v>2272</v>
      </c>
      <c r="O1127" s="19" t="s">
        <v>66</v>
      </c>
      <c r="P1127" s="19" t="s">
        <v>5181</v>
      </c>
      <c r="Q1127" s="198"/>
    </row>
    <row r="1128" spans="1:17" ht="41" customHeight="1">
      <c r="A1128" s="207">
        <v>305</v>
      </c>
      <c r="B1128" s="37" t="s">
        <v>7256</v>
      </c>
      <c r="C1128" s="19" t="s">
        <v>7277</v>
      </c>
      <c r="D1128" s="198" t="s">
        <v>2628</v>
      </c>
      <c r="E1128" s="198" t="s">
        <v>4842</v>
      </c>
      <c r="F1128" s="19" t="s">
        <v>2272</v>
      </c>
      <c r="G1128" s="19" t="s">
        <v>7266</v>
      </c>
      <c r="H1128" s="19" t="s">
        <v>6109</v>
      </c>
      <c r="I1128" s="21">
        <v>44.976760499999997</v>
      </c>
      <c r="J1128" s="21">
        <v>0.40948400000000001</v>
      </c>
      <c r="K1128" s="21">
        <v>84061</v>
      </c>
      <c r="L1128" s="198">
        <v>2001</v>
      </c>
      <c r="M1128" s="198">
        <v>2015</v>
      </c>
      <c r="N1128" s="77" t="s">
        <v>2272</v>
      </c>
      <c r="O1128" s="19" t="s">
        <v>66</v>
      </c>
      <c r="P1128" s="19" t="s">
        <v>5181</v>
      </c>
      <c r="Q1128" s="198"/>
    </row>
    <row r="1129" spans="1:17" ht="41" customHeight="1">
      <c r="A1129" s="207">
        <v>305</v>
      </c>
      <c r="B1129" s="37" t="s">
        <v>7256</v>
      </c>
      <c r="C1129" s="19" t="s">
        <v>7278</v>
      </c>
      <c r="D1129" s="198" t="s">
        <v>2628</v>
      </c>
      <c r="E1129" s="198" t="s">
        <v>4842</v>
      </c>
      <c r="F1129" s="19" t="s">
        <v>2272</v>
      </c>
      <c r="G1129" s="11" t="s">
        <v>7267</v>
      </c>
      <c r="H1129" s="19" t="s">
        <v>6109</v>
      </c>
      <c r="I1129" s="21">
        <v>45.459893000000001</v>
      </c>
      <c r="J1129" s="21">
        <v>4.6242241000000002</v>
      </c>
      <c r="K1129" s="21">
        <v>69711</v>
      </c>
      <c r="L1129" s="198">
        <v>2001</v>
      </c>
      <c r="M1129" s="198">
        <v>2015</v>
      </c>
      <c r="N1129" s="77" t="s">
        <v>2272</v>
      </c>
      <c r="O1129" s="19" t="s">
        <v>66</v>
      </c>
      <c r="P1129" s="19" t="s">
        <v>5181</v>
      </c>
      <c r="Q1129" s="198"/>
    </row>
    <row r="1130" spans="1:17" ht="41" customHeight="1">
      <c r="A1130" s="207">
        <v>305</v>
      </c>
      <c r="B1130" s="37" t="s">
        <v>7256</v>
      </c>
      <c r="C1130" s="19" t="s">
        <v>7279</v>
      </c>
      <c r="D1130" s="198" t="s">
        <v>2628</v>
      </c>
      <c r="E1130" s="198" t="s">
        <v>4842</v>
      </c>
      <c r="F1130" s="19" t="s">
        <v>2272</v>
      </c>
      <c r="G1130" s="19" t="s">
        <v>7268</v>
      </c>
      <c r="H1130" s="19" t="s">
        <v>6109</v>
      </c>
      <c r="I1130" s="21">
        <v>43.689849000000002</v>
      </c>
      <c r="J1130" s="21">
        <v>2.2592024999999998</v>
      </c>
      <c r="K1130" s="21">
        <v>72724</v>
      </c>
      <c r="L1130" s="198">
        <v>2001</v>
      </c>
      <c r="M1130" s="198">
        <v>2015</v>
      </c>
      <c r="N1130" s="77" t="s">
        <v>2272</v>
      </c>
      <c r="O1130" s="19" t="s">
        <v>66</v>
      </c>
      <c r="P1130" s="19" t="s">
        <v>5181</v>
      </c>
      <c r="Q1130" s="198"/>
    </row>
    <row r="1131" spans="1:17" ht="41" customHeight="1">
      <c r="A1131" s="207">
        <v>305</v>
      </c>
      <c r="B1131" s="37" t="s">
        <v>7256</v>
      </c>
      <c r="C1131" s="19" t="s">
        <v>7280</v>
      </c>
      <c r="D1131" s="198" t="s">
        <v>2628</v>
      </c>
      <c r="E1131" s="198" t="s">
        <v>4842</v>
      </c>
      <c r="F1131" s="19" t="s">
        <v>2272</v>
      </c>
      <c r="G1131" s="11" t="s">
        <v>7269</v>
      </c>
      <c r="H1131" s="19" t="s">
        <v>6109</v>
      </c>
      <c r="I1131" s="21">
        <v>44.054424599999997</v>
      </c>
      <c r="J1131" s="21">
        <v>5.9745999999999997</v>
      </c>
      <c r="K1131" s="21">
        <v>31400</v>
      </c>
      <c r="L1131" s="198">
        <v>2001</v>
      </c>
      <c r="M1131" s="198">
        <v>2015</v>
      </c>
      <c r="N1131" s="77" t="s">
        <v>2272</v>
      </c>
      <c r="O1131" s="19" t="s">
        <v>66</v>
      </c>
      <c r="P1131" s="19" t="s">
        <v>5181</v>
      </c>
      <c r="Q1131" s="198"/>
    </row>
    <row r="1132" spans="1:17" ht="41" customHeight="1">
      <c r="A1132" s="207">
        <v>305</v>
      </c>
      <c r="B1132" s="37" t="s">
        <v>7256</v>
      </c>
      <c r="C1132" s="19" t="s">
        <v>7281</v>
      </c>
      <c r="D1132" s="198" t="s">
        <v>2628</v>
      </c>
      <c r="E1132" s="198" t="s">
        <v>4842</v>
      </c>
      <c r="F1132" s="19" t="s">
        <v>2272</v>
      </c>
      <c r="G1132" s="11" t="s">
        <v>6124</v>
      </c>
      <c r="H1132" s="19" t="s">
        <v>6109</v>
      </c>
      <c r="I1132" s="21">
        <v>42.180610600000001</v>
      </c>
      <c r="J1132" s="21">
        <v>9.0473865</v>
      </c>
      <c r="K1132" s="21">
        <v>8722</v>
      </c>
      <c r="L1132" s="198">
        <v>2001</v>
      </c>
      <c r="M1132" s="198">
        <v>2015</v>
      </c>
      <c r="N1132" s="77" t="s">
        <v>2272</v>
      </c>
      <c r="O1132" s="19" t="s">
        <v>66</v>
      </c>
      <c r="P1132" s="19" t="s">
        <v>5181</v>
      </c>
      <c r="Q1132" s="198"/>
    </row>
    <row r="1133" spans="1:17" ht="48" customHeight="1">
      <c r="A1133" s="207">
        <v>305</v>
      </c>
      <c r="B1133" s="37" t="s">
        <v>7256</v>
      </c>
      <c r="C1133" s="19" t="s">
        <v>7282</v>
      </c>
      <c r="D1133" s="198" t="s">
        <v>2628</v>
      </c>
      <c r="E1133" s="198" t="s">
        <v>4842</v>
      </c>
      <c r="F1133" s="19" t="s">
        <v>2272</v>
      </c>
      <c r="G1133" s="11" t="s">
        <v>7385</v>
      </c>
      <c r="H1133" s="19" t="s">
        <v>6105</v>
      </c>
      <c r="I1133" s="21">
        <v>38.904713999999998</v>
      </c>
      <c r="J1133" s="21">
        <v>-9.2215173999999998</v>
      </c>
      <c r="K1133" s="21">
        <v>2800</v>
      </c>
      <c r="L1133" s="198">
        <v>2006</v>
      </c>
      <c r="M1133" s="198">
        <v>2015</v>
      </c>
      <c r="N1133" s="77" t="s">
        <v>2272</v>
      </c>
      <c r="O1133" s="19" t="s">
        <v>66</v>
      </c>
      <c r="P1133" s="19" t="s">
        <v>5181</v>
      </c>
      <c r="Q1133" s="198"/>
    </row>
    <row r="1134" spans="1:17" ht="48" customHeight="1">
      <c r="A1134" s="207">
        <v>305</v>
      </c>
      <c r="B1134" s="37" t="s">
        <v>7256</v>
      </c>
      <c r="C1134" s="19" t="s">
        <v>7368</v>
      </c>
      <c r="D1134" s="198" t="s">
        <v>2628</v>
      </c>
      <c r="E1134" s="198" t="s">
        <v>4842</v>
      </c>
      <c r="F1134" s="19" t="s">
        <v>2272</v>
      </c>
      <c r="G1134" s="11" t="s">
        <v>7386</v>
      </c>
      <c r="H1134" s="19" t="s">
        <v>6105</v>
      </c>
      <c r="I1134" s="21">
        <v>39.5852772</v>
      </c>
      <c r="J1134" s="21">
        <v>-8.8504941000000006</v>
      </c>
      <c r="K1134" s="21">
        <v>3515</v>
      </c>
      <c r="L1134" s="198">
        <v>2006</v>
      </c>
      <c r="M1134" s="198">
        <v>2015</v>
      </c>
      <c r="N1134" s="77" t="s">
        <v>2272</v>
      </c>
      <c r="O1134" s="19" t="s">
        <v>66</v>
      </c>
      <c r="P1134" s="19" t="s">
        <v>5181</v>
      </c>
      <c r="Q1134" s="198"/>
    </row>
    <row r="1135" spans="1:17" ht="48" customHeight="1">
      <c r="A1135" s="207">
        <v>305</v>
      </c>
      <c r="B1135" s="37" t="s">
        <v>7256</v>
      </c>
      <c r="C1135" s="19" t="s">
        <v>7369</v>
      </c>
      <c r="D1135" s="198" t="s">
        <v>2628</v>
      </c>
      <c r="E1135" s="198" t="s">
        <v>4842</v>
      </c>
      <c r="F1135" s="19" t="s">
        <v>2272</v>
      </c>
      <c r="G1135" s="11" t="s">
        <v>6057</v>
      </c>
      <c r="H1135" s="19" t="s">
        <v>6105</v>
      </c>
      <c r="I1135" s="21">
        <v>39.225619500000001</v>
      </c>
      <c r="J1135" s="21">
        <v>-8.7137516999999995</v>
      </c>
      <c r="K1135" s="21">
        <v>6747</v>
      </c>
      <c r="L1135" s="198">
        <v>2006</v>
      </c>
      <c r="M1135" s="198">
        <v>2015</v>
      </c>
      <c r="N1135" s="77" t="s">
        <v>2272</v>
      </c>
      <c r="O1135" s="19" t="s">
        <v>66</v>
      </c>
      <c r="P1135" s="19" t="s">
        <v>5181</v>
      </c>
      <c r="Q1135" s="198"/>
    </row>
    <row r="1136" spans="1:17" ht="48" customHeight="1">
      <c r="A1136" s="207">
        <v>305</v>
      </c>
      <c r="B1136" s="37" t="s">
        <v>7256</v>
      </c>
      <c r="C1136" s="19" t="s">
        <v>7370</v>
      </c>
      <c r="D1136" s="198" t="s">
        <v>2628</v>
      </c>
      <c r="E1136" s="198" t="s">
        <v>4842</v>
      </c>
      <c r="F1136" s="19" t="s">
        <v>2272</v>
      </c>
      <c r="G1136" s="11" t="s">
        <v>7387</v>
      </c>
      <c r="H1136" s="19" t="s">
        <v>6105</v>
      </c>
      <c r="I1136" s="21">
        <v>38.483753100000001</v>
      </c>
      <c r="J1136" s="21">
        <v>-8.9134197999999998</v>
      </c>
      <c r="K1136" s="21">
        <v>5064</v>
      </c>
      <c r="L1136" s="198">
        <v>2006</v>
      </c>
      <c r="M1136" s="198">
        <v>2015</v>
      </c>
      <c r="N1136" s="77" t="s">
        <v>2272</v>
      </c>
      <c r="O1136" s="19" t="s">
        <v>66</v>
      </c>
      <c r="P1136" s="19" t="s">
        <v>5181</v>
      </c>
      <c r="Q1136" s="198"/>
    </row>
    <row r="1137" spans="1:19" ht="48" customHeight="1">
      <c r="A1137" s="207">
        <v>305</v>
      </c>
      <c r="B1137" s="37" t="s">
        <v>7256</v>
      </c>
      <c r="C1137" s="19" t="s">
        <v>7371</v>
      </c>
      <c r="D1137" s="198" t="s">
        <v>2628</v>
      </c>
      <c r="E1137" s="198" t="s">
        <v>4842</v>
      </c>
      <c r="F1137" s="19" t="s">
        <v>2272</v>
      </c>
      <c r="G1137" s="11" t="s">
        <v>7388</v>
      </c>
      <c r="H1137" s="19" t="s">
        <v>6105</v>
      </c>
      <c r="I1137" s="21">
        <v>37.987447299999999</v>
      </c>
      <c r="J1137" s="21">
        <v>-7.9819201</v>
      </c>
      <c r="K1137" s="21">
        <v>10225</v>
      </c>
      <c r="L1137" s="198">
        <v>2006</v>
      </c>
      <c r="M1137" s="198">
        <v>2015</v>
      </c>
      <c r="N1137" s="77" t="s">
        <v>2272</v>
      </c>
      <c r="O1137" s="19" t="s">
        <v>66</v>
      </c>
      <c r="P1137" s="19" t="s">
        <v>5181</v>
      </c>
      <c r="Q1137" s="198"/>
    </row>
    <row r="1138" spans="1:19" ht="48" customHeight="1">
      <c r="A1138" s="207">
        <v>305</v>
      </c>
      <c r="B1138" s="37" t="s">
        <v>7256</v>
      </c>
      <c r="C1138" s="19" t="s">
        <v>7372</v>
      </c>
      <c r="D1138" s="198" t="s">
        <v>2628</v>
      </c>
      <c r="E1138" s="198" t="s">
        <v>4842</v>
      </c>
      <c r="F1138" s="19" t="s">
        <v>2272</v>
      </c>
      <c r="G1138" s="11" t="s">
        <v>7389</v>
      </c>
      <c r="H1138" s="19" t="s">
        <v>6105</v>
      </c>
      <c r="I1138" s="21">
        <v>37.192814900000002</v>
      </c>
      <c r="J1138" s="21">
        <v>-7.9900900000000004</v>
      </c>
      <c r="K1138" s="21">
        <v>4997</v>
      </c>
      <c r="L1138" s="198">
        <v>2006</v>
      </c>
      <c r="M1138" s="198">
        <v>2015</v>
      </c>
      <c r="N1138" s="77" t="s">
        <v>2272</v>
      </c>
      <c r="O1138" s="19" t="s">
        <v>66</v>
      </c>
      <c r="P1138" s="19" t="s">
        <v>5181</v>
      </c>
      <c r="Q1138" s="198"/>
    </row>
    <row r="1139" spans="1:19" ht="48" customHeight="1">
      <c r="A1139" s="207">
        <v>305</v>
      </c>
      <c r="B1139" s="37" t="s">
        <v>7256</v>
      </c>
      <c r="C1139" s="19" t="s">
        <v>7373</v>
      </c>
      <c r="D1139" s="198" t="s">
        <v>2628</v>
      </c>
      <c r="E1139" s="198" t="s">
        <v>4842</v>
      </c>
      <c r="F1139" s="19" t="s">
        <v>2272</v>
      </c>
      <c r="G1139" s="11" t="s">
        <v>7390</v>
      </c>
      <c r="H1139" s="19" t="s">
        <v>6105</v>
      </c>
      <c r="I1139" s="21">
        <v>38.4956976</v>
      </c>
      <c r="J1139" s="21">
        <v>-7.9816108999999997</v>
      </c>
      <c r="K1139" s="21">
        <v>7393</v>
      </c>
      <c r="L1139" s="198">
        <v>2006</v>
      </c>
      <c r="M1139" s="198">
        <v>2015</v>
      </c>
      <c r="N1139" s="77" t="s">
        <v>2272</v>
      </c>
      <c r="O1139" s="19" t="s">
        <v>66</v>
      </c>
      <c r="P1139" s="19" t="s">
        <v>5181</v>
      </c>
      <c r="Q1139" s="198"/>
    </row>
    <row r="1140" spans="1:19" ht="48" customHeight="1">
      <c r="A1140" s="207">
        <v>305</v>
      </c>
      <c r="B1140" s="37" t="s">
        <v>7256</v>
      </c>
      <c r="C1140" s="19" t="s">
        <v>7374</v>
      </c>
      <c r="D1140" s="198" t="s">
        <v>2628</v>
      </c>
      <c r="E1140" s="198" t="s">
        <v>4842</v>
      </c>
      <c r="F1140" s="19" t="s">
        <v>2272</v>
      </c>
      <c r="G1140" s="11" t="s">
        <v>7391</v>
      </c>
      <c r="H1140" s="19" t="s">
        <v>6105</v>
      </c>
      <c r="I1140" s="21">
        <v>39.248371200000001</v>
      </c>
      <c r="J1140" s="21">
        <v>-7.4527700000000001</v>
      </c>
      <c r="K1140" s="21">
        <v>6065</v>
      </c>
      <c r="L1140" s="198">
        <v>2006</v>
      </c>
      <c r="M1140" s="198">
        <v>2015</v>
      </c>
      <c r="N1140" s="77" t="s">
        <v>2272</v>
      </c>
      <c r="O1140" s="19" t="s">
        <v>66</v>
      </c>
      <c r="P1140" s="19" t="s">
        <v>5181</v>
      </c>
      <c r="Q1140" s="198"/>
    </row>
    <row r="1141" spans="1:19" ht="48" customHeight="1">
      <c r="A1141" s="207">
        <v>305</v>
      </c>
      <c r="B1141" s="37" t="s">
        <v>7256</v>
      </c>
      <c r="C1141" s="19" t="s">
        <v>7375</v>
      </c>
      <c r="D1141" s="198" t="s">
        <v>2628</v>
      </c>
      <c r="E1141" s="198" t="s">
        <v>4842</v>
      </c>
      <c r="F1141" s="19" t="s">
        <v>2272</v>
      </c>
      <c r="G1141" s="11" t="s">
        <v>7392</v>
      </c>
      <c r="H1141" s="19" t="s">
        <v>6105</v>
      </c>
      <c r="I1141" s="21">
        <v>39.775269299999998</v>
      </c>
      <c r="J1141" s="21">
        <v>-7.5083846999999997</v>
      </c>
      <c r="K1141" s="21">
        <v>6675</v>
      </c>
      <c r="L1141" s="198">
        <v>2006</v>
      </c>
      <c r="M1141" s="198">
        <v>2015</v>
      </c>
      <c r="N1141" s="77" t="s">
        <v>2272</v>
      </c>
      <c r="O1141" s="19" t="s">
        <v>66</v>
      </c>
      <c r="P1141" s="19" t="s">
        <v>5181</v>
      </c>
      <c r="Q1141" s="198"/>
    </row>
    <row r="1142" spans="1:19" ht="48" customHeight="1">
      <c r="A1142" s="207">
        <v>305</v>
      </c>
      <c r="B1142" s="37" t="s">
        <v>7256</v>
      </c>
      <c r="C1142" s="19" t="s">
        <v>7376</v>
      </c>
      <c r="D1142" s="198" t="s">
        <v>2628</v>
      </c>
      <c r="E1142" s="198" t="s">
        <v>4842</v>
      </c>
      <c r="F1142" s="19" t="s">
        <v>2272</v>
      </c>
      <c r="G1142" s="11" t="s">
        <v>7393</v>
      </c>
      <c r="H1142" s="19" t="s">
        <v>6105</v>
      </c>
      <c r="I1142" s="21">
        <v>40.504301400000003</v>
      </c>
      <c r="J1142" s="21">
        <v>-7.2940021000000002</v>
      </c>
      <c r="K1142" s="21">
        <v>5518</v>
      </c>
      <c r="L1142" s="198">
        <v>2006</v>
      </c>
      <c r="M1142" s="198">
        <v>2015</v>
      </c>
      <c r="N1142" s="77" t="s">
        <v>2272</v>
      </c>
      <c r="O1142" s="19" t="s">
        <v>66</v>
      </c>
      <c r="P1142" s="19" t="s">
        <v>5181</v>
      </c>
      <c r="Q1142" s="198"/>
    </row>
    <row r="1143" spans="1:19" ht="48" customHeight="1">
      <c r="A1143" s="207">
        <v>305</v>
      </c>
      <c r="B1143" s="37" t="s">
        <v>7256</v>
      </c>
      <c r="C1143" s="19" t="s">
        <v>7377</v>
      </c>
      <c r="D1143" s="198" t="s">
        <v>2628</v>
      </c>
      <c r="E1143" s="198" t="s">
        <v>4842</v>
      </c>
      <c r="F1143" s="19" t="s">
        <v>2272</v>
      </c>
      <c r="G1143" s="11" t="s">
        <v>7394</v>
      </c>
      <c r="H1143" s="19" t="s">
        <v>6105</v>
      </c>
      <c r="I1143" s="21">
        <v>40.205450800000001</v>
      </c>
      <c r="J1143" s="21">
        <v>-8.3994599999999995</v>
      </c>
      <c r="K1143" s="21">
        <v>3947</v>
      </c>
      <c r="L1143" s="198">
        <v>2006</v>
      </c>
      <c r="M1143" s="198">
        <v>2015</v>
      </c>
      <c r="N1143" s="77" t="s">
        <v>2272</v>
      </c>
      <c r="O1143" s="19" t="s">
        <v>66</v>
      </c>
      <c r="P1143" s="19" t="s">
        <v>5181</v>
      </c>
      <c r="Q1143" s="198"/>
    </row>
    <row r="1144" spans="1:19" ht="48" customHeight="1">
      <c r="A1144" s="207">
        <v>305</v>
      </c>
      <c r="B1144" s="37" t="s">
        <v>7256</v>
      </c>
      <c r="C1144" s="19" t="s">
        <v>7378</v>
      </c>
      <c r="D1144" s="198" t="s">
        <v>2628</v>
      </c>
      <c r="E1144" s="198" t="s">
        <v>4842</v>
      </c>
      <c r="F1144" s="19" t="s">
        <v>2272</v>
      </c>
      <c r="G1144" s="11" t="s">
        <v>7395</v>
      </c>
      <c r="H1144" s="19" t="s">
        <v>6105</v>
      </c>
      <c r="I1144" s="21">
        <v>40.604104200000002</v>
      </c>
      <c r="J1144" s="21">
        <v>-8.6561692000000008</v>
      </c>
      <c r="K1144" s="21">
        <v>2808</v>
      </c>
      <c r="L1144" s="198">
        <v>2006</v>
      </c>
      <c r="M1144" s="198">
        <v>2015</v>
      </c>
      <c r="N1144" s="77" t="s">
        <v>2272</v>
      </c>
      <c r="O1144" s="19" t="s">
        <v>66</v>
      </c>
      <c r="P1144" s="19" t="s">
        <v>5181</v>
      </c>
      <c r="Q1144" s="198"/>
    </row>
    <row r="1145" spans="1:19" ht="48" customHeight="1">
      <c r="A1145" s="207">
        <v>305</v>
      </c>
      <c r="B1145" s="37" t="s">
        <v>7256</v>
      </c>
      <c r="C1145" s="19" t="s">
        <v>7379</v>
      </c>
      <c r="D1145" s="198" t="s">
        <v>2628</v>
      </c>
      <c r="E1145" s="198" t="s">
        <v>4842</v>
      </c>
      <c r="F1145" s="19" t="s">
        <v>2272</v>
      </c>
      <c r="G1145" s="11" t="s">
        <v>7396</v>
      </c>
      <c r="H1145" s="19" t="s">
        <v>6105</v>
      </c>
      <c r="I1145" s="21">
        <v>40.722348599999997</v>
      </c>
      <c r="J1145" s="21">
        <v>-7.9160269000000003</v>
      </c>
      <c r="K1145" s="21">
        <v>5007</v>
      </c>
      <c r="L1145" s="198">
        <v>2006</v>
      </c>
      <c r="M1145" s="198">
        <v>2015</v>
      </c>
      <c r="N1145" s="77" t="s">
        <v>2272</v>
      </c>
      <c r="O1145" s="19" t="s">
        <v>66</v>
      </c>
      <c r="P1145" s="19" t="s">
        <v>5181</v>
      </c>
      <c r="Q1145" s="198"/>
    </row>
    <row r="1146" spans="1:19" ht="48" customHeight="1">
      <c r="A1146" s="207">
        <v>305</v>
      </c>
      <c r="B1146" s="37" t="s">
        <v>7256</v>
      </c>
      <c r="C1146" s="19" t="s">
        <v>7380</v>
      </c>
      <c r="D1146" s="198" t="s">
        <v>2628</v>
      </c>
      <c r="E1146" s="198" t="s">
        <v>4842</v>
      </c>
      <c r="F1146" s="19" t="s">
        <v>2272</v>
      </c>
      <c r="G1146" s="11" t="s">
        <v>7397</v>
      </c>
      <c r="H1146" s="19" t="s">
        <v>6105</v>
      </c>
      <c r="I1146" s="21">
        <v>41.803516199999997</v>
      </c>
      <c r="J1146" s="21">
        <v>-6.7776588000000002</v>
      </c>
      <c r="K1146" s="21">
        <v>1174</v>
      </c>
      <c r="L1146" s="198">
        <v>2006</v>
      </c>
      <c r="M1146" s="198">
        <v>2015</v>
      </c>
      <c r="N1146" s="77" t="s">
        <v>2272</v>
      </c>
      <c r="O1146" s="19" t="s">
        <v>66</v>
      </c>
      <c r="P1146" s="19" t="s">
        <v>5181</v>
      </c>
      <c r="Q1146" s="198"/>
    </row>
    <row r="1147" spans="1:19" ht="48" customHeight="1">
      <c r="A1147" s="207">
        <v>305</v>
      </c>
      <c r="B1147" s="37" t="s">
        <v>7256</v>
      </c>
      <c r="C1147" s="19" t="s">
        <v>7381</v>
      </c>
      <c r="D1147" s="198" t="s">
        <v>2628</v>
      </c>
      <c r="E1147" s="198" t="s">
        <v>4842</v>
      </c>
      <c r="F1147" s="19" t="s">
        <v>2272</v>
      </c>
      <c r="G1147" s="11" t="s">
        <v>7398</v>
      </c>
      <c r="H1147" s="19" t="s">
        <v>6105</v>
      </c>
      <c r="I1147" s="21">
        <v>41.285986999999999</v>
      </c>
      <c r="J1147" s="21">
        <v>-7.7582407</v>
      </c>
      <c r="K1147" s="21">
        <v>4328</v>
      </c>
      <c r="L1147" s="198">
        <v>2006</v>
      </c>
      <c r="M1147" s="198">
        <v>2015</v>
      </c>
      <c r="N1147" s="77" t="s">
        <v>2272</v>
      </c>
      <c r="O1147" s="19" t="s">
        <v>66</v>
      </c>
      <c r="P1147" s="19" t="s">
        <v>5181</v>
      </c>
      <c r="Q1147" s="198"/>
    </row>
    <row r="1148" spans="1:19" ht="48" customHeight="1">
      <c r="A1148" s="207">
        <v>305</v>
      </c>
      <c r="B1148" s="37" t="s">
        <v>7256</v>
      </c>
      <c r="C1148" s="19" t="s">
        <v>7382</v>
      </c>
      <c r="D1148" s="198" t="s">
        <v>2628</v>
      </c>
      <c r="E1148" s="198" t="s">
        <v>4842</v>
      </c>
      <c r="F1148" s="19" t="s">
        <v>2272</v>
      </c>
      <c r="G1148" s="11" t="s">
        <v>7399</v>
      </c>
      <c r="H1148" s="19" t="s">
        <v>6105</v>
      </c>
      <c r="I1148" s="21">
        <v>41.119094799999999</v>
      </c>
      <c r="J1148" s="21">
        <v>-8.6013084000000006</v>
      </c>
      <c r="K1148" s="21">
        <v>2395</v>
      </c>
      <c r="L1148" s="198">
        <v>2006</v>
      </c>
      <c r="M1148" s="198">
        <v>2015</v>
      </c>
      <c r="N1148" s="77" t="s">
        <v>2272</v>
      </c>
      <c r="O1148" s="19" t="s">
        <v>66</v>
      </c>
      <c r="P1148" s="19" t="s">
        <v>5181</v>
      </c>
      <c r="Q1148" s="198"/>
      <c r="R1148" s="117"/>
      <c r="S1148" s="117"/>
    </row>
    <row r="1149" spans="1:19" ht="48" customHeight="1">
      <c r="A1149" s="207">
        <v>305</v>
      </c>
      <c r="B1149" s="37" t="s">
        <v>7256</v>
      </c>
      <c r="C1149" s="19" t="s">
        <v>7383</v>
      </c>
      <c r="D1149" s="198" t="s">
        <v>2628</v>
      </c>
      <c r="E1149" s="198" t="s">
        <v>4842</v>
      </c>
      <c r="F1149" s="19" t="s">
        <v>2272</v>
      </c>
      <c r="G1149" s="11" t="s">
        <v>7401</v>
      </c>
      <c r="H1149" s="19" t="s">
        <v>6105</v>
      </c>
      <c r="I1149" s="21">
        <v>41.482525099999997</v>
      </c>
      <c r="J1149" s="21">
        <v>-8.4239523999999992</v>
      </c>
      <c r="K1149" s="21">
        <v>2673</v>
      </c>
      <c r="L1149" s="198">
        <v>2006</v>
      </c>
      <c r="M1149" s="198">
        <v>2015</v>
      </c>
      <c r="N1149" s="77" t="s">
        <v>2272</v>
      </c>
      <c r="O1149" s="19" t="s">
        <v>66</v>
      </c>
      <c r="P1149" s="19" t="s">
        <v>5181</v>
      </c>
      <c r="Q1149" s="198"/>
      <c r="R1149" s="117"/>
      <c r="S1149" s="117"/>
    </row>
    <row r="1150" spans="1:19" ht="48" customHeight="1">
      <c r="A1150" s="207">
        <v>305</v>
      </c>
      <c r="B1150" s="37" t="s">
        <v>7256</v>
      </c>
      <c r="C1150" s="19" t="s">
        <v>7384</v>
      </c>
      <c r="D1150" s="198" t="s">
        <v>2628</v>
      </c>
      <c r="E1150" s="198" t="s">
        <v>4842</v>
      </c>
      <c r="F1150" s="19" t="s">
        <v>2272</v>
      </c>
      <c r="G1150" s="11" t="s">
        <v>7400</v>
      </c>
      <c r="H1150" s="19" t="s">
        <v>6105</v>
      </c>
      <c r="I1150" s="21">
        <v>41.6912345</v>
      </c>
      <c r="J1150" s="21">
        <v>-8.8434313000000007</v>
      </c>
      <c r="K1150" s="21">
        <v>2255</v>
      </c>
      <c r="L1150" s="198">
        <v>2006</v>
      </c>
      <c r="M1150" s="198">
        <v>2015</v>
      </c>
      <c r="N1150" s="77" t="s">
        <v>2272</v>
      </c>
      <c r="O1150" s="19" t="s">
        <v>66</v>
      </c>
      <c r="P1150" s="19" t="s">
        <v>5181</v>
      </c>
      <c r="Q1150" s="198"/>
      <c r="R1150" s="117"/>
      <c r="S1150" s="117"/>
    </row>
    <row r="1151" spans="1:19" ht="48" customHeight="1">
      <c r="A1151" s="207">
        <v>305</v>
      </c>
      <c r="B1151" s="37" t="s">
        <v>7256</v>
      </c>
      <c r="C1151" s="19" t="s">
        <v>7583</v>
      </c>
      <c r="D1151" s="198" t="s">
        <v>2628</v>
      </c>
      <c r="E1151" s="198" t="s">
        <v>4842</v>
      </c>
      <c r="F1151" s="19" t="s">
        <v>2272</v>
      </c>
      <c r="G1151" s="11" t="s">
        <v>6125</v>
      </c>
      <c r="H1151" s="19" t="s">
        <v>4309</v>
      </c>
      <c r="I1151" s="21">
        <v>42</v>
      </c>
      <c r="J1151" s="21">
        <v>1.75</v>
      </c>
      <c r="K1151" s="21">
        <v>23108</v>
      </c>
      <c r="L1151" s="11">
        <v>1998</v>
      </c>
      <c r="M1151" s="11">
        <v>2015</v>
      </c>
      <c r="N1151" s="77" t="s">
        <v>2272</v>
      </c>
      <c r="O1151" s="19" t="s">
        <v>66</v>
      </c>
      <c r="P1151" s="19" t="s">
        <v>5181</v>
      </c>
      <c r="Q1151" s="198"/>
      <c r="R1151" s="117"/>
      <c r="S1151" s="117"/>
    </row>
    <row r="1152" spans="1:19" ht="48" customHeight="1">
      <c r="A1152" s="207">
        <v>305</v>
      </c>
      <c r="B1152" s="37" t="s">
        <v>7256</v>
      </c>
      <c r="C1152" s="19" t="s">
        <v>7605</v>
      </c>
      <c r="D1152" s="198" t="s">
        <v>2628</v>
      </c>
      <c r="E1152" s="198" t="s">
        <v>2409</v>
      </c>
      <c r="F1152" s="19" t="s">
        <v>2272</v>
      </c>
      <c r="G1152" s="19" t="s">
        <v>2272</v>
      </c>
      <c r="H1152" s="19" t="s">
        <v>4937</v>
      </c>
      <c r="I1152" s="21">
        <v>41.853488200000001</v>
      </c>
      <c r="J1152" s="77">
        <v>12.556582799999999</v>
      </c>
      <c r="K1152" s="21">
        <v>301338</v>
      </c>
      <c r="L1152" s="11">
        <v>2015</v>
      </c>
      <c r="M1152" s="11">
        <v>2015</v>
      </c>
      <c r="N1152" s="77" t="s">
        <v>2272</v>
      </c>
      <c r="O1152" s="19" t="s">
        <v>66</v>
      </c>
      <c r="P1152" s="19" t="s">
        <v>5181</v>
      </c>
      <c r="Q1152" s="198" t="s">
        <v>7602</v>
      </c>
      <c r="R1152" s="117"/>
      <c r="S1152" s="117"/>
    </row>
    <row r="1153" spans="1:19" ht="48" customHeight="1">
      <c r="A1153" s="207">
        <v>305</v>
      </c>
      <c r="B1153" s="37" t="s">
        <v>7256</v>
      </c>
      <c r="C1153" s="19" t="s">
        <v>7608</v>
      </c>
      <c r="D1153" s="198" t="s">
        <v>2628</v>
      </c>
      <c r="E1153" s="198" t="s">
        <v>4842</v>
      </c>
      <c r="F1153" s="19" t="s">
        <v>2272</v>
      </c>
      <c r="G1153" s="19" t="s">
        <v>2272</v>
      </c>
      <c r="H1153" s="19" t="s">
        <v>6105</v>
      </c>
      <c r="I1153" s="21">
        <v>39.394639099999999</v>
      </c>
      <c r="J1153" s="77">
        <v>-8.0152952000000006</v>
      </c>
      <c r="K1153" s="21">
        <v>92212</v>
      </c>
      <c r="L1153" s="11">
        <v>2015</v>
      </c>
      <c r="M1153" s="11">
        <v>2015</v>
      </c>
      <c r="N1153" s="77" t="s">
        <v>2272</v>
      </c>
      <c r="O1153" s="19" t="s">
        <v>66</v>
      </c>
      <c r="P1153" s="19" t="s">
        <v>5181</v>
      </c>
      <c r="Q1153" s="198"/>
      <c r="R1153" s="117"/>
      <c r="S1153" s="117"/>
    </row>
    <row r="1154" spans="1:19" ht="48" customHeight="1">
      <c r="A1154" s="207">
        <v>305</v>
      </c>
      <c r="B1154" s="37" t="s">
        <v>7256</v>
      </c>
      <c r="C1154" s="19" t="s">
        <v>7609</v>
      </c>
      <c r="D1154" s="198" t="s">
        <v>2628</v>
      </c>
      <c r="E1154" s="198" t="s">
        <v>4842</v>
      </c>
      <c r="F1154" s="19" t="s">
        <v>2272</v>
      </c>
      <c r="G1154" s="19" t="s">
        <v>2272</v>
      </c>
      <c r="H1154" s="19" t="s">
        <v>6109</v>
      </c>
      <c r="I1154" s="21">
        <v>42.188513700000001</v>
      </c>
      <c r="J1154" s="77">
        <v>1.7829904999999999</v>
      </c>
      <c r="K1154" s="21">
        <v>643801</v>
      </c>
      <c r="L1154" s="11">
        <v>2015</v>
      </c>
      <c r="M1154" s="11">
        <v>2015</v>
      </c>
      <c r="N1154" s="77" t="s">
        <v>2272</v>
      </c>
      <c r="O1154" s="19" t="s">
        <v>66</v>
      </c>
      <c r="P1154" s="19" t="s">
        <v>5181</v>
      </c>
      <c r="Q1154" s="4" t="s">
        <v>7613</v>
      </c>
      <c r="R1154" s="117"/>
      <c r="S1154" s="117"/>
    </row>
    <row r="1155" spans="1:19" ht="48" customHeight="1">
      <c r="A1155" s="213">
        <v>306</v>
      </c>
      <c r="B1155" s="51" t="s">
        <v>7631</v>
      </c>
      <c r="C1155" s="52" t="s">
        <v>7632</v>
      </c>
      <c r="D1155" s="35" t="s">
        <v>2393</v>
      </c>
      <c r="E1155" s="35" t="s">
        <v>4842</v>
      </c>
      <c r="F1155" s="52" t="s">
        <v>2272</v>
      </c>
      <c r="G1155" s="52" t="s">
        <v>7766</v>
      </c>
      <c r="H1155" s="146" t="s">
        <v>4107</v>
      </c>
      <c r="I1155" s="21">
        <f>AVERAGE(I1156:I1222)</f>
        <v>39.367126656542631</v>
      </c>
      <c r="J1155" s="21">
        <f>AVERAGE(J1156:J1222)</f>
        <v>-99.183510622322359</v>
      </c>
      <c r="K1155" s="21">
        <v>76639417</v>
      </c>
      <c r="L1155" s="198">
        <v>1999</v>
      </c>
      <c r="M1155" s="198">
        <v>2012</v>
      </c>
      <c r="N1155" s="214" t="s">
        <v>2272</v>
      </c>
      <c r="O1155" s="52" t="s">
        <v>66</v>
      </c>
      <c r="P1155" s="52" t="s">
        <v>5181</v>
      </c>
      <c r="Q1155" s="163" t="s">
        <v>7764</v>
      </c>
      <c r="R1155" s="117"/>
      <c r="S1155" s="117"/>
    </row>
    <row r="1156" spans="1:19" ht="33.5" customHeight="1">
      <c r="A1156" s="207">
        <v>306</v>
      </c>
      <c r="B1156" s="37" t="s">
        <v>7631</v>
      </c>
      <c r="C1156" s="19" t="s">
        <v>7633</v>
      </c>
      <c r="D1156" s="198" t="s">
        <v>2393</v>
      </c>
      <c r="E1156" s="198" t="s">
        <v>4842</v>
      </c>
      <c r="F1156" s="52" t="s">
        <v>2272</v>
      </c>
      <c r="G1156" s="4" t="s">
        <v>7682</v>
      </c>
      <c r="H1156" s="46" t="s">
        <v>4107</v>
      </c>
      <c r="I1156" s="21">
        <v>47.7869335358087</v>
      </c>
      <c r="J1156" s="21">
        <v>-122.285198413692</v>
      </c>
      <c r="K1156" s="172">
        <f>38582*2.59</f>
        <v>99927.37999999999</v>
      </c>
      <c r="L1156" s="198">
        <v>1999</v>
      </c>
      <c r="M1156" s="198">
        <v>2012</v>
      </c>
      <c r="N1156" s="77" t="s">
        <v>2272</v>
      </c>
      <c r="O1156" s="19" t="s">
        <v>66</v>
      </c>
      <c r="P1156" s="19" t="s">
        <v>5181</v>
      </c>
      <c r="Q1156" s="198"/>
      <c r="R1156" s="117"/>
      <c r="S1156" s="117"/>
    </row>
    <row r="1157" spans="1:19" ht="33.5" customHeight="1">
      <c r="A1157" s="207">
        <v>306</v>
      </c>
      <c r="B1157" s="37" t="s">
        <v>7631</v>
      </c>
      <c r="C1157" s="19" t="s">
        <v>7634</v>
      </c>
      <c r="D1157" s="198" t="s">
        <v>2393</v>
      </c>
      <c r="E1157" s="198" t="s">
        <v>4842</v>
      </c>
      <c r="F1157" s="52" t="s">
        <v>2272</v>
      </c>
      <c r="G1157" s="4" t="s">
        <v>7683</v>
      </c>
      <c r="H1157" s="46" t="s">
        <v>4107</v>
      </c>
      <c r="I1157" s="21">
        <v>44.397995621549498</v>
      </c>
      <c r="J1157" s="21">
        <v>-123.641350034013</v>
      </c>
      <c r="K1157" s="172">
        <f>19272*2.59</f>
        <v>49914.479999999996</v>
      </c>
      <c r="L1157" s="198">
        <v>1999</v>
      </c>
      <c r="M1157" s="198">
        <v>2012</v>
      </c>
      <c r="N1157" s="77" t="s">
        <v>2272</v>
      </c>
      <c r="O1157" s="19" t="s">
        <v>66</v>
      </c>
      <c r="P1157" s="19" t="s">
        <v>5181</v>
      </c>
      <c r="Q1157" s="198"/>
    </row>
    <row r="1158" spans="1:19" ht="33.5" customHeight="1">
      <c r="A1158" s="207">
        <v>306</v>
      </c>
      <c r="B1158" s="37" t="s">
        <v>7631</v>
      </c>
      <c r="C1158" s="19" t="s">
        <v>7635</v>
      </c>
      <c r="D1158" s="198" t="s">
        <v>2393</v>
      </c>
      <c r="E1158" s="198" t="s">
        <v>4842</v>
      </c>
      <c r="F1158" s="52" t="s">
        <v>2272</v>
      </c>
      <c r="G1158" s="4" t="s">
        <v>7684</v>
      </c>
      <c r="H1158" s="46" t="s">
        <v>4107</v>
      </c>
      <c r="I1158" s="21">
        <v>40.502439589961597</v>
      </c>
      <c r="J1158" s="21">
        <v>-123.605461937556</v>
      </c>
      <c r="K1158" s="172">
        <f>22017*2.59</f>
        <v>57024.03</v>
      </c>
      <c r="L1158" s="198">
        <v>1999</v>
      </c>
      <c r="M1158" s="198">
        <v>2012</v>
      </c>
      <c r="N1158" s="77" t="s">
        <v>2272</v>
      </c>
      <c r="O1158" s="19" t="s">
        <v>66</v>
      </c>
      <c r="P1158" s="19" t="s">
        <v>5181</v>
      </c>
      <c r="Q1158" s="198"/>
    </row>
    <row r="1159" spans="1:19" ht="33.5" customHeight="1">
      <c r="A1159" s="207">
        <v>306</v>
      </c>
      <c r="B1159" s="37" t="s">
        <v>7631</v>
      </c>
      <c r="C1159" s="19" t="s">
        <v>7636</v>
      </c>
      <c r="D1159" s="198" t="s">
        <v>2393</v>
      </c>
      <c r="E1159" s="198" t="s">
        <v>4842</v>
      </c>
      <c r="F1159" s="52" t="s">
        <v>2272</v>
      </c>
      <c r="G1159" s="4" t="s">
        <v>7685</v>
      </c>
      <c r="H1159" s="46" t="s">
        <v>4107</v>
      </c>
      <c r="I1159" s="21">
        <v>35.639111938700403</v>
      </c>
      <c r="J1159" s="21">
        <v>-120.645239735288</v>
      </c>
      <c r="K1159" s="172">
        <f>37534*2.59</f>
        <v>97213.06</v>
      </c>
      <c r="L1159" s="198">
        <v>1999</v>
      </c>
      <c r="M1159" s="198">
        <v>2012</v>
      </c>
      <c r="N1159" s="77" t="s">
        <v>2272</v>
      </c>
      <c r="O1159" s="19" t="s">
        <v>66</v>
      </c>
      <c r="P1159" s="19" t="s">
        <v>5181</v>
      </c>
      <c r="Q1159" s="198"/>
    </row>
    <row r="1160" spans="1:19" ht="33.5" customHeight="1">
      <c r="A1160" s="207">
        <v>306</v>
      </c>
      <c r="B1160" s="37" t="s">
        <v>7631</v>
      </c>
      <c r="C1160" s="19" t="s">
        <v>7637</v>
      </c>
      <c r="D1160" s="198" t="s">
        <v>2393</v>
      </c>
      <c r="E1160" s="198" t="s">
        <v>4842</v>
      </c>
      <c r="F1160" s="52" t="s">
        <v>2272</v>
      </c>
      <c r="G1160" s="4" t="s">
        <v>7686</v>
      </c>
      <c r="H1160" s="46" t="s">
        <v>4107</v>
      </c>
      <c r="I1160" s="21">
        <v>38.065074395604398</v>
      </c>
      <c r="J1160" s="21">
        <v>-121.371517705549</v>
      </c>
      <c r="K1160" s="172">
        <f>21578*2.59</f>
        <v>55887.02</v>
      </c>
      <c r="L1160" s="198">
        <v>1999</v>
      </c>
      <c r="M1160" s="198">
        <v>2012</v>
      </c>
      <c r="N1160" s="77" t="s">
        <v>2272</v>
      </c>
      <c r="O1160" s="19" t="s">
        <v>66</v>
      </c>
      <c r="P1160" s="19" t="s">
        <v>5181</v>
      </c>
      <c r="Q1160" s="198"/>
    </row>
    <row r="1161" spans="1:19" ht="33.5" customHeight="1">
      <c r="A1161" s="207">
        <v>306</v>
      </c>
      <c r="B1161" s="37" t="s">
        <v>7631</v>
      </c>
      <c r="C1161" s="19" t="s">
        <v>7638</v>
      </c>
      <c r="D1161" s="198" t="s">
        <v>2393</v>
      </c>
      <c r="E1161" s="198" t="s">
        <v>4842</v>
      </c>
      <c r="F1161" s="52" t="s">
        <v>2272</v>
      </c>
      <c r="G1161" s="4" t="s">
        <v>7687</v>
      </c>
      <c r="H1161" s="46" t="s">
        <v>4107</v>
      </c>
      <c r="I1161" s="21">
        <v>38.108652343767197</v>
      </c>
      <c r="J1161" s="21">
        <v>-119.651464632684</v>
      </c>
      <c r="K1161" s="172">
        <f>31844*2.59</f>
        <v>82475.959999999992</v>
      </c>
      <c r="L1161" s="198">
        <v>1999</v>
      </c>
      <c r="M1161" s="198">
        <v>2012</v>
      </c>
      <c r="N1161" s="77" t="s">
        <v>2272</v>
      </c>
      <c r="O1161" s="19" t="s">
        <v>66</v>
      </c>
      <c r="P1161" s="19" t="s">
        <v>5181</v>
      </c>
      <c r="Q1161" s="198"/>
    </row>
    <row r="1162" spans="1:19" ht="33.5" customHeight="1">
      <c r="A1162" s="207">
        <v>306</v>
      </c>
      <c r="B1162" s="37" t="s">
        <v>7631</v>
      </c>
      <c r="C1162" s="19" t="s">
        <v>7639</v>
      </c>
      <c r="D1162" s="198" t="s">
        <v>2393</v>
      </c>
      <c r="E1162" s="198" t="s">
        <v>4842</v>
      </c>
      <c r="F1162" s="52" t="s">
        <v>2272</v>
      </c>
      <c r="G1162" s="4" t="s">
        <v>7688</v>
      </c>
      <c r="H1162" s="46" t="s">
        <v>4107</v>
      </c>
      <c r="I1162" s="21">
        <v>42.580196486606901</v>
      </c>
      <c r="J1162" s="21">
        <v>-121.091545963549</v>
      </c>
      <c r="K1162" s="172">
        <f>36273*2.59</f>
        <v>93947.069999999992</v>
      </c>
      <c r="L1162" s="198">
        <v>1999</v>
      </c>
      <c r="M1162" s="198">
        <v>2012</v>
      </c>
      <c r="N1162" s="77" t="s">
        <v>2272</v>
      </c>
      <c r="O1162" s="19" t="s">
        <v>66</v>
      </c>
      <c r="P1162" s="19" t="s">
        <v>5181</v>
      </c>
      <c r="Q1162" s="198"/>
    </row>
    <row r="1163" spans="1:19" ht="33.5" customHeight="1">
      <c r="A1163" s="207">
        <v>306</v>
      </c>
      <c r="B1163" s="37" t="s">
        <v>7631</v>
      </c>
      <c r="C1163" s="19" t="s">
        <v>7640</v>
      </c>
      <c r="D1163" s="198" t="s">
        <v>2393</v>
      </c>
      <c r="E1163" s="198" t="s">
        <v>4842</v>
      </c>
      <c r="F1163" s="52" t="s">
        <v>2272</v>
      </c>
      <c r="G1163" s="4" t="s">
        <v>7689</v>
      </c>
      <c r="H1163" s="46" t="s">
        <v>4107</v>
      </c>
      <c r="I1163" s="21">
        <v>47.137212913483502</v>
      </c>
      <c r="J1163" s="21">
        <v>-119.12339678678801</v>
      </c>
      <c r="K1163" s="172">
        <f>29672*2.59</f>
        <v>76850.48</v>
      </c>
      <c r="L1163" s="198">
        <v>1999</v>
      </c>
      <c r="M1163" s="198">
        <v>2012</v>
      </c>
      <c r="N1163" s="77" t="s">
        <v>2272</v>
      </c>
      <c r="O1163" s="19" t="s">
        <v>66</v>
      </c>
      <c r="P1163" s="19" t="s">
        <v>5181</v>
      </c>
      <c r="Q1163" s="198"/>
    </row>
    <row r="1164" spans="1:19" ht="33.5" customHeight="1">
      <c r="A1164" s="207">
        <v>306</v>
      </c>
      <c r="B1164" s="37" t="s">
        <v>7631</v>
      </c>
      <c r="C1164" s="19" t="s">
        <v>7641</v>
      </c>
      <c r="D1164" s="198" t="s">
        <v>2393</v>
      </c>
      <c r="E1164" s="198" t="s">
        <v>4842</v>
      </c>
      <c r="F1164" s="52" t="s">
        <v>2272</v>
      </c>
      <c r="G1164" s="4" t="s">
        <v>7690</v>
      </c>
      <c r="H1164" s="46" t="s">
        <v>4107</v>
      </c>
      <c r="I1164" s="21">
        <v>43.131390572728598</v>
      </c>
      <c r="J1164" s="21">
        <v>-119.101839947522</v>
      </c>
      <c r="K1164" s="172">
        <f>56521*2.59</f>
        <v>146389.38999999998</v>
      </c>
      <c r="L1164" s="198">
        <v>1999</v>
      </c>
      <c r="M1164" s="198">
        <v>2012</v>
      </c>
      <c r="N1164" s="77" t="s">
        <v>2272</v>
      </c>
      <c r="O1164" s="19" t="s">
        <v>66</v>
      </c>
      <c r="P1164" s="19" t="s">
        <v>5181</v>
      </c>
      <c r="Q1164" s="198"/>
    </row>
    <row r="1165" spans="1:19" ht="33.5" customHeight="1">
      <c r="A1165" s="207">
        <v>306</v>
      </c>
      <c r="B1165" s="37" t="s">
        <v>7631</v>
      </c>
      <c r="C1165" s="19" t="s">
        <v>7642</v>
      </c>
      <c r="D1165" s="198" t="s">
        <v>2393</v>
      </c>
      <c r="E1165" s="198" t="s">
        <v>4842</v>
      </c>
      <c r="F1165" s="52" t="s">
        <v>2272</v>
      </c>
      <c r="G1165" s="4" t="s">
        <v>7691</v>
      </c>
      <c r="H1165" s="46" t="s">
        <v>4107</v>
      </c>
      <c r="I1165" s="21">
        <v>46.1089151046585</v>
      </c>
      <c r="J1165" s="21">
        <v>-114.849915390029</v>
      </c>
      <c r="K1165" s="172">
        <f>55755*2.59</f>
        <v>144405.44999999998</v>
      </c>
      <c r="L1165" s="198">
        <v>1999</v>
      </c>
      <c r="M1165" s="198">
        <v>2012</v>
      </c>
      <c r="N1165" s="77" t="s">
        <v>2272</v>
      </c>
      <c r="O1165" s="19" t="s">
        <v>66</v>
      </c>
      <c r="P1165" s="19" t="s">
        <v>5181</v>
      </c>
      <c r="Q1165" s="198"/>
    </row>
    <row r="1166" spans="1:19" ht="33.5" customHeight="1">
      <c r="A1166" s="207">
        <v>306</v>
      </c>
      <c r="B1166" s="37" t="s">
        <v>7631</v>
      </c>
      <c r="C1166" s="19" t="s">
        <v>7643</v>
      </c>
      <c r="D1166" s="198" t="s">
        <v>2393</v>
      </c>
      <c r="E1166" s="198" t="s">
        <v>4842</v>
      </c>
      <c r="F1166" s="52" t="s">
        <v>2272</v>
      </c>
      <c r="G1166" s="4" t="s">
        <v>7692</v>
      </c>
      <c r="H1166" s="46" t="s">
        <v>4107</v>
      </c>
      <c r="I1166" s="21">
        <v>39.598703150473803</v>
      </c>
      <c r="J1166" s="21">
        <v>-118.707682193636</v>
      </c>
      <c r="K1166" s="172">
        <f>72390*2.59</f>
        <v>187490.09999999998</v>
      </c>
      <c r="L1166" s="198">
        <v>1999</v>
      </c>
      <c r="M1166" s="198">
        <v>2012</v>
      </c>
      <c r="N1166" s="77" t="s">
        <v>2272</v>
      </c>
      <c r="O1166" s="19" t="s">
        <v>66</v>
      </c>
      <c r="P1166" s="19" t="s">
        <v>5181</v>
      </c>
      <c r="Q1166" s="198"/>
    </row>
    <row r="1167" spans="1:19" ht="33.5" customHeight="1">
      <c r="A1167" s="207">
        <v>306</v>
      </c>
      <c r="B1167" s="37" t="s">
        <v>7631</v>
      </c>
      <c r="C1167" s="19" t="s">
        <v>7644</v>
      </c>
      <c r="D1167" s="198" t="s">
        <v>2393</v>
      </c>
      <c r="E1167" s="198" t="s">
        <v>4842</v>
      </c>
      <c r="F1167" s="52" t="s">
        <v>2272</v>
      </c>
      <c r="G1167" s="4" t="s">
        <v>7693</v>
      </c>
      <c r="H1167" s="46" t="s">
        <v>4107</v>
      </c>
      <c r="I1167" s="21">
        <v>34.778412371848503</v>
      </c>
      <c r="J1167" s="21">
        <v>-116.631018494207</v>
      </c>
      <c r="K1167" s="172">
        <f>54803*2.59</f>
        <v>141939.76999999999</v>
      </c>
      <c r="L1167" s="198">
        <v>1999</v>
      </c>
      <c r="M1167" s="198">
        <v>2012</v>
      </c>
      <c r="N1167" s="77" t="s">
        <v>2272</v>
      </c>
      <c r="O1167" s="19" t="s">
        <v>66</v>
      </c>
      <c r="P1167" s="19" t="s">
        <v>5181</v>
      </c>
      <c r="Q1167" s="198"/>
    </row>
    <row r="1168" spans="1:19" ht="33.5" customHeight="1">
      <c r="A1168" s="207">
        <v>306</v>
      </c>
      <c r="B1168" s="37" t="s">
        <v>7631</v>
      </c>
      <c r="C1168" s="19" t="s">
        <v>7645</v>
      </c>
      <c r="D1168" s="198" t="s">
        <v>2393</v>
      </c>
      <c r="E1168" s="198" t="s">
        <v>4842</v>
      </c>
      <c r="F1168" s="52" t="s">
        <v>2272</v>
      </c>
      <c r="G1168" s="4" t="s">
        <v>7694</v>
      </c>
      <c r="H1168" s="46" t="s">
        <v>4107</v>
      </c>
      <c r="I1168" s="21">
        <v>32.655688180959601</v>
      </c>
      <c r="J1168" s="21">
        <v>-112.56350898674</v>
      </c>
      <c r="K1168" s="172">
        <f>36272.59</f>
        <v>36272.589999999997</v>
      </c>
      <c r="L1168" s="198">
        <v>1999</v>
      </c>
      <c r="M1168" s="198">
        <v>2012</v>
      </c>
      <c r="N1168" s="77" t="s">
        <v>2272</v>
      </c>
      <c r="O1168" s="19" t="s">
        <v>66</v>
      </c>
      <c r="P1168" s="19" t="s">
        <v>5181</v>
      </c>
      <c r="Q1168" s="198"/>
    </row>
    <row r="1169" spans="1:17" ht="33.5" customHeight="1">
      <c r="A1169" s="207">
        <v>306</v>
      </c>
      <c r="B1169" s="37" t="s">
        <v>7631</v>
      </c>
      <c r="C1169" s="19" t="s">
        <v>7646</v>
      </c>
      <c r="D1169" s="198" t="s">
        <v>2393</v>
      </c>
      <c r="E1169" s="198" t="s">
        <v>4842</v>
      </c>
      <c r="F1169" s="52" t="s">
        <v>2272</v>
      </c>
      <c r="G1169" s="4" t="s">
        <v>7695</v>
      </c>
      <c r="H1169" s="46" t="s">
        <v>4107</v>
      </c>
      <c r="I1169" s="21">
        <v>34.304956570755401</v>
      </c>
      <c r="J1169" s="21">
        <v>-110.871419047996</v>
      </c>
      <c r="K1169" s="172">
        <f>41772*2.59</f>
        <v>108189.48</v>
      </c>
      <c r="L1169" s="198">
        <v>1999</v>
      </c>
      <c r="M1169" s="198">
        <v>2012</v>
      </c>
      <c r="N1169" s="77" t="s">
        <v>2272</v>
      </c>
      <c r="O1169" s="19" t="s">
        <v>66</v>
      </c>
      <c r="P1169" s="19" t="s">
        <v>5181</v>
      </c>
      <c r="Q1169" s="198"/>
    </row>
    <row r="1170" spans="1:17" ht="33.5" customHeight="1">
      <c r="A1170" s="207">
        <v>306</v>
      </c>
      <c r="B1170" s="37" t="s">
        <v>7631</v>
      </c>
      <c r="C1170" s="19" t="s">
        <v>7647</v>
      </c>
      <c r="D1170" s="198" t="s">
        <v>2393</v>
      </c>
      <c r="E1170" s="198" t="s">
        <v>4842</v>
      </c>
      <c r="F1170" s="52" t="s">
        <v>2272</v>
      </c>
      <c r="G1170" s="4" t="s">
        <v>7696</v>
      </c>
      <c r="H1170" s="46" t="s">
        <v>4107</v>
      </c>
      <c r="I1170" s="21">
        <v>38.116662745959303</v>
      </c>
      <c r="J1170" s="21">
        <v>-112.022872420586</v>
      </c>
      <c r="K1170" s="172">
        <f>24057*2.59</f>
        <v>62307.63</v>
      </c>
      <c r="L1170" s="198">
        <v>1999</v>
      </c>
      <c r="M1170" s="198">
        <v>2012</v>
      </c>
      <c r="N1170" s="77" t="s">
        <v>2272</v>
      </c>
      <c r="O1170" s="19" t="s">
        <v>66</v>
      </c>
      <c r="P1170" s="19" t="s">
        <v>5181</v>
      </c>
      <c r="Q1170" s="198"/>
    </row>
    <row r="1171" spans="1:17" ht="33.5" customHeight="1">
      <c r="A1171" s="207">
        <v>306</v>
      </c>
      <c r="B1171" s="37" t="s">
        <v>7631</v>
      </c>
      <c r="C1171" s="19" t="s">
        <v>7648</v>
      </c>
      <c r="D1171" s="198" t="s">
        <v>2393</v>
      </c>
      <c r="E1171" s="198" t="s">
        <v>4842</v>
      </c>
      <c r="F1171" s="52" t="s">
        <v>2272</v>
      </c>
      <c r="G1171" s="4" t="s">
        <v>7697</v>
      </c>
      <c r="H1171" s="46" t="s">
        <v>4107</v>
      </c>
      <c r="I1171" s="21">
        <v>38.642097255574001</v>
      </c>
      <c r="J1171" s="21">
        <v>-113.81286692193</v>
      </c>
      <c r="K1171" s="172">
        <f>46910*2.59</f>
        <v>121496.9</v>
      </c>
      <c r="L1171" s="198">
        <v>1999</v>
      </c>
      <c r="M1171" s="198">
        <v>2012</v>
      </c>
      <c r="N1171" s="77" t="s">
        <v>2272</v>
      </c>
      <c r="O1171" s="19" t="s">
        <v>66</v>
      </c>
      <c r="P1171" s="19" t="s">
        <v>5181</v>
      </c>
      <c r="Q1171" s="198"/>
    </row>
    <row r="1172" spans="1:17" ht="33.5" customHeight="1">
      <c r="A1172" s="207">
        <v>306</v>
      </c>
      <c r="B1172" s="37" t="s">
        <v>7631</v>
      </c>
      <c r="C1172" s="19" t="s">
        <v>7649</v>
      </c>
      <c r="D1172" s="198" t="s">
        <v>2393</v>
      </c>
      <c r="E1172" s="198" t="s">
        <v>4842</v>
      </c>
      <c r="F1172" s="52" t="s">
        <v>2272</v>
      </c>
      <c r="G1172" s="4" t="s">
        <v>7698</v>
      </c>
      <c r="H1172" s="46" t="s">
        <v>4107</v>
      </c>
      <c r="I1172" s="21">
        <v>42.851093097746599</v>
      </c>
      <c r="J1172" s="21">
        <v>-113.39894400295999</v>
      </c>
      <c r="K1172" s="172">
        <f>36340*2.59</f>
        <v>94120.599999999991</v>
      </c>
      <c r="L1172" s="198">
        <v>1999</v>
      </c>
      <c r="M1172" s="198">
        <v>2012</v>
      </c>
      <c r="N1172" s="77" t="s">
        <v>2272</v>
      </c>
      <c r="O1172" s="19" t="s">
        <v>66</v>
      </c>
      <c r="P1172" s="19" t="s">
        <v>5181</v>
      </c>
      <c r="Q1172" s="198"/>
    </row>
    <row r="1173" spans="1:17" ht="33.5" customHeight="1">
      <c r="A1173" s="207">
        <v>306</v>
      </c>
      <c r="B1173" s="37" t="s">
        <v>7631</v>
      </c>
      <c r="C1173" s="19" t="s">
        <v>7650</v>
      </c>
      <c r="D1173" s="198" t="s">
        <v>2393</v>
      </c>
      <c r="E1173" s="198" t="s">
        <v>4842</v>
      </c>
      <c r="F1173" s="52" t="s">
        <v>2272</v>
      </c>
      <c r="G1173" s="4" t="s">
        <v>7699</v>
      </c>
      <c r="H1173" s="46" t="s">
        <v>4107</v>
      </c>
      <c r="I1173" s="21">
        <v>47.609854099917698</v>
      </c>
      <c r="J1173" s="21">
        <v>-113.35386703704199</v>
      </c>
      <c r="K1173" s="172">
        <f>41826*2.59</f>
        <v>108329.34</v>
      </c>
      <c r="L1173" s="198">
        <v>1999</v>
      </c>
      <c r="M1173" s="198">
        <v>2012</v>
      </c>
      <c r="N1173" s="77" t="s">
        <v>2272</v>
      </c>
      <c r="O1173" s="19" t="s">
        <v>66</v>
      </c>
      <c r="P1173" s="19" t="s">
        <v>5181</v>
      </c>
      <c r="Q1173" s="198"/>
    </row>
    <row r="1174" spans="1:17" ht="33.5" customHeight="1">
      <c r="A1174" s="207">
        <v>306</v>
      </c>
      <c r="B1174" s="37" t="s">
        <v>7631</v>
      </c>
      <c r="C1174" s="19" t="s">
        <v>7651</v>
      </c>
      <c r="D1174" s="198" t="s">
        <v>2393</v>
      </c>
      <c r="E1174" s="198" t="s">
        <v>4842</v>
      </c>
      <c r="F1174" s="52" t="s">
        <v>2272</v>
      </c>
      <c r="G1174" s="4" t="s">
        <v>7700</v>
      </c>
      <c r="H1174" s="46" t="s">
        <v>4107</v>
      </c>
      <c r="I1174" s="21">
        <v>47.868535860708398</v>
      </c>
      <c r="J1174" s="21">
        <v>-110.44733622938099</v>
      </c>
      <c r="K1174" s="172">
        <f>51769*2.59</f>
        <v>134081.71</v>
      </c>
      <c r="L1174" s="198">
        <v>1999</v>
      </c>
      <c r="M1174" s="198">
        <v>2012</v>
      </c>
      <c r="N1174" s="77" t="s">
        <v>2272</v>
      </c>
      <c r="O1174" s="19" t="s">
        <v>66</v>
      </c>
      <c r="P1174" s="19" t="s">
        <v>5181</v>
      </c>
      <c r="Q1174" s="198"/>
    </row>
    <row r="1175" spans="1:17" ht="33.5" customHeight="1">
      <c r="A1175" s="207">
        <v>306</v>
      </c>
      <c r="B1175" s="37" t="s">
        <v>7631</v>
      </c>
      <c r="C1175" s="19" t="s">
        <v>7652</v>
      </c>
      <c r="D1175" s="198" t="s">
        <v>2393</v>
      </c>
      <c r="E1175" s="198" t="s">
        <v>4842</v>
      </c>
      <c r="F1175" s="52" t="s">
        <v>2272</v>
      </c>
      <c r="G1175" s="4" t="s">
        <v>7701</v>
      </c>
      <c r="H1175" s="46" t="s">
        <v>4107</v>
      </c>
      <c r="I1175" s="21">
        <v>45.852431391876401</v>
      </c>
      <c r="J1175" s="21">
        <v>-112.035966654558</v>
      </c>
      <c r="K1175" s="172">
        <f>28983*2.59</f>
        <v>75065.97</v>
      </c>
      <c r="L1175" s="198">
        <v>1999</v>
      </c>
      <c r="M1175" s="198">
        <v>2012</v>
      </c>
      <c r="N1175" s="77" t="s">
        <v>2272</v>
      </c>
      <c r="O1175" s="19" t="s">
        <v>66</v>
      </c>
      <c r="P1175" s="19" t="s">
        <v>5181</v>
      </c>
      <c r="Q1175" s="198"/>
    </row>
    <row r="1176" spans="1:17" ht="33.5" customHeight="1">
      <c r="A1176" s="207">
        <v>306</v>
      </c>
      <c r="B1176" s="37" t="s">
        <v>7631</v>
      </c>
      <c r="C1176" s="19" t="s">
        <v>7653</v>
      </c>
      <c r="D1176" s="198" t="s">
        <v>2393</v>
      </c>
      <c r="E1176" s="198" t="s">
        <v>4842</v>
      </c>
      <c r="F1176" s="52" t="s">
        <v>2272</v>
      </c>
      <c r="G1176" s="4" t="s">
        <v>7702</v>
      </c>
      <c r="H1176" s="46" t="s">
        <v>4107</v>
      </c>
      <c r="I1176" s="21">
        <v>43.206435650051901</v>
      </c>
      <c r="J1176" s="21">
        <v>-108.169905326551</v>
      </c>
      <c r="K1176" s="172">
        <f>63661*2.59</f>
        <v>164881.99</v>
      </c>
      <c r="L1176" s="198">
        <v>1999</v>
      </c>
      <c r="M1176" s="198">
        <v>2012</v>
      </c>
      <c r="N1176" s="77" t="s">
        <v>2272</v>
      </c>
      <c r="O1176" s="19" t="s">
        <v>66</v>
      </c>
      <c r="P1176" s="19" t="s">
        <v>5181</v>
      </c>
      <c r="Q1176" s="198"/>
    </row>
    <row r="1177" spans="1:17" ht="33.5" customHeight="1">
      <c r="A1177" s="207">
        <v>306</v>
      </c>
      <c r="B1177" s="37" t="s">
        <v>7631</v>
      </c>
      <c r="C1177" s="19" t="s">
        <v>7654</v>
      </c>
      <c r="D1177" s="198" t="s">
        <v>2393</v>
      </c>
      <c r="E1177" s="198" t="s">
        <v>4842</v>
      </c>
      <c r="F1177" s="52" t="s">
        <v>2272</v>
      </c>
      <c r="G1177" s="4" t="s">
        <v>7703</v>
      </c>
      <c r="H1177" s="46" t="s">
        <v>4107</v>
      </c>
      <c r="I1177" s="21">
        <v>37.713571538518302</v>
      </c>
      <c r="J1177" s="21">
        <v>-110.01507313037899</v>
      </c>
      <c r="K1177" s="172">
        <f>47563*2.59</f>
        <v>123188.17</v>
      </c>
      <c r="L1177" s="198">
        <v>1999</v>
      </c>
      <c r="M1177" s="198">
        <v>2012</v>
      </c>
      <c r="N1177" s="77" t="s">
        <v>2272</v>
      </c>
      <c r="O1177" s="19" t="s">
        <v>66</v>
      </c>
      <c r="P1177" s="19" t="s">
        <v>5181</v>
      </c>
      <c r="Q1177" s="198"/>
    </row>
    <row r="1178" spans="1:17" ht="33.5" customHeight="1">
      <c r="A1178" s="207">
        <v>306</v>
      </c>
      <c r="B1178" s="37" t="s">
        <v>7631</v>
      </c>
      <c r="C1178" s="19" t="s">
        <v>7655</v>
      </c>
      <c r="D1178" s="198" t="s">
        <v>2393</v>
      </c>
      <c r="E1178" s="198" t="s">
        <v>4842</v>
      </c>
      <c r="F1178" s="52" t="s">
        <v>2272</v>
      </c>
      <c r="G1178" s="4" t="s">
        <v>7704</v>
      </c>
      <c r="H1178" s="46" t="s">
        <v>4107</v>
      </c>
      <c r="I1178" s="21">
        <v>35.818702662931202</v>
      </c>
      <c r="J1178" s="21">
        <v>-108.083646782667</v>
      </c>
      <c r="K1178" s="172">
        <f>51678*2.59</f>
        <v>133846.01999999999</v>
      </c>
      <c r="L1178" s="198">
        <v>1999</v>
      </c>
      <c r="M1178" s="198">
        <v>2012</v>
      </c>
      <c r="N1178" s="77" t="s">
        <v>2272</v>
      </c>
      <c r="O1178" s="19" t="s">
        <v>66</v>
      </c>
      <c r="P1178" s="19" t="s">
        <v>5181</v>
      </c>
      <c r="Q1178" s="198"/>
    </row>
    <row r="1179" spans="1:17" ht="33.5" customHeight="1">
      <c r="A1179" s="207">
        <v>306</v>
      </c>
      <c r="B1179" s="37" t="s">
        <v>7631</v>
      </c>
      <c r="C1179" s="19" t="s">
        <v>7656</v>
      </c>
      <c r="D1179" s="198" t="s">
        <v>2393</v>
      </c>
      <c r="E1179" s="198" t="s">
        <v>4842</v>
      </c>
      <c r="F1179" s="52" t="s">
        <v>2272</v>
      </c>
      <c r="G1179" s="4" t="s">
        <v>7705</v>
      </c>
      <c r="H1179" s="46" t="s">
        <v>4107</v>
      </c>
      <c r="I1179" s="21">
        <v>33.107345082338703</v>
      </c>
      <c r="J1179" s="21">
        <v>-106.83959031604</v>
      </c>
      <c r="K1179" s="172">
        <f>42492*2.59</f>
        <v>110054.28</v>
      </c>
      <c r="L1179" s="198">
        <v>1999</v>
      </c>
      <c r="M1179" s="198">
        <v>2012</v>
      </c>
      <c r="N1179" s="77" t="s">
        <v>2272</v>
      </c>
      <c r="O1179" s="19" t="s">
        <v>66</v>
      </c>
      <c r="P1179" s="19" t="s">
        <v>5181</v>
      </c>
      <c r="Q1179" s="198"/>
    </row>
    <row r="1180" spans="1:17" ht="33.5" customHeight="1">
      <c r="A1180" s="207">
        <v>306</v>
      </c>
      <c r="B1180" s="37" t="s">
        <v>7631</v>
      </c>
      <c r="C1180" s="19" t="s">
        <v>7657</v>
      </c>
      <c r="D1180" s="198" t="s">
        <v>2393</v>
      </c>
      <c r="E1180" s="198" t="s">
        <v>4842</v>
      </c>
      <c r="F1180" s="52" t="s">
        <v>2272</v>
      </c>
      <c r="G1180" s="4" t="s">
        <v>7706</v>
      </c>
      <c r="H1180" s="46" t="s">
        <v>4107</v>
      </c>
      <c r="I1180" s="21">
        <v>30.989107591917101</v>
      </c>
      <c r="J1180" s="21">
        <v>-103.635016640502</v>
      </c>
      <c r="K1180" s="172">
        <f>58697*2.59</f>
        <v>152025.22999999998</v>
      </c>
      <c r="L1180" s="198">
        <v>1999</v>
      </c>
      <c r="M1180" s="198">
        <v>2012</v>
      </c>
      <c r="N1180" s="77" t="s">
        <v>2272</v>
      </c>
      <c r="O1180" s="19" t="s">
        <v>66</v>
      </c>
      <c r="P1180" s="19" t="s">
        <v>5181</v>
      </c>
      <c r="Q1180" s="198"/>
    </row>
    <row r="1181" spans="1:17" ht="33.5" customHeight="1">
      <c r="A1181" s="207">
        <v>306</v>
      </c>
      <c r="B1181" s="37" t="s">
        <v>7631</v>
      </c>
      <c r="C1181" s="19" t="s">
        <v>7658</v>
      </c>
      <c r="D1181" s="198" t="s">
        <v>2393</v>
      </c>
      <c r="E1181" s="198" t="s">
        <v>4842</v>
      </c>
      <c r="F1181" s="52" t="s">
        <v>2272</v>
      </c>
      <c r="G1181" s="4" t="s">
        <v>7707</v>
      </c>
      <c r="H1181" s="46" t="s">
        <v>4107</v>
      </c>
      <c r="I1181" s="21">
        <v>35.247173149011502</v>
      </c>
      <c r="J1181" s="21">
        <v>-104.18999713305401</v>
      </c>
      <c r="K1181" s="172">
        <f>52755*2.59</f>
        <v>136635.44999999998</v>
      </c>
      <c r="L1181" s="198">
        <v>1999</v>
      </c>
      <c r="M1181" s="198">
        <v>2012</v>
      </c>
      <c r="N1181" s="77" t="s">
        <v>2272</v>
      </c>
      <c r="O1181" s="19" t="s">
        <v>66</v>
      </c>
      <c r="P1181" s="19" t="s">
        <v>5181</v>
      </c>
      <c r="Q1181" s="198"/>
    </row>
    <row r="1182" spans="1:17" ht="33.5" customHeight="1">
      <c r="A1182" s="207">
        <v>306</v>
      </c>
      <c r="B1182" s="37" t="s">
        <v>7631</v>
      </c>
      <c r="C1182" s="19" t="s">
        <v>7659</v>
      </c>
      <c r="D1182" s="198" t="s">
        <v>2393</v>
      </c>
      <c r="E1182" s="198" t="s">
        <v>4842</v>
      </c>
      <c r="F1182" s="52" t="s">
        <v>2272</v>
      </c>
      <c r="G1182" s="4" t="s">
        <v>7708</v>
      </c>
      <c r="H1182" s="46" t="s">
        <v>4107</v>
      </c>
      <c r="I1182" s="21">
        <v>38.9332271398968</v>
      </c>
      <c r="J1182" s="21">
        <v>-106.837067504185</v>
      </c>
      <c r="K1182" s="172">
        <f>53311*2.59</f>
        <v>138075.49</v>
      </c>
      <c r="L1182" s="198">
        <v>1999</v>
      </c>
      <c r="M1182" s="198">
        <v>2012</v>
      </c>
      <c r="N1182" s="77" t="s">
        <v>2272</v>
      </c>
      <c r="O1182" s="19" t="s">
        <v>66</v>
      </c>
      <c r="P1182" s="19" t="s">
        <v>5181</v>
      </c>
      <c r="Q1182" s="198"/>
    </row>
    <row r="1183" spans="1:17" ht="33.5" customHeight="1">
      <c r="A1183" s="207">
        <v>306</v>
      </c>
      <c r="B1183" s="37" t="s">
        <v>7631</v>
      </c>
      <c r="C1183" s="19" t="s">
        <v>7660</v>
      </c>
      <c r="D1183" s="198" t="s">
        <v>2393</v>
      </c>
      <c r="E1183" s="198" t="s">
        <v>4842</v>
      </c>
      <c r="F1183" s="52" t="s">
        <v>2272</v>
      </c>
      <c r="G1183" s="4" t="s">
        <v>7709</v>
      </c>
      <c r="H1183" s="46" t="s">
        <v>4107</v>
      </c>
      <c r="I1183" s="21">
        <v>44.540726286926599</v>
      </c>
      <c r="J1183" s="21">
        <v>-104.44072834635099</v>
      </c>
      <c r="K1183" s="172">
        <f>63661*2.59</f>
        <v>164881.99</v>
      </c>
      <c r="L1183" s="198">
        <v>1999</v>
      </c>
      <c r="M1183" s="198">
        <v>2012</v>
      </c>
      <c r="N1183" s="77" t="s">
        <v>2272</v>
      </c>
      <c r="O1183" s="19" t="s">
        <v>66</v>
      </c>
      <c r="P1183" s="19" t="s">
        <v>5181</v>
      </c>
      <c r="Q1183" s="198"/>
    </row>
    <row r="1184" spans="1:17" ht="33.5" customHeight="1">
      <c r="A1184" s="207">
        <v>306</v>
      </c>
      <c r="B1184" s="37" t="s">
        <v>7631</v>
      </c>
      <c r="C1184" s="19" t="s">
        <v>7661</v>
      </c>
      <c r="D1184" s="198" t="s">
        <v>2393</v>
      </c>
      <c r="E1184" s="198" t="s">
        <v>4842</v>
      </c>
      <c r="F1184" s="52" t="s">
        <v>2272</v>
      </c>
      <c r="G1184" s="4" t="s">
        <v>7710</v>
      </c>
      <c r="H1184" s="46" t="s">
        <v>4107</v>
      </c>
      <c r="I1184" s="21">
        <v>46.671839833881499</v>
      </c>
      <c r="J1184" s="21">
        <v>-102.684632776583</v>
      </c>
      <c r="K1184" s="172">
        <f>54498*2.59</f>
        <v>141149.81999999998</v>
      </c>
      <c r="L1184" s="198">
        <v>1999</v>
      </c>
      <c r="M1184" s="198">
        <v>2012</v>
      </c>
      <c r="N1184" s="77" t="s">
        <v>2272</v>
      </c>
      <c r="O1184" s="19" t="s">
        <v>66</v>
      </c>
      <c r="P1184" s="19" t="s">
        <v>5181</v>
      </c>
      <c r="Q1184" s="198"/>
    </row>
    <row r="1185" spans="1:17" ht="33.5" customHeight="1">
      <c r="A1185" s="207">
        <v>306</v>
      </c>
      <c r="B1185" s="37" t="s">
        <v>7631</v>
      </c>
      <c r="C1185" s="19" t="s">
        <v>7662</v>
      </c>
      <c r="D1185" s="198" t="s">
        <v>2393</v>
      </c>
      <c r="E1185" s="198" t="s">
        <v>4842</v>
      </c>
      <c r="F1185" s="52" t="s">
        <v>2272</v>
      </c>
      <c r="G1185" s="4" t="s">
        <v>7711</v>
      </c>
      <c r="H1185" s="46" t="s">
        <v>4107</v>
      </c>
      <c r="I1185" s="21">
        <v>43.625167760556103</v>
      </c>
      <c r="J1185" s="21">
        <v>-101.60632953459</v>
      </c>
      <c r="K1185" s="172">
        <f>59130*2.59</f>
        <v>153146.69999999998</v>
      </c>
      <c r="L1185" s="198">
        <v>1999</v>
      </c>
      <c r="M1185" s="198">
        <v>2012</v>
      </c>
      <c r="N1185" s="77" t="s">
        <v>2272</v>
      </c>
      <c r="O1185" s="19" t="s">
        <v>66</v>
      </c>
      <c r="P1185" s="19" t="s">
        <v>5181</v>
      </c>
      <c r="Q1185" s="198"/>
    </row>
    <row r="1186" spans="1:17" ht="33.5" customHeight="1">
      <c r="A1186" s="207">
        <v>306</v>
      </c>
      <c r="B1186" s="37" t="s">
        <v>7631</v>
      </c>
      <c r="C1186" s="19" t="s">
        <v>7582</v>
      </c>
      <c r="D1186" s="198" t="s">
        <v>2393</v>
      </c>
      <c r="E1186" s="198" t="s">
        <v>4842</v>
      </c>
      <c r="F1186" s="52" t="s">
        <v>2272</v>
      </c>
      <c r="G1186" s="4" t="s">
        <v>7712</v>
      </c>
      <c r="H1186" s="46" t="s">
        <v>4107</v>
      </c>
      <c r="I1186" s="21">
        <v>39.9925754</v>
      </c>
      <c r="J1186" s="21">
        <v>-99.766092</v>
      </c>
      <c r="K1186" s="172">
        <f>61107*2.59</f>
        <v>158267.13</v>
      </c>
      <c r="L1186" s="198">
        <v>1999</v>
      </c>
      <c r="M1186" s="198">
        <v>2012</v>
      </c>
      <c r="N1186" s="77" t="s">
        <v>2272</v>
      </c>
      <c r="O1186" s="19" t="s">
        <v>66</v>
      </c>
      <c r="P1186" s="19" t="s">
        <v>5181</v>
      </c>
      <c r="Q1186" s="198"/>
    </row>
    <row r="1187" spans="1:17" ht="33.5" customHeight="1">
      <c r="A1187" s="207">
        <v>306</v>
      </c>
      <c r="B1187" s="37" t="s">
        <v>7631</v>
      </c>
      <c r="C1187" s="19" t="s">
        <v>7603</v>
      </c>
      <c r="D1187" s="198" t="s">
        <v>2393</v>
      </c>
      <c r="E1187" s="198" t="s">
        <v>4842</v>
      </c>
      <c r="F1187" s="52" t="s">
        <v>2272</v>
      </c>
      <c r="G1187" s="4" t="s">
        <v>7713</v>
      </c>
      <c r="H1187" s="46" t="s">
        <v>4107</v>
      </c>
      <c r="I1187" s="21">
        <v>42.205696818515001</v>
      </c>
      <c r="J1187" s="21">
        <v>-103.325854285636</v>
      </c>
      <c r="K1187" s="172">
        <f>59537*2.59</f>
        <v>154200.82999999999</v>
      </c>
      <c r="L1187" s="198">
        <v>1999</v>
      </c>
      <c r="M1187" s="198">
        <v>2012</v>
      </c>
      <c r="N1187" s="77" t="s">
        <v>2272</v>
      </c>
      <c r="O1187" s="19" t="s">
        <v>66</v>
      </c>
      <c r="P1187" s="19" t="s">
        <v>5181</v>
      </c>
      <c r="Q1187" s="198"/>
    </row>
    <row r="1188" spans="1:17" ht="33.5" customHeight="1">
      <c r="A1188" s="207">
        <v>306</v>
      </c>
      <c r="B1188" s="37" t="s">
        <v>7631</v>
      </c>
      <c r="C1188" s="19" t="s">
        <v>7663</v>
      </c>
      <c r="D1188" s="198" t="s">
        <v>2393</v>
      </c>
      <c r="E1188" s="198" t="s">
        <v>4842</v>
      </c>
      <c r="F1188" s="52" t="s">
        <v>2272</v>
      </c>
      <c r="G1188" s="4" t="s">
        <v>7714</v>
      </c>
      <c r="H1188" s="46" t="s">
        <v>4107</v>
      </c>
      <c r="I1188" s="21">
        <v>37.284089343177598</v>
      </c>
      <c r="J1188" s="21">
        <v>-102.08163027409699</v>
      </c>
      <c r="K1188" s="172">
        <f>68161*2.59</f>
        <v>176536.99</v>
      </c>
      <c r="L1188" s="198">
        <v>1999</v>
      </c>
      <c r="M1188" s="198">
        <v>2012</v>
      </c>
      <c r="N1188" s="77" t="s">
        <v>2272</v>
      </c>
      <c r="O1188" s="19" t="s">
        <v>66</v>
      </c>
      <c r="P1188" s="19" t="s">
        <v>5181</v>
      </c>
      <c r="Q1188" s="198"/>
    </row>
    <row r="1189" spans="1:17" ht="33.5" customHeight="1">
      <c r="A1189" s="207">
        <v>306</v>
      </c>
      <c r="B1189" s="37" t="s">
        <v>7631</v>
      </c>
      <c r="C1189" s="19" t="s">
        <v>7664</v>
      </c>
      <c r="D1189" s="198" t="s">
        <v>2393</v>
      </c>
      <c r="E1189" s="198" t="s">
        <v>4842</v>
      </c>
      <c r="F1189" s="52" t="s">
        <v>2272</v>
      </c>
      <c r="G1189" s="4" t="s">
        <v>7715</v>
      </c>
      <c r="H1189" s="46" t="s">
        <v>4107</v>
      </c>
      <c r="I1189" s="21">
        <v>32.855131508091098</v>
      </c>
      <c r="J1189" s="21">
        <v>-99.620925031185294</v>
      </c>
      <c r="K1189" s="172">
        <f>61986*2.59</f>
        <v>160543.74</v>
      </c>
      <c r="L1189" s="198">
        <v>1999</v>
      </c>
      <c r="M1189" s="198">
        <v>2012</v>
      </c>
      <c r="N1189" s="77" t="s">
        <v>2272</v>
      </c>
      <c r="O1189" s="19" t="s">
        <v>66</v>
      </c>
      <c r="P1189" s="19" t="s">
        <v>5181</v>
      </c>
      <c r="Q1189" s="198"/>
    </row>
    <row r="1190" spans="1:17" ht="33.5" customHeight="1">
      <c r="A1190" s="207">
        <v>306</v>
      </c>
      <c r="B1190" s="37" t="s">
        <v>7631</v>
      </c>
      <c r="C1190" s="19" t="s">
        <v>7665</v>
      </c>
      <c r="D1190" s="198" t="s">
        <v>2393</v>
      </c>
      <c r="E1190" s="198" t="s">
        <v>4842</v>
      </c>
      <c r="F1190" s="52" t="s">
        <v>2272</v>
      </c>
      <c r="G1190" s="4" t="s">
        <v>7716</v>
      </c>
      <c r="H1190" s="19" t="s">
        <v>4107</v>
      </c>
      <c r="I1190" s="21">
        <v>28.824622636610201</v>
      </c>
      <c r="J1190" s="21">
        <v>-98.428523414803294</v>
      </c>
      <c r="K1190" s="172">
        <f>55188*2.59</f>
        <v>142936.91999999998</v>
      </c>
      <c r="L1190" s="198">
        <v>1999</v>
      </c>
      <c r="M1190" s="198">
        <v>2012</v>
      </c>
      <c r="N1190" s="77" t="s">
        <v>2272</v>
      </c>
      <c r="O1190" s="19" t="s">
        <v>66</v>
      </c>
      <c r="P1190" s="19" t="s">
        <v>5181</v>
      </c>
      <c r="Q1190" s="198"/>
    </row>
    <row r="1191" spans="1:17" ht="33.5" customHeight="1">
      <c r="A1191" s="207">
        <v>306</v>
      </c>
      <c r="B1191" s="37" t="s">
        <v>7631</v>
      </c>
      <c r="C1191" s="19" t="s">
        <v>7666</v>
      </c>
      <c r="D1191" s="198" t="s">
        <v>2393</v>
      </c>
      <c r="E1191" s="198" t="s">
        <v>4842</v>
      </c>
      <c r="F1191" s="52" t="s">
        <v>2272</v>
      </c>
      <c r="G1191" s="4" t="s">
        <v>7717</v>
      </c>
      <c r="H1191" s="19" t="s">
        <v>4107</v>
      </c>
      <c r="I1191" s="21">
        <v>31.163752012795001</v>
      </c>
      <c r="J1191" s="21">
        <v>-93.276679100962198</v>
      </c>
      <c r="K1191" s="172">
        <f>66683*2.59</f>
        <v>172708.97</v>
      </c>
      <c r="L1191" s="198">
        <v>1999</v>
      </c>
      <c r="M1191" s="198">
        <v>2012</v>
      </c>
      <c r="N1191" s="77" t="s">
        <v>2272</v>
      </c>
      <c r="O1191" s="19" t="s">
        <v>66</v>
      </c>
      <c r="P1191" s="19" t="s">
        <v>5181</v>
      </c>
      <c r="Q1191" s="198"/>
    </row>
    <row r="1192" spans="1:17" ht="33.5" customHeight="1">
      <c r="A1192" s="207">
        <v>306</v>
      </c>
      <c r="B1192" s="37" t="s">
        <v>7631</v>
      </c>
      <c r="C1192" s="19" t="s">
        <v>7667</v>
      </c>
      <c r="D1192" s="198" t="s">
        <v>2393</v>
      </c>
      <c r="E1192" s="198" t="s">
        <v>4842</v>
      </c>
      <c r="F1192" s="52" t="s">
        <v>2272</v>
      </c>
      <c r="G1192" s="4" t="s">
        <v>7718</v>
      </c>
      <c r="H1192" s="19" t="s">
        <v>4107</v>
      </c>
      <c r="I1192" s="21">
        <v>42.187305416271798</v>
      </c>
      <c r="J1192" s="21">
        <v>-99.304241951448404</v>
      </c>
      <c r="K1192" s="172">
        <f>73609*2.59</f>
        <v>190647.31</v>
      </c>
      <c r="L1192" s="198">
        <v>1999</v>
      </c>
      <c r="M1192" s="198">
        <v>2012</v>
      </c>
      <c r="N1192" s="77" t="s">
        <v>2272</v>
      </c>
      <c r="O1192" s="19" t="s">
        <v>66</v>
      </c>
      <c r="P1192" s="19" t="s">
        <v>5181</v>
      </c>
      <c r="Q1192" s="198"/>
    </row>
    <row r="1193" spans="1:17" ht="33.5" customHeight="1">
      <c r="A1193" s="207">
        <v>306</v>
      </c>
      <c r="B1193" s="37" t="s">
        <v>7631</v>
      </c>
      <c r="C1193" s="19" t="s">
        <v>7668</v>
      </c>
      <c r="D1193" s="198" t="s">
        <v>2393</v>
      </c>
      <c r="E1193" s="198" t="s">
        <v>4842</v>
      </c>
      <c r="F1193" s="52" t="s">
        <v>2272</v>
      </c>
      <c r="G1193" s="4" t="s">
        <v>7719</v>
      </c>
      <c r="H1193" s="19" t="s">
        <v>4107</v>
      </c>
      <c r="I1193" s="21">
        <v>44.533791593375298</v>
      </c>
      <c r="J1193" s="21">
        <v>-98.314577308112504</v>
      </c>
      <c r="K1193" s="172">
        <f>61354*2.59</f>
        <v>158906.85999999999</v>
      </c>
      <c r="L1193" s="198">
        <v>1999</v>
      </c>
      <c r="M1193" s="198">
        <v>2012</v>
      </c>
      <c r="N1193" s="77" t="s">
        <v>2272</v>
      </c>
      <c r="O1193" s="19" t="s">
        <v>66</v>
      </c>
      <c r="P1193" s="19" t="s">
        <v>5181</v>
      </c>
      <c r="Q1193" s="198"/>
    </row>
    <row r="1194" spans="1:17" ht="33.5" customHeight="1">
      <c r="A1194" s="207">
        <v>306</v>
      </c>
      <c r="B1194" s="37" t="s">
        <v>7631</v>
      </c>
      <c r="C1194" s="19" t="s">
        <v>7669</v>
      </c>
      <c r="D1194" s="198" t="s">
        <v>2393</v>
      </c>
      <c r="E1194" s="198" t="s">
        <v>4842</v>
      </c>
      <c r="F1194" s="52" t="s">
        <v>2272</v>
      </c>
      <c r="G1194" s="4" t="s">
        <v>7720</v>
      </c>
      <c r="H1194" s="19" t="s">
        <v>4107</v>
      </c>
      <c r="I1194" s="21">
        <v>46.671839833881499</v>
      </c>
      <c r="J1194" s="21">
        <v>-102.684632776583</v>
      </c>
      <c r="K1194" s="172">
        <f>49627*2.59</f>
        <v>128533.93</v>
      </c>
      <c r="L1194" s="198">
        <v>1999</v>
      </c>
      <c r="M1194" s="198">
        <v>2012</v>
      </c>
      <c r="N1194" s="77" t="s">
        <v>2272</v>
      </c>
      <c r="O1194" s="19" t="s">
        <v>66</v>
      </c>
      <c r="P1194" s="19" t="s">
        <v>5181</v>
      </c>
      <c r="Q1194" s="198"/>
    </row>
    <row r="1195" spans="1:17" ht="33.5" customHeight="1">
      <c r="A1195" s="207">
        <v>306</v>
      </c>
      <c r="B1195" s="37" t="s">
        <v>7631</v>
      </c>
      <c r="C1195" s="19" t="s">
        <v>7670</v>
      </c>
      <c r="D1195" s="198" t="s">
        <v>2393</v>
      </c>
      <c r="E1195" s="198" t="s">
        <v>4842</v>
      </c>
      <c r="F1195" s="52" t="s">
        <v>2272</v>
      </c>
      <c r="G1195" s="4" t="s">
        <v>7721</v>
      </c>
      <c r="H1195" s="19" t="s">
        <v>4107</v>
      </c>
      <c r="I1195" s="21">
        <v>47.220488584149997</v>
      </c>
      <c r="J1195" s="21">
        <v>-93.839292376980396</v>
      </c>
      <c r="K1195" s="172">
        <f>67110*2.59</f>
        <v>173814.9</v>
      </c>
      <c r="L1195" s="198">
        <v>1999</v>
      </c>
      <c r="M1195" s="198">
        <v>2012</v>
      </c>
      <c r="N1195" s="77" t="s">
        <v>2272</v>
      </c>
      <c r="O1195" s="19" t="s">
        <v>66</v>
      </c>
      <c r="P1195" s="19" t="s">
        <v>5181</v>
      </c>
      <c r="Q1195" s="198"/>
    </row>
    <row r="1196" spans="1:17" ht="33.5" customHeight="1">
      <c r="A1196" s="207">
        <v>306</v>
      </c>
      <c r="B1196" s="37" t="s">
        <v>7631</v>
      </c>
      <c r="C1196" s="19" t="s">
        <v>7671</v>
      </c>
      <c r="D1196" s="198" t="s">
        <v>2393</v>
      </c>
      <c r="E1196" s="198" t="s">
        <v>4842</v>
      </c>
      <c r="F1196" s="52" t="s">
        <v>2272</v>
      </c>
      <c r="G1196" s="4" t="s">
        <v>7722</v>
      </c>
      <c r="H1196" s="19" t="s">
        <v>4107</v>
      </c>
      <c r="I1196" s="21">
        <v>44.360199600110299</v>
      </c>
      <c r="J1196" s="21">
        <v>-94.420444631741702</v>
      </c>
      <c r="K1196" s="172">
        <f>50668*2.59</f>
        <v>131230.12</v>
      </c>
      <c r="L1196" s="198">
        <v>1999</v>
      </c>
      <c r="M1196" s="198">
        <v>2012</v>
      </c>
      <c r="N1196" s="77" t="s">
        <v>2272</v>
      </c>
      <c r="O1196" s="19" t="s">
        <v>66</v>
      </c>
      <c r="P1196" s="19" t="s">
        <v>5181</v>
      </c>
      <c r="Q1196" s="198"/>
    </row>
    <row r="1197" spans="1:17" ht="33.5" customHeight="1">
      <c r="A1197" s="207">
        <v>306</v>
      </c>
      <c r="B1197" s="37" t="s">
        <v>7631</v>
      </c>
      <c r="C1197" s="19" t="s">
        <v>7672</v>
      </c>
      <c r="D1197" s="198" t="s">
        <v>2393</v>
      </c>
      <c r="E1197" s="198" t="s">
        <v>4842</v>
      </c>
      <c r="F1197" s="52" t="s">
        <v>2272</v>
      </c>
      <c r="G1197" s="4" t="s">
        <v>7723</v>
      </c>
      <c r="H1197" s="19" t="s">
        <v>4107</v>
      </c>
      <c r="I1197" s="21">
        <v>42.284887811369003</v>
      </c>
      <c r="J1197" s="21">
        <v>-95.161682605095294</v>
      </c>
      <c r="K1197" s="172">
        <f>54629*2.59</f>
        <v>141489.10999999999</v>
      </c>
      <c r="L1197" s="198">
        <v>1999</v>
      </c>
      <c r="M1197" s="198">
        <v>2012</v>
      </c>
      <c r="N1197" s="77" t="s">
        <v>2272</v>
      </c>
      <c r="O1197" s="19" t="s">
        <v>66</v>
      </c>
      <c r="P1197" s="19" t="s">
        <v>5181</v>
      </c>
      <c r="Q1197" s="198"/>
    </row>
    <row r="1198" spans="1:17" ht="33.5" customHeight="1">
      <c r="A1198" s="207">
        <v>306</v>
      </c>
      <c r="B1198" s="37" t="s">
        <v>7631</v>
      </c>
      <c r="C1198" s="19" t="s">
        <v>7673</v>
      </c>
      <c r="D1198" s="198" t="s">
        <v>2393</v>
      </c>
      <c r="E1198" s="198" t="s">
        <v>4842</v>
      </c>
      <c r="F1198" s="52" t="s">
        <v>2272</v>
      </c>
      <c r="G1198" s="4" t="s">
        <v>7724</v>
      </c>
      <c r="H1198" s="19" t="s">
        <v>4107</v>
      </c>
      <c r="I1198" s="21">
        <v>38.003177753884998</v>
      </c>
      <c r="J1198" s="21">
        <v>-93.010125455351798</v>
      </c>
      <c r="K1198" s="172">
        <f>78784*2.59</f>
        <v>204050.56</v>
      </c>
      <c r="L1198" s="198">
        <v>1999</v>
      </c>
      <c r="M1198" s="198">
        <v>2012</v>
      </c>
      <c r="N1198" s="77" t="s">
        <v>2272</v>
      </c>
      <c r="O1198" s="19" t="s">
        <v>66</v>
      </c>
      <c r="P1198" s="19" t="s">
        <v>5181</v>
      </c>
      <c r="Q1198" s="198"/>
    </row>
    <row r="1199" spans="1:17" ht="33.5" customHeight="1">
      <c r="A1199" s="207">
        <v>306</v>
      </c>
      <c r="B1199" s="37" t="s">
        <v>7631</v>
      </c>
      <c r="C1199" s="19" t="s">
        <v>7674</v>
      </c>
      <c r="D1199" s="198" t="s">
        <v>2393</v>
      </c>
      <c r="E1199" s="198" t="s">
        <v>4842</v>
      </c>
      <c r="F1199" s="52" t="s">
        <v>2272</v>
      </c>
      <c r="G1199" s="4" t="s">
        <v>7725</v>
      </c>
      <c r="H1199" s="19" t="s">
        <v>4107</v>
      </c>
      <c r="I1199" s="21">
        <v>36.049821159957503</v>
      </c>
      <c r="J1199" s="21">
        <v>-90.223916009599193</v>
      </c>
      <c r="K1199" s="172">
        <f>31986*2.59</f>
        <v>82843.739999999991</v>
      </c>
      <c r="L1199" s="198">
        <v>1999</v>
      </c>
      <c r="M1199" s="198">
        <v>2012</v>
      </c>
      <c r="N1199" s="77" t="s">
        <v>2272</v>
      </c>
      <c r="O1199" s="19" t="s">
        <v>66</v>
      </c>
      <c r="P1199" s="19" t="s">
        <v>5181</v>
      </c>
      <c r="Q1199" s="198"/>
    </row>
    <row r="1200" spans="1:17" ht="33.5" customHeight="1">
      <c r="A1200" s="207">
        <v>306</v>
      </c>
      <c r="B1200" s="37" t="s">
        <v>7631</v>
      </c>
      <c r="C1200" s="19" t="s">
        <v>7675</v>
      </c>
      <c r="D1200" s="198" t="s">
        <v>2393</v>
      </c>
      <c r="E1200" s="198" t="s">
        <v>4842</v>
      </c>
      <c r="F1200" s="52" t="s">
        <v>2272</v>
      </c>
      <c r="G1200" s="4" t="s">
        <v>7726</v>
      </c>
      <c r="H1200" s="19" t="s">
        <v>4107</v>
      </c>
      <c r="I1200" s="21">
        <v>35.057128011129301</v>
      </c>
      <c r="J1200" s="21">
        <v>-86.979701945874993</v>
      </c>
      <c r="K1200" s="172">
        <f>49731*2.59</f>
        <v>128803.29</v>
      </c>
      <c r="L1200" s="198">
        <v>1999</v>
      </c>
      <c r="M1200" s="198">
        <v>2012</v>
      </c>
      <c r="N1200" s="77" t="s">
        <v>2272</v>
      </c>
      <c r="O1200" s="19" t="s">
        <v>66</v>
      </c>
      <c r="P1200" s="19" t="s">
        <v>5181</v>
      </c>
      <c r="Q1200" s="198"/>
    </row>
    <row r="1201" spans="1:17" ht="33.5" customHeight="1">
      <c r="A1201" s="207">
        <v>306</v>
      </c>
      <c r="B1201" s="37" t="s">
        <v>7631</v>
      </c>
      <c r="C1201" s="19" t="s">
        <v>7676</v>
      </c>
      <c r="D1201" s="198" t="s">
        <v>2393</v>
      </c>
      <c r="E1201" s="198" t="s">
        <v>4842</v>
      </c>
      <c r="F1201" s="52" t="s">
        <v>2272</v>
      </c>
      <c r="G1201" s="4" t="s">
        <v>7727</v>
      </c>
      <c r="H1201" s="19" t="s">
        <v>4107</v>
      </c>
      <c r="I1201" s="21">
        <v>37.666463615541602</v>
      </c>
      <c r="J1201" s="21">
        <v>-86.373834783277402</v>
      </c>
      <c r="K1201" s="172">
        <f>56603*2.59</f>
        <v>146601.76999999999</v>
      </c>
      <c r="L1201" s="198">
        <v>1999</v>
      </c>
      <c r="M1201" s="198">
        <v>2012</v>
      </c>
      <c r="N1201" s="77" t="s">
        <v>2272</v>
      </c>
      <c r="O1201" s="19" t="s">
        <v>66</v>
      </c>
      <c r="P1201" s="19" t="s">
        <v>5181</v>
      </c>
      <c r="Q1201" s="198"/>
    </row>
    <row r="1202" spans="1:17" ht="33.5" customHeight="1">
      <c r="A1202" s="207">
        <v>306</v>
      </c>
      <c r="B1202" s="37" t="s">
        <v>7631</v>
      </c>
      <c r="C1202" s="19" t="s">
        <v>7677</v>
      </c>
      <c r="D1202" s="198" t="s">
        <v>2393</v>
      </c>
      <c r="E1202" s="198" t="s">
        <v>4842</v>
      </c>
      <c r="F1202" s="52" t="s">
        <v>2272</v>
      </c>
      <c r="G1202" s="4" t="s">
        <v>7728</v>
      </c>
      <c r="H1202" s="19" t="s">
        <v>4107</v>
      </c>
      <c r="I1202" s="21">
        <v>36.044827473319401</v>
      </c>
      <c r="J1202" s="21">
        <v>-84.545718817056795</v>
      </c>
      <c r="K1202" s="172">
        <f>30630*2.59</f>
        <v>79331.7</v>
      </c>
      <c r="L1202" s="198">
        <v>1999</v>
      </c>
      <c r="M1202" s="198">
        <v>2012</v>
      </c>
      <c r="N1202" s="77" t="s">
        <v>2272</v>
      </c>
      <c r="O1202" s="19" t="s">
        <v>66</v>
      </c>
      <c r="P1202" s="19" t="s">
        <v>5181</v>
      </c>
      <c r="Q1202" s="198"/>
    </row>
    <row r="1203" spans="1:17" ht="33.5" customHeight="1">
      <c r="A1203" s="207">
        <v>306</v>
      </c>
      <c r="B1203" s="37" t="s">
        <v>7631</v>
      </c>
      <c r="C1203" s="19" t="s">
        <v>7678</v>
      </c>
      <c r="D1203" s="198" t="s">
        <v>2393</v>
      </c>
      <c r="E1203" s="198" t="s">
        <v>4842</v>
      </c>
      <c r="F1203" s="52" t="s">
        <v>2272</v>
      </c>
      <c r="G1203" s="4" t="s">
        <v>7729</v>
      </c>
      <c r="H1203" s="19" t="s">
        <v>4107</v>
      </c>
      <c r="I1203" s="21">
        <v>39.459519709421897</v>
      </c>
      <c r="J1203" s="21">
        <v>-88.857692444792804</v>
      </c>
      <c r="K1203" s="172">
        <f>63717*2.59</f>
        <v>165027.03</v>
      </c>
      <c r="L1203" s="198">
        <v>1999</v>
      </c>
      <c r="M1203" s="198">
        <v>2012</v>
      </c>
      <c r="N1203" s="77" t="s">
        <v>2272</v>
      </c>
      <c r="O1203" s="19" t="s">
        <v>66</v>
      </c>
      <c r="P1203" s="19" t="s">
        <v>5181</v>
      </c>
      <c r="Q1203" s="198"/>
    </row>
    <row r="1204" spans="1:17" ht="33.5" customHeight="1">
      <c r="A1204" s="207">
        <v>306</v>
      </c>
      <c r="B1204" s="37" t="s">
        <v>7631</v>
      </c>
      <c r="C1204" s="19" t="s">
        <v>7679</v>
      </c>
      <c r="D1204" s="198" t="s">
        <v>2393</v>
      </c>
      <c r="E1204" s="198" t="s">
        <v>4842</v>
      </c>
      <c r="F1204" s="52" t="s">
        <v>2272</v>
      </c>
      <c r="G1204" s="4" t="s">
        <v>7730</v>
      </c>
      <c r="H1204" s="19" t="s">
        <v>4107</v>
      </c>
      <c r="I1204" s="21">
        <v>43.311559075366397</v>
      </c>
      <c r="J1204" s="21">
        <v>-88.998633579664499</v>
      </c>
      <c r="K1204" s="172">
        <f>54569*2.59</f>
        <v>141333.71</v>
      </c>
      <c r="L1204" s="198">
        <v>1999</v>
      </c>
      <c r="M1204" s="198">
        <v>2012</v>
      </c>
      <c r="N1204" s="77" t="s">
        <v>2272</v>
      </c>
      <c r="O1204" s="19" t="s">
        <v>66</v>
      </c>
      <c r="P1204" s="19" t="s">
        <v>5181</v>
      </c>
      <c r="Q1204" s="198"/>
    </row>
    <row r="1205" spans="1:17" ht="33.5" customHeight="1">
      <c r="A1205" s="207">
        <v>306</v>
      </c>
      <c r="B1205" s="37" t="s">
        <v>7631</v>
      </c>
      <c r="C1205" s="19" t="s">
        <v>7680</v>
      </c>
      <c r="D1205" s="198" t="s">
        <v>2393</v>
      </c>
      <c r="E1205" s="198" t="s">
        <v>4842</v>
      </c>
      <c r="F1205" s="52" t="s">
        <v>2272</v>
      </c>
      <c r="G1205" s="4" t="s">
        <v>7731</v>
      </c>
      <c r="H1205" s="19" t="s">
        <v>4107</v>
      </c>
      <c r="I1205" s="21">
        <v>43.450687997823501</v>
      </c>
      <c r="J1205" s="21">
        <v>-84.906601542547705</v>
      </c>
      <c r="K1205" s="172">
        <f>94488*2.59</f>
        <v>244723.91999999998</v>
      </c>
      <c r="L1205" s="198">
        <v>1999</v>
      </c>
      <c r="M1205" s="198">
        <v>2012</v>
      </c>
      <c r="N1205" s="77" t="s">
        <v>2272</v>
      </c>
      <c r="O1205" s="19" t="s">
        <v>66</v>
      </c>
      <c r="P1205" s="19" t="s">
        <v>5181</v>
      </c>
      <c r="Q1205" s="198"/>
    </row>
    <row r="1206" spans="1:17" ht="33.5" customHeight="1">
      <c r="A1206" s="207">
        <v>306</v>
      </c>
      <c r="B1206" s="37" t="s">
        <v>7631</v>
      </c>
      <c r="C1206" s="19" t="s">
        <v>7681</v>
      </c>
      <c r="D1206" s="198" t="s">
        <v>2393</v>
      </c>
      <c r="E1206" s="198" t="s">
        <v>4842</v>
      </c>
      <c r="F1206" s="52" t="s">
        <v>2272</v>
      </c>
      <c r="G1206" s="4" t="s">
        <v>7732</v>
      </c>
      <c r="H1206" s="19" t="s">
        <v>4107</v>
      </c>
      <c r="I1206" s="21">
        <v>41.147854922698897</v>
      </c>
      <c r="J1206" s="21">
        <v>-85.320788018156804</v>
      </c>
      <c r="K1206" s="172">
        <f>33581*2.59</f>
        <v>86974.79</v>
      </c>
      <c r="L1206" s="198">
        <v>1999</v>
      </c>
      <c r="M1206" s="198">
        <v>2012</v>
      </c>
      <c r="N1206" s="77" t="s">
        <v>2272</v>
      </c>
      <c r="O1206" s="19" t="s">
        <v>66</v>
      </c>
      <c r="P1206" s="19" t="s">
        <v>5181</v>
      </c>
      <c r="Q1206" s="198"/>
    </row>
    <row r="1207" spans="1:17" ht="33.5" customHeight="1">
      <c r="A1207" s="207">
        <v>306</v>
      </c>
      <c r="B1207" s="37" t="s">
        <v>7631</v>
      </c>
      <c r="C1207" s="19" t="s">
        <v>7749</v>
      </c>
      <c r="D1207" s="198" t="s">
        <v>2393</v>
      </c>
      <c r="E1207" s="198" t="s">
        <v>4842</v>
      </c>
      <c r="F1207" s="52" t="s">
        <v>2272</v>
      </c>
      <c r="G1207" s="19" t="s">
        <v>7733</v>
      </c>
      <c r="H1207" s="19" t="s">
        <v>4107</v>
      </c>
      <c r="I1207" s="21">
        <v>38.445142935993097</v>
      </c>
      <c r="J1207" s="21">
        <v>-82.620243787525496</v>
      </c>
      <c r="K1207" s="172">
        <f>30636*2.59</f>
        <v>79347.239999999991</v>
      </c>
      <c r="L1207" s="198">
        <v>1999</v>
      </c>
      <c r="M1207" s="198">
        <v>2012</v>
      </c>
      <c r="N1207" s="77" t="s">
        <v>2272</v>
      </c>
      <c r="O1207" s="19" t="s">
        <v>66</v>
      </c>
      <c r="P1207" s="19" t="s">
        <v>5181</v>
      </c>
      <c r="Q1207" s="198"/>
    </row>
    <row r="1208" spans="1:17" ht="33.5" customHeight="1">
      <c r="A1208" s="207">
        <v>306</v>
      </c>
      <c r="B1208" s="37" t="s">
        <v>7631</v>
      </c>
      <c r="C1208" s="19" t="s">
        <v>7750</v>
      </c>
      <c r="D1208" s="198" t="s">
        <v>2393</v>
      </c>
      <c r="E1208" s="198" t="s">
        <v>4842</v>
      </c>
      <c r="F1208" s="52" t="s">
        <v>2272</v>
      </c>
      <c r="G1208" s="19" t="s">
        <v>7734</v>
      </c>
      <c r="H1208" s="19" t="s">
        <v>4107</v>
      </c>
      <c r="I1208" s="21">
        <v>31.7116845524944</v>
      </c>
      <c r="J1208" s="21">
        <v>-83.058017697435801</v>
      </c>
      <c r="K1208" s="172">
        <f>31561*2.59</f>
        <v>81742.989999999991</v>
      </c>
      <c r="L1208" s="198">
        <v>1999</v>
      </c>
      <c r="M1208" s="198">
        <v>2012</v>
      </c>
      <c r="N1208" s="77" t="s">
        <v>2272</v>
      </c>
      <c r="O1208" s="19" t="s">
        <v>66</v>
      </c>
      <c r="P1208" s="19" t="s">
        <v>5181</v>
      </c>
      <c r="Q1208" s="198"/>
    </row>
    <row r="1209" spans="1:17" ht="33.5" customHeight="1">
      <c r="A1209" s="207">
        <v>306</v>
      </c>
      <c r="B1209" s="37" t="s">
        <v>7631</v>
      </c>
      <c r="C1209" s="19" t="s">
        <v>7751</v>
      </c>
      <c r="D1209" s="198" t="s">
        <v>2393</v>
      </c>
      <c r="E1209" s="198" t="s">
        <v>4842</v>
      </c>
      <c r="F1209" s="52" t="s">
        <v>2272</v>
      </c>
      <c r="G1209" s="19" t="s">
        <v>7735</v>
      </c>
      <c r="H1209" s="19" t="s">
        <v>4107</v>
      </c>
      <c r="I1209" s="21">
        <v>27.750560631019699</v>
      </c>
      <c r="J1209" s="21">
        <v>-81.600274725274701</v>
      </c>
      <c r="K1209" s="172">
        <f>58267*2.59</f>
        <v>150911.53</v>
      </c>
      <c r="L1209" s="198">
        <v>1999</v>
      </c>
      <c r="M1209" s="198">
        <v>2012</v>
      </c>
      <c r="N1209" s="77" t="s">
        <v>2272</v>
      </c>
      <c r="O1209" s="19" t="s">
        <v>66</v>
      </c>
      <c r="P1209" s="19" t="s">
        <v>5181</v>
      </c>
      <c r="Q1209" s="198"/>
    </row>
    <row r="1210" spans="1:17" ht="33.5" customHeight="1">
      <c r="A1210" s="207">
        <v>306</v>
      </c>
      <c r="B1210" s="37" t="s">
        <v>7631</v>
      </c>
      <c r="C1210" s="19" t="s">
        <v>7752</v>
      </c>
      <c r="D1210" s="198" t="s">
        <v>2393</v>
      </c>
      <c r="E1210" s="198" t="s">
        <v>4842</v>
      </c>
      <c r="F1210" s="52" t="s">
        <v>2272</v>
      </c>
      <c r="G1210" s="19" t="s">
        <v>7736</v>
      </c>
      <c r="H1210" s="19" t="s">
        <v>4107</v>
      </c>
      <c r="I1210" s="21">
        <v>34.614429858070899</v>
      </c>
      <c r="J1210" s="21">
        <v>-83.772809150547104</v>
      </c>
      <c r="K1210" s="172">
        <f>35738*2.59</f>
        <v>92561.42</v>
      </c>
      <c r="L1210" s="198">
        <v>1999</v>
      </c>
      <c r="M1210" s="198">
        <v>2012</v>
      </c>
      <c r="N1210" s="77" t="s">
        <v>2272</v>
      </c>
      <c r="O1210" s="19" t="s">
        <v>66</v>
      </c>
      <c r="P1210" s="19" t="s">
        <v>5181</v>
      </c>
      <c r="Q1210" s="198"/>
    </row>
    <row r="1211" spans="1:17" ht="33.5" customHeight="1">
      <c r="A1211" s="207">
        <v>306</v>
      </c>
      <c r="B1211" s="37" t="s">
        <v>7631</v>
      </c>
      <c r="C1211" s="19" t="s">
        <v>7753</v>
      </c>
      <c r="D1211" s="198" t="s">
        <v>2393</v>
      </c>
      <c r="E1211" s="198" t="s">
        <v>4842</v>
      </c>
      <c r="F1211" s="52" t="s">
        <v>2272</v>
      </c>
      <c r="G1211" s="19" t="s">
        <v>7737</v>
      </c>
      <c r="H1211" s="19" t="s">
        <v>4107</v>
      </c>
      <c r="I1211" s="21">
        <v>36.948149094892102</v>
      </c>
      <c r="J1211" s="21">
        <v>-81.914653280610096</v>
      </c>
      <c r="K1211" s="172">
        <f>21787*2.59</f>
        <v>56428.329999999994</v>
      </c>
      <c r="L1211" s="198">
        <v>1999</v>
      </c>
      <c r="M1211" s="198">
        <v>2012</v>
      </c>
      <c r="N1211" s="77" t="s">
        <v>2272</v>
      </c>
      <c r="O1211" s="19" t="s">
        <v>66</v>
      </c>
      <c r="P1211" s="19" t="s">
        <v>5181</v>
      </c>
      <c r="Q1211" s="198"/>
    </row>
    <row r="1212" spans="1:17" ht="33.5" customHeight="1">
      <c r="A1212" s="207">
        <v>306</v>
      </c>
      <c r="B1212" s="37" t="s">
        <v>7631</v>
      </c>
      <c r="C1212" s="19" t="s">
        <v>7754</v>
      </c>
      <c r="D1212" s="198" t="s">
        <v>2393</v>
      </c>
      <c r="E1212" s="198" t="s">
        <v>4842</v>
      </c>
      <c r="F1212" s="52" t="s">
        <v>2272</v>
      </c>
      <c r="G1212" s="19" t="s">
        <v>7738</v>
      </c>
      <c r="H1212" s="19" t="s">
        <v>4107</v>
      </c>
      <c r="I1212" s="21">
        <v>34.483602729501897</v>
      </c>
      <c r="J1212" s="21">
        <v>-78.661113330768003</v>
      </c>
      <c r="K1212" s="172">
        <f>43890*2.59</f>
        <v>113675.09999999999</v>
      </c>
      <c r="L1212" s="198">
        <v>1999</v>
      </c>
      <c r="M1212" s="198">
        <v>2012</v>
      </c>
      <c r="N1212" s="77" t="s">
        <v>2272</v>
      </c>
      <c r="O1212" s="19" t="s">
        <v>66</v>
      </c>
      <c r="P1212" s="19" t="s">
        <v>5181</v>
      </c>
      <c r="Q1212" s="198"/>
    </row>
    <row r="1213" spans="1:17" ht="33.5" customHeight="1">
      <c r="A1213" s="207">
        <v>306</v>
      </c>
      <c r="B1213" s="37" t="s">
        <v>7631</v>
      </c>
      <c r="C1213" s="19" t="s">
        <v>7755</v>
      </c>
      <c r="D1213" s="198" t="s">
        <v>2393</v>
      </c>
      <c r="E1213" s="198" t="s">
        <v>4842</v>
      </c>
      <c r="F1213" s="52" t="s">
        <v>2272</v>
      </c>
      <c r="G1213" s="19" t="s">
        <v>7739</v>
      </c>
      <c r="H1213" s="19" t="s">
        <v>4107</v>
      </c>
      <c r="I1213" s="21">
        <v>35.905457239366797</v>
      </c>
      <c r="J1213" s="21">
        <v>-79.856345378835996</v>
      </c>
      <c r="K1213" s="172">
        <f>29647*2.59</f>
        <v>76785.73</v>
      </c>
      <c r="L1213" s="198">
        <v>1999</v>
      </c>
      <c r="M1213" s="198">
        <v>2012</v>
      </c>
      <c r="N1213" s="77" t="s">
        <v>2272</v>
      </c>
      <c r="O1213" s="19" t="s">
        <v>66</v>
      </c>
      <c r="P1213" s="19" t="s">
        <v>5181</v>
      </c>
      <c r="Q1213" s="198"/>
    </row>
    <row r="1214" spans="1:17" ht="33.5" customHeight="1">
      <c r="A1214" s="207">
        <v>306</v>
      </c>
      <c r="B1214" s="37" t="s">
        <v>7631</v>
      </c>
      <c r="C1214" s="19" t="s">
        <v>11568</v>
      </c>
      <c r="D1214" s="198" t="s">
        <v>2393</v>
      </c>
      <c r="E1214" s="198" t="s">
        <v>4842</v>
      </c>
      <c r="F1214" s="52" t="s">
        <v>2272</v>
      </c>
      <c r="G1214" s="19" t="s">
        <v>7740</v>
      </c>
      <c r="H1214" s="19" t="s">
        <v>4107</v>
      </c>
      <c r="I1214" s="21">
        <v>36.309703949427401</v>
      </c>
      <c r="J1214" s="21">
        <v>-77.1232874334695</v>
      </c>
      <c r="K1214" s="172">
        <f>42995*2.59</f>
        <v>111357.04999999999</v>
      </c>
      <c r="L1214" s="198">
        <v>1999</v>
      </c>
      <c r="M1214" s="198">
        <v>2012</v>
      </c>
      <c r="N1214" s="77" t="s">
        <v>2272</v>
      </c>
      <c r="O1214" s="19" t="s">
        <v>66</v>
      </c>
      <c r="P1214" s="19" t="s">
        <v>5181</v>
      </c>
      <c r="Q1214" s="198"/>
    </row>
    <row r="1215" spans="1:17" ht="33.5" customHeight="1">
      <c r="A1215" s="207">
        <v>306</v>
      </c>
      <c r="B1215" s="37" t="s">
        <v>7631</v>
      </c>
      <c r="C1215" s="19" t="s">
        <v>7756</v>
      </c>
      <c r="D1215" s="198" t="s">
        <v>2393</v>
      </c>
      <c r="E1215" s="198" t="s">
        <v>4842</v>
      </c>
      <c r="F1215" s="52" t="s">
        <v>2272</v>
      </c>
      <c r="G1215" s="19" t="s">
        <v>7741</v>
      </c>
      <c r="H1215" s="19" t="s">
        <v>4107</v>
      </c>
      <c r="I1215" s="21">
        <v>38.575051857117401</v>
      </c>
      <c r="J1215" s="21">
        <v>-78.980699691661499</v>
      </c>
      <c r="K1215" s="172">
        <f>42950*2.59</f>
        <v>111240.5</v>
      </c>
      <c r="L1215" s="198">
        <v>1999</v>
      </c>
      <c r="M1215" s="198">
        <v>2012</v>
      </c>
      <c r="N1215" s="77" t="s">
        <v>2272</v>
      </c>
      <c r="O1215" s="19" t="s">
        <v>66</v>
      </c>
      <c r="P1215" s="19" t="s">
        <v>5181</v>
      </c>
      <c r="Q1215" s="198"/>
    </row>
    <row r="1216" spans="1:17" ht="33.5" customHeight="1">
      <c r="A1216" s="207">
        <v>306</v>
      </c>
      <c r="B1216" s="37" t="s">
        <v>7631</v>
      </c>
      <c r="C1216" s="19" t="s">
        <v>7757</v>
      </c>
      <c r="D1216" s="198" t="s">
        <v>2393</v>
      </c>
      <c r="E1216" s="198" t="s">
        <v>4842</v>
      </c>
      <c r="F1216" s="52" t="s">
        <v>2272</v>
      </c>
      <c r="G1216" s="19" t="s">
        <v>7742</v>
      </c>
      <c r="H1216" s="19" t="s">
        <v>4107</v>
      </c>
      <c r="I1216" s="21">
        <v>41.0545528779572</v>
      </c>
      <c r="J1216" s="21">
        <v>-80.493087619978894</v>
      </c>
      <c r="K1216" s="172">
        <f t="shared" ref="K1216" si="16">36039*2.59</f>
        <v>93341.01</v>
      </c>
      <c r="L1216" s="198">
        <v>1999</v>
      </c>
      <c r="M1216" s="198">
        <v>2012</v>
      </c>
      <c r="N1216" s="77" t="s">
        <v>2272</v>
      </c>
      <c r="O1216" s="19" t="s">
        <v>66</v>
      </c>
      <c r="P1216" s="19" t="s">
        <v>5181</v>
      </c>
      <c r="Q1216" s="198"/>
    </row>
    <row r="1217" spans="1:17" ht="33.5" customHeight="1">
      <c r="A1217" s="207">
        <v>306</v>
      </c>
      <c r="B1217" s="37" t="s">
        <v>7631</v>
      </c>
      <c r="C1217" s="19" t="s">
        <v>7758</v>
      </c>
      <c r="D1217" s="198" t="s">
        <v>2393</v>
      </c>
      <c r="E1217" s="198" t="s">
        <v>4842</v>
      </c>
      <c r="F1217" s="52" t="s">
        <v>2272</v>
      </c>
      <c r="G1217" s="19" t="s">
        <v>7743</v>
      </c>
      <c r="H1217" s="19" t="s">
        <v>4107</v>
      </c>
      <c r="I1217" s="21">
        <v>42.829542305141601</v>
      </c>
      <c r="J1217" s="21">
        <v>-77.173195377135798</v>
      </c>
      <c r="K1217" s="172">
        <f>34501*2.59</f>
        <v>89357.59</v>
      </c>
      <c r="L1217" s="198">
        <v>1999</v>
      </c>
      <c r="M1217" s="198">
        <v>2012</v>
      </c>
      <c r="N1217" s="77" t="s">
        <v>2272</v>
      </c>
      <c r="O1217" s="19" t="s">
        <v>66</v>
      </c>
      <c r="P1217" s="19" t="s">
        <v>5181</v>
      </c>
      <c r="Q1217" s="198"/>
    </row>
    <row r="1218" spans="1:17" ht="33.5" customHeight="1">
      <c r="A1218" s="207">
        <v>306</v>
      </c>
      <c r="B1218" s="37" t="s">
        <v>7631</v>
      </c>
      <c r="C1218" s="19" t="s">
        <v>7759</v>
      </c>
      <c r="D1218" s="198" t="s">
        <v>2393</v>
      </c>
      <c r="E1218" s="198" t="s">
        <v>4842</v>
      </c>
      <c r="F1218" s="52" t="s">
        <v>2272</v>
      </c>
      <c r="G1218" s="19" t="s">
        <v>7744</v>
      </c>
      <c r="H1218" s="19" t="s">
        <v>4107</v>
      </c>
      <c r="I1218" s="21">
        <v>44.193558318032501</v>
      </c>
      <c r="J1218" s="21">
        <v>-74.267952012763999</v>
      </c>
      <c r="K1218" s="172">
        <f>31128*2.59</f>
        <v>80621.51999999999</v>
      </c>
      <c r="L1218" s="198">
        <v>1999</v>
      </c>
      <c r="M1218" s="198">
        <v>2012</v>
      </c>
      <c r="N1218" s="77" t="s">
        <v>2272</v>
      </c>
      <c r="O1218" s="19" t="s">
        <v>66</v>
      </c>
      <c r="P1218" s="19" t="s">
        <v>5181</v>
      </c>
      <c r="Q1218" s="198"/>
    </row>
    <row r="1219" spans="1:17" ht="35.5" customHeight="1">
      <c r="A1219" s="207">
        <v>306</v>
      </c>
      <c r="B1219" s="37" t="s">
        <v>7631</v>
      </c>
      <c r="C1219" s="19" t="s">
        <v>7760</v>
      </c>
      <c r="D1219" s="198" t="s">
        <v>2393</v>
      </c>
      <c r="E1219" s="198" t="s">
        <v>4842</v>
      </c>
      <c r="F1219" s="52" t="s">
        <v>2272</v>
      </c>
      <c r="G1219" s="19" t="s">
        <v>7745</v>
      </c>
      <c r="H1219" s="19" t="s">
        <v>4107</v>
      </c>
      <c r="I1219" s="21">
        <v>42.800472916888303</v>
      </c>
      <c r="J1219" s="21">
        <v>-72.131080067870798</v>
      </c>
      <c r="K1219" s="172">
        <f>32173*2.59</f>
        <v>83328.069999999992</v>
      </c>
      <c r="L1219" s="198">
        <v>1999</v>
      </c>
      <c r="M1219" s="198">
        <v>2012</v>
      </c>
      <c r="N1219" s="77" t="s">
        <v>2272</v>
      </c>
      <c r="O1219" s="19" t="s">
        <v>66</v>
      </c>
      <c r="P1219" s="19" t="s">
        <v>5181</v>
      </c>
      <c r="Q1219" s="198"/>
    </row>
    <row r="1220" spans="1:17" ht="33.5" customHeight="1">
      <c r="A1220" s="207">
        <v>306</v>
      </c>
      <c r="B1220" s="37" t="s">
        <v>7631</v>
      </c>
      <c r="C1220" s="19" t="s">
        <v>7761</v>
      </c>
      <c r="D1220" s="198" t="s">
        <v>2393</v>
      </c>
      <c r="E1220" s="198" t="s">
        <v>4842</v>
      </c>
      <c r="F1220" s="52" t="s">
        <v>2272</v>
      </c>
      <c r="G1220" s="19" t="s">
        <v>7746</v>
      </c>
      <c r="H1220" s="19" t="s">
        <v>4107</v>
      </c>
      <c r="I1220" s="21">
        <v>45.238111256543803</v>
      </c>
      <c r="J1220" s="21">
        <v>-69.332592584839105</v>
      </c>
      <c r="K1220" s="172">
        <f>46834*2.59</f>
        <v>121300.06</v>
      </c>
      <c r="L1220" s="198">
        <v>1999</v>
      </c>
      <c r="M1220" s="198">
        <v>2012</v>
      </c>
      <c r="N1220" s="77" t="s">
        <v>2272</v>
      </c>
      <c r="O1220" s="19" t="s">
        <v>66</v>
      </c>
      <c r="P1220" s="19" t="s">
        <v>5181</v>
      </c>
      <c r="Q1220" s="198"/>
    </row>
    <row r="1221" spans="1:17" ht="33.5" customHeight="1">
      <c r="A1221" s="207">
        <v>306</v>
      </c>
      <c r="B1221" s="37" t="s">
        <v>7631</v>
      </c>
      <c r="C1221" s="19" t="s">
        <v>7762</v>
      </c>
      <c r="D1221" s="198" t="s">
        <v>2393</v>
      </c>
      <c r="E1221" s="198" t="s">
        <v>4842</v>
      </c>
      <c r="F1221" s="52" t="s">
        <v>2272</v>
      </c>
      <c r="G1221" s="19" t="s">
        <v>7747</v>
      </c>
      <c r="H1221" s="19" t="s">
        <v>4107</v>
      </c>
      <c r="I1221" s="21">
        <v>30.186731609114901</v>
      </c>
      <c r="J1221" s="21">
        <v>-91.862188789326197</v>
      </c>
      <c r="K1221" s="172">
        <f>20900*2.59</f>
        <v>54131</v>
      </c>
      <c r="L1221" s="198">
        <v>1999</v>
      </c>
      <c r="M1221" s="198">
        <v>2012</v>
      </c>
      <c r="N1221" s="77" t="s">
        <v>2272</v>
      </c>
      <c r="O1221" s="19" t="s">
        <v>66</v>
      </c>
      <c r="P1221" s="19" t="s">
        <v>5181</v>
      </c>
      <c r="Q1221" s="198"/>
    </row>
    <row r="1222" spans="1:17" ht="33.5" customHeight="1">
      <c r="A1222" s="207">
        <v>306</v>
      </c>
      <c r="B1222" s="37" t="s">
        <v>7631</v>
      </c>
      <c r="C1222" s="19" t="s">
        <v>7763</v>
      </c>
      <c r="D1222" s="198" t="s">
        <v>2393</v>
      </c>
      <c r="E1222" s="198" t="s">
        <v>4842</v>
      </c>
      <c r="F1222" s="19" t="s">
        <v>2272</v>
      </c>
      <c r="G1222" s="19" t="s">
        <v>7748</v>
      </c>
      <c r="H1222" s="19" t="s">
        <v>4107</v>
      </c>
      <c r="I1222" s="21">
        <v>31.185659654585798</v>
      </c>
      <c r="J1222" s="21">
        <v>-87.291682387980302</v>
      </c>
      <c r="K1222" s="172">
        <f>41209*2.59</f>
        <v>106731.31</v>
      </c>
      <c r="L1222" s="198">
        <v>1999</v>
      </c>
      <c r="M1222" s="198">
        <v>2012</v>
      </c>
      <c r="N1222" s="77" t="s">
        <v>2272</v>
      </c>
      <c r="O1222" s="19" t="s">
        <v>66</v>
      </c>
      <c r="P1222" s="19" t="s">
        <v>5181</v>
      </c>
      <c r="Q1222" s="198"/>
    </row>
    <row r="1223" spans="1:17" ht="40" customHeight="1">
      <c r="A1223" s="207">
        <v>307</v>
      </c>
      <c r="B1223" s="208" t="s">
        <v>7840</v>
      </c>
      <c r="C1223" s="19" t="s">
        <v>7841</v>
      </c>
      <c r="D1223" s="11" t="s">
        <v>2393</v>
      </c>
      <c r="E1223" s="11" t="s">
        <v>2631</v>
      </c>
      <c r="F1223" s="19" t="s">
        <v>2272</v>
      </c>
      <c r="G1223" s="11" t="s">
        <v>7842</v>
      </c>
      <c r="H1223" s="11" t="s">
        <v>6390</v>
      </c>
      <c r="I1223" s="70">
        <v>63.071013000000001</v>
      </c>
      <c r="J1223" s="70">
        <v>17.071424100000002</v>
      </c>
      <c r="K1223" s="70">
        <v>21683.8</v>
      </c>
      <c r="L1223" s="11">
        <v>1993</v>
      </c>
      <c r="M1223" s="11">
        <v>2006</v>
      </c>
      <c r="N1223" s="77" t="s">
        <v>2272</v>
      </c>
      <c r="O1223" s="19" t="s">
        <v>66</v>
      </c>
      <c r="P1223" s="19" t="s">
        <v>5181</v>
      </c>
      <c r="Q1223" s="11"/>
    </row>
    <row r="1224" spans="1:17" ht="36.5" customHeight="1">
      <c r="A1224" s="207">
        <v>307</v>
      </c>
      <c r="B1224" s="208" t="s">
        <v>7840</v>
      </c>
      <c r="C1224" s="19" t="s">
        <v>7844</v>
      </c>
      <c r="D1224" s="11" t="s">
        <v>2393</v>
      </c>
      <c r="E1224" s="11" t="s">
        <v>2631</v>
      </c>
      <c r="F1224" s="19" t="s">
        <v>7843</v>
      </c>
      <c r="G1224" s="11" t="s">
        <v>7842</v>
      </c>
      <c r="H1224" s="11" t="s">
        <v>6390</v>
      </c>
      <c r="I1224" s="70">
        <v>62.437196900000004</v>
      </c>
      <c r="J1224" s="70">
        <v>15.9621072</v>
      </c>
      <c r="K1224" s="70">
        <f>10</f>
        <v>10</v>
      </c>
      <c r="L1224" s="11">
        <v>2002</v>
      </c>
      <c r="M1224" s="11">
        <v>2006</v>
      </c>
      <c r="N1224" s="77" t="s">
        <v>2272</v>
      </c>
      <c r="O1224" s="19" t="s">
        <v>66</v>
      </c>
      <c r="P1224" s="19" t="s">
        <v>5181</v>
      </c>
      <c r="Q1224" s="11"/>
    </row>
    <row r="1225" spans="1:17" ht="33.5" customHeight="1">
      <c r="A1225" s="207">
        <v>308</v>
      </c>
      <c r="B1225" s="37" t="s">
        <v>7861</v>
      </c>
      <c r="C1225" s="19" t="s">
        <v>7862</v>
      </c>
      <c r="D1225" s="11" t="s">
        <v>2393</v>
      </c>
      <c r="E1225" s="11" t="s">
        <v>2394</v>
      </c>
      <c r="F1225" s="19" t="s">
        <v>7863</v>
      </c>
      <c r="G1225" s="19" t="s">
        <v>164</v>
      </c>
      <c r="H1225" s="19" t="s">
        <v>119</v>
      </c>
      <c r="I1225" s="21">
        <v>-2.6536445999999998</v>
      </c>
      <c r="J1225" s="21">
        <v>-54.9198971</v>
      </c>
      <c r="K1225" s="21">
        <v>4398.3999999999996</v>
      </c>
      <c r="L1225" s="11">
        <v>1995</v>
      </c>
      <c r="M1225" s="11">
        <v>1996</v>
      </c>
      <c r="N1225" s="77" t="s">
        <v>2272</v>
      </c>
      <c r="O1225" s="19" t="s">
        <v>66</v>
      </c>
      <c r="P1225" s="19" t="s">
        <v>5181</v>
      </c>
      <c r="Q1225" s="198"/>
    </row>
    <row r="1226" spans="1:17" ht="37" customHeight="1">
      <c r="A1226" s="207">
        <v>309</v>
      </c>
      <c r="B1226" s="37" t="s">
        <v>7874</v>
      </c>
      <c r="C1226" s="19" t="s">
        <v>7875</v>
      </c>
      <c r="D1226" s="11" t="s">
        <v>2393</v>
      </c>
      <c r="E1226" s="11" t="s">
        <v>2394</v>
      </c>
      <c r="F1226" s="4" t="s">
        <v>7876</v>
      </c>
      <c r="G1226" s="198" t="s">
        <v>7877</v>
      </c>
      <c r="H1226" s="19" t="s">
        <v>132</v>
      </c>
      <c r="I1226" s="21">
        <f>4+48/60</f>
        <v>4.8</v>
      </c>
      <c r="J1226" s="21">
        <f>-75-24/60</f>
        <v>-75.400000000000006</v>
      </c>
      <c r="K1226" s="77" t="s">
        <v>2272</v>
      </c>
      <c r="L1226" s="11">
        <v>1992</v>
      </c>
      <c r="M1226" s="11">
        <v>1992</v>
      </c>
      <c r="N1226" s="77" t="s">
        <v>2272</v>
      </c>
      <c r="O1226" s="19" t="s">
        <v>66</v>
      </c>
      <c r="P1226" s="19" t="s">
        <v>5181</v>
      </c>
      <c r="Q1226" s="37" t="s">
        <v>7878</v>
      </c>
    </row>
    <row r="1227" spans="1:17" ht="32" customHeight="1">
      <c r="A1227" s="207">
        <v>310</v>
      </c>
      <c r="B1227" s="37" t="s">
        <v>7885</v>
      </c>
      <c r="C1227" s="19" t="s">
        <v>7884</v>
      </c>
      <c r="D1227" s="11" t="s">
        <v>2393</v>
      </c>
      <c r="E1227" s="11" t="s">
        <v>2415</v>
      </c>
      <c r="F1227" s="198" t="s">
        <v>7891</v>
      </c>
      <c r="G1227" s="198" t="s">
        <v>7886</v>
      </c>
      <c r="H1227" s="198" t="s">
        <v>3611</v>
      </c>
      <c r="I1227" s="21">
        <v>-41.121901399999999</v>
      </c>
      <c r="J1227" s="21">
        <v>-71.404353599999993</v>
      </c>
      <c r="K1227" s="77" t="s">
        <v>2272</v>
      </c>
      <c r="L1227" s="198">
        <v>1940</v>
      </c>
      <c r="M1227" s="198">
        <v>2002</v>
      </c>
      <c r="N1227" s="77" t="s">
        <v>2272</v>
      </c>
      <c r="O1227" s="19" t="s">
        <v>66</v>
      </c>
      <c r="P1227" s="19" t="s">
        <v>5181</v>
      </c>
      <c r="Q1227" s="198"/>
    </row>
    <row r="1228" spans="1:17" ht="34.5" customHeight="1">
      <c r="A1228" s="207">
        <v>310</v>
      </c>
      <c r="B1228" s="37" t="s">
        <v>7885</v>
      </c>
      <c r="C1228" s="19" t="s">
        <v>7890</v>
      </c>
      <c r="D1228" s="11" t="s">
        <v>2393</v>
      </c>
      <c r="E1228" s="11" t="s">
        <v>2415</v>
      </c>
      <c r="F1228" s="19" t="s">
        <v>7889</v>
      </c>
      <c r="G1228" s="198" t="s">
        <v>7886</v>
      </c>
      <c r="H1228" s="198" t="s">
        <v>3611</v>
      </c>
      <c r="I1228" s="21">
        <v>-41.218642199999998</v>
      </c>
      <c r="J1228" s="21">
        <v>-71.302989400000001</v>
      </c>
      <c r="K1228" s="77" t="s">
        <v>2272</v>
      </c>
      <c r="L1228" s="198">
        <v>1940</v>
      </c>
      <c r="M1228" s="198">
        <v>2002</v>
      </c>
      <c r="N1228" s="77" t="s">
        <v>2272</v>
      </c>
      <c r="O1228" s="19" t="s">
        <v>66</v>
      </c>
      <c r="P1228" s="19" t="s">
        <v>5181</v>
      </c>
      <c r="Q1228" s="198"/>
    </row>
    <row r="1229" spans="1:17" ht="32" customHeight="1">
      <c r="A1229" s="213">
        <v>311</v>
      </c>
      <c r="B1229" s="51" t="s">
        <v>7895</v>
      </c>
      <c r="C1229" s="52" t="s">
        <v>7896</v>
      </c>
      <c r="D1229" s="35" t="s">
        <v>2393</v>
      </c>
      <c r="E1229" s="198" t="s">
        <v>2394</v>
      </c>
      <c r="F1229" s="198" t="s">
        <v>7906</v>
      </c>
      <c r="G1229" s="52" t="s">
        <v>7897</v>
      </c>
      <c r="H1229" s="34" t="s">
        <v>3765</v>
      </c>
      <c r="I1229" s="69">
        <f>-25-25/60</f>
        <v>-25.416666666666668</v>
      </c>
      <c r="J1229" s="69">
        <f>30+10/60</f>
        <v>30.166666666666668</v>
      </c>
      <c r="K1229" s="214" t="s">
        <v>2272</v>
      </c>
      <c r="L1229" s="33">
        <v>2007</v>
      </c>
      <c r="M1229" s="33">
        <v>2009</v>
      </c>
      <c r="N1229" s="214" t="s">
        <v>2272</v>
      </c>
      <c r="O1229" s="52" t="s">
        <v>66</v>
      </c>
      <c r="P1229" s="52" t="s">
        <v>5181</v>
      </c>
      <c r="Q1229" s="35"/>
    </row>
    <row r="1230" spans="1:17" ht="32" customHeight="1">
      <c r="A1230" s="207">
        <v>311</v>
      </c>
      <c r="B1230" s="37" t="s">
        <v>7895</v>
      </c>
      <c r="C1230" s="19" t="s">
        <v>7899</v>
      </c>
      <c r="D1230" s="198" t="s">
        <v>2393</v>
      </c>
      <c r="E1230" s="198" t="s">
        <v>2394</v>
      </c>
      <c r="F1230" s="198" t="s">
        <v>7906</v>
      </c>
      <c r="G1230" s="19" t="s">
        <v>7897</v>
      </c>
      <c r="H1230" s="11" t="s">
        <v>3765</v>
      </c>
      <c r="I1230" s="21">
        <f t="shared" ref="I1230:I1236" si="17">-25-25/60</f>
        <v>-25.416666666666668</v>
      </c>
      <c r="J1230" s="21">
        <f t="shared" ref="J1230:J1236" si="18">30+10/60</f>
        <v>30.166666666666668</v>
      </c>
      <c r="K1230" s="77" t="s">
        <v>2272</v>
      </c>
      <c r="L1230" s="11">
        <v>2007</v>
      </c>
      <c r="M1230" s="11">
        <v>2009</v>
      </c>
      <c r="N1230" s="77" t="s">
        <v>2272</v>
      </c>
      <c r="O1230" s="19" t="s">
        <v>66</v>
      </c>
      <c r="P1230" s="19" t="s">
        <v>5181</v>
      </c>
      <c r="Q1230" s="198"/>
    </row>
    <row r="1231" spans="1:17" ht="32" customHeight="1">
      <c r="A1231" s="207">
        <v>311</v>
      </c>
      <c r="B1231" s="37" t="s">
        <v>7895</v>
      </c>
      <c r="C1231" s="19" t="s">
        <v>7900</v>
      </c>
      <c r="D1231" s="198" t="s">
        <v>2393</v>
      </c>
      <c r="E1231" s="198" t="s">
        <v>2394</v>
      </c>
      <c r="F1231" s="198" t="s">
        <v>7906</v>
      </c>
      <c r="G1231" s="19" t="s">
        <v>7897</v>
      </c>
      <c r="H1231" s="11" t="s">
        <v>3765</v>
      </c>
      <c r="I1231" s="21">
        <f t="shared" si="17"/>
        <v>-25.416666666666668</v>
      </c>
      <c r="J1231" s="21">
        <f t="shared" si="18"/>
        <v>30.166666666666668</v>
      </c>
      <c r="K1231" s="77" t="s">
        <v>2272</v>
      </c>
      <c r="L1231" s="11">
        <v>2007</v>
      </c>
      <c r="M1231" s="11">
        <v>2009</v>
      </c>
      <c r="N1231" s="77" t="s">
        <v>2272</v>
      </c>
      <c r="O1231" s="19" t="s">
        <v>66</v>
      </c>
      <c r="P1231" s="19" t="s">
        <v>5181</v>
      </c>
      <c r="Q1231" s="198"/>
    </row>
    <row r="1232" spans="1:17" ht="32" customHeight="1">
      <c r="A1232" s="207">
        <v>311</v>
      </c>
      <c r="B1232" s="37" t="s">
        <v>7895</v>
      </c>
      <c r="C1232" s="19" t="s">
        <v>7901</v>
      </c>
      <c r="D1232" s="198" t="s">
        <v>2393</v>
      </c>
      <c r="E1232" s="198" t="s">
        <v>2394</v>
      </c>
      <c r="F1232" s="198" t="s">
        <v>7906</v>
      </c>
      <c r="G1232" s="19" t="s">
        <v>7897</v>
      </c>
      <c r="H1232" s="11" t="s">
        <v>3765</v>
      </c>
      <c r="I1232" s="21">
        <f t="shared" si="17"/>
        <v>-25.416666666666668</v>
      </c>
      <c r="J1232" s="21">
        <f t="shared" si="18"/>
        <v>30.166666666666668</v>
      </c>
      <c r="K1232" s="77" t="s">
        <v>2272</v>
      </c>
      <c r="L1232" s="11">
        <v>2007</v>
      </c>
      <c r="M1232" s="11">
        <v>2009</v>
      </c>
      <c r="N1232" s="77" t="s">
        <v>2272</v>
      </c>
      <c r="O1232" s="19" t="s">
        <v>66</v>
      </c>
      <c r="P1232" s="19" t="s">
        <v>5181</v>
      </c>
      <c r="Q1232" s="198"/>
    </row>
    <row r="1233" spans="1:17" ht="32" customHeight="1">
      <c r="A1233" s="207">
        <v>311</v>
      </c>
      <c r="B1233" s="37" t="s">
        <v>7895</v>
      </c>
      <c r="C1233" s="19" t="s">
        <v>7902</v>
      </c>
      <c r="D1233" s="198" t="s">
        <v>2393</v>
      </c>
      <c r="E1233" s="198" t="s">
        <v>2394</v>
      </c>
      <c r="F1233" s="19" t="s">
        <v>7898</v>
      </c>
      <c r="G1233" s="19" t="s">
        <v>7897</v>
      </c>
      <c r="H1233" s="11" t="s">
        <v>3765</v>
      </c>
      <c r="I1233" s="21">
        <f t="shared" si="17"/>
        <v>-25.416666666666668</v>
      </c>
      <c r="J1233" s="21">
        <f t="shared" si="18"/>
        <v>30.166666666666668</v>
      </c>
      <c r="K1233" s="77" t="s">
        <v>2272</v>
      </c>
      <c r="L1233" s="11">
        <v>2007</v>
      </c>
      <c r="M1233" s="11">
        <v>2009</v>
      </c>
      <c r="N1233" s="77" t="s">
        <v>2272</v>
      </c>
      <c r="O1233" s="19" t="s">
        <v>66</v>
      </c>
      <c r="P1233" s="19" t="s">
        <v>5181</v>
      </c>
      <c r="Q1233" s="198"/>
    </row>
    <row r="1234" spans="1:17" ht="32" customHeight="1">
      <c r="A1234" s="207">
        <v>311</v>
      </c>
      <c r="B1234" s="37" t="s">
        <v>7895</v>
      </c>
      <c r="C1234" s="19" t="s">
        <v>7903</v>
      </c>
      <c r="D1234" s="198" t="s">
        <v>2393</v>
      </c>
      <c r="E1234" s="198" t="s">
        <v>2394</v>
      </c>
      <c r="F1234" s="19" t="s">
        <v>7898</v>
      </c>
      <c r="G1234" s="19" t="s">
        <v>7897</v>
      </c>
      <c r="H1234" s="11" t="s">
        <v>3765</v>
      </c>
      <c r="I1234" s="21">
        <f t="shared" si="17"/>
        <v>-25.416666666666668</v>
      </c>
      <c r="J1234" s="21">
        <f t="shared" si="18"/>
        <v>30.166666666666668</v>
      </c>
      <c r="K1234" s="77" t="s">
        <v>2272</v>
      </c>
      <c r="L1234" s="11">
        <v>2007</v>
      </c>
      <c r="M1234" s="11">
        <v>2009</v>
      </c>
      <c r="N1234" s="77" t="s">
        <v>2272</v>
      </c>
      <c r="O1234" s="19" t="s">
        <v>66</v>
      </c>
      <c r="P1234" s="19" t="s">
        <v>5181</v>
      </c>
      <c r="Q1234" s="198"/>
    </row>
    <row r="1235" spans="1:17" ht="32" customHeight="1">
      <c r="A1235" s="207">
        <v>311</v>
      </c>
      <c r="B1235" s="37" t="s">
        <v>7895</v>
      </c>
      <c r="C1235" s="19" t="s">
        <v>7904</v>
      </c>
      <c r="D1235" s="198" t="s">
        <v>2393</v>
      </c>
      <c r="E1235" s="198" t="s">
        <v>2394</v>
      </c>
      <c r="F1235" s="19" t="s">
        <v>7898</v>
      </c>
      <c r="G1235" s="19" t="s">
        <v>7897</v>
      </c>
      <c r="H1235" s="11" t="s">
        <v>3765</v>
      </c>
      <c r="I1235" s="21">
        <f t="shared" si="17"/>
        <v>-25.416666666666668</v>
      </c>
      <c r="J1235" s="21">
        <f t="shared" si="18"/>
        <v>30.166666666666668</v>
      </c>
      <c r="K1235" s="77" t="s">
        <v>2272</v>
      </c>
      <c r="L1235" s="11">
        <v>2007</v>
      </c>
      <c r="M1235" s="11">
        <v>2009</v>
      </c>
      <c r="N1235" s="77" t="s">
        <v>2272</v>
      </c>
      <c r="O1235" s="19" t="s">
        <v>66</v>
      </c>
      <c r="P1235" s="19" t="s">
        <v>5181</v>
      </c>
      <c r="Q1235" s="198"/>
    </row>
    <row r="1236" spans="1:17" ht="32" customHeight="1">
      <c r="A1236" s="207">
        <v>311</v>
      </c>
      <c r="B1236" s="37" t="s">
        <v>7895</v>
      </c>
      <c r="C1236" s="19" t="s">
        <v>7905</v>
      </c>
      <c r="D1236" s="198" t="s">
        <v>2393</v>
      </c>
      <c r="E1236" s="198" t="s">
        <v>2394</v>
      </c>
      <c r="F1236" s="19" t="s">
        <v>7898</v>
      </c>
      <c r="G1236" s="19" t="s">
        <v>7897</v>
      </c>
      <c r="H1236" s="11" t="s">
        <v>3765</v>
      </c>
      <c r="I1236" s="21">
        <f t="shared" si="17"/>
        <v>-25.416666666666668</v>
      </c>
      <c r="J1236" s="21">
        <f t="shared" si="18"/>
        <v>30.166666666666668</v>
      </c>
      <c r="K1236" s="77" t="s">
        <v>2272</v>
      </c>
      <c r="L1236" s="11">
        <v>2007</v>
      </c>
      <c r="M1236" s="11">
        <v>2009</v>
      </c>
      <c r="N1236" s="77" t="s">
        <v>2272</v>
      </c>
      <c r="O1236" s="19" t="s">
        <v>66</v>
      </c>
      <c r="P1236" s="19" t="s">
        <v>5181</v>
      </c>
      <c r="Q1236" s="198"/>
    </row>
    <row r="1237" spans="1:17" ht="32.5" customHeight="1">
      <c r="A1237" s="31">
        <v>312</v>
      </c>
      <c r="B1237" s="37" t="s">
        <v>7922</v>
      </c>
      <c r="C1237" s="198" t="s">
        <v>7919</v>
      </c>
      <c r="D1237" s="198" t="s">
        <v>2393</v>
      </c>
      <c r="E1237" s="198" t="s">
        <v>2417</v>
      </c>
      <c r="F1237" s="19" t="s">
        <v>7921</v>
      </c>
      <c r="G1237" s="4" t="s">
        <v>7920</v>
      </c>
      <c r="H1237" s="11" t="s">
        <v>86</v>
      </c>
      <c r="I1237" s="21">
        <f>8+37.5/60</f>
        <v>8.625</v>
      </c>
      <c r="J1237" s="21">
        <f>77 + 27.5/60</f>
        <v>77.458333333333329</v>
      </c>
      <c r="K1237" s="21">
        <v>60</v>
      </c>
      <c r="L1237" s="198">
        <v>1978</v>
      </c>
      <c r="M1237" s="198">
        <v>1999</v>
      </c>
      <c r="N1237" s="77" t="s">
        <v>2272</v>
      </c>
      <c r="O1237" s="19" t="s">
        <v>66</v>
      </c>
      <c r="P1237" s="19" t="s">
        <v>5181</v>
      </c>
      <c r="Q1237" s="198"/>
    </row>
    <row r="1238" spans="1:17" ht="47.5" customHeight="1">
      <c r="A1238" s="207">
        <v>313</v>
      </c>
      <c r="B1238" s="37" t="s">
        <v>7933</v>
      </c>
      <c r="C1238" s="19" t="s">
        <v>7928</v>
      </c>
      <c r="D1238" s="198" t="s">
        <v>2393</v>
      </c>
      <c r="E1238" s="198" t="s">
        <v>2400</v>
      </c>
      <c r="F1238" s="198" t="s">
        <v>7940</v>
      </c>
      <c r="G1238" s="198" t="s">
        <v>7945</v>
      </c>
      <c r="H1238" s="198" t="s">
        <v>6317</v>
      </c>
      <c r="I1238" s="21">
        <v>51.761150399999998</v>
      </c>
      <c r="J1238" s="21">
        <v>50.8381112</v>
      </c>
      <c r="K1238" s="21">
        <v>623.70000000000005</v>
      </c>
      <c r="L1238" s="198">
        <v>1984</v>
      </c>
      <c r="M1238" s="198">
        <v>1991</v>
      </c>
      <c r="N1238" s="77" t="s">
        <v>2272</v>
      </c>
      <c r="O1238" s="19" t="s">
        <v>66</v>
      </c>
      <c r="P1238" s="19" t="s">
        <v>5181</v>
      </c>
      <c r="Q1238" s="4" t="s">
        <v>7963</v>
      </c>
    </row>
    <row r="1239" spans="1:17" ht="47.5" customHeight="1">
      <c r="A1239" s="207">
        <v>313</v>
      </c>
      <c r="B1239" s="37" t="s">
        <v>7933</v>
      </c>
      <c r="C1239" s="19" t="s">
        <v>7929</v>
      </c>
      <c r="D1239" s="198" t="s">
        <v>2393</v>
      </c>
      <c r="E1239" s="198" t="s">
        <v>2400</v>
      </c>
      <c r="F1239" s="198" t="s">
        <v>7941</v>
      </c>
      <c r="G1239" s="198" t="s">
        <v>7945</v>
      </c>
      <c r="H1239" s="198" t="s">
        <v>6317</v>
      </c>
      <c r="I1239" s="21">
        <v>51.194652699999999</v>
      </c>
      <c r="J1239" s="21">
        <v>56.697021100000001</v>
      </c>
      <c r="K1239" s="21">
        <v>1203.9000000000001</v>
      </c>
      <c r="L1239" s="198">
        <v>1984</v>
      </c>
      <c r="M1239" s="198">
        <v>1991</v>
      </c>
      <c r="N1239" s="77" t="s">
        <v>2272</v>
      </c>
      <c r="O1239" s="19" t="s">
        <v>66</v>
      </c>
      <c r="P1239" s="19" t="s">
        <v>5181</v>
      </c>
      <c r="Q1239" s="4" t="s">
        <v>7963</v>
      </c>
    </row>
    <row r="1240" spans="1:17" ht="47.5" customHeight="1">
      <c r="A1240" s="207">
        <v>313</v>
      </c>
      <c r="B1240" s="37" t="s">
        <v>7933</v>
      </c>
      <c r="C1240" s="19" t="s">
        <v>7930</v>
      </c>
      <c r="D1240" s="198" t="s">
        <v>2393</v>
      </c>
      <c r="E1240" s="198" t="s">
        <v>2400</v>
      </c>
      <c r="F1240" s="198" t="s">
        <v>7943</v>
      </c>
      <c r="G1240" s="198" t="s">
        <v>7945</v>
      </c>
      <c r="H1240" s="198" t="s">
        <v>6317</v>
      </c>
      <c r="I1240" s="21">
        <v>50.7574933</v>
      </c>
      <c r="J1240" s="21">
        <v>57.497679699999999</v>
      </c>
      <c r="K1240" s="21">
        <v>736.6</v>
      </c>
      <c r="L1240" s="198">
        <v>1984</v>
      </c>
      <c r="M1240" s="198">
        <v>1991</v>
      </c>
      <c r="N1240" s="77" t="s">
        <v>2272</v>
      </c>
      <c r="O1240" s="19" t="s">
        <v>66</v>
      </c>
      <c r="P1240" s="19" t="s">
        <v>5181</v>
      </c>
      <c r="Q1240" s="4" t="s">
        <v>7963</v>
      </c>
    </row>
    <row r="1241" spans="1:17" ht="47.5" customHeight="1">
      <c r="A1241" s="207">
        <v>313</v>
      </c>
      <c r="B1241" s="37" t="s">
        <v>7933</v>
      </c>
      <c r="C1241" s="19" t="s">
        <v>7931</v>
      </c>
      <c r="D1241" s="198" t="s">
        <v>2393</v>
      </c>
      <c r="E1241" s="198" t="s">
        <v>2400</v>
      </c>
      <c r="F1241" s="198" t="s">
        <v>7942</v>
      </c>
      <c r="G1241" s="198" t="s">
        <v>7945</v>
      </c>
      <c r="H1241" s="198" t="s">
        <v>6317</v>
      </c>
      <c r="I1241" s="21">
        <v>50.923503199999999</v>
      </c>
      <c r="J1241" s="21">
        <v>55.386643200000002</v>
      </c>
      <c r="K1241" s="21">
        <v>1216.2</v>
      </c>
      <c r="L1241" s="198">
        <v>1984</v>
      </c>
      <c r="M1241" s="198">
        <v>1991</v>
      </c>
      <c r="N1241" s="77" t="s">
        <v>2272</v>
      </c>
      <c r="O1241" s="19" t="s">
        <v>66</v>
      </c>
      <c r="P1241" s="19" t="s">
        <v>5181</v>
      </c>
      <c r="Q1241" s="4" t="s">
        <v>7963</v>
      </c>
    </row>
    <row r="1242" spans="1:17" ht="47.5" customHeight="1">
      <c r="A1242" s="207">
        <v>313</v>
      </c>
      <c r="B1242" s="37" t="s">
        <v>7933</v>
      </c>
      <c r="C1242" s="19" t="s">
        <v>7932</v>
      </c>
      <c r="D1242" s="198" t="s">
        <v>2393</v>
      </c>
      <c r="E1242" s="198" t="s">
        <v>2400</v>
      </c>
      <c r="F1242" s="198" t="s">
        <v>7944</v>
      </c>
      <c r="G1242" s="198" t="s">
        <v>7945</v>
      </c>
      <c r="H1242" s="198" t="s">
        <v>6317</v>
      </c>
      <c r="I1242" s="21">
        <v>50.550775899999998</v>
      </c>
      <c r="J1242" s="21">
        <v>60.494869000000001</v>
      </c>
      <c r="K1242" s="21">
        <v>1316</v>
      </c>
      <c r="L1242" s="198">
        <v>1984</v>
      </c>
      <c r="M1242" s="198">
        <v>1991</v>
      </c>
      <c r="N1242" s="77" t="s">
        <v>2272</v>
      </c>
      <c r="O1242" s="19" t="s">
        <v>66</v>
      </c>
      <c r="P1242" s="19" t="s">
        <v>5181</v>
      </c>
      <c r="Q1242" s="4" t="s">
        <v>7963</v>
      </c>
    </row>
    <row r="1243" spans="1:17" ht="47.5" customHeight="1">
      <c r="A1243" s="207">
        <v>313</v>
      </c>
      <c r="B1243" s="37" t="s">
        <v>7933</v>
      </c>
      <c r="C1243" s="19" t="s">
        <v>7935</v>
      </c>
      <c r="D1243" s="198" t="s">
        <v>2393</v>
      </c>
      <c r="E1243" s="198" t="s">
        <v>2400</v>
      </c>
      <c r="F1243" s="198" t="s">
        <v>7940</v>
      </c>
      <c r="G1243" s="198" t="s">
        <v>7945</v>
      </c>
      <c r="H1243" s="198" t="s">
        <v>6317</v>
      </c>
      <c r="I1243" s="21">
        <v>51.761150399999998</v>
      </c>
      <c r="J1243" s="21">
        <v>50.8381112</v>
      </c>
      <c r="K1243" s="21">
        <v>623.70000000000005</v>
      </c>
      <c r="L1243" s="198">
        <v>1992</v>
      </c>
      <c r="M1243" s="198">
        <v>2015</v>
      </c>
      <c r="N1243" s="77" t="s">
        <v>2272</v>
      </c>
      <c r="O1243" s="19" t="s">
        <v>66</v>
      </c>
      <c r="P1243" s="19" t="s">
        <v>5181</v>
      </c>
      <c r="Q1243" s="4" t="s">
        <v>7963</v>
      </c>
    </row>
    <row r="1244" spans="1:17" ht="47.5" customHeight="1">
      <c r="A1244" s="207">
        <v>313</v>
      </c>
      <c r="B1244" s="37" t="s">
        <v>7933</v>
      </c>
      <c r="C1244" s="19" t="s">
        <v>7936</v>
      </c>
      <c r="D1244" s="198" t="s">
        <v>2393</v>
      </c>
      <c r="E1244" s="198" t="s">
        <v>2400</v>
      </c>
      <c r="F1244" s="198" t="s">
        <v>7941</v>
      </c>
      <c r="G1244" s="198" t="s">
        <v>7945</v>
      </c>
      <c r="H1244" s="198" t="s">
        <v>6317</v>
      </c>
      <c r="I1244" s="21">
        <v>51.194652699999999</v>
      </c>
      <c r="J1244" s="21">
        <v>56.697021100000001</v>
      </c>
      <c r="K1244" s="21">
        <v>1203.9000000000001</v>
      </c>
      <c r="L1244" s="198">
        <v>1992</v>
      </c>
      <c r="M1244" s="198">
        <v>2015</v>
      </c>
      <c r="N1244" s="77" t="s">
        <v>2272</v>
      </c>
      <c r="O1244" s="19" t="s">
        <v>66</v>
      </c>
      <c r="P1244" s="19" t="s">
        <v>5181</v>
      </c>
      <c r="Q1244" s="4" t="s">
        <v>7963</v>
      </c>
    </row>
    <row r="1245" spans="1:17" ht="47.5" customHeight="1">
      <c r="A1245" s="207">
        <v>313</v>
      </c>
      <c r="B1245" s="37" t="s">
        <v>7933</v>
      </c>
      <c r="C1245" s="19" t="s">
        <v>7937</v>
      </c>
      <c r="D1245" s="198" t="s">
        <v>2393</v>
      </c>
      <c r="E1245" s="198" t="s">
        <v>2400</v>
      </c>
      <c r="F1245" s="198" t="s">
        <v>7943</v>
      </c>
      <c r="G1245" s="198" t="s">
        <v>7945</v>
      </c>
      <c r="H1245" s="198" t="s">
        <v>6317</v>
      </c>
      <c r="I1245" s="21">
        <v>50.7574933</v>
      </c>
      <c r="J1245" s="21">
        <v>57.497679699999999</v>
      </c>
      <c r="K1245" s="21">
        <v>736.6</v>
      </c>
      <c r="L1245" s="198">
        <v>1992</v>
      </c>
      <c r="M1245" s="198">
        <v>2015</v>
      </c>
      <c r="N1245" s="77" t="s">
        <v>2272</v>
      </c>
      <c r="O1245" s="19" t="s">
        <v>66</v>
      </c>
      <c r="P1245" s="19" t="s">
        <v>5181</v>
      </c>
      <c r="Q1245" s="4" t="s">
        <v>7963</v>
      </c>
    </row>
    <row r="1246" spans="1:17" ht="47.5" customHeight="1">
      <c r="A1246" s="207">
        <v>313</v>
      </c>
      <c r="B1246" s="37" t="s">
        <v>7933</v>
      </c>
      <c r="C1246" s="19" t="s">
        <v>7938</v>
      </c>
      <c r="D1246" s="198" t="s">
        <v>2393</v>
      </c>
      <c r="E1246" s="198" t="s">
        <v>2400</v>
      </c>
      <c r="F1246" s="198" t="s">
        <v>7942</v>
      </c>
      <c r="G1246" s="198" t="s">
        <v>7945</v>
      </c>
      <c r="H1246" s="198" t="s">
        <v>6317</v>
      </c>
      <c r="I1246" s="21">
        <v>50.923503199999999</v>
      </c>
      <c r="J1246" s="21">
        <v>55.386643200000002</v>
      </c>
      <c r="K1246" s="21">
        <v>1216.2</v>
      </c>
      <c r="L1246" s="198">
        <v>1992</v>
      </c>
      <c r="M1246" s="198">
        <v>2015</v>
      </c>
      <c r="N1246" s="77" t="s">
        <v>2272</v>
      </c>
      <c r="O1246" s="19" t="s">
        <v>66</v>
      </c>
      <c r="P1246" s="19" t="s">
        <v>5181</v>
      </c>
      <c r="Q1246" s="4" t="s">
        <v>7963</v>
      </c>
    </row>
    <row r="1247" spans="1:17" ht="47.5" customHeight="1">
      <c r="A1247" s="207">
        <v>313</v>
      </c>
      <c r="B1247" s="37" t="s">
        <v>7933</v>
      </c>
      <c r="C1247" s="19" t="s">
        <v>7939</v>
      </c>
      <c r="D1247" s="198" t="s">
        <v>2393</v>
      </c>
      <c r="E1247" s="198" t="s">
        <v>2400</v>
      </c>
      <c r="F1247" s="198" t="s">
        <v>7944</v>
      </c>
      <c r="G1247" s="198" t="s">
        <v>7945</v>
      </c>
      <c r="H1247" s="198" t="s">
        <v>6317</v>
      </c>
      <c r="I1247" s="21">
        <v>50.550775899999998</v>
      </c>
      <c r="J1247" s="21">
        <v>60.494869000000001</v>
      </c>
      <c r="K1247" s="21">
        <v>1316</v>
      </c>
      <c r="L1247" s="198">
        <v>1992</v>
      </c>
      <c r="M1247" s="198">
        <v>2015</v>
      </c>
      <c r="N1247" s="77" t="s">
        <v>2272</v>
      </c>
      <c r="O1247" s="19" t="s">
        <v>66</v>
      </c>
      <c r="P1247" s="19" t="s">
        <v>5181</v>
      </c>
      <c r="Q1247" s="4" t="s">
        <v>7963</v>
      </c>
    </row>
    <row r="1248" spans="1:17" ht="49.5" customHeight="1">
      <c r="A1248" s="207">
        <v>314</v>
      </c>
      <c r="B1248" s="37" t="s">
        <v>7964</v>
      </c>
      <c r="C1248" s="19" t="s">
        <v>7965</v>
      </c>
      <c r="D1248" s="198" t="s">
        <v>2393</v>
      </c>
      <c r="E1248" s="198" t="s">
        <v>2400</v>
      </c>
      <c r="F1248" s="11" t="s">
        <v>2272</v>
      </c>
      <c r="G1248" s="11" t="s">
        <v>7967</v>
      </c>
      <c r="H1248" s="11" t="s">
        <v>7968</v>
      </c>
      <c r="I1248" s="21">
        <v>49.209090799999998</v>
      </c>
      <c r="J1248" s="21">
        <v>66.233013</v>
      </c>
      <c r="K1248" s="21">
        <v>540000</v>
      </c>
      <c r="L1248" s="198">
        <v>1990</v>
      </c>
      <c r="M1248" s="198">
        <v>1990</v>
      </c>
      <c r="N1248" s="77" t="s">
        <v>2272</v>
      </c>
      <c r="O1248" s="19" t="s">
        <v>66</v>
      </c>
      <c r="P1248" s="19" t="s">
        <v>5181</v>
      </c>
      <c r="Q1248" s="19" t="s">
        <v>7963</v>
      </c>
    </row>
    <row r="1249" spans="1:17" ht="53" customHeight="1">
      <c r="A1249" s="207">
        <v>314</v>
      </c>
      <c r="B1249" s="37" t="s">
        <v>7964</v>
      </c>
      <c r="C1249" s="19" t="s">
        <v>7966</v>
      </c>
      <c r="D1249" s="198" t="s">
        <v>2393</v>
      </c>
      <c r="E1249" s="198" t="s">
        <v>2400</v>
      </c>
      <c r="F1249" s="11" t="s">
        <v>2272</v>
      </c>
      <c r="G1249" s="11" t="s">
        <v>7967</v>
      </c>
      <c r="H1249" s="11" t="s">
        <v>7968</v>
      </c>
      <c r="I1249" s="21">
        <v>49.209090799999998</v>
      </c>
      <c r="J1249" s="21">
        <v>66.233013</v>
      </c>
      <c r="K1249" s="21">
        <v>540000</v>
      </c>
      <c r="L1249" s="198">
        <v>2010</v>
      </c>
      <c r="M1249" s="198">
        <v>2015</v>
      </c>
      <c r="N1249" s="77" t="s">
        <v>2272</v>
      </c>
      <c r="O1249" s="19" t="s">
        <v>66</v>
      </c>
      <c r="P1249" s="19" t="s">
        <v>5181</v>
      </c>
      <c r="Q1249" s="19" t="s">
        <v>7963</v>
      </c>
    </row>
    <row r="1250" spans="1:17" ht="39" customHeight="1">
      <c r="A1250" s="207">
        <v>315</v>
      </c>
      <c r="B1250" s="37" t="s">
        <v>7979</v>
      </c>
      <c r="C1250" s="19" t="s">
        <v>7980</v>
      </c>
      <c r="D1250" s="198" t="s">
        <v>2393</v>
      </c>
      <c r="E1250" s="198" t="s">
        <v>4842</v>
      </c>
      <c r="F1250" s="11" t="s">
        <v>2272</v>
      </c>
      <c r="G1250" s="11" t="s">
        <v>7981</v>
      </c>
      <c r="H1250" s="11" t="s">
        <v>4107</v>
      </c>
      <c r="I1250" s="21">
        <v>31.168934</v>
      </c>
      <c r="J1250" s="21">
        <v>-100.0768425</v>
      </c>
      <c r="K1250" s="21">
        <v>695662</v>
      </c>
      <c r="L1250" s="11">
        <v>1989</v>
      </c>
      <c r="M1250" s="11">
        <v>1989</v>
      </c>
      <c r="N1250" s="77" t="s">
        <v>2272</v>
      </c>
      <c r="O1250" s="19" t="s">
        <v>66</v>
      </c>
      <c r="P1250" s="19" t="s">
        <v>5181</v>
      </c>
      <c r="Q1250" s="198"/>
    </row>
    <row r="1251" spans="1:17" ht="40" customHeight="1">
      <c r="A1251" s="207">
        <v>316</v>
      </c>
      <c r="B1251" s="37" t="s">
        <v>7988</v>
      </c>
      <c r="C1251" s="19" t="s">
        <v>7989</v>
      </c>
      <c r="D1251" s="198" t="s">
        <v>2393</v>
      </c>
      <c r="E1251" s="198" t="s">
        <v>2394</v>
      </c>
      <c r="F1251" s="11" t="s">
        <v>7993</v>
      </c>
      <c r="G1251" s="11" t="s">
        <v>7991</v>
      </c>
      <c r="H1251" s="11" t="s">
        <v>4107</v>
      </c>
      <c r="I1251" s="21">
        <v>41.059414599999997</v>
      </c>
      <c r="J1251" s="21">
        <v>-115.52958649999999</v>
      </c>
      <c r="K1251" s="11" t="s">
        <v>2272</v>
      </c>
      <c r="L1251" s="198">
        <v>2006</v>
      </c>
      <c r="M1251" s="198">
        <v>2006</v>
      </c>
      <c r="N1251" s="77" t="s">
        <v>2272</v>
      </c>
      <c r="O1251" s="19" t="s">
        <v>66</v>
      </c>
      <c r="P1251" s="19" t="s">
        <v>5181</v>
      </c>
      <c r="Q1251" s="198"/>
    </row>
    <row r="1252" spans="1:17" ht="40" customHeight="1">
      <c r="A1252" s="207">
        <v>316</v>
      </c>
      <c r="B1252" s="37" t="s">
        <v>7988</v>
      </c>
      <c r="C1252" s="19" t="s">
        <v>7995</v>
      </c>
      <c r="D1252" s="198" t="s">
        <v>2393</v>
      </c>
      <c r="E1252" s="198" t="s">
        <v>2394</v>
      </c>
      <c r="F1252" s="11" t="s">
        <v>7990</v>
      </c>
      <c r="G1252" s="11" t="s">
        <v>6375</v>
      </c>
      <c r="H1252" s="11" t="s">
        <v>4107</v>
      </c>
      <c r="I1252" s="21">
        <v>42.805290999999997</v>
      </c>
      <c r="J1252" s="21">
        <v>-120.35529459999999</v>
      </c>
      <c r="K1252" s="11" t="s">
        <v>2272</v>
      </c>
      <c r="L1252" s="198">
        <v>2006</v>
      </c>
      <c r="M1252" s="198">
        <v>2006</v>
      </c>
      <c r="N1252" s="77" t="s">
        <v>2272</v>
      </c>
      <c r="O1252" s="19" t="s">
        <v>66</v>
      </c>
      <c r="P1252" s="19" t="s">
        <v>5181</v>
      </c>
      <c r="Q1252" s="198"/>
    </row>
    <row r="1253" spans="1:17" ht="40" customHeight="1">
      <c r="A1253" s="207">
        <v>316</v>
      </c>
      <c r="B1253" s="37" t="s">
        <v>7988</v>
      </c>
      <c r="C1253" s="19" t="s">
        <v>7996</v>
      </c>
      <c r="D1253" s="198" t="s">
        <v>2393</v>
      </c>
      <c r="E1253" s="198" t="s">
        <v>2394</v>
      </c>
      <c r="F1253" s="11" t="s">
        <v>7994</v>
      </c>
      <c r="G1253" s="11" t="s">
        <v>7992</v>
      </c>
      <c r="H1253" s="11" t="s">
        <v>4107</v>
      </c>
      <c r="I1253" s="21">
        <v>39.064330499999997</v>
      </c>
      <c r="J1253" s="21">
        <v>-113.032141</v>
      </c>
      <c r="K1253" s="11" t="s">
        <v>2272</v>
      </c>
      <c r="L1253" s="198">
        <v>2006</v>
      </c>
      <c r="M1253" s="198">
        <v>2006</v>
      </c>
      <c r="N1253" s="77" t="s">
        <v>2272</v>
      </c>
      <c r="O1253" s="19" t="s">
        <v>66</v>
      </c>
      <c r="P1253" s="19" t="s">
        <v>5181</v>
      </c>
      <c r="Q1253" s="198"/>
    </row>
    <row r="1254" spans="1:17" ht="35.5" customHeight="1">
      <c r="A1254" s="213">
        <v>317</v>
      </c>
      <c r="B1254" s="51" t="s">
        <v>8001</v>
      </c>
      <c r="C1254" s="52" t="s">
        <v>8002</v>
      </c>
      <c r="D1254" s="35" t="s">
        <v>2393</v>
      </c>
      <c r="E1254" s="35" t="s">
        <v>2394</v>
      </c>
      <c r="F1254" s="11" t="s">
        <v>2272</v>
      </c>
      <c r="G1254" s="198" t="s">
        <v>8003</v>
      </c>
      <c r="H1254" s="35" t="s">
        <v>4046</v>
      </c>
      <c r="I1254" s="69">
        <v>38.365554500000002</v>
      </c>
      <c r="J1254" s="69">
        <v>23.090027500000001</v>
      </c>
      <c r="K1254" s="69">
        <f>295200/100</f>
        <v>2952</v>
      </c>
      <c r="L1254" s="35">
        <v>2008</v>
      </c>
      <c r="M1254" s="35">
        <v>2008</v>
      </c>
      <c r="N1254" s="214">
        <f>123913/K1254</f>
        <v>41.975948509485093</v>
      </c>
      <c r="O1254" s="52" t="s">
        <v>66</v>
      </c>
      <c r="P1254" s="52" t="s">
        <v>5181</v>
      </c>
      <c r="Q1254" s="35"/>
    </row>
    <row r="1255" spans="1:17" ht="42" customHeight="1">
      <c r="A1255" s="207">
        <v>318</v>
      </c>
      <c r="B1255" s="37" t="s">
        <v>8007</v>
      </c>
      <c r="C1255" s="19" t="s">
        <v>8008</v>
      </c>
      <c r="D1255" s="198" t="s">
        <v>2393</v>
      </c>
      <c r="E1255" s="198" t="s">
        <v>2394</v>
      </c>
      <c r="F1255" s="198" t="s">
        <v>8011</v>
      </c>
      <c r="G1255" s="198" t="s">
        <v>8010</v>
      </c>
      <c r="H1255" s="11" t="s">
        <v>119</v>
      </c>
      <c r="I1255" s="21">
        <v>-28.203432500000002</v>
      </c>
      <c r="J1255" s="21">
        <v>-49.524720600000002</v>
      </c>
      <c r="K1255" s="21">
        <f>(49300-12000)/100</f>
        <v>373</v>
      </c>
      <c r="L1255" s="198">
        <v>2016</v>
      </c>
      <c r="M1255" s="198">
        <v>2016</v>
      </c>
      <c r="N1255" s="77" t="s">
        <v>2272</v>
      </c>
      <c r="O1255" s="52" t="s">
        <v>66</v>
      </c>
      <c r="P1255" s="52" t="s">
        <v>5181</v>
      </c>
      <c r="Q1255" s="198"/>
    </row>
    <row r="1256" spans="1:17" ht="38" customHeight="1">
      <c r="A1256" s="207">
        <v>318</v>
      </c>
      <c r="B1256" s="37" t="s">
        <v>8007</v>
      </c>
      <c r="C1256" s="19" t="s">
        <v>8009</v>
      </c>
      <c r="D1256" s="198" t="s">
        <v>2393</v>
      </c>
      <c r="E1256" s="198" t="s">
        <v>2394</v>
      </c>
      <c r="F1256" s="198" t="s">
        <v>8011</v>
      </c>
      <c r="G1256" s="198" t="s">
        <v>8010</v>
      </c>
      <c r="H1256" s="11" t="s">
        <v>119</v>
      </c>
      <c r="I1256" s="21">
        <v>-28.203432500000002</v>
      </c>
      <c r="J1256" s="21">
        <v>-49.524720600000002</v>
      </c>
      <c r="K1256" s="21">
        <f>12000/100</f>
        <v>120</v>
      </c>
      <c r="L1256" s="198">
        <v>2016</v>
      </c>
      <c r="M1256" s="198">
        <v>2016</v>
      </c>
      <c r="N1256" s="77" t="s">
        <v>2272</v>
      </c>
      <c r="O1256" s="52" t="s">
        <v>66</v>
      </c>
      <c r="P1256" s="52" t="s">
        <v>5181</v>
      </c>
      <c r="Q1256" s="198"/>
    </row>
    <row r="1257" spans="1:17" ht="32" customHeight="1">
      <c r="A1257" s="207">
        <v>319</v>
      </c>
      <c r="B1257" s="37" t="s">
        <v>8018</v>
      </c>
      <c r="C1257" s="19" t="s">
        <v>8019</v>
      </c>
      <c r="D1257" s="198" t="s">
        <v>2393</v>
      </c>
      <c r="E1257" s="198" t="s">
        <v>2394</v>
      </c>
      <c r="F1257" s="11" t="s">
        <v>8020</v>
      </c>
      <c r="G1257" s="11" t="s">
        <v>2272</v>
      </c>
      <c r="H1257" s="11" t="s">
        <v>119</v>
      </c>
      <c r="I1257" s="21">
        <v>-13.3238237</v>
      </c>
      <c r="J1257" s="21">
        <v>-51.679792200000001</v>
      </c>
      <c r="K1257" s="70" t="s">
        <v>2272</v>
      </c>
      <c r="L1257" s="11">
        <v>2005</v>
      </c>
      <c r="M1257" s="11">
        <v>2005</v>
      </c>
      <c r="N1257" s="77" t="s">
        <v>2272</v>
      </c>
      <c r="O1257" s="19" t="s">
        <v>66</v>
      </c>
      <c r="P1257" s="19" t="s">
        <v>5181</v>
      </c>
      <c r="Q1257" s="198" t="s">
        <v>4658</v>
      </c>
    </row>
    <row r="1258" spans="1:17" ht="32" customHeight="1">
      <c r="A1258" s="207">
        <v>320</v>
      </c>
      <c r="B1258" s="37" t="s">
        <v>8026</v>
      </c>
      <c r="C1258" s="19" t="s">
        <v>8027</v>
      </c>
      <c r="D1258" s="198" t="s">
        <v>2393</v>
      </c>
      <c r="E1258" s="198" t="s">
        <v>2631</v>
      </c>
      <c r="F1258" s="11" t="s">
        <v>2272</v>
      </c>
      <c r="G1258" s="198" t="s">
        <v>8028</v>
      </c>
      <c r="H1258" s="198" t="s">
        <v>4107</v>
      </c>
      <c r="I1258" s="21">
        <v>41.500819499999999</v>
      </c>
      <c r="J1258" s="21">
        <v>-99.680902000000003</v>
      </c>
      <c r="K1258" s="70" t="s">
        <v>2272</v>
      </c>
      <c r="L1258" s="198">
        <v>2013</v>
      </c>
      <c r="M1258" s="198">
        <v>2013</v>
      </c>
      <c r="N1258" s="77" t="s">
        <v>2272</v>
      </c>
      <c r="O1258" s="19" t="s">
        <v>66</v>
      </c>
      <c r="P1258" s="19" t="s">
        <v>5181</v>
      </c>
      <c r="Q1258" s="198"/>
    </row>
    <row r="1259" spans="1:17" ht="35.5" customHeight="1">
      <c r="A1259" s="207">
        <v>320</v>
      </c>
      <c r="B1259" s="37" t="s">
        <v>8026</v>
      </c>
      <c r="C1259" s="19" t="s">
        <v>8029</v>
      </c>
      <c r="D1259" s="198" t="s">
        <v>2393</v>
      </c>
      <c r="E1259" s="198" t="s">
        <v>2631</v>
      </c>
      <c r="F1259" s="11" t="s">
        <v>2272</v>
      </c>
      <c r="G1259" s="198" t="s">
        <v>8043</v>
      </c>
      <c r="H1259" s="198" t="s">
        <v>4107</v>
      </c>
      <c r="I1259" s="21">
        <v>33.341137000000003</v>
      </c>
      <c r="J1259" s="21">
        <v>-93.667402699999997</v>
      </c>
      <c r="K1259" s="70" t="s">
        <v>2272</v>
      </c>
      <c r="L1259" s="198">
        <v>2013</v>
      </c>
      <c r="M1259" s="198">
        <v>2013</v>
      </c>
      <c r="N1259" s="77" t="s">
        <v>2272</v>
      </c>
      <c r="O1259" s="19" t="s">
        <v>66</v>
      </c>
      <c r="P1259" s="19" t="s">
        <v>5181</v>
      </c>
      <c r="Q1259" s="198"/>
    </row>
    <row r="1260" spans="1:17" ht="32" customHeight="1">
      <c r="A1260" s="207">
        <v>321</v>
      </c>
      <c r="B1260" s="37" t="s">
        <v>8044</v>
      </c>
      <c r="C1260" s="19" t="s">
        <v>8045</v>
      </c>
      <c r="D1260" s="198" t="s">
        <v>2393</v>
      </c>
      <c r="E1260" s="198" t="s">
        <v>2394</v>
      </c>
      <c r="F1260" s="198" t="s">
        <v>2707</v>
      </c>
      <c r="G1260" s="198" t="s">
        <v>164</v>
      </c>
      <c r="H1260" s="198" t="s">
        <v>119</v>
      </c>
      <c r="I1260" s="21">
        <v>-2.8860166</v>
      </c>
      <c r="J1260" s="21">
        <v>-47.151278699999999</v>
      </c>
      <c r="K1260" s="70">
        <f>'Land use'!I1260*30/100</f>
        <v>1870.3422053231939</v>
      </c>
      <c r="L1260" s="198">
        <v>1965</v>
      </c>
      <c r="M1260" s="198">
        <v>1985</v>
      </c>
      <c r="N1260" s="77" t="s">
        <v>2272</v>
      </c>
      <c r="O1260" s="19" t="s">
        <v>66</v>
      </c>
      <c r="P1260" s="19" t="s">
        <v>5181</v>
      </c>
      <c r="Q1260" s="198"/>
    </row>
    <row r="1261" spans="1:17" ht="30.5" customHeight="1">
      <c r="A1261" s="207">
        <v>322</v>
      </c>
      <c r="B1261" s="37" t="s">
        <v>8051</v>
      </c>
      <c r="C1261" s="19" t="s">
        <v>8052</v>
      </c>
      <c r="D1261" s="198" t="s">
        <v>2393</v>
      </c>
      <c r="E1261" s="198" t="s">
        <v>2394</v>
      </c>
      <c r="F1261" s="11" t="s">
        <v>2272</v>
      </c>
      <c r="G1261" s="11" t="s">
        <v>2272</v>
      </c>
      <c r="H1261" s="198" t="s">
        <v>4107</v>
      </c>
      <c r="I1261" s="21">
        <v>37.6</v>
      </c>
      <c r="J1261" s="21">
        <v>-95.665000000000006</v>
      </c>
      <c r="K1261" s="70" t="s">
        <v>2272</v>
      </c>
      <c r="L1261" s="198">
        <v>2003</v>
      </c>
      <c r="M1261" s="198">
        <v>2003</v>
      </c>
      <c r="N1261" s="77" t="s">
        <v>2272</v>
      </c>
      <c r="O1261" s="19" t="s">
        <v>66</v>
      </c>
      <c r="P1261" s="19" t="s">
        <v>5181</v>
      </c>
      <c r="Q1261" s="198" t="s">
        <v>8053</v>
      </c>
    </row>
    <row r="1262" spans="1:17" ht="34.5" customHeight="1">
      <c r="A1262" s="207">
        <v>323</v>
      </c>
      <c r="B1262" s="37" t="s">
        <v>8060</v>
      </c>
      <c r="C1262" s="19" t="s">
        <v>8058</v>
      </c>
      <c r="D1262" s="198" t="s">
        <v>2393</v>
      </c>
      <c r="E1262" s="198" t="s">
        <v>2394</v>
      </c>
      <c r="F1262" s="11" t="s">
        <v>2272</v>
      </c>
      <c r="G1262" s="11" t="s">
        <v>8059</v>
      </c>
      <c r="H1262" s="11" t="s">
        <v>926</v>
      </c>
      <c r="I1262" s="21">
        <v>-1.7226115</v>
      </c>
      <c r="J1262" s="21">
        <v>-78.578197799999998</v>
      </c>
      <c r="K1262" s="70" t="s">
        <v>2272</v>
      </c>
      <c r="L1262" s="198">
        <v>2011</v>
      </c>
      <c r="M1262" s="198">
        <v>2011</v>
      </c>
      <c r="N1262" s="77" t="s">
        <v>2272</v>
      </c>
      <c r="O1262" s="19" t="s">
        <v>66</v>
      </c>
      <c r="P1262" s="19" t="s">
        <v>5181</v>
      </c>
      <c r="Q1262" s="198"/>
    </row>
    <row r="1263" spans="1:17" ht="36.5" customHeight="1">
      <c r="A1263" s="207">
        <v>324</v>
      </c>
      <c r="B1263" s="37" t="s">
        <v>8064</v>
      </c>
      <c r="C1263" s="19" t="s">
        <v>8065</v>
      </c>
      <c r="D1263" s="198" t="s">
        <v>2393</v>
      </c>
      <c r="E1263" s="198" t="s">
        <v>2417</v>
      </c>
      <c r="F1263" s="11" t="s">
        <v>2272</v>
      </c>
      <c r="G1263" s="198" t="s">
        <v>7091</v>
      </c>
      <c r="H1263" s="198" t="s">
        <v>6109</v>
      </c>
      <c r="I1263" s="21">
        <v>42.986513199999997</v>
      </c>
      <c r="J1263" s="21">
        <v>-0.81194359999999999</v>
      </c>
      <c r="K1263" s="21">
        <v>125</v>
      </c>
      <c r="L1263" s="198">
        <v>1965</v>
      </c>
      <c r="M1263" s="198">
        <v>2010</v>
      </c>
      <c r="N1263" s="77" t="s">
        <v>2272</v>
      </c>
      <c r="O1263" s="19" t="s">
        <v>66</v>
      </c>
      <c r="P1263" s="19" t="s">
        <v>5181</v>
      </c>
      <c r="Q1263" s="198"/>
    </row>
    <row r="1264" spans="1:17" s="197" customFormat="1" ht="36.5" customHeight="1">
      <c r="A1264" s="207">
        <v>325</v>
      </c>
      <c r="B1264" s="37" t="s">
        <v>8070</v>
      </c>
      <c r="C1264" s="19" t="s">
        <v>8071</v>
      </c>
      <c r="D1264" s="198" t="s">
        <v>2393</v>
      </c>
      <c r="E1264" s="198" t="s">
        <v>2394</v>
      </c>
      <c r="F1264" s="11" t="s">
        <v>8073</v>
      </c>
      <c r="G1264" s="11" t="s">
        <v>8072</v>
      </c>
      <c r="H1264" s="11" t="s">
        <v>5218</v>
      </c>
      <c r="I1264" s="21">
        <v>28.250747499999999</v>
      </c>
      <c r="J1264" s="21">
        <v>84.658917200000005</v>
      </c>
      <c r="K1264" s="21" t="s">
        <v>2272</v>
      </c>
      <c r="L1264" s="11">
        <v>1970</v>
      </c>
      <c r="M1264" s="11">
        <v>1970</v>
      </c>
      <c r="N1264" s="77" t="s">
        <v>2272</v>
      </c>
      <c r="O1264" s="19" t="s">
        <v>66</v>
      </c>
      <c r="P1264" s="19" t="s">
        <v>5181</v>
      </c>
      <c r="Q1264" s="198" t="s">
        <v>8075</v>
      </c>
    </row>
    <row r="1265" spans="1:17" ht="38" customHeight="1">
      <c r="A1265" s="207">
        <v>325</v>
      </c>
      <c r="B1265" s="37" t="s">
        <v>8070</v>
      </c>
      <c r="C1265" s="19" t="s">
        <v>8074</v>
      </c>
      <c r="D1265" s="198" t="s">
        <v>2393</v>
      </c>
      <c r="E1265" s="198" t="s">
        <v>2394</v>
      </c>
      <c r="F1265" s="11" t="s">
        <v>8073</v>
      </c>
      <c r="G1265" s="11" t="s">
        <v>8072</v>
      </c>
      <c r="H1265" s="11" t="s">
        <v>5218</v>
      </c>
      <c r="I1265" s="21">
        <v>28.250747499999999</v>
      </c>
      <c r="J1265" s="21">
        <v>84.658917200000005</v>
      </c>
      <c r="K1265" s="21" t="s">
        <v>2272</v>
      </c>
      <c r="L1265" s="11">
        <v>2009</v>
      </c>
      <c r="M1265" s="11">
        <v>2009</v>
      </c>
      <c r="N1265" s="77" t="s">
        <v>2272</v>
      </c>
      <c r="O1265" s="19" t="s">
        <v>66</v>
      </c>
      <c r="P1265" s="19" t="s">
        <v>5181</v>
      </c>
      <c r="Q1265" s="198"/>
    </row>
    <row r="1266" spans="1:17" ht="40.5" customHeight="1">
      <c r="A1266" s="207">
        <v>326</v>
      </c>
      <c r="B1266" s="37" t="s">
        <v>8086</v>
      </c>
      <c r="C1266" s="19" t="s">
        <v>8084</v>
      </c>
      <c r="D1266" s="198" t="s">
        <v>2393</v>
      </c>
      <c r="E1266" s="198" t="s">
        <v>2394</v>
      </c>
      <c r="F1266" s="11" t="s">
        <v>8087</v>
      </c>
      <c r="G1266" s="11" t="s">
        <v>2272</v>
      </c>
      <c r="H1266" s="11" t="s">
        <v>8088</v>
      </c>
      <c r="I1266" s="21">
        <f>46+37/60</f>
        <v>46.616666666666667</v>
      </c>
      <c r="J1266" s="21">
        <f>25+57/60</f>
        <v>25.95</v>
      </c>
      <c r="K1266" s="21">
        <v>60</v>
      </c>
      <c r="L1266" s="11">
        <v>2010</v>
      </c>
      <c r="M1266" s="11">
        <v>2010</v>
      </c>
      <c r="N1266" s="77" t="s">
        <v>2272</v>
      </c>
      <c r="O1266" s="19" t="s">
        <v>66</v>
      </c>
      <c r="P1266" s="19" t="s">
        <v>5181</v>
      </c>
      <c r="Q1266" s="4" t="s">
        <v>8089</v>
      </c>
    </row>
    <row r="1267" spans="1:17" ht="36" customHeight="1">
      <c r="A1267" s="207">
        <v>327</v>
      </c>
      <c r="B1267" s="37" t="s">
        <v>8095</v>
      </c>
      <c r="C1267" s="19" t="s">
        <v>8093</v>
      </c>
      <c r="D1267" s="198" t="s">
        <v>2393</v>
      </c>
      <c r="E1267" s="198" t="s">
        <v>2394</v>
      </c>
      <c r="F1267" s="198" t="s">
        <v>8094</v>
      </c>
      <c r="G1267" s="11" t="s">
        <v>2272</v>
      </c>
      <c r="H1267" s="198" t="s">
        <v>4937</v>
      </c>
      <c r="I1267" s="21">
        <f>45+13/60</f>
        <v>45.216666666666669</v>
      </c>
      <c r="J1267" s="21">
        <f>7+41/60</f>
        <v>7.6833333333333336</v>
      </c>
      <c r="K1267" s="21">
        <f>2635/100</f>
        <v>26.35</v>
      </c>
      <c r="L1267" s="198">
        <v>1999</v>
      </c>
      <c r="M1267" s="198">
        <v>2006</v>
      </c>
      <c r="N1267" s="77" t="s">
        <v>2272</v>
      </c>
      <c r="O1267" s="19" t="s">
        <v>66</v>
      </c>
      <c r="P1267" s="19" t="s">
        <v>5181</v>
      </c>
      <c r="Q1267" s="198"/>
    </row>
    <row r="1268" spans="1:17" ht="33" customHeight="1">
      <c r="A1268" s="207">
        <v>328</v>
      </c>
      <c r="B1268" s="37" t="s">
        <v>8103</v>
      </c>
      <c r="C1268" s="19" t="s">
        <v>8104</v>
      </c>
      <c r="D1268" s="198" t="s">
        <v>2393</v>
      </c>
      <c r="E1268" s="198" t="s">
        <v>4842</v>
      </c>
      <c r="F1268" s="4" t="s">
        <v>8105</v>
      </c>
      <c r="G1268" s="11" t="s">
        <v>2272</v>
      </c>
      <c r="H1268" s="198" t="s">
        <v>4937</v>
      </c>
      <c r="I1268" s="21">
        <v>40.335790000000003</v>
      </c>
      <c r="J1268" s="21">
        <v>15.651869</v>
      </c>
      <c r="K1268" s="21">
        <f>71838/100</f>
        <v>718.38</v>
      </c>
      <c r="L1268" s="198">
        <v>2004</v>
      </c>
      <c r="M1268" s="198">
        <v>2004</v>
      </c>
      <c r="N1268" s="77" t="s">
        <v>2272</v>
      </c>
      <c r="O1268" s="19" t="s">
        <v>66</v>
      </c>
      <c r="P1268" s="19" t="s">
        <v>5181</v>
      </c>
      <c r="Q1268" s="4" t="s">
        <v>8110</v>
      </c>
    </row>
    <row r="1269" spans="1:17" ht="33" customHeight="1">
      <c r="A1269" s="207">
        <v>328</v>
      </c>
      <c r="B1269" s="37" t="s">
        <v>8103</v>
      </c>
      <c r="C1269" s="19" t="s">
        <v>8111</v>
      </c>
      <c r="D1269" s="198" t="s">
        <v>2393</v>
      </c>
      <c r="E1269" s="198" t="s">
        <v>4842</v>
      </c>
      <c r="F1269" s="198" t="s">
        <v>8106</v>
      </c>
      <c r="G1269" s="198" t="s">
        <v>8107</v>
      </c>
      <c r="H1269" s="198" t="s">
        <v>4937</v>
      </c>
      <c r="I1269" s="21">
        <v>41.781708100000003</v>
      </c>
      <c r="J1269" s="21">
        <v>15.851642099999999</v>
      </c>
      <c r="K1269" s="21">
        <f>262000/100</f>
        <v>2620</v>
      </c>
      <c r="L1269" s="198">
        <v>2001</v>
      </c>
      <c r="M1269" s="198">
        <v>2001</v>
      </c>
      <c r="N1269" s="77" t="s">
        <v>2272</v>
      </c>
      <c r="O1269" s="19" t="s">
        <v>66</v>
      </c>
      <c r="P1269" s="19" t="s">
        <v>5181</v>
      </c>
      <c r="Q1269" s="4" t="s">
        <v>8110</v>
      </c>
    </row>
    <row r="1270" spans="1:17" ht="33" customHeight="1">
      <c r="A1270" s="207">
        <v>328</v>
      </c>
      <c r="B1270" s="37" t="s">
        <v>8103</v>
      </c>
      <c r="C1270" s="19" t="s">
        <v>8112</v>
      </c>
      <c r="D1270" s="198" t="s">
        <v>2393</v>
      </c>
      <c r="E1270" s="198" t="s">
        <v>4842</v>
      </c>
      <c r="F1270" s="198" t="s">
        <v>8108</v>
      </c>
      <c r="G1270" s="198" t="s">
        <v>7140</v>
      </c>
      <c r="H1270" s="198" t="s">
        <v>4937</v>
      </c>
      <c r="I1270" s="21">
        <v>41.1113772</v>
      </c>
      <c r="J1270" s="21">
        <v>16.882080200000001</v>
      </c>
      <c r="K1270" s="21">
        <f>513831/100</f>
        <v>5138.3100000000004</v>
      </c>
      <c r="L1270" s="198">
        <v>2001</v>
      </c>
      <c r="M1270" s="198">
        <v>2001</v>
      </c>
      <c r="N1270" s="77" t="s">
        <v>2272</v>
      </c>
      <c r="O1270" s="19" t="s">
        <v>66</v>
      </c>
      <c r="P1270" s="19" t="s">
        <v>5181</v>
      </c>
      <c r="Q1270" s="4" t="s">
        <v>8110</v>
      </c>
    </row>
    <row r="1271" spans="1:17" ht="33" customHeight="1">
      <c r="A1271" s="207">
        <v>328</v>
      </c>
      <c r="B1271" s="37" t="s">
        <v>8103</v>
      </c>
      <c r="C1271" s="19" t="s">
        <v>8113</v>
      </c>
      <c r="D1271" s="198" t="s">
        <v>2393</v>
      </c>
      <c r="E1271" s="198" t="s">
        <v>4842</v>
      </c>
      <c r="F1271" s="11" t="s">
        <v>2272</v>
      </c>
      <c r="G1271" s="198" t="s">
        <v>8109</v>
      </c>
      <c r="H1271" s="198" t="s">
        <v>4937</v>
      </c>
      <c r="I1271" s="21">
        <v>40.517362499999997</v>
      </c>
      <c r="J1271" s="21">
        <v>16.1010794</v>
      </c>
      <c r="K1271" s="21">
        <f>999461/100</f>
        <v>9994.61</v>
      </c>
      <c r="L1271" s="198">
        <v>2003</v>
      </c>
      <c r="M1271" s="198">
        <v>2003</v>
      </c>
      <c r="N1271" s="77" t="s">
        <v>2272</v>
      </c>
      <c r="O1271" s="19" t="s">
        <v>66</v>
      </c>
      <c r="P1271" s="19" t="s">
        <v>5181</v>
      </c>
      <c r="Q1271" s="4" t="s">
        <v>8110</v>
      </c>
    </row>
    <row r="1272" spans="1:17" ht="33.5" customHeight="1">
      <c r="A1272" s="207">
        <v>329</v>
      </c>
      <c r="B1272" s="37" t="s">
        <v>8146</v>
      </c>
      <c r="C1272" s="19" t="s">
        <v>8147</v>
      </c>
      <c r="D1272" s="198" t="s">
        <v>2393</v>
      </c>
      <c r="E1272" s="198" t="s">
        <v>2395</v>
      </c>
      <c r="F1272" s="198" t="s">
        <v>5992</v>
      </c>
      <c r="G1272" s="198" t="s">
        <v>8148</v>
      </c>
      <c r="H1272" s="198" t="s">
        <v>3409</v>
      </c>
      <c r="I1272" s="21">
        <v>-23.0248937</v>
      </c>
      <c r="J1272" s="21">
        <v>122.2501329</v>
      </c>
      <c r="K1272" s="77" t="s">
        <v>2272</v>
      </c>
      <c r="L1272" s="198">
        <v>2002</v>
      </c>
      <c r="M1272" s="198">
        <v>2002</v>
      </c>
      <c r="N1272" s="77" t="s">
        <v>2272</v>
      </c>
      <c r="O1272" s="19" t="s">
        <v>66</v>
      </c>
      <c r="P1272" s="19" t="s">
        <v>5181</v>
      </c>
      <c r="Q1272" s="198"/>
    </row>
    <row r="1273" spans="1:17" ht="34.5" customHeight="1">
      <c r="A1273" s="207">
        <v>330</v>
      </c>
      <c r="B1273" s="37" t="s">
        <v>8155</v>
      </c>
      <c r="C1273" s="19" t="s">
        <v>8156</v>
      </c>
      <c r="D1273" s="11" t="s">
        <v>2393</v>
      </c>
      <c r="E1273" s="198" t="s">
        <v>2395</v>
      </c>
      <c r="F1273" s="198" t="s">
        <v>8158</v>
      </c>
      <c r="G1273" s="11" t="s">
        <v>2272</v>
      </c>
      <c r="H1273" s="198" t="s">
        <v>3793</v>
      </c>
      <c r="I1273" s="21">
        <v>10.3746457</v>
      </c>
      <c r="J1273" s="21">
        <v>-7.5191796000000002</v>
      </c>
      <c r="K1273" s="21">
        <v>33670</v>
      </c>
      <c r="L1273" s="198">
        <v>1999</v>
      </c>
      <c r="M1273" s="198">
        <v>2011</v>
      </c>
      <c r="N1273" s="77" t="s">
        <v>2272</v>
      </c>
      <c r="O1273" s="19" t="s">
        <v>66</v>
      </c>
      <c r="P1273" s="19" t="s">
        <v>5181</v>
      </c>
      <c r="Q1273" s="4" t="s">
        <v>8159</v>
      </c>
    </row>
    <row r="1274" spans="1:17" ht="32.5" customHeight="1">
      <c r="A1274" s="207">
        <v>330</v>
      </c>
      <c r="B1274" s="37" t="s">
        <v>8155</v>
      </c>
      <c r="C1274" s="19" t="s">
        <v>8157</v>
      </c>
      <c r="D1274" s="11" t="s">
        <v>2393</v>
      </c>
      <c r="E1274" s="198" t="s">
        <v>2395</v>
      </c>
      <c r="F1274" s="198" t="s">
        <v>8158</v>
      </c>
      <c r="G1274" s="11" t="s">
        <v>2272</v>
      </c>
      <c r="H1274" s="198" t="s">
        <v>1945</v>
      </c>
      <c r="I1274" s="21">
        <v>10.8939013</v>
      </c>
      <c r="J1274" s="21">
        <v>-2.6108250000000002</v>
      </c>
      <c r="K1274" s="21">
        <v>33670</v>
      </c>
      <c r="L1274" s="198">
        <v>2006</v>
      </c>
      <c r="M1274" s="198">
        <v>2007</v>
      </c>
      <c r="N1274" s="77" t="s">
        <v>2272</v>
      </c>
      <c r="O1274" s="19" t="s">
        <v>66</v>
      </c>
      <c r="P1274" s="19" t="s">
        <v>5181</v>
      </c>
      <c r="Q1274" s="4" t="s">
        <v>8159</v>
      </c>
    </row>
    <row r="1275" spans="1:17" ht="35.5" customHeight="1">
      <c r="A1275" s="207">
        <v>331</v>
      </c>
      <c r="B1275" s="37" t="s">
        <v>8179</v>
      </c>
      <c r="C1275" s="19" t="s">
        <v>8180</v>
      </c>
      <c r="D1275" s="11" t="s">
        <v>2393</v>
      </c>
      <c r="E1275" s="198" t="s">
        <v>2415</v>
      </c>
      <c r="F1275" s="198" t="s">
        <v>8181</v>
      </c>
      <c r="G1275" s="198" t="s">
        <v>8182</v>
      </c>
      <c r="H1275" s="11" t="s">
        <v>3409</v>
      </c>
      <c r="I1275" s="21">
        <v>-25.247209999999999</v>
      </c>
      <c r="J1275" s="21">
        <v>153.15142850000001</v>
      </c>
      <c r="K1275" s="21">
        <v>1655</v>
      </c>
      <c r="L1275" s="198">
        <v>1958</v>
      </c>
      <c r="M1275" s="198">
        <v>2016</v>
      </c>
      <c r="N1275" s="77" t="s">
        <v>2272</v>
      </c>
      <c r="O1275" s="19" t="s">
        <v>66</v>
      </c>
      <c r="P1275" s="19" t="s">
        <v>5181</v>
      </c>
      <c r="Q1275" s="198"/>
    </row>
    <row r="1276" spans="1:17" ht="45.5" customHeight="1">
      <c r="A1276" s="207">
        <v>332</v>
      </c>
      <c r="B1276" s="37" t="s">
        <v>8192</v>
      </c>
      <c r="C1276" s="19" t="s">
        <v>8191</v>
      </c>
      <c r="D1276" s="11" t="s">
        <v>2393</v>
      </c>
      <c r="E1276" s="198" t="s">
        <v>4842</v>
      </c>
      <c r="F1276" s="198" t="s">
        <v>8200</v>
      </c>
      <c r="G1276" s="11" t="s">
        <v>5366</v>
      </c>
      <c r="H1276" s="11" t="s">
        <v>5367</v>
      </c>
      <c r="I1276" s="21">
        <v>59.425642099999997</v>
      </c>
      <c r="J1276" s="21">
        <v>-126.1007951</v>
      </c>
      <c r="K1276" s="21">
        <f>40963/10</f>
        <v>4096.3</v>
      </c>
      <c r="L1276" s="11">
        <v>1922</v>
      </c>
      <c r="M1276" s="11">
        <v>2012</v>
      </c>
      <c r="N1276" s="77" t="s">
        <v>2272</v>
      </c>
      <c r="O1276" s="19" t="s">
        <v>66</v>
      </c>
      <c r="P1276" s="19" t="s">
        <v>5181</v>
      </c>
      <c r="Q1276" s="19" t="s">
        <v>8209</v>
      </c>
    </row>
    <row r="1277" spans="1:17" ht="45.5" customHeight="1">
      <c r="A1277" s="207">
        <v>332</v>
      </c>
      <c r="B1277" s="37" t="s">
        <v>8192</v>
      </c>
      <c r="C1277" s="19" t="s">
        <v>8197</v>
      </c>
      <c r="D1277" s="11" t="s">
        <v>2393</v>
      </c>
      <c r="E1277" s="198" t="s">
        <v>4842</v>
      </c>
      <c r="F1277" s="198" t="s">
        <v>8193</v>
      </c>
      <c r="G1277" s="11" t="s">
        <v>5366</v>
      </c>
      <c r="H1277" s="11" t="s">
        <v>5367</v>
      </c>
      <c r="I1277" s="21">
        <v>58.829031299999997</v>
      </c>
      <c r="J1277" s="21">
        <v>-126.9673714</v>
      </c>
      <c r="K1277" s="21">
        <f>12828810</f>
        <v>12828810</v>
      </c>
      <c r="L1277" s="11">
        <v>1922</v>
      </c>
      <c r="M1277" s="11">
        <v>2012</v>
      </c>
      <c r="N1277" s="77" t="s">
        <v>2272</v>
      </c>
      <c r="O1277" s="19" t="s">
        <v>66</v>
      </c>
      <c r="P1277" s="19" t="s">
        <v>5181</v>
      </c>
      <c r="Q1277" s="19" t="s">
        <v>8209</v>
      </c>
    </row>
    <row r="1278" spans="1:17" ht="45.5" customHeight="1">
      <c r="A1278" s="207">
        <v>332</v>
      </c>
      <c r="B1278" s="37" t="s">
        <v>8192</v>
      </c>
      <c r="C1278" s="19" t="s">
        <v>8198</v>
      </c>
      <c r="D1278" s="11" t="s">
        <v>2393</v>
      </c>
      <c r="E1278" s="198" t="s">
        <v>4842</v>
      </c>
      <c r="F1278" s="11" t="s">
        <v>8201</v>
      </c>
      <c r="G1278" s="11" t="s">
        <v>5366</v>
      </c>
      <c r="H1278" s="11" t="s">
        <v>5367</v>
      </c>
      <c r="I1278" s="21">
        <v>59.290074699999998</v>
      </c>
      <c r="J1278" s="21">
        <v>-127.0493494</v>
      </c>
      <c r="K1278" s="21">
        <f>15665/10</f>
        <v>1566.5</v>
      </c>
      <c r="L1278" s="11">
        <v>1922</v>
      </c>
      <c r="M1278" s="11">
        <v>2012</v>
      </c>
      <c r="N1278" s="77" t="s">
        <v>2272</v>
      </c>
      <c r="O1278" s="19" t="s">
        <v>66</v>
      </c>
      <c r="P1278" s="19" t="s">
        <v>5181</v>
      </c>
      <c r="Q1278" s="19" t="s">
        <v>8209</v>
      </c>
    </row>
    <row r="1279" spans="1:17" ht="45.5" customHeight="1">
      <c r="A1279" s="207">
        <v>332</v>
      </c>
      <c r="B1279" s="37" t="s">
        <v>8192</v>
      </c>
      <c r="C1279" s="19" t="s">
        <v>8199</v>
      </c>
      <c r="D1279" s="11" t="s">
        <v>2393</v>
      </c>
      <c r="E1279" s="198" t="s">
        <v>4842</v>
      </c>
      <c r="F1279" s="11" t="s">
        <v>8202</v>
      </c>
      <c r="G1279" s="11" t="s">
        <v>5366</v>
      </c>
      <c r="H1279" s="11" t="s">
        <v>5367</v>
      </c>
      <c r="I1279" s="21">
        <v>58.8477885</v>
      </c>
      <c r="J1279" s="21">
        <v>-125.23172409999999</v>
      </c>
      <c r="K1279" s="21">
        <f>34180/10</f>
        <v>3418</v>
      </c>
      <c r="L1279" s="11">
        <v>1922</v>
      </c>
      <c r="M1279" s="11">
        <v>2012</v>
      </c>
      <c r="N1279" s="77" t="s">
        <v>2272</v>
      </c>
      <c r="O1279" s="19" t="s">
        <v>66</v>
      </c>
      <c r="P1279" s="19" t="s">
        <v>5181</v>
      </c>
      <c r="Q1279" s="19" t="s">
        <v>8209</v>
      </c>
    </row>
    <row r="1280" spans="1:17" ht="45.5" customHeight="1">
      <c r="A1280" s="207">
        <v>332</v>
      </c>
      <c r="B1280" s="37" t="s">
        <v>8192</v>
      </c>
      <c r="C1280" s="19" t="s">
        <v>8206</v>
      </c>
      <c r="D1280" s="11" t="s">
        <v>2393</v>
      </c>
      <c r="E1280" s="198" t="s">
        <v>4842</v>
      </c>
      <c r="F1280" s="11" t="s">
        <v>8203</v>
      </c>
      <c r="G1280" s="11" t="s">
        <v>5366</v>
      </c>
      <c r="H1280" s="11" t="s">
        <v>5367</v>
      </c>
      <c r="I1280" s="21">
        <v>58.80574</v>
      </c>
      <c r="J1280" s="21">
        <v>-122.7109481</v>
      </c>
      <c r="K1280" s="21">
        <f>78188/10</f>
        <v>7818.8</v>
      </c>
      <c r="L1280" s="11">
        <v>1922</v>
      </c>
      <c r="M1280" s="11">
        <v>2012</v>
      </c>
      <c r="N1280" s="77" t="s">
        <v>2272</v>
      </c>
      <c r="O1280" s="19" t="s">
        <v>66</v>
      </c>
      <c r="P1280" s="19" t="s">
        <v>5181</v>
      </c>
      <c r="Q1280" s="19" t="s">
        <v>8209</v>
      </c>
    </row>
    <row r="1281" spans="1:17" ht="45.5" customHeight="1">
      <c r="A1281" s="207">
        <v>332</v>
      </c>
      <c r="B1281" s="37" t="s">
        <v>8192</v>
      </c>
      <c r="C1281" s="19" t="s">
        <v>8207</v>
      </c>
      <c r="D1281" s="11" t="s">
        <v>2393</v>
      </c>
      <c r="E1281" s="198" t="s">
        <v>4842</v>
      </c>
      <c r="F1281" s="11" t="s">
        <v>8204</v>
      </c>
      <c r="G1281" s="11" t="s">
        <v>5366</v>
      </c>
      <c r="H1281" s="11" t="s">
        <v>5367</v>
      </c>
      <c r="I1281" s="21">
        <v>57</v>
      </c>
      <c r="J1281" s="21">
        <v>-123.3677825</v>
      </c>
      <c r="K1281" s="21">
        <f>29473/10</f>
        <v>2947.3</v>
      </c>
      <c r="L1281" s="11">
        <v>1922</v>
      </c>
      <c r="M1281" s="11">
        <v>2012</v>
      </c>
      <c r="N1281" s="77" t="s">
        <v>2272</v>
      </c>
      <c r="O1281" s="19" t="s">
        <v>66</v>
      </c>
      <c r="P1281" s="19" t="s">
        <v>5181</v>
      </c>
      <c r="Q1281" s="19" t="s">
        <v>8209</v>
      </c>
    </row>
    <row r="1282" spans="1:17" ht="45.5" customHeight="1">
      <c r="A1282" s="207">
        <v>332</v>
      </c>
      <c r="B1282" s="37" t="s">
        <v>8192</v>
      </c>
      <c r="C1282" s="19" t="s">
        <v>8208</v>
      </c>
      <c r="D1282" s="11" t="s">
        <v>2393</v>
      </c>
      <c r="E1282" s="198" t="s">
        <v>4842</v>
      </c>
      <c r="F1282" s="11" t="s">
        <v>8205</v>
      </c>
      <c r="G1282" s="11" t="s">
        <v>5366</v>
      </c>
      <c r="H1282" s="11" t="s">
        <v>5367</v>
      </c>
      <c r="I1282" s="21">
        <v>57.5</v>
      </c>
      <c r="J1282" s="21">
        <v>-126.5</v>
      </c>
      <c r="K1282" s="21">
        <f>61049/10</f>
        <v>6104.9</v>
      </c>
      <c r="L1282" s="11">
        <v>1922</v>
      </c>
      <c r="M1282" s="11">
        <v>2012</v>
      </c>
      <c r="N1282" s="77" t="s">
        <v>2272</v>
      </c>
      <c r="O1282" s="19" t="s">
        <v>66</v>
      </c>
      <c r="P1282" s="19" t="s">
        <v>5181</v>
      </c>
      <c r="Q1282" s="19" t="s">
        <v>8209</v>
      </c>
    </row>
    <row r="1283" spans="1:17" ht="44.5" customHeight="1">
      <c r="A1283" s="207">
        <v>333</v>
      </c>
      <c r="B1283" s="37" t="s">
        <v>8190</v>
      </c>
      <c r="C1283" s="19" t="s">
        <v>8225</v>
      </c>
      <c r="D1283" s="11" t="s">
        <v>2393</v>
      </c>
      <c r="E1283" s="198" t="s">
        <v>2417</v>
      </c>
      <c r="F1283" s="11" t="s">
        <v>8193</v>
      </c>
      <c r="G1283" s="11" t="s">
        <v>5366</v>
      </c>
      <c r="H1283" s="11" t="s">
        <v>5367</v>
      </c>
      <c r="I1283" s="21">
        <v>58.8</v>
      </c>
      <c r="J1283" s="21">
        <v>-127.5</v>
      </c>
      <c r="K1283" s="21">
        <f>268059/100</f>
        <v>2680.59</v>
      </c>
      <c r="L1283" s="11">
        <v>2010</v>
      </c>
      <c r="M1283" s="11">
        <v>2012</v>
      </c>
      <c r="N1283" s="77" t="s">
        <v>2272</v>
      </c>
      <c r="O1283" s="19" t="s">
        <v>66</v>
      </c>
      <c r="P1283" s="19" t="s">
        <v>5181</v>
      </c>
      <c r="Q1283" s="198"/>
    </row>
    <row r="1284" spans="1:17" ht="44.5" customHeight="1">
      <c r="A1284" s="207">
        <v>333</v>
      </c>
      <c r="B1284" s="37" t="s">
        <v>8190</v>
      </c>
      <c r="C1284" s="19" t="s">
        <v>8226</v>
      </c>
      <c r="D1284" s="11" t="s">
        <v>2393</v>
      </c>
      <c r="E1284" s="198" t="s">
        <v>2417</v>
      </c>
      <c r="F1284" s="11" t="s">
        <v>8194</v>
      </c>
      <c r="G1284" s="11" t="s">
        <v>5366</v>
      </c>
      <c r="H1284" s="11" t="s">
        <v>5367</v>
      </c>
      <c r="I1284" s="21">
        <v>58.5</v>
      </c>
      <c r="J1284" s="21">
        <v>-124</v>
      </c>
      <c r="K1284" s="21">
        <f>383209/100</f>
        <v>3832.09</v>
      </c>
      <c r="L1284" s="11">
        <v>2010</v>
      </c>
      <c r="M1284" s="11">
        <v>2012</v>
      </c>
      <c r="N1284" s="77" t="s">
        <v>2272</v>
      </c>
      <c r="O1284" s="19" t="s">
        <v>66</v>
      </c>
      <c r="P1284" s="19" t="s">
        <v>5181</v>
      </c>
      <c r="Q1284" s="198"/>
    </row>
    <row r="1285" spans="1:17" ht="44.5" customHeight="1">
      <c r="A1285" s="207">
        <v>333</v>
      </c>
      <c r="B1285" s="37" t="s">
        <v>8190</v>
      </c>
      <c r="C1285" s="19" t="s">
        <v>8227</v>
      </c>
      <c r="D1285" s="11" t="s">
        <v>2393</v>
      </c>
      <c r="E1285" s="198" t="s">
        <v>2417</v>
      </c>
      <c r="F1285" s="11" t="s">
        <v>8195</v>
      </c>
      <c r="G1285" s="11" t="s">
        <v>5366</v>
      </c>
      <c r="H1285" s="11" t="s">
        <v>5367</v>
      </c>
      <c r="I1285" s="21">
        <v>58</v>
      </c>
      <c r="J1285" s="21">
        <v>-123.75</v>
      </c>
      <c r="K1285" s="21">
        <f>383209/100</f>
        <v>3832.09</v>
      </c>
      <c r="L1285" s="11">
        <v>2010</v>
      </c>
      <c r="M1285" s="11">
        <v>2012</v>
      </c>
      <c r="N1285" s="77" t="s">
        <v>2272</v>
      </c>
      <c r="O1285" s="19" t="s">
        <v>66</v>
      </c>
      <c r="P1285" s="19" t="s">
        <v>5181</v>
      </c>
      <c r="Q1285" s="198"/>
    </row>
    <row r="1286" spans="1:17" ht="44.5" customHeight="1">
      <c r="A1286" s="207">
        <v>333</v>
      </c>
      <c r="B1286" s="37" t="s">
        <v>8190</v>
      </c>
      <c r="C1286" s="19" t="s">
        <v>8228</v>
      </c>
      <c r="D1286" s="11" t="s">
        <v>2393</v>
      </c>
      <c r="E1286" s="198" t="s">
        <v>2417</v>
      </c>
      <c r="F1286" s="11" t="s">
        <v>8196</v>
      </c>
      <c r="G1286" s="11" t="s">
        <v>5366</v>
      </c>
      <c r="H1286" s="11" t="s">
        <v>5367</v>
      </c>
      <c r="I1286" s="21">
        <v>57.4</v>
      </c>
      <c r="J1286" s="21">
        <v>-123</v>
      </c>
      <c r="K1286" s="21">
        <f>27636/100</f>
        <v>276.36</v>
      </c>
      <c r="L1286" s="11">
        <v>2010</v>
      </c>
      <c r="M1286" s="11">
        <v>2012</v>
      </c>
      <c r="N1286" s="77" t="s">
        <v>2272</v>
      </c>
      <c r="O1286" s="19" t="s">
        <v>66</v>
      </c>
      <c r="P1286" s="19" t="s">
        <v>5181</v>
      </c>
      <c r="Q1286" s="198"/>
    </row>
    <row r="1287" spans="1:17" ht="51.5" customHeight="1">
      <c r="A1287" s="207">
        <v>334</v>
      </c>
      <c r="B1287" s="37" t="s">
        <v>8242</v>
      </c>
      <c r="C1287" s="19" t="s">
        <v>8243</v>
      </c>
      <c r="D1287" s="11" t="s">
        <v>2393</v>
      </c>
      <c r="E1287" s="198" t="s">
        <v>2394</v>
      </c>
      <c r="F1287" s="60" t="s">
        <v>8244</v>
      </c>
      <c r="G1287" s="11" t="s">
        <v>4600</v>
      </c>
      <c r="H1287" s="11" t="s">
        <v>3409</v>
      </c>
      <c r="I1287" s="21">
        <v>-12.7639627</v>
      </c>
      <c r="J1287" s="21">
        <v>132.2897361</v>
      </c>
      <c r="K1287" s="21" t="s">
        <v>2272</v>
      </c>
      <c r="L1287" s="22">
        <v>2002</v>
      </c>
      <c r="M1287" s="22">
        <v>2003</v>
      </c>
      <c r="N1287" s="77" t="s">
        <v>2272</v>
      </c>
      <c r="O1287" s="19" t="s">
        <v>66</v>
      </c>
      <c r="P1287" s="19" t="s">
        <v>5181</v>
      </c>
      <c r="Q1287" s="4"/>
    </row>
    <row r="1288" spans="1:17" ht="40" customHeight="1">
      <c r="A1288" s="207">
        <v>335</v>
      </c>
      <c r="B1288" s="37" t="s">
        <v>8258</v>
      </c>
      <c r="C1288" s="19" t="s">
        <v>8257</v>
      </c>
      <c r="D1288" s="11" t="s">
        <v>2393</v>
      </c>
      <c r="E1288" s="198" t="s">
        <v>2417</v>
      </c>
      <c r="F1288" s="198" t="s">
        <v>8260</v>
      </c>
      <c r="G1288" s="198" t="s">
        <v>8259</v>
      </c>
      <c r="H1288" s="198" t="s">
        <v>5367</v>
      </c>
      <c r="I1288" s="21">
        <v>51.554279899999997</v>
      </c>
      <c r="J1288" s="21">
        <v>-94.315953699999994</v>
      </c>
      <c r="K1288" s="21">
        <f>1200000/100</f>
        <v>12000</v>
      </c>
      <c r="L1288" s="198">
        <v>2006</v>
      </c>
      <c r="M1288" s="198">
        <v>2008</v>
      </c>
      <c r="N1288" s="77" t="s">
        <v>2272</v>
      </c>
      <c r="O1288" s="19" t="s">
        <v>66</v>
      </c>
      <c r="P1288" s="19" t="s">
        <v>5181</v>
      </c>
      <c r="Q1288" s="198"/>
    </row>
    <row r="1289" spans="1:17" ht="56.5" customHeight="1">
      <c r="A1289" s="207">
        <v>336</v>
      </c>
      <c r="B1289" s="37" t="s">
        <v>8269</v>
      </c>
      <c r="C1289" s="19" t="s">
        <v>8270</v>
      </c>
      <c r="D1289" s="198" t="s">
        <v>2393</v>
      </c>
      <c r="E1289" s="198" t="s">
        <v>2394</v>
      </c>
      <c r="F1289" s="198" t="s">
        <v>2272</v>
      </c>
      <c r="G1289" s="24" t="s">
        <v>5378</v>
      </c>
      <c r="H1289" s="24" t="s">
        <v>3409</v>
      </c>
      <c r="I1289" s="21">
        <v>-32.831150100000002</v>
      </c>
      <c r="J1289" s="21">
        <v>150.05236170000001</v>
      </c>
      <c r="K1289" s="21" t="s">
        <v>2272</v>
      </c>
      <c r="L1289" s="198">
        <v>2011</v>
      </c>
      <c r="M1289" s="198">
        <v>2011</v>
      </c>
      <c r="N1289" s="77" t="s">
        <v>2272</v>
      </c>
      <c r="O1289" s="19" t="s">
        <v>66</v>
      </c>
      <c r="P1289" s="19" t="s">
        <v>5181</v>
      </c>
      <c r="Q1289" s="4" t="s">
        <v>8273</v>
      </c>
    </row>
    <row r="1290" spans="1:17" ht="56.5" customHeight="1">
      <c r="A1290" s="207">
        <v>336</v>
      </c>
      <c r="B1290" s="37" t="s">
        <v>8269</v>
      </c>
      <c r="C1290" s="19" t="s">
        <v>8271</v>
      </c>
      <c r="D1290" s="198" t="s">
        <v>2393</v>
      </c>
      <c r="E1290" s="198" t="s">
        <v>2394</v>
      </c>
      <c r="F1290" s="198" t="s">
        <v>2272</v>
      </c>
      <c r="G1290" s="24" t="s">
        <v>8182</v>
      </c>
      <c r="H1290" s="24" t="s">
        <v>3409</v>
      </c>
      <c r="I1290" s="21">
        <v>-19.1939803</v>
      </c>
      <c r="J1290" s="21">
        <v>145.8228732</v>
      </c>
      <c r="K1290" s="21" t="s">
        <v>2272</v>
      </c>
      <c r="L1290" s="198">
        <v>2011</v>
      </c>
      <c r="M1290" s="198">
        <v>2011</v>
      </c>
      <c r="N1290" s="77" t="s">
        <v>2272</v>
      </c>
      <c r="O1290" s="19" t="s">
        <v>66</v>
      </c>
      <c r="P1290" s="19" t="s">
        <v>5181</v>
      </c>
      <c r="Q1290" s="4" t="s">
        <v>8273</v>
      </c>
    </row>
    <row r="1291" spans="1:17" ht="56.5" customHeight="1">
      <c r="A1291" s="207">
        <v>336</v>
      </c>
      <c r="B1291" s="37" t="s">
        <v>8269</v>
      </c>
      <c r="C1291" s="19" t="s">
        <v>8272</v>
      </c>
      <c r="D1291" s="198" t="s">
        <v>2393</v>
      </c>
      <c r="E1291" s="198" t="s">
        <v>2394</v>
      </c>
      <c r="F1291" s="198" t="s">
        <v>2272</v>
      </c>
      <c r="G1291" s="24" t="s">
        <v>4127</v>
      </c>
      <c r="H1291" s="24" t="s">
        <v>4127</v>
      </c>
      <c r="I1291" s="21">
        <v>37.269174499999998</v>
      </c>
      <c r="J1291" s="21">
        <v>-119.306607</v>
      </c>
      <c r="K1291" s="21" t="s">
        <v>2272</v>
      </c>
      <c r="L1291" s="198">
        <v>2011</v>
      </c>
      <c r="M1291" s="198">
        <v>2011</v>
      </c>
      <c r="N1291" s="77" t="s">
        <v>2272</v>
      </c>
      <c r="O1291" s="19" t="s">
        <v>66</v>
      </c>
      <c r="P1291" s="19" t="s">
        <v>5181</v>
      </c>
      <c r="Q1291" s="4" t="s">
        <v>8273</v>
      </c>
    </row>
    <row r="1292" spans="1:17" ht="39.5" customHeight="1">
      <c r="A1292" s="207">
        <v>337</v>
      </c>
      <c r="B1292" s="37" t="s">
        <v>8284</v>
      </c>
      <c r="C1292" s="19" t="s">
        <v>8285</v>
      </c>
      <c r="D1292" s="198" t="s">
        <v>2393</v>
      </c>
      <c r="E1292" s="198" t="s">
        <v>2394</v>
      </c>
      <c r="F1292" s="198" t="s">
        <v>8286</v>
      </c>
      <c r="G1292" s="198" t="s">
        <v>2272</v>
      </c>
      <c r="H1292" s="198" t="s">
        <v>4107</v>
      </c>
      <c r="I1292" s="21">
        <v>46.175186400000001</v>
      </c>
      <c r="J1292" s="21">
        <v>-116.35077649999999</v>
      </c>
      <c r="K1292" s="21">
        <f>770000/100</f>
        <v>7700</v>
      </c>
      <c r="L1292" s="198">
        <v>2006</v>
      </c>
      <c r="M1292" s="198">
        <v>2006</v>
      </c>
      <c r="N1292" s="77" t="s">
        <v>2272</v>
      </c>
      <c r="O1292" s="19" t="s">
        <v>66</v>
      </c>
      <c r="P1292" s="19" t="s">
        <v>5181</v>
      </c>
      <c r="Q1292" s="198"/>
    </row>
    <row r="1293" spans="1:17" ht="42" customHeight="1">
      <c r="A1293" s="207">
        <v>338</v>
      </c>
      <c r="B1293" s="37" t="s">
        <v>8299</v>
      </c>
      <c r="C1293" s="19" t="s">
        <v>8300</v>
      </c>
      <c r="D1293" s="198" t="s">
        <v>2393</v>
      </c>
      <c r="E1293" s="198" t="s">
        <v>2394</v>
      </c>
      <c r="F1293" s="11" t="s">
        <v>8306</v>
      </c>
      <c r="G1293" s="11" t="s">
        <v>8302</v>
      </c>
      <c r="H1293" s="26" t="s">
        <v>892</v>
      </c>
      <c r="I1293" s="21">
        <v>-9.7395355000000006</v>
      </c>
      <c r="J1293" s="21">
        <v>120.24248</v>
      </c>
      <c r="K1293" s="21">
        <v>33.5</v>
      </c>
      <c r="L1293" s="11">
        <v>2002</v>
      </c>
      <c r="M1293" s="11">
        <v>2004</v>
      </c>
      <c r="N1293" s="70">
        <v>42</v>
      </c>
      <c r="O1293" s="19" t="s">
        <v>66</v>
      </c>
      <c r="P1293" s="19" t="s">
        <v>5181</v>
      </c>
      <c r="Q1293" s="198"/>
    </row>
    <row r="1294" spans="1:17" ht="42" customHeight="1">
      <c r="A1294" s="207">
        <v>338</v>
      </c>
      <c r="B1294" s="37" t="s">
        <v>8299</v>
      </c>
      <c r="C1294" s="19" t="s">
        <v>8301</v>
      </c>
      <c r="D1294" s="198" t="s">
        <v>2393</v>
      </c>
      <c r="E1294" s="198" t="s">
        <v>2394</v>
      </c>
      <c r="F1294" s="11" t="s">
        <v>8307</v>
      </c>
      <c r="G1294" s="11" t="s">
        <v>8302</v>
      </c>
      <c r="H1294" s="26" t="s">
        <v>892</v>
      </c>
      <c r="I1294" s="21">
        <v>-9.7816895000000006</v>
      </c>
      <c r="J1294" s="21">
        <v>120.2661885</v>
      </c>
      <c r="K1294" s="21">
        <v>53</v>
      </c>
      <c r="L1294" s="11">
        <v>2002</v>
      </c>
      <c r="M1294" s="11">
        <v>2004</v>
      </c>
      <c r="N1294" s="70">
        <v>10</v>
      </c>
      <c r="O1294" s="19" t="s">
        <v>66</v>
      </c>
      <c r="P1294" s="19" t="s">
        <v>5181</v>
      </c>
      <c r="Q1294" s="198"/>
    </row>
    <row r="1295" spans="1:17" ht="42" customHeight="1">
      <c r="A1295" s="207">
        <v>338</v>
      </c>
      <c r="B1295" s="37" t="s">
        <v>8299</v>
      </c>
      <c r="C1295" s="19" t="s">
        <v>8304</v>
      </c>
      <c r="D1295" s="198" t="s">
        <v>2393</v>
      </c>
      <c r="E1295" s="198" t="s">
        <v>2394</v>
      </c>
      <c r="F1295" s="11" t="s">
        <v>8308</v>
      </c>
      <c r="G1295" s="11" t="s">
        <v>8303</v>
      </c>
      <c r="H1295" s="26" t="s">
        <v>892</v>
      </c>
      <c r="I1295" s="21">
        <v>-8.6796255000000002</v>
      </c>
      <c r="J1295" s="21">
        <v>121.19968160000001</v>
      </c>
      <c r="K1295" s="21">
        <v>17.2</v>
      </c>
      <c r="L1295" s="11">
        <v>2002</v>
      </c>
      <c r="M1295" s="11">
        <v>2004</v>
      </c>
      <c r="N1295" s="70">
        <v>46</v>
      </c>
      <c r="O1295" s="19" t="s">
        <v>66</v>
      </c>
      <c r="P1295" s="19" t="s">
        <v>5181</v>
      </c>
      <c r="Q1295" s="198"/>
    </row>
    <row r="1296" spans="1:17" ht="42" customHeight="1">
      <c r="A1296" s="207">
        <v>338</v>
      </c>
      <c r="B1296" s="37" t="s">
        <v>8299</v>
      </c>
      <c r="C1296" s="19" t="s">
        <v>8305</v>
      </c>
      <c r="D1296" s="198" t="s">
        <v>2393</v>
      </c>
      <c r="E1296" s="198" t="s">
        <v>2394</v>
      </c>
      <c r="F1296" s="11" t="s">
        <v>8309</v>
      </c>
      <c r="G1296" s="11" t="s">
        <v>8303</v>
      </c>
      <c r="H1296" s="26" t="s">
        <v>892</v>
      </c>
      <c r="I1296" s="21">
        <v>-8.7653958000000003</v>
      </c>
      <c r="J1296" s="21">
        <v>121.27408130000001</v>
      </c>
      <c r="K1296" s="21">
        <v>15</v>
      </c>
      <c r="L1296" s="11">
        <v>2002</v>
      </c>
      <c r="M1296" s="11">
        <v>2004</v>
      </c>
      <c r="N1296" s="70">
        <v>60</v>
      </c>
      <c r="O1296" s="19" t="s">
        <v>66</v>
      </c>
      <c r="P1296" s="19" t="s">
        <v>5181</v>
      </c>
      <c r="Q1296" s="198"/>
    </row>
    <row r="1297" spans="1:17" ht="41" customHeight="1">
      <c r="A1297" s="207">
        <v>338</v>
      </c>
      <c r="B1297" s="37" t="s">
        <v>8340</v>
      </c>
      <c r="C1297" s="19" t="s">
        <v>8342</v>
      </c>
      <c r="D1297" s="198" t="s">
        <v>2393</v>
      </c>
      <c r="E1297" s="198" t="s">
        <v>2395</v>
      </c>
      <c r="F1297" s="198" t="s">
        <v>2272</v>
      </c>
      <c r="G1297" s="11" t="s">
        <v>8302</v>
      </c>
      <c r="H1297" s="26" t="s">
        <v>892</v>
      </c>
      <c r="I1297" s="21">
        <f>AVERAGE(I1293:I1294)</f>
        <v>-9.7606125000000006</v>
      </c>
      <c r="J1297" s="21">
        <f>AVERAGE(J1293:J1294)</f>
        <v>120.25433425</v>
      </c>
      <c r="K1297" s="21">
        <f>SUM(K1293:K1294)</f>
        <v>86.5</v>
      </c>
      <c r="L1297" s="198">
        <v>2003</v>
      </c>
      <c r="M1297" s="198">
        <v>2004</v>
      </c>
      <c r="N1297" s="21">
        <f>AVERAGE(N1293*K1293, N1294*K1294)/SUM(K1293:K1294)</f>
        <v>11.196531791907514</v>
      </c>
      <c r="O1297" s="19" t="s">
        <v>66</v>
      </c>
      <c r="P1297" s="19" t="s">
        <v>5181</v>
      </c>
      <c r="Q1297" s="198" t="s">
        <v>8344</v>
      </c>
    </row>
    <row r="1298" spans="1:17" ht="34.5" customHeight="1">
      <c r="A1298" s="207">
        <v>338</v>
      </c>
      <c r="B1298" s="37" t="s">
        <v>8340</v>
      </c>
      <c r="C1298" s="19" t="s">
        <v>8343</v>
      </c>
      <c r="D1298" s="198" t="s">
        <v>2393</v>
      </c>
      <c r="E1298" s="198" t="s">
        <v>2395</v>
      </c>
      <c r="F1298" s="198" t="s">
        <v>2272</v>
      </c>
      <c r="G1298" s="11" t="s">
        <v>8303</v>
      </c>
      <c r="H1298" s="26" t="s">
        <v>892</v>
      </c>
      <c r="I1298" s="21">
        <f>AVERAGE(I1295:I1296)</f>
        <v>-8.7225106500000003</v>
      </c>
      <c r="J1298" s="21">
        <f>AVERAGE(J1295:J1296)</f>
        <v>121.23688145</v>
      </c>
      <c r="K1298" s="21">
        <f>SUM(K1295:K1296)</f>
        <v>32.200000000000003</v>
      </c>
      <c r="L1298" s="198">
        <v>2003</v>
      </c>
      <c r="M1298" s="198">
        <v>2004</v>
      </c>
      <c r="N1298" s="21">
        <f>AVERAGE(N1295*K1295, N1296*K1296)/SUM(K1295:K1296)</f>
        <v>26.260869565217387</v>
      </c>
      <c r="O1298" s="19" t="s">
        <v>66</v>
      </c>
      <c r="P1298" s="19" t="s">
        <v>5181</v>
      </c>
      <c r="Q1298" s="198" t="s">
        <v>8345</v>
      </c>
    </row>
    <row r="1299" spans="1:17" ht="48" customHeight="1">
      <c r="A1299" s="207">
        <v>339</v>
      </c>
      <c r="B1299" s="38" t="s">
        <v>8369</v>
      </c>
      <c r="C1299" s="19" t="s">
        <v>8341</v>
      </c>
      <c r="D1299" s="198" t="s">
        <v>2628</v>
      </c>
      <c r="E1299" s="198" t="s">
        <v>2394</v>
      </c>
      <c r="F1299" s="198" t="s">
        <v>2272</v>
      </c>
      <c r="G1299" s="11" t="s">
        <v>85</v>
      </c>
      <c r="H1299" s="26" t="s">
        <v>86</v>
      </c>
      <c r="I1299" s="21">
        <v>31.018273900000001</v>
      </c>
      <c r="J1299" s="21">
        <v>75.401169100000004</v>
      </c>
      <c r="K1299" s="21">
        <v>50362</v>
      </c>
      <c r="L1299" s="11">
        <v>2003</v>
      </c>
      <c r="M1299" s="11">
        <v>2003</v>
      </c>
      <c r="N1299" s="198" t="s">
        <v>2272</v>
      </c>
      <c r="O1299" s="19" t="s">
        <v>66</v>
      </c>
      <c r="P1299" s="19" t="s">
        <v>5181</v>
      </c>
      <c r="Q1299" s="198" t="s">
        <v>8371</v>
      </c>
    </row>
    <row r="1300" spans="1:17" ht="39" customHeight="1">
      <c r="A1300" s="207">
        <v>339</v>
      </c>
      <c r="B1300" s="38" t="s">
        <v>8369</v>
      </c>
      <c r="C1300" s="19" t="s">
        <v>8370</v>
      </c>
      <c r="D1300" s="198" t="s">
        <v>2628</v>
      </c>
      <c r="E1300" s="198" t="s">
        <v>2394</v>
      </c>
      <c r="F1300" s="198" t="s">
        <v>2272</v>
      </c>
      <c r="G1300" s="11" t="s">
        <v>88</v>
      </c>
      <c r="H1300" s="26" t="s">
        <v>86</v>
      </c>
      <c r="I1300" s="21">
        <v>29.282928999999999</v>
      </c>
      <c r="J1300" s="21">
        <v>76.026532000000003</v>
      </c>
      <c r="K1300" s="21">
        <v>44212</v>
      </c>
      <c r="L1300" s="11">
        <v>2003</v>
      </c>
      <c r="M1300" s="11">
        <v>2003</v>
      </c>
      <c r="N1300" s="198" t="s">
        <v>2272</v>
      </c>
      <c r="O1300" s="19" t="s">
        <v>66</v>
      </c>
      <c r="P1300" s="19" t="s">
        <v>5181</v>
      </c>
      <c r="Q1300" s="198" t="s">
        <v>8371</v>
      </c>
    </row>
    <row r="1301" spans="1:17" ht="33.5" customHeight="1">
      <c r="A1301" s="207">
        <v>339</v>
      </c>
      <c r="B1301" s="38" t="s">
        <v>8369</v>
      </c>
      <c r="C1301" s="19" t="s">
        <v>8376</v>
      </c>
      <c r="D1301" s="198" t="s">
        <v>2628</v>
      </c>
      <c r="E1301" s="198" t="s">
        <v>2394</v>
      </c>
      <c r="F1301" s="198" t="s">
        <v>2272</v>
      </c>
      <c r="G1301" s="11" t="s">
        <v>6270</v>
      </c>
      <c r="H1301" s="26" t="s">
        <v>86</v>
      </c>
      <c r="I1301" s="21">
        <v>27.141237</v>
      </c>
      <c r="J1301" s="21">
        <v>80.883381900000003</v>
      </c>
      <c r="K1301" s="21">
        <v>243286</v>
      </c>
      <c r="L1301" s="11">
        <v>2003</v>
      </c>
      <c r="M1301" s="11">
        <v>2003</v>
      </c>
      <c r="N1301" s="198" t="s">
        <v>2272</v>
      </c>
      <c r="O1301" s="19" t="s">
        <v>66</v>
      </c>
      <c r="P1301" s="19" t="s">
        <v>5181</v>
      </c>
      <c r="Q1301" s="198" t="s">
        <v>8378</v>
      </c>
    </row>
    <row r="1302" spans="1:17" ht="42.5" customHeight="1">
      <c r="A1302" s="207">
        <v>340</v>
      </c>
      <c r="B1302" s="37" t="s">
        <v>8401</v>
      </c>
      <c r="C1302" s="19" t="s">
        <v>8402</v>
      </c>
      <c r="D1302" s="198" t="s">
        <v>2393</v>
      </c>
      <c r="E1302" s="198" t="s">
        <v>2631</v>
      </c>
      <c r="F1302" s="198" t="s">
        <v>2272</v>
      </c>
      <c r="G1302" s="198" t="s">
        <v>2272</v>
      </c>
      <c r="H1302" s="26" t="s">
        <v>8403</v>
      </c>
      <c r="I1302" s="21">
        <v>52.5</v>
      </c>
      <c r="J1302" s="21">
        <v>-1</v>
      </c>
      <c r="K1302" s="21">
        <v>242495</v>
      </c>
      <c r="L1302" s="11">
        <v>1980</v>
      </c>
      <c r="M1302" s="11">
        <v>1995</v>
      </c>
      <c r="N1302" s="198" t="s">
        <v>2272</v>
      </c>
      <c r="O1302" s="19" t="s">
        <v>66</v>
      </c>
      <c r="P1302" s="19" t="s">
        <v>5181</v>
      </c>
      <c r="Q1302" s="198"/>
    </row>
    <row r="1303" spans="1:17" ht="40.5" customHeight="1">
      <c r="A1303" s="207">
        <v>340</v>
      </c>
      <c r="B1303" s="37" t="s">
        <v>8401</v>
      </c>
      <c r="C1303" s="19" t="s">
        <v>8407</v>
      </c>
      <c r="D1303" s="198" t="s">
        <v>2393</v>
      </c>
      <c r="E1303" s="198" t="s">
        <v>2631</v>
      </c>
      <c r="F1303" s="198" t="s">
        <v>8413</v>
      </c>
      <c r="G1303" s="198" t="s">
        <v>8412</v>
      </c>
      <c r="H1303" s="26" t="s">
        <v>5367</v>
      </c>
      <c r="I1303" s="21">
        <v>50.247115000000001</v>
      </c>
      <c r="J1303" s="21">
        <v>-98.555193700000004</v>
      </c>
      <c r="K1303" s="21" t="s">
        <v>2272</v>
      </c>
      <c r="L1303" s="11">
        <v>1992</v>
      </c>
      <c r="M1303" s="11">
        <v>1992</v>
      </c>
      <c r="N1303" s="198" t="s">
        <v>2272</v>
      </c>
      <c r="O1303" s="19" t="s">
        <v>66</v>
      </c>
      <c r="P1303" s="19" t="s">
        <v>5181</v>
      </c>
      <c r="Q1303" s="198"/>
    </row>
    <row r="1304" spans="1:17" ht="44.5" customHeight="1">
      <c r="A1304" s="207">
        <v>340</v>
      </c>
      <c r="B1304" s="38" t="s">
        <v>8410</v>
      </c>
      <c r="C1304" s="19" t="s">
        <v>8411</v>
      </c>
      <c r="D1304" s="198" t="s">
        <v>2628</v>
      </c>
      <c r="E1304" s="198" t="s">
        <v>2417</v>
      </c>
      <c r="F1304" s="198" t="s">
        <v>2272</v>
      </c>
      <c r="G1304" s="198" t="s">
        <v>4127</v>
      </c>
      <c r="H1304" s="26" t="s">
        <v>4107</v>
      </c>
      <c r="I1304" s="21">
        <v>52.5</v>
      </c>
      <c r="J1304" s="21">
        <v>-1</v>
      </c>
      <c r="K1304" s="21">
        <v>432970</v>
      </c>
      <c r="L1304" s="11">
        <v>1980</v>
      </c>
      <c r="M1304" s="11">
        <v>1998</v>
      </c>
      <c r="N1304" s="198" t="s">
        <v>2272</v>
      </c>
      <c r="O1304" s="19" t="s">
        <v>66</v>
      </c>
      <c r="P1304" s="19" t="s">
        <v>5181</v>
      </c>
      <c r="Q1304" s="198"/>
    </row>
    <row r="1305" spans="1:17" ht="36.5" customHeight="1">
      <c r="A1305" s="207">
        <v>340</v>
      </c>
      <c r="B1305" s="37" t="s">
        <v>8401</v>
      </c>
      <c r="C1305" s="19" t="s">
        <v>8420</v>
      </c>
      <c r="D1305" s="198" t="s">
        <v>2393</v>
      </c>
      <c r="E1305" s="198" t="s">
        <v>2631</v>
      </c>
      <c r="F1305" s="198" t="s">
        <v>2272</v>
      </c>
      <c r="G1305" s="198" t="s">
        <v>2272</v>
      </c>
      <c r="H1305" s="26" t="s">
        <v>4107</v>
      </c>
      <c r="I1305" s="21">
        <v>44.8743202</v>
      </c>
      <c r="J1305" s="21">
        <v>-97.972643399999995</v>
      </c>
      <c r="K1305" s="21" t="s">
        <v>2272</v>
      </c>
      <c r="L1305" s="11">
        <v>1985</v>
      </c>
      <c r="M1305" s="11">
        <v>1990</v>
      </c>
      <c r="N1305" s="198" t="s">
        <v>2272</v>
      </c>
      <c r="O1305" s="19" t="s">
        <v>66</v>
      </c>
      <c r="P1305" s="19" t="s">
        <v>5181</v>
      </c>
      <c r="Q1305" s="4" t="s">
        <v>8421</v>
      </c>
    </row>
    <row r="1306" spans="1:17" ht="36.5" customHeight="1">
      <c r="A1306" s="207">
        <v>341</v>
      </c>
      <c r="B1306" s="37" t="s">
        <v>8424</v>
      </c>
      <c r="C1306" s="19" t="s">
        <v>8425</v>
      </c>
      <c r="D1306" s="198" t="s">
        <v>2628</v>
      </c>
      <c r="E1306" s="198" t="s">
        <v>4842</v>
      </c>
      <c r="F1306" s="198" t="s">
        <v>2272</v>
      </c>
      <c r="G1306" s="198" t="s">
        <v>2272</v>
      </c>
      <c r="H1306" s="198" t="s">
        <v>624</v>
      </c>
      <c r="I1306" s="21">
        <v>14.25</v>
      </c>
      <c r="J1306" s="21">
        <v>121.5</v>
      </c>
      <c r="K1306" s="21">
        <v>300000</v>
      </c>
      <c r="L1306" s="198">
        <v>1998</v>
      </c>
      <c r="M1306" s="198">
        <v>1998</v>
      </c>
      <c r="N1306" s="198" t="s">
        <v>2272</v>
      </c>
      <c r="O1306" s="19" t="s">
        <v>66</v>
      </c>
      <c r="P1306" s="19" t="s">
        <v>5181</v>
      </c>
      <c r="Q1306" s="198"/>
    </row>
    <row r="1307" spans="1:17" ht="33.5" customHeight="1">
      <c r="A1307" s="207">
        <v>341</v>
      </c>
      <c r="B1307" s="37" t="s">
        <v>8424</v>
      </c>
      <c r="C1307" s="198" t="s">
        <v>8437</v>
      </c>
      <c r="D1307" s="198" t="s">
        <v>2628</v>
      </c>
      <c r="E1307" s="198" t="s">
        <v>4842</v>
      </c>
      <c r="F1307" s="198" t="s">
        <v>8438</v>
      </c>
      <c r="G1307" s="198" t="s">
        <v>8439</v>
      </c>
      <c r="H1307" s="198" t="s">
        <v>624</v>
      </c>
      <c r="I1307" s="21">
        <v>11.054675400000001</v>
      </c>
      <c r="J1307" s="21">
        <v>122.8504944</v>
      </c>
      <c r="K1307" s="21">
        <v>185.8</v>
      </c>
      <c r="L1307" s="198">
        <v>1998</v>
      </c>
      <c r="M1307" s="198">
        <v>1998</v>
      </c>
      <c r="N1307" s="198" t="s">
        <v>2272</v>
      </c>
      <c r="O1307" s="19" t="s">
        <v>66</v>
      </c>
      <c r="P1307" s="19" t="s">
        <v>5181</v>
      </c>
      <c r="Q1307" s="198"/>
    </row>
    <row r="1308" spans="1:17" ht="37" customHeight="1">
      <c r="A1308" s="207">
        <v>342</v>
      </c>
      <c r="B1308" s="37" t="s">
        <v>8446</v>
      </c>
      <c r="C1308" s="198" t="s">
        <v>8447</v>
      </c>
      <c r="D1308" s="198" t="s">
        <v>2393</v>
      </c>
      <c r="E1308" s="198" t="s">
        <v>2395</v>
      </c>
      <c r="F1308" s="198" t="s">
        <v>8448</v>
      </c>
      <c r="G1308" s="198" t="s">
        <v>2272</v>
      </c>
      <c r="H1308" s="198" t="s">
        <v>624</v>
      </c>
      <c r="I1308" s="21">
        <v>15.4713774</v>
      </c>
      <c r="J1308" s="21">
        <v>120.6300885</v>
      </c>
      <c r="K1308" s="21">
        <f>10785/100</f>
        <v>107.85</v>
      </c>
      <c r="L1308" s="198">
        <v>2016</v>
      </c>
      <c r="M1308" s="198">
        <v>2016</v>
      </c>
      <c r="N1308" s="198" t="s">
        <v>2272</v>
      </c>
      <c r="O1308" s="19" t="s">
        <v>66</v>
      </c>
      <c r="P1308" s="19" t="s">
        <v>5181</v>
      </c>
      <c r="Q1308" s="198"/>
    </row>
    <row r="1309" spans="1:17" ht="60" customHeight="1">
      <c r="A1309" s="207">
        <v>343</v>
      </c>
      <c r="B1309" s="37" t="s">
        <v>8450</v>
      </c>
      <c r="C1309" s="19" t="s">
        <v>8451</v>
      </c>
      <c r="D1309" s="198" t="s">
        <v>2393</v>
      </c>
      <c r="E1309" s="198" t="s">
        <v>2409</v>
      </c>
      <c r="F1309" s="198" t="s">
        <v>2272</v>
      </c>
      <c r="G1309" s="11" t="s">
        <v>8452</v>
      </c>
      <c r="H1309" s="11" t="s">
        <v>119</v>
      </c>
      <c r="I1309" s="21">
        <v>-21.9475649</v>
      </c>
      <c r="J1309" s="21">
        <v>-46.589334800000003</v>
      </c>
      <c r="K1309" s="21">
        <f>5400000/100</f>
        <v>54000</v>
      </c>
      <c r="L1309" s="11">
        <v>2007</v>
      </c>
      <c r="M1309" s="11">
        <v>2012</v>
      </c>
      <c r="N1309" s="198" t="s">
        <v>2272</v>
      </c>
      <c r="O1309" s="19" t="s">
        <v>66</v>
      </c>
      <c r="P1309" s="19" t="s">
        <v>5181</v>
      </c>
      <c r="Q1309" s="4" t="s">
        <v>8454</v>
      </c>
    </row>
    <row r="1310" spans="1:17" ht="61.5" customHeight="1">
      <c r="A1310" s="207">
        <v>344</v>
      </c>
      <c r="B1310" s="37" t="s">
        <v>8457</v>
      </c>
      <c r="C1310" s="19" t="s">
        <v>8458</v>
      </c>
      <c r="D1310" s="198" t="s">
        <v>2393</v>
      </c>
      <c r="E1310" s="198" t="s">
        <v>2395</v>
      </c>
      <c r="F1310" s="11" t="s">
        <v>8475</v>
      </c>
      <c r="G1310" s="11" t="s">
        <v>8452</v>
      </c>
      <c r="H1310" s="11" t="s">
        <v>119</v>
      </c>
      <c r="I1310" s="21">
        <v>-23.2351524</v>
      </c>
      <c r="J1310" s="21">
        <v>-48.046527400000002</v>
      </c>
      <c r="K1310" s="21">
        <f>'Reported burning'!U3205/'Reported burning'!Y3205</f>
        <v>3902.2869955156948</v>
      </c>
      <c r="L1310" s="11">
        <v>2008</v>
      </c>
      <c r="M1310" s="11">
        <v>2009</v>
      </c>
      <c r="N1310" s="198" t="s">
        <v>2272</v>
      </c>
      <c r="O1310" s="19" t="s">
        <v>66</v>
      </c>
      <c r="P1310" s="19" t="s">
        <v>5181</v>
      </c>
      <c r="Q1310" s="4" t="s">
        <v>8459</v>
      </c>
    </row>
    <row r="1311" spans="1:17" ht="61.5" customHeight="1">
      <c r="A1311" s="207">
        <v>344</v>
      </c>
      <c r="B1311" s="37" t="s">
        <v>8457</v>
      </c>
      <c r="C1311" s="19" t="s">
        <v>8460</v>
      </c>
      <c r="D1311" s="198" t="s">
        <v>2393</v>
      </c>
      <c r="E1311" s="198" t="s">
        <v>2395</v>
      </c>
      <c r="F1311" s="11" t="s">
        <v>8476</v>
      </c>
      <c r="G1311" s="11" t="s">
        <v>8452</v>
      </c>
      <c r="H1311" s="11" t="s">
        <v>119</v>
      </c>
      <c r="I1311" s="21">
        <v>-24.044154899999999</v>
      </c>
      <c r="J1311" s="21">
        <v>-46.457402899999998</v>
      </c>
      <c r="K1311" s="21" t="s">
        <v>2272</v>
      </c>
      <c r="L1311" s="11">
        <v>2008</v>
      </c>
      <c r="M1311" s="11">
        <v>2009</v>
      </c>
      <c r="N1311" s="198" t="s">
        <v>2272</v>
      </c>
      <c r="O1311" s="19" t="s">
        <v>66</v>
      </c>
      <c r="P1311" s="19" t="s">
        <v>5181</v>
      </c>
      <c r="Q1311" s="4" t="s">
        <v>8459</v>
      </c>
    </row>
    <row r="1312" spans="1:17" ht="61.5" customHeight="1">
      <c r="A1312" s="207">
        <v>344</v>
      </c>
      <c r="B1312" s="37" t="s">
        <v>8457</v>
      </c>
      <c r="C1312" s="19" t="s">
        <v>8461</v>
      </c>
      <c r="D1312" s="198" t="s">
        <v>2393</v>
      </c>
      <c r="E1312" s="198" t="s">
        <v>2395</v>
      </c>
      <c r="F1312" s="11" t="s">
        <v>8477</v>
      </c>
      <c r="G1312" s="11" t="s">
        <v>8452</v>
      </c>
      <c r="H1312" s="11" t="s">
        <v>119</v>
      </c>
      <c r="I1312" s="21">
        <v>-20.557321000000002</v>
      </c>
      <c r="J1312" s="21">
        <v>-48.577159600000002</v>
      </c>
      <c r="K1312" s="21">
        <f>'Reported burning'!U3206/'Reported burning'!Y3206</f>
        <v>3358.0072463768115</v>
      </c>
      <c r="L1312" s="11">
        <v>2008</v>
      </c>
      <c r="M1312" s="11">
        <v>2009</v>
      </c>
      <c r="N1312" s="198" t="s">
        <v>2272</v>
      </c>
      <c r="O1312" s="19" t="s">
        <v>66</v>
      </c>
      <c r="P1312" s="19" t="s">
        <v>5181</v>
      </c>
      <c r="Q1312" s="4" t="s">
        <v>8459</v>
      </c>
    </row>
    <row r="1313" spans="1:17" ht="61.5" customHeight="1">
      <c r="A1313" s="207">
        <v>344</v>
      </c>
      <c r="B1313" s="37" t="s">
        <v>8457</v>
      </c>
      <c r="C1313" s="19" t="s">
        <v>8462</v>
      </c>
      <c r="D1313" s="198" t="s">
        <v>2393</v>
      </c>
      <c r="E1313" s="198" t="s">
        <v>2395</v>
      </c>
      <c r="F1313" s="11" t="s">
        <v>8478</v>
      </c>
      <c r="G1313" s="11" t="s">
        <v>8452</v>
      </c>
      <c r="H1313" s="11" t="s">
        <v>119</v>
      </c>
      <c r="I1313" s="21">
        <v>-22.2878574</v>
      </c>
      <c r="J1313" s="21">
        <v>-49.090548699999999</v>
      </c>
      <c r="K1313" s="21">
        <f>'Reported burning'!U3207/'Reported burning'!Y3207</f>
        <v>3633.6521739130435</v>
      </c>
      <c r="L1313" s="11">
        <v>2008</v>
      </c>
      <c r="M1313" s="11">
        <v>2009</v>
      </c>
      <c r="N1313" s="198" t="s">
        <v>2272</v>
      </c>
      <c r="O1313" s="19" t="s">
        <v>66</v>
      </c>
      <c r="P1313" s="19" t="s">
        <v>5181</v>
      </c>
      <c r="Q1313" s="4" t="s">
        <v>8459</v>
      </c>
    </row>
    <row r="1314" spans="1:17" ht="61.5" customHeight="1">
      <c r="A1314" s="207">
        <v>344</v>
      </c>
      <c r="B1314" s="37" t="s">
        <v>8457</v>
      </c>
      <c r="C1314" s="19" t="s">
        <v>8463</v>
      </c>
      <c r="D1314" s="198" t="s">
        <v>2393</v>
      </c>
      <c r="E1314" s="198" t="s">
        <v>2395</v>
      </c>
      <c r="F1314" s="11" t="s">
        <v>8479</v>
      </c>
      <c r="G1314" s="11" t="s">
        <v>8452</v>
      </c>
      <c r="H1314" s="11" t="s">
        <v>119</v>
      </c>
      <c r="I1314" s="21">
        <v>-22.8924342</v>
      </c>
      <c r="J1314" s="21">
        <v>-47.067894699999997</v>
      </c>
      <c r="K1314" s="21">
        <f>'Reported burning'!U3208/'Reported burning'!Y3208</f>
        <v>4135.5486542443068</v>
      </c>
      <c r="L1314" s="11">
        <v>2008</v>
      </c>
      <c r="M1314" s="11">
        <v>2009</v>
      </c>
      <c r="N1314" s="198" t="s">
        <v>2272</v>
      </c>
      <c r="O1314" s="19" t="s">
        <v>66</v>
      </c>
      <c r="P1314" s="19" t="s">
        <v>5181</v>
      </c>
      <c r="Q1314" s="4" t="s">
        <v>8459</v>
      </c>
    </row>
    <row r="1315" spans="1:17" ht="61.5" customHeight="1">
      <c r="A1315" s="207">
        <v>344</v>
      </c>
      <c r="B1315" s="37" t="s">
        <v>8457</v>
      </c>
      <c r="C1315" s="19" t="s">
        <v>8464</v>
      </c>
      <c r="D1315" s="198" t="s">
        <v>2393</v>
      </c>
      <c r="E1315" s="198" t="s">
        <v>2395</v>
      </c>
      <c r="F1315" s="11" t="s">
        <v>7136</v>
      </c>
      <c r="G1315" s="11" t="s">
        <v>8452</v>
      </c>
      <c r="H1315" s="11" t="s">
        <v>119</v>
      </c>
      <c r="I1315" s="21">
        <v>-22.246111899999999</v>
      </c>
      <c r="J1315" s="21">
        <v>-47.774317099999998</v>
      </c>
      <c r="K1315" s="21">
        <f>'Reported burning'!U3209/'Reported burning'!Y3209</f>
        <v>3638.63813229572</v>
      </c>
      <c r="L1315" s="11">
        <v>2008</v>
      </c>
      <c r="M1315" s="11">
        <v>2009</v>
      </c>
      <c r="N1315" s="198" t="s">
        <v>2272</v>
      </c>
      <c r="O1315" s="19" t="s">
        <v>66</v>
      </c>
      <c r="P1315" s="19" t="s">
        <v>5181</v>
      </c>
      <c r="Q1315" s="4" t="s">
        <v>8459</v>
      </c>
    </row>
    <row r="1316" spans="1:17" ht="61.5" customHeight="1">
      <c r="A1316" s="207">
        <v>344</v>
      </c>
      <c r="B1316" s="37" t="s">
        <v>8457</v>
      </c>
      <c r="C1316" s="19" t="s">
        <v>8465</v>
      </c>
      <c r="D1316" s="198" t="s">
        <v>2393</v>
      </c>
      <c r="E1316" s="198" t="s">
        <v>2395</v>
      </c>
      <c r="F1316" s="11" t="s">
        <v>8480</v>
      </c>
      <c r="G1316" s="11" t="s">
        <v>8452</v>
      </c>
      <c r="H1316" s="11" t="s">
        <v>119</v>
      </c>
      <c r="I1316" s="21">
        <v>-20.5937524</v>
      </c>
      <c r="J1316" s="21">
        <v>-47.424168100000003</v>
      </c>
      <c r="K1316" s="21">
        <f>'Reported burning'!U3210/'Reported burning'!Y3210</f>
        <v>4092.4905660377358</v>
      </c>
      <c r="L1316" s="11">
        <v>2008</v>
      </c>
      <c r="M1316" s="11">
        <v>2009</v>
      </c>
      <c r="N1316" s="198" t="s">
        <v>2272</v>
      </c>
      <c r="O1316" s="19" t="s">
        <v>66</v>
      </c>
      <c r="P1316" s="19" t="s">
        <v>5181</v>
      </c>
      <c r="Q1316" s="4" t="s">
        <v>8459</v>
      </c>
    </row>
    <row r="1317" spans="1:17" ht="61.5" customHeight="1">
      <c r="A1317" s="207">
        <v>344</v>
      </c>
      <c r="B1317" s="37" t="s">
        <v>8457</v>
      </c>
      <c r="C1317" s="19" t="s">
        <v>8466</v>
      </c>
      <c r="D1317" s="198" t="s">
        <v>2393</v>
      </c>
      <c r="E1317" s="198" t="s">
        <v>2395</v>
      </c>
      <c r="F1317" s="11" t="s">
        <v>8481</v>
      </c>
      <c r="G1317" s="11" t="s">
        <v>8452</v>
      </c>
      <c r="H1317" s="11" t="s">
        <v>119</v>
      </c>
      <c r="I1317" s="21">
        <v>-22.204620599999998</v>
      </c>
      <c r="J1317" s="21">
        <v>-49.939328000000003</v>
      </c>
      <c r="K1317" s="21">
        <f>'Reported burning'!U3211/'Reported burning'!Y3211</f>
        <v>2824.6572934973638</v>
      </c>
      <c r="L1317" s="11">
        <v>2008</v>
      </c>
      <c r="M1317" s="11">
        <v>2009</v>
      </c>
      <c r="N1317" s="198" t="s">
        <v>2272</v>
      </c>
      <c r="O1317" s="19" t="s">
        <v>66</v>
      </c>
      <c r="P1317" s="19" t="s">
        <v>5181</v>
      </c>
      <c r="Q1317" s="4" t="s">
        <v>8459</v>
      </c>
    </row>
    <row r="1318" spans="1:17" ht="61.5" customHeight="1">
      <c r="A1318" s="207">
        <v>344</v>
      </c>
      <c r="B1318" s="37" t="s">
        <v>8457</v>
      </c>
      <c r="C1318" s="19" t="s">
        <v>8467</v>
      </c>
      <c r="D1318" s="198" t="s">
        <v>2393</v>
      </c>
      <c r="E1318" s="198" t="s">
        <v>2395</v>
      </c>
      <c r="F1318" s="11" t="s">
        <v>8482</v>
      </c>
      <c r="G1318" s="11" t="s">
        <v>8452</v>
      </c>
      <c r="H1318" s="11" t="s">
        <v>119</v>
      </c>
      <c r="I1318" s="21">
        <v>-22.1332533</v>
      </c>
      <c r="J1318" s="21">
        <v>-51.4021969</v>
      </c>
      <c r="K1318" s="21">
        <f>'Reported burning'!U3212/'Reported burning'!Y3212</f>
        <v>2439.0523690773066</v>
      </c>
      <c r="L1318" s="11">
        <v>2008</v>
      </c>
      <c r="M1318" s="11">
        <v>2009</v>
      </c>
      <c r="N1318" s="198" t="s">
        <v>2272</v>
      </c>
      <c r="O1318" s="19" t="s">
        <v>66</v>
      </c>
      <c r="P1318" s="19" t="s">
        <v>5181</v>
      </c>
      <c r="Q1318" s="4" t="s">
        <v>8459</v>
      </c>
    </row>
    <row r="1319" spans="1:17" ht="61.5" customHeight="1">
      <c r="A1319" s="207">
        <v>344</v>
      </c>
      <c r="B1319" s="37" t="s">
        <v>8457</v>
      </c>
      <c r="C1319" s="19" t="s">
        <v>8468</v>
      </c>
      <c r="D1319" s="198" t="s">
        <v>2393</v>
      </c>
      <c r="E1319" s="198" t="s">
        <v>2395</v>
      </c>
      <c r="F1319" s="11" t="s">
        <v>8483</v>
      </c>
      <c r="G1319" s="11" t="s">
        <v>8452</v>
      </c>
      <c r="H1319" s="11" t="s">
        <v>119</v>
      </c>
      <c r="I1319" s="21">
        <v>-24.467631699999998</v>
      </c>
      <c r="J1319" s="21">
        <v>-47.809529099999999</v>
      </c>
      <c r="K1319" s="21" t="s">
        <v>2272</v>
      </c>
      <c r="L1319" s="11">
        <v>2008</v>
      </c>
      <c r="M1319" s="11">
        <v>2009</v>
      </c>
      <c r="N1319" s="198" t="s">
        <v>2272</v>
      </c>
      <c r="O1319" s="19" t="s">
        <v>66</v>
      </c>
      <c r="P1319" s="19" t="s">
        <v>5181</v>
      </c>
      <c r="Q1319" s="4" t="s">
        <v>8459</v>
      </c>
    </row>
    <row r="1320" spans="1:17" ht="61.5" customHeight="1">
      <c r="A1320" s="207">
        <v>344</v>
      </c>
      <c r="B1320" s="37" t="s">
        <v>8457</v>
      </c>
      <c r="C1320" s="19" t="s">
        <v>8469</v>
      </c>
      <c r="D1320" s="198" t="s">
        <v>2393</v>
      </c>
      <c r="E1320" s="198" t="s">
        <v>2395</v>
      </c>
      <c r="F1320" s="11" t="s">
        <v>8484</v>
      </c>
      <c r="G1320" s="11" t="s">
        <v>8452</v>
      </c>
      <c r="H1320" s="11" t="s">
        <v>119</v>
      </c>
      <c r="I1320" s="21">
        <v>-21.179632399999999</v>
      </c>
      <c r="J1320" s="21">
        <v>-47.802586099999999</v>
      </c>
      <c r="K1320" s="21">
        <f>'Reported burning'!U3213/'Reported burning'!Y3213</f>
        <v>4145.6164383561645</v>
      </c>
      <c r="L1320" s="11">
        <v>2008</v>
      </c>
      <c r="M1320" s="11">
        <v>2009</v>
      </c>
      <c r="N1320" s="198" t="s">
        <v>2272</v>
      </c>
      <c r="O1320" s="19" t="s">
        <v>66</v>
      </c>
      <c r="P1320" s="19" t="s">
        <v>5181</v>
      </c>
      <c r="Q1320" s="4" t="s">
        <v>8459</v>
      </c>
    </row>
    <row r="1321" spans="1:17" ht="61.5" customHeight="1">
      <c r="A1321" s="207">
        <v>344</v>
      </c>
      <c r="B1321" s="37" t="s">
        <v>8457</v>
      </c>
      <c r="C1321" s="19" t="s">
        <v>8470</v>
      </c>
      <c r="D1321" s="198" t="s">
        <v>2393</v>
      </c>
      <c r="E1321" s="198" t="s">
        <v>2395</v>
      </c>
      <c r="F1321" s="11" t="s">
        <v>8485</v>
      </c>
      <c r="G1321" s="11" t="s">
        <v>8452</v>
      </c>
      <c r="H1321" s="11" t="s">
        <v>119</v>
      </c>
      <c r="I1321" s="21">
        <v>-20.816814000000001</v>
      </c>
      <c r="J1321" s="21">
        <v>-49.382355500000003</v>
      </c>
      <c r="K1321" s="21">
        <f>'Reported burning'!U3214/'Reported burning'!Y3214</f>
        <v>5237.9441117764472</v>
      </c>
      <c r="L1321" s="11">
        <v>2008</v>
      </c>
      <c r="M1321" s="11">
        <v>2009</v>
      </c>
      <c r="N1321" s="198" t="s">
        <v>2272</v>
      </c>
      <c r="O1321" s="19" t="s">
        <v>66</v>
      </c>
      <c r="P1321" s="19" t="s">
        <v>5181</v>
      </c>
      <c r="Q1321" s="4" t="s">
        <v>8459</v>
      </c>
    </row>
    <row r="1322" spans="1:17" ht="61.5" customHeight="1">
      <c r="A1322" s="207">
        <v>344</v>
      </c>
      <c r="B1322" s="37" t="s">
        <v>8457</v>
      </c>
      <c r="C1322" s="19" t="s">
        <v>8471</v>
      </c>
      <c r="D1322" s="198" t="s">
        <v>2393</v>
      </c>
      <c r="E1322" s="198" t="s">
        <v>2395</v>
      </c>
      <c r="F1322" s="11" t="s">
        <v>8486</v>
      </c>
      <c r="G1322" s="11" t="s">
        <v>8452</v>
      </c>
      <c r="H1322" s="11" t="s">
        <v>119</v>
      </c>
      <c r="I1322" s="21">
        <v>-23.189506300000001</v>
      </c>
      <c r="J1322" s="21">
        <v>-45.8630128</v>
      </c>
      <c r="K1322" s="21" t="s">
        <v>2272</v>
      </c>
      <c r="L1322" s="11">
        <v>2008</v>
      </c>
      <c r="M1322" s="11">
        <v>2009</v>
      </c>
      <c r="N1322" s="198" t="s">
        <v>2272</v>
      </c>
      <c r="O1322" s="19" t="s">
        <v>66</v>
      </c>
      <c r="P1322" s="19" t="s">
        <v>5181</v>
      </c>
      <c r="Q1322" s="4" t="s">
        <v>8459</v>
      </c>
    </row>
    <row r="1323" spans="1:17" ht="61.5" customHeight="1">
      <c r="A1323" s="207">
        <v>344</v>
      </c>
      <c r="B1323" s="37" t="s">
        <v>8457</v>
      </c>
      <c r="C1323" s="19" t="s">
        <v>8472</v>
      </c>
      <c r="D1323" s="198" t="s">
        <v>2393</v>
      </c>
      <c r="E1323" s="198" t="s">
        <v>2395</v>
      </c>
      <c r="F1323" s="11" t="s">
        <v>8452</v>
      </c>
      <c r="G1323" s="11" t="s">
        <v>8452</v>
      </c>
      <c r="H1323" s="11" t="s">
        <v>119</v>
      </c>
      <c r="I1323" s="21">
        <v>-23.6824124</v>
      </c>
      <c r="J1323" s="21">
        <v>-46.595299199999999</v>
      </c>
      <c r="K1323" s="21" t="s">
        <v>2272</v>
      </c>
      <c r="L1323" s="11">
        <v>2008</v>
      </c>
      <c r="M1323" s="11">
        <v>2009</v>
      </c>
      <c r="N1323" s="198" t="s">
        <v>2272</v>
      </c>
      <c r="O1323" s="19" t="s">
        <v>66</v>
      </c>
      <c r="P1323" s="19" t="s">
        <v>5181</v>
      </c>
      <c r="Q1323" s="4" t="s">
        <v>8459</v>
      </c>
    </row>
    <row r="1324" spans="1:17" ht="61.5" customHeight="1">
      <c r="A1324" s="207">
        <v>344</v>
      </c>
      <c r="B1324" s="37" t="s">
        <v>8457</v>
      </c>
      <c r="C1324" s="19" t="s">
        <v>8473</v>
      </c>
      <c r="D1324" s="198" t="s">
        <v>2393</v>
      </c>
      <c r="E1324" s="198" t="s">
        <v>2395</v>
      </c>
      <c r="F1324" s="11" t="s">
        <v>8487</v>
      </c>
      <c r="G1324" s="11" t="s">
        <v>8452</v>
      </c>
      <c r="H1324" s="11" t="s">
        <v>119</v>
      </c>
      <c r="I1324" s="21">
        <v>-23.477406299999998</v>
      </c>
      <c r="J1324" s="21">
        <v>-47.466699699999999</v>
      </c>
      <c r="K1324" s="21">
        <f>'Reported burning'!U3215/'Reported burning'!Y3215</f>
        <v>1887.7519379844962</v>
      </c>
      <c r="L1324" s="11">
        <v>2008</v>
      </c>
      <c r="M1324" s="11">
        <v>2009</v>
      </c>
      <c r="N1324" s="198" t="s">
        <v>2272</v>
      </c>
      <c r="O1324" s="19" t="s">
        <v>66</v>
      </c>
      <c r="P1324" s="19" t="s">
        <v>5181</v>
      </c>
      <c r="Q1324" s="4" t="s">
        <v>8459</v>
      </c>
    </row>
    <row r="1325" spans="1:17" ht="49" customHeight="1">
      <c r="A1325" s="207">
        <v>344</v>
      </c>
      <c r="B1325" s="38" t="s">
        <v>8511</v>
      </c>
      <c r="C1325" s="19" t="s">
        <v>8474</v>
      </c>
      <c r="D1325" s="198" t="s">
        <v>2393</v>
      </c>
      <c r="E1325" s="198" t="s">
        <v>2395</v>
      </c>
      <c r="F1325" s="11" t="s">
        <v>2272</v>
      </c>
      <c r="G1325" s="11" t="s">
        <v>8452</v>
      </c>
      <c r="H1325" s="11" t="s">
        <v>119</v>
      </c>
      <c r="I1325" s="21">
        <v>-22.245749100000001</v>
      </c>
      <c r="J1325" s="21">
        <v>-48.306358299999999</v>
      </c>
      <c r="K1325" s="21">
        <f>3240000/100</f>
        <v>32400</v>
      </c>
      <c r="L1325" s="11">
        <v>2006</v>
      </c>
      <c r="M1325" s="11">
        <v>2006</v>
      </c>
      <c r="N1325" s="198" t="s">
        <v>2272</v>
      </c>
      <c r="O1325" s="19" t="s">
        <v>66</v>
      </c>
      <c r="P1325" s="19" t="s">
        <v>5181</v>
      </c>
      <c r="Q1325" s="4" t="s">
        <v>8459</v>
      </c>
    </row>
    <row r="1326" spans="1:17" ht="43" customHeight="1">
      <c r="A1326" s="207">
        <v>345</v>
      </c>
      <c r="B1326" s="37" t="s">
        <v>8512</v>
      </c>
      <c r="C1326" s="19" t="s">
        <v>8513</v>
      </c>
      <c r="D1326" s="198" t="s">
        <v>2393</v>
      </c>
      <c r="E1326" s="198" t="s">
        <v>2631</v>
      </c>
      <c r="F1326" s="11" t="s">
        <v>2272</v>
      </c>
      <c r="G1326" s="11" t="s">
        <v>2272</v>
      </c>
      <c r="H1326" s="11" t="s">
        <v>624</v>
      </c>
      <c r="I1326" s="21">
        <v>10.020728399999999</v>
      </c>
      <c r="J1326" s="21">
        <v>122.9721091</v>
      </c>
      <c r="K1326" s="21">
        <v>300000</v>
      </c>
      <c r="L1326" s="198">
        <v>1999</v>
      </c>
      <c r="M1326" s="198">
        <v>2015</v>
      </c>
      <c r="N1326" s="198" t="s">
        <v>2272</v>
      </c>
      <c r="O1326" s="19" t="s">
        <v>66</v>
      </c>
      <c r="P1326" s="19" t="s">
        <v>5181</v>
      </c>
      <c r="Q1326" s="4" t="s">
        <v>8514</v>
      </c>
    </row>
    <row r="1327" spans="1:17" ht="42.5" customHeight="1">
      <c r="A1327" s="207">
        <v>345</v>
      </c>
      <c r="B1327" s="37" t="s">
        <v>8512</v>
      </c>
      <c r="C1327" s="19" t="s">
        <v>8523</v>
      </c>
      <c r="D1327" s="198" t="s">
        <v>2393</v>
      </c>
      <c r="E1327" s="198" t="s">
        <v>2631</v>
      </c>
      <c r="F1327" s="11" t="s">
        <v>8521</v>
      </c>
      <c r="G1327" s="11" t="s">
        <v>8522</v>
      </c>
      <c r="H1327" s="11" t="s">
        <v>624</v>
      </c>
      <c r="I1327" s="21">
        <v>13.7397461</v>
      </c>
      <c r="J1327" s="21">
        <v>121.1159789</v>
      </c>
      <c r="K1327" s="21" t="s">
        <v>2272</v>
      </c>
      <c r="L1327" s="198">
        <v>2014</v>
      </c>
      <c r="M1327" s="198">
        <v>2014</v>
      </c>
      <c r="N1327" s="198" t="s">
        <v>2272</v>
      </c>
      <c r="O1327" s="19" t="s">
        <v>66</v>
      </c>
      <c r="P1327" s="19" t="s">
        <v>5181</v>
      </c>
      <c r="Q1327" s="4"/>
    </row>
    <row r="1328" spans="1:17" ht="43.5" customHeight="1">
      <c r="A1328" s="207">
        <v>345</v>
      </c>
      <c r="B1328" s="37" t="s">
        <v>8512</v>
      </c>
      <c r="C1328" s="19" t="s">
        <v>8526</v>
      </c>
      <c r="D1328" s="198" t="s">
        <v>2393</v>
      </c>
      <c r="E1328" s="198" t="s">
        <v>2631</v>
      </c>
      <c r="F1328" s="11" t="s">
        <v>2272</v>
      </c>
      <c r="G1328" s="11" t="s">
        <v>8452</v>
      </c>
      <c r="H1328" s="11" t="s">
        <v>119</v>
      </c>
      <c r="I1328" s="21">
        <v>-22.245749100000001</v>
      </c>
      <c r="J1328" s="21">
        <v>-48.306358299999999</v>
      </c>
      <c r="K1328" s="21">
        <f>3240000/100</f>
        <v>32400</v>
      </c>
      <c r="L1328" s="11">
        <v>2015</v>
      </c>
      <c r="M1328" s="11">
        <v>2015</v>
      </c>
      <c r="N1328" s="198" t="s">
        <v>2272</v>
      </c>
      <c r="O1328" s="19" t="s">
        <v>66</v>
      </c>
      <c r="P1328" s="19" t="s">
        <v>5181</v>
      </c>
      <c r="Q1328" s="198"/>
    </row>
    <row r="1329" spans="1:17" ht="38" customHeight="1">
      <c r="A1329" s="207">
        <v>345</v>
      </c>
      <c r="B1329" s="37" t="s">
        <v>8512</v>
      </c>
      <c r="C1329" s="19" t="s">
        <v>8527</v>
      </c>
      <c r="D1329" s="198" t="s">
        <v>2393</v>
      </c>
      <c r="E1329" s="198" t="s">
        <v>2631</v>
      </c>
      <c r="F1329" s="11" t="s">
        <v>2272</v>
      </c>
      <c r="G1329" s="11" t="s">
        <v>8148</v>
      </c>
      <c r="H1329" s="11" t="s">
        <v>3409</v>
      </c>
      <c r="I1329" s="21">
        <v>-31.8938369</v>
      </c>
      <c r="J1329" s="21">
        <v>117.65975299999999</v>
      </c>
      <c r="K1329" s="21" t="s">
        <v>2272</v>
      </c>
      <c r="L1329" s="11">
        <v>2015</v>
      </c>
      <c r="M1329" s="11">
        <v>2015</v>
      </c>
      <c r="N1329" s="198" t="s">
        <v>2272</v>
      </c>
      <c r="O1329" s="19" t="s">
        <v>66</v>
      </c>
      <c r="P1329" s="19" t="s">
        <v>5181</v>
      </c>
      <c r="Q1329" s="198" t="s">
        <v>8528</v>
      </c>
    </row>
    <row r="1330" spans="1:17" ht="40" customHeight="1">
      <c r="A1330" s="182">
        <v>346</v>
      </c>
      <c r="B1330" s="221" t="s">
        <v>8535</v>
      </c>
      <c r="C1330" s="26" t="s">
        <v>8536</v>
      </c>
      <c r="D1330" s="22" t="s">
        <v>2393</v>
      </c>
      <c r="E1330" s="22" t="s">
        <v>2394</v>
      </c>
      <c r="F1330" s="174" t="s">
        <v>8537</v>
      </c>
      <c r="G1330" s="174" t="s">
        <v>8538</v>
      </c>
      <c r="H1330" s="23" t="s">
        <v>767</v>
      </c>
      <c r="I1330" s="21">
        <v>25.7772443</v>
      </c>
      <c r="J1330" s="21">
        <v>-109</v>
      </c>
      <c r="K1330" s="21" t="s">
        <v>2272</v>
      </c>
      <c r="L1330" s="11">
        <v>2008</v>
      </c>
      <c r="M1330" s="11">
        <v>2008</v>
      </c>
      <c r="N1330" s="198" t="s">
        <v>2272</v>
      </c>
      <c r="O1330" s="19" t="s">
        <v>66</v>
      </c>
      <c r="P1330" s="19" t="s">
        <v>5181</v>
      </c>
      <c r="Q1330" s="198"/>
    </row>
    <row r="1331" spans="1:17" ht="51" customHeight="1">
      <c r="A1331" s="182">
        <v>347</v>
      </c>
      <c r="B1331" s="38" t="s">
        <v>8540</v>
      </c>
      <c r="C1331" s="26" t="s">
        <v>8541</v>
      </c>
      <c r="D1331" s="22" t="s">
        <v>2629</v>
      </c>
      <c r="E1331" s="22" t="s">
        <v>2409</v>
      </c>
      <c r="F1331" s="11" t="s">
        <v>8545</v>
      </c>
      <c r="G1331" s="11" t="s">
        <v>8546</v>
      </c>
      <c r="H1331" s="23" t="s">
        <v>8544</v>
      </c>
      <c r="I1331" s="21">
        <v>9.9819952000000001</v>
      </c>
      <c r="J1331" s="21">
        <v>-84.323501500000006</v>
      </c>
      <c r="K1331" s="21" t="s">
        <v>2272</v>
      </c>
      <c r="L1331" s="198">
        <v>2011</v>
      </c>
      <c r="M1331" s="198">
        <v>2011</v>
      </c>
      <c r="N1331" s="198" t="s">
        <v>2272</v>
      </c>
      <c r="O1331" s="19" t="s">
        <v>66</v>
      </c>
      <c r="P1331" s="19" t="s">
        <v>5181</v>
      </c>
      <c r="Q1331" s="198" t="s">
        <v>8550</v>
      </c>
    </row>
    <row r="1332" spans="1:17" ht="51" customHeight="1">
      <c r="A1332" s="182">
        <v>347</v>
      </c>
      <c r="B1332" s="38" t="s">
        <v>8540</v>
      </c>
      <c r="C1332" s="26" t="s">
        <v>8542</v>
      </c>
      <c r="D1332" s="22" t="s">
        <v>2629</v>
      </c>
      <c r="E1332" s="22" t="s">
        <v>2409</v>
      </c>
      <c r="F1332" s="11" t="s">
        <v>8547</v>
      </c>
      <c r="G1332" s="11" t="s">
        <v>8549</v>
      </c>
      <c r="H1332" s="23" t="s">
        <v>8544</v>
      </c>
      <c r="I1332" s="21">
        <v>10.0237354</v>
      </c>
      <c r="J1332" s="21">
        <v>-84.296464900000004</v>
      </c>
      <c r="K1332" s="21" t="s">
        <v>2272</v>
      </c>
      <c r="L1332" s="198">
        <v>2011</v>
      </c>
      <c r="M1332" s="198">
        <v>2011</v>
      </c>
      <c r="N1332" s="198" t="s">
        <v>2272</v>
      </c>
      <c r="O1332" s="19" t="s">
        <v>66</v>
      </c>
      <c r="P1332" s="19" t="s">
        <v>5181</v>
      </c>
      <c r="Q1332" s="198" t="s">
        <v>8550</v>
      </c>
    </row>
    <row r="1333" spans="1:17" ht="51" customHeight="1">
      <c r="A1333" s="182">
        <v>347</v>
      </c>
      <c r="B1333" s="38" t="s">
        <v>8540</v>
      </c>
      <c r="C1333" s="26" t="s">
        <v>8543</v>
      </c>
      <c r="D1333" s="22" t="s">
        <v>2629</v>
      </c>
      <c r="E1333" s="22" t="s">
        <v>2409</v>
      </c>
      <c r="F1333" s="11" t="s">
        <v>2272</v>
      </c>
      <c r="G1333" s="11" t="s">
        <v>8548</v>
      </c>
      <c r="H1333" s="23" t="s">
        <v>8544</v>
      </c>
      <c r="I1333" s="21">
        <v>10.0715191</v>
      </c>
      <c r="J1333" s="21">
        <v>-84.349183100000005</v>
      </c>
      <c r="K1333" s="21" t="s">
        <v>2272</v>
      </c>
      <c r="L1333" s="198">
        <v>2011</v>
      </c>
      <c r="M1333" s="198">
        <v>2011</v>
      </c>
      <c r="N1333" s="198" t="s">
        <v>2272</v>
      </c>
      <c r="O1333" s="19" t="s">
        <v>66</v>
      </c>
      <c r="P1333" s="19" t="s">
        <v>5181</v>
      </c>
      <c r="Q1333" s="198" t="s">
        <v>8550</v>
      </c>
    </row>
    <row r="1334" spans="1:17" ht="36.5" customHeight="1">
      <c r="A1334" s="182">
        <v>348</v>
      </c>
      <c r="B1334" s="37" t="s">
        <v>8556</v>
      </c>
      <c r="C1334" s="198" t="s">
        <v>8557</v>
      </c>
      <c r="D1334" s="198" t="s">
        <v>2393</v>
      </c>
      <c r="E1334" s="198" t="s">
        <v>2394</v>
      </c>
      <c r="F1334" s="11" t="s">
        <v>6300</v>
      </c>
      <c r="G1334" s="11" t="s">
        <v>85</v>
      </c>
      <c r="H1334" s="23" t="s">
        <v>6299</v>
      </c>
      <c r="I1334" s="21">
        <v>32.3879698</v>
      </c>
      <c r="J1334" s="21">
        <v>74.588675800000004</v>
      </c>
      <c r="K1334" s="21" t="s">
        <v>2272</v>
      </c>
      <c r="L1334" s="198">
        <v>2017</v>
      </c>
      <c r="M1334" s="198">
        <v>2017</v>
      </c>
      <c r="N1334" s="198" t="s">
        <v>2272</v>
      </c>
      <c r="O1334" s="19" t="s">
        <v>66</v>
      </c>
      <c r="P1334" s="19" t="s">
        <v>5181</v>
      </c>
      <c r="Q1334" s="198" t="s">
        <v>5901</v>
      </c>
    </row>
    <row r="1335" spans="1:17" ht="34.5" customHeight="1">
      <c r="A1335" s="182">
        <v>348</v>
      </c>
      <c r="B1335" s="37" t="s">
        <v>8556</v>
      </c>
      <c r="C1335" s="26" t="s">
        <v>8558</v>
      </c>
      <c r="D1335" s="198" t="s">
        <v>2393</v>
      </c>
      <c r="E1335" s="198" t="s">
        <v>2394</v>
      </c>
      <c r="F1335" s="11" t="s">
        <v>6298</v>
      </c>
      <c r="G1335" s="11" t="s">
        <v>85</v>
      </c>
      <c r="H1335" s="23" t="s">
        <v>6299</v>
      </c>
      <c r="I1335" s="21">
        <v>32.221187299999997</v>
      </c>
      <c r="J1335" s="21">
        <v>74.315205199999994</v>
      </c>
      <c r="K1335" s="21" t="s">
        <v>2272</v>
      </c>
      <c r="L1335" s="198">
        <v>2017</v>
      </c>
      <c r="M1335" s="198">
        <v>2017</v>
      </c>
      <c r="N1335" s="198" t="s">
        <v>2272</v>
      </c>
      <c r="O1335" s="19" t="s">
        <v>66</v>
      </c>
      <c r="P1335" s="19" t="s">
        <v>5181</v>
      </c>
      <c r="Q1335" s="198" t="s">
        <v>5901</v>
      </c>
    </row>
    <row r="1336" spans="1:17" ht="36" customHeight="1">
      <c r="A1336" s="182">
        <v>349</v>
      </c>
      <c r="B1336" s="37" t="s">
        <v>8562</v>
      </c>
      <c r="C1336" s="26" t="s">
        <v>8563</v>
      </c>
      <c r="D1336" s="198" t="s">
        <v>2393</v>
      </c>
      <c r="E1336" s="198" t="s">
        <v>2417</v>
      </c>
      <c r="F1336" s="198" t="s">
        <v>8565</v>
      </c>
      <c r="G1336" s="11" t="s">
        <v>8564</v>
      </c>
      <c r="H1336" s="23" t="s">
        <v>3765</v>
      </c>
      <c r="I1336" s="21">
        <v>-24.75</v>
      </c>
      <c r="J1336" s="21">
        <v>27.576981</v>
      </c>
      <c r="K1336" s="21">
        <v>44913</v>
      </c>
      <c r="L1336" s="198">
        <v>2008</v>
      </c>
      <c r="M1336" s="198">
        <v>2009</v>
      </c>
      <c r="N1336" s="198" t="s">
        <v>2272</v>
      </c>
      <c r="O1336" s="19" t="s">
        <v>66</v>
      </c>
      <c r="P1336" s="19" t="s">
        <v>5181</v>
      </c>
      <c r="Q1336" s="198"/>
    </row>
    <row r="1337" spans="1:17" ht="35.5" customHeight="1">
      <c r="A1337" s="182">
        <v>349</v>
      </c>
      <c r="B1337" s="37" t="s">
        <v>8562</v>
      </c>
      <c r="C1337" s="26" t="s">
        <v>8569</v>
      </c>
      <c r="D1337" s="198" t="s">
        <v>2393</v>
      </c>
      <c r="E1337" s="198" t="s">
        <v>2417</v>
      </c>
      <c r="F1337" s="11" t="s">
        <v>8566</v>
      </c>
      <c r="G1337" s="11" t="s">
        <v>8564</v>
      </c>
      <c r="H1337" s="23" t="s">
        <v>3765</v>
      </c>
      <c r="I1337" s="21">
        <v>-24.483608499999999</v>
      </c>
      <c r="J1337" s="21">
        <v>28.074173999999999</v>
      </c>
      <c r="K1337" s="21" t="s">
        <v>2272</v>
      </c>
      <c r="L1337" s="198">
        <v>2008</v>
      </c>
      <c r="M1337" s="198">
        <v>2009</v>
      </c>
      <c r="N1337" s="198" t="s">
        <v>2272</v>
      </c>
      <c r="O1337" s="19" t="s">
        <v>66</v>
      </c>
      <c r="P1337" s="19" t="s">
        <v>5181</v>
      </c>
      <c r="Q1337" s="198"/>
    </row>
    <row r="1338" spans="1:17" ht="32" customHeight="1">
      <c r="A1338" s="182">
        <v>349</v>
      </c>
      <c r="B1338" s="37" t="s">
        <v>8562</v>
      </c>
      <c r="C1338" s="26" t="s">
        <v>8570</v>
      </c>
      <c r="D1338" s="198" t="s">
        <v>2393</v>
      </c>
      <c r="E1338" s="198" t="s">
        <v>2417</v>
      </c>
      <c r="F1338" s="11" t="s">
        <v>8567</v>
      </c>
      <c r="G1338" s="11" t="s">
        <v>8564</v>
      </c>
      <c r="H1338" s="23" t="s">
        <v>3765</v>
      </c>
      <c r="I1338" s="21">
        <v>-25.199999600000002</v>
      </c>
      <c r="J1338" s="21">
        <v>28.616667</v>
      </c>
      <c r="K1338" s="21" t="s">
        <v>2272</v>
      </c>
      <c r="L1338" s="198">
        <v>2008</v>
      </c>
      <c r="M1338" s="198">
        <v>2009</v>
      </c>
      <c r="N1338" s="198" t="s">
        <v>2272</v>
      </c>
      <c r="O1338" s="19" t="s">
        <v>66</v>
      </c>
      <c r="P1338" s="19" t="s">
        <v>5181</v>
      </c>
      <c r="Q1338" s="198"/>
    </row>
    <row r="1339" spans="1:17" ht="30" customHeight="1">
      <c r="A1339" s="182">
        <v>349</v>
      </c>
      <c r="B1339" s="37" t="s">
        <v>8562</v>
      </c>
      <c r="C1339" s="26" t="s">
        <v>8571</v>
      </c>
      <c r="D1339" s="198" t="s">
        <v>2393</v>
      </c>
      <c r="E1339" s="198" t="s">
        <v>2417</v>
      </c>
      <c r="F1339" s="11" t="s">
        <v>8568</v>
      </c>
      <c r="G1339" s="11" t="s">
        <v>8564</v>
      </c>
      <c r="H1339" s="23" t="s">
        <v>3765</v>
      </c>
      <c r="I1339" s="21">
        <v>-24.7166666</v>
      </c>
      <c r="J1339" s="21">
        <v>26.816666999999999</v>
      </c>
      <c r="K1339" s="21" t="s">
        <v>2272</v>
      </c>
      <c r="L1339" s="198">
        <v>2008</v>
      </c>
      <c r="M1339" s="198">
        <v>2009</v>
      </c>
      <c r="N1339" s="198" t="s">
        <v>2272</v>
      </c>
      <c r="O1339" s="19" t="s">
        <v>66</v>
      </c>
      <c r="P1339" s="19" t="s">
        <v>5181</v>
      </c>
      <c r="Q1339" s="198"/>
    </row>
    <row r="1340" spans="1:17" ht="37" customHeight="1">
      <c r="A1340" s="182">
        <v>350</v>
      </c>
      <c r="B1340" s="37" t="s">
        <v>8587</v>
      </c>
      <c r="C1340" s="26" t="s">
        <v>8584</v>
      </c>
      <c r="D1340" s="198" t="s">
        <v>2393</v>
      </c>
      <c r="E1340" s="198" t="s">
        <v>2395</v>
      </c>
      <c r="F1340" s="11" t="s">
        <v>8588</v>
      </c>
      <c r="G1340" s="11" t="s">
        <v>2272</v>
      </c>
      <c r="H1340" s="23" t="s">
        <v>8585</v>
      </c>
      <c r="I1340" s="21">
        <f>23 + 36/60</f>
        <v>23.6</v>
      </c>
      <c r="J1340" s="21">
        <f>120 + 28/60</f>
        <v>120.46666666666667</v>
      </c>
      <c r="K1340" s="21">
        <f>8600/100</f>
        <v>86</v>
      </c>
      <c r="L1340" s="198">
        <v>2009</v>
      </c>
      <c r="M1340" s="198">
        <v>2009</v>
      </c>
      <c r="N1340" s="198" t="s">
        <v>2272</v>
      </c>
      <c r="O1340" s="19" t="s">
        <v>66</v>
      </c>
      <c r="P1340" s="19" t="s">
        <v>5181</v>
      </c>
      <c r="Q1340" s="19" t="s">
        <v>8586</v>
      </c>
    </row>
    <row r="1341" spans="1:17" ht="51" customHeight="1">
      <c r="A1341" s="182">
        <v>351</v>
      </c>
      <c r="B1341" s="37" t="s">
        <v>8593</v>
      </c>
      <c r="C1341" s="26" t="s">
        <v>8594</v>
      </c>
      <c r="D1341" s="198" t="s">
        <v>2393</v>
      </c>
      <c r="E1341" s="198" t="s">
        <v>2394</v>
      </c>
      <c r="F1341" s="11" t="s">
        <v>2272</v>
      </c>
      <c r="G1341" s="11" t="s">
        <v>2272</v>
      </c>
      <c r="H1341" s="23" t="s">
        <v>112</v>
      </c>
      <c r="I1341" s="21">
        <v>29</v>
      </c>
      <c r="J1341" s="21">
        <v>110</v>
      </c>
      <c r="K1341" s="21">
        <v>9597000</v>
      </c>
      <c r="L1341" s="11">
        <v>2010</v>
      </c>
      <c r="M1341" s="11">
        <v>2010</v>
      </c>
      <c r="N1341" s="198" t="s">
        <v>2272</v>
      </c>
      <c r="O1341" s="19" t="s">
        <v>66</v>
      </c>
      <c r="P1341" s="19" t="s">
        <v>5181</v>
      </c>
      <c r="Q1341" s="4" t="s">
        <v>8608</v>
      </c>
    </row>
    <row r="1342" spans="1:17" ht="40" customHeight="1">
      <c r="A1342" s="182">
        <v>351</v>
      </c>
      <c r="B1342" s="37" t="s">
        <v>8593</v>
      </c>
      <c r="C1342" s="26" t="s">
        <v>8597</v>
      </c>
      <c r="D1342" s="198" t="s">
        <v>2393</v>
      </c>
      <c r="E1342" s="198" t="s">
        <v>2394</v>
      </c>
      <c r="F1342" s="11" t="s">
        <v>2272</v>
      </c>
      <c r="G1342" s="11" t="s">
        <v>8603</v>
      </c>
      <c r="H1342" s="23" t="s">
        <v>112</v>
      </c>
      <c r="I1342" s="21">
        <v>27.381343000000001</v>
      </c>
      <c r="J1342" s="21">
        <v>111.52605269999999</v>
      </c>
      <c r="K1342" s="21">
        <v>210000</v>
      </c>
      <c r="L1342" s="11">
        <v>2015</v>
      </c>
      <c r="M1342" s="11">
        <v>2015</v>
      </c>
      <c r="N1342" s="198" t="s">
        <v>2272</v>
      </c>
      <c r="O1342" s="19" t="s">
        <v>66</v>
      </c>
      <c r="P1342" s="19" t="s">
        <v>5181</v>
      </c>
      <c r="Q1342" s="198"/>
    </row>
    <row r="1343" spans="1:17" ht="40" customHeight="1">
      <c r="A1343" s="182">
        <v>351</v>
      </c>
      <c r="B1343" s="37" t="s">
        <v>8593</v>
      </c>
      <c r="C1343" s="26" t="s">
        <v>8598</v>
      </c>
      <c r="D1343" s="198" t="s">
        <v>2393</v>
      </c>
      <c r="E1343" s="198" t="s">
        <v>2394</v>
      </c>
      <c r="F1343" s="11" t="s">
        <v>2272</v>
      </c>
      <c r="G1343" s="11" t="s">
        <v>8604</v>
      </c>
      <c r="H1343" s="23" t="s">
        <v>112</v>
      </c>
      <c r="I1343" s="21">
        <v>22.864244500000002</v>
      </c>
      <c r="J1343" s="21">
        <v>113.48677859999999</v>
      </c>
      <c r="K1343" s="21">
        <v>177900</v>
      </c>
      <c r="L1343" s="11">
        <v>2015</v>
      </c>
      <c r="M1343" s="11">
        <v>2015</v>
      </c>
      <c r="N1343" s="198" t="s">
        <v>2272</v>
      </c>
      <c r="O1343" s="19" t="s">
        <v>66</v>
      </c>
      <c r="P1343" s="19" t="s">
        <v>5181</v>
      </c>
      <c r="Q1343" s="198"/>
    </row>
    <row r="1344" spans="1:17" ht="40" customHeight="1">
      <c r="A1344" s="182">
        <v>351</v>
      </c>
      <c r="B1344" s="37" t="s">
        <v>8593</v>
      </c>
      <c r="C1344" s="26" t="s">
        <v>8599</v>
      </c>
      <c r="D1344" s="198" t="s">
        <v>2393</v>
      </c>
      <c r="E1344" s="198" t="s">
        <v>2394</v>
      </c>
      <c r="F1344" s="11" t="s">
        <v>2272</v>
      </c>
      <c r="G1344" s="11" t="s">
        <v>6288</v>
      </c>
      <c r="H1344" s="23" t="s">
        <v>112</v>
      </c>
      <c r="I1344" s="21">
        <v>32.941176800000001</v>
      </c>
      <c r="J1344" s="21">
        <v>119.1685727</v>
      </c>
      <c r="K1344" s="21">
        <v>102600</v>
      </c>
      <c r="L1344" s="11">
        <v>2015</v>
      </c>
      <c r="M1344" s="11">
        <v>2015</v>
      </c>
      <c r="N1344" s="198" t="s">
        <v>2272</v>
      </c>
      <c r="O1344" s="19" t="s">
        <v>66</v>
      </c>
      <c r="P1344" s="19" t="s">
        <v>5181</v>
      </c>
      <c r="Q1344" s="198"/>
    </row>
    <row r="1345" spans="1:17" ht="40" customHeight="1">
      <c r="A1345" s="182">
        <v>351</v>
      </c>
      <c r="B1345" s="37" t="s">
        <v>8593</v>
      </c>
      <c r="C1345" s="26" t="s">
        <v>8600</v>
      </c>
      <c r="D1345" s="198" t="s">
        <v>2393</v>
      </c>
      <c r="E1345" s="198" t="s">
        <v>2394</v>
      </c>
      <c r="F1345" s="11" t="s">
        <v>2272</v>
      </c>
      <c r="G1345" s="11" t="s">
        <v>8605</v>
      </c>
      <c r="H1345" s="23" t="s">
        <v>112</v>
      </c>
      <c r="I1345" s="21">
        <v>33.874465499999999</v>
      </c>
      <c r="J1345" s="21">
        <v>113.5060582</v>
      </c>
      <c r="K1345" s="21">
        <v>167000</v>
      </c>
      <c r="L1345" s="11">
        <v>2015</v>
      </c>
      <c r="M1345" s="11">
        <v>2015</v>
      </c>
      <c r="N1345" s="198" t="s">
        <v>2272</v>
      </c>
      <c r="O1345" s="19" t="s">
        <v>66</v>
      </c>
      <c r="P1345" s="19" t="s">
        <v>5181</v>
      </c>
      <c r="Q1345" s="198"/>
    </row>
    <row r="1346" spans="1:17" ht="40" customHeight="1">
      <c r="A1346" s="182">
        <v>351</v>
      </c>
      <c r="B1346" s="37" t="s">
        <v>8593</v>
      </c>
      <c r="C1346" s="26" t="s">
        <v>8601</v>
      </c>
      <c r="D1346" s="198" t="s">
        <v>2393</v>
      </c>
      <c r="E1346" s="198" t="s">
        <v>2394</v>
      </c>
      <c r="F1346" s="11" t="s">
        <v>2272</v>
      </c>
      <c r="G1346" s="11" t="s">
        <v>8606</v>
      </c>
      <c r="H1346" s="23" t="s">
        <v>112</v>
      </c>
      <c r="I1346" s="21">
        <v>48.494711100000004</v>
      </c>
      <c r="J1346" s="21">
        <v>128.13871119999999</v>
      </c>
      <c r="K1346" s="21">
        <v>454800</v>
      </c>
      <c r="L1346" s="11">
        <v>2015</v>
      </c>
      <c r="M1346" s="11">
        <v>2015</v>
      </c>
      <c r="N1346" s="198" t="s">
        <v>2272</v>
      </c>
      <c r="O1346" s="19" t="s">
        <v>66</v>
      </c>
      <c r="P1346" s="19" t="s">
        <v>5181</v>
      </c>
      <c r="Q1346" s="198"/>
    </row>
    <row r="1347" spans="1:17" ht="40" customHeight="1">
      <c r="A1347" s="182">
        <v>351</v>
      </c>
      <c r="B1347" s="37" t="s">
        <v>8593</v>
      </c>
      <c r="C1347" s="26" t="s">
        <v>8602</v>
      </c>
      <c r="D1347" s="198" t="s">
        <v>2393</v>
      </c>
      <c r="E1347" s="198" t="s">
        <v>2394</v>
      </c>
      <c r="F1347" s="11" t="s">
        <v>2272</v>
      </c>
      <c r="G1347" s="11" t="s">
        <v>8607</v>
      </c>
      <c r="H1347" s="23" t="s">
        <v>112</v>
      </c>
      <c r="I1347" s="21">
        <v>41.105408199999999</v>
      </c>
      <c r="J1347" s="21">
        <v>122.3184631</v>
      </c>
      <c r="K1347" s="21">
        <v>145900</v>
      </c>
      <c r="L1347" s="11">
        <v>2015</v>
      </c>
      <c r="M1347" s="11">
        <v>2015</v>
      </c>
      <c r="N1347" s="198" t="s">
        <v>2272</v>
      </c>
      <c r="O1347" s="19" t="s">
        <v>66</v>
      </c>
      <c r="P1347" s="19" t="s">
        <v>5181</v>
      </c>
      <c r="Q1347" s="198"/>
    </row>
    <row r="1348" spans="1:17" ht="44" customHeight="1">
      <c r="A1348" s="182">
        <v>352</v>
      </c>
      <c r="B1348" s="37" t="s">
        <v>8618</v>
      </c>
      <c r="C1348" s="26" t="s">
        <v>8619</v>
      </c>
      <c r="D1348" s="198" t="s">
        <v>2393</v>
      </c>
      <c r="E1348" s="198" t="s">
        <v>2631</v>
      </c>
      <c r="F1348" s="11" t="s">
        <v>2272</v>
      </c>
      <c r="G1348" s="11" t="s">
        <v>2272</v>
      </c>
      <c r="H1348" s="23" t="s">
        <v>112</v>
      </c>
      <c r="I1348" s="21">
        <v>29</v>
      </c>
      <c r="J1348" s="21">
        <v>110</v>
      </c>
      <c r="K1348" s="21">
        <v>9597000</v>
      </c>
      <c r="L1348" s="11">
        <v>2000</v>
      </c>
      <c r="M1348" s="11">
        <v>2015</v>
      </c>
      <c r="N1348" s="198" t="s">
        <v>2272</v>
      </c>
      <c r="O1348" s="19" t="s">
        <v>66</v>
      </c>
      <c r="P1348" s="19" t="s">
        <v>5181</v>
      </c>
      <c r="Q1348" s="4" t="s">
        <v>8620</v>
      </c>
    </row>
    <row r="1349" spans="1:17" ht="44" customHeight="1">
      <c r="A1349" s="182">
        <v>352</v>
      </c>
      <c r="B1349" s="37" t="s">
        <v>8618</v>
      </c>
      <c r="C1349" s="26" t="s">
        <v>8623</v>
      </c>
      <c r="D1349" s="198" t="s">
        <v>2393</v>
      </c>
      <c r="E1349" s="198" t="s">
        <v>2631</v>
      </c>
      <c r="F1349" s="198" t="s">
        <v>8621</v>
      </c>
      <c r="G1349" s="11" t="s">
        <v>2272</v>
      </c>
      <c r="H1349" s="23" t="s">
        <v>112</v>
      </c>
      <c r="I1349" s="21">
        <v>46.5</v>
      </c>
      <c r="J1349" s="21">
        <v>122.33329999999999</v>
      </c>
      <c r="K1349" s="21">
        <v>59806</v>
      </c>
      <c r="L1349" s="11">
        <v>2015</v>
      </c>
      <c r="M1349" s="11">
        <v>2015</v>
      </c>
      <c r="N1349" s="198" t="s">
        <v>2272</v>
      </c>
      <c r="O1349" s="19" t="s">
        <v>66</v>
      </c>
      <c r="P1349" s="19" t="s">
        <v>5181</v>
      </c>
      <c r="Q1349" s="198"/>
    </row>
    <row r="1350" spans="1:17" ht="44" customHeight="1">
      <c r="A1350" s="182">
        <v>352</v>
      </c>
      <c r="B1350" s="37" t="s">
        <v>8618</v>
      </c>
      <c r="C1350" s="26" t="s">
        <v>8622</v>
      </c>
      <c r="D1350" s="198" t="s">
        <v>2393</v>
      </c>
      <c r="E1350" s="198" t="s">
        <v>2631</v>
      </c>
      <c r="F1350" s="11" t="s">
        <v>2272</v>
      </c>
      <c r="G1350" s="11" t="s">
        <v>8606</v>
      </c>
      <c r="H1350" s="23" t="s">
        <v>112</v>
      </c>
      <c r="I1350" s="21">
        <v>48.494711100000004</v>
      </c>
      <c r="J1350" s="21">
        <v>128.13871119999999</v>
      </c>
      <c r="K1350" s="21">
        <v>454800</v>
      </c>
      <c r="L1350" s="11">
        <v>2015</v>
      </c>
      <c r="M1350" s="11">
        <v>2015</v>
      </c>
      <c r="N1350" s="198" t="s">
        <v>2272</v>
      </c>
      <c r="O1350" s="19" t="s">
        <v>66</v>
      </c>
      <c r="P1350" s="19" t="s">
        <v>5181</v>
      </c>
      <c r="Q1350" s="198"/>
    </row>
    <row r="1351" spans="1:17" ht="37" customHeight="1">
      <c r="A1351" s="182">
        <v>353</v>
      </c>
      <c r="B1351" s="37" t="s">
        <v>8632</v>
      </c>
      <c r="C1351" s="26" t="s">
        <v>8630</v>
      </c>
      <c r="D1351" s="198" t="s">
        <v>2393</v>
      </c>
      <c r="E1351" s="198" t="s">
        <v>4842</v>
      </c>
      <c r="F1351" s="11" t="s">
        <v>2272</v>
      </c>
      <c r="G1351" s="11" t="s">
        <v>2272</v>
      </c>
      <c r="H1351" s="23" t="s">
        <v>112</v>
      </c>
      <c r="I1351" s="21">
        <v>29</v>
      </c>
      <c r="J1351" s="21">
        <v>110</v>
      </c>
      <c r="K1351" s="21">
        <v>9597000</v>
      </c>
      <c r="L1351" s="11">
        <v>1996</v>
      </c>
      <c r="M1351" s="11">
        <v>2005</v>
      </c>
      <c r="N1351" s="198" t="s">
        <v>2272</v>
      </c>
      <c r="O1351" s="19" t="s">
        <v>66</v>
      </c>
      <c r="P1351" s="19" t="s">
        <v>5181</v>
      </c>
      <c r="Q1351" s="198"/>
    </row>
    <row r="1352" spans="1:17" ht="42" customHeight="1">
      <c r="A1352" s="182">
        <v>354</v>
      </c>
      <c r="B1352" s="37" t="s">
        <v>8633</v>
      </c>
      <c r="C1352" s="26" t="s">
        <v>8634</v>
      </c>
      <c r="D1352" s="198" t="s">
        <v>2393</v>
      </c>
      <c r="E1352" s="198" t="s">
        <v>2631</v>
      </c>
      <c r="F1352" s="11" t="s">
        <v>2272</v>
      </c>
      <c r="G1352" s="11" t="s">
        <v>8635</v>
      </c>
      <c r="H1352" s="23" t="s">
        <v>112</v>
      </c>
      <c r="I1352" s="21">
        <v>31.247683299999998</v>
      </c>
      <c r="J1352" s="21">
        <v>120.2433458</v>
      </c>
      <c r="K1352" s="198" t="s">
        <v>2272</v>
      </c>
      <c r="L1352" s="11">
        <v>1000</v>
      </c>
      <c r="M1352" s="11">
        <v>1950</v>
      </c>
      <c r="N1352" s="198" t="s">
        <v>2272</v>
      </c>
      <c r="O1352" s="19" t="s">
        <v>66</v>
      </c>
      <c r="P1352" s="19" t="s">
        <v>5181</v>
      </c>
      <c r="Q1352" s="198"/>
    </row>
    <row r="1353" spans="1:17" ht="44" customHeight="1">
      <c r="A1353" s="182">
        <v>354</v>
      </c>
      <c r="B1353" s="37" t="s">
        <v>8633</v>
      </c>
      <c r="C1353" s="26" t="s">
        <v>8636</v>
      </c>
      <c r="D1353" s="198" t="s">
        <v>2393</v>
      </c>
      <c r="E1353" s="198" t="s">
        <v>2631</v>
      </c>
      <c r="F1353" s="11" t="s">
        <v>2272</v>
      </c>
      <c r="G1353" s="11" t="s">
        <v>8635</v>
      </c>
      <c r="H1353" s="23" t="s">
        <v>112</v>
      </c>
      <c r="I1353" s="21">
        <v>31.247683299999998</v>
      </c>
      <c r="J1353" s="21">
        <v>120.2433458</v>
      </c>
      <c r="K1353" s="198" t="s">
        <v>2272</v>
      </c>
      <c r="L1353" s="11">
        <v>1951</v>
      </c>
      <c r="M1353" s="11">
        <v>1995</v>
      </c>
      <c r="N1353" s="198" t="s">
        <v>2272</v>
      </c>
      <c r="O1353" s="19" t="s">
        <v>66</v>
      </c>
      <c r="P1353" s="19" t="s">
        <v>5181</v>
      </c>
      <c r="Q1353" s="198"/>
    </row>
    <row r="1354" spans="1:17" ht="46.5" customHeight="1">
      <c r="A1354" s="182">
        <v>355</v>
      </c>
      <c r="B1354" s="37" t="s">
        <v>8640</v>
      </c>
      <c r="C1354" s="26" t="s">
        <v>8641</v>
      </c>
      <c r="D1354" s="198" t="s">
        <v>2393</v>
      </c>
      <c r="E1354" s="198" t="s">
        <v>2394</v>
      </c>
      <c r="F1354" s="198" t="s">
        <v>8643</v>
      </c>
      <c r="G1354" s="11" t="s">
        <v>2272</v>
      </c>
      <c r="H1354" s="23" t="s">
        <v>112</v>
      </c>
      <c r="I1354" s="21">
        <v>31.75</v>
      </c>
      <c r="J1354" s="21">
        <v>118.11</v>
      </c>
      <c r="K1354" s="198" t="s">
        <v>2272</v>
      </c>
      <c r="L1354" s="198">
        <v>2014</v>
      </c>
      <c r="M1354" s="198">
        <v>2014</v>
      </c>
      <c r="N1354" s="198" t="s">
        <v>2272</v>
      </c>
      <c r="O1354" s="19" t="s">
        <v>66</v>
      </c>
      <c r="P1354" s="19" t="s">
        <v>5181</v>
      </c>
      <c r="Q1354" s="198"/>
    </row>
    <row r="1355" spans="1:17" ht="41" customHeight="1">
      <c r="A1355" s="182">
        <v>355</v>
      </c>
      <c r="B1355" s="37" t="s">
        <v>8640</v>
      </c>
      <c r="C1355" s="26" t="s">
        <v>8642</v>
      </c>
      <c r="D1355" s="198" t="s">
        <v>2393</v>
      </c>
      <c r="E1355" s="198" t="s">
        <v>2394</v>
      </c>
      <c r="F1355" s="198" t="s">
        <v>8644</v>
      </c>
      <c r="G1355" s="11" t="s">
        <v>2272</v>
      </c>
      <c r="H1355" s="23" t="s">
        <v>112</v>
      </c>
      <c r="I1355" s="21">
        <v>30.84</v>
      </c>
      <c r="J1355" s="21">
        <v>117.65</v>
      </c>
      <c r="K1355" s="198" t="s">
        <v>2272</v>
      </c>
      <c r="L1355" s="198">
        <v>2014</v>
      </c>
      <c r="M1355" s="198">
        <v>2014</v>
      </c>
      <c r="N1355" s="198" t="s">
        <v>2272</v>
      </c>
      <c r="O1355" s="19" t="s">
        <v>66</v>
      </c>
      <c r="P1355" s="19" t="s">
        <v>5181</v>
      </c>
      <c r="Q1355" s="198"/>
    </row>
    <row r="1356" spans="1:17" ht="37" customHeight="1">
      <c r="A1356" s="182">
        <v>356</v>
      </c>
      <c r="B1356" s="37" t="s">
        <v>8649</v>
      </c>
      <c r="C1356" s="26" t="s">
        <v>8650</v>
      </c>
      <c r="D1356" s="198" t="s">
        <v>2393</v>
      </c>
      <c r="E1356" s="198" t="s">
        <v>2394</v>
      </c>
      <c r="F1356" s="11" t="s">
        <v>2272</v>
      </c>
      <c r="G1356" s="198" t="s">
        <v>8651</v>
      </c>
      <c r="H1356" s="23" t="s">
        <v>112</v>
      </c>
      <c r="I1356" s="21">
        <v>31.152552100000001</v>
      </c>
      <c r="J1356" s="21">
        <v>112.2510759</v>
      </c>
      <c r="K1356" s="21">
        <v>185900</v>
      </c>
      <c r="L1356" s="11">
        <v>2015</v>
      </c>
      <c r="M1356" s="11">
        <v>2015</v>
      </c>
      <c r="N1356" s="198">
        <f>58000000/K1356</f>
        <v>311.9956966110812</v>
      </c>
      <c r="O1356" s="19" t="s">
        <v>66</v>
      </c>
      <c r="P1356" s="19" t="s">
        <v>5181</v>
      </c>
      <c r="Q1356" s="198"/>
    </row>
    <row r="1357" spans="1:17" ht="45.5" customHeight="1">
      <c r="A1357" s="182">
        <v>357</v>
      </c>
      <c r="B1357" s="37" t="s">
        <v>8654</v>
      </c>
      <c r="C1357" s="26" t="s">
        <v>8655</v>
      </c>
      <c r="D1357" s="198" t="s">
        <v>2393</v>
      </c>
      <c r="E1357" s="198" t="s">
        <v>4842</v>
      </c>
      <c r="F1357" s="60" t="s">
        <v>8662</v>
      </c>
      <c r="G1357" s="198" t="s">
        <v>8658</v>
      </c>
      <c r="H1357" s="198" t="s">
        <v>86</v>
      </c>
      <c r="I1357" s="21">
        <v>30.7741833715288</v>
      </c>
      <c r="J1357" s="21">
        <v>75.160195001733896</v>
      </c>
      <c r="K1357" s="21">
        <f>AVERAGE(22.81, 25.19, 26.04, 26.11, 24.87, 25.3, 26.14, 26.47)*(100000/100)</f>
        <v>25366.249999999996</v>
      </c>
      <c r="L1357" s="11">
        <v>1999</v>
      </c>
      <c r="M1357" s="11">
        <v>2005</v>
      </c>
      <c r="N1357" s="198" t="s">
        <v>2272</v>
      </c>
      <c r="O1357" s="19" t="s">
        <v>66</v>
      </c>
      <c r="P1357" s="19" t="s">
        <v>5181</v>
      </c>
      <c r="Q1357" s="11" t="s">
        <v>8661</v>
      </c>
    </row>
    <row r="1358" spans="1:17" ht="38" customHeight="1">
      <c r="A1358" s="182">
        <v>357</v>
      </c>
      <c r="B1358" s="37" t="s">
        <v>8654</v>
      </c>
      <c r="C1358" s="26" t="s">
        <v>8656</v>
      </c>
      <c r="D1358" s="198" t="s">
        <v>2393</v>
      </c>
      <c r="E1358" s="198" t="s">
        <v>4842</v>
      </c>
      <c r="F1358" s="60" t="s">
        <v>8662</v>
      </c>
      <c r="G1358" s="198" t="s">
        <v>88</v>
      </c>
      <c r="H1358" s="198" t="s">
        <v>86</v>
      </c>
      <c r="I1358" s="21">
        <v>29.678193861136599</v>
      </c>
      <c r="J1358" s="21">
        <v>76.341552366334696</v>
      </c>
      <c r="K1358" s="21">
        <f>AVERAGE(9.13, 10.83, 10.83, 10.54, 10.28, 9.06, 10.15, 10.28)*(100000/100)</f>
        <v>10137.500000000002</v>
      </c>
      <c r="L1358" s="11">
        <v>1999</v>
      </c>
      <c r="M1358" s="11">
        <v>2005</v>
      </c>
      <c r="N1358" s="198" t="s">
        <v>2272</v>
      </c>
      <c r="O1358" s="19" t="s">
        <v>66</v>
      </c>
      <c r="P1358" s="19" t="s">
        <v>5181</v>
      </c>
      <c r="Q1358" s="11" t="s">
        <v>8661</v>
      </c>
    </row>
    <row r="1359" spans="1:17" ht="40" customHeight="1">
      <c r="A1359" s="182">
        <v>357</v>
      </c>
      <c r="B1359" s="37" t="s">
        <v>8654</v>
      </c>
      <c r="C1359" s="26" t="s">
        <v>8657</v>
      </c>
      <c r="D1359" s="198" t="s">
        <v>2393</v>
      </c>
      <c r="E1359" s="198" t="s">
        <v>4842</v>
      </c>
      <c r="F1359" s="60" t="s">
        <v>8662</v>
      </c>
      <c r="G1359" s="198" t="s">
        <v>8377</v>
      </c>
      <c r="H1359" s="198" t="s">
        <v>86</v>
      </c>
      <c r="I1359" s="21">
        <f>29+22/60</f>
        <v>29.366666666666667</v>
      </c>
      <c r="J1359" s="21">
        <v>78.5</v>
      </c>
      <c r="K1359" s="21">
        <f>AVERAGE(56.64, 58.81, 60.8, 59.07, 60.71, 52.13, 59.52)*(100000/100)</f>
        <v>58239.999999999993</v>
      </c>
      <c r="L1359" s="11">
        <v>1999</v>
      </c>
      <c r="M1359" s="11">
        <v>2005</v>
      </c>
      <c r="N1359" s="198" t="s">
        <v>2272</v>
      </c>
      <c r="O1359" s="19" t="s">
        <v>66</v>
      </c>
      <c r="P1359" s="19" t="s">
        <v>5181</v>
      </c>
      <c r="Q1359" s="11" t="s">
        <v>8661</v>
      </c>
    </row>
    <row r="1360" spans="1:17" ht="42" customHeight="1">
      <c r="A1360" s="182">
        <v>357</v>
      </c>
      <c r="B1360" s="37" t="s">
        <v>8654</v>
      </c>
      <c r="C1360" s="26" t="s">
        <v>8659</v>
      </c>
      <c r="D1360" s="198" t="s">
        <v>2393</v>
      </c>
      <c r="E1360" s="198" t="s">
        <v>4842</v>
      </c>
      <c r="F1360" s="11" t="s">
        <v>2272</v>
      </c>
      <c r="G1360" s="11" t="s">
        <v>2272</v>
      </c>
      <c r="H1360" s="198" t="s">
        <v>1049</v>
      </c>
      <c r="I1360" s="21">
        <v>15.0390905</v>
      </c>
      <c r="J1360" s="21">
        <v>101.490104</v>
      </c>
      <c r="K1360" s="172">
        <f>29146*1000/'Land use'!J1360/'Land use'!J1360/100</f>
        <v>33403.79891450642</v>
      </c>
      <c r="L1360" s="11">
        <v>2007</v>
      </c>
      <c r="M1360" s="11">
        <v>2007</v>
      </c>
      <c r="N1360" s="198" t="s">
        <v>2272</v>
      </c>
      <c r="O1360" s="19" t="s">
        <v>66</v>
      </c>
      <c r="P1360" s="19" t="s">
        <v>5181</v>
      </c>
      <c r="Q1360" s="11" t="s">
        <v>8661</v>
      </c>
    </row>
    <row r="1361" spans="1:17" ht="42" customHeight="1">
      <c r="A1361" s="182">
        <v>357</v>
      </c>
      <c r="B1361" s="37" t="s">
        <v>8654</v>
      </c>
      <c r="C1361" s="26" t="s">
        <v>8660</v>
      </c>
      <c r="D1361" s="198" t="s">
        <v>2393</v>
      </c>
      <c r="E1361" s="198" t="s">
        <v>4842</v>
      </c>
      <c r="F1361" s="11" t="s">
        <v>2272</v>
      </c>
      <c r="G1361" s="11" t="s">
        <v>2272</v>
      </c>
      <c r="H1361" s="198" t="s">
        <v>624</v>
      </c>
      <c r="I1361" s="21">
        <v>10.020728399999999</v>
      </c>
      <c r="J1361" s="21">
        <v>122.9721091</v>
      </c>
      <c r="K1361" s="172">
        <f>14239*1000/'Land use'!J1361/'Land use'!J1361/100</f>
        <v>11711.532252430943</v>
      </c>
      <c r="L1361" s="11">
        <v>2007</v>
      </c>
      <c r="M1361" s="11">
        <v>2007</v>
      </c>
      <c r="N1361" s="198" t="s">
        <v>2272</v>
      </c>
      <c r="O1361" s="19" t="s">
        <v>66</v>
      </c>
      <c r="P1361" s="19" t="s">
        <v>5181</v>
      </c>
      <c r="Q1361" s="11" t="s">
        <v>8661</v>
      </c>
    </row>
    <row r="1362" spans="1:17" ht="46.5" customHeight="1">
      <c r="A1362" s="182">
        <v>358</v>
      </c>
      <c r="B1362" s="37" t="s">
        <v>8674</v>
      </c>
      <c r="C1362" s="26" t="s">
        <v>8669</v>
      </c>
      <c r="D1362" s="198" t="s">
        <v>2393</v>
      </c>
      <c r="E1362" s="198" t="s">
        <v>2400</v>
      </c>
      <c r="F1362" s="11" t="s">
        <v>2272</v>
      </c>
      <c r="G1362" s="19" t="s">
        <v>8675</v>
      </c>
      <c r="H1362" s="23" t="s">
        <v>112</v>
      </c>
      <c r="I1362" s="21">
        <f>AVERAGE(41.2, 53.23)</f>
        <v>47.215000000000003</v>
      </c>
      <c r="J1362" s="21">
        <f>AVERAGE(115.22, 126.06)</f>
        <v>120.64</v>
      </c>
      <c r="K1362" s="21">
        <v>452540</v>
      </c>
      <c r="L1362" s="11">
        <v>2000</v>
      </c>
      <c r="M1362" s="11">
        <v>2010</v>
      </c>
      <c r="N1362" s="198" t="s">
        <v>2272</v>
      </c>
      <c r="O1362" s="19" t="s">
        <v>66</v>
      </c>
      <c r="P1362" s="19" t="s">
        <v>5181</v>
      </c>
      <c r="Q1362" s="198"/>
    </row>
    <row r="1363" spans="1:17" ht="43" customHeight="1">
      <c r="A1363" s="182">
        <v>359</v>
      </c>
      <c r="B1363" s="37" t="s">
        <v>8681</v>
      </c>
      <c r="C1363" s="26" t="s">
        <v>8680</v>
      </c>
      <c r="D1363" s="198" t="s">
        <v>2393</v>
      </c>
      <c r="E1363" s="198" t="s">
        <v>4842</v>
      </c>
      <c r="F1363" s="11" t="s">
        <v>8691</v>
      </c>
      <c r="G1363" s="19" t="s">
        <v>8675</v>
      </c>
      <c r="H1363" s="23" t="s">
        <v>112</v>
      </c>
      <c r="I1363" s="21">
        <f>AVERAGE(47.08, 53.23)</f>
        <v>50.155000000000001</v>
      </c>
      <c r="J1363" s="21">
        <f>AVERAGE(115.22, 126.08)</f>
        <v>120.65</v>
      </c>
      <c r="K1363" s="21">
        <v>252948</v>
      </c>
      <c r="L1363" s="11">
        <v>1977</v>
      </c>
      <c r="M1363" s="11">
        <v>1996</v>
      </c>
      <c r="N1363" s="198" t="s">
        <v>2272</v>
      </c>
      <c r="O1363" s="19" t="s">
        <v>66</v>
      </c>
      <c r="P1363" s="19" t="s">
        <v>5181</v>
      </c>
      <c r="Q1363" s="198"/>
    </row>
    <row r="1364" spans="1:17" ht="44.5" customHeight="1">
      <c r="A1364" s="182">
        <v>360</v>
      </c>
      <c r="B1364" s="37" t="s">
        <v>8692</v>
      </c>
      <c r="C1364" s="26" t="s">
        <v>8693</v>
      </c>
      <c r="D1364" s="198" t="s">
        <v>2393</v>
      </c>
      <c r="E1364" s="198" t="s">
        <v>2394</v>
      </c>
      <c r="F1364" s="11" t="s">
        <v>8700</v>
      </c>
      <c r="G1364" s="11" t="s">
        <v>8694</v>
      </c>
      <c r="H1364" s="23" t="s">
        <v>776</v>
      </c>
      <c r="I1364" s="21">
        <f>10+18/60</f>
        <v>10.3</v>
      </c>
      <c r="J1364" s="21">
        <f>105+54/60</f>
        <v>105.9</v>
      </c>
      <c r="K1364" s="21">
        <f>35*0.9/100</f>
        <v>0.315</v>
      </c>
      <c r="L1364" s="11">
        <v>2007</v>
      </c>
      <c r="M1364" s="11">
        <v>2011</v>
      </c>
      <c r="N1364" s="198" t="s">
        <v>2272</v>
      </c>
      <c r="O1364" s="19" t="s">
        <v>66</v>
      </c>
      <c r="P1364" s="19" t="s">
        <v>5181</v>
      </c>
      <c r="Q1364" s="198"/>
    </row>
    <row r="1365" spans="1:17" ht="37" customHeight="1">
      <c r="A1365" s="182">
        <v>361</v>
      </c>
      <c r="B1365" s="37" t="s">
        <v>8702</v>
      </c>
      <c r="C1365" s="198" t="s">
        <v>8703</v>
      </c>
      <c r="D1365" s="198" t="s">
        <v>2393</v>
      </c>
      <c r="E1365" s="198" t="s">
        <v>2417</v>
      </c>
      <c r="F1365" s="11" t="s">
        <v>2272</v>
      </c>
      <c r="G1365" s="198" t="s">
        <v>8701</v>
      </c>
      <c r="H1365" s="23" t="s">
        <v>776</v>
      </c>
      <c r="I1365" s="21">
        <v>20.973675100000001</v>
      </c>
      <c r="J1365" s="21">
        <v>105.65267590000001</v>
      </c>
      <c r="K1365" s="21">
        <v>3120</v>
      </c>
      <c r="L1365" s="198">
        <v>2016</v>
      </c>
      <c r="M1365" s="198">
        <v>2016</v>
      </c>
      <c r="N1365" s="21">
        <f>5053564/K1365</f>
        <v>1619.7320512820513</v>
      </c>
      <c r="O1365" s="19" t="s">
        <v>66</v>
      </c>
      <c r="P1365" s="19" t="s">
        <v>5181</v>
      </c>
      <c r="Q1365" s="4" t="s">
        <v>11580</v>
      </c>
    </row>
    <row r="1366" spans="1:17" ht="44.5" customHeight="1">
      <c r="A1366" s="182">
        <v>362</v>
      </c>
      <c r="B1366" s="37" t="s">
        <v>8715</v>
      </c>
      <c r="C1366" s="26" t="s">
        <v>8716</v>
      </c>
      <c r="D1366" s="198" t="s">
        <v>2393</v>
      </c>
      <c r="E1366" s="198" t="s">
        <v>4842</v>
      </c>
      <c r="F1366" s="11" t="s">
        <v>2272</v>
      </c>
      <c r="G1366" s="198" t="s">
        <v>8717</v>
      </c>
      <c r="H1366" s="198" t="s">
        <v>4107</v>
      </c>
      <c r="I1366" s="21">
        <v>32.638473300000001</v>
      </c>
      <c r="J1366" s="21">
        <v>-83.758179100000007</v>
      </c>
      <c r="K1366" s="21">
        <v>153909</v>
      </c>
      <c r="L1366" s="198">
        <v>2014</v>
      </c>
      <c r="M1366" s="198">
        <v>2014</v>
      </c>
      <c r="N1366" s="198" t="s">
        <v>2272</v>
      </c>
      <c r="O1366" s="19" t="s">
        <v>66</v>
      </c>
      <c r="P1366" s="19" t="s">
        <v>5181</v>
      </c>
      <c r="Q1366" s="4" t="s">
        <v>8732</v>
      </c>
    </row>
    <row r="1367" spans="1:17" ht="44.5" customHeight="1">
      <c r="A1367" s="182">
        <v>362</v>
      </c>
      <c r="B1367" s="37" t="s">
        <v>8715</v>
      </c>
      <c r="C1367" s="26" t="s">
        <v>8721</v>
      </c>
      <c r="D1367" s="198" t="s">
        <v>2393</v>
      </c>
      <c r="E1367" s="198" t="s">
        <v>2400</v>
      </c>
      <c r="F1367" s="11" t="s">
        <v>2272</v>
      </c>
      <c r="G1367" s="198" t="s">
        <v>4106</v>
      </c>
      <c r="H1367" s="198" t="s">
        <v>4107</v>
      </c>
      <c r="I1367" s="21">
        <v>38.498778899999998</v>
      </c>
      <c r="J1367" s="21">
        <v>-98.320077900000001</v>
      </c>
      <c r="K1367" s="21">
        <v>213100</v>
      </c>
      <c r="L1367" s="198">
        <v>2014</v>
      </c>
      <c r="M1367" s="198">
        <v>2014</v>
      </c>
      <c r="N1367" s="198" t="s">
        <v>2272</v>
      </c>
      <c r="O1367" s="19" t="s">
        <v>66</v>
      </c>
      <c r="P1367" s="19" t="s">
        <v>5181</v>
      </c>
      <c r="Q1367" s="4" t="s">
        <v>8732</v>
      </c>
    </row>
    <row r="1368" spans="1:17" ht="44.5" customHeight="1">
      <c r="A1368" s="182">
        <v>362</v>
      </c>
      <c r="B1368" s="37" t="s">
        <v>8715</v>
      </c>
      <c r="C1368" s="26" t="s">
        <v>8722</v>
      </c>
      <c r="D1368" s="198" t="s">
        <v>2393</v>
      </c>
      <c r="E1368" s="198" t="s">
        <v>2400</v>
      </c>
      <c r="F1368" s="11" t="s">
        <v>2272</v>
      </c>
      <c r="G1368" s="198" t="s">
        <v>8043</v>
      </c>
      <c r="H1368" s="198" t="s">
        <v>4107</v>
      </c>
      <c r="I1368" s="21">
        <v>35.3090495</v>
      </c>
      <c r="J1368" s="21">
        <v>-98.716558500000005</v>
      </c>
      <c r="K1368" s="21">
        <v>181037</v>
      </c>
      <c r="L1368" s="198">
        <v>2014</v>
      </c>
      <c r="M1368" s="198">
        <v>2014</v>
      </c>
      <c r="N1368" s="198" t="s">
        <v>2272</v>
      </c>
      <c r="O1368" s="19" t="s">
        <v>66</v>
      </c>
      <c r="P1368" s="19" t="s">
        <v>5181</v>
      </c>
      <c r="Q1368" s="4" t="s">
        <v>8732</v>
      </c>
    </row>
    <row r="1369" spans="1:17" ht="44.5" customHeight="1">
      <c r="A1369" s="182">
        <v>363</v>
      </c>
      <c r="B1369" s="37" t="s">
        <v>8734</v>
      </c>
      <c r="C1369" s="198" t="s">
        <v>8733</v>
      </c>
      <c r="D1369" s="198" t="s">
        <v>2393</v>
      </c>
      <c r="E1369" s="198" t="s">
        <v>2395</v>
      </c>
      <c r="F1369" s="11" t="s">
        <v>2272</v>
      </c>
      <c r="G1369" s="11" t="s">
        <v>8735</v>
      </c>
      <c r="H1369" s="11" t="s">
        <v>6317</v>
      </c>
      <c r="I1369" s="21">
        <v>54.740181999999997</v>
      </c>
      <c r="J1369" s="21">
        <v>33.069727999999998</v>
      </c>
      <c r="K1369" s="21">
        <v>49800</v>
      </c>
      <c r="L1369" s="11">
        <v>2014</v>
      </c>
      <c r="M1369" s="11">
        <v>2014</v>
      </c>
      <c r="N1369" s="198" t="s">
        <v>2272</v>
      </c>
      <c r="O1369" s="19" t="s">
        <v>66</v>
      </c>
      <c r="P1369" s="19" t="s">
        <v>5181</v>
      </c>
      <c r="Q1369" s="198"/>
    </row>
    <row r="1370" spans="1:17" ht="44.5" customHeight="1">
      <c r="A1370" s="182">
        <v>363</v>
      </c>
      <c r="B1370" s="37" t="s">
        <v>8734</v>
      </c>
      <c r="C1370" s="198" t="s">
        <v>8740</v>
      </c>
      <c r="D1370" s="198" t="s">
        <v>2393</v>
      </c>
      <c r="E1370" s="198" t="s">
        <v>2400</v>
      </c>
      <c r="F1370" s="11" t="s">
        <v>2272</v>
      </c>
      <c r="G1370" s="11" t="s">
        <v>2272</v>
      </c>
      <c r="H1370" s="11" t="s">
        <v>8742</v>
      </c>
      <c r="I1370" s="21">
        <f>53+39/60</f>
        <v>53.65</v>
      </c>
      <c r="J1370" s="21">
        <f>28+5/60</f>
        <v>28.083333333333332</v>
      </c>
      <c r="K1370" s="21">
        <v>207595</v>
      </c>
      <c r="L1370" s="11">
        <v>2000</v>
      </c>
      <c r="M1370" s="11">
        <v>2010</v>
      </c>
      <c r="N1370" s="198" t="s">
        <v>2272</v>
      </c>
      <c r="O1370" s="19" t="s">
        <v>66</v>
      </c>
      <c r="P1370" s="19" t="s">
        <v>5181</v>
      </c>
      <c r="Q1370" s="198"/>
    </row>
    <row r="1371" spans="1:17" ht="44.5" customHeight="1">
      <c r="A1371" s="182">
        <v>363</v>
      </c>
      <c r="B1371" s="37" t="s">
        <v>8734</v>
      </c>
      <c r="C1371" s="198" t="s">
        <v>8741</v>
      </c>
      <c r="D1371" s="198" t="s">
        <v>2393</v>
      </c>
      <c r="E1371" s="198" t="s">
        <v>2400</v>
      </c>
      <c r="F1371" s="11" t="s">
        <v>2272</v>
      </c>
      <c r="G1371" s="11" t="s">
        <v>2272</v>
      </c>
      <c r="H1371" s="11" t="s">
        <v>8743</v>
      </c>
      <c r="I1371" s="21">
        <v>55.173557899999999</v>
      </c>
      <c r="J1371" s="21">
        <v>23.8832615</v>
      </c>
      <c r="K1371" s="21">
        <v>65300</v>
      </c>
      <c r="L1371" s="11">
        <v>2000</v>
      </c>
      <c r="M1371" s="11">
        <v>2010</v>
      </c>
      <c r="N1371" s="198" t="s">
        <v>2272</v>
      </c>
      <c r="O1371" s="19" t="s">
        <v>66</v>
      </c>
      <c r="P1371" s="19" t="s">
        <v>5181</v>
      </c>
      <c r="Q1371" s="198"/>
    </row>
    <row r="1372" spans="1:17" ht="29" customHeight="1">
      <c r="A1372" s="223">
        <v>364</v>
      </c>
      <c r="B1372" s="7" t="s">
        <v>8756</v>
      </c>
      <c r="C1372" s="5" t="s">
        <v>8757</v>
      </c>
      <c r="D1372" s="198" t="s">
        <v>2393</v>
      </c>
      <c r="E1372" s="5" t="s">
        <v>4842</v>
      </c>
      <c r="F1372" s="60" t="s">
        <v>8787</v>
      </c>
      <c r="G1372" s="11" t="s">
        <v>8771</v>
      </c>
      <c r="H1372" s="11" t="s">
        <v>8786</v>
      </c>
      <c r="I1372" s="21">
        <v>31.224110899999999</v>
      </c>
      <c r="J1372" s="21">
        <v>29.954885900000001</v>
      </c>
      <c r="K1372" s="21">
        <f>'Reported burning'!U3315/0.6</f>
        <v>1183.3333333333335</v>
      </c>
      <c r="L1372" s="11">
        <v>2008</v>
      </c>
      <c r="M1372" s="11">
        <v>2011</v>
      </c>
      <c r="N1372" s="198" t="s">
        <v>2272</v>
      </c>
      <c r="O1372" s="19" t="s">
        <v>66</v>
      </c>
      <c r="P1372" s="19" t="s">
        <v>5181</v>
      </c>
      <c r="Q1372" s="198"/>
    </row>
    <row r="1373" spans="1:17" ht="29" customHeight="1">
      <c r="A1373" s="182">
        <v>364</v>
      </c>
      <c r="B1373" s="7" t="s">
        <v>8756</v>
      </c>
      <c r="C1373" s="11" t="s">
        <v>8758</v>
      </c>
      <c r="D1373" s="198" t="s">
        <v>2393</v>
      </c>
      <c r="E1373" s="5" t="s">
        <v>4842</v>
      </c>
      <c r="F1373" s="60" t="s">
        <v>8787</v>
      </c>
      <c r="G1373" s="11" t="s">
        <v>8772</v>
      </c>
      <c r="H1373" s="11" t="s">
        <v>8786</v>
      </c>
      <c r="I1373" s="21">
        <v>30.688140400000002</v>
      </c>
      <c r="J1373" s="21">
        <v>30.2411952</v>
      </c>
      <c r="K1373" s="21">
        <f>'Reported burning'!U3316/0.6</f>
        <v>83217.5</v>
      </c>
      <c r="L1373" s="11">
        <v>2008</v>
      </c>
      <c r="M1373" s="11">
        <v>2011</v>
      </c>
      <c r="N1373" s="198" t="s">
        <v>2272</v>
      </c>
      <c r="O1373" s="19" t="s">
        <v>66</v>
      </c>
      <c r="P1373" s="19" t="s">
        <v>5181</v>
      </c>
      <c r="Q1373" s="198"/>
    </row>
    <row r="1374" spans="1:17" ht="29" customHeight="1">
      <c r="A1374" s="182">
        <v>364</v>
      </c>
      <c r="B1374" s="7" t="s">
        <v>8756</v>
      </c>
      <c r="C1374" s="11" t="s">
        <v>8759</v>
      </c>
      <c r="D1374" s="198" t="s">
        <v>2393</v>
      </c>
      <c r="E1374" s="5" t="s">
        <v>4842</v>
      </c>
      <c r="F1374" s="60" t="s">
        <v>8787</v>
      </c>
      <c r="G1374" s="11" t="s">
        <v>8773</v>
      </c>
      <c r="H1374" s="11" t="s">
        <v>8786</v>
      </c>
      <c r="I1374" s="21">
        <v>30.8685647</v>
      </c>
      <c r="J1374" s="21">
        <v>31.028994000000001</v>
      </c>
      <c r="K1374" s="21">
        <f>'Reported burning'!U3317/0.6</f>
        <v>55575</v>
      </c>
      <c r="L1374" s="11">
        <v>2008</v>
      </c>
      <c r="M1374" s="11">
        <v>2011</v>
      </c>
      <c r="N1374" s="198" t="s">
        <v>2272</v>
      </c>
      <c r="O1374" s="19" t="s">
        <v>66</v>
      </c>
      <c r="P1374" s="19" t="s">
        <v>5181</v>
      </c>
      <c r="Q1374" s="198"/>
    </row>
    <row r="1375" spans="1:17" ht="29" customHeight="1">
      <c r="A1375" s="182">
        <v>364</v>
      </c>
      <c r="B1375" s="7" t="s">
        <v>8756</v>
      </c>
      <c r="C1375" s="11" t="s">
        <v>8760</v>
      </c>
      <c r="D1375" s="198" t="s">
        <v>2393</v>
      </c>
      <c r="E1375" s="5" t="s">
        <v>4842</v>
      </c>
      <c r="F1375" s="60" t="s">
        <v>8787</v>
      </c>
      <c r="G1375" s="11" t="s">
        <v>8788</v>
      </c>
      <c r="H1375" s="11" t="s">
        <v>8786</v>
      </c>
      <c r="I1375" s="21">
        <v>31.298152000000002</v>
      </c>
      <c r="J1375" s="21">
        <v>30.825961299999999</v>
      </c>
      <c r="K1375" s="21">
        <f>'Reported burning'!U3318/0.6</f>
        <v>130821.66666666667</v>
      </c>
      <c r="L1375" s="11">
        <v>2008</v>
      </c>
      <c r="M1375" s="11">
        <v>2011</v>
      </c>
      <c r="N1375" s="198" t="s">
        <v>2272</v>
      </c>
      <c r="O1375" s="19" t="s">
        <v>66</v>
      </c>
      <c r="P1375" s="19" t="s">
        <v>5181</v>
      </c>
      <c r="Q1375" s="198"/>
    </row>
    <row r="1376" spans="1:17" ht="29" customHeight="1">
      <c r="A1376" s="182">
        <v>364</v>
      </c>
      <c r="B1376" s="7" t="s">
        <v>8756</v>
      </c>
      <c r="C1376" s="11" t="s">
        <v>8761</v>
      </c>
      <c r="D1376" s="198" t="s">
        <v>2393</v>
      </c>
      <c r="E1376" s="5" t="s">
        <v>4842</v>
      </c>
      <c r="F1376" s="60" t="s">
        <v>8787</v>
      </c>
      <c r="G1376" s="11" t="s">
        <v>8774</v>
      </c>
      <c r="H1376" s="11" t="s">
        <v>8786</v>
      </c>
      <c r="I1376" s="21">
        <v>31.0620099</v>
      </c>
      <c r="J1376" s="21">
        <v>31.6471442</v>
      </c>
      <c r="K1376" s="21">
        <f>'Reported burning'!U3319/0.6</f>
        <v>162305.41666666669</v>
      </c>
      <c r="L1376" s="11">
        <v>2008</v>
      </c>
      <c r="M1376" s="11">
        <v>2011</v>
      </c>
      <c r="N1376" s="198" t="s">
        <v>2272</v>
      </c>
      <c r="O1376" s="19" t="s">
        <v>66</v>
      </c>
      <c r="P1376" s="19" t="s">
        <v>5181</v>
      </c>
      <c r="Q1376" s="198"/>
    </row>
    <row r="1377" spans="1:17" ht="29" customHeight="1">
      <c r="A1377" s="182">
        <v>364</v>
      </c>
      <c r="B1377" s="7" t="s">
        <v>8756</v>
      </c>
      <c r="C1377" s="11" t="s">
        <v>8762</v>
      </c>
      <c r="D1377" s="198" t="s">
        <v>2393</v>
      </c>
      <c r="E1377" s="5" t="s">
        <v>4842</v>
      </c>
      <c r="F1377" s="60" t="s">
        <v>8787</v>
      </c>
      <c r="G1377" s="11" t="s">
        <v>8775</v>
      </c>
      <c r="H1377" s="11" t="s">
        <v>8786</v>
      </c>
      <c r="I1377" s="21">
        <v>31.417633599999998</v>
      </c>
      <c r="J1377" s="21">
        <v>31.8048073</v>
      </c>
      <c r="K1377" s="21">
        <f>'Reported burning'!U3320/0.6</f>
        <v>27537.916666666668</v>
      </c>
      <c r="L1377" s="11">
        <v>2008</v>
      </c>
      <c r="M1377" s="11">
        <v>2011</v>
      </c>
      <c r="N1377" s="198" t="s">
        <v>2272</v>
      </c>
      <c r="O1377" s="19" t="s">
        <v>66</v>
      </c>
      <c r="P1377" s="19" t="s">
        <v>5181</v>
      </c>
      <c r="Q1377" s="198"/>
    </row>
    <row r="1378" spans="1:17" ht="29" customHeight="1">
      <c r="A1378" s="182">
        <v>364</v>
      </c>
      <c r="B1378" s="7" t="s">
        <v>8756</v>
      </c>
      <c r="C1378" s="11" t="s">
        <v>8763</v>
      </c>
      <c r="D1378" s="198" t="s">
        <v>2393</v>
      </c>
      <c r="E1378" s="5" t="s">
        <v>4842</v>
      </c>
      <c r="F1378" s="60" t="s">
        <v>8787</v>
      </c>
      <c r="G1378" s="11" t="s">
        <v>8776</v>
      </c>
      <c r="H1378" s="11" t="s">
        <v>8786</v>
      </c>
      <c r="I1378" s="21">
        <v>30.673075799999999</v>
      </c>
      <c r="J1378" s="21">
        <v>31.7197934</v>
      </c>
      <c r="K1378" s="21">
        <f>'Reported burning'!U3321/0.6</f>
        <v>106049.16666666667</v>
      </c>
      <c r="L1378" s="11">
        <v>2008</v>
      </c>
      <c r="M1378" s="11">
        <v>2011</v>
      </c>
      <c r="N1378" s="198" t="s">
        <v>2272</v>
      </c>
      <c r="O1378" s="19" t="s">
        <v>66</v>
      </c>
      <c r="P1378" s="19" t="s">
        <v>5181</v>
      </c>
      <c r="Q1378" s="198"/>
    </row>
    <row r="1379" spans="1:17" ht="29" customHeight="1">
      <c r="A1379" s="182">
        <v>364</v>
      </c>
      <c r="B1379" s="7" t="s">
        <v>8756</v>
      </c>
      <c r="C1379" s="11" t="s">
        <v>8764</v>
      </c>
      <c r="D1379" s="198" t="s">
        <v>2393</v>
      </c>
      <c r="E1379" s="5" t="s">
        <v>4842</v>
      </c>
      <c r="F1379" s="60" t="s">
        <v>8787</v>
      </c>
      <c r="G1379" s="11" t="s">
        <v>8777</v>
      </c>
      <c r="H1379" s="11" t="s">
        <v>8786</v>
      </c>
      <c r="I1379" s="21">
        <v>30.580172900000001</v>
      </c>
      <c r="J1379" s="21">
        <v>32.236925800000002</v>
      </c>
      <c r="K1379" s="21">
        <f>'Reported burning'!U3322/0.6</f>
        <v>1807.9166666666667</v>
      </c>
      <c r="L1379" s="11">
        <v>2008</v>
      </c>
      <c r="M1379" s="11">
        <v>2011</v>
      </c>
      <c r="N1379" s="198" t="s">
        <v>2272</v>
      </c>
      <c r="O1379" s="19" t="s">
        <v>66</v>
      </c>
      <c r="P1379" s="19" t="s">
        <v>5181</v>
      </c>
      <c r="Q1379" s="198"/>
    </row>
    <row r="1380" spans="1:17" ht="29" customHeight="1">
      <c r="A1380" s="182">
        <v>364</v>
      </c>
      <c r="B1380" s="7" t="s">
        <v>8756</v>
      </c>
      <c r="C1380" s="11" t="s">
        <v>8765</v>
      </c>
      <c r="D1380" s="198" t="s">
        <v>2393</v>
      </c>
      <c r="E1380" s="5" t="s">
        <v>4842</v>
      </c>
      <c r="F1380" s="60" t="s">
        <v>8787</v>
      </c>
      <c r="G1380" s="11" t="s">
        <v>8778</v>
      </c>
      <c r="H1380" s="11" t="s">
        <v>8786</v>
      </c>
      <c r="I1380" s="21">
        <v>31.129622000000001</v>
      </c>
      <c r="J1380" s="21">
        <v>32.307867700000003</v>
      </c>
      <c r="K1380" s="21">
        <f>'Reported burning'!U3323/0.6</f>
        <v>8287.5</v>
      </c>
      <c r="L1380" s="11">
        <v>2008</v>
      </c>
      <c r="M1380" s="11">
        <v>2011</v>
      </c>
      <c r="N1380" s="198" t="s">
        <v>2272</v>
      </c>
      <c r="O1380" s="19" t="s">
        <v>66</v>
      </c>
      <c r="P1380" s="19" t="s">
        <v>5181</v>
      </c>
      <c r="Q1380" s="198"/>
    </row>
    <row r="1381" spans="1:17" ht="29" customHeight="1">
      <c r="A1381" s="182">
        <v>364</v>
      </c>
      <c r="B1381" s="7" t="s">
        <v>8756</v>
      </c>
      <c r="C1381" s="11" t="s">
        <v>8766</v>
      </c>
      <c r="D1381" s="198" t="s">
        <v>2393</v>
      </c>
      <c r="E1381" s="5" t="s">
        <v>4842</v>
      </c>
      <c r="F1381" s="60" t="s">
        <v>8787</v>
      </c>
      <c r="G1381" s="11" t="s">
        <v>8779</v>
      </c>
      <c r="H1381" s="11" t="s">
        <v>8786</v>
      </c>
      <c r="I1381" s="21">
        <v>30.5666723</v>
      </c>
      <c r="J1381" s="21">
        <v>32.446567100000003</v>
      </c>
      <c r="K1381" s="21" t="s">
        <v>2272</v>
      </c>
      <c r="L1381" s="11">
        <v>2008</v>
      </c>
      <c r="M1381" s="11">
        <v>2011</v>
      </c>
      <c r="N1381" s="198" t="s">
        <v>2272</v>
      </c>
      <c r="O1381" s="19" t="s">
        <v>66</v>
      </c>
      <c r="P1381" s="19" t="s">
        <v>5181</v>
      </c>
      <c r="Q1381" s="198"/>
    </row>
    <row r="1382" spans="1:17" ht="29" customHeight="1">
      <c r="A1382" s="182">
        <v>364</v>
      </c>
      <c r="B1382" s="7" t="s">
        <v>8756</v>
      </c>
      <c r="C1382" s="11" t="s">
        <v>8767</v>
      </c>
      <c r="D1382" s="198" t="s">
        <v>2393</v>
      </c>
      <c r="E1382" s="5" t="s">
        <v>4842</v>
      </c>
      <c r="F1382" s="60" t="s">
        <v>8787</v>
      </c>
      <c r="G1382" s="11" t="s">
        <v>8780</v>
      </c>
      <c r="H1382" s="11" t="s">
        <v>8786</v>
      </c>
      <c r="I1382" s="21">
        <v>30.355724899999998</v>
      </c>
      <c r="J1382" s="21">
        <v>31.3522018</v>
      </c>
      <c r="K1382" s="21">
        <f>'Reported burning'!U3325/0.6</f>
        <v>6136.25</v>
      </c>
      <c r="L1382" s="11">
        <v>2008</v>
      </c>
      <c r="M1382" s="11">
        <v>2011</v>
      </c>
      <c r="N1382" s="198" t="s">
        <v>2272</v>
      </c>
      <c r="O1382" s="19" t="s">
        <v>66</v>
      </c>
      <c r="P1382" s="19" t="s">
        <v>5181</v>
      </c>
      <c r="Q1382" s="198"/>
    </row>
    <row r="1383" spans="1:17" ht="29" customHeight="1">
      <c r="A1383" s="182">
        <v>364</v>
      </c>
      <c r="B1383" s="7" t="s">
        <v>8756</v>
      </c>
      <c r="C1383" s="11" t="s">
        <v>8768</v>
      </c>
      <c r="D1383" s="198" t="s">
        <v>2393</v>
      </c>
      <c r="E1383" s="5" t="s">
        <v>4842</v>
      </c>
      <c r="F1383" s="60" t="s">
        <v>8787</v>
      </c>
      <c r="G1383" s="11" t="s">
        <v>8781</v>
      </c>
      <c r="H1383" s="11" t="s">
        <v>8786</v>
      </c>
      <c r="I1383" s="21">
        <v>30.0594885</v>
      </c>
      <c r="J1383" s="21">
        <v>31.258464400000001</v>
      </c>
      <c r="K1383" s="21" t="s">
        <v>2272</v>
      </c>
      <c r="L1383" s="11">
        <v>2008</v>
      </c>
      <c r="M1383" s="11">
        <v>2011</v>
      </c>
      <c r="N1383" s="198" t="s">
        <v>2272</v>
      </c>
      <c r="O1383" s="19" t="s">
        <v>66</v>
      </c>
      <c r="P1383" s="19" t="s">
        <v>5181</v>
      </c>
      <c r="Q1383" s="198"/>
    </row>
    <row r="1384" spans="1:17" ht="29" customHeight="1">
      <c r="A1384" s="182">
        <v>364</v>
      </c>
      <c r="B1384" s="7" t="s">
        <v>8756</v>
      </c>
      <c r="C1384" s="11" t="s">
        <v>8769</v>
      </c>
      <c r="D1384" s="198" t="s">
        <v>2393</v>
      </c>
      <c r="E1384" s="5" t="s">
        <v>4842</v>
      </c>
      <c r="F1384" s="60" t="s">
        <v>8787</v>
      </c>
      <c r="G1384" s="11" t="s">
        <v>8782</v>
      </c>
      <c r="H1384" s="11" t="s">
        <v>8786</v>
      </c>
      <c r="I1384" s="21">
        <v>28.83962</v>
      </c>
      <c r="J1384" s="21">
        <v>30.828781200000002</v>
      </c>
      <c r="K1384" s="21">
        <f>'Reported burning'!U3327/0.6</f>
        <v>279.16666666666669</v>
      </c>
      <c r="L1384" s="11">
        <v>2008</v>
      </c>
      <c r="M1384" s="11">
        <v>2011</v>
      </c>
      <c r="N1384" s="198" t="s">
        <v>2272</v>
      </c>
      <c r="O1384" s="19" t="s">
        <v>66</v>
      </c>
      <c r="P1384" s="19" t="s">
        <v>5181</v>
      </c>
      <c r="Q1384" s="198"/>
    </row>
    <row r="1385" spans="1:17" ht="29" customHeight="1">
      <c r="A1385" s="182">
        <v>364</v>
      </c>
      <c r="B1385" s="7" t="s">
        <v>8756</v>
      </c>
      <c r="C1385" s="11" t="s">
        <v>8770</v>
      </c>
      <c r="D1385" s="198" t="s">
        <v>2393</v>
      </c>
      <c r="E1385" s="5" t="s">
        <v>4842</v>
      </c>
      <c r="F1385" s="60" t="s">
        <v>8787</v>
      </c>
      <c r="G1385" s="11" t="s">
        <v>8783</v>
      </c>
      <c r="H1385" s="11" t="s">
        <v>8786</v>
      </c>
      <c r="I1385" s="21">
        <v>29.453610600000001</v>
      </c>
      <c r="J1385" s="21">
        <v>30.580832999999998</v>
      </c>
      <c r="K1385" s="21">
        <f>'Reported burning'!U3328/0.6</f>
        <v>3151.25</v>
      </c>
      <c r="L1385" s="11">
        <v>2008</v>
      </c>
      <c r="M1385" s="11">
        <v>2011</v>
      </c>
      <c r="N1385" s="198" t="s">
        <v>2272</v>
      </c>
      <c r="O1385" s="19" t="s">
        <v>66</v>
      </c>
      <c r="P1385" s="19" t="s">
        <v>5181</v>
      </c>
      <c r="Q1385" s="198"/>
    </row>
    <row r="1386" spans="1:17" ht="29" customHeight="1">
      <c r="A1386" s="182">
        <v>364</v>
      </c>
      <c r="B1386" s="7" t="s">
        <v>8756</v>
      </c>
      <c r="C1386" s="11" t="s">
        <v>8784</v>
      </c>
      <c r="D1386" s="198" t="s">
        <v>2393</v>
      </c>
      <c r="E1386" s="5" t="s">
        <v>4842</v>
      </c>
      <c r="F1386" s="60" t="s">
        <v>8787</v>
      </c>
      <c r="G1386" s="11" t="s">
        <v>8785</v>
      </c>
      <c r="H1386" s="11" t="s">
        <v>8786</v>
      </c>
      <c r="I1386" s="21">
        <v>27.335452799999999</v>
      </c>
      <c r="J1386" s="21">
        <v>31.594399800000001</v>
      </c>
      <c r="K1386" s="21">
        <f>'Reported burning'!U3329/0.6</f>
        <v>21.666666666666668</v>
      </c>
      <c r="L1386" s="11">
        <v>2008</v>
      </c>
      <c r="M1386" s="11">
        <v>2011</v>
      </c>
      <c r="N1386" s="198" t="s">
        <v>2272</v>
      </c>
      <c r="O1386" s="19" t="s">
        <v>66</v>
      </c>
      <c r="P1386" s="19" t="s">
        <v>5181</v>
      </c>
      <c r="Q1386" s="198"/>
    </row>
    <row r="1387" spans="1:17" ht="41" customHeight="1">
      <c r="A1387" s="182">
        <v>365</v>
      </c>
      <c r="B1387" s="37" t="s">
        <v>8792</v>
      </c>
      <c r="C1387" s="11" t="s">
        <v>8791</v>
      </c>
      <c r="D1387" s="198" t="s">
        <v>2393</v>
      </c>
      <c r="E1387" s="198" t="s">
        <v>6791</v>
      </c>
      <c r="F1387" s="11" t="s">
        <v>2272</v>
      </c>
      <c r="G1387" s="11" t="s">
        <v>2272</v>
      </c>
      <c r="H1387" s="11" t="s">
        <v>8742</v>
      </c>
      <c r="I1387" s="21">
        <v>53.716941499999997</v>
      </c>
      <c r="J1387" s="21">
        <v>27.977578999999999</v>
      </c>
      <c r="K1387" s="21" t="s">
        <v>2272</v>
      </c>
      <c r="L1387" s="11">
        <v>2002</v>
      </c>
      <c r="M1387" s="11">
        <v>2006</v>
      </c>
      <c r="N1387" s="198" t="s">
        <v>2272</v>
      </c>
      <c r="O1387" s="19" t="s">
        <v>66</v>
      </c>
      <c r="P1387" s="19" t="s">
        <v>5181</v>
      </c>
      <c r="Q1387" s="198"/>
    </row>
    <row r="1388" spans="1:17" ht="38" customHeight="1">
      <c r="A1388" s="182">
        <v>365</v>
      </c>
      <c r="B1388" s="37" t="s">
        <v>8792</v>
      </c>
      <c r="C1388" s="11" t="s">
        <v>8796</v>
      </c>
      <c r="D1388" s="198" t="s">
        <v>2393</v>
      </c>
      <c r="E1388" s="198" t="s">
        <v>6791</v>
      </c>
      <c r="F1388" s="11" t="s">
        <v>2272</v>
      </c>
      <c r="G1388" s="11" t="s">
        <v>2272</v>
      </c>
      <c r="H1388" s="11" t="s">
        <v>7934</v>
      </c>
      <c r="I1388" s="21">
        <v>48.335885699999999</v>
      </c>
      <c r="J1388" s="21">
        <v>31.178819600000001</v>
      </c>
      <c r="K1388" s="21" t="s">
        <v>2272</v>
      </c>
      <c r="L1388" s="11">
        <v>2002</v>
      </c>
      <c r="M1388" s="11">
        <v>2006</v>
      </c>
      <c r="N1388" s="198" t="s">
        <v>2272</v>
      </c>
      <c r="O1388" s="19" t="s">
        <v>66</v>
      </c>
      <c r="P1388" s="19" t="s">
        <v>5181</v>
      </c>
      <c r="Q1388" s="198"/>
    </row>
    <row r="1389" spans="1:17" ht="39" customHeight="1">
      <c r="A1389" s="182">
        <v>365</v>
      </c>
      <c r="B1389" s="37" t="s">
        <v>8792</v>
      </c>
      <c r="C1389" s="11" t="s">
        <v>8797</v>
      </c>
      <c r="D1389" s="198" t="s">
        <v>2393</v>
      </c>
      <c r="E1389" s="198" t="s">
        <v>6791</v>
      </c>
      <c r="F1389" s="23" t="s">
        <v>8794</v>
      </c>
      <c r="G1389" s="11" t="s">
        <v>2272</v>
      </c>
      <c r="H1389" s="11" t="s">
        <v>8743</v>
      </c>
      <c r="I1389" s="21">
        <v>55.404698500000002</v>
      </c>
      <c r="J1389" s="21">
        <v>21.3183197</v>
      </c>
      <c r="K1389" s="21" t="s">
        <v>2272</v>
      </c>
      <c r="L1389" s="11">
        <v>2002</v>
      </c>
      <c r="M1389" s="11">
        <v>2006</v>
      </c>
      <c r="N1389" s="198" t="s">
        <v>2272</v>
      </c>
      <c r="O1389" s="19" t="s">
        <v>66</v>
      </c>
      <c r="P1389" s="19" t="s">
        <v>5181</v>
      </c>
      <c r="Q1389" s="198"/>
    </row>
    <row r="1390" spans="1:17" ht="45.5" customHeight="1">
      <c r="A1390" s="182">
        <v>365</v>
      </c>
      <c r="B1390" s="37" t="s">
        <v>8792</v>
      </c>
      <c r="C1390" s="11" t="s">
        <v>8798</v>
      </c>
      <c r="D1390" s="198" t="s">
        <v>2393</v>
      </c>
      <c r="E1390" s="198" t="s">
        <v>6791</v>
      </c>
      <c r="F1390" s="11" t="s">
        <v>2272</v>
      </c>
      <c r="G1390" s="11" t="s">
        <v>2272</v>
      </c>
      <c r="H1390" s="11" t="s">
        <v>8793</v>
      </c>
      <c r="I1390" s="21">
        <v>56.880172899999998</v>
      </c>
      <c r="J1390" s="21">
        <v>24.544001399999999</v>
      </c>
      <c r="K1390" s="21" t="s">
        <v>2272</v>
      </c>
      <c r="L1390" s="11">
        <v>2002</v>
      </c>
      <c r="M1390" s="11">
        <v>2006</v>
      </c>
      <c r="N1390" s="198" t="s">
        <v>2272</v>
      </c>
      <c r="O1390" s="19" t="s">
        <v>66</v>
      </c>
      <c r="P1390" s="19" t="s">
        <v>5181</v>
      </c>
      <c r="Q1390" s="198"/>
    </row>
    <row r="1391" spans="1:17" ht="49" customHeight="1">
      <c r="A1391" s="182">
        <v>365</v>
      </c>
      <c r="B1391" s="37" t="s">
        <v>8792</v>
      </c>
      <c r="C1391" s="11" t="s">
        <v>8799</v>
      </c>
      <c r="D1391" s="198" t="s">
        <v>2393</v>
      </c>
      <c r="E1391" s="198" t="s">
        <v>6791</v>
      </c>
      <c r="F1391" s="11" t="s">
        <v>2272</v>
      </c>
      <c r="G1391" s="198" t="s">
        <v>8795</v>
      </c>
      <c r="H1391" s="11" t="s">
        <v>6317</v>
      </c>
      <c r="I1391" s="21">
        <v>54.806289999999997</v>
      </c>
      <c r="J1391" s="21">
        <v>21.263537500000002</v>
      </c>
      <c r="K1391" s="21" t="s">
        <v>2272</v>
      </c>
      <c r="L1391" s="11">
        <v>2002</v>
      </c>
      <c r="M1391" s="11">
        <v>2006</v>
      </c>
      <c r="N1391" s="198" t="s">
        <v>2272</v>
      </c>
      <c r="O1391" s="19" t="s">
        <v>66</v>
      </c>
      <c r="P1391" s="19" t="s">
        <v>5181</v>
      </c>
      <c r="Q1391" s="198"/>
    </row>
    <row r="1392" spans="1:17" ht="47.5" customHeight="1">
      <c r="A1392" s="182">
        <v>365</v>
      </c>
      <c r="B1392" s="37" t="s">
        <v>8792</v>
      </c>
      <c r="C1392" s="11" t="s">
        <v>8800</v>
      </c>
      <c r="D1392" s="198" t="s">
        <v>2393</v>
      </c>
      <c r="E1392" s="198" t="s">
        <v>6791</v>
      </c>
      <c r="F1392" s="198" t="s">
        <v>8801</v>
      </c>
      <c r="G1392" s="11" t="s">
        <v>2272</v>
      </c>
      <c r="H1392" s="11" t="s">
        <v>6317</v>
      </c>
      <c r="I1392" s="21">
        <v>55.693280700000003</v>
      </c>
      <c r="J1392" s="21">
        <v>36.851765899999997</v>
      </c>
      <c r="K1392" s="21" t="s">
        <v>2272</v>
      </c>
      <c r="L1392" s="11">
        <v>2002</v>
      </c>
      <c r="M1392" s="11">
        <v>2006</v>
      </c>
      <c r="N1392" s="198" t="s">
        <v>2272</v>
      </c>
      <c r="O1392" s="19" t="s">
        <v>66</v>
      </c>
      <c r="P1392" s="19" t="s">
        <v>5181</v>
      </c>
      <c r="Q1392" s="198"/>
    </row>
    <row r="1393" spans="1:17" ht="49" customHeight="1">
      <c r="A1393" s="182">
        <v>366</v>
      </c>
      <c r="B1393" s="37" t="s">
        <v>8815</v>
      </c>
      <c r="C1393" s="11" t="s">
        <v>8816</v>
      </c>
      <c r="D1393" s="198" t="s">
        <v>2393</v>
      </c>
      <c r="E1393" s="198" t="s">
        <v>2394</v>
      </c>
      <c r="F1393" s="11" t="s">
        <v>2272</v>
      </c>
      <c r="G1393" s="139" t="s">
        <v>5445</v>
      </c>
      <c r="H1393" s="198" t="s">
        <v>969</v>
      </c>
      <c r="I1393" s="21">
        <v>22.357976499999999</v>
      </c>
      <c r="J1393" s="21">
        <v>89.701275600000002</v>
      </c>
      <c r="K1393" s="21" t="s">
        <v>2272</v>
      </c>
      <c r="L1393" s="198">
        <v>2011</v>
      </c>
      <c r="M1393" s="198">
        <v>2011</v>
      </c>
      <c r="N1393" s="198" t="s">
        <v>2272</v>
      </c>
      <c r="O1393" s="19" t="s">
        <v>66</v>
      </c>
      <c r="P1393" s="19" t="s">
        <v>5181</v>
      </c>
      <c r="Q1393" s="198"/>
    </row>
    <row r="1394" spans="1:17" ht="42" customHeight="1">
      <c r="A1394" s="182">
        <v>367</v>
      </c>
      <c r="B1394" s="37" t="s">
        <v>8824</v>
      </c>
      <c r="C1394" s="11" t="s">
        <v>8823</v>
      </c>
      <c r="D1394" s="198" t="s">
        <v>2393</v>
      </c>
      <c r="E1394" s="198" t="s">
        <v>2394</v>
      </c>
      <c r="F1394" s="11" t="s">
        <v>8825</v>
      </c>
      <c r="G1394" s="11" t="s">
        <v>2272</v>
      </c>
      <c r="H1394" s="11" t="s">
        <v>767</v>
      </c>
      <c r="I1394" s="21">
        <f>-20-20/60</f>
        <v>-20.333333333333332</v>
      </c>
      <c r="J1394" s="21">
        <f>-43-48/60</f>
        <v>-43.8</v>
      </c>
      <c r="K1394" s="21" t="s">
        <v>2272</v>
      </c>
      <c r="L1394" s="11">
        <v>2005</v>
      </c>
      <c r="M1394" s="11">
        <v>2005</v>
      </c>
      <c r="N1394" s="198" t="s">
        <v>2272</v>
      </c>
      <c r="O1394" s="19" t="s">
        <v>66</v>
      </c>
      <c r="P1394" s="19" t="s">
        <v>5181</v>
      </c>
      <c r="Q1394" s="198"/>
    </row>
    <row r="1395" spans="1:17" ht="41" customHeight="1">
      <c r="A1395" s="182">
        <v>368</v>
      </c>
      <c r="B1395" s="37" t="s">
        <v>8828</v>
      </c>
      <c r="C1395" s="11" t="s">
        <v>8829</v>
      </c>
      <c r="D1395" s="198" t="s">
        <v>2393</v>
      </c>
      <c r="E1395" s="198" t="s">
        <v>2394</v>
      </c>
      <c r="F1395" s="11" t="s">
        <v>8830</v>
      </c>
      <c r="G1395" s="198" t="s">
        <v>1164</v>
      </c>
      <c r="H1395" s="198" t="s">
        <v>892</v>
      </c>
      <c r="I1395" s="21">
        <v>22.357976499999999</v>
      </c>
      <c r="J1395" s="21">
        <v>89.701275600000002</v>
      </c>
      <c r="K1395" s="198">
        <v>19023.47</v>
      </c>
      <c r="L1395" s="198">
        <v>1998</v>
      </c>
      <c r="M1395" s="198">
        <v>2007</v>
      </c>
      <c r="N1395" s="198">
        <f>36.02</f>
        <v>36.020000000000003</v>
      </c>
      <c r="O1395" s="19" t="s">
        <v>66</v>
      </c>
      <c r="P1395" s="19" t="s">
        <v>5181</v>
      </c>
      <c r="Q1395" s="198"/>
    </row>
    <row r="1396" spans="1:17" ht="35.5" customHeight="1">
      <c r="A1396" s="182">
        <v>369</v>
      </c>
      <c r="B1396" s="37" t="s">
        <v>8839</v>
      </c>
      <c r="C1396" s="11" t="s">
        <v>8838</v>
      </c>
      <c r="D1396" s="198" t="s">
        <v>2393</v>
      </c>
      <c r="E1396" s="198" t="s">
        <v>2394</v>
      </c>
      <c r="F1396" s="11" t="s">
        <v>8840</v>
      </c>
      <c r="G1396" s="11" t="s">
        <v>8844</v>
      </c>
      <c r="H1396" s="11" t="s">
        <v>886</v>
      </c>
      <c r="I1396" s="21">
        <v>8.3206509999999998</v>
      </c>
      <c r="J1396" s="21">
        <v>-13.056814599999999</v>
      </c>
      <c r="K1396" s="21" t="s">
        <v>2272</v>
      </c>
      <c r="L1396" s="198">
        <v>2014</v>
      </c>
      <c r="M1396" s="198">
        <v>2014</v>
      </c>
      <c r="N1396" s="198">
        <v>24</v>
      </c>
      <c r="O1396" s="19" t="s">
        <v>66</v>
      </c>
      <c r="P1396" s="19" t="s">
        <v>5181</v>
      </c>
      <c r="Q1396" s="198" t="s">
        <v>8845</v>
      </c>
    </row>
    <row r="1397" spans="1:17" ht="35.5" customHeight="1">
      <c r="A1397" s="182">
        <v>369</v>
      </c>
      <c r="B1397" s="37" t="s">
        <v>8839</v>
      </c>
      <c r="C1397" s="11" t="s">
        <v>8846</v>
      </c>
      <c r="D1397" s="198" t="s">
        <v>2393</v>
      </c>
      <c r="E1397" s="198" t="s">
        <v>2394</v>
      </c>
      <c r="F1397" s="11" t="s">
        <v>8841</v>
      </c>
      <c r="G1397" s="11" t="s">
        <v>8844</v>
      </c>
      <c r="H1397" s="11" t="s">
        <v>886</v>
      </c>
      <c r="I1397" s="21">
        <v>8.4130889</v>
      </c>
      <c r="J1397" s="21">
        <v>-13.131</v>
      </c>
      <c r="K1397" s="21" t="s">
        <v>2272</v>
      </c>
      <c r="L1397" s="198">
        <v>2014</v>
      </c>
      <c r="M1397" s="198">
        <v>2014</v>
      </c>
      <c r="N1397" s="198">
        <v>14</v>
      </c>
      <c r="O1397" s="19" t="s">
        <v>66</v>
      </c>
      <c r="P1397" s="19" t="s">
        <v>5181</v>
      </c>
      <c r="Q1397" s="198" t="s">
        <v>8845</v>
      </c>
    </row>
    <row r="1398" spans="1:17" ht="35.5" customHeight="1">
      <c r="A1398" s="182">
        <v>369</v>
      </c>
      <c r="B1398" s="37" t="s">
        <v>8839</v>
      </c>
      <c r="C1398" s="11" t="s">
        <v>8847</v>
      </c>
      <c r="D1398" s="198" t="s">
        <v>2393</v>
      </c>
      <c r="E1398" s="198" t="s">
        <v>2394</v>
      </c>
      <c r="F1398" s="11" t="s">
        <v>8842</v>
      </c>
      <c r="G1398" s="11" t="s">
        <v>8844</v>
      </c>
      <c r="H1398" s="11" t="s">
        <v>886</v>
      </c>
      <c r="I1398" s="21">
        <v>8.4251073000000005</v>
      </c>
      <c r="J1398" s="21">
        <v>-13.2426967</v>
      </c>
      <c r="K1398" s="21" t="s">
        <v>2272</v>
      </c>
      <c r="L1398" s="198">
        <v>2014</v>
      </c>
      <c r="M1398" s="198">
        <v>2014</v>
      </c>
      <c r="N1398" s="198">
        <v>27</v>
      </c>
      <c r="O1398" s="19" t="s">
        <v>66</v>
      </c>
      <c r="P1398" s="19" t="s">
        <v>5181</v>
      </c>
      <c r="Q1398" s="198" t="s">
        <v>8845</v>
      </c>
    </row>
    <row r="1399" spans="1:17" ht="35.5" customHeight="1">
      <c r="A1399" s="182">
        <v>369</v>
      </c>
      <c r="B1399" s="37" t="s">
        <v>8839</v>
      </c>
      <c r="C1399" s="11" t="s">
        <v>8848</v>
      </c>
      <c r="D1399" s="198" t="s">
        <v>2393</v>
      </c>
      <c r="E1399" s="198" t="s">
        <v>2394</v>
      </c>
      <c r="F1399" s="11" t="s">
        <v>8843</v>
      </c>
      <c r="G1399" s="11" t="s">
        <v>8844</v>
      </c>
      <c r="H1399" s="11" t="s">
        <v>886</v>
      </c>
      <c r="I1399" s="21">
        <v>8.4359161999999994</v>
      </c>
      <c r="J1399" s="21">
        <v>-13.2323568</v>
      </c>
      <c r="K1399" s="21" t="s">
        <v>2272</v>
      </c>
      <c r="L1399" s="198">
        <v>2014</v>
      </c>
      <c r="M1399" s="198">
        <v>2014</v>
      </c>
      <c r="N1399" s="198">
        <v>41</v>
      </c>
      <c r="O1399" s="19" t="s">
        <v>66</v>
      </c>
      <c r="P1399" s="19" t="s">
        <v>5181</v>
      </c>
      <c r="Q1399" s="198" t="s">
        <v>8845</v>
      </c>
    </row>
    <row r="1400" spans="1:17" ht="40" customHeight="1">
      <c r="A1400" s="182">
        <v>370</v>
      </c>
      <c r="B1400" s="37" t="s">
        <v>8861</v>
      </c>
      <c r="C1400" s="11" t="s">
        <v>8862</v>
      </c>
      <c r="D1400" s="198" t="s">
        <v>2393</v>
      </c>
      <c r="E1400" s="198" t="s">
        <v>4842</v>
      </c>
      <c r="F1400" s="11" t="s">
        <v>2272</v>
      </c>
      <c r="G1400" s="11" t="s">
        <v>8863</v>
      </c>
      <c r="H1400" s="11" t="s">
        <v>783</v>
      </c>
      <c r="I1400" s="21">
        <v>4.0698277999999997</v>
      </c>
      <c r="J1400" s="21">
        <v>102.50363470000001</v>
      </c>
      <c r="K1400" s="21">
        <v>132090</v>
      </c>
      <c r="L1400" s="11">
        <v>1992</v>
      </c>
      <c r="M1400" s="11">
        <v>1999</v>
      </c>
      <c r="N1400" s="198" t="s">
        <v>2272</v>
      </c>
      <c r="O1400" s="19" t="s">
        <v>66</v>
      </c>
      <c r="P1400" s="19" t="s">
        <v>5181</v>
      </c>
      <c r="Q1400" s="198"/>
    </row>
    <row r="1401" spans="1:17" ht="40" customHeight="1">
      <c r="A1401" s="182">
        <v>371</v>
      </c>
      <c r="B1401" s="37" t="s">
        <v>8878</v>
      </c>
      <c r="C1401" s="11" t="s">
        <v>8879</v>
      </c>
      <c r="D1401" s="198" t="s">
        <v>2393</v>
      </c>
      <c r="E1401" s="198" t="s">
        <v>2394</v>
      </c>
      <c r="F1401" s="11" t="s">
        <v>2707</v>
      </c>
      <c r="G1401" s="11" t="s">
        <v>164</v>
      </c>
      <c r="H1401" s="11" t="s">
        <v>119</v>
      </c>
      <c r="I1401" s="21">
        <v>-2.9940028999999999</v>
      </c>
      <c r="J1401" s="21">
        <v>-47.358630699999999</v>
      </c>
      <c r="K1401" s="21" t="s">
        <v>2272</v>
      </c>
      <c r="L1401" s="11">
        <v>2010</v>
      </c>
      <c r="M1401" s="11">
        <v>2011</v>
      </c>
      <c r="N1401" s="21" t="s">
        <v>2272</v>
      </c>
      <c r="O1401" s="19" t="s">
        <v>66</v>
      </c>
      <c r="P1401" s="19" t="s">
        <v>5181</v>
      </c>
      <c r="Q1401" s="198"/>
    </row>
    <row r="1402" spans="1:17" ht="40" customHeight="1">
      <c r="A1402" s="182">
        <v>371</v>
      </c>
      <c r="B1402" s="37" t="s">
        <v>8878</v>
      </c>
      <c r="C1402" s="11" t="s">
        <v>8881</v>
      </c>
      <c r="D1402" s="198" t="s">
        <v>2393</v>
      </c>
      <c r="E1402" s="198" t="s">
        <v>2394</v>
      </c>
      <c r="F1402" s="11" t="s">
        <v>6057</v>
      </c>
      <c r="G1402" s="11" t="s">
        <v>8880</v>
      </c>
      <c r="H1402" s="11" t="s">
        <v>119</v>
      </c>
      <c r="I1402" s="21">
        <v>-2.9940028999999999</v>
      </c>
      <c r="J1402" s="21">
        <v>-47.358630699999999</v>
      </c>
      <c r="K1402" s="21" t="s">
        <v>2272</v>
      </c>
      <c r="L1402" s="11">
        <v>2010</v>
      </c>
      <c r="M1402" s="11">
        <v>2011</v>
      </c>
      <c r="N1402" s="21" t="s">
        <v>2272</v>
      </c>
      <c r="O1402" s="19" t="s">
        <v>66</v>
      </c>
      <c r="P1402" s="19" t="s">
        <v>5181</v>
      </c>
      <c r="Q1402" s="198"/>
    </row>
    <row r="1403" spans="1:17" ht="40" customHeight="1">
      <c r="A1403" s="182">
        <v>372</v>
      </c>
      <c r="B1403" s="37" t="s">
        <v>8906</v>
      </c>
      <c r="C1403" s="11" t="s">
        <v>8907</v>
      </c>
      <c r="D1403" s="198" t="s">
        <v>2393</v>
      </c>
      <c r="E1403" s="198" t="s">
        <v>2631</v>
      </c>
      <c r="F1403" s="60" t="s">
        <v>8908</v>
      </c>
      <c r="G1403" s="11" t="s">
        <v>8864</v>
      </c>
      <c r="H1403" s="11" t="s">
        <v>783</v>
      </c>
      <c r="I1403" s="21">
        <v>4.0186023000000004</v>
      </c>
      <c r="J1403" s="21">
        <v>103.0513929</v>
      </c>
      <c r="K1403" s="21">
        <f>91882/100</f>
        <v>918.82</v>
      </c>
      <c r="L1403" s="11">
        <v>1997</v>
      </c>
      <c r="M1403" s="11">
        <v>1998</v>
      </c>
      <c r="N1403" s="21" t="s">
        <v>2272</v>
      </c>
      <c r="O1403" s="19" t="s">
        <v>66</v>
      </c>
      <c r="P1403" s="19" t="s">
        <v>5181</v>
      </c>
      <c r="Q1403" s="198"/>
    </row>
    <row r="1404" spans="1:17" ht="68.5" customHeight="1">
      <c r="A1404" s="182">
        <v>373</v>
      </c>
      <c r="B1404" s="37" t="s">
        <v>8925</v>
      </c>
      <c r="C1404" s="11" t="s">
        <v>8926</v>
      </c>
      <c r="D1404" s="198" t="s">
        <v>2393</v>
      </c>
      <c r="E1404" s="198" t="s">
        <v>2394</v>
      </c>
      <c r="F1404" s="11" t="s">
        <v>8929</v>
      </c>
      <c r="G1404" s="11" t="s">
        <v>8927</v>
      </c>
      <c r="H1404" s="11" t="s">
        <v>3485</v>
      </c>
      <c r="I1404" s="21">
        <v>-20.6903647</v>
      </c>
      <c r="J1404" s="21">
        <v>27.493286099999999</v>
      </c>
      <c r="K1404" s="21" t="s">
        <v>2272</v>
      </c>
      <c r="L1404" s="11">
        <v>2012</v>
      </c>
      <c r="M1404" s="11">
        <v>2012</v>
      </c>
      <c r="N1404" s="21" t="s">
        <v>2272</v>
      </c>
      <c r="O1404" s="19" t="s">
        <v>66</v>
      </c>
      <c r="P1404" s="19" t="s">
        <v>5181</v>
      </c>
      <c r="Q1404" s="4" t="s">
        <v>8942</v>
      </c>
    </row>
    <row r="1405" spans="1:17" ht="47" customHeight="1">
      <c r="A1405" s="182">
        <v>373</v>
      </c>
      <c r="B1405" s="37" t="s">
        <v>8925</v>
      </c>
      <c r="C1405" s="11" t="s">
        <v>8928</v>
      </c>
      <c r="D1405" s="198" t="s">
        <v>2393</v>
      </c>
      <c r="E1405" s="198" t="s">
        <v>4842</v>
      </c>
      <c r="F1405" s="11" t="s">
        <v>2272</v>
      </c>
      <c r="G1405" s="11" t="s">
        <v>2272</v>
      </c>
      <c r="H1405" s="11" t="s">
        <v>3485</v>
      </c>
      <c r="I1405" s="21">
        <v>-19.0156153</v>
      </c>
      <c r="J1405" s="21">
        <v>29.152802000000001</v>
      </c>
      <c r="K1405" s="21">
        <v>390757</v>
      </c>
      <c r="L1405" s="198">
        <v>2009</v>
      </c>
      <c r="M1405" s="198">
        <v>2012</v>
      </c>
      <c r="N1405" s="21" t="s">
        <v>2272</v>
      </c>
      <c r="O1405" s="19" t="s">
        <v>66</v>
      </c>
      <c r="P1405" s="19" t="s">
        <v>5181</v>
      </c>
      <c r="Q1405" s="198"/>
    </row>
    <row r="1406" spans="1:17" ht="42.5" customHeight="1">
      <c r="A1406" s="182">
        <v>374</v>
      </c>
      <c r="B1406" s="37" t="s">
        <v>8950</v>
      </c>
      <c r="C1406" s="11" t="s">
        <v>8947</v>
      </c>
      <c r="D1406" s="198" t="s">
        <v>2393</v>
      </c>
      <c r="E1406" s="198" t="s">
        <v>2400</v>
      </c>
      <c r="F1406" s="11" t="s">
        <v>8948</v>
      </c>
      <c r="G1406" s="11" t="s">
        <v>8949</v>
      </c>
      <c r="H1406" s="11" t="s">
        <v>6070</v>
      </c>
      <c r="I1406" s="21">
        <v>36.158852899999999</v>
      </c>
      <c r="J1406" s="21">
        <v>45.475005299999999</v>
      </c>
      <c r="K1406" s="21">
        <f>138183/100</f>
        <v>1381.83</v>
      </c>
      <c r="L1406" s="11">
        <v>1993</v>
      </c>
      <c r="M1406" s="11">
        <v>2016</v>
      </c>
      <c r="N1406" s="21">
        <f>118849/K1406</f>
        <v>86.008409138606055</v>
      </c>
      <c r="O1406" s="198" t="s">
        <v>147</v>
      </c>
      <c r="P1406" s="19" t="s">
        <v>5181</v>
      </c>
      <c r="Q1406" s="198"/>
    </row>
    <row r="1407" spans="1:17" ht="47" customHeight="1">
      <c r="A1407" s="182">
        <v>375</v>
      </c>
      <c r="B1407" s="37" t="s">
        <v>8953</v>
      </c>
      <c r="C1407" s="11" t="s">
        <v>8954</v>
      </c>
      <c r="D1407" s="198" t="s">
        <v>2393</v>
      </c>
      <c r="E1407" s="198" t="s">
        <v>2394</v>
      </c>
      <c r="F1407" s="198" t="s">
        <v>8955</v>
      </c>
      <c r="G1407" s="198" t="s">
        <v>8956</v>
      </c>
      <c r="H1407" s="198" t="s">
        <v>1139</v>
      </c>
      <c r="I1407" s="21">
        <v>10.8975358</v>
      </c>
      <c r="J1407" s="21">
        <v>-1.0859297999999999</v>
      </c>
      <c r="K1407" s="11" t="s">
        <v>2272</v>
      </c>
      <c r="L1407" s="198">
        <v>2005</v>
      </c>
      <c r="M1407" s="198">
        <v>2016</v>
      </c>
      <c r="N1407" s="11" t="s">
        <v>2272</v>
      </c>
      <c r="O1407" s="19" t="s">
        <v>66</v>
      </c>
      <c r="P1407" s="19" t="s">
        <v>5181</v>
      </c>
      <c r="Q1407" s="198"/>
    </row>
    <row r="1408" spans="1:17" ht="50" customHeight="1">
      <c r="A1408" s="182">
        <v>376</v>
      </c>
      <c r="B1408" s="37" t="s">
        <v>8962</v>
      </c>
      <c r="C1408" s="11" t="s">
        <v>8961</v>
      </c>
      <c r="D1408" s="198" t="s">
        <v>2393</v>
      </c>
      <c r="E1408" s="198" t="s">
        <v>6791</v>
      </c>
      <c r="F1408" s="11" t="s">
        <v>2272</v>
      </c>
      <c r="G1408" s="11" t="s">
        <v>8963</v>
      </c>
      <c r="H1408" s="11" t="s">
        <v>6317</v>
      </c>
      <c r="I1408" s="21">
        <v>45.450665399999998</v>
      </c>
      <c r="J1408" s="21">
        <v>46.865840900000002</v>
      </c>
      <c r="K1408" s="21">
        <v>19000</v>
      </c>
      <c r="L1408" s="198">
        <v>1986</v>
      </c>
      <c r="M1408" s="198">
        <v>2006</v>
      </c>
      <c r="N1408" s="11">
        <v>1.1000000000000001</v>
      </c>
      <c r="O1408" s="19" t="s">
        <v>66</v>
      </c>
      <c r="P1408" s="19" t="s">
        <v>5181</v>
      </c>
      <c r="Q1408" s="198"/>
    </row>
    <row r="1409" spans="1:17" ht="50" customHeight="1">
      <c r="A1409" s="182">
        <v>377</v>
      </c>
      <c r="B1409" s="37" t="s">
        <v>8968</v>
      </c>
      <c r="C1409" s="11" t="s">
        <v>8969</v>
      </c>
      <c r="D1409" s="198" t="s">
        <v>2393</v>
      </c>
      <c r="E1409" s="198" t="s">
        <v>2395</v>
      </c>
      <c r="F1409" s="4" t="s">
        <v>8972</v>
      </c>
      <c r="G1409" s="198" t="s">
        <v>163</v>
      </c>
      <c r="H1409" s="11" t="s">
        <v>119</v>
      </c>
      <c r="I1409" s="21">
        <v>-13.3238237</v>
      </c>
      <c r="J1409" s="21">
        <v>-51.679792200000001</v>
      </c>
      <c r="K1409" s="152">
        <f>328966/100</f>
        <v>3289.66</v>
      </c>
      <c r="L1409" s="198">
        <v>1973</v>
      </c>
      <c r="M1409" s="198">
        <v>2010</v>
      </c>
      <c r="N1409" s="21">
        <f>1400/K1409</f>
        <v>0.4255758953812856</v>
      </c>
      <c r="O1409" s="19" t="s">
        <v>66</v>
      </c>
      <c r="P1409" s="19" t="s">
        <v>5181</v>
      </c>
      <c r="Q1409" s="198"/>
    </row>
    <row r="1410" spans="1:17" ht="45.5" customHeight="1">
      <c r="A1410" s="182">
        <v>377</v>
      </c>
      <c r="B1410" s="37" t="s">
        <v>8968</v>
      </c>
      <c r="C1410" s="11" t="s">
        <v>8970</v>
      </c>
      <c r="D1410" s="198" t="s">
        <v>2393</v>
      </c>
      <c r="E1410" s="198" t="s">
        <v>2395</v>
      </c>
      <c r="F1410" s="4" t="s">
        <v>8971</v>
      </c>
      <c r="G1410" s="198" t="s">
        <v>163</v>
      </c>
      <c r="H1410" s="11" t="s">
        <v>119</v>
      </c>
      <c r="I1410" s="21">
        <v>-13.3238237</v>
      </c>
      <c r="J1410" s="21">
        <v>-51.679792200000001</v>
      </c>
      <c r="K1410" s="152">
        <f>((20+SQRT(K1409/3.1516))^2*3.1415)-K1409</f>
        <v>5305.879779399369</v>
      </c>
      <c r="L1410" s="198">
        <v>1973</v>
      </c>
      <c r="M1410" s="198">
        <v>2010</v>
      </c>
      <c r="N1410" s="21" t="s">
        <v>2272</v>
      </c>
      <c r="O1410" s="19" t="s">
        <v>66</v>
      </c>
      <c r="P1410" s="19" t="s">
        <v>5181</v>
      </c>
      <c r="Q1410" s="4" t="s">
        <v>8973</v>
      </c>
    </row>
    <row r="1411" spans="1:17" ht="35.5" customHeight="1">
      <c r="A1411" s="182">
        <v>378</v>
      </c>
      <c r="B1411" s="37" t="s">
        <v>8977</v>
      </c>
      <c r="C1411" s="11" t="s">
        <v>8978</v>
      </c>
      <c r="D1411" s="198" t="s">
        <v>2393</v>
      </c>
      <c r="E1411" s="198" t="s">
        <v>2394</v>
      </c>
      <c r="F1411" s="11" t="s">
        <v>2272</v>
      </c>
      <c r="G1411" s="198" t="s">
        <v>8979</v>
      </c>
      <c r="H1411" s="11" t="s">
        <v>1049</v>
      </c>
      <c r="I1411" s="21">
        <v>14.0058892</v>
      </c>
      <c r="J1411" s="21">
        <v>99.619191299999997</v>
      </c>
      <c r="K1411" s="21">
        <f>19.29*1000</f>
        <v>19290</v>
      </c>
      <c r="L1411" s="198">
        <v>2008</v>
      </c>
      <c r="M1411" s="198">
        <v>2009</v>
      </c>
      <c r="N1411" s="21" t="s">
        <v>2272</v>
      </c>
      <c r="O1411" s="19" t="s">
        <v>66</v>
      </c>
      <c r="P1411" s="19" t="s">
        <v>5181</v>
      </c>
      <c r="Q1411" s="198" t="s">
        <v>8995</v>
      </c>
    </row>
    <row r="1412" spans="1:17" ht="38" customHeight="1">
      <c r="A1412" s="182">
        <v>378</v>
      </c>
      <c r="B1412" s="37" t="s">
        <v>8977</v>
      </c>
      <c r="C1412" s="11" t="s">
        <v>8987</v>
      </c>
      <c r="D1412" s="198" t="s">
        <v>2393</v>
      </c>
      <c r="E1412" s="198" t="s">
        <v>2394</v>
      </c>
      <c r="F1412" s="11" t="s">
        <v>2272</v>
      </c>
      <c r="G1412" s="11" t="s">
        <v>8980</v>
      </c>
      <c r="H1412" s="11" t="s">
        <v>1049</v>
      </c>
      <c r="I1412" s="21">
        <v>15.226059599999999</v>
      </c>
      <c r="J1412" s="21">
        <v>99.787266900000006</v>
      </c>
      <c r="K1412" s="21">
        <f>7.12*1000</f>
        <v>7120</v>
      </c>
      <c r="L1412" s="198">
        <v>2008</v>
      </c>
      <c r="M1412" s="198">
        <v>2009</v>
      </c>
      <c r="N1412" s="21" t="s">
        <v>2272</v>
      </c>
      <c r="O1412" s="19" t="s">
        <v>66</v>
      </c>
      <c r="P1412" s="19" t="s">
        <v>5181</v>
      </c>
      <c r="Q1412" s="198" t="s">
        <v>8995</v>
      </c>
    </row>
    <row r="1413" spans="1:17" ht="38" customHeight="1">
      <c r="A1413" s="182">
        <v>378</v>
      </c>
      <c r="B1413" s="37" t="s">
        <v>8977</v>
      </c>
      <c r="C1413" s="11" t="s">
        <v>8994</v>
      </c>
      <c r="D1413" s="198" t="s">
        <v>2393</v>
      </c>
      <c r="E1413" s="198" t="s">
        <v>2394</v>
      </c>
      <c r="F1413" s="11" t="s">
        <v>2272</v>
      </c>
      <c r="G1413" s="11" t="s">
        <v>8981</v>
      </c>
      <c r="H1413" s="11" t="s">
        <v>1049</v>
      </c>
      <c r="I1413" s="21">
        <f>15 + 17/60</f>
        <v>15.283333333333333</v>
      </c>
      <c r="J1413" s="21">
        <f>103 + 15/60</f>
        <v>103.25</v>
      </c>
      <c r="K1413" s="21">
        <f>26.87*1000</f>
        <v>26870</v>
      </c>
      <c r="L1413" s="198">
        <v>2008</v>
      </c>
      <c r="M1413" s="198">
        <v>2009</v>
      </c>
      <c r="N1413" s="21" t="s">
        <v>2272</v>
      </c>
      <c r="O1413" s="19" t="s">
        <v>66</v>
      </c>
      <c r="P1413" s="19" t="s">
        <v>5181</v>
      </c>
      <c r="Q1413" s="198" t="s">
        <v>8995</v>
      </c>
    </row>
    <row r="1414" spans="1:17" ht="38" customHeight="1">
      <c r="A1414" s="182">
        <v>378</v>
      </c>
      <c r="B1414" s="37" t="s">
        <v>8977</v>
      </c>
      <c r="C1414" s="11" t="s">
        <v>8988</v>
      </c>
      <c r="D1414" s="198" t="s">
        <v>2393</v>
      </c>
      <c r="E1414" s="198" t="s">
        <v>2394</v>
      </c>
      <c r="F1414" s="11" t="s">
        <v>2272</v>
      </c>
      <c r="G1414" s="11" t="s">
        <v>8982</v>
      </c>
      <c r="H1414" s="11" t="s">
        <v>1049</v>
      </c>
      <c r="I1414" s="21">
        <f>17 + 22/60</f>
        <v>17.366666666666667</v>
      </c>
      <c r="J1414" s="21">
        <f>103</f>
        <v>103</v>
      </c>
      <c r="K1414" s="21">
        <f>24.88*1000</f>
        <v>24880</v>
      </c>
      <c r="L1414" s="198">
        <v>2008</v>
      </c>
      <c r="M1414" s="198">
        <v>2009</v>
      </c>
      <c r="N1414" s="21" t="s">
        <v>2272</v>
      </c>
      <c r="O1414" s="19" t="s">
        <v>66</v>
      </c>
      <c r="P1414" s="19" t="s">
        <v>5181</v>
      </c>
      <c r="Q1414" s="198" t="s">
        <v>8995</v>
      </c>
    </row>
    <row r="1415" spans="1:17" ht="38" customHeight="1">
      <c r="A1415" s="182">
        <v>378</v>
      </c>
      <c r="B1415" s="37" t="s">
        <v>8977</v>
      </c>
      <c r="C1415" s="11" t="s">
        <v>8989</v>
      </c>
      <c r="D1415" s="198" t="s">
        <v>2393</v>
      </c>
      <c r="E1415" s="198" t="s">
        <v>2394</v>
      </c>
      <c r="F1415" s="11" t="s">
        <v>2272</v>
      </c>
      <c r="G1415" s="11" t="s">
        <v>8983</v>
      </c>
      <c r="H1415" s="11" t="s">
        <v>1049</v>
      </c>
      <c r="I1415" s="21">
        <f>14+39/60</f>
        <v>14.65</v>
      </c>
      <c r="J1415" s="21">
        <f>99 + 21/60</f>
        <v>99.35</v>
      </c>
      <c r="K1415" s="21">
        <f>7.88*1000</f>
        <v>7880</v>
      </c>
      <c r="L1415" s="198">
        <v>2008</v>
      </c>
      <c r="M1415" s="198">
        <v>2009</v>
      </c>
      <c r="N1415" s="21" t="s">
        <v>2272</v>
      </c>
      <c r="O1415" s="19" t="s">
        <v>66</v>
      </c>
      <c r="P1415" s="19" t="s">
        <v>5181</v>
      </c>
      <c r="Q1415" s="198" t="s">
        <v>8995</v>
      </c>
    </row>
    <row r="1416" spans="1:17" ht="38" customHeight="1">
      <c r="A1416" s="182">
        <v>378</v>
      </c>
      <c r="B1416" s="37" t="s">
        <v>8977</v>
      </c>
      <c r="C1416" s="11" t="s">
        <v>8990</v>
      </c>
      <c r="D1416" s="198" t="s">
        <v>2393</v>
      </c>
      <c r="E1416" s="198" t="s">
        <v>2394</v>
      </c>
      <c r="F1416" s="11" t="s">
        <v>2272</v>
      </c>
      <c r="G1416" s="11" t="s">
        <v>8984</v>
      </c>
      <c r="H1416" s="11" t="s">
        <v>1049</v>
      </c>
      <c r="I1416" s="21">
        <f>14+40/60</f>
        <v>14.666666666666666</v>
      </c>
      <c r="J1416" s="21">
        <f>100+24/60</f>
        <v>100.4</v>
      </c>
      <c r="K1416" s="21">
        <f>12.42*1000</f>
        <v>12420</v>
      </c>
      <c r="L1416" s="198">
        <v>2008</v>
      </c>
      <c r="M1416" s="198">
        <v>2009</v>
      </c>
      <c r="N1416" s="21" t="s">
        <v>2272</v>
      </c>
      <c r="O1416" s="19" t="s">
        <v>66</v>
      </c>
      <c r="P1416" s="19" t="s">
        <v>5181</v>
      </c>
      <c r="Q1416" s="198" t="s">
        <v>8995</v>
      </c>
    </row>
    <row r="1417" spans="1:17" ht="38" customHeight="1">
      <c r="A1417" s="182">
        <v>378</v>
      </c>
      <c r="B1417" s="37" t="s">
        <v>8977</v>
      </c>
      <c r="C1417" s="11" t="s">
        <v>8991</v>
      </c>
      <c r="D1417" s="198" t="s">
        <v>2393</v>
      </c>
      <c r="E1417" s="198" t="s">
        <v>2394</v>
      </c>
      <c r="F1417" s="11" t="s">
        <v>2272</v>
      </c>
      <c r="G1417" s="11" t="s">
        <v>5532</v>
      </c>
      <c r="H1417" s="11" t="s">
        <v>1049</v>
      </c>
      <c r="I1417" s="21">
        <v>13.5</v>
      </c>
      <c r="J1417" s="21">
        <v>102</v>
      </c>
      <c r="K1417" s="21">
        <f>5.63*1000</f>
        <v>5630</v>
      </c>
      <c r="L1417" s="198">
        <v>2008</v>
      </c>
      <c r="M1417" s="198">
        <v>2009</v>
      </c>
      <c r="N1417" s="21" t="s">
        <v>2272</v>
      </c>
      <c r="O1417" s="19" t="s">
        <v>66</v>
      </c>
      <c r="P1417" s="19" t="s">
        <v>5181</v>
      </c>
      <c r="Q1417" s="198" t="s">
        <v>8995</v>
      </c>
    </row>
    <row r="1418" spans="1:17" ht="38" customHeight="1">
      <c r="A1418" s="182">
        <v>378</v>
      </c>
      <c r="B1418" s="37" t="s">
        <v>8977</v>
      </c>
      <c r="C1418" s="11" t="s">
        <v>8992</v>
      </c>
      <c r="D1418" s="198" t="s">
        <v>2393</v>
      </c>
      <c r="E1418" s="198" t="s">
        <v>2394</v>
      </c>
      <c r="F1418" s="11" t="s">
        <v>2272</v>
      </c>
      <c r="G1418" s="11" t="s">
        <v>8985</v>
      </c>
      <c r="H1418" s="11" t="s">
        <v>1049</v>
      </c>
      <c r="I1418" s="21">
        <v>7.5</v>
      </c>
      <c r="J1418" s="21">
        <v>100</v>
      </c>
      <c r="K1418" s="21">
        <f>2.18*1000</f>
        <v>2180</v>
      </c>
      <c r="L1418" s="198">
        <v>2008</v>
      </c>
      <c r="M1418" s="198">
        <v>2009</v>
      </c>
      <c r="N1418" s="21" t="s">
        <v>2272</v>
      </c>
      <c r="O1418" s="19" t="s">
        <v>66</v>
      </c>
      <c r="P1418" s="19" t="s">
        <v>5181</v>
      </c>
      <c r="Q1418" s="198" t="s">
        <v>8995</v>
      </c>
    </row>
    <row r="1419" spans="1:17" ht="38" customHeight="1">
      <c r="A1419" s="182">
        <v>378</v>
      </c>
      <c r="B1419" s="37" t="s">
        <v>8977</v>
      </c>
      <c r="C1419" s="11" t="s">
        <v>8993</v>
      </c>
      <c r="D1419" s="198" t="s">
        <v>2393</v>
      </c>
      <c r="E1419" s="198" t="s">
        <v>2394</v>
      </c>
      <c r="F1419" s="11" t="s">
        <v>2272</v>
      </c>
      <c r="G1419" s="11" t="s">
        <v>8986</v>
      </c>
      <c r="H1419" s="11" t="s">
        <v>1049</v>
      </c>
      <c r="I1419" s="21">
        <f>9.4</f>
        <v>9.4</v>
      </c>
      <c r="J1419" s="21">
        <f>98+48/60</f>
        <v>98.8</v>
      </c>
      <c r="K1419" s="21">
        <f>1.23*1000</f>
        <v>1230</v>
      </c>
      <c r="L1419" s="198">
        <v>2008</v>
      </c>
      <c r="M1419" s="198">
        <v>2009</v>
      </c>
      <c r="N1419" s="21" t="s">
        <v>2272</v>
      </c>
      <c r="O1419" s="19" t="s">
        <v>66</v>
      </c>
      <c r="P1419" s="19" t="s">
        <v>5181</v>
      </c>
      <c r="Q1419" s="198" t="s">
        <v>8995</v>
      </c>
    </row>
    <row r="1420" spans="1:17" ht="34.5" customHeight="1">
      <c r="A1420" s="182">
        <v>379</v>
      </c>
      <c r="B1420" s="37" t="s">
        <v>9104</v>
      </c>
      <c r="C1420" s="11" t="s">
        <v>9105</v>
      </c>
      <c r="D1420" s="198" t="s">
        <v>2393</v>
      </c>
      <c r="E1420" s="198" t="s">
        <v>4842</v>
      </c>
      <c r="F1420" s="11" t="s">
        <v>2272</v>
      </c>
      <c r="G1420" s="11" t="s">
        <v>7136</v>
      </c>
      <c r="H1420" s="11" t="s">
        <v>6105</v>
      </c>
      <c r="I1420" s="21">
        <v>40</v>
      </c>
      <c r="J1420" s="21">
        <v>-8.1</v>
      </c>
      <c r="K1420" s="21" t="s">
        <v>2272</v>
      </c>
      <c r="L1420" s="11">
        <v>2017</v>
      </c>
      <c r="M1420" s="11">
        <v>2017</v>
      </c>
      <c r="N1420" s="21" t="s">
        <v>2272</v>
      </c>
      <c r="O1420" s="19" t="s">
        <v>66</v>
      </c>
      <c r="P1420" s="19" t="s">
        <v>5181</v>
      </c>
      <c r="Q1420" s="198"/>
    </row>
    <row r="1421" spans="1:17" ht="40" customHeight="1">
      <c r="A1421" s="182">
        <v>379</v>
      </c>
      <c r="B1421" s="37" t="s">
        <v>9104</v>
      </c>
      <c r="C1421" s="11" t="s">
        <v>9106</v>
      </c>
      <c r="D1421" s="198" t="s">
        <v>2393</v>
      </c>
      <c r="E1421" s="198" t="s">
        <v>4842</v>
      </c>
      <c r="F1421" s="11" t="s">
        <v>2272</v>
      </c>
      <c r="G1421" s="11" t="s">
        <v>9114</v>
      </c>
      <c r="H1421" s="11" t="s">
        <v>9107</v>
      </c>
      <c r="I1421" s="21">
        <v>-37.467214800000001</v>
      </c>
      <c r="J1421" s="21">
        <v>-72.476914100000002</v>
      </c>
      <c r="K1421" s="21" t="s">
        <v>2272</v>
      </c>
      <c r="L1421" s="11">
        <v>2016</v>
      </c>
      <c r="M1421" s="11">
        <v>2017</v>
      </c>
      <c r="N1421" s="21" t="s">
        <v>2272</v>
      </c>
      <c r="O1421" s="19" t="s">
        <v>66</v>
      </c>
      <c r="P1421" s="19" t="s">
        <v>5181</v>
      </c>
      <c r="Q1421" s="198"/>
    </row>
    <row r="1422" spans="1:17" ht="42.5" customHeight="1">
      <c r="A1422" s="182">
        <v>380</v>
      </c>
      <c r="B1422" s="37" t="s">
        <v>9119</v>
      </c>
      <c r="C1422" s="11" t="s">
        <v>9120</v>
      </c>
      <c r="D1422" s="198" t="s">
        <v>2411</v>
      </c>
      <c r="E1422" s="198" t="s">
        <v>4842</v>
      </c>
      <c r="F1422" s="11" t="s">
        <v>2272</v>
      </c>
      <c r="G1422" s="11" t="s">
        <v>9121</v>
      </c>
      <c r="H1422" s="11" t="s">
        <v>6105</v>
      </c>
      <c r="I1422" s="21">
        <v>40</v>
      </c>
      <c r="J1422" s="21">
        <v>-8.1</v>
      </c>
      <c r="K1422" s="21">
        <v>89015</v>
      </c>
      <c r="L1422" s="198">
        <v>2006</v>
      </c>
      <c r="M1422" s="198">
        <v>2015</v>
      </c>
      <c r="N1422" s="21" t="s">
        <v>2272</v>
      </c>
      <c r="O1422" s="19" t="s">
        <v>66</v>
      </c>
      <c r="P1422" s="19" t="s">
        <v>5181</v>
      </c>
      <c r="Q1422" s="198"/>
    </row>
    <row r="1423" spans="1:17" ht="49" customHeight="1">
      <c r="A1423" s="182">
        <v>381</v>
      </c>
      <c r="B1423" s="37" t="s">
        <v>9132</v>
      </c>
      <c r="C1423" s="11" t="s">
        <v>9133</v>
      </c>
      <c r="D1423" s="198" t="s">
        <v>2393</v>
      </c>
      <c r="E1423" s="198" t="s">
        <v>4842</v>
      </c>
      <c r="F1423" s="11" t="s">
        <v>2272</v>
      </c>
      <c r="G1423" s="11" t="s">
        <v>2272</v>
      </c>
      <c r="H1423" s="11" t="s">
        <v>9107</v>
      </c>
      <c r="I1423" s="21">
        <f>AVERAGE(-17, -56)</f>
        <v>-36.5</v>
      </c>
      <c r="J1423" s="21">
        <v>-73</v>
      </c>
      <c r="K1423" s="21">
        <v>756102</v>
      </c>
      <c r="L1423" s="11">
        <v>1963</v>
      </c>
      <c r="M1423" s="11">
        <v>1990</v>
      </c>
      <c r="N1423" s="21" t="s">
        <v>2272</v>
      </c>
      <c r="O1423" s="19" t="s">
        <v>66</v>
      </c>
      <c r="P1423" s="19" t="s">
        <v>5181</v>
      </c>
      <c r="Q1423" s="198"/>
    </row>
    <row r="1424" spans="1:17" ht="43" customHeight="1">
      <c r="A1424" s="182">
        <v>381</v>
      </c>
      <c r="B1424" s="37" t="s">
        <v>9167</v>
      </c>
      <c r="C1424" s="11" t="s">
        <v>9149</v>
      </c>
      <c r="D1424" s="198" t="s">
        <v>2393</v>
      </c>
      <c r="E1424" s="198" t="s">
        <v>4842</v>
      </c>
      <c r="F1424" s="11" t="s">
        <v>2272</v>
      </c>
      <c r="G1424" s="198" t="s">
        <v>9134</v>
      </c>
      <c r="H1424" s="11" t="s">
        <v>9107</v>
      </c>
      <c r="I1424" s="21">
        <v>-18</v>
      </c>
      <c r="J1424" s="21">
        <v>-69.5</v>
      </c>
      <c r="K1424" s="21">
        <v>16873.3</v>
      </c>
      <c r="L1424" s="11">
        <v>1977</v>
      </c>
      <c r="M1424" s="11">
        <v>2000</v>
      </c>
      <c r="N1424" s="198">
        <v>5</v>
      </c>
      <c r="O1424" s="19" t="s">
        <v>66</v>
      </c>
      <c r="P1424" s="19" t="s">
        <v>5181</v>
      </c>
      <c r="Q1424" s="38" t="s">
        <v>9168</v>
      </c>
    </row>
    <row r="1425" spans="1:17" ht="43" customHeight="1">
      <c r="A1425" s="182">
        <v>381</v>
      </c>
      <c r="B1425" s="37" t="s">
        <v>9167</v>
      </c>
      <c r="C1425" s="11" t="s">
        <v>9150</v>
      </c>
      <c r="D1425" s="198" t="s">
        <v>2393</v>
      </c>
      <c r="E1425" s="198" t="s">
        <v>4842</v>
      </c>
      <c r="F1425" s="11" t="s">
        <v>2272</v>
      </c>
      <c r="G1425" s="198" t="s">
        <v>9135</v>
      </c>
      <c r="H1425" s="11" t="s">
        <v>9107</v>
      </c>
      <c r="I1425" s="21">
        <v>-20</v>
      </c>
      <c r="J1425" s="21">
        <v>-69.5</v>
      </c>
      <c r="K1425" s="21">
        <v>41799.5</v>
      </c>
      <c r="L1425" s="11">
        <v>1977</v>
      </c>
      <c r="M1425" s="11">
        <v>2000</v>
      </c>
      <c r="N1425" s="198">
        <v>5</v>
      </c>
      <c r="O1425" s="19" t="s">
        <v>66</v>
      </c>
      <c r="P1425" s="19" t="s">
        <v>5181</v>
      </c>
      <c r="Q1425" s="38" t="s">
        <v>9168</v>
      </c>
    </row>
    <row r="1426" spans="1:17" ht="43" customHeight="1">
      <c r="A1426" s="182">
        <v>381</v>
      </c>
      <c r="B1426" s="37" t="s">
        <v>9167</v>
      </c>
      <c r="C1426" s="11" t="s">
        <v>9151</v>
      </c>
      <c r="D1426" s="198" t="s">
        <v>2393</v>
      </c>
      <c r="E1426" s="198" t="s">
        <v>4842</v>
      </c>
      <c r="F1426" s="11" t="s">
        <v>2272</v>
      </c>
      <c r="G1426" s="198" t="s">
        <v>9136</v>
      </c>
      <c r="H1426" s="11" t="s">
        <v>9107</v>
      </c>
      <c r="I1426" s="21">
        <v>-24</v>
      </c>
      <c r="J1426" s="21">
        <v>-69.5</v>
      </c>
      <c r="K1426" s="21">
        <v>126049.1</v>
      </c>
      <c r="L1426" s="11">
        <v>1977</v>
      </c>
      <c r="M1426" s="11">
        <v>2000</v>
      </c>
      <c r="N1426" s="198">
        <v>5</v>
      </c>
      <c r="O1426" s="19" t="s">
        <v>66</v>
      </c>
      <c r="P1426" s="19" t="s">
        <v>5181</v>
      </c>
      <c r="Q1426" s="38" t="s">
        <v>9168</v>
      </c>
    </row>
    <row r="1427" spans="1:17" ht="43" customHeight="1">
      <c r="A1427" s="182">
        <v>381</v>
      </c>
      <c r="B1427" s="37" t="s">
        <v>9167</v>
      </c>
      <c r="C1427" s="11" t="s">
        <v>9152</v>
      </c>
      <c r="D1427" s="198" t="s">
        <v>2393</v>
      </c>
      <c r="E1427" s="198" t="s">
        <v>4842</v>
      </c>
      <c r="F1427" s="11" t="s">
        <v>2272</v>
      </c>
      <c r="G1427" s="198" t="s">
        <v>9137</v>
      </c>
      <c r="H1427" s="11" t="s">
        <v>9107</v>
      </c>
      <c r="I1427" s="21">
        <v>-27</v>
      </c>
      <c r="J1427" s="21">
        <v>-70.5</v>
      </c>
      <c r="K1427" s="21">
        <v>75176.2</v>
      </c>
      <c r="L1427" s="11">
        <v>1977</v>
      </c>
      <c r="M1427" s="11">
        <v>2000</v>
      </c>
      <c r="N1427" s="198">
        <v>5</v>
      </c>
      <c r="O1427" s="19" t="s">
        <v>66</v>
      </c>
      <c r="P1427" s="19" t="s">
        <v>5181</v>
      </c>
      <c r="Q1427" s="38" t="s">
        <v>9168</v>
      </c>
    </row>
    <row r="1428" spans="1:17" ht="43" customHeight="1">
      <c r="A1428" s="182">
        <v>381</v>
      </c>
      <c r="B1428" s="37" t="s">
        <v>9167</v>
      </c>
      <c r="C1428" s="11" t="s">
        <v>9153</v>
      </c>
      <c r="D1428" s="198" t="s">
        <v>2393</v>
      </c>
      <c r="E1428" s="198" t="s">
        <v>4842</v>
      </c>
      <c r="F1428" s="11" t="s">
        <v>2272</v>
      </c>
      <c r="G1428" s="198" t="s">
        <v>9148</v>
      </c>
      <c r="H1428" s="11" t="s">
        <v>9107</v>
      </c>
      <c r="I1428" s="21">
        <v>-31</v>
      </c>
      <c r="J1428" s="21">
        <v>-71</v>
      </c>
      <c r="K1428" s="21">
        <v>40579.9</v>
      </c>
      <c r="L1428" s="11">
        <v>1977</v>
      </c>
      <c r="M1428" s="11">
        <v>2000</v>
      </c>
      <c r="N1428" s="198">
        <v>20</v>
      </c>
      <c r="O1428" s="19" t="s">
        <v>66</v>
      </c>
      <c r="P1428" s="19" t="s">
        <v>5181</v>
      </c>
      <c r="Q1428" s="38" t="s">
        <v>9168</v>
      </c>
    </row>
    <row r="1429" spans="1:17" ht="43" customHeight="1">
      <c r="A1429" s="182">
        <v>381</v>
      </c>
      <c r="B1429" s="37" t="s">
        <v>9167</v>
      </c>
      <c r="C1429" s="11" t="s">
        <v>9154</v>
      </c>
      <c r="D1429" s="198" t="s">
        <v>2393</v>
      </c>
      <c r="E1429" s="198" t="s">
        <v>4842</v>
      </c>
      <c r="F1429" s="11" t="s">
        <v>2272</v>
      </c>
      <c r="G1429" s="198" t="s">
        <v>9138</v>
      </c>
      <c r="H1429" s="11" t="s">
        <v>9107</v>
      </c>
      <c r="I1429" s="21">
        <v>-32.5</v>
      </c>
      <c r="J1429" s="21">
        <v>-71</v>
      </c>
      <c r="K1429" s="21">
        <v>16396.099999999999</v>
      </c>
      <c r="L1429" s="11">
        <v>1977</v>
      </c>
      <c r="M1429" s="11">
        <v>2000</v>
      </c>
      <c r="N1429" s="198">
        <v>100</v>
      </c>
      <c r="O1429" s="19" t="s">
        <v>66</v>
      </c>
      <c r="P1429" s="19" t="s">
        <v>5181</v>
      </c>
      <c r="Q1429" s="38" t="s">
        <v>9168</v>
      </c>
    </row>
    <row r="1430" spans="1:17" s="197" customFormat="1" ht="43" customHeight="1">
      <c r="A1430" s="182">
        <v>381</v>
      </c>
      <c r="B1430" s="37" t="s">
        <v>9167</v>
      </c>
      <c r="C1430" s="11" t="s">
        <v>9155</v>
      </c>
      <c r="D1430" s="198" t="s">
        <v>2393</v>
      </c>
      <c r="E1430" s="198" t="s">
        <v>4842</v>
      </c>
      <c r="F1430" s="11" t="s">
        <v>2272</v>
      </c>
      <c r="G1430" s="198" t="s">
        <v>9219</v>
      </c>
      <c r="H1430" s="11" t="s">
        <v>9107</v>
      </c>
      <c r="I1430" s="21">
        <v>-33.850357799999998</v>
      </c>
      <c r="J1430" s="21">
        <v>-70.604239199999995</v>
      </c>
      <c r="K1430" s="21">
        <v>15403</v>
      </c>
      <c r="L1430" s="11">
        <v>1977</v>
      </c>
      <c r="M1430" s="11">
        <v>2000</v>
      </c>
      <c r="N1430" s="21" t="s">
        <v>2272</v>
      </c>
      <c r="O1430" s="19" t="s">
        <v>66</v>
      </c>
      <c r="P1430" s="19" t="s">
        <v>5181</v>
      </c>
      <c r="Q1430" s="38" t="s">
        <v>9168</v>
      </c>
    </row>
    <row r="1431" spans="1:17" ht="43" customHeight="1">
      <c r="A1431" s="182">
        <v>381</v>
      </c>
      <c r="B1431" s="37" t="s">
        <v>9167</v>
      </c>
      <c r="C1431" s="11" t="s">
        <v>9156</v>
      </c>
      <c r="D1431" s="198" t="s">
        <v>2393</v>
      </c>
      <c r="E1431" s="198" t="s">
        <v>4842</v>
      </c>
      <c r="F1431" s="11" t="s">
        <v>2272</v>
      </c>
      <c r="G1431" s="4" t="s">
        <v>9139</v>
      </c>
      <c r="H1431" s="11" t="s">
        <v>9107</v>
      </c>
      <c r="I1431" s="21">
        <v>-34</v>
      </c>
      <c r="J1431" s="21">
        <v>-72</v>
      </c>
      <c r="K1431" s="21">
        <v>16387</v>
      </c>
      <c r="L1431" s="11">
        <v>1977</v>
      </c>
      <c r="M1431" s="11">
        <v>2000</v>
      </c>
      <c r="N1431" s="198">
        <v>50</v>
      </c>
      <c r="O1431" s="19" t="s">
        <v>66</v>
      </c>
      <c r="P1431" s="19" t="s">
        <v>5181</v>
      </c>
      <c r="Q1431" s="38" t="s">
        <v>9168</v>
      </c>
    </row>
    <row r="1432" spans="1:17" ht="43" customHeight="1">
      <c r="A1432" s="182">
        <v>381</v>
      </c>
      <c r="B1432" s="37" t="s">
        <v>9167</v>
      </c>
      <c r="C1432" s="11" t="s">
        <v>9157</v>
      </c>
      <c r="D1432" s="198" t="s">
        <v>2393</v>
      </c>
      <c r="E1432" s="198" t="s">
        <v>4842</v>
      </c>
      <c r="F1432" s="11" t="s">
        <v>2272</v>
      </c>
      <c r="G1432" s="198" t="s">
        <v>9140</v>
      </c>
      <c r="H1432" s="11" t="s">
        <v>9107</v>
      </c>
      <c r="I1432" s="21">
        <v>-36</v>
      </c>
      <c r="J1432" s="21">
        <v>-72.5</v>
      </c>
      <c r="K1432" s="21">
        <v>30296.1</v>
      </c>
      <c r="L1432" s="11">
        <v>1977</v>
      </c>
      <c r="M1432" s="11">
        <v>2000</v>
      </c>
      <c r="N1432" s="198">
        <v>50</v>
      </c>
      <c r="O1432" s="19" t="s">
        <v>66</v>
      </c>
      <c r="P1432" s="19" t="s">
        <v>5181</v>
      </c>
      <c r="Q1432" s="38" t="s">
        <v>9168</v>
      </c>
    </row>
    <row r="1433" spans="1:17" ht="43" customHeight="1">
      <c r="A1433" s="182">
        <v>381</v>
      </c>
      <c r="B1433" s="37" t="s">
        <v>9167</v>
      </c>
      <c r="C1433" s="11" t="s">
        <v>9158</v>
      </c>
      <c r="D1433" s="198" t="s">
        <v>2393</v>
      </c>
      <c r="E1433" s="198" t="s">
        <v>4842</v>
      </c>
      <c r="F1433" s="11" t="s">
        <v>2272</v>
      </c>
      <c r="G1433" s="198" t="s">
        <v>9141</v>
      </c>
      <c r="H1433" s="11" t="s">
        <v>9107</v>
      </c>
      <c r="I1433" s="21">
        <v>-33</v>
      </c>
      <c r="J1433" s="21">
        <v>-70.5</v>
      </c>
      <c r="K1433" s="21">
        <v>13178.5</v>
      </c>
      <c r="L1433" s="11">
        <v>1977</v>
      </c>
      <c r="M1433" s="11">
        <v>2000</v>
      </c>
      <c r="N1433" s="198">
        <v>5</v>
      </c>
      <c r="O1433" s="19" t="s">
        <v>66</v>
      </c>
      <c r="P1433" s="19" t="s">
        <v>5181</v>
      </c>
      <c r="Q1433" s="38" t="s">
        <v>9168</v>
      </c>
    </row>
    <row r="1434" spans="1:17" ht="42" customHeight="1">
      <c r="A1434" s="182">
        <v>381</v>
      </c>
      <c r="B1434" s="37" t="s">
        <v>9167</v>
      </c>
      <c r="C1434" s="11" t="s">
        <v>9159</v>
      </c>
      <c r="D1434" s="198" t="s">
        <v>2393</v>
      </c>
      <c r="E1434" s="198" t="s">
        <v>4842</v>
      </c>
      <c r="F1434" s="11" t="s">
        <v>2272</v>
      </c>
      <c r="G1434" s="198" t="s">
        <v>9142</v>
      </c>
      <c r="H1434" s="11" t="s">
        <v>9107</v>
      </c>
      <c r="I1434" s="21">
        <v>-37</v>
      </c>
      <c r="J1434" s="21">
        <v>-72.5</v>
      </c>
      <c r="K1434" s="21">
        <v>23890.2</v>
      </c>
      <c r="L1434" s="11">
        <v>1977</v>
      </c>
      <c r="M1434" s="11">
        <v>2000</v>
      </c>
      <c r="N1434" s="198">
        <v>50</v>
      </c>
      <c r="O1434" s="19" t="s">
        <v>66</v>
      </c>
      <c r="P1434" s="19" t="s">
        <v>5181</v>
      </c>
      <c r="Q1434" s="38" t="s">
        <v>9168</v>
      </c>
    </row>
    <row r="1435" spans="1:17" ht="42" customHeight="1">
      <c r="A1435" s="182">
        <v>381</v>
      </c>
      <c r="B1435" s="37" t="s">
        <v>9167</v>
      </c>
      <c r="C1435" s="11" t="s">
        <v>9160</v>
      </c>
      <c r="D1435" s="198" t="s">
        <v>2393</v>
      </c>
      <c r="E1435" s="198" t="s">
        <v>4842</v>
      </c>
      <c r="F1435" s="11" t="s">
        <v>2272</v>
      </c>
      <c r="G1435" s="198" t="s">
        <v>9143</v>
      </c>
      <c r="H1435" s="11" t="s">
        <v>9107</v>
      </c>
      <c r="I1435" s="21">
        <v>-38</v>
      </c>
      <c r="J1435" s="21">
        <v>-72.5</v>
      </c>
      <c r="K1435" s="21">
        <v>31842.3</v>
      </c>
      <c r="L1435" s="11">
        <v>1977</v>
      </c>
      <c r="M1435" s="11">
        <v>2000</v>
      </c>
      <c r="N1435" s="198">
        <v>30</v>
      </c>
      <c r="O1435" s="19" t="s">
        <v>66</v>
      </c>
      <c r="P1435" s="19" t="s">
        <v>5181</v>
      </c>
      <c r="Q1435" s="38" t="s">
        <v>9168</v>
      </c>
    </row>
    <row r="1436" spans="1:17" ht="42" customHeight="1">
      <c r="A1436" s="182">
        <v>381</v>
      </c>
      <c r="B1436" s="37" t="s">
        <v>9167</v>
      </c>
      <c r="C1436" s="11" t="s">
        <v>9161</v>
      </c>
      <c r="D1436" s="198" t="s">
        <v>2393</v>
      </c>
      <c r="E1436" s="198" t="s">
        <v>4842</v>
      </c>
      <c r="F1436" s="11" t="s">
        <v>2272</v>
      </c>
      <c r="G1436" s="198" t="s">
        <v>9144</v>
      </c>
      <c r="H1436" s="11" t="s">
        <v>9107</v>
      </c>
      <c r="I1436" s="21">
        <v>-40</v>
      </c>
      <c r="J1436" s="21">
        <v>-72.5</v>
      </c>
      <c r="K1436" s="21">
        <v>18429.5</v>
      </c>
      <c r="L1436" s="11">
        <v>1977</v>
      </c>
      <c r="M1436" s="11">
        <v>2000</v>
      </c>
      <c r="N1436" s="198">
        <v>25</v>
      </c>
      <c r="O1436" s="19" t="s">
        <v>66</v>
      </c>
      <c r="P1436" s="19" t="s">
        <v>5181</v>
      </c>
      <c r="Q1436" s="38" t="s">
        <v>9168</v>
      </c>
    </row>
    <row r="1437" spans="1:17" ht="42" customHeight="1">
      <c r="A1437" s="182">
        <v>381</v>
      </c>
      <c r="B1437" s="37" t="s">
        <v>9167</v>
      </c>
      <c r="C1437" s="11" t="s">
        <v>9162</v>
      </c>
      <c r="D1437" s="198" t="s">
        <v>2393</v>
      </c>
      <c r="E1437" s="198" t="s">
        <v>4842</v>
      </c>
      <c r="F1437" s="11" t="s">
        <v>2272</v>
      </c>
      <c r="G1437" s="198" t="s">
        <v>9145</v>
      </c>
      <c r="H1437" s="11" t="s">
        <v>9107</v>
      </c>
      <c r="I1437" s="21">
        <v>-41</v>
      </c>
      <c r="J1437" s="21">
        <v>-72.5</v>
      </c>
      <c r="K1437" s="21">
        <v>48583.6</v>
      </c>
      <c r="L1437" s="11">
        <v>1977</v>
      </c>
      <c r="M1437" s="11">
        <v>2000</v>
      </c>
      <c r="N1437" s="198">
        <v>20</v>
      </c>
      <c r="O1437" s="19" t="s">
        <v>66</v>
      </c>
      <c r="P1437" s="19" t="s">
        <v>5181</v>
      </c>
      <c r="Q1437" s="38" t="s">
        <v>9168</v>
      </c>
    </row>
    <row r="1438" spans="1:17" ht="42" customHeight="1">
      <c r="A1438" s="182">
        <v>381</v>
      </c>
      <c r="B1438" s="37" t="s">
        <v>9167</v>
      </c>
      <c r="C1438" s="11" t="s">
        <v>9163</v>
      </c>
      <c r="D1438" s="198" t="s">
        <v>2393</v>
      </c>
      <c r="E1438" s="198" t="s">
        <v>4842</v>
      </c>
      <c r="F1438" s="11" t="s">
        <v>2272</v>
      </c>
      <c r="G1438" s="198" t="s">
        <v>9146</v>
      </c>
      <c r="H1438" s="11" t="s">
        <v>9107</v>
      </c>
      <c r="I1438" s="21">
        <v>-45</v>
      </c>
      <c r="J1438" s="21">
        <v>-71</v>
      </c>
      <c r="K1438" s="21">
        <v>108494.39999999999</v>
      </c>
      <c r="L1438" s="11">
        <v>1977</v>
      </c>
      <c r="M1438" s="11">
        <v>2000</v>
      </c>
      <c r="N1438" s="198">
        <v>5</v>
      </c>
      <c r="O1438" s="19" t="s">
        <v>66</v>
      </c>
      <c r="P1438" s="19" t="s">
        <v>5181</v>
      </c>
      <c r="Q1438" s="38" t="s">
        <v>9168</v>
      </c>
    </row>
    <row r="1439" spans="1:17" ht="42" customHeight="1">
      <c r="A1439" s="182">
        <v>381</v>
      </c>
      <c r="B1439" s="37" t="s">
        <v>9167</v>
      </c>
      <c r="C1439" s="11" t="s">
        <v>9164</v>
      </c>
      <c r="D1439" s="198" t="s">
        <v>2393</v>
      </c>
      <c r="E1439" s="198" t="s">
        <v>4842</v>
      </c>
      <c r="F1439" s="11" t="s">
        <v>2272</v>
      </c>
      <c r="G1439" s="4" t="s">
        <v>9147</v>
      </c>
      <c r="H1439" s="11" t="s">
        <v>9107</v>
      </c>
      <c r="I1439" s="21">
        <v>-55</v>
      </c>
      <c r="J1439" s="21">
        <v>-70</v>
      </c>
      <c r="K1439" s="21">
        <v>132291.1</v>
      </c>
      <c r="L1439" s="11">
        <v>1977</v>
      </c>
      <c r="M1439" s="11">
        <v>2000</v>
      </c>
      <c r="N1439" s="198">
        <v>5</v>
      </c>
      <c r="O1439" s="19" t="s">
        <v>66</v>
      </c>
      <c r="P1439" s="19" t="s">
        <v>5181</v>
      </c>
      <c r="Q1439" s="38" t="s">
        <v>9168</v>
      </c>
    </row>
    <row r="1440" spans="1:17" ht="44.5" customHeight="1">
      <c r="A1440" s="182">
        <v>381</v>
      </c>
      <c r="B1440" s="37" t="s">
        <v>9167</v>
      </c>
      <c r="C1440" s="11" t="s">
        <v>9170</v>
      </c>
      <c r="D1440" s="198" t="s">
        <v>2393</v>
      </c>
      <c r="E1440" s="198" t="s">
        <v>4842</v>
      </c>
      <c r="F1440" s="11" t="s">
        <v>2272</v>
      </c>
      <c r="G1440" s="11" t="s">
        <v>2272</v>
      </c>
      <c r="H1440" s="11" t="s">
        <v>9107</v>
      </c>
      <c r="I1440" s="21">
        <f t="shared" ref="I1440:I1441" si="19">AVERAGE(-17, -56)</f>
        <v>-36.5</v>
      </c>
      <c r="J1440" s="21">
        <v>-73</v>
      </c>
      <c r="K1440" s="21">
        <v>756102</v>
      </c>
      <c r="L1440" s="11">
        <v>1991</v>
      </c>
      <c r="M1440" s="11">
        <v>2005</v>
      </c>
      <c r="N1440" s="198" t="s">
        <v>2272</v>
      </c>
      <c r="O1440" s="19" t="s">
        <v>66</v>
      </c>
      <c r="P1440" s="19" t="s">
        <v>5181</v>
      </c>
      <c r="Q1440" s="38" t="s">
        <v>9168</v>
      </c>
    </row>
    <row r="1441" spans="1:17" ht="44.5" customHeight="1">
      <c r="A1441" s="182">
        <v>381</v>
      </c>
      <c r="B1441" s="37" t="s">
        <v>9167</v>
      </c>
      <c r="C1441" s="11" t="s">
        <v>9171</v>
      </c>
      <c r="D1441" s="198" t="s">
        <v>2393</v>
      </c>
      <c r="E1441" s="198" t="s">
        <v>4842</v>
      </c>
      <c r="F1441" s="11" t="s">
        <v>2272</v>
      </c>
      <c r="G1441" s="11" t="s">
        <v>2272</v>
      </c>
      <c r="H1441" s="11" t="s">
        <v>9107</v>
      </c>
      <c r="I1441" s="21">
        <f t="shared" si="19"/>
        <v>-36.5</v>
      </c>
      <c r="J1441" s="21">
        <v>-73</v>
      </c>
      <c r="K1441" s="21">
        <v>756102</v>
      </c>
      <c r="L1441" s="11">
        <v>2006</v>
      </c>
      <c r="M1441" s="11">
        <v>2020</v>
      </c>
      <c r="N1441" s="21">
        <v>23.57</v>
      </c>
      <c r="O1441" s="19" t="s">
        <v>66</v>
      </c>
      <c r="P1441" s="19" t="s">
        <v>5181</v>
      </c>
      <c r="Q1441" s="38" t="s">
        <v>9168</v>
      </c>
    </row>
    <row r="1442" spans="1:17" ht="43.5">
      <c r="A1442" s="182">
        <v>381</v>
      </c>
      <c r="B1442" s="37" t="s">
        <v>9167</v>
      </c>
      <c r="C1442" s="11" t="s">
        <v>9174</v>
      </c>
      <c r="D1442" s="198" t="s">
        <v>2393</v>
      </c>
      <c r="E1442" s="198" t="s">
        <v>4842</v>
      </c>
      <c r="F1442" s="11" t="s">
        <v>2272</v>
      </c>
      <c r="G1442" s="198" t="s">
        <v>9134</v>
      </c>
      <c r="H1442" s="11" t="s">
        <v>9107</v>
      </c>
      <c r="I1442" s="21">
        <v>-18</v>
      </c>
      <c r="J1442" s="21">
        <v>-69.5</v>
      </c>
      <c r="K1442" s="21">
        <v>16873.3</v>
      </c>
      <c r="L1442" s="11">
        <v>2001</v>
      </c>
      <c r="M1442" s="11">
        <v>2020</v>
      </c>
      <c r="N1442" s="198">
        <v>5</v>
      </c>
      <c r="O1442" s="19" t="s">
        <v>66</v>
      </c>
      <c r="P1442" s="19" t="s">
        <v>5181</v>
      </c>
      <c r="Q1442" s="38" t="s">
        <v>9168</v>
      </c>
    </row>
    <row r="1443" spans="1:17" ht="43.5">
      <c r="A1443" s="182">
        <v>381</v>
      </c>
      <c r="B1443" s="37" t="s">
        <v>9167</v>
      </c>
      <c r="C1443" s="11" t="s">
        <v>9175</v>
      </c>
      <c r="D1443" s="198" t="s">
        <v>2393</v>
      </c>
      <c r="E1443" s="198" t="s">
        <v>4842</v>
      </c>
      <c r="F1443" s="11" t="s">
        <v>2272</v>
      </c>
      <c r="G1443" s="198" t="s">
        <v>9135</v>
      </c>
      <c r="H1443" s="11" t="s">
        <v>9107</v>
      </c>
      <c r="I1443" s="21">
        <v>-20</v>
      </c>
      <c r="J1443" s="21">
        <v>-69.5</v>
      </c>
      <c r="K1443" s="21">
        <v>41799.5</v>
      </c>
      <c r="L1443" s="11">
        <v>2001</v>
      </c>
      <c r="M1443" s="11">
        <v>2020</v>
      </c>
      <c r="N1443" s="198">
        <v>5</v>
      </c>
      <c r="O1443" s="19" t="s">
        <v>66</v>
      </c>
      <c r="P1443" s="19" t="s">
        <v>5181</v>
      </c>
      <c r="Q1443" s="38" t="s">
        <v>9168</v>
      </c>
    </row>
    <row r="1444" spans="1:17" ht="43.5">
      <c r="A1444" s="182">
        <v>381</v>
      </c>
      <c r="B1444" s="37" t="s">
        <v>9167</v>
      </c>
      <c r="C1444" s="11" t="s">
        <v>9176</v>
      </c>
      <c r="D1444" s="198" t="s">
        <v>2393</v>
      </c>
      <c r="E1444" s="198" t="s">
        <v>4842</v>
      </c>
      <c r="F1444" s="11" t="s">
        <v>2272</v>
      </c>
      <c r="G1444" s="198" t="s">
        <v>9136</v>
      </c>
      <c r="H1444" s="11" t="s">
        <v>9107</v>
      </c>
      <c r="I1444" s="21">
        <v>-24</v>
      </c>
      <c r="J1444" s="21">
        <v>-69.5</v>
      </c>
      <c r="K1444" s="21">
        <v>126049.1</v>
      </c>
      <c r="L1444" s="11">
        <v>2001</v>
      </c>
      <c r="M1444" s="11">
        <v>2020</v>
      </c>
      <c r="N1444" s="198">
        <v>5</v>
      </c>
      <c r="O1444" s="19" t="s">
        <v>66</v>
      </c>
      <c r="P1444" s="19" t="s">
        <v>5181</v>
      </c>
      <c r="Q1444" s="38" t="s">
        <v>9168</v>
      </c>
    </row>
    <row r="1445" spans="1:17" ht="43.5">
      <c r="A1445" s="182">
        <v>381</v>
      </c>
      <c r="B1445" s="37" t="s">
        <v>9167</v>
      </c>
      <c r="C1445" s="11" t="s">
        <v>9177</v>
      </c>
      <c r="D1445" s="198" t="s">
        <v>2393</v>
      </c>
      <c r="E1445" s="198" t="s">
        <v>4842</v>
      </c>
      <c r="F1445" s="11" t="s">
        <v>2272</v>
      </c>
      <c r="G1445" s="198" t="s">
        <v>9137</v>
      </c>
      <c r="H1445" s="11" t="s">
        <v>9107</v>
      </c>
      <c r="I1445" s="21">
        <v>-27</v>
      </c>
      <c r="J1445" s="21">
        <v>-70.5</v>
      </c>
      <c r="K1445" s="21">
        <v>75176.2</v>
      </c>
      <c r="L1445" s="11">
        <v>2001</v>
      </c>
      <c r="M1445" s="11">
        <v>2020</v>
      </c>
      <c r="N1445" s="198">
        <v>5</v>
      </c>
      <c r="O1445" s="19" t="s">
        <v>66</v>
      </c>
      <c r="P1445" s="19" t="s">
        <v>5181</v>
      </c>
      <c r="Q1445" s="38" t="s">
        <v>9168</v>
      </c>
    </row>
    <row r="1446" spans="1:17" ht="43.5">
      <c r="A1446" s="182">
        <v>381</v>
      </c>
      <c r="B1446" s="37" t="s">
        <v>9167</v>
      </c>
      <c r="C1446" s="11" t="s">
        <v>9178</v>
      </c>
      <c r="D1446" s="198" t="s">
        <v>2393</v>
      </c>
      <c r="E1446" s="198" t="s">
        <v>4842</v>
      </c>
      <c r="F1446" s="11" t="s">
        <v>2272</v>
      </c>
      <c r="G1446" s="198" t="s">
        <v>9148</v>
      </c>
      <c r="H1446" s="11" t="s">
        <v>9107</v>
      </c>
      <c r="I1446" s="21">
        <v>-31</v>
      </c>
      <c r="J1446" s="21">
        <v>-71</v>
      </c>
      <c r="K1446" s="21">
        <v>40579.9</v>
      </c>
      <c r="L1446" s="11">
        <v>2001</v>
      </c>
      <c r="M1446" s="11">
        <v>2020</v>
      </c>
      <c r="N1446" s="198">
        <v>20</v>
      </c>
      <c r="O1446" s="19" t="s">
        <v>66</v>
      </c>
      <c r="P1446" s="19" t="s">
        <v>5181</v>
      </c>
      <c r="Q1446" s="38" t="s">
        <v>9168</v>
      </c>
    </row>
    <row r="1447" spans="1:17" ht="43.5">
      <c r="A1447" s="182">
        <v>381</v>
      </c>
      <c r="B1447" s="37" t="s">
        <v>9167</v>
      </c>
      <c r="C1447" s="11" t="s">
        <v>9179</v>
      </c>
      <c r="D1447" s="198" t="s">
        <v>2393</v>
      </c>
      <c r="E1447" s="198" t="s">
        <v>4842</v>
      </c>
      <c r="F1447" s="11" t="s">
        <v>2272</v>
      </c>
      <c r="G1447" s="198" t="s">
        <v>9138</v>
      </c>
      <c r="H1447" s="11" t="s">
        <v>9107</v>
      </c>
      <c r="I1447" s="21">
        <v>-32.5</v>
      </c>
      <c r="J1447" s="21">
        <v>-71</v>
      </c>
      <c r="K1447" s="21">
        <v>16396.099999999999</v>
      </c>
      <c r="L1447" s="11">
        <v>2001</v>
      </c>
      <c r="M1447" s="11">
        <v>2020</v>
      </c>
      <c r="N1447" s="198">
        <v>100</v>
      </c>
      <c r="O1447" s="19" t="s">
        <v>66</v>
      </c>
      <c r="P1447" s="19" t="s">
        <v>5181</v>
      </c>
      <c r="Q1447" s="38" t="s">
        <v>9168</v>
      </c>
    </row>
    <row r="1448" spans="1:17" ht="45.5" customHeight="1">
      <c r="A1448" s="182">
        <v>381</v>
      </c>
      <c r="B1448" s="37" t="s">
        <v>9167</v>
      </c>
      <c r="C1448" s="11" t="s">
        <v>9180</v>
      </c>
      <c r="D1448" s="198" t="s">
        <v>2393</v>
      </c>
      <c r="E1448" s="198" t="s">
        <v>4842</v>
      </c>
      <c r="F1448" s="11" t="s">
        <v>2272</v>
      </c>
      <c r="G1448" s="198" t="s">
        <v>9219</v>
      </c>
      <c r="H1448" s="11" t="s">
        <v>9107</v>
      </c>
      <c r="I1448" s="21">
        <v>-33.850357799999998</v>
      </c>
      <c r="J1448" s="21">
        <v>-70.604239199999995</v>
      </c>
      <c r="K1448" s="21">
        <v>15403</v>
      </c>
      <c r="L1448" s="11">
        <v>1977</v>
      </c>
      <c r="M1448" s="11">
        <v>2000</v>
      </c>
      <c r="N1448" s="21">
        <f>6160040/K1448</f>
        <v>399.92468999545542</v>
      </c>
      <c r="O1448" s="19" t="s">
        <v>66</v>
      </c>
      <c r="P1448" s="19" t="s">
        <v>5181</v>
      </c>
      <c r="Q1448" s="38" t="s">
        <v>9168</v>
      </c>
    </row>
    <row r="1449" spans="1:17" ht="43.5">
      <c r="A1449" s="182">
        <v>381</v>
      </c>
      <c r="B1449" s="37" t="s">
        <v>9167</v>
      </c>
      <c r="C1449" s="11" t="s">
        <v>9181</v>
      </c>
      <c r="D1449" s="198" t="s">
        <v>2393</v>
      </c>
      <c r="E1449" s="198" t="s">
        <v>4842</v>
      </c>
      <c r="F1449" s="11" t="s">
        <v>2272</v>
      </c>
      <c r="G1449" s="4" t="s">
        <v>9139</v>
      </c>
      <c r="H1449" s="11" t="s">
        <v>9107</v>
      </c>
      <c r="I1449" s="21">
        <v>-34</v>
      </c>
      <c r="J1449" s="21">
        <v>-72</v>
      </c>
      <c r="K1449" s="21">
        <v>16387</v>
      </c>
      <c r="L1449" s="11">
        <v>2001</v>
      </c>
      <c r="M1449" s="11">
        <v>2020</v>
      </c>
      <c r="N1449" s="198">
        <v>50</v>
      </c>
      <c r="O1449" s="19" t="s">
        <v>66</v>
      </c>
      <c r="P1449" s="19" t="s">
        <v>5181</v>
      </c>
      <c r="Q1449" s="38" t="s">
        <v>9168</v>
      </c>
    </row>
    <row r="1450" spans="1:17" ht="43.5">
      <c r="A1450" s="182">
        <v>381</v>
      </c>
      <c r="B1450" s="37" t="s">
        <v>9167</v>
      </c>
      <c r="C1450" s="11" t="s">
        <v>9182</v>
      </c>
      <c r="D1450" s="198" t="s">
        <v>2393</v>
      </c>
      <c r="E1450" s="198" t="s">
        <v>4842</v>
      </c>
      <c r="F1450" s="11" t="s">
        <v>2272</v>
      </c>
      <c r="G1450" s="198" t="s">
        <v>9140</v>
      </c>
      <c r="H1450" s="11" t="s">
        <v>9107</v>
      </c>
      <c r="I1450" s="21">
        <v>-36</v>
      </c>
      <c r="J1450" s="21">
        <v>-72.5</v>
      </c>
      <c r="K1450" s="21">
        <v>30296.1</v>
      </c>
      <c r="L1450" s="11">
        <v>2001</v>
      </c>
      <c r="M1450" s="11">
        <v>2020</v>
      </c>
      <c r="N1450" s="198">
        <v>50</v>
      </c>
      <c r="O1450" s="19" t="s">
        <v>66</v>
      </c>
      <c r="P1450" s="19" t="s">
        <v>5181</v>
      </c>
      <c r="Q1450" s="38" t="s">
        <v>9168</v>
      </c>
    </row>
    <row r="1451" spans="1:17" ht="43.5">
      <c r="A1451" s="182">
        <v>381</v>
      </c>
      <c r="B1451" s="37" t="s">
        <v>9167</v>
      </c>
      <c r="C1451" s="11" t="s">
        <v>9183</v>
      </c>
      <c r="D1451" s="198" t="s">
        <v>2393</v>
      </c>
      <c r="E1451" s="198" t="s">
        <v>4842</v>
      </c>
      <c r="F1451" s="11" t="s">
        <v>2272</v>
      </c>
      <c r="G1451" s="198" t="s">
        <v>9141</v>
      </c>
      <c r="H1451" s="11" t="s">
        <v>9107</v>
      </c>
      <c r="I1451" s="21">
        <v>-33</v>
      </c>
      <c r="J1451" s="21">
        <v>-70.5</v>
      </c>
      <c r="K1451" s="21">
        <v>13178.5</v>
      </c>
      <c r="L1451" s="11">
        <v>2001</v>
      </c>
      <c r="M1451" s="11">
        <v>2020</v>
      </c>
      <c r="N1451" s="198">
        <v>5</v>
      </c>
      <c r="O1451" s="19" t="s">
        <v>66</v>
      </c>
      <c r="P1451" s="19" t="s">
        <v>5181</v>
      </c>
      <c r="Q1451" s="38" t="s">
        <v>9168</v>
      </c>
    </row>
    <row r="1452" spans="1:17" ht="43.5">
      <c r="A1452" s="182">
        <v>381</v>
      </c>
      <c r="B1452" s="37" t="s">
        <v>9167</v>
      </c>
      <c r="C1452" s="11" t="s">
        <v>9184</v>
      </c>
      <c r="D1452" s="198" t="s">
        <v>2393</v>
      </c>
      <c r="E1452" s="198" t="s">
        <v>4842</v>
      </c>
      <c r="F1452" s="11" t="s">
        <v>2272</v>
      </c>
      <c r="G1452" s="198" t="s">
        <v>9142</v>
      </c>
      <c r="H1452" s="11" t="s">
        <v>9107</v>
      </c>
      <c r="I1452" s="21">
        <v>-37</v>
      </c>
      <c r="J1452" s="21">
        <v>-72.5</v>
      </c>
      <c r="K1452" s="21">
        <v>23890.2</v>
      </c>
      <c r="L1452" s="11">
        <v>2001</v>
      </c>
      <c r="M1452" s="11">
        <v>2020</v>
      </c>
      <c r="N1452" s="198">
        <v>50</v>
      </c>
      <c r="O1452" s="19" t="s">
        <v>66</v>
      </c>
      <c r="P1452" s="19" t="s">
        <v>5181</v>
      </c>
      <c r="Q1452" s="38" t="s">
        <v>9168</v>
      </c>
    </row>
    <row r="1453" spans="1:17" ht="43.5">
      <c r="A1453" s="182">
        <v>381</v>
      </c>
      <c r="B1453" s="37" t="s">
        <v>9167</v>
      </c>
      <c r="C1453" s="11" t="s">
        <v>9185</v>
      </c>
      <c r="D1453" s="198" t="s">
        <v>2393</v>
      </c>
      <c r="E1453" s="198" t="s">
        <v>4842</v>
      </c>
      <c r="F1453" s="11" t="s">
        <v>2272</v>
      </c>
      <c r="G1453" s="198" t="s">
        <v>9143</v>
      </c>
      <c r="H1453" s="11" t="s">
        <v>9107</v>
      </c>
      <c r="I1453" s="21">
        <v>-38</v>
      </c>
      <c r="J1453" s="21">
        <v>-72.5</v>
      </c>
      <c r="K1453" s="21">
        <v>31842.3</v>
      </c>
      <c r="L1453" s="11">
        <v>2001</v>
      </c>
      <c r="M1453" s="11">
        <v>2020</v>
      </c>
      <c r="N1453" s="198">
        <v>30</v>
      </c>
      <c r="O1453" s="19" t="s">
        <v>66</v>
      </c>
      <c r="P1453" s="19" t="s">
        <v>5181</v>
      </c>
      <c r="Q1453" s="38" t="s">
        <v>9168</v>
      </c>
    </row>
    <row r="1454" spans="1:17" ht="43.5">
      <c r="A1454" s="182">
        <v>381</v>
      </c>
      <c r="B1454" s="37" t="s">
        <v>9167</v>
      </c>
      <c r="C1454" s="11" t="s">
        <v>9186</v>
      </c>
      <c r="D1454" s="198" t="s">
        <v>2393</v>
      </c>
      <c r="E1454" s="198" t="s">
        <v>4842</v>
      </c>
      <c r="F1454" s="11" t="s">
        <v>2272</v>
      </c>
      <c r="G1454" s="198" t="s">
        <v>9144</v>
      </c>
      <c r="H1454" s="11" t="s">
        <v>9107</v>
      </c>
      <c r="I1454" s="21">
        <v>-40</v>
      </c>
      <c r="J1454" s="21">
        <v>-72.5</v>
      </c>
      <c r="K1454" s="21">
        <v>18429.5</v>
      </c>
      <c r="L1454" s="11">
        <v>2001</v>
      </c>
      <c r="M1454" s="11">
        <v>2020</v>
      </c>
      <c r="N1454" s="198">
        <v>25</v>
      </c>
      <c r="O1454" s="19" t="s">
        <v>66</v>
      </c>
      <c r="P1454" s="19" t="s">
        <v>5181</v>
      </c>
      <c r="Q1454" s="38" t="s">
        <v>9168</v>
      </c>
    </row>
    <row r="1455" spans="1:17" ht="43.5">
      <c r="A1455" s="182">
        <v>381</v>
      </c>
      <c r="B1455" s="37" t="s">
        <v>9167</v>
      </c>
      <c r="C1455" s="11" t="s">
        <v>9187</v>
      </c>
      <c r="D1455" s="198" t="s">
        <v>2393</v>
      </c>
      <c r="E1455" s="198" t="s">
        <v>4842</v>
      </c>
      <c r="F1455" s="11" t="s">
        <v>2272</v>
      </c>
      <c r="G1455" s="198" t="s">
        <v>9145</v>
      </c>
      <c r="H1455" s="11" t="s">
        <v>9107</v>
      </c>
      <c r="I1455" s="21">
        <v>-41</v>
      </c>
      <c r="J1455" s="21">
        <v>-72.5</v>
      </c>
      <c r="K1455" s="21">
        <v>48583.6</v>
      </c>
      <c r="L1455" s="11">
        <v>2001</v>
      </c>
      <c r="M1455" s="11">
        <v>2020</v>
      </c>
      <c r="N1455" s="198">
        <v>20</v>
      </c>
      <c r="O1455" s="19" t="s">
        <v>66</v>
      </c>
      <c r="P1455" s="19" t="s">
        <v>5181</v>
      </c>
      <c r="Q1455" s="38" t="s">
        <v>9168</v>
      </c>
    </row>
    <row r="1456" spans="1:17" ht="43.5">
      <c r="A1456" s="182">
        <v>381</v>
      </c>
      <c r="B1456" s="37" t="s">
        <v>9167</v>
      </c>
      <c r="C1456" s="11" t="s">
        <v>9188</v>
      </c>
      <c r="D1456" s="198" t="s">
        <v>2393</v>
      </c>
      <c r="E1456" s="198" t="s">
        <v>4842</v>
      </c>
      <c r="F1456" s="11" t="s">
        <v>2272</v>
      </c>
      <c r="G1456" s="198" t="s">
        <v>9146</v>
      </c>
      <c r="H1456" s="11" t="s">
        <v>9107</v>
      </c>
      <c r="I1456" s="21">
        <v>-45</v>
      </c>
      <c r="J1456" s="21">
        <v>-71</v>
      </c>
      <c r="K1456" s="21">
        <v>108494.39999999999</v>
      </c>
      <c r="L1456" s="11">
        <v>2001</v>
      </c>
      <c r="M1456" s="11">
        <v>2020</v>
      </c>
      <c r="N1456" s="198">
        <v>5</v>
      </c>
      <c r="O1456" s="19" t="s">
        <v>66</v>
      </c>
      <c r="P1456" s="19" t="s">
        <v>5181</v>
      </c>
      <c r="Q1456" s="38" t="s">
        <v>9168</v>
      </c>
    </row>
    <row r="1457" spans="1:17" ht="60" customHeight="1">
      <c r="A1457" s="182">
        <v>381</v>
      </c>
      <c r="B1457" s="37" t="s">
        <v>9167</v>
      </c>
      <c r="C1457" s="11" t="s">
        <v>9220</v>
      </c>
      <c r="D1457" s="198" t="s">
        <v>2393</v>
      </c>
      <c r="E1457" s="198" t="s">
        <v>4842</v>
      </c>
      <c r="F1457" s="11" t="s">
        <v>2272</v>
      </c>
      <c r="G1457" s="4" t="s">
        <v>9147</v>
      </c>
      <c r="H1457" s="11" t="s">
        <v>9107</v>
      </c>
      <c r="I1457" s="21">
        <v>-55</v>
      </c>
      <c r="J1457" s="21">
        <v>-70</v>
      </c>
      <c r="K1457" s="21">
        <v>132291.1</v>
      </c>
      <c r="L1457" s="11">
        <v>2001</v>
      </c>
      <c r="M1457" s="11">
        <v>2020</v>
      </c>
      <c r="N1457" s="198">
        <v>5</v>
      </c>
      <c r="O1457" s="19" t="s">
        <v>66</v>
      </c>
      <c r="P1457" s="19" t="s">
        <v>5181</v>
      </c>
      <c r="Q1457" s="38" t="s">
        <v>9168</v>
      </c>
    </row>
    <row r="1458" spans="1:17" ht="49" customHeight="1">
      <c r="A1458" s="182">
        <v>382</v>
      </c>
      <c r="B1458" s="37" t="s">
        <v>9241</v>
      </c>
      <c r="C1458" s="11" t="s">
        <v>9242</v>
      </c>
      <c r="D1458" s="198" t="s">
        <v>2393</v>
      </c>
      <c r="E1458" s="198" t="s">
        <v>2394</v>
      </c>
      <c r="F1458" s="11" t="s">
        <v>9244</v>
      </c>
      <c r="G1458" s="11" t="s">
        <v>9245</v>
      </c>
      <c r="H1458" s="11" t="s">
        <v>9107</v>
      </c>
      <c r="I1458" s="21">
        <f>-38 - 12/60</f>
        <v>-38.200000000000003</v>
      </c>
      <c r="J1458" s="21">
        <f>-71-5/6</f>
        <v>-71.833333333333329</v>
      </c>
      <c r="K1458" s="21" t="s">
        <v>2272</v>
      </c>
      <c r="L1458" s="11">
        <v>2005</v>
      </c>
      <c r="M1458" s="11">
        <v>2005</v>
      </c>
      <c r="N1458" s="21" t="s">
        <v>2272</v>
      </c>
      <c r="O1458" s="19" t="s">
        <v>66</v>
      </c>
      <c r="P1458" s="19" t="s">
        <v>5181</v>
      </c>
      <c r="Q1458" s="198"/>
    </row>
    <row r="1459" spans="1:17" ht="50.5" customHeight="1">
      <c r="A1459" s="182">
        <v>382</v>
      </c>
      <c r="B1459" s="37" t="s">
        <v>9241</v>
      </c>
      <c r="C1459" s="11" t="s">
        <v>9243</v>
      </c>
      <c r="D1459" s="198" t="s">
        <v>2393</v>
      </c>
      <c r="E1459" s="198" t="s">
        <v>2394</v>
      </c>
      <c r="F1459" s="60" t="s">
        <v>9247</v>
      </c>
      <c r="G1459" s="198" t="s">
        <v>9246</v>
      </c>
      <c r="H1459" s="11" t="s">
        <v>9107</v>
      </c>
      <c r="I1459" s="21">
        <f>-36-0.866666666666667</f>
        <v>-36.866666666666667</v>
      </c>
      <c r="J1459" s="21">
        <f>-71-56/60</f>
        <v>-71.933333333333337</v>
      </c>
      <c r="K1459" s="21">
        <v>0.03</v>
      </c>
      <c r="L1459" s="11">
        <v>2005</v>
      </c>
      <c r="M1459" s="11">
        <v>2006</v>
      </c>
      <c r="N1459" s="21" t="s">
        <v>2272</v>
      </c>
      <c r="O1459" s="19" t="s">
        <v>66</v>
      </c>
      <c r="P1459" s="19" t="s">
        <v>5181</v>
      </c>
      <c r="Q1459" s="198"/>
    </row>
    <row r="1460" spans="1:17" ht="48" customHeight="1">
      <c r="A1460" s="182">
        <v>383</v>
      </c>
      <c r="B1460" s="37" t="s">
        <v>9253</v>
      </c>
      <c r="C1460" s="11" t="s">
        <v>9250</v>
      </c>
      <c r="D1460" s="198" t="s">
        <v>2393</v>
      </c>
      <c r="E1460" s="198" t="s">
        <v>2417</v>
      </c>
      <c r="F1460" s="11" t="s">
        <v>9252</v>
      </c>
      <c r="G1460" s="11" t="s">
        <v>9251</v>
      </c>
      <c r="H1460" s="11" t="s">
        <v>3409</v>
      </c>
      <c r="I1460" s="21">
        <f>-37-8/60</f>
        <v>-37.133333333333333</v>
      </c>
      <c r="J1460" s="21">
        <f>140 + 8/60</f>
        <v>140.13333333333333</v>
      </c>
      <c r="K1460" s="21">
        <f>298000/100</f>
        <v>2980</v>
      </c>
      <c r="L1460" s="11">
        <v>1976</v>
      </c>
      <c r="M1460" s="11">
        <v>2010</v>
      </c>
      <c r="N1460" s="21" t="s">
        <v>2272</v>
      </c>
      <c r="O1460" s="19" t="s">
        <v>66</v>
      </c>
      <c r="P1460" s="19" t="s">
        <v>5181</v>
      </c>
      <c r="Q1460" s="198"/>
    </row>
    <row r="1461" spans="1:17" ht="47" customHeight="1">
      <c r="A1461" s="182">
        <v>384</v>
      </c>
      <c r="B1461" s="37" t="s">
        <v>9260</v>
      </c>
      <c r="C1461" s="11" t="s">
        <v>9261</v>
      </c>
      <c r="D1461" s="198" t="s">
        <v>2393</v>
      </c>
      <c r="E1461" s="198" t="s">
        <v>4842</v>
      </c>
      <c r="F1461" s="11" t="s">
        <v>2272</v>
      </c>
      <c r="G1461" s="11" t="s">
        <v>2272</v>
      </c>
      <c r="H1461" s="198" t="s">
        <v>6105</v>
      </c>
      <c r="I1461" s="21">
        <v>40</v>
      </c>
      <c r="J1461" s="21">
        <v>-8</v>
      </c>
      <c r="K1461" s="21">
        <f>(885000+740000)/100</f>
        <v>16250</v>
      </c>
      <c r="L1461" s="198">
        <v>1996</v>
      </c>
      <c r="M1461" s="198">
        <v>2006</v>
      </c>
      <c r="N1461" s="21" t="s">
        <v>2272</v>
      </c>
      <c r="O1461" s="19" t="s">
        <v>66</v>
      </c>
      <c r="P1461" s="19" t="s">
        <v>5181</v>
      </c>
      <c r="Q1461" s="198"/>
    </row>
    <row r="1462" spans="1:17" ht="54.5" customHeight="1">
      <c r="A1462" s="182">
        <v>385</v>
      </c>
      <c r="B1462" s="37" t="s">
        <v>9266</v>
      </c>
      <c r="C1462" s="11" t="s">
        <v>9264</v>
      </c>
      <c r="D1462" s="198" t="s">
        <v>2393</v>
      </c>
      <c r="E1462" s="198" t="s">
        <v>4842</v>
      </c>
      <c r="F1462" s="11" t="s">
        <v>2272</v>
      </c>
      <c r="G1462" s="60" t="s">
        <v>9267</v>
      </c>
      <c r="H1462" s="11" t="s">
        <v>9107</v>
      </c>
      <c r="I1462" s="21">
        <v>-35</v>
      </c>
      <c r="J1462" s="21">
        <v>-71.5</v>
      </c>
      <c r="K1462" s="21">
        <v>90000</v>
      </c>
      <c r="L1462" s="11">
        <v>1985</v>
      </c>
      <c r="M1462" s="11">
        <v>2017</v>
      </c>
      <c r="N1462" s="21" t="s">
        <v>2272</v>
      </c>
      <c r="O1462" s="19" t="s">
        <v>66</v>
      </c>
      <c r="P1462" s="19" t="s">
        <v>5181</v>
      </c>
      <c r="Q1462" s="198"/>
    </row>
    <row r="1463" spans="1:17" ht="65.5" customHeight="1">
      <c r="A1463" s="182">
        <v>385</v>
      </c>
      <c r="B1463" s="38" t="s">
        <v>9274</v>
      </c>
      <c r="C1463" s="11" t="s">
        <v>9273</v>
      </c>
      <c r="D1463" s="198" t="s">
        <v>2393</v>
      </c>
      <c r="E1463" s="198" t="s">
        <v>2631</v>
      </c>
      <c r="F1463" s="11" t="s">
        <v>2272</v>
      </c>
      <c r="G1463" s="198" t="s">
        <v>9140</v>
      </c>
      <c r="H1463" s="11" t="s">
        <v>9107</v>
      </c>
      <c r="I1463" s="21">
        <v>-36</v>
      </c>
      <c r="J1463" s="21">
        <v>-72.5</v>
      </c>
      <c r="K1463" s="21">
        <v>30296.1</v>
      </c>
      <c r="L1463" s="11">
        <v>2016</v>
      </c>
      <c r="M1463" s="11">
        <v>2016</v>
      </c>
      <c r="N1463" s="21" t="s">
        <v>2272</v>
      </c>
      <c r="O1463" s="19" t="s">
        <v>66</v>
      </c>
      <c r="P1463" s="19" t="s">
        <v>5181</v>
      </c>
      <c r="Q1463" s="198"/>
    </row>
    <row r="1464" spans="1:17" ht="45" customHeight="1">
      <c r="A1464" s="182">
        <v>386</v>
      </c>
      <c r="B1464" s="37" t="s">
        <v>9279</v>
      </c>
      <c r="C1464" s="11" t="s">
        <v>9278</v>
      </c>
      <c r="D1464" s="198" t="s">
        <v>2393</v>
      </c>
      <c r="E1464" s="198" t="s">
        <v>6791</v>
      </c>
      <c r="F1464" s="11" t="s">
        <v>2272</v>
      </c>
      <c r="G1464" s="11" t="s">
        <v>9280</v>
      </c>
      <c r="H1464" s="11" t="s">
        <v>3409</v>
      </c>
      <c r="I1464" s="21">
        <v>-36</v>
      </c>
      <c r="J1464" s="21">
        <v>147.75</v>
      </c>
      <c r="K1464" s="21">
        <f>801150+227444</f>
        <v>1028594</v>
      </c>
      <c r="L1464" s="11">
        <v>2000</v>
      </c>
      <c r="M1464" s="11">
        <v>2019</v>
      </c>
      <c r="N1464" s="21" t="s">
        <v>2272</v>
      </c>
      <c r="O1464" s="19" t="s">
        <v>66</v>
      </c>
      <c r="P1464" s="19" t="s">
        <v>5181</v>
      </c>
      <c r="Q1464" s="198"/>
    </row>
    <row r="1465" spans="1:17" ht="46.5" customHeight="1">
      <c r="A1465" s="182">
        <v>387</v>
      </c>
      <c r="B1465" s="37" t="s">
        <v>9294</v>
      </c>
      <c r="C1465" s="198" t="s">
        <v>9287</v>
      </c>
      <c r="D1465" s="198" t="s">
        <v>2393</v>
      </c>
      <c r="E1465" s="198" t="s">
        <v>4842</v>
      </c>
      <c r="F1465" s="11" t="s">
        <v>9286</v>
      </c>
      <c r="G1465" s="11" t="s">
        <v>5657</v>
      </c>
      <c r="H1465" s="11" t="s">
        <v>3409</v>
      </c>
      <c r="I1465" s="21">
        <f>-37-21/60</f>
        <v>-37.35</v>
      </c>
      <c r="J1465" s="21">
        <f>145+32/60</f>
        <v>145.53333333333333</v>
      </c>
      <c r="K1465" s="21" t="s">
        <v>2272</v>
      </c>
      <c r="L1465" s="11">
        <v>2009</v>
      </c>
      <c r="M1465" s="11">
        <v>2009</v>
      </c>
      <c r="N1465" s="21" t="s">
        <v>2272</v>
      </c>
      <c r="O1465" s="19" t="s">
        <v>66</v>
      </c>
      <c r="P1465" s="19" t="s">
        <v>5181</v>
      </c>
      <c r="Q1465" s="198"/>
    </row>
    <row r="1466" spans="1:17" ht="42" customHeight="1">
      <c r="A1466" s="182">
        <v>387</v>
      </c>
      <c r="B1466" s="37" t="s">
        <v>9294</v>
      </c>
      <c r="C1466" s="198" t="s">
        <v>9288</v>
      </c>
      <c r="D1466" s="198" t="s">
        <v>2393</v>
      </c>
      <c r="E1466" s="198" t="s">
        <v>4842</v>
      </c>
      <c r="F1466" s="11" t="s">
        <v>9293</v>
      </c>
      <c r="G1466" s="11" t="s">
        <v>5657</v>
      </c>
      <c r="H1466" s="11" t="s">
        <v>3409</v>
      </c>
      <c r="I1466" s="21">
        <f>-37-23/60</f>
        <v>-37.383333333333333</v>
      </c>
      <c r="J1466" s="21">
        <f>145+11/60</f>
        <v>145.18333333333334</v>
      </c>
      <c r="K1466" s="21" t="s">
        <v>2272</v>
      </c>
      <c r="L1466" s="11">
        <v>2009</v>
      </c>
      <c r="M1466" s="11">
        <v>2009</v>
      </c>
      <c r="N1466" s="21" t="s">
        <v>2272</v>
      </c>
      <c r="O1466" s="19" t="s">
        <v>66</v>
      </c>
      <c r="P1466" s="19" t="s">
        <v>5181</v>
      </c>
      <c r="Q1466" s="198"/>
    </row>
    <row r="1467" spans="1:17" ht="39" customHeight="1">
      <c r="A1467" s="182">
        <v>388</v>
      </c>
      <c r="B1467" s="37" t="s">
        <v>9285</v>
      </c>
      <c r="C1467" s="11" t="s">
        <v>9299</v>
      </c>
      <c r="D1467" s="198" t="s">
        <v>2393</v>
      </c>
      <c r="E1467" s="198" t="s">
        <v>2631</v>
      </c>
      <c r="F1467" s="11" t="s">
        <v>2272</v>
      </c>
      <c r="G1467" s="11" t="s">
        <v>5657</v>
      </c>
      <c r="H1467" s="11" t="s">
        <v>3409</v>
      </c>
      <c r="I1467" s="21">
        <f>-37-11/60</f>
        <v>-37.18333333333333</v>
      </c>
      <c r="J1467" s="21">
        <f>146+38/60</f>
        <v>146.63333333333333</v>
      </c>
      <c r="K1467" s="21">
        <f>4235*20</f>
        <v>84700</v>
      </c>
      <c r="L1467" s="11">
        <v>2009</v>
      </c>
      <c r="M1467" s="11">
        <v>2009</v>
      </c>
      <c r="N1467" s="21" t="s">
        <v>2272</v>
      </c>
      <c r="O1467" s="19" t="s">
        <v>66</v>
      </c>
      <c r="P1467" s="19" t="s">
        <v>5181</v>
      </c>
      <c r="Q1467" s="4" t="s">
        <v>9300</v>
      </c>
    </row>
    <row r="1468" spans="1:17" ht="42.5" customHeight="1">
      <c r="A1468" s="182">
        <v>389</v>
      </c>
      <c r="B1468" s="37" t="s">
        <v>9306</v>
      </c>
      <c r="C1468" s="11" t="s">
        <v>9307</v>
      </c>
      <c r="D1468" s="198" t="s">
        <v>2393</v>
      </c>
      <c r="E1468" s="198" t="s">
        <v>4842</v>
      </c>
      <c r="F1468" s="11" t="s">
        <v>2272</v>
      </c>
      <c r="G1468" s="11" t="s">
        <v>9308</v>
      </c>
      <c r="H1468" s="11" t="s">
        <v>4107</v>
      </c>
      <c r="I1468" s="21">
        <v>41.75</v>
      </c>
      <c r="J1468" s="21">
        <v>-116.5</v>
      </c>
      <c r="K1468" s="21">
        <v>3101174</v>
      </c>
      <c r="L1468" s="198">
        <v>2004</v>
      </c>
      <c r="M1468" s="198">
        <v>2008</v>
      </c>
      <c r="N1468" s="21" t="s">
        <v>2272</v>
      </c>
      <c r="O1468" s="19" t="s">
        <v>66</v>
      </c>
      <c r="P1468" s="19" t="s">
        <v>5181</v>
      </c>
      <c r="Q1468" s="198"/>
    </row>
    <row r="1469" spans="1:17" ht="55.5" customHeight="1">
      <c r="A1469" s="182">
        <v>389</v>
      </c>
      <c r="B1469" s="37" t="s">
        <v>9306</v>
      </c>
      <c r="C1469" s="11" t="s">
        <v>9330</v>
      </c>
      <c r="D1469" s="198" t="s">
        <v>2393</v>
      </c>
      <c r="E1469" s="198" t="s">
        <v>4842</v>
      </c>
      <c r="F1469" s="11" t="s">
        <v>9341</v>
      </c>
      <c r="G1469" s="11" t="s">
        <v>9326</v>
      </c>
      <c r="H1469" s="11" t="s">
        <v>4107</v>
      </c>
      <c r="I1469" s="21">
        <v>33.5</v>
      </c>
      <c r="J1469" s="21">
        <v>-112</v>
      </c>
      <c r="K1469" s="21">
        <v>295254</v>
      </c>
      <c r="L1469" s="198">
        <v>2004</v>
      </c>
      <c r="M1469" s="198">
        <v>2008</v>
      </c>
      <c r="N1469" s="21" t="s">
        <v>2272</v>
      </c>
      <c r="O1469" s="19" t="s">
        <v>66</v>
      </c>
      <c r="P1469" s="19" t="s">
        <v>5181</v>
      </c>
      <c r="Q1469" s="198"/>
    </row>
    <row r="1470" spans="1:17" ht="55.5" customHeight="1">
      <c r="A1470" s="182">
        <v>389</v>
      </c>
      <c r="B1470" s="37" t="s">
        <v>9306</v>
      </c>
      <c r="C1470" s="11" t="s">
        <v>9331</v>
      </c>
      <c r="D1470" s="198" t="s">
        <v>2393</v>
      </c>
      <c r="E1470" s="198" t="s">
        <v>4842</v>
      </c>
      <c r="F1470" s="60" t="s">
        <v>9341</v>
      </c>
      <c r="G1470" s="11" t="s">
        <v>4127</v>
      </c>
      <c r="H1470" s="11" t="s">
        <v>4107</v>
      </c>
      <c r="I1470" s="21">
        <v>38</v>
      </c>
      <c r="J1470" s="21">
        <v>-121.25</v>
      </c>
      <c r="K1470" s="21">
        <v>423970</v>
      </c>
      <c r="L1470" s="198">
        <v>2004</v>
      </c>
      <c r="M1470" s="198">
        <v>2008</v>
      </c>
      <c r="N1470" s="21" t="s">
        <v>2272</v>
      </c>
      <c r="O1470" s="19" t="s">
        <v>66</v>
      </c>
      <c r="P1470" s="19" t="s">
        <v>5181</v>
      </c>
      <c r="Q1470" s="4" t="s">
        <v>9342</v>
      </c>
    </row>
    <row r="1471" spans="1:17" ht="55.5" customHeight="1">
      <c r="A1471" s="182">
        <v>389</v>
      </c>
      <c r="B1471" s="37" t="s">
        <v>9306</v>
      </c>
      <c r="C1471" s="11" t="s">
        <v>9332</v>
      </c>
      <c r="D1471" s="198" t="s">
        <v>2393</v>
      </c>
      <c r="E1471" s="198" t="s">
        <v>4842</v>
      </c>
      <c r="F1471" s="60" t="s">
        <v>9341</v>
      </c>
      <c r="G1471" s="11" t="s">
        <v>7015</v>
      </c>
      <c r="H1471" s="11" t="s">
        <v>4107</v>
      </c>
      <c r="I1471" s="21">
        <v>39.75</v>
      </c>
      <c r="J1471" s="21">
        <v>-105</v>
      </c>
      <c r="K1471" s="21">
        <v>269837</v>
      </c>
      <c r="L1471" s="198">
        <v>2004</v>
      </c>
      <c r="M1471" s="198">
        <v>2008</v>
      </c>
      <c r="N1471" s="21" t="s">
        <v>2272</v>
      </c>
      <c r="O1471" s="19" t="s">
        <v>66</v>
      </c>
      <c r="P1471" s="19" t="s">
        <v>5181</v>
      </c>
      <c r="Q1471" s="4" t="s">
        <v>9342</v>
      </c>
    </row>
    <row r="1472" spans="1:17" ht="55.5" customHeight="1">
      <c r="A1472" s="182">
        <v>389</v>
      </c>
      <c r="B1472" s="37" t="s">
        <v>9306</v>
      </c>
      <c r="C1472" s="11" t="s">
        <v>9333</v>
      </c>
      <c r="D1472" s="198" t="s">
        <v>2393</v>
      </c>
      <c r="E1472" s="198" t="s">
        <v>4842</v>
      </c>
      <c r="F1472" s="60" t="s">
        <v>9341</v>
      </c>
      <c r="G1472" s="11" t="s">
        <v>7031</v>
      </c>
      <c r="H1472" s="11" t="s">
        <v>4107</v>
      </c>
      <c r="I1472" s="21">
        <v>43.75</v>
      </c>
      <c r="J1472" s="21">
        <v>-114</v>
      </c>
      <c r="K1472" s="21">
        <v>216632</v>
      </c>
      <c r="L1472" s="198">
        <v>2004</v>
      </c>
      <c r="M1472" s="198">
        <v>2008</v>
      </c>
      <c r="N1472" s="21" t="s">
        <v>2272</v>
      </c>
      <c r="O1472" s="19" t="s">
        <v>66</v>
      </c>
      <c r="P1472" s="19" t="s">
        <v>5181</v>
      </c>
      <c r="Q1472" s="4" t="s">
        <v>9342</v>
      </c>
    </row>
    <row r="1473" spans="1:17" ht="55.5" customHeight="1">
      <c r="A1473" s="182">
        <v>389</v>
      </c>
      <c r="B1473" s="37" t="s">
        <v>9306</v>
      </c>
      <c r="C1473" s="11" t="s">
        <v>9334</v>
      </c>
      <c r="D1473" s="198" t="s">
        <v>2393</v>
      </c>
      <c r="E1473" s="198" t="s">
        <v>4842</v>
      </c>
      <c r="F1473" s="60" t="s">
        <v>9341</v>
      </c>
      <c r="G1473" s="11" t="s">
        <v>9327</v>
      </c>
      <c r="H1473" s="11" t="s">
        <v>4107</v>
      </c>
      <c r="I1473" s="21">
        <v>46</v>
      </c>
      <c r="J1473" s="21">
        <v>-112.5</v>
      </c>
      <c r="K1473" s="21">
        <v>380832</v>
      </c>
      <c r="L1473" s="198">
        <v>2004</v>
      </c>
      <c r="M1473" s="198">
        <v>2008</v>
      </c>
      <c r="N1473" s="21" t="s">
        <v>2272</v>
      </c>
      <c r="O1473" s="19" t="s">
        <v>66</v>
      </c>
      <c r="P1473" s="19" t="s">
        <v>5181</v>
      </c>
      <c r="Q1473" s="4" t="s">
        <v>9342</v>
      </c>
    </row>
    <row r="1474" spans="1:17" ht="55.5" customHeight="1">
      <c r="A1474" s="182">
        <v>389</v>
      </c>
      <c r="B1474" s="37" t="s">
        <v>9306</v>
      </c>
      <c r="C1474" s="11" t="s">
        <v>9335</v>
      </c>
      <c r="D1474" s="198" t="s">
        <v>2393</v>
      </c>
      <c r="E1474" s="198" t="s">
        <v>4842</v>
      </c>
      <c r="F1474" s="60" t="s">
        <v>9341</v>
      </c>
      <c r="G1474" s="11" t="s">
        <v>9329</v>
      </c>
      <c r="H1474" s="11" t="s">
        <v>4107</v>
      </c>
      <c r="I1474" s="21">
        <v>35</v>
      </c>
      <c r="J1474" s="21">
        <v>-106.75</v>
      </c>
      <c r="K1474" s="21">
        <v>315194</v>
      </c>
      <c r="L1474" s="198">
        <v>2004</v>
      </c>
      <c r="M1474" s="198">
        <v>2008</v>
      </c>
      <c r="N1474" s="21" t="s">
        <v>2272</v>
      </c>
      <c r="O1474" s="19" t="s">
        <v>66</v>
      </c>
      <c r="P1474" s="19" t="s">
        <v>5181</v>
      </c>
      <c r="Q1474" s="4" t="s">
        <v>9342</v>
      </c>
    </row>
    <row r="1475" spans="1:17" ht="55.5" customHeight="1">
      <c r="A1475" s="182">
        <v>389</v>
      </c>
      <c r="B1475" s="37" t="s">
        <v>9306</v>
      </c>
      <c r="C1475" s="11" t="s">
        <v>9336</v>
      </c>
      <c r="D1475" s="198" t="s">
        <v>2393</v>
      </c>
      <c r="E1475" s="198" t="s">
        <v>4842</v>
      </c>
      <c r="F1475" s="60" t="s">
        <v>9341</v>
      </c>
      <c r="G1475" s="11" t="s">
        <v>7991</v>
      </c>
      <c r="H1475" s="11" t="s">
        <v>4107</v>
      </c>
      <c r="I1475" s="21">
        <v>36</v>
      </c>
      <c r="J1475" s="21">
        <v>-115</v>
      </c>
      <c r="K1475" s="21">
        <v>286367</v>
      </c>
      <c r="L1475" s="198">
        <v>2004</v>
      </c>
      <c r="M1475" s="198">
        <v>2008</v>
      </c>
      <c r="N1475" s="21" t="s">
        <v>2272</v>
      </c>
      <c r="O1475" s="19" t="s">
        <v>66</v>
      </c>
      <c r="P1475" s="19" t="s">
        <v>5181</v>
      </c>
      <c r="Q1475" s="4" t="s">
        <v>9342</v>
      </c>
    </row>
    <row r="1476" spans="1:17" ht="55.5" customHeight="1">
      <c r="A1476" s="182">
        <v>389</v>
      </c>
      <c r="B1476" s="37" t="s">
        <v>9306</v>
      </c>
      <c r="C1476" s="11" t="s">
        <v>9337</v>
      </c>
      <c r="D1476" s="198" t="s">
        <v>2393</v>
      </c>
      <c r="E1476" s="198" t="s">
        <v>4842</v>
      </c>
      <c r="F1476" s="60" t="s">
        <v>9341</v>
      </c>
      <c r="G1476" s="11" t="s">
        <v>6375</v>
      </c>
      <c r="H1476" s="11" t="s">
        <v>4107</v>
      </c>
      <c r="I1476" s="21">
        <v>44</v>
      </c>
      <c r="J1476" s="21">
        <v>-122</v>
      </c>
      <c r="K1476" s="21">
        <v>255026</v>
      </c>
      <c r="L1476" s="198">
        <v>2004</v>
      </c>
      <c r="M1476" s="198">
        <v>2008</v>
      </c>
      <c r="N1476" s="21" t="s">
        <v>2272</v>
      </c>
      <c r="O1476" s="19" t="s">
        <v>66</v>
      </c>
      <c r="P1476" s="19" t="s">
        <v>5181</v>
      </c>
      <c r="Q1476" s="4" t="s">
        <v>9342</v>
      </c>
    </row>
    <row r="1477" spans="1:17" ht="55.5" customHeight="1">
      <c r="A1477" s="182">
        <v>389</v>
      </c>
      <c r="B1477" s="37" t="s">
        <v>9306</v>
      </c>
      <c r="C1477" s="11" t="s">
        <v>9338</v>
      </c>
      <c r="D1477" s="198" t="s">
        <v>2393</v>
      </c>
      <c r="E1477" s="198" t="s">
        <v>4842</v>
      </c>
      <c r="F1477" s="60" t="s">
        <v>9341</v>
      </c>
      <c r="G1477" s="11" t="s">
        <v>7992</v>
      </c>
      <c r="H1477" s="11" t="s">
        <v>4107</v>
      </c>
      <c r="I1477" s="21">
        <v>42.75</v>
      </c>
      <c r="J1477" s="21">
        <v>112</v>
      </c>
      <c r="K1477" s="21">
        <v>219887</v>
      </c>
      <c r="L1477" s="198">
        <v>2004</v>
      </c>
      <c r="M1477" s="198">
        <v>2008</v>
      </c>
      <c r="N1477" s="21" t="s">
        <v>2272</v>
      </c>
      <c r="O1477" s="19" t="s">
        <v>66</v>
      </c>
      <c r="P1477" s="19" t="s">
        <v>5181</v>
      </c>
      <c r="Q1477" s="4" t="s">
        <v>9342</v>
      </c>
    </row>
    <row r="1478" spans="1:17" ht="55.5" customHeight="1">
      <c r="A1478" s="182">
        <v>389</v>
      </c>
      <c r="B1478" s="37" t="s">
        <v>9306</v>
      </c>
      <c r="C1478" s="11" t="s">
        <v>9339</v>
      </c>
      <c r="D1478" s="198" t="s">
        <v>2393</v>
      </c>
      <c r="E1478" s="198" t="s">
        <v>4842</v>
      </c>
      <c r="F1478" s="60" t="s">
        <v>9341</v>
      </c>
      <c r="G1478" s="11" t="s">
        <v>5671</v>
      </c>
      <c r="H1478" s="11" t="s">
        <v>4107</v>
      </c>
      <c r="I1478" s="21">
        <v>47</v>
      </c>
      <c r="J1478" s="21">
        <v>121</v>
      </c>
      <c r="K1478" s="21">
        <v>184827</v>
      </c>
      <c r="L1478" s="198">
        <v>2004</v>
      </c>
      <c r="M1478" s="198">
        <v>2008</v>
      </c>
      <c r="N1478" s="21" t="s">
        <v>2272</v>
      </c>
      <c r="O1478" s="19" t="s">
        <v>66</v>
      </c>
      <c r="P1478" s="19" t="s">
        <v>5181</v>
      </c>
      <c r="Q1478" s="4" t="s">
        <v>9342</v>
      </c>
    </row>
    <row r="1479" spans="1:17" ht="55.5" customHeight="1">
      <c r="A1479" s="182">
        <v>389</v>
      </c>
      <c r="B1479" s="37" t="s">
        <v>9306</v>
      </c>
      <c r="C1479" s="11" t="s">
        <v>9340</v>
      </c>
      <c r="D1479" s="198" t="s">
        <v>2393</v>
      </c>
      <c r="E1479" s="198" t="s">
        <v>4842</v>
      </c>
      <c r="F1479" s="60" t="s">
        <v>9341</v>
      </c>
      <c r="G1479" s="11" t="s">
        <v>9328</v>
      </c>
      <c r="H1479" s="11" t="s">
        <v>4107</v>
      </c>
      <c r="I1479" s="21">
        <v>42.75</v>
      </c>
      <c r="J1479" s="21">
        <v>-106.25</v>
      </c>
      <c r="K1479" s="21">
        <v>253348</v>
      </c>
      <c r="L1479" s="198">
        <v>2004</v>
      </c>
      <c r="M1479" s="198">
        <v>2008</v>
      </c>
      <c r="N1479" s="21" t="s">
        <v>2272</v>
      </c>
      <c r="O1479" s="19" t="s">
        <v>66</v>
      </c>
      <c r="P1479" s="19" t="s">
        <v>5181</v>
      </c>
      <c r="Q1479" s="4" t="s">
        <v>9342</v>
      </c>
    </row>
    <row r="1480" spans="1:17" ht="42.5" customHeight="1">
      <c r="A1480" s="182">
        <v>390</v>
      </c>
      <c r="B1480" s="37" t="s">
        <v>9355</v>
      </c>
      <c r="C1480" s="11" t="s">
        <v>9356</v>
      </c>
      <c r="D1480" s="198" t="s">
        <v>2393</v>
      </c>
      <c r="E1480" s="198" t="s">
        <v>6791</v>
      </c>
      <c r="F1480" s="11" t="s">
        <v>2272</v>
      </c>
      <c r="G1480" s="11" t="s">
        <v>9357</v>
      </c>
      <c r="H1480" s="11" t="s">
        <v>6317</v>
      </c>
      <c r="I1480" s="21">
        <v>65</v>
      </c>
      <c r="J1480" s="21">
        <v>79</v>
      </c>
      <c r="K1480" s="21">
        <f>(1118)*10000</f>
        <v>11180000</v>
      </c>
      <c r="L1480" s="11">
        <v>2003</v>
      </c>
      <c r="M1480" s="11">
        <v>2004</v>
      </c>
      <c r="N1480" s="21" t="s">
        <v>2272</v>
      </c>
      <c r="O1480" s="19" t="s">
        <v>66</v>
      </c>
      <c r="P1480" s="19" t="s">
        <v>5181</v>
      </c>
      <c r="Q1480" s="198"/>
    </row>
    <row r="1481" spans="1:17" ht="45.5" customHeight="1">
      <c r="A1481" s="182">
        <v>390</v>
      </c>
      <c r="B1481" s="38" t="s">
        <v>9365</v>
      </c>
      <c r="C1481" s="11" t="s">
        <v>9366</v>
      </c>
      <c r="D1481" s="198" t="s">
        <v>2393</v>
      </c>
      <c r="E1481" s="198" t="s">
        <v>4842</v>
      </c>
      <c r="F1481" s="11" t="s">
        <v>2272</v>
      </c>
      <c r="G1481" s="11" t="s">
        <v>2272</v>
      </c>
      <c r="H1481" s="11" t="s">
        <v>6317</v>
      </c>
      <c r="I1481" s="21">
        <v>61.5</v>
      </c>
      <c r="J1481" s="21">
        <v>76</v>
      </c>
      <c r="K1481" s="21">
        <v>17100000</v>
      </c>
      <c r="L1481" s="11">
        <v>2003</v>
      </c>
      <c r="M1481" s="11">
        <v>2004</v>
      </c>
      <c r="N1481" s="21" t="s">
        <v>2272</v>
      </c>
      <c r="O1481" s="19" t="s">
        <v>66</v>
      </c>
      <c r="P1481" s="19" t="s">
        <v>5181</v>
      </c>
      <c r="Q1481" s="198"/>
    </row>
    <row r="1482" spans="1:17" ht="45.5" customHeight="1">
      <c r="A1482" s="182">
        <v>391</v>
      </c>
      <c r="B1482" s="37" t="s">
        <v>9373</v>
      </c>
      <c r="C1482" s="11" t="s">
        <v>9367</v>
      </c>
      <c r="D1482" s="198" t="s">
        <v>2393</v>
      </c>
      <c r="E1482" s="198" t="s">
        <v>2394</v>
      </c>
      <c r="F1482" s="198" t="s">
        <v>9370</v>
      </c>
      <c r="G1482" s="198" t="s">
        <v>9371</v>
      </c>
      <c r="H1482" s="198" t="s">
        <v>86</v>
      </c>
      <c r="I1482" s="21">
        <f>10+7.5/60</f>
        <v>10.125</v>
      </c>
      <c r="J1482" s="21">
        <f>AVERAGE(77+46/60, 77+51/60)</f>
        <v>77.808333333333337</v>
      </c>
      <c r="K1482" s="21">
        <f>13330/296</f>
        <v>45.033783783783782</v>
      </c>
      <c r="L1482" s="198">
        <v>1999</v>
      </c>
      <c r="M1482" s="198">
        <v>2001</v>
      </c>
      <c r="N1482" s="21">
        <f>296</f>
        <v>296</v>
      </c>
      <c r="O1482" s="19" t="s">
        <v>66</v>
      </c>
      <c r="P1482" s="19" t="s">
        <v>5181</v>
      </c>
      <c r="Q1482" s="198"/>
    </row>
    <row r="1483" spans="1:17" ht="41" customHeight="1">
      <c r="A1483" s="182">
        <v>392</v>
      </c>
      <c r="B1483" s="37" t="s">
        <v>9389</v>
      </c>
      <c r="C1483" s="11" t="s">
        <v>9390</v>
      </c>
      <c r="D1483" s="198" t="s">
        <v>2393</v>
      </c>
      <c r="E1483" s="198" t="s">
        <v>2395</v>
      </c>
      <c r="F1483" s="198" t="s">
        <v>9391</v>
      </c>
      <c r="G1483" s="198" t="s">
        <v>1164</v>
      </c>
      <c r="H1483" s="198" t="s">
        <v>892</v>
      </c>
      <c r="I1483" s="21">
        <v>0.5</v>
      </c>
      <c r="J1483" s="21">
        <v>101</v>
      </c>
      <c r="K1483" s="21">
        <f>174994/100</f>
        <v>1749.94</v>
      </c>
      <c r="L1483" s="198">
        <v>1992</v>
      </c>
      <c r="M1483" s="198">
        <v>2000</v>
      </c>
      <c r="N1483" s="21" t="s">
        <v>2272</v>
      </c>
      <c r="O1483" s="19" t="s">
        <v>66</v>
      </c>
      <c r="P1483" s="19" t="s">
        <v>5181</v>
      </c>
      <c r="Q1483" s="198"/>
    </row>
    <row r="1484" spans="1:17" ht="48" customHeight="1">
      <c r="A1484" s="182">
        <v>392</v>
      </c>
      <c r="B1484" s="37" t="s">
        <v>9389</v>
      </c>
      <c r="C1484" s="11" t="s">
        <v>9399</v>
      </c>
      <c r="D1484" s="198" t="s">
        <v>2393</v>
      </c>
      <c r="E1484" s="198" t="s">
        <v>2395</v>
      </c>
      <c r="F1484" s="11" t="s">
        <v>9400</v>
      </c>
      <c r="G1484" s="11" t="s">
        <v>1164</v>
      </c>
      <c r="H1484" s="198" t="s">
        <v>892</v>
      </c>
      <c r="I1484" s="21">
        <v>0.5</v>
      </c>
      <c r="J1484" s="21">
        <v>101.75</v>
      </c>
      <c r="K1484" s="21">
        <v>87024</v>
      </c>
      <c r="L1484" s="198">
        <v>1997</v>
      </c>
      <c r="M1484" s="198">
        <v>1998</v>
      </c>
      <c r="N1484" s="21" t="s">
        <v>2272</v>
      </c>
      <c r="O1484" s="19" t="s">
        <v>66</v>
      </c>
      <c r="P1484" s="19" t="s">
        <v>5181</v>
      </c>
      <c r="Q1484" s="198"/>
    </row>
    <row r="1485" spans="1:17" ht="45.5" customHeight="1">
      <c r="A1485" s="182">
        <v>393</v>
      </c>
      <c r="B1485" s="37" t="s">
        <v>9410</v>
      </c>
      <c r="C1485" s="11" t="s">
        <v>9411</v>
      </c>
      <c r="D1485" s="198" t="s">
        <v>2393</v>
      </c>
      <c r="E1485" s="198" t="s">
        <v>2394</v>
      </c>
      <c r="F1485" s="11" t="s">
        <v>2272</v>
      </c>
      <c r="G1485" s="11" t="s">
        <v>9412</v>
      </c>
      <c r="H1485" s="11" t="s">
        <v>9421</v>
      </c>
      <c r="I1485" s="21">
        <f>12+9/60</f>
        <v>12.15</v>
      </c>
      <c r="J1485" s="21">
        <v>-14.1</v>
      </c>
      <c r="K1485" s="70">
        <f>220000/N1485</f>
        <v>9322.0338983050842</v>
      </c>
      <c r="L1485" s="11">
        <v>2011</v>
      </c>
      <c r="M1485" s="11">
        <v>2013</v>
      </c>
      <c r="N1485" s="21">
        <f>23.6</f>
        <v>23.6</v>
      </c>
      <c r="O1485" s="19" t="s">
        <v>66</v>
      </c>
      <c r="P1485" s="19" t="s">
        <v>5181</v>
      </c>
      <c r="Q1485" s="198"/>
    </row>
    <row r="1486" spans="1:17" ht="45.5" customHeight="1">
      <c r="A1486" s="182">
        <v>393</v>
      </c>
      <c r="B1486" s="37" t="s">
        <v>9410</v>
      </c>
      <c r="C1486" s="11" t="s">
        <v>9417</v>
      </c>
      <c r="D1486" s="198" t="s">
        <v>2393</v>
      </c>
      <c r="E1486" s="198" t="s">
        <v>2394</v>
      </c>
      <c r="F1486" s="11" t="s">
        <v>2272</v>
      </c>
      <c r="G1486" s="11" t="s">
        <v>9413</v>
      </c>
      <c r="H1486" s="11" t="s">
        <v>9421</v>
      </c>
      <c r="I1486" s="21">
        <f>12+9/60</f>
        <v>12.15</v>
      </c>
      <c r="J1486" s="21">
        <f>-14-42/60</f>
        <v>-14.7</v>
      </c>
      <c r="K1486" s="70">
        <f>215000/N1486</f>
        <v>6125.3561253561247</v>
      </c>
      <c r="L1486" s="11">
        <v>2011</v>
      </c>
      <c r="M1486" s="11">
        <v>2013</v>
      </c>
      <c r="N1486" s="21">
        <f>35.1</f>
        <v>35.1</v>
      </c>
      <c r="O1486" s="19" t="s">
        <v>66</v>
      </c>
      <c r="P1486" s="19" t="s">
        <v>5181</v>
      </c>
      <c r="Q1486" s="198"/>
    </row>
    <row r="1487" spans="1:17" ht="45.5" customHeight="1">
      <c r="A1487" s="182">
        <v>393</v>
      </c>
      <c r="B1487" s="37" t="s">
        <v>9410</v>
      </c>
      <c r="C1487" s="11" t="s">
        <v>9418</v>
      </c>
      <c r="D1487" s="198" t="s">
        <v>2393</v>
      </c>
      <c r="E1487" s="198" t="s">
        <v>2394</v>
      </c>
      <c r="F1487" s="11" t="s">
        <v>2272</v>
      </c>
      <c r="G1487" s="11" t="s">
        <v>9414</v>
      </c>
      <c r="H1487" s="11" t="s">
        <v>9421</v>
      </c>
      <c r="I1487" s="21">
        <f>12+16.5/60</f>
        <v>12.275</v>
      </c>
      <c r="J1487" s="21">
        <f>-15-1/3</f>
        <v>-15.333333333333334</v>
      </c>
      <c r="K1487" s="70">
        <f>230000/N1487</f>
        <v>5528.8461538461534</v>
      </c>
      <c r="L1487" s="11">
        <v>2011</v>
      </c>
      <c r="M1487" s="11">
        <v>2013</v>
      </c>
      <c r="N1487" s="21">
        <f>41.6</f>
        <v>41.6</v>
      </c>
      <c r="O1487" s="19" t="s">
        <v>66</v>
      </c>
      <c r="P1487" s="19" t="s">
        <v>5181</v>
      </c>
      <c r="Q1487" s="198"/>
    </row>
    <row r="1488" spans="1:17" ht="45.5" customHeight="1">
      <c r="A1488" s="182">
        <v>393</v>
      </c>
      <c r="B1488" s="37" t="s">
        <v>9410</v>
      </c>
      <c r="C1488" s="11" t="s">
        <v>9419</v>
      </c>
      <c r="D1488" s="198" t="s">
        <v>2393</v>
      </c>
      <c r="E1488" s="198" t="s">
        <v>2394</v>
      </c>
      <c r="F1488" s="11" t="s">
        <v>2272</v>
      </c>
      <c r="G1488" s="11" t="s">
        <v>9415</v>
      </c>
      <c r="H1488" s="11" t="s">
        <v>9421</v>
      </c>
      <c r="I1488" s="21">
        <f>11+19/60</f>
        <v>11.316666666666666</v>
      </c>
      <c r="J1488" s="21">
        <f>-15</f>
        <v>-15</v>
      </c>
      <c r="K1488" s="70">
        <f>100000/N1488</f>
        <v>3937.0078740157483</v>
      </c>
      <c r="L1488" s="11">
        <v>2011</v>
      </c>
      <c r="M1488" s="11">
        <v>2013</v>
      </c>
      <c r="N1488" s="21">
        <f>25.4</f>
        <v>25.4</v>
      </c>
      <c r="O1488" s="19" t="s">
        <v>66</v>
      </c>
      <c r="P1488" s="19" t="s">
        <v>5181</v>
      </c>
      <c r="Q1488" s="198"/>
    </row>
    <row r="1489" spans="1:17" ht="39" customHeight="1">
      <c r="A1489" s="182">
        <v>393</v>
      </c>
      <c r="B1489" s="37" t="s">
        <v>9410</v>
      </c>
      <c r="C1489" s="11" t="s">
        <v>9416</v>
      </c>
      <c r="D1489" s="198" t="s">
        <v>2393</v>
      </c>
      <c r="E1489" s="198" t="s">
        <v>2394</v>
      </c>
      <c r="F1489" s="11" t="s">
        <v>2272</v>
      </c>
      <c r="G1489" s="11" t="s">
        <v>9420</v>
      </c>
      <c r="H1489" s="11" t="s">
        <v>9421</v>
      </c>
      <c r="I1489" s="21">
        <f>11+48/60</f>
        <v>11.8</v>
      </c>
      <c r="J1489" s="21">
        <f>-15-1/6</f>
        <v>-15.166666666666666</v>
      </c>
      <c r="K1489" s="70">
        <f>60000/N1489</f>
        <v>2955.6650246305417</v>
      </c>
      <c r="L1489" s="11">
        <v>2011</v>
      </c>
      <c r="M1489" s="11">
        <v>2013</v>
      </c>
      <c r="N1489" s="21">
        <f>20.3</f>
        <v>20.3</v>
      </c>
      <c r="O1489" s="19" t="s">
        <v>66</v>
      </c>
      <c r="P1489" s="19" t="s">
        <v>5181</v>
      </c>
      <c r="Q1489" s="198"/>
    </row>
    <row r="1490" spans="1:17" ht="44.5" customHeight="1">
      <c r="A1490" s="182">
        <v>394</v>
      </c>
      <c r="B1490" s="37" t="s">
        <v>9450</v>
      </c>
      <c r="C1490" s="11" t="s">
        <v>9451</v>
      </c>
      <c r="D1490" s="198" t="s">
        <v>2393</v>
      </c>
      <c r="E1490" s="198" t="s">
        <v>4842</v>
      </c>
      <c r="F1490" s="11" t="s">
        <v>2272</v>
      </c>
      <c r="G1490" s="11" t="s">
        <v>2272</v>
      </c>
      <c r="H1490" s="11" t="s">
        <v>4027</v>
      </c>
      <c r="I1490" s="21">
        <v>47</v>
      </c>
      <c r="J1490" s="21">
        <v>104</v>
      </c>
      <c r="K1490" s="21">
        <v>1560000</v>
      </c>
      <c r="L1490" s="11">
        <v>1990</v>
      </c>
      <c r="M1490" s="11">
        <v>2009</v>
      </c>
      <c r="N1490" s="21" t="s">
        <v>2272</v>
      </c>
      <c r="O1490" s="19" t="s">
        <v>66</v>
      </c>
      <c r="P1490" s="19" t="s">
        <v>5181</v>
      </c>
      <c r="Q1490" s="198"/>
    </row>
    <row r="1491" spans="1:17" ht="53" customHeight="1">
      <c r="A1491" s="182">
        <v>394</v>
      </c>
      <c r="B1491" s="37" t="s">
        <v>9450</v>
      </c>
      <c r="C1491" s="11" t="s">
        <v>9452</v>
      </c>
      <c r="D1491" s="198" t="s">
        <v>2393</v>
      </c>
      <c r="E1491" s="198" t="s">
        <v>2394</v>
      </c>
      <c r="F1491" s="139" t="s">
        <v>9457</v>
      </c>
      <c r="G1491" s="198" t="s">
        <v>9456</v>
      </c>
      <c r="H1491" s="11" t="s">
        <v>4027</v>
      </c>
      <c r="I1491" s="21">
        <f>49+AVERAGE(10/60, 10.5/60)</f>
        <v>49.170833333333334</v>
      </c>
      <c r="J1491" s="21">
        <f>107+19/60</f>
        <v>107.31666666666666</v>
      </c>
      <c r="K1491" s="21">
        <f>0.0016*10</f>
        <v>1.6E-2</v>
      </c>
      <c r="L1491" s="198">
        <v>1753</v>
      </c>
      <c r="M1491" s="198">
        <v>2009</v>
      </c>
      <c r="N1491" s="198">
        <v>0</v>
      </c>
      <c r="O1491" s="19" t="s">
        <v>66</v>
      </c>
      <c r="P1491" s="19" t="s">
        <v>5181</v>
      </c>
      <c r="Q1491" s="4" t="s">
        <v>8089</v>
      </c>
    </row>
    <row r="1492" spans="1:17" ht="53" customHeight="1">
      <c r="A1492" s="182">
        <v>394</v>
      </c>
      <c r="B1492" s="37" t="s">
        <v>9450</v>
      </c>
      <c r="C1492" s="11" t="s">
        <v>9453</v>
      </c>
      <c r="D1492" s="198" t="s">
        <v>2393</v>
      </c>
      <c r="E1492" s="198" t="s">
        <v>2394</v>
      </c>
      <c r="F1492" s="60" t="s">
        <v>9458</v>
      </c>
      <c r="G1492" s="198" t="s">
        <v>9456</v>
      </c>
      <c r="H1492" s="11" t="s">
        <v>4027</v>
      </c>
      <c r="I1492" s="21">
        <f>49+AVERAGE(10/60, 10.5/60)</f>
        <v>49.170833333333334</v>
      </c>
      <c r="J1492" s="21">
        <f>107+19/60</f>
        <v>107.31666666666666</v>
      </c>
      <c r="K1492" s="21">
        <f t="shared" ref="K1492:K1494" si="20">0.0016*10</f>
        <v>1.6E-2</v>
      </c>
      <c r="L1492" s="198">
        <v>1753</v>
      </c>
      <c r="M1492" s="198">
        <v>2009</v>
      </c>
      <c r="N1492" s="198">
        <v>0</v>
      </c>
      <c r="O1492" s="19" t="s">
        <v>66</v>
      </c>
      <c r="P1492" s="19" t="s">
        <v>5181</v>
      </c>
      <c r="Q1492" s="4" t="s">
        <v>8089</v>
      </c>
    </row>
    <row r="1493" spans="1:17" ht="53" customHeight="1">
      <c r="A1493" s="182">
        <v>394</v>
      </c>
      <c r="B1493" s="37" t="s">
        <v>9450</v>
      </c>
      <c r="C1493" s="11" t="s">
        <v>9454</v>
      </c>
      <c r="D1493" s="198" t="s">
        <v>2393</v>
      </c>
      <c r="E1493" s="198" t="s">
        <v>2394</v>
      </c>
      <c r="F1493" s="60" t="s">
        <v>9460</v>
      </c>
      <c r="G1493" s="198" t="s">
        <v>9456</v>
      </c>
      <c r="H1493" s="11" t="s">
        <v>4027</v>
      </c>
      <c r="I1493" s="21">
        <f>49 + 5/60</f>
        <v>49.083333333333336</v>
      </c>
      <c r="J1493" s="21">
        <f>107 + 17/60</f>
        <v>107.28333333333333</v>
      </c>
      <c r="K1493" s="21">
        <f t="shared" si="20"/>
        <v>1.6E-2</v>
      </c>
      <c r="L1493" s="198">
        <v>1752</v>
      </c>
      <c r="M1493" s="198">
        <v>2009</v>
      </c>
      <c r="N1493" s="198">
        <v>0</v>
      </c>
      <c r="O1493" s="19" t="s">
        <v>66</v>
      </c>
      <c r="P1493" s="19" t="s">
        <v>5181</v>
      </c>
      <c r="Q1493" s="4" t="s">
        <v>8089</v>
      </c>
    </row>
    <row r="1494" spans="1:17" ht="53" customHeight="1">
      <c r="A1494" s="182">
        <v>394</v>
      </c>
      <c r="B1494" s="37" t="s">
        <v>9450</v>
      </c>
      <c r="C1494" s="11" t="s">
        <v>9455</v>
      </c>
      <c r="D1494" s="198" t="s">
        <v>2393</v>
      </c>
      <c r="E1494" s="198" t="s">
        <v>2394</v>
      </c>
      <c r="F1494" s="60" t="s">
        <v>9459</v>
      </c>
      <c r="G1494" s="198" t="s">
        <v>9456</v>
      </c>
      <c r="H1494" s="11" t="s">
        <v>4027</v>
      </c>
      <c r="I1494" s="21">
        <f>49 + 5/60</f>
        <v>49.083333333333336</v>
      </c>
      <c r="J1494" s="21">
        <f>107 + 17/60</f>
        <v>107.28333333333333</v>
      </c>
      <c r="K1494" s="21">
        <f t="shared" si="20"/>
        <v>1.6E-2</v>
      </c>
      <c r="L1494" s="198">
        <v>1798</v>
      </c>
      <c r="M1494" s="198">
        <v>2009</v>
      </c>
      <c r="N1494" s="198">
        <v>0</v>
      </c>
      <c r="O1494" s="19" t="s">
        <v>66</v>
      </c>
      <c r="P1494" s="19" t="s">
        <v>5181</v>
      </c>
      <c r="Q1494" s="4" t="s">
        <v>8089</v>
      </c>
    </row>
    <row r="1495" spans="1:17" ht="42.5" customHeight="1">
      <c r="A1495" s="182">
        <v>395</v>
      </c>
      <c r="B1495" s="37" t="s">
        <v>9471</v>
      </c>
      <c r="C1495" s="11" t="s">
        <v>9472</v>
      </c>
      <c r="D1495" s="198" t="s">
        <v>2411</v>
      </c>
      <c r="E1495" s="198" t="s">
        <v>2394</v>
      </c>
      <c r="F1495" s="11" t="s">
        <v>2272</v>
      </c>
      <c r="G1495" s="23" t="s">
        <v>9473</v>
      </c>
      <c r="H1495" s="11" t="s">
        <v>6317</v>
      </c>
      <c r="I1495" s="21">
        <f>53+19/60</f>
        <v>53.31666666666667</v>
      </c>
      <c r="J1495" s="21">
        <f>110.75</f>
        <v>110.75</v>
      </c>
      <c r="K1495" s="21">
        <v>351000</v>
      </c>
      <c r="L1495" s="11">
        <v>2019</v>
      </c>
      <c r="M1495" s="11">
        <v>2019</v>
      </c>
      <c r="N1495" s="21" t="s">
        <v>2272</v>
      </c>
      <c r="O1495" s="19" t="s">
        <v>66</v>
      </c>
      <c r="P1495" s="19" t="s">
        <v>5181</v>
      </c>
      <c r="Q1495" s="198"/>
    </row>
    <row r="1496" spans="1:17" ht="41.5" customHeight="1">
      <c r="A1496" s="182">
        <v>396</v>
      </c>
      <c r="B1496" s="37" t="s">
        <v>9476</v>
      </c>
      <c r="C1496" s="11" t="s">
        <v>9477</v>
      </c>
      <c r="D1496" s="198" t="s">
        <v>2393</v>
      </c>
      <c r="E1496" s="198" t="s">
        <v>2631</v>
      </c>
      <c r="F1496" s="11" t="s">
        <v>2272</v>
      </c>
      <c r="G1496" s="11" t="s">
        <v>2272</v>
      </c>
      <c r="H1496" s="11" t="s">
        <v>6079</v>
      </c>
      <c r="I1496" s="21">
        <v>8</v>
      </c>
      <c r="J1496" s="21">
        <v>-5</v>
      </c>
      <c r="K1496" s="21">
        <f>2000000/100</f>
        <v>20000</v>
      </c>
      <c r="L1496" s="11">
        <v>1985</v>
      </c>
      <c r="M1496" s="11">
        <v>2012</v>
      </c>
      <c r="N1496" s="21" t="s">
        <v>2272</v>
      </c>
      <c r="O1496" s="19" t="s">
        <v>66</v>
      </c>
      <c r="P1496" s="19" t="s">
        <v>5181</v>
      </c>
      <c r="Q1496" s="198" t="s">
        <v>9479</v>
      </c>
    </row>
    <row r="1497" spans="1:17" ht="51" customHeight="1">
      <c r="A1497" s="182">
        <v>396</v>
      </c>
      <c r="B1497" s="37" t="s">
        <v>9476</v>
      </c>
      <c r="C1497" s="11" t="s">
        <v>9478</v>
      </c>
      <c r="D1497" s="198" t="s">
        <v>2393</v>
      </c>
      <c r="E1497" s="198" t="s">
        <v>2631</v>
      </c>
      <c r="F1497" s="11" t="s">
        <v>2272</v>
      </c>
      <c r="G1497" s="11" t="s">
        <v>2272</v>
      </c>
      <c r="H1497" s="11" t="s">
        <v>6079</v>
      </c>
      <c r="I1497" s="21">
        <v>8</v>
      </c>
      <c r="J1497" s="21">
        <v>-5</v>
      </c>
      <c r="K1497" s="21">
        <v>5000</v>
      </c>
      <c r="L1497" s="11">
        <v>1961</v>
      </c>
      <c r="M1497" s="11">
        <v>1985</v>
      </c>
      <c r="N1497" s="21" t="s">
        <v>2272</v>
      </c>
      <c r="O1497" s="19" t="s">
        <v>66</v>
      </c>
      <c r="P1497" s="19" t="s">
        <v>5181</v>
      </c>
      <c r="Q1497" s="198" t="s">
        <v>9479</v>
      </c>
    </row>
    <row r="1498" spans="1:17" ht="46.5" customHeight="1">
      <c r="A1498" s="182">
        <v>397</v>
      </c>
      <c r="B1498" s="37" t="s">
        <v>9488</v>
      </c>
      <c r="C1498" s="11" t="s">
        <v>9489</v>
      </c>
      <c r="D1498" s="198" t="s">
        <v>2393</v>
      </c>
      <c r="E1498" s="198" t="s">
        <v>6791</v>
      </c>
      <c r="F1498" s="11" t="s">
        <v>2272</v>
      </c>
      <c r="G1498" s="11" t="s">
        <v>9490</v>
      </c>
      <c r="H1498" s="11" t="s">
        <v>776</v>
      </c>
      <c r="I1498" s="21">
        <f>12+35/60</f>
        <v>12.583333333333334</v>
      </c>
      <c r="J1498" s="21">
        <f>108+5/60</f>
        <v>108.08333333333333</v>
      </c>
      <c r="K1498" s="21">
        <f>7478</f>
        <v>7478</v>
      </c>
      <c r="L1498" s="11">
        <v>1999</v>
      </c>
      <c r="M1498" s="11">
        <v>2009</v>
      </c>
      <c r="N1498" s="21" t="s">
        <v>2272</v>
      </c>
      <c r="O1498" s="19" t="s">
        <v>147</v>
      </c>
      <c r="P1498" s="19" t="s">
        <v>5181</v>
      </c>
      <c r="Q1498" s="198"/>
    </row>
    <row r="1499" spans="1:17" ht="45.5" customHeight="1">
      <c r="A1499" s="182">
        <v>397</v>
      </c>
      <c r="B1499" s="37" t="s">
        <v>9488</v>
      </c>
      <c r="C1499" s="11" t="s">
        <v>9491</v>
      </c>
      <c r="D1499" s="198" t="s">
        <v>2393</v>
      </c>
      <c r="E1499" s="198" t="s">
        <v>6791</v>
      </c>
      <c r="F1499" s="11" t="s">
        <v>2272</v>
      </c>
      <c r="G1499" s="11" t="s">
        <v>9490</v>
      </c>
      <c r="H1499" s="11" t="s">
        <v>776</v>
      </c>
      <c r="I1499" s="21">
        <f>12+35/60</f>
        <v>12.583333333333334</v>
      </c>
      <c r="J1499" s="21">
        <f>108+5/60</f>
        <v>108.08333333333333</v>
      </c>
      <c r="K1499" s="21">
        <f>7478</f>
        <v>7478</v>
      </c>
      <c r="L1499" s="11">
        <v>1985</v>
      </c>
      <c r="M1499" s="11">
        <v>1998</v>
      </c>
      <c r="N1499" s="21" t="s">
        <v>2272</v>
      </c>
      <c r="O1499" s="19" t="s">
        <v>147</v>
      </c>
      <c r="P1499" s="19" t="s">
        <v>5181</v>
      </c>
      <c r="Q1499" s="198"/>
    </row>
    <row r="1500" spans="1:17" ht="63.5" customHeight="1">
      <c r="A1500" s="182">
        <v>398</v>
      </c>
      <c r="B1500" s="37" t="s">
        <v>9501</v>
      </c>
      <c r="C1500" s="11" t="s">
        <v>9502</v>
      </c>
      <c r="D1500" s="198" t="s">
        <v>2393</v>
      </c>
      <c r="E1500" s="198" t="s">
        <v>4842</v>
      </c>
      <c r="F1500" s="11" t="s">
        <v>2272</v>
      </c>
      <c r="G1500" s="11" t="s">
        <v>9503</v>
      </c>
      <c r="H1500" s="11" t="s">
        <v>6346</v>
      </c>
      <c r="I1500" s="21">
        <v>-13.03888888888889</v>
      </c>
      <c r="J1500" s="21">
        <v>35.144444444444439</v>
      </c>
      <c r="K1500" s="21">
        <v>25249</v>
      </c>
      <c r="L1500" s="11">
        <v>2010</v>
      </c>
      <c r="M1500" s="11">
        <v>2011</v>
      </c>
      <c r="N1500" s="21">
        <v>10.633333333333333</v>
      </c>
      <c r="O1500" s="19" t="s">
        <v>66</v>
      </c>
      <c r="P1500" s="19" t="s">
        <v>5181</v>
      </c>
      <c r="Q1500" s="4" t="s">
        <v>9504</v>
      </c>
    </row>
    <row r="1501" spans="1:17" ht="63.5" customHeight="1">
      <c r="A1501" s="182">
        <v>399</v>
      </c>
      <c r="B1501" s="37" t="s">
        <v>9516</v>
      </c>
      <c r="C1501" s="11" t="s">
        <v>9517</v>
      </c>
      <c r="D1501" s="198" t="s">
        <v>2393</v>
      </c>
      <c r="E1501" s="198" t="s">
        <v>6791</v>
      </c>
      <c r="F1501" s="11" t="s">
        <v>9400</v>
      </c>
      <c r="G1501" s="11" t="s">
        <v>1164</v>
      </c>
      <c r="H1501" s="11" t="s">
        <v>892</v>
      </c>
      <c r="I1501" s="21">
        <v>1.25</v>
      </c>
      <c r="J1501" s="21">
        <v>101.5</v>
      </c>
      <c r="K1501" s="21">
        <f>4107077/100</f>
        <v>41070.769999999997</v>
      </c>
      <c r="L1501" s="11">
        <v>2013</v>
      </c>
      <c r="M1501" s="11">
        <v>2014</v>
      </c>
      <c r="N1501" s="21" t="s">
        <v>2272</v>
      </c>
      <c r="O1501" s="19" t="s">
        <v>66</v>
      </c>
      <c r="P1501" s="19" t="s">
        <v>5181</v>
      </c>
      <c r="Q1501" s="198" t="s">
        <v>9518</v>
      </c>
    </row>
    <row r="1502" spans="1:17" ht="57" customHeight="1">
      <c r="A1502" s="182">
        <v>400</v>
      </c>
      <c r="B1502" s="37" t="s">
        <v>9533</v>
      </c>
      <c r="C1502" s="11" t="s">
        <v>9534</v>
      </c>
      <c r="D1502" s="198" t="s">
        <v>2393</v>
      </c>
      <c r="E1502" s="198" t="s">
        <v>4842</v>
      </c>
      <c r="F1502" s="11" t="s">
        <v>2272</v>
      </c>
      <c r="G1502" s="11" t="s">
        <v>1168</v>
      </c>
      <c r="H1502" s="11" t="s">
        <v>892</v>
      </c>
      <c r="I1502" s="21">
        <v>-0.25</v>
      </c>
      <c r="J1502" s="21">
        <v>114.75</v>
      </c>
      <c r="K1502" s="21">
        <v>743330</v>
      </c>
      <c r="L1502" s="11">
        <v>1982</v>
      </c>
      <c r="M1502" s="11">
        <v>1998</v>
      </c>
      <c r="N1502" s="21" t="s">
        <v>2272</v>
      </c>
      <c r="O1502" s="19" t="s">
        <v>66</v>
      </c>
      <c r="P1502" s="19" t="s">
        <v>5181</v>
      </c>
      <c r="Q1502" s="198"/>
    </row>
    <row r="1503" spans="1:17" ht="57" customHeight="1">
      <c r="A1503" s="182">
        <v>400</v>
      </c>
      <c r="B1503" s="37" t="s">
        <v>9533</v>
      </c>
      <c r="C1503" s="11" t="s">
        <v>9538</v>
      </c>
      <c r="D1503" s="198" t="s">
        <v>2393</v>
      </c>
      <c r="E1503" s="198" t="s">
        <v>4842</v>
      </c>
      <c r="F1503" s="11" t="s">
        <v>2272</v>
      </c>
      <c r="G1503" s="11" t="s">
        <v>1164</v>
      </c>
      <c r="H1503" s="11" t="s">
        <v>892</v>
      </c>
      <c r="I1503" s="21">
        <v>-0.75</v>
      </c>
      <c r="J1503" s="21">
        <v>102.25</v>
      </c>
      <c r="K1503" s="21">
        <v>473481</v>
      </c>
      <c r="L1503" s="11">
        <v>1982</v>
      </c>
      <c r="M1503" s="11">
        <v>1998</v>
      </c>
      <c r="N1503" s="21" t="s">
        <v>2272</v>
      </c>
      <c r="O1503" s="19" t="s">
        <v>66</v>
      </c>
      <c r="P1503" s="19" t="s">
        <v>5181</v>
      </c>
      <c r="Q1503" s="198"/>
    </row>
    <row r="1504" spans="1:17" ht="57" customHeight="1">
      <c r="A1504" s="182">
        <v>400</v>
      </c>
      <c r="B1504" s="37" t="s">
        <v>9533</v>
      </c>
      <c r="C1504" s="11" t="s">
        <v>9539</v>
      </c>
      <c r="D1504" s="198" t="s">
        <v>2393</v>
      </c>
      <c r="E1504" s="198" t="s">
        <v>4842</v>
      </c>
      <c r="F1504" s="11" t="s">
        <v>2272</v>
      </c>
      <c r="G1504" s="11" t="s">
        <v>9535</v>
      </c>
      <c r="H1504" s="11" t="s">
        <v>892</v>
      </c>
      <c r="I1504" s="21">
        <v>-7.5</v>
      </c>
      <c r="J1504" s="21">
        <v>110.25</v>
      </c>
      <c r="K1504" s="21">
        <v>128297</v>
      </c>
      <c r="L1504" s="11">
        <v>1982</v>
      </c>
      <c r="M1504" s="11">
        <v>1998</v>
      </c>
      <c r="N1504" s="21" t="s">
        <v>2272</v>
      </c>
      <c r="O1504" s="19" t="s">
        <v>66</v>
      </c>
      <c r="P1504" s="19" t="s">
        <v>5181</v>
      </c>
      <c r="Q1504" s="198"/>
    </row>
    <row r="1505" spans="1:17" ht="57" customHeight="1">
      <c r="A1505" s="182">
        <v>400</v>
      </c>
      <c r="B1505" s="37" t="s">
        <v>9533</v>
      </c>
      <c r="C1505" s="11" t="s">
        <v>9540</v>
      </c>
      <c r="D1505" s="198" t="s">
        <v>2393</v>
      </c>
      <c r="E1505" s="198" t="s">
        <v>4842</v>
      </c>
      <c r="F1505" s="11" t="s">
        <v>2272</v>
      </c>
      <c r="G1505" s="11" t="s">
        <v>9536</v>
      </c>
      <c r="H1505" s="11" t="s">
        <v>892</v>
      </c>
      <c r="I1505" s="21">
        <v>-2.25</v>
      </c>
      <c r="J1505" s="21">
        <v>120.5</v>
      </c>
      <c r="K1505" s="21">
        <v>174600</v>
      </c>
      <c r="L1505" s="11">
        <v>1982</v>
      </c>
      <c r="M1505" s="11">
        <v>1998</v>
      </c>
      <c r="N1505" s="21" t="s">
        <v>2272</v>
      </c>
      <c r="O1505" s="19" t="s">
        <v>66</v>
      </c>
      <c r="P1505" s="19" t="s">
        <v>5181</v>
      </c>
      <c r="Q1505" s="198"/>
    </row>
    <row r="1506" spans="1:17" ht="57" customHeight="1">
      <c r="A1506" s="182">
        <v>400</v>
      </c>
      <c r="B1506" s="37" t="s">
        <v>9533</v>
      </c>
      <c r="C1506" s="11" t="s">
        <v>9541</v>
      </c>
      <c r="D1506" s="198" t="s">
        <v>2393</v>
      </c>
      <c r="E1506" s="198" t="s">
        <v>4842</v>
      </c>
      <c r="F1506" s="11" t="s">
        <v>2272</v>
      </c>
      <c r="G1506" s="11" t="s">
        <v>9537</v>
      </c>
      <c r="H1506" s="11" t="s">
        <v>892</v>
      </c>
      <c r="I1506" s="21">
        <v>-1.75</v>
      </c>
      <c r="J1506" s="21">
        <v>133.5</v>
      </c>
      <c r="K1506" s="21">
        <v>140376</v>
      </c>
      <c r="L1506" s="11">
        <v>1982</v>
      </c>
      <c r="M1506" s="11">
        <v>1998</v>
      </c>
      <c r="N1506" s="21" t="s">
        <v>2272</v>
      </c>
      <c r="O1506" s="19" t="s">
        <v>66</v>
      </c>
      <c r="P1506" s="19" t="s">
        <v>5181</v>
      </c>
      <c r="Q1506" s="198"/>
    </row>
    <row r="1507" spans="1:17" ht="58.5" customHeight="1">
      <c r="A1507" s="182">
        <v>400</v>
      </c>
      <c r="B1507" s="37" t="s">
        <v>9533</v>
      </c>
      <c r="C1507" s="11" t="s">
        <v>9542</v>
      </c>
      <c r="D1507" s="198" t="s">
        <v>2393</v>
      </c>
      <c r="E1507" s="198" t="s">
        <v>4842</v>
      </c>
      <c r="F1507" s="11" t="s">
        <v>2272</v>
      </c>
      <c r="G1507" s="11" t="s">
        <v>9543</v>
      </c>
      <c r="H1507" s="11" t="s">
        <v>892</v>
      </c>
      <c r="I1507" s="21">
        <v>1</v>
      </c>
      <c r="J1507" s="21">
        <v>116.5</v>
      </c>
      <c r="K1507" s="21">
        <v>125337</v>
      </c>
      <c r="L1507" s="11">
        <v>1982</v>
      </c>
      <c r="M1507" s="11">
        <v>1998</v>
      </c>
      <c r="N1507" s="21" t="s">
        <v>2272</v>
      </c>
      <c r="O1507" s="19" t="s">
        <v>66</v>
      </c>
      <c r="P1507" s="19" t="s">
        <v>5181</v>
      </c>
      <c r="Q1507" s="198"/>
    </row>
    <row r="1508" spans="1:17" ht="61" customHeight="1">
      <c r="A1508" s="182">
        <v>401</v>
      </c>
      <c r="B1508" s="37" t="s">
        <v>9579</v>
      </c>
      <c r="C1508" s="11" t="s">
        <v>9580</v>
      </c>
      <c r="D1508" s="198" t="s">
        <v>2393</v>
      </c>
      <c r="E1508" s="198" t="s">
        <v>4842</v>
      </c>
      <c r="F1508" s="198" t="s">
        <v>2272</v>
      </c>
      <c r="G1508" s="198" t="s">
        <v>164</v>
      </c>
      <c r="H1508" s="198" t="s">
        <v>9581</v>
      </c>
      <c r="I1508" s="21">
        <v>-5</v>
      </c>
      <c r="J1508" s="21">
        <v>-52</v>
      </c>
      <c r="K1508" s="21">
        <v>1250000</v>
      </c>
      <c r="L1508" s="198">
        <v>2009</v>
      </c>
      <c r="M1508" s="198">
        <v>2012</v>
      </c>
      <c r="N1508" s="21" t="s">
        <v>2272</v>
      </c>
      <c r="O1508" s="19" t="s">
        <v>66</v>
      </c>
      <c r="P1508" s="19" t="s">
        <v>5181</v>
      </c>
      <c r="Q1508" s="198"/>
    </row>
    <row r="1509" spans="1:17" ht="52" customHeight="1">
      <c r="A1509" s="182">
        <v>402</v>
      </c>
      <c r="B1509" s="37" t="s">
        <v>9583</v>
      </c>
      <c r="C1509" s="11" t="s">
        <v>9584</v>
      </c>
      <c r="D1509" s="198" t="s">
        <v>2393</v>
      </c>
      <c r="E1509" s="198" t="s">
        <v>2394</v>
      </c>
      <c r="F1509" s="11" t="s">
        <v>9585</v>
      </c>
      <c r="G1509" s="11" t="s">
        <v>1164</v>
      </c>
      <c r="H1509" s="11" t="s">
        <v>892</v>
      </c>
      <c r="I1509" s="21">
        <v>-1.5</v>
      </c>
      <c r="J1509" s="21">
        <f>101+5/6</f>
        <v>101.83333333333333</v>
      </c>
      <c r="K1509" s="73" t="s">
        <v>2272</v>
      </c>
      <c r="L1509" s="11">
        <v>1997</v>
      </c>
      <c r="M1509" s="11">
        <v>1999</v>
      </c>
      <c r="N1509" s="21" t="s">
        <v>2272</v>
      </c>
      <c r="O1509" s="19" t="s">
        <v>66</v>
      </c>
      <c r="P1509" s="19" t="s">
        <v>5181</v>
      </c>
      <c r="Q1509" s="198"/>
    </row>
    <row r="1510" spans="1:17" ht="58" customHeight="1">
      <c r="A1510" s="182">
        <v>402</v>
      </c>
      <c r="B1510" s="37" t="s">
        <v>9583</v>
      </c>
      <c r="C1510" s="11" t="s">
        <v>9588</v>
      </c>
      <c r="D1510" s="198" t="s">
        <v>2393</v>
      </c>
      <c r="E1510" s="198" t="s">
        <v>2394</v>
      </c>
      <c r="F1510" s="11" t="s">
        <v>9593</v>
      </c>
      <c r="G1510" s="11" t="s">
        <v>1164</v>
      </c>
      <c r="H1510" s="11" t="s">
        <v>892</v>
      </c>
      <c r="I1510" s="21">
        <v>-5</v>
      </c>
      <c r="J1510" s="21">
        <f>105+2/6</f>
        <v>105.33333333333333</v>
      </c>
      <c r="K1510" s="73" t="s">
        <v>2272</v>
      </c>
      <c r="L1510" s="11">
        <v>1997</v>
      </c>
      <c r="M1510" s="11">
        <v>1999</v>
      </c>
      <c r="N1510" s="21" t="s">
        <v>2272</v>
      </c>
      <c r="O1510" s="19" t="s">
        <v>66</v>
      </c>
      <c r="P1510" s="19" t="s">
        <v>5181</v>
      </c>
      <c r="Q1510" s="198"/>
    </row>
    <row r="1511" spans="1:17" ht="44.5" customHeight="1">
      <c r="A1511" s="182">
        <v>402</v>
      </c>
      <c r="B1511" s="37" t="s">
        <v>9583</v>
      </c>
      <c r="C1511" s="11" t="s">
        <v>9594</v>
      </c>
      <c r="D1511" s="198" t="s">
        <v>2393</v>
      </c>
      <c r="E1511" s="198" t="s">
        <v>2394</v>
      </c>
      <c r="F1511" s="11" t="s">
        <v>9595</v>
      </c>
      <c r="G1511" s="11" t="s">
        <v>1164</v>
      </c>
      <c r="H1511" s="11" t="s">
        <v>892</v>
      </c>
      <c r="I1511" s="21">
        <f>-5-1/6</f>
        <v>-5.166666666666667</v>
      </c>
      <c r="J1511" s="21">
        <f>105+8/60</f>
        <v>105.13333333333334</v>
      </c>
      <c r="K1511" s="73">
        <v>31.3</v>
      </c>
      <c r="L1511" s="11">
        <v>1983</v>
      </c>
      <c r="M1511" s="11">
        <v>2000</v>
      </c>
      <c r="N1511" s="21" t="s">
        <v>2272</v>
      </c>
      <c r="O1511" s="19" t="s">
        <v>66</v>
      </c>
      <c r="P1511" s="19" t="s">
        <v>5181</v>
      </c>
      <c r="Q1511" s="198"/>
    </row>
    <row r="1512" spans="1:17" ht="42.5" customHeight="1">
      <c r="A1512" s="182">
        <v>402</v>
      </c>
      <c r="B1512" s="37" t="s">
        <v>9583</v>
      </c>
      <c r="C1512" s="11" t="s">
        <v>9606</v>
      </c>
      <c r="D1512" s="198" t="s">
        <v>2393</v>
      </c>
      <c r="E1512" s="198" t="s">
        <v>2394</v>
      </c>
      <c r="F1512" s="11" t="s">
        <v>9605</v>
      </c>
      <c r="G1512" s="11" t="s">
        <v>1164</v>
      </c>
      <c r="H1512" s="11" t="s">
        <v>892</v>
      </c>
      <c r="I1512" s="21">
        <v>-5</v>
      </c>
      <c r="J1512" s="21">
        <v>104.25</v>
      </c>
      <c r="K1512" s="73" t="s">
        <v>2272</v>
      </c>
      <c r="L1512" s="198">
        <v>1998</v>
      </c>
      <c r="M1512" s="198">
        <v>1999</v>
      </c>
      <c r="N1512" s="21" t="s">
        <v>2272</v>
      </c>
      <c r="O1512" s="19" t="s">
        <v>66</v>
      </c>
      <c r="P1512" s="19" t="s">
        <v>5181</v>
      </c>
      <c r="Q1512" s="198"/>
    </row>
    <row r="1513" spans="1:17" ht="42.5" customHeight="1">
      <c r="A1513" s="182">
        <v>403</v>
      </c>
      <c r="B1513" s="37" t="s">
        <v>9611</v>
      </c>
      <c r="C1513" s="11" t="s">
        <v>9610</v>
      </c>
      <c r="D1513" s="198" t="s">
        <v>2393</v>
      </c>
      <c r="E1513" s="198" t="s">
        <v>4842</v>
      </c>
      <c r="F1513" s="198" t="s">
        <v>2272</v>
      </c>
      <c r="G1513" s="198" t="s">
        <v>9624</v>
      </c>
      <c r="H1513" s="198" t="s">
        <v>86</v>
      </c>
      <c r="I1513" s="21">
        <v>26.5</v>
      </c>
      <c r="J1513" s="21">
        <v>93</v>
      </c>
      <c r="K1513" s="21">
        <v>78438</v>
      </c>
      <c r="L1513" s="198">
        <v>2003</v>
      </c>
      <c r="M1513" s="198">
        <v>2009</v>
      </c>
      <c r="N1513" s="21" t="s">
        <v>2272</v>
      </c>
      <c r="O1513" s="19" t="s">
        <v>66</v>
      </c>
      <c r="P1513" s="19" t="s">
        <v>5181</v>
      </c>
      <c r="Q1513" s="198"/>
    </row>
    <row r="1514" spans="1:17" ht="42.5" customHeight="1">
      <c r="A1514" s="182">
        <v>403</v>
      </c>
      <c r="B1514" s="37" t="s">
        <v>9611</v>
      </c>
      <c r="C1514" s="11" t="s">
        <v>9612</v>
      </c>
      <c r="D1514" s="198" t="s">
        <v>2393</v>
      </c>
      <c r="E1514" s="198" t="s">
        <v>4842</v>
      </c>
      <c r="F1514" s="198" t="s">
        <v>2272</v>
      </c>
      <c r="G1514" s="198" t="s">
        <v>9619</v>
      </c>
      <c r="H1514" s="198" t="s">
        <v>86</v>
      </c>
      <c r="I1514" s="21">
        <v>28</v>
      </c>
      <c r="J1514" s="21">
        <v>94</v>
      </c>
      <c r="K1514" s="21">
        <v>83743</v>
      </c>
      <c r="L1514" s="198">
        <v>2003</v>
      </c>
      <c r="M1514" s="198">
        <v>2009</v>
      </c>
      <c r="N1514" s="21" t="s">
        <v>2272</v>
      </c>
      <c r="O1514" s="19" t="s">
        <v>66</v>
      </c>
      <c r="P1514" s="19" t="s">
        <v>5181</v>
      </c>
      <c r="Q1514" s="198"/>
    </row>
    <row r="1515" spans="1:17" ht="42.5" customHeight="1">
      <c r="A1515" s="182">
        <v>403</v>
      </c>
      <c r="B1515" s="37" t="s">
        <v>9611</v>
      </c>
      <c r="C1515" s="11" t="s">
        <v>9613</v>
      </c>
      <c r="D1515" s="198" t="s">
        <v>2393</v>
      </c>
      <c r="E1515" s="198" t="s">
        <v>4842</v>
      </c>
      <c r="F1515" s="198" t="s">
        <v>2272</v>
      </c>
      <c r="G1515" s="198" t="s">
        <v>9620</v>
      </c>
      <c r="H1515" s="198" t="s">
        <v>86</v>
      </c>
      <c r="I1515" s="21">
        <v>25</v>
      </c>
      <c r="J1515" s="21">
        <v>93.5</v>
      </c>
      <c r="K1515" s="21">
        <v>22327</v>
      </c>
      <c r="L1515" s="198">
        <v>2003</v>
      </c>
      <c r="M1515" s="198">
        <v>2009</v>
      </c>
      <c r="N1515" s="21" t="s">
        <v>2272</v>
      </c>
      <c r="O1515" s="19" t="s">
        <v>66</v>
      </c>
      <c r="P1515" s="19" t="s">
        <v>5181</v>
      </c>
      <c r="Q1515" s="198"/>
    </row>
    <row r="1516" spans="1:17" ht="42.5" customHeight="1">
      <c r="A1516" s="182">
        <v>403</v>
      </c>
      <c r="B1516" s="37" t="s">
        <v>9611</v>
      </c>
      <c r="C1516" s="11" t="s">
        <v>9614</v>
      </c>
      <c r="D1516" s="198" t="s">
        <v>2393</v>
      </c>
      <c r="E1516" s="198" t="s">
        <v>4842</v>
      </c>
      <c r="F1516" s="198" t="s">
        <v>2272</v>
      </c>
      <c r="G1516" s="198" t="s">
        <v>2547</v>
      </c>
      <c r="H1516" s="198" t="s">
        <v>86</v>
      </c>
      <c r="I1516" s="21">
        <v>25.5</v>
      </c>
      <c r="J1516" s="21">
        <v>91.75</v>
      </c>
      <c r="K1516" s="21">
        <v>22429</v>
      </c>
      <c r="L1516" s="198">
        <v>2003</v>
      </c>
      <c r="M1516" s="198">
        <v>2009</v>
      </c>
      <c r="N1516" s="21" t="s">
        <v>2272</v>
      </c>
      <c r="O1516" s="19" t="s">
        <v>66</v>
      </c>
      <c r="P1516" s="19" t="s">
        <v>5181</v>
      </c>
      <c r="Q1516" s="198"/>
    </row>
    <row r="1517" spans="1:17" ht="42.5" customHeight="1">
      <c r="A1517" s="182">
        <v>403</v>
      </c>
      <c r="B1517" s="37" t="s">
        <v>9611</v>
      </c>
      <c r="C1517" s="11" t="s">
        <v>9615</v>
      </c>
      <c r="D1517" s="198" t="s">
        <v>2393</v>
      </c>
      <c r="E1517" s="198" t="s">
        <v>4842</v>
      </c>
      <c r="F1517" s="198" t="s">
        <v>2272</v>
      </c>
      <c r="G1517" s="198" t="s">
        <v>2443</v>
      </c>
      <c r="H1517" s="198" t="s">
        <v>86</v>
      </c>
      <c r="I1517" s="21">
        <v>24</v>
      </c>
      <c r="J1517" s="21">
        <v>92.75</v>
      </c>
      <c r="K1517" s="21">
        <v>21081</v>
      </c>
      <c r="L1517" s="198">
        <v>2003</v>
      </c>
      <c r="M1517" s="198">
        <v>2009</v>
      </c>
      <c r="N1517" s="21" t="s">
        <v>2272</v>
      </c>
      <c r="O1517" s="19" t="s">
        <v>66</v>
      </c>
      <c r="P1517" s="19" t="s">
        <v>5181</v>
      </c>
      <c r="Q1517" s="198"/>
    </row>
    <row r="1518" spans="1:17" ht="42.5" customHeight="1">
      <c r="A1518" s="182">
        <v>403</v>
      </c>
      <c r="B1518" s="37" t="s">
        <v>9611</v>
      </c>
      <c r="C1518" s="11" t="s">
        <v>9616</v>
      </c>
      <c r="D1518" s="198" t="s">
        <v>2393</v>
      </c>
      <c r="E1518" s="198" t="s">
        <v>4842</v>
      </c>
      <c r="F1518" s="198" t="s">
        <v>2272</v>
      </c>
      <c r="G1518" s="198" t="s">
        <v>9621</v>
      </c>
      <c r="H1518" s="198" t="s">
        <v>86</v>
      </c>
      <c r="I1518" s="21">
        <v>26.25</v>
      </c>
      <c r="J1518" s="21">
        <v>94.25</v>
      </c>
      <c r="K1518" s="21">
        <v>16579</v>
      </c>
      <c r="L1518" s="198">
        <v>2003</v>
      </c>
      <c r="M1518" s="198">
        <v>2009</v>
      </c>
      <c r="N1518" s="21" t="s">
        <v>2272</v>
      </c>
      <c r="O1518" s="19" t="s">
        <v>66</v>
      </c>
      <c r="P1518" s="19" t="s">
        <v>5181</v>
      </c>
      <c r="Q1518" s="198"/>
    </row>
    <row r="1519" spans="1:17" ht="42.5" customHeight="1">
      <c r="A1519" s="182">
        <v>403</v>
      </c>
      <c r="B1519" s="37" t="s">
        <v>9611</v>
      </c>
      <c r="C1519" s="11" t="s">
        <v>9617</v>
      </c>
      <c r="D1519" s="198" t="s">
        <v>2393</v>
      </c>
      <c r="E1519" s="198" t="s">
        <v>4842</v>
      </c>
      <c r="F1519" s="198" t="s">
        <v>2272</v>
      </c>
      <c r="G1519" s="198" t="s">
        <v>9622</v>
      </c>
      <c r="H1519" s="198" t="s">
        <v>86</v>
      </c>
      <c r="I1519" s="21">
        <v>24</v>
      </c>
      <c r="J1519" s="21">
        <v>92</v>
      </c>
      <c r="K1519" s="21">
        <v>10486</v>
      </c>
      <c r="L1519" s="198">
        <v>2003</v>
      </c>
      <c r="M1519" s="198">
        <v>2009</v>
      </c>
      <c r="N1519" s="21" t="s">
        <v>2272</v>
      </c>
      <c r="O1519" s="19" t="s">
        <v>66</v>
      </c>
      <c r="P1519" s="19" t="s">
        <v>5181</v>
      </c>
      <c r="Q1519" s="198"/>
    </row>
    <row r="1520" spans="1:17" ht="42.5" customHeight="1">
      <c r="A1520" s="182">
        <v>403</v>
      </c>
      <c r="B1520" s="37" t="s">
        <v>9611</v>
      </c>
      <c r="C1520" s="11" t="s">
        <v>9618</v>
      </c>
      <c r="D1520" s="198" t="s">
        <v>2393</v>
      </c>
      <c r="E1520" s="198" t="s">
        <v>4842</v>
      </c>
      <c r="F1520" s="198" t="s">
        <v>2272</v>
      </c>
      <c r="G1520" s="198" t="s">
        <v>9623</v>
      </c>
      <c r="H1520" s="198" t="s">
        <v>86</v>
      </c>
      <c r="I1520" s="21">
        <v>27.25</v>
      </c>
      <c r="J1520" s="21">
        <v>88.5</v>
      </c>
      <c r="K1520" s="21">
        <v>7096</v>
      </c>
      <c r="L1520" s="198">
        <v>2003</v>
      </c>
      <c r="M1520" s="198">
        <v>2009</v>
      </c>
      <c r="N1520" s="21" t="s">
        <v>2272</v>
      </c>
      <c r="O1520" s="19" t="s">
        <v>66</v>
      </c>
      <c r="P1520" s="19" t="s">
        <v>5181</v>
      </c>
      <c r="Q1520" s="198"/>
    </row>
    <row r="1521" spans="1:17" ht="64.5" customHeight="1">
      <c r="A1521" s="182">
        <v>403</v>
      </c>
      <c r="B1521" s="37" t="s">
        <v>9641</v>
      </c>
      <c r="C1521" s="11" t="s">
        <v>9640</v>
      </c>
      <c r="D1521" s="198" t="s">
        <v>2393</v>
      </c>
      <c r="E1521" s="198" t="s">
        <v>4842</v>
      </c>
      <c r="F1521" s="198" t="s">
        <v>2272</v>
      </c>
      <c r="G1521" s="198" t="s">
        <v>9642</v>
      </c>
      <c r="H1521" s="198" t="s">
        <v>86</v>
      </c>
      <c r="I1521" s="21">
        <f>AVERAGE(28+43/60, 37+5/60)</f>
        <v>32.9</v>
      </c>
      <c r="J1521" s="21">
        <f>AVERAGE(72+4/6, 81 + 2/60)</f>
        <v>76.849999999999994</v>
      </c>
      <c r="K1521" s="21">
        <f>330000</f>
        <v>330000</v>
      </c>
      <c r="L1521" s="198">
        <v>2007</v>
      </c>
      <c r="M1521" s="198">
        <v>2007</v>
      </c>
      <c r="N1521" s="21" t="s">
        <v>2272</v>
      </c>
      <c r="O1521" s="19" t="s">
        <v>66</v>
      </c>
      <c r="P1521" s="19" t="s">
        <v>5181</v>
      </c>
      <c r="Q1521" s="198"/>
    </row>
    <row r="1522" spans="1:17" ht="58" customHeight="1">
      <c r="A1522" s="182">
        <v>404</v>
      </c>
      <c r="B1522" s="37" t="s">
        <v>9643</v>
      </c>
      <c r="C1522" s="11" t="s">
        <v>9644</v>
      </c>
      <c r="D1522" s="198" t="s">
        <v>2393</v>
      </c>
      <c r="E1522" s="198" t="s">
        <v>2400</v>
      </c>
      <c r="F1522" s="198" t="s">
        <v>2272</v>
      </c>
      <c r="G1522" s="198" t="s">
        <v>9647</v>
      </c>
      <c r="H1522" s="11" t="s">
        <v>9645</v>
      </c>
      <c r="I1522" s="21">
        <v>0.75</v>
      </c>
      <c r="J1522" s="21">
        <v>15.6</v>
      </c>
      <c r="K1522" s="68" t="s">
        <v>2272</v>
      </c>
      <c r="L1522" s="198">
        <v>2000</v>
      </c>
      <c r="M1522" s="198">
        <v>2016</v>
      </c>
      <c r="N1522" s="21">
        <v>1</v>
      </c>
      <c r="O1522" s="19" t="s">
        <v>66</v>
      </c>
      <c r="P1522" s="19" t="s">
        <v>5181</v>
      </c>
      <c r="Q1522" s="4" t="s">
        <v>9646</v>
      </c>
    </row>
    <row r="1523" spans="1:17" ht="63" customHeight="1">
      <c r="A1523" s="182">
        <v>405</v>
      </c>
      <c r="B1523" s="37" t="s">
        <v>9656</v>
      </c>
      <c r="C1523" s="11" t="s">
        <v>9657</v>
      </c>
      <c r="D1523" s="198" t="s">
        <v>2393</v>
      </c>
      <c r="E1523" s="198" t="s">
        <v>2400</v>
      </c>
      <c r="F1523" s="198" t="s">
        <v>2272</v>
      </c>
      <c r="G1523" s="198" t="s">
        <v>2272</v>
      </c>
      <c r="H1523" s="19" t="s">
        <v>9663</v>
      </c>
      <c r="I1523" s="21">
        <v>-1.5</v>
      </c>
      <c r="J1523" s="21">
        <v>23.5</v>
      </c>
      <c r="K1523" s="21">
        <v>2345000</v>
      </c>
      <c r="L1523" s="11">
        <v>2000</v>
      </c>
      <c r="M1523" s="11">
        <v>2014</v>
      </c>
      <c r="N1523" s="21" t="s">
        <v>2272</v>
      </c>
      <c r="O1523" s="19" t="s">
        <v>66</v>
      </c>
      <c r="P1523" s="19" t="s">
        <v>5181</v>
      </c>
      <c r="Q1523" s="4" t="s">
        <v>9667</v>
      </c>
    </row>
    <row r="1524" spans="1:17" ht="63" customHeight="1">
      <c r="A1524" s="182">
        <v>405</v>
      </c>
      <c r="B1524" s="37" t="s">
        <v>9656</v>
      </c>
      <c r="C1524" s="11" t="s">
        <v>9658</v>
      </c>
      <c r="D1524" s="198" t="s">
        <v>2393</v>
      </c>
      <c r="E1524" s="198" t="s">
        <v>2400</v>
      </c>
      <c r="F1524" s="198" t="s">
        <v>2272</v>
      </c>
      <c r="G1524" s="198" t="s">
        <v>2272</v>
      </c>
      <c r="H1524" s="19" t="s">
        <v>179</v>
      </c>
      <c r="I1524" s="21">
        <v>4</v>
      </c>
      <c r="J1524" s="21">
        <v>12.5</v>
      </c>
      <c r="K1524" s="21">
        <v>475442</v>
      </c>
      <c r="L1524" s="11">
        <v>2000</v>
      </c>
      <c r="M1524" s="11">
        <v>2014</v>
      </c>
      <c r="N1524" s="21" t="s">
        <v>2272</v>
      </c>
      <c r="O1524" s="19" t="s">
        <v>66</v>
      </c>
      <c r="P1524" s="19" t="s">
        <v>5181</v>
      </c>
      <c r="Q1524" s="4" t="s">
        <v>9667</v>
      </c>
    </row>
    <row r="1525" spans="1:17" ht="63" customHeight="1">
      <c r="A1525" s="182">
        <v>405</v>
      </c>
      <c r="B1525" s="37" t="s">
        <v>9656</v>
      </c>
      <c r="C1525" s="11" t="s">
        <v>9659</v>
      </c>
      <c r="D1525" s="198" t="s">
        <v>2393</v>
      </c>
      <c r="E1525" s="198" t="s">
        <v>2400</v>
      </c>
      <c r="F1525" s="198" t="s">
        <v>2272</v>
      </c>
      <c r="G1525" s="198" t="s">
        <v>2272</v>
      </c>
      <c r="H1525" s="19" t="s">
        <v>9664</v>
      </c>
      <c r="I1525" s="21">
        <v>5.5</v>
      </c>
      <c r="J1525" s="21">
        <v>21</v>
      </c>
      <c r="K1525" s="21">
        <v>622984</v>
      </c>
      <c r="L1525" s="11">
        <v>2000</v>
      </c>
      <c r="M1525" s="11">
        <v>2014</v>
      </c>
      <c r="N1525" s="21" t="s">
        <v>2272</v>
      </c>
      <c r="O1525" s="19" t="s">
        <v>66</v>
      </c>
      <c r="P1525" s="19" t="s">
        <v>5181</v>
      </c>
      <c r="Q1525" s="4" t="s">
        <v>9667</v>
      </c>
    </row>
    <row r="1526" spans="1:17" ht="63" customHeight="1">
      <c r="A1526" s="182">
        <v>405</v>
      </c>
      <c r="B1526" s="37" t="s">
        <v>9656</v>
      </c>
      <c r="C1526" s="11" t="s">
        <v>9660</v>
      </c>
      <c r="D1526" s="198" t="s">
        <v>2393</v>
      </c>
      <c r="E1526" s="198" t="s">
        <v>2400</v>
      </c>
      <c r="F1526" s="198" t="s">
        <v>2272</v>
      </c>
      <c r="G1526" s="198" t="s">
        <v>2272</v>
      </c>
      <c r="H1526" s="19" t="s">
        <v>9665</v>
      </c>
      <c r="I1526" s="21">
        <v>-0.25</v>
      </c>
      <c r="J1526" s="21">
        <v>11.75</v>
      </c>
      <c r="K1526" s="21">
        <v>267667</v>
      </c>
      <c r="L1526" s="11">
        <v>2000</v>
      </c>
      <c r="M1526" s="11">
        <v>2014</v>
      </c>
      <c r="N1526" s="21" t="s">
        <v>2272</v>
      </c>
      <c r="O1526" s="19" t="s">
        <v>66</v>
      </c>
      <c r="P1526" s="19" t="s">
        <v>5181</v>
      </c>
      <c r="Q1526" s="4" t="s">
        <v>9667</v>
      </c>
    </row>
    <row r="1527" spans="1:17" ht="63" customHeight="1">
      <c r="A1527" s="182">
        <v>405</v>
      </c>
      <c r="B1527" s="37" t="s">
        <v>9656</v>
      </c>
      <c r="C1527" s="11" t="s">
        <v>9661</v>
      </c>
      <c r="D1527" s="198" t="s">
        <v>2393</v>
      </c>
      <c r="E1527" s="198" t="s">
        <v>2400</v>
      </c>
      <c r="F1527" s="198" t="s">
        <v>2272</v>
      </c>
      <c r="G1527" s="198" t="s">
        <v>2272</v>
      </c>
      <c r="H1527" s="19" t="s">
        <v>9666</v>
      </c>
      <c r="I1527" s="21">
        <v>1.5</v>
      </c>
      <c r="J1527" s="21">
        <v>10.5</v>
      </c>
      <c r="K1527" s="21">
        <v>28050</v>
      </c>
      <c r="L1527" s="11">
        <v>2000</v>
      </c>
      <c r="M1527" s="11">
        <v>2014</v>
      </c>
      <c r="N1527" s="21" t="s">
        <v>2272</v>
      </c>
      <c r="O1527" s="19" t="s">
        <v>66</v>
      </c>
      <c r="P1527" s="19" t="s">
        <v>5181</v>
      </c>
      <c r="Q1527" s="4" t="s">
        <v>9667</v>
      </c>
    </row>
    <row r="1528" spans="1:17" ht="63" customHeight="1">
      <c r="A1528" s="182">
        <v>405</v>
      </c>
      <c r="B1528" s="37" t="s">
        <v>9656</v>
      </c>
      <c r="C1528" s="11" t="s">
        <v>9662</v>
      </c>
      <c r="D1528" s="198" t="s">
        <v>2393</v>
      </c>
      <c r="E1528" s="198" t="s">
        <v>2400</v>
      </c>
      <c r="F1528" s="198" t="s">
        <v>2272</v>
      </c>
      <c r="G1528" s="198" t="s">
        <v>2272</v>
      </c>
      <c r="H1528" s="19" t="s">
        <v>9645</v>
      </c>
      <c r="I1528" s="21">
        <v>0</v>
      </c>
      <c r="J1528" s="21">
        <v>16</v>
      </c>
      <c r="K1528" s="21">
        <v>342000</v>
      </c>
      <c r="L1528" s="11">
        <v>2000</v>
      </c>
      <c r="M1528" s="11">
        <v>2014</v>
      </c>
      <c r="N1528" s="21" t="s">
        <v>2272</v>
      </c>
      <c r="O1528" s="19" t="s">
        <v>66</v>
      </c>
      <c r="P1528" s="19" t="s">
        <v>5181</v>
      </c>
      <c r="Q1528" s="4" t="s">
        <v>9667</v>
      </c>
    </row>
    <row r="1529" spans="1:17" ht="54.5" customHeight="1">
      <c r="A1529" s="182">
        <v>406</v>
      </c>
      <c r="B1529" s="37" t="s">
        <v>9715</v>
      </c>
      <c r="C1529" s="11" t="s">
        <v>9716</v>
      </c>
      <c r="D1529" s="198" t="s">
        <v>2393</v>
      </c>
      <c r="E1529" s="198" t="s">
        <v>2394</v>
      </c>
      <c r="F1529" s="11" t="s">
        <v>9717</v>
      </c>
      <c r="G1529" s="11" t="s">
        <v>641</v>
      </c>
      <c r="H1529" s="19" t="s">
        <v>892</v>
      </c>
      <c r="I1529" s="21">
        <v>-1</v>
      </c>
      <c r="J1529" s="21">
        <v>110</v>
      </c>
      <c r="K1529" s="21">
        <f>900</f>
        <v>900</v>
      </c>
      <c r="L1529" s="198">
        <v>1997</v>
      </c>
      <c r="M1529" s="198">
        <v>2001</v>
      </c>
      <c r="N1529" s="21" t="s">
        <v>2272</v>
      </c>
      <c r="O1529" s="19" t="s">
        <v>66</v>
      </c>
      <c r="P1529" s="19" t="s">
        <v>5181</v>
      </c>
      <c r="Q1529" s="198"/>
    </row>
    <row r="1530" spans="1:17" ht="54.5" customHeight="1">
      <c r="A1530" s="182">
        <v>407</v>
      </c>
      <c r="B1530" s="37" t="s">
        <v>9724</v>
      </c>
      <c r="C1530" s="11" t="s">
        <v>9725</v>
      </c>
      <c r="D1530" s="198" t="s">
        <v>2393</v>
      </c>
      <c r="E1530" s="198" t="s">
        <v>2395</v>
      </c>
      <c r="F1530" s="198" t="s">
        <v>2272</v>
      </c>
      <c r="G1530" s="198" t="s">
        <v>9726</v>
      </c>
      <c r="H1530" s="198" t="s">
        <v>1947</v>
      </c>
      <c r="I1530" s="21">
        <f>-1 - 52/60</f>
        <v>-1.8666666666666667</v>
      </c>
      <c r="J1530" s="21">
        <f>38.5</f>
        <v>38.5</v>
      </c>
      <c r="K1530" s="21">
        <v>442.33332999999999</v>
      </c>
      <c r="L1530" s="198">
        <v>1999</v>
      </c>
      <c r="M1530" s="198">
        <v>2014</v>
      </c>
      <c r="N1530" s="21">
        <v>27</v>
      </c>
      <c r="O1530" s="19" t="s">
        <v>66</v>
      </c>
      <c r="P1530" s="19" t="s">
        <v>5181</v>
      </c>
      <c r="Q1530" s="198"/>
    </row>
    <row r="1531" spans="1:17" ht="53.5" customHeight="1">
      <c r="A1531" s="182">
        <v>407</v>
      </c>
      <c r="B1531" s="37" t="s">
        <v>9724</v>
      </c>
      <c r="C1531" s="11" t="s">
        <v>9729</v>
      </c>
      <c r="D1531" s="198" t="s">
        <v>2393</v>
      </c>
      <c r="E1531" s="198" t="s">
        <v>2395</v>
      </c>
      <c r="F1531" s="198" t="s">
        <v>2272</v>
      </c>
      <c r="G1531" s="198" t="s">
        <v>9726</v>
      </c>
      <c r="H1531" s="198" t="s">
        <v>1947</v>
      </c>
      <c r="I1531" s="21">
        <f>-1 - 52/60</f>
        <v>-1.8666666666666667</v>
      </c>
      <c r="J1531" s="21">
        <f>38.5</f>
        <v>38.5</v>
      </c>
      <c r="K1531" s="21">
        <v>442.33332999999999</v>
      </c>
      <c r="L1531" s="198">
        <v>1986</v>
      </c>
      <c r="M1531" s="198">
        <v>1999</v>
      </c>
      <c r="N1531" s="21" t="s">
        <v>2272</v>
      </c>
      <c r="O1531" s="19" t="s">
        <v>66</v>
      </c>
      <c r="P1531" s="19" t="s">
        <v>5181</v>
      </c>
      <c r="Q1531" s="198"/>
    </row>
    <row r="1532" spans="1:17" ht="43.5" customHeight="1">
      <c r="A1532" s="182">
        <v>408</v>
      </c>
      <c r="B1532" s="37" t="s">
        <v>9749</v>
      </c>
      <c r="C1532" s="198" t="s">
        <v>9750</v>
      </c>
      <c r="D1532" s="198" t="s">
        <v>2393</v>
      </c>
      <c r="E1532" s="198" t="s">
        <v>2400</v>
      </c>
      <c r="F1532" s="139" t="s">
        <v>9769</v>
      </c>
      <c r="G1532" s="11" t="s">
        <v>9747</v>
      </c>
      <c r="H1532" s="19" t="s">
        <v>2837</v>
      </c>
      <c r="I1532" s="21">
        <v>-6.3747429999999996</v>
      </c>
      <c r="J1532" s="21">
        <v>143.65458949999999</v>
      </c>
      <c r="K1532" s="21">
        <v>21262</v>
      </c>
      <c r="L1532" s="19">
        <v>1972</v>
      </c>
      <c r="M1532" s="19">
        <v>2002</v>
      </c>
      <c r="N1532" s="71" t="s">
        <v>2272</v>
      </c>
      <c r="O1532" s="19" t="s">
        <v>66</v>
      </c>
      <c r="P1532" s="19" t="s">
        <v>5181</v>
      </c>
      <c r="Q1532" s="4" t="s">
        <v>9770</v>
      </c>
    </row>
    <row r="1533" spans="1:17" ht="43.5" customHeight="1">
      <c r="A1533" s="182">
        <v>408</v>
      </c>
      <c r="B1533" s="37" t="s">
        <v>9749</v>
      </c>
      <c r="C1533" s="198" t="s">
        <v>9751</v>
      </c>
      <c r="D1533" s="198" t="s">
        <v>2393</v>
      </c>
      <c r="E1533" s="198" t="s">
        <v>2400</v>
      </c>
      <c r="F1533" s="139" t="s">
        <v>9769</v>
      </c>
      <c r="G1533" s="11" t="s">
        <v>9746</v>
      </c>
      <c r="H1533" s="19" t="s">
        <v>2837</v>
      </c>
      <c r="I1533" s="21">
        <v>-5.4869439</v>
      </c>
      <c r="J1533" s="21">
        <v>143.49676909999999</v>
      </c>
      <c r="K1533" s="21">
        <v>9293.2000000000007</v>
      </c>
      <c r="L1533" s="19">
        <v>1972</v>
      </c>
      <c r="M1533" s="19">
        <v>2002</v>
      </c>
      <c r="N1533" s="71" t="s">
        <v>2272</v>
      </c>
      <c r="O1533" s="19" t="s">
        <v>66</v>
      </c>
      <c r="P1533" s="19" t="s">
        <v>5181</v>
      </c>
      <c r="Q1533" s="4" t="s">
        <v>9770</v>
      </c>
    </row>
    <row r="1534" spans="1:17" ht="43.5" customHeight="1">
      <c r="A1534" s="182">
        <v>408</v>
      </c>
      <c r="B1534" s="37" t="s">
        <v>9749</v>
      </c>
      <c r="C1534" s="198" t="s">
        <v>9752</v>
      </c>
      <c r="D1534" s="198" t="s">
        <v>2393</v>
      </c>
      <c r="E1534" s="198" t="s">
        <v>2400</v>
      </c>
      <c r="F1534" s="139" t="s">
        <v>9769</v>
      </c>
      <c r="G1534" s="11" t="s">
        <v>9748</v>
      </c>
      <c r="H1534" s="19" t="s">
        <v>2837</v>
      </c>
      <c r="I1534" s="21">
        <v>-5.7887408999999996</v>
      </c>
      <c r="J1534" s="21">
        <v>144.18528610000001</v>
      </c>
      <c r="K1534" s="21">
        <v>5834.5</v>
      </c>
      <c r="L1534" s="19">
        <v>1972</v>
      </c>
      <c r="M1534" s="19">
        <v>2002</v>
      </c>
      <c r="N1534" s="71" t="s">
        <v>2272</v>
      </c>
      <c r="O1534" s="19" t="s">
        <v>66</v>
      </c>
      <c r="P1534" s="19" t="s">
        <v>5181</v>
      </c>
      <c r="Q1534" s="4" t="s">
        <v>9770</v>
      </c>
    </row>
    <row r="1535" spans="1:17" ht="43.5" customHeight="1">
      <c r="A1535" s="182">
        <v>408</v>
      </c>
      <c r="B1535" s="37" t="s">
        <v>9749</v>
      </c>
      <c r="C1535" s="198" t="s">
        <v>9753</v>
      </c>
      <c r="D1535" s="198" t="s">
        <v>2393</v>
      </c>
      <c r="E1535" s="198" t="s">
        <v>2400</v>
      </c>
      <c r="F1535" s="139" t="s">
        <v>9769</v>
      </c>
      <c r="G1535" s="198" t="s">
        <v>9731</v>
      </c>
      <c r="H1535" s="19" t="s">
        <v>2837</v>
      </c>
      <c r="I1535" s="21">
        <v>-6.3355981000000003</v>
      </c>
      <c r="J1535" s="21">
        <v>144.88414599999999</v>
      </c>
      <c r="K1535" s="21">
        <v>4359.1000000000004</v>
      </c>
      <c r="L1535" s="19">
        <v>1972</v>
      </c>
      <c r="M1535" s="19">
        <v>2002</v>
      </c>
      <c r="N1535" s="71" t="s">
        <v>2272</v>
      </c>
      <c r="O1535" s="19" t="s">
        <v>66</v>
      </c>
      <c r="P1535" s="19" t="s">
        <v>5181</v>
      </c>
      <c r="Q1535" s="4" t="s">
        <v>9770</v>
      </c>
    </row>
    <row r="1536" spans="1:17" ht="43.5" customHeight="1">
      <c r="A1536" s="182">
        <v>408</v>
      </c>
      <c r="B1536" s="37" t="s">
        <v>9749</v>
      </c>
      <c r="C1536" s="198" t="s">
        <v>9754</v>
      </c>
      <c r="D1536" s="198" t="s">
        <v>2393</v>
      </c>
      <c r="E1536" s="198" t="s">
        <v>2400</v>
      </c>
      <c r="F1536" s="139" t="s">
        <v>9769</v>
      </c>
      <c r="G1536" s="198" t="s">
        <v>9732</v>
      </c>
      <c r="H1536" s="19" t="s">
        <v>2837</v>
      </c>
      <c r="I1536" s="21">
        <v>-6.5053016000000001</v>
      </c>
      <c r="J1536" s="21">
        <v>145.56762800000001</v>
      </c>
      <c r="K1536" s="21">
        <v>7016.6</v>
      </c>
      <c r="L1536" s="19">
        <v>1972</v>
      </c>
      <c r="M1536" s="19">
        <v>2002</v>
      </c>
      <c r="N1536" s="71" t="s">
        <v>2272</v>
      </c>
      <c r="O1536" s="19" t="s">
        <v>66</v>
      </c>
      <c r="P1536" s="19" t="s">
        <v>5181</v>
      </c>
      <c r="Q1536" s="4" t="s">
        <v>9770</v>
      </c>
    </row>
    <row r="1537" spans="1:17" ht="43.5" customHeight="1">
      <c r="A1537" s="182">
        <v>408</v>
      </c>
      <c r="B1537" s="37" t="s">
        <v>9749</v>
      </c>
      <c r="C1537" s="198" t="s">
        <v>9755</v>
      </c>
      <c r="D1537" s="198" t="s">
        <v>2393</v>
      </c>
      <c r="E1537" s="198" t="s">
        <v>2400</v>
      </c>
      <c r="F1537" s="139" t="s">
        <v>9769</v>
      </c>
      <c r="G1537" s="198" t="s">
        <v>9733</v>
      </c>
      <c r="H1537" s="19" t="s">
        <v>2837</v>
      </c>
      <c r="I1537" s="21">
        <v>-4.25</v>
      </c>
      <c r="J1537" s="21">
        <v>138</v>
      </c>
      <c r="K1537" s="21">
        <v>51942.1</v>
      </c>
      <c r="L1537" s="19">
        <v>1972</v>
      </c>
      <c r="M1537" s="19">
        <v>2002</v>
      </c>
      <c r="N1537" s="71" t="s">
        <v>2272</v>
      </c>
      <c r="O1537" s="19" t="s">
        <v>66</v>
      </c>
      <c r="P1537" s="19" t="s">
        <v>5181</v>
      </c>
      <c r="Q1537" s="4" t="s">
        <v>9770</v>
      </c>
    </row>
    <row r="1538" spans="1:17" ht="43.5" customHeight="1">
      <c r="A1538" s="182">
        <v>408</v>
      </c>
      <c r="B1538" s="37" t="s">
        <v>9749</v>
      </c>
      <c r="C1538" s="198" t="s">
        <v>9756</v>
      </c>
      <c r="D1538" s="198" t="s">
        <v>2393</v>
      </c>
      <c r="E1538" s="198" t="s">
        <v>2400</v>
      </c>
      <c r="F1538" s="139" t="s">
        <v>9769</v>
      </c>
      <c r="G1538" s="198" t="s">
        <v>9734</v>
      </c>
      <c r="H1538" s="19" t="s">
        <v>2837</v>
      </c>
      <c r="I1538" s="21">
        <v>-7.6443205000000001</v>
      </c>
      <c r="J1538" s="21">
        <v>144.82790739999999</v>
      </c>
      <c r="K1538" s="21">
        <v>25223.1</v>
      </c>
      <c r="L1538" s="19">
        <v>1972</v>
      </c>
      <c r="M1538" s="19">
        <v>2002</v>
      </c>
      <c r="N1538" s="71" t="s">
        <v>2272</v>
      </c>
      <c r="O1538" s="19" t="s">
        <v>66</v>
      </c>
      <c r="P1538" s="19" t="s">
        <v>5181</v>
      </c>
      <c r="Q1538" s="4" t="s">
        <v>9770</v>
      </c>
    </row>
    <row r="1539" spans="1:17" ht="43.5" customHeight="1">
      <c r="A1539" s="182">
        <v>408</v>
      </c>
      <c r="B1539" s="37" t="s">
        <v>9749</v>
      </c>
      <c r="C1539" s="198" t="s">
        <v>9757</v>
      </c>
      <c r="D1539" s="198" t="s">
        <v>2393</v>
      </c>
      <c r="E1539" s="198" t="s">
        <v>2400</v>
      </c>
      <c r="F1539" s="139" t="s">
        <v>9769</v>
      </c>
      <c r="G1539" s="198" t="s">
        <v>9735</v>
      </c>
      <c r="H1539" s="19" t="s">
        <v>2837</v>
      </c>
      <c r="I1539" s="21">
        <v>-9.0841919000000004</v>
      </c>
      <c r="J1539" s="21">
        <v>148.02509910000001</v>
      </c>
      <c r="K1539" s="21">
        <v>23821.200000000001</v>
      </c>
      <c r="L1539" s="19">
        <v>1972</v>
      </c>
      <c r="M1539" s="19">
        <v>2002</v>
      </c>
      <c r="N1539" s="71" t="s">
        <v>2272</v>
      </c>
      <c r="O1539" s="19" t="s">
        <v>66</v>
      </c>
      <c r="P1539" s="19" t="s">
        <v>5181</v>
      </c>
      <c r="Q1539" s="4" t="s">
        <v>9770</v>
      </c>
    </row>
    <row r="1540" spans="1:17" ht="43.5" customHeight="1">
      <c r="A1540" s="182">
        <v>408</v>
      </c>
      <c r="B1540" s="37" t="s">
        <v>9749</v>
      </c>
      <c r="C1540" s="198" t="s">
        <v>9758</v>
      </c>
      <c r="D1540" s="198" t="s">
        <v>2393</v>
      </c>
      <c r="E1540" s="198" t="s">
        <v>2400</v>
      </c>
      <c r="F1540" s="139" t="s">
        <v>9769</v>
      </c>
      <c r="G1540" s="198" t="s">
        <v>9736</v>
      </c>
      <c r="H1540" s="19" t="s">
        <v>2837</v>
      </c>
      <c r="I1540" s="21">
        <v>-9.9874357000000007</v>
      </c>
      <c r="J1540" s="21">
        <v>151.62477939999999</v>
      </c>
      <c r="K1540" s="21">
        <v>11349.7</v>
      </c>
      <c r="L1540" s="19">
        <v>1972</v>
      </c>
      <c r="M1540" s="19">
        <v>2002</v>
      </c>
      <c r="N1540" s="71" t="s">
        <v>2272</v>
      </c>
      <c r="O1540" s="19" t="s">
        <v>66</v>
      </c>
      <c r="P1540" s="19" t="s">
        <v>5181</v>
      </c>
      <c r="Q1540" s="4" t="s">
        <v>9770</v>
      </c>
    </row>
    <row r="1541" spans="1:17" ht="43.5" customHeight="1">
      <c r="A1541" s="182">
        <v>408</v>
      </c>
      <c r="B1541" s="37" t="s">
        <v>9749</v>
      </c>
      <c r="C1541" s="198" t="s">
        <v>9759</v>
      </c>
      <c r="D1541" s="198" t="s">
        <v>2393</v>
      </c>
      <c r="E1541" s="198" t="s">
        <v>2400</v>
      </c>
      <c r="F1541" s="139" t="s">
        <v>9769</v>
      </c>
      <c r="G1541" s="198" t="s">
        <v>9737</v>
      </c>
      <c r="H1541" s="19" t="s">
        <v>2837</v>
      </c>
      <c r="I1541" s="21">
        <v>-8.9899400000000007</v>
      </c>
      <c r="J1541" s="21">
        <v>148.22133249999999</v>
      </c>
      <c r="K1541" s="21">
        <v>17939.2</v>
      </c>
      <c r="L1541" s="19">
        <v>1972</v>
      </c>
      <c r="M1541" s="19">
        <v>2002</v>
      </c>
      <c r="N1541" s="71" t="s">
        <v>2272</v>
      </c>
      <c r="O1541" s="19" t="s">
        <v>66</v>
      </c>
      <c r="P1541" s="19" t="s">
        <v>5181</v>
      </c>
      <c r="Q1541" s="4" t="s">
        <v>9770</v>
      </c>
    </row>
    <row r="1542" spans="1:17" ht="43.5" customHeight="1">
      <c r="A1542" s="182">
        <v>408</v>
      </c>
      <c r="B1542" s="37" t="s">
        <v>9749</v>
      </c>
      <c r="C1542" s="198" t="s">
        <v>9760</v>
      </c>
      <c r="D1542" s="198" t="s">
        <v>2393</v>
      </c>
      <c r="E1542" s="198" t="s">
        <v>2400</v>
      </c>
      <c r="F1542" s="139" t="s">
        <v>9769</v>
      </c>
      <c r="G1542" s="198" t="s">
        <v>9738</v>
      </c>
      <c r="H1542" s="19" t="s">
        <v>2837</v>
      </c>
      <c r="I1542" s="21">
        <v>-6.6564496999999996</v>
      </c>
      <c r="J1542" s="21">
        <v>146.92907489999999</v>
      </c>
      <c r="K1542" s="21">
        <v>26418</v>
      </c>
      <c r="L1542" s="19">
        <v>1972</v>
      </c>
      <c r="M1542" s="19">
        <v>2002</v>
      </c>
      <c r="N1542" s="71" t="s">
        <v>2272</v>
      </c>
      <c r="O1542" s="19" t="s">
        <v>66</v>
      </c>
      <c r="P1542" s="19" t="s">
        <v>5181</v>
      </c>
      <c r="Q1542" s="4" t="s">
        <v>9770</v>
      </c>
    </row>
    <row r="1543" spans="1:17" ht="43.5" customHeight="1">
      <c r="A1543" s="182">
        <v>408</v>
      </c>
      <c r="B1543" s="37" t="s">
        <v>9749</v>
      </c>
      <c r="C1543" s="198" t="s">
        <v>9761</v>
      </c>
      <c r="D1543" s="198" t="s">
        <v>2393</v>
      </c>
      <c r="E1543" s="198" t="s">
        <v>2400</v>
      </c>
      <c r="F1543" s="139" t="s">
        <v>9769</v>
      </c>
      <c r="G1543" s="198" t="s">
        <v>9739</v>
      </c>
      <c r="H1543" s="19" t="s">
        <v>2837</v>
      </c>
      <c r="I1543" s="21">
        <v>-5.0110156999999997</v>
      </c>
      <c r="J1543" s="21">
        <v>145.59612849999999</v>
      </c>
      <c r="K1543" s="21">
        <v>24193.1</v>
      </c>
      <c r="L1543" s="19">
        <v>1972</v>
      </c>
      <c r="M1543" s="19">
        <v>2002</v>
      </c>
      <c r="N1543" s="71" t="s">
        <v>2272</v>
      </c>
      <c r="O1543" s="19" t="s">
        <v>66</v>
      </c>
      <c r="P1543" s="19" t="s">
        <v>5181</v>
      </c>
      <c r="Q1543" s="4" t="s">
        <v>9770</v>
      </c>
    </row>
    <row r="1544" spans="1:17" ht="43.5" customHeight="1">
      <c r="A1544" s="182">
        <v>408</v>
      </c>
      <c r="B1544" s="37" t="s">
        <v>9749</v>
      </c>
      <c r="C1544" s="198" t="s">
        <v>9762</v>
      </c>
      <c r="D1544" s="198" t="s">
        <v>2393</v>
      </c>
      <c r="E1544" s="198" t="s">
        <v>2400</v>
      </c>
      <c r="F1544" s="139" t="s">
        <v>9769</v>
      </c>
      <c r="G1544" s="198" t="s">
        <v>9740</v>
      </c>
      <c r="H1544" s="19" t="s">
        <v>2837</v>
      </c>
      <c r="I1544" s="21">
        <v>-4.1708854999999998</v>
      </c>
      <c r="J1544" s="21">
        <v>143.0742735</v>
      </c>
      <c r="K1544" s="21">
        <v>23712.1</v>
      </c>
      <c r="L1544" s="19">
        <v>1972</v>
      </c>
      <c r="M1544" s="19">
        <v>2002</v>
      </c>
      <c r="N1544" s="71" t="s">
        <v>2272</v>
      </c>
      <c r="O1544" s="19" t="s">
        <v>66</v>
      </c>
      <c r="P1544" s="19" t="s">
        <v>5181</v>
      </c>
      <c r="Q1544" s="4" t="s">
        <v>9770</v>
      </c>
    </row>
    <row r="1545" spans="1:17" s="197" customFormat="1" ht="43.5" customHeight="1">
      <c r="A1545" s="182">
        <v>408</v>
      </c>
      <c r="B1545" s="37" t="s">
        <v>9749</v>
      </c>
      <c r="C1545" s="198" t="s">
        <v>9763</v>
      </c>
      <c r="D1545" s="198" t="s">
        <v>2393</v>
      </c>
      <c r="E1545" s="198" t="s">
        <v>2393</v>
      </c>
      <c r="F1545" s="139" t="s">
        <v>9769</v>
      </c>
      <c r="G1545" s="198" t="s">
        <v>9772</v>
      </c>
      <c r="H1545" s="19" t="s">
        <v>2837</v>
      </c>
      <c r="I1545" s="21">
        <v>-3.5</v>
      </c>
      <c r="J1545" s="21">
        <v>141.75</v>
      </c>
      <c r="K1545" s="21">
        <v>31054.7</v>
      </c>
      <c r="L1545" s="19">
        <v>1972</v>
      </c>
      <c r="M1545" s="19">
        <v>2002</v>
      </c>
      <c r="N1545" s="71" t="s">
        <v>2272</v>
      </c>
      <c r="O1545" s="19" t="s">
        <v>66</v>
      </c>
      <c r="P1545" s="19" t="s">
        <v>5181</v>
      </c>
      <c r="Q1545" s="4" t="s">
        <v>9770</v>
      </c>
    </row>
    <row r="1546" spans="1:17" ht="43.5" customHeight="1">
      <c r="A1546" s="182">
        <v>408</v>
      </c>
      <c r="B1546" s="37" t="s">
        <v>9749</v>
      </c>
      <c r="C1546" s="198" t="s">
        <v>9764</v>
      </c>
      <c r="D1546" s="198" t="s">
        <v>2393</v>
      </c>
      <c r="E1546" s="198" t="s">
        <v>2400</v>
      </c>
      <c r="F1546" s="139" t="s">
        <v>9769</v>
      </c>
      <c r="G1546" s="198" t="s">
        <v>9741</v>
      </c>
      <c r="H1546" s="19" t="s">
        <v>2837</v>
      </c>
      <c r="I1546" s="21">
        <v>-2.1026387999999998</v>
      </c>
      <c r="J1546" s="21">
        <v>146.9687284</v>
      </c>
      <c r="K1546" s="21">
        <v>1507</v>
      </c>
      <c r="L1546" s="19">
        <v>1972</v>
      </c>
      <c r="M1546" s="19">
        <v>2002</v>
      </c>
      <c r="N1546" s="71" t="s">
        <v>2272</v>
      </c>
      <c r="O1546" s="19" t="s">
        <v>66</v>
      </c>
      <c r="P1546" s="19" t="s">
        <v>5181</v>
      </c>
      <c r="Q1546" s="4" t="s">
        <v>9770</v>
      </c>
    </row>
    <row r="1547" spans="1:17" ht="43.5" customHeight="1">
      <c r="A1547" s="182">
        <v>408</v>
      </c>
      <c r="B1547" s="37" t="s">
        <v>9749</v>
      </c>
      <c r="C1547" s="198" t="s">
        <v>9765</v>
      </c>
      <c r="D1547" s="198" t="s">
        <v>2393</v>
      </c>
      <c r="E1547" s="198" t="s">
        <v>2400</v>
      </c>
      <c r="F1547" s="139" t="s">
        <v>9769</v>
      </c>
      <c r="G1547" s="198" t="s">
        <v>9742</v>
      </c>
      <c r="H1547" s="19" t="s">
        <v>2837</v>
      </c>
      <c r="I1547" s="21">
        <v>-3.0832188999999999</v>
      </c>
      <c r="J1547" s="21">
        <v>151.6251211</v>
      </c>
      <c r="K1547" s="21">
        <v>8206.1</v>
      </c>
      <c r="L1547" s="19">
        <v>1972</v>
      </c>
      <c r="M1547" s="19">
        <v>2002</v>
      </c>
      <c r="N1547" s="71" t="s">
        <v>2272</v>
      </c>
      <c r="O1547" s="19" t="s">
        <v>66</v>
      </c>
      <c r="P1547" s="19" t="s">
        <v>5181</v>
      </c>
      <c r="Q1547" s="4" t="s">
        <v>9770</v>
      </c>
    </row>
    <row r="1548" spans="1:17" ht="43.5" customHeight="1">
      <c r="A1548" s="182">
        <v>408</v>
      </c>
      <c r="B1548" s="37" t="s">
        <v>9749</v>
      </c>
      <c r="C1548" s="198" t="s">
        <v>9766</v>
      </c>
      <c r="D1548" s="198" t="s">
        <v>2393</v>
      </c>
      <c r="E1548" s="198" t="s">
        <v>2400</v>
      </c>
      <c r="F1548" s="139" t="s">
        <v>9769</v>
      </c>
      <c r="G1548" s="198" t="s">
        <v>9743</v>
      </c>
      <c r="H1548" s="19" t="s">
        <v>2837</v>
      </c>
      <c r="I1548" s="21">
        <v>-5.0782765000000003</v>
      </c>
      <c r="J1548" s="21">
        <v>151.5476305</v>
      </c>
      <c r="K1548" s="21">
        <v>13589.3</v>
      </c>
      <c r="L1548" s="19">
        <v>1972</v>
      </c>
      <c r="M1548" s="19">
        <v>2002</v>
      </c>
      <c r="N1548" s="71" t="s">
        <v>2272</v>
      </c>
      <c r="O1548" s="19" t="s">
        <v>66</v>
      </c>
      <c r="P1548" s="19" t="s">
        <v>5181</v>
      </c>
      <c r="Q1548" s="4" t="s">
        <v>9770</v>
      </c>
    </row>
    <row r="1549" spans="1:17" ht="43.5" customHeight="1">
      <c r="A1549" s="182">
        <v>408</v>
      </c>
      <c r="B1549" s="37" t="s">
        <v>9749</v>
      </c>
      <c r="C1549" s="198" t="s">
        <v>9767</v>
      </c>
      <c r="D1549" s="198" t="s">
        <v>2393</v>
      </c>
      <c r="E1549" s="198" t="s">
        <v>2400</v>
      </c>
      <c r="F1549" s="139" t="s">
        <v>9769</v>
      </c>
      <c r="G1549" s="198" t="s">
        <v>9744</v>
      </c>
      <c r="H1549" s="19" t="s">
        <v>2837</v>
      </c>
      <c r="I1549" s="21">
        <v>-5.4294036999999999</v>
      </c>
      <c r="J1549" s="21">
        <v>149.9967441</v>
      </c>
      <c r="K1549" s="21">
        <v>18479</v>
      </c>
      <c r="L1549" s="19">
        <v>1972</v>
      </c>
      <c r="M1549" s="19">
        <v>2002</v>
      </c>
      <c r="N1549" s="71" t="s">
        <v>2272</v>
      </c>
      <c r="O1549" s="19" t="s">
        <v>66</v>
      </c>
      <c r="P1549" s="19" t="s">
        <v>5181</v>
      </c>
      <c r="Q1549" s="4" t="s">
        <v>9770</v>
      </c>
    </row>
    <row r="1550" spans="1:17" ht="43.5" customHeight="1">
      <c r="A1550" s="182">
        <v>408</v>
      </c>
      <c r="B1550" s="37" t="s">
        <v>9749</v>
      </c>
      <c r="C1550" s="11" t="s">
        <v>9771</v>
      </c>
      <c r="D1550" s="198" t="s">
        <v>2393</v>
      </c>
      <c r="E1550" s="198" t="s">
        <v>2400</v>
      </c>
      <c r="F1550" s="139" t="s">
        <v>9769</v>
      </c>
      <c r="G1550" s="198" t="s">
        <v>9745</v>
      </c>
      <c r="H1550" s="19" t="s">
        <v>2837</v>
      </c>
      <c r="I1550" s="21">
        <v>-6.1439956999999996</v>
      </c>
      <c r="J1550" s="21">
        <v>155.31935319999999</v>
      </c>
      <c r="K1550" s="21">
        <v>7075.8</v>
      </c>
      <c r="L1550" s="19">
        <v>1972</v>
      </c>
      <c r="M1550" s="19">
        <v>2002</v>
      </c>
      <c r="N1550" s="71" t="s">
        <v>2272</v>
      </c>
      <c r="O1550" s="19" t="s">
        <v>66</v>
      </c>
      <c r="P1550" s="19" t="s">
        <v>5181</v>
      </c>
      <c r="Q1550" s="4" t="s">
        <v>9770</v>
      </c>
    </row>
    <row r="1551" spans="1:17" ht="43.5" customHeight="1">
      <c r="A1551" s="182">
        <v>409</v>
      </c>
      <c r="B1551" s="37" t="s">
        <v>9838</v>
      </c>
      <c r="C1551" s="11" t="s">
        <v>9839</v>
      </c>
      <c r="D1551" s="198" t="s">
        <v>2393</v>
      </c>
      <c r="E1551" s="198" t="s">
        <v>2394</v>
      </c>
      <c r="F1551" s="198" t="s">
        <v>9840</v>
      </c>
      <c r="G1551" s="198" t="s">
        <v>9841</v>
      </c>
      <c r="H1551" s="19" t="s">
        <v>1139</v>
      </c>
      <c r="I1551" s="21">
        <f>9+37/60</f>
        <v>9.6166666666666671</v>
      </c>
      <c r="J1551" s="21">
        <v>-0.8666666666666667</v>
      </c>
      <c r="K1551" s="21">
        <f>(500+863)/2.471/100</f>
        <v>5.5159854309995957</v>
      </c>
      <c r="L1551" s="198">
        <v>2010</v>
      </c>
      <c r="M1551" s="198">
        <v>2010</v>
      </c>
      <c r="N1551" s="71" t="s">
        <v>2272</v>
      </c>
      <c r="O1551" s="19" t="s">
        <v>66</v>
      </c>
      <c r="P1551" s="19" t="s">
        <v>5181</v>
      </c>
      <c r="Q1551" s="198"/>
    </row>
    <row r="1552" spans="1:17" ht="46.5" customHeight="1">
      <c r="A1552" s="182">
        <v>410</v>
      </c>
      <c r="B1552" s="37" t="s">
        <v>9858</v>
      </c>
      <c r="C1552" s="198" t="s">
        <v>9859</v>
      </c>
      <c r="D1552" s="198" t="s">
        <v>2393</v>
      </c>
      <c r="E1552" s="198" t="s">
        <v>2394</v>
      </c>
      <c r="F1552" s="198" t="s">
        <v>9861</v>
      </c>
      <c r="G1552" s="198" t="s">
        <v>9860</v>
      </c>
      <c r="H1552" s="198" t="s">
        <v>892</v>
      </c>
      <c r="I1552" s="21">
        <f>-3-AVERAGE(32/60, 40/60)</f>
        <v>-3.6</v>
      </c>
      <c r="J1552" s="21">
        <f>106+46.5/60</f>
        <v>106.77500000000001</v>
      </c>
      <c r="K1552" s="21">
        <v>33.619999999999997</v>
      </c>
      <c r="L1552" s="198">
        <v>2013</v>
      </c>
      <c r="M1552" s="198">
        <v>2013</v>
      </c>
      <c r="N1552" s="71">
        <f>8200/K1552</f>
        <v>243.90243902439028</v>
      </c>
      <c r="O1552" s="19" t="s">
        <v>66</v>
      </c>
      <c r="P1552" s="19" t="s">
        <v>5181</v>
      </c>
      <c r="Q1552" s="198"/>
    </row>
    <row r="1553" spans="1:17" ht="67.5" customHeight="1">
      <c r="A1553" s="182">
        <v>411</v>
      </c>
      <c r="B1553" s="37" t="s">
        <v>9866</v>
      </c>
      <c r="C1553" s="11" t="s">
        <v>9867</v>
      </c>
      <c r="D1553" s="198" t="s">
        <v>2393</v>
      </c>
      <c r="E1553" s="198" t="s">
        <v>2394</v>
      </c>
      <c r="F1553" s="198" t="s">
        <v>9370</v>
      </c>
      <c r="G1553" s="198" t="s">
        <v>9869</v>
      </c>
      <c r="H1553" s="198" t="s">
        <v>86</v>
      </c>
      <c r="I1553" s="21">
        <f>10 +7.5/60</f>
        <v>10.125</v>
      </c>
      <c r="J1553" s="21">
        <f>77+48.5/60</f>
        <v>77.808333333333337</v>
      </c>
      <c r="K1553" s="21">
        <v>10</v>
      </c>
      <c r="L1553" s="198">
        <v>1998</v>
      </c>
      <c r="M1553" s="198">
        <v>2000</v>
      </c>
      <c r="N1553" s="71" t="s">
        <v>2272</v>
      </c>
      <c r="O1553" s="19" t="s">
        <v>66</v>
      </c>
      <c r="P1553" s="19" t="s">
        <v>5181</v>
      </c>
      <c r="Q1553" s="4" t="s">
        <v>9871</v>
      </c>
    </row>
    <row r="1554" spans="1:17" ht="54.5" customHeight="1">
      <c r="A1554" s="182">
        <v>412</v>
      </c>
      <c r="B1554" s="37" t="s">
        <v>9873</v>
      </c>
      <c r="C1554" s="11" t="s">
        <v>9874</v>
      </c>
      <c r="D1554" s="198" t="s">
        <v>2393</v>
      </c>
      <c r="E1554" s="198" t="s">
        <v>2394</v>
      </c>
      <c r="F1554" s="198" t="s">
        <v>9875</v>
      </c>
      <c r="G1554" s="198" t="s">
        <v>9876</v>
      </c>
      <c r="H1554" s="198" t="s">
        <v>86</v>
      </c>
      <c r="I1554" s="21">
        <f>13+36/60</f>
        <v>13.6</v>
      </c>
      <c r="J1554" s="21">
        <f>78+24/60</f>
        <v>78.400000000000006</v>
      </c>
      <c r="K1554" s="21">
        <f>6331/100</f>
        <v>63.31</v>
      </c>
      <c r="L1554" s="198">
        <v>2013</v>
      </c>
      <c r="M1554" s="198">
        <v>2013</v>
      </c>
      <c r="N1554" s="71" t="s">
        <v>2272</v>
      </c>
      <c r="O1554" s="19" t="s">
        <v>66</v>
      </c>
      <c r="P1554" s="19" t="s">
        <v>5181</v>
      </c>
      <c r="Q1554" s="198" t="s">
        <v>9881</v>
      </c>
    </row>
    <row r="1555" spans="1:17" ht="53.5" customHeight="1">
      <c r="A1555" s="182">
        <v>412</v>
      </c>
      <c r="B1555" s="38" t="s">
        <v>9877</v>
      </c>
      <c r="C1555" s="11" t="s">
        <v>9878</v>
      </c>
      <c r="D1555" s="198" t="s">
        <v>2393</v>
      </c>
      <c r="E1555" s="198" t="s">
        <v>2631</v>
      </c>
      <c r="F1555" s="19" t="s">
        <v>9880</v>
      </c>
      <c r="G1555" s="11" t="s">
        <v>9879</v>
      </c>
      <c r="H1555" s="11" t="s">
        <v>86</v>
      </c>
      <c r="I1555" s="21">
        <v>12</v>
      </c>
      <c r="J1555" s="21">
        <f>77+1/6</f>
        <v>77.166666666666671</v>
      </c>
      <c r="K1555" s="71" t="s">
        <v>2272</v>
      </c>
      <c r="L1555" s="11">
        <v>2006</v>
      </c>
      <c r="M1555" s="11">
        <v>2006</v>
      </c>
      <c r="N1555" s="71" t="s">
        <v>2272</v>
      </c>
      <c r="O1555" s="19" t="s">
        <v>66</v>
      </c>
      <c r="P1555" s="19" t="s">
        <v>5181</v>
      </c>
      <c r="Q1555" s="198" t="s">
        <v>9881</v>
      </c>
    </row>
    <row r="1556" spans="1:17" ht="47.5" customHeight="1">
      <c r="A1556" s="182">
        <v>413</v>
      </c>
      <c r="B1556" s="37" t="s">
        <v>11159</v>
      </c>
      <c r="C1556" s="11" t="s">
        <v>9891</v>
      </c>
      <c r="D1556" s="198" t="s">
        <v>2393</v>
      </c>
      <c r="E1556" s="198" t="s">
        <v>2417</v>
      </c>
      <c r="F1556" s="198" t="s">
        <v>9892</v>
      </c>
      <c r="G1556" s="198" t="s">
        <v>9896</v>
      </c>
      <c r="H1556" s="198" t="s">
        <v>4309</v>
      </c>
      <c r="I1556" s="21">
        <f>40+38/60</f>
        <v>40.633333333333333</v>
      </c>
      <c r="J1556" s="21">
        <f>-4-14/60</f>
        <v>-4.2333333333333334</v>
      </c>
      <c r="K1556" s="21">
        <v>11.96</v>
      </c>
      <c r="L1556" s="198">
        <v>1984</v>
      </c>
      <c r="M1556" s="198">
        <v>2013</v>
      </c>
      <c r="N1556" s="71">
        <f>841/11.96</f>
        <v>70.317725752508352</v>
      </c>
      <c r="O1556" s="19" t="s">
        <v>66</v>
      </c>
      <c r="P1556" s="19" t="s">
        <v>5181</v>
      </c>
      <c r="Q1556" s="198"/>
    </row>
    <row r="1557" spans="1:17" ht="52.5" customHeight="1">
      <c r="A1557" s="182">
        <v>413</v>
      </c>
      <c r="B1557" s="37" t="s">
        <v>11159</v>
      </c>
      <c r="C1557" s="11" t="s">
        <v>9894</v>
      </c>
      <c r="D1557" s="198" t="s">
        <v>2393</v>
      </c>
      <c r="E1557" s="198" t="s">
        <v>2417</v>
      </c>
      <c r="F1557" s="11" t="s">
        <v>9893</v>
      </c>
      <c r="G1557" s="4" t="s">
        <v>9895</v>
      </c>
      <c r="H1557" s="198" t="s">
        <v>4309</v>
      </c>
      <c r="I1557" s="21">
        <f>40+40/60</f>
        <v>40.666666666666664</v>
      </c>
      <c r="J1557" s="21">
        <f>-4-17/60</f>
        <v>-4.2833333333333332</v>
      </c>
      <c r="K1557" s="21">
        <v>30.15</v>
      </c>
      <c r="L1557" s="198">
        <v>1984</v>
      </c>
      <c r="M1557" s="198">
        <v>2013</v>
      </c>
      <c r="N1557" s="71">
        <f>466/30.15</f>
        <v>15.456053067993368</v>
      </c>
      <c r="O1557" s="19" t="s">
        <v>66</v>
      </c>
      <c r="P1557" s="19" t="s">
        <v>5181</v>
      </c>
      <c r="Q1557" s="198"/>
    </row>
    <row r="1558" spans="1:17" ht="50.5" customHeight="1">
      <c r="A1558" s="182">
        <v>414</v>
      </c>
      <c r="B1558" s="37" t="s">
        <v>9973</v>
      </c>
      <c r="C1558" s="11" t="s">
        <v>9974</v>
      </c>
      <c r="D1558" s="198" t="s">
        <v>2393</v>
      </c>
      <c r="E1558" s="198" t="s">
        <v>2632</v>
      </c>
      <c r="F1558" s="11" t="s">
        <v>9976</v>
      </c>
      <c r="G1558" s="11" t="s">
        <v>9975</v>
      </c>
      <c r="H1558" s="11" t="s">
        <v>86</v>
      </c>
      <c r="I1558" s="21">
        <v>22.5</v>
      </c>
      <c r="J1558" s="21">
        <v>81.75</v>
      </c>
      <c r="K1558" s="21">
        <v>3836</v>
      </c>
      <c r="L1558" s="11">
        <v>2009</v>
      </c>
      <c r="M1558" s="11">
        <v>2010</v>
      </c>
      <c r="N1558" s="71" t="s">
        <v>2272</v>
      </c>
      <c r="O1558" s="19" t="s">
        <v>66</v>
      </c>
      <c r="P1558" s="19" t="s">
        <v>5181</v>
      </c>
      <c r="Q1558" s="198"/>
    </row>
    <row r="1559" spans="1:17" ht="39" customHeight="1">
      <c r="A1559" s="182">
        <v>415</v>
      </c>
      <c r="B1559" s="37" t="s">
        <v>9980</v>
      </c>
      <c r="C1559" s="11" t="s">
        <v>9981</v>
      </c>
      <c r="D1559" s="198" t="s">
        <v>2393</v>
      </c>
      <c r="E1559" s="198" t="s">
        <v>2394</v>
      </c>
      <c r="F1559" s="11" t="s">
        <v>9982</v>
      </c>
      <c r="G1559" s="11" t="s">
        <v>9983</v>
      </c>
      <c r="H1559" s="11" t="s">
        <v>86</v>
      </c>
      <c r="I1559" s="21">
        <f>AVERAGE(18+4/6, 20+48/60)</f>
        <v>19.733333333333334</v>
      </c>
      <c r="J1559" s="21">
        <f>AVERAGE(79 + 58/60, 80+44/60)</f>
        <v>80.349999999999994</v>
      </c>
      <c r="K1559" s="21">
        <f>4/100</f>
        <v>0.04</v>
      </c>
      <c r="L1559" s="11">
        <v>1999</v>
      </c>
      <c r="M1559" s="11">
        <v>2001</v>
      </c>
      <c r="N1559" s="71" t="s">
        <v>2272</v>
      </c>
      <c r="O1559" s="19" t="s">
        <v>66</v>
      </c>
      <c r="P1559" s="19" t="s">
        <v>5181</v>
      </c>
      <c r="Q1559" s="198"/>
    </row>
    <row r="1560" spans="1:17" ht="41" customHeight="1">
      <c r="A1560" s="182">
        <v>416</v>
      </c>
      <c r="B1560" s="37" t="s">
        <v>9987</v>
      </c>
      <c r="C1560" s="11" t="s">
        <v>9988</v>
      </c>
      <c r="D1560" s="198" t="s">
        <v>2393</v>
      </c>
      <c r="E1560" s="198" t="s">
        <v>2417</v>
      </c>
      <c r="F1560" s="198" t="s">
        <v>6369</v>
      </c>
      <c r="G1560" s="198" t="s">
        <v>4127</v>
      </c>
      <c r="H1560" s="198" t="s">
        <v>4107</v>
      </c>
      <c r="I1560" s="21">
        <f>34+19/60</f>
        <v>34.31666666666667</v>
      </c>
      <c r="J1560" s="21">
        <v>-118</v>
      </c>
      <c r="K1560" s="71" t="s">
        <v>2272</v>
      </c>
      <c r="L1560" s="198">
        <v>2004</v>
      </c>
      <c r="M1560" s="198">
        <v>2011</v>
      </c>
      <c r="N1560" s="71" t="s">
        <v>2272</v>
      </c>
      <c r="O1560" s="19" t="s">
        <v>66</v>
      </c>
      <c r="P1560" s="19" t="s">
        <v>5181</v>
      </c>
      <c r="Q1560" s="198"/>
    </row>
    <row r="1561" spans="1:17" ht="41" customHeight="1">
      <c r="A1561" s="182">
        <v>416</v>
      </c>
      <c r="B1561" s="37" t="s">
        <v>9987</v>
      </c>
      <c r="C1561" s="11" t="s">
        <v>9989</v>
      </c>
      <c r="D1561" s="198" t="s">
        <v>2393</v>
      </c>
      <c r="E1561" s="198" t="s">
        <v>2417</v>
      </c>
      <c r="F1561" s="11" t="s">
        <v>6372</v>
      </c>
      <c r="G1561" s="198" t="s">
        <v>4127</v>
      </c>
      <c r="H1561" s="11" t="s">
        <v>4107</v>
      </c>
      <c r="I1561" s="21">
        <f>33 + 16.9/60</f>
        <v>33.281666666666666</v>
      </c>
      <c r="J1561" s="21">
        <f>-116-48.5/60</f>
        <v>-116.80833333333334</v>
      </c>
      <c r="K1561" s="21">
        <f>460000/2.741/100</f>
        <v>1678.2196278730389</v>
      </c>
      <c r="L1561" s="198">
        <v>2004</v>
      </c>
      <c r="M1561" s="198">
        <v>2011</v>
      </c>
      <c r="N1561" s="71" t="s">
        <v>2272</v>
      </c>
      <c r="O1561" s="19" t="s">
        <v>66</v>
      </c>
      <c r="P1561" s="19" t="s">
        <v>5181</v>
      </c>
      <c r="Q1561" s="198"/>
    </row>
    <row r="1562" spans="1:17" ht="41" customHeight="1">
      <c r="A1562" s="182">
        <v>416</v>
      </c>
      <c r="B1562" s="37" t="s">
        <v>9987</v>
      </c>
      <c r="C1562" s="11" t="s">
        <v>9990</v>
      </c>
      <c r="D1562" s="198" t="s">
        <v>2393</v>
      </c>
      <c r="E1562" s="198" t="s">
        <v>2417</v>
      </c>
      <c r="F1562" s="11" t="s">
        <v>6370</v>
      </c>
      <c r="G1562" s="198" t="s">
        <v>4127</v>
      </c>
      <c r="H1562" s="11" t="s">
        <v>4107</v>
      </c>
      <c r="I1562" s="21">
        <f>33+43/60</f>
        <v>33.716666666666669</v>
      </c>
      <c r="J1562" s="21">
        <f>-119-42/60</f>
        <v>-119.7</v>
      </c>
      <c r="K1562" s="71" t="s">
        <v>2272</v>
      </c>
      <c r="L1562" s="198">
        <v>2004</v>
      </c>
      <c r="M1562" s="198">
        <v>2011</v>
      </c>
      <c r="N1562" s="71" t="s">
        <v>2272</v>
      </c>
      <c r="O1562" s="19" t="s">
        <v>66</v>
      </c>
      <c r="P1562" s="19" t="s">
        <v>5181</v>
      </c>
      <c r="Q1562" s="198"/>
    </row>
    <row r="1563" spans="1:17" ht="41" customHeight="1">
      <c r="A1563" s="182">
        <v>416</v>
      </c>
      <c r="B1563" s="221" t="s">
        <v>9987</v>
      </c>
      <c r="C1563" s="23" t="s">
        <v>9991</v>
      </c>
      <c r="D1563" s="22" t="s">
        <v>2393</v>
      </c>
      <c r="E1563" s="22" t="s">
        <v>2417</v>
      </c>
      <c r="F1563" s="23" t="s">
        <v>6371</v>
      </c>
      <c r="G1563" s="22" t="s">
        <v>4127</v>
      </c>
      <c r="H1563" s="11" t="s">
        <v>4107</v>
      </c>
      <c r="I1563" s="21">
        <f>34+11/60</f>
        <v>34.18333333333333</v>
      </c>
      <c r="J1563" s="21">
        <f>-116-58.75/60</f>
        <v>-116.97916666666667</v>
      </c>
      <c r="K1563" s="21">
        <f>823816/2.741/100</f>
        <v>3005.5308281649031</v>
      </c>
      <c r="L1563" s="198">
        <v>2004</v>
      </c>
      <c r="M1563" s="198">
        <v>2011</v>
      </c>
      <c r="N1563" s="71" t="s">
        <v>2272</v>
      </c>
      <c r="O1563" s="19" t="s">
        <v>66</v>
      </c>
      <c r="P1563" s="19" t="s">
        <v>5181</v>
      </c>
      <c r="Q1563" s="198"/>
    </row>
    <row r="1564" spans="1:17" ht="42" customHeight="1">
      <c r="A1564" s="182">
        <v>417</v>
      </c>
      <c r="B1564" s="221" t="s">
        <v>10002</v>
      </c>
      <c r="C1564" s="23" t="s">
        <v>10001</v>
      </c>
      <c r="D1564" s="22" t="s">
        <v>2393</v>
      </c>
      <c r="E1564" s="22" t="s">
        <v>3660</v>
      </c>
      <c r="F1564" s="23" t="s">
        <v>10003</v>
      </c>
      <c r="G1564" s="22" t="s">
        <v>10004</v>
      </c>
      <c r="H1564" s="23" t="s">
        <v>112</v>
      </c>
      <c r="I1564" s="21">
        <f>AVERAGE(52+25/60, 51+14/60)</f>
        <v>51.825000000000003</v>
      </c>
      <c r="J1564" s="21">
        <f>AVERAGE(124+21/60, 122+39/60)</f>
        <v>123.5</v>
      </c>
      <c r="K1564" s="21">
        <f>937244/100</f>
        <v>9372.44</v>
      </c>
      <c r="L1564" s="11">
        <v>2010</v>
      </c>
      <c r="M1564" s="11">
        <v>2010</v>
      </c>
      <c r="N1564" s="71" t="s">
        <v>2272</v>
      </c>
      <c r="O1564" s="19" t="s">
        <v>66</v>
      </c>
      <c r="P1564" s="19" t="s">
        <v>5181</v>
      </c>
      <c r="Q1564" s="198" t="s">
        <v>9881</v>
      </c>
    </row>
    <row r="1565" spans="1:17" ht="48" customHeight="1">
      <c r="A1565" s="182">
        <v>418</v>
      </c>
      <c r="B1565" s="229" t="s">
        <v>10012</v>
      </c>
      <c r="C1565" s="23" t="s">
        <v>10009</v>
      </c>
      <c r="D1565" s="23" t="s">
        <v>2393</v>
      </c>
      <c r="E1565" s="23" t="s">
        <v>4842</v>
      </c>
      <c r="F1565" s="230" t="s">
        <v>10010</v>
      </c>
      <c r="G1565" s="23" t="s">
        <v>10011</v>
      </c>
      <c r="H1565" s="23" t="s">
        <v>112</v>
      </c>
      <c r="I1565" s="70">
        <v>52</v>
      </c>
      <c r="J1565" s="70">
        <v>124.5</v>
      </c>
      <c r="K1565" s="70">
        <f>7300000/100</f>
        <v>73000</v>
      </c>
      <c r="L1565" s="11">
        <v>1980</v>
      </c>
      <c r="M1565" s="11">
        <v>1994</v>
      </c>
      <c r="N1565" s="77" t="s">
        <v>2272</v>
      </c>
      <c r="O1565" s="19" t="s">
        <v>66</v>
      </c>
      <c r="P1565" s="19" t="s">
        <v>5181</v>
      </c>
      <c r="Q1565" s="11"/>
    </row>
    <row r="1566" spans="1:17" ht="51" customHeight="1">
      <c r="A1566" s="182">
        <v>418</v>
      </c>
      <c r="B1566" s="229" t="s">
        <v>10012</v>
      </c>
      <c r="C1566" s="23" t="s">
        <v>10013</v>
      </c>
      <c r="D1566" s="23" t="s">
        <v>2393</v>
      </c>
      <c r="E1566" s="23" t="s">
        <v>4842</v>
      </c>
      <c r="F1566" s="230" t="s">
        <v>10010</v>
      </c>
      <c r="G1566" s="23" t="s">
        <v>10011</v>
      </c>
      <c r="H1566" s="23" t="s">
        <v>112</v>
      </c>
      <c r="I1566" s="70">
        <v>52</v>
      </c>
      <c r="J1566" s="70">
        <v>124.5</v>
      </c>
      <c r="K1566" s="70">
        <f>7300000/100</f>
        <v>73000</v>
      </c>
      <c r="L1566" s="11">
        <v>1995</v>
      </c>
      <c r="M1566" s="11">
        <v>2005</v>
      </c>
      <c r="N1566" s="77" t="s">
        <v>2272</v>
      </c>
      <c r="O1566" s="19" t="s">
        <v>66</v>
      </c>
      <c r="P1566" s="19" t="s">
        <v>5181</v>
      </c>
      <c r="Q1566" s="198"/>
    </row>
    <row r="1567" spans="1:17" ht="43.5" customHeight="1">
      <c r="A1567" s="182">
        <v>419</v>
      </c>
      <c r="B1567" s="53" t="s">
        <v>11492</v>
      </c>
      <c r="C1567" s="23" t="s">
        <v>10031</v>
      </c>
      <c r="D1567" s="23" t="s">
        <v>2393</v>
      </c>
      <c r="E1567" s="23" t="s">
        <v>2631</v>
      </c>
      <c r="F1567" s="198" t="s">
        <v>2272</v>
      </c>
      <c r="G1567" s="60" t="s">
        <v>11491</v>
      </c>
      <c r="H1567" s="23" t="s">
        <v>119</v>
      </c>
      <c r="I1567" s="70">
        <v>-12</v>
      </c>
      <c r="J1567" s="70">
        <v>-46</v>
      </c>
      <c r="K1567" s="70">
        <f>200000000/100</f>
        <v>2000000</v>
      </c>
      <c r="L1567" s="11">
        <v>2002</v>
      </c>
      <c r="M1567" s="11">
        <v>2011</v>
      </c>
      <c r="N1567" s="77" t="s">
        <v>2272</v>
      </c>
      <c r="O1567" s="19" t="s">
        <v>147</v>
      </c>
      <c r="P1567" s="19" t="s">
        <v>5181</v>
      </c>
      <c r="Q1567" s="19" t="s">
        <v>11510</v>
      </c>
    </row>
    <row r="1568" spans="1:17" ht="40.5" customHeight="1">
      <c r="A1568" s="182">
        <v>420</v>
      </c>
      <c r="B1568" s="37" t="s">
        <v>10032</v>
      </c>
      <c r="C1568" s="23" t="s">
        <v>10033</v>
      </c>
      <c r="D1568" s="23" t="s">
        <v>2393</v>
      </c>
      <c r="E1568" s="198" t="s">
        <v>2409</v>
      </c>
      <c r="F1568" s="198" t="s">
        <v>2272</v>
      </c>
      <c r="G1568" s="22" t="s">
        <v>10035</v>
      </c>
      <c r="H1568" s="198" t="s">
        <v>112</v>
      </c>
      <c r="I1568" s="21">
        <f>AVERAGE(52+25/60, 51 + 14.66/60)</f>
        <v>51.830500000000001</v>
      </c>
      <c r="J1568" s="21">
        <f>AVERAGE(122+39.5/60, 124+21/60)</f>
        <v>123.50416666666666</v>
      </c>
      <c r="K1568" s="21">
        <f>937244/100</f>
        <v>9372.44</v>
      </c>
      <c r="L1568" s="198">
        <v>1950</v>
      </c>
      <c r="M1568" s="198">
        <v>2008</v>
      </c>
      <c r="N1568" s="77" t="s">
        <v>2272</v>
      </c>
      <c r="O1568" s="19" t="s">
        <v>66</v>
      </c>
      <c r="P1568" s="19" t="s">
        <v>5181</v>
      </c>
      <c r="Q1568" s="4" t="s">
        <v>10034</v>
      </c>
    </row>
    <row r="1569" spans="1:17" ht="51" customHeight="1">
      <c r="A1569" s="182">
        <v>421</v>
      </c>
      <c r="B1569" s="37" t="s">
        <v>10044</v>
      </c>
      <c r="C1569" s="26" t="s">
        <v>10043</v>
      </c>
      <c r="D1569" s="23" t="s">
        <v>2393</v>
      </c>
      <c r="E1569" s="198" t="s">
        <v>4842</v>
      </c>
      <c r="F1569" s="198" t="s">
        <v>2272</v>
      </c>
      <c r="G1569" s="198" t="s">
        <v>2272</v>
      </c>
      <c r="H1569" s="198" t="s">
        <v>9948</v>
      </c>
      <c r="I1569" s="70">
        <f>54.5</f>
        <v>54.5</v>
      </c>
      <c r="J1569" s="70">
        <f>-2-15/60</f>
        <v>-2.25</v>
      </c>
      <c r="K1569" s="21">
        <v>242495</v>
      </c>
      <c r="L1569" s="198">
        <v>2009</v>
      </c>
      <c r="M1569" s="198">
        <v>2013</v>
      </c>
      <c r="N1569" s="77" t="s">
        <v>2272</v>
      </c>
      <c r="O1569" s="19" t="s">
        <v>66</v>
      </c>
      <c r="P1569" s="19" t="s">
        <v>5181</v>
      </c>
      <c r="Q1569" s="198"/>
    </row>
    <row r="1570" spans="1:17" ht="55.5" customHeight="1">
      <c r="A1570" s="182">
        <v>421</v>
      </c>
      <c r="B1570" s="37" t="s">
        <v>10044</v>
      </c>
      <c r="C1570" s="23" t="s">
        <v>10052</v>
      </c>
      <c r="D1570" s="23" t="s">
        <v>2393</v>
      </c>
      <c r="E1570" s="198" t="s">
        <v>2631</v>
      </c>
      <c r="F1570" s="198" t="s">
        <v>2272</v>
      </c>
      <c r="G1570" s="11" t="s">
        <v>10054</v>
      </c>
      <c r="H1570" s="198" t="s">
        <v>9948</v>
      </c>
      <c r="I1570" s="21">
        <f>50+42/60</f>
        <v>50.7</v>
      </c>
      <c r="J1570" s="21">
        <f>-2.5</f>
        <v>-2.5</v>
      </c>
      <c r="K1570" s="198" t="s">
        <v>2272</v>
      </c>
      <c r="L1570" s="198">
        <v>2009</v>
      </c>
      <c r="M1570" s="198">
        <v>2013</v>
      </c>
      <c r="N1570" s="77" t="s">
        <v>2272</v>
      </c>
      <c r="O1570" s="19" t="s">
        <v>66</v>
      </c>
      <c r="P1570" s="19" t="s">
        <v>5181</v>
      </c>
      <c r="Q1570" s="198"/>
    </row>
    <row r="1571" spans="1:17" ht="47.5" customHeight="1">
      <c r="A1571" s="182">
        <v>421</v>
      </c>
      <c r="B1571" s="37" t="s">
        <v>10044</v>
      </c>
      <c r="C1571" s="23" t="s">
        <v>10053</v>
      </c>
      <c r="D1571" s="23" t="s">
        <v>2393</v>
      </c>
      <c r="E1571" s="198" t="s">
        <v>2631</v>
      </c>
      <c r="F1571" s="198" t="s">
        <v>10059</v>
      </c>
      <c r="G1571" s="11" t="s">
        <v>10054</v>
      </c>
      <c r="H1571" s="198" t="s">
        <v>9948</v>
      </c>
      <c r="I1571" s="21">
        <f>50+38/60</f>
        <v>50.633333333333333</v>
      </c>
      <c r="J1571" s="21">
        <f>-2</f>
        <v>-2</v>
      </c>
      <c r="K1571" s="198" t="s">
        <v>2272</v>
      </c>
      <c r="L1571" s="11">
        <v>2011</v>
      </c>
      <c r="M1571" s="11">
        <v>2012</v>
      </c>
      <c r="N1571" s="77" t="s">
        <v>2272</v>
      </c>
      <c r="O1571" s="19" t="s">
        <v>66</v>
      </c>
      <c r="P1571" s="19" t="s">
        <v>5181</v>
      </c>
      <c r="Q1571" s="198"/>
    </row>
    <row r="1572" spans="1:17" ht="53" customHeight="1">
      <c r="A1572" s="182">
        <v>422</v>
      </c>
      <c r="B1572" s="37" t="s">
        <v>10062</v>
      </c>
      <c r="C1572" s="23" t="s">
        <v>10063</v>
      </c>
      <c r="D1572" s="23" t="s">
        <v>2393</v>
      </c>
      <c r="E1572" s="198" t="s">
        <v>4842</v>
      </c>
      <c r="F1572" s="198" t="s">
        <v>2272</v>
      </c>
      <c r="G1572" s="198" t="s">
        <v>2272</v>
      </c>
      <c r="H1572" s="198" t="s">
        <v>10064</v>
      </c>
      <c r="I1572" s="21">
        <f>49.5</f>
        <v>49.5</v>
      </c>
      <c r="J1572" s="21">
        <v>16.5</v>
      </c>
      <c r="K1572" s="21">
        <v>78865</v>
      </c>
      <c r="L1572" s="11">
        <v>1992</v>
      </c>
      <c r="M1572" s="11">
        <v>2004</v>
      </c>
      <c r="N1572" s="77" t="s">
        <v>2272</v>
      </c>
      <c r="O1572" s="19" t="s">
        <v>66</v>
      </c>
      <c r="P1572" s="19" t="s">
        <v>5181</v>
      </c>
      <c r="Q1572" s="198"/>
    </row>
    <row r="1573" spans="1:17" ht="47.5" customHeight="1">
      <c r="A1573" s="182">
        <v>423</v>
      </c>
      <c r="B1573" s="37" t="s">
        <v>10074</v>
      </c>
      <c r="C1573" s="23" t="s">
        <v>10075</v>
      </c>
      <c r="D1573" s="23" t="s">
        <v>2393</v>
      </c>
      <c r="E1573" s="198" t="s">
        <v>2400</v>
      </c>
      <c r="F1573" s="198" t="s">
        <v>2272</v>
      </c>
      <c r="G1573" s="11" t="s">
        <v>10076</v>
      </c>
      <c r="H1573" s="11" t="s">
        <v>3409</v>
      </c>
      <c r="I1573" s="21">
        <f>-42+-52.5/60</f>
        <v>-42.875</v>
      </c>
      <c r="J1573" s="21">
        <f>147+48.5/60</f>
        <v>147.80833333333334</v>
      </c>
      <c r="K1573" s="21">
        <f>87000</f>
        <v>87000</v>
      </c>
      <c r="L1573" s="198">
        <v>2012</v>
      </c>
      <c r="M1573" s="198">
        <v>2013</v>
      </c>
      <c r="N1573" s="77" t="s">
        <v>2272</v>
      </c>
      <c r="O1573" s="19" t="s">
        <v>66</v>
      </c>
      <c r="P1573" s="19" t="s">
        <v>5181</v>
      </c>
      <c r="Q1573" s="198"/>
    </row>
    <row r="1574" spans="1:17" ht="47.5" customHeight="1">
      <c r="A1574" s="182">
        <v>424</v>
      </c>
      <c r="B1574" s="37" t="s">
        <v>10078</v>
      </c>
      <c r="C1574" s="23" t="s">
        <v>10079</v>
      </c>
      <c r="D1574" s="23" t="s">
        <v>2393</v>
      </c>
      <c r="E1574" s="198" t="s">
        <v>4842</v>
      </c>
      <c r="F1574" s="11" t="s">
        <v>10080</v>
      </c>
      <c r="G1574" s="11" t="s">
        <v>4936</v>
      </c>
      <c r="H1574" s="11" t="s">
        <v>4937</v>
      </c>
      <c r="I1574" s="21">
        <f>40+53/60</f>
        <v>40.883333333333333</v>
      </c>
      <c r="J1574" s="21">
        <f>9+12/60</f>
        <v>9.1999999999999993</v>
      </c>
      <c r="K1574" s="21">
        <f>68000/100</f>
        <v>680</v>
      </c>
      <c r="L1574" s="11">
        <v>1980</v>
      </c>
      <c r="M1574" s="11">
        <v>2010</v>
      </c>
      <c r="N1574" s="77" t="s">
        <v>2272</v>
      </c>
      <c r="O1574" s="19" t="s">
        <v>66</v>
      </c>
      <c r="P1574" s="19" t="s">
        <v>5181</v>
      </c>
      <c r="Q1574" s="198"/>
    </row>
    <row r="1575" spans="1:17" ht="47.5" customHeight="1">
      <c r="A1575" s="182">
        <v>425</v>
      </c>
      <c r="B1575" s="37" t="s">
        <v>10085</v>
      </c>
      <c r="C1575" s="23" t="s">
        <v>10084</v>
      </c>
      <c r="D1575" s="23" t="s">
        <v>2393</v>
      </c>
      <c r="E1575" s="198" t="s">
        <v>4842</v>
      </c>
      <c r="F1575" s="11" t="s">
        <v>10086</v>
      </c>
      <c r="G1575" s="11" t="s">
        <v>10087</v>
      </c>
      <c r="H1575" s="11" t="s">
        <v>112</v>
      </c>
      <c r="I1575" s="21">
        <f>AVERAGE(25+30/60, 27+7/60)</f>
        <v>26.308333333333334</v>
      </c>
      <c r="J1575" s="21">
        <f>AVERAGE(116 + 22/60, 118+39/60)</f>
        <v>117.50833333333333</v>
      </c>
      <c r="K1575" s="21">
        <f>2310000/100</f>
        <v>23100</v>
      </c>
      <c r="L1575" s="11">
        <v>2000</v>
      </c>
      <c r="M1575" s="11">
        <v>2009</v>
      </c>
      <c r="N1575" s="77" t="s">
        <v>2272</v>
      </c>
      <c r="O1575" s="19" t="s">
        <v>66</v>
      </c>
      <c r="P1575" s="19" t="s">
        <v>5181</v>
      </c>
      <c r="Q1575" s="198"/>
    </row>
    <row r="1576" spans="1:17" ht="47.5" customHeight="1">
      <c r="A1576" s="182">
        <v>426</v>
      </c>
      <c r="B1576" s="37" t="s">
        <v>10092</v>
      </c>
      <c r="C1576" s="198" t="s">
        <v>10091</v>
      </c>
      <c r="D1576" s="23" t="s">
        <v>2393</v>
      </c>
      <c r="E1576" s="198" t="s">
        <v>2417</v>
      </c>
      <c r="F1576" s="198" t="s">
        <v>10093</v>
      </c>
      <c r="G1576" s="11" t="s">
        <v>1047</v>
      </c>
      <c r="H1576" s="11" t="s">
        <v>112</v>
      </c>
      <c r="I1576" s="21">
        <f>25</f>
        <v>25</v>
      </c>
      <c r="J1576" s="21">
        <f>102 + 30/60</f>
        <v>102.5</v>
      </c>
      <c r="K1576" s="21">
        <v>18.489999999999998</v>
      </c>
      <c r="L1576" s="198">
        <v>2006</v>
      </c>
      <c r="M1576" s="198">
        <v>2011</v>
      </c>
      <c r="N1576" s="77" t="s">
        <v>2272</v>
      </c>
      <c r="O1576" s="19" t="s">
        <v>66</v>
      </c>
      <c r="P1576" s="19" t="s">
        <v>5181</v>
      </c>
      <c r="Q1576" s="198"/>
    </row>
    <row r="1577" spans="1:17" ht="45.5" customHeight="1">
      <c r="A1577" s="182">
        <v>427</v>
      </c>
      <c r="B1577" s="37" t="s">
        <v>10096</v>
      </c>
      <c r="C1577" s="11" t="s">
        <v>10097</v>
      </c>
      <c r="D1577" s="23" t="s">
        <v>2393</v>
      </c>
      <c r="E1577" s="198" t="s">
        <v>2631</v>
      </c>
      <c r="F1577" s="198" t="s">
        <v>10098</v>
      </c>
      <c r="G1577" s="198" t="s">
        <v>2272</v>
      </c>
      <c r="H1577" s="198" t="s">
        <v>892</v>
      </c>
      <c r="I1577" s="21">
        <v>-0.75</v>
      </c>
      <c r="J1577" s="21">
        <v>102</v>
      </c>
      <c r="K1577" s="21">
        <f>(8200000+4900000)/100</f>
        <v>131000</v>
      </c>
      <c r="L1577" s="198">
        <v>2009</v>
      </c>
      <c r="M1577" s="198">
        <v>2012</v>
      </c>
      <c r="N1577" s="77" t="s">
        <v>2272</v>
      </c>
      <c r="O1577" s="19" t="s">
        <v>66</v>
      </c>
      <c r="P1577" s="19" t="s">
        <v>5181</v>
      </c>
      <c r="Q1577" s="4" t="s">
        <v>10099</v>
      </c>
    </row>
    <row r="1578" spans="1:17" ht="44.5" customHeight="1">
      <c r="A1578" s="182">
        <v>428</v>
      </c>
      <c r="B1578" s="37" t="s">
        <v>10111</v>
      </c>
      <c r="C1578" s="11" t="s">
        <v>10112</v>
      </c>
      <c r="D1578" s="23" t="s">
        <v>2393</v>
      </c>
      <c r="E1578" s="198" t="s">
        <v>2400</v>
      </c>
      <c r="F1578" s="11" t="s">
        <v>10113</v>
      </c>
      <c r="G1578" s="11" t="s">
        <v>891</v>
      </c>
      <c r="H1578" s="198" t="s">
        <v>892</v>
      </c>
      <c r="I1578" s="21">
        <v>-2</v>
      </c>
      <c r="J1578" s="21">
        <v>110</v>
      </c>
      <c r="K1578" s="21">
        <v>12038</v>
      </c>
      <c r="L1578" s="11">
        <v>1989</v>
      </c>
      <c r="M1578" s="11">
        <v>2008</v>
      </c>
      <c r="N1578" s="77" t="s">
        <v>2272</v>
      </c>
      <c r="O1578" s="19" t="s">
        <v>66</v>
      </c>
      <c r="P1578" s="19" t="s">
        <v>5181</v>
      </c>
      <c r="Q1578" s="198"/>
    </row>
    <row r="1579" spans="1:17" ht="44.5" customHeight="1">
      <c r="A1579" s="182">
        <v>429</v>
      </c>
      <c r="B1579" s="37" t="s">
        <v>10124</v>
      </c>
      <c r="C1579" s="11" t="s">
        <v>10121</v>
      </c>
      <c r="D1579" s="198" t="s">
        <v>2393</v>
      </c>
      <c r="E1579" s="198" t="s">
        <v>4842</v>
      </c>
      <c r="F1579" s="198" t="s">
        <v>2272</v>
      </c>
      <c r="G1579" s="60" t="s">
        <v>10123</v>
      </c>
      <c r="H1579" s="11" t="s">
        <v>4107</v>
      </c>
      <c r="I1579" s="21">
        <v>40.5</v>
      </c>
      <c r="J1579" s="21">
        <v>-121.5</v>
      </c>
      <c r="K1579" s="21">
        <f>10700000/100/2.471</f>
        <v>43302.306758397412</v>
      </c>
      <c r="L1579" s="11">
        <v>2013</v>
      </c>
      <c r="M1579" s="11">
        <v>2013</v>
      </c>
      <c r="N1579" s="77" t="s">
        <v>2272</v>
      </c>
      <c r="O1579" s="19" t="s">
        <v>66</v>
      </c>
      <c r="P1579" s="19" t="s">
        <v>5181</v>
      </c>
      <c r="Q1579" s="198"/>
    </row>
    <row r="1580" spans="1:17" ht="49" customHeight="1">
      <c r="A1580" s="182">
        <v>430</v>
      </c>
      <c r="B1580" s="37" t="s">
        <v>10135</v>
      </c>
      <c r="C1580" s="11" t="s">
        <v>10133</v>
      </c>
      <c r="D1580" s="198" t="s">
        <v>2393</v>
      </c>
      <c r="E1580" s="198" t="s">
        <v>2394</v>
      </c>
      <c r="F1580" s="139" t="s">
        <v>10143</v>
      </c>
      <c r="G1580" s="198" t="s">
        <v>10136</v>
      </c>
      <c r="H1580" s="11" t="s">
        <v>4107</v>
      </c>
      <c r="I1580" s="21">
        <v>32.5</v>
      </c>
      <c r="J1580" s="21">
        <v>-86.5</v>
      </c>
      <c r="K1580" s="77" t="s">
        <v>2272</v>
      </c>
      <c r="L1580" s="198">
        <v>2006</v>
      </c>
      <c r="M1580" s="198">
        <v>2006</v>
      </c>
      <c r="N1580" s="77" t="s">
        <v>2272</v>
      </c>
      <c r="O1580" s="19" t="s">
        <v>66</v>
      </c>
      <c r="P1580" s="19" t="s">
        <v>5181</v>
      </c>
      <c r="Q1580" s="198" t="s">
        <v>9881</v>
      </c>
    </row>
    <row r="1581" spans="1:17" ht="49" customHeight="1">
      <c r="A1581" s="182">
        <v>430</v>
      </c>
      <c r="B1581" s="37" t="s">
        <v>10135</v>
      </c>
      <c r="C1581" s="11" t="s">
        <v>10134</v>
      </c>
      <c r="D1581" s="198" t="s">
        <v>2393</v>
      </c>
      <c r="E1581" s="198" t="s">
        <v>2394</v>
      </c>
      <c r="F1581" s="139" t="s">
        <v>10143</v>
      </c>
      <c r="G1581" s="198" t="s">
        <v>10137</v>
      </c>
      <c r="H1581" s="11" t="s">
        <v>4107</v>
      </c>
      <c r="I1581" s="21">
        <v>29</v>
      </c>
      <c r="J1581" s="21">
        <f>-81.75</f>
        <v>-81.75</v>
      </c>
      <c r="K1581" s="77" t="s">
        <v>2272</v>
      </c>
      <c r="L1581" s="198">
        <v>2006</v>
      </c>
      <c r="M1581" s="198">
        <v>2006</v>
      </c>
      <c r="N1581" s="77" t="s">
        <v>2272</v>
      </c>
      <c r="O1581" s="19" t="s">
        <v>66</v>
      </c>
      <c r="P1581" s="19" t="s">
        <v>5181</v>
      </c>
      <c r="Q1581" s="198" t="s">
        <v>9881</v>
      </c>
    </row>
    <row r="1582" spans="1:17" ht="49" customHeight="1">
      <c r="A1582" s="182">
        <v>430</v>
      </c>
      <c r="B1582" s="37" t="s">
        <v>10135</v>
      </c>
      <c r="C1582" s="11" t="s">
        <v>10140</v>
      </c>
      <c r="D1582" s="198" t="s">
        <v>2393</v>
      </c>
      <c r="E1582" s="198" t="s">
        <v>2394</v>
      </c>
      <c r="F1582" s="139" t="s">
        <v>10143</v>
      </c>
      <c r="G1582" s="11" t="s">
        <v>8717</v>
      </c>
      <c r="H1582" s="11" t="s">
        <v>4107</v>
      </c>
      <c r="I1582" s="21">
        <v>33</v>
      </c>
      <c r="J1582" s="21">
        <f>-83.5</f>
        <v>-83.5</v>
      </c>
      <c r="K1582" s="77" t="s">
        <v>2272</v>
      </c>
      <c r="L1582" s="198">
        <v>2006</v>
      </c>
      <c r="M1582" s="198">
        <v>2006</v>
      </c>
      <c r="N1582" s="77" t="s">
        <v>2272</v>
      </c>
      <c r="O1582" s="19" t="s">
        <v>66</v>
      </c>
      <c r="P1582" s="19" t="s">
        <v>5181</v>
      </c>
      <c r="Q1582" s="198" t="s">
        <v>9881</v>
      </c>
    </row>
    <row r="1583" spans="1:17" ht="49" customHeight="1">
      <c r="A1583" s="182">
        <v>430</v>
      </c>
      <c r="B1583" s="37" t="s">
        <v>10135</v>
      </c>
      <c r="C1583" s="11" t="s">
        <v>10141</v>
      </c>
      <c r="D1583" s="198" t="s">
        <v>2393</v>
      </c>
      <c r="E1583" s="198" t="s">
        <v>2394</v>
      </c>
      <c r="F1583" s="139" t="s">
        <v>10143</v>
      </c>
      <c r="G1583" s="11" t="s">
        <v>10138</v>
      </c>
      <c r="H1583" s="11" t="s">
        <v>4107</v>
      </c>
      <c r="I1583" s="21">
        <v>34</v>
      </c>
      <c r="J1583" s="21">
        <v>-80.5</v>
      </c>
      <c r="K1583" s="77" t="s">
        <v>2272</v>
      </c>
      <c r="L1583" s="198">
        <v>2006</v>
      </c>
      <c r="M1583" s="198">
        <v>2006</v>
      </c>
      <c r="N1583" s="77" t="s">
        <v>2272</v>
      </c>
      <c r="O1583" s="19" t="s">
        <v>66</v>
      </c>
      <c r="P1583" s="19" t="s">
        <v>5181</v>
      </c>
      <c r="Q1583" s="198" t="s">
        <v>9881</v>
      </c>
    </row>
    <row r="1584" spans="1:17" ht="49" customHeight="1">
      <c r="A1584" s="182">
        <v>430</v>
      </c>
      <c r="B1584" s="37" t="s">
        <v>10135</v>
      </c>
      <c r="C1584" s="11" t="s">
        <v>10142</v>
      </c>
      <c r="D1584" s="198" t="s">
        <v>2393</v>
      </c>
      <c r="E1584" s="198" t="s">
        <v>2394</v>
      </c>
      <c r="F1584" s="139" t="s">
        <v>10143</v>
      </c>
      <c r="G1584" s="11" t="s">
        <v>10139</v>
      </c>
      <c r="H1584" s="11" t="s">
        <v>4107</v>
      </c>
      <c r="I1584" s="21">
        <v>33</v>
      </c>
      <c r="J1584" s="21">
        <v>-90</v>
      </c>
      <c r="K1584" s="77" t="s">
        <v>2272</v>
      </c>
      <c r="L1584" s="198">
        <v>2006</v>
      </c>
      <c r="M1584" s="198">
        <v>2006</v>
      </c>
      <c r="N1584" s="77" t="s">
        <v>2272</v>
      </c>
      <c r="O1584" s="19" t="s">
        <v>66</v>
      </c>
      <c r="P1584" s="19" t="s">
        <v>5181</v>
      </c>
      <c r="Q1584" s="198" t="s">
        <v>9881</v>
      </c>
    </row>
    <row r="1585" spans="1:17" ht="41" customHeight="1">
      <c r="A1585" s="182">
        <v>431</v>
      </c>
      <c r="B1585" s="37" t="s">
        <v>10150</v>
      </c>
      <c r="C1585" s="11" t="s">
        <v>10151</v>
      </c>
      <c r="D1585" s="198" t="s">
        <v>2393</v>
      </c>
      <c r="E1585" s="198" t="s">
        <v>4842</v>
      </c>
      <c r="F1585" s="198" t="s">
        <v>2272</v>
      </c>
      <c r="G1585" s="198" t="s">
        <v>2272</v>
      </c>
      <c r="H1585" s="198" t="s">
        <v>6105</v>
      </c>
      <c r="I1585" s="70">
        <v>39.811516699999999</v>
      </c>
      <c r="J1585" s="70">
        <v>-7.4631071000000002</v>
      </c>
      <c r="K1585" s="21">
        <v>89100</v>
      </c>
      <c r="L1585" s="198">
        <v>1998</v>
      </c>
      <c r="M1585" s="198">
        <v>2013</v>
      </c>
      <c r="N1585" s="77" t="s">
        <v>2272</v>
      </c>
      <c r="O1585" s="19" t="s">
        <v>66</v>
      </c>
      <c r="P1585" s="19" t="s">
        <v>5181</v>
      </c>
      <c r="Q1585" s="198"/>
    </row>
    <row r="1586" spans="1:17" ht="46" customHeight="1">
      <c r="A1586" s="182">
        <v>432</v>
      </c>
      <c r="B1586" s="37" t="s">
        <v>10154</v>
      </c>
      <c r="C1586" s="11" t="s">
        <v>10155</v>
      </c>
      <c r="D1586" s="198" t="s">
        <v>2411</v>
      </c>
      <c r="E1586" s="198" t="s">
        <v>4842</v>
      </c>
      <c r="F1586" s="198" t="s">
        <v>2272</v>
      </c>
      <c r="G1586" s="198" t="s">
        <v>2272</v>
      </c>
      <c r="H1586" s="11" t="s">
        <v>112</v>
      </c>
      <c r="I1586" s="21">
        <v>29</v>
      </c>
      <c r="J1586" s="21">
        <v>110</v>
      </c>
      <c r="K1586" s="77">
        <v>9597000</v>
      </c>
      <c r="L1586" s="198">
        <v>1950</v>
      </c>
      <c r="M1586" s="198">
        <v>1999</v>
      </c>
      <c r="N1586" s="77" t="s">
        <v>2272</v>
      </c>
      <c r="O1586" s="19" t="s">
        <v>66</v>
      </c>
      <c r="P1586" s="19" t="s">
        <v>5181</v>
      </c>
      <c r="Q1586" s="198"/>
    </row>
    <row r="1587" spans="1:17" ht="46" customHeight="1">
      <c r="A1587" s="182">
        <v>432</v>
      </c>
      <c r="B1587" s="37" t="s">
        <v>10154</v>
      </c>
      <c r="C1587" s="11" t="s">
        <v>10167</v>
      </c>
      <c r="D1587" s="198" t="s">
        <v>2411</v>
      </c>
      <c r="E1587" s="198" t="s">
        <v>4842</v>
      </c>
      <c r="F1587" s="198" t="s">
        <v>2272</v>
      </c>
      <c r="G1587" s="22" t="s">
        <v>10178</v>
      </c>
      <c r="H1587" s="11" t="s">
        <v>112</v>
      </c>
      <c r="I1587" s="21">
        <v>40</v>
      </c>
      <c r="J1587" s="21">
        <v>105</v>
      </c>
      <c r="K1587" s="77">
        <f>1556061</f>
        <v>1556061</v>
      </c>
      <c r="L1587" s="198">
        <v>1950</v>
      </c>
      <c r="M1587" s="198">
        <v>1999</v>
      </c>
      <c r="N1587" s="77" t="s">
        <v>2272</v>
      </c>
      <c r="O1587" s="19" t="s">
        <v>66</v>
      </c>
      <c r="P1587" s="19" t="s">
        <v>5181</v>
      </c>
      <c r="Q1587" s="198" t="s">
        <v>10177</v>
      </c>
    </row>
    <row r="1588" spans="1:17" ht="46" customHeight="1">
      <c r="A1588" s="182">
        <v>432</v>
      </c>
      <c r="B1588" s="37" t="s">
        <v>10154</v>
      </c>
      <c r="C1588" s="11" t="s">
        <v>10168</v>
      </c>
      <c r="D1588" s="198" t="s">
        <v>2411</v>
      </c>
      <c r="E1588" s="198" t="s">
        <v>4842</v>
      </c>
      <c r="F1588" s="198" t="s">
        <v>2272</v>
      </c>
      <c r="G1588" s="22" t="s">
        <v>10179</v>
      </c>
      <c r="H1588" s="11" t="s">
        <v>112</v>
      </c>
      <c r="I1588" s="21">
        <v>28</v>
      </c>
      <c r="J1588" s="21">
        <v>119</v>
      </c>
      <c r="K1588" s="77">
        <f>795837</f>
        <v>795837</v>
      </c>
      <c r="L1588" s="198">
        <v>1950</v>
      </c>
      <c r="M1588" s="198">
        <v>1999</v>
      </c>
      <c r="N1588" s="77" t="s">
        <v>2272</v>
      </c>
      <c r="O1588" s="19" t="s">
        <v>66</v>
      </c>
      <c r="P1588" s="19" t="s">
        <v>5181</v>
      </c>
      <c r="Q1588" s="198" t="s">
        <v>10177</v>
      </c>
    </row>
    <row r="1589" spans="1:17" ht="46" customHeight="1">
      <c r="A1589" s="182">
        <v>432</v>
      </c>
      <c r="B1589" s="37" t="s">
        <v>10154</v>
      </c>
      <c r="C1589" s="11" t="s">
        <v>10169</v>
      </c>
      <c r="D1589" s="198" t="s">
        <v>2411</v>
      </c>
      <c r="E1589" s="198" t="s">
        <v>4842</v>
      </c>
      <c r="F1589" s="198" t="s">
        <v>2272</v>
      </c>
      <c r="G1589" s="22" t="s">
        <v>10173</v>
      </c>
      <c r="H1589" s="11" t="s">
        <v>112</v>
      </c>
      <c r="I1589" s="21">
        <v>47</v>
      </c>
      <c r="J1589" s="21">
        <v>126</v>
      </c>
      <c r="K1589" s="77">
        <f>SUM(145900, 187400, 454000)</f>
        <v>787300</v>
      </c>
      <c r="L1589" s="198">
        <v>1950</v>
      </c>
      <c r="M1589" s="198">
        <v>1999</v>
      </c>
      <c r="N1589" s="77" t="s">
        <v>2272</v>
      </c>
      <c r="O1589" s="19" t="s">
        <v>66</v>
      </c>
      <c r="P1589" s="19" t="s">
        <v>5181</v>
      </c>
      <c r="Q1589" s="198" t="s">
        <v>10177</v>
      </c>
    </row>
    <row r="1590" spans="1:17" ht="46" customHeight="1">
      <c r="A1590" s="182">
        <v>432</v>
      </c>
      <c r="B1590" s="37" t="s">
        <v>10154</v>
      </c>
      <c r="C1590" s="11" t="s">
        <v>10170</v>
      </c>
      <c r="D1590" s="198" t="s">
        <v>2411</v>
      </c>
      <c r="E1590" s="198" t="s">
        <v>4842</v>
      </c>
      <c r="F1590" s="198" t="s">
        <v>2272</v>
      </c>
      <c r="G1590" s="22" t="s">
        <v>10174</v>
      </c>
      <c r="H1590" s="11" t="s">
        <v>112</v>
      </c>
      <c r="I1590" s="21">
        <v>23</v>
      </c>
      <c r="J1590" s="21">
        <v>111</v>
      </c>
      <c r="K1590" s="77">
        <f>SUM(167000, 185900, 210000, 180000, 236000, 34000, 1104, 29)</f>
        <v>1014033</v>
      </c>
      <c r="L1590" s="198">
        <v>1950</v>
      </c>
      <c r="M1590" s="198">
        <v>1999</v>
      </c>
      <c r="N1590" s="77" t="s">
        <v>2272</v>
      </c>
      <c r="O1590" s="19" t="s">
        <v>66</v>
      </c>
      <c r="P1590" s="19" t="s">
        <v>5181</v>
      </c>
      <c r="Q1590" s="198" t="s">
        <v>10177</v>
      </c>
    </row>
    <row r="1591" spans="1:17" ht="46" customHeight="1">
      <c r="A1591" s="182">
        <v>432</v>
      </c>
      <c r="B1591" s="37" t="s">
        <v>10154</v>
      </c>
      <c r="C1591" s="11" t="s">
        <v>10171</v>
      </c>
      <c r="D1591" s="198" t="s">
        <v>2411</v>
      </c>
      <c r="E1591" s="198" t="s">
        <v>4842</v>
      </c>
      <c r="F1591" s="198" t="s">
        <v>2272</v>
      </c>
      <c r="G1591" s="22" t="s">
        <v>10175</v>
      </c>
      <c r="H1591" s="11" t="s">
        <v>112</v>
      </c>
      <c r="I1591" s="21">
        <v>38</v>
      </c>
      <c r="J1591" s="21">
        <v>95</v>
      </c>
      <c r="K1591" s="77">
        <f>SUM(205600, 454300, 721200, 66400, 1660400)</f>
        <v>3107900</v>
      </c>
      <c r="L1591" s="198">
        <v>1950</v>
      </c>
      <c r="M1591" s="198">
        <v>1999</v>
      </c>
      <c r="N1591" s="77" t="s">
        <v>2272</v>
      </c>
      <c r="O1591" s="19" t="s">
        <v>66</v>
      </c>
      <c r="P1591" s="19" t="s">
        <v>5181</v>
      </c>
      <c r="Q1591" s="198" t="s">
        <v>10177</v>
      </c>
    </row>
    <row r="1592" spans="1:17" ht="46" customHeight="1">
      <c r="A1592" s="182">
        <v>432</v>
      </c>
      <c r="B1592" s="37" t="s">
        <v>10154</v>
      </c>
      <c r="C1592" s="11" t="s">
        <v>10172</v>
      </c>
      <c r="D1592" s="198" t="s">
        <v>2411</v>
      </c>
      <c r="E1592" s="198" t="s">
        <v>4842</v>
      </c>
      <c r="F1592" s="198" t="s">
        <v>2272</v>
      </c>
      <c r="G1592" s="22" t="s">
        <v>10176</v>
      </c>
      <c r="H1592" s="11" t="s">
        <v>112</v>
      </c>
      <c r="I1592" s="21">
        <v>28.25</v>
      </c>
      <c r="J1592" s="21">
        <v>100.25</v>
      </c>
      <c r="K1592" s="77">
        <f>SUM(82300, 485000, 176000, 394000, 1228400)</f>
        <v>2365700</v>
      </c>
      <c r="L1592" s="198">
        <v>1950</v>
      </c>
      <c r="M1592" s="198">
        <v>1999</v>
      </c>
      <c r="N1592" s="77" t="s">
        <v>2272</v>
      </c>
      <c r="O1592" s="19" t="s">
        <v>66</v>
      </c>
      <c r="P1592" s="19" t="s">
        <v>5181</v>
      </c>
      <c r="Q1592" s="198" t="s">
        <v>10177</v>
      </c>
    </row>
    <row r="1593" spans="1:17" ht="43.5" customHeight="1">
      <c r="A1593" s="182">
        <v>433</v>
      </c>
      <c r="B1593" s="37" t="s">
        <v>10195</v>
      </c>
      <c r="C1593" s="11" t="s">
        <v>10196</v>
      </c>
      <c r="D1593" s="198" t="s">
        <v>2393</v>
      </c>
      <c r="E1593" s="198" t="s">
        <v>4842</v>
      </c>
      <c r="F1593" s="60" t="s">
        <v>10197</v>
      </c>
      <c r="G1593" s="198" t="s">
        <v>2272</v>
      </c>
      <c r="H1593" s="11" t="s">
        <v>4107</v>
      </c>
      <c r="I1593" s="21">
        <v>39</v>
      </c>
      <c r="J1593" s="21">
        <v>-93.5</v>
      </c>
      <c r="K1593" s="21">
        <v>780000</v>
      </c>
      <c r="L1593" s="11">
        <v>1990</v>
      </c>
      <c r="M1593" s="11">
        <v>2011</v>
      </c>
      <c r="N1593" s="77" t="s">
        <v>2272</v>
      </c>
      <c r="O1593" s="19" t="s">
        <v>66</v>
      </c>
      <c r="P1593" s="19" t="s">
        <v>5181</v>
      </c>
      <c r="Q1593" s="24" t="s">
        <v>10198</v>
      </c>
    </row>
    <row r="1594" spans="1:17" ht="46.5" customHeight="1">
      <c r="A1594" s="182">
        <v>434</v>
      </c>
      <c r="B1594" s="37" t="s">
        <v>10203</v>
      </c>
      <c r="C1594" s="11" t="s">
        <v>10204</v>
      </c>
      <c r="D1594" s="198" t="s">
        <v>2393</v>
      </c>
      <c r="E1594" s="198" t="s">
        <v>6791</v>
      </c>
      <c r="F1594" s="11" t="s">
        <v>10205</v>
      </c>
      <c r="G1594" s="11" t="s">
        <v>6135</v>
      </c>
      <c r="H1594" s="11" t="s">
        <v>4309</v>
      </c>
      <c r="I1594" s="21">
        <f>40+18/60</f>
        <v>40.299999999999997</v>
      </c>
      <c r="J1594" s="21">
        <f>-5-1/12</f>
        <v>-5.083333333333333</v>
      </c>
      <c r="K1594" s="21">
        <f>518331/100</f>
        <v>5183.3100000000004</v>
      </c>
      <c r="L1594" s="11">
        <v>1976</v>
      </c>
      <c r="M1594" s="11">
        <v>1990</v>
      </c>
      <c r="N1594" s="77" t="s">
        <v>2272</v>
      </c>
      <c r="O1594" s="19" t="s">
        <v>66</v>
      </c>
      <c r="P1594" s="19" t="s">
        <v>5181</v>
      </c>
      <c r="Q1594" s="198"/>
    </row>
    <row r="1595" spans="1:17" ht="47.5" customHeight="1">
      <c r="A1595" s="182">
        <v>435</v>
      </c>
      <c r="B1595" s="37" t="s">
        <v>10216</v>
      </c>
      <c r="C1595" s="11" t="s">
        <v>10217</v>
      </c>
      <c r="D1595" s="198" t="s">
        <v>2393</v>
      </c>
      <c r="E1595" s="198" t="s">
        <v>3660</v>
      </c>
      <c r="F1595" s="198" t="s">
        <v>2272</v>
      </c>
      <c r="G1595" s="198" t="s">
        <v>2272</v>
      </c>
      <c r="H1595" s="11" t="s">
        <v>4107</v>
      </c>
      <c r="I1595" s="21">
        <v>38</v>
      </c>
      <c r="J1595" s="21">
        <v>-103.5</v>
      </c>
      <c r="K1595" s="21">
        <v>9834000</v>
      </c>
      <c r="L1595" s="198">
        <v>1985</v>
      </c>
      <c r="M1595" s="198">
        <v>2005</v>
      </c>
      <c r="N1595" s="77" t="s">
        <v>2272</v>
      </c>
      <c r="O1595" s="19" t="s">
        <v>66</v>
      </c>
      <c r="P1595" s="19" t="s">
        <v>5181</v>
      </c>
      <c r="Q1595" s="4" t="s">
        <v>10218</v>
      </c>
    </row>
    <row r="1596" spans="1:17" ht="44.5" customHeight="1">
      <c r="A1596" s="182">
        <v>436</v>
      </c>
      <c r="B1596" s="37" t="s">
        <v>10233</v>
      </c>
      <c r="C1596" s="11" t="s">
        <v>10234</v>
      </c>
      <c r="D1596" s="198" t="s">
        <v>2393</v>
      </c>
      <c r="E1596" s="198" t="s">
        <v>3660</v>
      </c>
      <c r="F1596" s="198" t="s">
        <v>2272</v>
      </c>
      <c r="G1596" s="198" t="s">
        <v>10235</v>
      </c>
      <c r="H1596" s="198" t="s">
        <v>5367</v>
      </c>
      <c r="I1596" s="21">
        <v>50</v>
      </c>
      <c r="J1596" s="21">
        <v>-70</v>
      </c>
      <c r="K1596" s="21" t="s">
        <v>2272</v>
      </c>
      <c r="L1596" s="198">
        <v>1950</v>
      </c>
      <c r="M1596" s="198">
        <v>2012</v>
      </c>
      <c r="N1596" s="77" t="s">
        <v>2272</v>
      </c>
      <c r="O1596" s="19" t="s">
        <v>66</v>
      </c>
      <c r="P1596" s="19" t="s">
        <v>5181</v>
      </c>
      <c r="Q1596" s="198" t="s">
        <v>10239</v>
      </c>
    </row>
    <row r="1597" spans="1:17" ht="44.5" customHeight="1">
      <c r="A1597" s="182">
        <v>436</v>
      </c>
      <c r="B1597" s="38" t="s">
        <v>10238</v>
      </c>
      <c r="C1597" s="11" t="s">
        <v>10236</v>
      </c>
      <c r="D1597" s="198" t="s">
        <v>2393</v>
      </c>
      <c r="E1597" s="198" t="s">
        <v>2631</v>
      </c>
      <c r="F1597" s="198" t="s">
        <v>2272</v>
      </c>
      <c r="G1597" s="198" t="s">
        <v>10237</v>
      </c>
      <c r="H1597" s="198" t="s">
        <v>5367</v>
      </c>
      <c r="I1597" s="21">
        <v>57.5</v>
      </c>
      <c r="J1597" s="21">
        <v>-115</v>
      </c>
      <c r="K1597" s="21" t="s">
        <v>2272</v>
      </c>
      <c r="L1597" s="198">
        <v>2004</v>
      </c>
      <c r="M1597" s="198">
        <v>2004</v>
      </c>
      <c r="N1597" s="77" t="s">
        <v>2272</v>
      </c>
      <c r="O1597" s="19" t="s">
        <v>66</v>
      </c>
      <c r="P1597" s="19" t="s">
        <v>5181</v>
      </c>
      <c r="Q1597" s="198" t="s">
        <v>10239</v>
      </c>
    </row>
    <row r="1598" spans="1:17" ht="52.5" customHeight="1">
      <c r="A1598" s="182">
        <v>437</v>
      </c>
      <c r="B1598" s="53" t="s">
        <v>10245</v>
      </c>
      <c r="C1598" s="11" t="s">
        <v>10244</v>
      </c>
      <c r="D1598" s="11" t="s">
        <v>2393</v>
      </c>
      <c r="E1598" s="11" t="s">
        <v>2417</v>
      </c>
      <c r="F1598" s="11" t="s">
        <v>2272</v>
      </c>
      <c r="G1598" s="4" t="s">
        <v>2272</v>
      </c>
      <c r="H1598" s="4" t="s">
        <v>6105</v>
      </c>
      <c r="I1598" s="70">
        <v>39.811516699999999</v>
      </c>
      <c r="J1598" s="70">
        <v>-7.4631071000000002</v>
      </c>
      <c r="K1598" s="71">
        <v>90000</v>
      </c>
      <c r="L1598" s="11">
        <v>2002</v>
      </c>
      <c r="M1598" s="11">
        <v>2007</v>
      </c>
      <c r="N1598" s="77" t="s">
        <v>2272</v>
      </c>
      <c r="O1598" s="19" t="s">
        <v>66</v>
      </c>
      <c r="P1598" s="19" t="s">
        <v>5181</v>
      </c>
      <c r="Q1598" s="11"/>
    </row>
    <row r="1599" spans="1:17" ht="46" customHeight="1">
      <c r="A1599" s="182">
        <v>437</v>
      </c>
      <c r="B1599" s="53" t="s">
        <v>10245</v>
      </c>
      <c r="C1599" s="11" t="s">
        <v>10249</v>
      </c>
      <c r="D1599" s="11" t="s">
        <v>2393</v>
      </c>
      <c r="E1599" s="11" t="s">
        <v>4842</v>
      </c>
      <c r="F1599" s="11" t="s">
        <v>2272</v>
      </c>
      <c r="G1599" s="4" t="s">
        <v>4936</v>
      </c>
      <c r="H1599" s="11" t="s">
        <v>4937</v>
      </c>
      <c r="I1599" s="21">
        <v>40</v>
      </c>
      <c r="J1599" s="21">
        <v>9</v>
      </c>
      <c r="K1599" s="21">
        <v>24090</v>
      </c>
      <c r="L1599" s="198">
        <v>2000</v>
      </c>
      <c r="M1599" s="198">
        <v>2004</v>
      </c>
      <c r="N1599" s="77" t="s">
        <v>2272</v>
      </c>
      <c r="O1599" s="19" t="s">
        <v>66</v>
      </c>
      <c r="P1599" s="19" t="s">
        <v>5181</v>
      </c>
      <c r="Q1599" s="198"/>
    </row>
    <row r="1600" spans="1:17" ht="49" customHeight="1">
      <c r="A1600" s="182">
        <v>437</v>
      </c>
      <c r="B1600" s="53" t="s">
        <v>10245</v>
      </c>
      <c r="C1600" s="11" t="s">
        <v>10250</v>
      </c>
      <c r="D1600" s="11" t="s">
        <v>2393</v>
      </c>
      <c r="E1600" s="11" t="s">
        <v>4842</v>
      </c>
      <c r="F1600" s="11" t="s">
        <v>2272</v>
      </c>
      <c r="G1600" s="198" t="s">
        <v>7394</v>
      </c>
      <c r="H1600" s="11" t="s">
        <v>6105</v>
      </c>
      <c r="I1600" s="21">
        <v>40.25</v>
      </c>
      <c r="J1600" s="21">
        <v>-8.25</v>
      </c>
      <c r="K1600" s="21">
        <v>3947</v>
      </c>
      <c r="L1600" s="198">
        <v>2001</v>
      </c>
      <c r="M1600" s="198">
        <v>2005</v>
      </c>
      <c r="N1600" s="77" t="s">
        <v>2272</v>
      </c>
      <c r="O1600" s="19" t="s">
        <v>66</v>
      </c>
      <c r="P1600" s="19" t="s">
        <v>5181</v>
      </c>
      <c r="Q1600" s="198"/>
    </row>
    <row r="1601" spans="1:17" ht="52" customHeight="1">
      <c r="A1601" s="182">
        <v>437</v>
      </c>
      <c r="B1601" s="53" t="s">
        <v>10245</v>
      </c>
      <c r="C1601" s="11" t="s">
        <v>10251</v>
      </c>
      <c r="D1601" s="11" t="s">
        <v>2393</v>
      </c>
      <c r="E1601" s="11" t="s">
        <v>4842</v>
      </c>
      <c r="F1601" s="11" t="s">
        <v>2272</v>
      </c>
      <c r="G1601" s="139" t="s">
        <v>10252</v>
      </c>
      <c r="H1601" s="11" t="s">
        <v>6839</v>
      </c>
      <c r="I1601" s="21">
        <v>46.5</v>
      </c>
      <c r="J1601" s="21">
        <v>9</v>
      </c>
      <c r="K1601" s="21">
        <v>10994</v>
      </c>
      <c r="L1601" s="198">
        <v>1982</v>
      </c>
      <c r="M1601" s="198">
        <v>2005</v>
      </c>
      <c r="N1601" s="77" t="s">
        <v>2272</v>
      </c>
      <c r="O1601" s="19" t="s">
        <v>66</v>
      </c>
      <c r="P1601" s="19" t="s">
        <v>5181</v>
      </c>
      <c r="Q1601" s="198" t="s">
        <v>10253</v>
      </c>
    </row>
    <row r="1602" spans="1:17" ht="48" customHeight="1">
      <c r="A1602" s="182">
        <v>438</v>
      </c>
      <c r="B1602" s="37" t="s">
        <v>10254</v>
      </c>
      <c r="C1602" s="11" t="s">
        <v>10255</v>
      </c>
      <c r="D1602" s="11" t="s">
        <v>2393</v>
      </c>
      <c r="E1602" s="198" t="s">
        <v>4842</v>
      </c>
      <c r="F1602" s="11" t="s">
        <v>10256</v>
      </c>
      <c r="G1602" s="198" t="s">
        <v>6381</v>
      </c>
      <c r="H1602" s="11" t="s">
        <v>5367</v>
      </c>
      <c r="I1602" s="21">
        <v>56</v>
      </c>
      <c r="J1602" s="21">
        <v>-111</v>
      </c>
      <c r="K1602" s="21">
        <f>9350000/100</f>
        <v>93500</v>
      </c>
      <c r="L1602" s="198">
        <v>1968</v>
      </c>
      <c r="M1602" s="198">
        <v>1996</v>
      </c>
      <c r="N1602" s="77" t="s">
        <v>2272</v>
      </c>
      <c r="O1602" s="19" t="s">
        <v>66</v>
      </c>
      <c r="P1602" s="19" t="s">
        <v>5181</v>
      </c>
      <c r="Q1602" s="198"/>
    </row>
    <row r="1603" spans="1:17" ht="47.5" customHeight="1">
      <c r="A1603" s="182">
        <v>439</v>
      </c>
      <c r="B1603" s="37" t="s">
        <v>10269</v>
      </c>
      <c r="C1603" s="11" t="s">
        <v>10267</v>
      </c>
      <c r="D1603" s="198" t="s">
        <v>2629</v>
      </c>
      <c r="E1603" s="198" t="s">
        <v>2409</v>
      </c>
      <c r="F1603" s="198" t="s">
        <v>2272</v>
      </c>
      <c r="G1603" s="198" t="s">
        <v>10268</v>
      </c>
      <c r="H1603" s="11" t="s">
        <v>6317</v>
      </c>
      <c r="I1603" s="21">
        <v>67</v>
      </c>
      <c r="J1603" s="21">
        <v>128.5</v>
      </c>
      <c r="K1603" s="198" t="s">
        <v>2272</v>
      </c>
      <c r="L1603" s="198">
        <v>2020</v>
      </c>
      <c r="M1603" s="198">
        <v>2020</v>
      </c>
      <c r="N1603" s="77" t="s">
        <v>2272</v>
      </c>
      <c r="O1603" s="19" t="s">
        <v>66</v>
      </c>
      <c r="P1603" s="19" t="s">
        <v>5181</v>
      </c>
      <c r="Q1603" s="4" t="s">
        <v>10270</v>
      </c>
    </row>
    <row r="1604" spans="1:17" ht="65.5" customHeight="1">
      <c r="A1604" s="182">
        <v>440</v>
      </c>
      <c r="B1604" s="37" t="s">
        <v>10273</v>
      </c>
      <c r="C1604" s="11" t="s">
        <v>10274</v>
      </c>
      <c r="D1604" s="198" t="s">
        <v>2393</v>
      </c>
      <c r="E1604" s="198" t="s">
        <v>2409</v>
      </c>
      <c r="F1604" s="4" t="s">
        <v>10276</v>
      </c>
      <c r="G1604" s="198" t="s">
        <v>10275</v>
      </c>
      <c r="H1604" s="198" t="s">
        <v>4107</v>
      </c>
      <c r="I1604" s="21">
        <v>45.25</v>
      </c>
      <c r="J1604" s="21">
        <v>-88.5</v>
      </c>
      <c r="K1604" s="21">
        <v>780</v>
      </c>
      <c r="L1604" s="198">
        <v>2000</v>
      </c>
      <c r="M1604" s="198">
        <v>2008</v>
      </c>
      <c r="N1604" s="77" t="s">
        <v>2272</v>
      </c>
      <c r="O1604" s="19" t="s">
        <v>66</v>
      </c>
      <c r="P1604" s="19" t="s">
        <v>5181</v>
      </c>
      <c r="Q1604" s="4" t="s">
        <v>10277</v>
      </c>
    </row>
    <row r="1605" spans="1:17" ht="65" customHeight="1">
      <c r="A1605" s="182">
        <v>441</v>
      </c>
      <c r="B1605" s="37" t="s">
        <v>10287</v>
      </c>
      <c r="C1605" s="11" t="s">
        <v>10288</v>
      </c>
      <c r="D1605" s="198" t="s">
        <v>2393</v>
      </c>
      <c r="E1605" s="198" t="s">
        <v>4842</v>
      </c>
      <c r="F1605" s="11" t="s">
        <v>10289</v>
      </c>
      <c r="G1605" s="198" t="s">
        <v>10275</v>
      </c>
      <c r="H1605" s="11" t="s">
        <v>4107</v>
      </c>
      <c r="I1605" s="21">
        <v>45</v>
      </c>
      <c r="J1605" s="21">
        <v>90</v>
      </c>
      <c r="K1605" s="21">
        <v>58000</v>
      </c>
      <c r="L1605" s="11">
        <v>1985</v>
      </c>
      <c r="M1605" s="11">
        <v>2000</v>
      </c>
      <c r="N1605" s="77" t="s">
        <v>2272</v>
      </c>
      <c r="O1605" s="19" t="s">
        <v>66</v>
      </c>
      <c r="P1605" s="19" t="s">
        <v>5181</v>
      </c>
      <c r="Q1605" s="198"/>
    </row>
    <row r="1606" spans="1:17" ht="43" customHeight="1">
      <c r="A1606" s="182">
        <v>442</v>
      </c>
      <c r="B1606" s="37" t="s">
        <v>10303</v>
      </c>
      <c r="C1606" s="11" t="s">
        <v>10304</v>
      </c>
      <c r="D1606" s="198" t="s">
        <v>2393</v>
      </c>
      <c r="E1606" s="198" t="s">
        <v>4842</v>
      </c>
      <c r="F1606" s="11" t="s">
        <v>10305</v>
      </c>
      <c r="G1606" s="11" t="s">
        <v>10306</v>
      </c>
      <c r="H1606" s="11" t="s">
        <v>4107</v>
      </c>
      <c r="I1606" s="21">
        <v>47.5</v>
      </c>
      <c r="J1606" s="21">
        <v>-94</v>
      </c>
      <c r="K1606" s="198">
        <f>280000/3</f>
        <v>93333.333333333328</v>
      </c>
      <c r="L1606" s="11">
        <v>1985</v>
      </c>
      <c r="M1606" s="198">
        <v>1995</v>
      </c>
      <c r="N1606" s="77" t="s">
        <v>2272</v>
      </c>
      <c r="O1606" s="19" t="s">
        <v>66</v>
      </c>
      <c r="P1606" s="19" t="s">
        <v>5181</v>
      </c>
      <c r="Q1606" s="4" t="s">
        <v>10310</v>
      </c>
    </row>
    <row r="1607" spans="1:17" ht="43" customHeight="1">
      <c r="A1607" s="182">
        <v>442</v>
      </c>
      <c r="B1607" s="37" t="s">
        <v>10303</v>
      </c>
      <c r="C1607" s="11" t="s">
        <v>10308</v>
      </c>
      <c r="D1607" s="198" t="s">
        <v>2393</v>
      </c>
      <c r="E1607" s="198" t="s">
        <v>4842</v>
      </c>
      <c r="F1607" s="11" t="s">
        <v>10305</v>
      </c>
      <c r="G1607" s="11" t="s">
        <v>10275</v>
      </c>
      <c r="H1607" s="11" t="s">
        <v>4107</v>
      </c>
      <c r="I1607" s="21">
        <f>45.75</f>
        <v>45.75</v>
      </c>
      <c r="J1607" s="21">
        <v>-90</v>
      </c>
      <c r="K1607" s="198">
        <f t="shared" ref="K1607:K1608" si="21">280000/3</f>
        <v>93333.333333333328</v>
      </c>
      <c r="L1607" s="11">
        <v>1985</v>
      </c>
      <c r="M1607" s="198">
        <v>1995</v>
      </c>
      <c r="N1607" s="77" t="s">
        <v>2272</v>
      </c>
      <c r="O1607" s="19" t="s">
        <v>66</v>
      </c>
      <c r="P1607" s="19" t="s">
        <v>5181</v>
      </c>
      <c r="Q1607" s="4" t="s">
        <v>10310</v>
      </c>
    </row>
    <row r="1608" spans="1:17" ht="43" customHeight="1">
      <c r="A1608" s="182">
        <v>442</v>
      </c>
      <c r="B1608" s="37" t="s">
        <v>10303</v>
      </c>
      <c r="C1608" s="11" t="s">
        <v>10309</v>
      </c>
      <c r="D1608" s="198" t="s">
        <v>2393</v>
      </c>
      <c r="E1608" s="198" t="s">
        <v>4842</v>
      </c>
      <c r="F1608" s="11" t="s">
        <v>10305</v>
      </c>
      <c r="G1608" s="11" t="s">
        <v>10307</v>
      </c>
      <c r="H1608" s="11" t="s">
        <v>4107</v>
      </c>
      <c r="I1608" s="21">
        <v>45</v>
      </c>
      <c r="J1608" s="21">
        <v>-85</v>
      </c>
      <c r="K1608" s="198">
        <f t="shared" si="21"/>
        <v>93333.333333333328</v>
      </c>
      <c r="L1608" s="11">
        <v>1985</v>
      </c>
      <c r="M1608" s="198">
        <v>1995</v>
      </c>
      <c r="N1608" s="77" t="s">
        <v>2272</v>
      </c>
      <c r="O1608" s="19" t="s">
        <v>66</v>
      </c>
      <c r="P1608" s="19" t="s">
        <v>5181</v>
      </c>
      <c r="Q1608" s="4" t="s">
        <v>10310</v>
      </c>
    </row>
    <row r="1609" spans="1:17" ht="46" customHeight="1">
      <c r="A1609" s="182">
        <v>443</v>
      </c>
      <c r="B1609" s="37" t="s">
        <v>10347</v>
      </c>
      <c r="C1609" s="11" t="s">
        <v>10348</v>
      </c>
      <c r="D1609" s="198" t="s">
        <v>2393</v>
      </c>
      <c r="E1609" s="198" t="s">
        <v>2631</v>
      </c>
      <c r="F1609" s="11" t="s">
        <v>2272</v>
      </c>
      <c r="G1609" s="11" t="s">
        <v>10349</v>
      </c>
      <c r="H1609" s="11" t="s">
        <v>3765</v>
      </c>
      <c r="I1609" s="21">
        <v>-33.75</v>
      </c>
      <c r="J1609" s="21">
        <v>18.75</v>
      </c>
      <c r="K1609" s="77" t="s">
        <v>2272</v>
      </c>
      <c r="L1609" s="11">
        <v>1970</v>
      </c>
      <c r="M1609" s="11">
        <v>2010</v>
      </c>
      <c r="N1609" s="77" t="s">
        <v>2272</v>
      </c>
      <c r="O1609" s="19" t="s">
        <v>66</v>
      </c>
      <c r="P1609" s="19" t="s">
        <v>5181</v>
      </c>
      <c r="Q1609" s="198"/>
    </row>
    <row r="1610" spans="1:17" ht="50.5" customHeight="1">
      <c r="A1610" s="182">
        <v>443</v>
      </c>
      <c r="B1610" s="37" t="s">
        <v>10347</v>
      </c>
      <c r="C1610" s="11" t="s">
        <v>10354</v>
      </c>
      <c r="D1610" s="198" t="s">
        <v>2393</v>
      </c>
      <c r="E1610" s="198" t="s">
        <v>2631</v>
      </c>
      <c r="F1610" s="198" t="s">
        <v>10355</v>
      </c>
      <c r="G1610" s="11" t="s">
        <v>10349</v>
      </c>
      <c r="H1610" s="11" t="s">
        <v>3765</v>
      </c>
      <c r="I1610" s="21">
        <f>-34-4/60</f>
        <v>-34.06666666666667</v>
      </c>
      <c r="J1610" s="21">
        <f>20.5</f>
        <v>20.5</v>
      </c>
      <c r="K1610" s="77" t="s">
        <v>2272</v>
      </c>
      <c r="L1610" s="11">
        <v>1970</v>
      </c>
      <c r="M1610" s="11">
        <v>2010</v>
      </c>
      <c r="N1610" s="77" t="s">
        <v>2272</v>
      </c>
      <c r="O1610" s="19" t="s">
        <v>66</v>
      </c>
      <c r="P1610" s="19" t="s">
        <v>5181</v>
      </c>
      <c r="Q1610" s="198"/>
    </row>
    <row r="1611" spans="1:17" ht="37.5" customHeight="1">
      <c r="A1611" s="182">
        <v>444</v>
      </c>
      <c r="B1611" s="37" t="s">
        <v>10361</v>
      </c>
      <c r="C1611" s="11" t="s">
        <v>10362</v>
      </c>
      <c r="D1611" s="198" t="s">
        <v>2393</v>
      </c>
      <c r="E1611" s="198" t="s">
        <v>4842</v>
      </c>
      <c r="F1611" s="11" t="s">
        <v>10363</v>
      </c>
      <c r="G1611" s="11" t="s">
        <v>10349</v>
      </c>
      <c r="H1611" s="11" t="s">
        <v>3765</v>
      </c>
      <c r="I1611" s="21">
        <f>-34-9/60</f>
        <v>-34.15</v>
      </c>
      <c r="J1611" s="21">
        <f>18+23/60</f>
        <v>18.383333333333333</v>
      </c>
      <c r="K1611" s="21">
        <f>26554/100</f>
        <v>265.54000000000002</v>
      </c>
      <c r="L1611" s="11">
        <v>1970</v>
      </c>
      <c r="M1611" s="11">
        <v>2007</v>
      </c>
      <c r="N1611" s="77" t="s">
        <v>2272</v>
      </c>
      <c r="O1611" s="19" t="s">
        <v>66</v>
      </c>
      <c r="P1611" s="19" t="s">
        <v>5181</v>
      </c>
      <c r="Q1611" s="198"/>
    </row>
    <row r="1612" spans="1:17" ht="37.5" customHeight="1">
      <c r="A1612" s="182">
        <v>444</v>
      </c>
      <c r="B1612" s="37" t="s">
        <v>10361</v>
      </c>
      <c r="C1612" s="11" t="s">
        <v>10373</v>
      </c>
      <c r="D1612" s="198" t="s">
        <v>2393</v>
      </c>
      <c r="E1612" s="198" t="s">
        <v>4842</v>
      </c>
      <c r="F1612" s="11" t="s">
        <v>10364</v>
      </c>
      <c r="G1612" s="11" t="s">
        <v>10349</v>
      </c>
      <c r="H1612" s="11" t="s">
        <v>3765</v>
      </c>
      <c r="I1612" s="21">
        <f>-34-16/60</f>
        <v>-34.266666666666666</v>
      </c>
      <c r="J1612" s="21">
        <f>18+56/60</f>
        <v>18.933333333333334</v>
      </c>
      <c r="K1612" s="21">
        <f>37851/100</f>
        <v>378.51</v>
      </c>
      <c r="L1612" s="11">
        <v>1970</v>
      </c>
      <c r="M1612" s="11">
        <v>2007</v>
      </c>
      <c r="N1612" s="77" t="s">
        <v>2272</v>
      </c>
      <c r="O1612" s="19" t="s">
        <v>66</v>
      </c>
      <c r="P1612" s="19" t="s">
        <v>5181</v>
      </c>
      <c r="Q1612" s="198"/>
    </row>
    <row r="1613" spans="1:17" ht="37.5" customHeight="1">
      <c r="A1613" s="182">
        <v>444</v>
      </c>
      <c r="B1613" s="37" t="s">
        <v>10361</v>
      </c>
      <c r="C1613" s="11" t="s">
        <v>10374</v>
      </c>
      <c r="D1613" s="198" t="s">
        <v>2393</v>
      </c>
      <c r="E1613" s="198" t="s">
        <v>4842</v>
      </c>
      <c r="F1613" s="11" t="s">
        <v>10365</v>
      </c>
      <c r="G1613" s="11" t="s">
        <v>10349</v>
      </c>
      <c r="H1613" s="11" t="s">
        <v>3765</v>
      </c>
      <c r="I1613" s="21">
        <f>-34</f>
        <v>-34</v>
      </c>
      <c r="J1613" s="21">
        <f>19+34/60</f>
        <v>19.566666666666666</v>
      </c>
      <c r="K1613" s="21">
        <f>690.46</f>
        <v>690.46</v>
      </c>
      <c r="L1613" s="11">
        <v>1970</v>
      </c>
      <c r="M1613" s="11">
        <v>2007</v>
      </c>
      <c r="N1613" s="77" t="s">
        <v>2272</v>
      </c>
      <c r="O1613" s="19" t="s">
        <v>66</v>
      </c>
      <c r="P1613" s="19" t="s">
        <v>5181</v>
      </c>
      <c r="Q1613" s="198"/>
    </row>
    <row r="1614" spans="1:17" ht="37.5" customHeight="1">
      <c r="A1614" s="182">
        <v>444</v>
      </c>
      <c r="B1614" s="37" t="s">
        <v>10361</v>
      </c>
      <c r="C1614" s="11" t="s">
        <v>10375</v>
      </c>
      <c r="D1614" s="198" t="s">
        <v>2393</v>
      </c>
      <c r="E1614" s="198" t="s">
        <v>4842</v>
      </c>
      <c r="F1614" s="11" t="s">
        <v>10366</v>
      </c>
      <c r="G1614" s="11" t="s">
        <v>10349</v>
      </c>
      <c r="H1614" s="11" t="s">
        <v>3765</v>
      </c>
      <c r="I1614" s="21">
        <f>-34-7/60</f>
        <v>-34.116666666666667</v>
      </c>
      <c r="J1614" s="21">
        <f>19+8/60</f>
        <v>19.133333333333333</v>
      </c>
      <c r="K1614" s="21">
        <v>599.36</v>
      </c>
      <c r="L1614" s="198">
        <v>1972</v>
      </c>
      <c r="M1614" s="11">
        <v>2007</v>
      </c>
      <c r="N1614" s="77" t="s">
        <v>2272</v>
      </c>
      <c r="O1614" s="19" t="s">
        <v>66</v>
      </c>
      <c r="P1614" s="19" t="s">
        <v>5181</v>
      </c>
      <c r="Q1614" s="198"/>
    </row>
    <row r="1615" spans="1:17" ht="37.5" customHeight="1">
      <c r="A1615" s="182">
        <v>444</v>
      </c>
      <c r="B1615" s="37" t="s">
        <v>10361</v>
      </c>
      <c r="C1615" s="11" t="s">
        <v>10376</v>
      </c>
      <c r="D1615" s="198" t="s">
        <v>2393</v>
      </c>
      <c r="E1615" s="198" t="s">
        <v>4842</v>
      </c>
      <c r="F1615" s="11" t="s">
        <v>10367</v>
      </c>
      <c r="G1615" s="11" t="s">
        <v>10349</v>
      </c>
      <c r="H1615" s="11" t="s">
        <v>3765</v>
      </c>
      <c r="I1615" s="21">
        <f>-33-21/60</f>
        <v>-33.35</v>
      </c>
      <c r="J1615" s="21">
        <f>19+5/60</f>
        <v>19.083333333333332</v>
      </c>
      <c r="K1615" s="21">
        <v>1080.55</v>
      </c>
      <c r="L1615" s="198">
        <v>1974</v>
      </c>
      <c r="M1615" s="11">
        <v>2007</v>
      </c>
      <c r="N1615" s="77" t="s">
        <v>2272</v>
      </c>
      <c r="O1615" s="19" t="s">
        <v>66</v>
      </c>
      <c r="P1615" s="19" t="s">
        <v>5181</v>
      </c>
      <c r="Q1615" s="198"/>
    </row>
    <row r="1616" spans="1:17" ht="37.5" customHeight="1">
      <c r="A1616" s="182">
        <v>444</v>
      </c>
      <c r="B1616" s="37" t="s">
        <v>10361</v>
      </c>
      <c r="C1616" s="11" t="s">
        <v>10377</v>
      </c>
      <c r="D1616" s="198" t="s">
        <v>2393</v>
      </c>
      <c r="E1616" s="198" t="s">
        <v>4842</v>
      </c>
      <c r="F1616" s="11" t="s">
        <v>10368</v>
      </c>
      <c r="G1616" s="11" t="s">
        <v>10349</v>
      </c>
      <c r="H1616" s="11" t="s">
        <v>3765</v>
      </c>
      <c r="I1616" s="21">
        <f>-33-31/60</f>
        <v>-33.516666666666666</v>
      </c>
      <c r="J1616" s="21">
        <f>19+9/60</f>
        <v>19.149999999999999</v>
      </c>
      <c r="K1616" s="21">
        <v>900.44</v>
      </c>
      <c r="L1616" s="11">
        <v>1970</v>
      </c>
      <c r="M1616" s="198">
        <v>2005</v>
      </c>
      <c r="N1616" s="77" t="s">
        <v>2272</v>
      </c>
      <c r="O1616" s="19" t="s">
        <v>66</v>
      </c>
      <c r="P1616" s="19" t="s">
        <v>5181</v>
      </c>
      <c r="Q1616" s="198"/>
    </row>
    <row r="1617" spans="1:17" ht="37.5" customHeight="1">
      <c r="A1617" s="182">
        <v>444</v>
      </c>
      <c r="B1617" s="37" t="s">
        <v>10361</v>
      </c>
      <c r="C1617" s="11" t="s">
        <v>10378</v>
      </c>
      <c r="D1617" s="198" t="s">
        <v>2393</v>
      </c>
      <c r="E1617" s="198" t="s">
        <v>4842</v>
      </c>
      <c r="F1617" s="11" t="s">
        <v>10369</v>
      </c>
      <c r="G1617" s="11" t="s">
        <v>10349</v>
      </c>
      <c r="H1617" s="11" t="s">
        <v>3765</v>
      </c>
      <c r="I1617" s="21">
        <f>-32-30/60</f>
        <v>-32.5</v>
      </c>
      <c r="J1617" s="21">
        <f>19</f>
        <v>19</v>
      </c>
      <c r="K1617" s="21">
        <v>1227.3499999999999</v>
      </c>
      <c r="L1617" s="11">
        <v>1970</v>
      </c>
      <c r="M1617" s="198">
        <v>2006</v>
      </c>
      <c r="N1617" s="77" t="s">
        <v>2272</v>
      </c>
      <c r="O1617" s="19" t="s">
        <v>66</v>
      </c>
      <c r="P1617" s="19" t="s">
        <v>5181</v>
      </c>
      <c r="Q1617" s="198"/>
    </row>
    <row r="1618" spans="1:17" ht="37.5" customHeight="1">
      <c r="A1618" s="182">
        <v>444</v>
      </c>
      <c r="B1618" s="37" t="s">
        <v>10361</v>
      </c>
      <c r="C1618" s="11" t="s">
        <v>10379</v>
      </c>
      <c r="D1618" s="198" t="s">
        <v>2393</v>
      </c>
      <c r="E1618" s="198" t="s">
        <v>4842</v>
      </c>
      <c r="F1618" s="11" t="s">
        <v>10370</v>
      </c>
      <c r="G1618" s="11" t="s">
        <v>10349</v>
      </c>
      <c r="H1618" s="11" t="s">
        <v>3765</v>
      </c>
      <c r="I1618" s="21">
        <f>-33-52/60</f>
        <v>-33.866666666666667</v>
      </c>
      <c r="J1618" s="21">
        <f>22+36/60</f>
        <v>22.6</v>
      </c>
      <c r="K1618" s="21">
        <v>419.62</v>
      </c>
      <c r="L1618" s="11">
        <v>1970</v>
      </c>
      <c r="M1618" s="198">
        <v>2006</v>
      </c>
      <c r="N1618" s="77" t="s">
        <v>2272</v>
      </c>
      <c r="O1618" s="19" t="s">
        <v>66</v>
      </c>
      <c r="P1618" s="19" t="s">
        <v>5181</v>
      </c>
      <c r="Q1618" s="198"/>
    </row>
    <row r="1619" spans="1:17" ht="37.5" customHeight="1">
      <c r="A1619" s="182">
        <v>444</v>
      </c>
      <c r="B1619" s="37" t="s">
        <v>10361</v>
      </c>
      <c r="C1619" s="11" t="s">
        <v>10380</v>
      </c>
      <c r="D1619" s="198" t="s">
        <v>2393</v>
      </c>
      <c r="E1619" s="198" t="s">
        <v>4842</v>
      </c>
      <c r="F1619" s="11" t="s">
        <v>10371</v>
      </c>
      <c r="G1619" s="11" t="s">
        <v>10349</v>
      </c>
      <c r="H1619" s="11" t="s">
        <v>3765</v>
      </c>
      <c r="I1619" s="21">
        <f>-33-35/60</f>
        <v>-33.583333333333336</v>
      </c>
      <c r="J1619" s="21">
        <f>22+51/60</f>
        <v>22.85</v>
      </c>
      <c r="K1619" s="21">
        <v>495.91</v>
      </c>
      <c r="L1619" s="11">
        <v>1970</v>
      </c>
      <c r="M1619" s="198">
        <v>2006</v>
      </c>
      <c r="N1619" s="77" t="s">
        <v>2272</v>
      </c>
      <c r="O1619" s="19" t="s">
        <v>66</v>
      </c>
      <c r="P1619" s="19" t="s">
        <v>5181</v>
      </c>
      <c r="Q1619" s="198"/>
    </row>
    <row r="1620" spans="1:17" ht="37.5" customHeight="1">
      <c r="A1620" s="182">
        <v>444</v>
      </c>
      <c r="B1620" s="37" t="s">
        <v>10361</v>
      </c>
      <c r="C1620" s="11" t="s">
        <v>10381</v>
      </c>
      <c r="D1620" s="198" t="s">
        <v>2393</v>
      </c>
      <c r="E1620" s="198" t="s">
        <v>4842</v>
      </c>
      <c r="F1620" s="11" t="s">
        <v>10372</v>
      </c>
      <c r="G1620" s="11" t="s">
        <v>10349</v>
      </c>
      <c r="H1620" s="11" t="s">
        <v>3765</v>
      </c>
      <c r="I1620" s="21">
        <f>-33-21/60</f>
        <v>-33.35</v>
      </c>
      <c r="J1620" s="21">
        <f>22+19/60</f>
        <v>22.316666666666666</v>
      </c>
      <c r="K1620" s="21">
        <v>1204.1600000000001</v>
      </c>
      <c r="L1620" s="11">
        <v>1970</v>
      </c>
      <c r="M1620" s="198">
        <v>2006</v>
      </c>
      <c r="N1620" s="77" t="s">
        <v>2272</v>
      </c>
      <c r="O1620" s="19" t="s">
        <v>66</v>
      </c>
      <c r="P1620" s="19" t="s">
        <v>5181</v>
      </c>
      <c r="Q1620" s="198"/>
    </row>
    <row r="1621" spans="1:17" ht="52" customHeight="1">
      <c r="A1621" s="182">
        <v>445</v>
      </c>
      <c r="B1621" s="37" t="s">
        <v>10405</v>
      </c>
      <c r="C1621" s="11" t="s">
        <v>10406</v>
      </c>
      <c r="D1621" s="198" t="s">
        <v>2393</v>
      </c>
      <c r="E1621" s="198" t="s">
        <v>4842</v>
      </c>
      <c r="F1621" s="11" t="s">
        <v>4582</v>
      </c>
      <c r="G1621" s="11" t="s">
        <v>8564</v>
      </c>
      <c r="H1621" s="11" t="s">
        <v>3765</v>
      </c>
      <c r="I1621" s="21">
        <v>-24</v>
      </c>
      <c r="J1621" s="21">
        <v>31.5</v>
      </c>
      <c r="K1621" s="21">
        <f>1948528/100</f>
        <v>19485.28</v>
      </c>
      <c r="L1621" s="198">
        <v>1957</v>
      </c>
      <c r="M1621" s="198">
        <v>2002</v>
      </c>
      <c r="N1621" s="77" t="s">
        <v>2272</v>
      </c>
      <c r="O1621" s="19" t="s">
        <v>66</v>
      </c>
      <c r="P1621" s="19" t="s">
        <v>5181</v>
      </c>
      <c r="Q1621" s="198"/>
    </row>
    <row r="1622" spans="1:17" ht="52" customHeight="1">
      <c r="A1622" s="182">
        <v>446</v>
      </c>
      <c r="B1622" s="37" t="s">
        <v>10424</v>
      </c>
      <c r="C1622" s="11" t="s">
        <v>10425</v>
      </c>
      <c r="D1622" s="198" t="s">
        <v>2393</v>
      </c>
      <c r="E1622" s="198" t="s">
        <v>2394</v>
      </c>
      <c r="F1622" s="198" t="s">
        <v>10426</v>
      </c>
      <c r="G1622" s="198" t="s">
        <v>10427</v>
      </c>
      <c r="H1622" s="198" t="s">
        <v>8088</v>
      </c>
      <c r="I1622" s="21">
        <v>47.75</v>
      </c>
      <c r="J1622" s="21">
        <v>24</v>
      </c>
      <c r="K1622" s="21" t="s">
        <v>2272</v>
      </c>
      <c r="L1622" s="198">
        <v>2010</v>
      </c>
      <c r="M1622" s="198">
        <v>2010</v>
      </c>
      <c r="N1622" s="77" t="s">
        <v>2272</v>
      </c>
      <c r="O1622" s="19" t="s">
        <v>66</v>
      </c>
      <c r="P1622" s="19" t="s">
        <v>5181</v>
      </c>
      <c r="Q1622" s="198"/>
    </row>
    <row r="1623" spans="1:17" ht="42" customHeight="1">
      <c r="A1623" s="182">
        <v>446</v>
      </c>
      <c r="B1623" s="37" t="s">
        <v>10424</v>
      </c>
      <c r="C1623" s="11" t="s">
        <v>10428</v>
      </c>
      <c r="D1623" s="198" t="s">
        <v>2393</v>
      </c>
      <c r="E1623" s="198" t="s">
        <v>2394</v>
      </c>
      <c r="F1623" s="198" t="s">
        <v>2272</v>
      </c>
      <c r="G1623" s="198" t="s">
        <v>10429</v>
      </c>
      <c r="H1623" s="198" t="s">
        <v>6390</v>
      </c>
      <c r="I1623" s="21">
        <v>61</v>
      </c>
      <c r="J1623" s="21">
        <v>14.5</v>
      </c>
      <c r="K1623" s="21" t="s">
        <v>2272</v>
      </c>
      <c r="L1623" s="198">
        <v>1990</v>
      </c>
      <c r="M1623" s="198">
        <v>2010</v>
      </c>
      <c r="N1623" s="77" t="s">
        <v>2272</v>
      </c>
      <c r="O1623" s="19" t="s">
        <v>66</v>
      </c>
      <c r="P1623" s="19" t="s">
        <v>5181</v>
      </c>
      <c r="Q1623" s="198"/>
    </row>
    <row r="1624" spans="1:17" ht="43" customHeight="1">
      <c r="A1624" s="233">
        <v>446</v>
      </c>
      <c r="B1624" s="37" t="s">
        <v>10424</v>
      </c>
      <c r="C1624" s="11" t="s">
        <v>10430</v>
      </c>
      <c r="D1624" s="198" t="s">
        <v>2393</v>
      </c>
      <c r="E1624" s="198" t="s">
        <v>2394</v>
      </c>
      <c r="F1624" s="198" t="s">
        <v>2272</v>
      </c>
      <c r="G1624" s="198" t="s">
        <v>10432</v>
      </c>
      <c r="H1624" s="198" t="s">
        <v>6390</v>
      </c>
      <c r="I1624" s="21">
        <v>59.75</v>
      </c>
      <c r="J1624" s="21">
        <v>16.25</v>
      </c>
      <c r="K1624" s="21" t="s">
        <v>2272</v>
      </c>
      <c r="L1624" s="235">
        <v>1990</v>
      </c>
      <c r="M1624" s="235">
        <v>2010</v>
      </c>
      <c r="N1624" s="77" t="s">
        <v>2272</v>
      </c>
      <c r="O1624" s="19" t="s">
        <v>66</v>
      </c>
      <c r="P1624" s="19" t="s">
        <v>5181</v>
      </c>
      <c r="Q1624" s="198"/>
    </row>
    <row r="1625" spans="1:17" ht="43" customHeight="1">
      <c r="A1625" s="233">
        <v>446</v>
      </c>
      <c r="B1625" s="232" t="s">
        <v>10424</v>
      </c>
      <c r="C1625" s="70" t="s">
        <v>10431</v>
      </c>
      <c r="D1625" s="21" t="s">
        <v>2393</v>
      </c>
      <c r="E1625" s="21" t="s">
        <v>2394</v>
      </c>
      <c r="F1625" s="21" t="s">
        <v>2272</v>
      </c>
      <c r="G1625" s="21" t="s">
        <v>10433</v>
      </c>
      <c r="H1625" s="21" t="s">
        <v>6390</v>
      </c>
      <c r="I1625" s="21">
        <v>59.8</v>
      </c>
      <c r="J1625" s="21">
        <v>18</v>
      </c>
      <c r="K1625" s="21" t="s">
        <v>2272</v>
      </c>
      <c r="L1625" s="235">
        <v>1990</v>
      </c>
      <c r="M1625" s="235">
        <v>2010</v>
      </c>
      <c r="N1625" s="77" t="s">
        <v>2272</v>
      </c>
      <c r="O1625" s="77" t="s">
        <v>66</v>
      </c>
      <c r="P1625" s="77" t="s">
        <v>5181</v>
      </c>
      <c r="Q1625" s="21"/>
    </row>
    <row r="1626" spans="1:17" ht="41" customHeight="1">
      <c r="A1626" s="233">
        <v>447</v>
      </c>
      <c r="B1626" s="234" t="s">
        <v>10440</v>
      </c>
      <c r="C1626" s="77" t="s">
        <v>10441</v>
      </c>
      <c r="D1626" s="71" t="s">
        <v>2393</v>
      </c>
      <c r="E1626" s="71" t="s">
        <v>2394</v>
      </c>
      <c r="F1626" s="77" t="s">
        <v>10442</v>
      </c>
      <c r="G1626" s="71" t="s">
        <v>10443</v>
      </c>
      <c r="H1626" s="77" t="s">
        <v>767</v>
      </c>
      <c r="I1626" s="21">
        <f>19+39/60</f>
        <v>19.649999999999999</v>
      </c>
      <c r="J1626" s="21">
        <f>-100-1/3</f>
        <v>-100.33333333333333</v>
      </c>
      <c r="K1626" s="21">
        <f>56259/100</f>
        <v>562.59</v>
      </c>
      <c r="L1626" s="235">
        <v>2012</v>
      </c>
      <c r="M1626" s="235">
        <v>2015</v>
      </c>
      <c r="N1626" s="21">
        <f>28000/K1626</f>
        <v>49.769814607440587</v>
      </c>
      <c r="O1626" s="77" t="s">
        <v>66</v>
      </c>
      <c r="P1626" s="77" t="s">
        <v>5181</v>
      </c>
      <c r="Q1626" s="21"/>
    </row>
    <row r="1627" spans="1:17" ht="37" customHeight="1">
      <c r="A1627" s="233">
        <v>448</v>
      </c>
      <c r="B1627" s="37" t="s">
        <v>10451</v>
      </c>
      <c r="C1627" s="11" t="s">
        <v>10452</v>
      </c>
      <c r="D1627" s="71" t="s">
        <v>2393</v>
      </c>
      <c r="E1627" s="198" t="s">
        <v>4842</v>
      </c>
      <c r="F1627" s="21" t="s">
        <v>2272</v>
      </c>
      <c r="G1627" s="139" t="s">
        <v>10454</v>
      </c>
      <c r="H1627" s="198" t="s">
        <v>4107</v>
      </c>
      <c r="I1627" s="21">
        <v>40.5</v>
      </c>
      <c r="J1627" s="21">
        <f>-97.5</f>
        <v>-97.5</v>
      </c>
      <c r="K1627" s="21">
        <f>2000000/100*0.404686</f>
        <v>8093.72</v>
      </c>
      <c r="L1627" s="235">
        <v>2012</v>
      </c>
      <c r="M1627" s="235">
        <v>2012</v>
      </c>
      <c r="N1627" s="77" t="s">
        <v>2272</v>
      </c>
      <c r="O1627" s="77" t="s">
        <v>66</v>
      </c>
      <c r="P1627" s="77" t="s">
        <v>5181</v>
      </c>
      <c r="Q1627" s="198"/>
    </row>
    <row r="1628" spans="1:17" ht="37" customHeight="1">
      <c r="A1628" s="233">
        <v>448</v>
      </c>
      <c r="B1628" s="37" t="s">
        <v>10451</v>
      </c>
      <c r="C1628" s="11" t="s">
        <v>10455</v>
      </c>
      <c r="D1628" s="71" t="s">
        <v>2393</v>
      </c>
      <c r="E1628" s="198" t="s">
        <v>4842</v>
      </c>
      <c r="F1628" s="21" t="s">
        <v>2272</v>
      </c>
      <c r="G1628" s="11" t="s">
        <v>7981</v>
      </c>
      <c r="H1628" s="198" t="s">
        <v>4107</v>
      </c>
      <c r="I1628" s="21">
        <v>30</v>
      </c>
      <c r="J1628" s="21">
        <v>-98</v>
      </c>
      <c r="K1628" s="21">
        <f>350000/100*0.404686</f>
        <v>1416.4010000000001</v>
      </c>
      <c r="L1628" s="198">
        <v>1998</v>
      </c>
      <c r="M1628" s="198">
        <v>2012</v>
      </c>
      <c r="N1628" s="77" t="s">
        <v>2272</v>
      </c>
      <c r="O1628" s="77" t="s">
        <v>66</v>
      </c>
      <c r="P1628" s="77" t="s">
        <v>5181</v>
      </c>
      <c r="Q1628" s="198" t="s">
        <v>10458</v>
      </c>
    </row>
    <row r="1629" spans="1:17" ht="36.5" customHeight="1">
      <c r="A1629" s="233">
        <v>448</v>
      </c>
      <c r="B1629" s="37" t="s">
        <v>10451</v>
      </c>
      <c r="C1629" s="11" t="s">
        <v>10456</v>
      </c>
      <c r="D1629" s="71" t="s">
        <v>2393</v>
      </c>
      <c r="E1629" s="198" t="s">
        <v>4842</v>
      </c>
      <c r="F1629" s="21" t="s">
        <v>2272</v>
      </c>
      <c r="G1629" s="11" t="s">
        <v>10453</v>
      </c>
      <c r="H1629" s="198" t="s">
        <v>4107</v>
      </c>
      <c r="I1629" s="21">
        <v>32</v>
      </c>
      <c r="J1629" s="21">
        <v>-85</v>
      </c>
      <c r="K1629" s="21">
        <f>150000/100*0.404686</f>
        <v>607.029</v>
      </c>
      <c r="L1629" s="198">
        <v>2002</v>
      </c>
      <c r="M1629" s="198">
        <v>2012</v>
      </c>
      <c r="N1629" s="77" t="s">
        <v>2272</v>
      </c>
      <c r="O1629" s="77" t="s">
        <v>66</v>
      </c>
      <c r="P1629" s="77" t="s">
        <v>5181</v>
      </c>
      <c r="Q1629" s="198" t="s">
        <v>10458</v>
      </c>
    </row>
    <row r="1630" spans="1:17" ht="38.5" customHeight="1">
      <c r="A1630" s="233">
        <v>448</v>
      </c>
      <c r="B1630" s="37" t="s">
        <v>10451</v>
      </c>
      <c r="C1630" s="11" t="s">
        <v>10457</v>
      </c>
      <c r="D1630" s="71" t="s">
        <v>2393</v>
      </c>
      <c r="E1630" s="198" t="s">
        <v>4842</v>
      </c>
      <c r="F1630" s="21" t="s">
        <v>2272</v>
      </c>
      <c r="G1630" s="198" t="s">
        <v>7714</v>
      </c>
      <c r="H1630" s="198" t="s">
        <v>4107</v>
      </c>
      <c r="I1630" s="21">
        <v>36.5</v>
      </c>
      <c r="J1630" s="21">
        <v>-99</v>
      </c>
      <c r="K1630" s="21">
        <f>569923/100*0.404686</f>
        <v>2306.3985917799996</v>
      </c>
      <c r="L1630" s="198">
        <v>1995</v>
      </c>
      <c r="M1630" s="198">
        <v>2019</v>
      </c>
      <c r="N1630" s="77" t="s">
        <v>2272</v>
      </c>
      <c r="O1630" s="77" t="s">
        <v>66</v>
      </c>
      <c r="P1630" s="77" t="s">
        <v>5181</v>
      </c>
      <c r="Q1630" s="198"/>
    </row>
    <row r="1631" spans="1:17" ht="40" customHeight="1">
      <c r="A1631" s="233">
        <v>449</v>
      </c>
      <c r="B1631" s="37" t="s">
        <v>10473</v>
      </c>
      <c r="C1631" s="11" t="s">
        <v>10474</v>
      </c>
      <c r="D1631" s="71" t="s">
        <v>2393</v>
      </c>
      <c r="E1631" s="198" t="s">
        <v>2395</v>
      </c>
      <c r="F1631" s="77" t="s">
        <v>10475</v>
      </c>
      <c r="G1631" s="11" t="s">
        <v>8564</v>
      </c>
      <c r="H1631" s="11" t="s">
        <v>3765</v>
      </c>
      <c r="I1631" s="21">
        <f>-24-9/60</f>
        <v>-24.15</v>
      </c>
      <c r="J1631" s="21">
        <v>29</v>
      </c>
      <c r="K1631" s="21">
        <f>1334.7/100</f>
        <v>13.347000000000001</v>
      </c>
      <c r="L1631" s="198">
        <v>1994</v>
      </c>
      <c r="M1631" s="198">
        <v>2008</v>
      </c>
      <c r="N1631" s="77" t="s">
        <v>2272</v>
      </c>
      <c r="O1631" s="77" t="s">
        <v>66</v>
      </c>
      <c r="P1631" s="77" t="s">
        <v>5181</v>
      </c>
      <c r="Q1631" s="198"/>
    </row>
    <row r="1632" spans="1:17" ht="40" customHeight="1">
      <c r="A1632" s="233">
        <v>449</v>
      </c>
      <c r="B1632" s="37" t="s">
        <v>10473</v>
      </c>
      <c r="C1632" s="11" t="s">
        <v>10477</v>
      </c>
      <c r="D1632" s="71" t="s">
        <v>2393</v>
      </c>
      <c r="E1632" s="198" t="s">
        <v>2395</v>
      </c>
      <c r="F1632" s="70" t="s">
        <v>10476</v>
      </c>
      <c r="G1632" s="11" t="s">
        <v>8564</v>
      </c>
      <c r="H1632" s="11" t="s">
        <v>3765</v>
      </c>
      <c r="I1632" s="21">
        <f>-24-5/60</f>
        <v>-24.083333333333332</v>
      </c>
      <c r="J1632" s="21">
        <v>29</v>
      </c>
      <c r="K1632" s="21" t="s">
        <v>2272</v>
      </c>
      <c r="L1632" s="198">
        <v>1994</v>
      </c>
      <c r="M1632" s="198">
        <v>2008</v>
      </c>
      <c r="N1632" s="77" t="s">
        <v>2272</v>
      </c>
      <c r="O1632" s="77" t="s">
        <v>66</v>
      </c>
      <c r="P1632" s="77" t="s">
        <v>5181</v>
      </c>
      <c r="Q1632" s="198"/>
    </row>
    <row r="1633" spans="1:17" ht="47" customHeight="1">
      <c r="A1633" s="233">
        <v>450</v>
      </c>
      <c r="B1633" s="37" t="s">
        <v>10482</v>
      </c>
      <c r="C1633" s="11" t="s">
        <v>10483</v>
      </c>
      <c r="D1633" s="71" t="s">
        <v>2393</v>
      </c>
      <c r="E1633" s="198" t="s">
        <v>2395</v>
      </c>
      <c r="F1633" s="198" t="s">
        <v>10484</v>
      </c>
      <c r="G1633" s="198" t="s">
        <v>7056</v>
      </c>
      <c r="H1633" s="198" t="s">
        <v>119</v>
      </c>
      <c r="I1633" s="21">
        <f>-20-8.5/60</f>
        <v>-20.141666666666666</v>
      </c>
      <c r="J1633" s="21">
        <f>-46-0.933333333333333</f>
        <v>-46.93333333333333</v>
      </c>
      <c r="K1633" s="21">
        <f>71503/100</f>
        <v>715.03</v>
      </c>
      <c r="L1633" s="198">
        <v>2000</v>
      </c>
      <c r="M1633" s="198">
        <v>2015</v>
      </c>
      <c r="N1633" s="77" t="s">
        <v>2272</v>
      </c>
      <c r="O1633" s="77" t="s">
        <v>66</v>
      </c>
      <c r="P1633" s="77" t="s">
        <v>5181</v>
      </c>
      <c r="Q1633" s="198"/>
    </row>
    <row r="1634" spans="1:17" ht="48" customHeight="1">
      <c r="A1634" s="233">
        <v>450</v>
      </c>
      <c r="B1634" s="37" t="s">
        <v>10482</v>
      </c>
      <c r="C1634" s="11" t="s">
        <v>10485</v>
      </c>
      <c r="D1634" s="71" t="s">
        <v>2393</v>
      </c>
      <c r="E1634" s="198" t="s">
        <v>2395</v>
      </c>
      <c r="F1634" s="198" t="s">
        <v>10487</v>
      </c>
      <c r="G1634" s="198" t="s">
        <v>7056</v>
      </c>
      <c r="H1634" s="198" t="s">
        <v>119</v>
      </c>
      <c r="I1634" s="21">
        <f>-20-8.5/60</f>
        <v>-20.141666666666666</v>
      </c>
      <c r="J1634" s="21">
        <f>-46-0.933333333333333</f>
        <v>-46.93333333333333</v>
      </c>
      <c r="K1634" s="21">
        <f>47331/100</f>
        <v>473.31</v>
      </c>
      <c r="L1634" s="198">
        <v>2000</v>
      </c>
      <c r="M1634" s="198">
        <v>2015</v>
      </c>
      <c r="N1634" s="77" t="s">
        <v>2272</v>
      </c>
      <c r="O1634" s="77" t="s">
        <v>66</v>
      </c>
      <c r="P1634" s="77" t="s">
        <v>5181</v>
      </c>
      <c r="Q1634" s="198"/>
    </row>
    <row r="1635" spans="1:17" ht="50" customHeight="1">
      <c r="A1635" s="233">
        <v>450</v>
      </c>
      <c r="B1635" s="37" t="s">
        <v>10482</v>
      </c>
      <c r="C1635" s="11" t="s">
        <v>10489</v>
      </c>
      <c r="D1635" s="71" t="s">
        <v>2393</v>
      </c>
      <c r="E1635" s="198" t="s">
        <v>2395</v>
      </c>
      <c r="F1635" s="198" t="s">
        <v>10488</v>
      </c>
      <c r="G1635" s="198" t="s">
        <v>7056</v>
      </c>
      <c r="H1635" s="198" t="s">
        <v>119</v>
      </c>
      <c r="I1635" s="21">
        <f>-20-8.5/60</f>
        <v>-20.141666666666666</v>
      </c>
      <c r="J1635" s="21">
        <f>-46-0.933333333333333</f>
        <v>-46.93333333333333</v>
      </c>
      <c r="K1635" s="21">
        <f>79093/100</f>
        <v>790.93</v>
      </c>
      <c r="L1635" s="198">
        <v>2000</v>
      </c>
      <c r="M1635" s="198">
        <v>2015</v>
      </c>
      <c r="N1635" s="77" t="s">
        <v>2272</v>
      </c>
      <c r="O1635" s="77" t="s">
        <v>66</v>
      </c>
      <c r="P1635" s="77" t="s">
        <v>5181</v>
      </c>
      <c r="Q1635" s="198"/>
    </row>
    <row r="1636" spans="1:17" ht="42.5" customHeight="1">
      <c r="A1636" s="233">
        <v>451</v>
      </c>
      <c r="B1636" s="37" t="s">
        <v>10509</v>
      </c>
      <c r="C1636" s="11" t="s">
        <v>10510</v>
      </c>
      <c r="D1636" s="71" t="s">
        <v>2393</v>
      </c>
      <c r="E1636" s="198" t="s">
        <v>4842</v>
      </c>
      <c r="F1636" s="198" t="s">
        <v>2272</v>
      </c>
      <c r="G1636" s="198" t="s">
        <v>2272</v>
      </c>
      <c r="H1636" s="11" t="s">
        <v>4107</v>
      </c>
      <c r="I1636" s="21">
        <v>38</v>
      </c>
      <c r="J1636" s="21">
        <v>-103.5</v>
      </c>
      <c r="K1636" s="21">
        <v>9834000</v>
      </c>
      <c r="L1636" s="11">
        <v>2004</v>
      </c>
      <c r="M1636" s="11">
        <v>2012</v>
      </c>
      <c r="N1636" s="77" t="s">
        <v>2272</v>
      </c>
      <c r="O1636" s="77" t="s">
        <v>66</v>
      </c>
      <c r="P1636" s="77" t="s">
        <v>5181</v>
      </c>
      <c r="Q1636" s="77" t="s">
        <v>10511</v>
      </c>
    </row>
    <row r="1637" spans="1:17" ht="39" customHeight="1">
      <c r="A1637" s="233">
        <v>452</v>
      </c>
      <c r="B1637" s="37" t="s">
        <v>10515</v>
      </c>
      <c r="C1637" s="11" t="s">
        <v>10516</v>
      </c>
      <c r="D1637" s="71" t="s">
        <v>2393</v>
      </c>
      <c r="E1637" s="198" t="s">
        <v>2394</v>
      </c>
      <c r="F1637" s="198" t="s">
        <v>10517</v>
      </c>
      <c r="G1637" s="198" t="s">
        <v>10518</v>
      </c>
      <c r="H1637" s="198" t="s">
        <v>3765</v>
      </c>
      <c r="I1637" s="21">
        <v>-25</v>
      </c>
      <c r="J1637" s="21">
        <v>27.25</v>
      </c>
      <c r="K1637" s="21">
        <v>47</v>
      </c>
      <c r="L1637" s="198">
        <v>2015</v>
      </c>
      <c r="M1637" s="198">
        <v>2015</v>
      </c>
      <c r="N1637" s="77" t="s">
        <v>2272</v>
      </c>
      <c r="O1637" s="77" t="s">
        <v>66</v>
      </c>
      <c r="P1637" s="77" t="s">
        <v>5181</v>
      </c>
      <c r="Q1637" s="11"/>
    </row>
    <row r="1638" spans="1:17" ht="39" customHeight="1">
      <c r="A1638" s="233">
        <v>453</v>
      </c>
      <c r="B1638" s="53" t="s">
        <v>10522</v>
      </c>
      <c r="C1638" s="11" t="s">
        <v>10523</v>
      </c>
      <c r="D1638" s="11" t="s">
        <v>2411</v>
      </c>
      <c r="E1638" s="11" t="s">
        <v>3660</v>
      </c>
      <c r="F1638" s="11" t="s">
        <v>2272</v>
      </c>
      <c r="G1638" s="11" t="s">
        <v>2272</v>
      </c>
      <c r="H1638" s="11" t="s">
        <v>4105</v>
      </c>
      <c r="I1638" s="70">
        <v>-43</v>
      </c>
      <c r="J1638" s="70">
        <v>172</v>
      </c>
      <c r="K1638" s="70">
        <v>268021</v>
      </c>
      <c r="L1638" s="11">
        <v>2012</v>
      </c>
      <c r="M1638" s="11">
        <v>2012</v>
      </c>
      <c r="N1638" s="77" t="s">
        <v>2272</v>
      </c>
      <c r="O1638" s="77" t="s">
        <v>66</v>
      </c>
      <c r="P1638" s="77" t="s">
        <v>5181</v>
      </c>
      <c r="Q1638" s="11"/>
    </row>
    <row r="1639" spans="1:17" ht="42" customHeight="1">
      <c r="A1639" s="233">
        <v>453</v>
      </c>
      <c r="B1639" s="38" t="s">
        <v>10525</v>
      </c>
      <c r="C1639" s="11" t="s">
        <v>10524</v>
      </c>
      <c r="D1639" s="198" t="s">
        <v>2411</v>
      </c>
      <c r="E1639" s="198" t="s">
        <v>3660</v>
      </c>
      <c r="F1639" s="198" t="s">
        <v>2272</v>
      </c>
      <c r="G1639" s="198" t="s">
        <v>2272</v>
      </c>
      <c r="H1639" s="198" t="s">
        <v>4105</v>
      </c>
      <c r="I1639" s="21">
        <v>-44</v>
      </c>
      <c r="J1639" s="21">
        <v>171</v>
      </c>
      <c r="K1639" s="21">
        <v>268021</v>
      </c>
      <c r="L1639" s="198">
        <v>2012</v>
      </c>
      <c r="M1639" s="198">
        <v>2012</v>
      </c>
      <c r="N1639" s="77" t="s">
        <v>2272</v>
      </c>
      <c r="O1639" s="77" t="s">
        <v>66</v>
      </c>
      <c r="P1639" s="77" t="s">
        <v>5181</v>
      </c>
      <c r="Q1639" s="4" t="s">
        <v>10526</v>
      </c>
    </row>
    <row r="1640" spans="1:17" ht="42" customHeight="1">
      <c r="A1640" s="233">
        <v>454</v>
      </c>
      <c r="B1640" s="53" t="s">
        <v>10555</v>
      </c>
      <c r="C1640" s="11" t="s">
        <v>10554</v>
      </c>
      <c r="D1640" s="77" t="s">
        <v>2393</v>
      </c>
      <c r="E1640" s="11" t="s">
        <v>4842</v>
      </c>
      <c r="F1640" s="11" t="s">
        <v>10577</v>
      </c>
      <c r="G1640" s="11" t="s">
        <v>2272</v>
      </c>
      <c r="H1640" s="11" t="s">
        <v>4107</v>
      </c>
      <c r="I1640" s="70">
        <v>42.75</v>
      </c>
      <c r="J1640" s="70">
        <v>-119</v>
      </c>
      <c r="K1640" s="21" t="s">
        <v>2272</v>
      </c>
      <c r="L1640" s="11">
        <v>1992</v>
      </c>
      <c r="M1640" s="11">
        <v>2015</v>
      </c>
      <c r="N1640" s="77" t="s">
        <v>2272</v>
      </c>
      <c r="O1640" s="77" t="s">
        <v>66</v>
      </c>
      <c r="P1640" s="77" t="s">
        <v>5181</v>
      </c>
      <c r="Q1640" s="11"/>
    </row>
    <row r="1641" spans="1:17" s="197" customFormat="1" ht="42" customHeight="1">
      <c r="A1641" s="233">
        <v>454</v>
      </c>
      <c r="B1641" s="53" t="s">
        <v>10555</v>
      </c>
      <c r="C1641" s="11" t="s">
        <v>10651</v>
      </c>
      <c r="D1641" s="77" t="s">
        <v>2393</v>
      </c>
      <c r="E1641" s="11" t="s">
        <v>4842</v>
      </c>
      <c r="F1641" s="19" t="s">
        <v>7698</v>
      </c>
      <c r="G1641" s="11" t="s">
        <v>2272</v>
      </c>
      <c r="H1641" s="11" t="s">
        <v>4107</v>
      </c>
      <c r="I1641" s="70">
        <v>43.5</v>
      </c>
      <c r="J1641" s="70">
        <v>-112</v>
      </c>
      <c r="K1641" s="21" t="s">
        <v>2272</v>
      </c>
      <c r="L1641" s="11">
        <v>1992</v>
      </c>
      <c r="M1641" s="11">
        <v>2015</v>
      </c>
      <c r="N1641" s="77" t="s">
        <v>2272</v>
      </c>
      <c r="O1641" s="77" t="s">
        <v>66</v>
      </c>
      <c r="P1641" s="77" t="s">
        <v>5181</v>
      </c>
      <c r="Q1641" s="11"/>
    </row>
    <row r="1642" spans="1:17" s="197" customFormat="1" ht="42" customHeight="1">
      <c r="A1642" s="233">
        <v>454</v>
      </c>
      <c r="B1642" s="53" t="s">
        <v>10555</v>
      </c>
      <c r="C1642" s="11" t="s">
        <v>10652</v>
      </c>
      <c r="D1642" s="77" t="s">
        <v>2393</v>
      </c>
      <c r="E1642" s="11" t="s">
        <v>4842</v>
      </c>
      <c r="F1642" s="19" t="s">
        <v>10578</v>
      </c>
      <c r="G1642" s="11" t="s">
        <v>2272</v>
      </c>
      <c r="H1642" s="11" t="s">
        <v>4107</v>
      </c>
      <c r="I1642" s="70">
        <f>41+51/60</f>
        <v>41.85</v>
      </c>
      <c r="J1642" s="70">
        <f>-101-5/60</f>
        <v>-101.08333333333333</v>
      </c>
      <c r="K1642" s="21" t="s">
        <v>2272</v>
      </c>
      <c r="L1642" s="11">
        <v>1992</v>
      </c>
      <c r="M1642" s="11">
        <v>2015</v>
      </c>
      <c r="N1642" s="77" t="s">
        <v>2272</v>
      </c>
      <c r="O1642" s="77" t="s">
        <v>66</v>
      </c>
      <c r="P1642" s="77" t="s">
        <v>5181</v>
      </c>
      <c r="Q1642" s="11"/>
    </row>
    <row r="1643" spans="1:17" s="197" customFormat="1" ht="42" customHeight="1">
      <c r="A1643" s="233">
        <v>454</v>
      </c>
      <c r="B1643" s="53" t="s">
        <v>10555</v>
      </c>
      <c r="C1643" s="11" t="s">
        <v>10653</v>
      </c>
      <c r="D1643" s="77" t="s">
        <v>2393</v>
      </c>
      <c r="E1643" s="11" t="s">
        <v>4842</v>
      </c>
      <c r="F1643" s="19" t="s">
        <v>10579</v>
      </c>
      <c r="G1643" s="11" t="s">
        <v>2272</v>
      </c>
      <c r="H1643" s="11" t="s">
        <v>4107</v>
      </c>
      <c r="I1643" s="70">
        <v>48.75</v>
      </c>
      <c r="J1643" s="70">
        <v>-113</v>
      </c>
      <c r="K1643" s="21" t="s">
        <v>2272</v>
      </c>
      <c r="L1643" s="11">
        <v>1992</v>
      </c>
      <c r="M1643" s="11">
        <v>2015</v>
      </c>
      <c r="N1643" s="77" t="s">
        <v>2272</v>
      </c>
      <c r="O1643" s="77" t="s">
        <v>66</v>
      </c>
      <c r="P1643" s="77" t="s">
        <v>5181</v>
      </c>
      <c r="Q1643" s="11"/>
    </row>
    <row r="1644" spans="1:17" s="197" customFormat="1" ht="42" customHeight="1">
      <c r="A1644" s="233">
        <v>454</v>
      </c>
      <c r="B1644" s="53" t="s">
        <v>10555</v>
      </c>
      <c r="C1644" s="11" t="s">
        <v>10654</v>
      </c>
      <c r="D1644" s="77" t="s">
        <v>2393</v>
      </c>
      <c r="E1644" s="11" t="s">
        <v>4842</v>
      </c>
      <c r="F1644" s="19" t="s">
        <v>10580</v>
      </c>
      <c r="G1644" s="11" t="s">
        <v>2272</v>
      </c>
      <c r="H1644" s="11" t="s">
        <v>4107</v>
      </c>
      <c r="I1644" s="70">
        <v>45</v>
      </c>
      <c r="J1644" s="70">
        <v>-115</v>
      </c>
      <c r="K1644" s="21" t="s">
        <v>2272</v>
      </c>
      <c r="L1644" s="11">
        <v>1992</v>
      </c>
      <c r="M1644" s="11">
        <v>2015</v>
      </c>
      <c r="N1644" s="77" t="s">
        <v>2272</v>
      </c>
      <c r="O1644" s="77" t="s">
        <v>66</v>
      </c>
      <c r="P1644" s="77" t="s">
        <v>5181</v>
      </c>
      <c r="Q1644" s="11"/>
    </row>
    <row r="1645" spans="1:17" s="197" customFormat="1" ht="42" customHeight="1">
      <c r="A1645" s="233">
        <v>454</v>
      </c>
      <c r="B1645" s="53" t="s">
        <v>10555</v>
      </c>
      <c r="C1645" s="11" t="s">
        <v>10655</v>
      </c>
      <c r="D1645" s="77" t="s">
        <v>2393</v>
      </c>
      <c r="E1645" s="11" t="s">
        <v>4842</v>
      </c>
      <c r="F1645" s="19" t="s">
        <v>10581</v>
      </c>
      <c r="G1645" s="11" t="s">
        <v>2272</v>
      </c>
      <c r="H1645" s="11" t="s">
        <v>4107</v>
      </c>
      <c r="I1645" s="70">
        <v>38.5</v>
      </c>
      <c r="J1645" s="70">
        <v>-116.5</v>
      </c>
      <c r="K1645" s="21" t="s">
        <v>2272</v>
      </c>
      <c r="L1645" s="11">
        <v>1992</v>
      </c>
      <c r="M1645" s="11">
        <v>2015</v>
      </c>
      <c r="N1645" s="77" t="s">
        <v>2272</v>
      </c>
      <c r="O1645" s="77" t="s">
        <v>66</v>
      </c>
      <c r="P1645" s="77" t="s">
        <v>5181</v>
      </c>
      <c r="Q1645" s="11"/>
    </row>
    <row r="1646" spans="1:17" s="197" customFormat="1" ht="42" customHeight="1">
      <c r="A1646" s="233">
        <v>454</v>
      </c>
      <c r="B1646" s="53" t="s">
        <v>10555</v>
      </c>
      <c r="C1646" s="11" t="s">
        <v>10656</v>
      </c>
      <c r="D1646" s="77" t="s">
        <v>2393</v>
      </c>
      <c r="E1646" s="11" t="s">
        <v>4842</v>
      </c>
      <c r="F1646" s="19" t="s">
        <v>10582</v>
      </c>
      <c r="G1646" s="11" t="s">
        <v>2272</v>
      </c>
      <c r="H1646" s="11" t="s">
        <v>4107</v>
      </c>
      <c r="I1646" s="70">
        <v>47</v>
      </c>
      <c r="J1646" s="70">
        <v>-119</v>
      </c>
      <c r="K1646" s="21" t="s">
        <v>2272</v>
      </c>
      <c r="L1646" s="11">
        <v>1992</v>
      </c>
      <c r="M1646" s="11">
        <v>2015</v>
      </c>
      <c r="N1646" s="77" t="s">
        <v>2272</v>
      </c>
      <c r="O1646" s="77" t="s">
        <v>66</v>
      </c>
      <c r="P1646" s="77" t="s">
        <v>5181</v>
      </c>
      <c r="Q1646" s="11"/>
    </row>
    <row r="1647" spans="1:17" s="197" customFormat="1" ht="42" customHeight="1">
      <c r="A1647" s="233">
        <v>454</v>
      </c>
      <c r="B1647" s="53" t="s">
        <v>10555</v>
      </c>
      <c r="C1647" s="11" t="s">
        <v>10657</v>
      </c>
      <c r="D1647" s="77" t="s">
        <v>2393</v>
      </c>
      <c r="E1647" s="11" t="s">
        <v>4842</v>
      </c>
      <c r="F1647" s="19" t="s">
        <v>10583</v>
      </c>
      <c r="G1647" s="11" t="s">
        <v>2272</v>
      </c>
      <c r="H1647" s="11" t="s">
        <v>4107</v>
      </c>
      <c r="I1647" s="70">
        <v>34.5</v>
      </c>
      <c r="J1647" s="70">
        <v>-105.5</v>
      </c>
      <c r="K1647" s="21" t="s">
        <v>2272</v>
      </c>
      <c r="L1647" s="11">
        <v>1992</v>
      </c>
      <c r="M1647" s="11">
        <v>2015</v>
      </c>
      <c r="N1647" s="77" t="s">
        <v>2272</v>
      </c>
      <c r="O1647" s="77" t="s">
        <v>66</v>
      </c>
      <c r="P1647" s="77" t="s">
        <v>5181</v>
      </c>
      <c r="Q1647" s="11"/>
    </row>
    <row r="1648" spans="1:17" s="197" customFormat="1" ht="42" customHeight="1">
      <c r="A1648" s="233">
        <v>454</v>
      </c>
      <c r="B1648" s="53" t="s">
        <v>10555</v>
      </c>
      <c r="C1648" s="11" t="s">
        <v>10658</v>
      </c>
      <c r="D1648" s="77" t="s">
        <v>2393</v>
      </c>
      <c r="E1648" s="11" t="s">
        <v>4842</v>
      </c>
      <c r="F1648" s="19" t="s">
        <v>7706</v>
      </c>
      <c r="G1648" s="11" t="s">
        <v>2272</v>
      </c>
      <c r="H1648" s="11" t="s">
        <v>4107</v>
      </c>
      <c r="I1648" s="70">
        <v>30</v>
      </c>
      <c r="J1648" s="70">
        <v>-103.75</v>
      </c>
      <c r="K1648" s="21" t="s">
        <v>2272</v>
      </c>
      <c r="L1648" s="11">
        <v>1992</v>
      </c>
      <c r="M1648" s="11">
        <v>2015</v>
      </c>
      <c r="N1648" s="77" t="s">
        <v>2272</v>
      </c>
      <c r="O1648" s="77" t="s">
        <v>66</v>
      </c>
      <c r="P1648" s="77" t="s">
        <v>5181</v>
      </c>
      <c r="Q1648" s="19" t="s">
        <v>11519</v>
      </c>
    </row>
    <row r="1649" spans="1:17" s="197" customFormat="1" ht="42" customHeight="1">
      <c r="A1649" s="233">
        <v>454</v>
      </c>
      <c r="B1649" s="53" t="s">
        <v>10555</v>
      </c>
      <c r="C1649" s="11" t="s">
        <v>10659</v>
      </c>
      <c r="D1649" s="77" t="s">
        <v>2393</v>
      </c>
      <c r="E1649" s="11" t="s">
        <v>4842</v>
      </c>
      <c r="F1649" s="19" t="s">
        <v>10584</v>
      </c>
      <c r="G1649" s="11" t="s">
        <v>2272</v>
      </c>
      <c r="H1649" s="11" t="s">
        <v>4107</v>
      </c>
      <c r="I1649" s="70">
        <v>48</v>
      </c>
      <c r="J1649" s="70">
        <v>-121</v>
      </c>
      <c r="K1649" s="21" t="s">
        <v>2272</v>
      </c>
      <c r="L1649" s="11">
        <v>1992</v>
      </c>
      <c r="M1649" s="11">
        <v>2015</v>
      </c>
      <c r="N1649" s="77" t="s">
        <v>2272</v>
      </c>
      <c r="O1649" s="77" t="s">
        <v>66</v>
      </c>
      <c r="P1649" s="77" t="s">
        <v>5181</v>
      </c>
      <c r="Q1649" s="11"/>
    </row>
    <row r="1650" spans="1:17" s="197" customFormat="1" ht="42" customHeight="1">
      <c r="A1650" s="233">
        <v>454</v>
      </c>
      <c r="B1650" s="53" t="s">
        <v>10555</v>
      </c>
      <c r="C1650" s="11" t="s">
        <v>10660</v>
      </c>
      <c r="D1650" s="77" t="s">
        <v>2393</v>
      </c>
      <c r="E1650" s="11" t="s">
        <v>4842</v>
      </c>
      <c r="F1650" s="19" t="s">
        <v>10585</v>
      </c>
      <c r="G1650" s="11" t="s">
        <v>2272</v>
      </c>
      <c r="H1650" s="11" t="s">
        <v>4107</v>
      </c>
      <c r="I1650" s="70">
        <v>26</v>
      </c>
      <c r="J1650" s="70">
        <v>-81</v>
      </c>
      <c r="K1650" s="21" t="s">
        <v>2272</v>
      </c>
      <c r="L1650" s="11">
        <v>1992</v>
      </c>
      <c r="M1650" s="11">
        <v>2015</v>
      </c>
      <c r="N1650" s="77" t="s">
        <v>2272</v>
      </c>
      <c r="O1650" s="77" t="s">
        <v>66</v>
      </c>
      <c r="P1650" s="77" t="s">
        <v>5181</v>
      </c>
      <c r="Q1650" s="11"/>
    </row>
    <row r="1651" spans="1:17" s="197" customFormat="1" ht="42" customHeight="1">
      <c r="A1651" s="233">
        <v>454</v>
      </c>
      <c r="B1651" s="53" t="s">
        <v>10555</v>
      </c>
      <c r="C1651" s="11" t="s">
        <v>10661</v>
      </c>
      <c r="D1651" s="77" t="s">
        <v>2393</v>
      </c>
      <c r="E1651" s="11" t="s">
        <v>4842</v>
      </c>
      <c r="F1651" s="19" t="s">
        <v>10586</v>
      </c>
      <c r="G1651" s="11" t="s">
        <v>2272</v>
      </c>
      <c r="H1651" s="11" t="s">
        <v>4107</v>
      </c>
      <c r="I1651" s="70">
        <v>32</v>
      </c>
      <c r="J1651" s="70">
        <v>-109</v>
      </c>
      <c r="K1651" s="21" t="s">
        <v>2272</v>
      </c>
      <c r="L1651" s="11">
        <v>1992</v>
      </c>
      <c r="M1651" s="11">
        <v>2015</v>
      </c>
      <c r="N1651" s="77" t="s">
        <v>2272</v>
      </c>
      <c r="O1651" s="77" t="s">
        <v>66</v>
      </c>
      <c r="P1651" s="77" t="s">
        <v>5181</v>
      </c>
      <c r="Q1651" s="11"/>
    </row>
    <row r="1652" spans="1:17" s="197" customFormat="1" ht="42" customHeight="1">
      <c r="A1652" s="233">
        <v>454</v>
      </c>
      <c r="B1652" s="53" t="s">
        <v>10555</v>
      </c>
      <c r="C1652" s="11" t="s">
        <v>10662</v>
      </c>
      <c r="D1652" s="77" t="s">
        <v>2393</v>
      </c>
      <c r="E1652" s="11" t="s">
        <v>4842</v>
      </c>
      <c r="F1652" s="19" t="s">
        <v>10587</v>
      </c>
      <c r="G1652" s="11" t="s">
        <v>2272</v>
      </c>
      <c r="H1652" s="11" t="s">
        <v>4107</v>
      </c>
      <c r="I1652" s="70">
        <v>35</v>
      </c>
      <c r="J1652" s="70">
        <v>-116</v>
      </c>
      <c r="K1652" s="21" t="s">
        <v>2272</v>
      </c>
      <c r="L1652" s="11">
        <v>1992</v>
      </c>
      <c r="M1652" s="11">
        <v>2015</v>
      </c>
      <c r="N1652" s="77" t="s">
        <v>2272</v>
      </c>
      <c r="O1652" s="77" t="s">
        <v>66</v>
      </c>
      <c r="P1652" s="77" t="s">
        <v>5181</v>
      </c>
      <c r="Q1652" s="11"/>
    </row>
    <row r="1653" spans="1:17" s="197" customFormat="1" ht="42" customHeight="1">
      <c r="A1653" s="233">
        <v>454</v>
      </c>
      <c r="B1653" s="53" t="s">
        <v>10555</v>
      </c>
      <c r="C1653" s="11" t="s">
        <v>10663</v>
      </c>
      <c r="D1653" s="77" t="s">
        <v>2393</v>
      </c>
      <c r="E1653" s="11" t="s">
        <v>4842</v>
      </c>
      <c r="F1653" s="19" t="s">
        <v>10588</v>
      </c>
      <c r="G1653" s="11" t="s">
        <v>2272</v>
      </c>
      <c r="H1653" s="11" t="s">
        <v>4107</v>
      </c>
      <c r="I1653" s="70">
        <v>37</v>
      </c>
      <c r="J1653" s="70">
        <v>-96</v>
      </c>
      <c r="K1653" s="21" t="s">
        <v>2272</v>
      </c>
      <c r="L1653" s="11">
        <v>1992</v>
      </c>
      <c r="M1653" s="11">
        <v>2015</v>
      </c>
      <c r="N1653" s="77" t="s">
        <v>2272</v>
      </c>
      <c r="O1653" s="77" t="s">
        <v>66</v>
      </c>
      <c r="P1653" s="77" t="s">
        <v>5181</v>
      </c>
      <c r="Q1653" s="11"/>
    </row>
    <row r="1654" spans="1:17" s="197" customFormat="1" ht="42" customHeight="1">
      <c r="A1654" s="233">
        <v>454</v>
      </c>
      <c r="B1654" s="53" t="s">
        <v>10555</v>
      </c>
      <c r="C1654" s="11" t="s">
        <v>10664</v>
      </c>
      <c r="D1654" s="77" t="s">
        <v>2393</v>
      </c>
      <c r="E1654" s="11" t="s">
        <v>4842</v>
      </c>
      <c r="F1654" s="19" t="s">
        <v>7715</v>
      </c>
      <c r="G1654" s="11" t="s">
        <v>2272</v>
      </c>
      <c r="H1654" s="11" t="s">
        <v>4107</v>
      </c>
      <c r="I1654" s="70">
        <v>30.5</v>
      </c>
      <c r="J1654" s="70">
        <v>-99</v>
      </c>
      <c r="K1654" s="21" t="s">
        <v>2272</v>
      </c>
      <c r="L1654" s="11">
        <v>1992</v>
      </c>
      <c r="M1654" s="11">
        <v>2015</v>
      </c>
      <c r="N1654" s="77" t="s">
        <v>2272</v>
      </c>
      <c r="O1654" s="77" t="s">
        <v>66</v>
      </c>
      <c r="P1654" s="77" t="s">
        <v>5181</v>
      </c>
      <c r="Q1654" s="11"/>
    </row>
    <row r="1655" spans="1:17" s="197" customFormat="1" ht="42" customHeight="1">
      <c r="A1655" s="233">
        <v>454</v>
      </c>
      <c r="B1655" s="53" t="s">
        <v>10555</v>
      </c>
      <c r="C1655" s="11" t="s">
        <v>10665</v>
      </c>
      <c r="D1655" s="77" t="s">
        <v>2393</v>
      </c>
      <c r="E1655" s="11" t="s">
        <v>4842</v>
      </c>
      <c r="F1655" s="19" t="s">
        <v>10589</v>
      </c>
      <c r="G1655" s="11" t="s">
        <v>2272</v>
      </c>
      <c r="H1655" s="11" t="s">
        <v>4107</v>
      </c>
      <c r="I1655" s="70">
        <v>45</v>
      </c>
      <c r="J1655" s="70">
        <v>119</v>
      </c>
      <c r="K1655" s="21" t="s">
        <v>2272</v>
      </c>
      <c r="L1655" s="11">
        <v>1992</v>
      </c>
      <c r="M1655" s="11">
        <v>2015</v>
      </c>
      <c r="N1655" s="77" t="s">
        <v>2272</v>
      </c>
      <c r="O1655" s="77" t="s">
        <v>66</v>
      </c>
      <c r="P1655" s="77" t="s">
        <v>5181</v>
      </c>
      <c r="Q1655" s="11"/>
    </row>
    <row r="1656" spans="1:17" s="197" customFormat="1" ht="42" customHeight="1">
      <c r="A1656" s="233">
        <v>454</v>
      </c>
      <c r="B1656" s="53" t="s">
        <v>10555</v>
      </c>
      <c r="C1656" s="11" t="s">
        <v>10666</v>
      </c>
      <c r="D1656" s="77" t="s">
        <v>2393</v>
      </c>
      <c r="E1656" s="11" t="s">
        <v>4842</v>
      </c>
      <c r="F1656" s="19" t="s">
        <v>10590</v>
      </c>
      <c r="G1656" s="11" t="s">
        <v>2272</v>
      </c>
      <c r="H1656" s="11" t="s">
        <v>4107</v>
      </c>
      <c r="I1656" s="70">
        <v>34</v>
      </c>
      <c r="J1656" s="70">
        <v>-117</v>
      </c>
      <c r="K1656" s="21" t="s">
        <v>2272</v>
      </c>
      <c r="L1656" s="11">
        <v>1992</v>
      </c>
      <c r="M1656" s="11">
        <v>2015</v>
      </c>
      <c r="N1656" s="77" t="s">
        <v>2272</v>
      </c>
      <c r="O1656" s="77" t="s">
        <v>66</v>
      </c>
      <c r="P1656" s="77" t="s">
        <v>5181</v>
      </c>
      <c r="Q1656" s="11"/>
    </row>
    <row r="1657" spans="1:17" s="197" customFormat="1" ht="42" customHeight="1">
      <c r="A1657" s="233">
        <v>454</v>
      </c>
      <c r="B1657" s="53" t="s">
        <v>10555</v>
      </c>
      <c r="C1657" s="11" t="s">
        <v>10667</v>
      </c>
      <c r="D1657" s="77" t="s">
        <v>2393</v>
      </c>
      <c r="E1657" s="11" t="s">
        <v>4842</v>
      </c>
      <c r="F1657" s="19" t="s">
        <v>10591</v>
      </c>
      <c r="G1657" s="11" t="s">
        <v>2272</v>
      </c>
      <c r="H1657" s="11" t="s">
        <v>4107</v>
      </c>
      <c r="I1657" s="70">
        <v>38.5</v>
      </c>
      <c r="J1657" s="70">
        <v>-102.5</v>
      </c>
      <c r="K1657" s="21" t="s">
        <v>2272</v>
      </c>
      <c r="L1657" s="11">
        <v>1992</v>
      </c>
      <c r="M1657" s="11">
        <v>2015</v>
      </c>
      <c r="N1657" s="77" t="s">
        <v>2272</v>
      </c>
      <c r="O1657" s="77" t="s">
        <v>66</v>
      </c>
      <c r="P1657" s="77" t="s">
        <v>5181</v>
      </c>
      <c r="Q1657" s="11"/>
    </row>
    <row r="1658" spans="1:17" s="197" customFormat="1" ht="42" customHeight="1">
      <c r="A1658" s="233">
        <v>454</v>
      </c>
      <c r="B1658" s="53" t="s">
        <v>10555</v>
      </c>
      <c r="C1658" s="11" t="s">
        <v>10668</v>
      </c>
      <c r="D1658" s="77" t="s">
        <v>2393</v>
      </c>
      <c r="E1658" s="11" t="s">
        <v>4842</v>
      </c>
      <c r="F1658" s="19" t="s">
        <v>7710</v>
      </c>
      <c r="G1658" s="11" t="s">
        <v>2272</v>
      </c>
      <c r="H1658" s="11" t="s">
        <v>4107</v>
      </c>
      <c r="I1658" s="70">
        <v>46</v>
      </c>
      <c r="J1658" s="70">
        <v>-105</v>
      </c>
      <c r="K1658" s="21" t="s">
        <v>2272</v>
      </c>
      <c r="L1658" s="11">
        <v>1992</v>
      </c>
      <c r="M1658" s="11">
        <v>2015</v>
      </c>
      <c r="N1658" s="77" t="s">
        <v>2272</v>
      </c>
      <c r="O1658" s="77" t="s">
        <v>66</v>
      </c>
      <c r="P1658" s="77" t="s">
        <v>5181</v>
      </c>
      <c r="Q1658" s="11"/>
    </row>
    <row r="1659" spans="1:17" s="197" customFormat="1" ht="42" customHeight="1">
      <c r="A1659" s="233">
        <v>454</v>
      </c>
      <c r="B1659" s="53" t="s">
        <v>10555</v>
      </c>
      <c r="C1659" s="11" t="s">
        <v>10669</v>
      </c>
      <c r="D1659" s="77" t="s">
        <v>2393</v>
      </c>
      <c r="E1659" s="11" t="s">
        <v>4842</v>
      </c>
      <c r="F1659" s="19" t="s">
        <v>10592</v>
      </c>
      <c r="G1659" s="11" t="s">
        <v>2272</v>
      </c>
      <c r="H1659" s="11" t="s">
        <v>4107</v>
      </c>
      <c r="I1659" s="70">
        <v>44</v>
      </c>
      <c r="J1659" s="70">
        <v>-103.5</v>
      </c>
      <c r="K1659" s="21" t="s">
        <v>2272</v>
      </c>
      <c r="L1659" s="11">
        <v>1992</v>
      </c>
      <c r="M1659" s="11">
        <v>2015</v>
      </c>
      <c r="N1659" s="77" t="s">
        <v>2272</v>
      </c>
      <c r="O1659" s="77" t="s">
        <v>66</v>
      </c>
      <c r="P1659" s="77" t="s">
        <v>5181</v>
      </c>
      <c r="Q1659" s="11"/>
    </row>
    <row r="1660" spans="1:17" s="197" customFormat="1" ht="42" customHeight="1">
      <c r="A1660" s="233">
        <v>454</v>
      </c>
      <c r="B1660" s="53" t="s">
        <v>10555</v>
      </c>
      <c r="C1660" s="11" t="s">
        <v>10670</v>
      </c>
      <c r="D1660" s="77" t="s">
        <v>2393</v>
      </c>
      <c r="E1660" s="11" t="s">
        <v>4842</v>
      </c>
      <c r="F1660" s="19" t="s">
        <v>10593</v>
      </c>
      <c r="G1660" s="11" t="s">
        <v>2272</v>
      </c>
      <c r="H1660" s="11" t="s">
        <v>4107</v>
      </c>
      <c r="I1660" s="70">
        <v>34</v>
      </c>
      <c r="J1660" s="70">
        <v>-110</v>
      </c>
      <c r="K1660" s="21" t="s">
        <v>2272</v>
      </c>
      <c r="L1660" s="11">
        <v>1992</v>
      </c>
      <c r="M1660" s="11">
        <v>2015</v>
      </c>
      <c r="N1660" s="77" t="s">
        <v>2272</v>
      </c>
      <c r="O1660" s="77" t="s">
        <v>66</v>
      </c>
      <c r="P1660" s="77" t="s">
        <v>5181</v>
      </c>
      <c r="Q1660" s="11"/>
    </row>
    <row r="1661" spans="1:17" s="197" customFormat="1" ht="42" customHeight="1">
      <c r="A1661" s="233">
        <v>454</v>
      </c>
      <c r="B1661" s="53" t="s">
        <v>10555</v>
      </c>
      <c r="C1661" s="11" t="s">
        <v>10671</v>
      </c>
      <c r="D1661" s="77" t="s">
        <v>2393</v>
      </c>
      <c r="E1661" s="11" t="s">
        <v>4842</v>
      </c>
      <c r="F1661" s="19" t="s">
        <v>10594</v>
      </c>
      <c r="G1661" s="11" t="s">
        <v>2272</v>
      </c>
      <c r="H1661" s="11" t="s">
        <v>4107</v>
      </c>
      <c r="I1661" s="70">
        <v>41</v>
      </c>
      <c r="J1661" s="70">
        <v>-123</v>
      </c>
      <c r="K1661" s="21" t="s">
        <v>2272</v>
      </c>
      <c r="L1661" s="11">
        <v>1992</v>
      </c>
      <c r="M1661" s="11">
        <v>2015</v>
      </c>
      <c r="N1661" s="77" t="s">
        <v>2272</v>
      </c>
      <c r="O1661" s="77" t="s">
        <v>66</v>
      </c>
      <c r="P1661" s="77" t="s">
        <v>5181</v>
      </c>
      <c r="Q1661" s="11"/>
    </row>
    <row r="1662" spans="1:17" s="197" customFormat="1" ht="42" customHeight="1">
      <c r="A1662" s="233">
        <v>454</v>
      </c>
      <c r="B1662" s="53" t="s">
        <v>10555</v>
      </c>
      <c r="C1662" s="11" t="s">
        <v>10672</v>
      </c>
      <c r="D1662" s="77" t="s">
        <v>2393</v>
      </c>
      <c r="E1662" s="11" t="s">
        <v>4842</v>
      </c>
      <c r="F1662" s="19" t="s">
        <v>10595</v>
      </c>
      <c r="G1662" s="11" t="s">
        <v>2272</v>
      </c>
      <c r="H1662" s="11" t="s">
        <v>4107</v>
      </c>
      <c r="I1662" s="70">
        <v>28.5</v>
      </c>
      <c r="J1662" s="70">
        <v>-97.5</v>
      </c>
      <c r="K1662" s="21" t="s">
        <v>2272</v>
      </c>
      <c r="L1662" s="11">
        <v>1992</v>
      </c>
      <c r="M1662" s="11">
        <v>2015</v>
      </c>
      <c r="N1662" s="77" t="s">
        <v>2272</v>
      </c>
      <c r="O1662" s="77" t="s">
        <v>66</v>
      </c>
      <c r="P1662" s="77" t="s">
        <v>5181</v>
      </c>
      <c r="Q1662" s="11"/>
    </row>
    <row r="1663" spans="1:17" s="197" customFormat="1" ht="42" customHeight="1">
      <c r="A1663" s="233">
        <v>454</v>
      </c>
      <c r="B1663" s="53" t="s">
        <v>10555</v>
      </c>
      <c r="C1663" s="11" t="s">
        <v>10673</v>
      </c>
      <c r="D1663" s="77" t="s">
        <v>2393</v>
      </c>
      <c r="E1663" s="11" t="s">
        <v>4842</v>
      </c>
      <c r="F1663" s="19" t="s">
        <v>7702</v>
      </c>
      <c r="G1663" s="11" t="s">
        <v>2272</v>
      </c>
      <c r="H1663" s="11" t="s">
        <v>4107</v>
      </c>
      <c r="I1663" s="70">
        <v>42.5</v>
      </c>
      <c r="J1663" s="70">
        <v>-108</v>
      </c>
      <c r="K1663" s="21" t="s">
        <v>2272</v>
      </c>
      <c r="L1663" s="11">
        <v>1992</v>
      </c>
      <c r="M1663" s="11">
        <v>2015</v>
      </c>
      <c r="N1663" s="77" t="s">
        <v>2272</v>
      </c>
      <c r="O1663" s="77" t="s">
        <v>66</v>
      </c>
      <c r="P1663" s="77" t="s">
        <v>5181</v>
      </c>
      <c r="Q1663" s="11"/>
    </row>
    <row r="1664" spans="1:17" s="197" customFormat="1" ht="42" customHeight="1">
      <c r="A1664" s="233">
        <v>454</v>
      </c>
      <c r="B1664" s="53" t="s">
        <v>10555</v>
      </c>
      <c r="C1664" s="11" t="s">
        <v>10674</v>
      </c>
      <c r="D1664" s="77" t="s">
        <v>2393</v>
      </c>
      <c r="E1664" s="11" t="s">
        <v>4842</v>
      </c>
      <c r="F1664" s="19" t="s">
        <v>10596</v>
      </c>
      <c r="G1664" s="11" t="s">
        <v>2272</v>
      </c>
      <c r="H1664" s="11" t="s">
        <v>4107</v>
      </c>
      <c r="I1664" s="70">
        <v>40</v>
      </c>
      <c r="J1664" s="70">
        <v>-111.25</v>
      </c>
      <c r="K1664" s="21" t="s">
        <v>2272</v>
      </c>
      <c r="L1664" s="11">
        <v>1992</v>
      </c>
      <c r="M1664" s="11">
        <v>2015</v>
      </c>
      <c r="N1664" s="77" t="s">
        <v>2272</v>
      </c>
      <c r="O1664" s="77" t="s">
        <v>66</v>
      </c>
      <c r="P1664" s="77" t="s">
        <v>5181</v>
      </c>
      <c r="Q1664" s="11"/>
    </row>
    <row r="1665" spans="1:17" s="197" customFormat="1" ht="42" customHeight="1">
      <c r="A1665" s="233">
        <v>454</v>
      </c>
      <c r="B1665" s="53" t="s">
        <v>10555</v>
      </c>
      <c r="C1665" s="11" t="s">
        <v>10675</v>
      </c>
      <c r="D1665" s="77" t="s">
        <v>2393</v>
      </c>
      <c r="E1665" s="11" t="s">
        <v>4842</v>
      </c>
      <c r="F1665" s="19" t="s">
        <v>10597</v>
      </c>
      <c r="G1665" s="11" t="s">
        <v>2272</v>
      </c>
      <c r="H1665" s="11" t="s">
        <v>4107</v>
      </c>
      <c r="I1665" s="70">
        <v>39</v>
      </c>
      <c r="J1665" s="70">
        <v>-107</v>
      </c>
      <c r="K1665" s="21" t="s">
        <v>2272</v>
      </c>
      <c r="L1665" s="11">
        <v>1992</v>
      </c>
      <c r="M1665" s="11">
        <v>2015</v>
      </c>
      <c r="N1665" s="77" t="s">
        <v>2272</v>
      </c>
      <c r="O1665" s="77" t="s">
        <v>66</v>
      </c>
      <c r="P1665" s="77" t="s">
        <v>5181</v>
      </c>
      <c r="Q1665" s="11"/>
    </row>
    <row r="1666" spans="1:17" s="197" customFormat="1" ht="42" customHeight="1">
      <c r="A1666" s="233">
        <v>454</v>
      </c>
      <c r="B1666" s="53" t="s">
        <v>10555</v>
      </c>
      <c r="C1666" s="11" t="s">
        <v>10676</v>
      </c>
      <c r="D1666" s="77" t="s">
        <v>2393</v>
      </c>
      <c r="E1666" s="11" t="s">
        <v>4842</v>
      </c>
      <c r="F1666" s="19" t="s">
        <v>10598</v>
      </c>
      <c r="G1666" s="11" t="s">
        <v>2272</v>
      </c>
      <c r="H1666" s="11" t="s">
        <v>4107</v>
      </c>
      <c r="I1666" s="70">
        <v>48.5</v>
      </c>
      <c r="J1666" s="70">
        <v>-96.5</v>
      </c>
      <c r="K1666" s="21" t="s">
        <v>2272</v>
      </c>
      <c r="L1666" s="11">
        <v>1992</v>
      </c>
      <c r="M1666" s="11">
        <v>2015</v>
      </c>
      <c r="N1666" s="77" t="s">
        <v>2272</v>
      </c>
      <c r="O1666" s="77" t="s">
        <v>66</v>
      </c>
      <c r="P1666" s="77" t="s">
        <v>5181</v>
      </c>
      <c r="Q1666" s="11"/>
    </row>
    <row r="1667" spans="1:17" s="197" customFormat="1" ht="42" customHeight="1">
      <c r="A1667" s="233">
        <v>454</v>
      </c>
      <c r="B1667" s="53" t="s">
        <v>10555</v>
      </c>
      <c r="C1667" s="11" t="s">
        <v>10677</v>
      </c>
      <c r="D1667" s="77" t="s">
        <v>2393</v>
      </c>
      <c r="E1667" s="11" t="s">
        <v>4842</v>
      </c>
      <c r="F1667" s="19" t="s">
        <v>10599</v>
      </c>
      <c r="G1667" s="11" t="s">
        <v>2272</v>
      </c>
      <c r="H1667" s="11" t="s">
        <v>4107</v>
      </c>
      <c r="I1667" s="70">
        <v>32</v>
      </c>
      <c r="J1667" s="70">
        <v>-97.5</v>
      </c>
      <c r="K1667" s="21" t="s">
        <v>2272</v>
      </c>
      <c r="L1667" s="11">
        <v>1992</v>
      </c>
      <c r="M1667" s="11">
        <v>2015</v>
      </c>
      <c r="N1667" s="77" t="s">
        <v>2272</v>
      </c>
      <c r="O1667" s="77" t="s">
        <v>66</v>
      </c>
      <c r="P1667" s="77" t="s">
        <v>5181</v>
      </c>
      <c r="Q1667" s="11"/>
    </row>
    <row r="1668" spans="1:17" s="197" customFormat="1" ht="42" customHeight="1">
      <c r="A1668" s="233">
        <v>454</v>
      </c>
      <c r="B1668" s="53" t="s">
        <v>10555</v>
      </c>
      <c r="C1668" s="11" t="s">
        <v>10678</v>
      </c>
      <c r="D1668" s="77" t="s">
        <v>2393</v>
      </c>
      <c r="E1668" s="11" t="s">
        <v>4842</v>
      </c>
      <c r="F1668" s="19" t="s">
        <v>10122</v>
      </c>
      <c r="G1668" s="11" t="s">
        <v>2272</v>
      </c>
      <c r="H1668" s="11" t="s">
        <v>4107</v>
      </c>
      <c r="I1668" s="70">
        <v>38.5</v>
      </c>
      <c r="J1668" s="70">
        <v>-119.5</v>
      </c>
      <c r="K1668" s="21" t="s">
        <v>2272</v>
      </c>
      <c r="L1668" s="11">
        <v>1992</v>
      </c>
      <c r="M1668" s="11">
        <v>2015</v>
      </c>
      <c r="N1668" s="77" t="s">
        <v>2272</v>
      </c>
      <c r="O1668" s="77" t="s">
        <v>66</v>
      </c>
      <c r="P1668" s="77" t="s">
        <v>5181</v>
      </c>
      <c r="Q1668" s="11"/>
    </row>
    <row r="1669" spans="1:17" s="197" customFormat="1" ht="42" customHeight="1">
      <c r="A1669" s="233">
        <v>454</v>
      </c>
      <c r="B1669" s="53" t="s">
        <v>10555</v>
      </c>
      <c r="C1669" s="11" t="s">
        <v>10679</v>
      </c>
      <c r="D1669" s="77" t="s">
        <v>2393</v>
      </c>
      <c r="E1669" s="11" t="s">
        <v>4842</v>
      </c>
      <c r="F1669" s="19" t="s">
        <v>10600</v>
      </c>
      <c r="G1669" s="11" t="s">
        <v>2272</v>
      </c>
      <c r="H1669" s="11" t="s">
        <v>4107</v>
      </c>
      <c r="I1669" s="70">
        <v>39.5</v>
      </c>
      <c r="J1669" s="70">
        <v>-123</v>
      </c>
      <c r="K1669" s="21" t="s">
        <v>2272</v>
      </c>
      <c r="L1669" s="11">
        <v>1992</v>
      </c>
      <c r="M1669" s="11">
        <v>2015</v>
      </c>
      <c r="N1669" s="77" t="s">
        <v>2272</v>
      </c>
      <c r="O1669" s="77" t="s">
        <v>66</v>
      </c>
      <c r="P1669" s="77" t="s">
        <v>5181</v>
      </c>
      <c r="Q1669" s="11"/>
    </row>
    <row r="1670" spans="1:17" s="197" customFormat="1" ht="42" customHeight="1">
      <c r="A1670" s="233">
        <v>454</v>
      </c>
      <c r="B1670" s="53" t="s">
        <v>10555</v>
      </c>
      <c r="C1670" s="11" t="s">
        <v>10680</v>
      </c>
      <c r="D1670" s="77" t="s">
        <v>2393</v>
      </c>
      <c r="E1670" s="11" t="s">
        <v>4842</v>
      </c>
      <c r="F1670" s="19" t="s">
        <v>10601</v>
      </c>
      <c r="G1670" s="11" t="s">
        <v>2272</v>
      </c>
      <c r="H1670" s="11" t="s">
        <v>4107</v>
      </c>
      <c r="I1670" s="70">
        <v>48.5</v>
      </c>
      <c r="J1670" s="70">
        <v>-95</v>
      </c>
      <c r="K1670" s="21" t="s">
        <v>2272</v>
      </c>
      <c r="L1670" s="11">
        <v>1992</v>
      </c>
      <c r="M1670" s="11">
        <v>2015</v>
      </c>
      <c r="N1670" s="77" t="s">
        <v>2272</v>
      </c>
      <c r="O1670" s="77" t="s">
        <v>66</v>
      </c>
      <c r="P1670" s="77" t="s">
        <v>5181</v>
      </c>
      <c r="Q1670" s="11"/>
    </row>
    <row r="1671" spans="1:17" s="197" customFormat="1" ht="42" customHeight="1">
      <c r="A1671" s="233">
        <v>454</v>
      </c>
      <c r="B1671" s="53" t="s">
        <v>10555</v>
      </c>
      <c r="C1671" s="11" t="s">
        <v>10681</v>
      </c>
      <c r="D1671" s="77" t="s">
        <v>2393</v>
      </c>
      <c r="E1671" s="11" t="s">
        <v>4842</v>
      </c>
      <c r="F1671" s="19" t="s">
        <v>10602</v>
      </c>
      <c r="G1671" s="11" t="s">
        <v>2272</v>
      </c>
      <c r="H1671" s="11" t="s">
        <v>4107</v>
      </c>
      <c r="I1671" s="70">
        <v>48.5</v>
      </c>
      <c r="J1671" s="70">
        <v>-110</v>
      </c>
      <c r="K1671" s="21" t="s">
        <v>2272</v>
      </c>
      <c r="L1671" s="11">
        <v>1992</v>
      </c>
      <c r="M1671" s="11">
        <v>2015</v>
      </c>
      <c r="N1671" s="77" t="s">
        <v>2272</v>
      </c>
      <c r="O1671" s="77" t="s">
        <v>66</v>
      </c>
      <c r="P1671" s="77" t="s">
        <v>5181</v>
      </c>
      <c r="Q1671" s="11"/>
    </row>
    <row r="1672" spans="1:17" s="197" customFormat="1" ht="42" customHeight="1">
      <c r="A1672" s="233">
        <v>454</v>
      </c>
      <c r="B1672" s="53" t="s">
        <v>10555</v>
      </c>
      <c r="C1672" s="11" t="s">
        <v>10682</v>
      </c>
      <c r="D1672" s="77" t="s">
        <v>2393</v>
      </c>
      <c r="E1672" s="11" t="s">
        <v>4842</v>
      </c>
      <c r="F1672" s="19" t="s">
        <v>10603</v>
      </c>
      <c r="G1672" s="11" t="s">
        <v>2272</v>
      </c>
      <c r="H1672" s="11" t="s">
        <v>4107</v>
      </c>
      <c r="I1672" s="70">
        <v>37.5</v>
      </c>
      <c r="J1672" s="70">
        <v>-99</v>
      </c>
      <c r="K1672" s="21" t="s">
        <v>2272</v>
      </c>
      <c r="L1672" s="11">
        <v>1992</v>
      </c>
      <c r="M1672" s="11">
        <v>2015</v>
      </c>
      <c r="N1672" s="77" t="s">
        <v>2272</v>
      </c>
      <c r="O1672" s="77" t="s">
        <v>66</v>
      </c>
      <c r="P1672" s="77" t="s">
        <v>5181</v>
      </c>
      <c r="Q1672" s="11"/>
    </row>
    <row r="1673" spans="1:17" s="197" customFormat="1" ht="42" customHeight="1">
      <c r="A1673" s="233">
        <v>454</v>
      </c>
      <c r="B1673" s="53" t="s">
        <v>10555</v>
      </c>
      <c r="C1673" s="11" t="s">
        <v>10683</v>
      </c>
      <c r="D1673" s="77" t="s">
        <v>2393</v>
      </c>
      <c r="E1673" s="11" t="s">
        <v>4842</v>
      </c>
      <c r="F1673" s="19" t="s">
        <v>10604</v>
      </c>
      <c r="G1673" s="11" t="s">
        <v>2272</v>
      </c>
      <c r="H1673" s="11" t="s">
        <v>4107</v>
      </c>
      <c r="I1673" s="70">
        <v>28.5</v>
      </c>
      <c r="J1673" s="70">
        <v>-100</v>
      </c>
      <c r="K1673" s="21" t="s">
        <v>2272</v>
      </c>
      <c r="L1673" s="11">
        <v>1992</v>
      </c>
      <c r="M1673" s="11">
        <v>2015</v>
      </c>
      <c r="N1673" s="77" t="s">
        <v>2272</v>
      </c>
      <c r="O1673" s="77" t="s">
        <v>66</v>
      </c>
      <c r="P1673" s="77" t="s">
        <v>5181</v>
      </c>
      <c r="Q1673" s="11"/>
    </row>
    <row r="1674" spans="1:17" s="197" customFormat="1" ht="42" customHeight="1">
      <c r="A1674" s="233">
        <v>454</v>
      </c>
      <c r="B1674" s="53" t="s">
        <v>10555</v>
      </c>
      <c r="C1674" s="11" t="s">
        <v>10684</v>
      </c>
      <c r="D1674" s="77" t="s">
        <v>2393</v>
      </c>
      <c r="E1674" s="11" t="s">
        <v>4842</v>
      </c>
      <c r="F1674" s="19" t="s">
        <v>10605</v>
      </c>
      <c r="G1674" s="11" t="s">
        <v>2272</v>
      </c>
      <c r="H1674" s="11" t="s">
        <v>4107</v>
      </c>
      <c r="I1674" s="70">
        <v>48.5</v>
      </c>
      <c r="J1674" s="70">
        <v>-117.5</v>
      </c>
      <c r="K1674" s="21" t="s">
        <v>2272</v>
      </c>
      <c r="L1674" s="11">
        <v>1992</v>
      </c>
      <c r="M1674" s="11">
        <v>2015</v>
      </c>
      <c r="N1674" s="77" t="s">
        <v>2272</v>
      </c>
      <c r="O1674" s="77" t="s">
        <v>66</v>
      </c>
      <c r="P1674" s="77" t="s">
        <v>5181</v>
      </c>
      <c r="Q1674" s="11"/>
    </row>
    <row r="1675" spans="1:17" s="197" customFormat="1" ht="42" customHeight="1">
      <c r="A1675" s="233">
        <v>454</v>
      </c>
      <c r="B1675" s="53" t="s">
        <v>10555</v>
      </c>
      <c r="C1675" s="11" t="s">
        <v>10685</v>
      </c>
      <c r="D1675" s="77" t="s">
        <v>2393</v>
      </c>
      <c r="E1675" s="11" t="s">
        <v>4842</v>
      </c>
      <c r="F1675" s="19" t="s">
        <v>10606</v>
      </c>
      <c r="G1675" s="11" t="s">
        <v>2272</v>
      </c>
      <c r="H1675" s="11" t="s">
        <v>4107</v>
      </c>
      <c r="I1675" s="70">
        <v>42</v>
      </c>
      <c r="J1675" s="70">
        <v>-121.5</v>
      </c>
      <c r="K1675" s="21" t="s">
        <v>2272</v>
      </c>
      <c r="L1675" s="11">
        <v>1992</v>
      </c>
      <c r="M1675" s="11">
        <v>2015</v>
      </c>
      <c r="N1675" s="77" t="s">
        <v>2272</v>
      </c>
      <c r="O1675" s="77" t="s">
        <v>66</v>
      </c>
      <c r="P1675" s="77" t="s">
        <v>5181</v>
      </c>
      <c r="Q1675" s="11"/>
    </row>
    <row r="1676" spans="1:17" s="197" customFormat="1" ht="42" customHeight="1">
      <c r="A1676" s="233">
        <v>454</v>
      </c>
      <c r="B1676" s="53" t="s">
        <v>10555</v>
      </c>
      <c r="C1676" s="11" t="s">
        <v>10686</v>
      </c>
      <c r="D1676" s="77" t="s">
        <v>2393</v>
      </c>
      <c r="E1676" s="11" t="s">
        <v>4842</v>
      </c>
      <c r="F1676" s="19" t="s">
        <v>10607</v>
      </c>
      <c r="G1676" s="11" t="s">
        <v>2272</v>
      </c>
      <c r="H1676" s="11" t="s">
        <v>4107</v>
      </c>
      <c r="I1676" s="70">
        <v>39</v>
      </c>
      <c r="J1676" s="70">
        <v>109.5</v>
      </c>
      <c r="K1676" s="21" t="s">
        <v>2272</v>
      </c>
      <c r="L1676" s="11">
        <v>1992</v>
      </c>
      <c r="M1676" s="11">
        <v>2015</v>
      </c>
      <c r="N1676" s="77" t="s">
        <v>2272</v>
      </c>
      <c r="O1676" s="77" t="s">
        <v>66</v>
      </c>
      <c r="P1676" s="77" t="s">
        <v>5181</v>
      </c>
      <c r="Q1676" s="11"/>
    </row>
    <row r="1677" spans="1:17" s="197" customFormat="1" ht="42" customHeight="1">
      <c r="A1677" s="233">
        <v>454</v>
      </c>
      <c r="B1677" s="53" t="s">
        <v>10555</v>
      </c>
      <c r="C1677" s="11" t="s">
        <v>10687</v>
      </c>
      <c r="D1677" s="77" t="s">
        <v>2393</v>
      </c>
      <c r="E1677" s="11" t="s">
        <v>4842</v>
      </c>
      <c r="F1677" s="19" t="s">
        <v>10608</v>
      </c>
      <c r="G1677" s="11" t="s">
        <v>2272</v>
      </c>
      <c r="H1677" s="11" t="s">
        <v>4107</v>
      </c>
      <c r="I1677" s="70">
        <v>35</v>
      </c>
      <c r="J1677" s="70">
        <v>-110</v>
      </c>
      <c r="K1677" s="21" t="s">
        <v>2272</v>
      </c>
      <c r="L1677" s="11">
        <v>1992</v>
      </c>
      <c r="M1677" s="11">
        <v>2015</v>
      </c>
      <c r="N1677" s="77" t="s">
        <v>2272</v>
      </c>
      <c r="O1677" s="77" t="s">
        <v>66</v>
      </c>
      <c r="P1677" s="77" t="s">
        <v>5181</v>
      </c>
      <c r="Q1677" s="11"/>
    </row>
    <row r="1678" spans="1:17" s="197" customFormat="1" ht="42" customHeight="1">
      <c r="A1678" s="233">
        <v>454</v>
      </c>
      <c r="B1678" s="53" t="s">
        <v>10555</v>
      </c>
      <c r="C1678" s="11" t="s">
        <v>10688</v>
      </c>
      <c r="D1678" s="77" t="s">
        <v>2393</v>
      </c>
      <c r="E1678" s="11" t="s">
        <v>4842</v>
      </c>
      <c r="F1678" s="19" t="s">
        <v>10609</v>
      </c>
      <c r="G1678" s="11" t="s">
        <v>2272</v>
      </c>
      <c r="H1678" s="11" t="s">
        <v>4107</v>
      </c>
      <c r="I1678" s="70">
        <v>36.25</v>
      </c>
      <c r="J1678" s="70">
        <v>-83</v>
      </c>
      <c r="K1678" s="21" t="s">
        <v>2272</v>
      </c>
      <c r="L1678" s="11">
        <v>1992</v>
      </c>
      <c r="M1678" s="11">
        <v>2015</v>
      </c>
      <c r="N1678" s="77" t="s">
        <v>2272</v>
      </c>
      <c r="O1678" s="77" t="s">
        <v>66</v>
      </c>
      <c r="P1678" s="77" t="s">
        <v>5181</v>
      </c>
      <c r="Q1678" s="11"/>
    </row>
    <row r="1679" spans="1:17" s="197" customFormat="1" ht="42" customHeight="1">
      <c r="A1679" s="233">
        <v>454</v>
      </c>
      <c r="B1679" s="53" t="s">
        <v>10555</v>
      </c>
      <c r="C1679" s="11" t="s">
        <v>10689</v>
      </c>
      <c r="D1679" s="77" t="s">
        <v>2393</v>
      </c>
      <c r="E1679" s="11" t="s">
        <v>4842</v>
      </c>
      <c r="F1679" s="19" t="s">
        <v>10610</v>
      </c>
      <c r="G1679" s="11" t="s">
        <v>2272</v>
      </c>
      <c r="H1679" s="11" t="s">
        <v>4107</v>
      </c>
      <c r="I1679" s="70">
        <v>35.25</v>
      </c>
      <c r="J1679" s="70">
        <v>-93.5</v>
      </c>
      <c r="K1679" s="21" t="s">
        <v>2272</v>
      </c>
      <c r="L1679" s="11">
        <v>1992</v>
      </c>
      <c r="M1679" s="11">
        <v>2015</v>
      </c>
      <c r="N1679" s="77" t="s">
        <v>2272</v>
      </c>
      <c r="O1679" s="77" t="s">
        <v>66</v>
      </c>
      <c r="P1679" s="77" t="s">
        <v>5181</v>
      </c>
      <c r="Q1679" s="11"/>
    </row>
    <row r="1680" spans="1:17" s="197" customFormat="1" ht="42" customHeight="1">
      <c r="A1680" s="233">
        <v>454</v>
      </c>
      <c r="B1680" s="53" t="s">
        <v>10555</v>
      </c>
      <c r="C1680" s="11" t="s">
        <v>10690</v>
      </c>
      <c r="D1680" s="77" t="s">
        <v>2393</v>
      </c>
      <c r="E1680" s="11" t="s">
        <v>4842</v>
      </c>
      <c r="F1680" s="19" t="s">
        <v>10611</v>
      </c>
      <c r="G1680" s="11" t="s">
        <v>2272</v>
      </c>
      <c r="H1680" s="11" t="s">
        <v>4107</v>
      </c>
      <c r="I1680" s="70">
        <v>29</v>
      </c>
      <c r="J1680" s="70">
        <v>-81.5</v>
      </c>
      <c r="K1680" s="21" t="s">
        <v>2272</v>
      </c>
      <c r="L1680" s="11">
        <v>1992</v>
      </c>
      <c r="M1680" s="11">
        <v>2015</v>
      </c>
      <c r="N1680" s="77" t="s">
        <v>2272</v>
      </c>
      <c r="O1680" s="77" t="s">
        <v>66</v>
      </c>
      <c r="P1680" s="77" t="s">
        <v>5181</v>
      </c>
      <c r="Q1680" s="11"/>
    </row>
    <row r="1681" spans="1:17" s="197" customFormat="1" ht="42" customHeight="1">
      <c r="A1681" s="233">
        <v>454</v>
      </c>
      <c r="B1681" s="53" t="s">
        <v>10555</v>
      </c>
      <c r="C1681" s="11" t="s">
        <v>10691</v>
      </c>
      <c r="D1681" s="77" t="s">
        <v>2393</v>
      </c>
      <c r="E1681" s="11" t="s">
        <v>4842</v>
      </c>
      <c r="F1681" s="19" t="s">
        <v>10612</v>
      </c>
      <c r="G1681" s="11" t="s">
        <v>2272</v>
      </c>
      <c r="H1681" s="11" t="s">
        <v>4107</v>
      </c>
      <c r="I1681" s="70">
        <v>45</v>
      </c>
      <c r="J1681" s="70">
        <v>-122</v>
      </c>
      <c r="K1681" s="21" t="s">
        <v>2272</v>
      </c>
      <c r="L1681" s="11">
        <v>1992</v>
      </c>
      <c r="M1681" s="11">
        <v>2015</v>
      </c>
      <c r="N1681" s="77" t="s">
        <v>2272</v>
      </c>
      <c r="O1681" s="77" t="s">
        <v>66</v>
      </c>
      <c r="P1681" s="77" t="s">
        <v>5181</v>
      </c>
      <c r="Q1681" s="11"/>
    </row>
    <row r="1682" spans="1:17" s="197" customFormat="1" ht="42" customHeight="1">
      <c r="A1682" s="233">
        <v>454</v>
      </c>
      <c r="B1682" s="53" t="s">
        <v>10555</v>
      </c>
      <c r="C1682" s="11" t="s">
        <v>10692</v>
      </c>
      <c r="D1682" s="77" t="s">
        <v>2393</v>
      </c>
      <c r="E1682" s="11" t="s">
        <v>4842</v>
      </c>
      <c r="F1682" s="19" t="s">
        <v>10613</v>
      </c>
      <c r="G1682" s="11" t="s">
        <v>2272</v>
      </c>
      <c r="H1682" s="11" t="s">
        <v>4107</v>
      </c>
      <c r="I1682" s="70">
        <v>34.75</v>
      </c>
      <c r="J1682" s="70">
        <v>-93.5</v>
      </c>
      <c r="K1682" s="21" t="s">
        <v>2272</v>
      </c>
      <c r="L1682" s="11">
        <v>1992</v>
      </c>
      <c r="M1682" s="11">
        <v>2015</v>
      </c>
      <c r="N1682" s="77" t="s">
        <v>2272</v>
      </c>
      <c r="O1682" s="77" t="s">
        <v>66</v>
      </c>
      <c r="P1682" s="77" t="s">
        <v>5181</v>
      </c>
      <c r="Q1682" s="11"/>
    </row>
    <row r="1683" spans="1:17" s="197" customFormat="1" ht="42" customHeight="1">
      <c r="A1683" s="233">
        <v>454</v>
      </c>
      <c r="B1683" s="53" t="s">
        <v>10555</v>
      </c>
      <c r="C1683" s="11" t="s">
        <v>10693</v>
      </c>
      <c r="D1683" s="77" t="s">
        <v>2393</v>
      </c>
      <c r="E1683" s="11" t="s">
        <v>4842</v>
      </c>
      <c r="F1683" s="19" t="s">
        <v>10614</v>
      </c>
      <c r="G1683" s="11" t="s">
        <v>2272</v>
      </c>
      <c r="H1683" s="11" t="s">
        <v>4107</v>
      </c>
      <c r="I1683" s="70">
        <v>36.5</v>
      </c>
      <c r="J1683" s="70">
        <v>-95.5</v>
      </c>
      <c r="K1683" s="21" t="s">
        <v>2272</v>
      </c>
      <c r="L1683" s="11">
        <v>1992</v>
      </c>
      <c r="M1683" s="11">
        <v>2015</v>
      </c>
      <c r="N1683" s="77" t="s">
        <v>2272</v>
      </c>
      <c r="O1683" s="77" t="s">
        <v>66</v>
      </c>
      <c r="P1683" s="77" t="s">
        <v>5181</v>
      </c>
      <c r="Q1683" s="11"/>
    </row>
    <row r="1684" spans="1:17" s="197" customFormat="1" ht="42" customHeight="1">
      <c r="A1684" s="233">
        <v>454</v>
      </c>
      <c r="B1684" s="53" t="s">
        <v>10555</v>
      </c>
      <c r="C1684" s="11" t="s">
        <v>10694</v>
      </c>
      <c r="D1684" s="77" t="s">
        <v>2393</v>
      </c>
      <c r="E1684" s="11" t="s">
        <v>4842</v>
      </c>
      <c r="F1684" s="19" t="s">
        <v>7694</v>
      </c>
      <c r="G1684" s="11" t="s">
        <v>2272</v>
      </c>
      <c r="H1684" s="11" t="s">
        <v>4107</v>
      </c>
      <c r="I1684" s="70">
        <v>33</v>
      </c>
      <c r="J1684" s="70">
        <v>-114</v>
      </c>
      <c r="K1684" s="21" t="s">
        <v>2272</v>
      </c>
      <c r="L1684" s="11">
        <v>1992</v>
      </c>
      <c r="M1684" s="11">
        <v>2015</v>
      </c>
      <c r="N1684" s="77" t="s">
        <v>2272</v>
      </c>
      <c r="O1684" s="77" t="s">
        <v>66</v>
      </c>
      <c r="P1684" s="77" t="s">
        <v>5181</v>
      </c>
      <c r="Q1684" s="11"/>
    </row>
    <row r="1685" spans="1:17" s="197" customFormat="1" ht="42" customHeight="1">
      <c r="A1685" s="233">
        <v>454</v>
      </c>
      <c r="B1685" s="53" t="s">
        <v>10555</v>
      </c>
      <c r="C1685" s="11" t="s">
        <v>10695</v>
      </c>
      <c r="D1685" s="77" t="s">
        <v>2393</v>
      </c>
      <c r="E1685" s="11" t="s">
        <v>4842</v>
      </c>
      <c r="F1685" s="19" t="s">
        <v>10615</v>
      </c>
      <c r="G1685" s="11" t="s">
        <v>2272</v>
      </c>
      <c r="H1685" s="11" t="s">
        <v>4107</v>
      </c>
      <c r="I1685" s="70">
        <v>30</v>
      </c>
      <c r="J1685" s="70">
        <v>-103.75</v>
      </c>
      <c r="K1685" s="21" t="s">
        <v>2272</v>
      </c>
      <c r="L1685" s="11">
        <v>1992</v>
      </c>
      <c r="M1685" s="11">
        <v>2015</v>
      </c>
      <c r="N1685" s="77" t="s">
        <v>2272</v>
      </c>
      <c r="O1685" s="77" t="s">
        <v>66</v>
      </c>
      <c r="P1685" s="77" t="s">
        <v>5181</v>
      </c>
      <c r="Q1685" s="19" t="s">
        <v>11518</v>
      </c>
    </row>
    <row r="1686" spans="1:17" s="197" customFormat="1" ht="42" customHeight="1">
      <c r="A1686" s="233">
        <v>454</v>
      </c>
      <c r="B1686" s="53" t="s">
        <v>10555</v>
      </c>
      <c r="C1686" s="11" t="s">
        <v>10696</v>
      </c>
      <c r="D1686" s="77" t="s">
        <v>2393</v>
      </c>
      <c r="E1686" s="11" t="s">
        <v>4842</v>
      </c>
      <c r="F1686" s="19" t="s">
        <v>10616</v>
      </c>
      <c r="G1686" s="11" t="s">
        <v>2272</v>
      </c>
      <c r="H1686" s="11" t="s">
        <v>4107</v>
      </c>
      <c r="I1686" s="70">
        <v>35.75</v>
      </c>
      <c r="J1686" s="70">
        <v>-93.5</v>
      </c>
      <c r="K1686" s="21" t="s">
        <v>2272</v>
      </c>
      <c r="L1686" s="11">
        <v>1992</v>
      </c>
      <c r="M1686" s="11">
        <v>2015</v>
      </c>
      <c r="N1686" s="77" t="s">
        <v>2272</v>
      </c>
      <c r="O1686" s="77" t="s">
        <v>66</v>
      </c>
      <c r="P1686" s="77" t="s">
        <v>5181</v>
      </c>
      <c r="Q1686" s="11"/>
    </row>
    <row r="1687" spans="1:17" s="197" customFormat="1" ht="42" customHeight="1">
      <c r="A1687" s="233">
        <v>454</v>
      </c>
      <c r="B1687" s="53" t="s">
        <v>10555</v>
      </c>
      <c r="C1687" s="11" t="s">
        <v>10697</v>
      </c>
      <c r="D1687" s="77" t="s">
        <v>2393</v>
      </c>
      <c r="E1687" s="11" t="s">
        <v>4842</v>
      </c>
      <c r="F1687" s="19" t="s">
        <v>10617</v>
      </c>
      <c r="G1687" s="11" t="s">
        <v>2272</v>
      </c>
      <c r="H1687" s="11" t="s">
        <v>4107</v>
      </c>
      <c r="I1687" s="70">
        <v>38</v>
      </c>
      <c r="J1687" s="70">
        <v>-121.5</v>
      </c>
      <c r="K1687" s="21" t="s">
        <v>2272</v>
      </c>
      <c r="L1687" s="11">
        <v>1992</v>
      </c>
      <c r="M1687" s="11">
        <v>2015</v>
      </c>
      <c r="N1687" s="77" t="s">
        <v>2272</v>
      </c>
      <c r="O1687" s="77" t="s">
        <v>66</v>
      </c>
      <c r="P1687" s="77" t="s">
        <v>5181</v>
      </c>
      <c r="Q1687" s="11"/>
    </row>
    <row r="1688" spans="1:17" s="197" customFormat="1" ht="42" customHeight="1">
      <c r="A1688" s="233">
        <v>454</v>
      </c>
      <c r="B1688" s="53" t="s">
        <v>10555</v>
      </c>
      <c r="C1688" s="11" t="s">
        <v>10698</v>
      </c>
      <c r="D1688" s="77" t="s">
        <v>2393</v>
      </c>
      <c r="E1688" s="11" t="s">
        <v>4842</v>
      </c>
      <c r="F1688" s="19" t="s">
        <v>10618</v>
      </c>
      <c r="G1688" s="11" t="s">
        <v>2272</v>
      </c>
      <c r="H1688" s="11" t="s">
        <v>4107</v>
      </c>
      <c r="I1688" s="70">
        <v>48</v>
      </c>
      <c r="J1688" s="70">
        <v>-100</v>
      </c>
      <c r="K1688" s="21" t="s">
        <v>2272</v>
      </c>
      <c r="L1688" s="11">
        <v>1992</v>
      </c>
      <c r="M1688" s="11">
        <v>2015</v>
      </c>
      <c r="N1688" s="77" t="s">
        <v>2272</v>
      </c>
      <c r="O1688" s="77" t="s">
        <v>66</v>
      </c>
      <c r="P1688" s="77" t="s">
        <v>5181</v>
      </c>
      <c r="Q1688" s="11"/>
    </row>
    <row r="1689" spans="1:17" s="197" customFormat="1" ht="42" customHeight="1">
      <c r="A1689" s="233">
        <v>454</v>
      </c>
      <c r="B1689" s="53" t="s">
        <v>10555</v>
      </c>
      <c r="C1689" s="11" t="s">
        <v>10699</v>
      </c>
      <c r="D1689" s="77" t="s">
        <v>2393</v>
      </c>
      <c r="E1689" s="11" t="s">
        <v>4842</v>
      </c>
      <c r="F1689" s="19" t="s">
        <v>7724</v>
      </c>
      <c r="G1689" s="11" t="s">
        <v>2272</v>
      </c>
      <c r="H1689" s="11" t="s">
        <v>4107</v>
      </c>
      <c r="I1689" s="70">
        <v>36</v>
      </c>
      <c r="J1689" s="70">
        <v>-93</v>
      </c>
      <c r="K1689" s="21" t="s">
        <v>2272</v>
      </c>
      <c r="L1689" s="11">
        <v>1992</v>
      </c>
      <c r="M1689" s="11">
        <v>2015</v>
      </c>
      <c r="N1689" s="77" t="s">
        <v>2272</v>
      </c>
      <c r="O1689" s="77" t="s">
        <v>66</v>
      </c>
      <c r="P1689" s="77" t="s">
        <v>5181</v>
      </c>
      <c r="Q1689" s="11"/>
    </row>
    <row r="1690" spans="1:17" s="197" customFormat="1" ht="42" customHeight="1">
      <c r="A1690" s="233">
        <v>454</v>
      </c>
      <c r="B1690" s="53" t="s">
        <v>10555</v>
      </c>
      <c r="C1690" s="11" t="s">
        <v>10700</v>
      </c>
      <c r="D1690" s="77" t="s">
        <v>2393</v>
      </c>
      <c r="E1690" s="11" t="s">
        <v>4842</v>
      </c>
      <c r="F1690" s="19" t="s">
        <v>10619</v>
      </c>
      <c r="G1690" s="11" t="s">
        <v>2272</v>
      </c>
      <c r="H1690" s="11" t="s">
        <v>4107</v>
      </c>
      <c r="I1690" s="70">
        <v>42</v>
      </c>
      <c r="J1690" s="70">
        <v>-92</v>
      </c>
      <c r="K1690" s="21" t="s">
        <v>2272</v>
      </c>
      <c r="L1690" s="11">
        <v>1992</v>
      </c>
      <c r="M1690" s="11">
        <v>2015</v>
      </c>
      <c r="N1690" s="77" t="s">
        <v>2272</v>
      </c>
      <c r="O1690" s="77" t="s">
        <v>66</v>
      </c>
      <c r="P1690" s="77" t="s">
        <v>5181</v>
      </c>
      <c r="Q1690" s="11"/>
    </row>
    <row r="1691" spans="1:17" s="197" customFormat="1" ht="42" customHeight="1">
      <c r="A1691" s="233">
        <v>454</v>
      </c>
      <c r="B1691" s="53" t="s">
        <v>10555</v>
      </c>
      <c r="C1691" s="11" t="s">
        <v>10701</v>
      </c>
      <c r="D1691" s="77" t="s">
        <v>2393</v>
      </c>
      <c r="E1691" s="11" t="s">
        <v>4842</v>
      </c>
      <c r="F1691" s="19" t="s">
        <v>10620</v>
      </c>
      <c r="G1691" s="11" t="s">
        <v>2272</v>
      </c>
      <c r="H1691" s="11" t="s">
        <v>4107</v>
      </c>
      <c r="I1691" s="70">
        <v>33.5</v>
      </c>
      <c r="J1691" s="70">
        <v>-86</v>
      </c>
      <c r="K1691" s="21" t="s">
        <v>2272</v>
      </c>
      <c r="L1691" s="11">
        <v>1992</v>
      </c>
      <c r="M1691" s="11">
        <v>2015</v>
      </c>
      <c r="N1691" s="77" t="s">
        <v>2272</v>
      </c>
      <c r="O1691" s="77" t="s">
        <v>66</v>
      </c>
      <c r="P1691" s="77" t="s">
        <v>5181</v>
      </c>
      <c r="Q1691" s="11"/>
    </row>
    <row r="1692" spans="1:17" s="197" customFormat="1" ht="42" customHeight="1">
      <c r="A1692" s="233">
        <v>454</v>
      </c>
      <c r="B1692" s="53" t="s">
        <v>10555</v>
      </c>
      <c r="C1692" s="11" t="s">
        <v>10702</v>
      </c>
      <c r="D1692" s="77" t="s">
        <v>2393</v>
      </c>
      <c r="E1692" s="11" t="s">
        <v>4842</v>
      </c>
      <c r="F1692" s="19" t="s">
        <v>10621</v>
      </c>
      <c r="G1692" s="11" t="s">
        <v>2272</v>
      </c>
      <c r="H1692" s="11" t="s">
        <v>4107</v>
      </c>
      <c r="I1692" s="70">
        <v>28.5</v>
      </c>
      <c r="J1692" s="70">
        <v>-98.5</v>
      </c>
      <c r="K1692" s="21" t="s">
        <v>2272</v>
      </c>
      <c r="L1692" s="11">
        <v>1992</v>
      </c>
      <c r="M1692" s="11">
        <v>2015</v>
      </c>
      <c r="N1692" s="77" t="s">
        <v>2272</v>
      </c>
      <c r="O1692" s="77" t="s">
        <v>66</v>
      </c>
      <c r="P1692" s="77" t="s">
        <v>5181</v>
      </c>
      <c r="Q1692" s="11"/>
    </row>
    <row r="1693" spans="1:17" s="197" customFormat="1" ht="42" customHeight="1">
      <c r="A1693" s="233">
        <v>454</v>
      </c>
      <c r="B1693" s="53" t="s">
        <v>10555</v>
      </c>
      <c r="C1693" s="11" t="s">
        <v>10703</v>
      </c>
      <c r="D1693" s="77" t="s">
        <v>2393</v>
      </c>
      <c r="E1693" s="11" t="s">
        <v>4842</v>
      </c>
      <c r="F1693" s="19" t="s">
        <v>10622</v>
      </c>
      <c r="G1693" s="11" t="s">
        <v>2272</v>
      </c>
      <c r="H1693" s="11" t="s">
        <v>4107</v>
      </c>
      <c r="I1693" s="70">
        <v>32</v>
      </c>
      <c r="J1693" s="70">
        <v>-91.5</v>
      </c>
      <c r="K1693" s="21" t="s">
        <v>2272</v>
      </c>
      <c r="L1693" s="11">
        <v>1992</v>
      </c>
      <c r="M1693" s="11">
        <v>2015</v>
      </c>
      <c r="N1693" s="77" t="s">
        <v>2272</v>
      </c>
      <c r="O1693" s="77" t="s">
        <v>66</v>
      </c>
      <c r="P1693" s="77" t="s">
        <v>5181</v>
      </c>
      <c r="Q1693" s="11"/>
    </row>
    <row r="1694" spans="1:17" s="197" customFormat="1" ht="42" customHeight="1">
      <c r="A1694" s="233">
        <v>454</v>
      </c>
      <c r="B1694" s="53" t="s">
        <v>10555</v>
      </c>
      <c r="C1694" s="11" t="s">
        <v>10704</v>
      </c>
      <c r="D1694" s="77" t="s">
        <v>2393</v>
      </c>
      <c r="E1694" s="11" t="s">
        <v>4842</v>
      </c>
      <c r="F1694" s="19" t="s">
        <v>10623</v>
      </c>
      <c r="G1694" s="11" t="s">
        <v>2272</v>
      </c>
      <c r="H1694" s="11" t="s">
        <v>4107</v>
      </c>
      <c r="I1694" s="70">
        <v>36.5</v>
      </c>
      <c r="J1694" s="70">
        <v>-76.5</v>
      </c>
      <c r="K1694" s="21" t="s">
        <v>2272</v>
      </c>
      <c r="L1694" s="11">
        <v>1992</v>
      </c>
      <c r="M1694" s="11">
        <v>2015</v>
      </c>
      <c r="N1694" s="77" t="s">
        <v>2272</v>
      </c>
      <c r="O1694" s="77" t="s">
        <v>66</v>
      </c>
      <c r="P1694" s="77" t="s">
        <v>5181</v>
      </c>
      <c r="Q1694" s="11"/>
    </row>
    <row r="1695" spans="1:17" s="197" customFormat="1" ht="42" customHeight="1">
      <c r="A1695" s="233">
        <v>454</v>
      </c>
      <c r="B1695" s="53" t="s">
        <v>10555</v>
      </c>
      <c r="C1695" s="11" t="s">
        <v>10705</v>
      </c>
      <c r="D1695" s="77" t="s">
        <v>2393</v>
      </c>
      <c r="E1695" s="11" t="s">
        <v>4842</v>
      </c>
      <c r="F1695" s="19" t="s">
        <v>10624</v>
      </c>
      <c r="G1695" s="11" t="s">
        <v>2272</v>
      </c>
      <c r="H1695" s="11" t="s">
        <v>4107</v>
      </c>
      <c r="I1695" s="70">
        <v>37.5</v>
      </c>
      <c r="J1695" s="70">
        <v>-89</v>
      </c>
      <c r="K1695" s="21" t="s">
        <v>2272</v>
      </c>
      <c r="L1695" s="11">
        <v>1992</v>
      </c>
      <c r="M1695" s="11">
        <v>2015</v>
      </c>
      <c r="N1695" s="77" t="s">
        <v>2272</v>
      </c>
      <c r="O1695" s="77" t="s">
        <v>66</v>
      </c>
      <c r="P1695" s="77" t="s">
        <v>5181</v>
      </c>
      <c r="Q1695" s="11"/>
    </row>
    <row r="1696" spans="1:17" s="197" customFormat="1" ht="42" customHeight="1">
      <c r="A1696" s="233">
        <v>454</v>
      </c>
      <c r="B1696" s="53" t="s">
        <v>10555</v>
      </c>
      <c r="C1696" s="11" t="s">
        <v>10706</v>
      </c>
      <c r="D1696" s="77" t="s">
        <v>2393</v>
      </c>
      <c r="E1696" s="11" t="s">
        <v>4842</v>
      </c>
      <c r="F1696" s="19" t="s">
        <v>10625</v>
      </c>
      <c r="G1696" s="11" t="s">
        <v>2272</v>
      </c>
      <c r="H1696" s="11" t="s">
        <v>4107</v>
      </c>
      <c r="I1696" s="70">
        <v>40</v>
      </c>
      <c r="J1696" s="70">
        <v>-78.5</v>
      </c>
      <c r="K1696" s="21" t="s">
        <v>2272</v>
      </c>
      <c r="L1696" s="11">
        <v>1992</v>
      </c>
      <c r="M1696" s="11">
        <v>2015</v>
      </c>
      <c r="N1696" s="77" t="s">
        <v>2272</v>
      </c>
      <c r="O1696" s="77" t="s">
        <v>66</v>
      </c>
      <c r="P1696" s="77" t="s">
        <v>5181</v>
      </c>
      <c r="Q1696" s="11"/>
    </row>
    <row r="1697" spans="1:17" s="197" customFormat="1" ht="42" customHeight="1">
      <c r="A1697" s="233">
        <v>454</v>
      </c>
      <c r="B1697" s="53" t="s">
        <v>10555</v>
      </c>
      <c r="C1697" s="11" t="s">
        <v>10707</v>
      </c>
      <c r="D1697" s="77" t="s">
        <v>2393</v>
      </c>
      <c r="E1697" s="11" t="s">
        <v>4842</v>
      </c>
      <c r="F1697" s="19" t="s">
        <v>10626</v>
      </c>
      <c r="G1697" s="11" t="s">
        <v>2272</v>
      </c>
      <c r="H1697" s="11" t="s">
        <v>4107</v>
      </c>
      <c r="I1697" s="70">
        <v>40</v>
      </c>
      <c r="J1697" s="70">
        <v>-83.5</v>
      </c>
      <c r="K1697" s="21" t="s">
        <v>2272</v>
      </c>
      <c r="L1697" s="11">
        <v>1992</v>
      </c>
      <c r="M1697" s="11">
        <v>2015</v>
      </c>
      <c r="N1697" s="77" t="s">
        <v>2272</v>
      </c>
      <c r="O1697" s="77" t="s">
        <v>66</v>
      </c>
      <c r="P1697" s="77" t="s">
        <v>5181</v>
      </c>
      <c r="Q1697" s="11"/>
    </row>
    <row r="1698" spans="1:17" s="197" customFormat="1" ht="42" customHeight="1">
      <c r="A1698" s="233">
        <v>454</v>
      </c>
      <c r="B1698" s="53" t="s">
        <v>10555</v>
      </c>
      <c r="C1698" s="11" t="s">
        <v>10708</v>
      </c>
      <c r="D1698" s="77" t="s">
        <v>2393</v>
      </c>
      <c r="E1698" s="11" t="s">
        <v>4842</v>
      </c>
      <c r="F1698" s="19" t="s">
        <v>10627</v>
      </c>
      <c r="G1698" s="11" t="s">
        <v>2272</v>
      </c>
      <c r="H1698" s="11" t="s">
        <v>4107</v>
      </c>
      <c r="I1698" s="70">
        <v>46</v>
      </c>
      <c r="J1698" s="70">
        <v>-89.5</v>
      </c>
      <c r="K1698" s="21" t="s">
        <v>2272</v>
      </c>
      <c r="L1698" s="11">
        <v>1992</v>
      </c>
      <c r="M1698" s="11">
        <v>2015</v>
      </c>
      <c r="N1698" s="77" t="s">
        <v>2272</v>
      </c>
      <c r="O1698" s="77" t="s">
        <v>66</v>
      </c>
      <c r="P1698" s="77" t="s">
        <v>5181</v>
      </c>
      <c r="Q1698" s="11"/>
    </row>
    <row r="1699" spans="1:17" s="197" customFormat="1" ht="42" customHeight="1">
      <c r="A1699" s="233">
        <v>454</v>
      </c>
      <c r="B1699" s="53" t="s">
        <v>10555</v>
      </c>
      <c r="C1699" s="11" t="s">
        <v>10709</v>
      </c>
      <c r="D1699" s="77" t="s">
        <v>2393</v>
      </c>
      <c r="E1699" s="11" t="s">
        <v>4842</v>
      </c>
      <c r="F1699" s="19" t="s">
        <v>10628</v>
      </c>
      <c r="G1699" s="11" t="s">
        <v>2272</v>
      </c>
      <c r="H1699" s="11" t="s">
        <v>4107</v>
      </c>
      <c r="I1699" s="70">
        <v>31.5</v>
      </c>
      <c r="J1699" s="70">
        <v>-94.5</v>
      </c>
      <c r="K1699" s="21" t="s">
        <v>2272</v>
      </c>
      <c r="L1699" s="11">
        <v>1992</v>
      </c>
      <c r="M1699" s="11">
        <v>2015</v>
      </c>
      <c r="N1699" s="77" t="s">
        <v>2272</v>
      </c>
      <c r="O1699" s="77" t="s">
        <v>66</v>
      </c>
      <c r="P1699" s="77" t="s">
        <v>5181</v>
      </c>
      <c r="Q1699" s="11"/>
    </row>
    <row r="1700" spans="1:17" s="197" customFormat="1" ht="42" customHeight="1">
      <c r="A1700" s="233">
        <v>454</v>
      </c>
      <c r="B1700" s="53" t="s">
        <v>10555</v>
      </c>
      <c r="C1700" s="11" t="s">
        <v>10710</v>
      </c>
      <c r="D1700" s="77" t="s">
        <v>2393</v>
      </c>
      <c r="E1700" s="11" t="s">
        <v>4842</v>
      </c>
      <c r="F1700" s="19" t="s">
        <v>10629</v>
      </c>
      <c r="G1700" s="11" t="s">
        <v>2272</v>
      </c>
      <c r="H1700" s="11" t="s">
        <v>4107</v>
      </c>
      <c r="I1700" s="70">
        <f>40+17/60</f>
        <v>40.283333333333331</v>
      </c>
      <c r="J1700" s="70">
        <v>-78</v>
      </c>
      <c r="K1700" s="21" t="s">
        <v>2272</v>
      </c>
      <c r="L1700" s="11">
        <v>1992</v>
      </c>
      <c r="M1700" s="11">
        <v>2015</v>
      </c>
      <c r="N1700" s="77" t="s">
        <v>2272</v>
      </c>
      <c r="O1700" s="77" t="s">
        <v>66</v>
      </c>
      <c r="P1700" s="77" t="s">
        <v>5181</v>
      </c>
      <c r="Q1700" s="11"/>
    </row>
    <row r="1701" spans="1:17" s="197" customFormat="1" ht="42" customHeight="1">
      <c r="A1701" s="233">
        <v>454</v>
      </c>
      <c r="B1701" s="53" t="s">
        <v>10555</v>
      </c>
      <c r="C1701" s="11" t="s">
        <v>10711</v>
      </c>
      <c r="D1701" s="77" t="s">
        <v>2393</v>
      </c>
      <c r="E1701" s="11" t="s">
        <v>4842</v>
      </c>
      <c r="F1701" s="19" t="s">
        <v>10630</v>
      </c>
      <c r="G1701" s="11" t="s">
        <v>2272</v>
      </c>
      <c r="H1701" s="11" t="s">
        <v>4107</v>
      </c>
      <c r="I1701" s="70">
        <v>41.5</v>
      </c>
      <c r="J1701" s="70">
        <v>-88.5</v>
      </c>
      <c r="K1701" s="21" t="s">
        <v>2272</v>
      </c>
      <c r="L1701" s="11">
        <v>1992</v>
      </c>
      <c r="M1701" s="11">
        <v>2015</v>
      </c>
      <c r="N1701" s="77" t="s">
        <v>2272</v>
      </c>
      <c r="O1701" s="77" t="s">
        <v>66</v>
      </c>
      <c r="P1701" s="77" t="s">
        <v>5181</v>
      </c>
      <c r="Q1701" s="11"/>
    </row>
    <row r="1702" spans="1:17" s="197" customFormat="1" ht="42" customHeight="1">
      <c r="A1702" s="233">
        <v>454</v>
      </c>
      <c r="B1702" s="53" t="s">
        <v>10555</v>
      </c>
      <c r="C1702" s="11" t="s">
        <v>10712</v>
      </c>
      <c r="D1702" s="77" t="s">
        <v>2393</v>
      </c>
      <c r="E1702" s="11" t="s">
        <v>4842</v>
      </c>
      <c r="F1702" s="19" t="s">
        <v>10631</v>
      </c>
      <c r="G1702" s="11" t="s">
        <v>2272</v>
      </c>
      <c r="H1702" s="11" t="s">
        <v>4107</v>
      </c>
      <c r="I1702" s="70">
        <v>33</v>
      </c>
      <c r="J1702" s="70">
        <v>-91</v>
      </c>
      <c r="K1702" s="21" t="s">
        <v>2272</v>
      </c>
      <c r="L1702" s="11">
        <v>1992</v>
      </c>
      <c r="M1702" s="11">
        <v>2015</v>
      </c>
      <c r="N1702" s="77" t="s">
        <v>2272</v>
      </c>
      <c r="O1702" s="77" t="s">
        <v>66</v>
      </c>
      <c r="P1702" s="77" t="s">
        <v>5181</v>
      </c>
      <c r="Q1702" s="11"/>
    </row>
    <row r="1703" spans="1:17" s="197" customFormat="1" ht="42" customHeight="1">
      <c r="A1703" s="233">
        <v>454</v>
      </c>
      <c r="B1703" s="53" t="s">
        <v>10555</v>
      </c>
      <c r="C1703" s="11" t="s">
        <v>10713</v>
      </c>
      <c r="D1703" s="77" t="s">
        <v>2393</v>
      </c>
      <c r="E1703" s="11" t="s">
        <v>4842</v>
      </c>
      <c r="F1703" s="19" t="s">
        <v>10632</v>
      </c>
      <c r="G1703" s="11" t="s">
        <v>2272</v>
      </c>
      <c r="H1703" s="11" t="s">
        <v>4107</v>
      </c>
      <c r="I1703" s="70">
        <v>37.25</v>
      </c>
      <c r="J1703" s="70">
        <v>-121.5</v>
      </c>
      <c r="K1703" s="21" t="s">
        <v>2272</v>
      </c>
      <c r="L1703" s="11">
        <v>1992</v>
      </c>
      <c r="M1703" s="11">
        <v>2015</v>
      </c>
      <c r="N1703" s="77" t="s">
        <v>2272</v>
      </c>
      <c r="O1703" s="77" t="s">
        <v>66</v>
      </c>
      <c r="P1703" s="77" t="s">
        <v>5181</v>
      </c>
      <c r="Q1703" s="11"/>
    </row>
    <row r="1704" spans="1:17" s="197" customFormat="1" ht="42" customHeight="1">
      <c r="A1704" s="233">
        <v>454</v>
      </c>
      <c r="B1704" s="53" t="s">
        <v>10555</v>
      </c>
      <c r="C1704" s="11" t="s">
        <v>10714</v>
      </c>
      <c r="D1704" s="77" t="s">
        <v>2393</v>
      </c>
      <c r="E1704" s="11" t="s">
        <v>4842</v>
      </c>
      <c r="F1704" s="19" t="s">
        <v>10633</v>
      </c>
      <c r="G1704" s="11" t="s">
        <v>2272</v>
      </c>
      <c r="H1704" s="11" t="s">
        <v>4107</v>
      </c>
      <c r="I1704" s="70">
        <v>30.25</v>
      </c>
      <c r="J1704" s="70">
        <v>-98.5</v>
      </c>
      <c r="K1704" s="21" t="s">
        <v>2272</v>
      </c>
      <c r="L1704" s="11">
        <v>1992</v>
      </c>
      <c r="M1704" s="11">
        <v>2015</v>
      </c>
      <c r="N1704" s="77" t="s">
        <v>2272</v>
      </c>
      <c r="O1704" s="77" t="s">
        <v>66</v>
      </c>
      <c r="P1704" s="77" t="s">
        <v>5181</v>
      </c>
      <c r="Q1704" s="11"/>
    </row>
    <row r="1705" spans="1:17" s="197" customFormat="1" ht="42" customHeight="1">
      <c r="A1705" s="233">
        <v>454</v>
      </c>
      <c r="B1705" s="53" t="s">
        <v>10555</v>
      </c>
      <c r="C1705" s="11" t="s">
        <v>10715</v>
      </c>
      <c r="D1705" s="77" t="s">
        <v>2393</v>
      </c>
      <c r="E1705" s="11" t="s">
        <v>4842</v>
      </c>
      <c r="F1705" s="19" t="s">
        <v>10634</v>
      </c>
      <c r="G1705" s="11" t="s">
        <v>2272</v>
      </c>
      <c r="H1705" s="11" t="s">
        <v>4107</v>
      </c>
      <c r="I1705" s="70">
        <v>40.5</v>
      </c>
      <c r="J1705" s="70">
        <v>-80</v>
      </c>
      <c r="K1705" s="21" t="s">
        <v>2272</v>
      </c>
      <c r="L1705" s="11">
        <v>1992</v>
      </c>
      <c r="M1705" s="11">
        <v>2015</v>
      </c>
      <c r="N1705" s="77" t="s">
        <v>2272</v>
      </c>
      <c r="O1705" s="77" t="s">
        <v>66</v>
      </c>
      <c r="P1705" s="77" t="s">
        <v>5181</v>
      </c>
      <c r="Q1705" s="11"/>
    </row>
    <row r="1706" spans="1:17" s="197" customFormat="1" ht="42" customHeight="1">
      <c r="A1706" s="233">
        <v>454</v>
      </c>
      <c r="B1706" s="53" t="s">
        <v>10555</v>
      </c>
      <c r="C1706" s="11" t="s">
        <v>10716</v>
      </c>
      <c r="D1706" s="77" t="s">
        <v>2393</v>
      </c>
      <c r="E1706" s="11" t="s">
        <v>4842</v>
      </c>
      <c r="F1706" s="19" t="s">
        <v>10635</v>
      </c>
      <c r="G1706" s="11" t="s">
        <v>2272</v>
      </c>
      <c r="H1706" s="11" t="s">
        <v>4107</v>
      </c>
      <c r="I1706" s="70">
        <v>43</v>
      </c>
      <c r="J1706" s="70">
        <v>-88.5</v>
      </c>
      <c r="K1706" s="21" t="s">
        <v>2272</v>
      </c>
      <c r="L1706" s="11">
        <v>1992</v>
      </c>
      <c r="M1706" s="11">
        <v>2015</v>
      </c>
      <c r="N1706" s="77" t="s">
        <v>2272</v>
      </c>
      <c r="O1706" s="77" t="s">
        <v>66</v>
      </c>
      <c r="P1706" s="77" t="s">
        <v>5181</v>
      </c>
      <c r="Q1706" s="11"/>
    </row>
    <row r="1707" spans="1:17" s="197" customFormat="1" ht="42" customHeight="1">
      <c r="A1707" s="233">
        <v>454</v>
      </c>
      <c r="B1707" s="53" t="s">
        <v>10555</v>
      </c>
      <c r="C1707" s="11" t="s">
        <v>10717</v>
      </c>
      <c r="D1707" s="77" t="s">
        <v>2393</v>
      </c>
      <c r="E1707" s="11" t="s">
        <v>4842</v>
      </c>
      <c r="F1707" s="19" t="s">
        <v>10636</v>
      </c>
      <c r="G1707" s="11" t="s">
        <v>2272</v>
      </c>
      <c r="H1707" s="11" t="s">
        <v>4107</v>
      </c>
      <c r="I1707" s="70">
        <v>41.75</v>
      </c>
      <c r="J1707" s="70">
        <v>-78.5</v>
      </c>
      <c r="K1707" s="21" t="s">
        <v>2272</v>
      </c>
      <c r="L1707" s="11">
        <v>1992</v>
      </c>
      <c r="M1707" s="11">
        <v>2015</v>
      </c>
      <c r="N1707" s="77" t="s">
        <v>2272</v>
      </c>
      <c r="O1707" s="77" t="s">
        <v>66</v>
      </c>
      <c r="P1707" s="77" t="s">
        <v>5181</v>
      </c>
      <c r="Q1707" s="11"/>
    </row>
    <row r="1708" spans="1:17" s="197" customFormat="1" ht="42" customHeight="1">
      <c r="A1708" s="233">
        <v>454</v>
      </c>
      <c r="B1708" s="53" t="s">
        <v>10555</v>
      </c>
      <c r="C1708" s="11" t="s">
        <v>10718</v>
      </c>
      <c r="D1708" s="77" t="s">
        <v>2393</v>
      </c>
      <c r="E1708" s="11" t="s">
        <v>4842</v>
      </c>
      <c r="F1708" s="19" t="s">
        <v>10637</v>
      </c>
      <c r="G1708" s="11" t="s">
        <v>2272</v>
      </c>
      <c r="H1708" s="11" t="s">
        <v>4107</v>
      </c>
      <c r="I1708" s="70">
        <v>44.5</v>
      </c>
      <c r="J1708" s="70">
        <v>-86</v>
      </c>
      <c r="K1708" s="21" t="s">
        <v>2272</v>
      </c>
      <c r="L1708" s="11">
        <v>1992</v>
      </c>
      <c r="M1708" s="11">
        <v>2015</v>
      </c>
      <c r="N1708" s="77" t="s">
        <v>2272</v>
      </c>
      <c r="O1708" s="77" t="s">
        <v>66</v>
      </c>
      <c r="P1708" s="77" t="s">
        <v>5181</v>
      </c>
      <c r="Q1708" s="11"/>
    </row>
    <row r="1709" spans="1:17" s="197" customFormat="1" ht="42" customHeight="1">
      <c r="A1709" s="233">
        <v>454</v>
      </c>
      <c r="B1709" s="53" t="s">
        <v>10555</v>
      </c>
      <c r="C1709" s="11" t="s">
        <v>10719</v>
      </c>
      <c r="D1709" s="77" t="s">
        <v>2393</v>
      </c>
      <c r="E1709" s="11" t="s">
        <v>4842</v>
      </c>
      <c r="F1709" s="19" t="s">
        <v>10638</v>
      </c>
      <c r="G1709" s="11" t="s">
        <v>2272</v>
      </c>
      <c r="H1709" s="11" t="s">
        <v>4107</v>
      </c>
      <c r="I1709" s="70">
        <v>37</v>
      </c>
      <c r="J1709" s="70">
        <v>-86</v>
      </c>
      <c r="K1709" s="21" t="s">
        <v>2272</v>
      </c>
      <c r="L1709" s="11">
        <v>1992</v>
      </c>
      <c r="M1709" s="11">
        <v>2015</v>
      </c>
      <c r="N1709" s="77" t="s">
        <v>2272</v>
      </c>
      <c r="O1709" s="77" t="s">
        <v>66</v>
      </c>
      <c r="P1709" s="77" t="s">
        <v>5181</v>
      </c>
      <c r="Q1709" s="11"/>
    </row>
    <row r="1710" spans="1:17" s="197" customFormat="1" ht="42" customHeight="1">
      <c r="A1710" s="233">
        <v>454</v>
      </c>
      <c r="B1710" s="53" t="s">
        <v>10555</v>
      </c>
      <c r="C1710" s="11" t="s">
        <v>10720</v>
      </c>
      <c r="D1710" s="77" t="s">
        <v>2393</v>
      </c>
      <c r="E1710" s="11" t="s">
        <v>4842</v>
      </c>
      <c r="F1710" s="19" t="s">
        <v>10639</v>
      </c>
      <c r="G1710" s="11" t="s">
        <v>2272</v>
      </c>
      <c r="H1710" s="11" t="s">
        <v>4107</v>
      </c>
      <c r="I1710" s="70">
        <v>31</v>
      </c>
      <c r="J1710" s="70">
        <v>-85</v>
      </c>
      <c r="K1710" s="21" t="s">
        <v>2272</v>
      </c>
      <c r="L1710" s="11">
        <v>1992</v>
      </c>
      <c r="M1710" s="11">
        <v>2015</v>
      </c>
      <c r="N1710" s="77" t="s">
        <v>2272</v>
      </c>
      <c r="O1710" s="77" t="s">
        <v>66</v>
      </c>
      <c r="P1710" s="77" t="s">
        <v>5181</v>
      </c>
      <c r="Q1710" s="11"/>
    </row>
    <row r="1711" spans="1:17" s="197" customFormat="1" ht="42" customHeight="1">
      <c r="A1711" s="233">
        <v>454</v>
      </c>
      <c r="B1711" s="53" t="s">
        <v>10555</v>
      </c>
      <c r="C1711" s="11" t="s">
        <v>10721</v>
      </c>
      <c r="D1711" s="77" t="s">
        <v>2393</v>
      </c>
      <c r="E1711" s="11" t="s">
        <v>4842</v>
      </c>
      <c r="F1711" s="19" t="s">
        <v>10640</v>
      </c>
      <c r="G1711" s="11" t="s">
        <v>2272</v>
      </c>
      <c r="H1711" s="11" t="s">
        <v>4107</v>
      </c>
      <c r="I1711" s="70">
        <v>42.5</v>
      </c>
      <c r="J1711" s="70">
        <v>-85</v>
      </c>
      <c r="K1711" s="21" t="s">
        <v>2272</v>
      </c>
      <c r="L1711" s="11">
        <v>1992</v>
      </c>
      <c r="M1711" s="11">
        <v>2015</v>
      </c>
      <c r="N1711" s="77" t="s">
        <v>2272</v>
      </c>
      <c r="O1711" s="77" t="s">
        <v>66</v>
      </c>
      <c r="P1711" s="77" t="s">
        <v>5181</v>
      </c>
      <c r="Q1711" s="11"/>
    </row>
    <row r="1712" spans="1:17" s="197" customFormat="1" ht="42" customHeight="1">
      <c r="A1712" s="233">
        <v>454</v>
      </c>
      <c r="B1712" s="53" t="s">
        <v>10555</v>
      </c>
      <c r="C1712" s="11" t="s">
        <v>10722</v>
      </c>
      <c r="D1712" s="77" t="s">
        <v>2393</v>
      </c>
      <c r="E1712" s="11" t="s">
        <v>4842</v>
      </c>
      <c r="F1712" s="19" t="s">
        <v>10641</v>
      </c>
      <c r="G1712" s="11" t="s">
        <v>2272</v>
      </c>
      <c r="H1712" s="11" t="s">
        <v>4107</v>
      </c>
      <c r="I1712" s="70">
        <v>41.5</v>
      </c>
      <c r="J1712" s="70">
        <v>-83.5</v>
      </c>
      <c r="K1712" s="21" t="s">
        <v>2272</v>
      </c>
      <c r="L1712" s="11">
        <v>1992</v>
      </c>
      <c r="M1712" s="11">
        <v>2015</v>
      </c>
      <c r="N1712" s="77" t="s">
        <v>2272</v>
      </c>
      <c r="O1712" s="77" t="s">
        <v>66</v>
      </c>
      <c r="P1712" s="77" t="s">
        <v>5181</v>
      </c>
      <c r="Q1712" s="11"/>
    </row>
    <row r="1713" spans="1:17" s="197" customFormat="1" ht="42" customHeight="1">
      <c r="A1713" s="233">
        <v>454</v>
      </c>
      <c r="B1713" s="53" t="s">
        <v>10555</v>
      </c>
      <c r="C1713" s="11" t="s">
        <v>10723</v>
      </c>
      <c r="D1713" s="77" t="s">
        <v>2393</v>
      </c>
      <c r="E1713" s="11" t="s">
        <v>4842</v>
      </c>
      <c r="F1713" s="19" t="s">
        <v>10642</v>
      </c>
      <c r="G1713" s="11" t="s">
        <v>2272</v>
      </c>
      <c r="H1713" s="11" t="s">
        <v>4107</v>
      </c>
      <c r="I1713" s="70">
        <v>40</v>
      </c>
      <c r="J1713" s="70">
        <v>-74.5</v>
      </c>
      <c r="K1713" s="21" t="s">
        <v>2272</v>
      </c>
      <c r="L1713" s="11">
        <v>1992</v>
      </c>
      <c r="M1713" s="11">
        <v>2015</v>
      </c>
      <c r="N1713" s="77" t="s">
        <v>2272</v>
      </c>
      <c r="O1713" s="77" t="s">
        <v>66</v>
      </c>
      <c r="P1713" s="77" t="s">
        <v>5181</v>
      </c>
      <c r="Q1713" s="11"/>
    </row>
    <row r="1714" spans="1:17" s="197" customFormat="1" ht="42" customHeight="1">
      <c r="A1714" s="233">
        <v>454</v>
      </c>
      <c r="B1714" s="53" t="s">
        <v>10555</v>
      </c>
      <c r="C1714" s="11" t="s">
        <v>10724</v>
      </c>
      <c r="D1714" s="77" t="s">
        <v>2393</v>
      </c>
      <c r="E1714" s="11" t="s">
        <v>4842</v>
      </c>
      <c r="F1714" s="19" t="s">
        <v>10643</v>
      </c>
      <c r="G1714" s="11" t="s">
        <v>2272</v>
      </c>
      <c r="H1714" s="11" t="s">
        <v>4107</v>
      </c>
      <c r="I1714" s="70">
        <v>45</v>
      </c>
      <c r="J1714" s="70">
        <v>-123</v>
      </c>
      <c r="K1714" s="21" t="s">
        <v>2272</v>
      </c>
      <c r="L1714" s="11">
        <v>1992</v>
      </c>
      <c r="M1714" s="11">
        <v>2015</v>
      </c>
      <c r="N1714" s="77" t="s">
        <v>2272</v>
      </c>
      <c r="O1714" s="77" t="s">
        <v>66</v>
      </c>
      <c r="P1714" s="77" t="s">
        <v>5181</v>
      </c>
      <c r="Q1714" s="11"/>
    </row>
    <row r="1715" spans="1:17" s="197" customFormat="1" ht="42" customHeight="1">
      <c r="A1715" s="233">
        <v>454</v>
      </c>
      <c r="B1715" s="53" t="s">
        <v>10555</v>
      </c>
      <c r="C1715" s="11" t="s">
        <v>10725</v>
      </c>
      <c r="D1715" s="77" t="s">
        <v>2393</v>
      </c>
      <c r="E1715" s="11" t="s">
        <v>4842</v>
      </c>
      <c r="F1715" s="19" t="s">
        <v>10874</v>
      </c>
      <c r="G1715" s="11" t="s">
        <v>2272</v>
      </c>
      <c r="H1715" s="11" t="s">
        <v>4107</v>
      </c>
      <c r="I1715" s="70">
        <v>43.5</v>
      </c>
      <c r="J1715" s="70">
        <v>-90.5</v>
      </c>
      <c r="K1715" s="21" t="s">
        <v>2272</v>
      </c>
      <c r="L1715" s="11">
        <v>1992</v>
      </c>
      <c r="M1715" s="11">
        <v>2015</v>
      </c>
      <c r="N1715" s="77" t="s">
        <v>2272</v>
      </c>
      <c r="O1715" s="77" t="s">
        <v>66</v>
      </c>
      <c r="P1715" s="77" t="s">
        <v>5181</v>
      </c>
      <c r="Q1715" s="11"/>
    </row>
    <row r="1716" spans="1:17" s="197" customFormat="1" ht="42" customHeight="1">
      <c r="A1716" s="233">
        <v>454</v>
      </c>
      <c r="B1716" s="53" t="s">
        <v>10555</v>
      </c>
      <c r="C1716" s="11" t="s">
        <v>10726</v>
      </c>
      <c r="D1716" s="77" t="s">
        <v>2393</v>
      </c>
      <c r="E1716" s="11" t="s">
        <v>4842</v>
      </c>
      <c r="F1716" s="19" t="s">
        <v>7133</v>
      </c>
      <c r="G1716" s="11" t="s">
        <v>2272</v>
      </c>
      <c r="H1716" s="11" t="s">
        <v>4107</v>
      </c>
      <c r="I1716" s="70">
        <v>33.5</v>
      </c>
      <c r="J1716" s="70">
        <v>-83.5</v>
      </c>
      <c r="K1716" s="21" t="s">
        <v>2272</v>
      </c>
      <c r="L1716" s="11">
        <v>1992</v>
      </c>
      <c r="M1716" s="11">
        <v>2015</v>
      </c>
      <c r="N1716" s="77" t="s">
        <v>2272</v>
      </c>
      <c r="O1716" s="77" t="s">
        <v>66</v>
      </c>
      <c r="P1716" s="77" t="s">
        <v>5181</v>
      </c>
      <c r="Q1716" s="11"/>
    </row>
    <row r="1717" spans="1:17" s="197" customFormat="1" ht="42" customHeight="1">
      <c r="A1717" s="233">
        <v>454</v>
      </c>
      <c r="B1717" s="53" t="s">
        <v>10555</v>
      </c>
      <c r="C1717" s="11" t="s">
        <v>10727</v>
      </c>
      <c r="D1717" s="77" t="s">
        <v>2393</v>
      </c>
      <c r="E1717" s="11" t="s">
        <v>4842</v>
      </c>
      <c r="F1717" s="19" t="s">
        <v>10644</v>
      </c>
      <c r="G1717" s="11" t="s">
        <v>2272</v>
      </c>
      <c r="H1717" s="11" t="s">
        <v>4107</v>
      </c>
      <c r="I1717" s="70">
        <v>45.5</v>
      </c>
      <c r="J1717" s="70">
        <v>-68.5</v>
      </c>
      <c r="K1717" s="21" t="s">
        <v>2272</v>
      </c>
      <c r="L1717" s="11">
        <v>1992</v>
      </c>
      <c r="M1717" s="11">
        <v>2015</v>
      </c>
      <c r="N1717" s="77" t="s">
        <v>2272</v>
      </c>
      <c r="O1717" s="77" t="s">
        <v>66</v>
      </c>
      <c r="P1717" s="77" t="s">
        <v>5181</v>
      </c>
      <c r="Q1717" s="11"/>
    </row>
    <row r="1718" spans="1:17" s="197" customFormat="1" ht="42" customHeight="1">
      <c r="A1718" s="233">
        <v>454</v>
      </c>
      <c r="B1718" s="53" t="s">
        <v>10555</v>
      </c>
      <c r="C1718" s="11" t="s">
        <v>10728</v>
      </c>
      <c r="D1718" s="77" t="s">
        <v>2393</v>
      </c>
      <c r="E1718" s="11" t="s">
        <v>4842</v>
      </c>
      <c r="F1718" s="19" t="s">
        <v>10645</v>
      </c>
      <c r="G1718" s="11" t="s">
        <v>2272</v>
      </c>
      <c r="H1718" s="11" t="s">
        <v>4107</v>
      </c>
      <c r="I1718" s="70">
        <v>45.5</v>
      </c>
      <c r="J1718" s="70">
        <v>-70</v>
      </c>
      <c r="K1718" s="21" t="s">
        <v>2272</v>
      </c>
      <c r="L1718" s="11">
        <v>1992</v>
      </c>
      <c r="M1718" s="11">
        <v>2015</v>
      </c>
      <c r="N1718" s="77" t="s">
        <v>2272</v>
      </c>
      <c r="O1718" s="77" t="s">
        <v>66</v>
      </c>
      <c r="P1718" s="77" t="s">
        <v>5181</v>
      </c>
      <c r="Q1718" s="11"/>
    </row>
    <row r="1719" spans="1:17" s="197" customFormat="1" ht="42" customHeight="1">
      <c r="A1719" s="233">
        <v>454</v>
      </c>
      <c r="B1719" s="53" t="s">
        <v>10555</v>
      </c>
      <c r="C1719" s="11" t="s">
        <v>10729</v>
      </c>
      <c r="D1719" s="77" t="s">
        <v>2393</v>
      </c>
      <c r="E1719" s="11" t="s">
        <v>4842</v>
      </c>
      <c r="F1719" s="19" t="s">
        <v>10646</v>
      </c>
      <c r="G1719" s="11" t="s">
        <v>2272</v>
      </c>
      <c r="H1719" s="11" t="s">
        <v>4107</v>
      </c>
      <c r="I1719" s="70">
        <v>39</v>
      </c>
      <c r="J1719" s="70">
        <v>-76.5</v>
      </c>
      <c r="K1719" s="21" t="s">
        <v>2272</v>
      </c>
      <c r="L1719" s="11">
        <v>1992</v>
      </c>
      <c r="M1719" s="11">
        <v>2015</v>
      </c>
      <c r="N1719" s="77" t="s">
        <v>2272</v>
      </c>
      <c r="O1719" s="77" t="s">
        <v>66</v>
      </c>
      <c r="P1719" s="77" t="s">
        <v>5181</v>
      </c>
      <c r="Q1719" s="11"/>
    </row>
    <row r="1720" spans="1:17" s="197" customFormat="1" ht="42" customHeight="1">
      <c r="A1720" s="233">
        <v>454</v>
      </c>
      <c r="B1720" s="53" t="s">
        <v>10555</v>
      </c>
      <c r="C1720" s="11" t="s">
        <v>10730</v>
      </c>
      <c r="D1720" s="77" t="s">
        <v>2393</v>
      </c>
      <c r="E1720" s="11" t="s">
        <v>4842</v>
      </c>
      <c r="F1720" s="19" t="s">
        <v>10647</v>
      </c>
      <c r="G1720" s="11" t="s">
        <v>2272</v>
      </c>
      <c r="H1720" s="11" t="s">
        <v>4107</v>
      </c>
      <c r="I1720" s="70">
        <v>48</v>
      </c>
      <c r="J1720" s="70">
        <v>-123</v>
      </c>
      <c r="K1720" s="21" t="s">
        <v>2272</v>
      </c>
      <c r="L1720" s="11">
        <v>1992</v>
      </c>
      <c r="M1720" s="11">
        <v>2015</v>
      </c>
      <c r="N1720" s="77" t="s">
        <v>2272</v>
      </c>
      <c r="O1720" s="77" t="s">
        <v>66</v>
      </c>
      <c r="P1720" s="77" t="s">
        <v>5181</v>
      </c>
      <c r="Q1720" s="11"/>
    </row>
    <row r="1721" spans="1:17" s="197" customFormat="1" ht="42" customHeight="1">
      <c r="A1721" s="233">
        <v>454</v>
      </c>
      <c r="B1721" s="53" t="s">
        <v>10555</v>
      </c>
      <c r="C1721" s="11" t="s">
        <v>10731</v>
      </c>
      <c r="D1721" s="77" t="s">
        <v>2393</v>
      </c>
      <c r="E1721" s="11" t="s">
        <v>4842</v>
      </c>
      <c r="F1721" s="19" t="s">
        <v>10648</v>
      </c>
      <c r="G1721" s="11" t="s">
        <v>2272</v>
      </c>
      <c r="H1721" s="11" t="s">
        <v>4107</v>
      </c>
      <c r="I1721" s="70">
        <v>41.75</v>
      </c>
      <c r="J1721" s="70">
        <v>-80.5</v>
      </c>
      <c r="K1721" s="21" t="s">
        <v>2272</v>
      </c>
      <c r="L1721" s="11">
        <v>1992</v>
      </c>
      <c r="M1721" s="11">
        <v>2015</v>
      </c>
      <c r="N1721" s="77" t="s">
        <v>2272</v>
      </c>
      <c r="O1721" s="77" t="s">
        <v>66</v>
      </c>
      <c r="P1721" s="77" t="s">
        <v>5181</v>
      </c>
      <c r="Q1721" s="11"/>
    </row>
    <row r="1722" spans="1:17" s="197" customFormat="1" ht="42" customHeight="1">
      <c r="A1722" s="233">
        <v>454</v>
      </c>
      <c r="B1722" s="53" t="s">
        <v>10555</v>
      </c>
      <c r="C1722" s="11" t="s">
        <v>10732</v>
      </c>
      <c r="D1722" s="77" t="s">
        <v>2393</v>
      </c>
      <c r="E1722" s="11" t="s">
        <v>4842</v>
      </c>
      <c r="F1722" s="19" t="s">
        <v>10649</v>
      </c>
      <c r="G1722" s="11" t="s">
        <v>2272</v>
      </c>
      <c r="H1722" s="11" t="s">
        <v>4107</v>
      </c>
      <c r="I1722" s="70">
        <v>42.5</v>
      </c>
      <c r="J1722" s="70">
        <v>-77.5</v>
      </c>
      <c r="K1722" s="21" t="s">
        <v>2272</v>
      </c>
      <c r="L1722" s="11">
        <v>1992</v>
      </c>
      <c r="M1722" s="11">
        <v>2015</v>
      </c>
      <c r="N1722" s="77" t="s">
        <v>2272</v>
      </c>
      <c r="O1722" s="77" t="s">
        <v>66</v>
      </c>
      <c r="P1722" s="77" t="s">
        <v>5181</v>
      </c>
      <c r="Q1722" s="11"/>
    </row>
    <row r="1723" spans="1:17" s="197" customFormat="1" ht="42" customHeight="1">
      <c r="A1723" s="233">
        <v>454</v>
      </c>
      <c r="B1723" s="53" t="s">
        <v>10555</v>
      </c>
      <c r="C1723" s="11" t="s">
        <v>10733</v>
      </c>
      <c r="D1723" s="77" t="s">
        <v>2393</v>
      </c>
      <c r="E1723" s="11" t="s">
        <v>4842</v>
      </c>
      <c r="F1723" s="19" t="s">
        <v>10650</v>
      </c>
      <c r="G1723" s="11" t="s">
        <v>2272</v>
      </c>
      <c r="H1723" s="11" t="s">
        <v>4107</v>
      </c>
      <c r="I1723" s="70">
        <v>41.5</v>
      </c>
      <c r="J1723" s="70">
        <v>-72</v>
      </c>
      <c r="K1723" s="21" t="s">
        <v>2272</v>
      </c>
      <c r="L1723" s="11">
        <v>1992</v>
      </c>
      <c r="M1723" s="11">
        <v>2015</v>
      </c>
      <c r="N1723" s="77" t="s">
        <v>2272</v>
      </c>
      <c r="O1723" s="77" t="s">
        <v>66</v>
      </c>
      <c r="P1723" s="77" t="s">
        <v>5181</v>
      </c>
      <c r="Q1723" s="11"/>
    </row>
    <row r="1724" spans="1:17" ht="41" customHeight="1">
      <c r="A1724" s="233">
        <v>455</v>
      </c>
      <c r="B1724" s="37" t="s">
        <v>10558</v>
      </c>
      <c r="C1724" s="11" t="s">
        <v>10556</v>
      </c>
      <c r="D1724" s="198" t="s">
        <v>2393</v>
      </c>
      <c r="E1724" s="11" t="s">
        <v>2394</v>
      </c>
      <c r="F1724" s="198" t="s">
        <v>2272</v>
      </c>
      <c r="G1724" s="11" t="s">
        <v>10557</v>
      </c>
      <c r="H1724" s="11" t="s">
        <v>4107</v>
      </c>
      <c r="I1724" s="21">
        <v>37.5</v>
      </c>
      <c r="J1724" s="21">
        <v>-100.5</v>
      </c>
      <c r="K1724" s="21">
        <v>183272</v>
      </c>
      <c r="L1724" s="198">
        <v>2016</v>
      </c>
      <c r="M1724" s="198">
        <v>2016</v>
      </c>
      <c r="N1724" s="77" t="s">
        <v>2272</v>
      </c>
      <c r="O1724" s="77" t="s">
        <v>66</v>
      </c>
      <c r="P1724" s="77" t="s">
        <v>5181</v>
      </c>
      <c r="Q1724" s="198"/>
    </row>
    <row r="1725" spans="1:17" ht="46" customHeight="1">
      <c r="A1725" s="233">
        <v>456</v>
      </c>
      <c r="B1725" s="53" t="s">
        <v>10561</v>
      </c>
      <c r="C1725" s="11" t="s">
        <v>10562</v>
      </c>
      <c r="D1725" s="198" t="s">
        <v>2393</v>
      </c>
      <c r="E1725" s="11" t="s">
        <v>2394</v>
      </c>
      <c r="F1725" s="11" t="s">
        <v>7715</v>
      </c>
      <c r="G1725" s="11" t="s">
        <v>7981</v>
      </c>
      <c r="H1725" s="11" t="s">
        <v>4107</v>
      </c>
      <c r="I1725" s="70">
        <v>31</v>
      </c>
      <c r="J1725" s="70">
        <v>-101</v>
      </c>
      <c r="K1725" s="77" t="s">
        <v>2272</v>
      </c>
      <c r="L1725" s="11">
        <v>2004</v>
      </c>
      <c r="M1725" s="11">
        <v>2004</v>
      </c>
      <c r="N1725" s="77" t="s">
        <v>2272</v>
      </c>
      <c r="O1725" s="77" t="s">
        <v>66</v>
      </c>
      <c r="P1725" s="77" t="s">
        <v>5181</v>
      </c>
      <c r="Q1725" s="11"/>
    </row>
    <row r="1726" spans="1:17" ht="44.5" customHeight="1">
      <c r="A1726" s="233">
        <v>457</v>
      </c>
      <c r="B1726" s="37" t="s">
        <v>10572</v>
      </c>
      <c r="C1726" s="11" t="s">
        <v>10573</v>
      </c>
      <c r="D1726" s="11" t="s">
        <v>2393</v>
      </c>
      <c r="E1726" s="11" t="s">
        <v>2400</v>
      </c>
      <c r="F1726" s="139" t="s">
        <v>10574</v>
      </c>
      <c r="G1726" s="198" t="s">
        <v>2272</v>
      </c>
      <c r="H1726" s="198" t="s">
        <v>892</v>
      </c>
      <c r="I1726" s="21">
        <v>-1.5</v>
      </c>
      <c r="J1726" s="21">
        <v>111</v>
      </c>
      <c r="K1726" s="77">
        <f>17212+22679+147676</f>
        <v>187567</v>
      </c>
      <c r="L1726" s="198">
        <v>2000</v>
      </c>
      <c r="M1726" s="198">
        <v>2015</v>
      </c>
      <c r="N1726" s="77" t="s">
        <v>2272</v>
      </c>
      <c r="O1726" s="77" t="s">
        <v>66</v>
      </c>
      <c r="P1726" s="77" t="s">
        <v>5181</v>
      </c>
      <c r="Q1726" s="198"/>
    </row>
    <row r="1727" spans="1:17" ht="45.5" customHeight="1">
      <c r="A1727" s="233">
        <v>458</v>
      </c>
      <c r="B1727" s="37" t="s">
        <v>10734</v>
      </c>
      <c r="C1727" s="11" t="s">
        <v>10735</v>
      </c>
      <c r="D1727" s="11" t="s">
        <v>2393</v>
      </c>
      <c r="E1727" s="198" t="s">
        <v>2415</v>
      </c>
      <c r="F1727" s="198" t="s">
        <v>10736</v>
      </c>
      <c r="G1727" s="198" t="s">
        <v>6671</v>
      </c>
      <c r="H1727" s="198" t="s">
        <v>6109</v>
      </c>
      <c r="I1727" s="21">
        <f>43+23/60</f>
        <v>43.383333333333333</v>
      </c>
      <c r="J1727" s="21">
        <f>5+23/60</f>
        <v>5.3833333333333337</v>
      </c>
      <c r="K1727" s="21">
        <f>510593/100</f>
        <v>5105.93</v>
      </c>
      <c r="L1727" s="198">
        <v>1960</v>
      </c>
      <c r="M1727" s="198">
        <v>2010</v>
      </c>
      <c r="N1727" s="77" t="s">
        <v>2272</v>
      </c>
      <c r="O1727" s="77" t="s">
        <v>66</v>
      </c>
      <c r="P1727" s="77" t="s">
        <v>5181</v>
      </c>
      <c r="Q1727" s="4" t="s">
        <v>10739</v>
      </c>
    </row>
    <row r="1728" spans="1:17" ht="44.5" customHeight="1">
      <c r="A1728" s="233">
        <v>458</v>
      </c>
      <c r="B1728" s="37" t="s">
        <v>10734</v>
      </c>
      <c r="C1728" s="11" t="s">
        <v>10738</v>
      </c>
      <c r="D1728" s="11" t="s">
        <v>2393</v>
      </c>
      <c r="E1728" s="198" t="s">
        <v>2415</v>
      </c>
      <c r="F1728" s="198" t="s">
        <v>10737</v>
      </c>
      <c r="G1728" s="198" t="s">
        <v>6671</v>
      </c>
      <c r="H1728" s="198" t="s">
        <v>6109</v>
      </c>
      <c r="I1728" s="21">
        <f>43 + 3/60</f>
        <v>43.05</v>
      </c>
      <c r="J1728" s="21">
        <f>6+3/60</f>
        <v>6.05</v>
      </c>
      <c r="K1728" s="21">
        <f>145686/100</f>
        <v>1456.86</v>
      </c>
      <c r="L1728" s="198">
        <v>1960</v>
      </c>
      <c r="M1728" s="198">
        <v>2010</v>
      </c>
      <c r="N1728" s="77" t="s">
        <v>2272</v>
      </c>
      <c r="O1728" s="77" t="s">
        <v>66</v>
      </c>
      <c r="P1728" s="77" t="s">
        <v>5181</v>
      </c>
      <c r="Q1728" s="4" t="s">
        <v>10739</v>
      </c>
    </row>
    <row r="1729" spans="1:17" ht="44.5" customHeight="1">
      <c r="A1729" s="233">
        <v>459</v>
      </c>
      <c r="B1729" s="37" t="s">
        <v>10752</v>
      </c>
      <c r="C1729" s="11" t="s">
        <v>10751</v>
      </c>
      <c r="D1729" s="11" t="s">
        <v>2393</v>
      </c>
      <c r="E1729" s="198" t="s">
        <v>4842</v>
      </c>
      <c r="F1729" s="198" t="s">
        <v>10753</v>
      </c>
      <c r="G1729" s="198" t="s">
        <v>3616</v>
      </c>
      <c r="H1729" s="198" t="s">
        <v>3611</v>
      </c>
      <c r="I1729" s="21">
        <f>-41-2.5/60</f>
        <v>-41.041666666666664</v>
      </c>
      <c r="J1729" s="21">
        <f>-71-3.5/60</f>
        <v>-71.058333333333337</v>
      </c>
      <c r="K1729" s="21">
        <f>22700/100</f>
        <v>227</v>
      </c>
      <c r="L1729" s="198">
        <v>2001</v>
      </c>
      <c r="M1729" s="198">
        <v>2005</v>
      </c>
      <c r="N1729" s="77">
        <f>110000/K1729</f>
        <v>484.5814977973568</v>
      </c>
      <c r="O1729" s="77" t="s">
        <v>66</v>
      </c>
      <c r="P1729" s="77" t="s">
        <v>5181</v>
      </c>
      <c r="Q1729" s="198"/>
    </row>
    <row r="1730" spans="1:17" ht="42.5" customHeight="1">
      <c r="A1730" s="233">
        <v>460</v>
      </c>
      <c r="B1730" s="37" t="s">
        <v>10764</v>
      </c>
      <c r="C1730" s="11" t="s">
        <v>10765</v>
      </c>
      <c r="D1730" s="11" t="s">
        <v>2393</v>
      </c>
      <c r="E1730" s="11" t="s">
        <v>2394</v>
      </c>
      <c r="F1730" s="11" t="s">
        <v>10767</v>
      </c>
      <c r="G1730" s="11" t="s">
        <v>10766</v>
      </c>
      <c r="H1730" s="11" t="s">
        <v>926</v>
      </c>
      <c r="I1730" s="21">
        <f>25/60</f>
        <v>0.41666666666666669</v>
      </c>
      <c r="J1730" s="21">
        <f>-78.3333</f>
        <v>-78.333299999999994</v>
      </c>
      <c r="K1730" s="21">
        <f>2000</f>
        <v>2000</v>
      </c>
      <c r="L1730" s="11">
        <v>1997</v>
      </c>
      <c r="M1730" s="11">
        <v>1997</v>
      </c>
      <c r="N1730" s="77" t="s">
        <v>2272</v>
      </c>
      <c r="O1730" s="77" t="s">
        <v>66</v>
      </c>
      <c r="P1730" s="77" t="s">
        <v>5181</v>
      </c>
      <c r="Q1730" s="77" t="s">
        <v>10768</v>
      </c>
    </row>
    <row r="1731" spans="1:17" ht="40.5" customHeight="1">
      <c r="A1731" s="233">
        <v>461</v>
      </c>
      <c r="B1731" s="37" t="s">
        <v>10772</v>
      </c>
      <c r="C1731" s="11" t="s">
        <v>10773</v>
      </c>
      <c r="D1731" s="198" t="s">
        <v>2393</v>
      </c>
      <c r="E1731" s="198" t="s">
        <v>4842</v>
      </c>
      <c r="F1731" s="198" t="s">
        <v>10774</v>
      </c>
      <c r="G1731" s="198" t="s">
        <v>3616</v>
      </c>
      <c r="H1731" s="198" t="s">
        <v>3611</v>
      </c>
      <c r="I1731" s="21">
        <v>-41</v>
      </c>
      <c r="J1731" s="21">
        <v>-71</v>
      </c>
      <c r="K1731" s="21">
        <f>758000/100</f>
        <v>7580</v>
      </c>
      <c r="L1731" s="198">
        <v>1984</v>
      </c>
      <c r="M1731" s="198">
        <v>2004</v>
      </c>
      <c r="N1731" s="77" t="s">
        <v>2272</v>
      </c>
      <c r="O1731" s="77" t="s">
        <v>66</v>
      </c>
      <c r="P1731" s="77" t="s">
        <v>5181</v>
      </c>
      <c r="Q1731" s="198"/>
    </row>
    <row r="1732" spans="1:17" ht="42.5" customHeight="1">
      <c r="A1732" s="233">
        <v>461</v>
      </c>
      <c r="B1732" s="37" t="s">
        <v>10772</v>
      </c>
      <c r="C1732" s="11" t="s">
        <v>10776</v>
      </c>
      <c r="D1732" s="198" t="s">
        <v>2393</v>
      </c>
      <c r="E1732" s="198" t="s">
        <v>4842</v>
      </c>
      <c r="F1732" s="139" t="s">
        <v>10775</v>
      </c>
      <c r="G1732" s="198" t="s">
        <v>3616</v>
      </c>
      <c r="H1732" s="198" t="s">
        <v>3611</v>
      </c>
      <c r="I1732" s="21">
        <v>-40.5</v>
      </c>
      <c r="J1732" s="21">
        <v>-71</v>
      </c>
      <c r="K1732" s="21">
        <f>1200</f>
        <v>1200</v>
      </c>
      <c r="L1732" s="198">
        <v>1984</v>
      </c>
      <c r="M1732" s="198">
        <v>2004</v>
      </c>
      <c r="N1732" s="77" t="s">
        <v>2272</v>
      </c>
      <c r="O1732" s="77" t="s">
        <v>66</v>
      </c>
      <c r="P1732" s="77" t="s">
        <v>5181</v>
      </c>
      <c r="Q1732" s="4" t="s">
        <v>11592</v>
      </c>
    </row>
    <row r="1733" spans="1:17" ht="42" customHeight="1">
      <c r="A1733" s="233">
        <v>462</v>
      </c>
      <c r="B1733" s="37" t="s">
        <v>10780</v>
      </c>
      <c r="C1733" s="11" t="s">
        <v>10781</v>
      </c>
      <c r="D1733" s="198" t="s">
        <v>2393</v>
      </c>
      <c r="E1733" s="11" t="s">
        <v>2394</v>
      </c>
      <c r="F1733" s="11" t="s">
        <v>10782</v>
      </c>
      <c r="G1733" s="11" t="s">
        <v>10783</v>
      </c>
      <c r="H1733" s="11" t="s">
        <v>926</v>
      </c>
      <c r="I1733" s="21">
        <v>0.5</v>
      </c>
      <c r="J1733" s="21">
        <v>-78.5</v>
      </c>
      <c r="K1733" s="21">
        <f>204420/100</f>
        <v>2044.2</v>
      </c>
      <c r="L1733" s="198">
        <v>2005</v>
      </c>
      <c r="M1733" s="198">
        <v>2005</v>
      </c>
      <c r="N1733" s="77" t="s">
        <v>2272</v>
      </c>
      <c r="O1733" s="77" t="s">
        <v>66</v>
      </c>
      <c r="P1733" s="77" t="s">
        <v>5181</v>
      </c>
      <c r="Q1733" s="198" t="s">
        <v>10799</v>
      </c>
    </row>
    <row r="1734" spans="1:17" ht="44.5" customHeight="1">
      <c r="A1734" s="233">
        <v>463</v>
      </c>
      <c r="B1734" s="37" t="s">
        <v>10796</v>
      </c>
      <c r="C1734" s="11" t="s">
        <v>10797</v>
      </c>
      <c r="D1734" s="198" t="s">
        <v>2393</v>
      </c>
      <c r="E1734" s="11" t="s">
        <v>2394</v>
      </c>
      <c r="F1734" s="198" t="s">
        <v>2272</v>
      </c>
      <c r="G1734" s="11" t="s">
        <v>10798</v>
      </c>
      <c r="H1734" s="11" t="s">
        <v>3409</v>
      </c>
      <c r="I1734" s="21">
        <v>-37.799999999999997</v>
      </c>
      <c r="J1734" s="21">
        <v>146</v>
      </c>
      <c r="K1734" s="77" t="s">
        <v>2272</v>
      </c>
      <c r="L1734" s="11">
        <v>2009</v>
      </c>
      <c r="M1734" s="11">
        <v>2009</v>
      </c>
      <c r="N1734" s="77" t="s">
        <v>2272</v>
      </c>
      <c r="O1734" s="77" t="s">
        <v>66</v>
      </c>
      <c r="P1734" s="77" t="s">
        <v>5181</v>
      </c>
      <c r="Q1734" s="198"/>
    </row>
    <row r="1735" spans="1:17" ht="39" customHeight="1">
      <c r="A1735" s="233">
        <v>464</v>
      </c>
      <c r="B1735" s="37" t="s">
        <v>10802</v>
      </c>
      <c r="C1735" s="11" t="s">
        <v>10803</v>
      </c>
      <c r="D1735" s="198" t="s">
        <v>2393</v>
      </c>
      <c r="E1735" s="198" t="s">
        <v>4842</v>
      </c>
      <c r="F1735" s="198" t="s">
        <v>2272</v>
      </c>
      <c r="G1735" s="11" t="s">
        <v>7140</v>
      </c>
      <c r="H1735" s="11" t="s">
        <v>4937</v>
      </c>
      <c r="I1735" s="21">
        <v>41</v>
      </c>
      <c r="J1735" s="21">
        <v>17</v>
      </c>
      <c r="K1735" s="21">
        <v>19541</v>
      </c>
      <c r="L1735" s="11">
        <v>2000</v>
      </c>
      <c r="M1735" s="11">
        <v>2011</v>
      </c>
      <c r="N1735" s="77">
        <v>2837</v>
      </c>
      <c r="O1735" s="77" t="s">
        <v>66</v>
      </c>
      <c r="P1735" s="77" t="s">
        <v>5181</v>
      </c>
      <c r="Q1735" s="198"/>
    </row>
    <row r="1736" spans="1:17" ht="39" customHeight="1">
      <c r="A1736" s="238">
        <v>465</v>
      </c>
      <c r="B1736" s="239" t="s">
        <v>10809</v>
      </c>
      <c r="C1736" s="12" t="s">
        <v>10810</v>
      </c>
      <c r="D1736" s="12" t="s">
        <v>2393</v>
      </c>
      <c r="E1736" s="12" t="s">
        <v>4842</v>
      </c>
      <c r="F1736" s="12" t="s">
        <v>2272</v>
      </c>
      <c r="G1736" s="12" t="s">
        <v>10811</v>
      </c>
      <c r="H1736" s="12" t="s">
        <v>3611</v>
      </c>
      <c r="I1736" s="83">
        <f>-38.85</f>
        <v>-38.85</v>
      </c>
      <c r="J1736" s="83">
        <f>-70.7</f>
        <v>-70.7</v>
      </c>
      <c r="K1736" s="83">
        <v>57649</v>
      </c>
      <c r="L1736" s="12">
        <v>1992</v>
      </c>
      <c r="M1736" s="12">
        <v>2008</v>
      </c>
      <c r="N1736" s="240" t="s">
        <v>2272</v>
      </c>
      <c r="O1736" s="240" t="s">
        <v>66</v>
      </c>
      <c r="P1736" s="240" t="s">
        <v>5181</v>
      </c>
      <c r="Q1736" s="12"/>
    </row>
    <row r="1737" spans="1:17" ht="47.5" customHeight="1">
      <c r="A1737" s="233">
        <v>466</v>
      </c>
      <c r="B1737" s="37" t="s">
        <v>10823</v>
      </c>
      <c r="C1737" s="11" t="s">
        <v>10824</v>
      </c>
      <c r="D1737" s="12" t="s">
        <v>2393</v>
      </c>
      <c r="E1737" s="12" t="s">
        <v>4842</v>
      </c>
      <c r="F1737" s="241" t="s">
        <v>10826</v>
      </c>
      <c r="G1737" s="11" t="s">
        <v>10825</v>
      </c>
      <c r="H1737" s="11" t="s">
        <v>4728</v>
      </c>
      <c r="I1737" s="21">
        <f>37 + 13.5/60</f>
        <v>37.225000000000001</v>
      </c>
      <c r="J1737" s="21">
        <f>28+29.5/60</f>
        <v>28.491666666666667</v>
      </c>
      <c r="K1737" s="21">
        <f>1158925/100</f>
        <v>11589.25</v>
      </c>
      <c r="L1737" s="11">
        <v>2008</v>
      </c>
      <c r="M1737" s="11">
        <v>2018</v>
      </c>
      <c r="N1737" s="240" t="s">
        <v>2272</v>
      </c>
      <c r="O1737" s="240" t="s">
        <v>66</v>
      </c>
      <c r="P1737" s="240" t="s">
        <v>5181</v>
      </c>
      <c r="Q1737" s="12"/>
    </row>
    <row r="1738" spans="1:17" ht="44" customHeight="1">
      <c r="A1738" s="233">
        <v>467</v>
      </c>
      <c r="B1738" s="37" t="s">
        <v>10835</v>
      </c>
      <c r="C1738" s="11" t="s">
        <v>10836</v>
      </c>
      <c r="D1738" s="12" t="s">
        <v>2393</v>
      </c>
      <c r="E1738" s="198" t="s">
        <v>2394</v>
      </c>
      <c r="F1738" s="198" t="s">
        <v>10837</v>
      </c>
      <c r="G1738" s="198" t="s">
        <v>5378</v>
      </c>
      <c r="H1738" s="198" t="s">
        <v>3409</v>
      </c>
      <c r="I1738" s="21">
        <v>-34.5</v>
      </c>
      <c r="J1738" s="21">
        <v>150</v>
      </c>
      <c r="K1738" s="21" t="s">
        <v>2272</v>
      </c>
      <c r="L1738" s="11">
        <v>2008</v>
      </c>
      <c r="M1738" s="11">
        <v>2008</v>
      </c>
      <c r="N1738" s="240" t="s">
        <v>2272</v>
      </c>
      <c r="O1738" s="240" t="s">
        <v>66</v>
      </c>
      <c r="P1738" s="240" t="s">
        <v>5181</v>
      </c>
      <c r="Q1738" s="198"/>
    </row>
    <row r="1739" spans="1:17" ht="43" customHeight="1">
      <c r="A1739" s="233">
        <v>468</v>
      </c>
      <c r="B1739" s="37" t="s">
        <v>10846</v>
      </c>
      <c r="C1739" s="11" t="s">
        <v>10845</v>
      </c>
      <c r="D1739" s="12" t="s">
        <v>2393</v>
      </c>
      <c r="E1739" s="198" t="s">
        <v>2394</v>
      </c>
      <c r="F1739" s="4" t="s">
        <v>10847</v>
      </c>
      <c r="G1739" s="198" t="s">
        <v>6381</v>
      </c>
      <c r="H1739" s="198" t="s">
        <v>5367</v>
      </c>
      <c r="I1739" s="21">
        <v>54.75</v>
      </c>
      <c r="J1739" s="21">
        <v>-112</v>
      </c>
      <c r="K1739" s="21">
        <f>4000000/100</f>
        <v>40000</v>
      </c>
      <c r="L1739" s="198">
        <v>2018</v>
      </c>
      <c r="M1739" s="198">
        <v>2018</v>
      </c>
      <c r="N1739" s="240" t="s">
        <v>2272</v>
      </c>
      <c r="O1739" s="240" t="s">
        <v>66</v>
      </c>
      <c r="P1739" s="240" t="s">
        <v>5181</v>
      </c>
      <c r="Q1739" s="198" t="s">
        <v>10848</v>
      </c>
    </row>
    <row r="1740" spans="1:17" ht="40" customHeight="1">
      <c r="A1740" s="233">
        <v>469</v>
      </c>
      <c r="B1740" s="37" t="s">
        <v>10865</v>
      </c>
      <c r="C1740" s="11" t="s">
        <v>10862</v>
      </c>
      <c r="D1740" s="12" t="s">
        <v>2393</v>
      </c>
      <c r="E1740" s="198" t="s">
        <v>2409</v>
      </c>
      <c r="F1740" s="198" t="s">
        <v>10867</v>
      </c>
      <c r="G1740" s="198" t="s">
        <v>8028</v>
      </c>
      <c r="H1740" s="198" t="s">
        <v>4107</v>
      </c>
      <c r="I1740" s="21">
        <v>42.75</v>
      </c>
      <c r="J1740" s="21">
        <v>-100</v>
      </c>
      <c r="K1740" s="21">
        <f>22662/100</f>
        <v>226.62</v>
      </c>
      <c r="L1740" s="198">
        <v>2013</v>
      </c>
      <c r="M1740" s="198">
        <v>2013</v>
      </c>
      <c r="N1740" s="240" t="s">
        <v>2272</v>
      </c>
      <c r="O1740" s="240" t="s">
        <v>66</v>
      </c>
      <c r="P1740" s="240" t="s">
        <v>5181</v>
      </c>
      <c r="Q1740" s="4" t="s">
        <v>10866</v>
      </c>
    </row>
    <row r="1741" spans="1:17" ht="40" customHeight="1">
      <c r="A1741" s="233">
        <v>469</v>
      </c>
      <c r="B1741" s="37" t="s">
        <v>10865</v>
      </c>
      <c r="C1741" s="11" t="s">
        <v>10863</v>
      </c>
      <c r="D1741" s="12" t="s">
        <v>2393</v>
      </c>
      <c r="E1741" s="198" t="s">
        <v>2409</v>
      </c>
      <c r="F1741" s="198" t="s">
        <v>10868</v>
      </c>
      <c r="G1741" s="198" t="s">
        <v>9329</v>
      </c>
      <c r="H1741" s="198" t="s">
        <v>4107</v>
      </c>
      <c r="I1741" s="21">
        <v>36.25</v>
      </c>
      <c r="J1741" s="21">
        <v>-105.25</v>
      </c>
      <c r="K1741" s="21" t="s">
        <v>2272</v>
      </c>
      <c r="L1741" s="198">
        <v>2013</v>
      </c>
      <c r="M1741" s="198">
        <v>2013</v>
      </c>
      <c r="N1741" s="240" t="s">
        <v>2272</v>
      </c>
      <c r="O1741" s="240" t="s">
        <v>66</v>
      </c>
      <c r="P1741" s="240" t="s">
        <v>5181</v>
      </c>
      <c r="Q1741" s="4" t="s">
        <v>10866</v>
      </c>
    </row>
    <row r="1742" spans="1:17" ht="40" customHeight="1">
      <c r="A1742" s="233">
        <v>469</v>
      </c>
      <c r="B1742" s="37" t="s">
        <v>10865</v>
      </c>
      <c r="C1742" s="11" t="s">
        <v>10864</v>
      </c>
      <c r="D1742" s="12" t="s">
        <v>2393</v>
      </c>
      <c r="E1742" s="198" t="s">
        <v>2409</v>
      </c>
      <c r="F1742" s="198" t="s">
        <v>10869</v>
      </c>
      <c r="G1742" s="198" t="s">
        <v>4127</v>
      </c>
      <c r="H1742" s="198" t="s">
        <v>4107</v>
      </c>
      <c r="I1742" s="21">
        <f>40+51/60</f>
        <v>40.85</v>
      </c>
      <c r="J1742" s="21">
        <f>-124</f>
        <v>-124</v>
      </c>
      <c r="K1742" s="21" t="s">
        <v>2272</v>
      </c>
      <c r="L1742" s="198">
        <v>2013</v>
      </c>
      <c r="M1742" s="198">
        <v>2013</v>
      </c>
      <c r="N1742" s="240" t="s">
        <v>2272</v>
      </c>
      <c r="O1742" s="240" t="s">
        <v>66</v>
      </c>
      <c r="P1742" s="240" t="s">
        <v>5181</v>
      </c>
      <c r="Q1742" s="4" t="s">
        <v>10866</v>
      </c>
    </row>
    <row r="1743" spans="1:17" ht="44.5" customHeight="1">
      <c r="A1743" s="233">
        <v>470</v>
      </c>
      <c r="B1743" s="37" t="s">
        <v>10875</v>
      </c>
      <c r="C1743" s="11" t="s">
        <v>10876</v>
      </c>
      <c r="D1743" s="198" t="s">
        <v>2393</v>
      </c>
      <c r="E1743" s="198" t="s">
        <v>2631</v>
      </c>
      <c r="F1743" s="198" t="s">
        <v>2272</v>
      </c>
      <c r="G1743" s="198" t="s">
        <v>10950</v>
      </c>
      <c r="H1743" s="11" t="s">
        <v>6317</v>
      </c>
      <c r="I1743" s="21">
        <v>70</v>
      </c>
      <c r="J1743" s="21">
        <v>113</v>
      </c>
      <c r="K1743" s="21" t="s">
        <v>2272</v>
      </c>
      <c r="L1743" s="198">
        <v>1996</v>
      </c>
      <c r="M1743" s="198">
        <v>2002</v>
      </c>
      <c r="N1743" s="240" t="s">
        <v>2272</v>
      </c>
      <c r="O1743" s="240" t="s">
        <v>66</v>
      </c>
      <c r="P1743" s="240" t="s">
        <v>5181</v>
      </c>
      <c r="Q1743" s="4" t="s">
        <v>10968</v>
      </c>
    </row>
    <row r="1744" spans="1:17" s="197" customFormat="1" ht="44.5" customHeight="1">
      <c r="A1744" s="233">
        <v>470</v>
      </c>
      <c r="B1744" s="37" t="s">
        <v>10875</v>
      </c>
      <c r="C1744" s="11" t="s">
        <v>10954</v>
      </c>
      <c r="D1744" s="198" t="s">
        <v>2393</v>
      </c>
      <c r="E1744" s="198" t="s">
        <v>2631</v>
      </c>
      <c r="F1744" s="198" t="s">
        <v>2272</v>
      </c>
      <c r="G1744" s="198" t="s">
        <v>10955</v>
      </c>
      <c r="H1744" s="11" t="s">
        <v>6317</v>
      </c>
      <c r="I1744" s="21">
        <v>55</v>
      </c>
      <c r="J1744" s="21">
        <v>39</v>
      </c>
      <c r="K1744" s="21" t="s">
        <v>2272</v>
      </c>
      <c r="L1744" s="198">
        <v>1972</v>
      </c>
      <c r="M1744" s="198">
        <v>2010</v>
      </c>
      <c r="N1744" s="240" t="s">
        <v>2272</v>
      </c>
      <c r="O1744" s="240" t="s">
        <v>66</v>
      </c>
      <c r="P1744" s="240" t="s">
        <v>5181</v>
      </c>
      <c r="Q1744" s="198"/>
    </row>
    <row r="1745" spans="1:17" s="197" customFormat="1" ht="44.5" customHeight="1">
      <c r="A1745" s="233">
        <v>470</v>
      </c>
      <c r="B1745" s="37" t="s">
        <v>10875</v>
      </c>
      <c r="C1745" s="11" t="s">
        <v>10958</v>
      </c>
      <c r="D1745" s="198" t="s">
        <v>2393</v>
      </c>
      <c r="E1745" s="198" t="s">
        <v>2631</v>
      </c>
      <c r="F1745" s="198" t="s">
        <v>10959</v>
      </c>
      <c r="G1745" s="198" t="s">
        <v>10960</v>
      </c>
      <c r="H1745" s="11" t="s">
        <v>6317</v>
      </c>
      <c r="I1745" s="21">
        <v>45</v>
      </c>
      <c r="J1745" s="21">
        <v>135</v>
      </c>
      <c r="K1745" s="21">
        <v>4016</v>
      </c>
      <c r="L1745" s="198">
        <v>1990</v>
      </c>
      <c r="M1745" s="198">
        <v>1999</v>
      </c>
      <c r="N1745" s="240" t="s">
        <v>2272</v>
      </c>
      <c r="O1745" s="240" t="s">
        <v>66</v>
      </c>
      <c r="P1745" s="240" t="s">
        <v>5181</v>
      </c>
      <c r="Q1745" s="198"/>
    </row>
    <row r="1746" spans="1:17" ht="44.5" customHeight="1">
      <c r="A1746" s="233">
        <v>471</v>
      </c>
      <c r="B1746" s="37" t="s">
        <v>10877</v>
      </c>
      <c r="C1746" s="11" t="s">
        <v>10881</v>
      </c>
      <c r="D1746" s="198" t="s">
        <v>2393</v>
      </c>
      <c r="E1746" s="198" t="s">
        <v>4842</v>
      </c>
      <c r="F1746" s="198" t="s">
        <v>2272</v>
      </c>
      <c r="G1746" s="198" t="s">
        <v>2272</v>
      </c>
      <c r="H1746" s="11" t="s">
        <v>8743</v>
      </c>
      <c r="I1746" s="21">
        <v>55.5</v>
      </c>
      <c r="J1746" s="21">
        <v>24</v>
      </c>
      <c r="K1746" s="21">
        <v>65300</v>
      </c>
      <c r="L1746" s="198">
        <v>1992</v>
      </c>
      <c r="M1746" s="198">
        <v>2012</v>
      </c>
      <c r="N1746" s="240" t="s">
        <v>2272</v>
      </c>
      <c r="O1746" s="240" t="s">
        <v>66</v>
      </c>
      <c r="P1746" s="240" t="s">
        <v>5181</v>
      </c>
      <c r="Q1746" s="198"/>
    </row>
    <row r="1747" spans="1:17" ht="44.5" customHeight="1">
      <c r="A1747" s="233">
        <v>471</v>
      </c>
      <c r="B1747" s="37" t="s">
        <v>10877</v>
      </c>
      <c r="C1747" s="11" t="s">
        <v>10882</v>
      </c>
      <c r="D1747" s="198" t="s">
        <v>2393</v>
      </c>
      <c r="E1747" s="198" t="s">
        <v>4842</v>
      </c>
      <c r="F1747" s="198" t="s">
        <v>2272</v>
      </c>
      <c r="G1747" s="198" t="s">
        <v>10878</v>
      </c>
      <c r="H1747" s="11" t="s">
        <v>8743</v>
      </c>
      <c r="I1747" s="21">
        <v>54</v>
      </c>
      <c r="J1747" s="21">
        <v>24</v>
      </c>
      <c r="K1747" s="21" t="s">
        <v>2272</v>
      </c>
      <c r="L1747" s="198">
        <v>1992</v>
      </c>
      <c r="M1747" s="198">
        <v>2012</v>
      </c>
      <c r="N1747" s="240" t="s">
        <v>2272</v>
      </c>
      <c r="O1747" s="240" t="s">
        <v>66</v>
      </c>
      <c r="P1747" s="240" t="s">
        <v>5181</v>
      </c>
      <c r="Q1747" s="198"/>
    </row>
    <row r="1748" spans="1:17" ht="41" customHeight="1">
      <c r="A1748" s="233">
        <v>471</v>
      </c>
      <c r="B1748" s="37" t="s">
        <v>10877</v>
      </c>
      <c r="C1748" s="11" t="s">
        <v>10883</v>
      </c>
      <c r="D1748" s="198" t="s">
        <v>2393</v>
      </c>
      <c r="E1748" s="198" t="s">
        <v>4842</v>
      </c>
      <c r="F1748" s="198" t="s">
        <v>2272</v>
      </c>
      <c r="G1748" s="198" t="s">
        <v>10879</v>
      </c>
      <c r="H1748" s="11" t="s">
        <v>8743</v>
      </c>
      <c r="I1748" s="21">
        <v>55.25</v>
      </c>
      <c r="J1748" s="21">
        <v>25.75</v>
      </c>
      <c r="K1748" s="21" t="s">
        <v>2272</v>
      </c>
      <c r="L1748" s="198">
        <v>1992</v>
      </c>
      <c r="M1748" s="198">
        <v>2012</v>
      </c>
      <c r="N1748" s="240" t="s">
        <v>2272</v>
      </c>
      <c r="O1748" s="240" t="s">
        <v>66</v>
      </c>
      <c r="P1748" s="240" t="s">
        <v>5181</v>
      </c>
      <c r="Q1748" s="198"/>
    </row>
    <row r="1749" spans="1:17" ht="40" customHeight="1">
      <c r="A1749" s="233">
        <v>471</v>
      </c>
      <c r="B1749" s="37" t="s">
        <v>10877</v>
      </c>
      <c r="C1749" s="11" t="s">
        <v>10884</v>
      </c>
      <c r="D1749" s="198" t="s">
        <v>2393</v>
      </c>
      <c r="E1749" s="198" t="s">
        <v>4842</v>
      </c>
      <c r="F1749" s="198" t="s">
        <v>2272</v>
      </c>
      <c r="G1749" s="198" t="s">
        <v>10880</v>
      </c>
      <c r="H1749" s="11" t="s">
        <v>8743</v>
      </c>
      <c r="I1749" s="21">
        <v>54.75</v>
      </c>
      <c r="J1749" s="21">
        <v>23.5</v>
      </c>
      <c r="K1749" s="21" t="s">
        <v>2272</v>
      </c>
      <c r="L1749" s="198">
        <v>1992</v>
      </c>
      <c r="M1749" s="198">
        <v>2012</v>
      </c>
      <c r="N1749" s="240" t="s">
        <v>2272</v>
      </c>
      <c r="O1749" s="240" t="s">
        <v>66</v>
      </c>
      <c r="P1749" s="240" t="s">
        <v>5181</v>
      </c>
      <c r="Q1749" s="198"/>
    </row>
    <row r="1750" spans="1:17" ht="45" customHeight="1">
      <c r="A1750" s="233">
        <v>472</v>
      </c>
      <c r="B1750" s="37" t="s">
        <v>10902</v>
      </c>
      <c r="C1750" s="11" t="s">
        <v>10903</v>
      </c>
      <c r="D1750" s="198" t="s">
        <v>2393</v>
      </c>
      <c r="E1750" s="198" t="s">
        <v>4842</v>
      </c>
      <c r="F1750" s="198" t="s">
        <v>2272</v>
      </c>
      <c r="G1750" s="198" t="s">
        <v>2272</v>
      </c>
      <c r="H1750" s="198" t="s">
        <v>4256</v>
      </c>
      <c r="I1750" s="21">
        <v>36.25</v>
      </c>
      <c r="J1750" s="21">
        <v>3</v>
      </c>
      <c r="K1750" s="21">
        <v>2381741</v>
      </c>
      <c r="L1750" s="198">
        <v>1956</v>
      </c>
      <c r="M1750" s="198">
        <v>2005</v>
      </c>
      <c r="N1750" s="240" t="s">
        <v>2272</v>
      </c>
      <c r="O1750" s="240" t="s">
        <v>66</v>
      </c>
      <c r="P1750" s="240" t="s">
        <v>5181</v>
      </c>
      <c r="Q1750" s="198"/>
    </row>
    <row r="1751" spans="1:17" ht="47" customHeight="1">
      <c r="A1751" s="233">
        <v>473</v>
      </c>
      <c r="B1751" s="37" t="s">
        <v>10920</v>
      </c>
      <c r="C1751" s="11" t="s">
        <v>10921</v>
      </c>
      <c r="D1751" s="198" t="s">
        <v>2393</v>
      </c>
      <c r="E1751" s="198" t="s">
        <v>2631</v>
      </c>
      <c r="F1751" s="198" t="s">
        <v>2272</v>
      </c>
      <c r="G1751" s="198" t="s">
        <v>2272</v>
      </c>
      <c r="H1751" s="198" t="s">
        <v>4642</v>
      </c>
      <c r="I1751" s="21">
        <v>31</v>
      </c>
      <c r="J1751" s="21">
        <v>34.75</v>
      </c>
      <c r="K1751" s="21">
        <v>21671</v>
      </c>
      <c r="L1751" s="198">
        <v>1948</v>
      </c>
      <c r="M1751" s="198">
        <v>2014</v>
      </c>
      <c r="N1751" s="240" t="s">
        <v>2272</v>
      </c>
      <c r="O1751" s="240" t="s">
        <v>66</v>
      </c>
      <c r="P1751" s="240" t="s">
        <v>5181</v>
      </c>
      <c r="Q1751" s="4" t="s">
        <v>10922</v>
      </c>
    </row>
    <row r="1752" spans="1:17" ht="44.5" customHeight="1">
      <c r="A1752" s="233">
        <v>473</v>
      </c>
      <c r="B1752" s="37" t="s">
        <v>10920</v>
      </c>
      <c r="C1752" s="11" t="s">
        <v>10927</v>
      </c>
      <c r="D1752" s="198" t="s">
        <v>2393</v>
      </c>
      <c r="E1752" s="198" t="s">
        <v>4842</v>
      </c>
      <c r="F1752" s="198" t="s">
        <v>2272</v>
      </c>
      <c r="G1752" s="198" t="s">
        <v>10926</v>
      </c>
      <c r="H1752" s="198" t="s">
        <v>4642</v>
      </c>
      <c r="I1752" s="21">
        <v>33</v>
      </c>
      <c r="J1752" s="21">
        <v>35.75</v>
      </c>
      <c r="K1752" s="21">
        <f>100000/100</f>
        <v>1000</v>
      </c>
      <c r="L1752" s="198">
        <v>2005</v>
      </c>
      <c r="M1752" s="198">
        <v>2012</v>
      </c>
      <c r="N1752" s="240" t="s">
        <v>2272</v>
      </c>
      <c r="O1752" s="240" t="s">
        <v>66</v>
      </c>
      <c r="P1752" s="240" t="s">
        <v>5181</v>
      </c>
      <c r="Q1752" s="4" t="s">
        <v>10922</v>
      </c>
    </row>
    <row r="1753" spans="1:17" ht="46.5" customHeight="1">
      <c r="A1753" s="233">
        <v>473</v>
      </c>
      <c r="B1753" s="37" t="s">
        <v>10920</v>
      </c>
      <c r="C1753" s="11" t="s">
        <v>10937</v>
      </c>
      <c r="D1753" s="198" t="s">
        <v>2393</v>
      </c>
      <c r="E1753" s="198" t="s">
        <v>4842</v>
      </c>
      <c r="F1753" s="198" t="s">
        <v>2272</v>
      </c>
      <c r="G1753" s="11" t="s">
        <v>10938</v>
      </c>
      <c r="H1753" s="11" t="s">
        <v>4642</v>
      </c>
      <c r="I1753" s="21">
        <v>32.75</v>
      </c>
      <c r="J1753" s="21">
        <v>35</v>
      </c>
      <c r="K1753" s="21">
        <f>15700/100</f>
        <v>157</v>
      </c>
      <c r="L1753" s="198">
        <v>1978</v>
      </c>
      <c r="M1753" s="198">
        <v>2010</v>
      </c>
      <c r="N1753" s="240" t="s">
        <v>2272</v>
      </c>
      <c r="O1753" s="240" t="s">
        <v>66</v>
      </c>
      <c r="P1753" s="240" t="s">
        <v>5181</v>
      </c>
      <c r="Q1753" s="198"/>
    </row>
    <row r="1754" spans="1:17" ht="45.5" customHeight="1">
      <c r="A1754" s="233">
        <v>474</v>
      </c>
      <c r="B1754" s="53" t="s">
        <v>10969</v>
      </c>
      <c r="C1754" s="11" t="s">
        <v>10970</v>
      </c>
      <c r="D1754" s="198" t="s">
        <v>2393</v>
      </c>
      <c r="E1754" s="198" t="s">
        <v>2400</v>
      </c>
      <c r="F1754" s="198" t="s">
        <v>2272</v>
      </c>
      <c r="G1754" s="11" t="s">
        <v>10971</v>
      </c>
      <c r="H1754" s="11" t="s">
        <v>5367</v>
      </c>
      <c r="I1754" s="21">
        <v>47</v>
      </c>
      <c r="J1754" s="21">
        <v>-66</v>
      </c>
      <c r="K1754" s="21">
        <f>875.5/100/0.0001</f>
        <v>87550</v>
      </c>
      <c r="L1754" s="11">
        <v>1985</v>
      </c>
      <c r="M1754" s="11">
        <v>2015</v>
      </c>
      <c r="N1754" s="240" t="s">
        <v>2272</v>
      </c>
      <c r="O1754" s="240" t="s">
        <v>66</v>
      </c>
      <c r="P1754" s="240" t="s">
        <v>5181</v>
      </c>
      <c r="Q1754" s="4" t="s">
        <v>11004</v>
      </c>
    </row>
    <row r="1755" spans="1:17" ht="45.5" customHeight="1">
      <c r="A1755" s="233">
        <v>474</v>
      </c>
      <c r="B1755" s="53" t="s">
        <v>10969</v>
      </c>
      <c r="C1755" s="11" t="s">
        <v>10983</v>
      </c>
      <c r="D1755" s="198" t="s">
        <v>2393</v>
      </c>
      <c r="E1755" s="198" t="s">
        <v>2400</v>
      </c>
      <c r="F1755" s="198" t="s">
        <v>2272</v>
      </c>
      <c r="G1755" s="11" t="s">
        <v>10975</v>
      </c>
      <c r="H1755" s="11" t="s">
        <v>5367</v>
      </c>
      <c r="I1755" s="21">
        <v>59</v>
      </c>
      <c r="J1755" s="21">
        <v>-131</v>
      </c>
      <c r="K1755" s="21">
        <f>94360/100/0.0023</f>
        <v>410260.86956521741</v>
      </c>
      <c r="L1755" s="11">
        <v>1985</v>
      </c>
      <c r="M1755" s="11">
        <v>2015</v>
      </c>
      <c r="N1755" s="240" t="s">
        <v>2272</v>
      </c>
      <c r="O1755" s="240" t="s">
        <v>66</v>
      </c>
      <c r="P1755" s="240" t="s">
        <v>5181</v>
      </c>
      <c r="Q1755" s="198"/>
    </row>
    <row r="1756" spans="1:17" ht="45.5" customHeight="1">
      <c r="A1756" s="233">
        <v>474</v>
      </c>
      <c r="B1756" s="53" t="s">
        <v>10969</v>
      </c>
      <c r="C1756" s="11" t="s">
        <v>10984</v>
      </c>
      <c r="D1756" s="198" t="s">
        <v>2393</v>
      </c>
      <c r="E1756" s="198" t="s">
        <v>2400</v>
      </c>
      <c r="F1756" s="198" t="s">
        <v>2272</v>
      </c>
      <c r="G1756" s="11" t="s">
        <v>10978</v>
      </c>
      <c r="H1756" s="11" t="s">
        <v>5367</v>
      </c>
      <c r="I1756" s="21">
        <v>57</v>
      </c>
      <c r="J1756" s="21">
        <v>-113</v>
      </c>
      <c r="K1756" s="21">
        <f>158449.4/100/0.003</f>
        <v>528164.66666666663</v>
      </c>
      <c r="L1756" s="11">
        <v>1985</v>
      </c>
      <c r="M1756" s="11">
        <v>2015</v>
      </c>
      <c r="N1756" s="240" t="s">
        <v>2272</v>
      </c>
      <c r="O1756" s="240" t="s">
        <v>66</v>
      </c>
      <c r="P1756" s="240" t="s">
        <v>5181</v>
      </c>
      <c r="Q1756" s="198"/>
    </row>
    <row r="1757" spans="1:17" ht="45.5" customHeight="1">
      <c r="A1757" s="233">
        <v>474</v>
      </c>
      <c r="B1757" s="53" t="s">
        <v>10969</v>
      </c>
      <c r="C1757" s="11" t="s">
        <v>10985</v>
      </c>
      <c r="D1757" s="198" t="s">
        <v>2393</v>
      </c>
      <c r="E1757" s="198" t="s">
        <v>2400</v>
      </c>
      <c r="F1757" s="198" t="s">
        <v>2272</v>
      </c>
      <c r="G1757" s="11" t="s">
        <v>10973</v>
      </c>
      <c r="H1757" s="11" t="s">
        <v>5367</v>
      </c>
      <c r="I1757" s="21">
        <v>46</v>
      </c>
      <c r="J1757" s="21">
        <v>-79</v>
      </c>
      <c r="K1757" s="21">
        <f>136875.5/100/0.0015</f>
        <v>912503.33333333337</v>
      </c>
      <c r="L1757" s="11">
        <v>1985</v>
      </c>
      <c r="M1757" s="11">
        <v>2015</v>
      </c>
      <c r="N1757" s="240" t="s">
        <v>2272</v>
      </c>
      <c r="O1757" s="240" t="s">
        <v>66</v>
      </c>
      <c r="P1757" s="240" t="s">
        <v>5181</v>
      </c>
      <c r="Q1757" s="198"/>
    </row>
    <row r="1758" spans="1:17" ht="45.5" customHeight="1">
      <c r="A1758" s="233">
        <v>474</v>
      </c>
      <c r="B1758" s="53" t="s">
        <v>10969</v>
      </c>
      <c r="C1758" s="11" t="s">
        <v>10986</v>
      </c>
      <c r="D1758" s="198" t="s">
        <v>2393</v>
      </c>
      <c r="E1758" s="198" t="s">
        <v>2400</v>
      </c>
      <c r="F1758" s="198" t="s">
        <v>2272</v>
      </c>
      <c r="G1758" s="11" t="s">
        <v>10974</v>
      </c>
      <c r="H1758" s="11" t="s">
        <v>5367</v>
      </c>
      <c r="I1758" s="21">
        <v>50</v>
      </c>
      <c r="J1758" s="21">
        <v>-93</v>
      </c>
      <c r="K1758" s="21">
        <f>432440.6/100/0.0067</f>
        <v>645433.73134328355</v>
      </c>
      <c r="L1758" s="11">
        <v>1985</v>
      </c>
      <c r="M1758" s="11">
        <v>2015</v>
      </c>
      <c r="N1758" s="240" t="s">
        <v>2272</v>
      </c>
      <c r="O1758" s="240" t="s">
        <v>66</v>
      </c>
      <c r="P1758" s="240" t="s">
        <v>5181</v>
      </c>
      <c r="Q1758" s="198"/>
    </row>
    <row r="1759" spans="1:17" ht="45.5" customHeight="1">
      <c r="A1759" s="233">
        <v>474</v>
      </c>
      <c r="B1759" s="53" t="s">
        <v>10969</v>
      </c>
      <c r="C1759" s="11" t="s">
        <v>10987</v>
      </c>
      <c r="D1759" s="198" t="s">
        <v>2393</v>
      </c>
      <c r="E1759" s="198" t="s">
        <v>2400</v>
      </c>
      <c r="F1759" s="198" t="s">
        <v>2272</v>
      </c>
      <c r="G1759" s="11" t="s">
        <v>10980</v>
      </c>
      <c r="H1759" s="11" t="s">
        <v>5367</v>
      </c>
      <c r="I1759" s="21">
        <v>55</v>
      </c>
      <c r="J1759" s="21">
        <v>-88</v>
      </c>
      <c r="K1759" s="21">
        <f>75545/100/0.0022</f>
        <v>343386.36363636365</v>
      </c>
      <c r="L1759" s="11">
        <v>1985</v>
      </c>
      <c r="M1759" s="11">
        <v>2015</v>
      </c>
      <c r="N1759" s="240" t="s">
        <v>2272</v>
      </c>
      <c r="O1759" s="240" t="s">
        <v>66</v>
      </c>
      <c r="P1759" s="240" t="s">
        <v>5181</v>
      </c>
      <c r="Q1759" s="198"/>
    </row>
    <row r="1760" spans="1:17" ht="45.5" customHeight="1">
      <c r="A1760" s="233">
        <v>474</v>
      </c>
      <c r="B1760" s="53" t="s">
        <v>10969</v>
      </c>
      <c r="C1760" s="11" t="s">
        <v>10988</v>
      </c>
      <c r="D1760" s="198" t="s">
        <v>2393</v>
      </c>
      <c r="E1760" s="198" t="s">
        <v>2400</v>
      </c>
      <c r="F1760" s="198" t="s">
        <v>2272</v>
      </c>
      <c r="G1760" s="11" t="s">
        <v>10976</v>
      </c>
      <c r="H1760" s="11" t="s">
        <v>5367</v>
      </c>
      <c r="I1760" s="21">
        <v>51</v>
      </c>
      <c r="J1760" s="21">
        <v>-117</v>
      </c>
      <c r="K1760" s="21">
        <f>29332.3/100/0.0007</f>
        <v>419032.8571428571</v>
      </c>
      <c r="L1760" s="11">
        <v>1985</v>
      </c>
      <c r="M1760" s="11">
        <v>2015</v>
      </c>
      <c r="N1760" s="240" t="s">
        <v>2272</v>
      </c>
      <c r="O1760" s="240" t="s">
        <v>66</v>
      </c>
      <c r="P1760" s="240" t="s">
        <v>5181</v>
      </c>
      <c r="Q1760" s="198"/>
    </row>
    <row r="1761" spans="1:17" ht="45.5" customHeight="1">
      <c r="A1761" s="233">
        <v>474</v>
      </c>
      <c r="B1761" s="53" t="s">
        <v>10969</v>
      </c>
      <c r="C1761" s="11" t="s">
        <v>10989</v>
      </c>
      <c r="D1761" s="198" t="s">
        <v>2393</v>
      </c>
      <c r="E1761" s="198" t="s">
        <v>2400</v>
      </c>
      <c r="F1761" s="198" t="s">
        <v>2272</v>
      </c>
      <c r="G1761" s="11" t="s">
        <v>10972</v>
      </c>
      <c r="H1761" s="11" t="s">
        <v>5367</v>
      </c>
      <c r="I1761" s="21">
        <v>51.5</v>
      </c>
      <c r="J1761" s="21">
        <v>-123</v>
      </c>
      <c r="K1761" s="21">
        <f>1401.7/100/0.0001</f>
        <v>140170</v>
      </c>
      <c r="L1761" s="11">
        <v>1985</v>
      </c>
      <c r="M1761" s="11">
        <v>2015</v>
      </c>
      <c r="N1761" s="240" t="s">
        <v>2272</v>
      </c>
      <c r="O1761" s="240" t="s">
        <v>66</v>
      </c>
      <c r="P1761" s="240" t="s">
        <v>5181</v>
      </c>
      <c r="Q1761" s="198"/>
    </row>
    <row r="1762" spans="1:17" ht="45.5" customHeight="1">
      <c r="A1762" s="233">
        <v>474</v>
      </c>
      <c r="B1762" s="53" t="s">
        <v>10969</v>
      </c>
      <c r="C1762" s="11" t="s">
        <v>10990</v>
      </c>
      <c r="D1762" s="198" t="s">
        <v>2393</v>
      </c>
      <c r="E1762" s="198" t="s">
        <v>2400</v>
      </c>
      <c r="F1762" s="198" t="s">
        <v>2272</v>
      </c>
      <c r="G1762" s="11" t="s">
        <v>10977</v>
      </c>
      <c r="H1762" s="11" t="s">
        <v>5367</v>
      </c>
      <c r="I1762" s="21">
        <v>67</v>
      </c>
      <c r="J1762" s="21">
        <v>-136</v>
      </c>
      <c r="K1762" s="21">
        <f>33619.7/100/0.0014</f>
        <v>240140.71428571426</v>
      </c>
      <c r="L1762" s="11">
        <v>1985</v>
      </c>
      <c r="M1762" s="11">
        <v>2015</v>
      </c>
      <c r="N1762" s="240" t="s">
        <v>2272</v>
      </c>
      <c r="O1762" s="240" t="s">
        <v>66</v>
      </c>
      <c r="P1762" s="240" t="s">
        <v>5181</v>
      </c>
      <c r="Q1762" s="198"/>
    </row>
    <row r="1763" spans="1:17" ht="45.5" customHeight="1">
      <c r="A1763" s="233">
        <v>474</v>
      </c>
      <c r="B1763" s="53" t="s">
        <v>10969</v>
      </c>
      <c r="C1763" s="11" t="s">
        <v>10991</v>
      </c>
      <c r="D1763" s="198" t="s">
        <v>2393</v>
      </c>
      <c r="E1763" s="198" t="s">
        <v>2400</v>
      </c>
      <c r="F1763" s="198" t="s">
        <v>2272</v>
      </c>
      <c r="G1763" s="11" t="s">
        <v>10979</v>
      </c>
      <c r="H1763" s="11" t="s">
        <v>5367</v>
      </c>
      <c r="I1763" s="21">
        <v>60</v>
      </c>
      <c r="J1763" s="21">
        <v>-123</v>
      </c>
      <c r="K1763" s="21">
        <f>269631.2/100/0.0052</f>
        <v>518521.53846153844</v>
      </c>
      <c r="L1763" s="11">
        <v>1985</v>
      </c>
      <c r="M1763" s="11">
        <v>2015</v>
      </c>
      <c r="N1763" s="240" t="s">
        <v>2272</v>
      </c>
      <c r="O1763" s="240" t="s">
        <v>66</v>
      </c>
      <c r="P1763" s="240" t="s">
        <v>5181</v>
      </c>
      <c r="Q1763" s="198"/>
    </row>
    <row r="1764" spans="1:17" ht="45.5" customHeight="1">
      <c r="A1764" s="233">
        <v>474</v>
      </c>
      <c r="B1764" s="53" t="s">
        <v>10969</v>
      </c>
      <c r="C1764" s="11" t="s">
        <v>10992</v>
      </c>
      <c r="D1764" s="198" t="s">
        <v>2393</v>
      </c>
      <c r="E1764" s="198" t="s">
        <v>2400</v>
      </c>
      <c r="F1764" s="198" t="s">
        <v>2272</v>
      </c>
      <c r="G1764" s="11" t="s">
        <v>10982</v>
      </c>
      <c r="H1764" s="11" t="s">
        <v>5367</v>
      </c>
      <c r="I1764" s="21">
        <v>54</v>
      </c>
      <c r="J1764" s="21">
        <v>-71</v>
      </c>
      <c r="K1764" s="21">
        <f>136524.7/100/0.0024</f>
        <v>568852.91666666674</v>
      </c>
      <c r="L1764" s="11">
        <v>1985</v>
      </c>
      <c r="M1764" s="11">
        <v>2015</v>
      </c>
      <c r="N1764" s="240" t="s">
        <v>2272</v>
      </c>
      <c r="O1764" s="240" t="s">
        <v>66</v>
      </c>
      <c r="P1764" s="240" t="s">
        <v>5181</v>
      </c>
      <c r="Q1764" s="198"/>
    </row>
    <row r="1765" spans="1:17" ht="45.5" customHeight="1">
      <c r="A1765" s="233">
        <v>474</v>
      </c>
      <c r="B1765" s="53" t="s">
        <v>10969</v>
      </c>
      <c r="C1765" s="11" t="s">
        <v>11007</v>
      </c>
      <c r="D1765" s="198" t="s">
        <v>2393</v>
      </c>
      <c r="E1765" s="198" t="s">
        <v>2400</v>
      </c>
      <c r="F1765" s="198" t="s">
        <v>2272</v>
      </c>
      <c r="G1765" s="11" t="s">
        <v>10981</v>
      </c>
      <c r="H1765" s="11" t="s">
        <v>5367</v>
      </c>
      <c r="I1765" s="21">
        <v>58</v>
      </c>
      <c r="J1765" s="21">
        <v>-101</v>
      </c>
      <c r="K1765" s="21">
        <f>282762.3/100/0.0068</f>
        <v>415826.9117647059</v>
      </c>
      <c r="L1765" s="11">
        <v>1985</v>
      </c>
      <c r="M1765" s="11">
        <v>2015</v>
      </c>
      <c r="N1765" s="240" t="s">
        <v>2272</v>
      </c>
      <c r="O1765" s="240" t="s">
        <v>66</v>
      </c>
      <c r="P1765" s="240" t="s">
        <v>5181</v>
      </c>
      <c r="Q1765" s="198"/>
    </row>
    <row r="1766" spans="1:17" ht="48.5" customHeight="1">
      <c r="A1766" s="233">
        <v>475</v>
      </c>
      <c r="B1766" s="37" t="s">
        <v>11010</v>
      </c>
      <c r="C1766" s="11" t="s">
        <v>11011</v>
      </c>
      <c r="D1766" s="198" t="s">
        <v>2393</v>
      </c>
      <c r="E1766" s="198" t="s">
        <v>2631</v>
      </c>
      <c r="F1766" s="198" t="s">
        <v>2272</v>
      </c>
      <c r="G1766" s="198" t="s">
        <v>2272</v>
      </c>
      <c r="H1766" s="198" t="s">
        <v>4046</v>
      </c>
      <c r="I1766" s="21">
        <v>38.145839199999998</v>
      </c>
      <c r="J1766" s="21">
        <v>24.481300000000001</v>
      </c>
      <c r="K1766" s="21">
        <v>130875</v>
      </c>
      <c r="L1766" s="198">
        <v>1970</v>
      </c>
      <c r="M1766" s="198">
        <v>2012</v>
      </c>
      <c r="N1766" s="240" t="s">
        <v>2272</v>
      </c>
      <c r="O1766" s="240" t="s">
        <v>66</v>
      </c>
      <c r="P1766" s="240" t="s">
        <v>5181</v>
      </c>
      <c r="Q1766" s="4" t="s">
        <v>11020</v>
      </c>
    </row>
    <row r="1767" spans="1:17" ht="43.5" customHeight="1">
      <c r="A1767" s="233">
        <v>476</v>
      </c>
      <c r="B1767" s="37" t="s">
        <v>11033</v>
      </c>
      <c r="C1767" s="11" t="s">
        <v>11032</v>
      </c>
      <c r="D1767" s="198" t="s">
        <v>2393</v>
      </c>
      <c r="E1767" s="198" t="s">
        <v>4842</v>
      </c>
      <c r="F1767" s="198" t="s">
        <v>2272</v>
      </c>
      <c r="G1767" s="198" t="s">
        <v>2272</v>
      </c>
      <c r="H1767" s="11" t="s">
        <v>6835</v>
      </c>
      <c r="I1767" s="21">
        <v>47</v>
      </c>
      <c r="J1767" s="21">
        <v>13</v>
      </c>
      <c r="K1767" s="21">
        <v>83879</v>
      </c>
      <c r="L1767" s="198">
        <v>1993</v>
      </c>
      <c r="M1767" s="198">
        <v>2010</v>
      </c>
      <c r="N1767" s="240" t="s">
        <v>2272</v>
      </c>
      <c r="O1767" s="240" t="s">
        <v>66</v>
      </c>
      <c r="P1767" s="240" t="s">
        <v>5181</v>
      </c>
      <c r="Q1767" s="198"/>
    </row>
    <row r="1768" spans="1:17" ht="47.5" customHeight="1">
      <c r="A1768" s="233">
        <v>477</v>
      </c>
      <c r="B1768" s="37" t="s">
        <v>11125</v>
      </c>
      <c r="C1768" s="198" t="s">
        <v>11126</v>
      </c>
      <c r="D1768" s="198" t="s">
        <v>2393</v>
      </c>
      <c r="E1768" s="198" t="s">
        <v>2395</v>
      </c>
      <c r="F1768" s="198" t="s">
        <v>2272</v>
      </c>
      <c r="G1768" s="198" t="s">
        <v>11127</v>
      </c>
      <c r="H1768" s="198" t="s">
        <v>6317</v>
      </c>
      <c r="I1768" s="21">
        <f>AVERAGE(65+51/60, 65+51/60, 65+56/60)</f>
        <v>65.87777777777778</v>
      </c>
      <c r="J1768" s="21">
        <f>AVERAGE(74+23/60, 74+25/60, 74+39/60)</f>
        <v>74.483333333333334</v>
      </c>
      <c r="K1768" s="21">
        <v>20000</v>
      </c>
      <c r="L1768" s="198">
        <v>1968</v>
      </c>
      <c r="M1768" s="198">
        <v>2018</v>
      </c>
      <c r="N1768" s="240" t="s">
        <v>2272</v>
      </c>
      <c r="O1768" s="240" t="s">
        <v>66</v>
      </c>
      <c r="P1768" s="240" t="s">
        <v>5181</v>
      </c>
      <c r="Q1768" s="4" t="s">
        <v>11128</v>
      </c>
    </row>
    <row r="1769" spans="1:17" ht="45" customHeight="1">
      <c r="A1769" s="233">
        <v>478</v>
      </c>
      <c r="B1769" s="37" t="s">
        <v>11135</v>
      </c>
      <c r="C1769" s="11" t="s">
        <v>11136</v>
      </c>
      <c r="D1769" s="198" t="s">
        <v>2393</v>
      </c>
      <c r="E1769" s="198" t="s">
        <v>4842</v>
      </c>
      <c r="F1769" s="198" t="s">
        <v>2272</v>
      </c>
      <c r="G1769" s="11" t="s">
        <v>10453</v>
      </c>
      <c r="H1769" s="11" t="s">
        <v>6109</v>
      </c>
      <c r="I1769" s="21">
        <v>44</v>
      </c>
      <c r="J1769" s="21">
        <v>4</v>
      </c>
      <c r="K1769" s="21">
        <v>80500</v>
      </c>
      <c r="L1769" s="11">
        <v>1975</v>
      </c>
      <c r="M1769" s="11">
        <v>1994</v>
      </c>
      <c r="N1769" s="240" t="s">
        <v>2272</v>
      </c>
      <c r="O1769" s="240" t="s">
        <v>66</v>
      </c>
      <c r="P1769" s="240" t="s">
        <v>5181</v>
      </c>
      <c r="Q1769" s="198"/>
    </row>
    <row r="1770" spans="1:17" ht="45.5" customHeight="1">
      <c r="A1770" s="233">
        <v>478</v>
      </c>
      <c r="B1770" s="37" t="s">
        <v>11135</v>
      </c>
      <c r="C1770" s="11" t="s">
        <v>11143</v>
      </c>
      <c r="D1770" s="198" t="s">
        <v>2393</v>
      </c>
      <c r="E1770" s="198" t="s">
        <v>4842</v>
      </c>
      <c r="F1770" s="198" t="s">
        <v>2272</v>
      </c>
      <c r="G1770" s="11" t="s">
        <v>10453</v>
      </c>
      <c r="H1770" s="11" t="s">
        <v>6109</v>
      </c>
      <c r="I1770" s="21">
        <v>44</v>
      </c>
      <c r="J1770" s="21">
        <v>4</v>
      </c>
      <c r="K1770" s="21">
        <v>80500</v>
      </c>
      <c r="L1770" s="11">
        <v>1995</v>
      </c>
      <c r="M1770" s="11">
        <v>2014</v>
      </c>
      <c r="N1770" s="240" t="s">
        <v>2272</v>
      </c>
      <c r="O1770" s="240" t="s">
        <v>66</v>
      </c>
      <c r="P1770" s="240" t="s">
        <v>5181</v>
      </c>
      <c r="Q1770" s="198"/>
    </row>
    <row r="1771" spans="1:17" ht="42" customHeight="1">
      <c r="A1771" s="233">
        <v>479</v>
      </c>
      <c r="B1771" s="37" t="s">
        <v>11151</v>
      </c>
      <c r="C1771" s="11" t="s">
        <v>11152</v>
      </c>
      <c r="D1771" s="198" t="s">
        <v>2393</v>
      </c>
      <c r="E1771" s="198" t="s">
        <v>2394</v>
      </c>
      <c r="F1771" s="198" t="s">
        <v>11153</v>
      </c>
      <c r="G1771" s="198" t="s">
        <v>7091</v>
      </c>
      <c r="H1771" s="198" t="s">
        <v>6109</v>
      </c>
      <c r="I1771" s="21">
        <v>42.5</v>
      </c>
      <c r="J1771" s="21">
        <v>2</v>
      </c>
      <c r="K1771" s="21" t="s">
        <v>2272</v>
      </c>
      <c r="L1771" s="198">
        <v>1980</v>
      </c>
      <c r="M1771" s="198">
        <v>2010</v>
      </c>
      <c r="N1771" s="240" t="s">
        <v>2272</v>
      </c>
      <c r="O1771" s="240" t="s">
        <v>66</v>
      </c>
      <c r="P1771" s="240" t="s">
        <v>5181</v>
      </c>
      <c r="Q1771" s="198"/>
    </row>
    <row r="1772" spans="1:17" ht="41" customHeight="1">
      <c r="A1772" s="233">
        <v>480</v>
      </c>
      <c r="B1772" s="37" t="s">
        <v>11160</v>
      </c>
      <c r="C1772" s="11" t="s">
        <v>11158</v>
      </c>
      <c r="D1772" s="198" t="s">
        <v>2393</v>
      </c>
      <c r="E1772" s="198" t="s">
        <v>4842</v>
      </c>
      <c r="F1772" s="198" t="s">
        <v>2272</v>
      </c>
      <c r="G1772" s="198" t="s">
        <v>7085</v>
      </c>
      <c r="H1772" s="11" t="s">
        <v>4309</v>
      </c>
      <c r="I1772" s="70">
        <v>42.799928600000001</v>
      </c>
      <c r="J1772" s="70">
        <v>-8.0177344000000002</v>
      </c>
      <c r="K1772" s="21">
        <v>29446.2</v>
      </c>
      <c r="L1772" s="198">
        <v>1999</v>
      </c>
      <c r="M1772" s="198">
        <v>2011</v>
      </c>
      <c r="N1772" s="240" t="s">
        <v>2272</v>
      </c>
      <c r="O1772" s="240" t="s">
        <v>66</v>
      </c>
      <c r="P1772" s="240" t="s">
        <v>5181</v>
      </c>
      <c r="Q1772" s="198"/>
    </row>
    <row r="1773" spans="1:17" ht="43.5" customHeight="1">
      <c r="A1773" s="233">
        <v>481</v>
      </c>
      <c r="B1773" s="37" t="s">
        <v>11157</v>
      </c>
      <c r="C1773" s="11" t="s">
        <v>11168</v>
      </c>
      <c r="D1773" s="198" t="s">
        <v>2393</v>
      </c>
      <c r="E1773" s="198" t="s">
        <v>4842</v>
      </c>
      <c r="F1773" s="198" t="s">
        <v>2272</v>
      </c>
      <c r="G1773" s="198" t="s">
        <v>7085</v>
      </c>
      <c r="H1773" s="11" t="s">
        <v>4309</v>
      </c>
      <c r="I1773" s="70">
        <v>42.799928600000001</v>
      </c>
      <c r="J1773" s="70">
        <v>-8.0177344000000002</v>
      </c>
      <c r="K1773" s="21">
        <f>29446.2*0.89</f>
        <v>26207.118000000002</v>
      </c>
      <c r="L1773" s="198">
        <v>2006</v>
      </c>
      <c r="M1773" s="198">
        <v>2008</v>
      </c>
      <c r="N1773" s="240" t="s">
        <v>2272</v>
      </c>
      <c r="O1773" s="240" t="s">
        <v>66</v>
      </c>
      <c r="P1773" s="240" t="s">
        <v>5181</v>
      </c>
      <c r="Q1773" s="198"/>
    </row>
    <row r="1774" spans="1:17" ht="43.5" customHeight="1">
      <c r="A1774" s="233">
        <v>482</v>
      </c>
      <c r="B1774" s="37" t="s">
        <v>11178</v>
      </c>
      <c r="C1774" s="198" t="s">
        <v>11179</v>
      </c>
      <c r="D1774" s="198" t="s">
        <v>2393</v>
      </c>
      <c r="E1774" s="198" t="s">
        <v>2394</v>
      </c>
      <c r="F1774" s="198" t="s">
        <v>11180</v>
      </c>
      <c r="G1774" s="198" t="s">
        <v>11181</v>
      </c>
      <c r="H1774" s="198" t="s">
        <v>767</v>
      </c>
      <c r="I1774" s="21">
        <f>26+34/60</f>
        <v>26.566666666666666</v>
      </c>
      <c r="J1774" s="21">
        <f>-107-1/60</f>
        <v>-107.01666666666667</v>
      </c>
      <c r="K1774" s="21">
        <f>29000/100</f>
        <v>290</v>
      </c>
      <c r="L1774" s="198">
        <v>1813</v>
      </c>
      <c r="M1774" s="198">
        <v>2004</v>
      </c>
      <c r="N1774" s="240" t="s">
        <v>2272</v>
      </c>
      <c r="O1774" s="240" t="s">
        <v>66</v>
      </c>
      <c r="P1774" s="240" t="s">
        <v>5181</v>
      </c>
      <c r="Q1774" s="198" t="s">
        <v>11234</v>
      </c>
    </row>
    <row r="1775" spans="1:17" ht="39" customHeight="1">
      <c r="A1775" s="233">
        <v>483</v>
      </c>
      <c r="B1775" s="37" t="s">
        <v>11191</v>
      </c>
      <c r="C1775" s="11" t="s">
        <v>11192</v>
      </c>
      <c r="D1775" s="198" t="s">
        <v>2393</v>
      </c>
      <c r="E1775" s="198" t="s">
        <v>2394</v>
      </c>
      <c r="F1775" s="198" t="s">
        <v>11194</v>
      </c>
      <c r="G1775" s="198" t="s">
        <v>8302</v>
      </c>
      <c r="H1775" s="198" t="s">
        <v>892</v>
      </c>
      <c r="I1775" s="21">
        <f>-9-43/60</f>
        <v>-9.7166666666666668</v>
      </c>
      <c r="J1775" s="21">
        <f>120+10/60</f>
        <v>120.16666666666667</v>
      </c>
      <c r="K1775" s="21" t="s">
        <v>2272</v>
      </c>
      <c r="L1775" s="198">
        <v>2003</v>
      </c>
      <c r="M1775" s="198">
        <v>2004</v>
      </c>
      <c r="N1775" s="240" t="s">
        <v>2272</v>
      </c>
      <c r="O1775" s="240" t="s">
        <v>66</v>
      </c>
      <c r="P1775" s="240" t="s">
        <v>5181</v>
      </c>
      <c r="Q1775" s="198" t="s">
        <v>11234</v>
      </c>
    </row>
    <row r="1776" spans="1:17" ht="39" customHeight="1">
      <c r="A1776" s="233">
        <v>483</v>
      </c>
      <c r="B1776" s="37" t="s">
        <v>11191</v>
      </c>
      <c r="C1776" s="11" t="s">
        <v>11193</v>
      </c>
      <c r="D1776" s="198" t="s">
        <v>2393</v>
      </c>
      <c r="E1776" s="198" t="s">
        <v>2394</v>
      </c>
      <c r="F1776" s="198" t="s">
        <v>11195</v>
      </c>
      <c r="G1776" s="11" t="s">
        <v>8303</v>
      </c>
      <c r="H1776" s="198" t="s">
        <v>892</v>
      </c>
      <c r="I1776" s="21">
        <f>-8-47/60</f>
        <v>-8.7833333333333332</v>
      </c>
      <c r="J1776" s="21">
        <v>121</v>
      </c>
      <c r="K1776" s="21" t="s">
        <v>2272</v>
      </c>
      <c r="L1776" s="198">
        <v>2003</v>
      </c>
      <c r="M1776" s="198">
        <v>2004</v>
      </c>
      <c r="N1776" s="240" t="s">
        <v>2272</v>
      </c>
      <c r="O1776" s="240" t="s">
        <v>66</v>
      </c>
      <c r="P1776" s="240" t="s">
        <v>5181</v>
      </c>
      <c r="Q1776" s="198" t="s">
        <v>11234</v>
      </c>
    </row>
    <row r="1777" spans="1:17" ht="39" customHeight="1">
      <c r="A1777" s="233">
        <v>484</v>
      </c>
      <c r="B1777" s="37" t="s">
        <v>11209</v>
      </c>
      <c r="C1777" s="11" t="s">
        <v>11210</v>
      </c>
      <c r="D1777" s="198" t="s">
        <v>2393</v>
      </c>
      <c r="E1777" s="198" t="s">
        <v>2417</v>
      </c>
      <c r="F1777" s="198" t="s">
        <v>11211</v>
      </c>
      <c r="G1777" s="11" t="s">
        <v>8182</v>
      </c>
      <c r="H1777" s="11" t="s">
        <v>3409</v>
      </c>
      <c r="I1777" s="21">
        <v>-17</v>
      </c>
      <c r="J1777" s="21">
        <f>145+37/60</f>
        <v>145.61666666666667</v>
      </c>
      <c r="K1777" s="21">
        <f>500*50</f>
        <v>25000</v>
      </c>
      <c r="L1777" s="198">
        <v>1995</v>
      </c>
      <c r="M1777" s="198">
        <v>1996</v>
      </c>
      <c r="N1777" s="198">
        <f>300000/K1777</f>
        <v>12</v>
      </c>
      <c r="O1777" s="240" t="s">
        <v>66</v>
      </c>
      <c r="P1777" s="240" t="s">
        <v>5181</v>
      </c>
      <c r="Q1777" s="198" t="s">
        <v>11234</v>
      </c>
    </row>
    <row r="1778" spans="1:17" ht="43.5" customHeight="1">
      <c r="A1778" s="233">
        <v>485</v>
      </c>
      <c r="B1778" s="37" t="s">
        <v>11232</v>
      </c>
      <c r="C1778" s="11" t="s">
        <v>11233</v>
      </c>
      <c r="D1778" s="198" t="s">
        <v>2393</v>
      </c>
      <c r="E1778" s="198" t="s">
        <v>2417</v>
      </c>
      <c r="F1778" s="198" t="s">
        <v>11235</v>
      </c>
      <c r="G1778" s="198" t="s">
        <v>8148</v>
      </c>
      <c r="H1778" s="11" t="s">
        <v>3409</v>
      </c>
      <c r="I1778" s="21">
        <v>-32.5</v>
      </c>
      <c r="J1778" s="21">
        <v>122.5</v>
      </c>
      <c r="K1778" s="21">
        <f>5000000/100</f>
        <v>50000</v>
      </c>
      <c r="L1778" s="198">
        <v>2012</v>
      </c>
      <c r="M1778" s="198">
        <v>2013</v>
      </c>
      <c r="N1778" s="240" t="s">
        <v>2272</v>
      </c>
      <c r="O1778" s="240" t="s">
        <v>66</v>
      </c>
      <c r="P1778" s="240" t="s">
        <v>5181</v>
      </c>
      <c r="Q1778" s="198" t="s">
        <v>11234</v>
      </c>
    </row>
    <row r="1779" spans="1:17" ht="41" customHeight="1">
      <c r="A1779" s="233">
        <v>486</v>
      </c>
      <c r="B1779" s="37" t="s">
        <v>11250</v>
      </c>
      <c r="C1779" s="11" t="s">
        <v>11251</v>
      </c>
      <c r="D1779" s="198" t="s">
        <v>2393</v>
      </c>
      <c r="E1779" s="198" t="s">
        <v>2394</v>
      </c>
      <c r="F1779" s="198" t="s">
        <v>11252</v>
      </c>
      <c r="G1779" s="198" t="s">
        <v>11253</v>
      </c>
      <c r="H1779" s="198" t="s">
        <v>6346</v>
      </c>
      <c r="I1779" s="21">
        <v>-26.5</v>
      </c>
      <c r="J1779" s="21">
        <v>32.5</v>
      </c>
      <c r="K1779" s="21">
        <f>9+26</f>
        <v>35</v>
      </c>
      <c r="L1779" s="198">
        <v>2004</v>
      </c>
      <c r="M1779" s="198">
        <v>2008</v>
      </c>
      <c r="N1779" s="240">
        <f>AVERAGE(331/9, 114/26)</f>
        <v>20.581196581196583</v>
      </c>
      <c r="O1779" s="240" t="s">
        <v>66</v>
      </c>
      <c r="P1779" s="240" t="s">
        <v>5181</v>
      </c>
      <c r="Q1779" s="198"/>
    </row>
    <row r="1780" spans="1:17" ht="41" customHeight="1">
      <c r="A1780" s="207">
        <v>487</v>
      </c>
      <c r="B1780" s="208" t="s">
        <v>9946</v>
      </c>
      <c r="C1780" s="19" t="s">
        <v>11344</v>
      </c>
      <c r="D1780" s="11" t="s">
        <v>2393</v>
      </c>
      <c r="E1780" s="11" t="s">
        <v>2631</v>
      </c>
      <c r="F1780" s="19" t="s">
        <v>9949</v>
      </c>
      <c r="G1780" s="11" t="s">
        <v>9950</v>
      </c>
      <c r="H1780" s="11" t="s">
        <v>9948</v>
      </c>
      <c r="I1780" s="70">
        <v>57</v>
      </c>
      <c r="J1780" s="70">
        <f>-2-5/6</f>
        <v>-2.8333333333333335</v>
      </c>
      <c r="K1780" s="77" t="s">
        <v>2272</v>
      </c>
      <c r="L1780" s="11">
        <v>2001</v>
      </c>
      <c r="M1780" s="11">
        <v>2002</v>
      </c>
      <c r="N1780" s="77" t="s">
        <v>2272</v>
      </c>
      <c r="O1780" s="19" t="s">
        <v>66</v>
      </c>
      <c r="P1780" s="19" t="s">
        <v>5181</v>
      </c>
      <c r="Q1780" s="11"/>
    </row>
    <row r="1781" spans="1:17" ht="41" customHeight="1">
      <c r="A1781" s="207">
        <v>487</v>
      </c>
      <c r="B1781" s="208" t="s">
        <v>9946</v>
      </c>
      <c r="C1781" s="19" t="s">
        <v>11345</v>
      </c>
      <c r="D1781" s="11" t="s">
        <v>2393</v>
      </c>
      <c r="E1781" s="11" t="s">
        <v>2631</v>
      </c>
      <c r="F1781" s="19" t="s">
        <v>2272</v>
      </c>
      <c r="G1781" s="19" t="s">
        <v>2272</v>
      </c>
      <c r="H1781" s="11" t="s">
        <v>9948</v>
      </c>
      <c r="I1781" s="70">
        <f>54.5</f>
        <v>54.5</v>
      </c>
      <c r="J1781" s="70">
        <f>-2-15/60</f>
        <v>-2.25</v>
      </c>
      <c r="K1781" s="70">
        <v>242495</v>
      </c>
      <c r="L1781" s="11">
        <v>2001</v>
      </c>
      <c r="M1781" s="11">
        <v>2002</v>
      </c>
      <c r="N1781" s="77" t="s">
        <v>2272</v>
      </c>
      <c r="O1781" s="19" t="s">
        <v>66</v>
      </c>
      <c r="P1781" s="19" t="s">
        <v>5181</v>
      </c>
      <c r="Q1781" s="11"/>
    </row>
    <row r="1782" spans="1:17" ht="41" customHeight="1">
      <c r="A1782" s="207">
        <v>488</v>
      </c>
      <c r="B1782" s="208" t="s">
        <v>9958</v>
      </c>
      <c r="C1782" s="19" t="s">
        <v>11346</v>
      </c>
      <c r="D1782" s="11" t="s">
        <v>2393</v>
      </c>
      <c r="E1782" s="11" t="s">
        <v>2632</v>
      </c>
      <c r="F1782" s="19" t="s">
        <v>9962</v>
      </c>
      <c r="G1782" s="11" t="s">
        <v>9960</v>
      </c>
      <c r="H1782" s="11" t="s">
        <v>6840</v>
      </c>
      <c r="I1782" s="70">
        <f>50+37/60</f>
        <v>50.616666666666667</v>
      </c>
      <c r="J1782" s="70">
        <f>6+28/60</f>
        <v>6.4666666666666668</v>
      </c>
      <c r="K1782" s="70">
        <f>680/100</f>
        <v>6.8</v>
      </c>
      <c r="L1782" s="11">
        <v>2005</v>
      </c>
      <c r="M1782" s="11">
        <v>2009</v>
      </c>
      <c r="N1782" s="77" t="s">
        <v>2272</v>
      </c>
      <c r="O1782" s="19" t="s">
        <v>66</v>
      </c>
      <c r="P1782" s="19" t="s">
        <v>5181</v>
      </c>
      <c r="Q1782" s="11"/>
    </row>
    <row r="1783" spans="1:17" ht="41" customHeight="1">
      <c r="A1783" s="207">
        <v>488</v>
      </c>
      <c r="B1783" s="208" t="s">
        <v>9958</v>
      </c>
      <c r="C1783" s="19" t="s">
        <v>11347</v>
      </c>
      <c r="D1783" s="11" t="s">
        <v>2393</v>
      </c>
      <c r="E1783" s="11" t="s">
        <v>2631</v>
      </c>
      <c r="F1783" s="19" t="s">
        <v>2272</v>
      </c>
      <c r="G1783" s="11" t="s">
        <v>9960</v>
      </c>
      <c r="H1783" s="11" t="s">
        <v>6840</v>
      </c>
      <c r="I1783" s="70">
        <f>51+17/60</f>
        <v>51.283333333333331</v>
      </c>
      <c r="J1783" s="70">
        <f>8.25</f>
        <v>8.25</v>
      </c>
      <c r="K1783" s="70">
        <v>34098</v>
      </c>
      <c r="L1783" s="11">
        <v>1970</v>
      </c>
      <c r="M1783" s="11">
        <v>2010</v>
      </c>
      <c r="N1783" s="77" t="s">
        <v>2272</v>
      </c>
      <c r="O1783" s="19" t="s">
        <v>66</v>
      </c>
      <c r="P1783" s="19" t="s">
        <v>5181</v>
      </c>
      <c r="Q1783" s="11"/>
    </row>
    <row r="1784" spans="1:17" ht="40.5" customHeight="1">
      <c r="A1784" s="207">
        <v>489</v>
      </c>
      <c r="B1784" s="208" t="s">
        <v>11358</v>
      </c>
      <c r="C1784" s="19" t="s">
        <v>11357</v>
      </c>
      <c r="D1784" s="11" t="s">
        <v>2393</v>
      </c>
      <c r="E1784" s="198" t="s">
        <v>2394</v>
      </c>
      <c r="F1784" s="198" t="s">
        <v>4600</v>
      </c>
      <c r="G1784" s="198" t="s">
        <v>5398</v>
      </c>
      <c r="H1784" s="198" t="s">
        <v>3409</v>
      </c>
      <c r="I1784" s="21">
        <v>-13</v>
      </c>
      <c r="J1784" s="21">
        <v>132.5</v>
      </c>
      <c r="K1784" s="21">
        <v>120000</v>
      </c>
      <c r="L1784" s="198">
        <v>2003</v>
      </c>
      <c r="M1784" s="198">
        <v>2007</v>
      </c>
      <c r="N1784" s="77" t="s">
        <v>2272</v>
      </c>
      <c r="O1784" s="19" t="s">
        <v>66</v>
      </c>
      <c r="P1784" s="19" t="s">
        <v>5181</v>
      </c>
      <c r="Q1784" s="198"/>
    </row>
    <row r="1785" spans="1:17" ht="40.5" customHeight="1">
      <c r="A1785" s="207">
        <v>490</v>
      </c>
      <c r="B1785" s="208" t="s">
        <v>11366</v>
      </c>
      <c r="C1785" s="19" t="s">
        <v>11367</v>
      </c>
      <c r="D1785" s="11" t="s">
        <v>2393</v>
      </c>
      <c r="E1785" s="198" t="s">
        <v>2394</v>
      </c>
      <c r="F1785" s="198" t="s">
        <v>11369</v>
      </c>
      <c r="G1785" s="198" t="s">
        <v>11368</v>
      </c>
      <c r="H1785" s="198" t="s">
        <v>4107</v>
      </c>
      <c r="I1785" s="21">
        <v>46.5</v>
      </c>
      <c r="J1785" s="21">
        <v>-120.5</v>
      </c>
      <c r="K1785" s="21">
        <f>750000/100/2.471</f>
        <v>3035.2084176446783</v>
      </c>
      <c r="L1785" s="198">
        <v>2004</v>
      </c>
      <c r="M1785" s="198">
        <v>2004</v>
      </c>
      <c r="N1785" s="77" t="s">
        <v>2272</v>
      </c>
      <c r="O1785" s="19" t="s">
        <v>66</v>
      </c>
      <c r="P1785" s="19" t="s">
        <v>5181</v>
      </c>
      <c r="Q1785" s="198"/>
    </row>
    <row r="1786" spans="1:17" ht="38" customHeight="1">
      <c r="A1786" s="207">
        <v>491</v>
      </c>
      <c r="B1786" s="208" t="s">
        <v>11379</v>
      </c>
      <c r="C1786" s="19" t="s">
        <v>11378</v>
      </c>
      <c r="D1786" s="11" t="s">
        <v>2393</v>
      </c>
      <c r="E1786" s="198" t="s">
        <v>2394</v>
      </c>
      <c r="F1786" s="4" t="s">
        <v>11380</v>
      </c>
      <c r="G1786" s="198" t="s">
        <v>5775</v>
      </c>
      <c r="H1786" s="198" t="s">
        <v>4107</v>
      </c>
      <c r="I1786" s="21">
        <f>65+35/60</f>
        <v>65.583333333333329</v>
      </c>
      <c r="J1786" s="21">
        <f>-156-29/60</f>
        <v>-156.48333333333332</v>
      </c>
      <c r="K1786" s="21">
        <f>1800000/100</f>
        <v>18000</v>
      </c>
      <c r="L1786" s="198">
        <v>2010</v>
      </c>
      <c r="M1786" s="198">
        <v>2010</v>
      </c>
      <c r="N1786" s="77" t="s">
        <v>2272</v>
      </c>
      <c r="O1786" s="19" t="s">
        <v>66</v>
      </c>
      <c r="P1786" s="19" t="s">
        <v>5181</v>
      </c>
      <c r="Q1786" s="4" t="s">
        <v>11381</v>
      </c>
    </row>
    <row r="1787" spans="1:17" ht="47.5" customHeight="1">
      <c r="A1787" s="207">
        <v>492</v>
      </c>
      <c r="B1787" s="208" t="s">
        <v>11385</v>
      </c>
      <c r="C1787" s="19" t="s">
        <v>11386</v>
      </c>
      <c r="D1787" s="11" t="s">
        <v>2393</v>
      </c>
      <c r="E1787" s="198" t="s">
        <v>2394</v>
      </c>
      <c r="F1787" s="198" t="s">
        <v>11387</v>
      </c>
      <c r="G1787" s="198" t="s">
        <v>5398</v>
      </c>
      <c r="H1787" s="198" t="s">
        <v>3409</v>
      </c>
      <c r="I1787" s="21">
        <f>-12-0.666666666666667</f>
        <v>-12.666666666666666</v>
      </c>
      <c r="J1787" s="21">
        <v>134.5</v>
      </c>
      <c r="K1787" s="21">
        <v>90</v>
      </c>
      <c r="L1787" s="198">
        <v>1999</v>
      </c>
      <c r="M1787" s="198">
        <v>1999</v>
      </c>
      <c r="N1787" s="77" t="s">
        <v>2272</v>
      </c>
      <c r="O1787" s="19" t="s">
        <v>66</v>
      </c>
      <c r="P1787" s="19" t="s">
        <v>5181</v>
      </c>
      <c r="Q1787" s="198"/>
    </row>
    <row r="1788" spans="1:17" ht="44.5" customHeight="1">
      <c r="A1788" s="207">
        <v>492</v>
      </c>
      <c r="B1788" s="208" t="s">
        <v>11385</v>
      </c>
      <c r="C1788" s="19" t="s">
        <v>11388</v>
      </c>
      <c r="D1788" s="11" t="s">
        <v>2393</v>
      </c>
      <c r="E1788" s="11" t="s">
        <v>2631</v>
      </c>
      <c r="F1788" s="198" t="s">
        <v>5127</v>
      </c>
      <c r="G1788" s="19" t="s">
        <v>2272</v>
      </c>
      <c r="H1788" s="198" t="s">
        <v>3409</v>
      </c>
      <c r="I1788" s="21">
        <v>-13</v>
      </c>
      <c r="J1788" s="21">
        <v>131.5</v>
      </c>
      <c r="K1788" s="21" t="s">
        <v>2272</v>
      </c>
      <c r="L1788" s="198">
        <v>1999</v>
      </c>
      <c r="M1788" s="198">
        <v>1999</v>
      </c>
      <c r="N1788" s="77" t="s">
        <v>2272</v>
      </c>
      <c r="O1788" s="19" t="s">
        <v>66</v>
      </c>
      <c r="P1788" s="19" t="s">
        <v>5181</v>
      </c>
      <c r="Q1788" s="198"/>
    </row>
    <row r="1789" spans="1:17" ht="43.5" customHeight="1">
      <c r="A1789" s="207">
        <v>493</v>
      </c>
      <c r="B1789" s="37" t="s">
        <v>11399</v>
      </c>
      <c r="C1789" s="198" t="s">
        <v>11400</v>
      </c>
      <c r="D1789" s="11" t="s">
        <v>2393</v>
      </c>
      <c r="E1789" s="198" t="s">
        <v>2632</v>
      </c>
      <c r="F1789" s="19" t="s">
        <v>2272</v>
      </c>
      <c r="G1789" s="198" t="s">
        <v>7031</v>
      </c>
      <c r="H1789" s="198" t="s">
        <v>4107</v>
      </c>
      <c r="I1789" s="21">
        <v>44</v>
      </c>
      <c r="J1789" s="21">
        <v>114</v>
      </c>
      <c r="K1789" s="21" t="s">
        <v>2272</v>
      </c>
      <c r="L1789" s="198">
        <v>2011</v>
      </c>
      <c r="M1789" s="198">
        <v>2016</v>
      </c>
      <c r="N1789" s="77" t="s">
        <v>2272</v>
      </c>
      <c r="O1789" s="19" t="s">
        <v>66</v>
      </c>
      <c r="P1789" s="19" t="s">
        <v>5181</v>
      </c>
      <c r="Q1789" s="198"/>
    </row>
    <row r="1790" spans="1:17" ht="51" customHeight="1">
      <c r="A1790" s="207">
        <v>494</v>
      </c>
      <c r="B1790" s="37" t="s">
        <v>11416</v>
      </c>
      <c r="C1790" s="198" t="s">
        <v>11414</v>
      </c>
      <c r="D1790" s="198" t="s">
        <v>2393</v>
      </c>
      <c r="E1790" s="198" t="s">
        <v>2400</v>
      </c>
      <c r="F1790" s="139" t="s">
        <v>11415</v>
      </c>
      <c r="G1790" s="19" t="s">
        <v>2272</v>
      </c>
      <c r="H1790" s="198" t="s">
        <v>9948</v>
      </c>
      <c r="I1790" s="21">
        <v>53.5</v>
      </c>
      <c r="J1790" s="21">
        <f>-1-5/6</f>
        <v>-1.8333333333333335</v>
      </c>
      <c r="K1790" s="21">
        <v>208</v>
      </c>
      <c r="L1790" s="198">
        <v>2000</v>
      </c>
      <c r="M1790" s="198">
        <v>2000</v>
      </c>
      <c r="N1790" s="77" t="s">
        <v>2272</v>
      </c>
      <c r="O1790" s="19" t="s">
        <v>66</v>
      </c>
      <c r="P1790" s="19" t="s">
        <v>5181</v>
      </c>
      <c r="Q1790" s="4" t="s">
        <v>11417</v>
      </c>
    </row>
    <row r="1791" spans="1:17" ht="43.5" customHeight="1">
      <c r="A1791" s="207">
        <v>495</v>
      </c>
      <c r="B1791" s="37" t="s">
        <v>11420</v>
      </c>
      <c r="C1791" s="198" t="s">
        <v>11421</v>
      </c>
      <c r="D1791" s="198" t="s">
        <v>2393</v>
      </c>
      <c r="E1791" s="198" t="s">
        <v>4842</v>
      </c>
      <c r="F1791" s="19" t="s">
        <v>2272</v>
      </c>
      <c r="G1791" s="11" t="s">
        <v>8452</v>
      </c>
      <c r="H1791" s="11" t="s">
        <v>119</v>
      </c>
      <c r="I1791" s="21">
        <v>-21.5</v>
      </c>
      <c r="J1791" s="21">
        <v>-49</v>
      </c>
      <c r="K1791" s="21">
        <v>1521</v>
      </c>
      <c r="L1791" s="198">
        <v>1990</v>
      </c>
      <c r="M1791" s="198">
        <v>2006</v>
      </c>
      <c r="N1791" s="77" t="s">
        <v>2272</v>
      </c>
      <c r="O1791" s="19" t="s">
        <v>66</v>
      </c>
      <c r="P1791" s="19" t="s">
        <v>5181</v>
      </c>
      <c r="Q1791" s="198"/>
    </row>
    <row r="1792" spans="1:17" ht="46.5" customHeight="1">
      <c r="A1792" s="207">
        <v>496</v>
      </c>
      <c r="B1792" s="37" t="s">
        <v>11428</v>
      </c>
      <c r="C1792" s="11" t="s">
        <v>11429</v>
      </c>
      <c r="D1792" s="198" t="s">
        <v>2411</v>
      </c>
      <c r="E1792" s="198" t="s">
        <v>6791</v>
      </c>
      <c r="F1792" s="11" t="s">
        <v>2272</v>
      </c>
      <c r="G1792" s="11" t="s">
        <v>2272</v>
      </c>
      <c r="H1792" s="11" t="s">
        <v>6317</v>
      </c>
      <c r="I1792" s="21">
        <v>61.5</v>
      </c>
      <c r="J1792" s="21">
        <v>76</v>
      </c>
      <c r="K1792" s="21">
        <v>17100000</v>
      </c>
      <c r="L1792" s="198">
        <v>1930</v>
      </c>
      <c r="M1792" s="198">
        <v>1990</v>
      </c>
      <c r="N1792" s="77" t="s">
        <v>2272</v>
      </c>
      <c r="O1792" s="19" t="s">
        <v>66</v>
      </c>
      <c r="P1792" s="19" t="s">
        <v>5181</v>
      </c>
      <c r="Q1792" s="198"/>
    </row>
    <row r="1793" spans="1:17" ht="42" customHeight="1">
      <c r="A1793" s="207">
        <v>496</v>
      </c>
      <c r="B1793" s="37" t="s">
        <v>11428</v>
      </c>
      <c r="C1793" s="11" t="s">
        <v>11431</v>
      </c>
      <c r="D1793" s="198" t="s">
        <v>2411</v>
      </c>
      <c r="E1793" s="198" t="s">
        <v>6791</v>
      </c>
      <c r="F1793" s="11" t="s">
        <v>2272</v>
      </c>
      <c r="G1793" s="11" t="s">
        <v>2272</v>
      </c>
      <c r="H1793" s="11" t="s">
        <v>6317</v>
      </c>
      <c r="I1793" s="21">
        <v>61.5</v>
      </c>
      <c r="J1793" s="21">
        <v>76</v>
      </c>
      <c r="K1793" s="21">
        <v>17100000</v>
      </c>
      <c r="L1793" s="198">
        <v>1991</v>
      </c>
      <c r="M1793" s="198">
        <v>2012</v>
      </c>
      <c r="N1793" s="77" t="s">
        <v>2272</v>
      </c>
      <c r="O1793" s="19" t="s">
        <v>66</v>
      </c>
      <c r="P1793" s="19" t="s">
        <v>5181</v>
      </c>
      <c r="Q1793" s="198"/>
    </row>
    <row r="1794" spans="1:17" ht="50" customHeight="1">
      <c r="A1794" s="207">
        <v>496</v>
      </c>
      <c r="B1794" s="37" t="s">
        <v>11428</v>
      </c>
      <c r="C1794" s="11" t="s">
        <v>11435</v>
      </c>
      <c r="D1794" s="198" t="s">
        <v>2411</v>
      </c>
      <c r="E1794" s="198" t="s">
        <v>6791</v>
      </c>
      <c r="F1794" s="11" t="s">
        <v>2272</v>
      </c>
      <c r="G1794" s="60" t="s">
        <v>11432</v>
      </c>
      <c r="H1794" s="11" t="s">
        <v>6317</v>
      </c>
      <c r="I1794" s="21">
        <v>65</v>
      </c>
      <c r="J1794" s="21">
        <v>119</v>
      </c>
      <c r="K1794" s="21">
        <v>13000000</v>
      </c>
      <c r="L1794" s="198">
        <v>2000</v>
      </c>
      <c r="M1794" s="198">
        <v>2012</v>
      </c>
      <c r="N1794" s="77" t="s">
        <v>2272</v>
      </c>
      <c r="O1794" s="19" t="s">
        <v>66</v>
      </c>
      <c r="P1794" s="19" t="s">
        <v>5181</v>
      </c>
      <c r="Q1794" s="198"/>
    </row>
    <row r="1795" spans="1:17" ht="45.5" customHeight="1">
      <c r="A1795" s="207">
        <v>496</v>
      </c>
      <c r="B1795" s="37" t="s">
        <v>11428</v>
      </c>
      <c r="C1795" s="11" t="s">
        <v>11451</v>
      </c>
      <c r="D1795" s="198" t="s">
        <v>2411</v>
      </c>
      <c r="E1795" s="198" t="s">
        <v>4842</v>
      </c>
      <c r="F1795" s="11" t="s">
        <v>11452</v>
      </c>
      <c r="G1795" s="11" t="s">
        <v>11453</v>
      </c>
      <c r="H1795" s="11" t="s">
        <v>6317</v>
      </c>
      <c r="I1795" s="21">
        <v>55.75</v>
      </c>
      <c r="J1795" s="21">
        <v>39</v>
      </c>
      <c r="K1795" s="21" t="s">
        <v>2272</v>
      </c>
      <c r="L1795" s="198">
        <v>2010</v>
      </c>
      <c r="M1795" s="198">
        <v>2010</v>
      </c>
      <c r="N1795" s="77" t="s">
        <v>2272</v>
      </c>
      <c r="O1795" s="19" t="s">
        <v>66</v>
      </c>
      <c r="P1795" s="19" t="s">
        <v>5181</v>
      </c>
      <c r="Q1795" s="198"/>
    </row>
    <row r="1796" spans="1:17" ht="41" customHeight="1">
      <c r="A1796" s="207">
        <v>497</v>
      </c>
      <c r="B1796" s="37" t="s">
        <v>11459</v>
      </c>
      <c r="C1796" s="11" t="s">
        <v>11458</v>
      </c>
      <c r="D1796" s="198" t="s">
        <v>2393</v>
      </c>
      <c r="E1796" s="198" t="s">
        <v>2400</v>
      </c>
      <c r="F1796" s="198" t="s">
        <v>11460</v>
      </c>
      <c r="G1796" s="198" t="s">
        <v>11461</v>
      </c>
      <c r="H1796" s="11" t="s">
        <v>6317</v>
      </c>
      <c r="I1796" s="21">
        <f>AVERAGE(49+53/60, 55+15/60)</f>
        <v>52.566666666666663</v>
      </c>
      <c r="J1796" s="21">
        <f>AVERAGE(115.5)</f>
        <v>115.5</v>
      </c>
      <c r="K1796" s="21">
        <v>1300000</v>
      </c>
      <c r="L1796" s="198">
        <v>2003</v>
      </c>
      <c r="M1796" s="198">
        <v>2003</v>
      </c>
      <c r="N1796" s="77" t="s">
        <v>2272</v>
      </c>
      <c r="O1796" s="19" t="s">
        <v>66</v>
      </c>
      <c r="P1796" s="19" t="s">
        <v>5181</v>
      </c>
      <c r="Q1796" s="198"/>
    </row>
    <row r="1797" spans="1:17" ht="48.5" customHeight="1">
      <c r="A1797" s="207">
        <v>498</v>
      </c>
      <c r="B1797" s="37" t="s">
        <v>11472</v>
      </c>
      <c r="C1797" s="11" t="s">
        <v>11473</v>
      </c>
      <c r="D1797" s="198" t="s">
        <v>2393</v>
      </c>
      <c r="E1797" s="198" t="s">
        <v>2394</v>
      </c>
      <c r="F1797" s="245" t="s">
        <v>11483</v>
      </c>
      <c r="G1797" s="198" t="s">
        <v>2707</v>
      </c>
      <c r="H1797" s="198" t="s">
        <v>119</v>
      </c>
      <c r="I1797" s="21">
        <v>-2.5</v>
      </c>
      <c r="J1797" s="21">
        <v>-54.75</v>
      </c>
      <c r="K1797" s="21" t="s">
        <v>2272</v>
      </c>
      <c r="L1797" s="198">
        <v>2010</v>
      </c>
      <c r="M1797" s="198">
        <v>2011</v>
      </c>
      <c r="N1797" s="77" t="s">
        <v>2272</v>
      </c>
      <c r="O1797" s="19" t="s">
        <v>66</v>
      </c>
      <c r="P1797" s="19" t="s">
        <v>5181</v>
      </c>
      <c r="Q1797" s="198" t="s">
        <v>11484</v>
      </c>
    </row>
    <row r="1798" spans="1:17" ht="40" customHeight="1">
      <c r="A1798" s="207">
        <v>499</v>
      </c>
      <c r="B1798" s="37" t="s">
        <v>11474</v>
      </c>
      <c r="C1798" s="11" t="s">
        <v>11475</v>
      </c>
      <c r="D1798" s="198" t="s">
        <v>2393</v>
      </c>
      <c r="E1798" s="198" t="s">
        <v>2394</v>
      </c>
      <c r="F1798" s="11" t="s">
        <v>2272</v>
      </c>
      <c r="G1798" s="198" t="s">
        <v>11476</v>
      </c>
      <c r="H1798" s="198" t="s">
        <v>1948</v>
      </c>
      <c r="I1798" s="21">
        <f>7.4</f>
        <v>7.4</v>
      </c>
      <c r="J1798" s="21">
        <f>4.5</f>
        <v>4.5</v>
      </c>
      <c r="K1798" s="21">
        <v>14785</v>
      </c>
      <c r="L1798" s="198">
        <v>2019</v>
      </c>
      <c r="M1798" s="198">
        <v>2019</v>
      </c>
      <c r="N1798" s="77">
        <f>3423535/K1798</f>
        <v>231.55461616503212</v>
      </c>
      <c r="O1798" s="19" t="s">
        <v>66</v>
      </c>
      <c r="P1798" s="19" t="s">
        <v>5181</v>
      </c>
      <c r="Q1798" s="198"/>
    </row>
    <row r="1799" spans="1:17" ht="40" customHeight="1">
      <c r="A1799" s="207">
        <v>500</v>
      </c>
      <c r="B1799" s="37" t="s">
        <v>11488</v>
      </c>
      <c r="C1799" s="11" t="s">
        <v>11489</v>
      </c>
      <c r="D1799" s="198" t="s">
        <v>2393</v>
      </c>
      <c r="E1799" s="198" t="s">
        <v>2415</v>
      </c>
      <c r="F1799" s="60" t="s">
        <v>11491</v>
      </c>
      <c r="G1799" s="11" t="s">
        <v>11490</v>
      </c>
      <c r="H1799" s="11" t="s">
        <v>119</v>
      </c>
      <c r="I1799" s="21">
        <v>-10</v>
      </c>
      <c r="J1799" s="21">
        <v>-46</v>
      </c>
      <c r="K1799" s="21" t="s">
        <v>2272</v>
      </c>
      <c r="L1799" s="198">
        <v>2002</v>
      </c>
      <c r="M1799" s="198">
        <v>2018</v>
      </c>
      <c r="N1799" s="77" t="s">
        <v>2272</v>
      </c>
      <c r="O1799" s="19" t="s">
        <v>66</v>
      </c>
      <c r="P1799" s="19" t="s">
        <v>5181</v>
      </c>
      <c r="Q1799" s="198"/>
    </row>
    <row r="1800" spans="1:17" ht="41" customHeight="1">
      <c r="A1800" s="243"/>
      <c r="C1800" s="33"/>
    </row>
  </sheetData>
  <autoFilter ref="A1:A1224" xr:uid="{F5111C01-59AE-4FFF-A3F5-858DED950471}"/>
  <phoneticPr fontId="6" type="noConversion"/>
  <dataValidations xWindow="562" yWindow="702"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G1788 F1036:F1038 G988:G996 G932 F934:G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1800:F1048576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F925:F933"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F1778 G1038:G1039 G1043:G1059 G1061 G920:G931 F935:F942 F1798:F1799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1786:G1048576 F1791:F1794 G933 G935"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I1774:I1048576 I1186:I1481 I1599:I1771 J234" xr:uid="{FBEF606C-2F64-48AE-9A82-C772FF9DE0D3}">
      <formula1>-180</formula1>
      <formula2>180</formula2>
    </dataValidation>
    <dataValidation type="decimal" allowBlank="1" showInputMessage="1" showErrorMessage="1" prompt="Decimal degrees" sqref="J392:J395 J1:J101 J103:J128 J400:J548 J550:J554 J556:J587 J589:J600 J602:J603 J1599:J1771 J623:J624 J626:J635 J638:J782 J605:J621 J784:J932 J936 I1018 J997:J999 J1001:J1064 J1066:J1151 J1299:J1361 I1482 J1364:J1481 J1483:J1502 J1504:J1558 J1560:J1584 J1586:J1597 J1774:J1048576 J1156:J1296 J132:J233 J235:J390"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M773:M1048576 L1599:L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34" r:id="rId679" xr:uid="{62A9F433-22C0-4677-9E7E-C153134F4445}"/>
    <hyperlink ref="B1035" r:id="rId680" xr:uid="{64E3E683-00E3-4510-A87F-DF71A670C706}"/>
    <hyperlink ref="B1021" r:id="rId681" xr:uid="{79BFCC69-13BB-4C63-8EAA-11E3ABD04E69}"/>
    <hyperlink ref="B1026" r:id="rId682" xr:uid="{521FD027-466D-4835-B9D7-6B48D948BDAF}"/>
    <hyperlink ref="B1027" r:id="rId683" xr:uid="{11FB6999-5844-4ABD-9D62-E93BE4AA078D}"/>
    <hyperlink ref="B1037" r:id="rId684" xr:uid="{00000000-0004-0000-0000-000000000000}"/>
    <hyperlink ref="B1038" r:id="rId685" xr:uid="{00000000-0004-0000-0000-000001000000}"/>
    <hyperlink ref="B1039" r:id="rId686" xr:uid="{00000000-0004-0000-0000-000002000000}"/>
    <hyperlink ref="B1036" r:id="rId687" xr:uid="{00000000-0004-0000-0000-000003000000}"/>
    <hyperlink ref="B1040" r:id="rId688" xr:uid="{00000000-0004-0000-0000-000004000000}"/>
    <hyperlink ref="B1044" r:id="rId689" xr:uid="{00000000-0004-0000-0000-000005000000}"/>
    <hyperlink ref="B1043" r:id="rId690" xr:uid="{00000000-0004-0000-0000-000006000000}"/>
    <hyperlink ref="B1046" r:id="rId691" xr:uid="{00000000-0004-0000-0000-000007000000}"/>
    <hyperlink ref="B1045" r:id="rId692" xr:uid="{00000000-0004-0000-0000-000008000000}"/>
    <hyperlink ref="B1041" r:id="rId693" xr:uid="{00000000-0004-0000-0000-000009000000}"/>
    <hyperlink ref="B1042" r:id="rId694" xr:uid="{00000000-0004-0000-0000-00000A000000}"/>
    <hyperlink ref="B1047" r:id="rId695" xr:uid="{00000000-0004-0000-0000-00000B000000}"/>
    <hyperlink ref="B1048" r:id="rId696" xr:uid="{00000000-0004-0000-0000-00000C000000}"/>
    <hyperlink ref="B1049" r:id="rId697" xr:uid="{00000000-0004-0000-0000-00000D000000}"/>
    <hyperlink ref="B1050" r:id="rId698" xr:uid="{00000000-0004-0000-0000-00000E000000}"/>
    <hyperlink ref="B1051" r:id="rId699" xr:uid="{00000000-0004-0000-0000-00000F000000}"/>
    <hyperlink ref="B1052" r:id="rId700" xr:uid="{00000000-0004-0000-0000-000010000000}"/>
    <hyperlink ref="B1053" r:id="rId701" xr:uid="{00000000-0004-0000-0000-000011000000}"/>
    <hyperlink ref="B1054" r:id="rId702" xr:uid="{00000000-0004-0000-0000-000012000000}"/>
    <hyperlink ref="B1055" r:id="rId703" xr:uid="{00000000-0004-0000-0000-000013000000}"/>
    <hyperlink ref="B1056" r:id="rId704" xr:uid="{00000000-0004-0000-0000-000014000000}"/>
    <hyperlink ref="B1057" r:id="rId705" xr:uid="{00000000-0004-0000-0000-000015000000}"/>
    <hyperlink ref="B1058" r:id="rId706" xr:uid="{00000000-0004-0000-0000-000016000000}"/>
    <hyperlink ref="B1059" r:id="rId707" xr:uid="{00000000-0004-0000-0000-000017000000}"/>
    <hyperlink ref="B1061" r:id="rId708" xr:uid="{00000000-0004-0000-0000-000018000000}"/>
    <hyperlink ref="B1062"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63" r:id="rId745" xr:uid="{8BDF4851-3602-47F8-87C1-25CAF9F0D7A1}"/>
    <hyperlink ref="B1064" r:id="rId746" xr:uid="{54D29287-68CE-4EDD-8796-D4C995FD2EC3}"/>
    <hyperlink ref="B1065" r:id="rId747" xr:uid="{A005D498-FC36-44E2-A600-BCB25B8F9A7D}"/>
    <hyperlink ref="B1066" r:id="rId748" xr:uid="{73A534A6-82C5-4868-BEEC-67FF81E1EB22}"/>
    <hyperlink ref="B1067" r:id="rId749" xr:uid="{2D7388DF-B1A3-4429-A4EB-0B1AC5DE61F8}"/>
    <hyperlink ref="B1068" r:id="rId750" xr:uid="{B2E216B7-B094-4487-8B08-DE3AEA9356B7}"/>
    <hyperlink ref="B1069" r:id="rId751" xr:uid="{6D97F6A6-A6E1-415C-9832-27ACF14D5516}"/>
    <hyperlink ref="B1070" r:id="rId752" xr:uid="{C6B5C89A-5DD0-4EE6-AA0E-ACDA03EBA537}"/>
    <hyperlink ref="B1071" r:id="rId753" xr:uid="{A382DE3B-7C2C-44B8-B632-208B409F9728}"/>
    <hyperlink ref="B1072:B1073" r:id="rId754" display="Eloy 2016" xr:uid="{DEAE1BFA-3836-4594-A8BC-9E30108CA5D8}"/>
    <hyperlink ref="B1074" r:id="rId755" xr:uid="{2B2A5E1F-3AC6-463B-B7C0-A75C677B87F4}"/>
    <hyperlink ref="B1075" r:id="rId756" display="Caballero 2011" xr:uid="{67C81722-29A9-47BD-BDB2-E1C1DF573BA8}"/>
    <hyperlink ref="B1076" r:id="rId757" display="Caballero 2011" xr:uid="{65257CF8-ED26-4ABC-879E-91320851D14A}"/>
    <hyperlink ref="B1077" r:id="rId758" display="Caballero 2011" xr:uid="{5869C518-8975-4001-B295-9EC81DA818BA}"/>
    <hyperlink ref="B1078" r:id="rId759" display="Caballero 2011" xr:uid="{D6EB9ACA-D2A6-49C4-94F2-1FA2DD178805}"/>
    <hyperlink ref="B1079" r:id="rId760" display="Caballero 2011" xr:uid="{1719CCB1-23EB-42AF-95ED-56D47A517B9C}"/>
    <hyperlink ref="B1080" r:id="rId761" display="Caballero 2011" xr:uid="{23C53465-2C8E-4910-9FDF-FB3D1FB10CED}"/>
    <hyperlink ref="B1081" r:id="rId762" display="Caballero 2011" xr:uid="{A171E4B0-7D5C-47DF-B785-1E2FA042CD75}"/>
    <hyperlink ref="B1082" r:id="rId763" display="Caballero 2011" xr:uid="{B1D14D32-8C7C-4DB6-8C9F-FF45E4262E6B}"/>
    <hyperlink ref="B1083" r:id="rId764" display="Caballero 2011" xr:uid="{4BA0EDBE-EE87-4C25-A67C-FDCE20CE450D}"/>
    <hyperlink ref="B1084" r:id="rId765" display="Caballero 2011" xr:uid="{6A81E1DF-9D5B-4224-979D-C861FBC90703}"/>
    <hyperlink ref="B1085" r:id="rId766" display="Caballero 2011" xr:uid="{F42BD37D-81D0-4C09-B127-4A6E6B166EE6}"/>
    <hyperlink ref="B1086" r:id="rId767" display="Caballero 2011" xr:uid="{06B5A5FE-773B-48E6-B59F-4358708B6FEB}"/>
    <hyperlink ref="B1087" r:id="rId768" display="Caballero 2011" xr:uid="{ACF1F2D1-4EF6-419F-83C3-62A4316EE884}"/>
    <hyperlink ref="B1088" r:id="rId769" display="Caballero 2011" xr:uid="{7E9173B5-4827-4656-A5D4-0734AD21E383}"/>
    <hyperlink ref="B1089" r:id="rId770" display="Caballero 2011" xr:uid="{0EFD930F-7812-4E84-8A4B-1D9D10514871}"/>
    <hyperlink ref="B1090" r:id="rId771" display="Caballero 2011" xr:uid="{A3C9DFDF-6527-4C00-A0C3-9194CF3220CA}"/>
    <hyperlink ref="B1091" r:id="rId772" display="Caballero 2011" xr:uid="{F8361370-1E58-4DBC-8D39-8C5586164712}"/>
    <hyperlink ref="B1092" r:id="rId773" display="Caballero 2011" xr:uid="{B0CAA4C7-D62C-48D9-8543-7093AD21EAB6}"/>
    <hyperlink ref="B1093" r:id="rId774" display="Caballero 2011" xr:uid="{20322080-8CED-4075-B877-11805A118EE9}"/>
    <hyperlink ref="B1094" r:id="rId775" display="Caballero 2011" xr:uid="{B457985A-4194-4783-A12E-89763C4B18D1}"/>
    <hyperlink ref="B1095" r:id="rId776" display="Caballero 2011" xr:uid="{8F356603-D36C-4359-8F10-E2ED0D65DB8E}"/>
    <hyperlink ref="B1096" r:id="rId777" display="Caballero 2011" xr:uid="{009BB63F-44EB-4B71-BB59-DE8E0F0353FC}"/>
    <hyperlink ref="B1097" r:id="rId778" display="Caballero 2011" xr:uid="{6EC78847-34C2-4342-BFAB-AAC0F48DDD33}"/>
    <hyperlink ref="B1098" r:id="rId779" display="Caballero 2011" xr:uid="{8EE1622E-A1B4-4240-8C5B-C4E51FF0FB88}"/>
    <hyperlink ref="B1099" r:id="rId780" display="Caballero 2011" xr:uid="{AC23B910-B440-492A-AA92-0564466585C1}"/>
    <hyperlink ref="B1100" r:id="rId781" display="Caballero 2011" xr:uid="{44779127-4972-4930-B14B-89A6556D1D0E}"/>
    <hyperlink ref="B1101" r:id="rId782" display="Caballero 2011" xr:uid="{FBF1B8FC-1040-48CF-833E-C0FC82383948}"/>
    <hyperlink ref="B1102" r:id="rId783" display="Caballero 2011" xr:uid="{C83F2271-2781-492F-B11F-3294DD7B6BE9}"/>
    <hyperlink ref="B1103" r:id="rId784" display="Caballero 2011" xr:uid="{F078E13C-845B-42D6-A301-728E2E15C072}"/>
    <hyperlink ref="B1104" r:id="rId785" display="Caballero 2011" xr:uid="{DFF645CD-AA06-4297-8883-02EEBA677842}"/>
    <hyperlink ref="B1105" r:id="rId786" display="Caballero 2011" xr:uid="{41FAF507-7339-48A4-B7B0-9AAA65BD88B9}"/>
    <hyperlink ref="B1106" r:id="rId787" display="Caballero 2011" xr:uid="{08935987-1D2D-4AC3-A30C-FA07527C09E2}"/>
    <hyperlink ref="B1107" r:id="rId788" display="Caballero 2011" xr:uid="{A7629FBA-3768-4A10-BC3C-CB38220961AC}"/>
    <hyperlink ref="B1108" r:id="rId789" display="Caballero 2011" xr:uid="{B76A0B77-DD9E-496B-9E70-8595B3844953}"/>
    <hyperlink ref="B1109" r:id="rId790" display="Caballero 2011" xr:uid="{A47AA487-DFED-4457-B7E0-950363C7CB83}"/>
    <hyperlink ref="B1110" r:id="rId791" display="Caballero 2011" xr:uid="{C885F99B-E56D-47E1-B455-D2D348ED49C8}"/>
    <hyperlink ref="B1111" r:id="rId792" display="Caballero 2011" xr:uid="{52768419-8764-4695-BEE5-8DC06938FF22}"/>
    <hyperlink ref="B1112" r:id="rId793" display="Caballero 2011" xr:uid="{9ED83EC3-668E-4EE8-AB78-0B9BBD20E3C3}"/>
    <hyperlink ref="B1113" r:id="rId794" display="Caballero 2011" xr:uid="{B83BE2C8-063D-47C8-A4FE-FFB57A51707D}"/>
    <hyperlink ref="B1114" r:id="rId795" display="Caballero 2011" xr:uid="{D26A4995-7255-42EF-927B-89F71FC7D6B4}"/>
    <hyperlink ref="B1115:B1120" r:id="rId796" display="Fernandes 2013" xr:uid="{068F9213-E42B-4314-8BAC-9BE349903CB6}"/>
    <hyperlink ref="B1120" r:id="rId797" xr:uid="{A6561085-2B77-41A2-9BA3-5980211B3A06}"/>
    <hyperlink ref="B1121" r:id="rId798" xr:uid="{D68EB1E8-B318-450D-946C-20CF82FD7E88}"/>
    <hyperlink ref="B1122" r:id="rId799" xr:uid="{3C3854B1-66F2-4837-956D-CD5899651CC6}"/>
    <hyperlink ref="B1123" r:id="rId800" xr:uid="{4F830B22-950E-4FBE-911E-6CE91415C448}"/>
    <hyperlink ref="B1124" r:id="rId801" xr:uid="{935E60CB-07D0-4C6A-88A3-9FC4B0E60B78}"/>
    <hyperlink ref="B1125" r:id="rId802" xr:uid="{E66B9DF1-1B0A-408C-ACBD-1C8AB1645174}"/>
    <hyperlink ref="B1126" r:id="rId803" xr:uid="{65C6F086-8E01-40EF-AAD1-12C04615E942}"/>
    <hyperlink ref="B1127" r:id="rId804" xr:uid="{8F264958-AB4A-4DB4-B76D-46C69FE6D6D6}"/>
    <hyperlink ref="B1128" r:id="rId805" xr:uid="{D7388C74-D9EE-42A8-AFC4-A8864E1A213D}"/>
    <hyperlink ref="B1129" r:id="rId806" xr:uid="{F031C9E8-3C11-4C21-9F93-FE34EB1C6E17}"/>
    <hyperlink ref="B1130" r:id="rId807" xr:uid="{B3D85429-5D24-44B4-8C6C-709A37334265}"/>
    <hyperlink ref="B1131" r:id="rId808" xr:uid="{ABE6083D-8F59-4FA6-9FC4-AAB003E27CA0}"/>
    <hyperlink ref="B1132" r:id="rId809" xr:uid="{7449F71C-A4D3-4D23-A31E-759710EE2D1D}"/>
    <hyperlink ref="B1133" r:id="rId810" xr:uid="{8369C27B-A500-40FD-BDC7-5B6F7AC75051}"/>
    <hyperlink ref="B1134" r:id="rId811" xr:uid="{D7F6A2F6-7A22-4B43-A52C-5412959B9CBC}"/>
    <hyperlink ref="B1135" r:id="rId812" xr:uid="{1F5CA278-1568-4CF9-AC42-1B9F9BC7894F}"/>
    <hyperlink ref="B1136" r:id="rId813" xr:uid="{C6A09899-BF2D-4900-8DA3-020EE6C5F895}"/>
    <hyperlink ref="B1137" r:id="rId814" xr:uid="{52930C38-321B-47ED-B67B-540F4A436D1F}"/>
    <hyperlink ref="B1138" r:id="rId815" xr:uid="{1AA74B36-C424-4BB5-B4A9-7AC3C36ED513}"/>
    <hyperlink ref="B1139" r:id="rId816" xr:uid="{173EDFA1-FA09-4646-AF09-1A2BC45A6C92}"/>
    <hyperlink ref="B1140" r:id="rId817" xr:uid="{F6AFB9E0-2DBC-46C8-848C-27C98D66329C}"/>
    <hyperlink ref="B1141" r:id="rId818" xr:uid="{1A991198-6473-431B-9EEC-3DFA4FD2FEC7}"/>
    <hyperlink ref="B1142" r:id="rId819" xr:uid="{FC31AA0A-EF59-4EF0-801C-BBC1C8510BE5}"/>
    <hyperlink ref="B1143" r:id="rId820" xr:uid="{7E0A0202-D189-4C9F-8D45-D519AAECB085}"/>
    <hyperlink ref="B1144" r:id="rId821" xr:uid="{E40D6504-7CFD-48CC-845C-E8B0A47C658A}"/>
    <hyperlink ref="B1145" r:id="rId822" xr:uid="{C8680297-CDDD-460F-A57B-DBD08D55E000}"/>
    <hyperlink ref="B1146" r:id="rId823" xr:uid="{D9C4E4E6-D283-41BD-8FD5-04A5DE4319F1}"/>
    <hyperlink ref="B1147" r:id="rId824" xr:uid="{9B59A8AA-FFDC-49B5-8FC8-09ADF4645123}"/>
    <hyperlink ref="B1148" r:id="rId825" xr:uid="{D39AB126-C37C-4321-A69D-DA83C5D735F5}"/>
    <hyperlink ref="B1149" r:id="rId826" xr:uid="{2E19B4CB-FE35-4A03-BE94-455A4EE23E0B}"/>
    <hyperlink ref="B1150" r:id="rId827" xr:uid="{EB323D39-6E50-4ABE-A484-E4523C6E477E}"/>
    <hyperlink ref="B1151" r:id="rId828" xr:uid="{F36DACFD-305A-40C4-827C-8D07F190265E}"/>
    <hyperlink ref="B1152" r:id="rId829" xr:uid="{D636E45F-1E54-47E8-AD40-3709EA35EBCA}"/>
    <hyperlink ref="B1153" r:id="rId830" xr:uid="{28B4A57D-44D3-40BA-8821-5497CDCE17A0}"/>
    <hyperlink ref="B1154" r:id="rId831" xr:uid="{31625ED8-71CF-4244-8C6C-2B89AA1D883F}"/>
    <hyperlink ref="B1155" r:id="rId832" xr:uid="{D38E64E5-E741-40CB-BBD1-BDC81EC825A5}"/>
    <hyperlink ref="B1156" r:id="rId833" xr:uid="{143926AE-3073-4EB7-BB07-BEC503B6C860}"/>
    <hyperlink ref="B1157" r:id="rId834" xr:uid="{6E21F601-2ED1-44AC-9554-4212567C57DE}"/>
    <hyperlink ref="B1158" r:id="rId835" xr:uid="{1FD67231-5E2D-455E-A3CD-D8EF29778411}"/>
    <hyperlink ref="B1159" r:id="rId836" xr:uid="{09EE47BF-38F0-4CC0-8C97-15C038CFB3AB}"/>
    <hyperlink ref="B1160" r:id="rId837" xr:uid="{02F71FDC-EC30-41B9-B985-594754911FE3}"/>
    <hyperlink ref="B1161" r:id="rId838" xr:uid="{A9A2AB75-E629-4130-84F5-422246DBD85A}"/>
    <hyperlink ref="B1162" r:id="rId839" xr:uid="{AD567F1E-88CF-4370-847B-E6508B32DBFF}"/>
    <hyperlink ref="B1163" r:id="rId840" xr:uid="{8A8F4214-F552-4480-B9F8-65E80D263BB3}"/>
    <hyperlink ref="B1164" r:id="rId841" xr:uid="{4DE71112-8350-4232-8023-A604DB4DA960}"/>
    <hyperlink ref="B1165" r:id="rId842" xr:uid="{1B4BB719-7A9B-408F-960E-18A767D6985D}"/>
    <hyperlink ref="B1166" r:id="rId843" xr:uid="{079E09D6-B5DA-4BD6-802D-AD88550E4E53}"/>
    <hyperlink ref="B1167" r:id="rId844" xr:uid="{ABD8D34A-C86D-4F43-A414-AC090A7689B5}"/>
    <hyperlink ref="B1168" r:id="rId845" xr:uid="{6E0CFCB8-545B-4EC1-90FD-FAA4F06AC6D9}"/>
    <hyperlink ref="B1169" r:id="rId846" xr:uid="{7E20BA0B-5AD4-4808-BE52-F754BCA72054}"/>
    <hyperlink ref="B1170" r:id="rId847" xr:uid="{AF68B5AB-9B5E-4A06-93F0-B5C7EBB338D4}"/>
    <hyperlink ref="B1171" r:id="rId848" xr:uid="{41DADDE5-D696-48AA-B0E5-C37273B1CFDC}"/>
    <hyperlink ref="B1172" r:id="rId849" xr:uid="{4DE0A9E1-0455-4375-B82C-4C568D8877D1}"/>
    <hyperlink ref="B1173" r:id="rId850" xr:uid="{F0381485-EF40-4EDD-BE96-5992F84E2B67}"/>
    <hyperlink ref="B1174" r:id="rId851" xr:uid="{905088C7-AFF7-43DD-B2C4-7E0FE91F819E}"/>
    <hyperlink ref="B1175" r:id="rId852" xr:uid="{AE7BB22F-E86F-46B9-A106-F6D0AB00625F}"/>
    <hyperlink ref="B1176" r:id="rId853" xr:uid="{977965D0-51A3-40F3-BC45-42A51F601920}"/>
    <hyperlink ref="B1177" r:id="rId854" xr:uid="{EA3EF0EA-91F3-4952-A134-073B7F3BE564}"/>
    <hyperlink ref="B1178" r:id="rId855" xr:uid="{A18B959C-2DC9-41C0-A3E9-8D36A1230862}"/>
    <hyperlink ref="B1179" r:id="rId856" xr:uid="{ED661D59-E35C-4566-9C32-034D6221D23D}"/>
    <hyperlink ref="B1180" r:id="rId857" xr:uid="{B748F9EF-2118-480D-82E9-B38C1DA21FD0}"/>
    <hyperlink ref="B1181" r:id="rId858" xr:uid="{4DCA195D-A0BB-4566-B222-73DE6BD903E9}"/>
    <hyperlink ref="B1182" r:id="rId859" xr:uid="{26C4561C-5C01-4BAE-9A4A-7EDC1301F069}"/>
    <hyperlink ref="B1183" r:id="rId860" xr:uid="{8E35946B-4535-4FBA-820B-C2A210615730}"/>
    <hyperlink ref="B1184" r:id="rId861" xr:uid="{CE14BE76-BD4C-47F2-B2A7-5495208D865D}"/>
    <hyperlink ref="B1185" r:id="rId862" xr:uid="{40F679C1-C964-4627-855C-379EA1A58CE3}"/>
    <hyperlink ref="B1186" r:id="rId863" xr:uid="{CB525611-1E74-4F24-97B4-DDD0080DAE6D}"/>
    <hyperlink ref="B1187" r:id="rId864" xr:uid="{7270CD36-CEE0-4487-8F44-4D6CCBFF120A}"/>
    <hyperlink ref="B1188" r:id="rId865" xr:uid="{1A10DE54-FB42-456F-9A27-00DEEDC696BE}"/>
    <hyperlink ref="B1189" r:id="rId866" xr:uid="{9A1B59A6-BDD1-483C-AC93-7066FE228481}"/>
    <hyperlink ref="B1190" r:id="rId867" xr:uid="{3A18A231-E7B5-475A-9BA4-B7C105790FA5}"/>
    <hyperlink ref="B1191" r:id="rId868" xr:uid="{6BC817DF-8760-4D69-8FE4-3F472D5F98B0}"/>
    <hyperlink ref="B1192" r:id="rId869" xr:uid="{16AA27C2-AF38-43E8-A28A-92F27551762A}"/>
    <hyperlink ref="B1193" r:id="rId870" xr:uid="{9BE13563-AEFA-49D7-8063-9015CACFE74A}"/>
    <hyperlink ref="B1194" r:id="rId871" xr:uid="{2CB3C9A0-06E8-4A99-9C89-BB2E9D99F400}"/>
    <hyperlink ref="B1195" r:id="rId872" xr:uid="{10EC0779-10A4-4188-AD01-ABBCFCF5C5A8}"/>
    <hyperlink ref="B1196" r:id="rId873" xr:uid="{26383AA3-0255-45C0-BC99-A374A256C788}"/>
    <hyperlink ref="B1197" r:id="rId874" xr:uid="{42BD0865-8BE8-4398-97FD-D64B339C0E83}"/>
    <hyperlink ref="B1198" r:id="rId875" xr:uid="{4C778C08-362E-42F3-A8F0-F4E52FCD09FC}"/>
    <hyperlink ref="B1199" r:id="rId876" xr:uid="{828B5A9D-7D77-49B2-9E4D-D00ACE56BD49}"/>
    <hyperlink ref="B1200" r:id="rId877" xr:uid="{0B9C3C43-304F-42E4-81FD-29E7F1C70C27}"/>
    <hyperlink ref="B1201" r:id="rId878" xr:uid="{C2D40117-9739-4537-A0D7-973D5B0736BC}"/>
    <hyperlink ref="B1202" r:id="rId879" xr:uid="{0C96B139-F5EB-4425-B7E8-1F65614801DA}"/>
    <hyperlink ref="B1203" r:id="rId880" xr:uid="{74C5A921-C319-401C-9B0D-19E9C40985CC}"/>
    <hyperlink ref="B1204" r:id="rId881" xr:uid="{78C63E9A-CEB4-4D0C-BBAE-2E764A776933}"/>
    <hyperlink ref="B1205" r:id="rId882" xr:uid="{80C84C13-CEF2-4D7C-A938-87C4FA945F99}"/>
    <hyperlink ref="B1206" r:id="rId883" xr:uid="{C9FCFCBE-3426-4577-99EE-799460479525}"/>
    <hyperlink ref="B1207" r:id="rId884" xr:uid="{B484AA72-6AE2-4A14-9033-4F0B0BF106FF}"/>
    <hyperlink ref="B1208" r:id="rId885" xr:uid="{0C1DA364-930D-442E-9469-6C6CD3B50237}"/>
    <hyperlink ref="B1209" r:id="rId886" xr:uid="{FDEA401C-D25F-40CA-8E0A-48751F08272D}"/>
    <hyperlink ref="B1210" r:id="rId887" xr:uid="{AC44522A-E3D5-4C6F-8C4F-CD70BE92F4C6}"/>
    <hyperlink ref="B1211" r:id="rId888" xr:uid="{5B950A6D-4F72-4BE7-8F33-443F0CF652D2}"/>
    <hyperlink ref="B1212" r:id="rId889" xr:uid="{5E9EA767-591D-4D2F-B541-CC96192592E1}"/>
    <hyperlink ref="B1213" r:id="rId890" xr:uid="{B88DBD61-4BB8-43CD-B6AE-F67AC447E202}"/>
    <hyperlink ref="B1214" r:id="rId891" xr:uid="{3D63A7B5-B1D8-46F3-B244-22A64973D3F1}"/>
    <hyperlink ref="B1215" r:id="rId892" xr:uid="{262A76CE-9291-4BF1-B106-D2E528576751}"/>
    <hyperlink ref="B1216" r:id="rId893" xr:uid="{6EBECAF7-2FBB-4319-8F5A-48519C7B8641}"/>
    <hyperlink ref="B1217" r:id="rId894" xr:uid="{75F794C3-4BBD-460D-BCC9-06CA273A8123}"/>
    <hyperlink ref="B1218" r:id="rId895" xr:uid="{91CBE925-1C33-47C4-8309-2DD52D1D7B3E}"/>
    <hyperlink ref="B1219" r:id="rId896" xr:uid="{BB919ECA-1FBC-4A4D-B5ED-D4593E542C72}"/>
    <hyperlink ref="B1220" r:id="rId897" xr:uid="{8759B751-56C4-42D2-AF61-9A50C34228E4}"/>
    <hyperlink ref="B1221" r:id="rId898" xr:uid="{2B837AA3-C7E3-4B89-BA52-676920717A09}"/>
    <hyperlink ref="B1222" r:id="rId899" xr:uid="{2558871D-0529-477F-88FD-42669B98A5EC}"/>
    <hyperlink ref="B1223" r:id="rId900" xr:uid="{CF132BDD-B05C-4315-B4C5-1F36C66A1325}"/>
    <hyperlink ref="B1224" r:id="rId901" xr:uid="{21569191-A739-48AA-8664-DDBEBFCC51F6}"/>
    <hyperlink ref="B1225" r:id="rId902" xr:uid="{9A2B8348-57D1-42B0-9726-63AA60DB8DB1}"/>
    <hyperlink ref="B1226" r:id="rId903" xr:uid="{B48DDE5D-9B78-4818-8AFC-910A4EAF69B3}"/>
    <hyperlink ref="Q1226" r:id="rId904" xr:uid="{AA85A300-AE09-4F36-9615-614860C488CB}"/>
    <hyperlink ref="B1227" r:id="rId905" xr:uid="{9CC701C4-0D85-4B71-A2C9-7E288A8B8BF5}"/>
    <hyperlink ref="B1228" r:id="rId906" xr:uid="{53DDAAB7-D8B0-4AB7-8E56-ED572DA123F8}"/>
    <hyperlink ref="B1229" r:id="rId907" xr:uid="{0661E1C9-6145-4FD9-954C-B98F736CC819}"/>
    <hyperlink ref="B1230" r:id="rId908" xr:uid="{3EDB86A5-69D0-4B4B-AE8E-03A46674CDE0}"/>
    <hyperlink ref="B1231" r:id="rId909" xr:uid="{7B3D2E29-1869-4B18-877F-8DFF6A39CA77}"/>
    <hyperlink ref="B1232" r:id="rId910" xr:uid="{CF274889-1D5C-4F35-9A90-6442B05FCF26}"/>
    <hyperlink ref="B1233" r:id="rId911" xr:uid="{903D40B8-F712-4C4F-AED5-430A616AD5FD}"/>
    <hyperlink ref="B1234" r:id="rId912" xr:uid="{E4736202-9FAD-4FA6-9214-5661DFED3C8E}"/>
    <hyperlink ref="B1235" r:id="rId913" xr:uid="{8416223D-F6A3-40CF-A68A-368E42300470}"/>
    <hyperlink ref="B1236" r:id="rId914" xr:uid="{F768984C-8243-4F62-84CF-56C14559C2CF}"/>
    <hyperlink ref="B1237" r:id="rId915" xr:uid="{8AB6FB99-B723-445C-A2F1-AF987A0E1580}"/>
    <hyperlink ref="B1238" r:id="rId916" xr:uid="{5D2BDACD-0E03-41F0-AF36-B69D13A8C358}"/>
    <hyperlink ref="B1239:B1247" r:id="rId917" display="Pavleichik 2017" xr:uid="{798A9FAD-19C3-4772-9AE0-C6E2BB0F73AA}"/>
    <hyperlink ref="B1248" r:id="rId918" xr:uid="{04325BB0-11B9-492C-8AA0-35ECF55AB873}"/>
    <hyperlink ref="B1249" r:id="rId919" xr:uid="{6252ADF4-918B-487B-9240-933EBC91DA83}"/>
    <hyperlink ref="B1250" r:id="rId920" xr:uid="{A36D5C78-AE21-4741-8613-B021E00D9AAB}"/>
    <hyperlink ref="B1251" r:id="rId921" xr:uid="{63EF858C-630D-48A7-B980-22C551819E6D}"/>
    <hyperlink ref="B1252" r:id="rId922" xr:uid="{FF3A350E-D724-4F79-9439-B7566199EC86}"/>
    <hyperlink ref="B1253" r:id="rId923" xr:uid="{D8F0DCB7-76F6-4DC0-9B2A-0E2E492D544A}"/>
    <hyperlink ref="B1254" r:id="rId924" xr:uid="{2685B421-03E3-466B-A5FD-2FB51562F5AB}"/>
    <hyperlink ref="B1255" r:id="rId925" xr:uid="{BA616B1D-047F-4389-A858-BB44224E45FC}"/>
    <hyperlink ref="B1256" r:id="rId926" xr:uid="{A72A0DA5-BBD5-4C4F-A61F-F5EA366B92B8}"/>
    <hyperlink ref="B1257" r:id="rId927" xr:uid="{F87A07C5-8485-4C9D-8989-3EBDF1FB238F}"/>
    <hyperlink ref="B1258" r:id="rId928" xr:uid="{E747C00B-E2A8-4176-AFD6-4F67ACFD4F4E}"/>
    <hyperlink ref="B1259" r:id="rId929" xr:uid="{7D110D34-6159-43C7-87F3-4C9C5F1F746B}"/>
    <hyperlink ref="B1260" r:id="rId930" xr:uid="{07333323-6032-46E9-B6F3-A26D0652D34D}"/>
    <hyperlink ref="B1261" r:id="rId931" xr:uid="{17D4D8C4-9BF6-4A95-992D-E051A1C25EDB}"/>
    <hyperlink ref="B1262" r:id="rId932" xr:uid="{46C82B56-CEBC-4AE1-AD06-764682C820F1}"/>
    <hyperlink ref="B1263" r:id="rId933" xr:uid="{EF0C8DB2-F064-491E-A123-0F83FDAD2D71}"/>
    <hyperlink ref="B1265" r:id="rId934" xr:uid="{12FF3E2F-3698-4E50-9E2B-F458988E3475}"/>
    <hyperlink ref="B1264" r:id="rId935" xr:uid="{E4883DBA-3C1B-460C-937D-8A7B7D4E2FF2}"/>
    <hyperlink ref="B1266" r:id="rId936" xr:uid="{6721A1E2-80A8-4C63-BD31-E7DBB8460975}"/>
    <hyperlink ref="B1267" r:id="rId937" xr:uid="{302C830B-8BF4-4CD9-8378-039CD1902184}"/>
    <hyperlink ref="B1268" r:id="rId938" xr:uid="{EE206AC3-A876-41F1-A3F7-034234EC6A46}"/>
    <hyperlink ref="B1269" r:id="rId939" xr:uid="{6CEEEF50-AB1E-456D-A4FF-3E3D91076FE0}"/>
    <hyperlink ref="B1270" r:id="rId940" xr:uid="{B7DA6ABB-C428-4EDA-80A4-27CEE6465793}"/>
    <hyperlink ref="B1271" r:id="rId941" xr:uid="{FEBDE4ED-AF5F-4A52-BE1D-92E4B69EC9AC}"/>
    <hyperlink ref="B1272" r:id="rId942" xr:uid="{B8E8F1CB-830B-4609-A89E-C5BFA14A8C04}"/>
    <hyperlink ref="B1273" r:id="rId943" xr:uid="{638D8575-1B57-49FF-904D-B041CE25D652}"/>
    <hyperlink ref="B1274" r:id="rId944" xr:uid="{FF7D3F3A-363A-4F60-931E-0320E2F244EB}"/>
    <hyperlink ref="B1275" r:id="rId945" xr:uid="{EF02F299-2CD9-4C38-A64F-A08B4C5C262D}"/>
    <hyperlink ref="B1276" r:id="rId946" xr:uid="{416AA7C5-59B3-4C4E-B4ED-A4ABB098E906}"/>
    <hyperlink ref="B1277" r:id="rId947" xr:uid="{9304AE7E-8C73-449C-A718-3A4FC9F80C6F}"/>
    <hyperlink ref="B1278" r:id="rId948" xr:uid="{57F11B2E-C2F7-4F3F-8EF9-A63A14F14A1B}"/>
    <hyperlink ref="B1279" r:id="rId949" xr:uid="{37C79228-5215-4874-BB94-85497D89FF89}"/>
    <hyperlink ref="B1280" r:id="rId950" xr:uid="{CFFAEF68-597F-473A-AF6C-9AEEFB0BFC95}"/>
    <hyperlink ref="B1281" r:id="rId951" xr:uid="{6E3222E4-6555-4132-A0E8-189EC8FF7511}"/>
    <hyperlink ref="B1282" r:id="rId952" xr:uid="{A7261E10-EEA7-4147-8138-B9D11019A35A}"/>
    <hyperlink ref="B1283" r:id="rId953" xr:uid="{AFDA0FB3-9AA7-46C0-8D3C-FF9E7B5A6CB0}"/>
    <hyperlink ref="B1287" r:id="rId954" xr:uid="{19E8B699-E3A9-4119-AFF5-F9BB665D3424}"/>
    <hyperlink ref="B1288" r:id="rId955" xr:uid="{0580D2EC-53F4-4868-8434-9229445D0DB5}"/>
    <hyperlink ref="B1289" r:id="rId956" xr:uid="{7B4B6A1C-0E12-4F00-9AA6-79AA04727E99}"/>
    <hyperlink ref="B1290" r:id="rId957" xr:uid="{BE63F177-ED60-4C0E-B07F-8D413512E0BE}"/>
    <hyperlink ref="B1291" r:id="rId958" xr:uid="{AC1E5168-6698-4082-B766-99FB7A6B7C1E}"/>
    <hyperlink ref="B1292" r:id="rId959" xr:uid="{46D2FA61-2ED1-43AE-8ECC-EBCC659C5769}"/>
    <hyperlink ref="B1293" r:id="rId960" xr:uid="{7783BB38-8DC8-4C0B-924D-D95864E5A60E}"/>
    <hyperlink ref="B1294" r:id="rId961" xr:uid="{06A2C2B0-EC1E-472D-B111-D2F84E272BC6}"/>
    <hyperlink ref="B1295" r:id="rId962" xr:uid="{59351DA6-16BC-436D-946E-CB8857D1EF61}"/>
    <hyperlink ref="B1296" r:id="rId963" xr:uid="{61A919EB-2308-4F56-A4D0-FCE8E22AA9FF}"/>
    <hyperlink ref="B1297" r:id="rId964" xr:uid="{31CE6F97-880C-43DD-8411-F42E676DD91C}"/>
    <hyperlink ref="B1298" r:id="rId965" xr:uid="{066FBA05-D009-4B55-BCA2-0CC54AD208F2}"/>
    <hyperlink ref="B1299" r:id="rId966" location="v=onepage&amp;q&amp;f=false" xr:uid="{99748A36-9EC6-470B-B989-2B90DC94DFEC}"/>
    <hyperlink ref="B1300" r:id="rId967" location="v=onepage&amp;q&amp;f=false" xr:uid="{6D11EAE1-ABFF-4DF9-A679-F0982A449E44}"/>
    <hyperlink ref="B1301" r:id="rId968" location="v=onepage&amp;q&amp;f=false" xr:uid="{CE6544D5-7DEA-41D2-A424-B34855A769C0}"/>
    <hyperlink ref="B1302" r:id="rId969" xr:uid="{DBFB8980-3B03-489C-AE21-88DFEFD3CE5F}"/>
    <hyperlink ref="B1304" r:id="rId970" display="Smil 1999" xr:uid="{07CA7A62-8C91-4305-853D-9DEE473EF248}"/>
    <hyperlink ref="B1303" r:id="rId971" xr:uid="{0D68574D-4088-43F7-9453-BEB7E9DA96DB}"/>
    <hyperlink ref="B1305" r:id="rId972" xr:uid="{4A4A620A-3465-4A94-9E98-1FBDDCD661E7}"/>
    <hyperlink ref="B1306" r:id="rId973" xr:uid="{090A910E-9F75-42AB-92BB-C0CAF0D1DCFA}"/>
    <hyperlink ref="B1307" r:id="rId974" xr:uid="{4C3C93DA-7C75-4EDD-876A-1AB14881425F}"/>
    <hyperlink ref="B1308" r:id="rId975" xr:uid="{96191E26-DB5F-45B5-B861-8492F7A08C37}"/>
    <hyperlink ref="B1309" r:id="rId976" xr:uid="{6292FFDB-B8F7-4682-9B1B-0626D601FBB2}"/>
    <hyperlink ref="B1310" r:id="rId977" xr:uid="{BDB10B16-0201-4AD2-9E9C-65844A8B69C5}"/>
    <hyperlink ref="B1311:B1324" r:id="rId978" display="Rudorff 2010" xr:uid="{8B5FEFA1-D208-47B1-9141-84648F52DDA9}"/>
    <hyperlink ref="B1325" r:id="rId979" display="Rudorff 2010" xr:uid="{04133DE7-60BE-45FB-A858-E2EBBEE5C358}"/>
    <hyperlink ref="B1326" r:id="rId980" xr:uid="{6FA50F31-598C-474A-A435-3BB8650FB48F}"/>
    <hyperlink ref="B1327" r:id="rId981" xr:uid="{ABED5B43-6652-48D9-9B88-D377D4E8CDD1}"/>
    <hyperlink ref="B1328" r:id="rId982" xr:uid="{81EF4FF1-31CD-495F-B4ED-D8A5E2793073}"/>
    <hyperlink ref="B1329" r:id="rId983" xr:uid="{EBF0ADC5-0213-4548-817B-64BF2BC9D977}"/>
    <hyperlink ref="B1330" r:id="rId984" xr:uid="{778C363A-BB94-4E13-8ED6-06C992AC736F}"/>
    <hyperlink ref="B1331" r:id="rId985" xr:uid="{1A1E3E81-2C50-43CB-A91B-4A89CA2DFFAB}"/>
    <hyperlink ref="B1332" r:id="rId986" xr:uid="{98D8D543-EDC1-4B53-AECC-00BC794730B5}"/>
    <hyperlink ref="B1333" r:id="rId987" xr:uid="{81B51885-3764-4E77-B5F5-A34F85D48781}"/>
    <hyperlink ref="B1334" r:id="rId988" xr:uid="{82E83B1D-6581-4629-81F5-9CCA4FD00B14}"/>
    <hyperlink ref="B1335" r:id="rId989" xr:uid="{CE889403-9476-4303-9E4C-DBD9C7D847F4}"/>
    <hyperlink ref="B1336" r:id="rId990" xr:uid="{593812FA-5557-4B86-8129-96320357B29A}"/>
    <hyperlink ref="B1337" r:id="rId991" xr:uid="{19342BED-00C6-4CC7-88B4-EDC91E03E430}"/>
    <hyperlink ref="B1338" r:id="rId992" xr:uid="{8C6BD2B0-C5EF-4772-94CC-D0B4F30FFD99}"/>
    <hyperlink ref="B1339" r:id="rId993" xr:uid="{EDB8B46B-4B91-4131-B1CE-79F2485F3C4C}"/>
    <hyperlink ref="B1015:B1019" r:id="rId994" display="Sun, Ge &amp; Zhou, 2011" xr:uid="{746C264E-50CF-47B9-B096-75D371E8B645}"/>
    <hyperlink ref="B1340" r:id="rId995" display="Chang 2019" xr:uid="{679AB78D-952E-401F-90EB-F41A45446EDA}"/>
    <hyperlink ref="B1341" r:id="rId996" xr:uid="{D48C6AC6-56F8-4288-8520-CA9F96C2BB64}"/>
    <hyperlink ref="B1342" r:id="rId997" xr:uid="{F0710096-A065-43E3-BEAD-1563FDADFC02}"/>
    <hyperlink ref="B1343" r:id="rId998" xr:uid="{B87ACAD4-92C9-4224-8A3F-50437830DA59}"/>
    <hyperlink ref="B1344" r:id="rId999" xr:uid="{8F998434-99B9-4C6B-B631-8983724F0B80}"/>
    <hyperlink ref="B1345" r:id="rId1000" xr:uid="{527CB516-CA35-47AD-A0C5-FD916BC3E045}"/>
    <hyperlink ref="B1346" r:id="rId1001" xr:uid="{159B2090-7C9F-47D9-97BA-63019EB62452}"/>
    <hyperlink ref="B1347" r:id="rId1002" xr:uid="{FCE6BA60-19B1-4504-B01D-39DB829C2603}"/>
    <hyperlink ref="B1348" r:id="rId1003" xr:uid="{6EAC6DF9-C7A3-481D-8B89-A0FD47856990}"/>
    <hyperlink ref="B1349" r:id="rId1004" xr:uid="{B3BAE799-3053-4310-85F6-3128E7BDD873}"/>
    <hyperlink ref="B1350" r:id="rId1005" xr:uid="{CAFEAB8C-B58E-40C1-A665-F9F0A8E0C471}"/>
    <hyperlink ref="B1351" r:id="rId1006" xr:uid="{8F65901B-E1C8-41E7-81E7-8778FA407B7C}"/>
    <hyperlink ref="B1352" r:id="rId1007" xr:uid="{FFC92D6E-76DD-410D-9AA0-E7140033ACF2}"/>
    <hyperlink ref="B1353" r:id="rId1008" xr:uid="{411F27EC-F00F-4694-AE28-222DD215648D}"/>
    <hyperlink ref="B1354" r:id="rId1009" xr:uid="{02A3345F-A00B-4D51-ABFB-A90AD65261A0}"/>
    <hyperlink ref="B1355" r:id="rId1010" xr:uid="{011E2AC4-7146-4BA7-9DE2-66BA34A23FA5}"/>
    <hyperlink ref="B1356" r:id="rId1011" xr:uid="{5A9A2093-1AB5-4E1D-BC64-C09921A27CF1}"/>
    <hyperlink ref="B1357" r:id="rId1012" xr:uid="{8DEFEFC0-10F4-4D00-A0D5-406FA576AC23}"/>
    <hyperlink ref="B1358:B1359" r:id="rId1013" display="Gadde 2009" xr:uid="{DD5FD498-EDDE-428F-A6D2-9167AACC4CEA}"/>
    <hyperlink ref="B1360:B1361" r:id="rId1014" display="Gadde 2009" xr:uid="{A754ACF6-07DF-4BFC-8789-1F9FC60BF597}"/>
    <hyperlink ref="B1362" r:id="rId1015" xr:uid="{1879FEAB-AE5C-4ACF-AD4D-508433D6BECF}"/>
    <hyperlink ref="B1363" r:id="rId1016" xr:uid="{20EC7FCE-994B-4610-8C4F-6FC400361A6B}"/>
    <hyperlink ref="B1364" r:id="rId1017" xr:uid="{522F09C6-A097-44F9-8F46-ABEB0AD53E19}"/>
    <hyperlink ref="B1365" r:id="rId1018" xr:uid="{796F40F7-FB5A-45C4-A16F-2BE68EE33412}"/>
    <hyperlink ref="B1366" r:id="rId1019" display="Pouliot" xr:uid="{0145EA51-5377-4628-BA16-3AD0DC3DE978}"/>
    <hyperlink ref="B1367" r:id="rId1020" display="Pouliot" xr:uid="{2BF3C50A-9CB6-4D16-9217-9C364D57B1F0}"/>
    <hyperlink ref="B1368" r:id="rId1021" display="Pouliot" xr:uid="{A9D32A86-B8FB-46EB-8F45-30CDD11C3712}"/>
    <hyperlink ref="B1369" r:id="rId1022" xr:uid="{7B0EC9FD-4533-4423-AA8C-041214B31C21}"/>
    <hyperlink ref="B1370:B1371" r:id="rId1023" display="McCarty 2017" xr:uid="{A772AB00-E9F8-46F1-9FAC-C1EB28891F5C}"/>
    <hyperlink ref="B1372" r:id="rId1024" xr:uid="{D9036221-CF12-4C8C-A04A-4396C52CDF2B}"/>
    <hyperlink ref="B1373:B1385" r:id="rId1025" display="Farag 2013" xr:uid="{BC5C0D40-EFCB-4396-B379-15081531126E}"/>
    <hyperlink ref="B1386" r:id="rId1026" xr:uid="{7193DD03-1D93-4CBE-952F-2C06BD525270}"/>
    <hyperlink ref="B1387" r:id="rId1027" xr:uid="{6C59345C-7673-4CAD-97D4-8D49045728DD}"/>
    <hyperlink ref="B1388" r:id="rId1028" xr:uid="{04F457DA-4385-4199-BABB-18C2C40051AF}"/>
    <hyperlink ref="B1389" r:id="rId1029" xr:uid="{D83E386E-E3E0-4680-AD15-87E13297566F}"/>
    <hyperlink ref="B1390" r:id="rId1030" xr:uid="{768C1967-0C3E-4953-9779-3FA7AC4418DB}"/>
    <hyperlink ref="B1391" r:id="rId1031" xr:uid="{290DDFD2-CC45-4A25-8AFD-9F2817BD4ECD}"/>
    <hyperlink ref="B1392" r:id="rId1032" xr:uid="{30F20F84-B739-4F7A-BE3C-97067736D8A7}"/>
    <hyperlink ref="B1393" r:id="rId1033" xr:uid="{726D97FC-5479-412E-9EB5-CB731DDAECCA}"/>
    <hyperlink ref="B1394" r:id="rId1034" xr:uid="{3ACD992C-5635-4390-97F3-50702BE09C77}"/>
    <hyperlink ref="B1395" r:id="rId1035" display="Achyar 2014" xr:uid="{E7623105-AC82-44E2-AAC6-B9767EBB1FE3}"/>
    <hyperlink ref="B1396" r:id="rId1036" xr:uid="{640993CB-9260-48E3-90E8-41AA93E0C6C1}"/>
    <hyperlink ref="B1397" r:id="rId1037" xr:uid="{2865D96F-8962-42E7-ADCF-60F9C2C2A98F}"/>
    <hyperlink ref="B1398" r:id="rId1038" xr:uid="{BFF38722-1C11-4470-8E6A-3A5962A62EAD}"/>
    <hyperlink ref="B1399" r:id="rId1039" xr:uid="{F631267D-9FB8-4137-A323-F816814B4B01}"/>
    <hyperlink ref="B1400" r:id="rId1040" xr:uid="{BFAFBC05-B474-41A6-87BD-943F947FC8D2}"/>
    <hyperlink ref="B1401" r:id="rId1041" xr:uid="{ED030688-DEAB-4ECA-A5B4-FEF550EDFAFA}"/>
    <hyperlink ref="B1402" r:id="rId1042" xr:uid="{43006636-F6A3-4D7F-8859-A90C8C097123}"/>
    <hyperlink ref="B1403" r:id="rId1043" xr:uid="{84EF799C-B858-45E1-80F8-4F83B4111142}"/>
    <hyperlink ref="B1404" r:id="rId1044" xr:uid="{2309AE16-A35A-4F5F-9BAD-2EE2A9B97EB2}"/>
    <hyperlink ref="B1405" r:id="rId1045" xr:uid="{2652B913-34EA-4711-B4D0-2B676DA1B92C}"/>
    <hyperlink ref="B1406" r:id="rId1046" xr:uid="{B505018A-FC32-4BC9-A392-EA72C83F3204}"/>
    <hyperlink ref="B1407" r:id="rId1047" xr:uid="{FF7F757E-0A44-4AA8-8C5B-6FAD20483C87}"/>
    <hyperlink ref="B1408" r:id="rId1048" display="Hung 2019" xr:uid="{592EA124-8F96-4A76-B2F7-797581509065}"/>
    <hyperlink ref="B1411" r:id="rId1049" xr:uid="{96DF1AC6-5DDB-4353-9CEA-965C767DD54B}"/>
    <hyperlink ref="B1412" r:id="rId1050" xr:uid="{7C3075FE-7E7F-4A7C-ACA5-49CA4B25F90D}"/>
    <hyperlink ref="B1413" r:id="rId1051" xr:uid="{B8427A5F-8B05-4D87-BDCB-BACFEEF0D58E}"/>
    <hyperlink ref="B1414" r:id="rId1052" xr:uid="{7763E58B-BF82-4327-A165-A12822A12D4C}"/>
    <hyperlink ref="B1415" r:id="rId1053" xr:uid="{3A32DD2B-BAC4-491C-ABB3-587FBE9049B3}"/>
    <hyperlink ref="B1416" r:id="rId1054" xr:uid="{472F30A3-56D6-4309-92DD-72BFAE3A31C1}"/>
    <hyperlink ref="B1417" r:id="rId1055" xr:uid="{4A5E8F6E-EF4A-464F-9428-9EBE398C3A0C}"/>
    <hyperlink ref="B1418" r:id="rId1056" xr:uid="{D565F07B-9647-493F-A8A8-37C4123A2885}"/>
    <hyperlink ref="B1419" r:id="rId1057" xr:uid="{24A87B32-D179-46F9-B2D2-E31C3429252D}"/>
    <hyperlink ref="B1420" r:id="rId1058" xr:uid="{7FF9AD97-6420-4D67-9CAE-799C134E060E}"/>
    <hyperlink ref="B1421" r:id="rId1059" xr:uid="{6FEAA4AC-1D6B-4DAB-A6E6-E530F3DDED67}"/>
    <hyperlink ref="B1422" r:id="rId1060" xr:uid="{95599EFE-C252-4A76-8B13-7174CE14F4C1}"/>
    <hyperlink ref="B1423" r:id="rId1061" xr:uid="{5B7B5C45-6E9C-4B7D-8BFD-C73C3BBFB0D9}"/>
    <hyperlink ref="B1424" r:id="rId1062" display="Ubeda 2016" xr:uid="{F9423694-6E9D-4840-9227-683124F4E486}"/>
    <hyperlink ref="B1425:B1439" r:id="rId1063" display="Ubeda 2016" xr:uid="{161C6B38-D3EA-4435-B78C-6861DC99CED2}"/>
    <hyperlink ref="B1440" r:id="rId1064" display="Ubeda 2016" xr:uid="{95068762-9D83-49FD-AA17-3EB4CBCEEA59}"/>
    <hyperlink ref="B1441" r:id="rId1065" display="Ubeda 2016" xr:uid="{2AE42E1F-E359-453A-BFF1-5E5CD2C26424}"/>
    <hyperlink ref="B1442" r:id="rId1066" display="Ubeda 2016" xr:uid="{4B807DB1-A13A-494E-AADD-B3A1E64B888A}"/>
    <hyperlink ref="B1443:B1456" r:id="rId1067" display="Ubeda 2016" xr:uid="{31286213-7162-4EC4-9314-1168CEE7A8F1}"/>
    <hyperlink ref="B1430" r:id="rId1068" display="Ubeda 2016" xr:uid="{0F7A0342-16A0-4324-BAEE-8F54C5922364}"/>
    <hyperlink ref="B1457" r:id="rId1069" display="Ubeda 2016" xr:uid="{CF1AE7FF-045F-463E-A737-5D41CC1B7C2D}"/>
    <hyperlink ref="B1458" r:id="rId1070" xr:uid="{C166E472-8770-4B3C-93AE-45255F090E1A}"/>
    <hyperlink ref="B1459" r:id="rId1071" xr:uid="{8504FB77-19CB-408F-9243-1602E791B43C}"/>
    <hyperlink ref="Q1457" r:id="rId1072" xr:uid="{21393965-1910-417F-A099-14109EA95B55}"/>
    <hyperlink ref="Q1424:Q1456" r:id="rId1073" display="Data from Ubeda complemented with information from secondary data source (CONAF)" xr:uid="{E1A3CA2A-EDEF-476E-AD53-25CEED0F45FF}"/>
    <hyperlink ref="B1460" r:id="rId1074" xr:uid="{B460D824-BA3C-4A4E-89E3-FBBAA4CC75EF}"/>
    <hyperlink ref="B1461" r:id="rId1075" xr:uid="{3FFD5F63-F83F-466F-9463-F5634E8A9EC9}"/>
    <hyperlink ref="B1462" r:id="rId1076" xr:uid="{DE5737A7-29DD-46E3-B54F-FBCDF463663A}"/>
    <hyperlink ref="B1463" r:id="rId1077" display="Bowman et al., 2017" xr:uid="{2C2D25B6-D2C1-4DFD-B6AA-F6A3A3154BF6}"/>
    <hyperlink ref="B1464" r:id="rId1078" xr:uid="{BF42F6E1-9F54-4660-9F8D-4780B4360856}"/>
    <hyperlink ref="B1465" r:id="rId1079" xr:uid="{94D5BE5F-4D13-470D-9BE0-A75484B47582}"/>
    <hyperlink ref="B1466" r:id="rId1080" xr:uid="{3FC882EB-4E2B-4233-8729-95B213DC8618}"/>
    <hyperlink ref="B1467" r:id="rId1081" xr:uid="{CBED6357-7CC9-4722-B67A-5733D23C5C5B}"/>
    <hyperlink ref="B1468" r:id="rId1082" xr:uid="{8A500FAC-7C2B-452D-AF4C-55821A8B3974}"/>
    <hyperlink ref="B1469" r:id="rId1083" xr:uid="{E7E75FE0-534B-426F-9F08-B976CB5363C3}"/>
    <hyperlink ref="B1470" r:id="rId1084" xr:uid="{E1D4ECC8-07C5-4839-AB2C-831B6AE29E8F}"/>
    <hyperlink ref="B1471" r:id="rId1085" xr:uid="{6BE23CBA-9FC7-4097-AF5B-5D570D53ABD8}"/>
    <hyperlink ref="B1472" r:id="rId1086" xr:uid="{9857683D-32AC-4F79-8589-047ABC2F380A}"/>
    <hyperlink ref="B1473" r:id="rId1087" xr:uid="{61231E42-68A1-4C4A-9B09-034F5F6F2BC2}"/>
    <hyperlink ref="B1474" r:id="rId1088" xr:uid="{3A589942-FA7E-4685-9670-6A57FE61C0DC}"/>
    <hyperlink ref="B1475" r:id="rId1089" xr:uid="{8BB8E77E-AD4C-47BB-BB49-6D8C27440C36}"/>
    <hyperlink ref="B1476" r:id="rId1090" xr:uid="{D4FFAA3C-DF61-47E6-827D-2AFC329C8FD3}"/>
    <hyperlink ref="B1477" r:id="rId1091" xr:uid="{8F028212-324F-4994-B5B1-5D38B8EDF0F8}"/>
    <hyperlink ref="B1478" r:id="rId1092" xr:uid="{EE3D0D6C-DC54-4019-A196-569039C60C28}"/>
    <hyperlink ref="B1479" r:id="rId1093" xr:uid="{182F0229-C690-4317-ACA0-D8A18573C3A5}"/>
    <hyperlink ref="B1480" r:id="rId1094" xr:uid="{B64B72B4-5FC6-48F7-B046-C3364A4E2A4A}"/>
    <hyperlink ref="B1481" r:id="rId1095" xr:uid="{14AC0343-874E-44FD-9B33-859434317D5D}"/>
    <hyperlink ref="B1482" r:id="rId1096" xr:uid="{EA2AE20D-C7B6-4112-AFB9-6C4406284752}"/>
    <hyperlink ref="B1483" r:id="rId1097" xr:uid="{25D4EB9B-0B26-45E4-8D83-2392E76A1A2E}"/>
    <hyperlink ref="B1484" r:id="rId1098" xr:uid="{4984D223-AF69-41F6-A190-EA72CAFB3433}"/>
    <hyperlink ref="B1485" r:id="rId1099" xr:uid="{08B48B74-21CB-41F7-A752-320B30F34676}"/>
    <hyperlink ref="B1486" r:id="rId1100" xr:uid="{D1770D18-9149-4321-B2D5-BD0EFED5A8D3}"/>
    <hyperlink ref="B1487" r:id="rId1101" xr:uid="{E847AAA3-8A4C-4C7B-8BBC-065BCD604FA4}"/>
    <hyperlink ref="B1488" r:id="rId1102" xr:uid="{23365151-D43F-406A-BA33-CF17D479684A}"/>
    <hyperlink ref="B1489" r:id="rId1103" xr:uid="{516FF87A-731F-43FE-84E4-5FF92A30A30A}"/>
    <hyperlink ref="B1490" r:id="rId1104" xr:uid="{4E9EE1B8-7239-4627-914D-EDA2BBC1F966}"/>
    <hyperlink ref="B1491:B1494" r:id="rId1105" display="Oyansanaa 2011" xr:uid="{B6C2B312-5F47-4986-B2B3-CBAAF157B344}"/>
    <hyperlink ref="B1495" r:id="rId1106" xr:uid="{DAC36EBE-1783-4B15-81FF-384886E644B9}"/>
    <hyperlink ref="B1496" r:id="rId1107" xr:uid="{965F3DC9-8828-44CD-9596-E3FC17B704C8}"/>
    <hyperlink ref="B1497" r:id="rId1108" xr:uid="{B068F93A-F9A7-40EA-9F24-32DE1240FF84}"/>
    <hyperlink ref="B1498" r:id="rId1109" xr:uid="{A94C088A-E33E-4C22-BD38-B7C20EE48044}"/>
    <hyperlink ref="B1499" r:id="rId1110" xr:uid="{03DF4455-C1C0-4F6C-938B-E79F447F1C65}"/>
    <hyperlink ref="B1500" r:id="rId1111" xr:uid="{7C7ECA6A-B84D-4ADC-9079-99D5C1D6E089}"/>
    <hyperlink ref="B1501" r:id="rId1112" xr:uid="{F3C0C1EC-4C62-4C16-814D-E77D505E9A04}"/>
    <hyperlink ref="B1502" r:id="rId1113" xr:uid="{ABAFCB84-EBEB-426C-A2D2-A8AABECD98C3}"/>
    <hyperlink ref="B1503" r:id="rId1114" xr:uid="{4A6E737C-3A5B-46AE-B2E2-66AA25D9CEFD}"/>
    <hyperlink ref="B1504" r:id="rId1115" xr:uid="{F76AE034-700F-4AE7-82AA-3C1FE3A4261F}"/>
    <hyperlink ref="B1505" r:id="rId1116" xr:uid="{33D5CAF5-855B-4490-8A02-78DDF9155A8B}"/>
    <hyperlink ref="B1506" r:id="rId1117" xr:uid="{960839A6-584D-445E-8AE4-E4BA6D0F5D9D}"/>
    <hyperlink ref="B1507" r:id="rId1118" xr:uid="{13CC551C-9F4D-4B43-A8D5-19626B4FD40A}"/>
    <hyperlink ref="B1508" r:id="rId1119" xr:uid="{1E5FAA09-321A-4771-8B4B-B4AA0D53326D}"/>
    <hyperlink ref="B1509" r:id="rId1120" xr:uid="{9AF14C3F-4F6A-45A0-BE81-DB3404147589}"/>
    <hyperlink ref="B1510" r:id="rId1121" xr:uid="{BC70A655-8533-46A1-8071-A011DA308BC7}"/>
    <hyperlink ref="B1511" r:id="rId1122" xr:uid="{AC64D2D7-F330-463D-BB00-12AE666C7922}"/>
    <hyperlink ref="B1512" r:id="rId1123" xr:uid="{59B8EC6C-0A76-4EDA-81E6-0E5938E308E3}"/>
    <hyperlink ref="B1513" r:id="rId1124" xr:uid="{A776CB35-6A2B-482E-A410-D263CC35E9F3}"/>
    <hyperlink ref="B1514:B1520" r:id="rId1125" display="Singh 2014" xr:uid="{6192EF08-FAC3-4382-BD2A-A5C51882BF96}"/>
    <hyperlink ref="B1515:B1521" r:id="rId1126" display="Singh 2014" xr:uid="{E511CD59-605F-4EF5-90E5-E46E6BE10ABF}"/>
    <hyperlink ref="B1522" r:id="rId1127" xr:uid="{38100C88-E8BC-4E12-BAA7-793A9215581A}"/>
    <hyperlink ref="B1523" r:id="rId1128" xr:uid="{E53BAAA0-5ECF-4380-88F1-6F757B254BEF}"/>
    <hyperlink ref="B1524" r:id="rId1129" xr:uid="{9F023823-B343-4C04-9365-01BCD4B07C2B}"/>
    <hyperlink ref="B1525" r:id="rId1130" xr:uid="{78932BF1-72FF-4972-AA3C-FF42882D2346}"/>
    <hyperlink ref="B1526" r:id="rId1131" xr:uid="{2F502549-4BA7-40EB-B3A4-2B41FCEE9039}"/>
    <hyperlink ref="B1527" r:id="rId1132" xr:uid="{54CE9B64-A29F-4AD9-97F9-AAA0622E8725}"/>
    <hyperlink ref="B1528" r:id="rId1133" xr:uid="{ED596AA6-B458-489A-8742-EFB617930AE6}"/>
    <hyperlink ref="B1529" r:id="rId1134" xr:uid="{A0E9BD2B-FB33-4E98-9BD2-B37F60C2BA39}"/>
    <hyperlink ref="B1530" r:id="rId1135" xr:uid="{319F1AC9-A495-466C-8C37-01DB46FE4F08}"/>
    <hyperlink ref="B1531" r:id="rId1136" xr:uid="{A9D857AC-030A-4B01-803C-370FFDAB6D75}"/>
    <hyperlink ref="B1532" r:id="rId1137" xr:uid="{D8FB3C5F-F0AC-464E-9F9D-A26B6F0A03A5}"/>
    <hyperlink ref="B1533:B1550" r:id="rId1138" display="Shearman 2009" xr:uid="{FF49B8E0-DBE9-40B5-8794-CAA7AFF2DBC0}"/>
    <hyperlink ref="B1545" r:id="rId1139" xr:uid="{823CF1F9-B9D2-4A06-AAEA-F8B6782C45B2}"/>
    <hyperlink ref="B1551" r:id="rId1140" xr:uid="{BA261539-2C54-445B-8267-4D305610EDE6}"/>
    <hyperlink ref="B1552" r:id="rId1141" xr:uid="{2EC1CA8A-A1D5-49E8-8D6B-C7D390F0E497}"/>
    <hyperlink ref="B1553" r:id="rId1142" xr:uid="{3F0A8E28-97B7-4A0A-8F65-7252B969C658}"/>
    <hyperlink ref="B1554" r:id="rId1143" xr:uid="{60471037-41AA-46D8-93AB-5C07A3D8C526}"/>
    <hyperlink ref="B1555" r:id="rId1144" display="Schmerbeck 2015" xr:uid="{2C3029B4-99C0-4B59-AA61-754450E763B2}"/>
    <hyperlink ref="B1556" r:id="rId1145" display="Seijo 2013 " xr:uid="{5E1CC3EA-34E6-45AE-98D9-0B03424D563B}"/>
    <hyperlink ref="B1558" r:id="rId1146" xr:uid="{AD46AB9A-5662-4D4F-88CC-C907A7F3A811}"/>
    <hyperlink ref="B1559" r:id="rId1147" location="page_scan_tab_contents" display="Saha " xr:uid="{BDF79C37-06E7-4ED1-BC7A-42B1341C6BA5}"/>
    <hyperlink ref="B1560" r:id="rId1148" xr:uid="{FAEDBD9E-7E3E-4DBE-A078-C76BD2FBD565}"/>
    <hyperlink ref="B1561" r:id="rId1149" xr:uid="{FE6AE0B4-CB9A-4B43-A644-E2AD17409266}"/>
    <hyperlink ref="B1562" r:id="rId1150" xr:uid="{90D7C87F-34D8-424B-9899-EC60240ED6E0}"/>
    <hyperlink ref="B1563" r:id="rId1151" xr:uid="{7B7DA9C5-944D-460C-B71C-86AD33173674}"/>
    <hyperlink ref="B1564" r:id="rId1152" xr:uid="{563D218A-25A2-48A3-A1C6-B1DE46E84736}"/>
    <hyperlink ref="B1565" r:id="rId1153" display="Fan 2010" xr:uid="{B42BFBF9-85DD-45F7-AC23-50B20A309742}"/>
    <hyperlink ref="B1566" r:id="rId1154" display="Fan 2010" xr:uid="{71AD5303-C523-48F8-A994-0838F5E77D66}"/>
    <hyperlink ref="B1568" r:id="rId1155" xr:uid="{6E1FA1C8-06B1-4C25-97A9-FDC4F1977027}"/>
    <hyperlink ref="B1569" r:id="rId1156" xr:uid="{7393C88C-FE14-499F-AC01-574B52AFE7BB}"/>
    <hyperlink ref="B1570" r:id="rId1157" xr:uid="{EA9F290A-4B0D-4DCA-B90D-4A3EF89C9E3D}"/>
    <hyperlink ref="B1571" r:id="rId1158" xr:uid="{4B222EDD-5A68-4092-8DBD-B842084C271A}"/>
    <hyperlink ref="B1572" r:id="rId1159" xr:uid="{5FDAFCAF-6F39-45E4-A7BB-EDC4E0B1CD18}"/>
    <hyperlink ref="B1573" r:id="rId1160" xr:uid="{6CF73A3E-FD2A-49FF-8837-38267C8FAD06}"/>
    <hyperlink ref="B1574" r:id="rId1161" xr:uid="{C44D6E1B-8B92-467F-BD13-21529B83215C}"/>
    <hyperlink ref="B1575" r:id="rId1162" xr:uid="{36E1DF03-A92F-4CCA-A8A7-918ABECADCE5}"/>
    <hyperlink ref="B1576" r:id="rId1163" display="Tang 2012" xr:uid="{03C74943-4109-4305-97FF-2AA796993F4C}"/>
    <hyperlink ref="B1577" r:id="rId1164" xr:uid="{296BC59A-B482-4B3A-90EF-E6C73C5F1350}"/>
    <hyperlink ref="B1578" r:id="rId1165" xr:uid="{86F56BEA-AC38-4405-A999-4C69F4394577}"/>
    <hyperlink ref="B1579" r:id="rId1166" xr:uid="{D1D83654-671E-48B8-B700-47D96B3B7D76}"/>
    <hyperlink ref="B1580" r:id="rId1167" display="North 2012" xr:uid="{1E82F95C-CC3C-40E2-9E72-2B3AFEB51C9D}"/>
    <hyperlink ref="B1581" r:id="rId1168" display="North 2012" xr:uid="{A9B2183C-3EC1-4B38-934E-0499D05A0F8F}"/>
    <hyperlink ref="B1582" r:id="rId1169" display="North 2012" xr:uid="{63429C3D-A0AD-4B42-AFB7-EF46595EC9D0}"/>
    <hyperlink ref="B1583" r:id="rId1170" display="North 2012" xr:uid="{2ABF728B-CB28-48E8-B08B-8D5F6C6A6D3D}"/>
    <hyperlink ref="B1584" r:id="rId1171" display="North 2012" xr:uid="{92E38CF4-DE78-409A-94CD-905159E60741}"/>
    <hyperlink ref="B1585" r:id="rId1172" xr:uid="{64BF550C-D9C5-4EED-9481-E9AFDCA29BC8}"/>
    <hyperlink ref="B1586" r:id="rId1173" xr:uid="{01E5E707-290F-438A-9D8B-F6E20D42106D}"/>
    <hyperlink ref="B1587" r:id="rId1174" xr:uid="{CB1161DC-9E60-422B-84D2-852B0609283D}"/>
    <hyperlink ref="B1588" r:id="rId1175" xr:uid="{0BB1C437-8ADB-45A0-97F5-564DE0DC98F6}"/>
    <hyperlink ref="B1589" r:id="rId1176" xr:uid="{806E1E0C-115F-4FCC-840D-E5F276DA5BD0}"/>
    <hyperlink ref="B1590" r:id="rId1177" xr:uid="{FBD23B16-D9D5-46E8-9972-123EE76A8E49}"/>
    <hyperlink ref="B1591" r:id="rId1178" xr:uid="{0D2B150D-7614-40C9-AAD7-3FE8945213AE}"/>
    <hyperlink ref="B1592" r:id="rId1179" xr:uid="{D6363BEA-0504-44C1-A150-E209F3651CF8}"/>
    <hyperlink ref="B1593" r:id="rId1180" xr:uid="{EE7DD503-53FC-4151-8498-C0F57A7B8CA1}"/>
    <hyperlink ref="B1594" r:id="rId1181" xr:uid="{1ADBDDB3-A3D1-45CC-8E4A-738E787C06E4}"/>
    <hyperlink ref="B1595" r:id="rId1182" xr:uid="{182FD31E-FE8B-44BF-8F40-CC4E7BD7082B}"/>
    <hyperlink ref="B1596" r:id="rId1183" xr:uid="{96B9833F-8D25-4D45-8DA7-4A391CAF5CDF}"/>
    <hyperlink ref="B1597" r:id="rId1184" display="Giradin 2013" xr:uid="{4D6A1EEA-C37E-41C5-94C1-BF22D9813BAE}"/>
    <hyperlink ref="B1598" r:id="rId1185" display="Silva 2010" xr:uid="{1653F2BD-C11A-4055-B034-AA4319EC4D6D}"/>
    <hyperlink ref="B1599" r:id="rId1186" display="Silva 2010" xr:uid="{4CB5AF5E-CE1A-43E4-ADA5-6863657BE636}"/>
    <hyperlink ref="B1600" r:id="rId1187" display="Silva 2010" xr:uid="{94BB9A76-4EBE-4EBA-BA7D-E71A56A9528A}"/>
    <hyperlink ref="B1601" r:id="rId1188" display="Silva 2010" xr:uid="{DBCA0662-C064-44A9-9586-266DDBB12883}"/>
    <hyperlink ref="B1602" r:id="rId1189" xr:uid="{51E52E7D-47E6-4E61-9A86-BAEF7BBF5148}"/>
    <hyperlink ref="B1603" r:id="rId1190" display="BBC News" xr:uid="{E3F68E7D-6349-47DD-A31C-355AF3A325D8}"/>
    <hyperlink ref="B1604" r:id="rId1191" xr:uid="{E93C7E24-8081-48F7-A9B2-C2CBBC565B38}"/>
    <hyperlink ref="B1605" r:id="rId1192" xr:uid="{69512F09-F448-4901-B941-6DA280600545}"/>
    <hyperlink ref="B1606" r:id="rId1193" xr:uid="{F637D799-E3B7-4515-AC4D-9DF192B44126}"/>
    <hyperlink ref="B1607:B1608" r:id="rId1194" display="Cardille 2001" xr:uid="{A4D923E7-D216-49A7-8044-F027F9DAFB20}"/>
    <hyperlink ref="B1609" r:id="rId1195" xr:uid="{9D6D5DAD-9807-43F9-8CA6-1F8C850C4633}"/>
    <hyperlink ref="B1610" r:id="rId1196" xr:uid="{7C9D7ED1-C577-4A70-8C40-0525AB9C2420}"/>
    <hyperlink ref="B1611" r:id="rId1197" xr:uid="{83870FA9-137B-49DB-A0E4-555E59C0690C}"/>
    <hyperlink ref="B1612" r:id="rId1198" xr:uid="{936A2500-9FEB-4288-9703-52BFFEA24651}"/>
    <hyperlink ref="B1613" r:id="rId1199" xr:uid="{F5A35826-BF25-49FD-BDFF-DC40225CE703}"/>
    <hyperlink ref="B1614" r:id="rId1200" xr:uid="{2A29A859-DDE6-4EFA-8002-612921481A8D}"/>
    <hyperlink ref="B1615" r:id="rId1201" xr:uid="{9266C37A-3EFF-41D2-AC87-44A7BA03143A}"/>
    <hyperlink ref="B1616" r:id="rId1202" xr:uid="{F729F4E3-2E65-4087-838F-2DC3719432A7}"/>
    <hyperlink ref="B1617" r:id="rId1203" xr:uid="{F6DED922-8D51-4B3F-9342-F1E79EB54CC2}"/>
    <hyperlink ref="B1618" r:id="rId1204" xr:uid="{71AC9563-52E2-4591-BDBE-CE0208F891D6}"/>
    <hyperlink ref="B1619" r:id="rId1205" xr:uid="{C7076064-BF79-456F-891A-F72ED07A62BB}"/>
    <hyperlink ref="B1620" r:id="rId1206" xr:uid="{24A0969B-80C8-42EC-92E8-B130B9F2D8BF}"/>
    <hyperlink ref="B1621" r:id="rId1207" xr:uid="{5E258A58-5382-4287-962A-F351D5C8D6D3}"/>
    <hyperlink ref="B1622" r:id="rId1208" xr:uid="{D72248A0-07D5-4A9B-8705-C4D688EA0C72}"/>
    <hyperlink ref="B1623" r:id="rId1209" xr:uid="{685BC633-DF22-496D-8528-C182A2561D4F}"/>
    <hyperlink ref="B1624" r:id="rId1210" xr:uid="{160BACE6-643B-428C-8851-F2CEAD5ED025}"/>
    <hyperlink ref="B1625" r:id="rId1211" xr:uid="{7F429A28-A7D9-4E73-894A-1694593B76AC}"/>
    <hyperlink ref="B1626" r:id="rId1212" xr:uid="{9354DF4D-4A8F-4359-B5B6-F4DC29CD88DB}"/>
    <hyperlink ref="B1627" r:id="rId1213" xr:uid="{9E00E58A-FC5F-4426-A355-A2B80D89C1F7}"/>
    <hyperlink ref="B1628" r:id="rId1214" xr:uid="{87094A2A-EA5A-44EB-ABEC-E66AFC503AB8}"/>
    <hyperlink ref="B1629" r:id="rId1215" xr:uid="{043958B5-D73F-4F1B-B44C-18B75BE03800}"/>
    <hyperlink ref="B1630" r:id="rId1216" xr:uid="{AE778FE5-9584-4433-BE4C-F81C0F6399A2}"/>
    <hyperlink ref="B1631" r:id="rId1217" xr:uid="{D1A8519D-954B-42BF-85AB-305D84A81B84}"/>
    <hyperlink ref="B1632" r:id="rId1218" xr:uid="{098452E0-8E43-45AC-9E01-718D43EC4DA1}"/>
    <hyperlink ref="B1633" r:id="rId1219" xr:uid="{7A1B9348-B19B-45DD-BE21-C6E099ADD620}"/>
    <hyperlink ref="B1634" r:id="rId1220" xr:uid="{C9B66D33-EA5B-45F1-817B-65E8D265DB23}"/>
    <hyperlink ref="B1635" r:id="rId1221" xr:uid="{CF7F7548-F76F-48E9-AEA5-CD4835274696}"/>
    <hyperlink ref="B1636" r:id="rId1222" xr:uid="{9F874777-FC4A-424D-9448-71C7BB62F81A}"/>
    <hyperlink ref="B1637" r:id="rId1223" xr:uid="{B2952372-FA40-4950-AFCD-0836D9FFF910}"/>
    <hyperlink ref="B1638" r:id="rId1224" xr:uid="{A98EA1BC-3A21-41B1-B301-62DA55BB50A5}"/>
    <hyperlink ref="B1639" r:id="rId1225" display="Clifford 2016" xr:uid="{775FD338-8855-4192-89E0-F71E667AAF35}"/>
    <hyperlink ref="B1640" r:id="rId1226" xr:uid="{1BA231EA-C3D8-46A3-A5A0-6134B8C21A66}"/>
    <hyperlink ref="B1724" r:id="rId1227" xr:uid="{D17B0315-9908-41CC-973A-F6800981AEA3}"/>
    <hyperlink ref="B1725" r:id="rId1228" xr:uid="{ACFD73CC-852C-431E-B9F2-5145AE019ACE}"/>
    <hyperlink ref="B1726" r:id="rId1229" xr:uid="{A43B019A-E5BE-4861-AFED-7D6BEF7F2384}"/>
    <hyperlink ref="B1641" r:id="rId1230" xr:uid="{92C7FBA7-7B33-498C-AFEB-0FEE1195F182}"/>
    <hyperlink ref="B1642" r:id="rId1231" xr:uid="{94F7C6B0-2323-4CE7-AD33-9CB5990AD0B3}"/>
    <hyperlink ref="B1643" r:id="rId1232" xr:uid="{71ED2EBD-C6F7-451E-8E7A-8AB3F65F67D8}"/>
    <hyperlink ref="B1644" r:id="rId1233" xr:uid="{F1FE3363-0355-41D8-8F35-81BBECB5AFB3}"/>
    <hyperlink ref="B1645" r:id="rId1234" xr:uid="{059D857D-2580-48E9-A4B1-8A2A0B509753}"/>
    <hyperlink ref="B1646" r:id="rId1235" xr:uid="{B3FA25B1-DD34-4E78-9C54-A6A3985BAECB}"/>
    <hyperlink ref="B1647" r:id="rId1236" xr:uid="{7F87AD47-E23F-43F0-AA8F-DA0163BF99BF}"/>
    <hyperlink ref="B1648" r:id="rId1237" xr:uid="{7D0821BD-9AF9-4A6A-974A-FB653AD2927E}"/>
    <hyperlink ref="B1649" r:id="rId1238" xr:uid="{F541CB9B-D130-4F64-A99A-F3B933BFC1DA}"/>
    <hyperlink ref="B1650" r:id="rId1239" xr:uid="{A39CC3B1-EDF0-4EAB-8BF3-38FF5810C3A1}"/>
    <hyperlink ref="B1651" r:id="rId1240" xr:uid="{29168FFD-1EDE-4736-9D7C-6AB8E4AEB2FA}"/>
    <hyperlink ref="B1652" r:id="rId1241" xr:uid="{64755150-E00D-4B0F-8485-940BBEBDBE58}"/>
    <hyperlink ref="B1653" r:id="rId1242" xr:uid="{A62CA501-E545-4501-83C6-B0253F36200B}"/>
    <hyperlink ref="B1654" r:id="rId1243" xr:uid="{887DFDD9-D704-4E1C-882E-61D0252AF6A0}"/>
    <hyperlink ref="B1655" r:id="rId1244" xr:uid="{4F1CEAA2-41CF-4C79-BA04-49488CEB50CD}"/>
    <hyperlink ref="B1656" r:id="rId1245" xr:uid="{CCE94532-544B-434B-95E1-5D52AD61F9BD}"/>
    <hyperlink ref="B1657" r:id="rId1246" xr:uid="{ECBA030B-4FFC-435E-AEF7-7522368B758B}"/>
    <hyperlink ref="B1658" r:id="rId1247" xr:uid="{4B94D579-FF72-4362-9C9A-A3F957CC2688}"/>
    <hyperlink ref="B1659" r:id="rId1248" xr:uid="{35A7DF81-7B08-4FE9-93F7-BF48B13B4E4C}"/>
    <hyperlink ref="B1660" r:id="rId1249" xr:uid="{9292D36E-F0DD-47B0-A805-9B359ED5F440}"/>
    <hyperlink ref="B1661" r:id="rId1250" xr:uid="{F9D6E7B4-C584-4897-95F4-80A344052CD6}"/>
    <hyperlink ref="B1662" r:id="rId1251" xr:uid="{38804FD6-2EAC-4D5F-9EB4-6FFC9D241F6D}"/>
    <hyperlink ref="B1663" r:id="rId1252" xr:uid="{D32134DA-7D1E-439B-BA96-FCE405266291}"/>
    <hyperlink ref="B1664" r:id="rId1253" xr:uid="{B426BC10-4A3A-47D9-8D2B-6C2D6FACED95}"/>
    <hyperlink ref="B1665" r:id="rId1254" xr:uid="{D5CE56BE-0569-43C0-9532-58C34DB6759A}"/>
    <hyperlink ref="B1666" r:id="rId1255" xr:uid="{C48CE3B9-C129-4C7A-8242-C4F79B806419}"/>
    <hyperlink ref="B1667" r:id="rId1256" xr:uid="{D43EE325-A904-44E4-83B2-91B571023F0B}"/>
    <hyperlink ref="B1668" r:id="rId1257" xr:uid="{0397EF17-1156-446E-8D37-B6E4368CB501}"/>
    <hyperlink ref="B1669" r:id="rId1258" xr:uid="{6D3F61B2-9DCB-4C75-AB38-CF52A3993FE0}"/>
    <hyperlink ref="B1670" r:id="rId1259" xr:uid="{DA3E684E-D21F-4646-B697-9A20B0D6E440}"/>
    <hyperlink ref="B1671" r:id="rId1260" xr:uid="{7EC72735-C52F-4DAA-8392-45E800302D21}"/>
    <hyperlink ref="B1672" r:id="rId1261" xr:uid="{43D74A64-BE1E-4F12-BC0C-912915979EB6}"/>
    <hyperlink ref="B1673" r:id="rId1262" xr:uid="{850AED6C-BE99-4EFD-8016-3770FE0D0530}"/>
    <hyperlink ref="B1674" r:id="rId1263" xr:uid="{1A712C6A-20FB-40F2-B3D6-8EF8D59C76BF}"/>
    <hyperlink ref="B1675" r:id="rId1264" xr:uid="{5A67DE5E-3C7F-4647-BEB7-E508961B2489}"/>
    <hyperlink ref="B1676" r:id="rId1265" xr:uid="{893BBA8A-6EB7-4AFF-B8EA-84E345357637}"/>
    <hyperlink ref="B1677" r:id="rId1266" xr:uid="{148B0524-FDDF-4D16-B21F-C9CBAD77E7CB}"/>
    <hyperlink ref="B1678" r:id="rId1267" xr:uid="{72762A56-AAF8-4667-9C1D-211F0A393DCB}"/>
    <hyperlink ref="B1679" r:id="rId1268" xr:uid="{F80C391E-5F16-4808-BB43-46A3D68DFA6A}"/>
    <hyperlink ref="B1680" r:id="rId1269" xr:uid="{B2632CB8-2A8B-4D52-998F-6F67EB02BA7A}"/>
    <hyperlink ref="B1681" r:id="rId1270" xr:uid="{C78480D8-3F85-48CE-B637-1B61C4BCACD0}"/>
    <hyperlink ref="B1682" r:id="rId1271" xr:uid="{42E729AF-1B4F-4F90-B86D-89EAB8BD76DE}"/>
    <hyperlink ref="B1683" r:id="rId1272" xr:uid="{069C191E-09D8-4DE1-AF69-4F6691FF4DF4}"/>
    <hyperlink ref="B1684" r:id="rId1273" xr:uid="{8DE261D2-2091-42B4-8179-2DB4D631C6EA}"/>
    <hyperlink ref="B1685" r:id="rId1274" xr:uid="{053386E3-743B-45F9-A7DA-08133C976F40}"/>
    <hyperlink ref="B1686" r:id="rId1275" xr:uid="{58128FF2-0A91-45F7-BD04-24127F942292}"/>
    <hyperlink ref="B1687" r:id="rId1276" xr:uid="{850D8743-96FF-486A-A999-F6073BDDF124}"/>
    <hyperlink ref="B1688" r:id="rId1277" xr:uid="{99E12700-3885-48BD-B0F5-85AC3E42BCB6}"/>
    <hyperlink ref="B1689" r:id="rId1278" xr:uid="{BACFD686-C7B1-4D93-8AC8-618CBC4AFE1B}"/>
    <hyperlink ref="B1690" r:id="rId1279" xr:uid="{2F6E1287-9980-44E1-B173-C4A4E14963CC}"/>
    <hyperlink ref="B1691" r:id="rId1280" xr:uid="{9BF3BC34-473C-4734-956D-EBDC1DB2D68F}"/>
    <hyperlink ref="B1692" r:id="rId1281" xr:uid="{01730F76-A8DD-4345-A225-DB174CED480A}"/>
    <hyperlink ref="B1693" r:id="rId1282" xr:uid="{DAEA8DB5-B80A-4DC5-AD3E-8799C3910D28}"/>
    <hyperlink ref="B1694" r:id="rId1283" xr:uid="{1393B482-5BD9-455A-B846-4073431C33C3}"/>
    <hyperlink ref="B1695" r:id="rId1284" xr:uid="{30B38A17-9184-429F-9A91-C3AFC5B498C3}"/>
    <hyperlink ref="B1696" r:id="rId1285" xr:uid="{7D749B88-2840-4727-8BFC-1C4C18CD7FBA}"/>
    <hyperlink ref="B1697" r:id="rId1286" xr:uid="{61C8C797-9823-4CC3-8672-F72AAFE8A34C}"/>
    <hyperlink ref="B1698" r:id="rId1287" xr:uid="{19EFD14F-E113-4D83-AC4E-C3DF613B3436}"/>
    <hyperlink ref="B1699" r:id="rId1288" xr:uid="{2A61E909-7695-484D-A60D-107F59F6CA83}"/>
    <hyperlink ref="B1700" r:id="rId1289" xr:uid="{0DC5C39E-3BFD-4653-A04C-0F155AC2D98B}"/>
    <hyperlink ref="B1701" r:id="rId1290" xr:uid="{AB61C427-1530-44B0-BA53-B129F9E45949}"/>
    <hyperlink ref="B1702" r:id="rId1291" xr:uid="{9F58D840-4027-48D7-AB53-DE037B025035}"/>
    <hyperlink ref="B1703" r:id="rId1292" xr:uid="{79C0154D-7C69-4FFE-B1D4-F076805F4F5C}"/>
    <hyperlink ref="B1704" r:id="rId1293" xr:uid="{F0BA749F-0192-4D3D-B2E2-A1C62D601A3C}"/>
    <hyperlink ref="B1705" r:id="rId1294" xr:uid="{CF40A515-09A2-4F75-AEFF-30BA38A9E36B}"/>
    <hyperlink ref="B1706" r:id="rId1295" xr:uid="{EFE5C508-5909-4581-B75A-9915F9600B36}"/>
    <hyperlink ref="B1707" r:id="rId1296" xr:uid="{CB300966-A4FA-48A0-A35B-9C90CFCEEDA8}"/>
    <hyperlink ref="B1708" r:id="rId1297" xr:uid="{C6353BD7-E6C6-4E7C-A26B-85D03F4B41B2}"/>
    <hyperlink ref="B1709" r:id="rId1298" xr:uid="{BF67A364-D208-473F-B99A-B9603E25EDDE}"/>
    <hyperlink ref="B1710" r:id="rId1299" xr:uid="{AD19AE9A-C431-4DBD-AF3C-E7F0279E9429}"/>
    <hyperlink ref="B1711" r:id="rId1300" xr:uid="{F4803853-2F85-43E2-A51F-0974E77403FE}"/>
    <hyperlink ref="B1712" r:id="rId1301" xr:uid="{0A5DEC96-E6DE-47FD-9BCF-D58CEF52A180}"/>
    <hyperlink ref="B1713" r:id="rId1302" xr:uid="{83B72BCA-AC3E-4C15-9B06-A6D926CC5D7A}"/>
    <hyperlink ref="B1714" r:id="rId1303" xr:uid="{1F43798D-12F0-45AB-9F57-B894EDC98D72}"/>
    <hyperlink ref="B1715" r:id="rId1304" xr:uid="{9E0707EF-CAA0-408F-A796-A240701E3947}"/>
    <hyperlink ref="B1716" r:id="rId1305" xr:uid="{E5214272-8823-4DAC-9662-89823A76E5AE}"/>
    <hyperlink ref="B1717" r:id="rId1306" xr:uid="{B6F4A102-27C3-44B3-8BAE-344A66640A27}"/>
    <hyperlink ref="B1718" r:id="rId1307" xr:uid="{875E19DE-5A48-4DAE-A0C2-1BB8A3C7D48C}"/>
    <hyperlink ref="B1719" r:id="rId1308" xr:uid="{B4A93886-5677-4087-B462-9DBDDBB10807}"/>
    <hyperlink ref="B1720" r:id="rId1309" xr:uid="{6FFD6063-4BDC-4897-A636-CEFA95AE1969}"/>
    <hyperlink ref="B1721" r:id="rId1310" xr:uid="{E40FAB93-45DF-46C2-9A8C-8F8A54689E2F}"/>
    <hyperlink ref="B1722" r:id="rId1311" xr:uid="{195A714E-A534-454C-B11A-59F6EE11BB9E}"/>
    <hyperlink ref="B1723" r:id="rId1312" xr:uid="{1D0875B3-C664-40FB-9202-B6E4D87A71D6}"/>
    <hyperlink ref="B1727" r:id="rId1313" xr:uid="{4684FAF8-4A3F-4B29-A377-D1BF56910F52}"/>
    <hyperlink ref="B1728" r:id="rId1314" xr:uid="{BF47EDF4-6C98-4C1D-9DCF-37663BBE3EFF}"/>
    <hyperlink ref="B1729" r:id="rId1315" display="de Torres Curth" xr:uid="{AD36401A-AC66-4432-BF59-A6D64F1926F1}"/>
    <hyperlink ref="B1730" r:id="rId1316" xr:uid="{42457582-3EF3-4660-B4FC-2984141C0F77}"/>
    <hyperlink ref="B1731" r:id="rId1317" xr:uid="{9D3174E4-EB89-45CF-B98C-B70061358D63}"/>
    <hyperlink ref="B1732" r:id="rId1318" xr:uid="{CC27DA58-F13F-4E3A-9AA9-C5D135F21F29}"/>
    <hyperlink ref="B1733" r:id="rId1319" xr:uid="{5D791A19-BA79-4218-BA75-A6F2654953E3}"/>
    <hyperlink ref="B1734" r:id="rId1320" xr:uid="{32321FFE-1F7C-4A54-9AFF-A456824A0ACA}"/>
    <hyperlink ref="B1735" r:id="rId1321" xr:uid="{51EE41AF-8FA3-4619-A78C-A1A1CFA7DB97}"/>
    <hyperlink ref="B1736" r:id="rId1322" xr:uid="{2B0E8753-2ED5-4E45-8495-2984258A7D1F}"/>
    <hyperlink ref="B1737" r:id="rId1323" xr:uid="{8AF9DB5A-5C26-4616-B62F-8A1F4F1A7226}"/>
    <hyperlink ref="B1738" r:id="rId1324" xr:uid="{20E2057E-6662-4570-AAA7-CB9A2A96A4F3}"/>
    <hyperlink ref="B1739" r:id="rId1325" xr:uid="{AD8A576E-B8E5-40DA-B253-1014EC9497F1}"/>
    <hyperlink ref="B1740" r:id="rId1326" xr:uid="{ED1664F0-F5AC-47BD-98D2-7EC42919586F}"/>
    <hyperlink ref="B1741:B1742" r:id="rId1327" display="Spencer 2015" xr:uid="{F3F839BC-96A4-4043-AA44-A81DACAEB501}"/>
    <hyperlink ref="B1743" r:id="rId1328" xr:uid="{28806715-F7EB-41DA-8C19-031B0189B7F2}"/>
    <hyperlink ref="B1746" r:id="rId1329" xr:uid="{55E29D68-782F-4891-9F6F-6D78D4BC193D}"/>
    <hyperlink ref="B1747" r:id="rId1330" xr:uid="{26F30552-68D5-4C2D-8B80-B51EBF0BA2AC}"/>
    <hyperlink ref="B1748" r:id="rId1331" xr:uid="{52506973-5EC8-410E-8BEE-A0E16756BF51}"/>
    <hyperlink ref="B1749" r:id="rId1332" xr:uid="{E57F8610-FB1E-491F-9FFD-B76B5DDB3F1D}"/>
    <hyperlink ref="B1750" r:id="rId1333" xr:uid="{D0792AD0-F34A-44AC-AEFC-B7E526A53CBF}"/>
    <hyperlink ref="B1744" r:id="rId1334" xr:uid="{F2DE5661-22D2-45D7-844F-3B1FA5708F8A}"/>
    <hyperlink ref="B1745" r:id="rId1335" xr:uid="{6976B053-DE66-4136-836A-7AFF17515B4C}"/>
    <hyperlink ref="B1754" r:id="rId1336" xr:uid="{EDFD25FB-7012-4D2E-A5FB-43B2943D30C4}"/>
    <hyperlink ref="B1755" r:id="rId1337" xr:uid="{7474FBCC-4289-4BCE-BA83-09319E8D0670}"/>
    <hyperlink ref="B1756" r:id="rId1338" xr:uid="{BEADE22E-DCEB-4206-B9F9-8827073F3758}"/>
    <hyperlink ref="B1757" r:id="rId1339" xr:uid="{2A32496A-C2B6-4F08-A2DA-4C4347F9B877}"/>
    <hyperlink ref="B1758" r:id="rId1340" xr:uid="{9ACE9303-97B5-4075-9FA4-7540BD1B2089}"/>
    <hyperlink ref="B1759" r:id="rId1341" xr:uid="{8E957167-7A5A-4BD3-9655-D25F09F81E31}"/>
    <hyperlink ref="B1760" r:id="rId1342" xr:uid="{BF7AD95D-37C2-4B01-9A57-111DE9CA6B16}"/>
    <hyperlink ref="B1761" r:id="rId1343" xr:uid="{11DFC163-5458-459D-8A4E-9E50134DB827}"/>
    <hyperlink ref="B1762" r:id="rId1344" xr:uid="{D503A46C-F3A8-4B2E-86CD-CD136745609C}"/>
    <hyperlink ref="B1763" r:id="rId1345" xr:uid="{7464E6F7-7860-4F18-945B-BBCF11E8FD73}"/>
    <hyperlink ref="B1764" r:id="rId1346" xr:uid="{D5FF6E15-FC9A-4653-B000-2549FB077967}"/>
    <hyperlink ref="B1765" r:id="rId1347" xr:uid="{7F4A275F-E152-4C13-B599-D193AB654F18}"/>
    <hyperlink ref="B1751" r:id="rId1348" xr:uid="{E1307E91-C1D1-4AA1-BF4F-B61FCF998DBE}"/>
    <hyperlink ref="B1752:B1753" r:id="rId1349" display="Wittenberg 2015" xr:uid="{98004629-A9EA-4D7F-97D4-D08BE85CBB73}"/>
    <hyperlink ref="B1766" r:id="rId1350" xr:uid="{80F95890-E410-4D8A-847B-D87F79F0B74E}"/>
    <hyperlink ref="B1767" r:id="rId1351" xr:uid="{3B14A7B2-304F-408F-AF32-D636D219106F}"/>
    <hyperlink ref="B1768" r:id="rId1352" xr:uid="{0404D531-4078-4737-A5A4-968D7FBD421C}"/>
    <hyperlink ref="B1769" r:id="rId1353" xr:uid="{A9AD420E-DC14-4A36-9966-638BA5C4367D}"/>
    <hyperlink ref="B1770" r:id="rId1354" xr:uid="{A6B6D173-7390-468B-9F7D-ABECE82D5EAE}"/>
    <hyperlink ref="B1771" r:id="rId1355" xr:uid="{321721B1-9A7A-464B-8523-2EE2C3FCD4F5}"/>
    <hyperlink ref="B1772" r:id="rId1356" display="Chas-Amil 2013" xr:uid="{76BDB1D1-DBA3-4146-9FE2-6FCADE30C96F}"/>
    <hyperlink ref="B1557" r:id="rId1357" display="Seijo 2013 " xr:uid="{B246EC93-61E7-4C3B-9B98-2C705499A674}"/>
    <hyperlink ref="B1773" r:id="rId1358" xr:uid="{BE0DD39F-6A14-41D6-8782-8B5AF8574324}"/>
    <hyperlink ref="B1774" r:id="rId1359" xr:uid="{ECDAF8C5-EE95-4375-88C7-D014C95D2EBB}"/>
    <hyperlink ref="B1775" r:id="rId1360" xr:uid="{C94C5E0E-13D0-4B61-B4A6-C29FBBC13923}"/>
    <hyperlink ref="B1776" r:id="rId1361" xr:uid="{FC23A24E-9028-4EFB-9FAF-F1F20F31A1C1}"/>
    <hyperlink ref="B1777" r:id="rId1362" xr:uid="{1A0D8267-AFBD-455F-A467-CAED31140DB1}"/>
    <hyperlink ref="B1778" r:id="rId1363" xr:uid="{4CB1A987-B4A4-4B96-8231-B0933B3361FC}"/>
    <hyperlink ref="B1779" r:id="rId1364" xr:uid="{4701A1CB-BB7F-48F9-952A-32DF9D0B603E}"/>
    <hyperlink ref="B1028" r:id="rId1365" xr:uid="{C2C4B437-E3A1-4E43-8488-132528ADAFAC}"/>
    <hyperlink ref="B1029" r:id="rId1366" xr:uid="{ADB612A0-D656-4C55-9F3A-2E7D69391DC3}"/>
    <hyperlink ref="B1030" r:id="rId1367" xr:uid="{55F18AA0-300C-4B09-BA3C-AF19F6EB738C}"/>
    <hyperlink ref="B1031" r:id="rId1368" xr:uid="{8F59293E-ABF1-4066-B0F8-0CC42AA56D7E}"/>
    <hyperlink ref="B1032" r:id="rId1369" xr:uid="{3E9058F8-2EBE-4C62-BFFE-8DB4AF3A0FFD}"/>
    <hyperlink ref="B1033" r:id="rId1370" xr:uid="{AC811535-64A8-4121-9ED3-A9CC003D0376}"/>
    <hyperlink ref="B1784" r:id="rId1371" xr:uid="{E3942380-1B9D-4DC6-90DD-3F8E063F11DF}"/>
    <hyperlink ref="B1786" r:id="rId1372" xr:uid="{B2AFCC18-E0E6-485E-B7F2-0A246F6CC565}"/>
    <hyperlink ref="B1787" r:id="rId1373" xr:uid="{A547278E-CF1D-4CAA-8FB8-5F34EF0256CE}"/>
    <hyperlink ref="B1788" r:id="rId1374" xr:uid="{E67CAEE5-EB18-40D9-9839-5F18692FC94F}"/>
    <hyperlink ref="B1789" r:id="rId1375" xr:uid="{A44E3D9F-0606-4D2D-9274-C24F394E22A1}"/>
    <hyperlink ref="B1790" r:id="rId1376" xr:uid="{A78B2132-CE28-41A7-8A87-0922BEE81B5A}"/>
    <hyperlink ref="B1791" r:id="rId1377" xr:uid="{06F452FE-25E0-40C5-92E2-6AC294295CEE}"/>
    <hyperlink ref="B1792" r:id="rId1378" location="page=52" xr:uid="{EE9C8CA5-6840-4C09-AD79-43A52FFF4008}"/>
    <hyperlink ref="B1793" r:id="rId1379" location="page=52" xr:uid="{1272115F-E765-441C-8034-270EC727AB1D}"/>
    <hyperlink ref="B1794" r:id="rId1380" location="page=52" xr:uid="{492011ED-561E-4AC9-949B-2BE4FECD360B}"/>
    <hyperlink ref="B1795" r:id="rId1381" location="page=52" xr:uid="{8D5E76AD-A7F8-41FC-92BA-9C0473A32C10}"/>
    <hyperlink ref="B1796" r:id="rId1382" xr:uid="{15BBF4C0-9D33-43D6-8224-02959F3112A9}"/>
    <hyperlink ref="B1798" r:id="rId1383" xr:uid="{D619706B-CDA1-4BC0-82AD-A7E25FC915B6}"/>
    <hyperlink ref="B1797" r:id="rId1384" xr:uid="{BD5DBC67-C9F1-44A8-B608-0ADC040FD405}"/>
    <hyperlink ref="B1409" r:id="rId1385" xr:uid="{BA3468ED-B4E7-44B1-98F2-490DE4DD22D0}"/>
    <hyperlink ref="B1410" r:id="rId1386" xr:uid="{6C847C32-E4D8-44D2-95EB-9C3BE89C72A0}"/>
    <hyperlink ref="B1799" r:id="rId1387" xr:uid="{2ABFB594-8080-48CA-B642-61977934EA83}"/>
    <hyperlink ref="B1567" r:id="rId1388" xr:uid="{9334CECA-05E0-4589-A179-5360FBB2D620}"/>
    <hyperlink ref="B1284:B1286" r:id="rId1389" display="Leverkus 2018" xr:uid="{DE283AF2-E40E-4B25-B366-5641B72F6F9E}"/>
  </hyperlinks>
  <pageMargins left="0.7" right="0.7" top="0.75" bottom="0.75" header="0.3" footer="0.3"/>
  <pageSetup orientation="portrait" r:id="rId1390"/>
  <extLst>
    <ext xmlns:x14="http://schemas.microsoft.com/office/spreadsheetml/2009/9/main" uri="{CCE6A557-97BC-4b89-ADB6-D9C93CAAB3DF}">
      <x14:dataValidations xmlns:xm="http://schemas.microsoft.com/office/excel/2006/main" xWindow="562" yWindow="702" count="7">
        <x14:dataValidation type="list" allowBlank="1" showInputMessage="1" showErrorMessage="1" prompt="One of: Academic, NGO, Government" xr:uid="{073DF15C-33D9-4998-810E-43EF7718177A}">
          <x14:formula1>
            <xm:f>'IGNORE Lookups'!$A$3:$A$6</xm:f>
          </x14:formula1>
          <xm:sqref>D1:D926 E1545 D1036:D1048576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E1:E1544 E1546:E1048576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00"/>
  <sheetViews>
    <sheetView zoomScale="55" zoomScaleNormal="55" workbookViewId="0">
      <pane ySplit="1" topLeftCell="A526" activePane="bottomLeft" state="frozen"/>
      <selection pane="bottomLeft" activeCell="N1730" sqref="N1730:Q1730"/>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2260</v>
      </c>
      <c r="B1" s="2" t="s">
        <v>12</v>
      </c>
      <c r="C1" s="15" t="s">
        <v>2275</v>
      </c>
      <c r="D1" s="2" t="s">
        <v>2276</v>
      </c>
      <c r="E1" s="2" t="s">
        <v>2277</v>
      </c>
      <c r="F1" s="2" t="s">
        <v>2278</v>
      </c>
      <c r="G1" s="2" t="s">
        <v>2279</v>
      </c>
      <c r="H1" s="67" t="s">
        <v>13</v>
      </c>
      <c r="I1" s="2" t="s">
        <v>2432</v>
      </c>
      <c r="J1" s="2" t="s">
        <v>77</v>
      </c>
      <c r="K1" s="15" t="s">
        <v>2350</v>
      </c>
      <c r="L1" s="27" t="s">
        <v>64</v>
      </c>
      <c r="M1" s="27" t="s">
        <v>1648</v>
      </c>
      <c r="N1" s="76" t="s">
        <v>2351</v>
      </c>
      <c r="O1" s="76" t="s">
        <v>144</v>
      </c>
      <c r="P1" s="76" t="s">
        <v>145</v>
      </c>
      <c r="Q1" s="76" t="s">
        <v>153</v>
      </c>
      <c r="R1" s="76" t="s">
        <v>146</v>
      </c>
      <c r="S1" s="76" t="s">
        <v>1137</v>
      </c>
      <c r="T1" s="16" t="s">
        <v>0</v>
      </c>
    </row>
    <row r="2" spans="1:20" ht="32" customHeight="1">
      <c r="A2" s="5" t="s">
        <v>14</v>
      </c>
      <c r="B2" s="5" t="s">
        <v>68</v>
      </c>
      <c r="C2" s="5" t="s">
        <v>393</v>
      </c>
      <c r="D2" s="5" t="s">
        <v>44</v>
      </c>
      <c r="E2" s="5" t="s">
        <v>128</v>
      </c>
      <c r="F2" s="5" t="s">
        <v>2272</v>
      </c>
      <c r="G2" s="5" t="s">
        <v>2272</v>
      </c>
      <c r="H2" s="25">
        <v>0.21299999999999999</v>
      </c>
      <c r="I2" s="79" t="s">
        <v>2272</v>
      </c>
      <c r="J2" s="79" t="s">
        <v>2272</v>
      </c>
      <c r="K2" s="79" t="s">
        <v>532</v>
      </c>
      <c r="L2" s="25">
        <v>2.4</v>
      </c>
      <c r="M2" s="25" t="s">
        <v>2272</v>
      </c>
      <c r="N2" s="25" t="s">
        <v>2272</v>
      </c>
      <c r="O2" s="25" t="s">
        <v>2272</v>
      </c>
      <c r="P2" s="25" t="s">
        <v>2272</v>
      </c>
      <c r="Q2" s="25" t="s">
        <v>2272</v>
      </c>
      <c r="R2" s="25" t="s">
        <v>2272</v>
      </c>
      <c r="S2" s="25" t="s">
        <v>2272</v>
      </c>
      <c r="T2" s="5"/>
    </row>
    <row r="3" spans="1:20" ht="37" customHeight="1">
      <c r="A3" s="3" t="s">
        <v>15</v>
      </c>
      <c r="B3" s="3" t="s">
        <v>68</v>
      </c>
      <c r="C3" s="5" t="s">
        <v>393</v>
      </c>
      <c r="D3" s="3" t="s">
        <v>44</v>
      </c>
      <c r="E3" s="9" t="s">
        <v>395</v>
      </c>
      <c r="F3" s="3" t="s">
        <v>2272</v>
      </c>
      <c r="G3" s="3" t="s">
        <v>2272</v>
      </c>
      <c r="H3" s="21">
        <v>0.19</v>
      </c>
      <c r="I3" s="21" t="s">
        <v>2272</v>
      </c>
      <c r="J3" s="21" t="s">
        <v>2272</v>
      </c>
      <c r="K3" s="21"/>
      <c r="L3" s="21" t="s">
        <v>2272</v>
      </c>
      <c r="M3" s="21" t="s">
        <v>2272</v>
      </c>
      <c r="N3" s="21" t="s">
        <v>2272</v>
      </c>
      <c r="O3" s="21" t="s">
        <v>2272</v>
      </c>
      <c r="P3" s="21" t="s">
        <v>2272</v>
      </c>
      <c r="Q3" s="21" t="s">
        <v>2272</v>
      </c>
      <c r="R3" s="21" t="s">
        <v>2272</v>
      </c>
      <c r="S3" s="21" t="s">
        <v>2272</v>
      </c>
      <c r="T3" s="3"/>
    </row>
    <row r="4" spans="1:20" ht="24.5" customHeight="1">
      <c r="A4" s="3" t="s">
        <v>16</v>
      </c>
      <c r="B4" s="3" t="s">
        <v>31</v>
      </c>
      <c r="C4" s="3" t="s">
        <v>11</v>
      </c>
      <c r="D4" s="4" t="s">
        <v>860</v>
      </c>
      <c r="E4" s="3" t="s">
        <v>44</v>
      </c>
      <c r="F4" s="3" t="s">
        <v>2272</v>
      </c>
      <c r="G4" s="3" t="s">
        <v>2272</v>
      </c>
      <c r="H4" s="21">
        <v>0.16</v>
      </c>
      <c r="I4" s="21" t="s">
        <v>2272</v>
      </c>
      <c r="J4" s="21" t="s">
        <v>2272</v>
      </c>
      <c r="K4" s="79" t="s">
        <v>532</v>
      </c>
      <c r="L4" s="21" t="s">
        <v>2272</v>
      </c>
      <c r="M4" s="21" t="s">
        <v>2272</v>
      </c>
      <c r="N4" s="21" t="s">
        <v>2272</v>
      </c>
      <c r="O4" s="21" t="s">
        <v>2272</v>
      </c>
      <c r="P4" s="21" t="s">
        <v>2272</v>
      </c>
      <c r="Q4" s="21" t="s">
        <v>2272</v>
      </c>
      <c r="R4" s="21" t="s">
        <v>2272</v>
      </c>
      <c r="S4" s="21" t="s">
        <v>2272</v>
      </c>
      <c r="T4" s="3"/>
    </row>
    <row r="5" spans="1:20" ht="31.5" customHeight="1">
      <c r="A5" s="3" t="s">
        <v>17</v>
      </c>
      <c r="B5" s="3" t="s">
        <v>69</v>
      </c>
      <c r="C5" s="3" t="s">
        <v>11</v>
      </c>
      <c r="D5" s="4" t="s">
        <v>395</v>
      </c>
      <c r="E5" s="3" t="s">
        <v>44</v>
      </c>
      <c r="F5" s="3" t="s">
        <v>2272</v>
      </c>
      <c r="G5" s="3" t="s">
        <v>2272</v>
      </c>
      <c r="H5" s="21">
        <v>0.62</v>
      </c>
      <c r="I5" s="21" t="s">
        <v>2272</v>
      </c>
      <c r="J5" s="21" t="s">
        <v>2272</v>
      </c>
      <c r="K5" s="21"/>
      <c r="L5" s="21" t="s">
        <v>2272</v>
      </c>
      <c r="M5" s="21" t="s">
        <v>2272</v>
      </c>
      <c r="N5" s="21" t="s">
        <v>2272</v>
      </c>
      <c r="O5" s="21" t="s">
        <v>2272</v>
      </c>
      <c r="P5" s="21" t="s">
        <v>2272</v>
      </c>
      <c r="Q5" s="21" t="s">
        <v>2272</v>
      </c>
      <c r="R5" s="21" t="s">
        <v>2272</v>
      </c>
      <c r="S5" s="21" t="s">
        <v>2272</v>
      </c>
      <c r="T5" s="3"/>
    </row>
    <row r="6" spans="1:20" ht="26" customHeight="1">
      <c r="A6" s="3" t="s">
        <v>18</v>
      </c>
      <c r="B6" s="3" t="s">
        <v>68</v>
      </c>
      <c r="C6" s="3" t="s">
        <v>11</v>
      </c>
      <c r="D6" s="3" t="s">
        <v>44</v>
      </c>
      <c r="E6" s="3" t="s">
        <v>135</v>
      </c>
      <c r="F6" s="3" t="s">
        <v>2272</v>
      </c>
      <c r="G6" s="3" t="s">
        <v>2272</v>
      </c>
      <c r="H6" s="21">
        <v>0.24299999999999999</v>
      </c>
      <c r="I6" s="21" t="s">
        <v>2272</v>
      </c>
      <c r="J6" s="21" t="s">
        <v>2272</v>
      </c>
      <c r="K6" s="21"/>
      <c r="L6" s="21" t="s">
        <v>2272</v>
      </c>
      <c r="M6" s="21" t="s">
        <v>2272</v>
      </c>
      <c r="N6" s="21" t="s">
        <v>2272</v>
      </c>
      <c r="O6" s="21" t="s">
        <v>2272</v>
      </c>
      <c r="P6" s="21" t="s">
        <v>2272</v>
      </c>
      <c r="Q6" s="21" t="s">
        <v>2272</v>
      </c>
      <c r="R6" s="21" t="s">
        <v>2272</v>
      </c>
      <c r="S6" s="21" t="s">
        <v>2272</v>
      </c>
      <c r="T6" s="3"/>
    </row>
    <row r="7" spans="1:20" ht="31" customHeight="1">
      <c r="A7" s="8" t="s">
        <v>70</v>
      </c>
      <c r="B7" s="8" t="s">
        <v>68</v>
      </c>
      <c r="C7" s="8" t="s">
        <v>393</v>
      </c>
      <c r="D7" s="9" t="s">
        <v>395</v>
      </c>
      <c r="E7" s="8" t="s">
        <v>2272</v>
      </c>
      <c r="F7" s="8" t="s">
        <v>2272</v>
      </c>
      <c r="G7" s="8" t="s">
        <v>2272</v>
      </c>
      <c r="H7" s="68" t="s">
        <v>2272</v>
      </c>
      <c r="I7" s="68">
        <v>0.625</v>
      </c>
      <c r="J7" s="68">
        <v>0.75</v>
      </c>
      <c r="K7" s="68"/>
      <c r="L7" s="68" t="s">
        <v>2272</v>
      </c>
      <c r="M7" s="68" t="s">
        <v>2272</v>
      </c>
      <c r="N7" s="68" t="s">
        <v>2272</v>
      </c>
      <c r="O7" s="68" t="s">
        <v>2272</v>
      </c>
      <c r="P7" s="68" t="s">
        <v>2272</v>
      </c>
      <c r="Q7" s="68" t="s">
        <v>2272</v>
      </c>
      <c r="R7" s="68" t="s">
        <v>2272</v>
      </c>
      <c r="S7" s="68" t="s">
        <v>2272</v>
      </c>
      <c r="T7" s="3"/>
    </row>
    <row r="8" spans="1:20" ht="29">
      <c r="A8" s="3" t="s">
        <v>80</v>
      </c>
      <c r="B8" s="3" t="s">
        <v>69</v>
      </c>
      <c r="C8" s="3" t="s">
        <v>11</v>
      </c>
      <c r="D8" s="4" t="s">
        <v>394</v>
      </c>
      <c r="E8" s="4" t="s">
        <v>395</v>
      </c>
      <c r="F8" s="3" t="s">
        <v>2272</v>
      </c>
      <c r="G8" s="3" t="s">
        <v>2272</v>
      </c>
      <c r="H8" s="21" t="s">
        <v>2272</v>
      </c>
      <c r="I8" s="21" t="s">
        <v>2272</v>
      </c>
      <c r="J8" s="21" t="s">
        <v>2272</v>
      </c>
      <c r="K8" s="21"/>
      <c r="L8" s="21" t="s">
        <v>2272</v>
      </c>
      <c r="M8" s="21" t="s">
        <v>2272</v>
      </c>
      <c r="N8" s="21" t="s">
        <v>2272</v>
      </c>
      <c r="O8" s="21" t="s">
        <v>2272</v>
      </c>
      <c r="P8" s="21" t="s">
        <v>2272</v>
      </c>
      <c r="Q8" s="21" t="s">
        <v>2272</v>
      </c>
      <c r="R8" s="21" t="s">
        <v>2272</v>
      </c>
      <c r="S8" s="21" t="s">
        <v>2272</v>
      </c>
      <c r="T8" s="3"/>
    </row>
    <row r="9" spans="1:20" ht="29">
      <c r="A9" s="31" t="s">
        <v>219</v>
      </c>
      <c r="B9" s="3" t="s">
        <v>69</v>
      </c>
      <c r="C9" s="3" t="s">
        <v>11</v>
      </c>
      <c r="D9" s="4" t="s">
        <v>394</v>
      </c>
      <c r="E9" s="4" t="s">
        <v>395</v>
      </c>
      <c r="F9" s="3" t="s">
        <v>2272</v>
      </c>
      <c r="G9" s="3" t="s">
        <v>2272</v>
      </c>
      <c r="H9" s="21" t="s">
        <v>2272</v>
      </c>
      <c r="I9" s="21" t="s">
        <v>2272</v>
      </c>
      <c r="J9" s="21" t="s">
        <v>2272</v>
      </c>
      <c r="K9" s="21"/>
      <c r="L9" s="21" t="s">
        <v>2272</v>
      </c>
      <c r="M9" s="21" t="s">
        <v>2272</v>
      </c>
      <c r="N9" s="21" t="s">
        <v>2272</v>
      </c>
      <c r="O9" s="21" t="s">
        <v>2272</v>
      </c>
      <c r="P9" s="21">
        <v>4.4253244399999998</v>
      </c>
      <c r="Q9" s="21" t="s">
        <v>2272</v>
      </c>
      <c r="R9" s="21" t="s">
        <v>2272</v>
      </c>
      <c r="S9" s="21" t="s">
        <v>2272</v>
      </c>
      <c r="T9" s="3"/>
    </row>
    <row r="10" spans="1:20" ht="29">
      <c r="A10" s="31" t="s">
        <v>220</v>
      </c>
      <c r="B10" s="3" t="s">
        <v>69</v>
      </c>
      <c r="C10" s="3" t="s">
        <v>11</v>
      </c>
      <c r="D10" s="4" t="s">
        <v>394</v>
      </c>
      <c r="E10" s="4" t="s">
        <v>395</v>
      </c>
      <c r="F10" s="3" t="s">
        <v>2272</v>
      </c>
      <c r="G10" s="3" t="s">
        <v>2272</v>
      </c>
      <c r="H10" s="21" t="s">
        <v>2272</v>
      </c>
      <c r="I10" s="21" t="s">
        <v>2272</v>
      </c>
      <c r="J10" s="21" t="s">
        <v>2272</v>
      </c>
      <c r="K10" s="21"/>
      <c r="L10" s="21" t="s">
        <v>2272</v>
      </c>
      <c r="M10" s="21" t="s">
        <v>2272</v>
      </c>
      <c r="N10" s="21" t="s">
        <v>2272</v>
      </c>
      <c r="O10" s="21" t="s">
        <v>2272</v>
      </c>
      <c r="P10" s="21">
        <v>17.827365879999999</v>
      </c>
      <c r="Q10" s="21" t="s">
        <v>2272</v>
      </c>
      <c r="R10" s="21" t="s">
        <v>2272</v>
      </c>
      <c r="S10" s="21" t="s">
        <v>2272</v>
      </c>
      <c r="T10" s="3"/>
    </row>
    <row r="11" spans="1:20" ht="29">
      <c r="A11" s="31" t="s">
        <v>221</v>
      </c>
      <c r="B11" s="3" t="s">
        <v>69</v>
      </c>
      <c r="C11" s="3" t="s">
        <v>11</v>
      </c>
      <c r="D11" s="4" t="s">
        <v>394</v>
      </c>
      <c r="E11" s="4" t="s">
        <v>395</v>
      </c>
      <c r="F11" s="3" t="s">
        <v>2272</v>
      </c>
      <c r="G11" s="3" t="s">
        <v>2272</v>
      </c>
      <c r="H11" s="21" t="s">
        <v>2272</v>
      </c>
      <c r="I11" s="21" t="s">
        <v>2272</v>
      </c>
      <c r="J11" s="21" t="s">
        <v>2272</v>
      </c>
      <c r="K11" s="21"/>
      <c r="L11" s="21" t="s">
        <v>2272</v>
      </c>
      <c r="M11" s="21" t="s">
        <v>2272</v>
      </c>
      <c r="N11" s="21" t="s">
        <v>2272</v>
      </c>
      <c r="O11" s="21" t="s">
        <v>2272</v>
      </c>
      <c r="P11" s="21">
        <v>1.58874859</v>
      </c>
      <c r="Q11" s="21" t="s">
        <v>2272</v>
      </c>
      <c r="R11" s="21" t="s">
        <v>2272</v>
      </c>
      <c r="S11" s="21" t="s">
        <v>2272</v>
      </c>
      <c r="T11" s="3"/>
    </row>
    <row r="12" spans="1:20" ht="29">
      <c r="A12" s="31" t="s">
        <v>222</v>
      </c>
      <c r="B12" s="3" t="s">
        <v>69</v>
      </c>
      <c r="C12" s="3" t="s">
        <v>11</v>
      </c>
      <c r="D12" s="4" t="s">
        <v>394</v>
      </c>
      <c r="E12" s="4" t="s">
        <v>395</v>
      </c>
      <c r="F12" s="3" t="s">
        <v>2272</v>
      </c>
      <c r="G12" s="3" t="s">
        <v>2272</v>
      </c>
      <c r="H12" s="21" t="s">
        <v>2272</v>
      </c>
      <c r="I12" s="21" t="s">
        <v>2272</v>
      </c>
      <c r="J12" s="21" t="s">
        <v>2272</v>
      </c>
      <c r="K12" s="21"/>
      <c r="L12" s="21" t="s">
        <v>2272</v>
      </c>
      <c r="M12" s="21" t="s">
        <v>2272</v>
      </c>
      <c r="N12" s="21" t="s">
        <v>2272</v>
      </c>
      <c r="O12" s="21" t="s">
        <v>2272</v>
      </c>
      <c r="P12" s="21">
        <v>2.7670798799999998</v>
      </c>
      <c r="Q12" s="21" t="s">
        <v>2272</v>
      </c>
      <c r="R12" s="21" t="s">
        <v>2272</v>
      </c>
      <c r="S12" s="21" t="s">
        <v>2272</v>
      </c>
      <c r="T12" s="3"/>
    </row>
    <row r="13" spans="1:20" ht="29">
      <c r="A13" s="31" t="s">
        <v>223</v>
      </c>
      <c r="B13" s="3" t="s">
        <v>69</v>
      </c>
      <c r="C13" s="3" t="s">
        <v>11</v>
      </c>
      <c r="D13" s="4" t="s">
        <v>394</v>
      </c>
      <c r="E13" s="4" t="s">
        <v>395</v>
      </c>
      <c r="F13" s="3" t="s">
        <v>2272</v>
      </c>
      <c r="G13" s="3" t="s">
        <v>2272</v>
      </c>
      <c r="H13" s="21" t="s">
        <v>2272</v>
      </c>
      <c r="I13" s="21" t="s">
        <v>2272</v>
      </c>
      <c r="J13" s="21" t="s">
        <v>2272</v>
      </c>
      <c r="K13" s="21"/>
      <c r="L13" s="21" t="s">
        <v>2272</v>
      </c>
      <c r="M13" s="21" t="s">
        <v>2272</v>
      </c>
      <c r="N13" s="21" t="s">
        <v>2272</v>
      </c>
      <c r="O13" s="21" t="s">
        <v>2272</v>
      </c>
      <c r="P13" s="21">
        <v>8.1162507099999992</v>
      </c>
      <c r="Q13" s="21" t="s">
        <v>2272</v>
      </c>
      <c r="R13" s="21" t="s">
        <v>2272</v>
      </c>
      <c r="S13" s="21" t="s">
        <v>2272</v>
      </c>
      <c r="T13" s="3"/>
    </row>
    <row r="14" spans="1:20" ht="29">
      <c r="A14" s="31" t="s">
        <v>255</v>
      </c>
      <c r="B14" s="3" t="s">
        <v>69</v>
      </c>
      <c r="C14" s="3" t="s">
        <v>11</v>
      </c>
      <c r="D14" s="4" t="s">
        <v>394</v>
      </c>
      <c r="E14" s="4" t="s">
        <v>395</v>
      </c>
      <c r="F14" s="3" t="s">
        <v>2272</v>
      </c>
      <c r="G14" s="3" t="s">
        <v>2272</v>
      </c>
      <c r="H14" s="21" t="s">
        <v>2272</v>
      </c>
      <c r="I14" s="21" t="s">
        <v>2272</v>
      </c>
      <c r="J14" s="21" t="s">
        <v>2272</v>
      </c>
      <c r="K14" s="21"/>
      <c r="L14" s="21" t="s">
        <v>2272</v>
      </c>
      <c r="M14" s="21" t="s">
        <v>2272</v>
      </c>
      <c r="N14" s="21" t="s">
        <v>2272</v>
      </c>
      <c r="O14" s="21" t="s">
        <v>2272</v>
      </c>
      <c r="P14" s="21">
        <v>8.1516353800000001</v>
      </c>
      <c r="Q14" s="21" t="s">
        <v>2272</v>
      </c>
      <c r="R14" s="21" t="s">
        <v>2272</v>
      </c>
      <c r="S14" s="21" t="s">
        <v>2272</v>
      </c>
      <c r="T14" s="3"/>
    </row>
    <row r="15" spans="1:20" ht="29">
      <c r="A15" s="31" t="s">
        <v>256</v>
      </c>
      <c r="B15" s="3" t="s">
        <v>69</v>
      </c>
      <c r="C15" s="3" t="s">
        <v>11</v>
      </c>
      <c r="D15" s="4" t="s">
        <v>394</v>
      </c>
      <c r="E15" s="4" t="s">
        <v>395</v>
      </c>
      <c r="F15" s="3" t="s">
        <v>2272</v>
      </c>
      <c r="G15" s="3" t="s">
        <v>2272</v>
      </c>
      <c r="H15" s="21" t="s">
        <v>2272</v>
      </c>
      <c r="I15" s="21" t="s">
        <v>2272</v>
      </c>
      <c r="J15" s="21" t="s">
        <v>2272</v>
      </c>
      <c r="K15" s="21"/>
      <c r="L15" s="21" t="s">
        <v>2272</v>
      </c>
      <c r="M15" s="21" t="s">
        <v>2272</v>
      </c>
      <c r="N15" s="21" t="s">
        <v>2272</v>
      </c>
      <c r="O15" s="21" t="s">
        <v>2272</v>
      </c>
      <c r="P15" s="21">
        <v>5.7751888899999999</v>
      </c>
      <c r="Q15" s="21" t="s">
        <v>2272</v>
      </c>
      <c r="R15" s="21" t="s">
        <v>2272</v>
      </c>
      <c r="S15" s="21" t="s">
        <v>2272</v>
      </c>
      <c r="T15" s="3"/>
    </row>
    <row r="16" spans="1:20" ht="29">
      <c r="A16" s="31" t="s">
        <v>257</v>
      </c>
      <c r="B16" s="3" t="s">
        <v>69</v>
      </c>
      <c r="C16" s="3" t="s">
        <v>11</v>
      </c>
      <c r="D16" s="4" t="s">
        <v>394</v>
      </c>
      <c r="E16" s="4" t="s">
        <v>395</v>
      </c>
      <c r="F16" s="3" t="s">
        <v>2272</v>
      </c>
      <c r="G16" s="3" t="s">
        <v>2272</v>
      </c>
      <c r="H16" s="21" t="s">
        <v>2272</v>
      </c>
      <c r="I16" s="21" t="s">
        <v>2272</v>
      </c>
      <c r="J16" s="21" t="s">
        <v>2272</v>
      </c>
      <c r="K16" s="21"/>
      <c r="L16" s="21" t="s">
        <v>2272</v>
      </c>
      <c r="M16" s="21" t="s">
        <v>2272</v>
      </c>
      <c r="N16" s="21" t="s">
        <v>2272</v>
      </c>
      <c r="O16" s="21" t="s">
        <v>2272</v>
      </c>
      <c r="P16" s="21">
        <v>2.7205620599999998</v>
      </c>
      <c r="Q16" s="21" t="s">
        <v>2272</v>
      </c>
      <c r="R16" s="21" t="s">
        <v>2272</v>
      </c>
      <c r="S16" s="21" t="s">
        <v>2272</v>
      </c>
      <c r="T16" s="3"/>
    </row>
    <row r="17" spans="1:20" ht="29">
      <c r="A17" s="31" t="s">
        <v>258</v>
      </c>
      <c r="B17" s="3" t="s">
        <v>69</v>
      </c>
      <c r="C17" s="3" t="s">
        <v>11</v>
      </c>
      <c r="D17" s="4" t="s">
        <v>394</v>
      </c>
      <c r="E17" s="4" t="s">
        <v>395</v>
      </c>
      <c r="F17" s="3" t="s">
        <v>2272</v>
      </c>
      <c r="G17" s="3" t="s">
        <v>2272</v>
      </c>
      <c r="H17" s="21" t="s">
        <v>2272</v>
      </c>
      <c r="I17" s="21" t="s">
        <v>2272</v>
      </c>
      <c r="J17" s="21" t="s">
        <v>2272</v>
      </c>
      <c r="K17" s="21"/>
      <c r="L17" s="21" t="s">
        <v>2272</v>
      </c>
      <c r="M17" s="21" t="s">
        <v>2272</v>
      </c>
      <c r="N17" s="21" t="s">
        <v>2272</v>
      </c>
      <c r="O17" s="21" t="s">
        <v>2272</v>
      </c>
      <c r="P17" s="21">
        <v>5.3150830899999999</v>
      </c>
      <c r="Q17" s="21" t="s">
        <v>2272</v>
      </c>
      <c r="R17" s="21" t="s">
        <v>2272</v>
      </c>
      <c r="S17" s="21" t="s">
        <v>2272</v>
      </c>
      <c r="T17" s="3"/>
    </row>
    <row r="18" spans="1:20" ht="29">
      <c r="A18" s="31" t="s">
        <v>259</v>
      </c>
      <c r="B18" s="3" t="s">
        <v>69</v>
      </c>
      <c r="C18" s="3" t="s">
        <v>11</v>
      </c>
      <c r="D18" s="4" t="s">
        <v>394</v>
      </c>
      <c r="E18" s="4" t="s">
        <v>395</v>
      </c>
      <c r="F18" s="3" t="s">
        <v>2272</v>
      </c>
      <c r="G18" s="3" t="s">
        <v>2272</v>
      </c>
      <c r="H18" s="21" t="s">
        <v>2272</v>
      </c>
      <c r="I18" s="21" t="s">
        <v>2272</v>
      </c>
      <c r="J18" s="21" t="s">
        <v>2272</v>
      </c>
      <c r="K18" s="21"/>
      <c r="L18" s="21" t="s">
        <v>2272</v>
      </c>
      <c r="M18" s="21" t="s">
        <v>2272</v>
      </c>
      <c r="N18" s="21" t="s">
        <v>2272</v>
      </c>
      <c r="O18" s="21" t="s">
        <v>2272</v>
      </c>
      <c r="P18" s="21">
        <v>1.5442003</v>
      </c>
      <c r="Q18" s="21" t="s">
        <v>2272</v>
      </c>
      <c r="R18" s="21" t="s">
        <v>2272</v>
      </c>
      <c r="S18" s="21" t="s">
        <v>2272</v>
      </c>
      <c r="T18" s="3"/>
    </row>
    <row r="19" spans="1:20" ht="29">
      <c r="A19" s="31" t="s">
        <v>260</v>
      </c>
      <c r="B19" s="3" t="s">
        <v>69</v>
      </c>
      <c r="C19" s="3" t="s">
        <v>11</v>
      </c>
      <c r="D19" s="4" t="s">
        <v>394</v>
      </c>
      <c r="E19" s="4" t="s">
        <v>395</v>
      </c>
      <c r="F19" s="3" t="s">
        <v>2272</v>
      </c>
      <c r="G19" s="3" t="s">
        <v>2272</v>
      </c>
      <c r="H19" s="21" t="s">
        <v>2272</v>
      </c>
      <c r="I19" s="21" t="s">
        <v>2272</v>
      </c>
      <c r="J19" s="21" t="s">
        <v>2272</v>
      </c>
      <c r="K19" s="21"/>
      <c r="L19" s="21" t="s">
        <v>2272</v>
      </c>
      <c r="M19" s="21" t="s">
        <v>2272</v>
      </c>
      <c r="N19" s="21" t="s">
        <v>2272</v>
      </c>
      <c r="O19" s="21" t="s">
        <v>2272</v>
      </c>
      <c r="P19" s="21">
        <v>24.43275843</v>
      </c>
      <c r="Q19" s="21" t="s">
        <v>2272</v>
      </c>
      <c r="R19" s="21" t="s">
        <v>2272</v>
      </c>
      <c r="S19" s="21" t="s">
        <v>2272</v>
      </c>
      <c r="T19" s="3"/>
    </row>
    <row r="20" spans="1:20" ht="29">
      <c r="A20" s="31" t="s">
        <v>261</v>
      </c>
      <c r="B20" s="3" t="s">
        <v>69</v>
      </c>
      <c r="C20" s="3" t="s">
        <v>11</v>
      </c>
      <c r="D20" s="4" t="s">
        <v>394</v>
      </c>
      <c r="E20" s="4" t="s">
        <v>395</v>
      </c>
      <c r="F20" s="3" t="s">
        <v>2272</v>
      </c>
      <c r="G20" s="3" t="s">
        <v>2272</v>
      </c>
      <c r="H20" s="21" t="s">
        <v>2272</v>
      </c>
      <c r="I20" s="21" t="s">
        <v>2272</v>
      </c>
      <c r="J20" s="21" t="s">
        <v>2272</v>
      </c>
      <c r="K20" s="21"/>
      <c r="L20" s="21" t="s">
        <v>2272</v>
      </c>
      <c r="M20" s="21" t="s">
        <v>2272</v>
      </c>
      <c r="N20" s="21" t="s">
        <v>2272</v>
      </c>
      <c r="O20" s="21" t="s">
        <v>2272</v>
      </c>
      <c r="P20" s="21">
        <v>21.25767566</v>
      </c>
      <c r="Q20" s="21" t="s">
        <v>2272</v>
      </c>
      <c r="R20" s="21" t="s">
        <v>2272</v>
      </c>
      <c r="S20" s="21" t="s">
        <v>2272</v>
      </c>
      <c r="T20" s="3"/>
    </row>
    <row r="21" spans="1:20" ht="29">
      <c r="A21" s="31" t="s">
        <v>262</v>
      </c>
      <c r="B21" s="3" t="s">
        <v>69</v>
      </c>
      <c r="C21" s="3" t="s">
        <v>11</v>
      </c>
      <c r="D21" s="4" t="s">
        <v>394</v>
      </c>
      <c r="E21" s="4" t="s">
        <v>395</v>
      </c>
      <c r="F21" s="3" t="s">
        <v>2272</v>
      </c>
      <c r="G21" s="3" t="s">
        <v>2272</v>
      </c>
      <c r="H21" s="21" t="s">
        <v>2272</v>
      </c>
      <c r="I21" s="21" t="s">
        <v>2272</v>
      </c>
      <c r="J21" s="21" t="s">
        <v>2272</v>
      </c>
      <c r="K21" s="21"/>
      <c r="L21" s="21" t="s">
        <v>2272</v>
      </c>
      <c r="M21" s="21" t="s">
        <v>2272</v>
      </c>
      <c r="N21" s="21" t="s">
        <v>2272</v>
      </c>
      <c r="O21" s="21" t="s">
        <v>2272</v>
      </c>
      <c r="P21" s="21">
        <v>8.05191093</v>
      </c>
      <c r="Q21" s="21" t="s">
        <v>2272</v>
      </c>
      <c r="R21" s="21" t="s">
        <v>2272</v>
      </c>
      <c r="S21" s="21" t="s">
        <v>2272</v>
      </c>
      <c r="T21" s="3"/>
    </row>
    <row r="22" spans="1:20" ht="29">
      <c r="A22" s="31" t="s">
        <v>263</v>
      </c>
      <c r="B22" s="3" t="s">
        <v>69</v>
      </c>
      <c r="C22" s="3" t="s">
        <v>11</v>
      </c>
      <c r="D22" s="4" t="s">
        <v>394</v>
      </c>
      <c r="E22" s="4" t="s">
        <v>395</v>
      </c>
      <c r="F22" s="3" t="s">
        <v>2272</v>
      </c>
      <c r="G22" s="3" t="s">
        <v>2272</v>
      </c>
      <c r="H22" s="21" t="s">
        <v>2272</v>
      </c>
      <c r="I22" s="21" t="s">
        <v>2272</v>
      </c>
      <c r="J22" s="21" t="s">
        <v>2272</v>
      </c>
      <c r="K22" s="21"/>
      <c r="L22" s="21" t="s">
        <v>2272</v>
      </c>
      <c r="M22" s="21" t="s">
        <v>2272</v>
      </c>
      <c r="N22" s="21" t="s">
        <v>2272</v>
      </c>
      <c r="O22" s="21" t="s">
        <v>2272</v>
      </c>
      <c r="P22" s="21">
        <v>14.56204236</v>
      </c>
      <c r="Q22" s="21" t="s">
        <v>2272</v>
      </c>
      <c r="R22" s="21" t="s">
        <v>2272</v>
      </c>
      <c r="S22" s="21" t="s">
        <v>2272</v>
      </c>
      <c r="T22" s="3"/>
    </row>
    <row r="23" spans="1:20" ht="29">
      <c r="A23" s="31" t="s">
        <v>264</v>
      </c>
      <c r="B23" s="3" t="s">
        <v>69</v>
      </c>
      <c r="C23" s="3" t="s">
        <v>11</v>
      </c>
      <c r="D23" s="4" t="s">
        <v>394</v>
      </c>
      <c r="E23" s="4" t="s">
        <v>395</v>
      </c>
      <c r="F23" s="3" t="s">
        <v>2272</v>
      </c>
      <c r="G23" s="3" t="s">
        <v>2272</v>
      </c>
      <c r="H23" s="21" t="s">
        <v>2272</v>
      </c>
      <c r="I23" s="21" t="s">
        <v>2272</v>
      </c>
      <c r="J23" s="21" t="s">
        <v>2272</v>
      </c>
      <c r="K23" s="21"/>
      <c r="L23" s="21" t="s">
        <v>2272</v>
      </c>
      <c r="M23" s="21" t="s">
        <v>2272</v>
      </c>
      <c r="N23" s="21" t="s">
        <v>2272</v>
      </c>
      <c r="O23" s="21" t="s">
        <v>2272</v>
      </c>
      <c r="P23" s="21">
        <v>7.4631208300000003</v>
      </c>
      <c r="Q23" s="21" t="s">
        <v>2272</v>
      </c>
      <c r="R23" s="21" t="s">
        <v>2272</v>
      </c>
      <c r="S23" s="21" t="s">
        <v>2272</v>
      </c>
      <c r="T23" s="3"/>
    </row>
    <row r="24" spans="1:20" ht="29">
      <c r="A24" s="31" t="s">
        <v>265</v>
      </c>
      <c r="B24" s="3" t="s">
        <v>69</v>
      </c>
      <c r="C24" s="3" t="s">
        <v>11</v>
      </c>
      <c r="D24" s="4" t="s">
        <v>394</v>
      </c>
      <c r="E24" s="4" t="s">
        <v>395</v>
      </c>
      <c r="F24" s="3" t="s">
        <v>2272</v>
      </c>
      <c r="G24" s="3" t="s">
        <v>2272</v>
      </c>
      <c r="H24" s="21" t="s">
        <v>2272</v>
      </c>
      <c r="I24" s="21" t="s">
        <v>2272</v>
      </c>
      <c r="J24" s="21" t="s">
        <v>2272</v>
      </c>
      <c r="K24" s="21"/>
      <c r="L24" s="21" t="s">
        <v>2272</v>
      </c>
      <c r="M24" s="21" t="s">
        <v>2272</v>
      </c>
      <c r="N24" s="21" t="s">
        <v>2272</v>
      </c>
      <c r="O24" s="21" t="s">
        <v>2272</v>
      </c>
      <c r="P24" s="21">
        <v>12.622747840000001</v>
      </c>
      <c r="Q24" s="21" t="s">
        <v>2272</v>
      </c>
      <c r="R24" s="21" t="s">
        <v>2272</v>
      </c>
      <c r="S24" s="21" t="s">
        <v>2272</v>
      </c>
      <c r="T24" s="3"/>
    </row>
    <row r="25" spans="1:20" ht="29">
      <c r="A25" s="31" t="s">
        <v>266</v>
      </c>
      <c r="B25" s="3" t="s">
        <v>69</v>
      </c>
      <c r="C25" s="3" t="s">
        <v>11</v>
      </c>
      <c r="D25" s="4" t="s">
        <v>394</v>
      </c>
      <c r="E25" s="4" t="s">
        <v>395</v>
      </c>
      <c r="F25" s="3" t="s">
        <v>2272</v>
      </c>
      <c r="G25" s="3" t="s">
        <v>2272</v>
      </c>
      <c r="H25" s="21" t="s">
        <v>2272</v>
      </c>
      <c r="I25" s="21" t="s">
        <v>2272</v>
      </c>
      <c r="J25" s="21" t="s">
        <v>2272</v>
      </c>
      <c r="K25" s="21"/>
      <c r="L25" s="21" t="s">
        <v>2272</v>
      </c>
      <c r="M25" s="21" t="s">
        <v>2272</v>
      </c>
      <c r="N25" s="21" t="s">
        <v>2272</v>
      </c>
      <c r="O25" s="21" t="s">
        <v>2272</v>
      </c>
      <c r="P25" s="21">
        <v>19.62538618</v>
      </c>
      <c r="Q25" s="21" t="s">
        <v>2272</v>
      </c>
      <c r="R25" s="21" t="s">
        <v>2272</v>
      </c>
      <c r="S25" s="21" t="s">
        <v>2272</v>
      </c>
      <c r="T25" s="3"/>
    </row>
    <row r="26" spans="1:20" ht="29">
      <c r="A26" s="31" t="s">
        <v>267</v>
      </c>
      <c r="B26" s="3" t="s">
        <v>69</v>
      </c>
      <c r="C26" s="3" t="s">
        <v>11</v>
      </c>
      <c r="D26" s="4" t="s">
        <v>394</v>
      </c>
      <c r="E26" s="4" t="s">
        <v>395</v>
      </c>
      <c r="F26" s="3" t="s">
        <v>2272</v>
      </c>
      <c r="G26" s="3" t="s">
        <v>2272</v>
      </c>
      <c r="H26" s="21" t="s">
        <v>2272</v>
      </c>
      <c r="I26" s="21" t="s">
        <v>2272</v>
      </c>
      <c r="J26" s="21" t="s">
        <v>2272</v>
      </c>
      <c r="K26" s="21"/>
      <c r="L26" s="21" t="s">
        <v>2272</v>
      </c>
      <c r="M26" s="21" t="s">
        <v>2272</v>
      </c>
      <c r="N26" s="21" t="s">
        <v>2272</v>
      </c>
      <c r="O26" s="21" t="s">
        <v>2272</v>
      </c>
      <c r="P26" s="21">
        <v>12.683202769999999</v>
      </c>
      <c r="Q26" s="21" t="s">
        <v>2272</v>
      </c>
      <c r="R26" s="21" t="s">
        <v>2272</v>
      </c>
      <c r="S26" s="21" t="s">
        <v>2272</v>
      </c>
      <c r="T26" s="3"/>
    </row>
    <row r="27" spans="1:20" ht="29">
      <c r="A27" s="31" t="s">
        <v>268</v>
      </c>
      <c r="B27" s="3" t="s">
        <v>69</v>
      </c>
      <c r="C27" s="3" t="s">
        <v>11</v>
      </c>
      <c r="D27" s="4" t="s">
        <v>394</v>
      </c>
      <c r="E27" s="4" t="s">
        <v>395</v>
      </c>
      <c r="F27" s="3" t="s">
        <v>2272</v>
      </c>
      <c r="G27" s="3" t="s">
        <v>2272</v>
      </c>
      <c r="H27" s="21" t="s">
        <v>2272</v>
      </c>
      <c r="I27" s="21" t="s">
        <v>2272</v>
      </c>
      <c r="J27" s="21" t="s">
        <v>2272</v>
      </c>
      <c r="K27" s="21"/>
      <c r="L27" s="21" t="s">
        <v>2272</v>
      </c>
      <c r="M27" s="21" t="s">
        <v>2272</v>
      </c>
      <c r="N27" s="21" t="s">
        <v>2272</v>
      </c>
      <c r="O27" s="21" t="s">
        <v>2272</v>
      </c>
      <c r="P27" s="21">
        <v>12.41278273</v>
      </c>
      <c r="Q27" s="21" t="s">
        <v>2272</v>
      </c>
      <c r="R27" s="21" t="s">
        <v>2272</v>
      </c>
      <c r="S27" s="21" t="s">
        <v>2272</v>
      </c>
      <c r="T27" s="3"/>
    </row>
    <row r="28" spans="1:20" ht="29">
      <c r="A28" s="31" t="s">
        <v>269</v>
      </c>
      <c r="B28" s="3" t="s">
        <v>69</v>
      </c>
      <c r="C28" s="3" t="s">
        <v>11</v>
      </c>
      <c r="D28" s="4" t="s">
        <v>394</v>
      </c>
      <c r="E28" s="4" t="s">
        <v>395</v>
      </c>
      <c r="F28" s="3" t="s">
        <v>2272</v>
      </c>
      <c r="G28" s="3" t="s">
        <v>2272</v>
      </c>
      <c r="H28" s="21" t="s">
        <v>2272</v>
      </c>
      <c r="I28" s="21" t="s">
        <v>2272</v>
      </c>
      <c r="J28" s="21" t="s">
        <v>2272</v>
      </c>
      <c r="K28" s="21"/>
      <c r="L28" s="21" t="s">
        <v>2272</v>
      </c>
      <c r="M28" s="21" t="s">
        <v>2272</v>
      </c>
      <c r="N28" s="21" t="s">
        <v>2272</v>
      </c>
      <c r="O28" s="21" t="s">
        <v>2272</v>
      </c>
      <c r="P28" s="21">
        <v>4.94039363</v>
      </c>
      <c r="Q28" s="21" t="s">
        <v>2272</v>
      </c>
      <c r="R28" s="21" t="s">
        <v>2272</v>
      </c>
      <c r="S28" s="21" t="s">
        <v>2272</v>
      </c>
      <c r="T28" s="3"/>
    </row>
    <row r="29" spans="1:20" ht="29">
      <c r="A29" s="31" t="s">
        <v>270</v>
      </c>
      <c r="B29" s="3" t="s">
        <v>69</v>
      </c>
      <c r="C29" s="3" t="s">
        <v>11</v>
      </c>
      <c r="D29" s="4" t="s">
        <v>394</v>
      </c>
      <c r="E29" s="4" t="s">
        <v>395</v>
      </c>
      <c r="F29" s="3" t="s">
        <v>2272</v>
      </c>
      <c r="G29" s="3" t="s">
        <v>2272</v>
      </c>
      <c r="H29" s="21" t="s">
        <v>2272</v>
      </c>
      <c r="I29" s="21" t="s">
        <v>2272</v>
      </c>
      <c r="J29" s="21" t="s">
        <v>2272</v>
      </c>
      <c r="K29" s="21"/>
      <c r="L29" s="21" t="s">
        <v>2272</v>
      </c>
      <c r="M29" s="21" t="s">
        <v>2272</v>
      </c>
      <c r="N29" s="21" t="s">
        <v>2272</v>
      </c>
      <c r="O29" s="21" t="s">
        <v>2272</v>
      </c>
      <c r="P29" s="21">
        <v>56.964293259999998</v>
      </c>
      <c r="Q29" s="21" t="s">
        <v>2272</v>
      </c>
      <c r="R29" s="21" t="s">
        <v>2272</v>
      </c>
      <c r="S29" s="21" t="s">
        <v>2272</v>
      </c>
      <c r="T29" s="3"/>
    </row>
    <row r="30" spans="1:20" ht="29">
      <c r="A30" s="31" t="s">
        <v>271</v>
      </c>
      <c r="B30" s="3" t="s">
        <v>69</v>
      </c>
      <c r="C30" s="3" t="s">
        <v>11</v>
      </c>
      <c r="D30" s="4" t="s">
        <v>394</v>
      </c>
      <c r="E30" s="4" t="s">
        <v>395</v>
      </c>
      <c r="F30" s="3" t="s">
        <v>2272</v>
      </c>
      <c r="G30" s="3" t="s">
        <v>2272</v>
      </c>
      <c r="H30" s="21" t="s">
        <v>2272</v>
      </c>
      <c r="I30" s="21" t="s">
        <v>2272</v>
      </c>
      <c r="J30" s="21" t="s">
        <v>2272</v>
      </c>
      <c r="K30" s="21"/>
      <c r="L30" s="21" t="s">
        <v>2272</v>
      </c>
      <c r="M30" s="21" t="s">
        <v>2272</v>
      </c>
      <c r="N30" s="21" t="s">
        <v>2272</v>
      </c>
      <c r="O30" s="21" t="s">
        <v>2272</v>
      </c>
      <c r="P30" s="21">
        <v>25.759365559999999</v>
      </c>
      <c r="Q30" s="21" t="s">
        <v>2272</v>
      </c>
      <c r="R30" s="21" t="s">
        <v>2272</v>
      </c>
      <c r="S30" s="21" t="s">
        <v>2272</v>
      </c>
      <c r="T30" s="3"/>
    </row>
    <row r="31" spans="1:20" ht="29">
      <c r="A31" s="31" t="s">
        <v>272</v>
      </c>
      <c r="B31" s="3" t="s">
        <v>69</v>
      </c>
      <c r="C31" s="3" t="s">
        <v>11</v>
      </c>
      <c r="D31" s="4" t="s">
        <v>394</v>
      </c>
      <c r="E31" s="4" t="s">
        <v>395</v>
      </c>
      <c r="F31" s="3" t="s">
        <v>2272</v>
      </c>
      <c r="G31" s="3" t="s">
        <v>2272</v>
      </c>
      <c r="H31" s="21" t="s">
        <v>2272</v>
      </c>
      <c r="I31" s="21" t="s">
        <v>2272</v>
      </c>
      <c r="J31" s="21" t="s">
        <v>2272</v>
      </c>
      <c r="K31" s="21"/>
      <c r="L31" s="21" t="s">
        <v>2272</v>
      </c>
      <c r="M31" s="21" t="s">
        <v>2272</v>
      </c>
      <c r="N31" s="21" t="s">
        <v>2272</v>
      </c>
      <c r="O31" s="21" t="s">
        <v>2272</v>
      </c>
      <c r="P31" s="21">
        <v>6.2032650900000004</v>
      </c>
      <c r="Q31" s="21" t="s">
        <v>2272</v>
      </c>
      <c r="R31" s="21" t="s">
        <v>2272</v>
      </c>
      <c r="S31" s="21" t="s">
        <v>2272</v>
      </c>
      <c r="T31" s="3"/>
    </row>
    <row r="32" spans="1:20" ht="29">
      <c r="A32" s="31" t="s">
        <v>273</v>
      </c>
      <c r="B32" s="3" t="s">
        <v>69</v>
      </c>
      <c r="C32" s="3" t="s">
        <v>11</v>
      </c>
      <c r="D32" s="4" t="s">
        <v>394</v>
      </c>
      <c r="E32" s="4" t="s">
        <v>395</v>
      </c>
      <c r="F32" s="3" t="s">
        <v>2272</v>
      </c>
      <c r="G32" s="3" t="s">
        <v>2272</v>
      </c>
      <c r="H32" s="21" t="s">
        <v>2272</v>
      </c>
      <c r="I32" s="21" t="s">
        <v>2272</v>
      </c>
      <c r="J32" s="21" t="s">
        <v>2272</v>
      </c>
      <c r="K32" s="21"/>
      <c r="L32" s="21" t="s">
        <v>2272</v>
      </c>
      <c r="M32" s="21" t="s">
        <v>2272</v>
      </c>
      <c r="N32" s="21" t="s">
        <v>2272</v>
      </c>
      <c r="O32" s="21" t="s">
        <v>2272</v>
      </c>
      <c r="P32" s="21">
        <v>7.8362094899999999</v>
      </c>
      <c r="Q32" s="21" t="s">
        <v>2272</v>
      </c>
      <c r="R32" s="21" t="s">
        <v>2272</v>
      </c>
      <c r="S32" s="21" t="s">
        <v>2272</v>
      </c>
      <c r="T32" s="3"/>
    </row>
    <row r="33" spans="1:20" ht="29">
      <c r="A33" s="31" t="s">
        <v>274</v>
      </c>
      <c r="B33" s="3" t="s">
        <v>69</v>
      </c>
      <c r="C33" s="3" t="s">
        <v>11</v>
      </c>
      <c r="D33" s="4" t="s">
        <v>394</v>
      </c>
      <c r="E33" s="4" t="s">
        <v>395</v>
      </c>
      <c r="F33" s="3" t="s">
        <v>2272</v>
      </c>
      <c r="G33" s="3" t="s">
        <v>2272</v>
      </c>
      <c r="H33" s="21" t="s">
        <v>2272</v>
      </c>
      <c r="I33" s="21" t="s">
        <v>2272</v>
      </c>
      <c r="J33" s="21" t="s">
        <v>2272</v>
      </c>
      <c r="K33" s="21"/>
      <c r="L33" s="21" t="s">
        <v>2272</v>
      </c>
      <c r="M33" s="21" t="s">
        <v>2272</v>
      </c>
      <c r="N33" s="21" t="s">
        <v>2272</v>
      </c>
      <c r="O33" s="21" t="s">
        <v>2272</v>
      </c>
      <c r="P33" s="21">
        <v>3.1861921600000001</v>
      </c>
      <c r="Q33" s="21" t="s">
        <v>2272</v>
      </c>
      <c r="R33" s="21" t="s">
        <v>2272</v>
      </c>
      <c r="S33" s="21" t="s">
        <v>2272</v>
      </c>
      <c r="T33" s="3"/>
    </row>
    <row r="34" spans="1:20" ht="29">
      <c r="A34" s="31" t="s">
        <v>275</v>
      </c>
      <c r="B34" s="3" t="s">
        <v>69</v>
      </c>
      <c r="C34" s="3" t="s">
        <v>11</v>
      </c>
      <c r="D34" s="4" t="s">
        <v>394</v>
      </c>
      <c r="E34" s="4" t="s">
        <v>395</v>
      </c>
      <c r="F34" s="3" t="s">
        <v>2272</v>
      </c>
      <c r="G34" s="3" t="s">
        <v>2272</v>
      </c>
      <c r="H34" s="21" t="s">
        <v>2272</v>
      </c>
      <c r="I34" s="21" t="s">
        <v>2272</v>
      </c>
      <c r="J34" s="21" t="s">
        <v>2272</v>
      </c>
      <c r="K34" s="21"/>
      <c r="L34" s="21" t="s">
        <v>2272</v>
      </c>
      <c r="M34" s="21" t="s">
        <v>2272</v>
      </c>
      <c r="N34" s="21" t="s">
        <v>2272</v>
      </c>
      <c r="O34" s="21" t="s">
        <v>2272</v>
      </c>
      <c r="P34" s="21">
        <v>7.9458094399999997</v>
      </c>
      <c r="Q34" s="21" t="s">
        <v>2272</v>
      </c>
      <c r="R34" s="21" t="s">
        <v>2272</v>
      </c>
      <c r="S34" s="21" t="s">
        <v>2272</v>
      </c>
      <c r="T34" s="3"/>
    </row>
    <row r="35" spans="1:20" ht="29">
      <c r="A35" s="31" t="s">
        <v>288</v>
      </c>
      <c r="B35" s="3" t="s">
        <v>69</v>
      </c>
      <c r="C35" s="3" t="s">
        <v>11</v>
      </c>
      <c r="D35" s="4" t="s">
        <v>394</v>
      </c>
      <c r="E35" s="4" t="s">
        <v>395</v>
      </c>
      <c r="F35" s="3" t="s">
        <v>2272</v>
      </c>
      <c r="G35" s="3" t="s">
        <v>2272</v>
      </c>
      <c r="H35" s="21" t="s">
        <v>2272</v>
      </c>
      <c r="I35" s="21" t="s">
        <v>2272</v>
      </c>
      <c r="J35" s="21" t="s">
        <v>2272</v>
      </c>
      <c r="K35" s="21"/>
      <c r="L35" s="21" t="s">
        <v>2272</v>
      </c>
      <c r="M35" s="21" t="s">
        <v>2272</v>
      </c>
      <c r="N35" s="21" t="s">
        <v>2272</v>
      </c>
      <c r="O35" s="21" t="s">
        <v>2272</v>
      </c>
      <c r="P35" s="21">
        <v>9.6931630500000008</v>
      </c>
      <c r="Q35" s="21" t="s">
        <v>2272</v>
      </c>
      <c r="R35" s="21" t="s">
        <v>2272</v>
      </c>
      <c r="S35" s="21" t="s">
        <v>2272</v>
      </c>
      <c r="T35" s="3"/>
    </row>
    <row r="36" spans="1:20" ht="29">
      <c r="A36" s="31" t="s">
        <v>289</v>
      </c>
      <c r="B36" s="3" t="s">
        <v>69</v>
      </c>
      <c r="C36" s="3" t="s">
        <v>11</v>
      </c>
      <c r="D36" s="4" t="s">
        <v>394</v>
      </c>
      <c r="E36" s="4" t="s">
        <v>395</v>
      </c>
      <c r="F36" s="3" t="s">
        <v>2272</v>
      </c>
      <c r="G36" s="3" t="s">
        <v>2272</v>
      </c>
      <c r="H36" s="21" t="s">
        <v>2272</v>
      </c>
      <c r="I36" s="21" t="s">
        <v>2272</v>
      </c>
      <c r="J36" s="21" t="s">
        <v>2272</v>
      </c>
      <c r="K36" s="21"/>
      <c r="L36" s="21" t="s">
        <v>2272</v>
      </c>
      <c r="M36" s="21" t="s">
        <v>2272</v>
      </c>
      <c r="N36" s="21" t="s">
        <v>2272</v>
      </c>
      <c r="O36" s="21" t="s">
        <v>2272</v>
      </c>
      <c r="P36" s="21">
        <v>28.10134132</v>
      </c>
      <c r="Q36" s="21" t="s">
        <v>2272</v>
      </c>
      <c r="R36" s="21" t="s">
        <v>2272</v>
      </c>
      <c r="S36" s="21" t="s">
        <v>2272</v>
      </c>
      <c r="T36" s="3"/>
    </row>
    <row r="37" spans="1:20" ht="29">
      <c r="A37" s="31" t="s">
        <v>290</v>
      </c>
      <c r="B37" s="3" t="s">
        <v>69</v>
      </c>
      <c r="C37" s="3" t="s">
        <v>11</v>
      </c>
      <c r="D37" s="4" t="s">
        <v>394</v>
      </c>
      <c r="E37" s="4" t="s">
        <v>395</v>
      </c>
      <c r="F37" s="3" t="s">
        <v>2272</v>
      </c>
      <c r="G37" s="3" t="s">
        <v>2272</v>
      </c>
      <c r="H37" s="21" t="s">
        <v>2272</v>
      </c>
      <c r="I37" s="21" t="s">
        <v>2272</v>
      </c>
      <c r="J37" s="21" t="s">
        <v>2272</v>
      </c>
      <c r="K37" s="21"/>
      <c r="L37" s="21" t="s">
        <v>2272</v>
      </c>
      <c r="M37" s="21" t="s">
        <v>2272</v>
      </c>
      <c r="N37" s="21" t="s">
        <v>2272</v>
      </c>
      <c r="O37" s="21" t="s">
        <v>2272</v>
      </c>
      <c r="P37" s="21">
        <v>20.484301760000001</v>
      </c>
      <c r="Q37" s="21" t="s">
        <v>2272</v>
      </c>
      <c r="R37" s="21" t="s">
        <v>2272</v>
      </c>
      <c r="S37" s="21" t="s">
        <v>2272</v>
      </c>
      <c r="T37" s="3"/>
    </row>
    <row r="38" spans="1:20" ht="29">
      <c r="A38" s="31" t="s">
        <v>291</v>
      </c>
      <c r="B38" s="3" t="s">
        <v>69</v>
      </c>
      <c r="C38" s="3" t="s">
        <v>11</v>
      </c>
      <c r="D38" s="4" t="s">
        <v>394</v>
      </c>
      <c r="E38" s="4" t="s">
        <v>395</v>
      </c>
      <c r="F38" s="3" t="s">
        <v>2272</v>
      </c>
      <c r="G38" s="3" t="s">
        <v>2272</v>
      </c>
      <c r="H38" s="21" t="s">
        <v>2272</v>
      </c>
      <c r="I38" s="21" t="s">
        <v>2272</v>
      </c>
      <c r="J38" s="21" t="s">
        <v>2272</v>
      </c>
      <c r="K38" s="21"/>
      <c r="L38" s="21" t="s">
        <v>2272</v>
      </c>
      <c r="M38" s="21" t="s">
        <v>2272</v>
      </c>
      <c r="N38" s="21" t="s">
        <v>2272</v>
      </c>
      <c r="O38" s="21" t="s">
        <v>2272</v>
      </c>
      <c r="P38" s="21">
        <v>19.729615849999998</v>
      </c>
      <c r="Q38" s="21" t="s">
        <v>2272</v>
      </c>
      <c r="R38" s="21" t="s">
        <v>2272</v>
      </c>
      <c r="S38" s="21" t="s">
        <v>2272</v>
      </c>
      <c r="T38" s="3"/>
    </row>
    <row r="39" spans="1:20" ht="29">
      <c r="A39" s="3" t="s">
        <v>87</v>
      </c>
      <c r="B39" s="3" t="s">
        <v>69</v>
      </c>
      <c r="C39" s="3" t="s">
        <v>11</v>
      </c>
      <c r="D39" s="4" t="s">
        <v>394</v>
      </c>
      <c r="E39" s="4" t="s">
        <v>395</v>
      </c>
      <c r="F39" s="3" t="s">
        <v>2272</v>
      </c>
      <c r="G39" s="3" t="s">
        <v>2272</v>
      </c>
      <c r="H39" s="21" t="s">
        <v>2272</v>
      </c>
      <c r="I39" s="21" t="s">
        <v>2272</v>
      </c>
      <c r="J39" s="21" t="s">
        <v>2272</v>
      </c>
      <c r="K39" s="21"/>
      <c r="L39" s="21" t="s">
        <v>2272</v>
      </c>
      <c r="M39" s="21" t="s">
        <v>2272</v>
      </c>
      <c r="N39" s="21" t="s">
        <v>2272</v>
      </c>
      <c r="O39" s="21" t="s">
        <v>2272</v>
      </c>
      <c r="P39" s="21" t="s">
        <v>2272</v>
      </c>
      <c r="Q39" s="21" t="s">
        <v>2272</v>
      </c>
      <c r="R39" s="21" t="s">
        <v>2272</v>
      </c>
      <c r="S39" s="21" t="s">
        <v>2272</v>
      </c>
      <c r="T39" s="3"/>
    </row>
    <row r="40" spans="1:20" ht="29">
      <c r="A40" s="31" t="s">
        <v>276</v>
      </c>
      <c r="B40" s="3" t="s">
        <v>69</v>
      </c>
      <c r="C40" s="3" t="s">
        <v>11</v>
      </c>
      <c r="D40" s="4" t="s">
        <v>394</v>
      </c>
      <c r="E40" s="4" t="s">
        <v>395</v>
      </c>
      <c r="F40" s="3" t="s">
        <v>2272</v>
      </c>
      <c r="G40" s="3" t="s">
        <v>2272</v>
      </c>
      <c r="H40" s="21" t="s">
        <v>2272</v>
      </c>
      <c r="I40" s="21" t="s">
        <v>2272</v>
      </c>
      <c r="J40" s="21" t="s">
        <v>2272</v>
      </c>
      <c r="K40" s="21"/>
      <c r="L40" s="21" t="s">
        <v>2272</v>
      </c>
      <c r="M40" s="21" t="s">
        <v>2272</v>
      </c>
      <c r="N40" s="21" t="s">
        <v>2272</v>
      </c>
      <c r="O40" s="21" t="s">
        <v>2272</v>
      </c>
      <c r="P40" s="21">
        <v>7.0097718999999996</v>
      </c>
      <c r="Q40" s="21" t="s">
        <v>2272</v>
      </c>
      <c r="R40" s="21" t="s">
        <v>2272</v>
      </c>
      <c r="S40" s="21" t="s">
        <v>2272</v>
      </c>
      <c r="T40" s="3"/>
    </row>
    <row r="41" spans="1:20" ht="29">
      <c r="A41" s="31" t="s">
        <v>277</v>
      </c>
      <c r="B41" s="3" t="s">
        <v>69</v>
      </c>
      <c r="C41" s="3" t="s">
        <v>11</v>
      </c>
      <c r="D41" s="4" t="s">
        <v>394</v>
      </c>
      <c r="E41" s="4" t="s">
        <v>395</v>
      </c>
      <c r="F41" s="3" t="s">
        <v>2272</v>
      </c>
      <c r="G41" s="3" t="s">
        <v>2272</v>
      </c>
      <c r="H41" s="21" t="s">
        <v>2272</v>
      </c>
      <c r="I41" s="21" t="s">
        <v>2272</v>
      </c>
      <c r="J41" s="21" t="s">
        <v>2272</v>
      </c>
      <c r="K41" s="21"/>
      <c r="L41" s="21" t="s">
        <v>2272</v>
      </c>
      <c r="M41" s="21" t="s">
        <v>2272</v>
      </c>
      <c r="N41" s="21" t="s">
        <v>2272</v>
      </c>
      <c r="O41" s="21" t="s">
        <v>2272</v>
      </c>
      <c r="P41" s="21">
        <v>20.564036389999998</v>
      </c>
      <c r="Q41" s="21" t="s">
        <v>2272</v>
      </c>
      <c r="R41" s="21" t="s">
        <v>2272</v>
      </c>
      <c r="S41" s="21" t="s">
        <v>2272</v>
      </c>
      <c r="T41" s="3"/>
    </row>
    <row r="42" spans="1:20" ht="29">
      <c r="A42" s="31" t="s">
        <v>278</v>
      </c>
      <c r="B42" s="3" t="s">
        <v>69</v>
      </c>
      <c r="C42" s="3" t="s">
        <v>11</v>
      </c>
      <c r="D42" s="4" t="s">
        <v>394</v>
      </c>
      <c r="E42" s="4" t="s">
        <v>395</v>
      </c>
      <c r="F42" s="3" t="s">
        <v>2272</v>
      </c>
      <c r="G42" s="3" t="s">
        <v>2272</v>
      </c>
      <c r="H42" s="21" t="s">
        <v>2272</v>
      </c>
      <c r="I42" s="21" t="s">
        <v>2272</v>
      </c>
      <c r="J42" s="21" t="s">
        <v>2272</v>
      </c>
      <c r="K42" s="21"/>
      <c r="L42" s="21" t="s">
        <v>2272</v>
      </c>
      <c r="M42" s="21" t="s">
        <v>2272</v>
      </c>
      <c r="N42" s="21" t="s">
        <v>2272</v>
      </c>
      <c r="O42" s="21" t="s">
        <v>2272</v>
      </c>
      <c r="P42" s="21">
        <v>23.855131369999999</v>
      </c>
      <c r="Q42" s="21" t="s">
        <v>2272</v>
      </c>
      <c r="R42" s="21" t="s">
        <v>2272</v>
      </c>
      <c r="S42" s="21" t="s">
        <v>2272</v>
      </c>
      <c r="T42" s="3"/>
    </row>
    <row r="43" spans="1:20" ht="29">
      <c r="A43" s="31" t="s">
        <v>279</v>
      </c>
      <c r="B43" s="3" t="s">
        <v>69</v>
      </c>
      <c r="C43" s="3" t="s">
        <v>11</v>
      </c>
      <c r="D43" s="4" t="s">
        <v>394</v>
      </c>
      <c r="E43" s="4" t="s">
        <v>395</v>
      </c>
      <c r="F43" s="3" t="s">
        <v>2272</v>
      </c>
      <c r="G43" s="3" t="s">
        <v>2272</v>
      </c>
      <c r="H43" s="21" t="s">
        <v>2272</v>
      </c>
      <c r="I43" s="21" t="s">
        <v>2272</v>
      </c>
      <c r="J43" s="21" t="s">
        <v>2272</v>
      </c>
      <c r="K43" s="21"/>
      <c r="L43" s="21" t="s">
        <v>2272</v>
      </c>
      <c r="M43" s="21" t="s">
        <v>2272</v>
      </c>
      <c r="N43" s="21" t="s">
        <v>2272</v>
      </c>
      <c r="O43" s="21" t="s">
        <v>2272</v>
      </c>
      <c r="P43" s="21">
        <v>10.091180960000001</v>
      </c>
      <c r="Q43" s="21" t="s">
        <v>2272</v>
      </c>
      <c r="R43" s="21" t="s">
        <v>2272</v>
      </c>
      <c r="S43" s="21" t="s">
        <v>2272</v>
      </c>
      <c r="T43" s="3"/>
    </row>
    <row r="44" spans="1:20" ht="29">
      <c r="A44" s="31" t="s">
        <v>280</v>
      </c>
      <c r="B44" s="3" t="s">
        <v>69</v>
      </c>
      <c r="C44" s="3" t="s">
        <v>11</v>
      </c>
      <c r="D44" s="4" t="s">
        <v>394</v>
      </c>
      <c r="E44" s="4" t="s">
        <v>395</v>
      </c>
      <c r="F44" s="3" t="s">
        <v>2272</v>
      </c>
      <c r="G44" s="3" t="s">
        <v>2272</v>
      </c>
      <c r="H44" s="21" t="s">
        <v>2272</v>
      </c>
      <c r="I44" s="21" t="s">
        <v>2272</v>
      </c>
      <c r="J44" s="21" t="s">
        <v>2272</v>
      </c>
      <c r="K44" s="21"/>
      <c r="L44" s="21" t="s">
        <v>2272</v>
      </c>
      <c r="M44" s="21" t="s">
        <v>2272</v>
      </c>
      <c r="N44" s="21" t="s">
        <v>2272</v>
      </c>
      <c r="O44" s="21" t="s">
        <v>2272</v>
      </c>
      <c r="P44" s="21">
        <v>16.62551208</v>
      </c>
      <c r="Q44" s="21" t="s">
        <v>2272</v>
      </c>
      <c r="R44" s="21" t="s">
        <v>2272</v>
      </c>
      <c r="S44" s="21" t="s">
        <v>2272</v>
      </c>
      <c r="T44" s="3"/>
    </row>
    <row r="45" spans="1:20" ht="29">
      <c r="A45" s="31" t="s">
        <v>281</v>
      </c>
      <c r="B45" s="3" t="s">
        <v>69</v>
      </c>
      <c r="C45" s="3" t="s">
        <v>11</v>
      </c>
      <c r="D45" s="4" t="s">
        <v>394</v>
      </c>
      <c r="E45" s="4" t="s">
        <v>395</v>
      </c>
      <c r="F45" s="3" t="s">
        <v>2272</v>
      </c>
      <c r="G45" s="3" t="s">
        <v>2272</v>
      </c>
      <c r="H45" s="21" t="s">
        <v>2272</v>
      </c>
      <c r="I45" s="21" t="s">
        <v>2272</v>
      </c>
      <c r="J45" s="21" t="s">
        <v>2272</v>
      </c>
      <c r="K45" s="21"/>
      <c r="L45" s="21" t="s">
        <v>2272</v>
      </c>
      <c r="M45" s="21" t="s">
        <v>2272</v>
      </c>
      <c r="N45" s="21" t="s">
        <v>2272</v>
      </c>
      <c r="O45" s="21" t="s">
        <v>2272</v>
      </c>
      <c r="P45" s="21">
        <v>41.584479739999999</v>
      </c>
      <c r="Q45" s="21" t="s">
        <v>2272</v>
      </c>
      <c r="R45" s="21" t="s">
        <v>2272</v>
      </c>
      <c r="S45" s="21" t="s">
        <v>2272</v>
      </c>
      <c r="T45" s="3"/>
    </row>
    <row r="46" spans="1:20" ht="29">
      <c r="A46" s="31" t="s">
        <v>282</v>
      </c>
      <c r="B46" s="3" t="s">
        <v>69</v>
      </c>
      <c r="C46" s="3" t="s">
        <v>11</v>
      </c>
      <c r="D46" s="4" t="s">
        <v>394</v>
      </c>
      <c r="E46" s="4" t="s">
        <v>395</v>
      </c>
      <c r="F46" s="3" t="s">
        <v>2272</v>
      </c>
      <c r="G46" s="3" t="s">
        <v>2272</v>
      </c>
      <c r="H46" s="21" t="s">
        <v>2272</v>
      </c>
      <c r="I46" s="21" t="s">
        <v>2272</v>
      </c>
      <c r="J46" s="21" t="s">
        <v>2272</v>
      </c>
      <c r="K46" s="21"/>
      <c r="L46" s="21" t="s">
        <v>2272</v>
      </c>
      <c r="M46" s="21" t="s">
        <v>2272</v>
      </c>
      <c r="N46" s="21" t="s">
        <v>2272</v>
      </c>
      <c r="O46" s="21" t="s">
        <v>2272</v>
      </c>
      <c r="P46" s="21">
        <v>11.16301174</v>
      </c>
      <c r="Q46" s="21" t="s">
        <v>2272</v>
      </c>
      <c r="R46" s="21" t="s">
        <v>2272</v>
      </c>
      <c r="S46" s="21" t="s">
        <v>2272</v>
      </c>
      <c r="T46" s="3"/>
    </row>
    <row r="47" spans="1:20" ht="29">
      <c r="A47" s="31" t="s">
        <v>283</v>
      </c>
      <c r="B47" s="3" t="s">
        <v>69</v>
      </c>
      <c r="C47" s="3" t="s">
        <v>11</v>
      </c>
      <c r="D47" s="4" t="s">
        <v>394</v>
      </c>
      <c r="E47" s="4" t="s">
        <v>395</v>
      </c>
      <c r="F47" s="3" t="s">
        <v>2272</v>
      </c>
      <c r="G47" s="3" t="s">
        <v>2272</v>
      </c>
      <c r="H47" s="21" t="s">
        <v>2272</v>
      </c>
      <c r="I47" s="21" t="s">
        <v>2272</v>
      </c>
      <c r="J47" s="21" t="s">
        <v>2272</v>
      </c>
      <c r="K47" s="21"/>
      <c r="L47" s="21" t="s">
        <v>2272</v>
      </c>
      <c r="M47" s="21" t="s">
        <v>2272</v>
      </c>
      <c r="N47" s="21" t="s">
        <v>2272</v>
      </c>
      <c r="O47" s="21" t="s">
        <v>2272</v>
      </c>
      <c r="P47" s="21">
        <v>23.359450800000001</v>
      </c>
      <c r="Q47" s="21" t="s">
        <v>2272</v>
      </c>
      <c r="R47" s="21" t="s">
        <v>2272</v>
      </c>
      <c r="S47" s="21" t="s">
        <v>2272</v>
      </c>
      <c r="T47" s="3"/>
    </row>
    <row r="48" spans="1:20" ht="29">
      <c r="A48" s="31" t="s">
        <v>284</v>
      </c>
      <c r="B48" s="3" t="s">
        <v>69</v>
      </c>
      <c r="C48" s="3" t="s">
        <v>11</v>
      </c>
      <c r="D48" s="4" t="s">
        <v>394</v>
      </c>
      <c r="E48" s="4" t="s">
        <v>395</v>
      </c>
      <c r="F48" s="3" t="s">
        <v>2272</v>
      </c>
      <c r="G48" s="3" t="s">
        <v>2272</v>
      </c>
      <c r="H48" s="21" t="s">
        <v>2272</v>
      </c>
      <c r="I48" s="21" t="s">
        <v>2272</v>
      </c>
      <c r="J48" s="21" t="s">
        <v>2272</v>
      </c>
      <c r="K48" s="21"/>
      <c r="L48" s="21" t="s">
        <v>2272</v>
      </c>
      <c r="M48" s="21" t="s">
        <v>2272</v>
      </c>
      <c r="N48" s="21" t="s">
        <v>2272</v>
      </c>
      <c r="O48" s="21" t="s">
        <v>2272</v>
      </c>
      <c r="P48" s="21">
        <v>4.0366516900000002</v>
      </c>
      <c r="Q48" s="21" t="s">
        <v>2272</v>
      </c>
      <c r="R48" s="21" t="s">
        <v>2272</v>
      </c>
      <c r="S48" s="21" t="s">
        <v>2272</v>
      </c>
      <c r="T48" s="3"/>
    </row>
    <row r="49" spans="1:20" ht="29">
      <c r="A49" s="31" t="s">
        <v>285</v>
      </c>
      <c r="B49" s="3" t="s">
        <v>69</v>
      </c>
      <c r="C49" s="3" t="s">
        <v>11</v>
      </c>
      <c r="D49" s="4" t="s">
        <v>394</v>
      </c>
      <c r="E49" s="4" t="s">
        <v>395</v>
      </c>
      <c r="F49" s="3" t="s">
        <v>2272</v>
      </c>
      <c r="G49" s="3" t="s">
        <v>2272</v>
      </c>
      <c r="H49" s="21" t="s">
        <v>2272</v>
      </c>
      <c r="I49" s="21" t="s">
        <v>2272</v>
      </c>
      <c r="J49" s="21" t="s">
        <v>2272</v>
      </c>
      <c r="K49" s="21"/>
      <c r="L49" s="21" t="s">
        <v>2272</v>
      </c>
      <c r="M49" s="21" t="s">
        <v>2272</v>
      </c>
      <c r="N49" s="21" t="s">
        <v>2272</v>
      </c>
      <c r="O49" s="21" t="s">
        <v>2272</v>
      </c>
      <c r="P49" s="21">
        <v>3.7979184799999999</v>
      </c>
      <c r="Q49" s="21" t="s">
        <v>2272</v>
      </c>
      <c r="R49" s="21" t="s">
        <v>2272</v>
      </c>
      <c r="S49" s="21" t="s">
        <v>2272</v>
      </c>
      <c r="T49" s="3"/>
    </row>
    <row r="50" spans="1:20" ht="29">
      <c r="A50" s="31" t="s">
        <v>286</v>
      </c>
      <c r="B50" s="3" t="s">
        <v>69</v>
      </c>
      <c r="C50" s="3" t="s">
        <v>11</v>
      </c>
      <c r="D50" s="4" t="s">
        <v>394</v>
      </c>
      <c r="E50" s="4" t="s">
        <v>395</v>
      </c>
      <c r="F50" s="3" t="s">
        <v>2272</v>
      </c>
      <c r="G50" s="3" t="s">
        <v>2272</v>
      </c>
      <c r="H50" s="21" t="s">
        <v>2272</v>
      </c>
      <c r="I50" s="21" t="s">
        <v>2272</v>
      </c>
      <c r="J50" s="21" t="s">
        <v>2272</v>
      </c>
      <c r="K50" s="21"/>
      <c r="L50" s="21" t="s">
        <v>2272</v>
      </c>
      <c r="M50" s="21" t="s">
        <v>2272</v>
      </c>
      <c r="N50" s="21" t="s">
        <v>2272</v>
      </c>
      <c r="O50" s="21" t="s">
        <v>2272</v>
      </c>
      <c r="P50" s="21">
        <v>11.620274029999999</v>
      </c>
      <c r="Q50" s="21" t="s">
        <v>2272</v>
      </c>
      <c r="R50" s="21" t="s">
        <v>2272</v>
      </c>
      <c r="S50" s="21" t="s">
        <v>2272</v>
      </c>
      <c r="T50" s="3"/>
    </row>
    <row r="51" spans="1:20" ht="29">
      <c r="A51" s="31" t="s">
        <v>287</v>
      </c>
      <c r="B51" s="3" t="s">
        <v>69</v>
      </c>
      <c r="C51" s="3" t="s">
        <v>11</v>
      </c>
      <c r="D51" s="4" t="s">
        <v>394</v>
      </c>
      <c r="E51" s="4" t="s">
        <v>395</v>
      </c>
      <c r="F51" s="3" t="s">
        <v>2272</v>
      </c>
      <c r="G51" s="3" t="s">
        <v>2272</v>
      </c>
      <c r="H51" s="21" t="s">
        <v>2272</v>
      </c>
      <c r="I51" s="21" t="s">
        <v>2272</v>
      </c>
      <c r="J51" s="21" t="s">
        <v>2272</v>
      </c>
      <c r="K51" s="21"/>
      <c r="L51" s="21" t="s">
        <v>2272</v>
      </c>
      <c r="M51" s="21" t="s">
        <v>2272</v>
      </c>
      <c r="N51" s="21" t="s">
        <v>2272</v>
      </c>
      <c r="O51" s="21" t="s">
        <v>2272</v>
      </c>
      <c r="P51" s="21">
        <v>13.74711025</v>
      </c>
      <c r="Q51" s="21" t="s">
        <v>2272</v>
      </c>
      <c r="R51" s="21" t="s">
        <v>2272</v>
      </c>
      <c r="S51" s="21" t="s">
        <v>2272</v>
      </c>
      <c r="T51" s="3"/>
    </row>
    <row r="52" spans="1:20" ht="29">
      <c r="A52" s="31" t="s">
        <v>292</v>
      </c>
      <c r="B52" s="3" t="s">
        <v>69</v>
      </c>
      <c r="C52" s="3" t="s">
        <v>11</v>
      </c>
      <c r="D52" s="4" t="s">
        <v>394</v>
      </c>
      <c r="E52" s="4" t="s">
        <v>395</v>
      </c>
      <c r="F52" s="3" t="s">
        <v>2272</v>
      </c>
      <c r="G52" s="3" t="s">
        <v>2272</v>
      </c>
      <c r="H52" s="21" t="s">
        <v>2272</v>
      </c>
      <c r="I52" s="21" t="s">
        <v>2272</v>
      </c>
      <c r="J52" s="21" t="s">
        <v>2272</v>
      </c>
      <c r="K52" s="21"/>
      <c r="L52" s="21" t="s">
        <v>2272</v>
      </c>
      <c r="M52" s="21" t="s">
        <v>2272</v>
      </c>
      <c r="N52" s="21" t="s">
        <v>2272</v>
      </c>
      <c r="O52" s="21" t="s">
        <v>2272</v>
      </c>
      <c r="P52" s="21">
        <v>3.1926252000000002</v>
      </c>
      <c r="Q52" s="21" t="s">
        <v>2272</v>
      </c>
      <c r="R52" s="21" t="s">
        <v>2272</v>
      </c>
      <c r="S52" s="21" t="s">
        <v>2272</v>
      </c>
      <c r="T52" s="3"/>
    </row>
    <row r="53" spans="1:20" ht="29">
      <c r="A53" s="31" t="s">
        <v>293</v>
      </c>
      <c r="B53" s="3" t="s">
        <v>69</v>
      </c>
      <c r="C53" s="3" t="s">
        <v>11</v>
      </c>
      <c r="D53" s="4" t="s">
        <v>394</v>
      </c>
      <c r="E53" s="4" t="s">
        <v>395</v>
      </c>
      <c r="F53" s="3" t="s">
        <v>2272</v>
      </c>
      <c r="G53" s="3" t="s">
        <v>2272</v>
      </c>
      <c r="H53" s="21" t="s">
        <v>2272</v>
      </c>
      <c r="I53" s="21" t="s">
        <v>2272</v>
      </c>
      <c r="J53" s="21" t="s">
        <v>2272</v>
      </c>
      <c r="K53" s="21"/>
      <c r="L53" s="21" t="s">
        <v>2272</v>
      </c>
      <c r="M53" s="21" t="s">
        <v>2272</v>
      </c>
      <c r="N53" s="21" t="s">
        <v>2272</v>
      </c>
      <c r="O53" s="21" t="s">
        <v>2272</v>
      </c>
      <c r="P53" s="21">
        <v>5.9426253600000001</v>
      </c>
      <c r="Q53" s="21" t="s">
        <v>2272</v>
      </c>
      <c r="R53" s="21" t="s">
        <v>2272</v>
      </c>
      <c r="S53" s="21" t="s">
        <v>2272</v>
      </c>
      <c r="T53" s="3"/>
    </row>
    <row r="54" spans="1:20" ht="29">
      <c r="A54" s="31" t="s">
        <v>294</v>
      </c>
      <c r="B54" s="3" t="s">
        <v>69</v>
      </c>
      <c r="C54" s="3" t="s">
        <v>11</v>
      </c>
      <c r="D54" s="4" t="s">
        <v>394</v>
      </c>
      <c r="E54" s="4" t="s">
        <v>395</v>
      </c>
      <c r="F54" s="3" t="s">
        <v>2272</v>
      </c>
      <c r="G54" s="3" t="s">
        <v>2272</v>
      </c>
      <c r="H54" s="21" t="s">
        <v>2272</v>
      </c>
      <c r="I54" s="21" t="s">
        <v>2272</v>
      </c>
      <c r="J54" s="21" t="s">
        <v>2272</v>
      </c>
      <c r="K54" s="21"/>
      <c r="L54" s="21" t="s">
        <v>2272</v>
      </c>
      <c r="M54" s="21" t="s">
        <v>2272</v>
      </c>
      <c r="N54" s="21" t="s">
        <v>2272</v>
      </c>
      <c r="O54" s="21" t="s">
        <v>2272</v>
      </c>
      <c r="P54" s="21">
        <v>57.605732949999997</v>
      </c>
      <c r="Q54" s="21" t="s">
        <v>2272</v>
      </c>
      <c r="R54" s="21" t="s">
        <v>2272</v>
      </c>
      <c r="S54" s="21" t="s">
        <v>2272</v>
      </c>
      <c r="T54" s="3"/>
    </row>
    <row r="55" spans="1:20" ht="29">
      <c r="A55" s="31" t="s">
        <v>295</v>
      </c>
      <c r="B55" s="3" t="s">
        <v>69</v>
      </c>
      <c r="C55" s="3" t="s">
        <v>11</v>
      </c>
      <c r="D55" s="4" t="s">
        <v>394</v>
      </c>
      <c r="E55" s="4" t="s">
        <v>395</v>
      </c>
      <c r="F55" s="3" t="s">
        <v>2272</v>
      </c>
      <c r="G55" s="3" t="s">
        <v>2272</v>
      </c>
      <c r="H55" s="21" t="s">
        <v>2272</v>
      </c>
      <c r="I55" s="21" t="s">
        <v>2272</v>
      </c>
      <c r="J55" s="21" t="s">
        <v>2272</v>
      </c>
      <c r="K55" s="21"/>
      <c r="L55" s="21" t="s">
        <v>2272</v>
      </c>
      <c r="M55" s="21" t="s">
        <v>2272</v>
      </c>
      <c r="N55" s="21" t="s">
        <v>2272</v>
      </c>
      <c r="O55" s="21" t="s">
        <v>2272</v>
      </c>
      <c r="P55" s="21">
        <v>4.1026212900000001</v>
      </c>
      <c r="Q55" s="21" t="s">
        <v>2272</v>
      </c>
      <c r="R55" s="21" t="s">
        <v>2272</v>
      </c>
      <c r="S55" s="21" t="s">
        <v>2272</v>
      </c>
      <c r="T55" s="3"/>
    </row>
    <row r="56" spans="1:20" ht="29">
      <c r="A56" s="31" t="s">
        <v>296</v>
      </c>
      <c r="B56" s="3" t="s">
        <v>69</v>
      </c>
      <c r="C56" s="3" t="s">
        <v>11</v>
      </c>
      <c r="D56" s="4" t="s">
        <v>394</v>
      </c>
      <c r="E56" s="4" t="s">
        <v>395</v>
      </c>
      <c r="F56" s="3" t="s">
        <v>2272</v>
      </c>
      <c r="G56" s="3" t="s">
        <v>2272</v>
      </c>
      <c r="H56" s="21" t="s">
        <v>2272</v>
      </c>
      <c r="I56" s="21" t="s">
        <v>2272</v>
      </c>
      <c r="J56" s="21" t="s">
        <v>2272</v>
      </c>
      <c r="K56" s="21"/>
      <c r="L56" s="21" t="s">
        <v>2272</v>
      </c>
      <c r="M56" s="21" t="s">
        <v>2272</v>
      </c>
      <c r="N56" s="21" t="s">
        <v>2272</v>
      </c>
      <c r="O56" s="21" t="s">
        <v>2272</v>
      </c>
      <c r="P56" s="21">
        <v>6.4205224699999999</v>
      </c>
      <c r="Q56" s="21" t="s">
        <v>2272</v>
      </c>
      <c r="R56" s="21" t="s">
        <v>2272</v>
      </c>
      <c r="S56" s="21" t="s">
        <v>2272</v>
      </c>
      <c r="T56" s="3"/>
    </row>
    <row r="57" spans="1:20" ht="29">
      <c r="A57" s="31" t="s">
        <v>297</v>
      </c>
      <c r="B57" s="3" t="s">
        <v>69</v>
      </c>
      <c r="C57" s="3" t="s">
        <v>11</v>
      </c>
      <c r="D57" s="4" t="s">
        <v>394</v>
      </c>
      <c r="E57" s="4" t="s">
        <v>395</v>
      </c>
      <c r="F57" s="3" t="s">
        <v>2272</v>
      </c>
      <c r="G57" s="3" t="s">
        <v>2272</v>
      </c>
      <c r="H57" s="21" t="s">
        <v>2272</v>
      </c>
      <c r="I57" s="21" t="s">
        <v>2272</v>
      </c>
      <c r="J57" s="21" t="s">
        <v>2272</v>
      </c>
      <c r="K57" s="21"/>
      <c r="L57" s="21" t="s">
        <v>2272</v>
      </c>
      <c r="M57" s="21" t="s">
        <v>2272</v>
      </c>
      <c r="N57" s="21" t="s">
        <v>2272</v>
      </c>
      <c r="O57" s="21" t="s">
        <v>2272</v>
      </c>
      <c r="P57" s="21">
        <v>9.1263055000000008</v>
      </c>
      <c r="Q57" s="21" t="s">
        <v>2272</v>
      </c>
      <c r="R57" s="21" t="s">
        <v>2272</v>
      </c>
      <c r="S57" s="21" t="s">
        <v>2272</v>
      </c>
      <c r="T57" s="3"/>
    </row>
    <row r="58" spans="1:20" ht="29">
      <c r="A58" s="31" t="s">
        <v>298</v>
      </c>
      <c r="B58" s="3" t="s">
        <v>69</v>
      </c>
      <c r="C58" s="3" t="s">
        <v>11</v>
      </c>
      <c r="D58" s="4" t="s">
        <v>394</v>
      </c>
      <c r="E58" s="4" t="s">
        <v>395</v>
      </c>
      <c r="F58" s="3" t="s">
        <v>2272</v>
      </c>
      <c r="G58" s="3" t="s">
        <v>2272</v>
      </c>
      <c r="H58" s="21" t="s">
        <v>2272</v>
      </c>
      <c r="I58" s="21" t="s">
        <v>2272</v>
      </c>
      <c r="J58" s="21" t="s">
        <v>2272</v>
      </c>
      <c r="K58" s="21"/>
      <c r="L58" s="21" t="s">
        <v>2272</v>
      </c>
      <c r="M58" s="21" t="s">
        <v>2272</v>
      </c>
      <c r="N58" s="21" t="s">
        <v>2272</v>
      </c>
      <c r="O58" s="21" t="s">
        <v>2272</v>
      </c>
      <c r="P58" s="21">
        <v>121.50697177000001</v>
      </c>
      <c r="Q58" s="21" t="s">
        <v>2272</v>
      </c>
      <c r="R58" s="21" t="s">
        <v>2272</v>
      </c>
      <c r="S58" s="21" t="s">
        <v>2272</v>
      </c>
      <c r="T58" s="3"/>
    </row>
    <row r="59" spans="1:20" ht="29">
      <c r="A59" s="31" t="s">
        <v>299</v>
      </c>
      <c r="B59" s="3" t="s">
        <v>69</v>
      </c>
      <c r="C59" s="3" t="s">
        <v>11</v>
      </c>
      <c r="D59" s="4" t="s">
        <v>394</v>
      </c>
      <c r="E59" s="4" t="s">
        <v>395</v>
      </c>
      <c r="F59" s="3" t="s">
        <v>2272</v>
      </c>
      <c r="G59" s="3" t="s">
        <v>2272</v>
      </c>
      <c r="H59" s="21" t="s">
        <v>2272</v>
      </c>
      <c r="I59" s="21" t="s">
        <v>2272</v>
      </c>
      <c r="J59" s="21" t="s">
        <v>2272</v>
      </c>
      <c r="K59" s="21"/>
      <c r="L59" s="21" t="s">
        <v>2272</v>
      </c>
      <c r="M59" s="21" t="s">
        <v>2272</v>
      </c>
      <c r="N59" s="21" t="s">
        <v>2272</v>
      </c>
      <c r="O59" s="21" t="s">
        <v>2272</v>
      </c>
      <c r="P59" s="21">
        <v>71.081879310000005</v>
      </c>
      <c r="Q59" s="21" t="s">
        <v>2272</v>
      </c>
      <c r="R59" s="21" t="s">
        <v>2272</v>
      </c>
      <c r="S59" s="21" t="s">
        <v>2272</v>
      </c>
      <c r="T59" s="3"/>
    </row>
    <row r="60" spans="1:20" ht="29">
      <c r="A60" s="31" t="s">
        <v>300</v>
      </c>
      <c r="B60" s="3" t="s">
        <v>69</v>
      </c>
      <c r="C60" s="3" t="s">
        <v>11</v>
      </c>
      <c r="D60" s="4" t="s">
        <v>394</v>
      </c>
      <c r="E60" s="4" t="s">
        <v>395</v>
      </c>
      <c r="F60" s="3" t="s">
        <v>2272</v>
      </c>
      <c r="G60" s="3" t="s">
        <v>2272</v>
      </c>
      <c r="H60" s="21" t="s">
        <v>2272</v>
      </c>
      <c r="I60" s="21" t="s">
        <v>2272</v>
      </c>
      <c r="J60" s="21" t="s">
        <v>2272</v>
      </c>
      <c r="K60" s="21"/>
      <c r="L60" s="21" t="s">
        <v>2272</v>
      </c>
      <c r="M60" s="21" t="s">
        <v>2272</v>
      </c>
      <c r="N60" s="21" t="s">
        <v>2272</v>
      </c>
      <c r="O60" s="21" t="s">
        <v>2272</v>
      </c>
      <c r="P60" s="21">
        <v>12.08484209</v>
      </c>
      <c r="Q60" s="21" t="s">
        <v>2272</v>
      </c>
      <c r="R60" s="21" t="s">
        <v>2272</v>
      </c>
      <c r="S60" s="21" t="s">
        <v>2272</v>
      </c>
      <c r="T60" s="3"/>
    </row>
    <row r="61" spans="1:20" ht="29">
      <c r="A61" s="31" t="s">
        <v>301</v>
      </c>
      <c r="B61" s="3" t="s">
        <v>69</v>
      </c>
      <c r="C61" s="3" t="s">
        <v>11</v>
      </c>
      <c r="D61" s="4" t="s">
        <v>394</v>
      </c>
      <c r="E61" s="4" t="s">
        <v>395</v>
      </c>
      <c r="F61" s="3" t="s">
        <v>2272</v>
      </c>
      <c r="G61" s="3" t="s">
        <v>2272</v>
      </c>
      <c r="H61" s="21" t="s">
        <v>2272</v>
      </c>
      <c r="I61" s="21" t="s">
        <v>2272</v>
      </c>
      <c r="J61" s="21" t="s">
        <v>2272</v>
      </c>
      <c r="K61" s="21"/>
      <c r="L61" s="21" t="s">
        <v>2272</v>
      </c>
      <c r="M61" s="21" t="s">
        <v>2272</v>
      </c>
      <c r="N61" s="21" t="s">
        <v>2272</v>
      </c>
      <c r="O61" s="21" t="s">
        <v>2272</v>
      </c>
      <c r="P61" s="21">
        <v>19.92462832</v>
      </c>
      <c r="Q61" s="21" t="s">
        <v>2272</v>
      </c>
      <c r="R61" s="21" t="s">
        <v>2272</v>
      </c>
      <c r="S61" s="21" t="s">
        <v>2272</v>
      </c>
      <c r="T61" s="3"/>
    </row>
    <row r="62" spans="1:20" ht="29">
      <c r="A62" s="31" t="s">
        <v>302</v>
      </c>
      <c r="B62" s="3" t="s">
        <v>69</v>
      </c>
      <c r="C62" s="3" t="s">
        <v>11</v>
      </c>
      <c r="D62" s="4" t="s">
        <v>394</v>
      </c>
      <c r="E62" s="4" t="s">
        <v>395</v>
      </c>
      <c r="F62" s="3" t="s">
        <v>2272</v>
      </c>
      <c r="G62" s="3" t="s">
        <v>2272</v>
      </c>
      <c r="H62" s="21" t="s">
        <v>2272</v>
      </c>
      <c r="I62" s="21" t="s">
        <v>2272</v>
      </c>
      <c r="J62" s="21" t="s">
        <v>2272</v>
      </c>
      <c r="K62" s="21"/>
      <c r="L62" s="21" t="s">
        <v>2272</v>
      </c>
      <c r="M62" s="21" t="s">
        <v>2272</v>
      </c>
      <c r="N62" s="21" t="s">
        <v>2272</v>
      </c>
      <c r="O62" s="21" t="s">
        <v>2272</v>
      </c>
      <c r="P62" s="21">
        <v>54.932544739999997</v>
      </c>
      <c r="Q62" s="21" t="s">
        <v>2272</v>
      </c>
      <c r="R62" s="21" t="s">
        <v>2272</v>
      </c>
      <c r="S62" s="21" t="s">
        <v>2272</v>
      </c>
      <c r="T62" s="3"/>
    </row>
    <row r="63" spans="1:20" ht="29">
      <c r="A63" s="31" t="s">
        <v>303</v>
      </c>
      <c r="B63" s="3" t="s">
        <v>69</v>
      </c>
      <c r="C63" s="3" t="s">
        <v>11</v>
      </c>
      <c r="D63" s="4" t="s">
        <v>394</v>
      </c>
      <c r="E63" s="4" t="s">
        <v>395</v>
      </c>
      <c r="F63" s="3" t="s">
        <v>2272</v>
      </c>
      <c r="G63" s="3" t="s">
        <v>2272</v>
      </c>
      <c r="H63" s="21" t="s">
        <v>2272</v>
      </c>
      <c r="I63" s="21" t="s">
        <v>2272</v>
      </c>
      <c r="J63" s="21" t="s">
        <v>2272</v>
      </c>
      <c r="K63" s="21"/>
      <c r="L63" s="21" t="s">
        <v>2272</v>
      </c>
      <c r="M63" s="21" t="s">
        <v>2272</v>
      </c>
      <c r="N63" s="21" t="s">
        <v>2272</v>
      </c>
      <c r="O63" s="21" t="s">
        <v>2272</v>
      </c>
      <c r="P63" s="21">
        <v>24.888227239999999</v>
      </c>
      <c r="Q63" s="21" t="s">
        <v>2272</v>
      </c>
      <c r="R63" s="21" t="s">
        <v>2272</v>
      </c>
      <c r="S63" s="21" t="s">
        <v>2272</v>
      </c>
      <c r="T63" s="3"/>
    </row>
    <row r="64" spans="1:20" ht="29">
      <c r="A64" s="31" t="s">
        <v>304</v>
      </c>
      <c r="B64" s="3" t="s">
        <v>69</v>
      </c>
      <c r="C64" s="3" t="s">
        <v>11</v>
      </c>
      <c r="D64" s="4" t="s">
        <v>394</v>
      </c>
      <c r="E64" s="4" t="s">
        <v>395</v>
      </c>
      <c r="F64" s="3" t="s">
        <v>2272</v>
      </c>
      <c r="G64" s="3" t="s">
        <v>2272</v>
      </c>
      <c r="H64" s="21" t="s">
        <v>2272</v>
      </c>
      <c r="I64" s="21" t="s">
        <v>2272</v>
      </c>
      <c r="J64" s="21" t="s">
        <v>2272</v>
      </c>
      <c r="K64" s="21"/>
      <c r="L64" s="21" t="s">
        <v>2272</v>
      </c>
      <c r="M64" s="21" t="s">
        <v>2272</v>
      </c>
      <c r="N64" s="21" t="s">
        <v>2272</v>
      </c>
      <c r="O64" s="21" t="s">
        <v>2272</v>
      </c>
      <c r="P64" s="21">
        <v>15.769765420000001</v>
      </c>
      <c r="Q64" s="21" t="s">
        <v>2272</v>
      </c>
      <c r="R64" s="21" t="s">
        <v>2272</v>
      </c>
      <c r="S64" s="21" t="s">
        <v>2272</v>
      </c>
      <c r="T64" s="3"/>
    </row>
    <row r="65" spans="1:20" ht="29">
      <c r="A65" s="31" t="s">
        <v>305</v>
      </c>
      <c r="B65" s="3" t="s">
        <v>69</v>
      </c>
      <c r="C65" s="3" t="s">
        <v>11</v>
      </c>
      <c r="D65" s="4" t="s">
        <v>394</v>
      </c>
      <c r="E65" s="4" t="s">
        <v>395</v>
      </c>
      <c r="F65" s="3" t="s">
        <v>2272</v>
      </c>
      <c r="G65" s="3" t="s">
        <v>2272</v>
      </c>
      <c r="H65" s="21" t="s">
        <v>2272</v>
      </c>
      <c r="I65" s="21" t="s">
        <v>2272</v>
      </c>
      <c r="J65" s="21" t="s">
        <v>2272</v>
      </c>
      <c r="K65" s="21"/>
      <c r="L65" s="21" t="s">
        <v>2272</v>
      </c>
      <c r="M65" s="21" t="s">
        <v>2272</v>
      </c>
      <c r="N65" s="21" t="s">
        <v>2272</v>
      </c>
      <c r="O65" s="21" t="s">
        <v>2272</v>
      </c>
      <c r="P65" s="21">
        <v>17.475767449999999</v>
      </c>
      <c r="Q65" s="21" t="s">
        <v>2272</v>
      </c>
      <c r="R65" s="21" t="s">
        <v>2272</v>
      </c>
      <c r="S65" s="21" t="s">
        <v>2272</v>
      </c>
      <c r="T65" s="3"/>
    </row>
    <row r="66" spans="1:20" ht="29">
      <c r="A66" s="31" t="s">
        <v>306</v>
      </c>
      <c r="B66" s="3" t="s">
        <v>69</v>
      </c>
      <c r="C66" s="3" t="s">
        <v>11</v>
      </c>
      <c r="D66" s="4" t="s">
        <v>394</v>
      </c>
      <c r="E66" s="4" t="s">
        <v>395</v>
      </c>
      <c r="F66" s="3" t="s">
        <v>2272</v>
      </c>
      <c r="G66" s="3" t="s">
        <v>2272</v>
      </c>
      <c r="H66" s="21" t="s">
        <v>2272</v>
      </c>
      <c r="I66" s="21" t="s">
        <v>2272</v>
      </c>
      <c r="J66" s="21" t="s">
        <v>2272</v>
      </c>
      <c r="K66" s="21"/>
      <c r="L66" s="21" t="s">
        <v>2272</v>
      </c>
      <c r="M66" s="21" t="s">
        <v>2272</v>
      </c>
      <c r="N66" s="21" t="s">
        <v>2272</v>
      </c>
      <c r="O66" s="21" t="s">
        <v>2272</v>
      </c>
      <c r="P66" s="21">
        <v>13.330206860000001</v>
      </c>
      <c r="Q66" s="21" t="s">
        <v>2272</v>
      </c>
      <c r="R66" s="21" t="s">
        <v>2272</v>
      </c>
      <c r="S66" s="21" t="s">
        <v>2272</v>
      </c>
      <c r="T66" s="3"/>
    </row>
    <row r="67" spans="1:20" ht="29">
      <c r="A67" s="31" t="s">
        <v>307</v>
      </c>
      <c r="B67" s="3" t="s">
        <v>69</v>
      </c>
      <c r="C67" s="3" t="s">
        <v>11</v>
      </c>
      <c r="D67" s="4" t="s">
        <v>394</v>
      </c>
      <c r="E67" s="4" t="s">
        <v>395</v>
      </c>
      <c r="F67" s="3" t="s">
        <v>2272</v>
      </c>
      <c r="G67" s="3" t="s">
        <v>2272</v>
      </c>
      <c r="H67" s="21" t="s">
        <v>2272</v>
      </c>
      <c r="I67" s="21" t="s">
        <v>2272</v>
      </c>
      <c r="J67" s="21" t="s">
        <v>2272</v>
      </c>
      <c r="K67" s="21"/>
      <c r="L67" s="21" t="s">
        <v>2272</v>
      </c>
      <c r="M67" s="21" t="s">
        <v>2272</v>
      </c>
      <c r="N67" s="21" t="s">
        <v>2272</v>
      </c>
      <c r="O67" s="21" t="s">
        <v>2272</v>
      </c>
      <c r="P67" s="21">
        <v>7.1252818099999997</v>
      </c>
      <c r="Q67" s="21" t="s">
        <v>2272</v>
      </c>
      <c r="R67" s="21" t="s">
        <v>2272</v>
      </c>
      <c r="S67" s="21" t="s">
        <v>2272</v>
      </c>
      <c r="T67" s="3"/>
    </row>
    <row r="68" spans="1:20" ht="29">
      <c r="A68" s="31" t="s">
        <v>308</v>
      </c>
      <c r="B68" s="3" t="s">
        <v>69</v>
      </c>
      <c r="C68" s="3" t="s">
        <v>11</v>
      </c>
      <c r="D68" s="4" t="s">
        <v>394</v>
      </c>
      <c r="E68" s="4" t="s">
        <v>395</v>
      </c>
      <c r="F68" s="3" t="s">
        <v>2272</v>
      </c>
      <c r="G68" s="3" t="s">
        <v>2272</v>
      </c>
      <c r="H68" s="21" t="s">
        <v>2272</v>
      </c>
      <c r="I68" s="21" t="s">
        <v>2272</v>
      </c>
      <c r="J68" s="21" t="s">
        <v>2272</v>
      </c>
      <c r="K68" s="21"/>
      <c r="L68" s="21" t="s">
        <v>2272</v>
      </c>
      <c r="M68" s="21" t="s">
        <v>2272</v>
      </c>
      <c r="N68" s="21" t="s">
        <v>2272</v>
      </c>
      <c r="O68" s="21" t="s">
        <v>2272</v>
      </c>
      <c r="P68" s="21">
        <v>11.91420484</v>
      </c>
      <c r="Q68" s="21" t="s">
        <v>2272</v>
      </c>
      <c r="R68" s="21" t="s">
        <v>2272</v>
      </c>
      <c r="S68" s="21" t="s">
        <v>2272</v>
      </c>
      <c r="T68" s="3"/>
    </row>
    <row r="69" spans="1:20" ht="29">
      <c r="A69" s="31" t="s">
        <v>309</v>
      </c>
      <c r="B69" s="3" t="s">
        <v>69</v>
      </c>
      <c r="C69" s="3" t="s">
        <v>11</v>
      </c>
      <c r="D69" s="4" t="s">
        <v>394</v>
      </c>
      <c r="E69" s="4" t="s">
        <v>395</v>
      </c>
      <c r="F69" s="3" t="s">
        <v>2272</v>
      </c>
      <c r="G69" s="3" t="s">
        <v>2272</v>
      </c>
      <c r="H69" s="21" t="s">
        <v>2272</v>
      </c>
      <c r="I69" s="21" t="s">
        <v>2272</v>
      </c>
      <c r="J69" s="21" t="s">
        <v>2272</v>
      </c>
      <c r="K69" s="21"/>
      <c r="L69" s="21" t="s">
        <v>2272</v>
      </c>
      <c r="M69" s="21" t="s">
        <v>2272</v>
      </c>
      <c r="N69" s="21" t="s">
        <v>2272</v>
      </c>
      <c r="O69" s="21" t="s">
        <v>2272</v>
      </c>
      <c r="P69" s="21">
        <v>5.6075728500000004</v>
      </c>
      <c r="Q69" s="21" t="s">
        <v>2272</v>
      </c>
      <c r="R69" s="21" t="s">
        <v>2272</v>
      </c>
      <c r="S69" s="21" t="s">
        <v>2272</v>
      </c>
      <c r="T69" s="3"/>
    </row>
    <row r="70" spans="1:20" ht="29">
      <c r="A70" s="31" t="s">
        <v>310</v>
      </c>
      <c r="B70" s="3" t="s">
        <v>69</v>
      </c>
      <c r="C70" s="3" t="s">
        <v>11</v>
      </c>
      <c r="D70" s="4" t="s">
        <v>394</v>
      </c>
      <c r="E70" s="4" t="s">
        <v>395</v>
      </c>
      <c r="F70" s="3" t="s">
        <v>2272</v>
      </c>
      <c r="G70" s="3" t="s">
        <v>2272</v>
      </c>
      <c r="H70" s="21" t="s">
        <v>2272</v>
      </c>
      <c r="I70" s="21" t="s">
        <v>2272</v>
      </c>
      <c r="J70" s="21" t="s">
        <v>2272</v>
      </c>
      <c r="K70" s="21"/>
      <c r="L70" s="21" t="s">
        <v>2272</v>
      </c>
      <c r="M70" s="21" t="s">
        <v>2272</v>
      </c>
      <c r="N70" s="21" t="s">
        <v>2272</v>
      </c>
      <c r="O70" s="21" t="s">
        <v>2272</v>
      </c>
      <c r="P70" s="21">
        <v>3.2086728199999999</v>
      </c>
      <c r="Q70" s="21" t="s">
        <v>2272</v>
      </c>
      <c r="R70" s="21" t="s">
        <v>2272</v>
      </c>
      <c r="S70" s="21" t="s">
        <v>2272</v>
      </c>
      <c r="T70" s="3"/>
    </row>
    <row r="71" spans="1:20" ht="39" customHeight="1">
      <c r="A71" s="3" t="s">
        <v>92</v>
      </c>
      <c r="B71" s="3" t="s">
        <v>69</v>
      </c>
      <c r="C71" s="3" t="s">
        <v>11</v>
      </c>
      <c r="D71" s="4" t="s">
        <v>394</v>
      </c>
      <c r="E71" s="4" t="s">
        <v>395</v>
      </c>
      <c r="F71" s="3" t="s">
        <v>2272</v>
      </c>
      <c r="G71" s="3" t="s">
        <v>2272</v>
      </c>
      <c r="H71" s="21" t="s">
        <v>2272</v>
      </c>
      <c r="I71" s="21">
        <v>6.07</v>
      </c>
      <c r="J71" s="21" t="s">
        <v>2272</v>
      </c>
      <c r="K71" s="21"/>
      <c r="L71" s="21" t="s">
        <v>2272</v>
      </c>
      <c r="M71" s="21" t="s">
        <v>2272</v>
      </c>
      <c r="N71" s="21" t="s">
        <v>2272</v>
      </c>
      <c r="O71" s="21" t="s">
        <v>2272</v>
      </c>
      <c r="P71" s="21" t="s">
        <v>2272</v>
      </c>
      <c r="Q71" s="21" t="s">
        <v>2272</v>
      </c>
      <c r="R71" s="21" t="s">
        <v>2272</v>
      </c>
      <c r="S71" s="21" t="s">
        <v>2272</v>
      </c>
      <c r="T71" s="3"/>
    </row>
    <row r="72" spans="1:20" ht="39" customHeight="1">
      <c r="A72" s="3" t="s">
        <v>1249</v>
      </c>
      <c r="B72" s="3" t="s">
        <v>69</v>
      </c>
      <c r="C72" s="3" t="s">
        <v>11</v>
      </c>
      <c r="D72" s="4" t="s">
        <v>394</v>
      </c>
      <c r="E72" s="4" t="s">
        <v>395</v>
      </c>
      <c r="F72" s="3" t="s">
        <v>2272</v>
      </c>
      <c r="G72" s="3" t="s">
        <v>2272</v>
      </c>
      <c r="H72" s="21" t="s">
        <v>2272</v>
      </c>
      <c r="I72" s="21">
        <v>8.43</v>
      </c>
      <c r="J72" s="21" t="s">
        <v>2272</v>
      </c>
      <c r="K72" s="21"/>
      <c r="L72" s="21" t="s">
        <v>2272</v>
      </c>
      <c r="M72" s="21" t="s">
        <v>2272</v>
      </c>
      <c r="N72" s="21" t="s">
        <v>2272</v>
      </c>
      <c r="O72" s="21" t="s">
        <v>2272</v>
      </c>
      <c r="P72" s="21" t="s">
        <v>2272</v>
      </c>
      <c r="Q72" s="21" t="s">
        <v>2272</v>
      </c>
      <c r="R72" s="21" t="s">
        <v>2272</v>
      </c>
      <c r="S72" s="21" t="s">
        <v>2272</v>
      </c>
      <c r="T72" s="3"/>
    </row>
    <row r="73" spans="1:20" ht="39" customHeight="1">
      <c r="A73" s="3" t="s">
        <v>1250</v>
      </c>
      <c r="B73" s="3" t="s">
        <v>69</v>
      </c>
      <c r="C73" s="3" t="s">
        <v>11</v>
      </c>
      <c r="D73" s="4" t="s">
        <v>394</v>
      </c>
      <c r="E73" s="4" t="s">
        <v>395</v>
      </c>
      <c r="F73" s="3" t="s">
        <v>2272</v>
      </c>
      <c r="G73" s="3" t="s">
        <v>2272</v>
      </c>
      <c r="H73" s="21" t="s">
        <v>2272</v>
      </c>
      <c r="I73" s="21">
        <v>6.86</v>
      </c>
      <c r="J73" s="21" t="s">
        <v>2272</v>
      </c>
      <c r="K73" s="21"/>
      <c r="L73" s="21" t="s">
        <v>2272</v>
      </c>
      <c r="M73" s="21" t="s">
        <v>2272</v>
      </c>
      <c r="N73" s="21" t="s">
        <v>2272</v>
      </c>
      <c r="O73" s="21" t="s">
        <v>2272</v>
      </c>
      <c r="P73" s="21" t="s">
        <v>2272</v>
      </c>
      <c r="Q73" s="21" t="s">
        <v>2272</v>
      </c>
      <c r="R73" s="21" t="s">
        <v>2272</v>
      </c>
      <c r="S73" s="21" t="s">
        <v>2272</v>
      </c>
      <c r="T73" s="3"/>
    </row>
    <row r="74" spans="1:20" ht="43" customHeight="1">
      <c r="A74" s="3" t="s">
        <v>96</v>
      </c>
      <c r="B74" s="3" t="s">
        <v>69</v>
      </c>
      <c r="C74" s="3" t="s">
        <v>11</v>
      </c>
      <c r="D74" s="4" t="s">
        <v>394</v>
      </c>
      <c r="E74" s="4" t="s">
        <v>395</v>
      </c>
      <c r="F74" s="3" t="s">
        <v>2272</v>
      </c>
      <c r="G74" s="3" t="s">
        <v>2272</v>
      </c>
      <c r="H74" s="21">
        <v>1.1282051</v>
      </c>
      <c r="I74" s="21">
        <v>11.7</v>
      </c>
      <c r="J74" s="21">
        <v>3.1320000000000001</v>
      </c>
      <c r="K74" s="21"/>
      <c r="L74" s="21" t="s">
        <v>2272</v>
      </c>
      <c r="M74" s="21" t="s">
        <v>2272</v>
      </c>
      <c r="N74" s="21" t="s">
        <v>2272</v>
      </c>
      <c r="O74" s="21" t="s">
        <v>2272</v>
      </c>
      <c r="P74" s="21" t="s">
        <v>2272</v>
      </c>
      <c r="Q74" s="21" t="s">
        <v>2272</v>
      </c>
      <c r="R74" s="21" t="s">
        <v>2272</v>
      </c>
      <c r="S74" s="21" t="s">
        <v>2272</v>
      </c>
      <c r="T74" s="3" t="s">
        <v>1312</v>
      </c>
    </row>
    <row r="75" spans="1:20" ht="43" customHeight="1">
      <c r="A75" s="3" t="s">
        <v>1268</v>
      </c>
      <c r="B75" s="3" t="s">
        <v>69</v>
      </c>
      <c r="C75" s="3" t="s">
        <v>11</v>
      </c>
      <c r="D75" s="4" t="s">
        <v>394</v>
      </c>
      <c r="E75" s="4" t="s">
        <v>395</v>
      </c>
      <c r="F75" s="3" t="s">
        <v>2272</v>
      </c>
      <c r="G75" s="3" t="s">
        <v>2272</v>
      </c>
      <c r="H75" s="21">
        <v>0.6238532</v>
      </c>
      <c r="I75" s="21">
        <v>10.9</v>
      </c>
      <c r="J75" s="21">
        <v>3.1320000000000001</v>
      </c>
      <c r="K75" s="21"/>
      <c r="L75" s="21" t="s">
        <v>2272</v>
      </c>
      <c r="M75" s="21" t="s">
        <v>2272</v>
      </c>
      <c r="N75" s="21" t="s">
        <v>2272</v>
      </c>
      <c r="O75" s="21" t="s">
        <v>2272</v>
      </c>
      <c r="P75" s="21" t="s">
        <v>2272</v>
      </c>
      <c r="Q75" s="21" t="s">
        <v>2272</v>
      </c>
      <c r="R75" s="21" t="s">
        <v>2272</v>
      </c>
      <c r="S75" s="21" t="s">
        <v>2272</v>
      </c>
      <c r="T75" s="3" t="s">
        <v>1312</v>
      </c>
    </row>
    <row r="76" spans="1:20" ht="43" customHeight="1">
      <c r="A76" s="3" t="s">
        <v>1269</v>
      </c>
      <c r="B76" s="3" t="s">
        <v>69</v>
      </c>
      <c r="C76" s="3" t="s">
        <v>11</v>
      </c>
      <c r="D76" s="4" t="s">
        <v>394</v>
      </c>
      <c r="E76" s="4" t="s">
        <v>395</v>
      </c>
      <c r="F76" s="3" t="s">
        <v>2272</v>
      </c>
      <c r="G76" s="3" t="s">
        <v>2272</v>
      </c>
      <c r="H76" s="21">
        <v>0.90625</v>
      </c>
      <c r="I76" s="21">
        <v>9.6</v>
      </c>
      <c r="J76" s="21">
        <v>3.1320000000000001</v>
      </c>
      <c r="K76" s="21"/>
      <c r="L76" s="21" t="s">
        <v>2272</v>
      </c>
      <c r="M76" s="21" t="s">
        <v>2272</v>
      </c>
      <c r="N76" s="21" t="s">
        <v>2272</v>
      </c>
      <c r="O76" s="21" t="s">
        <v>2272</v>
      </c>
      <c r="P76" s="21" t="s">
        <v>2272</v>
      </c>
      <c r="Q76" s="21" t="s">
        <v>2272</v>
      </c>
      <c r="R76" s="21" t="s">
        <v>2272</v>
      </c>
      <c r="S76" s="21" t="s">
        <v>2272</v>
      </c>
      <c r="T76" s="3" t="s">
        <v>1312</v>
      </c>
    </row>
    <row r="77" spans="1:20" ht="43" customHeight="1">
      <c r="A77" s="3" t="s">
        <v>1270</v>
      </c>
      <c r="B77" s="3" t="s">
        <v>69</v>
      </c>
      <c r="C77" s="3" t="s">
        <v>11</v>
      </c>
      <c r="D77" s="4" t="s">
        <v>394</v>
      </c>
      <c r="E77" s="4" t="s">
        <v>395</v>
      </c>
      <c r="F77" s="3" t="s">
        <v>2272</v>
      </c>
      <c r="G77" s="3" t="s">
        <v>2272</v>
      </c>
      <c r="H77" s="21">
        <v>0.99090909999999999</v>
      </c>
      <c r="I77" s="21">
        <v>11</v>
      </c>
      <c r="J77" s="21">
        <v>3.1320000000000001</v>
      </c>
      <c r="K77" s="21"/>
      <c r="L77" s="21" t="s">
        <v>2272</v>
      </c>
      <c r="M77" s="21" t="s">
        <v>2272</v>
      </c>
      <c r="N77" s="21" t="s">
        <v>2272</v>
      </c>
      <c r="O77" s="21" t="s">
        <v>2272</v>
      </c>
      <c r="P77" s="21" t="s">
        <v>2272</v>
      </c>
      <c r="Q77" s="21" t="s">
        <v>2272</v>
      </c>
      <c r="R77" s="21" t="s">
        <v>2272</v>
      </c>
      <c r="S77" s="21" t="s">
        <v>2272</v>
      </c>
      <c r="T77" s="3" t="s">
        <v>1312</v>
      </c>
    </row>
    <row r="78" spans="1:20" ht="43" customHeight="1">
      <c r="A78" s="3" t="s">
        <v>1271</v>
      </c>
      <c r="B78" s="3" t="s">
        <v>69</v>
      </c>
      <c r="C78" s="3" t="s">
        <v>11</v>
      </c>
      <c r="D78" s="4" t="s">
        <v>394</v>
      </c>
      <c r="E78" s="4" t="s">
        <v>395</v>
      </c>
      <c r="F78" s="3" t="s">
        <v>2272</v>
      </c>
      <c r="G78" s="3" t="s">
        <v>2272</v>
      </c>
      <c r="H78" s="21">
        <v>1.1869919</v>
      </c>
      <c r="I78" s="21">
        <v>12.3</v>
      </c>
      <c r="J78" s="21">
        <v>3.1320000000000001</v>
      </c>
      <c r="K78" s="21"/>
      <c r="L78" s="21" t="s">
        <v>2272</v>
      </c>
      <c r="M78" s="21" t="s">
        <v>2272</v>
      </c>
      <c r="N78" s="21" t="s">
        <v>2272</v>
      </c>
      <c r="O78" s="21" t="s">
        <v>2272</v>
      </c>
      <c r="P78" s="21" t="s">
        <v>2272</v>
      </c>
      <c r="Q78" s="21" t="s">
        <v>2272</v>
      </c>
      <c r="R78" s="21" t="s">
        <v>2272</v>
      </c>
      <c r="S78" s="21" t="s">
        <v>2272</v>
      </c>
      <c r="T78" s="3" t="s">
        <v>1312</v>
      </c>
    </row>
    <row r="79" spans="1:20" ht="43" customHeight="1">
      <c r="A79" s="3" t="s">
        <v>1272</v>
      </c>
      <c r="B79" s="3" t="s">
        <v>69</v>
      </c>
      <c r="C79" s="3" t="s">
        <v>11</v>
      </c>
      <c r="D79" s="4" t="s">
        <v>394</v>
      </c>
      <c r="E79" s="4" t="s">
        <v>395</v>
      </c>
      <c r="F79" s="3" t="s">
        <v>2272</v>
      </c>
      <c r="G79" s="3" t="s">
        <v>2272</v>
      </c>
      <c r="H79" s="21">
        <v>1.1954023</v>
      </c>
      <c r="I79" s="21">
        <v>8.6999999999999993</v>
      </c>
      <c r="J79" s="21">
        <v>3.1320000000000001</v>
      </c>
      <c r="K79" s="21"/>
      <c r="L79" s="21" t="s">
        <v>2272</v>
      </c>
      <c r="M79" s="21" t="s">
        <v>2272</v>
      </c>
      <c r="N79" s="21" t="s">
        <v>2272</v>
      </c>
      <c r="O79" s="21" t="s">
        <v>2272</v>
      </c>
      <c r="P79" s="21" t="s">
        <v>2272</v>
      </c>
      <c r="Q79" s="21" t="s">
        <v>2272</v>
      </c>
      <c r="R79" s="21" t="s">
        <v>2272</v>
      </c>
      <c r="S79" s="21" t="s">
        <v>2272</v>
      </c>
      <c r="T79" s="3" t="s">
        <v>1312</v>
      </c>
    </row>
    <row r="80" spans="1:20" ht="43" customHeight="1">
      <c r="A80" s="3" t="s">
        <v>1273</v>
      </c>
      <c r="B80" s="3" t="s">
        <v>69</v>
      </c>
      <c r="C80" s="3" t="s">
        <v>11</v>
      </c>
      <c r="D80" s="4" t="s">
        <v>394</v>
      </c>
      <c r="E80" s="4" t="s">
        <v>395</v>
      </c>
      <c r="F80" s="3" t="s">
        <v>2272</v>
      </c>
      <c r="G80" s="3" t="s">
        <v>2272</v>
      </c>
      <c r="H80" s="21">
        <v>0.93548390000000003</v>
      </c>
      <c r="I80" s="21">
        <v>9.3000000000000007</v>
      </c>
      <c r="J80" s="21">
        <v>3.1320000000000001</v>
      </c>
      <c r="K80" s="21"/>
      <c r="L80" s="21" t="s">
        <v>2272</v>
      </c>
      <c r="M80" s="21" t="s">
        <v>2272</v>
      </c>
      <c r="N80" s="21" t="s">
        <v>2272</v>
      </c>
      <c r="O80" s="21" t="s">
        <v>2272</v>
      </c>
      <c r="P80" s="21" t="s">
        <v>2272</v>
      </c>
      <c r="Q80" s="21" t="s">
        <v>2272</v>
      </c>
      <c r="R80" s="21" t="s">
        <v>2272</v>
      </c>
      <c r="S80" s="21" t="s">
        <v>2272</v>
      </c>
      <c r="T80" s="3" t="s">
        <v>1312</v>
      </c>
    </row>
    <row r="81" spans="1:20" ht="43" customHeight="1">
      <c r="A81" s="3" t="s">
        <v>1274</v>
      </c>
      <c r="B81" s="3" t="s">
        <v>69</v>
      </c>
      <c r="C81" s="3" t="s">
        <v>11</v>
      </c>
      <c r="D81" s="4" t="s">
        <v>394</v>
      </c>
      <c r="E81" s="4" t="s">
        <v>395</v>
      </c>
      <c r="F81" s="3" t="s">
        <v>2272</v>
      </c>
      <c r="G81" s="3" t="s">
        <v>2272</v>
      </c>
      <c r="H81" s="21">
        <v>1.5</v>
      </c>
      <c r="I81" s="21">
        <v>9.8000000000000007</v>
      </c>
      <c r="J81" s="21">
        <v>3.1320000000000001</v>
      </c>
      <c r="K81" s="21"/>
      <c r="L81" s="21" t="s">
        <v>2272</v>
      </c>
      <c r="M81" s="21" t="s">
        <v>2272</v>
      </c>
      <c r="N81" s="21" t="s">
        <v>2272</v>
      </c>
      <c r="O81" s="21" t="s">
        <v>2272</v>
      </c>
      <c r="P81" s="21" t="s">
        <v>2272</v>
      </c>
      <c r="Q81" s="21" t="s">
        <v>2272</v>
      </c>
      <c r="R81" s="21" t="s">
        <v>2272</v>
      </c>
      <c r="S81" s="21" t="s">
        <v>2272</v>
      </c>
      <c r="T81" s="3" t="s">
        <v>1312</v>
      </c>
    </row>
    <row r="82" spans="1:20" ht="43" customHeight="1">
      <c r="A82" s="3" t="s">
        <v>1275</v>
      </c>
      <c r="B82" s="3" t="s">
        <v>69</v>
      </c>
      <c r="C82" s="3" t="s">
        <v>11</v>
      </c>
      <c r="D82" s="4" t="s">
        <v>394</v>
      </c>
      <c r="E82" s="4" t="s">
        <v>395</v>
      </c>
      <c r="F82" s="3" t="s">
        <v>2272</v>
      </c>
      <c r="G82" s="3" t="s">
        <v>2272</v>
      </c>
      <c r="H82" s="21">
        <v>1.2666667</v>
      </c>
      <c r="I82" s="21">
        <v>9</v>
      </c>
      <c r="J82" s="21">
        <v>3.1320000000000001</v>
      </c>
      <c r="K82" s="21"/>
      <c r="L82" s="21" t="s">
        <v>2272</v>
      </c>
      <c r="M82" s="21" t="s">
        <v>2272</v>
      </c>
      <c r="N82" s="21" t="s">
        <v>2272</v>
      </c>
      <c r="O82" s="21" t="s">
        <v>2272</v>
      </c>
      <c r="P82" s="21" t="s">
        <v>2272</v>
      </c>
      <c r="Q82" s="21" t="s">
        <v>2272</v>
      </c>
      <c r="R82" s="21" t="s">
        <v>2272</v>
      </c>
      <c r="S82" s="21" t="s">
        <v>2272</v>
      </c>
      <c r="T82" s="3" t="s">
        <v>1312</v>
      </c>
    </row>
    <row r="83" spans="1:20" ht="43" customHeight="1">
      <c r="A83" s="3" t="s">
        <v>1276</v>
      </c>
      <c r="B83" s="3" t="s">
        <v>69</v>
      </c>
      <c r="C83" s="3" t="s">
        <v>11</v>
      </c>
      <c r="D83" s="4" t="s">
        <v>394</v>
      </c>
      <c r="E83" s="4" t="s">
        <v>395</v>
      </c>
      <c r="F83" s="3" t="s">
        <v>2272</v>
      </c>
      <c r="G83" s="3" t="s">
        <v>2272</v>
      </c>
      <c r="H83" s="21">
        <v>1</v>
      </c>
      <c r="I83" s="21">
        <v>10.7</v>
      </c>
      <c r="J83" s="21">
        <v>3.1320000000000001</v>
      </c>
      <c r="K83" s="21"/>
      <c r="L83" s="21" t="s">
        <v>2272</v>
      </c>
      <c r="M83" s="21" t="s">
        <v>2272</v>
      </c>
      <c r="N83" s="21" t="s">
        <v>2272</v>
      </c>
      <c r="O83" s="21" t="s">
        <v>2272</v>
      </c>
      <c r="P83" s="21" t="s">
        <v>2272</v>
      </c>
      <c r="Q83" s="21" t="s">
        <v>2272</v>
      </c>
      <c r="R83" s="21" t="s">
        <v>2272</v>
      </c>
      <c r="S83" s="21" t="s">
        <v>2272</v>
      </c>
      <c r="T83" s="3" t="s">
        <v>1312</v>
      </c>
    </row>
    <row r="84" spans="1:20" ht="43" customHeight="1">
      <c r="A84" s="3" t="s">
        <v>1277</v>
      </c>
      <c r="B84" s="3" t="s">
        <v>69</v>
      </c>
      <c r="C84" s="3" t="s">
        <v>11</v>
      </c>
      <c r="D84" s="4" t="s">
        <v>394</v>
      </c>
      <c r="E84" s="4" t="s">
        <v>395</v>
      </c>
      <c r="F84" s="3" t="s">
        <v>2272</v>
      </c>
      <c r="G84" s="3" t="s">
        <v>2272</v>
      </c>
      <c r="H84" s="21">
        <v>1</v>
      </c>
      <c r="I84" s="21">
        <v>9.9</v>
      </c>
      <c r="J84" s="21">
        <v>3.1320000000000001</v>
      </c>
      <c r="K84" s="21"/>
      <c r="L84" s="21" t="s">
        <v>2272</v>
      </c>
      <c r="M84" s="21" t="s">
        <v>2272</v>
      </c>
      <c r="N84" s="21" t="s">
        <v>2272</v>
      </c>
      <c r="O84" s="21" t="s">
        <v>2272</v>
      </c>
      <c r="P84" s="21" t="s">
        <v>2272</v>
      </c>
      <c r="Q84" s="21" t="s">
        <v>2272</v>
      </c>
      <c r="R84" s="21" t="s">
        <v>2272</v>
      </c>
      <c r="S84" s="21" t="s">
        <v>2272</v>
      </c>
      <c r="T84" s="3" t="s">
        <v>1312</v>
      </c>
    </row>
    <row r="85" spans="1:20" ht="39" customHeight="1">
      <c r="A85" s="3" t="s">
        <v>101</v>
      </c>
      <c r="B85" s="3" t="s">
        <v>69</v>
      </c>
      <c r="C85" s="3" t="s">
        <v>11</v>
      </c>
      <c r="D85" s="4" t="s">
        <v>394</v>
      </c>
      <c r="E85" s="3" t="s">
        <v>2272</v>
      </c>
      <c r="F85" s="3" t="s">
        <v>2272</v>
      </c>
      <c r="G85" s="3" t="s">
        <v>2272</v>
      </c>
      <c r="H85" s="21" t="s">
        <v>2272</v>
      </c>
      <c r="I85" s="21" t="s">
        <v>2272</v>
      </c>
      <c r="J85" s="21" t="s">
        <v>2272</v>
      </c>
      <c r="K85" s="21"/>
      <c r="L85" s="21" t="s">
        <v>2272</v>
      </c>
      <c r="M85" s="21" t="s">
        <v>2272</v>
      </c>
      <c r="N85" s="21" t="s">
        <v>2272</v>
      </c>
      <c r="O85" s="21" t="s">
        <v>2272</v>
      </c>
      <c r="P85" s="21" t="s">
        <v>2272</v>
      </c>
      <c r="Q85" s="21" t="s">
        <v>2272</v>
      </c>
      <c r="R85" s="21" t="s">
        <v>2272</v>
      </c>
      <c r="S85" s="21" t="s">
        <v>2272</v>
      </c>
      <c r="T85" s="3" t="s">
        <v>1312</v>
      </c>
    </row>
    <row r="86" spans="1:20" ht="48" customHeight="1">
      <c r="A86" s="3" t="s">
        <v>105</v>
      </c>
      <c r="B86" s="3" t="s">
        <v>69</v>
      </c>
      <c r="C86" s="3" t="s">
        <v>11</v>
      </c>
      <c r="D86" s="4" t="s">
        <v>394</v>
      </c>
      <c r="E86" s="4" t="s">
        <v>395</v>
      </c>
      <c r="F86" s="3" t="s">
        <v>2272</v>
      </c>
      <c r="G86" s="3" t="s">
        <v>2272</v>
      </c>
      <c r="H86" s="21" t="s">
        <v>2272</v>
      </c>
      <c r="I86" s="21">
        <v>6.53</v>
      </c>
      <c r="J86" s="21" t="s">
        <v>2272</v>
      </c>
      <c r="K86" s="21"/>
      <c r="L86" s="21" t="s">
        <v>2272</v>
      </c>
      <c r="M86" s="21" t="s">
        <v>2272</v>
      </c>
      <c r="N86" s="21" t="s">
        <v>2272</v>
      </c>
      <c r="O86" s="21" t="s">
        <v>2272</v>
      </c>
      <c r="P86" s="21" t="s">
        <v>2272</v>
      </c>
      <c r="Q86" s="21" t="s">
        <v>2272</v>
      </c>
      <c r="R86" s="21" t="s">
        <v>2272</v>
      </c>
      <c r="S86" s="21" t="s">
        <v>2272</v>
      </c>
      <c r="T86" s="4" t="s">
        <v>1356</v>
      </c>
    </row>
    <row r="87" spans="1:20" ht="35.5" customHeight="1">
      <c r="A87" s="3" t="s">
        <v>1313</v>
      </c>
      <c r="B87" s="3" t="s">
        <v>69</v>
      </c>
      <c r="C87" s="3" t="s">
        <v>11</v>
      </c>
      <c r="D87" s="4" t="s">
        <v>394</v>
      </c>
      <c r="E87" s="4" t="s">
        <v>395</v>
      </c>
      <c r="F87" s="3" t="s">
        <v>2272</v>
      </c>
      <c r="G87" s="3" t="s">
        <v>2272</v>
      </c>
      <c r="H87" s="21" t="s">
        <v>2272</v>
      </c>
      <c r="I87" s="21">
        <v>8.6199999999999992</v>
      </c>
      <c r="J87" s="21" t="s">
        <v>2272</v>
      </c>
      <c r="K87" s="21"/>
      <c r="L87" s="21" t="s">
        <v>2272</v>
      </c>
      <c r="M87" s="21" t="s">
        <v>2272</v>
      </c>
      <c r="N87" s="21" t="s">
        <v>2272</v>
      </c>
      <c r="O87" s="21" t="s">
        <v>2272</v>
      </c>
      <c r="P87" s="21" t="s">
        <v>2272</v>
      </c>
      <c r="Q87" s="21" t="s">
        <v>2272</v>
      </c>
      <c r="R87" s="21" t="s">
        <v>2272</v>
      </c>
      <c r="S87" s="21" t="s">
        <v>2272</v>
      </c>
      <c r="T87" s="4" t="s">
        <v>1356</v>
      </c>
    </row>
    <row r="88" spans="1:20" ht="35.5" customHeight="1">
      <c r="A88" s="3" t="s">
        <v>1314</v>
      </c>
      <c r="B88" s="3" t="s">
        <v>69</v>
      </c>
      <c r="C88" s="3" t="s">
        <v>11</v>
      </c>
      <c r="D88" s="4" t="s">
        <v>394</v>
      </c>
      <c r="E88" s="4" t="s">
        <v>395</v>
      </c>
      <c r="F88" s="3" t="s">
        <v>2272</v>
      </c>
      <c r="G88" s="3" t="s">
        <v>2272</v>
      </c>
      <c r="H88" s="21" t="s">
        <v>2272</v>
      </c>
      <c r="I88" s="21">
        <v>11.61</v>
      </c>
      <c r="J88" s="21" t="s">
        <v>2272</v>
      </c>
      <c r="K88" s="21"/>
      <c r="L88" s="21" t="s">
        <v>2272</v>
      </c>
      <c r="M88" s="21" t="s">
        <v>2272</v>
      </c>
      <c r="N88" s="21" t="s">
        <v>2272</v>
      </c>
      <c r="O88" s="21" t="s">
        <v>2272</v>
      </c>
      <c r="P88" s="21" t="s">
        <v>2272</v>
      </c>
      <c r="Q88" s="21" t="s">
        <v>2272</v>
      </c>
      <c r="R88" s="21" t="s">
        <v>2272</v>
      </c>
      <c r="S88" s="21" t="s">
        <v>2272</v>
      </c>
      <c r="T88" s="4" t="s">
        <v>1356</v>
      </c>
    </row>
    <row r="89" spans="1:20" ht="35.5" customHeight="1">
      <c r="A89" s="3" t="s">
        <v>1315</v>
      </c>
      <c r="B89" s="3" t="s">
        <v>69</v>
      </c>
      <c r="C89" s="3" t="s">
        <v>11</v>
      </c>
      <c r="D89" s="4" t="s">
        <v>394</v>
      </c>
      <c r="E89" s="4" t="s">
        <v>395</v>
      </c>
      <c r="F89" s="3" t="s">
        <v>2272</v>
      </c>
      <c r="G89" s="3" t="s">
        <v>2272</v>
      </c>
      <c r="H89" s="21" t="s">
        <v>2272</v>
      </c>
      <c r="I89" s="21">
        <v>5.23</v>
      </c>
      <c r="J89" s="21" t="s">
        <v>2272</v>
      </c>
      <c r="K89" s="21"/>
      <c r="L89" s="21" t="s">
        <v>2272</v>
      </c>
      <c r="M89" s="21" t="s">
        <v>2272</v>
      </c>
      <c r="N89" s="21" t="s">
        <v>2272</v>
      </c>
      <c r="O89" s="21" t="s">
        <v>2272</v>
      </c>
      <c r="P89" s="21" t="s">
        <v>2272</v>
      </c>
      <c r="Q89" s="21" t="s">
        <v>2272</v>
      </c>
      <c r="R89" s="21" t="s">
        <v>2272</v>
      </c>
      <c r="S89" s="21" t="s">
        <v>2272</v>
      </c>
      <c r="T89" s="4" t="s">
        <v>1356</v>
      </c>
    </row>
    <row r="90" spans="1:20" ht="35.5" customHeight="1">
      <c r="A90" s="3" t="s">
        <v>1316</v>
      </c>
      <c r="B90" s="3" t="s">
        <v>69</v>
      </c>
      <c r="C90" s="3" t="s">
        <v>11</v>
      </c>
      <c r="D90" s="4" t="s">
        <v>394</v>
      </c>
      <c r="E90" s="4" t="s">
        <v>395</v>
      </c>
      <c r="F90" s="3" t="s">
        <v>2272</v>
      </c>
      <c r="G90" s="3" t="s">
        <v>2272</v>
      </c>
      <c r="H90" s="21" t="s">
        <v>2272</v>
      </c>
      <c r="I90" s="21">
        <v>6.99</v>
      </c>
      <c r="J90" s="21" t="s">
        <v>2272</v>
      </c>
      <c r="K90" s="21"/>
      <c r="L90" s="21" t="s">
        <v>2272</v>
      </c>
      <c r="M90" s="21" t="s">
        <v>2272</v>
      </c>
      <c r="N90" s="21" t="s">
        <v>2272</v>
      </c>
      <c r="O90" s="21" t="s">
        <v>2272</v>
      </c>
      <c r="P90" s="21" t="s">
        <v>2272</v>
      </c>
      <c r="Q90" s="21" t="s">
        <v>2272</v>
      </c>
      <c r="R90" s="21" t="s">
        <v>2272</v>
      </c>
      <c r="S90" s="21" t="s">
        <v>2272</v>
      </c>
      <c r="T90" s="4" t="s">
        <v>1356</v>
      </c>
    </row>
    <row r="91" spans="1:20" ht="35.5" customHeight="1">
      <c r="A91" s="3" t="s">
        <v>1317</v>
      </c>
      <c r="B91" s="3" t="s">
        <v>69</v>
      </c>
      <c r="C91" s="3" t="s">
        <v>11</v>
      </c>
      <c r="D91" s="4" t="s">
        <v>394</v>
      </c>
      <c r="E91" s="4" t="s">
        <v>395</v>
      </c>
      <c r="F91" s="3" t="s">
        <v>2272</v>
      </c>
      <c r="G91" s="3" t="s">
        <v>2272</v>
      </c>
      <c r="H91" s="21" t="s">
        <v>2272</v>
      </c>
      <c r="I91" s="21">
        <v>3.62</v>
      </c>
      <c r="J91" s="21" t="s">
        <v>2272</v>
      </c>
      <c r="K91" s="21"/>
      <c r="L91" s="21" t="s">
        <v>2272</v>
      </c>
      <c r="M91" s="21" t="s">
        <v>2272</v>
      </c>
      <c r="N91" s="21" t="s">
        <v>2272</v>
      </c>
      <c r="O91" s="21" t="s">
        <v>2272</v>
      </c>
      <c r="P91" s="21" t="s">
        <v>2272</v>
      </c>
      <c r="Q91" s="21" t="s">
        <v>2272</v>
      </c>
      <c r="R91" s="21" t="s">
        <v>2272</v>
      </c>
      <c r="S91" s="21" t="s">
        <v>2272</v>
      </c>
      <c r="T91" s="4" t="s">
        <v>1356</v>
      </c>
    </row>
    <row r="92" spans="1:20" ht="35.5" customHeight="1">
      <c r="A92" s="3" t="s">
        <v>1318</v>
      </c>
      <c r="B92" s="3" t="s">
        <v>69</v>
      </c>
      <c r="C92" s="3" t="s">
        <v>11</v>
      </c>
      <c r="D92" s="4" t="s">
        <v>394</v>
      </c>
      <c r="E92" s="4" t="s">
        <v>395</v>
      </c>
      <c r="F92" s="3" t="s">
        <v>2272</v>
      </c>
      <c r="G92" s="3" t="s">
        <v>2272</v>
      </c>
      <c r="H92" s="21" t="s">
        <v>2272</v>
      </c>
      <c r="I92" s="21">
        <v>5.48</v>
      </c>
      <c r="J92" s="21" t="s">
        <v>2272</v>
      </c>
      <c r="K92" s="21"/>
      <c r="L92" s="21" t="s">
        <v>2272</v>
      </c>
      <c r="M92" s="21" t="s">
        <v>2272</v>
      </c>
      <c r="N92" s="21" t="s">
        <v>2272</v>
      </c>
      <c r="O92" s="21" t="s">
        <v>2272</v>
      </c>
      <c r="P92" s="21" t="s">
        <v>2272</v>
      </c>
      <c r="Q92" s="21" t="s">
        <v>2272</v>
      </c>
      <c r="R92" s="21" t="s">
        <v>2272</v>
      </c>
      <c r="S92" s="21" t="s">
        <v>2272</v>
      </c>
      <c r="T92" s="4" t="s">
        <v>1356</v>
      </c>
    </row>
    <row r="93" spans="1:20" ht="35.5" customHeight="1">
      <c r="A93" s="3" t="s">
        <v>1319</v>
      </c>
      <c r="B93" s="3" t="s">
        <v>69</v>
      </c>
      <c r="C93" s="3" t="s">
        <v>11</v>
      </c>
      <c r="D93" s="4" t="s">
        <v>394</v>
      </c>
      <c r="E93" s="4" t="s">
        <v>395</v>
      </c>
      <c r="F93" s="3" t="s">
        <v>2272</v>
      </c>
      <c r="G93" s="3" t="s">
        <v>2272</v>
      </c>
      <c r="H93" s="21" t="s">
        <v>2272</v>
      </c>
      <c r="I93" s="21">
        <v>4.0999999999999996</v>
      </c>
      <c r="J93" s="21" t="s">
        <v>2272</v>
      </c>
      <c r="K93" s="21"/>
      <c r="L93" s="21" t="s">
        <v>2272</v>
      </c>
      <c r="M93" s="21" t="s">
        <v>2272</v>
      </c>
      <c r="N93" s="21" t="s">
        <v>2272</v>
      </c>
      <c r="O93" s="21" t="s">
        <v>2272</v>
      </c>
      <c r="P93" s="21" t="s">
        <v>2272</v>
      </c>
      <c r="Q93" s="21" t="s">
        <v>2272</v>
      </c>
      <c r="R93" s="21" t="s">
        <v>2272</v>
      </c>
      <c r="S93" s="21" t="s">
        <v>2272</v>
      </c>
      <c r="T93" s="4" t="s">
        <v>1356</v>
      </c>
    </row>
    <row r="94" spans="1:20" ht="35.5" customHeight="1">
      <c r="A94" s="3" t="s">
        <v>1320</v>
      </c>
      <c r="B94" s="3" t="s">
        <v>69</v>
      </c>
      <c r="C94" s="3" t="s">
        <v>11</v>
      </c>
      <c r="D94" s="4" t="s">
        <v>394</v>
      </c>
      <c r="E94" s="4" t="s">
        <v>395</v>
      </c>
      <c r="F94" s="3" t="s">
        <v>2272</v>
      </c>
      <c r="G94" s="3" t="s">
        <v>2272</v>
      </c>
      <c r="H94" s="21" t="s">
        <v>2272</v>
      </c>
      <c r="I94" s="21">
        <v>9.31</v>
      </c>
      <c r="J94" s="21" t="s">
        <v>2272</v>
      </c>
      <c r="K94" s="21"/>
      <c r="L94" s="21" t="s">
        <v>2272</v>
      </c>
      <c r="M94" s="21" t="s">
        <v>2272</v>
      </c>
      <c r="N94" s="21" t="s">
        <v>2272</v>
      </c>
      <c r="O94" s="21" t="s">
        <v>2272</v>
      </c>
      <c r="P94" s="21" t="s">
        <v>2272</v>
      </c>
      <c r="Q94" s="21" t="s">
        <v>2272</v>
      </c>
      <c r="R94" s="21" t="s">
        <v>2272</v>
      </c>
      <c r="S94" s="21" t="s">
        <v>2272</v>
      </c>
      <c r="T94" s="4" t="s">
        <v>1356</v>
      </c>
    </row>
    <row r="95" spans="1:20" ht="35.5" customHeight="1">
      <c r="A95" s="3" t="s">
        <v>1321</v>
      </c>
      <c r="B95" s="3" t="s">
        <v>69</v>
      </c>
      <c r="C95" s="3" t="s">
        <v>11</v>
      </c>
      <c r="D95" s="4" t="s">
        <v>394</v>
      </c>
      <c r="E95" s="4" t="s">
        <v>395</v>
      </c>
      <c r="F95" s="3" t="s">
        <v>2272</v>
      </c>
      <c r="G95" s="3" t="s">
        <v>2272</v>
      </c>
      <c r="H95" s="21" t="s">
        <v>2272</v>
      </c>
      <c r="I95" s="21">
        <v>6.83</v>
      </c>
      <c r="J95" s="21" t="s">
        <v>2272</v>
      </c>
      <c r="K95" s="21"/>
      <c r="L95" s="21" t="s">
        <v>2272</v>
      </c>
      <c r="M95" s="21" t="s">
        <v>2272</v>
      </c>
      <c r="N95" s="21" t="s">
        <v>2272</v>
      </c>
      <c r="O95" s="21" t="s">
        <v>2272</v>
      </c>
      <c r="P95" s="21" t="s">
        <v>2272</v>
      </c>
      <c r="Q95" s="21" t="s">
        <v>2272</v>
      </c>
      <c r="R95" s="21" t="s">
        <v>2272</v>
      </c>
      <c r="S95" s="21" t="s">
        <v>2272</v>
      </c>
      <c r="T95" s="4" t="s">
        <v>1356</v>
      </c>
    </row>
    <row r="96" spans="1:20" ht="35.5" customHeight="1">
      <c r="A96" s="3" t="s">
        <v>1322</v>
      </c>
      <c r="B96" s="3" t="s">
        <v>69</v>
      </c>
      <c r="C96" s="3" t="s">
        <v>11</v>
      </c>
      <c r="D96" s="4" t="s">
        <v>394</v>
      </c>
      <c r="E96" s="4" t="s">
        <v>395</v>
      </c>
      <c r="F96" s="3" t="s">
        <v>2272</v>
      </c>
      <c r="G96" s="3" t="s">
        <v>2272</v>
      </c>
      <c r="H96" s="21" t="s">
        <v>2272</v>
      </c>
      <c r="I96" s="21">
        <v>9.48</v>
      </c>
      <c r="J96" s="21" t="s">
        <v>2272</v>
      </c>
      <c r="K96" s="21"/>
      <c r="L96" s="21" t="s">
        <v>2272</v>
      </c>
      <c r="M96" s="21" t="s">
        <v>2272</v>
      </c>
      <c r="N96" s="21" t="s">
        <v>2272</v>
      </c>
      <c r="O96" s="21" t="s">
        <v>2272</v>
      </c>
      <c r="P96" s="21" t="s">
        <v>2272</v>
      </c>
      <c r="Q96" s="21" t="s">
        <v>2272</v>
      </c>
      <c r="R96" s="21" t="s">
        <v>2272</v>
      </c>
      <c r="S96" s="21" t="s">
        <v>2272</v>
      </c>
      <c r="T96" s="4" t="s">
        <v>1356</v>
      </c>
    </row>
    <row r="97" spans="1:20" ht="35.5" customHeight="1">
      <c r="A97" s="3" t="s">
        <v>1357</v>
      </c>
      <c r="B97" s="3" t="s">
        <v>69</v>
      </c>
      <c r="C97" s="3" t="s">
        <v>11</v>
      </c>
      <c r="D97" s="4" t="s">
        <v>394</v>
      </c>
      <c r="E97" s="4" t="s">
        <v>395</v>
      </c>
      <c r="F97" s="3" t="s">
        <v>2272</v>
      </c>
      <c r="G97" s="3" t="s">
        <v>2272</v>
      </c>
      <c r="H97" s="21" t="s">
        <v>2272</v>
      </c>
      <c r="I97" s="21">
        <v>7.72</v>
      </c>
      <c r="J97" s="21" t="s">
        <v>2272</v>
      </c>
      <c r="K97" s="21"/>
      <c r="L97" s="21" t="s">
        <v>2272</v>
      </c>
      <c r="M97" s="21" t="s">
        <v>2272</v>
      </c>
      <c r="N97" s="21" t="s">
        <v>2272</v>
      </c>
      <c r="O97" s="21" t="s">
        <v>2272</v>
      </c>
      <c r="P97" s="21" t="s">
        <v>2272</v>
      </c>
      <c r="Q97" s="21" t="s">
        <v>2272</v>
      </c>
      <c r="R97" s="21" t="s">
        <v>2272</v>
      </c>
      <c r="S97" s="21" t="s">
        <v>2272</v>
      </c>
      <c r="T97" s="4" t="s">
        <v>1356</v>
      </c>
    </row>
    <row r="98" spans="1:20" ht="31" customHeight="1">
      <c r="A98" s="3" t="s">
        <v>110</v>
      </c>
      <c r="B98" s="3"/>
      <c r="C98" s="3" t="s">
        <v>2640</v>
      </c>
      <c r="D98" s="3" t="s">
        <v>82</v>
      </c>
      <c r="E98" s="3" t="s">
        <v>2272</v>
      </c>
      <c r="F98" s="3" t="s">
        <v>2272</v>
      </c>
      <c r="G98" s="3" t="s">
        <v>2272</v>
      </c>
      <c r="H98" s="21" t="s">
        <v>2272</v>
      </c>
      <c r="I98" s="21" t="s">
        <v>2272</v>
      </c>
      <c r="J98" s="21" t="s">
        <v>2272</v>
      </c>
      <c r="K98" s="21"/>
      <c r="L98" s="21" t="s">
        <v>2272</v>
      </c>
      <c r="M98" s="21" t="s">
        <v>2272</v>
      </c>
      <c r="N98" s="21" t="s">
        <v>2272</v>
      </c>
      <c r="O98" s="21" t="s">
        <v>2272</v>
      </c>
      <c r="P98" s="21" t="s">
        <v>2272</v>
      </c>
      <c r="Q98" s="21" t="s">
        <v>2272</v>
      </c>
      <c r="R98" s="21" t="s">
        <v>2272</v>
      </c>
      <c r="S98" s="21" t="s">
        <v>2272</v>
      </c>
      <c r="T98" s="4" t="s">
        <v>1361</v>
      </c>
    </row>
    <row r="99" spans="1:20" ht="51" customHeight="1">
      <c r="A99" s="3" t="s">
        <v>121</v>
      </c>
      <c r="B99" s="3" t="s">
        <v>68</v>
      </c>
      <c r="C99" s="3" t="s">
        <v>393</v>
      </c>
      <c r="D99" s="3" t="s">
        <v>128</v>
      </c>
      <c r="E99" s="3" t="s">
        <v>2272</v>
      </c>
      <c r="F99" s="3" t="s">
        <v>2272</v>
      </c>
      <c r="G99" s="3" t="s">
        <v>2272</v>
      </c>
      <c r="H99" s="21" t="s">
        <v>2272</v>
      </c>
      <c r="I99" s="21">
        <v>2</v>
      </c>
      <c r="J99" s="21" t="s">
        <v>2272</v>
      </c>
      <c r="K99" s="21"/>
      <c r="L99" s="21" t="s">
        <v>2272</v>
      </c>
      <c r="M99" s="21" t="s">
        <v>2272</v>
      </c>
      <c r="N99" s="21" t="s">
        <v>2272</v>
      </c>
      <c r="O99" s="21" t="s">
        <v>2272</v>
      </c>
      <c r="P99" s="21" t="s">
        <v>2272</v>
      </c>
      <c r="Q99" s="21" t="s">
        <v>2272</v>
      </c>
      <c r="R99" s="21" t="s">
        <v>2272</v>
      </c>
      <c r="S99" s="21" t="s">
        <v>2272</v>
      </c>
      <c r="T99" s="4" t="s">
        <v>127</v>
      </c>
    </row>
    <row r="100" spans="1:20" ht="46" customHeight="1">
      <c r="A100" s="11" t="s">
        <v>131</v>
      </c>
      <c r="B100" s="11" t="s">
        <v>1193</v>
      </c>
      <c r="C100" s="11" t="s">
        <v>11</v>
      </c>
      <c r="D100" s="19" t="s">
        <v>135</v>
      </c>
      <c r="E100" s="11" t="s">
        <v>128</v>
      </c>
      <c r="F100" s="11" t="s">
        <v>2272</v>
      </c>
      <c r="G100" s="11" t="s">
        <v>2272</v>
      </c>
      <c r="H100" s="21" t="s">
        <v>2272</v>
      </c>
      <c r="I100" s="21" t="s">
        <v>2272</v>
      </c>
      <c r="J100" s="21" t="s">
        <v>2272</v>
      </c>
      <c r="K100" s="21"/>
      <c r="L100" s="21" t="s">
        <v>2272</v>
      </c>
      <c r="M100" s="21" t="s">
        <v>2272</v>
      </c>
      <c r="N100" s="21" t="s">
        <v>2272</v>
      </c>
      <c r="O100" s="21" t="s">
        <v>2272</v>
      </c>
      <c r="P100" s="21" t="s">
        <v>2272</v>
      </c>
      <c r="Q100" s="21" t="s">
        <v>2272</v>
      </c>
      <c r="R100" s="21" t="s">
        <v>2272</v>
      </c>
      <c r="S100" s="21" t="s">
        <v>2272</v>
      </c>
      <c r="T100" s="3"/>
    </row>
    <row r="101" spans="1:20" ht="52" customHeight="1">
      <c r="A101" s="3" t="s">
        <v>134</v>
      </c>
      <c r="B101" s="3" t="s">
        <v>69</v>
      </c>
      <c r="C101" s="3" t="s">
        <v>11</v>
      </c>
      <c r="D101" s="3" t="s">
        <v>44</v>
      </c>
      <c r="E101" s="4" t="s">
        <v>395</v>
      </c>
      <c r="F101" s="4" t="s">
        <v>2272</v>
      </c>
      <c r="G101" s="4" t="s">
        <v>2272</v>
      </c>
      <c r="H101" s="21" t="s">
        <v>2272</v>
      </c>
      <c r="I101" s="21" t="s">
        <v>2272</v>
      </c>
      <c r="J101" s="21" t="s">
        <v>2272</v>
      </c>
      <c r="K101" s="21"/>
      <c r="L101" s="21" t="s">
        <v>2272</v>
      </c>
      <c r="M101" s="21" t="s">
        <v>2272</v>
      </c>
      <c r="N101" s="21" t="s">
        <v>2272</v>
      </c>
      <c r="O101" s="21" t="s">
        <v>2272</v>
      </c>
      <c r="P101" s="21" t="s">
        <v>2272</v>
      </c>
      <c r="Q101" s="21" t="s">
        <v>2272</v>
      </c>
      <c r="R101" s="21" t="s">
        <v>2272</v>
      </c>
      <c r="S101" s="21" t="s">
        <v>2272</v>
      </c>
      <c r="T101" s="4" t="s">
        <v>139</v>
      </c>
    </row>
    <row r="102" spans="1:20" ht="52" customHeight="1">
      <c r="A102" s="11" t="s">
        <v>143</v>
      </c>
      <c r="B102" s="11"/>
      <c r="C102" s="11" t="s">
        <v>393</v>
      </c>
      <c r="D102" s="11" t="s">
        <v>114</v>
      </c>
      <c r="E102" s="19" t="s">
        <v>128</v>
      </c>
      <c r="F102" s="19" t="s">
        <v>860</v>
      </c>
      <c r="G102" s="19" t="s">
        <v>2272</v>
      </c>
      <c r="H102" s="70" t="s">
        <v>2272</v>
      </c>
      <c r="I102" s="70" t="s">
        <v>2272</v>
      </c>
      <c r="J102" s="70" t="s">
        <v>2272</v>
      </c>
      <c r="K102" s="70" t="s">
        <v>532</v>
      </c>
      <c r="L102" s="70" t="s">
        <v>2272</v>
      </c>
      <c r="M102" s="70" t="s">
        <v>2272</v>
      </c>
      <c r="N102" s="70" t="s">
        <v>2272</v>
      </c>
      <c r="O102" s="70" t="s">
        <v>2272</v>
      </c>
      <c r="P102" s="70" t="s">
        <v>2272</v>
      </c>
      <c r="Q102" s="70" t="s">
        <v>2272</v>
      </c>
      <c r="R102" s="70" t="s">
        <v>2272</v>
      </c>
      <c r="S102" s="70" t="s">
        <v>2272</v>
      </c>
      <c r="T102" s="19"/>
    </row>
    <row r="103" spans="1:20" ht="95" customHeight="1">
      <c r="A103" s="3" t="s">
        <v>148</v>
      </c>
      <c r="B103" s="28" t="s">
        <v>31</v>
      </c>
      <c r="C103" s="3" t="s">
        <v>11</v>
      </c>
      <c r="D103" s="29" t="s">
        <v>44</v>
      </c>
      <c r="E103" s="28" t="s">
        <v>128</v>
      </c>
      <c r="F103" s="29" t="s">
        <v>394</v>
      </c>
      <c r="G103" s="28" t="s">
        <v>2272</v>
      </c>
      <c r="H103" s="21" t="s">
        <v>2272</v>
      </c>
      <c r="I103" s="21" t="s">
        <v>2272</v>
      </c>
      <c r="J103" s="21" t="s">
        <v>2272</v>
      </c>
      <c r="K103" s="21"/>
      <c r="L103" s="21" t="s">
        <v>2272</v>
      </c>
      <c r="M103" s="21" t="s">
        <v>2272</v>
      </c>
      <c r="N103" s="21" t="s">
        <v>2272</v>
      </c>
      <c r="O103" s="21">
        <v>9.1750000000000007</v>
      </c>
      <c r="P103" s="21">
        <v>1.27</v>
      </c>
      <c r="Q103" s="21">
        <v>4.7300000000000004</v>
      </c>
      <c r="R103" s="21">
        <v>83.5</v>
      </c>
      <c r="S103" s="21">
        <v>0.06</v>
      </c>
      <c r="T103" s="4" t="s">
        <v>1382</v>
      </c>
    </row>
    <row r="104" spans="1:20" ht="67.5" customHeight="1">
      <c r="A104" s="11" t="s">
        <v>160</v>
      </c>
      <c r="B104" s="3" t="s">
        <v>69</v>
      </c>
      <c r="C104" s="3" t="s">
        <v>2640</v>
      </c>
      <c r="D104" s="3" t="s">
        <v>82</v>
      </c>
      <c r="E104" s="29" t="s">
        <v>44</v>
      </c>
      <c r="F104" s="4" t="s">
        <v>394</v>
      </c>
      <c r="G104" s="3" t="s">
        <v>2272</v>
      </c>
      <c r="H104" s="21" t="s">
        <v>2272</v>
      </c>
      <c r="I104" s="21">
        <v>1504</v>
      </c>
      <c r="J104" s="21" t="s">
        <v>2272</v>
      </c>
      <c r="K104" s="21"/>
      <c r="L104" s="21" t="s">
        <v>2272</v>
      </c>
      <c r="M104" s="21" t="s">
        <v>2272</v>
      </c>
      <c r="N104" s="21" t="s">
        <v>2272</v>
      </c>
      <c r="O104" s="21" t="s">
        <v>2272</v>
      </c>
      <c r="P104" s="21" t="s">
        <v>2272</v>
      </c>
      <c r="Q104" s="21" t="s">
        <v>2272</v>
      </c>
      <c r="R104" s="21" t="s">
        <v>2272</v>
      </c>
      <c r="S104" s="21">
        <v>4.68</v>
      </c>
      <c r="T104" s="4" t="s">
        <v>1406</v>
      </c>
    </row>
    <row r="105" spans="1:20" ht="70" customHeight="1">
      <c r="A105" s="11" t="s">
        <v>161</v>
      </c>
      <c r="B105" s="3" t="s">
        <v>69</v>
      </c>
      <c r="C105" s="3" t="s">
        <v>11</v>
      </c>
      <c r="D105" s="29" t="s">
        <v>44</v>
      </c>
      <c r="E105" s="3" t="s">
        <v>82</v>
      </c>
      <c r="F105" s="4" t="s">
        <v>394</v>
      </c>
      <c r="G105" s="3" t="s">
        <v>2272</v>
      </c>
      <c r="H105" s="21" t="s">
        <v>2272</v>
      </c>
      <c r="I105" s="21">
        <v>483</v>
      </c>
      <c r="J105" s="21" t="s">
        <v>2272</v>
      </c>
      <c r="K105" s="21"/>
      <c r="L105" s="21" t="s">
        <v>2272</v>
      </c>
      <c r="M105" s="21" t="s">
        <v>2272</v>
      </c>
      <c r="N105" s="21" t="s">
        <v>2272</v>
      </c>
      <c r="O105" s="21" t="s">
        <v>2272</v>
      </c>
      <c r="P105" s="21" t="s">
        <v>2272</v>
      </c>
      <c r="Q105" s="21" t="s">
        <v>2272</v>
      </c>
      <c r="R105" s="21" t="s">
        <v>2272</v>
      </c>
      <c r="S105" s="21">
        <v>5.72</v>
      </c>
      <c r="T105" s="4" t="s">
        <v>1407</v>
      </c>
    </row>
    <row r="106" spans="1:20" ht="44.5" customHeight="1">
      <c r="A106" s="11" t="s">
        <v>172</v>
      </c>
      <c r="B106" s="3" t="s">
        <v>68</v>
      </c>
      <c r="C106" s="11" t="s">
        <v>11</v>
      </c>
      <c r="D106" s="4" t="s">
        <v>395</v>
      </c>
      <c r="E106" s="30" t="s">
        <v>2272</v>
      </c>
      <c r="F106" s="30" t="s">
        <v>2272</v>
      </c>
      <c r="G106" s="30" t="s">
        <v>2272</v>
      </c>
      <c r="H106" s="21" t="s">
        <v>2272</v>
      </c>
      <c r="I106" s="21" t="s">
        <v>2272</v>
      </c>
      <c r="J106" s="21" t="s">
        <v>2272</v>
      </c>
      <c r="K106" s="21"/>
      <c r="L106" s="21" t="s">
        <v>2272</v>
      </c>
      <c r="M106" s="21" t="s">
        <v>2272</v>
      </c>
      <c r="N106" s="21" t="s">
        <v>2272</v>
      </c>
      <c r="O106" s="21" t="s">
        <v>2272</v>
      </c>
      <c r="P106" s="21" t="s">
        <v>2272</v>
      </c>
      <c r="Q106" s="21" t="s">
        <v>2272</v>
      </c>
      <c r="R106" s="21" t="s">
        <v>2272</v>
      </c>
      <c r="S106" s="21" t="s">
        <v>2272</v>
      </c>
      <c r="T106" s="4" t="s">
        <v>188</v>
      </c>
    </row>
    <row r="107" spans="1:20" ht="34.5" customHeight="1">
      <c r="A107" s="11" t="s">
        <v>173</v>
      </c>
      <c r="B107" s="3" t="s">
        <v>68</v>
      </c>
      <c r="C107" s="11" t="s">
        <v>393</v>
      </c>
      <c r="D107" s="30" t="s">
        <v>128</v>
      </c>
      <c r="E107" s="11" t="s">
        <v>2272</v>
      </c>
      <c r="F107" s="11" t="s">
        <v>2272</v>
      </c>
      <c r="G107" s="11" t="s">
        <v>2272</v>
      </c>
      <c r="H107" s="21" t="s">
        <v>2272</v>
      </c>
      <c r="I107" s="21" t="s">
        <v>2272</v>
      </c>
      <c r="J107" s="21" t="s">
        <v>2272</v>
      </c>
      <c r="K107" s="21"/>
      <c r="L107" s="21" t="s">
        <v>2272</v>
      </c>
      <c r="M107" s="21" t="s">
        <v>2272</v>
      </c>
      <c r="N107" s="21" t="s">
        <v>2272</v>
      </c>
      <c r="O107" s="21" t="s">
        <v>2272</v>
      </c>
      <c r="P107" s="21" t="s">
        <v>2272</v>
      </c>
      <c r="Q107" s="21" t="s">
        <v>2272</v>
      </c>
      <c r="R107" s="21" t="s">
        <v>2272</v>
      </c>
      <c r="S107" s="21" t="s">
        <v>2272</v>
      </c>
      <c r="T107" s="4" t="s">
        <v>182</v>
      </c>
    </row>
    <row r="108" spans="1:20" ht="32" customHeight="1">
      <c r="A108" s="11" t="s">
        <v>174</v>
      </c>
      <c r="B108" s="3" t="s">
        <v>31</v>
      </c>
      <c r="C108" s="11" t="s">
        <v>393</v>
      </c>
      <c r="D108" s="11" t="s">
        <v>128</v>
      </c>
      <c r="E108" s="3" t="s">
        <v>2272</v>
      </c>
      <c r="F108" s="3" t="s">
        <v>2272</v>
      </c>
      <c r="G108" s="3" t="s">
        <v>2272</v>
      </c>
      <c r="H108" s="21" t="s">
        <v>2272</v>
      </c>
      <c r="I108" s="21" t="s">
        <v>2272</v>
      </c>
      <c r="J108" s="21" t="s">
        <v>2272</v>
      </c>
      <c r="K108" s="21"/>
      <c r="L108" s="21" t="s">
        <v>2272</v>
      </c>
      <c r="M108" s="21" t="s">
        <v>2272</v>
      </c>
      <c r="N108" s="21" t="s">
        <v>2272</v>
      </c>
      <c r="O108" s="21" t="s">
        <v>2272</v>
      </c>
      <c r="P108" s="21" t="s">
        <v>2272</v>
      </c>
      <c r="Q108" s="21" t="s">
        <v>2272</v>
      </c>
      <c r="R108" s="21" t="s">
        <v>2272</v>
      </c>
      <c r="S108" s="21" t="s">
        <v>2272</v>
      </c>
      <c r="T108" s="4" t="s">
        <v>182</v>
      </c>
    </row>
    <row r="109" spans="1:20" ht="71" customHeight="1">
      <c r="A109" s="11" t="s">
        <v>371</v>
      </c>
      <c r="B109" s="11" t="s">
        <v>68</v>
      </c>
      <c r="C109" s="11" t="s">
        <v>11</v>
      </c>
      <c r="D109" s="4" t="s">
        <v>395</v>
      </c>
      <c r="E109" s="11" t="s">
        <v>44</v>
      </c>
      <c r="F109" s="4" t="s">
        <v>2272</v>
      </c>
      <c r="G109" s="4" t="s">
        <v>2272</v>
      </c>
      <c r="H109" s="21" t="s">
        <v>2272</v>
      </c>
      <c r="I109" s="21">
        <v>44</v>
      </c>
      <c r="J109" s="21" t="s">
        <v>2272</v>
      </c>
      <c r="K109" s="21"/>
      <c r="L109" s="21" t="s">
        <v>2272</v>
      </c>
      <c r="M109" s="21" t="s">
        <v>2272</v>
      </c>
      <c r="N109" s="21" t="s">
        <v>2272</v>
      </c>
      <c r="O109" s="21">
        <v>20</v>
      </c>
      <c r="P109" s="21">
        <v>9</v>
      </c>
      <c r="Q109" s="21">
        <v>20</v>
      </c>
      <c r="R109" s="21">
        <v>48</v>
      </c>
      <c r="S109" s="21" t="s">
        <v>2272</v>
      </c>
      <c r="T109" s="4" t="s">
        <v>375</v>
      </c>
    </row>
    <row r="110" spans="1:20" ht="63" customHeight="1">
      <c r="A110" s="11" t="s">
        <v>380</v>
      </c>
      <c r="B110" s="11" t="s">
        <v>68</v>
      </c>
      <c r="C110" s="11" t="s">
        <v>11</v>
      </c>
      <c r="D110" s="4" t="s">
        <v>395</v>
      </c>
      <c r="E110" s="11" t="s">
        <v>128</v>
      </c>
      <c r="F110" s="3" t="s">
        <v>2272</v>
      </c>
      <c r="G110" s="3" t="s">
        <v>2272</v>
      </c>
      <c r="H110" s="21" t="s">
        <v>2272</v>
      </c>
      <c r="I110" s="21" t="s">
        <v>2272</v>
      </c>
      <c r="J110" s="21" t="s">
        <v>2272</v>
      </c>
      <c r="K110" s="21"/>
      <c r="L110" s="21" t="s">
        <v>2272</v>
      </c>
      <c r="M110" s="21" t="s">
        <v>2272</v>
      </c>
      <c r="N110" s="21" t="s">
        <v>2272</v>
      </c>
      <c r="O110" s="21" t="s">
        <v>2272</v>
      </c>
      <c r="P110" s="21">
        <v>43.571428570000002</v>
      </c>
      <c r="Q110" s="21">
        <v>5.4285714</v>
      </c>
      <c r="R110" s="21">
        <v>51</v>
      </c>
      <c r="S110" s="21">
        <v>1.35</v>
      </c>
      <c r="T110" s="4" t="s">
        <v>1456</v>
      </c>
    </row>
    <row r="111" spans="1:20" ht="61" customHeight="1">
      <c r="A111" s="11" t="s">
        <v>381</v>
      </c>
      <c r="B111" s="11" t="s">
        <v>68</v>
      </c>
      <c r="C111" s="11" t="s">
        <v>11</v>
      </c>
      <c r="D111" s="4" t="s">
        <v>395</v>
      </c>
      <c r="E111" s="11" t="s">
        <v>128</v>
      </c>
      <c r="F111" s="3" t="s">
        <v>2272</v>
      </c>
      <c r="G111" s="3" t="s">
        <v>2272</v>
      </c>
      <c r="H111" s="21" t="s">
        <v>2272</v>
      </c>
      <c r="I111" s="21" t="s">
        <v>2272</v>
      </c>
      <c r="J111" s="21" t="s">
        <v>2272</v>
      </c>
      <c r="K111" s="21"/>
      <c r="L111" s="21" t="s">
        <v>2272</v>
      </c>
      <c r="M111" s="21" t="s">
        <v>2272</v>
      </c>
      <c r="N111" s="21" t="s">
        <v>2272</v>
      </c>
      <c r="O111" s="21" t="s">
        <v>2272</v>
      </c>
      <c r="P111" s="21">
        <v>50.375</v>
      </c>
      <c r="Q111" s="21">
        <v>8.625</v>
      </c>
      <c r="R111" s="21">
        <v>41</v>
      </c>
      <c r="S111" s="21">
        <v>1.77</v>
      </c>
      <c r="T111" s="4" t="s">
        <v>1457</v>
      </c>
    </row>
    <row r="112" spans="1:20" ht="64.5" customHeight="1">
      <c r="A112" s="11" t="s">
        <v>386</v>
      </c>
      <c r="B112" s="19" t="s">
        <v>1193</v>
      </c>
      <c r="C112" s="11" t="s">
        <v>11</v>
      </c>
      <c r="D112" s="4" t="s">
        <v>395</v>
      </c>
      <c r="E112" s="11" t="s">
        <v>128</v>
      </c>
      <c r="F112" s="3" t="s">
        <v>2272</v>
      </c>
      <c r="G112" s="3" t="s">
        <v>2272</v>
      </c>
      <c r="H112" s="21" t="s">
        <v>2272</v>
      </c>
      <c r="I112" s="21">
        <v>1.153</v>
      </c>
      <c r="J112" s="21">
        <v>0.48599999999999999</v>
      </c>
      <c r="K112" s="21"/>
      <c r="L112" s="21" t="s">
        <v>2272</v>
      </c>
      <c r="M112" s="21" t="s">
        <v>2272</v>
      </c>
      <c r="N112" s="21" t="s">
        <v>2272</v>
      </c>
      <c r="O112" s="21" t="s">
        <v>2272</v>
      </c>
      <c r="P112" s="21">
        <v>50.388888889999997</v>
      </c>
      <c r="Q112" s="21">
        <v>6.6111110999999996</v>
      </c>
      <c r="R112" s="21">
        <v>43</v>
      </c>
      <c r="S112" s="21">
        <v>1.35</v>
      </c>
      <c r="T112" s="4" t="s">
        <v>1458</v>
      </c>
    </row>
    <row r="113" spans="1:20" ht="57" customHeight="1">
      <c r="A113" s="11" t="s">
        <v>387</v>
      </c>
      <c r="B113" s="19" t="s">
        <v>2254</v>
      </c>
      <c r="C113" s="11" t="s">
        <v>11</v>
      </c>
      <c r="D113" s="4" t="s">
        <v>395</v>
      </c>
      <c r="E113" s="11" t="s">
        <v>128</v>
      </c>
      <c r="F113" s="3" t="s">
        <v>44</v>
      </c>
      <c r="G113" s="3" t="s">
        <v>2272</v>
      </c>
      <c r="H113" s="21" t="s">
        <v>2272</v>
      </c>
      <c r="I113" s="21">
        <v>1.41</v>
      </c>
      <c r="J113" s="21">
        <v>0.28799999999999998</v>
      </c>
      <c r="K113" s="21"/>
      <c r="L113" s="21" t="s">
        <v>2272</v>
      </c>
      <c r="M113" s="21" t="s">
        <v>2272</v>
      </c>
      <c r="N113" s="21" t="s">
        <v>2272</v>
      </c>
      <c r="O113" s="21" t="s">
        <v>2272</v>
      </c>
      <c r="P113" s="21">
        <v>69</v>
      </c>
      <c r="Q113" s="21">
        <v>6</v>
      </c>
      <c r="R113" s="21">
        <v>25</v>
      </c>
      <c r="S113" s="21">
        <v>1.77</v>
      </c>
      <c r="T113" s="4" t="s">
        <v>1459</v>
      </c>
    </row>
    <row r="114" spans="1:20" ht="77.5" customHeight="1">
      <c r="A114" s="11" t="s">
        <v>414</v>
      </c>
      <c r="B114" s="3" t="s">
        <v>2272</v>
      </c>
      <c r="C114" s="11" t="s">
        <v>393</v>
      </c>
      <c r="D114" s="11" t="s">
        <v>128</v>
      </c>
      <c r="E114" s="4" t="s">
        <v>395</v>
      </c>
      <c r="F114" s="3" t="s">
        <v>114</v>
      </c>
      <c r="G114" s="3" t="s">
        <v>2272</v>
      </c>
      <c r="H114" s="21">
        <v>0</v>
      </c>
      <c r="I114" s="21">
        <v>4.25</v>
      </c>
      <c r="J114" s="21" t="s">
        <v>2272</v>
      </c>
      <c r="K114" s="21"/>
      <c r="L114" s="21">
        <v>3.306748E-3</v>
      </c>
      <c r="M114" s="21" t="s">
        <v>2272</v>
      </c>
      <c r="N114" s="21" t="s">
        <v>2272</v>
      </c>
      <c r="O114" s="21" t="s">
        <v>2272</v>
      </c>
      <c r="P114" s="21" t="s">
        <v>2272</v>
      </c>
      <c r="Q114" s="21" t="s">
        <v>2272</v>
      </c>
      <c r="R114" s="21" t="s">
        <v>2272</v>
      </c>
      <c r="S114" s="21" t="s">
        <v>2272</v>
      </c>
      <c r="T114" s="4" t="s">
        <v>1470</v>
      </c>
    </row>
    <row r="115" spans="1:20" ht="114.5" customHeight="1">
      <c r="A115" s="3" t="s">
        <v>418</v>
      </c>
      <c r="B115" s="3" t="s">
        <v>2272</v>
      </c>
      <c r="C115" s="3" t="s">
        <v>393</v>
      </c>
      <c r="D115" s="3" t="s">
        <v>128</v>
      </c>
      <c r="E115" s="3" t="s">
        <v>2272</v>
      </c>
      <c r="F115" s="3" t="s">
        <v>2272</v>
      </c>
      <c r="G115" s="3" t="s">
        <v>2272</v>
      </c>
      <c r="H115" s="21" t="s">
        <v>2272</v>
      </c>
      <c r="I115" s="21" t="s">
        <v>2272</v>
      </c>
      <c r="J115" s="80">
        <v>0.94299999999999995</v>
      </c>
      <c r="K115" s="80"/>
      <c r="L115" s="21" t="s">
        <v>2272</v>
      </c>
      <c r="M115" s="21" t="s">
        <v>2272</v>
      </c>
      <c r="N115" s="21" t="s">
        <v>2272</v>
      </c>
      <c r="O115" s="21" t="s">
        <v>2272</v>
      </c>
      <c r="P115" s="21">
        <v>3.2094637600000002</v>
      </c>
      <c r="Q115" s="21">
        <v>38.513565100000001</v>
      </c>
      <c r="R115" s="21">
        <v>58.276969999999999</v>
      </c>
      <c r="S115" s="21" t="s">
        <v>2272</v>
      </c>
      <c r="T115" s="4" t="s">
        <v>1472</v>
      </c>
    </row>
    <row r="116" spans="1:20" ht="120.5" customHeight="1">
      <c r="A116" s="3" t="s">
        <v>425</v>
      </c>
      <c r="B116" s="3" t="s">
        <v>2272</v>
      </c>
      <c r="C116" s="3" t="s">
        <v>393</v>
      </c>
      <c r="D116" s="3" t="s">
        <v>128</v>
      </c>
      <c r="E116" s="3" t="s">
        <v>2272</v>
      </c>
      <c r="F116" s="3" t="s">
        <v>2272</v>
      </c>
      <c r="G116" s="3" t="s">
        <v>2272</v>
      </c>
      <c r="H116" s="21" t="s">
        <v>2272</v>
      </c>
      <c r="I116" s="21" t="s">
        <v>2272</v>
      </c>
      <c r="J116" s="80">
        <v>1.1000000000000001</v>
      </c>
      <c r="K116" s="80"/>
      <c r="L116" s="21" t="s">
        <v>2272</v>
      </c>
      <c r="M116" s="21" t="s">
        <v>2272</v>
      </c>
      <c r="N116" s="21" t="s">
        <v>2272</v>
      </c>
      <c r="O116" s="21" t="s">
        <v>2272</v>
      </c>
      <c r="P116" s="21" t="s">
        <v>2272</v>
      </c>
      <c r="Q116" s="21" t="s">
        <v>2272</v>
      </c>
      <c r="R116" s="21" t="s">
        <v>2272</v>
      </c>
      <c r="S116" s="21" t="s">
        <v>2272</v>
      </c>
      <c r="T116" s="4" t="s">
        <v>1473</v>
      </c>
    </row>
    <row r="117" spans="1:20" ht="67.5" customHeight="1">
      <c r="A117" s="11" t="s">
        <v>428</v>
      </c>
      <c r="B117" s="3" t="s">
        <v>2272</v>
      </c>
      <c r="C117" s="3" t="s">
        <v>393</v>
      </c>
      <c r="D117" s="3" t="s">
        <v>128</v>
      </c>
      <c r="E117" s="3" t="s">
        <v>2272</v>
      </c>
      <c r="F117" s="3" t="s">
        <v>2272</v>
      </c>
      <c r="G117" s="3" t="s">
        <v>2272</v>
      </c>
      <c r="H117" s="21" t="s">
        <v>2272</v>
      </c>
      <c r="I117" s="21" t="s">
        <v>2272</v>
      </c>
      <c r="J117" s="21" t="s">
        <v>2272</v>
      </c>
      <c r="K117" s="21"/>
      <c r="L117" s="21" t="s">
        <v>2272</v>
      </c>
      <c r="M117" s="21" t="s">
        <v>2272</v>
      </c>
      <c r="N117" s="21" t="s">
        <v>2272</v>
      </c>
      <c r="O117" s="21" t="s">
        <v>2272</v>
      </c>
      <c r="P117" s="21" t="s">
        <v>2272</v>
      </c>
      <c r="Q117" s="21" t="s">
        <v>2272</v>
      </c>
      <c r="R117" s="21" t="s">
        <v>2272</v>
      </c>
      <c r="S117" s="21" t="s">
        <v>2272</v>
      </c>
      <c r="T117" s="3"/>
    </row>
    <row r="118" spans="1:20" ht="63.5" customHeight="1">
      <c r="A118" s="11" t="s">
        <v>436</v>
      </c>
      <c r="B118" s="4" t="s">
        <v>1193</v>
      </c>
      <c r="C118" s="11" t="s">
        <v>11</v>
      </c>
      <c r="D118" s="3" t="s">
        <v>128</v>
      </c>
      <c r="E118" s="4" t="s">
        <v>395</v>
      </c>
      <c r="F118" s="3" t="s">
        <v>2272</v>
      </c>
      <c r="G118" s="3" t="s">
        <v>2272</v>
      </c>
      <c r="H118" s="21" t="s">
        <v>2272</v>
      </c>
      <c r="I118" s="21">
        <v>4.8600000000000003</v>
      </c>
      <c r="J118" s="21" t="s">
        <v>2272</v>
      </c>
      <c r="K118" s="21"/>
      <c r="L118" s="21" t="s">
        <v>2272</v>
      </c>
      <c r="M118" s="21" t="s">
        <v>2272</v>
      </c>
      <c r="N118" s="21" t="s">
        <v>2272</v>
      </c>
      <c r="O118" s="21" t="s">
        <v>2272</v>
      </c>
      <c r="P118" s="21" t="s">
        <v>2272</v>
      </c>
      <c r="Q118" s="21" t="s">
        <v>2272</v>
      </c>
      <c r="R118" s="21" t="s">
        <v>2272</v>
      </c>
      <c r="S118" s="21" t="s">
        <v>2272</v>
      </c>
      <c r="T118" s="19" t="s">
        <v>1478</v>
      </c>
    </row>
    <row r="119" spans="1:20" ht="98.5" customHeight="1">
      <c r="A119" s="11" t="s">
        <v>444</v>
      </c>
      <c r="B119" s="3" t="s">
        <v>68</v>
      </c>
      <c r="C119" s="11" t="s">
        <v>11</v>
      </c>
      <c r="D119" s="3" t="s">
        <v>128</v>
      </c>
      <c r="E119" s="4" t="s">
        <v>394</v>
      </c>
      <c r="F119" s="3" t="s">
        <v>44</v>
      </c>
      <c r="G119" s="3" t="s">
        <v>2272</v>
      </c>
      <c r="H119" s="21" t="s">
        <v>2272</v>
      </c>
      <c r="I119" s="21" t="s">
        <v>2272</v>
      </c>
      <c r="J119" s="21" t="s">
        <v>2272</v>
      </c>
      <c r="K119" s="21"/>
      <c r="L119" s="21" t="s">
        <v>2272</v>
      </c>
      <c r="M119" s="21" t="s">
        <v>2272</v>
      </c>
      <c r="N119" s="21" t="s">
        <v>2272</v>
      </c>
      <c r="O119" s="21" t="s">
        <v>2272</v>
      </c>
      <c r="P119" s="21" t="s">
        <v>2272</v>
      </c>
      <c r="Q119" s="21" t="s">
        <v>2272</v>
      </c>
      <c r="R119" s="21" t="s">
        <v>2272</v>
      </c>
      <c r="S119" s="21" t="s">
        <v>2272</v>
      </c>
      <c r="T119" s="4" t="s">
        <v>451</v>
      </c>
    </row>
    <row r="120" spans="1:20" ht="88.5" customHeight="1">
      <c r="A120" s="3" t="s">
        <v>452</v>
      </c>
      <c r="B120" s="3" t="s">
        <v>2272</v>
      </c>
      <c r="C120" s="3" t="s">
        <v>11</v>
      </c>
      <c r="D120" s="4" t="s">
        <v>394</v>
      </c>
      <c r="E120" s="4" t="s">
        <v>2272</v>
      </c>
      <c r="F120" s="3" t="s">
        <v>2272</v>
      </c>
      <c r="G120" s="3" t="s">
        <v>2272</v>
      </c>
      <c r="H120" s="21" t="s">
        <v>2272</v>
      </c>
      <c r="I120" s="21" t="s">
        <v>2272</v>
      </c>
      <c r="J120" s="21" t="s">
        <v>2272</v>
      </c>
      <c r="K120" s="21"/>
      <c r="L120" s="21" t="s">
        <v>2272</v>
      </c>
      <c r="M120" s="21" t="s">
        <v>2272</v>
      </c>
      <c r="N120" s="21" t="s">
        <v>2272</v>
      </c>
      <c r="O120" s="21" t="s">
        <v>2272</v>
      </c>
      <c r="P120" s="21" t="s">
        <v>2272</v>
      </c>
      <c r="Q120" s="21" t="s">
        <v>2272</v>
      </c>
      <c r="R120" s="21" t="s">
        <v>2272</v>
      </c>
      <c r="S120" s="21" t="s">
        <v>2272</v>
      </c>
      <c r="T120" s="4" t="s">
        <v>458</v>
      </c>
    </row>
    <row r="121" spans="1:20" ht="82" customHeight="1">
      <c r="A121" s="3" t="s">
        <v>453</v>
      </c>
      <c r="B121" s="3" t="s">
        <v>2272</v>
      </c>
      <c r="C121" s="3" t="s">
        <v>11</v>
      </c>
      <c r="D121" s="4" t="s">
        <v>394</v>
      </c>
      <c r="E121" s="3" t="s">
        <v>128</v>
      </c>
      <c r="F121" s="3" t="s">
        <v>2272</v>
      </c>
      <c r="G121" s="3" t="s">
        <v>2272</v>
      </c>
      <c r="H121" s="21" t="s">
        <v>2272</v>
      </c>
      <c r="I121" s="21" t="s">
        <v>2272</v>
      </c>
      <c r="J121" s="21" t="s">
        <v>2272</v>
      </c>
      <c r="K121" s="21"/>
      <c r="L121" s="21" t="s">
        <v>2272</v>
      </c>
      <c r="M121" s="21" t="s">
        <v>2272</v>
      </c>
      <c r="N121" s="21" t="s">
        <v>2272</v>
      </c>
      <c r="O121" s="21" t="s">
        <v>2272</v>
      </c>
      <c r="P121" s="21" t="s">
        <v>2272</v>
      </c>
      <c r="Q121" s="21" t="s">
        <v>2272</v>
      </c>
      <c r="R121" s="21" t="s">
        <v>2272</v>
      </c>
      <c r="S121" s="21" t="s">
        <v>2272</v>
      </c>
      <c r="T121" s="4" t="s">
        <v>490</v>
      </c>
    </row>
    <row r="122" spans="1:20" ht="81.5" customHeight="1">
      <c r="A122" s="3" t="s">
        <v>464</v>
      </c>
      <c r="B122" s="3" t="s">
        <v>2272</v>
      </c>
      <c r="C122" s="3" t="s">
        <v>11</v>
      </c>
      <c r="D122" s="4" t="s">
        <v>395</v>
      </c>
      <c r="E122" s="3" t="s">
        <v>128</v>
      </c>
      <c r="F122" s="3" t="s">
        <v>2272</v>
      </c>
      <c r="G122" s="3" t="s">
        <v>2272</v>
      </c>
      <c r="H122" s="21" t="s">
        <v>2272</v>
      </c>
      <c r="I122" s="21" t="s">
        <v>2272</v>
      </c>
      <c r="J122" s="21" t="s">
        <v>2272</v>
      </c>
      <c r="K122" s="21"/>
      <c r="L122" s="21" t="s">
        <v>2272</v>
      </c>
      <c r="M122" s="21" t="s">
        <v>2272</v>
      </c>
      <c r="N122" s="21" t="s">
        <v>2272</v>
      </c>
      <c r="O122" s="21" t="s">
        <v>2272</v>
      </c>
      <c r="P122" s="21" t="s">
        <v>2272</v>
      </c>
      <c r="Q122" s="21" t="s">
        <v>2272</v>
      </c>
      <c r="R122" s="21" t="s">
        <v>2272</v>
      </c>
      <c r="S122" s="21" t="s">
        <v>2272</v>
      </c>
      <c r="T122" s="4" t="s">
        <v>491</v>
      </c>
    </row>
    <row r="123" spans="1:20" ht="64" customHeight="1">
      <c r="A123" s="3" t="s">
        <v>465</v>
      </c>
      <c r="B123" s="3" t="s">
        <v>2272</v>
      </c>
      <c r="C123" s="3" t="s">
        <v>11</v>
      </c>
      <c r="D123" s="4" t="s">
        <v>395</v>
      </c>
      <c r="E123" s="3" t="s">
        <v>128</v>
      </c>
      <c r="F123" s="3" t="s">
        <v>2272</v>
      </c>
      <c r="G123" s="3" t="s">
        <v>2272</v>
      </c>
      <c r="H123" s="21" t="s">
        <v>2272</v>
      </c>
      <c r="I123" s="21" t="s">
        <v>2272</v>
      </c>
      <c r="J123" s="21" t="s">
        <v>2272</v>
      </c>
      <c r="K123" s="21"/>
      <c r="L123" s="21" t="s">
        <v>2272</v>
      </c>
      <c r="M123" s="21" t="s">
        <v>2272</v>
      </c>
      <c r="N123" s="21" t="s">
        <v>2272</v>
      </c>
      <c r="O123" s="21" t="s">
        <v>2272</v>
      </c>
      <c r="P123" s="21" t="s">
        <v>2272</v>
      </c>
      <c r="Q123" s="21" t="s">
        <v>2272</v>
      </c>
      <c r="R123" s="21" t="s">
        <v>2272</v>
      </c>
      <c r="S123" s="21" t="s">
        <v>2272</v>
      </c>
      <c r="T123" s="4" t="s">
        <v>492</v>
      </c>
    </row>
    <row r="124" spans="1:20" ht="60" customHeight="1">
      <c r="A124" s="3" t="s">
        <v>466</v>
      </c>
      <c r="B124" s="3" t="s">
        <v>68</v>
      </c>
      <c r="C124" s="3" t="s">
        <v>11</v>
      </c>
      <c r="D124" s="4" t="s">
        <v>395</v>
      </c>
      <c r="E124" s="3" t="s">
        <v>128</v>
      </c>
      <c r="F124" s="3" t="s">
        <v>2272</v>
      </c>
      <c r="G124" s="3" t="s">
        <v>2272</v>
      </c>
      <c r="H124" s="21" t="s">
        <v>2272</v>
      </c>
      <c r="I124" s="21" t="s">
        <v>2272</v>
      </c>
      <c r="J124" s="21" t="s">
        <v>2272</v>
      </c>
      <c r="K124" s="21"/>
      <c r="L124" s="21" t="s">
        <v>2272</v>
      </c>
      <c r="M124" s="21" t="s">
        <v>2272</v>
      </c>
      <c r="N124" s="21" t="s">
        <v>2272</v>
      </c>
      <c r="O124" s="21" t="s">
        <v>2272</v>
      </c>
      <c r="P124" s="21" t="s">
        <v>2272</v>
      </c>
      <c r="Q124" s="21" t="s">
        <v>2272</v>
      </c>
      <c r="R124" s="21" t="s">
        <v>2272</v>
      </c>
      <c r="S124" s="21" t="s">
        <v>2272</v>
      </c>
      <c r="T124" s="3" t="s">
        <v>494</v>
      </c>
    </row>
    <row r="125" spans="1:20" ht="52" customHeight="1">
      <c r="A125" s="3" t="s">
        <v>467</v>
      </c>
      <c r="B125" s="3" t="s">
        <v>68</v>
      </c>
      <c r="C125" s="3" t="s">
        <v>11</v>
      </c>
      <c r="D125" s="3" t="s">
        <v>128</v>
      </c>
      <c r="E125" s="4" t="s">
        <v>395</v>
      </c>
      <c r="F125" s="3" t="s">
        <v>2272</v>
      </c>
      <c r="G125" s="3" t="s">
        <v>2272</v>
      </c>
      <c r="H125" s="21" t="s">
        <v>2272</v>
      </c>
      <c r="I125" s="21" t="s">
        <v>2272</v>
      </c>
      <c r="J125" s="21" t="s">
        <v>2272</v>
      </c>
      <c r="K125" s="21"/>
      <c r="L125" s="21" t="s">
        <v>2272</v>
      </c>
      <c r="M125" s="21" t="s">
        <v>2272</v>
      </c>
      <c r="N125" s="21" t="s">
        <v>2272</v>
      </c>
      <c r="O125" s="21" t="s">
        <v>2272</v>
      </c>
      <c r="P125" s="21" t="s">
        <v>2272</v>
      </c>
      <c r="Q125" s="21" t="s">
        <v>2272</v>
      </c>
      <c r="R125" s="21" t="s">
        <v>2272</v>
      </c>
      <c r="S125" s="21" t="s">
        <v>2272</v>
      </c>
      <c r="T125" s="3" t="s">
        <v>493</v>
      </c>
    </row>
    <row r="126" spans="1:20" ht="49" customHeight="1">
      <c r="A126" s="11" t="s">
        <v>495</v>
      </c>
      <c r="B126" s="3" t="s">
        <v>2272</v>
      </c>
      <c r="C126" s="3" t="s">
        <v>11</v>
      </c>
      <c r="D126" s="4" t="s">
        <v>395</v>
      </c>
      <c r="E126" s="3" t="s">
        <v>128</v>
      </c>
      <c r="F126" s="3" t="s">
        <v>2272</v>
      </c>
      <c r="G126" s="3" t="s">
        <v>2272</v>
      </c>
      <c r="H126" s="21" t="s">
        <v>2272</v>
      </c>
      <c r="I126" s="21" t="s">
        <v>2272</v>
      </c>
      <c r="J126" s="21" t="s">
        <v>2272</v>
      </c>
      <c r="K126" s="21"/>
      <c r="L126" s="21" t="s">
        <v>2272</v>
      </c>
      <c r="M126" s="21" t="s">
        <v>2272</v>
      </c>
      <c r="N126" s="21" t="s">
        <v>2272</v>
      </c>
      <c r="O126" s="21" t="s">
        <v>2272</v>
      </c>
      <c r="P126" s="21" t="s">
        <v>2272</v>
      </c>
      <c r="Q126" s="21" t="s">
        <v>2272</v>
      </c>
      <c r="R126" s="21" t="s">
        <v>2272</v>
      </c>
      <c r="S126" s="21" t="s">
        <v>2272</v>
      </c>
      <c r="T126" s="3"/>
    </row>
    <row r="127" spans="1:20" ht="38" customHeight="1">
      <c r="A127" s="11" t="s">
        <v>496</v>
      </c>
      <c r="B127" s="3" t="s">
        <v>2272</v>
      </c>
      <c r="C127" s="3" t="s">
        <v>11</v>
      </c>
      <c r="D127" s="3" t="s">
        <v>128</v>
      </c>
      <c r="E127" s="4" t="s">
        <v>395</v>
      </c>
      <c r="F127" s="3" t="s">
        <v>2272</v>
      </c>
      <c r="G127" s="3" t="s">
        <v>2272</v>
      </c>
      <c r="H127" s="21" t="s">
        <v>2272</v>
      </c>
      <c r="I127" s="21" t="s">
        <v>2272</v>
      </c>
      <c r="J127" s="21" t="s">
        <v>2272</v>
      </c>
      <c r="K127" s="21"/>
      <c r="L127" s="21" t="s">
        <v>2272</v>
      </c>
      <c r="M127" s="21" t="s">
        <v>2272</v>
      </c>
      <c r="N127" s="21" t="s">
        <v>2272</v>
      </c>
      <c r="O127" s="21" t="s">
        <v>2272</v>
      </c>
      <c r="P127" s="21" t="s">
        <v>2272</v>
      </c>
      <c r="Q127" s="21" t="s">
        <v>2272</v>
      </c>
      <c r="R127" s="21" t="s">
        <v>2272</v>
      </c>
      <c r="S127" s="21" t="s">
        <v>2272</v>
      </c>
      <c r="T127" s="3" t="s">
        <v>506</v>
      </c>
    </row>
    <row r="128" spans="1:20" ht="44" customHeight="1">
      <c r="A128" s="11" t="s">
        <v>497</v>
      </c>
      <c r="B128" s="3" t="s">
        <v>68</v>
      </c>
      <c r="C128" s="3" t="s">
        <v>11</v>
      </c>
      <c r="D128" s="4" t="s">
        <v>395</v>
      </c>
      <c r="E128" s="3" t="s">
        <v>128</v>
      </c>
      <c r="F128" s="3" t="s">
        <v>2272</v>
      </c>
      <c r="G128" s="3" t="s">
        <v>2272</v>
      </c>
      <c r="H128" s="21" t="s">
        <v>2272</v>
      </c>
      <c r="I128" s="21" t="s">
        <v>2272</v>
      </c>
      <c r="J128" s="21" t="s">
        <v>2272</v>
      </c>
      <c r="K128" s="21"/>
      <c r="L128" s="21" t="s">
        <v>2272</v>
      </c>
      <c r="M128" s="21" t="s">
        <v>2272</v>
      </c>
      <c r="N128" s="21" t="s">
        <v>2272</v>
      </c>
      <c r="O128" s="21" t="s">
        <v>2272</v>
      </c>
      <c r="P128" s="21" t="s">
        <v>2272</v>
      </c>
      <c r="Q128" s="21" t="s">
        <v>2272</v>
      </c>
      <c r="R128" s="21" t="s">
        <v>2272</v>
      </c>
      <c r="S128" s="21" t="s">
        <v>2272</v>
      </c>
      <c r="T128" s="3" t="s">
        <v>506</v>
      </c>
    </row>
    <row r="129" spans="1:20" ht="44" customHeight="1">
      <c r="A129" s="11" t="s">
        <v>507</v>
      </c>
      <c r="B129" s="3" t="s">
        <v>2272</v>
      </c>
      <c r="C129" s="11" t="s">
        <v>393</v>
      </c>
      <c r="D129" s="19" t="s">
        <v>114</v>
      </c>
      <c r="E129" s="11" t="s">
        <v>2272</v>
      </c>
      <c r="F129" s="11" t="s">
        <v>2272</v>
      </c>
      <c r="G129" s="11" t="s">
        <v>2272</v>
      </c>
      <c r="H129" s="70" t="s">
        <v>2272</v>
      </c>
      <c r="I129" s="70" t="s">
        <v>2272</v>
      </c>
      <c r="J129" s="70" t="s">
        <v>2272</v>
      </c>
      <c r="K129" s="70"/>
      <c r="L129" s="70" t="s">
        <v>2272</v>
      </c>
      <c r="M129" s="70" t="s">
        <v>2272</v>
      </c>
      <c r="N129" s="70" t="s">
        <v>2272</v>
      </c>
      <c r="O129" s="70">
        <v>0</v>
      </c>
      <c r="P129" s="21" t="s">
        <v>2272</v>
      </c>
      <c r="Q129" s="70">
        <f>AVERAGE(9.8+19.3+15.4, 16.6+18.1+11.3)</f>
        <v>45.25</v>
      </c>
      <c r="R129" s="70">
        <f>AVERAGE(52.9, 54)</f>
        <v>53.45</v>
      </c>
      <c r="S129" s="70" t="s">
        <v>2272</v>
      </c>
      <c r="T129" s="11" t="s">
        <v>2304</v>
      </c>
    </row>
    <row r="130" spans="1:20" ht="44" customHeight="1">
      <c r="A130" s="11" t="s">
        <v>2311</v>
      </c>
      <c r="B130" s="3" t="s">
        <v>2272</v>
      </c>
      <c r="C130" s="11" t="s">
        <v>393</v>
      </c>
      <c r="D130" s="19" t="s">
        <v>114</v>
      </c>
      <c r="E130" s="11" t="s">
        <v>2272</v>
      </c>
      <c r="F130" s="11" t="s">
        <v>2272</v>
      </c>
      <c r="G130" s="11" t="s">
        <v>2272</v>
      </c>
      <c r="H130" s="70" t="s">
        <v>2272</v>
      </c>
      <c r="I130" s="70" t="s">
        <v>2272</v>
      </c>
      <c r="J130" s="70" t="s">
        <v>2272</v>
      </c>
      <c r="K130" s="70"/>
      <c r="L130" s="70" t="s">
        <v>2272</v>
      </c>
      <c r="M130" s="70" t="s">
        <v>2272</v>
      </c>
      <c r="N130" s="70" t="s">
        <v>2272</v>
      </c>
      <c r="O130" s="70">
        <v>0</v>
      </c>
      <c r="P130" s="21" t="s">
        <v>2272</v>
      </c>
      <c r="Q130" s="70">
        <f>AVERAGE(16.6+18.1+11.3, 9.3+11.4+10.7)</f>
        <v>38.700000000000003</v>
      </c>
      <c r="R130" s="70">
        <f>AVERAGE(62.7, 54)</f>
        <v>58.35</v>
      </c>
      <c r="S130" s="70" t="s">
        <v>2272</v>
      </c>
      <c r="T130" s="11" t="s">
        <v>2304</v>
      </c>
    </row>
    <row r="131" spans="1:20" ht="44" customHeight="1">
      <c r="A131" s="11" t="s">
        <v>2312</v>
      </c>
      <c r="B131" s="3" t="s">
        <v>2272</v>
      </c>
      <c r="C131" s="11" t="s">
        <v>393</v>
      </c>
      <c r="D131" s="19" t="s">
        <v>114</v>
      </c>
      <c r="E131" s="11" t="s">
        <v>2272</v>
      </c>
      <c r="F131" s="11" t="s">
        <v>2272</v>
      </c>
      <c r="G131" s="11" t="s">
        <v>2272</v>
      </c>
      <c r="H131" s="70" t="s">
        <v>2272</v>
      </c>
      <c r="I131" s="70" t="s">
        <v>2272</v>
      </c>
      <c r="J131" s="70" t="s">
        <v>2272</v>
      </c>
      <c r="K131" s="70"/>
      <c r="L131" s="70" t="s">
        <v>2272</v>
      </c>
      <c r="M131" s="70" t="s">
        <v>2272</v>
      </c>
      <c r="N131" s="70" t="s">
        <v>2272</v>
      </c>
      <c r="O131" s="70">
        <v>0</v>
      </c>
      <c r="P131" s="21" t="s">
        <v>2272</v>
      </c>
      <c r="Q131" s="70">
        <f>AVERAGE(25.2+33+30.1, 9.3+11.4+10.7)</f>
        <v>59.850000000000009</v>
      </c>
      <c r="R131" s="70">
        <f>AVERAGE(62.7, 4.4)</f>
        <v>33.550000000000004</v>
      </c>
      <c r="S131" s="70" t="s">
        <v>2272</v>
      </c>
      <c r="T131" s="11" t="s">
        <v>2304</v>
      </c>
    </row>
    <row r="132" spans="1:20" ht="58" customHeight="1">
      <c r="A132" s="11" t="s">
        <v>508</v>
      </c>
      <c r="B132" s="3" t="s">
        <v>68</v>
      </c>
      <c r="C132" s="11" t="s">
        <v>393</v>
      </c>
      <c r="D132" s="19" t="s">
        <v>128</v>
      </c>
      <c r="E132" s="19" t="s">
        <v>395</v>
      </c>
      <c r="F132" s="3" t="s">
        <v>2272</v>
      </c>
      <c r="G132" s="3" t="s">
        <v>2272</v>
      </c>
      <c r="H132" s="21" t="s">
        <v>2272</v>
      </c>
      <c r="I132" s="21" t="s">
        <v>2272</v>
      </c>
      <c r="J132" s="21">
        <v>2.25</v>
      </c>
      <c r="K132" s="21"/>
      <c r="L132" s="21" t="s">
        <v>2272</v>
      </c>
      <c r="M132" s="21" t="s">
        <v>2272</v>
      </c>
      <c r="N132" s="21" t="s">
        <v>2272</v>
      </c>
      <c r="O132" s="21" t="s">
        <v>2272</v>
      </c>
      <c r="P132" s="21" t="s">
        <v>2272</v>
      </c>
      <c r="Q132" s="21" t="s">
        <v>2272</v>
      </c>
      <c r="R132" s="21" t="s">
        <v>2272</v>
      </c>
      <c r="S132" s="21" t="s">
        <v>2272</v>
      </c>
      <c r="T132" s="4" t="s">
        <v>511</v>
      </c>
    </row>
    <row r="133" spans="1:20" ht="61" customHeight="1">
      <c r="A133" s="11" t="s">
        <v>518</v>
      </c>
      <c r="B133" s="3" t="s">
        <v>31</v>
      </c>
      <c r="C133" s="11" t="s">
        <v>393</v>
      </c>
      <c r="D133" s="3" t="s">
        <v>128</v>
      </c>
      <c r="E133" s="4" t="s">
        <v>395</v>
      </c>
      <c r="F133" s="3" t="s">
        <v>44</v>
      </c>
      <c r="G133" s="3" t="s">
        <v>860</v>
      </c>
      <c r="H133" s="21" t="s">
        <v>2272</v>
      </c>
      <c r="I133" s="21" t="s">
        <v>2272</v>
      </c>
      <c r="J133" s="21" t="s">
        <v>2272</v>
      </c>
      <c r="K133" s="21"/>
      <c r="L133" s="21" t="s">
        <v>2272</v>
      </c>
      <c r="M133" s="21" t="s">
        <v>2272</v>
      </c>
      <c r="N133" s="21" t="s">
        <v>2272</v>
      </c>
      <c r="O133" s="21" t="s">
        <v>2272</v>
      </c>
      <c r="P133" s="21">
        <v>11</v>
      </c>
      <c r="Q133" s="21" t="s">
        <v>2272</v>
      </c>
      <c r="R133" s="21">
        <v>30</v>
      </c>
      <c r="S133" s="21">
        <v>1.25</v>
      </c>
      <c r="T133" s="4" t="s">
        <v>1496</v>
      </c>
    </row>
    <row r="134" spans="1:20" ht="61" customHeight="1">
      <c r="A134" s="11" t="s">
        <v>544</v>
      </c>
      <c r="B134" s="3" t="s">
        <v>2272</v>
      </c>
      <c r="C134" s="11" t="s">
        <v>393</v>
      </c>
      <c r="D134" s="3" t="s">
        <v>128</v>
      </c>
      <c r="E134" s="4" t="s">
        <v>2272</v>
      </c>
      <c r="F134" s="3" t="s">
        <v>2272</v>
      </c>
      <c r="G134" s="3" t="s">
        <v>2272</v>
      </c>
      <c r="H134" s="21" t="s">
        <v>2272</v>
      </c>
      <c r="I134" s="21" t="s">
        <v>2272</v>
      </c>
      <c r="J134" s="21" t="s">
        <v>2272</v>
      </c>
      <c r="K134" s="21"/>
      <c r="L134" s="21" t="s">
        <v>2272</v>
      </c>
      <c r="M134" s="21" t="s">
        <v>2272</v>
      </c>
      <c r="N134" s="21" t="s">
        <v>2272</v>
      </c>
      <c r="O134" s="21" t="s">
        <v>2272</v>
      </c>
      <c r="P134" s="21">
        <v>3.3723530000000002E-2</v>
      </c>
      <c r="Q134" s="21">
        <v>0.21583060000000001</v>
      </c>
      <c r="R134" s="21">
        <v>99.232740000000007</v>
      </c>
      <c r="S134" s="21">
        <v>2.5477710000000001E-2</v>
      </c>
      <c r="T134" s="3"/>
    </row>
    <row r="135" spans="1:20" ht="61" customHeight="1">
      <c r="A135" s="11" t="s">
        <v>545</v>
      </c>
      <c r="B135" s="3" t="s">
        <v>2272</v>
      </c>
      <c r="C135" s="11" t="s">
        <v>393</v>
      </c>
      <c r="D135" s="3" t="s">
        <v>128</v>
      </c>
      <c r="E135" s="4" t="s">
        <v>2272</v>
      </c>
      <c r="F135" s="3" t="s">
        <v>2272</v>
      </c>
      <c r="G135" s="3" t="s">
        <v>2272</v>
      </c>
      <c r="H135" s="21" t="s">
        <v>2272</v>
      </c>
      <c r="I135" s="21" t="s">
        <v>2272</v>
      </c>
      <c r="J135" s="21" t="s">
        <v>2272</v>
      </c>
      <c r="K135" s="21"/>
      <c r="L135" s="21" t="s">
        <v>2272</v>
      </c>
      <c r="M135" s="21" t="s">
        <v>2272</v>
      </c>
      <c r="N135" s="21" t="s">
        <v>2272</v>
      </c>
      <c r="O135" s="21" t="s">
        <v>2272</v>
      </c>
      <c r="P135" s="21">
        <v>0.16669102999999999</v>
      </c>
      <c r="Q135" s="21">
        <v>0.85012430000000005</v>
      </c>
      <c r="R135" s="21">
        <v>98.983180000000004</v>
      </c>
      <c r="S135" s="21">
        <v>3.133333E-2</v>
      </c>
      <c r="T135" s="3"/>
    </row>
    <row r="136" spans="1:20" ht="61" customHeight="1">
      <c r="A136" s="24" t="s">
        <v>1724</v>
      </c>
      <c r="B136" s="3" t="s">
        <v>2272</v>
      </c>
      <c r="C136" s="3" t="s">
        <v>11</v>
      </c>
      <c r="D136" s="4" t="s">
        <v>395</v>
      </c>
      <c r="E136" s="4" t="s">
        <v>2272</v>
      </c>
      <c r="F136" s="3" t="s">
        <v>2272</v>
      </c>
      <c r="G136" s="3" t="s">
        <v>2272</v>
      </c>
      <c r="H136" s="21" t="s">
        <v>2272</v>
      </c>
      <c r="I136" s="21" t="s">
        <v>2272</v>
      </c>
      <c r="J136" s="21" t="s">
        <v>2272</v>
      </c>
      <c r="K136" s="21"/>
      <c r="L136" s="21" t="s">
        <v>2272</v>
      </c>
      <c r="M136" s="21" t="s">
        <v>2272</v>
      </c>
      <c r="N136" s="21" t="s">
        <v>2272</v>
      </c>
      <c r="O136" s="21" t="s">
        <v>2272</v>
      </c>
      <c r="P136" s="21" t="s">
        <v>2272</v>
      </c>
      <c r="Q136" s="21" t="s">
        <v>2272</v>
      </c>
      <c r="R136" s="21" t="s">
        <v>2272</v>
      </c>
      <c r="S136" s="21" t="s">
        <v>2272</v>
      </c>
      <c r="T136" s="3"/>
    </row>
    <row r="137" spans="1:20" ht="61" customHeight="1">
      <c r="A137" s="24" t="s">
        <v>1723</v>
      </c>
      <c r="B137" s="3" t="s">
        <v>2272</v>
      </c>
      <c r="C137" s="3" t="s">
        <v>11</v>
      </c>
      <c r="D137" s="4" t="s">
        <v>395</v>
      </c>
      <c r="E137" s="4" t="s">
        <v>2272</v>
      </c>
      <c r="F137" s="3" t="s">
        <v>2272</v>
      </c>
      <c r="G137" s="3" t="s">
        <v>2272</v>
      </c>
      <c r="H137" s="21" t="s">
        <v>2272</v>
      </c>
      <c r="I137" s="21" t="s">
        <v>2272</v>
      </c>
      <c r="J137" s="21" t="s">
        <v>2272</v>
      </c>
      <c r="K137" s="21"/>
      <c r="L137" s="21" t="s">
        <v>2272</v>
      </c>
      <c r="M137" s="21" t="s">
        <v>2272</v>
      </c>
      <c r="N137" s="21" t="s">
        <v>2272</v>
      </c>
      <c r="O137" s="21" t="s">
        <v>2272</v>
      </c>
      <c r="P137" s="21" t="s">
        <v>2272</v>
      </c>
      <c r="Q137" s="21" t="s">
        <v>2272</v>
      </c>
      <c r="R137" s="21" t="s">
        <v>2272</v>
      </c>
      <c r="S137" s="21" t="s">
        <v>2272</v>
      </c>
      <c r="T137" s="3"/>
    </row>
    <row r="138" spans="1:20" ht="61" customHeight="1">
      <c r="A138" s="24" t="s">
        <v>1725</v>
      </c>
      <c r="B138" s="3" t="s">
        <v>2272</v>
      </c>
      <c r="C138" s="3" t="s">
        <v>11</v>
      </c>
      <c r="D138" s="4" t="s">
        <v>395</v>
      </c>
      <c r="E138" s="4" t="s">
        <v>2272</v>
      </c>
      <c r="F138" s="3" t="s">
        <v>2272</v>
      </c>
      <c r="G138" s="3" t="s">
        <v>2272</v>
      </c>
      <c r="H138" s="21" t="s">
        <v>2272</v>
      </c>
      <c r="I138" s="21" t="s">
        <v>2272</v>
      </c>
      <c r="J138" s="21" t="s">
        <v>2272</v>
      </c>
      <c r="K138" s="21"/>
      <c r="L138" s="21" t="s">
        <v>2272</v>
      </c>
      <c r="M138" s="21" t="s">
        <v>2272</v>
      </c>
      <c r="N138" s="21" t="s">
        <v>2272</v>
      </c>
      <c r="O138" s="21" t="s">
        <v>2272</v>
      </c>
      <c r="P138" s="21" t="s">
        <v>2272</v>
      </c>
      <c r="Q138" s="21" t="s">
        <v>2272</v>
      </c>
      <c r="R138" s="21" t="s">
        <v>2272</v>
      </c>
      <c r="S138" s="21" t="s">
        <v>2272</v>
      </c>
      <c r="T138" s="3"/>
    </row>
    <row r="139" spans="1:20" ht="61" customHeight="1">
      <c r="A139" s="24" t="s">
        <v>1726</v>
      </c>
      <c r="B139" s="3" t="s">
        <v>2272</v>
      </c>
      <c r="C139" s="3" t="s">
        <v>393</v>
      </c>
      <c r="D139" s="4" t="s">
        <v>128</v>
      </c>
      <c r="E139" s="4" t="s">
        <v>2272</v>
      </c>
      <c r="F139" s="3" t="s">
        <v>2272</v>
      </c>
      <c r="G139" s="3" t="s">
        <v>2272</v>
      </c>
      <c r="H139" s="21" t="s">
        <v>2272</v>
      </c>
      <c r="I139" s="21" t="s">
        <v>2272</v>
      </c>
      <c r="J139" s="21" t="s">
        <v>2272</v>
      </c>
      <c r="K139" s="21"/>
      <c r="L139" s="21" t="s">
        <v>2272</v>
      </c>
      <c r="M139" s="21" t="s">
        <v>2272</v>
      </c>
      <c r="N139" s="21" t="s">
        <v>2272</v>
      </c>
      <c r="O139" s="21" t="s">
        <v>2272</v>
      </c>
      <c r="P139" s="21" t="s">
        <v>2272</v>
      </c>
      <c r="Q139" s="21" t="s">
        <v>2272</v>
      </c>
      <c r="R139" s="21" t="s">
        <v>2272</v>
      </c>
      <c r="S139" s="21" t="s">
        <v>2272</v>
      </c>
      <c r="T139" s="3"/>
    </row>
    <row r="140" spans="1:20" ht="61" customHeight="1">
      <c r="A140" s="24" t="s">
        <v>1727</v>
      </c>
      <c r="B140" s="3" t="s">
        <v>2272</v>
      </c>
      <c r="C140" s="3" t="s">
        <v>11</v>
      </c>
      <c r="D140" s="4" t="s">
        <v>395</v>
      </c>
      <c r="E140" s="4" t="s">
        <v>2272</v>
      </c>
      <c r="F140" s="3" t="s">
        <v>2272</v>
      </c>
      <c r="G140" s="3" t="s">
        <v>2272</v>
      </c>
      <c r="H140" s="21" t="s">
        <v>2272</v>
      </c>
      <c r="I140" s="21" t="s">
        <v>2272</v>
      </c>
      <c r="J140" s="21" t="s">
        <v>2272</v>
      </c>
      <c r="K140" s="21"/>
      <c r="L140" s="21" t="s">
        <v>2272</v>
      </c>
      <c r="M140" s="21" t="s">
        <v>2272</v>
      </c>
      <c r="N140" s="21" t="s">
        <v>2272</v>
      </c>
      <c r="O140" s="21" t="s">
        <v>2272</v>
      </c>
      <c r="P140" s="21" t="s">
        <v>2272</v>
      </c>
      <c r="Q140" s="21" t="s">
        <v>2272</v>
      </c>
      <c r="R140" s="21" t="s">
        <v>2272</v>
      </c>
      <c r="S140" s="21" t="s">
        <v>2272</v>
      </c>
      <c r="T140" s="3"/>
    </row>
    <row r="141" spans="1:20" ht="61" customHeight="1">
      <c r="A141" s="24" t="s">
        <v>1730</v>
      </c>
      <c r="B141" s="3" t="s">
        <v>2272</v>
      </c>
      <c r="C141" s="3" t="s">
        <v>393</v>
      </c>
      <c r="D141" s="4" t="s">
        <v>128</v>
      </c>
      <c r="E141" s="4" t="s">
        <v>2272</v>
      </c>
      <c r="F141" s="3" t="s">
        <v>2272</v>
      </c>
      <c r="G141" s="3" t="s">
        <v>2272</v>
      </c>
      <c r="H141" s="21" t="s">
        <v>2272</v>
      </c>
      <c r="I141" s="21" t="s">
        <v>2272</v>
      </c>
      <c r="J141" s="21" t="s">
        <v>2272</v>
      </c>
      <c r="K141" s="21"/>
      <c r="L141" s="21" t="s">
        <v>2272</v>
      </c>
      <c r="M141" s="21" t="s">
        <v>2272</v>
      </c>
      <c r="N141" s="21" t="s">
        <v>2272</v>
      </c>
      <c r="O141" s="21" t="s">
        <v>2272</v>
      </c>
      <c r="P141" s="21" t="s">
        <v>2272</v>
      </c>
      <c r="Q141" s="21" t="s">
        <v>2272</v>
      </c>
      <c r="R141" s="21" t="s">
        <v>2272</v>
      </c>
      <c r="S141" s="21" t="s">
        <v>2272</v>
      </c>
      <c r="T141" s="3"/>
    </row>
    <row r="142" spans="1:20" ht="61" customHeight="1">
      <c r="A142" s="24" t="s">
        <v>1731</v>
      </c>
      <c r="B142" s="3" t="s">
        <v>2272</v>
      </c>
      <c r="C142" s="3" t="s">
        <v>393</v>
      </c>
      <c r="D142" s="4" t="s">
        <v>128</v>
      </c>
      <c r="E142" s="4" t="s">
        <v>2272</v>
      </c>
      <c r="F142" s="3" t="s">
        <v>2272</v>
      </c>
      <c r="G142" s="3" t="s">
        <v>2272</v>
      </c>
      <c r="H142" s="21" t="s">
        <v>2272</v>
      </c>
      <c r="I142" s="21" t="s">
        <v>2272</v>
      </c>
      <c r="J142" s="21" t="s">
        <v>2272</v>
      </c>
      <c r="K142" s="21"/>
      <c r="L142" s="21" t="s">
        <v>2272</v>
      </c>
      <c r="M142" s="21" t="s">
        <v>2272</v>
      </c>
      <c r="N142" s="21" t="s">
        <v>2272</v>
      </c>
      <c r="O142" s="21" t="s">
        <v>2272</v>
      </c>
      <c r="P142" s="21" t="s">
        <v>2272</v>
      </c>
      <c r="Q142" s="21" t="s">
        <v>2272</v>
      </c>
      <c r="R142" s="21" t="s">
        <v>2272</v>
      </c>
      <c r="S142" s="21" t="s">
        <v>2272</v>
      </c>
      <c r="T142" s="3"/>
    </row>
    <row r="143" spans="1:20" ht="61" customHeight="1">
      <c r="A143" s="24" t="s">
        <v>1728</v>
      </c>
      <c r="B143" s="3" t="s">
        <v>2272</v>
      </c>
      <c r="C143" s="3" t="s">
        <v>393</v>
      </c>
      <c r="D143" s="4" t="s">
        <v>128</v>
      </c>
      <c r="E143" s="4" t="s">
        <v>2272</v>
      </c>
      <c r="F143" s="3" t="s">
        <v>2272</v>
      </c>
      <c r="G143" s="3" t="s">
        <v>2272</v>
      </c>
      <c r="H143" s="21" t="s">
        <v>2272</v>
      </c>
      <c r="I143" s="21" t="s">
        <v>2272</v>
      </c>
      <c r="J143" s="21" t="s">
        <v>2272</v>
      </c>
      <c r="K143" s="21"/>
      <c r="L143" s="21" t="s">
        <v>2272</v>
      </c>
      <c r="M143" s="21" t="s">
        <v>2272</v>
      </c>
      <c r="N143" s="21" t="s">
        <v>2272</v>
      </c>
      <c r="O143" s="21" t="s">
        <v>2272</v>
      </c>
      <c r="P143" s="21" t="s">
        <v>2272</v>
      </c>
      <c r="Q143" s="21" t="s">
        <v>2272</v>
      </c>
      <c r="R143" s="21" t="s">
        <v>2272</v>
      </c>
      <c r="S143" s="21" t="s">
        <v>2272</v>
      </c>
      <c r="T143" s="3"/>
    </row>
    <row r="144" spans="1:20" ht="61" customHeight="1">
      <c r="A144" s="24" t="s">
        <v>1729</v>
      </c>
      <c r="B144" s="3" t="s">
        <v>2272</v>
      </c>
      <c r="C144" s="3" t="s">
        <v>393</v>
      </c>
      <c r="D144" s="4" t="s">
        <v>128</v>
      </c>
      <c r="E144" s="4" t="s">
        <v>2272</v>
      </c>
      <c r="F144" s="3" t="s">
        <v>2272</v>
      </c>
      <c r="G144" s="3" t="s">
        <v>2272</v>
      </c>
      <c r="H144" s="21" t="s">
        <v>2272</v>
      </c>
      <c r="I144" s="21" t="s">
        <v>2272</v>
      </c>
      <c r="J144" s="21" t="s">
        <v>2272</v>
      </c>
      <c r="K144" s="21"/>
      <c r="L144" s="21" t="s">
        <v>2272</v>
      </c>
      <c r="M144" s="21" t="s">
        <v>2272</v>
      </c>
      <c r="N144" s="21" t="s">
        <v>2272</v>
      </c>
      <c r="O144" s="21" t="s">
        <v>2272</v>
      </c>
      <c r="P144" s="21" t="s">
        <v>2272</v>
      </c>
      <c r="Q144" s="21" t="s">
        <v>2272</v>
      </c>
      <c r="R144" s="21" t="s">
        <v>2272</v>
      </c>
      <c r="S144" s="21" t="s">
        <v>2272</v>
      </c>
      <c r="T144" s="3"/>
    </row>
    <row r="145" spans="1:20" ht="61" customHeight="1">
      <c r="A145" s="24" t="s">
        <v>1732</v>
      </c>
      <c r="B145" s="3" t="s">
        <v>2272</v>
      </c>
      <c r="C145" s="3" t="s">
        <v>393</v>
      </c>
      <c r="D145" s="4" t="s">
        <v>128</v>
      </c>
      <c r="E145" s="4" t="s">
        <v>2272</v>
      </c>
      <c r="F145" s="3" t="s">
        <v>2272</v>
      </c>
      <c r="G145" s="3" t="s">
        <v>2272</v>
      </c>
      <c r="H145" s="21" t="s">
        <v>2272</v>
      </c>
      <c r="I145" s="21" t="s">
        <v>2272</v>
      </c>
      <c r="J145" s="21" t="s">
        <v>2272</v>
      </c>
      <c r="K145" s="21"/>
      <c r="L145" s="21" t="s">
        <v>2272</v>
      </c>
      <c r="M145" s="21" t="s">
        <v>2272</v>
      </c>
      <c r="N145" s="21" t="s">
        <v>2272</v>
      </c>
      <c r="O145" s="21" t="s">
        <v>2272</v>
      </c>
      <c r="P145" s="21" t="s">
        <v>2272</v>
      </c>
      <c r="Q145" s="21" t="s">
        <v>2272</v>
      </c>
      <c r="R145" s="21" t="s">
        <v>2272</v>
      </c>
      <c r="S145" s="21" t="s">
        <v>2272</v>
      </c>
      <c r="T145" s="3"/>
    </row>
    <row r="146" spans="1:20" ht="61" customHeight="1">
      <c r="A146" s="24" t="s">
        <v>1733</v>
      </c>
      <c r="B146" s="3" t="s">
        <v>2272</v>
      </c>
      <c r="C146" s="3" t="s">
        <v>11</v>
      </c>
      <c r="D146" s="4" t="s">
        <v>395</v>
      </c>
      <c r="E146" s="4" t="s">
        <v>2272</v>
      </c>
      <c r="F146" s="3" t="s">
        <v>2272</v>
      </c>
      <c r="G146" s="3" t="s">
        <v>2272</v>
      </c>
      <c r="H146" s="21" t="s">
        <v>2272</v>
      </c>
      <c r="I146" s="21" t="s">
        <v>2272</v>
      </c>
      <c r="J146" s="21" t="s">
        <v>2272</v>
      </c>
      <c r="K146" s="21"/>
      <c r="L146" s="21" t="s">
        <v>2272</v>
      </c>
      <c r="M146" s="21" t="s">
        <v>2272</v>
      </c>
      <c r="N146" s="21" t="s">
        <v>2272</v>
      </c>
      <c r="O146" s="21" t="s">
        <v>2272</v>
      </c>
      <c r="P146" s="21" t="s">
        <v>2272</v>
      </c>
      <c r="Q146" s="21" t="s">
        <v>2272</v>
      </c>
      <c r="R146" s="21" t="s">
        <v>2272</v>
      </c>
      <c r="S146" s="21" t="s">
        <v>2272</v>
      </c>
      <c r="T146" s="3"/>
    </row>
    <row r="147" spans="1:20" ht="61" customHeight="1">
      <c r="A147" s="24" t="s">
        <v>1734</v>
      </c>
      <c r="B147" s="3" t="s">
        <v>2272</v>
      </c>
      <c r="C147" s="3" t="s">
        <v>393</v>
      </c>
      <c r="D147" s="4" t="s">
        <v>128</v>
      </c>
      <c r="E147" s="4" t="s">
        <v>2272</v>
      </c>
      <c r="F147" s="3" t="s">
        <v>2272</v>
      </c>
      <c r="G147" s="3" t="s">
        <v>2272</v>
      </c>
      <c r="H147" s="21" t="s">
        <v>2272</v>
      </c>
      <c r="I147" s="21" t="s">
        <v>2272</v>
      </c>
      <c r="J147" s="21" t="s">
        <v>2272</v>
      </c>
      <c r="K147" s="21"/>
      <c r="L147" s="21" t="s">
        <v>2272</v>
      </c>
      <c r="M147" s="21" t="s">
        <v>2272</v>
      </c>
      <c r="N147" s="21" t="s">
        <v>2272</v>
      </c>
      <c r="O147" s="21" t="s">
        <v>2272</v>
      </c>
      <c r="P147" s="21" t="s">
        <v>2272</v>
      </c>
      <c r="Q147" s="21" t="s">
        <v>2272</v>
      </c>
      <c r="R147" s="21" t="s">
        <v>2272</v>
      </c>
      <c r="S147" s="21" t="s">
        <v>2272</v>
      </c>
      <c r="T147" s="3"/>
    </row>
    <row r="148" spans="1:20" ht="61" customHeight="1">
      <c r="A148" s="24" t="s">
        <v>1735</v>
      </c>
      <c r="B148" s="3" t="s">
        <v>2272</v>
      </c>
      <c r="C148" s="3" t="s">
        <v>11</v>
      </c>
      <c r="D148" s="4" t="s">
        <v>395</v>
      </c>
      <c r="E148" s="4" t="s">
        <v>128</v>
      </c>
      <c r="F148" s="3" t="s">
        <v>2272</v>
      </c>
      <c r="G148" s="3" t="s">
        <v>2272</v>
      </c>
      <c r="H148" s="21" t="s">
        <v>2272</v>
      </c>
      <c r="I148" s="21" t="s">
        <v>2272</v>
      </c>
      <c r="J148" s="21" t="s">
        <v>2272</v>
      </c>
      <c r="K148" s="21"/>
      <c r="L148" s="21" t="s">
        <v>2272</v>
      </c>
      <c r="M148" s="21" t="s">
        <v>2272</v>
      </c>
      <c r="N148" s="21" t="s">
        <v>2272</v>
      </c>
      <c r="O148" s="21" t="s">
        <v>2272</v>
      </c>
      <c r="P148" s="21" t="s">
        <v>2272</v>
      </c>
      <c r="Q148" s="21" t="s">
        <v>2272</v>
      </c>
      <c r="R148" s="21" t="s">
        <v>2272</v>
      </c>
      <c r="S148" s="21" t="s">
        <v>2272</v>
      </c>
      <c r="T148" s="3"/>
    </row>
    <row r="149" spans="1:20" ht="61" customHeight="1">
      <c r="A149" s="24" t="s">
        <v>1736</v>
      </c>
      <c r="B149" s="3" t="s">
        <v>2272</v>
      </c>
      <c r="C149" s="3" t="s">
        <v>11</v>
      </c>
      <c r="D149" s="4" t="s">
        <v>395</v>
      </c>
      <c r="E149" s="4" t="s">
        <v>2272</v>
      </c>
      <c r="F149" s="3" t="s">
        <v>2272</v>
      </c>
      <c r="G149" s="3" t="s">
        <v>2272</v>
      </c>
      <c r="H149" s="21" t="s">
        <v>2272</v>
      </c>
      <c r="I149" s="21" t="s">
        <v>2272</v>
      </c>
      <c r="J149" s="21" t="s">
        <v>2272</v>
      </c>
      <c r="K149" s="21"/>
      <c r="L149" s="21" t="s">
        <v>2272</v>
      </c>
      <c r="M149" s="21" t="s">
        <v>2272</v>
      </c>
      <c r="N149" s="21" t="s">
        <v>2272</v>
      </c>
      <c r="O149" s="21" t="s">
        <v>2272</v>
      </c>
      <c r="P149" s="21" t="s">
        <v>2272</v>
      </c>
      <c r="Q149" s="21" t="s">
        <v>2272</v>
      </c>
      <c r="R149" s="21" t="s">
        <v>2272</v>
      </c>
      <c r="S149" s="21" t="s">
        <v>2272</v>
      </c>
      <c r="T149" s="3"/>
    </row>
    <row r="150" spans="1:20" ht="61" customHeight="1">
      <c r="A150" s="24" t="s">
        <v>1737</v>
      </c>
      <c r="B150" s="3" t="s">
        <v>2272</v>
      </c>
      <c r="C150" s="3" t="s">
        <v>393</v>
      </c>
      <c r="D150" s="4" t="s">
        <v>128</v>
      </c>
      <c r="E150" s="4" t="s">
        <v>2272</v>
      </c>
      <c r="F150" s="3" t="s">
        <v>2272</v>
      </c>
      <c r="G150" s="3" t="s">
        <v>2272</v>
      </c>
      <c r="H150" s="21" t="s">
        <v>2272</v>
      </c>
      <c r="I150" s="21" t="s">
        <v>2272</v>
      </c>
      <c r="J150" s="21" t="s">
        <v>2272</v>
      </c>
      <c r="K150" s="21"/>
      <c r="L150" s="21" t="s">
        <v>2272</v>
      </c>
      <c r="M150" s="21" t="s">
        <v>2272</v>
      </c>
      <c r="N150" s="21" t="s">
        <v>2272</v>
      </c>
      <c r="O150" s="21" t="s">
        <v>2272</v>
      </c>
      <c r="P150" s="21" t="s">
        <v>2272</v>
      </c>
      <c r="Q150" s="21" t="s">
        <v>2272</v>
      </c>
      <c r="R150" s="21" t="s">
        <v>2272</v>
      </c>
      <c r="S150" s="21" t="s">
        <v>2272</v>
      </c>
      <c r="T150" s="3"/>
    </row>
    <row r="151" spans="1:20" ht="61" customHeight="1">
      <c r="A151" s="24" t="s">
        <v>1738</v>
      </c>
      <c r="B151" s="3" t="s">
        <v>2272</v>
      </c>
      <c r="C151" s="3" t="s">
        <v>393</v>
      </c>
      <c r="D151" s="4" t="s">
        <v>128</v>
      </c>
      <c r="E151" s="4" t="s">
        <v>2272</v>
      </c>
      <c r="F151" s="3" t="s">
        <v>2272</v>
      </c>
      <c r="G151" s="3" t="s">
        <v>2272</v>
      </c>
      <c r="H151" s="21" t="s">
        <v>2272</v>
      </c>
      <c r="I151" s="21" t="s">
        <v>2272</v>
      </c>
      <c r="J151" s="21" t="s">
        <v>2272</v>
      </c>
      <c r="K151" s="21"/>
      <c r="L151" s="21" t="s">
        <v>2272</v>
      </c>
      <c r="M151" s="21" t="s">
        <v>2272</v>
      </c>
      <c r="N151" s="21" t="s">
        <v>2272</v>
      </c>
      <c r="O151" s="21" t="s">
        <v>2272</v>
      </c>
      <c r="P151" s="21" t="s">
        <v>2272</v>
      </c>
      <c r="Q151" s="21" t="s">
        <v>2272</v>
      </c>
      <c r="R151" s="21" t="s">
        <v>2272</v>
      </c>
      <c r="S151" s="21" t="s">
        <v>2272</v>
      </c>
      <c r="T151" s="3"/>
    </row>
    <row r="152" spans="1:20" ht="61" customHeight="1">
      <c r="A152" s="24" t="s">
        <v>1739</v>
      </c>
      <c r="B152" s="3" t="s">
        <v>2272</v>
      </c>
      <c r="C152" s="3" t="s">
        <v>11</v>
      </c>
      <c r="D152" s="4" t="s">
        <v>395</v>
      </c>
      <c r="E152" s="4" t="s">
        <v>128</v>
      </c>
      <c r="F152" s="3" t="s">
        <v>2272</v>
      </c>
      <c r="G152" s="3" t="s">
        <v>2272</v>
      </c>
      <c r="H152" s="21" t="s">
        <v>2272</v>
      </c>
      <c r="I152" s="21" t="s">
        <v>2272</v>
      </c>
      <c r="J152" s="21" t="s">
        <v>2272</v>
      </c>
      <c r="K152" s="21"/>
      <c r="L152" s="21" t="s">
        <v>2272</v>
      </c>
      <c r="M152" s="21" t="s">
        <v>2272</v>
      </c>
      <c r="N152" s="21" t="s">
        <v>2272</v>
      </c>
      <c r="O152" s="21" t="s">
        <v>2272</v>
      </c>
      <c r="P152" s="21" t="s">
        <v>2272</v>
      </c>
      <c r="Q152" s="21" t="s">
        <v>2272</v>
      </c>
      <c r="R152" s="21" t="s">
        <v>2272</v>
      </c>
      <c r="S152" s="21" t="s">
        <v>2272</v>
      </c>
      <c r="T152" s="3"/>
    </row>
    <row r="153" spans="1:20" ht="61" customHeight="1">
      <c r="A153" s="24" t="s">
        <v>1740</v>
      </c>
      <c r="B153" s="3" t="s">
        <v>2272</v>
      </c>
      <c r="C153" s="3" t="s">
        <v>11</v>
      </c>
      <c r="D153" s="4" t="s">
        <v>395</v>
      </c>
      <c r="E153" s="4" t="s">
        <v>128</v>
      </c>
      <c r="F153" s="3" t="s">
        <v>2272</v>
      </c>
      <c r="G153" s="3" t="s">
        <v>2272</v>
      </c>
      <c r="H153" s="21" t="s">
        <v>2272</v>
      </c>
      <c r="I153" s="21" t="s">
        <v>2272</v>
      </c>
      <c r="J153" s="21" t="s">
        <v>2272</v>
      </c>
      <c r="K153" s="21"/>
      <c r="L153" s="21" t="s">
        <v>2272</v>
      </c>
      <c r="M153" s="21" t="s">
        <v>2272</v>
      </c>
      <c r="N153" s="21" t="s">
        <v>2272</v>
      </c>
      <c r="O153" s="21" t="s">
        <v>2272</v>
      </c>
      <c r="P153" s="21" t="s">
        <v>2272</v>
      </c>
      <c r="Q153" s="21" t="s">
        <v>2272</v>
      </c>
      <c r="R153" s="21" t="s">
        <v>2272</v>
      </c>
      <c r="S153" s="21" t="s">
        <v>2272</v>
      </c>
      <c r="T153" s="3"/>
    </row>
    <row r="154" spans="1:20" ht="61" customHeight="1">
      <c r="A154" s="24" t="s">
        <v>1741</v>
      </c>
      <c r="B154" s="3" t="s">
        <v>2272</v>
      </c>
      <c r="C154" s="3" t="s">
        <v>11</v>
      </c>
      <c r="D154" s="4" t="s">
        <v>395</v>
      </c>
      <c r="E154" s="4" t="s">
        <v>2272</v>
      </c>
      <c r="F154" s="3" t="s">
        <v>2272</v>
      </c>
      <c r="G154" s="3" t="s">
        <v>2272</v>
      </c>
      <c r="H154" s="21" t="s">
        <v>2272</v>
      </c>
      <c r="I154" s="21" t="s">
        <v>2272</v>
      </c>
      <c r="J154" s="21" t="s">
        <v>2272</v>
      </c>
      <c r="K154" s="21"/>
      <c r="L154" s="21" t="s">
        <v>2272</v>
      </c>
      <c r="M154" s="21" t="s">
        <v>2272</v>
      </c>
      <c r="N154" s="21" t="s">
        <v>2272</v>
      </c>
      <c r="O154" s="21" t="s">
        <v>2272</v>
      </c>
      <c r="P154" s="21" t="s">
        <v>2272</v>
      </c>
      <c r="Q154" s="21" t="s">
        <v>2272</v>
      </c>
      <c r="R154" s="21" t="s">
        <v>2272</v>
      </c>
      <c r="S154" s="21" t="s">
        <v>2272</v>
      </c>
      <c r="T154" s="3"/>
    </row>
    <row r="155" spans="1:20" ht="61" customHeight="1">
      <c r="A155" s="24" t="s">
        <v>1742</v>
      </c>
      <c r="B155" s="3" t="s">
        <v>2272</v>
      </c>
      <c r="C155" s="3" t="s">
        <v>11</v>
      </c>
      <c r="D155" s="4" t="s">
        <v>395</v>
      </c>
      <c r="E155" s="4" t="s">
        <v>128</v>
      </c>
      <c r="F155" s="3" t="s">
        <v>2272</v>
      </c>
      <c r="G155" s="3" t="s">
        <v>2272</v>
      </c>
      <c r="H155" s="21" t="s">
        <v>2272</v>
      </c>
      <c r="I155" s="21" t="s">
        <v>2272</v>
      </c>
      <c r="J155" s="21" t="s">
        <v>2272</v>
      </c>
      <c r="K155" s="21"/>
      <c r="L155" s="21" t="s">
        <v>2272</v>
      </c>
      <c r="M155" s="21" t="s">
        <v>2272</v>
      </c>
      <c r="N155" s="21" t="s">
        <v>2272</v>
      </c>
      <c r="O155" s="21" t="s">
        <v>2272</v>
      </c>
      <c r="P155" s="21" t="s">
        <v>2272</v>
      </c>
      <c r="Q155" s="21" t="s">
        <v>2272</v>
      </c>
      <c r="R155" s="21" t="s">
        <v>2272</v>
      </c>
      <c r="S155" s="21" t="s">
        <v>2272</v>
      </c>
      <c r="T155" s="3"/>
    </row>
    <row r="156" spans="1:20" ht="61" customHeight="1">
      <c r="A156" s="24" t="s">
        <v>1743</v>
      </c>
      <c r="B156" s="3" t="s">
        <v>2272</v>
      </c>
      <c r="C156" s="3" t="s">
        <v>11</v>
      </c>
      <c r="D156" s="4" t="s">
        <v>395</v>
      </c>
      <c r="E156" s="4" t="s">
        <v>2272</v>
      </c>
      <c r="F156" s="3" t="s">
        <v>2272</v>
      </c>
      <c r="G156" s="3" t="s">
        <v>2272</v>
      </c>
      <c r="H156" s="21" t="s">
        <v>2272</v>
      </c>
      <c r="I156" s="21" t="s">
        <v>2272</v>
      </c>
      <c r="J156" s="21" t="s">
        <v>2272</v>
      </c>
      <c r="K156" s="21"/>
      <c r="L156" s="21" t="s">
        <v>2272</v>
      </c>
      <c r="M156" s="21" t="s">
        <v>2272</v>
      </c>
      <c r="N156" s="21" t="s">
        <v>2272</v>
      </c>
      <c r="O156" s="21" t="s">
        <v>2272</v>
      </c>
      <c r="P156" s="21" t="s">
        <v>2272</v>
      </c>
      <c r="Q156" s="21" t="s">
        <v>2272</v>
      </c>
      <c r="R156" s="21" t="s">
        <v>2272</v>
      </c>
      <c r="S156" s="21" t="s">
        <v>2272</v>
      </c>
      <c r="T156" s="3"/>
    </row>
    <row r="157" spans="1:20" ht="61" customHeight="1">
      <c r="A157" s="24" t="s">
        <v>1744</v>
      </c>
      <c r="B157" s="3" t="s">
        <v>2272</v>
      </c>
      <c r="C157" s="3" t="s">
        <v>11</v>
      </c>
      <c r="D157" s="4" t="s">
        <v>395</v>
      </c>
      <c r="E157" s="4" t="s">
        <v>2272</v>
      </c>
      <c r="F157" s="3" t="s">
        <v>2272</v>
      </c>
      <c r="G157" s="3" t="s">
        <v>2272</v>
      </c>
      <c r="H157" s="21" t="s">
        <v>2272</v>
      </c>
      <c r="I157" s="21" t="s">
        <v>2272</v>
      </c>
      <c r="J157" s="21" t="s">
        <v>2272</v>
      </c>
      <c r="K157" s="21"/>
      <c r="L157" s="21" t="s">
        <v>2272</v>
      </c>
      <c r="M157" s="21" t="s">
        <v>2272</v>
      </c>
      <c r="N157" s="21" t="s">
        <v>2272</v>
      </c>
      <c r="O157" s="21" t="s">
        <v>2272</v>
      </c>
      <c r="P157" s="21" t="s">
        <v>2272</v>
      </c>
      <c r="Q157" s="21" t="s">
        <v>2272</v>
      </c>
      <c r="R157" s="21" t="s">
        <v>2272</v>
      </c>
      <c r="S157" s="21" t="s">
        <v>2272</v>
      </c>
      <c r="T157" s="3"/>
    </row>
    <row r="158" spans="1:20" ht="61" customHeight="1">
      <c r="A158" s="24" t="s">
        <v>1745</v>
      </c>
      <c r="B158" s="3" t="s">
        <v>2272</v>
      </c>
      <c r="C158" s="3" t="s">
        <v>11</v>
      </c>
      <c r="D158" s="4" t="s">
        <v>395</v>
      </c>
      <c r="E158" s="4" t="s">
        <v>128</v>
      </c>
      <c r="F158" s="3" t="s">
        <v>2272</v>
      </c>
      <c r="G158" s="3" t="s">
        <v>2272</v>
      </c>
      <c r="H158" s="21" t="s">
        <v>2272</v>
      </c>
      <c r="I158" s="21" t="s">
        <v>2272</v>
      </c>
      <c r="J158" s="21" t="s">
        <v>2272</v>
      </c>
      <c r="K158" s="21"/>
      <c r="L158" s="21" t="s">
        <v>2272</v>
      </c>
      <c r="M158" s="21" t="s">
        <v>2272</v>
      </c>
      <c r="N158" s="21" t="s">
        <v>2272</v>
      </c>
      <c r="O158" s="21" t="s">
        <v>2272</v>
      </c>
      <c r="P158" s="21" t="s">
        <v>2272</v>
      </c>
      <c r="Q158" s="21" t="s">
        <v>2272</v>
      </c>
      <c r="R158" s="21" t="s">
        <v>2272</v>
      </c>
      <c r="S158" s="21" t="s">
        <v>2272</v>
      </c>
      <c r="T158" s="3"/>
    </row>
    <row r="159" spans="1:20" ht="61" customHeight="1">
      <c r="A159" s="24" t="s">
        <v>1746</v>
      </c>
      <c r="B159" s="3" t="s">
        <v>2272</v>
      </c>
      <c r="C159" s="3" t="s">
        <v>11</v>
      </c>
      <c r="D159" s="4" t="s">
        <v>395</v>
      </c>
      <c r="E159" s="4" t="s">
        <v>2272</v>
      </c>
      <c r="F159" s="3" t="s">
        <v>2272</v>
      </c>
      <c r="G159" s="3" t="s">
        <v>2272</v>
      </c>
      <c r="H159" s="21" t="s">
        <v>2272</v>
      </c>
      <c r="I159" s="21" t="s">
        <v>2272</v>
      </c>
      <c r="J159" s="21" t="s">
        <v>2272</v>
      </c>
      <c r="K159" s="21"/>
      <c r="L159" s="21" t="s">
        <v>2272</v>
      </c>
      <c r="M159" s="21" t="s">
        <v>2272</v>
      </c>
      <c r="N159" s="21" t="s">
        <v>2272</v>
      </c>
      <c r="O159" s="21" t="s">
        <v>2272</v>
      </c>
      <c r="P159" s="21" t="s">
        <v>2272</v>
      </c>
      <c r="Q159" s="21" t="s">
        <v>2272</v>
      </c>
      <c r="R159" s="21" t="s">
        <v>2272</v>
      </c>
      <c r="S159" s="21" t="s">
        <v>2272</v>
      </c>
      <c r="T159" s="3"/>
    </row>
    <row r="160" spans="1:20" ht="61" customHeight="1">
      <c r="A160" s="24" t="s">
        <v>1747</v>
      </c>
      <c r="B160" s="3" t="s">
        <v>2272</v>
      </c>
      <c r="C160" s="3" t="s">
        <v>11</v>
      </c>
      <c r="D160" s="4" t="s">
        <v>395</v>
      </c>
      <c r="E160" s="4" t="s">
        <v>2272</v>
      </c>
      <c r="F160" s="3" t="s">
        <v>2272</v>
      </c>
      <c r="G160" s="3" t="s">
        <v>2272</v>
      </c>
      <c r="H160" s="21" t="s">
        <v>2272</v>
      </c>
      <c r="I160" s="21" t="s">
        <v>2272</v>
      </c>
      <c r="J160" s="21" t="s">
        <v>2272</v>
      </c>
      <c r="K160" s="21"/>
      <c r="L160" s="21" t="s">
        <v>2272</v>
      </c>
      <c r="M160" s="21" t="s">
        <v>2272</v>
      </c>
      <c r="N160" s="21" t="s">
        <v>2272</v>
      </c>
      <c r="O160" s="21" t="s">
        <v>2272</v>
      </c>
      <c r="P160" s="21" t="s">
        <v>2272</v>
      </c>
      <c r="Q160" s="21" t="s">
        <v>2272</v>
      </c>
      <c r="R160" s="21" t="s">
        <v>2272</v>
      </c>
      <c r="S160" s="21" t="s">
        <v>2272</v>
      </c>
      <c r="T160" s="3"/>
    </row>
    <row r="161" spans="1:20" ht="61" customHeight="1">
      <c r="A161" s="24" t="s">
        <v>1748</v>
      </c>
      <c r="B161" s="3" t="s">
        <v>2272</v>
      </c>
      <c r="C161" s="3" t="s">
        <v>11</v>
      </c>
      <c r="D161" s="4" t="s">
        <v>395</v>
      </c>
      <c r="E161" s="4" t="s">
        <v>128</v>
      </c>
      <c r="F161" s="3" t="s">
        <v>2272</v>
      </c>
      <c r="G161" s="3" t="s">
        <v>2272</v>
      </c>
      <c r="H161" s="21" t="s">
        <v>2272</v>
      </c>
      <c r="I161" s="21" t="s">
        <v>2272</v>
      </c>
      <c r="J161" s="21" t="s">
        <v>2272</v>
      </c>
      <c r="K161" s="21"/>
      <c r="L161" s="21" t="s">
        <v>2272</v>
      </c>
      <c r="M161" s="21" t="s">
        <v>2272</v>
      </c>
      <c r="N161" s="21" t="s">
        <v>2272</v>
      </c>
      <c r="O161" s="21" t="s">
        <v>2272</v>
      </c>
      <c r="P161" s="21" t="s">
        <v>2272</v>
      </c>
      <c r="Q161" s="21" t="s">
        <v>2272</v>
      </c>
      <c r="R161" s="21" t="s">
        <v>2272</v>
      </c>
      <c r="S161" s="21" t="s">
        <v>2272</v>
      </c>
      <c r="T161" s="3"/>
    </row>
    <row r="162" spans="1:20" ht="61" customHeight="1">
      <c r="A162" s="24" t="s">
        <v>1749</v>
      </c>
      <c r="B162" s="3" t="s">
        <v>2272</v>
      </c>
      <c r="C162" s="3" t="s">
        <v>393</v>
      </c>
      <c r="D162" s="4" t="s">
        <v>128</v>
      </c>
      <c r="E162" s="4" t="s">
        <v>2272</v>
      </c>
      <c r="F162" s="3" t="s">
        <v>2272</v>
      </c>
      <c r="G162" s="3" t="s">
        <v>2272</v>
      </c>
      <c r="H162" s="21" t="s">
        <v>2272</v>
      </c>
      <c r="I162" s="21" t="s">
        <v>2272</v>
      </c>
      <c r="J162" s="21" t="s">
        <v>2272</v>
      </c>
      <c r="K162" s="21"/>
      <c r="L162" s="21" t="s">
        <v>2272</v>
      </c>
      <c r="M162" s="21" t="s">
        <v>2272</v>
      </c>
      <c r="N162" s="21" t="s">
        <v>2272</v>
      </c>
      <c r="O162" s="21" t="s">
        <v>2272</v>
      </c>
      <c r="P162" s="21" t="s">
        <v>2272</v>
      </c>
      <c r="Q162" s="21" t="s">
        <v>2272</v>
      </c>
      <c r="R162" s="21" t="s">
        <v>2272</v>
      </c>
      <c r="S162" s="21" t="s">
        <v>2272</v>
      </c>
      <c r="T162" s="3"/>
    </row>
    <row r="163" spans="1:20" ht="61" customHeight="1">
      <c r="A163" s="24" t="s">
        <v>1750</v>
      </c>
      <c r="B163" s="3" t="s">
        <v>2272</v>
      </c>
      <c r="C163" s="3" t="s">
        <v>11</v>
      </c>
      <c r="D163" s="4" t="s">
        <v>395</v>
      </c>
      <c r="E163" s="4" t="s">
        <v>2272</v>
      </c>
      <c r="F163" s="3" t="s">
        <v>2272</v>
      </c>
      <c r="G163" s="3" t="s">
        <v>2272</v>
      </c>
      <c r="H163" s="21" t="s">
        <v>2272</v>
      </c>
      <c r="I163" s="21" t="s">
        <v>2272</v>
      </c>
      <c r="J163" s="21" t="s">
        <v>2272</v>
      </c>
      <c r="K163" s="21"/>
      <c r="L163" s="21" t="s">
        <v>2272</v>
      </c>
      <c r="M163" s="21" t="s">
        <v>2272</v>
      </c>
      <c r="N163" s="21" t="s">
        <v>2272</v>
      </c>
      <c r="O163" s="21" t="s">
        <v>2272</v>
      </c>
      <c r="P163" s="21" t="s">
        <v>2272</v>
      </c>
      <c r="Q163" s="21" t="s">
        <v>2272</v>
      </c>
      <c r="R163" s="21" t="s">
        <v>2272</v>
      </c>
      <c r="S163" s="21" t="s">
        <v>2272</v>
      </c>
      <c r="T163" s="3"/>
    </row>
    <row r="164" spans="1:20" ht="61" customHeight="1">
      <c r="A164" s="24" t="s">
        <v>1751</v>
      </c>
      <c r="B164" s="3" t="s">
        <v>2272</v>
      </c>
      <c r="C164" s="3" t="s">
        <v>393</v>
      </c>
      <c r="D164" s="4" t="s">
        <v>128</v>
      </c>
      <c r="E164" s="4" t="s">
        <v>2272</v>
      </c>
      <c r="F164" s="3" t="s">
        <v>2272</v>
      </c>
      <c r="G164" s="3" t="s">
        <v>2272</v>
      </c>
      <c r="H164" s="21" t="s">
        <v>2272</v>
      </c>
      <c r="I164" s="21" t="s">
        <v>2272</v>
      </c>
      <c r="J164" s="21" t="s">
        <v>2272</v>
      </c>
      <c r="K164" s="21"/>
      <c r="L164" s="21" t="s">
        <v>2272</v>
      </c>
      <c r="M164" s="21" t="s">
        <v>2272</v>
      </c>
      <c r="N164" s="21" t="s">
        <v>2272</v>
      </c>
      <c r="O164" s="21" t="s">
        <v>2272</v>
      </c>
      <c r="P164" s="21" t="s">
        <v>2272</v>
      </c>
      <c r="Q164" s="21" t="s">
        <v>2272</v>
      </c>
      <c r="R164" s="21" t="s">
        <v>2272</v>
      </c>
      <c r="S164" s="21" t="s">
        <v>2272</v>
      </c>
      <c r="T164" s="3"/>
    </row>
    <row r="165" spans="1:20" ht="61" customHeight="1">
      <c r="A165" s="24" t="s">
        <v>1752</v>
      </c>
      <c r="B165" s="3" t="s">
        <v>2272</v>
      </c>
      <c r="C165" s="3" t="s">
        <v>393</v>
      </c>
      <c r="D165" s="4" t="s">
        <v>128</v>
      </c>
      <c r="E165" s="4" t="s">
        <v>2272</v>
      </c>
      <c r="F165" s="3" t="s">
        <v>2272</v>
      </c>
      <c r="G165" s="3" t="s">
        <v>2272</v>
      </c>
      <c r="H165" s="21" t="s">
        <v>2272</v>
      </c>
      <c r="I165" s="21" t="s">
        <v>2272</v>
      </c>
      <c r="J165" s="21" t="s">
        <v>2272</v>
      </c>
      <c r="K165" s="21"/>
      <c r="L165" s="21" t="s">
        <v>2272</v>
      </c>
      <c r="M165" s="21" t="s">
        <v>2272</v>
      </c>
      <c r="N165" s="21" t="s">
        <v>2272</v>
      </c>
      <c r="O165" s="21" t="s">
        <v>2272</v>
      </c>
      <c r="P165" s="21" t="s">
        <v>2272</v>
      </c>
      <c r="Q165" s="21" t="s">
        <v>2272</v>
      </c>
      <c r="R165" s="21" t="s">
        <v>2272</v>
      </c>
      <c r="S165" s="21" t="s">
        <v>2272</v>
      </c>
      <c r="T165" s="3"/>
    </row>
    <row r="166" spans="1:20" ht="61" customHeight="1">
      <c r="A166" s="24" t="s">
        <v>1753</v>
      </c>
      <c r="B166" s="3" t="s">
        <v>2272</v>
      </c>
      <c r="C166" s="3" t="s">
        <v>11</v>
      </c>
      <c r="D166" s="4" t="s">
        <v>395</v>
      </c>
      <c r="E166" s="4" t="s">
        <v>128</v>
      </c>
      <c r="F166" s="3" t="s">
        <v>2272</v>
      </c>
      <c r="G166" s="3" t="s">
        <v>2272</v>
      </c>
      <c r="H166" s="21" t="s">
        <v>2272</v>
      </c>
      <c r="I166" s="21" t="s">
        <v>2272</v>
      </c>
      <c r="J166" s="21" t="s">
        <v>2272</v>
      </c>
      <c r="K166" s="21"/>
      <c r="L166" s="21" t="s">
        <v>2272</v>
      </c>
      <c r="M166" s="21" t="s">
        <v>2272</v>
      </c>
      <c r="N166" s="21" t="s">
        <v>2272</v>
      </c>
      <c r="O166" s="21" t="s">
        <v>2272</v>
      </c>
      <c r="P166" s="21" t="s">
        <v>2272</v>
      </c>
      <c r="Q166" s="21" t="s">
        <v>2272</v>
      </c>
      <c r="R166" s="21" t="s">
        <v>2272</v>
      </c>
      <c r="S166" s="21" t="s">
        <v>2272</v>
      </c>
      <c r="T166" s="3"/>
    </row>
    <row r="167" spans="1:20" ht="61" customHeight="1">
      <c r="A167" s="24" t="s">
        <v>1754</v>
      </c>
      <c r="B167" s="3" t="s">
        <v>2272</v>
      </c>
      <c r="C167" s="3" t="s">
        <v>11</v>
      </c>
      <c r="D167" s="4" t="s">
        <v>395</v>
      </c>
      <c r="E167" s="4" t="s">
        <v>128</v>
      </c>
      <c r="F167" s="3" t="s">
        <v>2272</v>
      </c>
      <c r="G167" s="3" t="s">
        <v>2272</v>
      </c>
      <c r="H167" s="21" t="s">
        <v>2272</v>
      </c>
      <c r="I167" s="21" t="s">
        <v>2272</v>
      </c>
      <c r="J167" s="21" t="s">
        <v>2272</v>
      </c>
      <c r="K167" s="21"/>
      <c r="L167" s="21" t="s">
        <v>2272</v>
      </c>
      <c r="M167" s="21" t="s">
        <v>2272</v>
      </c>
      <c r="N167" s="21" t="s">
        <v>2272</v>
      </c>
      <c r="O167" s="21" t="s">
        <v>2272</v>
      </c>
      <c r="P167" s="21" t="s">
        <v>2272</v>
      </c>
      <c r="Q167" s="21" t="s">
        <v>2272</v>
      </c>
      <c r="R167" s="21" t="s">
        <v>2272</v>
      </c>
      <c r="S167" s="21" t="s">
        <v>2272</v>
      </c>
      <c r="T167" s="3"/>
    </row>
    <row r="168" spans="1:20" ht="61" customHeight="1">
      <c r="A168" s="24" t="s">
        <v>1755</v>
      </c>
      <c r="B168" s="3" t="s">
        <v>2272</v>
      </c>
      <c r="C168" s="3" t="s">
        <v>393</v>
      </c>
      <c r="D168" s="4" t="s">
        <v>128</v>
      </c>
      <c r="E168" s="4" t="s">
        <v>2272</v>
      </c>
      <c r="F168" s="3" t="s">
        <v>2272</v>
      </c>
      <c r="G168" s="3" t="s">
        <v>2272</v>
      </c>
      <c r="H168" s="21" t="s">
        <v>2272</v>
      </c>
      <c r="I168" s="21" t="s">
        <v>2272</v>
      </c>
      <c r="J168" s="21" t="s">
        <v>2272</v>
      </c>
      <c r="K168" s="21"/>
      <c r="L168" s="21" t="s">
        <v>2272</v>
      </c>
      <c r="M168" s="21" t="s">
        <v>2272</v>
      </c>
      <c r="N168" s="21" t="s">
        <v>2272</v>
      </c>
      <c r="O168" s="21" t="s">
        <v>2272</v>
      </c>
      <c r="P168" s="21" t="s">
        <v>2272</v>
      </c>
      <c r="Q168" s="21" t="s">
        <v>2272</v>
      </c>
      <c r="R168" s="21" t="s">
        <v>2272</v>
      </c>
      <c r="S168" s="21" t="s">
        <v>2272</v>
      </c>
      <c r="T168" s="3"/>
    </row>
    <row r="169" spans="1:20" ht="61" customHeight="1">
      <c r="A169" s="24" t="s">
        <v>1756</v>
      </c>
      <c r="B169" s="3" t="s">
        <v>2272</v>
      </c>
      <c r="C169" s="3" t="s">
        <v>11</v>
      </c>
      <c r="D169" s="4" t="s">
        <v>395</v>
      </c>
      <c r="E169" s="4" t="s">
        <v>128</v>
      </c>
      <c r="F169" s="3" t="s">
        <v>2272</v>
      </c>
      <c r="G169" s="3" t="s">
        <v>2272</v>
      </c>
      <c r="H169" s="21" t="s">
        <v>2272</v>
      </c>
      <c r="I169" s="21" t="s">
        <v>2272</v>
      </c>
      <c r="J169" s="21" t="s">
        <v>2272</v>
      </c>
      <c r="K169" s="21"/>
      <c r="L169" s="21" t="s">
        <v>2272</v>
      </c>
      <c r="M169" s="21" t="s">
        <v>2272</v>
      </c>
      <c r="N169" s="21" t="s">
        <v>2272</v>
      </c>
      <c r="O169" s="21" t="s">
        <v>2272</v>
      </c>
      <c r="P169" s="21" t="s">
        <v>2272</v>
      </c>
      <c r="Q169" s="21" t="s">
        <v>2272</v>
      </c>
      <c r="R169" s="21" t="s">
        <v>2272</v>
      </c>
      <c r="S169" s="21" t="s">
        <v>2272</v>
      </c>
      <c r="T169" s="3"/>
    </row>
    <row r="170" spans="1:20" ht="61" customHeight="1">
      <c r="A170" s="24" t="s">
        <v>1757</v>
      </c>
      <c r="B170" s="3" t="s">
        <v>2272</v>
      </c>
      <c r="C170" s="3" t="s">
        <v>11</v>
      </c>
      <c r="D170" s="4" t="s">
        <v>395</v>
      </c>
      <c r="E170" s="4" t="s">
        <v>128</v>
      </c>
      <c r="F170" s="3" t="s">
        <v>2272</v>
      </c>
      <c r="G170" s="3" t="s">
        <v>2272</v>
      </c>
      <c r="H170" s="21" t="s">
        <v>2272</v>
      </c>
      <c r="I170" s="21" t="s">
        <v>2272</v>
      </c>
      <c r="J170" s="21" t="s">
        <v>2272</v>
      </c>
      <c r="K170" s="21"/>
      <c r="L170" s="21" t="s">
        <v>2272</v>
      </c>
      <c r="M170" s="21" t="s">
        <v>2272</v>
      </c>
      <c r="N170" s="21" t="s">
        <v>2272</v>
      </c>
      <c r="O170" s="21" t="s">
        <v>2272</v>
      </c>
      <c r="P170" s="21" t="s">
        <v>2272</v>
      </c>
      <c r="Q170" s="21" t="s">
        <v>2272</v>
      </c>
      <c r="R170" s="21" t="s">
        <v>2272</v>
      </c>
      <c r="S170" s="21" t="s">
        <v>2272</v>
      </c>
      <c r="T170" s="3"/>
    </row>
    <row r="171" spans="1:20" ht="61" customHeight="1">
      <c r="A171" s="24" t="s">
        <v>1758</v>
      </c>
      <c r="B171" s="3" t="s">
        <v>2272</v>
      </c>
      <c r="C171" s="3" t="s">
        <v>11</v>
      </c>
      <c r="D171" s="4" t="s">
        <v>395</v>
      </c>
      <c r="E171" s="4" t="s">
        <v>128</v>
      </c>
      <c r="F171" s="3" t="s">
        <v>2272</v>
      </c>
      <c r="G171" s="3" t="s">
        <v>2272</v>
      </c>
      <c r="H171" s="21" t="s">
        <v>2272</v>
      </c>
      <c r="I171" s="21" t="s">
        <v>2272</v>
      </c>
      <c r="J171" s="21" t="s">
        <v>2272</v>
      </c>
      <c r="K171" s="21"/>
      <c r="L171" s="21" t="s">
        <v>2272</v>
      </c>
      <c r="M171" s="21" t="s">
        <v>2272</v>
      </c>
      <c r="N171" s="21" t="s">
        <v>2272</v>
      </c>
      <c r="O171" s="21" t="s">
        <v>2272</v>
      </c>
      <c r="P171" s="21" t="s">
        <v>2272</v>
      </c>
      <c r="Q171" s="21" t="s">
        <v>2272</v>
      </c>
      <c r="R171" s="21" t="s">
        <v>2272</v>
      </c>
      <c r="S171" s="21" t="s">
        <v>2272</v>
      </c>
      <c r="T171" s="3"/>
    </row>
    <row r="172" spans="1:20" ht="61" customHeight="1">
      <c r="A172" s="24" t="s">
        <v>1759</v>
      </c>
      <c r="B172" s="3" t="s">
        <v>2272</v>
      </c>
      <c r="C172" s="3" t="s">
        <v>11</v>
      </c>
      <c r="D172" s="4" t="s">
        <v>395</v>
      </c>
      <c r="E172" s="4" t="s">
        <v>128</v>
      </c>
      <c r="F172" s="3" t="s">
        <v>2272</v>
      </c>
      <c r="G172" s="3" t="s">
        <v>2272</v>
      </c>
      <c r="H172" s="21" t="s">
        <v>2272</v>
      </c>
      <c r="I172" s="21" t="s">
        <v>2272</v>
      </c>
      <c r="J172" s="21" t="s">
        <v>2272</v>
      </c>
      <c r="K172" s="21"/>
      <c r="L172" s="21" t="s">
        <v>2272</v>
      </c>
      <c r="M172" s="21" t="s">
        <v>2272</v>
      </c>
      <c r="N172" s="21" t="s">
        <v>2272</v>
      </c>
      <c r="O172" s="21" t="s">
        <v>2272</v>
      </c>
      <c r="P172" s="21" t="s">
        <v>2272</v>
      </c>
      <c r="Q172" s="21" t="s">
        <v>2272</v>
      </c>
      <c r="R172" s="21" t="s">
        <v>2272</v>
      </c>
      <c r="S172" s="21" t="s">
        <v>2272</v>
      </c>
      <c r="T172" s="3"/>
    </row>
    <row r="173" spans="1:20" ht="61" customHeight="1">
      <c r="A173" s="24" t="s">
        <v>1760</v>
      </c>
      <c r="B173" s="3" t="s">
        <v>2272</v>
      </c>
      <c r="C173" s="3" t="s">
        <v>393</v>
      </c>
      <c r="D173" s="4" t="s">
        <v>128</v>
      </c>
      <c r="E173" s="4" t="s">
        <v>2272</v>
      </c>
      <c r="F173" s="3" t="s">
        <v>2272</v>
      </c>
      <c r="G173" s="3" t="s">
        <v>2272</v>
      </c>
      <c r="H173" s="21" t="s">
        <v>2272</v>
      </c>
      <c r="I173" s="21" t="s">
        <v>2272</v>
      </c>
      <c r="J173" s="21" t="s">
        <v>2272</v>
      </c>
      <c r="K173" s="21"/>
      <c r="L173" s="21" t="s">
        <v>2272</v>
      </c>
      <c r="M173" s="21" t="s">
        <v>2272</v>
      </c>
      <c r="N173" s="21" t="s">
        <v>2272</v>
      </c>
      <c r="O173" s="21" t="s">
        <v>2272</v>
      </c>
      <c r="P173" s="21" t="s">
        <v>2272</v>
      </c>
      <c r="Q173" s="21" t="s">
        <v>2272</v>
      </c>
      <c r="R173" s="21" t="s">
        <v>2272</v>
      </c>
      <c r="S173" s="21" t="s">
        <v>2272</v>
      </c>
      <c r="T173" s="3"/>
    </row>
    <row r="174" spans="1:20" ht="61" customHeight="1">
      <c r="A174" s="24" t="s">
        <v>1761</v>
      </c>
      <c r="B174" s="3" t="s">
        <v>2272</v>
      </c>
      <c r="C174" s="3" t="s">
        <v>11</v>
      </c>
      <c r="D174" s="4" t="s">
        <v>395</v>
      </c>
      <c r="E174" s="4" t="s">
        <v>128</v>
      </c>
      <c r="F174" s="3" t="s">
        <v>2272</v>
      </c>
      <c r="G174" s="3" t="s">
        <v>2272</v>
      </c>
      <c r="H174" s="21" t="s">
        <v>2272</v>
      </c>
      <c r="I174" s="21" t="s">
        <v>2272</v>
      </c>
      <c r="J174" s="21" t="s">
        <v>2272</v>
      </c>
      <c r="K174" s="21"/>
      <c r="L174" s="21" t="s">
        <v>2272</v>
      </c>
      <c r="M174" s="21" t="s">
        <v>2272</v>
      </c>
      <c r="N174" s="21" t="s">
        <v>2272</v>
      </c>
      <c r="O174" s="21" t="s">
        <v>2272</v>
      </c>
      <c r="P174" s="21" t="s">
        <v>2272</v>
      </c>
      <c r="Q174" s="21" t="s">
        <v>2272</v>
      </c>
      <c r="R174" s="21" t="s">
        <v>2272</v>
      </c>
      <c r="S174" s="21" t="s">
        <v>2272</v>
      </c>
      <c r="T174" s="3"/>
    </row>
    <row r="175" spans="1:20" ht="61" customHeight="1">
      <c r="A175" s="24" t="s">
        <v>1762</v>
      </c>
      <c r="B175" s="3" t="s">
        <v>2272</v>
      </c>
      <c r="C175" s="3" t="s">
        <v>393</v>
      </c>
      <c r="D175" s="4" t="s">
        <v>128</v>
      </c>
      <c r="E175" s="4" t="s">
        <v>2272</v>
      </c>
      <c r="F175" s="3" t="s">
        <v>2272</v>
      </c>
      <c r="G175" s="3" t="s">
        <v>2272</v>
      </c>
      <c r="H175" s="21" t="s">
        <v>2272</v>
      </c>
      <c r="I175" s="21" t="s">
        <v>2272</v>
      </c>
      <c r="J175" s="21" t="s">
        <v>2272</v>
      </c>
      <c r="K175" s="21"/>
      <c r="L175" s="21" t="s">
        <v>2272</v>
      </c>
      <c r="M175" s="21" t="s">
        <v>2272</v>
      </c>
      <c r="N175" s="21" t="s">
        <v>2272</v>
      </c>
      <c r="O175" s="21" t="s">
        <v>2272</v>
      </c>
      <c r="P175" s="21" t="s">
        <v>2272</v>
      </c>
      <c r="Q175" s="21" t="s">
        <v>2272</v>
      </c>
      <c r="R175" s="21" t="s">
        <v>2272</v>
      </c>
      <c r="S175" s="21" t="s">
        <v>2272</v>
      </c>
      <c r="T175" s="3"/>
    </row>
    <row r="176" spans="1:20" ht="61" customHeight="1">
      <c r="A176" s="24" t="s">
        <v>1763</v>
      </c>
      <c r="B176" s="3" t="s">
        <v>2272</v>
      </c>
      <c r="C176" s="3" t="s">
        <v>11</v>
      </c>
      <c r="D176" s="4" t="s">
        <v>395</v>
      </c>
      <c r="E176" s="4" t="s">
        <v>2272</v>
      </c>
      <c r="F176" s="3" t="s">
        <v>2272</v>
      </c>
      <c r="G176" s="3" t="s">
        <v>2272</v>
      </c>
      <c r="H176" s="21" t="s">
        <v>2272</v>
      </c>
      <c r="I176" s="21" t="s">
        <v>2272</v>
      </c>
      <c r="J176" s="21" t="s">
        <v>2272</v>
      </c>
      <c r="K176" s="21"/>
      <c r="L176" s="21" t="s">
        <v>2272</v>
      </c>
      <c r="M176" s="21" t="s">
        <v>2272</v>
      </c>
      <c r="N176" s="21" t="s">
        <v>2272</v>
      </c>
      <c r="O176" s="21" t="s">
        <v>2272</v>
      </c>
      <c r="P176" s="21" t="s">
        <v>2272</v>
      </c>
      <c r="Q176" s="21" t="s">
        <v>2272</v>
      </c>
      <c r="R176" s="21" t="s">
        <v>2272</v>
      </c>
      <c r="S176" s="21" t="s">
        <v>2272</v>
      </c>
      <c r="T176" s="3"/>
    </row>
    <row r="177" spans="1:20" ht="61" customHeight="1">
      <c r="A177" s="24" t="s">
        <v>1764</v>
      </c>
      <c r="B177" s="3" t="s">
        <v>2272</v>
      </c>
      <c r="C177" s="3" t="s">
        <v>11</v>
      </c>
      <c r="D177" s="4" t="s">
        <v>395</v>
      </c>
      <c r="E177" s="4" t="s">
        <v>2272</v>
      </c>
      <c r="F177" s="3" t="s">
        <v>2272</v>
      </c>
      <c r="G177" s="3" t="s">
        <v>2272</v>
      </c>
      <c r="H177" s="21" t="s">
        <v>2272</v>
      </c>
      <c r="I177" s="21" t="s">
        <v>2272</v>
      </c>
      <c r="J177" s="21" t="s">
        <v>2272</v>
      </c>
      <c r="K177" s="21"/>
      <c r="L177" s="21" t="s">
        <v>2272</v>
      </c>
      <c r="M177" s="21" t="s">
        <v>2272</v>
      </c>
      <c r="N177" s="21" t="s">
        <v>2272</v>
      </c>
      <c r="O177" s="21" t="s">
        <v>2272</v>
      </c>
      <c r="P177" s="21" t="s">
        <v>2272</v>
      </c>
      <c r="Q177" s="21" t="s">
        <v>2272</v>
      </c>
      <c r="R177" s="21" t="s">
        <v>2272</v>
      </c>
      <c r="S177" s="21" t="s">
        <v>2272</v>
      </c>
      <c r="T177" s="3"/>
    </row>
    <row r="178" spans="1:20" ht="61" customHeight="1">
      <c r="A178" s="24" t="s">
        <v>1765</v>
      </c>
      <c r="B178" s="3" t="s">
        <v>2272</v>
      </c>
      <c r="C178" s="3" t="s">
        <v>11</v>
      </c>
      <c r="D178" s="4" t="s">
        <v>395</v>
      </c>
      <c r="E178" s="4" t="s">
        <v>128</v>
      </c>
      <c r="F178" s="3" t="s">
        <v>2272</v>
      </c>
      <c r="G178" s="3" t="s">
        <v>2272</v>
      </c>
      <c r="H178" s="21" t="s">
        <v>2272</v>
      </c>
      <c r="I178" s="21" t="s">
        <v>2272</v>
      </c>
      <c r="J178" s="21" t="s">
        <v>2272</v>
      </c>
      <c r="K178" s="21"/>
      <c r="L178" s="21" t="s">
        <v>2272</v>
      </c>
      <c r="M178" s="21" t="s">
        <v>2272</v>
      </c>
      <c r="N178" s="21" t="s">
        <v>2272</v>
      </c>
      <c r="O178" s="21" t="s">
        <v>2272</v>
      </c>
      <c r="P178" s="21" t="s">
        <v>2272</v>
      </c>
      <c r="Q178" s="21" t="s">
        <v>2272</v>
      </c>
      <c r="R178" s="21" t="s">
        <v>2272</v>
      </c>
      <c r="S178" s="21" t="s">
        <v>2272</v>
      </c>
      <c r="T178" s="3"/>
    </row>
    <row r="179" spans="1:20" ht="61" customHeight="1">
      <c r="A179" s="24" t="s">
        <v>1766</v>
      </c>
      <c r="B179" s="3" t="s">
        <v>2272</v>
      </c>
      <c r="C179" s="3" t="s">
        <v>11</v>
      </c>
      <c r="D179" s="4" t="s">
        <v>395</v>
      </c>
      <c r="E179" s="4" t="s">
        <v>128</v>
      </c>
      <c r="F179" s="3" t="s">
        <v>2272</v>
      </c>
      <c r="G179" s="3" t="s">
        <v>2272</v>
      </c>
      <c r="H179" s="21" t="s">
        <v>2272</v>
      </c>
      <c r="I179" s="21" t="s">
        <v>2272</v>
      </c>
      <c r="J179" s="21" t="s">
        <v>2272</v>
      </c>
      <c r="K179" s="21"/>
      <c r="L179" s="21" t="s">
        <v>2272</v>
      </c>
      <c r="M179" s="21" t="s">
        <v>2272</v>
      </c>
      <c r="N179" s="21" t="s">
        <v>2272</v>
      </c>
      <c r="O179" s="21" t="s">
        <v>2272</v>
      </c>
      <c r="P179" s="21" t="s">
        <v>2272</v>
      </c>
      <c r="Q179" s="21" t="s">
        <v>2272</v>
      </c>
      <c r="R179" s="21" t="s">
        <v>2272</v>
      </c>
      <c r="S179" s="21" t="s">
        <v>2272</v>
      </c>
      <c r="T179" s="3"/>
    </row>
    <row r="180" spans="1:20" ht="61" customHeight="1">
      <c r="A180" s="24" t="s">
        <v>1767</v>
      </c>
      <c r="B180" s="3" t="s">
        <v>2272</v>
      </c>
      <c r="C180" s="3" t="s">
        <v>393</v>
      </c>
      <c r="D180" s="4" t="s">
        <v>128</v>
      </c>
      <c r="E180" s="4" t="s">
        <v>2272</v>
      </c>
      <c r="F180" s="3" t="s">
        <v>2272</v>
      </c>
      <c r="G180" s="3" t="s">
        <v>2272</v>
      </c>
      <c r="H180" s="21" t="s">
        <v>2272</v>
      </c>
      <c r="I180" s="21" t="s">
        <v>2272</v>
      </c>
      <c r="J180" s="21" t="s">
        <v>2272</v>
      </c>
      <c r="K180" s="21"/>
      <c r="L180" s="21" t="s">
        <v>2272</v>
      </c>
      <c r="M180" s="21" t="s">
        <v>2272</v>
      </c>
      <c r="N180" s="21" t="s">
        <v>2272</v>
      </c>
      <c r="O180" s="21" t="s">
        <v>2272</v>
      </c>
      <c r="P180" s="21" t="s">
        <v>2272</v>
      </c>
      <c r="Q180" s="21" t="s">
        <v>2272</v>
      </c>
      <c r="R180" s="21" t="s">
        <v>2272</v>
      </c>
      <c r="S180" s="21" t="s">
        <v>2272</v>
      </c>
      <c r="T180" s="3"/>
    </row>
    <row r="181" spans="1:20" ht="61" customHeight="1">
      <c r="A181" s="24" t="s">
        <v>1768</v>
      </c>
      <c r="B181" s="3" t="s">
        <v>2272</v>
      </c>
      <c r="C181" s="3" t="s">
        <v>393</v>
      </c>
      <c r="D181" s="4" t="s">
        <v>128</v>
      </c>
      <c r="E181" s="4" t="s">
        <v>2272</v>
      </c>
      <c r="F181" s="3" t="s">
        <v>2272</v>
      </c>
      <c r="G181" s="3" t="s">
        <v>2272</v>
      </c>
      <c r="H181" s="21" t="s">
        <v>2272</v>
      </c>
      <c r="I181" s="21" t="s">
        <v>2272</v>
      </c>
      <c r="J181" s="21" t="s">
        <v>2272</v>
      </c>
      <c r="K181" s="21"/>
      <c r="L181" s="21" t="s">
        <v>2272</v>
      </c>
      <c r="M181" s="21" t="s">
        <v>2272</v>
      </c>
      <c r="N181" s="21" t="s">
        <v>2272</v>
      </c>
      <c r="O181" s="21" t="s">
        <v>2272</v>
      </c>
      <c r="P181" s="21" t="s">
        <v>2272</v>
      </c>
      <c r="Q181" s="21" t="s">
        <v>2272</v>
      </c>
      <c r="R181" s="21" t="s">
        <v>2272</v>
      </c>
      <c r="S181" s="21" t="s">
        <v>2272</v>
      </c>
      <c r="T181" s="3"/>
    </row>
    <row r="182" spans="1:20" ht="61" customHeight="1">
      <c r="A182" s="24" t="s">
        <v>1769</v>
      </c>
      <c r="B182" s="3" t="s">
        <v>2272</v>
      </c>
      <c r="C182" s="3" t="s">
        <v>11</v>
      </c>
      <c r="D182" s="4" t="s">
        <v>395</v>
      </c>
      <c r="E182" s="4" t="s">
        <v>2272</v>
      </c>
      <c r="F182" s="3" t="s">
        <v>2272</v>
      </c>
      <c r="G182" s="3" t="s">
        <v>2272</v>
      </c>
      <c r="H182" s="21" t="s">
        <v>2272</v>
      </c>
      <c r="I182" s="21" t="s">
        <v>2272</v>
      </c>
      <c r="J182" s="21" t="s">
        <v>2272</v>
      </c>
      <c r="K182" s="21"/>
      <c r="L182" s="21" t="s">
        <v>2272</v>
      </c>
      <c r="M182" s="21" t="s">
        <v>2272</v>
      </c>
      <c r="N182" s="21" t="s">
        <v>2272</v>
      </c>
      <c r="O182" s="21" t="s">
        <v>2272</v>
      </c>
      <c r="P182" s="21" t="s">
        <v>2272</v>
      </c>
      <c r="Q182" s="21" t="s">
        <v>2272</v>
      </c>
      <c r="R182" s="21" t="s">
        <v>2272</v>
      </c>
      <c r="S182" s="21" t="s">
        <v>2272</v>
      </c>
      <c r="T182" s="3"/>
    </row>
    <row r="183" spans="1:20" ht="61" customHeight="1">
      <c r="A183" s="24" t="s">
        <v>1770</v>
      </c>
      <c r="B183" s="3" t="s">
        <v>2272</v>
      </c>
      <c r="C183" s="3" t="s">
        <v>11</v>
      </c>
      <c r="D183" s="4" t="s">
        <v>395</v>
      </c>
      <c r="E183" s="4" t="s">
        <v>2272</v>
      </c>
      <c r="F183" s="3" t="s">
        <v>2272</v>
      </c>
      <c r="G183" s="3" t="s">
        <v>2272</v>
      </c>
      <c r="H183" s="21" t="s">
        <v>2272</v>
      </c>
      <c r="I183" s="21" t="s">
        <v>2272</v>
      </c>
      <c r="J183" s="21" t="s">
        <v>2272</v>
      </c>
      <c r="K183" s="21"/>
      <c r="L183" s="21" t="s">
        <v>2272</v>
      </c>
      <c r="M183" s="21" t="s">
        <v>2272</v>
      </c>
      <c r="N183" s="21" t="s">
        <v>2272</v>
      </c>
      <c r="O183" s="21" t="s">
        <v>2272</v>
      </c>
      <c r="P183" s="21" t="s">
        <v>2272</v>
      </c>
      <c r="Q183" s="21" t="s">
        <v>2272</v>
      </c>
      <c r="R183" s="21" t="s">
        <v>2272</v>
      </c>
      <c r="S183" s="21" t="s">
        <v>2272</v>
      </c>
      <c r="T183" s="3"/>
    </row>
    <row r="184" spans="1:20" ht="58.5" customHeight="1">
      <c r="A184" s="11" t="s">
        <v>553</v>
      </c>
      <c r="B184" s="19" t="s">
        <v>69</v>
      </c>
      <c r="C184" s="11" t="s">
        <v>11</v>
      </c>
      <c r="D184" s="19" t="s">
        <v>128</v>
      </c>
      <c r="E184" s="4" t="s">
        <v>394</v>
      </c>
      <c r="F184" s="3" t="s">
        <v>44</v>
      </c>
      <c r="G184" s="3" t="s">
        <v>2272</v>
      </c>
      <c r="H184" s="21">
        <v>1.53</v>
      </c>
      <c r="I184" s="21">
        <v>78.5</v>
      </c>
      <c r="J184" s="21">
        <v>1.25</v>
      </c>
      <c r="K184" s="21" t="s">
        <v>532</v>
      </c>
      <c r="L184" s="21" t="s">
        <v>2272</v>
      </c>
      <c r="M184" s="21" t="s">
        <v>2272</v>
      </c>
      <c r="N184" s="21" t="s">
        <v>2272</v>
      </c>
      <c r="O184" s="21">
        <v>27</v>
      </c>
      <c r="P184" s="21">
        <v>11</v>
      </c>
      <c r="Q184" s="21">
        <v>7</v>
      </c>
      <c r="R184" s="21">
        <v>55</v>
      </c>
      <c r="S184" s="21">
        <v>0.57903879999999996</v>
      </c>
      <c r="T184" s="4" t="s">
        <v>1864</v>
      </c>
    </row>
    <row r="185" spans="1:20" ht="58.5" customHeight="1">
      <c r="A185" s="11" t="s">
        <v>554</v>
      </c>
      <c r="B185" s="19" t="s">
        <v>69</v>
      </c>
      <c r="C185" s="11" t="s">
        <v>11</v>
      </c>
      <c r="D185" s="19" t="s">
        <v>128</v>
      </c>
      <c r="E185" s="4" t="s">
        <v>394</v>
      </c>
      <c r="F185" s="3" t="s">
        <v>44</v>
      </c>
      <c r="G185" s="3" t="s">
        <v>2272</v>
      </c>
      <c r="H185" s="21">
        <v>1.56</v>
      </c>
      <c r="I185" s="21">
        <v>78.5</v>
      </c>
      <c r="J185" s="21">
        <v>1.25</v>
      </c>
      <c r="K185" s="21" t="s">
        <v>532</v>
      </c>
      <c r="L185" s="21" t="s">
        <v>2272</v>
      </c>
      <c r="M185" s="21" t="s">
        <v>2272</v>
      </c>
      <c r="N185" s="21" t="s">
        <v>2272</v>
      </c>
      <c r="O185" s="21">
        <v>27</v>
      </c>
      <c r="P185" s="21">
        <v>11</v>
      </c>
      <c r="Q185" s="21">
        <v>7</v>
      </c>
      <c r="R185" s="21">
        <v>55</v>
      </c>
      <c r="S185" s="21">
        <v>0.81547963999999995</v>
      </c>
      <c r="T185" s="4" t="s">
        <v>1864</v>
      </c>
    </row>
    <row r="186" spans="1:20" ht="58.5" customHeight="1">
      <c r="A186" s="3" t="s">
        <v>569</v>
      </c>
      <c r="B186" s="3" t="s">
        <v>2272</v>
      </c>
      <c r="C186" s="11" t="s">
        <v>393</v>
      </c>
      <c r="D186" s="19" t="s">
        <v>128</v>
      </c>
      <c r="E186" s="19" t="s">
        <v>2272</v>
      </c>
      <c r="F186" s="3" t="s">
        <v>2272</v>
      </c>
      <c r="G186" s="3" t="s">
        <v>2272</v>
      </c>
      <c r="H186" s="21" t="s">
        <v>2272</v>
      </c>
      <c r="I186" s="21" t="s">
        <v>2272</v>
      </c>
      <c r="J186" s="21" t="s">
        <v>2272</v>
      </c>
      <c r="K186" s="21"/>
      <c r="L186" s="21" t="s">
        <v>2272</v>
      </c>
      <c r="M186" s="21" t="s">
        <v>2272</v>
      </c>
      <c r="N186" s="21" t="s">
        <v>2272</v>
      </c>
      <c r="O186" s="21" t="s">
        <v>2272</v>
      </c>
      <c r="P186" s="21" t="s">
        <v>2272</v>
      </c>
      <c r="Q186" s="21" t="s">
        <v>2272</v>
      </c>
      <c r="R186" s="21" t="s">
        <v>2272</v>
      </c>
      <c r="S186" s="21" t="s">
        <v>2272</v>
      </c>
      <c r="T186" s="4" t="s">
        <v>1950</v>
      </c>
    </row>
    <row r="187" spans="1:20" ht="58.5" customHeight="1">
      <c r="A187" s="3" t="s">
        <v>570</v>
      </c>
      <c r="B187" s="3" t="s">
        <v>2272</v>
      </c>
      <c r="C187" s="11" t="s">
        <v>393</v>
      </c>
      <c r="D187" s="19" t="s">
        <v>128</v>
      </c>
      <c r="E187" s="19" t="s">
        <v>2272</v>
      </c>
      <c r="F187" s="3" t="s">
        <v>2272</v>
      </c>
      <c r="G187" s="3" t="s">
        <v>2272</v>
      </c>
      <c r="H187" s="21" t="s">
        <v>2272</v>
      </c>
      <c r="I187" s="21" t="s">
        <v>2272</v>
      </c>
      <c r="J187" s="21" t="s">
        <v>2272</v>
      </c>
      <c r="K187" s="21"/>
      <c r="L187" s="21" t="s">
        <v>2272</v>
      </c>
      <c r="M187" s="21" t="s">
        <v>2272</v>
      </c>
      <c r="N187" s="21" t="s">
        <v>2272</v>
      </c>
      <c r="O187" s="21" t="s">
        <v>2272</v>
      </c>
      <c r="P187" s="21" t="s">
        <v>2272</v>
      </c>
      <c r="Q187" s="21" t="s">
        <v>2272</v>
      </c>
      <c r="R187" s="21" t="s">
        <v>2272</v>
      </c>
      <c r="S187" s="21" t="s">
        <v>2272</v>
      </c>
      <c r="T187" s="4" t="s">
        <v>1951</v>
      </c>
    </row>
    <row r="188" spans="1:20" ht="58.5" customHeight="1">
      <c r="A188" s="3" t="s">
        <v>571</v>
      </c>
      <c r="B188" s="3" t="s">
        <v>2272</v>
      </c>
      <c r="C188" s="11" t="s">
        <v>393</v>
      </c>
      <c r="D188" s="19" t="s">
        <v>128</v>
      </c>
      <c r="E188" s="19" t="s">
        <v>2272</v>
      </c>
      <c r="F188" s="3" t="s">
        <v>2272</v>
      </c>
      <c r="G188" s="3" t="s">
        <v>2272</v>
      </c>
      <c r="H188" s="21" t="s">
        <v>2272</v>
      </c>
      <c r="I188" s="21" t="s">
        <v>2272</v>
      </c>
      <c r="J188" s="21" t="s">
        <v>2272</v>
      </c>
      <c r="K188" s="21"/>
      <c r="L188" s="21" t="s">
        <v>2272</v>
      </c>
      <c r="M188" s="21" t="s">
        <v>2272</v>
      </c>
      <c r="N188" s="21" t="s">
        <v>2272</v>
      </c>
      <c r="O188" s="21" t="s">
        <v>2272</v>
      </c>
      <c r="P188" s="21" t="s">
        <v>2272</v>
      </c>
      <c r="Q188" s="21" t="s">
        <v>2272</v>
      </c>
      <c r="R188" s="21" t="s">
        <v>2272</v>
      </c>
      <c r="S188" s="21" t="s">
        <v>2272</v>
      </c>
      <c r="T188" s="4" t="s">
        <v>1951</v>
      </c>
    </row>
    <row r="189" spans="1:20" ht="58.5" customHeight="1">
      <c r="A189" s="3" t="s">
        <v>572</v>
      </c>
      <c r="B189" s="3" t="s">
        <v>2272</v>
      </c>
      <c r="C189" s="11" t="s">
        <v>393</v>
      </c>
      <c r="D189" s="19" t="s">
        <v>128</v>
      </c>
      <c r="E189" s="19" t="s">
        <v>2272</v>
      </c>
      <c r="F189" s="3" t="s">
        <v>2272</v>
      </c>
      <c r="G189" s="3" t="s">
        <v>2272</v>
      </c>
      <c r="H189" s="21" t="s">
        <v>2272</v>
      </c>
      <c r="I189" s="21" t="s">
        <v>2272</v>
      </c>
      <c r="J189" s="21" t="s">
        <v>2272</v>
      </c>
      <c r="K189" s="21"/>
      <c r="L189" s="21" t="s">
        <v>2272</v>
      </c>
      <c r="M189" s="21" t="s">
        <v>2272</v>
      </c>
      <c r="N189" s="21" t="s">
        <v>2272</v>
      </c>
      <c r="O189" s="21" t="s">
        <v>2272</v>
      </c>
      <c r="P189" s="21" t="s">
        <v>2272</v>
      </c>
      <c r="Q189" s="21" t="s">
        <v>2272</v>
      </c>
      <c r="R189" s="21" t="s">
        <v>2272</v>
      </c>
      <c r="S189" s="21" t="s">
        <v>2272</v>
      </c>
      <c r="T189" s="4" t="s">
        <v>1950</v>
      </c>
    </row>
    <row r="190" spans="1:20" ht="58.5" customHeight="1">
      <c r="A190" s="3" t="s">
        <v>573</v>
      </c>
      <c r="B190" s="3" t="s">
        <v>2272</v>
      </c>
      <c r="C190" s="11" t="s">
        <v>393</v>
      </c>
      <c r="D190" s="19" t="s">
        <v>128</v>
      </c>
      <c r="E190" s="19" t="s">
        <v>2272</v>
      </c>
      <c r="F190" s="3" t="s">
        <v>2272</v>
      </c>
      <c r="G190" s="3" t="s">
        <v>2272</v>
      </c>
      <c r="H190" s="21" t="s">
        <v>2272</v>
      </c>
      <c r="I190" s="21" t="s">
        <v>2272</v>
      </c>
      <c r="J190" s="21" t="s">
        <v>2272</v>
      </c>
      <c r="K190" s="21"/>
      <c r="L190" s="21" t="s">
        <v>2272</v>
      </c>
      <c r="M190" s="21" t="s">
        <v>2272</v>
      </c>
      <c r="N190" s="21" t="s">
        <v>2272</v>
      </c>
      <c r="O190" s="21" t="s">
        <v>2272</v>
      </c>
      <c r="P190" s="21" t="s">
        <v>2272</v>
      </c>
      <c r="Q190" s="21" t="s">
        <v>2272</v>
      </c>
      <c r="R190" s="21" t="s">
        <v>2272</v>
      </c>
      <c r="S190" s="21" t="s">
        <v>2272</v>
      </c>
      <c r="T190" s="4" t="s">
        <v>1952</v>
      </c>
    </row>
    <row r="191" spans="1:20" ht="58.5" customHeight="1">
      <c r="A191" s="3" t="s">
        <v>574</v>
      </c>
      <c r="B191" s="3" t="s">
        <v>2272</v>
      </c>
      <c r="C191" s="11" t="s">
        <v>393</v>
      </c>
      <c r="D191" s="19" t="s">
        <v>128</v>
      </c>
      <c r="E191" s="19" t="s">
        <v>2272</v>
      </c>
      <c r="F191" s="3" t="s">
        <v>2272</v>
      </c>
      <c r="G191" s="3" t="s">
        <v>2272</v>
      </c>
      <c r="H191" s="21" t="s">
        <v>2272</v>
      </c>
      <c r="I191" s="21" t="s">
        <v>2272</v>
      </c>
      <c r="J191" s="21" t="s">
        <v>2272</v>
      </c>
      <c r="K191" s="21"/>
      <c r="L191" s="21" t="s">
        <v>2272</v>
      </c>
      <c r="M191" s="21" t="s">
        <v>2272</v>
      </c>
      <c r="N191" s="21" t="s">
        <v>2272</v>
      </c>
      <c r="O191" s="21" t="s">
        <v>2272</v>
      </c>
      <c r="P191" s="21" t="s">
        <v>2272</v>
      </c>
      <c r="Q191" s="21" t="s">
        <v>2272</v>
      </c>
      <c r="R191" s="21" t="s">
        <v>2272</v>
      </c>
      <c r="S191" s="21" t="s">
        <v>2272</v>
      </c>
      <c r="T191" s="4" t="s">
        <v>1950</v>
      </c>
    </row>
    <row r="192" spans="1:20" ht="58.5" customHeight="1">
      <c r="A192" s="3" t="s">
        <v>575</v>
      </c>
      <c r="B192" s="3" t="s">
        <v>2272</v>
      </c>
      <c r="C192" s="11" t="s">
        <v>393</v>
      </c>
      <c r="D192" s="19" t="s">
        <v>395</v>
      </c>
      <c r="E192" s="19" t="s">
        <v>128</v>
      </c>
      <c r="F192" s="3" t="s">
        <v>2272</v>
      </c>
      <c r="G192" s="3" t="s">
        <v>2272</v>
      </c>
      <c r="H192" s="21" t="s">
        <v>2272</v>
      </c>
      <c r="I192" s="21" t="s">
        <v>2272</v>
      </c>
      <c r="J192" s="21" t="s">
        <v>2272</v>
      </c>
      <c r="K192" s="21"/>
      <c r="L192" s="21" t="s">
        <v>2272</v>
      </c>
      <c r="M192" s="21" t="s">
        <v>2272</v>
      </c>
      <c r="N192" s="21" t="s">
        <v>2272</v>
      </c>
      <c r="O192" s="21" t="s">
        <v>2272</v>
      </c>
      <c r="P192" s="21" t="s">
        <v>2272</v>
      </c>
      <c r="Q192" s="21" t="s">
        <v>2272</v>
      </c>
      <c r="R192" s="21" t="s">
        <v>2272</v>
      </c>
      <c r="S192" s="21" t="s">
        <v>2272</v>
      </c>
      <c r="T192" s="4" t="s">
        <v>1953</v>
      </c>
    </row>
    <row r="193" spans="1:20" ht="58.5" customHeight="1">
      <c r="A193" s="3" t="s">
        <v>576</v>
      </c>
      <c r="B193" s="3" t="s">
        <v>2272</v>
      </c>
      <c r="C193" s="11" t="s">
        <v>393</v>
      </c>
      <c r="D193" s="19" t="s">
        <v>395</v>
      </c>
      <c r="E193" s="19" t="s">
        <v>128</v>
      </c>
      <c r="F193" s="3" t="s">
        <v>2272</v>
      </c>
      <c r="G193" s="3" t="s">
        <v>2272</v>
      </c>
      <c r="H193" s="21" t="s">
        <v>2272</v>
      </c>
      <c r="I193" s="21" t="s">
        <v>2272</v>
      </c>
      <c r="J193" s="21" t="s">
        <v>2272</v>
      </c>
      <c r="K193" s="21"/>
      <c r="L193" s="21" t="s">
        <v>2272</v>
      </c>
      <c r="M193" s="21" t="s">
        <v>2272</v>
      </c>
      <c r="N193" s="21" t="s">
        <v>2272</v>
      </c>
      <c r="O193" s="21" t="s">
        <v>2272</v>
      </c>
      <c r="P193" s="21" t="s">
        <v>2272</v>
      </c>
      <c r="Q193" s="21" t="s">
        <v>2272</v>
      </c>
      <c r="R193" s="21" t="s">
        <v>2272</v>
      </c>
      <c r="S193" s="21" t="s">
        <v>2272</v>
      </c>
      <c r="T193" s="4" t="s">
        <v>1951</v>
      </c>
    </row>
    <row r="194" spans="1:20" ht="58.5" customHeight="1">
      <c r="A194" s="3" t="s">
        <v>577</v>
      </c>
      <c r="B194" s="3" t="s">
        <v>2272</v>
      </c>
      <c r="C194" s="11" t="s">
        <v>393</v>
      </c>
      <c r="D194" s="19" t="s">
        <v>128</v>
      </c>
      <c r="E194" s="19" t="s">
        <v>2272</v>
      </c>
      <c r="F194" s="3" t="s">
        <v>2272</v>
      </c>
      <c r="G194" s="3" t="s">
        <v>2272</v>
      </c>
      <c r="H194" s="21" t="s">
        <v>2272</v>
      </c>
      <c r="I194" s="21" t="s">
        <v>2272</v>
      </c>
      <c r="J194" s="21" t="s">
        <v>2272</v>
      </c>
      <c r="K194" s="21"/>
      <c r="L194" s="21" t="s">
        <v>2272</v>
      </c>
      <c r="M194" s="21" t="s">
        <v>2272</v>
      </c>
      <c r="N194" s="21" t="s">
        <v>2272</v>
      </c>
      <c r="O194" s="21" t="s">
        <v>2272</v>
      </c>
      <c r="P194" s="21" t="s">
        <v>2272</v>
      </c>
      <c r="Q194" s="21" t="s">
        <v>2272</v>
      </c>
      <c r="R194" s="21" t="s">
        <v>2272</v>
      </c>
      <c r="S194" s="21" t="s">
        <v>2272</v>
      </c>
      <c r="T194" s="4" t="s">
        <v>1953</v>
      </c>
    </row>
    <row r="195" spans="1:20" ht="58.5" customHeight="1">
      <c r="A195" s="3" t="s">
        <v>1871</v>
      </c>
      <c r="B195" s="3" t="s">
        <v>2272</v>
      </c>
      <c r="C195" s="11" t="s">
        <v>393</v>
      </c>
      <c r="D195" s="19" t="s">
        <v>128</v>
      </c>
      <c r="E195" s="19" t="s">
        <v>2272</v>
      </c>
      <c r="F195" s="3" t="s">
        <v>2272</v>
      </c>
      <c r="G195" s="3" t="s">
        <v>2272</v>
      </c>
      <c r="H195" s="21" t="s">
        <v>2272</v>
      </c>
      <c r="I195" s="21" t="s">
        <v>2272</v>
      </c>
      <c r="J195" s="21" t="s">
        <v>2272</v>
      </c>
      <c r="K195" s="21"/>
      <c r="L195" s="21" t="s">
        <v>2272</v>
      </c>
      <c r="M195" s="21" t="s">
        <v>2272</v>
      </c>
      <c r="N195" s="21" t="s">
        <v>2272</v>
      </c>
      <c r="O195" s="21" t="s">
        <v>2272</v>
      </c>
      <c r="P195" s="21" t="s">
        <v>2272</v>
      </c>
      <c r="Q195" s="21" t="s">
        <v>2272</v>
      </c>
      <c r="R195" s="21" t="s">
        <v>2272</v>
      </c>
      <c r="S195" s="21" t="s">
        <v>2272</v>
      </c>
      <c r="T195" s="4" t="s">
        <v>1953</v>
      </c>
    </row>
    <row r="196" spans="1:20" ht="58.5" customHeight="1">
      <c r="A196" s="3" t="s">
        <v>1872</v>
      </c>
      <c r="B196" s="3" t="s">
        <v>2272</v>
      </c>
      <c r="C196" s="11" t="s">
        <v>393</v>
      </c>
      <c r="D196" s="19" t="s">
        <v>128</v>
      </c>
      <c r="E196" s="19" t="s">
        <v>2272</v>
      </c>
      <c r="F196" s="3" t="s">
        <v>2272</v>
      </c>
      <c r="G196" s="3" t="s">
        <v>2272</v>
      </c>
      <c r="H196" s="21" t="s">
        <v>2272</v>
      </c>
      <c r="I196" s="21" t="s">
        <v>2272</v>
      </c>
      <c r="J196" s="21" t="s">
        <v>2272</v>
      </c>
      <c r="K196" s="21"/>
      <c r="L196" s="21" t="s">
        <v>2272</v>
      </c>
      <c r="M196" s="21" t="s">
        <v>2272</v>
      </c>
      <c r="N196" s="21" t="s">
        <v>2272</v>
      </c>
      <c r="O196" s="21" t="s">
        <v>2272</v>
      </c>
      <c r="P196" s="21" t="s">
        <v>2272</v>
      </c>
      <c r="Q196" s="21" t="s">
        <v>2272</v>
      </c>
      <c r="R196" s="21" t="s">
        <v>2272</v>
      </c>
      <c r="S196" s="21" t="s">
        <v>2272</v>
      </c>
      <c r="T196" s="4" t="s">
        <v>1953</v>
      </c>
    </row>
    <row r="197" spans="1:20" ht="58.5" customHeight="1">
      <c r="A197" s="3" t="s">
        <v>1873</v>
      </c>
      <c r="B197" s="3" t="s">
        <v>2272</v>
      </c>
      <c r="C197" s="11" t="s">
        <v>393</v>
      </c>
      <c r="D197" s="19" t="s">
        <v>395</v>
      </c>
      <c r="E197" s="19" t="s">
        <v>128</v>
      </c>
      <c r="F197" s="3" t="s">
        <v>2272</v>
      </c>
      <c r="G197" s="3" t="s">
        <v>2272</v>
      </c>
      <c r="H197" s="21" t="s">
        <v>2272</v>
      </c>
      <c r="I197" s="21" t="s">
        <v>2272</v>
      </c>
      <c r="J197" s="21" t="s">
        <v>2272</v>
      </c>
      <c r="K197" s="21"/>
      <c r="L197" s="21" t="s">
        <v>2272</v>
      </c>
      <c r="M197" s="21" t="s">
        <v>2272</v>
      </c>
      <c r="N197" s="21" t="s">
        <v>2272</v>
      </c>
      <c r="O197" s="21" t="s">
        <v>2272</v>
      </c>
      <c r="P197" s="21" t="s">
        <v>2272</v>
      </c>
      <c r="Q197" s="21" t="s">
        <v>2272</v>
      </c>
      <c r="R197" s="21" t="s">
        <v>2272</v>
      </c>
      <c r="S197" s="21" t="s">
        <v>2272</v>
      </c>
      <c r="T197" s="4" t="s">
        <v>1953</v>
      </c>
    </row>
    <row r="198" spans="1:20" ht="58.5" customHeight="1">
      <c r="A198" s="3" t="s">
        <v>1874</v>
      </c>
      <c r="B198" s="3" t="s">
        <v>2272</v>
      </c>
      <c r="C198" s="11" t="s">
        <v>393</v>
      </c>
      <c r="D198" s="19" t="s">
        <v>128</v>
      </c>
      <c r="E198" s="19" t="s">
        <v>2272</v>
      </c>
      <c r="F198" s="3" t="s">
        <v>2272</v>
      </c>
      <c r="G198" s="3" t="s">
        <v>2272</v>
      </c>
      <c r="H198" s="21" t="s">
        <v>2272</v>
      </c>
      <c r="I198" s="21" t="s">
        <v>2272</v>
      </c>
      <c r="J198" s="21" t="s">
        <v>2272</v>
      </c>
      <c r="K198" s="21"/>
      <c r="L198" s="21" t="s">
        <v>2272</v>
      </c>
      <c r="M198" s="21" t="s">
        <v>2272</v>
      </c>
      <c r="N198" s="21" t="s">
        <v>2272</v>
      </c>
      <c r="O198" s="21" t="s">
        <v>2272</v>
      </c>
      <c r="P198" s="21" t="s">
        <v>2272</v>
      </c>
      <c r="Q198" s="21" t="s">
        <v>2272</v>
      </c>
      <c r="R198" s="21" t="s">
        <v>2272</v>
      </c>
      <c r="S198" s="21" t="s">
        <v>2272</v>
      </c>
      <c r="T198" s="4" t="s">
        <v>1954</v>
      </c>
    </row>
    <row r="199" spans="1:20" ht="58.5" customHeight="1">
      <c r="A199" s="3" t="s">
        <v>1875</v>
      </c>
      <c r="B199" s="3" t="s">
        <v>2272</v>
      </c>
      <c r="C199" s="11" t="s">
        <v>393</v>
      </c>
      <c r="D199" s="19" t="s">
        <v>128</v>
      </c>
      <c r="E199" s="19" t="s">
        <v>2272</v>
      </c>
      <c r="F199" s="3" t="s">
        <v>2272</v>
      </c>
      <c r="G199" s="3" t="s">
        <v>2272</v>
      </c>
      <c r="H199" s="21" t="s">
        <v>2272</v>
      </c>
      <c r="I199" s="21" t="s">
        <v>2272</v>
      </c>
      <c r="J199" s="21" t="s">
        <v>2272</v>
      </c>
      <c r="K199" s="21"/>
      <c r="L199" s="21" t="s">
        <v>2272</v>
      </c>
      <c r="M199" s="21" t="s">
        <v>2272</v>
      </c>
      <c r="N199" s="21" t="s">
        <v>2272</v>
      </c>
      <c r="O199" s="21" t="s">
        <v>2272</v>
      </c>
      <c r="P199" s="21" t="s">
        <v>2272</v>
      </c>
      <c r="Q199" s="21" t="s">
        <v>2272</v>
      </c>
      <c r="R199" s="21" t="s">
        <v>2272</v>
      </c>
      <c r="S199" s="21" t="s">
        <v>2272</v>
      </c>
      <c r="T199" s="4" t="s">
        <v>1952</v>
      </c>
    </row>
    <row r="200" spans="1:20" ht="58.5" customHeight="1">
      <c r="A200" s="3" t="s">
        <v>1876</v>
      </c>
      <c r="B200" s="3" t="s">
        <v>2272</v>
      </c>
      <c r="C200" s="11" t="s">
        <v>393</v>
      </c>
      <c r="D200" s="19" t="s">
        <v>128</v>
      </c>
      <c r="E200" s="19" t="s">
        <v>2272</v>
      </c>
      <c r="F200" s="3" t="s">
        <v>2272</v>
      </c>
      <c r="G200" s="3" t="s">
        <v>2272</v>
      </c>
      <c r="H200" s="21" t="s">
        <v>2272</v>
      </c>
      <c r="I200" s="21" t="s">
        <v>2272</v>
      </c>
      <c r="J200" s="21" t="s">
        <v>2272</v>
      </c>
      <c r="K200" s="21"/>
      <c r="L200" s="21" t="s">
        <v>2272</v>
      </c>
      <c r="M200" s="21" t="s">
        <v>2272</v>
      </c>
      <c r="N200" s="21" t="s">
        <v>2272</v>
      </c>
      <c r="O200" s="21" t="s">
        <v>2272</v>
      </c>
      <c r="P200" s="21" t="s">
        <v>2272</v>
      </c>
      <c r="Q200" s="21" t="s">
        <v>2272</v>
      </c>
      <c r="R200" s="21" t="s">
        <v>2272</v>
      </c>
      <c r="S200" s="21" t="s">
        <v>2272</v>
      </c>
      <c r="T200" s="4" t="s">
        <v>1954</v>
      </c>
    </row>
    <row r="201" spans="1:20" ht="58.5" customHeight="1">
      <c r="A201" s="3" t="s">
        <v>1879</v>
      </c>
      <c r="B201" s="3" t="s">
        <v>2272</v>
      </c>
      <c r="C201" s="11" t="s">
        <v>393</v>
      </c>
      <c r="D201" s="19" t="s">
        <v>128</v>
      </c>
      <c r="E201" s="4" t="s">
        <v>2272</v>
      </c>
      <c r="F201" s="3" t="s">
        <v>2272</v>
      </c>
      <c r="G201" s="3" t="s">
        <v>2272</v>
      </c>
      <c r="H201" s="21" t="s">
        <v>2272</v>
      </c>
      <c r="I201" s="21" t="s">
        <v>2272</v>
      </c>
      <c r="J201" s="21" t="s">
        <v>2272</v>
      </c>
      <c r="K201" s="21"/>
      <c r="L201" s="21" t="s">
        <v>2272</v>
      </c>
      <c r="M201" s="21" t="s">
        <v>2272</v>
      </c>
      <c r="N201" s="21" t="s">
        <v>2272</v>
      </c>
      <c r="O201" s="21" t="s">
        <v>2272</v>
      </c>
      <c r="P201" s="21" t="s">
        <v>2272</v>
      </c>
      <c r="Q201" s="21" t="s">
        <v>2272</v>
      </c>
      <c r="R201" s="21" t="s">
        <v>2272</v>
      </c>
      <c r="S201" s="21" t="s">
        <v>2272</v>
      </c>
      <c r="T201" s="4" t="s">
        <v>1950</v>
      </c>
    </row>
    <row r="202" spans="1:20" ht="58.5" customHeight="1">
      <c r="A202" s="3" t="s">
        <v>1880</v>
      </c>
      <c r="B202" s="3" t="s">
        <v>2272</v>
      </c>
      <c r="C202" s="11" t="s">
        <v>393</v>
      </c>
      <c r="D202" s="19" t="s">
        <v>395</v>
      </c>
      <c r="E202" s="19" t="s">
        <v>128</v>
      </c>
      <c r="F202" s="3" t="s">
        <v>2272</v>
      </c>
      <c r="G202" s="3" t="s">
        <v>2272</v>
      </c>
      <c r="H202" s="21" t="s">
        <v>2272</v>
      </c>
      <c r="I202" s="21" t="s">
        <v>2272</v>
      </c>
      <c r="J202" s="21" t="s">
        <v>2272</v>
      </c>
      <c r="K202" s="21"/>
      <c r="L202" s="21" t="s">
        <v>2272</v>
      </c>
      <c r="M202" s="21" t="s">
        <v>2272</v>
      </c>
      <c r="N202" s="21" t="s">
        <v>2272</v>
      </c>
      <c r="O202" s="21" t="s">
        <v>2272</v>
      </c>
      <c r="P202" s="21" t="s">
        <v>2272</v>
      </c>
      <c r="Q202" s="21" t="s">
        <v>2272</v>
      </c>
      <c r="R202" s="21" t="s">
        <v>2272</v>
      </c>
      <c r="S202" s="21" t="s">
        <v>2272</v>
      </c>
      <c r="T202" s="4" t="s">
        <v>1950</v>
      </c>
    </row>
    <row r="203" spans="1:20" ht="58.5" customHeight="1">
      <c r="A203" s="3" t="s">
        <v>1877</v>
      </c>
      <c r="B203" s="3" t="s">
        <v>2272</v>
      </c>
      <c r="C203" s="11" t="s">
        <v>11</v>
      </c>
      <c r="D203" s="19" t="s">
        <v>395</v>
      </c>
      <c r="E203" s="4" t="s">
        <v>2272</v>
      </c>
      <c r="F203" s="3" t="s">
        <v>2272</v>
      </c>
      <c r="G203" s="3" t="s">
        <v>2272</v>
      </c>
      <c r="H203" s="21" t="s">
        <v>2272</v>
      </c>
      <c r="I203" s="21" t="s">
        <v>2272</v>
      </c>
      <c r="J203" s="21" t="s">
        <v>2272</v>
      </c>
      <c r="K203" s="21"/>
      <c r="L203" s="21" t="s">
        <v>2272</v>
      </c>
      <c r="M203" s="21" t="s">
        <v>2272</v>
      </c>
      <c r="N203" s="21" t="s">
        <v>2272</v>
      </c>
      <c r="O203" s="21" t="s">
        <v>2272</v>
      </c>
      <c r="P203" s="21" t="s">
        <v>2272</v>
      </c>
      <c r="Q203" s="21" t="s">
        <v>2272</v>
      </c>
      <c r="R203" s="21" t="s">
        <v>2272</v>
      </c>
      <c r="S203" s="21" t="s">
        <v>2272</v>
      </c>
      <c r="T203" s="4" t="s">
        <v>1952</v>
      </c>
    </row>
    <row r="204" spans="1:20" ht="58.5" customHeight="1">
      <c r="A204" s="3" t="s">
        <v>1878</v>
      </c>
      <c r="B204" s="3" t="s">
        <v>2272</v>
      </c>
      <c r="C204" s="11" t="s">
        <v>11</v>
      </c>
      <c r="D204" s="19" t="s">
        <v>395</v>
      </c>
      <c r="E204" s="4" t="s">
        <v>2272</v>
      </c>
      <c r="F204" s="3" t="s">
        <v>2272</v>
      </c>
      <c r="G204" s="3" t="s">
        <v>2272</v>
      </c>
      <c r="H204" s="21" t="s">
        <v>2272</v>
      </c>
      <c r="I204" s="21" t="s">
        <v>2272</v>
      </c>
      <c r="J204" s="21" t="s">
        <v>2272</v>
      </c>
      <c r="K204" s="21"/>
      <c r="L204" s="21" t="s">
        <v>2272</v>
      </c>
      <c r="M204" s="21" t="s">
        <v>2272</v>
      </c>
      <c r="N204" s="21" t="s">
        <v>2272</v>
      </c>
      <c r="O204" s="21" t="s">
        <v>2272</v>
      </c>
      <c r="P204" s="21" t="s">
        <v>2272</v>
      </c>
      <c r="Q204" s="21" t="s">
        <v>2272</v>
      </c>
      <c r="R204" s="21" t="s">
        <v>2272</v>
      </c>
      <c r="S204" s="21" t="s">
        <v>2272</v>
      </c>
      <c r="T204" s="4" t="s">
        <v>1952</v>
      </c>
    </row>
    <row r="205" spans="1:20" ht="58.5" customHeight="1">
      <c r="A205" s="3" t="s">
        <v>1881</v>
      </c>
      <c r="B205" s="3" t="s">
        <v>2272</v>
      </c>
      <c r="C205" s="11" t="s">
        <v>11</v>
      </c>
      <c r="D205" s="19" t="s">
        <v>395</v>
      </c>
      <c r="E205" s="4" t="s">
        <v>2272</v>
      </c>
      <c r="F205" s="3" t="s">
        <v>2272</v>
      </c>
      <c r="G205" s="3" t="s">
        <v>2272</v>
      </c>
      <c r="H205" s="21" t="s">
        <v>2272</v>
      </c>
      <c r="I205" s="21" t="s">
        <v>2272</v>
      </c>
      <c r="J205" s="21" t="s">
        <v>2272</v>
      </c>
      <c r="K205" s="21"/>
      <c r="L205" s="21" t="s">
        <v>2272</v>
      </c>
      <c r="M205" s="21" t="s">
        <v>2272</v>
      </c>
      <c r="N205" s="21" t="s">
        <v>2272</v>
      </c>
      <c r="O205" s="21" t="s">
        <v>2272</v>
      </c>
      <c r="P205" s="21" t="s">
        <v>2272</v>
      </c>
      <c r="Q205" s="21" t="s">
        <v>2272</v>
      </c>
      <c r="R205" s="21" t="s">
        <v>2272</v>
      </c>
      <c r="S205" s="21" t="s">
        <v>2272</v>
      </c>
      <c r="T205" s="4" t="s">
        <v>1950</v>
      </c>
    </row>
    <row r="206" spans="1:20" ht="58.5" customHeight="1">
      <c r="A206" s="3" t="s">
        <v>1882</v>
      </c>
      <c r="B206" s="3" t="s">
        <v>2272</v>
      </c>
      <c r="C206" s="11" t="s">
        <v>393</v>
      </c>
      <c r="D206" s="19" t="s">
        <v>395</v>
      </c>
      <c r="E206" s="19" t="s">
        <v>128</v>
      </c>
      <c r="F206" s="3" t="s">
        <v>2272</v>
      </c>
      <c r="G206" s="3" t="s">
        <v>2272</v>
      </c>
      <c r="H206" s="21" t="s">
        <v>2272</v>
      </c>
      <c r="I206" s="21" t="s">
        <v>2272</v>
      </c>
      <c r="J206" s="21" t="s">
        <v>2272</v>
      </c>
      <c r="K206" s="21"/>
      <c r="L206" s="21" t="s">
        <v>2272</v>
      </c>
      <c r="M206" s="21" t="s">
        <v>2272</v>
      </c>
      <c r="N206" s="21" t="s">
        <v>2272</v>
      </c>
      <c r="O206" s="21" t="s">
        <v>2272</v>
      </c>
      <c r="P206" s="21" t="s">
        <v>2272</v>
      </c>
      <c r="Q206" s="21" t="s">
        <v>2272</v>
      </c>
      <c r="R206" s="21" t="s">
        <v>2272</v>
      </c>
      <c r="S206" s="21" t="s">
        <v>2272</v>
      </c>
      <c r="T206" s="4" t="s">
        <v>1954</v>
      </c>
    </row>
    <row r="207" spans="1:20" ht="58.5" customHeight="1">
      <c r="A207" s="3" t="s">
        <v>1883</v>
      </c>
      <c r="B207" s="3" t="s">
        <v>2272</v>
      </c>
      <c r="C207" s="11" t="s">
        <v>393</v>
      </c>
      <c r="D207" s="19" t="s">
        <v>128</v>
      </c>
      <c r="E207" s="4" t="s">
        <v>2272</v>
      </c>
      <c r="F207" s="3" t="s">
        <v>2272</v>
      </c>
      <c r="G207" s="3" t="s">
        <v>2272</v>
      </c>
      <c r="H207" s="21" t="s">
        <v>2272</v>
      </c>
      <c r="I207" s="21" t="s">
        <v>2272</v>
      </c>
      <c r="J207" s="21" t="s">
        <v>2272</v>
      </c>
      <c r="K207" s="21"/>
      <c r="L207" s="21" t="s">
        <v>2272</v>
      </c>
      <c r="M207" s="21" t="s">
        <v>2272</v>
      </c>
      <c r="N207" s="21" t="s">
        <v>2272</v>
      </c>
      <c r="O207" s="21" t="s">
        <v>2272</v>
      </c>
      <c r="P207" s="21" t="s">
        <v>2272</v>
      </c>
      <c r="Q207" s="21" t="s">
        <v>2272</v>
      </c>
      <c r="R207" s="21" t="s">
        <v>2272</v>
      </c>
      <c r="S207" s="21" t="s">
        <v>2272</v>
      </c>
      <c r="T207" s="4" t="s">
        <v>1954</v>
      </c>
    </row>
    <row r="208" spans="1:20" ht="58.5" customHeight="1">
      <c r="A208" s="3" t="s">
        <v>1884</v>
      </c>
      <c r="B208" s="3" t="s">
        <v>2272</v>
      </c>
      <c r="C208" s="11" t="s">
        <v>393</v>
      </c>
      <c r="D208" s="19" t="s">
        <v>128</v>
      </c>
      <c r="E208" s="4" t="s">
        <v>2272</v>
      </c>
      <c r="F208" s="3" t="s">
        <v>2272</v>
      </c>
      <c r="G208" s="3" t="s">
        <v>2272</v>
      </c>
      <c r="H208" s="21" t="s">
        <v>2272</v>
      </c>
      <c r="I208" s="21" t="s">
        <v>2272</v>
      </c>
      <c r="J208" s="21" t="s">
        <v>2272</v>
      </c>
      <c r="K208" s="21"/>
      <c r="L208" s="21" t="s">
        <v>2272</v>
      </c>
      <c r="M208" s="21" t="s">
        <v>2272</v>
      </c>
      <c r="N208" s="21" t="s">
        <v>2272</v>
      </c>
      <c r="O208" s="21" t="s">
        <v>2272</v>
      </c>
      <c r="P208" s="21" t="s">
        <v>2272</v>
      </c>
      <c r="Q208" s="21" t="s">
        <v>2272</v>
      </c>
      <c r="R208" s="21" t="s">
        <v>2272</v>
      </c>
      <c r="S208" s="21" t="s">
        <v>2272</v>
      </c>
      <c r="T208" s="4" t="s">
        <v>1955</v>
      </c>
    </row>
    <row r="209" spans="1:20" ht="58.5" customHeight="1">
      <c r="A209" s="3" t="s">
        <v>1885</v>
      </c>
      <c r="B209" s="3" t="s">
        <v>2272</v>
      </c>
      <c r="C209" s="11" t="s">
        <v>393</v>
      </c>
      <c r="D209" s="19" t="s">
        <v>128</v>
      </c>
      <c r="E209" s="4" t="s">
        <v>2272</v>
      </c>
      <c r="F209" s="3" t="s">
        <v>2272</v>
      </c>
      <c r="G209" s="3" t="s">
        <v>2272</v>
      </c>
      <c r="H209" s="21" t="s">
        <v>2272</v>
      </c>
      <c r="I209" s="21" t="s">
        <v>2272</v>
      </c>
      <c r="J209" s="21" t="s">
        <v>2272</v>
      </c>
      <c r="K209" s="21"/>
      <c r="L209" s="21" t="s">
        <v>2272</v>
      </c>
      <c r="M209" s="21" t="s">
        <v>2272</v>
      </c>
      <c r="N209" s="21" t="s">
        <v>2272</v>
      </c>
      <c r="O209" s="21" t="s">
        <v>2272</v>
      </c>
      <c r="P209" s="21" t="s">
        <v>2272</v>
      </c>
      <c r="Q209" s="21" t="s">
        <v>2272</v>
      </c>
      <c r="R209" s="21" t="s">
        <v>2272</v>
      </c>
      <c r="S209" s="21" t="s">
        <v>2272</v>
      </c>
      <c r="T209" s="4" t="s">
        <v>1955</v>
      </c>
    </row>
    <row r="210" spans="1:20" ht="58.5" customHeight="1">
      <c r="A210" s="3" t="s">
        <v>1886</v>
      </c>
      <c r="B210" s="3" t="s">
        <v>2272</v>
      </c>
      <c r="C210" s="11" t="s">
        <v>393</v>
      </c>
      <c r="D210" s="19" t="s">
        <v>128</v>
      </c>
      <c r="E210" s="4" t="s">
        <v>2272</v>
      </c>
      <c r="F210" s="3" t="s">
        <v>2272</v>
      </c>
      <c r="G210" s="3" t="s">
        <v>2272</v>
      </c>
      <c r="H210" s="21" t="s">
        <v>2272</v>
      </c>
      <c r="I210" s="21" t="s">
        <v>2272</v>
      </c>
      <c r="J210" s="21" t="s">
        <v>2272</v>
      </c>
      <c r="K210" s="21"/>
      <c r="L210" s="21" t="s">
        <v>2272</v>
      </c>
      <c r="M210" s="21" t="s">
        <v>2272</v>
      </c>
      <c r="N210" s="21" t="s">
        <v>2272</v>
      </c>
      <c r="O210" s="21" t="s">
        <v>2272</v>
      </c>
      <c r="P210" s="21" t="s">
        <v>2272</v>
      </c>
      <c r="Q210" s="21" t="s">
        <v>2272</v>
      </c>
      <c r="R210" s="21" t="s">
        <v>2272</v>
      </c>
      <c r="S210" s="21" t="s">
        <v>2272</v>
      </c>
      <c r="T210" s="4" t="s">
        <v>1955</v>
      </c>
    </row>
    <row r="211" spans="1:20" ht="58.5" customHeight="1">
      <c r="A211" s="3" t="s">
        <v>1887</v>
      </c>
      <c r="B211" s="3" t="s">
        <v>2272</v>
      </c>
      <c r="C211" s="11" t="s">
        <v>11</v>
      </c>
      <c r="D211" s="19" t="s">
        <v>395</v>
      </c>
      <c r="E211" s="4" t="s">
        <v>2272</v>
      </c>
      <c r="F211" s="3" t="s">
        <v>2272</v>
      </c>
      <c r="G211" s="3" t="s">
        <v>2272</v>
      </c>
      <c r="H211" s="21" t="s">
        <v>2272</v>
      </c>
      <c r="I211" s="21" t="s">
        <v>2272</v>
      </c>
      <c r="J211" s="21" t="s">
        <v>2272</v>
      </c>
      <c r="K211" s="21"/>
      <c r="L211" s="21" t="s">
        <v>2272</v>
      </c>
      <c r="M211" s="21" t="s">
        <v>2272</v>
      </c>
      <c r="N211" s="21" t="s">
        <v>2272</v>
      </c>
      <c r="O211" s="21" t="s">
        <v>2272</v>
      </c>
      <c r="P211" s="21" t="s">
        <v>2272</v>
      </c>
      <c r="Q211" s="21" t="s">
        <v>2272</v>
      </c>
      <c r="R211" s="21" t="s">
        <v>2272</v>
      </c>
      <c r="S211" s="21" t="s">
        <v>2272</v>
      </c>
      <c r="T211" s="4" t="s">
        <v>1950</v>
      </c>
    </row>
    <row r="212" spans="1:20" ht="58.5" customHeight="1">
      <c r="A212" s="3" t="s">
        <v>1888</v>
      </c>
      <c r="B212" s="3" t="s">
        <v>2272</v>
      </c>
      <c r="C212" s="11" t="s">
        <v>393</v>
      </c>
      <c r="D212" s="19" t="s">
        <v>395</v>
      </c>
      <c r="E212" s="19" t="s">
        <v>128</v>
      </c>
      <c r="F212" s="3" t="s">
        <v>2272</v>
      </c>
      <c r="G212" s="3" t="s">
        <v>2272</v>
      </c>
      <c r="H212" s="21" t="s">
        <v>2272</v>
      </c>
      <c r="I212" s="21" t="s">
        <v>2272</v>
      </c>
      <c r="J212" s="21" t="s">
        <v>2272</v>
      </c>
      <c r="K212" s="21"/>
      <c r="L212" s="21" t="s">
        <v>2272</v>
      </c>
      <c r="M212" s="21" t="s">
        <v>2272</v>
      </c>
      <c r="N212" s="21" t="s">
        <v>2272</v>
      </c>
      <c r="O212" s="21" t="s">
        <v>2272</v>
      </c>
      <c r="P212" s="21" t="s">
        <v>2272</v>
      </c>
      <c r="Q212" s="21" t="s">
        <v>2272</v>
      </c>
      <c r="R212" s="21" t="s">
        <v>2272</v>
      </c>
      <c r="S212" s="21" t="s">
        <v>2272</v>
      </c>
      <c r="T212" s="4" t="s">
        <v>1950</v>
      </c>
    </row>
    <row r="213" spans="1:20" ht="58.5" customHeight="1">
      <c r="A213" s="3" t="s">
        <v>1889</v>
      </c>
      <c r="B213" s="3" t="s">
        <v>2272</v>
      </c>
      <c r="C213" s="11" t="s">
        <v>11</v>
      </c>
      <c r="D213" s="19" t="s">
        <v>395</v>
      </c>
      <c r="E213" s="4" t="s">
        <v>2272</v>
      </c>
      <c r="F213" s="3" t="s">
        <v>2272</v>
      </c>
      <c r="G213" s="3" t="s">
        <v>2272</v>
      </c>
      <c r="H213" s="21" t="s">
        <v>2272</v>
      </c>
      <c r="I213" s="21" t="s">
        <v>2272</v>
      </c>
      <c r="J213" s="21" t="s">
        <v>2272</v>
      </c>
      <c r="K213" s="21"/>
      <c r="L213" s="21" t="s">
        <v>2272</v>
      </c>
      <c r="M213" s="21" t="s">
        <v>2272</v>
      </c>
      <c r="N213" s="21" t="s">
        <v>2272</v>
      </c>
      <c r="O213" s="21" t="s">
        <v>2272</v>
      </c>
      <c r="P213" s="21" t="s">
        <v>2272</v>
      </c>
      <c r="Q213" s="21" t="s">
        <v>2272</v>
      </c>
      <c r="R213" s="21" t="s">
        <v>2272</v>
      </c>
      <c r="S213" s="21" t="s">
        <v>2272</v>
      </c>
      <c r="T213" s="4" t="s">
        <v>1950</v>
      </c>
    </row>
    <row r="214" spans="1:20" ht="58.5" customHeight="1">
      <c r="A214" s="3" t="s">
        <v>1890</v>
      </c>
      <c r="B214" s="3" t="s">
        <v>2272</v>
      </c>
      <c r="C214" s="11" t="s">
        <v>11</v>
      </c>
      <c r="D214" s="19" t="s">
        <v>395</v>
      </c>
      <c r="E214" s="4" t="s">
        <v>2272</v>
      </c>
      <c r="F214" s="3" t="s">
        <v>2272</v>
      </c>
      <c r="G214" s="3" t="s">
        <v>2272</v>
      </c>
      <c r="H214" s="21" t="s">
        <v>2272</v>
      </c>
      <c r="I214" s="21" t="s">
        <v>2272</v>
      </c>
      <c r="J214" s="21" t="s">
        <v>2272</v>
      </c>
      <c r="K214" s="21"/>
      <c r="L214" s="21" t="s">
        <v>2272</v>
      </c>
      <c r="M214" s="21" t="s">
        <v>2272</v>
      </c>
      <c r="N214" s="21" t="s">
        <v>2272</v>
      </c>
      <c r="O214" s="21" t="s">
        <v>2272</v>
      </c>
      <c r="P214" s="21" t="s">
        <v>2272</v>
      </c>
      <c r="Q214" s="21" t="s">
        <v>2272</v>
      </c>
      <c r="R214" s="21" t="s">
        <v>2272</v>
      </c>
      <c r="S214" s="21" t="s">
        <v>2272</v>
      </c>
      <c r="T214" s="4" t="s">
        <v>1950</v>
      </c>
    </row>
    <row r="215" spans="1:20" ht="58.5" customHeight="1">
      <c r="A215" s="3" t="s">
        <v>1891</v>
      </c>
      <c r="B215" s="3" t="s">
        <v>2272</v>
      </c>
      <c r="C215" s="11" t="s">
        <v>11</v>
      </c>
      <c r="D215" s="19" t="s">
        <v>395</v>
      </c>
      <c r="E215" s="4" t="s">
        <v>2272</v>
      </c>
      <c r="F215" s="3" t="s">
        <v>2272</v>
      </c>
      <c r="G215" s="3" t="s">
        <v>2272</v>
      </c>
      <c r="H215" s="21" t="s">
        <v>2272</v>
      </c>
      <c r="I215" s="21" t="s">
        <v>2272</v>
      </c>
      <c r="J215" s="21" t="s">
        <v>2272</v>
      </c>
      <c r="K215" s="21"/>
      <c r="L215" s="21" t="s">
        <v>2272</v>
      </c>
      <c r="M215" s="21" t="s">
        <v>2272</v>
      </c>
      <c r="N215" s="21" t="s">
        <v>2272</v>
      </c>
      <c r="O215" s="21" t="s">
        <v>2272</v>
      </c>
      <c r="P215" s="21" t="s">
        <v>2272</v>
      </c>
      <c r="Q215" s="21" t="s">
        <v>2272</v>
      </c>
      <c r="R215" s="21" t="s">
        <v>2272</v>
      </c>
      <c r="S215" s="21" t="s">
        <v>2272</v>
      </c>
      <c r="T215" s="4" t="s">
        <v>1950</v>
      </c>
    </row>
    <row r="216" spans="1:20" ht="58.5" customHeight="1">
      <c r="A216" s="3" t="s">
        <v>1892</v>
      </c>
      <c r="B216" s="3" t="s">
        <v>2272</v>
      </c>
      <c r="C216" s="11" t="s">
        <v>393</v>
      </c>
      <c r="D216" s="4" t="s">
        <v>128</v>
      </c>
      <c r="E216" s="4" t="s">
        <v>2272</v>
      </c>
      <c r="F216" s="3" t="s">
        <v>2272</v>
      </c>
      <c r="G216" s="3" t="s">
        <v>2272</v>
      </c>
      <c r="H216" s="21" t="s">
        <v>2272</v>
      </c>
      <c r="I216" s="21" t="s">
        <v>2272</v>
      </c>
      <c r="J216" s="21" t="s">
        <v>2272</v>
      </c>
      <c r="K216" s="21"/>
      <c r="L216" s="21" t="s">
        <v>2272</v>
      </c>
      <c r="M216" s="21" t="s">
        <v>2272</v>
      </c>
      <c r="N216" s="21" t="s">
        <v>2272</v>
      </c>
      <c r="O216" s="21" t="s">
        <v>2272</v>
      </c>
      <c r="P216" s="21" t="s">
        <v>2272</v>
      </c>
      <c r="Q216" s="21" t="s">
        <v>2272</v>
      </c>
      <c r="R216" s="21" t="s">
        <v>2272</v>
      </c>
      <c r="S216" s="21" t="s">
        <v>2272</v>
      </c>
      <c r="T216" s="4" t="s">
        <v>1950</v>
      </c>
    </row>
    <row r="217" spans="1:20" ht="58.5" customHeight="1">
      <c r="A217" s="3" t="s">
        <v>1893</v>
      </c>
      <c r="B217" s="3" t="s">
        <v>2272</v>
      </c>
      <c r="C217" s="11" t="s">
        <v>393</v>
      </c>
      <c r="D217" s="19" t="s">
        <v>395</v>
      </c>
      <c r="E217" s="19" t="s">
        <v>128</v>
      </c>
      <c r="F217" s="3" t="s">
        <v>2272</v>
      </c>
      <c r="G217" s="3" t="s">
        <v>2272</v>
      </c>
      <c r="H217" s="21" t="s">
        <v>2272</v>
      </c>
      <c r="I217" s="21" t="s">
        <v>2272</v>
      </c>
      <c r="J217" s="21" t="s">
        <v>2272</v>
      </c>
      <c r="K217" s="21"/>
      <c r="L217" s="21" t="s">
        <v>2272</v>
      </c>
      <c r="M217" s="21" t="s">
        <v>2272</v>
      </c>
      <c r="N217" s="21" t="s">
        <v>2272</v>
      </c>
      <c r="O217" s="21" t="s">
        <v>2272</v>
      </c>
      <c r="P217" s="21" t="s">
        <v>2272</v>
      </c>
      <c r="Q217" s="21" t="s">
        <v>2272</v>
      </c>
      <c r="R217" s="21" t="s">
        <v>2272</v>
      </c>
      <c r="S217" s="21" t="s">
        <v>2272</v>
      </c>
      <c r="T217" s="4" t="s">
        <v>1950</v>
      </c>
    </row>
    <row r="218" spans="1:20" ht="58.5" customHeight="1">
      <c r="A218" s="3" t="s">
        <v>1894</v>
      </c>
      <c r="B218" s="3" t="s">
        <v>2272</v>
      </c>
      <c r="C218" s="11" t="s">
        <v>393</v>
      </c>
      <c r="D218" s="19" t="s">
        <v>395</v>
      </c>
      <c r="E218" s="19" t="s">
        <v>128</v>
      </c>
      <c r="F218" s="3" t="s">
        <v>2272</v>
      </c>
      <c r="G218" s="3" t="s">
        <v>2272</v>
      </c>
      <c r="H218" s="21" t="s">
        <v>2272</v>
      </c>
      <c r="I218" s="21" t="s">
        <v>2272</v>
      </c>
      <c r="J218" s="21" t="s">
        <v>2272</v>
      </c>
      <c r="K218" s="21"/>
      <c r="L218" s="21" t="s">
        <v>2272</v>
      </c>
      <c r="M218" s="21" t="s">
        <v>2272</v>
      </c>
      <c r="N218" s="21" t="s">
        <v>2272</v>
      </c>
      <c r="O218" s="21" t="s">
        <v>2272</v>
      </c>
      <c r="P218" s="21" t="s">
        <v>2272</v>
      </c>
      <c r="Q218" s="21" t="s">
        <v>2272</v>
      </c>
      <c r="R218" s="21" t="s">
        <v>2272</v>
      </c>
      <c r="S218" s="21" t="s">
        <v>2272</v>
      </c>
      <c r="T218" s="4" t="s">
        <v>1950</v>
      </c>
    </row>
    <row r="219" spans="1:20" ht="58.5" customHeight="1">
      <c r="A219" s="3" t="s">
        <v>1895</v>
      </c>
      <c r="B219" s="3" t="s">
        <v>2272</v>
      </c>
      <c r="C219" s="11" t="s">
        <v>11</v>
      </c>
      <c r="D219" s="19" t="s">
        <v>395</v>
      </c>
      <c r="E219" s="4" t="s">
        <v>2272</v>
      </c>
      <c r="F219" s="3" t="s">
        <v>2272</v>
      </c>
      <c r="G219" s="3" t="s">
        <v>2272</v>
      </c>
      <c r="H219" s="21" t="s">
        <v>2272</v>
      </c>
      <c r="I219" s="21" t="s">
        <v>2272</v>
      </c>
      <c r="J219" s="21" t="s">
        <v>2272</v>
      </c>
      <c r="K219" s="21"/>
      <c r="L219" s="21" t="s">
        <v>2272</v>
      </c>
      <c r="M219" s="21" t="s">
        <v>2272</v>
      </c>
      <c r="N219" s="21" t="s">
        <v>2272</v>
      </c>
      <c r="O219" s="21" t="s">
        <v>2272</v>
      </c>
      <c r="P219" s="21" t="s">
        <v>2272</v>
      </c>
      <c r="Q219" s="21" t="s">
        <v>2272</v>
      </c>
      <c r="R219" s="21" t="s">
        <v>2272</v>
      </c>
      <c r="S219" s="21" t="s">
        <v>2272</v>
      </c>
      <c r="T219" s="4" t="s">
        <v>1950</v>
      </c>
    </row>
    <row r="220" spans="1:20" ht="58.5" customHeight="1">
      <c r="A220" s="3" t="s">
        <v>1896</v>
      </c>
      <c r="B220" s="3" t="s">
        <v>2272</v>
      </c>
      <c r="C220" s="11" t="s">
        <v>11</v>
      </c>
      <c r="D220" s="19" t="s">
        <v>395</v>
      </c>
      <c r="E220" s="4" t="s">
        <v>2272</v>
      </c>
      <c r="F220" s="3" t="s">
        <v>2272</v>
      </c>
      <c r="G220" s="3" t="s">
        <v>2272</v>
      </c>
      <c r="H220" s="21" t="s">
        <v>2272</v>
      </c>
      <c r="I220" s="21" t="s">
        <v>2272</v>
      </c>
      <c r="J220" s="21" t="s">
        <v>2272</v>
      </c>
      <c r="K220" s="21"/>
      <c r="L220" s="21" t="s">
        <v>2272</v>
      </c>
      <c r="M220" s="21" t="s">
        <v>2272</v>
      </c>
      <c r="N220" s="21" t="s">
        <v>2272</v>
      </c>
      <c r="O220" s="21" t="s">
        <v>2272</v>
      </c>
      <c r="P220" s="21" t="s">
        <v>2272</v>
      </c>
      <c r="Q220" s="21" t="s">
        <v>2272</v>
      </c>
      <c r="R220" s="21" t="s">
        <v>2272</v>
      </c>
      <c r="S220" s="21" t="s">
        <v>2272</v>
      </c>
      <c r="T220" s="4" t="s">
        <v>1952</v>
      </c>
    </row>
    <row r="221" spans="1:20" ht="58.5" customHeight="1">
      <c r="A221" s="3" t="s">
        <v>1898</v>
      </c>
      <c r="B221" s="3" t="s">
        <v>2272</v>
      </c>
      <c r="C221" s="11" t="s">
        <v>393</v>
      </c>
      <c r="D221" s="19" t="s">
        <v>128</v>
      </c>
      <c r="E221" s="4" t="s">
        <v>2272</v>
      </c>
      <c r="F221" s="3" t="s">
        <v>2272</v>
      </c>
      <c r="G221" s="3" t="s">
        <v>2272</v>
      </c>
      <c r="H221" s="21" t="s">
        <v>2272</v>
      </c>
      <c r="I221" s="21" t="s">
        <v>2272</v>
      </c>
      <c r="J221" s="21" t="s">
        <v>2272</v>
      </c>
      <c r="K221" s="21"/>
      <c r="L221" s="21" t="s">
        <v>2272</v>
      </c>
      <c r="M221" s="21" t="s">
        <v>2272</v>
      </c>
      <c r="N221" s="21" t="s">
        <v>2272</v>
      </c>
      <c r="O221" s="21" t="s">
        <v>2272</v>
      </c>
      <c r="P221" s="21" t="s">
        <v>2272</v>
      </c>
      <c r="Q221" s="21" t="s">
        <v>2272</v>
      </c>
      <c r="R221" s="21" t="s">
        <v>2272</v>
      </c>
      <c r="S221" s="21" t="s">
        <v>2272</v>
      </c>
      <c r="T221" s="4" t="s">
        <v>1953</v>
      </c>
    </row>
    <row r="222" spans="1:20" ht="58.5" customHeight="1">
      <c r="A222" s="3" t="s">
        <v>1897</v>
      </c>
      <c r="B222" s="3" t="s">
        <v>2272</v>
      </c>
      <c r="C222" s="11" t="s">
        <v>11</v>
      </c>
      <c r="D222" s="19" t="s">
        <v>395</v>
      </c>
      <c r="E222" s="4" t="s">
        <v>2272</v>
      </c>
      <c r="F222" s="3" t="s">
        <v>2272</v>
      </c>
      <c r="G222" s="3" t="s">
        <v>2272</v>
      </c>
      <c r="H222" s="21" t="s">
        <v>2272</v>
      </c>
      <c r="I222" s="21" t="s">
        <v>2272</v>
      </c>
      <c r="J222" s="21" t="s">
        <v>2272</v>
      </c>
      <c r="K222" s="21"/>
      <c r="L222" s="21" t="s">
        <v>2272</v>
      </c>
      <c r="M222" s="21" t="s">
        <v>2272</v>
      </c>
      <c r="N222" s="21" t="s">
        <v>2272</v>
      </c>
      <c r="O222" s="21" t="s">
        <v>2272</v>
      </c>
      <c r="P222" s="21" t="s">
        <v>2272</v>
      </c>
      <c r="Q222" s="21" t="s">
        <v>2272</v>
      </c>
      <c r="R222" s="21" t="s">
        <v>2272</v>
      </c>
      <c r="S222" s="21" t="s">
        <v>2272</v>
      </c>
      <c r="T222" s="4" t="s">
        <v>1950</v>
      </c>
    </row>
    <row r="223" spans="1:20" ht="58.5" customHeight="1">
      <c r="A223" s="3" t="s">
        <v>1899</v>
      </c>
      <c r="B223" s="3" t="s">
        <v>2272</v>
      </c>
      <c r="C223" s="11" t="s">
        <v>11</v>
      </c>
      <c r="D223" s="19" t="s">
        <v>395</v>
      </c>
      <c r="E223" s="4" t="s">
        <v>2272</v>
      </c>
      <c r="F223" s="3" t="s">
        <v>2272</v>
      </c>
      <c r="G223" s="3" t="s">
        <v>2272</v>
      </c>
      <c r="H223" s="21" t="s">
        <v>2272</v>
      </c>
      <c r="I223" s="21" t="s">
        <v>2272</v>
      </c>
      <c r="J223" s="21" t="s">
        <v>2272</v>
      </c>
      <c r="K223" s="21"/>
      <c r="L223" s="21" t="s">
        <v>2272</v>
      </c>
      <c r="M223" s="21" t="s">
        <v>2272</v>
      </c>
      <c r="N223" s="21" t="s">
        <v>2272</v>
      </c>
      <c r="O223" s="21" t="s">
        <v>2272</v>
      </c>
      <c r="P223" s="21" t="s">
        <v>2272</v>
      </c>
      <c r="Q223" s="21" t="s">
        <v>2272</v>
      </c>
      <c r="R223" s="21" t="s">
        <v>2272</v>
      </c>
      <c r="S223" s="21" t="s">
        <v>2272</v>
      </c>
      <c r="T223" s="4" t="s">
        <v>1950</v>
      </c>
    </row>
    <row r="224" spans="1:20" ht="58.5" customHeight="1">
      <c r="A224" s="3" t="s">
        <v>1900</v>
      </c>
      <c r="B224" s="3" t="s">
        <v>2272</v>
      </c>
      <c r="C224" s="11" t="s">
        <v>11</v>
      </c>
      <c r="D224" s="19" t="s">
        <v>395</v>
      </c>
      <c r="E224" s="4" t="s">
        <v>2272</v>
      </c>
      <c r="F224" s="3" t="s">
        <v>2272</v>
      </c>
      <c r="G224" s="3" t="s">
        <v>2272</v>
      </c>
      <c r="H224" s="21" t="s">
        <v>2272</v>
      </c>
      <c r="I224" s="21" t="s">
        <v>2272</v>
      </c>
      <c r="J224" s="21" t="s">
        <v>2272</v>
      </c>
      <c r="K224" s="21"/>
      <c r="L224" s="21" t="s">
        <v>2272</v>
      </c>
      <c r="M224" s="21" t="s">
        <v>2272</v>
      </c>
      <c r="N224" s="21" t="s">
        <v>2272</v>
      </c>
      <c r="O224" s="21" t="s">
        <v>2272</v>
      </c>
      <c r="P224" s="21" t="s">
        <v>2272</v>
      </c>
      <c r="Q224" s="21" t="s">
        <v>2272</v>
      </c>
      <c r="R224" s="21" t="s">
        <v>2272</v>
      </c>
      <c r="S224" s="21" t="s">
        <v>2272</v>
      </c>
      <c r="T224" s="4" t="s">
        <v>1952</v>
      </c>
    </row>
    <row r="225" spans="1:20" ht="58.5" customHeight="1">
      <c r="A225" s="3" t="s">
        <v>1901</v>
      </c>
      <c r="B225" s="3" t="s">
        <v>2272</v>
      </c>
      <c r="C225" s="11" t="s">
        <v>393</v>
      </c>
      <c r="D225" s="19" t="s">
        <v>128</v>
      </c>
      <c r="E225" s="4" t="s">
        <v>2272</v>
      </c>
      <c r="F225" s="3" t="s">
        <v>2272</v>
      </c>
      <c r="G225" s="3" t="s">
        <v>2272</v>
      </c>
      <c r="H225" s="21" t="s">
        <v>2272</v>
      </c>
      <c r="I225" s="21" t="s">
        <v>2272</v>
      </c>
      <c r="J225" s="21" t="s">
        <v>2272</v>
      </c>
      <c r="K225" s="21"/>
      <c r="L225" s="21" t="s">
        <v>2272</v>
      </c>
      <c r="M225" s="21" t="s">
        <v>2272</v>
      </c>
      <c r="N225" s="21" t="s">
        <v>2272</v>
      </c>
      <c r="O225" s="21" t="s">
        <v>2272</v>
      </c>
      <c r="P225" s="21" t="s">
        <v>2272</v>
      </c>
      <c r="Q225" s="21" t="s">
        <v>2272</v>
      </c>
      <c r="R225" s="21" t="s">
        <v>2272</v>
      </c>
      <c r="S225" s="21" t="s">
        <v>2272</v>
      </c>
      <c r="T225" s="4" t="s">
        <v>1954</v>
      </c>
    </row>
    <row r="226" spans="1:20" ht="58.5" customHeight="1">
      <c r="A226" s="3" t="s">
        <v>1902</v>
      </c>
      <c r="B226" s="3" t="s">
        <v>2272</v>
      </c>
      <c r="C226" s="11" t="s">
        <v>393</v>
      </c>
      <c r="D226" s="19" t="s">
        <v>128</v>
      </c>
      <c r="E226" s="4" t="s">
        <v>2272</v>
      </c>
      <c r="F226" s="3" t="s">
        <v>2272</v>
      </c>
      <c r="G226" s="3" t="s">
        <v>2272</v>
      </c>
      <c r="H226" s="21" t="s">
        <v>2272</v>
      </c>
      <c r="I226" s="21" t="s">
        <v>2272</v>
      </c>
      <c r="J226" s="21" t="s">
        <v>2272</v>
      </c>
      <c r="K226" s="21"/>
      <c r="L226" s="21" t="s">
        <v>2272</v>
      </c>
      <c r="M226" s="21" t="s">
        <v>2272</v>
      </c>
      <c r="N226" s="21" t="s">
        <v>2272</v>
      </c>
      <c r="O226" s="21" t="s">
        <v>2272</v>
      </c>
      <c r="P226" s="21" t="s">
        <v>2272</v>
      </c>
      <c r="Q226" s="21" t="s">
        <v>2272</v>
      </c>
      <c r="R226" s="21" t="s">
        <v>2272</v>
      </c>
      <c r="S226" s="21" t="s">
        <v>2272</v>
      </c>
      <c r="T226" s="4" t="s">
        <v>1954</v>
      </c>
    </row>
    <row r="227" spans="1:20" ht="58.5" customHeight="1">
      <c r="A227" s="3" t="s">
        <v>1903</v>
      </c>
      <c r="B227" s="3" t="s">
        <v>2272</v>
      </c>
      <c r="C227" s="11" t="s">
        <v>393</v>
      </c>
      <c r="D227" s="19" t="s">
        <v>128</v>
      </c>
      <c r="E227" s="4" t="s">
        <v>2272</v>
      </c>
      <c r="F227" s="3" t="s">
        <v>2272</v>
      </c>
      <c r="G227" s="3" t="s">
        <v>2272</v>
      </c>
      <c r="H227" s="21" t="s">
        <v>2272</v>
      </c>
      <c r="I227" s="21" t="s">
        <v>2272</v>
      </c>
      <c r="J227" s="21" t="s">
        <v>2272</v>
      </c>
      <c r="K227" s="21"/>
      <c r="L227" s="21" t="s">
        <v>2272</v>
      </c>
      <c r="M227" s="21" t="s">
        <v>2272</v>
      </c>
      <c r="N227" s="21" t="s">
        <v>2272</v>
      </c>
      <c r="O227" s="21" t="s">
        <v>2272</v>
      </c>
      <c r="P227" s="21" t="s">
        <v>2272</v>
      </c>
      <c r="Q227" s="21" t="s">
        <v>2272</v>
      </c>
      <c r="R227" s="21" t="s">
        <v>2272</v>
      </c>
      <c r="S227" s="21" t="s">
        <v>2272</v>
      </c>
      <c r="T227" s="4" t="s">
        <v>1955</v>
      </c>
    </row>
    <row r="228" spans="1:20" ht="58.5" customHeight="1">
      <c r="A228" s="3" t="s">
        <v>1904</v>
      </c>
      <c r="B228" s="3" t="s">
        <v>2272</v>
      </c>
      <c r="C228" s="11" t="s">
        <v>393</v>
      </c>
      <c r="D228" s="19" t="s">
        <v>128</v>
      </c>
      <c r="E228" s="4" t="s">
        <v>2272</v>
      </c>
      <c r="F228" s="3" t="s">
        <v>2272</v>
      </c>
      <c r="G228" s="3" t="s">
        <v>2272</v>
      </c>
      <c r="H228" s="21" t="s">
        <v>2272</v>
      </c>
      <c r="I228" s="21" t="s">
        <v>2272</v>
      </c>
      <c r="J228" s="21" t="s">
        <v>2272</v>
      </c>
      <c r="K228" s="21"/>
      <c r="L228" s="21" t="s">
        <v>2272</v>
      </c>
      <c r="M228" s="21" t="s">
        <v>2272</v>
      </c>
      <c r="N228" s="21" t="s">
        <v>2272</v>
      </c>
      <c r="O228" s="21" t="s">
        <v>2272</v>
      </c>
      <c r="P228" s="21" t="s">
        <v>2272</v>
      </c>
      <c r="Q228" s="21" t="s">
        <v>2272</v>
      </c>
      <c r="R228" s="21" t="s">
        <v>2272</v>
      </c>
      <c r="S228" s="21" t="s">
        <v>2272</v>
      </c>
      <c r="T228" s="4" t="s">
        <v>1950</v>
      </c>
    </row>
    <row r="229" spans="1:20" ht="58.5" customHeight="1">
      <c r="A229" s="3" t="s">
        <v>1905</v>
      </c>
      <c r="B229" s="3" t="s">
        <v>2272</v>
      </c>
      <c r="C229" s="11" t="s">
        <v>393</v>
      </c>
      <c r="D229" s="19" t="s">
        <v>128</v>
      </c>
      <c r="E229" s="4" t="s">
        <v>2272</v>
      </c>
      <c r="F229" s="3" t="s">
        <v>2272</v>
      </c>
      <c r="G229" s="3" t="s">
        <v>2272</v>
      </c>
      <c r="H229" s="21" t="s">
        <v>2272</v>
      </c>
      <c r="I229" s="21" t="s">
        <v>2272</v>
      </c>
      <c r="J229" s="21" t="s">
        <v>2272</v>
      </c>
      <c r="K229" s="21"/>
      <c r="L229" s="21" t="s">
        <v>2272</v>
      </c>
      <c r="M229" s="21" t="s">
        <v>2272</v>
      </c>
      <c r="N229" s="21" t="s">
        <v>2272</v>
      </c>
      <c r="O229" s="21" t="s">
        <v>2272</v>
      </c>
      <c r="P229" s="21" t="s">
        <v>2272</v>
      </c>
      <c r="Q229" s="21" t="s">
        <v>2272</v>
      </c>
      <c r="R229" s="21" t="s">
        <v>2272</v>
      </c>
      <c r="S229" s="21" t="s">
        <v>2272</v>
      </c>
      <c r="T229" s="4" t="s">
        <v>1953</v>
      </c>
    </row>
    <row r="230" spans="1:20" ht="58.5" customHeight="1">
      <c r="A230" s="3" t="s">
        <v>1906</v>
      </c>
      <c r="B230" s="3" t="s">
        <v>2272</v>
      </c>
      <c r="C230" s="11" t="s">
        <v>393</v>
      </c>
      <c r="D230" s="19" t="s">
        <v>128</v>
      </c>
      <c r="E230" s="4" t="s">
        <v>2272</v>
      </c>
      <c r="F230" s="3" t="s">
        <v>2272</v>
      </c>
      <c r="G230" s="3" t="s">
        <v>2272</v>
      </c>
      <c r="H230" s="21" t="s">
        <v>2272</v>
      </c>
      <c r="I230" s="21" t="s">
        <v>2272</v>
      </c>
      <c r="J230" s="21" t="s">
        <v>2272</v>
      </c>
      <c r="K230" s="21"/>
      <c r="L230" s="21" t="s">
        <v>2272</v>
      </c>
      <c r="M230" s="21" t="s">
        <v>2272</v>
      </c>
      <c r="N230" s="21" t="s">
        <v>2272</v>
      </c>
      <c r="O230" s="21" t="s">
        <v>2272</v>
      </c>
      <c r="P230" s="21" t="s">
        <v>2272</v>
      </c>
      <c r="Q230" s="21" t="s">
        <v>2272</v>
      </c>
      <c r="R230" s="21" t="s">
        <v>2272</v>
      </c>
      <c r="S230" s="21" t="s">
        <v>2272</v>
      </c>
      <c r="T230" s="4" t="s">
        <v>1950</v>
      </c>
    </row>
    <row r="231" spans="1:20" ht="58.5" customHeight="1">
      <c r="A231" s="3" t="s">
        <v>1907</v>
      </c>
      <c r="B231" s="3" t="s">
        <v>2272</v>
      </c>
      <c r="C231" s="11" t="s">
        <v>11</v>
      </c>
      <c r="D231" s="19" t="s">
        <v>395</v>
      </c>
      <c r="E231" s="4" t="s">
        <v>2272</v>
      </c>
      <c r="F231" s="3" t="s">
        <v>2272</v>
      </c>
      <c r="G231" s="3" t="s">
        <v>2272</v>
      </c>
      <c r="H231" s="21" t="s">
        <v>2272</v>
      </c>
      <c r="I231" s="21" t="s">
        <v>2272</v>
      </c>
      <c r="J231" s="21" t="s">
        <v>2272</v>
      </c>
      <c r="K231" s="21"/>
      <c r="L231" s="21" t="s">
        <v>2272</v>
      </c>
      <c r="M231" s="21" t="s">
        <v>2272</v>
      </c>
      <c r="N231" s="21" t="s">
        <v>2272</v>
      </c>
      <c r="O231" s="21" t="s">
        <v>2272</v>
      </c>
      <c r="P231" s="21" t="s">
        <v>2272</v>
      </c>
      <c r="Q231" s="21" t="s">
        <v>2272</v>
      </c>
      <c r="R231" s="21" t="s">
        <v>2272</v>
      </c>
      <c r="S231" s="21" t="s">
        <v>2272</v>
      </c>
      <c r="T231" s="4" t="s">
        <v>1952</v>
      </c>
    </row>
    <row r="232" spans="1:20" ht="43.5" customHeight="1">
      <c r="A232" s="3" t="s">
        <v>586</v>
      </c>
      <c r="B232" s="11" t="s">
        <v>68</v>
      </c>
      <c r="C232" s="11" t="s">
        <v>11</v>
      </c>
      <c r="D232" s="11" t="s">
        <v>128</v>
      </c>
      <c r="E232" s="3" t="s">
        <v>2644</v>
      </c>
      <c r="F232" s="3" t="s">
        <v>135</v>
      </c>
      <c r="G232" s="3" t="s">
        <v>2272</v>
      </c>
      <c r="H232" s="21" t="s">
        <v>2272</v>
      </c>
      <c r="I232" s="21" t="s">
        <v>2272</v>
      </c>
      <c r="J232" s="21" t="s">
        <v>2272</v>
      </c>
      <c r="K232" s="21"/>
      <c r="L232" s="21" t="s">
        <v>2272</v>
      </c>
      <c r="M232" s="21" t="s">
        <v>2272</v>
      </c>
      <c r="N232" s="21" t="s">
        <v>2272</v>
      </c>
      <c r="O232" s="21" t="s">
        <v>2272</v>
      </c>
      <c r="P232" s="21" t="s">
        <v>2272</v>
      </c>
      <c r="Q232" s="21" t="s">
        <v>2272</v>
      </c>
      <c r="R232" s="21" t="s">
        <v>2272</v>
      </c>
      <c r="S232" s="21" t="s">
        <v>2272</v>
      </c>
      <c r="T232" s="18" t="s">
        <v>2000</v>
      </c>
    </row>
    <row r="233" spans="1:20" ht="53" customHeight="1">
      <c r="A233" s="3" t="s">
        <v>590</v>
      </c>
      <c r="B233" s="11" t="s">
        <v>31</v>
      </c>
      <c r="C233" s="11" t="s">
        <v>11</v>
      </c>
      <c r="D233" s="11" t="s">
        <v>128</v>
      </c>
      <c r="E233" s="4" t="s">
        <v>394</v>
      </c>
      <c r="F233" s="3" t="s">
        <v>2644</v>
      </c>
      <c r="G233" s="3" t="s">
        <v>135</v>
      </c>
      <c r="H233" s="21" t="s">
        <v>2272</v>
      </c>
      <c r="I233" s="21" t="s">
        <v>2272</v>
      </c>
      <c r="J233" s="21" t="s">
        <v>2272</v>
      </c>
      <c r="K233" s="21"/>
      <c r="L233" s="21" t="s">
        <v>2272</v>
      </c>
      <c r="M233" s="21" t="s">
        <v>2272</v>
      </c>
      <c r="N233" s="21" t="s">
        <v>2272</v>
      </c>
      <c r="O233" s="21" t="s">
        <v>2272</v>
      </c>
      <c r="P233" s="21" t="s">
        <v>2272</v>
      </c>
      <c r="Q233" s="21" t="s">
        <v>2272</v>
      </c>
      <c r="R233" s="21" t="s">
        <v>2272</v>
      </c>
      <c r="S233" s="21" t="s">
        <v>2272</v>
      </c>
      <c r="T233" s="18" t="s">
        <v>2002</v>
      </c>
    </row>
    <row r="234" spans="1:20" ht="47" customHeight="1">
      <c r="A234" s="3" t="s">
        <v>592</v>
      </c>
      <c r="B234" s="11" t="s">
        <v>31</v>
      </c>
      <c r="C234" s="11" t="s">
        <v>11</v>
      </c>
      <c r="D234" s="11" t="s">
        <v>128</v>
      </c>
      <c r="E234" s="4" t="s">
        <v>395</v>
      </c>
      <c r="F234" s="3" t="s">
        <v>135</v>
      </c>
      <c r="G234" s="3" t="s">
        <v>2272</v>
      </c>
      <c r="H234" s="21" t="s">
        <v>2272</v>
      </c>
      <c r="I234" s="21" t="s">
        <v>2272</v>
      </c>
      <c r="J234" s="21" t="s">
        <v>2272</v>
      </c>
      <c r="K234" s="21"/>
      <c r="L234" s="21" t="s">
        <v>2272</v>
      </c>
      <c r="M234" s="21" t="s">
        <v>2272</v>
      </c>
      <c r="N234" s="21" t="s">
        <v>2272</v>
      </c>
      <c r="O234" s="21" t="s">
        <v>2272</v>
      </c>
      <c r="P234" s="21" t="s">
        <v>2272</v>
      </c>
      <c r="Q234" s="21" t="s">
        <v>2272</v>
      </c>
      <c r="R234" s="21" t="s">
        <v>2272</v>
      </c>
      <c r="S234" s="21" t="s">
        <v>2272</v>
      </c>
      <c r="T234" s="18" t="s">
        <v>2001</v>
      </c>
    </row>
    <row r="235" spans="1:20" ht="56.5" customHeight="1">
      <c r="A235" s="3" t="s">
        <v>595</v>
      </c>
      <c r="B235" s="11" t="s">
        <v>31</v>
      </c>
      <c r="C235" s="11" t="s">
        <v>11</v>
      </c>
      <c r="D235" s="11" t="s">
        <v>128</v>
      </c>
      <c r="E235" s="4" t="s">
        <v>394</v>
      </c>
      <c r="F235" s="3" t="s">
        <v>135</v>
      </c>
      <c r="G235" s="3" t="s">
        <v>2272</v>
      </c>
      <c r="H235" s="21" t="s">
        <v>2272</v>
      </c>
      <c r="I235" s="21" t="s">
        <v>2272</v>
      </c>
      <c r="J235" s="21" t="s">
        <v>2272</v>
      </c>
      <c r="K235" s="21"/>
      <c r="L235" s="21" t="s">
        <v>2272</v>
      </c>
      <c r="M235" s="21" t="s">
        <v>2272</v>
      </c>
      <c r="N235" s="21" t="s">
        <v>2272</v>
      </c>
      <c r="O235" s="21" t="s">
        <v>2272</v>
      </c>
      <c r="P235" s="21" t="s">
        <v>2272</v>
      </c>
      <c r="Q235" s="21" t="s">
        <v>2272</v>
      </c>
      <c r="R235" s="21" t="s">
        <v>2272</v>
      </c>
      <c r="S235" s="21" t="s">
        <v>2272</v>
      </c>
      <c r="T235" s="18" t="s">
        <v>2003</v>
      </c>
    </row>
    <row r="236" spans="1:20" ht="48.5" customHeight="1">
      <c r="A236" s="3" t="s">
        <v>598</v>
      </c>
      <c r="B236" s="11" t="s">
        <v>69</v>
      </c>
      <c r="C236" s="11" t="s">
        <v>11</v>
      </c>
      <c r="D236" s="11" t="s">
        <v>128</v>
      </c>
      <c r="E236" s="3" t="s">
        <v>2644</v>
      </c>
      <c r="F236" s="3" t="s">
        <v>135</v>
      </c>
      <c r="G236" s="3" t="s">
        <v>114</v>
      </c>
      <c r="H236" s="21" t="s">
        <v>2272</v>
      </c>
      <c r="I236" s="21" t="s">
        <v>2272</v>
      </c>
      <c r="J236" s="21" t="s">
        <v>2272</v>
      </c>
      <c r="K236" s="21"/>
      <c r="L236" s="21" t="s">
        <v>2272</v>
      </c>
      <c r="M236" s="21" t="s">
        <v>2272</v>
      </c>
      <c r="N236" s="21" t="s">
        <v>2272</v>
      </c>
      <c r="O236" s="21" t="s">
        <v>2272</v>
      </c>
      <c r="P236" s="21" t="s">
        <v>2272</v>
      </c>
      <c r="Q236" s="21" t="s">
        <v>2272</v>
      </c>
      <c r="R236" s="21" t="s">
        <v>2272</v>
      </c>
      <c r="S236" s="21" t="s">
        <v>2272</v>
      </c>
      <c r="T236" s="18" t="s">
        <v>2000</v>
      </c>
    </row>
    <row r="237" spans="1:20" ht="54.5" customHeight="1">
      <c r="A237" s="22" t="s">
        <v>600</v>
      </c>
      <c r="B237" s="26" t="s">
        <v>69</v>
      </c>
      <c r="C237" s="23" t="s">
        <v>11</v>
      </c>
      <c r="D237" s="26" t="s">
        <v>128</v>
      </c>
      <c r="E237" s="24" t="s">
        <v>394</v>
      </c>
      <c r="F237" s="22" t="s">
        <v>44</v>
      </c>
      <c r="G237" s="22" t="s">
        <v>2272</v>
      </c>
      <c r="H237" s="73">
        <v>1.56</v>
      </c>
      <c r="I237" s="73">
        <v>78.5</v>
      </c>
      <c r="J237" s="73">
        <v>1.25</v>
      </c>
      <c r="K237" s="73"/>
      <c r="L237" s="73" t="s">
        <v>2272</v>
      </c>
      <c r="M237" s="73" t="s">
        <v>2272</v>
      </c>
      <c r="N237" s="73" t="s">
        <v>2272</v>
      </c>
      <c r="O237" s="73">
        <v>27</v>
      </c>
      <c r="P237" s="73">
        <v>11</v>
      </c>
      <c r="Q237" s="73">
        <v>7</v>
      </c>
      <c r="R237" s="73">
        <v>55</v>
      </c>
      <c r="S237" s="73" t="s">
        <v>2272</v>
      </c>
      <c r="T237" s="24" t="s">
        <v>567</v>
      </c>
    </row>
    <row r="238" spans="1:20" ht="48.5" customHeight="1">
      <c r="A238" s="22" t="s">
        <v>619</v>
      </c>
      <c r="B238" s="3" t="s">
        <v>2272</v>
      </c>
      <c r="C238" s="23" t="s">
        <v>393</v>
      </c>
      <c r="D238" s="23" t="s">
        <v>128</v>
      </c>
      <c r="E238" s="22" t="s">
        <v>2272</v>
      </c>
      <c r="F238" s="22" t="s">
        <v>2272</v>
      </c>
      <c r="G238" s="22" t="s">
        <v>2272</v>
      </c>
      <c r="H238" s="73" t="s">
        <v>2272</v>
      </c>
      <c r="I238" s="73" t="s">
        <v>2272</v>
      </c>
      <c r="J238" s="73" t="s">
        <v>2272</v>
      </c>
      <c r="K238" s="73"/>
      <c r="L238" s="73" t="s">
        <v>2272</v>
      </c>
      <c r="M238" s="73" t="s">
        <v>2272</v>
      </c>
      <c r="N238" s="73" t="s">
        <v>2272</v>
      </c>
      <c r="O238" s="73" t="s">
        <v>2272</v>
      </c>
      <c r="P238" s="73" t="s">
        <v>2272</v>
      </c>
      <c r="Q238" s="73" t="s">
        <v>2272</v>
      </c>
      <c r="R238" s="73" t="s">
        <v>2272</v>
      </c>
      <c r="S238" s="73" t="s">
        <v>2272</v>
      </c>
      <c r="T238" s="22"/>
    </row>
    <row r="239" spans="1:20" ht="51" customHeight="1">
      <c r="A239" s="3" t="s">
        <v>620</v>
      </c>
      <c r="B239" s="3" t="s">
        <v>68</v>
      </c>
      <c r="C239" s="11" t="s">
        <v>393</v>
      </c>
      <c r="D239" s="19" t="s">
        <v>395</v>
      </c>
      <c r="E239" s="11" t="s">
        <v>128</v>
      </c>
      <c r="F239" s="3" t="s">
        <v>2272</v>
      </c>
      <c r="G239" s="3" t="s">
        <v>2272</v>
      </c>
      <c r="H239" s="21" t="s">
        <v>2272</v>
      </c>
      <c r="I239" s="21" t="s">
        <v>2272</v>
      </c>
      <c r="J239" s="21">
        <v>6</v>
      </c>
      <c r="K239" s="21"/>
      <c r="L239" s="21" t="s">
        <v>2272</v>
      </c>
      <c r="M239" s="21" t="s">
        <v>2272</v>
      </c>
      <c r="N239" s="21" t="s">
        <v>2272</v>
      </c>
      <c r="O239" s="21" t="s">
        <v>2272</v>
      </c>
      <c r="P239" s="21" t="s">
        <v>2272</v>
      </c>
      <c r="Q239" s="21" t="s">
        <v>2272</v>
      </c>
      <c r="R239" s="21" t="s">
        <v>2272</v>
      </c>
      <c r="S239" s="21" t="s">
        <v>2272</v>
      </c>
      <c r="T239" s="4" t="s">
        <v>2006</v>
      </c>
    </row>
    <row r="240" spans="1:20" ht="47" customHeight="1">
      <c r="A240" s="11" t="s">
        <v>639</v>
      </c>
      <c r="B240" s="3" t="s">
        <v>68</v>
      </c>
      <c r="C240" s="11" t="s">
        <v>393</v>
      </c>
      <c r="D240" s="11" t="s">
        <v>128</v>
      </c>
      <c r="E240" s="3" t="s">
        <v>2272</v>
      </c>
      <c r="F240" s="3" t="s">
        <v>2272</v>
      </c>
      <c r="G240" s="3" t="s">
        <v>2272</v>
      </c>
      <c r="H240" s="21" t="s">
        <v>2272</v>
      </c>
      <c r="I240" s="21" t="s">
        <v>2272</v>
      </c>
      <c r="J240" s="21" t="s">
        <v>2272</v>
      </c>
      <c r="K240" s="21"/>
      <c r="L240" s="21" t="s">
        <v>2272</v>
      </c>
      <c r="M240" s="21" t="s">
        <v>2272</v>
      </c>
      <c r="N240" s="21" t="s">
        <v>2272</v>
      </c>
      <c r="O240" s="21" t="s">
        <v>2272</v>
      </c>
      <c r="P240" s="21" t="s">
        <v>2272</v>
      </c>
      <c r="Q240" s="21" t="s">
        <v>2272</v>
      </c>
      <c r="R240" s="21" t="s">
        <v>2272</v>
      </c>
      <c r="S240" s="21" t="s">
        <v>2272</v>
      </c>
      <c r="T240" s="3"/>
    </row>
    <row r="241" spans="1:20" ht="34.5" customHeight="1">
      <c r="A241" s="11" t="s">
        <v>649</v>
      </c>
      <c r="B241" s="3" t="s">
        <v>31</v>
      </c>
      <c r="C241" s="11" t="s">
        <v>393</v>
      </c>
      <c r="D241" s="11" t="s">
        <v>128</v>
      </c>
      <c r="E241" s="22" t="s">
        <v>44</v>
      </c>
      <c r="F241" s="3" t="s">
        <v>2272</v>
      </c>
      <c r="G241" s="3" t="s">
        <v>2272</v>
      </c>
      <c r="H241" s="21" t="s">
        <v>2272</v>
      </c>
      <c r="I241" s="21" t="s">
        <v>2272</v>
      </c>
      <c r="J241" s="21" t="s">
        <v>2272</v>
      </c>
      <c r="K241" s="21"/>
      <c r="L241" s="21" t="s">
        <v>2272</v>
      </c>
      <c r="M241" s="21" t="s">
        <v>2272</v>
      </c>
      <c r="N241" s="21" t="s">
        <v>2272</v>
      </c>
      <c r="O241" s="21" t="s">
        <v>2272</v>
      </c>
      <c r="P241" s="21">
        <v>0.15</v>
      </c>
      <c r="Q241" s="21">
        <v>3.4</v>
      </c>
      <c r="R241" s="21">
        <v>96.45</v>
      </c>
      <c r="S241" s="21">
        <v>5.2818500000000003E-3</v>
      </c>
      <c r="T241" s="4" t="s">
        <v>2009</v>
      </c>
    </row>
    <row r="242" spans="1:20" ht="33.5" customHeight="1">
      <c r="A242" s="11" t="s">
        <v>652</v>
      </c>
      <c r="B242" s="3" t="s">
        <v>68</v>
      </c>
      <c r="C242" s="11" t="s">
        <v>393</v>
      </c>
      <c r="D242" s="11" t="s">
        <v>128</v>
      </c>
      <c r="E242" s="3" t="s">
        <v>2272</v>
      </c>
      <c r="F242" s="3" t="s">
        <v>2272</v>
      </c>
      <c r="G242" s="3" t="s">
        <v>2272</v>
      </c>
      <c r="H242" s="21" t="s">
        <v>2272</v>
      </c>
      <c r="I242" s="21">
        <v>10.09</v>
      </c>
      <c r="J242" s="21" t="s">
        <v>2272</v>
      </c>
      <c r="K242" s="21"/>
      <c r="L242" s="21" t="s">
        <v>2272</v>
      </c>
      <c r="M242" s="21" t="s">
        <v>2272</v>
      </c>
      <c r="N242" s="21" t="s">
        <v>2272</v>
      </c>
      <c r="O242" s="21" t="s">
        <v>2272</v>
      </c>
      <c r="P242" s="21">
        <v>54</v>
      </c>
      <c r="Q242" s="21">
        <v>38</v>
      </c>
      <c r="R242" s="21">
        <v>8</v>
      </c>
      <c r="S242" s="21" t="s">
        <v>2272</v>
      </c>
      <c r="T242" s="3" t="s">
        <v>5004</v>
      </c>
    </row>
    <row r="243" spans="1:20" ht="37" customHeight="1">
      <c r="A243" s="11" t="s">
        <v>658</v>
      </c>
      <c r="B243" s="3" t="s">
        <v>2272</v>
      </c>
      <c r="C243" s="11" t="s">
        <v>393</v>
      </c>
      <c r="D243" s="19" t="s">
        <v>394</v>
      </c>
      <c r="E243" s="11" t="s">
        <v>128</v>
      </c>
      <c r="F243" s="3" t="s">
        <v>135</v>
      </c>
      <c r="G243" s="3" t="s">
        <v>2272</v>
      </c>
      <c r="H243" s="21" t="s">
        <v>2272</v>
      </c>
      <c r="I243" s="21" t="s">
        <v>2272</v>
      </c>
      <c r="J243" s="21">
        <v>0.9</v>
      </c>
      <c r="K243" s="21"/>
      <c r="L243" s="21" t="s">
        <v>2272</v>
      </c>
      <c r="M243" s="21" t="s">
        <v>2272</v>
      </c>
      <c r="N243" s="21" t="s">
        <v>2272</v>
      </c>
      <c r="O243" s="21" t="s">
        <v>2272</v>
      </c>
      <c r="P243" s="21" t="s">
        <v>2272</v>
      </c>
      <c r="Q243" s="21" t="s">
        <v>2272</v>
      </c>
      <c r="R243" s="21" t="s">
        <v>2272</v>
      </c>
      <c r="S243" s="21" t="s">
        <v>2272</v>
      </c>
      <c r="T243" s="3" t="s">
        <v>2425</v>
      </c>
    </row>
    <row r="244" spans="1:20" ht="33.5" customHeight="1">
      <c r="A244" s="11" t="s">
        <v>664</v>
      </c>
      <c r="B244" s="3" t="s">
        <v>2272</v>
      </c>
      <c r="C244" s="11" t="s">
        <v>393</v>
      </c>
      <c r="D244" s="11" t="s">
        <v>128</v>
      </c>
      <c r="E244" s="3" t="s">
        <v>2272</v>
      </c>
      <c r="F244" s="3" t="s">
        <v>2272</v>
      </c>
      <c r="G244" s="3" t="s">
        <v>2272</v>
      </c>
      <c r="H244" s="21" t="s">
        <v>2272</v>
      </c>
      <c r="I244" s="21" t="s">
        <v>2272</v>
      </c>
      <c r="J244" s="21" t="s">
        <v>2272</v>
      </c>
      <c r="K244" s="21"/>
      <c r="L244" s="21" t="s">
        <v>2272</v>
      </c>
      <c r="M244" s="21" t="s">
        <v>2272</v>
      </c>
      <c r="N244" s="21" t="s">
        <v>2272</v>
      </c>
      <c r="O244" s="21" t="s">
        <v>2272</v>
      </c>
      <c r="P244" s="21" t="s">
        <v>2272</v>
      </c>
      <c r="Q244" s="21" t="s">
        <v>2272</v>
      </c>
      <c r="R244" s="21" t="s">
        <v>2272</v>
      </c>
      <c r="S244" s="21" t="s">
        <v>2272</v>
      </c>
      <c r="T244" s="3"/>
    </row>
    <row r="245" spans="1:20" ht="39.5" customHeight="1">
      <c r="A245" s="11" t="s">
        <v>671</v>
      </c>
      <c r="B245" s="3" t="s">
        <v>2272</v>
      </c>
      <c r="C245" s="11" t="s">
        <v>393</v>
      </c>
      <c r="D245" s="11" t="s">
        <v>128</v>
      </c>
      <c r="E245" s="3" t="s">
        <v>2272</v>
      </c>
      <c r="F245" s="3" t="s">
        <v>2272</v>
      </c>
      <c r="G245" s="3" t="s">
        <v>2272</v>
      </c>
      <c r="H245" s="21" t="s">
        <v>2272</v>
      </c>
      <c r="I245" s="21" t="s">
        <v>2272</v>
      </c>
      <c r="J245" s="21" t="s">
        <v>2272</v>
      </c>
      <c r="K245" s="21"/>
      <c r="L245" s="21" t="s">
        <v>2272</v>
      </c>
      <c r="M245" s="21" t="s">
        <v>2272</v>
      </c>
      <c r="N245" s="21" t="s">
        <v>2272</v>
      </c>
      <c r="O245" s="21" t="s">
        <v>2272</v>
      </c>
      <c r="P245" s="21" t="s">
        <v>2272</v>
      </c>
      <c r="Q245" s="21" t="s">
        <v>2272</v>
      </c>
      <c r="R245" s="21" t="s">
        <v>2272</v>
      </c>
      <c r="S245" s="21" t="s">
        <v>2272</v>
      </c>
      <c r="T245" s="3"/>
    </row>
    <row r="246" spans="1:20" ht="37" customHeight="1">
      <c r="A246" s="11" t="s">
        <v>674</v>
      </c>
      <c r="B246" s="3" t="s">
        <v>68</v>
      </c>
      <c r="C246" s="11" t="s">
        <v>11</v>
      </c>
      <c r="D246" s="4" t="s">
        <v>135</v>
      </c>
      <c r="E246" s="33" t="s">
        <v>128</v>
      </c>
      <c r="F246" s="4" t="s">
        <v>395</v>
      </c>
      <c r="G246" s="4" t="s">
        <v>44</v>
      </c>
      <c r="H246" s="21" t="s">
        <v>2272</v>
      </c>
      <c r="I246" s="21">
        <v>13</v>
      </c>
      <c r="J246" s="21" t="s">
        <v>2272</v>
      </c>
      <c r="K246" s="21"/>
      <c r="L246" s="21" t="s">
        <v>2272</v>
      </c>
      <c r="M246" s="21" t="s">
        <v>2272</v>
      </c>
      <c r="N246" s="21" t="s">
        <v>2272</v>
      </c>
      <c r="O246" s="21">
        <v>9</v>
      </c>
      <c r="P246" s="21">
        <v>17</v>
      </c>
      <c r="Q246" s="21">
        <v>26</v>
      </c>
      <c r="R246" s="21">
        <v>47</v>
      </c>
      <c r="S246" s="21" t="s">
        <v>2272</v>
      </c>
      <c r="T246" s="3"/>
    </row>
    <row r="247" spans="1:20" ht="41.5" customHeight="1">
      <c r="A247" s="11" t="s">
        <v>677</v>
      </c>
      <c r="B247" s="4" t="s">
        <v>1193</v>
      </c>
      <c r="C247" s="11" t="s">
        <v>11</v>
      </c>
      <c r="D247" s="11" t="s">
        <v>128</v>
      </c>
      <c r="E247" s="4" t="s">
        <v>2272</v>
      </c>
      <c r="F247" s="3" t="s">
        <v>2272</v>
      </c>
      <c r="G247" s="3" t="s">
        <v>2272</v>
      </c>
      <c r="H247" s="21" t="s">
        <v>2272</v>
      </c>
      <c r="I247" s="21">
        <v>17</v>
      </c>
      <c r="J247" s="21" t="s">
        <v>2272</v>
      </c>
      <c r="K247" s="21"/>
      <c r="L247" s="21" t="s">
        <v>2272</v>
      </c>
      <c r="M247" s="21" t="s">
        <v>2272</v>
      </c>
      <c r="N247" s="21" t="s">
        <v>2272</v>
      </c>
      <c r="O247" s="21" t="s">
        <v>2272</v>
      </c>
      <c r="P247" s="21">
        <v>12</v>
      </c>
      <c r="Q247" s="21">
        <v>57</v>
      </c>
      <c r="R247" s="21">
        <v>30</v>
      </c>
      <c r="S247" s="21" t="s">
        <v>2272</v>
      </c>
      <c r="T247" s="3"/>
    </row>
    <row r="248" spans="1:20" ht="37.5" customHeight="1">
      <c r="A248" s="11" t="s">
        <v>681</v>
      </c>
      <c r="B248" s="3" t="s">
        <v>2272</v>
      </c>
      <c r="C248" s="11" t="s">
        <v>393</v>
      </c>
      <c r="D248" s="11" t="s">
        <v>128</v>
      </c>
      <c r="E248" s="4" t="s">
        <v>395</v>
      </c>
      <c r="F248" s="3" t="s">
        <v>2272</v>
      </c>
      <c r="G248" s="3" t="s">
        <v>2272</v>
      </c>
      <c r="H248" s="21" t="s">
        <v>2272</v>
      </c>
      <c r="I248" s="21" t="s">
        <v>2272</v>
      </c>
      <c r="J248" s="21">
        <v>1.3</v>
      </c>
      <c r="K248" s="21"/>
      <c r="L248" s="21" t="s">
        <v>2272</v>
      </c>
      <c r="M248" s="21" t="s">
        <v>2272</v>
      </c>
      <c r="N248" s="21" t="s">
        <v>2272</v>
      </c>
      <c r="O248" s="21" t="s">
        <v>2272</v>
      </c>
      <c r="P248" s="21" t="s">
        <v>2272</v>
      </c>
      <c r="Q248" s="21" t="s">
        <v>2272</v>
      </c>
      <c r="R248" s="21" t="s">
        <v>2272</v>
      </c>
      <c r="S248" s="21" t="s">
        <v>2272</v>
      </c>
      <c r="T248" s="3"/>
    </row>
    <row r="249" spans="1:20" ht="33.5" customHeight="1">
      <c r="A249" s="11" t="s">
        <v>682</v>
      </c>
      <c r="B249" s="3" t="s">
        <v>2272</v>
      </c>
      <c r="C249" s="11" t="s">
        <v>393</v>
      </c>
      <c r="D249" s="11" t="s">
        <v>128</v>
      </c>
      <c r="E249" s="3" t="s">
        <v>2272</v>
      </c>
      <c r="F249" s="3" t="s">
        <v>2272</v>
      </c>
      <c r="G249" s="3" t="s">
        <v>2272</v>
      </c>
      <c r="H249" s="21" t="s">
        <v>2272</v>
      </c>
      <c r="I249" s="21" t="s">
        <v>2272</v>
      </c>
      <c r="J249" s="21">
        <v>1.4</v>
      </c>
      <c r="K249" s="21"/>
      <c r="L249" s="21" t="s">
        <v>2272</v>
      </c>
      <c r="M249" s="21" t="s">
        <v>2272</v>
      </c>
      <c r="N249" s="21" t="s">
        <v>2272</v>
      </c>
      <c r="O249" s="21" t="s">
        <v>2272</v>
      </c>
      <c r="P249" s="21" t="s">
        <v>2272</v>
      </c>
      <c r="Q249" s="21" t="s">
        <v>2272</v>
      </c>
      <c r="R249" s="21" t="s">
        <v>2272</v>
      </c>
      <c r="S249" s="21" t="s">
        <v>2272</v>
      </c>
      <c r="T249" s="3"/>
    </row>
    <row r="250" spans="1:20" ht="38.5" customHeight="1">
      <c r="A250" s="11" t="s">
        <v>683</v>
      </c>
      <c r="B250" s="3" t="s">
        <v>2272</v>
      </c>
      <c r="C250" s="11" t="s">
        <v>393</v>
      </c>
      <c r="D250" s="11" t="s">
        <v>128</v>
      </c>
      <c r="E250" s="3" t="s">
        <v>2272</v>
      </c>
      <c r="F250" s="3" t="s">
        <v>2272</v>
      </c>
      <c r="G250" s="3" t="s">
        <v>2272</v>
      </c>
      <c r="H250" s="21" t="s">
        <v>2272</v>
      </c>
      <c r="I250" s="21" t="s">
        <v>2272</v>
      </c>
      <c r="J250" s="21">
        <v>1.3</v>
      </c>
      <c r="K250" s="21"/>
      <c r="L250" s="21" t="s">
        <v>2272</v>
      </c>
      <c r="M250" s="21" t="s">
        <v>2272</v>
      </c>
      <c r="N250" s="21" t="s">
        <v>2272</v>
      </c>
      <c r="O250" s="21" t="s">
        <v>2272</v>
      </c>
      <c r="P250" s="21" t="s">
        <v>2272</v>
      </c>
      <c r="Q250" s="21" t="s">
        <v>2272</v>
      </c>
      <c r="R250" s="21" t="s">
        <v>2272</v>
      </c>
      <c r="S250" s="21" t="s">
        <v>2272</v>
      </c>
      <c r="T250" s="3"/>
    </row>
    <row r="251" spans="1:20" ht="35.5" customHeight="1">
      <c r="A251" s="11" t="s">
        <v>691</v>
      </c>
      <c r="B251" s="3" t="s">
        <v>2272</v>
      </c>
      <c r="C251" s="11" t="s">
        <v>393</v>
      </c>
      <c r="D251" s="11" t="s">
        <v>128</v>
      </c>
      <c r="E251" s="4" t="s">
        <v>2272</v>
      </c>
      <c r="F251" s="3" t="s">
        <v>2272</v>
      </c>
      <c r="G251" s="3" t="s">
        <v>2272</v>
      </c>
      <c r="H251" s="21" t="s">
        <v>2272</v>
      </c>
      <c r="I251" s="21" t="s">
        <v>2272</v>
      </c>
      <c r="J251" s="21">
        <v>2</v>
      </c>
      <c r="K251" s="21"/>
      <c r="L251" s="21" t="s">
        <v>2272</v>
      </c>
      <c r="M251" s="21" t="s">
        <v>2272</v>
      </c>
      <c r="N251" s="21" t="s">
        <v>2272</v>
      </c>
      <c r="O251" s="21" t="s">
        <v>2272</v>
      </c>
      <c r="P251" s="21" t="s">
        <v>2272</v>
      </c>
      <c r="Q251" s="21" t="s">
        <v>2272</v>
      </c>
      <c r="R251" s="21" t="s">
        <v>2272</v>
      </c>
      <c r="S251" s="21" t="s">
        <v>2272</v>
      </c>
      <c r="T251" s="3"/>
    </row>
    <row r="252" spans="1:20" ht="43.5" customHeight="1">
      <c r="A252" s="11" t="s">
        <v>692</v>
      </c>
      <c r="B252" s="3" t="s">
        <v>2272</v>
      </c>
      <c r="C252" s="11" t="s">
        <v>393</v>
      </c>
      <c r="D252" s="11" t="s">
        <v>128</v>
      </c>
      <c r="E252" s="3" t="s">
        <v>2272</v>
      </c>
      <c r="F252" s="3" t="s">
        <v>2272</v>
      </c>
      <c r="G252" s="3" t="s">
        <v>2272</v>
      </c>
      <c r="H252" s="21" t="s">
        <v>2272</v>
      </c>
      <c r="I252" s="21" t="s">
        <v>2272</v>
      </c>
      <c r="J252" s="21">
        <v>2.7</v>
      </c>
      <c r="K252" s="21"/>
      <c r="L252" s="21" t="s">
        <v>2272</v>
      </c>
      <c r="M252" s="21" t="s">
        <v>2272</v>
      </c>
      <c r="N252" s="21" t="s">
        <v>2272</v>
      </c>
      <c r="O252" s="21" t="s">
        <v>2272</v>
      </c>
      <c r="P252" s="21" t="s">
        <v>2272</v>
      </c>
      <c r="Q252" s="21" t="s">
        <v>2272</v>
      </c>
      <c r="R252" s="21" t="s">
        <v>2272</v>
      </c>
      <c r="S252" s="21" t="s">
        <v>2272</v>
      </c>
      <c r="T252" s="3"/>
    </row>
    <row r="253" spans="1:20" ht="47.5" customHeight="1">
      <c r="A253" s="11" t="s">
        <v>693</v>
      </c>
      <c r="B253" s="3" t="s">
        <v>2272</v>
      </c>
      <c r="C253" s="11" t="s">
        <v>393</v>
      </c>
      <c r="D253" s="11" t="s">
        <v>128</v>
      </c>
      <c r="E253" s="3" t="s">
        <v>2272</v>
      </c>
      <c r="F253" s="3" t="s">
        <v>2272</v>
      </c>
      <c r="G253" s="3" t="s">
        <v>2272</v>
      </c>
      <c r="H253" s="21" t="s">
        <v>2272</v>
      </c>
      <c r="I253" s="21" t="s">
        <v>2272</v>
      </c>
      <c r="J253" s="21">
        <v>2.2000000000000002</v>
      </c>
      <c r="K253" s="21"/>
      <c r="L253" s="21" t="s">
        <v>2272</v>
      </c>
      <c r="M253" s="21" t="s">
        <v>2272</v>
      </c>
      <c r="N253" s="21" t="s">
        <v>2272</v>
      </c>
      <c r="O253" s="21" t="s">
        <v>2272</v>
      </c>
      <c r="P253" s="21" t="s">
        <v>2272</v>
      </c>
      <c r="Q253" s="21" t="s">
        <v>2272</v>
      </c>
      <c r="R253" s="21" t="s">
        <v>2272</v>
      </c>
      <c r="S253" s="21" t="s">
        <v>2272</v>
      </c>
      <c r="T253" s="3"/>
    </row>
    <row r="254" spans="1:20" ht="47.5" customHeight="1">
      <c r="A254" s="11" t="s">
        <v>2031</v>
      </c>
      <c r="B254" s="3" t="s">
        <v>2272</v>
      </c>
      <c r="C254" s="11" t="s">
        <v>393</v>
      </c>
      <c r="D254" s="11" t="s">
        <v>128</v>
      </c>
      <c r="E254" s="4" t="s">
        <v>395</v>
      </c>
      <c r="F254" s="3" t="s">
        <v>2272</v>
      </c>
      <c r="G254" s="3" t="s">
        <v>2272</v>
      </c>
      <c r="H254" s="21" t="s">
        <v>2272</v>
      </c>
      <c r="I254" s="21" t="s">
        <v>2272</v>
      </c>
      <c r="J254" s="21">
        <v>1.3</v>
      </c>
      <c r="K254" s="21"/>
      <c r="L254" s="21" t="s">
        <v>2272</v>
      </c>
      <c r="M254" s="21" t="s">
        <v>2272</v>
      </c>
      <c r="N254" s="21" t="s">
        <v>2272</v>
      </c>
      <c r="O254" s="21" t="s">
        <v>2272</v>
      </c>
      <c r="P254" s="21" t="s">
        <v>2272</v>
      </c>
      <c r="Q254" s="21" t="s">
        <v>2272</v>
      </c>
      <c r="R254" s="21" t="s">
        <v>2272</v>
      </c>
      <c r="S254" s="21" t="s">
        <v>2272</v>
      </c>
      <c r="T254" s="3"/>
    </row>
    <row r="255" spans="1:20" ht="47.5" customHeight="1">
      <c r="A255" s="11" t="s">
        <v>2032</v>
      </c>
      <c r="B255" s="3" t="s">
        <v>2272</v>
      </c>
      <c r="C255" s="11" t="s">
        <v>393</v>
      </c>
      <c r="D255" s="11" t="s">
        <v>128</v>
      </c>
      <c r="E255" s="3" t="s">
        <v>2272</v>
      </c>
      <c r="F255" s="3" t="s">
        <v>2272</v>
      </c>
      <c r="G255" s="3" t="s">
        <v>2272</v>
      </c>
      <c r="H255" s="21" t="s">
        <v>2272</v>
      </c>
      <c r="I255" s="21" t="s">
        <v>2272</v>
      </c>
      <c r="J255" s="21">
        <v>1.4</v>
      </c>
      <c r="K255" s="21"/>
      <c r="L255" s="21" t="s">
        <v>2272</v>
      </c>
      <c r="M255" s="21" t="s">
        <v>2272</v>
      </c>
      <c r="N255" s="21" t="s">
        <v>2272</v>
      </c>
      <c r="O255" s="21" t="s">
        <v>2272</v>
      </c>
      <c r="P255" s="21" t="s">
        <v>2272</v>
      </c>
      <c r="Q255" s="21" t="s">
        <v>2272</v>
      </c>
      <c r="R255" s="21" t="s">
        <v>2272</v>
      </c>
      <c r="S255" s="21" t="s">
        <v>2272</v>
      </c>
      <c r="T255" s="3"/>
    </row>
    <row r="256" spans="1:20" ht="47.5" customHeight="1">
      <c r="A256" s="11" t="s">
        <v>2033</v>
      </c>
      <c r="B256" s="3" t="s">
        <v>2272</v>
      </c>
      <c r="C256" s="11" t="s">
        <v>393</v>
      </c>
      <c r="D256" s="11" t="s">
        <v>128</v>
      </c>
      <c r="E256" s="3" t="s">
        <v>2272</v>
      </c>
      <c r="F256" s="3" t="s">
        <v>2272</v>
      </c>
      <c r="G256" s="3" t="s">
        <v>2272</v>
      </c>
      <c r="H256" s="21" t="s">
        <v>2272</v>
      </c>
      <c r="I256" s="21" t="s">
        <v>2272</v>
      </c>
      <c r="J256" s="21">
        <v>1.3</v>
      </c>
      <c r="K256" s="21"/>
      <c r="L256" s="21" t="s">
        <v>2272</v>
      </c>
      <c r="M256" s="21" t="s">
        <v>2272</v>
      </c>
      <c r="N256" s="21" t="s">
        <v>2272</v>
      </c>
      <c r="O256" s="21" t="s">
        <v>2272</v>
      </c>
      <c r="P256" s="21" t="s">
        <v>2272</v>
      </c>
      <c r="Q256" s="21" t="s">
        <v>2272</v>
      </c>
      <c r="R256" s="21" t="s">
        <v>2272</v>
      </c>
      <c r="S256" s="21" t="s">
        <v>2272</v>
      </c>
      <c r="T256" s="3"/>
    </row>
    <row r="257" spans="1:20" ht="48" customHeight="1">
      <c r="A257" s="11" t="s">
        <v>695</v>
      </c>
      <c r="B257" s="3" t="s">
        <v>2272</v>
      </c>
      <c r="C257" s="11" t="s">
        <v>11</v>
      </c>
      <c r="D257" s="11" t="s">
        <v>128</v>
      </c>
      <c r="E257" s="4" t="s">
        <v>395</v>
      </c>
      <c r="F257" s="4" t="s">
        <v>394</v>
      </c>
      <c r="G257" s="3" t="s">
        <v>2272</v>
      </c>
      <c r="H257" s="21" t="s">
        <v>2272</v>
      </c>
      <c r="I257" s="21">
        <v>1.48</v>
      </c>
      <c r="J257" s="21">
        <v>1.83</v>
      </c>
      <c r="K257" s="21"/>
      <c r="L257" s="21" t="s">
        <v>2272</v>
      </c>
      <c r="M257" s="21" t="s">
        <v>2272</v>
      </c>
      <c r="N257" s="21" t="s">
        <v>2272</v>
      </c>
      <c r="O257" s="21" t="s">
        <v>2272</v>
      </c>
      <c r="P257" s="21" t="s">
        <v>2272</v>
      </c>
      <c r="Q257" s="21" t="s">
        <v>2272</v>
      </c>
      <c r="R257" s="21" t="s">
        <v>2272</v>
      </c>
      <c r="S257" s="21" t="s">
        <v>2272</v>
      </c>
      <c r="T257" s="4" t="s">
        <v>704</v>
      </c>
    </row>
    <row r="258" spans="1:20" ht="39.5" customHeight="1">
      <c r="A258" s="11" t="s">
        <v>696</v>
      </c>
      <c r="B258" s="3" t="s">
        <v>2272</v>
      </c>
      <c r="C258" s="11" t="s">
        <v>11</v>
      </c>
      <c r="D258" s="11" t="s">
        <v>128</v>
      </c>
      <c r="E258" s="4" t="s">
        <v>395</v>
      </c>
      <c r="F258" s="4" t="s">
        <v>394</v>
      </c>
      <c r="G258" s="3" t="s">
        <v>2272</v>
      </c>
      <c r="H258" s="21" t="s">
        <v>2272</v>
      </c>
      <c r="I258" s="21">
        <v>1.87</v>
      </c>
      <c r="J258" s="21">
        <v>3.28</v>
      </c>
      <c r="K258" s="21"/>
      <c r="L258" s="21" t="s">
        <v>2272</v>
      </c>
      <c r="M258" s="21" t="s">
        <v>2272</v>
      </c>
      <c r="N258" s="21" t="s">
        <v>2272</v>
      </c>
      <c r="O258" s="21" t="s">
        <v>2272</v>
      </c>
      <c r="P258" s="21" t="s">
        <v>2272</v>
      </c>
      <c r="Q258" s="21" t="s">
        <v>2272</v>
      </c>
      <c r="R258" s="21" t="s">
        <v>2272</v>
      </c>
      <c r="S258" s="21" t="s">
        <v>2272</v>
      </c>
      <c r="T258" s="4" t="s">
        <v>704</v>
      </c>
    </row>
    <row r="259" spans="1:20" ht="55.5" customHeight="1">
      <c r="A259" s="11" t="s">
        <v>697</v>
      </c>
      <c r="B259" s="3" t="s">
        <v>2272</v>
      </c>
      <c r="C259" s="11" t="s">
        <v>11</v>
      </c>
      <c r="D259" s="11" t="s">
        <v>128</v>
      </c>
      <c r="E259" s="4" t="s">
        <v>395</v>
      </c>
      <c r="F259" s="4" t="s">
        <v>394</v>
      </c>
      <c r="G259" s="3" t="s">
        <v>2272</v>
      </c>
      <c r="H259" s="21" t="s">
        <v>2272</v>
      </c>
      <c r="I259" s="21">
        <v>1.5</v>
      </c>
      <c r="J259" s="21">
        <v>1.94</v>
      </c>
      <c r="K259" s="21"/>
      <c r="L259" s="21" t="s">
        <v>2272</v>
      </c>
      <c r="M259" s="21" t="s">
        <v>2272</v>
      </c>
      <c r="N259" s="21" t="s">
        <v>2272</v>
      </c>
      <c r="O259" s="21" t="s">
        <v>2272</v>
      </c>
      <c r="P259" s="21" t="s">
        <v>2272</v>
      </c>
      <c r="Q259" s="21" t="s">
        <v>2272</v>
      </c>
      <c r="R259" s="21" t="s">
        <v>2272</v>
      </c>
      <c r="S259" s="21" t="s">
        <v>2272</v>
      </c>
      <c r="T259" s="4" t="s">
        <v>704</v>
      </c>
    </row>
    <row r="260" spans="1:20" ht="39" customHeight="1">
      <c r="A260" s="11" t="s">
        <v>698</v>
      </c>
      <c r="B260" s="3" t="s">
        <v>2272</v>
      </c>
      <c r="C260" s="11" t="s">
        <v>393</v>
      </c>
      <c r="D260" s="11" t="s">
        <v>128</v>
      </c>
      <c r="E260" s="4" t="s">
        <v>395</v>
      </c>
      <c r="F260" s="3" t="s">
        <v>2272</v>
      </c>
      <c r="G260" s="3" t="s">
        <v>2272</v>
      </c>
      <c r="H260" s="21" t="s">
        <v>2272</v>
      </c>
      <c r="I260" s="14" t="s">
        <v>2272</v>
      </c>
      <c r="J260" s="21">
        <v>3.5</v>
      </c>
      <c r="K260" s="21"/>
      <c r="L260" s="21" t="s">
        <v>2272</v>
      </c>
      <c r="M260" s="21" t="s">
        <v>2272</v>
      </c>
      <c r="N260" s="21" t="s">
        <v>2272</v>
      </c>
      <c r="O260" s="21" t="s">
        <v>2272</v>
      </c>
      <c r="P260" s="21" t="s">
        <v>2272</v>
      </c>
      <c r="Q260" s="21" t="s">
        <v>2272</v>
      </c>
      <c r="R260" s="21" t="s">
        <v>2272</v>
      </c>
      <c r="S260" s="21" t="s">
        <v>2272</v>
      </c>
      <c r="T260" s="3" t="s">
        <v>710</v>
      </c>
    </row>
    <row r="261" spans="1:20" ht="50.5" customHeight="1">
      <c r="A261" s="11" t="s">
        <v>702</v>
      </c>
      <c r="B261" s="3" t="s">
        <v>2272</v>
      </c>
      <c r="C261" s="11" t="s">
        <v>393</v>
      </c>
      <c r="D261" s="11" t="s">
        <v>128</v>
      </c>
      <c r="E261" s="4" t="s">
        <v>395</v>
      </c>
      <c r="F261" s="3" t="s">
        <v>2272</v>
      </c>
      <c r="G261" s="3" t="s">
        <v>2272</v>
      </c>
      <c r="H261" s="21" t="s">
        <v>2272</v>
      </c>
      <c r="I261" s="21" t="s">
        <v>2272</v>
      </c>
      <c r="J261" s="21">
        <v>3.5</v>
      </c>
      <c r="K261" s="21"/>
      <c r="L261" s="21" t="s">
        <v>2272</v>
      </c>
      <c r="M261" s="21" t="s">
        <v>2272</v>
      </c>
      <c r="N261" s="21" t="s">
        <v>2272</v>
      </c>
      <c r="O261" s="21" t="s">
        <v>2272</v>
      </c>
      <c r="P261" s="21" t="s">
        <v>2272</v>
      </c>
      <c r="Q261" s="21" t="s">
        <v>2272</v>
      </c>
      <c r="R261" s="21" t="s">
        <v>2272</v>
      </c>
      <c r="S261" s="21" t="s">
        <v>2272</v>
      </c>
      <c r="T261" s="3" t="s">
        <v>710</v>
      </c>
    </row>
    <row r="262" spans="1:20" ht="50.5" customHeight="1">
      <c r="A262" s="11" t="s">
        <v>703</v>
      </c>
      <c r="B262" s="3" t="s">
        <v>2272</v>
      </c>
      <c r="C262" s="11" t="s">
        <v>393</v>
      </c>
      <c r="D262" s="11" t="s">
        <v>128</v>
      </c>
      <c r="E262" s="4" t="s">
        <v>395</v>
      </c>
      <c r="F262" s="3" t="s">
        <v>2272</v>
      </c>
      <c r="G262" s="3" t="s">
        <v>2272</v>
      </c>
      <c r="H262" s="21" t="s">
        <v>2272</v>
      </c>
      <c r="I262" s="21" t="s">
        <v>2272</v>
      </c>
      <c r="J262" s="21">
        <v>3.5</v>
      </c>
      <c r="K262" s="21"/>
      <c r="L262" s="21" t="s">
        <v>2272</v>
      </c>
      <c r="M262" s="21" t="s">
        <v>2272</v>
      </c>
      <c r="N262" s="21" t="s">
        <v>2272</v>
      </c>
      <c r="O262" s="21" t="s">
        <v>2272</v>
      </c>
      <c r="P262" s="21" t="s">
        <v>2272</v>
      </c>
      <c r="Q262" s="21" t="s">
        <v>2272</v>
      </c>
      <c r="R262" s="21" t="s">
        <v>2272</v>
      </c>
      <c r="S262" s="21" t="s">
        <v>2272</v>
      </c>
      <c r="T262" s="3" t="s">
        <v>710</v>
      </c>
    </row>
    <row r="263" spans="1:20" ht="44.5" customHeight="1">
      <c r="A263" s="11" t="s">
        <v>722</v>
      </c>
      <c r="B263" s="3" t="s">
        <v>2272</v>
      </c>
      <c r="C263" s="11" t="s">
        <v>393</v>
      </c>
      <c r="D263" s="11" t="s">
        <v>128</v>
      </c>
      <c r="E263" s="4" t="s">
        <v>395</v>
      </c>
      <c r="F263" s="3" t="s">
        <v>2272</v>
      </c>
      <c r="G263" s="3" t="s">
        <v>2272</v>
      </c>
      <c r="H263" s="21" t="s">
        <v>2272</v>
      </c>
      <c r="I263" s="21" t="s">
        <v>2272</v>
      </c>
      <c r="J263" s="21" t="s">
        <v>2272</v>
      </c>
      <c r="K263" s="21"/>
      <c r="L263" s="21" t="s">
        <v>2272</v>
      </c>
      <c r="M263" s="21" t="s">
        <v>2272</v>
      </c>
      <c r="N263" s="21" t="s">
        <v>2272</v>
      </c>
      <c r="O263" s="21" t="s">
        <v>2272</v>
      </c>
      <c r="P263" s="21">
        <v>9.5148247999999995</v>
      </c>
      <c r="Q263" s="21" t="s">
        <v>2272</v>
      </c>
      <c r="R263" s="21" t="s">
        <v>2272</v>
      </c>
      <c r="S263" s="21" t="s">
        <v>2272</v>
      </c>
      <c r="T263" s="3" t="s">
        <v>2039</v>
      </c>
    </row>
    <row r="264" spans="1:20" ht="34.5" customHeight="1">
      <c r="A264" s="11" t="s">
        <v>723</v>
      </c>
      <c r="B264" s="3" t="s">
        <v>2272</v>
      </c>
      <c r="C264" s="11" t="s">
        <v>393</v>
      </c>
      <c r="D264" s="11" t="s">
        <v>128</v>
      </c>
      <c r="E264" s="4" t="s">
        <v>395</v>
      </c>
      <c r="F264" s="3" t="s">
        <v>2272</v>
      </c>
      <c r="G264" s="3" t="s">
        <v>2272</v>
      </c>
      <c r="H264" s="21" t="s">
        <v>2272</v>
      </c>
      <c r="I264" s="21" t="s">
        <v>2272</v>
      </c>
      <c r="J264" s="21" t="s">
        <v>2272</v>
      </c>
      <c r="K264" s="21"/>
      <c r="L264" s="21" t="s">
        <v>2272</v>
      </c>
      <c r="M264" s="21" t="s">
        <v>2272</v>
      </c>
      <c r="N264" s="21" t="s">
        <v>2272</v>
      </c>
      <c r="O264" s="21" t="s">
        <v>2272</v>
      </c>
      <c r="P264" s="21">
        <v>15.753846149999999</v>
      </c>
      <c r="Q264" s="21" t="s">
        <v>2272</v>
      </c>
      <c r="R264" s="21" t="s">
        <v>2272</v>
      </c>
      <c r="S264" s="21" t="s">
        <v>2272</v>
      </c>
      <c r="T264" s="3" t="s">
        <v>2039</v>
      </c>
    </row>
    <row r="265" spans="1:20" ht="46" customHeight="1">
      <c r="A265" s="11" t="s">
        <v>724</v>
      </c>
      <c r="B265" s="3" t="s">
        <v>2272</v>
      </c>
      <c r="C265" s="11" t="s">
        <v>393</v>
      </c>
      <c r="D265" s="11" t="s">
        <v>128</v>
      </c>
      <c r="E265" s="4" t="s">
        <v>395</v>
      </c>
      <c r="F265" s="3" t="s">
        <v>2272</v>
      </c>
      <c r="G265" s="3" t="s">
        <v>2272</v>
      </c>
      <c r="H265" s="21" t="s">
        <v>2272</v>
      </c>
      <c r="I265" s="21" t="s">
        <v>2272</v>
      </c>
      <c r="J265" s="21" t="s">
        <v>2272</v>
      </c>
      <c r="K265" s="21"/>
      <c r="L265" s="21" t="s">
        <v>2272</v>
      </c>
      <c r="M265" s="21" t="s">
        <v>2272</v>
      </c>
      <c r="N265" s="21" t="s">
        <v>2272</v>
      </c>
      <c r="O265" s="21" t="s">
        <v>2272</v>
      </c>
      <c r="P265" s="21">
        <v>1.78484848</v>
      </c>
      <c r="Q265" s="21" t="s">
        <v>2272</v>
      </c>
      <c r="R265" s="21" t="s">
        <v>2272</v>
      </c>
      <c r="S265" s="21" t="s">
        <v>2272</v>
      </c>
      <c r="T265" s="3" t="s">
        <v>2039</v>
      </c>
    </row>
    <row r="266" spans="1:20" ht="47" customHeight="1">
      <c r="A266" s="11" t="s">
        <v>744</v>
      </c>
      <c r="B266" s="3" t="s">
        <v>2272</v>
      </c>
      <c r="C266" s="11" t="s">
        <v>393</v>
      </c>
      <c r="D266" s="11" t="s">
        <v>128</v>
      </c>
      <c r="E266" s="4" t="s">
        <v>394</v>
      </c>
      <c r="F266" s="3" t="s">
        <v>114</v>
      </c>
      <c r="G266" s="3" t="s">
        <v>2272</v>
      </c>
      <c r="H266" s="21" t="s">
        <v>2272</v>
      </c>
      <c r="I266" s="21" t="s">
        <v>2272</v>
      </c>
      <c r="J266" s="21" t="s">
        <v>2272</v>
      </c>
      <c r="K266" s="21"/>
      <c r="L266" s="21" t="s">
        <v>2272</v>
      </c>
      <c r="M266" s="21" t="s">
        <v>2272</v>
      </c>
      <c r="N266" s="21" t="s">
        <v>2272</v>
      </c>
      <c r="O266" s="21" t="s">
        <v>2272</v>
      </c>
      <c r="P266" s="21" t="s">
        <v>2272</v>
      </c>
      <c r="Q266" s="21" t="s">
        <v>2272</v>
      </c>
      <c r="R266" s="21" t="s">
        <v>2272</v>
      </c>
      <c r="S266" s="21" t="s">
        <v>2272</v>
      </c>
      <c r="T266" s="4" t="s">
        <v>749</v>
      </c>
    </row>
    <row r="267" spans="1:20" ht="37.5" customHeight="1">
      <c r="A267" s="11" t="s">
        <v>750</v>
      </c>
      <c r="B267" s="3" t="s">
        <v>2272</v>
      </c>
      <c r="C267" s="11" t="s">
        <v>393</v>
      </c>
      <c r="D267" s="11" t="s">
        <v>128</v>
      </c>
      <c r="E267" s="4" t="s">
        <v>395</v>
      </c>
      <c r="F267" s="3" t="s">
        <v>2272</v>
      </c>
      <c r="G267" s="3" t="s">
        <v>2272</v>
      </c>
      <c r="H267" s="21" t="s">
        <v>2272</v>
      </c>
      <c r="I267" s="21" t="s">
        <v>2272</v>
      </c>
      <c r="J267" s="21">
        <v>1.9</v>
      </c>
      <c r="K267" s="21"/>
      <c r="L267" s="21" t="s">
        <v>2272</v>
      </c>
      <c r="M267" s="21" t="s">
        <v>2272</v>
      </c>
      <c r="N267" s="21" t="s">
        <v>2272</v>
      </c>
      <c r="O267" s="21" t="s">
        <v>2272</v>
      </c>
      <c r="P267" s="21">
        <v>5.5</v>
      </c>
      <c r="Q267" s="21">
        <v>50.7</v>
      </c>
      <c r="R267" s="21">
        <v>40.9</v>
      </c>
      <c r="S267" s="21">
        <v>0.8</v>
      </c>
      <c r="T267" s="4" t="s">
        <v>759</v>
      </c>
    </row>
    <row r="268" spans="1:20" ht="39.5" customHeight="1">
      <c r="A268" s="11" t="s">
        <v>753</v>
      </c>
      <c r="B268" s="3" t="s">
        <v>2272</v>
      </c>
      <c r="C268" s="11" t="s">
        <v>393</v>
      </c>
      <c r="D268" s="11" t="s">
        <v>128</v>
      </c>
      <c r="E268" s="4" t="s">
        <v>395</v>
      </c>
      <c r="F268" s="3" t="s">
        <v>2272</v>
      </c>
      <c r="G268" s="3" t="s">
        <v>2272</v>
      </c>
      <c r="H268" s="21" t="s">
        <v>2272</v>
      </c>
      <c r="I268" s="21" t="s">
        <v>2272</v>
      </c>
      <c r="J268" s="21">
        <v>0.8</v>
      </c>
      <c r="K268" s="21"/>
      <c r="L268" s="21" t="s">
        <v>2272</v>
      </c>
      <c r="M268" s="21" t="s">
        <v>2272</v>
      </c>
      <c r="N268" s="21" t="s">
        <v>2272</v>
      </c>
      <c r="O268" s="21" t="s">
        <v>2272</v>
      </c>
      <c r="P268" s="21">
        <v>5.5</v>
      </c>
      <c r="Q268" s="21">
        <v>50.7</v>
      </c>
      <c r="R268" s="21">
        <v>40.9</v>
      </c>
      <c r="S268" s="21">
        <v>0.8</v>
      </c>
      <c r="T268" s="4" t="s">
        <v>759</v>
      </c>
    </row>
    <row r="269" spans="1:20" ht="41" customHeight="1">
      <c r="A269" s="11" t="s">
        <v>754</v>
      </c>
      <c r="B269" s="3" t="s">
        <v>2272</v>
      </c>
      <c r="C269" s="11" t="s">
        <v>393</v>
      </c>
      <c r="D269" s="11" t="s">
        <v>128</v>
      </c>
      <c r="E269" s="4" t="s">
        <v>395</v>
      </c>
      <c r="F269" s="3" t="s">
        <v>2272</v>
      </c>
      <c r="G269" s="3" t="s">
        <v>2272</v>
      </c>
      <c r="H269" s="21" t="s">
        <v>2272</v>
      </c>
      <c r="I269" s="21" t="s">
        <v>2272</v>
      </c>
      <c r="J269" s="21">
        <v>2.4</v>
      </c>
      <c r="K269" s="21"/>
      <c r="L269" s="21" t="s">
        <v>2272</v>
      </c>
      <c r="M269" s="21" t="s">
        <v>2272</v>
      </c>
      <c r="N269" s="21" t="s">
        <v>2272</v>
      </c>
      <c r="O269" s="21" t="s">
        <v>2272</v>
      </c>
      <c r="P269" s="21">
        <v>5.5</v>
      </c>
      <c r="Q269" s="21">
        <v>50.7</v>
      </c>
      <c r="R269" s="21">
        <v>40.9</v>
      </c>
      <c r="S269" s="21">
        <v>0.8</v>
      </c>
      <c r="T269" s="4" t="s">
        <v>759</v>
      </c>
    </row>
    <row r="270" spans="1:20" ht="46" customHeight="1">
      <c r="A270" s="11" t="s">
        <v>752</v>
      </c>
      <c r="B270" s="3" t="s">
        <v>2272</v>
      </c>
      <c r="C270" s="11" t="s">
        <v>11</v>
      </c>
      <c r="D270" s="11" t="s">
        <v>128</v>
      </c>
      <c r="E270" s="4" t="s">
        <v>395</v>
      </c>
      <c r="F270" s="3" t="s">
        <v>2272</v>
      </c>
      <c r="G270" s="3" t="s">
        <v>2272</v>
      </c>
      <c r="H270" s="21" t="s">
        <v>2272</v>
      </c>
      <c r="I270" s="21">
        <v>17</v>
      </c>
      <c r="J270" s="21">
        <v>1.4</v>
      </c>
      <c r="K270" s="21"/>
      <c r="L270" s="21" t="s">
        <v>2272</v>
      </c>
      <c r="M270" s="21" t="s">
        <v>2272</v>
      </c>
      <c r="N270" s="21" t="s">
        <v>2272</v>
      </c>
      <c r="O270" s="21" t="s">
        <v>2272</v>
      </c>
      <c r="P270" s="21" t="s">
        <v>2272</v>
      </c>
      <c r="Q270" s="21" t="s">
        <v>2272</v>
      </c>
      <c r="R270" s="21" t="s">
        <v>2272</v>
      </c>
      <c r="S270" s="21" t="s">
        <v>2272</v>
      </c>
      <c r="T270" s="4" t="s">
        <v>2043</v>
      </c>
    </row>
    <row r="271" spans="1:20" ht="49" customHeight="1">
      <c r="A271" s="11" t="s">
        <v>770</v>
      </c>
      <c r="B271" s="3" t="s">
        <v>2272</v>
      </c>
      <c r="C271" s="11" t="s">
        <v>393</v>
      </c>
      <c r="D271" s="11" t="s">
        <v>128</v>
      </c>
      <c r="E271" s="4" t="s">
        <v>395</v>
      </c>
      <c r="F271" s="3" t="s">
        <v>2272</v>
      </c>
      <c r="G271" s="3" t="s">
        <v>2272</v>
      </c>
      <c r="H271" s="21" t="s">
        <v>2272</v>
      </c>
      <c r="I271" s="21">
        <v>0.79600000000000004</v>
      </c>
      <c r="J271" s="21">
        <v>1.8498209999999999</v>
      </c>
      <c r="K271" s="21"/>
      <c r="L271" s="21" t="s">
        <v>2272</v>
      </c>
      <c r="M271" s="21" t="s">
        <v>2272</v>
      </c>
      <c r="N271" s="21" t="s">
        <v>2272</v>
      </c>
      <c r="O271" s="21" t="s">
        <v>2272</v>
      </c>
      <c r="P271" s="21" t="s">
        <v>2272</v>
      </c>
      <c r="Q271" s="21" t="s">
        <v>2272</v>
      </c>
      <c r="R271" s="21" t="s">
        <v>2272</v>
      </c>
      <c r="S271" s="21" t="s">
        <v>2272</v>
      </c>
      <c r="T271" s="3" t="s">
        <v>2044</v>
      </c>
    </row>
    <row r="272" spans="1:20" ht="44" customHeight="1">
      <c r="A272" s="11" t="s">
        <v>771</v>
      </c>
      <c r="B272" s="3" t="s">
        <v>2272</v>
      </c>
      <c r="C272" s="11" t="s">
        <v>393</v>
      </c>
      <c r="D272" s="11" t="s">
        <v>128</v>
      </c>
      <c r="E272" s="4" t="s">
        <v>395</v>
      </c>
      <c r="F272" s="3" t="s">
        <v>2272</v>
      </c>
      <c r="G272" s="3" t="s">
        <v>2272</v>
      </c>
      <c r="H272" s="21" t="s">
        <v>2272</v>
      </c>
      <c r="I272" s="21">
        <v>0.80459999999999998</v>
      </c>
      <c r="J272" s="21">
        <v>1.8710199999999999</v>
      </c>
      <c r="K272" s="21"/>
      <c r="L272" s="21" t="s">
        <v>2272</v>
      </c>
      <c r="M272" s="21" t="s">
        <v>2272</v>
      </c>
      <c r="N272" s="21" t="s">
        <v>2272</v>
      </c>
      <c r="O272" s="21" t="s">
        <v>2272</v>
      </c>
      <c r="P272" s="21" t="s">
        <v>2272</v>
      </c>
      <c r="Q272" s="21" t="s">
        <v>2272</v>
      </c>
      <c r="R272" s="21" t="s">
        <v>2272</v>
      </c>
      <c r="S272" s="21" t="s">
        <v>2272</v>
      </c>
      <c r="T272" s="3" t="s">
        <v>2044</v>
      </c>
    </row>
    <row r="273" spans="1:20" ht="40" customHeight="1">
      <c r="A273" s="11" t="s">
        <v>781</v>
      </c>
      <c r="B273" s="3" t="s">
        <v>2272</v>
      </c>
      <c r="C273" s="11" t="s">
        <v>393</v>
      </c>
      <c r="D273" s="11" t="s">
        <v>128</v>
      </c>
      <c r="E273" s="4" t="s">
        <v>394</v>
      </c>
      <c r="F273" s="3" t="s">
        <v>2272</v>
      </c>
      <c r="G273" s="3" t="s">
        <v>2272</v>
      </c>
      <c r="H273" s="21" t="s">
        <v>2272</v>
      </c>
      <c r="I273" s="21">
        <v>1.49</v>
      </c>
      <c r="J273" s="21">
        <v>0.35</v>
      </c>
      <c r="K273" s="21"/>
      <c r="L273" s="21" t="s">
        <v>2272</v>
      </c>
      <c r="M273" s="21" t="s">
        <v>2272</v>
      </c>
      <c r="N273" s="21" t="s">
        <v>2272</v>
      </c>
      <c r="O273" s="21" t="s">
        <v>2272</v>
      </c>
      <c r="P273" s="21" t="s">
        <v>2272</v>
      </c>
      <c r="Q273" s="21" t="s">
        <v>2272</v>
      </c>
      <c r="R273" s="21" t="s">
        <v>2272</v>
      </c>
      <c r="S273" s="21" t="s">
        <v>2272</v>
      </c>
      <c r="T273" s="3" t="s">
        <v>2016</v>
      </c>
    </row>
    <row r="274" spans="1:20" ht="40" customHeight="1">
      <c r="A274" s="11" t="s">
        <v>786</v>
      </c>
      <c r="B274" s="3" t="s">
        <v>2272</v>
      </c>
      <c r="C274" s="11" t="s">
        <v>11</v>
      </c>
      <c r="D274" s="4" t="s">
        <v>395</v>
      </c>
      <c r="E274" s="11" t="s">
        <v>128</v>
      </c>
      <c r="F274" s="4" t="s">
        <v>394</v>
      </c>
      <c r="G274" s="3" t="s">
        <v>2272</v>
      </c>
      <c r="H274" s="21" t="s">
        <v>2272</v>
      </c>
      <c r="I274" s="21">
        <v>1.6339999999999999</v>
      </c>
      <c r="J274" s="21">
        <v>1.9189830000000001</v>
      </c>
      <c r="K274" s="21"/>
      <c r="L274" s="21" t="s">
        <v>2272</v>
      </c>
      <c r="M274" s="21" t="s">
        <v>2272</v>
      </c>
      <c r="N274" s="21" t="s">
        <v>2272</v>
      </c>
      <c r="O274" s="21" t="s">
        <v>2272</v>
      </c>
      <c r="P274" s="21" t="s">
        <v>2272</v>
      </c>
      <c r="Q274" s="21" t="s">
        <v>2272</v>
      </c>
      <c r="R274" s="21" t="s">
        <v>2272</v>
      </c>
      <c r="S274" s="21" t="s">
        <v>2272</v>
      </c>
      <c r="T274" s="4" t="s">
        <v>2046</v>
      </c>
    </row>
    <row r="275" spans="1:20" ht="44.5" customHeight="1">
      <c r="A275" s="11" t="s">
        <v>794</v>
      </c>
      <c r="B275" s="3" t="s">
        <v>2272</v>
      </c>
      <c r="C275" s="11" t="s">
        <v>11</v>
      </c>
      <c r="D275" s="11" t="s">
        <v>128</v>
      </c>
      <c r="E275" s="4" t="s">
        <v>395</v>
      </c>
      <c r="F275" s="3" t="s">
        <v>2272</v>
      </c>
      <c r="G275" s="3" t="s">
        <v>2272</v>
      </c>
      <c r="H275" s="21" t="s">
        <v>2272</v>
      </c>
      <c r="I275" s="21">
        <v>9</v>
      </c>
      <c r="J275" s="21" t="s">
        <v>2272</v>
      </c>
      <c r="K275" s="21"/>
      <c r="L275" s="21" t="s">
        <v>2272</v>
      </c>
      <c r="M275" s="21" t="s">
        <v>2272</v>
      </c>
      <c r="N275" s="21" t="s">
        <v>2272</v>
      </c>
      <c r="O275" s="21" t="s">
        <v>2272</v>
      </c>
      <c r="P275" s="21" t="s">
        <v>2272</v>
      </c>
      <c r="Q275" s="21" t="s">
        <v>2272</v>
      </c>
      <c r="R275" s="21" t="s">
        <v>2272</v>
      </c>
      <c r="S275" s="21" t="s">
        <v>2272</v>
      </c>
      <c r="T275" s="4" t="s">
        <v>2053</v>
      </c>
    </row>
    <row r="276" spans="1:20" ht="52.5" customHeight="1">
      <c r="A276" s="11" t="s">
        <v>795</v>
      </c>
      <c r="B276" s="3" t="s">
        <v>2272</v>
      </c>
      <c r="C276" s="11" t="s">
        <v>11</v>
      </c>
      <c r="D276" s="4" t="s">
        <v>394</v>
      </c>
      <c r="E276" s="3" t="s">
        <v>2272</v>
      </c>
      <c r="F276" s="3" t="s">
        <v>2272</v>
      </c>
      <c r="G276" s="3" t="s">
        <v>2272</v>
      </c>
      <c r="H276" s="21" t="s">
        <v>2272</v>
      </c>
      <c r="I276" s="21">
        <v>9</v>
      </c>
      <c r="J276" s="21" t="s">
        <v>2272</v>
      </c>
      <c r="K276" s="21"/>
      <c r="L276" s="21" t="s">
        <v>2272</v>
      </c>
      <c r="M276" s="21" t="s">
        <v>2272</v>
      </c>
      <c r="N276" s="21" t="s">
        <v>2272</v>
      </c>
      <c r="O276" s="21" t="s">
        <v>2272</v>
      </c>
      <c r="P276" s="21" t="s">
        <v>2272</v>
      </c>
      <c r="Q276" s="21" t="s">
        <v>2272</v>
      </c>
      <c r="R276" s="21" t="s">
        <v>2272</v>
      </c>
      <c r="S276" s="21" t="s">
        <v>2272</v>
      </c>
      <c r="T276" s="4" t="s">
        <v>2054</v>
      </c>
    </row>
    <row r="277" spans="1:20" ht="48.5" customHeight="1">
      <c r="A277" s="11" t="s">
        <v>796</v>
      </c>
      <c r="B277" s="3" t="s">
        <v>2272</v>
      </c>
      <c r="C277" s="11" t="s">
        <v>11</v>
      </c>
      <c r="D277" s="4" t="s">
        <v>394</v>
      </c>
      <c r="E277" s="3" t="s">
        <v>2272</v>
      </c>
      <c r="F277" s="3" t="s">
        <v>2272</v>
      </c>
      <c r="G277" s="3" t="s">
        <v>2272</v>
      </c>
      <c r="H277" s="21" t="s">
        <v>2272</v>
      </c>
      <c r="I277" s="21">
        <v>9</v>
      </c>
      <c r="J277" s="21" t="s">
        <v>2272</v>
      </c>
      <c r="K277" s="21"/>
      <c r="L277" s="21" t="s">
        <v>2272</v>
      </c>
      <c r="M277" s="21" t="s">
        <v>2272</v>
      </c>
      <c r="N277" s="21" t="s">
        <v>2272</v>
      </c>
      <c r="O277" s="21" t="s">
        <v>2272</v>
      </c>
      <c r="P277" s="21" t="s">
        <v>2272</v>
      </c>
      <c r="Q277" s="21" t="s">
        <v>2272</v>
      </c>
      <c r="R277" s="21" t="s">
        <v>2272</v>
      </c>
      <c r="S277" s="21" t="s">
        <v>2272</v>
      </c>
      <c r="T277" s="4" t="s">
        <v>2054</v>
      </c>
    </row>
    <row r="278" spans="1:20" ht="51.5" customHeight="1">
      <c r="A278" s="11" t="s">
        <v>797</v>
      </c>
      <c r="B278" s="3" t="s">
        <v>2272</v>
      </c>
      <c r="C278" s="11" t="s">
        <v>393</v>
      </c>
      <c r="D278" s="11" t="s">
        <v>128</v>
      </c>
      <c r="E278" s="4" t="s">
        <v>395</v>
      </c>
      <c r="F278" s="3" t="s">
        <v>2272</v>
      </c>
      <c r="G278" s="3" t="s">
        <v>2272</v>
      </c>
      <c r="H278" s="21" t="s">
        <v>2272</v>
      </c>
      <c r="I278" s="21">
        <v>3</v>
      </c>
      <c r="J278" s="21" t="s">
        <v>2272</v>
      </c>
      <c r="K278" s="21"/>
      <c r="L278" s="21" t="s">
        <v>2272</v>
      </c>
      <c r="M278" s="21" t="s">
        <v>2272</v>
      </c>
      <c r="N278" s="21" t="s">
        <v>2272</v>
      </c>
      <c r="O278" s="21" t="s">
        <v>2272</v>
      </c>
      <c r="P278" s="21" t="s">
        <v>2272</v>
      </c>
      <c r="Q278" s="21" t="s">
        <v>2272</v>
      </c>
      <c r="R278" s="21" t="s">
        <v>2272</v>
      </c>
      <c r="S278" s="21" t="s">
        <v>2272</v>
      </c>
      <c r="T278" s="4" t="s">
        <v>2053</v>
      </c>
    </row>
    <row r="279" spans="1:20" ht="56.5" customHeight="1">
      <c r="A279" s="11" t="s">
        <v>798</v>
      </c>
      <c r="B279" s="3" t="s">
        <v>2272</v>
      </c>
      <c r="C279" s="11" t="s">
        <v>393</v>
      </c>
      <c r="D279" s="11" t="s">
        <v>128</v>
      </c>
      <c r="E279" s="4" t="s">
        <v>395</v>
      </c>
      <c r="F279" s="3" t="s">
        <v>2272</v>
      </c>
      <c r="G279" s="3" t="s">
        <v>2272</v>
      </c>
      <c r="H279" s="21" t="s">
        <v>2272</v>
      </c>
      <c r="I279" s="21">
        <v>3</v>
      </c>
      <c r="J279" s="21" t="s">
        <v>2272</v>
      </c>
      <c r="K279" s="21"/>
      <c r="L279" s="21" t="s">
        <v>2272</v>
      </c>
      <c r="M279" s="21" t="s">
        <v>2272</v>
      </c>
      <c r="N279" s="21" t="s">
        <v>2272</v>
      </c>
      <c r="O279" s="21" t="s">
        <v>2272</v>
      </c>
      <c r="P279" s="21" t="s">
        <v>2272</v>
      </c>
      <c r="Q279" s="21" t="s">
        <v>2272</v>
      </c>
      <c r="R279" s="21" t="s">
        <v>2272</v>
      </c>
      <c r="S279" s="21" t="s">
        <v>2272</v>
      </c>
      <c r="T279" s="4" t="s">
        <v>2053</v>
      </c>
    </row>
    <row r="280" spans="1:20" ht="60" customHeight="1">
      <c r="A280" s="11" t="s">
        <v>799</v>
      </c>
      <c r="B280" s="3" t="s">
        <v>2272</v>
      </c>
      <c r="C280" s="11" t="s">
        <v>393</v>
      </c>
      <c r="D280" s="11" t="s">
        <v>128</v>
      </c>
      <c r="E280" s="4" t="s">
        <v>395</v>
      </c>
      <c r="F280" s="3" t="s">
        <v>2272</v>
      </c>
      <c r="G280" s="3" t="s">
        <v>2272</v>
      </c>
      <c r="H280" s="21" t="s">
        <v>2272</v>
      </c>
      <c r="I280" s="21">
        <v>6</v>
      </c>
      <c r="J280" s="21" t="s">
        <v>2272</v>
      </c>
      <c r="K280" s="21"/>
      <c r="L280" s="21" t="s">
        <v>2272</v>
      </c>
      <c r="M280" s="21" t="s">
        <v>2272</v>
      </c>
      <c r="N280" s="21" t="s">
        <v>2272</v>
      </c>
      <c r="O280" s="21" t="s">
        <v>2272</v>
      </c>
      <c r="P280" s="21" t="s">
        <v>2272</v>
      </c>
      <c r="Q280" s="21" t="s">
        <v>2272</v>
      </c>
      <c r="R280" s="21" t="s">
        <v>2272</v>
      </c>
      <c r="S280" s="21" t="s">
        <v>2272</v>
      </c>
      <c r="T280" s="4" t="s">
        <v>2053</v>
      </c>
    </row>
    <row r="281" spans="1:20" ht="47" customHeight="1">
      <c r="A281" s="11" t="s">
        <v>814</v>
      </c>
      <c r="B281" s="3" t="s">
        <v>2272</v>
      </c>
      <c r="C281" s="11" t="s">
        <v>393</v>
      </c>
      <c r="D281" s="11" t="s">
        <v>128</v>
      </c>
      <c r="E281" s="3" t="s">
        <v>2272</v>
      </c>
      <c r="F281" s="3" t="s">
        <v>2272</v>
      </c>
      <c r="G281" s="3" t="s">
        <v>2272</v>
      </c>
      <c r="H281" s="21" t="s">
        <v>2272</v>
      </c>
      <c r="I281" s="21" t="s">
        <v>2272</v>
      </c>
      <c r="J281" s="21" t="s">
        <v>2272</v>
      </c>
      <c r="K281" s="21"/>
      <c r="L281" s="21" t="s">
        <v>2272</v>
      </c>
      <c r="M281" s="21" t="s">
        <v>2272</v>
      </c>
      <c r="N281" s="21" t="s">
        <v>2272</v>
      </c>
      <c r="O281" s="21" t="s">
        <v>2272</v>
      </c>
      <c r="P281" s="21" t="s">
        <v>2272</v>
      </c>
      <c r="Q281" s="21" t="s">
        <v>2272</v>
      </c>
      <c r="R281" s="21" t="s">
        <v>2272</v>
      </c>
      <c r="S281" s="21" t="s">
        <v>2272</v>
      </c>
      <c r="T281" s="3"/>
    </row>
    <row r="282" spans="1:20" ht="44.5" customHeight="1">
      <c r="A282" s="11" t="s">
        <v>821</v>
      </c>
      <c r="B282" s="3" t="s">
        <v>2272</v>
      </c>
      <c r="C282" s="11" t="s">
        <v>11</v>
      </c>
      <c r="D282" s="4" t="s">
        <v>135</v>
      </c>
      <c r="E282" s="4" t="s">
        <v>44</v>
      </c>
      <c r="F282" s="4" t="s">
        <v>395</v>
      </c>
      <c r="G282" s="3" t="s">
        <v>114</v>
      </c>
      <c r="H282" s="21" t="s">
        <v>2272</v>
      </c>
      <c r="I282" s="21" t="s">
        <v>2272</v>
      </c>
      <c r="J282" s="21" t="s">
        <v>2272</v>
      </c>
      <c r="K282" s="21"/>
      <c r="L282" s="21" t="s">
        <v>2272</v>
      </c>
      <c r="M282" s="21" t="s">
        <v>2272</v>
      </c>
      <c r="N282" s="21" t="s">
        <v>2272</v>
      </c>
      <c r="O282" s="21">
        <v>3.247239</v>
      </c>
      <c r="P282" s="21">
        <v>2.51051154</v>
      </c>
      <c r="Q282" s="21">
        <v>16.2472265</v>
      </c>
      <c r="R282" s="21">
        <v>78</v>
      </c>
      <c r="S282" s="21" t="s">
        <v>2272</v>
      </c>
      <c r="T282" s="4" t="s">
        <v>2058</v>
      </c>
    </row>
    <row r="283" spans="1:20" ht="40" customHeight="1">
      <c r="A283" s="42" t="s">
        <v>825</v>
      </c>
      <c r="B283" s="3" t="s">
        <v>31</v>
      </c>
      <c r="C283" s="43" t="s">
        <v>11</v>
      </c>
      <c r="D283" s="11" t="s">
        <v>128</v>
      </c>
      <c r="E283" s="4" t="s">
        <v>395</v>
      </c>
      <c r="F283" s="3" t="s">
        <v>2272</v>
      </c>
      <c r="G283" s="3" t="s">
        <v>2272</v>
      </c>
      <c r="H283" s="21" t="s">
        <v>2272</v>
      </c>
      <c r="I283" s="21">
        <v>3.34</v>
      </c>
      <c r="J283" s="21">
        <v>0.50775000000000003</v>
      </c>
      <c r="K283" s="21"/>
      <c r="L283" s="21" t="s">
        <v>2272</v>
      </c>
      <c r="M283" s="21" t="s">
        <v>2272</v>
      </c>
      <c r="N283" s="21" t="s">
        <v>2272</v>
      </c>
      <c r="O283" s="21" t="s">
        <v>2272</v>
      </c>
      <c r="P283" s="21" t="s">
        <v>2272</v>
      </c>
      <c r="Q283" s="21" t="s">
        <v>2272</v>
      </c>
      <c r="R283" s="21" t="s">
        <v>2272</v>
      </c>
      <c r="S283" s="21" t="s">
        <v>2272</v>
      </c>
      <c r="T283" s="3" t="s">
        <v>2060</v>
      </c>
    </row>
    <row r="284" spans="1:20" ht="40" customHeight="1">
      <c r="A284" s="11" t="s">
        <v>833</v>
      </c>
      <c r="B284" s="11" t="s">
        <v>31</v>
      </c>
      <c r="C284" s="11" t="s">
        <v>393</v>
      </c>
      <c r="D284" s="11" t="s">
        <v>128</v>
      </c>
      <c r="E284" s="4" t="s">
        <v>2272</v>
      </c>
      <c r="F284" s="3" t="s">
        <v>2272</v>
      </c>
      <c r="G284" s="3" t="s">
        <v>2272</v>
      </c>
      <c r="H284" s="21" t="s">
        <v>2272</v>
      </c>
      <c r="I284" s="21" t="s">
        <v>2272</v>
      </c>
      <c r="J284" s="21" t="s">
        <v>2272</v>
      </c>
      <c r="K284" s="21"/>
      <c r="L284" s="21" t="s">
        <v>2272</v>
      </c>
      <c r="M284" s="21" t="s">
        <v>2272</v>
      </c>
      <c r="N284" s="21" t="s">
        <v>2272</v>
      </c>
      <c r="O284" s="21" t="s">
        <v>2272</v>
      </c>
      <c r="P284" s="21" t="s">
        <v>2272</v>
      </c>
      <c r="Q284" s="21" t="s">
        <v>2272</v>
      </c>
      <c r="R284" s="21" t="s">
        <v>2272</v>
      </c>
      <c r="S284" s="21" t="s">
        <v>2272</v>
      </c>
      <c r="T284" s="3"/>
    </row>
    <row r="285" spans="1:20" ht="48.5" customHeight="1">
      <c r="A285" s="11" t="s">
        <v>837</v>
      </c>
      <c r="B285" s="3" t="s">
        <v>2272</v>
      </c>
      <c r="C285" s="11" t="s">
        <v>11</v>
      </c>
      <c r="D285" s="4" t="s">
        <v>395</v>
      </c>
      <c r="E285" s="11" t="s">
        <v>2272</v>
      </c>
      <c r="F285" s="3" t="s">
        <v>2272</v>
      </c>
      <c r="G285" s="3" t="s">
        <v>2272</v>
      </c>
      <c r="H285" s="21" t="s">
        <v>2272</v>
      </c>
      <c r="I285" s="21" t="s">
        <v>2272</v>
      </c>
      <c r="J285" s="21" t="s">
        <v>2272</v>
      </c>
      <c r="K285" s="21"/>
      <c r="L285" s="21" t="s">
        <v>2272</v>
      </c>
      <c r="M285" s="21" t="s">
        <v>2272</v>
      </c>
      <c r="N285" s="21" t="s">
        <v>2272</v>
      </c>
      <c r="O285" s="21" t="s">
        <v>2272</v>
      </c>
      <c r="P285" s="21">
        <v>83</v>
      </c>
      <c r="Q285" s="21">
        <v>3</v>
      </c>
      <c r="R285" s="21" t="s">
        <v>2272</v>
      </c>
      <c r="S285" s="21" t="s">
        <v>2272</v>
      </c>
      <c r="T285" s="18" t="s">
        <v>2064</v>
      </c>
    </row>
    <row r="286" spans="1:20" ht="46.5" customHeight="1">
      <c r="A286" s="11" t="s">
        <v>840</v>
      </c>
      <c r="B286" s="3" t="s">
        <v>2272</v>
      </c>
      <c r="C286" s="11" t="s">
        <v>393</v>
      </c>
      <c r="D286" s="11" t="s">
        <v>128</v>
      </c>
      <c r="E286" s="11" t="s">
        <v>2272</v>
      </c>
      <c r="F286" s="3" t="s">
        <v>2272</v>
      </c>
      <c r="G286" s="3" t="s">
        <v>2272</v>
      </c>
      <c r="H286" s="21" t="s">
        <v>2272</v>
      </c>
      <c r="I286" s="21" t="s">
        <v>2272</v>
      </c>
      <c r="J286" s="21" t="s">
        <v>2272</v>
      </c>
      <c r="K286" s="21"/>
      <c r="L286" s="21" t="s">
        <v>2272</v>
      </c>
      <c r="M286" s="21" t="s">
        <v>2272</v>
      </c>
      <c r="N286" s="21" t="s">
        <v>2272</v>
      </c>
      <c r="O286" s="21" t="s">
        <v>2272</v>
      </c>
      <c r="P286" s="21">
        <v>19</v>
      </c>
      <c r="Q286" s="21">
        <v>79</v>
      </c>
      <c r="R286" s="21" t="s">
        <v>2272</v>
      </c>
      <c r="S286" s="21" t="s">
        <v>2272</v>
      </c>
      <c r="T286" s="18" t="s">
        <v>2064</v>
      </c>
    </row>
    <row r="287" spans="1:20" ht="43" customHeight="1">
      <c r="A287" s="11" t="s">
        <v>841</v>
      </c>
      <c r="B287" s="3" t="s">
        <v>2272</v>
      </c>
      <c r="C287" s="11" t="s">
        <v>11</v>
      </c>
      <c r="D287" s="4" t="s">
        <v>395</v>
      </c>
      <c r="E287" s="11" t="s">
        <v>114</v>
      </c>
      <c r="F287" s="3" t="s">
        <v>2272</v>
      </c>
      <c r="G287" s="3" t="s">
        <v>2272</v>
      </c>
      <c r="H287" s="21" t="s">
        <v>2272</v>
      </c>
      <c r="I287" s="21" t="s">
        <v>2272</v>
      </c>
      <c r="J287" s="21" t="s">
        <v>2272</v>
      </c>
      <c r="K287" s="21"/>
      <c r="L287" s="21" t="s">
        <v>2272</v>
      </c>
      <c r="M287" s="21" t="s">
        <v>2272</v>
      </c>
      <c r="N287" s="21" t="s">
        <v>2272</v>
      </c>
      <c r="O287" s="21" t="s">
        <v>2272</v>
      </c>
      <c r="P287" s="21">
        <v>49</v>
      </c>
      <c r="Q287" s="21">
        <v>48</v>
      </c>
      <c r="R287" s="21" t="s">
        <v>2272</v>
      </c>
      <c r="S287" s="21" t="s">
        <v>2272</v>
      </c>
      <c r="T287" s="4" t="s">
        <v>5005</v>
      </c>
    </row>
    <row r="288" spans="1:20" ht="43.5" customHeight="1">
      <c r="A288" s="11" t="s">
        <v>842</v>
      </c>
      <c r="B288" s="3" t="s">
        <v>2272</v>
      </c>
      <c r="C288" s="11" t="s">
        <v>393</v>
      </c>
      <c r="D288" s="11" t="s">
        <v>128</v>
      </c>
      <c r="E288" s="11" t="s">
        <v>114</v>
      </c>
      <c r="F288" s="3" t="s">
        <v>2272</v>
      </c>
      <c r="G288" s="3" t="s">
        <v>2272</v>
      </c>
      <c r="H288" s="21" t="s">
        <v>2272</v>
      </c>
      <c r="I288" s="21" t="s">
        <v>2272</v>
      </c>
      <c r="J288" s="21" t="s">
        <v>2272</v>
      </c>
      <c r="K288" s="21"/>
      <c r="L288" s="21" t="s">
        <v>2272</v>
      </c>
      <c r="M288" s="21" t="s">
        <v>2272</v>
      </c>
      <c r="N288" s="21" t="s">
        <v>2272</v>
      </c>
      <c r="O288" s="21" t="s">
        <v>2272</v>
      </c>
      <c r="P288" s="21">
        <v>29</v>
      </c>
      <c r="Q288" s="21">
        <v>68</v>
      </c>
      <c r="R288" s="21" t="s">
        <v>2272</v>
      </c>
      <c r="S288" s="21" t="s">
        <v>2272</v>
      </c>
      <c r="T288" s="4" t="s">
        <v>5005</v>
      </c>
    </row>
    <row r="289" spans="1:20" ht="40" customHeight="1">
      <c r="A289" s="3" t="s">
        <v>843</v>
      </c>
      <c r="B289" s="3" t="s">
        <v>2272</v>
      </c>
      <c r="C289" s="11" t="s">
        <v>11</v>
      </c>
      <c r="D289" s="4" t="s">
        <v>395</v>
      </c>
      <c r="E289" s="3" t="s">
        <v>44</v>
      </c>
      <c r="F289" s="11" t="s">
        <v>114</v>
      </c>
      <c r="G289" s="3" t="s">
        <v>2272</v>
      </c>
      <c r="H289" s="21" t="s">
        <v>2272</v>
      </c>
      <c r="I289" s="21" t="s">
        <v>2272</v>
      </c>
      <c r="J289" s="21" t="s">
        <v>2272</v>
      </c>
      <c r="K289" s="21"/>
      <c r="L289" s="21" t="s">
        <v>2272</v>
      </c>
      <c r="M289" s="21" t="s">
        <v>2272</v>
      </c>
      <c r="N289" s="21" t="s">
        <v>2272</v>
      </c>
      <c r="O289" s="21" t="s">
        <v>2272</v>
      </c>
      <c r="P289" s="21">
        <v>58</v>
      </c>
      <c r="Q289" s="21">
        <v>25</v>
      </c>
      <c r="R289" s="21" t="s">
        <v>2272</v>
      </c>
      <c r="S289" s="21" t="s">
        <v>2272</v>
      </c>
      <c r="T289" s="4" t="s">
        <v>5005</v>
      </c>
    </row>
    <row r="290" spans="1:20" ht="41" customHeight="1">
      <c r="A290" s="11" t="s">
        <v>844</v>
      </c>
      <c r="B290" s="3" t="s">
        <v>2272</v>
      </c>
      <c r="C290" s="11" t="s">
        <v>11</v>
      </c>
      <c r="D290" s="11" t="s">
        <v>128</v>
      </c>
      <c r="E290" s="4" t="s">
        <v>395</v>
      </c>
      <c r="F290" s="11" t="s">
        <v>114</v>
      </c>
      <c r="G290" s="3" t="s">
        <v>2272</v>
      </c>
      <c r="H290" s="21" t="s">
        <v>2272</v>
      </c>
      <c r="I290" s="21" t="s">
        <v>2272</v>
      </c>
      <c r="J290" s="21" t="s">
        <v>2272</v>
      </c>
      <c r="K290" s="21"/>
      <c r="L290" s="21" t="s">
        <v>2272</v>
      </c>
      <c r="M290" s="21" t="s">
        <v>2272</v>
      </c>
      <c r="N290" s="21" t="s">
        <v>2272</v>
      </c>
      <c r="O290" s="21" t="s">
        <v>2272</v>
      </c>
      <c r="P290" s="21">
        <v>37</v>
      </c>
      <c r="Q290" s="21">
        <v>56</v>
      </c>
      <c r="R290" s="21" t="s">
        <v>2272</v>
      </c>
      <c r="S290" s="21" t="s">
        <v>2272</v>
      </c>
      <c r="T290" s="4" t="s">
        <v>5005</v>
      </c>
    </row>
    <row r="291" spans="1:20" ht="87.5" customHeight="1">
      <c r="A291" s="11" t="s">
        <v>859</v>
      </c>
      <c r="B291" s="3" t="s">
        <v>2272</v>
      </c>
      <c r="C291" s="11" t="s">
        <v>11</v>
      </c>
      <c r="D291" s="11" t="s">
        <v>128</v>
      </c>
      <c r="E291" s="4" t="s">
        <v>394</v>
      </c>
      <c r="F291" s="3" t="s">
        <v>860</v>
      </c>
      <c r="G291" s="3" t="s">
        <v>135</v>
      </c>
      <c r="H291" s="21" t="s">
        <v>2272</v>
      </c>
      <c r="I291" s="21">
        <v>1.3</v>
      </c>
      <c r="J291" s="21" t="s">
        <v>2272</v>
      </c>
      <c r="K291" s="21" t="s">
        <v>532</v>
      </c>
      <c r="L291" s="21" t="s">
        <v>2272</v>
      </c>
      <c r="M291" s="21">
        <v>17.69230769</v>
      </c>
      <c r="N291" s="21" t="s">
        <v>2272</v>
      </c>
      <c r="O291" s="21" t="s">
        <v>2272</v>
      </c>
      <c r="P291" s="21">
        <v>13.66730832</v>
      </c>
      <c r="Q291" s="21" t="s">
        <v>2272</v>
      </c>
      <c r="R291" s="21">
        <v>46.67</v>
      </c>
      <c r="S291" s="21" t="s">
        <v>2272</v>
      </c>
      <c r="T291" s="4" t="s">
        <v>2066</v>
      </c>
    </row>
    <row r="292" spans="1:20" ht="36" customHeight="1">
      <c r="A292" s="11" t="s">
        <v>866</v>
      </c>
      <c r="B292" s="3" t="s">
        <v>2272</v>
      </c>
      <c r="C292" s="11" t="s">
        <v>11</v>
      </c>
      <c r="D292" s="11" t="s">
        <v>128</v>
      </c>
      <c r="E292" s="3" t="s">
        <v>135</v>
      </c>
      <c r="F292" s="3" t="s">
        <v>2272</v>
      </c>
      <c r="G292" s="3" t="s">
        <v>2272</v>
      </c>
      <c r="H292" s="21" t="s">
        <v>2272</v>
      </c>
      <c r="I292" s="21" t="s">
        <v>2272</v>
      </c>
      <c r="J292" s="21" t="s">
        <v>2272</v>
      </c>
      <c r="K292" s="21"/>
      <c r="L292" s="21" t="s">
        <v>2272</v>
      </c>
      <c r="M292" s="21" t="s">
        <v>2272</v>
      </c>
      <c r="N292" s="21" t="s">
        <v>2272</v>
      </c>
      <c r="O292" s="21" t="s">
        <v>2272</v>
      </c>
      <c r="P292" s="21" t="s">
        <v>2272</v>
      </c>
      <c r="Q292" s="21" t="s">
        <v>2272</v>
      </c>
      <c r="R292" s="21" t="s">
        <v>2272</v>
      </c>
      <c r="S292" s="21" t="s">
        <v>2272</v>
      </c>
      <c r="T292" s="4" t="s">
        <v>2119</v>
      </c>
    </row>
    <row r="293" spans="1:20" ht="36" customHeight="1">
      <c r="A293" s="34" t="s">
        <v>2068</v>
      </c>
      <c r="B293" s="3" t="s">
        <v>2272</v>
      </c>
      <c r="C293" s="11" t="s">
        <v>11</v>
      </c>
      <c r="D293" s="11" t="s">
        <v>128</v>
      </c>
      <c r="E293" s="3" t="s">
        <v>135</v>
      </c>
      <c r="F293" s="3" t="s">
        <v>2272</v>
      </c>
      <c r="G293" s="3" t="s">
        <v>2272</v>
      </c>
      <c r="H293" s="21" t="s">
        <v>2272</v>
      </c>
      <c r="I293" s="21" t="s">
        <v>2272</v>
      </c>
      <c r="J293" s="21" t="s">
        <v>2272</v>
      </c>
      <c r="K293" s="21"/>
      <c r="L293" s="21" t="s">
        <v>2272</v>
      </c>
      <c r="M293" s="21" t="s">
        <v>2272</v>
      </c>
      <c r="N293" s="21" t="s">
        <v>2272</v>
      </c>
      <c r="O293" s="21" t="s">
        <v>2272</v>
      </c>
      <c r="P293" s="21" t="s">
        <v>2272</v>
      </c>
      <c r="Q293" s="21" t="s">
        <v>2272</v>
      </c>
      <c r="R293" s="21" t="s">
        <v>2272</v>
      </c>
      <c r="S293" s="21" t="s">
        <v>2272</v>
      </c>
      <c r="T293" s="4" t="s">
        <v>2119</v>
      </c>
    </row>
    <row r="294" spans="1:20" ht="36" customHeight="1">
      <c r="A294" s="34" t="s">
        <v>2069</v>
      </c>
      <c r="B294" s="3" t="s">
        <v>2272</v>
      </c>
      <c r="C294" s="11" t="s">
        <v>11</v>
      </c>
      <c r="D294" s="11" t="s">
        <v>128</v>
      </c>
      <c r="E294" s="3" t="s">
        <v>135</v>
      </c>
      <c r="F294" s="3" t="s">
        <v>2272</v>
      </c>
      <c r="G294" s="3" t="s">
        <v>2272</v>
      </c>
      <c r="H294" s="21" t="s">
        <v>2272</v>
      </c>
      <c r="I294" s="21" t="s">
        <v>2272</v>
      </c>
      <c r="J294" s="21" t="s">
        <v>2272</v>
      </c>
      <c r="K294" s="21"/>
      <c r="L294" s="21" t="s">
        <v>2272</v>
      </c>
      <c r="M294" s="21" t="s">
        <v>2272</v>
      </c>
      <c r="N294" s="21" t="s">
        <v>2272</v>
      </c>
      <c r="O294" s="21" t="s">
        <v>2272</v>
      </c>
      <c r="P294" s="21" t="s">
        <v>2272</v>
      </c>
      <c r="Q294" s="21" t="s">
        <v>2272</v>
      </c>
      <c r="R294" s="21" t="s">
        <v>2272</v>
      </c>
      <c r="S294" s="21" t="s">
        <v>2272</v>
      </c>
      <c r="T294" s="4" t="s">
        <v>2119</v>
      </c>
    </row>
    <row r="295" spans="1:20" ht="36" customHeight="1">
      <c r="A295" s="34" t="s">
        <v>2070</v>
      </c>
      <c r="B295" s="3" t="s">
        <v>2272</v>
      </c>
      <c r="C295" s="11" t="s">
        <v>11</v>
      </c>
      <c r="D295" s="11" t="s">
        <v>128</v>
      </c>
      <c r="E295" s="3" t="s">
        <v>135</v>
      </c>
      <c r="F295" s="3" t="s">
        <v>2272</v>
      </c>
      <c r="G295" s="3" t="s">
        <v>2272</v>
      </c>
      <c r="H295" s="21" t="s">
        <v>2272</v>
      </c>
      <c r="I295" s="21" t="s">
        <v>2272</v>
      </c>
      <c r="J295" s="21" t="s">
        <v>2272</v>
      </c>
      <c r="K295" s="21"/>
      <c r="L295" s="21" t="s">
        <v>2272</v>
      </c>
      <c r="M295" s="21" t="s">
        <v>2272</v>
      </c>
      <c r="N295" s="21" t="s">
        <v>2272</v>
      </c>
      <c r="O295" s="21" t="s">
        <v>2272</v>
      </c>
      <c r="P295" s="21" t="s">
        <v>2272</v>
      </c>
      <c r="Q295" s="21" t="s">
        <v>2272</v>
      </c>
      <c r="R295" s="21" t="s">
        <v>2272</v>
      </c>
      <c r="S295" s="21" t="s">
        <v>2272</v>
      </c>
      <c r="T295" s="4" t="s">
        <v>2119</v>
      </c>
    </row>
    <row r="296" spans="1:20" ht="36" customHeight="1">
      <c r="A296" s="34" t="s">
        <v>2071</v>
      </c>
      <c r="B296" s="3" t="s">
        <v>2272</v>
      </c>
      <c r="C296" s="11" t="s">
        <v>11</v>
      </c>
      <c r="D296" s="11" t="s">
        <v>128</v>
      </c>
      <c r="E296" s="3" t="s">
        <v>135</v>
      </c>
      <c r="F296" s="3" t="s">
        <v>2272</v>
      </c>
      <c r="G296" s="3" t="s">
        <v>2272</v>
      </c>
      <c r="H296" s="21" t="s">
        <v>2272</v>
      </c>
      <c r="I296" s="21" t="s">
        <v>2272</v>
      </c>
      <c r="J296" s="21" t="s">
        <v>2272</v>
      </c>
      <c r="K296" s="21"/>
      <c r="L296" s="21" t="s">
        <v>2272</v>
      </c>
      <c r="M296" s="21" t="s">
        <v>2272</v>
      </c>
      <c r="N296" s="21" t="s">
        <v>2272</v>
      </c>
      <c r="O296" s="21" t="s">
        <v>2272</v>
      </c>
      <c r="P296" s="21" t="s">
        <v>2272</v>
      </c>
      <c r="Q296" s="21" t="s">
        <v>2272</v>
      </c>
      <c r="R296" s="21" t="s">
        <v>2272</v>
      </c>
      <c r="S296" s="21" t="s">
        <v>2272</v>
      </c>
      <c r="T296" s="4" t="s">
        <v>2119</v>
      </c>
    </row>
    <row r="297" spans="1:20" ht="36" customHeight="1">
      <c r="A297" s="34" t="s">
        <v>2072</v>
      </c>
      <c r="B297" s="3" t="s">
        <v>2272</v>
      </c>
      <c r="C297" s="11" t="s">
        <v>11</v>
      </c>
      <c r="D297" s="11" t="s">
        <v>128</v>
      </c>
      <c r="E297" s="3" t="s">
        <v>135</v>
      </c>
      <c r="F297" s="3" t="s">
        <v>2272</v>
      </c>
      <c r="G297" s="3" t="s">
        <v>2272</v>
      </c>
      <c r="H297" s="21" t="s">
        <v>2272</v>
      </c>
      <c r="I297" s="21" t="s">
        <v>2272</v>
      </c>
      <c r="J297" s="21" t="s">
        <v>2272</v>
      </c>
      <c r="K297" s="21"/>
      <c r="L297" s="21" t="s">
        <v>2272</v>
      </c>
      <c r="M297" s="21" t="s">
        <v>2272</v>
      </c>
      <c r="N297" s="21" t="s">
        <v>2272</v>
      </c>
      <c r="O297" s="21" t="s">
        <v>2272</v>
      </c>
      <c r="P297" s="21" t="s">
        <v>2272</v>
      </c>
      <c r="Q297" s="21" t="s">
        <v>2272</v>
      </c>
      <c r="R297" s="21" t="s">
        <v>2272</v>
      </c>
      <c r="S297" s="21" t="s">
        <v>2272</v>
      </c>
      <c r="T297" s="4" t="s">
        <v>2119</v>
      </c>
    </row>
    <row r="298" spans="1:20" ht="36" customHeight="1">
      <c r="A298" s="34" t="s">
        <v>2073</v>
      </c>
      <c r="B298" s="3" t="s">
        <v>2272</v>
      </c>
      <c r="C298" s="11" t="s">
        <v>11</v>
      </c>
      <c r="D298" s="11" t="s">
        <v>128</v>
      </c>
      <c r="E298" s="3" t="s">
        <v>135</v>
      </c>
      <c r="F298" s="3" t="s">
        <v>2272</v>
      </c>
      <c r="G298" s="3" t="s">
        <v>2272</v>
      </c>
      <c r="H298" s="21" t="s">
        <v>2272</v>
      </c>
      <c r="I298" s="21" t="s">
        <v>2272</v>
      </c>
      <c r="J298" s="21" t="s">
        <v>2272</v>
      </c>
      <c r="K298" s="21"/>
      <c r="L298" s="21" t="s">
        <v>2272</v>
      </c>
      <c r="M298" s="21" t="s">
        <v>2272</v>
      </c>
      <c r="N298" s="21" t="s">
        <v>2272</v>
      </c>
      <c r="O298" s="21" t="s">
        <v>2272</v>
      </c>
      <c r="P298" s="21" t="s">
        <v>2272</v>
      </c>
      <c r="Q298" s="21" t="s">
        <v>2272</v>
      </c>
      <c r="R298" s="21" t="s">
        <v>2272</v>
      </c>
      <c r="S298" s="21" t="s">
        <v>2272</v>
      </c>
      <c r="T298" s="4" t="s">
        <v>2119</v>
      </c>
    </row>
    <row r="299" spans="1:20" ht="36" customHeight="1">
      <c r="A299" s="34" t="s">
        <v>2074</v>
      </c>
      <c r="B299" s="3" t="s">
        <v>2272</v>
      </c>
      <c r="C299" s="11" t="s">
        <v>11</v>
      </c>
      <c r="D299" s="11" t="s">
        <v>128</v>
      </c>
      <c r="E299" s="3" t="s">
        <v>135</v>
      </c>
      <c r="F299" s="3" t="s">
        <v>2272</v>
      </c>
      <c r="G299" s="3" t="s">
        <v>2272</v>
      </c>
      <c r="H299" s="21" t="s">
        <v>2272</v>
      </c>
      <c r="I299" s="21" t="s">
        <v>2272</v>
      </c>
      <c r="J299" s="21" t="s">
        <v>2272</v>
      </c>
      <c r="K299" s="21"/>
      <c r="L299" s="21" t="s">
        <v>2272</v>
      </c>
      <c r="M299" s="21" t="s">
        <v>2272</v>
      </c>
      <c r="N299" s="21" t="s">
        <v>2272</v>
      </c>
      <c r="O299" s="21" t="s">
        <v>2272</v>
      </c>
      <c r="P299" s="21" t="s">
        <v>2272</v>
      </c>
      <c r="Q299" s="21" t="s">
        <v>2272</v>
      </c>
      <c r="R299" s="21" t="s">
        <v>2272</v>
      </c>
      <c r="S299" s="21" t="s">
        <v>2272</v>
      </c>
      <c r="T299" s="4" t="s">
        <v>2119</v>
      </c>
    </row>
    <row r="300" spans="1:20" ht="36" customHeight="1">
      <c r="A300" s="34" t="s">
        <v>2075</v>
      </c>
      <c r="B300" s="3" t="s">
        <v>2272</v>
      </c>
      <c r="C300" s="11" t="s">
        <v>11</v>
      </c>
      <c r="D300" s="11" t="s">
        <v>128</v>
      </c>
      <c r="E300" s="3" t="s">
        <v>135</v>
      </c>
      <c r="F300" s="3" t="s">
        <v>2272</v>
      </c>
      <c r="G300" s="3" t="s">
        <v>2272</v>
      </c>
      <c r="H300" s="21" t="s">
        <v>2272</v>
      </c>
      <c r="I300" s="21" t="s">
        <v>2272</v>
      </c>
      <c r="J300" s="21" t="s">
        <v>2272</v>
      </c>
      <c r="K300" s="21"/>
      <c r="L300" s="21" t="s">
        <v>2272</v>
      </c>
      <c r="M300" s="21" t="s">
        <v>2272</v>
      </c>
      <c r="N300" s="21" t="s">
        <v>2272</v>
      </c>
      <c r="O300" s="21" t="s">
        <v>2272</v>
      </c>
      <c r="P300" s="21" t="s">
        <v>2272</v>
      </c>
      <c r="Q300" s="21" t="s">
        <v>2272</v>
      </c>
      <c r="R300" s="21" t="s">
        <v>2272</v>
      </c>
      <c r="S300" s="21" t="s">
        <v>2272</v>
      </c>
      <c r="T300" s="4" t="s">
        <v>2119</v>
      </c>
    </row>
    <row r="301" spans="1:20" ht="36" customHeight="1">
      <c r="A301" s="34" t="s">
        <v>2076</v>
      </c>
      <c r="B301" s="3" t="s">
        <v>2272</v>
      </c>
      <c r="C301" s="11" t="s">
        <v>11</v>
      </c>
      <c r="D301" s="11" t="s">
        <v>128</v>
      </c>
      <c r="E301" s="3" t="s">
        <v>135</v>
      </c>
      <c r="F301" s="3" t="s">
        <v>2272</v>
      </c>
      <c r="G301" s="3" t="s">
        <v>2272</v>
      </c>
      <c r="H301" s="21" t="s">
        <v>2272</v>
      </c>
      <c r="I301" s="21" t="s">
        <v>2272</v>
      </c>
      <c r="J301" s="21" t="s">
        <v>2272</v>
      </c>
      <c r="K301" s="21"/>
      <c r="L301" s="21" t="s">
        <v>2272</v>
      </c>
      <c r="M301" s="21" t="s">
        <v>2272</v>
      </c>
      <c r="N301" s="21" t="s">
        <v>2272</v>
      </c>
      <c r="O301" s="21" t="s">
        <v>2272</v>
      </c>
      <c r="P301" s="21" t="s">
        <v>2272</v>
      </c>
      <c r="Q301" s="21" t="s">
        <v>2272</v>
      </c>
      <c r="R301" s="21" t="s">
        <v>2272</v>
      </c>
      <c r="S301" s="21" t="s">
        <v>2272</v>
      </c>
      <c r="T301" s="4" t="s">
        <v>2119</v>
      </c>
    </row>
    <row r="302" spans="1:20" ht="36" customHeight="1">
      <c r="A302" s="34" t="s">
        <v>2077</v>
      </c>
      <c r="B302" s="3" t="s">
        <v>2272</v>
      </c>
      <c r="C302" s="11" t="s">
        <v>11</v>
      </c>
      <c r="D302" s="11" t="s">
        <v>128</v>
      </c>
      <c r="E302" s="3" t="s">
        <v>135</v>
      </c>
      <c r="F302" s="3" t="s">
        <v>2272</v>
      </c>
      <c r="G302" s="3" t="s">
        <v>2272</v>
      </c>
      <c r="H302" s="21" t="s">
        <v>2272</v>
      </c>
      <c r="I302" s="21" t="s">
        <v>2272</v>
      </c>
      <c r="J302" s="21" t="s">
        <v>2272</v>
      </c>
      <c r="K302" s="21"/>
      <c r="L302" s="21" t="s">
        <v>2272</v>
      </c>
      <c r="M302" s="21" t="s">
        <v>2272</v>
      </c>
      <c r="N302" s="21" t="s">
        <v>2272</v>
      </c>
      <c r="O302" s="21" t="s">
        <v>2272</v>
      </c>
      <c r="P302" s="21" t="s">
        <v>2272</v>
      </c>
      <c r="Q302" s="21" t="s">
        <v>2272</v>
      </c>
      <c r="R302" s="21" t="s">
        <v>2272</v>
      </c>
      <c r="S302" s="21" t="s">
        <v>2272</v>
      </c>
      <c r="T302" s="4" t="s">
        <v>2119</v>
      </c>
    </row>
    <row r="303" spans="1:20" ht="36" customHeight="1">
      <c r="A303" s="34" t="s">
        <v>2078</v>
      </c>
      <c r="B303" s="3" t="s">
        <v>2272</v>
      </c>
      <c r="C303" s="11" t="s">
        <v>11</v>
      </c>
      <c r="D303" s="11" t="s">
        <v>128</v>
      </c>
      <c r="E303" s="3" t="s">
        <v>135</v>
      </c>
      <c r="F303" s="3" t="s">
        <v>2272</v>
      </c>
      <c r="G303" s="3" t="s">
        <v>2272</v>
      </c>
      <c r="H303" s="21" t="s">
        <v>2272</v>
      </c>
      <c r="I303" s="21" t="s">
        <v>2272</v>
      </c>
      <c r="J303" s="21" t="s">
        <v>2272</v>
      </c>
      <c r="K303" s="21"/>
      <c r="L303" s="21" t="s">
        <v>2272</v>
      </c>
      <c r="M303" s="21" t="s">
        <v>2272</v>
      </c>
      <c r="N303" s="21" t="s">
        <v>2272</v>
      </c>
      <c r="O303" s="21" t="s">
        <v>2272</v>
      </c>
      <c r="P303" s="21" t="s">
        <v>2272</v>
      </c>
      <c r="Q303" s="21" t="s">
        <v>2272</v>
      </c>
      <c r="R303" s="21" t="s">
        <v>2272</v>
      </c>
      <c r="S303" s="21" t="s">
        <v>2272</v>
      </c>
      <c r="T303" s="4" t="s">
        <v>2119</v>
      </c>
    </row>
    <row r="304" spans="1:20" ht="36" customHeight="1">
      <c r="A304" s="34" t="s">
        <v>2079</v>
      </c>
      <c r="B304" s="3" t="s">
        <v>2272</v>
      </c>
      <c r="C304" s="11" t="s">
        <v>11</v>
      </c>
      <c r="D304" s="11" t="s">
        <v>128</v>
      </c>
      <c r="E304" s="3" t="s">
        <v>135</v>
      </c>
      <c r="F304" s="3" t="s">
        <v>2272</v>
      </c>
      <c r="G304" s="3" t="s">
        <v>2272</v>
      </c>
      <c r="H304" s="21" t="s">
        <v>2272</v>
      </c>
      <c r="I304" s="21" t="s">
        <v>2272</v>
      </c>
      <c r="J304" s="21" t="s">
        <v>2272</v>
      </c>
      <c r="K304" s="21"/>
      <c r="L304" s="21" t="s">
        <v>2272</v>
      </c>
      <c r="M304" s="21" t="s">
        <v>2272</v>
      </c>
      <c r="N304" s="21" t="s">
        <v>2272</v>
      </c>
      <c r="O304" s="21" t="s">
        <v>2272</v>
      </c>
      <c r="P304" s="21" t="s">
        <v>2272</v>
      </c>
      <c r="Q304" s="21" t="s">
        <v>2272</v>
      </c>
      <c r="R304" s="21" t="s">
        <v>2272</v>
      </c>
      <c r="S304" s="21" t="s">
        <v>2272</v>
      </c>
      <c r="T304" s="4" t="s">
        <v>2119</v>
      </c>
    </row>
    <row r="305" spans="1:20" ht="36" customHeight="1">
      <c r="A305" s="34" t="s">
        <v>2080</v>
      </c>
      <c r="B305" s="3" t="s">
        <v>2272</v>
      </c>
      <c r="C305" s="11" t="s">
        <v>11</v>
      </c>
      <c r="D305" s="11" t="s">
        <v>128</v>
      </c>
      <c r="E305" s="3" t="s">
        <v>135</v>
      </c>
      <c r="F305" s="3" t="s">
        <v>2272</v>
      </c>
      <c r="G305" s="3" t="s">
        <v>2272</v>
      </c>
      <c r="H305" s="21" t="s">
        <v>2272</v>
      </c>
      <c r="I305" s="21" t="s">
        <v>2272</v>
      </c>
      <c r="J305" s="21" t="s">
        <v>2272</v>
      </c>
      <c r="K305" s="21"/>
      <c r="L305" s="21" t="s">
        <v>2272</v>
      </c>
      <c r="M305" s="21" t="s">
        <v>2272</v>
      </c>
      <c r="N305" s="21" t="s">
        <v>2272</v>
      </c>
      <c r="O305" s="21" t="s">
        <v>2272</v>
      </c>
      <c r="P305" s="21" t="s">
        <v>2272</v>
      </c>
      <c r="Q305" s="21" t="s">
        <v>2272</v>
      </c>
      <c r="R305" s="21" t="s">
        <v>2272</v>
      </c>
      <c r="S305" s="21" t="s">
        <v>2272</v>
      </c>
      <c r="T305" s="4" t="s">
        <v>2119</v>
      </c>
    </row>
    <row r="306" spans="1:20" ht="36" customHeight="1">
      <c r="A306" s="34" t="s">
        <v>2081</v>
      </c>
      <c r="B306" s="3" t="s">
        <v>2272</v>
      </c>
      <c r="C306" s="11" t="s">
        <v>11</v>
      </c>
      <c r="D306" s="11" t="s">
        <v>128</v>
      </c>
      <c r="E306" s="3" t="s">
        <v>135</v>
      </c>
      <c r="F306" s="3" t="s">
        <v>2272</v>
      </c>
      <c r="G306" s="3" t="s">
        <v>2272</v>
      </c>
      <c r="H306" s="21" t="s">
        <v>2272</v>
      </c>
      <c r="I306" s="21" t="s">
        <v>2272</v>
      </c>
      <c r="J306" s="21" t="s">
        <v>2272</v>
      </c>
      <c r="K306" s="21"/>
      <c r="L306" s="21" t="s">
        <v>2272</v>
      </c>
      <c r="M306" s="21" t="s">
        <v>2272</v>
      </c>
      <c r="N306" s="21" t="s">
        <v>2272</v>
      </c>
      <c r="O306" s="21" t="s">
        <v>2272</v>
      </c>
      <c r="P306" s="21" t="s">
        <v>2272</v>
      </c>
      <c r="Q306" s="21" t="s">
        <v>2272</v>
      </c>
      <c r="R306" s="21" t="s">
        <v>2272</v>
      </c>
      <c r="S306" s="21" t="s">
        <v>2272</v>
      </c>
      <c r="T306" s="4" t="s">
        <v>2119</v>
      </c>
    </row>
    <row r="307" spans="1:20" ht="36" customHeight="1">
      <c r="A307" s="34" t="s">
        <v>2082</v>
      </c>
      <c r="B307" s="3" t="s">
        <v>2272</v>
      </c>
      <c r="C307" s="11" t="s">
        <v>11</v>
      </c>
      <c r="D307" s="11" t="s">
        <v>128</v>
      </c>
      <c r="E307" s="3" t="s">
        <v>135</v>
      </c>
      <c r="F307" s="3" t="s">
        <v>2272</v>
      </c>
      <c r="G307" s="3" t="s">
        <v>2272</v>
      </c>
      <c r="H307" s="21" t="s">
        <v>2272</v>
      </c>
      <c r="I307" s="21" t="s">
        <v>2272</v>
      </c>
      <c r="J307" s="21" t="s">
        <v>2272</v>
      </c>
      <c r="K307" s="21"/>
      <c r="L307" s="21" t="s">
        <v>2272</v>
      </c>
      <c r="M307" s="21" t="s">
        <v>2272</v>
      </c>
      <c r="N307" s="21" t="s">
        <v>2272</v>
      </c>
      <c r="O307" s="21" t="s">
        <v>2272</v>
      </c>
      <c r="P307" s="21" t="s">
        <v>2272</v>
      </c>
      <c r="Q307" s="21" t="s">
        <v>2272</v>
      </c>
      <c r="R307" s="21" t="s">
        <v>2272</v>
      </c>
      <c r="S307" s="21" t="s">
        <v>2272</v>
      </c>
      <c r="T307" s="4" t="s">
        <v>2119</v>
      </c>
    </row>
    <row r="308" spans="1:20" ht="36" customHeight="1">
      <c r="A308" s="34" t="s">
        <v>2083</v>
      </c>
      <c r="B308" s="3" t="s">
        <v>2272</v>
      </c>
      <c r="C308" s="11" t="s">
        <v>11</v>
      </c>
      <c r="D308" s="11" t="s">
        <v>128</v>
      </c>
      <c r="E308" s="3" t="s">
        <v>135</v>
      </c>
      <c r="F308" s="3" t="s">
        <v>2272</v>
      </c>
      <c r="G308" s="3" t="s">
        <v>2272</v>
      </c>
      <c r="H308" s="21" t="s">
        <v>2272</v>
      </c>
      <c r="I308" s="21" t="s">
        <v>2272</v>
      </c>
      <c r="J308" s="21" t="s">
        <v>2272</v>
      </c>
      <c r="K308" s="21"/>
      <c r="L308" s="21" t="s">
        <v>2272</v>
      </c>
      <c r="M308" s="21" t="s">
        <v>2272</v>
      </c>
      <c r="N308" s="21" t="s">
        <v>2272</v>
      </c>
      <c r="O308" s="21" t="s">
        <v>2272</v>
      </c>
      <c r="P308" s="21" t="s">
        <v>2272</v>
      </c>
      <c r="Q308" s="21" t="s">
        <v>2272</v>
      </c>
      <c r="R308" s="21" t="s">
        <v>2272</v>
      </c>
      <c r="S308" s="21" t="s">
        <v>2272</v>
      </c>
      <c r="T308" s="4" t="s">
        <v>2119</v>
      </c>
    </row>
    <row r="309" spans="1:20" ht="36" customHeight="1">
      <c r="A309" s="34" t="s">
        <v>2084</v>
      </c>
      <c r="B309" s="3" t="s">
        <v>2272</v>
      </c>
      <c r="C309" s="11" t="s">
        <v>11</v>
      </c>
      <c r="D309" s="11" t="s">
        <v>128</v>
      </c>
      <c r="E309" s="3" t="s">
        <v>135</v>
      </c>
      <c r="F309" s="3" t="s">
        <v>2272</v>
      </c>
      <c r="G309" s="3" t="s">
        <v>2272</v>
      </c>
      <c r="H309" s="21" t="s">
        <v>2272</v>
      </c>
      <c r="I309" s="21" t="s">
        <v>2272</v>
      </c>
      <c r="J309" s="21" t="s">
        <v>2272</v>
      </c>
      <c r="K309" s="21"/>
      <c r="L309" s="21" t="s">
        <v>2272</v>
      </c>
      <c r="M309" s="21" t="s">
        <v>2272</v>
      </c>
      <c r="N309" s="21" t="s">
        <v>2272</v>
      </c>
      <c r="O309" s="21" t="s">
        <v>2272</v>
      </c>
      <c r="P309" s="21" t="s">
        <v>2272</v>
      </c>
      <c r="Q309" s="21" t="s">
        <v>2272</v>
      </c>
      <c r="R309" s="21" t="s">
        <v>2272</v>
      </c>
      <c r="S309" s="21" t="s">
        <v>2272</v>
      </c>
      <c r="T309" s="4" t="s">
        <v>2119</v>
      </c>
    </row>
    <row r="310" spans="1:20" ht="36" customHeight="1">
      <c r="A310" s="34" t="s">
        <v>2085</v>
      </c>
      <c r="B310" s="3" t="s">
        <v>2272</v>
      </c>
      <c r="C310" s="11" t="s">
        <v>11</v>
      </c>
      <c r="D310" s="11" t="s">
        <v>128</v>
      </c>
      <c r="E310" s="3" t="s">
        <v>135</v>
      </c>
      <c r="F310" s="3" t="s">
        <v>2272</v>
      </c>
      <c r="G310" s="3" t="s">
        <v>2272</v>
      </c>
      <c r="H310" s="21" t="s">
        <v>2272</v>
      </c>
      <c r="I310" s="21" t="s">
        <v>2272</v>
      </c>
      <c r="J310" s="21" t="s">
        <v>2272</v>
      </c>
      <c r="K310" s="21"/>
      <c r="L310" s="21" t="s">
        <v>2272</v>
      </c>
      <c r="M310" s="21" t="s">
        <v>2272</v>
      </c>
      <c r="N310" s="21" t="s">
        <v>2272</v>
      </c>
      <c r="O310" s="21" t="s">
        <v>2272</v>
      </c>
      <c r="P310" s="21" t="s">
        <v>2272</v>
      </c>
      <c r="Q310" s="21" t="s">
        <v>2272</v>
      </c>
      <c r="R310" s="21" t="s">
        <v>2272</v>
      </c>
      <c r="S310" s="21" t="s">
        <v>2272</v>
      </c>
      <c r="T310" s="4" t="s">
        <v>2119</v>
      </c>
    </row>
    <row r="311" spans="1:20" ht="36" customHeight="1">
      <c r="A311" s="34" t="s">
        <v>2086</v>
      </c>
      <c r="B311" s="3" t="s">
        <v>2272</v>
      </c>
      <c r="C311" s="11" t="s">
        <v>11</v>
      </c>
      <c r="D311" s="11" t="s">
        <v>128</v>
      </c>
      <c r="E311" s="3" t="s">
        <v>135</v>
      </c>
      <c r="F311" s="3" t="s">
        <v>2272</v>
      </c>
      <c r="G311" s="3" t="s">
        <v>2272</v>
      </c>
      <c r="H311" s="21" t="s">
        <v>2272</v>
      </c>
      <c r="I311" s="21" t="s">
        <v>2272</v>
      </c>
      <c r="J311" s="21" t="s">
        <v>2272</v>
      </c>
      <c r="K311" s="21"/>
      <c r="L311" s="21" t="s">
        <v>2272</v>
      </c>
      <c r="M311" s="21" t="s">
        <v>2272</v>
      </c>
      <c r="N311" s="21" t="s">
        <v>2272</v>
      </c>
      <c r="O311" s="21" t="s">
        <v>2272</v>
      </c>
      <c r="P311" s="21" t="s">
        <v>2272</v>
      </c>
      <c r="Q311" s="21" t="s">
        <v>2272</v>
      </c>
      <c r="R311" s="21" t="s">
        <v>2272</v>
      </c>
      <c r="S311" s="21" t="s">
        <v>2272</v>
      </c>
      <c r="T311" s="4" t="s">
        <v>2119</v>
      </c>
    </row>
    <row r="312" spans="1:20" ht="36" customHeight="1">
      <c r="A312" s="34" t="s">
        <v>2087</v>
      </c>
      <c r="B312" s="3" t="s">
        <v>2272</v>
      </c>
      <c r="C312" s="11" t="s">
        <v>11</v>
      </c>
      <c r="D312" s="11" t="s">
        <v>128</v>
      </c>
      <c r="E312" s="3" t="s">
        <v>135</v>
      </c>
      <c r="F312" s="3" t="s">
        <v>2272</v>
      </c>
      <c r="G312" s="3" t="s">
        <v>2272</v>
      </c>
      <c r="H312" s="21" t="s">
        <v>2272</v>
      </c>
      <c r="I312" s="21" t="s">
        <v>2272</v>
      </c>
      <c r="J312" s="21" t="s">
        <v>2272</v>
      </c>
      <c r="K312" s="21"/>
      <c r="L312" s="21" t="s">
        <v>2272</v>
      </c>
      <c r="M312" s="21" t="s">
        <v>2272</v>
      </c>
      <c r="N312" s="21" t="s">
        <v>2272</v>
      </c>
      <c r="O312" s="21" t="s">
        <v>2272</v>
      </c>
      <c r="P312" s="21" t="s">
        <v>2272</v>
      </c>
      <c r="Q312" s="21" t="s">
        <v>2272</v>
      </c>
      <c r="R312" s="21" t="s">
        <v>2272</v>
      </c>
      <c r="S312" s="21" t="s">
        <v>2272</v>
      </c>
      <c r="T312" s="4" t="s">
        <v>2119</v>
      </c>
    </row>
    <row r="313" spans="1:20" ht="36" customHeight="1">
      <c r="A313" s="34" t="s">
        <v>2088</v>
      </c>
      <c r="B313" s="3" t="s">
        <v>2272</v>
      </c>
      <c r="C313" s="11" t="s">
        <v>11</v>
      </c>
      <c r="D313" s="11" t="s">
        <v>128</v>
      </c>
      <c r="E313" s="3" t="s">
        <v>135</v>
      </c>
      <c r="F313" s="3" t="s">
        <v>2272</v>
      </c>
      <c r="G313" s="3" t="s">
        <v>2272</v>
      </c>
      <c r="H313" s="21" t="s">
        <v>2272</v>
      </c>
      <c r="I313" s="21" t="s">
        <v>2272</v>
      </c>
      <c r="J313" s="21" t="s">
        <v>2272</v>
      </c>
      <c r="K313" s="21"/>
      <c r="L313" s="21" t="s">
        <v>2272</v>
      </c>
      <c r="M313" s="21" t="s">
        <v>2272</v>
      </c>
      <c r="N313" s="21" t="s">
        <v>2272</v>
      </c>
      <c r="O313" s="21" t="s">
        <v>2272</v>
      </c>
      <c r="P313" s="21" t="s">
        <v>2272</v>
      </c>
      <c r="Q313" s="21" t="s">
        <v>2272</v>
      </c>
      <c r="R313" s="21" t="s">
        <v>2272</v>
      </c>
      <c r="S313" s="21" t="s">
        <v>2272</v>
      </c>
      <c r="T313" s="4" t="s">
        <v>2119</v>
      </c>
    </row>
    <row r="314" spans="1:20" ht="36" customHeight="1">
      <c r="A314" s="34" t="s">
        <v>2089</v>
      </c>
      <c r="B314" s="3" t="s">
        <v>2272</v>
      </c>
      <c r="C314" s="11" t="s">
        <v>11</v>
      </c>
      <c r="D314" s="11" t="s">
        <v>128</v>
      </c>
      <c r="E314" s="3" t="s">
        <v>135</v>
      </c>
      <c r="F314" s="3" t="s">
        <v>2272</v>
      </c>
      <c r="G314" s="3" t="s">
        <v>2272</v>
      </c>
      <c r="H314" s="21" t="s">
        <v>2272</v>
      </c>
      <c r="I314" s="21" t="s">
        <v>2272</v>
      </c>
      <c r="J314" s="21" t="s">
        <v>2272</v>
      </c>
      <c r="K314" s="21"/>
      <c r="L314" s="21" t="s">
        <v>2272</v>
      </c>
      <c r="M314" s="21" t="s">
        <v>2272</v>
      </c>
      <c r="N314" s="21" t="s">
        <v>2272</v>
      </c>
      <c r="O314" s="21" t="s">
        <v>2272</v>
      </c>
      <c r="P314" s="21" t="s">
        <v>2272</v>
      </c>
      <c r="Q314" s="21" t="s">
        <v>2272</v>
      </c>
      <c r="R314" s="21" t="s">
        <v>2272</v>
      </c>
      <c r="S314" s="21" t="s">
        <v>2272</v>
      </c>
      <c r="T314" s="4" t="s">
        <v>2119</v>
      </c>
    </row>
    <row r="315" spans="1:20" ht="36" customHeight="1">
      <c r="A315" s="34" t="s">
        <v>2090</v>
      </c>
      <c r="B315" s="3" t="s">
        <v>2272</v>
      </c>
      <c r="C315" s="11" t="s">
        <v>11</v>
      </c>
      <c r="D315" s="11" t="s">
        <v>128</v>
      </c>
      <c r="E315" s="3" t="s">
        <v>135</v>
      </c>
      <c r="F315" s="3" t="s">
        <v>2272</v>
      </c>
      <c r="G315" s="3" t="s">
        <v>2272</v>
      </c>
      <c r="H315" s="21" t="s">
        <v>2272</v>
      </c>
      <c r="I315" s="21" t="s">
        <v>2272</v>
      </c>
      <c r="J315" s="21" t="s">
        <v>2272</v>
      </c>
      <c r="K315" s="21"/>
      <c r="L315" s="21" t="s">
        <v>2272</v>
      </c>
      <c r="M315" s="21" t="s">
        <v>2272</v>
      </c>
      <c r="N315" s="21" t="s">
        <v>2272</v>
      </c>
      <c r="O315" s="21" t="s">
        <v>2272</v>
      </c>
      <c r="P315" s="21" t="s">
        <v>2272</v>
      </c>
      <c r="Q315" s="21" t="s">
        <v>2272</v>
      </c>
      <c r="R315" s="21" t="s">
        <v>2272</v>
      </c>
      <c r="S315" s="21" t="s">
        <v>2272</v>
      </c>
      <c r="T315" s="4" t="s">
        <v>2119</v>
      </c>
    </row>
    <row r="316" spans="1:20" ht="36" customHeight="1">
      <c r="A316" s="34" t="s">
        <v>2091</v>
      </c>
      <c r="B316" s="3" t="s">
        <v>2272</v>
      </c>
      <c r="C316" s="11" t="s">
        <v>11</v>
      </c>
      <c r="D316" s="11" t="s">
        <v>128</v>
      </c>
      <c r="E316" s="3" t="s">
        <v>135</v>
      </c>
      <c r="F316" s="3" t="s">
        <v>2272</v>
      </c>
      <c r="G316" s="3" t="s">
        <v>2272</v>
      </c>
      <c r="H316" s="21" t="s">
        <v>2272</v>
      </c>
      <c r="I316" s="21" t="s">
        <v>2272</v>
      </c>
      <c r="J316" s="21" t="s">
        <v>2272</v>
      </c>
      <c r="K316" s="21"/>
      <c r="L316" s="21" t="s">
        <v>2272</v>
      </c>
      <c r="M316" s="21" t="s">
        <v>2272</v>
      </c>
      <c r="N316" s="21" t="s">
        <v>2272</v>
      </c>
      <c r="O316" s="21" t="s">
        <v>2272</v>
      </c>
      <c r="P316" s="21" t="s">
        <v>2272</v>
      </c>
      <c r="Q316" s="21" t="s">
        <v>2272</v>
      </c>
      <c r="R316" s="21" t="s">
        <v>2272</v>
      </c>
      <c r="S316" s="21" t="s">
        <v>2272</v>
      </c>
      <c r="T316" s="4" t="s">
        <v>2119</v>
      </c>
    </row>
    <row r="317" spans="1:20" ht="36" customHeight="1">
      <c r="A317" s="34" t="s">
        <v>2092</v>
      </c>
      <c r="B317" s="3" t="s">
        <v>2272</v>
      </c>
      <c r="C317" s="11" t="s">
        <v>11</v>
      </c>
      <c r="D317" s="11" t="s">
        <v>128</v>
      </c>
      <c r="E317" s="3" t="s">
        <v>135</v>
      </c>
      <c r="F317" s="3" t="s">
        <v>2272</v>
      </c>
      <c r="G317" s="3" t="s">
        <v>2272</v>
      </c>
      <c r="H317" s="21" t="s">
        <v>2272</v>
      </c>
      <c r="I317" s="21" t="s">
        <v>2272</v>
      </c>
      <c r="J317" s="21" t="s">
        <v>2272</v>
      </c>
      <c r="K317" s="21"/>
      <c r="L317" s="21" t="s">
        <v>2272</v>
      </c>
      <c r="M317" s="21" t="s">
        <v>2272</v>
      </c>
      <c r="N317" s="21" t="s">
        <v>2272</v>
      </c>
      <c r="O317" s="21" t="s">
        <v>2272</v>
      </c>
      <c r="P317" s="21" t="s">
        <v>2272</v>
      </c>
      <c r="Q317" s="21" t="s">
        <v>2272</v>
      </c>
      <c r="R317" s="21" t="s">
        <v>2272</v>
      </c>
      <c r="S317" s="21" t="s">
        <v>2272</v>
      </c>
      <c r="T317" s="4" t="s">
        <v>2119</v>
      </c>
    </row>
    <row r="318" spans="1:20" ht="36" customHeight="1">
      <c r="A318" s="34" t="s">
        <v>2093</v>
      </c>
      <c r="B318" s="3" t="s">
        <v>2272</v>
      </c>
      <c r="C318" s="11" t="s">
        <v>11</v>
      </c>
      <c r="D318" s="11" t="s">
        <v>128</v>
      </c>
      <c r="E318" s="4" t="s">
        <v>395</v>
      </c>
      <c r="F318" s="3" t="s">
        <v>135</v>
      </c>
      <c r="G318" s="3" t="s">
        <v>2272</v>
      </c>
      <c r="H318" s="21" t="s">
        <v>2272</v>
      </c>
      <c r="I318" s="21" t="s">
        <v>2272</v>
      </c>
      <c r="J318" s="21" t="s">
        <v>2272</v>
      </c>
      <c r="K318" s="21"/>
      <c r="L318" s="21" t="s">
        <v>2272</v>
      </c>
      <c r="M318" s="21" t="s">
        <v>2272</v>
      </c>
      <c r="N318" s="21" t="s">
        <v>2272</v>
      </c>
      <c r="O318" s="21" t="s">
        <v>2272</v>
      </c>
      <c r="P318" s="21" t="s">
        <v>2272</v>
      </c>
      <c r="Q318" s="21" t="s">
        <v>2272</v>
      </c>
      <c r="R318" s="21" t="s">
        <v>2272</v>
      </c>
      <c r="S318" s="21" t="s">
        <v>2272</v>
      </c>
      <c r="T318" s="4" t="s">
        <v>2120</v>
      </c>
    </row>
    <row r="319" spans="1:20" ht="36" customHeight="1">
      <c r="A319" s="34" t="s">
        <v>2094</v>
      </c>
      <c r="B319" s="3" t="s">
        <v>2272</v>
      </c>
      <c r="C319" s="11" t="s">
        <v>11</v>
      </c>
      <c r="D319" s="11" t="s">
        <v>128</v>
      </c>
      <c r="E319" s="4" t="s">
        <v>395</v>
      </c>
      <c r="F319" s="3" t="s">
        <v>135</v>
      </c>
      <c r="G319" s="3" t="s">
        <v>2272</v>
      </c>
      <c r="H319" s="21" t="s">
        <v>2272</v>
      </c>
      <c r="I319" s="21" t="s">
        <v>2272</v>
      </c>
      <c r="J319" s="21" t="s">
        <v>2272</v>
      </c>
      <c r="K319" s="21"/>
      <c r="L319" s="21" t="s">
        <v>2272</v>
      </c>
      <c r="M319" s="21" t="s">
        <v>2272</v>
      </c>
      <c r="N319" s="21" t="s">
        <v>2272</v>
      </c>
      <c r="O319" s="21" t="s">
        <v>2272</v>
      </c>
      <c r="P319" s="21" t="s">
        <v>2272</v>
      </c>
      <c r="Q319" s="21" t="s">
        <v>2272</v>
      </c>
      <c r="R319" s="21" t="s">
        <v>2272</v>
      </c>
      <c r="S319" s="21" t="s">
        <v>2272</v>
      </c>
      <c r="T319" s="4" t="s">
        <v>2120</v>
      </c>
    </row>
    <row r="320" spans="1:20" ht="36" customHeight="1">
      <c r="A320" s="34" t="s">
        <v>2095</v>
      </c>
      <c r="B320" s="3" t="s">
        <v>2272</v>
      </c>
      <c r="C320" s="11" t="s">
        <v>11</v>
      </c>
      <c r="D320" s="11" t="s">
        <v>128</v>
      </c>
      <c r="E320" s="4" t="s">
        <v>395</v>
      </c>
      <c r="F320" s="3" t="s">
        <v>135</v>
      </c>
      <c r="G320" s="3" t="s">
        <v>2272</v>
      </c>
      <c r="H320" s="21" t="s">
        <v>2272</v>
      </c>
      <c r="I320" s="21" t="s">
        <v>2272</v>
      </c>
      <c r="J320" s="21" t="s">
        <v>2272</v>
      </c>
      <c r="K320" s="21"/>
      <c r="L320" s="21" t="s">
        <v>2272</v>
      </c>
      <c r="M320" s="21" t="s">
        <v>2272</v>
      </c>
      <c r="N320" s="21" t="s">
        <v>2272</v>
      </c>
      <c r="O320" s="21" t="s">
        <v>2272</v>
      </c>
      <c r="P320" s="21" t="s">
        <v>2272</v>
      </c>
      <c r="Q320" s="21" t="s">
        <v>2272</v>
      </c>
      <c r="R320" s="21" t="s">
        <v>2272</v>
      </c>
      <c r="S320" s="21" t="s">
        <v>2272</v>
      </c>
      <c r="T320" s="4" t="s">
        <v>2120</v>
      </c>
    </row>
    <row r="321" spans="1:20" ht="36" customHeight="1">
      <c r="A321" s="34" t="s">
        <v>2096</v>
      </c>
      <c r="B321" s="3" t="s">
        <v>2272</v>
      </c>
      <c r="C321" s="11" t="s">
        <v>11</v>
      </c>
      <c r="D321" s="11" t="s">
        <v>128</v>
      </c>
      <c r="E321" s="4" t="s">
        <v>395</v>
      </c>
      <c r="F321" s="3" t="s">
        <v>135</v>
      </c>
      <c r="G321" s="3" t="s">
        <v>2272</v>
      </c>
      <c r="H321" s="21" t="s">
        <v>2272</v>
      </c>
      <c r="I321" s="21" t="s">
        <v>2272</v>
      </c>
      <c r="J321" s="21" t="s">
        <v>2272</v>
      </c>
      <c r="K321" s="21"/>
      <c r="L321" s="21" t="s">
        <v>2272</v>
      </c>
      <c r="M321" s="21" t="s">
        <v>2272</v>
      </c>
      <c r="N321" s="21" t="s">
        <v>2272</v>
      </c>
      <c r="O321" s="21" t="s">
        <v>2272</v>
      </c>
      <c r="P321" s="21" t="s">
        <v>2272</v>
      </c>
      <c r="Q321" s="21" t="s">
        <v>2272</v>
      </c>
      <c r="R321" s="21" t="s">
        <v>2272</v>
      </c>
      <c r="S321" s="21" t="s">
        <v>2272</v>
      </c>
      <c r="T321" s="4" t="s">
        <v>2120</v>
      </c>
    </row>
    <row r="322" spans="1:20" ht="36" customHeight="1">
      <c r="A322" s="34" t="s">
        <v>2097</v>
      </c>
      <c r="B322" s="3" t="s">
        <v>2272</v>
      </c>
      <c r="C322" s="11" t="s">
        <v>11</v>
      </c>
      <c r="D322" s="11" t="s">
        <v>128</v>
      </c>
      <c r="E322" s="4" t="s">
        <v>395</v>
      </c>
      <c r="F322" s="3" t="s">
        <v>135</v>
      </c>
      <c r="G322" s="3" t="s">
        <v>2272</v>
      </c>
      <c r="H322" s="21" t="s">
        <v>2272</v>
      </c>
      <c r="I322" s="21" t="s">
        <v>2272</v>
      </c>
      <c r="J322" s="21" t="s">
        <v>2272</v>
      </c>
      <c r="K322" s="21"/>
      <c r="L322" s="21" t="s">
        <v>2272</v>
      </c>
      <c r="M322" s="21" t="s">
        <v>2272</v>
      </c>
      <c r="N322" s="21" t="s">
        <v>2272</v>
      </c>
      <c r="O322" s="21" t="s">
        <v>2272</v>
      </c>
      <c r="P322" s="21" t="s">
        <v>2272</v>
      </c>
      <c r="Q322" s="21" t="s">
        <v>2272</v>
      </c>
      <c r="R322" s="21" t="s">
        <v>2272</v>
      </c>
      <c r="S322" s="21" t="s">
        <v>2272</v>
      </c>
      <c r="T322" s="4" t="s">
        <v>2120</v>
      </c>
    </row>
    <row r="323" spans="1:20" ht="36" customHeight="1">
      <c r="A323" s="34" t="s">
        <v>2098</v>
      </c>
      <c r="B323" s="3" t="s">
        <v>2272</v>
      </c>
      <c r="C323" s="11" t="s">
        <v>11</v>
      </c>
      <c r="D323" s="11" t="s">
        <v>128</v>
      </c>
      <c r="E323" s="4" t="s">
        <v>395</v>
      </c>
      <c r="F323" s="3" t="s">
        <v>135</v>
      </c>
      <c r="G323" s="3" t="s">
        <v>2272</v>
      </c>
      <c r="H323" s="21" t="s">
        <v>2272</v>
      </c>
      <c r="I323" s="21" t="s">
        <v>2272</v>
      </c>
      <c r="J323" s="21" t="s">
        <v>2272</v>
      </c>
      <c r="K323" s="21"/>
      <c r="L323" s="21" t="s">
        <v>2272</v>
      </c>
      <c r="M323" s="21" t="s">
        <v>2272</v>
      </c>
      <c r="N323" s="21" t="s">
        <v>2272</v>
      </c>
      <c r="O323" s="21" t="s">
        <v>2272</v>
      </c>
      <c r="P323" s="21" t="s">
        <v>2272</v>
      </c>
      <c r="Q323" s="21" t="s">
        <v>2272</v>
      </c>
      <c r="R323" s="21" t="s">
        <v>2272</v>
      </c>
      <c r="S323" s="21" t="s">
        <v>2272</v>
      </c>
      <c r="T323" s="4" t="s">
        <v>2120</v>
      </c>
    </row>
    <row r="324" spans="1:20" ht="36" customHeight="1">
      <c r="A324" s="34" t="s">
        <v>2099</v>
      </c>
      <c r="B324" s="3" t="s">
        <v>2272</v>
      </c>
      <c r="C324" s="11" t="s">
        <v>11</v>
      </c>
      <c r="D324" s="11" t="s">
        <v>128</v>
      </c>
      <c r="E324" s="4" t="s">
        <v>395</v>
      </c>
      <c r="F324" s="3" t="s">
        <v>135</v>
      </c>
      <c r="G324" s="3" t="s">
        <v>2272</v>
      </c>
      <c r="H324" s="21" t="s">
        <v>2272</v>
      </c>
      <c r="I324" s="21" t="s">
        <v>2272</v>
      </c>
      <c r="J324" s="21" t="s">
        <v>2272</v>
      </c>
      <c r="K324" s="21"/>
      <c r="L324" s="21" t="s">
        <v>2272</v>
      </c>
      <c r="M324" s="21" t="s">
        <v>2272</v>
      </c>
      <c r="N324" s="21" t="s">
        <v>2272</v>
      </c>
      <c r="O324" s="21" t="s">
        <v>2272</v>
      </c>
      <c r="P324" s="21" t="s">
        <v>2272</v>
      </c>
      <c r="Q324" s="21" t="s">
        <v>2272</v>
      </c>
      <c r="R324" s="21" t="s">
        <v>2272</v>
      </c>
      <c r="S324" s="21" t="s">
        <v>2272</v>
      </c>
      <c r="T324" s="4" t="s">
        <v>2120</v>
      </c>
    </row>
    <row r="325" spans="1:20" ht="36" customHeight="1">
      <c r="A325" s="34" t="s">
        <v>2100</v>
      </c>
      <c r="B325" s="3" t="s">
        <v>2272</v>
      </c>
      <c r="C325" s="11" t="s">
        <v>11</v>
      </c>
      <c r="D325" s="11" t="s">
        <v>128</v>
      </c>
      <c r="E325" s="4" t="s">
        <v>395</v>
      </c>
      <c r="F325" s="3" t="s">
        <v>135</v>
      </c>
      <c r="G325" s="3" t="s">
        <v>2272</v>
      </c>
      <c r="H325" s="21" t="s">
        <v>2272</v>
      </c>
      <c r="I325" s="21" t="s">
        <v>2272</v>
      </c>
      <c r="J325" s="21" t="s">
        <v>2272</v>
      </c>
      <c r="K325" s="21"/>
      <c r="L325" s="21" t="s">
        <v>2272</v>
      </c>
      <c r="M325" s="21" t="s">
        <v>2272</v>
      </c>
      <c r="N325" s="21" t="s">
        <v>2272</v>
      </c>
      <c r="O325" s="21" t="s">
        <v>2272</v>
      </c>
      <c r="P325" s="21" t="s">
        <v>2272</v>
      </c>
      <c r="Q325" s="21" t="s">
        <v>2272</v>
      </c>
      <c r="R325" s="21" t="s">
        <v>2272</v>
      </c>
      <c r="S325" s="21" t="s">
        <v>2272</v>
      </c>
      <c r="T325" s="4" t="s">
        <v>2120</v>
      </c>
    </row>
    <row r="326" spans="1:20" ht="36" customHeight="1">
      <c r="A326" s="34" t="s">
        <v>2101</v>
      </c>
      <c r="B326" s="3" t="s">
        <v>2272</v>
      </c>
      <c r="C326" s="11" t="s">
        <v>11</v>
      </c>
      <c r="D326" s="11" t="s">
        <v>128</v>
      </c>
      <c r="E326" s="4" t="s">
        <v>395</v>
      </c>
      <c r="F326" s="3" t="s">
        <v>135</v>
      </c>
      <c r="G326" s="3" t="s">
        <v>2272</v>
      </c>
      <c r="H326" s="21" t="s">
        <v>2272</v>
      </c>
      <c r="I326" s="21" t="s">
        <v>2272</v>
      </c>
      <c r="J326" s="21" t="s">
        <v>2272</v>
      </c>
      <c r="K326" s="21"/>
      <c r="L326" s="21" t="s">
        <v>2272</v>
      </c>
      <c r="M326" s="21" t="s">
        <v>2272</v>
      </c>
      <c r="N326" s="21" t="s">
        <v>2272</v>
      </c>
      <c r="O326" s="21" t="s">
        <v>2272</v>
      </c>
      <c r="P326" s="21" t="s">
        <v>2272</v>
      </c>
      <c r="Q326" s="21" t="s">
        <v>2272</v>
      </c>
      <c r="R326" s="21" t="s">
        <v>2272</v>
      </c>
      <c r="S326" s="21" t="s">
        <v>2272</v>
      </c>
      <c r="T326" s="4" t="s">
        <v>2120</v>
      </c>
    </row>
    <row r="327" spans="1:20" ht="36" customHeight="1">
      <c r="A327" s="34" t="s">
        <v>2102</v>
      </c>
      <c r="B327" s="3" t="s">
        <v>2272</v>
      </c>
      <c r="C327" s="11" t="s">
        <v>11</v>
      </c>
      <c r="D327" s="11" t="s">
        <v>128</v>
      </c>
      <c r="E327" s="4" t="s">
        <v>395</v>
      </c>
      <c r="F327" s="3" t="s">
        <v>135</v>
      </c>
      <c r="G327" s="3" t="s">
        <v>2272</v>
      </c>
      <c r="H327" s="21" t="s">
        <v>2272</v>
      </c>
      <c r="I327" s="21" t="s">
        <v>2272</v>
      </c>
      <c r="J327" s="21" t="s">
        <v>2272</v>
      </c>
      <c r="K327" s="21"/>
      <c r="L327" s="21" t="s">
        <v>2272</v>
      </c>
      <c r="M327" s="21" t="s">
        <v>2272</v>
      </c>
      <c r="N327" s="21" t="s">
        <v>2272</v>
      </c>
      <c r="O327" s="21" t="s">
        <v>2272</v>
      </c>
      <c r="P327" s="21" t="s">
        <v>2272</v>
      </c>
      <c r="Q327" s="21" t="s">
        <v>2272</v>
      </c>
      <c r="R327" s="21" t="s">
        <v>2272</v>
      </c>
      <c r="S327" s="21" t="s">
        <v>2272</v>
      </c>
      <c r="T327" s="4" t="s">
        <v>2120</v>
      </c>
    </row>
    <row r="328" spans="1:20" ht="36" customHeight="1">
      <c r="A328" s="34" t="s">
        <v>2103</v>
      </c>
      <c r="B328" s="3" t="s">
        <v>2272</v>
      </c>
      <c r="C328" s="11" t="s">
        <v>11</v>
      </c>
      <c r="D328" s="11" t="s">
        <v>128</v>
      </c>
      <c r="E328" s="4" t="s">
        <v>395</v>
      </c>
      <c r="F328" s="3" t="s">
        <v>135</v>
      </c>
      <c r="G328" s="3" t="s">
        <v>2272</v>
      </c>
      <c r="H328" s="21" t="s">
        <v>2272</v>
      </c>
      <c r="I328" s="21" t="s">
        <v>2272</v>
      </c>
      <c r="J328" s="21" t="s">
        <v>2272</v>
      </c>
      <c r="K328" s="21"/>
      <c r="L328" s="21" t="s">
        <v>2272</v>
      </c>
      <c r="M328" s="21" t="s">
        <v>2272</v>
      </c>
      <c r="N328" s="21" t="s">
        <v>2272</v>
      </c>
      <c r="O328" s="21" t="s">
        <v>2272</v>
      </c>
      <c r="P328" s="21" t="s">
        <v>2272</v>
      </c>
      <c r="Q328" s="21" t="s">
        <v>2272</v>
      </c>
      <c r="R328" s="21" t="s">
        <v>2272</v>
      </c>
      <c r="S328" s="21" t="s">
        <v>2272</v>
      </c>
      <c r="T328" s="4" t="s">
        <v>2120</v>
      </c>
    </row>
    <row r="329" spans="1:20" ht="36" customHeight="1">
      <c r="A329" s="34" t="s">
        <v>2104</v>
      </c>
      <c r="B329" s="3" t="s">
        <v>2272</v>
      </c>
      <c r="C329" s="11" t="s">
        <v>11</v>
      </c>
      <c r="D329" s="11" t="s">
        <v>128</v>
      </c>
      <c r="E329" s="4" t="s">
        <v>395</v>
      </c>
      <c r="F329" s="3" t="s">
        <v>135</v>
      </c>
      <c r="G329" s="3" t="s">
        <v>2272</v>
      </c>
      <c r="H329" s="21" t="s">
        <v>2272</v>
      </c>
      <c r="I329" s="21" t="s">
        <v>2272</v>
      </c>
      <c r="J329" s="21" t="s">
        <v>2272</v>
      </c>
      <c r="K329" s="21"/>
      <c r="L329" s="21" t="s">
        <v>2272</v>
      </c>
      <c r="M329" s="21" t="s">
        <v>2272</v>
      </c>
      <c r="N329" s="21" t="s">
        <v>2272</v>
      </c>
      <c r="O329" s="21" t="s">
        <v>2272</v>
      </c>
      <c r="P329" s="21" t="s">
        <v>2272</v>
      </c>
      <c r="Q329" s="21" t="s">
        <v>2272</v>
      </c>
      <c r="R329" s="21" t="s">
        <v>2272</v>
      </c>
      <c r="S329" s="21" t="s">
        <v>2272</v>
      </c>
      <c r="T329" s="4" t="s">
        <v>2120</v>
      </c>
    </row>
    <row r="330" spans="1:20" ht="36" customHeight="1">
      <c r="A330" s="34" t="s">
        <v>2105</v>
      </c>
      <c r="B330" s="3" t="s">
        <v>2272</v>
      </c>
      <c r="C330" s="11" t="s">
        <v>11</v>
      </c>
      <c r="D330" s="11" t="s">
        <v>128</v>
      </c>
      <c r="E330" s="4" t="s">
        <v>395</v>
      </c>
      <c r="F330" s="3" t="s">
        <v>135</v>
      </c>
      <c r="G330" s="3" t="s">
        <v>2272</v>
      </c>
      <c r="H330" s="21" t="s">
        <v>2272</v>
      </c>
      <c r="I330" s="21" t="s">
        <v>2272</v>
      </c>
      <c r="J330" s="21" t="s">
        <v>2272</v>
      </c>
      <c r="K330" s="21"/>
      <c r="L330" s="21" t="s">
        <v>2272</v>
      </c>
      <c r="M330" s="21" t="s">
        <v>2272</v>
      </c>
      <c r="N330" s="21" t="s">
        <v>2272</v>
      </c>
      <c r="O330" s="21" t="s">
        <v>2272</v>
      </c>
      <c r="P330" s="21" t="s">
        <v>2272</v>
      </c>
      <c r="Q330" s="21" t="s">
        <v>2272</v>
      </c>
      <c r="R330" s="21" t="s">
        <v>2272</v>
      </c>
      <c r="S330" s="21" t="s">
        <v>2272</v>
      </c>
      <c r="T330" s="4" t="s">
        <v>2120</v>
      </c>
    </row>
    <row r="331" spans="1:20" ht="36" customHeight="1">
      <c r="A331" s="34" t="s">
        <v>2106</v>
      </c>
      <c r="B331" s="3" t="s">
        <v>2272</v>
      </c>
      <c r="C331" s="11" t="s">
        <v>11</v>
      </c>
      <c r="D331" s="11" t="s">
        <v>128</v>
      </c>
      <c r="E331" s="4" t="s">
        <v>395</v>
      </c>
      <c r="F331" s="3" t="s">
        <v>135</v>
      </c>
      <c r="G331" s="3" t="s">
        <v>2272</v>
      </c>
      <c r="H331" s="21" t="s">
        <v>2272</v>
      </c>
      <c r="I331" s="21" t="s">
        <v>2272</v>
      </c>
      <c r="J331" s="21" t="s">
        <v>2272</v>
      </c>
      <c r="K331" s="21"/>
      <c r="L331" s="21" t="s">
        <v>2272</v>
      </c>
      <c r="M331" s="21" t="s">
        <v>2272</v>
      </c>
      <c r="N331" s="21" t="s">
        <v>2272</v>
      </c>
      <c r="O331" s="21" t="s">
        <v>2272</v>
      </c>
      <c r="P331" s="21" t="s">
        <v>2272</v>
      </c>
      <c r="Q331" s="21" t="s">
        <v>2272</v>
      </c>
      <c r="R331" s="21" t="s">
        <v>2272</v>
      </c>
      <c r="S331" s="21" t="s">
        <v>2272</v>
      </c>
      <c r="T331" s="4" t="s">
        <v>2120</v>
      </c>
    </row>
    <row r="332" spans="1:20" ht="36" customHeight="1">
      <c r="A332" s="34" t="s">
        <v>2107</v>
      </c>
      <c r="B332" s="3" t="s">
        <v>2272</v>
      </c>
      <c r="C332" s="11" t="s">
        <v>11</v>
      </c>
      <c r="D332" s="11" t="s">
        <v>128</v>
      </c>
      <c r="E332" s="4" t="s">
        <v>395</v>
      </c>
      <c r="F332" s="3" t="s">
        <v>135</v>
      </c>
      <c r="G332" s="3" t="s">
        <v>2272</v>
      </c>
      <c r="H332" s="21" t="s">
        <v>2272</v>
      </c>
      <c r="I332" s="21" t="s">
        <v>2272</v>
      </c>
      <c r="J332" s="21" t="s">
        <v>2272</v>
      </c>
      <c r="K332" s="21"/>
      <c r="L332" s="21" t="s">
        <v>2272</v>
      </c>
      <c r="M332" s="21" t="s">
        <v>2272</v>
      </c>
      <c r="N332" s="21" t="s">
        <v>2272</v>
      </c>
      <c r="O332" s="21" t="s">
        <v>2272</v>
      </c>
      <c r="P332" s="21" t="s">
        <v>2272</v>
      </c>
      <c r="Q332" s="21" t="s">
        <v>2272</v>
      </c>
      <c r="R332" s="21" t="s">
        <v>2272</v>
      </c>
      <c r="S332" s="21" t="s">
        <v>2272</v>
      </c>
      <c r="T332" s="4" t="s">
        <v>2120</v>
      </c>
    </row>
    <row r="333" spans="1:20" ht="36" customHeight="1">
      <c r="A333" s="34" t="s">
        <v>2108</v>
      </c>
      <c r="B333" s="3" t="s">
        <v>2272</v>
      </c>
      <c r="C333" s="11" t="s">
        <v>11</v>
      </c>
      <c r="D333" s="11" t="s">
        <v>128</v>
      </c>
      <c r="E333" s="4" t="s">
        <v>395</v>
      </c>
      <c r="F333" s="3" t="s">
        <v>135</v>
      </c>
      <c r="G333" s="3" t="s">
        <v>2272</v>
      </c>
      <c r="H333" s="21" t="s">
        <v>2272</v>
      </c>
      <c r="I333" s="21" t="s">
        <v>2272</v>
      </c>
      <c r="J333" s="21" t="s">
        <v>2272</v>
      </c>
      <c r="K333" s="21"/>
      <c r="L333" s="21" t="s">
        <v>2272</v>
      </c>
      <c r="M333" s="21" t="s">
        <v>2272</v>
      </c>
      <c r="N333" s="21" t="s">
        <v>2272</v>
      </c>
      <c r="O333" s="21" t="s">
        <v>2272</v>
      </c>
      <c r="P333" s="21" t="s">
        <v>2272</v>
      </c>
      <c r="Q333" s="21" t="s">
        <v>2272</v>
      </c>
      <c r="R333" s="21" t="s">
        <v>2272</v>
      </c>
      <c r="S333" s="21" t="s">
        <v>2272</v>
      </c>
      <c r="T333" s="4" t="s">
        <v>2120</v>
      </c>
    </row>
    <row r="334" spans="1:20" ht="36" customHeight="1">
      <c r="A334" s="34" t="s">
        <v>2109</v>
      </c>
      <c r="B334" s="3" t="s">
        <v>2272</v>
      </c>
      <c r="C334" s="11" t="s">
        <v>11</v>
      </c>
      <c r="D334" s="11" t="s">
        <v>128</v>
      </c>
      <c r="E334" s="4" t="s">
        <v>395</v>
      </c>
      <c r="F334" s="3" t="s">
        <v>135</v>
      </c>
      <c r="G334" s="3" t="s">
        <v>2272</v>
      </c>
      <c r="H334" s="21" t="s">
        <v>2272</v>
      </c>
      <c r="I334" s="21" t="s">
        <v>2272</v>
      </c>
      <c r="J334" s="21" t="s">
        <v>2272</v>
      </c>
      <c r="K334" s="21"/>
      <c r="L334" s="21" t="s">
        <v>2272</v>
      </c>
      <c r="M334" s="21" t="s">
        <v>2272</v>
      </c>
      <c r="N334" s="21" t="s">
        <v>2272</v>
      </c>
      <c r="O334" s="21" t="s">
        <v>2272</v>
      </c>
      <c r="P334" s="21" t="s">
        <v>2272</v>
      </c>
      <c r="Q334" s="21" t="s">
        <v>2272</v>
      </c>
      <c r="R334" s="21" t="s">
        <v>2272</v>
      </c>
      <c r="S334" s="21" t="s">
        <v>2272</v>
      </c>
      <c r="T334" s="4" t="s">
        <v>2120</v>
      </c>
    </row>
    <row r="335" spans="1:20" ht="36" customHeight="1">
      <c r="A335" s="34" t="s">
        <v>2110</v>
      </c>
      <c r="B335" s="3" t="s">
        <v>2272</v>
      </c>
      <c r="C335" s="11" t="s">
        <v>11</v>
      </c>
      <c r="D335" s="11" t="s">
        <v>128</v>
      </c>
      <c r="E335" s="4" t="s">
        <v>395</v>
      </c>
      <c r="F335" s="3" t="s">
        <v>135</v>
      </c>
      <c r="G335" s="3" t="s">
        <v>2272</v>
      </c>
      <c r="H335" s="21" t="s">
        <v>2272</v>
      </c>
      <c r="I335" s="21" t="s">
        <v>2272</v>
      </c>
      <c r="J335" s="21" t="s">
        <v>2272</v>
      </c>
      <c r="K335" s="21"/>
      <c r="L335" s="21" t="s">
        <v>2272</v>
      </c>
      <c r="M335" s="21" t="s">
        <v>2272</v>
      </c>
      <c r="N335" s="21" t="s">
        <v>2272</v>
      </c>
      <c r="O335" s="21" t="s">
        <v>2272</v>
      </c>
      <c r="P335" s="21" t="s">
        <v>2272</v>
      </c>
      <c r="Q335" s="21" t="s">
        <v>2272</v>
      </c>
      <c r="R335" s="21" t="s">
        <v>2272</v>
      </c>
      <c r="S335" s="21" t="s">
        <v>2272</v>
      </c>
      <c r="T335" s="4" t="s">
        <v>2120</v>
      </c>
    </row>
    <row r="336" spans="1:20" ht="36" customHeight="1">
      <c r="A336" s="34" t="s">
        <v>2111</v>
      </c>
      <c r="B336" s="3" t="s">
        <v>2272</v>
      </c>
      <c r="C336" s="11" t="s">
        <v>11</v>
      </c>
      <c r="D336" s="11" t="s">
        <v>128</v>
      </c>
      <c r="E336" s="4" t="s">
        <v>395</v>
      </c>
      <c r="F336" s="3" t="s">
        <v>135</v>
      </c>
      <c r="G336" s="3" t="s">
        <v>2272</v>
      </c>
      <c r="H336" s="21" t="s">
        <v>2272</v>
      </c>
      <c r="I336" s="21" t="s">
        <v>2272</v>
      </c>
      <c r="J336" s="21" t="s">
        <v>2272</v>
      </c>
      <c r="K336" s="21"/>
      <c r="L336" s="21" t="s">
        <v>2272</v>
      </c>
      <c r="M336" s="21" t="s">
        <v>2272</v>
      </c>
      <c r="N336" s="21" t="s">
        <v>2272</v>
      </c>
      <c r="O336" s="21" t="s">
        <v>2272</v>
      </c>
      <c r="P336" s="21" t="s">
        <v>2272</v>
      </c>
      <c r="Q336" s="21" t="s">
        <v>2272</v>
      </c>
      <c r="R336" s="21" t="s">
        <v>2272</v>
      </c>
      <c r="S336" s="21" t="s">
        <v>2272</v>
      </c>
      <c r="T336" s="4" t="s">
        <v>2120</v>
      </c>
    </row>
    <row r="337" spans="1:20" ht="36" customHeight="1">
      <c r="A337" s="34" t="s">
        <v>2112</v>
      </c>
      <c r="B337" s="3" t="s">
        <v>2272</v>
      </c>
      <c r="C337" s="11" t="s">
        <v>11</v>
      </c>
      <c r="D337" s="11" t="s">
        <v>128</v>
      </c>
      <c r="E337" s="4" t="s">
        <v>395</v>
      </c>
      <c r="F337" s="3" t="s">
        <v>135</v>
      </c>
      <c r="G337" s="3" t="s">
        <v>2272</v>
      </c>
      <c r="H337" s="21" t="s">
        <v>2272</v>
      </c>
      <c r="I337" s="21" t="s">
        <v>2272</v>
      </c>
      <c r="J337" s="21" t="s">
        <v>2272</v>
      </c>
      <c r="K337" s="21"/>
      <c r="L337" s="21" t="s">
        <v>2272</v>
      </c>
      <c r="M337" s="21" t="s">
        <v>2272</v>
      </c>
      <c r="N337" s="21" t="s">
        <v>2272</v>
      </c>
      <c r="O337" s="21" t="s">
        <v>2272</v>
      </c>
      <c r="P337" s="21" t="s">
        <v>2272</v>
      </c>
      <c r="Q337" s="21" t="s">
        <v>2272</v>
      </c>
      <c r="R337" s="21" t="s">
        <v>2272</v>
      </c>
      <c r="S337" s="21" t="s">
        <v>2272</v>
      </c>
      <c r="T337" s="4" t="s">
        <v>2120</v>
      </c>
    </row>
    <row r="338" spans="1:20" ht="36" customHeight="1">
      <c r="A338" s="34" t="s">
        <v>2113</v>
      </c>
      <c r="B338" s="3" t="s">
        <v>2272</v>
      </c>
      <c r="C338" s="11" t="s">
        <v>11</v>
      </c>
      <c r="D338" s="11" t="s">
        <v>128</v>
      </c>
      <c r="E338" s="4" t="s">
        <v>395</v>
      </c>
      <c r="F338" s="3" t="s">
        <v>135</v>
      </c>
      <c r="G338" s="3" t="s">
        <v>2272</v>
      </c>
      <c r="H338" s="21" t="s">
        <v>2272</v>
      </c>
      <c r="I338" s="21" t="s">
        <v>2272</v>
      </c>
      <c r="J338" s="21" t="s">
        <v>2272</v>
      </c>
      <c r="K338" s="21"/>
      <c r="L338" s="21" t="s">
        <v>2272</v>
      </c>
      <c r="M338" s="21" t="s">
        <v>2272</v>
      </c>
      <c r="N338" s="21" t="s">
        <v>2272</v>
      </c>
      <c r="O338" s="21" t="s">
        <v>2272</v>
      </c>
      <c r="P338" s="21" t="s">
        <v>2272</v>
      </c>
      <c r="Q338" s="21" t="s">
        <v>2272</v>
      </c>
      <c r="R338" s="21" t="s">
        <v>2272</v>
      </c>
      <c r="S338" s="21" t="s">
        <v>2272</v>
      </c>
      <c r="T338" s="4" t="s">
        <v>2120</v>
      </c>
    </row>
    <row r="339" spans="1:20" ht="36" customHeight="1">
      <c r="A339" s="34" t="s">
        <v>2114</v>
      </c>
      <c r="B339" s="3" t="s">
        <v>2272</v>
      </c>
      <c r="C339" s="11" t="s">
        <v>11</v>
      </c>
      <c r="D339" s="11" t="s">
        <v>128</v>
      </c>
      <c r="E339" s="4" t="s">
        <v>395</v>
      </c>
      <c r="F339" s="3" t="s">
        <v>135</v>
      </c>
      <c r="G339" s="3" t="s">
        <v>2272</v>
      </c>
      <c r="H339" s="21" t="s">
        <v>2272</v>
      </c>
      <c r="I339" s="21" t="s">
        <v>2272</v>
      </c>
      <c r="J339" s="21" t="s">
        <v>2272</v>
      </c>
      <c r="K339" s="21"/>
      <c r="L339" s="21" t="s">
        <v>2272</v>
      </c>
      <c r="M339" s="21" t="s">
        <v>2272</v>
      </c>
      <c r="N339" s="21" t="s">
        <v>2272</v>
      </c>
      <c r="O339" s="21" t="s">
        <v>2272</v>
      </c>
      <c r="P339" s="21" t="s">
        <v>2272</v>
      </c>
      <c r="Q339" s="21" t="s">
        <v>2272</v>
      </c>
      <c r="R339" s="21" t="s">
        <v>2272</v>
      </c>
      <c r="S339" s="21" t="s">
        <v>2272</v>
      </c>
      <c r="T339" s="4" t="s">
        <v>2120</v>
      </c>
    </row>
    <row r="340" spans="1:20" ht="36" customHeight="1">
      <c r="A340" s="34" t="s">
        <v>2115</v>
      </c>
      <c r="B340" s="3" t="s">
        <v>2272</v>
      </c>
      <c r="C340" s="11" t="s">
        <v>11</v>
      </c>
      <c r="D340" s="11" t="s">
        <v>128</v>
      </c>
      <c r="E340" s="4" t="s">
        <v>395</v>
      </c>
      <c r="F340" s="3" t="s">
        <v>135</v>
      </c>
      <c r="G340" s="3" t="s">
        <v>2272</v>
      </c>
      <c r="H340" s="21" t="s">
        <v>2272</v>
      </c>
      <c r="I340" s="21" t="s">
        <v>2272</v>
      </c>
      <c r="J340" s="21" t="s">
        <v>2272</v>
      </c>
      <c r="K340" s="21"/>
      <c r="L340" s="21" t="s">
        <v>2272</v>
      </c>
      <c r="M340" s="21" t="s">
        <v>2272</v>
      </c>
      <c r="N340" s="21" t="s">
        <v>2272</v>
      </c>
      <c r="O340" s="21" t="s">
        <v>2272</v>
      </c>
      <c r="P340" s="21" t="s">
        <v>2272</v>
      </c>
      <c r="Q340" s="21" t="s">
        <v>2272</v>
      </c>
      <c r="R340" s="21" t="s">
        <v>2272</v>
      </c>
      <c r="S340" s="21" t="s">
        <v>2272</v>
      </c>
      <c r="T340" s="4" t="s">
        <v>2120</v>
      </c>
    </row>
    <row r="341" spans="1:20" ht="36" customHeight="1">
      <c r="A341" s="34" t="s">
        <v>2116</v>
      </c>
      <c r="B341" s="3" t="s">
        <v>2272</v>
      </c>
      <c r="C341" s="11" t="s">
        <v>11</v>
      </c>
      <c r="D341" s="11" t="s">
        <v>128</v>
      </c>
      <c r="E341" s="4" t="s">
        <v>395</v>
      </c>
      <c r="F341" s="3" t="s">
        <v>135</v>
      </c>
      <c r="G341" s="3" t="s">
        <v>2272</v>
      </c>
      <c r="H341" s="21" t="s">
        <v>2272</v>
      </c>
      <c r="I341" s="21" t="s">
        <v>2272</v>
      </c>
      <c r="J341" s="21" t="s">
        <v>2272</v>
      </c>
      <c r="K341" s="21"/>
      <c r="L341" s="21" t="s">
        <v>2272</v>
      </c>
      <c r="M341" s="21" t="s">
        <v>2272</v>
      </c>
      <c r="N341" s="21" t="s">
        <v>2272</v>
      </c>
      <c r="O341" s="21" t="s">
        <v>2272</v>
      </c>
      <c r="P341" s="21" t="s">
        <v>2272</v>
      </c>
      <c r="Q341" s="21" t="s">
        <v>2272</v>
      </c>
      <c r="R341" s="21" t="s">
        <v>2272</v>
      </c>
      <c r="S341" s="21" t="s">
        <v>2272</v>
      </c>
      <c r="T341" s="4" t="s">
        <v>2120</v>
      </c>
    </row>
    <row r="342" spans="1:20" ht="36" customHeight="1">
      <c r="A342" s="34" t="s">
        <v>2117</v>
      </c>
      <c r="B342" s="3" t="s">
        <v>2272</v>
      </c>
      <c r="C342" s="11" t="s">
        <v>11</v>
      </c>
      <c r="D342" s="11" t="s">
        <v>128</v>
      </c>
      <c r="E342" s="4" t="s">
        <v>395</v>
      </c>
      <c r="F342" s="3" t="s">
        <v>135</v>
      </c>
      <c r="G342" s="3" t="s">
        <v>2272</v>
      </c>
      <c r="H342" s="21" t="s">
        <v>2272</v>
      </c>
      <c r="I342" s="21" t="s">
        <v>2272</v>
      </c>
      <c r="J342" s="21" t="s">
        <v>2272</v>
      </c>
      <c r="K342" s="21"/>
      <c r="L342" s="21" t="s">
        <v>2272</v>
      </c>
      <c r="M342" s="21" t="s">
        <v>2272</v>
      </c>
      <c r="N342" s="21" t="s">
        <v>2272</v>
      </c>
      <c r="O342" s="21" t="s">
        <v>2272</v>
      </c>
      <c r="P342" s="21" t="s">
        <v>2272</v>
      </c>
      <c r="Q342" s="21" t="s">
        <v>2272</v>
      </c>
      <c r="R342" s="21" t="s">
        <v>2272</v>
      </c>
      <c r="S342" s="21" t="s">
        <v>2272</v>
      </c>
      <c r="T342" s="4" t="s">
        <v>2120</v>
      </c>
    </row>
    <row r="343" spans="1:20" ht="36" customHeight="1">
      <c r="A343" s="34" t="s">
        <v>2118</v>
      </c>
      <c r="B343" s="3" t="s">
        <v>2272</v>
      </c>
      <c r="C343" s="11" t="s">
        <v>11</v>
      </c>
      <c r="D343" s="11" t="s">
        <v>128</v>
      </c>
      <c r="E343" s="4" t="s">
        <v>395</v>
      </c>
      <c r="F343" s="3" t="s">
        <v>135</v>
      </c>
      <c r="G343" s="3" t="s">
        <v>2272</v>
      </c>
      <c r="H343" s="21" t="s">
        <v>2272</v>
      </c>
      <c r="I343" s="21" t="s">
        <v>2272</v>
      </c>
      <c r="J343" s="21" t="s">
        <v>2272</v>
      </c>
      <c r="K343" s="21"/>
      <c r="L343" s="21" t="s">
        <v>2272</v>
      </c>
      <c r="M343" s="21" t="s">
        <v>2272</v>
      </c>
      <c r="N343" s="21" t="s">
        <v>2272</v>
      </c>
      <c r="O343" s="21" t="s">
        <v>2272</v>
      </c>
      <c r="P343" s="21" t="s">
        <v>2272</v>
      </c>
      <c r="Q343" s="21" t="s">
        <v>2272</v>
      </c>
      <c r="R343" s="21" t="s">
        <v>2272</v>
      </c>
      <c r="S343" s="21" t="s">
        <v>2272</v>
      </c>
      <c r="T343" s="4" t="s">
        <v>2120</v>
      </c>
    </row>
    <row r="344" spans="1:20" ht="36" customHeight="1">
      <c r="A344" s="11" t="s">
        <v>873</v>
      </c>
      <c r="B344" s="3" t="s">
        <v>2272</v>
      </c>
      <c r="C344" s="11" t="s">
        <v>393</v>
      </c>
      <c r="D344" s="11" t="s">
        <v>128</v>
      </c>
      <c r="E344" s="3" t="s">
        <v>2272</v>
      </c>
      <c r="F344" s="3" t="s">
        <v>2272</v>
      </c>
      <c r="G344" s="3" t="s">
        <v>2272</v>
      </c>
      <c r="H344" s="21" t="s">
        <v>2272</v>
      </c>
      <c r="I344" s="21" t="s">
        <v>2272</v>
      </c>
      <c r="J344" s="21">
        <v>2.77</v>
      </c>
      <c r="K344" s="21"/>
      <c r="L344" s="21" t="s">
        <v>2272</v>
      </c>
      <c r="M344" s="21" t="s">
        <v>2272</v>
      </c>
      <c r="N344" s="21" t="s">
        <v>2272</v>
      </c>
      <c r="O344" s="21" t="s">
        <v>2272</v>
      </c>
      <c r="P344" s="21" t="s">
        <v>2272</v>
      </c>
      <c r="Q344" s="21" t="s">
        <v>2272</v>
      </c>
      <c r="R344" s="21" t="s">
        <v>2272</v>
      </c>
      <c r="S344" s="21" t="s">
        <v>2272</v>
      </c>
      <c r="T344" s="4" t="s">
        <v>2200</v>
      </c>
    </row>
    <row r="345" spans="1:20" ht="31" customHeight="1">
      <c r="A345" s="3" t="s">
        <v>878</v>
      </c>
      <c r="B345" s="3" t="s">
        <v>68</v>
      </c>
      <c r="C345" s="11" t="s">
        <v>11</v>
      </c>
      <c r="D345" s="11" t="s">
        <v>128</v>
      </c>
      <c r="E345" s="3" t="s">
        <v>114</v>
      </c>
      <c r="F345" s="3" t="s">
        <v>2272</v>
      </c>
      <c r="G345" s="3" t="s">
        <v>2272</v>
      </c>
      <c r="H345" s="21" t="s">
        <v>2272</v>
      </c>
      <c r="I345" s="21">
        <v>1.7</v>
      </c>
      <c r="J345" s="21" t="s">
        <v>2272</v>
      </c>
      <c r="K345" s="21"/>
      <c r="L345" s="21" t="s">
        <v>2272</v>
      </c>
      <c r="M345" s="21" t="s">
        <v>2272</v>
      </c>
      <c r="N345" s="21" t="s">
        <v>2272</v>
      </c>
      <c r="O345" s="21" t="s">
        <v>2272</v>
      </c>
      <c r="P345" s="21" t="s">
        <v>2272</v>
      </c>
      <c r="Q345" s="21" t="s">
        <v>2272</v>
      </c>
      <c r="R345" s="21" t="s">
        <v>2272</v>
      </c>
      <c r="S345" s="21" t="s">
        <v>2272</v>
      </c>
      <c r="T345" s="3"/>
    </row>
    <row r="346" spans="1:20" ht="33.5" customHeight="1">
      <c r="A346" s="11" t="s">
        <v>883</v>
      </c>
      <c r="B346" s="3" t="s">
        <v>2272</v>
      </c>
      <c r="C346" s="11" t="s">
        <v>393</v>
      </c>
      <c r="D346" s="11" t="s">
        <v>128</v>
      </c>
      <c r="E346" s="4" t="s">
        <v>395</v>
      </c>
      <c r="F346" s="3" t="s">
        <v>2272</v>
      </c>
      <c r="G346" s="3" t="s">
        <v>2272</v>
      </c>
      <c r="H346" s="21" t="s">
        <v>2272</v>
      </c>
      <c r="I346" s="21" t="s">
        <v>2272</v>
      </c>
      <c r="J346" s="21" t="s">
        <v>2272</v>
      </c>
      <c r="K346" s="21"/>
      <c r="L346" s="21" t="s">
        <v>2272</v>
      </c>
      <c r="M346" s="21" t="s">
        <v>2272</v>
      </c>
      <c r="N346" s="21" t="s">
        <v>2272</v>
      </c>
      <c r="O346" s="21" t="s">
        <v>2272</v>
      </c>
      <c r="P346" s="21" t="s">
        <v>2272</v>
      </c>
      <c r="Q346" s="21" t="s">
        <v>2272</v>
      </c>
      <c r="R346" s="21" t="s">
        <v>2272</v>
      </c>
      <c r="S346" s="21" t="s">
        <v>2272</v>
      </c>
      <c r="T346" s="3" t="s">
        <v>888</v>
      </c>
    </row>
    <row r="347" spans="1:20" ht="34.5" customHeight="1">
      <c r="A347" s="11" t="s">
        <v>894</v>
      </c>
      <c r="B347" s="3" t="s">
        <v>2272</v>
      </c>
      <c r="C347" s="11" t="s">
        <v>393</v>
      </c>
      <c r="D347" s="11" t="s">
        <v>128</v>
      </c>
      <c r="E347" s="3" t="s">
        <v>2272</v>
      </c>
      <c r="F347" s="3" t="s">
        <v>2272</v>
      </c>
      <c r="G347" s="3" t="s">
        <v>2272</v>
      </c>
      <c r="H347" s="21" t="s">
        <v>2272</v>
      </c>
      <c r="I347" s="21" t="s">
        <v>2272</v>
      </c>
      <c r="J347" s="21" t="s">
        <v>2272</v>
      </c>
      <c r="K347" s="21"/>
      <c r="L347" s="21" t="s">
        <v>2272</v>
      </c>
      <c r="M347" s="21" t="s">
        <v>2272</v>
      </c>
      <c r="N347" s="21" t="s">
        <v>2272</v>
      </c>
      <c r="O347" s="21" t="s">
        <v>2272</v>
      </c>
      <c r="P347" s="21" t="s">
        <v>2272</v>
      </c>
      <c r="Q347" s="21" t="s">
        <v>2272</v>
      </c>
      <c r="R347" s="21" t="s">
        <v>2272</v>
      </c>
      <c r="S347" s="21" t="s">
        <v>2272</v>
      </c>
      <c r="T347" s="3"/>
    </row>
    <row r="348" spans="1:20" ht="37" customHeight="1">
      <c r="A348" s="11" t="s">
        <v>897</v>
      </c>
      <c r="B348" s="3" t="s">
        <v>68</v>
      </c>
      <c r="C348" s="11" t="s">
        <v>393</v>
      </c>
      <c r="D348" s="11" t="s">
        <v>128</v>
      </c>
      <c r="E348" s="11" t="s">
        <v>114</v>
      </c>
      <c r="F348" s="3" t="s">
        <v>2272</v>
      </c>
      <c r="G348" s="3" t="s">
        <v>2272</v>
      </c>
      <c r="H348" s="21" t="s">
        <v>2272</v>
      </c>
      <c r="I348" s="21" t="s">
        <v>2272</v>
      </c>
      <c r="J348" s="21" t="s">
        <v>2272</v>
      </c>
      <c r="K348" s="21"/>
      <c r="L348" s="21" t="s">
        <v>2272</v>
      </c>
      <c r="M348" s="21" t="s">
        <v>2272</v>
      </c>
      <c r="N348" s="21" t="s">
        <v>2272</v>
      </c>
      <c r="O348" s="21" t="s">
        <v>2272</v>
      </c>
      <c r="P348" s="21" t="s">
        <v>2272</v>
      </c>
      <c r="Q348" s="21" t="s">
        <v>2272</v>
      </c>
      <c r="R348" s="21" t="s">
        <v>2272</v>
      </c>
      <c r="S348" s="21" t="s">
        <v>2272</v>
      </c>
      <c r="T348" s="3" t="s">
        <v>899</v>
      </c>
    </row>
    <row r="349" spans="1:20" ht="49.5" customHeight="1">
      <c r="A349" s="3" t="s">
        <v>902</v>
      </c>
      <c r="B349" s="3" t="s">
        <v>2272</v>
      </c>
      <c r="C349" s="11" t="s">
        <v>11</v>
      </c>
      <c r="D349" s="3" t="s">
        <v>44</v>
      </c>
      <c r="E349" s="4" t="s">
        <v>394</v>
      </c>
      <c r="F349" s="3" t="s">
        <v>128</v>
      </c>
      <c r="G349" s="3" t="s">
        <v>2272</v>
      </c>
      <c r="H349" s="21" t="s">
        <v>2272</v>
      </c>
      <c r="I349" s="21">
        <v>29</v>
      </c>
      <c r="J349" s="21" t="s">
        <v>2272</v>
      </c>
      <c r="K349" s="21"/>
      <c r="L349" s="21" t="s">
        <v>2272</v>
      </c>
      <c r="M349" s="21" t="s">
        <v>2272</v>
      </c>
      <c r="N349" s="21" t="s">
        <v>2272</v>
      </c>
      <c r="O349" s="21">
        <v>31.034483000000002</v>
      </c>
      <c r="P349" s="21">
        <v>27.586206900000001</v>
      </c>
      <c r="Q349" s="21">
        <v>17.241379299999998</v>
      </c>
      <c r="R349" s="21">
        <v>24.137930000000001</v>
      </c>
      <c r="S349" s="21" t="s">
        <v>2272</v>
      </c>
      <c r="T349" s="4" t="s">
        <v>2207</v>
      </c>
    </row>
    <row r="350" spans="1:20" ht="52" customHeight="1">
      <c r="A350" s="3" t="s">
        <v>905</v>
      </c>
      <c r="B350" s="3" t="s">
        <v>2272</v>
      </c>
      <c r="C350" s="11" t="s">
        <v>11</v>
      </c>
      <c r="D350" s="4" t="s">
        <v>2646</v>
      </c>
      <c r="E350" s="3" t="s">
        <v>44</v>
      </c>
      <c r="F350" s="4" t="s">
        <v>395</v>
      </c>
      <c r="G350" s="3" t="s">
        <v>2272</v>
      </c>
      <c r="H350" s="21" t="s">
        <v>2272</v>
      </c>
      <c r="I350" s="21">
        <v>27</v>
      </c>
      <c r="J350" s="21" t="s">
        <v>2272</v>
      </c>
      <c r="K350" s="21" t="s">
        <v>532</v>
      </c>
      <c r="L350" s="21" t="s">
        <v>2272</v>
      </c>
      <c r="M350" s="21" t="s">
        <v>2272</v>
      </c>
      <c r="N350" s="21" t="s">
        <v>2272</v>
      </c>
      <c r="O350" s="21">
        <v>22.222221999999999</v>
      </c>
      <c r="P350" s="21">
        <v>11.11111111</v>
      </c>
      <c r="Q350" s="21">
        <v>44.444444400000002</v>
      </c>
      <c r="R350" s="21">
        <v>22.22222</v>
      </c>
      <c r="S350" s="21" t="s">
        <v>2272</v>
      </c>
      <c r="T350" s="4" t="s">
        <v>2206</v>
      </c>
    </row>
    <row r="351" spans="1:20" ht="52" customHeight="1">
      <c r="A351" s="3" t="s">
        <v>916</v>
      </c>
      <c r="B351" s="3" t="s">
        <v>2272</v>
      </c>
      <c r="C351" s="11" t="s">
        <v>11</v>
      </c>
      <c r="D351" s="4" t="s">
        <v>2646</v>
      </c>
      <c r="E351" s="3" t="s">
        <v>44</v>
      </c>
      <c r="F351" s="4" t="s">
        <v>395</v>
      </c>
      <c r="G351" s="3" t="s">
        <v>2272</v>
      </c>
      <c r="H351" s="21" t="s">
        <v>2272</v>
      </c>
      <c r="I351" s="21">
        <v>28</v>
      </c>
      <c r="J351" s="21" t="s">
        <v>2272</v>
      </c>
      <c r="K351" s="21" t="s">
        <v>532</v>
      </c>
      <c r="L351" s="21" t="s">
        <v>2272</v>
      </c>
      <c r="M351" s="21" t="s">
        <v>2272</v>
      </c>
      <c r="N351" s="21" t="s">
        <v>2272</v>
      </c>
      <c r="O351" s="21">
        <v>17.857143000000001</v>
      </c>
      <c r="P351" s="21">
        <v>7.1428571400000003</v>
      </c>
      <c r="Q351" s="21">
        <v>62.068965499999997</v>
      </c>
      <c r="R351" s="21">
        <v>10.71429</v>
      </c>
      <c r="S351" s="21" t="s">
        <v>2272</v>
      </c>
      <c r="T351" s="4" t="s">
        <v>2206</v>
      </c>
    </row>
    <row r="352" spans="1:20" ht="52" customHeight="1">
      <c r="A352" s="3" t="s">
        <v>917</v>
      </c>
      <c r="B352" s="3" t="s">
        <v>2272</v>
      </c>
      <c r="C352" s="11" t="s">
        <v>11</v>
      </c>
      <c r="D352" s="4" t="s">
        <v>2646</v>
      </c>
      <c r="E352" s="3" t="s">
        <v>44</v>
      </c>
      <c r="F352" s="4" t="s">
        <v>395</v>
      </c>
      <c r="G352" s="3" t="s">
        <v>2272</v>
      </c>
      <c r="H352" s="21" t="s">
        <v>2272</v>
      </c>
      <c r="I352" s="21" t="s">
        <v>2272</v>
      </c>
      <c r="J352" s="21" t="s">
        <v>2272</v>
      </c>
      <c r="K352" s="21" t="s">
        <v>532</v>
      </c>
      <c r="L352" s="21" t="s">
        <v>2272</v>
      </c>
      <c r="M352" s="21" t="s">
        <v>2272</v>
      </c>
      <c r="N352" s="21" t="s">
        <v>2272</v>
      </c>
      <c r="O352" s="21">
        <v>18.275862</v>
      </c>
      <c r="P352" s="21">
        <v>12.758620690000001</v>
      </c>
      <c r="Q352" s="21">
        <v>44.137931000000002</v>
      </c>
      <c r="R352" s="21">
        <v>24.827590000000001</v>
      </c>
      <c r="S352" s="21" t="s">
        <v>2272</v>
      </c>
      <c r="T352" s="3"/>
    </row>
    <row r="353" spans="1:20" ht="52" customHeight="1">
      <c r="A353" s="3" t="s">
        <v>918</v>
      </c>
      <c r="B353" s="3" t="s">
        <v>2272</v>
      </c>
      <c r="C353" s="11" t="s">
        <v>11</v>
      </c>
      <c r="D353" s="4" t="s">
        <v>2646</v>
      </c>
      <c r="E353" s="3" t="s">
        <v>44</v>
      </c>
      <c r="F353" s="4" t="s">
        <v>395</v>
      </c>
      <c r="G353" s="3" t="s">
        <v>2272</v>
      </c>
      <c r="H353" s="21" t="s">
        <v>2272</v>
      </c>
      <c r="I353" s="21" t="s">
        <v>2272</v>
      </c>
      <c r="J353" s="21" t="s">
        <v>2272</v>
      </c>
      <c r="K353" s="21" t="s">
        <v>532</v>
      </c>
      <c r="L353" s="21" t="s">
        <v>2272</v>
      </c>
      <c r="M353" s="21" t="s">
        <v>2272</v>
      </c>
      <c r="N353" s="21" t="s">
        <v>2272</v>
      </c>
      <c r="O353" s="21">
        <v>18.275862</v>
      </c>
      <c r="P353" s="21">
        <v>12.758620690000001</v>
      </c>
      <c r="Q353" s="21">
        <v>44.137931000000002</v>
      </c>
      <c r="R353" s="21">
        <v>24.827590000000001</v>
      </c>
      <c r="S353" s="21" t="s">
        <v>2272</v>
      </c>
      <c r="T353" s="3"/>
    </row>
    <row r="354" spans="1:20" ht="39.5" customHeight="1">
      <c r="A354" s="11" t="s">
        <v>908</v>
      </c>
      <c r="B354" s="3" t="s">
        <v>69</v>
      </c>
      <c r="C354" s="3" t="s">
        <v>11</v>
      </c>
      <c r="D354" s="4" t="s">
        <v>2645</v>
      </c>
      <c r="E354" s="3" t="s">
        <v>44</v>
      </c>
      <c r="F354" s="3" t="s">
        <v>128</v>
      </c>
      <c r="G354" s="4" t="s">
        <v>394</v>
      </c>
      <c r="H354" s="21" t="s">
        <v>2272</v>
      </c>
      <c r="I354" s="21" t="s">
        <v>2272</v>
      </c>
      <c r="J354" s="21" t="s">
        <v>2272</v>
      </c>
      <c r="K354" s="21" t="s">
        <v>532</v>
      </c>
      <c r="L354" s="21" t="s">
        <v>2272</v>
      </c>
      <c r="M354" s="21" t="s">
        <v>2272</v>
      </c>
      <c r="N354" s="21">
        <v>50</v>
      </c>
      <c r="O354" s="21" t="s">
        <v>2272</v>
      </c>
      <c r="P354" s="21" t="s">
        <v>2272</v>
      </c>
      <c r="Q354" s="21" t="s">
        <v>2272</v>
      </c>
      <c r="R354" s="21" t="s">
        <v>2272</v>
      </c>
      <c r="S354" s="21" t="s">
        <v>2272</v>
      </c>
      <c r="T354" s="3"/>
    </row>
    <row r="355" spans="1:20" ht="42" customHeight="1">
      <c r="A355" s="11" t="s">
        <v>930</v>
      </c>
      <c r="B355" s="11" t="s">
        <v>1193</v>
      </c>
      <c r="C355" s="11" t="s">
        <v>2640</v>
      </c>
      <c r="D355" s="11" t="s">
        <v>135</v>
      </c>
      <c r="E355" s="11" t="s">
        <v>5000</v>
      </c>
      <c r="F355" s="11" t="s">
        <v>2272</v>
      </c>
      <c r="G355" s="11" t="s">
        <v>2272</v>
      </c>
      <c r="H355" s="11" t="s">
        <v>2272</v>
      </c>
      <c r="I355" s="11" t="s">
        <v>2272</v>
      </c>
      <c r="J355" s="11" t="s">
        <v>2272</v>
      </c>
      <c r="K355" s="11" t="s">
        <v>2272</v>
      </c>
      <c r="L355" s="11" t="s">
        <v>2272</v>
      </c>
      <c r="M355" s="11" t="s">
        <v>2272</v>
      </c>
      <c r="N355" s="11" t="s">
        <v>2272</v>
      </c>
      <c r="O355" s="11" t="s">
        <v>2272</v>
      </c>
      <c r="P355" s="11" t="s">
        <v>2272</v>
      </c>
      <c r="Q355" s="11" t="s">
        <v>2272</v>
      </c>
      <c r="R355" s="11" t="s">
        <v>2272</v>
      </c>
      <c r="S355" s="11" t="s">
        <v>2272</v>
      </c>
      <c r="T355" s="11"/>
    </row>
    <row r="356" spans="1:20" ht="42" customHeight="1">
      <c r="A356" s="11" t="s">
        <v>5053</v>
      </c>
      <c r="B356" s="11" t="s">
        <v>68</v>
      </c>
      <c r="C356" s="11" t="s">
        <v>393</v>
      </c>
      <c r="D356" s="11" t="s">
        <v>5000</v>
      </c>
      <c r="E356" s="11" t="s">
        <v>2272</v>
      </c>
      <c r="F356" s="11" t="s">
        <v>2272</v>
      </c>
      <c r="G356" s="11" t="s">
        <v>2272</v>
      </c>
      <c r="H356" s="11" t="s">
        <v>2272</v>
      </c>
      <c r="I356" s="11" t="s">
        <v>2272</v>
      </c>
      <c r="J356" s="11" t="s">
        <v>2272</v>
      </c>
      <c r="K356" s="11" t="s">
        <v>2272</v>
      </c>
      <c r="L356" s="11" t="s">
        <v>2272</v>
      </c>
      <c r="M356" s="11" t="s">
        <v>2272</v>
      </c>
      <c r="N356" s="11" t="s">
        <v>2272</v>
      </c>
      <c r="O356" s="11" t="s">
        <v>2272</v>
      </c>
      <c r="P356" s="11" t="s">
        <v>2272</v>
      </c>
      <c r="Q356" s="11" t="s">
        <v>2272</v>
      </c>
      <c r="R356" s="11" t="s">
        <v>2272</v>
      </c>
      <c r="S356" s="11" t="s">
        <v>2272</v>
      </c>
      <c r="T356" s="11"/>
    </row>
    <row r="357" spans="1:20" ht="59" customHeight="1">
      <c r="A357" s="11" t="s">
        <v>924</v>
      </c>
      <c r="B357" s="3" t="s">
        <v>2272</v>
      </c>
      <c r="C357" s="3" t="s">
        <v>11</v>
      </c>
      <c r="D357" s="3" t="s">
        <v>44</v>
      </c>
      <c r="E357" s="4" t="s">
        <v>394</v>
      </c>
      <c r="F357" s="4" t="s">
        <v>395</v>
      </c>
      <c r="G357" s="3" t="s">
        <v>114</v>
      </c>
      <c r="H357" s="21">
        <v>0.46594980000000003</v>
      </c>
      <c r="I357" s="21">
        <v>62</v>
      </c>
      <c r="J357" s="21" t="s">
        <v>2272</v>
      </c>
      <c r="K357" s="21" t="s">
        <v>532</v>
      </c>
      <c r="L357" s="21" t="s">
        <v>2272</v>
      </c>
      <c r="M357" s="21" t="s">
        <v>2272</v>
      </c>
      <c r="N357" s="21" t="s">
        <v>2272</v>
      </c>
      <c r="O357" s="21">
        <v>21</v>
      </c>
      <c r="P357" s="21">
        <v>17.850000000000001</v>
      </c>
      <c r="Q357" s="21">
        <v>9.15</v>
      </c>
      <c r="R357" s="21">
        <v>44.7</v>
      </c>
      <c r="S357" s="21" t="s">
        <v>2272</v>
      </c>
      <c r="T357" s="4" t="s">
        <v>2209</v>
      </c>
    </row>
    <row r="358" spans="1:20" ht="61.5" customHeight="1">
      <c r="A358" s="11" t="s">
        <v>929</v>
      </c>
      <c r="B358" s="3" t="s">
        <v>2272</v>
      </c>
      <c r="C358" s="3" t="s">
        <v>11</v>
      </c>
      <c r="D358" s="3" t="s">
        <v>44</v>
      </c>
      <c r="E358" s="3" t="s">
        <v>128</v>
      </c>
      <c r="F358" s="4" t="s">
        <v>394</v>
      </c>
      <c r="G358" s="3" t="s">
        <v>114</v>
      </c>
      <c r="H358" s="21">
        <v>0.39100679999999999</v>
      </c>
      <c r="I358" s="21">
        <v>49.5</v>
      </c>
      <c r="J358" s="21" t="s">
        <v>2272</v>
      </c>
      <c r="K358" s="21" t="s">
        <v>532</v>
      </c>
      <c r="L358" s="21" t="s">
        <v>2272</v>
      </c>
      <c r="M358" s="21" t="s">
        <v>2272</v>
      </c>
      <c r="N358" s="21" t="s">
        <v>2272</v>
      </c>
      <c r="O358" s="21">
        <v>35.65</v>
      </c>
      <c r="P358" s="21">
        <v>4.3</v>
      </c>
      <c r="Q358" s="21">
        <v>12.35</v>
      </c>
      <c r="R358" s="21">
        <v>37.75</v>
      </c>
      <c r="S358" s="21" t="s">
        <v>2272</v>
      </c>
      <c r="T358" s="4" t="s">
        <v>934</v>
      </c>
    </row>
    <row r="359" spans="1:20" ht="52.5" customHeight="1">
      <c r="A359" s="11" t="s">
        <v>935</v>
      </c>
      <c r="B359" s="3" t="s">
        <v>68</v>
      </c>
      <c r="C359" s="3" t="s">
        <v>393</v>
      </c>
      <c r="D359" s="3" t="s">
        <v>128</v>
      </c>
      <c r="E359" s="4" t="s">
        <v>395</v>
      </c>
      <c r="F359" s="3" t="s">
        <v>44</v>
      </c>
      <c r="G359" s="3" t="s">
        <v>2272</v>
      </c>
      <c r="H359" s="21" t="s">
        <v>2272</v>
      </c>
      <c r="I359" s="21" t="s">
        <v>2272</v>
      </c>
      <c r="J359" s="21" t="s">
        <v>2272</v>
      </c>
      <c r="K359" s="21"/>
      <c r="L359" s="21" t="s">
        <v>2272</v>
      </c>
      <c r="M359" s="21" t="s">
        <v>2272</v>
      </c>
      <c r="N359" s="21" t="s">
        <v>2272</v>
      </c>
      <c r="O359" s="21" t="s">
        <v>2272</v>
      </c>
      <c r="P359" s="21" t="s">
        <v>2272</v>
      </c>
      <c r="Q359" s="21" t="s">
        <v>2272</v>
      </c>
      <c r="R359" s="21" t="s">
        <v>2272</v>
      </c>
      <c r="S359" s="21" t="s">
        <v>2272</v>
      </c>
      <c r="T359" s="4" t="s">
        <v>938</v>
      </c>
    </row>
    <row r="360" spans="1:20" ht="56" customHeight="1">
      <c r="A360" s="11" t="s">
        <v>941</v>
      </c>
      <c r="B360" s="3" t="s">
        <v>2272</v>
      </c>
      <c r="C360" s="3" t="s">
        <v>11</v>
      </c>
      <c r="D360" s="11" t="s">
        <v>860</v>
      </c>
      <c r="E360" s="3" t="s">
        <v>128</v>
      </c>
      <c r="F360" s="3" t="s">
        <v>2272</v>
      </c>
      <c r="G360" s="3" t="s">
        <v>2272</v>
      </c>
      <c r="H360" s="21" t="s">
        <v>2272</v>
      </c>
      <c r="I360" s="21" t="s">
        <v>2272</v>
      </c>
      <c r="J360" s="21" t="s">
        <v>2272</v>
      </c>
      <c r="K360" s="21" t="s">
        <v>532</v>
      </c>
      <c r="L360" s="21" t="s">
        <v>2272</v>
      </c>
      <c r="M360" s="21">
        <v>2.072539E-2</v>
      </c>
      <c r="N360" s="21" t="s">
        <v>2272</v>
      </c>
      <c r="O360" s="21" t="s">
        <v>2272</v>
      </c>
      <c r="P360" s="21">
        <v>20</v>
      </c>
      <c r="Q360" s="21">
        <v>47</v>
      </c>
      <c r="R360" s="21">
        <v>13.67</v>
      </c>
      <c r="S360" s="21">
        <v>1.3574198799999999</v>
      </c>
      <c r="T360" s="4" t="s">
        <v>2213</v>
      </c>
    </row>
    <row r="361" spans="1:20" ht="50" customHeight="1">
      <c r="A361" s="11" t="s">
        <v>943</v>
      </c>
      <c r="B361" s="3" t="s">
        <v>2272</v>
      </c>
      <c r="C361" s="11" t="s">
        <v>11</v>
      </c>
      <c r="D361" s="11" t="s">
        <v>860</v>
      </c>
      <c r="E361" s="3" t="s">
        <v>128</v>
      </c>
      <c r="F361" s="3" t="s">
        <v>2272</v>
      </c>
      <c r="G361" s="3" t="s">
        <v>2272</v>
      </c>
      <c r="H361" s="21" t="s">
        <v>2272</v>
      </c>
      <c r="I361" s="21" t="s">
        <v>2272</v>
      </c>
      <c r="J361" s="21" t="s">
        <v>2272</v>
      </c>
      <c r="K361" s="21" t="s">
        <v>532</v>
      </c>
      <c r="L361" s="21" t="s">
        <v>2272</v>
      </c>
      <c r="M361" s="21">
        <v>2.072539E-2</v>
      </c>
      <c r="N361" s="21" t="s">
        <v>2272</v>
      </c>
      <c r="O361" s="21" t="s">
        <v>2272</v>
      </c>
      <c r="P361" s="21">
        <v>21.67</v>
      </c>
      <c r="Q361" s="21">
        <v>35</v>
      </c>
      <c r="R361" s="21">
        <v>16.329999999999998</v>
      </c>
      <c r="S361" s="21">
        <v>1.3574198799999999</v>
      </c>
      <c r="T361" s="4" t="s">
        <v>2214</v>
      </c>
    </row>
    <row r="362" spans="1:20" ht="65" customHeight="1">
      <c r="A362" s="11" t="s">
        <v>951</v>
      </c>
      <c r="B362" s="3" t="s">
        <v>31</v>
      </c>
      <c r="C362" s="11" t="s">
        <v>11</v>
      </c>
      <c r="D362" s="4" t="s">
        <v>2645</v>
      </c>
      <c r="E362" s="3" t="s">
        <v>44</v>
      </c>
      <c r="F362" s="11" t="s">
        <v>128</v>
      </c>
      <c r="G362" s="3" t="s">
        <v>2272</v>
      </c>
      <c r="H362" s="21" t="s">
        <v>2272</v>
      </c>
      <c r="I362" s="21">
        <v>21.604340000000001</v>
      </c>
      <c r="J362" s="21" t="s">
        <v>2272</v>
      </c>
      <c r="K362" s="21"/>
      <c r="L362" s="21" t="s">
        <v>2272</v>
      </c>
      <c r="M362" s="21" t="s">
        <v>2272</v>
      </c>
      <c r="N362" s="21" t="s">
        <v>2272</v>
      </c>
      <c r="O362" s="21" t="s">
        <v>2272</v>
      </c>
      <c r="P362" s="21" t="s">
        <v>2272</v>
      </c>
      <c r="Q362" s="21" t="s">
        <v>2272</v>
      </c>
      <c r="R362" s="21" t="s">
        <v>2272</v>
      </c>
      <c r="S362" s="21" t="s">
        <v>2272</v>
      </c>
      <c r="T362" s="4" t="s">
        <v>2216</v>
      </c>
    </row>
    <row r="363" spans="1:20" ht="56" customHeight="1">
      <c r="A363" s="11" t="s">
        <v>956</v>
      </c>
      <c r="B363" s="4" t="s">
        <v>1193</v>
      </c>
      <c r="C363" s="11" t="s">
        <v>11</v>
      </c>
      <c r="D363" s="11" t="s">
        <v>128</v>
      </c>
      <c r="E363" s="4" t="s">
        <v>2645</v>
      </c>
      <c r="F363" s="3" t="s">
        <v>44</v>
      </c>
      <c r="G363" s="4" t="s">
        <v>395</v>
      </c>
      <c r="H363" s="21" t="s">
        <v>2272</v>
      </c>
      <c r="I363" s="21">
        <v>1.94</v>
      </c>
      <c r="J363" s="21">
        <v>1.3</v>
      </c>
      <c r="K363" s="21"/>
      <c r="L363" s="21" t="s">
        <v>2272</v>
      </c>
      <c r="M363" s="21" t="s">
        <v>2272</v>
      </c>
      <c r="N363" s="21" t="s">
        <v>2272</v>
      </c>
      <c r="O363" s="21" t="s">
        <v>2272</v>
      </c>
      <c r="P363" s="21" t="s">
        <v>2272</v>
      </c>
      <c r="Q363" s="21" t="s">
        <v>2272</v>
      </c>
      <c r="R363" s="21" t="s">
        <v>2272</v>
      </c>
      <c r="S363" s="21" t="s">
        <v>2272</v>
      </c>
      <c r="T363" s="4" t="s">
        <v>958</v>
      </c>
    </row>
    <row r="364" spans="1:20" ht="54.5" customHeight="1">
      <c r="A364" s="11" t="s">
        <v>962</v>
      </c>
      <c r="B364" s="4" t="s">
        <v>1193</v>
      </c>
      <c r="C364" s="11" t="s">
        <v>11</v>
      </c>
      <c r="D364" s="11" t="s">
        <v>128</v>
      </c>
      <c r="E364" s="4" t="s">
        <v>395</v>
      </c>
      <c r="F364" s="3" t="s">
        <v>44</v>
      </c>
      <c r="G364" s="4" t="s">
        <v>2645</v>
      </c>
      <c r="H364" s="21" t="s">
        <v>2272</v>
      </c>
      <c r="I364" s="21">
        <v>1.26</v>
      </c>
      <c r="J364" s="21">
        <v>1.3</v>
      </c>
      <c r="K364" s="21"/>
      <c r="L364" s="21" t="s">
        <v>2272</v>
      </c>
      <c r="M364" s="21" t="s">
        <v>2272</v>
      </c>
      <c r="N364" s="21" t="s">
        <v>2272</v>
      </c>
      <c r="O364" s="21" t="s">
        <v>2272</v>
      </c>
      <c r="P364" s="21" t="s">
        <v>2272</v>
      </c>
      <c r="Q364" s="21" t="s">
        <v>2272</v>
      </c>
      <c r="R364" s="21" t="s">
        <v>2272</v>
      </c>
      <c r="S364" s="21" t="s">
        <v>2272</v>
      </c>
      <c r="T364" s="4" t="s">
        <v>958</v>
      </c>
    </row>
    <row r="365" spans="1:20" ht="60.5" customHeight="1">
      <c r="A365" s="11" t="s">
        <v>963</v>
      </c>
      <c r="B365" s="4" t="s">
        <v>1193</v>
      </c>
      <c r="C365" s="11" t="s">
        <v>11</v>
      </c>
      <c r="D365" s="11" t="s">
        <v>128</v>
      </c>
      <c r="E365" s="3" t="s">
        <v>44</v>
      </c>
      <c r="F365" s="4" t="s">
        <v>395</v>
      </c>
      <c r="G365" s="4" t="s">
        <v>2645</v>
      </c>
      <c r="H365" s="21" t="s">
        <v>2272</v>
      </c>
      <c r="I365" s="21">
        <v>1.1299999999999999</v>
      </c>
      <c r="J365" s="21">
        <v>1.66</v>
      </c>
      <c r="K365" s="21"/>
      <c r="L365" s="21" t="s">
        <v>2272</v>
      </c>
      <c r="M365" s="21" t="s">
        <v>2272</v>
      </c>
      <c r="N365" s="21" t="s">
        <v>2272</v>
      </c>
      <c r="O365" s="21" t="s">
        <v>2272</v>
      </c>
      <c r="P365" s="21" t="s">
        <v>2272</v>
      </c>
      <c r="Q365" s="21" t="s">
        <v>2272</v>
      </c>
      <c r="R365" s="21" t="s">
        <v>2272</v>
      </c>
      <c r="S365" s="21" t="s">
        <v>2272</v>
      </c>
      <c r="T365" s="4" t="s">
        <v>958</v>
      </c>
    </row>
    <row r="366" spans="1:20" ht="46" customHeight="1">
      <c r="A366" s="19" t="s">
        <v>972</v>
      </c>
      <c r="B366" s="4" t="s">
        <v>2272</v>
      </c>
      <c r="C366" s="19" t="s">
        <v>11</v>
      </c>
      <c r="D366" s="19" t="s">
        <v>128</v>
      </c>
      <c r="E366" s="19" t="s">
        <v>395</v>
      </c>
      <c r="F366" s="19" t="s">
        <v>394</v>
      </c>
      <c r="G366" s="4" t="s">
        <v>2272</v>
      </c>
      <c r="H366" s="71" t="s">
        <v>2272</v>
      </c>
      <c r="I366" s="71">
        <v>2.1344439999999998</v>
      </c>
      <c r="J366" s="71" t="s">
        <v>2272</v>
      </c>
      <c r="K366" s="71"/>
      <c r="L366" s="71" t="s">
        <v>2272</v>
      </c>
      <c r="M366" s="71" t="s">
        <v>2272</v>
      </c>
      <c r="N366" s="71" t="s">
        <v>2272</v>
      </c>
      <c r="O366" s="71" t="s">
        <v>2272</v>
      </c>
      <c r="P366" s="71" t="s">
        <v>2272</v>
      </c>
      <c r="Q366" s="71" t="s">
        <v>2272</v>
      </c>
      <c r="R366" s="71" t="s">
        <v>2272</v>
      </c>
      <c r="S366" s="71" t="s">
        <v>2272</v>
      </c>
      <c r="T366" s="4" t="s">
        <v>2220</v>
      </c>
    </row>
    <row r="367" spans="1:20" ht="39.5" customHeight="1">
      <c r="A367" s="3" t="s">
        <v>974</v>
      </c>
      <c r="B367" s="19" t="s">
        <v>69</v>
      </c>
      <c r="C367" s="19" t="s">
        <v>11</v>
      </c>
      <c r="D367" s="4" t="s">
        <v>395</v>
      </c>
      <c r="E367" s="4" t="s">
        <v>2645</v>
      </c>
      <c r="F367" s="3" t="s">
        <v>860</v>
      </c>
      <c r="G367" s="3" t="s">
        <v>2272</v>
      </c>
      <c r="H367" s="21" t="s">
        <v>2272</v>
      </c>
      <c r="I367" s="21" t="s">
        <v>2272</v>
      </c>
      <c r="J367" s="21" t="s">
        <v>2272</v>
      </c>
      <c r="K367" s="21" t="s">
        <v>532</v>
      </c>
      <c r="L367" s="21" t="s">
        <v>2272</v>
      </c>
      <c r="M367" s="21" t="s">
        <v>2272</v>
      </c>
      <c r="N367" s="21" t="s">
        <v>2272</v>
      </c>
      <c r="O367" s="21" t="s">
        <v>2272</v>
      </c>
      <c r="P367" s="21">
        <v>59</v>
      </c>
      <c r="Q367" s="21">
        <v>5</v>
      </c>
      <c r="R367" s="21">
        <v>34</v>
      </c>
      <c r="S367" s="21">
        <v>4.88</v>
      </c>
      <c r="T367" s="4" t="s">
        <v>982</v>
      </c>
    </row>
    <row r="368" spans="1:20" ht="44" customHeight="1">
      <c r="A368" s="3" t="s">
        <v>977</v>
      </c>
      <c r="B368" s="19" t="s">
        <v>31</v>
      </c>
      <c r="C368" s="19" t="s">
        <v>11</v>
      </c>
      <c r="D368" s="4" t="s">
        <v>395</v>
      </c>
      <c r="E368" s="4" t="s">
        <v>2645</v>
      </c>
      <c r="F368" s="3" t="s">
        <v>128</v>
      </c>
      <c r="G368" s="3" t="s">
        <v>860</v>
      </c>
      <c r="H368" s="21" t="s">
        <v>2272</v>
      </c>
      <c r="I368" s="21" t="s">
        <v>2272</v>
      </c>
      <c r="J368" s="21" t="s">
        <v>2272</v>
      </c>
      <c r="K368" s="21" t="s">
        <v>532</v>
      </c>
      <c r="L368" s="21" t="s">
        <v>2272</v>
      </c>
      <c r="M368" s="21" t="s">
        <v>2272</v>
      </c>
      <c r="N368" s="21" t="s">
        <v>2272</v>
      </c>
      <c r="O368" s="21" t="s">
        <v>2272</v>
      </c>
      <c r="P368" s="21">
        <v>36</v>
      </c>
      <c r="Q368" s="21">
        <v>14</v>
      </c>
      <c r="R368" s="21">
        <v>49</v>
      </c>
      <c r="S368" s="21">
        <v>1.63</v>
      </c>
      <c r="T368" s="4" t="s">
        <v>982</v>
      </c>
    </row>
    <row r="369" spans="1:20" ht="48.5" customHeight="1">
      <c r="A369" s="3" t="s">
        <v>978</v>
      </c>
      <c r="B369" s="3" t="s">
        <v>68</v>
      </c>
      <c r="C369" s="19" t="s">
        <v>11</v>
      </c>
      <c r="D369" s="3" t="s">
        <v>128</v>
      </c>
      <c r="E369" s="4" t="s">
        <v>2645</v>
      </c>
      <c r="F369" s="4" t="s">
        <v>395</v>
      </c>
      <c r="G369" s="3" t="s">
        <v>135</v>
      </c>
      <c r="H369" s="21" t="s">
        <v>2272</v>
      </c>
      <c r="I369" s="21">
        <v>5</v>
      </c>
      <c r="J369" s="21" t="s">
        <v>2272</v>
      </c>
      <c r="K369" s="21"/>
      <c r="L369" s="21" t="s">
        <v>2272</v>
      </c>
      <c r="M369" s="21" t="s">
        <v>2272</v>
      </c>
      <c r="N369" s="21" t="s">
        <v>2272</v>
      </c>
      <c r="O369" s="21" t="s">
        <v>2272</v>
      </c>
      <c r="P369" s="21">
        <v>15</v>
      </c>
      <c r="Q369" s="21">
        <v>4</v>
      </c>
      <c r="R369" s="21">
        <v>81</v>
      </c>
      <c r="S369" s="21">
        <v>0.86</v>
      </c>
      <c r="T369" s="4" t="s">
        <v>983</v>
      </c>
    </row>
    <row r="370" spans="1:20" ht="54.5" customHeight="1">
      <c r="A370" s="11" t="s">
        <v>986</v>
      </c>
      <c r="B370" s="19" t="s">
        <v>31</v>
      </c>
      <c r="C370" s="19" t="s">
        <v>11</v>
      </c>
      <c r="D370" s="4" t="s">
        <v>395</v>
      </c>
      <c r="E370" s="3" t="s">
        <v>128</v>
      </c>
      <c r="F370" s="19" t="s">
        <v>394</v>
      </c>
      <c r="G370" s="3" t="s">
        <v>2272</v>
      </c>
      <c r="H370" s="21" t="s">
        <v>2272</v>
      </c>
      <c r="I370" s="21">
        <v>1.4806779999999999</v>
      </c>
      <c r="J370" s="21" t="s">
        <v>2272</v>
      </c>
      <c r="K370" s="21"/>
      <c r="L370" s="21" t="s">
        <v>2272</v>
      </c>
      <c r="M370" s="21" t="s">
        <v>2272</v>
      </c>
      <c r="N370" s="21" t="s">
        <v>2272</v>
      </c>
      <c r="O370" s="21" t="s">
        <v>2272</v>
      </c>
      <c r="P370" s="21" t="s">
        <v>2272</v>
      </c>
      <c r="Q370" s="21" t="s">
        <v>2272</v>
      </c>
      <c r="R370" s="21" t="s">
        <v>2272</v>
      </c>
      <c r="S370" s="21" t="s">
        <v>2272</v>
      </c>
      <c r="T370" s="4" t="s">
        <v>1008</v>
      </c>
    </row>
    <row r="371" spans="1:20" ht="54.5" customHeight="1">
      <c r="A371" s="11" t="s">
        <v>987</v>
      </c>
      <c r="B371" s="19" t="s">
        <v>31</v>
      </c>
      <c r="C371" s="19" t="s">
        <v>11</v>
      </c>
      <c r="D371" s="4" t="s">
        <v>395</v>
      </c>
      <c r="E371" s="19" t="s">
        <v>394</v>
      </c>
      <c r="F371" s="3" t="s">
        <v>128</v>
      </c>
      <c r="G371" s="3" t="s">
        <v>2272</v>
      </c>
      <c r="H371" s="21" t="s">
        <v>2272</v>
      </c>
      <c r="I371" s="21">
        <v>1.5918669999999999</v>
      </c>
      <c r="J371" s="21" t="s">
        <v>2272</v>
      </c>
      <c r="K371" s="21"/>
      <c r="L371" s="21" t="s">
        <v>2272</v>
      </c>
      <c r="M371" s="21" t="s">
        <v>2272</v>
      </c>
      <c r="N371" s="21" t="s">
        <v>2272</v>
      </c>
      <c r="O371" s="21" t="s">
        <v>2272</v>
      </c>
      <c r="P371" s="21" t="s">
        <v>2272</v>
      </c>
      <c r="Q371" s="21" t="s">
        <v>2272</v>
      </c>
      <c r="R371" s="21" t="s">
        <v>2272</v>
      </c>
      <c r="S371" s="21" t="s">
        <v>2272</v>
      </c>
      <c r="T371" s="3" t="s">
        <v>1007</v>
      </c>
    </row>
    <row r="372" spans="1:20" ht="58" customHeight="1">
      <c r="A372" s="11" t="s">
        <v>988</v>
      </c>
      <c r="B372" s="19" t="s">
        <v>31</v>
      </c>
      <c r="C372" s="19" t="s">
        <v>11</v>
      </c>
      <c r="D372" s="19" t="s">
        <v>394</v>
      </c>
      <c r="E372" s="4" t="s">
        <v>395</v>
      </c>
      <c r="F372" s="3" t="s">
        <v>128</v>
      </c>
      <c r="G372" s="3" t="s">
        <v>2272</v>
      </c>
      <c r="H372" s="21" t="s">
        <v>2272</v>
      </c>
      <c r="I372" s="21">
        <v>2.0376810000000001</v>
      </c>
      <c r="J372" s="21" t="s">
        <v>2272</v>
      </c>
      <c r="K372" s="21"/>
      <c r="L372" s="21" t="s">
        <v>2272</v>
      </c>
      <c r="M372" s="21" t="s">
        <v>2272</v>
      </c>
      <c r="N372" s="21" t="s">
        <v>2272</v>
      </c>
      <c r="O372" s="21" t="s">
        <v>2272</v>
      </c>
      <c r="P372" s="21" t="s">
        <v>2272</v>
      </c>
      <c r="Q372" s="21" t="s">
        <v>2272</v>
      </c>
      <c r="R372" s="21" t="s">
        <v>2272</v>
      </c>
      <c r="S372" s="21" t="s">
        <v>2272</v>
      </c>
      <c r="T372" s="3" t="s">
        <v>1007</v>
      </c>
    </row>
    <row r="373" spans="1:20" ht="49.5" customHeight="1">
      <c r="A373" s="11" t="s">
        <v>989</v>
      </c>
      <c r="B373" s="19" t="s">
        <v>31</v>
      </c>
      <c r="C373" s="19" t="s">
        <v>11</v>
      </c>
      <c r="D373" s="19" t="s">
        <v>394</v>
      </c>
      <c r="E373" s="4" t="s">
        <v>395</v>
      </c>
      <c r="F373" s="3" t="s">
        <v>128</v>
      </c>
      <c r="G373" s="3" t="s">
        <v>2272</v>
      </c>
      <c r="H373" s="21" t="s">
        <v>2272</v>
      </c>
      <c r="I373" s="21">
        <v>2.8747569999999998</v>
      </c>
      <c r="J373" s="21">
        <v>2.91</v>
      </c>
      <c r="K373" s="21"/>
      <c r="L373" s="21" t="s">
        <v>2272</v>
      </c>
      <c r="M373" s="21" t="s">
        <v>2272</v>
      </c>
      <c r="N373" s="21" t="s">
        <v>2272</v>
      </c>
      <c r="O373" s="21" t="s">
        <v>2272</v>
      </c>
      <c r="P373" s="21" t="s">
        <v>2272</v>
      </c>
      <c r="Q373" s="21" t="s">
        <v>2272</v>
      </c>
      <c r="R373" s="21" t="s">
        <v>2272</v>
      </c>
      <c r="S373" s="21" t="s">
        <v>2272</v>
      </c>
      <c r="T373" s="4" t="s">
        <v>2222</v>
      </c>
    </row>
    <row r="374" spans="1:20" ht="55.5" customHeight="1">
      <c r="A374" s="11" t="s">
        <v>990</v>
      </c>
      <c r="B374" s="19" t="s">
        <v>31</v>
      </c>
      <c r="C374" s="19" t="s">
        <v>11</v>
      </c>
      <c r="D374" s="19" t="s">
        <v>394</v>
      </c>
      <c r="E374" s="4" t="s">
        <v>395</v>
      </c>
      <c r="F374" s="3" t="s">
        <v>128</v>
      </c>
      <c r="G374" s="3" t="s">
        <v>2272</v>
      </c>
      <c r="H374" s="21" t="s">
        <v>2272</v>
      </c>
      <c r="I374" s="21">
        <v>2.815385</v>
      </c>
      <c r="J374" s="21">
        <v>2.91</v>
      </c>
      <c r="K374" s="21"/>
      <c r="L374" s="21" t="s">
        <v>2272</v>
      </c>
      <c r="M374" s="21" t="s">
        <v>2272</v>
      </c>
      <c r="N374" s="21" t="s">
        <v>2272</v>
      </c>
      <c r="O374" s="21" t="s">
        <v>2272</v>
      </c>
      <c r="P374" s="21" t="s">
        <v>2272</v>
      </c>
      <c r="Q374" s="21" t="s">
        <v>2272</v>
      </c>
      <c r="R374" s="21" t="s">
        <v>2272</v>
      </c>
      <c r="S374" s="21" t="s">
        <v>2272</v>
      </c>
      <c r="T374" s="4" t="s">
        <v>2223</v>
      </c>
    </row>
    <row r="375" spans="1:20" ht="58" customHeight="1">
      <c r="A375" s="11" t="s">
        <v>991</v>
      </c>
      <c r="B375" s="19" t="s">
        <v>31</v>
      </c>
      <c r="C375" s="19" t="s">
        <v>11</v>
      </c>
      <c r="D375" s="19" t="s">
        <v>394</v>
      </c>
      <c r="E375" s="3" t="s">
        <v>128</v>
      </c>
      <c r="F375" s="4" t="s">
        <v>395</v>
      </c>
      <c r="G375" s="3" t="s">
        <v>2272</v>
      </c>
      <c r="H375" s="21" t="s">
        <v>2272</v>
      </c>
      <c r="I375" s="21">
        <v>1.254902</v>
      </c>
      <c r="J375" s="21" t="s">
        <v>2272</v>
      </c>
      <c r="K375" s="21"/>
      <c r="L375" s="21" t="s">
        <v>2272</v>
      </c>
      <c r="M375" s="21" t="s">
        <v>2272</v>
      </c>
      <c r="N375" s="21" t="s">
        <v>2272</v>
      </c>
      <c r="O375" s="21" t="s">
        <v>2272</v>
      </c>
      <c r="P375" s="21" t="s">
        <v>2272</v>
      </c>
      <c r="Q375" s="21" t="s">
        <v>2272</v>
      </c>
      <c r="R375" s="21" t="s">
        <v>2272</v>
      </c>
      <c r="S375" s="21" t="s">
        <v>2272</v>
      </c>
      <c r="T375" s="4" t="s">
        <v>1008</v>
      </c>
    </row>
    <row r="376" spans="1:20" ht="49" customHeight="1">
      <c r="A376" s="11" t="s">
        <v>993</v>
      </c>
      <c r="B376" s="19" t="s">
        <v>31</v>
      </c>
      <c r="C376" s="19" t="s">
        <v>11</v>
      </c>
      <c r="D376" s="19" t="s">
        <v>394</v>
      </c>
      <c r="E376" s="3" t="s">
        <v>128</v>
      </c>
      <c r="F376" s="4" t="s">
        <v>395</v>
      </c>
      <c r="G376" s="3" t="s">
        <v>2272</v>
      </c>
      <c r="H376" s="21" t="s">
        <v>2272</v>
      </c>
      <c r="I376" s="21">
        <v>1.6984379999999999</v>
      </c>
      <c r="J376" s="21" t="s">
        <v>2272</v>
      </c>
      <c r="K376" s="21"/>
      <c r="L376" s="21" t="s">
        <v>2272</v>
      </c>
      <c r="M376" s="21" t="s">
        <v>2272</v>
      </c>
      <c r="N376" s="21" t="s">
        <v>2272</v>
      </c>
      <c r="O376" s="21" t="s">
        <v>2272</v>
      </c>
      <c r="P376" s="21" t="s">
        <v>2272</v>
      </c>
      <c r="Q376" s="21" t="s">
        <v>2272</v>
      </c>
      <c r="R376" s="21" t="s">
        <v>2272</v>
      </c>
      <c r="S376" s="21" t="s">
        <v>2272</v>
      </c>
      <c r="T376" s="3" t="s">
        <v>1007</v>
      </c>
    </row>
    <row r="377" spans="1:20" ht="50.5" customHeight="1">
      <c r="A377" s="11" t="s">
        <v>992</v>
      </c>
      <c r="B377" s="19" t="s">
        <v>31</v>
      </c>
      <c r="C377" s="19" t="s">
        <v>11</v>
      </c>
      <c r="D377" s="19" t="s">
        <v>394</v>
      </c>
      <c r="E377" s="3" t="s">
        <v>128</v>
      </c>
      <c r="F377" s="4" t="s">
        <v>395</v>
      </c>
      <c r="G377" s="3" t="s">
        <v>2272</v>
      </c>
      <c r="H377" s="21" t="s">
        <v>2272</v>
      </c>
      <c r="I377" s="21">
        <v>1.2664089999999999</v>
      </c>
      <c r="J377" s="21" t="s">
        <v>2272</v>
      </c>
      <c r="K377" s="21"/>
      <c r="L377" s="21" t="s">
        <v>2272</v>
      </c>
      <c r="M377" s="21" t="s">
        <v>2272</v>
      </c>
      <c r="N377" s="21" t="s">
        <v>2272</v>
      </c>
      <c r="O377" s="21" t="s">
        <v>2272</v>
      </c>
      <c r="P377" s="21" t="s">
        <v>2272</v>
      </c>
      <c r="Q377" s="21" t="s">
        <v>2272</v>
      </c>
      <c r="R377" s="21" t="s">
        <v>2272</v>
      </c>
      <c r="S377" s="21" t="s">
        <v>2272</v>
      </c>
      <c r="T377" s="3" t="s">
        <v>1007</v>
      </c>
    </row>
    <row r="378" spans="1:20" ht="52" customHeight="1">
      <c r="A378" s="11" t="s">
        <v>994</v>
      </c>
      <c r="B378" s="19" t="s">
        <v>31</v>
      </c>
      <c r="C378" s="19" t="s">
        <v>11</v>
      </c>
      <c r="D378" s="19" t="s">
        <v>394</v>
      </c>
      <c r="E378" s="3" t="s">
        <v>128</v>
      </c>
      <c r="F378" s="4" t="s">
        <v>395</v>
      </c>
      <c r="G378" s="3" t="s">
        <v>2272</v>
      </c>
      <c r="H378" s="21" t="s">
        <v>2272</v>
      </c>
      <c r="I378" s="21">
        <v>1.4007430000000001</v>
      </c>
      <c r="J378" s="21" t="s">
        <v>2272</v>
      </c>
      <c r="K378" s="21"/>
      <c r="L378" s="21" t="s">
        <v>2272</v>
      </c>
      <c r="M378" s="21" t="s">
        <v>2272</v>
      </c>
      <c r="N378" s="21" t="s">
        <v>2272</v>
      </c>
      <c r="O378" s="21" t="s">
        <v>2272</v>
      </c>
      <c r="P378" s="21">
        <v>21.091120140000001</v>
      </c>
      <c r="Q378" s="21">
        <v>66.115302799999995</v>
      </c>
      <c r="R378" s="21">
        <v>15.496230000000001</v>
      </c>
      <c r="S378" s="21" t="s">
        <v>2272</v>
      </c>
      <c r="T378" s="3" t="s">
        <v>1006</v>
      </c>
    </row>
    <row r="379" spans="1:20" ht="46" customHeight="1">
      <c r="A379" s="11" t="s">
        <v>1013</v>
      </c>
      <c r="B379" s="19" t="s">
        <v>1193</v>
      </c>
      <c r="C379" s="19" t="s">
        <v>11</v>
      </c>
      <c r="D379" s="4" t="s">
        <v>395</v>
      </c>
      <c r="E379" s="3" t="s">
        <v>128</v>
      </c>
      <c r="F379" s="3" t="s">
        <v>135</v>
      </c>
      <c r="G379" s="19" t="s">
        <v>394</v>
      </c>
      <c r="H379" s="21" t="s">
        <v>2272</v>
      </c>
      <c r="I379" s="21" t="s">
        <v>2272</v>
      </c>
      <c r="J379" s="21" t="s">
        <v>2272</v>
      </c>
      <c r="K379" s="21"/>
      <c r="L379" s="21" t="s">
        <v>2272</v>
      </c>
      <c r="M379" s="21" t="s">
        <v>2272</v>
      </c>
      <c r="N379" s="21" t="s">
        <v>2272</v>
      </c>
      <c r="O379" s="21" t="s">
        <v>2272</v>
      </c>
      <c r="P379" s="21">
        <v>1.4632267999999999</v>
      </c>
      <c r="Q379" s="21">
        <v>31.382364299999999</v>
      </c>
      <c r="R379" s="21">
        <v>66.884870000000006</v>
      </c>
      <c r="S379" s="21" t="s">
        <v>2272</v>
      </c>
      <c r="T379" s="3"/>
    </row>
    <row r="380" spans="1:20" ht="51" customHeight="1">
      <c r="A380" s="11" t="s">
        <v>1016</v>
      </c>
      <c r="B380" s="19" t="s">
        <v>1193</v>
      </c>
      <c r="C380" s="19" t="s">
        <v>11</v>
      </c>
      <c r="D380" s="4" t="s">
        <v>395</v>
      </c>
      <c r="E380" s="3" t="s">
        <v>128</v>
      </c>
      <c r="F380" s="3" t="s">
        <v>135</v>
      </c>
      <c r="G380" s="19" t="s">
        <v>394</v>
      </c>
      <c r="H380" s="21" t="s">
        <v>2272</v>
      </c>
      <c r="I380" s="21" t="s">
        <v>2272</v>
      </c>
      <c r="J380" s="21" t="s">
        <v>2272</v>
      </c>
      <c r="K380" s="21"/>
      <c r="L380" s="21" t="s">
        <v>2272</v>
      </c>
      <c r="M380" s="21" t="s">
        <v>2272</v>
      </c>
      <c r="N380" s="21" t="s">
        <v>2272</v>
      </c>
      <c r="O380" s="21" t="s">
        <v>2272</v>
      </c>
      <c r="P380" s="21">
        <v>2.7339237600000001</v>
      </c>
      <c r="Q380" s="21">
        <v>4.2471041999999999</v>
      </c>
      <c r="R380" s="21">
        <v>93.468469999999996</v>
      </c>
      <c r="S380" s="21" t="s">
        <v>2272</v>
      </c>
      <c r="T380" s="3"/>
    </row>
    <row r="381" spans="1:20" ht="38" customHeight="1">
      <c r="A381" s="11" t="s">
        <v>1020</v>
      </c>
      <c r="B381" s="3" t="s">
        <v>2272</v>
      </c>
      <c r="C381" s="3" t="s">
        <v>393</v>
      </c>
      <c r="D381" s="3" t="s">
        <v>128</v>
      </c>
      <c r="E381" s="4" t="s">
        <v>395</v>
      </c>
      <c r="F381" s="3" t="s">
        <v>44</v>
      </c>
      <c r="G381" s="3" t="s">
        <v>2272</v>
      </c>
      <c r="H381" s="21" t="s">
        <v>2272</v>
      </c>
      <c r="I381" s="21" t="s">
        <v>2272</v>
      </c>
      <c r="J381" s="21">
        <v>0.54</v>
      </c>
      <c r="K381" s="21"/>
      <c r="L381" s="21" t="s">
        <v>2272</v>
      </c>
      <c r="M381" s="21" t="s">
        <v>2272</v>
      </c>
      <c r="N381" s="21" t="s">
        <v>2272</v>
      </c>
      <c r="O381" s="21" t="s">
        <v>2272</v>
      </c>
      <c r="P381" s="21" t="s">
        <v>2272</v>
      </c>
      <c r="Q381" s="21" t="s">
        <v>2272</v>
      </c>
      <c r="R381" s="21" t="s">
        <v>2272</v>
      </c>
      <c r="S381" s="21" t="s">
        <v>2272</v>
      </c>
      <c r="T381" s="3" t="s">
        <v>1027</v>
      </c>
    </row>
    <row r="382" spans="1:20" ht="35" customHeight="1">
      <c r="A382" s="11" t="s">
        <v>1021</v>
      </c>
      <c r="B382" s="3" t="s">
        <v>2272</v>
      </c>
      <c r="C382" s="3" t="s">
        <v>393</v>
      </c>
      <c r="D382" s="3" t="s">
        <v>128</v>
      </c>
      <c r="E382" s="4" t="s">
        <v>395</v>
      </c>
      <c r="F382" s="3" t="s">
        <v>44</v>
      </c>
      <c r="G382" s="3" t="s">
        <v>2272</v>
      </c>
      <c r="H382" s="21" t="s">
        <v>2272</v>
      </c>
      <c r="I382" s="21" t="s">
        <v>2272</v>
      </c>
      <c r="J382" s="21">
        <v>0.54</v>
      </c>
      <c r="K382" s="21"/>
      <c r="L382" s="21" t="s">
        <v>2272</v>
      </c>
      <c r="M382" s="21" t="s">
        <v>2272</v>
      </c>
      <c r="N382" s="21" t="s">
        <v>2272</v>
      </c>
      <c r="O382" s="21" t="s">
        <v>2272</v>
      </c>
      <c r="P382" s="21" t="s">
        <v>2272</v>
      </c>
      <c r="Q382" s="21" t="s">
        <v>2272</v>
      </c>
      <c r="R382" s="21" t="s">
        <v>2272</v>
      </c>
      <c r="S382" s="21" t="s">
        <v>2272</v>
      </c>
      <c r="T382" s="3" t="s">
        <v>1027</v>
      </c>
    </row>
    <row r="383" spans="1:20" ht="40" customHeight="1">
      <c r="A383" s="11" t="s">
        <v>1038</v>
      </c>
      <c r="B383" s="19" t="s">
        <v>1193</v>
      </c>
      <c r="C383" s="19" t="s">
        <v>11</v>
      </c>
      <c r="D383" s="19" t="s">
        <v>394</v>
      </c>
      <c r="E383" s="3" t="s">
        <v>2272</v>
      </c>
      <c r="F383" s="3" t="s">
        <v>2272</v>
      </c>
      <c r="G383" s="3" t="s">
        <v>2272</v>
      </c>
      <c r="H383" s="21" t="s">
        <v>2272</v>
      </c>
      <c r="I383" s="21" t="s">
        <v>2272</v>
      </c>
      <c r="J383" s="21" t="s">
        <v>2272</v>
      </c>
      <c r="K383" s="21"/>
      <c r="L383" s="21" t="s">
        <v>2272</v>
      </c>
      <c r="M383" s="21" t="s">
        <v>2272</v>
      </c>
      <c r="N383" s="21" t="s">
        <v>2272</v>
      </c>
      <c r="O383" s="21" t="s">
        <v>2272</v>
      </c>
      <c r="P383" s="21" t="s">
        <v>2272</v>
      </c>
      <c r="Q383" s="21" t="s">
        <v>2272</v>
      </c>
      <c r="R383" s="21" t="s">
        <v>2272</v>
      </c>
      <c r="S383" s="21" t="s">
        <v>2272</v>
      </c>
      <c r="T383" s="3"/>
    </row>
    <row r="384" spans="1:20" ht="39.5" customHeight="1">
      <c r="A384" s="11" t="s">
        <v>1041</v>
      </c>
      <c r="B384" s="19" t="s">
        <v>1193</v>
      </c>
      <c r="C384" s="19" t="s">
        <v>11</v>
      </c>
      <c r="D384" s="19" t="s">
        <v>394</v>
      </c>
      <c r="E384" s="3" t="s">
        <v>128</v>
      </c>
      <c r="F384" s="3" t="s">
        <v>135</v>
      </c>
      <c r="G384" s="3" t="s">
        <v>2272</v>
      </c>
      <c r="H384" s="21" t="s">
        <v>2272</v>
      </c>
      <c r="I384" s="21" t="s">
        <v>2272</v>
      </c>
      <c r="J384" s="21" t="s">
        <v>2272</v>
      </c>
      <c r="K384" s="21"/>
      <c r="L384" s="21" t="s">
        <v>2272</v>
      </c>
      <c r="M384" s="21" t="s">
        <v>2272</v>
      </c>
      <c r="N384" s="21" t="s">
        <v>2272</v>
      </c>
      <c r="O384" s="21" t="s">
        <v>2272</v>
      </c>
      <c r="P384" s="21" t="s">
        <v>2272</v>
      </c>
      <c r="Q384" s="21" t="s">
        <v>2272</v>
      </c>
      <c r="R384" s="21" t="s">
        <v>2272</v>
      </c>
      <c r="S384" s="21" t="s">
        <v>2272</v>
      </c>
      <c r="T384" s="3"/>
    </row>
    <row r="385" spans="1:20" ht="34.5" customHeight="1">
      <c r="A385" s="11" t="s">
        <v>1042</v>
      </c>
      <c r="B385" s="3" t="s">
        <v>2254</v>
      </c>
      <c r="C385" s="19" t="s">
        <v>11</v>
      </c>
      <c r="D385" s="19" t="s">
        <v>394</v>
      </c>
      <c r="E385" s="3" t="s">
        <v>128</v>
      </c>
      <c r="F385" s="3" t="s">
        <v>2272</v>
      </c>
      <c r="G385" s="3" t="s">
        <v>2272</v>
      </c>
      <c r="H385" s="21" t="s">
        <v>2272</v>
      </c>
      <c r="I385" s="21" t="s">
        <v>2272</v>
      </c>
      <c r="J385" s="21" t="s">
        <v>2272</v>
      </c>
      <c r="K385" s="21"/>
      <c r="L385" s="21" t="s">
        <v>2272</v>
      </c>
      <c r="M385" s="21" t="s">
        <v>2272</v>
      </c>
      <c r="N385" s="21" t="s">
        <v>2272</v>
      </c>
      <c r="O385" s="21" t="s">
        <v>2272</v>
      </c>
      <c r="P385" s="21" t="s">
        <v>2272</v>
      </c>
      <c r="Q385" s="21" t="s">
        <v>2272</v>
      </c>
      <c r="R385" s="21" t="s">
        <v>2272</v>
      </c>
      <c r="S385" s="21" t="s">
        <v>2272</v>
      </c>
      <c r="T385" s="3"/>
    </row>
    <row r="386" spans="1:20" ht="36" customHeight="1">
      <c r="A386" s="11" t="s">
        <v>1043</v>
      </c>
      <c r="B386" s="3" t="s">
        <v>2254</v>
      </c>
      <c r="C386" s="19" t="s">
        <v>11</v>
      </c>
      <c r="D386" s="19" t="s">
        <v>82</v>
      </c>
      <c r="E386" s="3" t="s">
        <v>128</v>
      </c>
      <c r="F386" s="11" t="s">
        <v>860</v>
      </c>
      <c r="G386" s="3" t="s">
        <v>2272</v>
      </c>
      <c r="H386" s="21" t="s">
        <v>2272</v>
      </c>
      <c r="I386" s="21" t="s">
        <v>2272</v>
      </c>
      <c r="J386" s="21" t="s">
        <v>2272</v>
      </c>
      <c r="K386" s="21" t="s">
        <v>532</v>
      </c>
      <c r="L386" s="21" t="s">
        <v>2272</v>
      </c>
      <c r="M386" s="21" t="s">
        <v>2272</v>
      </c>
      <c r="N386" s="21" t="s">
        <v>2272</v>
      </c>
      <c r="O386" s="21" t="s">
        <v>2272</v>
      </c>
      <c r="P386" s="21" t="s">
        <v>2272</v>
      </c>
      <c r="Q386" s="21" t="s">
        <v>2272</v>
      </c>
      <c r="R386" s="21" t="s">
        <v>2272</v>
      </c>
      <c r="S386" s="21" t="s">
        <v>2272</v>
      </c>
      <c r="T386" s="3"/>
    </row>
    <row r="387" spans="1:20" ht="43.5" customHeight="1">
      <c r="A387" s="11" t="s">
        <v>1044</v>
      </c>
      <c r="B387" s="3" t="s">
        <v>68</v>
      </c>
      <c r="C387" s="19" t="s">
        <v>11</v>
      </c>
      <c r="D387" s="3" t="s">
        <v>128</v>
      </c>
      <c r="E387" s="19" t="s">
        <v>394</v>
      </c>
      <c r="F387" s="11" t="s">
        <v>2644</v>
      </c>
      <c r="G387" s="3" t="s">
        <v>2272</v>
      </c>
      <c r="H387" s="21" t="s">
        <v>2272</v>
      </c>
      <c r="I387" s="21" t="s">
        <v>2272</v>
      </c>
      <c r="J387" s="21" t="s">
        <v>2272</v>
      </c>
      <c r="K387" s="21" t="s">
        <v>532</v>
      </c>
      <c r="L387" s="21" t="s">
        <v>2272</v>
      </c>
      <c r="M387" s="21" t="s">
        <v>2272</v>
      </c>
      <c r="N387" s="21" t="s">
        <v>2272</v>
      </c>
      <c r="O387" s="21" t="s">
        <v>2272</v>
      </c>
      <c r="P387" s="21" t="s">
        <v>2272</v>
      </c>
      <c r="Q387" s="21" t="s">
        <v>2272</v>
      </c>
      <c r="R387" s="21" t="s">
        <v>2272</v>
      </c>
      <c r="S387" s="21" t="s">
        <v>2272</v>
      </c>
      <c r="T387" s="3"/>
    </row>
    <row r="388" spans="1:20" ht="45" customHeight="1">
      <c r="A388" s="11" t="s">
        <v>1051</v>
      </c>
      <c r="B388" s="3" t="s">
        <v>68</v>
      </c>
      <c r="C388" s="19" t="s">
        <v>11</v>
      </c>
      <c r="D388" s="19" t="s">
        <v>394</v>
      </c>
      <c r="E388" s="4" t="s">
        <v>395</v>
      </c>
      <c r="F388" s="3" t="s">
        <v>128</v>
      </c>
      <c r="G388" s="3" t="s">
        <v>82</v>
      </c>
      <c r="H388" s="21" t="s">
        <v>2272</v>
      </c>
      <c r="I388" s="21" t="s">
        <v>2272</v>
      </c>
      <c r="J388" s="21" t="s">
        <v>2272</v>
      </c>
      <c r="K388" s="21"/>
      <c r="L388" s="21" t="s">
        <v>2272</v>
      </c>
      <c r="M388" s="21" t="s">
        <v>2272</v>
      </c>
      <c r="N388" s="21" t="s">
        <v>2272</v>
      </c>
      <c r="O388" s="21" t="s">
        <v>2272</v>
      </c>
      <c r="P388" s="21" t="s">
        <v>2272</v>
      </c>
      <c r="Q388" s="21" t="s">
        <v>2272</v>
      </c>
      <c r="R388" s="21" t="s">
        <v>2272</v>
      </c>
      <c r="S388" s="21" t="s">
        <v>2272</v>
      </c>
      <c r="T388" s="3"/>
    </row>
    <row r="389" spans="1:20" ht="42.5" customHeight="1">
      <c r="A389" s="11" t="s">
        <v>1068</v>
      </c>
      <c r="B389" s="19" t="s">
        <v>1193</v>
      </c>
      <c r="C389" s="19" t="s">
        <v>11</v>
      </c>
      <c r="D389" s="19" t="s">
        <v>394</v>
      </c>
      <c r="E389" s="19" t="s">
        <v>135</v>
      </c>
      <c r="F389" s="4" t="s">
        <v>2645</v>
      </c>
      <c r="G389" s="21" t="s">
        <v>2272</v>
      </c>
      <c r="H389" s="21" t="s">
        <v>2272</v>
      </c>
      <c r="I389" s="21" t="s">
        <v>2272</v>
      </c>
      <c r="J389" s="21" t="s">
        <v>2272</v>
      </c>
      <c r="K389" s="21" t="s">
        <v>532</v>
      </c>
      <c r="L389" s="21" t="s">
        <v>2272</v>
      </c>
      <c r="M389" s="21" t="s">
        <v>2272</v>
      </c>
      <c r="N389" s="21" t="s">
        <v>2272</v>
      </c>
      <c r="O389" s="21" t="s">
        <v>2272</v>
      </c>
      <c r="P389" s="21" t="s">
        <v>2272</v>
      </c>
      <c r="Q389" s="21" t="s">
        <v>2272</v>
      </c>
      <c r="R389" s="21" t="s">
        <v>2272</v>
      </c>
      <c r="S389" s="21" t="s">
        <v>2272</v>
      </c>
      <c r="T389" s="4" t="s">
        <v>1071</v>
      </c>
    </row>
    <row r="390" spans="1:20" ht="45.5" customHeight="1">
      <c r="A390" s="11" t="s">
        <v>1072</v>
      </c>
      <c r="B390" s="19" t="s">
        <v>1193</v>
      </c>
      <c r="C390" s="19" t="s">
        <v>11</v>
      </c>
      <c r="D390" s="4" t="s">
        <v>128</v>
      </c>
      <c r="E390" s="19" t="s">
        <v>44</v>
      </c>
      <c r="F390" s="19" t="s">
        <v>394</v>
      </c>
      <c r="G390" s="3"/>
      <c r="H390" s="21" t="s">
        <v>2272</v>
      </c>
      <c r="I390" s="21">
        <v>6</v>
      </c>
      <c r="J390" s="21" t="s">
        <v>2272</v>
      </c>
      <c r="K390" s="21"/>
      <c r="L390" s="21" t="s">
        <v>2272</v>
      </c>
      <c r="M390" s="21" t="s">
        <v>2272</v>
      </c>
      <c r="N390" s="21" t="s">
        <v>2272</v>
      </c>
      <c r="O390" s="21" t="s">
        <v>2272</v>
      </c>
      <c r="P390" s="21" t="s">
        <v>2272</v>
      </c>
      <c r="Q390" s="21" t="s">
        <v>2272</v>
      </c>
      <c r="R390" s="21" t="s">
        <v>2272</v>
      </c>
      <c r="S390" s="21" t="s">
        <v>2272</v>
      </c>
      <c r="T390" s="4" t="s">
        <v>1080</v>
      </c>
    </row>
    <row r="391" spans="1:20" ht="49.5" customHeight="1">
      <c r="A391" s="11" t="s">
        <v>1082</v>
      </c>
      <c r="B391" s="3" t="s">
        <v>2272</v>
      </c>
      <c r="C391" s="19" t="s">
        <v>11</v>
      </c>
      <c r="D391" s="19" t="s">
        <v>860</v>
      </c>
      <c r="E391" s="19" t="s">
        <v>114</v>
      </c>
      <c r="F391" s="3" t="s">
        <v>2272</v>
      </c>
      <c r="G391" s="3" t="s">
        <v>2272</v>
      </c>
      <c r="H391" s="21" t="s">
        <v>2272</v>
      </c>
      <c r="I391" s="21" t="s">
        <v>2272</v>
      </c>
      <c r="J391" s="21" t="s">
        <v>2272</v>
      </c>
      <c r="K391" s="21" t="s">
        <v>532</v>
      </c>
      <c r="L391" s="21" t="s">
        <v>2272</v>
      </c>
      <c r="M391" s="21" t="s">
        <v>2272</v>
      </c>
      <c r="N391" s="21" t="s">
        <v>2272</v>
      </c>
      <c r="O391" s="21" t="s">
        <v>2272</v>
      </c>
      <c r="P391" s="21" t="s">
        <v>2272</v>
      </c>
      <c r="Q391" s="21" t="s">
        <v>2272</v>
      </c>
      <c r="R391" s="21" t="s">
        <v>2272</v>
      </c>
      <c r="S391" s="21" t="s">
        <v>2272</v>
      </c>
      <c r="T391" s="3"/>
    </row>
    <row r="392" spans="1:20" ht="53.5" customHeight="1">
      <c r="A392" s="11" t="s">
        <v>1095</v>
      </c>
      <c r="B392" s="3" t="s">
        <v>2272</v>
      </c>
      <c r="C392" s="19" t="s">
        <v>11</v>
      </c>
      <c r="D392" s="3" t="s">
        <v>135</v>
      </c>
      <c r="E392" s="3" t="s">
        <v>44</v>
      </c>
      <c r="F392" s="3" t="s">
        <v>114</v>
      </c>
      <c r="G392" s="3" t="s">
        <v>2272</v>
      </c>
      <c r="H392" s="21" t="s">
        <v>2272</v>
      </c>
      <c r="I392" s="21" t="s">
        <v>2272</v>
      </c>
      <c r="J392" s="21" t="s">
        <v>2272</v>
      </c>
      <c r="K392" s="21"/>
      <c r="L392" s="21" t="s">
        <v>2272</v>
      </c>
      <c r="M392" s="21" t="s">
        <v>2272</v>
      </c>
      <c r="N392" s="21" t="s">
        <v>2272</v>
      </c>
      <c r="O392" s="21" t="s">
        <v>2272</v>
      </c>
      <c r="P392" s="21" t="s">
        <v>2272</v>
      </c>
      <c r="Q392" s="21" t="s">
        <v>2272</v>
      </c>
      <c r="R392" s="21" t="s">
        <v>2272</v>
      </c>
      <c r="S392" s="21" t="s">
        <v>2272</v>
      </c>
      <c r="T392" s="3"/>
    </row>
    <row r="393" spans="1:20" ht="53.5" customHeight="1">
      <c r="A393" s="11" t="s">
        <v>1114</v>
      </c>
      <c r="B393" s="4" t="s">
        <v>1193</v>
      </c>
      <c r="C393" s="19" t="s">
        <v>11</v>
      </c>
      <c r="D393" s="3" t="s">
        <v>114</v>
      </c>
      <c r="E393" s="3" t="s">
        <v>128</v>
      </c>
      <c r="F393" s="3" t="s">
        <v>135</v>
      </c>
      <c r="G393" s="3" t="s">
        <v>860</v>
      </c>
      <c r="H393" s="21" t="s">
        <v>2272</v>
      </c>
      <c r="I393" s="21" t="s">
        <v>2272</v>
      </c>
      <c r="J393" s="21">
        <v>1.6</v>
      </c>
      <c r="K393" s="21" t="s">
        <v>532</v>
      </c>
      <c r="L393" s="21" t="s">
        <v>2272</v>
      </c>
      <c r="M393" s="21" t="s">
        <v>2272</v>
      </c>
      <c r="N393" s="21" t="s">
        <v>2272</v>
      </c>
      <c r="O393" s="21" t="s">
        <v>2272</v>
      </c>
      <c r="P393" s="21">
        <v>4.8</v>
      </c>
      <c r="Q393" s="21">
        <v>91.8</v>
      </c>
      <c r="R393" s="21">
        <v>2.7</v>
      </c>
      <c r="S393" s="21" t="s">
        <v>2272</v>
      </c>
      <c r="T393" s="3" t="s">
        <v>2330</v>
      </c>
    </row>
    <row r="394" spans="1:20" ht="53.5" customHeight="1">
      <c r="A394" s="11" t="s">
        <v>1115</v>
      </c>
      <c r="B394" s="3" t="s">
        <v>2254</v>
      </c>
      <c r="C394" s="19" t="s">
        <v>11</v>
      </c>
      <c r="D394" s="3" t="s">
        <v>82</v>
      </c>
      <c r="E394" s="4" t="s">
        <v>2644</v>
      </c>
      <c r="F394" s="3" t="s">
        <v>128</v>
      </c>
      <c r="G394" s="3" t="s">
        <v>860</v>
      </c>
      <c r="H394" s="21" t="s">
        <v>2272</v>
      </c>
      <c r="I394" s="21" t="s">
        <v>2272</v>
      </c>
      <c r="J394" s="21">
        <v>2.2000000000000002</v>
      </c>
      <c r="K394" s="21" t="s">
        <v>532</v>
      </c>
      <c r="L394" s="21" t="s">
        <v>2272</v>
      </c>
      <c r="M394" s="21" t="s">
        <v>2272</v>
      </c>
      <c r="N394" s="21" t="s">
        <v>2272</v>
      </c>
      <c r="O394" s="21" t="s">
        <v>2272</v>
      </c>
      <c r="P394" s="21" t="s">
        <v>2272</v>
      </c>
      <c r="Q394" s="21" t="s">
        <v>2272</v>
      </c>
      <c r="R394" s="21" t="s">
        <v>2272</v>
      </c>
      <c r="S394" s="21" t="s">
        <v>2272</v>
      </c>
      <c r="T394" s="3" t="s">
        <v>2330</v>
      </c>
    </row>
    <row r="395" spans="1:20" ht="44.5" customHeight="1">
      <c r="A395" s="11" t="s">
        <v>1122</v>
      </c>
      <c r="B395" s="3" t="s">
        <v>2272</v>
      </c>
      <c r="C395" s="19" t="s">
        <v>393</v>
      </c>
      <c r="D395" s="3" t="s">
        <v>128</v>
      </c>
      <c r="E395" s="3" t="s">
        <v>2272</v>
      </c>
      <c r="F395" s="3" t="s">
        <v>2272</v>
      </c>
      <c r="G395" s="3" t="s">
        <v>2272</v>
      </c>
      <c r="H395" s="21" t="s">
        <v>2272</v>
      </c>
      <c r="I395" s="21">
        <v>1</v>
      </c>
      <c r="J395" s="21" t="s">
        <v>2272</v>
      </c>
      <c r="K395" s="21"/>
      <c r="L395" s="21" t="s">
        <v>2272</v>
      </c>
      <c r="M395" s="21" t="s">
        <v>2272</v>
      </c>
      <c r="N395" s="21" t="s">
        <v>2272</v>
      </c>
      <c r="O395" s="21" t="s">
        <v>2272</v>
      </c>
      <c r="P395" s="21" t="s">
        <v>2272</v>
      </c>
      <c r="Q395" s="21" t="s">
        <v>2272</v>
      </c>
      <c r="R395" s="21" t="s">
        <v>2272</v>
      </c>
      <c r="S395" s="21" t="s">
        <v>2272</v>
      </c>
      <c r="T395" s="3"/>
    </row>
    <row r="396" spans="1:20" ht="51" customHeight="1">
      <c r="A396" s="11" t="s">
        <v>1132</v>
      </c>
      <c r="B396" s="3" t="s">
        <v>31</v>
      </c>
      <c r="C396" s="19" t="s">
        <v>11</v>
      </c>
      <c r="D396" s="19" t="s">
        <v>44</v>
      </c>
      <c r="E396" s="19" t="s">
        <v>860</v>
      </c>
      <c r="F396" s="11" t="s">
        <v>82</v>
      </c>
      <c r="G396" s="19" t="s">
        <v>128</v>
      </c>
      <c r="H396" s="21" t="s">
        <v>2272</v>
      </c>
      <c r="I396" s="21" t="s">
        <v>2272</v>
      </c>
      <c r="J396" s="21" t="s">
        <v>2272</v>
      </c>
      <c r="K396" s="21" t="s">
        <v>532</v>
      </c>
      <c r="L396" s="21" t="s">
        <v>2272</v>
      </c>
      <c r="M396" s="21" t="s">
        <v>2272</v>
      </c>
      <c r="N396" s="21" t="s">
        <v>2272</v>
      </c>
      <c r="O396" s="21" t="s">
        <v>2272</v>
      </c>
      <c r="P396" s="21" t="s">
        <v>2272</v>
      </c>
      <c r="Q396" s="21" t="s">
        <v>2272</v>
      </c>
      <c r="R396" s="21" t="s">
        <v>2272</v>
      </c>
      <c r="S396" s="21" t="s">
        <v>2272</v>
      </c>
      <c r="T396" s="3"/>
    </row>
    <row r="397" spans="1:20" ht="52" customHeight="1">
      <c r="A397" s="11" t="s">
        <v>1138</v>
      </c>
      <c r="B397" s="3" t="s">
        <v>2272</v>
      </c>
      <c r="C397" s="3" t="s">
        <v>393</v>
      </c>
      <c r="D397" s="3" t="s">
        <v>128</v>
      </c>
      <c r="E397" s="19" t="s">
        <v>2644</v>
      </c>
      <c r="F397" s="4" t="s">
        <v>395</v>
      </c>
      <c r="G397" s="4" t="s">
        <v>2646</v>
      </c>
      <c r="H397" s="21" t="s">
        <v>2272</v>
      </c>
      <c r="I397" s="21" t="s">
        <v>2272</v>
      </c>
      <c r="J397" s="21" t="s">
        <v>2272</v>
      </c>
      <c r="K397" s="21" t="s">
        <v>532</v>
      </c>
      <c r="L397" s="21" t="s">
        <v>2272</v>
      </c>
      <c r="M397" s="21" t="s">
        <v>2272</v>
      </c>
      <c r="N397" s="21" t="s">
        <v>2272</v>
      </c>
      <c r="O397" s="21" t="s">
        <v>2272</v>
      </c>
      <c r="P397" s="21" t="s">
        <v>2272</v>
      </c>
      <c r="Q397" s="21" t="s">
        <v>2272</v>
      </c>
      <c r="R397" s="21" t="s">
        <v>2272</v>
      </c>
      <c r="S397" s="21" t="s">
        <v>2272</v>
      </c>
      <c r="T397" s="3"/>
    </row>
    <row r="398" spans="1:20" ht="53.5" customHeight="1">
      <c r="A398" s="11" t="s">
        <v>1151</v>
      </c>
      <c r="B398" s="3" t="s">
        <v>2272</v>
      </c>
      <c r="C398" s="3" t="s">
        <v>393</v>
      </c>
      <c r="D398" s="3" t="s">
        <v>128</v>
      </c>
      <c r="E398" s="19" t="s">
        <v>2644</v>
      </c>
      <c r="F398" s="4" t="s">
        <v>1081</v>
      </c>
      <c r="G398" s="4" t="s">
        <v>2272</v>
      </c>
      <c r="H398" s="21" t="s">
        <v>2272</v>
      </c>
      <c r="I398" s="21" t="s">
        <v>2272</v>
      </c>
      <c r="J398" s="21" t="s">
        <v>2272</v>
      </c>
      <c r="K398" s="21" t="s">
        <v>532</v>
      </c>
      <c r="L398" s="21" t="s">
        <v>2272</v>
      </c>
      <c r="M398" s="21" t="s">
        <v>2272</v>
      </c>
      <c r="N398" s="21" t="s">
        <v>2272</v>
      </c>
      <c r="O398" s="21" t="s">
        <v>2272</v>
      </c>
      <c r="P398" s="21" t="s">
        <v>2272</v>
      </c>
      <c r="Q398" s="21" t="s">
        <v>2272</v>
      </c>
      <c r="R398" s="21" t="s">
        <v>2272</v>
      </c>
      <c r="S398" s="21" t="s">
        <v>2272</v>
      </c>
      <c r="T398" s="3"/>
    </row>
    <row r="399" spans="1:20" ht="53.5" customHeight="1">
      <c r="A399" s="11" t="s">
        <v>1155</v>
      </c>
      <c r="B399" s="3" t="s">
        <v>2272</v>
      </c>
      <c r="C399" s="3" t="s">
        <v>393</v>
      </c>
      <c r="D399" s="3" t="s">
        <v>128</v>
      </c>
      <c r="E399" s="19" t="s">
        <v>2644</v>
      </c>
      <c r="F399" s="4" t="s">
        <v>1081</v>
      </c>
      <c r="G399" s="4" t="s">
        <v>2272</v>
      </c>
      <c r="H399" s="21" t="s">
        <v>2272</v>
      </c>
      <c r="I399" s="21" t="s">
        <v>2272</v>
      </c>
      <c r="J399" s="21" t="s">
        <v>2272</v>
      </c>
      <c r="K399" s="21" t="s">
        <v>532</v>
      </c>
      <c r="L399" s="21" t="s">
        <v>2272</v>
      </c>
      <c r="M399" s="21" t="s">
        <v>2272</v>
      </c>
      <c r="N399" s="21" t="s">
        <v>2272</v>
      </c>
      <c r="O399" s="21" t="s">
        <v>2272</v>
      </c>
      <c r="P399" s="21" t="s">
        <v>2272</v>
      </c>
      <c r="Q399" s="21" t="s">
        <v>2272</v>
      </c>
      <c r="R399" s="21" t="s">
        <v>2272</v>
      </c>
      <c r="S399" s="21" t="s">
        <v>2272</v>
      </c>
      <c r="T399" s="3"/>
    </row>
    <row r="400" spans="1:20" ht="47" customHeight="1">
      <c r="A400" s="11" t="s">
        <v>1140</v>
      </c>
      <c r="B400" s="3" t="s">
        <v>2254</v>
      </c>
      <c r="C400" s="3" t="s">
        <v>11</v>
      </c>
      <c r="D400" s="3" t="s">
        <v>860</v>
      </c>
      <c r="E400" s="41" t="s">
        <v>2644</v>
      </c>
      <c r="F400" s="3" t="s">
        <v>114</v>
      </c>
      <c r="G400" s="3" t="s">
        <v>2272</v>
      </c>
      <c r="H400" s="21" t="s">
        <v>2272</v>
      </c>
      <c r="I400" s="21" t="s">
        <v>2272</v>
      </c>
      <c r="J400" s="21" t="s">
        <v>2272</v>
      </c>
      <c r="K400" s="21" t="s">
        <v>532</v>
      </c>
      <c r="L400" s="21" t="s">
        <v>2272</v>
      </c>
      <c r="M400" s="21" t="s">
        <v>2272</v>
      </c>
      <c r="N400" s="21" t="s">
        <v>2272</v>
      </c>
      <c r="O400" s="21" t="s">
        <v>2272</v>
      </c>
      <c r="P400" s="21" t="s">
        <v>2272</v>
      </c>
      <c r="Q400" s="21" t="s">
        <v>2272</v>
      </c>
      <c r="R400" s="21" t="s">
        <v>2272</v>
      </c>
      <c r="S400" s="21" t="s">
        <v>2272</v>
      </c>
      <c r="T400" s="4" t="s">
        <v>2292</v>
      </c>
    </row>
    <row r="401" spans="1:20" ht="47" customHeight="1">
      <c r="A401" s="23" t="s">
        <v>1141</v>
      </c>
      <c r="B401" s="3" t="s">
        <v>69</v>
      </c>
      <c r="C401" s="3" t="s">
        <v>11</v>
      </c>
      <c r="D401" s="3" t="s">
        <v>860</v>
      </c>
      <c r="E401" s="3" t="s">
        <v>2272</v>
      </c>
      <c r="F401" s="3" t="s">
        <v>2272</v>
      </c>
      <c r="G401" s="3" t="s">
        <v>2272</v>
      </c>
      <c r="H401" s="21" t="s">
        <v>2272</v>
      </c>
      <c r="I401" s="21" t="s">
        <v>2272</v>
      </c>
      <c r="J401" s="21" t="s">
        <v>2272</v>
      </c>
      <c r="K401" s="21" t="s">
        <v>532</v>
      </c>
      <c r="L401" s="21" t="s">
        <v>2272</v>
      </c>
      <c r="M401" s="21">
        <v>19</v>
      </c>
      <c r="N401" s="21" t="s">
        <v>2272</v>
      </c>
      <c r="O401" s="21" t="s">
        <v>2272</v>
      </c>
      <c r="P401" s="21" t="s">
        <v>2272</v>
      </c>
      <c r="Q401" s="21" t="s">
        <v>2272</v>
      </c>
      <c r="R401" s="21" t="s">
        <v>2272</v>
      </c>
      <c r="S401" s="21" t="s">
        <v>2272</v>
      </c>
      <c r="T401" s="3"/>
    </row>
    <row r="402" spans="1:20" ht="47" customHeight="1">
      <c r="A402" s="23" t="s">
        <v>1499</v>
      </c>
      <c r="B402" s="3" t="s">
        <v>69</v>
      </c>
      <c r="C402" s="3" t="s">
        <v>11</v>
      </c>
      <c r="D402" s="3" t="s">
        <v>860</v>
      </c>
      <c r="E402" s="3" t="s">
        <v>2272</v>
      </c>
      <c r="F402" s="3" t="s">
        <v>2272</v>
      </c>
      <c r="G402" s="3" t="s">
        <v>2272</v>
      </c>
      <c r="H402" s="21" t="s">
        <v>2272</v>
      </c>
      <c r="I402" s="21" t="s">
        <v>2272</v>
      </c>
      <c r="J402" s="21" t="s">
        <v>2272</v>
      </c>
      <c r="K402" s="21" t="s">
        <v>532</v>
      </c>
      <c r="L402" s="21" t="s">
        <v>2272</v>
      </c>
      <c r="M402" s="21">
        <v>19</v>
      </c>
      <c r="N402" s="21" t="s">
        <v>2272</v>
      </c>
      <c r="O402" s="21" t="s">
        <v>2272</v>
      </c>
      <c r="P402" s="21" t="s">
        <v>2272</v>
      </c>
      <c r="Q402" s="21" t="s">
        <v>2272</v>
      </c>
      <c r="R402" s="21" t="s">
        <v>2272</v>
      </c>
      <c r="S402" s="21" t="s">
        <v>2272</v>
      </c>
      <c r="T402" s="3"/>
    </row>
    <row r="403" spans="1:20" ht="47" customHeight="1">
      <c r="A403" s="23" t="s">
        <v>1500</v>
      </c>
      <c r="B403" s="3" t="s">
        <v>69</v>
      </c>
      <c r="C403" s="3" t="s">
        <v>11</v>
      </c>
      <c r="D403" s="3" t="s">
        <v>860</v>
      </c>
      <c r="E403" s="3" t="s">
        <v>2272</v>
      </c>
      <c r="F403" s="3" t="s">
        <v>2272</v>
      </c>
      <c r="G403" s="3" t="s">
        <v>2272</v>
      </c>
      <c r="H403" s="21" t="s">
        <v>2272</v>
      </c>
      <c r="I403" s="21" t="s">
        <v>2272</v>
      </c>
      <c r="J403" s="21" t="s">
        <v>2272</v>
      </c>
      <c r="K403" s="21" t="s">
        <v>532</v>
      </c>
      <c r="L403" s="21" t="s">
        <v>2272</v>
      </c>
      <c r="M403" s="21">
        <v>19</v>
      </c>
      <c r="N403" s="21" t="s">
        <v>2272</v>
      </c>
      <c r="O403" s="21" t="s">
        <v>2272</v>
      </c>
      <c r="P403" s="21" t="s">
        <v>2272</v>
      </c>
      <c r="Q403" s="21" t="s">
        <v>2272</v>
      </c>
      <c r="R403" s="21" t="s">
        <v>2272</v>
      </c>
      <c r="S403" s="21" t="s">
        <v>2272</v>
      </c>
      <c r="T403" s="3"/>
    </row>
    <row r="404" spans="1:20" ht="47" customHeight="1">
      <c r="A404" s="23" t="s">
        <v>1501</v>
      </c>
      <c r="B404" s="3" t="s">
        <v>69</v>
      </c>
      <c r="C404" s="3" t="s">
        <v>11</v>
      </c>
      <c r="D404" s="3" t="s">
        <v>860</v>
      </c>
      <c r="E404" s="3" t="s">
        <v>2272</v>
      </c>
      <c r="F404" s="3" t="s">
        <v>2272</v>
      </c>
      <c r="G404" s="3" t="s">
        <v>2272</v>
      </c>
      <c r="H404" s="21" t="s">
        <v>2272</v>
      </c>
      <c r="I404" s="21" t="s">
        <v>2272</v>
      </c>
      <c r="J404" s="21" t="s">
        <v>2272</v>
      </c>
      <c r="K404" s="21" t="s">
        <v>532</v>
      </c>
      <c r="L404" s="21" t="s">
        <v>2272</v>
      </c>
      <c r="M404" s="21">
        <v>19</v>
      </c>
      <c r="N404" s="21" t="s">
        <v>2272</v>
      </c>
      <c r="O404" s="21" t="s">
        <v>2272</v>
      </c>
      <c r="P404" s="21" t="s">
        <v>2272</v>
      </c>
      <c r="Q404" s="21" t="s">
        <v>2272</v>
      </c>
      <c r="R404" s="21" t="s">
        <v>2272</v>
      </c>
      <c r="S404" s="21" t="s">
        <v>2272</v>
      </c>
      <c r="T404" s="3"/>
    </row>
    <row r="405" spans="1:20" ht="47" customHeight="1">
      <c r="A405" s="23" t="s">
        <v>1502</v>
      </c>
      <c r="B405" s="3" t="s">
        <v>69</v>
      </c>
      <c r="C405" s="3" t="s">
        <v>11</v>
      </c>
      <c r="D405" s="3" t="s">
        <v>860</v>
      </c>
      <c r="E405" s="3" t="s">
        <v>2272</v>
      </c>
      <c r="F405" s="3" t="s">
        <v>2272</v>
      </c>
      <c r="G405" s="3" t="s">
        <v>2272</v>
      </c>
      <c r="H405" s="21" t="s">
        <v>2272</v>
      </c>
      <c r="I405" s="21" t="s">
        <v>2272</v>
      </c>
      <c r="J405" s="21" t="s">
        <v>2272</v>
      </c>
      <c r="K405" s="21" t="s">
        <v>532</v>
      </c>
      <c r="L405" s="21" t="s">
        <v>2272</v>
      </c>
      <c r="M405" s="21">
        <v>28</v>
      </c>
      <c r="N405" s="21" t="s">
        <v>2272</v>
      </c>
      <c r="O405" s="21" t="s">
        <v>2272</v>
      </c>
      <c r="P405" s="21" t="s">
        <v>2272</v>
      </c>
      <c r="Q405" s="21" t="s">
        <v>2272</v>
      </c>
      <c r="R405" s="21" t="s">
        <v>2272</v>
      </c>
      <c r="S405" s="21" t="s">
        <v>2272</v>
      </c>
      <c r="T405" s="3"/>
    </row>
    <row r="406" spans="1:20" ht="47" customHeight="1">
      <c r="A406" s="23" t="s">
        <v>1503</v>
      </c>
      <c r="B406" s="3" t="s">
        <v>69</v>
      </c>
      <c r="C406" s="3" t="s">
        <v>11</v>
      </c>
      <c r="D406" s="3" t="s">
        <v>860</v>
      </c>
      <c r="E406" s="3" t="s">
        <v>2272</v>
      </c>
      <c r="F406" s="3" t="s">
        <v>2272</v>
      </c>
      <c r="G406" s="3" t="s">
        <v>2272</v>
      </c>
      <c r="H406" s="21" t="s">
        <v>2272</v>
      </c>
      <c r="I406" s="21" t="s">
        <v>2272</v>
      </c>
      <c r="J406" s="21" t="s">
        <v>2272</v>
      </c>
      <c r="K406" s="21" t="s">
        <v>532</v>
      </c>
      <c r="L406" s="21" t="s">
        <v>2272</v>
      </c>
      <c r="M406" s="21">
        <v>28</v>
      </c>
      <c r="N406" s="21" t="s">
        <v>2272</v>
      </c>
      <c r="O406" s="21" t="s">
        <v>2272</v>
      </c>
      <c r="P406" s="21" t="s">
        <v>2272</v>
      </c>
      <c r="Q406" s="21" t="s">
        <v>2272</v>
      </c>
      <c r="R406" s="21" t="s">
        <v>2272</v>
      </c>
      <c r="S406" s="21" t="s">
        <v>2272</v>
      </c>
      <c r="T406" s="3"/>
    </row>
    <row r="407" spans="1:20" ht="47" customHeight="1">
      <c r="A407" s="23" t="s">
        <v>1504</v>
      </c>
      <c r="B407" s="3" t="s">
        <v>69</v>
      </c>
      <c r="C407" s="3" t="s">
        <v>11</v>
      </c>
      <c r="D407" s="3" t="s">
        <v>860</v>
      </c>
      <c r="E407" s="3" t="s">
        <v>2272</v>
      </c>
      <c r="F407" s="3" t="s">
        <v>2272</v>
      </c>
      <c r="G407" s="3" t="s">
        <v>2272</v>
      </c>
      <c r="H407" s="21" t="s">
        <v>2272</v>
      </c>
      <c r="I407" s="21" t="s">
        <v>2272</v>
      </c>
      <c r="J407" s="21" t="s">
        <v>2272</v>
      </c>
      <c r="K407" s="21" t="s">
        <v>532</v>
      </c>
      <c r="L407" s="21" t="s">
        <v>2272</v>
      </c>
      <c r="M407" s="21">
        <v>28</v>
      </c>
      <c r="N407" s="21" t="s">
        <v>2272</v>
      </c>
      <c r="O407" s="21" t="s">
        <v>2272</v>
      </c>
      <c r="P407" s="21" t="s">
        <v>2272</v>
      </c>
      <c r="Q407" s="21" t="s">
        <v>2272</v>
      </c>
      <c r="R407" s="21" t="s">
        <v>2272</v>
      </c>
      <c r="S407" s="21" t="s">
        <v>2272</v>
      </c>
      <c r="T407" s="3"/>
    </row>
    <row r="408" spans="1:20" ht="47" customHeight="1">
      <c r="A408" s="23" t="s">
        <v>1505</v>
      </c>
      <c r="B408" s="3" t="s">
        <v>69</v>
      </c>
      <c r="C408" s="3" t="s">
        <v>11</v>
      </c>
      <c r="D408" s="3" t="s">
        <v>860</v>
      </c>
      <c r="E408" s="3" t="s">
        <v>2272</v>
      </c>
      <c r="F408" s="3" t="s">
        <v>2272</v>
      </c>
      <c r="G408" s="3" t="s">
        <v>2272</v>
      </c>
      <c r="H408" s="21" t="s">
        <v>2272</v>
      </c>
      <c r="I408" s="21" t="s">
        <v>2272</v>
      </c>
      <c r="J408" s="21" t="s">
        <v>2272</v>
      </c>
      <c r="K408" s="21" t="s">
        <v>532</v>
      </c>
      <c r="L408" s="21" t="s">
        <v>2272</v>
      </c>
      <c r="M408" s="21">
        <v>28</v>
      </c>
      <c r="N408" s="21" t="s">
        <v>2272</v>
      </c>
      <c r="O408" s="21" t="s">
        <v>2272</v>
      </c>
      <c r="P408" s="21" t="s">
        <v>2272</v>
      </c>
      <c r="Q408" s="21" t="s">
        <v>2272</v>
      </c>
      <c r="R408" s="21" t="s">
        <v>2272</v>
      </c>
      <c r="S408" s="21" t="s">
        <v>2272</v>
      </c>
      <c r="T408" s="3"/>
    </row>
    <row r="409" spans="1:20" ht="47" customHeight="1">
      <c r="A409" s="23" t="s">
        <v>1506</v>
      </c>
      <c r="B409" s="3" t="s">
        <v>69</v>
      </c>
      <c r="C409" s="3" t="s">
        <v>11</v>
      </c>
      <c r="D409" s="3" t="s">
        <v>860</v>
      </c>
      <c r="E409" s="3" t="s">
        <v>2272</v>
      </c>
      <c r="F409" s="3" t="s">
        <v>2272</v>
      </c>
      <c r="G409" s="3" t="s">
        <v>2272</v>
      </c>
      <c r="H409" s="21" t="s">
        <v>2272</v>
      </c>
      <c r="I409" s="21" t="s">
        <v>2272</v>
      </c>
      <c r="J409" s="21" t="s">
        <v>2272</v>
      </c>
      <c r="K409" s="21" t="s">
        <v>532</v>
      </c>
      <c r="L409" s="21" t="s">
        <v>2272</v>
      </c>
      <c r="M409" s="21">
        <v>28</v>
      </c>
      <c r="N409" s="21" t="s">
        <v>2272</v>
      </c>
      <c r="O409" s="21" t="s">
        <v>2272</v>
      </c>
      <c r="P409" s="21" t="s">
        <v>2272</v>
      </c>
      <c r="Q409" s="21" t="s">
        <v>2272</v>
      </c>
      <c r="R409" s="21" t="s">
        <v>2272</v>
      </c>
      <c r="S409" s="21" t="s">
        <v>2272</v>
      </c>
      <c r="T409" s="3"/>
    </row>
    <row r="410" spans="1:20" ht="47" customHeight="1">
      <c r="A410" s="23" t="s">
        <v>1507</v>
      </c>
      <c r="B410" s="3" t="s">
        <v>69</v>
      </c>
      <c r="C410" s="3" t="s">
        <v>11</v>
      </c>
      <c r="D410" s="3" t="s">
        <v>860</v>
      </c>
      <c r="E410" s="3" t="s">
        <v>2272</v>
      </c>
      <c r="F410" s="3" t="s">
        <v>2272</v>
      </c>
      <c r="G410" s="3" t="s">
        <v>2272</v>
      </c>
      <c r="H410" s="21" t="s">
        <v>2272</v>
      </c>
      <c r="I410" s="21" t="s">
        <v>2272</v>
      </c>
      <c r="J410" s="21" t="s">
        <v>2272</v>
      </c>
      <c r="K410" s="21" t="s">
        <v>532</v>
      </c>
      <c r="L410" s="21" t="s">
        <v>2272</v>
      </c>
      <c r="M410" s="21">
        <v>40</v>
      </c>
      <c r="N410" s="21" t="s">
        <v>2272</v>
      </c>
      <c r="O410" s="21" t="s">
        <v>2272</v>
      </c>
      <c r="P410" s="21" t="s">
        <v>2272</v>
      </c>
      <c r="Q410" s="21" t="s">
        <v>2272</v>
      </c>
      <c r="R410" s="21" t="s">
        <v>2272</v>
      </c>
      <c r="S410" s="21" t="s">
        <v>2272</v>
      </c>
      <c r="T410" s="3"/>
    </row>
    <row r="411" spans="1:20" ht="47" customHeight="1">
      <c r="A411" s="23" t="s">
        <v>1508</v>
      </c>
      <c r="B411" s="3" t="s">
        <v>69</v>
      </c>
      <c r="C411" s="3" t="s">
        <v>11</v>
      </c>
      <c r="D411" s="3" t="s">
        <v>860</v>
      </c>
      <c r="E411" s="3" t="s">
        <v>2272</v>
      </c>
      <c r="F411" s="3" t="s">
        <v>2272</v>
      </c>
      <c r="G411" s="3" t="s">
        <v>2272</v>
      </c>
      <c r="H411" s="21" t="s">
        <v>2272</v>
      </c>
      <c r="I411" s="21" t="s">
        <v>2272</v>
      </c>
      <c r="J411" s="21" t="s">
        <v>2272</v>
      </c>
      <c r="K411" s="21" t="s">
        <v>532</v>
      </c>
      <c r="L411" s="21" t="s">
        <v>2272</v>
      </c>
      <c r="M411" s="21">
        <v>40</v>
      </c>
      <c r="N411" s="21" t="s">
        <v>2272</v>
      </c>
      <c r="O411" s="21" t="s">
        <v>2272</v>
      </c>
      <c r="P411" s="21" t="s">
        <v>2272</v>
      </c>
      <c r="Q411" s="21" t="s">
        <v>2272</v>
      </c>
      <c r="R411" s="21" t="s">
        <v>2272</v>
      </c>
      <c r="S411" s="21" t="s">
        <v>2272</v>
      </c>
      <c r="T411" s="3"/>
    </row>
    <row r="412" spans="1:20" ht="47" customHeight="1">
      <c r="A412" s="23" t="s">
        <v>1509</v>
      </c>
      <c r="B412" s="3" t="s">
        <v>69</v>
      </c>
      <c r="C412" s="3" t="s">
        <v>11</v>
      </c>
      <c r="D412" s="3" t="s">
        <v>860</v>
      </c>
      <c r="E412" s="3" t="s">
        <v>2272</v>
      </c>
      <c r="F412" s="3" t="s">
        <v>2272</v>
      </c>
      <c r="G412" s="3" t="s">
        <v>2272</v>
      </c>
      <c r="H412" s="21" t="s">
        <v>2272</v>
      </c>
      <c r="I412" s="21" t="s">
        <v>2272</v>
      </c>
      <c r="J412" s="21" t="s">
        <v>2272</v>
      </c>
      <c r="K412" s="21" t="s">
        <v>532</v>
      </c>
      <c r="L412" s="21" t="s">
        <v>2272</v>
      </c>
      <c r="M412" s="21">
        <v>40</v>
      </c>
      <c r="N412" s="21" t="s">
        <v>2272</v>
      </c>
      <c r="O412" s="21" t="s">
        <v>2272</v>
      </c>
      <c r="P412" s="21" t="s">
        <v>2272</v>
      </c>
      <c r="Q412" s="21" t="s">
        <v>2272</v>
      </c>
      <c r="R412" s="21" t="s">
        <v>2272</v>
      </c>
      <c r="S412" s="21" t="s">
        <v>2272</v>
      </c>
      <c r="T412" s="3"/>
    </row>
    <row r="413" spans="1:20" ht="47" customHeight="1">
      <c r="A413" s="23" t="s">
        <v>1510</v>
      </c>
      <c r="B413" s="3" t="s">
        <v>69</v>
      </c>
      <c r="C413" s="3" t="s">
        <v>11</v>
      </c>
      <c r="D413" s="3" t="s">
        <v>860</v>
      </c>
      <c r="E413" s="3" t="s">
        <v>2272</v>
      </c>
      <c r="F413" s="3" t="s">
        <v>2272</v>
      </c>
      <c r="G413" s="3" t="s">
        <v>2272</v>
      </c>
      <c r="H413" s="21" t="s">
        <v>2272</v>
      </c>
      <c r="I413" s="21" t="s">
        <v>2272</v>
      </c>
      <c r="J413" s="21" t="s">
        <v>2272</v>
      </c>
      <c r="K413" s="21" t="s">
        <v>532</v>
      </c>
      <c r="L413" s="21" t="s">
        <v>2272</v>
      </c>
      <c r="M413" s="21">
        <v>40</v>
      </c>
      <c r="N413" s="21" t="s">
        <v>2272</v>
      </c>
      <c r="O413" s="21" t="s">
        <v>2272</v>
      </c>
      <c r="P413" s="21" t="s">
        <v>2272</v>
      </c>
      <c r="Q413" s="21" t="s">
        <v>2272</v>
      </c>
      <c r="R413" s="21" t="s">
        <v>2272</v>
      </c>
      <c r="S413" s="21" t="s">
        <v>2272</v>
      </c>
      <c r="T413" s="3"/>
    </row>
    <row r="414" spans="1:20" ht="47" customHeight="1">
      <c r="A414" s="23" t="s">
        <v>1511</v>
      </c>
      <c r="B414" s="3" t="s">
        <v>69</v>
      </c>
      <c r="C414" s="3" t="s">
        <v>11</v>
      </c>
      <c r="D414" s="3" t="s">
        <v>860</v>
      </c>
      <c r="E414" s="3" t="s">
        <v>2272</v>
      </c>
      <c r="F414" s="3" t="s">
        <v>2272</v>
      </c>
      <c r="G414" s="3" t="s">
        <v>2272</v>
      </c>
      <c r="H414" s="21" t="s">
        <v>2272</v>
      </c>
      <c r="I414" s="21" t="s">
        <v>2272</v>
      </c>
      <c r="J414" s="21" t="s">
        <v>2272</v>
      </c>
      <c r="K414" s="21" t="s">
        <v>532</v>
      </c>
      <c r="L414" s="21" t="s">
        <v>2272</v>
      </c>
      <c r="M414" s="21">
        <v>40</v>
      </c>
      <c r="N414" s="21" t="s">
        <v>2272</v>
      </c>
      <c r="O414" s="21" t="s">
        <v>2272</v>
      </c>
      <c r="P414" s="21" t="s">
        <v>2272</v>
      </c>
      <c r="Q414" s="21" t="s">
        <v>2272</v>
      </c>
      <c r="R414" s="21" t="s">
        <v>2272</v>
      </c>
      <c r="S414" s="21" t="s">
        <v>2272</v>
      </c>
      <c r="T414" s="3"/>
    </row>
    <row r="415" spans="1:20" ht="47" customHeight="1">
      <c r="A415" s="23" t="s">
        <v>1512</v>
      </c>
      <c r="B415" s="3" t="s">
        <v>69</v>
      </c>
      <c r="C415" s="3" t="s">
        <v>11</v>
      </c>
      <c r="D415" s="3" t="s">
        <v>860</v>
      </c>
      <c r="E415" s="3" t="s">
        <v>2272</v>
      </c>
      <c r="F415" s="3" t="s">
        <v>2272</v>
      </c>
      <c r="G415" s="3" t="s">
        <v>2272</v>
      </c>
      <c r="H415" s="21" t="s">
        <v>2272</v>
      </c>
      <c r="I415" s="21" t="s">
        <v>2272</v>
      </c>
      <c r="J415" s="21" t="s">
        <v>2272</v>
      </c>
      <c r="K415" s="21" t="s">
        <v>532</v>
      </c>
      <c r="L415" s="21" t="s">
        <v>2272</v>
      </c>
      <c r="M415" s="21">
        <v>28</v>
      </c>
      <c r="N415" s="21" t="s">
        <v>2272</v>
      </c>
      <c r="O415" s="21" t="s">
        <v>2272</v>
      </c>
      <c r="P415" s="21" t="s">
        <v>2272</v>
      </c>
      <c r="Q415" s="21" t="s">
        <v>2272</v>
      </c>
      <c r="R415" s="21" t="s">
        <v>2272</v>
      </c>
      <c r="S415" s="21" t="s">
        <v>2272</v>
      </c>
      <c r="T415" s="3"/>
    </row>
    <row r="416" spans="1:20" ht="47" customHeight="1">
      <c r="A416" s="23" t="s">
        <v>1513</v>
      </c>
      <c r="B416" s="3" t="s">
        <v>69</v>
      </c>
      <c r="C416" s="3" t="s">
        <v>11</v>
      </c>
      <c r="D416" s="3" t="s">
        <v>860</v>
      </c>
      <c r="E416" s="3" t="s">
        <v>2272</v>
      </c>
      <c r="F416" s="3" t="s">
        <v>2272</v>
      </c>
      <c r="G416" s="3" t="s">
        <v>2272</v>
      </c>
      <c r="H416" s="21" t="s">
        <v>2272</v>
      </c>
      <c r="I416" s="21" t="s">
        <v>2272</v>
      </c>
      <c r="J416" s="21" t="s">
        <v>2272</v>
      </c>
      <c r="K416" s="21" t="s">
        <v>532</v>
      </c>
      <c r="L416" s="21" t="s">
        <v>2272</v>
      </c>
      <c r="M416" s="21">
        <v>40</v>
      </c>
      <c r="N416" s="21" t="s">
        <v>2272</v>
      </c>
      <c r="O416" s="21" t="s">
        <v>2272</v>
      </c>
      <c r="P416" s="21" t="s">
        <v>2272</v>
      </c>
      <c r="Q416" s="21" t="s">
        <v>2272</v>
      </c>
      <c r="R416" s="21" t="s">
        <v>2272</v>
      </c>
      <c r="S416" s="21" t="s">
        <v>2272</v>
      </c>
      <c r="T416" s="3"/>
    </row>
    <row r="417" spans="1:20" ht="47" customHeight="1">
      <c r="A417" s="23" t="s">
        <v>1514</v>
      </c>
      <c r="B417" s="3" t="s">
        <v>69</v>
      </c>
      <c r="C417" s="3" t="s">
        <v>11</v>
      </c>
      <c r="D417" s="3" t="s">
        <v>860</v>
      </c>
      <c r="E417" s="3" t="s">
        <v>2272</v>
      </c>
      <c r="F417" s="3" t="s">
        <v>2272</v>
      </c>
      <c r="G417" s="3" t="s">
        <v>2272</v>
      </c>
      <c r="H417" s="21" t="s">
        <v>2272</v>
      </c>
      <c r="I417" s="21" t="s">
        <v>2272</v>
      </c>
      <c r="J417" s="21" t="s">
        <v>2272</v>
      </c>
      <c r="K417" s="21" t="s">
        <v>532</v>
      </c>
      <c r="L417" s="21" t="s">
        <v>2272</v>
      </c>
      <c r="M417" s="21">
        <v>40</v>
      </c>
      <c r="N417" s="21" t="s">
        <v>2272</v>
      </c>
      <c r="O417" s="21" t="s">
        <v>2272</v>
      </c>
      <c r="P417" s="21" t="s">
        <v>2272</v>
      </c>
      <c r="Q417" s="21" t="s">
        <v>2272</v>
      </c>
      <c r="R417" s="21" t="s">
        <v>2272</v>
      </c>
      <c r="S417" s="21" t="s">
        <v>2272</v>
      </c>
      <c r="T417" s="3"/>
    </row>
    <row r="418" spans="1:20" ht="47" customHeight="1">
      <c r="A418" s="23" t="s">
        <v>1515</v>
      </c>
      <c r="B418" s="3" t="s">
        <v>69</v>
      </c>
      <c r="C418" s="3" t="s">
        <v>11</v>
      </c>
      <c r="D418" s="3" t="s">
        <v>860</v>
      </c>
      <c r="E418" s="3" t="s">
        <v>2272</v>
      </c>
      <c r="F418" s="3" t="s">
        <v>2272</v>
      </c>
      <c r="G418" s="3" t="s">
        <v>2272</v>
      </c>
      <c r="H418" s="21" t="s">
        <v>2272</v>
      </c>
      <c r="I418" s="21" t="s">
        <v>2272</v>
      </c>
      <c r="J418" s="21" t="s">
        <v>2272</v>
      </c>
      <c r="K418" s="21" t="s">
        <v>532</v>
      </c>
      <c r="L418" s="21" t="s">
        <v>2272</v>
      </c>
      <c r="M418" s="21">
        <v>28</v>
      </c>
      <c r="N418" s="21" t="s">
        <v>2272</v>
      </c>
      <c r="O418" s="21" t="s">
        <v>2272</v>
      </c>
      <c r="P418" s="21" t="s">
        <v>2272</v>
      </c>
      <c r="Q418" s="21" t="s">
        <v>2272</v>
      </c>
      <c r="R418" s="21" t="s">
        <v>2272</v>
      </c>
      <c r="S418" s="21" t="s">
        <v>2272</v>
      </c>
      <c r="T418" s="3"/>
    </row>
    <row r="419" spans="1:20" ht="47" customHeight="1">
      <c r="A419" s="23" t="s">
        <v>1516</v>
      </c>
      <c r="B419" s="3" t="s">
        <v>69</v>
      </c>
      <c r="C419" s="3" t="s">
        <v>11</v>
      </c>
      <c r="D419" s="3" t="s">
        <v>860</v>
      </c>
      <c r="E419" s="3" t="s">
        <v>2272</v>
      </c>
      <c r="F419" s="3" t="s">
        <v>2272</v>
      </c>
      <c r="G419" s="3" t="s">
        <v>2272</v>
      </c>
      <c r="H419" s="21" t="s">
        <v>2272</v>
      </c>
      <c r="I419" s="21" t="s">
        <v>2272</v>
      </c>
      <c r="J419" s="21" t="s">
        <v>2272</v>
      </c>
      <c r="K419" s="21" t="s">
        <v>532</v>
      </c>
      <c r="L419" s="21" t="s">
        <v>2272</v>
      </c>
      <c r="M419" s="21">
        <v>40</v>
      </c>
      <c r="N419" s="21" t="s">
        <v>2272</v>
      </c>
      <c r="O419" s="21" t="s">
        <v>2272</v>
      </c>
      <c r="P419" s="21" t="s">
        <v>2272</v>
      </c>
      <c r="Q419" s="21" t="s">
        <v>2272</v>
      </c>
      <c r="R419" s="21" t="s">
        <v>2272</v>
      </c>
      <c r="S419" s="21" t="s">
        <v>2272</v>
      </c>
      <c r="T419" s="3"/>
    </row>
    <row r="420" spans="1:20" ht="47" customHeight="1">
      <c r="A420" s="23" t="s">
        <v>1517</v>
      </c>
      <c r="B420" s="3" t="s">
        <v>69</v>
      </c>
      <c r="C420" s="3" t="s">
        <v>11</v>
      </c>
      <c r="D420" s="3" t="s">
        <v>860</v>
      </c>
      <c r="E420" s="3" t="s">
        <v>2272</v>
      </c>
      <c r="F420" s="3" t="s">
        <v>2272</v>
      </c>
      <c r="G420" s="3" t="s">
        <v>2272</v>
      </c>
      <c r="H420" s="21" t="s">
        <v>2272</v>
      </c>
      <c r="I420" s="21" t="s">
        <v>2272</v>
      </c>
      <c r="J420" s="21" t="s">
        <v>2272</v>
      </c>
      <c r="K420" s="21" t="s">
        <v>532</v>
      </c>
      <c r="L420" s="21" t="s">
        <v>2272</v>
      </c>
      <c r="M420" s="21">
        <v>40</v>
      </c>
      <c r="N420" s="21" t="s">
        <v>2272</v>
      </c>
      <c r="O420" s="21" t="s">
        <v>2272</v>
      </c>
      <c r="P420" s="21" t="s">
        <v>2272</v>
      </c>
      <c r="Q420" s="21" t="s">
        <v>2272</v>
      </c>
      <c r="R420" s="21" t="s">
        <v>2272</v>
      </c>
      <c r="S420" s="21" t="s">
        <v>2272</v>
      </c>
      <c r="T420" s="3"/>
    </row>
    <row r="421" spans="1:20" ht="47" customHeight="1">
      <c r="A421" s="23" t="s">
        <v>1518</v>
      </c>
      <c r="B421" s="3" t="s">
        <v>69</v>
      </c>
      <c r="C421" s="3" t="s">
        <v>11</v>
      </c>
      <c r="D421" s="3" t="s">
        <v>860</v>
      </c>
      <c r="E421" s="3" t="s">
        <v>2272</v>
      </c>
      <c r="F421" s="3" t="s">
        <v>2272</v>
      </c>
      <c r="G421" s="3" t="s">
        <v>2272</v>
      </c>
      <c r="H421" s="21" t="s">
        <v>2272</v>
      </c>
      <c r="I421" s="21" t="s">
        <v>2272</v>
      </c>
      <c r="J421" s="21" t="s">
        <v>2272</v>
      </c>
      <c r="K421" s="21" t="s">
        <v>532</v>
      </c>
      <c r="L421" s="21" t="s">
        <v>2272</v>
      </c>
      <c r="M421" s="21">
        <v>40</v>
      </c>
      <c r="N421" s="21" t="s">
        <v>2272</v>
      </c>
      <c r="O421" s="21" t="s">
        <v>2272</v>
      </c>
      <c r="P421" s="21" t="s">
        <v>2272</v>
      </c>
      <c r="Q421" s="21" t="s">
        <v>2272</v>
      </c>
      <c r="R421" s="21" t="s">
        <v>2272</v>
      </c>
      <c r="S421" s="21" t="s">
        <v>2272</v>
      </c>
      <c r="T421" s="3"/>
    </row>
    <row r="422" spans="1:20" ht="47" customHeight="1">
      <c r="A422" s="23" t="s">
        <v>1519</v>
      </c>
      <c r="B422" s="3" t="s">
        <v>69</v>
      </c>
      <c r="C422" s="3" t="s">
        <v>11</v>
      </c>
      <c r="D422" s="3" t="s">
        <v>860</v>
      </c>
      <c r="E422" s="3" t="s">
        <v>2272</v>
      </c>
      <c r="F422" s="3" t="s">
        <v>2272</v>
      </c>
      <c r="G422" s="3" t="s">
        <v>2272</v>
      </c>
      <c r="H422" s="21" t="s">
        <v>2272</v>
      </c>
      <c r="I422" s="21" t="s">
        <v>2272</v>
      </c>
      <c r="J422" s="21" t="s">
        <v>2272</v>
      </c>
      <c r="K422" s="21" t="s">
        <v>532</v>
      </c>
      <c r="L422" s="21" t="s">
        <v>2272</v>
      </c>
      <c r="M422" s="21">
        <v>40</v>
      </c>
      <c r="N422" s="21" t="s">
        <v>2272</v>
      </c>
      <c r="O422" s="21" t="s">
        <v>2272</v>
      </c>
      <c r="P422" s="21" t="s">
        <v>2272</v>
      </c>
      <c r="Q422" s="21" t="s">
        <v>2272</v>
      </c>
      <c r="R422" s="21" t="s">
        <v>2272</v>
      </c>
      <c r="S422" s="21" t="s">
        <v>2272</v>
      </c>
      <c r="T422" s="3"/>
    </row>
    <row r="423" spans="1:20" ht="47" customHeight="1">
      <c r="A423" s="23" t="s">
        <v>1520</v>
      </c>
      <c r="B423" s="3" t="s">
        <v>69</v>
      </c>
      <c r="C423" s="3" t="s">
        <v>11</v>
      </c>
      <c r="D423" s="3" t="s">
        <v>860</v>
      </c>
      <c r="E423" s="3" t="s">
        <v>2272</v>
      </c>
      <c r="F423" s="3" t="s">
        <v>2272</v>
      </c>
      <c r="G423" s="3" t="s">
        <v>2272</v>
      </c>
      <c r="H423" s="21" t="s">
        <v>2272</v>
      </c>
      <c r="I423" s="21" t="s">
        <v>2272</v>
      </c>
      <c r="J423" s="21" t="s">
        <v>2272</v>
      </c>
      <c r="K423" s="21" t="s">
        <v>532</v>
      </c>
      <c r="L423" s="21" t="s">
        <v>2272</v>
      </c>
      <c r="M423" s="21">
        <v>40</v>
      </c>
      <c r="N423" s="21" t="s">
        <v>2272</v>
      </c>
      <c r="O423" s="21" t="s">
        <v>2272</v>
      </c>
      <c r="P423" s="21" t="s">
        <v>2272</v>
      </c>
      <c r="Q423" s="21" t="s">
        <v>2272</v>
      </c>
      <c r="R423" s="21" t="s">
        <v>2272</v>
      </c>
      <c r="S423" s="21" t="s">
        <v>2272</v>
      </c>
      <c r="T423" s="3"/>
    </row>
    <row r="424" spans="1:20" ht="47" customHeight="1">
      <c r="A424" s="23" t="s">
        <v>1521</v>
      </c>
      <c r="B424" s="3" t="s">
        <v>69</v>
      </c>
      <c r="C424" s="3" t="s">
        <v>11</v>
      </c>
      <c r="D424" s="3" t="s">
        <v>860</v>
      </c>
      <c r="E424" s="3" t="s">
        <v>2272</v>
      </c>
      <c r="F424" s="3" t="s">
        <v>2272</v>
      </c>
      <c r="G424" s="3" t="s">
        <v>2272</v>
      </c>
      <c r="H424" s="21" t="s">
        <v>2272</v>
      </c>
      <c r="I424" s="21" t="s">
        <v>2272</v>
      </c>
      <c r="J424" s="21" t="s">
        <v>2272</v>
      </c>
      <c r="K424" s="21" t="s">
        <v>532</v>
      </c>
      <c r="L424" s="21" t="s">
        <v>2272</v>
      </c>
      <c r="M424" s="21">
        <v>40</v>
      </c>
      <c r="N424" s="21" t="s">
        <v>2272</v>
      </c>
      <c r="O424" s="21" t="s">
        <v>2272</v>
      </c>
      <c r="P424" s="21" t="s">
        <v>2272</v>
      </c>
      <c r="Q424" s="21" t="s">
        <v>2272</v>
      </c>
      <c r="R424" s="21" t="s">
        <v>2272</v>
      </c>
      <c r="S424" s="21" t="s">
        <v>2272</v>
      </c>
      <c r="T424" s="3"/>
    </row>
    <row r="425" spans="1:20" ht="47" customHeight="1">
      <c r="A425" s="23" t="s">
        <v>1522</v>
      </c>
      <c r="B425" s="3" t="s">
        <v>69</v>
      </c>
      <c r="C425" s="3" t="s">
        <v>11</v>
      </c>
      <c r="D425" s="3" t="s">
        <v>860</v>
      </c>
      <c r="E425" s="3" t="s">
        <v>2272</v>
      </c>
      <c r="F425" s="3" t="s">
        <v>2272</v>
      </c>
      <c r="G425" s="3" t="s">
        <v>2272</v>
      </c>
      <c r="H425" s="21" t="s">
        <v>2272</v>
      </c>
      <c r="I425" s="21" t="s">
        <v>2272</v>
      </c>
      <c r="J425" s="21" t="s">
        <v>2272</v>
      </c>
      <c r="K425" s="21" t="s">
        <v>532</v>
      </c>
      <c r="L425" s="21" t="s">
        <v>2272</v>
      </c>
      <c r="M425" s="21">
        <v>40</v>
      </c>
      <c r="N425" s="21" t="s">
        <v>2272</v>
      </c>
      <c r="O425" s="21" t="s">
        <v>2272</v>
      </c>
      <c r="P425" s="21" t="s">
        <v>2272</v>
      </c>
      <c r="Q425" s="21" t="s">
        <v>2272</v>
      </c>
      <c r="R425" s="21" t="s">
        <v>2272</v>
      </c>
      <c r="S425" s="21" t="s">
        <v>2272</v>
      </c>
      <c r="T425" s="3"/>
    </row>
    <row r="426" spans="1:20" ht="47" customHeight="1">
      <c r="A426" s="23" t="s">
        <v>1523</v>
      </c>
      <c r="B426" s="3" t="s">
        <v>69</v>
      </c>
      <c r="C426" s="3" t="s">
        <v>11</v>
      </c>
      <c r="D426" s="3" t="s">
        <v>860</v>
      </c>
      <c r="E426" s="3" t="s">
        <v>2272</v>
      </c>
      <c r="F426" s="3" t="s">
        <v>2272</v>
      </c>
      <c r="G426" s="3" t="s">
        <v>2272</v>
      </c>
      <c r="H426" s="21" t="s">
        <v>2272</v>
      </c>
      <c r="I426" s="21" t="s">
        <v>2272</v>
      </c>
      <c r="J426" s="21" t="s">
        <v>2272</v>
      </c>
      <c r="K426" s="21" t="s">
        <v>532</v>
      </c>
      <c r="L426" s="21" t="s">
        <v>2272</v>
      </c>
      <c r="M426" s="21">
        <v>28</v>
      </c>
      <c r="N426" s="21" t="s">
        <v>2272</v>
      </c>
      <c r="O426" s="21" t="s">
        <v>2272</v>
      </c>
      <c r="P426" s="21" t="s">
        <v>2272</v>
      </c>
      <c r="Q426" s="21" t="s">
        <v>2272</v>
      </c>
      <c r="R426" s="21" t="s">
        <v>2272</v>
      </c>
      <c r="S426" s="21" t="s">
        <v>2272</v>
      </c>
      <c r="T426" s="3"/>
    </row>
    <row r="427" spans="1:20" ht="47" customHeight="1">
      <c r="A427" s="23" t="s">
        <v>1524</v>
      </c>
      <c r="B427" s="3" t="s">
        <v>69</v>
      </c>
      <c r="C427" s="3" t="s">
        <v>11</v>
      </c>
      <c r="D427" s="3" t="s">
        <v>860</v>
      </c>
      <c r="E427" s="3" t="s">
        <v>2272</v>
      </c>
      <c r="F427" s="3" t="s">
        <v>2272</v>
      </c>
      <c r="G427" s="3" t="s">
        <v>2272</v>
      </c>
      <c r="H427" s="21" t="s">
        <v>2272</v>
      </c>
      <c r="I427" s="21" t="s">
        <v>2272</v>
      </c>
      <c r="J427" s="21" t="s">
        <v>2272</v>
      </c>
      <c r="K427" s="21" t="s">
        <v>532</v>
      </c>
      <c r="L427" s="21" t="s">
        <v>2272</v>
      </c>
      <c r="M427" s="21">
        <v>28</v>
      </c>
      <c r="N427" s="21" t="s">
        <v>2272</v>
      </c>
      <c r="O427" s="21" t="s">
        <v>2272</v>
      </c>
      <c r="P427" s="21" t="s">
        <v>2272</v>
      </c>
      <c r="Q427" s="21" t="s">
        <v>2272</v>
      </c>
      <c r="R427" s="21" t="s">
        <v>2272</v>
      </c>
      <c r="S427" s="21" t="s">
        <v>2272</v>
      </c>
      <c r="T427" s="3"/>
    </row>
    <row r="428" spans="1:20" ht="47" customHeight="1">
      <c r="A428" s="23" t="s">
        <v>1525</v>
      </c>
      <c r="B428" s="3" t="s">
        <v>69</v>
      </c>
      <c r="C428" s="3" t="s">
        <v>11</v>
      </c>
      <c r="D428" s="3" t="s">
        <v>860</v>
      </c>
      <c r="E428" s="3" t="s">
        <v>2272</v>
      </c>
      <c r="F428" s="3" t="s">
        <v>2272</v>
      </c>
      <c r="G428" s="3" t="s">
        <v>2272</v>
      </c>
      <c r="H428" s="21" t="s">
        <v>2272</v>
      </c>
      <c r="I428" s="21" t="s">
        <v>2272</v>
      </c>
      <c r="J428" s="21" t="s">
        <v>2272</v>
      </c>
      <c r="K428" s="21" t="s">
        <v>532</v>
      </c>
      <c r="L428" s="21" t="s">
        <v>2272</v>
      </c>
      <c r="M428" s="21">
        <v>28</v>
      </c>
      <c r="N428" s="21" t="s">
        <v>2272</v>
      </c>
      <c r="O428" s="21" t="s">
        <v>2272</v>
      </c>
      <c r="P428" s="21" t="s">
        <v>2272</v>
      </c>
      <c r="Q428" s="21" t="s">
        <v>2272</v>
      </c>
      <c r="R428" s="21" t="s">
        <v>2272</v>
      </c>
      <c r="S428" s="21" t="s">
        <v>2272</v>
      </c>
      <c r="T428" s="3"/>
    </row>
    <row r="429" spans="1:20" ht="47" customHeight="1">
      <c r="A429" s="23" t="s">
        <v>1526</v>
      </c>
      <c r="B429" s="3" t="s">
        <v>69</v>
      </c>
      <c r="C429" s="3" t="s">
        <v>11</v>
      </c>
      <c r="D429" s="3" t="s">
        <v>860</v>
      </c>
      <c r="E429" s="3" t="s">
        <v>2272</v>
      </c>
      <c r="F429" s="3" t="s">
        <v>2272</v>
      </c>
      <c r="G429" s="3" t="s">
        <v>2272</v>
      </c>
      <c r="H429" s="21" t="s">
        <v>2272</v>
      </c>
      <c r="I429" s="21" t="s">
        <v>2272</v>
      </c>
      <c r="J429" s="21" t="s">
        <v>2272</v>
      </c>
      <c r="K429" s="21" t="s">
        <v>532</v>
      </c>
      <c r="L429" s="21" t="s">
        <v>2272</v>
      </c>
      <c r="M429" s="21">
        <v>19</v>
      </c>
      <c r="N429" s="21" t="s">
        <v>2272</v>
      </c>
      <c r="O429" s="21" t="s">
        <v>2272</v>
      </c>
      <c r="P429" s="21" t="s">
        <v>2272</v>
      </c>
      <c r="Q429" s="21" t="s">
        <v>2272</v>
      </c>
      <c r="R429" s="21" t="s">
        <v>2272</v>
      </c>
      <c r="S429" s="21" t="s">
        <v>2272</v>
      </c>
      <c r="T429" s="3"/>
    </row>
    <row r="430" spans="1:20" ht="47" customHeight="1">
      <c r="A430" s="23" t="s">
        <v>1527</v>
      </c>
      <c r="B430" s="3" t="s">
        <v>69</v>
      </c>
      <c r="C430" s="3" t="s">
        <v>11</v>
      </c>
      <c r="D430" s="3" t="s">
        <v>860</v>
      </c>
      <c r="E430" s="3" t="s">
        <v>2272</v>
      </c>
      <c r="F430" s="3" t="s">
        <v>2272</v>
      </c>
      <c r="G430" s="3" t="s">
        <v>2272</v>
      </c>
      <c r="H430" s="21" t="s">
        <v>2272</v>
      </c>
      <c r="I430" s="21" t="s">
        <v>2272</v>
      </c>
      <c r="J430" s="21" t="s">
        <v>2272</v>
      </c>
      <c r="K430" s="21" t="s">
        <v>532</v>
      </c>
      <c r="L430" s="21" t="s">
        <v>2272</v>
      </c>
      <c r="M430" s="21">
        <v>19</v>
      </c>
      <c r="N430" s="21" t="s">
        <v>2272</v>
      </c>
      <c r="O430" s="21" t="s">
        <v>2272</v>
      </c>
      <c r="P430" s="21" t="s">
        <v>2272</v>
      </c>
      <c r="Q430" s="21" t="s">
        <v>2272</v>
      </c>
      <c r="R430" s="21" t="s">
        <v>2272</v>
      </c>
      <c r="S430" s="21" t="s">
        <v>2272</v>
      </c>
      <c r="T430" s="3"/>
    </row>
    <row r="431" spans="1:20" ht="47" customHeight="1">
      <c r="A431" s="23" t="s">
        <v>1528</v>
      </c>
      <c r="B431" s="3" t="s">
        <v>69</v>
      </c>
      <c r="C431" s="3" t="s">
        <v>11</v>
      </c>
      <c r="D431" s="3" t="s">
        <v>860</v>
      </c>
      <c r="E431" s="3" t="s">
        <v>2272</v>
      </c>
      <c r="F431" s="3" t="s">
        <v>2272</v>
      </c>
      <c r="G431" s="3" t="s">
        <v>2272</v>
      </c>
      <c r="H431" s="21" t="s">
        <v>2272</v>
      </c>
      <c r="I431" s="21" t="s">
        <v>2272</v>
      </c>
      <c r="J431" s="21" t="s">
        <v>2272</v>
      </c>
      <c r="K431" s="21" t="s">
        <v>532</v>
      </c>
      <c r="L431" s="21" t="s">
        <v>2272</v>
      </c>
      <c r="M431" s="21">
        <v>28</v>
      </c>
      <c r="N431" s="21" t="s">
        <v>2272</v>
      </c>
      <c r="O431" s="21" t="s">
        <v>2272</v>
      </c>
      <c r="P431" s="21" t="s">
        <v>2272</v>
      </c>
      <c r="Q431" s="21" t="s">
        <v>2272</v>
      </c>
      <c r="R431" s="21" t="s">
        <v>2272</v>
      </c>
      <c r="S431" s="21" t="s">
        <v>2272</v>
      </c>
      <c r="T431" s="3"/>
    </row>
    <row r="432" spans="1:20" ht="47" customHeight="1">
      <c r="A432" s="23" t="s">
        <v>1529</v>
      </c>
      <c r="B432" s="3" t="s">
        <v>69</v>
      </c>
      <c r="C432" s="3" t="s">
        <v>11</v>
      </c>
      <c r="D432" s="3" t="s">
        <v>860</v>
      </c>
      <c r="E432" s="3" t="s">
        <v>2272</v>
      </c>
      <c r="F432" s="3" t="s">
        <v>2272</v>
      </c>
      <c r="G432" s="3" t="s">
        <v>2272</v>
      </c>
      <c r="H432" s="21" t="s">
        <v>2272</v>
      </c>
      <c r="I432" s="21" t="s">
        <v>2272</v>
      </c>
      <c r="J432" s="21" t="s">
        <v>2272</v>
      </c>
      <c r="K432" s="21" t="s">
        <v>532</v>
      </c>
      <c r="L432" s="21" t="s">
        <v>2272</v>
      </c>
      <c r="M432" s="21">
        <v>19</v>
      </c>
      <c r="N432" s="21" t="s">
        <v>2272</v>
      </c>
      <c r="O432" s="21" t="s">
        <v>2272</v>
      </c>
      <c r="P432" s="21" t="s">
        <v>2272</v>
      </c>
      <c r="Q432" s="21" t="s">
        <v>2272</v>
      </c>
      <c r="R432" s="21" t="s">
        <v>2272</v>
      </c>
      <c r="S432" s="21" t="s">
        <v>2272</v>
      </c>
      <c r="T432" s="3"/>
    </row>
    <row r="433" spans="1:20" ht="47" customHeight="1">
      <c r="A433" s="23" t="s">
        <v>1530</v>
      </c>
      <c r="B433" s="3" t="s">
        <v>69</v>
      </c>
      <c r="C433" s="3" t="s">
        <v>11</v>
      </c>
      <c r="D433" s="3" t="s">
        <v>860</v>
      </c>
      <c r="E433" s="3" t="s">
        <v>2272</v>
      </c>
      <c r="F433" s="3" t="s">
        <v>2272</v>
      </c>
      <c r="G433" s="3" t="s">
        <v>2272</v>
      </c>
      <c r="H433" s="21" t="s">
        <v>2272</v>
      </c>
      <c r="I433" s="21" t="s">
        <v>2272</v>
      </c>
      <c r="J433" s="21" t="s">
        <v>2272</v>
      </c>
      <c r="K433" s="21" t="s">
        <v>532</v>
      </c>
      <c r="L433" s="21" t="s">
        <v>2272</v>
      </c>
      <c r="M433" s="21">
        <v>19</v>
      </c>
      <c r="N433" s="21" t="s">
        <v>2272</v>
      </c>
      <c r="O433" s="21" t="s">
        <v>2272</v>
      </c>
      <c r="P433" s="21" t="s">
        <v>2272</v>
      </c>
      <c r="Q433" s="21" t="s">
        <v>2272</v>
      </c>
      <c r="R433" s="21" t="s">
        <v>2272</v>
      </c>
      <c r="S433" s="21" t="s">
        <v>2272</v>
      </c>
      <c r="T433" s="3"/>
    </row>
    <row r="434" spans="1:20" ht="47" customHeight="1">
      <c r="A434" s="23" t="s">
        <v>1531</v>
      </c>
      <c r="B434" s="3" t="s">
        <v>69</v>
      </c>
      <c r="C434" s="3" t="s">
        <v>11</v>
      </c>
      <c r="D434" s="3" t="s">
        <v>860</v>
      </c>
      <c r="E434" s="3" t="s">
        <v>2272</v>
      </c>
      <c r="F434" s="3" t="s">
        <v>2272</v>
      </c>
      <c r="G434" s="3" t="s">
        <v>2272</v>
      </c>
      <c r="H434" s="21" t="s">
        <v>2272</v>
      </c>
      <c r="I434" s="21" t="s">
        <v>2272</v>
      </c>
      <c r="J434" s="21" t="s">
        <v>2272</v>
      </c>
      <c r="K434" s="21" t="s">
        <v>532</v>
      </c>
      <c r="L434" s="21" t="s">
        <v>2272</v>
      </c>
      <c r="M434" s="21">
        <v>19</v>
      </c>
      <c r="N434" s="21" t="s">
        <v>2272</v>
      </c>
      <c r="O434" s="21" t="s">
        <v>2272</v>
      </c>
      <c r="P434" s="21" t="s">
        <v>2272</v>
      </c>
      <c r="Q434" s="21" t="s">
        <v>2272</v>
      </c>
      <c r="R434" s="21" t="s">
        <v>2272</v>
      </c>
      <c r="S434" s="21" t="s">
        <v>2272</v>
      </c>
      <c r="T434" s="3"/>
    </row>
    <row r="435" spans="1:20" ht="47" customHeight="1">
      <c r="A435" s="23" t="s">
        <v>1532</v>
      </c>
      <c r="B435" s="3" t="s">
        <v>69</v>
      </c>
      <c r="C435" s="3" t="s">
        <v>11</v>
      </c>
      <c r="D435" s="3" t="s">
        <v>860</v>
      </c>
      <c r="E435" s="3" t="s">
        <v>2272</v>
      </c>
      <c r="F435" s="3" t="s">
        <v>2272</v>
      </c>
      <c r="G435" s="3" t="s">
        <v>2272</v>
      </c>
      <c r="H435" s="21" t="s">
        <v>2272</v>
      </c>
      <c r="I435" s="21" t="s">
        <v>2272</v>
      </c>
      <c r="J435" s="21" t="s">
        <v>2272</v>
      </c>
      <c r="K435" s="21" t="s">
        <v>532</v>
      </c>
      <c r="L435" s="21" t="s">
        <v>2272</v>
      </c>
      <c r="M435" s="21">
        <v>19</v>
      </c>
      <c r="N435" s="21" t="s">
        <v>2272</v>
      </c>
      <c r="O435" s="21" t="s">
        <v>2272</v>
      </c>
      <c r="P435" s="21" t="s">
        <v>2272</v>
      </c>
      <c r="Q435" s="21" t="s">
        <v>2272</v>
      </c>
      <c r="R435" s="21" t="s">
        <v>2272</v>
      </c>
      <c r="S435" s="21" t="s">
        <v>2272</v>
      </c>
      <c r="T435" s="3"/>
    </row>
    <row r="436" spans="1:20" ht="47" customHeight="1">
      <c r="A436" s="23" t="s">
        <v>1533</v>
      </c>
      <c r="B436" s="3" t="s">
        <v>69</v>
      </c>
      <c r="C436" s="3" t="s">
        <v>11</v>
      </c>
      <c r="D436" s="3" t="s">
        <v>860</v>
      </c>
      <c r="E436" s="3" t="s">
        <v>2272</v>
      </c>
      <c r="F436" s="3" t="s">
        <v>2272</v>
      </c>
      <c r="G436" s="3" t="s">
        <v>2272</v>
      </c>
      <c r="H436" s="21" t="s">
        <v>2272</v>
      </c>
      <c r="I436" s="21" t="s">
        <v>2272</v>
      </c>
      <c r="J436" s="21" t="s">
        <v>2272</v>
      </c>
      <c r="K436" s="21" t="s">
        <v>532</v>
      </c>
      <c r="L436" s="21" t="s">
        <v>2272</v>
      </c>
      <c r="M436" s="21">
        <v>19</v>
      </c>
      <c r="N436" s="21" t="s">
        <v>2272</v>
      </c>
      <c r="O436" s="21" t="s">
        <v>2272</v>
      </c>
      <c r="P436" s="21" t="s">
        <v>2272</v>
      </c>
      <c r="Q436" s="21" t="s">
        <v>2272</v>
      </c>
      <c r="R436" s="21" t="s">
        <v>2272</v>
      </c>
      <c r="S436" s="21" t="s">
        <v>2272</v>
      </c>
      <c r="T436" s="3"/>
    </row>
    <row r="437" spans="1:20" ht="47" customHeight="1">
      <c r="A437" s="23" t="s">
        <v>1534</v>
      </c>
      <c r="B437" s="3" t="s">
        <v>69</v>
      </c>
      <c r="C437" s="3" t="s">
        <v>11</v>
      </c>
      <c r="D437" s="3" t="s">
        <v>860</v>
      </c>
      <c r="E437" s="3" t="s">
        <v>2272</v>
      </c>
      <c r="F437" s="3" t="s">
        <v>2272</v>
      </c>
      <c r="G437" s="3" t="s">
        <v>2272</v>
      </c>
      <c r="H437" s="21" t="s">
        <v>2272</v>
      </c>
      <c r="I437" s="21" t="s">
        <v>2272</v>
      </c>
      <c r="J437" s="21" t="s">
        <v>2272</v>
      </c>
      <c r="K437" s="21" t="s">
        <v>532</v>
      </c>
      <c r="L437" s="21" t="s">
        <v>2272</v>
      </c>
      <c r="M437" s="21">
        <v>19</v>
      </c>
      <c r="N437" s="21" t="s">
        <v>2272</v>
      </c>
      <c r="O437" s="21" t="s">
        <v>2272</v>
      </c>
      <c r="P437" s="21" t="s">
        <v>2272</v>
      </c>
      <c r="Q437" s="21" t="s">
        <v>2272</v>
      </c>
      <c r="R437" s="21" t="s">
        <v>2272</v>
      </c>
      <c r="S437" s="21" t="s">
        <v>2272</v>
      </c>
      <c r="T437" s="3"/>
    </row>
    <row r="438" spans="1:20" ht="47" customHeight="1">
      <c r="A438" s="23" t="s">
        <v>1535</v>
      </c>
      <c r="B438" s="3" t="s">
        <v>69</v>
      </c>
      <c r="C438" s="3" t="s">
        <v>11</v>
      </c>
      <c r="D438" s="3" t="s">
        <v>860</v>
      </c>
      <c r="E438" s="3" t="s">
        <v>2272</v>
      </c>
      <c r="F438" s="3" t="s">
        <v>2272</v>
      </c>
      <c r="G438" s="3" t="s">
        <v>2272</v>
      </c>
      <c r="H438" s="21" t="s">
        <v>2272</v>
      </c>
      <c r="I438" s="21" t="s">
        <v>2272</v>
      </c>
      <c r="J438" s="21" t="s">
        <v>2272</v>
      </c>
      <c r="K438" s="21" t="s">
        <v>532</v>
      </c>
      <c r="L438" s="21" t="s">
        <v>2272</v>
      </c>
      <c r="M438" s="21">
        <v>19</v>
      </c>
      <c r="N438" s="21" t="s">
        <v>2272</v>
      </c>
      <c r="O438" s="21" t="s">
        <v>2272</v>
      </c>
      <c r="P438" s="21" t="s">
        <v>2272</v>
      </c>
      <c r="Q438" s="21" t="s">
        <v>2272</v>
      </c>
      <c r="R438" s="21" t="s">
        <v>2272</v>
      </c>
      <c r="S438" s="21" t="s">
        <v>2272</v>
      </c>
      <c r="T438" s="3"/>
    </row>
    <row r="439" spans="1:20" ht="47" customHeight="1">
      <c r="A439" s="23" t="s">
        <v>1536</v>
      </c>
      <c r="B439" s="3" t="s">
        <v>69</v>
      </c>
      <c r="C439" s="3" t="s">
        <v>11</v>
      </c>
      <c r="D439" s="3" t="s">
        <v>860</v>
      </c>
      <c r="E439" s="3" t="s">
        <v>2272</v>
      </c>
      <c r="F439" s="3" t="s">
        <v>2272</v>
      </c>
      <c r="G439" s="3" t="s">
        <v>2272</v>
      </c>
      <c r="H439" s="21" t="s">
        <v>2272</v>
      </c>
      <c r="I439" s="21" t="s">
        <v>2272</v>
      </c>
      <c r="J439" s="21" t="s">
        <v>2272</v>
      </c>
      <c r="K439" s="21" t="s">
        <v>532</v>
      </c>
      <c r="L439" s="21" t="s">
        <v>2272</v>
      </c>
      <c r="M439" s="21">
        <v>19</v>
      </c>
      <c r="N439" s="21" t="s">
        <v>2272</v>
      </c>
      <c r="O439" s="21" t="s">
        <v>2272</v>
      </c>
      <c r="P439" s="21" t="s">
        <v>2272</v>
      </c>
      <c r="Q439" s="21" t="s">
        <v>2272</v>
      </c>
      <c r="R439" s="21" t="s">
        <v>2272</v>
      </c>
      <c r="S439" s="21" t="s">
        <v>2272</v>
      </c>
      <c r="T439" s="3"/>
    </row>
    <row r="440" spans="1:20" ht="47" customHeight="1">
      <c r="A440" s="23" t="s">
        <v>1537</v>
      </c>
      <c r="B440" s="3" t="s">
        <v>69</v>
      </c>
      <c r="C440" s="3" t="s">
        <v>11</v>
      </c>
      <c r="D440" s="3" t="s">
        <v>860</v>
      </c>
      <c r="E440" s="3" t="s">
        <v>2272</v>
      </c>
      <c r="F440" s="3" t="s">
        <v>2272</v>
      </c>
      <c r="G440" s="3" t="s">
        <v>2272</v>
      </c>
      <c r="H440" s="21" t="s">
        <v>2272</v>
      </c>
      <c r="I440" s="21" t="s">
        <v>2272</v>
      </c>
      <c r="J440" s="21" t="s">
        <v>2272</v>
      </c>
      <c r="K440" s="21" t="s">
        <v>532</v>
      </c>
      <c r="L440" s="21" t="s">
        <v>2272</v>
      </c>
      <c r="M440" s="21">
        <v>19</v>
      </c>
      <c r="N440" s="21" t="s">
        <v>2272</v>
      </c>
      <c r="O440" s="21" t="s">
        <v>2272</v>
      </c>
      <c r="P440" s="21" t="s">
        <v>2272</v>
      </c>
      <c r="Q440" s="21" t="s">
        <v>2272</v>
      </c>
      <c r="R440" s="21" t="s">
        <v>2272</v>
      </c>
      <c r="S440" s="21" t="s">
        <v>2272</v>
      </c>
      <c r="T440" s="3"/>
    </row>
    <row r="441" spans="1:20" ht="47" customHeight="1">
      <c r="A441" s="23" t="s">
        <v>1538</v>
      </c>
      <c r="B441" s="3" t="s">
        <v>69</v>
      </c>
      <c r="C441" s="3" t="s">
        <v>11</v>
      </c>
      <c r="D441" s="3" t="s">
        <v>860</v>
      </c>
      <c r="E441" s="3" t="s">
        <v>2272</v>
      </c>
      <c r="F441" s="3" t="s">
        <v>2272</v>
      </c>
      <c r="G441" s="3" t="s">
        <v>2272</v>
      </c>
      <c r="H441" s="21" t="s">
        <v>2272</v>
      </c>
      <c r="I441" s="21" t="s">
        <v>2272</v>
      </c>
      <c r="J441" s="21" t="s">
        <v>2272</v>
      </c>
      <c r="K441" s="21" t="s">
        <v>532</v>
      </c>
      <c r="L441" s="21" t="s">
        <v>2272</v>
      </c>
      <c r="M441" s="21">
        <v>19</v>
      </c>
      <c r="N441" s="21" t="s">
        <v>2272</v>
      </c>
      <c r="O441" s="21" t="s">
        <v>2272</v>
      </c>
      <c r="P441" s="21" t="s">
        <v>2272</v>
      </c>
      <c r="Q441" s="21" t="s">
        <v>2272</v>
      </c>
      <c r="R441" s="21" t="s">
        <v>2272</v>
      </c>
      <c r="S441" s="21" t="s">
        <v>2272</v>
      </c>
      <c r="T441" s="3"/>
    </row>
    <row r="442" spans="1:20" ht="47" customHeight="1">
      <c r="A442" s="23" t="s">
        <v>1539</v>
      </c>
      <c r="B442" s="3" t="s">
        <v>69</v>
      </c>
      <c r="C442" s="3" t="s">
        <v>11</v>
      </c>
      <c r="D442" s="3" t="s">
        <v>860</v>
      </c>
      <c r="E442" s="3" t="s">
        <v>2272</v>
      </c>
      <c r="F442" s="3" t="s">
        <v>2272</v>
      </c>
      <c r="G442" s="3" t="s">
        <v>2272</v>
      </c>
      <c r="H442" s="21" t="s">
        <v>2272</v>
      </c>
      <c r="I442" s="21" t="s">
        <v>2272</v>
      </c>
      <c r="J442" s="21" t="s">
        <v>2272</v>
      </c>
      <c r="K442" s="21" t="s">
        <v>532</v>
      </c>
      <c r="L442" s="21" t="s">
        <v>2272</v>
      </c>
      <c r="M442" s="21">
        <v>19</v>
      </c>
      <c r="N442" s="21" t="s">
        <v>2272</v>
      </c>
      <c r="O442" s="21" t="s">
        <v>2272</v>
      </c>
      <c r="P442" s="21" t="s">
        <v>2272</v>
      </c>
      <c r="Q442" s="21" t="s">
        <v>2272</v>
      </c>
      <c r="R442" s="21" t="s">
        <v>2272</v>
      </c>
      <c r="S442" s="21" t="s">
        <v>2272</v>
      </c>
      <c r="T442" s="3"/>
    </row>
    <row r="443" spans="1:20" ht="47" customHeight="1">
      <c r="A443" s="23" t="s">
        <v>1540</v>
      </c>
      <c r="B443" s="3" t="s">
        <v>69</v>
      </c>
      <c r="C443" s="3" t="s">
        <v>11</v>
      </c>
      <c r="D443" s="3" t="s">
        <v>860</v>
      </c>
      <c r="E443" s="3" t="s">
        <v>2272</v>
      </c>
      <c r="F443" s="3" t="s">
        <v>2272</v>
      </c>
      <c r="G443" s="3" t="s">
        <v>2272</v>
      </c>
      <c r="H443" s="21" t="s">
        <v>2272</v>
      </c>
      <c r="I443" s="21" t="s">
        <v>2272</v>
      </c>
      <c r="J443" s="21" t="s">
        <v>2272</v>
      </c>
      <c r="K443" s="21" t="s">
        <v>532</v>
      </c>
      <c r="L443" s="21" t="s">
        <v>2272</v>
      </c>
      <c r="M443" s="21">
        <v>19</v>
      </c>
      <c r="N443" s="21" t="s">
        <v>2272</v>
      </c>
      <c r="O443" s="21" t="s">
        <v>2272</v>
      </c>
      <c r="P443" s="21" t="s">
        <v>2272</v>
      </c>
      <c r="Q443" s="21" t="s">
        <v>2272</v>
      </c>
      <c r="R443" s="21" t="s">
        <v>2272</v>
      </c>
      <c r="S443" s="21" t="s">
        <v>2272</v>
      </c>
      <c r="T443" s="3"/>
    </row>
    <row r="444" spans="1:20" ht="47" customHeight="1">
      <c r="A444" s="23" t="s">
        <v>1541</v>
      </c>
      <c r="B444" s="3" t="s">
        <v>69</v>
      </c>
      <c r="C444" s="3" t="s">
        <v>11</v>
      </c>
      <c r="D444" s="3" t="s">
        <v>860</v>
      </c>
      <c r="E444" s="3" t="s">
        <v>2272</v>
      </c>
      <c r="F444" s="3" t="s">
        <v>2272</v>
      </c>
      <c r="G444" s="3" t="s">
        <v>2272</v>
      </c>
      <c r="H444" s="21" t="s">
        <v>2272</v>
      </c>
      <c r="I444" s="21" t="s">
        <v>2272</v>
      </c>
      <c r="J444" s="21" t="s">
        <v>2272</v>
      </c>
      <c r="K444" s="21" t="s">
        <v>532</v>
      </c>
      <c r="L444" s="21" t="s">
        <v>2272</v>
      </c>
      <c r="M444" s="21">
        <v>19</v>
      </c>
      <c r="N444" s="21" t="s">
        <v>2272</v>
      </c>
      <c r="O444" s="21" t="s">
        <v>2272</v>
      </c>
      <c r="P444" s="21" t="s">
        <v>2272</v>
      </c>
      <c r="Q444" s="21" t="s">
        <v>2272</v>
      </c>
      <c r="R444" s="21" t="s">
        <v>2272</v>
      </c>
      <c r="S444" s="21" t="s">
        <v>2272</v>
      </c>
      <c r="T444" s="3"/>
    </row>
    <row r="445" spans="1:20" ht="47" customHeight="1">
      <c r="A445" s="23" t="s">
        <v>1542</v>
      </c>
      <c r="B445" s="3" t="s">
        <v>69</v>
      </c>
      <c r="C445" s="3" t="s">
        <v>11</v>
      </c>
      <c r="D445" s="3" t="s">
        <v>860</v>
      </c>
      <c r="E445" s="3" t="s">
        <v>2272</v>
      </c>
      <c r="F445" s="3" t="s">
        <v>2272</v>
      </c>
      <c r="G445" s="3" t="s">
        <v>2272</v>
      </c>
      <c r="H445" s="21" t="s">
        <v>2272</v>
      </c>
      <c r="I445" s="21" t="s">
        <v>2272</v>
      </c>
      <c r="J445" s="21" t="s">
        <v>2272</v>
      </c>
      <c r="K445" s="21" t="s">
        <v>532</v>
      </c>
      <c r="L445" s="21" t="s">
        <v>2272</v>
      </c>
      <c r="M445" s="21">
        <v>19</v>
      </c>
      <c r="N445" s="21" t="s">
        <v>2272</v>
      </c>
      <c r="O445" s="21" t="s">
        <v>2272</v>
      </c>
      <c r="P445" s="21" t="s">
        <v>2272</v>
      </c>
      <c r="Q445" s="21" t="s">
        <v>2272</v>
      </c>
      <c r="R445" s="21" t="s">
        <v>2272</v>
      </c>
      <c r="S445" s="21" t="s">
        <v>2272</v>
      </c>
      <c r="T445" s="3"/>
    </row>
    <row r="446" spans="1:20" ht="47" customHeight="1">
      <c r="A446" s="23" t="s">
        <v>1543</v>
      </c>
      <c r="B446" s="3" t="s">
        <v>69</v>
      </c>
      <c r="C446" s="3" t="s">
        <v>11</v>
      </c>
      <c r="D446" s="3" t="s">
        <v>860</v>
      </c>
      <c r="E446" s="3" t="s">
        <v>2272</v>
      </c>
      <c r="F446" s="3" t="s">
        <v>2272</v>
      </c>
      <c r="G446" s="3" t="s">
        <v>2272</v>
      </c>
      <c r="H446" s="21" t="s">
        <v>2272</v>
      </c>
      <c r="I446" s="21" t="s">
        <v>2272</v>
      </c>
      <c r="J446" s="21" t="s">
        <v>2272</v>
      </c>
      <c r="K446" s="21" t="s">
        <v>532</v>
      </c>
      <c r="L446" s="21" t="s">
        <v>2272</v>
      </c>
      <c r="M446" s="21">
        <v>19</v>
      </c>
      <c r="N446" s="21" t="s">
        <v>2272</v>
      </c>
      <c r="O446" s="21" t="s">
        <v>2272</v>
      </c>
      <c r="P446" s="21" t="s">
        <v>2272</v>
      </c>
      <c r="Q446" s="21" t="s">
        <v>2272</v>
      </c>
      <c r="R446" s="21" t="s">
        <v>2272</v>
      </c>
      <c r="S446" s="21" t="s">
        <v>2272</v>
      </c>
      <c r="T446" s="3"/>
    </row>
    <row r="447" spans="1:20" ht="47" customHeight="1">
      <c r="A447" s="23" t="s">
        <v>1544</v>
      </c>
      <c r="B447" s="3" t="s">
        <v>69</v>
      </c>
      <c r="C447" s="3" t="s">
        <v>11</v>
      </c>
      <c r="D447" s="3" t="s">
        <v>860</v>
      </c>
      <c r="E447" s="3" t="s">
        <v>2272</v>
      </c>
      <c r="F447" s="3" t="s">
        <v>2272</v>
      </c>
      <c r="G447" s="3" t="s">
        <v>2272</v>
      </c>
      <c r="H447" s="21" t="s">
        <v>2272</v>
      </c>
      <c r="I447" s="21" t="s">
        <v>2272</v>
      </c>
      <c r="J447" s="21" t="s">
        <v>2272</v>
      </c>
      <c r="K447" s="21" t="s">
        <v>532</v>
      </c>
      <c r="L447" s="21" t="s">
        <v>2272</v>
      </c>
      <c r="M447" s="21">
        <v>19</v>
      </c>
      <c r="N447" s="21" t="s">
        <v>2272</v>
      </c>
      <c r="O447" s="21" t="s">
        <v>2272</v>
      </c>
      <c r="P447" s="21" t="s">
        <v>2272</v>
      </c>
      <c r="Q447" s="21" t="s">
        <v>2272</v>
      </c>
      <c r="R447" s="21" t="s">
        <v>2272</v>
      </c>
      <c r="S447" s="21" t="s">
        <v>2272</v>
      </c>
      <c r="T447" s="3"/>
    </row>
    <row r="448" spans="1:20" ht="47" customHeight="1">
      <c r="A448" s="23" t="s">
        <v>1545</v>
      </c>
      <c r="B448" s="3" t="s">
        <v>69</v>
      </c>
      <c r="C448" s="3" t="s">
        <v>11</v>
      </c>
      <c r="D448" s="3" t="s">
        <v>860</v>
      </c>
      <c r="E448" s="3" t="s">
        <v>2272</v>
      </c>
      <c r="F448" s="3" t="s">
        <v>2272</v>
      </c>
      <c r="G448" s="3" t="s">
        <v>2272</v>
      </c>
      <c r="H448" s="21" t="s">
        <v>2272</v>
      </c>
      <c r="I448" s="21" t="s">
        <v>2272</v>
      </c>
      <c r="J448" s="21" t="s">
        <v>2272</v>
      </c>
      <c r="K448" s="21" t="s">
        <v>532</v>
      </c>
      <c r="L448" s="21" t="s">
        <v>2272</v>
      </c>
      <c r="M448" s="21">
        <v>19</v>
      </c>
      <c r="N448" s="21" t="s">
        <v>2272</v>
      </c>
      <c r="O448" s="21" t="s">
        <v>2272</v>
      </c>
      <c r="P448" s="21" t="s">
        <v>2272</v>
      </c>
      <c r="Q448" s="21" t="s">
        <v>2272</v>
      </c>
      <c r="R448" s="21" t="s">
        <v>2272</v>
      </c>
      <c r="S448" s="21" t="s">
        <v>2272</v>
      </c>
      <c r="T448" s="3"/>
    </row>
    <row r="449" spans="1:20" ht="47" customHeight="1">
      <c r="A449" s="23" t="s">
        <v>1546</v>
      </c>
      <c r="B449" s="3" t="s">
        <v>69</v>
      </c>
      <c r="C449" s="3" t="s">
        <v>11</v>
      </c>
      <c r="D449" s="3" t="s">
        <v>860</v>
      </c>
      <c r="E449" s="3" t="s">
        <v>2272</v>
      </c>
      <c r="F449" s="3" t="s">
        <v>2272</v>
      </c>
      <c r="G449" s="3" t="s">
        <v>2272</v>
      </c>
      <c r="H449" s="21" t="s">
        <v>2272</v>
      </c>
      <c r="I449" s="21" t="s">
        <v>2272</v>
      </c>
      <c r="J449" s="21" t="s">
        <v>2272</v>
      </c>
      <c r="K449" s="21" t="s">
        <v>532</v>
      </c>
      <c r="L449" s="21" t="s">
        <v>2272</v>
      </c>
      <c r="M449" s="21">
        <v>19</v>
      </c>
      <c r="N449" s="21" t="s">
        <v>2272</v>
      </c>
      <c r="O449" s="21" t="s">
        <v>2272</v>
      </c>
      <c r="P449" s="21" t="s">
        <v>2272</v>
      </c>
      <c r="Q449" s="21" t="s">
        <v>2272</v>
      </c>
      <c r="R449" s="21" t="s">
        <v>2272</v>
      </c>
      <c r="S449" s="21" t="s">
        <v>2272</v>
      </c>
      <c r="T449" s="3"/>
    </row>
    <row r="450" spans="1:20" ht="47" customHeight="1">
      <c r="A450" s="23" t="s">
        <v>1547</v>
      </c>
      <c r="B450" s="3" t="s">
        <v>69</v>
      </c>
      <c r="C450" s="3" t="s">
        <v>11</v>
      </c>
      <c r="D450" s="3" t="s">
        <v>860</v>
      </c>
      <c r="E450" s="3" t="s">
        <v>2272</v>
      </c>
      <c r="F450" s="3" t="s">
        <v>2272</v>
      </c>
      <c r="G450" s="3" t="s">
        <v>2272</v>
      </c>
      <c r="H450" s="21" t="s">
        <v>2272</v>
      </c>
      <c r="I450" s="21" t="s">
        <v>2272</v>
      </c>
      <c r="J450" s="21" t="s">
        <v>2272</v>
      </c>
      <c r="K450" s="21" t="s">
        <v>532</v>
      </c>
      <c r="L450" s="21" t="s">
        <v>2272</v>
      </c>
      <c r="M450" s="21">
        <v>19</v>
      </c>
      <c r="N450" s="21" t="s">
        <v>2272</v>
      </c>
      <c r="O450" s="21" t="s">
        <v>2272</v>
      </c>
      <c r="P450" s="21" t="s">
        <v>2272</v>
      </c>
      <c r="Q450" s="21" t="s">
        <v>2272</v>
      </c>
      <c r="R450" s="21" t="s">
        <v>2272</v>
      </c>
      <c r="S450" s="21" t="s">
        <v>2272</v>
      </c>
      <c r="T450" s="3"/>
    </row>
    <row r="451" spans="1:20" ht="47" customHeight="1">
      <c r="A451" s="23" t="s">
        <v>1548</v>
      </c>
      <c r="B451" s="3" t="s">
        <v>69</v>
      </c>
      <c r="C451" s="3" t="s">
        <v>11</v>
      </c>
      <c r="D451" s="3" t="s">
        <v>860</v>
      </c>
      <c r="E451" s="3" t="s">
        <v>2272</v>
      </c>
      <c r="F451" s="3" t="s">
        <v>2272</v>
      </c>
      <c r="G451" s="3" t="s">
        <v>2272</v>
      </c>
      <c r="H451" s="21" t="s">
        <v>2272</v>
      </c>
      <c r="I451" s="21" t="s">
        <v>2272</v>
      </c>
      <c r="J451" s="21" t="s">
        <v>2272</v>
      </c>
      <c r="K451" s="21" t="s">
        <v>532</v>
      </c>
      <c r="L451" s="21" t="s">
        <v>2272</v>
      </c>
      <c r="M451" s="21">
        <v>19</v>
      </c>
      <c r="N451" s="21" t="s">
        <v>2272</v>
      </c>
      <c r="O451" s="21" t="s">
        <v>2272</v>
      </c>
      <c r="P451" s="21" t="s">
        <v>2272</v>
      </c>
      <c r="Q451" s="21" t="s">
        <v>2272</v>
      </c>
      <c r="R451" s="21" t="s">
        <v>2272</v>
      </c>
      <c r="S451" s="21" t="s">
        <v>2272</v>
      </c>
      <c r="T451" s="3"/>
    </row>
    <row r="452" spans="1:20" ht="47" customHeight="1">
      <c r="A452" s="23" t="s">
        <v>1549</v>
      </c>
      <c r="B452" s="3" t="s">
        <v>69</v>
      </c>
      <c r="C452" s="3" t="s">
        <v>11</v>
      </c>
      <c r="D452" s="3" t="s">
        <v>860</v>
      </c>
      <c r="E452" s="3" t="s">
        <v>2272</v>
      </c>
      <c r="F452" s="3" t="s">
        <v>2272</v>
      </c>
      <c r="G452" s="3" t="s">
        <v>2272</v>
      </c>
      <c r="H452" s="21" t="s">
        <v>2272</v>
      </c>
      <c r="I452" s="21" t="s">
        <v>2272</v>
      </c>
      <c r="J452" s="21" t="s">
        <v>2272</v>
      </c>
      <c r="K452" s="21" t="s">
        <v>532</v>
      </c>
      <c r="L452" s="21" t="s">
        <v>2272</v>
      </c>
      <c r="M452" s="21">
        <v>19</v>
      </c>
      <c r="N452" s="21" t="s">
        <v>2272</v>
      </c>
      <c r="O452" s="21" t="s">
        <v>2272</v>
      </c>
      <c r="P452" s="21" t="s">
        <v>2272</v>
      </c>
      <c r="Q452" s="21" t="s">
        <v>2272</v>
      </c>
      <c r="R452" s="21" t="s">
        <v>2272</v>
      </c>
      <c r="S452" s="21" t="s">
        <v>2272</v>
      </c>
      <c r="T452" s="3"/>
    </row>
    <row r="453" spans="1:20" ht="47" customHeight="1">
      <c r="A453" s="23" t="s">
        <v>1550</v>
      </c>
      <c r="B453" s="3" t="s">
        <v>69</v>
      </c>
      <c r="C453" s="3" t="s">
        <v>11</v>
      </c>
      <c r="D453" s="3" t="s">
        <v>860</v>
      </c>
      <c r="E453" s="3" t="s">
        <v>2272</v>
      </c>
      <c r="F453" s="3" t="s">
        <v>2272</v>
      </c>
      <c r="G453" s="3" t="s">
        <v>2272</v>
      </c>
      <c r="H453" s="21" t="s">
        <v>2272</v>
      </c>
      <c r="I453" s="21" t="s">
        <v>2272</v>
      </c>
      <c r="J453" s="21" t="s">
        <v>2272</v>
      </c>
      <c r="K453" s="21" t="s">
        <v>532</v>
      </c>
      <c r="L453" s="21" t="s">
        <v>2272</v>
      </c>
      <c r="M453" s="21">
        <v>19</v>
      </c>
      <c r="N453" s="21" t="s">
        <v>2272</v>
      </c>
      <c r="O453" s="21" t="s">
        <v>2272</v>
      </c>
      <c r="P453" s="21" t="s">
        <v>2272</v>
      </c>
      <c r="Q453" s="21" t="s">
        <v>2272</v>
      </c>
      <c r="R453" s="21" t="s">
        <v>2272</v>
      </c>
      <c r="S453" s="21" t="s">
        <v>2272</v>
      </c>
      <c r="T453" s="3"/>
    </row>
    <row r="454" spans="1:20" ht="47" customHeight="1">
      <c r="A454" s="23" t="s">
        <v>1551</v>
      </c>
      <c r="B454" s="3" t="s">
        <v>69</v>
      </c>
      <c r="C454" s="3" t="s">
        <v>11</v>
      </c>
      <c r="D454" s="3" t="s">
        <v>860</v>
      </c>
      <c r="E454" s="3" t="s">
        <v>2272</v>
      </c>
      <c r="F454" s="3" t="s">
        <v>2272</v>
      </c>
      <c r="G454" s="3" t="s">
        <v>2272</v>
      </c>
      <c r="H454" s="21" t="s">
        <v>2272</v>
      </c>
      <c r="I454" s="21" t="s">
        <v>2272</v>
      </c>
      <c r="J454" s="21" t="s">
        <v>2272</v>
      </c>
      <c r="K454" s="21" t="s">
        <v>532</v>
      </c>
      <c r="L454" s="21" t="s">
        <v>2272</v>
      </c>
      <c r="M454" s="21">
        <v>19</v>
      </c>
      <c r="N454" s="21" t="s">
        <v>2272</v>
      </c>
      <c r="O454" s="21" t="s">
        <v>2272</v>
      </c>
      <c r="P454" s="21" t="s">
        <v>2272</v>
      </c>
      <c r="Q454" s="21" t="s">
        <v>2272</v>
      </c>
      <c r="R454" s="21" t="s">
        <v>2272</v>
      </c>
      <c r="S454" s="21" t="s">
        <v>2272</v>
      </c>
      <c r="T454" s="3"/>
    </row>
    <row r="455" spans="1:20" ht="47" customHeight="1">
      <c r="A455" s="23" t="s">
        <v>1552</v>
      </c>
      <c r="B455" s="3" t="s">
        <v>69</v>
      </c>
      <c r="C455" s="3" t="s">
        <v>11</v>
      </c>
      <c r="D455" s="3" t="s">
        <v>860</v>
      </c>
      <c r="E455" s="3" t="s">
        <v>2272</v>
      </c>
      <c r="F455" s="3" t="s">
        <v>2272</v>
      </c>
      <c r="G455" s="3" t="s">
        <v>2272</v>
      </c>
      <c r="H455" s="21" t="s">
        <v>2272</v>
      </c>
      <c r="I455" s="21" t="s">
        <v>2272</v>
      </c>
      <c r="J455" s="21" t="s">
        <v>2272</v>
      </c>
      <c r="K455" s="21" t="s">
        <v>532</v>
      </c>
      <c r="L455" s="21" t="s">
        <v>2272</v>
      </c>
      <c r="M455" s="21">
        <v>19</v>
      </c>
      <c r="N455" s="21" t="s">
        <v>2272</v>
      </c>
      <c r="O455" s="21" t="s">
        <v>2272</v>
      </c>
      <c r="P455" s="21" t="s">
        <v>2272</v>
      </c>
      <c r="Q455" s="21" t="s">
        <v>2272</v>
      </c>
      <c r="R455" s="21" t="s">
        <v>2272</v>
      </c>
      <c r="S455" s="21" t="s">
        <v>2272</v>
      </c>
      <c r="T455" s="3"/>
    </row>
    <row r="456" spans="1:20" ht="47" customHeight="1">
      <c r="A456" s="23" t="s">
        <v>1553</v>
      </c>
      <c r="B456" s="3" t="s">
        <v>69</v>
      </c>
      <c r="C456" s="3" t="s">
        <v>11</v>
      </c>
      <c r="D456" s="3" t="s">
        <v>860</v>
      </c>
      <c r="E456" s="3" t="s">
        <v>2272</v>
      </c>
      <c r="F456" s="3" t="s">
        <v>2272</v>
      </c>
      <c r="G456" s="3" t="s">
        <v>2272</v>
      </c>
      <c r="H456" s="21" t="s">
        <v>2272</v>
      </c>
      <c r="I456" s="21" t="s">
        <v>2272</v>
      </c>
      <c r="J456" s="21" t="s">
        <v>2272</v>
      </c>
      <c r="K456" s="21" t="s">
        <v>532</v>
      </c>
      <c r="L456" s="21" t="s">
        <v>2272</v>
      </c>
      <c r="M456" s="21">
        <v>19</v>
      </c>
      <c r="N456" s="21" t="s">
        <v>2272</v>
      </c>
      <c r="O456" s="21" t="s">
        <v>2272</v>
      </c>
      <c r="P456" s="21" t="s">
        <v>2272</v>
      </c>
      <c r="Q456" s="21" t="s">
        <v>2272</v>
      </c>
      <c r="R456" s="21" t="s">
        <v>2272</v>
      </c>
      <c r="S456" s="21" t="s">
        <v>2272</v>
      </c>
      <c r="T456" s="3"/>
    </row>
    <row r="457" spans="1:20" ht="47" customHeight="1">
      <c r="A457" s="23" t="s">
        <v>1554</v>
      </c>
      <c r="B457" s="3" t="s">
        <v>69</v>
      </c>
      <c r="C457" s="3" t="s">
        <v>11</v>
      </c>
      <c r="D457" s="3" t="s">
        <v>860</v>
      </c>
      <c r="E457" s="3" t="s">
        <v>2272</v>
      </c>
      <c r="F457" s="3" t="s">
        <v>2272</v>
      </c>
      <c r="G457" s="3" t="s">
        <v>2272</v>
      </c>
      <c r="H457" s="21" t="s">
        <v>2272</v>
      </c>
      <c r="I457" s="21" t="s">
        <v>2272</v>
      </c>
      <c r="J457" s="21" t="s">
        <v>2272</v>
      </c>
      <c r="K457" s="21" t="s">
        <v>532</v>
      </c>
      <c r="L457" s="21" t="s">
        <v>2272</v>
      </c>
      <c r="M457" s="21">
        <v>19</v>
      </c>
      <c r="N457" s="21" t="s">
        <v>2272</v>
      </c>
      <c r="O457" s="21" t="s">
        <v>2272</v>
      </c>
      <c r="P457" s="21" t="s">
        <v>2272</v>
      </c>
      <c r="Q457" s="21" t="s">
        <v>2272</v>
      </c>
      <c r="R457" s="21" t="s">
        <v>2272</v>
      </c>
      <c r="S457" s="21" t="s">
        <v>2272</v>
      </c>
      <c r="T457" s="3"/>
    </row>
    <row r="458" spans="1:20" ht="47" customHeight="1">
      <c r="A458" s="23" t="s">
        <v>1555</v>
      </c>
      <c r="B458" s="3" t="s">
        <v>69</v>
      </c>
      <c r="C458" s="3" t="s">
        <v>11</v>
      </c>
      <c r="D458" s="3" t="s">
        <v>860</v>
      </c>
      <c r="E458" s="3" t="s">
        <v>2272</v>
      </c>
      <c r="F458" s="3" t="s">
        <v>2272</v>
      </c>
      <c r="G458" s="3" t="s">
        <v>2272</v>
      </c>
      <c r="H458" s="21" t="s">
        <v>2272</v>
      </c>
      <c r="I458" s="21" t="s">
        <v>2272</v>
      </c>
      <c r="J458" s="21" t="s">
        <v>2272</v>
      </c>
      <c r="K458" s="21" t="s">
        <v>532</v>
      </c>
      <c r="L458" s="21" t="s">
        <v>2272</v>
      </c>
      <c r="M458" s="21">
        <v>28</v>
      </c>
      <c r="N458" s="21" t="s">
        <v>2272</v>
      </c>
      <c r="O458" s="21" t="s">
        <v>2272</v>
      </c>
      <c r="P458" s="21" t="s">
        <v>2272</v>
      </c>
      <c r="Q458" s="21" t="s">
        <v>2272</v>
      </c>
      <c r="R458" s="21" t="s">
        <v>2272</v>
      </c>
      <c r="S458" s="21" t="s">
        <v>2272</v>
      </c>
      <c r="T458" s="3"/>
    </row>
    <row r="459" spans="1:20" ht="47" customHeight="1">
      <c r="A459" s="23" t="s">
        <v>1556</v>
      </c>
      <c r="B459" s="3" t="s">
        <v>69</v>
      </c>
      <c r="C459" s="3" t="s">
        <v>11</v>
      </c>
      <c r="D459" s="3" t="s">
        <v>860</v>
      </c>
      <c r="E459" s="3" t="s">
        <v>2272</v>
      </c>
      <c r="F459" s="3" t="s">
        <v>2272</v>
      </c>
      <c r="G459" s="3" t="s">
        <v>2272</v>
      </c>
      <c r="H459" s="21" t="s">
        <v>2272</v>
      </c>
      <c r="I459" s="21" t="s">
        <v>2272</v>
      </c>
      <c r="J459" s="21" t="s">
        <v>2272</v>
      </c>
      <c r="K459" s="21" t="s">
        <v>532</v>
      </c>
      <c r="L459" s="21" t="s">
        <v>2272</v>
      </c>
      <c r="M459" s="21">
        <v>28</v>
      </c>
      <c r="N459" s="21" t="s">
        <v>2272</v>
      </c>
      <c r="O459" s="21" t="s">
        <v>2272</v>
      </c>
      <c r="P459" s="21" t="s">
        <v>2272</v>
      </c>
      <c r="Q459" s="21" t="s">
        <v>2272</v>
      </c>
      <c r="R459" s="21" t="s">
        <v>2272</v>
      </c>
      <c r="S459" s="21" t="s">
        <v>2272</v>
      </c>
      <c r="T459" s="3"/>
    </row>
    <row r="460" spans="1:20" ht="47" customHeight="1">
      <c r="A460" s="23" t="s">
        <v>1557</v>
      </c>
      <c r="B460" s="3" t="s">
        <v>69</v>
      </c>
      <c r="C460" s="3" t="s">
        <v>11</v>
      </c>
      <c r="D460" s="3" t="s">
        <v>860</v>
      </c>
      <c r="E460" s="3" t="s">
        <v>2272</v>
      </c>
      <c r="F460" s="3" t="s">
        <v>2272</v>
      </c>
      <c r="G460" s="3" t="s">
        <v>2272</v>
      </c>
      <c r="H460" s="21" t="s">
        <v>2272</v>
      </c>
      <c r="I460" s="21" t="s">
        <v>2272</v>
      </c>
      <c r="J460" s="21" t="s">
        <v>2272</v>
      </c>
      <c r="K460" s="21" t="s">
        <v>532</v>
      </c>
      <c r="L460" s="21" t="s">
        <v>2272</v>
      </c>
      <c r="M460" s="21">
        <v>28</v>
      </c>
      <c r="N460" s="21" t="s">
        <v>2272</v>
      </c>
      <c r="O460" s="21" t="s">
        <v>2272</v>
      </c>
      <c r="P460" s="21" t="s">
        <v>2272</v>
      </c>
      <c r="Q460" s="21" t="s">
        <v>2272</v>
      </c>
      <c r="R460" s="21" t="s">
        <v>2272</v>
      </c>
      <c r="S460" s="21" t="s">
        <v>2272</v>
      </c>
      <c r="T460" s="3"/>
    </row>
    <row r="461" spans="1:20" ht="47" customHeight="1">
      <c r="A461" s="23" t="s">
        <v>1558</v>
      </c>
      <c r="B461" s="3" t="s">
        <v>69</v>
      </c>
      <c r="C461" s="3" t="s">
        <v>11</v>
      </c>
      <c r="D461" s="3" t="s">
        <v>860</v>
      </c>
      <c r="E461" s="3" t="s">
        <v>2272</v>
      </c>
      <c r="F461" s="3" t="s">
        <v>2272</v>
      </c>
      <c r="G461" s="3" t="s">
        <v>2272</v>
      </c>
      <c r="H461" s="21" t="s">
        <v>2272</v>
      </c>
      <c r="I461" s="21" t="s">
        <v>2272</v>
      </c>
      <c r="J461" s="21" t="s">
        <v>2272</v>
      </c>
      <c r="K461" s="21" t="s">
        <v>532</v>
      </c>
      <c r="L461" s="21" t="s">
        <v>2272</v>
      </c>
      <c r="M461" s="21">
        <v>28</v>
      </c>
      <c r="N461" s="21" t="s">
        <v>2272</v>
      </c>
      <c r="O461" s="21" t="s">
        <v>2272</v>
      </c>
      <c r="P461" s="21" t="s">
        <v>2272</v>
      </c>
      <c r="Q461" s="21" t="s">
        <v>2272</v>
      </c>
      <c r="R461" s="21" t="s">
        <v>2272</v>
      </c>
      <c r="S461" s="21" t="s">
        <v>2272</v>
      </c>
      <c r="T461" s="3"/>
    </row>
    <row r="462" spans="1:20" ht="47" customHeight="1">
      <c r="A462" s="23" t="s">
        <v>1559</v>
      </c>
      <c r="B462" s="3" t="s">
        <v>69</v>
      </c>
      <c r="C462" s="3" t="s">
        <v>11</v>
      </c>
      <c r="D462" s="3" t="s">
        <v>860</v>
      </c>
      <c r="E462" s="3" t="s">
        <v>2272</v>
      </c>
      <c r="F462" s="3" t="s">
        <v>2272</v>
      </c>
      <c r="G462" s="3" t="s">
        <v>2272</v>
      </c>
      <c r="H462" s="21" t="s">
        <v>2272</v>
      </c>
      <c r="I462" s="21" t="s">
        <v>2272</v>
      </c>
      <c r="J462" s="21" t="s">
        <v>2272</v>
      </c>
      <c r="K462" s="21" t="s">
        <v>532</v>
      </c>
      <c r="L462" s="21" t="s">
        <v>2272</v>
      </c>
      <c r="M462" s="21">
        <v>28</v>
      </c>
      <c r="N462" s="21" t="s">
        <v>2272</v>
      </c>
      <c r="O462" s="21" t="s">
        <v>2272</v>
      </c>
      <c r="P462" s="21" t="s">
        <v>2272</v>
      </c>
      <c r="Q462" s="21" t="s">
        <v>2272</v>
      </c>
      <c r="R462" s="21" t="s">
        <v>2272</v>
      </c>
      <c r="S462" s="21" t="s">
        <v>2272</v>
      </c>
      <c r="T462" s="3"/>
    </row>
    <row r="463" spans="1:20" ht="47" customHeight="1">
      <c r="A463" s="23" t="s">
        <v>1560</v>
      </c>
      <c r="B463" s="3" t="s">
        <v>69</v>
      </c>
      <c r="C463" s="3" t="s">
        <v>11</v>
      </c>
      <c r="D463" s="3" t="s">
        <v>860</v>
      </c>
      <c r="E463" s="3" t="s">
        <v>2272</v>
      </c>
      <c r="F463" s="3" t="s">
        <v>2272</v>
      </c>
      <c r="G463" s="3" t="s">
        <v>2272</v>
      </c>
      <c r="H463" s="21" t="s">
        <v>2272</v>
      </c>
      <c r="I463" s="21" t="s">
        <v>2272</v>
      </c>
      <c r="J463" s="21" t="s">
        <v>2272</v>
      </c>
      <c r="K463" s="21" t="s">
        <v>532</v>
      </c>
      <c r="L463" s="21" t="s">
        <v>2272</v>
      </c>
      <c r="M463" s="21">
        <v>28</v>
      </c>
      <c r="N463" s="21" t="s">
        <v>2272</v>
      </c>
      <c r="O463" s="21" t="s">
        <v>2272</v>
      </c>
      <c r="P463" s="21" t="s">
        <v>2272</v>
      </c>
      <c r="Q463" s="21" t="s">
        <v>2272</v>
      </c>
      <c r="R463" s="21" t="s">
        <v>2272</v>
      </c>
      <c r="S463" s="21" t="s">
        <v>2272</v>
      </c>
      <c r="T463" s="3"/>
    </row>
    <row r="464" spans="1:20" ht="47" customHeight="1">
      <c r="A464" s="23" t="s">
        <v>1561</v>
      </c>
      <c r="B464" s="3" t="s">
        <v>69</v>
      </c>
      <c r="C464" s="3" t="s">
        <v>11</v>
      </c>
      <c r="D464" s="3" t="s">
        <v>860</v>
      </c>
      <c r="E464" s="3" t="s">
        <v>2272</v>
      </c>
      <c r="F464" s="3" t="s">
        <v>2272</v>
      </c>
      <c r="G464" s="3" t="s">
        <v>2272</v>
      </c>
      <c r="H464" s="21" t="s">
        <v>2272</v>
      </c>
      <c r="I464" s="21" t="s">
        <v>2272</v>
      </c>
      <c r="J464" s="21" t="s">
        <v>2272</v>
      </c>
      <c r="K464" s="21" t="s">
        <v>532</v>
      </c>
      <c r="L464" s="21" t="s">
        <v>2272</v>
      </c>
      <c r="M464" s="21">
        <v>28</v>
      </c>
      <c r="N464" s="21" t="s">
        <v>2272</v>
      </c>
      <c r="O464" s="21" t="s">
        <v>2272</v>
      </c>
      <c r="P464" s="21" t="s">
        <v>2272</v>
      </c>
      <c r="Q464" s="21" t="s">
        <v>2272</v>
      </c>
      <c r="R464" s="21" t="s">
        <v>2272</v>
      </c>
      <c r="S464" s="21" t="s">
        <v>2272</v>
      </c>
      <c r="T464" s="3"/>
    </row>
    <row r="465" spans="1:20" ht="47" customHeight="1">
      <c r="A465" s="23" t="s">
        <v>1562</v>
      </c>
      <c r="B465" s="3" t="s">
        <v>69</v>
      </c>
      <c r="C465" s="3" t="s">
        <v>11</v>
      </c>
      <c r="D465" s="3" t="s">
        <v>860</v>
      </c>
      <c r="E465" s="3" t="s">
        <v>2272</v>
      </c>
      <c r="F465" s="3" t="s">
        <v>2272</v>
      </c>
      <c r="G465" s="3" t="s">
        <v>2272</v>
      </c>
      <c r="H465" s="21" t="s">
        <v>2272</v>
      </c>
      <c r="I465" s="21" t="s">
        <v>2272</v>
      </c>
      <c r="J465" s="21" t="s">
        <v>2272</v>
      </c>
      <c r="K465" s="21" t="s">
        <v>532</v>
      </c>
      <c r="L465" s="21" t="s">
        <v>2272</v>
      </c>
      <c r="M465" s="21">
        <v>28</v>
      </c>
      <c r="N465" s="21" t="s">
        <v>2272</v>
      </c>
      <c r="O465" s="21" t="s">
        <v>2272</v>
      </c>
      <c r="P465" s="21" t="s">
        <v>2272</v>
      </c>
      <c r="Q465" s="21" t="s">
        <v>2272</v>
      </c>
      <c r="R465" s="21" t="s">
        <v>2272</v>
      </c>
      <c r="S465" s="21" t="s">
        <v>2272</v>
      </c>
      <c r="T465" s="3"/>
    </row>
    <row r="466" spans="1:20" ht="47" customHeight="1">
      <c r="A466" s="23" t="s">
        <v>1563</v>
      </c>
      <c r="B466" s="3" t="s">
        <v>69</v>
      </c>
      <c r="C466" s="3" t="s">
        <v>11</v>
      </c>
      <c r="D466" s="3" t="s">
        <v>860</v>
      </c>
      <c r="E466" s="3" t="s">
        <v>2272</v>
      </c>
      <c r="F466" s="3" t="s">
        <v>2272</v>
      </c>
      <c r="G466" s="3" t="s">
        <v>2272</v>
      </c>
      <c r="H466" s="21" t="s">
        <v>2272</v>
      </c>
      <c r="I466" s="21" t="s">
        <v>2272</v>
      </c>
      <c r="J466" s="21" t="s">
        <v>2272</v>
      </c>
      <c r="K466" s="21" t="s">
        <v>532</v>
      </c>
      <c r="L466" s="21" t="s">
        <v>2272</v>
      </c>
      <c r="M466" s="21">
        <v>28</v>
      </c>
      <c r="N466" s="21" t="s">
        <v>2272</v>
      </c>
      <c r="O466" s="21" t="s">
        <v>2272</v>
      </c>
      <c r="P466" s="21" t="s">
        <v>2272</v>
      </c>
      <c r="Q466" s="21" t="s">
        <v>2272</v>
      </c>
      <c r="R466" s="21" t="s">
        <v>2272</v>
      </c>
      <c r="S466" s="21" t="s">
        <v>2272</v>
      </c>
      <c r="T466" s="3"/>
    </row>
    <row r="467" spans="1:20" ht="47" customHeight="1">
      <c r="A467" s="23" t="s">
        <v>1564</v>
      </c>
      <c r="B467" s="3" t="s">
        <v>69</v>
      </c>
      <c r="C467" s="3" t="s">
        <v>11</v>
      </c>
      <c r="D467" s="3" t="s">
        <v>860</v>
      </c>
      <c r="E467" s="3" t="s">
        <v>2272</v>
      </c>
      <c r="F467" s="3" t="s">
        <v>2272</v>
      </c>
      <c r="G467" s="3" t="s">
        <v>2272</v>
      </c>
      <c r="H467" s="21" t="s">
        <v>2272</v>
      </c>
      <c r="I467" s="21" t="s">
        <v>2272</v>
      </c>
      <c r="J467" s="21" t="s">
        <v>2272</v>
      </c>
      <c r="K467" s="21" t="s">
        <v>532</v>
      </c>
      <c r="L467" s="21" t="s">
        <v>2272</v>
      </c>
      <c r="M467" s="21">
        <v>28</v>
      </c>
      <c r="N467" s="21" t="s">
        <v>2272</v>
      </c>
      <c r="O467" s="21" t="s">
        <v>2272</v>
      </c>
      <c r="P467" s="21" t="s">
        <v>2272</v>
      </c>
      <c r="Q467" s="21" t="s">
        <v>2272</v>
      </c>
      <c r="R467" s="21" t="s">
        <v>2272</v>
      </c>
      <c r="S467" s="21" t="s">
        <v>2272</v>
      </c>
      <c r="T467" s="3"/>
    </row>
    <row r="468" spans="1:20" ht="47" customHeight="1">
      <c r="A468" s="23" t="s">
        <v>1565</v>
      </c>
      <c r="B468" s="3" t="s">
        <v>69</v>
      </c>
      <c r="C468" s="3" t="s">
        <v>11</v>
      </c>
      <c r="D468" s="3" t="s">
        <v>860</v>
      </c>
      <c r="E468" s="3" t="s">
        <v>2272</v>
      </c>
      <c r="F468" s="3" t="s">
        <v>2272</v>
      </c>
      <c r="G468" s="3" t="s">
        <v>2272</v>
      </c>
      <c r="H468" s="21" t="s">
        <v>2272</v>
      </c>
      <c r="I468" s="21" t="s">
        <v>2272</v>
      </c>
      <c r="J468" s="21" t="s">
        <v>2272</v>
      </c>
      <c r="K468" s="21" t="s">
        <v>532</v>
      </c>
      <c r="L468" s="21" t="s">
        <v>2272</v>
      </c>
      <c r="M468" s="21">
        <v>28</v>
      </c>
      <c r="N468" s="21" t="s">
        <v>2272</v>
      </c>
      <c r="O468" s="21" t="s">
        <v>2272</v>
      </c>
      <c r="P468" s="21" t="s">
        <v>2272</v>
      </c>
      <c r="Q468" s="21" t="s">
        <v>2272</v>
      </c>
      <c r="R468" s="21" t="s">
        <v>2272</v>
      </c>
      <c r="S468" s="21" t="s">
        <v>2272</v>
      </c>
      <c r="T468" s="3"/>
    </row>
    <row r="469" spans="1:20" ht="47" customHeight="1">
      <c r="A469" s="23" t="s">
        <v>1566</v>
      </c>
      <c r="B469" s="3" t="s">
        <v>69</v>
      </c>
      <c r="C469" s="3" t="s">
        <v>11</v>
      </c>
      <c r="D469" s="3" t="s">
        <v>860</v>
      </c>
      <c r="E469" s="3" t="s">
        <v>2272</v>
      </c>
      <c r="F469" s="3" t="s">
        <v>2272</v>
      </c>
      <c r="G469" s="3" t="s">
        <v>2272</v>
      </c>
      <c r="H469" s="21" t="s">
        <v>2272</v>
      </c>
      <c r="I469" s="21" t="s">
        <v>2272</v>
      </c>
      <c r="J469" s="21" t="s">
        <v>2272</v>
      </c>
      <c r="K469" s="21" t="s">
        <v>532</v>
      </c>
      <c r="L469" s="21" t="s">
        <v>2272</v>
      </c>
      <c r="M469" s="21">
        <v>28</v>
      </c>
      <c r="N469" s="21" t="s">
        <v>2272</v>
      </c>
      <c r="O469" s="21" t="s">
        <v>2272</v>
      </c>
      <c r="P469" s="21" t="s">
        <v>2272</v>
      </c>
      <c r="Q469" s="21" t="s">
        <v>2272</v>
      </c>
      <c r="R469" s="21" t="s">
        <v>2272</v>
      </c>
      <c r="S469" s="21" t="s">
        <v>2272</v>
      </c>
      <c r="T469" s="3"/>
    </row>
    <row r="470" spans="1:20" ht="47" customHeight="1">
      <c r="A470" s="23" t="s">
        <v>1567</v>
      </c>
      <c r="B470" s="3" t="s">
        <v>69</v>
      </c>
      <c r="C470" s="3" t="s">
        <v>11</v>
      </c>
      <c r="D470" s="3" t="s">
        <v>860</v>
      </c>
      <c r="E470" s="3" t="s">
        <v>2272</v>
      </c>
      <c r="F470" s="3" t="s">
        <v>2272</v>
      </c>
      <c r="G470" s="3" t="s">
        <v>2272</v>
      </c>
      <c r="H470" s="21" t="s">
        <v>2272</v>
      </c>
      <c r="I470" s="21" t="s">
        <v>2272</v>
      </c>
      <c r="J470" s="21" t="s">
        <v>2272</v>
      </c>
      <c r="K470" s="21" t="s">
        <v>532</v>
      </c>
      <c r="L470" s="21" t="s">
        <v>2272</v>
      </c>
      <c r="M470" s="21">
        <v>19</v>
      </c>
      <c r="N470" s="21" t="s">
        <v>2272</v>
      </c>
      <c r="O470" s="21" t="s">
        <v>2272</v>
      </c>
      <c r="P470" s="21" t="s">
        <v>2272</v>
      </c>
      <c r="Q470" s="21" t="s">
        <v>2272</v>
      </c>
      <c r="R470" s="21" t="s">
        <v>2272</v>
      </c>
      <c r="S470" s="21" t="s">
        <v>2272</v>
      </c>
      <c r="T470" s="3"/>
    </row>
    <row r="471" spans="1:20" ht="47" customHeight="1">
      <c r="A471" s="23" t="s">
        <v>1568</v>
      </c>
      <c r="B471" s="3" t="s">
        <v>69</v>
      </c>
      <c r="C471" s="3" t="s">
        <v>11</v>
      </c>
      <c r="D471" s="3" t="s">
        <v>860</v>
      </c>
      <c r="E471" s="3" t="s">
        <v>2272</v>
      </c>
      <c r="F471" s="3" t="s">
        <v>2272</v>
      </c>
      <c r="G471" s="3" t="s">
        <v>2272</v>
      </c>
      <c r="H471" s="21" t="s">
        <v>2272</v>
      </c>
      <c r="I471" s="21" t="s">
        <v>2272</v>
      </c>
      <c r="J471" s="21" t="s">
        <v>2272</v>
      </c>
      <c r="K471" s="21" t="s">
        <v>532</v>
      </c>
      <c r="L471" s="21" t="s">
        <v>2272</v>
      </c>
      <c r="M471" s="21">
        <v>19</v>
      </c>
      <c r="N471" s="21" t="s">
        <v>2272</v>
      </c>
      <c r="O471" s="21" t="s">
        <v>2272</v>
      </c>
      <c r="P471" s="21" t="s">
        <v>2272</v>
      </c>
      <c r="Q471" s="21" t="s">
        <v>2272</v>
      </c>
      <c r="R471" s="21" t="s">
        <v>2272</v>
      </c>
      <c r="S471" s="21" t="s">
        <v>2272</v>
      </c>
      <c r="T471" s="3"/>
    </row>
    <row r="472" spans="1:20" ht="47" customHeight="1">
      <c r="A472" s="23" t="s">
        <v>1569</v>
      </c>
      <c r="B472" s="3" t="s">
        <v>69</v>
      </c>
      <c r="C472" s="3" t="s">
        <v>11</v>
      </c>
      <c r="D472" s="3" t="s">
        <v>860</v>
      </c>
      <c r="E472" s="3" t="s">
        <v>2272</v>
      </c>
      <c r="F472" s="3" t="s">
        <v>2272</v>
      </c>
      <c r="G472" s="3" t="s">
        <v>2272</v>
      </c>
      <c r="H472" s="21" t="s">
        <v>2272</v>
      </c>
      <c r="I472" s="21" t="s">
        <v>2272</v>
      </c>
      <c r="J472" s="21" t="s">
        <v>2272</v>
      </c>
      <c r="K472" s="21" t="s">
        <v>532</v>
      </c>
      <c r="L472" s="21" t="s">
        <v>2272</v>
      </c>
      <c r="M472" s="21">
        <v>19</v>
      </c>
      <c r="N472" s="21" t="s">
        <v>2272</v>
      </c>
      <c r="O472" s="21" t="s">
        <v>2272</v>
      </c>
      <c r="P472" s="21" t="s">
        <v>2272</v>
      </c>
      <c r="Q472" s="21" t="s">
        <v>2272</v>
      </c>
      <c r="R472" s="21" t="s">
        <v>2272</v>
      </c>
      <c r="S472" s="21" t="s">
        <v>2272</v>
      </c>
      <c r="T472" s="3"/>
    </row>
    <row r="473" spans="1:20" ht="47" customHeight="1">
      <c r="A473" s="23" t="s">
        <v>1570</v>
      </c>
      <c r="B473" s="3" t="s">
        <v>69</v>
      </c>
      <c r="C473" s="3" t="s">
        <v>11</v>
      </c>
      <c r="D473" s="3" t="s">
        <v>860</v>
      </c>
      <c r="E473" s="3" t="s">
        <v>2272</v>
      </c>
      <c r="F473" s="3" t="s">
        <v>2272</v>
      </c>
      <c r="G473" s="3" t="s">
        <v>2272</v>
      </c>
      <c r="H473" s="21" t="s">
        <v>2272</v>
      </c>
      <c r="I473" s="21" t="s">
        <v>2272</v>
      </c>
      <c r="J473" s="21" t="s">
        <v>2272</v>
      </c>
      <c r="K473" s="21" t="s">
        <v>532</v>
      </c>
      <c r="L473" s="21" t="s">
        <v>2272</v>
      </c>
      <c r="M473" s="21">
        <v>19</v>
      </c>
      <c r="N473" s="21" t="s">
        <v>2272</v>
      </c>
      <c r="O473" s="21" t="s">
        <v>2272</v>
      </c>
      <c r="P473" s="21" t="s">
        <v>2272</v>
      </c>
      <c r="Q473" s="21" t="s">
        <v>2272</v>
      </c>
      <c r="R473" s="21" t="s">
        <v>2272</v>
      </c>
      <c r="S473" s="21" t="s">
        <v>2272</v>
      </c>
      <c r="T473" s="3"/>
    </row>
    <row r="474" spans="1:20" ht="47" customHeight="1">
      <c r="A474" s="23" t="s">
        <v>1571</v>
      </c>
      <c r="B474" s="3" t="s">
        <v>69</v>
      </c>
      <c r="C474" s="3" t="s">
        <v>11</v>
      </c>
      <c r="D474" s="3" t="s">
        <v>860</v>
      </c>
      <c r="E474" s="3" t="s">
        <v>2272</v>
      </c>
      <c r="F474" s="3" t="s">
        <v>2272</v>
      </c>
      <c r="G474" s="3" t="s">
        <v>2272</v>
      </c>
      <c r="H474" s="21" t="s">
        <v>2272</v>
      </c>
      <c r="I474" s="21" t="s">
        <v>2272</v>
      </c>
      <c r="J474" s="21" t="s">
        <v>2272</v>
      </c>
      <c r="K474" s="21" t="s">
        <v>532</v>
      </c>
      <c r="L474" s="21" t="s">
        <v>2272</v>
      </c>
      <c r="M474" s="21">
        <v>19</v>
      </c>
      <c r="N474" s="21" t="s">
        <v>2272</v>
      </c>
      <c r="O474" s="21" t="s">
        <v>2272</v>
      </c>
      <c r="P474" s="21" t="s">
        <v>2272</v>
      </c>
      <c r="Q474" s="21" t="s">
        <v>2272</v>
      </c>
      <c r="R474" s="21" t="s">
        <v>2272</v>
      </c>
      <c r="S474" s="21" t="s">
        <v>2272</v>
      </c>
      <c r="T474" s="3"/>
    </row>
    <row r="475" spans="1:20" ht="39.5" customHeight="1">
      <c r="A475" s="11" t="s">
        <v>1149</v>
      </c>
      <c r="B475" s="3" t="s">
        <v>1193</v>
      </c>
      <c r="C475" s="19" t="s">
        <v>11</v>
      </c>
      <c r="D475" s="3" t="s">
        <v>135</v>
      </c>
      <c r="E475" s="19" t="s">
        <v>860</v>
      </c>
      <c r="F475" s="4" t="s">
        <v>394</v>
      </c>
      <c r="G475" s="4" t="s">
        <v>2272</v>
      </c>
      <c r="H475" s="21" t="s">
        <v>2272</v>
      </c>
      <c r="I475" s="21" t="s">
        <v>2272</v>
      </c>
      <c r="J475" s="21" t="s">
        <v>2272</v>
      </c>
      <c r="K475" s="21" t="s">
        <v>532</v>
      </c>
      <c r="L475" s="21" t="s">
        <v>2272</v>
      </c>
      <c r="M475" s="21" t="s">
        <v>2272</v>
      </c>
      <c r="N475" s="21" t="s">
        <v>2272</v>
      </c>
      <c r="O475" s="21" t="s">
        <v>2272</v>
      </c>
      <c r="P475" s="21" t="s">
        <v>2272</v>
      </c>
      <c r="Q475" s="21" t="s">
        <v>2272</v>
      </c>
      <c r="R475" s="21" t="s">
        <v>2272</v>
      </c>
      <c r="S475" s="21" t="s">
        <v>2272</v>
      </c>
      <c r="T475" s="3" t="s">
        <v>1170</v>
      </c>
    </row>
    <row r="476" spans="1:20" ht="41" customHeight="1">
      <c r="A476" s="11" t="s">
        <v>1165</v>
      </c>
      <c r="B476" s="3" t="s">
        <v>1193</v>
      </c>
      <c r="C476" s="19" t="s">
        <v>11</v>
      </c>
      <c r="D476" s="3" t="s">
        <v>135</v>
      </c>
      <c r="E476" s="19" t="s">
        <v>860</v>
      </c>
      <c r="F476" s="4" t="s">
        <v>394</v>
      </c>
      <c r="G476" s="4" t="s">
        <v>2272</v>
      </c>
      <c r="H476" s="21" t="s">
        <v>2272</v>
      </c>
      <c r="I476" s="21" t="s">
        <v>2272</v>
      </c>
      <c r="J476" s="21" t="s">
        <v>2272</v>
      </c>
      <c r="K476" s="21" t="s">
        <v>532</v>
      </c>
      <c r="L476" s="21" t="s">
        <v>2272</v>
      </c>
      <c r="M476" s="21" t="s">
        <v>2272</v>
      </c>
      <c r="N476" s="21" t="s">
        <v>2272</v>
      </c>
      <c r="O476" s="21" t="s">
        <v>2272</v>
      </c>
      <c r="P476" s="21" t="s">
        <v>2272</v>
      </c>
      <c r="Q476" s="21" t="s">
        <v>2272</v>
      </c>
      <c r="R476" s="21" t="s">
        <v>2272</v>
      </c>
      <c r="S476" s="21" t="s">
        <v>2272</v>
      </c>
      <c r="T476" s="3" t="s">
        <v>1170</v>
      </c>
    </row>
    <row r="477" spans="1:20" ht="47" customHeight="1">
      <c r="A477" s="11" t="s">
        <v>1167</v>
      </c>
      <c r="B477" s="3" t="s">
        <v>1193</v>
      </c>
      <c r="C477" s="19" t="s">
        <v>11</v>
      </c>
      <c r="D477" s="3" t="s">
        <v>135</v>
      </c>
      <c r="E477" s="19" t="s">
        <v>860</v>
      </c>
      <c r="F477" s="4" t="s">
        <v>394</v>
      </c>
      <c r="G477" s="4" t="s">
        <v>2272</v>
      </c>
      <c r="H477" s="21" t="s">
        <v>2272</v>
      </c>
      <c r="I477" s="21" t="s">
        <v>2272</v>
      </c>
      <c r="J477" s="21" t="s">
        <v>2272</v>
      </c>
      <c r="K477" s="21" t="s">
        <v>532</v>
      </c>
      <c r="L477" s="21" t="s">
        <v>2272</v>
      </c>
      <c r="M477" s="21" t="s">
        <v>2272</v>
      </c>
      <c r="N477" s="21" t="s">
        <v>2272</v>
      </c>
      <c r="O477" s="21" t="s">
        <v>2272</v>
      </c>
      <c r="P477" s="21" t="s">
        <v>2272</v>
      </c>
      <c r="Q477" s="21" t="s">
        <v>2272</v>
      </c>
      <c r="R477" s="21" t="s">
        <v>2272</v>
      </c>
      <c r="S477" s="21" t="s">
        <v>2272</v>
      </c>
      <c r="T477" s="3" t="s">
        <v>1170</v>
      </c>
    </row>
    <row r="478" spans="1:20" ht="38.5" customHeight="1">
      <c r="A478" s="11" t="s">
        <v>1174</v>
      </c>
      <c r="B478" s="3" t="s">
        <v>31</v>
      </c>
      <c r="C478" s="19" t="s">
        <v>11</v>
      </c>
      <c r="D478" s="3" t="s">
        <v>128</v>
      </c>
      <c r="E478" s="3" t="s">
        <v>44</v>
      </c>
      <c r="F478" s="3" t="s">
        <v>860</v>
      </c>
      <c r="G478" s="4" t="s">
        <v>2272</v>
      </c>
      <c r="H478" s="21" t="s">
        <v>2272</v>
      </c>
      <c r="I478" s="21" t="s">
        <v>2272</v>
      </c>
      <c r="J478" s="21" t="s">
        <v>2272</v>
      </c>
      <c r="K478" s="21" t="s">
        <v>532</v>
      </c>
      <c r="L478" s="21" t="s">
        <v>2272</v>
      </c>
      <c r="M478" s="21" t="s">
        <v>2272</v>
      </c>
      <c r="N478" s="21" t="s">
        <v>2272</v>
      </c>
      <c r="O478" s="21" t="s">
        <v>2272</v>
      </c>
      <c r="P478" s="21" t="s">
        <v>2272</v>
      </c>
      <c r="Q478" s="21" t="s">
        <v>2272</v>
      </c>
      <c r="R478" s="21" t="s">
        <v>2272</v>
      </c>
      <c r="S478" s="21" t="s">
        <v>2272</v>
      </c>
      <c r="T478" s="3"/>
    </row>
    <row r="479" spans="1:20" ht="54.5" customHeight="1">
      <c r="A479" s="11" t="s">
        <v>1187</v>
      </c>
      <c r="B479" s="3" t="s">
        <v>31</v>
      </c>
      <c r="C479" s="19" t="s">
        <v>11</v>
      </c>
      <c r="D479" s="3" t="s">
        <v>128</v>
      </c>
      <c r="E479" s="4" t="s">
        <v>395</v>
      </c>
      <c r="F479" s="19" t="s">
        <v>860</v>
      </c>
      <c r="G479" s="4" t="s">
        <v>2646</v>
      </c>
      <c r="H479" s="21" t="s">
        <v>2272</v>
      </c>
      <c r="I479" s="21">
        <v>1.3759999999999999</v>
      </c>
      <c r="J479" s="21">
        <v>0.80373000000000006</v>
      </c>
      <c r="K479" s="21" t="s">
        <v>532</v>
      </c>
      <c r="L479" s="21" t="s">
        <v>2272</v>
      </c>
      <c r="M479" s="21" t="s">
        <v>2272</v>
      </c>
      <c r="N479" s="21" t="s">
        <v>2272</v>
      </c>
      <c r="O479" s="21" t="s">
        <v>2272</v>
      </c>
      <c r="P479" s="21" t="s">
        <v>2272</v>
      </c>
      <c r="Q479" s="21" t="s">
        <v>2272</v>
      </c>
      <c r="R479" s="21" t="s">
        <v>2272</v>
      </c>
      <c r="S479" s="21" t="s">
        <v>2272</v>
      </c>
      <c r="T479" s="3" t="s">
        <v>1194</v>
      </c>
    </row>
    <row r="480" spans="1:20" ht="50.5" customHeight="1">
      <c r="A480" s="11" t="s">
        <v>1191</v>
      </c>
      <c r="B480" s="4" t="s">
        <v>1193</v>
      </c>
      <c r="C480" s="19" t="s">
        <v>11</v>
      </c>
      <c r="D480" s="3" t="s">
        <v>128</v>
      </c>
      <c r="E480" s="4" t="s">
        <v>395</v>
      </c>
      <c r="F480" s="19" t="s">
        <v>860</v>
      </c>
      <c r="G480" s="4" t="s">
        <v>2646</v>
      </c>
      <c r="H480" s="21">
        <v>0.1146667</v>
      </c>
      <c r="I480" s="21">
        <v>1.0285</v>
      </c>
      <c r="J480" s="21">
        <v>1.175662</v>
      </c>
      <c r="K480" s="21" t="s">
        <v>532</v>
      </c>
      <c r="L480" s="21" t="s">
        <v>2272</v>
      </c>
      <c r="M480" s="21" t="s">
        <v>2272</v>
      </c>
      <c r="N480" s="21" t="s">
        <v>2272</v>
      </c>
      <c r="O480" s="21" t="s">
        <v>2272</v>
      </c>
      <c r="P480" s="21">
        <v>20.106666669999999</v>
      </c>
      <c r="Q480" s="21">
        <v>77.066666699999999</v>
      </c>
      <c r="R480" s="21">
        <v>0</v>
      </c>
      <c r="S480" s="21" t="s">
        <v>2272</v>
      </c>
      <c r="T480" s="4" t="s">
        <v>1200</v>
      </c>
    </row>
    <row r="481" spans="1:20" ht="53" customHeight="1">
      <c r="A481" s="11" t="s">
        <v>1192</v>
      </c>
      <c r="B481" s="4" t="s">
        <v>1193</v>
      </c>
      <c r="C481" s="19" t="s">
        <v>11</v>
      </c>
      <c r="D481" s="3" t="s">
        <v>128</v>
      </c>
      <c r="E481" s="4" t="s">
        <v>395</v>
      </c>
      <c r="F481" s="19" t="s">
        <v>860</v>
      </c>
      <c r="G481" s="4" t="s">
        <v>2646</v>
      </c>
      <c r="H481" s="21">
        <v>0.1413333</v>
      </c>
      <c r="I481" s="21">
        <v>0.79349999999999998</v>
      </c>
      <c r="J481" s="21">
        <v>1.4976879999999999</v>
      </c>
      <c r="K481" s="21" t="s">
        <v>532</v>
      </c>
      <c r="L481" s="21" t="s">
        <v>2272</v>
      </c>
      <c r="M481" s="21" t="s">
        <v>2272</v>
      </c>
      <c r="N481" s="21" t="s">
        <v>2272</v>
      </c>
      <c r="O481" s="21" t="s">
        <v>2272</v>
      </c>
      <c r="P481" s="21">
        <v>12.90666667</v>
      </c>
      <c r="Q481" s="21">
        <v>84.04</v>
      </c>
      <c r="R481" s="21">
        <v>0</v>
      </c>
      <c r="S481" s="21" t="s">
        <v>2272</v>
      </c>
      <c r="T481" s="4" t="s">
        <v>1200</v>
      </c>
    </row>
    <row r="482" spans="1:20" ht="41" customHeight="1">
      <c r="A482" s="11" t="s">
        <v>1201</v>
      </c>
      <c r="B482" s="3" t="s">
        <v>68</v>
      </c>
      <c r="C482" s="3" t="s">
        <v>393</v>
      </c>
      <c r="D482" s="3" t="s">
        <v>128</v>
      </c>
      <c r="E482" s="4" t="s">
        <v>395</v>
      </c>
      <c r="F482" s="3" t="s">
        <v>2272</v>
      </c>
      <c r="G482" s="3" t="s">
        <v>2272</v>
      </c>
      <c r="H482" s="21" t="s">
        <v>2272</v>
      </c>
      <c r="I482" s="21" t="s">
        <v>2272</v>
      </c>
      <c r="J482" s="21" t="s">
        <v>2272</v>
      </c>
      <c r="K482" s="21" t="s">
        <v>2272</v>
      </c>
      <c r="L482" s="21" t="s">
        <v>2272</v>
      </c>
      <c r="M482" s="21" t="s">
        <v>2272</v>
      </c>
      <c r="N482" s="21" t="s">
        <v>2272</v>
      </c>
      <c r="O482" s="21" t="s">
        <v>2272</v>
      </c>
      <c r="P482" s="21" t="s">
        <v>2272</v>
      </c>
      <c r="Q482" s="21" t="s">
        <v>2272</v>
      </c>
      <c r="R482" s="21" t="s">
        <v>2272</v>
      </c>
      <c r="S482" s="21" t="s">
        <v>2272</v>
      </c>
      <c r="T482" s="3"/>
    </row>
    <row r="483" spans="1:20" ht="40" customHeight="1">
      <c r="A483" s="11" t="s">
        <v>1202</v>
      </c>
      <c r="B483" s="3" t="s">
        <v>68</v>
      </c>
      <c r="C483" s="3" t="s">
        <v>393</v>
      </c>
      <c r="D483" s="3" t="s">
        <v>128</v>
      </c>
      <c r="E483" s="4" t="s">
        <v>395</v>
      </c>
      <c r="F483" s="3" t="s">
        <v>2272</v>
      </c>
      <c r="G483" s="3" t="s">
        <v>2272</v>
      </c>
      <c r="H483" s="21" t="s">
        <v>2272</v>
      </c>
      <c r="I483" s="21" t="s">
        <v>2272</v>
      </c>
      <c r="J483" s="21" t="s">
        <v>2272</v>
      </c>
      <c r="K483" s="21" t="s">
        <v>2272</v>
      </c>
      <c r="L483" s="21" t="s">
        <v>2272</v>
      </c>
      <c r="M483" s="21" t="s">
        <v>2272</v>
      </c>
      <c r="N483" s="21" t="s">
        <v>2272</v>
      </c>
      <c r="O483" s="21" t="s">
        <v>2272</v>
      </c>
      <c r="P483" s="21" t="s">
        <v>2272</v>
      </c>
      <c r="Q483" s="21" t="s">
        <v>2272</v>
      </c>
      <c r="R483" s="21" t="s">
        <v>2272</v>
      </c>
      <c r="S483" s="21" t="s">
        <v>2272</v>
      </c>
      <c r="T483" s="3"/>
    </row>
    <row r="484" spans="1:20" ht="41" customHeight="1">
      <c r="A484" s="11" t="s">
        <v>1203</v>
      </c>
      <c r="B484" s="3" t="s">
        <v>68</v>
      </c>
      <c r="C484" s="3" t="s">
        <v>393</v>
      </c>
      <c r="D484" s="3" t="s">
        <v>128</v>
      </c>
      <c r="E484" s="4" t="s">
        <v>395</v>
      </c>
      <c r="F484" s="3" t="s">
        <v>2272</v>
      </c>
      <c r="G484" s="3" t="s">
        <v>2272</v>
      </c>
      <c r="H484" s="21" t="s">
        <v>2272</v>
      </c>
      <c r="I484" s="21" t="s">
        <v>2272</v>
      </c>
      <c r="J484" s="21" t="s">
        <v>2272</v>
      </c>
      <c r="K484" s="21" t="s">
        <v>2272</v>
      </c>
      <c r="L484" s="21" t="s">
        <v>2272</v>
      </c>
      <c r="M484" s="21" t="s">
        <v>2272</v>
      </c>
      <c r="N484" s="21" t="s">
        <v>2272</v>
      </c>
      <c r="O484" s="21" t="s">
        <v>2272</v>
      </c>
      <c r="P484" s="21" t="s">
        <v>2272</v>
      </c>
      <c r="Q484" s="21" t="s">
        <v>2272</v>
      </c>
      <c r="R484" s="21" t="s">
        <v>2272</v>
      </c>
      <c r="S484" s="21" t="s">
        <v>2272</v>
      </c>
      <c r="T484" s="3"/>
    </row>
    <row r="485" spans="1:20" ht="45" customHeight="1">
      <c r="A485" s="11" t="s">
        <v>1204</v>
      </c>
      <c r="B485" s="3" t="s">
        <v>68</v>
      </c>
      <c r="C485" s="3" t="s">
        <v>393</v>
      </c>
      <c r="D485" s="3" t="s">
        <v>128</v>
      </c>
      <c r="E485" s="4" t="s">
        <v>395</v>
      </c>
      <c r="F485" s="3" t="s">
        <v>2272</v>
      </c>
      <c r="G485" s="3" t="s">
        <v>2272</v>
      </c>
      <c r="H485" s="21" t="s">
        <v>2272</v>
      </c>
      <c r="I485" s="21" t="s">
        <v>2272</v>
      </c>
      <c r="J485" s="21" t="s">
        <v>2272</v>
      </c>
      <c r="K485" s="21" t="s">
        <v>2272</v>
      </c>
      <c r="L485" s="21" t="s">
        <v>2272</v>
      </c>
      <c r="M485" s="21" t="s">
        <v>2272</v>
      </c>
      <c r="N485" s="21" t="s">
        <v>2272</v>
      </c>
      <c r="O485" s="21" t="s">
        <v>2272</v>
      </c>
      <c r="P485" s="21" t="s">
        <v>2272</v>
      </c>
      <c r="Q485" s="21" t="s">
        <v>2272</v>
      </c>
      <c r="R485" s="21" t="s">
        <v>2272</v>
      </c>
      <c r="S485" s="21" t="s">
        <v>2272</v>
      </c>
      <c r="T485" s="3"/>
    </row>
    <row r="486" spans="1:20" ht="53.5" customHeight="1">
      <c r="A486" s="11" t="s">
        <v>1228</v>
      </c>
      <c r="B486" s="11" t="s">
        <v>31</v>
      </c>
      <c r="C486" s="3" t="s">
        <v>393</v>
      </c>
      <c r="D486" s="11" t="s">
        <v>5000</v>
      </c>
      <c r="E486" s="19" t="s">
        <v>135</v>
      </c>
      <c r="F486" s="3" t="s">
        <v>2272</v>
      </c>
      <c r="G486" s="3" t="s">
        <v>2272</v>
      </c>
      <c r="H486" s="21" t="s">
        <v>2272</v>
      </c>
      <c r="I486" s="21" t="s">
        <v>2272</v>
      </c>
      <c r="J486" s="21" t="s">
        <v>2272</v>
      </c>
      <c r="K486" s="21" t="s">
        <v>2272</v>
      </c>
      <c r="L486" s="21" t="s">
        <v>2272</v>
      </c>
      <c r="M486" s="21" t="s">
        <v>2272</v>
      </c>
      <c r="N486" s="21" t="s">
        <v>2272</v>
      </c>
      <c r="O486" s="21" t="s">
        <v>2272</v>
      </c>
      <c r="P486" s="21" t="s">
        <v>2272</v>
      </c>
      <c r="Q486" s="21" t="s">
        <v>2272</v>
      </c>
      <c r="R486" s="21" t="s">
        <v>2272</v>
      </c>
      <c r="S486" s="21" t="s">
        <v>2272</v>
      </c>
      <c r="T486" s="3"/>
    </row>
    <row r="487" spans="1:20" ht="52" customHeight="1">
      <c r="A487" s="11" t="s">
        <v>1236</v>
      </c>
      <c r="B487" s="11" t="s">
        <v>31</v>
      </c>
      <c r="C487" s="3" t="s">
        <v>393</v>
      </c>
      <c r="D487" s="11" t="s">
        <v>135</v>
      </c>
      <c r="E487" s="3" t="s">
        <v>114</v>
      </c>
      <c r="F487" s="3" t="s">
        <v>2272</v>
      </c>
      <c r="G487" s="3" t="s">
        <v>2272</v>
      </c>
      <c r="H487" s="21" t="s">
        <v>2272</v>
      </c>
      <c r="I487" s="21" t="s">
        <v>2272</v>
      </c>
      <c r="J487" s="21" t="s">
        <v>2272</v>
      </c>
      <c r="K487" s="21" t="s">
        <v>2272</v>
      </c>
      <c r="L487" s="21" t="s">
        <v>2272</v>
      </c>
      <c r="M487" s="21" t="s">
        <v>2272</v>
      </c>
      <c r="N487" s="21" t="s">
        <v>2272</v>
      </c>
      <c r="O487" s="21" t="s">
        <v>2272</v>
      </c>
      <c r="P487" s="21" t="s">
        <v>2272</v>
      </c>
      <c r="Q487" s="21" t="s">
        <v>2272</v>
      </c>
      <c r="R487" s="21" t="s">
        <v>2272</v>
      </c>
      <c r="S487" s="21" t="s">
        <v>2272</v>
      </c>
      <c r="T487" s="3" t="s">
        <v>5002</v>
      </c>
    </row>
    <row r="488" spans="1:20" ht="37" customHeight="1">
      <c r="A488" s="11" t="s">
        <v>2441</v>
      </c>
      <c r="B488" s="3" t="s">
        <v>2272</v>
      </c>
      <c r="C488" s="11" t="s">
        <v>11</v>
      </c>
      <c r="D488" s="11" t="s">
        <v>135</v>
      </c>
      <c r="E488" s="3" t="s">
        <v>128</v>
      </c>
      <c r="F488" s="3" t="s">
        <v>2272</v>
      </c>
      <c r="G488" s="3" t="s">
        <v>2272</v>
      </c>
      <c r="H488" s="3" t="s">
        <v>2272</v>
      </c>
      <c r="I488" s="3" t="s">
        <v>2272</v>
      </c>
      <c r="J488" s="3" t="s">
        <v>2272</v>
      </c>
      <c r="K488" s="3" t="s">
        <v>2272</v>
      </c>
      <c r="L488" s="3" t="s">
        <v>2272</v>
      </c>
      <c r="M488" s="3" t="s">
        <v>2272</v>
      </c>
      <c r="N488" s="21" t="s">
        <v>2272</v>
      </c>
      <c r="O488" s="21" t="s">
        <v>2272</v>
      </c>
      <c r="P488" s="21" t="s">
        <v>2272</v>
      </c>
      <c r="Q488" s="21" t="s">
        <v>2272</v>
      </c>
      <c r="R488" s="21" t="s">
        <v>2272</v>
      </c>
      <c r="S488" s="21">
        <v>4</v>
      </c>
      <c r="T488" s="3" t="s">
        <v>2272</v>
      </c>
    </row>
    <row r="489" spans="1:20" ht="38.5" customHeight="1">
      <c r="A489" s="11" t="s">
        <v>2444</v>
      </c>
      <c r="B489" s="3" t="s">
        <v>2272</v>
      </c>
      <c r="C489" s="3" t="s">
        <v>393</v>
      </c>
      <c r="D489" s="3" t="s">
        <v>128</v>
      </c>
      <c r="E489" s="4" t="s">
        <v>395</v>
      </c>
      <c r="F489" s="3" t="s">
        <v>2272</v>
      </c>
      <c r="G489" s="3" t="s">
        <v>2272</v>
      </c>
      <c r="H489" s="3" t="s">
        <v>2272</v>
      </c>
      <c r="I489" s="3" t="s">
        <v>2272</v>
      </c>
      <c r="J489" s="3" t="s">
        <v>2272</v>
      </c>
      <c r="K489" s="3" t="s">
        <v>2272</v>
      </c>
      <c r="L489" s="3" t="s">
        <v>2272</v>
      </c>
      <c r="M489" s="3" t="s">
        <v>2272</v>
      </c>
      <c r="N489" s="21" t="s">
        <v>2272</v>
      </c>
      <c r="O489" s="21" t="s">
        <v>2272</v>
      </c>
      <c r="P489" s="21" t="s">
        <v>2272</v>
      </c>
      <c r="Q489" s="21" t="s">
        <v>2272</v>
      </c>
      <c r="R489" s="21" t="s">
        <v>2272</v>
      </c>
      <c r="S489" s="21" t="s">
        <v>2272</v>
      </c>
      <c r="T489" s="4" t="s">
        <v>2459</v>
      </c>
    </row>
    <row r="490" spans="1:20" ht="36" customHeight="1">
      <c r="A490" s="3" t="s">
        <v>2461</v>
      </c>
      <c r="B490" s="3" t="s">
        <v>68</v>
      </c>
      <c r="C490" s="3" t="s">
        <v>393</v>
      </c>
      <c r="D490" s="3" t="s">
        <v>128</v>
      </c>
      <c r="E490" s="4" t="s">
        <v>395</v>
      </c>
      <c r="F490" s="3" t="s">
        <v>2272</v>
      </c>
      <c r="G490" s="3" t="s">
        <v>2272</v>
      </c>
      <c r="H490" s="3" t="s">
        <v>2272</v>
      </c>
      <c r="I490" s="3">
        <v>1.2</v>
      </c>
      <c r="J490" s="3">
        <v>1.6</v>
      </c>
      <c r="K490" s="3" t="s">
        <v>2272</v>
      </c>
      <c r="L490" s="3" t="s">
        <v>2272</v>
      </c>
      <c r="M490" s="3" t="s">
        <v>2272</v>
      </c>
      <c r="N490" s="21" t="s">
        <v>2272</v>
      </c>
      <c r="O490" s="21" t="s">
        <v>2272</v>
      </c>
      <c r="P490" s="21" t="s">
        <v>2272</v>
      </c>
      <c r="Q490" s="21" t="s">
        <v>2272</v>
      </c>
      <c r="R490" s="21" t="s">
        <v>2272</v>
      </c>
      <c r="S490" s="21" t="s">
        <v>2272</v>
      </c>
      <c r="T490" s="4" t="s">
        <v>2494</v>
      </c>
    </row>
    <row r="491" spans="1:20" ht="36" customHeight="1">
      <c r="A491" s="3" t="s">
        <v>2462</v>
      </c>
      <c r="B491" s="3" t="s">
        <v>68</v>
      </c>
      <c r="C491" s="3" t="s">
        <v>393</v>
      </c>
      <c r="D491" s="3" t="s">
        <v>128</v>
      </c>
      <c r="E491" s="4" t="s">
        <v>395</v>
      </c>
      <c r="F491" s="3" t="s">
        <v>2272</v>
      </c>
      <c r="G491" s="3" t="s">
        <v>2272</v>
      </c>
      <c r="H491" s="3" t="s">
        <v>2272</v>
      </c>
      <c r="I491" s="3">
        <v>1.2</v>
      </c>
      <c r="J491" s="3">
        <v>1.6</v>
      </c>
      <c r="K491" s="3" t="s">
        <v>2272</v>
      </c>
      <c r="L491" s="3" t="s">
        <v>2272</v>
      </c>
      <c r="M491" s="3" t="s">
        <v>2272</v>
      </c>
      <c r="N491" s="21" t="s">
        <v>2272</v>
      </c>
      <c r="O491" s="21" t="s">
        <v>2272</v>
      </c>
      <c r="P491" s="21" t="s">
        <v>2272</v>
      </c>
      <c r="Q491" s="21" t="s">
        <v>2272</v>
      </c>
      <c r="R491" s="21" t="s">
        <v>2272</v>
      </c>
      <c r="S491" s="21" t="s">
        <v>2272</v>
      </c>
      <c r="T491" s="4" t="s">
        <v>2494</v>
      </c>
    </row>
    <row r="492" spans="1:20" ht="37.5" customHeight="1">
      <c r="A492" s="3" t="s">
        <v>2463</v>
      </c>
      <c r="B492" s="3" t="s">
        <v>68</v>
      </c>
      <c r="C492" s="3" t="s">
        <v>393</v>
      </c>
      <c r="D492" s="3" t="s">
        <v>128</v>
      </c>
      <c r="E492" s="4" t="s">
        <v>395</v>
      </c>
      <c r="F492" s="3" t="s">
        <v>2272</v>
      </c>
      <c r="G492" s="3" t="s">
        <v>2272</v>
      </c>
      <c r="H492" s="3" t="s">
        <v>2272</v>
      </c>
      <c r="I492" s="3">
        <v>1.2</v>
      </c>
      <c r="J492" s="3">
        <v>1.6</v>
      </c>
      <c r="K492" s="3" t="s">
        <v>2272</v>
      </c>
      <c r="L492" s="3" t="s">
        <v>2272</v>
      </c>
      <c r="M492" s="3" t="s">
        <v>2272</v>
      </c>
      <c r="N492" s="21" t="s">
        <v>2272</v>
      </c>
      <c r="O492" s="21" t="s">
        <v>2272</v>
      </c>
      <c r="P492" s="21" t="s">
        <v>2272</v>
      </c>
      <c r="Q492" s="21" t="s">
        <v>2272</v>
      </c>
      <c r="R492" s="21" t="s">
        <v>2272</v>
      </c>
      <c r="S492" s="21" t="s">
        <v>2272</v>
      </c>
      <c r="T492" s="4" t="s">
        <v>2494</v>
      </c>
    </row>
    <row r="493" spans="1:20" ht="37" customHeight="1">
      <c r="A493" s="3" t="s">
        <v>2464</v>
      </c>
      <c r="B493" s="3" t="s">
        <v>68</v>
      </c>
      <c r="C493" s="3" t="s">
        <v>393</v>
      </c>
      <c r="D493" s="3" t="s">
        <v>128</v>
      </c>
      <c r="E493" s="4" t="s">
        <v>395</v>
      </c>
      <c r="F493" s="3" t="s">
        <v>2272</v>
      </c>
      <c r="G493" s="3" t="s">
        <v>2272</v>
      </c>
      <c r="H493" s="3" t="s">
        <v>2272</v>
      </c>
      <c r="I493" s="3">
        <v>1.2</v>
      </c>
      <c r="J493" s="3">
        <v>1.6</v>
      </c>
      <c r="K493" s="3" t="s">
        <v>2272</v>
      </c>
      <c r="L493" s="3" t="s">
        <v>2272</v>
      </c>
      <c r="M493" s="3" t="s">
        <v>2272</v>
      </c>
      <c r="N493" s="21" t="s">
        <v>2272</v>
      </c>
      <c r="O493" s="21" t="s">
        <v>2272</v>
      </c>
      <c r="P493" s="21" t="s">
        <v>2272</v>
      </c>
      <c r="Q493" s="21" t="s">
        <v>2272</v>
      </c>
      <c r="R493" s="21" t="s">
        <v>2272</v>
      </c>
      <c r="S493" s="21" t="s">
        <v>2272</v>
      </c>
      <c r="T493" s="4" t="s">
        <v>2494</v>
      </c>
    </row>
    <row r="494" spans="1:20" ht="37" customHeight="1">
      <c r="A494" s="3" t="s">
        <v>2465</v>
      </c>
      <c r="B494" s="3" t="s">
        <v>68</v>
      </c>
      <c r="C494" s="3" t="s">
        <v>393</v>
      </c>
      <c r="D494" s="3" t="s">
        <v>128</v>
      </c>
      <c r="E494" s="4" t="s">
        <v>395</v>
      </c>
      <c r="F494" s="3" t="s">
        <v>2272</v>
      </c>
      <c r="G494" s="3" t="s">
        <v>2272</v>
      </c>
      <c r="H494" s="3" t="s">
        <v>2272</v>
      </c>
      <c r="I494" s="3">
        <v>1.2</v>
      </c>
      <c r="J494" s="3">
        <v>1.6</v>
      </c>
      <c r="K494" s="3" t="s">
        <v>2272</v>
      </c>
      <c r="L494" s="3" t="s">
        <v>2272</v>
      </c>
      <c r="M494" s="3" t="s">
        <v>2272</v>
      </c>
      <c r="N494" s="21" t="s">
        <v>2272</v>
      </c>
      <c r="O494" s="21" t="s">
        <v>2272</v>
      </c>
      <c r="P494" s="21" t="s">
        <v>2272</v>
      </c>
      <c r="Q494" s="21" t="s">
        <v>2272</v>
      </c>
      <c r="R494" s="21" t="s">
        <v>2272</v>
      </c>
      <c r="S494" s="21" t="s">
        <v>2272</v>
      </c>
      <c r="T494" s="4" t="s">
        <v>2494</v>
      </c>
    </row>
    <row r="495" spans="1:20" ht="41" customHeight="1">
      <c r="A495" s="3" t="s">
        <v>2466</v>
      </c>
      <c r="B495" s="3" t="s">
        <v>68</v>
      </c>
      <c r="C495" s="3" t="s">
        <v>393</v>
      </c>
      <c r="D495" s="3" t="s">
        <v>128</v>
      </c>
      <c r="E495" s="4" t="s">
        <v>395</v>
      </c>
      <c r="F495" s="3" t="s">
        <v>2272</v>
      </c>
      <c r="G495" s="3" t="s">
        <v>2272</v>
      </c>
      <c r="H495" s="3" t="s">
        <v>2272</v>
      </c>
      <c r="I495" s="3">
        <v>1.2</v>
      </c>
      <c r="J495" s="3">
        <v>1.6</v>
      </c>
      <c r="K495" s="3" t="s">
        <v>2272</v>
      </c>
      <c r="L495" s="3" t="s">
        <v>2272</v>
      </c>
      <c r="M495" s="3" t="s">
        <v>2272</v>
      </c>
      <c r="N495" s="21" t="s">
        <v>2272</v>
      </c>
      <c r="O495" s="21" t="s">
        <v>2272</v>
      </c>
      <c r="P495" s="21" t="s">
        <v>2272</v>
      </c>
      <c r="Q495" s="21" t="s">
        <v>2272</v>
      </c>
      <c r="R495" s="21" t="s">
        <v>2272</v>
      </c>
      <c r="S495" s="21" t="s">
        <v>2272</v>
      </c>
      <c r="T495" s="4" t="s">
        <v>2494</v>
      </c>
    </row>
    <row r="496" spans="1:20" ht="39" customHeight="1">
      <c r="A496" s="3" t="s">
        <v>2467</v>
      </c>
      <c r="B496" s="3" t="s">
        <v>68</v>
      </c>
      <c r="C496" s="3" t="s">
        <v>393</v>
      </c>
      <c r="D496" s="3" t="s">
        <v>128</v>
      </c>
      <c r="E496" s="4" t="s">
        <v>395</v>
      </c>
      <c r="F496" s="3" t="s">
        <v>2272</v>
      </c>
      <c r="G496" s="3" t="s">
        <v>2272</v>
      </c>
      <c r="H496" s="3" t="s">
        <v>2272</v>
      </c>
      <c r="I496" s="3">
        <v>1.2</v>
      </c>
      <c r="J496" s="3">
        <v>1.6</v>
      </c>
      <c r="K496" s="3" t="s">
        <v>2272</v>
      </c>
      <c r="L496" s="3" t="s">
        <v>2272</v>
      </c>
      <c r="M496" s="3" t="s">
        <v>2272</v>
      </c>
      <c r="N496" s="21" t="s">
        <v>2272</v>
      </c>
      <c r="O496" s="21" t="s">
        <v>2272</v>
      </c>
      <c r="P496" s="21" t="s">
        <v>2272</v>
      </c>
      <c r="Q496" s="21" t="s">
        <v>2272</v>
      </c>
      <c r="R496" s="21" t="s">
        <v>2272</v>
      </c>
      <c r="S496" s="21" t="s">
        <v>2272</v>
      </c>
      <c r="T496" s="4" t="s">
        <v>2494</v>
      </c>
    </row>
    <row r="497" spans="1:20" ht="35.5" customHeight="1">
      <c r="A497" s="3" t="s">
        <v>2468</v>
      </c>
      <c r="B497" s="3" t="s">
        <v>68</v>
      </c>
      <c r="C497" s="3" t="s">
        <v>393</v>
      </c>
      <c r="D497" s="3" t="s">
        <v>128</v>
      </c>
      <c r="E497" s="4" t="s">
        <v>395</v>
      </c>
      <c r="F497" s="3" t="s">
        <v>2272</v>
      </c>
      <c r="G497" s="3" t="s">
        <v>2272</v>
      </c>
      <c r="H497" s="3" t="s">
        <v>2272</v>
      </c>
      <c r="I497" s="3">
        <v>1.2</v>
      </c>
      <c r="J497" s="3">
        <v>1.6</v>
      </c>
      <c r="K497" s="3" t="s">
        <v>2272</v>
      </c>
      <c r="L497" s="3" t="s">
        <v>2272</v>
      </c>
      <c r="M497" s="3" t="s">
        <v>2272</v>
      </c>
      <c r="N497" s="21" t="s">
        <v>2272</v>
      </c>
      <c r="O497" s="21" t="s">
        <v>2272</v>
      </c>
      <c r="P497" s="21" t="s">
        <v>2272</v>
      </c>
      <c r="Q497" s="21" t="s">
        <v>2272</v>
      </c>
      <c r="R497" s="21" t="s">
        <v>2272</v>
      </c>
      <c r="S497" s="21" t="s">
        <v>2272</v>
      </c>
      <c r="T497" s="4" t="s">
        <v>2494</v>
      </c>
    </row>
    <row r="498" spans="1:20" ht="33" customHeight="1">
      <c r="A498" s="3" t="s">
        <v>2469</v>
      </c>
      <c r="B498" s="3" t="s">
        <v>68</v>
      </c>
      <c r="C498" s="3" t="s">
        <v>393</v>
      </c>
      <c r="D498" s="3" t="s">
        <v>128</v>
      </c>
      <c r="E498" s="4" t="s">
        <v>395</v>
      </c>
      <c r="F498" s="3" t="s">
        <v>2272</v>
      </c>
      <c r="G498" s="3" t="s">
        <v>2272</v>
      </c>
      <c r="H498" s="3" t="s">
        <v>2272</v>
      </c>
      <c r="I498" s="3">
        <v>1.2</v>
      </c>
      <c r="J498" s="3">
        <v>1.6</v>
      </c>
      <c r="K498" s="3" t="s">
        <v>2272</v>
      </c>
      <c r="L498" s="3" t="s">
        <v>2272</v>
      </c>
      <c r="M498" s="3" t="s">
        <v>2272</v>
      </c>
      <c r="N498" s="21" t="s">
        <v>2272</v>
      </c>
      <c r="O498" s="21" t="s">
        <v>2272</v>
      </c>
      <c r="P498" s="21" t="s">
        <v>2272</v>
      </c>
      <c r="Q498" s="21" t="s">
        <v>2272</v>
      </c>
      <c r="R498" s="21" t="s">
        <v>2272</v>
      </c>
      <c r="S498" s="21" t="s">
        <v>2272</v>
      </c>
      <c r="T498" s="4" t="s">
        <v>2494</v>
      </c>
    </row>
    <row r="499" spans="1:20" ht="35.5" customHeight="1">
      <c r="A499" s="3" t="s">
        <v>2470</v>
      </c>
      <c r="B499" s="3" t="s">
        <v>68</v>
      </c>
      <c r="C499" s="3" t="s">
        <v>393</v>
      </c>
      <c r="D499" s="3" t="s">
        <v>128</v>
      </c>
      <c r="E499" s="4" t="s">
        <v>395</v>
      </c>
      <c r="F499" s="3" t="s">
        <v>2272</v>
      </c>
      <c r="G499" s="3" t="s">
        <v>2272</v>
      </c>
      <c r="H499" s="3" t="s">
        <v>2272</v>
      </c>
      <c r="I499" s="3">
        <v>1.2</v>
      </c>
      <c r="J499" s="3">
        <v>1.6</v>
      </c>
      <c r="K499" s="3" t="s">
        <v>2272</v>
      </c>
      <c r="L499" s="3" t="s">
        <v>2272</v>
      </c>
      <c r="M499" s="3" t="s">
        <v>2272</v>
      </c>
      <c r="N499" s="21" t="s">
        <v>2272</v>
      </c>
      <c r="O499" s="21" t="s">
        <v>2272</v>
      </c>
      <c r="P499" s="21" t="s">
        <v>2272</v>
      </c>
      <c r="Q499" s="21" t="s">
        <v>2272</v>
      </c>
      <c r="R499" s="21" t="s">
        <v>2272</v>
      </c>
      <c r="S499" s="21" t="s">
        <v>2272</v>
      </c>
      <c r="T499" s="4" t="s">
        <v>2494</v>
      </c>
    </row>
    <row r="500" spans="1:20" ht="39" customHeight="1">
      <c r="A500" s="3" t="s">
        <v>2471</v>
      </c>
      <c r="B500" s="3" t="s">
        <v>68</v>
      </c>
      <c r="C500" s="3" t="s">
        <v>393</v>
      </c>
      <c r="D500" s="3" t="s">
        <v>128</v>
      </c>
      <c r="E500" s="4" t="s">
        <v>395</v>
      </c>
      <c r="F500" s="3" t="s">
        <v>2272</v>
      </c>
      <c r="G500" s="3" t="s">
        <v>2272</v>
      </c>
      <c r="H500" s="3" t="s">
        <v>2272</v>
      </c>
      <c r="I500" s="3">
        <v>1.2</v>
      </c>
      <c r="J500" s="3">
        <v>1.6</v>
      </c>
      <c r="K500" s="3" t="s">
        <v>2272</v>
      </c>
      <c r="L500" s="3" t="s">
        <v>2272</v>
      </c>
      <c r="M500" s="3" t="s">
        <v>2272</v>
      </c>
      <c r="N500" s="21" t="s">
        <v>2272</v>
      </c>
      <c r="O500" s="21" t="s">
        <v>2272</v>
      </c>
      <c r="P500" s="21" t="s">
        <v>2272</v>
      </c>
      <c r="Q500" s="21" t="s">
        <v>2272</v>
      </c>
      <c r="R500" s="21" t="s">
        <v>2272</v>
      </c>
      <c r="S500" s="21" t="s">
        <v>2272</v>
      </c>
      <c r="T500" s="4" t="s">
        <v>2494</v>
      </c>
    </row>
    <row r="501" spans="1:20" ht="34" customHeight="1">
      <c r="A501" s="3" t="s">
        <v>2472</v>
      </c>
      <c r="B501" s="3" t="s">
        <v>68</v>
      </c>
      <c r="C501" s="3" t="s">
        <v>393</v>
      </c>
      <c r="D501" s="3" t="s">
        <v>128</v>
      </c>
      <c r="E501" s="4" t="s">
        <v>395</v>
      </c>
      <c r="F501" s="3" t="s">
        <v>2272</v>
      </c>
      <c r="G501" s="3" t="s">
        <v>2272</v>
      </c>
      <c r="H501" s="3" t="s">
        <v>2272</v>
      </c>
      <c r="I501" s="3">
        <v>1.2</v>
      </c>
      <c r="J501" s="3">
        <v>1.6</v>
      </c>
      <c r="K501" s="3" t="s">
        <v>2272</v>
      </c>
      <c r="L501" s="3" t="s">
        <v>2272</v>
      </c>
      <c r="M501" s="3" t="s">
        <v>2272</v>
      </c>
      <c r="N501" s="21" t="s">
        <v>2272</v>
      </c>
      <c r="O501" s="21" t="s">
        <v>2272</v>
      </c>
      <c r="P501" s="21" t="s">
        <v>2272</v>
      </c>
      <c r="Q501" s="21" t="s">
        <v>2272</v>
      </c>
      <c r="R501" s="21" t="s">
        <v>2272</v>
      </c>
      <c r="S501" s="21" t="s">
        <v>2272</v>
      </c>
      <c r="T501" s="4" t="s">
        <v>2494</v>
      </c>
    </row>
    <row r="502" spans="1:20" ht="33" customHeight="1">
      <c r="A502" s="3" t="s">
        <v>2473</v>
      </c>
      <c r="B502" s="3" t="s">
        <v>68</v>
      </c>
      <c r="C502" s="3" t="s">
        <v>393</v>
      </c>
      <c r="D502" s="3" t="s">
        <v>128</v>
      </c>
      <c r="E502" s="4" t="s">
        <v>395</v>
      </c>
      <c r="F502" s="3" t="s">
        <v>2272</v>
      </c>
      <c r="G502" s="3" t="s">
        <v>2272</v>
      </c>
      <c r="H502" s="3" t="s">
        <v>2272</v>
      </c>
      <c r="I502" s="3">
        <v>1.2</v>
      </c>
      <c r="J502" s="3">
        <v>1.6</v>
      </c>
      <c r="K502" s="3" t="s">
        <v>2272</v>
      </c>
      <c r="L502" s="3" t="s">
        <v>2272</v>
      </c>
      <c r="M502" s="3" t="s">
        <v>2272</v>
      </c>
      <c r="N502" s="21" t="s">
        <v>2272</v>
      </c>
      <c r="O502" s="21" t="s">
        <v>2272</v>
      </c>
      <c r="P502" s="21" t="s">
        <v>2272</v>
      </c>
      <c r="Q502" s="21" t="s">
        <v>2272</v>
      </c>
      <c r="R502" s="21" t="s">
        <v>2272</v>
      </c>
      <c r="S502" s="21" t="s">
        <v>2272</v>
      </c>
      <c r="T502" s="4" t="s">
        <v>2494</v>
      </c>
    </row>
    <row r="503" spans="1:20" ht="35.5" customHeight="1">
      <c r="A503" s="3" t="s">
        <v>2474</v>
      </c>
      <c r="B503" s="3" t="s">
        <v>68</v>
      </c>
      <c r="C503" s="3" t="s">
        <v>393</v>
      </c>
      <c r="D503" s="3" t="s">
        <v>128</v>
      </c>
      <c r="E503" s="4" t="s">
        <v>395</v>
      </c>
      <c r="F503" s="3" t="s">
        <v>2272</v>
      </c>
      <c r="G503" s="3" t="s">
        <v>2272</v>
      </c>
      <c r="H503" s="3" t="s">
        <v>2272</v>
      </c>
      <c r="I503" s="3">
        <v>1.2</v>
      </c>
      <c r="J503" s="3">
        <v>1.6</v>
      </c>
      <c r="K503" s="3" t="s">
        <v>2272</v>
      </c>
      <c r="L503" s="3" t="s">
        <v>2272</v>
      </c>
      <c r="M503" s="3" t="s">
        <v>2272</v>
      </c>
      <c r="N503" s="21" t="s">
        <v>2272</v>
      </c>
      <c r="O503" s="21" t="s">
        <v>2272</v>
      </c>
      <c r="P503" s="21" t="s">
        <v>2272</v>
      </c>
      <c r="Q503" s="21" t="s">
        <v>2272</v>
      </c>
      <c r="R503" s="21" t="s">
        <v>2272</v>
      </c>
      <c r="S503" s="21" t="s">
        <v>2272</v>
      </c>
      <c r="T503" s="4" t="s">
        <v>2494</v>
      </c>
    </row>
    <row r="504" spans="1:20" ht="33" customHeight="1">
      <c r="A504" s="3" t="s">
        <v>2475</v>
      </c>
      <c r="B504" s="3" t="s">
        <v>68</v>
      </c>
      <c r="C504" s="3" t="s">
        <v>393</v>
      </c>
      <c r="D504" s="3" t="s">
        <v>128</v>
      </c>
      <c r="E504" s="4" t="s">
        <v>395</v>
      </c>
      <c r="F504" s="3" t="s">
        <v>2272</v>
      </c>
      <c r="G504" s="3" t="s">
        <v>2272</v>
      </c>
      <c r="H504" s="3" t="s">
        <v>2272</v>
      </c>
      <c r="I504" s="3">
        <v>1.2</v>
      </c>
      <c r="J504" s="3">
        <v>1.6</v>
      </c>
      <c r="K504" s="3" t="s">
        <v>2272</v>
      </c>
      <c r="L504" s="3" t="s">
        <v>2272</v>
      </c>
      <c r="M504" s="3" t="s">
        <v>2272</v>
      </c>
      <c r="N504" s="21" t="s">
        <v>2272</v>
      </c>
      <c r="O504" s="21" t="s">
        <v>2272</v>
      </c>
      <c r="P504" s="21" t="s">
        <v>2272</v>
      </c>
      <c r="Q504" s="21" t="s">
        <v>2272</v>
      </c>
      <c r="R504" s="21" t="s">
        <v>2272</v>
      </c>
      <c r="S504" s="21" t="s">
        <v>2272</v>
      </c>
      <c r="T504" s="4" t="s">
        <v>2494</v>
      </c>
    </row>
    <row r="505" spans="1:20" ht="35.5" customHeight="1">
      <c r="A505" s="3" t="s">
        <v>2476</v>
      </c>
      <c r="B505" s="3" t="s">
        <v>68</v>
      </c>
      <c r="C505" s="3" t="s">
        <v>393</v>
      </c>
      <c r="D505" s="3" t="s">
        <v>128</v>
      </c>
      <c r="E505" s="4" t="s">
        <v>395</v>
      </c>
      <c r="F505" s="3" t="s">
        <v>2272</v>
      </c>
      <c r="G505" s="3" t="s">
        <v>2272</v>
      </c>
      <c r="H505" s="3" t="s">
        <v>2272</v>
      </c>
      <c r="I505" s="3">
        <v>1.2</v>
      </c>
      <c r="J505" s="3">
        <v>1.6</v>
      </c>
      <c r="K505" s="3" t="s">
        <v>2272</v>
      </c>
      <c r="L505" s="3" t="s">
        <v>2272</v>
      </c>
      <c r="M505" s="3" t="s">
        <v>2272</v>
      </c>
      <c r="N505" s="21" t="s">
        <v>2272</v>
      </c>
      <c r="O505" s="21" t="s">
        <v>2272</v>
      </c>
      <c r="P505" s="21" t="s">
        <v>2272</v>
      </c>
      <c r="Q505" s="21" t="s">
        <v>2272</v>
      </c>
      <c r="R505" s="21" t="s">
        <v>2272</v>
      </c>
      <c r="S505" s="21" t="s">
        <v>2272</v>
      </c>
      <c r="T505" s="4" t="s">
        <v>2494</v>
      </c>
    </row>
    <row r="506" spans="1:20" ht="37.5" customHeight="1">
      <c r="A506" s="11" t="s">
        <v>2513</v>
      </c>
      <c r="B506" s="3" t="s">
        <v>2272</v>
      </c>
      <c r="C506" s="11" t="s">
        <v>11</v>
      </c>
      <c r="D506" s="11" t="s">
        <v>128</v>
      </c>
      <c r="E506" s="19" t="s">
        <v>860</v>
      </c>
      <c r="F506" s="11" t="s">
        <v>82</v>
      </c>
      <c r="G506" s="3" t="s">
        <v>114</v>
      </c>
      <c r="H506" s="3" t="s">
        <v>2272</v>
      </c>
      <c r="I506" s="3">
        <v>1.9</v>
      </c>
      <c r="J506" s="3" t="s">
        <v>2272</v>
      </c>
      <c r="K506" s="3" t="s">
        <v>532</v>
      </c>
      <c r="L506" s="3" t="s">
        <v>2272</v>
      </c>
      <c r="M506" s="3" t="s">
        <v>2272</v>
      </c>
      <c r="N506" s="21">
        <v>0</v>
      </c>
      <c r="O506" s="21">
        <v>0</v>
      </c>
      <c r="P506" s="21">
        <v>15.5</v>
      </c>
      <c r="Q506" s="21">
        <f>28.5+13.5+5.8</f>
        <v>47.8</v>
      </c>
      <c r="R506" s="21">
        <v>35</v>
      </c>
      <c r="S506" s="21">
        <f>100/15*(7338/(0.35*'Record info'!K506))</f>
        <v>2.987909715287385</v>
      </c>
      <c r="T506" s="4" t="s">
        <v>2523</v>
      </c>
    </row>
    <row r="507" spans="1:20" ht="39.5" customHeight="1">
      <c r="A507" s="11" t="s">
        <v>2515</v>
      </c>
      <c r="B507" s="3" t="s">
        <v>2272</v>
      </c>
      <c r="C507" s="11" t="s">
        <v>11</v>
      </c>
      <c r="D507" s="11" t="s">
        <v>128</v>
      </c>
      <c r="E507" s="19" t="s">
        <v>860</v>
      </c>
      <c r="F507" s="11" t="s">
        <v>82</v>
      </c>
      <c r="G507" s="3" t="s">
        <v>114</v>
      </c>
      <c r="H507" s="3" t="s">
        <v>2272</v>
      </c>
      <c r="I507" s="3">
        <v>1.9</v>
      </c>
      <c r="J507" s="3" t="s">
        <v>2272</v>
      </c>
      <c r="K507" s="3" t="s">
        <v>532</v>
      </c>
      <c r="L507" s="3" t="s">
        <v>2272</v>
      </c>
      <c r="M507" s="3">
        <v>0.5</v>
      </c>
      <c r="N507" s="21">
        <v>0</v>
      </c>
      <c r="O507" s="21">
        <v>0</v>
      </c>
      <c r="P507" s="21">
        <f>4.5+9.1</f>
        <v>13.6</v>
      </c>
      <c r="Q507" s="21">
        <f>21.8+9.5+5.9</f>
        <v>37.200000000000003</v>
      </c>
      <c r="R507" s="21">
        <f>42.6+4.1</f>
        <v>46.7</v>
      </c>
      <c r="S507" s="21">
        <f>100/15*1137/(0.467*'Record info'!K507)</f>
        <v>0.63832245490395012</v>
      </c>
      <c r="T507" s="4" t="s">
        <v>2523</v>
      </c>
    </row>
    <row r="508" spans="1:20" ht="38.5" customHeight="1">
      <c r="A508" s="11" t="s">
        <v>2526</v>
      </c>
      <c r="B508" s="3" t="s">
        <v>2272</v>
      </c>
      <c r="C508" s="11" t="s">
        <v>11</v>
      </c>
      <c r="D508" s="11" t="s">
        <v>128</v>
      </c>
      <c r="E508" s="3" t="s">
        <v>135</v>
      </c>
      <c r="F508" s="3" t="s">
        <v>2272</v>
      </c>
      <c r="G508" s="3" t="s">
        <v>2272</v>
      </c>
      <c r="H508" s="3" t="s">
        <v>2272</v>
      </c>
      <c r="I508" s="3" t="s">
        <v>2272</v>
      </c>
      <c r="J508" s="3" t="s">
        <v>2272</v>
      </c>
      <c r="K508" s="3" t="s">
        <v>2272</v>
      </c>
      <c r="L508" s="3" t="s">
        <v>2272</v>
      </c>
      <c r="M508" s="3" t="s">
        <v>2272</v>
      </c>
      <c r="N508" s="3" t="s">
        <v>2272</v>
      </c>
      <c r="O508" s="3" t="s">
        <v>2272</v>
      </c>
      <c r="P508" s="3" t="s">
        <v>2272</v>
      </c>
      <c r="Q508" s="3" t="s">
        <v>2272</v>
      </c>
      <c r="R508" s="3">
        <v>38</v>
      </c>
      <c r="S508" s="3">
        <v>3.8</v>
      </c>
      <c r="T508" s="4"/>
    </row>
    <row r="509" spans="1:20" ht="39.5" customHeight="1">
      <c r="A509" s="11" t="s">
        <v>2535</v>
      </c>
      <c r="B509" s="3" t="s">
        <v>2272</v>
      </c>
      <c r="C509" s="3" t="s">
        <v>11</v>
      </c>
      <c r="D509" s="11" t="s">
        <v>128</v>
      </c>
      <c r="E509" s="3" t="s">
        <v>135</v>
      </c>
      <c r="F509" s="11" t="s">
        <v>114</v>
      </c>
      <c r="G509" s="3" t="s">
        <v>2272</v>
      </c>
      <c r="H509" s="3" t="s">
        <v>2272</v>
      </c>
      <c r="I509" s="3">
        <v>0.5</v>
      </c>
      <c r="J509" s="3" t="s">
        <v>2272</v>
      </c>
      <c r="K509" s="3" t="s">
        <v>2272</v>
      </c>
      <c r="L509" s="3" t="s">
        <v>2272</v>
      </c>
      <c r="M509" s="3" t="s">
        <v>2272</v>
      </c>
      <c r="N509" s="3" t="s">
        <v>2272</v>
      </c>
      <c r="O509" s="3" t="s">
        <v>2272</v>
      </c>
      <c r="P509" s="3" t="s">
        <v>2272</v>
      </c>
      <c r="Q509" s="3" t="s">
        <v>2272</v>
      </c>
      <c r="R509" s="21">
        <v>92</v>
      </c>
      <c r="S509" s="3" t="s">
        <v>2272</v>
      </c>
      <c r="T509" s="3" t="s">
        <v>2537</v>
      </c>
    </row>
    <row r="510" spans="1:20" ht="42" customHeight="1">
      <c r="A510" s="11" t="s">
        <v>2545</v>
      </c>
      <c r="B510" s="3" t="s">
        <v>68</v>
      </c>
      <c r="C510" s="11" t="s">
        <v>393</v>
      </c>
      <c r="D510" s="11" t="s">
        <v>128</v>
      </c>
      <c r="E510" s="4" t="s">
        <v>395</v>
      </c>
      <c r="F510" s="3" t="s">
        <v>2272</v>
      </c>
      <c r="G510" s="3" t="s">
        <v>2272</v>
      </c>
      <c r="H510" s="3" t="s">
        <v>2272</v>
      </c>
      <c r="I510" s="3" t="s">
        <v>2272</v>
      </c>
      <c r="J510" s="3" t="s">
        <v>2272</v>
      </c>
      <c r="K510" s="3" t="s">
        <v>2272</v>
      </c>
      <c r="L510" s="3" t="s">
        <v>2272</v>
      </c>
      <c r="M510" s="3" t="s">
        <v>2272</v>
      </c>
      <c r="N510" s="3" t="s">
        <v>2272</v>
      </c>
      <c r="O510" s="3" t="s">
        <v>2272</v>
      </c>
      <c r="P510" s="3" t="s">
        <v>2272</v>
      </c>
      <c r="Q510" s="3" t="s">
        <v>2272</v>
      </c>
      <c r="R510" s="3" t="s">
        <v>2272</v>
      </c>
      <c r="S510" s="3" t="s">
        <v>2272</v>
      </c>
      <c r="T510" s="3"/>
    </row>
    <row r="511" spans="1:20" ht="37.5" customHeight="1">
      <c r="A511" s="11" t="s">
        <v>2552</v>
      </c>
      <c r="B511" s="3" t="s">
        <v>68</v>
      </c>
      <c r="C511" s="11" t="s">
        <v>393</v>
      </c>
      <c r="D511" s="11" t="s">
        <v>128</v>
      </c>
      <c r="E511" s="3" t="s">
        <v>2272</v>
      </c>
      <c r="F511" s="3" t="s">
        <v>2272</v>
      </c>
      <c r="G511" s="3" t="s">
        <v>2272</v>
      </c>
      <c r="H511" s="3" t="s">
        <v>2272</v>
      </c>
      <c r="I511" s="3" t="s">
        <v>2272</v>
      </c>
      <c r="J511" s="3" t="s">
        <v>2272</v>
      </c>
      <c r="K511" s="3" t="s">
        <v>2272</v>
      </c>
      <c r="L511" s="3" t="s">
        <v>2272</v>
      </c>
      <c r="M511" s="3" t="s">
        <v>2272</v>
      </c>
      <c r="N511" s="3" t="s">
        <v>2272</v>
      </c>
      <c r="O511" s="3" t="s">
        <v>2272</v>
      </c>
      <c r="P511" s="3" t="s">
        <v>2272</v>
      </c>
      <c r="Q511" s="3" t="s">
        <v>2272</v>
      </c>
      <c r="R511" s="3" t="s">
        <v>2272</v>
      </c>
      <c r="S511" s="3" t="s">
        <v>2272</v>
      </c>
      <c r="T511" s="3"/>
    </row>
    <row r="512" spans="1:20" ht="36" customHeight="1">
      <c r="A512" s="11" t="s">
        <v>2558</v>
      </c>
      <c r="B512" s="3" t="s">
        <v>2272</v>
      </c>
      <c r="C512" s="11" t="s">
        <v>11</v>
      </c>
      <c r="D512" s="4" t="s">
        <v>395</v>
      </c>
      <c r="E512" s="3" t="s">
        <v>2272</v>
      </c>
      <c r="F512" s="3" t="s">
        <v>2272</v>
      </c>
      <c r="G512" s="3" t="s">
        <v>2272</v>
      </c>
      <c r="H512" s="3" t="s">
        <v>2272</v>
      </c>
      <c r="I512" s="3" t="s">
        <v>2272</v>
      </c>
      <c r="J512" s="3">
        <v>0.9</v>
      </c>
      <c r="K512" s="3" t="s">
        <v>2272</v>
      </c>
      <c r="L512" s="3" t="s">
        <v>2272</v>
      </c>
      <c r="M512" s="3" t="s">
        <v>2272</v>
      </c>
      <c r="N512" s="3" t="s">
        <v>2272</v>
      </c>
      <c r="O512" s="3" t="s">
        <v>2272</v>
      </c>
      <c r="P512" s="21">
        <v>40</v>
      </c>
      <c r="Q512" s="21">
        <v>46</v>
      </c>
      <c r="R512" s="21">
        <v>6</v>
      </c>
      <c r="S512" s="21"/>
      <c r="T512" s="3" t="s">
        <v>2565</v>
      </c>
    </row>
    <row r="513" spans="1:20" ht="38.5" customHeight="1">
      <c r="A513" s="11" t="s">
        <v>2569</v>
      </c>
      <c r="B513" s="3" t="s">
        <v>69</v>
      </c>
      <c r="C513" s="11" t="s">
        <v>11</v>
      </c>
      <c r="D513" s="11" t="s">
        <v>128</v>
      </c>
      <c r="E513" s="3" t="s">
        <v>2647</v>
      </c>
      <c r="F513" s="4" t="s">
        <v>395</v>
      </c>
      <c r="G513" s="3" t="s">
        <v>2272</v>
      </c>
      <c r="H513" s="3" t="s">
        <v>2272</v>
      </c>
      <c r="I513" s="3" t="s">
        <v>2272</v>
      </c>
      <c r="J513" s="3" t="s">
        <v>2272</v>
      </c>
      <c r="K513" s="3" t="s">
        <v>2272</v>
      </c>
      <c r="L513" s="3" t="s">
        <v>2272</v>
      </c>
      <c r="M513" s="3" t="s">
        <v>2272</v>
      </c>
      <c r="N513" s="3" t="s">
        <v>2272</v>
      </c>
      <c r="O513" s="3" t="s">
        <v>2272</v>
      </c>
      <c r="P513" s="3" t="s">
        <v>2272</v>
      </c>
      <c r="Q513" s="3" t="s">
        <v>2272</v>
      </c>
      <c r="R513" s="3" t="s">
        <v>2272</v>
      </c>
      <c r="S513" s="3" t="s">
        <v>2272</v>
      </c>
      <c r="T513" s="3"/>
    </row>
    <row r="514" spans="1:20" ht="29">
      <c r="A514" s="11" t="s">
        <v>2571</v>
      </c>
      <c r="B514" s="3" t="s">
        <v>69</v>
      </c>
      <c r="C514" s="11" t="s">
        <v>11</v>
      </c>
      <c r="D514" s="11" t="s">
        <v>128</v>
      </c>
      <c r="E514" s="3" t="s">
        <v>2647</v>
      </c>
      <c r="F514" s="4" t="s">
        <v>395</v>
      </c>
      <c r="G514" s="3" t="s">
        <v>2272</v>
      </c>
      <c r="H514" s="3" t="s">
        <v>2272</v>
      </c>
      <c r="I514" s="3" t="s">
        <v>2272</v>
      </c>
      <c r="J514" s="3" t="s">
        <v>2272</v>
      </c>
      <c r="K514" s="3" t="s">
        <v>2272</v>
      </c>
      <c r="L514" s="3" t="s">
        <v>2272</v>
      </c>
      <c r="M514" s="3" t="s">
        <v>2272</v>
      </c>
      <c r="N514" s="3" t="s">
        <v>2272</v>
      </c>
      <c r="O514" s="3" t="s">
        <v>2272</v>
      </c>
      <c r="P514" s="3" t="s">
        <v>2272</v>
      </c>
      <c r="Q514" s="3" t="s">
        <v>2272</v>
      </c>
      <c r="R514" s="3" t="s">
        <v>2272</v>
      </c>
      <c r="S514" s="3" t="s">
        <v>2272</v>
      </c>
      <c r="T514" s="3"/>
    </row>
    <row r="515" spans="1:20" ht="29">
      <c r="A515" s="11" t="s">
        <v>2583</v>
      </c>
      <c r="B515" s="3" t="s">
        <v>69</v>
      </c>
      <c r="C515" s="11" t="s">
        <v>11</v>
      </c>
      <c r="D515" s="11" t="s">
        <v>128</v>
      </c>
      <c r="E515" s="3" t="s">
        <v>2647</v>
      </c>
      <c r="F515" s="4" t="s">
        <v>395</v>
      </c>
      <c r="G515" s="3" t="s">
        <v>2272</v>
      </c>
      <c r="H515" s="3" t="s">
        <v>2272</v>
      </c>
      <c r="I515" s="3" t="s">
        <v>2272</v>
      </c>
      <c r="J515" s="3" t="s">
        <v>2272</v>
      </c>
      <c r="K515" s="3" t="s">
        <v>2272</v>
      </c>
      <c r="L515" s="3" t="s">
        <v>2272</v>
      </c>
      <c r="M515" s="3" t="s">
        <v>2272</v>
      </c>
      <c r="N515" s="3" t="s">
        <v>2272</v>
      </c>
      <c r="O515" s="3" t="s">
        <v>2272</v>
      </c>
      <c r="P515" s="3" t="s">
        <v>2272</v>
      </c>
      <c r="Q515" s="3" t="s">
        <v>2272</v>
      </c>
      <c r="R515" s="3" t="s">
        <v>2272</v>
      </c>
      <c r="S515" s="3" t="s">
        <v>2272</v>
      </c>
      <c r="T515" s="3"/>
    </row>
    <row r="516" spans="1:20" ht="29">
      <c r="A516" s="11" t="s">
        <v>2584</v>
      </c>
      <c r="B516" s="3" t="s">
        <v>69</v>
      </c>
      <c r="C516" s="11" t="s">
        <v>11</v>
      </c>
      <c r="D516" s="11" t="s">
        <v>128</v>
      </c>
      <c r="E516" s="3" t="s">
        <v>2647</v>
      </c>
      <c r="F516" s="4" t="s">
        <v>395</v>
      </c>
      <c r="G516" s="3" t="s">
        <v>2272</v>
      </c>
      <c r="H516" s="3" t="s">
        <v>2272</v>
      </c>
      <c r="I516" s="3" t="s">
        <v>2272</v>
      </c>
      <c r="J516" s="3" t="s">
        <v>2272</v>
      </c>
      <c r="K516" s="3" t="s">
        <v>2272</v>
      </c>
      <c r="L516" s="3" t="s">
        <v>2272</v>
      </c>
      <c r="M516" s="3" t="s">
        <v>2272</v>
      </c>
      <c r="N516" s="3" t="s">
        <v>2272</v>
      </c>
      <c r="O516" s="3" t="s">
        <v>2272</v>
      </c>
      <c r="P516" s="3" t="s">
        <v>2272</v>
      </c>
      <c r="Q516" s="3" t="s">
        <v>2272</v>
      </c>
      <c r="R516" s="3" t="s">
        <v>2272</v>
      </c>
      <c r="S516" s="3" t="s">
        <v>2272</v>
      </c>
      <c r="T516" s="3"/>
    </row>
    <row r="517" spans="1:20" ht="29">
      <c r="A517" s="11" t="s">
        <v>2585</v>
      </c>
      <c r="B517" s="3" t="s">
        <v>69</v>
      </c>
      <c r="C517" s="11" t="s">
        <v>11</v>
      </c>
      <c r="D517" s="11" t="s">
        <v>128</v>
      </c>
      <c r="E517" s="3" t="s">
        <v>2647</v>
      </c>
      <c r="F517" s="4" t="s">
        <v>395</v>
      </c>
      <c r="G517" s="3" t="s">
        <v>2272</v>
      </c>
      <c r="H517" s="3" t="s">
        <v>2272</v>
      </c>
      <c r="I517" s="3" t="s">
        <v>2272</v>
      </c>
      <c r="J517" s="3" t="s">
        <v>2272</v>
      </c>
      <c r="K517" s="3" t="s">
        <v>2272</v>
      </c>
      <c r="L517" s="3" t="s">
        <v>2272</v>
      </c>
      <c r="M517" s="3" t="s">
        <v>2272</v>
      </c>
      <c r="N517" s="3" t="s">
        <v>2272</v>
      </c>
      <c r="O517" s="3" t="s">
        <v>2272</v>
      </c>
      <c r="P517" s="3" t="s">
        <v>2272</v>
      </c>
      <c r="Q517" s="3" t="s">
        <v>2272</v>
      </c>
      <c r="R517" s="3" t="s">
        <v>2272</v>
      </c>
      <c r="S517" s="3" t="s">
        <v>2272</v>
      </c>
      <c r="T517" s="3"/>
    </row>
    <row r="518" spans="1:20" ht="29">
      <c r="A518" s="11" t="s">
        <v>2586</v>
      </c>
      <c r="B518" s="3" t="s">
        <v>69</v>
      </c>
      <c r="C518" s="11" t="s">
        <v>11</v>
      </c>
      <c r="D518" s="11" t="s">
        <v>128</v>
      </c>
      <c r="E518" s="3" t="s">
        <v>2647</v>
      </c>
      <c r="F518" s="4" t="s">
        <v>395</v>
      </c>
      <c r="G518" s="3" t="s">
        <v>2272</v>
      </c>
      <c r="H518" s="3" t="s">
        <v>2272</v>
      </c>
      <c r="I518" s="3" t="s">
        <v>2272</v>
      </c>
      <c r="J518" s="3" t="s">
        <v>2272</v>
      </c>
      <c r="K518" s="3" t="s">
        <v>2272</v>
      </c>
      <c r="L518" s="3" t="s">
        <v>2272</v>
      </c>
      <c r="M518" s="3" t="s">
        <v>2272</v>
      </c>
      <c r="N518" s="3" t="s">
        <v>2272</v>
      </c>
      <c r="O518" s="3" t="s">
        <v>2272</v>
      </c>
      <c r="P518" s="3" t="s">
        <v>2272</v>
      </c>
      <c r="Q518" s="3" t="s">
        <v>2272</v>
      </c>
      <c r="R518" s="3" t="s">
        <v>2272</v>
      </c>
      <c r="S518" s="3" t="s">
        <v>2272</v>
      </c>
      <c r="T518" s="3"/>
    </row>
    <row r="519" spans="1:20" ht="22.5" customHeight="1">
      <c r="A519" s="11" t="s">
        <v>2587</v>
      </c>
      <c r="B519" s="3" t="s">
        <v>68</v>
      </c>
      <c r="C519" s="11" t="s">
        <v>393</v>
      </c>
      <c r="D519" s="11" t="s">
        <v>128</v>
      </c>
      <c r="E519" s="3" t="s">
        <v>2272</v>
      </c>
      <c r="F519" s="3" t="s">
        <v>2272</v>
      </c>
      <c r="G519" s="3" t="s">
        <v>2272</v>
      </c>
      <c r="H519" s="3" t="s">
        <v>2272</v>
      </c>
      <c r="I519" s="3">
        <v>2</v>
      </c>
      <c r="J519" s="3" t="s">
        <v>2272</v>
      </c>
      <c r="K519" s="3" t="s">
        <v>2272</v>
      </c>
      <c r="L519" s="3" t="s">
        <v>2272</v>
      </c>
      <c r="M519" s="3" t="s">
        <v>2272</v>
      </c>
      <c r="N519" s="3" t="s">
        <v>2272</v>
      </c>
      <c r="O519" s="3" t="s">
        <v>2272</v>
      </c>
      <c r="P519" s="3" t="s">
        <v>2272</v>
      </c>
      <c r="Q519" s="3" t="s">
        <v>2272</v>
      </c>
      <c r="R519" s="3" t="s">
        <v>2272</v>
      </c>
      <c r="S519" s="3"/>
      <c r="T519" s="3"/>
    </row>
    <row r="520" spans="1:20" ht="22.5" customHeight="1">
      <c r="A520" s="11" t="s">
        <v>2588</v>
      </c>
      <c r="B520" s="3" t="s">
        <v>68</v>
      </c>
      <c r="C520" s="11" t="s">
        <v>393</v>
      </c>
      <c r="D520" s="11" t="s">
        <v>128</v>
      </c>
      <c r="E520" s="3" t="s">
        <v>2272</v>
      </c>
      <c r="F520" s="3" t="s">
        <v>2272</v>
      </c>
      <c r="G520" s="3" t="s">
        <v>2272</v>
      </c>
      <c r="H520" s="3" t="s">
        <v>2272</v>
      </c>
      <c r="I520" s="3">
        <v>2</v>
      </c>
      <c r="J520" s="3" t="s">
        <v>2272</v>
      </c>
      <c r="K520" s="3" t="s">
        <v>2272</v>
      </c>
      <c r="L520" s="3" t="s">
        <v>2272</v>
      </c>
      <c r="M520" s="3" t="s">
        <v>2272</v>
      </c>
      <c r="N520" s="3" t="s">
        <v>2272</v>
      </c>
      <c r="O520" s="3" t="s">
        <v>2272</v>
      </c>
      <c r="P520" s="3" t="s">
        <v>2272</v>
      </c>
      <c r="Q520" s="3" t="s">
        <v>2272</v>
      </c>
      <c r="R520" s="3" t="s">
        <v>2272</v>
      </c>
      <c r="S520" s="3"/>
      <c r="T520" s="3"/>
    </row>
    <row r="521" spans="1:20" ht="22.5" customHeight="1">
      <c r="A521" s="11" t="s">
        <v>2589</v>
      </c>
      <c r="B521" s="3" t="s">
        <v>68</v>
      </c>
      <c r="C521" s="11" t="s">
        <v>393</v>
      </c>
      <c r="D521" s="11" t="s">
        <v>128</v>
      </c>
      <c r="E521" s="3" t="s">
        <v>2272</v>
      </c>
      <c r="F521" s="3" t="s">
        <v>2272</v>
      </c>
      <c r="G521" s="3" t="s">
        <v>2272</v>
      </c>
      <c r="H521" s="3" t="s">
        <v>2272</v>
      </c>
      <c r="I521" s="3">
        <v>2</v>
      </c>
      <c r="J521" s="3" t="s">
        <v>2272</v>
      </c>
      <c r="K521" s="3" t="s">
        <v>2272</v>
      </c>
      <c r="L521" s="3" t="s">
        <v>2272</v>
      </c>
      <c r="M521" s="3" t="s">
        <v>2272</v>
      </c>
      <c r="N521" s="3" t="s">
        <v>2272</v>
      </c>
      <c r="O521" s="3" t="s">
        <v>2272</v>
      </c>
      <c r="P521" s="3" t="s">
        <v>2272</v>
      </c>
      <c r="Q521" s="3" t="s">
        <v>2272</v>
      </c>
      <c r="R521" s="3" t="s">
        <v>2272</v>
      </c>
      <c r="S521" s="3"/>
      <c r="T521" s="3"/>
    </row>
    <row r="522" spans="1:20" ht="32" customHeight="1">
      <c r="A522" s="11" t="s">
        <v>2590</v>
      </c>
      <c r="B522" s="3" t="s">
        <v>68</v>
      </c>
      <c r="C522" s="11" t="s">
        <v>393</v>
      </c>
      <c r="D522" s="11" t="s">
        <v>128</v>
      </c>
      <c r="E522" s="3" t="s">
        <v>2272</v>
      </c>
      <c r="F522" s="3" t="s">
        <v>2272</v>
      </c>
      <c r="G522" s="3" t="s">
        <v>2272</v>
      </c>
      <c r="H522" s="3" t="s">
        <v>2272</v>
      </c>
      <c r="I522" s="3">
        <v>2</v>
      </c>
      <c r="J522" s="3" t="s">
        <v>2272</v>
      </c>
      <c r="K522" s="3" t="s">
        <v>2272</v>
      </c>
      <c r="L522" s="3" t="s">
        <v>2272</v>
      </c>
      <c r="M522" s="3" t="s">
        <v>2272</v>
      </c>
      <c r="N522" s="3" t="s">
        <v>2272</v>
      </c>
      <c r="O522" s="3" t="s">
        <v>2272</v>
      </c>
      <c r="P522" s="3" t="s">
        <v>2272</v>
      </c>
      <c r="Q522" s="3" t="s">
        <v>2272</v>
      </c>
      <c r="R522" s="3" t="s">
        <v>2272</v>
      </c>
      <c r="S522" s="3"/>
      <c r="T522" s="3"/>
    </row>
    <row r="523" spans="1:20" ht="34.5" customHeight="1">
      <c r="A523" s="11" t="s">
        <v>2591</v>
      </c>
      <c r="B523" s="3" t="s">
        <v>68</v>
      </c>
      <c r="C523" s="11" t="s">
        <v>393</v>
      </c>
      <c r="D523" s="11" t="s">
        <v>128</v>
      </c>
      <c r="E523" s="3" t="s">
        <v>2272</v>
      </c>
      <c r="F523" s="3" t="s">
        <v>2272</v>
      </c>
      <c r="G523" s="3" t="s">
        <v>2272</v>
      </c>
      <c r="H523" s="3" t="s">
        <v>2272</v>
      </c>
      <c r="I523" s="3">
        <v>2</v>
      </c>
      <c r="J523" s="3" t="s">
        <v>2272</v>
      </c>
      <c r="K523" s="3" t="s">
        <v>2272</v>
      </c>
      <c r="L523" s="3" t="s">
        <v>2272</v>
      </c>
      <c r="M523" s="3" t="s">
        <v>2272</v>
      </c>
      <c r="N523" s="3" t="s">
        <v>2272</v>
      </c>
      <c r="O523" s="3" t="s">
        <v>2272</v>
      </c>
      <c r="P523" s="3" t="s">
        <v>2272</v>
      </c>
      <c r="Q523" s="3" t="s">
        <v>2272</v>
      </c>
      <c r="R523" s="3" t="s">
        <v>2272</v>
      </c>
      <c r="S523" s="3"/>
      <c r="T523" s="4"/>
    </row>
    <row r="524" spans="1:20" ht="41" customHeight="1">
      <c r="A524" s="11" t="s">
        <v>2619</v>
      </c>
      <c r="B524" s="3" t="s">
        <v>68</v>
      </c>
      <c r="C524" s="11" t="s">
        <v>11</v>
      </c>
      <c r="D524" s="11" t="s">
        <v>128</v>
      </c>
      <c r="E524" s="4" t="s">
        <v>394</v>
      </c>
      <c r="F524" s="3" t="s">
        <v>82</v>
      </c>
      <c r="G524" s="3" t="s">
        <v>2272</v>
      </c>
      <c r="H524" s="3" t="s">
        <v>2272</v>
      </c>
      <c r="I524" s="3">
        <f>0.9*3.1</f>
        <v>2.79</v>
      </c>
      <c r="J524" s="3" t="s">
        <v>2272</v>
      </c>
      <c r="K524" s="3" t="s">
        <v>532</v>
      </c>
      <c r="L524" s="3" t="s">
        <v>2272</v>
      </c>
      <c r="M524" s="3" t="s">
        <v>2272</v>
      </c>
      <c r="N524" s="3" t="s">
        <v>2272</v>
      </c>
      <c r="O524" s="3" t="s">
        <v>2272</v>
      </c>
      <c r="P524" s="3" t="s">
        <v>2272</v>
      </c>
      <c r="Q524" s="3" t="s">
        <v>2272</v>
      </c>
      <c r="R524" s="3" t="s">
        <v>2272</v>
      </c>
      <c r="S524" s="3" t="s">
        <v>2272</v>
      </c>
      <c r="T524" s="4" t="s">
        <v>2678</v>
      </c>
    </row>
    <row r="525" spans="1:20" ht="53.5" customHeight="1">
      <c r="A525" s="11" t="s">
        <v>2620</v>
      </c>
      <c r="B525" s="3" t="s">
        <v>2254</v>
      </c>
      <c r="C525" s="11" t="s">
        <v>11</v>
      </c>
      <c r="D525" s="11" t="s">
        <v>128</v>
      </c>
      <c r="E525" s="4" t="s">
        <v>394</v>
      </c>
      <c r="F525" s="3" t="s">
        <v>135</v>
      </c>
      <c r="G525" s="3" t="s">
        <v>82</v>
      </c>
      <c r="H525" s="3" t="s">
        <v>2272</v>
      </c>
      <c r="I525" s="3">
        <f>0.6*3.6</f>
        <v>2.16</v>
      </c>
      <c r="J525" s="3" t="s">
        <v>2272</v>
      </c>
      <c r="K525" s="3" t="s">
        <v>532</v>
      </c>
      <c r="L525" s="3" t="s">
        <v>2272</v>
      </c>
      <c r="M525" s="3" t="s">
        <v>2272</v>
      </c>
      <c r="N525" s="3" t="s">
        <v>2272</v>
      </c>
      <c r="O525" s="3" t="s">
        <v>2272</v>
      </c>
      <c r="P525" s="3" t="s">
        <v>2272</v>
      </c>
      <c r="Q525" s="3" t="s">
        <v>2272</v>
      </c>
      <c r="R525" s="3" t="s">
        <v>2272</v>
      </c>
      <c r="S525" s="3" t="s">
        <v>2272</v>
      </c>
      <c r="T525" s="4" t="s">
        <v>2679</v>
      </c>
    </row>
    <row r="526" spans="1:20" ht="51.5" customHeight="1">
      <c r="A526" s="11" t="s">
        <v>2673</v>
      </c>
      <c r="B526" s="3" t="s">
        <v>31</v>
      </c>
      <c r="C526" s="11" t="s">
        <v>11</v>
      </c>
      <c r="D526" s="11" t="s">
        <v>128</v>
      </c>
      <c r="E526" s="3" t="s">
        <v>2623</v>
      </c>
      <c r="F526" s="11" t="s">
        <v>2644</v>
      </c>
      <c r="G526" s="4" t="s">
        <v>395</v>
      </c>
      <c r="H526" s="3" t="s">
        <v>2272</v>
      </c>
      <c r="I526" s="3">
        <f>1*4.8</f>
        <v>4.8</v>
      </c>
      <c r="J526" s="3" t="s">
        <v>2272</v>
      </c>
      <c r="K526" s="3" t="s">
        <v>532</v>
      </c>
      <c r="L526" s="3" t="s">
        <v>2272</v>
      </c>
      <c r="M526" s="3" t="s">
        <v>2272</v>
      </c>
      <c r="N526" s="3" t="s">
        <v>2272</v>
      </c>
      <c r="O526" s="3" t="s">
        <v>2272</v>
      </c>
      <c r="P526" s="3" t="s">
        <v>2272</v>
      </c>
      <c r="Q526" s="3" t="s">
        <v>2272</v>
      </c>
      <c r="R526" s="3" t="s">
        <v>2272</v>
      </c>
      <c r="S526" s="3" t="s">
        <v>2272</v>
      </c>
      <c r="T526" s="4" t="s">
        <v>2674</v>
      </c>
    </row>
    <row r="527" spans="1:20" ht="48.5" customHeight="1">
      <c r="A527" s="11" t="s">
        <v>2677</v>
      </c>
      <c r="B527" s="3" t="s">
        <v>31</v>
      </c>
      <c r="C527" s="11" t="s">
        <v>11</v>
      </c>
      <c r="D527" s="11" t="s">
        <v>128</v>
      </c>
      <c r="E527" s="3" t="s">
        <v>2623</v>
      </c>
      <c r="F527" s="11" t="s">
        <v>2644</v>
      </c>
      <c r="G527" s="4" t="s">
        <v>395</v>
      </c>
      <c r="H527" s="3" t="s">
        <v>2272</v>
      </c>
      <c r="I527" s="3">
        <f>0.6*7.8</f>
        <v>4.68</v>
      </c>
      <c r="J527" s="3" t="s">
        <v>2272</v>
      </c>
      <c r="K527" s="3" t="s">
        <v>532</v>
      </c>
      <c r="L527" s="3" t="s">
        <v>2272</v>
      </c>
      <c r="M527" s="3" t="s">
        <v>2272</v>
      </c>
      <c r="N527" s="3" t="s">
        <v>2272</v>
      </c>
      <c r="O527" s="3" t="s">
        <v>2272</v>
      </c>
      <c r="P527" s="3" t="s">
        <v>2272</v>
      </c>
      <c r="Q527" s="3" t="s">
        <v>2272</v>
      </c>
      <c r="R527" s="3" t="s">
        <v>2272</v>
      </c>
      <c r="S527" s="3" t="s">
        <v>2272</v>
      </c>
      <c r="T527" s="4" t="s">
        <v>2675</v>
      </c>
    </row>
    <row r="528" spans="1:20" ht="34.5" customHeight="1">
      <c r="A528" s="11" t="s">
        <v>2702</v>
      </c>
      <c r="B528" s="3" t="s">
        <v>68</v>
      </c>
      <c r="C528" s="3" t="s">
        <v>11</v>
      </c>
      <c r="D528" s="11" t="s">
        <v>128</v>
      </c>
      <c r="E528" s="3" t="s">
        <v>135</v>
      </c>
      <c r="F528" s="3" t="s">
        <v>82</v>
      </c>
      <c r="G528" s="3" t="s">
        <v>2272</v>
      </c>
      <c r="H528" s="3" t="s">
        <v>2272</v>
      </c>
      <c r="I528" s="3" t="s">
        <v>2272</v>
      </c>
      <c r="J528" s="3" t="s">
        <v>2272</v>
      </c>
      <c r="K528" s="3" t="s">
        <v>2272</v>
      </c>
      <c r="L528" s="3" t="s">
        <v>2272</v>
      </c>
      <c r="M528" s="3" t="s">
        <v>2272</v>
      </c>
      <c r="N528" s="3" t="s">
        <v>2272</v>
      </c>
      <c r="O528" s="3" t="s">
        <v>2272</v>
      </c>
      <c r="P528" s="3" t="s">
        <v>2272</v>
      </c>
      <c r="Q528" s="3" t="s">
        <v>2272</v>
      </c>
      <c r="R528" s="3" t="s">
        <v>2272</v>
      </c>
      <c r="S528" s="3" t="s">
        <v>2272</v>
      </c>
      <c r="T528" s="3"/>
    </row>
    <row r="529" spans="1:20" ht="37" customHeight="1">
      <c r="A529" s="11" t="s">
        <v>2703</v>
      </c>
      <c r="B529" s="3" t="s">
        <v>68</v>
      </c>
      <c r="C529" s="3" t="s">
        <v>11</v>
      </c>
      <c r="D529" s="11" t="s">
        <v>128</v>
      </c>
      <c r="E529" s="3" t="s">
        <v>82</v>
      </c>
      <c r="F529" s="3" t="s">
        <v>2272</v>
      </c>
      <c r="G529" s="3" t="s">
        <v>2272</v>
      </c>
      <c r="H529" s="3" t="s">
        <v>2272</v>
      </c>
      <c r="I529" s="3" t="s">
        <v>2272</v>
      </c>
      <c r="J529" s="3" t="s">
        <v>2272</v>
      </c>
      <c r="K529" s="3" t="s">
        <v>2272</v>
      </c>
      <c r="L529" s="3" t="s">
        <v>2272</v>
      </c>
      <c r="M529" s="3" t="s">
        <v>2272</v>
      </c>
      <c r="N529" s="3" t="s">
        <v>2272</v>
      </c>
      <c r="O529" s="3" t="s">
        <v>2272</v>
      </c>
      <c r="P529" s="3" t="s">
        <v>2272</v>
      </c>
      <c r="Q529" s="3" t="s">
        <v>2272</v>
      </c>
      <c r="R529" s="3" t="s">
        <v>2272</v>
      </c>
      <c r="S529" s="3" t="s">
        <v>2272</v>
      </c>
      <c r="T529" s="3"/>
    </row>
    <row r="530" spans="1:20" ht="33" customHeight="1">
      <c r="A530" s="23" t="s">
        <v>2704</v>
      </c>
      <c r="B530" s="22" t="s">
        <v>69</v>
      </c>
      <c r="C530" s="22" t="s">
        <v>11</v>
      </c>
      <c r="D530" s="24" t="s">
        <v>82</v>
      </c>
      <c r="E530" s="22" t="s">
        <v>44</v>
      </c>
      <c r="F530" s="24" t="s">
        <v>128</v>
      </c>
      <c r="G530" s="22" t="s">
        <v>2272</v>
      </c>
      <c r="H530" s="22" t="s">
        <v>2272</v>
      </c>
      <c r="I530" s="22" t="s">
        <v>2272</v>
      </c>
      <c r="J530" s="22" t="s">
        <v>2272</v>
      </c>
      <c r="K530" s="22" t="s">
        <v>2272</v>
      </c>
      <c r="L530" s="22" t="s">
        <v>2272</v>
      </c>
      <c r="M530" s="22" t="s">
        <v>2272</v>
      </c>
      <c r="N530" s="22" t="s">
        <v>2272</v>
      </c>
      <c r="O530" s="22" t="s">
        <v>2272</v>
      </c>
      <c r="P530" s="22" t="s">
        <v>2272</v>
      </c>
      <c r="Q530" s="22" t="s">
        <v>2272</v>
      </c>
      <c r="R530" s="22" t="s">
        <v>2272</v>
      </c>
      <c r="S530" s="22" t="s">
        <v>2272</v>
      </c>
      <c r="T530" s="22"/>
    </row>
    <row r="531" spans="1:20" ht="33" customHeight="1">
      <c r="A531" s="23" t="s">
        <v>2719</v>
      </c>
      <c r="B531" s="22" t="s">
        <v>69</v>
      </c>
      <c r="C531" s="22" t="s">
        <v>11</v>
      </c>
      <c r="D531" s="24" t="s">
        <v>82</v>
      </c>
      <c r="E531" s="22" t="s">
        <v>44</v>
      </c>
      <c r="F531" s="24" t="s">
        <v>128</v>
      </c>
      <c r="G531" s="22" t="s">
        <v>2272</v>
      </c>
      <c r="H531" s="22" t="s">
        <v>2272</v>
      </c>
      <c r="I531" s="22" t="s">
        <v>2272</v>
      </c>
      <c r="J531" s="22" t="s">
        <v>2272</v>
      </c>
      <c r="K531" s="22" t="s">
        <v>2272</v>
      </c>
      <c r="L531" s="22" t="s">
        <v>2272</v>
      </c>
      <c r="M531" s="22" t="s">
        <v>2272</v>
      </c>
      <c r="N531" s="22" t="s">
        <v>2272</v>
      </c>
      <c r="O531" s="22" t="s">
        <v>2272</v>
      </c>
      <c r="P531" s="22" t="s">
        <v>2272</v>
      </c>
      <c r="Q531" s="22" t="s">
        <v>2272</v>
      </c>
      <c r="R531" s="22" t="s">
        <v>2272</v>
      </c>
      <c r="S531" s="22" t="s">
        <v>2272</v>
      </c>
      <c r="T531" s="8"/>
    </row>
    <row r="532" spans="1:20" ht="30" customHeight="1">
      <c r="A532" s="11" t="s">
        <v>2741</v>
      </c>
      <c r="B532" s="3" t="s">
        <v>2272</v>
      </c>
      <c r="C532" s="3" t="s">
        <v>11</v>
      </c>
      <c r="D532" s="11" t="s">
        <v>860</v>
      </c>
      <c r="E532" s="11" t="s">
        <v>114</v>
      </c>
      <c r="F532" s="3" t="s">
        <v>2272</v>
      </c>
      <c r="G532" s="3" t="s">
        <v>2272</v>
      </c>
      <c r="H532" s="3" t="s">
        <v>2272</v>
      </c>
      <c r="I532" s="3" t="s">
        <v>2272</v>
      </c>
      <c r="J532" s="3" t="s">
        <v>2272</v>
      </c>
      <c r="K532" s="3" t="s">
        <v>532</v>
      </c>
      <c r="L532" s="3" t="s">
        <v>2272</v>
      </c>
      <c r="M532" s="3" t="s">
        <v>2272</v>
      </c>
      <c r="N532" s="3" t="s">
        <v>2272</v>
      </c>
      <c r="O532" s="3" t="s">
        <v>2272</v>
      </c>
      <c r="P532" s="3" t="s">
        <v>2272</v>
      </c>
      <c r="Q532" s="3" t="s">
        <v>2272</v>
      </c>
      <c r="R532" s="3" t="s">
        <v>2272</v>
      </c>
      <c r="S532" s="3" t="s">
        <v>2272</v>
      </c>
      <c r="T532" s="3"/>
    </row>
    <row r="533" spans="1:20" ht="31.5" customHeight="1">
      <c r="A533" s="11" t="s">
        <v>2746</v>
      </c>
      <c r="B533" s="3" t="s">
        <v>2272</v>
      </c>
      <c r="C533" s="11" t="s">
        <v>393</v>
      </c>
      <c r="D533" s="11" t="s">
        <v>128</v>
      </c>
      <c r="E533" s="3" t="s">
        <v>2272</v>
      </c>
      <c r="F533" s="3" t="s">
        <v>2272</v>
      </c>
      <c r="G533" s="3" t="s">
        <v>2272</v>
      </c>
      <c r="H533" s="3" t="s">
        <v>2272</v>
      </c>
      <c r="I533" s="3">
        <f>3900/100^2</f>
        <v>0.39</v>
      </c>
      <c r="J533" s="3">
        <v>19.440000000000001</v>
      </c>
      <c r="K533" s="3" t="s">
        <v>2272</v>
      </c>
      <c r="L533" s="3" t="s">
        <v>2272</v>
      </c>
      <c r="M533" s="3" t="s">
        <v>2272</v>
      </c>
      <c r="N533" s="3" t="s">
        <v>2272</v>
      </c>
      <c r="O533" s="3" t="s">
        <v>2272</v>
      </c>
      <c r="P533" s="21">
        <f>100*3.9/'Record info'!K533</f>
        <v>15.6</v>
      </c>
      <c r="Q533" s="3" t="s">
        <v>2272</v>
      </c>
      <c r="R533" s="3" t="s">
        <v>2272</v>
      </c>
      <c r="S533" s="3" t="s">
        <v>2272</v>
      </c>
      <c r="T533" s="3" t="s">
        <v>2754</v>
      </c>
    </row>
    <row r="534" spans="1:20" ht="28.5" customHeight="1">
      <c r="A534" s="11" t="s">
        <v>2751</v>
      </c>
      <c r="B534" s="3" t="s">
        <v>2272</v>
      </c>
      <c r="C534" s="11" t="s">
        <v>393</v>
      </c>
      <c r="D534" s="11" t="s">
        <v>128</v>
      </c>
      <c r="E534" s="3" t="s">
        <v>2272</v>
      </c>
      <c r="F534" s="3" t="s">
        <v>2272</v>
      </c>
      <c r="G534" s="3" t="s">
        <v>2272</v>
      </c>
      <c r="H534" s="3" t="s">
        <v>2272</v>
      </c>
      <c r="I534" s="3" t="s">
        <v>2272</v>
      </c>
      <c r="J534" s="3" t="s">
        <v>2272</v>
      </c>
      <c r="K534" s="3" t="s">
        <v>2272</v>
      </c>
      <c r="L534" s="3" t="s">
        <v>2272</v>
      </c>
      <c r="M534" s="3" t="s">
        <v>2272</v>
      </c>
      <c r="N534" s="3" t="s">
        <v>2272</v>
      </c>
      <c r="O534" s="3" t="s">
        <v>2272</v>
      </c>
      <c r="P534" s="3" t="s">
        <v>2272</v>
      </c>
      <c r="Q534" s="3" t="s">
        <v>2272</v>
      </c>
      <c r="R534" s="3" t="s">
        <v>2272</v>
      </c>
      <c r="S534" s="3" t="s">
        <v>2272</v>
      </c>
      <c r="T534" s="3"/>
    </row>
    <row r="535" spans="1:20" ht="30.5" customHeight="1">
      <c r="A535" s="11" t="s">
        <v>2758</v>
      </c>
      <c r="B535" s="3" t="s">
        <v>2272</v>
      </c>
      <c r="C535" s="11" t="s">
        <v>393</v>
      </c>
      <c r="D535" s="11" t="s">
        <v>128</v>
      </c>
      <c r="E535" s="3" t="s">
        <v>114</v>
      </c>
      <c r="F535" s="3" t="s">
        <v>2272</v>
      </c>
      <c r="G535" s="3" t="s">
        <v>2272</v>
      </c>
      <c r="H535" s="3" t="s">
        <v>2272</v>
      </c>
      <c r="I535" s="3" t="s">
        <v>2272</v>
      </c>
      <c r="J535" s="3">
        <f>(((0.65+1.18)*'Land use'!Q535/100/2) + ((2.27+3.17+2.51+3.85) / 4 / 100 *P535))</f>
        <v>1.20804</v>
      </c>
      <c r="K535" s="3" t="s">
        <v>2272</v>
      </c>
      <c r="L535" s="3" t="s">
        <v>2272</v>
      </c>
      <c r="M535" s="3">
        <f>6.9+7.5</f>
        <v>14.4</v>
      </c>
      <c r="N535" s="3">
        <v>0</v>
      </c>
      <c r="O535" s="3">
        <v>0</v>
      </c>
      <c r="P535" s="21">
        <f>6.9+7.5</f>
        <v>14.4</v>
      </c>
      <c r="Q535" s="21">
        <f>100-P535</f>
        <v>85.6</v>
      </c>
      <c r="R535" s="3">
        <v>0</v>
      </c>
      <c r="S535" s="3" t="s">
        <v>2272</v>
      </c>
      <c r="T535" s="4" t="s">
        <v>2762</v>
      </c>
    </row>
    <row r="536" spans="1:20" ht="31" customHeight="1">
      <c r="A536" s="11" t="s">
        <v>2764</v>
      </c>
      <c r="B536" s="3" t="s">
        <v>31</v>
      </c>
      <c r="C536" s="11" t="s">
        <v>11</v>
      </c>
      <c r="D536" s="11" t="s">
        <v>128</v>
      </c>
      <c r="E536" s="4" t="s">
        <v>395</v>
      </c>
      <c r="F536" s="3" t="s">
        <v>2272</v>
      </c>
      <c r="G536" s="3" t="s">
        <v>2272</v>
      </c>
      <c r="H536" s="3" t="s">
        <v>2272</v>
      </c>
      <c r="I536" s="3">
        <v>0.85</v>
      </c>
      <c r="J536" s="3" t="s">
        <v>2272</v>
      </c>
      <c r="K536" s="3" t="s">
        <v>2272</v>
      </c>
      <c r="L536" s="3" t="s">
        <v>2272</v>
      </c>
      <c r="M536" s="3" t="s">
        <v>2272</v>
      </c>
      <c r="N536" s="3" t="s">
        <v>2272</v>
      </c>
      <c r="O536" s="3" t="s">
        <v>2272</v>
      </c>
      <c r="P536" s="3" t="s">
        <v>2272</v>
      </c>
      <c r="Q536" s="3" t="s">
        <v>2272</v>
      </c>
      <c r="R536" s="21">
        <v>40</v>
      </c>
      <c r="S536" s="21">
        <f>24/18</f>
        <v>1.3333333333333333</v>
      </c>
      <c r="T536" s="4" t="s">
        <v>2782</v>
      </c>
    </row>
    <row r="537" spans="1:20" ht="29">
      <c r="A537" s="11" t="s">
        <v>2768</v>
      </c>
      <c r="B537" s="3" t="s">
        <v>31</v>
      </c>
      <c r="C537" s="11" t="s">
        <v>11</v>
      </c>
      <c r="D537" s="11" t="s">
        <v>128</v>
      </c>
      <c r="E537" s="4" t="s">
        <v>395</v>
      </c>
      <c r="F537" s="3" t="s">
        <v>2272</v>
      </c>
      <c r="G537" s="3" t="s">
        <v>2272</v>
      </c>
      <c r="H537" s="3" t="s">
        <v>2272</v>
      </c>
      <c r="I537" s="3">
        <v>0.85</v>
      </c>
      <c r="J537" s="3" t="s">
        <v>2272</v>
      </c>
      <c r="K537" s="3" t="s">
        <v>2272</v>
      </c>
      <c r="L537" s="3" t="s">
        <v>2272</v>
      </c>
      <c r="M537" s="3" t="s">
        <v>2272</v>
      </c>
      <c r="N537" s="3" t="s">
        <v>2272</v>
      </c>
      <c r="O537" s="3" t="s">
        <v>2272</v>
      </c>
      <c r="P537" s="3" t="s">
        <v>2272</v>
      </c>
      <c r="Q537" s="3" t="s">
        <v>2272</v>
      </c>
      <c r="R537" s="21">
        <v>40</v>
      </c>
      <c r="S537" s="21">
        <f t="shared" ref="S537:S540" si="0">24/18</f>
        <v>1.3333333333333333</v>
      </c>
      <c r="T537" s="4" t="s">
        <v>2782</v>
      </c>
    </row>
    <row r="538" spans="1:20" ht="29">
      <c r="A538" s="11" t="s">
        <v>2769</v>
      </c>
      <c r="B538" s="3" t="s">
        <v>31</v>
      </c>
      <c r="C538" s="11" t="s">
        <v>11</v>
      </c>
      <c r="D538" s="11" t="s">
        <v>128</v>
      </c>
      <c r="E538" s="4" t="s">
        <v>395</v>
      </c>
      <c r="F538" s="3" t="s">
        <v>2272</v>
      </c>
      <c r="G538" s="3" t="s">
        <v>2272</v>
      </c>
      <c r="H538" s="3" t="s">
        <v>2272</v>
      </c>
      <c r="I538" s="3">
        <v>0.85</v>
      </c>
      <c r="J538" s="3" t="s">
        <v>2272</v>
      </c>
      <c r="K538" s="3" t="s">
        <v>2272</v>
      </c>
      <c r="L538" s="3" t="s">
        <v>2272</v>
      </c>
      <c r="M538" s="3" t="s">
        <v>2272</v>
      </c>
      <c r="N538" s="3" t="s">
        <v>2272</v>
      </c>
      <c r="O538" s="3" t="s">
        <v>2272</v>
      </c>
      <c r="P538" s="3" t="s">
        <v>2272</v>
      </c>
      <c r="Q538" s="3" t="s">
        <v>2272</v>
      </c>
      <c r="R538" s="21">
        <v>40</v>
      </c>
      <c r="S538" s="21">
        <f t="shared" si="0"/>
        <v>1.3333333333333333</v>
      </c>
      <c r="T538" s="4" t="s">
        <v>2782</v>
      </c>
    </row>
    <row r="539" spans="1:20" ht="29">
      <c r="A539" s="11" t="s">
        <v>2770</v>
      </c>
      <c r="B539" s="3" t="s">
        <v>31</v>
      </c>
      <c r="C539" s="11" t="s">
        <v>11</v>
      </c>
      <c r="D539" s="11" t="s">
        <v>128</v>
      </c>
      <c r="E539" s="4" t="s">
        <v>395</v>
      </c>
      <c r="F539" s="3" t="s">
        <v>2272</v>
      </c>
      <c r="G539" s="3" t="s">
        <v>2272</v>
      </c>
      <c r="H539" s="3" t="s">
        <v>2272</v>
      </c>
      <c r="I539" s="3">
        <v>0.85</v>
      </c>
      <c r="J539" s="3" t="s">
        <v>2272</v>
      </c>
      <c r="K539" s="3" t="s">
        <v>2272</v>
      </c>
      <c r="L539" s="3" t="s">
        <v>2272</v>
      </c>
      <c r="M539" s="3" t="s">
        <v>2272</v>
      </c>
      <c r="N539" s="3" t="s">
        <v>2272</v>
      </c>
      <c r="O539" s="3" t="s">
        <v>2272</v>
      </c>
      <c r="P539" s="3" t="s">
        <v>2272</v>
      </c>
      <c r="Q539" s="3" t="s">
        <v>2272</v>
      </c>
      <c r="R539" s="21">
        <v>40</v>
      </c>
      <c r="S539" s="21">
        <f t="shared" si="0"/>
        <v>1.3333333333333333</v>
      </c>
      <c r="T539" s="4" t="s">
        <v>2782</v>
      </c>
    </row>
    <row r="540" spans="1:20" ht="29">
      <c r="A540" s="11" t="s">
        <v>2771</v>
      </c>
      <c r="B540" s="3" t="s">
        <v>31</v>
      </c>
      <c r="C540" s="11" t="s">
        <v>11</v>
      </c>
      <c r="D540" s="11" t="s">
        <v>128</v>
      </c>
      <c r="E540" s="4" t="s">
        <v>395</v>
      </c>
      <c r="F540" s="3" t="s">
        <v>2272</v>
      </c>
      <c r="G540" s="3" t="s">
        <v>2272</v>
      </c>
      <c r="H540" s="3" t="s">
        <v>2272</v>
      </c>
      <c r="I540" s="3">
        <v>0.85</v>
      </c>
      <c r="J540" s="3" t="s">
        <v>2272</v>
      </c>
      <c r="K540" s="3" t="s">
        <v>2272</v>
      </c>
      <c r="L540" s="3" t="s">
        <v>2272</v>
      </c>
      <c r="M540" s="3" t="s">
        <v>2272</v>
      </c>
      <c r="N540" s="3" t="s">
        <v>2272</v>
      </c>
      <c r="O540" s="3" t="s">
        <v>2272</v>
      </c>
      <c r="P540" s="3" t="s">
        <v>2272</v>
      </c>
      <c r="Q540" s="3" t="s">
        <v>2272</v>
      </c>
      <c r="R540" s="21">
        <v>40</v>
      </c>
      <c r="S540" s="21">
        <f t="shared" si="0"/>
        <v>1.3333333333333333</v>
      </c>
      <c r="T540" s="4" t="s">
        <v>2782</v>
      </c>
    </row>
    <row r="541" spans="1:20" ht="31" customHeight="1">
      <c r="A541" s="11" t="s">
        <v>2791</v>
      </c>
      <c r="B541" s="3" t="s">
        <v>68</v>
      </c>
      <c r="C541" s="11" t="s">
        <v>11</v>
      </c>
      <c r="D541" s="3" t="s">
        <v>5000</v>
      </c>
      <c r="E541" s="4" t="s">
        <v>395</v>
      </c>
      <c r="F541" s="3" t="s">
        <v>2272</v>
      </c>
      <c r="G541" s="3" t="s">
        <v>2272</v>
      </c>
      <c r="H541" s="3" t="s">
        <v>2272</v>
      </c>
      <c r="I541" s="3" t="s">
        <v>2272</v>
      </c>
      <c r="J541" s="3" t="s">
        <v>2272</v>
      </c>
      <c r="K541" s="3" t="s">
        <v>2272</v>
      </c>
      <c r="L541" s="3" t="s">
        <v>2272</v>
      </c>
      <c r="M541" s="3" t="s">
        <v>2272</v>
      </c>
      <c r="N541" s="3" t="s">
        <v>2272</v>
      </c>
      <c r="O541" s="3" t="s">
        <v>2272</v>
      </c>
      <c r="P541" s="21">
        <v>0.3</v>
      </c>
      <c r="Q541" s="3" t="s">
        <v>2272</v>
      </c>
      <c r="R541" s="21">
        <v>97.4</v>
      </c>
      <c r="S541" s="3" t="s">
        <v>2272</v>
      </c>
      <c r="T541" s="3"/>
    </row>
    <row r="542" spans="1:20" ht="35.5" customHeight="1">
      <c r="A542" s="11" t="s">
        <v>2794</v>
      </c>
      <c r="B542" s="3" t="s">
        <v>68</v>
      </c>
      <c r="C542" s="11" t="s">
        <v>11</v>
      </c>
      <c r="D542" s="3" t="s">
        <v>5000</v>
      </c>
      <c r="E542" s="4" t="s">
        <v>395</v>
      </c>
      <c r="F542" s="3" t="s">
        <v>44</v>
      </c>
      <c r="G542" s="3" t="s">
        <v>860</v>
      </c>
      <c r="H542" s="3" t="s">
        <v>2272</v>
      </c>
      <c r="I542" s="3" t="s">
        <v>2272</v>
      </c>
      <c r="J542" s="3" t="s">
        <v>2272</v>
      </c>
      <c r="K542" s="3" t="s">
        <v>532</v>
      </c>
      <c r="L542" s="3" t="s">
        <v>2272</v>
      </c>
      <c r="M542" s="3" t="s">
        <v>2272</v>
      </c>
      <c r="N542" s="3" t="s">
        <v>2272</v>
      </c>
      <c r="O542" s="3" t="s">
        <v>2272</v>
      </c>
      <c r="P542" s="21">
        <v>0.5</v>
      </c>
      <c r="Q542" s="3" t="s">
        <v>2272</v>
      </c>
      <c r="R542" s="21">
        <f>27.3+21.4+35.5+13</f>
        <v>97.2</v>
      </c>
      <c r="S542" s="3" t="s">
        <v>2272</v>
      </c>
      <c r="T542" s="3" t="s">
        <v>2817</v>
      </c>
    </row>
    <row r="543" spans="1:20" ht="39.5" customHeight="1">
      <c r="A543" s="3" t="s">
        <v>2795</v>
      </c>
      <c r="B543" s="3" t="s">
        <v>31</v>
      </c>
      <c r="C543" s="11" t="s">
        <v>11</v>
      </c>
      <c r="D543" s="4" t="s">
        <v>395</v>
      </c>
      <c r="E543" s="3" t="s">
        <v>5000</v>
      </c>
      <c r="F543" s="3" t="s">
        <v>44</v>
      </c>
      <c r="G543" s="3" t="s">
        <v>860</v>
      </c>
      <c r="H543" s="3" t="s">
        <v>2272</v>
      </c>
      <c r="I543" s="3" t="s">
        <v>2272</v>
      </c>
      <c r="J543" s="3" t="s">
        <v>2272</v>
      </c>
      <c r="K543" s="3" t="s">
        <v>532</v>
      </c>
      <c r="L543" s="3" t="s">
        <v>2272</v>
      </c>
      <c r="M543" s="3" t="s">
        <v>2272</v>
      </c>
      <c r="N543" s="3" t="s">
        <v>2272</v>
      </c>
      <c r="O543" s="3" t="s">
        <v>2272</v>
      </c>
      <c r="P543" s="21">
        <v>1.1000000000000001</v>
      </c>
      <c r="Q543" s="3" t="s">
        <v>2272</v>
      </c>
      <c r="R543" s="21">
        <f>25.2+26.6+36.8+7</f>
        <v>95.6</v>
      </c>
      <c r="S543" s="3" t="s">
        <v>2272</v>
      </c>
      <c r="T543" s="3" t="s">
        <v>2817</v>
      </c>
    </row>
    <row r="544" spans="1:20" ht="37" customHeight="1">
      <c r="A544" s="11" t="s">
        <v>2805</v>
      </c>
      <c r="B544" s="3" t="s">
        <v>68</v>
      </c>
      <c r="C544" s="11" t="s">
        <v>11</v>
      </c>
      <c r="D544" s="3" t="s">
        <v>5000</v>
      </c>
      <c r="E544" s="4" t="s">
        <v>395</v>
      </c>
      <c r="F544" s="3" t="s">
        <v>2272</v>
      </c>
      <c r="G544" s="3" t="s">
        <v>2272</v>
      </c>
      <c r="H544" s="3" t="s">
        <v>2272</v>
      </c>
      <c r="I544" s="3">
        <v>2.25</v>
      </c>
      <c r="J544" s="3" t="s">
        <v>2272</v>
      </c>
      <c r="K544" s="3" t="s">
        <v>2272</v>
      </c>
      <c r="L544" s="3" t="s">
        <v>2272</v>
      </c>
      <c r="M544" s="3" t="s">
        <v>2272</v>
      </c>
      <c r="N544" s="3" t="s">
        <v>2272</v>
      </c>
      <c r="O544" s="3" t="s">
        <v>2272</v>
      </c>
      <c r="P544" s="3" t="s">
        <v>2272</v>
      </c>
      <c r="Q544" s="3" t="s">
        <v>2272</v>
      </c>
      <c r="R544" s="3" t="s">
        <v>2272</v>
      </c>
      <c r="S544" s="3" t="s">
        <v>2272</v>
      </c>
      <c r="T544" s="4" t="s">
        <v>2832</v>
      </c>
    </row>
    <row r="545" spans="1:20" ht="32" customHeight="1">
      <c r="A545" s="11" t="s">
        <v>2806</v>
      </c>
      <c r="B545" s="3" t="s">
        <v>68</v>
      </c>
      <c r="C545" s="11" t="s">
        <v>11</v>
      </c>
      <c r="D545" s="3" t="s">
        <v>5000</v>
      </c>
      <c r="E545" s="4" t="s">
        <v>395</v>
      </c>
      <c r="F545" s="3" t="s">
        <v>2272</v>
      </c>
      <c r="G545" s="3" t="s">
        <v>2272</v>
      </c>
      <c r="H545" s="3" t="s">
        <v>2272</v>
      </c>
      <c r="I545" s="3">
        <v>1.1000000000000001</v>
      </c>
      <c r="J545" s="3" t="s">
        <v>2272</v>
      </c>
      <c r="K545" s="3" t="s">
        <v>2272</v>
      </c>
      <c r="L545" s="3" t="s">
        <v>2272</v>
      </c>
      <c r="M545" s="3" t="s">
        <v>2272</v>
      </c>
      <c r="N545" s="3" t="s">
        <v>2272</v>
      </c>
      <c r="O545" s="3" t="s">
        <v>2272</v>
      </c>
      <c r="P545" s="3" t="s">
        <v>2272</v>
      </c>
      <c r="Q545" s="3" t="s">
        <v>2272</v>
      </c>
      <c r="R545" s="3" t="s">
        <v>2272</v>
      </c>
      <c r="S545" s="3" t="s">
        <v>2272</v>
      </c>
      <c r="T545" s="4" t="s">
        <v>2832</v>
      </c>
    </row>
    <row r="546" spans="1:20" ht="38" customHeight="1">
      <c r="A546" s="11" t="s">
        <v>2807</v>
      </c>
      <c r="B546" s="3" t="s">
        <v>68</v>
      </c>
      <c r="C546" s="11" t="s">
        <v>11</v>
      </c>
      <c r="D546" s="3" t="s">
        <v>5000</v>
      </c>
      <c r="E546" s="4" t="s">
        <v>395</v>
      </c>
      <c r="F546" s="3" t="s">
        <v>2272</v>
      </c>
      <c r="G546" s="3" t="s">
        <v>2272</v>
      </c>
      <c r="H546" s="3" t="s">
        <v>2272</v>
      </c>
      <c r="I546" s="3">
        <v>1.5</v>
      </c>
      <c r="J546" s="3" t="s">
        <v>2272</v>
      </c>
      <c r="K546" s="3" t="s">
        <v>2272</v>
      </c>
      <c r="L546" s="3" t="s">
        <v>2272</v>
      </c>
      <c r="M546" s="3" t="s">
        <v>2272</v>
      </c>
      <c r="N546" s="3" t="s">
        <v>2272</v>
      </c>
      <c r="O546" s="3" t="s">
        <v>2272</v>
      </c>
      <c r="P546" s="3" t="s">
        <v>2272</v>
      </c>
      <c r="Q546" s="3" t="s">
        <v>2272</v>
      </c>
      <c r="R546" s="3" t="s">
        <v>2272</v>
      </c>
      <c r="S546" s="3" t="s">
        <v>2272</v>
      </c>
      <c r="T546" s="4" t="s">
        <v>2832</v>
      </c>
    </row>
    <row r="547" spans="1:20" ht="36.5" customHeight="1">
      <c r="A547" s="11" t="s">
        <v>2808</v>
      </c>
      <c r="B547" s="3" t="s">
        <v>68</v>
      </c>
      <c r="C547" s="11" t="s">
        <v>11</v>
      </c>
      <c r="D547" s="3" t="s">
        <v>5000</v>
      </c>
      <c r="E547" s="4" t="s">
        <v>395</v>
      </c>
      <c r="F547" s="3" t="s">
        <v>2272</v>
      </c>
      <c r="G547" s="3" t="s">
        <v>2272</v>
      </c>
      <c r="H547" s="3" t="s">
        <v>2272</v>
      </c>
      <c r="I547" s="3">
        <v>1.25</v>
      </c>
      <c r="J547" s="3" t="s">
        <v>2272</v>
      </c>
      <c r="K547" s="3" t="s">
        <v>2272</v>
      </c>
      <c r="L547" s="3" t="s">
        <v>2272</v>
      </c>
      <c r="M547" s="3" t="s">
        <v>2272</v>
      </c>
      <c r="N547" s="3" t="s">
        <v>2272</v>
      </c>
      <c r="O547" s="3" t="s">
        <v>2272</v>
      </c>
      <c r="P547" s="3" t="s">
        <v>2272</v>
      </c>
      <c r="Q547" s="3" t="s">
        <v>2272</v>
      </c>
      <c r="R547" s="3" t="s">
        <v>2272</v>
      </c>
      <c r="S547" s="3" t="s">
        <v>2272</v>
      </c>
      <c r="T547" s="4" t="s">
        <v>2832</v>
      </c>
    </row>
    <row r="548" spans="1:20" ht="41" customHeight="1">
      <c r="A548" s="11" t="s">
        <v>2809</v>
      </c>
      <c r="B548" s="3" t="s">
        <v>68</v>
      </c>
      <c r="C548" s="11" t="s">
        <v>11</v>
      </c>
      <c r="D548" s="3" t="s">
        <v>5000</v>
      </c>
      <c r="E548" s="4" t="s">
        <v>395</v>
      </c>
      <c r="F548" s="3" t="s">
        <v>2272</v>
      </c>
      <c r="G548" s="3" t="s">
        <v>2272</v>
      </c>
      <c r="H548" s="3" t="s">
        <v>2272</v>
      </c>
      <c r="I548" s="3">
        <v>1</v>
      </c>
      <c r="J548" s="3" t="s">
        <v>2272</v>
      </c>
      <c r="K548" s="3" t="s">
        <v>2272</v>
      </c>
      <c r="L548" s="3" t="s">
        <v>2272</v>
      </c>
      <c r="M548" s="3" t="s">
        <v>2272</v>
      </c>
      <c r="N548" s="3" t="s">
        <v>2272</v>
      </c>
      <c r="O548" s="3" t="s">
        <v>2272</v>
      </c>
      <c r="P548" s="3" t="s">
        <v>2272</v>
      </c>
      <c r="Q548" s="3" t="s">
        <v>2272</v>
      </c>
      <c r="R548" s="3" t="s">
        <v>2272</v>
      </c>
      <c r="S548" s="3" t="s">
        <v>2272</v>
      </c>
      <c r="T548" s="4" t="s">
        <v>2832</v>
      </c>
    </row>
    <row r="549" spans="1:20" ht="38" customHeight="1">
      <c r="A549" s="11" t="s">
        <v>2816</v>
      </c>
      <c r="B549" s="3" t="s">
        <v>68</v>
      </c>
      <c r="C549" s="3" t="s">
        <v>393</v>
      </c>
      <c r="D549" s="3" t="s">
        <v>5000</v>
      </c>
      <c r="E549" s="3" t="s">
        <v>2272</v>
      </c>
      <c r="F549" s="3" t="s">
        <v>2272</v>
      </c>
      <c r="G549" s="3" t="s">
        <v>2272</v>
      </c>
      <c r="H549" s="3" t="s">
        <v>2272</v>
      </c>
      <c r="I549" s="3" t="s">
        <v>2272</v>
      </c>
      <c r="J549" s="3" t="s">
        <v>2272</v>
      </c>
      <c r="K549" s="3" t="s">
        <v>2272</v>
      </c>
      <c r="L549" s="3" t="s">
        <v>2272</v>
      </c>
      <c r="M549" s="3" t="s">
        <v>2272</v>
      </c>
      <c r="N549" s="3" t="s">
        <v>2272</v>
      </c>
      <c r="O549" s="3" t="s">
        <v>2272</v>
      </c>
      <c r="P549" s="3" t="s">
        <v>2272</v>
      </c>
      <c r="Q549" s="3" t="s">
        <v>2272</v>
      </c>
      <c r="R549" s="3" t="s">
        <v>2272</v>
      </c>
      <c r="S549" s="3" t="s">
        <v>2272</v>
      </c>
      <c r="T549" s="3"/>
    </row>
    <row r="550" spans="1:20" ht="40.5" customHeight="1">
      <c r="A550" s="3" t="s">
        <v>2834</v>
      </c>
      <c r="B550" s="3" t="s">
        <v>68</v>
      </c>
      <c r="C550" s="3" t="s">
        <v>393</v>
      </c>
      <c r="D550" s="11" t="s">
        <v>128</v>
      </c>
      <c r="E550" s="3" t="s">
        <v>2272</v>
      </c>
      <c r="F550" s="3" t="s">
        <v>2272</v>
      </c>
      <c r="G550" s="3" t="s">
        <v>2272</v>
      </c>
      <c r="H550" s="3" t="s">
        <v>2272</v>
      </c>
      <c r="I550" s="3">
        <v>0.40400000000000003</v>
      </c>
      <c r="J550" s="3" t="s">
        <v>2272</v>
      </c>
      <c r="K550" s="3" t="s">
        <v>535</v>
      </c>
      <c r="L550" s="3" t="s">
        <v>2272</v>
      </c>
      <c r="M550" s="3" t="s">
        <v>2272</v>
      </c>
      <c r="N550" s="3" t="s">
        <v>2272</v>
      </c>
      <c r="O550" s="3" t="s">
        <v>2272</v>
      </c>
      <c r="P550" s="3" t="s">
        <v>2272</v>
      </c>
      <c r="Q550" s="3" t="s">
        <v>2272</v>
      </c>
      <c r="R550" s="3" t="s">
        <v>2272</v>
      </c>
      <c r="S550" s="3" t="s">
        <v>2272</v>
      </c>
      <c r="T550" s="3"/>
    </row>
    <row r="551" spans="1:20" ht="40" customHeight="1">
      <c r="A551" s="3" t="s">
        <v>2835</v>
      </c>
      <c r="B551" s="3" t="s">
        <v>68</v>
      </c>
      <c r="C551" s="3" t="s">
        <v>393</v>
      </c>
      <c r="D551" s="11" t="s">
        <v>128</v>
      </c>
      <c r="E551" s="3" t="s">
        <v>2272</v>
      </c>
      <c r="F551" s="3" t="s">
        <v>2272</v>
      </c>
      <c r="G551" s="3" t="s">
        <v>2272</v>
      </c>
      <c r="H551" s="3" t="s">
        <v>2272</v>
      </c>
      <c r="I551" s="3">
        <v>0.32300000000000001</v>
      </c>
      <c r="J551" s="3" t="s">
        <v>2272</v>
      </c>
      <c r="K551" s="3" t="s">
        <v>535</v>
      </c>
      <c r="L551" s="3" t="s">
        <v>2272</v>
      </c>
      <c r="M551" s="3" t="s">
        <v>2272</v>
      </c>
      <c r="N551" s="3" t="s">
        <v>2272</v>
      </c>
      <c r="O551" s="3" t="s">
        <v>2272</v>
      </c>
      <c r="P551" s="3" t="s">
        <v>2272</v>
      </c>
      <c r="Q551" s="3" t="s">
        <v>2272</v>
      </c>
      <c r="R551" s="3" t="s">
        <v>2272</v>
      </c>
      <c r="S551" s="3" t="s">
        <v>2272</v>
      </c>
      <c r="T551" s="3"/>
    </row>
    <row r="552" spans="1:20" ht="40" customHeight="1">
      <c r="A552" s="19" t="s">
        <v>2843</v>
      </c>
      <c r="B552" s="3" t="s">
        <v>2272</v>
      </c>
      <c r="C552" s="4" t="s">
        <v>11</v>
      </c>
      <c r="D552" s="4" t="s">
        <v>395</v>
      </c>
      <c r="E552" s="4" t="s">
        <v>128</v>
      </c>
      <c r="F552" s="3" t="s">
        <v>2272</v>
      </c>
      <c r="G552" s="3" t="s">
        <v>2272</v>
      </c>
      <c r="H552" s="3" t="s">
        <v>2272</v>
      </c>
      <c r="I552" s="3" t="s">
        <v>2272</v>
      </c>
      <c r="J552" s="3" t="s">
        <v>2272</v>
      </c>
      <c r="K552" s="3" t="s">
        <v>2272</v>
      </c>
      <c r="L552" s="3" t="s">
        <v>2272</v>
      </c>
      <c r="M552" s="3" t="s">
        <v>2272</v>
      </c>
      <c r="N552" s="3" t="s">
        <v>2272</v>
      </c>
      <c r="O552" s="3" t="s">
        <v>2272</v>
      </c>
      <c r="P552" s="3" t="s">
        <v>2272</v>
      </c>
      <c r="Q552" s="3" t="s">
        <v>2272</v>
      </c>
      <c r="R552" s="3" t="s">
        <v>2272</v>
      </c>
      <c r="S552" s="3" t="s">
        <v>2272</v>
      </c>
      <c r="T552" s="4"/>
    </row>
    <row r="553" spans="1:20" ht="35" customHeight="1">
      <c r="A553" s="11" t="s">
        <v>2858</v>
      </c>
      <c r="B553" s="3" t="s">
        <v>68</v>
      </c>
      <c r="C553" s="3" t="s">
        <v>11</v>
      </c>
      <c r="D553" s="11" t="s">
        <v>128</v>
      </c>
      <c r="E553" s="4" t="s">
        <v>395</v>
      </c>
      <c r="F553" s="4" t="s">
        <v>394</v>
      </c>
      <c r="G553" s="3" t="s">
        <v>2272</v>
      </c>
      <c r="H553" s="3" t="s">
        <v>2272</v>
      </c>
      <c r="I553" s="3">
        <v>3.34</v>
      </c>
      <c r="J553" s="3">
        <v>0.99</v>
      </c>
      <c r="K553" s="3" t="s">
        <v>2272</v>
      </c>
      <c r="L553" s="3" t="s">
        <v>2272</v>
      </c>
      <c r="M553" s="3" t="s">
        <v>2272</v>
      </c>
      <c r="N553" s="3" t="s">
        <v>2272</v>
      </c>
      <c r="O553" s="3" t="s">
        <v>2272</v>
      </c>
      <c r="P553" s="3" t="s">
        <v>2272</v>
      </c>
      <c r="Q553" s="3" t="s">
        <v>2272</v>
      </c>
      <c r="R553" s="3" t="s">
        <v>2272</v>
      </c>
      <c r="S553" s="3" t="s">
        <v>2272</v>
      </c>
      <c r="T553" s="4" t="s">
        <v>2866</v>
      </c>
    </row>
    <row r="554" spans="1:20" ht="34" customHeight="1">
      <c r="A554" s="11" t="s">
        <v>2865</v>
      </c>
      <c r="B554" s="3" t="s">
        <v>68</v>
      </c>
      <c r="C554" s="3" t="s">
        <v>11</v>
      </c>
      <c r="D554" s="11" t="s">
        <v>128</v>
      </c>
      <c r="E554" s="4" t="s">
        <v>394</v>
      </c>
      <c r="F554" s="3" t="s">
        <v>2272</v>
      </c>
      <c r="G554" s="3" t="s">
        <v>2272</v>
      </c>
      <c r="H554" s="3" t="s">
        <v>2272</v>
      </c>
      <c r="I554" s="3" t="s">
        <v>2272</v>
      </c>
      <c r="J554" s="3">
        <v>2.3919999999999999</v>
      </c>
      <c r="K554" s="3" t="s">
        <v>2272</v>
      </c>
      <c r="L554" s="3" t="s">
        <v>2272</v>
      </c>
      <c r="M554" s="3" t="s">
        <v>2272</v>
      </c>
      <c r="N554" s="3" t="s">
        <v>2272</v>
      </c>
      <c r="O554" s="3" t="s">
        <v>2272</v>
      </c>
      <c r="P554" s="3" t="s">
        <v>2272</v>
      </c>
      <c r="Q554" s="3" t="s">
        <v>2272</v>
      </c>
      <c r="R554" s="3" t="s">
        <v>2272</v>
      </c>
      <c r="S554" s="3" t="s">
        <v>2272</v>
      </c>
      <c r="T554" s="4" t="s">
        <v>2867</v>
      </c>
    </row>
    <row r="555" spans="1:20" ht="37.5" customHeight="1">
      <c r="A555" s="11" t="s">
        <v>2876</v>
      </c>
      <c r="B555" s="3" t="s">
        <v>68</v>
      </c>
      <c r="C555" s="3" t="s">
        <v>393</v>
      </c>
      <c r="D555" s="11" t="s">
        <v>128</v>
      </c>
      <c r="E555" s="3" t="s">
        <v>2272</v>
      </c>
      <c r="F555" s="3" t="s">
        <v>2272</v>
      </c>
      <c r="G555" s="3" t="s">
        <v>2272</v>
      </c>
      <c r="H555" s="3" t="s">
        <v>2272</v>
      </c>
      <c r="I555" s="3" t="s">
        <v>2272</v>
      </c>
      <c r="J555" s="3" t="s">
        <v>2272</v>
      </c>
      <c r="K555" s="3" t="s">
        <v>2272</v>
      </c>
      <c r="L555" s="3" t="s">
        <v>2272</v>
      </c>
      <c r="M555" s="3" t="s">
        <v>2272</v>
      </c>
      <c r="N555" s="3" t="s">
        <v>2272</v>
      </c>
      <c r="O555" s="3" t="s">
        <v>2272</v>
      </c>
      <c r="P555" s="3" t="s">
        <v>2272</v>
      </c>
      <c r="Q555" s="3" t="s">
        <v>2272</v>
      </c>
      <c r="R555" s="3" t="s">
        <v>2272</v>
      </c>
      <c r="S555" s="3" t="s">
        <v>2272</v>
      </c>
      <c r="T555" s="3"/>
    </row>
    <row r="556" spans="1:20" ht="31.5" customHeight="1">
      <c r="A556" s="11" t="s">
        <v>2881</v>
      </c>
      <c r="B556" s="11" t="s">
        <v>2254</v>
      </c>
      <c r="C556" s="3" t="s">
        <v>11</v>
      </c>
      <c r="D556" s="3" t="s">
        <v>128</v>
      </c>
      <c r="E556" s="4" t="s">
        <v>394</v>
      </c>
      <c r="F556" s="4" t="s">
        <v>2644</v>
      </c>
      <c r="G556" s="3" t="s">
        <v>135</v>
      </c>
      <c r="H556" s="3" t="s">
        <v>2272</v>
      </c>
      <c r="I556" s="3" t="s">
        <v>2272</v>
      </c>
      <c r="J556" s="3" t="s">
        <v>2272</v>
      </c>
      <c r="K556" s="3" t="s">
        <v>532</v>
      </c>
      <c r="L556" s="3" t="s">
        <v>2272</v>
      </c>
      <c r="M556" s="3" t="s">
        <v>2272</v>
      </c>
      <c r="N556" s="3" t="s">
        <v>2272</v>
      </c>
      <c r="O556" s="3" t="s">
        <v>2272</v>
      </c>
      <c r="P556" s="3" t="s">
        <v>2272</v>
      </c>
      <c r="Q556" s="3" t="s">
        <v>2272</v>
      </c>
      <c r="R556" s="3" t="s">
        <v>2272</v>
      </c>
      <c r="S556" s="3" t="s">
        <v>2272</v>
      </c>
      <c r="T556" s="3"/>
    </row>
    <row r="557" spans="1:20" ht="31.5" customHeight="1">
      <c r="A557" s="11" t="s">
        <v>2882</v>
      </c>
      <c r="B557" s="11" t="s">
        <v>2254</v>
      </c>
      <c r="C557" s="3" t="s">
        <v>11</v>
      </c>
      <c r="D557" s="3" t="s">
        <v>128</v>
      </c>
      <c r="E557" s="4" t="s">
        <v>394</v>
      </c>
      <c r="F557" s="4" t="s">
        <v>2644</v>
      </c>
      <c r="G557" s="3" t="s">
        <v>135</v>
      </c>
      <c r="H557" s="3" t="s">
        <v>2272</v>
      </c>
      <c r="I557" s="3" t="s">
        <v>2272</v>
      </c>
      <c r="J557" s="3" t="s">
        <v>2272</v>
      </c>
      <c r="K557" s="3" t="s">
        <v>532</v>
      </c>
      <c r="L557" s="3" t="s">
        <v>2272</v>
      </c>
      <c r="M557" s="3" t="s">
        <v>2272</v>
      </c>
      <c r="N557" s="3" t="s">
        <v>2272</v>
      </c>
      <c r="O557" s="3" t="s">
        <v>2272</v>
      </c>
      <c r="P557" s="3" t="s">
        <v>2272</v>
      </c>
      <c r="Q557" s="3" t="s">
        <v>2272</v>
      </c>
      <c r="R557" s="3" t="s">
        <v>2272</v>
      </c>
      <c r="S557" s="3" t="s">
        <v>2272</v>
      </c>
      <c r="T557" s="3"/>
    </row>
    <row r="558" spans="1:20" ht="35" customHeight="1">
      <c r="A558" s="11" t="s">
        <v>2883</v>
      </c>
      <c r="B558" s="11" t="s">
        <v>2254</v>
      </c>
      <c r="C558" s="3" t="s">
        <v>11</v>
      </c>
      <c r="D558" s="3" t="s">
        <v>128</v>
      </c>
      <c r="E558" s="4" t="s">
        <v>394</v>
      </c>
      <c r="F558" s="4" t="s">
        <v>2644</v>
      </c>
      <c r="G558" s="3" t="s">
        <v>135</v>
      </c>
      <c r="H558" s="3" t="s">
        <v>2272</v>
      </c>
      <c r="I558" s="3" t="s">
        <v>2272</v>
      </c>
      <c r="J558" s="3" t="s">
        <v>2272</v>
      </c>
      <c r="K558" s="3" t="s">
        <v>532</v>
      </c>
      <c r="L558" s="3" t="s">
        <v>2272</v>
      </c>
      <c r="M558" s="3" t="s">
        <v>2272</v>
      </c>
      <c r="N558" s="3" t="s">
        <v>2272</v>
      </c>
      <c r="O558" s="3" t="s">
        <v>2272</v>
      </c>
      <c r="P558" s="3" t="s">
        <v>2272</v>
      </c>
      <c r="Q558" s="3" t="s">
        <v>2272</v>
      </c>
      <c r="R558" s="3" t="s">
        <v>2272</v>
      </c>
      <c r="S558" s="3" t="s">
        <v>2272</v>
      </c>
      <c r="T558" s="3"/>
    </row>
    <row r="559" spans="1:20" ht="36" customHeight="1">
      <c r="A559" s="11" t="s">
        <v>2919</v>
      </c>
      <c r="B559" s="3" t="s">
        <v>1193</v>
      </c>
      <c r="C559" s="3" t="s">
        <v>2641</v>
      </c>
      <c r="D559" s="3" t="s">
        <v>135</v>
      </c>
      <c r="E559" s="3" t="s">
        <v>2644</v>
      </c>
      <c r="F559" s="3" t="s">
        <v>2272</v>
      </c>
      <c r="G559" s="3" t="s">
        <v>2272</v>
      </c>
      <c r="H559" s="3" t="s">
        <v>2272</v>
      </c>
      <c r="I559" s="3" t="s">
        <v>2272</v>
      </c>
      <c r="J559" s="3" t="s">
        <v>2272</v>
      </c>
      <c r="K559" s="3" t="s">
        <v>532</v>
      </c>
      <c r="L559" s="3" t="s">
        <v>2272</v>
      </c>
      <c r="M559" s="3" t="s">
        <v>2272</v>
      </c>
      <c r="N559" s="3" t="s">
        <v>2272</v>
      </c>
      <c r="O559" s="3" t="s">
        <v>2272</v>
      </c>
      <c r="P559" s="3" t="s">
        <v>2272</v>
      </c>
      <c r="Q559" s="3" t="s">
        <v>2272</v>
      </c>
      <c r="R559" s="3" t="s">
        <v>2272</v>
      </c>
      <c r="S559" s="3" t="s">
        <v>2272</v>
      </c>
      <c r="T559" s="3" t="s">
        <v>2926</v>
      </c>
    </row>
    <row r="560" spans="1:20" ht="35.5" customHeight="1">
      <c r="A560" s="11" t="s">
        <v>2929</v>
      </c>
      <c r="B560" s="3" t="s">
        <v>2254</v>
      </c>
      <c r="C560" s="11" t="s">
        <v>11</v>
      </c>
      <c r="D560" s="11" t="s">
        <v>128</v>
      </c>
      <c r="E560" s="19" t="s">
        <v>860</v>
      </c>
      <c r="F560" s="19" t="s">
        <v>394</v>
      </c>
      <c r="G560" s="3" t="s">
        <v>2272</v>
      </c>
      <c r="H560" s="3" t="s">
        <v>2272</v>
      </c>
      <c r="I560" s="3">
        <f>AVERAGE(6.9, 9.5, 4.9, 8.6)</f>
        <v>7.4749999999999996</v>
      </c>
      <c r="J560" s="3" t="s">
        <v>2272</v>
      </c>
      <c r="K560" s="3" t="s">
        <v>532</v>
      </c>
      <c r="L560" s="3" t="s">
        <v>2272</v>
      </c>
      <c r="M560" s="3" t="s">
        <v>2272</v>
      </c>
      <c r="N560" s="21">
        <f>(100*((460-20) + 60)/866) * 27/(27+56)</f>
        <v>18.781824758618772</v>
      </c>
      <c r="O560" s="3" t="s">
        <v>2272</v>
      </c>
      <c r="P560" s="21">
        <f>100*(130/866)</f>
        <v>15.011547344110854</v>
      </c>
      <c r="Q560" s="21">
        <f>(100*((460-20) + 60)/866) * 56/(27+56)</f>
        <v>38.954895795653748</v>
      </c>
      <c r="R560" s="21">
        <f>100*(20+145)/866</f>
        <v>19.053117782909929</v>
      </c>
      <c r="S560" s="21">
        <f>((100*(40+175)/866)-R560) / 13</f>
        <v>0.44412861964825012</v>
      </c>
      <c r="T560" s="4" t="s">
        <v>2935</v>
      </c>
    </row>
    <row r="561" spans="1:20" ht="33.5" customHeight="1">
      <c r="A561" s="11" t="s">
        <v>2931</v>
      </c>
      <c r="B561" s="3" t="s">
        <v>2254</v>
      </c>
      <c r="C561" s="11" t="s">
        <v>11</v>
      </c>
      <c r="D561" s="11" t="s">
        <v>128</v>
      </c>
      <c r="E561" s="19" t="s">
        <v>860</v>
      </c>
      <c r="F561" s="19" t="s">
        <v>394</v>
      </c>
      <c r="G561" s="3" t="s">
        <v>2272</v>
      </c>
      <c r="H561" s="3" t="s">
        <v>2272</v>
      </c>
      <c r="I561" s="3">
        <f>AVERAGE(5.4, 8.4, 6.5, 8.8)</f>
        <v>7.2750000000000004</v>
      </c>
      <c r="J561" s="3" t="s">
        <v>2272</v>
      </c>
      <c r="K561" s="3" t="s">
        <v>532</v>
      </c>
      <c r="L561" s="3" t="s">
        <v>2272</v>
      </c>
      <c r="M561" s="3" t="s">
        <v>2272</v>
      </c>
      <c r="N561" s="21">
        <f>(100*((460-20) + 60)/866) * 24/(24+59)</f>
        <v>16.694955340994461</v>
      </c>
      <c r="O561" s="3" t="s">
        <v>2272</v>
      </c>
      <c r="P561" s="21">
        <f>100*(80+5)/866</f>
        <v>9.8152424942263288</v>
      </c>
      <c r="Q561" s="21">
        <f>(100*((460-20) + 60)/866) * 59/(24+59)</f>
        <v>41.041765213278055</v>
      </c>
      <c r="R561" s="21">
        <f>100*(10+110)/866</f>
        <v>13.856812933025404</v>
      </c>
      <c r="S561" s="21">
        <f>(R560-R561)/16</f>
        <v>0.32476905311778281</v>
      </c>
      <c r="T561" s="4" t="s">
        <v>2935</v>
      </c>
    </row>
    <row r="562" spans="1:20" ht="34.5" customHeight="1">
      <c r="A562" s="3" t="s">
        <v>2939</v>
      </c>
      <c r="B562" s="3" t="s">
        <v>2272</v>
      </c>
      <c r="C562" s="11" t="s">
        <v>11</v>
      </c>
      <c r="D562" s="11" t="s">
        <v>128</v>
      </c>
      <c r="E562" s="19" t="s">
        <v>114</v>
      </c>
      <c r="F562" s="19" t="s">
        <v>395</v>
      </c>
      <c r="G562" s="4" t="s">
        <v>2646</v>
      </c>
      <c r="H562" s="3" t="s">
        <v>2272</v>
      </c>
      <c r="I562" s="3">
        <v>5</v>
      </c>
      <c r="J562" s="3">
        <v>0.7</v>
      </c>
      <c r="K562" s="3" t="s">
        <v>2272</v>
      </c>
      <c r="L562" s="3" t="s">
        <v>2272</v>
      </c>
      <c r="M562" s="3" t="s">
        <v>2272</v>
      </c>
      <c r="N562" s="3" t="s">
        <v>2272</v>
      </c>
      <c r="O562" s="3" t="s">
        <v>2272</v>
      </c>
      <c r="P562" s="3" t="s">
        <v>2272</v>
      </c>
      <c r="Q562" s="3" t="s">
        <v>2272</v>
      </c>
      <c r="R562" s="3" t="s">
        <v>2272</v>
      </c>
      <c r="S562" s="3" t="s">
        <v>2272</v>
      </c>
      <c r="T562" s="4" t="s">
        <v>2942</v>
      </c>
    </row>
    <row r="563" spans="1:20" ht="31" customHeight="1">
      <c r="A563" s="11" t="s">
        <v>2949</v>
      </c>
      <c r="B563" s="3" t="s">
        <v>2272</v>
      </c>
      <c r="C563" s="11" t="s">
        <v>393</v>
      </c>
      <c r="D563" s="11" t="s">
        <v>128</v>
      </c>
      <c r="E563" s="19" t="s">
        <v>114</v>
      </c>
      <c r="F563" s="3" t="s">
        <v>44</v>
      </c>
      <c r="G563" s="3" t="s">
        <v>2642</v>
      </c>
      <c r="H563" s="3" t="s">
        <v>2272</v>
      </c>
      <c r="I563" s="3" t="s">
        <v>2272</v>
      </c>
      <c r="J563" s="3" t="s">
        <v>2272</v>
      </c>
      <c r="K563" s="3" t="s">
        <v>2272</v>
      </c>
      <c r="L563" s="3" t="s">
        <v>2272</v>
      </c>
      <c r="M563" s="3" t="s">
        <v>2272</v>
      </c>
      <c r="N563" s="3" t="s">
        <v>2272</v>
      </c>
      <c r="O563" s="3" t="s">
        <v>2272</v>
      </c>
      <c r="P563" s="3" t="s">
        <v>2272</v>
      </c>
      <c r="Q563" s="3" t="s">
        <v>2272</v>
      </c>
      <c r="R563" s="3" t="s">
        <v>2272</v>
      </c>
      <c r="S563" s="3" t="s">
        <v>2272</v>
      </c>
      <c r="T563" s="3" t="s">
        <v>2952</v>
      </c>
    </row>
    <row r="564" spans="1:20" ht="33.5" customHeight="1">
      <c r="A564" s="11" t="s">
        <v>2983</v>
      </c>
      <c r="B564" s="3" t="s">
        <v>2272</v>
      </c>
      <c r="C564" s="3" t="s">
        <v>393</v>
      </c>
      <c r="D564" s="3" t="s">
        <v>5000</v>
      </c>
      <c r="E564" s="3" t="s">
        <v>128</v>
      </c>
      <c r="F564" s="3" t="s">
        <v>2644</v>
      </c>
      <c r="G564" s="3" t="s">
        <v>114</v>
      </c>
      <c r="H564" s="3" t="s">
        <v>2272</v>
      </c>
      <c r="I564" s="3" t="s">
        <v>2272</v>
      </c>
      <c r="J564" s="3" t="s">
        <v>2272</v>
      </c>
      <c r="K564" s="3" t="s">
        <v>532</v>
      </c>
      <c r="L564" s="3" t="s">
        <v>2272</v>
      </c>
      <c r="M564" s="3" t="s">
        <v>2272</v>
      </c>
      <c r="N564" s="3" t="s">
        <v>2272</v>
      </c>
      <c r="O564" s="3" t="s">
        <v>2272</v>
      </c>
      <c r="P564" s="3" t="s">
        <v>2272</v>
      </c>
      <c r="Q564" s="3" t="s">
        <v>2272</v>
      </c>
      <c r="R564" s="3" t="s">
        <v>2272</v>
      </c>
      <c r="S564" s="3" t="s">
        <v>2272</v>
      </c>
      <c r="T564" s="3"/>
    </row>
    <row r="565" spans="1:20" ht="36" customHeight="1">
      <c r="A565" s="11" t="s">
        <v>2990</v>
      </c>
      <c r="B565" s="3" t="s">
        <v>2272</v>
      </c>
      <c r="C565" s="11" t="s">
        <v>11</v>
      </c>
      <c r="D565" s="11" t="s">
        <v>44</v>
      </c>
      <c r="E565" s="19" t="s">
        <v>128</v>
      </c>
      <c r="F565" s="19" t="s">
        <v>395</v>
      </c>
      <c r="G565" s="3" t="s">
        <v>2642</v>
      </c>
      <c r="H565" s="3" t="s">
        <v>2272</v>
      </c>
      <c r="I565" s="3" t="s">
        <v>2272</v>
      </c>
      <c r="J565" s="3" t="s">
        <v>2272</v>
      </c>
      <c r="K565" s="3" t="s">
        <v>2272</v>
      </c>
      <c r="L565" s="3" t="s">
        <v>2272</v>
      </c>
      <c r="M565" s="3" t="s">
        <v>2272</v>
      </c>
      <c r="N565" s="3" t="s">
        <v>2272</v>
      </c>
      <c r="O565" s="3" t="s">
        <v>2272</v>
      </c>
      <c r="P565" s="3" t="s">
        <v>2272</v>
      </c>
      <c r="Q565" s="3" t="s">
        <v>2272</v>
      </c>
      <c r="R565" s="3" t="s">
        <v>2272</v>
      </c>
      <c r="S565" s="3" t="s">
        <v>2272</v>
      </c>
      <c r="T565" s="3"/>
    </row>
    <row r="566" spans="1:20" ht="29" customHeight="1">
      <c r="A566" s="11" t="s">
        <v>3032</v>
      </c>
      <c r="B566" s="3" t="s">
        <v>1193</v>
      </c>
      <c r="C566" s="3" t="s">
        <v>11</v>
      </c>
      <c r="D566" s="3" t="s">
        <v>2644</v>
      </c>
      <c r="E566" s="3" t="s">
        <v>44</v>
      </c>
      <c r="F566" s="4" t="s">
        <v>395</v>
      </c>
      <c r="G566" s="3" t="s">
        <v>2272</v>
      </c>
      <c r="H566" s="3" t="s">
        <v>2272</v>
      </c>
      <c r="I566" s="3" t="s">
        <v>2272</v>
      </c>
      <c r="J566" s="3" t="s">
        <v>2272</v>
      </c>
      <c r="K566" s="3" t="s">
        <v>2272</v>
      </c>
      <c r="L566" s="3" t="s">
        <v>2272</v>
      </c>
      <c r="M566" s="3" t="s">
        <v>2272</v>
      </c>
      <c r="N566" s="3" t="s">
        <v>2272</v>
      </c>
      <c r="O566" s="3" t="s">
        <v>2272</v>
      </c>
      <c r="P566" s="3" t="s">
        <v>2272</v>
      </c>
      <c r="Q566" s="3" t="s">
        <v>2272</v>
      </c>
      <c r="R566" s="3" t="s">
        <v>2272</v>
      </c>
      <c r="S566" s="3" t="s">
        <v>2272</v>
      </c>
      <c r="T566" s="3"/>
    </row>
    <row r="567" spans="1:20" ht="42" customHeight="1">
      <c r="A567" s="3" t="s">
        <v>3039</v>
      </c>
      <c r="B567" s="3" t="s">
        <v>68</v>
      </c>
      <c r="C567" s="3" t="s">
        <v>393</v>
      </c>
      <c r="D567" s="3" t="s">
        <v>44</v>
      </c>
      <c r="E567" s="3" t="s">
        <v>128</v>
      </c>
      <c r="F567" s="3" t="s">
        <v>114</v>
      </c>
      <c r="G567" s="3" t="s">
        <v>2272</v>
      </c>
      <c r="H567" s="3" t="s">
        <v>2272</v>
      </c>
      <c r="I567" s="3" t="s">
        <v>2272</v>
      </c>
      <c r="J567" s="3" t="s">
        <v>2272</v>
      </c>
      <c r="K567" s="3" t="s">
        <v>2272</v>
      </c>
      <c r="L567" s="3" t="s">
        <v>2272</v>
      </c>
      <c r="M567" s="3" t="s">
        <v>2272</v>
      </c>
      <c r="N567" s="3" t="s">
        <v>2272</v>
      </c>
      <c r="O567" s="3" t="s">
        <v>2272</v>
      </c>
      <c r="P567" s="3" t="s">
        <v>2272</v>
      </c>
      <c r="Q567" s="3" t="s">
        <v>2272</v>
      </c>
      <c r="R567" s="3" t="s">
        <v>2272</v>
      </c>
      <c r="S567" s="3" t="s">
        <v>2272</v>
      </c>
      <c r="T567" s="3" t="s">
        <v>3071</v>
      </c>
    </row>
    <row r="568" spans="1:20" ht="37" customHeight="1">
      <c r="A568" s="3" t="s">
        <v>3040</v>
      </c>
      <c r="B568" s="3" t="s">
        <v>68</v>
      </c>
      <c r="C568" s="3" t="s">
        <v>393</v>
      </c>
      <c r="D568" s="3" t="s">
        <v>44</v>
      </c>
      <c r="E568" s="3" t="s">
        <v>128</v>
      </c>
      <c r="F568" s="3" t="s">
        <v>114</v>
      </c>
      <c r="G568" s="3" t="s">
        <v>2272</v>
      </c>
      <c r="H568" s="3" t="s">
        <v>2272</v>
      </c>
      <c r="I568" s="3" t="s">
        <v>2272</v>
      </c>
      <c r="J568" s="3" t="s">
        <v>2272</v>
      </c>
      <c r="K568" s="3" t="s">
        <v>2272</v>
      </c>
      <c r="L568" s="3" t="s">
        <v>2272</v>
      </c>
      <c r="M568" s="3" t="s">
        <v>2272</v>
      </c>
      <c r="N568" s="3" t="s">
        <v>2272</v>
      </c>
      <c r="O568" s="3" t="s">
        <v>2272</v>
      </c>
      <c r="P568" s="3" t="s">
        <v>2272</v>
      </c>
      <c r="Q568" s="3" t="s">
        <v>2272</v>
      </c>
      <c r="R568" s="3" t="s">
        <v>2272</v>
      </c>
      <c r="S568" s="3" t="s">
        <v>2272</v>
      </c>
      <c r="T568" s="3" t="s">
        <v>3071</v>
      </c>
    </row>
    <row r="569" spans="1:20" ht="35.5" customHeight="1">
      <c r="A569" s="3" t="s">
        <v>3057</v>
      </c>
      <c r="B569" s="3" t="s">
        <v>1193</v>
      </c>
      <c r="C569" s="3" t="s">
        <v>2640</v>
      </c>
      <c r="D569" s="3" t="s">
        <v>135</v>
      </c>
      <c r="E569" s="3" t="s">
        <v>2272</v>
      </c>
      <c r="F569" s="3" t="s">
        <v>2272</v>
      </c>
      <c r="G569" s="3" t="s">
        <v>2272</v>
      </c>
      <c r="H569" s="3" t="s">
        <v>2272</v>
      </c>
      <c r="I569" s="3" t="s">
        <v>2272</v>
      </c>
      <c r="J569" s="3" t="s">
        <v>2272</v>
      </c>
      <c r="K569" s="3" t="s">
        <v>2272</v>
      </c>
      <c r="L569" s="3" t="s">
        <v>2272</v>
      </c>
      <c r="M569" s="3" t="s">
        <v>2272</v>
      </c>
      <c r="N569" s="3" t="s">
        <v>2272</v>
      </c>
      <c r="O569" s="3" t="s">
        <v>2272</v>
      </c>
      <c r="P569" s="3" t="s">
        <v>2272</v>
      </c>
      <c r="Q569" s="3" t="s">
        <v>2272</v>
      </c>
      <c r="R569" s="3" t="s">
        <v>2272</v>
      </c>
      <c r="S569" s="3" t="s">
        <v>2272</v>
      </c>
      <c r="T569" s="3"/>
    </row>
    <row r="570" spans="1:20" ht="37" customHeight="1">
      <c r="A570" s="3" t="s">
        <v>3058</v>
      </c>
      <c r="B570" s="3" t="s">
        <v>1193</v>
      </c>
      <c r="C570" s="3" t="s">
        <v>2640</v>
      </c>
      <c r="D570" s="3" t="s">
        <v>135</v>
      </c>
      <c r="E570" s="3" t="s">
        <v>2272</v>
      </c>
      <c r="F570" s="3" t="s">
        <v>2272</v>
      </c>
      <c r="G570" s="3" t="s">
        <v>2272</v>
      </c>
      <c r="H570" s="3" t="s">
        <v>2272</v>
      </c>
      <c r="I570" s="3" t="s">
        <v>2272</v>
      </c>
      <c r="J570" s="3" t="s">
        <v>2272</v>
      </c>
      <c r="K570" s="3" t="s">
        <v>2272</v>
      </c>
      <c r="L570" s="3" t="s">
        <v>2272</v>
      </c>
      <c r="M570" s="3" t="s">
        <v>2272</v>
      </c>
      <c r="N570" s="3" t="s">
        <v>2272</v>
      </c>
      <c r="O570" s="3" t="s">
        <v>2272</v>
      </c>
      <c r="P570" s="3" t="s">
        <v>2272</v>
      </c>
      <c r="Q570" s="3" t="s">
        <v>2272</v>
      </c>
      <c r="R570" s="3" t="s">
        <v>2272</v>
      </c>
      <c r="S570" s="3" t="s">
        <v>2272</v>
      </c>
      <c r="T570" s="3"/>
    </row>
    <row r="571" spans="1:20" ht="37" customHeight="1">
      <c r="A571" s="3" t="s">
        <v>5034</v>
      </c>
      <c r="B571" s="3" t="s">
        <v>31</v>
      </c>
      <c r="C571" s="3" t="s">
        <v>11</v>
      </c>
      <c r="D571" s="3" t="s">
        <v>44</v>
      </c>
      <c r="E571" s="3" t="s">
        <v>135</v>
      </c>
      <c r="F571" s="3" t="s">
        <v>128</v>
      </c>
      <c r="G571" s="3" t="s">
        <v>114</v>
      </c>
      <c r="H571" s="3" t="s">
        <v>2272</v>
      </c>
      <c r="I571" s="3" t="s">
        <v>2272</v>
      </c>
      <c r="J571" s="3" t="s">
        <v>2272</v>
      </c>
      <c r="K571" s="3" t="s">
        <v>2272</v>
      </c>
      <c r="L571" s="3" t="s">
        <v>2272</v>
      </c>
      <c r="M571" s="3" t="s">
        <v>2272</v>
      </c>
      <c r="N571" s="3" t="s">
        <v>2272</v>
      </c>
      <c r="O571" s="3" t="s">
        <v>2272</v>
      </c>
      <c r="P571" s="3" t="s">
        <v>2272</v>
      </c>
      <c r="Q571" s="3" t="s">
        <v>2272</v>
      </c>
      <c r="R571" s="3" t="s">
        <v>2272</v>
      </c>
      <c r="S571" s="3" t="s">
        <v>2272</v>
      </c>
      <c r="T571" s="3"/>
    </row>
    <row r="572" spans="1:20" ht="36" customHeight="1">
      <c r="A572" s="11" t="s">
        <v>3092</v>
      </c>
      <c r="B572" s="3" t="s">
        <v>2272</v>
      </c>
      <c r="C572" s="3" t="s">
        <v>393</v>
      </c>
      <c r="D572" s="3" t="s">
        <v>128</v>
      </c>
      <c r="E572" s="3" t="s">
        <v>114</v>
      </c>
      <c r="F572" s="4" t="s">
        <v>395</v>
      </c>
      <c r="G572" s="3" t="s">
        <v>2272</v>
      </c>
      <c r="H572" s="3" t="s">
        <v>2272</v>
      </c>
      <c r="I572" s="21">
        <f>(38/8)* (490/10000)</f>
        <v>0.23275000000000001</v>
      </c>
      <c r="J572" s="3" t="s">
        <v>2272</v>
      </c>
      <c r="K572" s="3" t="s">
        <v>535</v>
      </c>
      <c r="L572" s="3" t="s">
        <v>2272</v>
      </c>
      <c r="M572" s="3" t="s">
        <v>2272</v>
      </c>
      <c r="N572" s="3" t="s">
        <v>2272</v>
      </c>
      <c r="O572" s="3" t="s">
        <v>2272</v>
      </c>
      <c r="P572" s="3" t="s">
        <v>2272</v>
      </c>
      <c r="Q572" s="3" t="s">
        <v>2272</v>
      </c>
      <c r="R572" s="3" t="s">
        <v>2272</v>
      </c>
      <c r="S572" s="3" t="s">
        <v>2272</v>
      </c>
      <c r="T572" s="4" t="s">
        <v>3140</v>
      </c>
    </row>
    <row r="573" spans="1:20" ht="38.5" customHeight="1">
      <c r="A573" s="11" t="s">
        <v>3093</v>
      </c>
      <c r="B573" s="3" t="s">
        <v>2272</v>
      </c>
      <c r="C573" s="3" t="s">
        <v>393</v>
      </c>
      <c r="D573" s="3" t="s">
        <v>128</v>
      </c>
      <c r="E573" s="3" t="s">
        <v>114</v>
      </c>
      <c r="F573" s="4" t="s">
        <v>395</v>
      </c>
      <c r="G573" s="3" t="s">
        <v>2272</v>
      </c>
      <c r="H573" s="3" t="s">
        <v>2272</v>
      </c>
      <c r="I573" s="21">
        <f>(269*(47/14))/10000</f>
        <v>9.030714285714285E-2</v>
      </c>
      <c r="J573" s="3" t="s">
        <v>2272</v>
      </c>
      <c r="K573" s="3" t="s">
        <v>535</v>
      </c>
      <c r="L573" s="3" t="s">
        <v>2272</v>
      </c>
      <c r="M573" s="3" t="s">
        <v>2272</v>
      </c>
      <c r="N573" s="3" t="s">
        <v>2272</v>
      </c>
      <c r="O573" s="3" t="s">
        <v>2272</v>
      </c>
      <c r="P573" s="3" t="s">
        <v>2272</v>
      </c>
      <c r="Q573" s="3" t="s">
        <v>2272</v>
      </c>
      <c r="R573" s="3" t="s">
        <v>2272</v>
      </c>
      <c r="S573" s="3" t="s">
        <v>2272</v>
      </c>
      <c r="T573" s="4" t="s">
        <v>3140</v>
      </c>
    </row>
    <row r="574" spans="1:20" ht="36" customHeight="1">
      <c r="A574" s="11" t="s">
        <v>3095</v>
      </c>
      <c r="B574" s="3" t="s">
        <v>2272</v>
      </c>
      <c r="C574" s="3" t="s">
        <v>393</v>
      </c>
      <c r="D574" s="3" t="s">
        <v>128</v>
      </c>
      <c r="E574" s="3" t="s">
        <v>114</v>
      </c>
      <c r="F574" s="4" t="s">
        <v>395</v>
      </c>
      <c r="G574" s="3" t="s">
        <v>2272</v>
      </c>
      <c r="H574" s="3" t="s">
        <v>2272</v>
      </c>
      <c r="I574" s="21">
        <f>490*61/13/10000</f>
        <v>0.2299230769230769</v>
      </c>
      <c r="J574" s="3" t="s">
        <v>2272</v>
      </c>
      <c r="K574" s="3" t="s">
        <v>535</v>
      </c>
      <c r="L574" s="3" t="s">
        <v>2272</v>
      </c>
      <c r="M574" s="3" t="s">
        <v>2272</v>
      </c>
      <c r="N574" s="3" t="s">
        <v>2272</v>
      </c>
      <c r="O574" s="3" t="s">
        <v>2272</v>
      </c>
      <c r="P574" s="3" t="s">
        <v>2272</v>
      </c>
      <c r="Q574" s="3" t="s">
        <v>2272</v>
      </c>
      <c r="R574" s="3" t="s">
        <v>2272</v>
      </c>
      <c r="S574" s="3" t="s">
        <v>2272</v>
      </c>
      <c r="T574" s="4" t="s">
        <v>3140</v>
      </c>
    </row>
    <row r="575" spans="1:20" ht="37.5" customHeight="1">
      <c r="A575" s="11" t="s">
        <v>3096</v>
      </c>
      <c r="B575" s="3" t="s">
        <v>2272</v>
      </c>
      <c r="C575" s="3" t="s">
        <v>393</v>
      </c>
      <c r="D575" s="3" t="s">
        <v>128</v>
      </c>
      <c r="E575" s="3" t="s">
        <v>114</v>
      </c>
      <c r="F575" s="4" t="s">
        <v>395</v>
      </c>
      <c r="G575" s="3" t="s">
        <v>2272</v>
      </c>
      <c r="H575" s="3" t="s">
        <v>2272</v>
      </c>
      <c r="I575" s="21">
        <f>464*47/11/10000</f>
        <v>0.19825454545454546</v>
      </c>
      <c r="J575" s="3" t="s">
        <v>2272</v>
      </c>
      <c r="K575" s="3" t="s">
        <v>535</v>
      </c>
      <c r="L575" s="3" t="s">
        <v>2272</v>
      </c>
      <c r="M575" s="3" t="s">
        <v>2272</v>
      </c>
      <c r="N575" s="3" t="s">
        <v>2272</v>
      </c>
      <c r="O575" s="3" t="s">
        <v>2272</v>
      </c>
      <c r="P575" s="3" t="s">
        <v>2272</v>
      </c>
      <c r="Q575" s="3" t="s">
        <v>2272</v>
      </c>
      <c r="R575" s="3" t="s">
        <v>2272</v>
      </c>
      <c r="S575" s="3" t="s">
        <v>2272</v>
      </c>
      <c r="T575" s="4" t="s">
        <v>3140</v>
      </c>
    </row>
    <row r="576" spans="1:20" ht="39" customHeight="1">
      <c r="A576" s="3" t="s">
        <v>3097</v>
      </c>
      <c r="B576" s="3" t="s">
        <v>2272</v>
      </c>
      <c r="C576" s="3" t="s">
        <v>393</v>
      </c>
      <c r="D576" s="3" t="s">
        <v>128</v>
      </c>
      <c r="E576" s="3" t="s">
        <v>114</v>
      </c>
      <c r="F576" s="4" t="s">
        <v>395</v>
      </c>
      <c r="G576" s="3" t="s">
        <v>2272</v>
      </c>
      <c r="H576" s="3" t="s">
        <v>2272</v>
      </c>
      <c r="I576" s="21">
        <f>464*57/12/10000</f>
        <v>0.22040000000000001</v>
      </c>
      <c r="J576" s="3" t="s">
        <v>2272</v>
      </c>
      <c r="K576" s="3" t="s">
        <v>535</v>
      </c>
      <c r="L576" s="3" t="s">
        <v>2272</v>
      </c>
      <c r="M576" s="3" t="s">
        <v>2272</v>
      </c>
      <c r="N576" s="3" t="s">
        <v>2272</v>
      </c>
      <c r="O576" s="3" t="s">
        <v>2272</v>
      </c>
      <c r="P576" s="3" t="s">
        <v>2272</v>
      </c>
      <c r="Q576" s="3" t="s">
        <v>2272</v>
      </c>
      <c r="R576" s="3" t="s">
        <v>2272</v>
      </c>
      <c r="S576" s="3" t="s">
        <v>2272</v>
      </c>
      <c r="T576" s="4" t="s">
        <v>3140</v>
      </c>
    </row>
    <row r="577" spans="1:20" ht="38" customHeight="1">
      <c r="A577" s="3" t="s">
        <v>3098</v>
      </c>
      <c r="B577" s="3" t="s">
        <v>2272</v>
      </c>
      <c r="C577" s="3" t="s">
        <v>393</v>
      </c>
      <c r="D577" s="3" t="s">
        <v>128</v>
      </c>
      <c r="E577" s="3" t="s">
        <v>114</v>
      </c>
      <c r="F577" s="4" t="s">
        <v>395</v>
      </c>
      <c r="G577" s="3" t="s">
        <v>2272</v>
      </c>
      <c r="H577" s="3" t="s">
        <v>2272</v>
      </c>
      <c r="I577" s="21">
        <f>47/10*464/10000</f>
        <v>0.21808000000000002</v>
      </c>
      <c r="J577" s="3" t="s">
        <v>2272</v>
      </c>
      <c r="K577" s="3" t="s">
        <v>535</v>
      </c>
      <c r="L577" s="3" t="s">
        <v>2272</v>
      </c>
      <c r="M577" s="3" t="s">
        <v>2272</v>
      </c>
      <c r="N577" s="3" t="s">
        <v>2272</v>
      </c>
      <c r="O577" s="3" t="s">
        <v>2272</v>
      </c>
      <c r="P577" s="3" t="s">
        <v>2272</v>
      </c>
      <c r="Q577" s="3" t="s">
        <v>2272</v>
      </c>
      <c r="R577" s="3" t="s">
        <v>2272</v>
      </c>
      <c r="S577" s="3" t="s">
        <v>2272</v>
      </c>
      <c r="T577" s="4" t="s">
        <v>3140</v>
      </c>
    </row>
    <row r="578" spans="1:20" ht="36" customHeight="1">
      <c r="A578" s="3" t="s">
        <v>3124</v>
      </c>
      <c r="B578" s="3" t="s">
        <v>68</v>
      </c>
      <c r="C578" s="3" t="s">
        <v>393</v>
      </c>
      <c r="D578" s="3" t="s">
        <v>128</v>
      </c>
      <c r="E578" s="3" t="s">
        <v>114</v>
      </c>
      <c r="F578" s="3" t="s">
        <v>2647</v>
      </c>
      <c r="G578" s="3" t="s">
        <v>2272</v>
      </c>
      <c r="H578" s="3" t="s">
        <v>2272</v>
      </c>
      <c r="I578" s="3" t="s">
        <v>2272</v>
      </c>
      <c r="J578" s="3" t="s">
        <v>2272</v>
      </c>
      <c r="K578" s="3" t="s">
        <v>535</v>
      </c>
      <c r="L578" s="3" t="s">
        <v>2272</v>
      </c>
      <c r="M578" s="3" t="s">
        <v>2272</v>
      </c>
      <c r="N578" s="3" t="s">
        <v>2272</v>
      </c>
      <c r="O578" s="3" t="s">
        <v>2272</v>
      </c>
      <c r="P578" s="3" t="s">
        <v>2272</v>
      </c>
      <c r="Q578" s="3" t="s">
        <v>2272</v>
      </c>
      <c r="R578" s="3" t="s">
        <v>2272</v>
      </c>
      <c r="S578" s="3" t="s">
        <v>2272</v>
      </c>
      <c r="T578" s="3"/>
    </row>
    <row r="579" spans="1:20" ht="42" customHeight="1">
      <c r="A579" s="3" t="s">
        <v>3125</v>
      </c>
      <c r="B579" s="3" t="s">
        <v>68</v>
      </c>
      <c r="C579" s="3" t="s">
        <v>393</v>
      </c>
      <c r="D579" s="3" t="s">
        <v>128</v>
      </c>
      <c r="E579" s="3" t="s">
        <v>114</v>
      </c>
      <c r="F579" s="3" t="s">
        <v>2647</v>
      </c>
      <c r="G579" s="3" t="s">
        <v>2272</v>
      </c>
      <c r="H579" s="3" t="s">
        <v>2272</v>
      </c>
      <c r="I579" s="3" t="s">
        <v>2272</v>
      </c>
      <c r="J579" s="3" t="s">
        <v>2272</v>
      </c>
      <c r="K579" s="3" t="s">
        <v>535</v>
      </c>
      <c r="L579" s="3" t="s">
        <v>2272</v>
      </c>
      <c r="M579" s="3" t="s">
        <v>2272</v>
      </c>
      <c r="N579" s="3" t="s">
        <v>2272</v>
      </c>
      <c r="O579" s="3" t="s">
        <v>2272</v>
      </c>
      <c r="P579" s="3" t="s">
        <v>2272</v>
      </c>
      <c r="Q579" s="3" t="s">
        <v>2272</v>
      </c>
      <c r="R579" s="3" t="s">
        <v>2272</v>
      </c>
      <c r="S579" s="3" t="s">
        <v>2272</v>
      </c>
      <c r="T579" s="3"/>
    </row>
    <row r="580" spans="1:20" ht="34.5" customHeight="1">
      <c r="A580" s="3" t="s">
        <v>3126</v>
      </c>
      <c r="B580" s="3" t="s">
        <v>68</v>
      </c>
      <c r="C580" s="3" t="s">
        <v>11</v>
      </c>
      <c r="D580" s="3" t="s">
        <v>128</v>
      </c>
      <c r="E580" s="3" t="s">
        <v>114</v>
      </c>
      <c r="F580" s="3" t="s">
        <v>135</v>
      </c>
      <c r="G580" s="3" t="s">
        <v>2272</v>
      </c>
      <c r="H580" s="3" t="s">
        <v>2272</v>
      </c>
      <c r="I580" s="3" t="s">
        <v>2272</v>
      </c>
      <c r="J580" s="3" t="s">
        <v>2272</v>
      </c>
      <c r="K580" s="3" t="s">
        <v>535</v>
      </c>
      <c r="L580" s="3" t="s">
        <v>2272</v>
      </c>
      <c r="M580" s="3" t="s">
        <v>2272</v>
      </c>
      <c r="N580" s="3" t="s">
        <v>2272</v>
      </c>
      <c r="O580" s="3" t="s">
        <v>2272</v>
      </c>
      <c r="P580" s="3" t="s">
        <v>2272</v>
      </c>
      <c r="Q580" s="3" t="s">
        <v>2272</v>
      </c>
      <c r="R580" s="3" t="s">
        <v>2272</v>
      </c>
      <c r="S580" s="3" t="s">
        <v>2272</v>
      </c>
      <c r="T580" s="3"/>
    </row>
    <row r="581" spans="1:20" ht="36.5" customHeight="1">
      <c r="A581" s="3" t="s">
        <v>3127</v>
      </c>
      <c r="B581" s="3" t="s">
        <v>2254</v>
      </c>
      <c r="C581" s="3" t="s">
        <v>393</v>
      </c>
      <c r="D581" s="3" t="s">
        <v>128</v>
      </c>
      <c r="E581" s="3" t="s">
        <v>114</v>
      </c>
      <c r="F581" s="3" t="s">
        <v>135</v>
      </c>
      <c r="G581" s="3" t="s">
        <v>2272</v>
      </c>
      <c r="H581" s="3" t="s">
        <v>2272</v>
      </c>
      <c r="I581" s="3" t="s">
        <v>2272</v>
      </c>
      <c r="J581" s="3" t="s">
        <v>2272</v>
      </c>
      <c r="K581" s="3" t="s">
        <v>535</v>
      </c>
      <c r="L581" s="3" t="s">
        <v>2272</v>
      </c>
      <c r="M581" s="3" t="s">
        <v>2272</v>
      </c>
      <c r="N581" s="3" t="s">
        <v>2272</v>
      </c>
      <c r="O581" s="3" t="s">
        <v>2272</v>
      </c>
      <c r="P581" s="3" t="s">
        <v>2272</v>
      </c>
      <c r="Q581" s="3" t="s">
        <v>2272</v>
      </c>
      <c r="R581" s="3" t="s">
        <v>2272</v>
      </c>
      <c r="S581" s="3" t="s">
        <v>2272</v>
      </c>
      <c r="T581" s="3"/>
    </row>
    <row r="582" spans="1:20" ht="37" customHeight="1">
      <c r="A582" s="11" t="s">
        <v>3219</v>
      </c>
      <c r="B582" s="11" t="s">
        <v>68</v>
      </c>
      <c r="C582" s="3" t="s">
        <v>11</v>
      </c>
      <c r="D582" s="3" t="s">
        <v>128</v>
      </c>
      <c r="E582" s="3" t="s">
        <v>82</v>
      </c>
      <c r="F582" s="4" t="s">
        <v>2646</v>
      </c>
      <c r="G582" s="3" t="s">
        <v>2644</v>
      </c>
      <c r="H582" s="3" t="s">
        <v>2272</v>
      </c>
      <c r="I582" s="3">
        <v>5</v>
      </c>
      <c r="J582" s="21">
        <f>1395/424</f>
        <v>3.2900943396226414</v>
      </c>
      <c r="K582" s="3" t="s">
        <v>532</v>
      </c>
      <c r="L582" s="3" t="s">
        <v>2272</v>
      </c>
      <c r="M582" s="3" t="s">
        <v>2272</v>
      </c>
      <c r="N582" s="21">
        <f>(2760+112+15)/72.4</f>
        <v>39.875690607734803</v>
      </c>
      <c r="O582" s="3" t="s">
        <v>2272</v>
      </c>
      <c r="P582" s="21">
        <f>(15+424)/72.4</f>
        <v>6.0635359116022096</v>
      </c>
      <c r="Q582" s="21">
        <f>1874/72.4</f>
        <v>25.883977900552484</v>
      </c>
      <c r="R582" s="21">
        <f>(1226+867)/72.4</f>
        <v>28.908839779005522</v>
      </c>
      <c r="S582" s="3" t="s">
        <v>2272</v>
      </c>
      <c r="T582" s="4" t="s">
        <v>3228</v>
      </c>
    </row>
    <row r="583" spans="1:20" ht="29.5" customHeight="1">
      <c r="A583" s="11" t="s">
        <v>3225</v>
      </c>
      <c r="B583" s="11" t="s">
        <v>68</v>
      </c>
      <c r="C583" s="3" t="s">
        <v>393</v>
      </c>
      <c r="D583" s="3" t="s">
        <v>128</v>
      </c>
      <c r="E583" s="3" t="s">
        <v>2272</v>
      </c>
      <c r="F583" s="3" t="s">
        <v>2272</v>
      </c>
      <c r="G583" s="3" t="s">
        <v>2272</v>
      </c>
      <c r="H583" s="3" t="s">
        <v>2272</v>
      </c>
      <c r="I583" s="3" t="s">
        <v>2272</v>
      </c>
      <c r="J583" s="3" t="s">
        <v>2272</v>
      </c>
      <c r="K583" s="3" t="s">
        <v>2272</v>
      </c>
      <c r="L583" s="3" t="s">
        <v>2272</v>
      </c>
      <c r="M583" s="3" t="s">
        <v>2272</v>
      </c>
      <c r="N583" s="3" t="s">
        <v>2272</v>
      </c>
      <c r="O583" s="3" t="s">
        <v>2272</v>
      </c>
      <c r="P583" s="3" t="s">
        <v>2272</v>
      </c>
      <c r="Q583" s="3" t="s">
        <v>2272</v>
      </c>
      <c r="R583" s="3" t="s">
        <v>2272</v>
      </c>
      <c r="S583" s="3" t="s">
        <v>2272</v>
      </c>
      <c r="T583" s="3"/>
    </row>
    <row r="584" spans="1:20" ht="32.5" customHeight="1">
      <c r="A584" s="11" t="s">
        <v>3233</v>
      </c>
      <c r="B584" s="3" t="s">
        <v>2272</v>
      </c>
      <c r="C584" s="3" t="s">
        <v>11</v>
      </c>
      <c r="D584" s="3" t="s">
        <v>128</v>
      </c>
      <c r="E584" s="4" t="s">
        <v>395</v>
      </c>
      <c r="F584" s="3" t="s">
        <v>44</v>
      </c>
      <c r="G584" s="3" t="s">
        <v>2272</v>
      </c>
      <c r="H584" s="3" t="s">
        <v>2272</v>
      </c>
      <c r="I584" s="21">
        <v>67.33</v>
      </c>
      <c r="J584" s="21">
        <f>527.78/1000</f>
        <v>0.52778000000000003</v>
      </c>
      <c r="K584" s="3" t="s">
        <v>2272</v>
      </c>
      <c r="L584" s="3" t="s">
        <v>2272</v>
      </c>
      <c r="M584" s="3" t="s">
        <v>2272</v>
      </c>
      <c r="N584" s="3" t="s">
        <v>2272</v>
      </c>
      <c r="O584" s="21">
        <v>4.7824149710381709</v>
      </c>
      <c r="P584" s="21">
        <v>19.111605178553646</v>
      </c>
      <c r="Q584" s="21">
        <f>(100 - (SUM(O584:P584)+R584))*I584/I584</f>
        <v>19.578428981553287</v>
      </c>
      <c r="R584" s="21">
        <v>56.527550868854902</v>
      </c>
      <c r="S584" s="3" t="s">
        <v>2272</v>
      </c>
      <c r="T584" s="3" t="s">
        <v>3279</v>
      </c>
    </row>
    <row r="585" spans="1:20" ht="31" customHeight="1">
      <c r="A585" s="11" t="s">
        <v>3236</v>
      </c>
      <c r="B585" s="3" t="s">
        <v>2272</v>
      </c>
      <c r="C585" s="3" t="s">
        <v>11</v>
      </c>
      <c r="D585" s="3" t="s">
        <v>128</v>
      </c>
      <c r="E585" s="4" t="s">
        <v>395</v>
      </c>
      <c r="F585" s="3" t="s">
        <v>44</v>
      </c>
      <c r="G585" s="3" t="s">
        <v>2272</v>
      </c>
      <c r="H585" s="3" t="s">
        <v>2272</v>
      </c>
      <c r="I585" s="21">
        <v>103.33</v>
      </c>
      <c r="J585" s="21">
        <f>482.3/1000</f>
        <v>0.48230000000000001</v>
      </c>
      <c r="K585" s="3" t="s">
        <v>2272</v>
      </c>
      <c r="L585" s="3" t="s">
        <v>2272</v>
      </c>
      <c r="M585" s="3" t="s">
        <v>2272</v>
      </c>
      <c r="N585" s="3" t="s">
        <v>2272</v>
      </c>
      <c r="O585" s="21">
        <v>2.1484564018194137</v>
      </c>
      <c r="P585" s="21">
        <v>3.1162295557921227</v>
      </c>
      <c r="Q585" s="21">
        <f t="shared" ref="Q585:Q597" si="1">(100 - (SUM(O585:P585)+R585))*I585/I585</f>
        <v>16.452143617536052</v>
      </c>
      <c r="R585" s="21">
        <v>78.283170424852415</v>
      </c>
      <c r="S585" s="3" t="s">
        <v>2272</v>
      </c>
      <c r="T585" s="3" t="s">
        <v>3279</v>
      </c>
    </row>
    <row r="586" spans="1:20" ht="27" customHeight="1">
      <c r="A586" s="11" t="s">
        <v>3237</v>
      </c>
      <c r="B586" s="3" t="s">
        <v>2272</v>
      </c>
      <c r="C586" s="3" t="s">
        <v>11</v>
      </c>
      <c r="D586" s="3" t="s">
        <v>128</v>
      </c>
      <c r="E586" s="4" t="s">
        <v>395</v>
      </c>
      <c r="F586" s="3" t="s">
        <v>44</v>
      </c>
      <c r="G586" s="3" t="s">
        <v>2272</v>
      </c>
      <c r="H586" s="3" t="s">
        <v>2272</v>
      </c>
      <c r="I586" s="21">
        <v>46.17</v>
      </c>
      <c r="J586" s="21">
        <f>264.921/1000</f>
        <v>0.26492100000000002</v>
      </c>
      <c r="K586" s="3" t="s">
        <v>2272</v>
      </c>
      <c r="L586" s="3" t="s">
        <v>2272</v>
      </c>
      <c r="M586" s="3" t="s">
        <v>2272</v>
      </c>
      <c r="N586" s="3" t="s">
        <v>2272</v>
      </c>
      <c r="O586" s="21">
        <v>4.4834307992202724</v>
      </c>
      <c r="P586" s="21">
        <v>8.5986571366688338</v>
      </c>
      <c r="Q586" s="21">
        <f t="shared" si="1"/>
        <v>49.880875027073856</v>
      </c>
      <c r="R586" s="21">
        <v>37.037037037037038</v>
      </c>
      <c r="S586" s="3" t="s">
        <v>2272</v>
      </c>
      <c r="T586" s="3" t="s">
        <v>3279</v>
      </c>
    </row>
    <row r="587" spans="1:20" ht="29" customHeight="1">
      <c r="A587" s="11" t="s">
        <v>3241</v>
      </c>
      <c r="B587" s="3" t="s">
        <v>2272</v>
      </c>
      <c r="C587" s="3" t="s">
        <v>11</v>
      </c>
      <c r="D587" s="3" t="s">
        <v>128</v>
      </c>
      <c r="E587" s="4" t="s">
        <v>395</v>
      </c>
      <c r="F587" s="3" t="s">
        <v>44</v>
      </c>
      <c r="G587" s="3" t="s">
        <v>2272</v>
      </c>
      <c r="H587" s="3" t="s">
        <v>2272</v>
      </c>
      <c r="I587" s="21">
        <v>41.53</v>
      </c>
      <c r="J587" s="21">
        <f>396/1000</f>
        <v>0.39600000000000002</v>
      </c>
      <c r="K587" s="3" t="s">
        <v>2272</v>
      </c>
      <c r="L587" s="3" t="s">
        <v>2272</v>
      </c>
      <c r="M587" s="3" t="s">
        <v>2272</v>
      </c>
      <c r="N587" s="3" t="s">
        <v>2272</v>
      </c>
      <c r="O587" s="21">
        <v>12.737779918131469</v>
      </c>
      <c r="P587" s="21">
        <v>7.3922465687454846</v>
      </c>
      <c r="Q587" s="21">
        <f t="shared" si="1"/>
        <v>46.857693233806884</v>
      </c>
      <c r="R587" s="21">
        <v>33.012280279316158</v>
      </c>
      <c r="S587" s="3" t="s">
        <v>2272</v>
      </c>
      <c r="T587" s="3" t="s">
        <v>3279</v>
      </c>
    </row>
    <row r="588" spans="1:20" ht="25.5" customHeight="1">
      <c r="A588" s="11" t="s">
        <v>3242</v>
      </c>
      <c r="B588" s="3" t="s">
        <v>2272</v>
      </c>
      <c r="C588" s="3" t="s">
        <v>11</v>
      </c>
      <c r="D588" s="3" t="s">
        <v>128</v>
      </c>
      <c r="E588" s="4" t="s">
        <v>395</v>
      </c>
      <c r="F588" s="3" t="s">
        <v>44</v>
      </c>
      <c r="G588" s="3" t="s">
        <v>2272</v>
      </c>
      <c r="H588" s="3" t="s">
        <v>2272</v>
      </c>
      <c r="I588" s="21">
        <v>86.43</v>
      </c>
      <c r="J588" s="21">
        <f>216.55/1000</f>
        <v>0.21655000000000002</v>
      </c>
      <c r="K588" s="3" t="s">
        <v>2272</v>
      </c>
      <c r="L588" s="3" t="s">
        <v>2272</v>
      </c>
      <c r="M588" s="3" t="s">
        <v>2272</v>
      </c>
      <c r="N588" s="3" t="s">
        <v>2272</v>
      </c>
      <c r="O588" s="21">
        <v>17.459215550156195</v>
      </c>
      <c r="P588" s="21">
        <v>4.3850514867522845</v>
      </c>
      <c r="Q588" s="21">
        <f t="shared" si="1"/>
        <v>30.417679046627342</v>
      </c>
      <c r="R588" s="21">
        <v>47.738053916464182</v>
      </c>
      <c r="S588" s="3" t="s">
        <v>2272</v>
      </c>
      <c r="T588" s="3" t="s">
        <v>3279</v>
      </c>
    </row>
    <row r="589" spans="1:20" ht="26" customHeight="1">
      <c r="A589" s="11" t="s">
        <v>3243</v>
      </c>
      <c r="B589" s="3" t="s">
        <v>2272</v>
      </c>
      <c r="C589" s="3" t="s">
        <v>11</v>
      </c>
      <c r="D589" s="3" t="s">
        <v>128</v>
      </c>
      <c r="E589" s="4" t="s">
        <v>395</v>
      </c>
      <c r="F589" s="3" t="s">
        <v>44</v>
      </c>
      <c r="G589" s="3" t="s">
        <v>2272</v>
      </c>
      <c r="H589" s="3" t="s">
        <v>2272</v>
      </c>
      <c r="I589" s="21">
        <v>110.2</v>
      </c>
      <c r="J589" s="21">
        <f>499.638/1000</f>
        <v>0.49963799999999997</v>
      </c>
      <c r="K589" s="3" t="s">
        <v>2272</v>
      </c>
      <c r="L589" s="3" t="s">
        <v>2272</v>
      </c>
      <c r="M589" s="3" t="s">
        <v>2272</v>
      </c>
      <c r="N589" s="3" t="s">
        <v>2272</v>
      </c>
      <c r="O589" s="21">
        <v>22.186932849364791</v>
      </c>
      <c r="P589" s="21">
        <v>3.511796733212341</v>
      </c>
      <c r="Q589" s="21">
        <f t="shared" si="1"/>
        <v>32.704174228675129</v>
      </c>
      <c r="R589" s="21">
        <v>41.597096188747734</v>
      </c>
      <c r="S589" s="3" t="s">
        <v>2272</v>
      </c>
      <c r="T589" s="3" t="s">
        <v>3279</v>
      </c>
    </row>
    <row r="590" spans="1:20" ht="31" customHeight="1">
      <c r="A590" s="11" t="s">
        <v>3247</v>
      </c>
      <c r="B590" s="3" t="s">
        <v>2272</v>
      </c>
      <c r="C590" s="3" t="s">
        <v>11</v>
      </c>
      <c r="D590" s="3" t="s">
        <v>128</v>
      </c>
      <c r="E590" s="4" t="s">
        <v>395</v>
      </c>
      <c r="F590" s="3" t="s">
        <v>44</v>
      </c>
      <c r="G590" s="3" t="s">
        <v>2272</v>
      </c>
      <c r="H590" s="3" t="s">
        <v>2272</v>
      </c>
      <c r="I590" s="21">
        <v>50.67</v>
      </c>
      <c r="J590" s="21">
        <f>432.778/1000</f>
        <v>0.432778</v>
      </c>
      <c r="K590" s="3" t="s">
        <v>2272</v>
      </c>
      <c r="L590" s="3" t="s">
        <v>2272</v>
      </c>
      <c r="M590" s="3" t="s">
        <v>2272</v>
      </c>
      <c r="N590" s="3" t="s">
        <v>2272</v>
      </c>
      <c r="O590" s="21">
        <v>1.9735543714229327</v>
      </c>
      <c r="P590" s="21">
        <v>15.591079534241167</v>
      </c>
      <c r="Q590" s="21">
        <f t="shared" si="1"/>
        <v>26.682455101638055</v>
      </c>
      <c r="R590" s="21">
        <v>55.752910992697849</v>
      </c>
      <c r="S590" s="3" t="s">
        <v>2272</v>
      </c>
      <c r="T590" s="3" t="s">
        <v>3279</v>
      </c>
    </row>
    <row r="591" spans="1:20" ht="29.5" customHeight="1">
      <c r="A591" s="11" t="s">
        <v>3248</v>
      </c>
      <c r="B591" s="3" t="s">
        <v>2272</v>
      </c>
      <c r="C591" s="3" t="s">
        <v>11</v>
      </c>
      <c r="D591" s="3" t="s">
        <v>128</v>
      </c>
      <c r="E591" s="4" t="s">
        <v>395</v>
      </c>
      <c r="F591" s="3" t="s">
        <v>44</v>
      </c>
      <c r="G591" s="3" t="s">
        <v>2272</v>
      </c>
      <c r="H591" s="3" t="s">
        <v>2272</v>
      </c>
      <c r="I591" s="21">
        <v>109.93</v>
      </c>
      <c r="J591" s="21">
        <f>1107.6/1000</f>
        <v>1.1075999999999999</v>
      </c>
      <c r="K591" s="3" t="s">
        <v>2272</v>
      </c>
      <c r="L591" s="3" t="s">
        <v>2272</v>
      </c>
      <c r="M591" s="3" t="s">
        <v>2272</v>
      </c>
      <c r="N591" s="3" t="s">
        <v>2272</v>
      </c>
      <c r="O591" s="21">
        <v>20.585827344673881</v>
      </c>
      <c r="P591" s="21">
        <v>1.9375966524151731</v>
      </c>
      <c r="Q591" s="21">
        <f t="shared" si="1"/>
        <v>18.238879286818886</v>
      </c>
      <c r="R591" s="21">
        <v>59.23769671609206</v>
      </c>
      <c r="S591" s="3" t="s">
        <v>2272</v>
      </c>
      <c r="T591" s="3" t="s">
        <v>3279</v>
      </c>
    </row>
    <row r="592" spans="1:20" ht="27" customHeight="1">
      <c r="A592" s="11" t="s">
        <v>3249</v>
      </c>
      <c r="B592" s="3" t="s">
        <v>2272</v>
      </c>
      <c r="C592" s="3" t="s">
        <v>11</v>
      </c>
      <c r="D592" s="3" t="s">
        <v>128</v>
      </c>
      <c r="E592" s="4" t="s">
        <v>395</v>
      </c>
      <c r="F592" s="3" t="s">
        <v>44</v>
      </c>
      <c r="G592" s="3" t="s">
        <v>2272</v>
      </c>
      <c r="H592" s="3" t="s">
        <v>2272</v>
      </c>
      <c r="I592" s="21">
        <v>30.35</v>
      </c>
      <c r="J592" s="21">
        <f>667.39/1000</f>
        <v>0.66739000000000004</v>
      </c>
      <c r="K592" s="3" t="s">
        <v>2272</v>
      </c>
      <c r="L592" s="3" t="s">
        <v>2272</v>
      </c>
      <c r="M592" s="3" t="s">
        <v>2272</v>
      </c>
      <c r="N592" s="3" t="s">
        <v>2272</v>
      </c>
      <c r="O592" s="21">
        <v>4.4481054365733117</v>
      </c>
      <c r="P592" s="21">
        <v>10.774299835255354</v>
      </c>
      <c r="Q592" s="21">
        <f t="shared" si="1"/>
        <v>67.281713344316316</v>
      </c>
      <c r="R592" s="21">
        <v>17.495881383855021</v>
      </c>
      <c r="S592" s="3" t="s">
        <v>2272</v>
      </c>
      <c r="T592" s="3" t="s">
        <v>3279</v>
      </c>
    </row>
    <row r="593" spans="1:20" ht="29" customHeight="1">
      <c r="A593" s="11" t="s">
        <v>3253</v>
      </c>
      <c r="B593" s="3" t="s">
        <v>2272</v>
      </c>
      <c r="C593" s="3" t="s">
        <v>11</v>
      </c>
      <c r="D593" s="3" t="s">
        <v>128</v>
      </c>
      <c r="E593" s="4" t="s">
        <v>395</v>
      </c>
      <c r="F593" s="3" t="s">
        <v>44</v>
      </c>
      <c r="G593" s="3" t="s">
        <v>2272</v>
      </c>
      <c r="H593" s="3" t="s">
        <v>2272</v>
      </c>
      <c r="I593" s="21">
        <v>34.590000000000003</v>
      </c>
      <c r="J593" s="21">
        <f>478.57/1000</f>
        <v>0.47857</v>
      </c>
      <c r="K593" s="3" t="s">
        <v>2272</v>
      </c>
      <c r="L593" s="3" t="s">
        <v>2272</v>
      </c>
      <c r="M593" s="3" t="s">
        <v>2272</v>
      </c>
      <c r="N593" s="3" t="s">
        <v>2272</v>
      </c>
      <c r="O593" s="21">
        <v>56.837236195432205</v>
      </c>
      <c r="P593" s="21">
        <v>14.281584272911246</v>
      </c>
      <c r="Q593" s="21">
        <f t="shared" si="1"/>
        <v>22.896790980052046</v>
      </c>
      <c r="R593" s="21">
        <v>5.9843885516045088</v>
      </c>
      <c r="S593" s="3" t="s">
        <v>2272</v>
      </c>
      <c r="T593" s="3" t="s">
        <v>3279</v>
      </c>
    </row>
    <row r="594" spans="1:20" ht="28" customHeight="1">
      <c r="A594" s="11" t="s">
        <v>3254</v>
      </c>
      <c r="B594" s="3" t="s">
        <v>2272</v>
      </c>
      <c r="C594" s="3" t="s">
        <v>11</v>
      </c>
      <c r="D594" s="3" t="s">
        <v>128</v>
      </c>
      <c r="E594" s="4" t="s">
        <v>395</v>
      </c>
      <c r="F594" s="3" t="s">
        <v>44</v>
      </c>
      <c r="G594" s="3" t="s">
        <v>2272</v>
      </c>
      <c r="H594" s="3" t="s">
        <v>2272</v>
      </c>
      <c r="I594" s="21">
        <v>117.91</v>
      </c>
      <c r="J594" s="21">
        <f>155.6/1000</f>
        <v>0.15559999999999999</v>
      </c>
      <c r="K594" s="3" t="s">
        <v>2272</v>
      </c>
      <c r="L594" s="3" t="s">
        <v>2272</v>
      </c>
      <c r="M594" s="3" t="s">
        <v>2272</v>
      </c>
      <c r="N594" s="3" t="s">
        <v>2272</v>
      </c>
      <c r="O594" s="21">
        <v>1.1534221016029176</v>
      </c>
      <c r="P594" s="21">
        <v>2.0608939021287425</v>
      </c>
      <c r="Q594" s="21">
        <f t="shared" si="1"/>
        <v>22.847934865575439</v>
      </c>
      <c r="R594" s="21">
        <v>73.937749130692907</v>
      </c>
      <c r="S594" s="3" t="s">
        <v>2272</v>
      </c>
      <c r="T594" s="3" t="s">
        <v>3279</v>
      </c>
    </row>
    <row r="595" spans="1:20" ht="28" customHeight="1">
      <c r="A595" s="11" t="s">
        <v>3255</v>
      </c>
      <c r="B595" s="3" t="s">
        <v>2272</v>
      </c>
      <c r="C595" s="3" t="s">
        <v>11</v>
      </c>
      <c r="D595" s="3" t="s">
        <v>128</v>
      </c>
      <c r="E595" s="4" t="s">
        <v>395</v>
      </c>
      <c r="F595" s="3" t="s">
        <v>44</v>
      </c>
      <c r="G595" s="3" t="s">
        <v>2272</v>
      </c>
      <c r="H595" s="3" t="s">
        <v>2272</v>
      </c>
      <c r="I595" s="21">
        <v>66.5</v>
      </c>
      <c r="J595" s="21">
        <f>312.96/1000</f>
        <v>0.31295999999999996</v>
      </c>
      <c r="K595" s="3" t="s">
        <v>2272</v>
      </c>
      <c r="L595" s="3" t="s">
        <v>2272</v>
      </c>
      <c r="M595" s="3" t="s">
        <v>2272</v>
      </c>
      <c r="N595" s="3" t="s">
        <v>2272</v>
      </c>
      <c r="O595" s="21">
        <v>9.6842105263157894</v>
      </c>
      <c r="P595" s="21">
        <v>5.7443609022556386</v>
      </c>
      <c r="Q595" s="21">
        <f t="shared" si="1"/>
        <v>49.563909774436098</v>
      </c>
      <c r="R595" s="21">
        <v>35.007518796992478</v>
      </c>
      <c r="S595" s="3" t="s">
        <v>2272</v>
      </c>
      <c r="T595" s="3" t="s">
        <v>3279</v>
      </c>
    </row>
    <row r="596" spans="1:20" ht="30.5" customHeight="1">
      <c r="A596" s="11" t="s">
        <v>3259</v>
      </c>
      <c r="B596" s="3" t="s">
        <v>2272</v>
      </c>
      <c r="C596" s="3" t="s">
        <v>11</v>
      </c>
      <c r="D596" s="3" t="s">
        <v>128</v>
      </c>
      <c r="E596" s="4" t="s">
        <v>395</v>
      </c>
      <c r="F596" s="3" t="s">
        <v>44</v>
      </c>
      <c r="G596" s="3" t="s">
        <v>2272</v>
      </c>
      <c r="H596" s="3" t="s">
        <v>2272</v>
      </c>
      <c r="I596" s="21">
        <v>55.56</v>
      </c>
      <c r="J596" s="21">
        <f>213.1/1000</f>
        <v>0.21309999999999998</v>
      </c>
      <c r="K596" s="3" t="s">
        <v>2272</v>
      </c>
      <c r="L596" s="3" t="s">
        <v>2272</v>
      </c>
      <c r="M596" s="3" t="s">
        <v>2272</v>
      </c>
      <c r="N596" s="3" t="s">
        <v>2272</v>
      </c>
      <c r="O596" s="21">
        <v>5.3995680345572357</v>
      </c>
      <c r="P596" s="21">
        <v>8.0993520518358526</v>
      </c>
      <c r="Q596" s="21">
        <f t="shared" si="1"/>
        <v>47.660187185025201</v>
      </c>
      <c r="R596" s="21">
        <v>38.840892728581707</v>
      </c>
      <c r="S596" s="3" t="s">
        <v>2272</v>
      </c>
      <c r="T596" s="3" t="s">
        <v>3279</v>
      </c>
    </row>
    <row r="597" spans="1:20" ht="30.5" customHeight="1">
      <c r="A597" s="11" t="s">
        <v>3260</v>
      </c>
      <c r="B597" s="3" t="s">
        <v>2272</v>
      </c>
      <c r="C597" s="3" t="s">
        <v>11</v>
      </c>
      <c r="D597" s="3" t="s">
        <v>128</v>
      </c>
      <c r="E597" s="4" t="s">
        <v>395</v>
      </c>
      <c r="F597" s="3" t="s">
        <v>44</v>
      </c>
      <c r="G597" s="3" t="s">
        <v>2272</v>
      </c>
      <c r="H597" s="3" t="s">
        <v>2272</v>
      </c>
      <c r="I597" s="21">
        <v>37.380000000000003</v>
      </c>
      <c r="J597" s="21">
        <f>711.25/1000</f>
        <v>0.71125000000000005</v>
      </c>
      <c r="K597" s="3" t="s">
        <v>2272</v>
      </c>
      <c r="L597" s="3" t="s">
        <v>2272</v>
      </c>
      <c r="M597" s="3" t="s">
        <v>2272</v>
      </c>
      <c r="N597" s="3" t="s">
        <v>2272</v>
      </c>
      <c r="O597" s="21">
        <v>33.948635634028889</v>
      </c>
      <c r="P597" s="21">
        <v>12.867843766720169</v>
      </c>
      <c r="Q597" s="21">
        <f t="shared" si="1"/>
        <v>37.346174424826117</v>
      </c>
      <c r="R597" s="21">
        <v>15.837346174424823</v>
      </c>
      <c r="S597" s="3" t="s">
        <v>2272</v>
      </c>
      <c r="T597" s="3" t="s">
        <v>3279</v>
      </c>
    </row>
    <row r="598" spans="1:20" ht="35" customHeight="1">
      <c r="A598" s="11" t="s">
        <v>3281</v>
      </c>
      <c r="B598" s="3" t="s">
        <v>68</v>
      </c>
      <c r="C598" s="3" t="s">
        <v>393</v>
      </c>
      <c r="D598" s="3" t="s">
        <v>114</v>
      </c>
      <c r="E598" s="3" t="s">
        <v>2272</v>
      </c>
      <c r="F598" s="3" t="s">
        <v>2272</v>
      </c>
      <c r="G598" s="3" t="s">
        <v>2272</v>
      </c>
      <c r="H598" s="3" t="s">
        <v>2272</v>
      </c>
      <c r="I598" s="3" t="s">
        <v>2272</v>
      </c>
      <c r="J598" s="3" t="s">
        <v>2272</v>
      </c>
      <c r="K598" s="3" t="s">
        <v>2272</v>
      </c>
      <c r="L598" s="3" t="s">
        <v>2272</v>
      </c>
      <c r="M598" s="3" t="s">
        <v>2272</v>
      </c>
      <c r="N598" s="3" t="s">
        <v>2272</v>
      </c>
      <c r="O598" s="3" t="s">
        <v>2272</v>
      </c>
      <c r="P598" s="3" t="s">
        <v>2272</v>
      </c>
      <c r="Q598" s="3" t="s">
        <v>2272</v>
      </c>
      <c r="R598" s="3" t="s">
        <v>2272</v>
      </c>
      <c r="S598" s="3" t="s">
        <v>2272</v>
      </c>
      <c r="T598" s="3" t="s">
        <v>3285</v>
      </c>
    </row>
    <row r="599" spans="1:20" ht="32.5" customHeight="1">
      <c r="A599" s="3" t="s">
        <v>3282</v>
      </c>
      <c r="B599" s="3" t="s">
        <v>68</v>
      </c>
      <c r="C599" s="3" t="s">
        <v>393</v>
      </c>
      <c r="D599" s="3" t="s">
        <v>114</v>
      </c>
      <c r="E599" s="3" t="s">
        <v>2272</v>
      </c>
      <c r="F599" s="3" t="s">
        <v>2272</v>
      </c>
      <c r="G599" s="3" t="s">
        <v>2272</v>
      </c>
      <c r="H599" s="3" t="s">
        <v>2272</v>
      </c>
      <c r="I599" s="3" t="s">
        <v>2272</v>
      </c>
      <c r="J599" s="3" t="s">
        <v>2272</v>
      </c>
      <c r="K599" s="3" t="s">
        <v>2272</v>
      </c>
      <c r="L599" s="3" t="s">
        <v>2272</v>
      </c>
      <c r="M599" s="3" t="s">
        <v>2272</v>
      </c>
      <c r="N599" s="3" t="s">
        <v>2272</v>
      </c>
      <c r="O599" s="3" t="s">
        <v>2272</v>
      </c>
      <c r="P599" s="3" t="s">
        <v>2272</v>
      </c>
      <c r="Q599" s="3" t="s">
        <v>2272</v>
      </c>
      <c r="R599" s="3" t="s">
        <v>2272</v>
      </c>
      <c r="S599" s="3" t="s">
        <v>2272</v>
      </c>
      <c r="T599" s="3" t="s">
        <v>3285</v>
      </c>
    </row>
    <row r="600" spans="1:20" ht="30.5" customHeight="1">
      <c r="A600" s="11" t="s">
        <v>3292</v>
      </c>
      <c r="B600" s="3" t="s">
        <v>31</v>
      </c>
      <c r="C600" s="3" t="s">
        <v>11</v>
      </c>
      <c r="D600" s="3" t="s">
        <v>5000</v>
      </c>
      <c r="E600" s="3" t="s">
        <v>128</v>
      </c>
      <c r="F600" s="3" t="s">
        <v>135</v>
      </c>
      <c r="G600" s="3" t="s">
        <v>2647</v>
      </c>
      <c r="H600" s="21">
        <f>17500/('Record info'!K600*100)</f>
        <v>0.109375</v>
      </c>
      <c r="I600" s="3" t="s">
        <v>2272</v>
      </c>
      <c r="J600" s="3" t="s">
        <v>2272</v>
      </c>
      <c r="K600" s="3" t="s">
        <v>2272</v>
      </c>
      <c r="L600" s="3" t="s">
        <v>2272</v>
      </c>
      <c r="M600" s="3" t="s">
        <v>2272</v>
      </c>
      <c r="N600" s="3" t="s">
        <v>2272</v>
      </c>
      <c r="O600" s="3" t="s">
        <v>2272</v>
      </c>
      <c r="P600" s="3" t="s">
        <v>2272</v>
      </c>
      <c r="Q600" s="3" t="s">
        <v>2272</v>
      </c>
      <c r="R600" s="3" t="s">
        <v>2272</v>
      </c>
      <c r="S600" s="3" t="s">
        <v>2272</v>
      </c>
      <c r="T600" s="3"/>
    </row>
    <row r="601" spans="1:20" ht="30.5" customHeight="1">
      <c r="A601" s="11" t="s">
        <v>3297</v>
      </c>
      <c r="B601" s="3" t="s">
        <v>31</v>
      </c>
      <c r="C601" s="3" t="s">
        <v>11</v>
      </c>
      <c r="D601" s="3" t="s">
        <v>5000</v>
      </c>
      <c r="E601" s="3" t="s">
        <v>128</v>
      </c>
      <c r="F601" s="3" t="s">
        <v>135</v>
      </c>
      <c r="G601" s="3" t="s">
        <v>2647</v>
      </c>
      <c r="H601" s="21">
        <f>17500/('Record info'!K601*100)</f>
        <v>0.109375</v>
      </c>
      <c r="I601" s="3" t="s">
        <v>2272</v>
      </c>
      <c r="J601" s="3" t="s">
        <v>2272</v>
      </c>
      <c r="K601" s="3" t="s">
        <v>2272</v>
      </c>
      <c r="L601" s="3" t="s">
        <v>2272</v>
      </c>
      <c r="M601" s="3" t="s">
        <v>2272</v>
      </c>
      <c r="N601" s="3" t="s">
        <v>2272</v>
      </c>
      <c r="O601" s="3" t="s">
        <v>2272</v>
      </c>
      <c r="P601" s="3" t="s">
        <v>2272</v>
      </c>
      <c r="Q601" s="3" t="s">
        <v>2272</v>
      </c>
      <c r="R601" s="3" t="s">
        <v>2272</v>
      </c>
      <c r="S601" s="3" t="s">
        <v>2272</v>
      </c>
      <c r="T601" s="3"/>
    </row>
    <row r="602" spans="1:20" ht="30.5" customHeight="1">
      <c r="A602" s="11" t="s">
        <v>3298</v>
      </c>
      <c r="B602" s="3" t="s">
        <v>31</v>
      </c>
      <c r="C602" s="3" t="s">
        <v>11</v>
      </c>
      <c r="D602" s="3" t="s">
        <v>5000</v>
      </c>
      <c r="E602" s="3" t="s">
        <v>128</v>
      </c>
      <c r="F602" s="3" t="s">
        <v>135</v>
      </c>
      <c r="G602" s="3" t="s">
        <v>2647</v>
      </c>
      <c r="H602" s="21">
        <f>17500/('Record info'!K602*100)</f>
        <v>0.109375</v>
      </c>
      <c r="I602" s="3" t="s">
        <v>2272</v>
      </c>
      <c r="J602" s="3" t="s">
        <v>2272</v>
      </c>
      <c r="K602" s="3" t="s">
        <v>2272</v>
      </c>
      <c r="L602" s="3" t="s">
        <v>2272</v>
      </c>
      <c r="M602" s="3" t="s">
        <v>2272</v>
      </c>
      <c r="N602" s="3" t="s">
        <v>2272</v>
      </c>
      <c r="O602" s="3" t="s">
        <v>2272</v>
      </c>
      <c r="P602" s="3" t="s">
        <v>2272</v>
      </c>
      <c r="Q602" s="3" t="s">
        <v>2272</v>
      </c>
      <c r="R602" s="3" t="s">
        <v>2272</v>
      </c>
      <c r="S602" s="3" t="s">
        <v>2272</v>
      </c>
      <c r="T602" s="3"/>
    </row>
    <row r="603" spans="1:20" ht="25.5" customHeight="1">
      <c r="A603" s="11" t="s">
        <v>3300</v>
      </c>
      <c r="B603" s="3" t="s">
        <v>68</v>
      </c>
      <c r="C603" s="3" t="s">
        <v>11</v>
      </c>
      <c r="D603" s="3" t="s">
        <v>5000</v>
      </c>
      <c r="E603" s="3" t="s">
        <v>2272</v>
      </c>
      <c r="F603" s="3" t="s">
        <v>2272</v>
      </c>
      <c r="G603" s="3" t="s">
        <v>2272</v>
      </c>
      <c r="H603" s="21">
        <f>5000/('Record info'!K603*100)</f>
        <v>3.125E-2</v>
      </c>
      <c r="I603" s="3" t="s">
        <v>2272</v>
      </c>
      <c r="J603" s="3" t="s">
        <v>2272</v>
      </c>
      <c r="K603" s="3" t="s">
        <v>2272</v>
      </c>
      <c r="L603" s="3" t="s">
        <v>2272</v>
      </c>
      <c r="M603" s="3" t="s">
        <v>2272</v>
      </c>
      <c r="N603" s="3" t="s">
        <v>2272</v>
      </c>
      <c r="O603" s="3" t="s">
        <v>2272</v>
      </c>
      <c r="P603" s="3" t="s">
        <v>2272</v>
      </c>
      <c r="Q603" s="3" t="s">
        <v>2272</v>
      </c>
      <c r="R603" s="3" t="s">
        <v>2272</v>
      </c>
      <c r="S603" s="3" t="s">
        <v>2272</v>
      </c>
      <c r="T603" s="3"/>
    </row>
    <row r="604" spans="1:20" ht="25.5" customHeight="1">
      <c r="A604" s="11" t="s">
        <v>3301</v>
      </c>
      <c r="B604" s="3" t="s">
        <v>68</v>
      </c>
      <c r="C604" s="3" t="s">
        <v>11</v>
      </c>
      <c r="D604" s="3" t="s">
        <v>5000</v>
      </c>
      <c r="E604" s="3" t="s">
        <v>2272</v>
      </c>
      <c r="F604" s="3" t="s">
        <v>2272</v>
      </c>
      <c r="G604" s="3" t="s">
        <v>2272</v>
      </c>
      <c r="H604" s="21">
        <v>3.125E-2</v>
      </c>
      <c r="I604" s="3" t="s">
        <v>2272</v>
      </c>
      <c r="J604" s="3" t="s">
        <v>2272</v>
      </c>
      <c r="K604" s="3" t="s">
        <v>2272</v>
      </c>
      <c r="L604" s="3" t="s">
        <v>2272</v>
      </c>
      <c r="M604" s="3" t="s">
        <v>2272</v>
      </c>
      <c r="N604" s="3" t="s">
        <v>2272</v>
      </c>
      <c r="O604" s="3" t="s">
        <v>2272</v>
      </c>
      <c r="P604" s="3" t="s">
        <v>2272</v>
      </c>
      <c r="Q604" s="3" t="s">
        <v>2272</v>
      </c>
      <c r="R604" s="3" t="s">
        <v>2272</v>
      </c>
      <c r="S604" s="3" t="s">
        <v>2272</v>
      </c>
      <c r="T604" s="3"/>
    </row>
    <row r="605" spans="1:20" ht="25.5" customHeight="1">
      <c r="A605" s="11" t="s">
        <v>3302</v>
      </c>
      <c r="B605" s="3" t="s">
        <v>68</v>
      </c>
      <c r="C605" s="3" t="s">
        <v>11</v>
      </c>
      <c r="D605" s="3" t="s">
        <v>5000</v>
      </c>
      <c r="E605" s="3" t="s">
        <v>2272</v>
      </c>
      <c r="F605" s="3" t="s">
        <v>2272</v>
      </c>
      <c r="G605" s="3" t="s">
        <v>2272</v>
      </c>
      <c r="H605" s="21">
        <v>3.125E-2</v>
      </c>
      <c r="I605" s="3" t="s">
        <v>2272</v>
      </c>
      <c r="J605" s="3" t="s">
        <v>2272</v>
      </c>
      <c r="K605" s="3" t="s">
        <v>2272</v>
      </c>
      <c r="L605" s="3" t="s">
        <v>2272</v>
      </c>
      <c r="M605" s="3" t="s">
        <v>2272</v>
      </c>
      <c r="N605" s="3" t="s">
        <v>2272</v>
      </c>
      <c r="O605" s="3" t="s">
        <v>2272</v>
      </c>
      <c r="P605" s="3" t="s">
        <v>2272</v>
      </c>
      <c r="Q605" s="3" t="s">
        <v>2272</v>
      </c>
      <c r="R605" s="3" t="s">
        <v>2272</v>
      </c>
      <c r="S605" s="3" t="s">
        <v>2272</v>
      </c>
      <c r="T605" s="3"/>
    </row>
    <row r="606" spans="1:20" ht="50.5" customHeight="1">
      <c r="A606" s="3" t="s">
        <v>3310</v>
      </c>
      <c r="B606" s="3" t="s">
        <v>31</v>
      </c>
      <c r="C606" s="3" t="s">
        <v>11</v>
      </c>
      <c r="D606" s="3" t="s">
        <v>114</v>
      </c>
      <c r="E606" s="4" t="s">
        <v>395</v>
      </c>
      <c r="F606" s="3" t="s">
        <v>135</v>
      </c>
      <c r="G606" s="3" t="s">
        <v>2272</v>
      </c>
      <c r="H606" s="3" t="s">
        <v>2272</v>
      </c>
      <c r="I606" s="3" t="s">
        <v>2272</v>
      </c>
      <c r="J606" s="3" t="s">
        <v>2272</v>
      </c>
      <c r="K606" s="3" t="s">
        <v>532</v>
      </c>
      <c r="L606" s="3" t="s">
        <v>2272</v>
      </c>
      <c r="M606" s="3" t="s">
        <v>2272</v>
      </c>
      <c r="N606" s="3" t="s">
        <v>2272</v>
      </c>
      <c r="O606" s="3" t="s">
        <v>2272</v>
      </c>
      <c r="P606" s="3" t="s">
        <v>2272</v>
      </c>
      <c r="Q606" s="3" t="s">
        <v>2272</v>
      </c>
      <c r="R606" s="3" t="s">
        <v>2272</v>
      </c>
      <c r="S606" s="3" t="s">
        <v>2272</v>
      </c>
      <c r="T606" s="4" t="s">
        <v>3334</v>
      </c>
    </row>
    <row r="607" spans="1:20" ht="39.5" customHeight="1">
      <c r="A607" s="3" t="s">
        <v>3347</v>
      </c>
      <c r="B607" s="3" t="s">
        <v>68</v>
      </c>
      <c r="C607" s="3" t="s">
        <v>11</v>
      </c>
      <c r="D607" s="3" t="s">
        <v>114</v>
      </c>
      <c r="E607" s="4" t="s">
        <v>395</v>
      </c>
      <c r="F607" s="3" t="s">
        <v>2272</v>
      </c>
      <c r="G607" s="3" t="s">
        <v>2272</v>
      </c>
      <c r="H607" s="3" t="s">
        <v>2272</v>
      </c>
      <c r="I607" s="3" t="s">
        <v>2272</v>
      </c>
      <c r="J607" s="21">
        <f>250000/81500</f>
        <v>3.0674846625766872</v>
      </c>
      <c r="K607" s="3" t="s">
        <v>2272</v>
      </c>
      <c r="L607" s="3" t="s">
        <v>2272</v>
      </c>
      <c r="M607" s="3" t="s">
        <v>2272</v>
      </c>
      <c r="N607" s="3" t="s">
        <v>2272</v>
      </c>
      <c r="O607" s="3" t="s">
        <v>2272</v>
      </c>
      <c r="P607" s="21">
        <f>81500/('Record info'!K607)</f>
        <v>77.990430622009569</v>
      </c>
      <c r="Q607" s="21" t="s">
        <v>2272</v>
      </c>
      <c r="R607" s="21">
        <f>23000/('Record info'!K607)</f>
        <v>22.009569377990431</v>
      </c>
      <c r="S607" s="3" t="s">
        <v>2272</v>
      </c>
      <c r="T607" s="19" t="s">
        <v>3349</v>
      </c>
    </row>
    <row r="608" spans="1:20" ht="37" customHeight="1">
      <c r="A608" s="11" t="s">
        <v>3359</v>
      </c>
      <c r="B608" s="3" t="s">
        <v>1193</v>
      </c>
      <c r="C608" s="3" t="s">
        <v>2641</v>
      </c>
      <c r="D608" s="3" t="s">
        <v>135</v>
      </c>
      <c r="E608" s="3" t="s">
        <v>2272</v>
      </c>
      <c r="F608" s="3" t="s">
        <v>2272</v>
      </c>
      <c r="G608" s="3" t="s">
        <v>2272</v>
      </c>
      <c r="H608" s="3" t="s">
        <v>2272</v>
      </c>
      <c r="I608" s="3" t="s">
        <v>2272</v>
      </c>
      <c r="J608" s="3" t="s">
        <v>2272</v>
      </c>
      <c r="K608" s="3" t="s">
        <v>2272</v>
      </c>
      <c r="L608" s="3" t="s">
        <v>2272</v>
      </c>
      <c r="M608" s="3" t="s">
        <v>2272</v>
      </c>
      <c r="N608" s="3" t="s">
        <v>2272</v>
      </c>
      <c r="O608" s="3" t="s">
        <v>2272</v>
      </c>
      <c r="P608" s="3" t="s">
        <v>2272</v>
      </c>
      <c r="Q608" s="3" t="s">
        <v>2272</v>
      </c>
      <c r="R608" s="3" t="s">
        <v>2272</v>
      </c>
      <c r="S608" s="3" t="s">
        <v>2272</v>
      </c>
      <c r="T608" s="3"/>
    </row>
    <row r="609" spans="1:20" ht="54" customHeight="1">
      <c r="A609" s="11" t="s">
        <v>3365</v>
      </c>
      <c r="B609" s="3" t="s">
        <v>31</v>
      </c>
      <c r="C609" s="3" t="s">
        <v>11</v>
      </c>
      <c r="D609" s="3" t="s">
        <v>5000</v>
      </c>
      <c r="E609" s="3" t="s">
        <v>82</v>
      </c>
      <c r="F609" s="3" t="s">
        <v>135</v>
      </c>
      <c r="G609" s="3" t="s">
        <v>860</v>
      </c>
      <c r="H609" s="3" t="s">
        <v>2272</v>
      </c>
      <c r="I609" s="3">
        <v>0.64</v>
      </c>
      <c r="J609" s="3" t="s">
        <v>2272</v>
      </c>
      <c r="K609" s="3" t="s">
        <v>532</v>
      </c>
      <c r="L609" s="3" t="s">
        <v>2272</v>
      </c>
      <c r="M609" s="3" t="s">
        <v>2272</v>
      </c>
      <c r="N609" s="3" t="s">
        <v>2272</v>
      </c>
      <c r="O609" s="3" t="s">
        <v>2272</v>
      </c>
      <c r="P609" s="3" t="s">
        <v>2272</v>
      </c>
      <c r="Q609" s="3" t="s">
        <v>2272</v>
      </c>
      <c r="R609" s="3" t="s">
        <v>2272</v>
      </c>
      <c r="S609" s="3" t="s">
        <v>2272</v>
      </c>
      <c r="T609" s="4" t="s">
        <v>5006</v>
      </c>
    </row>
    <row r="610" spans="1:20" ht="50.5" customHeight="1">
      <c r="A610" s="11" t="s">
        <v>3366</v>
      </c>
      <c r="B610" s="3" t="s">
        <v>31</v>
      </c>
      <c r="C610" s="3" t="s">
        <v>11</v>
      </c>
      <c r="D610" s="3" t="s">
        <v>5000</v>
      </c>
      <c r="E610" s="3" t="s">
        <v>82</v>
      </c>
      <c r="F610" s="3" t="s">
        <v>135</v>
      </c>
      <c r="G610" s="3" t="s">
        <v>860</v>
      </c>
      <c r="H610" s="3" t="s">
        <v>2272</v>
      </c>
      <c r="I610" s="3">
        <v>0.64</v>
      </c>
      <c r="J610" s="3" t="s">
        <v>2272</v>
      </c>
      <c r="K610" s="3" t="s">
        <v>532</v>
      </c>
      <c r="L610" s="3" t="s">
        <v>2272</v>
      </c>
      <c r="M610" s="3" t="s">
        <v>2272</v>
      </c>
      <c r="N610" s="3" t="s">
        <v>2272</v>
      </c>
      <c r="O610" s="3" t="s">
        <v>2272</v>
      </c>
      <c r="P610" s="3" t="s">
        <v>2272</v>
      </c>
      <c r="Q610" s="3" t="s">
        <v>2272</v>
      </c>
      <c r="R610" s="3" t="s">
        <v>2272</v>
      </c>
      <c r="S610" s="3" t="s">
        <v>2272</v>
      </c>
      <c r="T610" s="4" t="s">
        <v>5006</v>
      </c>
    </row>
    <row r="611" spans="1:20" ht="34.5" customHeight="1">
      <c r="A611" s="11" t="s">
        <v>3373</v>
      </c>
      <c r="B611" s="3" t="s">
        <v>31</v>
      </c>
      <c r="C611" s="3" t="s">
        <v>393</v>
      </c>
      <c r="D611" s="3" t="s">
        <v>5000</v>
      </c>
      <c r="E611" s="3" t="s">
        <v>2272</v>
      </c>
      <c r="F611" s="3" t="s">
        <v>2272</v>
      </c>
      <c r="G611" s="3" t="s">
        <v>2272</v>
      </c>
      <c r="H611" s="3" t="s">
        <v>2272</v>
      </c>
      <c r="I611" s="155">
        <f>(0.75*86+2*16+3*4)/(86+16+3)</f>
        <v>1.0333333333333334</v>
      </c>
      <c r="J611" s="3" t="s">
        <v>2272</v>
      </c>
      <c r="K611" s="3" t="s">
        <v>2272</v>
      </c>
      <c r="L611" s="3" t="s">
        <v>2272</v>
      </c>
      <c r="M611" s="3" t="s">
        <v>2272</v>
      </c>
      <c r="N611" s="3" t="s">
        <v>2272</v>
      </c>
      <c r="O611" s="3" t="s">
        <v>2272</v>
      </c>
      <c r="P611" s="3" t="s">
        <v>2272</v>
      </c>
      <c r="Q611" s="3" t="s">
        <v>2272</v>
      </c>
      <c r="R611" s="3" t="s">
        <v>2272</v>
      </c>
      <c r="S611" s="3" t="s">
        <v>2272</v>
      </c>
      <c r="T611" s="4" t="s">
        <v>5007</v>
      </c>
    </row>
    <row r="612" spans="1:20" ht="34.5" customHeight="1">
      <c r="A612" s="11" t="s">
        <v>3374</v>
      </c>
      <c r="B612" s="3" t="s">
        <v>31</v>
      </c>
      <c r="C612" s="3" t="s">
        <v>393</v>
      </c>
      <c r="D612" s="3" t="s">
        <v>5000</v>
      </c>
      <c r="E612" s="3" t="s">
        <v>2272</v>
      </c>
      <c r="F612" s="3" t="s">
        <v>2272</v>
      </c>
      <c r="G612" s="3" t="s">
        <v>2272</v>
      </c>
      <c r="H612" s="3" t="s">
        <v>2272</v>
      </c>
      <c r="I612" s="155">
        <f>(0.75*52+2*37+5*4)/(52+37+5)</f>
        <v>1.4148936170212767</v>
      </c>
      <c r="J612" s="3" t="s">
        <v>2272</v>
      </c>
      <c r="K612" s="3" t="s">
        <v>2272</v>
      </c>
      <c r="L612" s="3" t="s">
        <v>2272</v>
      </c>
      <c r="M612" s="3" t="s">
        <v>2272</v>
      </c>
      <c r="N612" s="3" t="s">
        <v>2272</v>
      </c>
      <c r="O612" s="3" t="s">
        <v>2272</v>
      </c>
      <c r="P612" s="3" t="s">
        <v>2272</v>
      </c>
      <c r="Q612" s="3" t="s">
        <v>2272</v>
      </c>
      <c r="R612" s="3" t="s">
        <v>2272</v>
      </c>
      <c r="S612" s="3" t="s">
        <v>2272</v>
      </c>
      <c r="T612" s="4" t="s">
        <v>5007</v>
      </c>
    </row>
    <row r="613" spans="1:20" ht="34.5" customHeight="1">
      <c r="A613" s="11" t="s">
        <v>3378</v>
      </c>
      <c r="B613" s="3" t="s">
        <v>31</v>
      </c>
      <c r="C613" s="3" t="s">
        <v>393</v>
      </c>
      <c r="D613" s="3" t="s">
        <v>5000</v>
      </c>
      <c r="E613" s="3" t="s">
        <v>2272</v>
      </c>
      <c r="F613" s="3" t="s">
        <v>2272</v>
      </c>
      <c r="G613" s="3" t="s">
        <v>2272</v>
      </c>
      <c r="H613" s="3" t="s">
        <v>2272</v>
      </c>
      <c r="I613" s="155">
        <f>(0.75*51+2*32+19*4)/(51+32+19)</f>
        <v>1.7475490196078431</v>
      </c>
      <c r="J613" s="3" t="s">
        <v>2272</v>
      </c>
      <c r="K613" s="3" t="s">
        <v>2272</v>
      </c>
      <c r="L613" s="3" t="s">
        <v>2272</v>
      </c>
      <c r="M613" s="3" t="s">
        <v>2272</v>
      </c>
      <c r="N613" s="3" t="s">
        <v>2272</v>
      </c>
      <c r="O613" s="3" t="s">
        <v>2272</v>
      </c>
      <c r="P613" s="3" t="s">
        <v>2272</v>
      </c>
      <c r="Q613" s="3" t="s">
        <v>2272</v>
      </c>
      <c r="R613" s="3" t="s">
        <v>2272</v>
      </c>
      <c r="S613" s="3" t="s">
        <v>2272</v>
      </c>
      <c r="T613" s="4" t="s">
        <v>5007</v>
      </c>
    </row>
    <row r="614" spans="1:20" ht="30.5" customHeight="1">
      <c r="A614" s="11" t="s">
        <v>3381</v>
      </c>
      <c r="B614" s="3" t="s">
        <v>68</v>
      </c>
      <c r="C614" s="3" t="s">
        <v>393</v>
      </c>
      <c r="D614" s="3" t="s">
        <v>5000</v>
      </c>
      <c r="E614" s="3" t="s">
        <v>2272</v>
      </c>
      <c r="F614" s="3" t="s">
        <v>2272</v>
      </c>
      <c r="G614" s="3" t="s">
        <v>2272</v>
      </c>
      <c r="H614" s="3" t="s">
        <v>2272</v>
      </c>
      <c r="I614" s="3" t="s">
        <v>2272</v>
      </c>
      <c r="J614" s="3" t="s">
        <v>2272</v>
      </c>
      <c r="K614" s="3" t="s">
        <v>2272</v>
      </c>
      <c r="L614" s="3" t="s">
        <v>2272</v>
      </c>
      <c r="M614" s="3" t="s">
        <v>2272</v>
      </c>
      <c r="N614" s="3" t="s">
        <v>2272</v>
      </c>
      <c r="O614" s="3" t="s">
        <v>2272</v>
      </c>
      <c r="P614" s="3" t="s">
        <v>2272</v>
      </c>
      <c r="Q614" s="3" t="s">
        <v>2272</v>
      </c>
      <c r="R614" s="3" t="s">
        <v>2272</v>
      </c>
      <c r="S614" s="3" t="s">
        <v>2272</v>
      </c>
      <c r="T614" s="3"/>
    </row>
    <row r="615" spans="1:20" ht="29" customHeight="1">
      <c r="A615" s="11" t="s">
        <v>3382</v>
      </c>
      <c r="B615" s="3" t="s">
        <v>31</v>
      </c>
      <c r="C615" s="3" t="s">
        <v>11</v>
      </c>
      <c r="D615" s="3" t="s">
        <v>5000</v>
      </c>
      <c r="E615" s="3" t="s">
        <v>44</v>
      </c>
      <c r="F615" s="3" t="s">
        <v>2272</v>
      </c>
      <c r="G615" s="3" t="s">
        <v>2272</v>
      </c>
      <c r="H615" s="3" t="s">
        <v>2272</v>
      </c>
      <c r="I615" s="3" t="s">
        <v>2272</v>
      </c>
      <c r="J615" s="3" t="s">
        <v>2272</v>
      </c>
      <c r="K615" s="3" t="s">
        <v>2272</v>
      </c>
      <c r="L615" s="3" t="s">
        <v>2272</v>
      </c>
      <c r="M615" s="3" t="s">
        <v>2272</v>
      </c>
      <c r="N615" s="3" t="s">
        <v>2272</v>
      </c>
      <c r="O615" s="3" t="s">
        <v>2272</v>
      </c>
      <c r="P615" s="3" t="s">
        <v>2272</v>
      </c>
      <c r="Q615" s="3" t="s">
        <v>2272</v>
      </c>
      <c r="R615" s="3" t="s">
        <v>2272</v>
      </c>
      <c r="S615" s="3" t="s">
        <v>2272</v>
      </c>
      <c r="T615" s="3"/>
    </row>
    <row r="616" spans="1:20" ht="28" customHeight="1">
      <c r="A616" s="11" t="s">
        <v>3383</v>
      </c>
      <c r="B616" s="3" t="s">
        <v>31</v>
      </c>
      <c r="C616" s="3" t="s">
        <v>11</v>
      </c>
      <c r="D616" s="3" t="s">
        <v>5000</v>
      </c>
      <c r="E616" s="3" t="s">
        <v>44</v>
      </c>
      <c r="F616" s="3" t="s">
        <v>2272</v>
      </c>
      <c r="G616" s="3" t="s">
        <v>2272</v>
      </c>
      <c r="H616" s="21">
        <f>AVERAGE(5.2, 0.5, 5.4, 5.2, 4.6, 2.3)</f>
        <v>3.8666666666666667</v>
      </c>
      <c r="I616" s="3">
        <v>175</v>
      </c>
      <c r="J616" s="3" t="s">
        <v>2272</v>
      </c>
      <c r="K616" s="3" t="s">
        <v>2272</v>
      </c>
      <c r="L616" s="3" t="s">
        <v>2272</v>
      </c>
      <c r="M616" s="3" t="s">
        <v>2272</v>
      </c>
      <c r="N616" s="3" t="s">
        <v>2272</v>
      </c>
      <c r="O616" s="3" t="s">
        <v>2272</v>
      </c>
      <c r="P616" s="3" t="s">
        <v>2272</v>
      </c>
      <c r="Q616" s="3" t="s">
        <v>2272</v>
      </c>
      <c r="R616" s="3" t="s">
        <v>2272</v>
      </c>
      <c r="S616" s="3" t="s">
        <v>2272</v>
      </c>
      <c r="T616" s="3"/>
    </row>
    <row r="617" spans="1:20" ht="38.5" customHeight="1">
      <c r="A617" s="11" t="s">
        <v>3408</v>
      </c>
      <c r="B617" s="3" t="s">
        <v>68</v>
      </c>
      <c r="C617" s="3" t="s">
        <v>11</v>
      </c>
      <c r="D617" s="3" t="s">
        <v>114</v>
      </c>
      <c r="E617" s="3" t="s">
        <v>2272</v>
      </c>
      <c r="F617" s="3" t="s">
        <v>2272</v>
      </c>
      <c r="G617" s="3" t="s">
        <v>2272</v>
      </c>
      <c r="H617" s="3" t="s">
        <v>2272</v>
      </c>
      <c r="I617" s="3" t="s">
        <v>2272</v>
      </c>
      <c r="J617" s="3" t="s">
        <v>2272</v>
      </c>
      <c r="K617" s="3" t="s">
        <v>2272</v>
      </c>
      <c r="L617" s="3" t="s">
        <v>2272</v>
      </c>
      <c r="M617" s="3" t="s">
        <v>2272</v>
      </c>
      <c r="N617" s="3" t="s">
        <v>2272</v>
      </c>
      <c r="O617" s="3" t="s">
        <v>2272</v>
      </c>
      <c r="P617" s="3" t="s">
        <v>2272</v>
      </c>
      <c r="Q617" s="3" t="s">
        <v>2272</v>
      </c>
      <c r="R617" s="3" t="s">
        <v>2272</v>
      </c>
      <c r="S617" s="3" t="s">
        <v>2272</v>
      </c>
      <c r="T617" s="3" t="s">
        <v>3411</v>
      </c>
    </row>
    <row r="618" spans="1:20" ht="36" customHeight="1">
      <c r="A618" s="11" t="s">
        <v>3421</v>
      </c>
      <c r="B618" s="3" t="s">
        <v>68</v>
      </c>
      <c r="C618" s="3" t="s">
        <v>393</v>
      </c>
      <c r="D618" s="3" t="s">
        <v>114</v>
      </c>
      <c r="E618" s="3" t="s">
        <v>2272</v>
      </c>
      <c r="F618" s="3" t="s">
        <v>2272</v>
      </c>
      <c r="G618" s="3" t="s">
        <v>2272</v>
      </c>
      <c r="H618" s="3" t="s">
        <v>2272</v>
      </c>
      <c r="I618" s="3" t="s">
        <v>2272</v>
      </c>
      <c r="J618" s="3" t="s">
        <v>2272</v>
      </c>
      <c r="K618" s="3" t="s">
        <v>2272</v>
      </c>
      <c r="L618" s="3" t="s">
        <v>2272</v>
      </c>
      <c r="M618" s="3" t="s">
        <v>2272</v>
      </c>
      <c r="N618" s="3" t="s">
        <v>2272</v>
      </c>
      <c r="O618" s="3" t="s">
        <v>2272</v>
      </c>
      <c r="P618" s="3" t="s">
        <v>2272</v>
      </c>
      <c r="Q618" s="3" t="s">
        <v>2272</v>
      </c>
      <c r="R618" s="3" t="s">
        <v>2272</v>
      </c>
      <c r="S618" s="3" t="s">
        <v>2272</v>
      </c>
      <c r="T618" s="3" t="s">
        <v>3411</v>
      </c>
    </row>
    <row r="619" spans="1:20" ht="39" customHeight="1">
      <c r="A619" s="11" t="s">
        <v>3440</v>
      </c>
      <c r="B619" s="3" t="s">
        <v>31</v>
      </c>
      <c r="C619" s="3" t="s">
        <v>393</v>
      </c>
      <c r="D619" s="3" t="s">
        <v>114</v>
      </c>
      <c r="E619" s="3" t="s">
        <v>2272</v>
      </c>
      <c r="F619" s="3" t="s">
        <v>2272</v>
      </c>
      <c r="G619" s="3" t="s">
        <v>2272</v>
      </c>
      <c r="H619" s="3" t="s">
        <v>2272</v>
      </c>
      <c r="I619" s="3" t="s">
        <v>2272</v>
      </c>
      <c r="J619" s="3" t="s">
        <v>2272</v>
      </c>
      <c r="K619" s="3" t="s">
        <v>2272</v>
      </c>
      <c r="L619" s="3" t="s">
        <v>2272</v>
      </c>
      <c r="M619" s="3" t="s">
        <v>2272</v>
      </c>
      <c r="N619" s="3" t="s">
        <v>2272</v>
      </c>
      <c r="O619" s="3" t="s">
        <v>2272</v>
      </c>
      <c r="P619" s="3" t="s">
        <v>2272</v>
      </c>
      <c r="Q619" s="3" t="s">
        <v>2272</v>
      </c>
      <c r="R619" s="3" t="s">
        <v>2272</v>
      </c>
      <c r="S619" s="3" t="s">
        <v>2272</v>
      </c>
      <c r="T619" s="3" t="s">
        <v>3411</v>
      </c>
    </row>
    <row r="620" spans="1:20" ht="43.5" customHeight="1">
      <c r="A620" s="11" t="s">
        <v>3455</v>
      </c>
      <c r="B620" s="3" t="s">
        <v>2254</v>
      </c>
      <c r="C620" s="3" t="s">
        <v>11</v>
      </c>
      <c r="D620" s="4" t="s">
        <v>128</v>
      </c>
      <c r="E620" s="4" t="s">
        <v>5000</v>
      </c>
      <c r="F620" s="3" t="s">
        <v>860</v>
      </c>
      <c r="G620" s="3" t="s">
        <v>114</v>
      </c>
      <c r="H620" s="3" t="s">
        <v>2272</v>
      </c>
      <c r="I620" s="3" t="s">
        <v>2272</v>
      </c>
      <c r="J620" s="3" t="s">
        <v>2272</v>
      </c>
      <c r="K620" s="3" t="s">
        <v>532</v>
      </c>
      <c r="L620" s="3" t="s">
        <v>2272</v>
      </c>
      <c r="M620" s="3" t="s">
        <v>2272</v>
      </c>
      <c r="N620" s="3" t="s">
        <v>2272</v>
      </c>
      <c r="O620" s="3" t="s">
        <v>2272</v>
      </c>
      <c r="P620" s="3" t="s">
        <v>2272</v>
      </c>
      <c r="Q620" s="3" t="s">
        <v>2272</v>
      </c>
      <c r="R620" s="3" t="s">
        <v>2272</v>
      </c>
      <c r="S620" s="3" t="s">
        <v>2272</v>
      </c>
      <c r="T620" s="4" t="s">
        <v>3459</v>
      </c>
    </row>
    <row r="621" spans="1:20" ht="33.5" customHeight="1">
      <c r="A621" s="11" t="s">
        <v>3486</v>
      </c>
      <c r="B621" s="3" t="s">
        <v>1193</v>
      </c>
      <c r="C621" s="3" t="s">
        <v>11</v>
      </c>
      <c r="D621" s="4" t="s">
        <v>395</v>
      </c>
      <c r="E621" s="4" t="s">
        <v>394</v>
      </c>
      <c r="F621" s="4" t="s">
        <v>44</v>
      </c>
      <c r="G621" s="3" t="s">
        <v>2272</v>
      </c>
      <c r="H621" s="3" t="s">
        <v>2272</v>
      </c>
      <c r="I621" s="3" t="s">
        <v>2272</v>
      </c>
      <c r="J621" s="3" t="s">
        <v>2272</v>
      </c>
      <c r="K621" s="3" t="s">
        <v>2272</v>
      </c>
      <c r="L621" s="3" t="s">
        <v>2272</v>
      </c>
      <c r="M621" s="3" t="s">
        <v>2272</v>
      </c>
      <c r="N621" s="3" t="s">
        <v>2272</v>
      </c>
      <c r="O621" s="3" t="s">
        <v>2272</v>
      </c>
      <c r="P621" s="3" t="s">
        <v>2272</v>
      </c>
      <c r="Q621" s="3" t="s">
        <v>2272</v>
      </c>
      <c r="R621" s="3" t="s">
        <v>2272</v>
      </c>
      <c r="S621" s="3" t="s">
        <v>2272</v>
      </c>
      <c r="T621" s="3" t="s">
        <v>3496</v>
      </c>
    </row>
    <row r="622" spans="1:20" ht="33.5" customHeight="1">
      <c r="A622" s="11" t="s">
        <v>3487</v>
      </c>
      <c r="B622" s="11" t="s">
        <v>2272</v>
      </c>
      <c r="C622" s="11" t="s">
        <v>2272</v>
      </c>
      <c r="D622" s="11" t="s">
        <v>2272</v>
      </c>
      <c r="E622" s="11" t="s">
        <v>2272</v>
      </c>
      <c r="F622" s="11" t="s">
        <v>2272</v>
      </c>
      <c r="G622" s="11" t="s">
        <v>2272</v>
      </c>
      <c r="H622" s="11" t="s">
        <v>2272</v>
      </c>
      <c r="I622" s="11" t="s">
        <v>2272</v>
      </c>
      <c r="J622" s="11" t="s">
        <v>2272</v>
      </c>
      <c r="K622" s="11" t="s">
        <v>2272</v>
      </c>
      <c r="L622" s="11" t="s">
        <v>2272</v>
      </c>
      <c r="M622" s="11" t="s">
        <v>2272</v>
      </c>
      <c r="N622" s="11" t="s">
        <v>2272</v>
      </c>
      <c r="O622" s="11" t="s">
        <v>2272</v>
      </c>
      <c r="P622" s="11" t="s">
        <v>2272</v>
      </c>
      <c r="Q622" s="11" t="s">
        <v>2272</v>
      </c>
      <c r="R622" s="11" t="s">
        <v>2272</v>
      </c>
      <c r="S622" s="11" t="s">
        <v>2272</v>
      </c>
      <c r="T622" s="11"/>
    </row>
    <row r="623" spans="1:20" ht="39.5" customHeight="1">
      <c r="A623" s="11" t="s">
        <v>3525</v>
      </c>
      <c r="B623" s="3" t="s">
        <v>68</v>
      </c>
      <c r="C623" s="3" t="s">
        <v>393</v>
      </c>
      <c r="D623" s="3" t="s">
        <v>5000</v>
      </c>
      <c r="E623" s="3" t="s">
        <v>114</v>
      </c>
      <c r="F623" s="3" t="s">
        <v>2272</v>
      </c>
      <c r="G623" s="3" t="s">
        <v>2272</v>
      </c>
      <c r="H623" s="3" t="s">
        <v>2272</v>
      </c>
      <c r="I623" s="3" t="s">
        <v>2272</v>
      </c>
      <c r="J623" s="3" t="s">
        <v>2272</v>
      </c>
      <c r="K623" s="3" t="s">
        <v>532</v>
      </c>
      <c r="L623" s="3" t="s">
        <v>2272</v>
      </c>
      <c r="M623" s="3" t="s">
        <v>2272</v>
      </c>
      <c r="N623" s="3" t="s">
        <v>2272</v>
      </c>
      <c r="O623" s="3" t="s">
        <v>2272</v>
      </c>
      <c r="P623" s="3" t="s">
        <v>2272</v>
      </c>
      <c r="Q623" s="3" t="s">
        <v>2272</v>
      </c>
      <c r="R623" s="3" t="s">
        <v>2272</v>
      </c>
      <c r="S623" s="3" t="s">
        <v>2272</v>
      </c>
      <c r="T623" s="3" t="s">
        <v>3545</v>
      </c>
    </row>
    <row r="624" spans="1:20" ht="39.5" customHeight="1">
      <c r="A624" s="34" t="s">
        <v>3527</v>
      </c>
      <c r="B624" s="35" t="s">
        <v>2272</v>
      </c>
      <c r="C624" s="35" t="s">
        <v>11</v>
      </c>
      <c r="D624" s="35" t="s">
        <v>5000</v>
      </c>
      <c r="E624" s="35" t="s">
        <v>860</v>
      </c>
      <c r="F624" s="35" t="s">
        <v>2647</v>
      </c>
      <c r="G624" s="35" t="s">
        <v>2272</v>
      </c>
      <c r="H624" s="14">
        <f>(8000+1200+3500+700)/(2000*100)</f>
        <v>6.7000000000000004E-2</v>
      </c>
      <c r="I624" s="35" t="s">
        <v>2272</v>
      </c>
      <c r="J624" s="35" t="s">
        <v>2272</v>
      </c>
      <c r="K624" s="35" t="s">
        <v>532</v>
      </c>
      <c r="L624" s="35" t="s">
        <v>2272</v>
      </c>
      <c r="M624" s="35" t="s">
        <v>2272</v>
      </c>
      <c r="N624" s="35" t="s">
        <v>2272</v>
      </c>
      <c r="O624" s="35" t="s">
        <v>2272</v>
      </c>
      <c r="P624" s="35" t="s">
        <v>2272</v>
      </c>
      <c r="Q624" s="35" t="s">
        <v>2272</v>
      </c>
      <c r="R624" s="35" t="s">
        <v>2272</v>
      </c>
      <c r="S624" s="35" t="s">
        <v>2272</v>
      </c>
      <c r="T624" s="35" t="s">
        <v>3546</v>
      </c>
    </row>
    <row r="625" spans="1:20" ht="35.5" customHeight="1">
      <c r="A625" s="11" t="s">
        <v>3572</v>
      </c>
      <c r="B625" s="3" t="s">
        <v>2254</v>
      </c>
      <c r="C625" s="3" t="s">
        <v>11</v>
      </c>
      <c r="D625" s="3" t="s">
        <v>5000</v>
      </c>
      <c r="E625" s="3" t="s">
        <v>135</v>
      </c>
      <c r="F625" s="3" t="s">
        <v>2272</v>
      </c>
      <c r="G625" s="3" t="s">
        <v>2272</v>
      </c>
      <c r="H625" s="3" t="s">
        <v>2272</v>
      </c>
      <c r="I625" s="3" t="s">
        <v>2272</v>
      </c>
      <c r="J625" s="3" t="s">
        <v>2272</v>
      </c>
      <c r="K625" s="3" t="s">
        <v>2272</v>
      </c>
      <c r="L625" s="3" t="s">
        <v>2272</v>
      </c>
      <c r="M625" s="3" t="s">
        <v>2272</v>
      </c>
      <c r="N625" s="3" t="s">
        <v>2272</v>
      </c>
      <c r="O625" s="3" t="s">
        <v>2272</v>
      </c>
      <c r="P625" s="3" t="s">
        <v>2272</v>
      </c>
      <c r="Q625" s="3" t="s">
        <v>2272</v>
      </c>
      <c r="R625" s="3" t="s">
        <v>2272</v>
      </c>
      <c r="S625" s="3" t="s">
        <v>2272</v>
      </c>
      <c r="T625" s="4" t="s">
        <v>3579</v>
      </c>
    </row>
    <row r="626" spans="1:20" ht="22" customHeight="1">
      <c r="A626" s="11" t="s">
        <v>3581</v>
      </c>
      <c r="B626" s="3" t="s">
        <v>31</v>
      </c>
      <c r="C626" s="3" t="s">
        <v>11</v>
      </c>
      <c r="D626" s="3" t="s">
        <v>5000</v>
      </c>
      <c r="E626" s="3" t="s">
        <v>128</v>
      </c>
      <c r="F626" s="3" t="s">
        <v>44</v>
      </c>
      <c r="G626" s="3" t="s">
        <v>2272</v>
      </c>
      <c r="H626" s="3" t="s">
        <v>2272</v>
      </c>
      <c r="I626" s="21">
        <v>2</v>
      </c>
      <c r="J626" s="3" t="s">
        <v>2272</v>
      </c>
      <c r="K626" s="3" t="s">
        <v>2272</v>
      </c>
      <c r="L626" s="3" t="s">
        <v>2272</v>
      </c>
      <c r="M626" s="3" t="s">
        <v>2272</v>
      </c>
      <c r="N626" s="3" t="s">
        <v>2272</v>
      </c>
      <c r="O626" s="3" t="s">
        <v>2272</v>
      </c>
      <c r="P626" s="21">
        <v>20.92</v>
      </c>
      <c r="Q626" s="3" t="s">
        <v>2272</v>
      </c>
      <c r="R626" s="3" t="s">
        <v>2272</v>
      </c>
      <c r="S626" s="3" t="s">
        <v>2272</v>
      </c>
      <c r="T626" s="3" t="s">
        <v>3593</v>
      </c>
    </row>
    <row r="627" spans="1:20" ht="22" customHeight="1">
      <c r="A627" s="11" t="s">
        <v>3584</v>
      </c>
      <c r="B627" s="3" t="s">
        <v>31</v>
      </c>
      <c r="C627" s="3" t="s">
        <v>11</v>
      </c>
      <c r="D627" s="3" t="s">
        <v>5000</v>
      </c>
      <c r="E627" s="3" t="s">
        <v>128</v>
      </c>
      <c r="F627" s="3" t="s">
        <v>44</v>
      </c>
      <c r="G627" s="3" t="s">
        <v>2272</v>
      </c>
      <c r="H627" s="3" t="s">
        <v>2272</v>
      </c>
      <c r="I627" s="21">
        <v>2.79</v>
      </c>
      <c r="J627" s="3" t="s">
        <v>2272</v>
      </c>
      <c r="K627" s="3" t="s">
        <v>2272</v>
      </c>
      <c r="L627" s="3" t="s">
        <v>2272</v>
      </c>
      <c r="M627" s="3" t="s">
        <v>2272</v>
      </c>
      <c r="N627" s="3" t="s">
        <v>2272</v>
      </c>
      <c r="O627" s="3" t="s">
        <v>2272</v>
      </c>
      <c r="P627" s="21">
        <v>13.1</v>
      </c>
      <c r="Q627" s="3" t="s">
        <v>2272</v>
      </c>
      <c r="R627" s="3" t="s">
        <v>2272</v>
      </c>
      <c r="S627" s="3" t="s">
        <v>2272</v>
      </c>
      <c r="T627" s="3" t="s">
        <v>3593</v>
      </c>
    </row>
    <row r="628" spans="1:20" ht="22" customHeight="1">
      <c r="A628" s="11" t="s">
        <v>3585</v>
      </c>
      <c r="B628" s="3" t="s">
        <v>31</v>
      </c>
      <c r="C628" s="3" t="s">
        <v>11</v>
      </c>
      <c r="D628" s="3" t="s">
        <v>5000</v>
      </c>
      <c r="E628" s="3" t="s">
        <v>128</v>
      </c>
      <c r="F628" s="3" t="s">
        <v>44</v>
      </c>
      <c r="G628" s="3" t="s">
        <v>2272</v>
      </c>
      <c r="H628" s="3" t="s">
        <v>2272</v>
      </c>
      <c r="I628" s="21">
        <v>3.33</v>
      </c>
      <c r="J628" s="3" t="s">
        <v>2272</v>
      </c>
      <c r="K628" s="3" t="s">
        <v>2272</v>
      </c>
      <c r="L628" s="3" t="s">
        <v>2272</v>
      </c>
      <c r="M628" s="3" t="s">
        <v>2272</v>
      </c>
      <c r="N628" s="3" t="s">
        <v>2272</v>
      </c>
      <c r="O628" s="3" t="s">
        <v>2272</v>
      </c>
      <c r="P628" s="21">
        <v>14.33</v>
      </c>
      <c r="Q628" s="3" t="s">
        <v>2272</v>
      </c>
      <c r="R628" s="3" t="s">
        <v>2272</v>
      </c>
      <c r="S628" s="3" t="s">
        <v>2272</v>
      </c>
      <c r="T628" s="3" t="s">
        <v>3593</v>
      </c>
    </row>
    <row r="629" spans="1:20" ht="22" customHeight="1">
      <c r="A629" s="11" t="s">
        <v>3586</v>
      </c>
      <c r="B629" s="3" t="s">
        <v>31</v>
      </c>
      <c r="C629" s="3" t="s">
        <v>11</v>
      </c>
      <c r="D629" s="3" t="s">
        <v>5000</v>
      </c>
      <c r="E629" s="3" t="s">
        <v>128</v>
      </c>
      <c r="F629" s="3" t="s">
        <v>44</v>
      </c>
      <c r="G629" s="3" t="s">
        <v>2272</v>
      </c>
      <c r="H629" s="3" t="s">
        <v>2272</v>
      </c>
      <c r="I629" s="21">
        <v>2.09</v>
      </c>
      <c r="J629" s="3" t="s">
        <v>2272</v>
      </c>
      <c r="K629" s="3" t="s">
        <v>2272</v>
      </c>
      <c r="L629" s="3" t="s">
        <v>2272</v>
      </c>
      <c r="M629" s="3" t="s">
        <v>2272</v>
      </c>
      <c r="N629" s="3" t="s">
        <v>2272</v>
      </c>
      <c r="O629" s="3" t="s">
        <v>2272</v>
      </c>
      <c r="P629" s="21">
        <v>9.17</v>
      </c>
      <c r="Q629" s="3" t="s">
        <v>2272</v>
      </c>
      <c r="R629" s="3" t="s">
        <v>2272</v>
      </c>
      <c r="S629" s="3" t="s">
        <v>2272</v>
      </c>
      <c r="T629" s="3" t="s">
        <v>3593</v>
      </c>
    </row>
    <row r="630" spans="1:20" ht="26" customHeight="1">
      <c r="A630" s="11" t="s">
        <v>3587</v>
      </c>
      <c r="B630" s="3" t="s">
        <v>31</v>
      </c>
      <c r="C630" s="3" t="s">
        <v>11</v>
      </c>
      <c r="D630" s="3" t="s">
        <v>5000</v>
      </c>
      <c r="E630" s="3" t="s">
        <v>128</v>
      </c>
      <c r="F630" s="3" t="s">
        <v>44</v>
      </c>
      <c r="G630" s="3" t="s">
        <v>2272</v>
      </c>
      <c r="H630" s="3" t="s">
        <v>2272</v>
      </c>
      <c r="I630" s="21">
        <v>1.19</v>
      </c>
      <c r="J630" s="3" t="s">
        <v>2272</v>
      </c>
      <c r="K630" s="3" t="s">
        <v>2272</v>
      </c>
      <c r="L630" s="3" t="s">
        <v>2272</v>
      </c>
      <c r="M630" s="3" t="s">
        <v>2272</v>
      </c>
      <c r="N630" s="3" t="s">
        <v>2272</v>
      </c>
      <c r="O630" s="3" t="s">
        <v>2272</v>
      </c>
      <c r="P630" s="21">
        <v>4.24</v>
      </c>
      <c r="Q630" s="3" t="s">
        <v>2272</v>
      </c>
      <c r="R630" s="3" t="s">
        <v>2272</v>
      </c>
      <c r="S630" s="3" t="s">
        <v>2272</v>
      </c>
      <c r="T630" s="3" t="s">
        <v>3593</v>
      </c>
    </row>
    <row r="631" spans="1:20" ht="34.5" customHeight="1">
      <c r="A631" s="11" t="s">
        <v>3609</v>
      </c>
      <c r="B631" s="3" t="s">
        <v>2272</v>
      </c>
      <c r="C631" s="3" t="s">
        <v>11</v>
      </c>
      <c r="D631" s="3" t="s">
        <v>5000</v>
      </c>
      <c r="E631" s="3" t="s">
        <v>44</v>
      </c>
      <c r="F631" s="3" t="s">
        <v>2272</v>
      </c>
      <c r="G631" s="3" t="s">
        <v>2272</v>
      </c>
      <c r="H631" s="3" t="s">
        <v>2272</v>
      </c>
      <c r="I631" s="3" t="s">
        <v>2272</v>
      </c>
      <c r="J631" s="3" t="s">
        <v>2272</v>
      </c>
      <c r="K631" s="3" t="s">
        <v>2272</v>
      </c>
      <c r="L631" s="3" t="s">
        <v>2272</v>
      </c>
      <c r="M631" s="3" t="s">
        <v>2272</v>
      </c>
      <c r="N631" s="3" t="s">
        <v>2272</v>
      </c>
      <c r="O631" s="3" t="s">
        <v>2272</v>
      </c>
      <c r="P631" s="3" t="s">
        <v>2272</v>
      </c>
      <c r="Q631" s="3" t="s">
        <v>2272</v>
      </c>
      <c r="R631" s="3" t="s">
        <v>2272</v>
      </c>
      <c r="S631" s="3" t="s">
        <v>2272</v>
      </c>
      <c r="T631" s="3" t="s">
        <v>3612</v>
      </c>
    </row>
    <row r="632" spans="1:20" ht="34" customHeight="1">
      <c r="A632" s="11" t="s">
        <v>3620</v>
      </c>
      <c r="B632" s="3" t="s">
        <v>2272</v>
      </c>
      <c r="C632" s="3" t="s">
        <v>11</v>
      </c>
      <c r="D632" s="3" t="s">
        <v>128</v>
      </c>
      <c r="E632" s="3" t="s">
        <v>135</v>
      </c>
      <c r="F632" s="3" t="s">
        <v>2272</v>
      </c>
      <c r="G632" s="3" t="s">
        <v>2272</v>
      </c>
      <c r="H632" s="3" t="s">
        <v>2272</v>
      </c>
      <c r="I632" s="3" t="s">
        <v>2272</v>
      </c>
      <c r="J632" s="3" t="s">
        <v>2272</v>
      </c>
      <c r="K632" s="3" t="s">
        <v>2272</v>
      </c>
      <c r="L632" s="3" t="s">
        <v>2272</v>
      </c>
      <c r="M632" s="3" t="s">
        <v>2272</v>
      </c>
      <c r="N632" s="3" t="s">
        <v>2272</v>
      </c>
      <c r="O632" s="3" t="s">
        <v>2272</v>
      </c>
      <c r="P632" s="3" t="s">
        <v>2272</v>
      </c>
      <c r="Q632" s="3" t="s">
        <v>2272</v>
      </c>
      <c r="R632" s="3" t="s">
        <v>2272</v>
      </c>
      <c r="S632" s="3" t="s">
        <v>2272</v>
      </c>
      <c r="T632" s="3"/>
    </row>
    <row r="633" spans="1:20" ht="34" customHeight="1">
      <c r="A633" s="11" t="s">
        <v>3621</v>
      </c>
      <c r="B633" s="3" t="s">
        <v>2272</v>
      </c>
      <c r="C633" s="3" t="s">
        <v>11</v>
      </c>
      <c r="D633" s="3" t="s">
        <v>128</v>
      </c>
      <c r="E633" s="3" t="s">
        <v>135</v>
      </c>
      <c r="F633" s="3" t="s">
        <v>2272</v>
      </c>
      <c r="G633" s="3" t="s">
        <v>2272</v>
      </c>
      <c r="H633" s="3" t="s">
        <v>2272</v>
      </c>
      <c r="I633" s="3" t="s">
        <v>2272</v>
      </c>
      <c r="J633" s="3" t="s">
        <v>2272</v>
      </c>
      <c r="K633" s="3" t="s">
        <v>2272</v>
      </c>
      <c r="L633" s="3" t="s">
        <v>2272</v>
      </c>
      <c r="M633" s="3" t="s">
        <v>2272</v>
      </c>
      <c r="N633" s="3" t="s">
        <v>2272</v>
      </c>
      <c r="O633" s="3" t="s">
        <v>2272</v>
      </c>
      <c r="P633" s="3" t="s">
        <v>2272</v>
      </c>
      <c r="Q633" s="3" t="s">
        <v>2272</v>
      </c>
      <c r="R633" s="3" t="s">
        <v>2272</v>
      </c>
      <c r="S633" s="3" t="s">
        <v>2272</v>
      </c>
      <c r="T633" s="3"/>
    </row>
    <row r="634" spans="1:20" ht="34" customHeight="1">
      <c r="A634" s="11" t="s">
        <v>3624</v>
      </c>
      <c r="B634" s="3" t="s">
        <v>2272</v>
      </c>
      <c r="C634" s="3" t="s">
        <v>11</v>
      </c>
      <c r="D634" s="3" t="s">
        <v>128</v>
      </c>
      <c r="E634" s="3" t="s">
        <v>135</v>
      </c>
      <c r="F634" s="3" t="s">
        <v>2272</v>
      </c>
      <c r="G634" s="3" t="s">
        <v>2272</v>
      </c>
      <c r="H634" s="3" t="s">
        <v>2272</v>
      </c>
      <c r="I634" s="3" t="s">
        <v>2272</v>
      </c>
      <c r="J634" s="3" t="s">
        <v>2272</v>
      </c>
      <c r="K634" s="3" t="s">
        <v>2272</v>
      </c>
      <c r="L634" s="3" t="s">
        <v>2272</v>
      </c>
      <c r="M634" s="3" t="s">
        <v>2272</v>
      </c>
      <c r="N634" s="3" t="s">
        <v>2272</v>
      </c>
      <c r="O634" s="3" t="s">
        <v>2272</v>
      </c>
      <c r="P634" s="3" t="s">
        <v>2272</v>
      </c>
      <c r="Q634" s="3" t="s">
        <v>2272</v>
      </c>
      <c r="R634" s="3" t="s">
        <v>2272</v>
      </c>
      <c r="S634" s="3" t="s">
        <v>2272</v>
      </c>
      <c r="T634" s="3"/>
    </row>
    <row r="635" spans="1:20" ht="34" customHeight="1">
      <c r="A635" s="11" t="s">
        <v>3625</v>
      </c>
      <c r="B635" s="3" t="s">
        <v>2272</v>
      </c>
      <c r="C635" s="3" t="s">
        <v>11</v>
      </c>
      <c r="D635" s="3" t="s">
        <v>114</v>
      </c>
      <c r="E635" s="3" t="s">
        <v>128</v>
      </c>
      <c r="F635" s="3" t="s">
        <v>135</v>
      </c>
      <c r="G635" s="3" t="s">
        <v>2272</v>
      </c>
      <c r="H635" s="3" t="s">
        <v>2272</v>
      </c>
      <c r="I635" s="3" t="s">
        <v>2272</v>
      </c>
      <c r="J635" s="3" t="s">
        <v>2272</v>
      </c>
      <c r="K635" s="3" t="s">
        <v>2272</v>
      </c>
      <c r="L635" s="3" t="s">
        <v>2272</v>
      </c>
      <c r="M635" s="3" t="s">
        <v>2272</v>
      </c>
      <c r="N635" s="3" t="s">
        <v>2272</v>
      </c>
      <c r="O635" s="3" t="s">
        <v>2272</v>
      </c>
      <c r="P635" s="3" t="s">
        <v>2272</v>
      </c>
      <c r="Q635" s="3" t="s">
        <v>2272</v>
      </c>
      <c r="R635" s="3" t="s">
        <v>2272</v>
      </c>
      <c r="S635" s="3" t="s">
        <v>2272</v>
      </c>
      <c r="T635" s="3" t="s">
        <v>3458</v>
      </c>
    </row>
    <row r="636" spans="1:20" ht="33" customHeight="1">
      <c r="A636" s="11" t="s">
        <v>3659</v>
      </c>
      <c r="B636" s="3" t="s">
        <v>1193</v>
      </c>
      <c r="C636" s="3" t="s">
        <v>11</v>
      </c>
      <c r="D636" s="4" t="s">
        <v>394</v>
      </c>
      <c r="E636" s="4" t="s">
        <v>395</v>
      </c>
      <c r="F636" s="3" t="s">
        <v>44</v>
      </c>
      <c r="G636" s="3" t="s">
        <v>114</v>
      </c>
      <c r="H636" s="3" t="s">
        <v>2272</v>
      </c>
      <c r="I636" s="3" t="s">
        <v>2272</v>
      </c>
      <c r="J636" s="3" t="s">
        <v>2272</v>
      </c>
      <c r="K636" s="3" t="s">
        <v>2272</v>
      </c>
      <c r="L636" s="3" t="s">
        <v>2272</v>
      </c>
      <c r="M636" s="3" t="s">
        <v>2272</v>
      </c>
      <c r="N636" s="3" t="s">
        <v>2272</v>
      </c>
      <c r="O636" s="3" t="s">
        <v>2272</v>
      </c>
      <c r="P636" s="3" t="s">
        <v>2272</v>
      </c>
      <c r="Q636" s="3" t="s">
        <v>2272</v>
      </c>
      <c r="R636" s="3" t="s">
        <v>2272</v>
      </c>
      <c r="S636" s="3" t="s">
        <v>2272</v>
      </c>
      <c r="T636" s="3" t="s">
        <v>3668</v>
      </c>
    </row>
    <row r="637" spans="1:20" ht="37" customHeight="1">
      <c r="A637" s="11" t="s">
        <v>3661</v>
      </c>
      <c r="B637" s="3" t="s">
        <v>69</v>
      </c>
      <c r="C637" s="3" t="s">
        <v>2640</v>
      </c>
      <c r="D637" s="3" t="s">
        <v>82</v>
      </c>
      <c r="E637" s="4" t="s">
        <v>394</v>
      </c>
      <c r="F637" s="4" t="s">
        <v>395</v>
      </c>
      <c r="G637" s="3" t="s">
        <v>2272</v>
      </c>
      <c r="H637" s="3" t="s">
        <v>2272</v>
      </c>
      <c r="I637" s="3" t="s">
        <v>2272</v>
      </c>
      <c r="J637" s="3" t="s">
        <v>2272</v>
      </c>
      <c r="K637" s="3" t="s">
        <v>2272</v>
      </c>
      <c r="L637" s="3" t="s">
        <v>2272</v>
      </c>
      <c r="M637" s="3" t="s">
        <v>2272</v>
      </c>
      <c r="N637" s="3" t="s">
        <v>2272</v>
      </c>
      <c r="O637" s="3" t="s">
        <v>2272</v>
      </c>
      <c r="P637" s="21">
        <f>((16+3.6+1.4+0.1)*1000000)/'Record info'!K636</f>
        <v>53.997753079279448</v>
      </c>
      <c r="Q637" s="3" t="s">
        <v>2272</v>
      </c>
      <c r="R637" s="3" t="s">
        <v>2272</v>
      </c>
      <c r="S637" s="3" t="s">
        <v>2272</v>
      </c>
      <c r="T637" s="3"/>
    </row>
    <row r="638" spans="1:20" ht="39" customHeight="1">
      <c r="A638" s="11" t="s">
        <v>3695</v>
      </c>
      <c r="B638" s="3" t="s">
        <v>31</v>
      </c>
      <c r="C638" s="3" t="s">
        <v>11</v>
      </c>
      <c r="D638" s="3" t="s">
        <v>5000</v>
      </c>
      <c r="E638" s="4" t="s">
        <v>395</v>
      </c>
      <c r="F638" s="3" t="s">
        <v>2644</v>
      </c>
      <c r="G638" s="3" t="s">
        <v>2647</v>
      </c>
      <c r="H638" s="3" t="s">
        <v>2272</v>
      </c>
      <c r="I638" s="3">
        <v>0.05</v>
      </c>
      <c r="J638" s="3" t="s">
        <v>2272</v>
      </c>
      <c r="K638" t="s">
        <v>532</v>
      </c>
      <c r="L638" s="3" t="s">
        <v>2272</v>
      </c>
      <c r="M638" s="14">
        <f>434.5/(30854)</f>
        <v>1.4082452842419135E-2</v>
      </c>
      <c r="N638" s="3" t="s">
        <v>2272</v>
      </c>
      <c r="O638" s="3" t="s">
        <v>2272</v>
      </c>
      <c r="P638" s="3" t="s">
        <v>2272</v>
      </c>
      <c r="Q638" s="3" t="s">
        <v>2272</v>
      </c>
      <c r="R638" s="3" t="s">
        <v>2272</v>
      </c>
      <c r="S638" s="3" t="s">
        <v>2272</v>
      </c>
      <c r="T638" s="3"/>
    </row>
    <row r="639" spans="1:20" ht="38.5" customHeight="1">
      <c r="A639" s="11" t="s">
        <v>3696</v>
      </c>
      <c r="B639" s="3" t="s">
        <v>68</v>
      </c>
      <c r="C639" s="3" t="s">
        <v>11</v>
      </c>
      <c r="D639" s="3" t="s">
        <v>5000</v>
      </c>
      <c r="E639" s="4" t="s">
        <v>395</v>
      </c>
      <c r="F639" s="3" t="s">
        <v>135</v>
      </c>
      <c r="G639" s="3" t="s">
        <v>2272</v>
      </c>
      <c r="H639" s="3" t="s">
        <v>2272</v>
      </c>
      <c r="I639" s="3">
        <v>0.05</v>
      </c>
      <c r="J639" s="3" t="s">
        <v>2272</v>
      </c>
      <c r="K639" s="3" t="s">
        <v>2272</v>
      </c>
      <c r="L639" s="3" t="s">
        <v>2272</v>
      </c>
      <c r="M639" s="3" t="s">
        <v>2272</v>
      </c>
      <c r="N639" s="3" t="s">
        <v>2272</v>
      </c>
      <c r="O639" s="3" t="s">
        <v>2272</v>
      </c>
      <c r="P639" s="3" t="s">
        <v>2272</v>
      </c>
      <c r="Q639" s="3" t="s">
        <v>2272</v>
      </c>
      <c r="R639" s="3" t="s">
        <v>2272</v>
      </c>
      <c r="S639" s="3" t="s">
        <v>2272</v>
      </c>
      <c r="T639" s="3"/>
    </row>
    <row r="640" spans="1:20" ht="39.5" customHeight="1">
      <c r="A640" s="11" t="s">
        <v>3711</v>
      </c>
      <c r="B640" s="3" t="s">
        <v>31</v>
      </c>
      <c r="C640" s="3" t="s">
        <v>11</v>
      </c>
      <c r="D640" s="3" t="s">
        <v>114</v>
      </c>
      <c r="E640" s="3" t="s">
        <v>128</v>
      </c>
      <c r="F640" s="3" t="s">
        <v>135</v>
      </c>
      <c r="G640" s="3" t="s">
        <v>2647</v>
      </c>
      <c r="H640" s="3" t="s">
        <v>2272</v>
      </c>
      <c r="I640" s="3" t="s">
        <v>2272</v>
      </c>
      <c r="J640" s="3" t="s">
        <v>2272</v>
      </c>
      <c r="K640" s="3" t="s">
        <v>2272</v>
      </c>
      <c r="L640" s="3" t="s">
        <v>2272</v>
      </c>
      <c r="M640" s="3" t="s">
        <v>2272</v>
      </c>
      <c r="N640" s="3" t="s">
        <v>2272</v>
      </c>
      <c r="O640" s="3" t="s">
        <v>2272</v>
      </c>
      <c r="P640" s="3" t="s">
        <v>2272</v>
      </c>
      <c r="Q640" s="3" t="s">
        <v>2272</v>
      </c>
      <c r="R640" s="3" t="s">
        <v>2272</v>
      </c>
      <c r="S640" s="3" t="s">
        <v>2272</v>
      </c>
      <c r="T640" s="3" t="s">
        <v>3458</v>
      </c>
    </row>
    <row r="641" spans="1:20" ht="41" customHeight="1">
      <c r="A641" s="11" t="s">
        <v>3732</v>
      </c>
      <c r="B641" s="11" t="s">
        <v>68</v>
      </c>
      <c r="C641" s="3" t="s">
        <v>393</v>
      </c>
      <c r="D641" s="3" t="s">
        <v>5000</v>
      </c>
      <c r="E641" s="3" t="s">
        <v>2272</v>
      </c>
      <c r="F641" s="3" t="s">
        <v>2272</v>
      </c>
      <c r="G641" s="3" t="s">
        <v>2272</v>
      </c>
      <c r="H641" s="3" t="s">
        <v>2272</v>
      </c>
      <c r="I641" s="3" t="s">
        <v>2272</v>
      </c>
      <c r="J641" s="3" t="s">
        <v>2272</v>
      </c>
      <c r="K641" s="3" t="s">
        <v>2272</v>
      </c>
      <c r="L641" s="3" t="s">
        <v>2272</v>
      </c>
      <c r="M641" s="3" t="s">
        <v>2272</v>
      </c>
      <c r="N641" s="3" t="s">
        <v>2272</v>
      </c>
      <c r="O641" s="3" t="s">
        <v>2272</v>
      </c>
      <c r="P641" s="3" t="s">
        <v>2272</v>
      </c>
      <c r="Q641" s="3" t="s">
        <v>2272</v>
      </c>
      <c r="R641" s="3" t="s">
        <v>2272</v>
      </c>
      <c r="S641" s="3" t="s">
        <v>2272</v>
      </c>
      <c r="T641" s="3"/>
    </row>
    <row r="642" spans="1:20" ht="43" customHeight="1">
      <c r="A642" s="11" t="s">
        <v>3747</v>
      </c>
      <c r="B642" s="3" t="s">
        <v>2272</v>
      </c>
      <c r="C642" s="3" t="s">
        <v>393</v>
      </c>
      <c r="D642" s="3" t="s">
        <v>5000</v>
      </c>
      <c r="E642" s="3" t="s">
        <v>2272</v>
      </c>
      <c r="F642" s="3" t="s">
        <v>2272</v>
      </c>
      <c r="G642" s="3" t="s">
        <v>2272</v>
      </c>
      <c r="H642" s="3" t="s">
        <v>2272</v>
      </c>
      <c r="I642" s="3" t="s">
        <v>2272</v>
      </c>
      <c r="J642" s="3" t="s">
        <v>2272</v>
      </c>
      <c r="K642" s="3" t="s">
        <v>2272</v>
      </c>
      <c r="L642" s="3" t="s">
        <v>2272</v>
      </c>
      <c r="M642" s="3" t="s">
        <v>2272</v>
      </c>
      <c r="N642" s="3" t="s">
        <v>2272</v>
      </c>
      <c r="O642" s="3" t="s">
        <v>2272</v>
      </c>
      <c r="P642" s="3" t="s">
        <v>2272</v>
      </c>
      <c r="Q642" s="3" t="s">
        <v>2272</v>
      </c>
      <c r="R642" s="3" t="s">
        <v>2272</v>
      </c>
      <c r="S642" s="3" t="s">
        <v>2272</v>
      </c>
      <c r="T642" s="3"/>
    </row>
    <row r="643" spans="1:20" ht="43" customHeight="1">
      <c r="A643" s="11" t="s">
        <v>3753</v>
      </c>
      <c r="B643" s="3" t="s">
        <v>2272</v>
      </c>
      <c r="C643" s="3" t="s">
        <v>393</v>
      </c>
      <c r="D643" s="3" t="s">
        <v>5000</v>
      </c>
      <c r="E643" s="3" t="s">
        <v>128</v>
      </c>
      <c r="F643" s="3" t="s">
        <v>2272</v>
      </c>
      <c r="G643" s="3" t="s">
        <v>2272</v>
      </c>
      <c r="H643" s="3" t="s">
        <v>2272</v>
      </c>
      <c r="I643" s="3" t="s">
        <v>2272</v>
      </c>
      <c r="J643" s="3" t="s">
        <v>2272</v>
      </c>
      <c r="K643" s="3" t="s">
        <v>2272</v>
      </c>
      <c r="L643" s="3" t="s">
        <v>2272</v>
      </c>
      <c r="M643" s="3" t="s">
        <v>2272</v>
      </c>
      <c r="N643" s="3" t="s">
        <v>2272</v>
      </c>
      <c r="O643" s="3" t="s">
        <v>2272</v>
      </c>
      <c r="P643" s="3" t="s">
        <v>2272</v>
      </c>
      <c r="Q643" s="3" t="s">
        <v>2272</v>
      </c>
      <c r="R643" s="3" t="s">
        <v>2272</v>
      </c>
      <c r="S643" s="3" t="s">
        <v>2272</v>
      </c>
      <c r="T643" s="3"/>
    </row>
    <row r="644" spans="1:20" ht="38.5" customHeight="1">
      <c r="A644" s="11" t="s">
        <v>3764</v>
      </c>
      <c r="B644" s="3" t="s">
        <v>68</v>
      </c>
      <c r="C644" s="3" t="s">
        <v>11</v>
      </c>
      <c r="D644" s="3" t="s">
        <v>44</v>
      </c>
      <c r="E644" s="4" t="s">
        <v>395</v>
      </c>
      <c r="F644" s="3" t="s">
        <v>114</v>
      </c>
      <c r="G644" s="3" t="s">
        <v>135</v>
      </c>
      <c r="H644" s="3" t="s">
        <v>2272</v>
      </c>
      <c r="I644" s="3" t="s">
        <v>2272</v>
      </c>
      <c r="J644" s="3" t="s">
        <v>2272</v>
      </c>
      <c r="K644" s="3" t="s">
        <v>2272</v>
      </c>
      <c r="L644" s="3" t="s">
        <v>2272</v>
      </c>
      <c r="M644" s="3" t="s">
        <v>2272</v>
      </c>
      <c r="N644" s="3" t="s">
        <v>2272</v>
      </c>
      <c r="O644" s="3" t="s">
        <v>2272</v>
      </c>
      <c r="P644" s="3" t="s">
        <v>2272</v>
      </c>
      <c r="Q644" s="3" t="s">
        <v>2272</v>
      </c>
      <c r="R644" s="3" t="s">
        <v>2272</v>
      </c>
      <c r="S644" s="3" t="s">
        <v>2272</v>
      </c>
      <c r="T644" s="3" t="s">
        <v>3768</v>
      </c>
    </row>
    <row r="645" spans="1:20" ht="35.5" customHeight="1">
      <c r="A645" s="11" t="s">
        <v>3778</v>
      </c>
      <c r="B645" s="3" t="s">
        <v>2272</v>
      </c>
      <c r="C645" s="3" t="s">
        <v>11</v>
      </c>
      <c r="D645" s="3" t="s">
        <v>44</v>
      </c>
      <c r="E645" s="4" t="s">
        <v>128</v>
      </c>
      <c r="F645" s="3" t="s">
        <v>114</v>
      </c>
      <c r="G645" s="3" t="s">
        <v>135</v>
      </c>
      <c r="H645" s="3" t="s">
        <v>2272</v>
      </c>
      <c r="I645" s="3" t="s">
        <v>2272</v>
      </c>
      <c r="J645" s="3" t="s">
        <v>2272</v>
      </c>
      <c r="K645" s="3" t="s">
        <v>532</v>
      </c>
      <c r="L645" s="3" t="s">
        <v>2272</v>
      </c>
      <c r="M645" s="3" t="s">
        <v>2272</v>
      </c>
      <c r="N645" s="3" t="s">
        <v>2272</v>
      </c>
      <c r="O645" s="3" t="s">
        <v>2272</v>
      </c>
      <c r="P645" s="3" t="s">
        <v>2272</v>
      </c>
      <c r="Q645" s="3" t="s">
        <v>2272</v>
      </c>
      <c r="R645" s="3" t="s">
        <v>2272</v>
      </c>
      <c r="S645" s="3" t="s">
        <v>2272</v>
      </c>
      <c r="T645" s="3" t="s">
        <v>3787</v>
      </c>
    </row>
    <row r="646" spans="1:20" ht="38" customHeight="1">
      <c r="A646" s="11" t="s">
        <v>3792</v>
      </c>
      <c r="B646" s="3" t="s">
        <v>2272</v>
      </c>
      <c r="C646" s="3" t="s">
        <v>393</v>
      </c>
      <c r="D646" s="3" t="s">
        <v>128</v>
      </c>
      <c r="E646" s="3" t="s">
        <v>114</v>
      </c>
      <c r="F646" s="3" t="s">
        <v>44</v>
      </c>
      <c r="G646" s="3" t="s">
        <v>2272</v>
      </c>
      <c r="H646" s="3" t="s">
        <v>2272</v>
      </c>
      <c r="I646" s="3" t="s">
        <v>2272</v>
      </c>
      <c r="J646" s="3" t="s">
        <v>2272</v>
      </c>
      <c r="K646" s="3" t="s">
        <v>2272</v>
      </c>
      <c r="L646" s="3" t="s">
        <v>2272</v>
      </c>
      <c r="M646" s="3" t="s">
        <v>2272</v>
      </c>
      <c r="N646" s="3" t="s">
        <v>2272</v>
      </c>
      <c r="O646" s="3" t="s">
        <v>2272</v>
      </c>
      <c r="P646" s="3" t="s">
        <v>2272</v>
      </c>
      <c r="Q646" s="3" t="s">
        <v>2272</v>
      </c>
      <c r="R646" s="3" t="s">
        <v>2272</v>
      </c>
      <c r="S646" s="3" t="s">
        <v>2272</v>
      </c>
      <c r="T646" s="3" t="s">
        <v>3458</v>
      </c>
    </row>
    <row r="647" spans="1:20" ht="37.5" customHeight="1">
      <c r="A647" s="11" t="s">
        <v>3811</v>
      </c>
      <c r="B647" s="3" t="s">
        <v>2272</v>
      </c>
      <c r="C647" s="3" t="s">
        <v>393</v>
      </c>
      <c r="D647" s="3" t="s">
        <v>128</v>
      </c>
      <c r="E647" s="3" t="s">
        <v>114</v>
      </c>
      <c r="F647" s="3" t="s">
        <v>44</v>
      </c>
      <c r="G647" s="3" t="s">
        <v>2272</v>
      </c>
      <c r="H647" s="3" t="s">
        <v>2272</v>
      </c>
      <c r="I647" s="3" t="s">
        <v>2272</v>
      </c>
      <c r="J647" s="3" t="s">
        <v>2272</v>
      </c>
      <c r="K647" s="3" t="s">
        <v>532</v>
      </c>
      <c r="L647" s="3" t="s">
        <v>2272</v>
      </c>
      <c r="M647" s="3" t="s">
        <v>2272</v>
      </c>
      <c r="N647" s="3" t="s">
        <v>2272</v>
      </c>
      <c r="O647" s="3" t="s">
        <v>2272</v>
      </c>
      <c r="P647" s="3" t="s">
        <v>2272</v>
      </c>
      <c r="Q647" s="3" t="s">
        <v>2272</v>
      </c>
      <c r="R647" s="3" t="s">
        <v>2272</v>
      </c>
      <c r="S647" s="3" t="s">
        <v>2272</v>
      </c>
      <c r="T647" s="3" t="s">
        <v>3820</v>
      </c>
    </row>
    <row r="648" spans="1:20" ht="37.5" customHeight="1">
      <c r="A648" s="19" t="s">
        <v>3827</v>
      </c>
      <c r="B648" s="4" t="s">
        <v>31</v>
      </c>
      <c r="C648" s="4" t="s">
        <v>11</v>
      </c>
      <c r="D648" s="4" t="s">
        <v>5000</v>
      </c>
      <c r="E648" s="4" t="s">
        <v>395</v>
      </c>
      <c r="F648" s="4" t="s">
        <v>114</v>
      </c>
      <c r="G648" s="3" t="s">
        <v>2272</v>
      </c>
      <c r="H648" s="3" t="s">
        <v>2272</v>
      </c>
      <c r="I648" s="3">
        <v>1</v>
      </c>
      <c r="J648" s="3" t="s">
        <v>2272</v>
      </c>
      <c r="K648" s="3" t="s">
        <v>532</v>
      </c>
      <c r="L648" s="3" t="s">
        <v>2272</v>
      </c>
      <c r="M648" s="3" t="s">
        <v>2272</v>
      </c>
      <c r="N648" s="3" t="s">
        <v>2272</v>
      </c>
      <c r="O648" s="3" t="s">
        <v>2272</v>
      </c>
      <c r="P648" s="3" t="s">
        <v>2272</v>
      </c>
      <c r="Q648" s="3" t="s">
        <v>2272</v>
      </c>
      <c r="R648" s="3" t="s">
        <v>2272</v>
      </c>
      <c r="S648" s="3" t="s">
        <v>2272</v>
      </c>
      <c r="T648" s="3" t="s">
        <v>3832</v>
      </c>
    </row>
    <row r="649" spans="1:20" ht="37.5" customHeight="1">
      <c r="A649" s="19" t="s">
        <v>3830</v>
      </c>
      <c r="B649" s="19" t="s">
        <v>2272</v>
      </c>
      <c r="C649" s="19" t="s">
        <v>11</v>
      </c>
      <c r="D649" s="19" t="s">
        <v>128</v>
      </c>
      <c r="E649" s="11" t="s">
        <v>114</v>
      </c>
      <c r="F649" s="11" t="s">
        <v>44</v>
      </c>
      <c r="G649" s="11" t="s">
        <v>135</v>
      </c>
      <c r="H649" s="3" t="s">
        <v>2272</v>
      </c>
      <c r="I649" s="3" t="s">
        <v>2272</v>
      </c>
      <c r="J649" s="3" t="s">
        <v>2272</v>
      </c>
      <c r="K649" s="3" t="s">
        <v>2272</v>
      </c>
      <c r="L649" s="3" t="s">
        <v>2272</v>
      </c>
      <c r="M649" s="3" t="s">
        <v>2272</v>
      </c>
      <c r="N649" s="3" t="s">
        <v>2272</v>
      </c>
      <c r="O649" s="3" t="s">
        <v>2272</v>
      </c>
      <c r="P649" s="3" t="s">
        <v>2272</v>
      </c>
      <c r="Q649" s="3" t="s">
        <v>2272</v>
      </c>
      <c r="R649" s="3" t="s">
        <v>2272</v>
      </c>
      <c r="S649" s="3" t="s">
        <v>2272</v>
      </c>
      <c r="T649" s="11"/>
    </row>
    <row r="650" spans="1:20" ht="35" customHeight="1">
      <c r="A650" s="11" t="s">
        <v>3836</v>
      </c>
      <c r="B650" s="3" t="s">
        <v>2272</v>
      </c>
      <c r="C650" s="3" t="s">
        <v>393</v>
      </c>
      <c r="D650" s="3" t="s">
        <v>5000</v>
      </c>
      <c r="E650" s="3" t="s">
        <v>2272</v>
      </c>
      <c r="F650" s="3" t="s">
        <v>2272</v>
      </c>
      <c r="G650" s="3" t="s">
        <v>2272</v>
      </c>
      <c r="H650" s="3" t="s">
        <v>2272</v>
      </c>
      <c r="I650" s="3" t="s">
        <v>2272</v>
      </c>
      <c r="J650" s="3" t="s">
        <v>2272</v>
      </c>
      <c r="K650" s="3" t="s">
        <v>2272</v>
      </c>
      <c r="L650" s="3" t="s">
        <v>2272</v>
      </c>
      <c r="M650" s="3" t="s">
        <v>2272</v>
      </c>
      <c r="N650" s="3" t="s">
        <v>2272</v>
      </c>
      <c r="O650" s="3" t="s">
        <v>2272</v>
      </c>
      <c r="P650" s="3" t="s">
        <v>2272</v>
      </c>
      <c r="Q650" s="3" t="s">
        <v>2272</v>
      </c>
      <c r="R650" s="3" t="s">
        <v>2272</v>
      </c>
      <c r="S650" s="3" t="s">
        <v>2272</v>
      </c>
      <c r="T650" s="3"/>
    </row>
    <row r="651" spans="1:20" ht="44" customHeight="1">
      <c r="A651" s="11" t="s">
        <v>3845</v>
      </c>
      <c r="B651" s="3" t="s">
        <v>31</v>
      </c>
      <c r="C651" s="3" t="s">
        <v>11</v>
      </c>
      <c r="D651" s="4" t="s">
        <v>3849</v>
      </c>
      <c r="E651" s="4" t="s">
        <v>3850</v>
      </c>
      <c r="F651" s="3" t="s">
        <v>135</v>
      </c>
      <c r="G651" s="3" t="s">
        <v>114</v>
      </c>
      <c r="H651" s="3" t="s">
        <v>2272</v>
      </c>
      <c r="I651" s="3" t="s">
        <v>2272</v>
      </c>
      <c r="J651" s="3" t="s">
        <v>2272</v>
      </c>
      <c r="K651" s="3" t="s">
        <v>535</v>
      </c>
      <c r="L651" s="3" t="s">
        <v>2272</v>
      </c>
      <c r="M651" s="3" t="s">
        <v>2272</v>
      </c>
      <c r="N651" s="3" t="s">
        <v>2272</v>
      </c>
      <c r="O651" s="3" t="s">
        <v>2272</v>
      </c>
      <c r="P651" s="3" t="s">
        <v>2272</v>
      </c>
      <c r="Q651" s="3" t="s">
        <v>2272</v>
      </c>
      <c r="R651" s="3" t="s">
        <v>2272</v>
      </c>
      <c r="S651" s="3" t="s">
        <v>2272</v>
      </c>
      <c r="T651" s="4" t="s">
        <v>3851</v>
      </c>
    </row>
    <row r="652" spans="1:20" ht="44.5" customHeight="1">
      <c r="A652" s="11" t="s">
        <v>3856</v>
      </c>
      <c r="B652" s="3" t="s">
        <v>31</v>
      </c>
      <c r="C652" s="3" t="s">
        <v>11</v>
      </c>
      <c r="D652" s="3" t="s">
        <v>114</v>
      </c>
      <c r="E652" s="3" t="s">
        <v>2644</v>
      </c>
      <c r="F652" s="3" t="s">
        <v>135</v>
      </c>
      <c r="G652" s="3" t="s">
        <v>128</v>
      </c>
      <c r="H652" s="3" t="s">
        <v>2272</v>
      </c>
      <c r="I652" s="3" t="s">
        <v>2272</v>
      </c>
      <c r="J652" s="3" t="s">
        <v>2272</v>
      </c>
      <c r="K652" s="3" t="s">
        <v>535</v>
      </c>
      <c r="L652" s="3" t="s">
        <v>2272</v>
      </c>
      <c r="M652" s="3" t="s">
        <v>2272</v>
      </c>
      <c r="N652" s="3" t="s">
        <v>2272</v>
      </c>
      <c r="O652" s="3" t="s">
        <v>2272</v>
      </c>
      <c r="P652" s="3" t="s">
        <v>2272</v>
      </c>
      <c r="Q652" s="3" t="s">
        <v>2272</v>
      </c>
      <c r="R652" s="3" t="s">
        <v>2272</v>
      </c>
      <c r="S652" s="3" t="s">
        <v>2272</v>
      </c>
      <c r="T652" s="19" t="s">
        <v>3859</v>
      </c>
    </row>
    <row r="653" spans="1:20" ht="43" customHeight="1">
      <c r="A653" s="11" t="s">
        <v>3887</v>
      </c>
      <c r="B653" s="3" t="s">
        <v>2272</v>
      </c>
      <c r="C653" s="3" t="s">
        <v>393</v>
      </c>
      <c r="D653" s="3" t="s">
        <v>128</v>
      </c>
      <c r="E653" s="3" t="s">
        <v>5000</v>
      </c>
      <c r="F653" s="3" t="s">
        <v>44</v>
      </c>
      <c r="G653" s="3" t="s">
        <v>2272</v>
      </c>
      <c r="H653" s="3" t="s">
        <v>2272</v>
      </c>
      <c r="I653" s="3" t="s">
        <v>2272</v>
      </c>
      <c r="J653" s="3" t="s">
        <v>2272</v>
      </c>
      <c r="K653" s="3" t="s">
        <v>532</v>
      </c>
      <c r="L653" s="3" t="s">
        <v>2272</v>
      </c>
      <c r="M653" s="3" t="s">
        <v>2272</v>
      </c>
      <c r="N653" s="3" t="s">
        <v>2272</v>
      </c>
      <c r="O653" s="3" t="s">
        <v>2272</v>
      </c>
      <c r="P653" s="3" t="s">
        <v>2272</v>
      </c>
      <c r="Q653" s="3" t="s">
        <v>2272</v>
      </c>
      <c r="R653" s="3" t="s">
        <v>2272</v>
      </c>
      <c r="S653" s="3" t="s">
        <v>2272</v>
      </c>
      <c r="T653" s="3" t="s">
        <v>3891</v>
      </c>
    </row>
    <row r="654" spans="1:20" ht="45.5" customHeight="1">
      <c r="A654" s="11" t="s">
        <v>3888</v>
      </c>
      <c r="B654" s="3" t="s">
        <v>2272</v>
      </c>
      <c r="C654" s="3" t="s">
        <v>393</v>
      </c>
      <c r="D654" s="3" t="s">
        <v>128</v>
      </c>
      <c r="E654" s="3" t="s">
        <v>44</v>
      </c>
      <c r="F654" s="3" t="s">
        <v>5000</v>
      </c>
      <c r="G654" s="3" t="s">
        <v>2272</v>
      </c>
      <c r="H654" s="3" t="s">
        <v>2272</v>
      </c>
      <c r="I654" s="3" t="s">
        <v>2272</v>
      </c>
      <c r="J654" s="3" t="s">
        <v>2272</v>
      </c>
      <c r="K654" s="3" t="s">
        <v>532</v>
      </c>
      <c r="L654" s="3" t="s">
        <v>2272</v>
      </c>
      <c r="M654" s="3" t="s">
        <v>2272</v>
      </c>
      <c r="N654" s="3" t="s">
        <v>2272</v>
      </c>
      <c r="O654" s="3" t="s">
        <v>2272</v>
      </c>
      <c r="P654" s="3" t="s">
        <v>2272</v>
      </c>
      <c r="Q654" s="3" t="s">
        <v>2272</v>
      </c>
      <c r="R654" s="3" t="s">
        <v>2272</v>
      </c>
      <c r="S654" s="3" t="s">
        <v>2272</v>
      </c>
      <c r="T654" s="3" t="s">
        <v>3891</v>
      </c>
    </row>
    <row r="655" spans="1:20" ht="39.5" customHeight="1">
      <c r="A655" s="11" t="s">
        <v>3896</v>
      </c>
      <c r="B655" s="3" t="s">
        <v>2272</v>
      </c>
      <c r="C655" s="3" t="s">
        <v>393</v>
      </c>
      <c r="D655" s="3" t="s">
        <v>5000</v>
      </c>
      <c r="E655" s="3" t="s">
        <v>128</v>
      </c>
      <c r="F655" s="4" t="s">
        <v>395</v>
      </c>
      <c r="G655" s="3" t="s">
        <v>2272</v>
      </c>
      <c r="H655" s="3" t="s">
        <v>2272</v>
      </c>
      <c r="I655" s="3" t="s">
        <v>2272</v>
      </c>
      <c r="J655" s="3" t="s">
        <v>2272</v>
      </c>
      <c r="K655" s="3" t="s">
        <v>532</v>
      </c>
      <c r="L655" s="3" t="s">
        <v>2272</v>
      </c>
      <c r="M655" s="3" t="s">
        <v>2272</v>
      </c>
      <c r="N655" s="3" t="s">
        <v>2272</v>
      </c>
      <c r="O655" s="3" t="s">
        <v>2272</v>
      </c>
      <c r="P655" s="3" t="s">
        <v>2272</v>
      </c>
      <c r="Q655" s="3" t="s">
        <v>2272</v>
      </c>
      <c r="R655" s="3" t="s">
        <v>2272</v>
      </c>
      <c r="S655" s="3" t="s">
        <v>2272</v>
      </c>
      <c r="T655" s="3" t="s">
        <v>3908</v>
      </c>
    </row>
    <row r="656" spans="1:20" ht="39.5" customHeight="1">
      <c r="A656" s="11" t="s">
        <v>3902</v>
      </c>
      <c r="B656" s="3" t="s">
        <v>2272</v>
      </c>
      <c r="C656" s="3" t="s">
        <v>393</v>
      </c>
      <c r="D656" s="3" t="s">
        <v>5000</v>
      </c>
      <c r="E656" s="3" t="s">
        <v>128</v>
      </c>
      <c r="F656" s="4" t="s">
        <v>395</v>
      </c>
      <c r="G656" s="3" t="s">
        <v>2272</v>
      </c>
      <c r="H656" s="3" t="s">
        <v>2272</v>
      </c>
      <c r="I656" s="3" t="s">
        <v>2272</v>
      </c>
      <c r="J656" s="3" t="s">
        <v>2272</v>
      </c>
      <c r="K656" s="3" t="s">
        <v>532</v>
      </c>
      <c r="L656" s="3" t="s">
        <v>2272</v>
      </c>
      <c r="M656" s="3" t="s">
        <v>2272</v>
      </c>
      <c r="N656" s="3" t="s">
        <v>2272</v>
      </c>
      <c r="O656" s="3" t="s">
        <v>2272</v>
      </c>
      <c r="P656" s="3" t="s">
        <v>2272</v>
      </c>
      <c r="Q656" s="3" t="s">
        <v>2272</v>
      </c>
      <c r="R656" s="3" t="s">
        <v>2272</v>
      </c>
      <c r="S656" s="3" t="s">
        <v>2272</v>
      </c>
      <c r="T656" s="3" t="s">
        <v>3908</v>
      </c>
    </row>
    <row r="657" spans="1:20" ht="39.5" customHeight="1">
      <c r="A657" s="11" t="s">
        <v>3904</v>
      </c>
      <c r="B657" s="3" t="s">
        <v>2272</v>
      </c>
      <c r="C657" s="3" t="s">
        <v>393</v>
      </c>
      <c r="D657" s="3" t="s">
        <v>5000</v>
      </c>
      <c r="E657" s="3" t="s">
        <v>128</v>
      </c>
      <c r="F657" s="4" t="s">
        <v>395</v>
      </c>
      <c r="G657" s="3" t="s">
        <v>2272</v>
      </c>
      <c r="H657" s="3" t="s">
        <v>2272</v>
      </c>
      <c r="I657" s="3" t="s">
        <v>2272</v>
      </c>
      <c r="J657" s="3" t="s">
        <v>2272</v>
      </c>
      <c r="K657" s="3" t="s">
        <v>532</v>
      </c>
      <c r="L657" s="3" t="s">
        <v>2272</v>
      </c>
      <c r="M657" s="3" t="s">
        <v>2272</v>
      </c>
      <c r="N657" s="3" t="s">
        <v>2272</v>
      </c>
      <c r="O657" s="3" t="s">
        <v>2272</v>
      </c>
      <c r="P657" s="3" t="s">
        <v>2272</v>
      </c>
      <c r="Q657" s="3" t="s">
        <v>2272</v>
      </c>
      <c r="R657" s="3" t="s">
        <v>2272</v>
      </c>
      <c r="S657" s="3" t="s">
        <v>2272</v>
      </c>
      <c r="T657" s="3" t="s">
        <v>3908</v>
      </c>
    </row>
    <row r="658" spans="1:20" ht="39.5" customHeight="1">
      <c r="A658" s="11" t="s">
        <v>3903</v>
      </c>
      <c r="B658" s="3" t="s">
        <v>2272</v>
      </c>
      <c r="C658" s="3" t="s">
        <v>393</v>
      </c>
      <c r="D658" s="3" t="s">
        <v>5000</v>
      </c>
      <c r="E658" s="3" t="s">
        <v>128</v>
      </c>
      <c r="F658" s="4" t="s">
        <v>395</v>
      </c>
      <c r="G658" s="3" t="s">
        <v>2272</v>
      </c>
      <c r="H658" s="3" t="s">
        <v>2272</v>
      </c>
      <c r="I658" s="3" t="s">
        <v>2272</v>
      </c>
      <c r="J658" s="3" t="s">
        <v>2272</v>
      </c>
      <c r="K658" s="3" t="s">
        <v>532</v>
      </c>
      <c r="L658" s="3" t="s">
        <v>2272</v>
      </c>
      <c r="M658" s="3" t="s">
        <v>2272</v>
      </c>
      <c r="N658" s="3" t="s">
        <v>2272</v>
      </c>
      <c r="O658" s="3" t="s">
        <v>2272</v>
      </c>
      <c r="P658" s="3" t="s">
        <v>2272</v>
      </c>
      <c r="Q658" s="3" t="s">
        <v>2272</v>
      </c>
      <c r="R658" s="3" t="s">
        <v>2272</v>
      </c>
      <c r="S658" s="3" t="s">
        <v>2272</v>
      </c>
      <c r="T658" s="3" t="s">
        <v>3908</v>
      </c>
    </row>
    <row r="659" spans="1:20" ht="39.5" customHeight="1">
      <c r="A659" s="11" t="s">
        <v>3905</v>
      </c>
      <c r="B659" s="3" t="s">
        <v>2272</v>
      </c>
      <c r="C659" s="3" t="s">
        <v>393</v>
      </c>
      <c r="D659" s="3" t="s">
        <v>5000</v>
      </c>
      <c r="E659" s="3" t="s">
        <v>128</v>
      </c>
      <c r="F659" s="4" t="s">
        <v>395</v>
      </c>
      <c r="G659" s="3" t="s">
        <v>2272</v>
      </c>
      <c r="H659" s="3" t="s">
        <v>2272</v>
      </c>
      <c r="I659" s="3" t="s">
        <v>2272</v>
      </c>
      <c r="J659" s="3" t="s">
        <v>2272</v>
      </c>
      <c r="K659" s="3" t="s">
        <v>532</v>
      </c>
      <c r="L659" s="3" t="s">
        <v>2272</v>
      </c>
      <c r="M659" s="3" t="s">
        <v>2272</v>
      </c>
      <c r="N659" s="3" t="s">
        <v>2272</v>
      </c>
      <c r="O659" s="3" t="s">
        <v>2272</v>
      </c>
      <c r="P659" s="3" t="s">
        <v>2272</v>
      </c>
      <c r="Q659" s="3" t="s">
        <v>2272</v>
      </c>
      <c r="R659" s="3" t="s">
        <v>2272</v>
      </c>
      <c r="S659" s="3" t="s">
        <v>2272</v>
      </c>
      <c r="T659" s="3" t="s">
        <v>3908</v>
      </c>
    </row>
    <row r="660" spans="1:20" ht="39.5" customHeight="1">
      <c r="A660" s="11" t="s">
        <v>3906</v>
      </c>
      <c r="B660" s="3" t="s">
        <v>2272</v>
      </c>
      <c r="C660" s="3" t="s">
        <v>393</v>
      </c>
      <c r="D660" s="3" t="s">
        <v>5000</v>
      </c>
      <c r="E660" s="3" t="s">
        <v>128</v>
      </c>
      <c r="F660" s="4" t="s">
        <v>395</v>
      </c>
      <c r="G660" s="3" t="s">
        <v>2272</v>
      </c>
      <c r="H660" s="3" t="s">
        <v>2272</v>
      </c>
      <c r="I660" s="3" t="s">
        <v>2272</v>
      </c>
      <c r="J660" s="3" t="s">
        <v>2272</v>
      </c>
      <c r="K660" s="3" t="s">
        <v>532</v>
      </c>
      <c r="L660" s="3" t="s">
        <v>2272</v>
      </c>
      <c r="M660" s="3" t="s">
        <v>2272</v>
      </c>
      <c r="N660" s="3" t="s">
        <v>2272</v>
      </c>
      <c r="O660" s="3" t="s">
        <v>2272</v>
      </c>
      <c r="P660" s="3" t="s">
        <v>2272</v>
      </c>
      <c r="Q660" s="3" t="s">
        <v>2272</v>
      </c>
      <c r="R660" s="3" t="s">
        <v>2272</v>
      </c>
      <c r="S660" s="3" t="s">
        <v>2272</v>
      </c>
      <c r="T660" s="3" t="s">
        <v>3908</v>
      </c>
    </row>
    <row r="661" spans="1:20" ht="37.5" customHeight="1">
      <c r="A661" s="11" t="s">
        <v>3916</v>
      </c>
      <c r="B661" s="3" t="s">
        <v>2272</v>
      </c>
      <c r="C661" s="3" t="s">
        <v>11</v>
      </c>
      <c r="D661" s="3" t="s">
        <v>5000</v>
      </c>
      <c r="E661" s="4" t="s">
        <v>395</v>
      </c>
      <c r="F661" s="4" t="s">
        <v>394</v>
      </c>
      <c r="G661" s="3" t="s">
        <v>2272</v>
      </c>
      <c r="H661" s="3" t="s">
        <v>2272</v>
      </c>
      <c r="I661" s="3" t="s">
        <v>2272</v>
      </c>
      <c r="J661" s="3" t="s">
        <v>2272</v>
      </c>
      <c r="K661" s="3" t="s">
        <v>2272</v>
      </c>
      <c r="L661" s="3" t="s">
        <v>2272</v>
      </c>
      <c r="M661" s="3" t="s">
        <v>2272</v>
      </c>
      <c r="N661" s="3" t="s">
        <v>2272</v>
      </c>
      <c r="O661" s="3" t="s">
        <v>2272</v>
      </c>
      <c r="P661" s="3" t="s">
        <v>2272</v>
      </c>
      <c r="Q661" s="3" t="s">
        <v>2272</v>
      </c>
      <c r="R661" s="3" t="s">
        <v>2272</v>
      </c>
      <c r="S661" s="3" t="s">
        <v>2272</v>
      </c>
      <c r="T661" s="3" t="s">
        <v>3950</v>
      </c>
    </row>
    <row r="662" spans="1:20" ht="37.5" customHeight="1">
      <c r="A662" s="11" t="s">
        <v>3917</v>
      </c>
      <c r="B662" s="3" t="s">
        <v>2272</v>
      </c>
      <c r="C662" s="3" t="s">
        <v>11</v>
      </c>
      <c r="D662" s="3" t="s">
        <v>5000</v>
      </c>
      <c r="E662" s="4" t="s">
        <v>395</v>
      </c>
      <c r="F662" s="4" t="s">
        <v>394</v>
      </c>
      <c r="G662" s="3" t="s">
        <v>2272</v>
      </c>
      <c r="H662" s="3" t="s">
        <v>2272</v>
      </c>
      <c r="I662" s="3" t="s">
        <v>2272</v>
      </c>
      <c r="J662" s="3" t="s">
        <v>2272</v>
      </c>
      <c r="K662" s="3" t="s">
        <v>2272</v>
      </c>
      <c r="L662" s="3" t="s">
        <v>2272</v>
      </c>
      <c r="M662" s="3" t="s">
        <v>2272</v>
      </c>
      <c r="N662" s="3" t="s">
        <v>2272</v>
      </c>
      <c r="O662" s="3" t="s">
        <v>2272</v>
      </c>
      <c r="P662" s="3" t="s">
        <v>2272</v>
      </c>
      <c r="Q662" s="3" t="s">
        <v>2272</v>
      </c>
      <c r="R662" s="3" t="s">
        <v>2272</v>
      </c>
      <c r="S662" s="3" t="s">
        <v>2272</v>
      </c>
      <c r="T662" s="3" t="s">
        <v>3950</v>
      </c>
    </row>
    <row r="663" spans="1:20" ht="37.5" customHeight="1">
      <c r="A663" s="11" t="s">
        <v>3918</v>
      </c>
      <c r="B663" s="3" t="s">
        <v>2272</v>
      </c>
      <c r="C663" s="3" t="s">
        <v>11</v>
      </c>
      <c r="D663" s="3" t="s">
        <v>5000</v>
      </c>
      <c r="E663" s="4" t="s">
        <v>395</v>
      </c>
      <c r="F663" s="4" t="s">
        <v>394</v>
      </c>
      <c r="G663" s="3" t="s">
        <v>2272</v>
      </c>
      <c r="H663" s="3" t="s">
        <v>2272</v>
      </c>
      <c r="I663" s="3" t="s">
        <v>2272</v>
      </c>
      <c r="J663" s="3" t="s">
        <v>2272</v>
      </c>
      <c r="K663" s="3" t="s">
        <v>2272</v>
      </c>
      <c r="L663" s="3" t="s">
        <v>2272</v>
      </c>
      <c r="M663" s="3" t="s">
        <v>2272</v>
      </c>
      <c r="N663" s="3" t="s">
        <v>2272</v>
      </c>
      <c r="O663" s="3" t="s">
        <v>2272</v>
      </c>
      <c r="P663" s="3" t="s">
        <v>2272</v>
      </c>
      <c r="Q663" s="3" t="s">
        <v>2272</v>
      </c>
      <c r="R663" s="3" t="s">
        <v>2272</v>
      </c>
      <c r="S663" s="3" t="s">
        <v>2272</v>
      </c>
      <c r="T663" s="3" t="s">
        <v>3950</v>
      </c>
    </row>
    <row r="664" spans="1:20" ht="37.5" customHeight="1">
      <c r="A664" s="11" t="s">
        <v>3919</v>
      </c>
      <c r="B664" s="3" t="s">
        <v>2272</v>
      </c>
      <c r="C664" s="3" t="s">
        <v>11</v>
      </c>
      <c r="D664" s="3" t="s">
        <v>5000</v>
      </c>
      <c r="E664" s="4" t="s">
        <v>3849</v>
      </c>
      <c r="F664" s="3" t="s">
        <v>2272</v>
      </c>
      <c r="G664" s="3" t="s">
        <v>2272</v>
      </c>
      <c r="H664" s="3" t="s">
        <v>2272</v>
      </c>
      <c r="I664" s="3" t="s">
        <v>2272</v>
      </c>
      <c r="J664" s="3" t="s">
        <v>2272</v>
      </c>
      <c r="K664" s="3" t="s">
        <v>2272</v>
      </c>
      <c r="L664" s="3" t="s">
        <v>2272</v>
      </c>
      <c r="M664" s="3" t="s">
        <v>2272</v>
      </c>
      <c r="N664" s="3" t="s">
        <v>2272</v>
      </c>
      <c r="O664" s="3" t="s">
        <v>2272</v>
      </c>
      <c r="P664" s="3" t="s">
        <v>2272</v>
      </c>
      <c r="Q664" s="3" t="s">
        <v>2272</v>
      </c>
      <c r="R664" s="3" t="s">
        <v>2272</v>
      </c>
      <c r="S664" s="3" t="s">
        <v>2272</v>
      </c>
      <c r="T664" s="3"/>
    </row>
    <row r="665" spans="1:20" ht="37.5" customHeight="1">
      <c r="A665" s="11" t="s">
        <v>3920</v>
      </c>
      <c r="B665" s="3" t="s">
        <v>2272</v>
      </c>
      <c r="C665" s="3" t="s">
        <v>11</v>
      </c>
      <c r="D665" s="3" t="s">
        <v>5000</v>
      </c>
      <c r="E665" s="4" t="s">
        <v>3849</v>
      </c>
      <c r="F665" s="3" t="s">
        <v>2272</v>
      </c>
      <c r="G665" s="3" t="s">
        <v>2272</v>
      </c>
      <c r="H665" s="3" t="s">
        <v>2272</v>
      </c>
      <c r="I665" s="3" t="s">
        <v>2272</v>
      </c>
      <c r="J665" s="3" t="s">
        <v>2272</v>
      </c>
      <c r="K665" s="3" t="s">
        <v>2272</v>
      </c>
      <c r="L665" s="3" t="s">
        <v>2272</v>
      </c>
      <c r="M665" s="3" t="s">
        <v>2272</v>
      </c>
      <c r="N665" s="3" t="s">
        <v>2272</v>
      </c>
      <c r="O665" s="3" t="s">
        <v>2272</v>
      </c>
      <c r="P665" s="3" t="s">
        <v>2272</v>
      </c>
      <c r="Q665" s="3" t="s">
        <v>2272</v>
      </c>
      <c r="R665" s="3" t="s">
        <v>2272</v>
      </c>
      <c r="S665" s="3" t="s">
        <v>2272</v>
      </c>
      <c r="T665" s="3"/>
    </row>
    <row r="666" spans="1:20" ht="37.5" customHeight="1">
      <c r="A666" s="11" t="s">
        <v>3921</v>
      </c>
      <c r="B666" s="3" t="s">
        <v>2272</v>
      </c>
      <c r="C666" s="3" t="s">
        <v>11</v>
      </c>
      <c r="D666" s="3" t="s">
        <v>5000</v>
      </c>
      <c r="E666" s="4" t="s">
        <v>3849</v>
      </c>
      <c r="F666" s="3" t="s">
        <v>2272</v>
      </c>
      <c r="G666" s="3" t="s">
        <v>2272</v>
      </c>
      <c r="H666" s="3" t="s">
        <v>2272</v>
      </c>
      <c r="I666" s="3" t="s">
        <v>2272</v>
      </c>
      <c r="J666" s="3" t="s">
        <v>2272</v>
      </c>
      <c r="K666" s="3" t="s">
        <v>2272</v>
      </c>
      <c r="L666" s="3" t="s">
        <v>2272</v>
      </c>
      <c r="M666" s="3" t="s">
        <v>2272</v>
      </c>
      <c r="N666" s="3" t="s">
        <v>2272</v>
      </c>
      <c r="O666" s="3" t="s">
        <v>2272</v>
      </c>
      <c r="P666" s="3" t="s">
        <v>2272</v>
      </c>
      <c r="Q666" s="3" t="s">
        <v>2272</v>
      </c>
      <c r="R666" s="3" t="s">
        <v>2272</v>
      </c>
      <c r="S666" s="3" t="s">
        <v>2272</v>
      </c>
      <c r="T666" s="3"/>
    </row>
    <row r="667" spans="1:20" ht="37.5" customHeight="1">
      <c r="A667" s="11" t="s">
        <v>3922</v>
      </c>
      <c r="B667" s="3" t="s">
        <v>2272</v>
      </c>
      <c r="C667" s="3" t="s">
        <v>11</v>
      </c>
      <c r="D667" s="3" t="s">
        <v>5000</v>
      </c>
      <c r="E667" s="4" t="s">
        <v>3849</v>
      </c>
      <c r="F667" s="4" t="s">
        <v>394</v>
      </c>
      <c r="G667" s="3" t="s">
        <v>2272</v>
      </c>
      <c r="H667" s="3" t="s">
        <v>2272</v>
      </c>
      <c r="I667" s="3" t="s">
        <v>2272</v>
      </c>
      <c r="J667" s="3" t="s">
        <v>2272</v>
      </c>
      <c r="K667" s="3" t="s">
        <v>2272</v>
      </c>
      <c r="L667" s="3" t="s">
        <v>2272</v>
      </c>
      <c r="M667" s="3" t="s">
        <v>2272</v>
      </c>
      <c r="N667" s="3" t="s">
        <v>2272</v>
      </c>
      <c r="O667" s="3" t="s">
        <v>2272</v>
      </c>
      <c r="P667" s="3" t="s">
        <v>2272</v>
      </c>
      <c r="Q667" s="3" t="s">
        <v>2272</v>
      </c>
      <c r="R667" s="3" t="s">
        <v>2272</v>
      </c>
      <c r="S667" s="3" t="s">
        <v>2272</v>
      </c>
      <c r="T667" s="3" t="s">
        <v>3949</v>
      </c>
    </row>
    <row r="668" spans="1:20" ht="37.5" customHeight="1">
      <c r="A668" s="11" t="s">
        <v>3923</v>
      </c>
      <c r="B668" s="3" t="s">
        <v>2272</v>
      </c>
      <c r="C668" s="3" t="s">
        <v>11</v>
      </c>
      <c r="D668" s="3" t="s">
        <v>5000</v>
      </c>
      <c r="E668" s="4" t="s">
        <v>3849</v>
      </c>
      <c r="F668" s="4" t="s">
        <v>394</v>
      </c>
      <c r="G668" s="3" t="s">
        <v>2272</v>
      </c>
      <c r="H668" s="3" t="s">
        <v>2272</v>
      </c>
      <c r="I668" s="3" t="s">
        <v>2272</v>
      </c>
      <c r="J668" s="3" t="s">
        <v>2272</v>
      </c>
      <c r="K668" s="3" t="s">
        <v>2272</v>
      </c>
      <c r="L668" s="3" t="s">
        <v>2272</v>
      </c>
      <c r="M668" s="3" t="s">
        <v>2272</v>
      </c>
      <c r="N668" s="3" t="s">
        <v>2272</v>
      </c>
      <c r="O668" s="3" t="s">
        <v>2272</v>
      </c>
      <c r="P668" s="3" t="s">
        <v>2272</v>
      </c>
      <c r="Q668" s="3" t="s">
        <v>2272</v>
      </c>
      <c r="R668" s="3" t="s">
        <v>2272</v>
      </c>
      <c r="S668" s="3" t="s">
        <v>2272</v>
      </c>
      <c r="T668" s="3" t="s">
        <v>3949</v>
      </c>
    </row>
    <row r="669" spans="1:20" ht="37.5" customHeight="1">
      <c r="A669" s="11" t="s">
        <v>3924</v>
      </c>
      <c r="B669" s="3" t="s">
        <v>2272</v>
      </c>
      <c r="C669" s="3" t="s">
        <v>11</v>
      </c>
      <c r="D669" s="3" t="s">
        <v>5000</v>
      </c>
      <c r="E669" s="4" t="s">
        <v>3849</v>
      </c>
      <c r="F669" s="4" t="s">
        <v>394</v>
      </c>
      <c r="G669" s="3" t="s">
        <v>2272</v>
      </c>
      <c r="H669" s="3" t="s">
        <v>2272</v>
      </c>
      <c r="I669" s="3" t="s">
        <v>2272</v>
      </c>
      <c r="J669" s="3" t="s">
        <v>2272</v>
      </c>
      <c r="K669" s="3" t="s">
        <v>2272</v>
      </c>
      <c r="L669" s="3" t="s">
        <v>2272</v>
      </c>
      <c r="M669" s="3" t="s">
        <v>2272</v>
      </c>
      <c r="N669" s="3" t="s">
        <v>2272</v>
      </c>
      <c r="O669" s="3" t="s">
        <v>2272</v>
      </c>
      <c r="P669" s="3" t="s">
        <v>2272</v>
      </c>
      <c r="Q669" s="3" t="s">
        <v>2272</v>
      </c>
      <c r="R669" s="3" t="s">
        <v>2272</v>
      </c>
      <c r="S669" s="3" t="s">
        <v>2272</v>
      </c>
      <c r="T669" s="3" t="s">
        <v>3949</v>
      </c>
    </row>
    <row r="670" spans="1:20" ht="37.5" customHeight="1">
      <c r="A670" s="11" t="s">
        <v>3925</v>
      </c>
      <c r="B670" s="3" t="s">
        <v>2272</v>
      </c>
      <c r="C670" s="3" t="s">
        <v>11</v>
      </c>
      <c r="D670" s="3" t="s">
        <v>5000</v>
      </c>
      <c r="E670" s="4" t="s">
        <v>3849</v>
      </c>
      <c r="F670" s="3" t="s">
        <v>2272</v>
      </c>
      <c r="G670" s="3" t="s">
        <v>2272</v>
      </c>
      <c r="H670" s="3" t="s">
        <v>2272</v>
      </c>
      <c r="I670" s="3" t="s">
        <v>2272</v>
      </c>
      <c r="J670" s="3" t="s">
        <v>2272</v>
      </c>
      <c r="K670" s="3" t="s">
        <v>2272</v>
      </c>
      <c r="L670" s="3" t="s">
        <v>2272</v>
      </c>
      <c r="M670" s="3" t="s">
        <v>2272</v>
      </c>
      <c r="N670" s="3" t="s">
        <v>2272</v>
      </c>
      <c r="O670" s="3" t="s">
        <v>2272</v>
      </c>
      <c r="P670" s="3" t="s">
        <v>2272</v>
      </c>
      <c r="Q670" s="3" t="s">
        <v>2272</v>
      </c>
      <c r="R670" s="3" t="s">
        <v>2272</v>
      </c>
      <c r="S670" s="3" t="s">
        <v>2272</v>
      </c>
      <c r="T670" s="3"/>
    </row>
    <row r="671" spans="1:20" ht="37.5" customHeight="1">
      <c r="A671" s="11" t="s">
        <v>3926</v>
      </c>
      <c r="B671" s="3" t="s">
        <v>2272</v>
      </c>
      <c r="C671" s="3" t="s">
        <v>11</v>
      </c>
      <c r="D671" s="3" t="s">
        <v>5000</v>
      </c>
      <c r="E671" s="4" t="s">
        <v>3849</v>
      </c>
      <c r="F671" s="3" t="s">
        <v>2272</v>
      </c>
      <c r="G671" s="3" t="s">
        <v>2272</v>
      </c>
      <c r="H671" s="3" t="s">
        <v>2272</v>
      </c>
      <c r="I671" s="3" t="s">
        <v>2272</v>
      </c>
      <c r="J671" s="3" t="s">
        <v>2272</v>
      </c>
      <c r="K671" s="3" t="s">
        <v>2272</v>
      </c>
      <c r="L671" s="3" t="s">
        <v>2272</v>
      </c>
      <c r="M671" s="3" t="s">
        <v>2272</v>
      </c>
      <c r="N671" s="3" t="s">
        <v>2272</v>
      </c>
      <c r="O671" s="3" t="s">
        <v>2272</v>
      </c>
      <c r="P671" s="3" t="s">
        <v>2272</v>
      </c>
      <c r="Q671" s="3" t="s">
        <v>2272</v>
      </c>
      <c r="R671" s="3" t="s">
        <v>2272</v>
      </c>
      <c r="S671" s="3" t="s">
        <v>2272</v>
      </c>
      <c r="T671" s="3"/>
    </row>
    <row r="672" spans="1:20" ht="37.5" customHeight="1">
      <c r="A672" s="11" t="s">
        <v>3927</v>
      </c>
      <c r="B672" s="3" t="s">
        <v>2272</v>
      </c>
      <c r="C672" s="3" t="s">
        <v>11</v>
      </c>
      <c r="D672" s="3" t="s">
        <v>5000</v>
      </c>
      <c r="E672" s="4" t="s">
        <v>3849</v>
      </c>
      <c r="F672" s="3" t="s">
        <v>2272</v>
      </c>
      <c r="G672" s="3" t="s">
        <v>2272</v>
      </c>
      <c r="H672" s="3" t="s">
        <v>2272</v>
      </c>
      <c r="I672" s="3" t="s">
        <v>2272</v>
      </c>
      <c r="J672" s="3" t="s">
        <v>2272</v>
      </c>
      <c r="K672" s="3" t="s">
        <v>532</v>
      </c>
      <c r="L672" s="3" t="s">
        <v>2272</v>
      </c>
      <c r="M672" s="3" t="s">
        <v>2272</v>
      </c>
      <c r="N672" s="3" t="s">
        <v>2272</v>
      </c>
      <c r="O672" s="3" t="s">
        <v>2272</v>
      </c>
      <c r="P672" s="3" t="s">
        <v>2272</v>
      </c>
      <c r="Q672" s="3" t="s">
        <v>2272</v>
      </c>
      <c r="R672" s="3" t="s">
        <v>2272</v>
      </c>
      <c r="S672" s="3" t="s">
        <v>2272</v>
      </c>
      <c r="T672" s="3"/>
    </row>
    <row r="673" spans="1:20" ht="39" customHeight="1">
      <c r="A673" s="11" t="s">
        <v>3961</v>
      </c>
      <c r="B673" s="3" t="s">
        <v>31</v>
      </c>
      <c r="C673" s="3" t="s">
        <v>11</v>
      </c>
      <c r="D673" s="3" t="s">
        <v>44</v>
      </c>
      <c r="E673" s="4" t="s">
        <v>3849</v>
      </c>
      <c r="F673" s="3" t="s">
        <v>114</v>
      </c>
      <c r="G673" s="3" t="s">
        <v>2272</v>
      </c>
      <c r="H673" s="3" t="s">
        <v>2272</v>
      </c>
      <c r="I673" s="3" t="s">
        <v>2272</v>
      </c>
      <c r="J673" s="3" t="s">
        <v>2272</v>
      </c>
      <c r="K673" s="3" t="s">
        <v>535</v>
      </c>
      <c r="L673" s="3" t="s">
        <v>2272</v>
      </c>
      <c r="M673" s="3" t="s">
        <v>2272</v>
      </c>
      <c r="N673" s="3" t="s">
        <v>2272</v>
      </c>
      <c r="O673" s="3" t="s">
        <v>2272</v>
      </c>
      <c r="P673" s="3" t="s">
        <v>2272</v>
      </c>
      <c r="Q673" s="3" t="s">
        <v>2272</v>
      </c>
      <c r="R673" s="3" t="s">
        <v>2272</v>
      </c>
      <c r="S673" s="3" t="s">
        <v>2272</v>
      </c>
      <c r="T673" s="3"/>
    </row>
    <row r="674" spans="1:20" ht="41" customHeight="1">
      <c r="A674" s="11" t="s">
        <v>3962</v>
      </c>
      <c r="B674" s="3" t="s">
        <v>68</v>
      </c>
      <c r="C674" s="3" t="s">
        <v>393</v>
      </c>
      <c r="D674" s="3" t="s">
        <v>5000</v>
      </c>
      <c r="E674" s="3" t="s">
        <v>44</v>
      </c>
      <c r="F674" s="3" t="s">
        <v>114</v>
      </c>
      <c r="G674" s="3" t="s">
        <v>2272</v>
      </c>
      <c r="H674" s="3" t="s">
        <v>2272</v>
      </c>
      <c r="I674" s="3" t="s">
        <v>2272</v>
      </c>
      <c r="J674" s="3" t="s">
        <v>2272</v>
      </c>
      <c r="K674" s="3" t="s">
        <v>532</v>
      </c>
      <c r="L674" s="3" t="s">
        <v>2272</v>
      </c>
      <c r="M674" s="3" t="s">
        <v>2272</v>
      </c>
      <c r="N674" s="3" t="s">
        <v>2272</v>
      </c>
      <c r="O674" s="3" t="s">
        <v>2272</v>
      </c>
      <c r="P674" s="3" t="s">
        <v>2272</v>
      </c>
      <c r="Q674" s="3" t="s">
        <v>2272</v>
      </c>
      <c r="R674" s="3" t="s">
        <v>2272</v>
      </c>
      <c r="S674" s="3" t="s">
        <v>2272</v>
      </c>
      <c r="T674" s="3" t="s">
        <v>3968</v>
      </c>
    </row>
    <row r="675" spans="1:20" ht="37.5" customHeight="1">
      <c r="A675" s="11" t="s">
        <v>3967</v>
      </c>
      <c r="B675" s="3" t="s">
        <v>68</v>
      </c>
      <c r="C675" s="3" t="s">
        <v>393</v>
      </c>
      <c r="D675" s="3" t="s">
        <v>5000</v>
      </c>
      <c r="E675" s="3" t="s">
        <v>44</v>
      </c>
      <c r="F675" s="3" t="s">
        <v>2272</v>
      </c>
      <c r="G675" s="3" t="s">
        <v>2272</v>
      </c>
      <c r="H675" s="3" t="s">
        <v>2272</v>
      </c>
      <c r="I675" s="3" t="s">
        <v>2272</v>
      </c>
      <c r="J675" s="3" t="s">
        <v>2272</v>
      </c>
      <c r="K675" s="3" t="s">
        <v>535</v>
      </c>
      <c r="L675" s="3" t="s">
        <v>2272</v>
      </c>
      <c r="M675" s="3" t="s">
        <v>2272</v>
      </c>
      <c r="N675" s="3" t="s">
        <v>2272</v>
      </c>
      <c r="O675" s="3" t="s">
        <v>2272</v>
      </c>
      <c r="P675" s="3" t="s">
        <v>2272</v>
      </c>
      <c r="Q675" s="3" t="s">
        <v>2272</v>
      </c>
      <c r="R675" s="3" t="s">
        <v>2272</v>
      </c>
      <c r="S675" s="3" t="s">
        <v>2272</v>
      </c>
      <c r="T675" s="3" t="s">
        <v>3969</v>
      </c>
    </row>
    <row r="676" spans="1:20" ht="33.5" customHeight="1">
      <c r="A676" s="11" t="s">
        <v>3984</v>
      </c>
      <c r="B676" s="3" t="s">
        <v>68</v>
      </c>
      <c r="C676" s="3" t="s">
        <v>393</v>
      </c>
      <c r="D676" s="3" t="s">
        <v>5000</v>
      </c>
      <c r="E676" s="4" t="s">
        <v>3849</v>
      </c>
      <c r="F676" s="3" t="s">
        <v>2272</v>
      </c>
      <c r="G676" s="3" t="s">
        <v>2272</v>
      </c>
      <c r="H676" s="3" t="s">
        <v>2272</v>
      </c>
      <c r="I676" s="3" t="s">
        <v>2272</v>
      </c>
      <c r="J676" s="3" t="s">
        <v>2272</v>
      </c>
      <c r="K676" s="3" t="s">
        <v>2272</v>
      </c>
      <c r="L676" s="3" t="s">
        <v>2272</v>
      </c>
      <c r="M676" s="3" t="s">
        <v>2272</v>
      </c>
      <c r="N676" s="3" t="s">
        <v>2272</v>
      </c>
      <c r="O676" s="3" t="s">
        <v>2272</v>
      </c>
      <c r="P676" s="3" t="s">
        <v>2272</v>
      </c>
      <c r="Q676" s="3" t="s">
        <v>2272</v>
      </c>
      <c r="R676" s="3" t="s">
        <v>2272</v>
      </c>
      <c r="S676" s="3" t="s">
        <v>2272</v>
      </c>
      <c r="T676" s="3"/>
    </row>
    <row r="677" spans="1:20" ht="33.5" customHeight="1">
      <c r="A677" s="11" t="s">
        <v>3985</v>
      </c>
      <c r="B677" s="3" t="s">
        <v>68</v>
      </c>
      <c r="C677" s="3" t="s">
        <v>393</v>
      </c>
      <c r="D677" s="3" t="s">
        <v>5000</v>
      </c>
      <c r="E677" s="4" t="s">
        <v>3849</v>
      </c>
      <c r="F677" s="3" t="s">
        <v>2272</v>
      </c>
      <c r="G677" s="3" t="s">
        <v>2272</v>
      </c>
      <c r="H677" s="3" t="s">
        <v>2272</v>
      </c>
      <c r="I677" s="3" t="s">
        <v>2272</v>
      </c>
      <c r="J677" s="3" t="s">
        <v>2272</v>
      </c>
      <c r="K677" s="3" t="s">
        <v>2272</v>
      </c>
      <c r="L677" s="3" t="s">
        <v>2272</v>
      </c>
      <c r="M677" s="3" t="s">
        <v>2272</v>
      </c>
      <c r="N677" s="3" t="s">
        <v>2272</v>
      </c>
      <c r="O677" s="3" t="s">
        <v>2272</v>
      </c>
      <c r="P677" s="3" t="s">
        <v>2272</v>
      </c>
      <c r="Q677" s="3" t="s">
        <v>2272</v>
      </c>
      <c r="R677" s="3" t="s">
        <v>2272</v>
      </c>
      <c r="S677" s="3" t="s">
        <v>2272</v>
      </c>
      <c r="T677" s="3"/>
    </row>
    <row r="678" spans="1:20" ht="33.5" customHeight="1">
      <c r="A678" s="11" t="s">
        <v>3990</v>
      </c>
      <c r="B678" s="3" t="s">
        <v>68</v>
      </c>
      <c r="C678" s="3" t="s">
        <v>393</v>
      </c>
      <c r="D678" s="3" t="s">
        <v>5000</v>
      </c>
      <c r="E678" s="4" t="s">
        <v>3849</v>
      </c>
      <c r="F678" s="3" t="s">
        <v>2272</v>
      </c>
      <c r="G678" s="3" t="s">
        <v>2272</v>
      </c>
      <c r="H678" s="3" t="s">
        <v>2272</v>
      </c>
      <c r="I678" s="3" t="s">
        <v>2272</v>
      </c>
      <c r="J678" s="3" t="s">
        <v>2272</v>
      </c>
      <c r="K678" s="3" t="s">
        <v>2272</v>
      </c>
      <c r="L678" s="3" t="s">
        <v>2272</v>
      </c>
      <c r="M678" s="3" t="s">
        <v>2272</v>
      </c>
      <c r="N678" s="3" t="s">
        <v>2272</v>
      </c>
      <c r="O678" s="3" t="s">
        <v>2272</v>
      </c>
      <c r="P678" s="3" t="s">
        <v>2272</v>
      </c>
      <c r="Q678" s="3" t="s">
        <v>2272</v>
      </c>
      <c r="R678" s="3" t="s">
        <v>2272</v>
      </c>
      <c r="S678" s="3" t="s">
        <v>2272</v>
      </c>
      <c r="T678" s="3"/>
    </row>
    <row r="679" spans="1:20" ht="37" customHeight="1">
      <c r="A679" s="11" t="s">
        <v>4010</v>
      </c>
      <c r="B679" s="3" t="s">
        <v>68</v>
      </c>
      <c r="C679" s="3" t="s">
        <v>393</v>
      </c>
      <c r="D679" s="3" t="s">
        <v>5000</v>
      </c>
      <c r="E679" s="3" t="s">
        <v>44</v>
      </c>
      <c r="F679" s="3" t="s">
        <v>114</v>
      </c>
      <c r="G679" s="4" t="s">
        <v>395</v>
      </c>
      <c r="H679" s="3" t="s">
        <v>2272</v>
      </c>
      <c r="I679" s="3" t="s">
        <v>2272</v>
      </c>
      <c r="J679" s="3" t="s">
        <v>2272</v>
      </c>
      <c r="K679" s="3" t="s">
        <v>532</v>
      </c>
      <c r="L679" s="3" t="s">
        <v>2272</v>
      </c>
      <c r="M679" s="3" t="s">
        <v>2272</v>
      </c>
      <c r="N679" s="3" t="s">
        <v>2272</v>
      </c>
      <c r="O679" s="3" t="s">
        <v>2272</v>
      </c>
      <c r="P679" s="3" t="s">
        <v>2272</v>
      </c>
      <c r="Q679" s="3" t="s">
        <v>2272</v>
      </c>
      <c r="R679" s="3" t="s">
        <v>2272</v>
      </c>
      <c r="S679" s="3" t="s">
        <v>2272</v>
      </c>
      <c r="T679" s="4" t="s">
        <v>4014</v>
      </c>
    </row>
    <row r="680" spans="1:20" ht="35.5" customHeight="1">
      <c r="A680" s="11" t="s">
        <v>4023</v>
      </c>
      <c r="B680" s="3" t="s">
        <v>68</v>
      </c>
      <c r="C680" s="3" t="s">
        <v>393</v>
      </c>
      <c r="D680" s="3" t="s">
        <v>5000</v>
      </c>
      <c r="E680" s="3" t="s">
        <v>2272</v>
      </c>
      <c r="F680" s="3" t="s">
        <v>2272</v>
      </c>
      <c r="G680" s="3" t="s">
        <v>2272</v>
      </c>
      <c r="H680" s="3" t="s">
        <v>2272</v>
      </c>
      <c r="I680" s="3" t="s">
        <v>2272</v>
      </c>
      <c r="J680" s="3" t="s">
        <v>2272</v>
      </c>
      <c r="K680" s="3" t="s">
        <v>2272</v>
      </c>
      <c r="L680" s="3" t="s">
        <v>2272</v>
      </c>
      <c r="M680" s="3" t="s">
        <v>2272</v>
      </c>
      <c r="N680" s="3" t="s">
        <v>2272</v>
      </c>
      <c r="O680" s="3" t="s">
        <v>2272</v>
      </c>
      <c r="P680" s="3" t="s">
        <v>2272</v>
      </c>
      <c r="Q680" s="3" t="s">
        <v>2272</v>
      </c>
      <c r="R680" s="3" t="s">
        <v>2272</v>
      </c>
      <c r="S680" s="3" t="s">
        <v>2272</v>
      </c>
      <c r="T680" s="3"/>
    </row>
    <row r="681" spans="1:20" ht="35.5" customHeight="1">
      <c r="A681" s="11" t="s">
        <v>4024</v>
      </c>
      <c r="B681" s="3" t="s">
        <v>68</v>
      </c>
      <c r="C681" s="3" t="s">
        <v>393</v>
      </c>
      <c r="D681" s="3" t="s">
        <v>5000</v>
      </c>
      <c r="E681" s="3" t="s">
        <v>2272</v>
      </c>
      <c r="F681" s="3" t="s">
        <v>2272</v>
      </c>
      <c r="G681" s="3" t="s">
        <v>2272</v>
      </c>
      <c r="H681" s="3" t="s">
        <v>2272</v>
      </c>
      <c r="I681" s="3" t="s">
        <v>2272</v>
      </c>
      <c r="J681" s="3" t="s">
        <v>2272</v>
      </c>
      <c r="K681" s="3" t="s">
        <v>2272</v>
      </c>
      <c r="L681" s="3" t="s">
        <v>2272</v>
      </c>
      <c r="M681" s="3" t="s">
        <v>2272</v>
      </c>
      <c r="N681" s="3" t="s">
        <v>2272</v>
      </c>
      <c r="O681" s="3" t="s">
        <v>2272</v>
      </c>
      <c r="P681" s="3" t="s">
        <v>2272</v>
      </c>
      <c r="Q681" s="3" t="s">
        <v>2272</v>
      </c>
      <c r="R681" s="3" t="s">
        <v>2272</v>
      </c>
      <c r="S681" s="3" t="s">
        <v>2272</v>
      </c>
      <c r="T681" s="3"/>
    </row>
    <row r="682" spans="1:20" ht="35.5" customHeight="1">
      <c r="A682" s="11" t="s">
        <v>4025</v>
      </c>
      <c r="B682" s="3" t="s">
        <v>68</v>
      </c>
      <c r="C682" s="3" t="s">
        <v>393</v>
      </c>
      <c r="D682" s="3" t="s">
        <v>5000</v>
      </c>
      <c r="E682" s="3" t="s">
        <v>2272</v>
      </c>
      <c r="F682" s="3" t="s">
        <v>2272</v>
      </c>
      <c r="G682" s="3" t="s">
        <v>2272</v>
      </c>
      <c r="H682" s="3" t="s">
        <v>2272</v>
      </c>
      <c r="I682" s="3" t="s">
        <v>2272</v>
      </c>
      <c r="J682" s="3" t="s">
        <v>2272</v>
      </c>
      <c r="K682" s="3" t="s">
        <v>2272</v>
      </c>
      <c r="L682" s="3" t="s">
        <v>2272</v>
      </c>
      <c r="M682" s="3" t="s">
        <v>2272</v>
      </c>
      <c r="N682" s="3" t="s">
        <v>2272</v>
      </c>
      <c r="O682" s="3" t="s">
        <v>2272</v>
      </c>
      <c r="P682" s="3" t="s">
        <v>2272</v>
      </c>
      <c r="Q682" s="3" t="s">
        <v>2272</v>
      </c>
      <c r="R682" s="3" t="s">
        <v>2272</v>
      </c>
      <c r="S682" s="3" t="s">
        <v>2272</v>
      </c>
      <c r="T682" s="3"/>
    </row>
    <row r="683" spans="1:20" ht="35.5" customHeight="1">
      <c r="A683" s="11" t="s">
        <v>4026</v>
      </c>
      <c r="B683" s="3" t="s">
        <v>68</v>
      </c>
      <c r="C683" s="3" t="s">
        <v>393</v>
      </c>
      <c r="D683" s="3" t="s">
        <v>5000</v>
      </c>
      <c r="E683" s="3" t="s">
        <v>2272</v>
      </c>
      <c r="F683" s="3" t="s">
        <v>2272</v>
      </c>
      <c r="G683" s="3" t="s">
        <v>2272</v>
      </c>
      <c r="H683" s="3" t="s">
        <v>2272</v>
      </c>
      <c r="I683" s="3" t="s">
        <v>2272</v>
      </c>
      <c r="J683" s="3" t="s">
        <v>2272</v>
      </c>
      <c r="K683" s="3" t="s">
        <v>2272</v>
      </c>
      <c r="L683" s="3" t="s">
        <v>2272</v>
      </c>
      <c r="M683" s="3" t="s">
        <v>2272</v>
      </c>
      <c r="N683" s="3" t="s">
        <v>2272</v>
      </c>
      <c r="O683" s="3" t="s">
        <v>2272</v>
      </c>
      <c r="P683" s="3" t="s">
        <v>2272</v>
      </c>
      <c r="Q683" s="3" t="s">
        <v>2272</v>
      </c>
      <c r="R683" s="3" t="s">
        <v>2272</v>
      </c>
      <c r="S683" s="3" t="s">
        <v>2272</v>
      </c>
      <c r="T683" s="3"/>
    </row>
    <row r="684" spans="1:20" ht="30.5" customHeight="1">
      <c r="A684" s="11" t="s">
        <v>4043</v>
      </c>
      <c r="B684" s="3" t="s">
        <v>31</v>
      </c>
      <c r="C684" s="3" t="s">
        <v>2641</v>
      </c>
      <c r="D684" s="3" t="s">
        <v>44</v>
      </c>
      <c r="E684" s="3" t="s">
        <v>82</v>
      </c>
      <c r="F684" s="4" t="s">
        <v>3850</v>
      </c>
      <c r="G684" s="3" t="s">
        <v>2648</v>
      </c>
      <c r="H684" s="21">
        <v>1.4</v>
      </c>
      <c r="I684" s="3" t="s">
        <v>2272</v>
      </c>
      <c r="J684" s="3" t="s">
        <v>2272</v>
      </c>
      <c r="K684" s="3" t="s">
        <v>2272</v>
      </c>
      <c r="L684" s="3" t="s">
        <v>2272</v>
      </c>
      <c r="M684" s="3" t="s">
        <v>2272</v>
      </c>
      <c r="N684" s="3" t="s">
        <v>2272</v>
      </c>
      <c r="O684" s="3" t="s">
        <v>2272</v>
      </c>
      <c r="P684" s="3" t="s">
        <v>2272</v>
      </c>
      <c r="Q684" s="3" t="s">
        <v>2272</v>
      </c>
      <c r="R684" s="3" t="s">
        <v>2272</v>
      </c>
      <c r="S684" s="3" t="s">
        <v>2272</v>
      </c>
      <c r="T684" s="3" t="s">
        <v>4078</v>
      </c>
    </row>
    <row r="685" spans="1:20" ht="30.5" customHeight="1">
      <c r="A685" s="11" t="s">
        <v>4054</v>
      </c>
      <c r="B685" s="3" t="s">
        <v>31</v>
      </c>
      <c r="C685" s="3" t="s">
        <v>2641</v>
      </c>
      <c r="D685" s="3" t="s">
        <v>44</v>
      </c>
      <c r="E685" s="3" t="s">
        <v>82</v>
      </c>
      <c r="F685" s="4" t="s">
        <v>3850</v>
      </c>
      <c r="G685" s="3" t="s">
        <v>2648</v>
      </c>
      <c r="H685" s="21">
        <v>1.4</v>
      </c>
      <c r="I685" s="3" t="s">
        <v>2272</v>
      </c>
      <c r="J685" s="3" t="s">
        <v>2272</v>
      </c>
      <c r="K685" s="3" t="s">
        <v>2272</v>
      </c>
      <c r="L685" s="3" t="s">
        <v>2272</v>
      </c>
      <c r="M685" s="3" t="s">
        <v>2272</v>
      </c>
      <c r="N685" s="3" t="s">
        <v>2272</v>
      </c>
      <c r="O685" s="3" t="s">
        <v>2272</v>
      </c>
      <c r="P685" s="3" t="s">
        <v>2272</v>
      </c>
      <c r="Q685" s="3" t="s">
        <v>2272</v>
      </c>
      <c r="R685" s="3" t="s">
        <v>2272</v>
      </c>
      <c r="S685" s="3" t="s">
        <v>2272</v>
      </c>
      <c r="T685" s="3" t="s">
        <v>4078</v>
      </c>
    </row>
    <row r="686" spans="1:20" ht="30.5" customHeight="1">
      <c r="A686" s="11" t="s">
        <v>4055</v>
      </c>
      <c r="B686" s="3" t="s">
        <v>31</v>
      </c>
      <c r="C686" s="3" t="s">
        <v>2641</v>
      </c>
      <c r="D686" s="3" t="s">
        <v>44</v>
      </c>
      <c r="E686" s="3" t="s">
        <v>82</v>
      </c>
      <c r="F686" s="4" t="s">
        <v>3850</v>
      </c>
      <c r="G686" s="3" t="s">
        <v>2648</v>
      </c>
      <c r="H686" s="21">
        <v>1.4</v>
      </c>
      <c r="I686" s="3" t="s">
        <v>2272</v>
      </c>
      <c r="J686" s="3" t="s">
        <v>2272</v>
      </c>
      <c r="K686" s="3" t="s">
        <v>2272</v>
      </c>
      <c r="L686" s="3" t="s">
        <v>2272</v>
      </c>
      <c r="M686" s="3" t="s">
        <v>2272</v>
      </c>
      <c r="N686" s="3" t="s">
        <v>2272</v>
      </c>
      <c r="O686" s="3" t="s">
        <v>2272</v>
      </c>
      <c r="P686" s="3" t="s">
        <v>2272</v>
      </c>
      <c r="Q686" s="3" t="s">
        <v>2272</v>
      </c>
      <c r="R686" s="3" t="s">
        <v>2272</v>
      </c>
      <c r="S686" s="3" t="s">
        <v>2272</v>
      </c>
      <c r="T686" s="3" t="s">
        <v>4078</v>
      </c>
    </row>
    <row r="687" spans="1:20" ht="30.5" customHeight="1">
      <c r="A687" s="11" t="s">
        <v>4056</v>
      </c>
      <c r="B687" s="3" t="s">
        <v>31</v>
      </c>
      <c r="C687" s="3" t="s">
        <v>2641</v>
      </c>
      <c r="D687" s="3" t="s">
        <v>44</v>
      </c>
      <c r="E687" s="3" t="s">
        <v>82</v>
      </c>
      <c r="F687" s="4" t="s">
        <v>3850</v>
      </c>
      <c r="G687" s="3" t="s">
        <v>2648</v>
      </c>
      <c r="H687" s="21">
        <v>1.4</v>
      </c>
      <c r="I687" s="3" t="s">
        <v>2272</v>
      </c>
      <c r="J687" s="3" t="s">
        <v>2272</v>
      </c>
      <c r="K687" s="3" t="s">
        <v>2272</v>
      </c>
      <c r="L687" s="3" t="s">
        <v>2272</v>
      </c>
      <c r="M687" s="3" t="s">
        <v>2272</v>
      </c>
      <c r="N687" s="3" t="s">
        <v>2272</v>
      </c>
      <c r="O687" s="3" t="s">
        <v>2272</v>
      </c>
      <c r="P687" s="3" t="s">
        <v>2272</v>
      </c>
      <c r="Q687" s="3" t="s">
        <v>2272</v>
      </c>
      <c r="R687" s="3" t="s">
        <v>2272</v>
      </c>
      <c r="S687" s="3" t="s">
        <v>2272</v>
      </c>
      <c r="T687" s="3" t="s">
        <v>4078</v>
      </c>
    </row>
    <row r="688" spans="1:20" ht="30.5" customHeight="1">
      <c r="A688" s="11" t="s">
        <v>4057</v>
      </c>
      <c r="B688" s="3" t="s">
        <v>31</v>
      </c>
      <c r="C688" s="3" t="s">
        <v>2641</v>
      </c>
      <c r="D688" s="3" t="s">
        <v>44</v>
      </c>
      <c r="E688" s="3" t="s">
        <v>82</v>
      </c>
      <c r="F688" s="4" t="s">
        <v>3850</v>
      </c>
      <c r="G688" s="3" t="s">
        <v>2648</v>
      </c>
      <c r="H688" s="21">
        <v>1.4</v>
      </c>
      <c r="I688" s="3" t="s">
        <v>2272</v>
      </c>
      <c r="J688" s="3" t="s">
        <v>2272</v>
      </c>
      <c r="K688" s="3" t="s">
        <v>2272</v>
      </c>
      <c r="L688" s="3" t="s">
        <v>2272</v>
      </c>
      <c r="M688" s="3" t="s">
        <v>2272</v>
      </c>
      <c r="N688" s="3" t="s">
        <v>2272</v>
      </c>
      <c r="O688" s="3" t="s">
        <v>2272</v>
      </c>
      <c r="P688" s="3" t="s">
        <v>2272</v>
      </c>
      <c r="Q688" s="3" t="s">
        <v>2272</v>
      </c>
      <c r="R688" s="3" t="s">
        <v>2272</v>
      </c>
      <c r="S688" s="3" t="s">
        <v>2272</v>
      </c>
      <c r="T688" s="3" t="s">
        <v>4078</v>
      </c>
    </row>
    <row r="689" spans="1:20" ht="30.5" customHeight="1">
      <c r="A689" s="11" t="s">
        <v>4058</v>
      </c>
      <c r="B689" s="3" t="s">
        <v>31</v>
      </c>
      <c r="C689" s="3" t="s">
        <v>2641</v>
      </c>
      <c r="D689" s="3" t="s">
        <v>44</v>
      </c>
      <c r="E689" s="3" t="s">
        <v>82</v>
      </c>
      <c r="F689" s="4" t="s">
        <v>3850</v>
      </c>
      <c r="G689" s="3" t="s">
        <v>2648</v>
      </c>
      <c r="H689" s="21">
        <v>1.4</v>
      </c>
      <c r="I689" s="3" t="s">
        <v>2272</v>
      </c>
      <c r="J689" s="3" t="s">
        <v>2272</v>
      </c>
      <c r="K689" s="3" t="s">
        <v>2272</v>
      </c>
      <c r="L689" s="3" t="s">
        <v>2272</v>
      </c>
      <c r="M689" s="3" t="s">
        <v>2272</v>
      </c>
      <c r="N689" s="3" t="s">
        <v>2272</v>
      </c>
      <c r="O689" s="3" t="s">
        <v>2272</v>
      </c>
      <c r="P689" s="3" t="s">
        <v>2272</v>
      </c>
      <c r="Q689" s="3" t="s">
        <v>2272</v>
      </c>
      <c r="R689" s="3" t="s">
        <v>2272</v>
      </c>
      <c r="S689" s="3" t="s">
        <v>2272</v>
      </c>
      <c r="T689" s="3" t="s">
        <v>4078</v>
      </c>
    </row>
    <row r="690" spans="1:20" ht="30.5" customHeight="1">
      <c r="A690" s="11" t="s">
        <v>4059</v>
      </c>
      <c r="B690" s="3" t="s">
        <v>31</v>
      </c>
      <c r="C690" s="3" t="s">
        <v>2641</v>
      </c>
      <c r="D690" s="3" t="s">
        <v>44</v>
      </c>
      <c r="E690" s="3" t="s">
        <v>82</v>
      </c>
      <c r="F690" s="4" t="s">
        <v>3850</v>
      </c>
      <c r="G690" s="3" t="s">
        <v>2648</v>
      </c>
      <c r="H690" s="21">
        <v>1.4</v>
      </c>
      <c r="I690" s="3" t="s">
        <v>2272</v>
      </c>
      <c r="J690" s="3" t="s">
        <v>2272</v>
      </c>
      <c r="K690" s="3" t="s">
        <v>2272</v>
      </c>
      <c r="L690" s="3" t="s">
        <v>2272</v>
      </c>
      <c r="M690" s="3" t="s">
        <v>2272</v>
      </c>
      <c r="N690" s="3" t="s">
        <v>2272</v>
      </c>
      <c r="O690" s="3" t="s">
        <v>2272</v>
      </c>
      <c r="P690" s="3" t="s">
        <v>2272</v>
      </c>
      <c r="Q690" s="3" t="s">
        <v>2272</v>
      </c>
      <c r="R690" s="3" t="s">
        <v>2272</v>
      </c>
      <c r="S690" s="3" t="s">
        <v>2272</v>
      </c>
      <c r="T690" s="3" t="s">
        <v>4078</v>
      </c>
    </row>
    <row r="691" spans="1:20" ht="31" customHeight="1">
      <c r="A691" s="11" t="s">
        <v>4081</v>
      </c>
      <c r="B691" s="3" t="s">
        <v>2272</v>
      </c>
      <c r="C691" s="3" t="s">
        <v>11</v>
      </c>
      <c r="D691" s="3" t="s">
        <v>5000</v>
      </c>
      <c r="E691" s="3" t="s">
        <v>44</v>
      </c>
      <c r="F691" s="3" t="s">
        <v>2272</v>
      </c>
      <c r="G691" s="3" t="s">
        <v>2272</v>
      </c>
      <c r="H691" s="3" t="s">
        <v>2272</v>
      </c>
      <c r="I691" s="3" t="s">
        <v>2272</v>
      </c>
      <c r="J691" s="3" t="s">
        <v>2272</v>
      </c>
      <c r="K691" s="3" t="s">
        <v>2272</v>
      </c>
      <c r="L691" s="3" t="s">
        <v>2272</v>
      </c>
      <c r="M691" s="3" t="s">
        <v>2272</v>
      </c>
      <c r="N691" s="3" t="s">
        <v>2272</v>
      </c>
      <c r="O691" s="3" t="s">
        <v>2272</v>
      </c>
      <c r="P691" s="3" t="s">
        <v>2272</v>
      </c>
      <c r="Q691" s="3" t="s">
        <v>2272</v>
      </c>
      <c r="R691" s="3" t="s">
        <v>2272</v>
      </c>
      <c r="S691" s="3" t="s">
        <v>2272</v>
      </c>
      <c r="T691" s="3" t="s">
        <v>4084</v>
      </c>
    </row>
    <row r="692" spans="1:20" ht="29.5" customHeight="1">
      <c r="A692" s="11" t="s">
        <v>4103</v>
      </c>
      <c r="B692" s="3" t="s">
        <v>2272</v>
      </c>
      <c r="C692" s="3" t="s">
        <v>11</v>
      </c>
      <c r="D692" s="3" t="s">
        <v>5000</v>
      </c>
      <c r="E692" s="3" t="s">
        <v>44</v>
      </c>
      <c r="F692" s="3" t="s">
        <v>2272</v>
      </c>
      <c r="G692" s="3" t="s">
        <v>2272</v>
      </c>
      <c r="H692" s="3" t="s">
        <v>2272</v>
      </c>
      <c r="I692" s="3" t="s">
        <v>2272</v>
      </c>
      <c r="J692" s="3" t="s">
        <v>2272</v>
      </c>
      <c r="K692" s="3" t="s">
        <v>2272</v>
      </c>
      <c r="L692" s="3" t="s">
        <v>2272</v>
      </c>
      <c r="M692" s="3" t="s">
        <v>2272</v>
      </c>
      <c r="N692" s="3" t="s">
        <v>2272</v>
      </c>
      <c r="O692" s="3" t="s">
        <v>2272</v>
      </c>
      <c r="P692" s="3" t="s">
        <v>2272</v>
      </c>
      <c r="Q692" s="3" t="s">
        <v>2272</v>
      </c>
      <c r="R692" s="3" t="s">
        <v>2272</v>
      </c>
      <c r="S692" s="3" t="s">
        <v>2272</v>
      </c>
      <c r="T692" s="3"/>
    </row>
    <row r="693" spans="1:20" ht="29.5" customHeight="1">
      <c r="A693" s="11" t="s">
        <v>4104</v>
      </c>
      <c r="B693" s="3" t="s">
        <v>2272</v>
      </c>
      <c r="C693" s="3" t="s">
        <v>11</v>
      </c>
      <c r="D693" s="3" t="s">
        <v>5000</v>
      </c>
      <c r="E693" s="3" t="s">
        <v>44</v>
      </c>
      <c r="F693" s="3" t="s">
        <v>2272</v>
      </c>
      <c r="G693" s="3" t="s">
        <v>2272</v>
      </c>
      <c r="H693" s="3" t="s">
        <v>2272</v>
      </c>
      <c r="I693" s="3" t="s">
        <v>2272</v>
      </c>
      <c r="J693" s="3" t="s">
        <v>2272</v>
      </c>
      <c r="K693" s="3" t="s">
        <v>2272</v>
      </c>
      <c r="L693" s="3" t="s">
        <v>2272</v>
      </c>
      <c r="M693" s="3" t="s">
        <v>2272</v>
      </c>
      <c r="N693" s="3" t="s">
        <v>2272</v>
      </c>
      <c r="O693" s="3" t="s">
        <v>2272</v>
      </c>
      <c r="P693" s="3" t="s">
        <v>2272</v>
      </c>
      <c r="Q693" s="3" t="s">
        <v>2272</v>
      </c>
      <c r="R693" s="3" t="s">
        <v>2272</v>
      </c>
      <c r="S693" s="3" t="s">
        <v>2272</v>
      </c>
      <c r="T693" s="3" t="s">
        <v>4118</v>
      </c>
    </row>
    <row r="694" spans="1:20" ht="36" customHeight="1">
      <c r="A694" s="11" t="s">
        <v>4124</v>
      </c>
      <c r="B694" s="3" t="s">
        <v>31</v>
      </c>
      <c r="C694" s="3" t="s">
        <v>11</v>
      </c>
      <c r="D694" s="3" t="s">
        <v>44</v>
      </c>
      <c r="E694" s="3" t="s">
        <v>5000</v>
      </c>
      <c r="F694" s="3" t="s">
        <v>2644</v>
      </c>
      <c r="G694" s="3" t="s">
        <v>135</v>
      </c>
      <c r="H694" s="3" t="s">
        <v>2272</v>
      </c>
      <c r="I694" s="3">
        <v>692</v>
      </c>
      <c r="J694" s="3" t="s">
        <v>2272</v>
      </c>
      <c r="K694" s="3" t="s">
        <v>2272</v>
      </c>
      <c r="L694" s="3" t="s">
        <v>2272</v>
      </c>
      <c r="M694" s="3" t="s">
        <v>2272</v>
      </c>
      <c r="N694" s="3" t="s">
        <v>2272</v>
      </c>
      <c r="O694" s="3" t="s">
        <v>2272</v>
      </c>
      <c r="P694" s="3" t="s">
        <v>2272</v>
      </c>
      <c r="Q694" s="3" t="s">
        <v>2272</v>
      </c>
      <c r="R694" s="3" t="s">
        <v>2272</v>
      </c>
      <c r="S694" s="3" t="s">
        <v>2272</v>
      </c>
      <c r="T694" s="3"/>
    </row>
    <row r="695" spans="1:20" ht="35.5" customHeight="1">
      <c r="A695" s="11" t="s">
        <v>4133</v>
      </c>
      <c r="B695" s="3" t="s">
        <v>31</v>
      </c>
      <c r="C695" s="3" t="s">
        <v>11</v>
      </c>
      <c r="D695" s="3" t="s">
        <v>5000</v>
      </c>
      <c r="E695" s="3" t="s">
        <v>44</v>
      </c>
      <c r="F695" s="3" t="s">
        <v>135</v>
      </c>
      <c r="G695" s="3" t="s">
        <v>114</v>
      </c>
      <c r="H695" s="3" t="s">
        <v>2272</v>
      </c>
      <c r="I695" s="3" t="s">
        <v>2272</v>
      </c>
      <c r="J695" s="3" t="s">
        <v>2272</v>
      </c>
      <c r="K695" s="3" t="s">
        <v>532</v>
      </c>
      <c r="L695" s="3" t="s">
        <v>2272</v>
      </c>
      <c r="M695" s="21">
        <f>1312/('Record info'!K695*100)</f>
        <v>1.0183805265772479E-2</v>
      </c>
      <c r="N695" s="3" t="s">
        <v>2272</v>
      </c>
      <c r="O695" s="3" t="s">
        <v>2272</v>
      </c>
      <c r="P695" s="3" t="s">
        <v>2272</v>
      </c>
      <c r="Q695" s="3" t="s">
        <v>2272</v>
      </c>
      <c r="R695" s="3" t="s">
        <v>2272</v>
      </c>
      <c r="S695" s="3" t="s">
        <v>2272</v>
      </c>
      <c r="T695" s="3" t="s">
        <v>4137</v>
      </c>
    </row>
    <row r="696" spans="1:20" ht="42" customHeight="1">
      <c r="A696" s="11" t="s">
        <v>4141</v>
      </c>
      <c r="B696" s="3" t="s">
        <v>2272</v>
      </c>
      <c r="C696" s="3" t="s">
        <v>11</v>
      </c>
      <c r="D696" s="4" t="s">
        <v>3849</v>
      </c>
      <c r="E696" s="4" t="s">
        <v>860</v>
      </c>
      <c r="F696" s="3" t="s">
        <v>135</v>
      </c>
      <c r="G696" s="3" t="s">
        <v>2272</v>
      </c>
      <c r="H696" s="3" t="s">
        <v>2272</v>
      </c>
      <c r="I696" s="3" t="s">
        <v>2272</v>
      </c>
      <c r="J696" s="3" t="s">
        <v>2272</v>
      </c>
      <c r="K696" s="3" t="s">
        <v>532</v>
      </c>
      <c r="L696" s="3" t="s">
        <v>2272</v>
      </c>
      <c r="M696" s="3" t="s">
        <v>2272</v>
      </c>
      <c r="N696" s="3" t="s">
        <v>2272</v>
      </c>
      <c r="O696" s="3" t="s">
        <v>2272</v>
      </c>
      <c r="P696" s="3" t="s">
        <v>2272</v>
      </c>
      <c r="Q696" s="3" t="s">
        <v>2272</v>
      </c>
      <c r="R696" s="3" t="s">
        <v>2272</v>
      </c>
      <c r="S696" s="3" t="s">
        <v>2272</v>
      </c>
      <c r="T696" s="3" t="s">
        <v>4148</v>
      </c>
    </row>
    <row r="697" spans="1:20" ht="33" customHeight="1">
      <c r="A697" s="11" t="s">
        <v>4142</v>
      </c>
      <c r="B697" s="3" t="s">
        <v>2272</v>
      </c>
      <c r="C697" s="3" t="s">
        <v>11</v>
      </c>
      <c r="D697" s="3" t="s">
        <v>5000</v>
      </c>
      <c r="E697" s="3" t="s">
        <v>44</v>
      </c>
      <c r="F697" s="3" t="s">
        <v>135</v>
      </c>
      <c r="G697" s="3" t="s">
        <v>2647</v>
      </c>
      <c r="H697" s="21">
        <f>150000/'Record info'!K697/100</f>
        <v>0.61804697156983934</v>
      </c>
      <c r="I697" s="3" t="s">
        <v>2272</v>
      </c>
      <c r="J697" s="3" t="s">
        <v>2272</v>
      </c>
      <c r="K697" s="3" t="s">
        <v>2272</v>
      </c>
      <c r="L697" s="3" t="s">
        <v>2272</v>
      </c>
      <c r="M697" s="3" t="s">
        <v>2272</v>
      </c>
      <c r="N697" s="3" t="s">
        <v>2272</v>
      </c>
      <c r="O697" s="3" t="s">
        <v>2272</v>
      </c>
      <c r="P697" s="3" t="s">
        <v>2272</v>
      </c>
      <c r="Q697" s="3" t="s">
        <v>2272</v>
      </c>
      <c r="R697" s="3" t="s">
        <v>2272</v>
      </c>
      <c r="S697" s="3" t="s">
        <v>2272</v>
      </c>
      <c r="T697" s="3"/>
    </row>
    <row r="698" spans="1:20" ht="37.5" customHeight="1">
      <c r="A698" s="11" t="s">
        <v>4192</v>
      </c>
      <c r="B698" s="3" t="s">
        <v>2272</v>
      </c>
      <c r="C698" s="3" t="s">
        <v>11</v>
      </c>
      <c r="D698" s="3" t="s">
        <v>44</v>
      </c>
      <c r="E698" s="3" t="s">
        <v>2642</v>
      </c>
      <c r="F698" s="3" t="s">
        <v>2272</v>
      </c>
      <c r="G698" s="3" t="s">
        <v>2272</v>
      </c>
      <c r="H698" s="21">
        <v>0.7</v>
      </c>
      <c r="I698" s="3" t="s">
        <v>2272</v>
      </c>
      <c r="J698" s="3" t="s">
        <v>2272</v>
      </c>
      <c r="K698" s="3" t="s">
        <v>2272</v>
      </c>
      <c r="L698" s="3" t="s">
        <v>2272</v>
      </c>
      <c r="M698" s="3" t="s">
        <v>2272</v>
      </c>
      <c r="N698" s="3" t="s">
        <v>2272</v>
      </c>
      <c r="O698" s="21">
        <v>61.383000000000003</v>
      </c>
      <c r="P698" s="21">
        <f>100*(2017+395+24)/191976</f>
        <v>1.2689086135766972</v>
      </c>
      <c r="Q698" s="3" t="s">
        <v>2272</v>
      </c>
      <c r="R698" s="21">
        <f>100-O698-P698</f>
        <v>37.348091386423299</v>
      </c>
      <c r="S698" s="3" t="s">
        <v>2272</v>
      </c>
      <c r="T698" s="4" t="s">
        <v>4203</v>
      </c>
    </row>
    <row r="699" spans="1:20" ht="33" customHeight="1">
      <c r="A699" s="11" t="s">
        <v>4205</v>
      </c>
      <c r="B699" s="3" t="s">
        <v>2272</v>
      </c>
      <c r="C699" s="3" t="s">
        <v>11</v>
      </c>
      <c r="D699" s="3" t="s">
        <v>44</v>
      </c>
      <c r="E699" s="3" t="s">
        <v>5000</v>
      </c>
      <c r="F699" s="3" t="s">
        <v>135</v>
      </c>
      <c r="G699" s="3" t="s">
        <v>2272</v>
      </c>
      <c r="H699" s="3" t="s">
        <v>2272</v>
      </c>
      <c r="I699" s="3" t="s">
        <v>2272</v>
      </c>
      <c r="J699" s="3" t="s">
        <v>2272</v>
      </c>
      <c r="K699" s="3" t="s">
        <v>2272</v>
      </c>
      <c r="L699" s="3" t="s">
        <v>2272</v>
      </c>
      <c r="M699" s="3" t="s">
        <v>2272</v>
      </c>
      <c r="N699" s="3" t="s">
        <v>2272</v>
      </c>
      <c r="O699" s="3" t="s">
        <v>2272</v>
      </c>
      <c r="P699" s="3" t="s">
        <v>2272</v>
      </c>
      <c r="Q699" s="3" t="s">
        <v>2272</v>
      </c>
      <c r="R699" s="3" t="s">
        <v>2272</v>
      </c>
      <c r="S699" s="3" t="s">
        <v>2272</v>
      </c>
      <c r="T699" s="3" t="s">
        <v>4208</v>
      </c>
    </row>
    <row r="700" spans="1:20" ht="38.5" customHeight="1">
      <c r="A700" s="11" t="s">
        <v>4215</v>
      </c>
      <c r="B700" s="3" t="s">
        <v>1193</v>
      </c>
      <c r="C700" s="3" t="s">
        <v>2641</v>
      </c>
      <c r="D700" s="3" t="s">
        <v>135</v>
      </c>
      <c r="E700" s="3" t="s">
        <v>2647</v>
      </c>
      <c r="F700" s="3" t="s">
        <v>2272</v>
      </c>
      <c r="G700" s="3" t="s">
        <v>2272</v>
      </c>
      <c r="H700" s="3" t="s">
        <v>2272</v>
      </c>
      <c r="I700" s="3" t="s">
        <v>2272</v>
      </c>
      <c r="J700" s="3" t="s">
        <v>2272</v>
      </c>
      <c r="K700" s="3" t="s">
        <v>2272</v>
      </c>
      <c r="L700" s="3" t="s">
        <v>2272</v>
      </c>
      <c r="M700" s="3" t="s">
        <v>2272</v>
      </c>
      <c r="N700" s="3" t="s">
        <v>2272</v>
      </c>
      <c r="O700" s="3" t="s">
        <v>2272</v>
      </c>
      <c r="P700" s="3" t="s">
        <v>2272</v>
      </c>
      <c r="Q700" s="3" t="s">
        <v>2272</v>
      </c>
      <c r="R700" s="3" t="s">
        <v>2272</v>
      </c>
      <c r="S700" s="3" t="s">
        <v>2272</v>
      </c>
      <c r="T700" s="3"/>
    </row>
    <row r="701" spans="1:20" ht="47" customHeight="1">
      <c r="A701" s="11" t="s">
        <v>4216</v>
      </c>
      <c r="B701" s="3" t="s">
        <v>68</v>
      </c>
      <c r="C701" s="3" t="s">
        <v>393</v>
      </c>
      <c r="D701" s="3" t="s">
        <v>128</v>
      </c>
      <c r="E701" s="3" t="s">
        <v>114</v>
      </c>
      <c r="F701" s="3" t="s">
        <v>860</v>
      </c>
      <c r="G701" s="4" t="s">
        <v>3849</v>
      </c>
      <c r="H701" s="3" t="s">
        <v>2272</v>
      </c>
      <c r="I701" s="3" t="s">
        <v>2272</v>
      </c>
      <c r="J701" s="3" t="s">
        <v>2272</v>
      </c>
      <c r="K701" s="3" t="s">
        <v>2272</v>
      </c>
      <c r="L701" s="3" t="s">
        <v>2272</v>
      </c>
      <c r="M701" s="3" t="s">
        <v>2272</v>
      </c>
      <c r="N701" s="3" t="s">
        <v>2272</v>
      </c>
      <c r="O701" s="3" t="s">
        <v>2272</v>
      </c>
      <c r="P701" s="3" t="s">
        <v>2272</v>
      </c>
      <c r="Q701" s="3" t="s">
        <v>2272</v>
      </c>
      <c r="R701" s="3" t="s">
        <v>2272</v>
      </c>
      <c r="S701" s="3" t="s">
        <v>2272</v>
      </c>
      <c r="T701" s="3" t="s">
        <v>4230</v>
      </c>
    </row>
    <row r="702" spans="1:20" ht="41.5" customHeight="1">
      <c r="A702" s="11" t="s">
        <v>4251</v>
      </c>
      <c r="B702" s="3" t="s">
        <v>2254</v>
      </c>
      <c r="C702" s="3" t="s">
        <v>11</v>
      </c>
      <c r="D702" s="4" t="s">
        <v>3849</v>
      </c>
      <c r="E702" s="4" t="s">
        <v>2646</v>
      </c>
      <c r="F702" s="3" t="s">
        <v>114</v>
      </c>
      <c r="G702" s="3" t="s">
        <v>2272</v>
      </c>
      <c r="H702" s="21">
        <f>151.8/100</f>
        <v>1.518</v>
      </c>
      <c r="I702" s="3" t="s">
        <v>2272</v>
      </c>
      <c r="J702" s="3" t="s">
        <v>2272</v>
      </c>
      <c r="K702" s="3" t="s">
        <v>532</v>
      </c>
      <c r="L702" s="3" t="s">
        <v>2272</v>
      </c>
      <c r="M702" s="3" t="s">
        <v>2272</v>
      </c>
      <c r="N702" s="21">
        <f>3595/'Record info'!$K702</f>
        <v>62.154218533886578</v>
      </c>
      <c r="O702" s="21">
        <f>270/'Record info'!$K702</f>
        <v>4.6680497925311197</v>
      </c>
      <c r="P702" s="21">
        <f>959/'Record info'!$K702</f>
        <v>16.580221300138312</v>
      </c>
      <c r="Q702" s="3" t="s">
        <v>2272</v>
      </c>
      <c r="R702" s="21">
        <f>100-P702-O702-N702</f>
        <v>16.597510373443995</v>
      </c>
      <c r="S702" s="3" t="s">
        <v>2272</v>
      </c>
      <c r="T702" s="4" t="s">
        <v>4257</v>
      </c>
    </row>
    <row r="703" spans="1:20" ht="41.5" customHeight="1">
      <c r="A703" s="11" t="s">
        <v>4252</v>
      </c>
      <c r="B703" s="3" t="s">
        <v>2254</v>
      </c>
      <c r="C703" s="3" t="s">
        <v>11</v>
      </c>
      <c r="D703" s="4" t="s">
        <v>3849</v>
      </c>
      <c r="E703" s="4" t="s">
        <v>2646</v>
      </c>
      <c r="F703" s="3" t="s">
        <v>114</v>
      </c>
      <c r="G703" s="3" t="s">
        <v>2272</v>
      </c>
      <c r="H703" s="21">
        <f>83.33/100</f>
        <v>0.83329999999999993</v>
      </c>
      <c r="I703" s="3" t="s">
        <v>2272</v>
      </c>
      <c r="J703" s="3" t="s">
        <v>2272</v>
      </c>
      <c r="K703" s="3" t="s">
        <v>532</v>
      </c>
      <c r="L703" s="3" t="s">
        <v>2272</v>
      </c>
      <c r="M703" s="3" t="s">
        <v>2272</v>
      </c>
      <c r="N703" s="21">
        <f>2577/'Record info'!$K703</f>
        <v>45.393693852386825</v>
      </c>
      <c r="O703" s="21">
        <f>200/'Record info'!$K703</f>
        <v>3.5229874933943983</v>
      </c>
      <c r="P703" s="21">
        <f>2211/'Record info'!$K703</f>
        <v>38.946626739475072</v>
      </c>
      <c r="Q703" s="3" t="s">
        <v>2272</v>
      </c>
      <c r="R703" s="21">
        <f t="shared" ref="R703:R704" si="2">100-P703-O703-N703</f>
        <v>12.136691914743707</v>
      </c>
      <c r="S703" s="3" t="s">
        <v>2272</v>
      </c>
      <c r="T703" s="4" t="s">
        <v>4257</v>
      </c>
    </row>
    <row r="704" spans="1:20" ht="41.5" customHeight="1">
      <c r="A704" s="11" t="s">
        <v>4060</v>
      </c>
      <c r="B704" s="3" t="s">
        <v>2254</v>
      </c>
      <c r="C704" s="3" t="s">
        <v>11</v>
      </c>
      <c r="D704" s="4" t="s">
        <v>3849</v>
      </c>
      <c r="E704" s="4" t="s">
        <v>2646</v>
      </c>
      <c r="F704" s="3" t="s">
        <v>114</v>
      </c>
      <c r="G704" s="3" t="s">
        <v>2272</v>
      </c>
      <c r="H704" s="21">
        <f>31.13/100</f>
        <v>0.31129999999999997</v>
      </c>
      <c r="I704" s="3" t="s">
        <v>2272</v>
      </c>
      <c r="J704" s="3" t="s">
        <v>2272</v>
      </c>
      <c r="K704" s="3" t="s">
        <v>532</v>
      </c>
      <c r="L704" s="3" t="s">
        <v>2272</v>
      </c>
      <c r="M704" s="3" t="s">
        <v>2272</v>
      </c>
      <c r="N704" s="21">
        <f>4827/'Record info'!$K704</f>
        <v>54.235955056179776</v>
      </c>
      <c r="O704" s="21">
        <f>30/'Record info'!$K704</f>
        <v>0.33707865168539325</v>
      </c>
      <c r="P704" s="21">
        <f>3628/'Record info'!$K704</f>
        <v>40.764044943820224</v>
      </c>
      <c r="Q704" s="3" t="s">
        <v>2272</v>
      </c>
      <c r="R704" s="21">
        <f t="shared" si="2"/>
        <v>4.6629213483146046</v>
      </c>
      <c r="S704" s="3" t="s">
        <v>2272</v>
      </c>
      <c r="T704" s="4" t="s">
        <v>4257</v>
      </c>
    </row>
    <row r="705" spans="1:20" ht="41" customHeight="1">
      <c r="A705" s="11" t="s">
        <v>4308</v>
      </c>
      <c r="B705" s="3" t="s">
        <v>2272</v>
      </c>
      <c r="C705" s="3" t="s">
        <v>2272</v>
      </c>
      <c r="D705" s="3" t="s">
        <v>2272</v>
      </c>
      <c r="E705" s="3" t="s">
        <v>2272</v>
      </c>
      <c r="F705" s="3" t="s">
        <v>2272</v>
      </c>
      <c r="G705" s="3" t="s">
        <v>2272</v>
      </c>
      <c r="H705" s="3" t="s">
        <v>2272</v>
      </c>
      <c r="I705" s="3" t="s">
        <v>2272</v>
      </c>
      <c r="J705" s="3" t="s">
        <v>2272</v>
      </c>
      <c r="K705" s="3" t="s">
        <v>2272</v>
      </c>
      <c r="L705" s="3" t="s">
        <v>2272</v>
      </c>
      <c r="M705" s="3" t="s">
        <v>2272</v>
      </c>
      <c r="N705" s="3" t="s">
        <v>2272</v>
      </c>
      <c r="O705" s="3" t="s">
        <v>2272</v>
      </c>
      <c r="P705" s="3" t="s">
        <v>2272</v>
      </c>
      <c r="Q705" s="3" t="s">
        <v>2272</v>
      </c>
      <c r="R705" s="21">
        <v>53</v>
      </c>
      <c r="S705" s="3" t="s">
        <v>2272</v>
      </c>
      <c r="T705" s="3" t="s">
        <v>4325</v>
      </c>
    </row>
    <row r="706" spans="1:20" ht="41" customHeight="1">
      <c r="A706" s="11" t="s">
        <v>4312</v>
      </c>
      <c r="B706" s="3" t="s">
        <v>2272</v>
      </c>
      <c r="C706" s="3" t="s">
        <v>2641</v>
      </c>
      <c r="D706" s="3" t="s">
        <v>44</v>
      </c>
      <c r="E706" s="3" t="s">
        <v>135</v>
      </c>
      <c r="F706" s="3" t="s">
        <v>2272</v>
      </c>
      <c r="G706" s="3" t="s">
        <v>2272</v>
      </c>
      <c r="H706" s="3" t="s">
        <v>2272</v>
      </c>
      <c r="I706" s="3" t="s">
        <v>2272</v>
      </c>
      <c r="J706" s="3" t="s">
        <v>2272</v>
      </c>
      <c r="K706" s="3" t="s">
        <v>2272</v>
      </c>
      <c r="L706" s="3" t="s">
        <v>2272</v>
      </c>
      <c r="M706" s="3" t="s">
        <v>2272</v>
      </c>
      <c r="N706" s="3" t="s">
        <v>2272</v>
      </c>
      <c r="O706" s="3" t="s">
        <v>2272</v>
      </c>
      <c r="P706" s="3" t="s">
        <v>2272</v>
      </c>
      <c r="Q706" s="3" t="s">
        <v>2272</v>
      </c>
      <c r="R706" s="21">
        <v>100</v>
      </c>
      <c r="S706" s="3" t="s">
        <v>2272</v>
      </c>
      <c r="T706" s="3" t="s">
        <v>4324</v>
      </c>
    </row>
    <row r="707" spans="1:20" ht="41" customHeight="1">
      <c r="A707" s="11" t="s">
        <v>4313</v>
      </c>
      <c r="B707" s="3" t="s">
        <v>2272</v>
      </c>
      <c r="C707" s="3" t="s">
        <v>2641</v>
      </c>
      <c r="D707" s="3" t="s">
        <v>44</v>
      </c>
      <c r="E707" s="3" t="s">
        <v>135</v>
      </c>
      <c r="F707" s="3" t="s">
        <v>2272</v>
      </c>
      <c r="G707" s="3" t="s">
        <v>2272</v>
      </c>
      <c r="H707" s="3" t="s">
        <v>2272</v>
      </c>
      <c r="I707" s="3" t="s">
        <v>2272</v>
      </c>
      <c r="J707" s="3" t="s">
        <v>2272</v>
      </c>
      <c r="K707" s="3" t="s">
        <v>2272</v>
      </c>
      <c r="L707" s="3" t="s">
        <v>2272</v>
      </c>
      <c r="M707" s="3" t="s">
        <v>2272</v>
      </c>
      <c r="N707" s="3" t="s">
        <v>2272</v>
      </c>
      <c r="O707" s="3" t="s">
        <v>2272</v>
      </c>
      <c r="P707" s="3" t="s">
        <v>2272</v>
      </c>
      <c r="Q707" s="3" t="s">
        <v>2272</v>
      </c>
      <c r="R707" s="21">
        <v>100</v>
      </c>
      <c r="S707" s="3" t="s">
        <v>2272</v>
      </c>
      <c r="T707" s="3" t="s">
        <v>4324</v>
      </c>
    </row>
    <row r="708" spans="1:20" ht="41" customHeight="1">
      <c r="A708" s="11" t="s">
        <v>4314</v>
      </c>
      <c r="B708" s="3" t="s">
        <v>2272</v>
      </c>
      <c r="C708" s="3" t="s">
        <v>2641</v>
      </c>
      <c r="D708" s="3" t="s">
        <v>44</v>
      </c>
      <c r="E708" s="3" t="s">
        <v>135</v>
      </c>
      <c r="F708" s="3" t="s">
        <v>2272</v>
      </c>
      <c r="G708" s="3" t="s">
        <v>2272</v>
      </c>
      <c r="H708" s="3" t="s">
        <v>2272</v>
      </c>
      <c r="I708" s="3" t="s">
        <v>2272</v>
      </c>
      <c r="J708" s="3" t="s">
        <v>2272</v>
      </c>
      <c r="K708" s="3" t="s">
        <v>2272</v>
      </c>
      <c r="L708" s="3" t="s">
        <v>2272</v>
      </c>
      <c r="M708" s="3" t="s">
        <v>2272</v>
      </c>
      <c r="N708" s="3" t="s">
        <v>2272</v>
      </c>
      <c r="O708" s="3" t="s">
        <v>2272</v>
      </c>
      <c r="P708" s="3" t="s">
        <v>2272</v>
      </c>
      <c r="Q708" s="3" t="s">
        <v>2272</v>
      </c>
      <c r="R708" s="21">
        <v>100</v>
      </c>
      <c r="S708" s="3" t="s">
        <v>2272</v>
      </c>
      <c r="T708" s="3" t="s">
        <v>4324</v>
      </c>
    </row>
    <row r="709" spans="1:20" ht="41" customHeight="1">
      <c r="A709" s="11" t="s">
        <v>4315</v>
      </c>
      <c r="B709" s="3" t="s">
        <v>2272</v>
      </c>
      <c r="C709" s="3" t="s">
        <v>2641</v>
      </c>
      <c r="D709" s="3" t="s">
        <v>44</v>
      </c>
      <c r="E709" s="3" t="s">
        <v>135</v>
      </c>
      <c r="F709" s="3" t="s">
        <v>2272</v>
      </c>
      <c r="G709" s="3" t="s">
        <v>2272</v>
      </c>
      <c r="H709" s="3" t="s">
        <v>2272</v>
      </c>
      <c r="I709" s="3" t="s">
        <v>2272</v>
      </c>
      <c r="J709" s="3" t="s">
        <v>2272</v>
      </c>
      <c r="K709" s="3" t="s">
        <v>2272</v>
      </c>
      <c r="L709" s="3" t="s">
        <v>2272</v>
      </c>
      <c r="M709" s="3" t="s">
        <v>2272</v>
      </c>
      <c r="N709" s="3" t="s">
        <v>2272</v>
      </c>
      <c r="O709" s="3" t="s">
        <v>2272</v>
      </c>
      <c r="P709" s="3" t="s">
        <v>2272</v>
      </c>
      <c r="Q709" s="3" t="s">
        <v>2272</v>
      </c>
      <c r="R709" s="21">
        <v>100</v>
      </c>
      <c r="S709" s="3" t="s">
        <v>2272</v>
      </c>
      <c r="T709" s="3" t="s">
        <v>4324</v>
      </c>
    </row>
    <row r="710" spans="1:20" ht="41" customHeight="1">
      <c r="A710" s="11" t="s">
        <v>4316</v>
      </c>
      <c r="B710" s="3" t="s">
        <v>2272</v>
      </c>
      <c r="C710" s="3" t="s">
        <v>2641</v>
      </c>
      <c r="D710" s="3" t="s">
        <v>44</v>
      </c>
      <c r="E710" s="3" t="s">
        <v>135</v>
      </c>
      <c r="F710" s="3" t="s">
        <v>2272</v>
      </c>
      <c r="G710" s="3" t="s">
        <v>2272</v>
      </c>
      <c r="H710" s="3" t="s">
        <v>2272</v>
      </c>
      <c r="I710" s="3" t="s">
        <v>2272</v>
      </c>
      <c r="J710" s="3" t="s">
        <v>2272</v>
      </c>
      <c r="K710" s="3" t="s">
        <v>2272</v>
      </c>
      <c r="L710" s="3" t="s">
        <v>2272</v>
      </c>
      <c r="M710" s="3" t="s">
        <v>2272</v>
      </c>
      <c r="N710" s="3" t="s">
        <v>2272</v>
      </c>
      <c r="O710" s="3" t="s">
        <v>2272</v>
      </c>
      <c r="P710" s="3" t="s">
        <v>2272</v>
      </c>
      <c r="Q710" s="3" t="s">
        <v>2272</v>
      </c>
      <c r="R710" s="21">
        <v>100</v>
      </c>
      <c r="S710" s="3" t="s">
        <v>2272</v>
      </c>
      <c r="T710" s="3" t="s">
        <v>4324</v>
      </c>
    </row>
    <row r="711" spans="1:20" ht="41" customHeight="1">
      <c r="A711" s="11" t="s">
        <v>4317</v>
      </c>
      <c r="B711" s="3" t="s">
        <v>2272</v>
      </c>
      <c r="C711" s="3" t="s">
        <v>2641</v>
      </c>
      <c r="D711" s="3" t="s">
        <v>44</v>
      </c>
      <c r="E711" s="3" t="s">
        <v>135</v>
      </c>
      <c r="F711" s="3" t="s">
        <v>2272</v>
      </c>
      <c r="G711" s="3" t="s">
        <v>2272</v>
      </c>
      <c r="H711" s="3" t="s">
        <v>2272</v>
      </c>
      <c r="I711" s="3" t="s">
        <v>2272</v>
      </c>
      <c r="J711" s="3" t="s">
        <v>2272</v>
      </c>
      <c r="K711" s="3" t="s">
        <v>2272</v>
      </c>
      <c r="L711" s="3" t="s">
        <v>2272</v>
      </c>
      <c r="M711" s="3" t="s">
        <v>2272</v>
      </c>
      <c r="N711" s="3" t="s">
        <v>2272</v>
      </c>
      <c r="O711" s="3" t="s">
        <v>2272</v>
      </c>
      <c r="P711" s="3" t="s">
        <v>2272</v>
      </c>
      <c r="Q711" s="3" t="s">
        <v>2272</v>
      </c>
      <c r="R711" s="21">
        <v>100</v>
      </c>
      <c r="S711" s="3" t="s">
        <v>2272</v>
      </c>
      <c r="T711" s="3" t="s">
        <v>4324</v>
      </c>
    </row>
    <row r="712" spans="1:20" ht="41" customHeight="1">
      <c r="A712" s="11" t="s">
        <v>4318</v>
      </c>
      <c r="B712" s="3" t="s">
        <v>2272</v>
      </c>
      <c r="C712" s="3" t="s">
        <v>2641</v>
      </c>
      <c r="D712" s="3" t="s">
        <v>44</v>
      </c>
      <c r="E712" s="3" t="s">
        <v>135</v>
      </c>
      <c r="F712" s="3" t="s">
        <v>2272</v>
      </c>
      <c r="G712" s="3" t="s">
        <v>2272</v>
      </c>
      <c r="H712" s="3" t="s">
        <v>2272</v>
      </c>
      <c r="I712" s="3" t="s">
        <v>2272</v>
      </c>
      <c r="J712" s="3" t="s">
        <v>2272</v>
      </c>
      <c r="K712" s="3" t="s">
        <v>2272</v>
      </c>
      <c r="L712" s="3" t="s">
        <v>2272</v>
      </c>
      <c r="M712" s="3" t="s">
        <v>2272</v>
      </c>
      <c r="N712" s="3" t="s">
        <v>2272</v>
      </c>
      <c r="O712" s="3" t="s">
        <v>2272</v>
      </c>
      <c r="P712" s="3" t="s">
        <v>2272</v>
      </c>
      <c r="Q712" s="3" t="s">
        <v>2272</v>
      </c>
      <c r="R712" s="21">
        <v>100</v>
      </c>
      <c r="S712" s="3" t="s">
        <v>2272</v>
      </c>
      <c r="T712" s="3" t="s">
        <v>4324</v>
      </c>
    </row>
    <row r="713" spans="1:20" ht="41" customHeight="1">
      <c r="A713" s="11" t="s">
        <v>4319</v>
      </c>
      <c r="B713" s="3" t="s">
        <v>2272</v>
      </c>
      <c r="C713" s="3" t="s">
        <v>2641</v>
      </c>
      <c r="D713" s="3" t="s">
        <v>44</v>
      </c>
      <c r="E713" s="3" t="s">
        <v>135</v>
      </c>
      <c r="F713" s="3" t="s">
        <v>2272</v>
      </c>
      <c r="G713" s="3" t="s">
        <v>2272</v>
      </c>
      <c r="H713" s="3" t="s">
        <v>2272</v>
      </c>
      <c r="I713" s="3" t="s">
        <v>2272</v>
      </c>
      <c r="J713" s="3" t="s">
        <v>2272</v>
      </c>
      <c r="K713" s="3" t="s">
        <v>2272</v>
      </c>
      <c r="L713" s="3" t="s">
        <v>2272</v>
      </c>
      <c r="M713" s="3" t="s">
        <v>2272</v>
      </c>
      <c r="N713" s="3" t="s">
        <v>2272</v>
      </c>
      <c r="O713" s="3" t="s">
        <v>2272</v>
      </c>
      <c r="P713" s="3" t="s">
        <v>2272</v>
      </c>
      <c r="Q713" s="3" t="s">
        <v>2272</v>
      </c>
      <c r="R713" s="21">
        <v>100</v>
      </c>
      <c r="S713" s="3" t="s">
        <v>2272</v>
      </c>
      <c r="T713" s="3" t="s">
        <v>4324</v>
      </c>
    </row>
    <row r="714" spans="1:20" ht="41" customHeight="1">
      <c r="A714" s="11" t="s">
        <v>4320</v>
      </c>
      <c r="B714" s="3" t="s">
        <v>2272</v>
      </c>
      <c r="C714" s="3" t="s">
        <v>2641</v>
      </c>
      <c r="D714" s="3" t="s">
        <v>44</v>
      </c>
      <c r="E714" s="3" t="s">
        <v>135</v>
      </c>
      <c r="F714" s="3" t="s">
        <v>2272</v>
      </c>
      <c r="G714" s="3" t="s">
        <v>2272</v>
      </c>
      <c r="H714" s="3" t="s">
        <v>2272</v>
      </c>
      <c r="I714" s="3" t="s">
        <v>2272</v>
      </c>
      <c r="J714" s="3" t="s">
        <v>2272</v>
      </c>
      <c r="K714" s="3" t="s">
        <v>2272</v>
      </c>
      <c r="L714" s="3" t="s">
        <v>2272</v>
      </c>
      <c r="M714" s="3" t="s">
        <v>2272</v>
      </c>
      <c r="N714" s="3" t="s">
        <v>2272</v>
      </c>
      <c r="O714" s="3" t="s">
        <v>2272</v>
      </c>
      <c r="P714" s="3" t="s">
        <v>2272</v>
      </c>
      <c r="Q714" s="3" t="s">
        <v>2272</v>
      </c>
      <c r="R714" s="21">
        <v>100</v>
      </c>
      <c r="S714" s="3" t="s">
        <v>2272</v>
      </c>
      <c r="T714" s="3" t="s">
        <v>4324</v>
      </c>
    </row>
    <row r="715" spans="1:20" ht="41" customHeight="1">
      <c r="A715" s="11" t="s">
        <v>4321</v>
      </c>
      <c r="B715" s="3" t="s">
        <v>2272</v>
      </c>
      <c r="C715" s="3" t="s">
        <v>2641</v>
      </c>
      <c r="D715" s="3" t="s">
        <v>44</v>
      </c>
      <c r="E715" s="3" t="s">
        <v>135</v>
      </c>
      <c r="F715" s="3" t="s">
        <v>2272</v>
      </c>
      <c r="G715" s="3" t="s">
        <v>2272</v>
      </c>
      <c r="H715" s="3" t="s">
        <v>2272</v>
      </c>
      <c r="I715" s="3" t="s">
        <v>2272</v>
      </c>
      <c r="J715" s="3" t="s">
        <v>2272</v>
      </c>
      <c r="K715" s="3" t="s">
        <v>2272</v>
      </c>
      <c r="L715" s="3" t="s">
        <v>2272</v>
      </c>
      <c r="M715" s="3" t="s">
        <v>2272</v>
      </c>
      <c r="N715" s="3" t="s">
        <v>2272</v>
      </c>
      <c r="O715" s="3" t="s">
        <v>2272</v>
      </c>
      <c r="P715" s="3" t="s">
        <v>2272</v>
      </c>
      <c r="Q715" s="3" t="s">
        <v>2272</v>
      </c>
      <c r="R715" s="21">
        <v>100</v>
      </c>
      <c r="S715" s="3" t="s">
        <v>2272</v>
      </c>
      <c r="T715" s="3" t="s">
        <v>4324</v>
      </c>
    </row>
    <row r="716" spans="1:20" ht="40.5" customHeight="1">
      <c r="A716" s="11" t="s">
        <v>4355</v>
      </c>
      <c r="B716" s="3" t="s">
        <v>68</v>
      </c>
      <c r="C716" s="3" t="s">
        <v>393</v>
      </c>
      <c r="D716" s="3" t="s">
        <v>128</v>
      </c>
      <c r="E716" s="3" t="s">
        <v>5000</v>
      </c>
      <c r="F716" s="3" t="s">
        <v>44</v>
      </c>
      <c r="G716" s="3" t="s">
        <v>2272</v>
      </c>
      <c r="H716" s="14">
        <f>(7051+20421)/100/'Record info'!K717</f>
        <v>0.10582434514637906</v>
      </c>
      <c r="I716" s="3" t="s">
        <v>2272</v>
      </c>
      <c r="J716" s="3" t="s">
        <v>2272</v>
      </c>
      <c r="K716" s="3" t="s">
        <v>2272</v>
      </c>
      <c r="L716" s="3" t="s">
        <v>2272</v>
      </c>
      <c r="M716" s="3" t="s">
        <v>2272</v>
      </c>
      <c r="N716" s="3" t="s">
        <v>2272</v>
      </c>
      <c r="O716" s="3" t="s">
        <v>2272</v>
      </c>
      <c r="P716" s="3" t="s">
        <v>2272</v>
      </c>
      <c r="Q716" s="3" t="s">
        <v>2272</v>
      </c>
      <c r="R716" s="3" t="s">
        <v>2272</v>
      </c>
      <c r="S716" s="3" t="s">
        <v>2272</v>
      </c>
      <c r="T716" s="3"/>
    </row>
    <row r="717" spans="1:20" ht="35.5" customHeight="1">
      <c r="A717" s="11" t="s">
        <v>4357</v>
      </c>
      <c r="B717" s="3" t="s">
        <v>2254</v>
      </c>
      <c r="C717" s="3" t="s">
        <v>11</v>
      </c>
      <c r="D717" s="3" t="s">
        <v>135</v>
      </c>
      <c r="E717" s="3" t="s">
        <v>2647</v>
      </c>
      <c r="F717" s="3" t="s">
        <v>44</v>
      </c>
      <c r="G717" s="3" t="s">
        <v>2642</v>
      </c>
      <c r="H717" s="3" t="s">
        <v>2272</v>
      </c>
      <c r="I717" s="3" t="s">
        <v>2272</v>
      </c>
      <c r="J717" s="3" t="s">
        <v>2272</v>
      </c>
      <c r="K717" s="3" t="s">
        <v>2272</v>
      </c>
      <c r="L717" s="3" t="s">
        <v>2272</v>
      </c>
      <c r="M717" s="3" t="s">
        <v>2272</v>
      </c>
      <c r="N717" s="3" t="s">
        <v>2272</v>
      </c>
      <c r="O717" s="3" t="s">
        <v>2272</v>
      </c>
      <c r="P717" s="3" t="s">
        <v>2272</v>
      </c>
      <c r="Q717" s="3" t="s">
        <v>2272</v>
      </c>
      <c r="R717" s="3" t="s">
        <v>2272</v>
      </c>
      <c r="S717" s="3" t="s">
        <v>2272</v>
      </c>
      <c r="T717" s="3" t="s">
        <v>4368</v>
      </c>
    </row>
    <row r="718" spans="1:20" ht="35.5" customHeight="1">
      <c r="A718" s="11" t="s">
        <v>4382</v>
      </c>
      <c r="B718" s="4" t="s">
        <v>2272</v>
      </c>
      <c r="C718" s="3" t="s">
        <v>11</v>
      </c>
      <c r="D718" s="3" t="s">
        <v>128</v>
      </c>
      <c r="E718" s="3" t="s">
        <v>44</v>
      </c>
      <c r="F718" s="4" t="s">
        <v>135</v>
      </c>
      <c r="G718" s="4" t="s">
        <v>2272</v>
      </c>
      <c r="H718" s="4" t="s">
        <v>2272</v>
      </c>
      <c r="I718" s="4" t="s">
        <v>2272</v>
      </c>
      <c r="J718" s="4" t="s">
        <v>2272</v>
      </c>
      <c r="K718" s="4" t="s">
        <v>2272</v>
      </c>
      <c r="L718" s="4" t="s">
        <v>2272</v>
      </c>
      <c r="M718" s="4" t="s">
        <v>2272</v>
      </c>
      <c r="N718" s="4" t="s">
        <v>2272</v>
      </c>
      <c r="O718" s="4" t="s">
        <v>2272</v>
      </c>
      <c r="P718" s="4" t="s">
        <v>2272</v>
      </c>
      <c r="Q718" s="4" t="s">
        <v>2272</v>
      </c>
      <c r="R718" s="4" t="s">
        <v>2272</v>
      </c>
      <c r="S718" s="4" t="s">
        <v>2272</v>
      </c>
      <c r="T718" s="3"/>
    </row>
    <row r="719" spans="1:20" ht="37" customHeight="1">
      <c r="A719" s="11" t="s">
        <v>4384</v>
      </c>
      <c r="B719" s="4" t="s">
        <v>2272</v>
      </c>
      <c r="C719" s="3" t="s">
        <v>11</v>
      </c>
      <c r="D719" s="4" t="s">
        <v>395</v>
      </c>
      <c r="E719" s="3" t="s">
        <v>44</v>
      </c>
      <c r="F719" s="4" t="s">
        <v>2272</v>
      </c>
      <c r="G719" s="4" t="s">
        <v>2272</v>
      </c>
      <c r="H719" s="14">
        <f>(3226+1000+1225)/SUM(166.4, 130.9, 1498.7, 250.2, 1696, 662.4, 487.7, 13, 99.5, 42.1, 2137.1, 4072.5, 1167.4, 469.6, 243.3)</f>
        <v>0.41494123378600573</v>
      </c>
      <c r="I719" s="4" t="s">
        <v>2272</v>
      </c>
      <c r="J719" s="4" t="s">
        <v>2272</v>
      </c>
      <c r="K719" s="4" t="s">
        <v>2272</v>
      </c>
      <c r="L719" s="4" t="s">
        <v>2272</v>
      </c>
      <c r="M719" s="4" t="s">
        <v>2272</v>
      </c>
      <c r="N719" s="4" t="s">
        <v>2272</v>
      </c>
      <c r="O719" s="4" t="s">
        <v>2272</v>
      </c>
      <c r="P719" s="21">
        <f>29.5+8.4+3.4</f>
        <v>41.3</v>
      </c>
      <c r="Q719" s="4" t="s">
        <v>2272</v>
      </c>
      <c r="R719" s="21">
        <f>1.2+0.9+10.8+1.8+12.3+4.8+3.5+0.3+15.5</f>
        <v>51.099999999999994</v>
      </c>
      <c r="S719" s="4" t="s">
        <v>2272</v>
      </c>
      <c r="T719" s="3"/>
    </row>
    <row r="720" spans="1:20" ht="33" customHeight="1">
      <c r="A720" s="11" t="s">
        <v>4385</v>
      </c>
      <c r="B720" s="4" t="s">
        <v>2272</v>
      </c>
      <c r="C720" s="3" t="s">
        <v>11</v>
      </c>
      <c r="D720" s="3" t="s">
        <v>5000</v>
      </c>
      <c r="E720" s="4" t="s">
        <v>395</v>
      </c>
      <c r="F720" s="4" t="s">
        <v>44</v>
      </c>
      <c r="G720" s="4" t="s">
        <v>2272</v>
      </c>
      <c r="H720" s="4" t="s">
        <v>2272</v>
      </c>
      <c r="I720" s="4" t="s">
        <v>2272</v>
      </c>
      <c r="J720" s="4" t="s">
        <v>2272</v>
      </c>
      <c r="K720" s="4" t="s">
        <v>2272</v>
      </c>
      <c r="L720" s="4" t="s">
        <v>2272</v>
      </c>
      <c r="M720" s="4" t="s">
        <v>2272</v>
      </c>
      <c r="N720" s="4" t="s">
        <v>2272</v>
      </c>
      <c r="O720" s="4" t="s">
        <v>2272</v>
      </c>
      <c r="P720" s="4" t="s">
        <v>2272</v>
      </c>
      <c r="Q720" s="4" t="s">
        <v>2272</v>
      </c>
      <c r="R720" s="4" t="s">
        <v>2272</v>
      </c>
      <c r="S720" s="4" t="s">
        <v>2272</v>
      </c>
      <c r="T720" s="3"/>
    </row>
    <row r="721" spans="1:20" ht="37" customHeight="1">
      <c r="A721" s="4" t="s">
        <v>4386</v>
      </c>
      <c r="B721" s="4" t="s">
        <v>2272</v>
      </c>
      <c r="C721" s="4" t="s">
        <v>11</v>
      </c>
      <c r="D721" s="4" t="s">
        <v>5000</v>
      </c>
      <c r="E721" s="4" t="s">
        <v>128</v>
      </c>
      <c r="F721" s="4" t="s">
        <v>394</v>
      </c>
      <c r="G721" s="4" t="s">
        <v>2272</v>
      </c>
      <c r="H721" s="4" t="s">
        <v>2272</v>
      </c>
      <c r="I721" s="4" t="s">
        <v>2272</v>
      </c>
      <c r="J721" s="4" t="s">
        <v>2272</v>
      </c>
      <c r="K721" s="4" t="s">
        <v>2272</v>
      </c>
      <c r="L721" s="4" t="s">
        <v>2272</v>
      </c>
      <c r="M721" s="4" t="s">
        <v>2272</v>
      </c>
      <c r="N721" s="4" t="s">
        <v>2272</v>
      </c>
      <c r="O721" s="4" t="s">
        <v>2272</v>
      </c>
      <c r="P721" s="4" t="s">
        <v>2272</v>
      </c>
      <c r="Q721" s="4" t="s">
        <v>2272</v>
      </c>
      <c r="R721" s="4" t="s">
        <v>2272</v>
      </c>
      <c r="S721" s="4" t="s">
        <v>2272</v>
      </c>
      <c r="T721" s="4" t="s">
        <v>4392</v>
      </c>
    </row>
    <row r="722" spans="1:20" ht="37" customHeight="1">
      <c r="A722" s="4" t="s">
        <v>4387</v>
      </c>
      <c r="B722" s="4" t="s">
        <v>2272</v>
      </c>
      <c r="C722" s="4" t="s">
        <v>11</v>
      </c>
      <c r="D722" s="4" t="s">
        <v>5000</v>
      </c>
      <c r="E722" s="4" t="s">
        <v>44</v>
      </c>
      <c r="F722" s="4" t="s">
        <v>860</v>
      </c>
      <c r="G722" s="4" t="s">
        <v>128</v>
      </c>
      <c r="H722" s="4" t="s">
        <v>2272</v>
      </c>
      <c r="I722" s="4" t="s">
        <v>2272</v>
      </c>
      <c r="J722" s="4" t="s">
        <v>2272</v>
      </c>
      <c r="K722" s="3" t="s">
        <v>532</v>
      </c>
      <c r="L722" s="4" t="s">
        <v>2272</v>
      </c>
      <c r="M722" s="4" t="s">
        <v>2272</v>
      </c>
      <c r="N722" s="4" t="s">
        <v>2272</v>
      </c>
      <c r="O722" s="4" t="s">
        <v>2272</v>
      </c>
      <c r="P722" s="21">
        <f>9.13</f>
        <v>9.1300000000000008</v>
      </c>
      <c r="Q722" s="21">
        <v>24.86</v>
      </c>
      <c r="R722" s="21">
        <v>27.25</v>
      </c>
      <c r="S722" s="21">
        <v>1.2</v>
      </c>
      <c r="T722" s="4" t="s">
        <v>4393</v>
      </c>
    </row>
    <row r="723" spans="1:20" ht="37" customHeight="1">
      <c r="A723" s="4" t="s">
        <v>4388</v>
      </c>
      <c r="B723" s="4" t="s">
        <v>2272</v>
      </c>
      <c r="C723" s="4" t="s">
        <v>393</v>
      </c>
      <c r="D723" s="4" t="s">
        <v>5000</v>
      </c>
      <c r="E723" s="4" t="s">
        <v>128</v>
      </c>
      <c r="F723" s="4" t="s">
        <v>2272</v>
      </c>
      <c r="G723" s="4" t="s">
        <v>2272</v>
      </c>
      <c r="H723" s="4" t="s">
        <v>2272</v>
      </c>
      <c r="I723" s="4" t="s">
        <v>2272</v>
      </c>
      <c r="J723" s="4" t="s">
        <v>2272</v>
      </c>
      <c r="K723" s="4" t="s">
        <v>2272</v>
      </c>
      <c r="L723" s="4" t="s">
        <v>2272</v>
      </c>
      <c r="M723" s="4" t="s">
        <v>2272</v>
      </c>
      <c r="N723" s="4" t="s">
        <v>2272</v>
      </c>
      <c r="O723" s="4" t="s">
        <v>2272</v>
      </c>
      <c r="P723" s="21">
        <f>27446/3129.69</f>
        <v>8.7695586463835067</v>
      </c>
      <c r="Q723" s="21">
        <v>35.69</v>
      </c>
      <c r="R723" s="21">
        <f>41.55</f>
        <v>41.55</v>
      </c>
      <c r="S723" s="21">
        <f>1.92</f>
        <v>1.92</v>
      </c>
      <c r="T723" s="4" t="s">
        <v>4394</v>
      </c>
    </row>
    <row r="724" spans="1:20" ht="37.5" customHeight="1">
      <c r="A724" s="3" t="s">
        <v>4413</v>
      </c>
      <c r="B724" s="3" t="s">
        <v>68</v>
      </c>
      <c r="C724" s="3" t="s">
        <v>393</v>
      </c>
      <c r="D724" s="3" t="s">
        <v>5000</v>
      </c>
      <c r="E724" s="3" t="s">
        <v>114</v>
      </c>
      <c r="F724" s="4" t="s">
        <v>2272</v>
      </c>
      <c r="G724" s="4" t="s">
        <v>2272</v>
      </c>
      <c r="H724" s="4" t="s">
        <v>2272</v>
      </c>
      <c r="I724" s="4" t="s">
        <v>2272</v>
      </c>
      <c r="J724" s="4" t="s">
        <v>2272</v>
      </c>
      <c r="K724" s="3" t="s">
        <v>532</v>
      </c>
      <c r="L724" s="4" t="s">
        <v>2272</v>
      </c>
      <c r="M724" s="4" t="s">
        <v>2272</v>
      </c>
      <c r="N724" s="4" t="s">
        <v>2272</v>
      </c>
      <c r="O724" s="4" t="s">
        <v>2272</v>
      </c>
      <c r="P724" s="4" t="s">
        <v>2272</v>
      </c>
      <c r="Q724" s="4" t="s">
        <v>2272</v>
      </c>
      <c r="R724" s="4" t="s">
        <v>2272</v>
      </c>
      <c r="S724" s="4" t="s">
        <v>2272</v>
      </c>
      <c r="T724" s="3" t="s">
        <v>4421</v>
      </c>
    </row>
    <row r="725" spans="1:20" ht="38" customHeight="1">
      <c r="A725" s="3" t="s">
        <v>4416</v>
      </c>
      <c r="B725" s="3" t="s">
        <v>1193</v>
      </c>
      <c r="C725" s="3" t="s">
        <v>2640</v>
      </c>
      <c r="D725" s="3" t="s">
        <v>135</v>
      </c>
      <c r="E725" s="4" t="s">
        <v>2272</v>
      </c>
      <c r="F725" s="4" t="s">
        <v>2272</v>
      </c>
      <c r="G725" s="4" t="s">
        <v>2272</v>
      </c>
      <c r="H725" s="4" t="s">
        <v>2272</v>
      </c>
      <c r="I725" s="4" t="s">
        <v>2272</v>
      </c>
      <c r="J725" s="4" t="s">
        <v>2272</v>
      </c>
      <c r="K725" s="4" t="s">
        <v>2272</v>
      </c>
      <c r="L725" s="4" t="s">
        <v>2272</v>
      </c>
      <c r="M725" s="4" t="s">
        <v>2272</v>
      </c>
      <c r="N725" s="4" t="s">
        <v>2272</v>
      </c>
      <c r="O725" s="4" t="s">
        <v>2272</v>
      </c>
      <c r="P725" s="4" t="s">
        <v>2272</v>
      </c>
      <c r="Q725" s="4" t="s">
        <v>2272</v>
      </c>
      <c r="R725" s="4" t="s">
        <v>2272</v>
      </c>
      <c r="S725" s="4" t="s">
        <v>2272</v>
      </c>
      <c r="T725" s="3" t="s">
        <v>4422</v>
      </c>
    </row>
    <row r="726" spans="1:20" ht="41" customHeight="1">
      <c r="A726" s="3" t="s">
        <v>4431</v>
      </c>
      <c r="B726" s="3" t="s">
        <v>2272</v>
      </c>
      <c r="C726" s="3" t="s">
        <v>11</v>
      </c>
      <c r="D726" s="3" t="s">
        <v>5000</v>
      </c>
      <c r="E726" s="4" t="s">
        <v>44</v>
      </c>
      <c r="F726" s="4" t="s">
        <v>2272</v>
      </c>
      <c r="G726" s="4" t="s">
        <v>2272</v>
      </c>
      <c r="H726" s="4" t="s">
        <v>2272</v>
      </c>
      <c r="I726" s="4" t="s">
        <v>2272</v>
      </c>
      <c r="J726" s="4" t="s">
        <v>2272</v>
      </c>
      <c r="K726" s="4" t="s">
        <v>2272</v>
      </c>
      <c r="L726" s="4" t="s">
        <v>2272</v>
      </c>
      <c r="M726" s="4" t="s">
        <v>2272</v>
      </c>
      <c r="N726" s="4" t="s">
        <v>2272</v>
      </c>
      <c r="O726" s="4" t="s">
        <v>2272</v>
      </c>
      <c r="P726" s="4" t="s">
        <v>2272</v>
      </c>
      <c r="Q726" s="4" t="s">
        <v>2272</v>
      </c>
      <c r="R726" s="4" t="s">
        <v>2272</v>
      </c>
      <c r="S726" s="4" t="s">
        <v>2272</v>
      </c>
      <c r="T726" s="3"/>
    </row>
    <row r="727" spans="1:20" ht="36" customHeight="1">
      <c r="A727" s="11" t="s">
        <v>4443</v>
      </c>
      <c r="B727" s="3" t="s">
        <v>2272</v>
      </c>
      <c r="C727" s="3" t="s">
        <v>393</v>
      </c>
      <c r="D727" s="3" t="s">
        <v>128</v>
      </c>
      <c r="E727" s="4" t="s">
        <v>114</v>
      </c>
      <c r="F727" s="4" t="s">
        <v>2272</v>
      </c>
      <c r="G727" s="4" t="s">
        <v>2272</v>
      </c>
      <c r="H727" s="4" t="s">
        <v>2272</v>
      </c>
      <c r="I727" s="4" t="s">
        <v>2272</v>
      </c>
      <c r="J727" s="4" t="s">
        <v>2272</v>
      </c>
      <c r="K727" s="4" t="s">
        <v>2272</v>
      </c>
      <c r="L727" s="4" t="s">
        <v>2272</v>
      </c>
      <c r="M727" s="4" t="s">
        <v>2272</v>
      </c>
      <c r="N727" s="4" t="s">
        <v>2272</v>
      </c>
      <c r="O727" s="4" t="s">
        <v>2272</v>
      </c>
      <c r="P727" s="4" t="s">
        <v>2272</v>
      </c>
      <c r="Q727" s="4" t="s">
        <v>2272</v>
      </c>
      <c r="R727" s="4" t="s">
        <v>2272</v>
      </c>
      <c r="S727" s="4" t="s">
        <v>2272</v>
      </c>
      <c r="T727" s="3" t="s">
        <v>4463</v>
      </c>
    </row>
    <row r="728" spans="1:20" ht="35" customHeight="1">
      <c r="A728" s="11" t="s">
        <v>4446</v>
      </c>
      <c r="B728" s="3" t="s">
        <v>2272</v>
      </c>
      <c r="C728" s="3" t="s">
        <v>393</v>
      </c>
      <c r="D728" s="3" t="s">
        <v>128</v>
      </c>
      <c r="E728" s="4" t="s">
        <v>2272</v>
      </c>
      <c r="F728" s="4" t="s">
        <v>2272</v>
      </c>
      <c r="G728" s="4" t="s">
        <v>2272</v>
      </c>
      <c r="H728" s="4" t="s">
        <v>2272</v>
      </c>
      <c r="I728" s="4" t="s">
        <v>2272</v>
      </c>
      <c r="J728" s="4" t="s">
        <v>2272</v>
      </c>
      <c r="K728" s="4" t="s">
        <v>2272</v>
      </c>
      <c r="L728" s="4" t="s">
        <v>2272</v>
      </c>
      <c r="M728" s="4" t="s">
        <v>2272</v>
      </c>
      <c r="N728" s="4" t="s">
        <v>2272</v>
      </c>
      <c r="O728" s="4" t="s">
        <v>2272</v>
      </c>
      <c r="P728" s="4" t="s">
        <v>2272</v>
      </c>
      <c r="Q728" s="4" t="s">
        <v>2272</v>
      </c>
      <c r="R728" s="4" t="s">
        <v>2272</v>
      </c>
      <c r="S728" s="4" t="s">
        <v>2272</v>
      </c>
      <c r="T728" s="3"/>
    </row>
    <row r="729" spans="1:20" ht="35.5" customHeight="1">
      <c r="A729" s="11" t="s">
        <v>4448</v>
      </c>
      <c r="B729" s="3" t="s">
        <v>2272</v>
      </c>
      <c r="C729" s="3" t="s">
        <v>393</v>
      </c>
      <c r="D729" s="3" t="s">
        <v>128</v>
      </c>
      <c r="E729" s="4" t="s">
        <v>2272</v>
      </c>
      <c r="F729" s="4" t="s">
        <v>2272</v>
      </c>
      <c r="G729" s="4" t="s">
        <v>2272</v>
      </c>
      <c r="H729" s="4" t="s">
        <v>2272</v>
      </c>
      <c r="I729" s="4" t="s">
        <v>2272</v>
      </c>
      <c r="J729" s="4" t="s">
        <v>2272</v>
      </c>
      <c r="K729" s="4" t="s">
        <v>2272</v>
      </c>
      <c r="L729" s="4" t="s">
        <v>2272</v>
      </c>
      <c r="M729" s="4" t="s">
        <v>2272</v>
      </c>
      <c r="N729" s="4" t="s">
        <v>2272</v>
      </c>
      <c r="O729" s="4" t="s">
        <v>2272</v>
      </c>
      <c r="P729" s="4" t="s">
        <v>2272</v>
      </c>
      <c r="Q729" s="4" t="s">
        <v>2272</v>
      </c>
      <c r="R729" s="4" t="s">
        <v>2272</v>
      </c>
      <c r="S729" s="4" t="s">
        <v>2272</v>
      </c>
      <c r="T729" s="3"/>
    </row>
    <row r="730" spans="1:20" ht="35.5" customHeight="1">
      <c r="A730" s="11" t="s">
        <v>4468</v>
      </c>
      <c r="B730" s="3" t="s">
        <v>2272</v>
      </c>
      <c r="C730" s="3" t="s">
        <v>393</v>
      </c>
      <c r="D730" s="3" t="s">
        <v>5000</v>
      </c>
      <c r="E730" s="4" t="s">
        <v>2272</v>
      </c>
      <c r="F730" s="4" t="s">
        <v>2272</v>
      </c>
      <c r="G730" s="4" t="s">
        <v>2272</v>
      </c>
      <c r="H730" s="4" t="s">
        <v>2272</v>
      </c>
      <c r="I730" s="4" t="s">
        <v>2272</v>
      </c>
      <c r="J730" s="4" t="s">
        <v>2272</v>
      </c>
      <c r="K730" s="4" t="s">
        <v>2272</v>
      </c>
      <c r="L730" s="4" t="s">
        <v>2272</v>
      </c>
      <c r="M730" s="4" t="s">
        <v>2272</v>
      </c>
      <c r="N730" s="4" t="s">
        <v>2272</v>
      </c>
      <c r="O730" s="4" t="s">
        <v>2272</v>
      </c>
      <c r="P730" s="4" t="s">
        <v>2272</v>
      </c>
      <c r="Q730" s="4" t="s">
        <v>2272</v>
      </c>
      <c r="R730" s="4" t="s">
        <v>2272</v>
      </c>
      <c r="S730" s="4" t="s">
        <v>2272</v>
      </c>
      <c r="T730" s="3"/>
    </row>
    <row r="731" spans="1:20" ht="35.5" customHeight="1">
      <c r="A731" s="11" t="s">
        <v>4480</v>
      </c>
      <c r="B731" s="3" t="s">
        <v>68</v>
      </c>
      <c r="C731" s="3" t="s">
        <v>393</v>
      </c>
      <c r="D731" s="3" t="s">
        <v>5000</v>
      </c>
      <c r="E731" s="4" t="s">
        <v>2272</v>
      </c>
      <c r="F731" s="4" t="s">
        <v>2272</v>
      </c>
      <c r="G731" s="4" t="s">
        <v>2272</v>
      </c>
      <c r="H731" s="4" t="s">
        <v>2272</v>
      </c>
      <c r="I731" s="4" t="s">
        <v>2272</v>
      </c>
      <c r="J731" s="4" t="s">
        <v>2272</v>
      </c>
      <c r="K731" s="4" t="s">
        <v>2272</v>
      </c>
      <c r="L731" s="4" t="s">
        <v>2272</v>
      </c>
      <c r="M731" s="4" t="s">
        <v>2272</v>
      </c>
      <c r="N731" s="4" t="s">
        <v>2272</v>
      </c>
      <c r="O731" s="4" t="s">
        <v>2272</v>
      </c>
      <c r="P731" s="4" t="s">
        <v>2272</v>
      </c>
      <c r="Q731" s="4" t="s">
        <v>2272</v>
      </c>
      <c r="R731" s="4" t="s">
        <v>2272</v>
      </c>
      <c r="S731" s="4" t="s">
        <v>2272</v>
      </c>
      <c r="T731" s="3"/>
    </row>
    <row r="732" spans="1:20" ht="31.5" customHeight="1">
      <c r="A732" s="11" t="s">
        <v>4482</v>
      </c>
      <c r="B732" s="3" t="s">
        <v>68</v>
      </c>
      <c r="C732" s="3" t="s">
        <v>393</v>
      </c>
      <c r="D732" s="3" t="s">
        <v>5000</v>
      </c>
      <c r="E732" s="4" t="s">
        <v>2272</v>
      </c>
      <c r="F732" s="4" t="s">
        <v>2272</v>
      </c>
      <c r="G732" s="4" t="s">
        <v>2272</v>
      </c>
      <c r="H732" s="4" t="s">
        <v>2272</v>
      </c>
      <c r="I732" s="4" t="s">
        <v>2272</v>
      </c>
      <c r="J732" s="4" t="s">
        <v>2272</v>
      </c>
      <c r="K732" s="4" t="s">
        <v>2272</v>
      </c>
      <c r="L732" s="4" t="s">
        <v>2272</v>
      </c>
      <c r="M732" s="4" t="s">
        <v>2272</v>
      </c>
      <c r="N732" s="4" t="s">
        <v>2272</v>
      </c>
      <c r="O732" s="4" t="s">
        <v>2272</v>
      </c>
      <c r="P732" s="4" t="s">
        <v>2272</v>
      </c>
      <c r="Q732" s="4" t="s">
        <v>2272</v>
      </c>
      <c r="R732" s="4" t="s">
        <v>2272</v>
      </c>
      <c r="S732" s="4" t="s">
        <v>2272</v>
      </c>
      <c r="T732" s="3"/>
    </row>
    <row r="733" spans="1:20" ht="40.5" customHeight="1">
      <c r="A733" s="11" t="s">
        <v>4483</v>
      </c>
      <c r="B733" s="3" t="s">
        <v>68</v>
      </c>
      <c r="C733" s="3" t="s">
        <v>393</v>
      </c>
      <c r="D733" s="3" t="s">
        <v>5000</v>
      </c>
      <c r="E733" s="3" t="s">
        <v>44</v>
      </c>
      <c r="F733" s="4" t="s">
        <v>2272</v>
      </c>
      <c r="G733" s="4" t="s">
        <v>2272</v>
      </c>
      <c r="H733" s="21">
        <f>SUM(27460, 17788, 54774, 11980, 21788, 31830)/3/(2250*100)</f>
        <v>0.24536296296296295</v>
      </c>
      <c r="I733" s="4" t="s">
        <v>2272</v>
      </c>
      <c r="J733" s="4" t="s">
        <v>2272</v>
      </c>
      <c r="K733" s="4" t="s">
        <v>2272</v>
      </c>
      <c r="L733" s="4" t="s">
        <v>2272</v>
      </c>
      <c r="M733" s="4" t="s">
        <v>2272</v>
      </c>
      <c r="N733" s="4" t="s">
        <v>2272</v>
      </c>
      <c r="O733" s="4" t="s">
        <v>2272</v>
      </c>
      <c r="P733" s="4" t="s">
        <v>2272</v>
      </c>
      <c r="Q733" s="4" t="s">
        <v>2272</v>
      </c>
      <c r="R733" s="4" t="s">
        <v>2272</v>
      </c>
      <c r="S733" s="4" t="s">
        <v>2272</v>
      </c>
      <c r="T733" s="4" t="s">
        <v>4498</v>
      </c>
    </row>
    <row r="734" spans="1:20" ht="47" customHeight="1">
      <c r="A734" s="11" t="s">
        <v>4484</v>
      </c>
      <c r="B734" s="3" t="s">
        <v>2272</v>
      </c>
      <c r="C734" s="3" t="s">
        <v>11</v>
      </c>
      <c r="D734" s="4" t="s">
        <v>3849</v>
      </c>
      <c r="E734" s="3" t="s">
        <v>2647</v>
      </c>
      <c r="F734" s="3" t="s">
        <v>82</v>
      </c>
      <c r="G734" s="4" t="s">
        <v>2272</v>
      </c>
      <c r="H734" s="21">
        <f>SUM(7748, 60603, 16507, 10674)/2/(2250*100)</f>
        <v>0.21229333333333333</v>
      </c>
      <c r="I734" s="4" t="s">
        <v>2272</v>
      </c>
      <c r="J734" s="4" t="s">
        <v>2272</v>
      </c>
      <c r="K734" s="4" t="s">
        <v>2272</v>
      </c>
      <c r="L734" s="4" t="s">
        <v>2272</v>
      </c>
      <c r="M734" s="4" t="s">
        <v>2272</v>
      </c>
      <c r="N734" s="4" t="s">
        <v>2272</v>
      </c>
      <c r="O734" s="4" t="s">
        <v>2272</v>
      </c>
      <c r="P734" s="4" t="s">
        <v>2272</v>
      </c>
      <c r="Q734" s="4" t="s">
        <v>2272</v>
      </c>
      <c r="R734" s="4" t="s">
        <v>2272</v>
      </c>
      <c r="S734" s="4" t="s">
        <v>2272</v>
      </c>
      <c r="T734" s="3" t="s">
        <v>4499</v>
      </c>
    </row>
    <row r="735" spans="1:20" ht="41" customHeight="1">
      <c r="A735" s="11" t="s">
        <v>4497</v>
      </c>
      <c r="B735" s="3" t="s">
        <v>69</v>
      </c>
      <c r="C735" s="3" t="s">
        <v>2640</v>
      </c>
      <c r="D735" s="3" t="s">
        <v>44</v>
      </c>
      <c r="E735" s="3" t="s">
        <v>82</v>
      </c>
      <c r="F735" s="4" t="s">
        <v>2272</v>
      </c>
      <c r="G735" s="4" t="s">
        <v>2272</v>
      </c>
      <c r="H735" s="4" t="s">
        <v>2272</v>
      </c>
      <c r="I735" s="4" t="s">
        <v>2272</v>
      </c>
      <c r="J735" s="4" t="s">
        <v>2272</v>
      </c>
      <c r="K735" s="4" t="s">
        <v>2272</v>
      </c>
      <c r="L735" s="4" t="s">
        <v>2272</v>
      </c>
      <c r="M735" s="4" t="s">
        <v>2272</v>
      </c>
      <c r="N735" s="4" t="s">
        <v>2272</v>
      </c>
      <c r="O735" s="4" t="s">
        <v>2272</v>
      </c>
      <c r="P735" s="4" t="s">
        <v>2272</v>
      </c>
      <c r="Q735" s="4" t="s">
        <v>2272</v>
      </c>
      <c r="R735" s="4" t="s">
        <v>2272</v>
      </c>
      <c r="S735" s="4" t="s">
        <v>2272</v>
      </c>
      <c r="T735" s="3"/>
    </row>
    <row r="736" spans="1:20" ht="35.5" customHeight="1">
      <c r="A736" s="11" t="s">
        <v>4501</v>
      </c>
      <c r="B736" s="3" t="s">
        <v>69</v>
      </c>
      <c r="C736" s="3" t="s">
        <v>2640</v>
      </c>
      <c r="D736" s="3" t="s">
        <v>44</v>
      </c>
      <c r="E736" s="3" t="s">
        <v>82</v>
      </c>
      <c r="F736" s="4" t="s">
        <v>2272</v>
      </c>
      <c r="G736" s="4" t="s">
        <v>2272</v>
      </c>
      <c r="H736" s="21">
        <v>0.12</v>
      </c>
      <c r="I736" s="4" t="s">
        <v>2272</v>
      </c>
      <c r="J736" s="4" t="s">
        <v>2272</v>
      </c>
      <c r="K736" s="4" t="s">
        <v>2272</v>
      </c>
      <c r="L736" s="4" t="s">
        <v>2272</v>
      </c>
      <c r="M736" s="4" t="s">
        <v>2272</v>
      </c>
      <c r="N736" s="4" t="s">
        <v>2272</v>
      </c>
      <c r="O736" s="4" t="s">
        <v>2272</v>
      </c>
      <c r="P736" s="4" t="s">
        <v>2272</v>
      </c>
      <c r="Q736" s="4" t="s">
        <v>2272</v>
      </c>
      <c r="R736" s="4" t="s">
        <v>2272</v>
      </c>
      <c r="S736" s="4" t="s">
        <v>2272</v>
      </c>
      <c r="T736" s="3"/>
    </row>
    <row r="737" spans="1:20" ht="36" customHeight="1">
      <c r="A737" s="11" t="s">
        <v>4513</v>
      </c>
      <c r="B737" s="3" t="s">
        <v>1193</v>
      </c>
      <c r="C737" s="3" t="s">
        <v>393</v>
      </c>
      <c r="D737" s="3" t="s">
        <v>135</v>
      </c>
      <c r="E737" s="4" t="s">
        <v>2272</v>
      </c>
      <c r="F737" s="4" t="s">
        <v>2272</v>
      </c>
      <c r="G737" s="4" t="s">
        <v>2272</v>
      </c>
      <c r="H737" s="4" t="s">
        <v>2272</v>
      </c>
      <c r="I737" s="4" t="s">
        <v>2272</v>
      </c>
      <c r="J737" s="4" t="s">
        <v>2272</v>
      </c>
      <c r="K737" s="4" t="s">
        <v>2272</v>
      </c>
      <c r="L737" s="4" t="s">
        <v>2272</v>
      </c>
      <c r="M737" s="4" t="s">
        <v>2272</v>
      </c>
      <c r="N737" s="4" t="s">
        <v>2272</v>
      </c>
      <c r="O737" s="4" t="s">
        <v>2272</v>
      </c>
      <c r="P737" s="4" t="s">
        <v>2272</v>
      </c>
      <c r="Q737" s="4" t="s">
        <v>2272</v>
      </c>
      <c r="R737" s="4" t="s">
        <v>2272</v>
      </c>
      <c r="S737" s="4" t="s">
        <v>2272</v>
      </c>
      <c r="T737" s="3"/>
    </row>
    <row r="738" spans="1:20" ht="36" customHeight="1">
      <c r="A738" s="11" t="s">
        <v>4514</v>
      </c>
      <c r="B738" s="3" t="s">
        <v>69</v>
      </c>
      <c r="C738" s="3" t="s">
        <v>2640</v>
      </c>
      <c r="D738" s="3" t="s">
        <v>44</v>
      </c>
      <c r="E738" s="3" t="s">
        <v>82</v>
      </c>
      <c r="F738" s="4" t="s">
        <v>2272</v>
      </c>
      <c r="G738" s="4" t="s">
        <v>2272</v>
      </c>
      <c r="H738" s="4" t="s">
        <v>2272</v>
      </c>
      <c r="I738" s="4" t="s">
        <v>2272</v>
      </c>
      <c r="J738" s="4" t="s">
        <v>2272</v>
      </c>
      <c r="K738" s="4" t="s">
        <v>2272</v>
      </c>
      <c r="L738" s="4" t="s">
        <v>2272</v>
      </c>
      <c r="M738" s="4" t="s">
        <v>2272</v>
      </c>
      <c r="N738" s="4" t="s">
        <v>2272</v>
      </c>
      <c r="O738" s="4" t="s">
        <v>2272</v>
      </c>
      <c r="P738" s="4" t="s">
        <v>2272</v>
      </c>
      <c r="Q738" s="4" t="s">
        <v>2272</v>
      </c>
      <c r="R738" s="4" t="s">
        <v>2272</v>
      </c>
      <c r="S738" s="4" t="s">
        <v>2272</v>
      </c>
      <c r="T738" s="3"/>
    </row>
    <row r="739" spans="1:20" ht="36" customHeight="1">
      <c r="A739" s="11" t="s">
        <v>4515</v>
      </c>
      <c r="B739" s="3" t="s">
        <v>68</v>
      </c>
      <c r="C739" s="3" t="s">
        <v>393</v>
      </c>
      <c r="D739" s="3" t="s">
        <v>5000</v>
      </c>
      <c r="E739" s="4" t="s">
        <v>2272</v>
      </c>
      <c r="F739" s="4" t="s">
        <v>2272</v>
      </c>
      <c r="G739" s="4" t="s">
        <v>2272</v>
      </c>
      <c r="H739" s="4" t="s">
        <v>2272</v>
      </c>
      <c r="I739" s="4" t="s">
        <v>2272</v>
      </c>
      <c r="J739" s="4" t="s">
        <v>2272</v>
      </c>
      <c r="K739" s="4" t="s">
        <v>2272</v>
      </c>
      <c r="L739" s="4" t="s">
        <v>2272</v>
      </c>
      <c r="M739" s="4" t="s">
        <v>2272</v>
      </c>
      <c r="N739" s="4" t="s">
        <v>2272</v>
      </c>
      <c r="O739" s="4" t="s">
        <v>2272</v>
      </c>
      <c r="P739" s="4" t="s">
        <v>2272</v>
      </c>
      <c r="Q739" s="4" t="s">
        <v>2272</v>
      </c>
      <c r="R739" s="4" t="s">
        <v>2272</v>
      </c>
      <c r="S739" s="4" t="s">
        <v>2272</v>
      </c>
      <c r="T739" s="3"/>
    </row>
    <row r="740" spans="1:20" ht="36" customHeight="1">
      <c r="A740" s="11" t="s">
        <v>4516</v>
      </c>
      <c r="B740" s="3" t="s">
        <v>68</v>
      </c>
      <c r="C740" s="3" t="s">
        <v>393</v>
      </c>
      <c r="D740" s="3" t="s">
        <v>5000</v>
      </c>
      <c r="E740" s="4" t="s">
        <v>2272</v>
      </c>
      <c r="F740" s="4" t="s">
        <v>2272</v>
      </c>
      <c r="G740" s="4" t="s">
        <v>2272</v>
      </c>
      <c r="H740" s="4" t="s">
        <v>2272</v>
      </c>
      <c r="I740" s="4" t="s">
        <v>2272</v>
      </c>
      <c r="J740" s="4" t="s">
        <v>2272</v>
      </c>
      <c r="K740" s="4" t="s">
        <v>2272</v>
      </c>
      <c r="L740" s="4" t="s">
        <v>2272</v>
      </c>
      <c r="M740" s="4" t="s">
        <v>2272</v>
      </c>
      <c r="N740" s="4" t="s">
        <v>2272</v>
      </c>
      <c r="O740" s="4" t="s">
        <v>2272</v>
      </c>
      <c r="P740" s="4" t="s">
        <v>2272</v>
      </c>
      <c r="Q740" s="4" t="s">
        <v>2272</v>
      </c>
      <c r="R740" s="4" t="s">
        <v>2272</v>
      </c>
      <c r="S740" s="4" t="s">
        <v>2272</v>
      </c>
      <c r="T740" s="3"/>
    </row>
    <row r="741" spans="1:20" ht="36" customHeight="1">
      <c r="A741" s="11" t="s">
        <v>4517</v>
      </c>
      <c r="B741" s="3" t="s">
        <v>2272</v>
      </c>
      <c r="C741" s="3" t="s">
        <v>11</v>
      </c>
      <c r="D741" s="3" t="s">
        <v>2648</v>
      </c>
      <c r="E741" s="4" t="s">
        <v>394</v>
      </c>
      <c r="F741" s="4" t="s">
        <v>2272</v>
      </c>
      <c r="G741" s="4" t="s">
        <v>2272</v>
      </c>
      <c r="H741" s="4" t="s">
        <v>2272</v>
      </c>
      <c r="I741" s="4" t="s">
        <v>2272</v>
      </c>
      <c r="J741" s="4" t="s">
        <v>2272</v>
      </c>
      <c r="K741" s="4" t="s">
        <v>2272</v>
      </c>
      <c r="L741" s="4" t="s">
        <v>2272</v>
      </c>
      <c r="M741" s="4" t="s">
        <v>2272</v>
      </c>
      <c r="N741" s="4" t="s">
        <v>2272</v>
      </c>
      <c r="O741" s="4" t="s">
        <v>2272</v>
      </c>
      <c r="P741" s="4" t="s">
        <v>2272</v>
      </c>
      <c r="Q741" s="4" t="s">
        <v>2272</v>
      </c>
      <c r="R741" s="4" t="s">
        <v>2272</v>
      </c>
      <c r="S741" s="4" t="s">
        <v>2272</v>
      </c>
      <c r="T741" s="3"/>
    </row>
    <row r="742" spans="1:20" ht="37.5" customHeight="1">
      <c r="A742" s="11" t="s">
        <v>4538</v>
      </c>
      <c r="B742" s="3" t="s">
        <v>1193</v>
      </c>
      <c r="C742" s="3" t="s">
        <v>11</v>
      </c>
      <c r="D742" s="3" t="s">
        <v>135</v>
      </c>
      <c r="E742" s="3" t="s">
        <v>5000</v>
      </c>
      <c r="F742" s="3" t="s">
        <v>128</v>
      </c>
      <c r="G742" s="4" t="s">
        <v>114</v>
      </c>
      <c r="H742" s="4" t="s">
        <v>2272</v>
      </c>
      <c r="I742" s="4" t="s">
        <v>2272</v>
      </c>
      <c r="J742" s="4" t="s">
        <v>2272</v>
      </c>
      <c r="K742" s="4" t="s">
        <v>2272</v>
      </c>
      <c r="L742" s="4" t="s">
        <v>2272</v>
      </c>
      <c r="M742" s="4" t="s">
        <v>2272</v>
      </c>
      <c r="N742" s="4" t="s">
        <v>2272</v>
      </c>
      <c r="O742" s="4" t="s">
        <v>2272</v>
      </c>
      <c r="P742" s="4" t="s">
        <v>2272</v>
      </c>
      <c r="Q742" s="4" t="s">
        <v>2272</v>
      </c>
      <c r="R742" s="4" t="s">
        <v>2272</v>
      </c>
      <c r="S742" s="4" t="s">
        <v>2272</v>
      </c>
      <c r="T742" s="3" t="s">
        <v>4565</v>
      </c>
    </row>
    <row r="743" spans="1:20" ht="43" customHeight="1">
      <c r="A743" s="11" t="s">
        <v>4541</v>
      </c>
      <c r="B743" s="3" t="s">
        <v>1193</v>
      </c>
      <c r="C743" s="3" t="s">
        <v>11</v>
      </c>
      <c r="D743" s="3" t="s">
        <v>135</v>
      </c>
      <c r="E743" s="3" t="s">
        <v>5000</v>
      </c>
      <c r="F743" s="3" t="s">
        <v>128</v>
      </c>
      <c r="G743" s="4" t="s">
        <v>114</v>
      </c>
      <c r="H743" s="4" t="s">
        <v>2272</v>
      </c>
      <c r="I743" s="4" t="s">
        <v>2272</v>
      </c>
      <c r="J743" s="4" t="s">
        <v>2272</v>
      </c>
      <c r="K743" s="4" t="s">
        <v>2272</v>
      </c>
      <c r="L743" s="4" t="s">
        <v>2272</v>
      </c>
      <c r="M743" s="4" t="s">
        <v>2272</v>
      </c>
      <c r="N743" s="4" t="s">
        <v>2272</v>
      </c>
      <c r="O743" s="4" t="s">
        <v>2272</v>
      </c>
      <c r="P743" s="4" t="s">
        <v>2272</v>
      </c>
      <c r="Q743" s="4" t="s">
        <v>2272</v>
      </c>
      <c r="R743" s="4" t="s">
        <v>2272</v>
      </c>
      <c r="S743" s="4" t="s">
        <v>2272</v>
      </c>
      <c r="T743" s="3" t="s">
        <v>4565</v>
      </c>
    </row>
    <row r="744" spans="1:20" ht="42.5" customHeight="1">
      <c r="A744" s="11" t="s">
        <v>4566</v>
      </c>
      <c r="B744" s="3" t="s">
        <v>69</v>
      </c>
      <c r="C744" s="3" t="s">
        <v>2641</v>
      </c>
      <c r="D744" s="3" t="s">
        <v>135</v>
      </c>
      <c r="E744" s="3" t="s">
        <v>2647</v>
      </c>
      <c r="F744" s="4" t="s">
        <v>2272</v>
      </c>
      <c r="G744" s="4" t="s">
        <v>2272</v>
      </c>
      <c r="H744" s="4" t="s">
        <v>2272</v>
      </c>
      <c r="I744" s="4" t="s">
        <v>2272</v>
      </c>
      <c r="J744" s="4" t="s">
        <v>2272</v>
      </c>
      <c r="K744" s="4" t="s">
        <v>2272</v>
      </c>
      <c r="L744" s="4" t="s">
        <v>2272</v>
      </c>
      <c r="M744" s="4" t="s">
        <v>2272</v>
      </c>
      <c r="N744" s="4" t="s">
        <v>2272</v>
      </c>
      <c r="O744" s="4" t="s">
        <v>2272</v>
      </c>
      <c r="P744" s="4" t="s">
        <v>2272</v>
      </c>
      <c r="Q744" s="4" t="s">
        <v>2272</v>
      </c>
      <c r="R744" s="4" t="s">
        <v>2272</v>
      </c>
      <c r="S744" s="4" t="s">
        <v>2272</v>
      </c>
      <c r="T744" s="3"/>
    </row>
    <row r="745" spans="1:20" ht="46.5" customHeight="1">
      <c r="A745" s="11" t="s">
        <v>4577</v>
      </c>
      <c r="B745" s="3" t="s">
        <v>2272</v>
      </c>
      <c r="C745" s="3" t="s">
        <v>11</v>
      </c>
      <c r="D745" s="3" t="s">
        <v>5000</v>
      </c>
      <c r="E745" s="3" t="s">
        <v>135</v>
      </c>
      <c r="F745" s="4" t="s">
        <v>2272</v>
      </c>
      <c r="G745" s="4" t="s">
        <v>2272</v>
      </c>
      <c r="H745" s="4" t="s">
        <v>2272</v>
      </c>
      <c r="I745" s="4" t="s">
        <v>2272</v>
      </c>
      <c r="J745" s="4" t="s">
        <v>2272</v>
      </c>
      <c r="K745" s="4" t="s">
        <v>2272</v>
      </c>
      <c r="L745" s="4" t="s">
        <v>2272</v>
      </c>
      <c r="M745" s="4" t="s">
        <v>2272</v>
      </c>
      <c r="N745" s="4" t="s">
        <v>2272</v>
      </c>
      <c r="O745" s="4" t="s">
        <v>2272</v>
      </c>
      <c r="P745" s="4" t="s">
        <v>2272</v>
      </c>
      <c r="Q745" s="4" t="s">
        <v>2272</v>
      </c>
      <c r="R745" s="4" t="s">
        <v>2272</v>
      </c>
      <c r="S745" s="4" t="s">
        <v>2272</v>
      </c>
      <c r="T745" s="3"/>
    </row>
    <row r="746" spans="1:20" ht="52" customHeight="1">
      <c r="A746" s="11" t="s">
        <v>4580</v>
      </c>
      <c r="B746" s="4" t="s">
        <v>1193</v>
      </c>
      <c r="C746" s="3" t="s">
        <v>2641</v>
      </c>
      <c r="D746" s="3" t="s">
        <v>135</v>
      </c>
      <c r="E746" s="4" t="s">
        <v>2272</v>
      </c>
      <c r="F746" s="4" t="s">
        <v>2272</v>
      </c>
      <c r="G746" s="4" t="s">
        <v>2272</v>
      </c>
      <c r="H746" s="4" t="s">
        <v>2272</v>
      </c>
      <c r="I746" s="4" t="s">
        <v>2272</v>
      </c>
      <c r="J746" s="4" t="s">
        <v>2272</v>
      </c>
      <c r="K746" s="4" t="s">
        <v>2272</v>
      </c>
      <c r="L746" s="4" t="s">
        <v>2272</v>
      </c>
      <c r="M746" s="4" t="s">
        <v>2272</v>
      </c>
      <c r="N746" s="4" t="s">
        <v>2272</v>
      </c>
      <c r="O746" s="4" t="s">
        <v>2272</v>
      </c>
      <c r="P746" s="4" t="s">
        <v>2272</v>
      </c>
      <c r="Q746" s="4" t="s">
        <v>2272</v>
      </c>
      <c r="R746" s="4" t="s">
        <v>2272</v>
      </c>
      <c r="S746" s="4" t="s">
        <v>2272</v>
      </c>
      <c r="T746" s="3"/>
    </row>
    <row r="747" spans="1:20" ht="52" customHeight="1">
      <c r="A747" s="11" t="s">
        <v>4581</v>
      </c>
      <c r="B747" s="4" t="s">
        <v>1193</v>
      </c>
      <c r="C747" s="3" t="s">
        <v>2641</v>
      </c>
      <c r="D747" s="3" t="s">
        <v>135</v>
      </c>
      <c r="E747" s="4" t="s">
        <v>2272</v>
      </c>
      <c r="F747" s="4" t="s">
        <v>2272</v>
      </c>
      <c r="G747" s="4" t="s">
        <v>2272</v>
      </c>
      <c r="H747" s="4" t="s">
        <v>2272</v>
      </c>
      <c r="I747" s="4" t="s">
        <v>2272</v>
      </c>
      <c r="J747" s="4" t="s">
        <v>2272</v>
      </c>
      <c r="K747" s="4" t="s">
        <v>2272</v>
      </c>
      <c r="L747" s="4" t="s">
        <v>2272</v>
      </c>
      <c r="M747" s="4" t="s">
        <v>2272</v>
      </c>
      <c r="N747" s="4" t="s">
        <v>2272</v>
      </c>
      <c r="O747" s="4" t="s">
        <v>2272</v>
      </c>
      <c r="P747" s="4" t="s">
        <v>2272</v>
      </c>
      <c r="Q747" s="4" t="s">
        <v>2272</v>
      </c>
      <c r="R747" s="4" t="s">
        <v>2272</v>
      </c>
      <c r="S747" s="4" t="s">
        <v>2272</v>
      </c>
      <c r="T747" s="3"/>
    </row>
    <row r="748" spans="1:20" ht="55.5" customHeight="1">
      <c r="A748" s="11" t="s">
        <v>4592</v>
      </c>
      <c r="B748" s="4" t="s">
        <v>1193</v>
      </c>
      <c r="C748" s="3" t="s">
        <v>2641</v>
      </c>
      <c r="D748" s="3" t="s">
        <v>135</v>
      </c>
      <c r="E748" s="4" t="s">
        <v>2272</v>
      </c>
      <c r="F748" s="4" t="s">
        <v>2272</v>
      </c>
      <c r="G748" s="4" t="s">
        <v>2272</v>
      </c>
      <c r="H748" s="4" t="s">
        <v>2272</v>
      </c>
      <c r="I748" s="4" t="s">
        <v>2272</v>
      </c>
      <c r="J748" s="4" t="s">
        <v>2272</v>
      </c>
      <c r="K748" s="4" t="s">
        <v>2272</v>
      </c>
      <c r="L748" s="4" t="s">
        <v>2272</v>
      </c>
      <c r="M748" s="4" t="s">
        <v>2272</v>
      </c>
      <c r="N748" s="4" t="s">
        <v>2272</v>
      </c>
      <c r="O748" s="4" t="s">
        <v>2272</v>
      </c>
      <c r="P748" s="4" t="s">
        <v>2272</v>
      </c>
      <c r="Q748" s="4" t="s">
        <v>2272</v>
      </c>
      <c r="R748" s="4" t="s">
        <v>2272</v>
      </c>
      <c r="S748" s="4" t="s">
        <v>2272</v>
      </c>
      <c r="T748" s="3"/>
    </row>
    <row r="749" spans="1:20" ht="47" customHeight="1">
      <c r="A749" s="11" t="s">
        <v>4596</v>
      </c>
      <c r="B749" s="4" t="s">
        <v>1193</v>
      </c>
      <c r="C749" s="3" t="s">
        <v>2641</v>
      </c>
      <c r="D749" s="3" t="s">
        <v>135</v>
      </c>
      <c r="E749" s="4" t="s">
        <v>2272</v>
      </c>
      <c r="F749" s="4" t="s">
        <v>2272</v>
      </c>
      <c r="G749" s="4" t="s">
        <v>2272</v>
      </c>
      <c r="H749" s="4" t="s">
        <v>2272</v>
      </c>
      <c r="I749" s="4" t="s">
        <v>2272</v>
      </c>
      <c r="J749" s="4" t="s">
        <v>2272</v>
      </c>
      <c r="K749" s="4" t="s">
        <v>2272</v>
      </c>
      <c r="L749" s="4" t="s">
        <v>2272</v>
      </c>
      <c r="M749" s="4" t="s">
        <v>2272</v>
      </c>
      <c r="N749" s="4" t="s">
        <v>2272</v>
      </c>
      <c r="O749" s="4" t="s">
        <v>2272</v>
      </c>
      <c r="P749" s="4" t="s">
        <v>2272</v>
      </c>
      <c r="Q749" s="4" t="s">
        <v>2272</v>
      </c>
      <c r="R749" s="4" t="s">
        <v>2272</v>
      </c>
      <c r="S749" s="4" t="s">
        <v>2272</v>
      </c>
      <c r="T749" s="3"/>
    </row>
    <row r="750" spans="1:20" ht="50" customHeight="1">
      <c r="A750" s="11" t="s">
        <v>4597</v>
      </c>
      <c r="B750" s="4" t="s">
        <v>1193</v>
      </c>
      <c r="C750" s="3" t="s">
        <v>2641</v>
      </c>
      <c r="D750" s="3" t="s">
        <v>135</v>
      </c>
      <c r="E750" s="4" t="s">
        <v>2272</v>
      </c>
      <c r="F750" s="4" t="s">
        <v>2272</v>
      </c>
      <c r="G750" s="4" t="s">
        <v>2272</v>
      </c>
      <c r="H750" s="4" t="s">
        <v>2272</v>
      </c>
      <c r="I750" s="4" t="s">
        <v>2272</v>
      </c>
      <c r="J750" s="4" t="s">
        <v>2272</v>
      </c>
      <c r="K750" s="4" t="s">
        <v>2272</v>
      </c>
      <c r="L750" s="4" t="s">
        <v>2272</v>
      </c>
      <c r="M750" s="4" t="s">
        <v>2272</v>
      </c>
      <c r="N750" s="4" t="s">
        <v>2272</v>
      </c>
      <c r="O750" s="4" t="s">
        <v>2272</v>
      </c>
      <c r="P750" s="4" t="s">
        <v>2272</v>
      </c>
      <c r="Q750" s="4" t="s">
        <v>2272</v>
      </c>
      <c r="R750" s="4" t="s">
        <v>2272</v>
      </c>
      <c r="S750" s="4" t="s">
        <v>2272</v>
      </c>
      <c r="T750" s="3"/>
    </row>
    <row r="751" spans="1:20" ht="50" customHeight="1">
      <c r="A751" s="11" t="s">
        <v>4598</v>
      </c>
      <c r="B751" s="4" t="s">
        <v>1193</v>
      </c>
      <c r="C751" s="3" t="s">
        <v>2641</v>
      </c>
      <c r="D751" s="3" t="s">
        <v>135</v>
      </c>
      <c r="E751" s="4" t="s">
        <v>2272</v>
      </c>
      <c r="F751" s="4" t="s">
        <v>2272</v>
      </c>
      <c r="G751" s="4" t="s">
        <v>2272</v>
      </c>
      <c r="H751" s="4" t="s">
        <v>2272</v>
      </c>
      <c r="I751" s="4" t="s">
        <v>2272</v>
      </c>
      <c r="J751" s="4" t="s">
        <v>2272</v>
      </c>
      <c r="K751" s="4" t="s">
        <v>2272</v>
      </c>
      <c r="L751" s="4" t="s">
        <v>2272</v>
      </c>
      <c r="M751" s="4" t="s">
        <v>2272</v>
      </c>
      <c r="N751" s="4" t="s">
        <v>2272</v>
      </c>
      <c r="O751" s="4" t="s">
        <v>2272</v>
      </c>
      <c r="P751" s="4" t="s">
        <v>2272</v>
      </c>
      <c r="Q751" s="4" t="s">
        <v>2272</v>
      </c>
      <c r="R751" s="4" t="s">
        <v>2272</v>
      </c>
      <c r="S751" s="4" t="s">
        <v>2272</v>
      </c>
      <c r="T751" s="3"/>
    </row>
    <row r="752" spans="1:20" ht="50" customHeight="1">
      <c r="A752" s="11" t="s">
        <v>4615</v>
      </c>
      <c r="B752" s="3" t="s">
        <v>31</v>
      </c>
      <c r="C752" s="3" t="s">
        <v>11</v>
      </c>
      <c r="D752" s="3" t="s">
        <v>2642</v>
      </c>
      <c r="E752" s="3" t="s">
        <v>5000</v>
      </c>
      <c r="F752" s="4" t="s">
        <v>2272</v>
      </c>
      <c r="G752" s="4" t="s">
        <v>2272</v>
      </c>
      <c r="H752" s="4" t="s">
        <v>2272</v>
      </c>
      <c r="I752" s="4" t="s">
        <v>2272</v>
      </c>
      <c r="J752" s="4" t="s">
        <v>2272</v>
      </c>
      <c r="K752" s="4" t="s">
        <v>2272</v>
      </c>
      <c r="L752" s="4" t="s">
        <v>2272</v>
      </c>
      <c r="M752" s="4" t="s">
        <v>2272</v>
      </c>
      <c r="N752" s="4" t="s">
        <v>2272</v>
      </c>
      <c r="O752" s="4" t="s">
        <v>2272</v>
      </c>
      <c r="P752" s="4" t="s">
        <v>2272</v>
      </c>
      <c r="Q752" s="4" t="s">
        <v>2272</v>
      </c>
      <c r="R752" s="4" t="s">
        <v>2272</v>
      </c>
      <c r="S752" s="4" t="s">
        <v>2272</v>
      </c>
      <c r="T752" s="3"/>
    </row>
    <row r="753" spans="1:20" ht="50" customHeight="1">
      <c r="A753" s="11" t="s">
        <v>4616</v>
      </c>
      <c r="B753" s="3" t="s">
        <v>2272</v>
      </c>
      <c r="C753" s="3" t="s">
        <v>393</v>
      </c>
      <c r="D753" s="3" t="s">
        <v>44</v>
      </c>
      <c r="E753" s="4" t="s">
        <v>2272</v>
      </c>
      <c r="F753" s="4" t="s">
        <v>2272</v>
      </c>
      <c r="G753" s="4" t="s">
        <v>2272</v>
      </c>
      <c r="H753" s="4" t="s">
        <v>2272</v>
      </c>
      <c r="I753" s="4" t="s">
        <v>2272</v>
      </c>
      <c r="J753" s="4" t="s">
        <v>2272</v>
      </c>
      <c r="K753" s="4" t="s">
        <v>2272</v>
      </c>
      <c r="L753" s="4" t="s">
        <v>2272</v>
      </c>
      <c r="M753" s="4" t="s">
        <v>2272</v>
      </c>
      <c r="N753" s="4" t="s">
        <v>2272</v>
      </c>
      <c r="O753" s="4" t="s">
        <v>2272</v>
      </c>
      <c r="P753" s="4" t="s">
        <v>2272</v>
      </c>
      <c r="Q753" s="4" t="s">
        <v>2272</v>
      </c>
      <c r="R753" s="4" t="s">
        <v>2272</v>
      </c>
      <c r="S753" s="4" t="s">
        <v>2272</v>
      </c>
      <c r="T753" s="3"/>
    </row>
    <row r="754" spans="1:20" ht="50" customHeight="1">
      <c r="A754" s="11" t="s">
        <v>4617</v>
      </c>
      <c r="B754" s="3" t="s">
        <v>68</v>
      </c>
      <c r="C754" s="3" t="s">
        <v>393</v>
      </c>
      <c r="D754" s="3" t="s">
        <v>5000</v>
      </c>
      <c r="E754" s="4" t="s">
        <v>114</v>
      </c>
      <c r="F754" s="4" t="s">
        <v>2272</v>
      </c>
      <c r="G754" s="4" t="s">
        <v>2272</v>
      </c>
      <c r="H754" s="4" t="s">
        <v>2272</v>
      </c>
      <c r="I754" s="4" t="s">
        <v>2272</v>
      </c>
      <c r="J754" s="4" t="s">
        <v>2272</v>
      </c>
      <c r="K754" s="3" t="s">
        <v>532</v>
      </c>
      <c r="L754" s="4" t="s">
        <v>2272</v>
      </c>
      <c r="M754" s="4" t="s">
        <v>2272</v>
      </c>
      <c r="N754" s="4" t="s">
        <v>2272</v>
      </c>
      <c r="O754" s="4" t="s">
        <v>2272</v>
      </c>
      <c r="P754" s="4" t="s">
        <v>2272</v>
      </c>
      <c r="Q754" s="4" t="s">
        <v>2272</v>
      </c>
      <c r="R754" s="4" t="s">
        <v>2272</v>
      </c>
      <c r="S754" s="4" t="s">
        <v>2272</v>
      </c>
      <c r="T754" s="4" t="s">
        <v>4623</v>
      </c>
    </row>
    <row r="755" spans="1:20" ht="32.5" customHeight="1">
      <c r="A755" s="11" t="s">
        <v>4638</v>
      </c>
      <c r="B755" s="3" t="s">
        <v>31</v>
      </c>
      <c r="C755" s="3" t="s">
        <v>11</v>
      </c>
      <c r="D755" s="3" t="s">
        <v>2644</v>
      </c>
      <c r="E755" s="3" t="s">
        <v>5000</v>
      </c>
      <c r="F755" s="4" t="s">
        <v>114</v>
      </c>
      <c r="G755" s="4" t="s">
        <v>2272</v>
      </c>
      <c r="H755" s="21">
        <f>AVERAGE(1952, 3433, 1912)/(30*100)</f>
        <v>0.81077777777777782</v>
      </c>
      <c r="I755" s="4" t="s">
        <v>2272</v>
      </c>
      <c r="J755" s="4" t="s">
        <v>2272</v>
      </c>
      <c r="K755" s="3" t="s">
        <v>532</v>
      </c>
      <c r="L755" s="4" t="s">
        <v>2272</v>
      </c>
      <c r="M755" s="4" t="s">
        <v>2272</v>
      </c>
      <c r="N755" s="4" t="s">
        <v>2272</v>
      </c>
      <c r="O755" s="4" t="s">
        <v>2272</v>
      </c>
      <c r="P755" s="4" t="s">
        <v>2272</v>
      </c>
      <c r="Q755" s="4" t="s">
        <v>2272</v>
      </c>
      <c r="R755" s="4" t="s">
        <v>2272</v>
      </c>
      <c r="S755" s="4" t="s">
        <v>2272</v>
      </c>
      <c r="T755" s="3" t="s">
        <v>4646</v>
      </c>
    </row>
    <row r="756" spans="1:20" ht="32.5" customHeight="1">
      <c r="A756" s="11" t="s">
        <v>4639</v>
      </c>
      <c r="B756" s="3" t="s">
        <v>31</v>
      </c>
      <c r="C756" s="3" t="s">
        <v>11</v>
      </c>
      <c r="D756" s="3" t="s">
        <v>2644</v>
      </c>
      <c r="E756" s="3" t="s">
        <v>5000</v>
      </c>
      <c r="F756" s="4" t="s">
        <v>114</v>
      </c>
      <c r="G756" s="4" t="s">
        <v>2272</v>
      </c>
      <c r="H756" s="21">
        <f>AVERAGE(1952, 3433, 1912)/(30*100)</f>
        <v>0.81077777777777782</v>
      </c>
      <c r="I756" s="4" t="s">
        <v>2272</v>
      </c>
      <c r="J756" s="4" t="s">
        <v>2272</v>
      </c>
      <c r="K756" s="3" t="s">
        <v>532</v>
      </c>
      <c r="L756" s="4" t="s">
        <v>2272</v>
      </c>
      <c r="M756" s="4" t="s">
        <v>2272</v>
      </c>
      <c r="N756" s="4" t="s">
        <v>2272</v>
      </c>
      <c r="O756" s="4" t="s">
        <v>2272</v>
      </c>
      <c r="P756" s="4" t="s">
        <v>2272</v>
      </c>
      <c r="Q756" s="4" t="s">
        <v>2272</v>
      </c>
      <c r="R756" s="4" t="s">
        <v>2272</v>
      </c>
      <c r="S756" s="4" t="s">
        <v>2272</v>
      </c>
      <c r="T756" s="3" t="s">
        <v>4646</v>
      </c>
    </row>
    <row r="757" spans="1:20" ht="37" customHeight="1">
      <c r="A757" s="11" t="s">
        <v>4656</v>
      </c>
      <c r="B757" s="3" t="s">
        <v>31</v>
      </c>
      <c r="C757" s="3" t="s">
        <v>11</v>
      </c>
      <c r="D757" s="3" t="s">
        <v>5000</v>
      </c>
      <c r="E757" s="3" t="s">
        <v>44</v>
      </c>
      <c r="F757" s="4" t="s">
        <v>2272</v>
      </c>
      <c r="G757" s="4" t="s">
        <v>2272</v>
      </c>
      <c r="H757" s="4" t="s">
        <v>2272</v>
      </c>
      <c r="I757" s="4" t="s">
        <v>2272</v>
      </c>
      <c r="J757" s="4" t="s">
        <v>2272</v>
      </c>
      <c r="K757" s="4" t="s">
        <v>2272</v>
      </c>
      <c r="L757" s="4" t="s">
        <v>2272</v>
      </c>
      <c r="M757" s="4" t="s">
        <v>2272</v>
      </c>
      <c r="N757" s="4" t="s">
        <v>2272</v>
      </c>
      <c r="O757" s="21">
        <v>55.5</v>
      </c>
      <c r="P757" s="21">
        <v>15.8</v>
      </c>
      <c r="Q757" s="4" t="s">
        <v>2272</v>
      </c>
      <c r="R757" s="21">
        <v>28.8</v>
      </c>
      <c r="S757" s="4" t="s">
        <v>2272</v>
      </c>
      <c r="T757" s="3"/>
    </row>
    <row r="758" spans="1:20" ht="51" customHeight="1">
      <c r="A758" s="11" t="s">
        <v>4666</v>
      </c>
      <c r="B758" s="3" t="s">
        <v>31</v>
      </c>
      <c r="C758" s="3" t="s">
        <v>11</v>
      </c>
      <c r="D758" s="4" t="s">
        <v>5000</v>
      </c>
      <c r="E758" s="3" t="s">
        <v>82</v>
      </c>
      <c r="F758" s="4" t="s">
        <v>3849</v>
      </c>
      <c r="G758" s="4" t="s">
        <v>2647</v>
      </c>
      <c r="H758" s="4" t="s">
        <v>2272</v>
      </c>
      <c r="I758" s="4" t="s">
        <v>2272</v>
      </c>
      <c r="J758" s="4" t="s">
        <v>2272</v>
      </c>
      <c r="K758" s="4" t="s">
        <v>2272</v>
      </c>
      <c r="L758" s="4" t="s">
        <v>2272</v>
      </c>
      <c r="M758" s="4" t="s">
        <v>2272</v>
      </c>
      <c r="N758" s="4" t="s">
        <v>2272</v>
      </c>
      <c r="O758" s="4" t="s">
        <v>2272</v>
      </c>
      <c r="P758" s="4" t="s">
        <v>2272</v>
      </c>
      <c r="Q758" s="4" t="s">
        <v>2272</v>
      </c>
      <c r="R758" s="4" t="s">
        <v>2272</v>
      </c>
      <c r="S758" s="4" t="s">
        <v>2272</v>
      </c>
      <c r="T758" s="3" t="s">
        <v>4676</v>
      </c>
    </row>
    <row r="759" spans="1:20" ht="51" customHeight="1">
      <c r="A759" s="11" t="s">
        <v>4667</v>
      </c>
      <c r="B759" s="3" t="s">
        <v>31</v>
      </c>
      <c r="C759" s="3" t="s">
        <v>11</v>
      </c>
      <c r="D759" s="4" t="s">
        <v>5000</v>
      </c>
      <c r="E759" s="3" t="s">
        <v>82</v>
      </c>
      <c r="F759" s="4" t="s">
        <v>3849</v>
      </c>
      <c r="G759" s="4" t="s">
        <v>2647</v>
      </c>
      <c r="H759" s="4" t="s">
        <v>2272</v>
      </c>
      <c r="I759" s="4" t="s">
        <v>2272</v>
      </c>
      <c r="J759" s="4" t="s">
        <v>2272</v>
      </c>
      <c r="K759" s="4" t="s">
        <v>2272</v>
      </c>
      <c r="L759" s="4" t="s">
        <v>2272</v>
      </c>
      <c r="M759" s="4" t="s">
        <v>2272</v>
      </c>
      <c r="N759" s="4" t="s">
        <v>2272</v>
      </c>
      <c r="O759" s="4" t="s">
        <v>2272</v>
      </c>
      <c r="P759" s="4" t="s">
        <v>2272</v>
      </c>
      <c r="Q759" s="4" t="s">
        <v>2272</v>
      </c>
      <c r="R759" s="4" t="s">
        <v>2272</v>
      </c>
      <c r="S759" s="4" t="s">
        <v>2272</v>
      </c>
      <c r="T759" s="3" t="s">
        <v>4677</v>
      </c>
    </row>
    <row r="760" spans="1:20" ht="51" customHeight="1">
      <c r="A760" s="11" t="s">
        <v>4668</v>
      </c>
      <c r="B760" s="3" t="s">
        <v>31</v>
      </c>
      <c r="C760" s="3" t="s">
        <v>11</v>
      </c>
      <c r="D760" s="3" t="s">
        <v>5000</v>
      </c>
      <c r="E760" s="3" t="s">
        <v>82</v>
      </c>
      <c r="F760" s="4" t="s">
        <v>3849</v>
      </c>
      <c r="G760" s="4" t="s">
        <v>2647</v>
      </c>
      <c r="H760" s="4" t="s">
        <v>2272</v>
      </c>
      <c r="I760" s="4" t="s">
        <v>2272</v>
      </c>
      <c r="J760" s="4" t="s">
        <v>2272</v>
      </c>
      <c r="K760" s="4" t="s">
        <v>2272</v>
      </c>
      <c r="L760" s="4" t="s">
        <v>2272</v>
      </c>
      <c r="M760" s="4" t="s">
        <v>2272</v>
      </c>
      <c r="N760" s="4" t="s">
        <v>2272</v>
      </c>
      <c r="O760" s="4" t="s">
        <v>2272</v>
      </c>
      <c r="P760" s="21">
        <v>23</v>
      </c>
      <c r="Q760" s="4" t="s">
        <v>2272</v>
      </c>
      <c r="R760" s="4" t="s">
        <v>2272</v>
      </c>
      <c r="S760" s="4" t="s">
        <v>2272</v>
      </c>
      <c r="T760" s="3" t="s">
        <v>4678</v>
      </c>
    </row>
    <row r="761" spans="1:20" ht="51" customHeight="1">
      <c r="A761" s="11" t="s">
        <v>4669</v>
      </c>
      <c r="B761" s="3" t="s">
        <v>69</v>
      </c>
      <c r="C761" s="3" t="s">
        <v>11</v>
      </c>
      <c r="D761" s="4" t="s">
        <v>5000</v>
      </c>
      <c r="E761" s="3" t="s">
        <v>82</v>
      </c>
      <c r="F761" s="4" t="s">
        <v>3849</v>
      </c>
      <c r="G761" s="4" t="s">
        <v>2647</v>
      </c>
      <c r="H761" s="4" t="s">
        <v>2272</v>
      </c>
      <c r="I761" s="3">
        <v>350</v>
      </c>
      <c r="J761" s="4" t="s">
        <v>2272</v>
      </c>
      <c r="K761" s="4" t="s">
        <v>2272</v>
      </c>
      <c r="L761" s="4" t="s">
        <v>2272</v>
      </c>
      <c r="M761" s="4" t="s">
        <v>2272</v>
      </c>
      <c r="N761" s="4" t="s">
        <v>2272</v>
      </c>
      <c r="O761" s="4" t="s">
        <v>2272</v>
      </c>
      <c r="P761" s="21">
        <v>9</v>
      </c>
      <c r="Q761" s="4" t="s">
        <v>2272</v>
      </c>
      <c r="R761" s="4" t="s">
        <v>2272</v>
      </c>
      <c r="S761" s="4" t="s">
        <v>2272</v>
      </c>
      <c r="T761" s="3"/>
    </row>
    <row r="762" spans="1:20" ht="36" customHeight="1">
      <c r="A762" s="11" t="s">
        <v>4690</v>
      </c>
      <c r="B762" s="3" t="s">
        <v>2254</v>
      </c>
      <c r="C762" s="3" t="s">
        <v>11</v>
      </c>
      <c r="D762" s="3" t="s">
        <v>135</v>
      </c>
      <c r="E762" s="3" t="s">
        <v>5000</v>
      </c>
      <c r="F762" s="4" t="s">
        <v>395</v>
      </c>
      <c r="G762" s="4" t="s">
        <v>2272</v>
      </c>
      <c r="H762" s="21">
        <f>30000/1000000</f>
        <v>0.03</v>
      </c>
      <c r="I762" s="4" t="s">
        <v>2272</v>
      </c>
      <c r="J762" s="4" t="s">
        <v>2272</v>
      </c>
      <c r="K762" s="4" t="s">
        <v>2272</v>
      </c>
      <c r="L762" s="4" t="s">
        <v>2272</v>
      </c>
      <c r="M762" s="4" t="s">
        <v>2272</v>
      </c>
      <c r="N762" s="4" t="s">
        <v>2272</v>
      </c>
      <c r="O762" s="4" t="s">
        <v>2272</v>
      </c>
      <c r="P762" s="4" t="s">
        <v>2272</v>
      </c>
      <c r="Q762" s="4" t="s">
        <v>2272</v>
      </c>
      <c r="R762" s="4" t="s">
        <v>2272</v>
      </c>
      <c r="S762" s="4" t="s">
        <v>2272</v>
      </c>
      <c r="T762" s="4" t="s">
        <v>4709</v>
      </c>
    </row>
    <row r="763" spans="1:20" ht="36" customHeight="1">
      <c r="A763" s="11" t="s">
        <v>4691</v>
      </c>
      <c r="B763" s="3" t="s">
        <v>2254</v>
      </c>
      <c r="C763" s="3" t="s">
        <v>11</v>
      </c>
      <c r="D763" s="3" t="s">
        <v>135</v>
      </c>
      <c r="E763" s="3" t="s">
        <v>5000</v>
      </c>
      <c r="F763" s="4" t="s">
        <v>395</v>
      </c>
      <c r="G763" s="4" t="s">
        <v>2272</v>
      </c>
      <c r="H763" s="21">
        <f t="shared" ref="H763:H764" si="3">30000/1000000</f>
        <v>0.03</v>
      </c>
      <c r="I763" s="4" t="s">
        <v>2272</v>
      </c>
      <c r="J763" s="4" t="s">
        <v>2272</v>
      </c>
      <c r="K763" s="4" t="s">
        <v>2272</v>
      </c>
      <c r="L763" s="4" t="s">
        <v>2272</v>
      </c>
      <c r="M763" s="4" t="s">
        <v>2272</v>
      </c>
      <c r="N763" s="4" t="s">
        <v>2272</v>
      </c>
      <c r="O763" s="4" t="s">
        <v>2272</v>
      </c>
      <c r="P763" s="4" t="s">
        <v>2272</v>
      </c>
      <c r="Q763" s="4" t="s">
        <v>2272</v>
      </c>
      <c r="R763" s="4" t="s">
        <v>2272</v>
      </c>
      <c r="S763" s="4" t="s">
        <v>2272</v>
      </c>
      <c r="T763" s="4" t="s">
        <v>4709</v>
      </c>
    </row>
    <row r="764" spans="1:20" ht="36" customHeight="1">
      <c r="A764" s="11" t="s">
        <v>4692</v>
      </c>
      <c r="B764" s="3" t="s">
        <v>2254</v>
      </c>
      <c r="C764" s="3" t="s">
        <v>11</v>
      </c>
      <c r="D764" s="3" t="s">
        <v>135</v>
      </c>
      <c r="E764" s="3" t="s">
        <v>5000</v>
      </c>
      <c r="F764" s="4" t="s">
        <v>395</v>
      </c>
      <c r="G764" s="4" t="s">
        <v>2272</v>
      </c>
      <c r="H764" s="21">
        <f t="shared" si="3"/>
        <v>0.03</v>
      </c>
      <c r="I764" s="4" t="s">
        <v>2272</v>
      </c>
      <c r="J764" s="4" t="s">
        <v>2272</v>
      </c>
      <c r="K764" s="4" t="s">
        <v>2272</v>
      </c>
      <c r="L764" s="4" t="s">
        <v>2272</v>
      </c>
      <c r="M764" s="4" t="s">
        <v>2272</v>
      </c>
      <c r="N764" s="4" t="s">
        <v>2272</v>
      </c>
      <c r="O764" s="4" t="s">
        <v>2272</v>
      </c>
      <c r="P764" s="4" t="s">
        <v>2272</v>
      </c>
      <c r="Q764" s="4" t="s">
        <v>2272</v>
      </c>
      <c r="R764" s="4" t="s">
        <v>2272</v>
      </c>
      <c r="S764" s="4" t="s">
        <v>2272</v>
      </c>
      <c r="T764" s="4" t="s">
        <v>4709</v>
      </c>
    </row>
    <row r="765" spans="1:20" ht="46.5" customHeight="1">
      <c r="A765" s="11" t="s">
        <v>4711</v>
      </c>
      <c r="B765" s="3" t="s">
        <v>2254</v>
      </c>
      <c r="C765" s="3" t="s">
        <v>11</v>
      </c>
      <c r="D765" s="4" t="s">
        <v>5000</v>
      </c>
      <c r="E765" s="3" t="s">
        <v>82</v>
      </c>
      <c r="F765" s="4" t="s">
        <v>2272</v>
      </c>
      <c r="G765" s="4" t="s">
        <v>2272</v>
      </c>
      <c r="H765" s="4" t="s">
        <v>2272</v>
      </c>
      <c r="I765" s="4" t="s">
        <v>2272</v>
      </c>
      <c r="J765" s="4" t="s">
        <v>2272</v>
      </c>
      <c r="K765" s="4" t="s">
        <v>2272</v>
      </c>
      <c r="L765" s="4" t="s">
        <v>2272</v>
      </c>
      <c r="M765" s="4" t="s">
        <v>2272</v>
      </c>
      <c r="N765" s="4" t="s">
        <v>2272</v>
      </c>
      <c r="O765" s="4" t="s">
        <v>2272</v>
      </c>
      <c r="P765" s="4" t="s">
        <v>2272</v>
      </c>
      <c r="Q765" s="4" t="s">
        <v>2272</v>
      </c>
      <c r="R765" s="4" t="s">
        <v>2272</v>
      </c>
      <c r="S765" s="14">
        <v>1.26667</v>
      </c>
      <c r="T765" s="3" t="s">
        <v>4718</v>
      </c>
    </row>
    <row r="766" spans="1:20" ht="42" customHeight="1">
      <c r="A766" s="11" t="s">
        <v>4716</v>
      </c>
      <c r="B766" s="3" t="s">
        <v>2254</v>
      </c>
      <c r="C766" s="3" t="s">
        <v>11</v>
      </c>
      <c r="D766" s="4" t="s">
        <v>5000</v>
      </c>
      <c r="E766" s="3" t="s">
        <v>82</v>
      </c>
      <c r="F766" s="4" t="s">
        <v>2272</v>
      </c>
      <c r="G766" s="4" t="s">
        <v>2272</v>
      </c>
      <c r="H766" s="4" t="s">
        <v>2272</v>
      </c>
      <c r="I766" s="4" t="s">
        <v>2272</v>
      </c>
      <c r="J766" s="4" t="s">
        <v>2272</v>
      </c>
      <c r="K766" s="4" t="s">
        <v>2272</v>
      </c>
      <c r="L766" s="4" t="s">
        <v>2272</v>
      </c>
      <c r="M766" s="4" t="s">
        <v>2272</v>
      </c>
      <c r="N766" s="4" t="s">
        <v>2272</v>
      </c>
      <c r="O766" s="4" t="s">
        <v>2272</v>
      </c>
      <c r="P766" s="4" t="s">
        <v>2272</v>
      </c>
      <c r="Q766" s="4" t="s">
        <v>2272</v>
      </c>
      <c r="R766" s="4" t="s">
        <v>2272</v>
      </c>
      <c r="S766" s="4" t="s">
        <v>2272</v>
      </c>
      <c r="T766" s="3"/>
    </row>
    <row r="767" spans="1:20" ht="38.5" customHeight="1">
      <c r="A767" s="11" t="s">
        <v>4729</v>
      </c>
      <c r="B767" s="3" t="s">
        <v>2272</v>
      </c>
      <c r="C767" s="3" t="s">
        <v>11</v>
      </c>
      <c r="D767" s="4" t="s">
        <v>5000</v>
      </c>
      <c r="E767" s="4" t="s">
        <v>2644</v>
      </c>
      <c r="F767" s="4" t="s">
        <v>2272</v>
      </c>
      <c r="G767" s="4" t="s">
        <v>2272</v>
      </c>
      <c r="H767" s="4" t="s">
        <v>2272</v>
      </c>
      <c r="I767" s="4" t="s">
        <v>2272</v>
      </c>
      <c r="J767" s="4" t="s">
        <v>2272</v>
      </c>
      <c r="K767" s="4" t="s">
        <v>2272</v>
      </c>
      <c r="L767" s="4" t="s">
        <v>2272</v>
      </c>
      <c r="M767" s="4" t="s">
        <v>2272</v>
      </c>
      <c r="N767" s="4" t="s">
        <v>2272</v>
      </c>
      <c r="O767" s="4" t="s">
        <v>2272</v>
      </c>
      <c r="P767" s="4" t="s">
        <v>2272</v>
      </c>
      <c r="Q767" s="4" t="s">
        <v>2272</v>
      </c>
      <c r="R767" s="4" t="s">
        <v>2272</v>
      </c>
      <c r="S767" s="4" t="s">
        <v>2272</v>
      </c>
      <c r="T767" s="3"/>
    </row>
    <row r="768" spans="1:20" ht="43" customHeight="1">
      <c r="A768" s="11" t="s">
        <v>4730</v>
      </c>
      <c r="B768" s="3" t="s">
        <v>2272</v>
      </c>
      <c r="C768" s="3" t="s">
        <v>11</v>
      </c>
      <c r="D768" s="4" t="s">
        <v>5000</v>
      </c>
      <c r="E768" s="4" t="s">
        <v>2644</v>
      </c>
      <c r="F768" s="4" t="s">
        <v>2272</v>
      </c>
      <c r="G768" s="4" t="s">
        <v>2272</v>
      </c>
      <c r="H768" s="4" t="s">
        <v>2272</v>
      </c>
      <c r="I768" s="4" t="s">
        <v>2272</v>
      </c>
      <c r="J768" s="4" t="s">
        <v>2272</v>
      </c>
      <c r="K768" s="4" t="s">
        <v>2272</v>
      </c>
      <c r="L768" s="4" t="s">
        <v>2272</v>
      </c>
      <c r="M768" s="4" t="s">
        <v>2272</v>
      </c>
      <c r="N768" s="4" t="s">
        <v>2272</v>
      </c>
      <c r="O768" s="4" t="s">
        <v>2272</v>
      </c>
      <c r="P768" s="4" t="s">
        <v>2272</v>
      </c>
      <c r="Q768" s="4" t="s">
        <v>2272</v>
      </c>
      <c r="R768" s="4" t="s">
        <v>2272</v>
      </c>
      <c r="S768" s="4" t="s">
        <v>2272</v>
      </c>
      <c r="T768" s="3"/>
    </row>
    <row r="769" spans="1:20" ht="43.5" customHeight="1">
      <c r="A769" s="11" t="s">
        <v>4737</v>
      </c>
      <c r="B769" s="3" t="s">
        <v>1193</v>
      </c>
      <c r="C769" s="3" t="s">
        <v>11</v>
      </c>
      <c r="D769" s="3" t="s">
        <v>135</v>
      </c>
      <c r="E769" s="3" t="s">
        <v>114</v>
      </c>
      <c r="F769" s="4" t="s">
        <v>2272</v>
      </c>
      <c r="G769" s="4" t="s">
        <v>2272</v>
      </c>
      <c r="H769" s="4" t="s">
        <v>2272</v>
      </c>
      <c r="I769" s="4" t="s">
        <v>2272</v>
      </c>
      <c r="J769" s="4" t="s">
        <v>2272</v>
      </c>
      <c r="K769" s="3" t="s">
        <v>532</v>
      </c>
      <c r="L769" s="4" t="s">
        <v>2272</v>
      </c>
      <c r="M769" s="4" t="s">
        <v>2272</v>
      </c>
      <c r="N769" s="4" t="s">
        <v>2272</v>
      </c>
      <c r="O769" s="4" t="s">
        <v>2272</v>
      </c>
      <c r="P769" s="4" t="s">
        <v>2272</v>
      </c>
      <c r="Q769" s="4" t="s">
        <v>2272</v>
      </c>
      <c r="R769" s="4" t="s">
        <v>2272</v>
      </c>
      <c r="S769" s="4" t="s">
        <v>2272</v>
      </c>
      <c r="T769" s="4" t="s">
        <v>4765</v>
      </c>
    </row>
    <row r="770" spans="1:20" ht="43.5" customHeight="1">
      <c r="A770" s="11" t="s">
        <v>4742</v>
      </c>
      <c r="B770" s="3" t="s">
        <v>68</v>
      </c>
      <c r="C770" s="3" t="s">
        <v>393</v>
      </c>
      <c r="D770" s="3" t="s">
        <v>5000</v>
      </c>
      <c r="E770" s="3" t="s">
        <v>44</v>
      </c>
      <c r="F770" s="4" t="s">
        <v>128</v>
      </c>
      <c r="G770" s="4" t="s">
        <v>2272</v>
      </c>
      <c r="H770" s="21">
        <v>0.3</v>
      </c>
      <c r="I770" s="4" t="s">
        <v>2272</v>
      </c>
      <c r="J770" s="4" t="s">
        <v>2272</v>
      </c>
      <c r="K770" s="3" t="s">
        <v>535</v>
      </c>
      <c r="L770" s="4" t="s">
        <v>2272</v>
      </c>
      <c r="M770" s="4" t="s">
        <v>2272</v>
      </c>
      <c r="N770" s="4" t="s">
        <v>2272</v>
      </c>
      <c r="O770" s="4" t="s">
        <v>2272</v>
      </c>
      <c r="P770" s="21">
        <f>100*150/(25*100)</f>
        <v>6</v>
      </c>
      <c r="Q770" s="4" t="s">
        <v>2272</v>
      </c>
      <c r="R770" s="4" t="s">
        <v>2272</v>
      </c>
      <c r="S770" s="4" t="s">
        <v>2272</v>
      </c>
      <c r="T770" s="3" t="s">
        <v>4766</v>
      </c>
    </row>
    <row r="771" spans="1:20" ht="43.5" customHeight="1">
      <c r="A771" s="11" t="s">
        <v>4743</v>
      </c>
      <c r="B771" s="3" t="s">
        <v>69</v>
      </c>
      <c r="C771" s="3" t="s">
        <v>2640</v>
      </c>
      <c r="D771" s="3" t="s">
        <v>44</v>
      </c>
      <c r="E771" s="3" t="s">
        <v>2642</v>
      </c>
      <c r="F771" s="4" t="s">
        <v>2272</v>
      </c>
      <c r="G771" s="4" t="s">
        <v>2272</v>
      </c>
      <c r="H771" s="21">
        <v>0.2</v>
      </c>
      <c r="I771" s="4" t="s">
        <v>2272</v>
      </c>
      <c r="J771" s="4" t="s">
        <v>2272</v>
      </c>
      <c r="K771" s="3" t="s">
        <v>535</v>
      </c>
      <c r="L771" s="4" t="s">
        <v>2272</v>
      </c>
      <c r="M771" s="4" t="s">
        <v>2272</v>
      </c>
      <c r="N771" s="4" t="s">
        <v>2272</v>
      </c>
      <c r="O771" s="4" t="s">
        <v>2272</v>
      </c>
      <c r="P771" s="21">
        <f>100*100/(25*100)</f>
        <v>4</v>
      </c>
      <c r="Q771" s="4" t="s">
        <v>2272</v>
      </c>
      <c r="R771" s="4" t="s">
        <v>2272</v>
      </c>
      <c r="S771" s="4" t="s">
        <v>2272</v>
      </c>
      <c r="T771" s="3" t="s">
        <v>4764</v>
      </c>
    </row>
    <row r="772" spans="1:20" ht="41.5" customHeight="1">
      <c r="A772" s="11" t="s">
        <v>4768</v>
      </c>
      <c r="B772" s="3" t="s">
        <v>1193</v>
      </c>
      <c r="C772" s="3" t="s">
        <v>2640</v>
      </c>
      <c r="D772" s="3" t="s">
        <v>135</v>
      </c>
      <c r="E772" s="4" t="s">
        <v>2272</v>
      </c>
      <c r="F772" s="4" t="s">
        <v>2272</v>
      </c>
      <c r="G772" s="4" t="s">
        <v>2272</v>
      </c>
      <c r="H772" s="4" t="s">
        <v>2272</v>
      </c>
      <c r="I772" s="4" t="s">
        <v>2272</v>
      </c>
      <c r="J772" s="4" t="s">
        <v>2272</v>
      </c>
      <c r="K772" s="4" t="s">
        <v>2272</v>
      </c>
      <c r="L772" s="4" t="s">
        <v>2272</v>
      </c>
      <c r="M772" s="4" t="s">
        <v>2272</v>
      </c>
      <c r="N772" s="4" t="s">
        <v>2272</v>
      </c>
      <c r="O772" s="4" t="s">
        <v>2272</v>
      </c>
      <c r="P772" s="4" t="s">
        <v>2272</v>
      </c>
      <c r="Q772" s="4" t="s">
        <v>2272</v>
      </c>
      <c r="R772" s="4" t="s">
        <v>2272</v>
      </c>
      <c r="S772" s="4" t="s">
        <v>2272</v>
      </c>
      <c r="T772" s="3"/>
    </row>
    <row r="773" spans="1:20" ht="37.5" customHeight="1">
      <c r="A773" s="11" t="s">
        <v>4772</v>
      </c>
      <c r="B773" s="3" t="s">
        <v>68</v>
      </c>
      <c r="C773" s="3" t="s">
        <v>393</v>
      </c>
      <c r="D773" s="3" t="s">
        <v>5000</v>
      </c>
      <c r="E773" s="4" t="s">
        <v>2272</v>
      </c>
      <c r="F773" s="4" t="s">
        <v>2272</v>
      </c>
      <c r="G773" s="4" t="s">
        <v>2272</v>
      </c>
      <c r="H773" s="21">
        <f>35.4/100</f>
        <v>0.35399999999999998</v>
      </c>
      <c r="I773" s="4" t="s">
        <v>2272</v>
      </c>
      <c r="J773" s="4" t="s">
        <v>2272</v>
      </c>
      <c r="K773" s="4" t="s">
        <v>2272</v>
      </c>
      <c r="L773" s="4" t="s">
        <v>2272</v>
      </c>
      <c r="M773" s="4" t="s">
        <v>2272</v>
      </c>
      <c r="N773" s="4" t="s">
        <v>2272</v>
      </c>
      <c r="O773" s="4" t="s">
        <v>2272</v>
      </c>
      <c r="P773" s="4" t="s">
        <v>2272</v>
      </c>
      <c r="Q773" s="4" t="s">
        <v>2272</v>
      </c>
      <c r="R773" s="4" t="s">
        <v>2272</v>
      </c>
      <c r="S773" s="4" t="s">
        <v>2272</v>
      </c>
      <c r="T773" s="3" t="s">
        <v>4775</v>
      </c>
    </row>
    <row r="774" spans="1:20" ht="43.5" customHeight="1">
      <c r="A774" s="11" t="s">
        <v>4776</v>
      </c>
      <c r="B774" s="3" t="s">
        <v>68</v>
      </c>
      <c r="C774" s="3" t="s">
        <v>393</v>
      </c>
      <c r="D774" s="3" t="s">
        <v>5000</v>
      </c>
      <c r="E774" s="4" t="s">
        <v>2272</v>
      </c>
      <c r="F774" s="4" t="s">
        <v>2272</v>
      </c>
      <c r="G774" s="4" t="s">
        <v>2272</v>
      </c>
      <c r="H774" s="4" t="s">
        <v>2272</v>
      </c>
      <c r="I774" s="4" t="s">
        <v>2272</v>
      </c>
      <c r="J774" s="4" t="s">
        <v>2272</v>
      </c>
      <c r="K774" s="4" t="s">
        <v>2272</v>
      </c>
      <c r="L774" s="4" t="s">
        <v>2272</v>
      </c>
      <c r="M774" s="4" t="s">
        <v>2272</v>
      </c>
      <c r="N774" s="4" t="s">
        <v>2272</v>
      </c>
      <c r="O774" s="4" t="s">
        <v>2272</v>
      </c>
      <c r="P774" s="4" t="s">
        <v>2272</v>
      </c>
      <c r="Q774" s="4" t="s">
        <v>2272</v>
      </c>
      <c r="R774" s="4" t="s">
        <v>2272</v>
      </c>
      <c r="S774" s="4" t="s">
        <v>2272</v>
      </c>
      <c r="T774" s="3"/>
    </row>
    <row r="775" spans="1:20" ht="41.5" customHeight="1">
      <c r="A775" s="11" t="s">
        <v>4786</v>
      </c>
      <c r="B775" s="3" t="s">
        <v>68</v>
      </c>
      <c r="C775" s="3" t="s">
        <v>393</v>
      </c>
      <c r="D775" s="3" t="s">
        <v>5000</v>
      </c>
      <c r="E775" s="4" t="s">
        <v>2272</v>
      </c>
      <c r="F775" s="4" t="s">
        <v>2272</v>
      </c>
      <c r="G775" s="4" t="s">
        <v>2272</v>
      </c>
      <c r="H775" s="4" t="s">
        <v>2272</v>
      </c>
      <c r="I775" s="4" t="s">
        <v>2272</v>
      </c>
      <c r="J775" s="4" t="s">
        <v>2272</v>
      </c>
      <c r="K775" s="4" t="s">
        <v>2272</v>
      </c>
      <c r="L775" s="4" t="s">
        <v>2272</v>
      </c>
      <c r="M775" s="4" t="s">
        <v>2272</v>
      </c>
      <c r="N775" s="4" t="s">
        <v>2272</v>
      </c>
      <c r="O775" s="4" t="s">
        <v>2272</v>
      </c>
      <c r="P775" s="4" t="s">
        <v>2272</v>
      </c>
      <c r="Q775" s="4" t="s">
        <v>2272</v>
      </c>
      <c r="R775" s="4" t="s">
        <v>2272</v>
      </c>
      <c r="S775" s="4" t="s">
        <v>2272</v>
      </c>
      <c r="T775" s="3"/>
    </row>
    <row r="776" spans="1:20" ht="41.5" customHeight="1">
      <c r="A776" s="11" t="s">
        <v>4788</v>
      </c>
      <c r="B776" s="3" t="s">
        <v>31</v>
      </c>
      <c r="C776" s="3" t="s">
        <v>11</v>
      </c>
      <c r="D776" s="3" t="s">
        <v>5000</v>
      </c>
      <c r="E776" s="3" t="s">
        <v>128</v>
      </c>
      <c r="F776" s="4" t="s">
        <v>394</v>
      </c>
      <c r="G776" s="4" t="s">
        <v>2272</v>
      </c>
      <c r="H776" s="4" t="s">
        <v>2272</v>
      </c>
      <c r="I776" s="4" t="s">
        <v>2272</v>
      </c>
      <c r="J776" s="4" t="s">
        <v>2272</v>
      </c>
      <c r="K776" s="4" t="s">
        <v>2272</v>
      </c>
      <c r="L776" s="4" t="s">
        <v>2272</v>
      </c>
      <c r="M776" s="4" t="s">
        <v>2272</v>
      </c>
      <c r="N776" s="4" t="s">
        <v>2272</v>
      </c>
      <c r="O776" s="4" t="s">
        <v>2272</v>
      </c>
      <c r="P776" s="4" t="s">
        <v>2272</v>
      </c>
      <c r="Q776" s="4" t="s">
        <v>2272</v>
      </c>
      <c r="R776" s="4" t="s">
        <v>2272</v>
      </c>
      <c r="S776" s="4" t="s">
        <v>2272</v>
      </c>
      <c r="T776" s="3"/>
    </row>
    <row r="777" spans="1:20" ht="37" customHeight="1">
      <c r="A777" s="3" t="s">
        <v>4794</v>
      </c>
      <c r="B777" s="3" t="s">
        <v>1193</v>
      </c>
      <c r="C777" s="3" t="s">
        <v>11</v>
      </c>
      <c r="D777" s="3" t="s">
        <v>5000</v>
      </c>
      <c r="E777" s="3" t="s">
        <v>44</v>
      </c>
      <c r="F777" s="3" t="s">
        <v>2642</v>
      </c>
      <c r="G777" s="4" t="s">
        <v>2272</v>
      </c>
      <c r="H777" s="4" t="s">
        <v>2272</v>
      </c>
      <c r="I777" s="4" t="s">
        <v>2272</v>
      </c>
      <c r="J777" s="4" t="s">
        <v>2272</v>
      </c>
      <c r="K777" s="4" t="s">
        <v>2272</v>
      </c>
      <c r="L777" s="4" t="s">
        <v>2272</v>
      </c>
      <c r="M777" s="4" t="s">
        <v>2272</v>
      </c>
      <c r="N777" s="4" t="s">
        <v>2272</v>
      </c>
      <c r="O777" s="4" t="s">
        <v>2272</v>
      </c>
      <c r="P777" s="4" t="s">
        <v>2272</v>
      </c>
      <c r="Q777" s="4" t="s">
        <v>2272</v>
      </c>
      <c r="R777" s="4" t="s">
        <v>2272</v>
      </c>
      <c r="S777" s="4" t="s">
        <v>2272</v>
      </c>
      <c r="T777" s="3"/>
    </row>
    <row r="778" spans="1:20" ht="37" customHeight="1">
      <c r="A778" s="3" t="s">
        <v>4797</v>
      </c>
      <c r="B778" s="3" t="s">
        <v>69</v>
      </c>
      <c r="C778" s="3" t="s">
        <v>11</v>
      </c>
      <c r="D778" s="3" t="s">
        <v>2648</v>
      </c>
      <c r="E778" s="3" t="s">
        <v>5000</v>
      </c>
      <c r="F778" s="3" t="s">
        <v>44</v>
      </c>
      <c r="G778" s="3" t="s">
        <v>2644</v>
      </c>
      <c r="H778" s="4" t="s">
        <v>2272</v>
      </c>
      <c r="I778" s="4" t="s">
        <v>2272</v>
      </c>
      <c r="J778" s="4" t="s">
        <v>2272</v>
      </c>
      <c r="K778" s="3" t="s">
        <v>532</v>
      </c>
      <c r="L778" s="4" t="s">
        <v>2272</v>
      </c>
      <c r="M778" s="4" t="s">
        <v>2272</v>
      </c>
      <c r="N778" s="4" t="s">
        <v>2272</v>
      </c>
      <c r="O778" s="4" t="s">
        <v>2272</v>
      </c>
      <c r="P778" s="4" t="s">
        <v>2272</v>
      </c>
      <c r="Q778" s="4" t="s">
        <v>2272</v>
      </c>
      <c r="R778" s="21">
        <f>100*3876/'Record info'!K778</f>
        <v>44.373211219232971</v>
      </c>
      <c r="S778" s="4" t="s">
        <v>2272</v>
      </c>
      <c r="T778" s="4" t="s">
        <v>4805</v>
      </c>
    </row>
    <row r="779" spans="1:20" ht="34.5" customHeight="1">
      <c r="A779" s="11" t="s">
        <v>4798</v>
      </c>
      <c r="B779" s="3" t="s">
        <v>69</v>
      </c>
      <c r="C779" s="3" t="s">
        <v>11</v>
      </c>
      <c r="D779" s="3" t="s">
        <v>2648</v>
      </c>
      <c r="E779" s="3" t="s">
        <v>44</v>
      </c>
      <c r="F779" s="3" t="s">
        <v>2644</v>
      </c>
      <c r="G779" s="3" t="s">
        <v>5000</v>
      </c>
      <c r="H779" s="4" t="s">
        <v>2272</v>
      </c>
      <c r="I779" s="4" t="s">
        <v>2272</v>
      </c>
      <c r="J779" s="4" t="s">
        <v>2272</v>
      </c>
      <c r="K779" s="3" t="s">
        <v>532</v>
      </c>
      <c r="L779" s="4" t="s">
        <v>2272</v>
      </c>
      <c r="M779" s="4" t="s">
        <v>2272</v>
      </c>
      <c r="N779" s="4" t="s">
        <v>2272</v>
      </c>
      <c r="O779" s="4" t="s">
        <v>2272</v>
      </c>
      <c r="P779" s="4" t="s">
        <v>2272</v>
      </c>
      <c r="Q779" s="4" t="s">
        <v>2272</v>
      </c>
      <c r="R779" s="4" t="s">
        <v>2272</v>
      </c>
      <c r="S779" s="4" t="s">
        <v>2272</v>
      </c>
      <c r="T779" s="4" t="s">
        <v>4806</v>
      </c>
    </row>
    <row r="780" spans="1:20" ht="35.5" customHeight="1">
      <c r="A780" s="11" t="s">
        <v>4799</v>
      </c>
      <c r="B780" s="3" t="s">
        <v>69</v>
      </c>
      <c r="C780" s="3" t="s">
        <v>11</v>
      </c>
      <c r="D780" s="3" t="s">
        <v>5000</v>
      </c>
      <c r="E780" s="3" t="s">
        <v>44</v>
      </c>
      <c r="F780" s="3" t="s">
        <v>2644</v>
      </c>
      <c r="G780" s="4" t="s">
        <v>2272</v>
      </c>
      <c r="H780" s="4" t="s">
        <v>2272</v>
      </c>
      <c r="I780" s="4" t="s">
        <v>2272</v>
      </c>
      <c r="J780" s="4" t="s">
        <v>2272</v>
      </c>
      <c r="K780" s="3" t="s">
        <v>532</v>
      </c>
      <c r="L780" s="4" t="s">
        <v>2272</v>
      </c>
      <c r="M780" s="4" t="s">
        <v>2272</v>
      </c>
      <c r="N780" s="4" t="s">
        <v>2272</v>
      </c>
      <c r="O780" s="4" t="s">
        <v>2272</v>
      </c>
      <c r="P780" s="4" t="s">
        <v>2272</v>
      </c>
      <c r="Q780" s="4" t="s">
        <v>2272</v>
      </c>
      <c r="R780" s="4" t="s">
        <v>2272</v>
      </c>
      <c r="S780" s="4" t="s">
        <v>2272</v>
      </c>
      <c r="T780" s="4" t="s">
        <v>4806</v>
      </c>
    </row>
    <row r="781" spans="1:20" ht="33.5" customHeight="1">
      <c r="A781" s="3" t="s">
        <v>4800</v>
      </c>
      <c r="B781" s="3" t="s">
        <v>69</v>
      </c>
      <c r="C781" s="3" t="s">
        <v>11</v>
      </c>
      <c r="D781" s="3" t="s">
        <v>5000</v>
      </c>
      <c r="E781" s="3" t="s">
        <v>44</v>
      </c>
      <c r="F781" s="4" t="s">
        <v>2272</v>
      </c>
      <c r="G781" s="4" t="s">
        <v>2272</v>
      </c>
      <c r="H781" s="4" t="s">
        <v>2272</v>
      </c>
      <c r="I781" s="4" t="s">
        <v>2272</v>
      </c>
      <c r="J781" s="4" t="s">
        <v>2272</v>
      </c>
      <c r="K781" s="3" t="s">
        <v>532</v>
      </c>
      <c r="L781" s="4" t="s">
        <v>2272</v>
      </c>
      <c r="M781" s="4" t="s">
        <v>2272</v>
      </c>
      <c r="N781" s="4" t="s">
        <v>2272</v>
      </c>
      <c r="O781" s="4" t="s">
        <v>2272</v>
      </c>
      <c r="P781" s="4" t="s">
        <v>2272</v>
      </c>
      <c r="Q781" s="4" t="s">
        <v>2272</v>
      </c>
      <c r="R781" s="4" t="s">
        <v>2272</v>
      </c>
      <c r="S781" s="4" t="s">
        <v>2272</v>
      </c>
      <c r="T781" s="4" t="s">
        <v>4807</v>
      </c>
    </row>
    <row r="782" spans="1:20" ht="38" customHeight="1">
      <c r="A782" s="3" t="s">
        <v>4828</v>
      </c>
      <c r="B782" s="3" t="s">
        <v>2272</v>
      </c>
      <c r="C782" s="3" t="s">
        <v>2641</v>
      </c>
      <c r="D782" s="3" t="s">
        <v>44</v>
      </c>
      <c r="E782" s="3" t="s">
        <v>2644</v>
      </c>
      <c r="F782" s="4" t="s">
        <v>2272</v>
      </c>
      <c r="G782" s="4" t="s">
        <v>2272</v>
      </c>
      <c r="H782" s="4" t="s">
        <v>2272</v>
      </c>
      <c r="I782" s="4" t="s">
        <v>2272</v>
      </c>
      <c r="J782" s="4" t="s">
        <v>2272</v>
      </c>
      <c r="K782" s="4" t="s">
        <v>2272</v>
      </c>
      <c r="L782" s="4" t="s">
        <v>2272</v>
      </c>
      <c r="M782" s="4" t="s">
        <v>2272</v>
      </c>
      <c r="N782" s="4" t="s">
        <v>2272</v>
      </c>
      <c r="O782" s="4" t="s">
        <v>2272</v>
      </c>
      <c r="P782" s="4" t="s">
        <v>2272</v>
      </c>
      <c r="Q782" s="4" t="s">
        <v>2272</v>
      </c>
      <c r="R782" s="4" t="s">
        <v>2272</v>
      </c>
      <c r="S782" s="4" t="s">
        <v>2272</v>
      </c>
      <c r="T782" s="3"/>
    </row>
    <row r="783" spans="1:20" ht="48" customHeight="1">
      <c r="A783" s="11" t="s">
        <v>4843</v>
      </c>
      <c r="B783" s="3" t="s">
        <v>31</v>
      </c>
      <c r="C783" s="3" t="s">
        <v>2641</v>
      </c>
      <c r="D783" s="3" t="s">
        <v>135</v>
      </c>
      <c r="E783" s="3" t="s">
        <v>44</v>
      </c>
      <c r="F783" s="3" t="s">
        <v>82</v>
      </c>
      <c r="G783" s="3" t="s">
        <v>2644</v>
      </c>
      <c r="H783" s="4" t="s">
        <v>2272</v>
      </c>
      <c r="I783" s="4" t="s">
        <v>2272</v>
      </c>
      <c r="J783" s="4" t="s">
        <v>2272</v>
      </c>
      <c r="K783" s="4" t="s">
        <v>2272</v>
      </c>
      <c r="L783" s="4" t="s">
        <v>2272</v>
      </c>
      <c r="M783" s="4" t="s">
        <v>2272</v>
      </c>
      <c r="N783" s="4" t="s">
        <v>2272</v>
      </c>
      <c r="O783" s="4" t="s">
        <v>2272</v>
      </c>
      <c r="P783" s="4" t="s">
        <v>2272</v>
      </c>
      <c r="Q783" s="4" t="s">
        <v>2272</v>
      </c>
      <c r="R783" s="4" t="s">
        <v>2272</v>
      </c>
      <c r="S783" s="4" t="s">
        <v>2272</v>
      </c>
      <c r="T783" s="3"/>
    </row>
    <row r="784" spans="1:20" ht="48" customHeight="1">
      <c r="A784" s="11" t="s">
        <v>4845</v>
      </c>
      <c r="B784" s="3" t="s">
        <v>31</v>
      </c>
      <c r="C784" s="3" t="s">
        <v>2641</v>
      </c>
      <c r="D784" s="3" t="s">
        <v>135</v>
      </c>
      <c r="E784" s="3" t="s">
        <v>44</v>
      </c>
      <c r="F784" s="3" t="s">
        <v>82</v>
      </c>
      <c r="G784" s="3" t="s">
        <v>2644</v>
      </c>
      <c r="H784" s="4" t="s">
        <v>2272</v>
      </c>
      <c r="I784" s="4" t="s">
        <v>2272</v>
      </c>
      <c r="J784" s="4" t="s">
        <v>2272</v>
      </c>
      <c r="K784" s="4" t="s">
        <v>2272</v>
      </c>
      <c r="L784" s="4" t="s">
        <v>2272</v>
      </c>
      <c r="M784" s="4" t="s">
        <v>2272</v>
      </c>
      <c r="N784" s="4" t="s">
        <v>2272</v>
      </c>
      <c r="O784" s="4" t="s">
        <v>2272</v>
      </c>
      <c r="P784" s="4" t="s">
        <v>2272</v>
      </c>
      <c r="Q784" s="4" t="s">
        <v>2272</v>
      </c>
      <c r="R784" s="4" t="s">
        <v>2272</v>
      </c>
      <c r="S784" s="4" t="s">
        <v>2272</v>
      </c>
      <c r="T784" s="3"/>
    </row>
    <row r="785" spans="1:20" ht="48" customHeight="1">
      <c r="A785" s="11" t="s">
        <v>4846</v>
      </c>
      <c r="B785" s="3" t="s">
        <v>31</v>
      </c>
      <c r="C785" s="3" t="s">
        <v>2641</v>
      </c>
      <c r="D785" s="3" t="s">
        <v>135</v>
      </c>
      <c r="E785" s="3" t="s">
        <v>44</v>
      </c>
      <c r="F785" s="3" t="s">
        <v>82</v>
      </c>
      <c r="G785" s="3" t="s">
        <v>2644</v>
      </c>
      <c r="H785" s="4" t="s">
        <v>2272</v>
      </c>
      <c r="I785" s="4" t="s">
        <v>2272</v>
      </c>
      <c r="J785" s="4" t="s">
        <v>2272</v>
      </c>
      <c r="K785" s="4" t="s">
        <v>2272</v>
      </c>
      <c r="L785" s="4" t="s">
        <v>2272</v>
      </c>
      <c r="M785" s="4" t="s">
        <v>2272</v>
      </c>
      <c r="N785" s="4" t="s">
        <v>2272</v>
      </c>
      <c r="O785" s="4" t="s">
        <v>2272</v>
      </c>
      <c r="P785" s="4" t="s">
        <v>2272</v>
      </c>
      <c r="Q785" s="4" t="s">
        <v>2272</v>
      </c>
      <c r="R785" s="4" t="s">
        <v>2272</v>
      </c>
      <c r="S785" s="4" t="s">
        <v>2272</v>
      </c>
      <c r="T785" s="3"/>
    </row>
    <row r="786" spans="1:20" ht="48" customHeight="1">
      <c r="A786" s="11" t="s">
        <v>4847</v>
      </c>
      <c r="B786" s="3" t="s">
        <v>31</v>
      </c>
      <c r="C786" s="3" t="s">
        <v>2641</v>
      </c>
      <c r="D786" s="3" t="s">
        <v>135</v>
      </c>
      <c r="E786" s="3" t="s">
        <v>44</v>
      </c>
      <c r="F786" s="3" t="s">
        <v>82</v>
      </c>
      <c r="G786" s="3" t="s">
        <v>2644</v>
      </c>
      <c r="H786" s="4" t="s">
        <v>2272</v>
      </c>
      <c r="I786" s="4" t="s">
        <v>2272</v>
      </c>
      <c r="J786" s="4" t="s">
        <v>2272</v>
      </c>
      <c r="K786" s="4" t="s">
        <v>2272</v>
      </c>
      <c r="L786" s="4" t="s">
        <v>2272</v>
      </c>
      <c r="M786" s="4" t="s">
        <v>2272</v>
      </c>
      <c r="N786" s="4" t="s">
        <v>2272</v>
      </c>
      <c r="O786" s="4" t="s">
        <v>2272</v>
      </c>
      <c r="P786" s="4" t="s">
        <v>2272</v>
      </c>
      <c r="Q786" s="4" t="s">
        <v>2272</v>
      </c>
      <c r="R786" s="4" t="s">
        <v>2272</v>
      </c>
      <c r="S786" s="4" t="s">
        <v>2272</v>
      </c>
      <c r="T786" s="3"/>
    </row>
    <row r="787" spans="1:20" ht="48" customHeight="1">
      <c r="A787" s="11" t="s">
        <v>4848</v>
      </c>
      <c r="B787" s="3" t="s">
        <v>31</v>
      </c>
      <c r="C787" s="3" t="s">
        <v>2641</v>
      </c>
      <c r="D787" s="3" t="s">
        <v>135</v>
      </c>
      <c r="E787" s="3" t="s">
        <v>44</v>
      </c>
      <c r="F787" s="3" t="s">
        <v>82</v>
      </c>
      <c r="G787" s="3" t="s">
        <v>2644</v>
      </c>
      <c r="H787" s="4" t="s">
        <v>2272</v>
      </c>
      <c r="I787" s="4" t="s">
        <v>2272</v>
      </c>
      <c r="J787" s="4" t="s">
        <v>2272</v>
      </c>
      <c r="K787" s="4" t="s">
        <v>2272</v>
      </c>
      <c r="L787" s="4" t="s">
        <v>2272</v>
      </c>
      <c r="M787" s="4" t="s">
        <v>2272</v>
      </c>
      <c r="N787" s="4" t="s">
        <v>2272</v>
      </c>
      <c r="O787" s="4" t="s">
        <v>2272</v>
      </c>
      <c r="P787" s="4" t="s">
        <v>2272</v>
      </c>
      <c r="Q787" s="4" t="s">
        <v>2272</v>
      </c>
      <c r="R787" s="4" t="s">
        <v>2272</v>
      </c>
      <c r="S787" s="4" t="s">
        <v>2272</v>
      </c>
      <c r="T787" s="3"/>
    </row>
    <row r="788" spans="1:20" ht="48" customHeight="1">
      <c r="A788" s="11" t="s">
        <v>4849</v>
      </c>
      <c r="B788" s="3" t="s">
        <v>31</v>
      </c>
      <c r="C788" s="3" t="s">
        <v>2641</v>
      </c>
      <c r="D788" s="3" t="s">
        <v>135</v>
      </c>
      <c r="E788" s="3" t="s">
        <v>44</v>
      </c>
      <c r="F788" s="3" t="s">
        <v>82</v>
      </c>
      <c r="G788" s="3" t="s">
        <v>2644</v>
      </c>
      <c r="H788" s="4" t="s">
        <v>2272</v>
      </c>
      <c r="I788" s="4" t="s">
        <v>2272</v>
      </c>
      <c r="J788" s="4" t="s">
        <v>2272</v>
      </c>
      <c r="K788" s="4" t="s">
        <v>2272</v>
      </c>
      <c r="L788" s="4" t="s">
        <v>2272</v>
      </c>
      <c r="M788" s="4" t="s">
        <v>2272</v>
      </c>
      <c r="N788" s="4" t="s">
        <v>2272</v>
      </c>
      <c r="O788" s="4" t="s">
        <v>2272</v>
      </c>
      <c r="P788" s="4" t="s">
        <v>2272</v>
      </c>
      <c r="Q788" s="4" t="s">
        <v>2272</v>
      </c>
      <c r="R788" s="4" t="s">
        <v>2272</v>
      </c>
      <c r="S788" s="4" t="s">
        <v>2272</v>
      </c>
      <c r="T788" s="3"/>
    </row>
    <row r="789" spans="1:20" ht="48" customHeight="1">
      <c r="A789" s="11" t="s">
        <v>4850</v>
      </c>
      <c r="B789" s="3" t="s">
        <v>31</v>
      </c>
      <c r="C789" s="3" t="s">
        <v>2641</v>
      </c>
      <c r="D789" s="3" t="s">
        <v>135</v>
      </c>
      <c r="E789" s="3" t="s">
        <v>44</v>
      </c>
      <c r="F789" s="3" t="s">
        <v>82</v>
      </c>
      <c r="G789" s="3" t="s">
        <v>2644</v>
      </c>
      <c r="H789" s="4" t="s">
        <v>2272</v>
      </c>
      <c r="I789" s="4" t="s">
        <v>2272</v>
      </c>
      <c r="J789" s="4" t="s">
        <v>2272</v>
      </c>
      <c r="K789" s="4" t="s">
        <v>2272</v>
      </c>
      <c r="L789" s="4" t="s">
        <v>2272</v>
      </c>
      <c r="M789" s="4" t="s">
        <v>2272</v>
      </c>
      <c r="N789" s="4" t="s">
        <v>2272</v>
      </c>
      <c r="O789" s="4" t="s">
        <v>2272</v>
      </c>
      <c r="P789" s="4" t="s">
        <v>2272</v>
      </c>
      <c r="Q789" s="4" t="s">
        <v>2272</v>
      </c>
      <c r="R789" s="4" t="s">
        <v>2272</v>
      </c>
      <c r="S789" s="4" t="s">
        <v>2272</v>
      </c>
      <c r="T789" s="3"/>
    </row>
    <row r="790" spans="1:20" ht="48" customHeight="1">
      <c r="A790" s="11" t="s">
        <v>4851</v>
      </c>
      <c r="B790" s="3" t="s">
        <v>31</v>
      </c>
      <c r="C790" s="3" t="s">
        <v>2641</v>
      </c>
      <c r="D790" s="3" t="s">
        <v>135</v>
      </c>
      <c r="E790" s="3" t="s">
        <v>44</v>
      </c>
      <c r="F790" s="3" t="s">
        <v>82</v>
      </c>
      <c r="G790" s="3" t="s">
        <v>2644</v>
      </c>
      <c r="H790" s="4" t="s">
        <v>2272</v>
      </c>
      <c r="I790" s="4" t="s">
        <v>2272</v>
      </c>
      <c r="J790" s="4" t="s">
        <v>2272</v>
      </c>
      <c r="K790" s="4" t="s">
        <v>2272</v>
      </c>
      <c r="L790" s="4" t="s">
        <v>2272</v>
      </c>
      <c r="M790" s="4" t="s">
        <v>2272</v>
      </c>
      <c r="N790" s="4" t="s">
        <v>2272</v>
      </c>
      <c r="O790" s="4" t="s">
        <v>2272</v>
      </c>
      <c r="P790" s="4" t="s">
        <v>2272</v>
      </c>
      <c r="Q790" s="4" t="s">
        <v>2272</v>
      </c>
      <c r="R790" s="4" t="s">
        <v>2272</v>
      </c>
      <c r="S790" s="4" t="s">
        <v>2272</v>
      </c>
      <c r="T790" s="3"/>
    </row>
    <row r="791" spans="1:20" ht="48" customHeight="1">
      <c r="A791" s="11" t="s">
        <v>4852</v>
      </c>
      <c r="B791" s="3" t="s">
        <v>31</v>
      </c>
      <c r="C791" s="3" t="s">
        <v>2641</v>
      </c>
      <c r="D791" s="3" t="s">
        <v>135</v>
      </c>
      <c r="E791" s="3" t="s">
        <v>44</v>
      </c>
      <c r="F791" s="3" t="s">
        <v>82</v>
      </c>
      <c r="G791" s="3" t="s">
        <v>2644</v>
      </c>
      <c r="H791" s="4" t="s">
        <v>2272</v>
      </c>
      <c r="I791" s="4" t="s">
        <v>2272</v>
      </c>
      <c r="J791" s="4" t="s">
        <v>2272</v>
      </c>
      <c r="K791" s="4" t="s">
        <v>2272</v>
      </c>
      <c r="L791" s="4" t="s">
        <v>2272</v>
      </c>
      <c r="M791" s="4" t="s">
        <v>2272</v>
      </c>
      <c r="N791" s="4" t="s">
        <v>2272</v>
      </c>
      <c r="O791" s="4" t="s">
        <v>2272</v>
      </c>
      <c r="P791" s="4" t="s">
        <v>2272</v>
      </c>
      <c r="Q791" s="4" t="s">
        <v>2272</v>
      </c>
      <c r="R791" s="4" t="s">
        <v>2272</v>
      </c>
      <c r="S791" s="4" t="s">
        <v>2272</v>
      </c>
      <c r="T791" s="3"/>
    </row>
    <row r="792" spans="1:20" ht="48" customHeight="1">
      <c r="A792" s="11" t="s">
        <v>4853</v>
      </c>
      <c r="B792" s="3" t="s">
        <v>31</v>
      </c>
      <c r="C792" s="3" t="s">
        <v>2641</v>
      </c>
      <c r="D792" s="3" t="s">
        <v>135</v>
      </c>
      <c r="E792" s="3" t="s">
        <v>44</v>
      </c>
      <c r="F792" s="3" t="s">
        <v>82</v>
      </c>
      <c r="G792" s="3" t="s">
        <v>2644</v>
      </c>
      <c r="H792" s="4" t="s">
        <v>2272</v>
      </c>
      <c r="I792" s="4" t="s">
        <v>2272</v>
      </c>
      <c r="J792" s="4" t="s">
        <v>2272</v>
      </c>
      <c r="K792" s="4" t="s">
        <v>2272</v>
      </c>
      <c r="L792" s="4" t="s">
        <v>2272</v>
      </c>
      <c r="M792" s="4" t="s">
        <v>2272</v>
      </c>
      <c r="N792" s="4" t="s">
        <v>2272</v>
      </c>
      <c r="O792" s="4" t="s">
        <v>2272</v>
      </c>
      <c r="P792" s="4" t="s">
        <v>2272</v>
      </c>
      <c r="Q792" s="4" t="s">
        <v>2272</v>
      </c>
      <c r="R792" s="4" t="s">
        <v>2272</v>
      </c>
      <c r="S792" s="4" t="s">
        <v>2272</v>
      </c>
      <c r="T792" s="3"/>
    </row>
    <row r="793" spans="1:20" ht="48" customHeight="1">
      <c r="A793" s="11" t="s">
        <v>4854</v>
      </c>
      <c r="B793" s="3" t="s">
        <v>31</v>
      </c>
      <c r="C793" s="3" t="s">
        <v>2641</v>
      </c>
      <c r="D793" s="3" t="s">
        <v>135</v>
      </c>
      <c r="E793" s="3" t="s">
        <v>44</v>
      </c>
      <c r="F793" s="3" t="s">
        <v>82</v>
      </c>
      <c r="G793" s="3" t="s">
        <v>2644</v>
      </c>
      <c r="H793" s="4" t="s">
        <v>2272</v>
      </c>
      <c r="I793" s="4" t="s">
        <v>2272</v>
      </c>
      <c r="J793" s="4" t="s">
        <v>2272</v>
      </c>
      <c r="K793" s="4" t="s">
        <v>2272</v>
      </c>
      <c r="L793" s="4" t="s">
        <v>2272</v>
      </c>
      <c r="M793" s="4" t="s">
        <v>2272</v>
      </c>
      <c r="N793" s="4" t="s">
        <v>2272</v>
      </c>
      <c r="O793" s="4" t="s">
        <v>2272</v>
      </c>
      <c r="P793" s="4" t="s">
        <v>2272</v>
      </c>
      <c r="Q793" s="4" t="s">
        <v>2272</v>
      </c>
      <c r="R793" s="4" t="s">
        <v>2272</v>
      </c>
      <c r="S793" s="4" t="s">
        <v>2272</v>
      </c>
      <c r="T793" s="3"/>
    </row>
    <row r="794" spans="1:20" ht="48" customHeight="1">
      <c r="A794" s="11" t="s">
        <v>4855</v>
      </c>
      <c r="B794" s="3" t="s">
        <v>31</v>
      </c>
      <c r="C794" s="3" t="s">
        <v>2641</v>
      </c>
      <c r="D794" s="3" t="s">
        <v>135</v>
      </c>
      <c r="E794" s="3" t="s">
        <v>44</v>
      </c>
      <c r="F794" s="3" t="s">
        <v>82</v>
      </c>
      <c r="G794" s="3" t="s">
        <v>2644</v>
      </c>
      <c r="H794" s="4" t="s">
        <v>2272</v>
      </c>
      <c r="I794" s="4" t="s">
        <v>2272</v>
      </c>
      <c r="J794" s="4" t="s">
        <v>2272</v>
      </c>
      <c r="K794" s="4" t="s">
        <v>2272</v>
      </c>
      <c r="L794" s="4" t="s">
        <v>2272</v>
      </c>
      <c r="M794" s="4" t="s">
        <v>2272</v>
      </c>
      <c r="N794" s="4" t="s">
        <v>2272</v>
      </c>
      <c r="O794" s="4" t="s">
        <v>2272</v>
      </c>
      <c r="P794" s="4" t="s">
        <v>2272</v>
      </c>
      <c r="Q794" s="4" t="s">
        <v>2272</v>
      </c>
      <c r="R794" s="4" t="s">
        <v>2272</v>
      </c>
      <c r="S794" s="4" t="s">
        <v>2272</v>
      </c>
      <c r="T794" s="3"/>
    </row>
    <row r="795" spans="1:20" ht="48" customHeight="1">
      <c r="A795" s="11" t="s">
        <v>4856</v>
      </c>
      <c r="B795" s="3" t="s">
        <v>31</v>
      </c>
      <c r="C795" s="3" t="s">
        <v>2641</v>
      </c>
      <c r="D795" s="3" t="s">
        <v>135</v>
      </c>
      <c r="E795" s="3" t="s">
        <v>44</v>
      </c>
      <c r="F795" s="3" t="s">
        <v>82</v>
      </c>
      <c r="G795" s="3" t="s">
        <v>2644</v>
      </c>
      <c r="H795" s="4" t="s">
        <v>2272</v>
      </c>
      <c r="I795" s="4" t="s">
        <v>2272</v>
      </c>
      <c r="J795" s="4" t="s">
        <v>2272</v>
      </c>
      <c r="K795" s="4" t="s">
        <v>2272</v>
      </c>
      <c r="L795" s="4" t="s">
        <v>2272</v>
      </c>
      <c r="M795" s="4" t="s">
        <v>2272</v>
      </c>
      <c r="N795" s="4" t="s">
        <v>2272</v>
      </c>
      <c r="O795" s="4" t="s">
        <v>2272</v>
      </c>
      <c r="P795" s="4" t="s">
        <v>2272</v>
      </c>
      <c r="Q795" s="4" t="s">
        <v>2272</v>
      </c>
      <c r="R795" s="4" t="s">
        <v>2272</v>
      </c>
      <c r="S795" s="4" t="s">
        <v>2272</v>
      </c>
      <c r="T795" s="3"/>
    </row>
    <row r="796" spans="1:20" ht="48" customHeight="1">
      <c r="A796" s="11" t="s">
        <v>4857</v>
      </c>
      <c r="B796" s="3" t="s">
        <v>31</v>
      </c>
      <c r="C796" s="3" t="s">
        <v>2641</v>
      </c>
      <c r="D796" s="3" t="s">
        <v>135</v>
      </c>
      <c r="E796" s="3" t="s">
        <v>44</v>
      </c>
      <c r="F796" s="3" t="s">
        <v>82</v>
      </c>
      <c r="G796" s="3" t="s">
        <v>2644</v>
      </c>
      <c r="H796" s="4" t="s">
        <v>2272</v>
      </c>
      <c r="I796" s="4" t="s">
        <v>2272</v>
      </c>
      <c r="J796" s="4" t="s">
        <v>2272</v>
      </c>
      <c r="K796" s="4" t="s">
        <v>2272</v>
      </c>
      <c r="L796" s="4" t="s">
        <v>2272</v>
      </c>
      <c r="M796" s="4" t="s">
        <v>2272</v>
      </c>
      <c r="N796" s="4" t="s">
        <v>2272</v>
      </c>
      <c r="O796" s="4" t="s">
        <v>2272</v>
      </c>
      <c r="P796" s="4" t="s">
        <v>2272</v>
      </c>
      <c r="Q796" s="4" t="s">
        <v>2272</v>
      </c>
      <c r="R796" s="4" t="s">
        <v>2272</v>
      </c>
      <c r="S796" s="4" t="s">
        <v>2272</v>
      </c>
      <c r="T796" s="3"/>
    </row>
    <row r="797" spans="1:20" ht="48" customHeight="1">
      <c r="A797" s="11" t="s">
        <v>4858</v>
      </c>
      <c r="B797" s="3" t="s">
        <v>31</v>
      </c>
      <c r="C797" s="3" t="s">
        <v>2641</v>
      </c>
      <c r="D797" s="3" t="s">
        <v>135</v>
      </c>
      <c r="E797" s="3" t="s">
        <v>44</v>
      </c>
      <c r="F797" s="3" t="s">
        <v>82</v>
      </c>
      <c r="G797" s="3" t="s">
        <v>2644</v>
      </c>
      <c r="H797" s="4" t="s">
        <v>2272</v>
      </c>
      <c r="I797" s="4" t="s">
        <v>2272</v>
      </c>
      <c r="J797" s="4" t="s">
        <v>2272</v>
      </c>
      <c r="K797" s="4" t="s">
        <v>2272</v>
      </c>
      <c r="L797" s="4" t="s">
        <v>2272</v>
      </c>
      <c r="M797" s="4" t="s">
        <v>2272</v>
      </c>
      <c r="N797" s="4" t="s">
        <v>2272</v>
      </c>
      <c r="O797" s="4" t="s">
        <v>2272</v>
      </c>
      <c r="P797" s="4" t="s">
        <v>2272</v>
      </c>
      <c r="Q797" s="4" t="s">
        <v>2272</v>
      </c>
      <c r="R797" s="4" t="s">
        <v>2272</v>
      </c>
      <c r="S797" s="4" t="s">
        <v>2272</v>
      </c>
      <c r="T797" s="3"/>
    </row>
    <row r="798" spans="1:20" ht="48" customHeight="1">
      <c r="A798" s="11" t="s">
        <v>4859</v>
      </c>
      <c r="B798" s="3" t="s">
        <v>31</v>
      </c>
      <c r="C798" s="3" t="s">
        <v>2641</v>
      </c>
      <c r="D798" s="3" t="s">
        <v>135</v>
      </c>
      <c r="E798" s="3" t="s">
        <v>44</v>
      </c>
      <c r="F798" s="3" t="s">
        <v>82</v>
      </c>
      <c r="G798" s="3" t="s">
        <v>2644</v>
      </c>
      <c r="H798" s="4" t="s">
        <v>2272</v>
      </c>
      <c r="I798" s="4" t="s">
        <v>2272</v>
      </c>
      <c r="J798" s="4" t="s">
        <v>2272</v>
      </c>
      <c r="K798" s="4" t="s">
        <v>2272</v>
      </c>
      <c r="L798" s="4" t="s">
        <v>2272</v>
      </c>
      <c r="M798" s="4" t="s">
        <v>2272</v>
      </c>
      <c r="N798" s="4" t="s">
        <v>2272</v>
      </c>
      <c r="O798" s="4" t="s">
        <v>2272</v>
      </c>
      <c r="P798" s="4" t="s">
        <v>2272</v>
      </c>
      <c r="Q798" s="4" t="s">
        <v>2272</v>
      </c>
      <c r="R798" s="4" t="s">
        <v>2272</v>
      </c>
      <c r="S798" s="4" t="s">
        <v>2272</v>
      </c>
      <c r="T798" s="3"/>
    </row>
    <row r="799" spans="1:20" ht="48" customHeight="1">
      <c r="A799" s="11" t="s">
        <v>4860</v>
      </c>
      <c r="B799" s="3" t="s">
        <v>31</v>
      </c>
      <c r="C799" s="3" t="s">
        <v>2641</v>
      </c>
      <c r="D799" s="3" t="s">
        <v>135</v>
      </c>
      <c r="E799" s="3" t="s">
        <v>44</v>
      </c>
      <c r="F799" s="3" t="s">
        <v>82</v>
      </c>
      <c r="G799" s="3" t="s">
        <v>2644</v>
      </c>
      <c r="H799" s="4" t="s">
        <v>2272</v>
      </c>
      <c r="I799" s="4" t="s">
        <v>2272</v>
      </c>
      <c r="J799" s="4" t="s">
        <v>2272</v>
      </c>
      <c r="K799" s="4" t="s">
        <v>2272</v>
      </c>
      <c r="L799" s="4" t="s">
        <v>2272</v>
      </c>
      <c r="M799" s="4" t="s">
        <v>2272</v>
      </c>
      <c r="N799" s="4" t="s">
        <v>2272</v>
      </c>
      <c r="O799" s="4" t="s">
        <v>2272</v>
      </c>
      <c r="P799" s="4" t="s">
        <v>2272</v>
      </c>
      <c r="Q799" s="4" t="s">
        <v>2272</v>
      </c>
      <c r="R799" s="4" t="s">
        <v>2272</v>
      </c>
      <c r="S799" s="4" t="s">
        <v>2272</v>
      </c>
      <c r="T799" s="3"/>
    </row>
    <row r="800" spans="1:20" ht="48" customHeight="1">
      <c r="A800" s="11" t="s">
        <v>4861</v>
      </c>
      <c r="B800" s="3" t="s">
        <v>31</v>
      </c>
      <c r="C800" s="3" t="s">
        <v>2641</v>
      </c>
      <c r="D800" s="3" t="s">
        <v>135</v>
      </c>
      <c r="E800" s="3" t="s">
        <v>44</v>
      </c>
      <c r="F800" s="3" t="s">
        <v>82</v>
      </c>
      <c r="G800" s="3" t="s">
        <v>2644</v>
      </c>
      <c r="H800" s="4" t="s">
        <v>2272</v>
      </c>
      <c r="I800" s="4" t="s">
        <v>2272</v>
      </c>
      <c r="J800" s="4" t="s">
        <v>2272</v>
      </c>
      <c r="K800" s="4" t="s">
        <v>2272</v>
      </c>
      <c r="L800" s="4" t="s">
        <v>2272</v>
      </c>
      <c r="M800" s="4" t="s">
        <v>2272</v>
      </c>
      <c r="N800" s="4" t="s">
        <v>2272</v>
      </c>
      <c r="O800" s="4" t="s">
        <v>2272</v>
      </c>
      <c r="P800" s="4" t="s">
        <v>2272</v>
      </c>
      <c r="Q800" s="4" t="s">
        <v>2272</v>
      </c>
      <c r="R800" s="4" t="s">
        <v>2272</v>
      </c>
      <c r="S800" s="4" t="s">
        <v>2272</v>
      </c>
      <c r="T800" s="3"/>
    </row>
    <row r="801" spans="1:20" ht="48" customHeight="1">
      <c r="A801" s="11" t="s">
        <v>4862</v>
      </c>
      <c r="B801" s="3" t="s">
        <v>31</v>
      </c>
      <c r="C801" s="3" t="s">
        <v>2641</v>
      </c>
      <c r="D801" s="3" t="s">
        <v>135</v>
      </c>
      <c r="E801" s="3" t="s">
        <v>44</v>
      </c>
      <c r="F801" s="3" t="s">
        <v>82</v>
      </c>
      <c r="G801" s="3" t="s">
        <v>2644</v>
      </c>
      <c r="H801" s="4" t="s">
        <v>2272</v>
      </c>
      <c r="I801" s="4" t="s">
        <v>2272</v>
      </c>
      <c r="J801" s="4" t="s">
        <v>2272</v>
      </c>
      <c r="K801" s="4" t="s">
        <v>2272</v>
      </c>
      <c r="L801" s="4" t="s">
        <v>2272</v>
      </c>
      <c r="M801" s="4" t="s">
        <v>2272</v>
      </c>
      <c r="N801" s="4" t="s">
        <v>2272</v>
      </c>
      <c r="O801" s="4" t="s">
        <v>2272</v>
      </c>
      <c r="P801" s="4" t="s">
        <v>2272</v>
      </c>
      <c r="Q801" s="4" t="s">
        <v>2272</v>
      </c>
      <c r="R801" s="4" t="s">
        <v>2272</v>
      </c>
      <c r="S801" s="4" t="s">
        <v>2272</v>
      </c>
      <c r="T801" s="3"/>
    </row>
    <row r="802" spans="1:20" ht="48" customHeight="1">
      <c r="A802" s="11" t="s">
        <v>4863</v>
      </c>
      <c r="B802" s="3" t="s">
        <v>31</v>
      </c>
      <c r="C802" s="3" t="s">
        <v>2641</v>
      </c>
      <c r="D802" s="3" t="s">
        <v>135</v>
      </c>
      <c r="E802" s="3" t="s">
        <v>44</v>
      </c>
      <c r="F802" s="3" t="s">
        <v>82</v>
      </c>
      <c r="G802" s="3" t="s">
        <v>2644</v>
      </c>
      <c r="H802" s="4" t="s">
        <v>2272</v>
      </c>
      <c r="I802" s="4" t="s">
        <v>2272</v>
      </c>
      <c r="J802" s="4" t="s">
        <v>2272</v>
      </c>
      <c r="K802" s="4" t="s">
        <v>2272</v>
      </c>
      <c r="L802" s="4" t="s">
        <v>2272</v>
      </c>
      <c r="M802" s="4" t="s">
        <v>2272</v>
      </c>
      <c r="N802" s="4" t="s">
        <v>2272</v>
      </c>
      <c r="O802" s="4" t="s">
        <v>2272</v>
      </c>
      <c r="P802" s="4" t="s">
        <v>2272</v>
      </c>
      <c r="Q802" s="4" t="s">
        <v>2272</v>
      </c>
      <c r="R802" s="4" t="s">
        <v>2272</v>
      </c>
      <c r="S802" s="4" t="s">
        <v>2272</v>
      </c>
      <c r="T802" s="3"/>
    </row>
    <row r="803" spans="1:20" ht="48" customHeight="1">
      <c r="A803" s="11" t="s">
        <v>4864</v>
      </c>
      <c r="B803" s="3" t="s">
        <v>31</v>
      </c>
      <c r="C803" s="3" t="s">
        <v>2641</v>
      </c>
      <c r="D803" s="3" t="s">
        <v>135</v>
      </c>
      <c r="E803" s="3" t="s">
        <v>44</v>
      </c>
      <c r="F803" s="3" t="s">
        <v>82</v>
      </c>
      <c r="G803" s="3" t="s">
        <v>2644</v>
      </c>
      <c r="H803" s="4" t="s">
        <v>2272</v>
      </c>
      <c r="I803" s="4" t="s">
        <v>2272</v>
      </c>
      <c r="J803" s="4" t="s">
        <v>2272</v>
      </c>
      <c r="K803" s="4" t="s">
        <v>2272</v>
      </c>
      <c r="L803" s="4" t="s">
        <v>2272</v>
      </c>
      <c r="M803" s="4" t="s">
        <v>2272</v>
      </c>
      <c r="N803" s="4" t="s">
        <v>2272</v>
      </c>
      <c r="O803" s="4" t="s">
        <v>2272</v>
      </c>
      <c r="P803" s="4" t="s">
        <v>2272</v>
      </c>
      <c r="Q803" s="4" t="s">
        <v>2272</v>
      </c>
      <c r="R803" s="4" t="s">
        <v>2272</v>
      </c>
      <c r="S803" s="4" t="s">
        <v>2272</v>
      </c>
      <c r="T803" s="3"/>
    </row>
    <row r="804" spans="1:20" ht="48" customHeight="1">
      <c r="A804" s="11" t="s">
        <v>4865</v>
      </c>
      <c r="B804" s="3" t="s">
        <v>31</v>
      </c>
      <c r="C804" s="3" t="s">
        <v>2641</v>
      </c>
      <c r="D804" s="3" t="s">
        <v>135</v>
      </c>
      <c r="E804" s="3" t="s">
        <v>44</v>
      </c>
      <c r="F804" s="3" t="s">
        <v>82</v>
      </c>
      <c r="G804" s="3" t="s">
        <v>2644</v>
      </c>
      <c r="H804" s="4" t="s">
        <v>2272</v>
      </c>
      <c r="I804" s="4" t="s">
        <v>2272</v>
      </c>
      <c r="J804" s="4" t="s">
        <v>2272</v>
      </c>
      <c r="K804" s="4" t="s">
        <v>2272</v>
      </c>
      <c r="L804" s="4" t="s">
        <v>2272</v>
      </c>
      <c r="M804" s="4" t="s">
        <v>2272</v>
      </c>
      <c r="N804" s="4" t="s">
        <v>2272</v>
      </c>
      <c r="O804" s="4" t="s">
        <v>2272</v>
      </c>
      <c r="P804" s="4" t="s">
        <v>2272</v>
      </c>
      <c r="Q804" s="4" t="s">
        <v>2272</v>
      </c>
      <c r="R804" s="4" t="s">
        <v>2272</v>
      </c>
      <c r="S804" s="4" t="s">
        <v>2272</v>
      </c>
      <c r="T804" s="3"/>
    </row>
    <row r="805" spans="1:20" ht="48" customHeight="1">
      <c r="A805" s="11" t="s">
        <v>4866</v>
      </c>
      <c r="B805" s="3" t="s">
        <v>31</v>
      </c>
      <c r="C805" s="3" t="s">
        <v>2641</v>
      </c>
      <c r="D805" s="3" t="s">
        <v>135</v>
      </c>
      <c r="E805" s="3" t="s">
        <v>44</v>
      </c>
      <c r="F805" s="3" t="s">
        <v>82</v>
      </c>
      <c r="G805" s="3" t="s">
        <v>2644</v>
      </c>
      <c r="H805" s="4" t="s">
        <v>2272</v>
      </c>
      <c r="I805" s="4" t="s">
        <v>2272</v>
      </c>
      <c r="J805" s="4" t="s">
        <v>2272</v>
      </c>
      <c r="K805" s="4" t="s">
        <v>2272</v>
      </c>
      <c r="L805" s="4" t="s">
        <v>2272</v>
      </c>
      <c r="M805" s="4" t="s">
        <v>2272</v>
      </c>
      <c r="N805" s="4" t="s">
        <v>2272</v>
      </c>
      <c r="O805" s="4" t="s">
        <v>2272</v>
      </c>
      <c r="P805" s="4" t="s">
        <v>2272</v>
      </c>
      <c r="Q805" s="4" t="s">
        <v>2272</v>
      </c>
      <c r="R805" s="4" t="s">
        <v>2272</v>
      </c>
      <c r="S805" s="4" t="s">
        <v>2272</v>
      </c>
      <c r="T805" s="3"/>
    </row>
    <row r="806" spans="1:20" ht="48" customHeight="1">
      <c r="A806" s="11" t="s">
        <v>4867</v>
      </c>
      <c r="B806" s="3" t="s">
        <v>31</v>
      </c>
      <c r="C806" s="3" t="s">
        <v>2641</v>
      </c>
      <c r="D806" s="3" t="s">
        <v>135</v>
      </c>
      <c r="E806" s="3" t="s">
        <v>44</v>
      </c>
      <c r="F806" s="3" t="s">
        <v>82</v>
      </c>
      <c r="G806" s="3" t="s">
        <v>2644</v>
      </c>
      <c r="H806" s="4" t="s">
        <v>2272</v>
      </c>
      <c r="I806" s="4" t="s">
        <v>2272</v>
      </c>
      <c r="J806" s="4" t="s">
        <v>2272</v>
      </c>
      <c r="K806" s="4" t="s">
        <v>2272</v>
      </c>
      <c r="L806" s="4" t="s">
        <v>2272</v>
      </c>
      <c r="M806" s="4" t="s">
        <v>2272</v>
      </c>
      <c r="N806" s="4" t="s">
        <v>2272</v>
      </c>
      <c r="O806" s="4" t="s">
        <v>2272</v>
      </c>
      <c r="P806" s="4" t="s">
        <v>2272</v>
      </c>
      <c r="Q806" s="4" t="s">
        <v>2272</v>
      </c>
      <c r="R806" s="4" t="s">
        <v>2272</v>
      </c>
      <c r="S806" s="4" t="s">
        <v>2272</v>
      </c>
      <c r="T806" s="3"/>
    </row>
    <row r="807" spans="1:20" ht="48" customHeight="1">
      <c r="A807" s="11" t="s">
        <v>4868</v>
      </c>
      <c r="B807" s="3" t="s">
        <v>31</v>
      </c>
      <c r="C807" s="3" t="s">
        <v>2641</v>
      </c>
      <c r="D807" s="3" t="s">
        <v>135</v>
      </c>
      <c r="E807" s="3" t="s">
        <v>44</v>
      </c>
      <c r="F807" s="3" t="s">
        <v>82</v>
      </c>
      <c r="G807" s="3" t="s">
        <v>2644</v>
      </c>
      <c r="H807" s="4" t="s">
        <v>2272</v>
      </c>
      <c r="I807" s="4" t="s">
        <v>2272</v>
      </c>
      <c r="J807" s="4" t="s">
        <v>2272</v>
      </c>
      <c r="K807" s="4" t="s">
        <v>2272</v>
      </c>
      <c r="L807" s="4" t="s">
        <v>2272</v>
      </c>
      <c r="M807" s="4" t="s">
        <v>2272</v>
      </c>
      <c r="N807" s="4" t="s">
        <v>2272</v>
      </c>
      <c r="O807" s="4" t="s">
        <v>2272</v>
      </c>
      <c r="P807" s="4" t="s">
        <v>2272</v>
      </c>
      <c r="Q807" s="4" t="s">
        <v>2272</v>
      </c>
      <c r="R807" s="4" t="s">
        <v>2272</v>
      </c>
      <c r="S807" s="4" t="s">
        <v>2272</v>
      </c>
      <c r="T807" s="3"/>
    </row>
    <row r="808" spans="1:20" ht="43" customHeight="1">
      <c r="A808" s="11" t="s">
        <v>4920</v>
      </c>
      <c r="B808" s="3" t="s">
        <v>31</v>
      </c>
      <c r="C808" s="3" t="s">
        <v>11</v>
      </c>
      <c r="D808" s="4" t="s">
        <v>395</v>
      </c>
      <c r="E808" s="3" t="s">
        <v>44</v>
      </c>
      <c r="F808" s="3" t="s">
        <v>114</v>
      </c>
      <c r="G808" s="3" t="s">
        <v>2644</v>
      </c>
      <c r="H808" s="4" t="s">
        <v>2272</v>
      </c>
      <c r="I808" s="4" t="s">
        <v>2272</v>
      </c>
      <c r="J808" s="4" t="s">
        <v>2272</v>
      </c>
      <c r="K808" s="3" t="s">
        <v>532</v>
      </c>
      <c r="L808" s="4" t="s">
        <v>2272</v>
      </c>
      <c r="M808" s="4" t="s">
        <v>2272</v>
      </c>
      <c r="N808" s="4" t="s">
        <v>2272</v>
      </c>
      <c r="O808" s="4" t="s">
        <v>2272</v>
      </c>
      <c r="P808" s="4" t="s">
        <v>2272</v>
      </c>
      <c r="Q808" s="4" t="s">
        <v>2272</v>
      </c>
      <c r="R808" s="4" t="s">
        <v>2272</v>
      </c>
      <c r="S808" s="4" t="s">
        <v>2272</v>
      </c>
      <c r="T808" s="3" t="s">
        <v>4928</v>
      </c>
    </row>
    <row r="809" spans="1:20" ht="43" customHeight="1">
      <c r="A809" s="11" t="s">
        <v>4924</v>
      </c>
      <c r="B809" s="3" t="s">
        <v>31</v>
      </c>
      <c r="C809" s="3" t="s">
        <v>11</v>
      </c>
      <c r="D809" s="4" t="s">
        <v>395</v>
      </c>
      <c r="E809" s="3" t="s">
        <v>44</v>
      </c>
      <c r="F809" s="3" t="s">
        <v>114</v>
      </c>
      <c r="G809" s="3" t="s">
        <v>2644</v>
      </c>
      <c r="H809" s="4" t="s">
        <v>2272</v>
      </c>
      <c r="I809" s="4" t="s">
        <v>2272</v>
      </c>
      <c r="J809" s="4" t="s">
        <v>2272</v>
      </c>
      <c r="K809" s="3" t="s">
        <v>532</v>
      </c>
      <c r="L809" s="4" t="s">
        <v>2272</v>
      </c>
      <c r="M809" s="4" t="s">
        <v>2272</v>
      </c>
      <c r="N809" s="4" t="s">
        <v>2272</v>
      </c>
      <c r="O809" s="4" t="s">
        <v>2272</v>
      </c>
      <c r="P809" s="4" t="s">
        <v>2272</v>
      </c>
      <c r="Q809" s="4" t="s">
        <v>2272</v>
      </c>
      <c r="R809" s="4" t="s">
        <v>2272</v>
      </c>
      <c r="S809" s="4" t="s">
        <v>2272</v>
      </c>
      <c r="T809" s="3" t="s">
        <v>4928</v>
      </c>
    </row>
    <row r="810" spans="1:20" ht="41" customHeight="1">
      <c r="A810" s="11" t="s">
        <v>4934</v>
      </c>
      <c r="B810" s="3" t="s">
        <v>2272</v>
      </c>
      <c r="C810" s="3" t="s">
        <v>11</v>
      </c>
      <c r="D810" s="4" t="s">
        <v>394</v>
      </c>
      <c r="E810" s="4" t="s">
        <v>44</v>
      </c>
      <c r="F810" s="4" t="s">
        <v>2645</v>
      </c>
      <c r="G810" s="4" t="s">
        <v>2272</v>
      </c>
      <c r="H810" s="4" t="s">
        <v>2272</v>
      </c>
      <c r="I810" s="4" t="s">
        <v>2272</v>
      </c>
      <c r="J810" s="4" t="s">
        <v>2272</v>
      </c>
      <c r="K810" s="4" t="s">
        <v>2272</v>
      </c>
      <c r="L810" s="4" t="s">
        <v>2272</v>
      </c>
      <c r="M810" s="4" t="s">
        <v>2272</v>
      </c>
      <c r="N810" s="4" t="s">
        <v>2272</v>
      </c>
      <c r="O810" s="21">
        <f>(162440 + 469442.95/2)/'Record info'!$K$810</f>
        <v>16.928084677617001</v>
      </c>
      <c r="P810" s="21">
        <f>(49625+(527423)+(469443.95/2)) / 'Record info'!$K$810</f>
        <v>34.599808240582838</v>
      </c>
      <c r="Q810" s="4" t="s">
        <v>2272</v>
      </c>
      <c r="R810" s="21">
        <f>(162440+682507) / 'Record info'!K810</f>
        <v>36.013901811847319</v>
      </c>
      <c r="S810" s="4" t="s">
        <v>2272</v>
      </c>
      <c r="T810" s="38" t="s">
        <v>4938</v>
      </c>
    </row>
    <row r="811" spans="1:20" ht="39" customHeight="1">
      <c r="A811" s="11" t="s">
        <v>4955</v>
      </c>
      <c r="B811" s="3" t="s">
        <v>31</v>
      </c>
      <c r="C811" s="3" t="s">
        <v>11</v>
      </c>
      <c r="D811" s="3" t="s">
        <v>5000</v>
      </c>
      <c r="E811" s="4" t="s">
        <v>395</v>
      </c>
      <c r="F811" s="3" t="s">
        <v>860</v>
      </c>
      <c r="G811" s="4" t="s">
        <v>394</v>
      </c>
      <c r="H811" s="4" t="s">
        <v>2272</v>
      </c>
      <c r="I811" s="4" t="s">
        <v>2272</v>
      </c>
      <c r="J811" s="4" t="s">
        <v>2272</v>
      </c>
      <c r="K811" s="3" t="s">
        <v>532</v>
      </c>
      <c r="L811" s="4" t="s">
        <v>2272</v>
      </c>
      <c r="M811" s="4" t="s">
        <v>2272</v>
      </c>
      <c r="N811" s="4" t="s">
        <v>2272</v>
      </c>
      <c r="O811" s="4" t="s">
        <v>2272</v>
      </c>
      <c r="P811" s="4" t="s">
        <v>2272</v>
      </c>
      <c r="Q811" s="4" t="s">
        <v>2272</v>
      </c>
      <c r="R811" s="4" t="s">
        <v>2272</v>
      </c>
      <c r="S811" s="4" t="s">
        <v>2272</v>
      </c>
      <c r="T811" s="3" t="s">
        <v>4957</v>
      </c>
    </row>
    <row r="812" spans="1:20" ht="45.5" customHeight="1">
      <c r="A812" s="11" t="s">
        <v>4959</v>
      </c>
      <c r="B812" s="3" t="s">
        <v>31</v>
      </c>
      <c r="C812" s="3" t="s">
        <v>11</v>
      </c>
      <c r="D812" s="3" t="s">
        <v>5000</v>
      </c>
      <c r="E812" s="3" t="s">
        <v>44</v>
      </c>
      <c r="F812" s="4" t="s">
        <v>395</v>
      </c>
      <c r="G812" s="4" t="s">
        <v>2272</v>
      </c>
      <c r="H812" s="4" t="s">
        <v>2272</v>
      </c>
      <c r="I812" s="4" t="s">
        <v>2272</v>
      </c>
      <c r="J812" s="4" t="s">
        <v>2272</v>
      </c>
      <c r="K812" s="4" t="s">
        <v>2272</v>
      </c>
      <c r="L812" s="4" t="s">
        <v>2272</v>
      </c>
      <c r="M812" s="4" t="s">
        <v>2272</v>
      </c>
      <c r="N812" s="4" t="s">
        <v>2272</v>
      </c>
      <c r="O812" s="4" t="s">
        <v>2272</v>
      </c>
      <c r="P812" s="4" t="s">
        <v>2272</v>
      </c>
      <c r="Q812" s="4" t="s">
        <v>2272</v>
      </c>
      <c r="R812" s="4" t="s">
        <v>2272</v>
      </c>
      <c r="S812" s="4" t="s">
        <v>2272</v>
      </c>
      <c r="T812" s="3"/>
    </row>
    <row r="813" spans="1:20" ht="37" customHeight="1">
      <c r="A813" s="11" t="s">
        <v>4965</v>
      </c>
      <c r="B813" s="3" t="s">
        <v>31</v>
      </c>
      <c r="C813" s="3" t="s">
        <v>11</v>
      </c>
      <c r="D813" s="3" t="s">
        <v>5000</v>
      </c>
      <c r="E813" s="4" t="s">
        <v>395</v>
      </c>
      <c r="F813" s="4" t="s">
        <v>2272</v>
      </c>
      <c r="G813" s="4" t="s">
        <v>2272</v>
      </c>
      <c r="H813" s="4" t="s">
        <v>2272</v>
      </c>
      <c r="I813" s="4" t="s">
        <v>2272</v>
      </c>
      <c r="J813" s="4" t="s">
        <v>2272</v>
      </c>
      <c r="K813" s="3" t="s">
        <v>532</v>
      </c>
      <c r="L813" s="4" t="s">
        <v>2272</v>
      </c>
      <c r="M813" s="4" t="s">
        <v>2272</v>
      </c>
      <c r="N813" s="4" t="s">
        <v>2272</v>
      </c>
      <c r="O813" s="4" t="s">
        <v>2272</v>
      </c>
      <c r="P813" s="4" t="s">
        <v>2272</v>
      </c>
      <c r="Q813" s="4" t="s">
        <v>2272</v>
      </c>
      <c r="R813" s="4" t="s">
        <v>2272</v>
      </c>
      <c r="S813" s="4" t="s">
        <v>2272</v>
      </c>
      <c r="T813" s="3" t="s">
        <v>4966</v>
      </c>
    </row>
    <row r="814" spans="1:20" ht="40.5" customHeight="1">
      <c r="A814" s="11" t="s">
        <v>4967</v>
      </c>
      <c r="B814" s="3" t="s">
        <v>2254</v>
      </c>
      <c r="C814" s="3" t="s">
        <v>393</v>
      </c>
      <c r="D814" s="3" t="s">
        <v>5000</v>
      </c>
      <c r="E814" s="4" t="s">
        <v>860</v>
      </c>
      <c r="F814" s="4" t="s">
        <v>2272</v>
      </c>
      <c r="G814" s="4" t="s">
        <v>2272</v>
      </c>
      <c r="H814" s="4" t="s">
        <v>2272</v>
      </c>
      <c r="I814" s="4" t="s">
        <v>2272</v>
      </c>
      <c r="J814" s="4" t="s">
        <v>2272</v>
      </c>
      <c r="K814" s="3" t="s">
        <v>532</v>
      </c>
      <c r="L814" s="4" t="s">
        <v>2272</v>
      </c>
      <c r="M814" s="4" t="s">
        <v>2272</v>
      </c>
      <c r="N814" s="4" t="s">
        <v>2272</v>
      </c>
      <c r="O814" s="4" t="s">
        <v>2272</v>
      </c>
      <c r="P814" s="4" t="s">
        <v>2272</v>
      </c>
      <c r="Q814" s="4" t="s">
        <v>2272</v>
      </c>
      <c r="R814" s="4" t="s">
        <v>2272</v>
      </c>
      <c r="S814" s="4" t="s">
        <v>2272</v>
      </c>
      <c r="T814" s="3" t="s">
        <v>4970</v>
      </c>
    </row>
    <row r="815" spans="1:20" ht="36.5" customHeight="1">
      <c r="A815" s="11" t="s">
        <v>4971</v>
      </c>
      <c r="B815" s="3" t="s">
        <v>31</v>
      </c>
      <c r="C815" s="3" t="s">
        <v>11</v>
      </c>
      <c r="D815" s="3" t="s">
        <v>5000</v>
      </c>
      <c r="E815" s="3" t="s">
        <v>2647</v>
      </c>
      <c r="F815" s="4" t="s">
        <v>394</v>
      </c>
      <c r="G815" s="4" t="s">
        <v>2272</v>
      </c>
      <c r="H815" s="4" t="s">
        <v>2272</v>
      </c>
      <c r="I815" s="4" t="s">
        <v>2272</v>
      </c>
      <c r="J815" s="4" t="s">
        <v>2272</v>
      </c>
      <c r="K815" s="4" t="s">
        <v>2272</v>
      </c>
      <c r="L815" s="4" t="s">
        <v>2272</v>
      </c>
      <c r="M815" s="4" t="s">
        <v>2272</v>
      </c>
      <c r="N815" s="4" t="s">
        <v>2272</v>
      </c>
      <c r="O815" s="4" t="s">
        <v>2272</v>
      </c>
      <c r="P815" s="4" t="s">
        <v>2272</v>
      </c>
      <c r="Q815" s="4" t="s">
        <v>2272</v>
      </c>
      <c r="R815" s="4" t="s">
        <v>2272</v>
      </c>
      <c r="S815" s="4" t="s">
        <v>2272</v>
      </c>
      <c r="T815" s="3"/>
    </row>
    <row r="816" spans="1:20" ht="44.5" customHeight="1">
      <c r="A816" s="3" t="s">
        <v>4972</v>
      </c>
      <c r="B816" s="11" t="s">
        <v>31</v>
      </c>
      <c r="C816" s="3" t="s">
        <v>11</v>
      </c>
      <c r="D816" s="3" t="s">
        <v>5000</v>
      </c>
      <c r="E816" s="3" t="s">
        <v>114</v>
      </c>
      <c r="F816" s="3" t="s">
        <v>135</v>
      </c>
      <c r="G816" s="4" t="s">
        <v>2272</v>
      </c>
      <c r="H816" s="4" t="s">
        <v>2272</v>
      </c>
      <c r="I816" s="4" t="s">
        <v>2272</v>
      </c>
      <c r="J816" s="4" t="s">
        <v>2272</v>
      </c>
      <c r="K816" s="4" t="s">
        <v>2272</v>
      </c>
      <c r="L816" s="4" t="s">
        <v>2272</v>
      </c>
      <c r="M816" s="4" t="s">
        <v>2272</v>
      </c>
      <c r="N816" s="4" t="s">
        <v>2272</v>
      </c>
      <c r="O816" s="4" t="s">
        <v>2272</v>
      </c>
      <c r="P816" s="4" t="s">
        <v>2272</v>
      </c>
      <c r="Q816" s="4" t="s">
        <v>2272</v>
      </c>
      <c r="R816" s="4" t="s">
        <v>2272</v>
      </c>
      <c r="S816" s="4" t="s">
        <v>2272</v>
      </c>
      <c r="T816" s="3" t="s">
        <v>4973</v>
      </c>
    </row>
    <row r="817" spans="1:20" ht="40.5" customHeight="1">
      <c r="A817" s="11" t="s">
        <v>4989</v>
      </c>
      <c r="B817" s="3" t="s">
        <v>2272</v>
      </c>
      <c r="C817" s="3" t="s">
        <v>11</v>
      </c>
      <c r="D817" s="3" t="s">
        <v>114</v>
      </c>
      <c r="E817" s="3" t="s">
        <v>5000</v>
      </c>
      <c r="F817" s="3" t="s">
        <v>2644</v>
      </c>
      <c r="G817" s="4" t="s">
        <v>2272</v>
      </c>
      <c r="H817" s="4" t="s">
        <v>2272</v>
      </c>
      <c r="I817" s="4" t="s">
        <v>2272</v>
      </c>
      <c r="J817" s="4" t="s">
        <v>2272</v>
      </c>
      <c r="K817" s="4" t="s">
        <v>2272</v>
      </c>
      <c r="L817" s="4" t="s">
        <v>2272</v>
      </c>
      <c r="M817" s="4" t="s">
        <v>2272</v>
      </c>
      <c r="N817" s="4" t="s">
        <v>2272</v>
      </c>
      <c r="O817" s="4" t="s">
        <v>2272</v>
      </c>
      <c r="P817" s="4" t="s">
        <v>2272</v>
      </c>
      <c r="Q817" s="4" t="s">
        <v>2272</v>
      </c>
      <c r="R817" s="4" t="s">
        <v>2272</v>
      </c>
      <c r="S817" s="4" t="s">
        <v>2272</v>
      </c>
      <c r="T817" s="3" t="s">
        <v>4992</v>
      </c>
    </row>
    <row r="818" spans="1:20" ht="37" customHeight="1">
      <c r="A818" s="3" t="s">
        <v>5082</v>
      </c>
      <c r="B818" s="3" t="s">
        <v>31</v>
      </c>
      <c r="C818" s="3" t="s">
        <v>2640</v>
      </c>
      <c r="D818" s="3" t="s">
        <v>2644</v>
      </c>
      <c r="E818" s="3" t="s">
        <v>5000</v>
      </c>
      <c r="F818" s="3" t="s">
        <v>135</v>
      </c>
      <c r="G818" s="4" t="s">
        <v>2272</v>
      </c>
      <c r="H818" s="4" t="s">
        <v>2272</v>
      </c>
      <c r="I818" s="4" t="s">
        <v>2272</v>
      </c>
      <c r="J818" s="4" t="s">
        <v>2272</v>
      </c>
      <c r="K818" s="3" t="s">
        <v>532</v>
      </c>
      <c r="L818" s="4" t="s">
        <v>2272</v>
      </c>
      <c r="M818" s="4" t="s">
        <v>2272</v>
      </c>
      <c r="N818" s="4" t="s">
        <v>2272</v>
      </c>
      <c r="O818" s="4" t="s">
        <v>2272</v>
      </c>
      <c r="P818" s="4" t="s">
        <v>2272</v>
      </c>
      <c r="Q818" s="4" t="s">
        <v>2272</v>
      </c>
      <c r="R818" s="4" t="s">
        <v>2272</v>
      </c>
      <c r="S818" s="4" t="s">
        <v>2272</v>
      </c>
      <c r="T818" s="4" t="s">
        <v>5087</v>
      </c>
    </row>
    <row r="819" spans="1:20" ht="34.5" customHeight="1">
      <c r="A819" s="11" t="s">
        <v>5094</v>
      </c>
      <c r="B819" s="3" t="s">
        <v>2272</v>
      </c>
      <c r="C819" s="3" t="s">
        <v>11</v>
      </c>
      <c r="D819" s="4" t="s">
        <v>394</v>
      </c>
      <c r="E819" s="4" t="s">
        <v>395</v>
      </c>
      <c r="F819" s="3" t="s">
        <v>5000</v>
      </c>
      <c r="G819" s="4" t="s">
        <v>2272</v>
      </c>
      <c r="H819" s="4" t="s">
        <v>2272</v>
      </c>
      <c r="I819" s="4" t="s">
        <v>2272</v>
      </c>
      <c r="J819" s="4" t="s">
        <v>2272</v>
      </c>
      <c r="K819" s="4" t="s">
        <v>2272</v>
      </c>
      <c r="L819" s="4" t="s">
        <v>2272</v>
      </c>
      <c r="M819" s="4" t="s">
        <v>2272</v>
      </c>
      <c r="N819" s="4" t="s">
        <v>2272</v>
      </c>
      <c r="O819" s="4" t="s">
        <v>2272</v>
      </c>
      <c r="P819" s="4" t="s">
        <v>2272</v>
      </c>
      <c r="Q819" s="4" t="s">
        <v>2272</v>
      </c>
      <c r="R819" s="4" t="s">
        <v>2272</v>
      </c>
      <c r="S819" s="4" t="s">
        <v>2272</v>
      </c>
      <c r="T819" s="3"/>
    </row>
    <row r="820" spans="1:20" ht="34.5" customHeight="1">
      <c r="A820" s="11" t="s">
        <v>5098</v>
      </c>
      <c r="B820" s="3" t="s">
        <v>2272</v>
      </c>
      <c r="C820" s="3" t="s">
        <v>11</v>
      </c>
      <c r="D820" s="4" t="s">
        <v>394</v>
      </c>
      <c r="E820" s="4" t="s">
        <v>395</v>
      </c>
      <c r="F820" s="3" t="s">
        <v>5000</v>
      </c>
      <c r="G820" s="4" t="s">
        <v>2272</v>
      </c>
      <c r="H820" s="4" t="s">
        <v>2272</v>
      </c>
      <c r="I820" s="4" t="s">
        <v>2272</v>
      </c>
      <c r="J820" s="4" t="s">
        <v>2272</v>
      </c>
      <c r="K820" s="4" t="s">
        <v>2272</v>
      </c>
      <c r="L820" s="4" t="s">
        <v>2272</v>
      </c>
      <c r="M820" s="4" t="s">
        <v>2272</v>
      </c>
      <c r="N820" s="4" t="s">
        <v>2272</v>
      </c>
      <c r="O820" s="4" t="s">
        <v>2272</v>
      </c>
      <c r="P820" s="4" t="s">
        <v>2272</v>
      </c>
      <c r="Q820" s="4" t="s">
        <v>2272</v>
      </c>
      <c r="R820" s="4" t="s">
        <v>2272</v>
      </c>
      <c r="S820" s="4" t="s">
        <v>2272</v>
      </c>
      <c r="T820" s="11"/>
    </row>
    <row r="821" spans="1:20" ht="34.5" customHeight="1">
      <c r="A821" s="11" t="s">
        <v>5099</v>
      </c>
      <c r="B821" s="3" t="s">
        <v>2272</v>
      </c>
      <c r="C821" s="3" t="s">
        <v>11</v>
      </c>
      <c r="D821" s="4" t="s">
        <v>394</v>
      </c>
      <c r="E821" s="4" t="s">
        <v>395</v>
      </c>
      <c r="F821" s="3" t="s">
        <v>5000</v>
      </c>
      <c r="G821" s="4" t="s">
        <v>2272</v>
      </c>
      <c r="H821" s="4" t="s">
        <v>2272</v>
      </c>
      <c r="I821" s="4" t="s">
        <v>2272</v>
      </c>
      <c r="J821" s="4" t="s">
        <v>2272</v>
      </c>
      <c r="K821" s="4" t="s">
        <v>2272</v>
      </c>
      <c r="L821" s="4" t="s">
        <v>2272</v>
      </c>
      <c r="M821" s="4" t="s">
        <v>2272</v>
      </c>
      <c r="N821" s="4" t="s">
        <v>2272</v>
      </c>
      <c r="O821" s="4" t="s">
        <v>2272</v>
      </c>
      <c r="P821" s="4" t="s">
        <v>2272</v>
      </c>
      <c r="Q821" s="4" t="s">
        <v>2272</v>
      </c>
      <c r="R821" s="4" t="s">
        <v>2272</v>
      </c>
      <c r="S821" s="4" t="s">
        <v>2272</v>
      </c>
      <c r="T821" s="11"/>
    </row>
    <row r="822" spans="1:20" ht="42" customHeight="1">
      <c r="A822" s="11" t="s">
        <v>5103</v>
      </c>
      <c r="B822" s="3" t="s">
        <v>2272</v>
      </c>
      <c r="C822" s="3" t="s">
        <v>11</v>
      </c>
      <c r="D822" s="3" t="s">
        <v>5000</v>
      </c>
      <c r="E822" s="3" t="s">
        <v>44</v>
      </c>
      <c r="F822" s="3" t="s">
        <v>2642</v>
      </c>
      <c r="G822" s="4" t="s">
        <v>2272</v>
      </c>
      <c r="H822" s="4" t="s">
        <v>2272</v>
      </c>
      <c r="I822" s="4" t="s">
        <v>2272</v>
      </c>
      <c r="J822" s="4" t="s">
        <v>2272</v>
      </c>
      <c r="K822" s="4" t="s">
        <v>2272</v>
      </c>
      <c r="L822" s="4" t="s">
        <v>2272</v>
      </c>
      <c r="M822" s="4" t="s">
        <v>2272</v>
      </c>
      <c r="N822" s="4" t="s">
        <v>2272</v>
      </c>
      <c r="O822" s="4" t="s">
        <v>2272</v>
      </c>
      <c r="P822" s="4" t="s">
        <v>2272</v>
      </c>
      <c r="Q822" s="4" t="s">
        <v>2272</v>
      </c>
      <c r="R822" s="4" t="s">
        <v>2272</v>
      </c>
      <c r="S822" s="4" t="s">
        <v>2272</v>
      </c>
      <c r="T822" s="4" t="s">
        <v>5104</v>
      </c>
    </row>
    <row r="823" spans="1:20" ht="37" customHeight="1">
      <c r="A823" s="11" t="s">
        <v>5111</v>
      </c>
      <c r="B823" s="3" t="s">
        <v>2254</v>
      </c>
      <c r="C823" s="3" t="s">
        <v>11</v>
      </c>
      <c r="D823" s="3" t="s">
        <v>5000</v>
      </c>
      <c r="E823" s="4" t="s">
        <v>394</v>
      </c>
      <c r="F823" s="4" t="s">
        <v>395</v>
      </c>
      <c r="G823" s="4" t="s">
        <v>2272</v>
      </c>
      <c r="H823" s="4" t="s">
        <v>2272</v>
      </c>
      <c r="I823" s="4" t="s">
        <v>2272</v>
      </c>
      <c r="J823" s="4" t="s">
        <v>2272</v>
      </c>
      <c r="K823" s="4" t="s">
        <v>2272</v>
      </c>
      <c r="L823" s="4" t="s">
        <v>2272</v>
      </c>
      <c r="M823" s="4" t="s">
        <v>2272</v>
      </c>
      <c r="N823" s="4" t="s">
        <v>2272</v>
      </c>
      <c r="O823" s="4" t="s">
        <v>2272</v>
      </c>
      <c r="P823" s="4" t="s">
        <v>2272</v>
      </c>
      <c r="Q823" s="4" t="s">
        <v>2272</v>
      </c>
      <c r="R823" s="4" t="s">
        <v>2272</v>
      </c>
      <c r="S823" s="4" t="s">
        <v>2272</v>
      </c>
      <c r="T823" s="3" t="s">
        <v>5114</v>
      </c>
    </row>
    <row r="824" spans="1:20" ht="31.5" customHeight="1">
      <c r="A824" s="11" t="s">
        <v>5117</v>
      </c>
      <c r="B824" s="3" t="s">
        <v>1193</v>
      </c>
      <c r="C824" s="3" t="s">
        <v>2640</v>
      </c>
      <c r="D824" s="3" t="s">
        <v>135</v>
      </c>
      <c r="E824" s="3" t="s">
        <v>2647</v>
      </c>
      <c r="F824" s="3" t="s">
        <v>2648</v>
      </c>
      <c r="G824" s="4" t="s">
        <v>2272</v>
      </c>
      <c r="H824" s="4" t="s">
        <v>2272</v>
      </c>
      <c r="I824" s="4" t="s">
        <v>2272</v>
      </c>
      <c r="J824" s="4" t="s">
        <v>2272</v>
      </c>
      <c r="K824" s="4" t="s">
        <v>2272</v>
      </c>
      <c r="L824" s="4" t="s">
        <v>2272</v>
      </c>
      <c r="M824" s="4" t="s">
        <v>2272</v>
      </c>
      <c r="N824" s="4" t="s">
        <v>2272</v>
      </c>
      <c r="O824" s="4" t="s">
        <v>2272</v>
      </c>
      <c r="P824" s="4" t="s">
        <v>2272</v>
      </c>
      <c r="Q824" s="4" t="s">
        <v>2272</v>
      </c>
      <c r="R824" s="4" t="s">
        <v>2272</v>
      </c>
      <c r="S824" s="4" t="s">
        <v>2272</v>
      </c>
      <c r="T824" s="3"/>
    </row>
    <row r="825" spans="1:20" ht="31.5" customHeight="1">
      <c r="A825" s="11" t="s">
        <v>5118</v>
      </c>
      <c r="B825" s="3" t="s">
        <v>1193</v>
      </c>
      <c r="C825" s="3" t="s">
        <v>2640</v>
      </c>
      <c r="D825" s="3" t="s">
        <v>135</v>
      </c>
      <c r="E825" s="3" t="s">
        <v>2647</v>
      </c>
      <c r="F825" s="3" t="s">
        <v>2648</v>
      </c>
      <c r="G825" s="4" t="s">
        <v>2272</v>
      </c>
      <c r="H825" s="4" t="s">
        <v>2272</v>
      </c>
      <c r="I825" s="4" t="s">
        <v>2272</v>
      </c>
      <c r="J825" s="4" t="s">
        <v>2272</v>
      </c>
      <c r="K825" s="4" t="s">
        <v>2272</v>
      </c>
      <c r="L825" s="4" t="s">
        <v>2272</v>
      </c>
      <c r="M825" s="4" t="s">
        <v>2272</v>
      </c>
      <c r="N825" s="4" t="s">
        <v>2272</v>
      </c>
      <c r="O825" s="4" t="s">
        <v>2272</v>
      </c>
      <c r="P825" s="4" t="s">
        <v>2272</v>
      </c>
      <c r="Q825" s="4" t="s">
        <v>2272</v>
      </c>
      <c r="R825" s="4" t="s">
        <v>2272</v>
      </c>
      <c r="S825" s="4" t="s">
        <v>2272</v>
      </c>
      <c r="T825" s="3"/>
    </row>
    <row r="826" spans="1:20" ht="31.5" customHeight="1">
      <c r="A826" s="11" t="s">
        <v>5119</v>
      </c>
      <c r="B826" s="3" t="s">
        <v>1193</v>
      </c>
      <c r="C826" s="3" t="s">
        <v>2640</v>
      </c>
      <c r="D826" s="3" t="s">
        <v>135</v>
      </c>
      <c r="E826" s="3" t="s">
        <v>2647</v>
      </c>
      <c r="F826" s="3" t="s">
        <v>2648</v>
      </c>
      <c r="G826" s="4" t="s">
        <v>2272</v>
      </c>
      <c r="H826" s="4" t="s">
        <v>2272</v>
      </c>
      <c r="I826" s="4" t="s">
        <v>2272</v>
      </c>
      <c r="J826" s="4" t="s">
        <v>2272</v>
      </c>
      <c r="K826" s="4" t="s">
        <v>2272</v>
      </c>
      <c r="L826" s="4" t="s">
        <v>2272</v>
      </c>
      <c r="M826" s="4" t="s">
        <v>2272</v>
      </c>
      <c r="N826" s="4" t="s">
        <v>2272</v>
      </c>
      <c r="O826" s="4" t="s">
        <v>2272</v>
      </c>
      <c r="P826" s="4" t="s">
        <v>2272</v>
      </c>
      <c r="Q826" s="4" t="s">
        <v>2272</v>
      </c>
      <c r="R826" s="4" t="s">
        <v>2272</v>
      </c>
      <c r="S826" s="4" t="s">
        <v>2272</v>
      </c>
      <c r="T826" s="3"/>
    </row>
    <row r="827" spans="1:20" ht="31.5" customHeight="1">
      <c r="A827" s="11" t="s">
        <v>5120</v>
      </c>
      <c r="B827" s="3" t="s">
        <v>1193</v>
      </c>
      <c r="C827" s="3" t="s">
        <v>2640</v>
      </c>
      <c r="D827" s="3" t="s">
        <v>135</v>
      </c>
      <c r="E827" s="3" t="s">
        <v>2647</v>
      </c>
      <c r="F827" s="3" t="s">
        <v>2648</v>
      </c>
      <c r="G827" s="4" t="s">
        <v>2272</v>
      </c>
      <c r="H827" s="4" t="s">
        <v>2272</v>
      </c>
      <c r="I827" s="4" t="s">
        <v>2272</v>
      </c>
      <c r="J827" s="4" t="s">
        <v>2272</v>
      </c>
      <c r="K827" s="4" t="s">
        <v>2272</v>
      </c>
      <c r="L827" s="4" t="s">
        <v>2272</v>
      </c>
      <c r="M827" s="4" t="s">
        <v>2272</v>
      </c>
      <c r="N827" s="4" t="s">
        <v>2272</v>
      </c>
      <c r="O827" s="4" t="s">
        <v>2272</v>
      </c>
      <c r="P827" s="4" t="s">
        <v>2272</v>
      </c>
      <c r="Q827" s="4" t="s">
        <v>2272</v>
      </c>
      <c r="R827" s="4" t="s">
        <v>2272</v>
      </c>
      <c r="S827" s="4" t="s">
        <v>2272</v>
      </c>
      <c r="T827" s="3"/>
    </row>
    <row r="828" spans="1:20" ht="31.5" customHeight="1">
      <c r="A828" s="11" t="s">
        <v>5121</v>
      </c>
      <c r="B828" s="3" t="s">
        <v>1193</v>
      </c>
      <c r="C828" s="3" t="s">
        <v>2640</v>
      </c>
      <c r="D828" s="3" t="s">
        <v>135</v>
      </c>
      <c r="E828" s="3" t="s">
        <v>2647</v>
      </c>
      <c r="F828" s="3" t="s">
        <v>2648</v>
      </c>
      <c r="G828" s="4" t="s">
        <v>2272</v>
      </c>
      <c r="H828" s="4" t="s">
        <v>2272</v>
      </c>
      <c r="I828" s="4" t="s">
        <v>2272</v>
      </c>
      <c r="J828" s="4" t="s">
        <v>2272</v>
      </c>
      <c r="K828" s="4" t="s">
        <v>2272</v>
      </c>
      <c r="L828" s="4" t="s">
        <v>2272</v>
      </c>
      <c r="M828" s="4" t="s">
        <v>2272</v>
      </c>
      <c r="N828" s="4" t="s">
        <v>2272</v>
      </c>
      <c r="O828" s="4" t="s">
        <v>2272</v>
      </c>
      <c r="P828" s="4" t="s">
        <v>2272</v>
      </c>
      <c r="Q828" s="4" t="s">
        <v>2272</v>
      </c>
      <c r="R828" s="4" t="s">
        <v>2272</v>
      </c>
      <c r="S828" s="4" t="s">
        <v>2272</v>
      </c>
      <c r="T828" s="3"/>
    </row>
    <row r="829" spans="1:20" ht="31.5" customHeight="1">
      <c r="A829" s="11" t="s">
        <v>5122</v>
      </c>
      <c r="B829" s="3" t="s">
        <v>31</v>
      </c>
      <c r="C829" s="3" t="s">
        <v>2641</v>
      </c>
      <c r="D829" s="3" t="s">
        <v>114</v>
      </c>
      <c r="E829" s="3" t="s">
        <v>135</v>
      </c>
      <c r="F829" s="3" t="s">
        <v>2647</v>
      </c>
      <c r="G829" s="3" t="s">
        <v>2648</v>
      </c>
      <c r="H829" s="4" t="s">
        <v>2272</v>
      </c>
      <c r="I829" s="4" t="s">
        <v>2272</v>
      </c>
      <c r="J829" s="4" t="s">
        <v>2272</v>
      </c>
      <c r="K829" s="4" t="s">
        <v>2272</v>
      </c>
      <c r="L829" s="4" t="s">
        <v>2272</v>
      </c>
      <c r="M829" s="4" t="s">
        <v>2272</v>
      </c>
      <c r="N829" s="4" t="s">
        <v>2272</v>
      </c>
      <c r="O829" s="4" t="s">
        <v>2272</v>
      </c>
      <c r="P829" s="4" t="s">
        <v>2272</v>
      </c>
      <c r="Q829" s="4" t="s">
        <v>2272</v>
      </c>
      <c r="R829" s="4" t="s">
        <v>2272</v>
      </c>
      <c r="S829" s="4" t="s">
        <v>2272</v>
      </c>
      <c r="T829" s="3" t="s">
        <v>5207</v>
      </c>
    </row>
    <row r="830" spans="1:20" ht="31.5" customHeight="1">
      <c r="A830" s="11" t="s">
        <v>5123</v>
      </c>
      <c r="B830" s="3" t="s">
        <v>31</v>
      </c>
      <c r="C830" s="3" t="s">
        <v>2641</v>
      </c>
      <c r="D830" s="3" t="s">
        <v>114</v>
      </c>
      <c r="E830" s="3" t="s">
        <v>135</v>
      </c>
      <c r="F830" s="3" t="s">
        <v>2647</v>
      </c>
      <c r="G830" s="3" t="s">
        <v>2648</v>
      </c>
      <c r="H830" s="4" t="s">
        <v>2272</v>
      </c>
      <c r="I830" s="4" t="s">
        <v>2272</v>
      </c>
      <c r="J830" s="4" t="s">
        <v>2272</v>
      </c>
      <c r="K830" s="4" t="s">
        <v>2272</v>
      </c>
      <c r="L830" s="4" t="s">
        <v>2272</v>
      </c>
      <c r="M830" s="4" t="s">
        <v>2272</v>
      </c>
      <c r="N830" s="4" t="s">
        <v>2272</v>
      </c>
      <c r="O830" s="4" t="s">
        <v>2272</v>
      </c>
      <c r="P830" s="4" t="s">
        <v>2272</v>
      </c>
      <c r="Q830" s="4" t="s">
        <v>2272</v>
      </c>
      <c r="R830" s="4" t="s">
        <v>2272</v>
      </c>
      <c r="S830" s="4" t="s">
        <v>2272</v>
      </c>
      <c r="T830" s="3" t="s">
        <v>5207</v>
      </c>
    </row>
    <row r="831" spans="1:20" ht="31.5" customHeight="1">
      <c r="A831" s="11" t="s">
        <v>5124</v>
      </c>
      <c r="B831" s="3" t="s">
        <v>31</v>
      </c>
      <c r="C831" s="3" t="s">
        <v>2641</v>
      </c>
      <c r="D831" s="3" t="s">
        <v>114</v>
      </c>
      <c r="E831" s="3" t="s">
        <v>135</v>
      </c>
      <c r="F831" s="3" t="s">
        <v>2647</v>
      </c>
      <c r="G831" s="3" t="s">
        <v>2648</v>
      </c>
      <c r="H831" s="4" t="s">
        <v>2272</v>
      </c>
      <c r="I831" s="4" t="s">
        <v>2272</v>
      </c>
      <c r="J831" s="4" t="s">
        <v>2272</v>
      </c>
      <c r="K831" s="4" t="s">
        <v>2272</v>
      </c>
      <c r="L831" s="4" t="s">
        <v>2272</v>
      </c>
      <c r="M831" s="4" t="s">
        <v>2272</v>
      </c>
      <c r="N831" s="4" t="s">
        <v>2272</v>
      </c>
      <c r="O831" s="4" t="s">
        <v>2272</v>
      </c>
      <c r="P831" s="4" t="s">
        <v>2272</v>
      </c>
      <c r="Q831" s="4" t="s">
        <v>2272</v>
      </c>
      <c r="R831" s="4" t="s">
        <v>2272</v>
      </c>
      <c r="S831" s="4" t="s">
        <v>2272</v>
      </c>
      <c r="T831" s="3" t="s">
        <v>5207</v>
      </c>
    </row>
    <row r="832" spans="1:20" ht="31.5" customHeight="1">
      <c r="A832" s="11" t="s">
        <v>5125</v>
      </c>
      <c r="B832" s="3" t="s">
        <v>31</v>
      </c>
      <c r="C832" s="3" t="s">
        <v>2641</v>
      </c>
      <c r="D832" s="3" t="s">
        <v>114</v>
      </c>
      <c r="E832" s="3" t="s">
        <v>135</v>
      </c>
      <c r="F832" s="3" t="s">
        <v>2647</v>
      </c>
      <c r="G832" s="3" t="s">
        <v>2648</v>
      </c>
      <c r="H832" s="4" t="s">
        <v>2272</v>
      </c>
      <c r="I832" s="4" t="s">
        <v>2272</v>
      </c>
      <c r="J832" s="4" t="s">
        <v>2272</v>
      </c>
      <c r="K832" s="4" t="s">
        <v>2272</v>
      </c>
      <c r="L832" s="4" t="s">
        <v>2272</v>
      </c>
      <c r="M832" s="4" t="s">
        <v>2272</v>
      </c>
      <c r="N832" s="4" t="s">
        <v>2272</v>
      </c>
      <c r="O832" s="4" t="s">
        <v>2272</v>
      </c>
      <c r="P832" s="4" t="s">
        <v>2272</v>
      </c>
      <c r="Q832" s="4" t="s">
        <v>2272</v>
      </c>
      <c r="R832" s="4" t="s">
        <v>2272</v>
      </c>
      <c r="S832" s="4" t="s">
        <v>2272</v>
      </c>
      <c r="T832" s="3" t="s">
        <v>5207</v>
      </c>
    </row>
    <row r="833" spans="1:20" ht="31.5" customHeight="1">
      <c r="A833" s="11" t="s">
        <v>5126</v>
      </c>
      <c r="B833" s="3" t="s">
        <v>31</v>
      </c>
      <c r="C833" s="3" t="s">
        <v>2641</v>
      </c>
      <c r="D833" s="3" t="s">
        <v>114</v>
      </c>
      <c r="E833" s="3" t="s">
        <v>135</v>
      </c>
      <c r="F833" s="3" t="s">
        <v>2647</v>
      </c>
      <c r="G833" s="3" t="s">
        <v>2648</v>
      </c>
      <c r="H833" s="4" t="s">
        <v>2272</v>
      </c>
      <c r="I833" s="4" t="s">
        <v>2272</v>
      </c>
      <c r="J833" s="4" t="s">
        <v>2272</v>
      </c>
      <c r="K833" s="4" t="s">
        <v>2272</v>
      </c>
      <c r="L833" s="4" t="s">
        <v>2272</v>
      </c>
      <c r="M833" s="4" t="s">
        <v>2272</v>
      </c>
      <c r="N833" s="4" t="s">
        <v>2272</v>
      </c>
      <c r="O833" s="4" t="s">
        <v>2272</v>
      </c>
      <c r="P833" s="4" t="s">
        <v>2272</v>
      </c>
      <c r="Q833" s="4" t="s">
        <v>2272</v>
      </c>
      <c r="R833" s="4" t="s">
        <v>2272</v>
      </c>
      <c r="S833" s="4" t="s">
        <v>2272</v>
      </c>
      <c r="T833" s="3" t="s">
        <v>5207</v>
      </c>
    </row>
    <row r="834" spans="1:20" ht="29" customHeight="1">
      <c r="A834" s="11" t="s">
        <v>5184</v>
      </c>
      <c r="B834" s="3" t="s">
        <v>2254</v>
      </c>
      <c r="C834" s="3" t="s">
        <v>11</v>
      </c>
      <c r="D834" s="3" t="s">
        <v>860</v>
      </c>
      <c r="E834" s="3" t="s">
        <v>128</v>
      </c>
      <c r="F834" s="4" t="s">
        <v>394</v>
      </c>
      <c r="G834" s="3" t="s">
        <v>82</v>
      </c>
      <c r="H834" s="4" t="s">
        <v>2272</v>
      </c>
      <c r="I834" s="4" t="s">
        <v>2272</v>
      </c>
      <c r="J834" s="4" t="s">
        <v>2272</v>
      </c>
      <c r="K834" s="3" t="s">
        <v>532</v>
      </c>
      <c r="L834" s="4" t="s">
        <v>2272</v>
      </c>
      <c r="M834" s="4" t="s">
        <v>2272</v>
      </c>
      <c r="N834" s="4" t="s">
        <v>2272</v>
      </c>
      <c r="O834" s="4" t="s">
        <v>2272</v>
      </c>
      <c r="P834" s="4" t="s">
        <v>2272</v>
      </c>
      <c r="Q834" s="4" t="s">
        <v>2272</v>
      </c>
      <c r="R834" s="4" t="s">
        <v>2272</v>
      </c>
      <c r="S834" s="4" t="s">
        <v>2272</v>
      </c>
      <c r="T834" s="3" t="s">
        <v>5186</v>
      </c>
    </row>
    <row r="835" spans="1:20" ht="34" customHeight="1">
      <c r="A835" s="11" t="s">
        <v>5203</v>
      </c>
      <c r="B835" s="3" t="s">
        <v>31</v>
      </c>
      <c r="C835" s="3" t="s">
        <v>2641</v>
      </c>
      <c r="D835" s="3" t="s">
        <v>2647</v>
      </c>
      <c r="E835" s="11" t="s">
        <v>5795</v>
      </c>
      <c r="F835" s="4" t="s">
        <v>135</v>
      </c>
      <c r="G835" s="3" t="s">
        <v>114</v>
      </c>
      <c r="H835" s="4" t="s">
        <v>2272</v>
      </c>
      <c r="I835" s="4" t="s">
        <v>2272</v>
      </c>
      <c r="J835" s="4" t="s">
        <v>2272</v>
      </c>
      <c r="K835" s="4" t="s">
        <v>2272</v>
      </c>
      <c r="L835" s="4" t="s">
        <v>2272</v>
      </c>
      <c r="M835" s="4" t="s">
        <v>2272</v>
      </c>
      <c r="N835" s="4" t="s">
        <v>2272</v>
      </c>
      <c r="O835" s="4" t="s">
        <v>2272</v>
      </c>
      <c r="P835" s="4" t="s">
        <v>2272</v>
      </c>
      <c r="Q835" s="4" t="s">
        <v>2272</v>
      </c>
      <c r="R835" s="4" t="s">
        <v>2272</v>
      </c>
      <c r="S835" s="4" t="s">
        <v>2272</v>
      </c>
      <c r="T835" s="3" t="s">
        <v>5208</v>
      </c>
    </row>
    <row r="836" spans="1:20" ht="41" customHeight="1">
      <c r="A836" s="11" t="s">
        <v>5217</v>
      </c>
      <c r="B836" s="3" t="s">
        <v>1193</v>
      </c>
      <c r="C836" s="3" t="s">
        <v>11</v>
      </c>
      <c r="D836" s="3" t="s">
        <v>5000</v>
      </c>
      <c r="E836" s="4" t="s">
        <v>395</v>
      </c>
      <c r="F836" s="3" t="s">
        <v>860</v>
      </c>
      <c r="G836" s="3" t="s">
        <v>114</v>
      </c>
      <c r="H836" s="4" t="s">
        <v>2272</v>
      </c>
      <c r="I836" s="4" t="s">
        <v>2272</v>
      </c>
      <c r="J836" s="4" t="s">
        <v>2272</v>
      </c>
      <c r="K836" s="3" t="s">
        <v>532</v>
      </c>
      <c r="L836" s="4" t="s">
        <v>2272</v>
      </c>
      <c r="M836" s="4" t="s">
        <v>2272</v>
      </c>
      <c r="N836" s="4" t="s">
        <v>2272</v>
      </c>
      <c r="O836" s="4" t="s">
        <v>2272</v>
      </c>
      <c r="P836" s="4" t="s">
        <v>2272</v>
      </c>
      <c r="Q836" s="4" t="s">
        <v>2272</v>
      </c>
      <c r="R836" s="4" t="s">
        <v>2272</v>
      </c>
      <c r="S836" s="4" t="s">
        <v>2272</v>
      </c>
      <c r="T836" s="3" t="s">
        <v>5243</v>
      </c>
    </row>
    <row r="837" spans="1:20" ht="29.5" customHeight="1">
      <c r="A837" s="11" t="s">
        <v>5228</v>
      </c>
      <c r="B837" s="3" t="s">
        <v>2254</v>
      </c>
      <c r="C837" s="3" t="s">
        <v>393</v>
      </c>
      <c r="D837" s="3" t="s">
        <v>5000</v>
      </c>
      <c r="E837" s="3" t="s">
        <v>114</v>
      </c>
      <c r="F837" s="3" t="s">
        <v>860</v>
      </c>
      <c r="G837" s="3" t="s">
        <v>128</v>
      </c>
      <c r="H837" s="4" t="s">
        <v>2272</v>
      </c>
      <c r="I837" s="4" t="s">
        <v>2272</v>
      </c>
      <c r="J837" s="4" t="s">
        <v>2272</v>
      </c>
      <c r="K837" s="3" t="s">
        <v>532</v>
      </c>
      <c r="L837" s="4" t="s">
        <v>2272</v>
      </c>
      <c r="M837" s="4" t="s">
        <v>2272</v>
      </c>
      <c r="N837" s="4" t="s">
        <v>2272</v>
      </c>
      <c r="O837" s="4" t="s">
        <v>2272</v>
      </c>
      <c r="P837" s="4" t="s">
        <v>2272</v>
      </c>
      <c r="Q837" s="4" t="s">
        <v>2272</v>
      </c>
      <c r="R837" s="4" t="s">
        <v>2272</v>
      </c>
      <c r="S837" s="4" t="s">
        <v>2272</v>
      </c>
      <c r="T837" s="4" t="s">
        <v>5244</v>
      </c>
    </row>
    <row r="838" spans="1:20" ht="29.5" customHeight="1">
      <c r="A838" s="23" t="s">
        <v>5230</v>
      </c>
      <c r="B838" s="3" t="s">
        <v>2254</v>
      </c>
      <c r="C838" s="3" t="s">
        <v>393</v>
      </c>
      <c r="D838" s="3" t="s">
        <v>5000</v>
      </c>
      <c r="E838" s="3" t="s">
        <v>114</v>
      </c>
      <c r="F838" s="3" t="s">
        <v>860</v>
      </c>
      <c r="G838" s="3" t="s">
        <v>128</v>
      </c>
      <c r="H838" s="4" t="s">
        <v>2272</v>
      </c>
      <c r="I838" s="4" t="s">
        <v>2272</v>
      </c>
      <c r="J838" s="4" t="s">
        <v>2272</v>
      </c>
      <c r="K838" s="3" t="s">
        <v>532</v>
      </c>
      <c r="L838" s="4" t="s">
        <v>2272</v>
      </c>
      <c r="M838" s="4" t="s">
        <v>2272</v>
      </c>
      <c r="N838" s="4" t="s">
        <v>2272</v>
      </c>
      <c r="O838" s="4" t="s">
        <v>2272</v>
      </c>
      <c r="P838" s="4" t="s">
        <v>2272</v>
      </c>
      <c r="Q838" s="4" t="s">
        <v>2272</v>
      </c>
      <c r="R838" s="4" t="s">
        <v>2272</v>
      </c>
      <c r="S838" s="4" t="s">
        <v>2272</v>
      </c>
      <c r="T838" s="4" t="s">
        <v>5244</v>
      </c>
    </row>
    <row r="839" spans="1:20" ht="29.5" customHeight="1">
      <c r="A839" s="23" t="s">
        <v>5231</v>
      </c>
      <c r="B839" s="3" t="s">
        <v>2254</v>
      </c>
      <c r="C839" s="3" t="s">
        <v>393</v>
      </c>
      <c r="D839" s="3" t="s">
        <v>5000</v>
      </c>
      <c r="E839" s="3" t="s">
        <v>114</v>
      </c>
      <c r="F839" s="3" t="s">
        <v>860</v>
      </c>
      <c r="G839" s="3" t="s">
        <v>128</v>
      </c>
      <c r="H839" s="4" t="s">
        <v>2272</v>
      </c>
      <c r="I839" s="4" t="s">
        <v>2272</v>
      </c>
      <c r="J839" s="4" t="s">
        <v>2272</v>
      </c>
      <c r="K839" s="3" t="s">
        <v>532</v>
      </c>
      <c r="L839" s="4" t="s">
        <v>2272</v>
      </c>
      <c r="M839" s="4" t="s">
        <v>2272</v>
      </c>
      <c r="N839" s="4" t="s">
        <v>2272</v>
      </c>
      <c r="O839" s="4" t="s">
        <v>2272</v>
      </c>
      <c r="P839" s="4" t="s">
        <v>2272</v>
      </c>
      <c r="Q839" s="4" t="s">
        <v>2272</v>
      </c>
      <c r="R839" s="4" t="s">
        <v>2272</v>
      </c>
      <c r="S839" s="4" t="s">
        <v>2272</v>
      </c>
      <c r="T839" s="4" t="s">
        <v>5244</v>
      </c>
    </row>
    <row r="840" spans="1:20" ht="29.5" customHeight="1">
      <c r="A840" s="23" t="s">
        <v>5232</v>
      </c>
      <c r="B840" s="3" t="s">
        <v>2254</v>
      </c>
      <c r="C840" s="3" t="s">
        <v>393</v>
      </c>
      <c r="D840" s="3" t="s">
        <v>5000</v>
      </c>
      <c r="E840" s="3" t="s">
        <v>114</v>
      </c>
      <c r="F840" s="3" t="s">
        <v>860</v>
      </c>
      <c r="G840" s="3" t="s">
        <v>128</v>
      </c>
      <c r="H840" s="4" t="s">
        <v>2272</v>
      </c>
      <c r="I840" s="4" t="s">
        <v>2272</v>
      </c>
      <c r="J840" s="4" t="s">
        <v>2272</v>
      </c>
      <c r="K840" s="3" t="s">
        <v>532</v>
      </c>
      <c r="L840" s="4" t="s">
        <v>2272</v>
      </c>
      <c r="M840" s="4" t="s">
        <v>2272</v>
      </c>
      <c r="N840" s="4" t="s">
        <v>2272</v>
      </c>
      <c r="O840" s="4" t="s">
        <v>2272</v>
      </c>
      <c r="P840" s="4" t="s">
        <v>2272</v>
      </c>
      <c r="Q840" s="4" t="s">
        <v>2272</v>
      </c>
      <c r="R840" s="4" t="s">
        <v>2272</v>
      </c>
      <c r="S840" s="4" t="s">
        <v>2272</v>
      </c>
      <c r="T840" s="4" t="s">
        <v>5244</v>
      </c>
    </row>
    <row r="841" spans="1:20" ht="29.5" customHeight="1">
      <c r="A841" s="23" t="s">
        <v>5233</v>
      </c>
      <c r="B841" s="3" t="s">
        <v>2254</v>
      </c>
      <c r="C841" s="3" t="s">
        <v>393</v>
      </c>
      <c r="D841" s="3" t="s">
        <v>5000</v>
      </c>
      <c r="E841" s="3" t="s">
        <v>114</v>
      </c>
      <c r="F841" s="3" t="s">
        <v>860</v>
      </c>
      <c r="G841" s="3" t="s">
        <v>128</v>
      </c>
      <c r="H841" s="4" t="s">
        <v>2272</v>
      </c>
      <c r="I841" s="4" t="s">
        <v>2272</v>
      </c>
      <c r="J841" s="4" t="s">
        <v>2272</v>
      </c>
      <c r="K841" s="3" t="s">
        <v>532</v>
      </c>
      <c r="L841" s="4" t="s">
        <v>2272</v>
      </c>
      <c r="M841" s="4" t="s">
        <v>2272</v>
      </c>
      <c r="N841" s="4" t="s">
        <v>2272</v>
      </c>
      <c r="O841" s="4" t="s">
        <v>2272</v>
      </c>
      <c r="P841" s="4" t="s">
        <v>2272</v>
      </c>
      <c r="Q841" s="4" t="s">
        <v>2272</v>
      </c>
      <c r="R841" s="4" t="s">
        <v>2272</v>
      </c>
      <c r="S841" s="4" t="s">
        <v>2272</v>
      </c>
      <c r="T841" s="4" t="s">
        <v>5244</v>
      </c>
    </row>
    <row r="842" spans="1:20" ht="29.5" customHeight="1">
      <c r="A842" s="23" t="s">
        <v>5234</v>
      </c>
      <c r="B842" s="3" t="s">
        <v>2254</v>
      </c>
      <c r="C842" s="3" t="s">
        <v>393</v>
      </c>
      <c r="D842" s="3" t="s">
        <v>5000</v>
      </c>
      <c r="E842" s="3" t="s">
        <v>114</v>
      </c>
      <c r="F842" s="3" t="s">
        <v>860</v>
      </c>
      <c r="G842" s="3" t="s">
        <v>128</v>
      </c>
      <c r="H842" s="4" t="s">
        <v>2272</v>
      </c>
      <c r="I842" s="4" t="s">
        <v>2272</v>
      </c>
      <c r="J842" s="4" t="s">
        <v>2272</v>
      </c>
      <c r="K842" s="3" t="s">
        <v>532</v>
      </c>
      <c r="L842" s="4" t="s">
        <v>2272</v>
      </c>
      <c r="M842" s="4" t="s">
        <v>2272</v>
      </c>
      <c r="N842" s="4" t="s">
        <v>2272</v>
      </c>
      <c r="O842" s="4" t="s">
        <v>2272</v>
      </c>
      <c r="P842" s="4" t="s">
        <v>2272</v>
      </c>
      <c r="Q842" s="4" t="s">
        <v>2272</v>
      </c>
      <c r="R842" s="4" t="s">
        <v>2272</v>
      </c>
      <c r="S842" s="4" t="s">
        <v>2272</v>
      </c>
      <c r="T842" s="4" t="s">
        <v>5244</v>
      </c>
    </row>
    <row r="843" spans="1:20" ht="29.5" customHeight="1">
      <c r="A843" s="23" t="s">
        <v>5235</v>
      </c>
      <c r="B843" s="3" t="s">
        <v>2254</v>
      </c>
      <c r="C843" s="3" t="s">
        <v>393</v>
      </c>
      <c r="D843" s="3" t="s">
        <v>5000</v>
      </c>
      <c r="E843" s="3" t="s">
        <v>114</v>
      </c>
      <c r="F843" s="3" t="s">
        <v>860</v>
      </c>
      <c r="G843" s="3" t="s">
        <v>128</v>
      </c>
      <c r="H843" s="4" t="s">
        <v>2272</v>
      </c>
      <c r="I843" s="4" t="s">
        <v>2272</v>
      </c>
      <c r="J843" s="4" t="s">
        <v>2272</v>
      </c>
      <c r="K843" s="3" t="s">
        <v>532</v>
      </c>
      <c r="L843" s="4" t="s">
        <v>2272</v>
      </c>
      <c r="M843" s="4" t="s">
        <v>2272</v>
      </c>
      <c r="N843" s="4" t="s">
        <v>2272</v>
      </c>
      <c r="O843" s="4" t="s">
        <v>2272</v>
      </c>
      <c r="P843" s="4" t="s">
        <v>2272</v>
      </c>
      <c r="Q843" s="4" t="s">
        <v>2272</v>
      </c>
      <c r="R843" s="4" t="s">
        <v>2272</v>
      </c>
      <c r="S843" s="4" t="s">
        <v>2272</v>
      </c>
      <c r="T843" s="4" t="s">
        <v>5244</v>
      </c>
    </row>
    <row r="844" spans="1:20" ht="30" customHeight="1">
      <c r="A844" s="23" t="s">
        <v>5331</v>
      </c>
      <c r="B844" s="3" t="s">
        <v>2254</v>
      </c>
      <c r="C844" s="3" t="s">
        <v>11</v>
      </c>
      <c r="D844" s="3" t="s">
        <v>128</v>
      </c>
      <c r="E844" s="4" t="s">
        <v>394</v>
      </c>
      <c r="F844" s="3" t="s">
        <v>114</v>
      </c>
      <c r="G844" s="3" t="s">
        <v>82</v>
      </c>
      <c r="H844" s="4" t="s">
        <v>2272</v>
      </c>
      <c r="I844" s="4" t="s">
        <v>2272</v>
      </c>
      <c r="J844" s="4" t="s">
        <v>2272</v>
      </c>
      <c r="K844" s="4" t="s">
        <v>2272</v>
      </c>
      <c r="L844" s="4" t="s">
        <v>2272</v>
      </c>
      <c r="M844" s="4" t="s">
        <v>2272</v>
      </c>
      <c r="N844" s="4" t="s">
        <v>2272</v>
      </c>
      <c r="O844" s="4" t="s">
        <v>2272</v>
      </c>
      <c r="P844" s="4" t="s">
        <v>2272</v>
      </c>
      <c r="Q844" s="4" t="s">
        <v>2272</v>
      </c>
      <c r="R844" s="4" t="s">
        <v>2272</v>
      </c>
      <c r="S844" s="4" t="s">
        <v>2272</v>
      </c>
      <c r="T844" s="3"/>
    </row>
    <row r="845" spans="1:20" ht="35" customHeight="1">
      <c r="A845" s="23" t="s">
        <v>5332</v>
      </c>
      <c r="B845" s="3" t="s">
        <v>2254</v>
      </c>
      <c r="C845" s="3" t="s">
        <v>11</v>
      </c>
      <c r="D845" s="4" t="s">
        <v>394</v>
      </c>
      <c r="E845" s="3" t="s">
        <v>114</v>
      </c>
      <c r="F845" s="3" t="s">
        <v>82</v>
      </c>
      <c r="G845" s="4" t="s">
        <v>2272</v>
      </c>
      <c r="H845" s="4" t="s">
        <v>2272</v>
      </c>
      <c r="I845" s="4" t="s">
        <v>2272</v>
      </c>
      <c r="J845" s="4" t="s">
        <v>2272</v>
      </c>
      <c r="K845" s="4" t="s">
        <v>2272</v>
      </c>
      <c r="L845" s="4" t="s">
        <v>2272</v>
      </c>
      <c r="M845" s="4" t="s">
        <v>2272</v>
      </c>
      <c r="N845" s="4" t="s">
        <v>2272</v>
      </c>
      <c r="O845" s="4" t="s">
        <v>2272</v>
      </c>
      <c r="P845" s="21">
        <f>24+19</f>
        <v>43</v>
      </c>
      <c r="Q845" s="21">
        <v>14</v>
      </c>
      <c r="R845" s="21">
        <v>29</v>
      </c>
      <c r="S845" s="4" t="s">
        <v>2272</v>
      </c>
      <c r="T845" s="3" t="s">
        <v>5339</v>
      </c>
    </row>
    <row r="846" spans="1:20" ht="30" customHeight="1">
      <c r="A846" s="23" t="s">
        <v>5333</v>
      </c>
      <c r="B846" s="3" t="s">
        <v>2254</v>
      </c>
      <c r="C846" s="3" t="s">
        <v>11</v>
      </c>
      <c r="D846" s="3" t="s">
        <v>128</v>
      </c>
      <c r="E846" s="3" t="s">
        <v>114</v>
      </c>
      <c r="F846" s="4" t="s">
        <v>394</v>
      </c>
      <c r="G846" s="3" t="s">
        <v>82</v>
      </c>
      <c r="H846" s="4" t="s">
        <v>2272</v>
      </c>
      <c r="I846" s="4" t="s">
        <v>2272</v>
      </c>
      <c r="J846" s="4" t="s">
        <v>2272</v>
      </c>
      <c r="K846" s="4" t="s">
        <v>2272</v>
      </c>
      <c r="L846" s="4" t="s">
        <v>2272</v>
      </c>
      <c r="M846" s="4" t="s">
        <v>2272</v>
      </c>
      <c r="N846" s="4" t="s">
        <v>2272</v>
      </c>
      <c r="O846" s="4" t="s">
        <v>2272</v>
      </c>
      <c r="P846" s="4" t="s">
        <v>2272</v>
      </c>
      <c r="Q846" s="4" t="s">
        <v>2272</v>
      </c>
      <c r="R846" s="4" t="s">
        <v>2272</v>
      </c>
      <c r="S846" s="4" t="s">
        <v>2272</v>
      </c>
      <c r="T846" s="3" t="s">
        <v>5339</v>
      </c>
    </row>
    <row r="847" spans="1:20" ht="30" customHeight="1">
      <c r="A847" s="23" t="s">
        <v>5334</v>
      </c>
      <c r="B847" s="3" t="s">
        <v>2254</v>
      </c>
      <c r="C847" s="3" t="s">
        <v>11</v>
      </c>
      <c r="D847" s="3" t="s">
        <v>128</v>
      </c>
      <c r="E847" s="3" t="s">
        <v>114</v>
      </c>
      <c r="F847" s="4" t="s">
        <v>394</v>
      </c>
      <c r="G847" s="3" t="s">
        <v>82</v>
      </c>
      <c r="H847" s="4" t="s">
        <v>2272</v>
      </c>
      <c r="I847" s="4" t="s">
        <v>2272</v>
      </c>
      <c r="J847" s="4" t="s">
        <v>2272</v>
      </c>
      <c r="K847" s="4" t="s">
        <v>2272</v>
      </c>
      <c r="L847" s="4" t="s">
        <v>2272</v>
      </c>
      <c r="M847" s="4" t="s">
        <v>2272</v>
      </c>
      <c r="N847" s="4" t="s">
        <v>2272</v>
      </c>
      <c r="O847" s="4" t="s">
        <v>2272</v>
      </c>
      <c r="P847" s="21">
        <f>34</f>
        <v>34</v>
      </c>
      <c r="Q847" s="21">
        <f>17+1+2</f>
        <v>20</v>
      </c>
      <c r="R847" s="21">
        <f>23+17</f>
        <v>40</v>
      </c>
      <c r="S847" s="4" t="s">
        <v>2272</v>
      </c>
      <c r="T847" s="3" t="s">
        <v>5339</v>
      </c>
    </row>
    <row r="848" spans="1:20" ht="33" customHeight="1">
      <c r="A848" s="23" t="s">
        <v>5355</v>
      </c>
      <c r="B848" s="3" t="s">
        <v>2272</v>
      </c>
      <c r="C848" s="3" t="s">
        <v>393</v>
      </c>
      <c r="D848" s="3" t="s">
        <v>128</v>
      </c>
      <c r="E848" s="3" t="s">
        <v>114</v>
      </c>
      <c r="F848" s="4" t="s">
        <v>2272</v>
      </c>
      <c r="G848" s="4" t="s">
        <v>2272</v>
      </c>
      <c r="H848" s="4" t="s">
        <v>2272</v>
      </c>
      <c r="I848" s="4" t="s">
        <v>2272</v>
      </c>
      <c r="J848" s="4" t="s">
        <v>2272</v>
      </c>
      <c r="K848" s="4" t="s">
        <v>2272</v>
      </c>
      <c r="L848" s="4" t="s">
        <v>2272</v>
      </c>
      <c r="M848" s="4" t="s">
        <v>2272</v>
      </c>
      <c r="N848" s="4" t="s">
        <v>2272</v>
      </c>
      <c r="O848" s="4" t="s">
        <v>2272</v>
      </c>
      <c r="P848" s="4" t="s">
        <v>2272</v>
      </c>
      <c r="Q848" s="4" t="s">
        <v>2272</v>
      </c>
      <c r="R848" s="4" t="s">
        <v>2272</v>
      </c>
      <c r="S848" s="4" t="s">
        <v>2272</v>
      </c>
      <c r="T848" s="3"/>
    </row>
    <row r="849" spans="1:20" ht="36" customHeight="1">
      <c r="A849" s="23" t="s">
        <v>5364</v>
      </c>
      <c r="B849" s="3" t="s">
        <v>31</v>
      </c>
      <c r="C849" s="3" t="s">
        <v>393</v>
      </c>
      <c r="D849" s="3" t="s">
        <v>44</v>
      </c>
      <c r="E849" s="3" t="s">
        <v>114</v>
      </c>
      <c r="F849" s="4" t="s">
        <v>2272</v>
      </c>
      <c r="G849" s="4" t="s">
        <v>2272</v>
      </c>
      <c r="H849" s="4" t="s">
        <v>2272</v>
      </c>
      <c r="I849" s="4" t="s">
        <v>2272</v>
      </c>
      <c r="J849" s="4" t="s">
        <v>2272</v>
      </c>
      <c r="K849" s="4" t="s">
        <v>2272</v>
      </c>
      <c r="L849" s="4" t="s">
        <v>2272</v>
      </c>
      <c r="M849" s="4" t="s">
        <v>2272</v>
      </c>
      <c r="N849" s="4" t="s">
        <v>2272</v>
      </c>
      <c r="O849" s="4" t="s">
        <v>2272</v>
      </c>
      <c r="P849" s="4" t="s">
        <v>2272</v>
      </c>
      <c r="Q849" s="4" t="s">
        <v>2272</v>
      </c>
      <c r="R849" s="4" t="s">
        <v>2272</v>
      </c>
      <c r="S849" s="4" t="s">
        <v>2272</v>
      </c>
      <c r="T849" s="3" t="s">
        <v>5208</v>
      </c>
    </row>
    <row r="850" spans="1:20" ht="35" customHeight="1">
      <c r="A850" s="23" t="s">
        <v>5379</v>
      </c>
      <c r="B850" s="3" t="s">
        <v>1193</v>
      </c>
      <c r="C850" s="3" t="s">
        <v>2641</v>
      </c>
      <c r="D850" s="3" t="s">
        <v>135</v>
      </c>
      <c r="E850" s="3" t="s">
        <v>114</v>
      </c>
      <c r="F850" s="4" t="s">
        <v>2272</v>
      </c>
      <c r="G850" s="4" t="s">
        <v>2272</v>
      </c>
      <c r="H850" s="4" t="s">
        <v>2272</v>
      </c>
      <c r="I850" s="4" t="s">
        <v>2272</v>
      </c>
      <c r="J850" s="4" t="s">
        <v>2272</v>
      </c>
      <c r="K850" s="4" t="s">
        <v>2272</v>
      </c>
      <c r="L850" s="4" t="s">
        <v>2272</v>
      </c>
      <c r="M850" s="4" t="s">
        <v>2272</v>
      </c>
      <c r="N850" s="4" t="s">
        <v>2272</v>
      </c>
      <c r="O850" s="4" t="s">
        <v>2272</v>
      </c>
      <c r="P850" s="4" t="s">
        <v>2272</v>
      </c>
      <c r="Q850" s="4" t="s">
        <v>2272</v>
      </c>
      <c r="R850" s="4" t="s">
        <v>2272</v>
      </c>
      <c r="S850" s="4" t="s">
        <v>2272</v>
      </c>
      <c r="T850" s="4" t="s">
        <v>5381</v>
      </c>
    </row>
    <row r="851" spans="1:20" ht="34" customHeight="1">
      <c r="A851" s="23" t="s">
        <v>5397</v>
      </c>
      <c r="B851" s="3" t="s">
        <v>31</v>
      </c>
      <c r="C851" s="3" t="s">
        <v>11</v>
      </c>
      <c r="D851" s="3" t="s">
        <v>114</v>
      </c>
      <c r="E851" s="3" t="s">
        <v>2642</v>
      </c>
      <c r="F851" s="4" t="s">
        <v>2272</v>
      </c>
      <c r="G851" s="4" t="s">
        <v>2272</v>
      </c>
      <c r="H851" s="4" t="s">
        <v>2272</v>
      </c>
      <c r="I851" s="3">
        <v>178767</v>
      </c>
      <c r="J851" s="4" t="s">
        <v>2272</v>
      </c>
      <c r="K851" s="4" t="s">
        <v>2272</v>
      </c>
      <c r="L851" s="4" t="s">
        <v>2272</v>
      </c>
      <c r="M851" s="4" t="s">
        <v>2272</v>
      </c>
      <c r="N851" s="4" t="s">
        <v>2272</v>
      </c>
      <c r="O851" s="4" t="s">
        <v>2272</v>
      </c>
      <c r="P851" s="4" t="s">
        <v>2272</v>
      </c>
      <c r="Q851" s="4" t="s">
        <v>2272</v>
      </c>
      <c r="R851" s="4" t="s">
        <v>2272</v>
      </c>
      <c r="S851" s="4" t="s">
        <v>2272</v>
      </c>
      <c r="T851" s="3" t="s">
        <v>5400</v>
      </c>
    </row>
    <row r="852" spans="1:20" ht="37.5" customHeight="1">
      <c r="A852" s="23" t="s">
        <v>5408</v>
      </c>
      <c r="B852" s="3" t="s">
        <v>31</v>
      </c>
      <c r="C852" s="3" t="s">
        <v>11</v>
      </c>
      <c r="D852" s="3" t="s">
        <v>2644</v>
      </c>
      <c r="E852" s="3" t="s">
        <v>135</v>
      </c>
      <c r="F852" s="3" t="s">
        <v>114</v>
      </c>
      <c r="G852" s="4" t="s">
        <v>2272</v>
      </c>
      <c r="H852" s="4" t="s">
        <v>2272</v>
      </c>
      <c r="I852" s="4" t="s">
        <v>2272</v>
      </c>
      <c r="J852" s="4" t="s">
        <v>2272</v>
      </c>
      <c r="K852" s="3" t="s">
        <v>532</v>
      </c>
      <c r="L852" s="4" t="s">
        <v>2272</v>
      </c>
      <c r="M852" s="4" t="s">
        <v>2272</v>
      </c>
      <c r="N852" s="4" t="s">
        <v>2272</v>
      </c>
      <c r="O852" s="4" t="s">
        <v>2272</v>
      </c>
      <c r="P852" s="4" t="s">
        <v>2272</v>
      </c>
      <c r="Q852" s="4" t="s">
        <v>2272</v>
      </c>
      <c r="R852" s="4" t="s">
        <v>2272</v>
      </c>
      <c r="S852" s="4" t="s">
        <v>2272</v>
      </c>
      <c r="T852" s="3"/>
    </row>
    <row r="853" spans="1:20" ht="28.5" customHeight="1">
      <c r="A853" s="23" t="s">
        <v>5415</v>
      </c>
      <c r="B853" s="3" t="s">
        <v>1193</v>
      </c>
      <c r="C853" s="3" t="s">
        <v>2641</v>
      </c>
      <c r="D853" s="3" t="s">
        <v>135</v>
      </c>
      <c r="E853" s="3" t="s">
        <v>114</v>
      </c>
      <c r="F853" s="4" t="s">
        <v>2272</v>
      </c>
      <c r="G853" s="4" t="s">
        <v>2272</v>
      </c>
      <c r="H853" s="4" t="s">
        <v>2272</v>
      </c>
      <c r="I853" s="4" t="s">
        <v>2272</v>
      </c>
      <c r="J853" s="4" t="s">
        <v>2272</v>
      </c>
      <c r="K853" s="4" t="s">
        <v>2272</v>
      </c>
      <c r="L853" s="4" t="s">
        <v>2272</v>
      </c>
      <c r="M853" s="4" t="s">
        <v>2272</v>
      </c>
      <c r="N853" s="4" t="s">
        <v>2272</v>
      </c>
      <c r="O853" s="4" t="s">
        <v>2272</v>
      </c>
      <c r="P853" s="4" t="s">
        <v>2272</v>
      </c>
      <c r="Q853" s="4" t="s">
        <v>2272</v>
      </c>
      <c r="R853" s="4" t="s">
        <v>2272</v>
      </c>
      <c r="S853" s="4" t="s">
        <v>2272</v>
      </c>
      <c r="T853" s="3"/>
    </row>
    <row r="854" spans="1:20" ht="34.5" customHeight="1">
      <c r="A854" s="23" t="s">
        <v>5421</v>
      </c>
      <c r="B854" s="3" t="s">
        <v>1193</v>
      </c>
      <c r="C854" s="3" t="s">
        <v>2641</v>
      </c>
      <c r="D854" s="3" t="s">
        <v>135</v>
      </c>
      <c r="E854" s="3" t="s">
        <v>114</v>
      </c>
      <c r="F854" s="4" t="s">
        <v>2272</v>
      </c>
      <c r="G854" s="4" t="s">
        <v>2272</v>
      </c>
      <c r="H854" s="4" t="s">
        <v>2272</v>
      </c>
      <c r="I854" s="4" t="s">
        <v>2272</v>
      </c>
      <c r="J854" s="4" t="s">
        <v>2272</v>
      </c>
      <c r="K854" s="4" t="s">
        <v>2272</v>
      </c>
      <c r="L854" s="4" t="s">
        <v>2272</v>
      </c>
      <c r="M854" s="4" t="s">
        <v>2272</v>
      </c>
      <c r="N854" s="4" t="s">
        <v>2272</v>
      </c>
      <c r="O854" s="4" t="s">
        <v>2272</v>
      </c>
      <c r="P854" s="4" t="s">
        <v>2272</v>
      </c>
      <c r="Q854" s="4" t="s">
        <v>2272</v>
      </c>
      <c r="R854" s="4" t="s">
        <v>2272</v>
      </c>
      <c r="S854" s="4" t="s">
        <v>2272</v>
      </c>
      <c r="T854" s="3"/>
    </row>
    <row r="855" spans="1:20" ht="32" customHeight="1">
      <c r="A855" s="11" t="s">
        <v>5434</v>
      </c>
      <c r="B855" s="3" t="s">
        <v>2254</v>
      </c>
      <c r="C855" s="3" t="s">
        <v>11</v>
      </c>
      <c r="D855" s="3" t="s">
        <v>128</v>
      </c>
      <c r="E855" s="4" t="s">
        <v>394</v>
      </c>
      <c r="F855" s="3" t="s">
        <v>5000</v>
      </c>
      <c r="G855" s="3" t="s">
        <v>114</v>
      </c>
      <c r="H855" s="4" t="s">
        <v>2272</v>
      </c>
      <c r="I855" s="4" t="s">
        <v>2272</v>
      </c>
      <c r="J855" s="4" t="s">
        <v>2272</v>
      </c>
      <c r="K855" s="4" t="s">
        <v>2272</v>
      </c>
      <c r="L855" s="4" t="s">
        <v>2272</v>
      </c>
      <c r="M855" s="4" t="s">
        <v>2272</v>
      </c>
      <c r="N855" s="4" t="s">
        <v>2272</v>
      </c>
      <c r="O855" s="4" t="s">
        <v>2272</v>
      </c>
      <c r="P855" s="4" t="s">
        <v>2272</v>
      </c>
      <c r="Q855" s="4" t="s">
        <v>2272</v>
      </c>
      <c r="R855" s="4" t="s">
        <v>2272</v>
      </c>
      <c r="S855" s="4" t="s">
        <v>2272</v>
      </c>
      <c r="T855" s="3"/>
    </row>
    <row r="856" spans="1:20" ht="32" customHeight="1">
      <c r="A856" s="11" t="s">
        <v>5437</v>
      </c>
      <c r="B856" s="3" t="s">
        <v>2254</v>
      </c>
      <c r="C856" s="3" t="s">
        <v>11</v>
      </c>
      <c r="D856" s="3" t="s">
        <v>128</v>
      </c>
      <c r="E856" s="4" t="s">
        <v>394</v>
      </c>
      <c r="F856" s="3" t="s">
        <v>114</v>
      </c>
      <c r="G856" s="4" t="s">
        <v>2272</v>
      </c>
      <c r="H856" s="4" t="s">
        <v>2272</v>
      </c>
      <c r="I856" s="4" t="s">
        <v>2272</v>
      </c>
      <c r="J856" s="4" t="s">
        <v>2272</v>
      </c>
      <c r="K856" s="4" t="s">
        <v>2272</v>
      </c>
      <c r="L856" s="4" t="s">
        <v>2272</v>
      </c>
      <c r="M856" s="4" t="s">
        <v>2272</v>
      </c>
      <c r="N856" s="4" t="s">
        <v>2272</v>
      </c>
      <c r="O856" s="4" t="s">
        <v>2272</v>
      </c>
      <c r="P856" s="4" t="s">
        <v>2272</v>
      </c>
      <c r="Q856" s="4" t="s">
        <v>2272</v>
      </c>
      <c r="R856" s="4" t="s">
        <v>2272</v>
      </c>
      <c r="S856" s="4" t="s">
        <v>2272</v>
      </c>
      <c r="T856" s="3"/>
    </row>
    <row r="857" spans="1:20" ht="32" customHeight="1">
      <c r="A857" s="11" t="s">
        <v>5438</v>
      </c>
      <c r="B857" s="3" t="s">
        <v>2254</v>
      </c>
      <c r="C857" s="3" t="s">
        <v>11</v>
      </c>
      <c r="D857" s="3" t="s">
        <v>128</v>
      </c>
      <c r="E857" s="4" t="s">
        <v>394</v>
      </c>
      <c r="F857" s="3" t="s">
        <v>5000</v>
      </c>
      <c r="G857" s="3" t="s">
        <v>114</v>
      </c>
      <c r="H857" s="4" t="s">
        <v>2272</v>
      </c>
      <c r="I857" s="4" t="s">
        <v>2272</v>
      </c>
      <c r="J857" s="4" t="s">
        <v>2272</v>
      </c>
      <c r="K857" s="4" t="s">
        <v>2272</v>
      </c>
      <c r="L857" s="4" t="s">
        <v>2272</v>
      </c>
      <c r="M857" s="4" t="s">
        <v>2272</v>
      </c>
      <c r="N857" s="4" t="s">
        <v>2272</v>
      </c>
      <c r="O857" s="4" t="s">
        <v>2272</v>
      </c>
      <c r="P857" s="4" t="s">
        <v>2272</v>
      </c>
      <c r="Q857" s="4" t="s">
        <v>2272</v>
      </c>
      <c r="R857" s="4" t="s">
        <v>2272</v>
      </c>
      <c r="S857" s="4" t="s">
        <v>2272</v>
      </c>
      <c r="T857" s="3"/>
    </row>
    <row r="858" spans="1:20" ht="32" customHeight="1">
      <c r="A858" s="11" t="s">
        <v>5440</v>
      </c>
      <c r="B858" s="3" t="s">
        <v>2254</v>
      </c>
      <c r="C858" s="3" t="s">
        <v>11</v>
      </c>
      <c r="D858" s="3" t="s">
        <v>128</v>
      </c>
      <c r="E858" s="4" t="s">
        <v>394</v>
      </c>
      <c r="F858" s="3" t="s">
        <v>5000</v>
      </c>
      <c r="G858" s="3" t="s">
        <v>114</v>
      </c>
      <c r="H858" s="4" t="s">
        <v>2272</v>
      </c>
      <c r="I858" s="4" t="s">
        <v>2272</v>
      </c>
      <c r="J858" s="4" t="s">
        <v>2272</v>
      </c>
      <c r="K858" s="4" t="s">
        <v>2272</v>
      </c>
      <c r="L858" s="4" t="s">
        <v>2272</v>
      </c>
      <c r="M858" s="4" t="s">
        <v>2272</v>
      </c>
      <c r="N858" s="4" t="s">
        <v>2272</v>
      </c>
      <c r="O858" s="4" t="s">
        <v>2272</v>
      </c>
      <c r="P858" s="4" t="s">
        <v>2272</v>
      </c>
      <c r="Q858" s="4" t="s">
        <v>2272</v>
      </c>
      <c r="R858" s="4" t="s">
        <v>2272</v>
      </c>
      <c r="S858" s="4" t="s">
        <v>2272</v>
      </c>
      <c r="T858" s="3"/>
    </row>
    <row r="859" spans="1:20" ht="32" customHeight="1">
      <c r="A859" s="11" t="s">
        <v>5439</v>
      </c>
      <c r="B859" s="3" t="s">
        <v>2254</v>
      </c>
      <c r="C859" s="3" t="s">
        <v>11</v>
      </c>
      <c r="D859" s="3" t="s">
        <v>128</v>
      </c>
      <c r="E859" s="4" t="s">
        <v>394</v>
      </c>
      <c r="F859" s="3" t="s">
        <v>5000</v>
      </c>
      <c r="G859" s="3" t="s">
        <v>114</v>
      </c>
      <c r="H859" s="4" t="s">
        <v>2272</v>
      </c>
      <c r="I859" s="4" t="s">
        <v>2272</v>
      </c>
      <c r="J859" s="4" t="s">
        <v>2272</v>
      </c>
      <c r="K859" s="4" t="s">
        <v>2272</v>
      </c>
      <c r="L859" s="4" t="s">
        <v>2272</v>
      </c>
      <c r="M859" s="4" t="s">
        <v>2272</v>
      </c>
      <c r="N859" s="4" t="s">
        <v>2272</v>
      </c>
      <c r="O859" s="4" t="s">
        <v>2272</v>
      </c>
      <c r="P859" s="4" t="s">
        <v>2272</v>
      </c>
      <c r="Q859" s="4" t="s">
        <v>2272</v>
      </c>
      <c r="R859" s="4" t="s">
        <v>2272</v>
      </c>
      <c r="S859" s="4" t="s">
        <v>2272</v>
      </c>
      <c r="T859" s="3"/>
    </row>
    <row r="860" spans="1:20" ht="37" customHeight="1">
      <c r="A860" s="11" t="s">
        <v>5521</v>
      </c>
      <c r="B860" s="3" t="s">
        <v>2272</v>
      </c>
      <c r="C860" s="3" t="s">
        <v>11</v>
      </c>
      <c r="D860" s="4" t="s">
        <v>395</v>
      </c>
      <c r="E860" s="4" t="s">
        <v>394</v>
      </c>
      <c r="F860" s="3" t="s">
        <v>128</v>
      </c>
      <c r="G860" s="4" t="s">
        <v>2272</v>
      </c>
      <c r="H860" s="4" t="s">
        <v>2272</v>
      </c>
      <c r="I860" s="3">
        <v>2.3260000000000001</v>
      </c>
      <c r="J860" s="3">
        <v>1.8640000000000001</v>
      </c>
      <c r="K860" s="4" t="s">
        <v>2272</v>
      </c>
      <c r="L860" s="4" t="s">
        <v>2272</v>
      </c>
      <c r="M860" s="4" t="s">
        <v>2272</v>
      </c>
      <c r="N860" s="4" t="s">
        <v>2272</v>
      </c>
      <c r="O860" s="4" t="s">
        <v>2272</v>
      </c>
      <c r="P860" s="4" t="s">
        <v>2272</v>
      </c>
      <c r="Q860" s="4" t="s">
        <v>2272</v>
      </c>
      <c r="R860" s="4" t="s">
        <v>2272</v>
      </c>
      <c r="S860" s="4" t="s">
        <v>2272</v>
      </c>
      <c r="T860" s="19" t="s">
        <v>5544</v>
      </c>
    </row>
    <row r="861" spans="1:20" ht="37" customHeight="1">
      <c r="A861" s="11" t="s">
        <v>5533</v>
      </c>
      <c r="B861" s="3" t="s">
        <v>2272</v>
      </c>
      <c r="C861" s="3" t="s">
        <v>11</v>
      </c>
      <c r="D861" s="4" t="s">
        <v>395</v>
      </c>
      <c r="E861" s="4" t="s">
        <v>394</v>
      </c>
      <c r="F861" s="3" t="s">
        <v>128</v>
      </c>
      <c r="G861" s="4" t="s">
        <v>2272</v>
      </c>
      <c r="H861" s="4" t="s">
        <v>2272</v>
      </c>
      <c r="I861" s="3">
        <v>2.3260000000000001</v>
      </c>
      <c r="J861" s="3">
        <v>1.8640000000000001</v>
      </c>
      <c r="K861" s="4" t="s">
        <v>2272</v>
      </c>
      <c r="L861" s="4" t="s">
        <v>2272</v>
      </c>
      <c r="M861" s="4" t="s">
        <v>2272</v>
      </c>
      <c r="N861" s="4" t="s">
        <v>2272</v>
      </c>
      <c r="O861" s="4" t="s">
        <v>2272</v>
      </c>
      <c r="P861" s="4" t="s">
        <v>2272</v>
      </c>
      <c r="Q861" s="4" t="s">
        <v>2272</v>
      </c>
      <c r="R861" s="4" t="s">
        <v>2272</v>
      </c>
      <c r="S861" s="4" t="s">
        <v>2272</v>
      </c>
      <c r="T861" s="19" t="s">
        <v>5544</v>
      </c>
    </row>
    <row r="862" spans="1:20" ht="37" customHeight="1">
      <c r="A862" s="11" t="s">
        <v>5534</v>
      </c>
      <c r="B862" s="3" t="s">
        <v>2272</v>
      </c>
      <c r="C862" s="3" t="s">
        <v>11</v>
      </c>
      <c r="D862" s="4" t="s">
        <v>395</v>
      </c>
      <c r="E862" s="4" t="s">
        <v>394</v>
      </c>
      <c r="F862" s="3" t="s">
        <v>128</v>
      </c>
      <c r="G862" s="4" t="s">
        <v>2272</v>
      </c>
      <c r="H862" s="4" t="s">
        <v>2272</v>
      </c>
      <c r="I862" s="3">
        <v>2.3260000000000001</v>
      </c>
      <c r="J862" s="3">
        <v>1.8640000000000001</v>
      </c>
      <c r="K862" s="4" t="s">
        <v>2272</v>
      </c>
      <c r="L862" s="4" t="s">
        <v>2272</v>
      </c>
      <c r="M862" s="4" t="s">
        <v>2272</v>
      </c>
      <c r="N862" s="4" t="s">
        <v>2272</v>
      </c>
      <c r="O862" s="4" t="s">
        <v>2272</v>
      </c>
      <c r="P862" s="4" t="s">
        <v>2272</v>
      </c>
      <c r="Q862" s="4" t="s">
        <v>2272</v>
      </c>
      <c r="R862" s="4" t="s">
        <v>2272</v>
      </c>
      <c r="S862" s="4" t="s">
        <v>2272</v>
      </c>
      <c r="T862" s="19" t="s">
        <v>5544</v>
      </c>
    </row>
    <row r="863" spans="1:20" ht="37" customHeight="1">
      <c r="A863" s="11" t="s">
        <v>5535</v>
      </c>
      <c r="B863" s="3" t="s">
        <v>2272</v>
      </c>
      <c r="C863" s="3" t="s">
        <v>11</v>
      </c>
      <c r="D863" s="4" t="s">
        <v>395</v>
      </c>
      <c r="E863" s="4" t="s">
        <v>394</v>
      </c>
      <c r="F863" s="3" t="s">
        <v>128</v>
      </c>
      <c r="G863" s="4" t="s">
        <v>2272</v>
      </c>
      <c r="H863" s="4" t="s">
        <v>2272</v>
      </c>
      <c r="I863" s="3">
        <v>2.3260000000000001</v>
      </c>
      <c r="J863" s="3">
        <v>1.8640000000000001</v>
      </c>
      <c r="K863" s="4" t="s">
        <v>2272</v>
      </c>
      <c r="L863" s="4" t="s">
        <v>2272</v>
      </c>
      <c r="M863" s="4" t="s">
        <v>2272</v>
      </c>
      <c r="N863" s="4" t="s">
        <v>2272</v>
      </c>
      <c r="O863" s="4" t="s">
        <v>2272</v>
      </c>
      <c r="P863" s="4" t="s">
        <v>2272</v>
      </c>
      <c r="Q863" s="4" t="s">
        <v>2272</v>
      </c>
      <c r="R863" s="4" t="s">
        <v>2272</v>
      </c>
      <c r="S863" s="4" t="s">
        <v>2272</v>
      </c>
      <c r="T863" s="19" t="s">
        <v>5544</v>
      </c>
    </row>
    <row r="864" spans="1:20" ht="37" customHeight="1">
      <c r="A864" s="11" t="s">
        <v>5536</v>
      </c>
      <c r="B864" s="3" t="s">
        <v>2272</v>
      </c>
      <c r="C864" s="3" t="s">
        <v>11</v>
      </c>
      <c r="D864" s="4" t="s">
        <v>395</v>
      </c>
      <c r="E864" s="4" t="s">
        <v>394</v>
      </c>
      <c r="F864" s="3" t="s">
        <v>128</v>
      </c>
      <c r="G864" s="4" t="s">
        <v>2272</v>
      </c>
      <c r="H864" s="4" t="s">
        <v>2272</v>
      </c>
      <c r="I864" s="3">
        <v>2.3260000000000001</v>
      </c>
      <c r="J864" s="3">
        <v>1.8640000000000001</v>
      </c>
      <c r="K864" s="4" t="s">
        <v>2272</v>
      </c>
      <c r="L864" s="4" t="s">
        <v>2272</v>
      </c>
      <c r="M864" s="4" t="s">
        <v>2272</v>
      </c>
      <c r="N864" s="4" t="s">
        <v>2272</v>
      </c>
      <c r="O864" s="4" t="s">
        <v>2272</v>
      </c>
      <c r="P864" s="4" t="s">
        <v>2272</v>
      </c>
      <c r="Q864" s="4" t="s">
        <v>2272</v>
      </c>
      <c r="R864" s="4" t="s">
        <v>2272</v>
      </c>
      <c r="S864" s="4" t="s">
        <v>2272</v>
      </c>
      <c r="T864" s="19" t="s">
        <v>5544</v>
      </c>
    </row>
    <row r="865" spans="1:20" ht="37" customHeight="1">
      <c r="A865" s="11" t="s">
        <v>5537</v>
      </c>
      <c r="B865" s="3" t="s">
        <v>2272</v>
      </c>
      <c r="C865" s="3" t="s">
        <v>11</v>
      </c>
      <c r="D865" s="4" t="s">
        <v>395</v>
      </c>
      <c r="E865" s="4" t="s">
        <v>394</v>
      </c>
      <c r="F865" s="3" t="s">
        <v>128</v>
      </c>
      <c r="G865" s="4" t="s">
        <v>2272</v>
      </c>
      <c r="H865" s="4" t="s">
        <v>2272</v>
      </c>
      <c r="I865" s="3">
        <v>2.3260000000000001</v>
      </c>
      <c r="J865" s="3">
        <v>1.8640000000000001</v>
      </c>
      <c r="K865" s="4" t="s">
        <v>2272</v>
      </c>
      <c r="L865" s="4" t="s">
        <v>2272</v>
      </c>
      <c r="M865" s="4" t="s">
        <v>2272</v>
      </c>
      <c r="N865" s="4" t="s">
        <v>2272</v>
      </c>
      <c r="O865" s="4" t="s">
        <v>2272</v>
      </c>
      <c r="P865" s="4" t="s">
        <v>2272</v>
      </c>
      <c r="Q865" s="4" t="s">
        <v>2272</v>
      </c>
      <c r="R865" s="4" t="s">
        <v>2272</v>
      </c>
      <c r="S865" s="4" t="s">
        <v>2272</v>
      </c>
      <c r="T865" s="19" t="s">
        <v>5544</v>
      </c>
    </row>
    <row r="866" spans="1:20" ht="37" customHeight="1">
      <c r="A866" s="11" t="s">
        <v>5541</v>
      </c>
      <c r="B866" s="3" t="s">
        <v>2272</v>
      </c>
      <c r="C866" s="3" t="s">
        <v>11</v>
      </c>
      <c r="D866" s="4" t="s">
        <v>395</v>
      </c>
      <c r="E866" s="4" t="s">
        <v>394</v>
      </c>
      <c r="F866" s="3" t="s">
        <v>128</v>
      </c>
      <c r="G866" s="4" t="s">
        <v>2272</v>
      </c>
      <c r="H866" s="4" t="s">
        <v>2272</v>
      </c>
      <c r="I866" s="3">
        <v>2.3260000000000001</v>
      </c>
      <c r="J866" s="3">
        <v>1.8640000000000001</v>
      </c>
      <c r="K866" s="4" t="s">
        <v>2272</v>
      </c>
      <c r="L866" s="4" t="s">
        <v>2272</v>
      </c>
      <c r="M866" s="4" t="s">
        <v>2272</v>
      </c>
      <c r="N866" s="4" t="s">
        <v>2272</v>
      </c>
      <c r="O866" s="4" t="s">
        <v>2272</v>
      </c>
      <c r="P866" s="4" t="s">
        <v>2272</v>
      </c>
      <c r="Q866" s="4" t="s">
        <v>2272</v>
      </c>
      <c r="R866" s="4" t="s">
        <v>2272</v>
      </c>
      <c r="S866" s="4" t="s">
        <v>2272</v>
      </c>
      <c r="T866" s="19" t="s">
        <v>5544</v>
      </c>
    </row>
    <row r="867" spans="1:20" ht="37" customHeight="1">
      <c r="A867" s="11" t="s">
        <v>5542</v>
      </c>
      <c r="B867" s="3" t="s">
        <v>2272</v>
      </c>
      <c r="C867" s="3" t="s">
        <v>11</v>
      </c>
      <c r="D867" s="4" t="s">
        <v>395</v>
      </c>
      <c r="E867" s="4" t="s">
        <v>394</v>
      </c>
      <c r="F867" s="3" t="s">
        <v>128</v>
      </c>
      <c r="G867" s="4" t="s">
        <v>2272</v>
      </c>
      <c r="H867" s="4" t="s">
        <v>2272</v>
      </c>
      <c r="I867" s="3">
        <v>2.3260000000000001</v>
      </c>
      <c r="J867" s="3">
        <v>1.8640000000000001</v>
      </c>
      <c r="K867" s="4" t="s">
        <v>2272</v>
      </c>
      <c r="L867" s="4" t="s">
        <v>2272</v>
      </c>
      <c r="M867" s="4" t="s">
        <v>2272</v>
      </c>
      <c r="N867" s="4" t="s">
        <v>2272</v>
      </c>
      <c r="O867" s="4" t="s">
        <v>2272</v>
      </c>
      <c r="P867" s="4" t="s">
        <v>2272</v>
      </c>
      <c r="Q867" s="4" t="s">
        <v>2272</v>
      </c>
      <c r="R867" s="4" t="s">
        <v>2272</v>
      </c>
      <c r="S867" s="4" t="s">
        <v>2272</v>
      </c>
      <c r="T867" s="19" t="s">
        <v>5544</v>
      </c>
    </row>
    <row r="868" spans="1:20" ht="29.5" customHeight="1">
      <c r="A868" s="19" t="s">
        <v>5572</v>
      </c>
      <c r="B868" s="4" t="s">
        <v>2272</v>
      </c>
      <c r="C868" s="4" t="s">
        <v>11</v>
      </c>
      <c r="D868" s="4" t="s">
        <v>2646</v>
      </c>
      <c r="E868" s="4" t="s">
        <v>395</v>
      </c>
      <c r="F868" s="4" t="s">
        <v>2272</v>
      </c>
      <c r="G868" s="4" t="s">
        <v>2272</v>
      </c>
      <c r="H868" s="4" t="s">
        <v>2272</v>
      </c>
      <c r="I868" s="11">
        <f>AVERAGE(1.22, 2.42)</f>
        <v>1.8199999999999998</v>
      </c>
      <c r="J868" s="4" t="s">
        <v>2272</v>
      </c>
      <c r="K868" s="4" t="s">
        <v>2272</v>
      </c>
      <c r="L868" s="4" t="s">
        <v>2272</v>
      </c>
      <c r="M868" s="4" t="s">
        <v>2272</v>
      </c>
      <c r="N868" s="4" t="s">
        <v>2272</v>
      </c>
      <c r="O868" s="4" t="s">
        <v>2272</v>
      </c>
      <c r="P868" s="4" t="s">
        <v>2272</v>
      </c>
      <c r="Q868" s="4" t="s">
        <v>2272</v>
      </c>
      <c r="R868" s="4" t="s">
        <v>2272</v>
      </c>
      <c r="S868" s="4" t="s">
        <v>2272</v>
      </c>
      <c r="T868" s="3"/>
    </row>
    <row r="869" spans="1:20" ht="26.5" customHeight="1">
      <c r="A869" s="11" t="s">
        <v>5584</v>
      </c>
      <c r="B869" s="3" t="s">
        <v>2272</v>
      </c>
      <c r="C869" s="3" t="s">
        <v>11</v>
      </c>
      <c r="D869" s="3" t="s">
        <v>128</v>
      </c>
      <c r="E869" s="3" t="s">
        <v>82</v>
      </c>
      <c r="F869" s="4" t="s">
        <v>2272</v>
      </c>
      <c r="G869" s="4" t="s">
        <v>2272</v>
      </c>
      <c r="H869" s="4" t="s">
        <v>2272</v>
      </c>
      <c r="I869" s="4" t="s">
        <v>2272</v>
      </c>
      <c r="J869" s="4" t="s">
        <v>2272</v>
      </c>
      <c r="K869" s="4" t="s">
        <v>2272</v>
      </c>
      <c r="L869" s="4" t="s">
        <v>2272</v>
      </c>
      <c r="M869" s="4" t="s">
        <v>2272</v>
      </c>
      <c r="N869" s="4" t="s">
        <v>2272</v>
      </c>
      <c r="O869" s="4" t="s">
        <v>2272</v>
      </c>
      <c r="P869" s="4" t="s">
        <v>2272</v>
      </c>
      <c r="Q869" s="4" t="s">
        <v>2272</v>
      </c>
      <c r="R869" s="4" t="s">
        <v>2272</v>
      </c>
      <c r="S869" s="4" t="s">
        <v>2272</v>
      </c>
      <c r="T869" s="3"/>
    </row>
    <row r="870" spans="1:20" ht="35" customHeight="1">
      <c r="A870" s="11" t="s">
        <v>5593</v>
      </c>
      <c r="B870" s="3" t="s">
        <v>2272</v>
      </c>
      <c r="C870" s="3" t="s">
        <v>11</v>
      </c>
      <c r="D870" s="3" t="s">
        <v>44</v>
      </c>
      <c r="E870" s="3" t="s">
        <v>128</v>
      </c>
      <c r="F870" s="3" t="s">
        <v>860</v>
      </c>
      <c r="G870" s="11" t="s">
        <v>5795</v>
      </c>
      <c r="H870" s="4" t="s">
        <v>2272</v>
      </c>
      <c r="I870" s="4" t="s">
        <v>2272</v>
      </c>
      <c r="J870" s="4" t="s">
        <v>2272</v>
      </c>
      <c r="K870" s="3" t="s">
        <v>532</v>
      </c>
      <c r="L870" s="4" t="s">
        <v>2272</v>
      </c>
      <c r="M870" s="4" t="s">
        <v>2272</v>
      </c>
      <c r="N870" s="4" t="s">
        <v>2272</v>
      </c>
      <c r="O870" s="4" t="s">
        <v>2272</v>
      </c>
      <c r="P870" s="4" t="s">
        <v>2272</v>
      </c>
      <c r="Q870" s="4" t="s">
        <v>2272</v>
      </c>
      <c r="R870" s="4" t="s">
        <v>2272</v>
      </c>
      <c r="S870" s="4" t="s">
        <v>2272</v>
      </c>
      <c r="T870" s="3"/>
    </row>
    <row r="871" spans="1:20" ht="30" customHeight="1">
      <c r="A871" s="11" t="s">
        <v>5594</v>
      </c>
      <c r="B871" s="3" t="s">
        <v>2272</v>
      </c>
      <c r="C871" s="3" t="s">
        <v>11</v>
      </c>
      <c r="D871" s="3" t="s">
        <v>44</v>
      </c>
      <c r="E871" s="3" t="s">
        <v>128</v>
      </c>
      <c r="F871" s="3" t="s">
        <v>860</v>
      </c>
      <c r="G871" s="11" t="s">
        <v>5795</v>
      </c>
      <c r="H871" s="4" t="s">
        <v>2272</v>
      </c>
      <c r="I871" s="4" t="s">
        <v>2272</v>
      </c>
      <c r="J871" s="4" t="s">
        <v>2272</v>
      </c>
      <c r="K871" s="3" t="s">
        <v>532</v>
      </c>
      <c r="L871" s="4" t="s">
        <v>2272</v>
      </c>
      <c r="M871" s="4" t="s">
        <v>2272</v>
      </c>
      <c r="N871" s="4" t="s">
        <v>2272</v>
      </c>
      <c r="O871" s="4" t="s">
        <v>2272</v>
      </c>
      <c r="P871" s="4" t="s">
        <v>2272</v>
      </c>
      <c r="Q871" s="4" t="s">
        <v>2272</v>
      </c>
      <c r="R871" s="4" t="s">
        <v>2272</v>
      </c>
      <c r="S871" s="4" t="s">
        <v>2272</v>
      </c>
      <c r="T871" s="3"/>
    </row>
    <row r="872" spans="1:20" ht="32.5" customHeight="1">
      <c r="A872" s="11" t="s">
        <v>5619</v>
      </c>
      <c r="B872" s="3" t="s">
        <v>69</v>
      </c>
      <c r="C872" s="3" t="s">
        <v>11</v>
      </c>
      <c r="D872" s="3" t="s">
        <v>44</v>
      </c>
      <c r="E872" s="3" t="s">
        <v>128</v>
      </c>
      <c r="F872" s="3" t="s">
        <v>2645</v>
      </c>
      <c r="G872" s="4" t="s">
        <v>2272</v>
      </c>
      <c r="H872" s="4" t="s">
        <v>2272</v>
      </c>
      <c r="I872" s="3">
        <v>50</v>
      </c>
      <c r="J872" s="4" t="s">
        <v>2272</v>
      </c>
      <c r="K872" s="4" t="s">
        <v>2272</v>
      </c>
      <c r="L872" s="4" t="s">
        <v>2272</v>
      </c>
      <c r="M872" s="4" t="s">
        <v>2272</v>
      </c>
      <c r="N872" s="4" t="s">
        <v>2272</v>
      </c>
      <c r="O872" s="4" t="s">
        <v>2272</v>
      </c>
      <c r="P872" s="4" t="s">
        <v>2272</v>
      </c>
      <c r="Q872" s="4" t="s">
        <v>2272</v>
      </c>
      <c r="R872" s="4" t="s">
        <v>2272</v>
      </c>
      <c r="S872" s="4" t="s">
        <v>2272</v>
      </c>
      <c r="T872" s="3"/>
    </row>
    <row r="873" spans="1:20" ht="32.5" customHeight="1">
      <c r="A873" s="11" t="s">
        <v>5623</v>
      </c>
      <c r="B873" s="3" t="s">
        <v>69</v>
      </c>
      <c r="C873" s="3" t="s">
        <v>11</v>
      </c>
      <c r="D873" s="3" t="s">
        <v>44</v>
      </c>
      <c r="E873" s="3" t="s">
        <v>128</v>
      </c>
      <c r="F873" s="3" t="s">
        <v>2645</v>
      </c>
      <c r="G873" s="4" t="s">
        <v>2272</v>
      </c>
      <c r="H873" s="4" t="s">
        <v>2272</v>
      </c>
      <c r="I873" s="3">
        <v>50</v>
      </c>
      <c r="J873" s="4" t="s">
        <v>2272</v>
      </c>
      <c r="K873" s="4" t="s">
        <v>2272</v>
      </c>
      <c r="L873" s="4" t="s">
        <v>2272</v>
      </c>
      <c r="M873" s="4" t="s">
        <v>2272</v>
      </c>
      <c r="N873" s="4" t="s">
        <v>2272</v>
      </c>
      <c r="O873" s="4" t="s">
        <v>2272</v>
      </c>
      <c r="P873" s="4" t="s">
        <v>2272</v>
      </c>
      <c r="Q873" s="4" t="s">
        <v>2272</v>
      </c>
      <c r="R873" s="4" t="s">
        <v>2272</v>
      </c>
      <c r="S873" s="4" t="s">
        <v>2272</v>
      </c>
      <c r="T873" s="3"/>
    </row>
    <row r="874" spans="1:20" ht="32.5" customHeight="1">
      <c r="A874" s="11" t="s">
        <v>5624</v>
      </c>
      <c r="B874" s="3" t="s">
        <v>69</v>
      </c>
      <c r="C874" s="3" t="s">
        <v>11</v>
      </c>
      <c r="D874" s="3" t="s">
        <v>44</v>
      </c>
      <c r="E874" s="3" t="s">
        <v>128</v>
      </c>
      <c r="F874" s="3" t="s">
        <v>2645</v>
      </c>
      <c r="G874" s="4" t="s">
        <v>2272</v>
      </c>
      <c r="H874" s="4" t="s">
        <v>2272</v>
      </c>
      <c r="I874" s="3">
        <v>50</v>
      </c>
      <c r="J874" s="4" t="s">
        <v>2272</v>
      </c>
      <c r="K874" s="4" t="s">
        <v>2272</v>
      </c>
      <c r="L874" s="4" t="s">
        <v>2272</v>
      </c>
      <c r="M874" s="4" t="s">
        <v>2272</v>
      </c>
      <c r="N874" s="4" t="s">
        <v>2272</v>
      </c>
      <c r="O874" s="4" t="s">
        <v>2272</v>
      </c>
      <c r="P874" s="4" t="s">
        <v>2272</v>
      </c>
      <c r="Q874" s="4" t="s">
        <v>2272</v>
      </c>
      <c r="R874" s="4" t="s">
        <v>2272</v>
      </c>
      <c r="S874" s="4" t="s">
        <v>2272</v>
      </c>
      <c r="T874" s="3"/>
    </row>
    <row r="875" spans="1:20" ht="32.5" customHeight="1">
      <c r="A875" s="3" t="s">
        <v>5625</v>
      </c>
      <c r="B875" s="3" t="s">
        <v>69</v>
      </c>
      <c r="C875" s="3" t="s">
        <v>11</v>
      </c>
      <c r="D875" s="3" t="s">
        <v>44</v>
      </c>
      <c r="E875" s="3" t="s">
        <v>128</v>
      </c>
      <c r="F875" s="3" t="s">
        <v>2645</v>
      </c>
      <c r="G875" s="4" t="s">
        <v>2272</v>
      </c>
      <c r="H875" s="4" t="s">
        <v>2272</v>
      </c>
      <c r="I875" s="3">
        <v>50</v>
      </c>
      <c r="J875" s="4" t="s">
        <v>2272</v>
      </c>
      <c r="K875" s="4" t="s">
        <v>2272</v>
      </c>
      <c r="L875" s="4" t="s">
        <v>2272</v>
      </c>
      <c r="M875" s="4" t="s">
        <v>2272</v>
      </c>
      <c r="N875" s="4" t="s">
        <v>2272</v>
      </c>
      <c r="O875" s="4" t="s">
        <v>2272</v>
      </c>
      <c r="P875" s="4" t="s">
        <v>2272</v>
      </c>
      <c r="Q875" s="4" t="s">
        <v>2272</v>
      </c>
      <c r="R875" s="4" t="s">
        <v>2272</v>
      </c>
      <c r="S875" s="4" t="s">
        <v>2272</v>
      </c>
      <c r="T875" s="3"/>
    </row>
    <row r="876" spans="1:20" ht="34" customHeight="1">
      <c r="A876" s="11" t="s">
        <v>5643</v>
      </c>
      <c r="B876" s="3" t="s">
        <v>2254</v>
      </c>
      <c r="C876" s="3" t="s">
        <v>11</v>
      </c>
      <c r="D876" s="3" t="s">
        <v>82</v>
      </c>
      <c r="E876" s="3" t="s">
        <v>128</v>
      </c>
      <c r="F876" s="4" t="s">
        <v>394</v>
      </c>
      <c r="G876" s="4" t="s">
        <v>2272</v>
      </c>
      <c r="H876" s="4" t="s">
        <v>2272</v>
      </c>
      <c r="I876" s="4" t="s">
        <v>2272</v>
      </c>
      <c r="J876" s="4" t="s">
        <v>2272</v>
      </c>
      <c r="K876" s="4" t="s">
        <v>2272</v>
      </c>
      <c r="L876" s="4" t="s">
        <v>2272</v>
      </c>
      <c r="M876" s="4" t="s">
        <v>2272</v>
      </c>
      <c r="N876" s="4" t="s">
        <v>2272</v>
      </c>
      <c r="O876" s="4" t="s">
        <v>2272</v>
      </c>
      <c r="P876" s="4" t="s">
        <v>2272</v>
      </c>
      <c r="Q876" s="4" t="s">
        <v>2272</v>
      </c>
      <c r="R876" s="4" t="s">
        <v>2272</v>
      </c>
      <c r="S876" s="4" t="s">
        <v>2272</v>
      </c>
      <c r="T876" s="3"/>
    </row>
    <row r="877" spans="1:20" ht="31" customHeight="1">
      <c r="A877" s="11" t="s">
        <v>5655</v>
      </c>
      <c r="B877" s="3" t="s">
        <v>2272</v>
      </c>
      <c r="C877" s="3" t="s">
        <v>2641</v>
      </c>
      <c r="D877" s="3" t="s">
        <v>114</v>
      </c>
      <c r="E877" s="3" t="s">
        <v>135</v>
      </c>
      <c r="F877" s="4" t="s">
        <v>2272</v>
      </c>
      <c r="G877" s="4" t="s">
        <v>2272</v>
      </c>
      <c r="H877" s="4" t="s">
        <v>2272</v>
      </c>
      <c r="I877" s="4" t="s">
        <v>2272</v>
      </c>
      <c r="J877" s="4" t="s">
        <v>2272</v>
      </c>
      <c r="K877" s="4" t="s">
        <v>2272</v>
      </c>
      <c r="L877" s="4" t="s">
        <v>2272</v>
      </c>
      <c r="M877" s="4" t="s">
        <v>2272</v>
      </c>
      <c r="N877" s="4" t="s">
        <v>2272</v>
      </c>
      <c r="O877" s="4" t="s">
        <v>2272</v>
      </c>
      <c r="P877" s="4" t="s">
        <v>2272</v>
      </c>
      <c r="Q877" s="4" t="s">
        <v>2272</v>
      </c>
      <c r="R877" s="4" t="s">
        <v>2272</v>
      </c>
      <c r="S877" s="4" t="s">
        <v>2272</v>
      </c>
      <c r="T877" s="3"/>
    </row>
    <row r="878" spans="1:20" ht="37" customHeight="1">
      <c r="A878" s="11" t="s">
        <v>5670</v>
      </c>
      <c r="B878" s="3" t="s">
        <v>1193</v>
      </c>
      <c r="C878" s="3" t="s">
        <v>2641</v>
      </c>
      <c r="D878" s="3" t="s">
        <v>135</v>
      </c>
      <c r="E878" s="3" t="s">
        <v>2644</v>
      </c>
      <c r="F878" s="3" t="s">
        <v>114</v>
      </c>
      <c r="G878" s="4" t="s">
        <v>2272</v>
      </c>
      <c r="H878" s="4" t="s">
        <v>2272</v>
      </c>
      <c r="I878" s="4" t="s">
        <v>2272</v>
      </c>
      <c r="J878" s="4" t="s">
        <v>2272</v>
      </c>
      <c r="K878" s="4" t="s">
        <v>2272</v>
      </c>
      <c r="L878" s="4" t="s">
        <v>2272</v>
      </c>
      <c r="M878" s="4" t="s">
        <v>2272</v>
      </c>
      <c r="N878" s="4" t="s">
        <v>2272</v>
      </c>
      <c r="O878" s="4" t="s">
        <v>2272</v>
      </c>
      <c r="P878" s="4" t="s">
        <v>2272</v>
      </c>
      <c r="Q878" s="4" t="s">
        <v>2272</v>
      </c>
      <c r="R878" s="4" t="s">
        <v>2272</v>
      </c>
      <c r="S878" s="4" t="s">
        <v>2272</v>
      </c>
      <c r="T878" s="3"/>
    </row>
    <row r="879" spans="1:20" ht="41" customHeight="1">
      <c r="A879" s="11" t="s">
        <v>5678</v>
      </c>
      <c r="B879" s="3" t="s">
        <v>1193</v>
      </c>
      <c r="C879" s="3" t="s">
        <v>2641</v>
      </c>
      <c r="D879" s="3" t="s">
        <v>135</v>
      </c>
      <c r="E879" s="3" t="s">
        <v>114</v>
      </c>
      <c r="F879" s="4" t="s">
        <v>2272</v>
      </c>
      <c r="G879" s="4" t="s">
        <v>2272</v>
      </c>
      <c r="H879" s="4" t="s">
        <v>2272</v>
      </c>
      <c r="I879" s="4" t="s">
        <v>2272</v>
      </c>
      <c r="J879" s="4" t="s">
        <v>2272</v>
      </c>
      <c r="K879" s="4" t="s">
        <v>2272</v>
      </c>
      <c r="L879" s="4" t="s">
        <v>2272</v>
      </c>
      <c r="M879" s="4" t="s">
        <v>2272</v>
      </c>
      <c r="N879" s="4" t="s">
        <v>2272</v>
      </c>
      <c r="O879" s="4" t="s">
        <v>2272</v>
      </c>
      <c r="P879" s="4" t="s">
        <v>2272</v>
      </c>
      <c r="Q879" s="4" t="s">
        <v>2272</v>
      </c>
      <c r="R879" s="4" t="s">
        <v>2272</v>
      </c>
      <c r="S879" s="4" t="s">
        <v>2272</v>
      </c>
      <c r="T879" s="3"/>
    </row>
    <row r="880" spans="1:20" ht="34.5" customHeight="1">
      <c r="A880" s="11" t="s">
        <v>5687</v>
      </c>
      <c r="B880" s="3" t="s">
        <v>31</v>
      </c>
      <c r="C880" s="3" t="s">
        <v>11</v>
      </c>
      <c r="D880" s="3" t="s">
        <v>44</v>
      </c>
      <c r="E880" s="3" t="s">
        <v>82</v>
      </c>
      <c r="F880" s="3" t="s">
        <v>128</v>
      </c>
      <c r="G880" s="4" t="s">
        <v>860</v>
      </c>
      <c r="H880" s="4" t="s">
        <v>2272</v>
      </c>
      <c r="I880" s="3">
        <v>10000</v>
      </c>
      <c r="J880" s="4" t="s">
        <v>2272</v>
      </c>
      <c r="K880" s="3" t="s">
        <v>532</v>
      </c>
      <c r="L880" s="4" t="s">
        <v>2272</v>
      </c>
      <c r="M880" s="4" t="s">
        <v>2272</v>
      </c>
      <c r="N880" s="4" t="s">
        <v>2272</v>
      </c>
      <c r="O880" s="4" t="s">
        <v>2272</v>
      </c>
      <c r="P880" s="4" t="s">
        <v>2272</v>
      </c>
      <c r="Q880" s="4" t="s">
        <v>2272</v>
      </c>
      <c r="R880" s="4" t="s">
        <v>2272</v>
      </c>
      <c r="S880" s="4" t="s">
        <v>2272</v>
      </c>
      <c r="T880" s="3" t="s">
        <v>5691</v>
      </c>
    </row>
    <row r="881" spans="1:20" ht="37.5" customHeight="1">
      <c r="A881" s="11" t="s">
        <v>5709</v>
      </c>
      <c r="B881" s="3" t="s">
        <v>1193</v>
      </c>
      <c r="C881" s="3" t="s">
        <v>2640</v>
      </c>
      <c r="D881" s="3" t="s">
        <v>135</v>
      </c>
      <c r="E881" s="3" t="s">
        <v>2647</v>
      </c>
      <c r="F881" s="4" t="s">
        <v>394</v>
      </c>
      <c r="G881" s="3" t="s">
        <v>114</v>
      </c>
      <c r="H881" s="4" t="s">
        <v>2272</v>
      </c>
      <c r="I881" s="4" t="s">
        <v>2272</v>
      </c>
      <c r="J881" s="4" t="s">
        <v>2272</v>
      </c>
      <c r="K881" s="4" t="s">
        <v>2272</v>
      </c>
      <c r="L881" s="4" t="s">
        <v>2272</v>
      </c>
      <c r="M881" s="4" t="s">
        <v>2272</v>
      </c>
      <c r="N881" s="4" t="s">
        <v>2272</v>
      </c>
      <c r="O881" s="4" t="s">
        <v>2272</v>
      </c>
      <c r="P881" s="4" t="s">
        <v>2272</v>
      </c>
      <c r="Q881" s="4" t="s">
        <v>2272</v>
      </c>
      <c r="R881" s="4" t="s">
        <v>2272</v>
      </c>
      <c r="S881" s="4" t="s">
        <v>2272</v>
      </c>
      <c r="T881" s="3"/>
    </row>
    <row r="882" spans="1:20" ht="29">
      <c r="A882" s="19" t="s">
        <v>5717</v>
      </c>
      <c r="B882" s="4" t="s">
        <v>2272</v>
      </c>
      <c r="C882" s="4" t="s">
        <v>11</v>
      </c>
      <c r="D882" s="4" t="s">
        <v>394</v>
      </c>
      <c r="E882" s="4" t="s">
        <v>3849</v>
      </c>
      <c r="F882" s="3" t="s">
        <v>2647</v>
      </c>
      <c r="G882" s="4" t="s">
        <v>2272</v>
      </c>
      <c r="H882" s="4" t="s">
        <v>2272</v>
      </c>
      <c r="I882" s="4" t="s">
        <v>2272</v>
      </c>
      <c r="J882" s="4" t="s">
        <v>2272</v>
      </c>
      <c r="K882" s="4" t="s">
        <v>2272</v>
      </c>
      <c r="L882" s="4" t="s">
        <v>2272</v>
      </c>
      <c r="M882" s="4" t="s">
        <v>2272</v>
      </c>
      <c r="N882" s="4" t="s">
        <v>2272</v>
      </c>
      <c r="O882" s="4" t="s">
        <v>2272</v>
      </c>
      <c r="P882" s="4" t="s">
        <v>2272</v>
      </c>
      <c r="Q882" s="4" t="s">
        <v>2272</v>
      </c>
      <c r="R882" s="4" t="s">
        <v>2272</v>
      </c>
      <c r="S882" s="4" t="s">
        <v>2272</v>
      </c>
      <c r="T882" s="3"/>
    </row>
    <row r="883" spans="1:20" ht="29">
      <c r="A883" s="19" t="s">
        <v>5720</v>
      </c>
      <c r="B883" s="4" t="s">
        <v>2272</v>
      </c>
      <c r="C883" s="4" t="s">
        <v>11</v>
      </c>
      <c r="D883" s="4" t="s">
        <v>394</v>
      </c>
      <c r="E883" s="4" t="s">
        <v>395</v>
      </c>
      <c r="F883" s="3" t="s">
        <v>2647</v>
      </c>
      <c r="G883" s="4" t="s">
        <v>2272</v>
      </c>
      <c r="H883" s="4" t="s">
        <v>2272</v>
      </c>
      <c r="I883" s="4" t="s">
        <v>2272</v>
      </c>
      <c r="J883" s="4" t="s">
        <v>2272</v>
      </c>
      <c r="K883" s="4" t="s">
        <v>2272</v>
      </c>
      <c r="L883" s="4" t="s">
        <v>2272</v>
      </c>
      <c r="M883" s="4" t="s">
        <v>2272</v>
      </c>
      <c r="N883" s="4" t="s">
        <v>2272</v>
      </c>
      <c r="O883" s="4" t="s">
        <v>2272</v>
      </c>
      <c r="P883" s="4" t="s">
        <v>2272</v>
      </c>
      <c r="Q883" s="4" t="s">
        <v>2272</v>
      </c>
      <c r="R883" s="4" t="s">
        <v>2272</v>
      </c>
      <c r="S883" s="4" t="s">
        <v>2272</v>
      </c>
      <c r="T883" s="3"/>
    </row>
    <row r="884" spans="1:20" ht="29">
      <c r="A884" s="19" t="s">
        <v>5721</v>
      </c>
      <c r="B884" s="4" t="s">
        <v>2272</v>
      </c>
      <c r="C884" s="4" t="s">
        <v>11</v>
      </c>
      <c r="D884" s="4" t="s">
        <v>394</v>
      </c>
      <c r="E884" s="4" t="s">
        <v>395</v>
      </c>
      <c r="F884" s="3" t="s">
        <v>2647</v>
      </c>
      <c r="G884" s="4" t="s">
        <v>2272</v>
      </c>
      <c r="H884" s="4" t="s">
        <v>2272</v>
      </c>
      <c r="I884" s="4" t="s">
        <v>2272</v>
      </c>
      <c r="J884" s="4" t="s">
        <v>2272</v>
      </c>
      <c r="K884" s="4" t="s">
        <v>2272</v>
      </c>
      <c r="L884" s="4" t="s">
        <v>2272</v>
      </c>
      <c r="M884" s="4" t="s">
        <v>2272</v>
      </c>
      <c r="N884" s="4" t="s">
        <v>2272</v>
      </c>
      <c r="O884" s="4" t="s">
        <v>2272</v>
      </c>
      <c r="P884" s="4" t="s">
        <v>2272</v>
      </c>
      <c r="Q884" s="4" t="s">
        <v>2272</v>
      </c>
      <c r="R884" s="4" t="s">
        <v>2272</v>
      </c>
      <c r="S884" s="4" t="s">
        <v>2272</v>
      </c>
      <c r="T884" s="3"/>
    </row>
    <row r="885" spans="1:20" ht="29">
      <c r="A885" s="19" t="s">
        <v>5722</v>
      </c>
      <c r="B885" s="4" t="s">
        <v>2272</v>
      </c>
      <c r="C885" s="4" t="s">
        <v>11</v>
      </c>
      <c r="D885" s="4" t="s">
        <v>394</v>
      </c>
      <c r="E885" s="4" t="s">
        <v>395</v>
      </c>
      <c r="F885" s="3" t="s">
        <v>2647</v>
      </c>
      <c r="G885" s="4" t="s">
        <v>2272</v>
      </c>
      <c r="H885" s="4" t="s">
        <v>2272</v>
      </c>
      <c r="I885" s="4" t="s">
        <v>2272</v>
      </c>
      <c r="J885" s="4" t="s">
        <v>2272</v>
      </c>
      <c r="K885" s="4" t="s">
        <v>2272</v>
      </c>
      <c r="L885" s="4" t="s">
        <v>2272</v>
      </c>
      <c r="M885" s="4" t="s">
        <v>2272</v>
      </c>
      <c r="N885" s="4" t="s">
        <v>2272</v>
      </c>
      <c r="O885" s="4" t="s">
        <v>2272</v>
      </c>
      <c r="P885" s="4" t="s">
        <v>2272</v>
      </c>
      <c r="Q885" s="4" t="s">
        <v>2272</v>
      </c>
      <c r="R885" s="4" t="s">
        <v>2272</v>
      </c>
      <c r="S885" s="4" t="s">
        <v>2272</v>
      </c>
      <c r="T885" s="3"/>
    </row>
    <row r="886" spans="1:20" ht="29" customHeight="1">
      <c r="A886" s="19" t="s">
        <v>5733</v>
      </c>
      <c r="B886" s="4" t="s">
        <v>2272</v>
      </c>
      <c r="C886" s="4" t="s">
        <v>11</v>
      </c>
      <c r="D886" s="3" t="s">
        <v>44</v>
      </c>
      <c r="E886" s="4" t="s">
        <v>395</v>
      </c>
      <c r="F886" s="4" t="s">
        <v>2272</v>
      </c>
      <c r="G886" s="4" t="s">
        <v>2272</v>
      </c>
      <c r="H886" s="21">
        <v>1.52</v>
      </c>
      <c r="I886" s="3">
        <v>1</v>
      </c>
      <c r="J886" s="4" t="s">
        <v>2272</v>
      </c>
      <c r="K886" s="4" t="s">
        <v>2272</v>
      </c>
      <c r="L886" s="4" t="s">
        <v>2272</v>
      </c>
      <c r="M886" s="4" t="s">
        <v>2272</v>
      </c>
      <c r="N886" s="4" t="s">
        <v>2272</v>
      </c>
      <c r="O886" s="21">
        <f>959/(8783/152)/2</f>
        <v>8.2983035409313448</v>
      </c>
      <c r="P886" s="21">
        <f>959/(8783/152)/2</f>
        <v>8.2983035409313448</v>
      </c>
      <c r="Q886" s="4" t="s">
        <v>2272</v>
      </c>
      <c r="R886" s="21">
        <v>72</v>
      </c>
      <c r="S886" s="4" t="s">
        <v>2272</v>
      </c>
      <c r="T886" s="3" t="s">
        <v>5739</v>
      </c>
    </row>
    <row r="887" spans="1:20" ht="29" customHeight="1">
      <c r="A887" s="19" t="s">
        <v>5737</v>
      </c>
      <c r="B887" s="4" t="s">
        <v>2272</v>
      </c>
      <c r="C887" s="4" t="s">
        <v>11</v>
      </c>
      <c r="D887" s="3" t="s">
        <v>44</v>
      </c>
      <c r="E887" s="4" t="s">
        <v>395</v>
      </c>
      <c r="F887" s="4" t="s">
        <v>2272</v>
      </c>
      <c r="G887" s="4" t="s">
        <v>2272</v>
      </c>
      <c r="H887" s="21">
        <v>1.07</v>
      </c>
      <c r="I887" s="3">
        <v>1</v>
      </c>
      <c r="J887" s="4" t="s">
        <v>2272</v>
      </c>
      <c r="K887" s="4" t="s">
        <v>2272</v>
      </c>
      <c r="L887" s="4" t="s">
        <v>2272</v>
      </c>
      <c r="M887" s="4" t="s">
        <v>2272</v>
      </c>
      <c r="N887" s="4" t="s">
        <v>2272</v>
      </c>
      <c r="O887" s="21">
        <f>973/(4454/107)/2</f>
        <v>11.687359676695106</v>
      </c>
      <c r="P887" s="21">
        <f>973/(4454/107)/2</f>
        <v>11.687359676695106</v>
      </c>
      <c r="Q887" s="4" t="s">
        <v>2272</v>
      </c>
      <c r="R887" s="21">
        <v>36.049999999999997</v>
      </c>
      <c r="S887" s="4" t="s">
        <v>2272</v>
      </c>
      <c r="T887" s="3" t="s">
        <v>5739</v>
      </c>
    </row>
    <row r="888" spans="1:20" ht="29" customHeight="1">
      <c r="A888" s="19" t="s">
        <v>5738</v>
      </c>
      <c r="B888" s="4" t="s">
        <v>2272</v>
      </c>
      <c r="C888" s="4" t="s">
        <v>11</v>
      </c>
      <c r="D888" s="3" t="s">
        <v>44</v>
      </c>
      <c r="E888" s="4" t="s">
        <v>395</v>
      </c>
      <c r="F888" s="4" t="s">
        <v>2272</v>
      </c>
      <c r="G888" s="4" t="s">
        <v>2272</v>
      </c>
      <c r="H888" s="21">
        <v>1.1000000000000001</v>
      </c>
      <c r="I888" s="3">
        <v>1</v>
      </c>
      <c r="J888" s="4" t="s">
        <v>2272</v>
      </c>
      <c r="K888" s="4" t="s">
        <v>2272</v>
      </c>
      <c r="L888" s="4" t="s">
        <v>2272</v>
      </c>
      <c r="M888" s="4" t="s">
        <v>2272</v>
      </c>
      <c r="N888" s="4" t="s">
        <v>2272</v>
      </c>
      <c r="O888" s="21">
        <f>959/(8783/152)/2</f>
        <v>8.2983035409313448</v>
      </c>
      <c r="P888" s="21">
        <f>959/(8783/152)/2</f>
        <v>8.2983035409313448</v>
      </c>
      <c r="Q888" s="4" t="s">
        <v>2272</v>
      </c>
      <c r="R888" s="21">
        <v>22.58</v>
      </c>
      <c r="S888" s="4" t="s">
        <v>2272</v>
      </c>
      <c r="T888" s="3" t="s">
        <v>5739</v>
      </c>
    </row>
    <row r="889" spans="1:20" ht="28" customHeight="1">
      <c r="A889" s="19" t="s">
        <v>5773</v>
      </c>
      <c r="B889" s="3" t="s">
        <v>31</v>
      </c>
      <c r="C889" s="3" t="s">
        <v>2640</v>
      </c>
      <c r="D889" s="4" t="s">
        <v>2272</v>
      </c>
      <c r="E889" s="4" t="s">
        <v>2272</v>
      </c>
      <c r="F889" s="4" t="s">
        <v>2272</v>
      </c>
      <c r="G889" s="4" t="s">
        <v>2272</v>
      </c>
      <c r="H889" s="4" t="s">
        <v>2272</v>
      </c>
      <c r="I889" s="4" t="s">
        <v>2272</v>
      </c>
      <c r="J889" s="4" t="s">
        <v>2272</v>
      </c>
      <c r="K889" s="4" t="s">
        <v>2272</v>
      </c>
      <c r="L889" s="4" t="s">
        <v>2272</v>
      </c>
      <c r="M889" s="4" t="s">
        <v>2272</v>
      </c>
      <c r="N889" s="4" t="s">
        <v>2272</v>
      </c>
      <c r="O889" s="4" t="s">
        <v>2272</v>
      </c>
      <c r="P889" s="4" t="s">
        <v>2272</v>
      </c>
      <c r="Q889" s="4" t="s">
        <v>2272</v>
      </c>
      <c r="R889" s="4" t="s">
        <v>2272</v>
      </c>
      <c r="S889" s="4" t="s">
        <v>2272</v>
      </c>
      <c r="T889" s="3"/>
    </row>
    <row r="890" spans="1:20" ht="28" customHeight="1">
      <c r="A890" s="19" t="s">
        <v>5774</v>
      </c>
      <c r="B890" s="3" t="s">
        <v>1193</v>
      </c>
      <c r="C890" s="3" t="s">
        <v>11</v>
      </c>
      <c r="D890" s="3" t="s">
        <v>114</v>
      </c>
      <c r="E890" s="4" t="s">
        <v>2272</v>
      </c>
      <c r="F890" s="4" t="s">
        <v>2272</v>
      </c>
      <c r="G890" s="4" t="s">
        <v>2272</v>
      </c>
      <c r="H890" s="4" t="s">
        <v>2272</v>
      </c>
      <c r="I890" s="4" t="s">
        <v>2272</v>
      </c>
      <c r="J890" s="4" t="s">
        <v>2272</v>
      </c>
      <c r="K890" s="4" t="s">
        <v>2272</v>
      </c>
      <c r="L890" s="4" t="s">
        <v>2272</v>
      </c>
      <c r="M890" s="4" t="s">
        <v>2272</v>
      </c>
      <c r="N890" s="4" t="s">
        <v>2272</v>
      </c>
      <c r="O890" s="4" t="s">
        <v>2272</v>
      </c>
      <c r="P890" s="4" t="s">
        <v>2272</v>
      </c>
      <c r="Q890" s="4" t="s">
        <v>2272</v>
      </c>
      <c r="R890" s="4" t="s">
        <v>2272</v>
      </c>
      <c r="S890" s="4" t="s">
        <v>2272</v>
      </c>
      <c r="T890" s="3"/>
    </row>
    <row r="891" spans="1:20" ht="27.5" customHeight="1">
      <c r="A891" s="19" t="s">
        <v>5791</v>
      </c>
      <c r="B891" s="4" t="s">
        <v>2272</v>
      </c>
      <c r="C891" s="4" t="s">
        <v>2641</v>
      </c>
      <c r="D891" s="4" t="s">
        <v>2647</v>
      </c>
      <c r="E891" s="11" t="s">
        <v>5795</v>
      </c>
      <c r="F891" s="4" t="s">
        <v>394</v>
      </c>
      <c r="G891" s="4" t="s">
        <v>2272</v>
      </c>
      <c r="H891" s="4" t="s">
        <v>2272</v>
      </c>
      <c r="I891" s="4" t="s">
        <v>2272</v>
      </c>
      <c r="J891" s="4" t="s">
        <v>2272</v>
      </c>
      <c r="K891" s="4" t="s">
        <v>2272</v>
      </c>
      <c r="L891" s="4" t="s">
        <v>2272</v>
      </c>
      <c r="M891" s="4" t="s">
        <v>2272</v>
      </c>
      <c r="N891" s="4" t="s">
        <v>2272</v>
      </c>
      <c r="O891" s="4" t="s">
        <v>2272</v>
      </c>
      <c r="P891" s="21">
        <v>12.8</v>
      </c>
      <c r="Q891" s="21">
        <v>7.5</v>
      </c>
      <c r="R891" s="21">
        <f>38.2+8.4+27.3+0.1</f>
        <v>74</v>
      </c>
      <c r="S891" s="4" t="s">
        <v>2272</v>
      </c>
      <c r="T891" s="11" t="s">
        <v>5794</v>
      </c>
    </row>
    <row r="892" spans="1:20" ht="31" customHeight="1">
      <c r="A892" s="19" t="s">
        <v>5810</v>
      </c>
      <c r="B892" s="3" t="s">
        <v>2254</v>
      </c>
      <c r="C892" s="3" t="s">
        <v>11</v>
      </c>
      <c r="D892" s="4" t="s">
        <v>394</v>
      </c>
      <c r="E892" s="4" t="s">
        <v>394</v>
      </c>
      <c r="F892" s="4" t="s">
        <v>128</v>
      </c>
      <c r="G892" s="4" t="s">
        <v>135</v>
      </c>
      <c r="H892" s="4" t="s">
        <v>2272</v>
      </c>
      <c r="I892" s="4" t="s">
        <v>2272</v>
      </c>
      <c r="J892" s="4" t="s">
        <v>2272</v>
      </c>
      <c r="K892" s="4" t="s">
        <v>2272</v>
      </c>
      <c r="L892" s="4" t="s">
        <v>2272</v>
      </c>
      <c r="M892" s="4" t="s">
        <v>2272</v>
      </c>
      <c r="N892" s="4" t="s">
        <v>2272</v>
      </c>
      <c r="O892" s="4" t="s">
        <v>2272</v>
      </c>
      <c r="P892" s="4" t="s">
        <v>2272</v>
      </c>
      <c r="Q892" s="4" t="s">
        <v>2272</v>
      </c>
      <c r="R892" s="4" t="s">
        <v>2272</v>
      </c>
      <c r="S892" s="4" t="s">
        <v>2272</v>
      </c>
      <c r="T892" s="3"/>
    </row>
    <row r="893" spans="1:20" ht="32" customHeight="1">
      <c r="A893" s="19" t="s">
        <v>5811</v>
      </c>
      <c r="B893" s="3" t="s">
        <v>2254</v>
      </c>
      <c r="C893" s="3" t="s">
        <v>11</v>
      </c>
      <c r="D893" s="4" t="s">
        <v>128</v>
      </c>
      <c r="E893" s="4" t="s">
        <v>394</v>
      </c>
      <c r="F893" s="4" t="s">
        <v>82</v>
      </c>
      <c r="G893" s="4" t="s">
        <v>135</v>
      </c>
      <c r="H893" s="4" t="s">
        <v>2272</v>
      </c>
      <c r="I893" s="4" t="s">
        <v>2272</v>
      </c>
      <c r="J893" s="4" t="s">
        <v>2272</v>
      </c>
      <c r="K893" s="4" t="s">
        <v>2272</v>
      </c>
      <c r="L893" s="4" t="s">
        <v>2272</v>
      </c>
      <c r="M893" s="4" t="s">
        <v>2272</v>
      </c>
      <c r="N893" s="4" t="s">
        <v>2272</v>
      </c>
      <c r="O893" s="4" t="s">
        <v>2272</v>
      </c>
      <c r="P893" s="4" t="s">
        <v>2272</v>
      </c>
      <c r="Q893" s="4" t="s">
        <v>2272</v>
      </c>
      <c r="R893" s="4" t="s">
        <v>2272</v>
      </c>
      <c r="S893" s="4" t="s">
        <v>2272</v>
      </c>
      <c r="T893" s="3"/>
    </row>
    <row r="894" spans="1:20" ht="36" customHeight="1">
      <c r="A894" s="19" t="s">
        <v>5822</v>
      </c>
      <c r="B894" s="3" t="s">
        <v>2272</v>
      </c>
      <c r="C894" s="3" t="s">
        <v>393</v>
      </c>
      <c r="D894" s="4" t="s">
        <v>128</v>
      </c>
      <c r="E894" s="4" t="s">
        <v>3849</v>
      </c>
      <c r="F894" s="4" t="s">
        <v>2272</v>
      </c>
      <c r="G894" s="4" t="s">
        <v>2272</v>
      </c>
      <c r="H894" s="4" t="s">
        <v>2272</v>
      </c>
      <c r="I894" s="4" t="s">
        <v>2272</v>
      </c>
      <c r="J894" s="4" t="s">
        <v>2272</v>
      </c>
      <c r="K894" s="4" t="s">
        <v>2272</v>
      </c>
      <c r="L894" s="4" t="s">
        <v>2272</v>
      </c>
      <c r="M894" s="4" t="s">
        <v>2272</v>
      </c>
      <c r="N894" s="4" t="s">
        <v>2272</v>
      </c>
      <c r="O894" s="4" t="s">
        <v>2272</v>
      </c>
      <c r="P894" s="21">
        <v>10</v>
      </c>
      <c r="Q894" s="21"/>
      <c r="R894" s="4" t="s">
        <v>2272</v>
      </c>
      <c r="S894" s="4" t="s">
        <v>2272</v>
      </c>
      <c r="T894" s="3"/>
    </row>
    <row r="895" spans="1:20" ht="36.5" customHeight="1">
      <c r="A895" s="19" t="s">
        <v>5831</v>
      </c>
      <c r="B895" s="3" t="s">
        <v>2272</v>
      </c>
      <c r="C895" s="3" t="s">
        <v>11</v>
      </c>
      <c r="D895" s="3" t="s">
        <v>44</v>
      </c>
      <c r="E895" s="4" t="s">
        <v>2272</v>
      </c>
      <c r="F895" s="4" t="s">
        <v>2272</v>
      </c>
      <c r="G895" s="4" t="s">
        <v>2272</v>
      </c>
      <c r="H895" s="4" t="s">
        <v>2272</v>
      </c>
      <c r="I895" s="4" t="s">
        <v>2272</v>
      </c>
      <c r="J895" s="4" t="s">
        <v>2272</v>
      </c>
      <c r="K895" s="4" t="s">
        <v>2272</v>
      </c>
      <c r="L895" s="4" t="s">
        <v>2272</v>
      </c>
      <c r="M895" s="4" t="s">
        <v>2272</v>
      </c>
      <c r="N895" s="4" t="s">
        <v>2272</v>
      </c>
      <c r="O895" s="4" t="s">
        <v>2272</v>
      </c>
      <c r="P895" s="4" t="s">
        <v>2272</v>
      </c>
      <c r="Q895" s="4" t="s">
        <v>2272</v>
      </c>
      <c r="R895" s="4" t="s">
        <v>2272</v>
      </c>
      <c r="S895" s="4" t="s">
        <v>2272</v>
      </c>
      <c r="T895" s="3"/>
    </row>
    <row r="896" spans="1:20" ht="34.5" customHeight="1">
      <c r="A896" s="3" t="s">
        <v>5838</v>
      </c>
      <c r="B896" s="3" t="s">
        <v>1193</v>
      </c>
      <c r="C896" s="3" t="s">
        <v>393</v>
      </c>
      <c r="D896" s="3" t="s">
        <v>2647</v>
      </c>
      <c r="E896" s="3" t="s">
        <v>135</v>
      </c>
      <c r="F896" s="3" t="s">
        <v>114</v>
      </c>
      <c r="G896" s="3" t="s">
        <v>5000</v>
      </c>
      <c r="H896" s="4" t="s">
        <v>2272</v>
      </c>
      <c r="I896" s="4" t="s">
        <v>2272</v>
      </c>
      <c r="J896" s="4" t="s">
        <v>2272</v>
      </c>
      <c r="K896" s="4" t="s">
        <v>2272</v>
      </c>
      <c r="L896" s="4" t="s">
        <v>2272</v>
      </c>
      <c r="M896" s="4" t="s">
        <v>2272</v>
      </c>
      <c r="N896" s="4" t="s">
        <v>2272</v>
      </c>
      <c r="O896" s="4" t="s">
        <v>2272</v>
      </c>
      <c r="P896" s="4" t="s">
        <v>2272</v>
      </c>
      <c r="Q896" s="4" t="s">
        <v>2272</v>
      </c>
      <c r="R896" s="4" t="s">
        <v>2272</v>
      </c>
      <c r="S896" s="4" t="s">
        <v>2272</v>
      </c>
      <c r="T896" s="3"/>
    </row>
    <row r="897" spans="1:20" ht="33" customHeight="1">
      <c r="A897" s="19" t="s">
        <v>5843</v>
      </c>
      <c r="B897" s="3" t="s">
        <v>1193</v>
      </c>
      <c r="C897" s="3" t="s">
        <v>11</v>
      </c>
      <c r="D897" s="3" t="s">
        <v>5000</v>
      </c>
      <c r="E897" s="3" t="s">
        <v>44</v>
      </c>
      <c r="F897" s="4" t="s">
        <v>135</v>
      </c>
      <c r="G897" s="4" t="s">
        <v>2272</v>
      </c>
      <c r="H897" s="4" t="s">
        <v>2272</v>
      </c>
      <c r="I897" s="4" t="s">
        <v>2272</v>
      </c>
      <c r="J897" s="4" t="s">
        <v>2272</v>
      </c>
      <c r="K897" s="4" t="s">
        <v>2272</v>
      </c>
      <c r="L897" s="4" t="s">
        <v>2272</v>
      </c>
      <c r="M897" s="4" t="s">
        <v>2272</v>
      </c>
      <c r="N897" s="4" t="s">
        <v>2272</v>
      </c>
      <c r="O897" s="4" t="s">
        <v>2272</v>
      </c>
      <c r="P897" s="4" t="s">
        <v>2272</v>
      </c>
      <c r="Q897" s="4" t="s">
        <v>2272</v>
      </c>
      <c r="R897" s="4" t="s">
        <v>2272</v>
      </c>
      <c r="S897" s="4" t="s">
        <v>2272</v>
      </c>
      <c r="T897" s="3"/>
    </row>
    <row r="898" spans="1:20" ht="30" customHeight="1">
      <c r="A898" s="19" t="s">
        <v>5848</v>
      </c>
      <c r="B898" s="3" t="s">
        <v>1193</v>
      </c>
      <c r="C898" s="3" t="s">
        <v>11</v>
      </c>
      <c r="D898" s="3" t="s">
        <v>860</v>
      </c>
      <c r="E898" s="3" t="s">
        <v>5000</v>
      </c>
      <c r="F898" s="3" t="s">
        <v>128</v>
      </c>
      <c r="G898" s="4" t="s">
        <v>135</v>
      </c>
      <c r="H898" s="4" t="s">
        <v>2272</v>
      </c>
      <c r="I898" s="4" t="s">
        <v>2272</v>
      </c>
      <c r="J898" s="4" t="s">
        <v>2272</v>
      </c>
      <c r="K898" s="3" t="s">
        <v>532</v>
      </c>
      <c r="L898" s="4" t="s">
        <v>2272</v>
      </c>
      <c r="M898" s="4" t="s">
        <v>2272</v>
      </c>
      <c r="N898" s="4" t="s">
        <v>2272</v>
      </c>
      <c r="O898" s="4" t="s">
        <v>2272</v>
      </c>
      <c r="P898" s="4" t="s">
        <v>2272</v>
      </c>
      <c r="Q898" s="4" t="s">
        <v>2272</v>
      </c>
      <c r="R898" s="4" t="s">
        <v>2272</v>
      </c>
      <c r="S898" s="4" t="s">
        <v>2272</v>
      </c>
      <c r="T898" s="3"/>
    </row>
    <row r="899" spans="1:20" ht="30" customHeight="1">
      <c r="A899" s="19" t="s">
        <v>5853</v>
      </c>
      <c r="B899" s="3" t="s">
        <v>1193</v>
      </c>
      <c r="C899" s="3" t="s">
        <v>11</v>
      </c>
      <c r="D899" s="3" t="s">
        <v>5000</v>
      </c>
      <c r="E899" s="4" t="s">
        <v>135</v>
      </c>
      <c r="F899" s="4" t="s">
        <v>2272</v>
      </c>
      <c r="G899" s="4" t="s">
        <v>2272</v>
      </c>
      <c r="H899" s="4" t="s">
        <v>2272</v>
      </c>
      <c r="I899" s="4" t="s">
        <v>2272</v>
      </c>
      <c r="J899" s="4" t="s">
        <v>2272</v>
      </c>
      <c r="K899" s="4" t="s">
        <v>2272</v>
      </c>
      <c r="L899" s="4" t="s">
        <v>2272</v>
      </c>
      <c r="M899" s="4" t="s">
        <v>2272</v>
      </c>
      <c r="N899" s="4" t="s">
        <v>2272</v>
      </c>
      <c r="O899" s="4" t="s">
        <v>2272</v>
      </c>
      <c r="P899" s="4" t="s">
        <v>2272</v>
      </c>
      <c r="Q899" s="4" t="s">
        <v>2272</v>
      </c>
      <c r="R899" s="4" t="s">
        <v>2272</v>
      </c>
      <c r="S899" s="4" t="s">
        <v>2272</v>
      </c>
      <c r="T899" s="3"/>
    </row>
    <row r="900" spans="1:20" ht="30" customHeight="1">
      <c r="A900" s="19" t="s">
        <v>5854</v>
      </c>
      <c r="B900" s="3" t="s">
        <v>1193</v>
      </c>
      <c r="C900" s="3" t="s">
        <v>11</v>
      </c>
      <c r="D900" s="3" t="s">
        <v>114</v>
      </c>
      <c r="E900" s="4" t="s">
        <v>2272</v>
      </c>
      <c r="F900" s="4" t="s">
        <v>2272</v>
      </c>
      <c r="G900" s="4" t="s">
        <v>2272</v>
      </c>
      <c r="H900" s="4" t="s">
        <v>2272</v>
      </c>
      <c r="I900" s="4" t="s">
        <v>2272</v>
      </c>
      <c r="J900" s="4" t="s">
        <v>2272</v>
      </c>
      <c r="K900" s="4" t="s">
        <v>2272</v>
      </c>
      <c r="L900" s="4" t="s">
        <v>2272</v>
      </c>
      <c r="M900" s="4" t="s">
        <v>2272</v>
      </c>
      <c r="N900" s="4" t="s">
        <v>2272</v>
      </c>
      <c r="O900" s="4" t="s">
        <v>2272</v>
      </c>
      <c r="P900" s="4" t="s">
        <v>2272</v>
      </c>
      <c r="Q900" s="4" t="s">
        <v>2272</v>
      </c>
      <c r="R900" s="4" t="s">
        <v>2272</v>
      </c>
      <c r="S900" s="4" t="s">
        <v>2272</v>
      </c>
      <c r="T900" s="3"/>
    </row>
    <row r="901" spans="1:20" ht="30" customHeight="1">
      <c r="A901" s="19" t="s">
        <v>5855</v>
      </c>
      <c r="B901" s="3" t="s">
        <v>1193</v>
      </c>
      <c r="C901" s="3" t="s">
        <v>11</v>
      </c>
      <c r="D901" s="4" t="s">
        <v>135</v>
      </c>
      <c r="E901" s="4" t="s">
        <v>2272</v>
      </c>
      <c r="F901" s="4" t="s">
        <v>2272</v>
      </c>
      <c r="G901" s="4" t="s">
        <v>2272</v>
      </c>
      <c r="H901" s="4" t="s">
        <v>2272</v>
      </c>
      <c r="I901" s="4" t="s">
        <v>2272</v>
      </c>
      <c r="J901" s="4" t="s">
        <v>2272</v>
      </c>
      <c r="K901" s="4" t="s">
        <v>2272</v>
      </c>
      <c r="L901" s="4" t="s">
        <v>2272</v>
      </c>
      <c r="M901" s="4" t="s">
        <v>2272</v>
      </c>
      <c r="N901" s="4" t="s">
        <v>2272</v>
      </c>
      <c r="O901" s="4" t="s">
        <v>2272</v>
      </c>
      <c r="P901" s="4" t="s">
        <v>2272</v>
      </c>
      <c r="Q901" s="4" t="s">
        <v>2272</v>
      </c>
      <c r="R901" s="4" t="s">
        <v>2272</v>
      </c>
      <c r="S901" s="4" t="s">
        <v>2272</v>
      </c>
      <c r="T901" s="3"/>
    </row>
    <row r="902" spans="1:20" ht="31.5" customHeight="1">
      <c r="A902" s="19" t="s">
        <v>5856</v>
      </c>
      <c r="B902" s="3" t="s">
        <v>2272</v>
      </c>
      <c r="C902" s="3" t="s">
        <v>2641</v>
      </c>
      <c r="D902" s="3" t="s">
        <v>2648</v>
      </c>
      <c r="E902" s="3" t="s">
        <v>2647</v>
      </c>
      <c r="F902" s="3" t="s">
        <v>44</v>
      </c>
      <c r="G902" s="4" t="s">
        <v>2272</v>
      </c>
      <c r="H902" s="4" t="s">
        <v>2272</v>
      </c>
      <c r="I902" s="4" t="s">
        <v>2272</v>
      </c>
      <c r="J902" s="4" t="s">
        <v>2272</v>
      </c>
      <c r="K902" s="4" t="s">
        <v>2272</v>
      </c>
      <c r="L902" s="4" t="s">
        <v>2272</v>
      </c>
      <c r="M902" s="4" t="s">
        <v>2272</v>
      </c>
      <c r="N902" s="4" t="s">
        <v>2272</v>
      </c>
      <c r="O902" s="4" t="s">
        <v>2272</v>
      </c>
      <c r="P902" s="4" t="s">
        <v>2272</v>
      </c>
      <c r="Q902" s="4" t="s">
        <v>2272</v>
      </c>
      <c r="R902" s="4" t="s">
        <v>2272</v>
      </c>
      <c r="S902" s="4" t="s">
        <v>2272</v>
      </c>
      <c r="T902" s="3"/>
    </row>
    <row r="903" spans="1:20" ht="37" customHeight="1">
      <c r="A903" s="19" t="s">
        <v>5873</v>
      </c>
      <c r="B903" s="3" t="s">
        <v>2272</v>
      </c>
      <c r="C903" s="3" t="s">
        <v>2641</v>
      </c>
      <c r="D903" s="3" t="s">
        <v>2648</v>
      </c>
      <c r="E903" s="3" t="s">
        <v>2647</v>
      </c>
      <c r="F903" s="3" t="s">
        <v>2272</v>
      </c>
      <c r="G903" s="3" t="s">
        <v>2272</v>
      </c>
      <c r="H903" s="3" t="s">
        <v>2272</v>
      </c>
      <c r="I903" s="3" t="s">
        <v>2272</v>
      </c>
      <c r="J903" s="3" t="s">
        <v>2272</v>
      </c>
      <c r="K903" s="3" t="s">
        <v>2272</v>
      </c>
      <c r="L903" s="3" t="s">
        <v>2272</v>
      </c>
      <c r="M903" s="3" t="s">
        <v>2272</v>
      </c>
      <c r="N903" s="3" t="s">
        <v>2272</v>
      </c>
      <c r="O903" s="3" t="s">
        <v>2272</v>
      </c>
      <c r="P903" s="3" t="s">
        <v>2272</v>
      </c>
      <c r="Q903" s="3" t="s">
        <v>2272</v>
      </c>
      <c r="R903" s="3" t="s">
        <v>2272</v>
      </c>
      <c r="S903" s="3" t="s">
        <v>2272</v>
      </c>
      <c r="T903" s="3"/>
    </row>
    <row r="904" spans="1:20" ht="27.5" customHeight="1">
      <c r="A904" s="19" t="s">
        <v>5869</v>
      </c>
      <c r="B904" s="3" t="s">
        <v>31</v>
      </c>
      <c r="C904" s="3" t="s">
        <v>2641</v>
      </c>
      <c r="D904" s="3" t="s">
        <v>2642</v>
      </c>
      <c r="E904" s="3" t="s">
        <v>2647</v>
      </c>
      <c r="F904" s="3" t="s">
        <v>135</v>
      </c>
      <c r="G904" s="3" t="s">
        <v>2272</v>
      </c>
      <c r="H904" s="3" t="s">
        <v>2272</v>
      </c>
      <c r="I904" s="3">
        <v>157.5</v>
      </c>
      <c r="J904" s="3" t="s">
        <v>2272</v>
      </c>
      <c r="K904" s="3" t="s">
        <v>2272</v>
      </c>
      <c r="L904" s="3" t="s">
        <v>2272</v>
      </c>
      <c r="M904" s="3" t="s">
        <v>2272</v>
      </c>
      <c r="N904" s="3" t="s">
        <v>2272</v>
      </c>
      <c r="O904" s="3" t="s">
        <v>2272</v>
      </c>
      <c r="P904" s="3" t="s">
        <v>2272</v>
      </c>
      <c r="Q904" s="3" t="s">
        <v>2272</v>
      </c>
      <c r="R904" s="3" t="s">
        <v>2272</v>
      </c>
      <c r="S904" s="3" t="s">
        <v>2272</v>
      </c>
      <c r="T904" s="3"/>
    </row>
    <row r="905" spans="1:20" ht="33.5" customHeight="1">
      <c r="A905" s="19" t="s">
        <v>5893</v>
      </c>
      <c r="B905" s="3" t="s">
        <v>69</v>
      </c>
      <c r="C905" s="3" t="s">
        <v>2641</v>
      </c>
      <c r="D905" s="3" t="s">
        <v>2642</v>
      </c>
      <c r="E905" s="3" t="s">
        <v>2647</v>
      </c>
      <c r="F905" s="3" t="s">
        <v>2272</v>
      </c>
      <c r="G905" s="3" t="s">
        <v>2272</v>
      </c>
      <c r="H905" s="3" t="s">
        <v>2272</v>
      </c>
      <c r="I905" s="3" t="s">
        <v>2272</v>
      </c>
      <c r="J905" s="3" t="s">
        <v>2272</v>
      </c>
      <c r="K905" s="3" t="s">
        <v>2272</v>
      </c>
      <c r="L905" s="3" t="s">
        <v>2272</v>
      </c>
      <c r="M905" s="3" t="s">
        <v>2272</v>
      </c>
      <c r="N905" s="3" t="s">
        <v>2272</v>
      </c>
      <c r="O905" s="3" t="s">
        <v>2272</v>
      </c>
      <c r="P905" s="3" t="s">
        <v>2272</v>
      </c>
      <c r="Q905" s="3" t="s">
        <v>2272</v>
      </c>
      <c r="R905" s="3" t="s">
        <v>2272</v>
      </c>
      <c r="S905" s="3" t="s">
        <v>2272</v>
      </c>
      <c r="T905" s="3"/>
    </row>
    <row r="906" spans="1:20" ht="33" customHeight="1">
      <c r="A906" s="19" t="s">
        <v>5903</v>
      </c>
      <c r="B906" s="3" t="s">
        <v>1193</v>
      </c>
      <c r="C906" s="3" t="s">
        <v>11</v>
      </c>
      <c r="D906" s="3" t="s">
        <v>135</v>
      </c>
      <c r="E906" s="3" t="s">
        <v>5000</v>
      </c>
      <c r="F906" s="3" t="s">
        <v>114</v>
      </c>
      <c r="G906" s="3" t="s">
        <v>860</v>
      </c>
      <c r="H906" s="3" t="s">
        <v>2272</v>
      </c>
      <c r="I906" s="3" t="s">
        <v>2272</v>
      </c>
      <c r="J906" s="3" t="s">
        <v>2272</v>
      </c>
      <c r="K906" s="3" t="s">
        <v>532</v>
      </c>
      <c r="L906" s="3" t="s">
        <v>2272</v>
      </c>
      <c r="M906" s="3" t="s">
        <v>2272</v>
      </c>
      <c r="N906" s="21">
        <f>2557.6/'Record info'!K906</f>
        <v>17.075711042862864</v>
      </c>
      <c r="O906" s="3" t="s">
        <v>2272</v>
      </c>
      <c r="P906" s="3" t="s">
        <v>2272</v>
      </c>
      <c r="Q906" s="3" t="s">
        <v>2272</v>
      </c>
      <c r="R906" s="21">
        <f>100-N906</f>
        <v>82.924288957137136</v>
      </c>
      <c r="S906" s="3" t="s">
        <v>2272</v>
      </c>
      <c r="T906" s="3"/>
    </row>
    <row r="907" spans="1:20" ht="30.5" customHeight="1">
      <c r="A907" s="19" t="s">
        <v>5926</v>
      </c>
      <c r="B907" s="3" t="s">
        <v>1193</v>
      </c>
      <c r="C907" s="3" t="s">
        <v>11</v>
      </c>
      <c r="D907" s="3" t="s">
        <v>135</v>
      </c>
      <c r="E907" s="3" t="s">
        <v>114</v>
      </c>
      <c r="F907" s="3" t="s">
        <v>2644</v>
      </c>
      <c r="G907" s="3" t="s">
        <v>2272</v>
      </c>
      <c r="H907" s="3" t="s">
        <v>2272</v>
      </c>
      <c r="I907" s="3" t="s">
        <v>2272</v>
      </c>
      <c r="J907" s="3" t="s">
        <v>2272</v>
      </c>
      <c r="K907" s="3" t="s">
        <v>2272</v>
      </c>
      <c r="L907" s="3" t="s">
        <v>2272</v>
      </c>
      <c r="M907" s="3" t="s">
        <v>2272</v>
      </c>
      <c r="N907" s="3" t="s">
        <v>2272</v>
      </c>
      <c r="O907" s="3" t="s">
        <v>2272</v>
      </c>
      <c r="P907" s="3" t="s">
        <v>2272</v>
      </c>
      <c r="Q907" s="3" t="s">
        <v>2272</v>
      </c>
      <c r="R907" s="3" t="s">
        <v>2272</v>
      </c>
      <c r="S907" s="3" t="s">
        <v>2272</v>
      </c>
      <c r="T907" s="11" t="s">
        <v>5927</v>
      </c>
    </row>
    <row r="908" spans="1:20" ht="31" customHeight="1">
      <c r="A908" s="19" t="s">
        <v>5942</v>
      </c>
      <c r="B908" s="3" t="s">
        <v>2254</v>
      </c>
      <c r="C908" s="3" t="s">
        <v>11</v>
      </c>
      <c r="D908" s="3" t="s">
        <v>128</v>
      </c>
      <c r="E908" s="4" t="s">
        <v>394</v>
      </c>
      <c r="F908" s="3" t="s">
        <v>82</v>
      </c>
      <c r="G908" s="3" t="s">
        <v>2272</v>
      </c>
      <c r="H908" s="3" t="s">
        <v>2272</v>
      </c>
      <c r="I908" s="3" t="s">
        <v>2272</v>
      </c>
      <c r="J908" s="3" t="s">
        <v>2272</v>
      </c>
      <c r="K908" s="3" t="s">
        <v>2272</v>
      </c>
      <c r="L908" s="3" t="s">
        <v>2272</v>
      </c>
      <c r="M908" s="3" t="s">
        <v>2272</v>
      </c>
      <c r="N908" s="3" t="s">
        <v>2272</v>
      </c>
      <c r="O908" s="3" t="s">
        <v>2272</v>
      </c>
      <c r="P908" s="3" t="s">
        <v>2272</v>
      </c>
      <c r="Q908" s="3" t="s">
        <v>2272</v>
      </c>
      <c r="R908" s="3" t="s">
        <v>2272</v>
      </c>
      <c r="S908" s="3" t="s">
        <v>2272</v>
      </c>
      <c r="T908" s="3"/>
    </row>
    <row r="909" spans="1:20" ht="32" customHeight="1">
      <c r="A909" s="19" t="s">
        <v>5946</v>
      </c>
      <c r="B909" s="3" t="s">
        <v>2254</v>
      </c>
      <c r="C909" s="3" t="s">
        <v>11</v>
      </c>
      <c r="D909" s="3" t="s">
        <v>128</v>
      </c>
      <c r="E909" s="4" t="s">
        <v>394</v>
      </c>
      <c r="F909" s="3" t="s">
        <v>82</v>
      </c>
      <c r="G909" s="3" t="s">
        <v>2272</v>
      </c>
      <c r="H909" s="3" t="s">
        <v>2272</v>
      </c>
      <c r="I909" s="3" t="s">
        <v>2272</v>
      </c>
      <c r="J909" s="3" t="s">
        <v>2272</v>
      </c>
      <c r="K909" s="3" t="s">
        <v>2272</v>
      </c>
      <c r="L909" s="3" t="s">
        <v>2272</v>
      </c>
      <c r="M909" s="3" t="s">
        <v>2272</v>
      </c>
      <c r="N909" s="3" t="s">
        <v>2272</v>
      </c>
      <c r="O909" s="3" t="s">
        <v>2272</v>
      </c>
      <c r="P909" s="3" t="s">
        <v>2272</v>
      </c>
      <c r="Q909" s="3" t="s">
        <v>2272</v>
      </c>
      <c r="R909" s="3" t="s">
        <v>2272</v>
      </c>
      <c r="S909" s="3" t="s">
        <v>2272</v>
      </c>
      <c r="T909" s="3"/>
    </row>
    <row r="910" spans="1:20" ht="28" customHeight="1">
      <c r="A910" s="19" t="s">
        <v>5949</v>
      </c>
      <c r="B910" s="3" t="s">
        <v>1193</v>
      </c>
      <c r="C910" s="3" t="s">
        <v>2641</v>
      </c>
      <c r="D910" s="3" t="s">
        <v>135</v>
      </c>
      <c r="E910" s="3" t="s">
        <v>114</v>
      </c>
      <c r="F910" s="3" t="s">
        <v>2644</v>
      </c>
      <c r="G910" s="3" t="s">
        <v>2272</v>
      </c>
      <c r="H910" s="3" t="s">
        <v>2272</v>
      </c>
      <c r="I910" s="3" t="s">
        <v>2272</v>
      </c>
      <c r="J910" s="3" t="s">
        <v>2272</v>
      </c>
      <c r="K910" s="3" t="s">
        <v>532</v>
      </c>
      <c r="L910" s="3" t="s">
        <v>2272</v>
      </c>
      <c r="M910" s="3" t="s">
        <v>2272</v>
      </c>
      <c r="N910" s="3" t="s">
        <v>2272</v>
      </c>
      <c r="O910" s="3" t="s">
        <v>2272</v>
      </c>
      <c r="P910" s="3" t="s">
        <v>2272</v>
      </c>
      <c r="Q910" s="3" t="s">
        <v>2272</v>
      </c>
      <c r="R910" s="3" t="s">
        <v>2272</v>
      </c>
      <c r="S910" s="3" t="s">
        <v>2272</v>
      </c>
      <c r="T910" s="3"/>
    </row>
    <row r="911" spans="1:20" ht="29.5" customHeight="1">
      <c r="A911" s="19" t="s">
        <v>5962</v>
      </c>
      <c r="B911" s="4" t="s">
        <v>2254</v>
      </c>
      <c r="C911" s="4" t="s">
        <v>11</v>
      </c>
      <c r="D911" s="4" t="s">
        <v>82</v>
      </c>
      <c r="E911" s="4" t="s">
        <v>394</v>
      </c>
      <c r="F911" s="4" t="s">
        <v>128</v>
      </c>
      <c r="G911" s="4" t="s">
        <v>860</v>
      </c>
      <c r="H911" s="3" t="s">
        <v>2272</v>
      </c>
      <c r="I911" s="3">
        <v>25</v>
      </c>
      <c r="J911" s="3" t="s">
        <v>2272</v>
      </c>
      <c r="K911" s="3" t="s">
        <v>532</v>
      </c>
      <c r="L911" s="3" t="s">
        <v>2272</v>
      </c>
      <c r="M911" s="3" t="s">
        <v>2272</v>
      </c>
      <c r="N911" s="3" t="s">
        <v>2272</v>
      </c>
      <c r="O911" s="3" t="s">
        <v>2272</v>
      </c>
      <c r="P911" s="3" t="s">
        <v>2272</v>
      </c>
      <c r="Q911" s="3" t="s">
        <v>2272</v>
      </c>
      <c r="R911" s="3" t="s">
        <v>2272</v>
      </c>
      <c r="S911" s="3" t="s">
        <v>2272</v>
      </c>
      <c r="T911" s="3" t="s">
        <v>5963</v>
      </c>
    </row>
    <row r="912" spans="1:20" ht="31.5" customHeight="1">
      <c r="A912" s="19" t="s">
        <v>5975</v>
      </c>
      <c r="B912" s="3" t="s">
        <v>2272</v>
      </c>
      <c r="C912" s="3" t="s">
        <v>2641</v>
      </c>
      <c r="D912" s="3" t="s">
        <v>128</v>
      </c>
      <c r="E912" s="3" t="s">
        <v>2647</v>
      </c>
      <c r="F912" s="4" t="s">
        <v>860</v>
      </c>
      <c r="G912" s="3" t="s">
        <v>2272</v>
      </c>
      <c r="H912" s="3" t="s">
        <v>2272</v>
      </c>
      <c r="I912" s="3" t="s">
        <v>2272</v>
      </c>
      <c r="J912" s="3" t="s">
        <v>2272</v>
      </c>
      <c r="K912" s="3" t="s">
        <v>532</v>
      </c>
      <c r="L912" s="3" t="s">
        <v>2272</v>
      </c>
      <c r="M912" s="3" t="s">
        <v>2272</v>
      </c>
      <c r="N912" s="3" t="s">
        <v>2272</v>
      </c>
      <c r="O912" s="3" t="s">
        <v>2272</v>
      </c>
      <c r="P912" s="3" t="s">
        <v>2272</v>
      </c>
      <c r="Q912" s="3" t="s">
        <v>2272</v>
      </c>
      <c r="R912" s="3" t="s">
        <v>2272</v>
      </c>
      <c r="S912" s="3" t="s">
        <v>2272</v>
      </c>
      <c r="T912" s="3"/>
    </row>
    <row r="913" spans="1:20" ht="31.5" customHeight="1">
      <c r="A913" s="19" t="s">
        <v>6051</v>
      </c>
      <c r="B913" s="3" t="s">
        <v>2272</v>
      </c>
      <c r="C913" s="3" t="s">
        <v>2641</v>
      </c>
      <c r="D913" s="3" t="s">
        <v>128</v>
      </c>
      <c r="E913" s="3" t="s">
        <v>2647</v>
      </c>
      <c r="F913" s="4" t="s">
        <v>860</v>
      </c>
      <c r="G913" s="3" t="s">
        <v>2272</v>
      </c>
      <c r="H913" s="3" t="s">
        <v>2272</v>
      </c>
      <c r="I913" s="3" t="s">
        <v>2272</v>
      </c>
      <c r="J913" s="3" t="s">
        <v>2272</v>
      </c>
      <c r="K913" s="3" t="s">
        <v>532</v>
      </c>
      <c r="L913" s="3" t="s">
        <v>2272</v>
      </c>
      <c r="M913" s="3" t="s">
        <v>2272</v>
      </c>
      <c r="N913" s="3" t="s">
        <v>2272</v>
      </c>
      <c r="O913" s="3" t="s">
        <v>2272</v>
      </c>
      <c r="P913" s="3" t="s">
        <v>2272</v>
      </c>
      <c r="Q913" s="3" t="s">
        <v>2272</v>
      </c>
      <c r="R913" s="3" t="s">
        <v>2272</v>
      </c>
      <c r="S913" s="3" t="s">
        <v>2272</v>
      </c>
      <c r="T913" s="3"/>
    </row>
    <row r="914" spans="1:20" ht="37.5" customHeight="1">
      <c r="A914" s="19" t="s">
        <v>5987</v>
      </c>
      <c r="B914" s="3" t="s">
        <v>2272</v>
      </c>
      <c r="C914" s="3" t="s">
        <v>393</v>
      </c>
      <c r="D914" s="3" t="s">
        <v>114</v>
      </c>
      <c r="E914" s="3" t="s">
        <v>2272</v>
      </c>
      <c r="F914" s="3" t="s">
        <v>2272</v>
      </c>
      <c r="G914" s="3" t="s">
        <v>2272</v>
      </c>
      <c r="H914" s="3" t="s">
        <v>2272</v>
      </c>
      <c r="I914" s="3" t="s">
        <v>2272</v>
      </c>
      <c r="J914" s="3" t="s">
        <v>2272</v>
      </c>
      <c r="K914" s="3" t="s">
        <v>2272</v>
      </c>
      <c r="L914" s="3" t="s">
        <v>2272</v>
      </c>
      <c r="M914" s="3" t="s">
        <v>2272</v>
      </c>
      <c r="N914" s="3" t="s">
        <v>2272</v>
      </c>
      <c r="O914" s="3" t="s">
        <v>2272</v>
      </c>
      <c r="P914" s="3" t="s">
        <v>2272</v>
      </c>
      <c r="Q914" s="3" t="s">
        <v>2272</v>
      </c>
      <c r="R914" s="3" t="s">
        <v>2272</v>
      </c>
      <c r="S914" s="3" t="s">
        <v>2272</v>
      </c>
      <c r="T914" s="3"/>
    </row>
    <row r="915" spans="1:20" ht="29.5" customHeight="1">
      <c r="A915" s="19" t="s">
        <v>5991</v>
      </c>
      <c r="B915" s="3" t="s">
        <v>2272</v>
      </c>
      <c r="C915" s="3" t="s">
        <v>2641</v>
      </c>
      <c r="D915" s="3" t="s">
        <v>5795</v>
      </c>
      <c r="E915" s="3" t="s">
        <v>2272</v>
      </c>
      <c r="F915" s="3" t="s">
        <v>2272</v>
      </c>
      <c r="G915" s="3" t="s">
        <v>2272</v>
      </c>
      <c r="H915" s="3" t="s">
        <v>2272</v>
      </c>
      <c r="I915" s="3" t="s">
        <v>2272</v>
      </c>
      <c r="J915" s="3" t="s">
        <v>2272</v>
      </c>
      <c r="K915" s="3" t="s">
        <v>2272</v>
      </c>
      <c r="L915" s="3" t="s">
        <v>2272</v>
      </c>
      <c r="M915" s="3" t="s">
        <v>2272</v>
      </c>
      <c r="N915" s="3" t="s">
        <v>2272</v>
      </c>
      <c r="O915" s="3" t="s">
        <v>2272</v>
      </c>
      <c r="P915" s="3" t="s">
        <v>2272</v>
      </c>
      <c r="Q915" s="3" t="s">
        <v>2272</v>
      </c>
      <c r="R915" s="3" t="s">
        <v>2272</v>
      </c>
      <c r="S915" s="3" t="s">
        <v>2272</v>
      </c>
      <c r="T915" s="3"/>
    </row>
    <row r="916" spans="1:20" ht="32.5" customHeight="1">
      <c r="A916" s="3" t="s">
        <v>5993</v>
      </c>
      <c r="B916" s="3" t="s">
        <v>2272</v>
      </c>
      <c r="C916" s="3" t="s">
        <v>393</v>
      </c>
      <c r="D916" s="3" t="s">
        <v>128</v>
      </c>
      <c r="E916" s="3" t="s">
        <v>44</v>
      </c>
      <c r="F916" s="3" t="s">
        <v>2272</v>
      </c>
      <c r="G916" s="3" t="s">
        <v>2272</v>
      </c>
      <c r="H916" s="3" t="s">
        <v>2272</v>
      </c>
      <c r="I916" s="3" t="s">
        <v>2272</v>
      </c>
      <c r="J916" s="3" t="s">
        <v>2272</v>
      </c>
      <c r="K916" s="3" t="s">
        <v>2272</v>
      </c>
      <c r="L916" s="3" t="s">
        <v>2272</v>
      </c>
      <c r="M916" s="3" t="s">
        <v>2272</v>
      </c>
      <c r="N916" s="3" t="s">
        <v>2272</v>
      </c>
      <c r="O916" s="3" t="s">
        <v>2272</v>
      </c>
      <c r="P916" s="3" t="s">
        <v>2272</v>
      </c>
      <c r="Q916" s="3" t="s">
        <v>2272</v>
      </c>
      <c r="R916" s="3" t="s">
        <v>2272</v>
      </c>
      <c r="S916" s="3" t="s">
        <v>2272</v>
      </c>
      <c r="T916" s="3"/>
    </row>
    <row r="917" spans="1:20" ht="35" customHeight="1">
      <c r="A917" s="19" t="s">
        <v>6011</v>
      </c>
      <c r="B917" s="3" t="s">
        <v>1193</v>
      </c>
      <c r="C917" s="3" t="s">
        <v>2641</v>
      </c>
      <c r="D917" s="3" t="s">
        <v>135</v>
      </c>
      <c r="E917" s="3" t="s">
        <v>114</v>
      </c>
      <c r="F917" s="3" t="s">
        <v>2644</v>
      </c>
      <c r="G917" s="3" t="s">
        <v>2272</v>
      </c>
      <c r="H917" s="3" t="s">
        <v>2272</v>
      </c>
      <c r="I917" s="3" t="s">
        <v>2272</v>
      </c>
      <c r="J917" s="3" t="s">
        <v>2272</v>
      </c>
      <c r="K917" s="3" t="s">
        <v>532</v>
      </c>
      <c r="L917" s="3" t="s">
        <v>2272</v>
      </c>
      <c r="M917" s="3" t="s">
        <v>2272</v>
      </c>
      <c r="N917" s="3" t="s">
        <v>2272</v>
      </c>
      <c r="O917" s="3" t="s">
        <v>2272</v>
      </c>
      <c r="P917" s="3" t="s">
        <v>2272</v>
      </c>
      <c r="Q917" s="3" t="s">
        <v>2272</v>
      </c>
      <c r="R917" s="3" t="s">
        <v>2272</v>
      </c>
      <c r="S917" s="3" t="s">
        <v>2272</v>
      </c>
      <c r="T917" s="3"/>
    </row>
    <row r="918" spans="1:20" ht="28" customHeight="1">
      <c r="A918" s="19" t="s">
        <v>6025</v>
      </c>
      <c r="B918" s="3" t="s">
        <v>1193</v>
      </c>
      <c r="C918" s="3" t="s">
        <v>2641</v>
      </c>
      <c r="D918" s="3" t="s">
        <v>5795</v>
      </c>
      <c r="E918" s="3" t="s">
        <v>135</v>
      </c>
      <c r="F918" s="3" t="s">
        <v>44</v>
      </c>
      <c r="G918" s="3" t="s">
        <v>2272</v>
      </c>
      <c r="H918" s="3" t="s">
        <v>2272</v>
      </c>
      <c r="I918" s="3" t="s">
        <v>2272</v>
      </c>
      <c r="J918" s="3" t="s">
        <v>2272</v>
      </c>
      <c r="K918" s="3" t="s">
        <v>2272</v>
      </c>
      <c r="L918" s="3" t="s">
        <v>2272</v>
      </c>
      <c r="M918" s="3" t="s">
        <v>2272</v>
      </c>
      <c r="N918" s="3" t="s">
        <v>2272</v>
      </c>
      <c r="O918" s="3" t="s">
        <v>2272</v>
      </c>
      <c r="P918" s="3" t="s">
        <v>2272</v>
      </c>
      <c r="Q918" s="3" t="s">
        <v>2272</v>
      </c>
      <c r="R918" s="3" t="s">
        <v>2272</v>
      </c>
      <c r="S918" s="3" t="s">
        <v>2272</v>
      </c>
      <c r="T918" s="3"/>
    </row>
    <row r="919" spans="1:20" ht="37.5" customHeight="1">
      <c r="A919" s="19" t="s">
        <v>6032</v>
      </c>
      <c r="B919" s="3" t="s">
        <v>2272</v>
      </c>
      <c r="C919" s="3" t="s">
        <v>2641</v>
      </c>
      <c r="D919" s="3" t="s">
        <v>5795</v>
      </c>
      <c r="E919" s="3" t="s">
        <v>5000</v>
      </c>
      <c r="F919" s="4" t="s">
        <v>3850</v>
      </c>
      <c r="G919" s="3" t="s">
        <v>2272</v>
      </c>
      <c r="H919" s="3" t="s">
        <v>2272</v>
      </c>
      <c r="I919" s="3" t="s">
        <v>2272</v>
      </c>
      <c r="J919" s="3" t="s">
        <v>2272</v>
      </c>
      <c r="K919" s="3" t="s">
        <v>2272</v>
      </c>
      <c r="L919" s="3" t="s">
        <v>2272</v>
      </c>
      <c r="M919" s="3" t="s">
        <v>2272</v>
      </c>
      <c r="N919" s="3" t="s">
        <v>2272</v>
      </c>
      <c r="O919" s="3" t="s">
        <v>2272</v>
      </c>
      <c r="P919" s="3" t="s">
        <v>2272</v>
      </c>
      <c r="Q919" s="3" t="s">
        <v>2272</v>
      </c>
      <c r="R919" s="3" t="s">
        <v>2272</v>
      </c>
      <c r="S919" s="3" t="s">
        <v>2272</v>
      </c>
      <c r="T919" s="3"/>
    </row>
    <row r="920" spans="1:20" ht="35" customHeight="1">
      <c r="A920" s="19" t="s">
        <v>6041</v>
      </c>
      <c r="B920" s="11" t="s">
        <v>2272</v>
      </c>
      <c r="C920" s="11" t="s">
        <v>393</v>
      </c>
      <c r="D920" s="11" t="s">
        <v>128</v>
      </c>
      <c r="E920" s="11" t="s">
        <v>44</v>
      </c>
      <c r="F920" s="3" t="s">
        <v>2272</v>
      </c>
      <c r="G920" s="3" t="s">
        <v>2272</v>
      </c>
      <c r="H920" s="3" t="s">
        <v>2272</v>
      </c>
      <c r="I920" s="3" t="s">
        <v>2272</v>
      </c>
      <c r="J920" s="3" t="s">
        <v>2272</v>
      </c>
      <c r="K920" s="3" t="s">
        <v>2272</v>
      </c>
      <c r="L920" s="3" t="s">
        <v>2272</v>
      </c>
      <c r="M920" s="3" t="s">
        <v>2272</v>
      </c>
      <c r="N920" s="3" t="s">
        <v>2272</v>
      </c>
      <c r="O920" s="3" t="s">
        <v>2272</v>
      </c>
      <c r="P920" s="3" t="s">
        <v>2272</v>
      </c>
      <c r="Q920" s="3" t="s">
        <v>2272</v>
      </c>
      <c r="R920" s="3" t="s">
        <v>2272</v>
      </c>
      <c r="S920" s="3" t="s">
        <v>2272</v>
      </c>
      <c r="T920" s="3"/>
    </row>
    <row r="921" spans="1:20" ht="30" customHeight="1">
      <c r="A921" s="19" t="s">
        <v>6054</v>
      </c>
      <c r="B921" s="11" t="s">
        <v>2272</v>
      </c>
      <c r="C921" s="3" t="s">
        <v>11</v>
      </c>
      <c r="D921" s="3" t="s">
        <v>44</v>
      </c>
      <c r="E921" s="3" t="s">
        <v>2272</v>
      </c>
      <c r="F921" s="3" t="s">
        <v>2272</v>
      </c>
      <c r="G921" s="3" t="s">
        <v>2272</v>
      </c>
      <c r="H921" s="21">
        <v>0.48</v>
      </c>
      <c r="I921" s="21">
        <v>5573</v>
      </c>
      <c r="J921" s="3" t="s">
        <v>2272</v>
      </c>
      <c r="K921" s="3" t="s">
        <v>2272</v>
      </c>
      <c r="L921" s="3" t="s">
        <v>2272</v>
      </c>
      <c r="M921" s="3" t="s">
        <v>2272</v>
      </c>
      <c r="N921" s="3" t="s">
        <v>2272</v>
      </c>
      <c r="O921" s="3" t="s">
        <v>2272</v>
      </c>
      <c r="P921" s="3" t="s">
        <v>2272</v>
      </c>
      <c r="Q921" s="3" t="s">
        <v>2272</v>
      </c>
      <c r="R921" s="3" t="s">
        <v>2272</v>
      </c>
      <c r="S921" s="3" t="s">
        <v>2272</v>
      </c>
      <c r="T921" s="3"/>
    </row>
    <row r="922" spans="1:20" ht="30" customHeight="1">
      <c r="A922" s="19" t="s">
        <v>6055</v>
      </c>
      <c r="B922" s="11" t="s">
        <v>2272</v>
      </c>
      <c r="C922" s="3" t="s">
        <v>11</v>
      </c>
      <c r="D922" s="3" t="s">
        <v>44</v>
      </c>
      <c r="E922" s="3" t="s">
        <v>128</v>
      </c>
      <c r="F922" s="3" t="s">
        <v>2272</v>
      </c>
      <c r="G922" s="3" t="s">
        <v>2272</v>
      </c>
      <c r="H922" s="21">
        <v>0.64</v>
      </c>
      <c r="I922" s="21">
        <v>1022</v>
      </c>
      <c r="J922" s="3" t="s">
        <v>2272</v>
      </c>
      <c r="K922" s="3" t="s">
        <v>2272</v>
      </c>
      <c r="L922" s="3" t="s">
        <v>2272</v>
      </c>
      <c r="M922" s="3" t="s">
        <v>2272</v>
      </c>
      <c r="N922" s="3" t="s">
        <v>2272</v>
      </c>
      <c r="O922" s="3" t="s">
        <v>2272</v>
      </c>
      <c r="P922" s="3" t="s">
        <v>2272</v>
      </c>
      <c r="Q922" s="3" t="s">
        <v>2272</v>
      </c>
      <c r="R922" s="3" t="s">
        <v>2272</v>
      </c>
      <c r="S922" s="3" t="s">
        <v>2272</v>
      </c>
      <c r="T922" s="3"/>
    </row>
    <row r="923" spans="1:20" ht="30" customHeight="1">
      <c r="A923" s="19" t="s">
        <v>6056</v>
      </c>
      <c r="B923" s="11" t="s">
        <v>2272</v>
      </c>
      <c r="C923" s="3" t="s">
        <v>11</v>
      </c>
      <c r="D923" s="3" t="s">
        <v>44</v>
      </c>
      <c r="E923" s="3" t="s">
        <v>82</v>
      </c>
      <c r="F923" s="3" t="s">
        <v>2272</v>
      </c>
      <c r="G923" s="3" t="s">
        <v>2272</v>
      </c>
      <c r="H923" s="21">
        <f>(0.64*253+0.74*3738+0.65*21570+135835*0.64) / SUM(253, 3378, 21570, 135835)</f>
        <v>0.64509140813234311</v>
      </c>
      <c r="I923" s="3">
        <v>14846.15</v>
      </c>
      <c r="J923" s="3" t="s">
        <v>2272</v>
      </c>
      <c r="K923" s="3" t="s">
        <v>2272</v>
      </c>
      <c r="L923" s="3" t="s">
        <v>2272</v>
      </c>
      <c r="M923" s="3" t="s">
        <v>2272</v>
      </c>
      <c r="N923" s="3" t="s">
        <v>2272</v>
      </c>
      <c r="O923" s="3" t="s">
        <v>2272</v>
      </c>
      <c r="P923" s="3" t="s">
        <v>2272</v>
      </c>
      <c r="Q923" s="3" t="s">
        <v>2272</v>
      </c>
      <c r="R923" s="3" t="s">
        <v>2272</v>
      </c>
      <c r="S923" s="3" t="s">
        <v>2272</v>
      </c>
      <c r="T923" s="3"/>
    </row>
    <row r="924" spans="1:20" ht="30" customHeight="1">
      <c r="A924" s="19" t="s">
        <v>6068</v>
      </c>
      <c r="B924" s="3" t="s">
        <v>2272</v>
      </c>
      <c r="C924" s="3" t="s">
        <v>11</v>
      </c>
      <c r="D924" s="3" t="s">
        <v>44</v>
      </c>
      <c r="E924" s="3" t="s">
        <v>5000</v>
      </c>
      <c r="F924" s="3" t="s">
        <v>114</v>
      </c>
      <c r="G924" s="3" t="s">
        <v>128</v>
      </c>
      <c r="H924" s="3" t="s">
        <v>2272</v>
      </c>
      <c r="I924" s="3" t="s">
        <v>2272</v>
      </c>
      <c r="J924" s="3" t="s">
        <v>2272</v>
      </c>
      <c r="K924" s="3" t="s">
        <v>2272</v>
      </c>
      <c r="L924" s="3" t="s">
        <v>2272</v>
      </c>
      <c r="M924" s="3" t="s">
        <v>2272</v>
      </c>
      <c r="N924" s="3" t="s">
        <v>2272</v>
      </c>
      <c r="O924" s="3" t="s">
        <v>2272</v>
      </c>
      <c r="P924" s="3" t="s">
        <v>2272</v>
      </c>
      <c r="Q924" s="3" t="s">
        <v>2272</v>
      </c>
      <c r="R924" s="3" t="s">
        <v>2272</v>
      </c>
      <c r="S924" s="3" t="s">
        <v>2272</v>
      </c>
      <c r="T924" s="3"/>
    </row>
    <row r="925" spans="1:20" ht="30" customHeight="1">
      <c r="A925" s="19" t="s">
        <v>6076</v>
      </c>
      <c r="B925" s="11" t="s">
        <v>68</v>
      </c>
      <c r="C925" s="11" t="s">
        <v>11</v>
      </c>
      <c r="D925" s="19" t="s">
        <v>5000</v>
      </c>
      <c r="E925" s="19" t="s">
        <v>128</v>
      </c>
      <c r="F925" s="19" t="s">
        <v>395</v>
      </c>
      <c r="G925" s="11" t="s">
        <v>2272</v>
      </c>
      <c r="H925" s="11">
        <f>30/100</f>
        <v>0.3</v>
      </c>
      <c r="I925" s="11">
        <v>8.1999999999999993</v>
      </c>
      <c r="J925" s="198" t="s">
        <v>2272</v>
      </c>
      <c r="K925" s="198" t="s">
        <v>2272</v>
      </c>
      <c r="L925" s="198" t="s">
        <v>2272</v>
      </c>
      <c r="M925" s="198" t="s">
        <v>2272</v>
      </c>
      <c r="N925" s="198" t="s">
        <v>2272</v>
      </c>
      <c r="O925" s="198" t="s">
        <v>2272</v>
      </c>
      <c r="P925" s="198" t="s">
        <v>2272</v>
      </c>
      <c r="Q925" s="198" t="s">
        <v>2272</v>
      </c>
      <c r="R925" s="198" t="s">
        <v>2272</v>
      </c>
      <c r="S925" s="198" t="s">
        <v>2272</v>
      </c>
      <c r="T925" s="11"/>
    </row>
    <row r="926" spans="1:20" ht="30" customHeight="1">
      <c r="A926" s="19" t="s">
        <v>6077</v>
      </c>
      <c r="B926" s="11" t="s">
        <v>2272</v>
      </c>
      <c r="C926" s="11" t="s">
        <v>11</v>
      </c>
      <c r="D926" s="19" t="s">
        <v>2648</v>
      </c>
      <c r="E926" s="19" t="s">
        <v>5000</v>
      </c>
      <c r="F926" s="19" t="s">
        <v>128</v>
      </c>
      <c r="G926" s="19" t="s">
        <v>395</v>
      </c>
      <c r="H926" s="11">
        <f>17.5/100</f>
        <v>0.17499999999999999</v>
      </c>
      <c r="I926" s="11">
        <v>3.1</v>
      </c>
      <c r="J926" s="198" t="s">
        <v>2272</v>
      </c>
      <c r="K926" s="198" t="s">
        <v>2272</v>
      </c>
      <c r="L926" s="198" t="s">
        <v>2272</v>
      </c>
      <c r="M926" s="198" t="s">
        <v>2272</v>
      </c>
      <c r="N926" s="198" t="s">
        <v>2272</v>
      </c>
      <c r="O926" s="198" t="s">
        <v>2272</v>
      </c>
      <c r="P926" s="198" t="s">
        <v>2272</v>
      </c>
      <c r="Q926" s="198" t="s">
        <v>2272</v>
      </c>
      <c r="R926" s="198" t="s">
        <v>2272</v>
      </c>
      <c r="S926" s="198" t="s">
        <v>2272</v>
      </c>
      <c r="T926" s="11"/>
    </row>
    <row r="927" spans="1:20" s="56" customFormat="1" ht="36" customHeight="1">
      <c r="A927" s="45" t="s">
        <v>6141</v>
      </c>
      <c r="B927" s="11" t="s">
        <v>31</v>
      </c>
      <c r="C927" s="4" t="s">
        <v>2641</v>
      </c>
      <c r="D927" s="4" t="s">
        <v>135</v>
      </c>
      <c r="E927" s="4" t="s">
        <v>2648</v>
      </c>
      <c r="F927" s="4" t="s">
        <v>2644</v>
      </c>
      <c r="G927" s="4" t="s">
        <v>2647</v>
      </c>
      <c r="H927" s="4" t="s">
        <v>2272</v>
      </c>
      <c r="I927" s="4" t="s">
        <v>2272</v>
      </c>
      <c r="J927" s="4" t="s">
        <v>2272</v>
      </c>
      <c r="K927" s="4" t="s">
        <v>532</v>
      </c>
      <c r="L927" s="4" t="s">
        <v>2272</v>
      </c>
      <c r="M927" s="4" t="s">
        <v>2272</v>
      </c>
      <c r="N927" s="4" t="s">
        <v>2272</v>
      </c>
      <c r="O927" s="4" t="s">
        <v>2272</v>
      </c>
      <c r="P927" s="4" t="s">
        <v>2272</v>
      </c>
      <c r="Q927" s="4" t="s">
        <v>2272</v>
      </c>
      <c r="R927" s="4" t="s">
        <v>2272</v>
      </c>
      <c r="S927" s="4" t="s">
        <v>2272</v>
      </c>
      <c r="T927" s="4"/>
    </row>
    <row r="928" spans="1:20" s="56" customFormat="1" ht="36" customHeight="1">
      <c r="A928" s="45" t="s">
        <v>6142</v>
      </c>
      <c r="B928" s="11" t="s">
        <v>31</v>
      </c>
      <c r="C928" s="4" t="s">
        <v>2641</v>
      </c>
      <c r="D928" s="4" t="s">
        <v>135</v>
      </c>
      <c r="E928" s="4" t="s">
        <v>2648</v>
      </c>
      <c r="F928" s="4" t="s">
        <v>2644</v>
      </c>
      <c r="G928" s="4" t="s">
        <v>2647</v>
      </c>
      <c r="H928" s="4" t="s">
        <v>2272</v>
      </c>
      <c r="I928" s="4" t="s">
        <v>2272</v>
      </c>
      <c r="J928" s="4" t="s">
        <v>2272</v>
      </c>
      <c r="K928" s="4" t="s">
        <v>532</v>
      </c>
      <c r="L928" s="4" t="s">
        <v>2272</v>
      </c>
      <c r="M928" s="4" t="s">
        <v>2272</v>
      </c>
      <c r="N928" s="4" t="s">
        <v>2272</v>
      </c>
      <c r="O928" s="4" t="s">
        <v>2272</v>
      </c>
      <c r="P928" s="4" t="s">
        <v>2272</v>
      </c>
      <c r="Q928" s="4" t="s">
        <v>2272</v>
      </c>
      <c r="R928" s="4" t="s">
        <v>2272</v>
      </c>
      <c r="S928" s="4" t="s">
        <v>2272</v>
      </c>
      <c r="T928" s="4"/>
    </row>
    <row r="929" spans="1:20" s="199" customFormat="1" ht="36" customHeight="1">
      <c r="A929" s="45" t="s">
        <v>6629</v>
      </c>
      <c r="B929" s="11" t="s">
        <v>1193</v>
      </c>
      <c r="C929" s="198" t="s">
        <v>2640</v>
      </c>
      <c r="D929" s="4" t="s">
        <v>135</v>
      </c>
      <c r="E929" s="4" t="s">
        <v>2644</v>
      </c>
      <c r="F929" s="4" t="s">
        <v>2272</v>
      </c>
      <c r="G929" s="4" t="s">
        <v>2272</v>
      </c>
      <c r="H929" s="4" t="s">
        <v>2272</v>
      </c>
      <c r="I929" s="4" t="s">
        <v>2272</v>
      </c>
      <c r="J929" s="4" t="s">
        <v>2272</v>
      </c>
      <c r="K929" s="4" t="s">
        <v>532</v>
      </c>
      <c r="L929" s="4" t="s">
        <v>2272</v>
      </c>
      <c r="M929" s="4" t="s">
        <v>2272</v>
      </c>
      <c r="N929" s="4" t="s">
        <v>2272</v>
      </c>
      <c r="O929" s="4" t="s">
        <v>2272</v>
      </c>
      <c r="P929" s="4" t="s">
        <v>2272</v>
      </c>
      <c r="Q929" s="4" t="s">
        <v>2272</v>
      </c>
      <c r="R929" s="4" t="s">
        <v>2272</v>
      </c>
      <c r="S929" s="4" t="s">
        <v>2272</v>
      </c>
      <c r="T929" s="4" t="s">
        <v>6635</v>
      </c>
    </row>
    <row r="930" spans="1:20" s="199" customFormat="1" ht="36" customHeight="1">
      <c r="A930" s="45" t="s">
        <v>6630</v>
      </c>
      <c r="B930" s="11" t="s">
        <v>1193</v>
      </c>
      <c r="C930" s="198" t="s">
        <v>2640</v>
      </c>
      <c r="D930" s="4" t="s">
        <v>135</v>
      </c>
      <c r="E930" s="4" t="s">
        <v>2644</v>
      </c>
      <c r="F930" s="4" t="s">
        <v>2272</v>
      </c>
      <c r="G930" s="4" t="s">
        <v>2272</v>
      </c>
      <c r="H930" s="4" t="s">
        <v>2272</v>
      </c>
      <c r="I930" s="4" t="s">
        <v>2272</v>
      </c>
      <c r="J930" s="4" t="s">
        <v>2272</v>
      </c>
      <c r="K930" s="4" t="s">
        <v>532</v>
      </c>
      <c r="L930" s="4" t="s">
        <v>2272</v>
      </c>
      <c r="M930" s="4" t="s">
        <v>2272</v>
      </c>
      <c r="N930" s="4" t="s">
        <v>2272</v>
      </c>
      <c r="O930" s="4" t="s">
        <v>2272</v>
      </c>
      <c r="P930" s="4" t="s">
        <v>2272</v>
      </c>
      <c r="Q930" s="4" t="s">
        <v>2272</v>
      </c>
      <c r="R930" s="4" t="s">
        <v>2272</v>
      </c>
      <c r="S930" s="4" t="s">
        <v>2272</v>
      </c>
      <c r="T930" s="4" t="s">
        <v>6635</v>
      </c>
    </row>
    <row r="931" spans="1:20" s="199" customFormat="1" ht="36" customHeight="1">
      <c r="A931" s="45" t="s">
        <v>6631</v>
      </c>
      <c r="B931" s="11" t="s">
        <v>1193</v>
      </c>
      <c r="C931" s="198" t="s">
        <v>2640</v>
      </c>
      <c r="D931" s="4" t="s">
        <v>135</v>
      </c>
      <c r="E931" s="4" t="s">
        <v>2644</v>
      </c>
      <c r="F931" s="4" t="s">
        <v>2272</v>
      </c>
      <c r="G931" s="4" t="s">
        <v>2272</v>
      </c>
      <c r="H931" s="4" t="s">
        <v>2272</v>
      </c>
      <c r="I931" s="4" t="s">
        <v>2272</v>
      </c>
      <c r="J931" s="4" t="s">
        <v>2272</v>
      </c>
      <c r="K931" s="4" t="s">
        <v>532</v>
      </c>
      <c r="L931" s="4" t="s">
        <v>2272</v>
      </c>
      <c r="M931" s="4" t="s">
        <v>2272</v>
      </c>
      <c r="N931" s="4" t="s">
        <v>2272</v>
      </c>
      <c r="O931" s="4" t="s">
        <v>2272</v>
      </c>
      <c r="P931" s="4" t="s">
        <v>2272</v>
      </c>
      <c r="Q931" s="4" t="s">
        <v>2272</v>
      </c>
      <c r="R931" s="4" t="s">
        <v>2272</v>
      </c>
      <c r="S931" s="4" t="s">
        <v>2272</v>
      </c>
      <c r="T931" s="4" t="s">
        <v>6635</v>
      </c>
    </row>
    <row r="932" spans="1:20" s="56" customFormat="1" ht="44" customHeight="1">
      <c r="A932" s="45" t="s">
        <v>6143</v>
      </c>
      <c r="B932" s="11" t="s">
        <v>31</v>
      </c>
      <c r="C932" s="4" t="s">
        <v>2641</v>
      </c>
      <c r="D932" s="4" t="s">
        <v>2648</v>
      </c>
      <c r="E932" s="4" t="s">
        <v>3850</v>
      </c>
      <c r="F932" s="11" t="s">
        <v>5795</v>
      </c>
      <c r="G932" s="4" t="s">
        <v>2272</v>
      </c>
      <c r="H932" s="4" t="s">
        <v>2272</v>
      </c>
      <c r="I932" s="4" t="s">
        <v>2272</v>
      </c>
      <c r="J932" s="4" t="s">
        <v>2272</v>
      </c>
      <c r="K932" s="4" t="s">
        <v>2272</v>
      </c>
      <c r="L932" s="4" t="s">
        <v>2272</v>
      </c>
      <c r="M932" s="4" t="s">
        <v>2272</v>
      </c>
      <c r="N932" s="4" t="s">
        <v>2272</v>
      </c>
      <c r="O932" s="4" t="s">
        <v>2272</v>
      </c>
      <c r="P932" s="4">
        <v>43.23</v>
      </c>
      <c r="Q932" s="4" t="s">
        <v>2272</v>
      </c>
      <c r="R932" s="4">
        <v>55.06</v>
      </c>
      <c r="S932" s="4" t="s">
        <v>2272</v>
      </c>
      <c r="T932" s="4"/>
    </row>
    <row r="933" spans="1:20" s="56" customFormat="1" ht="36" customHeight="1">
      <c r="A933" s="45" t="s">
        <v>6144</v>
      </c>
      <c r="B933" s="11" t="s">
        <v>31</v>
      </c>
      <c r="C933" s="4" t="s">
        <v>2641</v>
      </c>
      <c r="D933" s="4" t="s">
        <v>2648</v>
      </c>
      <c r="E933" s="11" t="s">
        <v>5795</v>
      </c>
      <c r="F933" s="4" t="s">
        <v>2272</v>
      </c>
      <c r="G933" s="4" t="s">
        <v>2272</v>
      </c>
      <c r="H933" s="4" t="s">
        <v>2272</v>
      </c>
      <c r="I933" s="4" t="s">
        <v>2272</v>
      </c>
      <c r="J933" s="4" t="s">
        <v>2272</v>
      </c>
      <c r="K933" s="4" t="s">
        <v>2272</v>
      </c>
      <c r="L933" s="4" t="s">
        <v>2272</v>
      </c>
      <c r="M933" s="4" t="s">
        <v>2272</v>
      </c>
      <c r="N933" s="4" t="s">
        <v>2272</v>
      </c>
      <c r="O933" s="4" t="s">
        <v>2272</v>
      </c>
      <c r="P933" s="4" t="s">
        <v>2272</v>
      </c>
      <c r="Q933" s="4" t="s">
        <v>2272</v>
      </c>
      <c r="R933" s="4" t="s">
        <v>2272</v>
      </c>
      <c r="S933" s="4" t="s">
        <v>2272</v>
      </c>
      <c r="T933" s="4"/>
    </row>
    <row r="934" spans="1:20" s="56" customFormat="1" ht="36" customHeight="1">
      <c r="A934" s="45" t="s">
        <v>6145</v>
      </c>
      <c r="B934" s="11" t="s">
        <v>31</v>
      </c>
      <c r="C934" s="4" t="s">
        <v>2641</v>
      </c>
      <c r="D934" s="4" t="s">
        <v>2648</v>
      </c>
      <c r="E934" s="4" t="s">
        <v>2647</v>
      </c>
      <c r="F934" s="4" t="s">
        <v>82</v>
      </c>
      <c r="G934" s="4" t="s">
        <v>2272</v>
      </c>
      <c r="H934" s="4" t="s">
        <v>2272</v>
      </c>
      <c r="I934" s="4" t="s">
        <v>2272</v>
      </c>
      <c r="J934" s="4" t="s">
        <v>2272</v>
      </c>
      <c r="K934" s="4" t="s">
        <v>2272</v>
      </c>
      <c r="L934" s="4" t="s">
        <v>2272</v>
      </c>
      <c r="M934" s="4" t="s">
        <v>2272</v>
      </c>
      <c r="N934" s="4" t="s">
        <v>2272</v>
      </c>
      <c r="O934" s="4" t="s">
        <v>2272</v>
      </c>
      <c r="P934" s="4" t="s">
        <v>2272</v>
      </c>
      <c r="Q934" s="4" t="s">
        <v>2272</v>
      </c>
      <c r="R934" s="4" t="s">
        <v>2272</v>
      </c>
      <c r="S934" s="4" t="s">
        <v>2272</v>
      </c>
      <c r="T934" s="4"/>
    </row>
    <row r="935" spans="1:20" s="199" customFormat="1" ht="36" customHeight="1">
      <c r="A935" s="45" t="s">
        <v>6146</v>
      </c>
      <c r="B935" s="11" t="s">
        <v>31</v>
      </c>
      <c r="C935" s="4" t="s">
        <v>2272</v>
      </c>
      <c r="D935" s="4" t="s">
        <v>2272</v>
      </c>
      <c r="E935" s="4" t="s">
        <v>2272</v>
      </c>
      <c r="F935" s="4" t="s">
        <v>2272</v>
      </c>
      <c r="G935" s="4" t="s">
        <v>2272</v>
      </c>
      <c r="H935" s="4" t="s">
        <v>2272</v>
      </c>
      <c r="I935" s="4" t="s">
        <v>2272</v>
      </c>
      <c r="J935" s="4" t="s">
        <v>2272</v>
      </c>
      <c r="K935" s="4" t="s">
        <v>2272</v>
      </c>
      <c r="L935" s="4" t="s">
        <v>2272</v>
      </c>
      <c r="M935" s="4" t="s">
        <v>2272</v>
      </c>
      <c r="N935" s="4" t="s">
        <v>2272</v>
      </c>
      <c r="O935" s="4" t="s">
        <v>2272</v>
      </c>
      <c r="P935" s="4" t="s">
        <v>2272</v>
      </c>
      <c r="Q935" s="4" t="s">
        <v>2272</v>
      </c>
      <c r="R935" s="4" t="s">
        <v>2272</v>
      </c>
      <c r="S935" s="4" t="s">
        <v>2272</v>
      </c>
      <c r="T935" s="4"/>
    </row>
    <row r="936" spans="1:20" s="56" customFormat="1" ht="42.5" customHeight="1">
      <c r="A936" s="45" t="s">
        <v>6665</v>
      </c>
      <c r="B936" s="11" t="s">
        <v>31</v>
      </c>
      <c r="C936" s="4" t="s">
        <v>2641</v>
      </c>
      <c r="D936" s="4" t="s">
        <v>2648</v>
      </c>
      <c r="E936" s="4" t="s">
        <v>3850</v>
      </c>
      <c r="F936" s="11" t="s">
        <v>5795</v>
      </c>
      <c r="G936" s="4" t="s">
        <v>2272</v>
      </c>
      <c r="H936" s="4" t="s">
        <v>2272</v>
      </c>
      <c r="I936" s="4" t="s">
        <v>2272</v>
      </c>
      <c r="J936" s="4" t="s">
        <v>2272</v>
      </c>
      <c r="K936" s="4" t="s">
        <v>2272</v>
      </c>
      <c r="L936" s="4" t="s">
        <v>2272</v>
      </c>
      <c r="M936" s="4" t="s">
        <v>2272</v>
      </c>
      <c r="N936" s="4" t="s">
        <v>2272</v>
      </c>
      <c r="O936" s="4" t="s">
        <v>2272</v>
      </c>
      <c r="P936" s="4" t="s">
        <v>2272</v>
      </c>
      <c r="Q936" s="4" t="s">
        <v>2272</v>
      </c>
      <c r="R936" s="4" t="s">
        <v>2272</v>
      </c>
      <c r="S936" s="4" t="s">
        <v>2272</v>
      </c>
      <c r="T936" s="4"/>
    </row>
    <row r="937" spans="1:20" s="56" customFormat="1" ht="42.5" customHeight="1">
      <c r="A937" s="45" t="s">
        <v>6147</v>
      </c>
      <c r="B937" s="11" t="s">
        <v>2272</v>
      </c>
      <c r="C937" s="4" t="s">
        <v>2641</v>
      </c>
      <c r="D937" s="4" t="s">
        <v>2648</v>
      </c>
      <c r="E937" s="4" t="s">
        <v>3850</v>
      </c>
      <c r="F937" s="11" t="s">
        <v>5795</v>
      </c>
      <c r="G937" s="4" t="s">
        <v>2272</v>
      </c>
      <c r="H937" s="4" t="s">
        <v>2272</v>
      </c>
      <c r="I937" s="4" t="s">
        <v>2272</v>
      </c>
      <c r="J937" s="4" t="s">
        <v>2272</v>
      </c>
      <c r="K937" s="4" t="s">
        <v>2272</v>
      </c>
      <c r="L937" s="4" t="s">
        <v>2272</v>
      </c>
      <c r="M937" s="4" t="s">
        <v>2272</v>
      </c>
      <c r="N937" s="4" t="s">
        <v>2272</v>
      </c>
      <c r="O937" s="4" t="s">
        <v>2272</v>
      </c>
      <c r="P937" s="71">
        <v>32</v>
      </c>
      <c r="Q937" s="4" t="s">
        <v>2272</v>
      </c>
      <c r="R937" s="71">
        <v>53</v>
      </c>
      <c r="S937" s="4" t="s">
        <v>2272</v>
      </c>
      <c r="T937" s="71" t="s">
        <v>6181</v>
      </c>
    </row>
    <row r="938" spans="1:20" s="56" customFormat="1" ht="42.5" customHeight="1">
      <c r="A938" s="45" t="s">
        <v>6148</v>
      </c>
      <c r="B938" s="11" t="s">
        <v>2272</v>
      </c>
      <c r="C938" s="4" t="s">
        <v>2641</v>
      </c>
      <c r="D938" s="4" t="s">
        <v>2648</v>
      </c>
      <c r="E938" s="4" t="s">
        <v>3850</v>
      </c>
      <c r="F938" s="11" t="s">
        <v>5795</v>
      </c>
      <c r="G938" s="4" t="s">
        <v>2272</v>
      </c>
      <c r="H938" s="4" t="s">
        <v>2272</v>
      </c>
      <c r="I938" s="4" t="s">
        <v>2272</v>
      </c>
      <c r="J938" s="4" t="s">
        <v>2272</v>
      </c>
      <c r="K938" s="4" t="s">
        <v>2272</v>
      </c>
      <c r="L938" s="4" t="s">
        <v>2272</v>
      </c>
      <c r="M938" s="4" t="s">
        <v>2272</v>
      </c>
      <c r="N938" s="4" t="s">
        <v>2272</v>
      </c>
      <c r="O938" s="4" t="s">
        <v>2272</v>
      </c>
      <c r="P938" s="71">
        <v>31</v>
      </c>
      <c r="Q938" s="4" t="s">
        <v>2272</v>
      </c>
      <c r="R938" s="71">
        <v>46</v>
      </c>
      <c r="S938" s="4" t="s">
        <v>2272</v>
      </c>
      <c r="T938" s="71" t="s">
        <v>6181</v>
      </c>
    </row>
    <row r="939" spans="1:20" s="56" customFormat="1" ht="42.5" customHeight="1">
      <c r="A939" s="45" t="s">
        <v>6149</v>
      </c>
      <c r="B939" s="11" t="s">
        <v>2272</v>
      </c>
      <c r="C939" s="4" t="s">
        <v>2641</v>
      </c>
      <c r="D939" s="4" t="s">
        <v>2648</v>
      </c>
      <c r="E939" s="4" t="s">
        <v>3850</v>
      </c>
      <c r="F939" s="11" t="s">
        <v>5795</v>
      </c>
      <c r="G939" s="4" t="s">
        <v>2272</v>
      </c>
      <c r="H939" s="4" t="s">
        <v>2272</v>
      </c>
      <c r="I939" s="4" t="s">
        <v>2272</v>
      </c>
      <c r="J939" s="4" t="s">
        <v>2272</v>
      </c>
      <c r="K939" s="4" t="s">
        <v>2272</v>
      </c>
      <c r="L939" s="4" t="s">
        <v>2272</v>
      </c>
      <c r="M939" s="4" t="s">
        <v>2272</v>
      </c>
      <c r="N939" s="4" t="s">
        <v>2272</v>
      </c>
      <c r="O939" s="4" t="s">
        <v>2272</v>
      </c>
      <c r="P939" s="71">
        <v>18</v>
      </c>
      <c r="Q939" s="4" t="s">
        <v>2272</v>
      </c>
      <c r="R939" s="71">
        <v>45</v>
      </c>
      <c r="S939" s="4" t="s">
        <v>2272</v>
      </c>
      <c r="T939" s="71" t="s">
        <v>6181</v>
      </c>
    </row>
    <row r="940" spans="1:20" s="56" customFormat="1" ht="42.5" customHeight="1">
      <c r="A940" s="45" t="s">
        <v>6150</v>
      </c>
      <c r="B940" s="11" t="s">
        <v>2272</v>
      </c>
      <c r="C940" s="4" t="s">
        <v>2641</v>
      </c>
      <c r="D940" s="4" t="s">
        <v>2648</v>
      </c>
      <c r="E940" s="4" t="s">
        <v>3850</v>
      </c>
      <c r="F940" s="11" t="s">
        <v>5795</v>
      </c>
      <c r="G940" s="4" t="s">
        <v>2272</v>
      </c>
      <c r="H940" s="4" t="s">
        <v>2272</v>
      </c>
      <c r="I940" s="4" t="s">
        <v>2272</v>
      </c>
      <c r="J940" s="4" t="s">
        <v>2272</v>
      </c>
      <c r="K940" s="4" t="s">
        <v>2272</v>
      </c>
      <c r="L940" s="4" t="s">
        <v>2272</v>
      </c>
      <c r="M940" s="4" t="s">
        <v>2272</v>
      </c>
      <c r="N940" s="4" t="s">
        <v>2272</v>
      </c>
      <c r="O940" s="4" t="s">
        <v>2272</v>
      </c>
      <c r="P940" s="71">
        <v>13</v>
      </c>
      <c r="Q940" s="4" t="s">
        <v>2272</v>
      </c>
      <c r="R940" s="71">
        <v>27</v>
      </c>
      <c r="S940" s="4" t="s">
        <v>2272</v>
      </c>
      <c r="T940" s="71" t="s">
        <v>6181</v>
      </c>
    </row>
    <row r="941" spans="1:20" s="56" customFormat="1" ht="42.5" customHeight="1">
      <c r="A941" s="45" t="s">
        <v>6151</v>
      </c>
      <c r="B941" s="11" t="s">
        <v>2272</v>
      </c>
      <c r="C941" s="4" t="s">
        <v>2641</v>
      </c>
      <c r="D941" s="4" t="s">
        <v>2648</v>
      </c>
      <c r="E941" s="4" t="s">
        <v>3850</v>
      </c>
      <c r="F941" s="11" t="s">
        <v>5795</v>
      </c>
      <c r="G941" s="4" t="s">
        <v>2272</v>
      </c>
      <c r="H941" s="4" t="s">
        <v>2272</v>
      </c>
      <c r="I941" s="4" t="s">
        <v>2272</v>
      </c>
      <c r="J941" s="4" t="s">
        <v>2272</v>
      </c>
      <c r="K941" s="4" t="s">
        <v>2272</v>
      </c>
      <c r="L941" s="4" t="s">
        <v>2272</v>
      </c>
      <c r="M941" s="4" t="s">
        <v>2272</v>
      </c>
      <c r="N941" s="4" t="s">
        <v>2272</v>
      </c>
      <c r="O941" s="4" t="s">
        <v>2272</v>
      </c>
      <c r="P941" s="71">
        <v>56</v>
      </c>
      <c r="Q941" s="4" t="s">
        <v>2272</v>
      </c>
      <c r="R941" s="71">
        <v>10</v>
      </c>
      <c r="S941" s="4" t="s">
        <v>2272</v>
      </c>
      <c r="T941" s="71" t="s">
        <v>6181</v>
      </c>
    </row>
    <row r="942" spans="1:20" s="56" customFormat="1" ht="42.5" customHeight="1">
      <c r="A942" s="45" t="s">
        <v>6152</v>
      </c>
      <c r="B942" s="11" t="s">
        <v>2272</v>
      </c>
      <c r="C942" s="4" t="s">
        <v>2641</v>
      </c>
      <c r="D942" s="4" t="s">
        <v>2648</v>
      </c>
      <c r="E942" s="4" t="s">
        <v>3850</v>
      </c>
      <c r="F942" s="11" t="s">
        <v>5795</v>
      </c>
      <c r="G942" s="4" t="s">
        <v>2272</v>
      </c>
      <c r="H942" s="4" t="s">
        <v>2272</v>
      </c>
      <c r="I942" s="4" t="s">
        <v>2272</v>
      </c>
      <c r="J942" s="4" t="s">
        <v>2272</v>
      </c>
      <c r="K942" s="4" t="s">
        <v>2272</v>
      </c>
      <c r="L942" s="4" t="s">
        <v>2272</v>
      </c>
      <c r="M942" s="4" t="s">
        <v>2272</v>
      </c>
      <c r="N942" s="4" t="s">
        <v>2272</v>
      </c>
      <c r="O942" s="4" t="s">
        <v>2272</v>
      </c>
      <c r="P942" s="71">
        <v>37</v>
      </c>
      <c r="Q942" s="4" t="s">
        <v>2272</v>
      </c>
      <c r="R942" s="71">
        <v>31</v>
      </c>
      <c r="S942" s="4" t="s">
        <v>2272</v>
      </c>
      <c r="T942" s="71" t="s">
        <v>6181</v>
      </c>
    </row>
    <row r="943" spans="1:20" s="56" customFormat="1" ht="36" customHeight="1">
      <c r="A943" s="45" t="s">
        <v>6153</v>
      </c>
      <c r="B943" s="11" t="s">
        <v>31</v>
      </c>
      <c r="C943" s="4" t="s">
        <v>2641</v>
      </c>
      <c r="D943" s="4" t="s">
        <v>135</v>
      </c>
      <c r="E943" s="4" t="s">
        <v>2648</v>
      </c>
      <c r="F943" s="4" t="s">
        <v>2647</v>
      </c>
      <c r="G943" s="4" t="s">
        <v>2272</v>
      </c>
      <c r="H943" s="4" t="s">
        <v>2272</v>
      </c>
      <c r="I943" s="4" t="s">
        <v>2272</v>
      </c>
      <c r="J943" s="4" t="s">
        <v>2272</v>
      </c>
      <c r="K943" s="4" t="s">
        <v>2272</v>
      </c>
      <c r="L943" s="4" t="s">
        <v>2272</v>
      </c>
      <c r="M943" s="4" t="s">
        <v>2272</v>
      </c>
      <c r="N943" s="4" t="s">
        <v>2272</v>
      </c>
      <c r="O943" s="4" t="s">
        <v>2272</v>
      </c>
      <c r="P943" s="4" t="s">
        <v>2272</v>
      </c>
      <c r="Q943" s="4" t="s">
        <v>2272</v>
      </c>
      <c r="R943" s="71">
        <v>100</v>
      </c>
      <c r="S943" s="4" t="s">
        <v>2272</v>
      </c>
      <c r="T943" s="4"/>
    </row>
    <row r="944" spans="1:20" s="56" customFormat="1" ht="42" customHeight="1">
      <c r="A944" s="45" t="s">
        <v>6154</v>
      </c>
      <c r="B944" s="11" t="s">
        <v>31</v>
      </c>
      <c r="C944" s="4" t="s">
        <v>2640</v>
      </c>
      <c r="D944" s="4" t="s">
        <v>2644</v>
      </c>
      <c r="E944" s="4" t="s">
        <v>3850</v>
      </c>
      <c r="F944" s="11" t="s">
        <v>5795</v>
      </c>
      <c r="G944" s="4" t="s">
        <v>135</v>
      </c>
      <c r="H944" s="4" t="s">
        <v>2272</v>
      </c>
      <c r="I944" s="198">
        <v>1.8</v>
      </c>
      <c r="J944" s="4" t="s">
        <v>2272</v>
      </c>
      <c r="K944" s="4" t="s">
        <v>532</v>
      </c>
      <c r="L944" s="4" t="s">
        <v>2272</v>
      </c>
      <c r="M944" s="4" t="s">
        <v>2272</v>
      </c>
      <c r="N944" s="71">
        <f>100*78546.16/172737.51</f>
        <v>45.471397613639326</v>
      </c>
      <c r="O944" s="4" t="s">
        <v>2272</v>
      </c>
      <c r="P944" s="4" t="s">
        <v>2272</v>
      </c>
      <c r="Q944" s="4" t="s">
        <v>2272</v>
      </c>
      <c r="R944" s="71">
        <f>100*60306.42/172737.51</f>
        <v>34.91217396846811</v>
      </c>
      <c r="S944" s="4" t="s">
        <v>2272</v>
      </c>
      <c r="T944" s="4" t="s">
        <v>6674</v>
      </c>
    </row>
    <row r="945" spans="1:20" s="56" customFormat="1" ht="56" customHeight="1">
      <c r="A945" s="45" t="s">
        <v>6155</v>
      </c>
      <c r="B945" s="4" t="s">
        <v>69</v>
      </c>
      <c r="C945" s="4" t="s">
        <v>2640</v>
      </c>
      <c r="D945" s="4" t="s">
        <v>2644</v>
      </c>
      <c r="E945" s="4" t="s">
        <v>2648</v>
      </c>
      <c r="F945" s="11" t="s">
        <v>5795</v>
      </c>
      <c r="G945" s="4" t="s">
        <v>3850</v>
      </c>
      <c r="H945" s="4" t="s">
        <v>2272</v>
      </c>
      <c r="I945" s="4" t="s">
        <v>2272</v>
      </c>
      <c r="J945" s="4" t="s">
        <v>2272</v>
      </c>
      <c r="K945" s="4" t="s">
        <v>532</v>
      </c>
      <c r="L945" s="4" t="s">
        <v>2272</v>
      </c>
      <c r="M945" s="4" t="s">
        <v>2272</v>
      </c>
      <c r="N945" s="4" t="s">
        <v>2272</v>
      </c>
      <c r="O945" s="4" t="s">
        <v>2272</v>
      </c>
      <c r="P945" s="4" t="s">
        <v>2272</v>
      </c>
      <c r="Q945" s="4" t="s">
        <v>2272</v>
      </c>
      <c r="R945" s="4" t="s">
        <v>2272</v>
      </c>
      <c r="S945" s="4" t="s">
        <v>2272</v>
      </c>
      <c r="T945" s="4"/>
    </row>
    <row r="946" spans="1:20" s="56" customFormat="1" ht="55" customHeight="1">
      <c r="A946" s="45" t="s">
        <v>6156</v>
      </c>
      <c r="B946" s="11" t="s">
        <v>2272</v>
      </c>
      <c r="C946" s="4" t="s">
        <v>2641</v>
      </c>
      <c r="D946" s="4" t="s">
        <v>2648</v>
      </c>
      <c r="E946" s="11" t="s">
        <v>5795</v>
      </c>
      <c r="F946" s="4" t="s">
        <v>3850</v>
      </c>
      <c r="G946" s="4" t="s">
        <v>2647</v>
      </c>
      <c r="H946" s="4" t="s">
        <v>2272</v>
      </c>
      <c r="I946" s="4" t="s">
        <v>2272</v>
      </c>
      <c r="J946" s="4" t="s">
        <v>2272</v>
      </c>
      <c r="K946" s="4" t="s">
        <v>2272</v>
      </c>
      <c r="L946" s="4" t="s">
        <v>2272</v>
      </c>
      <c r="M946" s="4" t="s">
        <v>2272</v>
      </c>
      <c r="N946" s="4" t="s">
        <v>2272</v>
      </c>
      <c r="O946" s="4" t="s">
        <v>2272</v>
      </c>
      <c r="P946" s="4" t="s">
        <v>2272</v>
      </c>
      <c r="Q946" s="4" t="s">
        <v>2272</v>
      </c>
      <c r="R946" s="4" t="s">
        <v>2272</v>
      </c>
      <c r="S946" s="4" t="s">
        <v>2272</v>
      </c>
      <c r="T946" s="4"/>
    </row>
    <row r="947" spans="1:20" s="56" customFormat="1" ht="55" customHeight="1">
      <c r="A947" s="45" t="s">
        <v>6157</v>
      </c>
      <c r="B947" s="11" t="s">
        <v>2272</v>
      </c>
      <c r="C947" s="4" t="s">
        <v>2641</v>
      </c>
      <c r="D947" s="4" t="s">
        <v>2648</v>
      </c>
      <c r="E947" s="11" t="s">
        <v>5795</v>
      </c>
      <c r="F947" s="4" t="s">
        <v>3850</v>
      </c>
      <c r="G947" s="4" t="s">
        <v>2647</v>
      </c>
      <c r="H947" s="4" t="s">
        <v>2272</v>
      </c>
      <c r="I947" s="4" t="s">
        <v>2272</v>
      </c>
      <c r="J947" s="4" t="s">
        <v>2272</v>
      </c>
      <c r="K947" s="4" t="s">
        <v>2272</v>
      </c>
      <c r="L947" s="4" t="s">
        <v>2272</v>
      </c>
      <c r="M947" s="4" t="s">
        <v>2272</v>
      </c>
      <c r="N947" s="4" t="s">
        <v>2272</v>
      </c>
      <c r="O947" s="4" t="s">
        <v>2272</v>
      </c>
      <c r="P947" s="4" t="s">
        <v>2272</v>
      </c>
      <c r="Q947" s="4" t="s">
        <v>2272</v>
      </c>
      <c r="R947" s="4" t="s">
        <v>2272</v>
      </c>
      <c r="S947" s="4" t="s">
        <v>2272</v>
      </c>
      <c r="T947" s="4"/>
    </row>
    <row r="948" spans="1:20" s="56" customFormat="1" ht="55" customHeight="1">
      <c r="A948" s="45" t="s">
        <v>6158</v>
      </c>
      <c r="B948" s="11" t="s">
        <v>2272</v>
      </c>
      <c r="C948" s="4" t="s">
        <v>2641</v>
      </c>
      <c r="D948" s="4" t="s">
        <v>2648</v>
      </c>
      <c r="E948" s="11" t="s">
        <v>5795</v>
      </c>
      <c r="F948" s="4" t="s">
        <v>3850</v>
      </c>
      <c r="G948" s="4" t="s">
        <v>2647</v>
      </c>
      <c r="H948" s="4" t="s">
        <v>2272</v>
      </c>
      <c r="I948" s="4" t="s">
        <v>2272</v>
      </c>
      <c r="J948" s="4" t="s">
        <v>2272</v>
      </c>
      <c r="K948" s="4" t="s">
        <v>2272</v>
      </c>
      <c r="L948" s="4" t="s">
        <v>2272</v>
      </c>
      <c r="M948" s="4" t="s">
        <v>2272</v>
      </c>
      <c r="N948" s="4" t="s">
        <v>2272</v>
      </c>
      <c r="O948" s="4" t="s">
        <v>2272</v>
      </c>
      <c r="P948" s="4" t="s">
        <v>2272</v>
      </c>
      <c r="Q948" s="4" t="s">
        <v>2272</v>
      </c>
      <c r="R948" s="4" t="s">
        <v>2272</v>
      </c>
      <c r="S948" s="4" t="s">
        <v>2272</v>
      </c>
      <c r="T948" s="4"/>
    </row>
    <row r="949" spans="1:20" s="199" customFormat="1" ht="42.5" customHeight="1">
      <c r="A949" s="46" t="s">
        <v>6159</v>
      </c>
      <c r="B949" s="11" t="s">
        <v>31</v>
      </c>
      <c r="C949" s="198" t="s">
        <v>11</v>
      </c>
      <c r="D949" s="4" t="s">
        <v>3850</v>
      </c>
      <c r="E949" s="11" t="s">
        <v>5795</v>
      </c>
      <c r="F949" s="4" t="s">
        <v>2648</v>
      </c>
      <c r="G949" s="4" t="s">
        <v>2272</v>
      </c>
      <c r="H949" s="4" t="s">
        <v>2272</v>
      </c>
      <c r="I949" s="198">
        <v>7</v>
      </c>
      <c r="J949" s="4" t="s">
        <v>2272</v>
      </c>
      <c r="K949" s="4" t="s">
        <v>2272</v>
      </c>
      <c r="L949" s="4" t="s">
        <v>2272</v>
      </c>
      <c r="M949" s="4" t="s">
        <v>2272</v>
      </c>
      <c r="N949" s="4" t="s">
        <v>2272</v>
      </c>
      <c r="O949" s="71">
        <f>AVERAGE(583.4, 594.3)/('Record info'!K949)</f>
        <v>15.927779280497699</v>
      </c>
      <c r="P949" s="71">
        <f>AVERAGE(1345.2, 1169.1)/('Record info'!K949)</f>
        <v>34.004598322964569</v>
      </c>
      <c r="Q949" s="71">
        <f>AVERAGE(757.5, 612.2)/36.89</f>
        <v>18.564651667118461</v>
      </c>
      <c r="R949" s="71">
        <f>SUM(50.4, 49.8, 288.1, 260.8, 411.8, 387.7, 615.3, 268.9)/2/36.87</f>
        <v>31.635475996745328</v>
      </c>
      <c r="S949" s="19"/>
      <c r="T949" s="19" t="s">
        <v>6794</v>
      </c>
    </row>
    <row r="950" spans="1:20" s="199" customFormat="1" ht="42.5" customHeight="1">
      <c r="A950" s="46" t="s">
        <v>6160</v>
      </c>
      <c r="B950" s="11" t="s">
        <v>31</v>
      </c>
      <c r="C950" s="198" t="s">
        <v>11</v>
      </c>
      <c r="D950" s="11" t="s">
        <v>5795</v>
      </c>
      <c r="E950" s="4" t="s">
        <v>3850</v>
      </c>
      <c r="F950" s="4" t="s">
        <v>2648</v>
      </c>
      <c r="G950" s="4" t="s">
        <v>2272</v>
      </c>
      <c r="H950" s="4" t="s">
        <v>2272</v>
      </c>
      <c r="I950" s="4" t="s">
        <v>2272</v>
      </c>
      <c r="J950" s="4" t="s">
        <v>2272</v>
      </c>
      <c r="K950" s="4" t="s">
        <v>2272</v>
      </c>
      <c r="L950" s="19" t="s">
        <v>2272</v>
      </c>
      <c r="M950" s="19" t="s">
        <v>2272</v>
      </c>
      <c r="N950" s="19" t="s">
        <v>2272</v>
      </c>
      <c r="O950" s="19" t="s">
        <v>2272</v>
      </c>
      <c r="P950" s="71">
        <f>32</f>
        <v>32</v>
      </c>
      <c r="Q950" s="71">
        <f>32.5</f>
        <v>32.5</v>
      </c>
      <c r="R950" s="71">
        <f>32.5</f>
        <v>32.5</v>
      </c>
      <c r="S950" s="19" t="s">
        <v>2272</v>
      </c>
      <c r="T950" s="19" t="s">
        <v>6792</v>
      </c>
    </row>
    <row r="951" spans="1:20" s="56" customFormat="1" ht="42.5" customHeight="1">
      <c r="A951" s="45" t="s">
        <v>6161</v>
      </c>
      <c r="B951" s="11" t="s">
        <v>2272</v>
      </c>
      <c r="C951" s="4" t="s">
        <v>2641</v>
      </c>
      <c r="D951" s="4" t="s">
        <v>135</v>
      </c>
      <c r="E951" s="4" t="s">
        <v>3850</v>
      </c>
      <c r="F951" s="11" t="s">
        <v>5795</v>
      </c>
      <c r="G951" s="4" t="s">
        <v>2647</v>
      </c>
      <c r="H951" s="4" t="s">
        <v>2272</v>
      </c>
      <c r="I951" s="4" t="s">
        <v>2272</v>
      </c>
      <c r="J951" s="4" t="s">
        <v>2272</v>
      </c>
      <c r="K951" s="4" t="s">
        <v>2272</v>
      </c>
      <c r="L951" s="4" t="s">
        <v>2272</v>
      </c>
      <c r="M951" s="4" t="s">
        <v>2272</v>
      </c>
      <c r="N951" s="4" t="s">
        <v>2272</v>
      </c>
      <c r="O951" s="4" t="s">
        <v>2272</v>
      </c>
      <c r="P951" s="4" t="s">
        <v>2272</v>
      </c>
      <c r="Q951" s="4" t="s">
        <v>2272</v>
      </c>
      <c r="R951" s="4" t="s">
        <v>2272</v>
      </c>
      <c r="S951" s="4" t="s">
        <v>2272</v>
      </c>
      <c r="T951" s="4"/>
    </row>
    <row r="952" spans="1:20" s="56" customFormat="1" ht="42.5" customHeight="1">
      <c r="A952" s="45" t="s">
        <v>6162</v>
      </c>
      <c r="B952" s="11" t="s">
        <v>2272</v>
      </c>
      <c r="C952" s="4" t="s">
        <v>2641</v>
      </c>
      <c r="D952" s="4" t="s">
        <v>135</v>
      </c>
      <c r="E952" s="4" t="s">
        <v>3850</v>
      </c>
      <c r="F952" s="11" t="s">
        <v>5795</v>
      </c>
      <c r="G952" s="4" t="s">
        <v>2647</v>
      </c>
      <c r="H952" s="4" t="s">
        <v>2272</v>
      </c>
      <c r="I952" s="4" t="s">
        <v>2272</v>
      </c>
      <c r="J952" s="4" t="s">
        <v>2272</v>
      </c>
      <c r="K952" s="4" t="s">
        <v>2272</v>
      </c>
      <c r="L952" s="4" t="s">
        <v>2272</v>
      </c>
      <c r="M952" s="4" t="s">
        <v>2272</v>
      </c>
      <c r="N952" s="4" t="s">
        <v>2272</v>
      </c>
      <c r="O952" s="4" t="s">
        <v>2272</v>
      </c>
      <c r="P952" s="4" t="s">
        <v>2272</v>
      </c>
      <c r="Q952" s="4" t="s">
        <v>2272</v>
      </c>
      <c r="R952" s="4" t="s">
        <v>2272</v>
      </c>
      <c r="S952" s="4" t="s">
        <v>2272</v>
      </c>
      <c r="T952" s="4"/>
    </row>
    <row r="953" spans="1:20" s="56" customFormat="1" ht="42.5" customHeight="1">
      <c r="A953" s="45" t="s">
        <v>6163</v>
      </c>
      <c r="B953" s="11" t="s">
        <v>2272</v>
      </c>
      <c r="C953" s="4" t="s">
        <v>2641</v>
      </c>
      <c r="D953" s="4" t="s">
        <v>135</v>
      </c>
      <c r="E953" s="4" t="s">
        <v>3850</v>
      </c>
      <c r="F953" s="11" t="s">
        <v>5795</v>
      </c>
      <c r="G953" s="4" t="s">
        <v>2647</v>
      </c>
      <c r="H953" s="4" t="s">
        <v>2272</v>
      </c>
      <c r="I953" s="4" t="s">
        <v>2272</v>
      </c>
      <c r="J953" s="4" t="s">
        <v>2272</v>
      </c>
      <c r="K953" s="4" t="s">
        <v>2272</v>
      </c>
      <c r="L953" s="4" t="s">
        <v>2272</v>
      </c>
      <c r="M953" s="4" t="s">
        <v>2272</v>
      </c>
      <c r="N953" s="4" t="s">
        <v>2272</v>
      </c>
      <c r="O953" s="4" t="s">
        <v>2272</v>
      </c>
      <c r="P953" s="4" t="s">
        <v>2272</v>
      </c>
      <c r="Q953" s="4" t="s">
        <v>2272</v>
      </c>
      <c r="R953" s="4" t="s">
        <v>2272</v>
      </c>
      <c r="S953" s="4" t="s">
        <v>2272</v>
      </c>
      <c r="T953" s="4"/>
    </row>
    <row r="954" spans="1:20" s="56" customFormat="1" ht="42.5" customHeight="1">
      <c r="A954" s="45" t="s">
        <v>6164</v>
      </c>
      <c r="B954" s="11" t="s">
        <v>2272</v>
      </c>
      <c r="C954" s="4" t="s">
        <v>2641</v>
      </c>
      <c r="D954" s="4" t="s">
        <v>135</v>
      </c>
      <c r="E954" s="4" t="s">
        <v>3850</v>
      </c>
      <c r="F954" s="11" t="s">
        <v>5795</v>
      </c>
      <c r="G954" s="4" t="s">
        <v>2647</v>
      </c>
      <c r="H954" s="4" t="s">
        <v>2272</v>
      </c>
      <c r="I954" s="4" t="s">
        <v>2272</v>
      </c>
      <c r="J954" s="4" t="s">
        <v>2272</v>
      </c>
      <c r="K954" s="4" t="s">
        <v>2272</v>
      </c>
      <c r="L954" s="4" t="s">
        <v>2272</v>
      </c>
      <c r="M954" s="4" t="s">
        <v>2272</v>
      </c>
      <c r="N954" s="4" t="s">
        <v>2272</v>
      </c>
      <c r="O954" s="4" t="s">
        <v>2272</v>
      </c>
      <c r="P954" s="4" t="s">
        <v>2272</v>
      </c>
      <c r="Q954" s="4" t="s">
        <v>2272</v>
      </c>
      <c r="R954" s="4" t="s">
        <v>2272</v>
      </c>
      <c r="S954" s="4" t="s">
        <v>2272</v>
      </c>
      <c r="T954" s="4"/>
    </row>
    <row r="955" spans="1:20" s="56" customFormat="1" ht="42.5" customHeight="1">
      <c r="A955" s="45" t="s">
        <v>6165</v>
      </c>
      <c r="B955" s="11" t="s">
        <v>2272</v>
      </c>
      <c r="C955" s="4" t="s">
        <v>2641</v>
      </c>
      <c r="D955" s="4" t="s">
        <v>135</v>
      </c>
      <c r="E955" s="4" t="s">
        <v>3850</v>
      </c>
      <c r="F955" s="11" t="s">
        <v>5795</v>
      </c>
      <c r="G955" s="4" t="s">
        <v>2647</v>
      </c>
      <c r="H955" s="4" t="s">
        <v>2272</v>
      </c>
      <c r="I955" s="4" t="s">
        <v>2272</v>
      </c>
      <c r="J955" s="4" t="s">
        <v>2272</v>
      </c>
      <c r="K955" s="4" t="s">
        <v>2272</v>
      </c>
      <c r="L955" s="4" t="s">
        <v>2272</v>
      </c>
      <c r="M955" s="4" t="s">
        <v>2272</v>
      </c>
      <c r="N955" s="4" t="s">
        <v>2272</v>
      </c>
      <c r="O955" s="4" t="s">
        <v>2272</v>
      </c>
      <c r="P955" s="4" t="s">
        <v>2272</v>
      </c>
      <c r="Q955" s="4" t="s">
        <v>2272</v>
      </c>
      <c r="R955" s="4" t="s">
        <v>2272</v>
      </c>
      <c r="S955" s="4" t="s">
        <v>2272</v>
      </c>
      <c r="T955" s="4"/>
    </row>
    <row r="956" spans="1:20" s="56" customFormat="1" ht="42.5" customHeight="1">
      <c r="A956" s="45" t="s">
        <v>6166</v>
      </c>
      <c r="B956" s="11" t="s">
        <v>2272</v>
      </c>
      <c r="C956" s="4" t="s">
        <v>2641</v>
      </c>
      <c r="D956" s="4" t="s">
        <v>135</v>
      </c>
      <c r="E956" s="4" t="s">
        <v>3850</v>
      </c>
      <c r="F956" s="11" t="s">
        <v>5795</v>
      </c>
      <c r="G956" s="4" t="s">
        <v>2647</v>
      </c>
      <c r="H956" s="4" t="s">
        <v>2272</v>
      </c>
      <c r="I956" s="4" t="s">
        <v>2272</v>
      </c>
      <c r="J956" s="4" t="s">
        <v>2272</v>
      </c>
      <c r="K956" s="4" t="s">
        <v>2272</v>
      </c>
      <c r="L956" s="4" t="s">
        <v>2272</v>
      </c>
      <c r="M956" s="4" t="s">
        <v>2272</v>
      </c>
      <c r="N956" s="4" t="s">
        <v>2272</v>
      </c>
      <c r="O956" s="4" t="s">
        <v>2272</v>
      </c>
      <c r="P956" s="4" t="s">
        <v>2272</v>
      </c>
      <c r="Q956" s="4" t="s">
        <v>2272</v>
      </c>
      <c r="R956" s="4" t="s">
        <v>2272</v>
      </c>
      <c r="S956" s="4" t="s">
        <v>2272</v>
      </c>
      <c r="T956" s="4"/>
    </row>
    <row r="957" spans="1:20" s="56" customFormat="1" ht="42.5" customHeight="1">
      <c r="A957" s="45" t="s">
        <v>6167</v>
      </c>
      <c r="B957" s="11" t="s">
        <v>2272</v>
      </c>
      <c r="C957" s="4" t="s">
        <v>2641</v>
      </c>
      <c r="D957" s="4" t="s">
        <v>135</v>
      </c>
      <c r="E957" s="4" t="s">
        <v>3850</v>
      </c>
      <c r="F957" s="11" t="s">
        <v>5795</v>
      </c>
      <c r="G957" s="4" t="s">
        <v>2647</v>
      </c>
      <c r="H957" s="4" t="s">
        <v>2272</v>
      </c>
      <c r="I957" s="4" t="s">
        <v>2272</v>
      </c>
      <c r="J957" s="4" t="s">
        <v>2272</v>
      </c>
      <c r="K957" s="4" t="s">
        <v>2272</v>
      </c>
      <c r="L957" s="4" t="s">
        <v>2272</v>
      </c>
      <c r="M957" s="4" t="s">
        <v>2272</v>
      </c>
      <c r="N957" s="4" t="s">
        <v>2272</v>
      </c>
      <c r="O957" s="4" t="s">
        <v>2272</v>
      </c>
      <c r="P957" s="4" t="s">
        <v>2272</v>
      </c>
      <c r="Q957" s="4" t="s">
        <v>2272</v>
      </c>
      <c r="R957" s="4" t="s">
        <v>2272</v>
      </c>
      <c r="S957" s="4" t="s">
        <v>2272</v>
      </c>
      <c r="T957" s="4"/>
    </row>
    <row r="958" spans="1:20" s="56" customFormat="1" ht="42.5" customHeight="1">
      <c r="A958" s="45" t="s">
        <v>6168</v>
      </c>
      <c r="B958" s="11" t="s">
        <v>2272</v>
      </c>
      <c r="C958" s="4" t="s">
        <v>2641</v>
      </c>
      <c r="D958" s="4" t="s">
        <v>135</v>
      </c>
      <c r="E958" s="4" t="s">
        <v>3850</v>
      </c>
      <c r="F958" s="11" t="s">
        <v>5795</v>
      </c>
      <c r="G958" s="4" t="s">
        <v>2647</v>
      </c>
      <c r="H958" s="4" t="s">
        <v>2272</v>
      </c>
      <c r="I958" s="4" t="s">
        <v>2272</v>
      </c>
      <c r="J958" s="4" t="s">
        <v>2272</v>
      </c>
      <c r="K958" s="4" t="s">
        <v>2272</v>
      </c>
      <c r="L958" s="4" t="s">
        <v>2272</v>
      </c>
      <c r="M958" s="4" t="s">
        <v>2272</v>
      </c>
      <c r="N958" s="4" t="s">
        <v>2272</v>
      </c>
      <c r="O958" s="4" t="s">
        <v>2272</v>
      </c>
      <c r="P958" s="4" t="s">
        <v>2272</v>
      </c>
      <c r="Q958" s="4" t="s">
        <v>2272</v>
      </c>
      <c r="R958" s="4" t="s">
        <v>2272</v>
      </c>
      <c r="S958" s="4" t="s">
        <v>2272</v>
      </c>
      <c r="T958" s="4"/>
    </row>
    <row r="959" spans="1:20" s="56" customFormat="1" ht="42.5" customHeight="1">
      <c r="A959" s="45" t="s">
        <v>6169</v>
      </c>
      <c r="B959" s="11" t="s">
        <v>2272</v>
      </c>
      <c r="C959" s="4" t="s">
        <v>2641</v>
      </c>
      <c r="D959" s="4" t="s">
        <v>135</v>
      </c>
      <c r="E959" s="4" t="s">
        <v>3850</v>
      </c>
      <c r="F959" s="11" t="s">
        <v>5795</v>
      </c>
      <c r="G959" s="4" t="s">
        <v>2647</v>
      </c>
      <c r="H959" s="4" t="s">
        <v>2272</v>
      </c>
      <c r="I959" s="4" t="s">
        <v>2272</v>
      </c>
      <c r="J959" s="4" t="s">
        <v>2272</v>
      </c>
      <c r="K959" s="4" t="s">
        <v>2272</v>
      </c>
      <c r="L959" s="4" t="s">
        <v>2272</v>
      </c>
      <c r="M959" s="4" t="s">
        <v>2272</v>
      </c>
      <c r="N959" s="4" t="s">
        <v>2272</v>
      </c>
      <c r="O959" s="4" t="s">
        <v>2272</v>
      </c>
      <c r="P959" s="4" t="s">
        <v>2272</v>
      </c>
      <c r="Q959" s="4" t="s">
        <v>2272</v>
      </c>
      <c r="R959" s="4" t="s">
        <v>2272</v>
      </c>
      <c r="S959" s="4" t="s">
        <v>2272</v>
      </c>
      <c r="T959" s="4"/>
    </row>
    <row r="960" spans="1:20" s="56" customFormat="1" ht="42.5" customHeight="1">
      <c r="A960" s="45" t="s">
        <v>6170</v>
      </c>
      <c r="B960" s="11" t="s">
        <v>2272</v>
      </c>
      <c r="C960" s="4" t="s">
        <v>2641</v>
      </c>
      <c r="D960" s="4" t="s">
        <v>135</v>
      </c>
      <c r="E960" s="4" t="s">
        <v>3850</v>
      </c>
      <c r="F960" s="11" t="s">
        <v>5795</v>
      </c>
      <c r="G960" s="4" t="s">
        <v>2647</v>
      </c>
      <c r="H960" s="4" t="s">
        <v>2272</v>
      </c>
      <c r="I960" s="4" t="s">
        <v>2272</v>
      </c>
      <c r="J960" s="4" t="s">
        <v>2272</v>
      </c>
      <c r="K960" s="4" t="s">
        <v>2272</v>
      </c>
      <c r="L960" s="4" t="s">
        <v>2272</v>
      </c>
      <c r="M960" s="4" t="s">
        <v>2272</v>
      </c>
      <c r="N960" s="4" t="s">
        <v>2272</v>
      </c>
      <c r="O960" s="4" t="s">
        <v>2272</v>
      </c>
      <c r="P960" s="4" t="s">
        <v>2272</v>
      </c>
      <c r="Q960" s="4" t="s">
        <v>2272</v>
      </c>
      <c r="R960" s="4" t="s">
        <v>2272</v>
      </c>
      <c r="S960" s="4" t="s">
        <v>2272</v>
      </c>
      <c r="T960" s="4"/>
    </row>
    <row r="961" spans="1:20" s="56" customFormat="1" ht="42.5" customHeight="1">
      <c r="A961" s="45" t="s">
        <v>6171</v>
      </c>
      <c r="B961" s="11" t="s">
        <v>2272</v>
      </c>
      <c r="C961" s="4" t="s">
        <v>2641</v>
      </c>
      <c r="D961" s="4" t="s">
        <v>135</v>
      </c>
      <c r="E961" s="4" t="s">
        <v>3850</v>
      </c>
      <c r="F961" s="11" t="s">
        <v>5795</v>
      </c>
      <c r="G961" s="4" t="s">
        <v>2647</v>
      </c>
      <c r="H961" s="4" t="s">
        <v>2272</v>
      </c>
      <c r="I961" s="4" t="s">
        <v>2272</v>
      </c>
      <c r="J961" s="4" t="s">
        <v>2272</v>
      </c>
      <c r="K961" s="4" t="s">
        <v>2272</v>
      </c>
      <c r="L961" s="4" t="s">
        <v>2272</v>
      </c>
      <c r="M961" s="4" t="s">
        <v>2272</v>
      </c>
      <c r="N961" s="4" t="s">
        <v>2272</v>
      </c>
      <c r="O961" s="4" t="s">
        <v>2272</v>
      </c>
      <c r="P961" s="4" t="s">
        <v>2272</v>
      </c>
      <c r="Q961" s="4" t="s">
        <v>2272</v>
      </c>
      <c r="R961" s="4" t="s">
        <v>2272</v>
      </c>
      <c r="S961" s="4" t="s">
        <v>2272</v>
      </c>
      <c r="T961" s="4"/>
    </row>
    <row r="962" spans="1:20" s="56" customFormat="1" ht="42.5" customHeight="1">
      <c r="A962" s="45" t="s">
        <v>6172</v>
      </c>
      <c r="B962" s="11" t="s">
        <v>2272</v>
      </c>
      <c r="C962" s="4" t="s">
        <v>2641</v>
      </c>
      <c r="D962" s="4" t="s">
        <v>135</v>
      </c>
      <c r="E962" s="4" t="s">
        <v>3850</v>
      </c>
      <c r="F962" s="11" t="s">
        <v>5795</v>
      </c>
      <c r="G962" s="4" t="s">
        <v>2647</v>
      </c>
      <c r="H962" s="4" t="s">
        <v>2272</v>
      </c>
      <c r="I962" s="4" t="s">
        <v>2272</v>
      </c>
      <c r="J962" s="4" t="s">
        <v>2272</v>
      </c>
      <c r="K962" s="4" t="s">
        <v>2272</v>
      </c>
      <c r="L962" s="4" t="s">
        <v>2272</v>
      </c>
      <c r="M962" s="4" t="s">
        <v>2272</v>
      </c>
      <c r="N962" s="4" t="s">
        <v>2272</v>
      </c>
      <c r="O962" s="4" t="s">
        <v>2272</v>
      </c>
      <c r="P962" s="4" t="s">
        <v>2272</v>
      </c>
      <c r="Q962" s="4" t="s">
        <v>2272</v>
      </c>
      <c r="R962" s="4" t="s">
        <v>2272</v>
      </c>
      <c r="S962" s="4" t="s">
        <v>2272</v>
      </c>
      <c r="T962" s="4"/>
    </row>
    <row r="963" spans="1:20" s="56" customFormat="1" ht="42.5" customHeight="1">
      <c r="A963" s="46" t="s">
        <v>6173</v>
      </c>
      <c r="B963" s="11" t="s">
        <v>69</v>
      </c>
      <c r="C963" s="11" t="s">
        <v>11</v>
      </c>
      <c r="D963" s="19" t="s">
        <v>82</v>
      </c>
      <c r="E963" s="11" t="s">
        <v>5795</v>
      </c>
      <c r="F963" s="11" t="s">
        <v>5001</v>
      </c>
      <c r="G963" s="19" t="s">
        <v>3849</v>
      </c>
      <c r="H963" s="70" t="s">
        <v>2272</v>
      </c>
      <c r="I963" s="70" t="s">
        <v>2272</v>
      </c>
      <c r="J963" s="70" t="s">
        <v>2272</v>
      </c>
      <c r="K963" s="19" t="s">
        <v>2272</v>
      </c>
      <c r="L963" s="70" t="s">
        <v>2272</v>
      </c>
      <c r="M963" s="70" t="s">
        <v>2272</v>
      </c>
      <c r="N963" s="70" t="s">
        <v>2272</v>
      </c>
      <c r="O963" s="70" t="s">
        <v>2272</v>
      </c>
      <c r="P963" s="70" t="s">
        <v>2272</v>
      </c>
      <c r="Q963" s="70" t="s">
        <v>2272</v>
      </c>
      <c r="R963" s="70" t="s">
        <v>2272</v>
      </c>
      <c r="S963" s="70" t="s">
        <v>2272</v>
      </c>
      <c r="T963" s="19"/>
    </row>
    <row r="964" spans="1:20" s="56" customFormat="1" ht="42.5" customHeight="1">
      <c r="A964" s="19" t="s">
        <v>6174</v>
      </c>
      <c r="B964" s="11" t="s">
        <v>2272</v>
      </c>
      <c r="C964" s="4" t="s">
        <v>2641</v>
      </c>
      <c r="D964" s="11" t="s">
        <v>5795</v>
      </c>
      <c r="E964" s="19" t="s">
        <v>3850</v>
      </c>
      <c r="F964" s="19" t="s">
        <v>2272</v>
      </c>
      <c r="G964" s="19" t="s">
        <v>2272</v>
      </c>
      <c r="H964" s="19" t="s">
        <v>2272</v>
      </c>
      <c r="I964" s="198">
        <v>1</v>
      </c>
      <c r="J964" s="19" t="s">
        <v>2272</v>
      </c>
      <c r="K964" s="19" t="s">
        <v>2272</v>
      </c>
      <c r="L964" s="19" t="s">
        <v>2272</v>
      </c>
      <c r="M964" s="19" t="s">
        <v>2272</v>
      </c>
      <c r="N964" s="19" t="s">
        <v>2272</v>
      </c>
      <c r="O964" s="71">
        <v>28</v>
      </c>
      <c r="P964" s="71">
        <v>15</v>
      </c>
      <c r="Q964" s="19" t="s">
        <v>2272</v>
      </c>
      <c r="R964" s="71">
        <v>52</v>
      </c>
      <c r="S964" s="19" t="s">
        <v>2272</v>
      </c>
      <c r="T964" s="4" t="s">
        <v>6857</v>
      </c>
    </row>
    <row r="965" spans="1:20" s="199" customFormat="1" ht="48" customHeight="1">
      <c r="A965" s="19" t="s">
        <v>6801</v>
      </c>
      <c r="B965" s="11" t="s">
        <v>2272</v>
      </c>
      <c r="C965" s="4" t="s">
        <v>2641</v>
      </c>
      <c r="D965" s="19" t="s">
        <v>3850</v>
      </c>
      <c r="E965" s="11" t="s">
        <v>5795</v>
      </c>
      <c r="F965" s="19"/>
      <c r="G965" s="19" t="s">
        <v>2272</v>
      </c>
      <c r="H965" s="19" t="s">
        <v>2272</v>
      </c>
      <c r="I965" s="198">
        <v>10</v>
      </c>
      <c r="J965" s="19" t="s">
        <v>2272</v>
      </c>
      <c r="K965" s="19" t="s">
        <v>2272</v>
      </c>
      <c r="L965" s="19" t="s">
        <v>2272</v>
      </c>
      <c r="M965" s="19" t="s">
        <v>2272</v>
      </c>
      <c r="N965" s="19" t="s">
        <v>2272</v>
      </c>
      <c r="O965" s="71">
        <v>54</v>
      </c>
      <c r="P965" s="71">
        <v>38</v>
      </c>
      <c r="Q965" s="19" t="s">
        <v>2272</v>
      </c>
      <c r="R965" s="71">
        <v>2</v>
      </c>
      <c r="S965" s="19" t="s">
        <v>2272</v>
      </c>
      <c r="T965" s="4" t="s">
        <v>5794</v>
      </c>
    </row>
    <row r="966" spans="1:20" s="199" customFormat="1" ht="48" customHeight="1">
      <c r="A966" s="19" t="s">
        <v>6802</v>
      </c>
      <c r="B966" s="11" t="s">
        <v>2272</v>
      </c>
      <c r="C966" s="4" t="s">
        <v>2641</v>
      </c>
      <c r="D966" s="11" t="s">
        <v>5795</v>
      </c>
      <c r="E966" s="19" t="s">
        <v>3850</v>
      </c>
      <c r="F966" s="19" t="s">
        <v>2272</v>
      </c>
      <c r="G966" s="19" t="s">
        <v>2272</v>
      </c>
      <c r="H966" s="19" t="s">
        <v>2272</v>
      </c>
      <c r="I966" s="198">
        <v>105</v>
      </c>
      <c r="J966" s="19" t="s">
        <v>2272</v>
      </c>
      <c r="K966" s="19" t="s">
        <v>2272</v>
      </c>
      <c r="L966" s="19" t="s">
        <v>2272</v>
      </c>
      <c r="M966" s="19" t="s">
        <v>2272</v>
      </c>
      <c r="N966" s="19" t="s">
        <v>2272</v>
      </c>
      <c r="O966" s="19" t="s">
        <v>2272</v>
      </c>
      <c r="P966" s="19" t="s">
        <v>2272</v>
      </c>
      <c r="Q966" s="19" t="s">
        <v>2272</v>
      </c>
      <c r="R966" s="19" t="s">
        <v>2272</v>
      </c>
      <c r="S966" s="19" t="s">
        <v>2272</v>
      </c>
      <c r="T966" s="4" t="s">
        <v>5794</v>
      </c>
    </row>
    <row r="967" spans="1:20" s="199" customFormat="1" ht="48" customHeight="1">
      <c r="A967" s="19" t="s">
        <v>6803</v>
      </c>
      <c r="B967" s="11" t="s">
        <v>2272</v>
      </c>
      <c r="C967" s="4" t="s">
        <v>2641</v>
      </c>
      <c r="D967" s="11" t="s">
        <v>5795</v>
      </c>
      <c r="E967" s="19" t="s">
        <v>3850</v>
      </c>
      <c r="F967" s="19" t="s">
        <v>2272</v>
      </c>
      <c r="G967" s="19" t="s">
        <v>2272</v>
      </c>
      <c r="H967" s="19" t="s">
        <v>2272</v>
      </c>
      <c r="I967" s="198">
        <v>12</v>
      </c>
      <c r="J967" s="19" t="s">
        <v>2272</v>
      </c>
      <c r="K967" s="19" t="s">
        <v>2272</v>
      </c>
      <c r="L967" s="19" t="s">
        <v>2272</v>
      </c>
      <c r="M967" s="19" t="s">
        <v>2272</v>
      </c>
      <c r="N967" s="19" t="s">
        <v>2272</v>
      </c>
      <c r="O967" s="19" t="s">
        <v>2272</v>
      </c>
      <c r="P967" s="19" t="s">
        <v>2272</v>
      </c>
      <c r="Q967" s="19" t="s">
        <v>2272</v>
      </c>
      <c r="R967" s="19" t="s">
        <v>2272</v>
      </c>
      <c r="S967" s="19" t="s">
        <v>2272</v>
      </c>
      <c r="T967" s="4" t="s">
        <v>6857</v>
      </c>
    </row>
    <row r="968" spans="1:20" s="199" customFormat="1" ht="48" customHeight="1">
      <c r="A968" s="19" t="s">
        <v>6804</v>
      </c>
      <c r="B968" s="11" t="s">
        <v>2272</v>
      </c>
      <c r="C968" s="4" t="s">
        <v>2641</v>
      </c>
      <c r="D968" s="19" t="s">
        <v>3850</v>
      </c>
      <c r="E968" s="11" t="s">
        <v>5795</v>
      </c>
      <c r="F968" s="19" t="s">
        <v>2272</v>
      </c>
      <c r="G968" s="19" t="s">
        <v>2272</v>
      </c>
      <c r="H968" s="19" t="s">
        <v>2272</v>
      </c>
      <c r="I968" s="198">
        <v>1</v>
      </c>
      <c r="J968" s="19" t="s">
        <v>2272</v>
      </c>
      <c r="K968" s="19" t="s">
        <v>2272</v>
      </c>
      <c r="L968" s="19" t="s">
        <v>2272</v>
      </c>
      <c r="M968" s="19" t="s">
        <v>2272</v>
      </c>
      <c r="N968" s="19" t="s">
        <v>2272</v>
      </c>
      <c r="O968" s="19" t="s">
        <v>2272</v>
      </c>
      <c r="P968" s="19" t="s">
        <v>2272</v>
      </c>
      <c r="Q968" s="19" t="s">
        <v>2272</v>
      </c>
      <c r="R968" s="19" t="s">
        <v>2272</v>
      </c>
      <c r="S968" s="19" t="s">
        <v>2272</v>
      </c>
      <c r="T968" s="4" t="s">
        <v>5794</v>
      </c>
    </row>
    <row r="969" spans="1:20" s="199" customFormat="1" ht="48" customHeight="1">
      <c r="A969" s="19" t="s">
        <v>6805</v>
      </c>
      <c r="B969" s="11" t="s">
        <v>2272</v>
      </c>
      <c r="C969" s="4" t="s">
        <v>2641</v>
      </c>
      <c r="D969" s="19" t="s">
        <v>3850</v>
      </c>
      <c r="E969" s="11" t="s">
        <v>5795</v>
      </c>
      <c r="F969" s="19" t="s">
        <v>2272</v>
      </c>
      <c r="G969" s="19" t="s">
        <v>2272</v>
      </c>
      <c r="H969" s="19" t="s">
        <v>2272</v>
      </c>
      <c r="I969" s="198">
        <v>9</v>
      </c>
      <c r="J969" s="19" t="s">
        <v>2272</v>
      </c>
      <c r="K969" s="19" t="s">
        <v>2272</v>
      </c>
      <c r="L969" s="19" t="s">
        <v>2272</v>
      </c>
      <c r="M969" s="19" t="s">
        <v>2272</v>
      </c>
      <c r="N969" s="19" t="s">
        <v>2272</v>
      </c>
      <c r="O969" s="71">
        <v>7</v>
      </c>
      <c r="P969" s="71">
        <v>55</v>
      </c>
      <c r="Q969" s="19" t="s">
        <v>2272</v>
      </c>
      <c r="R969" s="19" t="s">
        <v>2272</v>
      </c>
      <c r="S969" s="19" t="s">
        <v>2272</v>
      </c>
      <c r="T969" s="4" t="s">
        <v>5794</v>
      </c>
    </row>
    <row r="970" spans="1:20" s="199" customFormat="1" ht="48" customHeight="1">
      <c r="A970" s="19" t="s">
        <v>6806</v>
      </c>
      <c r="B970" s="11" t="s">
        <v>2272</v>
      </c>
      <c r="C970" s="4" t="s">
        <v>2641</v>
      </c>
      <c r="D970" s="19" t="s">
        <v>3850</v>
      </c>
      <c r="E970" s="11" t="s">
        <v>5795</v>
      </c>
      <c r="F970" s="19" t="s">
        <v>2272</v>
      </c>
      <c r="G970" s="19" t="s">
        <v>2272</v>
      </c>
      <c r="H970" s="19" t="s">
        <v>2272</v>
      </c>
      <c r="I970" s="198">
        <v>8.5</v>
      </c>
      <c r="J970" s="19" t="s">
        <v>2272</v>
      </c>
      <c r="K970" s="19" t="s">
        <v>2272</v>
      </c>
      <c r="L970" s="19" t="s">
        <v>2272</v>
      </c>
      <c r="M970" s="19" t="s">
        <v>2272</v>
      </c>
      <c r="N970" s="19" t="s">
        <v>2272</v>
      </c>
      <c r="O970" s="71">
        <v>52</v>
      </c>
      <c r="P970" s="71">
        <v>39</v>
      </c>
      <c r="Q970" s="19" t="s">
        <v>2272</v>
      </c>
      <c r="R970" s="71">
        <v>9</v>
      </c>
      <c r="S970" s="19" t="s">
        <v>2272</v>
      </c>
      <c r="T970" s="4" t="s">
        <v>5794</v>
      </c>
    </row>
    <row r="971" spans="1:20" s="199" customFormat="1" ht="48" customHeight="1">
      <c r="A971" s="19" t="s">
        <v>6807</v>
      </c>
      <c r="B971" s="11" t="s">
        <v>2272</v>
      </c>
      <c r="C971" s="4" t="s">
        <v>2641</v>
      </c>
      <c r="D971" s="19" t="s">
        <v>3850</v>
      </c>
      <c r="E971" s="11" t="s">
        <v>5795</v>
      </c>
      <c r="F971" s="19" t="s">
        <v>2272</v>
      </c>
      <c r="G971" s="19" t="s">
        <v>2272</v>
      </c>
      <c r="H971" s="19" t="s">
        <v>2272</v>
      </c>
      <c r="I971" s="198">
        <v>21</v>
      </c>
      <c r="J971" s="19" t="s">
        <v>2272</v>
      </c>
      <c r="K971" s="19" t="s">
        <v>2272</v>
      </c>
      <c r="L971" s="19" t="s">
        <v>2272</v>
      </c>
      <c r="M971" s="19" t="s">
        <v>2272</v>
      </c>
      <c r="N971" s="19" t="s">
        <v>2272</v>
      </c>
      <c r="O971" s="19" t="s">
        <v>2272</v>
      </c>
      <c r="P971" s="71">
        <v>1</v>
      </c>
      <c r="Q971" s="71">
        <v>6</v>
      </c>
      <c r="R971" s="71">
        <v>78</v>
      </c>
      <c r="S971" s="19" t="s">
        <v>2272</v>
      </c>
      <c r="T971" s="4" t="s">
        <v>5794</v>
      </c>
    </row>
    <row r="972" spans="1:20" s="199" customFormat="1" ht="36" customHeight="1">
      <c r="A972" s="19" t="s">
        <v>6808</v>
      </c>
      <c r="B972" s="11" t="s">
        <v>2272</v>
      </c>
      <c r="C972" s="4" t="s">
        <v>2641</v>
      </c>
      <c r="D972" s="19" t="s">
        <v>44</v>
      </c>
      <c r="E972" s="11" t="s">
        <v>5795</v>
      </c>
      <c r="F972" s="19" t="s">
        <v>2272</v>
      </c>
      <c r="G972" s="19" t="s">
        <v>2272</v>
      </c>
      <c r="H972" s="19" t="s">
        <v>2272</v>
      </c>
      <c r="I972" s="198">
        <v>25</v>
      </c>
      <c r="J972" s="19" t="s">
        <v>2272</v>
      </c>
      <c r="K972" s="19" t="s">
        <v>2272</v>
      </c>
      <c r="L972" s="19" t="s">
        <v>2272</v>
      </c>
      <c r="M972" s="19" t="s">
        <v>2272</v>
      </c>
      <c r="N972" s="19" t="s">
        <v>2272</v>
      </c>
      <c r="O972" s="71">
        <v>4</v>
      </c>
      <c r="P972" s="71">
        <v>4</v>
      </c>
      <c r="Q972" s="71">
        <v>16</v>
      </c>
      <c r="R972" s="71">
        <v>71</v>
      </c>
      <c r="S972" s="19" t="s">
        <v>2272</v>
      </c>
      <c r="T972" s="4" t="s">
        <v>5794</v>
      </c>
    </row>
    <row r="973" spans="1:20" s="199" customFormat="1" ht="36" customHeight="1">
      <c r="A973" s="19" t="s">
        <v>6809</v>
      </c>
      <c r="B973" s="11" t="s">
        <v>2272</v>
      </c>
      <c r="C973" s="4" t="s">
        <v>2641</v>
      </c>
      <c r="D973" s="19" t="s">
        <v>44</v>
      </c>
      <c r="E973" s="11" t="s">
        <v>5795</v>
      </c>
      <c r="F973" s="19" t="s">
        <v>2272</v>
      </c>
      <c r="G973" s="19" t="s">
        <v>2272</v>
      </c>
      <c r="H973" s="19" t="s">
        <v>2272</v>
      </c>
      <c r="I973" s="198">
        <v>20</v>
      </c>
      <c r="J973" s="19" t="s">
        <v>2272</v>
      </c>
      <c r="K973" s="19" t="s">
        <v>2272</v>
      </c>
      <c r="L973" s="19" t="s">
        <v>2272</v>
      </c>
      <c r="M973" s="19" t="s">
        <v>2272</v>
      </c>
      <c r="N973" s="19" t="s">
        <v>2272</v>
      </c>
      <c r="O973" s="71">
        <v>25</v>
      </c>
      <c r="P973" s="71">
        <v>1</v>
      </c>
      <c r="Q973" s="71">
        <v>19</v>
      </c>
      <c r="R973" s="71">
        <v>52</v>
      </c>
      <c r="S973" s="19" t="s">
        <v>2272</v>
      </c>
      <c r="T973" s="4" t="s">
        <v>5794</v>
      </c>
    </row>
    <row r="974" spans="1:20" s="199" customFormat="1" ht="36" customHeight="1">
      <c r="A974" s="19" t="s">
        <v>6810</v>
      </c>
      <c r="B974" s="11" t="s">
        <v>2272</v>
      </c>
      <c r="C974" s="4" t="s">
        <v>2641</v>
      </c>
      <c r="D974" s="11" t="s">
        <v>5795</v>
      </c>
      <c r="E974" s="19" t="s">
        <v>44</v>
      </c>
      <c r="F974" s="19" t="s">
        <v>2272</v>
      </c>
      <c r="G974" s="19" t="s">
        <v>2272</v>
      </c>
      <c r="H974" s="19" t="s">
        <v>2272</v>
      </c>
      <c r="I974" s="198">
        <v>15</v>
      </c>
      <c r="J974" s="19" t="s">
        <v>2272</v>
      </c>
      <c r="K974" s="19" t="s">
        <v>2272</v>
      </c>
      <c r="L974" s="19" t="s">
        <v>2272</v>
      </c>
      <c r="M974" s="19" t="s">
        <v>2272</v>
      </c>
      <c r="N974" s="19" t="s">
        <v>2272</v>
      </c>
      <c r="O974" s="19" t="s">
        <v>2272</v>
      </c>
      <c r="P974" s="19" t="s">
        <v>2272</v>
      </c>
      <c r="Q974" s="19" t="s">
        <v>2272</v>
      </c>
      <c r="R974" s="19" t="s">
        <v>2272</v>
      </c>
      <c r="S974" s="19" t="s">
        <v>2272</v>
      </c>
      <c r="T974" s="4" t="s">
        <v>5794</v>
      </c>
    </row>
    <row r="975" spans="1:20" s="199" customFormat="1" ht="36" customHeight="1">
      <c r="A975" s="19" t="s">
        <v>6811</v>
      </c>
      <c r="B975" s="11" t="s">
        <v>2272</v>
      </c>
      <c r="C975" s="4" t="s">
        <v>2641</v>
      </c>
      <c r="D975" s="19" t="s">
        <v>2645</v>
      </c>
      <c r="E975" s="11" t="s">
        <v>5795</v>
      </c>
      <c r="F975" s="4" t="s">
        <v>2272</v>
      </c>
      <c r="G975" s="19" t="s">
        <v>2272</v>
      </c>
      <c r="H975" s="19" t="s">
        <v>2272</v>
      </c>
      <c r="I975" s="198">
        <v>2</v>
      </c>
      <c r="J975" s="19" t="s">
        <v>2272</v>
      </c>
      <c r="K975" s="19" t="s">
        <v>2272</v>
      </c>
      <c r="L975" s="19" t="s">
        <v>2272</v>
      </c>
      <c r="M975" s="19" t="s">
        <v>2272</v>
      </c>
      <c r="N975" s="19" t="s">
        <v>2272</v>
      </c>
      <c r="O975" s="71">
        <v>11</v>
      </c>
      <c r="P975" s="71">
        <v>28</v>
      </c>
      <c r="Q975" s="71">
        <v>18</v>
      </c>
      <c r="R975" s="71">
        <v>48</v>
      </c>
      <c r="S975" s="19" t="s">
        <v>2272</v>
      </c>
      <c r="T975" s="4" t="s">
        <v>6858</v>
      </c>
    </row>
    <row r="976" spans="1:20" s="199" customFormat="1" ht="36" customHeight="1">
      <c r="A976" s="19" t="s">
        <v>6812</v>
      </c>
      <c r="B976" s="11" t="s">
        <v>2272</v>
      </c>
      <c r="C976" s="4" t="s">
        <v>2641</v>
      </c>
      <c r="D976" s="19" t="s">
        <v>44</v>
      </c>
      <c r="E976" s="11" t="s">
        <v>5795</v>
      </c>
      <c r="F976" s="4" t="s">
        <v>2272</v>
      </c>
      <c r="G976" s="19" t="s">
        <v>2272</v>
      </c>
      <c r="H976" s="19" t="s">
        <v>2272</v>
      </c>
      <c r="I976" s="198">
        <v>12</v>
      </c>
      <c r="J976" s="19" t="s">
        <v>2272</v>
      </c>
      <c r="K976" s="19" t="s">
        <v>2272</v>
      </c>
      <c r="L976" s="19" t="s">
        <v>2272</v>
      </c>
      <c r="M976" s="19" t="s">
        <v>2272</v>
      </c>
      <c r="N976" s="19" t="s">
        <v>2272</v>
      </c>
      <c r="O976" s="71">
        <v>57</v>
      </c>
      <c r="P976" s="71">
        <v>2</v>
      </c>
      <c r="Q976" s="19" t="s">
        <v>2272</v>
      </c>
      <c r="R976" s="71">
        <v>33</v>
      </c>
      <c r="S976" s="19" t="s">
        <v>2272</v>
      </c>
      <c r="T976" s="4" t="s">
        <v>5794</v>
      </c>
    </row>
    <row r="977" spans="1:20" s="199" customFormat="1" ht="36" customHeight="1">
      <c r="A977" s="19" t="s">
        <v>6813</v>
      </c>
      <c r="B977" s="11" t="s">
        <v>2272</v>
      </c>
      <c r="C977" s="4" t="s">
        <v>2641</v>
      </c>
      <c r="D977" s="19" t="s">
        <v>44</v>
      </c>
      <c r="E977" s="11" t="s">
        <v>5795</v>
      </c>
      <c r="F977" s="4" t="s">
        <v>2272</v>
      </c>
      <c r="G977" s="19" t="s">
        <v>2272</v>
      </c>
      <c r="H977" s="19" t="s">
        <v>2272</v>
      </c>
      <c r="I977" s="198">
        <v>16</v>
      </c>
      <c r="J977" s="19" t="s">
        <v>2272</v>
      </c>
      <c r="K977" s="19" t="s">
        <v>2272</v>
      </c>
      <c r="L977" s="19" t="s">
        <v>2272</v>
      </c>
      <c r="M977" s="19" t="s">
        <v>2272</v>
      </c>
      <c r="N977" s="19" t="s">
        <v>2272</v>
      </c>
      <c r="O977" s="71">
        <v>46</v>
      </c>
      <c r="P977" s="71">
        <v>1</v>
      </c>
      <c r="Q977" s="19" t="s">
        <v>2272</v>
      </c>
      <c r="R977" s="19" t="s">
        <v>2272</v>
      </c>
      <c r="S977" s="19" t="s">
        <v>2272</v>
      </c>
      <c r="T977" s="4" t="s">
        <v>5794</v>
      </c>
    </row>
    <row r="978" spans="1:20" s="199" customFormat="1" ht="48" customHeight="1">
      <c r="A978" s="19" t="s">
        <v>6814</v>
      </c>
      <c r="B978" s="11" t="s">
        <v>2272</v>
      </c>
      <c r="C978" s="4" t="s">
        <v>2641</v>
      </c>
      <c r="D978" s="11" t="s">
        <v>5795</v>
      </c>
      <c r="E978" s="19" t="s">
        <v>3850</v>
      </c>
      <c r="F978" s="4" t="s">
        <v>2272</v>
      </c>
      <c r="G978" s="19" t="s">
        <v>2272</v>
      </c>
      <c r="H978" s="19" t="s">
        <v>2272</v>
      </c>
      <c r="I978" s="198">
        <v>22</v>
      </c>
      <c r="J978" s="19" t="s">
        <v>2272</v>
      </c>
      <c r="K978" s="19" t="s">
        <v>2272</v>
      </c>
      <c r="L978" s="19" t="s">
        <v>2272</v>
      </c>
      <c r="M978" s="19" t="s">
        <v>2272</v>
      </c>
      <c r="N978" s="19" t="s">
        <v>2272</v>
      </c>
      <c r="O978" s="71">
        <f>33/2</f>
        <v>16.5</v>
      </c>
      <c r="P978" s="71">
        <f>33/2</f>
        <v>16.5</v>
      </c>
      <c r="Q978" s="71">
        <v>51</v>
      </c>
      <c r="R978" s="71">
        <v>15</v>
      </c>
      <c r="S978" s="19" t="s">
        <v>2272</v>
      </c>
      <c r="T978" s="4" t="s">
        <v>5794</v>
      </c>
    </row>
    <row r="979" spans="1:20" s="199" customFormat="1" ht="48" customHeight="1">
      <c r="A979" s="19" t="s">
        <v>6815</v>
      </c>
      <c r="B979" s="11" t="s">
        <v>2272</v>
      </c>
      <c r="C979" s="4" t="s">
        <v>2641</v>
      </c>
      <c r="D979" s="11" t="s">
        <v>5795</v>
      </c>
      <c r="E979" s="19" t="s">
        <v>3850</v>
      </c>
      <c r="F979" s="4" t="s">
        <v>2272</v>
      </c>
      <c r="G979" s="19" t="s">
        <v>2272</v>
      </c>
      <c r="H979" s="19" t="s">
        <v>2272</v>
      </c>
      <c r="I979" s="198">
        <v>10</v>
      </c>
      <c r="J979" s="19" t="s">
        <v>2272</v>
      </c>
      <c r="K979" s="19" t="s">
        <v>2272</v>
      </c>
      <c r="L979" s="19" t="s">
        <v>2272</v>
      </c>
      <c r="M979" s="19" t="s">
        <v>2272</v>
      </c>
      <c r="N979" s="19" t="s">
        <v>2272</v>
      </c>
      <c r="P979" s="71">
        <f>30/2</f>
        <v>15</v>
      </c>
      <c r="Q979" s="71">
        <v>40</v>
      </c>
      <c r="R979" s="71">
        <v>24</v>
      </c>
      <c r="S979" s="19" t="s">
        <v>2272</v>
      </c>
      <c r="T979" s="4" t="s">
        <v>5794</v>
      </c>
    </row>
    <row r="980" spans="1:20" s="199" customFormat="1" ht="48" customHeight="1">
      <c r="A980" s="19" t="s">
        <v>6816</v>
      </c>
      <c r="B980" s="11" t="s">
        <v>2272</v>
      </c>
      <c r="C980" s="4" t="s">
        <v>2641</v>
      </c>
      <c r="D980" s="11" t="s">
        <v>5795</v>
      </c>
      <c r="E980" s="19" t="s">
        <v>3850</v>
      </c>
      <c r="F980" s="4" t="s">
        <v>2272</v>
      </c>
      <c r="G980" s="19" t="s">
        <v>2272</v>
      </c>
      <c r="H980" s="19" t="s">
        <v>2272</v>
      </c>
      <c r="I980" s="198">
        <v>5</v>
      </c>
      <c r="J980" s="19" t="s">
        <v>2272</v>
      </c>
      <c r="K980" s="19" t="s">
        <v>2272</v>
      </c>
      <c r="L980" s="19" t="s">
        <v>2272</v>
      </c>
      <c r="M980" s="19" t="s">
        <v>2272</v>
      </c>
      <c r="N980" s="19" t="s">
        <v>2272</v>
      </c>
      <c r="O980" s="71">
        <v>16</v>
      </c>
      <c r="P980" s="71">
        <v>6</v>
      </c>
      <c r="Q980" s="71">
        <v>54</v>
      </c>
      <c r="R980" s="71">
        <v>22</v>
      </c>
      <c r="S980" s="19" t="s">
        <v>2272</v>
      </c>
      <c r="T980" s="4" t="s">
        <v>5794</v>
      </c>
    </row>
    <row r="981" spans="1:20" s="199" customFormat="1" ht="48" customHeight="1">
      <c r="A981" s="19" t="s">
        <v>6817</v>
      </c>
      <c r="B981" s="11" t="s">
        <v>2272</v>
      </c>
      <c r="C981" s="4" t="s">
        <v>2641</v>
      </c>
      <c r="D981" s="11" t="s">
        <v>5795</v>
      </c>
      <c r="E981" s="19" t="s">
        <v>44</v>
      </c>
      <c r="F981" s="4" t="s">
        <v>2272</v>
      </c>
      <c r="G981" s="19" t="s">
        <v>2272</v>
      </c>
      <c r="H981" s="19" t="s">
        <v>2272</v>
      </c>
      <c r="I981" s="198">
        <v>25</v>
      </c>
      <c r="J981" s="19" t="s">
        <v>2272</v>
      </c>
      <c r="K981" s="19" t="s">
        <v>2272</v>
      </c>
      <c r="L981" s="19" t="s">
        <v>2272</v>
      </c>
      <c r="M981" s="19" t="s">
        <v>2272</v>
      </c>
      <c r="N981" s="19" t="s">
        <v>2272</v>
      </c>
      <c r="O981" s="71">
        <v>12</v>
      </c>
      <c r="P981" s="71">
        <v>6</v>
      </c>
      <c r="Q981" s="71">
        <v>5</v>
      </c>
      <c r="R981" s="71">
        <v>50</v>
      </c>
      <c r="S981" s="19" t="s">
        <v>2272</v>
      </c>
      <c r="T981" s="4" t="s">
        <v>5794</v>
      </c>
    </row>
    <row r="982" spans="1:20" s="199" customFormat="1" ht="48" customHeight="1">
      <c r="A982" s="19" t="s">
        <v>6818</v>
      </c>
      <c r="B982" s="11" t="s">
        <v>2272</v>
      </c>
      <c r="C982" s="4" t="s">
        <v>2641</v>
      </c>
      <c r="D982" s="11" t="s">
        <v>5795</v>
      </c>
      <c r="E982" s="19" t="s">
        <v>44</v>
      </c>
      <c r="F982" s="4" t="s">
        <v>2272</v>
      </c>
      <c r="G982" s="19" t="s">
        <v>2272</v>
      </c>
      <c r="H982" s="19" t="s">
        <v>2272</v>
      </c>
      <c r="I982" s="19" t="s">
        <v>2272</v>
      </c>
      <c r="J982" s="19" t="s">
        <v>2272</v>
      </c>
      <c r="K982" s="19" t="s">
        <v>2272</v>
      </c>
      <c r="L982" s="19" t="s">
        <v>2272</v>
      </c>
      <c r="M982" s="19" t="s">
        <v>2272</v>
      </c>
      <c r="N982" s="19" t="s">
        <v>2272</v>
      </c>
      <c r="O982" s="19" t="s">
        <v>2272</v>
      </c>
      <c r="P982" s="19" t="s">
        <v>2272</v>
      </c>
      <c r="Q982" s="19" t="s">
        <v>2272</v>
      </c>
      <c r="R982" s="71">
        <v>40</v>
      </c>
      <c r="S982" s="19" t="s">
        <v>2272</v>
      </c>
      <c r="T982" s="4" t="s">
        <v>5794</v>
      </c>
    </row>
    <row r="983" spans="1:20" s="199" customFormat="1" ht="48" customHeight="1">
      <c r="A983" s="19" t="s">
        <v>6819</v>
      </c>
      <c r="B983" s="11" t="s">
        <v>2272</v>
      </c>
      <c r="C983" s="4" t="s">
        <v>2641</v>
      </c>
      <c r="D983" s="19" t="s">
        <v>44</v>
      </c>
      <c r="E983" s="11" t="s">
        <v>5795</v>
      </c>
      <c r="F983" s="4" t="s">
        <v>2272</v>
      </c>
      <c r="G983" s="19" t="s">
        <v>2272</v>
      </c>
      <c r="H983" s="19" t="s">
        <v>2272</v>
      </c>
      <c r="I983" s="198">
        <v>16</v>
      </c>
      <c r="J983" s="19" t="s">
        <v>2272</v>
      </c>
      <c r="K983" s="19" t="s">
        <v>2272</v>
      </c>
      <c r="L983" s="19" t="s">
        <v>2272</v>
      </c>
      <c r="M983" s="19" t="s">
        <v>2272</v>
      </c>
      <c r="N983" s="19" t="s">
        <v>2272</v>
      </c>
      <c r="O983" s="71">
        <f>13/2</f>
        <v>6.5</v>
      </c>
      <c r="P983" s="71">
        <f>13/2</f>
        <v>6.5</v>
      </c>
      <c r="Q983" s="71">
        <v>15</v>
      </c>
      <c r="R983" s="71">
        <v>33</v>
      </c>
      <c r="S983" s="19" t="s">
        <v>2272</v>
      </c>
      <c r="T983" s="4" t="s">
        <v>5794</v>
      </c>
    </row>
    <row r="984" spans="1:20" s="199" customFormat="1" ht="48" customHeight="1">
      <c r="A984" s="19" t="s">
        <v>6820</v>
      </c>
      <c r="B984" s="11" t="s">
        <v>2272</v>
      </c>
      <c r="C984" s="4" t="s">
        <v>2641</v>
      </c>
      <c r="D984" s="19" t="s">
        <v>44</v>
      </c>
      <c r="E984" s="11" t="s">
        <v>5795</v>
      </c>
      <c r="F984" s="4" t="s">
        <v>2272</v>
      </c>
      <c r="G984" s="19" t="s">
        <v>2272</v>
      </c>
      <c r="H984" s="19" t="s">
        <v>2272</v>
      </c>
      <c r="I984" s="19" t="s">
        <v>2272</v>
      </c>
      <c r="J984" s="19" t="s">
        <v>2272</v>
      </c>
      <c r="K984" s="19" t="s">
        <v>2272</v>
      </c>
      <c r="L984" s="19" t="s">
        <v>2272</v>
      </c>
      <c r="M984" s="19" t="s">
        <v>2272</v>
      </c>
      <c r="N984" s="19" t="s">
        <v>2272</v>
      </c>
      <c r="O984" s="71">
        <f>72/2</f>
        <v>36</v>
      </c>
      <c r="P984" s="71">
        <f>72/2</f>
        <v>36</v>
      </c>
      <c r="Q984" s="19" t="s">
        <v>2272</v>
      </c>
      <c r="R984" s="19" t="s">
        <v>2272</v>
      </c>
      <c r="S984" s="19" t="s">
        <v>2272</v>
      </c>
      <c r="T984" s="4" t="s">
        <v>5794</v>
      </c>
    </row>
    <row r="985" spans="1:20" s="199" customFormat="1" ht="48" customHeight="1">
      <c r="A985" s="19" t="s">
        <v>6821</v>
      </c>
      <c r="B985" s="11" t="s">
        <v>2272</v>
      </c>
      <c r="C985" s="4" t="s">
        <v>2641</v>
      </c>
      <c r="D985" s="19" t="s">
        <v>3850</v>
      </c>
      <c r="E985" s="11" t="s">
        <v>5795</v>
      </c>
      <c r="F985" s="4" t="s">
        <v>2272</v>
      </c>
      <c r="G985" s="19" t="s">
        <v>2272</v>
      </c>
      <c r="H985" s="19" t="s">
        <v>2272</v>
      </c>
      <c r="I985" s="198">
        <v>34</v>
      </c>
      <c r="J985" s="19" t="s">
        <v>2272</v>
      </c>
      <c r="K985" s="19" t="s">
        <v>2272</v>
      </c>
      <c r="L985" s="19" t="s">
        <v>2272</v>
      </c>
      <c r="M985" s="19" t="s">
        <v>2272</v>
      </c>
      <c r="N985" s="19" t="s">
        <v>2272</v>
      </c>
      <c r="O985" s="71">
        <f>30/2</f>
        <v>15</v>
      </c>
      <c r="P985" s="71">
        <f>30/2</f>
        <v>15</v>
      </c>
      <c r="Q985" s="71">
        <v>2</v>
      </c>
      <c r="R985" s="71">
        <v>54</v>
      </c>
      <c r="S985" s="19" t="s">
        <v>2272</v>
      </c>
      <c r="T985" s="4" t="s">
        <v>5794</v>
      </c>
    </row>
    <row r="986" spans="1:20" s="199" customFormat="1" ht="48" customHeight="1">
      <c r="A986" s="19" t="s">
        <v>6822</v>
      </c>
      <c r="B986" s="11" t="s">
        <v>2272</v>
      </c>
      <c r="C986" s="4" t="s">
        <v>2641</v>
      </c>
      <c r="D986" s="11" t="s">
        <v>5795</v>
      </c>
      <c r="E986" s="19" t="s">
        <v>44</v>
      </c>
      <c r="F986" s="4" t="s">
        <v>2272</v>
      </c>
      <c r="G986" s="19" t="s">
        <v>2272</v>
      </c>
      <c r="H986" s="19" t="s">
        <v>2272</v>
      </c>
      <c r="I986" s="198">
        <v>20</v>
      </c>
      <c r="J986" s="19" t="s">
        <v>2272</v>
      </c>
      <c r="K986" s="19" t="s">
        <v>2272</v>
      </c>
      <c r="L986" s="19" t="s">
        <v>2272</v>
      </c>
      <c r="M986" s="19" t="s">
        <v>2272</v>
      </c>
      <c r="N986" s="19" t="s">
        <v>2272</v>
      </c>
      <c r="O986" s="19" t="s">
        <v>2272</v>
      </c>
      <c r="P986" s="19" t="s">
        <v>2272</v>
      </c>
      <c r="Q986" s="19" t="s">
        <v>2272</v>
      </c>
      <c r="R986" s="19" t="s">
        <v>2272</v>
      </c>
      <c r="S986" s="19" t="s">
        <v>2272</v>
      </c>
      <c r="T986" s="4" t="s">
        <v>5794</v>
      </c>
    </row>
    <row r="987" spans="1:20" s="199" customFormat="1" ht="48" customHeight="1">
      <c r="A987" s="19" t="s">
        <v>6823</v>
      </c>
      <c r="B987" s="11" t="s">
        <v>2272</v>
      </c>
      <c r="C987" s="4" t="s">
        <v>2641</v>
      </c>
      <c r="D987" s="11" t="s">
        <v>5795</v>
      </c>
      <c r="E987" s="19" t="s">
        <v>44</v>
      </c>
      <c r="F987" s="4" t="s">
        <v>2272</v>
      </c>
      <c r="G987" s="19" t="s">
        <v>2272</v>
      </c>
      <c r="H987" s="19" t="s">
        <v>2272</v>
      </c>
      <c r="I987" s="198">
        <v>30</v>
      </c>
      <c r="J987" s="19" t="s">
        <v>2272</v>
      </c>
      <c r="K987" s="19" t="s">
        <v>2272</v>
      </c>
      <c r="L987" s="19" t="s">
        <v>2272</v>
      </c>
      <c r="M987" s="19" t="s">
        <v>2272</v>
      </c>
      <c r="N987" s="19" t="s">
        <v>2272</v>
      </c>
      <c r="O987" s="19" t="s">
        <v>2272</v>
      </c>
      <c r="P987" s="19" t="s">
        <v>2272</v>
      </c>
      <c r="Q987" s="19" t="s">
        <v>2272</v>
      </c>
      <c r="R987" s="71">
        <v>39</v>
      </c>
      <c r="S987" s="19" t="s">
        <v>2272</v>
      </c>
      <c r="T987" s="4" t="s">
        <v>5794</v>
      </c>
    </row>
    <row r="988" spans="1:20" s="56" customFormat="1" ht="48" customHeight="1">
      <c r="A988" s="45" t="s">
        <v>6175</v>
      </c>
      <c r="B988" s="11" t="s">
        <v>2272</v>
      </c>
      <c r="C988" s="4" t="s">
        <v>2641</v>
      </c>
      <c r="D988" s="4" t="s">
        <v>5795</v>
      </c>
      <c r="E988" s="4" t="s">
        <v>3850</v>
      </c>
      <c r="F988" s="4" t="s">
        <v>2648</v>
      </c>
      <c r="G988" s="4" t="s">
        <v>2272</v>
      </c>
      <c r="H988" s="4" t="s">
        <v>2272</v>
      </c>
      <c r="I988" s="4" t="s">
        <v>2272</v>
      </c>
      <c r="J988" s="4" t="s">
        <v>2272</v>
      </c>
      <c r="K988" s="4" t="s">
        <v>2272</v>
      </c>
      <c r="L988" s="4" t="s">
        <v>2272</v>
      </c>
      <c r="M988" s="4" t="s">
        <v>2272</v>
      </c>
      <c r="N988" s="4" t="s">
        <v>2272</v>
      </c>
      <c r="O988" s="4" t="s">
        <v>2272</v>
      </c>
      <c r="P988" s="4" t="s">
        <v>2272</v>
      </c>
      <c r="Q988" s="71">
        <f>100*882.88/'Record info'!K988</f>
        <v>3.6634024896265562</v>
      </c>
      <c r="R988" s="4" t="s">
        <v>2272</v>
      </c>
      <c r="S988" s="4" t="s">
        <v>2272</v>
      </c>
      <c r="T988" s="4" t="s">
        <v>5794</v>
      </c>
    </row>
    <row r="989" spans="1:20" s="56" customFormat="1" ht="48" customHeight="1">
      <c r="A989" s="45" t="s">
        <v>6176</v>
      </c>
      <c r="B989" s="11" t="s">
        <v>2272</v>
      </c>
      <c r="C989" s="4" t="s">
        <v>2641</v>
      </c>
      <c r="D989" s="4" t="s">
        <v>2648</v>
      </c>
      <c r="E989" s="4" t="s">
        <v>3850</v>
      </c>
      <c r="F989" s="11" t="s">
        <v>5795</v>
      </c>
      <c r="G989" s="4" t="s">
        <v>2647</v>
      </c>
      <c r="H989" s="4" t="s">
        <v>2272</v>
      </c>
      <c r="I989" s="4" t="s">
        <v>2272</v>
      </c>
      <c r="J989" s="4" t="s">
        <v>2272</v>
      </c>
      <c r="K989" s="4" t="s">
        <v>2272</v>
      </c>
      <c r="L989" s="4" t="s">
        <v>2272</v>
      </c>
      <c r="M989" s="4" t="s">
        <v>2272</v>
      </c>
      <c r="N989" s="4" t="s">
        <v>2272</v>
      </c>
      <c r="O989" s="4" t="s">
        <v>2272</v>
      </c>
      <c r="P989" s="4" t="s">
        <v>2272</v>
      </c>
      <c r="Q989" s="188">
        <v>33</v>
      </c>
      <c r="R989" s="4" t="s">
        <v>2272</v>
      </c>
      <c r="S989" s="4" t="s">
        <v>2272</v>
      </c>
      <c r="T989" s="4"/>
    </row>
    <row r="990" spans="1:20" s="56" customFormat="1" ht="44" customHeight="1">
      <c r="A990" s="45" t="s">
        <v>6177</v>
      </c>
      <c r="B990" s="11" t="s">
        <v>2254</v>
      </c>
      <c r="C990" s="4" t="s">
        <v>2640</v>
      </c>
      <c r="D990" s="4" t="s">
        <v>3850</v>
      </c>
      <c r="E990" s="4" t="s">
        <v>2644</v>
      </c>
      <c r="F990" s="4" t="s">
        <v>2648</v>
      </c>
      <c r="G990" s="4" t="s">
        <v>2272</v>
      </c>
      <c r="H990" s="4" t="s">
        <v>2272</v>
      </c>
      <c r="I990" s="4" t="s">
        <v>2272</v>
      </c>
      <c r="J990" s="4" t="s">
        <v>2272</v>
      </c>
      <c r="K990" s="4" t="s">
        <v>532</v>
      </c>
      <c r="L990" s="4" t="s">
        <v>2272</v>
      </c>
      <c r="M990" s="4" t="s">
        <v>2272</v>
      </c>
      <c r="N990" s="4" t="s">
        <v>2272</v>
      </c>
      <c r="O990" s="4" t="s">
        <v>2272</v>
      </c>
      <c r="P990" s="4" t="s">
        <v>2272</v>
      </c>
      <c r="Q990" s="4" t="s">
        <v>2272</v>
      </c>
      <c r="R990" s="4" t="s">
        <v>2272</v>
      </c>
      <c r="S990" s="4" t="s">
        <v>2272</v>
      </c>
      <c r="T990" s="4" t="s">
        <v>6963</v>
      </c>
    </row>
    <row r="991" spans="1:20" s="199" customFormat="1" ht="44" customHeight="1">
      <c r="A991" s="45" t="s">
        <v>6178</v>
      </c>
      <c r="B991" s="11" t="s">
        <v>2254</v>
      </c>
      <c r="C991" s="4" t="s">
        <v>2640</v>
      </c>
      <c r="D991" s="4" t="s">
        <v>3850</v>
      </c>
      <c r="E991" s="4" t="s">
        <v>2644</v>
      </c>
      <c r="F991" s="4" t="s">
        <v>2648</v>
      </c>
      <c r="G991" s="4" t="s">
        <v>2272</v>
      </c>
      <c r="H991" s="4" t="s">
        <v>2272</v>
      </c>
      <c r="I991" s="4" t="s">
        <v>2272</v>
      </c>
      <c r="J991" s="4" t="s">
        <v>2272</v>
      </c>
      <c r="K991" s="4" t="s">
        <v>532</v>
      </c>
      <c r="L991" s="4" t="s">
        <v>2272</v>
      </c>
      <c r="M991" s="4" t="s">
        <v>2272</v>
      </c>
      <c r="N991" s="4" t="s">
        <v>2272</v>
      </c>
      <c r="O991" s="4" t="s">
        <v>2272</v>
      </c>
      <c r="P991" s="4" t="s">
        <v>2272</v>
      </c>
      <c r="Q991" s="4" t="s">
        <v>2272</v>
      </c>
      <c r="R991" s="4" t="s">
        <v>2272</v>
      </c>
      <c r="S991" s="4" t="s">
        <v>2272</v>
      </c>
      <c r="T991" s="4" t="s">
        <v>6963</v>
      </c>
    </row>
    <row r="992" spans="1:20" s="199" customFormat="1" ht="44" customHeight="1">
      <c r="A992" s="45" t="s">
        <v>6179</v>
      </c>
      <c r="B992" s="11" t="s">
        <v>2254</v>
      </c>
      <c r="C992" s="4" t="s">
        <v>2640</v>
      </c>
      <c r="D992" s="4" t="s">
        <v>3850</v>
      </c>
      <c r="E992" s="4" t="s">
        <v>2644</v>
      </c>
      <c r="F992" s="4" t="s">
        <v>2648</v>
      </c>
      <c r="G992" s="4" t="s">
        <v>2272</v>
      </c>
      <c r="H992" s="4" t="s">
        <v>2272</v>
      </c>
      <c r="I992" s="4" t="s">
        <v>2272</v>
      </c>
      <c r="J992" s="4" t="s">
        <v>2272</v>
      </c>
      <c r="K992" s="4" t="s">
        <v>532</v>
      </c>
      <c r="L992" s="4" t="s">
        <v>2272</v>
      </c>
      <c r="M992" s="4" t="s">
        <v>2272</v>
      </c>
      <c r="N992" s="4" t="s">
        <v>2272</v>
      </c>
      <c r="O992" s="4" t="s">
        <v>2272</v>
      </c>
      <c r="P992" s="4" t="s">
        <v>2272</v>
      </c>
      <c r="Q992" s="4" t="s">
        <v>2272</v>
      </c>
      <c r="R992" s="4" t="s">
        <v>2272</v>
      </c>
      <c r="S992" s="4" t="s">
        <v>2272</v>
      </c>
      <c r="T992" s="4" t="s">
        <v>6963</v>
      </c>
    </row>
    <row r="993" spans="1:20" s="199" customFormat="1" ht="44" customHeight="1">
      <c r="A993" s="45" t="s">
        <v>6891</v>
      </c>
      <c r="B993" s="11" t="s">
        <v>2254</v>
      </c>
      <c r="C993" s="4" t="s">
        <v>2640</v>
      </c>
      <c r="D993" s="4" t="s">
        <v>3850</v>
      </c>
      <c r="E993" s="4" t="s">
        <v>2644</v>
      </c>
      <c r="F993" s="4" t="s">
        <v>2648</v>
      </c>
      <c r="G993" s="4" t="s">
        <v>2272</v>
      </c>
      <c r="H993" s="4" t="s">
        <v>2272</v>
      </c>
      <c r="I993" s="4" t="s">
        <v>2272</v>
      </c>
      <c r="J993" s="4" t="s">
        <v>2272</v>
      </c>
      <c r="K993" s="4" t="s">
        <v>532</v>
      </c>
      <c r="L993" s="4" t="s">
        <v>2272</v>
      </c>
      <c r="M993" s="4" t="s">
        <v>2272</v>
      </c>
      <c r="N993" s="4" t="s">
        <v>2272</v>
      </c>
      <c r="O993" s="4" t="s">
        <v>2272</v>
      </c>
      <c r="P993" s="4" t="s">
        <v>2272</v>
      </c>
      <c r="Q993" s="4" t="s">
        <v>2272</v>
      </c>
      <c r="R993" s="4" t="s">
        <v>2272</v>
      </c>
      <c r="S993" s="4" t="s">
        <v>2272</v>
      </c>
      <c r="T993" s="4" t="s">
        <v>6963</v>
      </c>
    </row>
    <row r="994" spans="1:20" s="199" customFormat="1" ht="44" customHeight="1">
      <c r="A994" s="45" t="s">
        <v>6892</v>
      </c>
      <c r="B994" s="11" t="s">
        <v>2254</v>
      </c>
      <c r="C994" s="4" t="s">
        <v>2640</v>
      </c>
      <c r="D994" s="4" t="s">
        <v>3850</v>
      </c>
      <c r="E994" s="4" t="s">
        <v>2644</v>
      </c>
      <c r="F994" s="4" t="s">
        <v>2648</v>
      </c>
      <c r="G994" s="4" t="s">
        <v>2272</v>
      </c>
      <c r="H994" s="4" t="s">
        <v>2272</v>
      </c>
      <c r="I994" s="4" t="s">
        <v>2272</v>
      </c>
      <c r="J994" s="4" t="s">
        <v>2272</v>
      </c>
      <c r="K994" s="4" t="s">
        <v>532</v>
      </c>
      <c r="L994" s="4" t="s">
        <v>2272</v>
      </c>
      <c r="M994" s="4" t="s">
        <v>2272</v>
      </c>
      <c r="N994" s="4" t="s">
        <v>2272</v>
      </c>
      <c r="O994" s="4" t="s">
        <v>2272</v>
      </c>
      <c r="P994" s="4" t="s">
        <v>2272</v>
      </c>
      <c r="Q994" s="4" t="s">
        <v>2272</v>
      </c>
      <c r="R994" s="4" t="s">
        <v>2272</v>
      </c>
      <c r="S994" s="4" t="s">
        <v>2272</v>
      </c>
      <c r="T994" s="4" t="s">
        <v>6963</v>
      </c>
    </row>
    <row r="995" spans="1:20" s="199" customFormat="1" ht="44" customHeight="1">
      <c r="A995" s="45" t="s">
        <v>6893</v>
      </c>
      <c r="B995" s="11" t="s">
        <v>2254</v>
      </c>
      <c r="C995" s="4" t="s">
        <v>2640</v>
      </c>
      <c r="D995" s="4" t="s">
        <v>3850</v>
      </c>
      <c r="E995" s="4" t="s">
        <v>2644</v>
      </c>
      <c r="F995" s="4" t="s">
        <v>2648</v>
      </c>
      <c r="G995" s="4" t="s">
        <v>2272</v>
      </c>
      <c r="H995" s="4" t="s">
        <v>2272</v>
      </c>
      <c r="I995" s="4" t="s">
        <v>2272</v>
      </c>
      <c r="J995" s="4" t="s">
        <v>2272</v>
      </c>
      <c r="K995" s="4" t="s">
        <v>532</v>
      </c>
      <c r="L995" s="4" t="s">
        <v>2272</v>
      </c>
      <c r="M995" s="4" t="s">
        <v>2272</v>
      </c>
      <c r="N995" s="4" t="s">
        <v>2272</v>
      </c>
      <c r="O995" s="4" t="s">
        <v>2272</v>
      </c>
      <c r="P995" s="4" t="s">
        <v>2272</v>
      </c>
      <c r="Q995" s="4" t="s">
        <v>2272</v>
      </c>
      <c r="R995" s="4" t="s">
        <v>2272</v>
      </c>
      <c r="S995" s="4" t="s">
        <v>2272</v>
      </c>
      <c r="T995" s="4" t="s">
        <v>6963</v>
      </c>
    </row>
    <row r="996" spans="1:20" s="199" customFormat="1" ht="44" customHeight="1">
      <c r="A996" s="45" t="s">
        <v>6918</v>
      </c>
      <c r="B996" s="11" t="s">
        <v>2254</v>
      </c>
      <c r="C996" s="4" t="s">
        <v>2640</v>
      </c>
      <c r="D996" s="4" t="s">
        <v>3850</v>
      </c>
      <c r="E996" s="4" t="s">
        <v>2644</v>
      </c>
      <c r="F996" s="4" t="s">
        <v>2648</v>
      </c>
      <c r="G996" s="4" t="s">
        <v>2272</v>
      </c>
      <c r="H996" s="4" t="s">
        <v>2272</v>
      </c>
      <c r="I996" s="4" t="s">
        <v>2272</v>
      </c>
      <c r="J996" s="4" t="s">
        <v>2272</v>
      </c>
      <c r="K996" s="4" t="s">
        <v>532</v>
      </c>
      <c r="L996" s="4" t="s">
        <v>2272</v>
      </c>
      <c r="M996" s="4" t="s">
        <v>2272</v>
      </c>
      <c r="N996" s="4" t="s">
        <v>2272</v>
      </c>
      <c r="O996" s="4" t="s">
        <v>2272</v>
      </c>
      <c r="P996" s="4" t="s">
        <v>2272</v>
      </c>
      <c r="Q996" s="4" t="s">
        <v>2272</v>
      </c>
      <c r="R996" s="4" t="s">
        <v>2272</v>
      </c>
      <c r="S996" s="4" t="s">
        <v>2272</v>
      </c>
      <c r="T996" s="4" t="s">
        <v>6963</v>
      </c>
    </row>
    <row r="997" spans="1:20" ht="37.5" customHeight="1">
      <c r="A997" s="4" t="s">
        <v>6357</v>
      </c>
      <c r="B997" s="4" t="s">
        <v>69</v>
      </c>
      <c r="C997" s="4" t="s">
        <v>11</v>
      </c>
      <c r="D997" s="4" t="s">
        <v>394</v>
      </c>
      <c r="E997" s="4" t="s">
        <v>395</v>
      </c>
      <c r="F997" s="4" t="s">
        <v>2272</v>
      </c>
      <c r="G997" s="4" t="s">
        <v>2272</v>
      </c>
      <c r="H997" s="4">
        <v>2.46</v>
      </c>
      <c r="I997" s="4">
        <v>5.03</v>
      </c>
      <c r="J997" s="4" t="s">
        <v>2272</v>
      </c>
      <c r="K997" s="4" t="s">
        <v>535</v>
      </c>
      <c r="L997" s="4" t="s">
        <v>2272</v>
      </c>
      <c r="M997" s="4" t="s">
        <v>2272</v>
      </c>
      <c r="N997" s="4" t="s">
        <v>2272</v>
      </c>
      <c r="O997" s="4" t="s">
        <v>2272</v>
      </c>
      <c r="P997" s="4" t="s">
        <v>2272</v>
      </c>
      <c r="Q997" s="4" t="s">
        <v>2272</v>
      </c>
      <c r="R997" s="4" t="s">
        <v>2272</v>
      </c>
      <c r="S997" s="4" t="s">
        <v>2272</v>
      </c>
      <c r="T997" s="4" t="s">
        <v>6347</v>
      </c>
    </row>
    <row r="998" spans="1:20" ht="29">
      <c r="A998" s="4" t="s">
        <v>6358</v>
      </c>
      <c r="B998" s="4" t="s">
        <v>69</v>
      </c>
      <c r="C998" s="4" t="s">
        <v>11</v>
      </c>
      <c r="D998" s="4" t="s">
        <v>394</v>
      </c>
      <c r="E998" s="4" t="s">
        <v>395</v>
      </c>
      <c r="F998" s="4" t="s">
        <v>2272</v>
      </c>
      <c r="G998" s="4" t="s">
        <v>2272</v>
      </c>
      <c r="H998" s="4">
        <v>2.46</v>
      </c>
      <c r="I998" s="4">
        <v>5.03</v>
      </c>
      <c r="J998" s="4" t="s">
        <v>2272</v>
      </c>
      <c r="K998" s="4" t="s">
        <v>535</v>
      </c>
      <c r="L998" s="4" t="s">
        <v>2272</v>
      </c>
      <c r="M998" s="4" t="s">
        <v>2272</v>
      </c>
      <c r="N998" s="4" t="s">
        <v>2272</v>
      </c>
      <c r="O998" s="4" t="s">
        <v>2272</v>
      </c>
      <c r="P998" s="4" t="s">
        <v>2272</v>
      </c>
      <c r="Q998" s="4" t="s">
        <v>2272</v>
      </c>
      <c r="R998" s="4" t="s">
        <v>2272</v>
      </c>
      <c r="S998" s="4" t="s">
        <v>2272</v>
      </c>
      <c r="T998" s="4" t="s">
        <v>6347</v>
      </c>
    </row>
    <row r="999" spans="1:20" ht="29">
      <c r="A999" s="4" t="s">
        <v>6359</v>
      </c>
      <c r="B999" s="4" t="s">
        <v>69</v>
      </c>
      <c r="C999" s="4" t="s">
        <v>11</v>
      </c>
      <c r="D999" s="4" t="s">
        <v>394</v>
      </c>
      <c r="E999" s="4" t="s">
        <v>395</v>
      </c>
      <c r="F999" s="4" t="s">
        <v>2272</v>
      </c>
      <c r="G999" s="4" t="s">
        <v>2272</v>
      </c>
      <c r="H999" s="4">
        <v>2.46</v>
      </c>
      <c r="I999" s="4">
        <v>5.03</v>
      </c>
      <c r="J999" s="4" t="s">
        <v>2272</v>
      </c>
      <c r="K999" s="4" t="s">
        <v>535</v>
      </c>
      <c r="L999" s="4" t="s">
        <v>2272</v>
      </c>
      <c r="M999" s="4" t="s">
        <v>2272</v>
      </c>
      <c r="N999" s="4" t="s">
        <v>2272</v>
      </c>
      <c r="O999" s="4" t="s">
        <v>2272</v>
      </c>
      <c r="P999" s="4" t="s">
        <v>2272</v>
      </c>
      <c r="Q999" s="4" t="s">
        <v>2272</v>
      </c>
      <c r="R999" s="4" t="s">
        <v>2272</v>
      </c>
      <c r="S999" s="4" t="s">
        <v>2272</v>
      </c>
      <c r="T999" s="4" t="s">
        <v>6347</v>
      </c>
    </row>
    <row r="1000" spans="1:20" ht="29">
      <c r="A1000" s="187" t="s">
        <v>6360</v>
      </c>
      <c r="B1000" s="4" t="s">
        <v>69</v>
      </c>
      <c r="C1000" s="4" t="s">
        <v>11</v>
      </c>
      <c r="D1000" s="4" t="s">
        <v>394</v>
      </c>
      <c r="E1000" s="4" t="s">
        <v>395</v>
      </c>
      <c r="F1000" s="4" t="s">
        <v>2272</v>
      </c>
      <c r="G1000" s="4" t="s">
        <v>2272</v>
      </c>
      <c r="H1000" s="196">
        <v>1.4</v>
      </c>
      <c r="I1000" s="4">
        <v>3.2</v>
      </c>
      <c r="J1000" s="4" t="s">
        <v>2272</v>
      </c>
      <c r="K1000" s="4" t="s">
        <v>535</v>
      </c>
      <c r="L1000" s="4" t="s">
        <v>2272</v>
      </c>
      <c r="M1000" s="4" t="s">
        <v>2272</v>
      </c>
      <c r="N1000" s="4" t="s">
        <v>2272</v>
      </c>
      <c r="O1000" s="4" t="s">
        <v>2272</v>
      </c>
      <c r="P1000" s="4" t="s">
        <v>2272</v>
      </c>
      <c r="Q1000" s="4" t="s">
        <v>2272</v>
      </c>
      <c r="R1000" s="4" t="s">
        <v>2272</v>
      </c>
      <c r="S1000" s="4" t="s">
        <v>2272</v>
      </c>
      <c r="T1000" s="4" t="s">
        <v>6348</v>
      </c>
    </row>
    <row r="1001" spans="1:20" ht="29">
      <c r="A1001" s="4" t="s">
        <v>6320</v>
      </c>
      <c r="B1001" s="4" t="s">
        <v>69</v>
      </c>
      <c r="C1001" s="4" t="s">
        <v>11</v>
      </c>
      <c r="D1001" s="4" t="s">
        <v>3850</v>
      </c>
      <c r="E1001" s="19" t="s">
        <v>3849</v>
      </c>
      <c r="F1001" s="4" t="s">
        <v>2272</v>
      </c>
      <c r="G1001" s="4" t="s">
        <v>2272</v>
      </c>
      <c r="H1001" s="196">
        <f>5.3/I1001</f>
        <v>1.892857142857143</v>
      </c>
      <c r="I1001" s="4">
        <v>2.8</v>
      </c>
      <c r="J1001" s="4">
        <f>AVERAGE(3.8, 6.3)</f>
        <v>5.05</v>
      </c>
      <c r="K1001" s="4" t="s">
        <v>535</v>
      </c>
      <c r="L1001" s="4" t="s">
        <v>2272</v>
      </c>
      <c r="M1001" s="4" t="s">
        <v>2272</v>
      </c>
      <c r="N1001" s="4" t="s">
        <v>2272</v>
      </c>
      <c r="O1001" s="4" t="s">
        <v>2272</v>
      </c>
      <c r="P1001" s="4" t="s">
        <v>2272</v>
      </c>
      <c r="Q1001" s="4" t="s">
        <v>2272</v>
      </c>
      <c r="R1001" s="4" t="s">
        <v>2272</v>
      </c>
      <c r="S1001" s="4" t="s">
        <v>2272</v>
      </c>
      <c r="T1001" s="4" t="s">
        <v>6349</v>
      </c>
    </row>
    <row r="1002" spans="1:20" ht="29">
      <c r="A1002" s="4" t="s">
        <v>6321</v>
      </c>
      <c r="B1002" s="4" t="s">
        <v>69</v>
      </c>
      <c r="C1002" s="4" t="s">
        <v>11</v>
      </c>
      <c r="D1002" s="4" t="s">
        <v>3850</v>
      </c>
      <c r="E1002" s="19" t="s">
        <v>3849</v>
      </c>
      <c r="F1002" s="4" t="s">
        <v>2272</v>
      </c>
      <c r="G1002" s="4" t="s">
        <v>2272</v>
      </c>
      <c r="H1002" s="196">
        <f>4.6/I1002</f>
        <v>1</v>
      </c>
      <c r="I1002" s="4">
        <v>4.5999999999999996</v>
      </c>
      <c r="J1002" s="4">
        <f>AVERAGE(3.8, 6.3)</f>
        <v>5.05</v>
      </c>
      <c r="K1002" s="4" t="s">
        <v>535</v>
      </c>
      <c r="L1002" s="4" t="s">
        <v>2272</v>
      </c>
      <c r="M1002" s="4" t="s">
        <v>2272</v>
      </c>
      <c r="N1002" s="4" t="s">
        <v>2272</v>
      </c>
      <c r="O1002" s="4" t="s">
        <v>2272</v>
      </c>
      <c r="P1002" s="4" t="s">
        <v>2272</v>
      </c>
      <c r="Q1002" s="4" t="s">
        <v>2272</v>
      </c>
      <c r="R1002" s="4" t="s">
        <v>2272</v>
      </c>
      <c r="S1002" s="4" t="s">
        <v>2272</v>
      </c>
      <c r="T1002" s="4" t="s">
        <v>6349</v>
      </c>
    </row>
    <row r="1003" spans="1:20" ht="29">
      <c r="A1003" s="4" t="s">
        <v>6322</v>
      </c>
      <c r="B1003" s="4" t="s">
        <v>69</v>
      </c>
      <c r="C1003" s="4" t="s">
        <v>11</v>
      </c>
      <c r="D1003" s="4" t="s">
        <v>3850</v>
      </c>
      <c r="E1003" s="19" t="s">
        <v>395</v>
      </c>
      <c r="F1003" s="4" t="s">
        <v>2272</v>
      </c>
      <c r="G1003" s="4" t="s">
        <v>2272</v>
      </c>
      <c r="H1003" s="196">
        <f>3.8/I1003</f>
        <v>1.4074074074074072</v>
      </c>
      <c r="I1003" s="4">
        <v>2.7</v>
      </c>
      <c r="J1003" s="4" t="s">
        <v>2272</v>
      </c>
      <c r="K1003" s="4" t="s">
        <v>535</v>
      </c>
      <c r="L1003" s="4" t="s">
        <v>2272</v>
      </c>
      <c r="M1003" s="4" t="s">
        <v>2272</v>
      </c>
      <c r="N1003" s="4" t="s">
        <v>2272</v>
      </c>
      <c r="O1003" s="4" t="s">
        <v>2272</v>
      </c>
      <c r="P1003" s="4" t="s">
        <v>2272</v>
      </c>
      <c r="Q1003" s="4" t="s">
        <v>2272</v>
      </c>
      <c r="R1003" s="4" t="s">
        <v>2272</v>
      </c>
      <c r="S1003" s="4" t="s">
        <v>2272</v>
      </c>
      <c r="T1003" s="4" t="s">
        <v>6349</v>
      </c>
    </row>
    <row r="1004" spans="1:20" ht="29">
      <c r="A1004" s="4" t="s">
        <v>6323</v>
      </c>
      <c r="B1004" s="4" t="s">
        <v>69</v>
      </c>
      <c r="C1004" s="4" t="s">
        <v>11</v>
      </c>
      <c r="D1004" s="4" t="s">
        <v>3850</v>
      </c>
      <c r="E1004" s="19" t="s">
        <v>395</v>
      </c>
      <c r="F1004" s="4" t="s">
        <v>2272</v>
      </c>
      <c r="G1004" s="4" t="s">
        <v>2272</v>
      </c>
      <c r="H1004" s="196">
        <f>4.2/I1004</f>
        <v>1.7500000000000002</v>
      </c>
      <c r="I1004" s="4">
        <v>2.4</v>
      </c>
      <c r="J1004" s="4">
        <f>AVERAGE(4.3, 3.9)</f>
        <v>4.0999999999999996</v>
      </c>
      <c r="K1004" s="4" t="s">
        <v>535</v>
      </c>
      <c r="L1004" s="4" t="s">
        <v>2272</v>
      </c>
      <c r="M1004" s="4" t="s">
        <v>2272</v>
      </c>
      <c r="N1004" s="4" t="s">
        <v>2272</v>
      </c>
      <c r="O1004" s="4" t="s">
        <v>2272</v>
      </c>
      <c r="P1004" s="4" t="s">
        <v>2272</v>
      </c>
      <c r="Q1004" s="4" t="s">
        <v>2272</v>
      </c>
      <c r="R1004" s="4" t="s">
        <v>2272</v>
      </c>
      <c r="S1004" s="4" t="s">
        <v>2272</v>
      </c>
      <c r="T1004" s="4" t="s">
        <v>6349</v>
      </c>
    </row>
    <row r="1005" spans="1:20" ht="29">
      <c r="A1005" s="4" t="s">
        <v>6324</v>
      </c>
      <c r="B1005" s="4" t="s">
        <v>69</v>
      </c>
      <c r="C1005" s="4" t="s">
        <v>11</v>
      </c>
      <c r="D1005" s="4" t="s">
        <v>3850</v>
      </c>
      <c r="E1005" s="19" t="s">
        <v>395</v>
      </c>
      <c r="F1005" s="4" t="s">
        <v>2272</v>
      </c>
      <c r="G1005" s="4" t="s">
        <v>2272</v>
      </c>
      <c r="H1005" s="196">
        <f>3.7/I1005</f>
        <v>3.7</v>
      </c>
      <c r="I1005" s="4">
        <v>1</v>
      </c>
      <c r="J1005" s="4">
        <f>AVERAGE(3, 2.8)</f>
        <v>2.9</v>
      </c>
      <c r="K1005" s="4" t="s">
        <v>535</v>
      </c>
      <c r="L1005" s="4" t="s">
        <v>2272</v>
      </c>
      <c r="M1005" s="4" t="s">
        <v>2272</v>
      </c>
      <c r="N1005" s="4" t="s">
        <v>2272</v>
      </c>
      <c r="O1005" s="4" t="s">
        <v>2272</v>
      </c>
      <c r="P1005" s="4" t="s">
        <v>2272</v>
      </c>
      <c r="Q1005" s="4" t="s">
        <v>2272</v>
      </c>
      <c r="R1005" s="4" t="s">
        <v>2272</v>
      </c>
      <c r="S1005" s="4" t="s">
        <v>2272</v>
      </c>
      <c r="T1005" s="4" t="s">
        <v>6349</v>
      </c>
    </row>
    <row r="1006" spans="1:20" ht="29">
      <c r="A1006" s="4" t="s">
        <v>6325</v>
      </c>
      <c r="B1006" s="4" t="s">
        <v>69</v>
      </c>
      <c r="C1006" s="4" t="s">
        <v>11</v>
      </c>
      <c r="D1006" s="4" t="s">
        <v>3850</v>
      </c>
      <c r="E1006" s="19" t="s">
        <v>395</v>
      </c>
      <c r="F1006" s="4" t="s">
        <v>2272</v>
      </c>
      <c r="G1006" s="4" t="s">
        <v>2272</v>
      </c>
      <c r="H1006" s="196">
        <f>1.8/I1006</f>
        <v>1.0588235294117647</v>
      </c>
      <c r="I1006" s="4">
        <v>1.7</v>
      </c>
      <c r="J1006" s="4">
        <f>AVERAGE(2.8, 3.6)</f>
        <v>3.2</v>
      </c>
      <c r="K1006" s="4" t="s">
        <v>2272</v>
      </c>
      <c r="L1006" s="4" t="s">
        <v>2272</v>
      </c>
      <c r="M1006" s="4" t="s">
        <v>2272</v>
      </c>
      <c r="N1006" s="4" t="s">
        <v>2272</v>
      </c>
      <c r="O1006" s="4" t="s">
        <v>2272</v>
      </c>
      <c r="P1006" s="4" t="s">
        <v>2272</v>
      </c>
      <c r="Q1006" s="4" t="s">
        <v>2272</v>
      </c>
      <c r="R1006" s="4" t="s">
        <v>2272</v>
      </c>
      <c r="S1006" s="4" t="s">
        <v>2272</v>
      </c>
      <c r="T1006" s="4" t="s">
        <v>6349</v>
      </c>
    </row>
    <row r="1007" spans="1:20" ht="29">
      <c r="A1007" s="4" t="s">
        <v>6326</v>
      </c>
      <c r="B1007" s="4" t="s">
        <v>69</v>
      </c>
      <c r="C1007" s="4" t="s">
        <v>11</v>
      </c>
      <c r="D1007" s="19" t="s">
        <v>3849</v>
      </c>
      <c r="E1007" s="4" t="s">
        <v>2272</v>
      </c>
      <c r="F1007" s="4" t="s">
        <v>2272</v>
      </c>
      <c r="G1007" s="4" t="s">
        <v>2272</v>
      </c>
      <c r="H1007" s="196">
        <f>2.1/I1007</f>
        <v>1.9090909090909089</v>
      </c>
      <c r="I1007" s="4">
        <v>1.1000000000000001</v>
      </c>
      <c r="J1007" s="4">
        <f>AVERAGE(2.1, 3.6)</f>
        <v>2.85</v>
      </c>
      <c r="K1007" s="4" t="s">
        <v>2272</v>
      </c>
      <c r="L1007" s="4" t="s">
        <v>2272</v>
      </c>
      <c r="M1007" s="4" t="s">
        <v>2272</v>
      </c>
      <c r="N1007" s="4" t="s">
        <v>2272</v>
      </c>
      <c r="O1007" s="4" t="s">
        <v>2272</v>
      </c>
      <c r="P1007" s="4" t="s">
        <v>2272</v>
      </c>
      <c r="Q1007" s="4" t="s">
        <v>2272</v>
      </c>
      <c r="R1007" s="4" t="s">
        <v>2272</v>
      </c>
      <c r="S1007" s="4" t="s">
        <v>2272</v>
      </c>
      <c r="T1007" s="4" t="s">
        <v>6349</v>
      </c>
    </row>
    <row r="1008" spans="1:20" ht="29">
      <c r="A1008" s="4" t="s">
        <v>6327</v>
      </c>
      <c r="B1008" s="4" t="s">
        <v>69</v>
      </c>
      <c r="C1008" s="4" t="s">
        <v>11</v>
      </c>
      <c r="D1008" s="19" t="s">
        <v>3849</v>
      </c>
      <c r="E1008" s="4" t="s">
        <v>2272</v>
      </c>
      <c r="F1008" s="4" t="s">
        <v>2272</v>
      </c>
      <c r="G1008" s="4" t="s">
        <v>2272</v>
      </c>
      <c r="H1008" s="196">
        <f>1.5/I1008</f>
        <v>0.83333333333333326</v>
      </c>
      <c r="I1008" s="4">
        <v>1.8</v>
      </c>
      <c r="J1008" s="4">
        <f>AVERAGE(2.6, 2.9)</f>
        <v>2.75</v>
      </c>
      <c r="K1008" s="4" t="s">
        <v>2272</v>
      </c>
      <c r="L1008" s="4" t="s">
        <v>2272</v>
      </c>
      <c r="M1008" s="4" t="s">
        <v>2272</v>
      </c>
      <c r="N1008" s="4" t="s">
        <v>2272</v>
      </c>
      <c r="O1008" s="4" t="s">
        <v>2272</v>
      </c>
      <c r="P1008" s="4" t="s">
        <v>2272</v>
      </c>
      <c r="Q1008" s="4" t="s">
        <v>2272</v>
      </c>
      <c r="R1008" s="4" t="s">
        <v>2272</v>
      </c>
      <c r="S1008" s="4" t="s">
        <v>2272</v>
      </c>
      <c r="T1008" s="4" t="s">
        <v>6349</v>
      </c>
    </row>
    <row r="1009" spans="1:20" ht="29">
      <c r="A1009" s="4" t="s">
        <v>6328</v>
      </c>
      <c r="B1009" s="4" t="s">
        <v>69</v>
      </c>
      <c r="C1009" s="4" t="s">
        <v>11</v>
      </c>
      <c r="D1009" s="19" t="s">
        <v>3849</v>
      </c>
      <c r="E1009" s="4" t="s">
        <v>2272</v>
      </c>
      <c r="F1009" s="4" t="s">
        <v>2272</v>
      </c>
      <c r="G1009" s="4" t="s">
        <v>2272</v>
      </c>
      <c r="H1009" s="196">
        <v>1</v>
      </c>
      <c r="I1009" s="4">
        <v>1</v>
      </c>
      <c r="J1009" s="4">
        <f>AVERAGE(3, 1.1)</f>
        <v>2.0499999999999998</v>
      </c>
      <c r="K1009" s="4" t="s">
        <v>2272</v>
      </c>
      <c r="L1009" s="4" t="s">
        <v>2272</v>
      </c>
      <c r="M1009" s="4" t="s">
        <v>2272</v>
      </c>
      <c r="N1009" s="4" t="s">
        <v>2272</v>
      </c>
      <c r="O1009" s="4" t="s">
        <v>2272</v>
      </c>
      <c r="P1009" s="4" t="s">
        <v>2272</v>
      </c>
      <c r="Q1009" s="4" t="s">
        <v>2272</v>
      </c>
      <c r="R1009" s="4" t="s">
        <v>2272</v>
      </c>
      <c r="S1009" s="4" t="s">
        <v>2272</v>
      </c>
      <c r="T1009" s="4" t="s">
        <v>6349</v>
      </c>
    </row>
    <row r="1010" spans="1:20" ht="29">
      <c r="A1010" s="4" t="s">
        <v>6329</v>
      </c>
      <c r="B1010" s="4" t="s">
        <v>69</v>
      </c>
      <c r="C1010" s="4" t="s">
        <v>11</v>
      </c>
      <c r="D1010" s="19" t="s">
        <v>3849</v>
      </c>
      <c r="E1010" s="4" t="s">
        <v>2272</v>
      </c>
      <c r="F1010" s="4" t="s">
        <v>2272</v>
      </c>
      <c r="G1010" s="4" t="s">
        <v>2272</v>
      </c>
      <c r="H1010" s="196">
        <f>2.8/I1010</f>
        <v>4.666666666666667</v>
      </c>
      <c r="I1010" s="4">
        <v>0.6</v>
      </c>
      <c r="J1010" s="4">
        <f>AVERAGE(3.9)</f>
        <v>3.9</v>
      </c>
      <c r="K1010" s="4" t="s">
        <v>2272</v>
      </c>
      <c r="L1010" s="4" t="s">
        <v>2272</v>
      </c>
      <c r="M1010" s="4" t="s">
        <v>2272</v>
      </c>
      <c r="N1010" s="4" t="s">
        <v>2272</v>
      </c>
      <c r="O1010" s="4" t="s">
        <v>2272</v>
      </c>
      <c r="P1010" s="4" t="s">
        <v>2272</v>
      </c>
      <c r="Q1010" s="4" t="s">
        <v>2272</v>
      </c>
      <c r="R1010" s="4" t="s">
        <v>2272</v>
      </c>
      <c r="S1010" s="4" t="s">
        <v>2272</v>
      </c>
      <c r="T1010" s="4" t="s">
        <v>6349</v>
      </c>
    </row>
    <row r="1011" spans="1:20" ht="29">
      <c r="A1011" s="4" t="s">
        <v>6330</v>
      </c>
      <c r="B1011" s="4" t="s">
        <v>69</v>
      </c>
      <c r="C1011" s="4" t="s">
        <v>11</v>
      </c>
      <c r="D1011" s="19" t="s">
        <v>3849</v>
      </c>
      <c r="E1011" s="4" t="s">
        <v>2272</v>
      </c>
      <c r="F1011" s="4" t="s">
        <v>2272</v>
      </c>
      <c r="G1011" s="4" t="s">
        <v>2272</v>
      </c>
      <c r="H1011" s="196">
        <f>1.7/I1011</f>
        <v>2.125</v>
      </c>
      <c r="I1011" s="4">
        <v>0.8</v>
      </c>
      <c r="J1011" s="4">
        <f>AVERAGE(4.4)</f>
        <v>4.4000000000000004</v>
      </c>
      <c r="K1011" s="4" t="s">
        <v>2272</v>
      </c>
      <c r="L1011" s="4" t="s">
        <v>2272</v>
      </c>
      <c r="M1011" s="4" t="s">
        <v>2272</v>
      </c>
      <c r="N1011" s="4" t="s">
        <v>2272</v>
      </c>
      <c r="O1011" s="4" t="s">
        <v>2272</v>
      </c>
      <c r="P1011" s="4" t="s">
        <v>2272</v>
      </c>
      <c r="Q1011" s="4" t="s">
        <v>2272</v>
      </c>
      <c r="R1011" s="4" t="s">
        <v>2272</v>
      </c>
      <c r="S1011" s="4" t="s">
        <v>2272</v>
      </c>
      <c r="T1011" s="4" t="s">
        <v>6349</v>
      </c>
    </row>
    <row r="1012" spans="1:20" ht="29">
      <c r="A1012" s="4" t="s">
        <v>6331</v>
      </c>
      <c r="B1012" s="4" t="s">
        <v>69</v>
      </c>
      <c r="C1012" s="4" t="s">
        <v>11</v>
      </c>
      <c r="D1012" s="19" t="s">
        <v>3849</v>
      </c>
      <c r="E1012" s="4" t="s">
        <v>2272</v>
      </c>
      <c r="F1012" s="4" t="s">
        <v>2272</v>
      </c>
      <c r="G1012" s="4" t="s">
        <v>2272</v>
      </c>
      <c r="H1012" s="196">
        <f>3.8/I1012</f>
        <v>9.4999999999999982</v>
      </c>
      <c r="I1012" s="4">
        <v>0.4</v>
      </c>
      <c r="J1012" s="4">
        <f>AVERAGE(4.8)</f>
        <v>4.8</v>
      </c>
      <c r="K1012" s="4" t="s">
        <v>2272</v>
      </c>
      <c r="L1012" s="4" t="s">
        <v>2272</v>
      </c>
      <c r="M1012" s="4" t="s">
        <v>2272</v>
      </c>
      <c r="N1012" s="4" t="s">
        <v>2272</v>
      </c>
      <c r="O1012" s="4" t="s">
        <v>2272</v>
      </c>
      <c r="P1012" s="4" t="s">
        <v>2272</v>
      </c>
      <c r="Q1012" s="4" t="s">
        <v>2272</v>
      </c>
      <c r="R1012" s="4" t="s">
        <v>2272</v>
      </c>
      <c r="S1012" s="4" t="s">
        <v>2272</v>
      </c>
      <c r="T1012" s="4" t="s">
        <v>6349</v>
      </c>
    </row>
    <row r="1013" spans="1:20" ht="58">
      <c r="A1013" s="4" t="s">
        <v>6332</v>
      </c>
      <c r="B1013" s="4" t="s">
        <v>31</v>
      </c>
      <c r="C1013" s="4" t="s">
        <v>11</v>
      </c>
      <c r="D1013" s="4" t="s">
        <v>128</v>
      </c>
      <c r="E1013" s="4" t="s">
        <v>394</v>
      </c>
      <c r="F1013" s="4" t="s">
        <v>395</v>
      </c>
      <c r="G1013" s="4" t="s">
        <v>2272</v>
      </c>
      <c r="H1013" s="4" t="s">
        <v>2272</v>
      </c>
      <c r="I1013" s="4" t="s">
        <v>2272</v>
      </c>
      <c r="J1013" s="4" t="s">
        <v>2272</v>
      </c>
      <c r="K1013" s="4" t="s">
        <v>2272</v>
      </c>
      <c r="L1013" s="4" t="s">
        <v>2272</v>
      </c>
      <c r="M1013" s="4" t="s">
        <v>2272</v>
      </c>
      <c r="N1013" s="4" t="s">
        <v>2272</v>
      </c>
      <c r="O1013" s="4" t="s">
        <v>2272</v>
      </c>
      <c r="P1013" s="4" t="s">
        <v>2272</v>
      </c>
      <c r="Q1013" s="4" t="s">
        <v>2272</v>
      </c>
      <c r="R1013" s="4" t="s">
        <v>2272</v>
      </c>
      <c r="S1013" s="4" t="s">
        <v>2272</v>
      </c>
      <c r="T1013" s="4" t="s">
        <v>6350</v>
      </c>
    </row>
    <row r="1014" spans="1:20" ht="29">
      <c r="A1014" s="4" t="s">
        <v>6333</v>
      </c>
      <c r="B1014" s="4" t="s">
        <v>2272</v>
      </c>
      <c r="C1014" s="4" t="s">
        <v>11</v>
      </c>
      <c r="D1014" s="4" t="s">
        <v>394</v>
      </c>
      <c r="E1014" s="4" t="s">
        <v>395</v>
      </c>
      <c r="F1014" s="4" t="s">
        <v>2272</v>
      </c>
      <c r="G1014" s="4" t="s">
        <v>2272</v>
      </c>
      <c r="H1014" s="4" t="s">
        <v>2272</v>
      </c>
      <c r="I1014" s="4" t="s">
        <v>2272</v>
      </c>
      <c r="J1014" s="4" t="s">
        <v>2272</v>
      </c>
      <c r="K1014" s="4" t="s">
        <v>2272</v>
      </c>
      <c r="L1014" s="4" t="s">
        <v>2272</v>
      </c>
      <c r="M1014" s="4" t="s">
        <v>2272</v>
      </c>
      <c r="N1014" s="4" t="s">
        <v>2272</v>
      </c>
      <c r="O1014" s="4" t="s">
        <v>2272</v>
      </c>
      <c r="P1014" s="4" t="s">
        <v>2272</v>
      </c>
      <c r="Q1014" s="4" t="s">
        <v>2272</v>
      </c>
      <c r="R1014" s="4" t="s">
        <v>2272</v>
      </c>
      <c r="S1014" s="4" t="s">
        <v>2272</v>
      </c>
      <c r="T1014" s="4"/>
    </row>
    <row r="1015" spans="1:20" ht="29">
      <c r="A1015" s="4" t="s">
        <v>6496</v>
      </c>
      <c r="B1015" s="4" t="s">
        <v>2272</v>
      </c>
      <c r="C1015" s="4" t="s">
        <v>11</v>
      </c>
      <c r="D1015" s="4" t="s">
        <v>394</v>
      </c>
      <c r="E1015" s="4" t="s">
        <v>395</v>
      </c>
      <c r="F1015" s="4" t="s">
        <v>2272</v>
      </c>
      <c r="G1015" s="4" t="s">
        <v>2272</v>
      </c>
      <c r="H1015" s="4" t="s">
        <v>2272</v>
      </c>
      <c r="I1015" s="4" t="s">
        <v>2272</v>
      </c>
      <c r="J1015" s="4" t="s">
        <v>2272</v>
      </c>
      <c r="K1015" s="4" t="s">
        <v>2272</v>
      </c>
      <c r="L1015" s="4" t="s">
        <v>2272</v>
      </c>
      <c r="M1015" s="4" t="s">
        <v>2272</v>
      </c>
      <c r="N1015" s="4" t="s">
        <v>2272</v>
      </c>
      <c r="O1015" s="4" t="s">
        <v>2272</v>
      </c>
      <c r="P1015" s="4" t="s">
        <v>2272</v>
      </c>
      <c r="Q1015" s="4" t="s">
        <v>2272</v>
      </c>
      <c r="R1015" s="4" t="s">
        <v>2272</v>
      </c>
      <c r="S1015" s="4" t="s">
        <v>2272</v>
      </c>
      <c r="T1015" s="4"/>
    </row>
    <row r="1016" spans="1:20" ht="29">
      <c r="A1016" s="4" t="s">
        <v>6334</v>
      </c>
      <c r="B1016" s="4" t="s">
        <v>2272</v>
      </c>
      <c r="C1016" s="4" t="s">
        <v>11</v>
      </c>
      <c r="D1016" s="4" t="s">
        <v>394</v>
      </c>
      <c r="E1016" s="4" t="s">
        <v>395</v>
      </c>
      <c r="F1016" s="4" t="s">
        <v>2272</v>
      </c>
      <c r="G1016" s="4" t="s">
        <v>2272</v>
      </c>
      <c r="H1016" s="4" t="s">
        <v>2272</v>
      </c>
      <c r="I1016" s="4" t="s">
        <v>2272</v>
      </c>
      <c r="J1016" s="4" t="s">
        <v>2272</v>
      </c>
      <c r="K1016" s="4" t="s">
        <v>2272</v>
      </c>
      <c r="L1016" s="4" t="s">
        <v>2272</v>
      </c>
      <c r="M1016" s="4" t="s">
        <v>2272</v>
      </c>
      <c r="N1016" s="4" t="s">
        <v>2272</v>
      </c>
      <c r="O1016" s="4" t="s">
        <v>2272</v>
      </c>
      <c r="P1016" s="4" t="s">
        <v>2272</v>
      </c>
      <c r="Q1016" s="4" t="s">
        <v>2272</v>
      </c>
      <c r="R1016" s="4" t="s">
        <v>2272</v>
      </c>
      <c r="S1016" s="4" t="s">
        <v>2272</v>
      </c>
      <c r="T1016" s="4"/>
    </row>
    <row r="1017" spans="1:20" ht="29">
      <c r="A1017" s="4" t="s">
        <v>6335</v>
      </c>
      <c r="B1017" s="4" t="s">
        <v>2272</v>
      </c>
      <c r="C1017" s="4" t="s">
        <v>11</v>
      </c>
      <c r="D1017" s="4" t="s">
        <v>394</v>
      </c>
      <c r="E1017" s="4" t="s">
        <v>395</v>
      </c>
      <c r="F1017" s="4" t="s">
        <v>2272</v>
      </c>
      <c r="G1017" s="4" t="s">
        <v>2272</v>
      </c>
      <c r="H1017" s="4" t="s">
        <v>2272</v>
      </c>
      <c r="I1017" s="4" t="s">
        <v>2272</v>
      </c>
      <c r="J1017" s="4" t="s">
        <v>2272</v>
      </c>
      <c r="K1017" s="4" t="s">
        <v>2272</v>
      </c>
      <c r="L1017" s="4" t="s">
        <v>2272</v>
      </c>
      <c r="M1017" s="4" t="s">
        <v>2272</v>
      </c>
      <c r="N1017" s="4" t="s">
        <v>2272</v>
      </c>
      <c r="O1017" s="4" t="s">
        <v>2272</v>
      </c>
      <c r="P1017" s="4" t="s">
        <v>2272</v>
      </c>
      <c r="Q1017" s="4" t="s">
        <v>2272</v>
      </c>
      <c r="R1017" s="4" t="s">
        <v>2272</v>
      </c>
      <c r="S1017" s="4" t="s">
        <v>2272</v>
      </c>
      <c r="T1017" s="4"/>
    </row>
    <row r="1018" spans="1:20" ht="29">
      <c r="A1018" s="4" t="s">
        <v>6336</v>
      </c>
      <c r="B1018" s="4" t="s">
        <v>2272</v>
      </c>
      <c r="C1018" s="4" t="s">
        <v>11</v>
      </c>
      <c r="D1018" s="4" t="s">
        <v>394</v>
      </c>
      <c r="E1018" s="4" t="s">
        <v>395</v>
      </c>
      <c r="F1018" s="4" t="s">
        <v>2272</v>
      </c>
      <c r="G1018" s="4" t="s">
        <v>2272</v>
      </c>
      <c r="H1018" s="4" t="s">
        <v>2272</v>
      </c>
      <c r="I1018" s="4" t="s">
        <v>2272</v>
      </c>
      <c r="J1018" s="4" t="s">
        <v>2272</v>
      </c>
      <c r="K1018" s="4" t="s">
        <v>2272</v>
      </c>
      <c r="L1018" s="4" t="s">
        <v>2272</v>
      </c>
      <c r="M1018" s="4" t="s">
        <v>2272</v>
      </c>
      <c r="N1018" s="4" t="s">
        <v>2272</v>
      </c>
      <c r="O1018" s="4" t="s">
        <v>2272</v>
      </c>
      <c r="P1018" s="4" t="s">
        <v>2272</v>
      </c>
      <c r="Q1018" s="4" t="s">
        <v>2272</v>
      </c>
      <c r="R1018" s="4" t="s">
        <v>2272</v>
      </c>
      <c r="S1018" s="4" t="s">
        <v>2272</v>
      </c>
      <c r="T1018" s="4"/>
    </row>
    <row r="1019" spans="1:20" ht="29">
      <c r="A1019" s="4" t="s">
        <v>6337</v>
      </c>
      <c r="B1019" s="4" t="s">
        <v>2272</v>
      </c>
      <c r="C1019" s="4" t="s">
        <v>11</v>
      </c>
      <c r="D1019" s="4" t="s">
        <v>394</v>
      </c>
      <c r="E1019" s="4" t="s">
        <v>395</v>
      </c>
      <c r="F1019" s="4" t="s">
        <v>2272</v>
      </c>
      <c r="G1019" s="4" t="s">
        <v>2272</v>
      </c>
      <c r="H1019" s="4" t="s">
        <v>2272</v>
      </c>
      <c r="I1019" s="4" t="s">
        <v>2272</v>
      </c>
      <c r="J1019" s="4" t="s">
        <v>2272</v>
      </c>
      <c r="K1019" s="4" t="s">
        <v>2272</v>
      </c>
      <c r="L1019" s="4" t="s">
        <v>2272</v>
      </c>
      <c r="M1019" s="4" t="s">
        <v>2272</v>
      </c>
      <c r="N1019" s="4" t="s">
        <v>2272</v>
      </c>
      <c r="O1019" s="4" t="s">
        <v>2272</v>
      </c>
      <c r="P1019" s="4" t="s">
        <v>2272</v>
      </c>
      <c r="Q1019" s="4" t="s">
        <v>2272</v>
      </c>
      <c r="R1019" s="4" t="s">
        <v>2272</v>
      </c>
      <c r="S1019" s="4" t="s">
        <v>2272</v>
      </c>
      <c r="T1019" s="4"/>
    </row>
    <row r="1020" spans="1:20" ht="29">
      <c r="A1020" s="4" t="s">
        <v>8387</v>
      </c>
      <c r="B1020" s="4" t="s">
        <v>2272</v>
      </c>
      <c r="C1020" s="4" t="s">
        <v>11</v>
      </c>
      <c r="D1020" s="4" t="s">
        <v>3850</v>
      </c>
      <c r="E1020" s="4" t="s">
        <v>395</v>
      </c>
      <c r="F1020" s="4" t="s">
        <v>2272</v>
      </c>
      <c r="G1020" s="4" t="s">
        <v>2272</v>
      </c>
      <c r="H1020" s="71">
        <f>9/I1020</f>
        <v>1.8532894858769045</v>
      </c>
      <c r="I1020" s="196">
        <v>4.85623</v>
      </c>
      <c r="J1020" s="4"/>
      <c r="K1020" s="4" t="s">
        <v>2272</v>
      </c>
      <c r="L1020" s="4" t="s">
        <v>2272</v>
      </c>
      <c r="M1020" s="4" t="s">
        <v>2272</v>
      </c>
      <c r="N1020" s="4" t="s">
        <v>2272</v>
      </c>
      <c r="O1020" s="4" t="s">
        <v>2272</v>
      </c>
      <c r="P1020" s="4" t="s">
        <v>2272</v>
      </c>
      <c r="Q1020" s="4" t="s">
        <v>2272</v>
      </c>
      <c r="R1020" s="4" t="s">
        <v>2272</v>
      </c>
      <c r="S1020" s="4" t="s">
        <v>2272</v>
      </c>
      <c r="T1020" s="4" t="s">
        <v>6351</v>
      </c>
    </row>
    <row r="1021" spans="1:20" ht="50" customHeight="1">
      <c r="A1021" s="4" t="s">
        <v>8388</v>
      </c>
      <c r="B1021" s="4" t="s">
        <v>2272</v>
      </c>
      <c r="C1021" s="4" t="s">
        <v>11</v>
      </c>
      <c r="D1021" s="4" t="s">
        <v>3850</v>
      </c>
      <c r="E1021" s="4" t="s">
        <v>395</v>
      </c>
      <c r="F1021" s="4" t="s">
        <v>2272</v>
      </c>
      <c r="G1021" s="4" t="s">
        <v>2272</v>
      </c>
      <c r="H1021" s="71">
        <f>9/I1021</f>
        <v>1.8532894858769045</v>
      </c>
      <c r="I1021" s="196">
        <v>4.85623</v>
      </c>
      <c r="J1021" s="4"/>
      <c r="K1021" s="4" t="s">
        <v>2272</v>
      </c>
      <c r="L1021" s="4" t="s">
        <v>2272</v>
      </c>
      <c r="M1021" s="4" t="s">
        <v>2272</v>
      </c>
      <c r="N1021" s="4" t="s">
        <v>2272</v>
      </c>
      <c r="O1021" s="4" t="s">
        <v>2272</v>
      </c>
      <c r="P1021" s="4" t="s">
        <v>2272</v>
      </c>
      <c r="Q1021" s="4" t="s">
        <v>2272</v>
      </c>
      <c r="R1021" s="4" t="s">
        <v>2272</v>
      </c>
      <c r="S1021" s="4" t="s">
        <v>2272</v>
      </c>
      <c r="T1021" s="4" t="s">
        <v>6351</v>
      </c>
    </row>
    <row r="1022" spans="1:20" ht="57" customHeight="1">
      <c r="A1022" s="4" t="s">
        <v>6338</v>
      </c>
      <c r="B1022" s="4" t="s">
        <v>69</v>
      </c>
      <c r="C1022" s="4" t="s">
        <v>11</v>
      </c>
      <c r="D1022" s="19" t="s">
        <v>3849</v>
      </c>
      <c r="E1022" s="4" t="s">
        <v>395</v>
      </c>
      <c r="F1022" s="4" t="s">
        <v>2272</v>
      </c>
      <c r="G1022" s="4" t="s">
        <v>2272</v>
      </c>
      <c r="H1022" s="4" t="s">
        <v>2272</v>
      </c>
      <c r="I1022" s="71">
        <f>(6*15+13*15+19*3.5+14*0.75)/SUM(6, 13, 19, 14)</f>
        <v>6.9615384615384617</v>
      </c>
      <c r="J1022" s="4">
        <v>1</v>
      </c>
      <c r="K1022" s="4" t="s">
        <v>2272</v>
      </c>
      <c r="L1022" s="4" t="s">
        <v>2272</v>
      </c>
      <c r="M1022" s="4" t="s">
        <v>2272</v>
      </c>
      <c r="N1022" s="4" t="s">
        <v>2272</v>
      </c>
      <c r="O1022" s="4" t="s">
        <v>2272</v>
      </c>
      <c r="P1022" s="4" t="s">
        <v>2272</v>
      </c>
      <c r="Q1022" s="4" t="s">
        <v>2272</v>
      </c>
      <c r="R1022" s="4" t="s">
        <v>2272</v>
      </c>
      <c r="S1022" s="4" t="s">
        <v>2272</v>
      </c>
      <c r="T1022" s="4" t="s">
        <v>6352</v>
      </c>
    </row>
    <row r="1023" spans="1:20" ht="57" customHeight="1">
      <c r="A1023" s="4" t="s">
        <v>6339</v>
      </c>
      <c r="B1023" s="4" t="s">
        <v>69</v>
      </c>
      <c r="C1023" s="4" t="s">
        <v>11</v>
      </c>
      <c r="D1023" s="4" t="s">
        <v>3849</v>
      </c>
      <c r="E1023" s="4" t="s">
        <v>395</v>
      </c>
      <c r="F1023" s="4" t="s">
        <v>2272</v>
      </c>
      <c r="G1023" s="4" t="s">
        <v>2272</v>
      </c>
      <c r="H1023" s="4" t="s">
        <v>2272</v>
      </c>
      <c r="I1023" s="4" t="s">
        <v>2272</v>
      </c>
      <c r="J1023" s="4">
        <v>0.6</v>
      </c>
      <c r="K1023" s="4" t="s">
        <v>2272</v>
      </c>
      <c r="L1023" s="4" t="s">
        <v>2272</v>
      </c>
      <c r="M1023" s="4" t="s">
        <v>2272</v>
      </c>
      <c r="N1023" s="4" t="s">
        <v>2272</v>
      </c>
      <c r="O1023" s="4" t="s">
        <v>2272</v>
      </c>
      <c r="P1023" s="4" t="s">
        <v>2272</v>
      </c>
      <c r="Q1023" s="4" t="s">
        <v>2272</v>
      </c>
      <c r="R1023" s="4" t="s">
        <v>2272</v>
      </c>
      <c r="S1023" s="4" t="s">
        <v>2272</v>
      </c>
      <c r="T1023" s="4" t="s">
        <v>6353</v>
      </c>
    </row>
    <row r="1024" spans="1:20" ht="57" customHeight="1">
      <c r="A1024" s="4" t="s">
        <v>6340</v>
      </c>
      <c r="B1024" s="4" t="s">
        <v>69</v>
      </c>
      <c r="C1024" s="4" t="s">
        <v>11</v>
      </c>
      <c r="D1024" s="4" t="s">
        <v>395</v>
      </c>
      <c r="E1024" s="4" t="s">
        <v>2272</v>
      </c>
      <c r="F1024" s="4" t="s">
        <v>2272</v>
      </c>
      <c r="G1024" s="4" t="s">
        <v>2272</v>
      </c>
      <c r="H1024" s="4" t="s">
        <v>2272</v>
      </c>
      <c r="I1024" s="71">
        <f>(5*10+33*0.75+5*0.25)/SUM(5, 33, 5)</f>
        <v>1.7674418604651163</v>
      </c>
      <c r="J1024" s="4">
        <v>0.3</v>
      </c>
      <c r="K1024" s="4" t="s">
        <v>2272</v>
      </c>
      <c r="L1024" s="4" t="s">
        <v>2272</v>
      </c>
      <c r="M1024" s="4" t="s">
        <v>2272</v>
      </c>
      <c r="N1024" s="4" t="s">
        <v>2272</v>
      </c>
      <c r="O1024" s="4" t="s">
        <v>2272</v>
      </c>
      <c r="P1024" s="4" t="s">
        <v>2272</v>
      </c>
      <c r="Q1024" s="4" t="s">
        <v>2272</v>
      </c>
      <c r="R1024" s="4" t="s">
        <v>2272</v>
      </c>
      <c r="S1024" s="4" t="s">
        <v>2272</v>
      </c>
      <c r="T1024" s="4" t="s">
        <v>6353</v>
      </c>
    </row>
    <row r="1025" spans="1:20" ht="48" customHeight="1">
      <c r="A1025" s="4" t="s">
        <v>6341</v>
      </c>
      <c r="B1025" s="4" t="s">
        <v>2272</v>
      </c>
      <c r="C1025" s="4" t="s">
        <v>11</v>
      </c>
      <c r="D1025" s="4" t="s">
        <v>3850</v>
      </c>
      <c r="E1025" s="4" t="s">
        <v>2272</v>
      </c>
      <c r="F1025" s="4" t="s">
        <v>2272</v>
      </c>
      <c r="G1025" s="4" t="s">
        <v>2272</v>
      </c>
      <c r="H1025" s="71"/>
      <c r="I1025" s="4">
        <v>0.65</v>
      </c>
      <c r="J1025" s="4">
        <v>6.1</v>
      </c>
      <c r="K1025" s="4" t="s">
        <v>2272</v>
      </c>
      <c r="L1025" s="4" t="s">
        <v>2272</v>
      </c>
      <c r="M1025" s="4" t="s">
        <v>2272</v>
      </c>
      <c r="N1025" s="4" t="s">
        <v>2272</v>
      </c>
      <c r="O1025" s="4" t="s">
        <v>2272</v>
      </c>
      <c r="P1025" s="4" t="s">
        <v>2272</v>
      </c>
      <c r="Q1025" s="4" t="s">
        <v>2272</v>
      </c>
      <c r="R1025" s="4" t="s">
        <v>2272</v>
      </c>
      <c r="S1025" s="4" t="s">
        <v>2272</v>
      </c>
      <c r="T1025" s="4" t="s">
        <v>6354</v>
      </c>
    </row>
    <row r="1026" spans="1:20" ht="48" customHeight="1">
      <c r="A1026" s="4" t="s">
        <v>6342</v>
      </c>
      <c r="B1026" s="4" t="s">
        <v>2272</v>
      </c>
      <c r="C1026" s="4" t="s">
        <v>11</v>
      </c>
      <c r="D1026" s="4" t="s">
        <v>3850</v>
      </c>
      <c r="E1026" s="4" t="s">
        <v>2272</v>
      </c>
      <c r="F1026" s="4" t="s">
        <v>2272</v>
      </c>
      <c r="G1026" s="4" t="s">
        <v>2272</v>
      </c>
      <c r="H1026" s="71"/>
      <c r="I1026" s="4">
        <v>0.65</v>
      </c>
      <c r="J1026" s="4">
        <v>5.6</v>
      </c>
      <c r="K1026" s="4" t="s">
        <v>2272</v>
      </c>
      <c r="L1026" s="4" t="s">
        <v>2272</v>
      </c>
      <c r="M1026" s="4" t="s">
        <v>2272</v>
      </c>
      <c r="N1026" s="4" t="s">
        <v>2272</v>
      </c>
      <c r="O1026" s="4" t="s">
        <v>2272</v>
      </c>
      <c r="P1026" s="4" t="s">
        <v>2272</v>
      </c>
      <c r="Q1026" s="4" t="s">
        <v>2272</v>
      </c>
      <c r="R1026" s="4" t="s">
        <v>2272</v>
      </c>
      <c r="S1026" s="4" t="s">
        <v>2272</v>
      </c>
      <c r="T1026" s="4" t="s">
        <v>6355</v>
      </c>
    </row>
    <row r="1027" spans="1:20" ht="48" customHeight="1">
      <c r="A1027" s="4" t="s">
        <v>6343</v>
      </c>
      <c r="B1027" s="4" t="s">
        <v>2272</v>
      </c>
      <c r="C1027" s="4" t="s">
        <v>11</v>
      </c>
      <c r="D1027" s="4" t="s">
        <v>3849</v>
      </c>
      <c r="E1027" s="4" t="s">
        <v>2272</v>
      </c>
      <c r="F1027" s="4" t="s">
        <v>2272</v>
      </c>
      <c r="G1027" s="4" t="s">
        <v>2272</v>
      </c>
      <c r="H1027" s="71"/>
      <c r="I1027" s="4">
        <v>0.65</v>
      </c>
      <c r="J1027" s="4">
        <v>5</v>
      </c>
      <c r="K1027" s="4" t="s">
        <v>2272</v>
      </c>
      <c r="L1027" s="4" t="s">
        <v>2272</v>
      </c>
      <c r="M1027" s="4" t="s">
        <v>2272</v>
      </c>
      <c r="N1027" s="4" t="s">
        <v>2272</v>
      </c>
      <c r="O1027" s="4" t="s">
        <v>2272</v>
      </c>
      <c r="P1027" s="4" t="s">
        <v>2272</v>
      </c>
      <c r="Q1027" s="4" t="s">
        <v>2272</v>
      </c>
      <c r="R1027" s="4" t="s">
        <v>2272</v>
      </c>
      <c r="S1027" s="4" t="s">
        <v>2272</v>
      </c>
      <c r="T1027" s="4" t="s">
        <v>6356</v>
      </c>
    </row>
    <row r="1028" spans="1:20" ht="37.5" customHeight="1">
      <c r="A1028" s="4" t="s">
        <v>5433</v>
      </c>
      <c r="B1028" s="4" t="s">
        <v>2272</v>
      </c>
      <c r="C1028" s="4" t="s">
        <v>11</v>
      </c>
      <c r="D1028" s="198" t="s">
        <v>128</v>
      </c>
      <c r="E1028" s="4" t="s">
        <v>394</v>
      </c>
      <c r="F1028" s="198" t="s">
        <v>114</v>
      </c>
      <c r="G1028" s="4" t="s">
        <v>2272</v>
      </c>
      <c r="H1028" s="4" t="s">
        <v>2272</v>
      </c>
      <c r="I1028" s="4" t="s">
        <v>2272</v>
      </c>
      <c r="J1028" s="4" t="s">
        <v>2272</v>
      </c>
      <c r="K1028" s="4" t="s">
        <v>2272</v>
      </c>
      <c r="L1028" s="4" t="s">
        <v>2272</v>
      </c>
      <c r="M1028" s="4" t="s">
        <v>2272</v>
      </c>
      <c r="N1028" s="4" t="s">
        <v>2272</v>
      </c>
      <c r="O1028" s="4" t="s">
        <v>2272</v>
      </c>
      <c r="P1028" s="4" t="s">
        <v>2272</v>
      </c>
      <c r="Q1028" s="4" t="s">
        <v>2272</v>
      </c>
      <c r="R1028" s="4" t="s">
        <v>2272</v>
      </c>
      <c r="S1028" s="4" t="s">
        <v>2272</v>
      </c>
      <c r="T1028" s="198"/>
    </row>
    <row r="1029" spans="1:20" s="197" customFormat="1" ht="37.5" customHeight="1">
      <c r="A1029" s="11" t="s">
        <v>11283</v>
      </c>
      <c r="B1029" s="4" t="s">
        <v>2272</v>
      </c>
      <c r="C1029" s="4" t="s">
        <v>11</v>
      </c>
      <c r="D1029" s="198" t="s">
        <v>128</v>
      </c>
      <c r="E1029" s="4" t="s">
        <v>394</v>
      </c>
      <c r="F1029" s="198" t="s">
        <v>135</v>
      </c>
      <c r="G1029" s="4" t="s">
        <v>2272</v>
      </c>
      <c r="H1029" s="4" t="s">
        <v>2272</v>
      </c>
      <c r="I1029" s="4" t="s">
        <v>2272</v>
      </c>
      <c r="J1029" s="4" t="s">
        <v>2272</v>
      </c>
      <c r="K1029" s="4" t="s">
        <v>2272</v>
      </c>
      <c r="L1029" s="4" t="s">
        <v>2272</v>
      </c>
      <c r="M1029" s="4" t="s">
        <v>2272</v>
      </c>
      <c r="N1029" s="4" t="s">
        <v>2272</v>
      </c>
      <c r="O1029" s="4" t="s">
        <v>2272</v>
      </c>
      <c r="P1029" s="4" t="s">
        <v>2272</v>
      </c>
      <c r="Q1029" s="4" t="s">
        <v>2272</v>
      </c>
      <c r="R1029" s="4" t="s">
        <v>2272</v>
      </c>
      <c r="S1029" s="4" t="s">
        <v>2272</v>
      </c>
      <c r="T1029" s="198"/>
    </row>
    <row r="1030" spans="1:20" s="197" customFormat="1" ht="37.5" customHeight="1">
      <c r="A1030" s="11" t="s">
        <v>11284</v>
      </c>
      <c r="B1030" s="4" t="s">
        <v>2272</v>
      </c>
      <c r="C1030" s="4" t="s">
        <v>11</v>
      </c>
      <c r="D1030" s="198" t="s">
        <v>128</v>
      </c>
      <c r="E1030" s="4" t="s">
        <v>394</v>
      </c>
      <c r="F1030" s="198" t="s">
        <v>114</v>
      </c>
      <c r="G1030" s="4" t="s">
        <v>2272</v>
      </c>
      <c r="H1030" s="4" t="s">
        <v>2272</v>
      </c>
      <c r="I1030" s="4" t="s">
        <v>2272</v>
      </c>
      <c r="J1030" s="4" t="s">
        <v>2272</v>
      </c>
      <c r="K1030" s="4" t="s">
        <v>2272</v>
      </c>
      <c r="L1030" s="4" t="s">
        <v>2272</v>
      </c>
      <c r="M1030" s="4" t="s">
        <v>2272</v>
      </c>
      <c r="N1030" s="4" t="s">
        <v>2272</v>
      </c>
      <c r="O1030" s="4" t="s">
        <v>2272</v>
      </c>
      <c r="P1030" s="4" t="s">
        <v>2272</v>
      </c>
      <c r="Q1030" s="4" t="s">
        <v>2272</v>
      </c>
      <c r="R1030" s="4" t="s">
        <v>2272</v>
      </c>
      <c r="S1030" s="4" t="s">
        <v>2272</v>
      </c>
      <c r="T1030" s="198"/>
    </row>
    <row r="1031" spans="1:20" s="197" customFormat="1" ht="37.5" customHeight="1">
      <c r="A1031" s="11" t="s">
        <v>11285</v>
      </c>
      <c r="B1031" s="4" t="s">
        <v>2272</v>
      </c>
      <c r="C1031" s="4" t="s">
        <v>11</v>
      </c>
      <c r="D1031" s="4" t="s">
        <v>394</v>
      </c>
      <c r="E1031" s="198" t="s">
        <v>128</v>
      </c>
      <c r="F1031" s="198" t="s">
        <v>114</v>
      </c>
      <c r="G1031" s="198" t="s">
        <v>860</v>
      </c>
      <c r="H1031" s="4" t="s">
        <v>2272</v>
      </c>
      <c r="I1031" s="4" t="s">
        <v>2272</v>
      </c>
      <c r="J1031" s="4" t="s">
        <v>2272</v>
      </c>
      <c r="K1031" s="198" t="s">
        <v>532</v>
      </c>
      <c r="L1031" s="4" t="s">
        <v>2272</v>
      </c>
      <c r="M1031" s="4" t="s">
        <v>2272</v>
      </c>
      <c r="N1031" s="4" t="s">
        <v>2272</v>
      </c>
      <c r="O1031" s="4" t="s">
        <v>2272</v>
      </c>
      <c r="P1031" s="4" t="s">
        <v>2272</v>
      </c>
      <c r="Q1031" s="4" t="s">
        <v>2272</v>
      </c>
      <c r="R1031" s="4" t="s">
        <v>2272</v>
      </c>
      <c r="S1031" s="4" t="s">
        <v>2272</v>
      </c>
      <c r="T1031" s="198"/>
    </row>
    <row r="1032" spans="1:20" s="197" customFormat="1" ht="37.5" customHeight="1">
      <c r="A1032" s="11" t="s">
        <v>11286</v>
      </c>
      <c r="B1032" s="4" t="s">
        <v>2272</v>
      </c>
      <c r="C1032" s="198" t="s">
        <v>393</v>
      </c>
      <c r="D1032" s="198" t="s">
        <v>128</v>
      </c>
      <c r="E1032" s="198" t="s">
        <v>114</v>
      </c>
      <c r="F1032" s="4" t="s">
        <v>2272</v>
      </c>
      <c r="G1032" s="4" t="s">
        <v>2272</v>
      </c>
      <c r="H1032" s="4" t="s">
        <v>2272</v>
      </c>
      <c r="I1032" s="4" t="s">
        <v>2272</v>
      </c>
      <c r="J1032" s="4" t="s">
        <v>2272</v>
      </c>
      <c r="K1032" s="4" t="s">
        <v>2272</v>
      </c>
      <c r="L1032" s="4" t="s">
        <v>2272</v>
      </c>
      <c r="M1032" s="4" t="s">
        <v>2272</v>
      </c>
      <c r="N1032" s="4" t="s">
        <v>2272</v>
      </c>
      <c r="O1032" s="4" t="s">
        <v>2272</v>
      </c>
      <c r="P1032" s="4" t="s">
        <v>2272</v>
      </c>
      <c r="Q1032" s="4" t="s">
        <v>2272</v>
      </c>
      <c r="R1032" s="4" t="s">
        <v>2272</v>
      </c>
      <c r="S1032" s="4" t="s">
        <v>2272</v>
      </c>
      <c r="T1032" s="198"/>
    </row>
    <row r="1033" spans="1:20" s="197" customFormat="1" ht="37.5" customHeight="1">
      <c r="A1033" s="11" t="s">
        <v>11287</v>
      </c>
      <c r="B1033" s="4" t="s">
        <v>2272</v>
      </c>
      <c r="C1033" s="4" t="s">
        <v>11</v>
      </c>
      <c r="D1033" s="198" t="s">
        <v>860</v>
      </c>
      <c r="E1033" s="198" t="s">
        <v>135</v>
      </c>
      <c r="F1033" s="198" t="s">
        <v>128</v>
      </c>
      <c r="G1033" s="198" t="s">
        <v>114</v>
      </c>
      <c r="H1033" s="4" t="s">
        <v>2272</v>
      </c>
      <c r="I1033" s="4" t="s">
        <v>2272</v>
      </c>
      <c r="J1033" s="4" t="s">
        <v>2272</v>
      </c>
      <c r="K1033" s="198" t="s">
        <v>532</v>
      </c>
      <c r="L1033" s="4" t="s">
        <v>2272</v>
      </c>
      <c r="M1033" s="4" t="s">
        <v>2272</v>
      </c>
      <c r="N1033" s="4" t="s">
        <v>2272</v>
      </c>
      <c r="O1033" s="4" t="s">
        <v>2272</v>
      </c>
      <c r="P1033" s="4" t="s">
        <v>2272</v>
      </c>
      <c r="Q1033" s="4" t="s">
        <v>2272</v>
      </c>
      <c r="R1033" s="4" t="s">
        <v>2272</v>
      </c>
      <c r="S1033" s="4" t="s">
        <v>2272</v>
      </c>
      <c r="T1033" s="198"/>
    </row>
    <row r="1034" spans="1:20" ht="32" customHeight="1">
      <c r="A1034" s="4" t="s">
        <v>6344</v>
      </c>
      <c r="B1034" s="4" t="s">
        <v>2272</v>
      </c>
      <c r="C1034" s="4" t="s">
        <v>11</v>
      </c>
      <c r="D1034" s="4" t="s">
        <v>395</v>
      </c>
      <c r="E1034" s="4" t="s">
        <v>2272</v>
      </c>
      <c r="F1034" s="4" t="s">
        <v>2272</v>
      </c>
      <c r="G1034" s="4" t="s">
        <v>2272</v>
      </c>
      <c r="H1034" s="4" t="s">
        <v>2272</v>
      </c>
      <c r="I1034" s="4" t="s">
        <v>2272</v>
      </c>
      <c r="J1034" s="4" t="s">
        <v>2272</v>
      </c>
      <c r="K1034" s="4" t="s">
        <v>2272</v>
      </c>
      <c r="L1034" s="4" t="s">
        <v>2272</v>
      </c>
      <c r="M1034" s="4" t="s">
        <v>2272</v>
      </c>
      <c r="N1034" s="4" t="s">
        <v>2272</v>
      </c>
      <c r="O1034" s="4" t="s">
        <v>2272</v>
      </c>
      <c r="P1034" s="4" t="s">
        <v>2272</v>
      </c>
      <c r="Q1034" s="4" t="s">
        <v>2272</v>
      </c>
      <c r="R1034" s="4" t="s">
        <v>2272</v>
      </c>
      <c r="S1034" s="4" t="s">
        <v>2272</v>
      </c>
      <c r="T1034" s="4"/>
    </row>
    <row r="1035" spans="1:20" ht="32" customHeight="1">
      <c r="A1035" s="4" t="s">
        <v>6345</v>
      </c>
      <c r="B1035" s="4" t="s">
        <v>31</v>
      </c>
      <c r="C1035" s="4" t="s">
        <v>2640</v>
      </c>
      <c r="D1035" s="4" t="s">
        <v>394</v>
      </c>
      <c r="E1035" s="11" t="s">
        <v>44</v>
      </c>
      <c r="F1035" s="4" t="s">
        <v>2272</v>
      </c>
      <c r="G1035" s="4" t="s">
        <v>2272</v>
      </c>
      <c r="H1035" s="4">
        <f>7/100</f>
        <v>7.0000000000000007E-2</v>
      </c>
      <c r="I1035" s="4">
        <v>1300</v>
      </c>
      <c r="J1035" s="4" t="s">
        <v>2272</v>
      </c>
      <c r="K1035" s="4" t="s">
        <v>2272</v>
      </c>
      <c r="L1035" s="4" t="s">
        <v>2272</v>
      </c>
      <c r="M1035" s="4" t="s">
        <v>2272</v>
      </c>
      <c r="N1035" s="4" t="s">
        <v>2272</v>
      </c>
      <c r="O1035" s="4" t="s">
        <v>2272</v>
      </c>
      <c r="P1035" s="4" t="s">
        <v>2272</v>
      </c>
      <c r="Q1035" s="4" t="s">
        <v>2272</v>
      </c>
      <c r="R1035" s="4" t="s">
        <v>2272</v>
      </c>
      <c r="S1035" s="4" t="s">
        <v>2272</v>
      </c>
      <c r="T1035" s="4" t="s">
        <v>8399</v>
      </c>
    </row>
    <row r="1036" spans="1:20" ht="32" customHeight="1">
      <c r="A1036" s="26" t="s">
        <v>6394</v>
      </c>
      <c r="B1036" s="4" t="s">
        <v>31</v>
      </c>
      <c r="C1036" s="4" t="s">
        <v>2640</v>
      </c>
      <c r="D1036" s="4" t="s">
        <v>135</v>
      </c>
      <c r="E1036" s="4" t="s">
        <v>2644</v>
      </c>
      <c r="F1036" s="4" t="s">
        <v>2272</v>
      </c>
      <c r="G1036" s="4" t="s">
        <v>2272</v>
      </c>
      <c r="H1036" s="4" t="s">
        <v>2272</v>
      </c>
      <c r="I1036" s="4" t="s">
        <v>2272</v>
      </c>
      <c r="J1036" s="4" t="s">
        <v>2272</v>
      </c>
      <c r="K1036" s="4" t="s">
        <v>532</v>
      </c>
      <c r="L1036" s="4" t="s">
        <v>2272</v>
      </c>
      <c r="M1036" s="4" t="s">
        <v>2272</v>
      </c>
      <c r="N1036" s="4" t="s">
        <v>2272</v>
      </c>
      <c r="O1036" s="4" t="s">
        <v>2272</v>
      </c>
      <c r="P1036" s="4" t="s">
        <v>2272</v>
      </c>
      <c r="Q1036" s="4" t="s">
        <v>2272</v>
      </c>
      <c r="R1036" s="4" t="s">
        <v>2272</v>
      </c>
      <c r="S1036" s="4" t="s">
        <v>2272</v>
      </c>
      <c r="T1036" s="4" t="s">
        <v>6421</v>
      </c>
    </row>
    <row r="1037" spans="1:20" ht="32" customHeight="1">
      <c r="A1037" s="26" t="s">
        <v>6395</v>
      </c>
      <c r="B1037" s="4" t="s">
        <v>31</v>
      </c>
      <c r="C1037" s="4" t="s">
        <v>2640</v>
      </c>
      <c r="D1037" s="4" t="s">
        <v>135</v>
      </c>
      <c r="E1037" s="4" t="s">
        <v>2644</v>
      </c>
      <c r="F1037" s="4" t="s">
        <v>2648</v>
      </c>
      <c r="G1037" s="4" t="s">
        <v>2272</v>
      </c>
      <c r="H1037" s="4" t="s">
        <v>2272</v>
      </c>
      <c r="I1037" s="4" t="s">
        <v>2272</v>
      </c>
      <c r="J1037" s="4" t="s">
        <v>2272</v>
      </c>
      <c r="K1037" s="4" t="s">
        <v>532</v>
      </c>
      <c r="L1037" s="4" t="s">
        <v>2272</v>
      </c>
      <c r="M1037" s="4" t="s">
        <v>2272</v>
      </c>
      <c r="N1037" s="4" t="s">
        <v>2272</v>
      </c>
      <c r="O1037" s="4" t="s">
        <v>2272</v>
      </c>
      <c r="P1037" s="4" t="s">
        <v>2272</v>
      </c>
      <c r="Q1037" s="4" t="s">
        <v>2272</v>
      </c>
      <c r="R1037" s="4" t="s">
        <v>2272</v>
      </c>
      <c r="S1037" s="4" t="s">
        <v>2272</v>
      </c>
      <c r="T1037" s="4" t="s">
        <v>6421</v>
      </c>
    </row>
    <row r="1038" spans="1:20" ht="32" customHeight="1">
      <c r="A1038" s="26" t="s">
        <v>6396</v>
      </c>
      <c r="B1038" s="4" t="s">
        <v>31</v>
      </c>
      <c r="C1038" s="4" t="s">
        <v>2640</v>
      </c>
      <c r="D1038" s="4" t="s">
        <v>2648</v>
      </c>
      <c r="E1038" s="4" t="s">
        <v>2272</v>
      </c>
      <c r="F1038" s="4" t="s">
        <v>2272</v>
      </c>
      <c r="G1038" s="4" t="s">
        <v>2272</v>
      </c>
      <c r="H1038" s="4" t="s">
        <v>2272</v>
      </c>
      <c r="I1038" s="4" t="s">
        <v>2272</v>
      </c>
      <c r="J1038" s="4" t="s">
        <v>2272</v>
      </c>
      <c r="K1038" s="4" t="s">
        <v>535</v>
      </c>
      <c r="L1038" s="4" t="s">
        <v>2272</v>
      </c>
      <c r="M1038" s="4" t="s">
        <v>2272</v>
      </c>
      <c r="N1038" s="4" t="s">
        <v>2272</v>
      </c>
      <c r="O1038" s="4" t="s">
        <v>2272</v>
      </c>
      <c r="P1038" s="4" t="s">
        <v>2272</v>
      </c>
      <c r="Q1038" s="4" t="s">
        <v>2272</v>
      </c>
      <c r="R1038" s="4" t="s">
        <v>2272</v>
      </c>
      <c r="S1038" s="4" t="s">
        <v>2272</v>
      </c>
      <c r="T1038" s="4"/>
    </row>
    <row r="1039" spans="1:20" ht="32" customHeight="1">
      <c r="A1039" s="26" t="s">
        <v>6397</v>
      </c>
      <c r="B1039" s="4" t="s">
        <v>31</v>
      </c>
      <c r="C1039" s="4" t="s">
        <v>2640</v>
      </c>
      <c r="D1039" s="4" t="s">
        <v>2644</v>
      </c>
      <c r="E1039" s="4" t="s">
        <v>2272</v>
      </c>
      <c r="F1039" s="4" t="s">
        <v>2272</v>
      </c>
      <c r="G1039" s="4" t="s">
        <v>2272</v>
      </c>
      <c r="H1039" s="4" t="s">
        <v>2272</v>
      </c>
      <c r="I1039" s="4" t="s">
        <v>2272</v>
      </c>
      <c r="J1039" s="4" t="s">
        <v>2272</v>
      </c>
      <c r="K1039" s="4" t="s">
        <v>532</v>
      </c>
      <c r="L1039" s="4" t="s">
        <v>2272</v>
      </c>
      <c r="M1039" s="4" t="s">
        <v>2272</v>
      </c>
      <c r="N1039" s="4" t="s">
        <v>2272</v>
      </c>
      <c r="O1039" s="4" t="s">
        <v>2272</v>
      </c>
      <c r="P1039" s="4" t="s">
        <v>2272</v>
      </c>
      <c r="Q1039" s="4" t="s">
        <v>2272</v>
      </c>
      <c r="R1039" s="4" t="s">
        <v>2272</v>
      </c>
      <c r="S1039" s="4" t="s">
        <v>2272</v>
      </c>
      <c r="T1039" s="4"/>
    </row>
    <row r="1040" spans="1:20" ht="32" customHeight="1">
      <c r="A1040" s="4" t="s">
        <v>6398</v>
      </c>
      <c r="B1040" s="4" t="s">
        <v>31</v>
      </c>
      <c r="C1040" s="4" t="s">
        <v>2640</v>
      </c>
      <c r="D1040" s="4" t="s">
        <v>6420</v>
      </c>
      <c r="E1040" s="4" t="s">
        <v>2272</v>
      </c>
      <c r="F1040" s="4" t="s">
        <v>2272</v>
      </c>
      <c r="G1040" s="4" t="s">
        <v>2272</v>
      </c>
      <c r="H1040" s="4" t="s">
        <v>2272</v>
      </c>
      <c r="I1040" s="4" t="s">
        <v>2272</v>
      </c>
      <c r="J1040" s="4" t="s">
        <v>2272</v>
      </c>
      <c r="K1040" s="4" t="s">
        <v>535</v>
      </c>
      <c r="L1040" s="4" t="s">
        <v>2272</v>
      </c>
      <c r="M1040" s="4" t="s">
        <v>2272</v>
      </c>
      <c r="N1040" s="4" t="s">
        <v>2272</v>
      </c>
      <c r="O1040" s="4" t="s">
        <v>2272</v>
      </c>
      <c r="P1040" s="4" t="s">
        <v>2272</v>
      </c>
      <c r="Q1040" s="4" t="s">
        <v>2272</v>
      </c>
      <c r="R1040" s="4" t="s">
        <v>2272</v>
      </c>
      <c r="S1040" s="4" t="s">
        <v>2272</v>
      </c>
      <c r="T1040" s="4" t="s">
        <v>6422</v>
      </c>
    </row>
    <row r="1041" spans="1:20" ht="32" customHeight="1">
      <c r="A1041" s="4" t="s">
        <v>6399</v>
      </c>
      <c r="B1041" s="4" t="s">
        <v>31</v>
      </c>
      <c r="C1041" s="4" t="s">
        <v>2640</v>
      </c>
      <c r="D1041" s="4" t="s">
        <v>2644</v>
      </c>
      <c r="E1041" s="4" t="s">
        <v>2272</v>
      </c>
      <c r="F1041" s="4" t="s">
        <v>2272</v>
      </c>
      <c r="G1041" s="4" t="s">
        <v>2272</v>
      </c>
      <c r="H1041" s="4" t="s">
        <v>2272</v>
      </c>
      <c r="I1041" s="4" t="s">
        <v>2272</v>
      </c>
      <c r="J1041" s="4" t="s">
        <v>2272</v>
      </c>
      <c r="K1041" s="4" t="s">
        <v>532</v>
      </c>
      <c r="L1041" s="4" t="s">
        <v>2272</v>
      </c>
      <c r="M1041" s="4" t="s">
        <v>2272</v>
      </c>
      <c r="N1041" s="4" t="s">
        <v>2272</v>
      </c>
      <c r="O1041" s="4" t="s">
        <v>2272</v>
      </c>
      <c r="P1041" s="4" t="s">
        <v>2272</v>
      </c>
      <c r="Q1041" s="4" t="s">
        <v>2272</v>
      </c>
      <c r="R1041" s="4" t="s">
        <v>2272</v>
      </c>
      <c r="S1041" s="4" t="s">
        <v>2272</v>
      </c>
      <c r="T1041" s="4" t="s">
        <v>6423</v>
      </c>
    </row>
    <row r="1042" spans="1:20" ht="32" customHeight="1">
      <c r="A1042" s="4" t="s">
        <v>6400</v>
      </c>
      <c r="B1042" s="4" t="s">
        <v>31</v>
      </c>
      <c r="C1042" s="4" t="s">
        <v>2640</v>
      </c>
      <c r="D1042" s="4" t="s">
        <v>2644</v>
      </c>
      <c r="E1042" s="4" t="s">
        <v>2272</v>
      </c>
      <c r="F1042" s="4" t="s">
        <v>2272</v>
      </c>
      <c r="G1042" s="4" t="s">
        <v>2272</v>
      </c>
      <c r="H1042" s="4" t="s">
        <v>2272</v>
      </c>
      <c r="I1042" s="4" t="s">
        <v>2272</v>
      </c>
      <c r="J1042" s="4" t="s">
        <v>2272</v>
      </c>
      <c r="K1042" s="4" t="s">
        <v>532</v>
      </c>
      <c r="L1042" s="4" t="s">
        <v>2272</v>
      </c>
      <c r="M1042" s="4" t="s">
        <v>2272</v>
      </c>
      <c r="N1042" s="4" t="s">
        <v>2272</v>
      </c>
      <c r="O1042" s="4" t="s">
        <v>2272</v>
      </c>
      <c r="P1042" s="4" t="s">
        <v>2272</v>
      </c>
      <c r="Q1042" s="4" t="s">
        <v>2272</v>
      </c>
      <c r="R1042" s="4" t="s">
        <v>2272</v>
      </c>
      <c r="S1042" s="4" t="s">
        <v>2272</v>
      </c>
      <c r="T1042" s="4" t="s">
        <v>6424</v>
      </c>
    </row>
    <row r="1043" spans="1:20" ht="32" customHeight="1">
      <c r="A1043" s="4" t="s">
        <v>6401</v>
      </c>
      <c r="B1043" s="4" t="s">
        <v>1193</v>
      </c>
      <c r="C1043" s="4" t="s">
        <v>2640</v>
      </c>
      <c r="D1043" s="4" t="s">
        <v>2644</v>
      </c>
      <c r="E1043" s="4" t="s">
        <v>2272</v>
      </c>
      <c r="F1043" s="4" t="s">
        <v>2272</v>
      </c>
      <c r="G1043" s="4" t="s">
        <v>2272</v>
      </c>
      <c r="H1043" s="4" t="s">
        <v>2272</v>
      </c>
      <c r="I1043" s="4" t="s">
        <v>2272</v>
      </c>
      <c r="J1043" s="4" t="s">
        <v>2272</v>
      </c>
      <c r="K1043" s="4" t="s">
        <v>532</v>
      </c>
      <c r="L1043" s="4" t="s">
        <v>2272</v>
      </c>
      <c r="M1043" s="4" t="s">
        <v>2272</v>
      </c>
      <c r="N1043" s="4" t="s">
        <v>2272</v>
      </c>
      <c r="O1043" s="4" t="s">
        <v>2272</v>
      </c>
      <c r="P1043" s="4" t="s">
        <v>2272</v>
      </c>
      <c r="Q1043" s="4" t="s">
        <v>2272</v>
      </c>
      <c r="R1043" s="4">
        <v>100</v>
      </c>
      <c r="S1043" s="4" t="s">
        <v>2272</v>
      </c>
      <c r="T1043" s="4" t="s">
        <v>6425</v>
      </c>
    </row>
    <row r="1044" spans="1:20" ht="32" customHeight="1">
      <c r="A1044" s="4" t="s">
        <v>6402</v>
      </c>
      <c r="B1044" s="4" t="s">
        <v>1193</v>
      </c>
      <c r="C1044" s="4" t="s">
        <v>2640</v>
      </c>
      <c r="D1044" s="4" t="s">
        <v>2644</v>
      </c>
      <c r="E1044" s="4" t="s">
        <v>2272</v>
      </c>
      <c r="F1044" s="4" t="s">
        <v>2272</v>
      </c>
      <c r="G1044" s="4" t="s">
        <v>2272</v>
      </c>
      <c r="H1044" s="4" t="s">
        <v>2272</v>
      </c>
      <c r="I1044" s="4" t="s">
        <v>2272</v>
      </c>
      <c r="J1044" s="4" t="s">
        <v>2272</v>
      </c>
      <c r="K1044" s="4" t="s">
        <v>532</v>
      </c>
      <c r="L1044" s="4" t="s">
        <v>2272</v>
      </c>
      <c r="M1044" s="4" t="s">
        <v>2272</v>
      </c>
      <c r="N1044" s="4" t="s">
        <v>2272</v>
      </c>
      <c r="O1044" s="4" t="s">
        <v>2272</v>
      </c>
      <c r="P1044" s="4" t="s">
        <v>2272</v>
      </c>
      <c r="Q1044" s="4" t="s">
        <v>2272</v>
      </c>
      <c r="R1044" s="4">
        <v>100</v>
      </c>
      <c r="S1044" s="4" t="s">
        <v>2272</v>
      </c>
      <c r="T1044" s="4" t="s">
        <v>6425</v>
      </c>
    </row>
    <row r="1045" spans="1:20" ht="32" customHeight="1">
      <c r="A1045" s="4" t="s">
        <v>6403</v>
      </c>
      <c r="B1045" s="4" t="s">
        <v>1193</v>
      </c>
      <c r="C1045" s="4" t="s">
        <v>2640</v>
      </c>
      <c r="D1045" s="4" t="s">
        <v>2644</v>
      </c>
      <c r="E1045" s="4" t="s">
        <v>2272</v>
      </c>
      <c r="F1045" s="4" t="s">
        <v>2272</v>
      </c>
      <c r="G1045" s="4" t="s">
        <v>2272</v>
      </c>
      <c r="H1045" s="4" t="s">
        <v>2272</v>
      </c>
      <c r="I1045" s="4" t="s">
        <v>2272</v>
      </c>
      <c r="J1045" s="4" t="s">
        <v>2272</v>
      </c>
      <c r="K1045" s="4" t="s">
        <v>532</v>
      </c>
      <c r="L1045" s="4" t="s">
        <v>2272</v>
      </c>
      <c r="M1045" s="4" t="s">
        <v>2272</v>
      </c>
      <c r="N1045" s="4" t="s">
        <v>2272</v>
      </c>
      <c r="O1045" s="4" t="s">
        <v>2272</v>
      </c>
      <c r="P1045" s="4" t="s">
        <v>2272</v>
      </c>
      <c r="Q1045" s="4" t="s">
        <v>2272</v>
      </c>
      <c r="R1045" s="4">
        <v>100</v>
      </c>
      <c r="S1045" s="4" t="s">
        <v>2272</v>
      </c>
      <c r="T1045" s="4" t="s">
        <v>6425</v>
      </c>
    </row>
    <row r="1046" spans="1:20" ht="32" customHeight="1">
      <c r="A1046" s="4" t="s">
        <v>6404</v>
      </c>
      <c r="B1046" s="4" t="s">
        <v>1193</v>
      </c>
      <c r="C1046" s="4" t="s">
        <v>2640</v>
      </c>
      <c r="D1046" s="4" t="s">
        <v>2644</v>
      </c>
      <c r="E1046" s="4" t="s">
        <v>2272</v>
      </c>
      <c r="F1046" s="4" t="s">
        <v>2272</v>
      </c>
      <c r="G1046" s="4" t="s">
        <v>2272</v>
      </c>
      <c r="H1046" s="4" t="s">
        <v>2272</v>
      </c>
      <c r="I1046" s="4" t="s">
        <v>2272</v>
      </c>
      <c r="J1046" s="4" t="s">
        <v>2272</v>
      </c>
      <c r="K1046" s="4" t="s">
        <v>532</v>
      </c>
      <c r="L1046" s="4" t="s">
        <v>2272</v>
      </c>
      <c r="M1046" s="4" t="s">
        <v>2272</v>
      </c>
      <c r="N1046" s="4" t="s">
        <v>2272</v>
      </c>
      <c r="O1046" s="4" t="s">
        <v>2272</v>
      </c>
      <c r="P1046" s="4" t="s">
        <v>2272</v>
      </c>
      <c r="Q1046" s="4" t="s">
        <v>2272</v>
      </c>
      <c r="R1046" s="4">
        <v>100</v>
      </c>
      <c r="S1046" s="4" t="s">
        <v>2272</v>
      </c>
      <c r="T1046" s="4" t="s">
        <v>6425</v>
      </c>
    </row>
    <row r="1047" spans="1:20" ht="32" customHeight="1">
      <c r="A1047" s="4" t="s">
        <v>6405</v>
      </c>
      <c r="B1047" s="4" t="s">
        <v>1193</v>
      </c>
      <c r="C1047" s="4" t="s">
        <v>2640</v>
      </c>
      <c r="D1047" s="4" t="s">
        <v>2644</v>
      </c>
      <c r="E1047" s="4" t="s">
        <v>2272</v>
      </c>
      <c r="F1047" s="4" t="s">
        <v>2272</v>
      </c>
      <c r="G1047" s="4" t="s">
        <v>2272</v>
      </c>
      <c r="H1047" s="4" t="s">
        <v>2272</v>
      </c>
      <c r="I1047" s="4" t="s">
        <v>2272</v>
      </c>
      <c r="J1047" s="4" t="s">
        <v>2272</v>
      </c>
      <c r="K1047" s="4" t="s">
        <v>532</v>
      </c>
      <c r="L1047" s="4" t="s">
        <v>2272</v>
      </c>
      <c r="M1047" s="4" t="s">
        <v>2272</v>
      </c>
      <c r="N1047" s="4" t="s">
        <v>2272</v>
      </c>
      <c r="O1047" s="4" t="s">
        <v>2272</v>
      </c>
      <c r="P1047" s="4" t="s">
        <v>2272</v>
      </c>
      <c r="Q1047" s="4" t="s">
        <v>2272</v>
      </c>
      <c r="R1047" s="4" t="s">
        <v>2272</v>
      </c>
      <c r="S1047" s="4" t="s">
        <v>2272</v>
      </c>
      <c r="T1047" s="4"/>
    </row>
    <row r="1048" spans="1:20" ht="32" customHeight="1">
      <c r="A1048" s="4" t="s">
        <v>6406</v>
      </c>
      <c r="B1048" s="4" t="s">
        <v>1193</v>
      </c>
      <c r="C1048" s="4" t="s">
        <v>2640</v>
      </c>
      <c r="D1048" s="4" t="s">
        <v>2644</v>
      </c>
      <c r="E1048" s="4" t="s">
        <v>2272</v>
      </c>
      <c r="F1048" s="4" t="s">
        <v>2272</v>
      </c>
      <c r="G1048" s="4" t="s">
        <v>2272</v>
      </c>
      <c r="H1048" s="4" t="s">
        <v>2272</v>
      </c>
      <c r="I1048" s="4" t="s">
        <v>2272</v>
      </c>
      <c r="J1048" s="4" t="s">
        <v>2272</v>
      </c>
      <c r="K1048" s="4" t="s">
        <v>532</v>
      </c>
      <c r="L1048" s="4" t="s">
        <v>2272</v>
      </c>
      <c r="M1048" s="4" t="s">
        <v>2272</v>
      </c>
      <c r="N1048" s="4" t="s">
        <v>2272</v>
      </c>
      <c r="O1048" s="4" t="s">
        <v>2272</v>
      </c>
      <c r="P1048" s="4" t="s">
        <v>2272</v>
      </c>
      <c r="Q1048" s="4" t="s">
        <v>2272</v>
      </c>
      <c r="R1048" s="4" t="s">
        <v>2272</v>
      </c>
      <c r="S1048" s="4" t="s">
        <v>2272</v>
      </c>
      <c r="T1048" s="4"/>
    </row>
    <row r="1049" spans="1:20" ht="32" customHeight="1">
      <c r="A1049" s="4" t="s">
        <v>6407</v>
      </c>
      <c r="B1049" s="4" t="s">
        <v>1193</v>
      </c>
      <c r="C1049" s="4" t="s">
        <v>2640</v>
      </c>
      <c r="D1049" s="4" t="s">
        <v>2644</v>
      </c>
      <c r="E1049" s="4" t="s">
        <v>135</v>
      </c>
      <c r="F1049" s="4" t="s">
        <v>2647</v>
      </c>
      <c r="G1049" s="4" t="s">
        <v>2272</v>
      </c>
      <c r="H1049" s="4" t="s">
        <v>2272</v>
      </c>
      <c r="I1049" s="4" t="s">
        <v>2272</v>
      </c>
      <c r="J1049" s="4" t="s">
        <v>2272</v>
      </c>
      <c r="K1049" s="4" t="s">
        <v>532</v>
      </c>
      <c r="L1049" s="4" t="s">
        <v>2272</v>
      </c>
      <c r="M1049" s="4" t="s">
        <v>2272</v>
      </c>
      <c r="N1049" s="4" t="s">
        <v>2272</v>
      </c>
      <c r="O1049" s="4" t="s">
        <v>2272</v>
      </c>
      <c r="P1049" s="4" t="s">
        <v>2272</v>
      </c>
      <c r="Q1049" s="4" t="s">
        <v>2272</v>
      </c>
      <c r="R1049" s="4" t="s">
        <v>2272</v>
      </c>
      <c r="S1049" s="4" t="s">
        <v>2272</v>
      </c>
      <c r="T1049" s="4"/>
    </row>
    <row r="1050" spans="1:20" ht="32" customHeight="1">
      <c r="A1050" s="4" t="s">
        <v>6408</v>
      </c>
      <c r="B1050" s="4" t="s">
        <v>1193</v>
      </c>
      <c r="C1050" s="4" t="s">
        <v>2640</v>
      </c>
      <c r="D1050" s="4" t="s">
        <v>2644</v>
      </c>
      <c r="E1050" s="4" t="s">
        <v>135</v>
      </c>
      <c r="F1050" s="4" t="s">
        <v>2647</v>
      </c>
      <c r="G1050" s="4" t="s">
        <v>2272</v>
      </c>
      <c r="H1050" s="4" t="s">
        <v>2272</v>
      </c>
      <c r="I1050" s="4" t="s">
        <v>2272</v>
      </c>
      <c r="J1050" s="4" t="s">
        <v>2272</v>
      </c>
      <c r="K1050" s="4" t="s">
        <v>532</v>
      </c>
      <c r="L1050" s="4" t="s">
        <v>2272</v>
      </c>
      <c r="M1050" s="4" t="s">
        <v>2272</v>
      </c>
      <c r="N1050" s="4" t="s">
        <v>2272</v>
      </c>
      <c r="O1050" s="4" t="s">
        <v>2272</v>
      </c>
      <c r="P1050" s="4" t="s">
        <v>2272</v>
      </c>
      <c r="Q1050" s="4" t="s">
        <v>2272</v>
      </c>
      <c r="R1050" s="4" t="s">
        <v>2272</v>
      </c>
      <c r="S1050" s="4" t="s">
        <v>2272</v>
      </c>
      <c r="T1050" s="4"/>
    </row>
    <row r="1051" spans="1:20" ht="32" customHeight="1">
      <c r="A1051" s="4" t="s">
        <v>6409</v>
      </c>
      <c r="B1051" s="4" t="s">
        <v>69</v>
      </c>
      <c r="C1051" s="4" t="s">
        <v>2640</v>
      </c>
      <c r="D1051" s="4" t="s">
        <v>2644</v>
      </c>
      <c r="E1051" s="4" t="s">
        <v>2272</v>
      </c>
      <c r="F1051" s="4" t="s">
        <v>2272</v>
      </c>
      <c r="G1051" s="4" t="s">
        <v>2272</v>
      </c>
      <c r="H1051" s="4" t="s">
        <v>2272</v>
      </c>
      <c r="I1051" s="4" t="s">
        <v>2272</v>
      </c>
      <c r="J1051" s="4" t="s">
        <v>2272</v>
      </c>
      <c r="K1051" s="4" t="s">
        <v>532</v>
      </c>
      <c r="L1051" s="4" t="s">
        <v>2272</v>
      </c>
      <c r="M1051" s="4" t="s">
        <v>2272</v>
      </c>
      <c r="N1051" s="4" t="s">
        <v>2272</v>
      </c>
      <c r="O1051" s="4" t="s">
        <v>2272</v>
      </c>
      <c r="P1051" s="4" t="s">
        <v>2272</v>
      </c>
      <c r="Q1051" s="4" t="s">
        <v>2272</v>
      </c>
      <c r="R1051" s="4" t="s">
        <v>2272</v>
      </c>
      <c r="S1051" s="4" t="s">
        <v>2272</v>
      </c>
      <c r="T1051" s="4"/>
    </row>
    <row r="1052" spans="1:20" ht="32" customHeight="1">
      <c r="A1052" s="4" t="s">
        <v>6410</v>
      </c>
      <c r="B1052" s="4" t="s">
        <v>69</v>
      </c>
      <c r="C1052" s="4" t="s">
        <v>2640</v>
      </c>
      <c r="D1052" s="4" t="s">
        <v>2644</v>
      </c>
      <c r="E1052" s="4" t="s">
        <v>2272</v>
      </c>
      <c r="F1052" s="4" t="s">
        <v>2272</v>
      </c>
      <c r="G1052" s="4" t="s">
        <v>2272</v>
      </c>
      <c r="H1052" s="4" t="s">
        <v>2272</v>
      </c>
      <c r="I1052" s="4" t="s">
        <v>2272</v>
      </c>
      <c r="J1052" s="4" t="s">
        <v>2272</v>
      </c>
      <c r="K1052" s="4" t="s">
        <v>532</v>
      </c>
      <c r="L1052" s="4" t="s">
        <v>2272</v>
      </c>
      <c r="M1052" s="4" t="s">
        <v>2272</v>
      </c>
      <c r="N1052" s="4" t="s">
        <v>2272</v>
      </c>
      <c r="O1052" s="4" t="s">
        <v>2272</v>
      </c>
      <c r="P1052" s="4" t="s">
        <v>2272</v>
      </c>
      <c r="Q1052" s="4" t="s">
        <v>2272</v>
      </c>
      <c r="R1052" s="4" t="s">
        <v>2272</v>
      </c>
      <c r="S1052" s="4" t="s">
        <v>2272</v>
      </c>
      <c r="T1052" s="4"/>
    </row>
    <row r="1053" spans="1:20" ht="32" customHeight="1">
      <c r="A1053" s="4" t="s">
        <v>6556</v>
      </c>
      <c r="B1053" s="4" t="s">
        <v>69</v>
      </c>
      <c r="C1053" s="4" t="s">
        <v>2640</v>
      </c>
      <c r="D1053" s="4" t="s">
        <v>2644</v>
      </c>
      <c r="E1053" s="4" t="s">
        <v>2272</v>
      </c>
      <c r="F1053" s="4" t="s">
        <v>2272</v>
      </c>
      <c r="G1053" s="4" t="s">
        <v>2272</v>
      </c>
      <c r="H1053" s="4" t="s">
        <v>2272</v>
      </c>
      <c r="I1053" s="4" t="s">
        <v>2272</v>
      </c>
      <c r="J1053" s="4" t="s">
        <v>2272</v>
      </c>
      <c r="K1053" s="4" t="s">
        <v>532</v>
      </c>
      <c r="L1053" s="4" t="s">
        <v>2272</v>
      </c>
      <c r="M1053" s="4" t="s">
        <v>2272</v>
      </c>
      <c r="N1053" s="4" t="s">
        <v>2272</v>
      </c>
      <c r="O1053" s="4" t="s">
        <v>2272</v>
      </c>
      <c r="P1053" s="4" t="s">
        <v>2272</v>
      </c>
      <c r="Q1053" s="4" t="s">
        <v>2272</v>
      </c>
      <c r="R1053" s="4" t="s">
        <v>2272</v>
      </c>
      <c r="S1053" s="4" t="s">
        <v>2272</v>
      </c>
      <c r="T1053" s="4"/>
    </row>
    <row r="1054" spans="1:20" ht="32" customHeight="1">
      <c r="A1054" s="4" t="s">
        <v>6411</v>
      </c>
      <c r="B1054" s="4" t="s">
        <v>1193</v>
      </c>
      <c r="C1054" s="4" t="s">
        <v>2640</v>
      </c>
      <c r="D1054" s="4" t="s">
        <v>2644</v>
      </c>
      <c r="E1054" s="4" t="s">
        <v>2272</v>
      </c>
      <c r="F1054" s="4" t="s">
        <v>2272</v>
      </c>
      <c r="G1054" s="4" t="s">
        <v>2272</v>
      </c>
      <c r="H1054" s="4" t="s">
        <v>2272</v>
      </c>
      <c r="I1054" s="4" t="s">
        <v>2272</v>
      </c>
      <c r="J1054" s="4" t="s">
        <v>2272</v>
      </c>
      <c r="K1054" s="4" t="s">
        <v>532</v>
      </c>
      <c r="L1054" s="4" t="s">
        <v>2272</v>
      </c>
      <c r="M1054" s="4" t="s">
        <v>2272</v>
      </c>
      <c r="N1054" s="4" t="s">
        <v>2272</v>
      </c>
      <c r="O1054" s="4" t="s">
        <v>2272</v>
      </c>
      <c r="P1054" s="4" t="s">
        <v>2272</v>
      </c>
      <c r="Q1054" s="4" t="s">
        <v>2272</v>
      </c>
      <c r="R1054" s="4" t="s">
        <v>2272</v>
      </c>
      <c r="S1054" s="4" t="s">
        <v>2272</v>
      </c>
      <c r="T1054" s="4"/>
    </row>
    <row r="1055" spans="1:20" ht="32" customHeight="1">
      <c r="A1055" s="4" t="s">
        <v>6412</v>
      </c>
      <c r="B1055" s="4" t="s">
        <v>1193</v>
      </c>
      <c r="C1055" s="4" t="s">
        <v>2640</v>
      </c>
      <c r="D1055" s="4" t="s">
        <v>2644</v>
      </c>
      <c r="E1055" s="4" t="s">
        <v>2272</v>
      </c>
      <c r="F1055" s="4" t="s">
        <v>2272</v>
      </c>
      <c r="G1055" s="4" t="s">
        <v>2272</v>
      </c>
      <c r="H1055" s="4" t="s">
        <v>2272</v>
      </c>
      <c r="I1055" s="4" t="s">
        <v>2272</v>
      </c>
      <c r="J1055" s="4" t="s">
        <v>2272</v>
      </c>
      <c r="K1055" s="4" t="s">
        <v>532</v>
      </c>
      <c r="L1055" s="4" t="s">
        <v>2272</v>
      </c>
      <c r="M1055" s="4" t="s">
        <v>2272</v>
      </c>
      <c r="N1055" s="4" t="s">
        <v>2272</v>
      </c>
      <c r="O1055" s="4" t="s">
        <v>2272</v>
      </c>
      <c r="P1055" s="4" t="s">
        <v>2272</v>
      </c>
      <c r="Q1055" s="4" t="s">
        <v>2272</v>
      </c>
      <c r="R1055" s="4" t="s">
        <v>2272</v>
      </c>
      <c r="S1055" s="4" t="s">
        <v>2272</v>
      </c>
      <c r="T1055" s="4"/>
    </row>
    <row r="1056" spans="1:20" ht="32" customHeight="1">
      <c r="A1056" s="4" t="s">
        <v>6413</v>
      </c>
      <c r="B1056" s="4" t="s">
        <v>1193</v>
      </c>
      <c r="C1056" s="4" t="s">
        <v>2640</v>
      </c>
      <c r="D1056" s="4" t="s">
        <v>2644</v>
      </c>
      <c r="E1056" s="4" t="s">
        <v>135</v>
      </c>
      <c r="F1056" s="4" t="s">
        <v>2647</v>
      </c>
      <c r="G1056" s="4" t="s">
        <v>2272</v>
      </c>
      <c r="H1056" s="4" t="s">
        <v>2272</v>
      </c>
      <c r="I1056" s="4" t="s">
        <v>2272</v>
      </c>
      <c r="J1056" s="4" t="s">
        <v>2272</v>
      </c>
      <c r="K1056" s="4" t="s">
        <v>532</v>
      </c>
      <c r="L1056" s="4" t="s">
        <v>2272</v>
      </c>
      <c r="M1056" s="4" t="s">
        <v>2272</v>
      </c>
      <c r="N1056" s="4" t="s">
        <v>2272</v>
      </c>
      <c r="O1056" s="4" t="s">
        <v>2272</v>
      </c>
      <c r="P1056" s="4" t="s">
        <v>2272</v>
      </c>
      <c r="Q1056" s="4" t="s">
        <v>2272</v>
      </c>
      <c r="R1056" s="4" t="s">
        <v>2272</v>
      </c>
      <c r="S1056" s="4" t="s">
        <v>2272</v>
      </c>
      <c r="T1056" s="4"/>
    </row>
    <row r="1057" spans="1:20" ht="32" customHeight="1">
      <c r="A1057" s="4" t="s">
        <v>6414</v>
      </c>
      <c r="B1057" s="4" t="s">
        <v>1193</v>
      </c>
      <c r="C1057" s="4" t="s">
        <v>2640</v>
      </c>
      <c r="D1057" s="4" t="s">
        <v>2644</v>
      </c>
      <c r="E1057" s="4" t="s">
        <v>135</v>
      </c>
      <c r="F1057" s="4" t="s">
        <v>2647</v>
      </c>
      <c r="G1057" s="4" t="s">
        <v>2272</v>
      </c>
      <c r="H1057" s="4" t="s">
        <v>2272</v>
      </c>
      <c r="I1057" s="4" t="s">
        <v>2272</v>
      </c>
      <c r="J1057" s="4" t="s">
        <v>2272</v>
      </c>
      <c r="K1057" s="4" t="s">
        <v>532</v>
      </c>
      <c r="L1057" s="4" t="s">
        <v>2272</v>
      </c>
      <c r="M1057" s="4" t="s">
        <v>2272</v>
      </c>
      <c r="N1057" s="4" t="s">
        <v>2272</v>
      </c>
      <c r="O1057" s="4" t="s">
        <v>2272</v>
      </c>
      <c r="P1057" s="4" t="s">
        <v>2272</v>
      </c>
      <c r="Q1057" s="4" t="s">
        <v>2272</v>
      </c>
      <c r="R1057" s="4" t="s">
        <v>2272</v>
      </c>
      <c r="S1057" s="4" t="s">
        <v>2272</v>
      </c>
      <c r="T1057" s="4"/>
    </row>
    <row r="1058" spans="1:20" ht="32" customHeight="1">
      <c r="A1058" s="4" t="s">
        <v>6415</v>
      </c>
      <c r="B1058" s="4" t="s">
        <v>1193</v>
      </c>
      <c r="C1058" s="4" t="s">
        <v>2640</v>
      </c>
      <c r="D1058" s="4" t="s">
        <v>135</v>
      </c>
      <c r="E1058" s="4" t="s">
        <v>2647</v>
      </c>
      <c r="F1058" s="4" t="s">
        <v>2272</v>
      </c>
      <c r="G1058" s="4" t="s">
        <v>2272</v>
      </c>
      <c r="H1058" s="4" t="s">
        <v>2272</v>
      </c>
      <c r="I1058" s="4" t="s">
        <v>2272</v>
      </c>
      <c r="J1058" s="4" t="s">
        <v>2272</v>
      </c>
      <c r="K1058" s="4" t="s">
        <v>535</v>
      </c>
      <c r="L1058" s="4" t="s">
        <v>2272</v>
      </c>
      <c r="M1058" s="4" t="s">
        <v>2272</v>
      </c>
      <c r="N1058" s="4" t="s">
        <v>2272</v>
      </c>
      <c r="O1058" s="4" t="s">
        <v>2272</v>
      </c>
      <c r="P1058" s="4" t="s">
        <v>2272</v>
      </c>
      <c r="Q1058" s="4" t="s">
        <v>2272</v>
      </c>
      <c r="R1058" s="4" t="s">
        <v>2272</v>
      </c>
      <c r="S1058" s="4" t="s">
        <v>2272</v>
      </c>
      <c r="T1058" s="4"/>
    </row>
    <row r="1059" spans="1:20" ht="32" customHeight="1">
      <c r="A1059" s="4" t="s">
        <v>6416</v>
      </c>
      <c r="B1059" s="4" t="s">
        <v>31</v>
      </c>
      <c r="C1059" s="4" t="s">
        <v>2640</v>
      </c>
      <c r="D1059" s="4" t="s">
        <v>2644</v>
      </c>
      <c r="E1059" s="4" t="s">
        <v>2272</v>
      </c>
      <c r="F1059" s="4" t="s">
        <v>2272</v>
      </c>
      <c r="G1059" s="4" t="s">
        <v>2272</v>
      </c>
      <c r="H1059" s="4" t="s">
        <v>2272</v>
      </c>
      <c r="I1059" s="4" t="s">
        <v>2272</v>
      </c>
      <c r="J1059" s="4" t="s">
        <v>2272</v>
      </c>
      <c r="K1059" s="4" t="s">
        <v>532</v>
      </c>
      <c r="L1059" s="4" t="s">
        <v>2272</v>
      </c>
      <c r="M1059" s="4" t="s">
        <v>2272</v>
      </c>
      <c r="N1059" s="4" t="s">
        <v>2272</v>
      </c>
      <c r="O1059" s="4" t="s">
        <v>2272</v>
      </c>
      <c r="P1059" s="71">
        <v>3.16</v>
      </c>
      <c r="Q1059" s="4" t="s">
        <v>2272</v>
      </c>
      <c r="R1059" s="71">
        <f>100-8.21</f>
        <v>91.789999999999992</v>
      </c>
      <c r="S1059" s="4" t="s">
        <v>2272</v>
      </c>
      <c r="T1059" s="4"/>
    </row>
    <row r="1060" spans="1:20" ht="46.5" customHeight="1">
      <c r="A1060" s="4" t="s">
        <v>6417</v>
      </c>
      <c r="B1060" s="4" t="s">
        <v>1193</v>
      </c>
      <c r="C1060" s="4" t="s">
        <v>2640</v>
      </c>
      <c r="D1060" s="4" t="s">
        <v>2644</v>
      </c>
      <c r="E1060" s="4" t="s">
        <v>135</v>
      </c>
      <c r="F1060" s="4" t="s">
        <v>3849</v>
      </c>
      <c r="G1060" s="4" t="s">
        <v>2272</v>
      </c>
      <c r="H1060" s="216">
        <f>1340/581200</f>
        <v>2.3055746730901582E-3</v>
      </c>
      <c r="I1060" s="4">
        <v>4827</v>
      </c>
      <c r="J1060" s="4"/>
      <c r="K1060" s="4" t="s">
        <v>532</v>
      </c>
      <c r="L1060" s="4" t="s">
        <v>2272</v>
      </c>
      <c r="M1060" s="4" t="s">
        <v>2272</v>
      </c>
      <c r="N1060" s="4" t="s">
        <v>2272</v>
      </c>
      <c r="O1060" s="4" t="s">
        <v>2272</v>
      </c>
      <c r="P1060" s="4" t="s">
        <v>2272</v>
      </c>
      <c r="Q1060" s="4" t="s">
        <v>2272</v>
      </c>
      <c r="R1060" s="4" t="s">
        <v>2272</v>
      </c>
      <c r="S1060" s="4" t="s">
        <v>2272</v>
      </c>
      <c r="T1060" s="4" t="s">
        <v>6426</v>
      </c>
    </row>
    <row r="1061" spans="1:20" ht="32" customHeight="1">
      <c r="A1061" s="4" t="s">
        <v>6418</v>
      </c>
      <c r="B1061" s="4" t="s">
        <v>1193</v>
      </c>
      <c r="C1061" s="4" t="s">
        <v>2640</v>
      </c>
      <c r="D1061" s="4" t="s">
        <v>2644</v>
      </c>
      <c r="E1061" s="4" t="s">
        <v>2272</v>
      </c>
      <c r="F1061" s="4" t="s">
        <v>2272</v>
      </c>
      <c r="G1061" s="4" t="s">
        <v>2272</v>
      </c>
      <c r="H1061" s="4" t="s">
        <v>2272</v>
      </c>
      <c r="I1061" s="4" t="s">
        <v>2272</v>
      </c>
      <c r="J1061" s="4" t="s">
        <v>2272</v>
      </c>
      <c r="K1061" s="4" t="s">
        <v>532</v>
      </c>
      <c r="L1061" s="4" t="s">
        <v>2272</v>
      </c>
      <c r="M1061" s="4" t="s">
        <v>2272</v>
      </c>
      <c r="N1061" s="4" t="s">
        <v>2272</v>
      </c>
      <c r="O1061" s="4" t="s">
        <v>2272</v>
      </c>
      <c r="P1061" s="4" t="s">
        <v>2272</v>
      </c>
      <c r="Q1061" s="4" t="s">
        <v>2272</v>
      </c>
      <c r="R1061" s="4" t="s">
        <v>2272</v>
      </c>
      <c r="S1061" s="4" t="s">
        <v>2272</v>
      </c>
      <c r="T1061" s="4"/>
    </row>
    <row r="1062" spans="1:20" ht="32" customHeight="1">
      <c r="A1062" s="4" t="s">
        <v>6419</v>
      </c>
      <c r="B1062" s="4" t="s">
        <v>31</v>
      </c>
      <c r="C1062" s="4" t="s">
        <v>2640</v>
      </c>
      <c r="D1062" s="4" t="s">
        <v>2644</v>
      </c>
      <c r="E1062" s="4" t="s">
        <v>135</v>
      </c>
      <c r="F1062" s="4" t="s">
        <v>2272</v>
      </c>
      <c r="G1062" s="4" t="s">
        <v>2272</v>
      </c>
      <c r="H1062" s="4" t="s">
        <v>2272</v>
      </c>
      <c r="I1062" s="4" t="s">
        <v>2272</v>
      </c>
      <c r="J1062" s="4" t="s">
        <v>2272</v>
      </c>
      <c r="K1062" s="4" t="s">
        <v>532</v>
      </c>
      <c r="L1062" s="4" t="s">
        <v>2272</v>
      </c>
      <c r="M1062" s="4" t="s">
        <v>2272</v>
      </c>
      <c r="N1062" s="4" t="s">
        <v>2272</v>
      </c>
      <c r="O1062" s="4" t="s">
        <v>2272</v>
      </c>
      <c r="P1062" s="4" t="s">
        <v>2272</v>
      </c>
      <c r="Q1062" s="4" t="s">
        <v>2272</v>
      </c>
      <c r="R1062" s="4" t="s">
        <v>2272</v>
      </c>
      <c r="S1062" s="4" t="s">
        <v>2272</v>
      </c>
      <c r="T1062" s="4"/>
    </row>
    <row r="1063" spans="1:20" ht="24.5" customHeight="1">
      <c r="A1063" s="19" t="s">
        <v>6979</v>
      </c>
      <c r="B1063" s="198" t="s">
        <v>2272</v>
      </c>
      <c r="C1063" s="198" t="s">
        <v>2641</v>
      </c>
      <c r="D1063" s="198" t="s">
        <v>5795</v>
      </c>
      <c r="E1063" s="198" t="s">
        <v>44</v>
      </c>
      <c r="F1063" s="4" t="s">
        <v>2272</v>
      </c>
      <c r="G1063" s="4" t="s">
        <v>2272</v>
      </c>
      <c r="H1063" s="4" t="s">
        <v>2272</v>
      </c>
      <c r="I1063" s="4" t="s">
        <v>2272</v>
      </c>
      <c r="J1063" s="4" t="s">
        <v>2272</v>
      </c>
      <c r="K1063" s="4" t="s">
        <v>2272</v>
      </c>
      <c r="L1063" s="4" t="s">
        <v>2272</v>
      </c>
      <c r="M1063" s="4" t="s">
        <v>2272</v>
      </c>
      <c r="N1063" s="4" t="s">
        <v>2272</v>
      </c>
      <c r="O1063" s="4" t="s">
        <v>2272</v>
      </c>
      <c r="P1063" s="4" t="s">
        <v>2272</v>
      </c>
      <c r="Q1063" s="4" t="s">
        <v>2272</v>
      </c>
      <c r="R1063" s="4" t="s">
        <v>2272</v>
      </c>
      <c r="S1063" s="4" t="s">
        <v>2272</v>
      </c>
      <c r="T1063" s="198"/>
    </row>
    <row r="1064" spans="1:20" ht="29.5" customHeight="1">
      <c r="A1064" s="19" t="s">
        <v>6987</v>
      </c>
      <c r="B1064" s="198" t="s">
        <v>2272</v>
      </c>
      <c r="C1064" s="198" t="s">
        <v>11</v>
      </c>
      <c r="D1064" s="198" t="s">
        <v>44</v>
      </c>
      <c r="E1064" s="198" t="s">
        <v>82</v>
      </c>
      <c r="F1064" s="4" t="s">
        <v>2272</v>
      </c>
      <c r="G1064" s="4" t="s">
        <v>2272</v>
      </c>
      <c r="H1064" s="4" t="s">
        <v>2272</v>
      </c>
      <c r="I1064" s="4" t="s">
        <v>2272</v>
      </c>
      <c r="J1064" s="4" t="s">
        <v>2272</v>
      </c>
      <c r="K1064" s="4" t="s">
        <v>2272</v>
      </c>
      <c r="L1064" s="4" t="s">
        <v>2272</v>
      </c>
      <c r="M1064" s="4" t="s">
        <v>2272</v>
      </c>
      <c r="N1064" s="4" t="s">
        <v>2272</v>
      </c>
      <c r="O1064" s="21">
        <f>100 * 1090 / 0.2 * 0.75 / 'Record info'!$K1064</f>
        <v>11.943024105186268</v>
      </c>
      <c r="P1064" s="4" t="s">
        <v>2272</v>
      </c>
      <c r="Q1064" s="21">
        <f>100 * 1090 / 0.2 * 0.25 / 'Record info'!$K1064</f>
        <v>3.9810080350620893</v>
      </c>
      <c r="R1064" s="21">
        <f>100 - Q1064 - O1064 - 7.62</f>
        <v>76.455967859751638</v>
      </c>
      <c r="S1064" s="4" t="s">
        <v>2272</v>
      </c>
      <c r="T1064" s="4" t="s">
        <v>6993</v>
      </c>
    </row>
    <row r="1065" spans="1:20" ht="29.5" customHeight="1">
      <c r="A1065" s="19" t="s">
        <v>6998</v>
      </c>
      <c r="B1065" s="198" t="s">
        <v>31</v>
      </c>
      <c r="C1065" s="198" t="s">
        <v>11</v>
      </c>
      <c r="D1065" s="198" t="s">
        <v>44</v>
      </c>
      <c r="E1065" s="198" t="s">
        <v>82</v>
      </c>
      <c r="F1065" s="4" t="s">
        <v>2272</v>
      </c>
      <c r="G1065" s="4" t="s">
        <v>2272</v>
      </c>
      <c r="H1065" s="4" t="s">
        <v>2272</v>
      </c>
      <c r="I1065" s="4" t="s">
        <v>2272</v>
      </c>
      <c r="J1065" s="4" t="s">
        <v>2272</v>
      </c>
      <c r="K1065" s="4" t="s">
        <v>2272</v>
      </c>
      <c r="L1065" s="4" t="s">
        <v>2272</v>
      </c>
      <c r="M1065" s="4" t="s">
        <v>2272</v>
      </c>
      <c r="N1065" s="4" t="s">
        <v>2272</v>
      </c>
      <c r="O1065" s="21">
        <f>100 * (13200 + 534/0.34) / 'Record info'!K1065 / 2</f>
        <v>21.57865337515576</v>
      </c>
      <c r="P1065" s="21">
        <v>21.57865337515576</v>
      </c>
      <c r="Q1065" s="4" t="s">
        <v>2272</v>
      </c>
      <c r="R1065" s="21">
        <f>100-O1065-P1065</f>
        <v>56.842693249688473</v>
      </c>
      <c r="S1065" s="21">
        <f>100 * ((534/0.34/4) / (0.56834*'Record info'!K1065))</f>
        <v>2.0186018591661825</v>
      </c>
      <c r="T1065" s="4" t="s">
        <v>7001</v>
      </c>
    </row>
    <row r="1066" spans="1:20" ht="31" customHeight="1">
      <c r="A1066" s="19" t="s">
        <v>7008</v>
      </c>
      <c r="B1066" s="198" t="s">
        <v>2272</v>
      </c>
      <c r="C1066" s="198" t="s">
        <v>11</v>
      </c>
      <c r="D1066" s="198" t="s">
        <v>82</v>
      </c>
      <c r="E1066" s="198" t="s">
        <v>44</v>
      </c>
      <c r="F1066" s="4" t="s">
        <v>2272</v>
      </c>
      <c r="G1066" s="4" t="s">
        <v>2272</v>
      </c>
      <c r="H1066" s="4" t="s">
        <v>2272</v>
      </c>
      <c r="I1066" s="4" t="s">
        <v>2272</v>
      </c>
      <c r="J1066" s="4" t="s">
        <v>2272</v>
      </c>
      <c r="K1066" s="4" t="s">
        <v>2272</v>
      </c>
      <c r="L1066" s="4" t="s">
        <v>2272</v>
      </c>
      <c r="M1066" s="4" t="s">
        <v>2272</v>
      </c>
      <c r="N1066" s="4" t="s">
        <v>2272</v>
      </c>
      <c r="O1066" s="4" t="s">
        <v>2272</v>
      </c>
      <c r="P1066" s="4" t="s">
        <v>2272</v>
      </c>
      <c r="Q1066" s="4" t="s">
        <v>2272</v>
      </c>
      <c r="R1066" s="4" t="s">
        <v>2272</v>
      </c>
      <c r="S1066" s="4" t="s">
        <v>2272</v>
      </c>
      <c r="T1066" s="198"/>
    </row>
    <row r="1067" spans="1:20" ht="33" customHeight="1">
      <c r="A1067" s="19" t="s">
        <v>7014</v>
      </c>
      <c r="B1067" s="198" t="s">
        <v>31</v>
      </c>
      <c r="C1067" s="198" t="s">
        <v>2640</v>
      </c>
      <c r="D1067" s="198" t="s">
        <v>135</v>
      </c>
      <c r="E1067" s="198" t="s">
        <v>2642</v>
      </c>
      <c r="F1067" s="4" t="s">
        <v>2272</v>
      </c>
      <c r="G1067" s="4" t="s">
        <v>2272</v>
      </c>
      <c r="H1067" s="4" t="s">
        <v>2272</v>
      </c>
      <c r="I1067" s="4" t="s">
        <v>2272</v>
      </c>
      <c r="J1067" s="4" t="s">
        <v>2272</v>
      </c>
      <c r="K1067" s="4" t="s">
        <v>2272</v>
      </c>
      <c r="L1067" s="4" t="s">
        <v>2272</v>
      </c>
      <c r="M1067" s="4" t="s">
        <v>2272</v>
      </c>
      <c r="N1067" s="4" t="s">
        <v>2272</v>
      </c>
      <c r="O1067" s="4" t="s">
        <v>2272</v>
      </c>
      <c r="P1067" s="4" t="s">
        <v>2272</v>
      </c>
      <c r="Q1067" s="4" t="s">
        <v>2272</v>
      </c>
      <c r="R1067" s="4" t="s">
        <v>2272</v>
      </c>
      <c r="S1067" s="4" t="s">
        <v>2272</v>
      </c>
      <c r="T1067" s="198"/>
    </row>
    <row r="1068" spans="1:20" ht="29.5" customHeight="1">
      <c r="A1068" s="19" t="s">
        <v>7024</v>
      </c>
      <c r="B1068" s="198" t="s">
        <v>31</v>
      </c>
      <c r="C1068" s="198" t="s">
        <v>11</v>
      </c>
      <c r="D1068" s="198" t="s">
        <v>44</v>
      </c>
      <c r="E1068" s="198" t="s">
        <v>135</v>
      </c>
      <c r="F1068" s="4" t="s">
        <v>2272</v>
      </c>
      <c r="G1068" s="4" t="s">
        <v>2272</v>
      </c>
      <c r="H1068" s="4" t="s">
        <v>2272</v>
      </c>
      <c r="I1068" s="4" t="s">
        <v>2272</v>
      </c>
      <c r="J1068" s="4" t="s">
        <v>2272</v>
      </c>
      <c r="K1068" s="4" t="s">
        <v>2272</v>
      </c>
      <c r="L1068" s="4" t="s">
        <v>2272</v>
      </c>
      <c r="M1068" s="4" t="s">
        <v>2272</v>
      </c>
      <c r="N1068" s="4" t="s">
        <v>2272</v>
      </c>
      <c r="O1068" s="4" t="s">
        <v>2272</v>
      </c>
      <c r="P1068" s="4" t="s">
        <v>2272</v>
      </c>
      <c r="Q1068" s="4" t="s">
        <v>2272</v>
      </c>
      <c r="R1068" s="4" t="s">
        <v>2272</v>
      </c>
      <c r="S1068" s="4" t="s">
        <v>2272</v>
      </c>
      <c r="T1068" s="198"/>
    </row>
    <row r="1069" spans="1:20" ht="26.5" customHeight="1">
      <c r="A1069" s="19" t="s">
        <v>7030</v>
      </c>
      <c r="B1069" s="198" t="s">
        <v>2272</v>
      </c>
      <c r="C1069" s="198" t="s">
        <v>11</v>
      </c>
      <c r="D1069" s="198" t="s">
        <v>44</v>
      </c>
      <c r="E1069" s="4" t="s">
        <v>2272</v>
      </c>
      <c r="F1069" s="4" t="s">
        <v>2272</v>
      </c>
      <c r="G1069" s="4" t="s">
        <v>2272</v>
      </c>
      <c r="H1069" s="4" t="s">
        <v>2272</v>
      </c>
      <c r="I1069" s="4" t="s">
        <v>2272</v>
      </c>
      <c r="J1069" s="4" t="s">
        <v>2272</v>
      </c>
      <c r="K1069" s="4" t="s">
        <v>2272</v>
      </c>
      <c r="L1069" s="4" t="s">
        <v>2272</v>
      </c>
      <c r="M1069" s="4" t="s">
        <v>2272</v>
      </c>
      <c r="N1069" s="4" t="s">
        <v>2272</v>
      </c>
      <c r="O1069" s="4" t="s">
        <v>2272</v>
      </c>
      <c r="P1069" s="4" t="s">
        <v>2272</v>
      </c>
      <c r="Q1069" s="4" t="s">
        <v>2272</v>
      </c>
      <c r="R1069" s="4" t="s">
        <v>2272</v>
      </c>
      <c r="S1069" s="4" t="s">
        <v>2272</v>
      </c>
      <c r="T1069" s="198"/>
    </row>
    <row r="1070" spans="1:20" ht="27.5" customHeight="1">
      <c r="A1070" s="19" t="s">
        <v>7037</v>
      </c>
      <c r="B1070" s="11" t="s">
        <v>2272</v>
      </c>
      <c r="C1070" s="11" t="s">
        <v>11</v>
      </c>
      <c r="D1070" s="11" t="s">
        <v>44</v>
      </c>
      <c r="E1070" s="11" t="s">
        <v>2647</v>
      </c>
      <c r="F1070" s="11" t="s">
        <v>114</v>
      </c>
      <c r="G1070" s="19" t="s">
        <v>2272</v>
      </c>
      <c r="H1070" s="14">
        <v>0.25</v>
      </c>
      <c r="I1070" s="19" t="s">
        <v>2272</v>
      </c>
      <c r="J1070" s="19" t="s">
        <v>2272</v>
      </c>
      <c r="K1070" s="19" t="s">
        <v>2272</v>
      </c>
      <c r="L1070" s="19" t="s">
        <v>2272</v>
      </c>
      <c r="M1070" s="19" t="s">
        <v>2272</v>
      </c>
      <c r="N1070" s="19" t="s">
        <v>2272</v>
      </c>
      <c r="O1070" s="19" t="s">
        <v>2272</v>
      </c>
      <c r="P1070" s="19" t="s">
        <v>2272</v>
      </c>
      <c r="Q1070" s="19" t="s">
        <v>2272</v>
      </c>
      <c r="R1070" s="19" t="s">
        <v>2272</v>
      </c>
      <c r="S1070" s="19" t="s">
        <v>2272</v>
      </c>
      <c r="T1070" s="11" t="s">
        <v>5207</v>
      </c>
    </row>
    <row r="1071" spans="1:20" ht="28.5" customHeight="1">
      <c r="A1071" s="198" t="s">
        <v>7049</v>
      </c>
      <c r="B1071" s="198" t="s">
        <v>31</v>
      </c>
      <c r="C1071" s="198" t="s">
        <v>11</v>
      </c>
      <c r="D1071" s="198" t="s">
        <v>82</v>
      </c>
      <c r="E1071" s="198" t="s">
        <v>135</v>
      </c>
      <c r="F1071" s="198" t="s">
        <v>44</v>
      </c>
      <c r="G1071" s="198" t="s">
        <v>128</v>
      </c>
      <c r="H1071" s="4" t="s">
        <v>2272</v>
      </c>
      <c r="I1071" s="4" t="s">
        <v>2272</v>
      </c>
      <c r="J1071" s="4" t="s">
        <v>2272</v>
      </c>
      <c r="K1071" s="4" t="s">
        <v>2272</v>
      </c>
      <c r="L1071" s="4" t="s">
        <v>2272</v>
      </c>
      <c r="M1071" s="4" t="s">
        <v>2272</v>
      </c>
      <c r="N1071" s="4" t="s">
        <v>2272</v>
      </c>
      <c r="O1071" s="4" t="s">
        <v>2272</v>
      </c>
      <c r="P1071" s="4" t="s">
        <v>2272</v>
      </c>
      <c r="Q1071" s="4" t="s">
        <v>2272</v>
      </c>
      <c r="R1071" s="4" t="s">
        <v>2272</v>
      </c>
      <c r="S1071" s="4" t="s">
        <v>2272</v>
      </c>
      <c r="T1071" s="198"/>
    </row>
    <row r="1072" spans="1:20" ht="28.5" customHeight="1">
      <c r="A1072" s="19" t="s">
        <v>7050</v>
      </c>
      <c r="B1072" s="198" t="s">
        <v>31</v>
      </c>
      <c r="C1072" s="198" t="s">
        <v>11</v>
      </c>
      <c r="D1072" s="198" t="s">
        <v>82</v>
      </c>
      <c r="E1072" s="198" t="s">
        <v>135</v>
      </c>
      <c r="F1072" s="198" t="s">
        <v>44</v>
      </c>
      <c r="G1072" s="198" t="s">
        <v>128</v>
      </c>
      <c r="H1072" s="4" t="s">
        <v>2272</v>
      </c>
      <c r="I1072" s="4" t="s">
        <v>2272</v>
      </c>
      <c r="J1072" s="4" t="s">
        <v>2272</v>
      </c>
      <c r="K1072" s="4" t="s">
        <v>2272</v>
      </c>
      <c r="L1072" s="4" t="s">
        <v>2272</v>
      </c>
      <c r="M1072" s="4" t="s">
        <v>2272</v>
      </c>
      <c r="N1072" s="4" t="s">
        <v>2272</v>
      </c>
      <c r="O1072" s="4" t="s">
        <v>2272</v>
      </c>
      <c r="P1072" s="4" t="s">
        <v>2272</v>
      </c>
      <c r="Q1072" s="4" t="s">
        <v>2272</v>
      </c>
      <c r="R1072" s="4" t="s">
        <v>2272</v>
      </c>
      <c r="S1072" s="4" t="s">
        <v>2272</v>
      </c>
      <c r="T1072" s="198"/>
    </row>
    <row r="1073" spans="1:20" ht="28.5" customHeight="1">
      <c r="A1073" s="19" t="s">
        <v>7051</v>
      </c>
      <c r="B1073" s="198" t="s">
        <v>31</v>
      </c>
      <c r="C1073" s="198" t="s">
        <v>11</v>
      </c>
      <c r="D1073" s="198" t="s">
        <v>82</v>
      </c>
      <c r="E1073" s="198" t="s">
        <v>135</v>
      </c>
      <c r="F1073" s="198" t="s">
        <v>44</v>
      </c>
      <c r="G1073" s="198" t="s">
        <v>128</v>
      </c>
      <c r="H1073" s="4" t="s">
        <v>2272</v>
      </c>
      <c r="I1073" s="4" t="s">
        <v>2272</v>
      </c>
      <c r="J1073" s="4" t="s">
        <v>2272</v>
      </c>
      <c r="K1073" s="4" t="s">
        <v>2272</v>
      </c>
      <c r="L1073" s="4" t="s">
        <v>2272</v>
      </c>
      <c r="M1073" s="4" t="s">
        <v>2272</v>
      </c>
      <c r="N1073" s="4" t="s">
        <v>2272</v>
      </c>
      <c r="O1073" s="4" t="s">
        <v>2272</v>
      </c>
      <c r="P1073" s="4" t="s">
        <v>2272</v>
      </c>
      <c r="Q1073" s="4" t="s">
        <v>2272</v>
      </c>
      <c r="R1073" s="4" t="s">
        <v>2272</v>
      </c>
      <c r="S1073" s="4" t="s">
        <v>2272</v>
      </c>
      <c r="T1073" s="198"/>
    </row>
    <row r="1074" spans="1:20" ht="29" customHeight="1">
      <c r="A1074" s="19" t="s">
        <v>7069</v>
      </c>
      <c r="B1074" s="198" t="s">
        <v>2272</v>
      </c>
      <c r="C1074" s="198" t="s">
        <v>2641</v>
      </c>
      <c r="D1074" s="198" t="s">
        <v>5795</v>
      </c>
      <c r="E1074" s="198" t="s">
        <v>44</v>
      </c>
      <c r="F1074" s="198" t="s">
        <v>135</v>
      </c>
      <c r="G1074" s="4" t="s">
        <v>2272</v>
      </c>
      <c r="H1074" s="4" t="s">
        <v>2272</v>
      </c>
      <c r="I1074" s="4" t="s">
        <v>2272</v>
      </c>
      <c r="J1074" s="4" t="s">
        <v>2272</v>
      </c>
      <c r="K1074" s="4" t="s">
        <v>2272</v>
      </c>
      <c r="L1074" s="4" t="s">
        <v>2272</v>
      </c>
      <c r="M1074" s="4" t="s">
        <v>2272</v>
      </c>
      <c r="N1074" s="4" t="s">
        <v>2272</v>
      </c>
      <c r="O1074" s="4" t="s">
        <v>2272</v>
      </c>
      <c r="P1074" s="4" t="s">
        <v>2272</v>
      </c>
      <c r="Q1074" s="4" t="s">
        <v>2272</v>
      </c>
      <c r="R1074" s="4" t="s">
        <v>2272</v>
      </c>
      <c r="S1074" s="4" t="s">
        <v>2272</v>
      </c>
      <c r="T1074" s="198"/>
    </row>
    <row r="1075" spans="1:20" ht="23.5" customHeight="1">
      <c r="A1075" s="19" t="s">
        <v>7084</v>
      </c>
      <c r="B1075" s="198" t="s">
        <v>2272</v>
      </c>
      <c r="C1075" s="198" t="s">
        <v>11</v>
      </c>
      <c r="D1075" s="11" t="s">
        <v>44</v>
      </c>
      <c r="E1075" s="198" t="s">
        <v>5795</v>
      </c>
      <c r="F1075" s="4" t="s">
        <v>2272</v>
      </c>
      <c r="G1075" s="4" t="s">
        <v>2272</v>
      </c>
      <c r="H1075" s="4" t="s">
        <v>2272</v>
      </c>
      <c r="I1075" s="4" t="s">
        <v>2272</v>
      </c>
      <c r="J1075" s="198" t="s">
        <v>2272</v>
      </c>
      <c r="K1075" s="198" t="s">
        <v>2272</v>
      </c>
      <c r="L1075" s="198" t="s">
        <v>2272</v>
      </c>
      <c r="M1075" s="198" t="s">
        <v>2272</v>
      </c>
      <c r="N1075" s="198" t="s">
        <v>2272</v>
      </c>
      <c r="O1075" s="198" t="s">
        <v>2272</v>
      </c>
      <c r="P1075" s="198" t="s">
        <v>2272</v>
      </c>
      <c r="Q1075" s="198" t="s">
        <v>2272</v>
      </c>
      <c r="R1075" s="21">
        <v>60</v>
      </c>
      <c r="S1075" s="198" t="s">
        <v>2272</v>
      </c>
      <c r="T1075" s="198"/>
    </row>
    <row r="1076" spans="1:20" ht="23.5" customHeight="1">
      <c r="A1076" s="19" t="s">
        <v>7104</v>
      </c>
      <c r="B1076" s="198" t="s">
        <v>2272</v>
      </c>
      <c r="C1076" s="198" t="s">
        <v>11</v>
      </c>
      <c r="D1076" s="11" t="s">
        <v>44</v>
      </c>
      <c r="E1076" s="198" t="s">
        <v>5795</v>
      </c>
      <c r="F1076" s="4" t="s">
        <v>2272</v>
      </c>
      <c r="G1076" s="4" t="s">
        <v>2272</v>
      </c>
      <c r="H1076" s="4" t="s">
        <v>2272</v>
      </c>
      <c r="I1076" s="4" t="s">
        <v>2272</v>
      </c>
      <c r="J1076" s="198" t="s">
        <v>2272</v>
      </c>
      <c r="K1076" s="198" t="s">
        <v>2272</v>
      </c>
      <c r="L1076" s="198" t="s">
        <v>2272</v>
      </c>
      <c r="M1076" s="198" t="s">
        <v>2272</v>
      </c>
      <c r="N1076" s="198" t="s">
        <v>2272</v>
      </c>
      <c r="O1076" s="198" t="s">
        <v>2272</v>
      </c>
      <c r="P1076" s="198" t="s">
        <v>2272</v>
      </c>
      <c r="Q1076" s="198" t="s">
        <v>2272</v>
      </c>
      <c r="R1076" s="198" t="s">
        <v>2272</v>
      </c>
      <c r="S1076" s="198" t="s">
        <v>2272</v>
      </c>
      <c r="T1076" s="198"/>
    </row>
    <row r="1077" spans="1:20" ht="23.5" customHeight="1">
      <c r="A1077" s="19" t="s">
        <v>7105</v>
      </c>
      <c r="B1077" s="198" t="s">
        <v>2272</v>
      </c>
      <c r="C1077" s="198" t="s">
        <v>11</v>
      </c>
      <c r="D1077" s="11" t="s">
        <v>44</v>
      </c>
      <c r="E1077" s="198" t="s">
        <v>5795</v>
      </c>
      <c r="F1077" s="4" t="s">
        <v>2272</v>
      </c>
      <c r="G1077" s="4" t="s">
        <v>2272</v>
      </c>
      <c r="H1077" s="4" t="s">
        <v>2272</v>
      </c>
      <c r="I1077" s="4" t="s">
        <v>2272</v>
      </c>
      <c r="J1077" s="198" t="s">
        <v>2272</v>
      </c>
      <c r="K1077" s="198" t="s">
        <v>2272</v>
      </c>
      <c r="L1077" s="198" t="s">
        <v>2272</v>
      </c>
      <c r="M1077" s="198" t="s">
        <v>2272</v>
      </c>
      <c r="N1077" s="198" t="s">
        <v>2272</v>
      </c>
      <c r="O1077" s="198" t="s">
        <v>2272</v>
      </c>
      <c r="P1077" s="198" t="s">
        <v>2272</v>
      </c>
      <c r="Q1077" s="198" t="s">
        <v>2272</v>
      </c>
      <c r="R1077" s="198" t="s">
        <v>2272</v>
      </c>
      <c r="S1077" s="198" t="s">
        <v>2272</v>
      </c>
      <c r="T1077" s="198"/>
    </row>
    <row r="1078" spans="1:20" ht="23.5" customHeight="1">
      <c r="A1078" s="19" t="s">
        <v>7106</v>
      </c>
      <c r="B1078" s="198" t="s">
        <v>2272</v>
      </c>
      <c r="C1078" s="198" t="s">
        <v>11</v>
      </c>
      <c r="D1078" s="11" t="s">
        <v>44</v>
      </c>
      <c r="E1078" s="198" t="s">
        <v>5795</v>
      </c>
      <c r="F1078" s="4" t="s">
        <v>2272</v>
      </c>
      <c r="G1078" s="4" t="s">
        <v>2272</v>
      </c>
      <c r="H1078" s="4" t="s">
        <v>2272</v>
      </c>
      <c r="I1078" s="4" t="s">
        <v>2272</v>
      </c>
      <c r="J1078" s="198" t="s">
        <v>2272</v>
      </c>
      <c r="K1078" s="198" t="s">
        <v>2272</v>
      </c>
      <c r="L1078" s="198" t="s">
        <v>2272</v>
      </c>
      <c r="M1078" s="198" t="s">
        <v>2272</v>
      </c>
      <c r="N1078" s="198" t="s">
        <v>2272</v>
      </c>
      <c r="O1078" s="198" t="s">
        <v>2272</v>
      </c>
      <c r="P1078" s="198" t="s">
        <v>2272</v>
      </c>
      <c r="Q1078" s="198" t="s">
        <v>2272</v>
      </c>
      <c r="R1078" s="198" t="s">
        <v>2272</v>
      </c>
      <c r="S1078" s="198" t="s">
        <v>2272</v>
      </c>
      <c r="T1078" s="198"/>
    </row>
    <row r="1079" spans="1:20" ht="23.5" customHeight="1">
      <c r="A1079" s="19" t="s">
        <v>7107</v>
      </c>
      <c r="B1079" s="198" t="s">
        <v>68</v>
      </c>
      <c r="C1079" s="198" t="s">
        <v>11</v>
      </c>
      <c r="D1079" s="11" t="s">
        <v>44</v>
      </c>
      <c r="E1079" s="198" t="s">
        <v>2272</v>
      </c>
      <c r="F1079" s="4" t="s">
        <v>2272</v>
      </c>
      <c r="G1079" s="4" t="s">
        <v>2272</v>
      </c>
      <c r="H1079" s="4" t="s">
        <v>2272</v>
      </c>
      <c r="I1079" s="4" t="s">
        <v>2272</v>
      </c>
      <c r="J1079" s="198" t="s">
        <v>2272</v>
      </c>
      <c r="K1079" s="198" t="s">
        <v>2272</v>
      </c>
      <c r="L1079" s="198" t="s">
        <v>2272</v>
      </c>
      <c r="M1079" s="198" t="s">
        <v>2272</v>
      </c>
      <c r="N1079" s="198" t="s">
        <v>2272</v>
      </c>
      <c r="O1079" s="198" t="s">
        <v>2272</v>
      </c>
      <c r="P1079" s="198" t="s">
        <v>2272</v>
      </c>
      <c r="Q1079" s="198" t="s">
        <v>2272</v>
      </c>
      <c r="R1079" s="198" t="s">
        <v>2272</v>
      </c>
      <c r="S1079" s="198" t="s">
        <v>2272</v>
      </c>
      <c r="T1079" s="198"/>
    </row>
    <row r="1080" spans="1:20" ht="23.5" customHeight="1">
      <c r="A1080" s="19" t="s">
        <v>7108</v>
      </c>
      <c r="B1080" s="198" t="s">
        <v>2272</v>
      </c>
      <c r="C1080" s="198" t="s">
        <v>11</v>
      </c>
      <c r="D1080" s="11" t="s">
        <v>44</v>
      </c>
      <c r="E1080" s="198" t="s">
        <v>2272</v>
      </c>
      <c r="F1080" s="4" t="s">
        <v>2272</v>
      </c>
      <c r="G1080" s="4" t="s">
        <v>2272</v>
      </c>
      <c r="H1080" s="4" t="s">
        <v>2272</v>
      </c>
      <c r="I1080" s="4" t="s">
        <v>2272</v>
      </c>
      <c r="J1080" s="198" t="s">
        <v>2272</v>
      </c>
      <c r="K1080" s="198" t="s">
        <v>2272</v>
      </c>
      <c r="L1080" s="198" t="s">
        <v>2272</v>
      </c>
      <c r="M1080" s="198" t="s">
        <v>2272</v>
      </c>
      <c r="N1080" s="198" t="s">
        <v>2272</v>
      </c>
      <c r="O1080" s="198" t="s">
        <v>2272</v>
      </c>
      <c r="P1080" s="198" t="s">
        <v>2272</v>
      </c>
      <c r="Q1080" s="198" t="s">
        <v>2272</v>
      </c>
      <c r="R1080" s="198" t="s">
        <v>2272</v>
      </c>
      <c r="S1080" s="198" t="s">
        <v>2272</v>
      </c>
      <c r="T1080" s="198"/>
    </row>
    <row r="1081" spans="1:20" ht="32.5" customHeight="1">
      <c r="A1081" s="19" t="s">
        <v>7109</v>
      </c>
      <c r="B1081" s="198" t="s">
        <v>2272</v>
      </c>
      <c r="C1081" s="198" t="s">
        <v>11</v>
      </c>
      <c r="D1081" s="11" t="s">
        <v>44</v>
      </c>
      <c r="E1081" s="198" t="s">
        <v>5795</v>
      </c>
      <c r="F1081" s="4" t="s">
        <v>395</v>
      </c>
      <c r="G1081" s="4" t="s">
        <v>2272</v>
      </c>
      <c r="H1081" s="4" t="s">
        <v>2272</v>
      </c>
      <c r="I1081" s="4" t="s">
        <v>2272</v>
      </c>
      <c r="J1081" s="198" t="s">
        <v>2272</v>
      </c>
      <c r="K1081" s="198" t="s">
        <v>2272</v>
      </c>
      <c r="L1081" s="198" t="s">
        <v>2272</v>
      </c>
      <c r="M1081" s="198" t="s">
        <v>2272</v>
      </c>
      <c r="N1081" s="198" t="s">
        <v>2272</v>
      </c>
      <c r="O1081" s="198" t="s">
        <v>2272</v>
      </c>
      <c r="P1081" s="198" t="s">
        <v>2272</v>
      </c>
      <c r="Q1081" s="198" t="s">
        <v>2272</v>
      </c>
      <c r="R1081" s="198" t="s">
        <v>2272</v>
      </c>
      <c r="S1081" s="198" t="s">
        <v>2272</v>
      </c>
      <c r="T1081" s="198" t="s">
        <v>7188</v>
      </c>
    </row>
    <row r="1082" spans="1:20" ht="32.5" customHeight="1">
      <c r="A1082" s="19" t="s">
        <v>7110</v>
      </c>
      <c r="B1082" s="198" t="s">
        <v>2272</v>
      </c>
      <c r="C1082" s="198" t="s">
        <v>11</v>
      </c>
      <c r="D1082" s="11" t="s">
        <v>44</v>
      </c>
      <c r="E1082" s="198" t="s">
        <v>5795</v>
      </c>
      <c r="F1082" s="4" t="s">
        <v>395</v>
      </c>
      <c r="G1082" s="4" t="s">
        <v>2272</v>
      </c>
      <c r="H1082" s="4" t="s">
        <v>2272</v>
      </c>
      <c r="I1082" s="4" t="s">
        <v>2272</v>
      </c>
      <c r="J1082" s="198" t="s">
        <v>2272</v>
      </c>
      <c r="K1082" s="198" t="s">
        <v>2272</v>
      </c>
      <c r="L1082" s="198" t="s">
        <v>2272</v>
      </c>
      <c r="M1082" s="198" t="s">
        <v>2272</v>
      </c>
      <c r="N1082" s="198" t="s">
        <v>2272</v>
      </c>
      <c r="O1082" s="198" t="s">
        <v>2272</v>
      </c>
      <c r="P1082" s="198" t="s">
        <v>2272</v>
      </c>
      <c r="Q1082" s="198" t="s">
        <v>2272</v>
      </c>
      <c r="R1082" s="198" t="s">
        <v>2272</v>
      </c>
      <c r="S1082" s="198" t="s">
        <v>2272</v>
      </c>
      <c r="T1082" s="198" t="s">
        <v>7188</v>
      </c>
    </row>
    <row r="1083" spans="1:20" ht="23.5" customHeight="1">
      <c r="A1083" s="19" t="s">
        <v>7111</v>
      </c>
      <c r="B1083" s="198" t="s">
        <v>2272</v>
      </c>
      <c r="C1083" s="198" t="s">
        <v>11</v>
      </c>
      <c r="D1083" s="11" t="s">
        <v>44</v>
      </c>
      <c r="E1083" s="198" t="s">
        <v>5795</v>
      </c>
      <c r="F1083" s="4" t="s">
        <v>2272</v>
      </c>
      <c r="G1083" s="4" t="s">
        <v>2272</v>
      </c>
      <c r="H1083" s="21">
        <f>300000/1500000</f>
        <v>0.2</v>
      </c>
      <c r="I1083" s="4" t="s">
        <v>2272</v>
      </c>
      <c r="J1083" s="198" t="s">
        <v>2272</v>
      </c>
      <c r="K1083" s="198" t="s">
        <v>2272</v>
      </c>
      <c r="L1083" s="198" t="s">
        <v>2272</v>
      </c>
      <c r="M1083" s="198" t="s">
        <v>2272</v>
      </c>
      <c r="N1083" s="198" t="s">
        <v>2272</v>
      </c>
      <c r="O1083" s="198" t="s">
        <v>2272</v>
      </c>
      <c r="P1083" s="198" t="s">
        <v>2272</v>
      </c>
      <c r="Q1083" s="198" t="s">
        <v>2272</v>
      </c>
      <c r="R1083" s="198" t="s">
        <v>2272</v>
      </c>
      <c r="S1083" s="198" t="s">
        <v>2272</v>
      </c>
      <c r="T1083" s="198"/>
    </row>
    <row r="1084" spans="1:20" ht="29" customHeight="1">
      <c r="A1084" s="19" t="s">
        <v>7112</v>
      </c>
      <c r="B1084" s="198" t="s">
        <v>2272</v>
      </c>
      <c r="C1084" s="198" t="s">
        <v>11</v>
      </c>
      <c r="D1084" s="11" t="s">
        <v>44</v>
      </c>
      <c r="E1084" s="198" t="s">
        <v>5795</v>
      </c>
      <c r="F1084" s="4" t="s">
        <v>3850</v>
      </c>
      <c r="G1084" s="4" t="s">
        <v>2272</v>
      </c>
      <c r="H1084" s="21">
        <f>16000/'Record info'!K1084/100</f>
        <v>0.08</v>
      </c>
      <c r="I1084" s="4" t="s">
        <v>2272</v>
      </c>
      <c r="J1084" s="198" t="s">
        <v>2272</v>
      </c>
      <c r="K1084" s="198" t="s">
        <v>2272</v>
      </c>
      <c r="L1084" s="198" t="s">
        <v>2272</v>
      </c>
      <c r="M1084" s="198" t="s">
        <v>2272</v>
      </c>
      <c r="N1084" s="198" t="s">
        <v>2272</v>
      </c>
      <c r="O1084" s="198" t="s">
        <v>2272</v>
      </c>
      <c r="P1084" s="198" t="s">
        <v>2272</v>
      </c>
      <c r="Q1084" s="198" t="s">
        <v>2272</v>
      </c>
      <c r="R1084" s="198" t="s">
        <v>2272</v>
      </c>
      <c r="S1084" s="198" t="s">
        <v>2272</v>
      </c>
      <c r="T1084" s="198"/>
    </row>
    <row r="1085" spans="1:20" ht="23.5" customHeight="1">
      <c r="A1085" s="19" t="s">
        <v>7113</v>
      </c>
      <c r="B1085" s="198" t="s">
        <v>69</v>
      </c>
      <c r="C1085" s="198" t="s">
        <v>2641</v>
      </c>
      <c r="D1085" s="11" t="s">
        <v>44</v>
      </c>
      <c r="E1085" s="198" t="s">
        <v>5795</v>
      </c>
      <c r="F1085" s="198" t="s">
        <v>2647</v>
      </c>
      <c r="G1085" s="198" t="s">
        <v>135</v>
      </c>
      <c r="H1085" s="21">
        <v>0.33</v>
      </c>
      <c r="I1085" s="4" t="s">
        <v>2272</v>
      </c>
      <c r="J1085" s="198" t="s">
        <v>2272</v>
      </c>
      <c r="K1085" s="198" t="s">
        <v>2272</v>
      </c>
      <c r="L1085" s="198" t="s">
        <v>2272</v>
      </c>
      <c r="M1085" s="198" t="s">
        <v>2272</v>
      </c>
      <c r="N1085" s="198" t="s">
        <v>2272</v>
      </c>
      <c r="O1085" s="198" t="s">
        <v>2272</v>
      </c>
      <c r="P1085" s="198" t="s">
        <v>2272</v>
      </c>
      <c r="Q1085" s="198" t="s">
        <v>2272</v>
      </c>
      <c r="R1085" s="198" t="s">
        <v>2272</v>
      </c>
      <c r="S1085" s="198" t="s">
        <v>2272</v>
      </c>
      <c r="T1085" s="198" t="s">
        <v>7189</v>
      </c>
    </row>
    <row r="1086" spans="1:20" ht="23.5" customHeight="1">
      <c r="A1086" s="19" t="s">
        <v>7114</v>
      </c>
      <c r="B1086" s="198" t="s">
        <v>31</v>
      </c>
      <c r="C1086" s="198" t="s">
        <v>11</v>
      </c>
      <c r="D1086" s="11" t="s">
        <v>44</v>
      </c>
      <c r="E1086" s="198" t="s">
        <v>5795</v>
      </c>
      <c r="F1086" s="4" t="s">
        <v>2272</v>
      </c>
      <c r="G1086" s="4" t="s">
        <v>2272</v>
      </c>
      <c r="H1086" s="4" t="s">
        <v>2272</v>
      </c>
      <c r="I1086" s="4" t="s">
        <v>2272</v>
      </c>
      <c r="J1086" s="198" t="s">
        <v>2272</v>
      </c>
      <c r="K1086" s="198" t="s">
        <v>2272</v>
      </c>
      <c r="L1086" s="198" t="s">
        <v>2272</v>
      </c>
      <c r="M1086" s="198" t="s">
        <v>2272</v>
      </c>
      <c r="N1086" s="198" t="s">
        <v>2272</v>
      </c>
      <c r="O1086" s="198" t="s">
        <v>2272</v>
      </c>
      <c r="P1086" s="198" t="s">
        <v>2272</v>
      </c>
      <c r="Q1086" s="198" t="s">
        <v>2272</v>
      </c>
      <c r="R1086" s="198" t="s">
        <v>2272</v>
      </c>
      <c r="S1086" s="198" t="s">
        <v>2272</v>
      </c>
      <c r="T1086" s="198"/>
    </row>
    <row r="1087" spans="1:20" ht="31.5" customHeight="1">
      <c r="A1087" s="19" t="s">
        <v>7115</v>
      </c>
      <c r="B1087" s="198" t="s">
        <v>69</v>
      </c>
      <c r="C1087" s="198" t="s">
        <v>11</v>
      </c>
      <c r="D1087" s="11" t="s">
        <v>44</v>
      </c>
      <c r="E1087" s="4" t="s">
        <v>3850</v>
      </c>
      <c r="F1087" s="4" t="s">
        <v>2272</v>
      </c>
      <c r="G1087" s="4" t="s">
        <v>2272</v>
      </c>
      <c r="H1087" s="4" t="s">
        <v>2272</v>
      </c>
      <c r="I1087" s="4" t="s">
        <v>2272</v>
      </c>
      <c r="J1087" s="198" t="s">
        <v>2272</v>
      </c>
      <c r="K1087" s="198" t="s">
        <v>2272</v>
      </c>
      <c r="L1087" s="198" t="s">
        <v>2272</v>
      </c>
      <c r="M1087" s="198" t="s">
        <v>2272</v>
      </c>
      <c r="N1087" s="198" t="s">
        <v>2272</v>
      </c>
      <c r="O1087" s="198" t="s">
        <v>2272</v>
      </c>
      <c r="P1087" s="198" t="s">
        <v>2272</v>
      </c>
      <c r="Q1087" s="198" t="s">
        <v>2272</v>
      </c>
      <c r="R1087" s="198" t="s">
        <v>2272</v>
      </c>
      <c r="S1087" s="198" t="s">
        <v>2272</v>
      </c>
      <c r="T1087" s="198"/>
    </row>
    <row r="1088" spans="1:20" ht="36.5" customHeight="1">
      <c r="A1088" s="19" t="s">
        <v>7116</v>
      </c>
      <c r="B1088" s="198" t="s">
        <v>31</v>
      </c>
      <c r="C1088" s="198" t="s">
        <v>11</v>
      </c>
      <c r="D1088" s="11" t="s">
        <v>44</v>
      </c>
      <c r="E1088" s="4" t="s">
        <v>2272</v>
      </c>
      <c r="F1088" s="4" t="s">
        <v>2272</v>
      </c>
      <c r="G1088" s="4" t="s">
        <v>2272</v>
      </c>
      <c r="H1088" s="4" t="s">
        <v>2272</v>
      </c>
      <c r="I1088" s="4" t="s">
        <v>2272</v>
      </c>
      <c r="J1088" s="198" t="s">
        <v>2272</v>
      </c>
      <c r="K1088" s="198" t="s">
        <v>2272</v>
      </c>
      <c r="L1088" s="198" t="s">
        <v>2272</v>
      </c>
      <c r="M1088" s="198" t="s">
        <v>2272</v>
      </c>
      <c r="N1088" s="198" t="s">
        <v>2272</v>
      </c>
      <c r="O1088" s="198" t="s">
        <v>2272</v>
      </c>
      <c r="P1088" s="198" t="s">
        <v>2272</v>
      </c>
      <c r="Q1088" s="198" t="s">
        <v>2272</v>
      </c>
      <c r="R1088" s="198" t="s">
        <v>2272</v>
      </c>
      <c r="S1088" s="198" t="s">
        <v>2272</v>
      </c>
      <c r="T1088" s="198"/>
    </row>
    <row r="1089" spans="1:20" ht="33" customHeight="1">
      <c r="A1089" s="19" t="s">
        <v>7117</v>
      </c>
      <c r="B1089" s="198" t="s">
        <v>31</v>
      </c>
      <c r="C1089" s="198" t="s">
        <v>11</v>
      </c>
      <c r="D1089" s="11" t="s">
        <v>44</v>
      </c>
      <c r="E1089" s="4" t="s">
        <v>3850</v>
      </c>
      <c r="F1089" s="198" t="s">
        <v>5795</v>
      </c>
      <c r="G1089" s="198" t="s">
        <v>82</v>
      </c>
      <c r="H1089" s="4" t="s">
        <v>2272</v>
      </c>
      <c r="I1089" s="4" t="s">
        <v>2272</v>
      </c>
      <c r="J1089" s="198" t="s">
        <v>2272</v>
      </c>
      <c r="K1089" s="198" t="s">
        <v>2272</v>
      </c>
      <c r="L1089" s="198" t="s">
        <v>2272</v>
      </c>
      <c r="M1089" s="198" t="s">
        <v>2272</v>
      </c>
      <c r="N1089" s="198" t="s">
        <v>2272</v>
      </c>
      <c r="O1089" s="198" t="s">
        <v>2272</v>
      </c>
      <c r="P1089" s="198" t="s">
        <v>2272</v>
      </c>
      <c r="Q1089" s="198" t="s">
        <v>2272</v>
      </c>
      <c r="R1089" s="198" t="s">
        <v>2272</v>
      </c>
      <c r="S1089" s="198" t="s">
        <v>2272</v>
      </c>
      <c r="T1089" s="198"/>
    </row>
    <row r="1090" spans="1:20" ht="35" customHeight="1">
      <c r="A1090" s="19" t="s">
        <v>7118</v>
      </c>
      <c r="B1090" s="198" t="s">
        <v>31</v>
      </c>
      <c r="C1090" s="198" t="s">
        <v>11</v>
      </c>
      <c r="D1090" s="11" t="s">
        <v>44</v>
      </c>
      <c r="E1090" s="4" t="s">
        <v>3850</v>
      </c>
      <c r="F1090" s="198" t="s">
        <v>5795</v>
      </c>
      <c r="G1090" s="198" t="s">
        <v>82</v>
      </c>
      <c r="H1090" s="4" t="s">
        <v>2272</v>
      </c>
      <c r="I1090" s="4" t="s">
        <v>2272</v>
      </c>
      <c r="J1090" s="198" t="s">
        <v>2272</v>
      </c>
      <c r="K1090" s="198" t="s">
        <v>2272</v>
      </c>
      <c r="L1090" s="198" t="s">
        <v>2272</v>
      </c>
      <c r="M1090" s="198" t="s">
        <v>2272</v>
      </c>
      <c r="N1090" s="198" t="s">
        <v>2272</v>
      </c>
      <c r="O1090" s="198" t="s">
        <v>2272</v>
      </c>
      <c r="P1090" s="198" t="s">
        <v>2272</v>
      </c>
      <c r="Q1090" s="198" t="s">
        <v>2272</v>
      </c>
      <c r="R1090" s="198" t="s">
        <v>2272</v>
      </c>
      <c r="S1090" s="198" t="s">
        <v>2272</v>
      </c>
      <c r="T1090" s="198"/>
    </row>
    <row r="1091" spans="1:20" ht="43" customHeight="1">
      <c r="A1091" s="19" t="s">
        <v>7119</v>
      </c>
      <c r="B1091" s="198" t="s">
        <v>69</v>
      </c>
      <c r="C1091" s="198" t="s">
        <v>11</v>
      </c>
      <c r="D1091" s="11" t="s">
        <v>44</v>
      </c>
      <c r="E1091" s="4" t="s">
        <v>3850</v>
      </c>
      <c r="F1091" s="198" t="s">
        <v>5795</v>
      </c>
      <c r="G1091" s="198" t="s">
        <v>135</v>
      </c>
      <c r="H1091" s="21">
        <v>0.45</v>
      </c>
      <c r="I1091" s="4" t="s">
        <v>2272</v>
      </c>
      <c r="J1091" s="198" t="s">
        <v>2272</v>
      </c>
      <c r="K1091" s="198" t="s">
        <v>2272</v>
      </c>
      <c r="L1091" s="198" t="s">
        <v>2272</v>
      </c>
      <c r="M1091" s="198" t="s">
        <v>2272</v>
      </c>
      <c r="N1091" s="198" t="s">
        <v>2272</v>
      </c>
      <c r="O1091" s="198" t="s">
        <v>2272</v>
      </c>
      <c r="P1091" s="198" t="s">
        <v>2272</v>
      </c>
      <c r="Q1091" s="198" t="s">
        <v>2272</v>
      </c>
      <c r="R1091" s="198" t="s">
        <v>2272</v>
      </c>
      <c r="S1091" s="198" t="s">
        <v>2272</v>
      </c>
      <c r="T1091" s="198"/>
    </row>
    <row r="1092" spans="1:20" ht="32" customHeight="1">
      <c r="A1092" s="19" t="s">
        <v>7120</v>
      </c>
      <c r="B1092" s="198" t="s">
        <v>2272</v>
      </c>
      <c r="C1092" s="198" t="s">
        <v>11</v>
      </c>
      <c r="D1092" s="11" t="s">
        <v>44</v>
      </c>
      <c r="E1092" s="198" t="s">
        <v>5795</v>
      </c>
      <c r="F1092" s="198" t="s">
        <v>135</v>
      </c>
      <c r="G1092" s="4" t="s">
        <v>2272</v>
      </c>
      <c r="H1092" s="21">
        <v>0.35</v>
      </c>
      <c r="I1092" s="4" t="s">
        <v>2272</v>
      </c>
      <c r="J1092" s="198" t="s">
        <v>2272</v>
      </c>
      <c r="K1092" s="198" t="s">
        <v>2272</v>
      </c>
      <c r="L1092" s="198" t="s">
        <v>2272</v>
      </c>
      <c r="M1092" s="198" t="s">
        <v>2272</v>
      </c>
      <c r="N1092" s="198" t="s">
        <v>2272</v>
      </c>
      <c r="O1092" s="198" t="s">
        <v>2272</v>
      </c>
      <c r="P1092" s="198" t="s">
        <v>2272</v>
      </c>
      <c r="Q1092" s="198" t="s">
        <v>2272</v>
      </c>
      <c r="R1092" s="198" t="s">
        <v>2272</v>
      </c>
      <c r="S1092" s="198" t="s">
        <v>2272</v>
      </c>
      <c r="T1092" s="198"/>
    </row>
    <row r="1093" spans="1:20" ht="26.5" customHeight="1">
      <c r="A1093" s="19" t="s">
        <v>7121</v>
      </c>
      <c r="B1093" s="198" t="s">
        <v>31</v>
      </c>
      <c r="C1093" s="198" t="s">
        <v>11</v>
      </c>
      <c r="D1093" s="11" t="s">
        <v>44</v>
      </c>
      <c r="E1093" s="198" t="s">
        <v>135</v>
      </c>
      <c r="F1093" s="198" t="s">
        <v>2642</v>
      </c>
      <c r="G1093" s="4" t="s">
        <v>2272</v>
      </c>
      <c r="H1093" s="21">
        <v>0.61</v>
      </c>
      <c r="I1093" s="4" t="s">
        <v>2272</v>
      </c>
      <c r="J1093" s="198" t="s">
        <v>2272</v>
      </c>
      <c r="K1093" s="198" t="s">
        <v>2272</v>
      </c>
      <c r="L1093" s="198" t="s">
        <v>2272</v>
      </c>
      <c r="M1093" s="198" t="s">
        <v>2272</v>
      </c>
      <c r="N1093" s="198" t="s">
        <v>2272</v>
      </c>
      <c r="O1093" s="198" t="s">
        <v>2272</v>
      </c>
      <c r="P1093" s="198" t="s">
        <v>2272</v>
      </c>
      <c r="Q1093" s="198" t="s">
        <v>2272</v>
      </c>
      <c r="R1093" s="198" t="s">
        <v>2272</v>
      </c>
      <c r="S1093" s="198" t="s">
        <v>2272</v>
      </c>
      <c r="T1093" s="198"/>
    </row>
    <row r="1094" spans="1:20" ht="23.5" customHeight="1">
      <c r="A1094" s="19" t="s">
        <v>7122</v>
      </c>
      <c r="B1094" s="198" t="s">
        <v>31</v>
      </c>
      <c r="C1094" s="198" t="s">
        <v>11</v>
      </c>
      <c r="D1094" s="11" t="s">
        <v>44</v>
      </c>
      <c r="E1094" s="198" t="s">
        <v>5795</v>
      </c>
      <c r="F1094" s="198"/>
      <c r="G1094" s="4" t="s">
        <v>2272</v>
      </c>
      <c r="H1094" s="21">
        <v>0.3</v>
      </c>
      <c r="I1094" s="4" t="s">
        <v>2272</v>
      </c>
      <c r="J1094" s="198" t="s">
        <v>2272</v>
      </c>
      <c r="K1094" s="198" t="s">
        <v>2272</v>
      </c>
      <c r="L1094" s="198" t="s">
        <v>2272</v>
      </c>
      <c r="M1094" s="198" t="s">
        <v>2272</v>
      </c>
      <c r="N1094" s="198" t="s">
        <v>2272</v>
      </c>
      <c r="O1094" s="198" t="s">
        <v>2272</v>
      </c>
      <c r="P1094" s="198" t="s">
        <v>2272</v>
      </c>
      <c r="Q1094" s="198" t="s">
        <v>2272</v>
      </c>
      <c r="R1094" s="198" t="s">
        <v>2272</v>
      </c>
      <c r="S1094" s="198" t="s">
        <v>2272</v>
      </c>
      <c r="T1094" s="198"/>
    </row>
    <row r="1095" spans="1:20" ht="33" customHeight="1">
      <c r="A1095" s="19" t="s">
        <v>7123</v>
      </c>
      <c r="B1095" s="198" t="s">
        <v>31</v>
      </c>
      <c r="C1095" s="198" t="s">
        <v>11</v>
      </c>
      <c r="D1095" s="11" t="s">
        <v>44</v>
      </c>
      <c r="E1095" s="198" t="s">
        <v>135</v>
      </c>
      <c r="F1095" s="4" t="s">
        <v>3850</v>
      </c>
      <c r="G1095" s="198" t="s">
        <v>5795</v>
      </c>
      <c r="H1095" s="21">
        <v>0.3</v>
      </c>
      <c r="I1095" s="4" t="s">
        <v>2272</v>
      </c>
      <c r="J1095" s="198" t="s">
        <v>2272</v>
      </c>
      <c r="K1095" s="198" t="s">
        <v>2272</v>
      </c>
      <c r="L1095" s="198" t="s">
        <v>2272</v>
      </c>
      <c r="M1095" s="198" t="s">
        <v>2272</v>
      </c>
      <c r="N1095" s="198" t="s">
        <v>2272</v>
      </c>
      <c r="O1095" s="198" t="s">
        <v>2272</v>
      </c>
      <c r="P1095" s="198" t="s">
        <v>2272</v>
      </c>
      <c r="Q1095" s="198" t="s">
        <v>2272</v>
      </c>
      <c r="R1095" s="198" t="s">
        <v>2272</v>
      </c>
      <c r="S1095" s="198" t="s">
        <v>2272</v>
      </c>
      <c r="T1095" s="198"/>
    </row>
    <row r="1096" spans="1:20" ht="23.5" customHeight="1">
      <c r="A1096" s="19" t="s">
        <v>7124</v>
      </c>
      <c r="B1096" s="198" t="s">
        <v>31</v>
      </c>
      <c r="C1096" s="198" t="s">
        <v>2640</v>
      </c>
      <c r="D1096" s="11" t="s">
        <v>44</v>
      </c>
      <c r="E1096" s="198" t="s">
        <v>135</v>
      </c>
      <c r="F1096" s="198" t="s">
        <v>82</v>
      </c>
      <c r="G1096" s="198" t="s">
        <v>2642</v>
      </c>
      <c r="H1096" s="21">
        <v>0.3</v>
      </c>
      <c r="I1096" s="4" t="s">
        <v>2272</v>
      </c>
      <c r="J1096" s="198" t="s">
        <v>2272</v>
      </c>
      <c r="K1096" s="198" t="s">
        <v>2272</v>
      </c>
      <c r="L1096" s="198" t="s">
        <v>2272</v>
      </c>
      <c r="M1096" s="198" t="s">
        <v>2272</v>
      </c>
      <c r="N1096" s="198" t="s">
        <v>2272</v>
      </c>
      <c r="O1096" s="198" t="s">
        <v>2272</v>
      </c>
      <c r="P1096" s="198" t="s">
        <v>2272</v>
      </c>
      <c r="Q1096" s="198" t="s">
        <v>2272</v>
      </c>
      <c r="R1096" s="198" t="s">
        <v>2272</v>
      </c>
      <c r="S1096" s="198" t="s">
        <v>2272</v>
      </c>
      <c r="T1096" s="198"/>
    </row>
    <row r="1097" spans="1:20" ht="23.5" customHeight="1">
      <c r="A1097" s="19" t="s">
        <v>7125</v>
      </c>
      <c r="B1097" s="198" t="s">
        <v>31</v>
      </c>
      <c r="C1097" s="198" t="s">
        <v>11</v>
      </c>
      <c r="D1097" s="11" t="s">
        <v>44</v>
      </c>
      <c r="E1097" s="198" t="s">
        <v>5795</v>
      </c>
      <c r="F1097" s="198" t="s">
        <v>2648</v>
      </c>
      <c r="G1097" s="198" t="s">
        <v>135</v>
      </c>
      <c r="H1097" s="21">
        <v>0.5</v>
      </c>
      <c r="I1097" s="4" t="s">
        <v>2272</v>
      </c>
      <c r="J1097" s="198" t="s">
        <v>2272</v>
      </c>
      <c r="K1097" s="198" t="s">
        <v>2272</v>
      </c>
      <c r="L1097" s="198" t="s">
        <v>2272</v>
      </c>
      <c r="M1097" s="198" t="s">
        <v>2272</v>
      </c>
      <c r="N1097" s="198" t="s">
        <v>2272</v>
      </c>
      <c r="O1097" s="21">
        <v>10</v>
      </c>
      <c r="P1097" s="198" t="s">
        <v>2272</v>
      </c>
      <c r="Q1097" s="198" t="s">
        <v>2272</v>
      </c>
      <c r="R1097" s="198" t="s">
        <v>2272</v>
      </c>
      <c r="S1097" s="198" t="s">
        <v>2272</v>
      </c>
      <c r="T1097" s="198"/>
    </row>
    <row r="1098" spans="1:20" ht="32" customHeight="1">
      <c r="A1098" s="19" t="s">
        <v>7126</v>
      </c>
      <c r="B1098" s="198" t="s">
        <v>31</v>
      </c>
      <c r="C1098" s="198" t="s">
        <v>11</v>
      </c>
      <c r="D1098" s="11" t="s">
        <v>44</v>
      </c>
      <c r="E1098" s="4" t="s">
        <v>394</v>
      </c>
      <c r="F1098" s="198" t="s">
        <v>2648</v>
      </c>
      <c r="G1098" s="198" t="s">
        <v>135</v>
      </c>
      <c r="H1098" s="4" t="s">
        <v>2272</v>
      </c>
      <c r="I1098" s="4" t="s">
        <v>2272</v>
      </c>
      <c r="J1098" s="198" t="s">
        <v>2272</v>
      </c>
      <c r="K1098" s="198" t="s">
        <v>2272</v>
      </c>
      <c r="L1098" s="198" t="s">
        <v>2272</v>
      </c>
      <c r="M1098" s="198" t="s">
        <v>2272</v>
      </c>
      <c r="N1098" s="198" t="s">
        <v>2272</v>
      </c>
      <c r="O1098" s="198" t="s">
        <v>2272</v>
      </c>
      <c r="P1098" s="198" t="s">
        <v>2272</v>
      </c>
      <c r="Q1098" s="198" t="s">
        <v>2272</v>
      </c>
      <c r="R1098" s="198" t="s">
        <v>2272</v>
      </c>
      <c r="S1098" s="198" t="s">
        <v>2272</v>
      </c>
      <c r="T1098" s="198"/>
    </row>
    <row r="1099" spans="1:20" ht="28" customHeight="1">
      <c r="A1099" s="19" t="s">
        <v>7127</v>
      </c>
      <c r="B1099" s="198" t="s">
        <v>31</v>
      </c>
      <c r="C1099" s="198" t="s">
        <v>11</v>
      </c>
      <c r="D1099" s="11" t="s">
        <v>44</v>
      </c>
      <c r="E1099" s="198" t="s">
        <v>135</v>
      </c>
      <c r="F1099" s="198" t="s">
        <v>2648</v>
      </c>
      <c r="G1099" s="198" t="s">
        <v>5795</v>
      </c>
      <c r="H1099" s="4" t="s">
        <v>2272</v>
      </c>
      <c r="I1099" s="4" t="s">
        <v>2272</v>
      </c>
      <c r="J1099" s="198" t="s">
        <v>2272</v>
      </c>
      <c r="K1099" s="198" t="s">
        <v>2272</v>
      </c>
      <c r="L1099" s="198" t="s">
        <v>2272</v>
      </c>
      <c r="M1099" s="198" t="s">
        <v>2272</v>
      </c>
      <c r="N1099" s="198" t="s">
        <v>2272</v>
      </c>
      <c r="O1099" s="198" t="s">
        <v>2272</v>
      </c>
      <c r="P1099" s="198" t="s">
        <v>2272</v>
      </c>
      <c r="Q1099" s="198" t="s">
        <v>2272</v>
      </c>
      <c r="R1099" s="198" t="s">
        <v>2272</v>
      </c>
      <c r="S1099" s="198" t="s">
        <v>2272</v>
      </c>
      <c r="T1099" s="198"/>
    </row>
    <row r="1100" spans="1:20" ht="23.5" customHeight="1">
      <c r="A1100" s="19" t="s">
        <v>7128</v>
      </c>
      <c r="B1100" s="198" t="s">
        <v>31</v>
      </c>
      <c r="C1100" s="198" t="s">
        <v>11</v>
      </c>
      <c r="D1100" s="11" t="s">
        <v>44</v>
      </c>
      <c r="E1100" s="198" t="s">
        <v>135</v>
      </c>
      <c r="F1100" s="4" t="s">
        <v>2272</v>
      </c>
      <c r="G1100" s="4" t="s">
        <v>2272</v>
      </c>
      <c r="H1100" s="4" t="s">
        <v>2272</v>
      </c>
      <c r="I1100" s="4" t="s">
        <v>2272</v>
      </c>
      <c r="J1100" s="198" t="s">
        <v>2272</v>
      </c>
      <c r="K1100" s="198" t="s">
        <v>2272</v>
      </c>
      <c r="L1100" s="198" t="s">
        <v>2272</v>
      </c>
      <c r="M1100" s="198" t="s">
        <v>2272</v>
      </c>
      <c r="N1100" s="198" t="s">
        <v>2272</v>
      </c>
      <c r="O1100" s="198" t="s">
        <v>2272</v>
      </c>
      <c r="P1100" s="198" t="s">
        <v>2272</v>
      </c>
      <c r="Q1100" s="198" t="s">
        <v>2272</v>
      </c>
      <c r="R1100" s="198" t="s">
        <v>2272</v>
      </c>
      <c r="S1100" s="198" t="s">
        <v>2272</v>
      </c>
      <c r="T1100" s="198"/>
    </row>
    <row r="1101" spans="1:20" ht="23.5" customHeight="1">
      <c r="A1101" s="19" t="s">
        <v>7129</v>
      </c>
      <c r="B1101" s="198" t="s">
        <v>31</v>
      </c>
      <c r="C1101" s="198" t="s">
        <v>11</v>
      </c>
      <c r="D1101" s="11" t="s">
        <v>44</v>
      </c>
      <c r="E1101" s="4" t="s">
        <v>2272</v>
      </c>
      <c r="F1101" s="4" t="s">
        <v>2272</v>
      </c>
      <c r="G1101" s="4" t="s">
        <v>2272</v>
      </c>
      <c r="H1101" s="4" t="s">
        <v>2272</v>
      </c>
      <c r="I1101" s="4" t="s">
        <v>2272</v>
      </c>
      <c r="J1101" s="198" t="s">
        <v>2272</v>
      </c>
      <c r="K1101" s="198" t="s">
        <v>2272</v>
      </c>
      <c r="L1101" s="198" t="s">
        <v>2272</v>
      </c>
      <c r="M1101" s="198" t="s">
        <v>2272</v>
      </c>
      <c r="N1101" s="198" t="s">
        <v>2272</v>
      </c>
      <c r="O1101" s="198" t="s">
        <v>2272</v>
      </c>
      <c r="P1101" s="198" t="s">
        <v>2272</v>
      </c>
      <c r="Q1101" s="198" t="s">
        <v>2272</v>
      </c>
      <c r="R1101" s="198" t="s">
        <v>2272</v>
      </c>
      <c r="S1101" s="198" t="s">
        <v>2272</v>
      </c>
      <c r="T1101" s="198"/>
    </row>
    <row r="1102" spans="1:20" ht="23.5" customHeight="1">
      <c r="A1102" s="19" t="s">
        <v>7130</v>
      </c>
      <c r="B1102" s="198" t="s">
        <v>31</v>
      </c>
      <c r="C1102" s="198" t="s">
        <v>11</v>
      </c>
      <c r="D1102" s="11" t="s">
        <v>44</v>
      </c>
      <c r="E1102" s="4" t="s">
        <v>2272</v>
      </c>
      <c r="F1102" s="4" t="s">
        <v>2272</v>
      </c>
      <c r="G1102" s="4" t="s">
        <v>2272</v>
      </c>
      <c r="H1102" s="4" t="s">
        <v>2272</v>
      </c>
      <c r="I1102" s="4" t="s">
        <v>2272</v>
      </c>
      <c r="J1102" s="198" t="s">
        <v>2272</v>
      </c>
      <c r="K1102" s="198" t="s">
        <v>2272</v>
      </c>
      <c r="L1102" s="198" t="s">
        <v>2272</v>
      </c>
      <c r="M1102" s="198" t="s">
        <v>2272</v>
      </c>
      <c r="N1102" s="198" t="s">
        <v>2272</v>
      </c>
      <c r="O1102" s="198" t="s">
        <v>2272</v>
      </c>
      <c r="P1102" s="198" t="s">
        <v>2272</v>
      </c>
      <c r="Q1102" s="198" t="s">
        <v>2272</v>
      </c>
      <c r="R1102" s="198" t="s">
        <v>2272</v>
      </c>
      <c r="S1102" s="198" t="s">
        <v>2272</v>
      </c>
      <c r="T1102" s="198"/>
    </row>
    <row r="1103" spans="1:20" ht="23.5" customHeight="1">
      <c r="A1103" s="19" t="s">
        <v>7131</v>
      </c>
      <c r="B1103" s="198" t="s">
        <v>31</v>
      </c>
      <c r="C1103" s="198" t="s">
        <v>11</v>
      </c>
      <c r="D1103" s="11" t="s">
        <v>44</v>
      </c>
      <c r="E1103" s="4" t="s">
        <v>2272</v>
      </c>
      <c r="F1103" s="4" t="s">
        <v>2272</v>
      </c>
      <c r="G1103" s="4" t="s">
        <v>2272</v>
      </c>
      <c r="H1103" s="4" t="s">
        <v>2272</v>
      </c>
      <c r="I1103" s="4" t="s">
        <v>2272</v>
      </c>
      <c r="J1103" s="198" t="s">
        <v>2272</v>
      </c>
      <c r="K1103" s="198" t="s">
        <v>2272</v>
      </c>
      <c r="L1103" s="198" t="s">
        <v>2272</v>
      </c>
      <c r="M1103" s="198" t="s">
        <v>2272</v>
      </c>
      <c r="N1103" s="198" t="s">
        <v>2272</v>
      </c>
      <c r="O1103" s="198" t="s">
        <v>2272</v>
      </c>
      <c r="P1103" s="198" t="s">
        <v>2272</v>
      </c>
      <c r="Q1103" s="198" t="s">
        <v>2272</v>
      </c>
      <c r="R1103" s="198" t="s">
        <v>2272</v>
      </c>
      <c r="S1103" s="198" t="s">
        <v>2272</v>
      </c>
      <c r="T1103" s="198"/>
    </row>
    <row r="1104" spans="1:20" ht="23.5" customHeight="1">
      <c r="A1104" s="19" t="s">
        <v>7132</v>
      </c>
      <c r="B1104" s="198" t="s">
        <v>31</v>
      </c>
      <c r="C1104" s="198" t="s">
        <v>11</v>
      </c>
      <c r="D1104" s="11" t="s">
        <v>44</v>
      </c>
      <c r="E1104" s="4" t="s">
        <v>2272</v>
      </c>
      <c r="F1104" s="4" t="s">
        <v>2272</v>
      </c>
      <c r="G1104" s="4" t="s">
        <v>2272</v>
      </c>
      <c r="H1104" s="4" t="s">
        <v>2272</v>
      </c>
      <c r="I1104" s="4" t="s">
        <v>2272</v>
      </c>
      <c r="J1104" s="198" t="s">
        <v>2272</v>
      </c>
      <c r="K1104" s="198" t="s">
        <v>2272</v>
      </c>
      <c r="L1104" s="198" t="s">
        <v>2272</v>
      </c>
      <c r="M1104" s="198" t="s">
        <v>2272</v>
      </c>
      <c r="N1104" s="198" t="s">
        <v>2272</v>
      </c>
      <c r="O1104" s="198" t="s">
        <v>2272</v>
      </c>
      <c r="P1104" s="198" t="s">
        <v>2272</v>
      </c>
      <c r="Q1104" s="198" t="s">
        <v>2272</v>
      </c>
      <c r="R1104" s="198" t="s">
        <v>2272</v>
      </c>
      <c r="S1104" s="198" t="s">
        <v>2272</v>
      </c>
      <c r="T1104" s="198"/>
    </row>
    <row r="1105" spans="1:20" ht="27" customHeight="1">
      <c r="A1105" s="19" t="s">
        <v>7153</v>
      </c>
      <c r="B1105" s="198" t="s">
        <v>31</v>
      </c>
      <c r="C1105" s="198" t="s">
        <v>11</v>
      </c>
      <c r="D1105" s="11" t="s">
        <v>44</v>
      </c>
      <c r="E1105" s="198" t="s">
        <v>135</v>
      </c>
      <c r="F1105" s="198" t="s">
        <v>5000</v>
      </c>
      <c r="G1105" s="4" t="s">
        <v>2272</v>
      </c>
      <c r="H1105" s="21">
        <v>0.26</v>
      </c>
      <c r="I1105" s="4" t="s">
        <v>2272</v>
      </c>
      <c r="J1105" s="198" t="s">
        <v>2272</v>
      </c>
      <c r="K1105" s="198" t="s">
        <v>2272</v>
      </c>
      <c r="L1105" s="198" t="s">
        <v>2272</v>
      </c>
      <c r="M1105" s="198" t="s">
        <v>2272</v>
      </c>
      <c r="N1105" s="198" t="s">
        <v>2272</v>
      </c>
      <c r="O1105" s="21">
        <v>21</v>
      </c>
      <c r="P1105" s="198" t="s">
        <v>2272</v>
      </c>
      <c r="Q1105" s="198" t="s">
        <v>2272</v>
      </c>
      <c r="R1105" s="198" t="s">
        <v>2272</v>
      </c>
      <c r="S1105" s="198" t="s">
        <v>2272</v>
      </c>
      <c r="T1105" s="198" t="s">
        <v>7209</v>
      </c>
    </row>
    <row r="1106" spans="1:20" ht="28" customHeight="1">
      <c r="A1106" s="19" t="s">
        <v>7154</v>
      </c>
      <c r="B1106" s="198" t="s">
        <v>31</v>
      </c>
      <c r="C1106" s="198" t="s">
        <v>11</v>
      </c>
      <c r="D1106" s="11" t="s">
        <v>44</v>
      </c>
      <c r="E1106" s="198" t="s">
        <v>135</v>
      </c>
      <c r="F1106" s="4" t="s">
        <v>2272</v>
      </c>
      <c r="G1106" s="4" t="s">
        <v>2272</v>
      </c>
      <c r="H1106" s="21">
        <v>0.35</v>
      </c>
      <c r="I1106" s="4" t="s">
        <v>2272</v>
      </c>
      <c r="J1106" s="198" t="s">
        <v>2272</v>
      </c>
      <c r="K1106" s="198" t="s">
        <v>2272</v>
      </c>
      <c r="L1106" s="198" t="s">
        <v>2272</v>
      </c>
      <c r="M1106" s="198" t="s">
        <v>2272</v>
      </c>
      <c r="N1106" s="198" t="s">
        <v>2272</v>
      </c>
      <c r="O1106" s="21">
        <v>44</v>
      </c>
      <c r="P1106" s="198" t="s">
        <v>2272</v>
      </c>
      <c r="Q1106" s="198" t="s">
        <v>2272</v>
      </c>
      <c r="R1106" s="198" t="s">
        <v>2272</v>
      </c>
      <c r="S1106" s="198" t="s">
        <v>2272</v>
      </c>
      <c r="T1106" s="198" t="s">
        <v>7209</v>
      </c>
    </row>
    <row r="1107" spans="1:20" ht="29" customHeight="1">
      <c r="A1107" s="19" t="s">
        <v>7155</v>
      </c>
      <c r="B1107" s="198" t="s">
        <v>31</v>
      </c>
      <c r="C1107" s="198" t="s">
        <v>11</v>
      </c>
      <c r="D1107" s="11" t="s">
        <v>44</v>
      </c>
      <c r="E1107" s="4" t="s">
        <v>2272</v>
      </c>
      <c r="F1107" s="4" t="s">
        <v>2272</v>
      </c>
      <c r="G1107" s="4" t="s">
        <v>2272</v>
      </c>
      <c r="H1107" s="21">
        <v>0.75</v>
      </c>
      <c r="I1107" s="4" t="s">
        <v>2272</v>
      </c>
      <c r="J1107" s="198" t="s">
        <v>2272</v>
      </c>
      <c r="K1107" s="198" t="s">
        <v>2272</v>
      </c>
      <c r="L1107" s="198" t="s">
        <v>2272</v>
      </c>
      <c r="M1107" s="198" t="s">
        <v>2272</v>
      </c>
      <c r="N1107" s="198" t="s">
        <v>2272</v>
      </c>
      <c r="O1107" s="21">
        <v>35</v>
      </c>
      <c r="P1107" s="198" t="s">
        <v>2272</v>
      </c>
      <c r="Q1107" s="198" t="s">
        <v>2272</v>
      </c>
      <c r="R1107" s="198" t="s">
        <v>2272</v>
      </c>
      <c r="S1107" s="198" t="s">
        <v>2272</v>
      </c>
      <c r="T1107" s="198" t="s">
        <v>7209</v>
      </c>
    </row>
    <row r="1108" spans="1:20" ht="32.5" customHeight="1">
      <c r="A1108" s="19" t="s">
        <v>7156</v>
      </c>
      <c r="B1108" s="198" t="s">
        <v>2272</v>
      </c>
      <c r="C1108" s="198" t="s">
        <v>11</v>
      </c>
      <c r="D1108" s="11" t="s">
        <v>44</v>
      </c>
      <c r="E1108" s="198" t="s">
        <v>135</v>
      </c>
      <c r="F1108" s="4" t="s">
        <v>3850</v>
      </c>
      <c r="G1108" s="4" t="s">
        <v>2272</v>
      </c>
      <c r="H1108" s="21">
        <v>0.89</v>
      </c>
      <c r="I1108" s="4" t="s">
        <v>2272</v>
      </c>
      <c r="J1108" s="198" t="s">
        <v>2272</v>
      </c>
      <c r="K1108" s="198" t="s">
        <v>2272</v>
      </c>
      <c r="L1108" s="198" t="s">
        <v>2272</v>
      </c>
      <c r="M1108" s="198" t="s">
        <v>2272</v>
      </c>
      <c r="N1108" s="198" t="s">
        <v>2272</v>
      </c>
      <c r="O1108" s="21">
        <v>26</v>
      </c>
      <c r="P1108" s="198" t="s">
        <v>2272</v>
      </c>
      <c r="Q1108" s="198" t="s">
        <v>2272</v>
      </c>
      <c r="R1108" s="198" t="s">
        <v>2272</v>
      </c>
      <c r="S1108" s="198" t="s">
        <v>2272</v>
      </c>
      <c r="T1108" s="198" t="s">
        <v>7209</v>
      </c>
    </row>
    <row r="1109" spans="1:20" ht="32" customHeight="1">
      <c r="A1109" s="19" t="s">
        <v>7157</v>
      </c>
      <c r="B1109" s="198" t="s">
        <v>1193</v>
      </c>
      <c r="C1109" s="198" t="s">
        <v>11</v>
      </c>
      <c r="D1109" s="11" t="s">
        <v>44</v>
      </c>
      <c r="E1109" s="4" t="s">
        <v>3850</v>
      </c>
      <c r="F1109" s="4" t="s">
        <v>2272</v>
      </c>
      <c r="G1109" s="4" t="s">
        <v>2272</v>
      </c>
      <c r="H1109" s="21">
        <v>1.1000000000000001</v>
      </c>
      <c r="I1109" s="4" t="s">
        <v>2272</v>
      </c>
      <c r="J1109" s="198" t="s">
        <v>2272</v>
      </c>
      <c r="K1109" s="198" t="s">
        <v>2272</v>
      </c>
      <c r="L1109" s="198" t="s">
        <v>2272</v>
      </c>
      <c r="M1109" s="198" t="s">
        <v>2272</v>
      </c>
      <c r="N1109" s="198" t="s">
        <v>2272</v>
      </c>
      <c r="O1109" s="21">
        <v>26</v>
      </c>
      <c r="P1109" s="198" t="s">
        <v>2272</v>
      </c>
      <c r="Q1109" s="198" t="s">
        <v>2272</v>
      </c>
      <c r="R1109" s="198" t="s">
        <v>2272</v>
      </c>
      <c r="S1109" s="198" t="s">
        <v>2272</v>
      </c>
      <c r="T1109" s="198" t="s">
        <v>7209</v>
      </c>
    </row>
    <row r="1110" spans="1:20" ht="29" customHeight="1">
      <c r="A1110" s="19" t="s">
        <v>7158</v>
      </c>
      <c r="B1110" s="198" t="s">
        <v>2254</v>
      </c>
      <c r="C1110" s="198" t="s">
        <v>11</v>
      </c>
      <c r="D1110" s="11" t="s">
        <v>44</v>
      </c>
      <c r="E1110" s="4" t="s">
        <v>2272</v>
      </c>
      <c r="F1110" s="4" t="s">
        <v>2272</v>
      </c>
      <c r="G1110" s="4" t="s">
        <v>2272</v>
      </c>
      <c r="H1110" s="21">
        <v>0.9</v>
      </c>
      <c r="I1110" s="4" t="s">
        <v>2272</v>
      </c>
      <c r="J1110" s="198" t="s">
        <v>2272</v>
      </c>
      <c r="K1110" s="198" t="s">
        <v>2272</v>
      </c>
      <c r="L1110" s="198" t="s">
        <v>2272</v>
      </c>
      <c r="M1110" s="198" t="s">
        <v>2272</v>
      </c>
      <c r="N1110" s="198" t="s">
        <v>2272</v>
      </c>
      <c r="O1110" s="21">
        <v>64</v>
      </c>
      <c r="P1110" s="198" t="s">
        <v>2272</v>
      </c>
      <c r="Q1110" s="198" t="s">
        <v>2272</v>
      </c>
      <c r="R1110" s="198" t="s">
        <v>2272</v>
      </c>
      <c r="S1110" s="198" t="s">
        <v>2272</v>
      </c>
      <c r="T1110" s="198" t="s">
        <v>7209</v>
      </c>
    </row>
    <row r="1111" spans="1:20" ht="28" customHeight="1">
      <c r="A1111" s="19" t="s">
        <v>7159</v>
      </c>
      <c r="B1111" s="198" t="s">
        <v>31</v>
      </c>
      <c r="C1111" s="198" t="s">
        <v>11</v>
      </c>
      <c r="D1111" s="11" t="s">
        <v>44</v>
      </c>
      <c r="E1111" s="4" t="s">
        <v>2272</v>
      </c>
      <c r="F1111" s="4" t="s">
        <v>2272</v>
      </c>
      <c r="G1111" s="4" t="s">
        <v>2272</v>
      </c>
      <c r="H1111" s="21">
        <v>0.84</v>
      </c>
      <c r="I1111" s="4" t="s">
        <v>2272</v>
      </c>
      <c r="J1111" s="198" t="s">
        <v>2272</v>
      </c>
      <c r="K1111" s="198" t="s">
        <v>2272</v>
      </c>
      <c r="L1111" s="198" t="s">
        <v>2272</v>
      </c>
      <c r="M1111" s="198" t="s">
        <v>2272</v>
      </c>
      <c r="N1111" s="198" t="s">
        <v>2272</v>
      </c>
      <c r="O1111" s="21">
        <v>40</v>
      </c>
      <c r="P1111" s="198" t="s">
        <v>2272</v>
      </c>
      <c r="Q1111" s="198" t="s">
        <v>2272</v>
      </c>
      <c r="R1111" s="198" t="s">
        <v>2272</v>
      </c>
      <c r="S1111" s="198" t="s">
        <v>2272</v>
      </c>
      <c r="T1111" s="198" t="s">
        <v>7209</v>
      </c>
    </row>
    <row r="1112" spans="1:20" ht="23.5" customHeight="1">
      <c r="A1112" s="19" t="s">
        <v>7160</v>
      </c>
      <c r="B1112" s="198" t="s">
        <v>68</v>
      </c>
      <c r="C1112" s="198" t="s">
        <v>11</v>
      </c>
      <c r="D1112" s="11" t="s">
        <v>44</v>
      </c>
      <c r="E1112" s="198" t="s">
        <v>5795</v>
      </c>
      <c r="F1112" s="4" t="s">
        <v>2272</v>
      </c>
      <c r="G1112" s="4" t="s">
        <v>2272</v>
      </c>
      <c r="H1112" s="21">
        <v>0.2</v>
      </c>
      <c r="I1112" s="4" t="s">
        <v>2272</v>
      </c>
      <c r="J1112" s="198" t="s">
        <v>2272</v>
      </c>
      <c r="K1112" s="198" t="s">
        <v>2272</v>
      </c>
      <c r="L1112" s="198" t="s">
        <v>2272</v>
      </c>
      <c r="M1112" s="198" t="s">
        <v>2272</v>
      </c>
      <c r="N1112" s="198" t="s">
        <v>2272</v>
      </c>
      <c r="O1112" s="21">
        <v>35</v>
      </c>
      <c r="P1112" s="198" t="s">
        <v>2272</v>
      </c>
      <c r="Q1112" s="198" t="s">
        <v>2272</v>
      </c>
      <c r="R1112" s="198" t="s">
        <v>2272</v>
      </c>
      <c r="S1112" s="198" t="s">
        <v>2272</v>
      </c>
      <c r="T1112" s="198" t="s">
        <v>7209</v>
      </c>
    </row>
    <row r="1113" spans="1:20" ht="36.5" customHeight="1">
      <c r="A1113" s="19" t="s">
        <v>7161</v>
      </c>
      <c r="B1113" s="198" t="s">
        <v>2272</v>
      </c>
      <c r="C1113" s="198" t="s">
        <v>11</v>
      </c>
      <c r="D1113" s="11" t="s">
        <v>44</v>
      </c>
      <c r="E1113" s="198" t="s">
        <v>5000</v>
      </c>
      <c r="F1113" s="4" t="s">
        <v>3850</v>
      </c>
      <c r="G1113" s="4" t="s">
        <v>2272</v>
      </c>
      <c r="H1113" s="21">
        <v>1.6</v>
      </c>
      <c r="I1113" s="4" t="s">
        <v>2272</v>
      </c>
      <c r="J1113" s="198" t="s">
        <v>2272</v>
      </c>
      <c r="K1113" s="198" t="s">
        <v>2272</v>
      </c>
      <c r="L1113" s="198" t="s">
        <v>2272</v>
      </c>
      <c r="M1113" s="198" t="s">
        <v>2272</v>
      </c>
      <c r="N1113" s="198" t="s">
        <v>2272</v>
      </c>
      <c r="O1113" s="21">
        <v>46</v>
      </c>
      <c r="P1113" s="198" t="s">
        <v>2272</v>
      </c>
      <c r="Q1113" s="198" t="s">
        <v>2272</v>
      </c>
      <c r="R1113" s="198" t="s">
        <v>2272</v>
      </c>
      <c r="S1113" s="198" t="s">
        <v>2272</v>
      </c>
      <c r="T1113" s="198" t="s">
        <v>7209</v>
      </c>
    </row>
    <row r="1114" spans="1:20" ht="35" customHeight="1">
      <c r="A1114" s="19" t="s">
        <v>7162</v>
      </c>
      <c r="B1114" s="198" t="s">
        <v>2254</v>
      </c>
      <c r="C1114" s="198" t="s">
        <v>11</v>
      </c>
      <c r="D1114" s="11" t="s">
        <v>44</v>
      </c>
      <c r="E1114" s="198" t="s">
        <v>5000</v>
      </c>
      <c r="F1114" s="4" t="s">
        <v>3850</v>
      </c>
      <c r="G1114" s="4" t="s">
        <v>2272</v>
      </c>
      <c r="H1114" s="21">
        <v>0.38</v>
      </c>
      <c r="I1114" s="4" t="s">
        <v>2272</v>
      </c>
      <c r="J1114" s="198" t="s">
        <v>2272</v>
      </c>
      <c r="K1114" s="198" t="s">
        <v>2272</v>
      </c>
      <c r="L1114" s="198" t="s">
        <v>2272</v>
      </c>
      <c r="M1114" s="198" t="s">
        <v>2272</v>
      </c>
      <c r="N1114" s="198" t="s">
        <v>2272</v>
      </c>
      <c r="O1114" s="21">
        <v>46</v>
      </c>
      <c r="P1114" s="198" t="s">
        <v>2272</v>
      </c>
      <c r="Q1114" s="198" t="s">
        <v>2272</v>
      </c>
      <c r="R1114" s="198" t="s">
        <v>2272</v>
      </c>
      <c r="S1114" s="198" t="s">
        <v>2272</v>
      </c>
      <c r="T1114" s="198" t="s">
        <v>7209</v>
      </c>
    </row>
    <row r="1115" spans="1:20" ht="25" customHeight="1">
      <c r="A1115" s="19" t="s">
        <v>7223</v>
      </c>
      <c r="B1115" s="198" t="s">
        <v>2272</v>
      </c>
      <c r="C1115" s="198" t="s">
        <v>2272</v>
      </c>
      <c r="D1115" s="198" t="s">
        <v>2644</v>
      </c>
      <c r="E1115" s="198" t="s">
        <v>135</v>
      </c>
      <c r="F1115" s="198" t="s">
        <v>2272</v>
      </c>
      <c r="G1115" s="198" t="s">
        <v>2272</v>
      </c>
      <c r="H1115" s="198" t="s">
        <v>2272</v>
      </c>
      <c r="I1115" s="198" t="s">
        <v>2272</v>
      </c>
      <c r="J1115" s="198" t="s">
        <v>2272</v>
      </c>
      <c r="K1115" s="198" t="s">
        <v>2272</v>
      </c>
      <c r="L1115" s="198" t="s">
        <v>2272</v>
      </c>
      <c r="M1115" s="198" t="s">
        <v>2272</v>
      </c>
      <c r="N1115" s="198" t="s">
        <v>2272</v>
      </c>
      <c r="O1115" s="198" t="s">
        <v>2272</v>
      </c>
      <c r="P1115" s="198" t="s">
        <v>2272</v>
      </c>
      <c r="Q1115" s="198" t="s">
        <v>2272</v>
      </c>
      <c r="R1115" s="198" t="s">
        <v>2272</v>
      </c>
      <c r="S1115" s="198" t="s">
        <v>2272</v>
      </c>
      <c r="T1115" s="198"/>
    </row>
    <row r="1116" spans="1:20" ht="28" customHeight="1">
      <c r="A1116" s="19" t="s">
        <v>7224</v>
      </c>
      <c r="B1116" s="198" t="s">
        <v>2272</v>
      </c>
      <c r="C1116" s="198" t="s">
        <v>2640</v>
      </c>
      <c r="D1116" s="198" t="s">
        <v>2644</v>
      </c>
      <c r="E1116" s="198" t="s">
        <v>135</v>
      </c>
      <c r="F1116" s="198" t="s">
        <v>2272</v>
      </c>
      <c r="G1116" s="198" t="s">
        <v>2272</v>
      </c>
      <c r="H1116" s="198" t="s">
        <v>2272</v>
      </c>
      <c r="I1116" s="198" t="s">
        <v>2272</v>
      </c>
      <c r="J1116" s="198" t="s">
        <v>2272</v>
      </c>
      <c r="K1116" s="198" t="s">
        <v>2272</v>
      </c>
      <c r="L1116" s="198" t="s">
        <v>2272</v>
      </c>
      <c r="M1116" s="198" t="s">
        <v>2272</v>
      </c>
      <c r="N1116" s="198" t="s">
        <v>2272</v>
      </c>
      <c r="O1116" s="198" t="s">
        <v>2272</v>
      </c>
      <c r="P1116" s="198" t="s">
        <v>2272</v>
      </c>
      <c r="Q1116" s="198" t="s">
        <v>2272</v>
      </c>
      <c r="R1116" s="198" t="s">
        <v>2272</v>
      </c>
      <c r="S1116" s="198" t="s">
        <v>2272</v>
      </c>
      <c r="T1116" s="198"/>
    </row>
    <row r="1117" spans="1:20" ht="25" customHeight="1">
      <c r="A1117" s="19" t="s">
        <v>7225</v>
      </c>
      <c r="B1117" s="198" t="s">
        <v>2272</v>
      </c>
      <c r="C1117" s="198" t="s">
        <v>2641</v>
      </c>
      <c r="D1117" s="198" t="s">
        <v>135</v>
      </c>
      <c r="E1117" s="198" t="s">
        <v>44</v>
      </c>
      <c r="F1117" s="198" t="s">
        <v>2272</v>
      </c>
      <c r="G1117" s="198" t="s">
        <v>2272</v>
      </c>
      <c r="H1117" s="198" t="s">
        <v>2272</v>
      </c>
      <c r="I1117" s="198" t="s">
        <v>2272</v>
      </c>
      <c r="J1117" s="198" t="s">
        <v>2272</v>
      </c>
      <c r="K1117" s="198" t="s">
        <v>2272</v>
      </c>
      <c r="L1117" s="198" t="s">
        <v>2272</v>
      </c>
      <c r="M1117" s="198" t="s">
        <v>2272</v>
      </c>
      <c r="N1117" s="198" t="s">
        <v>2272</v>
      </c>
      <c r="O1117" s="198" t="s">
        <v>2272</v>
      </c>
      <c r="P1117" s="198" t="s">
        <v>2272</v>
      </c>
      <c r="Q1117" s="198" t="s">
        <v>2272</v>
      </c>
      <c r="R1117" s="198" t="s">
        <v>2272</v>
      </c>
      <c r="S1117" s="198" t="s">
        <v>2272</v>
      </c>
      <c r="T1117" s="198"/>
    </row>
    <row r="1118" spans="1:20" ht="25" customHeight="1">
      <c r="A1118" s="19" t="s">
        <v>7226</v>
      </c>
      <c r="B1118" s="198" t="s">
        <v>2272</v>
      </c>
      <c r="C1118" s="198" t="s">
        <v>2641</v>
      </c>
      <c r="D1118" s="198" t="s">
        <v>135</v>
      </c>
      <c r="E1118" s="198" t="s">
        <v>44</v>
      </c>
      <c r="F1118" s="198" t="s">
        <v>2272</v>
      </c>
      <c r="G1118" s="198" t="s">
        <v>2272</v>
      </c>
      <c r="H1118" s="198" t="s">
        <v>2272</v>
      </c>
      <c r="I1118" s="198" t="s">
        <v>2272</v>
      </c>
      <c r="J1118" s="198" t="s">
        <v>2272</v>
      </c>
      <c r="K1118" s="198" t="s">
        <v>2272</v>
      </c>
      <c r="L1118" s="198" t="s">
        <v>2272</v>
      </c>
      <c r="M1118" s="198" t="s">
        <v>2272</v>
      </c>
      <c r="N1118" s="198" t="s">
        <v>2272</v>
      </c>
      <c r="O1118" s="198" t="s">
        <v>2272</v>
      </c>
      <c r="P1118" s="198" t="s">
        <v>2272</v>
      </c>
      <c r="Q1118" s="198" t="s">
        <v>2272</v>
      </c>
      <c r="R1118" s="198" t="s">
        <v>2272</v>
      </c>
      <c r="S1118" s="198" t="s">
        <v>2272</v>
      </c>
      <c r="T1118" s="198"/>
    </row>
    <row r="1119" spans="1:20" ht="25" customHeight="1">
      <c r="A1119" s="19" t="s">
        <v>7227</v>
      </c>
      <c r="B1119" s="198" t="s">
        <v>2272</v>
      </c>
      <c r="C1119" s="198" t="s">
        <v>2641</v>
      </c>
      <c r="D1119" s="198" t="s">
        <v>135</v>
      </c>
      <c r="E1119" s="198" t="s">
        <v>44</v>
      </c>
      <c r="F1119" s="198" t="s">
        <v>2272</v>
      </c>
      <c r="G1119" s="198" t="s">
        <v>2272</v>
      </c>
      <c r="H1119" s="198" t="s">
        <v>2272</v>
      </c>
      <c r="I1119" s="198" t="s">
        <v>2272</v>
      </c>
      <c r="J1119" s="198" t="s">
        <v>2272</v>
      </c>
      <c r="K1119" s="198" t="s">
        <v>2272</v>
      </c>
      <c r="L1119" s="198" t="s">
        <v>2272</v>
      </c>
      <c r="M1119" s="198" t="s">
        <v>2272</v>
      </c>
      <c r="N1119" s="198" t="s">
        <v>2272</v>
      </c>
      <c r="O1119" s="198" t="s">
        <v>2272</v>
      </c>
      <c r="P1119" s="198" t="s">
        <v>2272</v>
      </c>
      <c r="Q1119" s="198" t="s">
        <v>2272</v>
      </c>
      <c r="R1119" s="198" t="s">
        <v>2272</v>
      </c>
      <c r="S1119" s="198" t="s">
        <v>2272</v>
      </c>
      <c r="T1119" s="198"/>
    </row>
    <row r="1120" spans="1:20" ht="41.5" customHeight="1">
      <c r="A1120" s="19" t="s">
        <v>7257</v>
      </c>
      <c r="B1120" s="198" t="s">
        <v>2272</v>
      </c>
      <c r="C1120" s="198" t="s">
        <v>2272</v>
      </c>
      <c r="D1120" s="198" t="s">
        <v>3204</v>
      </c>
      <c r="E1120" s="198" t="s">
        <v>2272</v>
      </c>
      <c r="F1120" s="198" t="s">
        <v>2272</v>
      </c>
      <c r="G1120" s="198" t="s">
        <v>2272</v>
      </c>
      <c r="H1120" s="198" t="s">
        <v>2272</v>
      </c>
      <c r="I1120" s="198" t="s">
        <v>2272</v>
      </c>
      <c r="J1120" s="198" t="s">
        <v>2272</v>
      </c>
      <c r="K1120" s="198" t="s">
        <v>2272</v>
      </c>
      <c r="L1120" s="198" t="s">
        <v>2272</v>
      </c>
      <c r="M1120" s="198" t="s">
        <v>2272</v>
      </c>
      <c r="N1120" s="198" t="s">
        <v>2272</v>
      </c>
      <c r="O1120" s="198" t="s">
        <v>2272</v>
      </c>
      <c r="P1120" s="198" t="s">
        <v>2272</v>
      </c>
      <c r="Q1120" s="198" t="s">
        <v>2272</v>
      </c>
      <c r="R1120" s="198" t="s">
        <v>2272</v>
      </c>
      <c r="S1120" s="198" t="s">
        <v>2272</v>
      </c>
      <c r="T1120" s="4" t="s">
        <v>7623</v>
      </c>
    </row>
    <row r="1121" spans="1:20" ht="41.5" customHeight="1">
      <c r="A1121" s="19" t="s">
        <v>7270</v>
      </c>
      <c r="B1121" s="198" t="s">
        <v>2272</v>
      </c>
      <c r="C1121" s="198" t="s">
        <v>2272</v>
      </c>
      <c r="D1121" s="198" t="s">
        <v>3204</v>
      </c>
      <c r="E1121" s="198" t="s">
        <v>2272</v>
      </c>
      <c r="F1121" s="198" t="s">
        <v>2272</v>
      </c>
      <c r="G1121" s="198" t="s">
        <v>2272</v>
      </c>
      <c r="H1121" s="198" t="s">
        <v>2272</v>
      </c>
      <c r="I1121" s="198" t="s">
        <v>2272</v>
      </c>
      <c r="J1121" s="198" t="s">
        <v>2272</v>
      </c>
      <c r="K1121" s="198" t="s">
        <v>2272</v>
      </c>
      <c r="L1121" s="198" t="s">
        <v>2272</v>
      </c>
      <c r="M1121" s="198" t="s">
        <v>2272</v>
      </c>
      <c r="N1121" s="198" t="s">
        <v>2272</v>
      </c>
      <c r="O1121" s="198" t="s">
        <v>2272</v>
      </c>
      <c r="P1121" s="198" t="s">
        <v>2272</v>
      </c>
      <c r="Q1121" s="198" t="s">
        <v>2272</v>
      </c>
      <c r="R1121" s="198" t="s">
        <v>2272</v>
      </c>
      <c r="S1121" s="198" t="s">
        <v>2272</v>
      </c>
      <c r="T1121" s="4" t="s">
        <v>7623</v>
      </c>
    </row>
    <row r="1122" spans="1:20" ht="41.5" customHeight="1">
      <c r="A1122" s="19" t="s">
        <v>7271</v>
      </c>
      <c r="B1122" s="198" t="s">
        <v>2272</v>
      </c>
      <c r="C1122" s="198" t="s">
        <v>2272</v>
      </c>
      <c r="D1122" s="198" t="s">
        <v>3204</v>
      </c>
      <c r="E1122" s="198" t="s">
        <v>2272</v>
      </c>
      <c r="F1122" s="198" t="s">
        <v>2272</v>
      </c>
      <c r="G1122" s="198" t="s">
        <v>2272</v>
      </c>
      <c r="H1122" s="198" t="s">
        <v>2272</v>
      </c>
      <c r="I1122" s="198" t="s">
        <v>2272</v>
      </c>
      <c r="J1122" s="198" t="s">
        <v>2272</v>
      </c>
      <c r="K1122" s="198" t="s">
        <v>2272</v>
      </c>
      <c r="L1122" s="198" t="s">
        <v>2272</v>
      </c>
      <c r="M1122" s="198" t="s">
        <v>2272</v>
      </c>
      <c r="N1122" s="198" t="s">
        <v>2272</v>
      </c>
      <c r="O1122" s="198" t="s">
        <v>2272</v>
      </c>
      <c r="P1122" s="198" t="s">
        <v>2272</v>
      </c>
      <c r="Q1122" s="198" t="s">
        <v>2272</v>
      </c>
      <c r="R1122" s="198" t="s">
        <v>2272</v>
      </c>
      <c r="S1122" s="198" t="s">
        <v>2272</v>
      </c>
      <c r="T1122" s="4" t="s">
        <v>7623</v>
      </c>
    </row>
    <row r="1123" spans="1:20" ht="41.5" customHeight="1">
      <c r="A1123" s="19" t="s">
        <v>7272</v>
      </c>
      <c r="B1123" s="198" t="s">
        <v>2272</v>
      </c>
      <c r="C1123" s="198" t="s">
        <v>2272</v>
      </c>
      <c r="D1123" s="198" t="s">
        <v>3204</v>
      </c>
      <c r="E1123" s="198" t="s">
        <v>2272</v>
      </c>
      <c r="F1123" s="198" t="s">
        <v>2272</v>
      </c>
      <c r="G1123" s="198" t="s">
        <v>2272</v>
      </c>
      <c r="H1123" s="198" t="s">
        <v>2272</v>
      </c>
      <c r="I1123" s="198" t="s">
        <v>2272</v>
      </c>
      <c r="J1123" s="198" t="s">
        <v>2272</v>
      </c>
      <c r="K1123" s="198" t="s">
        <v>2272</v>
      </c>
      <c r="L1123" s="198" t="s">
        <v>2272</v>
      </c>
      <c r="M1123" s="198" t="s">
        <v>2272</v>
      </c>
      <c r="N1123" s="198" t="s">
        <v>2272</v>
      </c>
      <c r="O1123" s="198" t="s">
        <v>2272</v>
      </c>
      <c r="P1123" s="198" t="s">
        <v>2272</v>
      </c>
      <c r="Q1123" s="198" t="s">
        <v>2272</v>
      </c>
      <c r="R1123" s="198" t="s">
        <v>2272</v>
      </c>
      <c r="S1123" s="198" t="s">
        <v>2272</v>
      </c>
      <c r="T1123" s="4" t="s">
        <v>7623</v>
      </c>
    </row>
    <row r="1124" spans="1:20" ht="41.5" customHeight="1">
      <c r="A1124" s="19" t="s">
        <v>7273</v>
      </c>
      <c r="B1124" s="198" t="s">
        <v>2272</v>
      </c>
      <c r="C1124" s="198" t="s">
        <v>2272</v>
      </c>
      <c r="D1124" s="198" t="s">
        <v>3204</v>
      </c>
      <c r="E1124" s="198" t="s">
        <v>2272</v>
      </c>
      <c r="F1124" s="198" t="s">
        <v>2272</v>
      </c>
      <c r="G1124" s="198" t="s">
        <v>2272</v>
      </c>
      <c r="H1124" s="198" t="s">
        <v>2272</v>
      </c>
      <c r="I1124" s="198" t="s">
        <v>2272</v>
      </c>
      <c r="J1124" s="198" t="s">
        <v>2272</v>
      </c>
      <c r="K1124" s="198" t="s">
        <v>2272</v>
      </c>
      <c r="L1124" s="198" t="s">
        <v>2272</v>
      </c>
      <c r="M1124" s="198" t="s">
        <v>2272</v>
      </c>
      <c r="N1124" s="198" t="s">
        <v>2272</v>
      </c>
      <c r="O1124" s="198" t="s">
        <v>2272</v>
      </c>
      <c r="P1124" s="198" t="s">
        <v>2272</v>
      </c>
      <c r="Q1124" s="198" t="s">
        <v>2272</v>
      </c>
      <c r="R1124" s="198" t="s">
        <v>2272</v>
      </c>
      <c r="S1124" s="198" t="s">
        <v>2272</v>
      </c>
      <c r="T1124" s="4" t="s">
        <v>7623</v>
      </c>
    </row>
    <row r="1125" spans="1:20" ht="41.5" customHeight="1">
      <c r="A1125" s="19" t="s">
        <v>7274</v>
      </c>
      <c r="B1125" s="198" t="s">
        <v>2272</v>
      </c>
      <c r="C1125" s="198" t="s">
        <v>2272</v>
      </c>
      <c r="D1125" s="198" t="s">
        <v>3204</v>
      </c>
      <c r="E1125" s="198" t="s">
        <v>2272</v>
      </c>
      <c r="F1125" s="198" t="s">
        <v>2272</v>
      </c>
      <c r="G1125" s="198" t="s">
        <v>2272</v>
      </c>
      <c r="H1125" s="198" t="s">
        <v>2272</v>
      </c>
      <c r="I1125" s="198" t="s">
        <v>2272</v>
      </c>
      <c r="J1125" s="198" t="s">
        <v>2272</v>
      </c>
      <c r="K1125" s="198" t="s">
        <v>2272</v>
      </c>
      <c r="L1125" s="198" t="s">
        <v>2272</v>
      </c>
      <c r="M1125" s="198" t="s">
        <v>2272</v>
      </c>
      <c r="N1125" s="198" t="s">
        <v>2272</v>
      </c>
      <c r="O1125" s="198" t="s">
        <v>2272</v>
      </c>
      <c r="P1125" s="198" t="s">
        <v>2272</v>
      </c>
      <c r="Q1125" s="198" t="s">
        <v>2272</v>
      </c>
      <c r="R1125" s="198" t="s">
        <v>2272</v>
      </c>
      <c r="S1125" s="198" t="s">
        <v>2272</v>
      </c>
      <c r="T1125" s="4" t="s">
        <v>7623</v>
      </c>
    </row>
    <row r="1126" spans="1:20" ht="41.5" customHeight="1">
      <c r="A1126" s="19" t="s">
        <v>7275</v>
      </c>
      <c r="B1126" s="198" t="s">
        <v>2272</v>
      </c>
      <c r="C1126" s="198" t="s">
        <v>2272</v>
      </c>
      <c r="D1126" s="198" t="s">
        <v>3204</v>
      </c>
      <c r="E1126" s="198" t="s">
        <v>2272</v>
      </c>
      <c r="F1126" s="198" t="s">
        <v>2272</v>
      </c>
      <c r="G1126" s="198" t="s">
        <v>2272</v>
      </c>
      <c r="H1126" s="198" t="s">
        <v>2272</v>
      </c>
      <c r="I1126" s="198" t="s">
        <v>2272</v>
      </c>
      <c r="J1126" s="198" t="s">
        <v>2272</v>
      </c>
      <c r="K1126" s="198" t="s">
        <v>2272</v>
      </c>
      <c r="L1126" s="198" t="s">
        <v>2272</v>
      </c>
      <c r="M1126" s="198" t="s">
        <v>2272</v>
      </c>
      <c r="N1126" s="198" t="s">
        <v>2272</v>
      </c>
      <c r="O1126" s="198" t="s">
        <v>2272</v>
      </c>
      <c r="P1126" s="198" t="s">
        <v>2272</v>
      </c>
      <c r="Q1126" s="198" t="s">
        <v>2272</v>
      </c>
      <c r="R1126" s="198" t="s">
        <v>2272</v>
      </c>
      <c r="S1126" s="198" t="s">
        <v>2272</v>
      </c>
      <c r="T1126" s="4" t="s">
        <v>7623</v>
      </c>
    </row>
    <row r="1127" spans="1:20" ht="41.5" customHeight="1">
      <c r="A1127" s="19" t="s">
        <v>7276</v>
      </c>
      <c r="B1127" s="198" t="s">
        <v>2272</v>
      </c>
      <c r="C1127" s="198" t="s">
        <v>2272</v>
      </c>
      <c r="D1127" s="198" t="s">
        <v>3204</v>
      </c>
      <c r="E1127" s="198" t="s">
        <v>2272</v>
      </c>
      <c r="F1127" s="198" t="s">
        <v>2272</v>
      </c>
      <c r="G1127" s="198" t="s">
        <v>2272</v>
      </c>
      <c r="H1127" s="198" t="s">
        <v>2272</v>
      </c>
      <c r="I1127" s="198" t="s">
        <v>2272</v>
      </c>
      <c r="J1127" s="198" t="s">
        <v>2272</v>
      </c>
      <c r="K1127" s="198" t="s">
        <v>2272</v>
      </c>
      <c r="L1127" s="198" t="s">
        <v>2272</v>
      </c>
      <c r="M1127" s="198" t="s">
        <v>2272</v>
      </c>
      <c r="N1127" s="198" t="s">
        <v>2272</v>
      </c>
      <c r="O1127" s="198" t="s">
        <v>2272</v>
      </c>
      <c r="P1127" s="198" t="s">
        <v>2272</v>
      </c>
      <c r="Q1127" s="198" t="s">
        <v>2272</v>
      </c>
      <c r="R1127" s="198" t="s">
        <v>2272</v>
      </c>
      <c r="S1127" s="198" t="s">
        <v>2272</v>
      </c>
      <c r="T1127" s="4" t="s">
        <v>7623</v>
      </c>
    </row>
    <row r="1128" spans="1:20" ht="41.5" customHeight="1">
      <c r="A1128" s="19" t="s">
        <v>7277</v>
      </c>
      <c r="B1128" s="198" t="s">
        <v>2272</v>
      </c>
      <c r="C1128" s="198" t="s">
        <v>2641</v>
      </c>
      <c r="D1128" s="198" t="s">
        <v>3204</v>
      </c>
      <c r="E1128" s="198" t="s">
        <v>2272</v>
      </c>
      <c r="F1128" s="198" t="s">
        <v>2272</v>
      </c>
      <c r="G1128" s="198" t="s">
        <v>2272</v>
      </c>
      <c r="H1128" s="198" t="s">
        <v>2272</v>
      </c>
      <c r="I1128" s="198" t="s">
        <v>2272</v>
      </c>
      <c r="J1128" s="198" t="s">
        <v>2272</v>
      </c>
      <c r="K1128" s="198" t="s">
        <v>2272</v>
      </c>
      <c r="L1128" s="198" t="s">
        <v>2272</v>
      </c>
      <c r="M1128" s="198" t="s">
        <v>2272</v>
      </c>
      <c r="N1128" s="198" t="s">
        <v>2272</v>
      </c>
      <c r="O1128" s="198" t="s">
        <v>2272</v>
      </c>
      <c r="P1128" s="198" t="s">
        <v>2272</v>
      </c>
      <c r="Q1128" s="198" t="s">
        <v>2272</v>
      </c>
      <c r="R1128" s="198" t="s">
        <v>2272</v>
      </c>
      <c r="S1128" s="198" t="s">
        <v>2272</v>
      </c>
      <c r="T1128" s="4" t="s">
        <v>7623</v>
      </c>
    </row>
    <row r="1129" spans="1:20" ht="41.5" customHeight="1">
      <c r="A1129" s="19" t="s">
        <v>7278</v>
      </c>
      <c r="B1129" s="198" t="s">
        <v>2272</v>
      </c>
      <c r="C1129" s="198" t="s">
        <v>2641</v>
      </c>
      <c r="D1129" s="198" t="s">
        <v>3204</v>
      </c>
      <c r="E1129" s="198" t="s">
        <v>2272</v>
      </c>
      <c r="F1129" s="198" t="s">
        <v>2272</v>
      </c>
      <c r="G1129" s="198" t="s">
        <v>2272</v>
      </c>
      <c r="H1129" s="198" t="s">
        <v>2272</v>
      </c>
      <c r="I1129" s="198" t="s">
        <v>2272</v>
      </c>
      <c r="J1129" s="198" t="s">
        <v>2272</v>
      </c>
      <c r="K1129" s="198" t="s">
        <v>2272</v>
      </c>
      <c r="L1129" s="198" t="s">
        <v>2272</v>
      </c>
      <c r="M1129" s="198" t="s">
        <v>2272</v>
      </c>
      <c r="N1129" s="198" t="s">
        <v>2272</v>
      </c>
      <c r="O1129" s="198" t="s">
        <v>2272</v>
      </c>
      <c r="P1129" s="198" t="s">
        <v>2272</v>
      </c>
      <c r="Q1129" s="198" t="s">
        <v>2272</v>
      </c>
      <c r="R1129" s="198" t="s">
        <v>2272</v>
      </c>
      <c r="S1129" s="198" t="s">
        <v>2272</v>
      </c>
      <c r="T1129" s="4" t="s">
        <v>7623</v>
      </c>
    </row>
    <row r="1130" spans="1:20" ht="41.5" customHeight="1">
      <c r="A1130" s="19" t="s">
        <v>7279</v>
      </c>
      <c r="B1130" s="198" t="s">
        <v>2272</v>
      </c>
      <c r="C1130" s="198" t="s">
        <v>2641</v>
      </c>
      <c r="D1130" s="198" t="s">
        <v>3204</v>
      </c>
      <c r="E1130" s="198" t="s">
        <v>2272</v>
      </c>
      <c r="F1130" s="198" t="s">
        <v>2272</v>
      </c>
      <c r="G1130" s="198" t="s">
        <v>2272</v>
      </c>
      <c r="H1130" s="198" t="s">
        <v>2272</v>
      </c>
      <c r="I1130" s="198" t="s">
        <v>2272</v>
      </c>
      <c r="J1130" s="198" t="s">
        <v>2272</v>
      </c>
      <c r="K1130" s="198" t="s">
        <v>2272</v>
      </c>
      <c r="L1130" s="198" t="s">
        <v>2272</v>
      </c>
      <c r="M1130" s="198" t="s">
        <v>2272</v>
      </c>
      <c r="N1130" s="198" t="s">
        <v>2272</v>
      </c>
      <c r="O1130" s="198" t="s">
        <v>2272</v>
      </c>
      <c r="P1130" s="198" t="s">
        <v>2272</v>
      </c>
      <c r="Q1130" s="198" t="s">
        <v>2272</v>
      </c>
      <c r="R1130" s="198" t="s">
        <v>2272</v>
      </c>
      <c r="S1130" s="198" t="s">
        <v>2272</v>
      </c>
      <c r="T1130" s="4" t="s">
        <v>7623</v>
      </c>
    </row>
    <row r="1131" spans="1:20" ht="41.5" customHeight="1">
      <c r="A1131" s="19" t="s">
        <v>7280</v>
      </c>
      <c r="B1131" s="198" t="s">
        <v>2272</v>
      </c>
      <c r="C1131" s="198" t="s">
        <v>2641</v>
      </c>
      <c r="D1131" s="198" t="s">
        <v>3204</v>
      </c>
      <c r="E1131" s="198" t="s">
        <v>2272</v>
      </c>
      <c r="F1131" s="198" t="s">
        <v>2272</v>
      </c>
      <c r="G1131" s="198" t="s">
        <v>2272</v>
      </c>
      <c r="H1131" s="198" t="s">
        <v>2272</v>
      </c>
      <c r="I1131" s="198" t="s">
        <v>2272</v>
      </c>
      <c r="J1131" s="198" t="s">
        <v>2272</v>
      </c>
      <c r="K1131" s="198" t="s">
        <v>2272</v>
      </c>
      <c r="L1131" s="198" t="s">
        <v>2272</v>
      </c>
      <c r="M1131" s="198" t="s">
        <v>2272</v>
      </c>
      <c r="N1131" s="198" t="s">
        <v>2272</v>
      </c>
      <c r="O1131" s="198" t="s">
        <v>2272</v>
      </c>
      <c r="P1131" s="198" t="s">
        <v>2272</v>
      </c>
      <c r="Q1131" s="198" t="s">
        <v>2272</v>
      </c>
      <c r="R1131" s="198" t="s">
        <v>2272</v>
      </c>
      <c r="S1131" s="198" t="s">
        <v>2272</v>
      </c>
      <c r="T1131" s="4" t="s">
        <v>7623</v>
      </c>
    </row>
    <row r="1132" spans="1:20" ht="41.5" customHeight="1">
      <c r="A1132" s="19" t="s">
        <v>7281</v>
      </c>
      <c r="B1132" s="198" t="s">
        <v>2272</v>
      </c>
      <c r="C1132" s="198" t="s">
        <v>2641</v>
      </c>
      <c r="D1132" s="198" t="s">
        <v>3204</v>
      </c>
      <c r="E1132" s="198" t="s">
        <v>2272</v>
      </c>
      <c r="F1132" s="198" t="s">
        <v>2272</v>
      </c>
      <c r="G1132" s="198" t="s">
        <v>2272</v>
      </c>
      <c r="H1132" s="198" t="s">
        <v>2272</v>
      </c>
      <c r="I1132" s="198" t="s">
        <v>2272</v>
      </c>
      <c r="J1132" s="198" t="s">
        <v>2272</v>
      </c>
      <c r="K1132" s="198" t="s">
        <v>2272</v>
      </c>
      <c r="L1132" s="198" t="s">
        <v>2272</v>
      </c>
      <c r="M1132" s="198" t="s">
        <v>2272</v>
      </c>
      <c r="N1132" s="198" t="s">
        <v>2272</v>
      </c>
      <c r="O1132" s="198" t="s">
        <v>2272</v>
      </c>
      <c r="P1132" s="198" t="s">
        <v>2272</v>
      </c>
      <c r="Q1132" s="198" t="s">
        <v>2272</v>
      </c>
      <c r="R1132" s="198" t="s">
        <v>2272</v>
      </c>
      <c r="S1132" s="198" t="s">
        <v>2272</v>
      </c>
      <c r="T1132" s="4" t="s">
        <v>7623</v>
      </c>
    </row>
    <row r="1133" spans="1:20" ht="41.5" customHeight="1">
      <c r="A1133" s="19" t="s">
        <v>7282</v>
      </c>
      <c r="B1133" s="198" t="s">
        <v>2272</v>
      </c>
      <c r="C1133" s="198" t="s">
        <v>2272</v>
      </c>
      <c r="D1133" s="198" t="s">
        <v>3204</v>
      </c>
      <c r="E1133" s="198" t="s">
        <v>2272</v>
      </c>
      <c r="F1133" s="198" t="s">
        <v>2272</v>
      </c>
      <c r="G1133" s="198" t="s">
        <v>2272</v>
      </c>
      <c r="H1133" s="198" t="s">
        <v>2272</v>
      </c>
      <c r="I1133" s="198" t="s">
        <v>2272</v>
      </c>
      <c r="J1133" s="198" t="s">
        <v>2272</v>
      </c>
      <c r="K1133" s="198" t="s">
        <v>2272</v>
      </c>
      <c r="L1133" s="198" t="s">
        <v>2272</v>
      </c>
      <c r="M1133" s="198" t="s">
        <v>2272</v>
      </c>
      <c r="N1133" s="198" t="s">
        <v>2272</v>
      </c>
      <c r="O1133" s="198" t="s">
        <v>2272</v>
      </c>
      <c r="P1133" s="198" t="s">
        <v>2272</v>
      </c>
      <c r="Q1133" s="198" t="s">
        <v>2272</v>
      </c>
      <c r="R1133" s="198" t="s">
        <v>2272</v>
      </c>
      <c r="S1133" s="198" t="s">
        <v>2272</v>
      </c>
      <c r="T1133" s="4" t="s">
        <v>7623</v>
      </c>
    </row>
    <row r="1134" spans="1:20" ht="41.5" customHeight="1">
      <c r="A1134" s="19" t="s">
        <v>7368</v>
      </c>
      <c r="B1134" s="198" t="s">
        <v>2272</v>
      </c>
      <c r="C1134" s="198" t="s">
        <v>2272</v>
      </c>
      <c r="D1134" s="198" t="s">
        <v>3204</v>
      </c>
      <c r="E1134" s="198" t="s">
        <v>2272</v>
      </c>
      <c r="F1134" s="198" t="s">
        <v>2272</v>
      </c>
      <c r="G1134" s="198" t="s">
        <v>2272</v>
      </c>
      <c r="H1134" s="198" t="s">
        <v>2272</v>
      </c>
      <c r="I1134" s="198" t="s">
        <v>2272</v>
      </c>
      <c r="J1134" s="198" t="s">
        <v>2272</v>
      </c>
      <c r="K1134" s="198" t="s">
        <v>2272</v>
      </c>
      <c r="L1134" s="198" t="s">
        <v>2272</v>
      </c>
      <c r="M1134" s="198" t="s">
        <v>2272</v>
      </c>
      <c r="N1134" s="198" t="s">
        <v>2272</v>
      </c>
      <c r="O1134" s="198" t="s">
        <v>2272</v>
      </c>
      <c r="P1134" s="198" t="s">
        <v>2272</v>
      </c>
      <c r="Q1134" s="198" t="s">
        <v>2272</v>
      </c>
      <c r="R1134" s="198" t="s">
        <v>2272</v>
      </c>
      <c r="S1134" s="198" t="s">
        <v>2272</v>
      </c>
      <c r="T1134" s="4" t="s">
        <v>7623</v>
      </c>
    </row>
    <row r="1135" spans="1:20" ht="41.5" customHeight="1">
      <c r="A1135" s="19" t="s">
        <v>7369</v>
      </c>
      <c r="B1135" s="198" t="s">
        <v>2272</v>
      </c>
      <c r="C1135" s="198" t="s">
        <v>2272</v>
      </c>
      <c r="D1135" s="198" t="s">
        <v>3204</v>
      </c>
      <c r="E1135" s="198" t="s">
        <v>2272</v>
      </c>
      <c r="F1135" s="198" t="s">
        <v>2272</v>
      </c>
      <c r="G1135" s="198" t="s">
        <v>2272</v>
      </c>
      <c r="H1135" s="198" t="s">
        <v>2272</v>
      </c>
      <c r="I1135" s="198" t="s">
        <v>2272</v>
      </c>
      <c r="J1135" s="198" t="s">
        <v>2272</v>
      </c>
      <c r="K1135" s="198" t="s">
        <v>2272</v>
      </c>
      <c r="L1135" s="198" t="s">
        <v>2272</v>
      </c>
      <c r="M1135" s="198" t="s">
        <v>2272</v>
      </c>
      <c r="N1135" s="198" t="s">
        <v>2272</v>
      </c>
      <c r="O1135" s="198" t="s">
        <v>2272</v>
      </c>
      <c r="P1135" s="198" t="s">
        <v>2272</v>
      </c>
      <c r="Q1135" s="198" t="s">
        <v>2272</v>
      </c>
      <c r="R1135" s="198" t="s">
        <v>2272</v>
      </c>
      <c r="S1135" s="198" t="s">
        <v>2272</v>
      </c>
      <c r="T1135" s="4" t="s">
        <v>7623</v>
      </c>
    </row>
    <row r="1136" spans="1:20" ht="41.5" customHeight="1">
      <c r="A1136" s="19" t="s">
        <v>7370</v>
      </c>
      <c r="B1136" s="198" t="s">
        <v>2272</v>
      </c>
      <c r="C1136" s="198" t="s">
        <v>2272</v>
      </c>
      <c r="D1136" s="198" t="s">
        <v>3204</v>
      </c>
      <c r="E1136" s="198" t="s">
        <v>2272</v>
      </c>
      <c r="F1136" s="198" t="s">
        <v>2272</v>
      </c>
      <c r="G1136" s="198" t="s">
        <v>2272</v>
      </c>
      <c r="H1136" s="198" t="s">
        <v>2272</v>
      </c>
      <c r="I1136" s="198" t="s">
        <v>2272</v>
      </c>
      <c r="J1136" s="198" t="s">
        <v>2272</v>
      </c>
      <c r="K1136" s="198" t="s">
        <v>2272</v>
      </c>
      <c r="L1136" s="198" t="s">
        <v>2272</v>
      </c>
      <c r="M1136" s="198" t="s">
        <v>2272</v>
      </c>
      <c r="N1136" s="198" t="s">
        <v>2272</v>
      </c>
      <c r="O1136" s="198" t="s">
        <v>2272</v>
      </c>
      <c r="P1136" s="198" t="s">
        <v>2272</v>
      </c>
      <c r="Q1136" s="198" t="s">
        <v>2272</v>
      </c>
      <c r="R1136" s="198" t="s">
        <v>2272</v>
      </c>
      <c r="S1136" s="198" t="s">
        <v>2272</v>
      </c>
      <c r="T1136" s="4" t="s">
        <v>7623</v>
      </c>
    </row>
    <row r="1137" spans="1:20" ht="41.5" customHeight="1">
      <c r="A1137" s="19" t="s">
        <v>7371</v>
      </c>
      <c r="B1137" s="198" t="s">
        <v>2272</v>
      </c>
      <c r="C1137" s="198" t="s">
        <v>2272</v>
      </c>
      <c r="D1137" s="198" t="s">
        <v>3204</v>
      </c>
      <c r="E1137" s="198" t="s">
        <v>2272</v>
      </c>
      <c r="F1137" s="198" t="s">
        <v>2272</v>
      </c>
      <c r="G1137" s="198" t="s">
        <v>2272</v>
      </c>
      <c r="H1137" s="198" t="s">
        <v>2272</v>
      </c>
      <c r="I1137" s="198" t="s">
        <v>2272</v>
      </c>
      <c r="J1137" s="198" t="s">
        <v>2272</v>
      </c>
      <c r="K1137" s="198" t="s">
        <v>2272</v>
      </c>
      <c r="L1137" s="198" t="s">
        <v>2272</v>
      </c>
      <c r="M1137" s="198" t="s">
        <v>2272</v>
      </c>
      <c r="N1137" s="198" t="s">
        <v>2272</v>
      </c>
      <c r="O1137" s="198" t="s">
        <v>2272</v>
      </c>
      <c r="P1137" s="198" t="s">
        <v>2272</v>
      </c>
      <c r="Q1137" s="198" t="s">
        <v>2272</v>
      </c>
      <c r="R1137" s="198" t="s">
        <v>2272</v>
      </c>
      <c r="S1137" s="198" t="s">
        <v>2272</v>
      </c>
      <c r="T1137" s="4" t="s">
        <v>7623</v>
      </c>
    </row>
    <row r="1138" spans="1:20" ht="41.5" customHeight="1">
      <c r="A1138" s="19" t="s">
        <v>7372</v>
      </c>
      <c r="B1138" s="198" t="s">
        <v>2272</v>
      </c>
      <c r="C1138" s="198" t="s">
        <v>2272</v>
      </c>
      <c r="D1138" s="198" t="s">
        <v>3204</v>
      </c>
      <c r="E1138" s="198" t="s">
        <v>2272</v>
      </c>
      <c r="F1138" s="198" t="s">
        <v>2272</v>
      </c>
      <c r="G1138" s="198" t="s">
        <v>2272</v>
      </c>
      <c r="H1138" s="198" t="s">
        <v>2272</v>
      </c>
      <c r="I1138" s="198" t="s">
        <v>2272</v>
      </c>
      <c r="J1138" s="198" t="s">
        <v>2272</v>
      </c>
      <c r="K1138" s="198" t="s">
        <v>2272</v>
      </c>
      <c r="L1138" s="198" t="s">
        <v>2272</v>
      </c>
      <c r="M1138" s="198" t="s">
        <v>2272</v>
      </c>
      <c r="N1138" s="198" t="s">
        <v>2272</v>
      </c>
      <c r="O1138" s="198" t="s">
        <v>2272</v>
      </c>
      <c r="P1138" s="198" t="s">
        <v>2272</v>
      </c>
      <c r="Q1138" s="198" t="s">
        <v>2272</v>
      </c>
      <c r="R1138" s="198" t="s">
        <v>2272</v>
      </c>
      <c r="S1138" s="198" t="s">
        <v>2272</v>
      </c>
      <c r="T1138" s="4" t="s">
        <v>7623</v>
      </c>
    </row>
    <row r="1139" spans="1:20" ht="41.5" customHeight="1">
      <c r="A1139" s="19" t="s">
        <v>7373</v>
      </c>
      <c r="B1139" s="198" t="s">
        <v>2272</v>
      </c>
      <c r="C1139" s="198" t="s">
        <v>2272</v>
      </c>
      <c r="D1139" s="198" t="s">
        <v>3204</v>
      </c>
      <c r="E1139" s="198" t="s">
        <v>2272</v>
      </c>
      <c r="F1139" s="198" t="s">
        <v>2272</v>
      </c>
      <c r="G1139" s="198" t="s">
        <v>2272</v>
      </c>
      <c r="H1139" s="198" t="s">
        <v>2272</v>
      </c>
      <c r="I1139" s="198" t="s">
        <v>2272</v>
      </c>
      <c r="J1139" s="198" t="s">
        <v>2272</v>
      </c>
      <c r="K1139" s="198" t="s">
        <v>2272</v>
      </c>
      <c r="L1139" s="198" t="s">
        <v>2272</v>
      </c>
      <c r="M1139" s="198" t="s">
        <v>2272</v>
      </c>
      <c r="N1139" s="198" t="s">
        <v>2272</v>
      </c>
      <c r="O1139" s="198" t="s">
        <v>2272</v>
      </c>
      <c r="P1139" s="198" t="s">
        <v>2272</v>
      </c>
      <c r="Q1139" s="198" t="s">
        <v>2272</v>
      </c>
      <c r="R1139" s="198" t="s">
        <v>2272</v>
      </c>
      <c r="S1139" s="198" t="s">
        <v>2272</v>
      </c>
      <c r="T1139" s="4" t="s">
        <v>7623</v>
      </c>
    </row>
    <row r="1140" spans="1:20" ht="41.5" customHeight="1">
      <c r="A1140" s="19" t="s">
        <v>7374</v>
      </c>
      <c r="B1140" s="198" t="s">
        <v>2272</v>
      </c>
      <c r="C1140" s="198" t="s">
        <v>2272</v>
      </c>
      <c r="D1140" s="198" t="s">
        <v>3204</v>
      </c>
      <c r="E1140" s="198" t="s">
        <v>2272</v>
      </c>
      <c r="F1140" s="198" t="s">
        <v>2272</v>
      </c>
      <c r="G1140" s="198" t="s">
        <v>2272</v>
      </c>
      <c r="H1140" s="198" t="s">
        <v>2272</v>
      </c>
      <c r="I1140" s="198" t="s">
        <v>2272</v>
      </c>
      <c r="J1140" s="198" t="s">
        <v>2272</v>
      </c>
      <c r="K1140" s="198" t="s">
        <v>2272</v>
      </c>
      <c r="L1140" s="198" t="s">
        <v>2272</v>
      </c>
      <c r="M1140" s="198" t="s">
        <v>2272</v>
      </c>
      <c r="N1140" s="198" t="s">
        <v>2272</v>
      </c>
      <c r="O1140" s="198" t="s">
        <v>2272</v>
      </c>
      <c r="P1140" s="198" t="s">
        <v>2272</v>
      </c>
      <c r="Q1140" s="198" t="s">
        <v>2272</v>
      </c>
      <c r="R1140" s="198" t="s">
        <v>2272</v>
      </c>
      <c r="S1140" s="198" t="s">
        <v>2272</v>
      </c>
      <c r="T1140" s="4" t="s">
        <v>7623</v>
      </c>
    </row>
    <row r="1141" spans="1:20" ht="41.5" customHeight="1">
      <c r="A1141" s="19" t="s">
        <v>7375</v>
      </c>
      <c r="B1141" s="198" t="s">
        <v>2272</v>
      </c>
      <c r="C1141" s="198" t="s">
        <v>2272</v>
      </c>
      <c r="D1141" s="198" t="s">
        <v>3204</v>
      </c>
      <c r="E1141" s="198" t="s">
        <v>2272</v>
      </c>
      <c r="F1141" s="198" t="s">
        <v>2272</v>
      </c>
      <c r="G1141" s="198" t="s">
        <v>2272</v>
      </c>
      <c r="H1141" s="198" t="s">
        <v>2272</v>
      </c>
      <c r="I1141" s="198" t="s">
        <v>2272</v>
      </c>
      <c r="J1141" s="198" t="s">
        <v>2272</v>
      </c>
      <c r="K1141" s="198" t="s">
        <v>2272</v>
      </c>
      <c r="L1141" s="198" t="s">
        <v>2272</v>
      </c>
      <c r="M1141" s="198" t="s">
        <v>2272</v>
      </c>
      <c r="N1141" s="198" t="s">
        <v>2272</v>
      </c>
      <c r="O1141" s="198" t="s">
        <v>2272</v>
      </c>
      <c r="P1141" s="198" t="s">
        <v>2272</v>
      </c>
      <c r="Q1141" s="198" t="s">
        <v>2272</v>
      </c>
      <c r="R1141" s="198" t="s">
        <v>2272</v>
      </c>
      <c r="S1141" s="198" t="s">
        <v>2272</v>
      </c>
      <c r="T1141" s="4" t="s">
        <v>7623</v>
      </c>
    </row>
    <row r="1142" spans="1:20" ht="41.5" customHeight="1">
      <c r="A1142" s="19" t="s">
        <v>7376</v>
      </c>
      <c r="B1142" s="198" t="s">
        <v>2272</v>
      </c>
      <c r="C1142" s="198" t="s">
        <v>2272</v>
      </c>
      <c r="D1142" s="198" t="s">
        <v>3204</v>
      </c>
      <c r="E1142" s="198" t="s">
        <v>2272</v>
      </c>
      <c r="F1142" s="198" t="s">
        <v>2272</v>
      </c>
      <c r="G1142" s="198" t="s">
        <v>2272</v>
      </c>
      <c r="H1142" s="198" t="s">
        <v>2272</v>
      </c>
      <c r="I1142" s="198" t="s">
        <v>2272</v>
      </c>
      <c r="J1142" s="198" t="s">
        <v>2272</v>
      </c>
      <c r="K1142" s="198" t="s">
        <v>2272</v>
      </c>
      <c r="L1142" s="198" t="s">
        <v>2272</v>
      </c>
      <c r="M1142" s="198" t="s">
        <v>2272</v>
      </c>
      <c r="N1142" s="198" t="s">
        <v>2272</v>
      </c>
      <c r="O1142" s="198" t="s">
        <v>2272</v>
      </c>
      <c r="P1142" s="198" t="s">
        <v>2272</v>
      </c>
      <c r="Q1142" s="198" t="s">
        <v>2272</v>
      </c>
      <c r="R1142" s="198" t="s">
        <v>2272</v>
      </c>
      <c r="S1142" s="198" t="s">
        <v>2272</v>
      </c>
      <c r="T1142" s="4" t="s">
        <v>7623</v>
      </c>
    </row>
    <row r="1143" spans="1:20" ht="41.5" customHeight="1">
      <c r="A1143" s="19" t="s">
        <v>7377</v>
      </c>
      <c r="B1143" s="198" t="s">
        <v>2272</v>
      </c>
      <c r="C1143" s="198" t="s">
        <v>2272</v>
      </c>
      <c r="D1143" s="198" t="s">
        <v>3204</v>
      </c>
      <c r="E1143" s="198" t="s">
        <v>2272</v>
      </c>
      <c r="F1143" s="198" t="s">
        <v>2272</v>
      </c>
      <c r="G1143" s="198" t="s">
        <v>2272</v>
      </c>
      <c r="H1143" s="198" t="s">
        <v>2272</v>
      </c>
      <c r="I1143" s="198" t="s">
        <v>2272</v>
      </c>
      <c r="J1143" s="198" t="s">
        <v>2272</v>
      </c>
      <c r="K1143" s="198" t="s">
        <v>2272</v>
      </c>
      <c r="L1143" s="198" t="s">
        <v>2272</v>
      </c>
      <c r="M1143" s="198" t="s">
        <v>2272</v>
      </c>
      <c r="N1143" s="198" t="s">
        <v>2272</v>
      </c>
      <c r="O1143" s="198" t="s">
        <v>2272</v>
      </c>
      <c r="P1143" s="198" t="s">
        <v>2272</v>
      </c>
      <c r="Q1143" s="198" t="s">
        <v>2272</v>
      </c>
      <c r="R1143" s="198" t="s">
        <v>2272</v>
      </c>
      <c r="S1143" s="198" t="s">
        <v>2272</v>
      </c>
      <c r="T1143" s="4" t="s">
        <v>7623</v>
      </c>
    </row>
    <row r="1144" spans="1:20" ht="41.5" customHeight="1">
      <c r="A1144" s="19" t="s">
        <v>7378</v>
      </c>
      <c r="B1144" s="198" t="s">
        <v>2272</v>
      </c>
      <c r="C1144" s="198" t="s">
        <v>2272</v>
      </c>
      <c r="D1144" s="198" t="s">
        <v>3204</v>
      </c>
      <c r="E1144" s="198" t="s">
        <v>2272</v>
      </c>
      <c r="F1144" s="198" t="s">
        <v>2272</v>
      </c>
      <c r="G1144" s="198" t="s">
        <v>2272</v>
      </c>
      <c r="H1144" s="198" t="s">
        <v>2272</v>
      </c>
      <c r="I1144" s="198" t="s">
        <v>2272</v>
      </c>
      <c r="J1144" s="198" t="s">
        <v>2272</v>
      </c>
      <c r="K1144" s="198" t="s">
        <v>2272</v>
      </c>
      <c r="L1144" s="198" t="s">
        <v>2272</v>
      </c>
      <c r="M1144" s="198" t="s">
        <v>2272</v>
      </c>
      <c r="N1144" s="198" t="s">
        <v>2272</v>
      </c>
      <c r="O1144" s="198" t="s">
        <v>2272</v>
      </c>
      <c r="P1144" s="198" t="s">
        <v>2272</v>
      </c>
      <c r="Q1144" s="198" t="s">
        <v>2272</v>
      </c>
      <c r="R1144" s="198" t="s">
        <v>2272</v>
      </c>
      <c r="S1144" s="198" t="s">
        <v>2272</v>
      </c>
      <c r="T1144" s="4" t="s">
        <v>7623</v>
      </c>
    </row>
    <row r="1145" spans="1:20" ht="41.5" customHeight="1">
      <c r="A1145" s="19" t="s">
        <v>7379</v>
      </c>
      <c r="B1145" s="198" t="s">
        <v>2272</v>
      </c>
      <c r="C1145" s="198" t="s">
        <v>2272</v>
      </c>
      <c r="D1145" s="198" t="s">
        <v>3204</v>
      </c>
      <c r="E1145" s="198" t="s">
        <v>2272</v>
      </c>
      <c r="F1145" s="198" t="s">
        <v>2272</v>
      </c>
      <c r="G1145" s="198" t="s">
        <v>2272</v>
      </c>
      <c r="H1145" s="198" t="s">
        <v>2272</v>
      </c>
      <c r="I1145" s="198" t="s">
        <v>2272</v>
      </c>
      <c r="J1145" s="198" t="s">
        <v>2272</v>
      </c>
      <c r="K1145" s="198" t="s">
        <v>2272</v>
      </c>
      <c r="L1145" s="198" t="s">
        <v>2272</v>
      </c>
      <c r="M1145" s="198" t="s">
        <v>2272</v>
      </c>
      <c r="N1145" s="198" t="s">
        <v>2272</v>
      </c>
      <c r="O1145" s="198" t="s">
        <v>2272</v>
      </c>
      <c r="P1145" s="198" t="s">
        <v>2272</v>
      </c>
      <c r="Q1145" s="198" t="s">
        <v>2272</v>
      </c>
      <c r="R1145" s="198" t="s">
        <v>2272</v>
      </c>
      <c r="S1145" s="198" t="s">
        <v>2272</v>
      </c>
      <c r="T1145" s="4" t="s">
        <v>7623</v>
      </c>
    </row>
    <row r="1146" spans="1:20" ht="41.5" customHeight="1">
      <c r="A1146" s="19" t="s">
        <v>7380</v>
      </c>
      <c r="B1146" s="198" t="s">
        <v>2272</v>
      </c>
      <c r="C1146" s="198" t="s">
        <v>2272</v>
      </c>
      <c r="D1146" s="198" t="s">
        <v>3204</v>
      </c>
      <c r="E1146" s="198" t="s">
        <v>2272</v>
      </c>
      <c r="F1146" s="198" t="s">
        <v>2272</v>
      </c>
      <c r="G1146" s="198" t="s">
        <v>2272</v>
      </c>
      <c r="H1146" s="198" t="s">
        <v>2272</v>
      </c>
      <c r="I1146" s="198" t="s">
        <v>2272</v>
      </c>
      <c r="J1146" s="198" t="s">
        <v>2272</v>
      </c>
      <c r="K1146" s="198" t="s">
        <v>2272</v>
      </c>
      <c r="L1146" s="198" t="s">
        <v>2272</v>
      </c>
      <c r="M1146" s="198" t="s">
        <v>2272</v>
      </c>
      <c r="N1146" s="198" t="s">
        <v>2272</v>
      </c>
      <c r="O1146" s="198" t="s">
        <v>2272</v>
      </c>
      <c r="P1146" s="198" t="s">
        <v>2272</v>
      </c>
      <c r="Q1146" s="198" t="s">
        <v>2272</v>
      </c>
      <c r="R1146" s="198" t="s">
        <v>2272</v>
      </c>
      <c r="S1146" s="198" t="s">
        <v>2272</v>
      </c>
      <c r="T1146" s="4" t="s">
        <v>7623</v>
      </c>
    </row>
    <row r="1147" spans="1:20" ht="41.5" customHeight="1">
      <c r="A1147" s="19" t="s">
        <v>7381</v>
      </c>
      <c r="B1147" s="198" t="s">
        <v>2272</v>
      </c>
      <c r="C1147" s="198" t="s">
        <v>2272</v>
      </c>
      <c r="D1147" s="198" t="s">
        <v>3204</v>
      </c>
      <c r="E1147" s="198" t="s">
        <v>2272</v>
      </c>
      <c r="F1147" s="198" t="s">
        <v>2272</v>
      </c>
      <c r="G1147" s="198" t="s">
        <v>2272</v>
      </c>
      <c r="H1147" s="198" t="s">
        <v>2272</v>
      </c>
      <c r="I1147" s="198" t="s">
        <v>2272</v>
      </c>
      <c r="J1147" s="198" t="s">
        <v>2272</v>
      </c>
      <c r="K1147" s="198" t="s">
        <v>2272</v>
      </c>
      <c r="L1147" s="198" t="s">
        <v>2272</v>
      </c>
      <c r="M1147" s="198" t="s">
        <v>2272</v>
      </c>
      <c r="N1147" s="198" t="s">
        <v>2272</v>
      </c>
      <c r="O1147" s="198" t="s">
        <v>2272</v>
      </c>
      <c r="P1147" s="198" t="s">
        <v>2272</v>
      </c>
      <c r="Q1147" s="198" t="s">
        <v>2272</v>
      </c>
      <c r="R1147" s="198" t="s">
        <v>2272</v>
      </c>
      <c r="S1147" s="198" t="s">
        <v>2272</v>
      </c>
      <c r="T1147" s="4" t="s">
        <v>7623</v>
      </c>
    </row>
    <row r="1148" spans="1:20" ht="41.5" customHeight="1">
      <c r="A1148" s="19" t="s">
        <v>7382</v>
      </c>
      <c r="B1148" s="198" t="s">
        <v>2272</v>
      </c>
      <c r="C1148" s="198" t="s">
        <v>2272</v>
      </c>
      <c r="D1148" s="198" t="s">
        <v>3204</v>
      </c>
      <c r="E1148" s="198" t="s">
        <v>2272</v>
      </c>
      <c r="F1148" s="198" t="s">
        <v>2272</v>
      </c>
      <c r="G1148" s="198" t="s">
        <v>2272</v>
      </c>
      <c r="H1148" s="198" t="s">
        <v>2272</v>
      </c>
      <c r="I1148" s="198" t="s">
        <v>2272</v>
      </c>
      <c r="J1148" s="198" t="s">
        <v>2272</v>
      </c>
      <c r="K1148" s="198" t="s">
        <v>2272</v>
      </c>
      <c r="L1148" s="198" t="s">
        <v>2272</v>
      </c>
      <c r="M1148" s="198" t="s">
        <v>2272</v>
      </c>
      <c r="N1148" s="198" t="s">
        <v>2272</v>
      </c>
      <c r="O1148" s="198" t="s">
        <v>2272</v>
      </c>
      <c r="P1148" s="198" t="s">
        <v>2272</v>
      </c>
      <c r="Q1148" s="198" t="s">
        <v>2272</v>
      </c>
      <c r="R1148" s="198" t="s">
        <v>2272</v>
      </c>
      <c r="S1148" s="198" t="s">
        <v>2272</v>
      </c>
      <c r="T1148" s="4" t="s">
        <v>7623</v>
      </c>
    </row>
    <row r="1149" spans="1:20" ht="41.5" customHeight="1">
      <c r="A1149" s="19" t="s">
        <v>7383</v>
      </c>
      <c r="B1149" s="198" t="s">
        <v>2272</v>
      </c>
      <c r="C1149" s="198" t="s">
        <v>2272</v>
      </c>
      <c r="D1149" s="198" t="s">
        <v>3204</v>
      </c>
      <c r="E1149" s="198" t="s">
        <v>2272</v>
      </c>
      <c r="F1149" s="198" t="s">
        <v>2272</v>
      </c>
      <c r="G1149" s="198" t="s">
        <v>2272</v>
      </c>
      <c r="H1149" s="198" t="s">
        <v>2272</v>
      </c>
      <c r="I1149" s="198" t="s">
        <v>2272</v>
      </c>
      <c r="J1149" s="198" t="s">
        <v>2272</v>
      </c>
      <c r="K1149" s="198" t="s">
        <v>2272</v>
      </c>
      <c r="L1149" s="198" t="s">
        <v>2272</v>
      </c>
      <c r="M1149" s="198" t="s">
        <v>2272</v>
      </c>
      <c r="N1149" s="198" t="s">
        <v>2272</v>
      </c>
      <c r="O1149" s="198" t="s">
        <v>2272</v>
      </c>
      <c r="P1149" s="198" t="s">
        <v>2272</v>
      </c>
      <c r="Q1149" s="198" t="s">
        <v>2272</v>
      </c>
      <c r="R1149" s="198" t="s">
        <v>2272</v>
      </c>
      <c r="S1149" s="198" t="s">
        <v>2272</v>
      </c>
      <c r="T1149" s="4" t="s">
        <v>7623</v>
      </c>
    </row>
    <row r="1150" spans="1:20" ht="41.5" customHeight="1">
      <c r="A1150" s="19" t="s">
        <v>7384</v>
      </c>
      <c r="B1150" s="198" t="s">
        <v>2272</v>
      </c>
      <c r="C1150" s="198" t="s">
        <v>2272</v>
      </c>
      <c r="D1150" s="198" t="s">
        <v>3204</v>
      </c>
      <c r="E1150" s="198" t="s">
        <v>2272</v>
      </c>
      <c r="F1150" s="198" t="s">
        <v>2272</v>
      </c>
      <c r="G1150" s="198" t="s">
        <v>2272</v>
      </c>
      <c r="H1150" s="198" t="s">
        <v>2272</v>
      </c>
      <c r="I1150" s="198" t="s">
        <v>2272</v>
      </c>
      <c r="J1150" s="198" t="s">
        <v>2272</v>
      </c>
      <c r="K1150" s="198" t="s">
        <v>2272</v>
      </c>
      <c r="L1150" s="198" t="s">
        <v>2272</v>
      </c>
      <c r="M1150" s="198" t="s">
        <v>2272</v>
      </c>
      <c r="N1150" s="198" t="s">
        <v>2272</v>
      </c>
      <c r="O1150" s="198" t="s">
        <v>2272</v>
      </c>
      <c r="P1150" s="198" t="s">
        <v>2272</v>
      </c>
      <c r="Q1150" s="198" t="s">
        <v>2272</v>
      </c>
      <c r="R1150" s="198" t="s">
        <v>2272</v>
      </c>
      <c r="S1150" s="198" t="s">
        <v>2272</v>
      </c>
      <c r="T1150" s="4" t="s">
        <v>7623</v>
      </c>
    </row>
    <row r="1151" spans="1:20" ht="41.5" customHeight="1">
      <c r="A1151" s="19" t="s">
        <v>7583</v>
      </c>
      <c r="B1151" s="198" t="s">
        <v>2272</v>
      </c>
      <c r="C1151" s="198" t="s">
        <v>2272</v>
      </c>
      <c r="D1151" s="198" t="s">
        <v>3204</v>
      </c>
      <c r="E1151" s="198" t="s">
        <v>2272</v>
      </c>
      <c r="F1151" s="198" t="s">
        <v>2272</v>
      </c>
      <c r="G1151" s="198" t="s">
        <v>2272</v>
      </c>
      <c r="H1151" s="198" t="s">
        <v>2272</v>
      </c>
      <c r="I1151" s="198" t="s">
        <v>2272</v>
      </c>
      <c r="J1151" s="198" t="s">
        <v>2272</v>
      </c>
      <c r="K1151" s="198" t="s">
        <v>2272</v>
      </c>
      <c r="L1151" s="198" t="s">
        <v>2272</v>
      </c>
      <c r="M1151" s="198" t="s">
        <v>2272</v>
      </c>
      <c r="N1151" s="198" t="s">
        <v>2272</v>
      </c>
      <c r="O1151" s="198" t="s">
        <v>2272</v>
      </c>
      <c r="P1151" s="198" t="s">
        <v>2272</v>
      </c>
      <c r="Q1151" s="198" t="s">
        <v>2272</v>
      </c>
      <c r="R1151" s="198" t="s">
        <v>2272</v>
      </c>
      <c r="S1151" s="198" t="s">
        <v>2272</v>
      </c>
      <c r="T1151" s="4" t="s">
        <v>7623</v>
      </c>
    </row>
    <row r="1152" spans="1:20" ht="41.5" customHeight="1">
      <c r="A1152" s="19" t="s">
        <v>7605</v>
      </c>
      <c r="B1152" s="198" t="s">
        <v>2272</v>
      </c>
      <c r="C1152" s="198" t="s">
        <v>2272</v>
      </c>
      <c r="D1152" s="198" t="s">
        <v>3204</v>
      </c>
      <c r="E1152" s="198" t="s">
        <v>2272</v>
      </c>
      <c r="F1152" s="198" t="s">
        <v>2272</v>
      </c>
      <c r="G1152" s="198" t="s">
        <v>2272</v>
      </c>
      <c r="H1152" s="198" t="s">
        <v>2272</v>
      </c>
      <c r="I1152" s="198" t="s">
        <v>2272</v>
      </c>
      <c r="J1152" s="198" t="s">
        <v>2272</v>
      </c>
      <c r="K1152" s="198" t="s">
        <v>2272</v>
      </c>
      <c r="L1152" s="198" t="s">
        <v>2272</v>
      </c>
      <c r="M1152" s="198" t="s">
        <v>2272</v>
      </c>
      <c r="N1152" s="198" t="s">
        <v>2272</v>
      </c>
      <c r="O1152" s="198" t="s">
        <v>2272</v>
      </c>
      <c r="P1152" s="198" t="s">
        <v>2272</v>
      </c>
      <c r="Q1152" s="198" t="s">
        <v>2272</v>
      </c>
      <c r="R1152" s="198" t="s">
        <v>2272</v>
      </c>
      <c r="S1152" s="198" t="s">
        <v>2272</v>
      </c>
      <c r="T1152" s="4" t="s">
        <v>7623</v>
      </c>
    </row>
    <row r="1153" spans="1:20" ht="41.5" customHeight="1">
      <c r="A1153" s="19" t="s">
        <v>7608</v>
      </c>
      <c r="B1153" s="198" t="s">
        <v>2272</v>
      </c>
      <c r="C1153" s="198" t="s">
        <v>2272</v>
      </c>
      <c r="D1153" s="198" t="s">
        <v>3204</v>
      </c>
      <c r="E1153" s="198" t="s">
        <v>2272</v>
      </c>
      <c r="F1153" s="198" t="s">
        <v>2272</v>
      </c>
      <c r="G1153" s="198" t="s">
        <v>2272</v>
      </c>
      <c r="H1153" s="198" t="s">
        <v>2272</v>
      </c>
      <c r="I1153" s="198" t="s">
        <v>2272</v>
      </c>
      <c r="J1153" s="198" t="s">
        <v>2272</v>
      </c>
      <c r="K1153" s="198" t="s">
        <v>2272</v>
      </c>
      <c r="L1153" s="198" t="s">
        <v>2272</v>
      </c>
      <c r="M1153" s="198" t="s">
        <v>2272</v>
      </c>
      <c r="N1153" s="198" t="s">
        <v>2272</v>
      </c>
      <c r="O1153" s="198" t="s">
        <v>2272</v>
      </c>
      <c r="P1153" s="198" t="s">
        <v>2272</v>
      </c>
      <c r="Q1153" s="198" t="s">
        <v>2272</v>
      </c>
      <c r="R1153" s="198" t="s">
        <v>2272</v>
      </c>
      <c r="S1153" s="198" t="s">
        <v>2272</v>
      </c>
      <c r="T1153" s="4" t="s">
        <v>7623</v>
      </c>
    </row>
    <row r="1154" spans="1:20" ht="41.5" customHeight="1">
      <c r="A1154" s="19" t="s">
        <v>7609</v>
      </c>
      <c r="B1154" s="198" t="s">
        <v>2272</v>
      </c>
      <c r="C1154" s="198" t="s">
        <v>2272</v>
      </c>
      <c r="D1154" s="198" t="s">
        <v>3204</v>
      </c>
      <c r="E1154" s="198" t="s">
        <v>2272</v>
      </c>
      <c r="F1154" s="198" t="s">
        <v>2272</v>
      </c>
      <c r="G1154" s="198" t="s">
        <v>2272</v>
      </c>
      <c r="H1154" s="198" t="s">
        <v>2272</v>
      </c>
      <c r="I1154" s="198" t="s">
        <v>2272</v>
      </c>
      <c r="J1154" s="198" t="s">
        <v>2272</v>
      </c>
      <c r="K1154" s="198" t="s">
        <v>2272</v>
      </c>
      <c r="L1154" s="198" t="s">
        <v>2272</v>
      </c>
      <c r="M1154" s="198" t="s">
        <v>2272</v>
      </c>
      <c r="N1154" s="198" t="s">
        <v>2272</v>
      </c>
      <c r="O1154" s="198" t="s">
        <v>2272</v>
      </c>
      <c r="P1154" s="198" t="s">
        <v>2272</v>
      </c>
      <c r="Q1154" s="198" t="s">
        <v>2272</v>
      </c>
      <c r="R1154" s="198" t="s">
        <v>2272</v>
      </c>
      <c r="S1154" s="198" t="s">
        <v>2272</v>
      </c>
      <c r="T1154" s="4" t="s">
        <v>7623</v>
      </c>
    </row>
    <row r="1155" spans="1:20" ht="37" customHeight="1">
      <c r="A1155" s="52" t="s">
        <v>7632</v>
      </c>
      <c r="B1155" s="4" t="s">
        <v>1193</v>
      </c>
      <c r="C1155" s="198" t="s">
        <v>2640</v>
      </c>
      <c r="D1155" s="160" t="s">
        <v>3204</v>
      </c>
      <c r="E1155" s="198" t="s">
        <v>2272</v>
      </c>
      <c r="F1155" s="198" t="s">
        <v>2272</v>
      </c>
      <c r="G1155" s="198" t="s">
        <v>2272</v>
      </c>
      <c r="H1155" s="198" t="s">
        <v>2272</v>
      </c>
      <c r="I1155" s="198" t="s">
        <v>2272</v>
      </c>
      <c r="J1155" s="198" t="s">
        <v>2272</v>
      </c>
      <c r="K1155" s="4" t="s">
        <v>532</v>
      </c>
      <c r="L1155" s="198" t="s">
        <v>2272</v>
      </c>
      <c r="M1155" s="198" t="s">
        <v>2272</v>
      </c>
      <c r="N1155" s="198" t="s">
        <v>2272</v>
      </c>
      <c r="O1155" s="198" t="s">
        <v>2272</v>
      </c>
      <c r="P1155" s="198" t="s">
        <v>2272</v>
      </c>
      <c r="Q1155" s="198" t="s">
        <v>2272</v>
      </c>
      <c r="R1155" s="198" t="s">
        <v>2272</v>
      </c>
      <c r="S1155" s="198" t="s">
        <v>2272</v>
      </c>
      <c r="T1155" s="4" t="s">
        <v>7767</v>
      </c>
    </row>
    <row r="1156" spans="1:20" ht="37" customHeight="1">
      <c r="A1156" s="19" t="s">
        <v>7633</v>
      </c>
      <c r="B1156" s="4" t="s">
        <v>1193</v>
      </c>
      <c r="C1156" s="198" t="s">
        <v>2640</v>
      </c>
      <c r="D1156" s="160" t="s">
        <v>3204</v>
      </c>
      <c r="E1156" s="198" t="s">
        <v>2272</v>
      </c>
      <c r="F1156" s="198" t="s">
        <v>2272</v>
      </c>
      <c r="G1156" s="198" t="s">
        <v>2272</v>
      </c>
      <c r="H1156" s="198" t="s">
        <v>2272</v>
      </c>
      <c r="I1156" s="198" t="s">
        <v>2272</v>
      </c>
      <c r="J1156" s="198" t="s">
        <v>2272</v>
      </c>
      <c r="K1156" s="198" t="s">
        <v>2272</v>
      </c>
      <c r="L1156" s="198" t="s">
        <v>2272</v>
      </c>
      <c r="M1156" s="198" t="s">
        <v>2272</v>
      </c>
      <c r="N1156" s="198" t="s">
        <v>2272</v>
      </c>
      <c r="O1156" s="198" t="s">
        <v>2272</v>
      </c>
      <c r="P1156" s="198" t="s">
        <v>2272</v>
      </c>
      <c r="Q1156" s="198" t="s">
        <v>2272</v>
      </c>
      <c r="R1156" s="198" t="s">
        <v>2272</v>
      </c>
      <c r="S1156" s="198" t="s">
        <v>2272</v>
      </c>
      <c r="T1156" s="198" t="s">
        <v>7765</v>
      </c>
    </row>
    <row r="1157" spans="1:20" ht="37" customHeight="1">
      <c r="A1157" s="19" t="s">
        <v>7634</v>
      </c>
      <c r="B1157" s="4" t="s">
        <v>1193</v>
      </c>
      <c r="C1157" s="198" t="s">
        <v>2640</v>
      </c>
      <c r="D1157" s="160" t="s">
        <v>3204</v>
      </c>
      <c r="E1157" s="198" t="s">
        <v>2272</v>
      </c>
      <c r="F1157" s="198" t="s">
        <v>2272</v>
      </c>
      <c r="G1157" s="198" t="s">
        <v>2272</v>
      </c>
      <c r="H1157" s="198" t="s">
        <v>2272</v>
      </c>
      <c r="I1157" s="198" t="s">
        <v>2272</v>
      </c>
      <c r="J1157" s="198" t="s">
        <v>2272</v>
      </c>
      <c r="K1157" s="198" t="s">
        <v>2272</v>
      </c>
      <c r="L1157" s="198" t="s">
        <v>2272</v>
      </c>
      <c r="M1157" s="198" t="s">
        <v>2272</v>
      </c>
      <c r="N1157" s="198" t="s">
        <v>2272</v>
      </c>
      <c r="O1157" s="198" t="s">
        <v>2272</v>
      </c>
      <c r="P1157" s="198" t="s">
        <v>2272</v>
      </c>
      <c r="Q1157" s="198" t="s">
        <v>2272</v>
      </c>
      <c r="R1157" s="198" t="s">
        <v>2272</v>
      </c>
      <c r="S1157" s="198" t="s">
        <v>2272</v>
      </c>
      <c r="T1157" s="198" t="s">
        <v>7765</v>
      </c>
    </row>
    <row r="1158" spans="1:20" ht="37" customHeight="1">
      <c r="A1158" s="19" t="s">
        <v>7635</v>
      </c>
      <c r="B1158" s="4" t="s">
        <v>1193</v>
      </c>
      <c r="C1158" s="198" t="s">
        <v>2640</v>
      </c>
      <c r="D1158" s="160" t="s">
        <v>3204</v>
      </c>
      <c r="E1158" s="198" t="s">
        <v>2272</v>
      </c>
      <c r="F1158" s="198" t="s">
        <v>2272</v>
      </c>
      <c r="G1158" s="198" t="s">
        <v>2272</v>
      </c>
      <c r="H1158" s="198" t="s">
        <v>2272</v>
      </c>
      <c r="I1158" s="198" t="s">
        <v>2272</v>
      </c>
      <c r="J1158" s="198" t="s">
        <v>2272</v>
      </c>
      <c r="K1158" s="198" t="s">
        <v>2272</v>
      </c>
      <c r="L1158" s="198" t="s">
        <v>2272</v>
      </c>
      <c r="M1158" s="198" t="s">
        <v>2272</v>
      </c>
      <c r="N1158" s="198" t="s">
        <v>2272</v>
      </c>
      <c r="O1158" s="198" t="s">
        <v>2272</v>
      </c>
      <c r="P1158" s="198" t="s">
        <v>2272</v>
      </c>
      <c r="Q1158" s="198" t="s">
        <v>2272</v>
      </c>
      <c r="R1158" s="198" t="s">
        <v>2272</v>
      </c>
      <c r="S1158" s="198" t="s">
        <v>2272</v>
      </c>
      <c r="T1158" s="198" t="s">
        <v>7765</v>
      </c>
    </row>
    <row r="1159" spans="1:20" ht="37" customHeight="1">
      <c r="A1159" s="19" t="s">
        <v>7636</v>
      </c>
      <c r="B1159" s="4" t="s">
        <v>1193</v>
      </c>
      <c r="C1159" s="198" t="s">
        <v>2640</v>
      </c>
      <c r="D1159" s="160" t="s">
        <v>3204</v>
      </c>
      <c r="E1159" s="198" t="s">
        <v>2272</v>
      </c>
      <c r="F1159" s="198" t="s">
        <v>2272</v>
      </c>
      <c r="G1159" s="198" t="s">
        <v>2272</v>
      </c>
      <c r="H1159" s="198" t="s">
        <v>2272</v>
      </c>
      <c r="I1159" s="198" t="s">
        <v>2272</v>
      </c>
      <c r="J1159" s="198" t="s">
        <v>2272</v>
      </c>
      <c r="K1159" s="198" t="s">
        <v>2272</v>
      </c>
      <c r="L1159" s="198" t="s">
        <v>2272</v>
      </c>
      <c r="M1159" s="198" t="s">
        <v>2272</v>
      </c>
      <c r="N1159" s="198" t="s">
        <v>2272</v>
      </c>
      <c r="O1159" s="198" t="s">
        <v>2272</v>
      </c>
      <c r="P1159" s="198" t="s">
        <v>2272</v>
      </c>
      <c r="Q1159" s="198" t="s">
        <v>2272</v>
      </c>
      <c r="R1159" s="198" t="s">
        <v>2272</v>
      </c>
      <c r="S1159" s="198" t="s">
        <v>2272</v>
      </c>
      <c r="T1159" s="198" t="s">
        <v>7765</v>
      </c>
    </row>
    <row r="1160" spans="1:20" ht="37" customHeight="1">
      <c r="A1160" s="19" t="s">
        <v>7637</v>
      </c>
      <c r="B1160" s="4" t="s">
        <v>1193</v>
      </c>
      <c r="C1160" s="198" t="s">
        <v>2640</v>
      </c>
      <c r="D1160" s="160" t="s">
        <v>3204</v>
      </c>
      <c r="E1160" s="198" t="s">
        <v>2272</v>
      </c>
      <c r="F1160" s="198" t="s">
        <v>2272</v>
      </c>
      <c r="G1160" s="198" t="s">
        <v>2272</v>
      </c>
      <c r="H1160" s="198" t="s">
        <v>2272</v>
      </c>
      <c r="I1160" s="198" t="s">
        <v>2272</v>
      </c>
      <c r="J1160" s="198" t="s">
        <v>2272</v>
      </c>
      <c r="K1160" s="198" t="s">
        <v>2272</v>
      </c>
      <c r="L1160" s="198" t="s">
        <v>2272</v>
      </c>
      <c r="M1160" s="198" t="s">
        <v>2272</v>
      </c>
      <c r="N1160" s="198" t="s">
        <v>2272</v>
      </c>
      <c r="O1160" s="198" t="s">
        <v>2272</v>
      </c>
      <c r="P1160" s="198" t="s">
        <v>2272</v>
      </c>
      <c r="Q1160" s="198" t="s">
        <v>2272</v>
      </c>
      <c r="R1160" s="198" t="s">
        <v>2272</v>
      </c>
      <c r="S1160" s="198" t="s">
        <v>2272</v>
      </c>
      <c r="T1160" s="198" t="s">
        <v>7765</v>
      </c>
    </row>
    <row r="1161" spans="1:20" ht="37" customHeight="1">
      <c r="A1161" s="19" t="s">
        <v>7638</v>
      </c>
      <c r="B1161" s="4" t="s">
        <v>1193</v>
      </c>
      <c r="C1161" s="198" t="s">
        <v>2640</v>
      </c>
      <c r="D1161" s="160" t="s">
        <v>3204</v>
      </c>
      <c r="E1161" s="198" t="s">
        <v>2272</v>
      </c>
      <c r="F1161" s="198" t="s">
        <v>2272</v>
      </c>
      <c r="G1161" s="198" t="s">
        <v>2272</v>
      </c>
      <c r="H1161" s="198" t="s">
        <v>2272</v>
      </c>
      <c r="I1161" s="198" t="s">
        <v>2272</v>
      </c>
      <c r="J1161" s="198" t="s">
        <v>2272</v>
      </c>
      <c r="K1161" s="198" t="s">
        <v>2272</v>
      </c>
      <c r="L1161" s="198" t="s">
        <v>2272</v>
      </c>
      <c r="M1161" s="198" t="s">
        <v>2272</v>
      </c>
      <c r="N1161" s="198" t="s">
        <v>2272</v>
      </c>
      <c r="O1161" s="198" t="s">
        <v>2272</v>
      </c>
      <c r="P1161" s="198" t="s">
        <v>2272</v>
      </c>
      <c r="Q1161" s="198" t="s">
        <v>2272</v>
      </c>
      <c r="R1161" s="198" t="s">
        <v>2272</v>
      </c>
      <c r="S1161" s="198" t="s">
        <v>2272</v>
      </c>
      <c r="T1161" s="198" t="s">
        <v>7765</v>
      </c>
    </row>
    <row r="1162" spans="1:20" ht="37" customHeight="1">
      <c r="A1162" s="19" t="s">
        <v>7639</v>
      </c>
      <c r="B1162" s="4" t="s">
        <v>1193</v>
      </c>
      <c r="C1162" s="198" t="s">
        <v>2640</v>
      </c>
      <c r="D1162" s="160" t="s">
        <v>3204</v>
      </c>
      <c r="E1162" s="198" t="s">
        <v>2272</v>
      </c>
      <c r="F1162" s="198" t="s">
        <v>2272</v>
      </c>
      <c r="G1162" s="198" t="s">
        <v>2272</v>
      </c>
      <c r="H1162" s="198" t="s">
        <v>2272</v>
      </c>
      <c r="I1162" s="198" t="s">
        <v>2272</v>
      </c>
      <c r="J1162" s="198" t="s">
        <v>2272</v>
      </c>
      <c r="K1162" s="198" t="s">
        <v>2272</v>
      </c>
      <c r="L1162" s="198" t="s">
        <v>2272</v>
      </c>
      <c r="M1162" s="198" t="s">
        <v>2272</v>
      </c>
      <c r="N1162" s="198" t="s">
        <v>2272</v>
      </c>
      <c r="O1162" s="198" t="s">
        <v>2272</v>
      </c>
      <c r="P1162" s="198" t="s">
        <v>2272</v>
      </c>
      <c r="Q1162" s="198" t="s">
        <v>2272</v>
      </c>
      <c r="R1162" s="198" t="s">
        <v>2272</v>
      </c>
      <c r="S1162" s="198" t="s">
        <v>2272</v>
      </c>
      <c r="T1162" s="198" t="s">
        <v>7765</v>
      </c>
    </row>
    <row r="1163" spans="1:20" ht="37" customHeight="1">
      <c r="A1163" s="19" t="s">
        <v>7640</v>
      </c>
      <c r="B1163" s="4" t="s">
        <v>1193</v>
      </c>
      <c r="C1163" s="198" t="s">
        <v>2640</v>
      </c>
      <c r="D1163" s="160" t="s">
        <v>3204</v>
      </c>
      <c r="E1163" s="198" t="s">
        <v>2272</v>
      </c>
      <c r="F1163" s="198" t="s">
        <v>2272</v>
      </c>
      <c r="G1163" s="198" t="s">
        <v>2272</v>
      </c>
      <c r="H1163" s="198" t="s">
        <v>2272</v>
      </c>
      <c r="I1163" s="198" t="s">
        <v>2272</v>
      </c>
      <c r="J1163" s="198" t="s">
        <v>2272</v>
      </c>
      <c r="K1163" s="198" t="s">
        <v>2272</v>
      </c>
      <c r="L1163" s="198" t="s">
        <v>2272</v>
      </c>
      <c r="M1163" s="198" t="s">
        <v>2272</v>
      </c>
      <c r="N1163" s="198" t="s">
        <v>2272</v>
      </c>
      <c r="O1163" s="198" t="s">
        <v>2272</v>
      </c>
      <c r="P1163" s="198" t="s">
        <v>2272</v>
      </c>
      <c r="Q1163" s="198" t="s">
        <v>2272</v>
      </c>
      <c r="R1163" s="198" t="s">
        <v>2272</v>
      </c>
      <c r="S1163" s="198" t="s">
        <v>2272</v>
      </c>
      <c r="T1163" s="198" t="s">
        <v>7765</v>
      </c>
    </row>
    <row r="1164" spans="1:20" ht="37" customHeight="1">
      <c r="A1164" s="19" t="s">
        <v>7641</v>
      </c>
      <c r="B1164" s="4" t="s">
        <v>1193</v>
      </c>
      <c r="C1164" s="198" t="s">
        <v>2640</v>
      </c>
      <c r="D1164" s="160" t="s">
        <v>3204</v>
      </c>
      <c r="E1164" s="198" t="s">
        <v>2272</v>
      </c>
      <c r="F1164" s="198" t="s">
        <v>2272</v>
      </c>
      <c r="G1164" s="198" t="s">
        <v>2272</v>
      </c>
      <c r="H1164" s="198" t="s">
        <v>2272</v>
      </c>
      <c r="I1164" s="198" t="s">
        <v>2272</v>
      </c>
      <c r="J1164" s="198" t="s">
        <v>2272</v>
      </c>
      <c r="K1164" s="198" t="s">
        <v>2272</v>
      </c>
      <c r="L1164" s="198" t="s">
        <v>2272</v>
      </c>
      <c r="M1164" s="198" t="s">
        <v>2272</v>
      </c>
      <c r="N1164" s="198" t="s">
        <v>2272</v>
      </c>
      <c r="O1164" s="198" t="s">
        <v>2272</v>
      </c>
      <c r="P1164" s="198" t="s">
        <v>2272</v>
      </c>
      <c r="Q1164" s="198" t="s">
        <v>2272</v>
      </c>
      <c r="R1164" s="198" t="s">
        <v>2272</v>
      </c>
      <c r="S1164" s="198" t="s">
        <v>2272</v>
      </c>
      <c r="T1164" s="198" t="s">
        <v>7765</v>
      </c>
    </row>
    <row r="1165" spans="1:20" ht="37" customHeight="1">
      <c r="A1165" s="19" t="s">
        <v>7642</v>
      </c>
      <c r="B1165" s="4" t="s">
        <v>1193</v>
      </c>
      <c r="C1165" s="198" t="s">
        <v>2640</v>
      </c>
      <c r="D1165" s="160" t="s">
        <v>3204</v>
      </c>
      <c r="E1165" s="198" t="s">
        <v>2272</v>
      </c>
      <c r="F1165" s="198" t="s">
        <v>2272</v>
      </c>
      <c r="G1165" s="198" t="s">
        <v>2272</v>
      </c>
      <c r="H1165" s="198" t="s">
        <v>2272</v>
      </c>
      <c r="I1165" s="198" t="s">
        <v>2272</v>
      </c>
      <c r="J1165" s="198" t="s">
        <v>2272</v>
      </c>
      <c r="K1165" s="198" t="s">
        <v>2272</v>
      </c>
      <c r="L1165" s="198" t="s">
        <v>2272</v>
      </c>
      <c r="M1165" s="198" t="s">
        <v>2272</v>
      </c>
      <c r="N1165" s="198" t="s">
        <v>2272</v>
      </c>
      <c r="O1165" s="198" t="s">
        <v>2272</v>
      </c>
      <c r="P1165" s="198" t="s">
        <v>2272</v>
      </c>
      <c r="Q1165" s="198" t="s">
        <v>2272</v>
      </c>
      <c r="R1165" s="198" t="s">
        <v>2272</v>
      </c>
      <c r="S1165" s="198" t="s">
        <v>2272</v>
      </c>
      <c r="T1165" s="198" t="s">
        <v>7765</v>
      </c>
    </row>
    <row r="1166" spans="1:20" ht="37" customHeight="1">
      <c r="A1166" s="19" t="s">
        <v>7643</v>
      </c>
      <c r="B1166" s="4" t="s">
        <v>1193</v>
      </c>
      <c r="C1166" s="198" t="s">
        <v>2640</v>
      </c>
      <c r="D1166" s="160" t="s">
        <v>3204</v>
      </c>
      <c r="E1166" s="198" t="s">
        <v>2272</v>
      </c>
      <c r="F1166" s="198" t="s">
        <v>2272</v>
      </c>
      <c r="G1166" s="198" t="s">
        <v>2272</v>
      </c>
      <c r="H1166" s="198" t="s">
        <v>2272</v>
      </c>
      <c r="I1166" s="198" t="s">
        <v>2272</v>
      </c>
      <c r="J1166" s="198" t="s">
        <v>2272</v>
      </c>
      <c r="K1166" s="198" t="s">
        <v>2272</v>
      </c>
      <c r="L1166" s="198" t="s">
        <v>2272</v>
      </c>
      <c r="M1166" s="198" t="s">
        <v>2272</v>
      </c>
      <c r="N1166" s="198" t="s">
        <v>2272</v>
      </c>
      <c r="O1166" s="198" t="s">
        <v>2272</v>
      </c>
      <c r="P1166" s="198" t="s">
        <v>2272</v>
      </c>
      <c r="Q1166" s="198" t="s">
        <v>2272</v>
      </c>
      <c r="R1166" s="198" t="s">
        <v>2272</v>
      </c>
      <c r="S1166" s="198" t="s">
        <v>2272</v>
      </c>
      <c r="T1166" s="198" t="s">
        <v>7765</v>
      </c>
    </row>
    <row r="1167" spans="1:20" ht="37" customHeight="1">
      <c r="A1167" s="19" t="s">
        <v>7644</v>
      </c>
      <c r="B1167" s="4" t="s">
        <v>1193</v>
      </c>
      <c r="C1167" s="198" t="s">
        <v>2640</v>
      </c>
      <c r="D1167" s="160" t="s">
        <v>3204</v>
      </c>
      <c r="E1167" s="198" t="s">
        <v>2272</v>
      </c>
      <c r="F1167" s="198" t="s">
        <v>2272</v>
      </c>
      <c r="G1167" s="198" t="s">
        <v>2272</v>
      </c>
      <c r="H1167" s="198" t="s">
        <v>2272</v>
      </c>
      <c r="I1167" s="198" t="s">
        <v>2272</v>
      </c>
      <c r="J1167" s="198" t="s">
        <v>2272</v>
      </c>
      <c r="K1167" s="198" t="s">
        <v>2272</v>
      </c>
      <c r="L1167" s="198" t="s">
        <v>2272</v>
      </c>
      <c r="M1167" s="198" t="s">
        <v>2272</v>
      </c>
      <c r="N1167" s="198" t="s">
        <v>2272</v>
      </c>
      <c r="O1167" s="198" t="s">
        <v>2272</v>
      </c>
      <c r="P1167" s="198" t="s">
        <v>2272</v>
      </c>
      <c r="Q1167" s="198" t="s">
        <v>2272</v>
      </c>
      <c r="R1167" s="198" t="s">
        <v>2272</v>
      </c>
      <c r="S1167" s="198" t="s">
        <v>2272</v>
      </c>
      <c r="T1167" s="198" t="s">
        <v>7765</v>
      </c>
    </row>
    <row r="1168" spans="1:20" ht="37" customHeight="1">
      <c r="A1168" s="19" t="s">
        <v>7645</v>
      </c>
      <c r="B1168" s="4" t="s">
        <v>1193</v>
      </c>
      <c r="C1168" s="198" t="s">
        <v>2640</v>
      </c>
      <c r="D1168" s="160" t="s">
        <v>3204</v>
      </c>
      <c r="E1168" s="198" t="s">
        <v>2272</v>
      </c>
      <c r="F1168" s="198" t="s">
        <v>2272</v>
      </c>
      <c r="G1168" s="198" t="s">
        <v>2272</v>
      </c>
      <c r="H1168" s="198" t="s">
        <v>2272</v>
      </c>
      <c r="I1168" s="198" t="s">
        <v>2272</v>
      </c>
      <c r="J1168" s="198" t="s">
        <v>2272</v>
      </c>
      <c r="K1168" s="198" t="s">
        <v>2272</v>
      </c>
      <c r="L1168" s="198" t="s">
        <v>2272</v>
      </c>
      <c r="M1168" s="198" t="s">
        <v>2272</v>
      </c>
      <c r="N1168" s="198" t="s">
        <v>2272</v>
      </c>
      <c r="O1168" s="198" t="s">
        <v>2272</v>
      </c>
      <c r="P1168" s="198" t="s">
        <v>2272</v>
      </c>
      <c r="Q1168" s="198" t="s">
        <v>2272</v>
      </c>
      <c r="R1168" s="198" t="s">
        <v>2272</v>
      </c>
      <c r="S1168" s="198" t="s">
        <v>2272</v>
      </c>
      <c r="T1168" s="198" t="s">
        <v>7765</v>
      </c>
    </row>
    <row r="1169" spans="1:20" ht="37" customHeight="1">
      <c r="A1169" s="19" t="s">
        <v>7646</v>
      </c>
      <c r="B1169" s="4" t="s">
        <v>1193</v>
      </c>
      <c r="C1169" s="198" t="s">
        <v>2640</v>
      </c>
      <c r="D1169" s="160" t="s">
        <v>3204</v>
      </c>
      <c r="E1169" s="198" t="s">
        <v>2272</v>
      </c>
      <c r="F1169" s="198" t="s">
        <v>2272</v>
      </c>
      <c r="G1169" s="198" t="s">
        <v>2272</v>
      </c>
      <c r="H1169" s="198" t="s">
        <v>2272</v>
      </c>
      <c r="I1169" s="198" t="s">
        <v>2272</v>
      </c>
      <c r="J1169" s="198" t="s">
        <v>2272</v>
      </c>
      <c r="K1169" s="198" t="s">
        <v>2272</v>
      </c>
      <c r="L1169" s="198" t="s">
        <v>2272</v>
      </c>
      <c r="M1169" s="198" t="s">
        <v>2272</v>
      </c>
      <c r="N1169" s="198" t="s">
        <v>2272</v>
      </c>
      <c r="O1169" s="198" t="s">
        <v>2272</v>
      </c>
      <c r="P1169" s="198" t="s">
        <v>2272</v>
      </c>
      <c r="Q1169" s="198" t="s">
        <v>2272</v>
      </c>
      <c r="R1169" s="198" t="s">
        <v>2272</v>
      </c>
      <c r="S1169" s="198" t="s">
        <v>2272</v>
      </c>
      <c r="T1169" s="198" t="s">
        <v>7765</v>
      </c>
    </row>
    <row r="1170" spans="1:20" ht="37" customHeight="1">
      <c r="A1170" s="19" t="s">
        <v>7647</v>
      </c>
      <c r="B1170" s="4" t="s">
        <v>1193</v>
      </c>
      <c r="C1170" s="198" t="s">
        <v>2640</v>
      </c>
      <c r="D1170" s="160" t="s">
        <v>3204</v>
      </c>
      <c r="E1170" s="198" t="s">
        <v>2272</v>
      </c>
      <c r="F1170" s="198" t="s">
        <v>2272</v>
      </c>
      <c r="G1170" s="198" t="s">
        <v>2272</v>
      </c>
      <c r="H1170" s="198" t="s">
        <v>2272</v>
      </c>
      <c r="I1170" s="198" t="s">
        <v>2272</v>
      </c>
      <c r="J1170" s="198" t="s">
        <v>2272</v>
      </c>
      <c r="K1170" s="198" t="s">
        <v>2272</v>
      </c>
      <c r="L1170" s="198" t="s">
        <v>2272</v>
      </c>
      <c r="M1170" s="198" t="s">
        <v>2272</v>
      </c>
      <c r="N1170" s="198" t="s">
        <v>2272</v>
      </c>
      <c r="O1170" s="198" t="s">
        <v>2272</v>
      </c>
      <c r="P1170" s="198" t="s">
        <v>2272</v>
      </c>
      <c r="Q1170" s="198" t="s">
        <v>2272</v>
      </c>
      <c r="R1170" s="198" t="s">
        <v>2272</v>
      </c>
      <c r="S1170" s="198" t="s">
        <v>2272</v>
      </c>
      <c r="T1170" s="198" t="s">
        <v>7765</v>
      </c>
    </row>
    <row r="1171" spans="1:20" ht="37" customHeight="1">
      <c r="A1171" s="19" t="s">
        <v>7648</v>
      </c>
      <c r="B1171" s="4" t="s">
        <v>1193</v>
      </c>
      <c r="C1171" s="198" t="s">
        <v>2640</v>
      </c>
      <c r="D1171" s="160" t="s">
        <v>3204</v>
      </c>
      <c r="E1171" s="198" t="s">
        <v>2272</v>
      </c>
      <c r="F1171" s="198" t="s">
        <v>2272</v>
      </c>
      <c r="G1171" s="198" t="s">
        <v>2272</v>
      </c>
      <c r="H1171" s="198" t="s">
        <v>2272</v>
      </c>
      <c r="I1171" s="198" t="s">
        <v>2272</v>
      </c>
      <c r="J1171" s="198" t="s">
        <v>2272</v>
      </c>
      <c r="K1171" s="198" t="s">
        <v>2272</v>
      </c>
      <c r="L1171" s="198" t="s">
        <v>2272</v>
      </c>
      <c r="M1171" s="198" t="s">
        <v>2272</v>
      </c>
      <c r="N1171" s="198" t="s">
        <v>2272</v>
      </c>
      <c r="O1171" s="198" t="s">
        <v>2272</v>
      </c>
      <c r="P1171" s="198" t="s">
        <v>2272</v>
      </c>
      <c r="Q1171" s="198" t="s">
        <v>2272</v>
      </c>
      <c r="R1171" s="198" t="s">
        <v>2272</v>
      </c>
      <c r="S1171" s="198" t="s">
        <v>2272</v>
      </c>
      <c r="T1171" s="198" t="s">
        <v>7765</v>
      </c>
    </row>
    <row r="1172" spans="1:20" ht="37" customHeight="1">
      <c r="A1172" s="19" t="s">
        <v>7649</v>
      </c>
      <c r="B1172" s="4" t="s">
        <v>1193</v>
      </c>
      <c r="C1172" s="198" t="s">
        <v>2640</v>
      </c>
      <c r="D1172" s="160" t="s">
        <v>3204</v>
      </c>
      <c r="E1172" s="198" t="s">
        <v>2272</v>
      </c>
      <c r="F1172" s="198" t="s">
        <v>2272</v>
      </c>
      <c r="G1172" s="198" t="s">
        <v>2272</v>
      </c>
      <c r="H1172" s="198" t="s">
        <v>2272</v>
      </c>
      <c r="I1172" s="198" t="s">
        <v>2272</v>
      </c>
      <c r="J1172" s="198" t="s">
        <v>2272</v>
      </c>
      <c r="K1172" s="198" t="s">
        <v>2272</v>
      </c>
      <c r="L1172" s="198" t="s">
        <v>2272</v>
      </c>
      <c r="M1172" s="198" t="s">
        <v>2272</v>
      </c>
      <c r="N1172" s="198" t="s">
        <v>2272</v>
      </c>
      <c r="O1172" s="198" t="s">
        <v>2272</v>
      </c>
      <c r="P1172" s="198" t="s">
        <v>2272</v>
      </c>
      <c r="Q1172" s="198" t="s">
        <v>2272</v>
      </c>
      <c r="R1172" s="198" t="s">
        <v>2272</v>
      </c>
      <c r="S1172" s="198" t="s">
        <v>2272</v>
      </c>
      <c r="T1172" s="198" t="s">
        <v>7765</v>
      </c>
    </row>
    <row r="1173" spans="1:20" ht="37" customHeight="1">
      <c r="A1173" s="19" t="s">
        <v>7650</v>
      </c>
      <c r="B1173" s="4" t="s">
        <v>1193</v>
      </c>
      <c r="C1173" s="198" t="s">
        <v>2640</v>
      </c>
      <c r="D1173" s="160" t="s">
        <v>3204</v>
      </c>
      <c r="E1173" s="198" t="s">
        <v>2272</v>
      </c>
      <c r="F1173" s="198" t="s">
        <v>2272</v>
      </c>
      <c r="G1173" s="198" t="s">
        <v>2272</v>
      </c>
      <c r="H1173" s="198" t="s">
        <v>2272</v>
      </c>
      <c r="I1173" s="198" t="s">
        <v>2272</v>
      </c>
      <c r="J1173" s="198" t="s">
        <v>2272</v>
      </c>
      <c r="K1173" s="198" t="s">
        <v>2272</v>
      </c>
      <c r="L1173" s="198" t="s">
        <v>2272</v>
      </c>
      <c r="M1173" s="198" t="s">
        <v>2272</v>
      </c>
      <c r="N1173" s="198" t="s">
        <v>2272</v>
      </c>
      <c r="O1173" s="198" t="s">
        <v>2272</v>
      </c>
      <c r="P1173" s="198" t="s">
        <v>2272</v>
      </c>
      <c r="Q1173" s="198" t="s">
        <v>2272</v>
      </c>
      <c r="R1173" s="198" t="s">
        <v>2272</v>
      </c>
      <c r="S1173" s="198" t="s">
        <v>2272</v>
      </c>
      <c r="T1173" s="198" t="s">
        <v>7765</v>
      </c>
    </row>
    <row r="1174" spans="1:20" ht="37" customHeight="1">
      <c r="A1174" s="19" t="s">
        <v>7651</v>
      </c>
      <c r="B1174" s="4" t="s">
        <v>1193</v>
      </c>
      <c r="C1174" s="198" t="s">
        <v>2640</v>
      </c>
      <c r="D1174" s="160" t="s">
        <v>3204</v>
      </c>
      <c r="E1174" s="198" t="s">
        <v>2272</v>
      </c>
      <c r="F1174" s="198" t="s">
        <v>2272</v>
      </c>
      <c r="G1174" s="198" t="s">
        <v>2272</v>
      </c>
      <c r="H1174" s="198" t="s">
        <v>2272</v>
      </c>
      <c r="I1174" s="198" t="s">
        <v>2272</v>
      </c>
      <c r="J1174" s="198" t="s">
        <v>2272</v>
      </c>
      <c r="K1174" s="198" t="s">
        <v>2272</v>
      </c>
      <c r="L1174" s="198" t="s">
        <v>2272</v>
      </c>
      <c r="M1174" s="198" t="s">
        <v>2272</v>
      </c>
      <c r="N1174" s="198" t="s">
        <v>2272</v>
      </c>
      <c r="O1174" s="198" t="s">
        <v>2272</v>
      </c>
      <c r="P1174" s="198" t="s">
        <v>2272</v>
      </c>
      <c r="Q1174" s="198" t="s">
        <v>2272</v>
      </c>
      <c r="R1174" s="198" t="s">
        <v>2272</v>
      </c>
      <c r="S1174" s="198" t="s">
        <v>2272</v>
      </c>
      <c r="T1174" s="198" t="s">
        <v>7765</v>
      </c>
    </row>
    <row r="1175" spans="1:20" ht="37" customHeight="1">
      <c r="A1175" s="19" t="s">
        <v>7652</v>
      </c>
      <c r="B1175" s="4" t="s">
        <v>1193</v>
      </c>
      <c r="C1175" s="198" t="s">
        <v>2640</v>
      </c>
      <c r="D1175" s="160" t="s">
        <v>3204</v>
      </c>
      <c r="E1175" s="198" t="s">
        <v>2272</v>
      </c>
      <c r="F1175" s="198" t="s">
        <v>2272</v>
      </c>
      <c r="G1175" s="198" t="s">
        <v>2272</v>
      </c>
      <c r="H1175" s="198" t="s">
        <v>2272</v>
      </c>
      <c r="I1175" s="198" t="s">
        <v>2272</v>
      </c>
      <c r="J1175" s="198" t="s">
        <v>2272</v>
      </c>
      <c r="K1175" s="198" t="s">
        <v>2272</v>
      </c>
      <c r="L1175" s="198" t="s">
        <v>2272</v>
      </c>
      <c r="M1175" s="198" t="s">
        <v>2272</v>
      </c>
      <c r="N1175" s="198" t="s">
        <v>2272</v>
      </c>
      <c r="O1175" s="198" t="s">
        <v>2272</v>
      </c>
      <c r="P1175" s="198" t="s">
        <v>2272</v>
      </c>
      <c r="Q1175" s="198" t="s">
        <v>2272</v>
      </c>
      <c r="R1175" s="198" t="s">
        <v>2272</v>
      </c>
      <c r="S1175" s="198" t="s">
        <v>2272</v>
      </c>
      <c r="T1175" s="198" t="s">
        <v>7765</v>
      </c>
    </row>
    <row r="1176" spans="1:20" ht="37" customHeight="1">
      <c r="A1176" s="19" t="s">
        <v>7653</v>
      </c>
      <c r="B1176" s="4" t="s">
        <v>1193</v>
      </c>
      <c r="C1176" s="198" t="s">
        <v>2640</v>
      </c>
      <c r="D1176" s="160" t="s">
        <v>3204</v>
      </c>
      <c r="E1176" s="198" t="s">
        <v>2272</v>
      </c>
      <c r="F1176" s="198" t="s">
        <v>2272</v>
      </c>
      <c r="G1176" s="198" t="s">
        <v>2272</v>
      </c>
      <c r="H1176" s="198" t="s">
        <v>2272</v>
      </c>
      <c r="I1176" s="198" t="s">
        <v>2272</v>
      </c>
      <c r="J1176" s="198" t="s">
        <v>2272</v>
      </c>
      <c r="K1176" s="198" t="s">
        <v>2272</v>
      </c>
      <c r="L1176" s="198" t="s">
        <v>2272</v>
      </c>
      <c r="M1176" s="198" t="s">
        <v>2272</v>
      </c>
      <c r="N1176" s="198" t="s">
        <v>2272</v>
      </c>
      <c r="O1176" s="198" t="s">
        <v>2272</v>
      </c>
      <c r="P1176" s="198" t="s">
        <v>2272</v>
      </c>
      <c r="Q1176" s="198" t="s">
        <v>2272</v>
      </c>
      <c r="R1176" s="198" t="s">
        <v>2272</v>
      </c>
      <c r="S1176" s="198" t="s">
        <v>2272</v>
      </c>
      <c r="T1176" s="198" t="s">
        <v>7765</v>
      </c>
    </row>
    <row r="1177" spans="1:20" ht="37" customHeight="1">
      <c r="A1177" s="19" t="s">
        <v>7654</v>
      </c>
      <c r="B1177" s="4" t="s">
        <v>1193</v>
      </c>
      <c r="C1177" s="198" t="s">
        <v>2640</v>
      </c>
      <c r="D1177" s="160" t="s">
        <v>3204</v>
      </c>
      <c r="E1177" s="198" t="s">
        <v>2272</v>
      </c>
      <c r="F1177" s="198" t="s">
        <v>2272</v>
      </c>
      <c r="G1177" s="198" t="s">
        <v>2272</v>
      </c>
      <c r="H1177" s="198" t="s">
        <v>2272</v>
      </c>
      <c r="I1177" s="198" t="s">
        <v>2272</v>
      </c>
      <c r="J1177" s="198" t="s">
        <v>2272</v>
      </c>
      <c r="K1177" s="198" t="s">
        <v>2272</v>
      </c>
      <c r="L1177" s="198" t="s">
        <v>2272</v>
      </c>
      <c r="M1177" s="198" t="s">
        <v>2272</v>
      </c>
      <c r="N1177" s="198" t="s">
        <v>2272</v>
      </c>
      <c r="O1177" s="198" t="s">
        <v>2272</v>
      </c>
      <c r="P1177" s="198" t="s">
        <v>2272</v>
      </c>
      <c r="Q1177" s="198" t="s">
        <v>2272</v>
      </c>
      <c r="R1177" s="198" t="s">
        <v>2272</v>
      </c>
      <c r="S1177" s="198" t="s">
        <v>2272</v>
      </c>
      <c r="T1177" s="198" t="s">
        <v>7765</v>
      </c>
    </row>
    <row r="1178" spans="1:20" ht="37" customHeight="1">
      <c r="A1178" s="19" t="s">
        <v>7655</v>
      </c>
      <c r="B1178" s="4" t="s">
        <v>1193</v>
      </c>
      <c r="C1178" s="198" t="s">
        <v>2640</v>
      </c>
      <c r="D1178" s="160" t="s">
        <v>3204</v>
      </c>
      <c r="E1178" s="198" t="s">
        <v>2272</v>
      </c>
      <c r="F1178" s="198" t="s">
        <v>2272</v>
      </c>
      <c r="G1178" s="198" t="s">
        <v>2272</v>
      </c>
      <c r="H1178" s="198" t="s">
        <v>2272</v>
      </c>
      <c r="I1178" s="198" t="s">
        <v>2272</v>
      </c>
      <c r="J1178" s="198" t="s">
        <v>2272</v>
      </c>
      <c r="K1178" s="198" t="s">
        <v>2272</v>
      </c>
      <c r="L1178" s="198" t="s">
        <v>2272</v>
      </c>
      <c r="M1178" s="198" t="s">
        <v>2272</v>
      </c>
      <c r="N1178" s="198" t="s">
        <v>2272</v>
      </c>
      <c r="O1178" s="198" t="s">
        <v>2272</v>
      </c>
      <c r="P1178" s="198" t="s">
        <v>2272</v>
      </c>
      <c r="Q1178" s="198" t="s">
        <v>2272</v>
      </c>
      <c r="R1178" s="198" t="s">
        <v>2272</v>
      </c>
      <c r="S1178" s="198" t="s">
        <v>2272</v>
      </c>
      <c r="T1178" s="198" t="s">
        <v>7765</v>
      </c>
    </row>
    <row r="1179" spans="1:20" ht="37" customHeight="1">
      <c r="A1179" s="19" t="s">
        <v>7656</v>
      </c>
      <c r="B1179" s="4" t="s">
        <v>1193</v>
      </c>
      <c r="C1179" s="198" t="s">
        <v>2640</v>
      </c>
      <c r="D1179" s="160" t="s">
        <v>3204</v>
      </c>
      <c r="E1179" s="198" t="s">
        <v>2272</v>
      </c>
      <c r="F1179" s="198" t="s">
        <v>2272</v>
      </c>
      <c r="G1179" s="198" t="s">
        <v>2272</v>
      </c>
      <c r="H1179" s="198" t="s">
        <v>2272</v>
      </c>
      <c r="I1179" s="198" t="s">
        <v>2272</v>
      </c>
      <c r="J1179" s="198" t="s">
        <v>2272</v>
      </c>
      <c r="K1179" s="198" t="s">
        <v>2272</v>
      </c>
      <c r="L1179" s="198" t="s">
        <v>2272</v>
      </c>
      <c r="M1179" s="198" t="s">
        <v>2272</v>
      </c>
      <c r="N1179" s="198" t="s">
        <v>2272</v>
      </c>
      <c r="O1179" s="198" t="s">
        <v>2272</v>
      </c>
      <c r="P1179" s="198" t="s">
        <v>2272</v>
      </c>
      <c r="Q1179" s="198" t="s">
        <v>2272</v>
      </c>
      <c r="R1179" s="198" t="s">
        <v>2272</v>
      </c>
      <c r="S1179" s="198" t="s">
        <v>2272</v>
      </c>
      <c r="T1179" s="198" t="s">
        <v>7765</v>
      </c>
    </row>
    <row r="1180" spans="1:20" ht="37" customHeight="1">
      <c r="A1180" s="19" t="s">
        <v>7657</v>
      </c>
      <c r="B1180" s="4" t="s">
        <v>1193</v>
      </c>
      <c r="C1180" s="198" t="s">
        <v>2640</v>
      </c>
      <c r="D1180" s="160" t="s">
        <v>3204</v>
      </c>
      <c r="E1180" s="198" t="s">
        <v>2272</v>
      </c>
      <c r="F1180" s="198" t="s">
        <v>2272</v>
      </c>
      <c r="G1180" s="198" t="s">
        <v>2272</v>
      </c>
      <c r="H1180" s="198" t="s">
        <v>2272</v>
      </c>
      <c r="I1180" s="198" t="s">
        <v>2272</v>
      </c>
      <c r="J1180" s="198" t="s">
        <v>2272</v>
      </c>
      <c r="K1180" s="198" t="s">
        <v>2272</v>
      </c>
      <c r="L1180" s="198" t="s">
        <v>2272</v>
      </c>
      <c r="M1180" s="198" t="s">
        <v>2272</v>
      </c>
      <c r="N1180" s="198" t="s">
        <v>2272</v>
      </c>
      <c r="O1180" s="198" t="s">
        <v>2272</v>
      </c>
      <c r="P1180" s="198" t="s">
        <v>2272</v>
      </c>
      <c r="Q1180" s="198" t="s">
        <v>2272</v>
      </c>
      <c r="R1180" s="198" t="s">
        <v>2272</v>
      </c>
      <c r="S1180" s="198" t="s">
        <v>2272</v>
      </c>
      <c r="T1180" s="198" t="s">
        <v>7765</v>
      </c>
    </row>
    <row r="1181" spans="1:20" ht="37" customHeight="1">
      <c r="A1181" s="19" t="s">
        <v>7658</v>
      </c>
      <c r="B1181" s="4" t="s">
        <v>1193</v>
      </c>
      <c r="C1181" s="198" t="s">
        <v>2640</v>
      </c>
      <c r="D1181" s="160" t="s">
        <v>3204</v>
      </c>
      <c r="E1181" s="198" t="s">
        <v>2272</v>
      </c>
      <c r="F1181" s="198" t="s">
        <v>2272</v>
      </c>
      <c r="G1181" s="198" t="s">
        <v>2272</v>
      </c>
      <c r="H1181" s="198" t="s">
        <v>2272</v>
      </c>
      <c r="I1181" s="198" t="s">
        <v>2272</v>
      </c>
      <c r="J1181" s="198" t="s">
        <v>2272</v>
      </c>
      <c r="K1181" s="198" t="s">
        <v>2272</v>
      </c>
      <c r="L1181" s="198" t="s">
        <v>2272</v>
      </c>
      <c r="M1181" s="198" t="s">
        <v>2272</v>
      </c>
      <c r="N1181" s="198" t="s">
        <v>2272</v>
      </c>
      <c r="O1181" s="198" t="s">
        <v>2272</v>
      </c>
      <c r="P1181" s="198" t="s">
        <v>2272</v>
      </c>
      <c r="Q1181" s="198" t="s">
        <v>2272</v>
      </c>
      <c r="R1181" s="198" t="s">
        <v>2272</v>
      </c>
      <c r="S1181" s="198" t="s">
        <v>2272</v>
      </c>
      <c r="T1181" s="198" t="s">
        <v>7765</v>
      </c>
    </row>
    <row r="1182" spans="1:20" ht="37" customHeight="1">
      <c r="A1182" s="19" t="s">
        <v>7659</v>
      </c>
      <c r="B1182" s="4" t="s">
        <v>1193</v>
      </c>
      <c r="C1182" s="198" t="s">
        <v>2640</v>
      </c>
      <c r="D1182" s="160" t="s">
        <v>3204</v>
      </c>
      <c r="E1182" s="198" t="s">
        <v>2272</v>
      </c>
      <c r="F1182" s="198" t="s">
        <v>2272</v>
      </c>
      <c r="G1182" s="198" t="s">
        <v>2272</v>
      </c>
      <c r="H1182" s="198" t="s">
        <v>2272</v>
      </c>
      <c r="I1182" s="198" t="s">
        <v>2272</v>
      </c>
      <c r="J1182" s="198" t="s">
        <v>2272</v>
      </c>
      <c r="K1182" s="198" t="s">
        <v>2272</v>
      </c>
      <c r="L1182" s="198" t="s">
        <v>2272</v>
      </c>
      <c r="M1182" s="198" t="s">
        <v>2272</v>
      </c>
      <c r="N1182" s="198" t="s">
        <v>2272</v>
      </c>
      <c r="O1182" s="198" t="s">
        <v>2272</v>
      </c>
      <c r="P1182" s="198" t="s">
        <v>2272</v>
      </c>
      <c r="Q1182" s="198" t="s">
        <v>2272</v>
      </c>
      <c r="R1182" s="198" t="s">
        <v>2272</v>
      </c>
      <c r="S1182" s="198" t="s">
        <v>2272</v>
      </c>
      <c r="T1182" s="198" t="s">
        <v>7765</v>
      </c>
    </row>
    <row r="1183" spans="1:20" ht="37" customHeight="1">
      <c r="A1183" s="19" t="s">
        <v>7660</v>
      </c>
      <c r="B1183" s="4" t="s">
        <v>1193</v>
      </c>
      <c r="C1183" s="198" t="s">
        <v>2640</v>
      </c>
      <c r="D1183" s="160" t="s">
        <v>3204</v>
      </c>
      <c r="E1183" s="198" t="s">
        <v>2272</v>
      </c>
      <c r="F1183" s="198" t="s">
        <v>2272</v>
      </c>
      <c r="G1183" s="198" t="s">
        <v>2272</v>
      </c>
      <c r="H1183" s="198" t="s">
        <v>2272</v>
      </c>
      <c r="I1183" s="198" t="s">
        <v>2272</v>
      </c>
      <c r="J1183" s="198" t="s">
        <v>2272</v>
      </c>
      <c r="K1183" s="198" t="s">
        <v>2272</v>
      </c>
      <c r="L1183" s="198" t="s">
        <v>2272</v>
      </c>
      <c r="M1183" s="198" t="s">
        <v>2272</v>
      </c>
      <c r="N1183" s="198" t="s">
        <v>2272</v>
      </c>
      <c r="O1183" s="198" t="s">
        <v>2272</v>
      </c>
      <c r="P1183" s="198" t="s">
        <v>2272</v>
      </c>
      <c r="Q1183" s="198" t="s">
        <v>2272</v>
      </c>
      <c r="R1183" s="198" t="s">
        <v>2272</v>
      </c>
      <c r="S1183" s="198" t="s">
        <v>2272</v>
      </c>
      <c r="T1183" s="198" t="s">
        <v>7765</v>
      </c>
    </row>
    <row r="1184" spans="1:20" ht="37" customHeight="1">
      <c r="A1184" s="19" t="s">
        <v>7661</v>
      </c>
      <c r="B1184" s="4" t="s">
        <v>1193</v>
      </c>
      <c r="C1184" s="198" t="s">
        <v>2640</v>
      </c>
      <c r="D1184" s="160" t="s">
        <v>3204</v>
      </c>
      <c r="E1184" s="198" t="s">
        <v>2272</v>
      </c>
      <c r="F1184" s="198" t="s">
        <v>2272</v>
      </c>
      <c r="G1184" s="198" t="s">
        <v>2272</v>
      </c>
      <c r="H1184" s="198" t="s">
        <v>2272</v>
      </c>
      <c r="I1184" s="198" t="s">
        <v>2272</v>
      </c>
      <c r="J1184" s="198" t="s">
        <v>2272</v>
      </c>
      <c r="K1184" s="198" t="s">
        <v>2272</v>
      </c>
      <c r="L1184" s="198" t="s">
        <v>2272</v>
      </c>
      <c r="M1184" s="198" t="s">
        <v>2272</v>
      </c>
      <c r="N1184" s="198" t="s">
        <v>2272</v>
      </c>
      <c r="O1184" s="198" t="s">
        <v>2272</v>
      </c>
      <c r="P1184" s="198" t="s">
        <v>2272</v>
      </c>
      <c r="Q1184" s="198" t="s">
        <v>2272</v>
      </c>
      <c r="R1184" s="198" t="s">
        <v>2272</v>
      </c>
      <c r="S1184" s="198" t="s">
        <v>2272</v>
      </c>
      <c r="T1184" s="198" t="s">
        <v>7765</v>
      </c>
    </row>
    <row r="1185" spans="1:20" ht="37" customHeight="1">
      <c r="A1185" s="19" t="s">
        <v>7662</v>
      </c>
      <c r="B1185" s="4" t="s">
        <v>1193</v>
      </c>
      <c r="C1185" s="198" t="s">
        <v>2640</v>
      </c>
      <c r="D1185" s="160" t="s">
        <v>3204</v>
      </c>
      <c r="E1185" s="198" t="s">
        <v>2272</v>
      </c>
      <c r="F1185" s="198" t="s">
        <v>2272</v>
      </c>
      <c r="G1185" s="198" t="s">
        <v>2272</v>
      </c>
      <c r="H1185" s="198" t="s">
        <v>2272</v>
      </c>
      <c r="I1185" s="198" t="s">
        <v>2272</v>
      </c>
      <c r="J1185" s="198" t="s">
        <v>2272</v>
      </c>
      <c r="K1185" s="198" t="s">
        <v>2272</v>
      </c>
      <c r="L1185" s="198" t="s">
        <v>2272</v>
      </c>
      <c r="M1185" s="198" t="s">
        <v>2272</v>
      </c>
      <c r="N1185" s="198" t="s">
        <v>2272</v>
      </c>
      <c r="O1185" s="198" t="s">
        <v>2272</v>
      </c>
      <c r="P1185" s="198" t="s">
        <v>2272</v>
      </c>
      <c r="Q1185" s="198" t="s">
        <v>2272</v>
      </c>
      <c r="R1185" s="198" t="s">
        <v>2272</v>
      </c>
      <c r="S1185" s="198" t="s">
        <v>2272</v>
      </c>
      <c r="T1185" s="198" t="s">
        <v>7765</v>
      </c>
    </row>
    <row r="1186" spans="1:20" ht="37" customHeight="1">
      <c r="A1186" s="19" t="s">
        <v>7582</v>
      </c>
      <c r="B1186" s="4" t="s">
        <v>1193</v>
      </c>
      <c r="C1186" s="198" t="s">
        <v>2640</v>
      </c>
      <c r="D1186" s="160" t="s">
        <v>3204</v>
      </c>
      <c r="E1186" s="198" t="s">
        <v>2272</v>
      </c>
      <c r="F1186" s="198" t="s">
        <v>2272</v>
      </c>
      <c r="G1186" s="198" t="s">
        <v>2272</v>
      </c>
      <c r="H1186" s="198" t="s">
        <v>2272</v>
      </c>
      <c r="I1186" s="198" t="s">
        <v>2272</v>
      </c>
      <c r="J1186" s="198" t="s">
        <v>2272</v>
      </c>
      <c r="K1186" s="198" t="s">
        <v>2272</v>
      </c>
      <c r="L1186" s="198" t="s">
        <v>2272</v>
      </c>
      <c r="M1186" s="198" t="s">
        <v>2272</v>
      </c>
      <c r="N1186" s="198" t="s">
        <v>2272</v>
      </c>
      <c r="O1186" s="198" t="s">
        <v>2272</v>
      </c>
      <c r="P1186" s="198" t="s">
        <v>2272</v>
      </c>
      <c r="Q1186" s="198" t="s">
        <v>2272</v>
      </c>
      <c r="R1186" s="198" t="s">
        <v>2272</v>
      </c>
      <c r="S1186" s="198" t="s">
        <v>2272</v>
      </c>
      <c r="T1186" s="198" t="s">
        <v>7765</v>
      </c>
    </row>
    <row r="1187" spans="1:20" ht="37" customHeight="1">
      <c r="A1187" s="19" t="s">
        <v>7603</v>
      </c>
      <c r="B1187" s="4" t="s">
        <v>1193</v>
      </c>
      <c r="C1187" s="198" t="s">
        <v>2640</v>
      </c>
      <c r="D1187" s="160" t="s">
        <v>3204</v>
      </c>
      <c r="E1187" s="198" t="s">
        <v>2272</v>
      </c>
      <c r="F1187" s="198" t="s">
        <v>2272</v>
      </c>
      <c r="G1187" s="198" t="s">
        <v>2272</v>
      </c>
      <c r="H1187" s="198" t="s">
        <v>2272</v>
      </c>
      <c r="I1187" s="198" t="s">
        <v>2272</v>
      </c>
      <c r="J1187" s="198" t="s">
        <v>2272</v>
      </c>
      <c r="K1187" s="198" t="s">
        <v>2272</v>
      </c>
      <c r="L1187" s="198" t="s">
        <v>2272</v>
      </c>
      <c r="M1187" s="198" t="s">
        <v>2272</v>
      </c>
      <c r="N1187" s="198" t="s">
        <v>2272</v>
      </c>
      <c r="O1187" s="198" t="s">
        <v>2272</v>
      </c>
      <c r="P1187" s="198" t="s">
        <v>2272</v>
      </c>
      <c r="Q1187" s="198" t="s">
        <v>2272</v>
      </c>
      <c r="R1187" s="198" t="s">
        <v>2272</v>
      </c>
      <c r="S1187" s="198" t="s">
        <v>2272</v>
      </c>
      <c r="T1187" s="198" t="s">
        <v>7765</v>
      </c>
    </row>
    <row r="1188" spans="1:20" ht="37" customHeight="1">
      <c r="A1188" s="19" t="s">
        <v>7663</v>
      </c>
      <c r="B1188" s="4" t="s">
        <v>1193</v>
      </c>
      <c r="C1188" s="198" t="s">
        <v>2640</v>
      </c>
      <c r="D1188" s="160" t="s">
        <v>3204</v>
      </c>
      <c r="E1188" s="198" t="s">
        <v>2272</v>
      </c>
      <c r="F1188" s="198" t="s">
        <v>2272</v>
      </c>
      <c r="G1188" s="198" t="s">
        <v>2272</v>
      </c>
      <c r="H1188" s="198" t="s">
        <v>2272</v>
      </c>
      <c r="I1188" s="198" t="s">
        <v>2272</v>
      </c>
      <c r="J1188" s="198" t="s">
        <v>2272</v>
      </c>
      <c r="K1188" s="198" t="s">
        <v>2272</v>
      </c>
      <c r="L1188" s="198" t="s">
        <v>2272</v>
      </c>
      <c r="M1188" s="198" t="s">
        <v>2272</v>
      </c>
      <c r="N1188" s="198" t="s">
        <v>2272</v>
      </c>
      <c r="O1188" s="198" t="s">
        <v>2272</v>
      </c>
      <c r="P1188" s="198" t="s">
        <v>2272</v>
      </c>
      <c r="Q1188" s="198" t="s">
        <v>2272</v>
      </c>
      <c r="R1188" s="198" t="s">
        <v>2272</v>
      </c>
      <c r="S1188" s="198" t="s">
        <v>2272</v>
      </c>
      <c r="T1188" s="198" t="s">
        <v>7765</v>
      </c>
    </row>
    <row r="1189" spans="1:20" ht="37" customHeight="1">
      <c r="A1189" s="19" t="s">
        <v>7664</v>
      </c>
      <c r="B1189" s="4" t="s">
        <v>1193</v>
      </c>
      <c r="C1189" s="198" t="s">
        <v>2640</v>
      </c>
      <c r="D1189" s="160" t="s">
        <v>3204</v>
      </c>
      <c r="E1189" s="198" t="s">
        <v>2272</v>
      </c>
      <c r="F1189" s="198" t="s">
        <v>2272</v>
      </c>
      <c r="G1189" s="198" t="s">
        <v>2272</v>
      </c>
      <c r="H1189" s="198" t="s">
        <v>2272</v>
      </c>
      <c r="I1189" s="198" t="s">
        <v>2272</v>
      </c>
      <c r="J1189" s="198" t="s">
        <v>2272</v>
      </c>
      <c r="K1189" s="198" t="s">
        <v>2272</v>
      </c>
      <c r="L1189" s="198" t="s">
        <v>2272</v>
      </c>
      <c r="M1189" s="198" t="s">
        <v>2272</v>
      </c>
      <c r="N1189" s="198" t="s">
        <v>2272</v>
      </c>
      <c r="O1189" s="198" t="s">
        <v>2272</v>
      </c>
      <c r="P1189" s="198" t="s">
        <v>2272</v>
      </c>
      <c r="Q1189" s="198" t="s">
        <v>2272</v>
      </c>
      <c r="R1189" s="198" t="s">
        <v>2272</v>
      </c>
      <c r="S1189" s="198" t="s">
        <v>2272</v>
      </c>
      <c r="T1189" s="198" t="s">
        <v>7765</v>
      </c>
    </row>
    <row r="1190" spans="1:20" ht="37" customHeight="1">
      <c r="A1190" s="19" t="s">
        <v>7665</v>
      </c>
      <c r="B1190" s="4" t="s">
        <v>1193</v>
      </c>
      <c r="C1190" s="198" t="s">
        <v>2640</v>
      </c>
      <c r="D1190" s="160" t="s">
        <v>3204</v>
      </c>
      <c r="E1190" s="198" t="s">
        <v>2272</v>
      </c>
      <c r="F1190" s="198" t="s">
        <v>2272</v>
      </c>
      <c r="G1190" s="198" t="s">
        <v>2272</v>
      </c>
      <c r="H1190" s="198" t="s">
        <v>2272</v>
      </c>
      <c r="I1190" s="198" t="s">
        <v>2272</v>
      </c>
      <c r="J1190" s="198" t="s">
        <v>2272</v>
      </c>
      <c r="K1190" s="198" t="s">
        <v>2272</v>
      </c>
      <c r="L1190" s="198" t="s">
        <v>2272</v>
      </c>
      <c r="M1190" s="198" t="s">
        <v>2272</v>
      </c>
      <c r="N1190" s="198" t="s">
        <v>2272</v>
      </c>
      <c r="O1190" s="198" t="s">
        <v>2272</v>
      </c>
      <c r="P1190" s="198" t="s">
        <v>2272</v>
      </c>
      <c r="Q1190" s="198" t="s">
        <v>2272</v>
      </c>
      <c r="R1190" s="198" t="s">
        <v>2272</v>
      </c>
      <c r="S1190" s="198" t="s">
        <v>2272</v>
      </c>
      <c r="T1190" s="198" t="s">
        <v>7765</v>
      </c>
    </row>
    <row r="1191" spans="1:20" ht="37" customHeight="1">
      <c r="A1191" s="19" t="s">
        <v>7666</v>
      </c>
      <c r="B1191" s="4" t="s">
        <v>1193</v>
      </c>
      <c r="C1191" s="198" t="s">
        <v>2640</v>
      </c>
      <c r="D1191" s="160" t="s">
        <v>3204</v>
      </c>
      <c r="E1191" s="198" t="s">
        <v>2272</v>
      </c>
      <c r="F1191" s="198" t="s">
        <v>2272</v>
      </c>
      <c r="G1191" s="198" t="s">
        <v>2272</v>
      </c>
      <c r="H1191" s="198" t="s">
        <v>2272</v>
      </c>
      <c r="I1191" s="198" t="s">
        <v>2272</v>
      </c>
      <c r="J1191" s="198" t="s">
        <v>2272</v>
      </c>
      <c r="K1191" s="198" t="s">
        <v>2272</v>
      </c>
      <c r="L1191" s="198" t="s">
        <v>2272</v>
      </c>
      <c r="M1191" s="198" t="s">
        <v>2272</v>
      </c>
      <c r="N1191" s="198" t="s">
        <v>2272</v>
      </c>
      <c r="O1191" s="198" t="s">
        <v>2272</v>
      </c>
      <c r="P1191" s="198" t="s">
        <v>2272</v>
      </c>
      <c r="Q1191" s="198" t="s">
        <v>2272</v>
      </c>
      <c r="R1191" s="198" t="s">
        <v>2272</v>
      </c>
      <c r="S1191" s="198" t="s">
        <v>2272</v>
      </c>
      <c r="T1191" s="198" t="s">
        <v>7765</v>
      </c>
    </row>
    <row r="1192" spans="1:20" ht="37" customHeight="1">
      <c r="A1192" s="19" t="s">
        <v>7667</v>
      </c>
      <c r="B1192" s="4" t="s">
        <v>1193</v>
      </c>
      <c r="C1192" s="198" t="s">
        <v>2640</v>
      </c>
      <c r="D1192" s="160" t="s">
        <v>3204</v>
      </c>
      <c r="E1192" s="198" t="s">
        <v>2272</v>
      </c>
      <c r="F1192" s="198" t="s">
        <v>2272</v>
      </c>
      <c r="G1192" s="198" t="s">
        <v>2272</v>
      </c>
      <c r="H1192" s="198" t="s">
        <v>2272</v>
      </c>
      <c r="I1192" s="198" t="s">
        <v>2272</v>
      </c>
      <c r="J1192" s="198" t="s">
        <v>2272</v>
      </c>
      <c r="K1192" s="198" t="s">
        <v>2272</v>
      </c>
      <c r="L1192" s="198" t="s">
        <v>2272</v>
      </c>
      <c r="M1192" s="198" t="s">
        <v>2272</v>
      </c>
      <c r="N1192" s="198" t="s">
        <v>2272</v>
      </c>
      <c r="O1192" s="198" t="s">
        <v>2272</v>
      </c>
      <c r="P1192" s="198" t="s">
        <v>2272</v>
      </c>
      <c r="Q1192" s="198" t="s">
        <v>2272</v>
      </c>
      <c r="R1192" s="198" t="s">
        <v>2272</v>
      </c>
      <c r="S1192" s="198" t="s">
        <v>2272</v>
      </c>
      <c r="T1192" s="198" t="s">
        <v>7765</v>
      </c>
    </row>
    <row r="1193" spans="1:20" ht="37" customHeight="1">
      <c r="A1193" s="19" t="s">
        <v>7668</v>
      </c>
      <c r="B1193" s="4" t="s">
        <v>1193</v>
      </c>
      <c r="C1193" s="198" t="s">
        <v>2640</v>
      </c>
      <c r="D1193" s="160" t="s">
        <v>3204</v>
      </c>
      <c r="E1193" s="198" t="s">
        <v>2272</v>
      </c>
      <c r="F1193" s="198" t="s">
        <v>2272</v>
      </c>
      <c r="G1193" s="198" t="s">
        <v>2272</v>
      </c>
      <c r="H1193" s="198" t="s">
        <v>2272</v>
      </c>
      <c r="I1193" s="198" t="s">
        <v>2272</v>
      </c>
      <c r="J1193" s="198" t="s">
        <v>2272</v>
      </c>
      <c r="K1193" s="198" t="s">
        <v>2272</v>
      </c>
      <c r="L1193" s="198" t="s">
        <v>2272</v>
      </c>
      <c r="M1193" s="198" t="s">
        <v>2272</v>
      </c>
      <c r="N1193" s="198" t="s">
        <v>2272</v>
      </c>
      <c r="O1193" s="198" t="s">
        <v>2272</v>
      </c>
      <c r="P1193" s="198" t="s">
        <v>2272</v>
      </c>
      <c r="Q1193" s="198" t="s">
        <v>2272</v>
      </c>
      <c r="R1193" s="198" t="s">
        <v>2272</v>
      </c>
      <c r="S1193" s="198" t="s">
        <v>2272</v>
      </c>
      <c r="T1193" s="198" t="s">
        <v>7765</v>
      </c>
    </row>
    <row r="1194" spans="1:20" ht="37" customHeight="1">
      <c r="A1194" s="19" t="s">
        <v>7669</v>
      </c>
      <c r="B1194" s="4" t="s">
        <v>1193</v>
      </c>
      <c r="C1194" s="198" t="s">
        <v>2640</v>
      </c>
      <c r="D1194" s="160" t="s">
        <v>3204</v>
      </c>
      <c r="E1194" s="198" t="s">
        <v>2272</v>
      </c>
      <c r="F1194" s="198" t="s">
        <v>2272</v>
      </c>
      <c r="G1194" s="198" t="s">
        <v>2272</v>
      </c>
      <c r="H1194" s="198" t="s">
        <v>2272</v>
      </c>
      <c r="I1194" s="198" t="s">
        <v>2272</v>
      </c>
      <c r="J1194" s="198" t="s">
        <v>2272</v>
      </c>
      <c r="K1194" s="198" t="s">
        <v>2272</v>
      </c>
      <c r="L1194" s="198" t="s">
        <v>2272</v>
      </c>
      <c r="M1194" s="198" t="s">
        <v>2272</v>
      </c>
      <c r="N1194" s="198" t="s">
        <v>2272</v>
      </c>
      <c r="O1194" s="198" t="s">
        <v>2272</v>
      </c>
      <c r="P1194" s="198" t="s">
        <v>2272</v>
      </c>
      <c r="Q1194" s="198" t="s">
        <v>2272</v>
      </c>
      <c r="R1194" s="198" t="s">
        <v>2272</v>
      </c>
      <c r="S1194" s="198" t="s">
        <v>2272</v>
      </c>
      <c r="T1194" s="198" t="s">
        <v>7765</v>
      </c>
    </row>
    <row r="1195" spans="1:20" ht="37" customHeight="1">
      <c r="A1195" s="19" t="s">
        <v>7670</v>
      </c>
      <c r="B1195" s="4" t="s">
        <v>1193</v>
      </c>
      <c r="C1195" s="198" t="s">
        <v>2640</v>
      </c>
      <c r="D1195" s="160" t="s">
        <v>3204</v>
      </c>
      <c r="E1195" s="198" t="s">
        <v>2272</v>
      </c>
      <c r="F1195" s="198" t="s">
        <v>2272</v>
      </c>
      <c r="G1195" s="198" t="s">
        <v>2272</v>
      </c>
      <c r="H1195" s="198" t="s">
        <v>2272</v>
      </c>
      <c r="I1195" s="198" t="s">
        <v>2272</v>
      </c>
      <c r="J1195" s="198" t="s">
        <v>2272</v>
      </c>
      <c r="K1195" s="198" t="s">
        <v>2272</v>
      </c>
      <c r="L1195" s="198" t="s">
        <v>2272</v>
      </c>
      <c r="M1195" s="198" t="s">
        <v>2272</v>
      </c>
      <c r="N1195" s="198" t="s">
        <v>2272</v>
      </c>
      <c r="O1195" s="198" t="s">
        <v>2272</v>
      </c>
      <c r="P1195" s="198" t="s">
        <v>2272</v>
      </c>
      <c r="Q1195" s="198" t="s">
        <v>2272</v>
      </c>
      <c r="R1195" s="198" t="s">
        <v>2272</v>
      </c>
      <c r="S1195" s="198" t="s">
        <v>2272</v>
      </c>
      <c r="T1195" s="198" t="s">
        <v>7765</v>
      </c>
    </row>
    <row r="1196" spans="1:20" ht="37" customHeight="1">
      <c r="A1196" s="19" t="s">
        <v>7671</v>
      </c>
      <c r="B1196" s="4" t="s">
        <v>1193</v>
      </c>
      <c r="C1196" s="198" t="s">
        <v>2640</v>
      </c>
      <c r="D1196" s="160" t="s">
        <v>3204</v>
      </c>
      <c r="E1196" s="198" t="s">
        <v>2272</v>
      </c>
      <c r="F1196" s="198" t="s">
        <v>2272</v>
      </c>
      <c r="G1196" s="198" t="s">
        <v>2272</v>
      </c>
      <c r="H1196" s="198" t="s">
        <v>2272</v>
      </c>
      <c r="I1196" s="198" t="s">
        <v>2272</v>
      </c>
      <c r="J1196" s="198" t="s">
        <v>2272</v>
      </c>
      <c r="K1196" s="198" t="s">
        <v>2272</v>
      </c>
      <c r="L1196" s="198" t="s">
        <v>2272</v>
      </c>
      <c r="M1196" s="198" t="s">
        <v>2272</v>
      </c>
      <c r="N1196" s="198" t="s">
        <v>2272</v>
      </c>
      <c r="O1196" s="198" t="s">
        <v>2272</v>
      </c>
      <c r="P1196" s="198" t="s">
        <v>2272</v>
      </c>
      <c r="Q1196" s="198" t="s">
        <v>2272</v>
      </c>
      <c r="R1196" s="198" t="s">
        <v>2272</v>
      </c>
      <c r="S1196" s="198" t="s">
        <v>2272</v>
      </c>
      <c r="T1196" s="198" t="s">
        <v>7765</v>
      </c>
    </row>
    <row r="1197" spans="1:20" ht="37" customHeight="1">
      <c r="A1197" s="19" t="s">
        <v>7672</v>
      </c>
      <c r="B1197" s="4" t="s">
        <v>1193</v>
      </c>
      <c r="C1197" s="198" t="s">
        <v>2640</v>
      </c>
      <c r="D1197" s="160" t="s">
        <v>3204</v>
      </c>
      <c r="E1197" s="198" t="s">
        <v>2272</v>
      </c>
      <c r="F1197" s="198" t="s">
        <v>2272</v>
      </c>
      <c r="G1197" s="198" t="s">
        <v>2272</v>
      </c>
      <c r="H1197" s="198" t="s">
        <v>2272</v>
      </c>
      <c r="I1197" s="198" t="s">
        <v>2272</v>
      </c>
      <c r="J1197" s="198" t="s">
        <v>2272</v>
      </c>
      <c r="K1197" s="198" t="s">
        <v>2272</v>
      </c>
      <c r="L1197" s="198" t="s">
        <v>2272</v>
      </c>
      <c r="M1197" s="198" t="s">
        <v>2272</v>
      </c>
      <c r="N1197" s="198" t="s">
        <v>2272</v>
      </c>
      <c r="O1197" s="198" t="s">
        <v>2272</v>
      </c>
      <c r="P1197" s="198" t="s">
        <v>2272</v>
      </c>
      <c r="Q1197" s="198" t="s">
        <v>2272</v>
      </c>
      <c r="R1197" s="198" t="s">
        <v>2272</v>
      </c>
      <c r="S1197" s="198" t="s">
        <v>2272</v>
      </c>
      <c r="T1197" s="198" t="s">
        <v>7765</v>
      </c>
    </row>
    <row r="1198" spans="1:20" ht="37" customHeight="1">
      <c r="A1198" s="19" t="s">
        <v>7673</v>
      </c>
      <c r="B1198" s="4" t="s">
        <v>1193</v>
      </c>
      <c r="C1198" s="198" t="s">
        <v>2640</v>
      </c>
      <c r="D1198" s="160" t="s">
        <v>3204</v>
      </c>
      <c r="E1198" s="198" t="s">
        <v>2272</v>
      </c>
      <c r="F1198" s="198" t="s">
        <v>2272</v>
      </c>
      <c r="G1198" s="198" t="s">
        <v>2272</v>
      </c>
      <c r="H1198" s="198" t="s">
        <v>2272</v>
      </c>
      <c r="I1198" s="198" t="s">
        <v>2272</v>
      </c>
      <c r="J1198" s="198" t="s">
        <v>2272</v>
      </c>
      <c r="K1198" s="198" t="s">
        <v>2272</v>
      </c>
      <c r="L1198" s="198" t="s">
        <v>2272</v>
      </c>
      <c r="M1198" s="198" t="s">
        <v>2272</v>
      </c>
      <c r="N1198" s="198" t="s">
        <v>2272</v>
      </c>
      <c r="O1198" s="198" t="s">
        <v>2272</v>
      </c>
      <c r="P1198" s="198" t="s">
        <v>2272</v>
      </c>
      <c r="Q1198" s="198" t="s">
        <v>2272</v>
      </c>
      <c r="R1198" s="198" t="s">
        <v>2272</v>
      </c>
      <c r="S1198" s="198" t="s">
        <v>2272</v>
      </c>
      <c r="T1198" s="198" t="s">
        <v>7765</v>
      </c>
    </row>
    <row r="1199" spans="1:20" ht="37" customHeight="1">
      <c r="A1199" s="19" t="s">
        <v>7674</v>
      </c>
      <c r="B1199" s="4" t="s">
        <v>1193</v>
      </c>
      <c r="C1199" s="198" t="s">
        <v>2640</v>
      </c>
      <c r="D1199" s="160" t="s">
        <v>3204</v>
      </c>
      <c r="E1199" s="198" t="s">
        <v>2272</v>
      </c>
      <c r="F1199" s="198" t="s">
        <v>2272</v>
      </c>
      <c r="G1199" s="198" t="s">
        <v>2272</v>
      </c>
      <c r="H1199" s="198" t="s">
        <v>2272</v>
      </c>
      <c r="I1199" s="198" t="s">
        <v>2272</v>
      </c>
      <c r="J1199" s="198" t="s">
        <v>2272</v>
      </c>
      <c r="K1199" s="198" t="s">
        <v>2272</v>
      </c>
      <c r="L1199" s="198" t="s">
        <v>2272</v>
      </c>
      <c r="M1199" s="198" t="s">
        <v>2272</v>
      </c>
      <c r="N1199" s="198" t="s">
        <v>2272</v>
      </c>
      <c r="O1199" s="198" t="s">
        <v>2272</v>
      </c>
      <c r="P1199" s="198" t="s">
        <v>2272</v>
      </c>
      <c r="Q1199" s="198" t="s">
        <v>2272</v>
      </c>
      <c r="R1199" s="198" t="s">
        <v>2272</v>
      </c>
      <c r="S1199" s="198" t="s">
        <v>2272</v>
      </c>
      <c r="T1199" s="198" t="s">
        <v>7765</v>
      </c>
    </row>
    <row r="1200" spans="1:20" ht="37" customHeight="1">
      <c r="A1200" s="19" t="s">
        <v>7675</v>
      </c>
      <c r="B1200" s="4" t="s">
        <v>1193</v>
      </c>
      <c r="C1200" s="198" t="s">
        <v>2640</v>
      </c>
      <c r="D1200" s="160" t="s">
        <v>3204</v>
      </c>
      <c r="E1200" s="198" t="s">
        <v>2272</v>
      </c>
      <c r="F1200" s="198" t="s">
        <v>2272</v>
      </c>
      <c r="G1200" s="198" t="s">
        <v>2272</v>
      </c>
      <c r="H1200" s="198" t="s">
        <v>2272</v>
      </c>
      <c r="I1200" s="198" t="s">
        <v>2272</v>
      </c>
      <c r="J1200" s="198" t="s">
        <v>2272</v>
      </c>
      <c r="K1200" s="198" t="s">
        <v>2272</v>
      </c>
      <c r="L1200" s="198" t="s">
        <v>2272</v>
      </c>
      <c r="M1200" s="198" t="s">
        <v>2272</v>
      </c>
      <c r="N1200" s="198" t="s">
        <v>2272</v>
      </c>
      <c r="O1200" s="198" t="s">
        <v>2272</v>
      </c>
      <c r="P1200" s="198" t="s">
        <v>2272</v>
      </c>
      <c r="Q1200" s="198" t="s">
        <v>2272</v>
      </c>
      <c r="R1200" s="198" t="s">
        <v>2272</v>
      </c>
      <c r="S1200" s="198" t="s">
        <v>2272</v>
      </c>
      <c r="T1200" s="198" t="s">
        <v>7765</v>
      </c>
    </row>
    <row r="1201" spans="1:20" ht="37" customHeight="1">
      <c r="A1201" s="19" t="s">
        <v>7676</v>
      </c>
      <c r="B1201" s="4" t="s">
        <v>1193</v>
      </c>
      <c r="C1201" s="198" t="s">
        <v>2640</v>
      </c>
      <c r="D1201" s="160" t="s">
        <v>3204</v>
      </c>
      <c r="E1201" s="198" t="s">
        <v>2272</v>
      </c>
      <c r="F1201" s="198" t="s">
        <v>2272</v>
      </c>
      <c r="G1201" s="198" t="s">
        <v>2272</v>
      </c>
      <c r="H1201" s="198" t="s">
        <v>2272</v>
      </c>
      <c r="I1201" s="198" t="s">
        <v>2272</v>
      </c>
      <c r="J1201" s="198" t="s">
        <v>2272</v>
      </c>
      <c r="K1201" s="198" t="s">
        <v>2272</v>
      </c>
      <c r="L1201" s="198" t="s">
        <v>2272</v>
      </c>
      <c r="M1201" s="198" t="s">
        <v>2272</v>
      </c>
      <c r="N1201" s="198" t="s">
        <v>2272</v>
      </c>
      <c r="O1201" s="198" t="s">
        <v>2272</v>
      </c>
      <c r="P1201" s="198" t="s">
        <v>2272</v>
      </c>
      <c r="Q1201" s="198" t="s">
        <v>2272</v>
      </c>
      <c r="R1201" s="198" t="s">
        <v>2272</v>
      </c>
      <c r="S1201" s="198" t="s">
        <v>2272</v>
      </c>
      <c r="T1201" s="198" t="s">
        <v>7765</v>
      </c>
    </row>
    <row r="1202" spans="1:20" ht="37" customHeight="1">
      <c r="A1202" s="19" t="s">
        <v>7677</v>
      </c>
      <c r="B1202" s="4" t="s">
        <v>1193</v>
      </c>
      <c r="C1202" s="198" t="s">
        <v>2640</v>
      </c>
      <c r="D1202" s="160" t="s">
        <v>3204</v>
      </c>
      <c r="E1202" s="198" t="s">
        <v>2272</v>
      </c>
      <c r="F1202" s="198" t="s">
        <v>2272</v>
      </c>
      <c r="G1202" s="198" t="s">
        <v>2272</v>
      </c>
      <c r="H1202" s="198" t="s">
        <v>2272</v>
      </c>
      <c r="I1202" s="198" t="s">
        <v>2272</v>
      </c>
      <c r="J1202" s="198" t="s">
        <v>2272</v>
      </c>
      <c r="K1202" s="198" t="s">
        <v>2272</v>
      </c>
      <c r="L1202" s="198" t="s">
        <v>2272</v>
      </c>
      <c r="M1202" s="198" t="s">
        <v>2272</v>
      </c>
      <c r="N1202" s="198" t="s">
        <v>2272</v>
      </c>
      <c r="O1202" s="198" t="s">
        <v>2272</v>
      </c>
      <c r="P1202" s="198" t="s">
        <v>2272</v>
      </c>
      <c r="Q1202" s="198" t="s">
        <v>2272</v>
      </c>
      <c r="R1202" s="198" t="s">
        <v>2272</v>
      </c>
      <c r="S1202" s="198" t="s">
        <v>2272</v>
      </c>
      <c r="T1202" s="198" t="s">
        <v>7765</v>
      </c>
    </row>
    <row r="1203" spans="1:20" ht="37" customHeight="1">
      <c r="A1203" s="19" t="s">
        <v>7678</v>
      </c>
      <c r="B1203" s="4" t="s">
        <v>1193</v>
      </c>
      <c r="C1203" s="198" t="s">
        <v>2640</v>
      </c>
      <c r="D1203" s="160" t="s">
        <v>3204</v>
      </c>
      <c r="E1203" s="198" t="s">
        <v>2272</v>
      </c>
      <c r="F1203" s="198" t="s">
        <v>2272</v>
      </c>
      <c r="G1203" s="198" t="s">
        <v>2272</v>
      </c>
      <c r="H1203" s="198" t="s">
        <v>2272</v>
      </c>
      <c r="I1203" s="198" t="s">
        <v>2272</v>
      </c>
      <c r="J1203" s="198" t="s">
        <v>2272</v>
      </c>
      <c r="K1203" s="198" t="s">
        <v>2272</v>
      </c>
      <c r="L1203" s="198" t="s">
        <v>2272</v>
      </c>
      <c r="M1203" s="198" t="s">
        <v>2272</v>
      </c>
      <c r="N1203" s="198" t="s">
        <v>2272</v>
      </c>
      <c r="O1203" s="198" t="s">
        <v>2272</v>
      </c>
      <c r="P1203" s="198" t="s">
        <v>2272</v>
      </c>
      <c r="Q1203" s="198" t="s">
        <v>2272</v>
      </c>
      <c r="R1203" s="198" t="s">
        <v>2272</v>
      </c>
      <c r="S1203" s="198" t="s">
        <v>2272</v>
      </c>
      <c r="T1203" s="198" t="s">
        <v>7765</v>
      </c>
    </row>
    <row r="1204" spans="1:20" ht="37" customHeight="1">
      <c r="A1204" s="19" t="s">
        <v>7679</v>
      </c>
      <c r="B1204" s="4" t="s">
        <v>1193</v>
      </c>
      <c r="C1204" s="198" t="s">
        <v>2640</v>
      </c>
      <c r="D1204" s="160" t="s">
        <v>3204</v>
      </c>
      <c r="E1204" s="198" t="s">
        <v>2272</v>
      </c>
      <c r="F1204" s="198" t="s">
        <v>2272</v>
      </c>
      <c r="G1204" s="198" t="s">
        <v>2272</v>
      </c>
      <c r="H1204" s="198" t="s">
        <v>2272</v>
      </c>
      <c r="I1204" s="198" t="s">
        <v>2272</v>
      </c>
      <c r="J1204" s="198" t="s">
        <v>2272</v>
      </c>
      <c r="K1204" s="198" t="s">
        <v>2272</v>
      </c>
      <c r="L1204" s="198" t="s">
        <v>2272</v>
      </c>
      <c r="M1204" s="198" t="s">
        <v>2272</v>
      </c>
      <c r="N1204" s="198" t="s">
        <v>2272</v>
      </c>
      <c r="O1204" s="198" t="s">
        <v>2272</v>
      </c>
      <c r="P1204" s="198" t="s">
        <v>2272</v>
      </c>
      <c r="Q1204" s="198" t="s">
        <v>2272</v>
      </c>
      <c r="R1204" s="198" t="s">
        <v>2272</v>
      </c>
      <c r="S1204" s="198" t="s">
        <v>2272</v>
      </c>
      <c r="T1204" s="198" t="s">
        <v>7765</v>
      </c>
    </row>
    <row r="1205" spans="1:20" ht="37" customHeight="1">
      <c r="A1205" s="19" t="s">
        <v>7680</v>
      </c>
      <c r="B1205" s="4" t="s">
        <v>1193</v>
      </c>
      <c r="C1205" s="198" t="s">
        <v>2640</v>
      </c>
      <c r="D1205" s="160" t="s">
        <v>3204</v>
      </c>
      <c r="E1205" s="198" t="s">
        <v>2272</v>
      </c>
      <c r="F1205" s="198" t="s">
        <v>2272</v>
      </c>
      <c r="G1205" s="198" t="s">
        <v>2272</v>
      </c>
      <c r="H1205" s="198" t="s">
        <v>2272</v>
      </c>
      <c r="I1205" s="198" t="s">
        <v>2272</v>
      </c>
      <c r="J1205" s="198" t="s">
        <v>2272</v>
      </c>
      <c r="K1205" s="198" t="s">
        <v>2272</v>
      </c>
      <c r="L1205" s="198" t="s">
        <v>2272</v>
      </c>
      <c r="M1205" s="198" t="s">
        <v>2272</v>
      </c>
      <c r="N1205" s="198" t="s">
        <v>2272</v>
      </c>
      <c r="O1205" s="198" t="s">
        <v>2272</v>
      </c>
      <c r="P1205" s="198" t="s">
        <v>2272</v>
      </c>
      <c r="Q1205" s="198" t="s">
        <v>2272</v>
      </c>
      <c r="R1205" s="198" t="s">
        <v>2272</v>
      </c>
      <c r="S1205" s="198" t="s">
        <v>2272</v>
      </c>
      <c r="T1205" s="198" t="s">
        <v>7765</v>
      </c>
    </row>
    <row r="1206" spans="1:20" ht="37" customHeight="1">
      <c r="A1206" s="19" t="s">
        <v>7681</v>
      </c>
      <c r="B1206" s="4" t="s">
        <v>1193</v>
      </c>
      <c r="C1206" s="198" t="s">
        <v>2640</v>
      </c>
      <c r="D1206" s="160" t="s">
        <v>3204</v>
      </c>
      <c r="E1206" s="198" t="s">
        <v>2272</v>
      </c>
      <c r="F1206" s="198" t="s">
        <v>2272</v>
      </c>
      <c r="G1206" s="198" t="s">
        <v>2272</v>
      </c>
      <c r="H1206" s="198" t="s">
        <v>2272</v>
      </c>
      <c r="I1206" s="198" t="s">
        <v>2272</v>
      </c>
      <c r="J1206" s="198" t="s">
        <v>2272</v>
      </c>
      <c r="K1206" s="198" t="s">
        <v>2272</v>
      </c>
      <c r="L1206" s="198" t="s">
        <v>2272</v>
      </c>
      <c r="M1206" s="198" t="s">
        <v>2272</v>
      </c>
      <c r="N1206" s="198" t="s">
        <v>2272</v>
      </c>
      <c r="O1206" s="198" t="s">
        <v>2272</v>
      </c>
      <c r="P1206" s="198" t="s">
        <v>2272</v>
      </c>
      <c r="Q1206" s="198" t="s">
        <v>2272</v>
      </c>
      <c r="R1206" s="198" t="s">
        <v>2272</v>
      </c>
      <c r="S1206" s="198" t="s">
        <v>2272</v>
      </c>
      <c r="T1206" s="198" t="s">
        <v>7765</v>
      </c>
    </row>
    <row r="1207" spans="1:20" ht="37" customHeight="1">
      <c r="A1207" s="19" t="s">
        <v>7749</v>
      </c>
      <c r="B1207" s="4" t="s">
        <v>1193</v>
      </c>
      <c r="C1207" s="198" t="s">
        <v>2640</v>
      </c>
      <c r="D1207" s="160" t="s">
        <v>3204</v>
      </c>
      <c r="E1207" s="198" t="s">
        <v>2272</v>
      </c>
      <c r="F1207" s="198" t="s">
        <v>2272</v>
      </c>
      <c r="G1207" s="198" t="s">
        <v>2272</v>
      </c>
      <c r="H1207" s="198" t="s">
        <v>2272</v>
      </c>
      <c r="I1207" s="198" t="s">
        <v>2272</v>
      </c>
      <c r="J1207" s="198" t="s">
        <v>2272</v>
      </c>
      <c r="K1207" s="198" t="s">
        <v>2272</v>
      </c>
      <c r="L1207" s="198" t="s">
        <v>2272</v>
      </c>
      <c r="M1207" s="198" t="s">
        <v>2272</v>
      </c>
      <c r="N1207" s="198" t="s">
        <v>2272</v>
      </c>
      <c r="O1207" s="198" t="s">
        <v>2272</v>
      </c>
      <c r="P1207" s="198" t="s">
        <v>2272</v>
      </c>
      <c r="Q1207" s="198" t="s">
        <v>2272</v>
      </c>
      <c r="R1207" s="198" t="s">
        <v>2272</v>
      </c>
      <c r="S1207" s="198" t="s">
        <v>2272</v>
      </c>
      <c r="T1207" s="198" t="s">
        <v>7765</v>
      </c>
    </row>
    <row r="1208" spans="1:20" ht="37" customHeight="1">
      <c r="A1208" s="19" t="s">
        <v>7750</v>
      </c>
      <c r="B1208" s="4" t="s">
        <v>1193</v>
      </c>
      <c r="C1208" s="198" t="s">
        <v>2640</v>
      </c>
      <c r="D1208" s="160" t="s">
        <v>3204</v>
      </c>
      <c r="E1208" s="198" t="s">
        <v>2272</v>
      </c>
      <c r="F1208" s="198" t="s">
        <v>2272</v>
      </c>
      <c r="G1208" s="198" t="s">
        <v>2272</v>
      </c>
      <c r="H1208" s="198" t="s">
        <v>2272</v>
      </c>
      <c r="I1208" s="198" t="s">
        <v>2272</v>
      </c>
      <c r="J1208" s="198" t="s">
        <v>2272</v>
      </c>
      <c r="K1208" s="198" t="s">
        <v>2272</v>
      </c>
      <c r="L1208" s="198" t="s">
        <v>2272</v>
      </c>
      <c r="M1208" s="198" t="s">
        <v>2272</v>
      </c>
      <c r="N1208" s="198" t="s">
        <v>2272</v>
      </c>
      <c r="O1208" s="198" t="s">
        <v>2272</v>
      </c>
      <c r="P1208" s="198" t="s">
        <v>2272</v>
      </c>
      <c r="Q1208" s="198" t="s">
        <v>2272</v>
      </c>
      <c r="R1208" s="198" t="s">
        <v>2272</v>
      </c>
      <c r="S1208" s="198" t="s">
        <v>2272</v>
      </c>
      <c r="T1208" s="198" t="s">
        <v>7765</v>
      </c>
    </row>
    <row r="1209" spans="1:20" ht="37" customHeight="1">
      <c r="A1209" s="19" t="s">
        <v>7751</v>
      </c>
      <c r="B1209" s="4" t="s">
        <v>1193</v>
      </c>
      <c r="C1209" s="198" t="s">
        <v>2640</v>
      </c>
      <c r="D1209" s="160" t="s">
        <v>3204</v>
      </c>
      <c r="E1209" s="198" t="s">
        <v>2272</v>
      </c>
      <c r="F1209" s="198" t="s">
        <v>2272</v>
      </c>
      <c r="G1209" s="198" t="s">
        <v>2272</v>
      </c>
      <c r="H1209" s="198" t="s">
        <v>2272</v>
      </c>
      <c r="I1209" s="198" t="s">
        <v>2272</v>
      </c>
      <c r="J1209" s="198" t="s">
        <v>2272</v>
      </c>
      <c r="K1209" s="198" t="s">
        <v>2272</v>
      </c>
      <c r="L1209" s="198" t="s">
        <v>2272</v>
      </c>
      <c r="M1209" s="198" t="s">
        <v>2272</v>
      </c>
      <c r="N1209" s="198" t="s">
        <v>2272</v>
      </c>
      <c r="O1209" s="198" t="s">
        <v>2272</v>
      </c>
      <c r="P1209" s="198" t="s">
        <v>2272</v>
      </c>
      <c r="Q1209" s="198" t="s">
        <v>2272</v>
      </c>
      <c r="R1209" s="198" t="s">
        <v>2272</v>
      </c>
      <c r="S1209" s="198" t="s">
        <v>2272</v>
      </c>
      <c r="T1209" s="198" t="s">
        <v>7765</v>
      </c>
    </row>
    <row r="1210" spans="1:20" ht="37" customHeight="1">
      <c r="A1210" s="19" t="s">
        <v>7752</v>
      </c>
      <c r="B1210" s="4" t="s">
        <v>1193</v>
      </c>
      <c r="C1210" s="198" t="s">
        <v>2640</v>
      </c>
      <c r="D1210" s="160" t="s">
        <v>3204</v>
      </c>
      <c r="E1210" s="198" t="s">
        <v>2272</v>
      </c>
      <c r="F1210" s="198" t="s">
        <v>2272</v>
      </c>
      <c r="G1210" s="198" t="s">
        <v>2272</v>
      </c>
      <c r="H1210" s="198" t="s">
        <v>2272</v>
      </c>
      <c r="I1210" s="198" t="s">
        <v>2272</v>
      </c>
      <c r="J1210" s="198" t="s">
        <v>2272</v>
      </c>
      <c r="K1210" s="198" t="s">
        <v>2272</v>
      </c>
      <c r="L1210" s="198" t="s">
        <v>2272</v>
      </c>
      <c r="M1210" s="198" t="s">
        <v>2272</v>
      </c>
      <c r="N1210" s="198" t="s">
        <v>2272</v>
      </c>
      <c r="O1210" s="198" t="s">
        <v>2272</v>
      </c>
      <c r="P1210" s="198" t="s">
        <v>2272</v>
      </c>
      <c r="Q1210" s="198" t="s">
        <v>2272</v>
      </c>
      <c r="R1210" s="198" t="s">
        <v>2272</v>
      </c>
      <c r="S1210" s="198" t="s">
        <v>2272</v>
      </c>
      <c r="T1210" s="198" t="s">
        <v>7765</v>
      </c>
    </row>
    <row r="1211" spans="1:20" ht="37" customHeight="1">
      <c r="A1211" s="19" t="s">
        <v>7753</v>
      </c>
      <c r="B1211" s="4" t="s">
        <v>1193</v>
      </c>
      <c r="C1211" s="198" t="s">
        <v>2640</v>
      </c>
      <c r="D1211" s="160" t="s">
        <v>3204</v>
      </c>
      <c r="E1211" s="198" t="s">
        <v>2272</v>
      </c>
      <c r="F1211" s="198" t="s">
        <v>2272</v>
      </c>
      <c r="G1211" s="198" t="s">
        <v>2272</v>
      </c>
      <c r="H1211" s="198" t="s">
        <v>2272</v>
      </c>
      <c r="I1211" s="198" t="s">
        <v>2272</v>
      </c>
      <c r="J1211" s="198" t="s">
        <v>2272</v>
      </c>
      <c r="K1211" s="198" t="s">
        <v>2272</v>
      </c>
      <c r="L1211" s="198" t="s">
        <v>2272</v>
      </c>
      <c r="M1211" s="198" t="s">
        <v>2272</v>
      </c>
      <c r="N1211" s="198" t="s">
        <v>2272</v>
      </c>
      <c r="O1211" s="198" t="s">
        <v>2272</v>
      </c>
      <c r="P1211" s="198" t="s">
        <v>2272</v>
      </c>
      <c r="Q1211" s="198" t="s">
        <v>2272</v>
      </c>
      <c r="R1211" s="198" t="s">
        <v>2272</v>
      </c>
      <c r="S1211" s="198" t="s">
        <v>2272</v>
      </c>
      <c r="T1211" s="198" t="s">
        <v>7765</v>
      </c>
    </row>
    <row r="1212" spans="1:20" ht="37" customHeight="1">
      <c r="A1212" s="19" t="s">
        <v>7754</v>
      </c>
      <c r="B1212" s="4" t="s">
        <v>1193</v>
      </c>
      <c r="C1212" s="198" t="s">
        <v>2640</v>
      </c>
      <c r="D1212" s="160" t="s">
        <v>3204</v>
      </c>
      <c r="E1212" s="198" t="s">
        <v>2272</v>
      </c>
      <c r="F1212" s="198" t="s">
        <v>2272</v>
      </c>
      <c r="G1212" s="198" t="s">
        <v>2272</v>
      </c>
      <c r="H1212" s="198" t="s">
        <v>2272</v>
      </c>
      <c r="I1212" s="198" t="s">
        <v>2272</v>
      </c>
      <c r="J1212" s="198" t="s">
        <v>2272</v>
      </c>
      <c r="K1212" s="198" t="s">
        <v>2272</v>
      </c>
      <c r="L1212" s="198" t="s">
        <v>2272</v>
      </c>
      <c r="M1212" s="198" t="s">
        <v>2272</v>
      </c>
      <c r="N1212" s="198" t="s">
        <v>2272</v>
      </c>
      <c r="O1212" s="198" t="s">
        <v>2272</v>
      </c>
      <c r="P1212" s="198" t="s">
        <v>2272</v>
      </c>
      <c r="Q1212" s="198" t="s">
        <v>2272</v>
      </c>
      <c r="R1212" s="198" t="s">
        <v>2272</v>
      </c>
      <c r="S1212" s="198" t="s">
        <v>2272</v>
      </c>
      <c r="T1212" s="198" t="s">
        <v>7765</v>
      </c>
    </row>
    <row r="1213" spans="1:20" ht="37" customHeight="1">
      <c r="A1213" s="19" t="s">
        <v>7755</v>
      </c>
      <c r="B1213" s="4" t="s">
        <v>1193</v>
      </c>
      <c r="C1213" s="198" t="s">
        <v>2640</v>
      </c>
      <c r="D1213" s="160" t="s">
        <v>3204</v>
      </c>
      <c r="E1213" s="198" t="s">
        <v>2272</v>
      </c>
      <c r="F1213" s="198" t="s">
        <v>2272</v>
      </c>
      <c r="G1213" s="198" t="s">
        <v>2272</v>
      </c>
      <c r="H1213" s="198" t="s">
        <v>2272</v>
      </c>
      <c r="I1213" s="198" t="s">
        <v>2272</v>
      </c>
      <c r="J1213" s="198" t="s">
        <v>2272</v>
      </c>
      <c r="K1213" s="198" t="s">
        <v>2272</v>
      </c>
      <c r="L1213" s="198" t="s">
        <v>2272</v>
      </c>
      <c r="M1213" s="198" t="s">
        <v>2272</v>
      </c>
      <c r="N1213" s="198" t="s">
        <v>2272</v>
      </c>
      <c r="O1213" s="198" t="s">
        <v>2272</v>
      </c>
      <c r="P1213" s="198" t="s">
        <v>2272</v>
      </c>
      <c r="Q1213" s="198" t="s">
        <v>2272</v>
      </c>
      <c r="R1213" s="198" t="s">
        <v>2272</v>
      </c>
      <c r="S1213" s="198" t="s">
        <v>2272</v>
      </c>
      <c r="T1213" s="198" t="s">
        <v>7765</v>
      </c>
    </row>
    <row r="1214" spans="1:20" ht="37" customHeight="1">
      <c r="A1214" s="19" t="s">
        <v>11568</v>
      </c>
      <c r="B1214" s="4" t="s">
        <v>1193</v>
      </c>
      <c r="C1214" s="198" t="s">
        <v>2640</v>
      </c>
      <c r="D1214" s="160" t="s">
        <v>3204</v>
      </c>
      <c r="E1214" s="198" t="s">
        <v>2272</v>
      </c>
      <c r="F1214" s="198" t="s">
        <v>2272</v>
      </c>
      <c r="G1214" s="198" t="s">
        <v>2272</v>
      </c>
      <c r="H1214" s="198" t="s">
        <v>2272</v>
      </c>
      <c r="I1214" s="198" t="s">
        <v>2272</v>
      </c>
      <c r="J1214" s="198" t="s">
        <v>2272</v>
      </c>
      <c r="K1214" s="198" t="s">
        <v>2272</v>
      </c>
      <c r="L1214" s="198" t="s">
        <v>2272</v>
      </c>
      <c r="M1214" s="198" t="s">
        <v>2272</v>
      </c>
      <c r="N1214" s="198" t="s">
        <v>2272</v>
      </c>
      <c r="O1214" s="198" t="s">
        <v>2272</v>
      </c>
      <c r="P1214" s="198" t="s">
        <v>2272</v>
      </c>
      <c r="Q1214" s="198" t="s">
        <v>2272</v>
      </c>
      <c r="R1214" s="198" t="s">
        <v>2272</v>
      </c>
      <c r="S1214" s="198" t="s">
        <v>2272</v>
      </c>
      <c r="T1214" s="198" t="s">
        <v>7765</v>
      </c>
    </row>
    <row r="1215" spans="1:20" ht="37" customHeight="1">
      <c r="A1215" s="19" t="s">
        <v>7756</v>
      </c>
      <c r="B1215" s="4" t="s">
        <v>1193</v>
      </c>
      <c r="C1215" s="198" t="s">
        <v>2640</v>
      </c>
      <c r="D1215" s="160" t="s">
        <v>3204</v>
      </c>
      <c r="E1215" s="198" t="s">
        <v>2272</v>
      </c>
      <c r="F1215" s="198" t="s">
        <v>2272</v>
      </c>
      <c r="G1215" s="198" t="s">
        <v>2272</v>
      </c>
      <c r="H1215" s="198" t="s">
        <v>2272</v>
      </c>
      <c r="I1215" s="198" t="s">
        <v>2272</v>
      </c>
      <c r="J1215" s="198" t="s">
        <v>2272</v>
      </c>
      <c r="K1215" s="198" t="s">
        <v>2272</v>
      </c>
      <c r="L1215" s="198" t="s">
        <v>2272</v>
      </c>
      <c r="M1215" s="198" t="s">
        <v>2272</v>
      </c>
      <c r="N1215" s="198" t="s">
        <v>2272</v>
      </c>
      <c r="O1215" s="198" t="s">
        <v>2272</v>
      </c>
      <c r="P1215" s="198" t="s">
        <v>2272</v>
      </c>
      <c r="Q1215" s="198" t="s">
        <v>2272</v>
      </c>
      <c r="R1215" s="198" t="s">
        <v>2272</v>
      </c>
      <c r="S1215" s="198" t="s">
        <v>2272</v>
      </c>
      <c r="T1215" s="198" t="s">
        <v>7765</v>
      </c>
    </row>
    <row r="1216" spans="1:20" ht="37" customHeight="1">
      <c r="A1216" s="19" t="s">
        <v>7757</v>
      </c>
      <c r="B1216" s="4" t="s">
        <v>1193</v>
      </c>
      <c r="C1216" s="198" t="s">
        <v>2640</v>
      </c>
      <c r="D1216" s="160" t="s">
        <v>3204</v>
      </c>
      <c r="E1216" s="198" t="s">
        <v>2272</v>
      </c>
      <c r="F1216" s="198" t="s">
        <v>2272</v>
      </c>
      <c r="G1216" s="198" t="s">
        <v>2272</v>
      </c>
      <c r="H1216" s="198" t="s">
        <v>2272</v>
      </c>
      <c r="I1216" s="198" t="s">
        <v>2272</v>
      </c>
      <c r="J1216" s="198" t="s">
        <v>2272</v>
      </c>
      <c r="K1216" s="198" t="s">
        <v>2272</v>
      </c>
      <c r="L1216" s="198" t="s">
        <v>2272</v>
      </c>
      <c r="M1216" s="198" t="s">
        <v>2272</v>
      </c>
      <c r="N1216" s="198" t="s">
        <v>2272</v>
      </c>
      <c r="O1216" s="198" t="s">
        <v>2272</v>
      </c>
      <c r="P1216" s="198" t="s">
        <v>2272</v>
      </c>
      <c r="Q1216" s="198" t="s">
        <v>2272</v>
      </c>
      <c r="R1216" s="198" t="s">
        <v>2272</v>
      </c>
      <c r="S1216" s="198" t="s">
        <v>2272</v>
      </c>
      <c r="T1216" s="198" t="s">
        <v>7765</v>
      </c>
    </row>
    <row r="1217" spans="1:20" ht="37" customHeight="1">
      <c r="A1217" s="19" t="s">
        <v>7758</v>
      </c>
      <c r="B1217" s="4" t="s">
        <v>1193</v>
      </c>
      <c r="C1217" s="198" t="s">
        <v>2640</v>
      </c>
      <c r="D1217" s="160" t="s">
        <v>3204</v>
      </c>
      <c r="E1217" s="198" t="s">
        <v>2272</v>
      </c>
      <c r="F1217" s="198" t="s">
        <v>2272</v>
      </c>
      <c r="G1217" s="198" t="s">
        <v>2272</v>
      </c>
      <c r="H1217" s="198" t="s">
        <v>2272</v>
      </c>
      <c r="I1217" s="198" t="s">
        <v>2272</v>
      </c>
      <c r="J1217" s="198" t="s">
        <v>2272</v>
      </c>
      <c r="K1217" s="198" t="s">
        <v>2272</v>
      </c>
      <c r="L1217" s="198" t="s">
        <v>2272</v>
      </c>
      <c r="M1217" s="198" t="s">
        <v>2272</v>
      </c>
      <c r="N1217" s="198" t="s">
        <v>2272</v>
      </c>
      <c r="O1217" s="198" t="s">
        <v>2272</v>
      </c>
      <c r="P1217" s="198" t="s">
        <v>2272</v>
      </c>
      <c r="Q1217" s="198" t="s">
        <v>2272</v>
      </c>
      <c r="R1217" s="198" t="s">
        <v>2272</v>
      </c>
      <c r="S1217" s="198" t="s">
        <v>2272</v>
      </c>
      <c r="T1217" s="198" t="s">
        <v>7765</v>
      </c>
    </row>
    <row r="1218" spans="1:20" ht="37" customHeight="1">
      <c r="A1218" s="19" t="s">
        <v>7759</v>
      </c>
      <c r="B1218" s="4" t="s">
        <v>1193</v>
      </c>
      <c r="C1218" s="198" t="s">
        <v>2640</v>
      </c>
      <c r="D1218" s="160" t="s">
        <v>3204</v>
      </c>
      <c r="E1218" s="198" t="s">
        <v>2272</v>
      </c>
      <c r="F1218" s="198" t="s">
        <v>2272</v>
      </c>
      <c r="G1218" s="198" t="s">
        <v>2272</v>
      </c>
      <c r="H1218" s="198" t="s">
        <v>2272</v>
      </c>
      <c r="I1218" s="198" t="s">
        <v>2272</v>
      </c>
      <c r="J1218" s="198" t="s">
        <v>2272</v>
      </c>
      <c r="K1218" s="198" t="s">
        <v>2272</v>
      </c>
      <c r="L1218" s="198" t="s">
        <v>2272</v>
      </c>
      <c r="M1218" s="198" t="s">
        <v>2272</v>
      </c>
      <c r="N1218" s="198" t="s">
        <v>2272</v>
      </c>
      <c r="O1218" s="198" t="s">
        <v>2272</v>
      </c>
      <c r="P1218" s="198" t="s">
        <v>2272</v>
      </c>
      <c r="Q1218" s="198" t="s">
        <v>2272</v>
      </c>
      <c r="R1218" s="198" t="s">
        <v>2272</v>
      </c>
      <c r="S1218" s="198" t="s">
        <v>2272</v>
      </c>
      <c r="T1218" s="198" t="s">
        <v>7765</v>
      </c>
    </row>
    <row r="1219" spans="1:20" ht="37" customHeight="1">
      <c r="A1219" s="19" t="s">
        <v>7760</v>
      </c>
      <c r="B1219" s="4" t="s">
        <v>1193</v>
      </c>
      <c r="C1219" s="198" t="s">
        <v>2640</v>
      </c>
      <c r="D1219" s="160" t="s">
        <v>3204</v>
      </c>
      <c r="E1219" s="198" t="s">
        <v>2272</v>
      </c>
      <c r="F1219" s="198" t="s">
        <v>2272</v>
      </c>
      <c r="G1219" s="198" t="s">
        <v>2272</v>
      </c>
      <c r="H1219" s="198" t="s">
        <v>2272</v>
      </c>
      <c r="I1219" s="198" t="s">
        <v>2272</v>
      </c>
      <c r="J1219" s="198" t="s">
        <v>2272</v>
      </c>
      <c r="K1219" s="198" t="s">
        <v>2272</v>
      </c>
      <c r="L1219" s="198" t="s">
        <v>2272</v>
      </c>
      <c r="M1219" s="198" t="s">
        <v>2272</v>
      </c>
      <c r="N1219" s="198" t="s">
        <v>2272</v>
      </c>
      <c r="O1219" s="198" t="s">
        <v>2272</v>
      </c>
      <c r="P1219" s="198" t="s">
        <v>2272</v>
      </c>
      <c r="Q1219" s="198" t="s">
        <v>2272</v>
      </c>
      <c r="R1219" s="198" t="s">
        <v>2272</v>
      </c>
      <c r="S1219" s="198" t="s">
        <v>2272</v>
      </c>
      <c r="T1219" s="198" t="s">
        <v>7765</v>
      </c>
    </row>
    <row r="1220" spans="1:20" ht="37" customHeight="1">
      <c r="A1220" s="19" t="s">
        <v>7761</v>
      </c>
      <c r="B1220" s="4" t="s">
        <v>1193</v>
      </c>
      <c r="C1220" s="198" t="s">
        <v>2640</v>
      </c>
      <c r="D1220" s="160" t="s">
        <v>3204</v>
      </c>
      <c r="E1220" s="198" t="s">
        <v>2272</v>
      </c>
      <c r="F1220" s="198" t="s">
        <v>2272</v>
      </c>
      <c r="G1220" s="198" t="s">
        <v>2272</v>
      </c>
      <c r="H1220" s="198" t="s">
        <v>2272</v>
      </c>
      <c r="I1220" s="198" t="s">
        <v>2272</v>
      </c>
      <c r="J1220" s="198" t="s">
        <v>2272</v>
      </c>
      <c r="K1220" s="198" t="s">
        <v>2272</v>
      </c>
      <c r="L1220" s="198" t="s">
        <v>2272</v>
      </c>
      <c r="M1220" s="198" t="s">
        <v>2272</v>
      </c>
      <c r="N1220" s="198" t="s">
        <v>2272</v>
      </c>
      <c r="O1220" s="198" t="s">
        <v>2272</v>
      </c>
      <c r="P1220" s="198" t="s">
        <v>2272</v>
      </c>
      <c r="Q1220" s="198" t="s">
        <v>2272</v>
      </c>
      <c r="R1220" s="198" t="s">
        <v>2272</v>
      </c>
      <c r="S1220" s="198" t="s">
        <v>2272</v>
      </c>
      <c r="T1220" s="198" t="s">
        <v>7765</v>
      </c>
    </row>
    <row r="1221" spans="1:20" ht="37" customHeight="1">
      <c r="A1221" s="19" t="s">
        <v>7762</v>
      </c>
      <c r="B1221" s="4" t="s">
        <v>1193</v>
      </c>
      <c r="C1221" s="198" t="s">
        <v>2640</v>
      </c>
      <c r="D1221" s="160" t="s">
        <v>3204</v>
      </c>
      <c r="E1221" s="198" t="s">
        <v>2272</v>
      </c>
      <c r="F1221" s="198" t="s">
        <v>2272</v>
      </c>
      <c r="G1221" s="198" t="s">
        <v>2272</v>
      </c>
      <c r="H1221" s="198" t="s">
        <v>2272</v>
      </c>
      <c r="I1221" s="198" t="s">
        <v>2272</v>
      </c>
      <c r="J1221" s="198" t="s">
        <v>2272</v>
      </c>
      <c r="K1221" s="198" t="s">
        <v>2272</v>
      </c>
      <c r="L1221" s="198" t="s">
        <v>2272</v>
      </c>
      <c r="M1221" s="198" t="s">
        <v>2272</v>
      </c>
      <c r="N1221" s="198" t="s">
        <v>2272</v>
      </c>
      <c r="O1221" s="198" t="s">
        <v>2272</v>
      </c>
      <c r="P1221" s="198" t="s">
        <v>2272</v>
      </c>
      <c r="Q1221" s="198" t="s">
        <v>2272</v>
      </c>
      <c r="R1221" s="198" t="s">
        <v>2272</v>
      </c>
      <c r="S1221" s="198" t="s">
        <v>2272</v>
      </c>
      <c r="T1221" s="198" t="s">
        <v>7765</v>
      </c>
    </row>
    <row r="1222" spans="1:20" ht="37" customHeight="1">
      <c r="A1222" s="19" t="s">
        <v>7763</v>
      </c>
      <c r="B1222" s="4" t="s">
        <v>1193</v>
      </c>
      <c r="C1222" s="198" t="s">
        <v>2640</v>
      </c>
      <c r="D1222" s="160" t="s">
        <v>3204</v>
      </c>
      <c r="E1222" s="198" t="s">
        <v>2272</v>
      </c>
      <c r="F1222" s="198" t="s">
        <v>2272</v>
      </c>
      <c r="G1222" s="198" t="s">
        <v>2272</v>
      </c>
      <c r="H1222" s="198" t="s">
        <v>2272</v>
      </c>
      <c r="I1222" s="198" t="s">
        <v>2272</v>
      </c>
      <c r="J1222" s="198" t="s">
        <v>2272</v>
      </c>
      <c r="K1222" s="198" t="s">
        <v>2272</v>
      </c>
      <c r="L1222" s="198" t="s">
        <v>2272</v>
      </c>
      <c r="M1222" s="198" t="s">
        <v>2272</v>
      </c>
      <c r="N1222" s="198" t="s">
        <v>2272</v>
      </c>
      <c r="O1222" s="198" t="s">
        <v>2272</v>
      </c>
      <c r="P1222" s="198" t="s">
        <v>2272</v>
      </c>
      <c r="Q1222" s="198" t="s">
        <v>2272</v>
      </c>
      <c r="R1222" s="198" t="s">
        <v>2272</v>
      </c>
      <c r="S1222" s="198" t="s">
        <v>2272</v>
      </c>
      <c r="T1222" s="198" t="s">
        <v>7765</v>
      </c>
    </row>
    <row r="1223" spans="1:20" ht="39" customHeight="1">
      <c r="A1223" s="19" t="s">
        <v>7841</v>
      </c>
      <c r="B1223" s="198" t="s">
        <v>31</v>
      </c>
      <c r="C1223" s="198" t="s">
        <v>2640</v>
      </c>
      <c r="D1223" s="198" t="s">
        <v>2644</v>
      </c>
      <c r="E1223" s="198" t="s">
        <v>135</v>
      </c>
      <c r="F1223" s="198" t="s">
        <v>2272</v>
      </c>
      <c r="G1223" s="198" t="s">
        <v>2272</v>
      </c>
      <c r="H1223" s="198" t="s">
        <v>2272</v>
      </c>
      <c r="I1223" s="198" t="s">
        <v>2272</v>
      </c>
      <c r="J1223" s="198" t="s">
        <v>2272</v>
      </c>
      <c r="K1223" s="198" t="s">
        <v>532</v>
      </c>
      <c r="L1223" s="198" t="s">
        <v>2272</v>
      </c>
      <c r="M1223" s="198" t="s">
        <v>2272</v>
      </c>
      <c r="N1223" s="198" t="s">
        <v>2272</v>
      </c>
      <c r="O1223" s="198" t="s">
        <v>2272</v>
      </c>
      <c r="P1223" s="198" t="s">
        <v>2272</v>
      </c>
      <c r="Q1223" s="198" t="s">
        <v>2272</v>
      </c>
      <c r="R1223" s="198" t="s">
        <v>2272</v>
      </c>
      <c r="S1223" s="198" t="s">
        <v>2272</v>
      </c>
      <c r="T1223" s="198"/>
    </row>
    <row r="1224" spans="1:20" ht="44" customHeight="1">
      <c r="A1224" s="19" t="s">
        <v>7844</v>
      </c>
      <c r="B1224" s="198" t="s">
        <v>1193</v>
      </c>
      <c r="C1224" s="198" t="s">
        <v>2641</v>
      </c>
      <c r="D1224" s="198" t="s">
        <v>135</v>
      </c>
      <c r="E1224" s="198" t="s">
        <v>2272</v>
      </c>
      <c r="F1224" s="198" t="s">
        <v>2272</v>
      </c>
      <c r="G1224" s="198" t="s">
        <v>2272</v>
      </c>
      <c r="H1224" s="198" t="s">
        <v>2272</v>
      </c>
      <c r="I1224" s="198" t="s">
        <v>2272</v>
      </c>
      <c r="J1224" s="198" t="s">
        <v>2272</v>
      </c>
      <c r="K1224" s="198" t="s">
        <v>532</v>
      </c>
      <c r="L1224" s="198" t="s">
        <v>2272</v>
      </c>
      <c r="M1224" s="198" t="s">
        <v>2272</v>
      </c>
      <c r="N1224" s="198" t="s">
        <v>2272</v>
      </c>
      <c r="O1224" s="198" t="s">
        <v>2272</v>
      </c>
      <c r="P1224" s="198" t="s">
        <v>2272</v>
      </c>
      <c r="Q1224" s="198" t="s">
        <v>2272</v>
      </c>
      <c r="R1224" s="198">
        <v>100</v>
      </c>
      <c r="S1224" s="198" t="s">
        <v>2272</v>
      </c>
      <c r="T1224" s="198"/>
    </row>
    <row r="1225" spans="1:20" ht="36" customHeight="1">
      <c r="A1225" s="19" t="s">
        <v>7862</v>
      </c>
      <c r="B1225" s="198" t="s">
        <v>2272</v>
      </c>
      <c r="C1225" s="198" t="s">
        <v>11</v>
      </c>
      <c r="D1225" s="198" t="s">
        <v>44</v>
      </c>
      <c r="E1225" s="198" t="s">
        <v>128</v>
      </c>
      <c r="F1225" s="198" t="s">
        <v>860</v>
      </c>
      <c r="G1225" s="198" t="s">
        <v>3849</v>
      </c>
      <c r="H1225" s="198" t="s">
        <v>2272</v>
      </c>
      <c r="I1225" s="198" t="s">
        <v>2272</v>
      </c>
      <c r="J1225" s="198" t="s">
        <v>2272</v>
      </c>
      <c r="K1225" s="198" t="s">
        <v>532</v>
      </c>
      <c r="L1225" s="198" t="s">
        <v>2272</v>
      </c>
      <c r="M1225" s="198" t="s">
        <v>2272</v>
      </c>
      <c r="N1225" s="198" t="s">
        <v>2272</v>
      </c>
      <c r="O1225" s="198" t="s">
        <v>2272</v>
      </c>
      <c r="P1225" s="198" t="s">
        <v>2272</v>
      </c>
      <c r="Q1225" s="198" t="s">
        <v>2272</v>
      </c>
      <c r="R1225" s="198" t="s">
        <v>2272</v>
      </c>
      <c r="S1225" s="198" t="s">
        <v>2272</v>
      </c>
      <c r="T1225" s="198"/>
    </row>
    <row r="1226" spans="1:20" ht="32" customHeight="1">
      <c r="A1226" s="19" t="s">
        <v>7875</v>
      </c>
      <c r="B1226" s="198" t="s">
        <v>2272</v>
      </c>
      <c r="C1226" s="198" t="s">
        <v>393</v>
      </c>
      <c r="D1226" s="198" t="s">
        <v>5000</v>
      </c>
      <c r="E1226" s="198" t="s">
        <v>44</v>
      </c>
      <c r="F1226" s="198" t="s">
        <v>2272</v>
      </c>
      <c r="G1226" s="198" t="s">
        <v>2272</v>
      </c>
      <c r="H1226" s="198" t="s">
        <v>2272</v>
      </c>
      <c r="I1226" s="198" t="s">
        <v>2272</v>
      </c>
      <c r="J1226" s="198" t="s">
        <v>2272</v>
      </c>
      <c r="K1226" s="198" t="s">
        <v>2272</v>
      </c>
      <c r="L1226" s="198" t="s">
        <v>2272</v>
      </c>
      <c r="M1226" s="198" t="s">
        <v>2272</v>
      </c>
      <c r="N1226" s="198" t="s">
        <v>2272</v>
      </c>
      <c r="O1226" s="198" t="s">
        <v>2272</v>
      </c>
      <c r="P1226" s="198" t="s">
        <v>2272</v>
      </c>
      <c r="Q1226" s="198" t="s">
        <v>2272</v>
      </c>
      <c r="R1226" s="198" t="s">
        <v>2272</v>
      </c>
      <c r="S1226" s="198" t="s">
        <v>2272</v>
      </c>
      <c r="T1226" s="198"/>
    </row>
    <row r="1227" spans="1:20" ht="33.5" customHeight="1">
      <c r="A1227" s="19" t="s">
        <v>7884</v>
      </c>
      <c r="B1227" s="198" t="s">
        <v>1193</v>
      </c>
      <c r="C1227" s="198" t="s">
        <v>2640</v>
      </c>
      <c r="D1227" s="198" t="s">
        <v>135</v>
      </c>
      <c r="E1227" s="198" t="s">
        <v>44</v>
      </c>
      <c r="F1227" s="198" t="s">
        <v>2272</v>
      </c>
      <c r="G1227" s="198" t="s">
        <v>2272</v>
      </c>
      <c r="H1227" s="198" t="s">
        <v>2272</v>
      </c>
      <c r="I1227" s="198" t="s">
        <v>2272</v>
      </c>
      <c r="J1227" s="198" t="s">
        <v>2272</v>
      </c>
      <c r="K1227" s="198" t="s">
        <v>2272</v>
      </c>
      <c r="L1227" s="198" t="s">
        <v>2272</v>
      </c>
      <c r="M1227" s="198" t="s">
        <v>2272</v>
      </c>
      <c r="N1227" s="198" t="s">
        <v>2272</v>
      </c>
      <c r="O1227" s="198" t="s">
        <v>2272</v>
      </c>
      <c r="P1227" s="198" t="s">
        <v>2272</v>
      </c>
      <c r="Q1227" s="198" t="s">
        <v>2272</v>
      </c>
      <c r="R1227" s="198" t="s">
        <v>2272</v>
      </c>
      <c r="S1227" s="198" t="s">
        <v>2272</v>
      </c>
      <c r="T1227" s="198"/>
    </row>
    <row r="1228" spans="1:20" ht="32.5" customHeight="1">
      <c r="A1228" s="19" t="s">
        <v>7890</v>
      </c>
      <c r="B1228" s="198" t="s">
        <v>1193</v>
      </c>
      <c r="C1228" s="198" t="s">
        <v>2640</v>
      </c>
      <c r="D1228" s="198" t="s">
        <v>135</v>
      </c>
      <c r="E1228" s="198" t="s">
        <v>2644</v>
      </c>
      <c r="F1228" s="198" t="s">
        <v>2272</v>
      </c>
      <c r="G1228" s="198" t="s">
        <v>2272</v>
      </c>
      <c r="H1228" s="198" t="s">
        <v>2272</v>
      </c>
      <c r="I1228" s="198" t="s">
        <v>2272</v>
      </c>
      <c r="J1228" s="198" t="s">
        <v>2272</v>
      </c>
      <c r="K1228" s="198" t="s">
        <v>532</v>
      </c>
      <c r="L1228" s="198" t="s">
        <v>2272</v>
      </c>
      <c r="M1228" s="198" t="s">
        <v>2272</v>
      </c>
      <c r="N1228" s="198" t="s">
        <v>2272</v>
      </c>
      <c r="O1228" s="198" t="s">
        <v>2272</v>
      </c>
      <c r="P1228" s="198" t="s">
        <v>2272</v>
      </c>
      <c r="Q1228" s="198" t="s">
        <v>2272</v>
      </c>
      <c r="R1228" s="198" t="s">
        <v>2272</v>
      </c>
      <c r="S1228" s="198" t="s">
        <v>2272</v>
      </c>
      <c r="T1228" s="198"/>
    </row>
    <row r="1229" spans="1:20" ht="26" customHeight="1">
      <c r="A1229" s="52" t="s">
        <v>7896</v>
      </c>
      <c r="B1229" s="198" t="s">
        <v>1193</v>
      </c>
      <c r="C1229" s="198" t="s">
        <v>2641</v>
      </c>
      <c r="D1229" s="198" t="s">
        <v>135</v>
      </c>
      <c r="E1229" s="198" t="s">
        <v>2272</v>
      </c>
      <c r="F1229" s="198" t="s">
        <v>2272</v>
      </c>
      <c r="G1229" s="198" t="s">
        <v>2272</v>
      </c>
      <c r="H1229" s="21">
        <f>1/63.671</f>
        <v>1.5705737305837821E-2</v>
      </c>
      <c r="I1229" s="198" t="s">
        <v>2272</v>
      </c>
      <c r="J1229" s="198" t="s">
        <v>2272</v>
      </c>
      <c r="K1229" s="198" t="s">
        <v>2272</v>
      </c>
      <c r="L1229" s="198" t="s">
        <v>2272</v>
      </c>
      <c r="M1229" s="198" t="s">
        <v>2272</v>
      </c>
      <c r="N1229" s="198" t="s">
        <v>2272</v>
      </c>
      <c r="O1229" s="198" t="s">
        <v>2272</v>
      </c>
      <c r="P1229" s="198" t="s">
        <v>2272</v>
      </c>
      <c r="Q1229" s="198" t="s">
        <v>2272</v>
      </c>
      <c r="R1229" s="198" t="s">
        <v>2272</v>
      </c>
      <c r="S1229" s="198" t="s">
        <v>2272</v>
      </c>
      <c r="T1229" s="198"/>
    </row>
    <row r="1230" spans="1:20" ht="26" customHeight="1">
      <c r="A1230" s="19" t="s">
        <v>7899</v>
      </c>
      <c r="B1230" s="198" t="s">
        <v>1193</v>
      </c>
      <c r="C1230" s="198" t="s">
        <v>2641</v>
      </c>
      <c r="D1230" s="198" t="s">
        <v>135</v>
      </c>
      <c r="E1230" s="198" t="s">
        <v>2272</v>
      </c>
      <c r="F1230" s="198" t="s">
        <v>2272</v>
      </c>
      <c r="G1230" s="198" t="s">
        <v>2272</v>
      </c>
      <c r="H1230" s="21">
        <f>1/46.714</f>
        <v>2.1406858757545919E-2</v>
      </c>
      <c r="I1230" s="198" t="s">
        <v>2272</v>
      </c>
      <c r="J1230" s="198" t="s">
        <v>2272</v>
      </c>
      <c r="K1230" s="198" t="s">
        <v>2272</v>
      </c>
      <c r="L1230" s="198" t="s">
        <v>2272</v>
      </c>
      <c r="M1230" s="198" t="s">
        <v>2272</v>
      </c>
      <c r="N1230" s="198" t="s">
        <v>2272</v>
      </c>
      <c r="O1230" s="198" t="s">
        <v>2272</v>
      </c>
      <c r="P1230" s="198" t="s">
        <v>2272</v>
      </c>
      <c r="Q1230" s="198" t="s">
        <v>2272</v>
      </c>
      <c r="R1230" s="198" t="s">
        <v>2272</v>
      </c>
      <c r="S1230" s="198" t="s">
        <v>2272</v>
      </c>
      <c r="T1230" s="198"/>
    </row>
    <row r="1231" spans="1:20" ht="26" customHeight="1">
      <c r="A1231" s="19" t="s">
        <v>7900</v>
      </c>
      <c r="B1231" s="198" t="s">
        <v>1193</v>
      </c>
      <c r="C1231" s="198" t="s">
        <v>2641</v>
      </c>
      <c r="D1231" s="198" t="s">
        <v>135</v>
      </c>
      <c r="E1231" s="198" t="s">
        <v>2272</v>
      </c>
      <c r="F1231" s="198" t="s">
        <v>2272</v>
      </c>
      <c r="G1231" s="198" t="s">
        <v>2272</v>
      </c>
      <c r="H1231" s="21">
        <f>1/13.613</f>
        <v>7.3459193418056276E-2</v>
      </c>
      <c r="I1231" s="198" t="s">
        <v>2272</v>
      </c>
      <c r="J1231" s="198" t="s">
        <v>2272</v>
      </c>
      <c r="K1231" s="198" t="s">
        <v>2272</v>
      </c>
      <c r="L1231" s="198" t="s">
        <v>2272</v>
      </c>
      <c r="M1231" s="198" t="s">
        <v>2272</v>
      </c>
      <c r="N1231" s="198" t="s">
        <v>2272</v>
      </c>
      <c r="O1231" s="198" t="s">
        <v>2272</v>
      </c>
      <c r="P1231" s="198" t="s">
        <v>2272</v>
      </c>
      <c r="Q1231" s="198" t="s">
        <v>2272</v>
      </c>
      <c r="R1231" s="198" t="s">
        <v>2272</v>
      </c>
      <c r="S1231" s="198" t="s">
        <v>2272</v>
      </c>
      <c r="T1231" s="198"/>
    </row>
    <row r="1232" spans="1:20" ht="26" customHeight="1">
      <c r="A1232" s="19" t="s">
        <v>7901</v>
      </c>
      <c r="B1232" s="198" t="s">
        <v>1193</v>
      </c>
      <c r="C1232" s="198" t="s">
        <v>2641</v>
      </c>
      <c r="D1232" s="198" t="s">
        <v>135</v>
      </c>
      <c r="E1232" s="198" t="s">
        <v>2272</v>
      </c>
      <c r="F1232" s="198" t="s">
        <v>2272</v>
      </c>
      <c r="G1232" s="198" t="s">
        <v>2272</v>
      </c>
      <c r="H1232" s="21">
        <f>1/14.408</f>
        <v>6.9405885619100507E-2</v>
      </c>
      <c r="I1232" s="198" t="s">
        <v>2272</v>
      </c>
      <c r="J1232" s="198" t="s">
        <v>2272</v>
      </c>
      <c r="K1232" s="198" t="s">
        <v>2272</v>
      </c>
      <c r="L1232" s="198" t="s">
        <v>2272</v>
      </c>
      <c r="M1232" s="198" t="s">
        <v>2272</v>
      </c>
      <c r="N1232" s="198" t="s">
        <v>2272</v>
      </c>
      <c r="O1232" s="198" t="s">
        <v>2272</v>
      </c>
      <c r="P1232" s="198" t="s">
        <v>2272</v>
      </c>
      <c r="Q1232" s="198" t="s">
        <v>2272</v>
      </c>
      <c r="R1232" s="198" t="s">
        <v>2272</v>
      </c>
      <c r="S1232" s="198" t="s">
        <v>2272</v>
      </c>
      <c r="T1232" s="198"/>
    </row>
    <row r="1233" spans="1:20" ht="26" customHeight="1">
      <c r="A1233" s="19" t="s">
        <v>7902</v>
      </c>
      <c r="B1233" s="198" t="s">
        <v>69</v>
      </c>
      <c r="C1233" s="198" t="s">
        <v>2640</v>
      </c>
      <c r="D1233" s="198" t="s">
        <v>2642</v>
      </c>
      <c r="E1233" s="198" t="s">
        <v>2272</v>
      </c>
      <c r="F1233" s="198" t="s">
        <v>2272</v>
      </c>
      <c r="G1233" s="198" t="s">
        <v>2272</v>
      </c>
      <c r="H1233" s="21">
        <f>1/2.092</f>
        <v>0.47801147227533458</v>
      </c>
      <c r="I1233" s="198" t="s">
        <v>2272</v>
      </c>
      <c r="J1233" s="198" t="s">
        <v>2272</v>
      </c>
      <c r="K1233" s="198" t="s">
        <v>2272</v>
      </c>
      <c r="L1233" s="198" t="s">
        <v>2272</v>
      </c>
      <c r="M1233" s="198" t="s">
        <v>2272</v>
      </c>
      <c r="N1233" s="198" t="s">
        <v>2272</v>
      </c>
      <c r="O1233" s="198" t="s">
        <v>2272</v>
      </c>
      <c r="P1233" s="198" t="s">
        <v>2272</v>
      </c>
      <c r="Q1233" s="198" t="s">
        <v>2272</v>
      </c>
      <c r="R1233" s="198" t="s">
        <v>2272</v>
      </c>
      <c r="S1233" s="198" t="s">
        <v>2272</v>
      </c>
      <c r="T1233" s="198"/>
    </row>
    <row r="1234" spans="1:20" ht="26" customHeight="1">
      <c r="A1234" s="19" t="s">
        <v>7903</v>
      </c>
      <c r="B1234" s="198" t="s">
        <v>69</v>
      </c>
      <c r="C1234" s="198" t="s">
        <v>2640</v>
      </c>
      <c r="D1234" s="198" t="s">
        <v>2642</v>
      </c>
      <c r="E1234" s="198" t="s">
        <v>2272</v>
      </c>
      <c r="F1234" s="198" t="s">
        <v>2272</v>
      </c>
      <c r="G1234" s="198" t="s">
        <v>2272</v>
      </c>
      <c r="H1234" s="21">
        <f>1/1.963</f>
        <v>0.50942435048395307</v>
      </c>
      <c r="I1234" s="198" t="s">
        <v>2272</v>
      </c>
      <c r="J1234" s="198" t="s">
        <v>2272</v>
      </c>
      <c r="K1234" s="198" t="s">
        <v>2272</v>
      </c>
      <c r="L1234" s="198" t="s">
        <v>2272</v>
      </c>
      <c r="M1234" s="198" t="s">
        <v>2272</v>
      </c>
      <c r="N1234" s="198" t="s">
        <v>2272</v>
      </c>
      <c r="O1234" s="198" t="s">
        <v>2272</v>
      </c>
      <c r="P1234" s="198" t="s">
        <v>2272</v>
      </c>
      <c r="Q1234" s="198" t="s">
        <v>2272</v>
      </c>
      <c r="R1234" s="198" t="s">
        <v>2272</v>
      </c>
      <c r="S1234" s="198" t="s">
        <v>2272</v>
      </c>
      <c r="T1234" s="198"/>
    </row>
    <row r="1235" spans="1:20" ht="26" customHeight="1">
      <c r="A1235" s="19" t="s">
        <v>7904</v>
      </c>
      <c r="B1235" s="198" t="s">
        <v>69</v>
      </c>
      <c r="C1235" s="198" t="s">
        <v>2640</v>
      </c>
      <c r="D1235" s="198" t="s">
        <v>2642</v>
      </c>
      <c r="E1235" s="198" t="s">
        <v>2272</v>
      </c>
      <c r="F1235" s="198" t="s">
        <v>2272</v>
      </c>
      <c r="G1235" s="198" t="s">
        <v>2272</v>
      </c>
      <c r="H1235" s="21">
        <f>1/1.251</f>
        <v>0.79936051159072752</v>
      </c>
      <c r="I1235" s="198" t="s">
        <v>2272</v>
      </c>
      <c r="J1235" s="198" t="s">
        <v>2272</v>
      </c>
      <c r="K1235" s="198" t="s">
        <v>2272</v>
      </c>
      <c r="L1235" s="198" t="s">
        <v>2272</v>
      </c>
      <c r="M1235" s="198" t="s">
        <v>2272</v>
      </c>
      <c r="N1235" s="198" t="s">
        <v>2272</v>
      </c>
      <c r="O1235" s="198" t="s">
        <v>2272</v>
      </c>
      <c r="P1235" s="198" t="s">
        <v>2272</v>
      </c>
      <c r="Q1235" s="198" t="s">
        <v>2272</v>
      </c>
      <c r="R1235" s="198" t="s">
        <v>2272</v>
      </c>
      <c r="S1235" s="198" t="s">
        <v>2272</v>
      </c>
      <c r="T1235" s="198"/>
    </row>
    <row r="1236" spans="1:20" ht="26" customHeight="1">
      <c r="A1236" s="19" t="s">
        <v>7905</v>
      </c>
      <c r="B1236" s="198" t="s">
        <v>68</v>
      </c>
      <c r="C1236" s="198" t="s">
        <v>393</v>
      </c>
      <c r="D1236" s="198" t="s">
        <v>5000</v>
      </c>
      <c r="E1236" s="198" t="s">
        <v>2272</v>
      </c>
      <c r="F1236" s="198" t="s">
        <v>2272</v>
      </c>
      <c r="G1236" s="198" t="s">
        <v>2272</v>
      </c>
      <c r="H1236" s="21">
        <f>1/1.071</f>
        <v>0.93370681605975725</v>
      </c>
      <c r="I1236" s="198" t="s">
        <v>2272</v>
      </c>
      <c r="J1236" s="198" t="s">
        <v>2272</v>
      </c>
      <c r="K1236" s="198" t="s">
        <v>2272</v>
      </c>
      <c r="L1236" s="198" t="s">
        <v>2272</v>
      </c>
      <c r="M1236" s="198" t="s">
        <v>2272</v>
      </c>
      <c r="N1236" s="198" t="s">
        <v>2272</v>
      </c>
      <c r="O1236" s="198" t="s">
        <v>2272</v>
      </c>
      <c r="P1236" s="198" t="s">
        <v>2272</v>
      </c>
      <c r="Q1236" s="198" t="s">
        <v>2272</v>
      </c>
      <c r="R1236" s="198" t="s">
        <v>2272</v>
      </c>
      <c r="S1236" s="198" t="s">
        <v>2272</v>
      </c>
      <c r="T1236" s="198"/>
    </row>
    <row r="1237" spans="1:20" ht="36" customHeight="1">
      <c r="A1237" s="19" t="s">
        <v>7919</v>
      </c>
      <c r="B1237" s="198" t="s">
        <v>1193</v>
      </c>
      <c r="C1237" s="198" t="s">
        <v>11</v>
      </c>
      <c r="D1237" s="198" t="s">
        <v>135</v>
      </c>
      <c r="E1237" s="198" t="s">
        <v>44</v>
      </c>
      <c r="F1237" s="198" t="s">
        <v>860</v>
      </c>
      <c r="G1237" s="198" t="s">
        <v>2272</v>
      </c>
      <c r="H1237" s="198" t="s">
        <v>2272</v>
      </c>
      <c r="I1237" s="198" t="s">
        <v>2272</v>
      </c>
      <c r="J1237" s="198" t="s">
        <v>2272</v>
      </c>
      <c r="K1237" s="198" t="s">
        <v>532</v>
      </c>
      <c r="L1237" s="198" t="s">
        <v>2272</v>
      </c>
      <c r="M1237" s="198" t="s">
        <v>2272</v>
      </c>
      <c r="N1237" s="198" t="s">
        <v>2272</v>
      </c>
      <c r="O1237" s="198" t="s">
        <v>2272</v>
      </c>
      <c r="P1237" s="198" t="s">
        <v>2272</v>
      </c>
      <c r="Q1237" s="198" t="s">
        <v>2272</v>
      </c>
      <c r="R1237" s="198" t="s">
        <v>2272</v>
      </c>
      <c r="S1237" s="21">
        <v>0.33</v>
      </c>
      <c r="T1237" s="198"/>
    </row>
    <row r="1238" spans="1:20" ht="29.5" customHeight="1">
      <c r="A1238" s="19" t="s">
        <v>7928</v>
      </c>
      <c r="B1238" s="198" t="s">
        <v>1193</v>
      </c>
      <c r="C1238" s="198" t="s">
        <v>2640</v>
      </c>
      <c r="D1238" s="198" t="s">
        <v>82</v>
      </c>
      <c r="E1238" s="198" t="s">
        <v>44</v>
      </c>
      <c r="F1238" s="198" t="s">
        <v>2272</v>
      </c>
      <c r="G1238" s="198" t="s">
        <v>2272</v>
      </c>
      <c r="H1238" s="198" t="s">
        <v>2272</v>
      </c>
      <c r="I1238" s="198" t="s">
        <v>2272</v>
      </c>
      <c r="J1238" s="198" t="s">
        <v>2272</v>
      </c>
      <c r="K1238" s="198" t="s">
        <v>2272</v>
      </c>
      <c r="L1238" s="198" t="s">
        <v>2272</v>
      </c>
      <c r="M1238" s="198" t="s">
        <v>2272</v>
      </c>
      <c r="N1238" s="198" t="s">
        <v>2272</v>
      </c>
      <c r="O1238" s="21">
        <v>28.65</v>
      </c>
      <c r="P1238" s="21">
        <v>28.65</v>
      </c>
      <c r="Q1238" s="198" t="s">
        <v>2272</v>
      </c>
      <c r="R1238" s="21">
        <f>100-P1238-O1238</f>
        <v>42.699999999999996</v>
      </c>
      <c r="S1238" s="198" t="s">
        <v>2272</v>
      </c>
      <c r="T1238" s="4" t="s">
        <v>7946</v>
      </c>
    </row>
    <row r="1239" spans="1:20" ht="29.5" customHeight="1">
      <c r="A1239" s="19" t="s">
        <v>7929</v>
      </c>
      <c r="B1239" s="198" t="s">
        <v>1193</v>
      </c>
      <c r="C1239" s="198" t="s">
        <v>2640</v>
      </c>
      <c r="D1239" s="198" t="s">
        <v>82</v>
      </c>
      <c r="E1239" s="198" t="s">
        <v>44</v>
      </c>
      <c r="F1239" s="198" t="s">
        <v>2272</v>
      </c>
      <c r="G1239" s="198" t="s">
        <v>2272</v>
      </c>
      <c r="H1239" s="198" t="s">
        <v>2272</v>
      </c>
      <c r="I1239" s="198" t="s">
        <v>2272</v>
      </c>
      <c r="J1239" s="198" t="s">
        <v>2272</v>
      </c>
      <c r="K1239" s="198" t="s">
        <v>2272</v>
      </c>
      <c r="L1239" s="198" t="s">
        <v>2272</v>
      </c>
      <c r="M1239" s="198" t="s">
        <v>2272</v>
      </c>
      <c r="N1239" s="198" t="s">
        <v>2272</v>
      </c>
      <c r="O1239" s="21">
        <v>19.3</v>
      </c>
      <c r="P1239" s="21">
        <v>19.3</v>
      </c>
      <c r="Q1239" s="198" t="s">
        <v>2272</v>
      </c>
      <c r="R1239" s="21">
        <f t="shared" ref="R1239:R1242" si="4">100-P1239-O1239</f>
        <v>61.400000000000006</v>
      </c>
      <c r="S1239" s="198" t="s">
        <v>2272</v>
      </c>
      <c r="T1239" s="4" t="s">
        <v>7946</v>
      </c>
    </row>
    <row r="1240" spans="1:20" ht="29.5" customHeight="1">
      <c r="A1240" s="19" t="s">
        <v>7930</v>
      </c>
      <c r="B1240" s="198" t="s">
        <v>1193</v>
      </c>
      <c r="C1240" s="198" t="s">
        <v>2640</v>
      </c>
      <c r="D1240" s="198" t="s">
        <v>82</v>
      </c>
      <c r="E1240" s="198" t="s">
        <v>44</v>
      </c>
      <c r="F1240" s="198" t="s">
        <v>2272</v>
      </c>
      <c r="G1240" s="198" t="s">
        <v>2272</v>
      </c>
      <c r="H1240" s="198" t="s">
        <v>2272</v>
      </c>
      <c r="I1240" s="198" t="s">
        <v>2272</v>
      </c>
      <c r="J1240" s="198" t="s">
        <v>2272</v>
      </c>
      <c r="K1240" s="198" t="s">
        <v>2272</v>
      </c>
      <c r="L1240" s="198" t="s">
        <v>2272</v>
      </c>
      <c r="M1240" s="198" t="s">
        <v>2272</v>
      </c>
      <c r="N1240" s="198" t="s">
        <v>2272</v>
      </c>
      <c r="O1240" s="21">
        <v>24.5</v>
      </c>
      <c r="P1240" s="21">
        <v>24.5</v>
      </c>
      <c r="Q1240" s="198" t="s">
        <v>2272</v>
      </c>
      <c r="R1240" s="21">
        <f t="shared" si="4"/>
        <v>51</v>
      </c>
      <c r="S1240" s="198" t="s">
        <v>2272</v>
      </c>
      <c r="T1240" s="4" t="s">
        <v>7946</v>
      </c>
    </row>
    <row r="1241" spans="1:20" ht="29.5" customHeight="1">
      <c r="A1241" s="19" t="s">
        <v>7931</v>
      </c>
      <c r="B1241" s="198" t="s">
        <v>1193</v>
      </c>
      <c r="C1241" s="198" t="s">
        <v>2640</v>
      </c>
      <c r="D1241" s="198" t="s">
        <v>82</v>
      </c>
      <c r="E1241" s="198" t="s">
        <v>44</v>
      </c>
      <c r="F1241" s="198" t="s">
        <v>2272</v>
      </c>
      <c r="G1241" s="198" t="s">
        <v>2272</v>
      </c>
      <c r="H1241" s="198" t="s">
        <v>2272</v>
      </c>
      <c r="I1241" s="198" t="s">
        <v>2272</v>
      </c>
      <c r="J1241" s="198" t="s">
        <v>2272</v>
      </c>
      <c r="K1241" s="198" t="s">
        <v>2272</v>
      </c>
      <c r="L1241" s="198" t="s">
        <v>2272</v>
      </c>
      <c r="M1241" s="198" t="s">
        <v>2272</v>
      </c>
      <c r="N1241" s="198" t="s">
        <v>2272</v>
      </c>
      <c r="O1241" s="21">
        <v>9.1</v>
      </c>
      <c r="P1241" s="21">
        <v>9.1</v>
      </c>
      <c r="Q1241" s="198" t="s">
        <v>2272</v>
      </c>
      <c r="R1241" s="21">
        <f t="shared" si="4"/>
        <v>81.800000000000011</v>
      </c>
      <c r="S1241" s="198" t="s">
        <v>2272</v>
      </c>
      <c r="T1241" s="4" t="s">
        <v>7946</v>
      </c>
    </row>
    <row r="1242" spans="1:20" ht="29.5" customHeight="1">
      <c r="A1242" s="19" t="s">
        <v>7932</v>
      </c>
      <c r="B1242" s="198" t="s">
        <v>1193</v>
      </c>
      <c r="C1242" s="198" t="s">
        <v>2640</v>
      </c>
      <c r="D1242" s="198" t="s">
        <v>82</v>
      </c>
      <c r="E1242" s="198" t="s">
        <v>44</v>
      </c>
      <c r="F1242" s="198" t="s">
        <v>2272</v>
      </c>
      <c r="G1242" s="198" t="s">
        <v>2272</v>
      </c>
      <c r="H1242" s="198" t="s">
        <v>2272</v>
      </c>
      <c r="I1242" s="198" t="s">
        <v>2272</v>
      </c>
      <c r="J1242" s="198" t="s">
        <v>2272</v>
      </c>
      <c r="K1242" s="198" t="s">
        <v>2272</v>
      </c>
      <c r="L1242" s="198" t="s">
        <v>2272</v>
      </c>
      <c r="M1242" s="198" t="s">
        <v>2272</v>
      </c>
      <c r="N1242" s="198" t="s">
        <v>2272</v>
      </c>
      <c r="O1242" s="21">
        <v>26.45</v>
      </c>
      <c r="P1242" s="21">
        <v>26.45</v>
      </c>
      <c r="Q1242" s="198" t="s">
        <v>2272</v>
      </c>
      <c r="R1242" s="21">
        <f t="shared" si="4"/>
        <v>47.099999999999994</v>
      </c>
      <c r="S1242" s="198" t="s">
        <v>2272</v>
      </c>
      <c r="T1242" s="4" t="s">
        <v>7946</v>
      </c>
    </row>
    <row r="1243" spans="1:20" ht="29.5" customHeight="1">
      <c r="A1243" s="19" t="s">
        <v>7935</v>
      </c>
      <c r="B1243" s="198" t="s">
        <v>31</v>
      </c>
      <c r="C1243" s="198" t="s">
        <v>2641</v>
      </c>
      <c r="D1243" s="198" t="s">
        <v>135</v>
      </c>
      <c r="E1243" s="198" t="s">
        <v>5795</v>
      </c>
      <c r="F1243" s="198" t="s">
        <v>82</v>
      </c>
      <c r="G1243" s="198" t="s">
        <v>44</v>
      </c>
      <c r="H1243" s="198" t="s">
        <v>2272</v>
      </c>
      <c r="I1243" s="198" t="s">
        <v>2272</v>
      </c>
      <c r="J1243" s="198" t="s">
        <v>2272</v>
      </c>
      <c r="K1243" s="198" t="s">
        <v>2272</v>
      </c>
      <c r="L1243" s="198" t="s">
        <v>2272</v>
      </c>
      <c r="M1243" s="198" t="s">
        <v>2272</v>
      </c>
      <c r="N1243" s="198" t="s">
        <v>2272</v>
      </c>
      <c r="O1243" s="21">
        <v>23.45</v>
      </c>
      <c r="P1243" s="21">
        <v>23.45</v>
      </c>
      <c r="Q1243" s="21">
        <f>(P1238-P1243)*2</f>
        <v>10.399999999999999</v>
      </c>
      <c r="R1243" s="21">
        <f>100-P1243-O1243-Q1243</f>
        <v>42.699999999999996</v>
      </c>
      <c r="S1243" s="198" t="s">
        <v>2272</v>
      </c>
      <c r="T1243" s="4" t="s">
        <v>7946</v>
      </c>
    </row>
    <row r="1244" spans="1:20" ht="29.5" customHeight="1">
      <c r="A1244" s="19" t="s">
        <v>7936</v>
      </c>
      <c r="B1244" s="198" t="s">
        <v>31</v>
      </c>
      <c r="C1244" s="198" t="s">
        <v>2641</v>
      </c>
      <c r="D1244" s="198" t="s">
        <v>135</v>
      </c>
      <c r="E1244" s="198" t="s">
        <v>5795</v>
      </c>
      <c r="F1244" s="198" t="s">
        <v>82</v>
      </c>
      <c r="G1244" s="198" t="s">
        <v>44</v>
      </c>
      <c r="H1244" s="198" t="s">
        <v>2272</v>
      </c>
      <c r="I1244" s="198" t="s">
        <v>2272</v>
      </c>
      <c r="J1244" s="198" t="s">
        <v>2272</v>
      </c>
      <c r="K1244" s="198" t="s">
        <v>2272</v>
      </c>
      <c r="L1244" s="198" t="s">
        <v>2272</v>
      </c>
      <c r="M1244" s="198" t="s">
        <v>2272</v>
      </c>
      <c r="N1244" s="198" t="s">
        <v>2272</v>
      </c>
      <c r="O1244" s="21">
        <v>11.9</v>
      </c>
      <c r="P1244" s="21">
        <v>11.9</v>
      </c>
      <c r="Q1244" s="21">
        <f t="shared" ref="Q1244:Q1247" si="5">(P1239-P1244)*2</f>
        <v>14.8</v>
      </c>
      <c r="R1244" s="21">
        <f t="shared" ref="R1244:R1247" si="6">100-P1244-O1244-Q1244</f>
        <v>61.399999999999991</v>
      </c>
      <c r="S1244" s="198" t="s">
        <v>2272</v>
      </c>
      <c r="T1244" s="4" t="s">
        <v>7946</v>
      </c>
    </row>
    <row r="1245" spans="1:20" ht="29.5" customHeight="1">
      <c r="A1245" s="19" t="s">
        <v>7937</v>
      </c>
      <c r="B1245" s="198" t="s">
        <v>31</v>
      </c>
      <c r="C1245" s="198" t="s">
        <v>2641</v>
      </c>
      <c r="D1245" s="198" t="s">
        <v>135</v>
      </c>
      <c r="E1245" s="198" t="s">
        <v>5795</v>
      </c>
      <c r="F1245" s="198" t="s">
        <v>82</v>
      </c>
      <c r="G1245" s="198" t="s">
        <v>44</v>
      </c>
      <c r="H1245" s="198" t="s">
        <v>2272</v>
      </c>
      <c r="I1245" s="198" t="s">
        <v>2272</v>
      </c>
      <c r="J1245" s="198" t="s">
        <v>2272</v>
      </c>
      <c r="K1245" s="198" t="s">
        <v>2272</v>
      </c>
      <c r="L1245" s="198" t="s">
        <v>2272</v>
      </c>
      <c r="M1245" s="198" t="s">
        <v>2272</v>
      </c>
      <c r="N1245" s="198" t="s">
        <v>2272</v>
      </c>
      <c r="O1245" s="21">
        <v>9.1</v>
      </c>
      <c r="P1245" s="21">
        <v>9.1</v>
      </c>
      <c r="Q1245" s="21">
        <f t="shared" si="5"/>
        <v>30.8</v>
      </c>
      <c r="R1245" s="21">
        <f t="shared" si="6"/>
        <v>51.000000000000014</v>
      </c>
      <c r="S1245" s="198" t="s">
        <v>2272</v>
      </c>
      <c r="T1245" s="4" t="s">
        <v>7946</v>
      </c>
    </row>
    <row r="1246" spans="1:20" ht="29.5" customHeight="1">
      <c r="A1246" s="19" t="s">
        <v>7938</v>
      </c>
      <c r="B1246" s="198" t="s">
        <v>31</v>
      </c>
      <c r="C1246" s="198" t="s">
        <v>2641</v>
      </c>
      <c r="D1246" s="198" t="s">
        <v>135</v>
      </c>
      <c r="E1246" s="198" t="s">
        <v>5795</v>
      </c>
      <c r="F1246" s="198" t="s">
        <v>82</v>
      </c>
      <c r="G1246" s="198" t="s">
        <v>44</v>
      </c>
      <c r="H1246" s="198" t="s">
        <v>2272</v>
      </c>
      <c r="I1246" s="198" t="s">
        <v>2272</v>
      </c>
      <c r="J1246" s="198" t="s">
        <v>2272</v>
      </c>
      <c r="K1246" s="198" t="s">
        <v>2272</v>
      </c>
      <c r="L1246" s="198" t="s">
        <v>2272</v>
      </c>
      <c r="M1246" s="198" t="s">
        <v>2272</v>
      </c>
      <c r="N1246" s="198" t="s">
        <v>2272</v>
      </c>
      <c r="O1246" s="21">
        <v>3.55</v>
      </c>
      <c r="P1246" s="21">
        <v>3.55</v>
      </c>
      <c r="Q1246" s="21">
        <f t="shared" si="5"/>
        <v>11.1</v>
      </c>
      <c r="R1246" s="21">
        <f t="shared" si="6"/>
        <v>81.800000000000011</v>
      </c>
      <c r="S1246" s="198" t="s">
        <v>2272</v>
      </c>
      <c r="T1246" s="4" t="s">
        <v>7946</v>
      </c>
    </row>
    <row r="1247" spans="1:20" ht="29.5" customHeight="1">
      <c r="A1247" s="19" t="s">
        <v>7939</v>
      </c>
      <c r="B1247" s="198" t="s">
        <v>31</v>
      </c>
      <c r="C1247" s="198" t="s">
        <v>2641</v>
      </c>
      <c r="D1247" s="198" t="s">
        <v>135</v>
      </c>
      <c r="E1247" s="198" t="s">
        <v>5795</v>
      </c>
      <c r="F1247" s="198" t="s">
        <v>82</v>
      </c>
      <c r="G1247" s="198" t="s">
        <v>44</v>
      </c>
      <c r="H1247" s="198" t="s">
        <v>2272</v>
      </c>
      <c r="I1247" s="198" t="s">
        <v>2272</v>
      </c>
      <c r="J1247" s="198" t="s">
        <v>2272</v>
      </c>
      <c r="K1247" s="198" t="s">
        <v>2272</v>
      </c>
      <c r="L1247" s="198" t="s">
        <v>2272</v>
      </c>
      <c r="M1247" s="198" t="s">
        <v>2272</v>
      </c>
      <c r="N1247" s="198" t="s">
        <v>2272</v>
      </c>
      <c r="O1247" s="21">
        <v>14.35</v>
      </c>
      <c r="P1247" s="21">
        <v>14.35</v>
      </c>
      <c r="Q1247" s="21">
        <f t="shared" si="5"/>
        <v>24.2</v>
      </c>
      <c r="R1247" s="21">
        <f t="shared" si="6"/>
        <v>47.100000000000009</v>
      </c>
      <c r="S1247" s="198" t="s">
        <v>2272</v>
      </c>
      <c r="T1247" s="4" t="s">
        <v>7946</v>
      </c>
    </row>
    <row r="1248" spans="1:20" ht="35.5" customHeight="1">
      <c r="A1248" s="19" t="s">
        <v>7965</v>
      </c>
      <c r="B1248" s="198" t="s">
        <v>1193</v>
      </c>
      <c r="C1248" s="198" t="s">
        <v>2640</v>
      </c>
      <c r="D1248" s="198" t="s">
        <v>82</v>
      </c>
      <c r="E1248" s="198" t="s">
        <v>44</v>
      </c>
      <c r="F1248" s="198" t="s">
        <v>2642</v>
      </c>
      <c r="G1248" s="198" t="s">
        <v>2272</v>
      </c>
      <c r="H1248" s="198" t="s">
        <v>2272</v>
      </c>
      <c r="I1248" s="198" t="s">
        <v>2272</v>
      </c>
      <c r="J1248" s="198" t="s">
        <v>2272</v>
      </c>
      <c r="K1248" s="198" t="s">
        <v>2272</v>
      </c>
      <c r="L1248" s="198" t="s">
        <v>2272</v>
      </c>
      <c r="M1248" s="198" t="s">
        <v>2272</v>
      </c>
      <c r="N1248" s="198" t="s">
        <v>2272</v>
      </c>
      <c r="O1248" s="198" t="s">
        <v>2272</v>
      </c>
      <c r="P1248" s="198" t="s">
        <v>2272</v>
      </c>
      <c r="Q1248" s="198" t="s">
        <v>2272</v>
      </c>
      <c r="R1248" s="198" t="s">
        <v>2272</v>
      </c>
      <c r="S1248" s="198" t="s">
        <v>2272</v>
      </c>
      <c r="T1248" s="198"/>
    </row>
    <row r="1249" spans="1:20" ht="31" customHeight="1">
      <c r="A1249" s="19" t="s">
        <v>7966</v>
      </c>
      <c r="B1249" s="198" t="s">
        <v>69</v>
      </c>
      <c r="C1249" s="198" t="s">
        <v>2640</v>
      </c>
      <c r="D1249" s="198" t="s">
        <v>82</v>
      </c>
      <c r="E1249" s="198" t="s">
        <v>2642</v>
      </c>
      <c r="F1249" s="198" t="s">
        <v>5795</v>
      </c>
      <c r="G1249" s="198" t="s">
        <v>2272</v>
      </c>
      <c r="H1249" s="198" t="s">
        <v>2272</v>
      </c>
      <c r="I1249" s="198" t="s">
        <v>2272</v>
      </c>
      <c r="J1249" s="198" t="s">
        <v>2272</v>
      </c>
      <c r="K1249" s="198" t="s">
        <v>2272</v>
      </c>
      <c r="L1249" s="198" t="s">
        <v>2272</v>
      </c>
      <c r="M1249" s="198" t="s">
        <v>2272</v>
      </c>
      <c r="N1249" s="198" t="s">
        <v>2272</v>
      </c>
      <c r="O1249" s="198" t="s">
        <v>2272</v>
      </c>
      <c r="P1249" s="198" t="s">
        <v>2272</v>
      </c>
      <c r="Q1249" s="198" t="s">
        <v>2272</v>
      </c>
      <c r="R1249" s="198" t="s">
        <v>2272</v>
      </c>
      <c r="S1249" s="198" t="s">
        <v>2272</v>
      </c>
      <c r="T1249" s="198"/>
    </row>
    <row r="1250" spans="1:20" ht="29.5" customHeight="1">
      <c r="A1250" s="19" t="s">
        <v>7980</v>
      </c>
      <c r="B1250" s="198" t="s">
        <v>69</v>
      </c>
      <c r="C1250" s="198" t="s">
        <v>2640</v>
      </c>
      <c r="D1250" s="198" t="s">
        <v>2642</v>
      </c>
      <c r="E1250" s="198" t="s">
        <v>44</v>
      </c>
      <c r="F1250" s="198" t="s">
        <v>2272</v>
      </c>
      <c r="G1250" s="198" t="s">
        <v>2272</v>
      </c>
      <c r="H1250" s="198" t="s">
        <v>2272</v>
      </c>
      <c r="I1250" s="198">
        <v>263</v>
      </c>
      <c r="J1250" s="198" t="s">
        <v>2272</v>
      </c>
      <c r="K1250" s="198" t="s">
        <v>2272</v>
      </c>
      <c r="L1250" s="198" t="s">
        <v>2272</v>
      </c>
      <c r="M1250" s="198" t="s">
        <v>2272</v>
      </c>
      <c r="N1250" s="198" t="s">
        <v>2272</v>
      </c>
      <c r="O1250" s="198" t="s">
        <v>2272</v>
      </c>
      <c r="P1250" s="198" t="s">
        <v>2272</v>
      </c>
      <c r="Q1250" s="198" t="s">
        <v>2272</v>
      </c>
      <c r="R1250" s="198" t="s">
        <v>2272</v>
      </c>
      <c r="S1250" s="198" t="s">
        <v>2272</v>
      </c>
      <c r="T1250" s="198" t="s">
        <v>7982</v>
      </c>
    </row>
    <row r="1251" spans="1:20" ht="27" customHeight="1">
      <c r="A1251" s="19" t="s">
        <v>7989</v>
      </c>
      <c r="B1251" s="198" t="s">
        <v>1193</v>
      </c>
      <c r="C1251" s="198" t="s">
        <v>2641</v>
      </c>
      <c r="D1251" s="198" t="s">
        <v>135</v>
      </c>
      <c r="E1251" s="198" t="s">
        <v>2648</v>
      </c>
      <c r="F1251" s="198" t="s">
        <v>44</v>
      </c>
      <c r="G1251" s="198" t="s">
        <v>2642</v>
      </c>
      <c r="H1251" s="198" t="s">
        <v>2272</v>
      </c>
      <c r="I1251" s="198" t="s">
        <v>2272</v>
      </c>
      <c r="J1251" s="198" t="s">
        <v>2272</v>
      </c>
      <c r="K1251" s="198" t="s">
        <v>2272</v>
      </c>
      <c r="L1251" s="198" t="s">
        <v>2272</v>
      </c>
      <c r="M1251" s="198" t="s">
        <v>2272</v>
      </c>
      <c r="N1251" s="198" t="s">
        <v>2272</v>
      </c>
      <c r="O1251" s="198" t="s">
        <v>2272</v>
      </c>
      <c r="P1251" s="198" t="s">
        <v>2272</v>
      </c>
      <c r="Q1251" s="198" t="s">
        <v>2272</v>
      </c>
      <c r="R1251" s="198" t="s">
        <v>2272</v>
      </c>
      <c r="S1251" s="198" t="s">
        <v>2272</v>
      </c>
      <c r="T1251" s="198"/>
    </row>
    <row r="1252" spans="1:20" ht="27" customHeight="1">
      <c r="A1252" s="19" t="s">
        <v>7995</v>
      </c>
      <c r="B1252" s="198" t="s">
        <v>1193</v>
      </c>
      <c r="C1252" s="198" t="s">
        <v>2641</v>
      </c>
      <c r="D1252" s="198" t="s">
        <v>135</v>
      </c>
      <c r="E1252" s="198" t="s">
        <v>2648</v>
      </c>
      <c r="F1252" s="198" t="s">
        <v>44</v>
      </c>
      <c r="G1252" s="198" t="s">
        <v>2642</v>
      </c>
      <c r="H1252" s="198" t="s">
        <v>2272</v>
      </c>
      <c r="I1252" s="198" t="s">
        <v>2272</v>
      </c>
      <c r="J1252" s="198" t="s">
        <v>2272</v>
      </c>
      <c r="K1252" s="198" t="s">
        <v>2272</v>
      </c>
      <c r="L1252" s="198" t="s">
        <v>2272</v>
      </c>
      <c r="M1252" s="198" t="s">
        <v>2272</v>
      </c>
      <c r="N1252" s="198" t="s">
        <v>2272</v>
      </c>
      <c r="O1252" s="198" t="s">
        <v>2272</v>
      </c>
      <c r="P1252" s="198" t="s">
        <v>2272</v>
      </c>
      <c r="Q1252" s="198" t="s">
        <v>2272</v>
      </c>
      <c r="R1252" s="198" t="s">
        <v>2272</v>
      </c>
      <c r="S1252" s="198" t="s">
        <v>2272</v>
      </c>
      <c r="T1252" s="198"/>
    </row>
    <row r="1253" spans="1:20" ht="27" customHeight="1">
      <c r="A1253" s="19" t="s">
        <v>7996</v>
      </c>
      <c r="B1253" s="198" t="s">
        <v>1193</v>
      </c>
      <c r="C1253" s="198" t="s">
        <v>2641</v>
      </c>
      <c r="D1253" s="198" t="s">
        <v>135</v>
      </c>
      <c r="E1253" s="198" t="s">
        <v>2648</v>
      </c>
      <c r="F1253" s="198" t="s">
        <v>44</v>
      </c>
      <c r="G1253" s="198" t="s">
        <v>2642</v>
      </c>
      <c r="H1253" s="198" t="s">
        <v>2272</v>
      </c>
      <c r="I1253" s="198" t="s">
        <v>2272</v>
      </c>
      <c r="J1253" s="198" t="s">
        <v>2272</v>
      </c>
      <c r="K1253" s="198" t="s">
        <v>2272</v>
      </c>
      <c r="L1253" s="198" t="s">
        <v>2272</v>
      </c>
      <c r="M1253" s="198" t="s">
        <v>2272</v>
      </c>
      <c r="N1253" s="198" t="s">
        <v>2272</v>
      </c>
      <c r="O1253" s="198" t="s">
        <v>2272</v>
      </c>
      <c r="P1253" s="198" t="s">
        <v>2272</v>
      </c>
      <c r="Q1253" s="198" t="s">
        <v>2272</v>
      </c>
      <c r="R1253" s="198" t="s">
        <v>2272</v>
      </c>
      <c r="S1253" s="198" t="s">
        <v>2272</v>
      </c>
      <c r="T1253" s="198"/>
    </row>
    <row r="1254" spans="1:20" ht="35" customHeight="1">
      <c r="A1254" s="19" t="s">
        <v>8002</v>
      </c>
      <c r="B1254" s="198" t="s">
        <v>2272</v>
      </c>
      <c r="C1254" s="198" t="s">
        <v>11</v>
      </c>
      <c r="D1254" s="4" t="s">
        <v>394</v>
      </c>
      <c r="E1254" s="198" t="s">
        <v>44</v>
      </c>
      <c r="F1254" s="198" t="s">
        <v>5795</v>
      </c>
      <c r="G1254" s="198" t="s">
        <v>2648</v>
      </c>
      <c r="H1254" s="198" t="s">
        <v>2272</v>
      </c>
      <c r="I1254" s="198" t="s">
        <v>2272</v>
      </c>
      <c r="J1254" s="198" t="s">
        <v>2272</v>
      </c>
      <c r="K1254" s="198" t="s">
        <v>2272</v>
      </c>
      <c r="L1254" s="198" t="s">
        <v>2272</v>
      </c>
      <c r="M1254" s="198" t="s">
        <v>2272</v>
      </c>
      <c r="N1254" s="198" t="s">
        <v>2272</v>
      </c>
      <c r="O1254" s="198" t="s">
        <v>2272</v>
      </c>
      <c r="P1254" s="21">
        <f>100*110000/295200</f>
        <v>37.262872628726285</v>
      </c>
      <c r="Q1254" s="198" t="s">
        <v>2272</v>
      </c>
      <c r="R1254" s="21">
        <v>40</v>
      </c>
      <c r="S1254" s="198" t="s">
        <v>2272</v>
      </c>
      <c r="T1254" s="198"/>
    </row>
    <row r="1255" spans="1:20" ht="39.5" customHeight="1">
      <c r="A1255" s="19" t="s">
        <v>8008</v>
      </c>
      <c r="B1255" s="198" t="s">
        <v>1193</v>
      </c>
      <c r="C1255" s="198" t="s">
        <v>2640</v>
      </c>
      <c r="D1255" s="198" t="s">
        <v>135</v>
      </c>
      <c r="E1255" s="198" t="s">
        <v>2272</v>
      </c>
      <c r="F1255" s="198" t="s">
        <v>2272</v>
      </c>
      <c r="G1255" s="198" t="s">
        <v>2272</v>
      </c>
      <c r="H1255" s="21">
        <v>0</v>
      </c>
      <c r="I1255" s="198" t="s">
        <v>2272</v>
      </c>
      <c r="J1255" s="198" t="s">
        <v>2272</v>
      </c>
      <c r="K1255" s="198" t="s">
        <v>2272</v>
      </c>
      <c r="L1255" s="198" t="s">
        <v>2272</v>
      </c>
      <c r="M1255" s="198" t="s">
        <v>2272</v>
      </c>
      <c r="N1255" s="198" t="s">
        <v>2272</v>
      </c>
      <c r="O1255" s="198" t="s">
        <v>2272</v>
      </c>
      <c r="P1255" s="198" t="s">
        <v>2272</v>
      </c>
      <c r="Q1255" s="198" t="s">
        <v>2272</v>
      </c>
      <c r="R1255" s="198" t="s">
        <v>2272</v>
      </c>
      <c r="S1255" s="198" t="s">
        <v>2272</v>
      </c>
      <c r="T1255" s="198"/>
    </row>
    <row r="1256" spans="1:20" ht="36" customHeight="1">
      <c r="A1256" s="19" t="s">
        <v>8009</v>
      </c>
      <c r="B1256" s="198" t="s">
        <v>68</v>
      </c>
      <c r="C1256" s="198" t="s">
        <v>393</v>
      </c>
      <c r="D1256" s="198" t="s">
        <v>44</v>
      </c>
      <c r="E1256" s="198" t="s">
        <v>2272</v>
      </c>
      <c r="F1256" s="198" t="s">
        <v>2272</v>
      </c>
      <c r="G1256" s="198" t="s">
        <v>2272</v>
      </c>
      <c r="H1256" s="21">
        <v>0.39324300000000001</v>
      </c>
      <c r="I1256" s="198">
        <v>298.99299999999999</v>
      </c>
      <c r="J1256" s="198" t="s">
        <v>2272</v>
      </c>
      <c r="K1256" s="198" t="s">
        <v>2272</v>
      </c>
      <c r="L1256" s="198" t="s">
        <v>2272</v>
      </c>
      <c r="M1256" s="198" t="s">
        <v>2272</v>
      </c>
      <c r="N1256" s="198" t="s">
        <v>2272</v>
      </c>
      <c r="O1256" s="198" t="s">
        <v>2272</v>
      </c>
      <c r="P1256" s="198" t="s">
        <v>2272</v>
      </c>
      <c r="Q1256" s="198" t="s">
        <v>2272</v>
      </c>
      <c r="R1256" s="198" t="s">
        <v>2272</v>
      </c>
      <c r="S1256" s="198" t="s">
        <v>2272</v>
      </c>
      <c r="T1256" s="198"/>
    </row>
    <row r="1257" spans="1:20" ht="33.5" customHeight="1">
      <c r="A1257" s="19" t="s">
        <v>8019</v>
      </c>
      <c r="B1257" s="198" t="s">
        <v>68</v>
      </c>
      <c r="C1257" s="198" t="s">
        <v>393</v>
      </c>
      <c r="D1257" s="198" t="s">
        <v>114</v>
      </c>
      <c r="E1257" s="198" t="s">
        <v>2272</v>
      </c>
      <c r="F1257" s="198" t="s">
        <v>2272</v>
      </c>
      <c r="G1257" s="198" t="s">
        <v>2272</v>
      </c>
      <c r="H1257" s="198" t="s">
        <v>2272</v>
      </c>
      <c r="I1257" s="198" t="s">
        <v>2272</v>
      </c>
      <c r="J1257" s="198" t="s">
        <v>2272</v>
      </c>
      <c r="K1257" s="198" t="s">
        <v>2272</v>
      </c>
      <c r="L1257" s="198" t="s">
        <v>2272</v>
      </c>
      <c r="M1257" s="198" t="s">
        <v>2272</v>
      </c>
      <c r="N1257" s="198" t="s">
        <v>2272</v>
      </c>
      <c r="O1257" s="198" t="s">
        <v>2272</v>
      </c>
      <c r="P1257" s="198" t="s">
        <v>2272</v>
      </c>
      <c r="Q1257" s="198" t="s">
        <v>2272</v>
      </c>
      <c r="R1257" s="198" t="s">
        <v>2272</v>
      </c>
      <c r="S1257" s="198" t="s">
        <v>2272</v>
      </c>
      <c r="T1257" s="198" t="s">
        <v>8021</v>
      </c>
    </row>
    <row r="1258" spans="1:20" ht="33" customHeight="1">
      <c r="A1258" s="19" t="s">
        <v>8027</v>
      </c>
      <c r="B1258" s="198" t="s">
        <v>69</v>
      </c>
      <c r="C1258" s="198" t="s">
        <v>2640</v>
      </c>
      <c r="D1258" s="198" t="s">
        <v>2642</v>
      </c>
      <c r="E1258" s="198" t="s">
        <v>44</v>
      </c>
      <c r="F1258" s="198" t="s">
        <v>2272</v>
      </c>
      <c r="G1258" s="198" t="s">
        <v>2272</v>
      </c>
      <c r="H1258" s="198" t="s">
        <v>2272</v>
      </c>
      <c r="I1258" s="198">
        <v>500</v>
      </c>
      <c r="J1258" s="198" t="s">
        <v>2272</v>
      </c>
      <c r="K1258" s="198" t="s">
        <v>2272</v>
      </c>
      <c r="L1258" s="198" t="s">
        <v>2272</v>
      </c>
      <c r="M1258" s="198" t="s">
        <v>2272</v>
      </c>
      <c r="N1258" s="198" t="s">
        <v>2272</v>
      </c>
      <c r="O1258" s="198" t="s">
        <v>2272</v>
      </c>
      <c r="P1258" s="198" t="s">
        <v>2272</v>
      </c>
      <c r="Q1258" s="198" t="s">
        <v>2272</v>
      </c>
      <c r="R1258" s="198" t="s">
        <v>2272</v>
      </c>
      <c r="S1258" s="198" t="s">
        <v>2272</v>
      </c>
      <c r="T1258" s="198"/>
    </row>
    <row r="1259" spans="1:20" ht="33" customHeight="1">
      <c r="A1259" s="19" t="s">
        <v>8029</v>
      </c>
      <c r="B1259" s="198" t="s">
        <v>69</v>
      </c>
      <c r="C1259" s="198" t="s">
        <v>2640</v>
      </c>
      <c r="D1259" s="198" t="s">
        <v>2642</v>
      </c>
      <c r="E1259" s="198" t="s">
        <v>44</v>
      </c>
      <c r="F1259" s="198" t="s">
        <v>2272</v>
      </c>
      <c r="G1259" s="198" t="s">
        <v>2272</v>
      </c>
      <c r="H1259" s="198" t="s">
        <v>2272</v>
      </c>
      <c r="I1259" s="198">
        <v>500</v>
      </c>
      <c r="J1259" s="198" t="s">
        <v>2272</v>
      </c>
      <c r="K1259" s="198" t="s">
        <v>2272</v>
      </c>
      <c r="L1259" s="198" t="s">
        <v>2272</v>
      </c>
      <c r="M1259" s="198" t="s">
        <v>2272</v>
      </c>
      <c r="N1259" s="198" t="s">
        <v>2272</v>
      </c>
      <c r="O1259" s="198" t="s">
        <v>2272</v>
      </c>
      <c r="P1259" s="198" t="s">
        <v>2272</v>
      </c>
      <c r="Q1259" s="198" t="s">
        <v>2272</v>
      </c>
      <c r="R1259" s="198" t="s">
        <v>2272</v>
      </c>
      <c r="S1259" s="198" t="s">
        <v>2272</v>
      </c>
      <c r="T1259" s="198"/>
    </row>
    <row r="1260" spans="1:20" ht="33.5" customHeight="1">
      <c r="A1260" s="19" t="s">
        <v>8045</v>
      </c>
      <c r="B1260" s="198" t="s">
        <v>69</v>
      </c>
      <c r="C1260" s="198" t="s">
        <v>11</v>
      </c>
      <c r="D1260" s="198" t="s">
        <v>44</v>
      </c>
      <c r="E1260" s="198" t="s">
        <v>860</v>
      </c>
      <c r="F1260" s="198" t="s">
        <v>2272</v>
      </c>
      <c r="G1260" s="198" t="s">
        <v>2272</v>
      </c>
      <c r="H1260" s="198" t="s">
        <v>2272</v>
      </c>
      <c r="I1260" s="21">
        <f>49190/30/0.263</f>
        <v>6234.4740177439799</v>
      </c>
      <c r="J1260" s="198" t="s">
        <v>2272</v>
      </c>
      <c r="K1260" s="198" t="s">
        <v>532</v>
      </c>
      <c r="L1260" s="198" t="s">
        <v>2272</v>
      </c>
      <c r="M1260" s="198" t="s">
        <v>2272</v>
      </c>
      <c r="N1260" s="198" t="s">
        <v>2272</v>
      </c>
      <c r="O1260" s="21">
        <v>26.3</v>
      </c>
      <c r="P1260" s="198" t="s">
        <v>2272</v>
      </c>
      <c r="Q1260" s="198" t="s">
        <v>2272</v>
      </c>
      <c r="R1260" s="21">
        <v>73.7</v>
      </c>
      <c r="S1260" s="21">
        <v>1.7</v>
      </c>
      <c r="T1260" s="198"/>
    </row>
    <row r="1261" spans="1:20" ht="35.5" customHeight="1">
      <c r="A1261" s="19" t="s">
        <v>8052</v>
      </c>
      <c r="B1261" s="198" t="s">
        <v>31</v>
      </c>
      <c r="C1261" s="198" t="s">
        <v>2640</v>
      </c>
      <c r="D1261" s="198" t="s">
        <v>135</v>
      </c>
      <c r="E1261" s="198" t="s">
        <v>2272</v>
      </c>
      <c r="F1261" s="198" t="s">
        <v>2272</v>
      </c>
      <c r="G1261" s="198" t="s">
        <v>2272</v>
      </c>
      <c r="H1261" s="198" t="s">
        <v>2272</v>
      </c>
      <c r="I1261" s="198" t="s">
        <v>2272</v>
      </c>
      <c r="J1261" s="198" t="s">
        <v>2272</v>
      </c>
      <c r="K1261" s="198" t="s">
        <v>2272</v>
      </c>
      <c r="L1261" s="198" t="s">
        <v>2272</v>
      </c>
      <c r="M1261" s="198" t="s">
        <v>2272</v>
      </c>
      <c r="N1261" s="198" t="s">
        <v>2272</v>
      </c>
      <c r="O1261" s="198" t="s">
        <v>2272</v>
      </c>
      <c r="P1261" s="198" t="s">
        <v>2272</v>
      </c>
      <c r="Q1261" s="198" t="s">
        <v>2272</v>
      </c>
      <c r="R1261" s="198" t="s">
        <v>2272</v>
      </c>
      <c r="S1261" s="198" t="s">
        <v>2272</v>
      </c>
      <c r="T1261" s="198"/>
    </row>
    <row r="1262" spans="1:20" ht="33.5" customHeight="1">
      <c r="A1262" s="52" t="s">
        <v>8058</v>
      </c>
      <c r="B1262" s="35" t="s">
        <v>2272</v>
      </c>
      <c r="C1262" s="35" t="s">
        <v>11</v>
      </c>
      <c r="D1262" s="35" t="s">
        <v>44</v>
      </c>
      <c r="E1262" s="35" t="s">
        <v>2642</v>
      </c>
      <c r="F1262" s="35" t="s">
        <v>2272</v>
      </c>
      <c r="G1262" s="35" t="s">
        <v>2272</v>
      </c>
      <c r="H1262" s="35" t="s">
        <v>2272</v>
      </c>
      <c r="I1262" s="197">
        <f>(25*236+20*24)/45</f>
        <v>141.77777777777777</v>
      </c>
      <c r="J1262" s="35" t="s">
        <v>2272</v>
      </c>
      <c r="K1262" s="35" t="s">
        <v>2272</v>
      </c>
      <c r="L1262" s="35" t="s">
        <v>2272</v>
      </c>
      <c r="M1262" s="35" t="s">
        <v>2272</v>
      </c>
      <c r="N1262" s="35" t="s">
        <v>2272</v>
      </c>
      <c r="O1262" s="35" t="s">
        <v>2272</v>
      </c>
      <c r="P1262" s="35" t="s">
        <v>2272</v>
      </c>
      <c r="Q1262" s="35" t="s">
        <v>2272</v>
      </c>
      <c r="R1262" s="35" t="s">
        <v>2272</v>
      </c>
      <c r="S1262" s="35" t="s">
        <v>2272</v>
      </c>
      <c r="T1262" s="35"/>
    </row>
    <row r="1263" spans="1:20" ht="33" customHeight="1">
      <c r="A1263" s="19" t="s">
        <v>8065</v>
      </c>
      <c r="B1263" s="198" t="s">
        <v>69</v>
      </c>
      <c r="C1263" s="198" t="s">
        <v>11</v>
      </c>
      <c r="D1263" s="198" t="s">
        <v>44</v>
      </c>
      <c r="E1263" s="4" t="s">
        <v>3850</v>
      </c>
      <c r="F1263" s="198" t="s">
        <v>5795</v>
      </c>
      <c r="G1263" s="198" t="s">
        <v>2272</v>
      </c>
      <c r="H1263" s="21">
        <f>(0.15*165+36)/32.7</f>
        <v>1.8577981651376145</v>
      </c>
      <c r="I1263" s="198">
        <v>32.700000000000003</v>
      </c>
      <c r="J1263" s="198" t="s">
        <v>2272</v>
      </c>
      <c r="K1263" s="198" t="s">
        <v>2272</v>
      </c>
      <c r="L1263" s="198" t="s">
        <v>2272</v>
      </c>
      <c r="M1263" s="198" t="s">
        <v>2272</v>
      </c>
      <c r="N1263" s="198" t="s">
        <v>2272</v>
      </c>
      <c r="O1263" s="21">
        <f>(32.7*24)/125</f>
        <v>6.2784000000000004</v>
      </c>
      <c r="P1263" s="198" t="s">
        <v>2272</v>
      </c>
      <c r="Q1263" s="198" t="s">
        <v>2272</v>
      </c>
      <c r="R1263" s="198" t="s">
        <v>2272</v>
      </c>
      <c r="S1263" s="198" t="s">
        <v>2272</v>
      </c>
      <c r="T1263" s="198"/>
    </row>
    <row r="1264" spans="1:20" ht="49.5" customHeight="1">
      <c r="A1264" s="19" t="s">
        <v>8071</v>
      </c>
      <c r="B1264" s="198" t="s">
        <v>2272</v>
      </c>
      <c r="C1264" s="198" t="s">
        <v>393</v>
      </c>
      <c r="D1264" s="198" t="s">
        <v>5000</v>
      </c>
      <c r="E1264" s="4" t="s">
        <v>395</v>
      </c>
      <c r="F1264" s="4" t="s">
        <v>3849</v>
      </c>
      <c r="G1264" s="198" t="s">
        <v>2272</v>
      </c>
      <c r="H1264" s="198" t="s">
        <v>2272</v>
      </c>
      <c r="I1264" s="198" t="s">
        <v>2272</v>
      </c>
      <c r="J1264" s="198" t="s">
        <v>2272</v>
      </c>
      <c r="K1264" s="198" t="s">
        <v>532</v>
      </c>
      <c r="L1264" s="198" t="s">
        <v>2272</v>
      </c>
      <c r="M1264" s="198" t="s">
        <v>2272</v>
      </c>
      <c r="N1264" s="198" t="s">
        <v>2272</v>
      </c>
      <c r="O1264" s="198" t="s">
        <v>2272</v>
      </c>
      <c r="P1264" s="198" t="s">
        <v>2272</v>
      </c>
      <c r="Q1264" s="198" t="s">
        <v>2272</v>
      </c>
      <c r="R1264" s="198" t="s">
        <v>2272</v>
      </c>
      <c r="S1264" s="198" t="s">
        <v>2272</v>
      </c>
      <c r="T1264" s="198"/>
    </row>
    <row r="1265" spans="1:20" ht="50" customHeight="1">
      <c r="A1265" s="19" t="s">
        <v>8074</v>
      </c>
      <c r="B1265" s="198" t="s">
        <v>2272</v>
      </c>
      <c r="C1265" s="198" t="s">
        <v>11</v>
      </c>
      <c r="D1265" s="198" t="s">
        <v>5795</v>
      </c>
      <c r="E1265" s="198" t="s">
        <v>5000</v>
      </c>
      <c r="F1265" s="4" t="s">
        <v>395</v>
      </c>
      <c r="G1265" s="4" t="s">
        <v>3849</v>
      </c>
      <c r="H1265" s="198" t="s">
        <v>2272</v>
      </c>
      <c r="I1265" s="198" t="s">
        <v>2272</v>
      </c>
      <c r="J1265" s="198" t="s">
        <v>2272</v>
      </c>
      <c r="K1265" s="198" t="s">
        <v>532</v>
      </c>
      <c r="L1265" s="198" t="s">
        <v>2272</v>
      </c>
      <c r="M1265" s="198" t="s">
        <v>2272</v>
      </c>
      <c r="N1265" s="198" t="s">
        <v>2272</v>
      </c>
      <c r="O1265" s="198" t="s">
        <v>2272</v>
      </c>
      <c r="P1265" s="198" t="s">
        <v>2272</v>
      </c>
      <c r="Q1265" s="198" t="s">
        <v>2272</v>
      </c>
      <c r="R1265" s="198" t="s">
        <v>2272</v>
      </c>
      <c r="S1265" s="198" t="s">
        <v>2272</v>
      </c>
      <c r="T1265" s="198" t="s">
        <v>8076</v>
      </c>
    </row>
    <row r="1266" spans="1:20" ht="53.5" customHeight="1">
      <c r="A1266" s="19" t="s">
        <v>8084</v>
      </c>
      <c r="B1266" s="198" t="s">
        <v>69</v>
      </c>
      <c r="C1266" s="198" t="s">
        <v>11</v>
      </c>
      <c r="D1266" s="4" t="s">
        <v>3849</v>
      </c>
      <c r="E1266" s="4" t="s">
        <v>3850</v>
      </c>
      <c r="F1266" s="198" t="s">
        <v>44</v>
      </c>
      <c r="G1266" s="198" t="s">
        <v>2272</v>
      </c>
      <c r="H1266" s="21">
        <v>0.5</v>
      </c>
      <c r="I1266" s="198" t="s">
        <v>2272</v>
      </c>
      <c r="J1266" s="198" t="s">
        <v>2272</v>
      </c>
      <c r="K1266" s="198" t="s">
        <v>2272</v>
      </c>
      <c r="L1266" s="198" t="s">
        <v>2272</v>
      </c>
      <c r="M1266" s="198" t="s">
        <v>2272</v>
      </c>
      <c r="N1266" s="198" t="s">
        <v>2272</v>
      </c>
      <c r="O1266" s="198" t="s">
        <v>2272</v>
      </c>
      <c r="P1266" s="198" t="s">
        <v>2272</v>
      </c>
      <c r="Q1266" s="198" t="s">
        <v>2272</v>
      </c>
      <c r="R1266" s="198" t="s">
        <v>2272</v>
      </c>
      <c r="S1266" s="198" t="s">
        <v>2272</v>
      </c>
      <c r="T1266" s="198"/>
    </row>
    <row r="1267" spans="1:20" ht="39.5" customHeight="1">
      <c r="A1267" s="19" t="s">
        <v>8093</v>
      </c>
      <c r="B1267" s="4" t="s">
        <v>1193</v>
      </c>
      <c r="C1267" s="198" t="s">
        <v>11</v>
      </c>
      <c r="D1267" s="198" t="s">
        <v>135</v>
      </c>
      <c r="E1267" s="198" t="s">
        <v>44</v>
      </c>
      <c r="F1267" s="4" t="s">
        <v>394</v>
      </c>
      <c r="G1267" s="171" t="s">
        <v>5795</v>
      </c>
      <c r="H1267" s="198" t="s">
        <v>2272</v>
      </c>
      <c r="I1267" s="198" t="s">
        <v>2272</v>
      </c>
      <c r="J1267" s="198" t="s">
        <v>2272</v>
      </c>
      <c r="K1267" s="198" t="s">
        <v>2272</v>
      </c>
      <c r="L1267" s="198" t="s">
        <v>2272</v>
      </c>
      <c r="M1267" s="198" t="s">
        <v>2272</v>
      </c>
      <c r="N1267" s="198" t="s">
        <v>2272</v>
      </c>
      <c r="O1267" s="198" t="s">
        <v>2272</v>
      </c>
      <c r="P1267" s="198" t="s">
        <v>2272</v>
      </c>
      <c r="Q1267" s="198" t="s">
        <v>2272</v>
      </c>
      <c r="R1267" s="198" t="s">
        <v>2272</v>
      </c>
      <c r="S1267" s="198" t="s">
        <v>2272</v>
      </c>
      <c r="T1267" s="198" t="s">
        <v>8096</v>
      </c>
    </row>
    <row r="1268" spans="1:20" ht="32.5" customHeight="1">
      <c r="A1268" s="19" t="s">
        <v>8104</v>
      </c>
      <c r="B1268" s="4" t="s">
        <v>1193</v>
      </c>
      <c r="C1268" s="198" t="s">
        <v>11</v>
      </c>
      <c r="D1268" s="4" t="s">
        <v>394</v>
      </c>
      <c r="E1268" s="198" t="s">
        <v>2648</v>
      </c>
      <c r="F1268" s="198" t="s">
        <v>44</v>
      </c>
      <c r="G1268" s="198" t="s">
        <v>2272</v>
      </c>
      <c r="H1268" s="198" t="s">
        <v>2272</v>
      </c>
      <c r="I1268" s="198" t="s">
        <v>2272</v>
      </c>
      <c r="J1268" s="198" t="s">
        <v>2272</v>
      </c>
      <c r="K1268" s="198" t="s">
        <v>2272</v>
      </c>
      <c r="L1268" s="198" t="s">
        <v>2272</v>
      </c>
      <c r="M1268" s="198" t="s">
        <v>2272</v>
      </c>
      <c r="N1268" s="198" t="s">
        <v>2272</v>
      </c>
      <c r="O1268" s="198" t="s">
        <v>2272</v>
      </c>
      <c r="P1268" s="198" t="s">
        <v>2272</v>
      </c>
      <c r="Q1268" s="198" t="s">
        <v>2272</v>
      </c>
      <c r="R1268" s="21">
        <f>27884/'Record info'!K1268</f>
        <v>38.81511177928116</v>
      </c>
      <c r="S1268" s="198" t="s">
        <v>2272</v>
      </c>
      <c r="T1268" s="198"/>
    </row>
    <row r="1269" spans="1:20" ht="32.5" customHeight="1">
      <c r="A1269" s="19" t="s">
        <v>8111</v>
      </c>
      <c r="B1269" s="4" t="s">
        <v>1193</v>
      </c>
      <c r="C1269" s="198" t="s">
        <v>11</v>
      </c>
      <c r="D1269" s="198" t="s">
        <v>44</v>
      </c>
      <c r="E1269" s="198" t="s">
        <v>135</v>
      </c>
      <c r="F1269" s="4" t="s">
        <v>394</v>
      </c>
      <c r="G1269" s="198" t="s">
        <v>2272</v>
      </c>
      <c r="H1269" s="198" t="s">
        <v>2272</v>
      </c>
      <c r="I1269" s="198" t="s">
        <v>2272</v>
      </c>
      <c r="J1269" s="198" t="s">
        <v>2272</v>
      </c>
      <c r="K1269" s="198" t="s">
        <v>2272</v>
      </c>
      <c r="L1269" s="198" t="s">
        <v>2272</v>
      </c>
      <c r="M1269" s="198" t="s">
        <v>2272</v>
      </c>
      <c r="N1269" s="198" t="s">
        <v>2272</v>
      </c>
      <c r="O1269" s="198" t="s">
        <v>2272</v>
      </c>
      <c r="P1269" s="198" t="s">
        <v>2272</v>
      </c>
      <c r="Q1269" s="198" t="s">
        <v>2272</v>
      </c>
      <c r="R1269" s="21">
        <f>50640/'Record info'!K1269</f>
        <v>19.328244274809162</v>
      </c>
      <c r="S1269" s="198" t="s">
        <v>2272</v>
      </c>
      <c r="T1269" s="198"/>
    </row>
    <row r="1270" spans="1:20" ht="32.5" customHeight="1">
      <c r="A1270" s="19" t="s">
        <v>8112</v>
      </c>
      <c r="B1270" s="198" t="s">
        <v>31</v>
      </c>
      <c r="C1270" s="198" t="s">
        <v>11</v>
      </c>
      <c r="D1270" s="198" t="s">
        <v>44</v>
      </c>
      <c r="E1270" s="198" t="s">
        <v>135</v>
      </c>
      <c r="F1270" s="198" t="s">
        <v>2648</v>
      </c>
      <c r="G1270" s="4" t="s">
        <v>394</v>
      </c>
      <c r="H1270" s="198" t="s">
        <v>2272</v>
      </c>
      <c r="I1270" s="198" t="s">
        <v>2272</v>
      </c>
      <c r="J1270" s="198" t="s">
        <v>2272</v>
      </c>
      <c r="K1270" s="198" t="s">
        <v>2272</v>
      </c>
      <c r="L1270" s="198" t="s">
        <v>2272</v>
      </c>
      <c r="M1270" s="198" t="s">
        <v>2272</v>
      </c>
      <c r="N1270" s="198" t="s">
        <v>2272</v>
      </c>
      <c r="O1270" s="198" t="s">
        <v>2272</v>
      </c>
      <c r="P1270" s="198" t="s">
        <v>2272</v>
      </c>
      <c r="Q1270" s="198" t="s">
        <v>2272</v>
      </c>
      <c r="R1270" s="21">
        <f>24975/'Record info'!K1270</f>
        <v>4.8605475341114097</v>
      </c>
      <c r="S1270" s="198" t="s">
        <v>2272</v>
      </c>
      <c r="T1270" s="198"/>
    </row>
    <row r="1271" spans="1:20" ht="32.5" customHeight="1">
      <c r="A1271" s="19" t="s">
        <v>8113</v>
      </c>
      <c r="B1271" s="198" t="s">
        <v>31</v>
      </c>
      <c r="C1271" s="198" t="s">
        <v>11</v>
      </c>
      <c r="D1271" s="198" t="s">
        <v>135</v>
      </c>
      <c r="E1271" s="4" t="s">
        <v>394</v>
      </c>
      <c r="F1271" s="198" t="s">
        <v>2272</v>
      </c>
      <c r="G1271" s="198" t="s">
        <v>2272</v>
      </c>
      <c r="H1271" s="198" t="s">
        <v>2272</v>
      </c>
      <c r="I1271" s="198" t="s">
        <v>2272</v>
      </c>
      <c r="J1271" s="198" t="s">
        <v>2272</v>
      </c>
      <c r="K1271" s="198" t="s">
        <v>2272</v>
      </c>
      <c r="L1271" s="198" t="s">
        <v>2272</v>
      </c>
      <c r="M1271" s="198" t="s">
        <v>2272</v>
      </c>
      <c r="N1271" s="198" t="s">
        <v>2272</v>
      </c>
      <c r="O1271" s="198" t="s">
        <v>2272</v>
      </c>
      <c r="P1271" s="198" t="s">
        <v>2272</v>
      </c>
      <c r="Q1271" s="198" t="s">
        <v>2272</v>
      </c>
      <c r="R1271" s="21">
        <f>270000/'Record info'!K1271</f>
        <v>27.014560848297229</v>
      </c>
      <c r="S1271" s="198" t="s">
        <v>2272</v>
      </c>
      <c r="T1271" s="198"/>
    </row>
    <row r="1272" spans="1:20" ht="32.5" customHeight="1">
      <c r="A1272" s="19" t="s">
        <v>8147</v>
      </c>
      <c r="B1272" s="198" t="s">
        <v>68</v>
      </c>
      <c r="C1272" s="198" t="s">
        <v>393</v>
      </c>
      <c r="D1272" s="198" t="s">
        <v>114</v>
      </c>
      <c r="E1272" s="198" t="s">
        <v>2272</v>
      </c>
      <c r="F1272" s="198" t="s">
        <v>2272</v>
      </c>
      <c r="G1272" s="198" t="s">
        <v>2272</v>
      </c>
      <c r="H1272" s="198" t="s">
        <v>2272</v>
      </c>
      <c r="I1272" s="198" t="s">
        <v>2272</v>
      </c>
      <c r="J1272" s="198" t="s">
        <v>2272</v>
      </c>
      <c r="K1272" s="198" t="s">
        <v>2272</v>
      </c>
      <c r="L1272" s="198" t="s">
        <v>2272</v>
      </c>
      <c r="M1272" s="198" t="s">
        <v>2272</v>
      </c>
      <c r="N1272" s="198" t="s">
        <v>2272</v>
      </c>
      <c r="O1272" s="198" t="s">
        <v>2272</v>
      </c>
      <c r="P1272" s="198" t="s">
        <v>2272</v>
      </c>
      <c r="Q1272" s="198" t="s">
        <v>2272</v>
      </c>
      <c r="R1272" s="198" t="s">
        <v>2272</v>
      </c>
      <c r="S1272" s="198" t="s">
        <v>2272</v>
      </c>
      <c r="T1272" s="198"/>
    </row>
    <row r="1273" spans="1:20" ht="33.5" customHeight="1">
      <c r="A1273" s="19" t="s">
        <v>8156</v>
      </c>
      <c r="B1273" s="198" t="s">
        <v>68</v>
      </c>
      <c r="C1273" s="198" t="s">
        <v>393</v>
      </c>
      <c r="D1273" s="198" t="s">
        <v>128</v>
      </c>
      <c r="E1273" s="198" t="s">
        <v>114</v>
      </c>
      <c r="F1273" s="198" t="s">
        <v>44</v>
      </c>
      <c r="G1273" s="198" t="s">
        <v>2272</v>
      </c>
      <c r="H1273" s="198" t="s">
        <v>2272</v>
      </c>
      <c r="I1273" s="198" t="s">
        <v>2272</v>
      </c>
      <c r="J1273" s="198" t="s">
        <v>2272</v>
      </c>
      <c r="K1273" s="198" t="s">
        <v>2272</v>
      </c>
      <c r="L1273" s="198" t="s">
        <v>2272</v>
      </c>
      <c r="M1273" s="198" t="s">
        <v>2272</v>
      </c>
      <c r="N1273" s="198" t="s">
        <v>2272</v>
      </c>
      <c r="O1273" s="198" t="s">
        <v>2272</v>
      </c>
      <c r="P1273" s="198" t="s">
        <v>2272</v>
      </c>
      <c r="Q1273" s="198" t="s">
        <v>2272</v>
      </c>
      <c r="R1273" s="198" t="s">
        <v>2272</v>
      </c>
      <c r="S1273" s="198" t="s">
        <v>2272</v>
      </c>
      <c r="T1273" s="198"/>
    </row>
    <row r="1274" spans="1:20" ht="33.5" customHeight="1">
      <c r="A1274" s="19" t="s">
        <v>8157</v>
      </c>
      <c r="B1274" s="198" t="s">
        <v>68</v>
      </c>
      <c r="C1274" s="198" t="s">
        <v>393</v>
      </c>
      <c r="D1274" s="198" t="s">
        <v>128</v>
      </c>
      <c r="E1274" s="198" t="s">
        <v>114</v>
      </c>
      <c r="F1274" s="198" t="s">
        <v>44</v>
      </c>
      <c r="G1274" s="198" t="s">
        <v>2272</v>
      </c>
      <c r="H1274" s="198" t="s">
        <v>2272</v>
      </c>
      <c r="I1274" s="198" t="s">
        <v>2272</v>
      </c>
      <c r="J1274" s="198" t="s">
        <v>2272</v>
      </c>
      <c r="K1274" s="198" t="s">
        <v>2272</v>
      </c>
      <c r="L1274" s="198" t="s">
        <v>2272</v>
      </c>
      <c r="M1274" s="198" t="s">
        <v>2272</v>
      </c>
      <c r="N1274" s="198" t="s">
        <v>2272</v>
      </c>
      <c r="O1274" s="198" t="s">
        <v>2272</v>
      </c>
      <c r="P1274" s="198" t="s">
        <v>2272</v>
      </c>
      <c r="Q1274" s="198" t="s">
        <v>2272</v>
      </c>
      <c r="R1274" s="198" t="s">
        <v>2272</v>
      </c>
      <c r="S1274" s="198" t="s">
        <v>2272</v>
      </c>
      <c r="T1274" s="198"/>
    </row>
    <row r="1275" spans="1:20" ht="32.5" customHeight="1">
      <c r="A1275" s="19" t="s">
        <v>8180</v>
      </c>
      <c r="B1275" s="198" t="s">
        <v>2272</v>
      </c>
      <c r="C1275" s="198" t="s">
        <v>2641</v>
      </c>
      <c r="D1275" s="198" t="s">
        <v>135</v>
      </c>
      <c r="E1275" s="198" t="s">
        <v>2648</v>
      </c>
      <c r="F1275" s="198" t="s">
        <v>2272</v>
      </c>
      <c r="G1275" s="198" t="s">
        <v>2272</v>
      </c>
      <c r="H1275" s="198" t="s">
        <v>2272</v>
      </c>
      <c r="I1275" s="198" t="s">
        <v>2272</v>
      </c>
      <c r="J1275" s="198" t="s">
        <v>2272</v>
      </c>
      <c r="K1275" s="198" t="s">
        <v>2272</v>
      </c>
      <c r="L1275" s="198" t="s">
        <v>2272</v>
      </c>
      <c r="M1275" s="198" t="s">
        <v>2272</v>
      </c>
      <c r="N1275" s="198" t="s">
        <v>2272</v>
      </c>
      <c r="O1275" s="198" t="s">
        <v>2272</v>
      </c>
      <c r="P1275" s="198" t="s">
        <v>2272</v>
      </c>
      <c r="Q1275" s="198" t="s">
        <v>2272</v>
      </c>
      <c r="R1275" s="198" t="s">
        <v>2272</v>
      </c>
      <c r="S1275" s="198" t="s">
        <v>2272</v>
      </c>
      <c r="T1275" s="198"/>
    </row>
    <row r="1276" spans="1:20" ht="27" customHeight="1">
      <c r="A1276" s="19" t="s">
        <v>8191</v>
      </c>
      <c r="B1276" s="198" t="s">
        <v>31</v>
      </c>
      <c r="C1276" s="198" t="s">
        <v>2640</v>
      </c>
      <c r="D1276" s="198" t="s">
        <v>135</v>
      </c>
      <c r="E1276" s="198" t="s">
        <v>2647</v>
      </c>
      <c r="F1276" s="198" t="s">
        <v>2644</v>
      </c>
      <c r="G1276" s="198" t="s">
        <v>2272</v>
      </c>
      <c r="H1276" s="198" t="s">
        <v>2272</v>
      </c>
      <c r="I1276" s="198" t="s">
        <v>2272</v>
      </c>
      <c r="J1276" s="198" t="s">
        <v>2272</v>
      </c>
      <c r="K1276" s="198" t="s">
        <v>532</v>
      </c>
      <c r="L1276" s="198" t="s">
        <v>2272</v>
      </c>
      <c r="M1276" s="198" t="s">
        <v>2272</v>
      </c>
      <c r="N1276" s="198" t="s">
        <v>2272</v>
      </c>
      <c r="O1276" s="198" t="s">
        <v>2272</v>
      </c>
      <c r="P1276" s="198" t="s">
        <v>2272</v>
      </c>
      <c r="Q1276" s="198" t="s">
        <v>2272</v>
      </c>
      <c r="R1276" s="198" t="s">
        <v>2272</v>
      </c>
      <c r="S1276" s="198" t="s">
        <v>2272</v>
      </c>
      <c r="T1276" s="198"/>
    </row>
    <row r="1277" spans="1:20" ht="27" customHeight="1">
      <c r="A1277" s="19" t="s">
        <v>8197</v>
      </c>
      <c r="B1277" s="198" t="s">
        <v>31</v>
      </c>
      <c r="C1277" s="198" t="s">
        <v>2640</v>
      </c>
      <c r="D1277" s="198" t="s">
        <v>135</v>
      </c>
      <c r="E1277" s="198" t="s">
        <v>2647</v>
      </c>
      <c r="F1277" s="198" t="s">
        <v>2644</v>
      </c>
      <c r="G1277" s="198" t="s">
        <v>2272</v>
      </c>
      <c r="H1277" s="198" t="s">
        <v>2272</v>
      </c>
      <c r="I1277" s="198" t="s">
        <v>2272</v>
      </c>
      <c r="J1277" s="198" t="s">
        <v>2272</v>
      </c>
      <c r="K1277" s="198" t="s">
        <v>532</v>
      </c>
      <c r="L1277" s="198" t="s">
        <v>2272</v>
      </c>
      <c r="M1277" s="198" t="s">
        <v>2272</v>
      </c>
      <c r="N1277" s="198" t="s">
        <v>2272</v>
      </c>
      <c r="O1277" s="198" t="s">
        <v>2272</v>
      </c>
      <c r="P1277" s="198" t="s">
        <v>2272</v>
      </c>
      <c r="Q1277" s="198" t="s">
        <v>2272</v>
      </c>
      <c r="R1277" s="198" t="s">
        <v>2272</v>
      </c>
      <c r="S1277" s="198" t="s">
        <v>2272</v>
      </c>
      <c r="T1277" s="198"/>
    </row>
    <row r="1278" spans="1:20" ht="27" customHeight="1">
      <c r="A1278" s="19" t="s">
        <v>8198</v>
      </c>
      <c r="B1278" s="198" t="s">
        <v>31</v>
      </c>
      <c r="C1278" s="198" t="s">
        <v>2640</v>
      </c>
      <c r="D1278" s="198" t="s">
        <v>135</v>
      </c>
      <c r="E1278" s="198" t="s">
        <v>2647</v>
      </c>
      <c r="F1278" s="198" t="s">
        <v>2644</v>
      </c>
      <c r="G1278" s="198" t="s">
        <v>2272</v>
      </c>
      <c r="H1278" s="198" t="s">
        <v>2272</v>
      </c>
      <c r="I1278" s="198" t="s">
        <v>2272</v>
      </c>
      <c r="J1278" s="198" t="s">
        <v>2272</v>
      </c>
      <c r="K1278" s="198" t="s">
        <v>532</v>
      </c>
      <c r="L1278" s="198" t="s">
        <v>2272</v>
      </c>
      <c r="M1278" s="198" t="s">
        <v>2272</v>
      </c>
      <c r="N1278" s="198" t="s">
        <v>2272</v>
      </c>
      <c r="O1278" s="198" t="s">
        <v>2272</v>
      </c>
      <c r="P1278" s="198" t="s">
        <v>2272</v>
      </c>
      <c r="Q1278" s="198" t="s">
        <v>2272</v>
      </c>
      <c r="R1278" s="198" t="s">
        <v>2272</v>
      </c>
      <c r="S1278" s="198" t="s">
        <v>2272</v>
      </c>
      <c r="T1278" s="198"/>
    </row>
    <row r="1279" spans="1:20" ht="27" customHeight="1">
      <c r="A1279" s="19" t="s">
        <v>8199</v>
      </c>
      <c r="B1279" s="198" t="s">
        <v>31</v>
      </c>
      <c r="C1279" s="198" t="s">
        <v>2640</v>
      </c>
      <c r="D1279" s="198" t="s">
        <v>135</v>
      </c>
      <c r="E1279" s="198" t="s">
        <v>2647</v>
      </c>
      <c r="F1279" s="198" t="s">
        <v>2644</v>
      </c>
      <c r="G1279" s="198" t="s">
        <v>2272</v>
      </c>
      <c r="H1279" s="198" t="s">
        <v>2272</v>
      </c>
      <c r="I1279" s="198" t="s">
        <v>2272</v>
      </c>
      <c r="J1279" s="198" t="s">
        <v>2272</v>
      </c>
      <c r="K1279" s="198" t="s">
        <v>532</v>
      </c>
      <c r="L1279" s="198" t="s">
        <v>2272</v>
      </c>
      <c r="M1279" s="198" t="s">
        <v>2272</v>
      </c>
      <c r="N1279" s="198" t="s">
        <v>2272</v>
      </c>
      <c r="O1279" s="198" t="s">
        <v>2272</v>
      </c>
      <c r="P1279" s="198" t="s">
        <v>2272</v>
      </c>
      <c r="Q1279" s="198" t="s">
        <v>2272</v>
      </c>
      <c r="R1279" s="198" t="s">
        <v>2272</v>
      </c>
      <c r="S1279" s="198" t="s">
        <v>2272</v>
      </c>
      <c r="T1279" s="198"/>
    </row>
    <row r="1280" spans="1:20" ht="27" customHeight="1">
      <c r="A1280" s="19" t="s">
        <v>8206</v>
      </c>
      <c r="B1280" s="198" t="s">
        <v>31</v>
      </c>
      <c r="C1280" s="198" t="s">
        <v>2640</v>
      </c>
      <c r="D1280" s="198" t="s">
        <v>135</v>
      </c>
      <c r="E1280" s="198" t="s">
        <v>2647</v>
      </c>
      <c r="F1280" s="198" t="s">
        <v>2644</v>
      </c>
      <c r="G1280" s="198" t="s">
        <v>2272</v>
      </c>
      <c r="H1280" s="198" t="s">
        <v>2272</v>
      </c>
      <c r="I1280" s="198" t="s">
        <v>2272</v>
      </c>
      <c r="J1280" s="198" t="s">
        <v>2272</v>
      </c>
      <c r="K1280" s="198" t="s">
        <v>532</v>
      </c>
      <c r="L1280" s="198" t="s">
        <v>2272</v>
      </c>
      <c r="M1280" s="198" t="s">
        <v>2272</v>
      </c>
      <c r="N1280" s="198" t="s">
        <v>2272</v>
      </c>
      <c r="O1280" s="198" t="s">
        <v>2272</v>
      </c>
      <c r="P1280" s="198" t="s">
        <v>2272</v>
      </c>
      <c r="Q1280" s="198" t="s">
        <v>2272</v>
      </c>
      <c r="R1280" s="198" t="s">
        <v>2272</v>
      </c>
      <c r="S1280" s="198" t="s">
        <v>2272</v>
      </c>
      <c r="T1280" s="198"/>
    </row>
    <row r="1281" spans="1:20" ht="27" customHeight="1">
      <c r="A1281" s="19" t="s">
        <v>8207</v>
      </c>
      <c r="B1281" s="198" t="s">
        <v>31</v>
      </c>
      <c r="C1281" s="198" t="s">
        <v>2640</v>
      </c>
      <c r="D1281" s="198" t="s">
        <v>135</v>
      </c>
      <c r="E1281" s="198" t="s">
        <v>2647</v>
      </c>
      <c r="F1281" s="198" t="s">
        <v>2644</v>
      </c>
      <c r="G1281" s="198" t="s">
        <v>2272</v>
      </c>
      <c r="H1281" s="198" t="s">
        <v>2272</v>
      </c>
      <c r="I1281" s="198" t="s">
        <v>2272</v>
      </c>
      <c r="J1281" s="198" t="s">
        <v>2272</v>
      </c>
      <c r="K1281" s="198" t="s">
        <v>532</v>
      </c>
      <c r="L1281" s="198" t="s">
        <v>2272</v>
      </c>
      <c r="M1281" s="198" t="s">
        <v>2272</v>
      </c>
      <c r="N1281" s="198" t="s">
        <v>2272</v>
      </c>
      <c r="O1281" s="198" t="s">
        <v>2272</v>
      </c>
      <c r="P1281" s="198" t="s">
        <v>2272</v>
      </c>
      <c r="Q1281" s="198" t="s">
        <v>2272</v>
      </c>
      <c r="R1281" s="198" t="s">
        <v>2272</v>
      </c>
      <c r="S1281" s="198" t="s">
        <v>2272</v>
      </c>
      <c r="T1281" s="198"/>
    </row>
    <row r="1282" spans="1:20" ht="27" customHeight="1">
      <c r="A1282" s="19" t="s">
        <v>8208</v>
      </c>
      <c r="B1282" s="198" t="s">
        <v>31</v>
      </c>
      <c r="C1282" s="198" t="s">
        <v>2640</v>
      </c>
      <c r="D1282" s="198" t="s">
        <v>135</v>
      </c>
      <c r="E1282" s="198" t="s">
        <v>2647</v>
      </c>
      <c r="F1282" s="198" t="s">
        <v>2644</v>
      </c>
      <c r="G1282" s="198" t="s">
        <v>2272</v>
      </c>
      <c r="H1282" s="198" t="s">
        <v>2272</v>
      </c>
      <c r="I1282" s="198" t="s">
        <v>2272</v>
      </c>
      <c r="J1282" s="198" t="s">
        <v>2272</v>
      </c>
      <c r="K1282" s="198" t="s">
        <v>532</v>
      </c>
      <c r="L1282" s="198" t="s">
        <v>2272</v>
      </c>
      <c r="M1282" s="198" t="s">
        <v>2272</v>
      </c>
      <c r="N1282" s="198" t="s">
        <v>2272</v>
      </c>
      <c r="O1282" s="198" t="s">
        <v>2272</v>
      </c>
      <c r="P1282" s="198" t="s">
        <v>2272</v>
      </c>
      <c r="Q1282" s="198" t="s">
        <v>2272</v>
      </c>
      <c r="R1282" s="198" t="s">
        <v>2272</v>
      </c>
      <c r="S1282" s="198" t="s">
        <v>2272</v>
      </c>
      <c r="T1282" s="198"/>
    </row>
    <row r="1283" spans="1:20" ht="27" customHeight="1">
      <c r="A1283" s="19" t="s">
        <v>8225</v>
      </c>
      <c r="B1283" s="198" t="s">
        <v>31</v>
      </c>
      <c r="C1283" s="198" t="s">
        <v>2641</v>
      </c>
      <c r="D1283" s="198" t="s">
        <v>2647</v>
      </c>
      <c r="E1283" s="198" t="s">
        <v>114</v>
      </c>
      <c r="F1283" s="198" t="s">
        <v>2272</v>
      </c>
      <c r="G1283" s="198" t="s">
        <v>2272</v>
      </c>
      <c r="H1283" s="198" t="s">
        <v>2272</v>
      </c>
      <c r="I1283" s="198" t="s">
        <v>2272</v>
      </c>
      <c r="J1283" s="198" t="s">
        <v>2272</v>
      </c>
      <c r="K1283" s="198" t="s">
        <v>2272</v>
      </c>
      <c r="L1283" s="198" t="s">
        <v>2272</v>
      </c>
      <c r="M1283" s="198" t="s">
        <v>2272</v>
      </c>
      <c r="N1283" s="198" t="s">
        <v>2272</v>
      </c>
      <c r="O1283" s="198" t="s">
        <v>2272</v>
      </c>
      <c r="P1283" s="198" t="s">
        <v>2272</v>
      </c>
      <c r="Q1283" s="198" t="s">
        <v>2272</v>
      </c>
      <c r="R1283" s="198" t="s">
        <v>2272</v>
      </c>
      <c r="S1283" s="198" t="s">
        <v>2272</v>
      </c>
      <c r="T1283" s="198"/>
    </row>
    <row r="1284" spans="1:20" ht="27" customHeight="1">
      <c r="A1284" s="19" t="s">
        <v>8226</v>
      </c>
      <c r="B1284" s="198" t="s">
        <v>31</v>
      </c>
      <c r="C1284" s="198" t="s">
        <v>2641</v>
      </c>
      <c r="D1284" s="198" t="s">
        <v>2647</v>
      </c>
      <c r="E1284" s="198" t="s">
        <v>114</v>
      </c>
      <c r="F1284" s="198" t="s">
        <v>2272</v>
      </c>
      <c r="G1284" s="198" t="s">
        <v>2272</v>
      </c>
      <c r="H1284" s="198" t="s">
        <v>2272</v>
      </c>
      <c r="I1284" s="198" t="s">
        <v>2272</v>
      </c>
      <c r="J1284" s="198" t="s">
        <v>2272</v>
      </c>
      <c r="K1284" s="198" t="s">
        <v>2272</v>
      </c>
      <c r="L1284" s="198" t="s">
        <v>2272</v>
      </c>
      <c r="M1284" s="198" t="s">
        <v>2272</v>
      </c>
      <c r="N1284" s="198" t="s">
        <v>2272</v>
      </c>
      <c r="O1284" s="198" t="s">
        <v>2272</v>
      </c>
      <c r="P1284" s="198" t="s">
        <v>2272</v>
      </c>
      <c r="Q1284" s="198" t="s">
        <v>2272</v>
      </c>
      <c r="R1284" s="198" t="s">
        <v>2272</v>
      </c>
      <c r="S1284" s="198" t="s">
        <v>2272</v>
      </c>
      <c r="T1284" s="198"/>
    </row>
    <row r="1285" spans="1:20" ht="27" customHeight="1">
      <c r="A1285" s="19" t="s">
        <v>8227</v>
      </c>
      <c r="B1285" s="198" t="s">
        <v>31</v>
      </c>
      <c r="C1285" s="198" t="s">
        <v>2641</v>
      </c>
      <c r="D1285" s="198" t="s">
        <v>2647</v>
      </c>
      <c r="E1285" s="198" t="s">
        <v>114</v>
      </c>
      <c r="F1285" s="198" t="s">
        <v>2272</v>
      </c>
      <c r="G1285" s="198" t="s">
        <v>2272</v>
      </c>
      <c r="H1285" s="198" t="s">
        <v>2272</v>
      </c>
      <c r="I1285" s="198" t="s">
        <v>2272</v>
      </c>
      <c r="J1285" s="198" t="s">
        <v>2272</v>
      </c>
      <c r="K1285" s="198" t="s">
        <v>2272</v>
      </c>
      <c r="L1285" s="198" t="s">
        <v>2272</v>
      </c>
      <c r="M1285" s="198" t="s">
        <v>2272</v>
      </c>
      <c r="N1285" s="198" t="s">
        <v>2272</v>
      </c>
      <c r="O1285" s="198" t="s">
        <v>2272</v>
      </c>
      <c r="P1285" s="198" t="s">
        <v>2272</v>
      </c>
      <c r="Q1285" s="198" t="s">
        <v>2272</v>
      </c>
      <c r="R1285" s="198" t="s">
        <v>2272</v>
      </c>
      <c r="S1285" s="198" t="s">
        <v>2272</v>
      </c>
      <c r="T1285" s="198"/>
    </row>
    <row r="1286" spans="1:20" ht="27" customHeight="1">
      <c r="A1286" s="19" t="s">
        <v>8228</v>
      </c>
      <c r="B1286" s="198" t="s">
        <v>31</v>
      </c>
      <c r="C1286" s="198" t="s">
        <v>2641</v>
      </c>
      <c r="D1286" s="198" t="s">
        <v>2647</v>
      </c>
      <c r="E1286" s="198" t="s">
        <v>114</v>
      </c>
      <c r="F1286" s="198" t="s">
        <v>2272</v>
      </c>
      <c r="G1286" s="198" t="s">
        <v>2272</v>
      </c>
      <c r="H1286" s="198" t="s">
        <v>2272</v>
      </c>
      <c r="I1286" s="198" t="s">
        <v>2272</v>
      </c>
      <c r="J1286" s="198" t="s">
        <v>2272</v>
      </c>
      <c r="K1286" s="198" t="s">
        <v>2272</v>
      </c>
      <c r="L1286" s="198" t="s">
        <v>2272</v>
      </c>
      <c r="M1286" s="198" t="s">
        <v>2272</v>
      </c>
      <c r="N1286" s="198" t="s">
        <v>2272</v>
      </c>
      <c r="O1286" s="198" t="s">
        <v>2272</v>
      </c>
      <c r="P1286" s="198" t="s">
        <v>2272</v>
      </c>
      <c r="Q1286" s="198" t="s">
        <v>2272</v>
      </c>
      <c r="R1286" s="198" t="s">
        <v>2272</v>
      </c>
      <c r="S1286" s="198" t="s">
        <v>2272</v>
      </c>
      <c r="T1286" s="198"/>
    </row>
    <row r="1287" spans="1:20" ht="31" customHeight="1">
      <c r="A1287" s="19" t="s">
        <v>8243</v>
      </c>
      <c r="B1287" s="4" t="s">
        <v>1193</v>
      </c>
      <c r="C1287" s="198" t="s">
        <v>2641</v>
      </c>
      <c r="D1287" s="198" t="s">
        <v>114</v>
      </c>
      <c r="E1287" s="198" t="s">
        <v>135</v>
      </c>
      <c r="F1287" s="198" t="s">
        <v>2272</v>
      </c>
      <c r="G1287" s="198" t="s">
        <v>2272</v>
      </c>
      <c r="H1287" s="198" t="s">
        <v>2272</v>
      </c>
      <c r="I1287" s="198" t="s">
        <v>2272</v>
      </c>
      <c r="J1287" s="198" t="s">
        <v>2272</v>
      </c>
      <c r="K1287" s="198" t="s">
        <v>2272</v>
      </c>
      <c r="L1287" s="198" t="s">
        <v>2272</v>
      </c>
      <c r="M1287" s="198" t="s">
        <v>2272</v>
      </c>
      <c r="N1287" s="198" t="s">
        <v>2272</v>
      </c>
      <c r="O1287" s="198" t="s">
        <v>2272</v>
      </c>
      <c r="P1287" s="198" t="s">
        <v>2272</v>
      </c>
      <c r="Q1287" s="198" t="s">
        <v>2272</v>
      </c>
      <c r="R1287" s="198" t="s">
        <v>2272</v>
      </c>
      <c r="S1287" s="198" t="s">
        <v>2272</v>
      </c>
      <c r="T1287" s="198"/>
    </row>
    <row r="1288" spans="1:20" ht="34.5" customHeight="1">
      <c r="A1288" s="19" t="s">
        <v>8257</v>
      </c>
      <c r="B1288" s="198" t="s">
        <v>68</v>
      </c>
      <c r="C1288" s="198" t="s">
        <v>393</v>
      </c>
      <c r="D1288" s="198" t="s">
        <v>114</v>
      </c>
      <c r="E1288" s="198" t="s">
        <v>2272</v>
      </c>
      <c r="F1288" s="198" t="s">
        <v>2272</v>
      </c>
      <c r="G1288" s="198" t="s">
        <v>2272</v>
      </c>
      <c r="H1288" s="198" t="s">
        <v>2272</v>
      </c>
      <c r="I1288" s="198" t="s">
        <v>2272</v>
      </c>
      <c r="J1288" s="198" t="s">
        <v>2272</v>
      </c>
      <c r="K1288" s="198" t="s">
        <v>2272</v>
      </c>
      <c r="L1288" s="198" t="s">
        <v>2272</v>
      </c>
      <c r="M1288" s="198" t="s">
        <v>2272</v>
      </c>
      <c r="N1288" s="198" t="s">
        <v>2272</v>
      </c>
      <c r="O1288" s="198" t="s">
        <v>2272</v>
      </c>
      <c r="P1288" s="198" t="s">
        <v>2272</v>
      </c>
      <c r="Q1288" s="198" t="s">
        <v>2272</v>
      </c>
      <c r="R1288" s="198" t="s">
        <v>2272</v>
      </c>
      <c r="S1288" s="198" t="s">
        <v>2272</v>
      </c>
      <c r="T1288" s="198"/>
    </row>
    <row r="1289" spans="1:20" ht="29" customHeight="1">
      <c r="A1289" s="19" t="s">
        <v>8270</v>
      </c>
      <c r="B1289" s="198" t="s">
        <v>31</v>
      </c>
      <c r="C1289" s="198" t="s">
        <v>2641</v>
      </c>
      <c r="D1289" s="198" t="s">
        <v>114</v>
      </c>
      <c r="E1289" s="198" t="s">
        <v>135</v>
      </c>
      <c r="F1289" s="198" t="s">
        <v>3204</v>
      </c>
      <c r="G1289" s="198" t="s">
        <v>2272</v>
      </c>
      <c r="H1289" s="198" t="s">
        <v>2272</v>
      </c>
      <c r="I1289" s="198" t="s">
        <v>2272</v>
      </c>
      <c r="J1289" s="198" t="s">
        <v>2272</v>
      </c>
      <c r="K1289" s="198" t="s">
        <v>2272</v>
      </c>
      <c r="L1289" s="198" t="s">
        <v>2272</v>
      </c>
      <c r="M1289" s="198" t="s">
        <v>2272</v>
      </c>
      <c r="N1289" s="198" t="s">
        <v>2272</v>
      </c>
      <c r="O1289" s="198" t="s">
        <v>2272</v>
      </c>
      <c r="P1289" s="198" t="s">
        <v>2272</v>
      </c>
      <c r="Q1289" s="198" t="s">
        <v>2272</v>
      </c>
      <c r="R1289" s="198" t="s">
        <v>2272</v>
      </c>
      <c r="S1289" s="198" t="s">
        <v>2272</v>
      </c>
      <c r="T1289" s="198"/>
    </row>
    <row r="1290" spans="1:20" ht="29" customHeight="1">
      <c r="A1290" s="19" t="s">
        <v>8271</v>
      </c>
      <c r="B1290" s="198" t="s">
        <v>31</v>
      </c>
      <c r="C1290" s="198" t="s">
        <v>2641</v>
      </c>
      <c r="D1290" s="198" t="s">
        <v>114</v>
      </c>
      <c r="E1290" s="198" t="s">
        <v>135</v>
      </c>
      <c r="F1290" s="198" t="s">
        <v>3204</v>
      </c>
      <c r="G1290" s="198" t="s">
        <v>2272</v>
      </c>
      <c r="H1290" s="198" t="s">
        <v>2272</v>
      </c>
      <c r="I1290" s="198" t="s">
        <v>2272</v>
      </c>
      <c r="J1290" s="198" t="s">
        <v>2272</v>
      </c>
      <c r="K1290" s="198" t="s">
        <v>2272</v>
      </c>
      <c r="L1290" s="198" t="s">
        <v>2272</v>
      </c>
      <c r="M1290" s="198" t="s">
        <v>2272</v>
      </c>
      <c r="N1290" s="198" t="s">
        <v>2272</v>
      </c>
      <c r="O1290" s="198" t="s">
        <v>2272</v>
      </c>
      <c r="P1290" s="198" t="s">
        <v>2272</v>
      </c>
      <c r="Q1290" s="198" t="s">
        <v>2272</v>
      </c>
      <c r="R1290" s="198" t="s">
        <v>2272</v>
      </c>
      <c r="S1290" s="198" t="s">
        <v>2272</v>
      </c>
      <c r="T1290" s="198"/>
    </row>
    <row r="1291" spans="1:20" ht="29" customHeight="1">
      <c r="A1291" s="19" t="s">
        <v>8272</v>
      </c>
      <c r="B1291" s="198" t="s">
        <v>31</v>
      </c>
      <c r="C1291" s="198" t="s">
        <v>2641</v>
      </c>
      <c r="D1291" s="198" t="s">
        <v>114</v>
      </c>
      <c r="E1291" s="198" t="s">
        <v>135</v>
      </c>
      <c r="F1291" s="198" t="s">
        <v>3204</v>
      </c>
      <c r="G1291" s="198" t="s">
        <v>2272</v>
      </c>
      <c r="H1291" s="198" t="s">
        <v>2272</v>
      </c>
      <c r="I1291" s="198" t="s">
        <v>2272</v>
      </c>
      <c r="J1291" s="198" t="s">
        <v>2272</v>
      </c>
      <c r="K1291" s="198" t="s">
        <v>2272</v>
      </c>
      <c r="L1291" s="198" t="s">
        <v>2272</v>
      </c>
      <c r="M1291" s="198" t="s">
        <v>2272</v>
      </c>
      <c r="N1291" s="198" t="s">
        <v>2272</v>
      </c>
      <c r="O1291" s="198" t="s">
        <v>2272</v>
      </c>
      <c r="P1291" s="198" t="s">
        <v>2272</v>
      </c>
      <c r="Q1291" s="198" t="s">
        <v>2272</v>
      </c>
      <c r="R1291" s="198" t="s">
        <v>2272</v>
      </c>
      <c r="S1291" s="198" t="s">
        <v>2272</v>
      </c>
      <c r="T1291" s="198"/>
    </row>
    <row r="1292" spans="1:20" ht="37.5" customHeight="1">
      <c r="A1292" s="19" t="s">
        <v>8285</v>
      </c>
      <c r="B1292" s="198" t="s">
        <v>31</v>
      </c>
      <c r="C1292" s="198" t="s">
        <v>2640</v>
      </c>
      <c r="D1292" s="198" t="s">
        <v>114</v>
      </c>
      <c r="E1292" s="198" t="s">
        <v>2644</v>
      </c>
      <c r="F1292" s="4" t="s">
        <v>395</v>
      </c>
      <c r="G1292" s="198" t="s">
        <v>2648</v>
      </c>
      <c r="H1292" s="198" t="s">
        <v>2272</v>
      </c>
      <c r="I1292" s="198" t="s">
        <v>2272</v>
      </c>
      <c r="J1292" s="198" t="s">
        <v>2272</v>
      </c>
      <c r="K1292" s="198" t="s">
        <v>532</v>
      </c>
      <c r="L1292" s="198" t="s">
        <v>2272</v>
      </c>
      <c r="M1292" s="198" t="s">
        <v>2272</v>
      </c>
      <c r="N1292" s="198" t="s">
        <v>2272</v>
      </c>
      <c r="O1292" s="198" t="s">
        <v>2272</v>
      </c>
      <c r="P1292" s="198" t="s">
        <v>2272</v>
      </c>
      <c r="Q1292" s="198" t="s">
        <v>2272</v>
      </c>
      <c r="R1292" s="198" t="s">
        <v>2272</v>
      </c>
      <c r="S1292" s="198" t="s">
        <v>2272</v>
      </c>
      <c r="T1292" s="198"/>
    </row>
    <row r="1293" spans="1:20" ht="50" customHeight="1">
      <c r="A1293" s="19" t="s">
        <v>8300</v>
      </c>
      <c r="B1293" s="198" t="s">
        <v>2254</v>
      </c>
      <c r="C1293" s="198" t="s">
        <v>11</v>
      </c>
      <c r="D1293" s="4" t="s">
        <v>3849</v>
      </c>
      <c r="E1293" s="198" t="s">
        <v>2272</v>
      </c>
      <c r="F1293" s="198" t="s">
        <v>2272</v>
      </c>
      <c r="G1293" s="198" t="s">
        <v>2272</v>
      </c>
      <c r="H1293" s="198" t="s">
        <v>2272</v>
      </c>
      <c r="I1293" s="198" t="s">
        <v>2272</v>
      </c>
      <c r="J1293" s="198" t="s">
        <v>2272</v>
      </c>
      <c r="K1293" s="198" t="s">
        <v>2272</v>
      </c>
      <c r="L1293" s="198" t="s">
        <v>2272</v>
      </c>
      <c r="M1293" s="198" t="s">
        <v>2272</v>
      </c>
      <c r="N1293" s="198" t="s">
        <v>2272</v>
      </c>
      <c r="O1293" s="198" t="s">
        <v>2272</v>
      </c>
      <c r="P1293" s="198">
        <v>2.2000000000000002</v>
      </c>
      <c r="Q1293" s="198">
        <v>13.8</v>
      </c>
      <c r="R1293" s="198">
        <f>14.5+71.7</f>
        <v>86.2</v>
      </c>
      <c r="S1293" s="198" t="s">
        <v>2272</v>
      </c>
      <c r="T1293" s="198"/>
    </row>
    <row r="1294" spans="1:20" ht="50" customHeight="1">
      <c r="A1294" s="19" t="s">
        <v>8301</v>
      </c>
      <c r="B1294" s="198" t="s">
        <v>2254</v>
      </c>
      <c r="C1294" s="198" t="s">
        <v>11</v>
      </c>
      <c r="D1294" s="4" t="s">
        <v>3849</v>
      </c>
      <c r="E1294" s="198" t="s">
        <v>2272</v>
      </c>
      <c r="F1294" s="198" t="s">
        <v>2272</v>
      </c>
      <c r="G1294" s="198" t="s">
        <v>2272</v>
      </c>
      <c r="H1294" s="198" t="s">
        <v>2272</v>
      </c>
      <c r="I1294" s="198" t="s">
        <v>2272</v>
      </c>
      <c r="J1294" s="198" t="s">
        <v>2272</v>
      </c>
      <c r="K1294" s="198" t="s">
        <v>2272</v>
      </c>
      <c r="L1294" s="198" t="s">
        <v>2272</v>
      </c>
      <c r="M1294" s="198" t="s">
        <v>2272</v>
      </c>
      <c r="N1294" s="198" t="s">
        <v>2272</v>
      </c>
      <c r="O1294" s="198" t="s">
        <v>2272</v>
      </c>
      <c r="P1294" s="198">
        <v>2.4</v>
      </c>
      <c r="Q1294" s="21">
        <f>10</f>
        <v>10</v>
      </c>
      <c r="R1294" s="21">
        <f>80.7+6.9</f>
        <v>87.600000000000009</v>
      </c>
      <c r="S1294" s="198" t="s">
        <v>2272</v>
      </c>
      <c r="T1294" s="198"/>
    </row>
    <row r="1295" spans="1:20" ht="50" customHeight="1">
      <c r="A1295" s="19" t="s">
        <v>8304</v>
      </c>
      <c r="B1295" s="198" t="s">
        <v>2254</v>
      </c>
      <c r="C1295" s="198" t="s">
        <v>11</v>
      </c>
      <c r="D1295" s="4" t="s">
        <v>3849</v>
      </c>
      <c r="E1295" s="198" t="s">
        <v>2648</v>
      </c>
      <c r="F1295" s="198" t="s">
        <v>2272</v>
      </c>
      <c r="G1295" s="198" t="s">
        <v>2272</v>
      </c>
      <c r="H1295" s="198" t="s">
        <v>2272</v>
      </c>
      <c r="I1295" s="198" t="s">
        <v>2272</v>
      </c>
      <c r="J1295" s="198" t="s">
        <v>2272</v>
      </c>
      <c r="K1295" s="198" t="s">
        <v>2272</v>
      </c>
      <c r="L1295" s="198" t="s">
        <v>2272</v>
      </c>
      <c r="M1295" s="198" t="s">
        <v>2272</v>
      </c>
      <c r="N1295" s="198" t="s">
        <v>2272</v>
      </c>
      <c r="O1295" s="198" t="s">
        <v>2272</v>
      </c>
      <c r="P1295" s="198">
        <v>49.6</v>
      </c>
      <c r="Q1295" s="198">
        <v>4.3</v>
      </c>
      <c r="R1295" s="21">
        <f>6.5+39.6</f>
        <v>46.1</v>
      </c>
      <c r="S1295" s="198" t="s">
        <v>2272</v>
      </c>
      <c r="T1295" s="198" t="s">
        <v>8310</v>
      </c>
    </row>
    <row r="1296" spans="1:20" ht="50" customHeight="1">
      <c r="A1296" s="19" t="s">
        <v>8305</v>
      </c>
      <c r="B1296" s="198" t="s">
        <v>2254</v>
      </c>
      <c r="C1296" s="198" t="s">
        <v>11</v>
      </c>
      <c r="D1296" s="4" t="s">
        <v>3849</v>
      </c>
      <c r="E1296" s="198" t="s">
        <v>2648</v>
      </c>
      <c r="F1296" s="198" t="s">
        <v>2272</v>
      </c>
      <c r="G1296" s="198" t="s">
        <v>2272</v>
      </c>
      <c r="H1296" s="198" t="s">
        <v>2272</v>
      </c>
      <c r="I1296" s="198" t="s">
        <v>2272</v>
      </c>
      <c r="J1296" s="198" t="s">
        <v>2272</v>
      </c>
      <c r="K1296" s="198" t="s">
        <v>2272</v>
      </c>
      <c r="L1296" s="198" t="s">
        <v>2272</v>
      </c>
      <c r="M1296" s="198" t="s">
        <v>2272</v>
      </c>
      <c r="N1296" s="198" t="s">
        <v>2272</v>
      </c>
      <c r="O1296" s="198" t="s">
        <v>2272</v>
      </c>
      <c r="P1296" s="198">
        <v>30.6</v>
      </c>
      <c r="Q1296" s="198">
        <v>8.3000000000000007</v>
      </c>
      <c r="R1296" s="21">
        <f>57.6+2.2</f>
        <v>59.800000000000004</v>
      </c>
      <c r="S1296" s="198" t="s">
        <v>2272</v>
      </c>
      <c r="T1296" s="198" t="s">
        <v>8310</v>
      </c>
    </row>
    <row r="1297" spans="1:20" ht="50" customHeight="1">
      <c r="A1297" s="19" t="s">
        <v>8342</v>
      </c>
      <c r="B1297" s="198" t="s">
        <v>2254</v>
      </c>
      <c r="C1297" s="198" t="s">
        <v>11</v>
      </c>
      <c r="D1297" s="4" t="s">
        <v>3849</v>
      </c>
      <c r="E1297" s="198" t="s">
        <v>2648</v>
      </c>
      <c r="F1297" s="198" t="s">
        <v>2272</v>
      </c>
      <c r="G1297" s="198" t="s">
        <v>2272</v>
      </c>
      <c r="H1297" s="198" t="s">
        <v>2272</v>
      </c>
      <c r="I1297" s="198" t="s">
        <v>2272</v>
      </c>
      <c r="J1297" s="198" t="s">
        <v>2272</v>
      </c>
      <c r="K1297" s="198" t="s">
        <v>2272</v>
      </c>
      <c r="L1297" s="198" t="s">
        <v>2272</v>
      </c>
      <c r="M1297" s="198" t="s">
        <v>2272</v>
      </c>
      <c r="N1297" s="198" t="s">
        <v>2272</v>
      </c>
      <c r="O1297" s="198" t="s">
        <v>2272</v>
      </c>
      <c r="P1297" s="198" t="s">
        <v>2272</v>
      </c>
      <c r="Q1297" s="198" t="s">
        <v>2272</v>
      </c>
      <c r="R1297" s="198" t="s">
        <v>2272</v>
      </c>
      <c r="S1297" s="198" t="s">
        <v>2272</v>
      </c>
      <c r="T1297" s="11" t="s">
        <v>8346</v>
      </c>
    </row>
    <row r="1298" spans="1:20" ht="50" customHeight="1">
      <c r="A1298" s="19" t="s">
        <v>8343</v>
      </c>
      <c r="B1298" s="198" t="s">
        <v>2254</v>
      </c>
      <c r="C1298" s="198" t="s">
        <v>11</v>
      </c>
      <c r="D1298" s="4" t="s">
        <v>3849</v>
      </c>
      <c r="E1298" s="198" t="s">
        <v>2648</v>
      </c>
      <c r="F1298" s="198" t="s">
        <v>2272</v>
      </c>
      <c r="G1298" s="198" t="s">
        <v>2272</v>
      </c>
      <c r="H1298" s="198" t="s">
        <v>2272</v>
      </c>
      <c r="I1298" s="198" t="s">
        <v>2272</v>
      </c>
      <c r="J1298" s="198" t="s">
        <v>2272</v>
      </c>
      <c r="K1298" s="198" t="s">
        <v>2272</v>
      </c>
      <c r="L1298" s="198" t="s">
        <v>2272</v>
      </c>
      <c r="M1298" s="198" t="s">
        <v>2272</v>
      </c>
      <c r="N1298" s="198" t="s">
        <v>2272</v>
      </c>
      <c r="O1298" s="198" t="s">
        <v>2272</v>
      </c>
      <c r="P1298" s="198" t="s">
        <v>2272</v>
      </c>
      <c r="Q1298" s="198" t="s">
        <v>2272</v>
      </c>
      <c r="R1298" s="198" t="s">
        <v>2272</v>
      </c>
      <c r="S1298" s="198" t="s">
        <v>2272</v>
      </c>
      <c r="T1298" s="11" t="s">
        <v>8347</v>
      </c>
    </row>
    <row r="1299" spans="1:20" ht="50" customHeight="1">
      <c r="A1299" s="19" t="s">
        <v>8341</v>
      </c>
      <c r="B1299" s="198" t="s">
        <v>2272</v>
      </c>
      <c r="C1299" s="198" t="s">
        <v>11</v>
      </c>
      <c r="D1299" s="4" t="s">
        <v>394</v>
      </c>
      <c r="E1299" s="198" t="s">
        <v>2272</v>
      </c>
      <c r="F1299" s="198" t="s">
        <v>2272</v>
      </c>
      <c r="G1299" s="198" t="s">
        <v>2272</v>
      </c>
      <c r="H1299" s="198" t="s">
        <v>2272</v>
      </c>
      <c r="I1299" s="198" t="s">
        <v>2272</v>
      </c>
      <c r="J1299" s="198" t="s">
        <v>2272</v>
      </c>
      <c r="K1299" s="198" t="s">
        <v>2272</v>
      </c>
      <c r="L1299" s="198" t="s">
        <v>2272</v>
      </c>
      <c r="M1299" s="198" t="s">
        <v>2272</v>
      </c>
      <c r="N1299" s="198" t="s">
        <v>2272</v>
      </c>
      <c r="O1299" s="198" t="s">
        <v>2272</v>
      </c>
      <c r="P1299" s="198" t="s">
        <v>2272</v>
      </c>
      <c r="Q1299" s="198" t="s">
        <v>2272</v>
      </c>
      <c r="R1299" s="198" t="s">
        <v>2272</v>
      </c>
      <c r="S1299" s="198" t="s">
        <v>2272</v>
      </c>
      <c r="T1299" s="198"/>
    </row>
    <row r="1300" spans="1:20" ht="50" customHeight="1">
      <c r="A1300" s="19" t="s">
        <v>8370</v>
      </c>
      <c r="B1300" s="198" t="s">
        <v>2272</v>
      </c>
      <c r="C1300" s="198" t="s">
        <v>11</v>
      </c>
      <c r="D1300" s="4" t="s">
        <v>394</v>
      </c>
      <c r="E1300" s="198" t="s">
        <v>2272</v>
      </c>
      <c r="F1300" s="198" t="s">
        <v>2272</v>
      </c>
      <c r="G1300" s="198" t="s">
        <v>2272</v>
      </c>
      <c r="H1300" s="198" t="s">
        <v>2272</v>
      </c>
      <c r="I1300" s="198" t="s">
        <v>2272</v>
      </c>
      <c r="J1300" s="198" t="s">
        <v>2272</v>
      </c>
      <c r="K1300" s="198" t="s">
        <v>2272</v>
      </c>
      <c r="L1300" s="198" t="s">
        <v>2272</v>
      </c>
      <c r="M1300" s="198" t="s">
        <v>2272</v>
      </c>
      <c r="N1300" s="198" t="s">
        <v>2272</v>
      </c>
      <c r="O1300" s="198" t="s">
        <v>2272</v>
      </c>
      <c r="P1300" s="198" t="s">
        <v>2272</v>
      </c>
      <c r="Q1300" s="198" t="s">
        <v>2272</v>
      </c>
      <c r="R1300" s="198" t="s">
        <v>2272</v>
      </c>
      <c r="S1300" s="198" t="s">
        <v>2272</v>
      </c>
      <c r="T1300" s="198"/>
    </row>
    <row r="1301" spans="1:20" ht="43.5" customHeight="1">
      <c r="A1301" s="19" t="s">
        <v>8376</v>
      </c>
      <c r="B1301" s="198" t="s">
        <v>2272</v>
      </c>
      <c r="C1301" s="198" t="s">
        <v>11</v>
      </c>
      <c r="D1301" s="4" t="s">
        <v>394</v>
      </c>
      <c r="E1301" s="4" t="s">
        <v>395</v>
      </c>
      <c r="F1301" s="198" t="s">
        <v>2272</v>
      </c>
      <c r="G1301" s="198" t="s">
        <v>2272</v>
      </c>
      <c r="H1301" s="198" t="s">
        <v>2272</v>
      </c>
      <c r="I1301" s="198" t="s">
        <v>2272</v>
      </c>
      <c r="J1301" s="198" t="s">
        <v>2272</v>
      </c>
      <c r="K1301" s="198" t="s">
        <v>2272</v>
      </c>
      <c r="L1301" s="198" t="s">
        <v>2272</v>
      </c>
      <c r="M1301" s="198" t="s">
        <v>2272</v>
      </c>
      <c r="N1301" s="198" t="s">
        <v>2272</v>
      </c>
      <c r="O1301" s="198" t="s">
        <v>2272</v>
      </c>
      <c r="P1301" s="198" t="s">
        <v>2272</v>
      </c>
      <c r="Q1301" s="198" t="s">
        <v>2272</v>
      </c>
      <c r="R1301" s="198" t="s">
        <v>2272</v>
      </c>
      <c r="S1301" s="198" t="s">
        <v>2272</v>
      </c>
      <c r="T1301" s="198"/>
    </row>
    <row r="1302" spans="1:20" ht="42" customHeight="1">
      <c r="A1302" s="19" t="s">
        <v>8402</v>
      </c>
      <c r="B1302" s="198" t="s">
        <v>2272</v>
      </c>
      <c r="C1302" s="198" t="s">
        <v>2640</v>
      </c>
      <c r="D1302" s="198" t="s">
        <v>82</v>
      </c>
      <c r="E1302" s="198" t="s">
        <v>2272</v>
      </c>
      <c r="F1302" s="198" t="s">
        <v>2272</v>
      </c>
      <c r="G1302" s="198" t="s">
        <v>2272</v>
      </c>
      <c r="H1302" s="198" t="s">
        <v>2272</v>
      </c>
      <c r="I1302" s="198" t="s">
        <v>2272</v>
      </c>
      <c r="J1302" s="198" t="s">
        <v>2272</v>
      </c>
      <c r="K1302" s="198" t="s">
        <v>2272</v>
      </c>
      <c r="L1302" s="198" t="s">
        <v>2272</v>
      </c>
      <c r="M1302" s="198" t="s">
        <v>2272</v>
      </c>
      <c r="N1302" s="198" t="s">
        <v>2272</v>
      </c>
      <c r="O1302" s="198" t="s">
        <v>2272</v>
      </c>
      <c r="P1302" s="198" t="s">
        <v>2272</v>
      </c>
      <c r="Q1302" s="198" t="s">
        <v>2272</v>
      </c>
      <c r="R1302" s="198" t="s">
        <v>2272</v>
      </c>
      <c r="S1302" s="198" t="s">
        <v>2272</v>
      </c>
      <c r="T1302" s="198"/>
    </row>
    <row r="1303" spans="1:20" ht="37" customHeight="1">
      <c r="A1303" s="19" t="s">
        <v>8407</v>
      </c>
      <c r="B1303" s="198" t="s">
        <v>2272</v>
      </c>
      <c r="C1303" s="198" t="s">
        <v>2640</v>
      </c>
      <c r="D1303" s="198" t="s">
        <v>82</v>
      </c>
      <c r="E1303" s="198" t="s">
        <v>2272</v>
      </c>
      <c r="F1303" s="198" t="s">
        <v>2272</v>
      </c>
      <c r="G1303" s="198" t="s">
        <v>2272</v>
      </c>
      <c r="H1303" s="198" t="s">
        <v>2272</v>
      </c>
      <c r="I1303" s="198" t="s">
        <v>2272</v>
      </c>
      <c r="J1303" s="198" t="s">
        <v>2272</v>
      </c>
      <c r="K1303" s="198" t="s">
        <v>2272</v>
      </c>
      <c r="L1303" s="198" t="s">
        <v>2272</v>
      </c>
      <c r="M1303" s="198" t="s">
        <v>2272</v>
      </c>
      <c r="N1303" s="198" t="s">
        <v>2272</v>
      </c>
      <c r="O1303" s="198" t="s">
        <v>2272</v>
      </c>
      <c r="P1303" s="198" t="s">
        <v>2272</v>
      </c>
      <c r="Q1303" s="198" t="s">
        <v>2272</v>
      </c>
      <c r="R1303" s="198" t="s">
        <v>2272</v>
      </c>
      <c r="S1303" s="198" t="s">
        <v>2272</v>
      </c>
      <c r="T1303" s="198"/>
    </row>
    <row r="1304" spans="1:20" ht="36.5" customHeight="1">
      <c r="A1304" s="19" t="s">
        <v>8411</v>
      </c>
      <c r="B1304" s="198" t="s">
        <v>2272</v>
      </c>
      <c r="C1304" s="198" t="s">
        <v>2640</v>
      </c>
      <c r="D1304" s="198" t="s">
        <v>82</v>
      </c>
      <c r="E1304" s="198" t="s">
        <v>2272</v>
      </c>
      <c r="F1304" s="198" t="s">
        <v>2272</v>
      </c>
      <c r="G1304" s="198" t="s">
        <v>2272</v>
      </c>
      <c r="H1304" s="198" t="s">
        <v>2272</v>
      </c>
      <c r="I1304" s="198" t="s">
        <v>2272</v>
      </c>
      <c r="J1304" s="198" t="s">
        <v>2272</v>
      </c>
      <c r="K1304" s="198" t="s">
        <v>2272</v>
      </c>
      <c r="L1304" s="198" t="s">
        <v>2272</v>
      </c>
      <c r="M1304" s="198" t="s">
        <v>2272</v>
      </c>
      <c r="N1304" s="198" t="s">
        <v>2272</v>
      </c>
      <c r="O1304" s="198" t="s">
        <v>2272</v>
      </c>
      <c r="P1304" s="198" t="s">
        <v>2272</v>
      </c>
      <c r="Q1304" s="198" t="s">
        <v>2272</v>
      </c>
      <c r="R1304" s="198" t="s">
        <v>2272</v>
      </c>
      <c r="S1304" s="198" t="s">
        <v>2272</v>
      </c>
      <c r="T1304" s="198"/>
    </row>
    <row r="1305" spans="1:20" ht="32.5" customHeight="1">
      <c r="A1305" s="146" t="s">
        <v>8420</v>
      </c>
      <c r="B1305" s="35" t="s">
        <v>2272</v>
      </c>
      <c r="C1305" s="35" t="s">
        <v>2640</v>
      </c>
      <c r="D1305" s="35" t="s">
        <v>82</v>
      </c>
      <c r="E1305" s="35" t="s">
        <v>2272</v>
      </c>
      <c r="F1305" s="35" t="s">
        <v>2272</v>
      </c>
      <c r="G1305" s="35" t="s">
        <v>2272</v>
      </c>
      <c r="H1305" s="35" t="s">
        <v>2272</v>
      </c>
      <c r="I1305" s="35" t="s">
        <v>2272</v>
      </c>
      <c r="J1305" s="35" t="s">
        <v>2272</v>
      </c>
      <c r="K1305" s="35" t="s">
        <v>2272</v>
      </c>
      <c r="L1305" s="35" t="s">
        <v>2272</v>
      </c>
      <c r="M1305" s="35" t="s">
        <v>2272</v>
      </c>
      <c r="N1305" s="35" t="s">
        <v>2272</v>
      </c>
      <c r="O1305" s="35" t="s">
        <v>2272</v>
      </c>
      <c r="P1305" s="35" t="s">
        <v>2272</v>
      </c>
      <c r="Q1305" s="35" t="s">
        <v>2272</v>
      </c>
      <c r="R1305" s="35" t="s">
        <v>2272</v>
      </c>
      <c r="S1305" s="35" t="s">
        <v>2272</v>
      </c>
      <c r="T1305" s="35"/>
    </row>
    <row r="1306" spans="1:20" ht="41" customHeight="1">
      <c r="A1306" s="19" t="s">
        <v>8425</v>
      </c>
      <c r="B1306" s="198" t="s">
        <v>2272</v>
      </c>
      <c r="C1306" s="198" t="s">
        <v>11</v>
      </c>
      <c r="D1306" s="4" t="s">
        <v>395</v>
      </c>
      <c r="E1306" s="4" t="s">
        <v>394</v>
      </c>
      <c r="F1306" s="4" t="s">
        <v>128</v>
      </c>
      <c r="G1306" s="198" t="s">
        <v>2272</v>
      </c>
      <c r="H1306" s="198" t="s">
        <v>2272</v>
      </c>
      <c r="I1306" s="198">
        <v>13</v>
      </c>
      <c r="J1306" s="198" t="s">
        <v>2272</v>
      </c>
      <c r="K1306" s="198" t="s">
        <v>2272</v>
      </c>
      <c r="L1306" s="198" t="s">
        <v>2272</v>
      </c>
      <c r="M1306" s="198" t="s">
        <v>2272</v>
      </c>
      <c r="N1306" s="198" t="s">
        <v>2272</v>
      </c>
      <c r="O1306" s="198" t="s">
        <v>2272</v>
      </c>
      <c r="P1306" s="198" t="s">
        <v>2272</v>
      </c>
      <c r="Q1306" s="198" t="s">
        <v>2272</v>
      </c>
      <c r="R1306" s="198" t="s">
        <v>2272</v>
      </c>
      <c r="S1306" s="198" t="s">
        <v>2272</v>
      </c>
      <c r="T1306" s="198"/>
    </row>
    <row r="1307" spans="1:20" ht="40" customHeight="1">
      <c r="A1307" s="19" t="s">
        <v>8437</v>
      </c>
      <c r="B1307" s="198" t="s">
        <v>2272</v>
      </c>
      <c r="C1307" s="198" t="s">
        <v>11</v>
      </c>
      <c r="D1307" s="4" t="s">
        <v>395</v>
      </c>
      <c r="E1307" s="198" t="s">
        <v>2272</v>
      </c>
      <c r="F1307" s="198" t="s">
        <v>2272</v>
      </c>
      <c r="G1307" s="198" t="s">
        <v>2272</v>
      </c>
      <c r="H1307" s="198" t="s">
        <v>2272</v>
      </c>
      <c r="I1307" s="198" t="s">
        <v>2272</v>
      </c>
      <c r="J1307" s="198" t="s">
        <v>2272</v>
      </c>
      <c r="K1307" s="198" t="s">
        <v>2272</v>
      </c>
      <c r="L1307" s="198" t="s">
        <v>2272</v>
      </c>
      <c r="M1307" s="198" t="s">
        <v>2272</v>
      </c>
      <c r="N1307" s="198" t="s">
        <v>2272</v>
      </c>
      <c r="O1307" s="198" t="s">
        <v>2272</v>
      </c>
      <c r="P1307" s="198" t="s">
        <v>2272</v>
      </c>
      <c r="Q1307" s="198" t="s">
        <v>2272</v>
      </c>
      <c r="R1307" s="198" t="s">
        <v>2272</v>
      </c>
      <c r="S1307" s="198" t="s">
        <v>2272</v>
      </c>
      <c r="T1307" s="198"/>
    </row>
    <row r="1308" spans="1:20" ht="34.5" customHeight="1">
      <c r="A1308" s="146" t="s">
        <v>8447</v>
      </c>
      <c r="B1308" s="35" t="s">
        <v>2272</v>
      </c>
      <c r="C1308" s="35" t="s">
        <v>11</v>
      </c>
      <c r="D1308" s="163" t="s">
        <v>394</v>
      </c>
      <c r="E1308" s="35" t="s">
        <v>2272</v>
      </c>
      <c r="F1308" s="35" t="s">
        <v>2272</v>
      </c>
      <c r="G1308" s="35" t="s">
        <v>2272</v>
      </c>
      <c r="H1308" s="35" t="s">
        <v>2272</v>
      </c>
      <c r="I1308" s="35" t="s">
        <v>2272</v>
      </c>
      <c r="J1308" s="35" t="s">
        <v>2272</v>
      </c>
      <c r="K1308" s="35" t="s">
        <v>2272</v>
      </c>
      <c r="L1308" s="35" t="s">
        <v>2272</v>
      </c>
      <c r="M1308" s="35" t="s">
        <v>2272</v>
      </c>
      <c r="N1308" s="4">
        <v>0</v>
      </c>
      <c r="O1308" s="4">
        <v>0</v>
      </c>
      <c r="P1308" s="69">
        <v>100</v>
      </c>
      <c r="Q1308" s="4">
        <v>0</v>
      </c>
      <c r="R1308" s="4">
        <v>0</v>
      </c>
      <c r="S1308" s="4">
        <v>0</v>
      </c>
      <c r="T1308" s="35"/>
    </row>
    <row r="1309" spans="1:20" ht="38" customHeight="1">
      <c r="A1309" s="52" t="s">
        <v>8451</v>
      </c>
      <c r="B1309" s="35" t="s">
        <v>2272</v>
      </c>
      <c r="C1309" s="35" t="s">
        <v>11</v>
      </c>
      <c r="D1309" s="163" t="s">
        <v>394</v>
      </c>
      <c r="E1309" s="35" t="s">
        <v>2272</v>
      </c>
      <c r="F1309" s="35" t="s">
        <v>2272</v>
      </c>
      <c r="G1309" s="35" t="s">
        <v>2272</v>
      </c>
      <c r="H1309" s="35" t="s">
        <v>2272</v>
      </c>
      <c r="I1309" s="35" t="s">
        <v>2272</v>
      </c>
      <c r="J1309" s="35" t="s">
        <v>2272</v>
      </c>
      <c r="K1309" s="35" t="s">
        <v>2272</v>
      </c>
      <c r="L1309" s="35" t="s">
        <v>2272</v>
      </c>
      <c r="M1309" s="35" t="s">
        <v>2272</v>
      </c>
      <c r="N1309" s="4">
        <v>0</v>
      </c>
      <c r="O1309" s="4">
        <v>0</v>
      </c>
      <c r="P1309" s="69">
        <v>100</v>
      </c>
      <c r="Q1309" s="4">
        <v>0</v>
      </c>
      <c r="R1309" s="4">
        <v>0</v>
      </c>
      <c r="S1309" s="4">
        <v>0</v>
      </c>
      <c r="T1309" s="35"/>
    </row>
    <row r="1310" spans="1:20" ht="40" customHeight="1">
      <c r="A1310" s="19" t="s">
        <v>8458</v>
      </c>
      <c r="B1310" s="198" t="s">
        <v>2272</v>
      </c>
      <c r="C1310" s="198" t="s">
        <v>2640</v>
      </c>
      <c r="D1310" s="198" t="s">
        <v>82</v>
      </c>
      <c r="E1310" s="4" t="s">
        <v>394</v>
      </c>
      <c r="F1310" s="198" t="s">
        <v>2272</v>
      </c>
      <c r="G1310" s="198" t="s">
        <v>2272</v>
      </c>
      <c r="H1310" s="198" t="s">
        <v>2272</v>
      </c>
      <c r="I1310" s="198" t="s">
        <v>2272</v>
      </c>
      <c r="J1310" s="198" t="s">
        <v>2272</v>
      </c>
      <c r="K1310" s="198" t="s">
        <v>2272</v>
      </c>
      <c r="L1310" s="198" t="s">
        <v>2272</v>
      </c>
      <c r="M1310" s="198" t="s">
        <v>2272</v>
      </c>
      <c r="N1310" s="4">
        <v>0</v>
      </c>
      <c r="O1310" s="4">
        <v>0</v>
      </c>
      <c r="P1310" s="21">
        <v>100</v>
      </c>
      <c r="Q1310" s="4">
        <v>0</v>
      </c>
      <c r="R1310" s="4">
        <v>0</v>
      </c>
      <c r="S1310" s="4">
        <v>0</v>
      </c>
      <c r="T1310" s="198"/>
    </row>
    <row r="1311" spans="1:20" ht="42.5" customHeight="1">
      <c r="A1311" s="19" t="s">
        <v>8460</v>
      </c>
      <c r="B1311" s="198" t="s">
        <v>2272</v>
      </c>
      <c r="C1311" s="198" t="s">
        <v>2272</v>
      </c>
      <c r="D1311" s="198" t="s">
        <v>2648</v>
      </c>
      <c r="E1311" s="198" t="s">
        <v>2272</v>
      </c>
      <c r="F1311" s="198" t="s">
        <v>2272</v>
      </c>
      <c r="G1311" s="198" t="s">
        <v>2272</v>
      </c>
      <c r="H1311" s="198" t="s">
        <v>2272</v>
      </c>
      <c r="I1311" s="198" t="s">
        <v>2272</v>
      </c>
      <c r="J1311" s="198" t="s">
        <v>2272</v>
      </c>
      <c r="K1311" s="198" t="s">
        <v>2272</v>
      </c>
      <c r="L1311" s="198" t="s">
        <v>2272</v>
      </c>
      <c r="M1311" s="198" t="s">
        <v>2272</v>
      </c>
      <c r="N1311" s="198" t="s">
        <v>2272</v>
      </c>
      <c r="O1311" s="198" t="s">
        <v>2272</v>
      </c>
      <c r="P1311" s="198" t="s">
        <v>2272</v>
      </c>
      <c r="Q1311" s="198" t="s">
        <v>2272</v>
      </c>
      <c r="R1311" s="198" t="s">
        <v>2272</v>
      </c>
      <c r="S1311" s="198" t="s">
        <v>2272</v>
      </c>
      <c r="T1311" s="198"/>
    </row>
    <row r="1312" spans="1:20" ht="42.5" customHeight="1">
      <c r="A1312" s="19" t="s">
        <v>8461</v>
      </c>
      <c r="B1312" s="198" t="s">
        <v>2272</v>
      </c>
      <c r="C1312" s="198" t="s">
        <v>2640</v>
      </c>
      <c r="D1312" s="198" t="s">
        <v>82</v>
      </c>
      <c r="E1312" s="4" t="s">
        <v>394</v>
      </c>
      <c r="F1312" s="198" t="s">
        <v>2272</v>
      </c>
      <c r="G1312" s="198" t="s">
        <v>2272</v>
      </c>
      <c r="H1312" s="198" t="s">
        <v>2272</v>
      </c>
      <c r="I1312" s="198" t="s">
        <v>2272</v>
      </c>
      <c r="J1312" s="198" t="s">
        <v>2272</v>
      </c>
      <c r="K1312" s="198" t="s">
        <v>2272</v>
      </c>
      <c r="L1312" s="198" t="s">
        <v>2272</v>
      </c>
      <c r="M1312" s="198" t="s">
        <v>2272</v>
      </c>
      <c r="N1312" s="4">
        <v>0</v>
      </c>
      <c r="O1312" s="4">
        <v>0</v>
      </c>
      <c r="P1312" s="21">
        <v>100</v>
      </c>
      <c r="Q1312" s="4">
        <v>0</v>
      </c>
      <c r="R1312" s="4">
        <v>0</v>
      </c>
      <c r="S1312" s="4">
        <v>0</v>
      </c>
      <c r="T1312" s="198"/>
    </row>
    <row r="1313" spans="1:20" ht="42.5" customHeight="1">
      <c r="A1313" s="19" t="s">
        <v>8462</v>
      </c>
      <c r="B1313" s="198" t="s">
        <v>2272</v>
      </c>
      <c r="C1313" s="198" t="s">
        <v>2640</v>
      </c>
      <c r="D1313" s="198" t="s">
        <v>82</v>
      </c>
      <c r="E1313" s="4" t="s">
        <v>394</v>
      </c>
      <c r="F1313" s="198" t="s">
        <v>2272</v>
      </c>
      <c r="G1313" s="198" t="s">
        <v>2272</v>
      </c>
      <c r="H1313" s="198" t="s">
        <v>2272</v>
      </c>
      <c r="I1313" s="198" t="s">
        <v>2272</v>
      </c>
      <c r="J1313" s="198" t="s">
        <v>2272</v>
      </c>
      <c r="K1313" s="198" t="s">
        <v>2272</v>
      </c>
      <c r="L1313" s="198" t="s">
        <v>2272</v>
      </c>
      <c r="M1313" s="198" t="s">
        <v>2272</v>
      </c>
      <c r="N1313" s="4">
        <v>0</v>
      </c>
      <c r="O1313" s="4">
        <v>0</v>
      </c>
      <c r="P1313" s="21">
        <v>100</v>
      </c>
      <c r="Q1313" s="4">
        <v>0</v>
      </c>
      <c r="R1313" s="4">
        <v>0</v>
      </c>
      <c r="S1313" s="4">
        <v>0</v>
      </c>
      <c r="T1313" s="198"/>
    </row>
    <row r="1314" spans="1:20" ht="42.5" customHeight="1">
      <c r="A1314" s="19" t="s">
        <v>8463</v>
      </c>
      <c r="B1314" s="198" t="s">
        <v>2272</v>
      </c>
      <c r="C1314" s="198" t="s">
        <v>2640</v>
      </c>
      <c r="D1314" s="198" t="s">
        <v>82</v>
      </c>
      <c r="E1314" s="4" t="s">
        <v>394</v>
      </c>
      <c r="F1314" s="198" t="s">
        <v>2272</v>
      </c>
      <c r="G1314" s="198" t="s">
        <v>2272</v>
      </c>
      <c r="H1314" s="198" t="s">
        <v>2272</v>
      </c>
      <c r="I1314" s="198" t="s">
        <v>2272</v>
      </c>
      <c r="J1314" s="198" t="s">
        <v>2272</v>
      </c>
      <c r="K1314" s="198" t="s">
        <v>2272</v>
      </c>
      <c r="L1314" s="198" t="s">
        <v>2272</v>
      </c>
      <c r="M1314" s="198" t="s">
        <v>2272</v>
      </c>
      <c r="N1314" s="4">
        <v>0</v>
      </c>
      <c r="O1314" s="4">
        <v>0</v>
      </c>
      <c r="P1314" s="21">
        <v>100</v>
      </c>
      <c r="Q1314" s="4">
        <v>0</v>
      </c>
      <c r="R1314" s="4">
        <v>0</v>
      </c>
      <c r="S1314" s="4">
        <v>0</v>
      </c>
      <c r="T1314" s="198"/>
    </row>
    <row r="1315" spans="1:20" ht="42.5" customHeight="1">
      <c r="A1315" s="19" t="s">
        <v>8464</v>
      </c>
      <c r="B1315" s="198" t="s">
        <v>2272</v>
      </c>
      <c r="C1315" s="198" t="s">
        <v>2640</v>
      </c>
      <c r="D1315" s="198" t="s">
        <v>82</v>
      </c>
      <c r="E1315" s="4" t="s">
        <v>394</v>
      </c>
      <c r="F1315" s="198" t="s">
        <v>2272</v>
      </c>
      <c r="G1315" s="198" t="s">
        <v>2272</v>
      </c>
      <c r="H1315" s="198" t="s">
        <v>2272</v>
      </c>
      <c r="I1315" s="198" t="s">
        <v>2272</v>
      </c>
      <c r="J1315" s="198" t="s">
        <v>2272</v>
      </c>
      <c r="K1315" s="198" t="s">
        <v>2272</v>
      </c>
      <c r="L1315" s="198" t="s">
        <v>2272</v>
      </c>
      <c r="M1315" s="198" t="s">
        <v>2272</v>
      </c>
      <c r="N1315" s="4">
        <v>0</v>
      </c>
      <c r="O1315" s="4">
        <v>0</v>
      </c>
      <c r="P1315" s="21">
        <v>100</v>
      </c>
      <c r="Q1315" s="4">
        <v>0</v>
      </c>
      <c r="R1315" s="4">
        <v>0</v>
      </c>
      <c r="S1315" s="4">
        <v>0</v>
      </c>
      <c r="T1315" s="198"/>
    </row>
    <row r="1316" spans="1:20" ht="42.5" customHeight="1">
      <c r="A1316" s="19" t="s">
        <v>8465</v>
      </c>
      <c r="B1316" s="198" t="s">
        <v>2272</v>
      </c>
      <c r="C1316" s="198" t="s">
        <v>2640</v>
      </c>
      <c r="D1316" s="198" t="s">
        <v>82</v>
      </c>
      <c r="E1316" s="4" t="s">
        <v>394</v>
      </c>
      <c r="F1316" s="198" t="s">
        <v>2272</v>
      </c>
      <c r="G1316" s="198" t="s">
        <v>2272</v>
      </c>
      <c r="H1316" s="198" t="s">
        <v>2272</v>
      </c>
      <c r="I1316" s="198" t="s">
        <v>2272</v>
      </c>
      <c r="J1316" s="198" t="s">
        <v>2272</v>
      </c>
      <c r="K1316" s="198" t="s">
        <v>2272</v>
      </c>
      <c r="L1316" s="198" t="s">
        <v>2272</v>
      </c>
      <c r="M1316" s="198" t="s">
        <v>2272</v>
      </c>
      <c r="N1316" s="4">
        <v>0</v>
      </c>
      <c r="O1316" s="4">
        <v>0</v>
      </c>
      <c r="P1316" s="21">
        <v>100</v>
      </c>
      <c r="Q1316" s="4">
        <v>0</v>
      </c>
      <c r="R1316" s="4">
        <v>0</v>
      </c>
      <c r="S1316" s="4">
        <v>0</v>
      </c>
      <c r="T1316" s="198"/>
    </row>
    <row r="1317" spans="1:20" ht="42.5" customHeight="1">
      <c r="A1317" s="19" t="s">
        <v>8466</v>
      </c>
      <c r="B1317" s="198" t="s">
        <v>2272</v>
      </c>
      <c r="C1317" s="198" t="s">
        <v>2640</v>
      </c>
      <c r="D1317" s="198" t="s">
        <v>82</v>
      </c>
      <c r="E1317" s="4" t="s">
        <v>394</v>
      </c>
      <c r="F1317" s="198" t="s">
        <v>2272</v>
      </c>
      <c r="G1317" s="198" t="s">
        <v>2272</v>
      </c>
      <c r="H1317" s="198" t="s">
        <v>2272</v>
      </c>
      <c r="I1317" s="198" t="s">
        <v>2272</v>
      </c>
      <c r="J1317" s="198" t="s">
        <v>2272</v>
      </c>
      <c r="K1317" s="198" t="s">
        <v>2272</v>
      </c>
      <c r="L1317" s="198" t="s">
        <v>2272</v>
      </c>
      <c r="M1317" s="198" t="s">
        <v>2272</v>
      </c>
      <c r="N1317" s="4">
        <v>0</v>
      </c>
      <c r="O1317" s="4">
        <v>0</v>
      </c>
      <c r="P1317" s="21">
        <v>100</v>
      </c>
      <c r="Q1317" s="4">
        <v>0</v>
      </c>
      <c r="R1317" s="4">
        <v>0</v>
      </c>
      <c r="S1317" s="4">
        <v>0</v>
      </c>
      <c r="T1317" s="198"/>
    </row>
    <row r="1318" spans="1:20" ht="42.5" customHeight="1">
      <c r="A1318" s="19" t="s">
        <v>8467</v>
      </c>
      <c r="B1318" s="198" t="s">
        <v>2272</v>
      </c>
      <c r="C1318" s="198" t="s">
        <v>2640</v>
      </c>
      <c r="D1318" s="198" t="s">
        <v>82</v>
      </c>
      <c r="E1318" s="4" t="s">
        <v>394</v>
      </c>
      <c r="F1318" s="198" t="s">
        <v>2272</v>
      </c>
      <c r="G1318" s="198" t="s">
        <v>2272</v>
      </c>
      <c r="H1318" s="198" t="s">
        <v>2272</v>
      </c>
      <c r="I1318" s="198" t="s">
        <v>2272</v>
      </c>
      <c r="J1318" s="198" t="s">
        <v>2272</v>
      </c>
      <c r="K1318" s="198" t="s">
        <v>2272</v>
      </c>
      <c r="L1318" s="198" t="s">
        <v>2272</v>
      </c>
      <c r="M1318" s="198" t="s">
        <v>2272</v>
      </c>
      <c r="N1318" s="4">
        <v>0</v>
      </c>
      <c r="O1318" s="4">
        <v>0</v>
      </c>
      <c r="P1318" s="21">
        <v>100</v>
      </c>
      <c r="Q1318" s="4">
        <v>0</v>
      </c>
      <c r="R1318" s="4">
        <v>0</v>
      </c>
      <c r="S1318" s="4">
        <v>0</v>
      </c>
      <c r="T1318" s="198"/>
    </row>
    <row r="1319" spans="1:20" ht="42.5" customHeight="1">
      <c r="A1319" s="19" t="s">
        <v>8468</v>
      </c>
      <c r="B1319" s="198" t="s">
        <v>2272</v>
      </c>
      <c r="C1319" s="198" t="s">
        <v>2272</v>
      </c>
      <c r="D1319" s="198" t="s">
        <v>2648</v>
      </c>
      <c r="E1319" s="198" t="s">
        <v>2272</v>
      </c>
      <c r="F1319" s="198" t="s">
        <v>2272</v>
      </c>
      <c r="G1319" s="198" t="s">
        <v>2272</v>
      </c>
      <c r="H1319" s="198" t="s">
        <v>2272</v>
      </c>
      <c r="I1319" s="198" t="s">
        <v>2272</v>
      </c>
      <c r="J1319" s="198" t="s">
        <v>2272</v>
      </c>
      <c r="K1319" s="198" t="s">
        <v>2272</v>
      </c>
      <c r="L1319" s="198" t="s">
        <v>2272</v>
      </c>
      <c r="M1319" s="198" t="s">
        <v>2272</v>
      </c>
      <c r="N1319" s="198" t="s">
        <v>2272</v>
      </c>
      <c r="O1319" s="198" t="s">
        <v>2272</v>
      </c>
      <c r="P1319" s="198" t="s">
        <v>2272</v>
      </c>
      <c r="Q1319" s="198" t="s">
        <v>2272</v>
      </c>
      <c r="R1319" s="198" t="s">
        <v>2272</v>
      </c>
      <c r="S1319" s="198" t="s">
        <v>2272</v>
      </c>
      <c r="T1319" s="198"/>
    </row>
    <row r="1320" spans="1:20" ht="29">
      <c r="A1320" s="19" t="s">
        <v>8469</v>
      </c>
      <c r="B1320" s="198" t="s">
        <v>2272</v>
      </c>
      <c r="C1320" s="198" t="s">
        <v>2640</v>
      </c>
      <c r="D1320" s="198" t="s">
        <v>82</v>
      </c>
      <c r="E1320" s="4" t="s">
        <v>394</v>
      </c>
      <c r="F1320" s="198" t="s">
        <v>2272</v>
      </c>
      <c r="G1320" s="198" t="s">
        <v>2272</v>
      </c>
      <c r="H1320" s="198" t="s">
        <v>2272</v>
      </c>
      <c r="I1320" s="198" t="s">
        <v>2272</v>
      </c>
      <c r="J1320" s="198" t="s">
        <v>2272</v>
      </c>
      <c r="K1320" s="198" t="s">
        <v>2272</v>
      </c>
      <c r="L1320" s="198" t="s">
        <v>2272</v>
      </c>
      <c r="M1320" s="198" t="s">
        <v>2272</v>
      </c>
      <c r="N1320" s="4">
        <v>0</v>
      </c>
      <c r="O1320" s="4">
        <v>0</v>
      </c>
      <c r="P1320" s="21">
        <v>100</v>
      </c>
      <c r="Q1320" s="4">
        <v>0</v>
      </c>
      <c r="R1320" s="4">
        <v>0</v>
      </c>
      <c r="S1320" s="4">
        <v>0</v>
      </c>
      <c r="T1320" s="198"/>
    </row>
    <row r="1321" spans="1:20" ht="29">
      <c r="A1321" s="19" t="s">
        <v>8470</v>
      </c>
      <c r="B1321" s="198" t="s">
        <v>2272</v>
      </c>
      <c r="C1321" s="198" t="s">
        <v>2640</v>
      </c>
      <c r="D1321" s="198" t="s">
        <v>82</v>
      </c>
      <c r="E1321" s="4" t="s">
        <v>394</v>
      </c>
      <c r="F1321" s="198" t="s">
        <v>2272</v>
      </c>
      <c r="G1321" s="198" t="s">
        <v>2272</v>
      </c>
      <c r="H1321" s="198" t="s">
        <v>2272</v>
      </c>
      <c r="I1321" s="198" t="s">
        <v>2272</v>
      </c>
      <c r="J1321" s="198" t="s">
        <v>2272</v>
      </c>
      <c r="K1321" s="198" t="s">
        <v>2272</v>
      </c>
      <c r="L1321" s="198" t="s">
        <v>2272</v>
      </c>
      <c r="M1321" s="198" t="s">
        <v>2272</v>
      </c>
      <c r="N1321" s="4">
        <v>0</v>
      </c>
      <c r="O1321" s="4">
        <v>0</v>
      </c>
      <c r="P1321" s="21">
        <v>100</v>
      </c>
      <c r="Q1321" s="4">
        <v>0</v>
      </c>
      <c r="R1321" s="4">
        <v>0</v>
      </c>
      <c r="S1321" s="4">
        <v>0</v>
      </c>
      <c r="T1321" s="198"/>
    </row>
    <row r="1322" spans="1:20" ht="31" customHeight="1">
      <c r="A1322" s="19" t="s">
        <v>8471</v>
      </c>
      <c r="B1322" s="198" t="s">
        <v>2272</v>
      </c>
      <c r="C1322" s="198" t="s">
        <v>2272</v>
      </c>
      <c r="D1322" s="198" t="s">
        <v>2648</v>
      </c>
      <c r="E1322" s="198" t="s">
        <v>2272</v>
      </c>
      <c r="F1322" s="198" t="s">
        <v>2272</v>
      </c>
      <c r="G1322" s="198" t="s">
        <v>2272</v>
      </c>
      <c r="H1322" s="198" t="s">
        <v>2272</v>
      </c>
      <c r="I1322" s="198" t="s">
        <v>2272</v>
      </c>
      <c r="J1322" s="198" t="s">
        <v>2272</v>
      </c>
      <c r="K1322" s="198" t="s">
        <v>2272</v>
      </c>
      <c r="L1322" s="198" t="s">
        <v>2272</v>
      </c>
      <c r="M1322" s="198" t="s">
        <v>2272</v>
      </c>
      <c r="N1322" s="198" t="s">
        <v>2272</v>
      </c>
      <c r="O1322" s="198" t="s">
        <v>2272</v>
      </c>
      <c r="P1322" s="198" t="s">
        <v>2272</v>
      </c>
      <c r="Q1322" s="198" t="s">
        <v>2272</v>
      </c>
      <c r="R1322" s="198" t="s">
        <v>2272</v>
      </c>
      <c r="S1322" s="198" t="s">
        <v>2272</v>
      </c>
      <c r="T1322" s="198"/>
    </row>
    <row r="1323" spans="1:20" ht="31" customHeight="1">
      <c r="A1323" s="19" t="s">
        <v>8472</v>
      </c>
      <c r="B1323" s="198" t="s">
        <v>2272</v>
      </c>
      <c r="C1323" s="198" t="s">
        <v>2272</v>
      </c>
      <c r="D1323" s="198" t="s">
        <v>2648</v>
      </c>
      <c r="E1323" s="198" t="s">
        <v>2272</v>
      </c>
      <c r="F1323" s="198" t="s">
        <v>2272</v>
      </c>
      <c r="G1323" s="198" t="s">
        <v>2272</v>
      </c>
      <c r="H1323" s="198" t="s">
        <v>2272</v>
      </c>
      <c r="I1323" s="198" t="s">
        <v>2272</v>
      </c>
      <c r="J1323" s="198" t="s">
        <v>2272</v>
      </c>
      <c r="K1323" s="198" t="s">
        <v>2272</v>
      </c>
      <c r="L1323" s="198" t="s">
        <v>2272</v>
      </c>
      <c r="M1323" s="198" t="s">
        <v>2272</v>
      </c>
      <c r="N1323" s="198" t="s">
        <v>2272</v>
      </c>
      <c r="O1323" s="198" t="s">
        <v>2272</v>
      </c>
      <c r="P1323" s="198" t="s">
        <v>2272</v>
      </c>
      <c r="Q1323" s="198" t="s">
        <v>2272</v>
      </c>
      <c r="R1323" s="198" t="s">
        <v>2272</v>
      </c>
      <c r="S1323" s="198" t="s">
        <v>2272</v>
      </c>
      <c r="T1323" s="198"/>
    </row>
    <row r="1324" spans="1:20" ht="29">
      <c r="A1324" s="19" t="s">
        <v>8473</v>
      </c>
      <c r="B1324" s="198" t="s">
        <v>2272</v>
      </c>
      <c r="C1324" s="198" t="s">
        <v>2640</v>
      </c>
      <c r="D1324" s="198" t="s">
        <v>82</v>
      </c>
      <c r="E1324" s="4" t="s">
        <v>394</v>
      </c>
      <c r="F1324" s="198" t="s">
        <v>2272</v>
      </c>
      <c r="G1324" s="198" t="s">
        <v>2272</v>
      </c>
      <c r="H1324" s="198" t="s">
        <v>2272</v>
      </c>
      <c r="I1324" s="198" t="s">
        <v>2272</v>
      </c>
      <c r="J1324" s="198" t="s">
        <v>2272</v>
      </c>
      <c r="K1324" s="198" t="s">
        <v>2272</v>
      </c>
      <c r="L1324" s="198" t="s">
        <v>2272</v>
      </c>
      <c r="M1324" s="198" t="s">
        <v>2272</v>
      </c>
      <c r="N1324" s="4">
        <v>0</v>
      </c>
      <c r="O1324" s="4">
        <v>0</v>
      </c>
      <c r="P1324" s="21">
        <v>100</v>
      </c>
      <c r="Q1324" s="4">
        <v>0</v>
      </c>
      <c r="R1324" s="4">
        <v>0</v>
      </c>
      <c r="S1324" s="4">
        <v>0</v>
      </c>
      <c r="T1324" s="198"/>
    </row>
    <row r="1325" spans="1:20" ht="40" customHeight="1">
      <c r="A1325" s="19" t="s">
        <v>8474</v>
      </c>
      <c r="B1325" s="198" t="s">
        <v>2272</v>
      </c>
      <c r="C1325" s="198" t="s">
        <v>2640</v>
      </c>
      <c r="D1325" s="198" t="s">
        <v>82</v>
      </c>
      <c r="E1325" s="4" t="s">
        <v>394</v>
      </c>
      <c r="F1325" s="198" t="s">
        <v>2272</v>
      </c>
      <c r="G1325" s="198" t="s">
        <v>2272</v>
      </c>
      <c r="H1325" s="198" t="s">
        <v>2272</v>
      </c>
      <c r="I1325" s="198" t="s">
        <v>2272</v>
      </c>
      <c r="J1325" s="198" t="s">
        <v>2272</v>
      </c>
      <c r="K1325" s="198" t="s">
        <v>2272</v>
      </c>
      <c r="L1325" s="198" t="s">
        <v>2272</v>
      </c>
      <c r="M1325" s="198" t="s">
        <v>2272</v>
      </c>
      <c r="N1325" s="4">
        <v>0</v>
      </c>
      <c r="O1325" s="4">
        <v>0</v>
      </c>
      <c r="P1325" s="21">
        <v>100</v>
      </c>
      <c r="Q1325" s="4">
        <v>0</v>
      </c>
      <c r="R1325" s="4">
        <v>0</v>
      </c>
      <c r="S1325" s="4">
        <v>0</v>
      </c>
      <c r="T1325" s="198"/>
    </row>
    <row r="1326" spans="1:20" ht="44.5" customHeight="1">
      <c r="A1326" s="19" t="s">
        <v>8513</v>
      </c>
      <c r="B1326" s="198" t="s">
        <v>2272</v>
      </c>
      <c r="C1326" s="198" t="s">
        <v>11</v>
      </c>
      <c r="D1326" s="4" t="s">
        <v>395</v>
      </c>
      <c r="E1326" s="4" t="s">
        <v>394</v>
      </c>
      <c r="F1326" s="198" t="s">
        <v>2272</v>
      </c>
      <c r="G1326" s="198" t="s">
        <v>2272</v>
      </c>
      <c r="H1326" s="198" t="s">
        <v>2272</v>
      </c>
      <c r="I1326" s="198" t="s">
        <v>2272</v>
      </c>
      <c r="J1326" s="198" t="s">
        <v>2272</v>
      </c>
      <c r="K1326" s="198" t="s">
        <v>2272</v>
      </c>
      <c r="L1326" s="198" t="s">
        <v>2272</v>
      </c>
      <c r="M1326" s="198" t="s">
        <v>2272</v>
      </c>
      <c r="N1326" s="4">
        <v>0</v>
      </c>
      <c r="O1326" s="4">
        <v>0</v>
      </c>
      <c r="P1326" s="21">
        <v>100</v>
      </c>
      <c r="Q1326" s="4">
        <v>0</v>
      </c>
      <c r="R1326" s="4">
        <v>0</v>
      </c>
      <c r="S1326" s="4">
        <v>0</v>
      </c>
      <c r="T1326" s="198"/>
    </row>
    <row r="1327" spans="1:20" ht="44" customHeight="1">
      <c r="A1327" s="19" t="s">
        <v>8523</v>
      </c>
      <c r="B1327" s="198" t="s">
        <v>2272</v>
      </c>
      <c r="C1327" s="198" t="s">
        <v>2640</v>
      </c>
      <c r="D1327" s="4" t="s">
        <v>82</v>
      </c>
      <c r="E1327" s="4" t="s">
        <v>394</v>
      </c>
      <c r="F1327" s="198" t="s">
        <v>2272</v>
      </c>
      <c r="G1327" s="198" t="s">
        <v>2272</v>
      </c>
      <c r="H1327" s="198" t="s">
        <v>2272</v>
      </c>
      <c r="I1327" s="198" t="s">
        <v>2272</v>
      </c>
      <c r="J1327" s="198" t="s">
        <v>2272</v>
      </c>
      <c r="K1327" s="198" t="s">
        <v>2272</v>
      </c>
      <c r="L1327" s="198" t="s">
        <v>2272</v>
      </c>
      <c r="M1327" s="198" t="s">
        <v>2272</v>
      </c>
      <c r="N1327" s="198" t="s">
        <v>2272</v>
      </c>
      <c r="O1327" s="198" t="s">
        <v>2272</v>
      </c>
      <c r="P1327" s="198" t="s">
        <v>2272</v>
      </c>
      <c r="Q1327" s="198" t="s">
        <v>2272</v>
      </c>
      <c r="R1327" s="198" t="s">
        <v>2272</v>
      </c>
      <c r="S1327" s="198" t="s">
        <v>2272</v>
      </c>
      <c r="T1327" s="198"/>
    </row>
    <row r="1328" spans="1:20" ht="44" customHeight="1">
      <c r="A1328" s="50" t="s">
        <v>8526</v>
      </c>
      <c r="B1328" s="198" t="s">
        <v>2272</v>
      </c>
      <c r="C1328" s="198" t="s">
        <v>2640</v>
      </c>
      <c r="D1328" s="4" t="s">
        <v>82</v>
      </c>
      <c r="E1328" s="198" t="s">
        <v>2272</v>
      </c>
      <c r="F1328" s="198" t="s">
        <v>2272</v>
      </c>
      <c r="G1328" s="198" t="s">
        <v>2272</v>
      </c>
      <c r="H1328" s="198" t="s">
        <v>2272</v>
      </c>
      <c r="I1328" s="198" t="s">
        <v>2272</v>
      </c>
      <c r="J1328" s="198" t="s">
        <v>2272</v>
      </c>
      <c r="K1328" s="198" t="s">
        <v>2272</v>
      </c>
      <c r="L1328" s="198" t="s">
        <v>2272</v>
      </c>
      <c r="M1328" s="198" t="s">
        <v>2272</v>
      </c>
      <c r="N1328" s="198" t="s">
        <v>2272</v>
      </c>
      <c r="O1328" s="198" t="s">
        <v>2272</v>
      </c>
      <c r="P1328" s="198" t="s">
        <v>2272</v>
      </c>
      <c r="Q1328" s="198" t="s">
        <v>2272</v>
      </c>
      <c r="R1328" s="198" t="s">
        <v>2272</v>
      </c>
      <c r="S1328" s="198" t="s">
        <v>2272</v>
      </c>
      <c r="T1328" s="198"/>
    </row>
    <row r="1329" spans="1:20" ht="44" customHeight="1">
      <c r="A1329" s="19" t="s">
        <v>8527</v>
      </c>
      <c r="B1329" s="198" t="s">
        <v>2272</v>
      </c>
      <c r="C1329" s="198" t="s">
        <v>2640</v>
      </c>
      <c r="D1329" s="4" t="s">
        <v>82</v>
      </c>
      <c r="E1329" s="198" t="s">
        <v>2272</v>
      </c>
      <c r="F1329" s="198" t="s">
        <v>2272</v>
      </c>
      <c r="G1329" s="198" t="s">
        <v>2272</v>
      </c>
      <c r="H1329" s="198" t="s">
        <v>2272</v>
      </c>
      <c r="I1329" s="198" t="s">
        <v>2272</v>
      </c>
      <c r="J1329" s="198" t="s">
        <v>2272</v>
      </c>
      <c r="K1329" s="198" t="s">
        <v>2272</v>
      </c>
      <c r="L1329" s="198" t="s">
        <v>2272</v>
      </c>
      <c r="M1329" s="198" t="s">
        <v>2272</v>
      </c>
      <c r="N1329" s="198" t="s">
        <v>2272</v>
      </c>
      <c r="O1329" s="198" t="s">
        <v>2272</v>
      </c>
      <c r="P1329" s="198" t="s">
        <v>2272</v>
      </c>
      <c r="Q1329" s="198" t="s">
        <v>2272</v>
      </c>
      <c r="R1329" s="198" t="s">
        <v>2272</v>
      </c>
      <c r="S1329" s="198" t="s">
        <v>2272</v>
      </c>
      <c r="T1329" s="198"/>
    </row>
    <row r="1330" spans="1:20" ht="36.5" customHeight="1">
      <c r="A1330" s="19" t="s">
        <v>8536</v>
      </c>
      <c r="B1330" s="198" t="s">
        <v>2272</v>
      </c>
      <c r="C1330" s="198" t="s">
        <v>2640</v>
      </c>
      <c r="D1330" s="4" t="s">
        <v>394</v>
      </c>
      <c r="E1330" s="4" t="s">
        <v>82</v>
      </c>
      <c r="F1330" s="198" t="s">
        <v>2272</v>
      </c>
      <c r="G1330" s="198" t="s">
        <v>2272</v>
      </c>
      <c r="H1330" s="198" t="s">
        <v>2272</v>
      </c>
      <c r="I1330" s="198" t="s">
        <v>2272</v>
      </c>
      <c r="J1330" s="198" t="s">
        <v>2272</v>
      </c>
      <c r="K1330" s="198" t="s">
        <v>2272</v>
      </c>
      <c r="L1330" s="198" t="s">
        <v>2272</v>
      </c>
      <c r="M1330" s="198" t="s">
        <v>2272</v>
      </c>
      <c r="N1330" s="198" t="s">
        <v>2272</v>
      </c>
      <c r="O1330" s="198" t="s">
        <v>2272</v>
      </c>
      <c r="P1330" s="198" t="s">
        <v>2272</v>
      </c>
      <c r="Q1330" s="198" t="s">
        <v>2272</v>
      </c>
      <c r="R1330" s="198" t="s">
        <v>2272</v>
      </c>
      <c r="S1330" s="198" t="s">
        <v>2272</v>
      </c>
      <c r="T1330" s="198"/>
    </row>
    <row r="1331" spans="1:20" ht="28" customHeight="1">
      <c r="A1331" s="19" t="s">
        <v>8541</v>
      </c>
      <c r="B1331" s="198" t="s">
        <v>2272</v>
      </c>
      <c r="C1331" s="198" t="s">
        <v>2272</v>
      </c>
      <c r="D1331" s="198" t="s">
        <v>2648</v>
      </c>
      <c r="E1331" s="198" t="s">
        <v>2272</v>
      </c>
      <c r="F1331" s="198" t="s">
        <v>2272</v>
      </c>
      <c r="G1331" s="198" t="s">
        <v>2272</v>
      </c>
      <c r="H1331" s="198" t="s">
        <v>2272</v>
      </c>
      <c r="I1331" s="198" t="s">
        <v>2272</v>
      </c>
      <c r="J1331" s="198" t="s">
        <v>2272</v>
      </c>
      <c r="K1331" s="198" t="s">
        <v>2272</v>
      </c>
      <c r="L1331" s="198" t="s">
        <v>2272</v>
      </c>
      <c r="M1331" s="198" t="s">
        <v>2272</v>
      </c>
      <c r="N1331" s="198" t="s">
        <v>2272</v>
      </c>
      <c r="O1331" s="198" t="s">
        <v>2272</v>
      </c>
      <c r="P1331" s="198" t="s">
        <v>2272</v>
      </c>
      <c r="Q1331" s="198" t="s">
        <v>2272</v>
      </c>
      <c r="R1331" s="198" t="s">
        <v>2272</v>
      </c>
      <c r="S1331" s="198" t="s">
        <v>2272</v>
      </c>
      <c r="T1331" s="198"/>
    </row>
    <row r="1332" spans="1:20" ht="28" customHeight="1">
      <c r="A1332" s="19" t="s">
        <v>8542</v>
      </c>
      <c r="B1332" s="198" t="s">
        <v>2272</v>
      </c>
      <c r="C1332" s="198" t="s">
        <v>2272</v>
      </c>
      <c r="D1332" s="4" t="s">
        <v>394</v>
      </c>
      <c r="E1332" s="198" t="s">
        <v>2272</v>
      </c>
      <c r="F1332" s="198" t="s">
        <v>2272</v>
      </c>
      <c r="G1332" s="198" t="s">
        <v>2272</v>
      </c>
      <c r="H1332" s="198" t="s">
        <v>2272</v>
      </c>
      <c r="I1332" s="198" t="s">
        <v>2272</v>
      </c>
      <c r="J1332" s="198" t="s">
        <v>2272</v>
      </c>
      <c r="K1332" s="198" t="s">
        <v>2272</v>
      </c>
      <c r="L1332" s="198" t="s">
        <v>2272</v>
      </c>
      <c r="M1332" s="198" t="s">
        <v>2272</v>
      </c>
      <c r="N1332" s="198" t="s">
        <v>2272</v>
      </c>
      <c r="O1332" s="198" t="s">
        <v>2272</v>
      </c>
      <c r="P1332" s="198" t="s">
        <v>2272</v>
      </c>
      <c r="Q1332" s="198" t="s">
        <v>2272</v>
      </c>
      <c r="R1332" s="198" t="s">
        <v>2272</v>
      </c>
      <c r="S1332" s="198" t="s">
        <v>2272</v>
      </c>
      <c r="T1332" s="198"/>
    </row>
    <row r="1333" spans="1:20" ht="28" customHeight="1">
      <c r="A1333" s="19" t="s">
        <v>8543</v>
      </c>
      <c r="B1333" s="198" t="s">
        <v>2272</v>
      </c>
      <c r="C1333" s="198" t="s">
        <v>2272</v>
      </c>
      <c r="D1333" s="4" t="s">
        <v>394</v>
      </c>
      <c r="E1333" s="198" t="s">
        <v>2272</v>
      </c>
      <c r="F1333" s="198" t="s">
        <v>2272</v>
      </c>
      <c r="G1333" s="198" t="s">
        <v>2272</v>
      </c>
      <c r="H1333" s="198" t="s">
        <v>2272</v>
      </c>
      <c r="I1333" s="198" t="s">
        <v>2272</v>
      </c>
      <c r="J1333" s="198" t="s">
        <v>2272</v>
      </c>
      <c r="K1333" s="198" t="s">
        <v>2272</v>
      </c>
      <c r="L1333" s="198" t="s">
        <v>2272</v>
      </c>
      <c r="M1333" s="198" t="s">
        <v>2272</v>
      </c>
      <c r="N1333" s="198" t="s">
        <v>2272</v>
      </c>
      <c r="O1333" s="198" t="s">
        <v>2272</v>
      </c>
      <c r="P1333" s="198" t="s">
        <v>2272</v>
      </c>
      <c r="Q1333" s="198" t="s">
        <v>2272</v>
      </c>
      <c r="R1333" s="198" t="s">
        <v>2272</v>
      </c>
      <c r="S1333" s="198" t="s">
        <v>2272</v>
      </c>
      <c r="T1333" s="198"/>
    </row>
    <row r="1334" spans="1:20" ht="35.5" customHeight="1">
      <c r="A1334" s="198" t="s">
        <v>8557</v>
      </c>
      <c r="B1334" s="198" t="s">
        <v>2272</v>
      </c>
      <c r="C1334" s="198" t="s">
        <v>11</v>
      </c>
      <c r="D1334" s="4" t="s">
        <v>394</v>
      </c>
      <c r="E1334" s="4" t="s">
        <v>395</v>
      </c>
      <c r="F1334" s="198" t="s">
        <v>2272</v>
      </c>
      <c r="G1334" s="198" t="s">
        <v>2272</v>
      </c>
      <c r="H1334" s="198" t="s">
        <v>2272</v>
      </c>
      <c r="I1334" s="198" t="s">
        <v>2272</v>
      </c>
      <c r="J1334" s="198" t="s">
        <v>2272</v>
      </c>
      <c r="K1334" s="198" t="s">
        <v>2272</v>
      </c>
      <c r="L1334" s="198" t="s">
        <v>2272</v>
      </c>
      <c r="M1334" s="198" t="s">
        <v>2272</v>
      </c>
      <c r="N1334" s="198" t="s">
        <v>2272</v>
      </c>
      <c r="O1334" s="198" t="s">
        <v>2272</v>
      </c>
      <c r="P1334" s="198" t="s">
        <v>2272</v>
      </c>
      <c r="Q1334" s="198" t="s">
        <v>2272</v>
      </c>
      <c r="R1334" s="198" t="s">
        <v>2272</v>
      </c>
      <c r="S1334" s="198" t="s">
        <v>2272</v>
      </c>
      <c r="T1334" s="198"/>
    </row>
    <row r="1335" spans="1:20" ht="35.5" customHeight="1">
      <c r="A1335" s="19" t="s">
        <v>8558</v>
      </c>
      <c r="B1335" s="198" t="s">
        <v>2272</v>
      </c>
      <c r="C1335" s="198" t="s">
        <v>11</v>
      </c>
      <c r="D1335" s="4" t="s">
        <v>394</v>
      </c>
      <c r="E1335" s="4" t="s">
        <v>395</v>
      </c>
      <c r="F1335" s="198" t="s">
        <v>2272</v>
      </c>
      <c r="G1335" s="198" t="s">
        <v>2272</v>
      </c>
      <c r="H1335" s="198" t="s">
        <v>2272</v>
      </c>
      <c r="I1335" s="198" t="s">
        <v>2272</v>
      </c>
      <c r="J1335" s="198" t="s">
        <v>2272</v>
      </c>
      <c r="K1335" s="198" t="s">
        <v>2272</v>
      </c>
      <c r="L1335" s="198" t="s">
        <v>2272</v>
      </c>
      <c r="M1335" s="198" t="s">
        <v>2272</v>
      </c>
      <c r="N1335" s="198" t="s">
        <v>2272</v>
      </c>
      <c r="O1335" s="198" t="s">
        <v>2272</v>
      </c>
      <c r="P1335" s="198" t="s">
        <v>2272</v>
      </c>
      <c r="Q1335" s="198" t="s">
        <v>2272</v>
      </c>
      <c r="R1335" s="198" t="s">
        <v>2272</v>
      </c>
      <c r="S1335" s="198" t="s">
        <v>2272</v>
      </c>
      <c r="T1335" s="198"/>
    </row>
    <row r="1336" spans="1:20" ht="33.5" customHeight="1">
      <c r="A1336" s="19" t="s">
        <v>8563</v>
      </c>
      <c r="B1336" s="198" t="s">
        <v>2272</v>
      </c>
      <c r="C1336" s="198" t="s">
        <v>11</v>
      </c>
      <c r="D1336" s="198" t="s">
        <v>44</v>
      </c>
      <c r="E1336" s="198" t="s">
        <v>2272</v>
      </c>
      <c r="F1336" s="198" t="s">
        <v>2272</v>
      </c>
      <c r="G1336" s="198" t="s">
        <v>2272</v>
      </c>
      <c r="H1336" s="198" t="s">
        <v>2272</v>
      </c>
      <c r="I1336" s="198" t="s">
        <v>2272</v>
      </c>
      <c r="J1336" s="198" t="s">
        <v>2272</v>
      </c>
      <c r="K1336" s="198" t="s">
        <v>2272</v>
      </c>
      <c r="L1336" s="198" t="s">
        <v>2272</v>
      </c>
      <c r="M1336" s="198" t="s">
        <v>2272</v>
      </c>
      <c r="N1336" s="198" t="s">
        <v>2272</v>
      </c>
      <c r="O1336" s="198" t="s">
        <v>2272</v>
      </c>
      <c r="P1336" s="198" t="s">
        <v>2272</v>
      </c>
      <c r="Q1336" s="198" t="s">
        <v>2272</v>
      </c>
      <c r="R1336" s="198" t="s">
        <v>2272</v>
      </c>
      <c r="S1336" s="198" t="s">
        <v>2272</v>
      </c>
      <c r="T1336" s="198"/>
    </row>
    <row r="1337" spans="1:20" ht="33.5" customHeight="1">
      <c r="A1337" s="19" t="s">
        <v>8569</v>
      </c>
      <c r="B1337" s="198" t="s">
        <v>2272</v>
      </c>
      <c r="C1337" s="198" t="s">
        <v>11</v>
      </c>
      <c r="D1337" s="198" t="s">
        <v>44</v>
      </c>
      <c r="E1337" s="198" t="s">
        <v>2272</v>
      </c>
      <c r="F1337" s="198" t="s">
        <v>2272</v>
      </c>
      <c r="G1337" s="198" t="s">
        <v>2272</v>
      </c>
      <c r="H1337" s="198" t="s">
        <v>2272</v>
      </c>
      <c r="I1337" s="198" t="s">
        <v>2272</v>
      </c>
      <c r="J1337" s="198" t="s">
        <v>2272</v>
      </c>
      <c r="K1337" s="198" t="s">
        <v>2272</v>
      </c>
      <c r="L1337" s="198" t="s">
        <v>2272</v>
      </c>
      <c r="M1337" s="198" t="s">
        <v>2272</v>
      </c>
      <c r="N1337" s="198" t="s">
        <v>2272</v>
      </c>
      <c r="O1337" s="198" t="s">
        <v>2272</v>
      </c>
      <c r="P1337" s="198" t="s">
        <v>2272</v>
      </c>
      <c r="Q1337" s="198" t="s">
        <v>2272</v>
      </c>
      <c r="R1337" s="198" t="s">
        <v>2272</v>
      </c>
      <c r="S1337" s="198" t="s">
        <v>2272</v>
      </c>
      <c r="T1337" s="198"/>
    </row>
    <row r="1338" spans="1:20" ht="33.5" customHeight="1">
      <c r="A1338" s="19" t="s">
        <v>8570</v>
      </c>
      <c r="B1338" s="198" t="s">
        <v>2272</v>
      </c>
      <c r="C1338" s="198" t="s">
        <v>11</v>
      </c>
      <c r="D1338" s="198" t="s">
        <v>44</v>
      </c>
      <c r="E1338" s="198" t="s">
        <v>2272</v>
      </c>
      <c r="F1338" s="198" t="s">
        <v>2272</v>
      </c>
      <c r="G1338" s="198" t="s">
        <v>2272</v>
      </c>
      <c r="H1338" s="198" t="s">
        <v>2272</v>
      </c>
      <c r="I1338" s="198" t="s">
        <v>2272</v>
      </c>
      <c r="J1338" s="198" t="s">
        <v>2272</v>
      </c>
      <c r="K1338" s="198" t="s">
        <v>2272</v>
      </c>
      <c r="L1338" s="198" t="s">
        <v>2272</v>
      </c>
      <c r="M1338" s="198" t="s">
        <v>2272</v>
      </c>
      <c r="N1338" s="198" t="s">
        <v>2272</v>
      </c>
      <c r="O1338" s="198" t="s">
        <v>2272</v>
      </c>
      <c r="P1338" s="198" t="s">
        <v>2272</v>
      </c>
      <c r="Q1338" s="198" t="s">
        <v>2272</v>
      </c>
      <c r="R1338" s="198" t="s">
        <v>2272</v>
      </c>
      <c r="S1338" s="198" t="s">
        <v>2272</v>
      </c>
      <c r="T1338" s="198"/>
    </row>
    <row r="1339" spans="1:20" ht="33.5" customHeight="1">
      <c r="A1339" s="19" t="s">
        <v>8571</v>
      </c>
      <c r="B1339" s="198" t="s">
        <v>2272</v>
      </c>
      <c r="C1339" s="198" t="s">
        <v>11</v>
      </c>
      <c r="D1339" s="198" t="s">
        <v>44</v>
      </c>
      <c r="E1339" s="198" t="s">
        <v>2272</v>
      </c>
      <c r="F1339" s="198" t="s">
        <v>2272</v>
      </c>
      <c r="G1339" s="198" t="s">
        <v>2272</v>
      </c>
      <c r="H1339" s="198" t="s">
        <v>2272</v>
      </c>
      <c r="I1339" s="198" t="s">
        <v>2272</v>
      </c>
      <c r="J1339" s="198" t="s">
        <v>2272</v>
      </c>
      <c r="K1339" s="198" t="s">
        <v>2272</v>
      </c>
      <c r="L1339" s="198" t="s">
        <v>2272</v>
      </c>
      <c r="M1339" s="198" t="s">
        <v>2272</v>
      </c>
      <c r="N1339" s="198" t="s">
        <v>2272</v>
      </c>
      <c r="O1339" s="198" t="s">
        <v>2272</v>
      </c>
      <c r="P1339" s="198" t="s">
        <v>2272</v>
      </c>
      <c r="Q1339" s="198" t="s">
        <v>2272</v>
      </c>
      <c r="R1339" s="198" t="s">
        <v>2272</v>
      </c>
      <c r="S1339" s="198" t="s">
        <v>2272</v>
      </c>
      <c r="T1339" s="198"/>
    </row>
    <row r="1340" spans="1:20" ht="36.5" customHeight="1">
      <c r="A1340" s="19" t="s">
        <v>8584</v>
      </c>
      <c r="B1340" s="198" t="s">
        <v>2272</v>
      </c>
      <c r="C1340" s="198" t="s">
        <v>2640</v>
      </c>
      <c r="D1340" s="198" t="s">
        <v>82</v>
      </c>
      <c r="E1340" s="198" t="s">
        <v>2272</v>
      </c>
      <c r="F1340" s="198" t="s">
        <v>2272</v>
      </c>
      <c r="G1340" s="198" t="s">
        <v>2272</v>
      </c>
      <c r="H1340" s="198" t="s">
        <v>2272</v>
      </c>
      <c r="I1340" s="198" t="s">
        <v>2272</v>
      </c>
      <c r="J1340" s="198" t="s">
        <v>2272</v>
      </c>
      <c r="K1340" s="198" t="s">
        <v>2272</v>
      </c>
      <c r="L1340" s="198" t="s">
        <v>2272</v>
      </c>
      <c r="M1340" s="198" t="s">
        <v>2272</v>
      </c>
      <c r="N1340" s="198" t="s">
        <v>2272</v>
      </c>
      <c r="O1340" s="198" t="s">
        <v>2272</v>
      </c>
      <c r="P1340" s="21">
        <f>100*4660/8600</f>
        <v>54.186046511627907</v>
      </c>
      <c r="Q1340" s="198" t="s">
        <v>2272</v>
      </c>
      <c r="R1340" s="198" t="s">
        <v>2272</v>
      </c>
      <c r="S1340" s="198" t="s">
        <v>2272</v>
      </c>
      <c r="T1340" s="198"/>
    </row>
    <row r="1341" spans="1:20" ht="44" customHeight="1">
      <c r="A1341" s="19" t="s">
        <v>8594</v>
      </c>
      <c r="B1341" s="198" t="s">
        <v>2272</v>
      </c>
      <c r="C1341" s="198" t="s">
        <v>11</v>
      </c>
      <c r="D1341" s="198" t="s">
        <v>82</v>
      </c>
      <c r="E1341" s="4" t="s">
        <v>394</v>
      </c>
      <c r="F1341" s="4" t="s">
        <v>395</v>
      </c>
      <c r="G1341" s="198" t="s">
        <v>2272</v>
      </c>
      <c r="H1341" s="198" t="s">
        <v>2272</v>
      </c>
      <c r="I1341" s="198" t="s">
        <v>2272</v>
      </c>
      <c r="J1341" s="198" t="s">
        <v>2272</v>
      </c>
      <c r="K1341" s="198" t="s">
        <v>2272</v>
      </c>
      <c r="L1341" s="198" t="s">
        <v>2272</v>
      </c>
      <c r="M1341" s="198" t="s">
        <v>2272</v>
      </c>
      <c r="N1341" s="198" t="s">
        <v>2272</v>
      </c>
      <c r="O1341" s="198" t="s">
        <v>2272</v>
      </c>
      <c r="P1341" s="198" t="s">
        <v>2272</v>
      </c>
      <c r="Q1341" s="198" t="s">
        <v>2272</v>
      </c>
      <c r="R1341" s="198" t="s">
        <v>2272</v>
      </c>
      <c r="S1341" s="198" t="s">
        <v>2272</v>
      </c>
      <c r="T1341" s="198" t="s">
        <v>8595</v>
      </c>
    </row>
    <row r="1342" spans="1:20" ht="44" customHeight="1">
      <c r="A1342" s="26" t="s">
        <v>8597</v>
      </c>
      <c r="B1342" s="198" t="s">
        <v>2272</v>
      </c>
      <c r="C1342" s="198" t="s">
        <v>2272</v>
      </c>
      <c r="D1342" s="198" t="s">
        <v>2272</v>
      </c>
      <c r="E1342" s="198" t="s">
        <v>2272</v>
      </c>
      <c r="F1342" s="198" t="s">
        <v>2272</v>
      </c>
      <c r="G1342" s="198" t="s">
        <v>2272</v>
      </c>
      <c r="H1342" s="198" t="s">
        <v>2272</v>
      </c>
      <c r="I1342" s="198" t="s">
        <v>2272</v>
      </c>
      <c r="J1342" s="198" t="s">
        <v>2272</v>
      </c>
      <c r="K1342" s="198" t="s">
        <v>2272</v>
      </c>
      <c r="L1342" s="198" t="s">
        <v>2272</v>
      </c>
      <c r="M1342" s="198" t="s">
        <v>2272</v>
      </c>
      <c r="N1342" s="198" t="s">
        <v>2272</v>
      </c>
      <c r="O1342" s="198" t="s">
        <v>2272</v>
      </c>
      <c r="P1342" s="198" t="s">
        <v>2272</v>
      </c>
      <c r="Q1342" s="198" t="s">
        <v>2272</v>
      </c>
      <c r="R1342" s="198" t="s">
        <v>2272</v>
      </c>
      <c r="S1342" s="198" t="s">
        <v>2272</v>
      </c>
      <c r="T1342" s="198"/>
    </row>
    <row r="1343" spans="1:20" ht="44" customHeight="1">
      <c r="A1343" s="26" t="s">
        <v>8598</v>
      </c>
      <c r="B1343" s="198" t="s">
        <v>2272</v>
      </c>
      <c r="C1343" s="198" t="s">
        <v>2272</v>
      </c>
      <c r="D1343" s="198" t="s">
        <v>2272</v>
      </c>
      <c r="E1343" s="198" t="s">
        <v>2272</v>
      </c>
      <c r="F1343" s="198" t="s">
        <v>2272</v>
      </c>
      <c r="G1343" s="198" t="s">
        <v>2272</v>
      </c>
      <c r="H1343" s="198" t="s">
        <v>2272</v>
      </c>
      <c r="I1343" s="198" t="s">
        <v>2272</v>
      </c>
      <c r="J1343" s="198" t="s">
        <v>2272</v>
      </c>
      <c r="K1343" s="198" t="s">
        <v>2272</v>
      </c>
      <c r="L1343" s="198" t="s">
        <v>2272</v>
      </c>
      <c r="M1343" s="198" t="s">
        <v>2272</v>
      </c>
      <c r="N1343" s="198" t="s">
        <v>2272</v>
      </c>
      <c r="O1343" s="198" t="s">
        <v>2272</v>
      </c>
      <c r="P1343" s="198" t="s">
        <v>2272</v>
      </c>
      <c r="Q1343" s="198" t="s">
        <v>2272</v>
      </c>
      <c r="R1343" s="198" t="s">
        <v>2272</v>
      </c>
      <c r="S1343" s="198" t="s">
        <v>2272</v>
      </c>
      <c r="T1343" s="198"/>
    </row>
    <row r="1344" spans="1:20" ht="44" customHeight="1">
      <c r="A1344" s="26" t="s">
        <v>8599</v>
      </c>
      <c r="B1344" s="198" t="s">
        <v>2272</v>
      </c>
      <c r="C1344" s="198" t="s">
        <v>2272</v>
      </c>
      <c r="D1344" s="198" t="s">
        <v>2272</v>
      </c>
      <c r="E1344" s="198" t="s">
        <v>2272</v>
      </c>
      <c r="F1344" s="198" t="s">
        <v>2272</v>
      </c>
      <c r="G1344" s="198" t="s">
        <v>2272</v>
      </c>
      <c r="H1344" s="198" t="s">
        <v>2272</v>
      </c>
      <c r="I1344" s="198" t="s">
        <v>2272</v>
      </c>
      <c r="J1344" s="198" t="s">
        <v>2272</v>
      </c>
      <c r="K1344" s="198" t="s">
        <v>2272</v>
      </c>
      <c r="L1344" s="198" t="s">
        <v>2272</v>
      </c>
      <c r="M1344" s="198" t="s">
        <v>2272</v>
      </c>
      <c r="N1344" s="198" t="s">
        <v>2272</v>
      </c>
      <c r="O1344" s="198" t="s">
        <v>2272</v>
      </c>
      <c r="P1344" s="198" t="s">
        <v>2272</v>
      </c>
      <c r="Q1344" s="198" t="s">
        <v>2272</v>
      </c>
      <c r="R1344" s="198" t="s">
        <v>2272</v>
      </c>
      <c r="S1344" s="198" t="s">
        <v>2272</v>
      </c>
      <c r="T1344" s="198"/>
    </row>
    <row r="1345" spans="1:20" ht="44" customHeight="1">
      <c r="A1345" s="26" t="s">
        <v>8600</v>
      </c>
      <c r="B1345" s="198" t="s">
        <v>2272</v>
      </c>
      <c r="C1345" s="198" t="s">
        <v>2272</v>
      </c>
      <c r="D1345" s="198" t="s">
        <v>2272</v>
      </c>
      <c r="E1345" s="198" t="s">
        <v>2272</v>
      </c>
      <c r="F1345" s="198" t="s">
        <v>2272</v>
      </c>
      <c r="G1345" s="198" t="s">
        <v>2272</v>
      </c>
      <c r="H1345" s="198" t="s">
        <v>2272</v>
      </c>
      <c r="I1345" s="198" t="s">
        <v>2272</v>
      </c>
      <c r="J1345" s="198" t="s">
        <v>2272</v>
      </c>
      <c r="K1345" s="198" t="s">
        <v>2272</v>
      </c>
      <c r="L1345" s="198" t="s">
        <v>2272</v>
      </c>
      <c r="M1345" s="198" t="s">
        <v>2272</v>
      </c>
      <c r="N1345" s="198" t="s">
        <v>2272</v>
      </c>
      <c r="O1345" s="198" t="s">
        <v>2272</v>
      </c>
      <c r="P1345" s="198" t="s">
        <v>2272</v>
      </c>
      <c r="Q1345" s="198" t="s">
        <v>2272</v>
      </c>
      <c r="R1345" s="198" t="s">
        <v>2272</v>
      </c>
      <c r="S1345" s="198" t="s">
        <v>2272</v>
      </c>
      <c r="T1345" s="198"/>
    </row>
    <row r="1346" spans="1:20" ht="44" customHeight="1">
      <c r="A1346" s="26" t="s">
        <v>8601</v>
      </c>
      <c r="B1346" s="198" t="s">
        <v>2272</v>
      </c>
      <c r="C1346" s="198" t="s">
        <v>2272</v>
      </c>
      <c r="D1346" s="198" t="s">
        <v>2272</v>
      </c>
      <c r="E1346" s="198" t="s">
        <v>2272</v>
      </c>
      <c r="F1346" s="198" t="s">
        <v>2272</v>
      </c>
      <c r="G1346" s="198" t="s">
        <v>2272</v>
      </c>
      <c r="H1346" s="198" t="s">
        <v>2272</v>
      </c>
      <c r="I1346" s="198" t="s">
        <v>2272</v>
      </c>
      <c r="J1346" s="198" t="s">
        <v>2272</v>
      </c>
      <c r="K1346" s="198" t="s">
        <v>2272</v>
      </c>
      <c r="L1346" s="198" t="s">
        <v>2272</v>
      </c>
      <c r="M1346" s="198" t="s">
        <v>2272</v>
      </c>
      <c r="N1346" s="198" t="s">
        <v>2272</v>
      </c>
      <c r="O1346" s="198" t="s">
        <v>2272</v>
      </c>
      <c r="P1346" s="198" t="s">
        <v>2272</v>
      </c>
      <c r="Q1346" s="198" t="s">
        <v>2272</v>
      </c>
      <c r="R1346" s="198" t="s">
        <v>2272</v>
      </c>
      <c r="S1346" s="198" t="s">
        <v>2272</v>
      </c>
      <c r="T1346" s="198"/>
    </row>
    <row r="1347" spans="1:20" ht="44" customHeight="1">
      <c r="A1347" s="222" t="s">
        <v>8602</v>
      </c>
      <c r="B1347" s="5" t="s">
        <v>2272</v>
      </c>
      <c r="C1347" s="5" t="s">
        <v>2272</v>
      </c>
      <c r="D1347" s="198" t="s">
        <v>2272</v>
      </c>
      <c r="E1347" s="198" t="s">
        <v>2272</v>
      </c>
      <c r="F1347" s="198" t="s">
        <v>2272</v>
      </c>
      <c r="G1347" s="198" t="s">
        <v>2272</v>
      </c>
      <c r="H1347" s="198" t="s">
        <v>2272</v>
      </c>
      <c r="I1347" s="198" t="s">
        <v>2272</v>
      </c>
      <c r="J1347" s="198" t="s">
        <v>2272</v>
      </c>
      <c r="K1347" s="198" t="s">
        <v>2272</v>
      </c>
      <c r="L1347" s="198" t="s">
        <v>2272</v>
      </c>
      <c r="M1347" s="198" t="s">
        <v>2272</v>
      </c>
      <c r="N1347" s="198" t="s">
        <v>2272</v>
      </c>
      <c r="O1347" s="198" t="s">
        <v>2272</v>
      </c>
      <c r="P1347" s="198" t="s">
        <v>2272</v>
      </c>
      <c r="Q1347" s="198" t="s">
        <v>2272</v>
      </c>
      <c r="R1347" s="198" t="s">
        <v>2272</v>
      </c>
      <c r="S1347" s="198" t="s">
        <v>2272</v>
      </c>
      <c r="T1347" s="198"/>
    </row>
    <row r="1348" spans="1:20" ht="30" customHeight="1">
      <c r="A1348" s="26" t="s">
        <v>8619</v>
      </c>
      <c r="B1348" s="198" t="s">
        <v>2272</v>
      </c>
      <c r="C1348" s="198" t="s">
        <v>2272</v>
      </c>
      <c r="D1348" s="198" t="s">
        <v>2272</v>
      </c>
      <c r="E1348" s="198" t="s">
        <v>2272</v>
      </c>
      <c r="F1348" s="198" t="s">
        <v>2272</v>
      </c>
      <c r="G1348" s="198" t="s">
        <v>2272</v>
      </c>
      <c r="H1348" s="198" t="s">
        <v>2272</v>
      </c>
      <c r="I1348" s="198" t="s">
        <v>2272</v>
      </c>
      <c r="J1348" s="198" t="s">
        <v>2272</v>
      </c>
      <c r="K1348" s="198" t="s">
        <v>2272</v>
      </c>
      <c r="L1348" s="198" t="s">
        <v>2272</v>
      </c>
      <c r="M1348" s="198" t="s">
        <v>2272</v>
      </c>
      <c r="N1348" s="198" t="s">
        <v>2272</v>
      </c>
      <c r="O1348" s="198" t="s">
        <v>2272</v>
      </c>
      <c r="P1348" s="198" t="s">
        <v>2272</v>
      </c>
      <c r="Q1348" s="198" t="s">
        <v>2272</v>
      </c>
      <c r="R1348" s="198" t="s">
        <v>2272</v>
      </c>
      <c r="S1348" s="198" t="s">
        <v>2272</v>
      </c>
      <c r="T1348" s="198"/>
    </row>
    <row r="1349" spans="1:20" ht="30" customHeight="1">
      <c r="A1349" s="26" t="s">
        <v>8623</v>
      </c>
      <c r="B1349" s="198" t="s">
        <v>2272</v>
      </c>
      <c r="C1349" s="198" t="s">
        <v>2640</v>
      </c>
      <c r="D1349" s="198" t="s">
        <v>82</v>
      </c>
      <c r="E1349" s="198" t="s">
        <v>2272</v>
      </c>
      <c r="F1349" s="198" t="s">
        <v>2272</v>
      </c>
      <c r="G1349" s="198" t="s">
        <v>2272</v>
      </c>
      <c r="H1349" s="198" t="s">
        <v>2272</v>
      </c>
      <c r="I1349" s="198" t="s">
        <v>2272</v>
      </c>
      <c r="J1349" s="198" t="s">
        <v>2272</v>
      </c>
      <c r="K1349" s="198" t="s">
        <v>2272</v>
      </c>
      <c r="L1349" s="198" t="s">
        <v>2272</v>
      </c>
      <c r="M1349" s="198" t="s">
        <v>2272</v>
      </c>
      <c r="N1349" s="198" t="s">
        <v>2272</v>
      </c>
      <c r="O1349" s="198" t="s">
        <v>2272</v>
      </c>
      <c r="P1349" s="198" t="s">
        <v>2272</v>
      </c>
      <c r="Q1349" s="198" t="s">
        <v>2272</v>
      </c>
      <c r="R1349" s="198" t="s">
        <v>2272</v>
      </c>
      <c r="S1349" s="198" t="s">
        <v>2272</v>
      </c>
      <c r="T1349" s="198"/>
    </row>
    <row r="1350" spans="1:20" ht="30" customHeight="1">
      <c r="A1350" s="26" t="s">
        <v>8622</v>
      </c>
      <c r="B1350" s="198" t="s">
        <v>2272</v>
      </c>
      <c r="C1350" s="198" t="s">
        <v>2640</v>
      </c>
      <c r="D1350" s="198" t="s">
        <v>82</v>
      </c>
      <c r="E1350" s="198" t="s">
        <v>2272</v>
      </c>
      <c r="F1350" s="198" t="s">
        <v>2272</v>
      </c>
      <c r="G1350" s="198" t="s">
        <v>2272</v>
      </c>
      <c r="H1350" s="198" t="s">
        <v>2272</v>
      </c>
      <c r="I1350" s="198" t="s">
        <v>2272</v>
      </c>
      <c r="J1350" s="198" t="s">
        <v>2272</v>
      </c>
      <c r="K1350" s="198" t="s">
        <v>2272</v>
      </c>
      <c r="L1350" s="198" t="s">
        <v>2272</v>
      </c>
      <c r="M1350" s="198" t="s">
        <v>2272</v>
      </c>
      <c r="N1350" s="198" t="s">
        <v>2272</v>
      </c>
      <c r="O1350" s="198" t="s">
        <v>2272</v>
      </c>
      <c r="P1350" s="198" t="s">
        <v>2272</v>
      </c>
      <c r="Q1350" s="198" t="s">
        <v>2272</v>
      </c>
      <c r="R1350" s="198" t="s">
        <v>2272</v>
      </c>
      <c r="S1350" s="198" t="s">
        <v>2272</v>
      </c>
      <c r="T1350" s="198"/>
    </row>
    <row r="1351" spans="1:20" ht="35.5" customHeight="1">
      <c r="A1351" s="26" t="s">
        <v>8630</v>
      </c>
      <c r="B1351" s="198" t="s">
        <v>2272</v>
      </c>
      <c r="C1351" s="198" t="s">
        <v>11</v>
      </c>
      <c r="D1351" s="4" t="s">
        <v>395</v>
      </c>
      <c r="E1351" s="4" t="s">
        <v>394</v>
      </c>
      <c r="F1351" s="4" t="s">
        <v>82</v>
      </c>
      <c r="G1351" s="198" t="s">
        <v>2272</v>
      </c>
      <c r="H1351" s="198" t="s">
        <v>2272</v>
      </c>
      <c r="I1351" s="198" t="s">
        <v>2272</v>
      </c>
      <c r="J1351" s="198" t="s">
        <v>2272</v>
      </c>
      <c r="K1351" s="198" t="s">
        <v>2272</v>
      </c>
      <c r="L1351" s="198" t="s">
        <v>2272</v>
      </c>
      <c r="M1351" s="198" t="s">
        <v>2272</v>
      </c>
      <c r="N1351" s="198" t="s">
        <v>2272</v>
      </c>
      <c r="O1351" s="198" t="s">
        <v>2272</v>
      </c>
      <c r="P1351" s="198" t="s">
        <v>2272</v>
      </c>
      <c r="Q1351" s="198" t="s">
        <v>2272</v>
      </c>
      <c r="R1351" s="198" t="s">
        <v>2272</v>
      </c>
      <c r="S1351" s="198" t="s">
        <v>2272</v>
      </c>
      <c r="T1351" s="198"/>
    </row>
    <row r="1352" spans="1:20" ht="51" customHeight="1">
      <c r="A1352" s="26" t="s">
        <v>8634</v>
      </c>
      <c r="B1352" s="4" t="s">
        <v>2272</v>
      </c>
      <c r="C1352" s="4" t="s">
        <v>393</v>
      </c>
      <c r="D1352" s="4" t="s">
        <v>3849</v>
      </c>
      <c r="E1352" s="4" t="s">
        <v>2272</v>
      </c>
      <c r="F1352" s="4" t="s">
        <v>2272</v>
      </c>
      <c r="G1352" s="4" t="s">
        <v>2272</v>
      </c>
      <c r="H1352" s="4" t="s">
        <v>2272</v>
      </c>
      <c r="I1352" s="4" t="s">
        <v>2272</v>
      </c>
      <c r="J1352" s="4" t="s">
        <v>2272</v>
      </c>
      <c r="K1352" s="4" t="s">
        <v>2272</v>
      </c>
      <c r="L1352" s="4" t="s">
        <v>2272</v>
      </c>
      <c r="M1352" s="4" t="s">
        <v>2272</v>
      </c>
      <c r="N1352" s="4" t="s">
        <v>2272</v>
      </c>
      <c r="O1352" s="4" t="s">
        <v>2272</v>
      </c>
      <c r="P1352" s="4" t="s">
        <v>2272</v>
      </c>
      <c r="Q1352" s="4" t="s">
        <v>2272</v>
      </c>
      <c r="R1352" s="4" t="s">
        <v>2272</v>
      </c>
      <c r="S1352" s="4" t="s">
        <v>2272</v>
      </c>
      <c r="T1352" s="4"/>
    </row>
    <row r="1353" spans="1:20" ht="52.5" customHeight="1">
      <c r="A1353" s="26" t="s">
        <v>8636</v>
      </c>
      <c r="B1353" s="4" t="s">
        <v>2272</v>
      </c>
      <c r="C1353" s="4" t="s">
        <v>11</v>
      </c>
      <c r="D1353" s="4" t="s">
        <v>3849</v>
      </c>
      <c r="E1353" s="4" t="s">
        <v>394</v>
      </c>
      <c r="F1353" s="4" t="s">
        <v>82</v>
      </c>
      <c r="G1353" s="4" t="s">
        <v>2272</v>
      </c>
      <c r="H1353" s="4" t="s">
        <v>2272</v>
      </c>
      <c r="I1353" s="4" t="s">
        <v>2272</v>
      </c>
      <c r="J1353" s="4" t="s">
        <v>2272</v>
      </c>
      <c r="K1353" s="4" t="s">
        <v>2272</v>
      </c>
      <c r="L1353" s="4" t="s">
        <v>2272</v>
      </c>
      <c r="M1353" s="4" t="s">
        <v>2272</v>
      </c>
      <c r="N1353" s="4" t="s">
        <v>2272</v>
      </c>
      <c r="O1353" s="4" t="s">
        <v>2272</v>
      </c>
      <c r="P1353" s="4" t="s">
        <v>2272</v>
      </c>
      <c r="Q1353" s="4" t="s">
        <v>2272</v>
      </c>
      <c r="R1353" s="4" t="s">
        <v>2272</v>
      </c>
      <c r="S1353" s="4" t="s">
        <v>2272</v>
      </c>
      <c r="T1353" s="4"/>
    </row>
    <row r="1354" spans="1:20" ht="32.5" customHeight="1">
      <c r="A1354" s="26" t="s">
        <v>8641</v>
      </c>
      <c r="B1354" s="4" t="s">
        <v>2272</v>
      </c>
      <c r="C1354" s="4" t="s">
        <v>11</v>
      </c>
      <c r="D1354" s="4" t="s">
        <v>394</v>
      </c>
      <c r="E1354" s="4" t="s">
        <v>395</v>
      </c>
      <c r="F1354" s="4" t="s">
        <v>2272</v>
      </c>
      <c r="G1354" s="4" t="s">
        <v>2272</v>
      </c>
      <c r="H1354" s="4" t="s">
        <v>2272</v>
      </c>
      <c r="I1354" s="4" t="s">
        <v>2272</v>
      </c>
      <c r="J1354" s="4" t="s">
        <v>2272</v>
      </c>
      <c r="K1354" s="4" t="s">
        <v>2272</v>
      </c>
      <c r="L1354" s="4" t="s">
        <v>2272</v>
      </c>
      <c r="M1354" s="4" t="s">
        <v>2272</v>
      </c>
      <c r="N1354" s="4" t="s">
        <v>2272</v>
      </c>
      <c r="O1354" s="4" t="s">
        <v>2272</v>
      </c>
      <c r="P1354" s="4" t="s">
        <v>2272</v>
      </c>
      <c r="Q1354" s="4" t="s">
        <v>2272</v>
      </c>
      <c r="R1354" s="4" t="s">
        <v>2272</v>
      </c>
      <c r="S1354" s="4" t="s">
        <v>2272</v>
      </c>
      <c r="T1354" s="198"/>
    </row>
    <row r="1355" spans="1:20" ht="32.5" customHeight="1">
      <c r="A1355" s="26" t="s">
        <v>8642</v>
      </c>
      <c r="B1355" s="4" t="s">
        <v>2272</v>
      </c>
      <c r="C1355" s="4" t="s">
        <v>11</v>
      </c>
      <c r="D1355" s="4" t="s">
        <v>394</v>
      </c>
      <c r="E1355" s="4" t="s">
        <v>395</v>
      </c>
      <c r="F1355" s="4" t="s">
        <v>2272</v>
      </c>
      <c r="G1355" s="4" t="s">
        <v>2272</v>
      </c>
      <c r="H1355" s="4" t="s">
        <v>2272</v>
      </c>
      <c r="I1355" s="4" t="s">
        <v>2272</v>
      </c>
      <c r="J1355" s="4" t="s">
        <v>2272</v>
      </c>
      <c r="K1355" s="4" t="s">
        <v>2272</v>
      </c>
      <c r="L1355" s="4" t="s">
        <v>2272</v>
      </c>
      <c r="M1355" s="4" t="s">
        <v>2272</v>
      </c>
      <c r="N1355" s="4" t="s">
        <v>2272</v>
      </c>
      <c r="O1355" s="4" t="s">
        <v>2272</v>
      </c>
      <c r="P1355" s="4" t="s">
        <v>2272</v>
      </c>
      <c r="Q1355" s="4" t="s">
        <v>2272</v>
      </c>
      <c r="R1355" s="4" t="s">
        <v>2272</v>
      </c>
      <c r="S1355" s="4" t="s">
        <v>2272</v>
      </c>
      <c r="T1355" s="198"/>
    </row>
    <row r="1356" spans="1:20" ht="37" customHeight="1">
      <c r="A1356" s="26" t="s">
        <v>8650</v>
      </c>
      <c r="B1356" s="4" t="s">
        <v>2272</v>
      </c>
      <c r="C1356" s="198" t="s">
        <v>2640</v>
      </c>
      <c r="D1356" s="198" t="s">
        <v>82</v>
      </c>
      <c r="E1356" s="198" t="s">
        <v>2648</v>
      </c>
      <c r="F1356" s="4" t="s">
        <v>2272</v>
      </c>
      <c r="G1356" s="4" t="s">
        <v>2272</v>
      </c>
      <c r="H1356" s="4" t="s">
        <v>2272</v>
      </c>
      <c r="I1356" s="4" t="s">
        <v>2272</v>
      </c>
      <c r="J1356" s="4" t="s">
        <v>2272</v>
      </c>
      <c r="K1356" s="4" t="s">
        <v>2272</v>
      </c>
      <c r="L1356" s="4" t="s">
        <v>2272</v>
      </c>
      <c r="M1356" s="4" t="s">
        <v>2272</v>
      </c>
      <c r="N1356" s="4" t="s">
        <v>2272</v>
      </c>
      <c r="O1356" s="4" t="s">
        <v>2272</v>
      </c>
      <c r="P1356" s="4" t="s">
        <v>2272</v>
      </c>
      <c r="Q1356" s="4" t="s">
        <v>2272</v>
      </c>
      <c r="R1356" s="4" t="s">
        <v>2272</v>
      </c>
      <c r="S1356" s="4" t="s">
        <v>2272</v>
      </c>
      <c r="T1356" s="198"/>
    </row>
    <row r="1357" spans="1:20" ht="32.5" customHeight="1">
      <c r="A1357" s="26" t="s">
        <v>8655</v>
      </c>
      <c r="B1357" s="4" t="s">
        <v>2272</v>
      </c>
      <c r="C1357" s="4" t="s">
        <v>2272</v>
      </c>
      <c r="D1357" s="4" t="s">
        <v>2272</v>
      </c>
      <c r="E1357" s="4" t="s">
        <v>2272</v>
      </c>
      <c r="F1357" s="4" t="s">
        <v>2272</v>
      </c>
      <c r="G1357" s="4" t="s">
        <v>2272</v>
      </c>
      <c r="H1357" s="4" t="s">
        <v>2272</v>
      </c>
      <c r="I1357" s="4" t="s">
        <v>2272</v>
      </c>
      <c r="J1357" s="21">
        <f>AVERAGE(3.47, 3.15, 3.35, 3.51, 3.55, 3.51, 3.69, 3.94)</f>
        <v>3.5212500000000002</v>
      </c>
      <c r="K1357" s="4" t="s">
        <v>2272</v>
      </c>
      <c r="L1357" s="4" t="s">
        <v>2272</v>
      </c>
      <c r="M1357" s="4" t="s">
        <v>2272</v>
      </c>
      <c r="N1357" s="4">
        <v>0</v>
      </c>
      <c r="O1357" s="4">
        <v>0</v>
      </c>
      <c r="P1357" s="21">
        <v>100</v>
      </c>
      <c r="Q1357" s="4">
        <v>0</v>
      </c>
      <c r="R1357" s="4">
        <v>0</v>
      </c>
      <c r="S1357" s="4">
        <v>0</v>
      </c>
      <c r="T1357" s="146" t="s">
        <v>8666</v>
      </c>
    </row>
    <row r="1358" spans="1:20" ht="32.5" customHeight="1">
      <c r="A1358" s="26" t="s">
        <v>8656</v>
      </c>
      <c r="B1358" s="4" t="s">
        <v>2272</v>
      </c>
      <c r="C1358" s="4" t="s">
        <v>2272</v>
      </c>
      <c r="D1358" s="4" t="s">
        <v>2272</v>
      </c>
      <c r="E1358" s="4" t="s">
        <v>2272</v>
      </c>
      <c r="F1358" s="4" t="s">
        <v>2272</v>
      </c>
      <c r="G1358" s="4" t="s">
        <v>2272</v>
      </c>
      <c r="H1358" s="4" t="s">
        <v>2272</v>
      </c>
      <c r="I1358" s="4" t="s">
        <v>2272</v>
      </c>
      <c r="J1358" s="21">
        <f>AVERAGE(2.8, 2.24, 2.36, 2.56, 2.65, 2.72, 2.75, 2.94)</f>
        <v>2.6275000000000004</v>
      </c>
      <c r="K1358" s="4" t="s">
        <v>2272</v>
      </c>
      <c r="L1358" s="4" t="s">
        <v>2272</v>
      </c>
      <c r="M1358" s="4" t="s">
        <v>2272</v>
      </c>
      <c r="N1358" s="4">
        <v>0</v>
      </c>
      <c r="O1358" s="4">
        <v>0</v>
      </c>
      <c r="P1358" s="21">
        <v>100</v>
      </c>
      <c r="Q1358" s="4">
        <v>0</v>
      </c>
      <c r="R1358" s="4">
        <v>0</v>
      </c>
      <c r="S1358" s="4">
        <v>0</v>
      </c>
      <c r="T1358" s="19" t="s">
        <v>8666</v>
      </c>
    </row>
    <row r="1359" spans="1:20" ht="32.5" customHeight="1">
      <c r="A1359" s="26" t="s">
        <v>8657</v>
      </c>
      <c r="B1359" s="4" t="s">
        <v>2272</v>
      </c>
      <c r="C1359" s="4" t="s">
        <v>2272</v>
      </c>
      <c r="D1359" s="4" t="s">
        <v>2272</v>
      </c>
      <c r="E1359" s="4" t="s">
        <v>2272</v>
      </c>
      <c r="F1359" s="4" t="s">
        <v>2272</v>
      </c>
      <c r="G1359" s="4" t="s">
        <v>2272</v>
      </c>
      <c r="H1359" s="4" t="s">
        <v>2272</v>
      </c>
      <c r="I1359" s="4" t="s">
        <v>2272</v>
      </c>
      <c r="J1359" s="21">
        <f>AVERAGE(2.15, 1.94, 2.18, 1.98, 2.12, 1.84, 2.19, 1.79)</f>
        <v>2.0237500000000002</v>
      </c>
      <c r="K1359" s="4" t="s">
        <v>2272</v>
      </c>
      <c r="L1359" s="4" t="s">
        <v>2272</v>
      </c>
      <c r="M1359" s="4" t="s">
        <v>2272</v>
      </c>
      <c r="N1359" s="4">
        <v>0</v>
      </c>
      <c r="O1359" s="4">
        <v>0</v>
      </c>
      <c r="P1359" s="21">
        <v>100</v>
      </c>
      <c r="Q1359" s="4">
        <v>0</v>
      </c>
      <c r="R1359" s="4">
        <v>0</v>
      </c>
      <c r="S1359" s="4">
        <v>0</v>
      </c>
      <c r="T1359" s="19" t="s">
        <v>8666</v>
      </c>
    </row>
    <row r="1360" spans="1:20" ht="32.5" customHeight="1">
      <c r="A1360" s="26" t="s">
        <v>8659</v>
      </c>
      <c r="B1360" s="4" t="s">
        <v>2272</v>
      </c>
      <c r="C1360" s="4" t="s">
        <v>2272</v>
      </c>
      <c r="D1360" s="4" t="s">
        <v>2272</v>
      </c>
      <c r="E1360" s="4" t="s">
        <v>2272</v>
      </c>
      <c r="F1360" s="4" t="s">
        <v>2272</v>
      </c>
      <c r="G1360" s="4" t="s">
        <v>2272</v>
      </c>
      <c r="H1360" s="4" t="s">
        <v>2272</v>
      </c>
      <c r="I1360" s="4" t="s">
        <v>2272</v>
      </c>
      <c r="J1360" s="21">
        <f>AVERAGE(28321.1/9653.5, 29990.6/10165.1, 29820.2/10163.8, 30648.2/10224.9)</f>
        <v>2.9538711691464989</v>
      </c>
      <c r="K1360" s="4" t="s">
        <v>2272</v>
      </c>
      <c r="L1360" s="4" t="s">
        <v>2272</v>
      </c>
      <c r="M1360" s="4" t="s">
        <v>2272</v>
      </c>
      <c r="N1360" s="4">
        <v>0</v>
      </c>
      <c r="O1360" s="4">
        <v>0</v>
      </c>
      <c r="P1360" s="21">
        <v>100</v>
      </c>
      <c r="Q1360" s="4">
        <v>0</v>
      </c>
      <c r="R1360" s="4">
        <v>0</v>
      </c>
      <c r="S1360" s="4">
        <v>0</v>
      </c>
      <c r="T1360" s="19" t="s">
        <v>8666</v>
      </c>
    </row>
    <row r="1361" spans="1:20" ht="32.5" customHeight="1">
      <c r="A1361" s="26" t="s">
        <v>8660</v>
      </c>
      <c r="B1361" s="4" t="s">
        <v>2272</v>
      </c>
      <c r="C1361" s="4" t="s">
        <v>2272</v>
      </c>
      <c r="D1361" s="4" t="s">
        <v>2272</v>
      </c>
      <c r="E1361" s="4" t="s">
        <v>2272</v>
      </c>
      <c r="F1361" s="4" t="s">
        <v>2272</v>
      </c>
      <c r="G1361" s="4" t="s">
        <v>2272</v>
      </c>
      <c r="H1361" s="4" t="s">
        <v>2272</v>
      </c>
      <c r="I1361" s="4" t="s">
        <v>2272</v>
      </c>
      <c r="J1361" s="21">
        <f>AVERAGE(13270.6/4046.3, 13499.8/4006.4, 14496.7/4126.6, 14603/4070.4, 15326.7/4159.9)</f>
        <v>3.4868469544786769</v>
      </c>
      <c r="K1361" s="4" t="s">
        <v>2272</v>
      </c>
      <c r="L1361" s="4" t="s">
        <v>2272</v>
      </c>
      <c r="M1361" s="4" t="s">
        <v>2272</v>
      </c>
      <c r="N1361" s="4">
        <v>0</v>
      </c>
      <c r="O1361" s="4">
        <v>0</v>
      </c>
      <c r="P1361" s="21">
        <v>100</v>
      </c>
      <c r="Q1361" s="4">
        <v>0</v>
      </c>
      <c r="R1361" s="4">
        <v>0</v>
      </c>
      <c r="S1361" s="4">
        <v>0</v>
      </c>
      <c r="T1361" s="19" t="s">
        <v>8666</v>
      </c>
    </row>
    <row r="1362" spans="1:20" ht="35.5" customHeight="1">
      <c r="A1362" s="26" t="s">
        <v>8669</v>
      </c>
      <c r="B1362" s="4" t="s">
        <v>2272</v>
      </c>
      <c r="C1362" s="4" t="s">
        <v>11</v>
      </c>
      <c r="D1362" s="198" t="s">
        <v>2648</v>
      </c>
      <c r="E1362" s="198" t="s">
        <v>44</v>
      </c>
      <c r="F1362" s="4" t="s">
        <v>2272</v>
      </c>
      <c r="G1362" s="4" t="s">
        <v>2272</v>
      </c>
      <c r="H1362" s="4" t="s">
        <v>2272</v>
      </c>
      <c r="I1362" s="4" t="s">
        <v>2272</v>
      </c>
      <c r="J1362" s="4" t="s">
        <v>2272</v>
      </c>
      <c r="K1362" s="4" t="s">
        <v>2272</v>
      </c>
      <c r="L1362" s="4" t="s">
        <v>2272</v>
      </c>
      <c r="M1362" s="4" t="s">
        <v>2272</v>
      </c>
      <c r="N1362" s="4" t="s">
        <v>2272</v>
      </c>
      <c r="O1362" s="4" t="s">
        <v>2272</v>
      </c>
      <c r="P1362" s="4" t="s">
        <v>2272</v>
      </c>
      <c r="Q1362" s="4" t="s">
        <v>2272</v>
      </c>
      <c r="R1362" s="4" t="s">
        <v>2272</v>
      </c>
      <c r="S1362" s="4" t="s">
        <v>2272</v>
      </c>
      <c r="T1362" s="198"/>
    </row>
    <row r="1363" spans="1:20" ht="32" customHeight="1">
      <c r="A1363" s="198" t="s">
        <v>8680</v>
      </c>
      <c r="B1363" s="198" t="s">
        <v>2272</v>
      </c>
      <c r="C1363" s="198" t="s">
        <v>11</v>
      </c>
      <c r="D1363" s="198" t="s">
        <v>2648</v>
      </c>
      <c r="E1363" s="198" t="s">
        <v>44</v>
      </c>
      <c r="F1363" s="4" t="s">
        <v>2272</v>
      </c>
      <c r="G1363" s="4" t="s">
        <v>2272</v>
      </c>
      <c r="H1363" s="4" t="s">
        <v>2272</v>
      </c>
      <c r="I1363" s="4" t="s">
        <v>2272</v>
      </c>
      <c r="J1363" s="4" t="s">
        <v>2272</v>
      </c>
      <c r="K1363" s="4" t="s">
        <v>2272</v>
      </c>
      <c r="L1363" s="4" t="s">
        <v>2272</v>
      </c>
      <c r="M1363" s="4" t="s">
        <v>2272</v>
      </c>
      <c r="N1363" s="4" t="s">
        <v>2272</v>
      </c>
      <c r="O1363" s="4" t="s">
        <v>2272</v>
      </c>
      <c r="P1363" s="4" t="s">
        <v>2272</v>
      </c>
      <c r="Q1363" s="4" t="s">
        <v>2272</v>
      </c>
      <c r="R1363" s="4" t="s">
        <v>2272</v>
      </c>
      <c r="S1363" s="4" t="s">
        <v>2272</v>
      </c>
      <c r="T1363" s="198"/>
    </row>
    <row r="1364" spans="1:20" ht="40" customHeight="1">
      <c r="A1364" s="26" t="s">
        <v>8693</v>
      </c>
      <c r="B1364" s="198" t="s">
        <v>2272</v>
      </c>
      <c r="C1364" s="198" t="s">
        <v>11</v>
      </c>
      <c r="D1364" s="4" t="s">
        <v>394</v>
      </c>
      <c r="E1364" s="4" t="s">
        <v>2272</v>
      </c>
      <c r="F1364" s="4" t="s">
        <v>2272</v>
      </c>
      <c r="G1364" s="4" t="s">
        <v>2272</v>
      </c>
      <c r="H1364" s="4" t="s">
        <v>2272</v>
      </c>
      <c r="I1364" s="198">
        <v>0.9</v>
      </c>
      <c r="J1364" s="198">
        <v>18.8</v>
      </c>
      <c r="K1364" s="4" t="s">
        <v>2272</v>
      </c>
      <c r="L1364" s="4" t="s">
        <v>2272</v>
      </c>
      <c r="M1364" s="4" t="s">
        <v>2272</v>
      </c>
      <c r="N1364" s="4">
        <v>0</v>
      </c>
      <c r="O1364" s="4">
        <v>0</v>
      </c>
      <c r="P1364" s="21">
        <v>100</v>
      </c>
      <c r="Q1364" s="4" t="s">
        <v>2272</v>
      </c>
      <c r="R1364" s="4">
        <v>0</v>
      </c>
      <c r="S1364" s="4">
        <v>0</v>
      </c>
      <c r="T1364" s="19" t="s">
        <v>8698</v>
      </c>
    </row>
    <row r="1365" spans="1:20" ht="37" customHeight="1">
      <c r="A1365" s="26" t="s">
        <v>8703</v>
      </c>
      <c r="B1365" s="198" t="s">
        <v>2272</v>
      </c>
      <c r="C1365" s="198" t="s">
        <v>11</v>
      </c>
      <c r="D1365" s="4" t="s">
        <v>394</v>
      </c>
      <c r="E1365" s="4" t="s">
        <v>395</v>
      </c>
      <c r="F1365" s="198" t="s">
        <v>2648</v>
      </c>
      <c r="G1365" s="4" t="s">
        <v>2272</v>
      </c>
      <c r="H1365" s="4" t="s">
        <v>2272</v>
      </c>
      <c r="I1365" s="4" t="s">
        <v>2272</v>
      </c>
      <c r="J1365" s="4" t="s">
        <v>2272</v>
      </c>
      <c r="K1365" s="4" t="s">
        <v>2272</v>
      </c>
      <c r="L1365" s="4" t="s">
        <v>2272</v>
      </c>
      <c r="M1365" s="4" t="s">
        <v>2272</v>
      </c>
      <c r="N1365" s="4" t="s">
        <v>2272</v>
      </c>
      <c r="O1365" s="4" t="s">
        <v>2272</v>
      </c>
      <c r="P1365" s="21">
        <f>220000/'Record info'!K1365</f>
        <v>70.512820512820511</v>
      </c>
      <c r="Q1365" s="4" t="s">
        <v>2272</v>
      </c>
      <c r="R1365" s="4" t="s">
        <v>2272</v>
      </c>
      <c r="S1365" s="4" t="s">
        <v>2272</v>
      </c>
      <c r="T1365" s="198"/>
    </row>
    <row r="1366" spans="1:20" ht="46.5" customHeight="1">
      <c r="A1366" s="26" t="s">
        <v>8716</v>
      </c>
      <c r="B1366" s="198" t="s">
        <v>2272</v>
      </c>
      <c r="C1366" s="198" t="s">
        <v>2640</v>
      </c>
      <c r="D1366" s="198" t="s">
        <v>82</v>
      </c>
      <c r="E1366" s="198" t="s">
        <v>44</v>
      </c>
      <c r="F1366" s="4" t="s">
        <v>2272</v>
      </c>
      <c r="G1366" s="4" t="s">
        <v>2272</v>
      </c>
      <c r="H1366" s="4" t="s">
        <v>2272</v>
      </c>
      <c r="I1366" s="4" t="s">
        <v>2272</v>
      </c>
      <c r="J1366" s="4" t="s">
        <v>2272</v>
      </c>
      <c r="K1366" s="4" t="s">
        <v>2272</v>
      </c>
      <c r="L1366" s="4" t="s">
        <v>2272</v>
      </c>
      <c r="M1366" s="4" t="s">
        <v>2272</v>
      </c>
      <c r="N1366" s="4" t="s">
        <v>2272</v>
      </c>
      <c r="O1366" s="21">
        <f>100*(41277.935508-37950)/'Record info'!K1366</f>
        <v>2.1622747909478992</v>
      </c>
      <c r="P1366" s="21">
        <f>(100*(41277.935508)/'Record info'!K1366)-O1366</f>
        <v>24.657427440890395</v>
      </c>
      <c r="Q1366" s="4" t="s">
        <v>2272</v>
      </c>
      <c r="R1366" s="4" t="s">
        <v>2272</v>
      </c>
      <c r="S1366" s="4" t="s">
        <v>2272</v>
      </c>
      <c r="T1366" s="198" t="s">
        <v>8720</v>
      </c>
    </row>
    <row r="1367" spans="1:20" ht="46.5" customHeight="1">
      <c r="A1367" s="26" t="s">
        <v>8721</v>
      </c>
      <c r="B1367" s="198" t="s">
        <v>31</v>
      </c>
      <c r="C1367" s="198" t="s">
        <v>2641</v>
      </c>
      <c r="D1367" s="198" t="s">
        <v>135</v>
      </c>
      <c r="E1367" s="198" t="s">
        <v>44</v>
      </c>
      <c r="F1367" s="4" t="s">
        <v>2272</v>
      </c>
      <c r="G1367" s="4" t="s">
        <v>2272</v>
      </c>
      <c r="H1367" s="4" t="s">
        <v>2272</v>
      </c>
      <c r="I1367" s="4" t="s">
        <v>2272</v>
      </c>
      <c r="J1367" s="4" t="s">
        <v>2272</v>
      </c>
      <c r="K1367" s="4" t="s">
        <v>2272</v>
      </c>
      <c r="L1367" s="4" t="s">
        <v>2272</v>
      </c>
      <c r="M1367" s="4" t="s">
        <v>2272</v>
      </c>
      <c r="N1367" s="4" t="s">
        <v>2272</v>
      </c>
      <c r="O1367" s="4" t="s">
        <v>2272</v>
      </c>
      <c r="P1367" s="4" t="s">
        <v>2272</v>
      </c>
      <c r="Q1367" s="4" t="s">
        <v>2272</v>
      </c>
      <c r="R1367" s="4" t="s">
        <v>2272</v>
      </c>
      <c r="S1367" s="4" t="s">
        <v>2272</v>
      </c>
      <c r="T1367" s="198"/>
    </row>
    <row r="1368" spans="1:20" ht="46.5" customHeight="1">
      <c r="A1368" s="26" t="s">
        <v>8722</v>
      </c>
      <c r="B1368" s="198" t="s">
        <v>31</v>
      </c>
      <c r="C1368" s="198" t="s">
        <v>2641</v>
      </c>
      <c r="D1368" s="198" t="s">
        <v>135</v>
      </c>
      <c r="E1368" s="198" t="s">
        <v>44</v>
      </c>
      <c r="F1368" s="4" t="s">
        <v>2272</v>
      </c>
      <c r="G1368" s="4" t="s">
        <v>2272</v>
      </c>
      <c r="H1368" s="4" t="s">
        <v>2272</v>
      </c>
      <c r="I1368" s="4" t="s">
        <v>2272</v>
      </c>
      <c r="J1368" s="4" t="s">
        <v>2272</v>
      </c>
      <c r="K1368" s="4" t="s">
        <v>2272</v>
      </c>
      <c r="L1368" s="4" t="s">
        <v>2272</v>
      </c>
      <c r="M1368" s="4" t="s">
        <v>2272</v>
      </c>
      <c r="N1368" s="4" t="s">
        <v>2272</v>
      </c>
      <c r="O1368" s="4" t="s">
        <v>2272</v>
      </c>
      <c r="P1368" s="4" t="s">
        <v>2272</v>
      </c>
      <c r="Q1368" s="4" t="s">
        <v>2272</v>
      </c>
      <c r="R1368" s="4" t="s">
        <v>2272</v>
      </c>
      <c r="S1368" s="4" t="s">
        <v>2272</v>
      </c>
      <c r="T1368" s="198"/>
    </row>
    <row r="1369" spans="1:20" ht="47" customHeight="1">
      <c r="A1369" s="26" t="s">
        <v>8733</v>
      </c>
      <c r="B1369" s="198" t="s">
        <v>31</v>
      </c>
      <c r="C1369" s="198" t="s">
        <v>2640</v>
      </c>
      <c r="D1369" s="198" t="s">
        <v>5795</v>
      </c>
      <c r="E1369" s="198" t="s">
        <v>2648</v>
      </c>
      <c r="F1369" s="198" t="s">
        <v>82</v>
      </c>
      <c r="G1369" s="198" t="s">
        <v>44</v>
      </c>
      <c r="H1369" s="4" t="s">
        <v>2272</v>
      </c>
      <c r="I1369" s="4" t="s">
        <v>2272</v>
      </c>
      <c r="J1369" s="4" t="s">
        <v>2272</v>
      </c>
      <c r="K1369" s="4" t="s">
        <v>2272</v>
      </c>
      <c r="L1369" s="4" t="s">
        <v>2272</v>
      </c>
      <c r="M1369" s="4" t="s">
        <v>2272</v>
      </c>
      <c r="N1369" s="4" t="s">
        <v>2272</v>
      </c>
      <c r="O1369" s="4" t="s">
        <v>2272</v>
      </c>
      <c r="P1369" s="4" t="s">
        <v>2272</v>
      </c>
      <c r="Q1369" s="4" t="s">
        <v>2272</v>
      </c>
      <c r="R1369" s="4" t="s">
        <v>2272</v>
      </c>
      <c r="S1369" s="4" t="s">
        <v>2272</v>
      </c>
      <c r="T1369" s="198"/>
    </row>
    <row r="1370" spans="1:20" ht="47" customHeight="1">
      <c r="A1370" s="26" t="s">
        <v>8740</v>
      </c>
      <c r="B1370" s="198" t="s">
        <v>1193</v>
      </c>
      <c r="C1370" s="198" t="s">
        <v>2640</v>
      </c>
      <c r="D1370" s="198" t="s">
        <v>82</v>
      </c>
      <c r="E1370" s="198" t="s">
        <v>44</v>
      </c>
      <c r="F1370" s="4" t="s">
        <v>2272</v>
      </c>
      <c r="G1370" s="4" t="s">
        <v>2272</v>
      </c>
      <c r="H1370" s="4" t="s">
        <v>2272</v>
      </c>
      <c r="I1370" s="4" t="s">
        <v>2272</v>
      </c>
      <c r="J1370" s="4" t="s">
        <v>2272</v>
      </c>
      <c r="K1370" s="4" t="s">
        <v>2272</v>
      </c>
      <c r="L1370" s="4" t="s">
        <v>2272</v>
      </c>
      <c r="M1370" s="4" t="s">
        <v>2272</v>
      </c>
      <c r="N1370" s="4" t="s">
        <v>2272</v>
      </c>
      <c r="O1370" s="4" t="s">
        <v>2272</v>
      </c>
      <c r="P1370" s="4" t="s">
        <v>2272</v>
      </c>
      <c r="Q1370" s="4" t="s">
        <v>2272</v>
      </c>
      <c r="R1370" s="4" t="s">
        <v>2272</v>
      </c>
      <c r="S1370" s="4" t="s">
        <v>2272</v>
      </c>
      <c r="T1370" s="198"/>
    </row>
    <row r="1371" spans="1:20" ht="47" customHeight="1">
      <c r="A1371" s="26" t="s">
        <v>8741</v>
      </c>
      <c r="B1371" s="198" t="s">
        <v>69</v>
      </c>
      <c r="C1371" s="198" t="s">
        <v>2640</v>
      </c>
      <c r="D1371" s="198" t="s">
        <v>82</v>
      </c>
      <c r="E1371" s="198" t="s">
        <v>44</v>
      </c>
      <c r="F1371" s="4" t="s">
        <v>2272</v>
      </c>
      <c r="G1371" s="4" t="s">
        <v>2272</v>
      </c>
      <c r="H1371" s="4" t="s">
        <v>2272</v>
      </c>
      <c r="I1371" s="4" t="s">
        <v>2272</v>
      </c>
      <c r="J1371" s="4" t="s">
        <v>2272</v>
      </c>
      <c r="K1371" s="4" t="s">
        <v>2272</v>
      </c>
      <c r="L1371" s="4" t="s">
        <v>2272</v>
      </c>
      <c r="M1371" s="4" t="s">
        <v>2272</v>
      </c>
      <c r="N1371" s="4" t="s">
        <v>2272</v>
      </c>
      <c r="O1371" s="4" t="s">
        <v>2272</v>
      </c>
      <c r="P1371" s="4" t="s">
        <v>2272</v>
      </c>
      <c r="Q1371" s="4" t="s">
        <v>2272</v>
      </c>
      <c r="R1371" s="4" t="s">
        <v>2272</v>
      </c>
      <c r="S1371" s="4" t="s">
        <v>2272</v>
      </c>
      <c r="T1371" s="198"/>
    </row>
    <row r="1372" spans="1:20" ht="44.5" customHeight="1">
      <c r="A1372" s="198" t="s">
        <v>8757</v>
      </c>
      <c r="B1372" s="198" t="s">
        <v>2272</v>
      </c>
      <c r="C1372" s="198" t="s">
        <v>11</v>
      </c>
      <c r="D1372" s="4" t="s">
        <v>394</v>
      </c>
      <c r="E1372" s="198" t="s">
        <v>2648</v>
      </c>
      <c r="F1372" s="4" t="s">
        <v>2272</v>
      </c>
      <c r="G1372" s="4" t="s">
        <v>2272</v>
      </c>
      <c r="H1372" s="4" t="s">
        <v>2272</v>
      </c>
      <c r="I1372" s="4" t="s">
        <v>2272</v>
      </c>
      <c r="J1372" s="4" t="s">
        <v>2272</v>
      </c>
      <c r="K1372" s="4" t="s">
        <v>2272</v>
      </c>
      <c r="L1372" s="4" t="s">
        <v>2272</v>
      </c>
      <c r="M1372" s="4" t="s">
        <v>2272</v>
      </c>
      <c r="N1372" s="4">
        <v>0</v>
      </c>
      <c r="O1372" s="4">
        <v>0</v>
      </c>
      <c r="P1372" s="21">
        <v>100</v>
      </c>
      <c r="Q1372" s="4">
        <v>0</v>
      </c>
      <c r="R1372" s="4">
        <v>0</v>
      </c>
      <c r="S1372" s="4">
        <v>0</v>
      </c>
      <c r="T1372" s="198" t="s">
        <v>8790</v>
      </c>
    </row>
    <row r="1373" spans="1:20" ht="44.5" customHeight="1">
      <c r="A1373" s="11" t="s">
        <v>8758</v>
      </c>
      <c r="B1373" s="198" t="s">
        <v>2272</v>
      </c>
      <c r="C1373" s="198" t="s">
        <v>11</v>
      </c>
      <c r="D1373" s="4" t="s">
        <v>394</v>
      </c>
      <c r="E1373" s="198" t="s">
        <v>2648</v>
      </c>
      <c r="F1373" s="4" t="s">
        <v>2272</v>
      </c>
      <c r="G1373" s="4" t="s">
        <v>2272</v>
      </c>
      <c r="H1373" s="4" t="s">
        <v>2272</v>
      </c>
      <c r="I1373" s="4" t="s">
        <v>2272</v>
      </c>
      <c r="J1373" s="4" t="s">
        <v>2272</v>
      </c>
      <c r="K1373" s="4" t="s">
        <v>2272</v>
      </c>
      <c r="L1373" s="4" t="s">
        <v>2272</v>
      </c>
      <c r="M1373" s="4" t="s">
        <v>2272</v>
      </c>
      <c r="N1373" s="4">
        <v>0</v>
      </c>
      <c r="O1373" s="4">
        <v>0</v>
      </c>
      <c r="P1373" s="21">
        <v>100</v>
      </c>
      <c r="Q1373" s="4">
        <v>0</v>
      </c>
      <c r="R1373" s="4">
        <v>0</v>
      </c>
      <c r="S1373" s="4">
        <v>0</v>
      </c>
      <c r="T1373" s="198" t="s">
        <v>8790</v>
      </c>
    </row>
    <row r="1374" spans="1:20" ht="44.5" customHeight="1">
      <c r="A1374" s="11" t="s">
        <v>8759</v>
      </c>
      <c r="B1374" s="198" t="s">
        <v>2272</v>
      </c>
      <c r="C1374" s="198" t="s">
        <v>11</v>
      </c>
      <c r="D1374" s="4" t="s">
        <v>394</v>
      </c>
      <c r="E1374" s="198" t="s">
        <v>2648</v>
      </c>
      <c r="F1374" s="4" t="s">
        <v>2272</v>
      </c>
      <c r="G1374" s="4" t="s">
        <v>2272</v>
      </c>
      <c r="H1374" s="4" t="s">
        <v>2272</v>
      </c>
      <c r="I1374" s="4" t="s">
        <v>2272</v>
      </c>
      <c r="J1374" s="4" t="s">
        <v>2272</v>
      </c>
      <c r="K1374" s="4" t="s">
        <v>2272</v>
      </c>
      <c r="L1374" s="4" t="s">
        <v>2272</v>
      </c>
      <c r="M1374" s="4" t="s">
        <v>2272</v>
      </c>
      <c r="N1374" s="4">
        <v>0</v>
      </c>
      <c r="O1374" s="4">
        <v>0</v>
      </c>
      <c r="P1374" s="21">
        <v>100</v>
      </c>
      <c r="Q1374" s="4">
        <v>0</v>
      </c>
      <c r="R1374" s="4">
        <v>0</v>
      </c>
      <c r="S1374" s="4">
        <v>0</v>
      </c>
      <c r="T1374" s="198" t="s">
        <v>8790</v>
      </c>
    </row>
    <row r="1375" spans="1:20" ht="44.5" customHeight="1">
      <c r="A1375" s="11" t="s">
        <v>8760</v>
      </c>
      <c r="B1375" s="198" t="s">
        <v>2272</v>
      </c>
      <c r="C1375" s="198" t="s">
        <v>11</v>
      </c>
      <c r="D1375" s="4" t="s">
        <v>394</v>
      </c>
      <c r="E1375" s="198" t="s">
        <v>2648</v>
      </c>
      <c r="F1375" s="4" t="s">
        <v>2272</v>
      </c>
      <c r="G1375" s="4" t="s">
        <v>2272</v>
      </c>
      <c r="H1375" s="4" t="s">
        <v>2272</v>
      </c>
      <c r="I1375" s="4" t="s">
        <v>2272</v>
      </c>
      <c r="J1375" s="4" t="s">
        <v>2272</v>
      </c>
      <c r="K1375" s="4" t="s">
        <v>2272</v>
      </c>
      <c r="L1375" s="4" t="s">
        <v>2272</v>
      </c>
      <c r="M1375" s="4" t="s">
        <v>2272</v>
      </c>
      <c r="N1375" s="4">
        <v>0</v>
      </c>
      <c r="O1375" s="4">
        <v>0</v>
      </c>
      <c r="P1375" s="21">
        <v>100</v>
      </c>
      <c r="Q1375" s="4">
        <v>0</v>
      </c>
      <c r="R1375" s="4">
        <v>0</v>
      </c>
      <c r="S1375" s="4">
        <v>0</v>
      </c>
      <c r="T1375" s="198" t="s">
        <v>8790</v>
      </c>
    </row>
    <row r="1376" spans="1:20" ht="44.5" customHeight="1">
      <c r="A1376" s="11" t="s">
        <v>8761</v>
      </c>
      <c r="B1376" s="198" t="s">
        <v>2272</v>
      </c>
      <c r="C1376" s="198" t="s">
        <v>11</v>
      </c>
      <c r="D1376" s="4" t="s">
        <v>394</v>
      </c>
      <c r="E1376" s="198" t="s">
        <v>2648</v>
      </c>
      <c r="F1376" s="4" t="s">
        <v>2272</v>
      </c>
      <c r="G1376" s="4" t="s">
        <v>2272</v>
      </c>
      <c r="H1376" s="4" t="s">
        <v>2272</v>
      </c>
      <c r="I1376" s="4" t="s">
        <v>2272</v>
      </c>
      <c r="J1376" s="4" t="s">
        <v>2272</v>
      </c>
      <c r="K1376" s="4" t="s">
        <v>2272</v>
      </c>
      <c r="L1376" s="4" t="s">
        <v>2272</v>
      </c>
      <c r="M1376" s="4" t="s">
        <v>2272</v>
      </c>
      <c r="N1376" s="4">
        <v>0</v>
      </c>
      <c r="O1376" s="4">
        <v>0</v>
      </c>
      <c r="P1376" s="21">
        <v>100</v>
      </c>
      <c r="Q1376" s="4">
        <v>0</v>
      </c>
      <c r="R1376" s="4">
        <v>0</v>
      </c>
      <c r="S1376" s="4">
        <v>0</v>
      </c>
      <c r="T1376" s="198" t="s">
        <v>8790</v>
      </c>
    </row>
    <row r="1377" spans="1:20" ht="44.5" customHeight="1">
      <c r="A1377" s="11" t="s">
        <v>8762</v>
      </c>
      <c r="B1377" s="198" t="s">
        <v>2272</v>
      </c>
      <c r="C1377" s="198" t="s">
        <v>11</v>
      </c>
      <c r="D1377" s="4" t="s">
        <v>394</v>
      </c>
      <c r="E1377" s="198" t="s">
        <v>2648</v>
      </c>
      <c r="F1377" s="4" t="s">
        <v>2272</v>
      </c>
      <c r="G1377" s="4" t="s">
        <v>2272</v>
      </c>
      <c r="H1377" s="4" t="s">
        <v>2272</v>
      </c>
      <c r="I1377" s="4" t="s">
        <v>2272</v>
      </c>
      <c r="J1377" s="4" t="s">
        <v>2272</v>
      </c>
      <c r="K1377" s="4" t="s">
        <v>2272</v>
      </c>
      <c r="L1377" s="4" t="s">
        <v>2272</v>
      </c>
      <c r="M1377" s="4" t="s">
        <v>2272</v>
      </c>
      <c r="N1377" s="4">
        <v>0</v>
      </c>
      <c r="O1377" s="4">
        <v>0</v>
      </c>
      <c r="P1377" s="21">
        <v>100</v>
      </c>
      <c r="Q1377" s="4">
        <v>0</v>
      </c>
      <c r="R1377" s="4">
        <v>0</v>
      </c>
      <c r="S1377" s="4">
        <v>0</v>
      </c>
      <c r="T1377" s="198" t="s">
        <v>8790</v>
      </c>
    </row>
    <row r="1378" spans="1:20" ht="44.5" customHeight="1">
      <c r="A1378" s="11" t="s">
        <v>8763</v>
      </c>
      <c r="B1378" s="198" t="s">
        <v>2272</v>
      </c>
      <c r="C1378" s="198" t="s">
        <v>11</v>
      </c>
      <c r="D1378" s="4" t="s">
        <v>394</v>
      </c>
      <c r="E1378" s="198" t="s">
        <v>2648</v>
      </c>
      <c r="F1378" s="4" t="s">
        <v>2272</v>
      </c>
      <c r="G1378" s="4" t="s">
        <v>2272</v>
      </c>
      <c r="H1378" s="4" t="s">
        <v>2272</v>
      </c>
      <c r="I1378" s="4" t="s">
        <v>2272</v>
      </c>
      <c r="J1378" s="4" t="s">
        <v>2272</v>
      </c>
      <c r="K1378" s="4" t="s">
        <v>2272</v>
      </c>
      <c r="L1378" s="4" t="s">
        <v>2272</v>
      </c>
      <c r="M1378" s="4" t="s">
        <v>2272</v>
      </c>
      <c r="N1378" s="4">
        <v>0</v>
      </c>
      <c r="O1378" s="4">
        <v>0</v>
      </c>
      <c r="P1378" s="21">
        <v>100</v>
      </c>
      <c r="Q1378" s="4">
        <v>0</v>
      </c>
      <c r="R1378" s="4">
        <v>0</v>
      </c>
      <c r="S1378" s="4">
        <v>0</v>
      </c>
      <c r="T1378" s="198" t="s">
        <v>8790</v>
      </c>
    </row>
    <row r="1379" spans="1:20" ht="44.5" customHeight="1">
      <c r="A1379" s="11" t="s">
        <v>8764</v>
      </c>
      <c r="B1379" s="198" t="s">
        <v>2272</v>
      </c>
      <c r="C1379" s="198" t="s">
        <v>11</v>
      </c>
      <c r="D1379" s="4" t="s">
        <v>394</v>
      </c>
      <c r="E1379" s="198" t="s">
        <v>2648</v>
      </c>
      <c r="F1379" s="4" t="s">
        <v>2272</v>
      </c>
      <c r="G1379" s="4" t="s">
        <v>2272</v>
      </c>
      <c r="H1379" s="4" t="s">
        <v>2272</v>
      </c>
      <c r="I1379" s="4" t="s">
        <v>2272</v>
      </c>
      <c r="J1379" s="4" t="s">
        <v>2272</v>
      </c>
      <c r="K1379" s="4" t="s">
        <v>2272</v>
      </c>
      <c r="L1379" s="4" t="s">
        <v>2272</v>
      </c>
      <c r="M1379" s="4" t="s">
        <v>2272</v>
      </c>
      <c r="N1379" s="4">
        <v>0</v>
      </c>
      <c r="O1379" s="4">
        <v>0</v>
      </c>
      <c r="P1379" s="21">
        <v>100</v>
      </c>
      <c r="Q1379" s="4">
        <v>0</v>
      </c>
      <c r="R1379" s="4">
        <v>0</v>
      </c>
      <c r="S1379" s="4">
        <v>0</v>
      </c>
      <c r="T1379" s="198" t="s">
        <v>8790</v>
      </c>
    </row>
    <row r="1380" spans="1:20" ht="44.5" customHeight="1">
      <c r="A1380" s="11" t="s">
        <v>8765</v>
      </c>
      <c r="B1380" s="198" t="s">
        <v>2272</v>
      </c>
      <c r="C1380" s="198" t="s">
        <v>11</v>
      </c>
      <c r="D1380" s="4" t="s">
        <v>394</v>
      </c>
      <c r="E1380" s="198" t="s">
        <v>2648</v>
      </c>
      <c r="F1380" s="4" t="s">
        <v>2272</v>
      </c>
      <c r="G1380" s="4" t="s">
        <v>2272</v>
      </c>
      <c r="H1380" s="4" t="s">
        <v>2272</v>
      </c>
      <c r="I1380" s="4" t="s">
        <v>2272</v>
      </c>
      <c r="J1380" s="4" t="s">
        <v>2272</v>
      </c>
      <c r="K1380" s="4" t="s">
        <v>2272</v>
      </c>
      <c r="L1380" s="4" t="s">
        <v>2272</v>
      </c>
      <c r="M1380" s="4" t="s">
        <v>2272</v>
      </c>
      <c r="N1380" s="4">
        <v>0</v>
      </c>
      <c r="O1380" s="4">
        <v>0</v>
      </c>
      <c r="P1380" s="21">
        <v>100</v>
      </c>
      <c r="Q1380" s="4">
        <v>0</v>
      </c>
      <c r="R1380" s="4">
        <v>0</v>
      </c>
      <c r="S1380" s="4">
        <v>0</v>
      </c>
      <c r="T1380" s="198" t="s">
        <v>8790</v>
      </c>
    </row>
    <row r="1381" spans="1:20" ht="44.5" customHeight="1">
      <c r="A1381" s="11" t="s">
        <v>8766</v>
      </c>
      <c r="B1381" s="198" t="s">
        <v>2272</v>
      </c>
      <c r="C1381" s="198" t="s">
        <v>11</v>
      </c>
      <c r="D1381" s="4" t="s">
        <v>394</v>
      </c>
      <c r="E1381" s="198" t="s">
        <v>2648</v>
      </c>
      <c r="F1381" s="4" t="s">
        <v>2272</v>
      </c>
      <c r="G1381" s="4" t="s">
        <v>2272</v>
      </c>
      <c r="H1381" s="4" t="s">
        <v>2272</v>
      </c>
      <c r="I1381" s="4" t="s">
        <v>2272</v>
      </c>
      <c r="J1381" s="4" t="s">
        <v>2272</v>
      </c>
      <c r="K1381" s="4" t="s">
        <v>2272</v>
      </c>
      <c r="L1381" s="4" t="s">
        <v>2272</v>
      </c>
      <c r="M1381" s="4" t="s">
        <v>2272</v>
      </c>
      <c r="N1381" s="4">
        <v>0</v>
      </c>
      <c r="O1381" s="4">
        <v>0</v>
      </c>
      <c r="P1381" s="21">
        <v>100</v>
      </c>
      <c r="Q1381" s="4">
        <v>0</v>
      </c>
      <c r="R1381" s="4">
        <v>0</v>
      </c>
      <c r="S1381" s="4">
        <v>0</v>
      </c>
      <c r="T1381" s="198" t="s">
        <v>8790</v>
      </c>
    </row>
    <row r="1382" spans="1:20" ht="44.5" customHeight="1">
      <c r="A1382" s="11" t="s">
        <v>8767</v>
      </c>
      <c r="B1382" s="198" t="s">
        <v>2272</v>
      </c>
      <c r="C1382" s="198" t="s">
        <v>11</v>
      </c>
      <c r="D1382" s="198" t="s">
        <v>2648</v>
      </c>
      <c r="E1382" s="4" t="s">
        <v>2272</v>
      </c>
      <c r="F1382" s="4" t="s">
        <v>2272</v>
      </c>
      <c r="G1382" s="4" t="s">
        <v>2272</v>
      </c>
      <c r="H1382" s="4" t="s">
        <v>2272</v>
      </c>
      <c r="I1382" s="4" t="s">
        <v>2272</v>
      </c>
      <c r="J1382" s="4" t="s">
        <v>2272</v>
      </c>
      <c r="K1382" s="4" t="s">
        <v>2272</v>
      </c>
      <c r="L1382" s="4" t="s">
        <v>2272</v>
      </c>
      <c r="M1382" s="4" t="s">
        <v>2272</v>
      </c>
      <c r="N1382" s="4">
        <v>0</v>
      </c>
      <c r="O1382" s="4">
        <v>0</v>
      </c>
      <c r="P1382" s="21">
        <v>100</v>
      </c>
      <c r="Q1382" s="4">
        <v>0</v>
      </c>
      <c r="R1382" s="4">
        <v>0</v>
      </c>
      <c r="S1382" s="4">
        <v>0</v>
      </c>
      <c r="T1382" s="198" t="s">
        <v>8790</v>
      </c>
    </row>
    <row r="1383" spans="1:20" ht="44.5" customHeight="1">
      <c r="A1383" s="11" t="s">
        <v>8768</v>
      </c>
      <c r="B1383" s="198" t="s">
        <v>2272</v>
      </c>
      <c r="C1383" s="198" t="s">
        <v>11</v>
      </c>
      <c r="D1383" s="4" t="s">
        <v>394</v>
      </c>
      <c r="E1383" s="198" t="s">
        <v>2648</v>
      </c>
      <c r="F1383" s="4" t="s">
        <v>2272</v>
      </c>
      <c r="G1383" s="4" t="s">
        <v>2272</v>
      </c>
      <c r="H1383" s="4" t="s">
        <v>2272</v>
      </c>
      <c r="I1383" s="4" t="s">
        <v>2272</v>
      </c>
      <c r="J1383" s="4" t="s">
        <v>2272</v>
      </c>
      <c r="K1383" s="4" t="s">
        <v>2272</v>
      </c>
      <c r="L1383" s="4" t="s">
        <v>2272</v>
      </c>
      <c r="M1383" s="4" t="s">
        <v>2272</v>
      </c>
      <c r="N1383" s="4">
        <v>0</v>
      </c>
      <c r="O1383" s="4">
        <v>0</v>
      </c>
      <c r="P1383" s="21">
        <v>100</v>
      </c>
      <c r="Q1383" s="4">
        <v>0</v>
      </c>
      <c r="R1383" s="4">
        <v>0</v>
      </c>
      <c r="S1383" s="4">
        <v>0</v>
      </c>
      <c r="T1383" s="198" t="s">
        <v>8790</v>
      </c>
    </row>
    <row r="1384" spans="1:20" ht="44.5" customHeight="1">
      <c r="A1384" s="11" t="s">
        <v>8769</v>
      </c>
      <c r="B1384" s="198" t="s">
        <v>2272</v>
      </c>
      <c r="C1384" s="198" t="s">
        <v>11</v>
      </c>
      <c r="D1384" s="198" t="s">
        <v>2648</v>
      </c>
      <c r="E1384" s="4" t="s">
        <v>2272</v>
      </c>
      <c r="F1384" s="4" t="s">
        <v>2272</v>
      </c>
      <c r="G1384" s="4" t="s">
        <v>2272</v>
      </c>
      <c r="H1384" s="4" t="s">
        <v>2272</v>
      </c>
      <c r="I1384" s="4" t="s">
        <v>2272</v>
      </c>
      <c r="J1384" s="4" t="s">
        <v>2272</v>
      </c>
      <c r="K1384" s="4" t="s">
        <v>2272</v>
      </c>
      <c r="L1384" s="4" t="s">
        <v>2272</v>
      </c>
      <c r="M1384" s="4" t="s">
        <v>2272</v>
      </c>
      <c r="N1384" s="4">
        <v>0</v>
      </c>
      <c r="O1384" s="4">
        <v>0</v>
      </c>
      <c r="P1384" s="21">
        <v>100</v>
      </c>
      <c r="Q1384" s="4">
        <v>0</v>
      </c>
      <c r="R1384" s="4">
        <v>0</v>
      </c>
      <c r="S1384" s="4">
        <v>0</v>
      </c>
      <c r="T1384" s="198" t="s">
        <v>8790</v>
      </c>
    </row>
    <row r="1385" spans="1:20" ht="44.5" customHeight="1">
      <c r="A1385" s="11" t="s">
        <v>8770</v>
      </c>
      <c r="B1385" s="198" t="s">
        <v>2272</v>
      </c>
      <c r="C1385" s="198" t="s">
        <v>11</v>
      </c>
      <c r="D1385" s="4" t="s">
        <v>394</v>
      </c>
      <c r="E1385" s="198" t="s">
        <v>2648</v>
      </c>
      <c r="F1385" s="4" t="s">
        <v>2272</v>
      </c>
      <c r="G1385" s="4" t="s">
        <v>2272</v>
      </c>
      <c r="H1385" s="4" t="s">
        <v>2272</v>
      </c>
      <c r="I1385" s="4" t="s">
        <v>2272</v>
      </c>
      <c r="J1385" s="4" t="s">
        <v>2272</v>
      </c>
      <c r="K1385" s="4" t="s">
        <v>2272</v>
      </c>
      <c r="L1385" s="4" t="s">
        <v>2272</v>
      </c>
      <c r="M1385" s="4" t="s">
        <v>2272</v>
      </c>
      <c r="N1385" s="4">
        <v>0</v>
      </c>
      <c r="O1385" s="4">
        <v>0</v>
      </c>
      <c r="P1385" s="21">
        <v>100</v>
      </c>
      <c r="Q1385" s="4">
        <v>0</v>
      </c>
      <c r="R1385" s="4">
        <v>0</v>
      </c>
      <c r="S1385" s="4">
        <v>0</v>
      </c>
      <c r="T1385" s="198" t="s">
        <v>8790</v>
      </c>
    </row>
    <row r="1386" spans="1:20" ht="44.5" customHeight="1">
      <c r="A1386" s="11" t="s">
        <v>8784</v>
      </c>
      <c r="B1386" s="198" t="s">
        <v>2272</v>
      </c>
      <c r="C1386" s="198" t="s">
        <v>11</v>
      </c>
      <c r="D1386" s="4" t="s">
        <v>394</v>
      </c>
      <c r="E1386" s="198" t="s">
        <v>2648</v>
      </c>
      <c r="F1386" s="4" t="s">
        <v>2272</v>
      </c>
      <c r="G1386" s="4" t="s">
        <v>2272</v>
      </c>
      <c r="H1386" s="4" t="s">
        <v>2272</v>
      </c>
      <c r="I1386" s="4" t="s">
        <v>2272</v>
      </c>
      <c r="J1386" s="4" t="s">
        <v>2272</v>
      </c>
      <c r="K1386" s="4" t="s">
        <v>2272</v>
      </c>
      <c r="L1386" s="4" t="s">
        <v>2272</v>
      </c>
      <c r="M1386" s="4" t="s">
        <v>2272</v>
      </c>
      <c r="N1386" s="4">
        <v>0</v>
      </c>
      <c r="O1386" s="4">
        <v>0</v>
      </c>
      <c r="P1386" s="21">
        <v>100</v>
      </c>
      <c r="Q1386" s="4">
        <v>0</v>
      </c>
      <c r="R1386" s="4">
        <v>0</v>
      </c>
      <c r="S1386" s="4">
        <v>0</v>
      </c>
      <c r="T1386" s="198" t="s">
        <v>8790</v>
      </c>
    </row>
    <row r="1387" spans="1:20" ht="36.5" customHeight="1">
      <c r="A1387" s="11" t="s">
        <v>8791</v>
      </c>
      <c r="B1387" s="198" t="s">
        <v>2272</v>
      </c>
      <c r="C1387" s="198" t="s">
        <v>2272</v>
      </c>
      <c r="D1387" s="198" t="s">
        <v>2272</v>
      </c>
      <c r="E1387" s="198" t="s">
        <v>2272</v>
      </c>
      <c r="F1387" s="198" t="s">
        <v>2272</v>
      </c>
      <c r="G1387" s="198" t="s">
        <v>2272</v>
      </c>
      <c r="H1387" s="198" t="s">
        <v>2272</v>
      </c>
      <c r="I1387" s="198" t="s">
        <v>2272</v>
      </c>
      <c r="J1387" s="198" t="s">
        <v>2272</v>
      </c>
      <c r="K1387" s="198" t="s">
        <v>2272</v>
      </c>
      <c r="L1387" s="198" t="s">
        <v>2272</v>
      </c>
      <c r="M1387" s="198" t="s">
        <v>2272</v>
      </c>
      <c r="N1387" s="198" t="s">
        <v>2272</v>
      </c>
      <c r="O1387" s="198" t="s">
        <v>2272</v>
      </c>
      <c r="P1387" s="198" t="s">
        <v>2272</v>
      </c>
      <c r="Q1387" s="198" t="s">
        <v>2272</v>
      </c>
      <c r="R1387" s="198" t="s">
        <v>2272</v>
      </c>
      <c r="S1387" s="198" t="s">
        <v>2272</v>
      </c>
      <c r="T1387" s="198"/>
    </row>
    <row r="1388" spans="1:20" ht="36.5" customHeight="1">
      <c r="A1388" s="11" t="s">
        <v>8796</v>
      </c>
      <c r="B1388" s="198" t="s">
        <v>2272</v>
      </c>
      <c r="C1388" s="198" t="s">
        <v>2272</v>
      </c>
      <c r="D1388" s="198" t="s">
        <v>2272</v>
      </c>
      <c r="E1388" s="198" t="s">
        <v>2272</v>
      </c>
      <c r="F1388" s="198" t="s">
        <v>2272</v>
      </c>
      <c r="G1388" s="198" t="s">
        <v>2272</v>
      </c>
      <c r="H1388" s="198" t="s">
        <v>2272</v>
      </c>
      <c r="I1388" s="198" t="s">
        <v>2272</v>
      </c>
      <c r="J1388" s="198" t="s">
        <v>2272</v>
      </c>
      <c r="K1388" s="198" t="s">
        <v>2272</v>
      </c>
      <c r="L1388" s="198" t="s">
        <v>2272</v>
      </c>
      <c r="M1388" s="198" t="s">
        <v>2272</v>
      </c>
      <c r="N1388" s="198" t="s">
        <v>2272</v>
      </c>
      <c r="O1388" s="198" t="s">
        <v>2272</v>
      </c>
      <c r="P1388" s="198" t="s">
        <v>2272</v>
      </c>
      <c r="Q1388" s="198" t="s">
        <v>2272</v>
      </c>
      <c r="R1388" s="198" t="s">
        <v>2272</v>
      </c>
      <c r="S1388" s="198" t="s">
        <v>2272</v>
      </c>
      <c r="T1388" s="198"/>
    </row>
    <row r="1389" spans="1:20" ht="36.5" customHeight="1">
      <c r="A1389" s="11" t="s">
        <v>8797</v>
      </c>
      <c r="B1389" s="198" t="s">
        <v>2272</v>
      </c>
      <c r="C1389" s="198" t="s">
        <v>2272</v>
      </c>
      <c r="D1389" s="197" t="s">
        <v>135</v>
      </c>
      <c r="E1389" s="198" t="s">
        <v>2272</v>
      </c>
      <c r="F1389" s="198" t="s">
        <v>2272</v>
      </c>
      <c r="G1389" s="198" t="s">
        <v>2272</v>
      </c>
      <c r="H1389" s="198" t="s">
        <v>2272</v>
      </c>
      <c r="I1389" s="198" t="s">
        <v>2272</v>
      </c>
      <c r="J1389" s="198" t="s">
        <v>2272</v>
      </c>
      <c r="K1389" s="198" t="s">
        <v>2272</v>
      </c>
      <c r="L1389" s="198" t="s">
        <v>2272</v>
      </c>
      <c r="M1389" s="198" t="s">
        <v>2272</v>
      </c>
      <c r="N1389" s="198" t="s">
        <v>2272</v>
      </c>
      <c r="O1389" s="198" t="s">
        <v>2272</v>
      </c>
      <c r="P1389" s="198" t="s">
        <v>2272</v>
      </c>
      <c r="Q1389" s="198" t="s">
        <v>2272</v>
      </c>
      <c r="R1389" s="198" t="s">
        <v>2272</v>
      </c>
      <c r="S1389" s="198" t="s">
        <v>2272</v>
      </c>
      <c r="T1389" s="198"/>
    </row>
    <row r="1390" spans="1:20" ht="36.5" customHeight="1">
      <c r="A1390" s="11" t="s">
        <v>8798</v>
      </c>
      <c r="B1390" s="198" t="s">
        <v>2272</v>
      </c>
      <c r="C1390" s="198" t="s">
        <v>2272</v>
      </c>
      <c r="D1390" s="198" t="s">
        <v>2272</v>
      </c>
      <c r="E1390" s="198" t="s">
        <v>2272</v>
      </c>
      <c r="F1390" s="198" t="s">
        <v>2272</v>
      </c>
      <c r="G1390" s="198" t="s">
        <v>2272</v>
      </c>
      <c r="H1390" s="198" t="s">
        <v>2272</v>
      </c>
      <c r="I1390" s="198" t="s">
        <v>2272</v>
      </c>
      <c r="J1390" s="198" t="s">
        <v>2272</v>
      </c>
      <c r="K1390" s="198" t="s">
        <v>2272</v>
      </c>
      <c r="L1390" s="198" t="s">
        <v>2272</v>
      </c>
      <c r="M1390" s="198" t="s">
        <v>2272</v>
      </c>
      <c r="N1390" s="198" t="s">
        <v>2272</v>
      </c>
      <c r="O1390" s="198" t="s">
        <v>2272</v>
      </c>
      <c r="P1390" s="198" t="s">
        <v>2272</v>
      </c>
      <c r="Q1390" s="198" t="s">
        <v>2272</v>
      </c>
      <c r="R1390" s="198" t="s">
        <v>2272</v>
      </c>
      <c r="S1390" s="198" t="s">
        <v>2272</v>
      </c>
      <c r="T1390" s="198"/>
    </row>
    <row r="1391" spans="1:20" ht="36.5" customHeight="1">
      <c r="A1391" s="11" t="s">
        <v>8799</v>
      </c>
      <c r="B1391" s="198" t="s">
        <v>2272</v>
      </c>
      <c r="C1391" s="198" t="s">
        <v>2272</v>
      </c>
      <c r="D1391" s="198" t="s">
        <v>2272</v>
      </c>
      <c r="E1391" s="198" t="s">
        <v>2272</v>
      </c>
      <c r="F1391" s="198" t="s">
        <v>2272</v>
      </c>
      <c r="G1391" s="198" t="s">
        <v>2272</v>
      </c>
      <c r="H1391" s="198" t="s">
        <v>2272</v>
      </c>
      <c r="I1391" s="198" t="s">
        <v>2272</v>
      </c>
      <c r="J1391" s="198" t="s">
        <v>2272</v>
      </c>
      <c r="K1391" s="198" t="s">
        <v>2272</v>
      </c>
      <c r="L1391" s="198" t="s">
        <v>2272</v>
      </c>
      <c r="M1391" s="198" t="s">
        <v>2272</v>
      </c>
      <c r="N1391" s="198" t="s">
        <v>2272</v>
      </c>
      <c r="O1391" s="198" t="s">
        <v>2272</v>
      </c>
      <c r="P1391" s="198" t="s">
        <v>2272</v>
      </c>
      <c r="Q1391" s="198" t="s">
        <v>2272</v>
      </c>
      <c r="R1391" s="198" t="s">
        <v>2272</v>
      </c>
      <c r="S1391" s="198" t="s">
        <v>2272</v>
      </c>
      <c r="T1391" s="198"/>
    </row>
    <row r="1392" spans="1:20" ht="36.5" customHeight="1">
      <c r="A1392" s="11" t="s">
        <v>8800</v>
      </c>
      <c r="B1392" s="198" t="s">
        <v>2272</v>
      </c>
      <c r="C1392" s="198" t="s">
        <v>2272</v>
      </c>
      <c r="D1392" s="198" t="s">
        <v>2272</v>
      </c>
      <c r="E1392" s="198" t="s">
        <v>2272</v>
      </c>
      <c r="F1392" s="198" t="s">
        <v>2272</v>
      </c>
      <c r="G1392" s="198" t="s">
        <v>2272</v>
      </c>
      <c r="H1392" s="198" t="s">
        <v>2272</v>
      </c>
      <c r="I1392" s="198" t="s">
        <v>2272</v>
      </c>
      <c r="J1392" s="198" t="s">
        <v>2272</v>
      </c>
      <c r="K1392" s="198" t="s">
        <v>2272</v>
      </c>
      <c r="L1392" s="198" t="s">
        <v>2272</v>
      </c>
      <c r="M1392" s="198" t="s">
        <v>2272</v>
      </c>
      <c r="N1392" s="198" t="s">
        <v>2272</v>
      </c>
      <c r="O1392" s="198" t="s">
        <v>2272</v>
      </c>
      <c r="P1392" s="198" t="s">
        <v>2272</v>
      </c>
      <c r="Q1392" s="198" t="s">
        <v>2272</v>
      </c>
      <c r="R1392" s="198" t="s">
        <v>2272</v>
      </c>
      <c r="S1392" s="198" t="s">
        <v>2272</v>
      </c>
      <c r="T1392" s="198"/>
    </row>
    <row r="1393" spans="1:20" ht="49" customHeight="1">
      <c r="A1393" s="198" t="s">
        <v>8816</v>
      </c>
      <c r="B1393" s="198" t="s">
        <v>69</v>
      </c>
      <c r="C1393" s="198" t="s">
        <v>11</v>
      </c>
      <c r="D1393" s="4" t="s">
        <v>3849</v>
      </c>
      <c r="E1393" s="4" t="s">
        <v>395</v>
      </c>
      <c r="F1393" s="198" t="s">
        <v>2272</v>
      </c>
      <c r="G1393" s="198" t="s">
        <v>2272</v>
      </c>
      <c r="H1393" s="21">
        <f>(2*145+107*5+22*8+10*12)/300/I1393</f>
        <v>4.1441774491682075</v>
      </c>
      <c r="I1393" s="21">
        <f>(114*0.25+100*0.75+67*1.5+19*3.5)/300</f>
        <v>0.90166666666666662</v>
      </c>
      <c r="J1393" s="198" t="s">
        <v>2272</v>
      </c>
      <c r="K1393" s="198" t="s">
        <v>2272</v>
      </c>
      <c r="L1393" s="198" t="s">
        <v>2272</v>
      </c>
      <c r="M1393" s="198" t="s">
        <v>2272</v>
      </c>
      <c r="N1393" s="198" t="s">
        <v>2272</v>
      </c>
      <c r="O1393" s="198" t="s">
        <v>2272</v>
      </c>
      <c r="P1393" s="198" t="s">
        <v>2272</v>
      </c>
      <c r="Q1393" s="198" t="s">
        <v>2272</v>
      </c>
      <c r="R1393" s="198" t="s">
        <v>2272</v>
      </c>
      <c r="S1393" s="198" t="s">
        <v>2272</v>
      </c>
      <c r="T1393" s="198"/>
    </row>
    <row r="1394" spans="1:20" ht="41.5" customHeight="1">
      <c r="A1394" s="11" t="s">
        <v>8823</v>
      </c>
      <c r="B1394" s="198" t="s">
        <v>2272</v>
      </c>
      <c r="C1394" s="198" t="s">
        <v>11</v>
      </c>
      <c r="D1394" s="4" t="s">
        <v>394</v>
      </c>
      <c r="E1394" s="198" t="s">
        <v>2272</v>
      </c>
      <c r="F1394" s="198" t="s">
        <v>2272</v>
      </c>
      <c r="G1394" s="198" t="s">
        <v>2272</v>
      </c>
      <c r="H1394" s="198" t="s">
        <v>2272</v>
      </c>
      <c r="I1394" s="198" t="s">
        <v>2272</v>
      </c>
      <c r="J1394" s="198" t="s">
        <v>2272</v>
      </c>
      <c r="K1394" s="198" t="s">
        <v>2272</v>
      </c>
      <c r="L1394" s="198" t="s">
        <v>2272</v>
      </c>
      <c r="M1394" s="198" t="s">
        <v>2272</v>
      </c>
      <c r="N1394" s="198" t="s">
        <v>2272</v>
      </c>
      <c r="O1394" s="198" t="s">
        <v>2272</v>
      </c>
      <c r="P1394" s="198" t="s">
        <v>2272</v>
      </c>
      <c r="Q1394" s="198" t="s">
        <v>2272</v>
      </c>
      <c r="R1394" s="198" t="s">
        <v>2272</v>
      </c>
      <c r="S1394" s="198" t="s">
        <v>2272</v>
      </c>
      <c r="T1394" s="198"/>
    </row>
    <row r="1395" spans="1:20" ht="52.5" customHeight="1">
      <c r="A1395" s="11" t="s">
        <v>8829</v>
      </c>
      <c r="B1395" s="198" t="s">
        <v>2254</v>
      </c>
      <c r="C1395" s="198" t="s">
        <v>11</v>
      </c>
      <c r="D1395" s="198" t="s">
        <v>82</v>
      </c>
      <c r="E1395" s="198" t="s">
        <v>128</v>
      </c>
      <c r="F1395" s="198" t="s">
        <v>114</v>
      </c>
      <c r="G1395" s="198" t="s">
        <v>2644</v>
      </c>
      <c r="H1395" s="198" t="s">
        <v>2272</v>
      </c>
      <c r="I1395" s="198" t="s">
        <v>2272</v>
      </c>
      <c r="J1395" s="198" t="s">
        <v>2272</v>
      </c>
      <c r="K1395" s="198" t="s">
        <v>532</v>
      </c>
      <c r="L1395" s="198" t="s">
        <v>2272</v>
      </c>
      <c r="M1395" s="198" t="s">
        <v>2272</v>
      </c>
      <c r="N1395" s="21">
        <f>585000/'Record info'!K1395</f>
        <v>30.751487504645574</v>
      </c>
      <c r="O1395" s="198" t="s">
        <v>2272</v>
      </c>
      <c r="P1395" s="198" t="s">
        <v>2272</v>
      </c>
      <c r="Q1395" s="198" t="s">
        <v>2272</v>
      </c>
      <c r="R1395" s="198" t="s">
        <v>2272</v>
      </c>
      <c r="S1395" s="198" t="s">
        <v>2272</v>
      </c>
      <c r="T1395" s="198"/>
    </row>
    <row r="1396" spans="1:20" ht="46.5" customHeight="1">
      <c r="A1396" s="11" t="s">
        <v>8838</v>
      </c>
      <c r="B1396" s="198" t="s">
        <v>2272</v>
      </c>
      <c r="C1396" s="198" t="s">
        <v>11</v>
      </c>
      <c r="D1396" s="4" t="s">
        <v>395</v>
      </c>
      <c r="E1396" s="4" t="s">
        <v>128</v>
      </c>
      <c r="F1396" s="4" t="s">
        <v>2648</v>
      </c>
      <c r="G1396" s="4" t="s">
        <v>3849</v>
      </c>
      <c r="H1396" s="198" t="s">
        <v>2272</v>
      </c>
      <c r="I1396" s="198" t="s">
        <v>2272</v>
      </c>
      <c r="J1396" s="198" t="s">
        <v>2272</v>
      </c>
      <c r="K1396" s="198" t="s">
        <v>532</v>
      </c>
      <c r="L1396" s="198" t="s">
        <v>2272</v>
      </c>
      <c r="M1396" s="198" t="s">
        <v>2272</v>
      </c>
      <c r="N1396" s="198" t="s">
        <v>2272</v>
      </c>
      <c r="O1396" s="198" t="s">
        <v>2272</v>
      </c>
      <c r="P1396" s="198" t="s">
        <v>2272</v>
      </c>
      <c r="Q1396" s="198" t="s">
        <v>2272</v>
      </c>
      <c r="R1396" s="198" t="s">
        <v>2272</v>
      </c>
      <c r="S1396" s="198" t="s">
        <v>2272</v>
      </c>
      <c r="T1396" s="198"/>
    </row>
    <row r="1397" spans="1:20" ht="46.5" customHeight="1">
      <c r="A1397" s="11" t="s">
        <v>8846</v>
      </c>
      <c r="B1397" s="198" t="s">
        <v>2272</v>
      </c>
      <c r="C1397" s="198" t="s">
        <v>11</v>
      </c>
      <c r="D1397" s="4" t="s">
        <v>395</v>
      </c>
      <c r="E1397" s="4" t="s">
        <v>128</v>
      </c>
      <c r="F1397" s="4" t="s">
        <v>2648</v>
      </c>
      <c r="G1397" s="4" t="s">
        <v>3849</v>
      </c>
      <c r="H1397" s="198" t="s">
        <v>2272</v>
      </c>
      <c r="I1397" s="198" t="s">
        <v>2272</v>
      </c>
      <c r="J1397" s="198" t="s">
        <v>2272</v>
      </c>
      <c r="K1397" s="198" t="s">
        <v>532</v>
      </c>
      <c r="L1397" s="198" t="s">
        <v>2272</v>
      </c>
      <c r="M1397" s="198" t="s">
        <v>2272</v>
      </c>
      <c r="N1397" s="198" t="s">
        <v>2272</v>
      </c>
      <c r="O1397" s="198" t="s">
        <v>2272</v>
      </c>
      <c r="P1397" s="198" t="s">
        <v>2272</v>
      </c>
      <c r="Q1397" s="198" t="s">
        <v>2272</v>
      </c>
      <c r="R1397" s="198" t="s">
        <v>2272</v>
      </c>
      <c r="S1397" s="198" t="s">
        <v>2272</v>
      </c>
      <c r="T1397" s="198"/>
    </row>
    <row r="1398" spans="1:20" ht="46.5" customHeight="1">
      <c r="A1398" s="11" t="s">
        <v>8847</v>
      </c>
      <c r="B1398" s="198" t="s">
        <v>2272</v>
      </c>
      <c r="C1398" s="198" t="s">
        <v>11</v>
      </c>
      <c r="D1398" s="4" t="s">
        <v>395</v>
      </c>
      <c r="E1398" s="4" t="s">
        <v>128</v>
      </c>
      <c r="F1398" s="4" t="s">
        <v>2648</v>
      </c>
      <c r="G1398" s="4" t="s">
        <v>3849</v>
      </c>
      <c r="H1398" s="198" t="s">
        <v>2272</v>
      </c>
      <c r="I1398" s="198" t="s">
        <v>2272</v>
      </c>
      <c r="J1398" s="198" t="s">
        <v>2272</v>
      </c>
      <c r="K1398" s="198" t="s">
        <v>532</v>
      </c>
      <c r="L1398" s="198" t="s">
        <v>2272</v>
      </c>
      <c r="M1398" s="198" t="s">
        <v>2272</v>
      </c>
      <c r="N1398" s="198" t="s">
        <v>2272</v>
      </c>
      <c r="O1398" s="198" t="s">
        <v>2272</v>
      </c>
      <c r="P1398" s="198" t="s">
        <v>2272</v>
      </c>
      <c r="Q1398" s="198" t="s">
        <v>2272</v>
      </c>
      <c r="R1398" s="198" t="s">
        <v>2272</v>
      </c>
      <c r="S1398" s="198" t="s">
        <v>2272</v>
      </c>
      <c r="T1398" s="198"/>
    </row>
    <row r="1399" spans="1:20" ht="46.5" customHeight="1">
      <c r="A1399" s="11" t="s">
        <v>8848</v>
      </c>
      <c r="B1399" s="198" t="s">
        <v>2272</v>
      </c>
      <c r="C1399" s="198" t="s">
        <v>11</v>
      </c>
      <c r="D1399" s="4" t="s">
        <v>395</v>
      </c>
      <c r="E1399" s="4" t="s">
        <v>128</v>
      </c>
      <c r="F1399" s="4" t="s">
        <v>2648</v>
      </c>
      <c r="G1399" s="4" t="s">
        <v>3849</v>
      </c>
      <c r="H1399" s="198" t="s">
        <v>2272</v>
      </c>
      <c r="I1399" s="198" t="s">
        <v>2272</v>
      </c>
      <c r="J1399" s="198" t="s">
        <v>2272</v>
      </c>
      <c r="K1399" s="198" t="s">
        <v>532</v>
      </c>
      <c r="L1399" s="198" t="s">
        <v>2272</v>
      </c>
      <c r="M1399" s="198" t="s">
        <v>2272</v>
      </c>
      <c r="N1399" s="198" t="s">
        <v>2272</v>
      </c>
      <c r="O1399" s="198" t="s">
        <v>2272</v>
      </c>
      <c r="P1399" s="198" t="s">
        <v>2272</v>
      </c>
      <c r="Q1399" s="198" t="s">
        <v>2272</v>
      </c>
      <c r="R1399" s="198" t="s">
        <v>2272</v>
      </c>
      <c r="S1399" s="198" t="s">
        <v>2272</v>
      </c>
      <c r="T1399" s="198"/>
    </row>
    <row r="1400" spans="1:20" ht="44.5" customHeight="1">
      <c r="A1400" s="11" t="s">
        <v>8862</v>
      </c>
      <c r="B1400" s="198" t="s">
        <v>2272</v>
      </c>
      <c r="C1400" s="198" t="s">
        <v>11</v>
      </c>
      <c r="D1400" s="4" t="s">
        <v>2648</v>
      </c>
      <c r="E1400" s="198" t="s">
        <v>2647</v>
      </c>
      <c r="F1400" s="4" t="s">
        <v>128</v>
      </c>
      <c r="G1400" s="198" t="s">
        <v>2642</v>
      </c>
      <c r="H1400" s="198" t="s">
        <v>2272</v>
      </c>
      <c r="I1400" s="198" t="s">
        <v>2272</v>
      </c>
      <c r="J1400" s="198" t="s">
        <v>2272</v>
      </c>
      <c r="K1400" s="198" t="s">
        <v>2272</v>
      </c>
      <c r="L1400" s="198" t="s">
        <v>2272</v>
      </c>
      <c r="M1400" s="198" t="s">
        <v>2272</v>
      </c>
      <c r="N1400" s="198" t="s">
        <v>2272</v>
      </c>
      <c r="O1400" s="198" t="s">
        <v>2272</v>
      </c>
      <c r="P1400" s="198" t="s">
        <v>2272</v>
      </c>
      <c r="Q1400" s="198" t="s">
        <v>2272</v>
      </c>
      <c r="R1400" s="198" t="s">
        <v>2272</v>
      </c>
      <c r="S1400" s="198" t="s">
        <v>2272</v>
      </c>
      <c r="T1400" s="198"/>
    </row>
    <row r="1401" spans="1:20" ht="49.5" customHeight="1">
      <c r="A1401" s="11" t="s">
        <v>8879</v>
      </c>
      <c r="B1401" s="198" t="s">
        <v>69</v>
      </c>
      <c r="C1401" s="198" t="s">
        <v>11</v>
      </c>
      <c r="D1401" s="198" t="s">
        <v>44</v>
      </c>
      <c r="E1401" s="4" t="s">
        <v>128</v>
      </c>
      <c r="F1401" s="4" t="s">
        <v>3850</v>
      </c>
      <c r="G1401" s="198" t="s">
        <v>2272</v>
      </c>
      <c r="H1401" s="21">
        <f>15.37/I1401</f>
        <v>0.32378344217400462</v>
      </c>
      <c r="I1401" s="198">
        <v>47.47</v>
      </c>
      <c r="J1401" s="198" t="s">
        <v>2272</v>
      </c>
      <c r="K1401" s="198" t="s">
        <v>2272</v>
      </c>
      <c r="L1401" s="198" t="s">
        <v>2272</v>
      </c>
      <c r="M1401" s="198" t="s">
        <v>2272</v>
      </c>
      <c r="N1401" s="198" t="s">
        <v>2272</v>
      </c>
      <c r="O1401" s="198" t="s">
        <v>2272</v>
      </c>
      <c r="P1401" s="198" t="s">
        <v>2272</v>
      </c>
      <c r="Q1401" s="198" t="s">
        <v>2272</v>
      </c>
      <c r="R1401" s="198" t="s">
        <v>2272</v>
      </c>
      <c r="S1401" s="198" t="s">
        <v>2272</v>
      </c>
      <c r="T1401" s="198"/>
    </row>
    <row r="1402" spans="1:20" ht="49.5" customHeight="1">
      <c r="A1402" s="11" t="s">
        <v>8881</v>
      </c>
      <c r="B1402" s="198" t="s">
        <v>69</v>
      </c>
      <c r="C1402" s="198" t="s">
        <v>11</v>
      </c>
      <c r="D1402" s="198" t="s">
        <v>44</v>
      </c>
      <c r="E1402" s="4" t="s">
        <v>128</v>
      </c>
      <c r="F1402" s="4" t="s">
        <v>3850</v>
      </c>
      <c r="G1402" s="198" t="s">
        <v>2272</v>
      </c>
      <c r="H1402" s="21">
        <f>15.37/I1402</f>
        <v>0.32378344217400462</v>
      </c>
      <c r="I1402" s="198">
        <v>47.47</v>
      </c>
      <c r="J1402" s="198" t="s">
        <v>2272</v>
      </c>
      <c r="K1402" s="198" t="s">
        <v>2272</v>
      </c>
      <c r="L1402" s="198" t="s">
        <v>2272</v>
      </c>
      <c r="M1402" s="198" t="s">
        <v>2272</v>
      </c>
      <c r="N1402" s="198" t="s">
        <v>2272</v>
      </c>
      <c r="O1402" s="198" t="s">
        <v>2272</v>
      </c>
      <c r="P1402" s="198" t="s">
        <v>2272</v>
      </c>
      <c r="Q1402" s="198" t="s">
        <v>2272</v>
      </c>
      <c r="R1402" s="198" t="s">
        <v>2272</v>
      </c>
      <c r="S1402" s="198" t="s">
        <v>2272</v>
      </c>
      <c r="T1402" s="198"/>
    </row>
    <row r="1403" spans="1:20" ht="47" customHeight="1">
      <c r="A1403" s="11" t="s">
        <v>8907</v>
      </c>
      <c r="B1403" s="198" t="s">
        <v>2272</v>
      </c>
      <c r="C1403" s="198" t="s">
        <v>11</v>
      </c>
      <c r="D1403" s="198" t="s">
        <v>135</v>
      </c>
      <c r="E1403" s="198" t="s">
        <v>82</v>
      </c>
      <c r="F1403" s="198" t="s">
        <v>114</v>
      </c>
      <c r="G1403" s="198" t="s">
        <v>860</v>
      </c>
      <c r="H1403" s="198" t="s">
        <v>2272</v>
      </c>
      <c r="I1403" s="198" t="s">
        <v>2272</v>
      </c>
      <c r="J1403" s="198" t="s">
        <v>2272</v>
      </c>
      <c r="K1403" s="198" t="s">
        <v>532</v>
      </c>
      <c r="L1403" s="198" t="s">
        <v>2272</v>
      </c>
      <c r="M1403" s="198" t="s">
        <v>2272</v>
      </c>
      <c r="N1403" s="198" t="s">
        <v>2272</v>
      </c>
      <c r="O1403" s="198" t="s">
        <v>2272</v>
      </c>
      <c r="P1403" s="198" t="s">
        <v>2272</v>
      </c>
      <c r="Q1403" s="198" t="s">
        <v>2272</v>
      </c>
      <c r="R1403" s="21">
        <v>100</v>
      </c>
      <c r="S1403" s="198" t="s">
        <v>2272</v>
      </c>
      <c r="T1403" s="198" t="s">
        <v>8922</v>
      </c>
    </row>
    <row r="1404" spans="1:20" ht="42" customHeight="1">
      <c r="A1404" s="19" t="s">
        <v>8926</v>
      </c>
      <c r="B1404" s="4" t="s">
        <v>2272</v>
      </c>
      <c r="C1404" s="4" t="s">
        <v>11</v>
      </c>
      <c r="D1404" s="4" t="s">
        <v>114</v>
      </c>
      <c r="E1404" s="4" t="s">
        <v>395</v>
      </c>
      <c r="F1404" s="4" t="s">
        <v>2648</v>
      </c>
      <c r="G1404" s="4" t="s">
        <v>44</v>
      </c>
      <c r="H1404" s="198" t="s">
        <v>2272</v>
      </c>
      <c r="I1404" s="198" t="s">
        <v>2272</v>
      </c>
      <c r="J1404" s="198" t="s">
        <v>2272</v>
      </c>
      <c r="K1404" s="198" t="s">
        <v>532</v>
      </c>
      <c r="L1404" s="198" t="s">
        <v>2272</v>
      </c>
      <c r="M1404" s="198" t="s">
        <v>2272</v>
      </c>
      <c r="N1404" s="198" t="s">
        <v>2272</v>
      </c>
      <c r="O1404" s="198" t="s">
        <v>2272</v>
      </c>
      <c r="P1404" s="198" t="s">
        <v>2272</v>
      </c>
      <c r="Q1404" s="198" t="s">
        <v>2272</v>
      </c>
      <c r="R1404" s="198" t="s">
        <v>2272</v>
      </c>
      <c r="S1404" s="198" t="s">
        <v>2272</v>
      </c>
      <c r="T1404" s="198"/>
    </row>
    <row r="1405" spans="1:20" ht="36.5" customHeight="1">
      <c r="A1405" s="19" t="s">
        <v>8928</v>
      </c>
      <c r="B1405" s="4" t="s">
        <v>2272</v>
      </c>
      <c r="C1405" s="4" t="s">
        <v>2272</v>
      </c>
      <c r="D1405" s="4" t="s">
        <v>2272</v>
      </c>
      <c r="E1405" s="4" t="s">
        <v>2272</v>
      </c>
      <c r="F1405" s="4" t="s">
        <v>2272</v>
      </c>
      <c r="G1405" s="4" t="s">
        <v>2272</v>
      </c>
      <c r="H1405" s="4" t="s">
        <v>2272</v>
      </c>
      <c r="I1405" s="198" t="s">
        <v>2272</v>
      </c>
      <c r="J1405" s="198" t="s">
        <v>2272</v>
      </c>
      <c r="K1405" s="198" t="s">
        <v>532</v>
      </c>
      <c r="L1405" s="198" t="s">
        <v>2272</v>
      </c>
      <c r="M1405" s="198" t="s">
        <v>2272</v>
      </c>
      <c r="N1405" s="198" t="s">
        <v>2272</v>
      </c>
      <c r="O1405" s="198" t="s">
        <v>2272</v>
      </c>
      <c r="P1405" s="198" t="s">
        <v>2272</v>
      </c>
      <c r="Q1405" s="198" t="s">
        <v>2272</v>
      </c>
      <c r="R1405" s="198" t="s">
        <v>2272</v>
      </c>
      <c r="S1405" s="198" t="s">
        <v>2272</v>
      </c>
      <c r="T1405" s="198"/>
    </row>
    <row r="1406" spans="1:20" ht="39" customHeight="1">
      <c r="A1406" s="11" t="s">
        <v>8947</v>
      </c>
      <c r="B1406" s="198" t="s">
        <v>31</v>
      </c>
      <c r="C1406" s="198" t="s">
        <v>393</v>
      </c>
      <c r="D1406" s="198" t="s">
        <v>2648</v>
      </c>
      <c r="E1406" s="4" t="s">
        <v>395</v>
      </c>
      <c r="F1406" s="4" t="s">
        <v>44</v>
      </c>
      <c r="G1406" s="198" t="s">
        <v>135</v>
      </c>
      <c r="H1406" s="4" t="s">
        <v>2272</v>
      </c>
      <c r="I1406" s="4" t="s">
        <v>2272</v>
      </c>
      <c r="J1406" s="4" t="s">
        <v>2272</v>
      </c>
      <c r="K1406" s="4" t="s">
        <v>2272</v>
      </c>
      <c r="L1406" s="4" t="s">
        <v>2272</v>
      </c>
      <c r="M1406" s="4" t="s">
        <v>2272</v>
      </c>
      <c r="N1406" s="4" t="s">
        <v>2272</v>
      </c>
      <c r="O1406" s="21">
        <f>AVERAGE(24.8, 25.7, 25.2, 25.4)</f>
        <v>25.274999999999999</v>
      </c>
      <c r="P1406" s="21">
        <f>AVERAGE(6.2, 7.5, 11.2, 11.8)</f>
        <v>9.1750000000000007</v>
      </c>
      <c r="Q1406" s="4" t="s">
        <v>2272</v>
      </c>
      <c r="R1406" s="21">
        <f>AVERAGE(67.2, 64.8, 61.5, 60.6)</f>
        <v>63.524999999999999</v>
      </c>
      <c r="S1406" s="21">
        <f>100*(67.2-60.6)/67.2/23</f>
        <v>0.42701863354037273</v>
      </c>
      <c r="T1406" s="198"/>
    </row>
    <row r="1407" spans="1:20" ht="36.5" customHeight="1">
      <c r="A1407" s="11" t="s">
        <v>8954</v>
      </c>
      <c r="B1407" s="4" t="s">
        <v>2272</v>
      </c>
      <c r="C1407" s="198" t="s">
        <v>11</v>
      </c>
      <c r="D1407" s="4" t="s">
        <v>394</v>
      </c>
      <c r="E1407" s="4" t="s">
        <v>395</v>
      </c>
      <c r="F1407" s="198" t="s">
        <v>128</v>
      </c>
      <c r="G1407" s="4" t="s">
        <v>44</v>
      </c>
      <c r="H1407" s="4" t="s">
        <v>2272</v>
      </c>
      <c r="I1407" s="198">
        <f>AVERAGE(1.07, 2.15)</f>
        <v>1.6099999999999999</v>
      </c>
      <c r="J1407" s="4" t="s">
        <v>2272</v>
      </c>
      <c r="K1407" s="4" t="s">
        <v>2272</v>
      </c>
      <c r="L1407" s="4" t="s">
        <v>2272</v>
      </c>
      <c r="M1407" s="4" t="s">
        <v>2272</v>
      </c>
      <c r="N1407" s="4" t="s">
        <v>2272</v>
      </c>
      <c r="O1407" s="4" t="s">
        <v>2272</v>
      </c>
      <c r="P1407" s="4" t="s">
        <v>2272</v>
      </c>
      <c r="Q1407" s="4" t="s">
        <v>2272</v>
      </c>
      <c r="R1407" s="4" t="s">
        <v>2272</v>
      </c>
      <c r="S1407" s="4" t="s">
        <v>2272</v>
      </c>
      <c r="T1407" s="198"/>
    </row>
    <row r="1408" spans="1:20" ht="52" customHeight="1">
      <c r="A1408" s="11" t="s">
        <v>8961</v>
      </c>
      <c r="B1408" s="198" t="s">
        <v>31</v>
      </c>
      <c r="C1408" s="198" t="s">
        <v>11</v>
      </c>
      <c r="D1408" s="198" t="s">
        <v>44</v>
      </c>
      <c r="E1408" s="198" t="s">
        <v>5795</v>
      </c>
      <c r="F1408" s="4" t="s">
        <v>2272</v>
      </c>
      <c r="G1408" s="4" t="s">
        <v>2272</v>
      </c>
      <c r="H1408" s="4" t="s">
        <v>2272</v>
      </c>
      <c r="I1408" s="4" t="s">
        <v>2272</v>
      </c>
      <c r="J1408" s="4" t="s">
        <v>2272</v>
      </c>
      <c r="K1408" s="4" t="s">
        <v>2272</v>
      </c>
      <c r="L1408" s="4" t="s">
        <v>2272</v>
      </c>
      <c r="M1408" s="4" t="s">
        <v>2272</v>
      </c>
      <c r="N1408" s="4" t="s">
        <v>2272</v>
      </c>
      <c r="O1408" s="4" t="s">
        <v>2272</v>
      </c>
      <c r="P1408" s="4" t="s">
        <v>2272</v>
      </c>
      <c r="Q1408" s="4" t="s">
        <v>2272</v>
      </c>
      <c r="R1408" s="4" t="s">
        <v>2272</v>
      </c>
      <c r="S1408" s="4" t="s">
        <v>2272</v>
      </c>
      <c r="T1408" s="198"/>
    </row>
    <row r="1409" spans="1:20" ht="42" customHeight="1">
      <c r="A1409" s="11" t="s">
        <v>8969</v>
      </c>
      <c r="B1409" s="198" t="s">
        <v>1193</v>
      </c>
      <c r="C1409" s="198" t="s">
        <v>393</v>
      </c>
      <c r="D1409" s="198" t="s">
        <v>114</v>
      </c>
      <c r="E1409" s="198" t="s">
        <v>128</v>
      </c>
      <c r="F1409" s="4" t="s">
        <v>2272</v>
      </c>
      <c r="G1409" s="4" t="s">
        <v>2272</v>
      </c>
      <c r="H1409" s="4" t="s">
        <v>2272</v>
      </c>
      <c r="I1409" s="4" t="s">
        <v>2272</v>
      </c>
      <c r="J1409" s="4" t="s">
        <v>2272</v>
      </c>
      <c r="K1409" s="4" t="s">
        <v>2272</v>
      </c>
      <c r="L1409" s="4" t="s">
        <v>2272</v>
      </c>
      <c r="M1409" s="4" t="s">
        <v>2272</v>
      </c>
      <c r="N1409" s="4" t="s">
        <v>2272</v>
      </c>
      <c r="O1409" s="4" t="s">
        <v>2272</v>
      </c>
      <c r="P1409" s="4" t="s">
        <v>2272</v>
      </c>
      <c r="Q1409" s="4" t="s">
        <v>2272</v>
      </c>
      <c r="R1409" s="4" t="s">
        <v>2272</v>
      </c>
      <c r="S1409" s="21">
        <v>0.6</v>
      </c>
      <c r="T1409" s="198"/>
    </row>
    <row r="1410" spans="1:20" ht="37" customHeight="1">
      <c r="A1410" s="11" t="s">
        <v>8970</v>
      </c>
      <c r="B1410" s="198" t="s">
        <v>69</v>
      </c>
      <c r="C1410" s="198" t="s">
        <v>2640</v>
      </c>
      <c r="D1410" s="198" t="s">
        <v>82</v>
      </c>
      <c r="E1410" s="198" t="s">
        <v>44</v>
      </c>
      <c r="F1410" s="4" t="s">
        <v>2272</v>
      </c>
      <c r="G1410" s="4" t="s">
        <v>2272</v>
      </c>
      <c r="H1410" s="4" t="s">
        <v>2272</v>
      </c>
      <c r="I1410" s="4" t="s">
        <v>2272</v>
      </c>
      <c r="J1410" s="4" t="s">
        <v>2272</v>
      </c>
      <c r="K1410" s="4" t="s">
        <v>2272</v>
      </c>
      <c r="L1410" s="4" t="s">
        <v>2272</v>
      </c>
      <c r="M1410" s="4" t="s">
        <v>2272</v>
      </c>
      <c r="N1410" s="4" t="s">
        <v>2272</v>
      </c>
      <c r="O1410" s="4" t="s">
        <v>2272</v>
      </c>
      <c r="P1410" s="4" t="s">
        <v>2272</v>
      </c>
      <c r="Q1410" s="4" t="s">
        <v>2272</v>
      </c>
      <c r="R1410" s="4" t="s">
        <v>2272</v>
      </c>
      <c r="S1410" s="21">
        <f>AVERAGE(1.5, 26)</f>
        <v>13.75</v>
      </c>
      <c r="T1410" s="198"/>
    </row>
    <row r="1411" spans="1:20" ht="32" customHeight="1">
      <c r="A1411" s="11" t="s">
        <v>8978</v>
      </c>
      <c r="B1411" s="198" t="s">
        <v>2272</v>
      </c>
      <c r="C1411" s="198" t="s">
        <v>11</v>
      </c>
      <c r="D1411" s="4" t="s">
        <v>394</v>
      </c>
      <c r="E1411" s="4" t="s">
        <v>395</v>
      </c>
      <c r="F1411" s="4" t="s">
        <v>2272</v>
      </c>
      <c r="G1411" s="4" t="s">
        <v>2272</v>
      </c>
      <c r="H1411" s="4" t="s">
        <v>2272</v>
      </c>
      <c r="I1411" s="4" t="s">
        <v>2272</v>
      </c>
      <c r="J1411" s="4" t="s">
        <v>2272</v>
      </c>
      <c r="K1411" s="4" t="s">
        <v>2272</v>
      </c>
      <c r="L1411" s="4" t="s">
        <v>2272</v>
      </c>
      <c r="M1411" s="4" t="s">
        <v>2272</v>
      </c>
      <c r="N1411" s="4">
        <v>0</v>
      </c>
      <c r="O1411" s="4">
        <v>0</v>
      </c>
      <c r="P1411" s="21">
        <v>100</v>
      </c>
      <c r="Q1411" s="4">
        <v>0</v>
      </c>
      <c r="R1411" s="4">
        <v>0</v>
      </c>
      <c r="S1411" s="4">
        <v>0</v>
      </c>
      <c r="T1411" s="4"/>
    </row>
    <row r="1412" spans="1:20" ht="32" customHeight="1">
      <c r="A1412" s="11" t="s">
        <v>8987</v>
      </c>
      <c r="B1412" s="198" t="s">
        <v>2272</v>
      </c>
      <c r="C1412" s="198" t="s">
        <v>11</v>
      </c>
      <c r="D1412" s="4" t="s">
        <v>394</v>
      </c>
      <c r="E1412" s="4" t="s">
        <v>395</v>
      </c>
      <c r="F1412" s="4" t="s">
        <v>2272</v>
      </c>
      <c r="G1412" s="4" t="s">
        <v>2272</v>
      </c>
      <c r="H1412" s="4" t="s">
        <v>2272</v>
      </c>
      <c r="I1412" s="4" t="s">
        <v>2272</v>
      </c>
      <c r="J1412" s="4" t="s">
        <v>2272</v>
      </c>
      <c r="K1412" s="4" t="s">
        <v>2272</v>
      </c>
      <c r="L1412" s="4" t="s">
        <v>2272</v>
      </c>
      <c r="M1412" s="4" t="s">
        <v>2272</v>
      </c>
      <c r="N1412" s="4">
        <v>0</v>
      </c>
      <c r="O1412" s="4">
        <v>0</v>
      </c>
      <c r="P1412" s="21">
        <v>100</v>
      </c>
      <c r="Q1412" s="4">
        <v>0</v>
      </c>
      <c r="R1412" s="4">
        <v>0</v>
      </c>
      <c r="S1412" s="4">
        <v>0</v>
      </c>
      <c r="T1412" s="4"/>
    </row>
    <row r="1413" spans="1:20" ht="32" customHeight="1">
      <c r="A1413" s="11" t="s">
        <v>8994</v>
      </c>
      <c r="B1413" s="198" t="s">
        <v>2272</v>
      </c>
      <c r="C1413" s="198" t="s">
        <v>11</v>
      </c>
      <c r="D1413" s="4" t="s">
        <v>394</v>
      </c>
      <c r="E1413" s="4" t="s">
        <v>395</v>
      </c>
      <c r="F1413" s="4" t="s">
        <v>2272</v>
      </c>
      <c r="G1413" s="4" t="s">
        <v>2272</v>
      </c>
      <c r="H1413" s="4" t="s">
        <v>2272</v>
      </c>
      <c r="I1413" s="4" t="s">
        <v>2272</v>
      </c>
      <c r="J1413" s="4" t="s">
        <v>2272</v>
      </c>
      <c r="K1413" s="4" t="s">
        <v>2272</v>
      </c>
      <c r="L1413" s="4" t="s">
        <v>2272</v>
      </c>
      <c r="M1413" s="4" t="s">
        <v>2272</v>
      </c>
      <c r="N1413" s="4">
        <v>0</v>
      </c>
      <c r="O1413" s="4">
        <v>0</v>
      </c>
      <c r="P1413" s="21">
        <v>100</v>
      </c>
      <c r="Q1413" s="4">
        <v>0</v>
      </c>
      <c r="R1413" s="4">
        <v>0</v>
      </c>
      <c r="S1413" s="4">
        <v>0</v>
      </c>
      <c r="T1413" s="4"/>
    </row>
    <row r="1414" spans="1:20" ht="32" customHeight="1">
      <c r="A1414" s="11" t="s">
        <v>8988</v>
      </c>
      <c r="B1414" s="198" t="s">
        <v>2272</v>
      </c>
      <c r="C1414" s="198" t="s">
        <v>11</v>
      </c>
      <c r="D1414" s="4" t="s">
        <v>395</v>
      </c>
      <c r="E1414" s="4" t="s">
        <v>394</v>
      </c>
      <c r="F1414" s="4" t="s">
        <v>2272</v>
      </c>
      <c r="G1414" s="4" t="s">
        <v>2272</v>
      </c>
      <c r="H1414" s="4" t="s">
        <v>2272</v>
      </c>
      <c r="I1414" s="4" t="s">
        <v>2272</v>
      </c>
      <c r="J1414" s="4" t="s">
        <v>2272</v>
      </c>
      <c r="K1414" s="4" t="s">
        <v>2272</v>
      </c>
      <c r="L1414" s="4" t="s">
        <v>2272</v>
      </c>
      <c r="M1414" s="4" t="s">
        <v>2272</v>
      </c>
      <c r="N1414" s="4">
        <v>0</v>
      </c>
      <c r="O1414" s="4">
        <v>0</v>
      </c>
      <c r="P1414" s="21">
        <v>100</v>
      </c>
      <c r="Q1414" s="4">
        <v>0</v>
      </c>
      <c r="R1414" s="4">
        <v>0</v>
      </c>
      <c r="S1414" s="4">
        <v>0</v>
      </c>
      <c r="T1414" s="4"/>
    </row>
    <row r="1415" spans="1:20" ht="32" customHeight="1">
      <c r="A1415" s="11" t="s">
        <v>8989</v>
      </c>
      <c r="B1415" s="198" t="s">
        <v>2272</v>
      </c>
      <c r="C1415" s="198" t="s">
        <v>11</v>
      </c>
      <c r="D1415" s="4" t="s">
        <v>394</v>
      </c>
      <c r="E1415" s="4" t="s">
        <v>395</v>
      </c>
      <c r="F1415" s="4" t="s">
        <v>2272</v>
      </c>
      <c r="G1415" s="4" t="s">
        <v>2272</v>
      </c>
      <c r="H1415" s="4" t="s">
        <v>2272</v>
      </c>
      <c r="I1415" s="4" t="s">
        <v>2272</v>
      </c>
      <c r="J1415" s="4" t="s">
        <v>2272</v>
      </c>
      <c r="K1415" s="4" t="s">
        <v>2272</v>
      </c>
      <c r="L1415" s="4" t="s">
        <v>2272</v>
      </c>
      <c r="M1415" s="4" t="s">
        <v>2272</v>
      </c>
      <c r="N1415" s="4">
        <v>0</v>
      </c>
      <c r="O1415" s="4">
        <v>0</v>
      </c>
      <c r="P1415" s="21">
        <v>100</v>
      </c>
      <c r="Q1415" s="4">
        <v>0</v>
      </c>
      <c r="R1415" s="4">
        <v>0</v>
      </c>
      <c r="S1415" s="4">
        <v>0</v>
      </c>
      <c r="T1415" s="4"/>
    </row>
    <row r="1416" spans="1:20" ht="32" customHeight="1">
      <c r="A1416" s="11" t="s">
        <v>8990</v>
      </c>
      <c r="B1416" s="198" t="s">
        <v>2272</v>
      </c>
      <c r="C1416" s="198" t="s">
        <v>11</v>
      </c>
      <c r="D1416" s="4" t="s">
        <v>394</v>
      </c>
      <c r="E1416" s="4" t="s">
        <v>395</v>
      </c>
      <c r="F1416" s="4" t="s">
        <v>2272</v>
      </c>
      <c r="G1416" s="4" t="s">
        <v>2272</v>
      </c>
      <c r="H1416" s="4" t="s">
        <v>2272</v>
      </c>
      <c r="I1416" s="4" t="s">
        <v>2272</v>
      </c>
      <c r="J1416" s="4" t="s">
        <v>2272</v>
      </c>
      <c r="K1416" s="4" t="s">
        <v>2272</v>
      </c>
      <c r="L1416" s="4" t="s">
        <v>2272</v>
      </c>
      <c r="M1416" s="4" t="s">
        <v>2272</v>
      </c>
      <c r="N1416" s="4">
        <v>0</v>
      </c>
      <c r="O1416" s="4">
        <v>0</v>
      </c>
      <c r="P1416" s="21">
        <v>100</v>
      </c>
      <c r="Q1416" s="4">
        <v>0</v>
      </c>
      <c r="R1416" s="4">
        <v>0</v>
      </c>
      <c r="S1416" s="4">
        <v>0</v>
      </c>
      <c r="T1416" s="4"/>
    </row>
    <row r="1417" spans="1:20" ht="32" customHeight="1">
      <c r="A1417" s="11" t="s">
        <v>8991</v>
      </c>
      <c r="B1417" s="198" t="s">
        <v>2272</v>
      </c>
      <c r="C1417" s="198" t="s">
        <v>11</v>
      </c>
      <c r="D1417" s="4" t="s">
        <v>394</v>
      </c>
      <c r="E1417" s="4" t="s">
        <v>395</v>
      </c>
      <c r="F1417" s="4" t="s">
        <v>2272</v>
      </c>
      <c r="G1417" s="4" t="s">
        <v>2272</v>
      </c>
      <c r="H1417" s="4" t="s">
        <v>2272</v>
      </c>
      <c r="I1417" s="4" t="s">
        <v>2272</v>
      </c>
      <c r="J1417" s="4" t="s">
        <v>2272</v>
      </c>
      <c r="K1417" s="4" t="s">
        <v>2272</v>
      </c>
      <c r="L1417" s="4" t="s">
        <v>2272</v>
      </c>
      <c r="M1417" s="4" t="s">
        <v>2272</v>
      </c>
      <c r="N1417" s="4">
        <v>0</v>
      </c>
      <c r="O1417" s="4">
        <v>0</v>
      </c>
      <c r="P1417" s="21">
        <v>100</v>
      </c>
      <c r="Q1417" s="4">
        <v>0</v>
      </c>
      <c r="R1417" s="4">
        <v>0</v>
      </c>
      <c r="S1417" s="4">
        <v>0</v>
      </c>
      <c r="T1417" s="4"/>
    </row>
    <row r="1418" spans="1:20" ht="32" customHeight="1">
      <c r="A1418" s="11" t="s">
        <v>8992</v>
      </c>
      <c r="B1418" s="198" t="s">
        <v>2272</v>
      </c>
      <c r="C1418" s="198" t="s">
        <v>11</v>
      </c>
      <c r="D1418" s="4" t="s">
        <v>394</v>
      </c>
      <c r="E1418" s="4" t="s">
        <v>395</v>
      </c>
      <c r="F1418" s="4" t="s">
        <v>2272</v>
      </c>
      <c r="G1418" s="4" t="s">
        <v>2272</v>
      </c>
      <c r="H1418" s="4" t="s">
        <v>2272</v>
      </c>
      <c r="I1418" s="4" t="s">
        <v>2272</v>
      </c>
      <c r="J1418" s="4" t="s">
        <v>2272</v>
      </c>
      <c r="K1418" s="4" t="s">
        <v>2272</v>
      </c>
      <c r="L1418" s="4" t="s">
        <v>2272</v>
      </c>
      <c r="M1418" s="4" t="s">
        <v>2272</v>
      </c>
      <c r="N1418" s="4">
        <v>0</v>
      </c>
      <c r="O1418" s="4">
        <v>0</v>
      </c>
      <c r="P1418" s="21">
        <v>100</v>
      </c>
      <c r="Q1418" s="4">
        <v>0</v>
      </c>
      <c r="R1418" s="4">
        <v>0</v>
      </c>
      <c r="S1418" s="4">
        <v>0</v>
      </c>
      <c r="T1418" s="4"/>
    </row>
    <row r="1419" spans="1:20" ht="32" customHeight="1">
      <c r="A1419" s="11" t="s">
        <v>8993</v>
      </c>
      <c r="B1419" s="198" t="s">
        <v>2272</v>
      </c>
      <c r="C1419" s="198" t="s">
        <v>11</v>
      </c>
      <c r="D1419" s="4" t="s">
        <v>394</v>
      </c>
      <c r="E1419" s="4" t="s">
        <v>395</v>
      </c>
      <c r="F1419" s="4" t="s">
        <v>2272</v>
      </c>
      <c r="G1419" s="4" t="s">
        <v>2272</v>
      </c>
      <c r="H1419" s="4" t="s">
        <v>2272</v>
      </c>
      <c r="I1419" s="4" t="s">
        <v>2272</v>
      </c>
      <c r="J1419" s="4" t="s">
        <v>2272</v>
      </c>
      <c r="K1419" s="4" t="s">
        <v>2272</v>
      </c>
      <c r="L1419" s="4" t="s">
        <v>2272</v>
      </c>
      <c r="M1419" s="4" t="s">
        <v>2272</v>
      </c>
      <c r="N1419" s="4">
        <v>0</v>
      </c>
      <c r="O1419" s="4">
        <v>0</v>
      </c>
      <c r="P1419" s="21">
        <v>100</v>
      </c>
      <c r="Q1419" s="4">
        <v>0</v>
      </c>
      <c r="R1419" s="4">
        <v>0</v>
      </c>
      <c r="S1419" s="4">
        <v>0</v>
      </c>
      <c r="T1419" s="4"/>
    </row>
    <row r="1420" spans="1:20" ht="43" customHeight="1">
      <c r="A1420" s="11" t="s">
        <v>9105</v>
      </c>
      <c r="B1420" s="198" t="s">
        <v>2272</v>
      </c>
      <c r="C1420" s="198" t="s">
        <v>2640</v>
      </c>
      <c r="D1420" s="198" t="s">
        <v>2644</v>
      </c>
      <c r="E1420" s="198" t="s">
        <v>2648</v>
      </c>
      <c r="F1420" s="4" t="s">
        <v>5795</v>
      </c>
      <c r="G1420" s="4" t="s">
        <v>2272</v>
      </c>
      <c r="H1420" s="4" t="s">
        <v>2272</v>
      </c>
      <c r="I1420" s="4" t="s">
        <v>2272</v>
      </c>
      <c r="J1420" s="4" t="s">
        <v>2272</v>
      </c>
      <c r="K1420" s="198" t="s">
        <v>532</v>
      </c>
      <c r="L1420" s="4" t="s">
        <v>2272</v>
      </c>
      <c r="M1420" s="4" t="s">
        <v>2272</v>
      </c>
      <c r="N1420" s="21">
        <v>16</v>
      </c>
      <c r="O1420" s="4" t="s">
        <v>2272</v>
      </c>
      <c r="P1420" s="4" t="s">
        <v>2272</v>
      </c>
      <c r="Q1420" s="4" t="s">
        <v>2272</v>
      </c>
      <c r="R1420" s="4" t="s">
        <v>2272</v>
      </c>
      <c r="S1420" s="4" t="s">
        <v>2272</v>
      </c>
      <c r="T1420" s="198" t="s">
        <v>9115</v>
      </c>
    </row>
    <row r="1421" spans="1:20" ht="40.5" customHeight="1">
      <c r="A1421" s="11" t="s">
        <v>9106</v>
      </c>
      <c r="B1421" s="198" t="s">
        <v>2272</v>
      </c>
      <c r="C1421" s="198" t="s">
        <v>2640</v>
      </c>
      <c r="D1421" s="198" t="s">
        <v>2644</v>
      </c>
      <c r="E1421" s="4" t="s">
        <v>2272</v>
      </c>
      <c r="F1421" s="4" t="s">
        <v>2272</v>
      </c>
      <c r="G1421" s="4" t="s">
        <v>2272</v>
      </c>
      <c r="H1421" s="4" t="s">
        <v>2272</v>
      </c>
      <c r="I1421" s="4" t="s">
        <v>2272</v>
      </c>
      <c r="J1421" s="4" t="s">
        <v>2272</v>
      </c>
      <c r="K1421" s="198" t="s">
        <v>532</v>
      </c>
      <c r="L1421" s="4" t="s">
        <v>2272</v>
      </c>
      <c r="M1421" s="4" t="s">
        <v>2272</v>
      </c>
      <c r="N1421" s="21">
        <v>3.9</v>
      </c>
      <c r="O1421" s="4" t="s">
        <v>2272</v>
      </c>
      <c r="P1421" s="4" t="s">
        <v>2272</v>
      </c>
      <c r="Q1421" s="4" t="s">
        <v>2272</v>
      </c>
      <c r="R1421" s="4" t="s">
        <v>2272</v>
      </c>
      <c r="S1421" s="4" t="s">
        <v>2272</v>
      </c>
      <c r="T1421" s="198" t="s">
        <v>9115</v>
      </c>
    </row>
    <row r="1422" spans="1:20" ht="46.5" customHeight="1">
      <c r="A1422" s="11" t="s">
        <v>9120</v>
      </c>
      <c r="B1422" s="198" t="s">
        <v>69</v>
      </c>
      <c r="C1422" s="198" t="s">
        <v>2640</v>
      </c>
      <c r="D1422" s="198" t="s">
        <v>2644</v>
      </c>
      <c r="E1422" s="4" t="s">
        <v>2272</v>
      </c>
      <c r="F1422" s="4" t="s">
        <v>2272</v>
      </c>
      <c r="G1422" s="4" t="s">
        <v>2272</v>
      </c>
      <c r="H1422" s="4" t="s">
        <v>2272</v>
      </c>
      <c r="I1422" s="4" t="s">
        <v>2272</v>
      </c>
      <c r="J1422" s="4" t="s">
        <v>2272</v>
      </c>
      <c r="K1422" s="198" t="s">
        <v>532</v>
      </c>
      <c r="L1422" s="4" t="s">
        <v>2272</v>
      </c>
      <c r="M1422" s="4" t="s">
        <v>2272</v>
      </c>
      <c r="N1422" s="21">
        <f>'Reported burning'!W3535/'Reported burning'!Y3535</f>
        <v>7.1658755274261603</v>
      </c>
      <c r="O1422" s="4" t="s">
        <v>2272</v>
      </c>
      <c r="P1422" s="4" t="s">
        <v>2272</v>
      </c>
      <c r="Q1422" s="4" t="s">
        <v>2272</v>
      </c>
      <c r="R1422" s="4" t="s">
        <v>2272</v>
      </c>
      <c r="S1422" s="4" t="s">
        <v>2272</v>
      </c>
      <c r="T1422" s="198"/>
    </row>
    <row r="1423" spans="1:20" ht="43.5" customHeight="1">
      <c r="A1423" s="34" t="s">
        <v>9133</v>
      </c>
      <c r="B1423" s="198" t="s">
        <v>2272</v>
      </c>
      <c r="C1423" s="198" t="s">
        <v>11</v>
      </c>
      <c r="D1423" s="198" t="s">
        <v>2644</v>
      </c>
      <c r="E1423" s="198" t="s">
        <v>2648</v>
      </c>
      <c r="F1423" s="4" t="s">
        <v>394</v>
      </c>
      <c r="G1423" s="198" t="s">
        <v>135</v>
      </c>
      <c r="H1423" s="4" t="s">
        <v>2272</v>
      </c>
      <c r="I1423" s="4" t="s">
        <v>2272</v>
      </c>
      <c r="J1423" s="4" t="s">
        <v>2272</v>
      </c>
      <c r="K1423" s="35" t="s">
        <v>532</v>
      </c>
      <c r="L1423" s="4" t="s">
        <v>2272</v>
      </c>
      <c r="M1423" s="4" t="s">
        <v>2272</v>
      </c>
      <c r="N1423" s="69">
        <f>2960000/756102</f>
        <v>3.9148157259205769</v>
      </c>
      <c r="O1423" s="69">
        <f>P1423</f>
        <v>23.042592137039712</v>
      </c>
      <c r="P1423" s="69">
        <f>(50-N1423)/2</f>
        <v>23.042592137039712</v>
      </c>
      <c r="Q1423" s="163" t="s">
        <v>2272</v>
      </c>
      <c r="R1423" s="69">
        <f>18.7</f>
        <v>18.7</v>
      </c>
      <c r="S1423" s="163" t="s">
        <v>2272</v>
      </c>
      <c r="T1423" s="34" t="s">
        <v>9165</v>
      </c>
    </row>
    <row r="1424" spans="1:20" ht="43.5" customHeight="1">
      <c r="A1424" s="11" t="s">
        <v>9149</v>
      </c>
      <c r="B1424" s="198" t="s">
        <v>2272</v>
      </c>
      <c r="C1424" s="198" t="s">
        <v>2272</v>
      </c>
      <c r="D1424" s="198" t="s">
        <v>2272</v>
      </c>
      <c r="E1424" s="198" t="s">
        <v>2272</v>
      </c>
      <c r="F1424" s="198" t="s">
        <v>2272</v>
      </c>
      <c r="G1424" s="198" t="s">
        <v>2272</v>
      </c>
      <c r="H1424" s="4" t="s">
        <v>2272</v>
      </c>
      <c r="I1424" s="4" t="s">
        <v>2272</v>
      </c>
      <c r="J1424" s="4" t="s">
        <v>2272</v>
      </c>
      <c r="K1424" s="4" t="s">
        <v>2272</v>
      </c>
      <c r="L1424" s="4" t="s">
        <v>2272</v>
      </c>
      <c r="M1424" s="4" t="s">
        <v>2272</v>
      </c>
      <c r="N1424" s="4" t="s">
        <v>2272</v>
      </c>
      <c r="O1424" s="4" t="s">
        <v>2272</v>
      </c>
      <c r="P1424" s="4" t="s">
        <v>2272</v>
      </c>
      <c r="Q1424" s="4" t="s">
        <v>2272</v>
      </c>
      <c r="R1424" s="4" t="s">
        <v>2272</v>
      </c>
      <c r="S1424" s="4" t="s">
        <v>2272</v>
      </c>
      <c r="T1424" s="198"/>
    </row>
    <row r="1425" spans="1:20" ht="43.5" customHeight="1">
      <c r="A1425" s="11" t="s">
        <v>9150</v>
      </c>
      <c r="B1425" s="198" t="s">
        <v>2272</v>
      </c>
      <c r="C1425" s="198" t="s">
        <v>2272</v>
      </c>
      <c r="D1425" s="198" t="s">
        <v>2272</v>
      </c>
      <c r="E1425" s="198" t="s">
        <v>2272</v>
      </c>
      <c r="F1425" s="198" t="s">
        <v>2272</v>
      </c>
      <c r="G1425" s="198" t="s">
        <v>2272</v>
      </c>
      <c r="H1425" s="4" t="s">
        <v>2272</v>
      </c>
      <c r="I1425" s="4" t="s">
        <v>2272</v>
      </c>
      <c r="J1425" s="4" t="s">
        <v>2272</v>
      </c>
      <c r="K1425" s="4" t="s">
        <v>2272</v>
      </c>
      <c r="L1425" s="4" t="s">
        <v>2272</v>
      </c>
      <c r="M1425" s="4" t="s">
        <v>2272</v>
      </c>
      <c r="N1425" s="4" t="s">
        <v>2272</v>
      </c>
      <c r="O1425" s="4" t="s">
        <v>2272</v>
      </c>
      <c r="P1425" s="4" t="s">
        <v>2272</v>
      </c>
      <c r="Q1425" s="4" t="s">
        <v>2272</v>
      </c>
      <c r="R1425" s="4" t="s">
        <v>2272</v>
      </c>
      <c r="S1425" s="4" t="s">
        <v>2272</v>
      </c>
      <c r="T1425" s="198"/>
    </row>
    <row r="1426" spans="1:20" ht="43.5" customHeight="1">
      <c r="A1426" s="11" t="s">
        <v>9151</v>
      </c>
      <c r="B1426" s="198" t="s">
        <v>2272</v>
      </c>
      <c r="C1426" s="198" t="s">
        <v>2272</v>
      </c>
      <c r="D1426" s="198" t="s">
        <v>2272</v>
      </c>
      <c r="E1426" s="198" t="s">
        <v>2272</v>
      </c>
      <c r="F1426" s="198" t="s">
        <v>2272</v>
      </c>
      <c r="G1426" s="198" t="s">
        <v>2272</v>
      </c>
      <c r="H1426" s="4" t="s">
        <v>2272</v>
      </c>
      <c r="I1426" s="4" t="s">
        <v>2272</v>
      </c>
      <c r="J1426" s="4" t="s">
        <v>2272</v>
      </c>
      <c r="K1426" s="4" t="s">
        <v>2272</v>
      </c>
      <c r="L1426" s="4" t="s">
        <v>2272</v>
      </c>
      <c r="M1426" s="4" t="s">
        <v>2272</v>
      </c>
      <c r="N1426" s="4" t="s">
        <v>2272</v>
      </c>
      <c r="O1426" s="4" t="s">
        <v>2272</v>
      </c>
      <c r="P1426" s="4" t="s">
        <v>2272</v>
      </c>
      <c r="Q1426" s="4" t="s">
        <v>2272</v>
      </c>
      <c r="R1426" s="4" t="s">
        <v>2272</v>
      </c>
      <c r="S1426" s="4" t="s">
        <v>2272</v>
      </c>
      <c r="T1426" s="198"/>
    </row>
    <row r="1427" spans="1:20" ht="43.5" customHeight="1">
      <c r="A1427" s="11" t="s">
        <v>9152</v>
      </c>
      <c r="B1427" s="198" t="s">
        <v>2272</v>
      </c>
      <c r="C1427" s="198" t="s">
        <v>2272</v>
      </c>
      <c r="D1427" s="198" t="s">
        <v>2272</v>
      </c>
      <c r="E1427" s="198" t="s">
        <v>2272</v>
      </c>
      <c r="F1427" s="198" t="s">
        <v>2272</v>
      </c>
      <c r="G1427" s="198" t="s">
        <v>2272</v>
      </c>
      <c r="H1427" s="4" t="s">
        <v>2272</v>
      </c>
      <c r="I1427" s="4" t="s">
        <v>2272</v>
      </c>
      <c r="J1427" s="4" t="s">
        <v>2272</v>
      </c>
      <c r="K1427" s="4" t="s">
        <v>2272</v>
      </c>
      <c r="L1427" s="4" t="s">
        <v>2272</v>
      </c>
      <c r="M1427" s="4" t="s">
        <v>2272</v>
      </c>
      <c r="N1427" s="4" t="s">
        <v>2272</v>
      </c>
      <c r="O1427" s="4" t="s">
        <v>2272</v>
      </c>
      <c r="P1427" s="4" t="s">
        <v>2272</v>
      </c>
      <c r="Q1427" s="4" t="s">
        <v>2272</v>
      </c>
      <c r="R1427" s="4" t="s">
        <v>2272</v>
      </c>
      <c r="S1427" s="4" t="s">
        <v>2272</v>
      </c>
      <c r="T1427" s="198"/>
    </row>
    <row r="1428" spans="1:20" ht="43.5" customHeight="1">
      <c r="A1428" s="11" t="s">
        <v>9153</v>
      </c>
      <c r="B1428" s="198" t="s">
        <v>2272</v>
      </c>
      <c r="C1428" s="198" t="s">
        <v>2272</v>
      </c>
      <c r="D1428" s="198" t="s">
        <v>2272</v>
      </c>
      <c r="E1428" s="198" t="s">
        <v>2272</v>
      </c>
      <c r="F1428" s="198" t="s">
        <v>2272</v>
      </c>
      <c r="G1428" s="198" t="s">
        <v>2272</v>
      </c>
      <c r="H1428" s="4" t="s">
        <v>2272</v>
      </c>
      <c r="I1428" s="4" t="s">
        <v>2272</v>
      </c>
      <c r="J1428" s="4" t="s">
        <v>2272</v>
      </c>
      <c r="K1428" s="4" t="s">
        <v>2272</v>
      </c>
      <c r="L1428" s="4" t="s">
        <v>2272</v>
      </c>
      <c r="M1428" s="4" t="s">
        <v>2272</v>
      </c>
      <c r="N1428" s="4" t="s">
        <v>2272</v>
      </c>
      <c r="O1428" s="4" t="s">
        <v>2272</v>
      </c>
      <c r="P1428" s="4" t="s">
        <v>2272</v>
      </c>
      <c r="Q1428" s="4" t="s">
        <v>2272</v>
      </c>
      <c r="R1428" s="4" t="s">
        <v>2272</v>
      </c>
      <c r="S1428" s="4" t="s">
        <v>2272</v>
      </c>
      <c r="T1428" s="198"/>
    </row>
    <row r="1429" spans="1:20" ht="43.5" customHeight="1">
      <c r="A1429" s="11" t="s">
        <v>9154</v>
      </c>
      <c r="B1429" s="198" t="s">
        <v>2272</v>
      </c>
      <c r="C1429" s="198" t="s">
        <v>2272</v>
      </c>
      <c r="D1429" s="198" t="s">
        <v>2648</v>
      </c>
      <c r="E1429" s="198" t="s">
        <v>2272</v>
      </c>
      <c r="F1429" s="198" t="s">
        <v>2272</v>
      </c>
      <c r="G1429" s="198" t="s">
        <v>2272</v>
      </c>
      <c r="H1429" s="4" t="s">
        <v>2272</v>
      </c>
      <c r="I1429" s="4" t="s">
        <v>2272</v>
      </c>
      <c r="J1429" s="4" t="s">
        <v>2272</v>
      </c>
      <c r="K1429" s="4" t="s">
        <v>2272</v>
      </c>
      <c r="L1429" s="4" t="s">
        <v>2272</v>
      </c>
      <c r="M1429" s="4" t="s">
        <v>2272</v>
      </c>
      <c r="N1429" s="4" t="s">
        <v>2272</v>
      </c>
      <c r="O1429" s="4" t="s">
        <v>2272</v>
      </c>
      <c r="P1429" s="4" t="s">
        <v>2272</v>
      </c>
      <c r="Q1429" s="4" t="s">
        <v>2272</v>
      </c>
      <c r="R1429" s="4" t="s">
        <v>2272</v>
      </c>
      <c r="S1429" s="4" t="s">
        <v>2272</v>
      </c>
      <c r="T1429" s="198"/>
    </row>
    <row r="1430" spans="1:20" ht="43.5" customHeight="1">
      <c r="A1430" s="11" t="s">
        <v>9155</v>
      </c>
      <c r="B1430" s="198" t="s">
        <v>2272</v>
      </c>
      <c r="C1430" s="198" t="s">
        <v>2272</v>
      </c>
      <c r="D1430" s="198" t="s">
        <v>2648</v>
      </c>
      <c r="E1430" s="198" t="s">
        <v>2272</v>
      </c>
      <c r="F1430" s="198" t="s">
        <v>2272</v>
      </c>
      <c r="G1430" s="198" t="s">
        <v>2272</v>
      </c>
      <c r="H1430" s="4" t="s">
        <v>2272</v>
      </c>
      <c r="I1430" s="4" t="s">
        <v>2272</v>
      </c>
      <c r="J1430" s="4" t="s">
        <v>2272</v>
      </c>
      <c r="K1430" s="4" t="s">
        <v>2272</v>
      </c>
      <c r="L1430" s="4" t="s">
        <v>2272</v>
      </c>
      <c r="M1430" s="4" t="s">
        <v>2272</v>
      </c>
      <c r="N1430" s="4" t="s">
        <v>2272</v>
      </c>
      <c r="O1430" s="4" t="s">
        <v>2272</v>
      </c>
      <c r="P1430" s="4" t="s">
        <v>2272</v>
      </c>
      <c r="Q1430" s="4" t="s">
        <v>2272</v>
      </c>
      <c r="R1430" s="4" t="s">
        <v>2272</v>
      </c>
      <c r="S1430" s="4" t="s">
        <v>2272</v>
      </c>
      <c r="T1430" s="198"/>
    </row>
    <row r="1431" spans="1:20" ht="43.5" customHeight="1">
      <c r="A1431" s="11" t="s">
        <v>9156</v>
      </c>
      <c r="B1431" s="198" t="s">
        <v>2272</v>
      </c>
      <c r="C1431" s="198" t="s">
        <v>2272</v>
      </c>
      <c r="D1431" s="198" t="s">
        <v>2272</v>
      </c>
      <c r="E1431" s="198" t="s">
        <v>2272</v>
      </c>
      <c r="F1431" s="198" t="s">
        <v>2272</v>
      </c>
      <c r="G1431" s="198" t="s">
        <v>2272</v>
      </c>
      <c r="H1431" s="4" t="s">
        <v>2272</v>
      </c>
      <c r="I1431" s="4" t="s">
        <v>2272</v>
      </c>
      <c r="J1431" s="4" t="s">
        <v>2272</v>
      </c>
      <c r="K1431" s="4" t="s">
        <v>2272</v>
      </c>
      <c r="L1431" s="4" t="s">
        <v>2272</v>
      </c>
      <c r="M1431" s="4" t="s">
        <v>2272</v>
      </c>
      <c r="N1431" s="4" t="s">
        <v>2272</v>
      </c>
      <c r="O1431" s="4" t="s">
        <v>2272</v>
      </c>
      <c r="P1431" s="4" t="s">
        <v>2272</v>
      </c>
      <c r="Q1431" s="4" t="s">
        <v>2272</v>
      </c>
      <c r="R1431" s="4" t="s">
        <v>2272</v>
      </c>
      <c r="S1431" s="4" t="s">
        <v>2272</v>
      </c>
      <c r="T1431" s="198"/>
    </row>
    <row r="1432" spans="1:20" ht="43.5" customHeight="1">
      <c r="A1432" s="11" t="s">
        <v>9157</v>
      </c>
      <c r="B1432" s="198" t="s">
        <v>2272</v>
      </c>
      <c r="C1432" s="198" t="s">
        <v>2272</v>
      </c>
      <c r="D1432" s="198" t="s">
        <v>2272</v>
      </c>
      <c r="E1432" s="198" t="s">
        <v>2272</v>
      </c>
      <c r="F1432" s="198" t="s">
        <v>2272</v>
      </c>
      <c r="G1432" s="198" t="s">
        <v>2272</v>
      </c>
      <c r="H1432" s="4" t="s">
        <v>2272</v>
      </c>
      <c r="I1432" s="4" t="s">
        <v>2272</v>
      </c>
      <c r="J1432" s="4" t="s">
        <v>2272</v>
      </c>
      <c r="K1432" s="4" t="s">
        <v>2272</v>
      </c>
      <c r="L1432" s="4" t="s">
        <v>2272</v>
      </c>
      <c r="M1432" s="4" t="s">
        <v>2272</v>
      </c>
      <c r="N1432" s="4" t="s">
        <v>2272</v>
      </c>
      <c r="O1432" s="4" t="s">
        <v>2272</v>
      </c>
      <c r="P1432" s="4" t="s">
        <v>2272</v>
      </c>
      <c r="Q1432" s="4" t="s">
        <v>2272</v>
      </c>
      <c r="R1432" s="4" t="s">
        <v>2272</v>
      </c>
      <c r="S1432" s="4" t="s">
        <v>2272</v>
      </c>
      <c r="T1432" s="198"/>
    </row>
    <row r="1433" spans="1:20" ht="43.5" customHeight="1">
      <c r="A1433" s="11" t="s">
        <v>9158</v>
      </c>
      <c r="B1433" s="198" t="s">
        <v>2272</v>
      </c>
      <c r="C1433" s="198" t="s">
        <v>2272</v>
      </c>
      <c r="D1433" s="198" t="s">
        <v>2272</v>
      </c>
      <c r="E1433" s="198" t="s">
        <v>2272</v>
      </c>
      <c r="F1433" s="198" t="s">
        <v>2272</v>
      </c>
      <c r="G1433" s="198" t="s">
        <v>2272</v>
      </c>
      <c r="H1433" s="4" t="s">
        <v>2272</v>
      </c>
      <c r="I1433" s="4" t="s">
        <v>2272</v>
      </c>
      <c r="J1433" s="4" t="s">
        <v>2272</v>
      </c>
      <c r="K1433" s="4" t="s">
        <v>2272</v>
      </c>
      <c r="L1433" s="4" t="s">
        <v>2272</v>
      </c>
      <c r="M1433" s="4" t="s">
        <v>2272</v>
      </c>
      <c r="N1433" s="4" t="s">
        <v>2272</v>
      </c>
      <c r="O1433" s="4" t="s">
        <v>2272</v>
      </c>
      <c r="P1433" s="4" t="s">
        <v>2272</v>
      </c>
      <c r="Q1433" s="4" t="s">
        <v>2272</v>
      </c>
      <c r="R1433" s="4" t="s">
        <v>2272</v>
      </c>
      <c r="S1433" s="4" t="s">
        <v>2272</v>
      </c>
      <c r="T1433" s="198"/>
    </row>
    <row r="1434" spans="1:20" ht="43.5" customHeight="1">
      <c r="A1434" s="11" t="s">
        <v>9159</v>
      </c>
      <c r="B1434" s="198" t="s">
        <v>2272</v>
      </c>
      <c r="C1434" s="198" t="s">
        <v>2640</v>
      </c>
      <c r="D1434" s="198" t="s">
        <v>2644</v>
      </c>
      <c r="E1434" s="198" t="s">
        <v>2272</v>
      </c>
      <c r="F1434" s="198" t="s">
        <v>2272</v>
      </c>
      <c r="G1434" s="198" t="s">
        <v>2272</v>
      </c>
      <c r="H1434" s="4" t="s">
        <v>2272</v>
      </c>
      <c r="I1434" s="4" t="s">
        <v>2272</v>
      </c>
      <c r="J1434" s="4" t="s">
        <v>2272</v>
      </c>
      <c r="K1434" s="198" t="s">
        <v>532</v>
      </c>
      <c r="L1434" s="4" t="s">
        <v>2272</v>
      </c>
      <c r="M1434" s="4" t="s">
        <v>2272</v>
      </c>
      <c r="N1434" s="4" t="s">
        <v>2272</v>
      </c>
      <c r="O1434" s="4" t="s">
        <v>2272</v>
      </c>
      <c r="P1434" s="4" t="s">
        <v>2272</v>
      </c>
      <c r="Q1434" s="4" t="s">
        <v>2272</v>
      </c>
      <c r="R1434" s="4" t="s">
        <v>2272</v>
      </c>
      <c r="S1434" s="4" t="s">
        <v>2272</v>
      </c>
      <c r="T1434" s="198"/>
    </row>
    <row r="1435" spans="1:20" ht="43.5" customHeight="1">
      <c r="A1435" s="11" t="s">
        <v>9160</v>
      </c>
      <c r="B1435" s="198" t="s">
        <v>2272</v>
      </c>
      <c r="C1435" s="198" t="s">
        <v>2640</v>
      </c>
      <c r="D1435" s="198" t="s">
        <v>2644</v>
      </c>
      <c r="E1435" s="4" t="s">
        <v>394</v>
      </c>
      <c r="F1435" s="198" t="s">
        <v>2272</v>
      </c>
      <c r="G1435" s="198" t="s">
        <v>2272</v>
      </c>
      <c r="H1435" s="4" t="s">
        <v>2272</v>
      </c>
      <c r="I1435" s="4" t="s">
        <v>2272</v>
      </c>
      <c r="J1435" s="4" t="s">
        <v>2272</v>
      </c>
      <c r="K1435" s="198" t="s">
        <v>532</v>
      </c>
      <c r="L1435" s="4" t="s">
        <v>2272</v>
      </c>
      <c r="M1435" s="4" t="s">
        <v>2272</v>
      </c>
      <c r="N1435" s="4" t="s">
        <v>2272</v>
      </c>
      <c r="O1435" s="4" t="s">
        <v>2272</v>
      </c>
      <c r="P1435" s="4" t="s">
        <v>2272</v>
      </c>
      <c r="Q1435" s="4" t="s">
        <v>2272</v>
      </c>
      <c r="R1435" s="4" t="s">
        <v>2272</v>
      </c>
      <c r="S1435" s="4" t="s">
        <v>2272</v>
      </c>
      <c r="T1435" s="198"/>
    </row>
    <row r="1436" spans="1:20" ht="43.5" customHeight="1">
      <c r="A1436" s="11" t="s">
        <v>9161</v>
      </c>
      <c r="B1436" s="198" t="s">
        <v>2272</v>
      </c>
      <c r="C1436" s="198" t="s">
        <v>2272</v>
      </c>
      <c r="D1436" s="198" t="s">
        <v>2272</v>
      </c>
      <c r="E1436" s="198" t="s">
        <v>2272</v>
      </c>
      <c r="F1436" s="198" t="s">
        <v>2272</v>
      </c>
      <c r="G1436" s="198" t="s">
        <v>2272</v>
      </c>
      <c r="H1436" s="4" t="s">
        <v>2272</v>
      </c>
      <c r="I1436" s="4" t="s">
        <v>2272</v>
      </c>
      <c r="J1436" s="4" t="s">
        <v>2272</v>
      </c>
      <c r="K1436" s="4" t="s">
        <v>2272</v>
      </c>
      <c r="L1436" s="4" t="s">
        <v>2272</v>
      </c>
      <c r="M1436" s="4" t="s">
        <v>2272</v>
      </c>
      <c r="N1436" s="4" t="s">
        <v>2272</v>
      </c>
      <c r="O1436" s="4" t="s">
        <v>2272</v>
      </c>
      <c r="P1436" s="4" t="s">
        <v>2272</v>
      </c>
      <c r="Q1436" s="4" t="s">
        <v>2272</v>
      </c>
      <c r="R1436" s="4" t="s">
        <v>2272</v>
      </c>
      <c r="S1436" s="4" t="s">
        <v>2272</v>
      </c>
      <c r="T1436" s="198"/>
    </row>
    <row r="1437" spans="1:20" ht="43.5" customHeight="1">
      <c r="A1437" s="11" t="s">
        <v>9162</v>
      </c>
      <c r="B1437" s="198" t="s">
        <v>2272</v>
      </c>
      <c r="C1437" s="198" t="s">
        <v>2272</v>
      </c>
      <c r="D1437" s="198" t="s">
        <v>2272</v>
      </c>
      <c r="E1437" s="198" t="s">
        <v>2272</v>
      </c>
      <c r="F1437" s="198" t="s">
        <v>2272</v>
      </c>
      <c r="G1437" s="198" t="s">
        <v>2272</v>
      </c>
      <c r="H1437" s="4" t="s">
        <v>2272</v>
      </c>
      <c r="I1437" s="4" t="s">
        <v>2272</v>
      </c>
      <c r="J1437" s="4" t="s">
        <v>2272</v>
      </c>
      <c r="K1437" s="4" t="s">
        <v>2272</v>
      </c>
      <c r="L1437" s="4" t="s">
        <v>2272</v>
      </c>
      <c r="M1437" s="4" t="s">
        <v>2272</v>
      </c>
      <c r="N1437" s="4" t="s">
        <v>2272</v>
      </c>
      <c r="O1437" s="4" t="s">
        <v>2272</v>
      </c>
      <c r="P1437" s="4" t="s">
        <v>2272</v>
      </c>
      <c r="Q1437" s="4" t="s">
        <v>2272</v>
      </c>
      <c r="R1437" s="4" t="s">
        <v>2272</v>
      </c>
      <c r="S1437" s="4" t="s">
        <v>2272</v>
      </c>
      <c r="T1437" s="198"/>
    </row>
    <row r="1438" spans="1:20" ht="43.5" customHeight="1">
      <c r="A1438" s="11" t="s">
        <v>9163</v>
      </c>
      <c r="B1438" s="198" t="s">
        <v>2272</v>
      </c>
      <c r="C1438" s="198" t="s">
        <v>2272</v>
      </c>
      <c r="D1438" s="198" t="s">
        <v>2272</v>
      </c>
      <c r="E1438" s="198" t="s">
        <v>2272</v>
      </c>
      <c r="F1438" s="198" t="s">
        <v>2272</v>
      </c>
      <c r="G1438" s="198" t="s">
        <v>2272</v>
      </c>
      <c r="H1438" s="4" t="s">
        <v>2272</v>
      </c>
      <c r="I1438" s="4" t="s">
        <v>2272</v>
      </c>
      <c r="J1438" s="4" t="s">
        <v>2272</v>
      </c>
      <c r="K1438" s="4" t="s">
        <v>2272</v>
      </c>
      <c r="L1438" s="4" t="s">
        <v>2272</v>
      </c>
      <c r="M1438" s="4" t="s">
        <v>2272</v>
      </c>
      <c r="N1438" s="4" t="s">
        <v>2272</v>
      </c>
      <c r="O1438" s="4" t="s">
        <v>2272</v>
      </c>
      <c r="P1438" s="4" t="s">
        <v>2272</v>
      </c>
      <c r="Q1438" s="4" t="s">
        <v>2272</v>
      </c>
      <c r="R1438" s="4" t="s">
        <v>2272</v>
      </c>
      <c r="S1438" s="4" t="s">
        <v>2272</v>
      </c>
      <c r="T1438" s="198"/>
    </row>
    <row r="1439" spans="1:20" s="197" customFormat="1" ht="43.5" customHeight="1">
      <c r="A1439" s="11" t="s">
        <v>9164</v>
      </c>
      <c r="B1439" s="198" t="s">
        <v>2272</v>
      </c>
      <c r="C1439" s="198" t="s">
        <v>2272</v>
      </c>
      <c r="D1439" s="198" t="s">
        <v>135</v>
      </c>
      <c r="E1439" s="198" t="s">
        <v>2272</v>
      </c>
      <c r="F1439" s="198" t="s">
        <v>2272</v>
      </c>
      <c r="G1439" s="198" t="s">
        <v>2272</v>
      </c>
      <c r="H1439" s="4" t="s">
        <v>2272</v>
      </c>
      <c r="I1439" s="4" t="s">
        <v>2272</v>
      </c>
      <c r="J1439" s="4" t="s">
        <v>2272</v>
      </c>
      <c r="K1439" s="4" t="s">
        <v>2272</v>
      </c>
      <c r="L1439" s="4" t="s">
        <v>2272</v>
      </c>
      <c r="M1439" s="4" t="s">
        <v>2272</v>
      </c>
      <c r="N1439" s="4" t="s">
        <v>2272</v>
      </c>
      <c r="O1439" s="4" t="s">
        <v>2272</v>
      </c>
      <c r="P1439" s="4" t="s">
        <v>2272</v>
      </c>
      <c r="Q1439" s="4" t="s">
        <v>2272</v>
      </c>
      <c r="R1439" s="4" t="s">
        <v>2272</v>
      </c>
      <c r="S1439" s="4" t="s">
        <v>2272</v>
      </c>
      <c r="T1439" s="198"/>
    </row>
    <row r="1440" spans="1:20" ht="43.5" customHeight="1">
      <c r="A1440" s="11" t="s">
        <v>9170</v>
      </c>
      <c r="B1440" s="198" t="s">
        <v>2272</v>
      </c>
      <c r="C1440" s="198" t="s">
        <v>11</v>
      </c>
      <c r="D1440" s="198" t="s">
        <v>2644</v>
      </c>
      <c r="E1440" s="198" t="s">
        <v>2648</v>
      </c>
      <c r="F1440" s="4" t="s">
        <v>394</v>
      </c>
      <c r="G1440" s="198" t="s">
        <v>135</v>
      </c>
      <c r="H1440" s="4" t="s">
        <v>2272</v>
      </c>
      <c r="I1440" s="4" t="s">
        <v>2272</v>
      </c>
      <c r="J1440" s="4" t="s">
        <v>2272</v>
      </c>
      <c r="K1440" s="198" t="s">
        <v>532</v>
      </c>
      <c r="L1440" s="4" t="s">
        <v>2272</v>
      </c>
      <c r="M1440" s="4" t="s">
        <v>2272</v>
      </c>
      <c r="N1440" s="21">
        <f>2960000/756102</f>
        <v>3.9148157259205769</v>
      </c>
      <c r="O1440" s="21">
        <f>P1440</f>
        <v>23.042592137039712</v>
      </c>
      <c r="P1440" s="21">
        <f>(50-N1440)/2</f>
        <v>23.042592137039712</v>
      </c>
      <c r="Q1440" s="4" t="s">
        <v>2272</v>
      </c>
      <c r="R1440" s="21">
        <f>18.7</f>
        <v>18.7</v>
      </c>
      <c r="S1440" s="4" t="s">
        <v>2272</v>
      </c>
      <c r="T1440" s="11" t="s">
        <v>9165</v>
      </c>
    </row>
    <row r="1441" spans="1:20" ht="43.5" customHeight="1">
      <c r="A1441" s="11" t="s">
        <v>9171</v>
      </c>
      <c r="B1441" s="198" t="s">
        <v>2272</v>
      </c>
      <c r="C1441" s="198" t="s">
        <v>11</v>
      </c>
      <c r="D1441" s="198" t="s">
        <v>2644</v>
      </c>
      <c r="E1441" s="198" t="s">
        <v>2648</v>
      </c>
      <c r="F1441" s="4" t="s">
        <v>394</v>
      </c>
      <c r="G1441" s="198" t="s">
        <v>135</v>
      </c>
      <c r="H1441" s="4" t="s">
        <v>2272</v>
      </c>
      <c r="I1441" s="4" t="s">
        <v>2272</v>
      </c>
      <c r="J1441" s="4" t="s">
        <v>2272</v>
      </c>
      <c r="K1441" s="198" t="s">
        <v>532</v>
      </c>
      <c r="L1441" s="4" t="s">
        <v>2272</v>
      </c>
      <c r="M1441" s="4" t="s">
        <v>2272</v>
      </c>
      <c r="N1441" s="21">
        <f>2960000/756102</f>
        <v>3.9148157259205769</v>
      </c>
      <c r="O1441" s="21">
        <f>P1441</f>
        <v>23.042592137039712</v>
      </c>
      <c r="P1441" s="21">
        <f>(50-N1441)/2</f>
        <v>23.042592137039712</v>
      </c>
      <c r="Q1441" s="4" t="s">
        <v>2272</v>
      </c>
      <c r="R1441" s="21">
        <f>18.7</f>
        <v>18.7</v>
      </c>
      <c r="S1441" s="4" t="s">
        <v>2272</v>
      </c>
      <c r="T1441" s="11" t="s">
        <v>9165</v>
      </c>
    </row>
    <row r="1442" spans="1:20" ht="43.5" customHeight="1">
      <c r="A1442" s="11" t="s">
        <v>9174</v>
      </c>
      <c r="B1442" s="198" t="s">
        <v>2272</v>
      </c>
      <c r="C1442" s="198" t="s">
        <v>2272</v>
      </c>
      <c r="D1442" s="198" t="s">
        <v>2272</v>
      </c>
      <c r="E1442" s="198" t="s">
        <v>2272</v>
      </c>
      <c r="F1442" s="198" t="s">
        <v>2272</v>
      </c>
      <c r="G1442" s="198" t="s">
        <v>2272</v>
      </c>
      <c r="H1442" s="4" t="s">
        <v>2272</v>
      </c>
      <c r="I1442" s="4" t="s">
        <v>2272</v>
      </c>
      <c r="J1442" s="4" t="s">
        <v>2272</v>
      </c>
      <c r="K1442" s="4" t="s">
        <v>2272</v>
      </c>
      <c r="L1442" s="4" t="s">
        <v>2272</v>
      </c>
      <c r="M1442" s="4" t="s">
        <v>2272</v>
      </c>
      <c r="N1442" s="4" t="s">
        <v>2272</v>
      </c>
      <c r="O1442" s="4" t="s">
        <v>2272</v>
      </c>
      <c r="P1442" s="4" t="s">
        <v>2272</v>
      </c>
      <c r="Q1442" s="4" t="s">
        <v>2272</v>
      </c>
      <c r="R1442" s="4" t="s">
        <v>2272</v>
      </c>
      <c r="S1442" s="4" t="s">
        <v>2272</v>
      </c>
      <c r="T1442" s="198"/>
    </row>
    <row r="1443" spans="1:20" ht="43.5" customHeight="1">
      <c r="A1443" s="11" t="s">
        <v>9175</v>
      </c>
      <c r="B1443" s="198" t="s">
        <v>2272</v>
      </c>
      <c r="C1443" s="198" t="s">
        <v>2272</v>
      </c>
      <c r="D1443" s="198" t="s">
        <v>2272</v>
      </c>
      <c r="E1443" s="198" t="s">
        <v>2272</v>
      </c>
      <c r="F1443" s="198" t="s">
        <v>2272</v>
      </c>
      <c r="G1443" s="198" t="s">
        <v>2272</v>
      </c>
      <c r="H1443" s="4" t="s">
        <v>2272</v>
      </c>
      <c r="I1443" s="4" t="s">
        <v>2272</v>
      </c>
      <c r="J1443" s="4" t="s">
        <v>2272</v>
      </c>
      <c r="K1443" s="4" t="s">
        <v>2272</v>
      </c>
      <c r="L1443" s="4" t="s">
        <v>2272</v>
      </c>
      <c r="M1443" s="4" t="s">
        <v>2272</v>
      </c>
      <c r="N1443" s="4" t="s">
        <v>2272</v>
      </c>
      <c r="O1443" s="4" t="s">
        <v>2272</v>
      </c>
      <c r="P1443" s="4" t="s">
        <v>2272</v>
      </c>
      <c r="Q1443" s="4" t="s">
        <v>2272</v>
      </c>
      <c r="R1443" s="4" t="s">
        <v>2272</v>
      </c>
      <c r="S1443" s="4" t="s">
        <v>2272</v>
      </c>
      <c r="T1443" s="198"/>
    </row>
    <row r="1444" spans="1:20" ht="43.5" customHeight="1">
      <c r="A1444" s="11" t="s">
        <v>9176</v>
      </c>
      <c r="B1444" s="198" t="s">
        <v>2272</v>
      </c>
      <c r="C1444" s="198" t="s">
        <v>2272</v>
      </c>
      <c r="D1444" s="198" t="s">
        <v>2272</v>
      </c>
      <c r="E1444" s="198" t="s">
        <v>2272</v>
      </c>
      <c r="F1444" s="198" t="s">
        <v>2272</v>
      </c>
      <c r="G1444" s="198" t="s">
        <v>2272</v>
      </c>
      <c r="H1444" s="4" t="s">
        <v>2272</v>
      </c>
      <c r="I1444" s="4" t="s">
        <v>2272</v>
      </c>
      <c r="J1444" s="4" t="s">
        <v>2272</v>
      </c>
      <c r="K1444" s="4" t="s">
        <v>2272</v>
      </c>
      <c r="L1444" s="4" t="s">
        <v>2272</v>
      </c>
      <c r="M1444" s="4" t="s">
        <v>2272</v>
      </c>
      <c r="N1444" s="4" t="s">
        <v>2272</v>
      </c>
      <c r="O1444" s="4" t="s">
        <v>2272</v>
      </c>
      <c r="P1444" s="4" t="s">
        <v>2272</v>
      </c>
      <c r="Q1444" s="4" t="s">
        <v>2272</v>
      </c>
      <c r="R1444" s="4" t="s">
        <v>2272</v>
      </c>
      <c r="S1444" s="4" t="s">
        <v>2272</v>
      </c>
      <c r="T1444" s="198"/>
    </row>
    <row r="1445" spans="1:20" ht="43.5" customHeight="1">
      <c r="A1445" s="11" t="s">
        <v>9177</v>
      </c>
      <c r="B1445" s="198" t="s">
        <v>2272</v>
      </c>
      <c r="C1445" s="198" t="s">
        <v>2272</v>
      </c>
      <c r="D1445" s="198" t="s">
        <v>2272</v>
      </c>
      <c r="E1445" s="198" t="s">
        <v>2272</v>
      </c>
      <c r="F1445" s="198" t="s">
        <v>2272</v>
      </c>
      <c r="G1445" s="198" t="s">
        <v>2272</v>
      </c>
      <c r="H1445" s="4" t="s">
        <v>2272</v>
      </c>
      <c r="I1445" s="4" t="s">
        <v>2272</v>
      </c>
      <c r="J1445" s="4" t="s">
        <v>2272</v>
      </c>
      <c r="K1445" s="4" t="s">
        <v>2272</v>
      </c>
      <c r="L1445" s="4" t="s">
        <v>2272</v>
      </c>
      <c r="M1445" s="4" t="s">
        <v>2272</v>
      </c>
      <c r="N1445" s="4" t="s">
        <v>2272</v>
      </c>
      <c r="O1445" s="4" t="s">
        <v>2272</v>
      </c>
      <c r="P1445" s="4" t="s">
        <v>2272</v>
      </c>
      <c r="Q1445" s="4" t="s">
        <v>2272</v>
      </c>
      <c r="R1445" s="4" t="s">
        <v>2272</v>
      </c>
      <c r="S1445" s="4" t="s">
        <v>2272</v>
      </c>
      <c r="T1445" s="198"/>
    </row>
    <row r="1446" spans="1:20" ht="43.5" customHeight="1">
      <c r="A1446" s="11" t="s">
        <v>9178</v>
      </c>
      <c r="B1446" s="198" t="s">
        <v>2272</v>
      </c>
      <c r="C1446" s="198" t="s">
        <v>2272</v>
      </c>
      <c r="D1446" s="198" t="s">
        <v>2272</v>
      </c>
      <c r="E1446" s="198" t="s">
        <v>2272</v>
      </c>
      <c r="F1446" s="198" t="s">
        <v>2272</v>
      </c>
      <c r="G1446" s="198" t="s">
        <v>2272</v>
      </c>
      <c r="H1446" s="4" t="s">
        <v>2272</v>
      </c>
      <c r="I1446" s="4" t="s">
        <v>2272</v>
      </c>
      <c r="J1446" s="4" t="s">
        <v>2272</v>
      </c>
      <c r="K1446" s="4" t="s">
        <v>2272</v>
      </c>
      <c r="L1446" s="4" t="s">
        <v>2272</v>
      </c>
      <c r="M1446" s="4" t="s">
        <v>2272</v>
      </c>
      <c r="N1446" s="4" t="s">
        <v>2272</v>
      </c>
      <c r="O1446" s="4" t="s">
        <v>2272</v>
      </c>
      <c r="P1446" s="4" t="s">
        <v>2272</v>
      </c>
      <c r="Q1446" s="4" t="s">
        <v>2272</v>
      </c>
      <c r="R1446" s="4" t="s">
        <v>2272</v>
      </c>
      <c r="S1446" s="4" t="s">
        <v>2272</v>
      </c>
      <c r="T1446" s="198"/>
    </row>
    <row r="1447" spans="1:20" ht="43.5" customHeight="1">
      <c r="A1447" s="11" t="s">
        <v>9179</v>
      </c>
      <c r="B1447" s="198" t="s">
        <v>2272</v>
      </c>
      <c r="C1447" s="198" t="s">
        <v>2641</v>
      </c>
      <c r="D1447" s="198" t="s">
        <v>2648</v>
      </c>
      <c r="E1447" s="198" t="s">
        <v>2272</v>
      </c>
      <c r="F1447" s="198" t="s">
        <v>2272</v>
      </c>
      <c r="G1447" s="198" t="s">
        <v>2272</v>
      </c>
      <c r="H1447" s="4" t="s">
        <v>2272</v>
      </c>
      <c r="I1447" s="4" t="s">
        <v>2272</v>
      </c>
      <c r="J1447" s="4" t="s">
        <v>2272</v>
      </c>
      <c r="K1447" s="4" t="s">
        <v>2272</v>
      </c>
      <c r="L1447" s="4" t="s">
        <v>2272</v>
      </c>
      <c r="M1447" s="4" t="s">
        <v>2272</v>
      </c>
      <c r="N1447" s="4" t="s">
        <v>2272</v>
      </c>
      <c r="O1447" s="4" t="s">
        <v>2272</v>
      </c>
      <c r="P1447" s="4" t="s">
        <v>2272</v>
      </c>
      <c r="Q1447" s="4" t="s">
        <v>2272</v>
      </c>
      <c r="R1447" s="4" t="s">
        <v>2272</v>
      </c>
      <c r="S1447" s="4" t="s">
        <v>2272</v>
      </c>
      <c r="T1447" s="198" t="s">
        <v>9223</v>
      </c>
    </row>
    <row r="1448" spans="1:20" ht="43.5" customHeight="1">
      <c r="A1448" s="11" t="s">
        <v>9180</v>
      </c>
      <c r="B1448" s="198" t="s">
        <v>2272</v>
      </c>
      <c r="C1448" s="198" t="s">
        <v>2641</v>
      </c>
      <c r="D1448" s="198" t="s">
        <v>2648</v>
      </c>
      <c r="E1448" s="198" t="s">
        <v>2272</v>
      </c>
      <c r="F1448" s="198" t="s">
        <v>2272</v>
      </c>
      <c r="G1448" s="198" t="s">
        <v>2272</v>
      </c>
      <c r="H1448" s="4" t="s">
        <v>2272</v>
      </c>
      <c r="I1448" s="4" t="s">
        <v>2272</v>
      </c>
      <c r="J1448" s="4" t="s">
        <v>2272</v>
      </c>
      <c r="K1448" s="4" t="s">
        <v>2272</v>
      </c>
      <c r="L1448" s="4" t="s">
        <v>2272</v>
      </c>
      <c r="M1448" s="4" t="s">
        <v>2272</v>
      </c>
      <c r="N1448" s="4" t="s">
        <v>2272</v>
      </c>
      <c r="O1448" s="4" t="s">
        <v>2272</v>
      </c>
      <c r="P1448" s="4" t="s">
        <v>2272</v>
      </c>
      <c r="Q1448" s="4" t="s">
        <v>2272</v>
      </c>
      <c r="R1448" s="4" t="s">
        <v>2272</v>
      </c>
      <c r="S1448" s="4" t="s">
        <v>2272</v>
      </c>
      <c r="T1448" s="198" t="s">
        <v>9223</v>
      </c>
    </row>
    <row r="1449" spans="1:20" ht="43.5" customHeight="1">
      <c r="A1449" s="11" t="s">
        <v>9181</v>
      </c>
      <c r="B1449" s="198" t="s">
        <v>2272</v>
      </c>
      <c r="C1449" s="198" t="s">
        <v>2272</v>
      </c>
      <c r="D1449" s="198" t="s">
        <v>2272</v>
      </c>
      <c r="E1449" s="198" t="s">
        <v>2272</v>
      </c>
      <c r="F1449" s="198" t="s">
        <v>2272</v>
      </c>
      <c r="G1449" s="198" t="s">
        <v>2272</v>
      </c>
      <c r="H1449" s="4" t="s">
        <v>2272</v>
      </c>
      <c r="I1449" s="4" t="s">
        <v>2272</v>
      </c>
      <c r="J1449" s="4" t="s">
        <v>2272</v>
      </c>
      <c r="K1449" s="4" t="s">
        <v>2272</v>
      </c>
      <c r="L1449" s="4" t="s">
        <v>2272</v>
      </c>
      <c r="M1449" s="4" t="s">
        <v>2272</v>
      </c>
      <c r="N1449" s="4" t="s">
        <v>2272</v>
      </c>
      <c r="O1449" s="4" t="s">
        <v>2272</v>
      </c>
      <c r="P1449" s="4" t="s">
        <v>2272</v>
      </c>
      <c r="Q1449" s="4" t="s">
        <v>2272</v>
      </c>
      <c r="R1449" s="4" t="s">
        <v>2272</v>
      </c>
      <c r="S1449" s="4" t="s">
        <v>2272</v>
      </c>
      <c r="T1449" s="198"/>
    </row>
    <row r="1450" spans="1:20" ht="43.5" customHeight="1">
      <c r="A1450" s="11" t="s">
        <v>9182</v>
      </c>
      <c r="B1450" s="198" t="s">
        <v>2272</v>
      </c>
      <c r="C1450" s="198" t="s">
        <v>2272</v>
      </c>
      <c r="D1450" s="198" t="s">
        <v>2272</v>
      </c>
      <c r="E1450" s="198" t="s">
        <v>2272</v>
      </c>
      <c r="F1450" s="198" t="s">
        <v>2272</v>
      </c>
      <c r="G1450" s="198" t="s">
        <v>2272</v>
      </c>
      <c r="H1450" s="4" t="s">
        <v>2272</v>
      </c>
      <c r="I1450" s="4" t="s">
        <v>2272</v>
      </c>
      <c r="J1450" s="4" t="s">
        <v>2272</v>
      </c>
      <c r="K1450" s="4" t="s">
        <v>2272</v>
      </c>
      <c r="L1450" s="4" t="s">
        <v>2272</v>
      </c>
      <c r="M1450" s="4" t="s">
        <v>2272</v>
      </c>
      <c r="N1450" s="4" t="s">
        <v>2272</v>
      </c>
      <c r="O1450" s="4" t="s">
        <v>2272</v>
      </c>
      <c r="P1450" s="4" t="s">
        <v>2272</v>
      </c>
      <c r="Q1450" s="4" t="s">
        <v>2272</v>
      </c>
      <c r="R1450" s="4" t="s">
        <v>2272</v>
      </c>
      <c r="S1450" s="4" t="s">
        <v>2272</v>
      </c>
      <c r="T1450" s="198"/>
    </row>
    <row r="1451" spans="1:20" ht="43.5" customHeight="1">
      <c r="A1451" s="11" t="s">
        <v>9183</v>
      </c>
      <c r="B1451" s="198" t="s">
        <v>2272</v>
      </c>
      <c r="C1451" s="198" t="s">
        <v>2272</v>
      </c>
      <c r="D1451" s="198" t="s">
        <v>2272</v>
      </c>
      <c r="E1451" s="198" t="s">
        <v>2272</v>
      </c>
      <c r="F1451" s="198" t="s">
        <v>2272</v>
      </c>
      <c r="G1451" s="198" t="s">
        <v>2272</v>
      </c>
      <c r="H1451" s="4" t="s">
        <v>2272</v>
      </c>
      <c r="I1451" s="4" t="s">
        <v>2272</v>
      </c>
      <c r="J1451" s="4" t="s">
        <v>2272</v>
      </c>
      <c r="K1451" s="4" t="s">
        <v>2272</v>
      </c>
      <c r="L1451" s="4" t="s">
        <v>2272</v>
      </c>
      <c r="M1451" s="4" t="s">
        <v>2272</v>
      </c>
      <c r="N1451" s="4" t="s">
        <v>2272</v>
      </c>
      <c r="O1451" s="4" t="s">
        <v>2272</v>
      </c>
      <c r="P1451" s="4" t="s">
        <v>2272</v>
      </c>
      <c r="Q1451" s="4" t="s">
        <v>2272</v>
      </c>
      <c r="R1451" s="4" t="s">
        <v>2272</v>
      </c>
      <c r="S1451" s="4" t="s">
        <v>2272</v>
      </c>
      <c r="T1451" s="198"/>
    </row>
    <row r="1452" spans="1:20" ht="43.5" customHeight="1">
      <c r="A1452" s="11" t="s">
        <v>9184</v>
      </c>
      <c r="B1452" s="198" t="s">
        <v>2272</v>
      </c>
      <c r="C1452" s="198" t="s">
        <v>2640</v>
      </c>
      <c r="D1452" s="198" t="s">
        <v>2644</v>
      </c>
      <c r="E1452" s="198" t="s">
        <v>2272</v>
      </c>
      <c r="F1452" s="198" t="s">
        <v>2272</v>
      </c>
      <c r="G1452" s="198" t="s">
        <v>2272</v>
      </c>
      <c r="H1452" s="4" t="s">
        <v>2272</v>
      </c>
      <c r="I1452" s="4" t="s">
        <v>2272</v>
      </c>
      <c r="J1452" s="4" t="s">
        <v>2272</v>
      </c>
      <c r="K1452" s="198" t="s">
        <v>532</v>
      </c>
      <c r="L1452" s="4" t="s">
        <v>2272</v>
      </c>
      <c r="M1452" s="4" t="s">
        <v>2272</v>
      </c>
      <c r="N1452" s="4" t="s">
        <v>2272</v>
      </c>
      <c r="O1452" s="4" t="s">
        <v>2272</v>
      </c>
      <c r="P1452" s="4" t="s">
        <v>2272</v>
      </c>
      <c r="Q1452" s="4" t="s">
        <v>2272</v>
      </c>
      <c r="R1452" s="4" t="s">
        <v>2272</v>
      </c>
      <c r="S1452" s="4" t="s">
        <v>2272</v>
      </c>
      <c r="T1452" s="198"/>
    </row>
    <row r="1453" spans="1:20" ht="43.5" customHeight="1">
      <c r="A1453" s="11" t="s">
        <v>9185</v>
      </c>
      <c r="B1453" s="198" t="s">
        <v>2272</v>
      </c>
      <c r="C1453" s="198" t="s">
        <v>2640</v>
      </c>
      <c r="D1453" s="198" t="s">
        <v>2644</v>
      </c>
      <c r="E1453" s="4" t="s">
        <v>394</v>
      </c>
      <c r="F1453" s="198" t="s">
        <v>2272</v>
      </c>
      <c r="G1453" s="198" t="s">
        <v>2272</v>
      </c>
      <c r="H1453" s="4" t="s">
        <v>2272</v>
      </c>
      <c r="I1453" s="4" t="s">
        <v>2272</v>
      </c>
      <c r="J1453" s="4" t="s">
        <v>2272</v>
      </c>
      <c r="K1453" s="198" t="s">
        <v>532</v>
      </c>
      <c r="L1453" s="4" t="s">
        <v>2272</v>
      </c>
      <c r="M1453" s="4" t="s">
        <v>2272</v>
      </c>
      <c r="N1453" s="4" t="s">
        <v>2272</v>
      </c>
      <c r="O1453" s="4" t="s">
        <v>2272</v>
      </c>
      <c r="P1453" s="4" t="s">
        <v>2272</v>
      </c>
      <c r="Q1453" s="4" t="s">
        <v>2272</v>
      </c>
      <c r="R1453" s="4" t="s">
        <v>2272</v>
      </c>
      <c r="S1453" s="4" t="s">
        <v>2272</v>
      </c>
      <c r="T1453" s="198"/>
    </row>
    <row r="1454" spans="1:20" ht="43.5" customHeight="1">
      <c r="A1454" s="11" t="s">
        <v>9186</v>
      </c>
      <c r="B1454" s="198" t="s">
        <v>2272</v>
      </c>
      <c r="C1454" s="198" t="s">
        <v>2272</v>
      </c>
      <c r="D1454" s="198" t="s">
        <v>2272</v>
      </c>
      <c r="E1454" s="198" t="s">
        <v>2272</v>
      </c>
      <c r="F1454" s="198" t="s">
        <v>2272</v>
      </c>
      <c r="G1454" s="198" t="s">
        <v>2272</v>
      </c>
      <c r="H1454" s="4" t="s">
        <v>2272</v>
      </c>
      <c r="I1454" s="4" t="s">
        <v>2272</v>
      </c>
      <c r="J1454" s="4" t="s">
        <v>2272</v>
      </c>
      <c r="K1454" s="4" t="s">
        <v>2272</v>
      </c>
      <c r="L1454" s="4" t="s">
        <v>2272</v>
      </c>
      <c r="M1454" s="4" t="s">
        <v>2272</v>
      </c>
      <c r="N1454" s="4" t="s">
        <v>2272</v>
      </c>
      <c r="O1454" s="4" t="s">
        <v>2272</v>
      </c>
      <c r="P1454" s="4" t="s">
        <v>2272</v>
      </c>
      <c r="Q1454" s="4" t="s">
        <v>2272</v>
      </c>
      <c r="R1454" s="4" t="s">
        <v>2272</v>
      </c>
      <c r="S1454" s="4" t="s">
        <v>2272</v>
      </c>
      <c r="T1454" s="198"/>
    </row>
    <row r="1455" spans="1:20" ht="43.5" customHeight="1">
      <c r="A1455" s="11" t="s">
        <v>9187</v>
      </c>
      <c r="B1455" s="198" t="s">
        <v>2272</v>
      </c>
      <c r="C1455" s="198" t="s">
        <v>2272</v>
      </c>
      <c r="D1455" s="198" t="s">
        <v>2272</v>
      </c>
      <c r="E1455" s="198" t="s">
        <v>2272</v>
      </c>
      <c r="F1455" s="198" t="s">
        <v>2272</v>
      </c>
      <c r="G1455" s="198" t="s">
        <v>2272</v>
      </c>
      <c r="H1455" s="4" t="s">
        <v>2272</v>
      </c>
      <c r="I1455" s="4" t="s">
        <v>2272</v>
      </c>
      <c r="J1455" s="4" t="s">
        <v>2272</v>
      </c>
      <c r="K1455" s="4" t="s">
        <v>2272</v>
      </c>
      <c r="L1455" s="4" t="s">
        <v>2272</v>
      </c>
      <c r="M1455" s="4" t="s">
        <v>2272</v>
      </c>
      <c r="N1455" s="4" t="s">
        <v>2272</v>
      </c>
      <c r="O1455" s="4" t="s">
        <v>2272</v>
      </c>
      <c r="P1455" s="4" t="s">
        <v>2272</v>
      </c>
      <c r="Q1455" s="4" t="s">
        <v>2272</v>
      </c>
      <c r="R1455" s="4" t="s">
        <v>2272</v>
      </c>
      <c r="S1455" s="4" t="s">
        <v>2272</v>
      </c>
      <c r="T1455" s="198"/>
    </row>
    <row r="1456" spans="1:20" ht="43.5" customHeight="1">
      <c r="A1456" s="11" t="s">
        <v>9188</v>
      </c>
      <c r="B1456" s="198" t="s">
        <v>2272</v>
      </c>
      <c r="C1456" s="198" t="s">
        <v>2272</v>
      </c>
      <c r="D1456" s="198" t="s">
        <v>2272</v>
      </c>
      <c r="E1456" s="198" t="s">
        <v>2272</v>
      </c>
      <c r="F1456" s="198" t="s">
        <v>2272</v>
      </c>
      <c r="G1456" s="198" t="s">
        <v>2272</v>
      </c>
      <c r="H1456" s="4" t="s">
        <v>2272</v>
      </c>
      <c r="I1456" s="4" t="s">
        <v>2272</v>
      </c>
      <c r="J1456" s="4" t="s">
        <v>2272</v>
      </c>
      <c r="K1456" s="4" t="s">
        <v>2272</v>
      </c>
      <c r="L1456" s="4" t="s">
        <v>2272</v>
      </c>
      <c r="M1456" s="4" t="s">
        <v>2272</v>
      </c>
      <c r="N1456" s="4" t="s">
        <v>2272</v>
      </c>
      <c r="O1456" s="4" t="s">
        <v>2272</v>
      </c>
      <c r="P1456" s="4" t="s">
        <v>2272</v>
      </c>
      <c r="Q1456" s="4" t="s">
        <v>2272</v>
      </c>
      <c r="R1456" s="4" t="s">
        <v>2272</v>
      </c>
      <c r="S1456" s="4" t="s">
        <v>2272</v>
      </c>
      <c r="T1456" s="198"/>
    </row>
    <row r="1457" spans="1:20" ht="51" customHeight="1">
      <c r="A1457" s="11" t="s">
        <v>9220</v>
      </c>
      <c r="B1457" s="198" t="s">
        <v>2272</v>
      </c>
      <c r="C1457" s="198" t="s">
        <v>2641</v>
      </c>
      <c r="D1457" s="198" t="s">
        <v>135</v>
      </c>
      <c r="E1457" s="198" t="s">
        <v>2647</v>
      </c>
      <c r="F1457" s="198" t="s">
        <v>2272</v>
      </c>
      <c r="G1457" s="198" t="s">
        <v>2272</v>
      </c>
      <c r="H1457" s="4" t="s">
        <v>2272</v>
      </c>
      <c r="I1457" s="4" t="s">
        <v>2272</v>
      </c>
      <c r="J1457" s="4" t="s">
        <v>2272</v>
      </c>
      <c r="K1457" s="4" t="s">
        <v>2272</v>
      </c>
      <c r="L1457" s="4" t="s">
        <v>2272</v>
      </c>
      <c r="M1457" s="4" t="s">
        <v>2272</v>
      </c>
      <c r="N1457" s="4" t="s">
        <v>2272</v>
      </c>
      <c r="O1457" s="4" t="s">
        <v>2272</v>
      </c>
      <c r="P1457" s="4" t="s">
        <v>2272</v>
      </c>
      <c r="Q1457" s="4" t="s">
        <v>2272</v>
      </c>
      <c r="R1457" s="4" t="s">
        <v>2272</v>
      </c>
      <c r="S1457" s="4" t="s">
        <v>2272</v>
      </c>
      <c r="T1457" s="198"/>
    </row>
    <row r="1458" spans="1:20" ht="48" customHeight="1">
      <c r="A1458" s="11" t="s">
        <v>9242</v>
      </c>
      <c r="B1458" s="198" t="s">
        <v>1193</v>
      </c>
      <c r="C1458" s="198" t="s">
        <v>2272</v>
      </c>
      <c r="D1458" s="198" t="s">
        <v>135</v>
      </c>
      <c r="E1458" s="198" t="s">
        <v>2272</v>
      </c>
      <c r="F1458" s="198" t="s">
        <v>2272</v>
      </c>
      <c r="G1458" s="198" t="s">
        <v>2272</v>
      </c>
      <c r="H1458" s="198" t="s">
        <v>2272</v>
      </c>
      <c r="I1458" s="198" t="s">
        <v>2272</v>
      </c>
      <c r="J1458" s="198" t="s">
        <v>2272</v>
      </c>
      <c r="K1458" s="198" t="s">
        <v>2272</v>
      </c>
      <c r="L1458" s="198" t="s">
        <v>2272</v>
      </c>
      <c r="M1458" s="198" t="s">
        <v>2272</v>
      </c>
      <c r="N1458" s="4">
        <v>0</v>
      </c>
      <c r="O1458" s="4">
        <v>0</v>
      </c>
      <c r="P1458" s="4">
        <v>0</v>
      </c>
      <c r="Q1458" s="4">
        <v>0</v>
      </c>
      <c r="R1458" s="21">
        <v>100</v>
      </c>
      <c r="S1458" s="4" t="s">
        <v>2272</v>
      </c>
      <c r="T1458" s="198"/>
    </row>
    <row r="1459" spans="1:20" ht="50" customHeight="1">
      <c r="A1459" s="11" t="s">
        <v>9243</v>
      </c>
      <c r="B1459" s="198" t="s">
        <v>2272</v>
      </c>
      <c r="C1459" s="198" t="s">
        <v>11</v>
      </c>
      <c r="D1459" s="4" t="s">
        <v>394</v>
      </c>
      <c r="E1459" s="198" t="s">
        <v>2272</v>
      </c>
      <c r="F1459" s="198" t="s">
        <v>2272</v>
      </c>
      <c r="G1459" s="198" t="s">
        <v>2272</v>
      </c>
      <c r="H1459" s="198" t="s">
        <v>2272</v>
      </c>
      <c r="I1459" s="198" t="s">
        <v>2272</v>
      </c>
      <c r="J1459" s="198" t="s">
        <v>2272</v>
      </c>
      <c r="K1459" s="198" t="s">
        <v>2272</v>
      </c>
      <c r="L1459" s="198" t="s">
        <v>2272</v>
      </c>
      <c r="M1459" s="198" t="s">
        <v>2272</v>
      </c>
      <c r="N1459" s="4">
        <v>0</v>
      </c>
      <c r="O1459" s="4">
        <v>0</v>
      </c>
      <c r="P1459" s="21">
        <v>100</v>
      </c>
      <c r="Q1459" s="4">
        <v>0</v>
      </c>
      <c r="R1459" s="4">
        <v>0</v>
      </c>
      <c r="S1459" s="4" t="s">
        <v>2272</v>
      </c>
      <c r="T1459" s="198"/>
    </row>
    <row r="1460" spans="1:20" ht="48" customHeight="1">
      <c r="A1460" s="11" t="s">
        <v>9250</v>
      </c>
      <c r="B1460" s="198" t="s">
        <v>69</v>
      </c>
      <c r="C1460" s="198" t="s">
        <v>2640</v>
      </c>
      <c r="D1460" s="198" t="s">
        <v>2644</v>
      </c>
      <c r="E1460" s="198" t="s">
        <v>2272</v>
      </c>
      <c r="F1460" s="198" t="s">
        <v>2272</v>
      </c>
      <c r="G1460" s="198" t="s">
        <v>2272</v>
      </c>
      <c r="H1460" s="198" t="s">
        <v>2272</v>
      </c>
      <c r="I1460" s="198" t="s">
        <v>2272</v>
      </c>
      <c r="J1460" s="198" t="s">
        <v>2272</v>
      </c>
      <c r="K1460" s="198" t="s">
        <v>532</v>
      </c>
      <c r="L1460" s="198" t="s">
        <v>2272</v>
      </c>
      <c r="M1460" s="198" t="s">
        <v>2272</v>
      </c>
      <c r="N1460" s="21">
        <v>100</v>
      </c>
      <c r="O1460" s="4">
        <v>0</v>
      </c>
      <c r="P1460" s="4">
        <v>0</v>
      </c>
      <c r="Q1460" s="4">
        <v>0</v>
      </c>
      <c r="R1460" s="4">
        <v>0</v>
      </c>
      <c r="S1460" s="198" t="s">
        <v>2272</v>
      </c>
      <c r="T1460" s="198"/>
    </row>
    <row r="1461" spans="1:20" ht="45.5" customHeight="1">
      <c r="A1461" s="11" t="s">
        <v>9261</v>
      </c>
      <c r="B1461" s="198" t="s">
        <v>69</v>
      </c>
      <c r="C1461" s="198" t="s">
        <v>2640</v>
      </c>
      <c r="D1461" s="198" t="s">
        <v>2644</v>
      </c>
      <c r="E1461" s="198" t="s">
        <v>2272</v>
      </c>
      <c r="F1461" s="198" t="s">
        <v>2272</v>
      </c>
      <c r="G1461" s="198" t="s">
        <v>2272</v>
      </c>
      <c r="H1461" s="198" t="s">
        <v>2272</v>
      </c>
      <c r="I1461" s="198" t="s">
        <v>2272</v>
      </c>
      <c r="J1461" s="198" t="s">
        <v>2272</v>
      </c>
      <c r="K1461" s="198" t="s">
        <v>532</v>
      </c>
      <c r="L1461" s="198" t="s">
        <v>2272</v>
      </c>
      <c r="M1461" s="198">
        <v>6.7690000000000001</v>
      </c>
      <c r="N1461" s="21">
        <v>100</v>
      </c>
      <c r="O1461" s="4">
        <v>0</v>
      </c>
      <c r="P1461" s="4">
        <v>0</v>
      </c>
      <c r="Q1461" s="4">
        <v>0</v>
      </c>
      <c r="R1461" s="4">
        <v>0</v>
      </c>
      <c r="S1461" s="198" t="s">
        <v>2272</v>
      </c>
      <c r="T1461" s="198"/>
    </row>
    <row r="1462" spans="1:20" ht="45.5" customHeight="1">
      <c r="A1462" s="11" t="s">
        <v>9264</v>
      </c>
      <c r="B1462" s="198" t="s">
        <v>2272</v>
      </c>
      <c r="C1462" s="198" t="s">
        <v>2640</v>
      </c>
      <c r="D1462" s="198" t="s">
        <v>2644</v>
      </c>
      <c r="E1462" s="198" t="s">
        <v>2648</v>
      </c>
      <c r="F1462" s="4" t="s">
        <v>394</v>
      </c>
      <c r="G1462" s="4" t="s">
        <v>395</v>
      </c>
      <c r="H1462" s="198" t="s">
        <v>2272</v>
      </c>
      <c r="I1462" s="198" t="s">
        <v>2272</v>
      </c>
      <c r="J1462" s="198" t="s">
        <v>2272</v>
      </c>
      <c r="K1462" s="198" t="s">
        <v>532</v>
      </c>
      <c r="L1462" s="198" t="s">
        <v>2272</v>
      </c>
      <c r="M1462" s="198" t="s">
        <v>2272</v>
      </c>
      <c r="N1462" s="21">
        <v>14</v>
      </c>
      <c r="O1462" s="21">
        <v>12</v>
      </c>
      <c r="P1462" s="21">
        <v>10</v>
      </c>
      <c r="Q1462" s="198" t="s">
        <v>2272</v>
      </c>
      <c r="R1462" s="21">
        <v>50</v>
      </c>
      <c r="S1462" s="198" t="s">
        <v>2272</v>
      </c>
      <c r="T1462" s="198" t="s">
        <v>9277</v>
      </c>
    </row>
    <row r="1463" spans="1:20" ht="51" customHeight="1">
      <c r="A1463" s="11" t="s">
        <v>9273</v>
      </c>
      <c r="B1463" s="198" t="s">
        <v>31</v>
      </c>
      <c r="C1463" s="198" t="s">
        <v>11</v>
      </c>
      <c r="D1463" s="198" t="s">
        <v>2644</v>
      </c>
      <c r="E1463" s="4" t="s">
        <v>395</v>
      </c>
      <c r="F1463" s="198" t="s">
        <v>5795</v>
      </c>
      <c r="G1463" s="198" t="s">
        <v>2272</v>
      </c>
      <c r="H1463" s="198" t="s">
        <v>2272</v>
      </c>
      <c r="I1463" s="198" t="s">
        <v>2272</v>
      </c>
      <c r="J1463" s="198" t="s">
        <v>2272</v>
      </c>
      <c r="K1463" s="198" t="s">
        <v>532</v>
      </c>
      <c r="L1463" s="198" t="s">
        <v>2272</v>
      </c>
      <c r="M1463" s="198" t="s">
        <v>2272</v>
      </c>
      <c r="N1463" s="198" t="s">
        <v>2272</v>
      </c>
      <c r="O1463" s="198" t="s">
        <v>2272</v>
      </c>
      <c r="P1463" s="198" t="s">
        <v>2272</v>
      </c>
      <c r="Q1463" s="198" t="s">
        <v>2272</v>
      </c>
      <c r="R1463" s="198" t="s">
        <v>2272</v>
      </c>
      <c r="S1463" s="198" t="s">
        <v>2272</v>
      </c>
      <c r="T1463" s="198"/>
    </row>
    <row r="1464" spans="1:20" ht="44.5" customHeight="1">
      <c r="A1464" s="11" t="s">
        <v>9278</v>
      </c>
      <c r="B1464" s="198" t="s">
        <v>31</v>
      </c>
      <c r="C1464" s="198" t="s">
        <v>2640</v>
      </c>
      <c r="D1464" s="198" t="s">
        <v>2644</v>
      </c>
      <c r="E1464" s="198" t="s">
        <v>135</v>
      </c>
      <c r="F1464" s="198" t="s">
        <v>114</v>
      </c>
      <c r="G1464" s="198" t="s">
        <v>2272</v>
      </c>
      <c r="H1464" s="173" t="s">
        <v>2272</v>
      </c>
      <c r="I1464" s="198" t="s">
        <v>2272</v>
      </c>
      <c r="J1464" s="198" t="s">
        <v>2272</v>
      </c>
      <c r="K1464" s="198" t="s">
        <v>532</v>
      </c>
      <c r="L1464" s="198" t="s">
        <v>2272</v>
      </c>
      <c r="M1464" s="198" t="s">
        <v>2272</v>
      </c>
      <c r="N1464" s="198" t="s">
        <v>2272</v>
      </c>
      <c r="O1464" s="198" t="s">
        <v>2272</v>
      </c>
      <c r="P1464" s="198" t="s">
        <v>2272</v>
      </c>
      <c r="Q1464" s="198" t="s">
        <v>2272</v>
      </c>
      <c r="R1464" s="198" t="s">
        <v>2272</v>
      </c>
      <c r="S1464" s="198" t="s">
        <v>2272</v>
      </c>
      <c r="T1464" s="38" t="s">
        <v>9281</v>
      </c>
    </row>
    <row r="1465" spans="1:20" ht="40" customHeight="1">
      <c r="A1465" s="11" t="s">
        <v>9287</v>
      </c>
      <c r="B1465" s="198" t="s">
        <v>31</v>
      </c>
      <c r="C1465" s="198" t="s">
        <v>2640</v>
      </c>
      <c r="D1465" s="198" t="s">
        <v>2644</v>
      </c>
      <c r="E1465" s="198" t="s">
        <v>135</v>
      </c>
      <c r="F1465" s="198" t="s">
        <v>2648</v>
      </c>
      <c r="G1465" s="198" t="s">
        <v>2272</v>
      </c>
      <c r="H1465" s="173" t="s">
        <v>2272</v>
      </c>
      <c r="I1465" s="198" t="s">
        <v>2272</v>
      </c>
      <c r="J1465" s="198" t="s">
        <v>2272</v>
      </c>
      <c r="K1465" s="198" t="s">
        <v>532</v>
      </c>
      <c r="L1465" s="198" t="s">
        <v>2272</v>
      </c>
      <c r="M1465" s="198" t="s">
        <v>2272</v>
      </c>
      <c r="N1465" s="198" t="s">
        <v>2272</v>
      </c>
      <c r="O1465" s="198" t="s">
        <v>2272</v>
      </c>
      <c r="P1465" s="198" t="s">
        <v>2272</v>
      </c>
      <c r="Q1465" s="198" t="s">
        <v>2272</v>
      </c>
      <c r="R1465" s="198" t="s">
        <v>2272</v>
      </c>
      <c r="S1465" s="198" t="s">
        <v>2272</v>
      </c>
      <c r="T1465" s="198"/>
    </row>
    <row r="1466" spans="1:20" ht="42.5" customHeight="1">
      <c r="A1466" s="11" t="s">
        <v>9288</v>
      </c>
      <c r="B1466" s="198" t="s">
        <v>31</v>
      </c>
      <c r="C1466" s="198" t="s">
        <v>2640</v>
      </c>
      <c r="D1466" s="198" t="s">
        <v>2644</v>
      </c>
      <c r="E1466" s="198" t="s">
        <v>135</v>
      </c>
      <c r="F1466" s="198" t="s">
        <v>2648</v>
      </c>
      <c r="G1466" s="198" t="s">
        <v>2272</v>
      </c>
      <c r="H1466" s="173" t="s">
        <v>2272</v>
      </c>
      <c r="I1466" s="198" t="s">
        <v>2272</v>
      </c>
      <c r="J1466" s="198" t="s">
        <v>2272</v>
      </c>
      <c r="K1466" s="198" t="s">
        <v>532</v>
      </c>
      <c r="L1466" s="198" t="s">
        <v>2272</v>
      </c>
      <c r="M1466" s="198" t="s">
        <v>2272</v>
      </c>
      <c r="N1466" s="198" t="s">
        <v>2272</v>
      </c>
      <c r="O1466" s="198" t="s">
        <v>2272</v>
      </c>
      <c r="P1466" s="198" t="s">
        <v>2272</v>
      </c>
      <c r="Q1466" s="198" t="s">
        <v>2272</v>
      </c>
      <c r="R1466" s="198" t="s">
        <v>2272</v>
      </c>
      <c r="S1466" s="198" t="s">
        <v>2272</v>
      </c>
      <c r="T1466" s="198"/>
    </row>
    <row r="1467" spans="1:20" ht="37" customHeight="1">
      <c r="A1467" s="11" t="s">
        <v>9299</v>
      </c>
      <c r="B1467" s="198" t="s">
        <v>1193</v>
      </c>
      <c r="C1467" s="198" t="s">
        <v>2640</v>
      </c>
      <c r="D1467" s="198" t="s">
        <v>3204</v>
      </c>
      <c r="E1467" s="198" t="s">
        <v>2644</v>
      </c>
      <c r="F1467" s="198" t="s">
        <v>135</v>
      </c>
      <c r="G1467" s="198" t="s">
        <v>2272</v>
      </c>
      <c r="H1467" s="173" t="s">
        <v>2272</v>
      </c>
      <c r="I1467" s="198" t="s">
        <v>2272</v>
      </c>
      <c r="J1467" s="198" t="s">
        <v>2272</v>
      </c>
      <c r="K1467" s="198" t="s">
        <v>2272</v>
      </c>
      <c r="L1467" s="198" t="s">
        <v>2272</v>
      </c>
      <c r="M1467" s="198" t="s">
        <v>2272</v>
      </c>
      <c r="N1467" s="198" t="s">
        <v>2272</v>
      </c>
      <c r="O1467" s="198" t="s">
        <v>2272</v>
      </c>
      <c r="P1467" s="198" t="s">
        <v>2272</v>
      </c>
      <c r="Q1467" s="198" t="s">
        <v>2272</v>
      </c>
      <c r="R1467" s="198" t="s">
        <v>2272</v>
      </c>
      <c r="S1467" s="198" t="s">
        <v>2272</v>
      </c>
      <c r="T1467" s="198"/>
    </row>
    <row r="1468" spans="1:20" ht="42.5" customHeight="1">
      <c r="A1468" s="11" t="s">
        <v>9307</v>
      </c>
      <c r="B1468" s="198" t="s">
        <v>31</v>
      </c>
      <c r="C1468" s="198" t="s">
        <v>2272</v>
      </c>
      <c r="D1468" s="198" t="s">
        <v>2644</v>
      </c>
      <c r="E1468" s="198" t="s">
        <v>135</v>
      </c>
      <c r="F1468" s="198" t="s">
        <v>2648</v>
      </c>
      <c r="G1468" s="198" t="s">
        <v>114</v>
      </c>
      <c r="H1468" s="173" t="s">
        <v>2272</v>
      </c>
      <c r="I1468" s="173" t="s">
        <v>2272</v>
      </c>
      <c r="J1468" s="173" t="s">
        <v>2272</v>
      </c>
      <c r="K1468" s="173" t="s">
        <v>2272</v>
      </c>
      <c r="L1468" s="173" t="s">
        <v>2272</v>
      </c>
      <c r="M1468" s="173" t="s">
        <v>2272</v>
      </c>
      <c r="N1468" s="173" t="s">
        <v>2272</v>
      </c>
      <c r="O1468" s="173" t="s">
        <v>2272</v>
      </c>
      <c r="P1468" s="173" t="s">
        <v>2272</v>
      </c>
      <c r="Q1468" s="173" t="s">
        <v>2272</v>
      </c>
      <c r="R1468" s="173" t="s">
        <v>2272</v>
      </c>
      <c r="S1468" s="173" t="s">
        <v>2272</v>
      </c>
      <c r="T1468" s="198"/>
    </row>
    <row r="1469" spans="1:20" ht="42.5" customHeight="1">
      <c r="A1469" s="11" t="s">
        <v>9330</v>
      </c>
      <c r="B1469" s="198" t="s">
        <v>31</v>
      </c>
      <c r="C1469" s="198" t="s">
        <v>2272</v>
      </c>
      <c r="D1469" s="198" t="s">
        <v>2648</v>
      </c>
      <c r="E1469" s="198" t="s">
        <v>3204</v>
      </c>
      <c r="F1469" s="198" t="s">
        <v>2272</v>
      </c>
      <c r="G1469" s="198" t="s">
        <v>2272</v>
      </c>
      <c r="H1469" s="198" t="s">
        <v>2272</v>
      </c>
      <c r="I1469" s="198" t="s">
        <v>2272</v>
      </c>
      <c r="J1469" s="198" t="s">
        <v>2272</v>
      </c>
      <c r="K1469" s="198" t="s">
        <v>2272</v>
      </c>
      <c r="L1469" s="198" t="s">
        <v>2272</v>
      </c>
      <c r="M1469" s="198" t="s">
        <v>2272</v>
      </c>
      <c r="N1469" s="198" t="s">
        <v>2272</v>
      </c>
      <c r="O1469" s="198" t="s">
        <v>2272</v>
      </c>
      <c r="P1469" s="198" t="s">
        <v>2272</v>
      </c>
      <c r="Q1469" s="198" t="s">
        <v>2272</v>
      </c>
      <c r="R1469" s="198" t="s">
        <v>2272</v>
      </c>
      <c r="S1469" s="198" t="s">
        <v>2272</v>
      </c>
      <c r="T1469" s="198"/>
    </row>
    <row r="1470" spans="1:20" ht="42.5" customHeight="1">
      <c r="A1470" s="11" t="s">
        <v>9331</v>
      </c>
      <c r="B1470" s="198" t="s">
        <v>31</v>
      </c>
      <c r="C1470" s="198" t="s">
        <v>2272</v>
      </c>
      <c r="D1470" s="198" t="s">
        <v>2648</v>
      </c>
      <c r="E1470" s="198" t="s">
        <v>3204</v>
      </c>
      <c r="F1470" s="198" t="s">
        <v>2272</v>
      </c>
      <c r="G1470" s="198" t="s">
        <v>2272</v>
      </c>
      <c r="H1470" s="198" t="s">
        <v>2272</v>
      </c>
      <c r="I1470" s="198" t="s">
        <v>2272</v>
      </c>
      <c r="J1470" s="198" t="s">
        <v>2272</v>
      </c>
      <c r="K1470" s="198" t="s">
        <v>2272</v>
      </c>
      <c r="L1470" s="198" t="s">
        <v>2272</v>
      </c>
      <c r="M1470" s="198" t="s">
        <v>2272</v>
      </c>
      <c r="N1470" s="198" t="s">
        <v>2272</v>
      </c>
      <c r="O1470" s="198" t="s">
        <v>2272</v>
      </c>
      <c r="P1470" s="198" t="s">
        <v>2272</v>
      </c>
      <c r="Q1470" s="198" t="s">
        <v>2272</v>
      </c>
      <c r="R1470" s="198" t="s">
        <v>2272</v>
      </c>
      <c r="S1470" s="198" t="s">
        <v>2272</v>
      </c>
      <c r="T1470" s="198"/>
    </row>
    <row r="1471" spans="1:20" ht="42.5" customHeight="1">
      <c r="A1471" s="11" t="s">
        <v>9332</v>
      </c>
      <c r="B1471" s="198" t="s">
        <v>31</v>
      </c>
      <c r="C1471" s="198" t="s">
        <v>2272</v>
      </c>
      <c r="D1471" s="198" t="s">
        <v>2648</v>
      </c>
      <c r="E1471" s="198" t="s">
        <v>3204</v>
      </c>
      <c r="F1471" s="198" t="s">
        <v>2272</v>
      </c>
      <c r="G1471" s="198" t="s">
        <v>2272</v>
      </c>
      <c r="H1471" s="198" t="s">
        <v>2272</v>
      </c>
      <c r="I1471" s="198" t="s">
        <v>2272</v>
      </c>
      <c r="J1471" s="198" t="s">
        <v>2272</v>
      </c>
      <c r="K1471" s="198" t="s">
        <v>2272</v>
      </c>
      <c r="L1471" s="198" t="s">
        <v>2272</v>
      </c>
      <c r="M1471" s="198" t="s">
        <v>2272</v>
      </c>
      <c r="N1471" s="198" t="s">
        <v>2272</v>
      </c>
      <c r="O1471" s="198" t="s">
        <v>2272</v>
      </c>
      <c r="P1471" s="198" t="s">
        <v>2272</v>
      </c>
      <c r="Q1471" s="198" t="s">
        <v>2272</v>
      </c>
      <c r="R1471" s="198" t="s">
        <v>2272</v>
      </c>
      <c r="S1471" s="198" t="s">
        <v>2272</v>
      </c>
      <c r="T1471" s="198"/>
    </row>
    <row r="1472" spans="1:20" ht="42.5" customHeight="1">
      <c r="A1472" s="11" t="s">
        <v>9333</v>
      </c>
      <c r="B1472" s="198" t="s">
        <v>31</v>
      </c>
      <c r="C1472" s="198" t="s">
        <v>2272</v>
      </c>
      <c r="D1472" s="198" t="s">
        <v>2648</v>
      </c>
      <c r="E1472" s="198" t="s">
        <v>3204</v>
      </c>
      <c r="F1472" s="198" t="s">
        <v>2272</v>
      </c>
      <c r="G1472" s="198" t="s">
        <v>2272</v>
      </c>
      <c r="H1472" s="198" t="s">
        <v>2272</v>
      </c>
      <c r="I1472" s="198" t="s">
        <v>2272</v>
      </c>
      <c r="J1472" s="198" t="s">
        <v>2272</v>
      </c>
      <c r="K1472" s="198" t="s">
        <v>2272</v>
      </c>
      <c r="L1472" s="198" t="s">
        <v>2272</v>
      </c>
      <c r="M1472" s="198" t="s">
        <v>2272</v>
      </c>
      <c r="N1472" s="198" t="s">
        <v>2272</v>
      </c>
      <c r="O1472" s="198" t="s">
        <v>2272</v>
      </c>
      <c r="P1472" s="198" t="s">
        <v>2272</v>
      </c>
      <c r="Q1472" s="198" t="s">
        <v>2272</v>
      </c>
      <c r="R1472" s="198" t="s">
        <v>2272</v>
      </c>
      <c r="S1472" s="198" t="s">
        <v>2272</v>
      </c>
      <c r="T1472" s="198"/>
    </row>
    <row r="1473" spans="1:20" ht="42.5" customHeight="1">
      <c r="A1473" s="11" t="s">
        <v>9334</v>
      </c>
      <c r="B1473" s="198" t="s">
        <v>31</v>
      </c>
      <c r="C1473" s="198" t="s">
        <v>2272</v>
      </c>
      <c r="D1473" s="198" t="s">
        <v>2648</v>
      </c>
      <c r="E1473" s="198" t="s">
        <v>3204</v>
      </c>
      <c r="F1473" s="198" t="s">
        <v>2272</v>
      </c>
      <c r="G1473" s="198" t="s">
        <v>2272</v>
      </c>
      <c r="H1473" s="198" t="s">
        <v>2272</v>
      </c>
      <c r="I1473" s="198" t="s">
        <v>2272</v>
      </c>
      <c r="J1473" s="198" t="s">
        <v>2272</v>
      </c>
      <c r="K1473" s="198" t="s">
        <v>2272</v>
      </c>
      <c r="L1473" s="198" t="s">
        <v>2272</v>
      </c>
      <c r="M1473" s="198" t="s">
        <v>2272</v>
      </c>
      <c r="N1473" s="198" t="s">
        <v>2272</v>
      </c>
      <c r="O1473" s="198" t="s">
        <v>2272</v>
      </c>
      <c r="P1473" s="198" t="s">
        <v>2272</v>
      </c>
      <c r="Q1473" s="198" t="s">
        <v>2272</v>
      </c>
      <c r="R1473" s="198" t="s">
        <v>2272</v>
      </c>
      <c r="S1473" s="198" t="s">
        <v>2272</v>
      </c>
      <c r="T1473" s="198"/>
    </row>
    <row r="1474" spans="1:20" ht="42.5" customHeight="1">
      <c r="A1474" s="11" t="s">
        <v>9335</v>
      </c>
      <c r="B1474" s="198" t="s">
        <v>31</v>
      </c>
      <c r="C1474" s="198" t="s">
        <v>2272</v>
      </c>
      <c r="D1474" s="198" t="s">
        <v>2648</v>
      </c>
      <c r="E1474" s="198" t="s">
        <v>3204</v>
      </c>
      <c r="F1474" s="198" t="s">
        <v>2272</v>
      </c>
      <c r="G1474" s="198" t="s">
        <v>2272</v>
      </c>
      <c r="H1474" s="198" t="s">
        <v>2272</v>
      </c>
      <c r="I1474" s="198" t="s">
        <v>2272</v>
      </c>
      <c r="J1474" s="198" t="s">
        <v>2272</v>
      </c>
      <c r="K1474" s="198" t="s">
        <v>2272</v>
      </c>
      <c r="L1474" s="198" t="s">
        <v>2272</v>
      </c>
      <c r="M1474" s="198" t="s">
        <v>2272</v>
      </c>
      <c r="N1474" s="198" t="s">
        <v>2272</v>
      </c>
      <c r="O1474" s="198" t="s">
        <v>2272</v>
      </c>
      <c r="P1474" s="198" t="s">
        <v>2272</v>
      </c>
      <c r="Q1474" s="198" t="s">
        <v>2272</v>
      </c>
      <c r="R1474" s="198" t="s">
        <v>2272</v>
      </c>
      <c r="S1474" s="198" t="s">
        <v>2272</v>
      </c>
      <c r="T1474" s="198"/>
    </row>
    <row r="1475" spans="1:20" ht="42.5" customHeight="1">
      <c r="A1475" s="11" t="s">
        <v>9336</v>
      </c>
      <c r="B1475" s="198" t="s">
        <v>31</v>
      </c>
      <c r="C1475" s="198" t="s">
        <v>2272</v>
      </c>
      <c r="D1475" s="198" t="s">
        <v>2648</v>
      </c>
      <c r="E1475" s="198" t="s">
        <v>3204</v>
      </c>
      <c r="F1475" s="198" t="s">
        <v>2272</v>
      </c>
      <c r="G1475" s="198" t="s">
        <v>2272</v>
      </c>
      <c r="H1475" s="198" t="s">
        <v>2272</v>
      </c>
      <c r="I1475" s="198" t="s">
        <v>2272</v>
      </c>
      <c r="J1475" s="198" t="s">
        <v>2272</v>
      </c>
      <c r="K1475" s="198" t="s">
        <v>2272</v>
      </c>
      <c r="L1475" s="198" t="s">
        <v>2272</v>
      </c>
      <c r="M1475" s="198" t="s">
        <v>2272</v>
      </c>
      <c r="N1475" s="198" t="s">
        <v>2272</v>
      </c>
      <c r="O1475" s="198" t="s">
        <v>2272</v>
      </c>
      <c r="P1475" s="198" t="s">
        <v>2272</v>
      </c>
      <c r="Q1475" s="198" t="s">
        <v>2272</v>
      </c>
      <c r="R1475" s="198" t="s">
        <v>2272</v>
      </c>
      <c r="S1475" s="198" t="s">
        <v>2272</v>
      </c>
      <c r="T1475" s="198"/>
    </row>
    <row r="1476" spans="1:20" ht="42.5" customHeight="1">
      <c r="A1476" s="11" t="s">
        <v>9337</v>
      </c>
      <c r="B1476" s="198" t="s">
        <v>31</v>
      </c>
      <c r="C1476" s="198" t="s">
        <v>2272</v>
      </c>
      <c r="D1476" s="198" t="s">
        <v>2648</v>
      </c>
      <c r="E1476" s="198" t="s">
        <v>3204</v>
      </c>
      <c r="F1476" s="198" t="s">
        <v>2272</v>
      </c>
      <c r="G1476" s="198" t="s">
        <v>2272</v>
      </c>
      <c r="H1476" s="198" t="s">
        <v>2272</v>
      </c>
      <c r="I1476" s="198" t="s">
        <v>2272</v>
      </c>
      <c r="J1476" s="198" t="s">
        <v>2272</v>
      </c>
      <c r="K1476" s="198" t="s">
        <v>2272</v>
      </c>
      <c r="L1476" s="198" t="s">
        <v>2272</v>
      </c>
      <c r="M1476" s="198" t="s">
        <v>2272</v>
      </c>
      <c r="N1476" s="198" t="s">
        <v>2272</v>
      </c>
      <c r="O1476" s="198" t="s">
        <v>2272</v>
      </c>
      <c r="P1476" s="198" t="s">
        <v>2272</v>
      </c>
      <c r="Q1476" s="198" t="s">
        <v>2272</v>
      </c>
      <c r="R1476" s="198" t="s">
        <v>2272</v>
      </c>
      <c r="S1476" s="198" t="s">
        <v>2272</v>
      </c>
      <c r="T1476" s="198"/>
    </row>
    <row r="1477" spans="1:20" ht="42.5" customHeight="1">
      <c r="A1477" s="11" t="s">
        <v>9338</v>
      </c>
      <c r="B1477" s="198" t="s">
        <v>31</v>
      </c>
      <c r="C1477" s="198" t="s">
        <v>2272</v>
      </c>
      <c r="D1477" s="198" t="s">
        <v>2648</v>
      </c>
      <c r="E1477" s="198" t="s">
        <v>3204</v>
      </c>
      <c r="F1477" s="198" t="s">
        <v>2272</v>
      </c>
      <c r="G1477" s="198" t="s">
        <v>2272</v>
      </c>
      <c r="H1477" s="198" t="s">
        <v>2272</v>
      </c>
      <c r="I1477" s="198" t="s">
        <v>2272</v>
      </c>
      <c r="J1477" s="198" t="s">
        <v>2272</v>
      </c>
      <c r="K1477" s="198" t="s">
        <v>2272</v>
      </c>
      <c r="L1477" s="198" t="s">
        <v>2272</v>
      </c>
      <c r="M1477" s="198" t="s">
        <v>2272</v>
      </c>
      <c r="N1477" s="198" t="s">
        <v>2272</v>
      </c>
      <c r="O1477" s="198" t="s">
        <v>2272</v>
      </c>
      <c r="P1477" s="198" t="s">
        <v>2272</v>
      </c>
      <c r="Q1477" s="198" t="s">
        <v>2272</v>
      </c>
      <c r="R1477" s="198" t="s">
        <v>2272</v>
      </c>
      <c r="S1477" s="198" t="s">
        <v>2272</v>
      </c>
      <c r="T1477" s="198"/>
    </row>
    <row r="1478" spans="1:20" ht="42.5" customHeight="1">
      <c r="A1478" s="11" t="s">
        <v>9339</v>
      </c>
      <c r="B1478" s="198" t="s">
        <v>31</v>
      </c>
      <c r="C1478" s="198" t="s">
        <v>2272</v>
      </c>
      <c r="D1478" s="198" t="s">
        <v>2648</v>
      </c>
      <c r="E1478" s="198" t="s">
        <v>3204</v>
      </c>
      <c r="F1478" s="198" t="s">
        <v>2272</v>
      </c>
      <c r="G1478" s="198" t="s">
        <v>2272</v>
      </c>
      <c r="H1478" s="198" t="s">
        <v>2272</v>
      </c>
      <c r="I1478" s="198" t="s">
        <v>2272</v>
      </c>
      <c r="J1478" s="198" t="s">
        <v>2272</v>
      </c>
      <c r="K1478" s="198" t="s">
        <v>2272</v>
      </c>
      <c r="L1478" s="198" t="s">
        <v>2272</v>
      </c>
      <c r="M1478" s="198" t="s">
        <v>2272</v>
      </c>
      <c r="N1478" s="198" t="s">
        <v>2272</v>
      </c>
      <c r="O1478" s="198" t="s">
        <v>2272</v>
      </c>
      <c r="P1478" s="198" t="s">
        <v>2272</v>
      </c>
      <c r="Q1478" s="198" t="s">
        <v>2272</v>
      </c>
      <c r="R1478" s="198" t="s">
        <v>2272</v>
      </c>
      <c r="S1478" s="198" t="s">
        <v>2272</v>
      </c>
      <c r="T1478" s="198"/>
    </row>
    <row r="1479" spans="1:20" ht="42.5" customHeight="1">
      <c r="A1479" s="11" t="s">
        <v>9340</v>
      </c>
      <c r="B1479" s="198" t="s">
        <v>31</v>
      </c>
      <c r="C1479" s="198" t="s">
        <v>2272</v>
      </c>
      <c r="D1479" s="198" t="s">
        <v>2648</v>
      </c>
      <c r="E1479" s="198" t="s">
        <v>3204</v>
      </c>
      <c r="F1479" s="198" t="s">
        <v>2272</v>
      </c>
      <c r="G1479" s="198" t="s">
        <v>2272</v>
      </c>
      <c r="H1479" s="198" t="s">
        <v>2272</v>
      </c>
      <c r="I1479" s="198" t="s">
        <v>2272</v>
      </c>
      <c r="J1479" s="198" t="s">
        <v>2272</v>
      </c>
      <c r="K1479" s="198" t="s">
        <v>2272</v>
      </c>
      <c r="L1479" s="198" t="s">
        <v>2272</v>
      </c>
      <c r="M1479" s="198" t="s">
        <v>2272</v>
      </c>
      <c r="N1479" s="198" t="s">
        <v>2272</v>
      </c>
      <c r="O1479" s="198" t="s">
        <v>2272</v>
      </c>
      <c r="P1479" s="198" t="s">
        <v>2272</v>
      </c>
      <c r="Q1479" s="198" t="s">
        <v>2272</v>
      </c>
      <c r="R1479" s="198" t="s">
        <v>2272</v>
      </c>
      <c r="S1479" s="198" t="s">
        <v>2272</v>
      </c>
      <c r="T1479" s="198"/>
    </row>
    <row r="1480" spans="1:20" ht="40" customHeight="1">
      <c r="A1480" s="11" t="s">
        <v>9356</v>
      </c>
      <c r="B1480" s="198" t="s">
        <v>2272</v>
      </c>
      <c r="C1480" s="198" t="s">
        <v>11</v>
      </c>
      <c r="D1480" s="198" t="s">
        <v>860</v>
      </c>
      <c r="E1480" s="198" t="s">
        <v>2272</v>
      </c>
      <c r="F1480" s="198" t="s">
        <v>2272</v>
      </c>
      <c r="G1480" s="198" t="s">
        <v>2272</v>
      </c>
      <c r="H1480" s="198" t="s">
        <v>2272</v>
      </c>
      <c r="I1480" s="198" t="s">
        <v>2272</v>
      </c>
      <c r="J1480" s="198" t="s">
        <v>2272</v>
      </c>
      <c r="K1480" s="198" t="s">
        <v>532</v>
      </c>
      <c r="L1480" s="198" t="s">
        <v>2272</v>
      </c>
      <c r="M1480" s="198" t="s">
        <v>2272</v>
      </c>
      <c r="N1480" s="198" t="s">
        <v>2272</v>
      </c>
      <c r="O1480" s="198" t="s">
        <v>2272</v>
      </c>
      <c r="P1480" s="198" t="s">
        <v>2272</v>
      </c>
      <c r="Q1480" s="21">
        <f>100*205/1118</f>
        <v>18.336314847942756</v>
      </c>
      <c r="R1480" s="21">
        <f>100*338/1118</f>
        <v>30.232558139534884</v>
      </c>
      <c r="S1480" s="21">
        <v>1.325</v>
      </c>
      <c r="T1480" s="198" t="s">
        <v>9359</v>
      </c>
    </row>
    <row r="1481" spans="1:20" ht="41" customHeight="1">
      <c r="A1481" s="11" t="s">
        <v>9366</v>
      </c>
      <c r="B1481" s="198" t="s">
        <v>2272</v>
      </c>
      <c r="C1481" s="198" t="s">
        <v>2272</v>
      </c>
      <c r="D1481" s="198" t="s">
        <v>2272</v>
      </c>
      <c r="E1481" s="198" t="s">
        <v>2272</v>
      </c>
      <c r="F1481" s="198" t="s">
        <v>2272</v>
      </c>
      <c r="G1481" s="198" t="s">
        <v>2272</v>
      </c>
      <c r="H1481" s="198" t="s">
        <v>2272</v>
      </c>
      <c r="I1481" s="198" t="s">
        <v>2272</v>
      </c>
      <c r="J1481" s="198" t="s">
        <v>2272</v>
      </c>
      <c r="K1481" s="198" t="s">
        <v>2272</v>
      </c>
      <c r="L1481" s="198" t="s">
        <v>2272</v>
      </c>
      <c r="M1481" s="198" t="s">
        <v>2272</v>
      </c>
      <c r="N1481" s="198" t="s">
        <v>2272</v>
      </c>
      <c r="O1481" s="198" t="s">
        <v>2272</v>
      </c>
      <c r="P1481" s="198" t="s">
        <v>2272</v>
      </c>
      <c r="Q1481" s="198" t="s">
        <v>2272</v>
      </c>
      <c r="R1481" s="198" t="s">
        <v>2272</v>
      </c>
      <c r="S1481" s="21">
        <v>1.325</v>
      </c>
      <c r="T1481" s="198"/>
    </row>
    <row r="1482" spans="1:20" ht="45.5" customHeight="1">
      <c r="A1482" s="11" t="s">
        <v>9367</v>
      </c>
      <c r="B1482" s="198" t="s">
        <v>31</v>
      </c>
      <c r="C1482" s="198" t="s">
        <v>11</v>
      </c>
      <c r="D1482" s="198" t="s">
        <v>114</v>
      </c>
      <c r="E1482" s="198" t="s">
        <v>44</v>
      </c>
      <c r="F1482" s="198" t="s">
        <v>5000</v>
      </c>
      <c r="G1482" s="198" t="s">
        <v>135</v>
      </c>
      <c r="H1482" s="198" t="s">
        <v>2272</v>
      </c>
      <c r="I1482" s="198" t="s">
        <v>2272</v>
      </c>
      <c r="J1482" s="198" t="s">
        <v>2272</v>
      </c>
      <c r="K1482" s="198" t="s">
        <v>532</v>
      </c>
      <c r="L1482" s="198">
        <f>AVERAGE(0.48, 0.1, 0.35, 0.6, 0.275)</f>
        <v>0.36099999999999993</v>
      </c>
      <c r="M1482" s="198" t="s">
        <v>2272</v>
      </c>
      <c r="N1482" s="198" t="s">
        <v>2272</v>
      </c>
      <c r="O1482" s="198" t="s">
        <v>2272</v>
      </c>
      <c r="P1482" s="198" t="s">
        <v>2272</v>
      </c>
      <c r="Q1482" s="21">
        <v>50</v>
      </c>
      <c r="R1482" s="21">
        <v>50</v>
      </c>
      <c r="S1482" s="198" t="s">
        <v>2272</v>
      </c>
      <c r="T1482" s="4" t="s">
        <v>9380</v>
      </c>
    </row>
    <row r="1483" spans="1:20" ht="45.5" customHeight="1">
      <c r="A1483" s="11" t="s">
        <v>9390</v>
      </c>
      <c r="B1483" s="198" t="s">
        <v>2254</v>
      </c>
      <c r="C1483" s="198" t="s">
        <v>11</v>
      </c>
      <c r="D1483" s="198" t="s">
        <v>128</v>
      </c>
      <c r="E1483" s="4" t="s">
        <v>3850</v>
      </c>
      <c r="F1483" s="198" t="s">
        <v>82</v>
      </c>
      <c r="G1483" s="198" t="s">
        <v>2644</v>
      </c>
      <c r="H1483" s="198" t="s">
        <v>2272</v>
      </c>
      <c r="I1483" s="198">
        <v>8</v>
      </c>
      <c r="J1483" s="198" t="s">
        <v>2272</v>
      </c>
      <c r="K1483" s="198" t="s">
        <v>532</v>
      </c>
      <c r="L1483" s="198" t="s">
        <v>2272</v>
      </c>
      <c r="M1483" s="198" t="s">
        <v>2272</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198"/>
    </row>
    <row r="1484" spans="1:20" ht="48" customHeight="1">
      <c r="A1484" s="11" t="s">
        <v>9399</v>
      </c>
      <c r="B1484" s="198" t="s">
        <v>2254</v>
      </c>
      <c r="C1484" s="198" t="s">
        <v>11</v>
      </c>
      <c r="D1484" s="198" t="s">
        <v>128</v>
      </c>
      <c r="E1484" s="4" t="s">
        <v>3850</v>
      </c>
      <c r="F1484" s="198" t="s">
        <v>82</v>
      </c>
      <c r="G1484" s="198" t="s">
        <v>2644</v>
      </c>
      <c r="H1484" s="198" t="s">
        <v>2272</v>
      </c>
      <c r="I1484" s="198" t="s">
        <v>2272</v>
      </c>
      <c r="J1484" s="198" t="s">
        <v>2272</v>
      </c>
      <c r="K1484" s="198" t="s">
        <v>532</v>
      </c>
      <c r="L1484" s="198" t="s">
        <v>2272</v>
      </c>
      <c r="M1484" s="198" t="s">
        <v>2272</v>
      </c>
      <c r="N1484" s="198" t="s">
        <v>2272</v>
      </c>
      <c r="O1484" s="198" t="s">
        <v>2272</v>
      </c>
      <c r="P1484" s="198" t="s">
        <v>2272</v>
      </c>
      <c r="Q1484" s="198" t="s">
        <v>2272</v>
      </c>
      <c r="R1484" s="198" t="s">
        <v>2272</v>
      </c>
      <c r="S1484" s="198" t="s">
        <v>2272</v>
      </c>
      <c r="T1484" s="11" t="s">
        <v>9402</v>
      </c>
    </row>
    <row r="1485" spans="1:20" ht="44.5" customHeight="1">
      <c r="A1485" s="11" t="s">
        <v>9411</v>
      </c>
      <c r="B1485" s="198" t="s">
        <v>2254</v>
      </c>
      <c r="C1485" s="198" t="s">
        <v>11</v>
      </c>
      <c r="D1485" s="198" t="s">
        <v>44</v>
      </c>
      <c r="E1485" s="4" t="s">
        <v>128</v>
      </c>
      <c r="F1485" s="4" t="s">
        <v>2646</v>
      </c>
      <c r="G1485" s="4" t="s">
        <v>2645</v>
      </c>
      <c r="H1485" s="198" t="s">
        <v>2272</v>
      </c>
      <c r="I1485" s="198">
        <v>1.5</v>
      </c>
      <c r="J1485" s="198" t="s">
        <v>2272</v>
      </c>
      <c r="K1485" s="198" t="s">
        <v>532</v>
      </c>
      <c r="L1485" s="198" t="s">
        <v>2272</v>
      </c>
      <c r="M1485" s="198" t="s">
        <v>2272</v>
      </c>
      <c r="N1485" s="198" t="s">
        <v>2272</v>
      </c>
      <c r="O1485" s="198" t="s">
        <v>2272</v>
      </c>
      <c r="P1485" s="198" t="s">
        <v>2272</v>
      </c>
      <c r="Q1485" s="198" t="s">
        <v>2272</v>
      </c>
      <c r="R1485" s="198" t="s">
        <v>2272</v>
      </c>
      <c r="S1485" s="198" t="s">
        <v>2272</v>
      </c>
      <c r="T1485" s="19" t="s">
        <v>9422</v>
      </c>
    </row>
    <row r="1486" spans="1:20" ht="44.5" customHeight="1">
      <c r="A1486" s="11" t="s">
        <v>9417</v>
      </c>
      <c r="B1486" s="198" t="s">
        <v>2254</v>
      </c>
      <c r="C1486" s="198" t="s">
        <v>11</v>
      </c>
      <c r="D1486" s="198" t="s">
        <v>44</v>
      </c>
      <c r="E1486" s="4" t="s">
        <v>128</v>
      </c>
      <c r="F1486" s="4" t="s">
        <v>2646</v>
      </c>
      <c r="G1486" s="4" t="s">
        <v>2645</v>
      </c>
      <c r="H1486" s="198" t="s">
        <v>2272</v>
      </c>
      <c r="I1486" s="198">
        <v>1.5</v>
      </c>
      <c r="J1486" s="198" t="s">
        <v>2272</v>
      </c>
      <c r="K1486" s="198" t="s">
        <v>532</v>
      </c>
      <c r="L1486" s="198" t="s">
        <v>2272</v>
      </c>
      <c r="M1486" s="198" t="s">
        <v>2272</v>
      </c>
      <c r="N1486" s="198" t="s">
        <v>2272</v>
      </c>
      <c r="O1486" s="198" t="s">
        <v>2272</v>
      </c>
      <c r="P1486" s="198" t="s">
        <v>2272</v>
      </c>
      <c r="Q1486" s="198" t="s">
        <v>2272</v>
      </c>
      <c r="R1486" s="198" t="s">
        <v>2272</v>
      </c>
      <c r="S1486" s="198" t="s">
        <v>2272</v>
      </c>
      <c r="T1486" s="19" t="s">
        <v>9422</v>
      </c>
    </row>
    <row r="1487" spans="1:20" ht="44.5" customHeight="1">
      <c r="A1487" s="11" t="s">
        <v>9418</v>
      </c>
      <c r="B1487" s="198" t="s">
        <v>2254</v>
      </c>
      <c r="C1487" s="198" t="s">
        <v>11</v>
      </c>
      <c r="D1487" s="198" t="s">
        <v>44</v>
      </c>
      <c r="E1487" s="4" t="s">
        <v>128</v>
      </c>
      <c r="F1487" s="4" t="s">
        <v>2646</v>
      </c>
      <c r="G1487" s="4" t="s">
        <v>2645</v>
      </c>
      <c r="H1487" s="198" t="s">
        <v>2272</v>
      </c>
      <c r="I1487" s="198">
        <v>1.5</v>
      </c>
      <c r="J1487" s="198" t="s">
        <v>2272</v>
      </c>
      <c r="K1487" s="198" t="s">
        <v>532</v>
      </c>
      <c r="L1487" s="198" t="s">
        <v>2272</v>
      </c>
      <c r="M1487" s="198" t="s">
        <v>2272</v>
      </c>
      <c r="N1487" s="198" t="s">
        <v>2272</v>
      </c>
      <c r="O1487" s="198" t="s">
        <v>2272</v>
      </c>
      <c r="P1487" s="198" t="s">
        <v>2272</v>
      </c>
      <c r="Q1487" s="198" t="s">
        <v>2272</v>
      </c>
      <c r="R1487" s="198" t="s">
        <v>2272</v>
      </c>
      <c r="S1487" s="198" t="s">
        <v>2272</v>
      </c>
      <c r="T1487" s="19" t="s">
        <v>9422</v>
      </c>
    </row>
    <row r="1488" spans="1:20" ht="44.5" customHeight="1">
      <c r="A1488" s="11" t="s">
        <v>9419</v>
      </c>
      <c r="B1488" s="198" t="s">
        <v>2254</v>
      </c>
      <c r="C1488" s="198" t="s">
        <v>11</v>
      </c>
      <c r="D1488" s="4" t="s">
        <v>2646</v>
      </c>
      <c r="E1488" s="4" t="s">
        <v>2645</v>
      </c>
      <c r="F1488" s="4" t="s">
        <v>128</v>
      </c>
      <c r="G1488" s="4" t="s">
        <v>135</v>
      </c>
      <c r="H1488" s="198" t="s">
        <v>2272</v>
      </c>
      <c r="I1488" s="198">
        <v>1.5</v>
      </c>
      <c r="J1488" s="198" t="s">
        <v>2272</v>
      </c>
      <c r="K1488" s="198" t="s">
        <v>532</v>
      </c>
      <c r="L1488" s="198" t="s">
        <v>2272</v>
      </c>
      <c r="M1488" s="198" t="s">
        <v>2272</v>
      </c>
      <c r="N1488" s="198" t="s">
        <v>2272</v>
      </c>
      <c r="O1488" s="198" t="s">
        <v>2272</v>
      </c>
      <c r="P1488" s="198" t="s">
        <v>2272</v>
      </c>
      <c r="Q1488" s="198" t="s">
        <v>2272</v>
      </c>
      <c r="R1488" s="198" t="s">
        <v>2272</v>
      </c>
      <c r="S1488" s="198" t="s">
        <v>2272</v>
      </c>
      <c r="T1488" s="19" t="s">
        <v>9422</v>
      </c>
    </row>
    <row r="1489" spans="1:20" ht="45.5" customHeight="1">
      <c r="A1489" s="11" t="s">
        <v>9416</v>
      </c>
      <c r="B1489" s="198" t="s">
        <v>2254</v>
      </c>
      <c r="C1489" s="198" t="s">
        <v>11</v>
      </c>
      <c r="D1489" s="4" t="s">
        <v>2646</v>
      </c>
      <c r="E1489" s="4" t="s">
        <v>2645</v>
      </c>
      <c r="F1489" s="4" t="s">
        <v>128</v>
      </c>
      <c r="G1489" s="4" t="s">
        <v>135</v>
      </c>
      <c r="H1489" s="198" t="s">
        <v>2272</v>
      </c>
      <c r="I1489" s="198">
        <v>1.5</v>
      </c>
      <c r="J1489" s="198" t="s">
        <v>2272</v>
      </c>
      <c r="K1489" s="198" t="s">
        <v>532</v>
      </c>
      <c r="L1489" s="198" t="s">
        <v>2272</v>
      </c>
      <c r="M1489" s="198" t="s">
        <v>2272</v>
      </c>
      <c r="N1489" s="198" t="s">
        <v>2272</v>
      </c>
      <c r="O1489" s="198" t="s">
        <v>2272</v>
      </c>
      <c r="P1489" s="198" t="s">
        <v>2272</v>
      </c>
      <c r="Q1489" s="198" t="s">
        <v>2272</v>
      </c>
      <c r="R1489" s="198" t="s">
        <v>2272</v>
      </c>
      <c r="S1489" s="198" t="s">
        <v>2272</v>
      </c>
      <c r="T1489" s="19" t="s">
        <v>9422</v>
      </c>
    </row>
    <row r="1490" spans="1:20" ht="45.5" customHeight="1">
      <c r="A1490" s="11" t="s">
        <v>9451</v>
      </c>
      <c r="B1490" s="198" t="s">
        <v>2272</v>
      </c>
      <c r="C1490" s="198" t="s">
        <v>11</v>
      </c>
      <c r="D1490" s="198" t="s">
        <v>44</v>
      </c>
      <c r="E1490" s="198" t="s">
        <v>2644</v>
      </c>
      <c r="F1490" s="198" t="s">
        <v>114</v>
      </c>
      <c r="G1490" s="4" t="s">
        <v>394</v>
      </c>
      <c r="H1490" s="198" t="s">
        <v>2272</v>
      </c>
      <c r="I1490" s="198" t="s">
        <v>2272</v>
      </c>
      <c r="J1490" s="198" t="s">
        <v>2272</v>
      </c>
      <c r="K1490" s="198" t="s">
        <v>532</v>
      </c>
      <c r="L1490" s="198" t="s">
        <v>2272</v>
      </c>
      <c r="M1490" s="198" t="s">
        <v>2272</v>
      </c>
      <c r="N1490" s="198" t="s">
        <v>2272</v>
      </c>
      <c r="O1490" s="21">
        <v>76.2</v>
      </c>
      <c r="P1490" s="21">
        <v>1.65</v>
      </c>
      <c r="Q1490" s="198" t="s">
        <v>2272</v>
      </c>
      <c r="R1490" s="21">
        <v>11.4</v>
      </c>
      <c r="S1490" s="198" t="s">
        <v>2272</v>
      </c>
      <c r="T1490" s="198"/>
    </row>
    <row r="1491" spans="1:20" ht="52" customHeight="1">
      <c r="A1491" s="11" t="s">
        <v>9452</v>
      </c>
      <c r="B1491" s="198" t="s">
        <v>2272</v>
      </c>
      <c r="C1491" s="198" t="s">
        <v>2272</v>
      </c>
      <c r="D1491" s="198" t="s">
        <v>9461</v>
      </c>
      <c r="E1491" s="198" t="s">
        <v>2272</v>
      </c>
      <c r="F1491" s="198" t="s">
        <v>2272</v>
      </c>
      <c r="G1491" s="198" t="s">
        <v>2272</v>
      </c>
      <c r="H1491" s="198" t="s">
        <v>2272</v>
      </c>
      <c r="I1491" s="198" t="s">
        <v>2272</v>
      </c>
      <c r="J1491" s="198" t="s">
        <v>2272</v>
      </c>
      <c r="K1491" s="198" t="s">
        <v>535</v>
      </c>
      <c r="L1491" s="198" t="s">
        <v>2272</v>
      </c>
      <c r="M1491" s="198" t="s">
        <v>2272</v>
      </c>
      <c r="N1491" s="198" t="s">
        <v>2272</v>
      </c>
      <c r="O1491" s="198" t="s">
        <v>2272</v>
      </c>
      <c r="P1491" s="198" t="s">
        <v>2272</v>
      </c>
      <c r="Q1491" s="198" t="s">
        <v>2272</v>
      </c>
      <c r="R1491" s="21">
        <v>100</v>
      </c>
      <c r="S1491" s="198" t="s">
        <v>2272</v>
      </c>
      <c r="T1491" s="198"/>
    </row>
    <row r="1492" spans="1:20" ht="52" customHeight="1">
      <c r="A1492" s="11" t="s">
        <v>9453</v>
      </c>
      <c r="B1492" s="198" t="s">
        <v>2272</v>
      </c>
      <c r="C1492" s="198" t="s">
        <v>2272</v>
      </c>
      <c r="D1492" s="198" t="s">
        <v>9461</v>
      </c>
      <c r="E1492" s="198" t="s">
        <v>2272</v>
      </c>
      <c r="F1492" s="198" t="s">
        <v>2272</v>
      </c>
      <c r="G1492" s="198" t="s">
        <v>2272</v>
      </c>
      <c r="H1492" s="198" t="s">
        <v>2272</v>
      </c>
      <c r="I1492" s="198" t="s">
        <v>2272</v>
      </c>
      <c r="J1492" s="198" t="s">
        <v>2272</v>
      </c>
      <c r="K1492" s="198" t="s">
        <v>535</v>
      </c>
      <c r="L1492" s="198" t="s">
        <v>2272</v>
      </c>
      <c r="M1492" s="198" t="s">
        <v>2272</v>
      </c>
      <c r="N1492" s="198" t="s">
        <v>2272</v>
      </c>
      <c r="O1492" s="198" t="s">
        <v>2272</v>
      </c>
      <c r="P1492" s="198" t="s">
        <v>2272</v>
      </c>
      <c r="Q1492" s="198" t="s">
        <v>2272</v>
      </c>
      <c r="R1492" s="21">
        <v>100</v>
      </c>
      <c r="S1492" s="198" t="s">
        <v>2272</v>
      </c>
      <c r="T1492" s="198"/>
    </row>
    <row r="1493" spans="1:20" ht="52" customHeight="1">
      <c r="A1493" s="11" t="s">
        <v>9454</v>
      </c>
      <c r="B1493" s="198" t="s">
        <v>2272</v>
      </c>
      <c r="C1493" s="198" t="s">
        <v>2272</v>
      </c>
      <c r="D1493" s="198" t="s">
        <v>9461</v>
      </c>
      <c r="E1493" s="198" t="s">
        <v>2272</v>
      </c>
      <c r="F1493" s="198" t="s">
        <v>2272</v>
      </c>
      <c r="G1493" s="198" t="s">
        <v>2272</v>
      </c>
      <c r="H1493" s="198" t="s">
        <v>2272</v>
      </c>
      <c r="I1493" s="198" t="s">
        <v>2272</v>
      </c>
      <c r="J1493" s="198" t="s">
        <v>2272</v>
      </c>
      <c r="K1493" s="198" t="s">
        <v>535</v>
      </c>
      <c r="L1493" s="198" t="s">
        <v>2272</v>
      </c>
      <c r="M1493" s="198" t="s">
        <v>2272</v>
      </c>
      <c r="N1493" s="198" t="s">
        <v>2272</v>
      </c>
      <c r="O1493" s="198" t="s">
        <v>2272</v>
      </c>
      <c r="P1493" s="198" t="s">
        <v>2272</v>
      </c>
      <c r="Q1493" s="198" t="s">
        <v>2272</v>
      </c>
      <c r="R1493" s="21">
        <v>100</v>
      </c>
      <c r="S1493" s="198" t="s">
        <v>2272</v>
      </c>
      <c r="T1493" s="198"/>
    </row>
    <row r="1494" spans="1:20" ht="49.5" customHeight="1">
      <c r="A1494" s="11" t="s">
        <v>9455</v>
      </c>
      <c r="B1494" s="198" t="s">
        <v>2272</v>
      </c>
      <c r="C1494" s="198" t="s">
        <v>2272</v>
      </c>
      <c r="D1494" s="198" t="s">
        <v>9461</v>
      </c>
      <c r="E1494" s="198" t="s">
        <v>2272</v>
      </c>
      <c r="F1494" s="198" t="s">
        <v>2272</v>
      </c>
      <c r="G1494" s="198" t="s">
        <v>2272</v>
      </c>
      <c r="H1494" s="198" t="s">
        <v>2272</v>
      </c>
      <c r="I1494" s="198" t="s">
        <v>2272</v>
      </c>
      <c r="J1494" s="198" t="s">
        <v>2272</v>
      </c>
      <c r="K1494" s="198" t="s">
        <v>535</v>
      </c>
      <c r="L1494" s="198" t="s">
        <v>2272</v>
      </c>
      <c r="M1494" s="198" t="s">
        <v>2272</v>
      </c>
      <c r="N1494" s="198" t="s">
        <v>2272</v>
      </c>
      <c r="O1494" s="198" t="s">
        <v>2272</v>
      </c>
      <c r="P1494" s="198" t="s">
        <v>2272</v>
      </c>
      <c r="Q1494" s="198" t="s">
        <v>2272</v>
      </c>
      <c r="R1494" s="21">
        <v>100</v>
      </c>
      <c r="S1494" s="198" t="s">
        <v>2272</v>
      </c>
      <c r="T1494" s="198"/>
    </row>
    <row r="1495" spans="1:20" ht="53.5" customHeight="1">
      <c r="A1495" s="11" t="s">
        <v>9472</v>
      </c>
      <c r="B1495" s="198" t="s">
        <v>2272</v>
      </c>
      <c r="C1495" s="198" t="s">
        <v>2272</v>
      </c>
      <c r="D1495" s="198" t="s">
        <v>2644</v>
      </c>
      <c r="E1495" s="198" t="s">
        <v>3204</v>
      </c>
      <c r="F1495" s="198" t="s">
        <v>2272</v>
      </c>
      <c r="G1495" s="198" t="s">
        <v>2272</v>
      </c>
      <c r="H1495" s="198" t="s">
        <v>2272</v>
      </c>
      <c r="I1495" s="198" t="s">
        <v>2272</v>
      </c>
      <c r="J1495" s="198" t="s">
        <v>2272</v>
      </c>
      <c r="K1495" s="198" t="s">
        <v>2272</v>
      </c>
      <c r="L1495" s="198" t="s">
        <v>2272</v>
      </c>
      <c r="M1495" s="198" t="s">
        <v>2272</v>
      </c>
      <c r="N1495" s="198" t="s">
        <v>2272</v>
      </c>
      <c r="O1495" s="198" t="s">
        <v>2272</v>
      </c>
      <c r="P1495" s="198" t="s">
        <v>2272</v>
      </c>
      <c r="Q1495" s="198" t="s">
        <v>2272</v>
      </c>
      <c r="R1495" s="198" t="s">
        <v>2272</v>
      </c>
      <c r="S1495" s="198" t="s">
        <v>2272</v>
      </c>
      <c r="T1495" s="198"/>
    </row>
    <row r="1496" spans="1:20" ht="53.5" customHeight="1">
      <c r="A1496" s="11" t="s">
        <v>9477</v>
      </c>
      <c r="B1496" s="198" t="s">
        <v>31</v>
      </c>
      <c r="C1496" s="198" t="s">
        <v>11</v>
      </c>
      <c r="D1496" s="4" t="s">
        <v>394</v>
      </c>
      <c r="E1496" s="4" t="s">
        <v>2272</v>
      </c>
      <c r="F1496" s="198" t="s">
        <v>2272</v>
      </c>
      <c r="G1496" s="198" t="s">
        <v>2272</v>
      </c>
      <c r="H1496" s="198" t="s">
        <v>2272</v>
      </c>
      <c r="I1496" s="198" t="s">
        <v>2272</v>
      </c>
      <c r="J1496" s="198">
        <v>0.5</v>
      </c>
      <c r="K1496" s="198" t="s">
        <v>2272</v>
      </c>
      <c r="L1496" s="198" t="s">
        <v>2272</v>
      </c>
      <c r="M1496" s="198" t="s">
        <v>2272</v>
      </c>
      <c r="N1496" s="198" t="s">
        <v>2272</v>
      </c>
      <c r="O1496" s="198" t="s">
        <v>2272</v>
      </c>
      <c r="P1496" s="198" t="s">
        <v>2272</v>
      </c>
      <c r="Q1496" s="198" t="s">
        <v>2272</v>
      </c>
      <c r="R1496" s="198" t="s">
        <v>2272</v>
      </c>
      <c r="S1496" s="198" t="s">
        <v>2272</v>
      </c>
      <c r="T1496" s="11" t="s">
        <v>9480</v>
      </c>
    </row>
    <row r="1497" spans="1:20" ht="54.5" customHeight="1">
      <c r="A1497" s="198" t="s">
        <v>9478</v>
      </c>
      <c r="B1497" s="198" t="s">
        <v>31</v>
      </c>
      <c r="C1497" s="198" t="s">
        <v>11</v>
      </c>
      <c r="D1497" s="4" t="s">
        <v>394</v>
      </c>
      <c r="E1497" s="4" t="s">
        <v>2645</v>
      </c>
      <c r="F1497" s="198" t="s">
        <v>2272</v>
      </c>
      <c r="G1497" s="198" t="s">
        <v>2272</v>
      </c>
      <c r="H1497" s="198" t="s">
        <v>2272</v>
      </c>
      <c r="I1497" s="198" t="s">
        <v>2272</v>
      </c>
      <c r="J1497" s="198">
        <v>1</v>
      </c>
      <c r="K1497" s="198" t="s">
        <v>2272</v>
      </c>
      <c r="L1497" s="198" t="s">
        <v>2272</v>
      </c>
      <c r="M1497" s="198" t="s">
        <v>2272</v>
      </c>
      <c r="N1497" s="198" t="s">
        <v>2272</v>
      </c>
      <c r="O1497" s="198" t="s">
        <v>2272</v>
      </c>
      <c r="P1497" s="198" t="s">
        <v>2272</v>
      </c>
      <c r="Q1497" s="198" t="s">
        <v>2272</v>
      </c>
      <c r="R1497" s="198" t="s">
        <v>2272</v>
      </c>
      <c r="S1497" s="198" t="s">
        <v>2272</v>
      </c>
      <c r="T1497" s="11" t="s">
        <v>9481</v>
      </c>
    </row>
    <row r="1498" spans="1:20" ht="53.5" customHeight="1">
      <c r="A1498" s="11" t="s">
        <v>9489</v>
      </c>
      <c r="B1498" s="198" t="s">
        <v>31</v>
      </c>
      <c r="C1498" s="198" t="s">
        <v>11</v>
      </c>
      <c r="D1498" s="198" t="s">
        <v>82</v>
      </c>
      <c r="E1498" s="198" t="s">
        <v>128</v>
      </c>
      <c r="F1498" s="4" t="s">
        <v>394</v>
      </c>
      <c r="G1498" s="198" t="s">
        <v>135</v>
      </c>
      <c r="H1498" s="198" t="s">
        <v>2272</v>
      </c>
      <c r="I1498" s="198" t="s">
        <v>2272</v>
      </c>
      <c r="J1498" s="198" t="s">
        <v>2272</v>
      </c>
      <c r="K1498" s="198" t="s">
        <v>2272</v>
      </c>
      <c r="L1498" s="198" t="s">
        <v>2272</v>
      </c>
      <c r="M1498" s="198" t="s">
        <v>2272</v>
      </c>
      <c r="N1498" s="198" t="s">
        <v>2272</v>
      </c>
      <c r="O1498" s="198" t="s">
        <v>2272</v>
      </c>
      <c r="P1498" s="21">
        <f>27.8+20.6</f>
        <v>48.400000000000006</v>
      </c>
      <c r="Q1498" s="198">
        <f>2.6</f>
        <v>2.6</v>
      </c>
      <c r="R1498" s="198">
        <f>24</f>
        <v>24</v>
      </c>
      <c r="S1498" s="21">
        <v>1.22</v>
      </c>
      <c r="T1498" s="198"/>
    </row>
    <row r="1499" spans="1:20" ht="49" customHeight="1">
      <c r="A1499" s="11" t="s">
        <v>9491</v>
      </c>
      <c r="B1499" s="198" t="s">
        <v>31</v>
      </c>
      <c r="C1499" s="198" t="s">
        <v>11</v>
      </c>
      <c r="D1499" s="198" t="s">
        <v>82</v>
      </c>
      <c r="E1499" s="198" t="s">
        <v>128</v>
      </c>
      <c r="F1499" s="4" t="s">
        <v>394</v>
      </c>
      <c r="G1499" s="198" t="s">
        <v>135</v>
      </c>
      <c r="H1499" s="198" t="s">
        <v>2272</v>
      </c>
      <c r="I1499" s="198" t="s">
        <v>2272</v>
      </c>
      <c r="J1499" s="198" t="s">
        <v>2272</v>
      </c>
      <c r="K1499" s="198" t="s">
        <v>2272</v>
      </c>
      <c r="L1499" s="198" t="s">
        <v>2272</v>
      </c>
      <c r="M1499" s="198" t="s">
        <v>2272</v>
      </c>
      <c r="N1499" s="198" t="s">
        <v>2272</v>
      </c>
      <c r="O1499" s="198" t="s">
        <v>2272</v>
      </c>
      <c r="P1499" s="198" t="s">
        <v>2272</v>
      </c>
      <c r="Q1499" s="198" t="s">
        <v>2272</v>
      </c>
      <c r="R1499" s="21">
        <f>AVERAGE(51, 73.8, 60.7, 34.3) * (24/AVERAGE(44.6, 55.3, 57.1, 17.2))</f>
        <v>30.282433983926527</v>
      </c>
      <c r="S1499" s="21">
        <f>AVERAGE(0.9, 1.8, 0, 2) * 1.22/AVERAGE(0.3, 1.9, 0.4, 0.8)</f>
        <v>1.6864705882352944</v>
      </c>
      <c r="T1499" s="198"/>
    </row>
    <row r="1500" spans="1:20" ht="42.5" customHeight="1">
      <c r="A1500" s="11" t="s">
        <v>9502</v>
      </c>
      <c r="B1500" s="198" t="s">
        <v>2254</v>
      </c>
      <c r="C1500" s="198" t="s">
        <v>11</v>
      </c>
      <c r="D1500" s="198" t="s">
        <v>2644</v>
      </c>
      <c r="E1500" s="198" t="s">
        <v>128</v>
      </c>
      <c r="F1500" s="198" t="s">
        <v>44</v>
      </c>
      <c r="G1500" s="198" t="s">
        <v>114</v>
      </c>
      <c r="H1500" s="198" t="s">
        <v>2272</v>
      </c>
      <c r="I1500" s="198" t="s">
        <v>2272</v>
      </c>
      <c r="J1500" s="198" t="s">
        <v>2272</v>
      </c>
      <c r="K1500" s="198" t="s">
        <v>532</v>
      </c>
      <c r="L1500" s="198" t="s">
        <v>2272</v>
      </c>
      <c r="M1500" s="198" t="s">
        <v>2272</v>
      </c>
      <c r="N1500" s="198" t="s">
        <v>2272</v>
      </c>
      <c r="O1500" s="198" t="s">
        <v>2272</v>
      </c>
      <c r="P1500" s="198" t="s">
        <v>2272</v>
      </c>
      <c r="Q1500" s="198" t="s">
        <v>2272</v>
      </c>
      <c r="R1500" s="198" t="s">
        <v>2272</v>
      </c>
      <c r="S1500" s="198" t="s">
        <v>2272</v>
      </c>
      <c r="T1500" s="198"/>
    </row>
    <row r="1501" spans="1:20" ht="50" customHeight="1">
      <c r="A1501" s="11" t="s">
        <v>9517</v>
      </c>
      <c r="B1501" s="198" t="s">
        <v>2254</v>
      </c>
      <c r="C1501" s="198" t="s">
        <v>11</v>
      </c>
      <c r="D1501" s="198" t="s">
        <v>82</v>
      </c>
      <c r="E1501" s="198" t="s">
        <v>2644</v>
      </c>
      <c r="F1501" s="4" t="s">
        <v>395</v>
      </c>
      <c r="G1501" s="198" t="s">
        <v>9461</v>
      </c>
      <c r="H1501" s="198" t="s">
        <v>2272</v>
      </c>
      <c r="I1501" s="198">
        <v>25</v>
      </c>
      <c r="J1501" s="198" t="s">
        <v>2272</v>
      </c>
      <c r="K1501" s="198" t="s">
        <v>532</v>
      </c>
      <c r="L1501" s="198" t="s">
        <v>2272</v>
      </c>
      <c r="M1501" s="198" t="s">
        <v>2272</v>
      </c>
      <c r="N1501" s="21">
        <f>(899642*(67/163))/'Record info'!K1501</f>
        <v>9.0037634291374466</v>
      </c>
      <c r="O1501" s="198" t="s">
        <v>2272</v>
      </c>
      <c r="P1501" s="21">
        <f>(591061+1626053+899642*(96/163))/'Record info'!K1501</f>
        <v>66.883686453102413</v>
      </c>
      <c r="Q1501" s="198" t="s">
        <v>2272</v>
      </c>
      <c r="R1501" s="21">
        <f>(478072+304726)/41070.77</f>
        <v>19.059735183927646</v>
      </c>
      <c r="S1501" s="198" t="s">
        <v>2272</v>
      </c>
      <c r="T1501" s="198" t="s">
        <v>9523</v>
      </c>
    </row>
    <row r="1502" spans="1:20" ht="50" customHeight="1">
      <c r="A1502" s="11" t="s">
        <v>9534</v>
      </c>
      <c r="B1502" s="198" t="s">
        <v>31</v>
      </c>
      <c r="C1502" s="198" t="s">
        <v>11</v>
      </c>
      <c r="D1502" s="198" t="s">
        <v>128</v>
      </c>
      <c r="E1502" s="198" t="s">
        <v>2644</v>
      </c>
      <c r="F1502" s="198" t="s">
        <v>82</v>
      </c>
      <c r="G1502" s="198" t="s">
        <v>860</v>
      </c>
      <c r="H1502" s="198" t="s">
        <v>2272</v>
      </c>
      <c r="I1502" s="198" t="s">
        <v>2272</v>
      </c>
      <c r="J1502" s="198" t="s">
        <v>2272</v>
      </c>
      <c r="K1502" s="198" t="s">
        <v>532</v>
      </c>
      <c r="L1502" s="198" t="s">
        <v>2272</v>
      </c>
      <c r="M1502" s="198" t="s">
        <v>2272</v>
      </c>
      <c r="N1502" s="198" t="s">
        <v>2272</v>
      </c>
      <c r="O1502" s="198" t="s">
        <v>2272</v>
      </c>
      <c r="P1502" s="198" t="s">
        <v>2272</v>
      </c>
      <c r="Q1502" s="198" t="s">
        <v>2272</v>
      </c>
      <c r="R1502" s="198" t="s">
        <v>2272</v>
      </c>
      <c r="S1502" s="198" t="s">
        <v>2272</v>
      </c>
      <c r="T1502" s="198"/>
    </row>
    <row r="1503" spans="1:20" ht="50" customHeight="1">
      <c r="A1503" s="11" t="s">
        <v>9538</v>
      </c>
      <c r="B1503" s="198" t="s">
        <v>31</v>
      </c>
      <c r="C1503" s="198" t="s">
        <v>11</v>
      </c>
      <c r="D1503" s="198" t="s">
        <v>128</v>
      </c>
      <c r="E1503" s="198" t="s">
        <v>2644</v>
      </c>
      <c r="F1503" s="198" t="s">
        <v>82</v>
      </c>
      <c r="G1503" s="198" t="s">
        <v>860</v>
      </c>
      <c r="H1503" s="198" t="s">
        <v>2272</v>
      </c>
      <c r="I1503" s="198" t="s">
        <v>2272</v>
      </c>
      <c r="J1503" s="198" t="s">
        <v>2272</v>
      </c>
      <c r="K1503" s="198" t="s">
        <v>532</v>
      </c>
      <c r="L1503" s="198" t="s">
        <v>2272</v>
      </c>
      <c r="M1503" s="198" t="s">
        <v>2272</v>
      </c>
      <c r="N1503" s="198" t="s">
        <v>2272</v>
      </c>
      <c r="O1503" s="198" t="s">
        <v>2272</v>
      </c>
      <c r="P1503" s="198" t="s">
        <v>2272</v>
      </c>
      <c r="Q1503" s="198" t="s">
        <v>2272</v>
      </c>
      <c r="R1503" s="198" t="s">
        <v>2272</v>
      </c>
      <c r="S1503" s="198" t="s">
        <v>2272</v>
      </c>
      <c r="T1503" s="198"/>
    </row>
    <row r="1504" spans="1:20" ht="50" customHeight="1">
      <c r="A1504" s="11" t="s">
        <v>9539</v>
      </c>
      <c r="B1504" s="198" t="s">
        <v>31</v>
      </c>
      <c r="C1504" s="198" t="s">
        <v>11</v>
      </c>
      <c r="D1504" s="198" t="s">
        <v>128</v>
      </c>
      <c r="E1504" s="198" t="s">
        <v>2644</v>
      </c>
      <c r="F1504" s="198" t="s">
        <v>82</v>
      </c>
      <c r="G1504" s="198" t="s">
        <v>860</v>
      </c>
      <c r="H1504" s="198" t="s">
        <v>2272</v>
      </c>
      <c r="I1504" s="198" t="s">
        <v>2272</v>
      </c>
      <c r="J1504" s="198" t="s">
        <v>2272</v>
      </c>
      <c r="K1504" s="198" t="s">
        <v>532</v>
      </c>
      <c r="L1504" s="198" t="s">
        <v>2272</v>
      </c>
      <c r="M1504" s="198" t="s">
        <v>2272</v>
      </c>
      <c r="N1504" s="198" t="s">
        <v>2272</v>
      </c>
      <c r="O1504" s="198" t="s">
        <v>2272</v>
      </c>
      <c r="P1504" s="198" t="s">
        <v>2272</v>
      </c>
      <c r="Q1504" s="198" t="s">
        <v>2272</v>
      </c>
      <c r="R1504" s="198" t="s">
        <v>2272</v>
      </c>
      <c r="S1504" s="198" t="s">
        <v>2272</v>
      </c>
      <c r="T1504" s="198"/>
    </row>
    <row r="1505" spans="1:20" ht="50" customHeight="1">
      <c r="A1505" s="11" t="s">
        <v>9540</v>
      </c>
      <c r="B1505" s="198" t="s">
        <v>31</v>
      </c>
      <c r="C1505" s="198" t="s">
        <v>11</v>
      </c>
      <c r="D1505" s="198" t="s">
        <v>128</v>
      </c>
      <c r="E1505" s="198" t="s">
        <v>2644</v>
      </c>
      <c r="F1505" s="198" t="s">
        <v>82</v>
      </c>
      <c r="G1505" s="198" t="s">
        <v>860</v>
      </c>
      <c r="H1505" s="198" t="s">
        <v>2272</v>
      </c>
      <c r="I1505" s="198" t="s">
        <v>2272</v>
      </c>
      <c r="J1505" s="198" t="s">
        <v>2272</v>
      </c>
      <c r="K1505" s="198" t="s">
        <v>532</v>
      </c>
      <c r="L1505" s="198" t="s">
        <v>2272</v>
      </c>
      <c r="M1505" s="198" t="s">
        <v>2272</v>
      </c>
      <c r="N1505" s="198" t="s">
        <v>2272</v>
      </c>
      <c r="O1505" s="198" t="s">
        <v>2272</v>
      </c>
      <c r="P1505" s="198" t="s">
        <v>2272</v>
      </c>
      <c r="Q1505" s="198" t="s">
        <v>2272</v>
      </c>
      <c r="R1505" s="198" t="s">
        <v>2272</v>
      </c>
      <c r="S1505" s="198" t="s">
        <v>2272</v>
      </c>
      <c r="T1505" s="198"/>
    </row>
    <row r="1506" spans="1:20" ht="50" customHeight="1">
      <c r="A1506" s="11" t="s">
        <v>9541</v>
      </c>
      <c r="B1506" s="198" t="s">
        <v>31</v>
      </c>
      <c r="C1506" s="198" t="s">
        <v>11</v>
      </c>
      <c r="D1506" s="198" t="s">
        <v>128</v>
      </c>
      <c r="E1506" s="198" t="s">
        <v>2644</v>
      </c>
      <c r="F1506" s="198" t="s">
        <v>82</v>
      </c>
      <c r="G1506" s="198" t="s">
        <v>860</v>
      </c>
      <c r="H1506" s="198" t="s">
        <v>2272</v>
      </c>
      <c r="I1506" s="198" t="s">
        <v>2272</v>
      </c>
      <c r="J1506" s="198" t="s">
        <v>2272</v>
      </c>
      <c r="K1506" s="198" t="s">
        <v>532</v>
      </c>
      <c r="L1506" s="198" t="s">
        <v>2272</v>
      </c>
      <c r="M1506" s="198" t="s">
        <v>2272</v>
      </c>
      <c r="N1506" s="198" t="s">
        <v>2272</v>
      </c>
      <c r="O1506" s="198" t="s">
        <v>2272</v>
      </c>
      <c r="P1506" s="198" t="s">
        <v>2272</v>
      </c>
      <c r="Q1506" s="198" t="s">
        <v>2272</v>
      </c>
      <c r="R1506" s="198" t="s">
        <v>2272</v>
      </c>
      <c r="S1506" s="198" t="s">
        <v>2272</v>
      </c>
      <c r="T1506" s="198"/>
    </row>
    <row r="1507" spans="1:20" ht="50" customHeight="1">
      <c r="A1507" s="11" t="s">
        <v>9542</v>
      </c>
      <c r="B1507" s="198" t="s">
        <v>31</v>
      </c>
      <c r="C1507" s="198" t="s">
        <v>11</v>
      </c>
      <c r="D1507" s="198" t="s">
        <v>128</v>
      </c>
      <c r="E1507" s="198" t="s">
        <v>2644</v>
      </c>
      <c r="F1507" s="198" t="s">
        <v>82</v>
      </c>
      <c r="G1507" s="198" t="s">
        <v>135</v>
      </c>
      <c r="H1507" s="198" t="s">
        <v>2272</v>
      </c>
      <c r="I1507" s="198" t="s">
        <v>2272</v>
      </c>
      <c r="J1507" s="198" t="s">
        <v>2272</v>
      </c>
      <c r="K1507" s="198" t="s">
        <v>532</v>
      </c>
      <c r="L1507" s="198" t="s">
        <v>2272</v>
      </c>
      <c r="M1507" s="198" t="s">
        <v>2272</v>
      </c>
      <c r="N1507" s="198" t="s">
        <v>2272</v>
      </c>
      <c r="O1507" s="198" t="s">
        <v>2272</v>
      </c>
      <c r="P1507" s="198" t="s">
        <v>2272</v>
      </c>
      <c r="Q1507" s="198" t="s">
        <v>2272</v>
      </c>
      <c r="R1507" s="198" t="s">
        <v>2272</v>
      </c>
      <c r="S1507" s="198" t="s">
        <v>2272</v>
      </c>
      <c r="T1507" s="198"/>
    </row>
    <row r="1508" spans="1:20" ht="47" customHeight="1">
      <c r="A1508" s="11" t="s">
        <v>9580</v>
      </c>
      <c r="B1508" s="198" t="s">
        <v>31</v>
      </c>
      <c r="C1508" s="198" t="s">
        <v>11</v>
      </c>
      <c r="D1508" s="198" t="s">
        <v>2644</v>
      </c>
      <c r="E1508" s="198" t="s">
        <v>860</v>
      </c>
      <c r="F1508" s="198" t="s">
        <v>2272</v>
      </c>
      <c r="G1508" s="198" t="s">
        <v>2272</v>
      </c>
      <c r="H1508" s="198" t="s">
        <v>2272</v>
      </c>
      <c r="I1508" s="4">
        <v>13810</v>
      </c>
      <c r="J1508" s="198" t="s">
        <v>2272</v>
      </c>
      <c r="K1508" s="198" t="s">
        <v>532</v>
      </c>
      <c r="L1508" s="198" t="s">
        <v>2272</v>
      </c>
      <c r="M1508" s="198">
        <f>27.2/0.4</f>
        <v>68</v>
      </c>
      <c r="N1508" s="198" t="s">
        <v>2272</v>
      </c>
      <c r="O1508" s="198" t="s">
        <v>2272</v>
      </c>
      <c r="P1508" s="198" t="s">
        <v>2272</v>
      </c>
      <c r="Q1508" s="198" t="s">
        <v>2272</v>
      </c>
      <c r="R1508" s="198" t="s">
        <v>2272</v>
      </c>
      <c r="S1508" s="198" t="s">
        <v>2272</v>
      </c>
      <c r="T1508" s="4" t="s">
        <v>9582</v>
      </c>
    </row>
    <row r="1509" spans="1:20" ht="46" customHeight="1">
      <c r="A1509" s="11" t="s">
        <v>9584</v>
      </c>
      <c r="B1509" s="198" t="s">
        <v>2254</v>
      </c>
      <c r="C1509" s="198" t="s">
        <v>11</v>
      </c>
      <c r="D1509" s="198" t="s">
        <v>82</v>
      </c>
      <c r="E1509" s="198" t="s">
        <v>128</v>
      </c>
      <c r="F1509" s="198" t="s">
        <v>2644</v>
      </c>
      <c r="G1509" s="198" t="s">
        <v>2272</v>
      </c>
      <c r="H1509" s="198" t="s">
        <v>2272</v>
      </c>
      <c r="I1509" s="198" t="s">
        <v>2272</v>
      </c>
      <c r="J1509" s="198" t="s">
        <v>2272</v>
      </c>
      <c r="K1509" s="198" t="s">
        <v>532</v>
      </c>
      <c r="L1509" s="198" t="s">
        <v>2272</v>
      </c>
      <c r="M1509" s="198" t="s">
        <v>2272</v>
      </c>
      <c r="N1509" s="198" t="s">
        <v>2272</v>
      </c>
      <c r="O1509" s="198" t="s">
        <v>2272</v>
      </c>
      <c r="P1509" s="198" t="s">
        <v>2272</v>
      </c>
      <c r="Q1509" s="198" t="s">
        <v>2272</v>
      </c>
      <c r="R1509" s="198" t="s">
        <v>2272</v>
      </c>
      <c r="S1509" s="198" t="s">
        <v>2272</v>
      </c>
      <c r="T1509" s="198"/>
    </row>
    <row r="1510" spans="1:20" ht="46.5" customHeight="1">
      <c r="A1510" s="11" t="s">
        <v>9588</v>
      </c>
      <c r="B1510" s="198" t="s">
        <v>2254</v>
      </c>
      <c r="C1510" s="198" t="s">
        <v>11</v>
      </c>
      <c r="D1510" s="198" t="s">
        <v>82</v>
      </c>
      <c r="E1510" s="198" t="s">
        <v>128</v>
      </c>
      <c r="F1510" s="198" t="s">
        <v>2644</v>
      </c>
      <c r="G1510" s="198" t="s">
        <v>2272</v>
      </c>
      <c r="H1510" s="198" t="s">
        <v>2272</v>
      </c>
      <c r="I1510" s="198" t="s">
        <v>2272</v>
      </c>
      <c r="J1510" s="198" t="s">
        <v>2272</v>
      </c>
      <c r="K1510" s="198" t="s">
        <v>532</v>
      </c>
      <c r="L1510" s="198" t="s">
        <v>2272</v>
      </c>
      <c r="M1510" s="198" t="s">
        <v>2272</v>
      </c>
      <c r="N1510" s="198" t="s">
        <v>2272</v>
      </c>
      <c r="O1510" s="198" t="s">
        <v>2272</v>
      </c>
      <c r="P1510" s="198" t="s">
        <v>2272</v>
      </c>
      <c r="Q1510" s="198" t="s">
        <v>2272</v>
      </c>
      <c r="R1510" s="198" t="s">
        <v>2272</v>
      </c>
      <c r="S1510" s="198" t="s">
        <v>2272</v>
      </c>
      <c r="T1510" s="198"/>
    </row>
    <row r="1511" spans="1:20" ht="47" customHeight="1">
      <c r="A1511" s="11" t="s">
        <v>9594</v>
      </c>
      <c r="B1511" s="198" t="s">
        <v>2254</v>
      </c>
      <c r="C1511" s="198" t="s">
        <v>11</v>
      </c>
      <c r="D1511" s="4" t="s">
        <v>395</v>
      </c>
      <c r="E1511" s="198" t="s">
        <v>2644</v>
      </c>
      <c r="F1511" s="198" t="s">
        <v>2272</v>
      </c>
      <c r="G1511" s="198" t="s">
        <v>2272</v>
      </c>
      <c r="H1511" s="198" t="s">
        <v>2272</v>
      </c>
      <c r="I1511" s="198" t="s">
        <v>2272</v>
      </c>
      <c r="J1511" s="198" t="s">
        <v>2272</v>
      </c>
      <c r="K1511" s="198" t="s">
        <v>2272</v>
      </c>
      <c r="L1511" s="198" t="s">
        <v>2272</v>
      </c>
      <c r="M1511" s="198" t="s">
        <v>2272</v>
      </c>
      <c r="N1511" s="21">
        <v>25</v>
      </c>
      <c r="O1511" s="198" t="s">
        <v>2272</v>
      </c>
      <c r="P1511" s="21">
        <v>75</v>
      </c>
      <c r="Q1511" s="198" t="s">
        <v>2272</v>
      </c>
      <c r="R1511" s="198" t="s">
        <v>2272</v>
      </c>
      <c r="S1511" s="198" t="s">
        <v>2272</v>
      </c>
      <c r="T1511" s="198"/>
    </row>
    <row r="1512" spans="1:20" ht="43.5" customHeight="1">
      <c r="A1512" s="11" t="s">
        <v>9606</v>
      </c>
      <c r="B1512" s="198" t="s">
        <v>2254</v>
      </c>
      <c r="C1512" s="198" t="s">
        <v>11</v>
      </c>
      <c r="D1512" s="4" t="s">
        <v>394</v>
      </c>
      <c r="E1512" s="198" t="s">
        <v>135</v>
      </c>
      <c r="F1512" s="198" t="s">
        <v>860</v>
      </c>
      <c r="G1512" s="198" t="s">
        <v>2272</v>
      </c>
      <c r="H1512" s="198" t="s">
        <v>2272</v>
      </c>
      <c r="I1512" s="198" t="s">
        <v>2272</v>
      </c>
      <c r="J1512" s="198" t="s">
        <v>2272</v>
      </c>
      <c r="K1512" s="198" t="s">
        <v>2272</v>
      </c>
      <c r="L1512" s="198" t="s">
        <v>2272</v>
      </c>
      <c r="M1512" s="198" t="s">
        <v>2272</v>
      </c>
      <c r="N1512" s="198" t="s">
        <v>2272</v>
      </c>
      <c r="O1512" s="198" t="s">
        <v>2272</v>
      </c>
      <c r="P1512" s="21">
        <v>75</v>
      </c>
      <c r="Q1512" s="198" t="s">
        <v>2272</v>
      </c>
      <c r="R1512" s="21">
        <v>25</v>
      </c>
      <c r="S1512" s="198" t="s">
        <v>2272</v>
      </c>
      <c r="T1512" s="198"/>
    </row>
    <row r="1513" spans="1:20" ht="45.5" customHeight="1">
      <c r="A1513" s="11" t="s">
        <v>9610</v>
      </c>
      <c r="B1513" s="198" t="s">
        <v>2272</v>
      </c>
      <c r="C1513" s="198" t="s">
        <v>11</v>
      </c>
      <c r="D1513" s="4" t="s">
        <v>2646</v>
      </c>
      <c r="E1513" s="4" t="s">
        <v>5795</v>
      </c>
      <c r="F1513" s="198" t="s">
        <v>2272</v>
      </c>
      <c r="G1513" s="198" t="s">
        <v>2272</v>
      </c>
      <c r="H1513" s="198" t="s">
        <v>2272</v>
      </c>
      <c r="I1513" s="198" t="s">
        <v>2272</v>
      </c>
      <c r="J1513" s="198" t="s">
        <v>2272</v>
      </c>
      <c r="K1513" s="198" t="s">
        <v>2272</v>
      </c>
      <c r="L1513" s="198" t="s">
        <v>2272</v>
      </c>
      <c r="M1513" s="198" t="s">
        <v>2272</v>
      </c>
      <c r="N1513" s="198" t="s">
        <v>2272</v>
      </c>
      <c r="O1513" s="198" t="s">
        <v>2272</v>
      </c>
      <c r="P1513" s="198" t="s">
        <v>2272</v>
      </c>
      <c r="Q1513" s="198" t="s">
        <v>2272</v>
      </c>
      <c r="R1513" s="21">
        <f>100*AVERAGE(27692, 27673)/'Record info'!K1513</f>
        <v>35.292205308651418</v>
      </c>
      <c r="S1513" s="198" t="s">
        <v>2272</v>
      </c>
      <c r="T1513" s="198" t="s">
        <v>9631</v>
      </c>
    </row>
    <row r="1514" spans="1:20" ht="45.5" customHeight="1">
      <c r="A1514" s="11" t="s">
        <v>9612</v>
      </c>
      <c r="B1514" s="198" t="s">
        <v>2272</v>
      </c>
      <c r="C1514" s="198" t="s">
        <v>11</v>
      </c>
      <c r="D1514" s="198" t="s">
        <v>128</v>
      </c>
      <c r="E1514" s="4" t="s">
        <v>2646</v>
      </c>
      <c r="F1514" s="4" t="s">
        <v>5795</v>
      </c>
      <c r="G1514" s="198" t="s">
        <v>2272</v>
      </c>
      <c r="H1514" s="198" t="s">
        <v>2272</v>
      </c>
      <c r="I1514" s="198" t="s">
        <v>2272</v>
      </c>
      <c r="J1514" s="198" t="s">
        <v>2272</v>
      </c>
      <c r="K1514" s="198" t="s">
        <v>2272</v>
      </c>
      <c r="L1514" s="198" t="s">
        <v>2272</v>
      </c>
      <c r="M1514" s="198" t="s">
        <v>2272</v>
      </c>
      <c r="N1514" s="198" t="s">
        <v>2272</v>
      </c>
      <c r="O1514" s="198" t="s">
        <v>2272</v>
      </c>
      <c r="P1514" s="198" t="s">
        <v>2272</v>
      </c>
      <c r="Q1514" s="21">
        <f>AVERAGE(161313, 153146)/'Record info'!K1514</f>
        <v>1.8775240915658622</v>
      </c>
      <c r="R1514" s="21">
        <f>(100*AVERAGE(67484, 67410)/'Record info'!K1514)-Q1514</f>
        <v>78.662938991915738</v>
      </c>
      <c r="S1514" s="198" t="s">
        <v>2272</v>
      </c>
      <c r="T1514" s="4" t="s">
        <v>9632</v>
      </c>
    </row>
    <row r="1515" spans="1:20" ht="45.5" customHeight="1">
      <c r="A1515" s="11" t="s">
        <v>9613</v>
      </c>
      <c r="B1515" s="198" t="s">
        <v>2272</v>
      </c>
      <c r="C1515" s="198" t="s">
        <v>11</v>
      </c>
      <c r="D1515" s="198" t="s">
        <v>128</v>
      </c>
      <c r="E1515" s="4" t="s">
        <v>2646</v>
      </c>
      <c r="F1515" s="4" t="s">
        <v>5795</v>
      </c>
      <c r="G1515" s="4" t="s">
        <v>3849</v>
      </c>
      <c r="H1515" s="198" t="s">
        <v>2272</v>
      </c>
      <c r="I1515" s="198" t="s">
        <v>2272</v>
      </c>
      <c r="J1515" s="198" t="s">
        <v>2272</v>
      </c>
      <c r="K1515" s="198" t="s">
        <v>2272</v>
      </c>
      <c r="L1515" s="198" t="s">
        <v>2272</v>
      </c>
      <c r="M1515" s="198" t="s">
        <v>2272</v>
      </c>
      <c r="N1515" s="198" t="s">
        <v>2272</v>
      </c>
      <c r="O1515" s="198" t="s">
        <v>2272</v>
      </c>
      <c r="P1515" s="198" t="s">
        <v>2272</v>
      </c>
      <c r="Q1515" s="21">
        <f>AVERAGE(481668, 85220)/'Record info'!K1515</f>
        <v>12.695122497424643</v>
      </c>
      <c r="R1515" s="21">
        <f>(100*AVERAGE(17280, 17090)/'Record info'!K1515)-Q1515</f>
        <v>64.274465893313021</v>
      </c>
      <c r="S1515" s="198" t="s">
        <v>2272</v>
      </c>
      <c r="T1515" s="4" t="s">
        <v>9632</v>
      </c>
    </row>
    <row r="1516" spans="1:20" ht="45.5" customHeight="1">
      <c r="A1516" s="11" t="s">
        <v>9614</v>
      </c>
      <c r="B1516" s="198" t="s">
        <v>2272</v>
      </c>
      <c r="C1516" s="198" t="s">
        <v>11</v>
      </c>
      <c r="D1516" s="198" t="s">
        <v>128</v>
      </c>
      <c r="E1516" s="4" t="s">
        <v>2646</v>
      </c>
      <c r="F1516" s="4" t="s">
        <v>5795</v>
      </c>
      <c r="G1516" s="198" t="s">
        <v>2272</v>
      </c>
      <c r="H1516" s="198" t="s">
        <v>2272</v>
      </c>
      <c r="I1516" s="198" t="s">
        <v>2272</v>
      </c>
      <c r="J1516" s="198" t="s">
        <v>2272</v>
      </c>
      <c r="K1516" s="198" t="s">
        <v>2272</v>
      </c>
      <c r="L1516" s="198" t="s">
        <v>2272</v>
      </c>
      <c r="M1516" s="198" t="s">
        <v>2272</v>
      </c>
      <c r="N1516" s="198" t="s">
        <v>2272</v>
      </c>
      <c r="O1516" s="198" t="s">
        <v>2272</v>
      </c>
      <c r="P1516" s="198" t="s">
        <v>2272</v>
      </c>
      <c r="Q1516" s="21">
        <f>AVERAGE(44899, 74383)/'Record info'!K1516</f>
        <v>2.659102055374738</v>
      </c>
      <c r="R1516" s="21">
        <f>(100*AVERAGE(17321, 17275)/'Record info'!K1516)-Q1516</f>
        <v>74.464265014044329</v>
      </c>
      <c r="S1516" s="198" t="s">
        <v>2272</v>
      </c>
      <c r="T1516" s="4" t="s">
        <v>9632</v>
      </c>
    </row>
    <row r="1517" spans="1:20" ht="45.5" customHeight="1">
      <c r="A1517" s="11" t="s">
        <v>9615</v>
      </c>
      <c r="B1517" s="198" t="s">
        <v>2272</v>
      </c>
      <c r="C1517" s="198" t="s">
        <v>11</v>
      </c>
      <c r="D1517" s="198" t="s">
        <v>128</v>
      </c>
      <c r="E1517" s="4" t="s">
        <v>2646</v>
      </c>
      <c r="F1517" s="4" t="s">
        <v>5795</v>
      </c>
      <c r="G1517" s="198" t="s">
        <v>2272</v>
      </c>
      <c r="H1517" s="198" t="s">
        <v>2272</v>
      </c>
      <c r="I1517" s="198" t="s">
        <v>2272</v>
      </c>
      <c r="J1517" s="198" t="s">
        <v>2272</v>
      </c>
      <c r="K1517" s="198" t="s">
        <v>2272</v>
      </c>
      <c r="L1517" s="198" t="s">
        <v>2272</v>
      </c>
      <c r="M1517" s="198" t="s">
        <v>2272</v>
      </c>
      <c r="N1517" s="198" t="s">
        <v>2272</v>
      </c>
      <c r="O1517" s="198" t="s">
        <v>2272</v>
      </c>
      <c r="P1517" s="198" t="s">
        <v>2272</v>
      </c>
      <c r="Q1517" s="21">
        <f>AVERAGE(261756, 401741)/'Record info'!K1517</f>
        <v>15.736848346852616</v>
      </c>
      <c r="R1517" s="21">
        <f>(100*AVERAGE(19240, 19117)/'Record info'!K1517)-Q1517</f>
        <v>75.238437455528683</v>
      </c>
      <c r="S1517" s="198" t="s">
        <v>2272</v>
      </c>
      <c r="T1517" s="4" t="s">
        <v>9632</v>
      </c>
    </row>
    <row r="1518" spans="1:20" ht="45.5" customHeight="1">
      <c r="A1518" s="11" t="s">
        <v>9616</v>
      </c>
      <c r="B1518" s="198" t="s">
        <v>2272</v>
      </c>
      <c r="C1518" s="198" t="s">
        <v>11</v>
      </c>
      <c r="D1518" s="198" t="s">
        <v>128</v>
      </c>
      <c r="E1518" s="4" t="s">
        <v>2646</v>
      </c>
      <c r="F1518" s="4" t="s">
        <v>5795</v>
      </c>
      <c r="G1518" s="198" t="s">
        <v>2272</v>
      </c>
      <c r="H1518" s="198" t="s">
        <v>2272</v>
      </c>
      <c r="I1518" s="198" t="s">
        <v>2272</v>
      </c>
      <c r="J1518" s="198" t="s">
        <v>2272</v>
      </c>
      <c r="K1518" s="198" t="s">
        <v>2272</v>
      </c>
      <c r="L1518" s="198" t="s">
        <v>2272</v>
      </c>
      <c r="M1518" s="198" t="s">
        <v>2272</v>
      </c>
      <c r="N1518" s="198" t="s">
        <v>2272</v>
      </c>
      <c r="O1518" s="198" t="s">
        <v>2272</v>
      </c>
      <c r="P1518" s="198" t="s">
        <v>2272</v>
      </c>
      <c r="Q1518" s="21">
        <f>AVERAGE(282774, 191790)/'Record info'!K1518</f>
        <v>14.312202183485132</v>
      </c>
      <c r="R1518" s="21">
        <f>(100*AVERAGE(13464, 13318)/'Record info'!K1518)-Q1518</f>
        <v>66.458652512214258</v>
      </c>
      <c r="S1518" s="198" t="s">
        <v>2272</v>
      </c>
      <c r="T1518" s="4" t="s">
        <v>9632</v>
      </c>
    </row>
    <row r="1519" spans="1:20" ht="45.5" customHeight="1">
      <c r="A1519" s="11" t="s">
        <v>9617</v>
      </c>
      <c r="B1519" s="198" t="s">
        <v>2272</v>
      </c>
      <c r="C1519" s="198" t="s">
        <v>11</v>
      </c>
      <c r="D1519" s="198" t="s">
        <v>128</v>
      </c>
      <c r="E1519" s="4" t="s">
        <v>2646</v>
      </c>
      <c r="F1519" s="4" t="s">
        <v>5795</v>
      </c>
      <c r="G1519" s="198" t="s">
        <v>2272</v>
      </c>
      <c r="H1519" s="198" t="s">
        <v>2272</v>
      </c>
      <c r="I1519" s="198" t="s">
        <v>2272</v>
      </c>
      <c r="J1519" s="198" t="s">
        <v>2272</v>
      </c>
      <c r="K1519" s="198" t="s">
        <v>2272</v>
      </c>
      <c r="L1519" s="198" t="s">
        <v>2272</v>
      </c>
      <c r="M1519" s="198" t="s">
        <v>2272</v>
      </c>
      <c r="N1519" s="198" t="s">
        <v>2272</v>
      </c>
      <c r="O1519" s="198" t="s">
        <v>2272</v>
      </c>
      <c r="P1519" s="198" t="s">
        <v>2272</v>
      </c>
      <c r="Q1519" s="21">
        <f>AVERAGE(25411, 39526)/'Record info'!K1519</f>
        <v>3.0963665840167844</v>
      </c>
      <c r="R1519" s="21">
        <f>(100*AVERAGE(8073, 7977)/'Record info'!K1519)-Q1519</f>
        <v>73.434245660881174</v>
      </c>
      <c r="S1519" s="198" t="s">
        <v>2272</v>
      </c>
      <c r="T1519" s="4" t="s">
        <v>9632</v>
      </c>
    </row>
    <row r="1520" spans="1:20" ht="45.5" customHeight="1">
      <c r="A1520" s="11" t="s">
        <v>9618</v>
      </c>
      <c r="B1520" s="198" t="s">
        <v>2272</v>
      </c>
      <c r="C1520" s="198" t="s">
        <v>11</v>
      </c>
      <c r="D1520" s="4" t="s">
        <v>2646</v>
      </c>
      <c r="E1520" s="4" t="s">
        <v>5795</v>
      </c>
      <c r="F1520" s="198" t="s">
        <v>2272</v>
      </c>
      <c r="G1520" s="198" t="s">
        <v>2272</v>
      </c>
      <c r="H1520" s="198" t="s">
        <v>2272</v>
      </c>
      <c r="I1520" s="198" t="s">
        <v>2272</v>
      </c>
      <c r="J1520" s="198" t="s">
        <v>2272</v>
      </c>
      <c r="K1520" s="198" t="s">
        <v>2272</v>
      </c>
      <c r="L1520" s="198" t="s">
        <v>2272</v>
      </c>
      <c r="M1520" s="198" t="s">
        <v>2272</v>
      </c>
      <c r="N1520" s="198" t="s">
        <v>2272</v>
      </c>
      <c r="O1520" s="198" t="s">
        <v>2272</v>
      </c>
      <c r="P1520" s="198" t="s">
        <v>2272</v>
      </c>
      <c r="Q1520" s="198" t="s">
        <v>2272</v>
      </c>
      <c r="R1520" s="21">
        <f>100*AVERAGE(3357, 3359)/'Record info'!K1520</f>
        <v>47.322435174746339</v>
      </c>
      <c r="S1520" s="198" t="s">
        <v>2272</v>
      </c>
      <c r="T1520" s="198" t="s">
        <v>9631</v>
      </c>
    </row>
    <row r="1521" spans="1:21" ht="50" customHeight="1">
      <c r="A1521" s="11" t="s">
        <v>9640</v>
      </c>
      <c r="B1521" s="198" t="s">
        <v>2272</v>
      </c>
      <c r="C1521" s="198" t="s">
        <v>11</v>
      </c>
      <c r="D1521" s="4" t="s">
        <v>2646</v>
      </c>
      <c r="E1521" s="4" t="s">
        <v>3849</v>
      </c>
      <c r="F1521" s="198" t="s">
        <v>2272</v>
      </c>
      <c r="G1521" s="198" t="s">
        <v>2272</v>
      </c>
      <c r="H1521" s="198" t="s">
        <v>2272</v>
      </c>
      <c r="I1521" s="198" t="s">
        <v>2272</v>
      </c>
      <c r="J1521" s="198" t="s">
        <v>2272</v>
      </c>
      <c r="K1521" s="198" t="s">
        <v>2272</v>
      </c>
      <c r="L1521" s="198" t="s">
        <v>2272</v>
      </c>
      <c r="M1521" s="198" t="s">
        <v>2272</v>
      </c>
      <c r="N1521" s="198" t="s">
        <v>2272</v>
      </c>
      <c r="O1521" s="198" t="s">
        <v>2272</v>
      </c>
      <c r="P1521" s="198" t="s">
        <v>2272</v>
      </c>
      <c r="Q1521" s="198" t="s">
        <v>2272</v>
      </c>
      <c r="R1521" s="198" t="s">
        <v>2272</v>
      </c>
      <c r="S1521" s="198" t="s">
        <v>2272</v>
      </c>
      <c r="T1521" s="198"/>
    </row>
    <row r="1522" spans="1:21" ht="42.5" customHeight="1">
      <c r="A1522" s="198" t="s">
        <v>9644</v>
      </c>
      <c r="B1522" s="198" t="s">
        <v>31</v>
      </c>
      <c r="C1522" s="198" t="s">
        <v>11</v>
      </c>
      <c r="D1522" s="198" t="s">
        <v>2644</v>
      </c>
      <c r="E1522" s="198" t="s">
        <v>860</v>
      </c>
      <c r="F1522" s="198" t="s">
        <v>128</v>
      </c>
      <c r="G1522" s="198" t="s">
        <v>114</v>
      </c>
      <c r="H1522" s="198" t="s">
        <v>2272</v>
      </c>
      <c r="I1522" s="198" t="s">
        <v>2272</v>
      </c>
      <c r="J1522" s="198" t="s">
        <v>2272</v>
      </c>
      <c r="K1522" s="198" t="s">
        <v>532</v>
      </c>
      <c r="L1522" s="198" t="s">
        <v>2272</v>
      </c>
      <c r="M1522" s="198" t="s">
        <v>2272</v>
      </c>
      <c r="N1522" s="198" t="s">
        <v>2272</v>
      </c>
      <c r="O1522" s="198" t="s">
        <v>2272</v>
      </c>
      <c r="P1522" s="198" t="s">
        <v>2272</v>
      </c>
      <c r="Q1522" s="198" t="s">
        <v>2272</v>
      </c>
      <c r="R1522" s="21">
        <v>95</v>
      </c>
      <c r="S1522" s="198" t="s">
        <v>2272</v>
      </c>
      <c r="T1522" s="198" t="s">
        <v>9648</v>
      </c>
    </row>
    <row r="1523" spans="1:21" ht="42.5" customHeight="1">
      <c r="A1523" s="11" t="s">
        <v>9657</v>
      </c>
      <c r="B1523" s="198" t="s">
        <v>2272</v>
      </c>
      <c r="C1523" s="198" t="s">
        <v>11</v>
      </c>
      <c r="D1523" s="198" t="s">
        <v>128</v>
      </c>
      <c r="E1523" s="198" t="s">
        <v>114</v>
      </c>
      <c r="F1523" s="4" t="s">
        <v>395</v>
      </c>
      <c r="G1523" s="198" t="s">
        <v>2644</v>
      </c>
      <c r="H1523" s="198" t="s">
        <v>2272</v>
      </c>
      <c r="I1523" s="198" t="s">
        <v>2272</v>
      </c>
      <c r="J1523" s="198" t="s">
        <v>2272</v>
      </c>
      <c r="K1523" s="198" t="s">
        <v>532</v>
      </c>
      <c r="L1523" s="198" t="s">
        <v>2272</v>
      </c>
      <c r="M1523" s="198" t="s">
        <v>2272</v>
      </c>
      <c r="N1523" s="198" t="s">
        <v>2272</v>
      </c>
      <c r="O1523" s="198" t="s">
        <v>2272</v>
      </c>
      <c r="P1523" s="198" t="s">
        <v>2272</v>
      </c>
      <c r="Q1523" s="198" t="s">
        <v>2272</v>
      </c>
      <c r="R1523" s="198" t="s">
        <v>2272</v>
      </c>
      <c r="S1523" s="198" t="s">
        <v>2272</v>
      </c>
      <c r="T1523" s="198"/>
    </row>
    <row r="1524" spans="1:21" ht="42.5" customHeight="1">
      <c r="A1524" s="11" t="s">
        <v>9658</v>
      </c>
      <c r="B1524" s="198" t="s">
        <v>2272</v>
      </c>
      <c r="C1524" s="198" t="s">
        <v>11</v>
      </c>
      <c r="D1524" s="198" t="s">
        <v>128</v>
      </c>
      <c r="E1524" s="198" t="s">
        <v>2644</v>
      </c>
      <c r="F1524" s="4" t="s">
        <v>395</v>
      </c>
      <c r="G1524" s="198" t="s">
        <v>82</v>
      </c>
      <c r="H1524" s="198" t="s">
        <v>2272</v>
      </c>
      <c r="I1524" s="198" t="s">
        <v>2272</v>
      </c>
      <c r="J1524" s="198" t="s">
        <v>2272</v>
      </c>
      <c r="K1524" s="198" t="s">
        <v>532</v>
      </c>
      <c r="L1524" s="198" t="s">
        <v>2272</v>
      </c>
      <c r="M1524" s="198" t="s">
        <v>2272</v>
      </c>
      <c r="N1524" s="198" t="s">
        <v>2272</v>
      </c>
      <c r="O1524" s="198" t="s">
        <v>2272</v>
      </c>
      <c r="P1524" s="198" t="s">
        <v>2272</v>
      </c>
      <c r="Q1524" s="198" t="s">
        <v>2272</v>
      </c>
      <c r="R1524" s="198" t="s">
        <v>2272</v>
      </c>
      <c r="S1524" s="198" t="s">
        <v>2272</v>
      </c>
      <c r="T1524" s="198"/>
    </row>
    <row r="1525" spans="1:21" ht="42.5" customHeight="1">
      <c r="A1525" s="11" t="s">
        <v>9659</v>
      </c>
      <c r="B1525" s="198" t="s">
        <v>2272</v>
      </c>
      <c r="C1525" s="198" t="s">
        <v>11</v>
      </c>
      <c r="D1525" s="198" t="s">
        <v>128</v>
      </c>
      <c r="E1525" s="198" t="s">
        <v>114</v>
      </c>
      <c r="F1525" s="198" t="s">
        <v>2644</v>
      </c>
      <c r="G1525" s="198" t="s">
        <v>2272</v>
      </c>
      <c r="H1525" s="198" t="s">
        <v>2272</v>
      </c>
      <c r="I1525" s="198" t="s">
        <v>2272</v>
      </c>
      <c r="J1525" s="198" t="s">
        <v>2272</v>
      </c>
      <c r="K1525" s="198" t="s">
        <v>532</v>
      </c>
      <c r="L1525" s="198" t="s">
        <v>2272</v>
      </c>
      <c r="M1525" s="198" t="s">
        <v>2272</v>
      </c>
      <c r="N1525" s="198" t="s">
        <v>2272</v>
      </c>
      <c r="O1525" s="198" t="s">
        <v>2272</v>
      </c>
      <c r="P1525" s="198" t="s">
        <v>2272</v>
      </c>
      <c r="Q1525" s="198" t="s">
        <v>2272</v>
      </c>
      <c r="R1525" s="198" t="s">
        <v>2272</v>
      </c>
      <c r="S1525" s="198" t="s">
        <v>2272</v>
      </c>
      <c r="T1525" s="198"/>
    </row>
    <row r="1526" spans="1:21" ht="42.5" customHeight="1">
      <c r="A1526" s="11" t="s">
        <v>9660</v>
      </c>
      <c r="B1526" s="198" t="s">
        <v>2272</v>
      </c>
      <c r="C1526" s="198" t="s">
        <v>11</v>
      </c>
      <c r="D1526" s="198" t="s">
        <v>2644</v>
      </c>
      <c r="E1526" s="198" t="s">
        <v>128</v>
      </c>
      <c r="F1526" s="198" t="s">
        <v>2648</v>
      </c>
      <c r="G1526" s="198" t="s">
        <v>114</v>
      </c>
      <c r="H1526" s="198" t="s">
        <v>2272</v>
      </c>
      <c r="I1526" s="198" t="s">
        <v>2272</v>
      </c>
      <c r="J1526" s="198" t="s">
        <v>2272</v>
      </c>
      <c r="K1526" s="198" t="s">
        <v>532</v>
      </c>
      <c r="L1526" s="198" t="s">
        <v>2272</v>
      </c>
      <c r="M1526" s="198" t="s">
        <v>2272</v>
      </c>
      <c r="N1526" s="198" t="s">
        <v>2272</v>
      </c>
      <c r="O1526" s="198" t="s">
        <v>2272</v>
      </c>
      <c r="P1526" s="198" t="s">
        <v>2272</v>
      </c>
      <c r="Q1526" s="198" t="s">
        <v>2272</v>
      </c>
      <c r="R1526" s="198" t="s">
        <v>2272</v>
      </c>
      <c r="S1526" s="198" t="s">
        <v>2272</v>
      </c>
      <c r="T1526" s="198"/>
    </row>
    <row r="1527" spans="1:21" ht="42.5" customHeight="1">
      <c r="A1527" s="11" t="s">
        <v>9661</v>
      </c>
      <c r="B1527" s="198" t="s">
        <v>2272</v>
      </c>
      <c r="C1527" s="198" t="s">
        <v>11</v>
      </c>
      <c r="D1527" s="198" t="s">
        <v>128</v>
      </c>
      <c r="E1527" s="198" t="s">
        <v>2648</v>
      </c>
      <c r="F1527" s="198" t="s">
        <v>82</v>
      </c>
      <c r="G1527" s="198" t="s">
        <v>2272</v>
      </c>
      <c r="H1527" s="198" t="s">
        <v>2272</v>
      </c>
      <c r="I1527" s="198" t="s">
        <v>2272</v>
      </c>
      <c r="J1527" s="198" t="s">
        <v>2272</v>
      </c>
      <c r="K1527" s="198" t="s">
        <v>2272</v>
      </c>
      <c r="L1527" s="198" t="s">
        <v>2272</v>
      </c>
      <c r="M1527" s="198" t="s">
        <v>2272</v>
      </c>
      <c r="N1527" s="198" t="s">
        <v>2272</v>
      </c>
      <c r="O1527" s="198" t="s">
        <v>2272</v>
      </c>
      <c r="P1527" s="198" t="s">
        <v>2272</v>
      </c>
      <c r="Q1527" s="198" t="s">
        <v>2272</v>
      </c>
      <c r="R1527" s="198" t="s">
        <v>2272</v>
      </c>
      <c r="S1527" s="198" t="s">
        <v>2272</v>
      </c>
      <c r="T1527" s="198"/>
    </row>
    <row r="1528" spans="1:21" ht="42.5" customHeight="1">
      <c r="A1528" s="11" t="s">
        <v>9662</v>
      </c>
      <c r="B1528" s="198" t="s">
        <v>2272</v>
      </c>
      <c r="C1528" s="198" t="s">
        <v>11</v>
      </c>
      <c r="D1528" s="198" t="s">
        <v>128</v>
      </c>
      <c r="E1528" s="198" t="s">
        <v>2644</v>
      </c>
      <c r="F1528" s="198" t="s">
        <v>114</v>
      </c>
      <c r="G1528" s="198" t="s">
        <v>82</v>
      </c>
      <c r="H1528" s="198" t="s">
        <v>2272</v>
      </c>
      <c r="I1528" s="198" t="s">
        <v>2272</v>
      </c>
      <c r="J1528" s="198" t="s">
        <v>2272</v>
      </c>
      <c r="K1528" s="198" t="s">
        <v>532</v>
      </c>
      <c r="L1528" s="198" t="s">
        <v>2272</v>
      </c>
      <c r="M1528" s="198" t="s">
        <v>2272</v>
      </c>
      <c r="N1528" s="198" t="s">
        <v>2272</v>
      </c>
      <c r="O1528" s="198" t="s">
        <v>2272</v>
      </c>
      <c r="P1528" s="198" t="s">
        <v>2272</v>
      </c>
      <c r="Q1528" s="198" t="s">
        <v>2272</v>
      </c>
      <c r="R1528" s="198" t="s">
        <v>2272</v>
      </c>
      <c r="S1528" s="198" t="s">
        <v>2272</v>
      </c>
      <c r="T1528" s="198"/>
    </row>
    <row r="1529" spans="1:21" ht="41" customHeight="1">
      <c r="A1529" s="11" t="s">
        <v>9716</v>
      </c>
      <c r="B1529" s="198" t="s">
        <v>2272</v>
      </c>
      <c r="C1529" s="198" t="s">
        <v>11</v>
      </c>
      <c r="D1529" s="198" t="s">
        <v>860</v>
      </c>
      <c r="E1529" s="198" t="s">
        <v>128</v>
      </c>
      <c r="F1529" s="4" t="s">
        <v>395</v>
      </c>
      <c r="G1529" s="198" t="s">
        <v>135</v>
      </c>
      <c r="H1529" s="198" t="s">
        <v>2272</v>
      </c>
      <c r="I1529" s="198">
        <v>2</v>
      </c>
      <c r="J1529" s="198" t="s">
        <v>2272</v>
      </c>
      <c r="K1529" s="198" t="s">
        <v>2272</v>
      </c>
      <c r="L1529" s="198" t="s">
        <v>532</v>
      </c>
      <c r="M1529" s="198" t="s">
        <v>2272</v>
      </c>
      <c r="N1529" s="198">
        <v>19.191919191919194</v>
      </c>
      <c r="O1529" s="198" t="s">
        <v>2272</v>
      </c>
      <c r="P1529" s="198" t="s">
        <v>2272</v>
      </c>
      <c r="Q1529" s="198" t="s">
        <v>2272</v>
      </c>
      <c r="R1529" s="198" t="s">
        <v>2272</v>
      </c>
      <c r="S1529" s="198" t="s">
        <v>2272</v>
      </c>
      <c r="T1529" s="198" t="s">
        <v>2272</v>
      </c>
      <c r="U1529" s="198"/>
    </row>
    <row r="1530" spans="1:21" ht="37" customHeight="1">
      <c r="A1530" s="198" t="s">
        <v>9725</v>
      </c>
      <c r="B1530" s="198" t="s">
        <v>2272</v>
      </c>
      <c r="C1530" s="198" t="s">
        <v>11</v>
      </c>
      <c r="D1530" s="198" t="s">
        <v>860</v>
      </c>
      <c r="E1530" s="198" t="s">
        <v>128</v>
      </c>
      <c r="F1530" s="198" t="s">
        <v>2272</v>
      </c>
      <c r="G1530" s="198" t="s">
        <v>2272</v>
      </c>
      <c r="H1530" s="198" t="s">
        <v>2272</v>
      </c>
      <c r="I1530" s="198" t="s">
        <v>2272</v>
      </c>
      <c r="J1530" s="198" t="s">
        <v>2272</v>
      </c>
      <c r="K1530" s="198" t="s">
        <v>532</v>
      </c>
      <c r="L1530" s="198" t="s">
        <v>2272</v>
      </c>
      <c r="M1530" s="198" t="s">
        <v>2272</v>
      </c>
      <c r="N1530" s="198" t="s">
        <v>2272</v>
      </c>
      <c r="O1530" s="198" t="s">
        <v>2272</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198" t="s">
        <v>9727</v>
      </c>
    </row>
    <row r="1531" spans="1:21" ht="47" customHeight="1">
      <c r="A1531" s="11" t="s">
        <v>9729</v>
      </c>
      <c r="B1531" s="198" t="s">
        <v>2272</v>
      </c>
      <c r="C1531" s="198" t="s">
        <v>393</v>
      </c>
      <c r="D1531" s="198" t="s">
        <v>128</v>
      </c>
      <c r="E1531" s="198" t="s">
        <v>2272</v>
      </c>
      <c r="F1531" s="198" t="s">
        <v>2272</v>
      </c>
      <c r="G1531" s="198" t="s">
        <v>2272</v>
      </c>
      <c r="H1531" s="198" t="s">
        <v>2272</v>
      </c>
      <c r="I1531" s="198" t="s">
        <v>2272</v>
      </c>
      <c r="J1531" s="198" t="s">
        <v>2272</v>
      </c>
      <c r="K1531" s="198" t="s">
        <v>2272</v>
      </c>
      <c r="L1531" s="198" t="s">
        <v>2272</v>
      </c>
      <c r="M1531" s="198" t="s">
        <v>2272</v>
      </c>
      <c r="N1531" s="198" t="s">
        <v>2272</v>
      </c>
      <c r="O1531" s="198" t="s">
        <v>2272</v>
      </c>
      <c r="P1531" s="21">
        <f>4487/'Record info'!K1531</f>
        <v>10.143933761446373</v>
      </c>
      <c r="Q1531" s="21">
        <f>9018/'Record info'!K1531</f>
        <v>20.387340017990507</v>
      </c>
      <c r="R1531" s="21">
        <f>30714/'Record info'!K1531</f>
        <v>69.43632305528503</v>
      </c>
      <c r="S1531" s="21">
        <f>100/8*(4.3/70.3)</f>
        <v>0.76458036984352773</v>
      </c>
      <c r="T1531" s="198"/>
    </row>
    <row r="1532" spans="1:21" ht="47" customHeight="1">
      <c r="A1532" s="198" t="s">
        <v>9750</v>
      </c>
      <c r="B1532" s="198" t="s">
        <v>31</v>
      </c>
      <c r="C1532" s="198" t="s">
        <v>11</v>
      </c>
      <c r="D1532" s="198" t="s">
        <v>128</v>
      </c>
      <c r="E1532" s="198" t="s">
        <v>2644</v>
      </c>
      <c r="F1532" s="198" t="s">
        <v>82</v>
      </c>
      <c r="G1532" s="198" t="s">
        <v>2272</v>
      </c>
      <c r="H1532" s="198" t="s">
        <v>2272</v>
      </c>
      <c r="I1532" s="198" t="s">
        <v>2272</v>
      </c>
      <c r="J1532" s="198" t="s">
        <v>2272</v>
      </c>
      <c r="K1532" s="198" t="s">
        <v>532</v>
      </c>
      <c r="L1532" s="198" t="s">
        <v>2272</v>
      </c>
      <c r="M1532" s="198" t="s">
        <v>2272</v>
      </c>
      <c r="N1532" s="198" t="s">
        <v>2272</v>
      </c>
      <c r="O1532" s="198" t="s">
        <v>2272</v>
      </c>
      <c r="P1532" s="198" t="s">
        <v>2272</v>
      </c>
      <c r="Q1532" s="198" t="s">
        <v>2272</v>
      </c>
      <c r="R1532" s="21">
        <f>AVERAGE(2126200, 1869724)/'Record info'!K1532</f>
        <v>93.968676512087285</v>
      </c>
      <c r="S1532" s="21">
        <f>(100/30)*(2126200-1869724)/AVERAGE(2126200, 1869724)</f>
        <v>0.4278960260505455</v>
      </c>
      <c r="T1532" s="21"/>
    </row>
    <row r="1533" spans="1:21" ht="47" customHeight="1">
      <c r="A1533" s="198" t="s">
        <v>9751</v>
      </c>
      <c r="B1533" s="198" t="s">
        <v>31</v>
      </c>
      <c r="C1533" s="198" t="s">
        <v>393</v>
      </c>
      <c r="D1533" s="198" t="s">
        <v>128</v>
      </c>
      <c r="E1533" s="198" t="s">
        <v>2272</v>
      </c>
      <c r="F1533" s="198" t="s">
        <v>2272</v>
      </c>
      <c r="G1533" s="198" t="s">
        <v>2272</v>
      </c>
      <c r="H1533" s="198" t="s">
        <v>2272</v>
      </c>
      <c r="I1533" s="198" t="s">
        <v>2272</v>
      </c>
      <c r="J1533" s="198" t="s">
        <v>2272</v>
      </c>
      <c r="K1533" s="198" t="s">
        <v>535</v>
      </c>
      <c r="L1533" s="198" t="s">
        <v>2272</v>
      </c>
      <c r="M1533" s="198" t="s">
        <v>2272</v>
      </c>
      <c r="N1533" s="198" t="s">
        <v>2272</v>
      </c>
      <c r="O1533" s="198" t="s">
        <v>2272</v>
      </c>
      <c r="P1533" s="198" t="s">
        <v>2272</v>
      </c>
      <c r="Q1533" s="198" t="s">
        <v>2272</v>
      </c>
      <c r="R1533" s="21">
        <f>AVERAGE(929318, 807871)/'Record info'!K1533</f>
        <v>93.46559850213059</v>
      </c>
      <c r="S1533" s="21">
        <f>(100/30)*(929318-807871)/AVERAGE(929318, 807871)</f>
        <v>0.46606711570627418</v>
      </c>
      <c r="T1533" s="198"/>
    </row>
    <row r="1534" spans="1:21" ht="47" customHeight="1">
      <c r="A1534" s="198" t="s">
        <v>9752</v>
      </c>
      <c r="B1534" s="198" t="s">
        <v>31</v>
      </c>
      <c r="C1534" s="198" t="s">
        <v>393</v>
      </c>
      <c r="D1534" s="198" t="s">
        <v>128</v>
      </c>
      <c r="E1534" s="198" t="s">
        <v>2272</v>
      </c>
      <c r="F1534" s="198" t="s">
        <v>2272</v>
      </c>
      <c r="G1534" s="198" t="s">
        <v>2272</v>
      </c>
      <c r="H1534" s="198" t="s">
        <v>2272</v>
      </c>
      <c r="I1534" s="198" t="s">
        <v>2272</v>
      </c>
      <c r="J1534" s="198" t="s">
        <v>2272</v>
      </c>
      <c r="K1534" s="198" t="s">
        <v>535</v>
      </c>
      <c r="L1534" s="198" t="s">
        <v>2272</v>
      </c>
      <c r="M1534" s="198" t="s">
        <v>2272</v>
      </c>
      <c r="N1534" s="198" t="s">
        <v>2272</v>
      </c>
      <c r="O1534" s="198" t="s">
        <v>2272</v>
      </c>
      <c r="P1534" s="198" t="s">
        <v>2272</v>
      </c>
      <c r="Q1534" s="198" t="s">
        <v>2272</v>
      </c>
      <c r="R1534" s="21">
        <f>AVERAGE(583448, 498065)/'Record info'!K1534</f>
        <v>92.68257777016025</v>
      </c>
      <c r="S1534" s="21">
        <f>(100/30)*(583448-498065)/AVERAGE(583448, 498065)</f>
        <v>0.52631822271207096</v>
      </c>
      <c r="T1534" s="198"/>
    </row>
    <row r="1535" spans="1:21" ht="47" customHeight="1">
      <c r="A1535" s="198" t="s">
        <v>9753</v>
      </c>
      <c r="B1535" s="198" t="s">
        <v>31</v>
      </c>
      <c r="C1535" s="198" t="s">
        <v>393</v>
      </c>
      <c r="D1535" s="198" t="s">
        <v>128</v>
      </c>
      <c r="E1535" s="198" t="s">
        <v>2272</v>
      </c>
      <c r="F1535" s="198" t="s">
        <v>2272</v>
      </c>
      <c r="G1535" s="198" t="s">
        <v>2272</v>
      </c>
      <c r="H1535" s="198" t="s">
        <v>2272</v>
      </c>
      <c r="I1535" s="198" t="s">
        <v>2272</v>
      </c>
      <c r="J1535" s="198" t="s">
        <v>2272</v>
      </c>
      <c r="K1535" s="198" t="s">
        <v>535</v>
      </c>
      <c r="L1535" s="198" t="s">
        <v>2272</v>
      </c>
      <c r="M1535" s="198" t="s">
        <v>2272</v>
      </c>
      <c r="N1535" s="198" t="s">
        <v>2272</v>
      </c>
      <c r="O1535" s="198" t="s">
        <v>2272</v>
      </c>
      <c r="P1535" s="198" t="s">
        <v>2272</v>
      </c>
      <c r="Q1535" s="198" t="s">
        <v>2272</v>
      </c>
      <c r="R1535" s="21">
        <f>AVERAGE(435907, 363714)/'Record info'!K1535</f>
        <v>91.718588699502178</v>
      </c>
      <c r="S1535" s="21">
        <f>(100/30)*(435907-363714)/AVERAGE(435907, 363714)</f>
        <v>0.60189348036965851</v>
      </c>
      <c r="T1535" s="198"/>
    </row>
    <row r="1536" spans="1:21" ht="47" customHeight="1">
      <c r="A1536" s="198" t="s">
        <v>9754</v>
      </c>
      <c r="B1536" s="198" t="s">
        <v>31</v>
      </c>
      <c r="C1536" s="198" t="s">
        <v>11</v>
      </c>
      <c r="D1536" s="198" t="s">
        <v>128</v>
      </c>
      <c r="E1536" s="198" t="s">
        <v>2644</v>
      </c>
      <c r="F1536" s="198" t="s">
        <v>2272</v>
      </c>
      <c r="G1536" s="198" t="s">
        <v>2272</v>
      </c>
      <c r="H1536" s="198" t="s">
        <v>2272</v>
      </c>
      <c r="I1536" s="198" t="s">
        <v>2272</v>
      </c>
      <c r="J1536" s="198" t="s">
        <v>2272</v>
      </c>
      <c r="K1536" s="198" t="s">
        <v>532</v>
      </c>
      <c r="L1536" s="198" t="s">
        <v>2272</v>
      </c>
      <c r="M1536" s="198" t="s">
        <v>2272</v>
      </c>
      <c r="N1536" s="198" t="s">
        <v>2272</v>
      </c>
      <c r="O1536" s="198" t="s">
        <v>2272</v>
      </c>
      <c r="P1536" s="198" t="s">
        <v>2272</v>
      </c>
      <c r="Q1536" s="198" t="s">
        <v>2272</v>
      </c>
      <c r="R1536" s="21">
        <f>AVERAGE(701660, 565542)/'Record info'!K1536</f>
        <v>90.30028788872103</v>
      </c>
      <c r="S1536" s="21">
        <f>(100/30)*(701660-565542)/AVERAGE(701660, 565542)</f>
        <v>0.71610787651324204</v>
      </c>
      <c r="T1536" s="198"/>
    </row>
    <row r="1537" spans="1:20" ht="47" customHeight="1">
      <c r="A1537" s="198" t="s">
        <v>9755</v>
      </c>
      <c r="B1537" s="198" t="s">
        <v>31</v>
      </c>
      <c r="C1537" s="198" t="s">
        <v>11</v>
      </c>
      <c r="D1537" s="198" t="s">
        <v>128</v>
      </c>
      <c r="E1537" s="198" t="s">
        <v>2644</v>
      </c>
      <c r="F1537" s="198" t="s">
        <v>2272</v>
      </c>
      <c r="G1537" s="198" t="s">
        <v>2272</v>
      </c>
      <c r="H1537" s="198" t="s">
        <v>2272</v>
      </c>
      <c r="I1537" s="198" t="s">
        <v>2272</v>
      </c>
      <c r="J1537" s="198" t="s">
        <v>2272</v>
      </c>
      <c r="K1537" s="198" t="s">
        <v>532</v>
      </c>
      <c r="L1537" s="198" t="s">
        <v>2272</v>
      </c>
      <c r="M1537" s="198" t="s">
        <v>2272</v>
      </c>
      <c r="N1537" s="198" t="s">
        <v>2272</v>
      </c>
      <c r="O1537" s="198" t="s">
        <v>2272</v>
      </c>
      <c r="P1537" s="198" t="s">
        <v>2272</v>
      </c>
      <c r="Q1537" s="198" t="s">
        <v>2272</v>
      </c>
      <c r="R1537" s="21">
        <f>AVERAGE(5194206, 4022038)/'Record info'!K1537</f>
        <v>88.716513194499257</v>
      </c>
      <c r="S1537" s="21">
        <f>(100/30)*(5194206-4022038)/AVERAGE(5194206, 4022038)</f>
        <v>0.84790000496225293</v>
      </c>
      <c r="T1537" s="198"/>
    </row>
    <row r="1538" spans="1:20" ht="47" customHeight="1">
      <c r="A1538" s="198" t="s">
        <v>9756</v>
      </c>
      <c r="B1538" s="198" t="s">
        <v>31</v>
      </c>
      <c r="C1538" s="198" t="s">
        <v>11</v>
      </c>
      <c r="D1538" s="198" t="s">
        <v>128</v>
      </c>
      <c r="E1538" s="198" t="s">
        <v>2644</v>
      </c>
      <c r="F1538" s="198" t="s">
        <v>2272</v>
      </c>
      <c r="G1538" s="198" t="s">
        <v>2272</v>
      </c>
      <c r="H1538" s="198" t="s">
        <v>2272</v>
      </c>
      <c r="I1538" s="198" t="s">
        <v>2272</v>
      </c>
      <c r="J1538" s="198" t="s">
        <v>2272</v>
      </c>
      <c r="K1538" s="198" t="s">
        <v>532</v>
      </c>
      <c r="L1538" s="198" t="s">
        <v>2272</v>
      </c>
      <c r="M1538" s="198" t="s">
        <v>2272</v>
      </c>
      <c r="N1538" s="198" t="s">
        <v>2272</v>
      </c>
      <c r="O1538" s="198" t="s">
        <v>2272</v>
      </c>
      <c r="P1538" s="198" t="s">
        <v>2272</v>
      </c>
      <c r="Q1538" s="198" t="s">
        <v>2272</v>
      </c>
      <c r="R1538" s="21">
        <f>AVERAGE(2522310, 2029969)/'Record info'!K1538</f>
        <v>90.240275778948671</v>
      </c>
      <c r="S1538" s="21">
        <f>(100/30)*(2522310-2029969)/AVERAGE(2522310, 2029969)</f>
        <v>0.7210176119111622</v>
      </c>
      <c r="T1538" s="198"/>
    </row>
    <row r="1539" spans="1:20" ht="47" customHeight="1">
      <c r="A1539" s="198" t="s">
        <v>9757</v>
      </c>
      <c r="B1539" s="198" t="s">
        <v>31</v>
      </c>
      <c r="C1539" s="198" t="s">
        <v>11</v>
      </c>
      <c r="D1539" s="198" t="s">
        <v>128</v>
      </c>
      <c r="E1539" s="198" t="s">
        <v>2644</v>
      </c>
      <c r="F1539" s="198" t="s">
        <v>2272</v>
      </c>
      <c r="G1539" s="198" t="s">
        <v>2272</v>
      </c>
      <c r="H1539" s="198" t="s">
        <v>2272</v>
      </c>
      <c r="I1539" s="198" t="s">
        <v>2272</v>
      </c>
      <c r="J1539" s="198" t="s">
        <v>2272</v>
      </c>
      <c r="K1539" s="198" t="s">
        <v>532</v>
      </c>
      <c r="L1539" s="198" t="s">
        <v>2272</v>
      </c>
      <c r="M1539" s="198" t="s">
        <v>2272</v>
      </c>
      <c r="N1539" s="198" t="s">
        <v>2272</v>
      </c>
      <c r="O1539" s="198" t="s">
        <v>2272</v>
      </c>
      <c r="P1539" s="198" t="s">
        <v>2272</v>
      </c>
      <c r="Q1539" s="198" t="s">
        <v>2272</v>
      </c>
      <c r="R1539" s="21">
        <f>AVERAGE(2382124, 1783019)/'Record info'!K1539</f>
        <v>87.425129716387076</v>
      </c>
      <c r="S1539" s="21">
        <f>(100/30)*(2382124-1783019)/AVERAGE(2382124, 1783019)</f>
        <v>0.95891865737462878</v>
      </c>
      <c r="T1539" s="198"/>
    </row>
    <row r="1540" spans="1:20" ht="47" customHeight="1">
      <c r="A1540" s="198" t="s">
        <v>9758</v>
      </c>
      <c r="B1540" s="198" t="s">
        <v>31</v>
      </c>
      <c r="C1540" s="198" t="s">
        <v>11</v>
      </c>
      <c r="D1540" s="198" t="s">
        <v>128</v>
      </c>
      <c r="E1540" s="198" t="s">
        <v>2644</v>
      </c>
      <c r="F1540" s="198" t="s">
        <v>2272</v>
      </c>
      <c r="G1540" s="198" t="s">
        <v>2272</v>
      </c>
      <c r="H1540" s="198" t="s">
        <v>2272</v>
      </c>
      <c r="I1540" s="198" t="s">
        <v>2272</v>
      </c>
      <c r="J1540" s="198" t="s">
        <v>2272</v>
      </c>
      <c r="K1540" s="198" t="s">
        <v>532</v>
      </c>
      <c r="L1540" s="198" t="s">
        <v>2272</v>
      </c>
      <c r="M1540" s="198" t="s">
        <v>2272</v>
      </c>
      <c r="N1540" s="198" t="s">
        <v>2272</v>
      </c>
      <c r="O1540" s="198" t="s">
        <v>2272</v>
      </c>
      <c r="P1540" s="198" t="s">
        <v>2272</v>
      </c>
      <c r="Q1540" s="198" t="s">
        <v>2272</v>
      </c>
      <c r="R1540" s="21">
        <f>AVERAGE(1134974, 825401)/'Record info'!K1540</f>
        <v>86.362414865591163</v>
      </c>
      <c r="S1540" s="21">
        <f>(100/30)*(1134974-825401)/AVERAGE(1134974, 825401)</f>
        <v>1.0527679653127591</v>
      </c>
      <c r="T1540" s="198"/>
    </row>
    <row r="1541" spans="1:20" ht="47" customHeight="1">
      <c r="A1541" s="198" t="s">
        <v>9759</v>
      </c>
      <c r="B1541" s="198" t="s">
        <v>31</v>
      </c>
      <c r="C1541" s="198" t="s">
        <v>11</v>
      </c>
      <c r="D1541" s="198" t="s">
        <v>128</v>
      </c>
      <c r="E1541" s="198" t="s">
        <v>2644</v>
      </c>
      <c r="F1541" s="198" t="s">
        <v>2272</v>
      </c>
      <c r="G1541" s="198" t="s">
        <v>2272</v>
      </c>
      <c r="H1541" s="198" t="s">
        <v>2272</v>
      </c>
      <c r="I1541" s="198" t="s">
        <v>2272</v>
      </c>
      <c r="J1541" s="198" t="s">
        <v>2272</v>
      </c>
      <c r="K1541" s="198" t="s">
        <v>532</v>
      </c>
      <c r="L1541" s="198" t="s">
        <v>2272</v>
      </c>
      <c r="M1541" s="198" t="s">
        <v>2272</v>
      </c>
      <c r="N1541" s="198" t="s">
        <v>2272</v>
      </c>
      <c r="O1541" s="198" t="s">
        <v>2272</v>
      </c>
      <c r="P1541" s="198" t="s">
        <v>2272</v>
      </c>
      <c r="Q1541" s="198" t="s">
        <v>2272</v>
      </c>
      <c r="R1541" s="21">
        <f>AVERAGE(1793923, 1469458)/'Record info'!K1541</f>
        <v>90.956703754905462</v>
      </c>
      <c r="S1541" s="21">
        <f>(100/30)*(1793923-1469458)/AVERAGE(1793923, 1469458)</f>
        <v>0.66284016484743891</v>
      </c>
      <c r="T1541" s="198"/>
    </row>
    <row r="1542" spans="1:20" ht="47" customHeight="1">
      <c r="A1542" s="198" t="s">
        <v>9760</v>
      </c>
      <c r="B1542" s="198" t="s">
        <v>31</v>
      </c>
      <c r="C1542" s="198" t="s">
        <v>11</v>
      </c>
      <c r="D1542" s="198" t="s">
        <v>128</v>
      </c>
      <c r="E1542" s="198" t="s">
        <v>2644</v>
      </c>
      <c r="F1542" s="198" t="s">
        <v>2272</v>
      </c>
      <c r="G1542" s="198" t="s">
        <v>2272</v>
      </c>
      <c r="H1542" s="198" t="s">
        <v>2272</v>
      </c>
      <c r="I1542" s="198" t="s">
        <v>2272</v>
      </c>
      <c r="J1542" s="198" t="s">
        <v>2272</v>
      </c>
      <c r="K1542" s="198" t="s">
        <v>532</v>
      </c>
      <c r="L1542" s="198" t="s">
        <v>2272</v>
      </c>
      <c r="M1542" s="198" t="s">
        <v>2272</v>
      </c>
      <c r="N1542" s="198" t="s">
        <v>2272</v>
      </c>
      <c r="O1542" s="198" t="s">
        <v>2272</v>
      </c>
      <c r="P1542" s="198" t="s">
        <v>2272</v>
      </c>
      <c r="Q1542" s="198" t="s">
        <v>2272</v>
      </c>
      <c r="R1542" s="21">
        <f>AVERAGE(2641800, 1986415)/'Record info'!K1542</f>
        <v>87.595862669392076</v>
      </c>
      <c r="S1542" s="21">
        <f>(100/30)*(2641800-1986415)/AVERAGE(2641800, 1986415)</f>
        <v>0.94404286173683249</v>
      </c>
      <c r="T1542" s="198"/>
    </row>
    <row r="1543" spans="1:20" ht="47" customHeight="1">
      <c r="A1543" s="198" t="s">
        <v>9761</v>
      </c>
      <c r="B1543" s="198" t="s">
        <v>31</v>
      </c>
      <c r="C1543" s="198" t="s">
        <v>11</v>
      </c>
      <c r="D1543" s="198" t="s">
        <v>128</v>
      </c>
      <c r="E1543" s="198" t="s">
        <v>2644</v>
      </c>
      <c r="F1543" s="198" t="s">
        <v>2272</v>
      </c>
      <c r="G1543" s="198" t="s">
        <v>2272</v>
      </c>
      <c r="H1543" s="198" t="s">
        <v>2272</v>
      </c>
      <c r="I1543" s="198" t="s">
        <v>2272</v>
      </c>
      <c r="J1543" s="198" t="s">
        <v>2272</v>
      </c>
      <c r="K1543" s="198" t="s">
        <v>532</v>
      </c>
      <c r="L1543" s="198" t="s">
        <v>2272</v>
      </c>
      <c r="M1543" s="198" t="s">
        <v>2272</v>
      </c>
      <c r="N1543" s="198" t="s">
        <v>2272</v>
      </c>
      <c r="O1543" s="198" t="s">
        <v>2272</v>
      </c>
      <c r="P1543" s="198" t="s">
        <v>2272</v>
      </c>
      <c r="Q1543" s="198" t="s">
        <v>2272</v>
      </c>
      <c r="R1543" s="21">
        <f>AVERAGE(2419307, 1921034)/'Record info'!K1543</f>
        <v>89.702043144532951</v>
      </c>
      <c r="S1543" s="21">
        <f>(100/30)*(2419307-1921034)/AVERAGE(2419307, 1921034)</f>
        <v>0.76533617980707047</v>
      </c>
      <c r="T1543" s="198"/>
    </row>
    <row r="1544" spans="1:20" ht="47" customHeight="1">
      <c r="A1544" s="198" t="s">
        <v>9762</v>
      </c>
      <c r="B1544" s="198" t="s">
        <v>31</v>
      </c>
      <c r="C1544" s="198" t="s">
        <v>11</v>
      </c>
      <c r="D1544" s="198" t="s">
        <v>128</v>
      </c>
      <c r="E1544" s="198" t="s">
        <v>2644</v>
      </c>
      <c r="F1544" s="198" t="s">
        <v>2272</v>
      </c>
      <c r="G1544" s="198" t="s">
        <v>2272</v>
      </c>
      <c r="H1544" s="198" t="s">
        <v>2272</v>
      </c>
      <c r="I1544" s="198" t="s">
        <v>2272</v>
      </c>
      <c r="J1544" s="198" t="s">
        <v>2272</v>
      </c>
      <c r="K1544" s="198" t="s">
        <v>532</v>
      </c>
      <c r="L1544" s="198" t="s">
        <v>2272</v>
      </c>
      <c r="M1544" s="198" t="s">
        <v>2272</v>
      </c>
      <c r="N1544" s="198" t="s">
        <v>2272</v>
      </c>
      <c r="O1544" s="198" t="s">
        <v>2272</v>
      </c>
      <c r="P1544" s="198" t="s">
        <v>2272</v>
      </c>
      <c r="Q1544" s="198" t="s">
        <v>2272</v>
      </c>
      <c r="R1544" s="21">
        <f>AVERAGE(2371213, 2002745)/'Record info'!K1544</f>
        <v>92.230506787673804</v>
      </c>
      <c r="S1544" s="21">
        <f>(100/30)*(2371213-2002745)/AVERAGE(2371213, 2002745)</f>
        <v>0.56160880679085934</v>
      </c>
      <c r="T1544" s="198"/>
    </row>
    <row r="1545" spans="1:20" ht="47" customHeight="1">
      <c r="A1545" s="198" t="s">
        <v>9763</v>
      </c>
      <c r="B1545" s="198" t="s">
        <v>31</v>
      </c>
      <c r="C1545" s="198" t="s">
        <v>11</v>
      </c>
      <c r="D1545" s="198" t="s">
        <v>128</v>
      </c>
      <c r="E1545" s="198" t="s">
        <v>2644</v>
      </c>
      <c r="F1545" s="198" t="s">
        <v>2272</v>
      </c>
      <c r="G1545" s="198" t="s">
        <v>2272</v>
      </c>
      <c r="H1545" s="198" t="s">
        <v>2272</v>
      </c>
      <c r="I1545" s="198" t="s">
        <v>2272</v>
      </c>
      <c r="J1545" s="198" t="s">
        <v>2272</v>
      </c>
      <c r="K1545" s="198" t="s">
        <v>532</v>
      </c>
      <c r="L1545" s="198" t="s">
        <v>2272</v>
      </c>
      <c r="M1545" s="198" t="s">
        <v>2272</v>
      </c>
      <c r="N1545" s="198" t="s">
        <v>2272</v>
      </c>
      <c r="O1545" s="198" t="s">
        <v>2272</v>
      </c>
      <c r="P1545" s="198" t="s">
        <v>2272</v>
      </c>
      <c r="Q1545" s="198" t="s">
        <v>2272</v>
      </c>
      <c r="R1545" s="21">
        <f>AVERAGE(3105473, 2488155)/'Record info'!K1545</f>
        <v>90.060892554106147</v>
      </c>
      <c r="S1545" s="21">
        <f>(100/30)*(3105473-2488155)/AVERAGE(3105473, 2488155)</f>
        <v>0.73573954745173142</v>
      </c>
      <c r="T1545" s="198"/>
    </row>
    <row r="1546" spans="1:20" ht="47" customHeight="1">
      <c r="A1546" s="198" t="s">
        <v>9764</v>
      </c>
      <c r="B1546" s="198" t="s">
        <v>31</v>
      </c>
      <c r="C1546" s="198" t="s">
        <v>11</v>
      </c>
      <c r="D1546" s="198" t="s">
        <v>128</v>
      </c>
      <c r="E1546" s="198" t="s">
        <v>2644</v>
      </c>
      <c r="F1546" s="198" t="s">
        <v>2272</v>
      </c>
      <c r="G1546" s="198" t="s">
        <v>2272</v>
      </c>
      <c r="H1546" s="198" t="s">
        <v>2272</v>
      </c>
      <c r="I1546" s="198" t="s">
        <v>2272</v>
      </c>
      <c r="J1546" s="198" t="s">
        <v>2272</v>
      </c>
      <c r="K1546" s="198" t="s">
        <v>532</v>
      </c>
      <c r="L1546" s="198" t="s">
        <v>2272</v>
      </c>
      <c r="M1546" s="198" t="s">
        <v>2272</v>
      </c>
      <c r="N1546" s="198" t="s">
        <v>2272</v>
      </c>
      <c r="O1546" s="198" t="s">
        <v>2272</v>
      </c>
      <c r="P1546" s="198" t="s">
        <v>2272</v>
      </c>
      <c r="Q1546" s="198" t="s">
        <v>2272</v>
      </c>
      <c r="R1546" s="21">
        <f>AVERAGE(150700, 102381)/'Record info'!K1546</f>
        <v>83.968480424684799</v>
      </c>
      <c r="S1546" s="21">
        <f>(100/30)*(150700-102381)/AVERAGE(150700, 102381)</f>
        <v>1.2728204277155009</v>
      </c>
      <c r="T1546" s="198"/>
    </row>
    <row r="1547" spans="1:20" ht="47" customHeight="1">
      <c r="A1547" s="198" t="s">
        <v>9765</v>
      </c>
      <c r="B1547" s="198" t="s">
        <v>31</v>
      </c>
      <c r="C1547" s="198" t="s">
        <v>11</v>
      </c>
      <c r="D1547" s="198" t="s">
        <v>128</v>
      </c>
      <c r="E1547" s="198" t="s">
        <v>2644</v>
      </c>
      <c r="F1547" s="198" t="s">
        <v>2272</v>
      </c>
      <c r="G1547" s="198" t="s">
        <v>2272</v>
      </c>
      <c r="H1547" s="198" t="s">
        <v>2272</v>
      </c>
      <c r="I1547" s="198" t="s">
        <v>2272</v>
      </c>
      <c r="J1547" s="198" t="s">
        <v>2272</v>
      </c>
      <c r="K1547" s="198" t="s">
        <v>532</v>
      </c>
      <c r="L1547" s="198" t="s">
        <v>2272</v>
      </c>
      <c r="M1547" s="198" t="s">
        <v>2272</v>
      </c>
      <c r="N1547" s="198" t="s">
        <v>2272</v>
      </c>
      <c r="O1547" s="198" t="s">
        <v>2272</v>
      </c>
      <c r="P1547" s="198" t="s">
        <v>2272</v>
      </c>
      <c r="Q1547" s="198" t="s">
        <v>2272</v>
      </c>
      <c r="R1547" s="21">
        <f>AVERAGE(820606, 387405)/'Record info'!K1547</f>
        <v>73.604452785123257</v>
      </c>
      <c r="S1547" s="21">
        <f>(100/30)*(820606-387405)/AVERAGE(820606, 387405)</f>
        <v>2.3907122258544558</v>
      </c>
      <c r="T1547" s="198"/>
    </row>
    <row r="1548" spans="1:20" ht="47" customHeight="1">
      <c r="A1548" s="198" t="s">
        <v>9766</v>
      </c>
      <c r="B1548" s="198" t="s">
        <v>31</v>
      </c>
      <c r="C1548" s="198" t="s">
        <v>11</v>
      </c>
      <c r="D1548" s="198" t="s">
        <v>128</v>
      </c>
      <c r="E1548" s="198" t="s">
        <v>2644</v>
      </c>
      <c r="F1548" s="198" t="s">
        <v>2272</v>
      </c>
      <c r="G1548" s="198" t="s">
        <v>2272</v>
      </c>
      <c r="H1548" s="198" t="s">
        <v>2272</v>
      </c>
      <c r="I1548" s="198" t="s">
        <v>2272</v>
      </c>
      <c r="J1548" s="198" t="s">
        <v>2272</v>
      </c>
      <c r="K1548" s="198" t="s">
        <v>532</v>
      </c>
      <c r="L1548" s="198" t="s">
        <v>2272</v>
      </c>
      <c r="M1548" s="198" t="s">
        <v>2272</v>
      </c>
      <c r="N1548" s="198" t="s">
        <v>2272</v>
      </c>
      <c r="O1548" s="198" t="s">
        <v>2272</v>
      </c>
      <c r="P1548" s="198" t="s">
        <v>2272</v>
      </c>
      <c r="Q1548" s="198" t="s">
        <v>2272</v>
      </c>
      <c r="R1548" s="21">
        <f>AVERAGE(1358933, 885377)/'Record info'!K1548</f>
        <v>82.57636522852539</v>
      </c>
      <c r="S1548" s="21">
        <f>(100/30)*(1358933 - 885377)/AVERAGE(1358933, 885377)</f>
        <v>1.4066862420966801</v>
      </c>
      <c r="T1548" s="198"/>
    </row>
    <row r="1549" spans="1:20" ht="47" customHeight="1">
      <c r="A1549" s="33" t="s">
        <v>9767</v>
      </c>
      <c r="B1549" s="198" t="s">
        <v>31</v>
      </c>
      <c r="C1549" s="198" t="s">
        <v>11</v>
      </c>
      <c r="D1549" s="198" t="s">
        <v>128</v>
      </c>
      <c r="E1549" s="198" t="s">
        <v>2644</v>
      </c>
      <c r="F1549" s="198" t="s">
        <v>2272</v>
      </c>
      <c r="G1549" s="198" t="s">
        <v>2272</v>
      </c>
      <c r="H1549" s="198" t="s">
        <v>2272</v>
      </c>
      <c r="I1549" s="198" t="s">
        <v>2272</v>
      </c>
      <c r="J1549" s="198" t="s">
        <v>2272</v>
      </c>
      <c r="K1549" s="198" t="s">
        <v>2272</v>
      </c>
      <c r="L1549" s="198" t="s">
        <v>2272</v>
      </c>
      <c r="M1549" s="198" t="s">
        <v>2272</v>
      </c>
      <c r="N1549" s="198" t="s">
        <v>2272</v>
      </c>
      <c r="O1549" s="198" t="s">
        <v>2272</v>
      </c>
      <c r="P1549" s="198" t="s">
        <v>2272</v>
      </c>
      <c r="Q1549" s="198" t="s">
        <v>2272</v>
      </c>
      <c r="R1549" s="21">
        <f>AVERAGE(1847904, 857201)/'Record info'!K1549</f>
        <v>73.194031062286925</v>
      </c>
      <c r="S1549" s="21">
        <f>(100/30)*(1847904 - 857201)/AVERAGE(1847904, 857201)</f>
        <v>2.4415638826096093</v>
      </c>
      <c r="T1549" s="198"/>
    </row>
    <row r="1550" spans="1:20" ht="59" customHeight="1">
      <c r="A1550" s="198" t="s">
        <v>9771</v>
      </c>
      <c r="B1550" s="198" t="s">
        <v>31</v>
      </c>
      <c r="C1550" s="198" t="s">
        <v>393</v>
      </c>
      <c r="D1550" s="198" t="s">
        <v>128</v>
      </c>
      <c r="E1550" s="198" t="s">
        <v>2272</v>
      </c>
      <c r="F1550" s="198" t="s">
        <v>2272</v>
      </c>
      <c r="G1550" s="198" t="s">
        <v>2272</v>
      </c>
      <c r="H1550" s="198" t="s">
        <v>2272</v>
      </c>
      <c r="I1550" s="198" t="s">
        <v>2272</v>
      </c>
      <c r="J1550" s="198" t="s">
        <v>2272</v>
      </c>
      <c r="K1550" s="198" t="s">
        <v>532</v>
      </c>
      <c r="L1550" s="198" t="s">
        <v>2272</v>
      </c>
      <c r="M1550" s="198" t="s">
        <v>2272</v>
      </c>
      <c r="N1550" s="198" t="s">
        <v>2272</v>
      </c>
      <c r="O1550" s="198" t="s">
        <v>2272</v>
      </c>
      <c r="P1550" s="198" t="s">
        <v>2272</v>
      </c>
      <c r="Q1550" s="198" t="s">
        <v>2272</v>
      </c>
      <c r="R1550" s="21">
        <f>AVERAGE(707584, 466739)/'Record info'!K1550</f>
        <v>82.98164165182736</v>
      </c>
      <c r="S1550" s="21">
        <f>(100/30)*(707584-466739)/AVERAGE(707584, 466739)</f>
        <v>1.3672842423535376</v>
      </c>
      <c r="T1550" s="198"/>
    </row>
    <row r="1551" spans="1:20" ht="55.5" customHeight="1">
      <c r="A1551" s="19" t="s">
        <v>9839</v>
      </c>
      <c r="B1551" s="4" t="s">
        <v>31</v>
      </c>
      <c r="C1551" s="4" t="s">
        <v>11</v>
      </c>
      <c r="D1551" s="4" t="s">
        <v>394</v>
      </c>
      <c r="E1551" s="4" t="s">
        <v>3849</v>
      </c>
      <c r="F1551" s="198" t="s">
        <v>135</v>
      </c>
      <c r="G1551" s="198" t="s">
        <v>114</v>
      </c>
      <c r="H1551" s="198" t="s">
        <v>2272</v>
      </c>
      <c r="I1551" s="198" t="s">
        <v>2272</v>
      </c>
      <c r="J1551" s="198" t="s">
        <v>2272</v>
      </c>
      <c r="K1551" s="198" t="s">
        <v>2272</v>
      </c>
      <c r="L1551" s="198" t="s">
        <v>2272</v>
      </c>
      <c r="M1551" s="198" t="s">
        <v>2272</v>
      </c>
      <c r="N1551" s="198" t="s">
        <v>2272</v>
      </c>
      <c r="O1551" s="198" t="s">
        <v>2272</v>
      </c>
      <c r="P1551" s="21">
        <f>100*500/1363</f>
        <v>36.683785766691123</v>
      </c>
      <c r="Q1551" s="198" t="s">
        <v>2272</v>
      </c>
      <c r="R1551" s="21">
        <f>100-P1551</f>
        <v>63.316214233308877</v>
      </c>
      <c r="S1551" s="198" t="s">
        <v>2272</v>
      </c>
      <c r="T1551" s="198"/>
    </row>
    <row r="1552" spans="1:20" ht="56" customHeight="1">
      <c r="A1552" s="198" t="s">
        <v>9859</v>
      </c>
      <c r="B1552" s="4" t="s">
        <v>31</v>
      </c>
      <c r="C1552" s="198" t="s">
        <v>11</v>
      </c>
      <c r="D1552" s="198" t="s">
        <v>128</v>
      </c>
      <c r="E1552" s="4" t="s">
        <v>2646</v>
      </c>
      <c r="F1552" s="4" t="s">
        <v>395</v>
      </c>
      <c r="G1552" s="198" t="s">
        <v>2272</v>
      </c>
      <c r="H1552" s="198" t="s">
        <v>2272</v>
      </c>
      <c r="I1552" s="198">
        <f>AVERAGE(0.77, 0.98)</f>
        <v>0.875</v>
      </c>
      <c r="J1552" s="198" t="s">
        <v>2272</v>
      </c>
      <c r="K1552" s="198" t="s">
        <v>2272</v>
      </c>
      <c r="L1552" s="198" t="s">
        <v>2272</v>
      </c>
      <c r="M1552" s="198" t="s">
        <v>2272</v>
      </c>
      <c r="N1552" s="198" t="s">
        <v>2272</v>
      </c>
      <c r="O1552" s="198" t="s">
        <v>2272</v>
      </c>
      <c r="P1552" s="198" t="s">
        <v>2272</v>
      </c>
      <c r="Q1552" s="198" t="s">
        <v>2272</v>
      </c>
      <c r="R1552" s="198" t="s">
        <v>2272</v>
      </c>
      <c r="S1552" s="198" t="s">
        <v>2272</v>
      </c>
      <c r="T1552" s="198"/>
    </row>
    <row r="1553" spans="1:20" ht="45.5" customHeight="1">
      <c r="A1553" s="11" t="s">
        <v>9867</v>
      </c>
      <c r="B1553" s="4" t="s">
        <v>31</v>
      </c>
      <c r="C1553" s="198" t="s">
        <v>11</v>
      </c>
      <c r="D1553" s="198" t="s">
        <v>2644</v>
      </c>
      <c r="E1553" s="198" t="s">
        <v>135</v>
      </c>
      <c r="F1553" s="198" t="s">
        <v>44</v>
      </c>
      <c r="G1553" s="198" t="s">
        <v>2272</v>
      </c>
      <c r="H1553" s="198" t="s">
        <v>2272</v>
      </c>
      <c r="I1553" s="198" t="s">
        <v>2272</v>
      </c>
      <c r="J1553" s="198" t="s">
        <v>2272</v>
      </c>
      <c r="K1553" s="198" t="s">
        <v>2272</v>
      </c>
      <c r="L1553" s="198" t="s">
        <v>2272</v>
      </c>
      <c r="M1553" s="198" t="s">
        <v>2272</v>
      </c>
      <c r="N1553" s="198" t="s">
        <v>2272</v>
      </c>
      <c r="O1553" s="198" t="s">
        <v>2272</v>
      </c>
      <c r="P1553" s="198" t="s">
        <v>2272</v>
      </c>
      <c r="Q1553" s="198" t="s">
        <v>2272</v>
      </c>
      <c r="R1553" s="198" t="s">
        <v>2272</v>
      </c>
      <c r="S1553" s="198" t="s">
        <v>2272</v>
      </c>
      <c r="T1553" s="4" t="s">
        <v>9871</v>
      </c>
    </row>
    <row r="1554" spans="1:20" ht="46" customHeight="1">
      <c r="A1554" s="11" t="s">
        <v>9874</v>
      </c>
      <c r="B1554" s="198" t="s">
        <v>2272</v>
      </c>
      <c r="C1554" s="198" t="s">
        <v>393</v>
      </c>
      <c r="D1554" s="198" t="s">
        <v>114</v>
      </c>
      <c r="E1554" s="198" t="s">
        <v>44</v>
      </c>
      <c r="F1554" s="198" t="s">
        <v>128</v>
      </c>
      <c r="G1554" s="198" t="s">
        <v>2272</v>
      </c>
      <c r="H1554" s="198" t="s">
        <v>2272</v>
      </c>
      <c r="I1554" s="198" t="s">
        <v>2272</v>
      </c>
      <c r="J1554" s="198" t="s">
        <v>2272</v>
      </c>
      <c r="K1554" s="198" t="s">
        <v>532</v>
      </c>
      <c r="L1554" s="198" t="s">
        <v>2272</v>
      </c>
      <c r="M1554" s="198" t="s">
        <v>2272</v>
      </c>
      <c r="N1554" s="198" t="s">
        <v>2272</v>
      </c>
      <c r="O1554" s="198" t="s">
        <v>2272</v>
      </c>
      <c r="P1554" s="198" t="s">
        <v>2272</v>
      </c>
      <c r="Q1554" s="198" t="s">
        <v>2272</v>
      </c>
      <c r="R1554" s="21">
        <f>1150/'Record info'!K1554</f>
        <v>18.16458695308798</v>
      </c>
      <c r="S1554" s="198" t="s">
        <v>2272</v>
      </c>
      <c r="T1554" s="198"/>
    </row>
    <row r="1555" spans="1:20" ht="46.5" customHeight="1">
      <c r="A1555" s="11" t="s">
        <v>9878</v>
      </c>
      <c r="B1555" s="198" t="s">
        <v>2272</v>
      </c>
      <c r="C1555" s="198" t="s">
        <v>2272</v>
      </c>
      <c r="D1555" s="198" t="s">
        <v>114</v>
      </c>
      <c r="E1555" s="198" t="s">
        <v>2272</v>
      </c>
      <c r="F1555" s="198" t="s">
        <v>2272</v>
      </c>
      <c r="G1555" s="198" t="s">
        <v>2272</v>
      </c>
      <c r="H1555" s="198" t="s">
        <v>2272</v>
      </c>
      <c r="I1555" s="198" t="s">
        <v>2272</v>
      </c>
      <c r="J1555" s="198" t="s">
        <v>2272</v>
      </c>
      <c r="K1555" s="198" t="s">
        <v>2272</v>
      </c>
      <c r="L1555" s="198" t="s">
        <v>2272</v>
      </c>
      <c r="M1555" s="198" t="s">
        <v>2272</v>
      </c>
      <c r="N1555" s="198" t="s">
        <v>2272</v>
      </c>
      <c r="O1555" s="198" t="s">
        <v>2272</v>
      </c>
      <c r="P1555" s="198" t="s">
        <v>2272</v>
      </c>
      <c r="Q1555" s="198" t="s">
        <v>2272</v>
      </c>
      <c r="R1555" s="198" t="s">
        <v>2272</v>
      </c>
      <c r="S1555" s="198" t="s">
        <v>2272</v>
      </c>
      <c r="T1555" s="198"/>
    </row>
    <row r="1556" spans="1:20" ht="47" customHeight="1">
      <c r="A1556" s="11" t="s">
        <v>9891</v>
      </c>
      <c r="B1556" s="198" t="s">
        <v>69</v>
      </c>
      <c r="C1556" s="198" t="s">
        <v>11</v>
      </c>
      <c r="D1556" s="198" t="s">
        <v>2648</v>
      </c>
      <c r="E1556" s="198" t="s">
        <v>44</v>
      </c>
      <c r="F1556" s="4" t="s">
        <v>394</v>
      </c>
      <c r="G1556" s="4" t="s">
        <v>2645</v>
      </c>
      <c r="H1556" s="198" t="s">
        <v>2272</v>
      </c>
      <c r="I1556" s="198">
        <v>0.21</v>
      </c>
      <c r="J1556" s="198" t="s">
        <v>2272</v>
      </c>
      <c r="K1556" s="198" t="s">
        <v>532</v>
      </c>
      <c r="L1556" s="198" t="s">
        <v>2272</v>
      </c>
      <c r="M1556" s="198" t="s">
        <v>2272</v>
      </c>
      <c r="N1556" s="198" t="s">
        <v>2272</v>
      </c>
      <c r="O1556" s="21">
        <f>42.1/2</f>
        <v>21.05</v>
      </c>
      <c r="P1556" s="21">
        <v>4.8</v>
      </c>
      <c r="Q1556" s="21">
        <f>42.1/2</f>
        <v>21.05</v>
      </c>
      <c r="R1556" s="21">
        <v>52.9</v>
      </c>
      <c r="S1556" s="198" t="s">
        <v>2272</v>
      </c>
      <c r="T1556" s="4" t="s">
        <v>9897</v>
      </c>
    </row>
    <row r="1557" spans="1:20" ht="56.5" customHeight="1">
      <c r="A1557" s="11" t="s">
        <v>9894</v>
      </c>
      <c r="B1557" s="198" t="s">
        <v>69</v>
      </c>
      <c r="C1557" s="198" t="s">
        <v>2640</v>
      </c>
      <c r="D1557" s="198" t="s">
        <v>2648</v>
      </c>
      <c r="E1557" s="4" t="s">
        <v>5795</v>
      </c>
      <c r="F1557" s="4" t="s">
        <v>3850</v>
      </c>
      <c r="G1557" s="4" t="s">
        <v>2644</v>
      </c>
      <c r="H1557" s="198" t="s">
        <v>2272</v>
      </c>
      <c r="I1557" s="198">
        <v>2.1</v>
      </c>
      <c r="J1557" s="198" t="s">
        <v>2272</v>
      </c>
      <c r="K1557" s="198" t="s">
        <v>2272</v>
      </c>
      <c r="L1557" s="198" t="s">
        <v>2272</v>
      </c>
      <c r="M1557" s="198" t="s">
        <v>2272</v>
      </c>
      <c r="N1557" s="198" t="s">
        <v>2272</v>
      </c>
      <c r="O1557" s="21">
        <f>55.8/2</f>
        <v>27.9</v>
      </c>
      <c r="P1557" s="198" t="s">
        <v>2272</v>
      </c>
      <c r="Q1557" s="21">
        <f>55.8/2</f>
        <v>27.9</v>
      </c>
      <c r="R1557" s="21">
        <v>40.700000000000003</v>
      </c>
      <c r="S1557" s="198" t="s">
        <v>2272</v>
      </c>
      <c r="T1557" s="4" t="s">
        <v>9898</v>
      </c>
    </row>
    <row r="1558" spans="1:20" ht="45.5" customHeight="1">
      <c r="A1558" s="11" t="s">
        <v>9974</v>
      </c>
      <c r="B1558" s="198" t="s">
        <v>1193</v>
      </c>
      <c r="C1558" s="198" t="s">
        <v>393</v>
      </c>
      <c r="D1558" s="198" t="s">
        <v>135</v>
      </c>
      <c r="E1558" s="198" t="s">
        <v>114</v>
      </c>
      <c r="F1558" s="198" t="s">
        <v>2272</v>
      </c>
      <c r="G1558" s="198" t="s">
        <v>2272</v>
      </c>
      <c r="H1558" s="198" t="s">
        <v>2272</v>
      </c>
      <c r="I1558" s="198" t="s">
        <v>2272</v>
      </c>
      <c r="J1558" s="198" t="s">
        <v>2272</v>
      </c>
      <c r="K1558" s="198" t="s">
        <v>2272</v>
      </c>
      <c r="L1558" s="198" t="s">
        <v>2272</v>
      </c>
      <c r="M1558" s="198" t="s">
        <v>2272</v>
      </c>
      <c r="N1558" s="198" t="s">
        <v>2272</v>
      </c>
      <c r="O1558" s="198" t="s">
        <v>2272</v>
      </c>
      <c r="P1558" s="198" t="s">
        <v>2272</v>
      </c>
      <c r="Q1558" s="198" t="s">
        <v>2272</v>
      </c>
      <c r="R1558" s="198" t="s">
        <v>2272</v>
      </c>
      <c r="S1558" s="198" t="s">
        <v>2272</v>
      </c>
      <c r="T1558" s="198"/>
    </row>
    <row r="1559" spans="1:20" ht="41" customHeight="1">
      <c r="A1559" s="11" t="s">
        <v>9981</v>
      </c>
      <c r="B1559" s="198" t="s">
        <v>2272</v>
      </c>
      <c r="C1559" s="198" t="s">
        <v>393</v>
      </c>
      <c r="D1559" s="198" t="s">
        <v>114</v>
      </c>
      <c r="E1559" s="198" t="s">
        <v>2272</v>
      </c>
      <c r="F1559" s="198" t="s">
        <v>2272</v>
      </c>
      <c r="G1559" s="198" t="s">
        <v>2272</v>
      </c>
      <c r="H1559" s="198" t="s">
        <v>2272</v>
      </c>
      <c r="I1559" s="198" t="s">
        <v>2272</v>
      </c>
      <c r="J1559" s="198" t="s">
        <v>2272</v>
      </c>
      <c r="K1559" s="198" t="s">
        <v>535</v>
      </c>
      <c r="L1559" s="198" t="s">
        <v>2272</v>
      </c>
      <c r="M1559" s="198" t="s">
        <v>2272</v>
      </c>
      <c r="N1559" s="198" t="s">
        <v>2272</v>
      </c>
      <c r="O1559" s="198" t="s">
        <v>2272</v>
      </c>
      <c r="P1559" s="198" t="s">
        <v>2272</v>
      </c>
      <c r="Q1559" s="198" t="s">
        <v>2272</v>
      </c>
      <c r="R1559" s="198" t="s">
        <v>2272</v>
      </c>
      <c r="S1559" s="198" t="s">
        <v>2272</v>
      </c>
      <c r="T1559" s="198"/>
    </row>
    <row r="1560" spans="1:20" ht="43" customHeight="1">
      <c r="A1560" s="11" t="s">
        <v>9988</v>
      </c>
      <c r="B1560" s="198" t="s">
        <v>1193</v>
      </c>
      <c r="C1560" s="198" t="s">
        <v>2640</v>
      </c>
      <c r="D1560" s="198" t="s">
        <v>135</v>
      </c>
      <c r="E1560" s="198" t="s">
        <v>2272</v>
      </c>
      <c r="F1560" s="198" t="s">
        <v>2272</v>
      </c>
      <c r="G1560" s="198" t="s">
        <v>2272</v>
      </c>
      <c r="H1560" s="198" t="s">
        <v>2272</v>
      </c>
      <c r="I1560" s="198" t="s">
        <v>2272</v>
      </c>
      <c r="J1560" s="198" t="s">
        <v>2272</v>
      </c>
      <c r="K1560" s="198" t="s">
        <v>2272</v>
      </c>
      <c r="L1560" s="198" t="s">
        <v>2272</v>
      </c>
      <c r="M1560" s="198" t="s">
        <v>2272</v>
      </c>
      <c r="N1560" s="198" t="s">
        <v>2272</v>
      </c>
      <c r="O1560" s="198" t="s">
        <v>2272</v>
      </c>
      <c r="P1560" s="198" t="s">
        <v>2272</v>
      </c>
      <c r="Q1560" s="198" t="s">
        <v>2272</v>
      </c>
      <c r="R1560" s="21">
        <v>100</v>
      </c>
      <c r="S1560" s="198" t="s">
        <v>2272</v>
      </c>
      <c r="T1560" s="198" t="s">
        <v>9992</v>
      </c>
    </row>
    <row r="1561" spans="1:20" ht="43" customHeight="1">
      <c r="A1561" s="11" t="s">
        <v>9989</v>
      </c>
      <c r="B1561" s="198" t="s">
        <v>1193</v>
      </c>
      <c r="C1561" s="198" t="s">
        <v>2640</v>
      </c>
      <c r="D1561" s="198" t="s">
        <v>135</v>
      </c>
      <c r="E1561" s="198" t="s">
        <v>2272</v>
      </c>
      <c r="F1561" s="198" t="s">
        <v>2272</v>
      </c>
      <c r="G1561" s="198" t="s">
        <v>2272</v>
      </c>
      <c r="H1561" s="198" t="s">
        <v>2272</v>
      </c>
      <c r="I1561" s="198" t="s">
        <v>2272</v>
      </c>
      <c r="J1561" s="198" t="s">
        <v>2272</v>
      </c>
      <c r="K1561" s="198" t="s">
        <v>2272</v>
      </c>
      <c r="L1561" s="198" t="s">
        <v>2272</v>
      </c>
      <c r="M1561" s="198" t="s">
        <v>2272</v>
      </c>
      <c r="N1561" s="198" t="s">
        <v>2272</v>
      </c>
      <c r="O1561" s="198" t="s">
        <v>2272</v>
      </c>
      <c r="P1561" s="198" t="s">
        <v>2272</v>
      </c>
      <c r="Q1561" s="198" t="s">
        <v>2272</v>
      </c>
      <c r="R1561" s="21">
        <v>100</v>
      </c>
      <c r="S1561" s="198" t="s">
        <v>2272</v>
      </c>
      <c r="T1561" s="198" t="s">
        <v>9992</v>
      </c>
    </row>
    <row r="1562" spans="1:20" ht="43" customHeight="1">
      <c r="A1562" s="11" t="s">
        <v>9990</v>
      </c>
      <c r="B1562" s="198" t="s">
        <v>1193</v>
      </c>
      <c r="C1562" s="198" t="s">
        <v>2640</v>
      </c>
      <c r="D1562" s="198" t="s">
        <v>135</v>
      </c>
      <c r="E1562" s="198" t="s">
        <v>2272</v>
      </c>
      <c r="F1562" s="198" t="s">
        <v>2272</v>
      </c>
      <c r="G1562" s="198" t="s">
        <v>2272</v>
      </c>
      <c r="H1562" s="198" t="s">
        <v>2272</v>
      </c>
      <c r="I1562" s="198" t="s">
        <v>2272</v>
      </c>
      <c r="J1562" s="198" t="s">
        <v>2272</v>
      </c>
      <c r="K1562" s="198" t="s">
        <v>2272</v>
      </c>
      <c r="L1562" s="198" t="s">
        <v>2272</v>
      </c>
      <c r="M1562" s="198" t="s">
        <v>2272</v>
      </c>
      <c r="N1562" s="198" t="s">
        <v>2272</v>
      </c>
      <c r="O1562" s="198" t="s">
        <v>2272</v>
      </c>
      <c r="P1562" s="198" t="s">
        <v>2272</v>
      </c>
      <c r="Q1562" s="198" t="s">
        <v>2272</v>
      </c>
      <c r="R1562" s="21">
        <v>100</v>
      </c>
      <c r="S1562" s="198" t="s">
        <v>2272</v>
      </c>
      <c r="T1562" s="198" t="s">
        <v>9992</v>
      </c>
    </row>
    <row r="1563" spans="1:20" ht="43" customHeight="1">
      <c r="A1563" s="11" t="s">
        <v>9991</v>
      </c>
      <c r="B1563" s="198" t="s">
        <v>1193</v>
      </c>
      <c r="C1563" s="198" t="s">
        <v>2640</v>
      </c>
      <c r="D1563" s="198" t="s">
        <v>135</v>
      </c>
      <c r="E1563" s="198" t="s">
        <v>2272</v>
      </c>
      <c r="F1563" s="198" t="s">
        <v>2272</v>
      </c>
      <c r="G1563" s="198" t="s">
        <v>2272</v>
      </c>
      <c r="H1563" s="198" t="s">
        <v>2272</v>
      </c>
      <c r="I1563" s="198" t="s">
        <v>2272</v>
      </c>
      <c r="J1563" s="198" t="s">
        <v>2272</v>
      </c>
      <c r="K1563" s="198" t="s">
        <v>2272</v>
      </c>
      <c r="L1563" s="198" t="s">
        <v>2272</v>
      </c>
      <c r="M1563" s="198" t="s">
        <v>2272</v>
      </c>
      <c r="N1563" s="198" t="s">
        <v>2272</v>
      </c>
      <c r="O1563" s="198" t="s">
        <v>2272</v>
      </c>
      <c r="P1563" s="198" t="s">
        <v>2272</v>
      </c>
      <c r="Q1563" s="198" t="s">
        <v>2272</v>
      </c>
      <c r="R1563" s="21">
        <v>100</v>
      </c>
      <c r="S1563" s="198" t="s">
        <v>2272</v>
      </c>
      <c r="T1563" s="198" t="s">
        <v>9992</v>
      </c>
    </row>
    <row r="1564" spans="1:20" ht="41.5" customHeight="1">
      <c r="A1564" s="11" t="s">
        <v>10001</v>
      </c>
      <c r="B1564" s="198" t="s">
        <v>1193</v>
      </c>
      <c r="C1564" s="198" t="s">
        <v>2640</v>
      </c>
      <c r="D1564" s="198" t="s">
        <v>2644</v>
      </c>
      <c r="E1564" s="198" t="s">
        <v>2272</v>
      </c>
      <c r="F1564" s="198" t="s">
        <v>2272</v>
      </c>
      <c r="G1564" s="198" t="s">
        <v>2272</v>
      </c>
      <c r="H1564" s="198" t="s">
        <v>2272</v>
      </c>
      <c r="I1564" s="198" t="s">
        <v>2272</v>
      </c>
      <c r="J1564" s="198" t="s">
        <v>2272</v>
      </c>
      <c r="K1564" s="198" t="s">
        <v>532</v>
      </c>
      <c r="L1564" s="198" t="s">
        <v>2272</v>
      </c>
      <c r="M1564" s="198" t="s">
        <v>2272</v>
      </c>
      <c r="N1564" s="198" t="s">
        <v>2272</v>
      </c>
      <c r="O1564" s="198" t="s">
        <v>2272</v>
      </c>
      <c r="P1564" s="198" t="s">
        <v>2272</v>
      </c>
      <c r="Q1564" s="198" t="s">
        <v>2272</v>
      </c>
      <c r="R1564" s="198" t="s">
        <v>2272</v>
      </c>
      <c r="S1564" s="198" t="s">
        <v>2272</v>
      </c>
      <c r="T1564" s="198"/>
    </row>
    <row r="1565" spans="1:20" ht="51" customHeight="1">
      <c r="A1565" s="11" t="s">
        <v>10009</v>
      </c>
      <c r="B1565" s="198" t="s">
        <v>1193</v>
      </c>
      <c r="C1565" s="198" t="s">
        <v>2640</v>
      </c>
      <c r="D1565" s="198" t="s">
        <v>2644</v>
      </c>
      <c r="E1565" s="198" t="s">
        <v>82</v>
      </c>
      <c r="F1565" s="198" t="s">
        <v>2648</v>
      </c>
      <c r="G1565" s="198" t="s">
        <v>2272</v>
      </c>
      <c r="H1565" s="198" t="s">
        <v>2272</v>
      </c>
      <c r="I1565" s="198" t="s">
        <v>2272</v>
      </c>
      <c r="J1565" s="198" t="s">
        <v>2272</v>
      </c>
      <c r="K1565" s="198" t="s">
        <v>532</v>
      </c>
      <c r="L1565" s="198" t="s">
        <v>2272</v>
      </c>
      <c r="M1565" s="198" t="s">
        <v>2272</v>
      </c>
      <c r="N1565" s="198" t="s">
        <v>2272</v>
      </c>
      <c r="O1565" s="198" t="s">
        <v>2272</v>
      </c>
      <c r="P1565" s="198" t="s">
        <v>2272</v>
      </c>
      <c r="Q1565" s="198" t="s">
        <v>2272</v>
      </c>
      <c r="R1565" s="198" t="s">
        <v>2272</v>
      </c>
      <c r="S1565" s="198" t="s">
        <v>2272</v>
      </c>
      <c r="T1565" s="198"/>
    </row>
    <row r="1566" spans="1:20" ht="47" customHeight="1">
      <c r="A1566" s="11" t="s">
        <v>10013</v>
      </c>
      <c r="B1566" s="198" t="s">
        <v>1193</v>
      </c>
      <c r="C1566" s="198" t="s">
        <v>2640</v>
      </c>
      <c r="D1566" s="198" t="s">
        <v>135</v>
      </c>
      <c r="E1566" s="198" t="s">
        <v>82</v>
      </c>
      <c r="F1566" s="198" t="s">
        <v>2648</v>
      </c>
      <c r="G1566" s="198" t="s">
        <v>2272</v>
      </c>
      <c r="H1566" s="198" t="s">
        <v>2272</v>
      </c>
      <c r="I1566" s="198" t="s">
        <v>2272</v>
      </c>
      <c r="J1566" s="198" t="s">
        <v>2272</v>
      </c>
      <c r="K1566" s="198" t="s">
        <v>535</v>
      </c>
      <c r="L1566" s="198" t="s">
        <v>2272</v>
      </c>
      <c r="M1566" s="198" t="s">
        <v>2272</v>
      </c>
      <c r="N1566" s="198" t="s">
        <v>2272</v>
      </c>
      <c r="O1566" s="198" t="s">
        <v>2272</v>
      </c>
      <c r="P1566" s="198" t="s">
        <v>2272</v>
      </c>
      <c r="Q1566" s="198" t="s">
        <v>2272</v>
      </c>
      <c r="R1566" s="198" t="s">
        <v>2272</v>
      </c>
      <c r="S1566" s="198" t="s">
        <v>2272</v>
      </c>
      <c r="T1566" s="198"/>
    </row>
    <row r="1567" spans="1:20" s="197" customFormat="1" ht="47" customHeight="1">
      <c r="A1567" s="19" t="s">
        <v>10031</v>
      </c>
      <c r="B1567" s="198" t="s">
        <v>31</v>
      </c>
      <c r="C1567" s="198" t="s">
        <v>2640</v>
      </c>
      <c r="D1567" s="198" t="s">
        <v>82</v>
      </c>
      <c r="E1567" s="198" t="s">
        <v>44</v>
      </c>
      <c r="F1567" s="198" t="s">
        <v>135</v>
      </c>
      <c r="G1567" s="4" t="s">
        <v>2272</v>
      </c>
      <c r="H1567" s="4" t="s">
        <v>2272</v>
      </c>
      <c r="I1567" s="4" t="s">
        <v>2272</v>
      </c>
      <c r="J1567" s="4" t="s">
        <v>2272</v>
      </c>
      <c r="K1567" s="4" t="s">
        <v>2272</v>
      </c>
      <c r="L1567" s="4" t="s">
        <v>2272</v>
      </c>
      <c r="M1567" s="4" t="s">
        <v>2272</v>
      </c>
      <c r="N1567" s="4" t="s">
        <v>2272</v>
      </c>
      <c r="O1567" s="4">
        <v>38</v>
      </c>
      <c r="P1567" s="4" t="s">
        <v>2272</v>
      </c>
      <c r="Q1567" s="4" t="s">
        <v>2272</v>
      </c>
      <c r="R1567" s="21">
        <f>(19.8*1.01^5)</f>
        <v>20.809998991979999</v>
      </c>
      <c r="S1567" s="21">
        <v>1</v>
      </c>
      <c r="T1567" s="198" t="s">
        <v>11511</v>
      </c>
    </row>
    <row r="1568" spans="1:20" ht="48.5" customHeight="1">
      <c r="A1568" s="11" t="s">
        <v>10033</v>
      </c>
      <c r="B1568" s="198" t="s">
        <v>1193</v>
      </c>
      <c r="C1568" s="198" t="s">
        <v>2640</v>
      </c>
      <c r="D1568" s="198" t="s">
        <v>135</v>
      </c>
      <c r="E1568" s="198" t="s">
        <v>2644</v>
      </c>
      <c r="F1568" s="198" t="s">
        <v>2272</v>
      </c>
      <c r="G1568" s="198" t="s">
        <v>2272</v>
      </c>
      <c r="H1568" s="198" t="s">
        <v>2272</v>
      </c>
      <c r="I1568" s="198" t="s">
        <v>2272</v>
      </c>
      <c r="J1568" s="198" t="s">
        <v>2272</v>
      </c>
      <c r="K1568" s="198" t="s">
        <v>532</v>
      </c>
      <c r="L1568" s="198" t="s">
        <v>2272</v>
      </c>
      <c r="M1568" s="198" t="s">
        <v>2272</v>
      </c>
      <c r="N1568" s="198" t="s">
        <v>2272</v>
      </c>
      <c r="O1568" s="198" t="s">
        <v>2272</v>
      </c>
      <c r="P1568" s="198" t="s">
        <v>2272</v>
      </c>
      <c r="Q1568" s="198" t="s">
        <v>2272</v>
      </c>
      <c r="R1568" s="21">
        <f>86.98</f>
        <v>86.98</v>
      </c>
      <c r="S1568" s="198" t="s">
        <v>2272</v>
      </c>
      <c r="T1568" s="198"/>
    </row>
    <row r="1569" spans="1:20" ht="47.5" customHeight="1">
      <c r="A1569" s="11" t="s">
        <v>10043</v>
      </c>
      <c r="B1569" s="198" t="s">
        <v>31</v>
      </c>
      <c r="C1569" s="198" t="s">
        <v>2640</v>
      </c>
      <c r="D1569" s="198" t="s">
        <v>82</v>
      </c>
      <c r="E1569" s="198" t="s">
        <v>44</v>
      </c>
      <c r="F1569" s="198" t="s">
        <v>2644</v>
      </c>
      <c r="G1569" s="198" t="s">
        <v>2648</v>
      </c>
      <c r="H1569" s="198" t="s">
        <v>2272</v>
      </c>
      <c r="I1569" s="198" t="s">
        <v>2272</v>
      </c>
      <c r="J1569" s="198" t="s">
        <v>2272</v>
      </c>
      <c r="K1569" s="198" t="s">
        <v>532</v>
      </c>
      <c r="L1569" s="198" t="s">
        <v>2272</v>
      </c>
      <c r="M1569" s="198" t="s">
        <v>2272</v>
      </c>
      <c r="N1569" s="21">
        <v>13</v>
      </c>
      <c r="O1569" s="21">
        <v>32.5</v>
      </c>
      <c r="P1569" s="21">
        <v>32.5</v>
      </c>
      <c r="Q1569" s="198" t="s">
        <v>2272</v>
      </c>
      <c r="R1569" s="21">
        <f>100-SUM(N1569:P1569)-10</f>
        <v>12</v>
      </c>
      <c r="S1569" s="198" t="s">
        <v>2272</v>
      </c>
      <c r="T1569" s="198"/>
    </row>
    <row r="1570" spans="1:20" ht="47.5" customHeight="1">
      <c r="A1570" s="11" t="s">
        <v>10052</v>
      </c>
      <c r="B1570" s="198" t="s">
        <v>69</v>
      </c>
      <c r="C1570" s="198" t="s">
        <v>2641</v>
      </c>
      <c r="D1570" s="198" t="s">
        <v>2647</v>
      </c>
      <c r="E1570" s="198" t="s">
        <v>44</v>
      </c>
      <c r="F1570" s="198" t="s">
        <v>135</v>
      </c>
      <c r="G1570" s="198" t="s">
        <v>2272</v>
      </c>
      <c r="H1570" s="198" t="s">
        <v>2272</v>
      </c>
      <c r="I1570" s="198" t="s">
        <v>2272</v>
      </c>
      <c r="J1570" s="198" t="s">
        <v>2272</v>
      </c>
      <c r="K1570" s="198" t="s">
        <v>2272</v>
      </c>
      <c r="L1570" s="198" t="s">
        <v>2272</v>
      </c>
      <c r="M1570" s="198" t="s">
        <v>2272</v>
      </c>
      <c r="N1570" s="198" t="s">
        <v>2272</v>
      </c>
      <c r="O1570" s="198" t="s">
        <v>2272</v>
      </c>
      <c r="P1570" s="198" t="s">
        <v>2272</v>
      </c>
      <c r="Q1570" s="198" t="s">
        <v>2272</v>
      </c>
      <c r="R1570" s="198" t="s">
        <v>2272</v>
      </c>
      <c r="S1570" s="198" t="s">
        <v>2272</v>
      </c>
      <c r="T1570" s="198"/>
    </row>
    <row r="1571" spans="1:20" ht="44.5" customHeight="1">
      <c r="A1571" s="198" t="s">
        <v>10053</v>
      </c>
      <c r="B1571" s="198" t="s">
        <v>31</v>
      </c>
      <c r="C1571" s="198" t="s">
        <v>2640</v>
      </c>
      <c r="D1571" s="198" t="s">
        <v>2648</v>
      </c>
      <c r="E1571" s="198" t="s">
        <v>135</v>
      </c>
      <c r="F1571" s="198" t="s">
        <v>2272</v>
      </c>
      <c r="G1571" s="198" t="s">
        <v>2272</v>
      </c>
      <c r="H1571" s="198" t="s">
        <v>2272</v>
      </c>
      <c r="I1571" s="198" t="s">
        <v>2272</v>
      </c>
      <c r="J1571" s="198" t="s">
        <v>2272</v>
      </c>
      <c r="K1571" s="198" t="s">
        <v>2272</v>
      </c>
      <c r="L1571" s="198" t="s">
        <v>2272</v>
      </c>
      <c r="M1571" s="198" t="s">
        <v>2272</v>
      </c>
      <c r="N1571" s="198" t="s">
        <v>2272</v>
      </c>
      <c r="O1571" s="198" t="s">
        <v>2272</v>
      </c>
      <c r="P1571" s="198" t="s">
        <v>2272</v>
      </c>
      <c r="Q1571" s="198" t="s">
        <v>2272</v>
      </c>
      <c r="R1571" s="198" t="s">
        <v>2272</v>
      </c>
      <c r="S1571" s="198" t="s">
        <v>2272</v>
      </c>
      <c r="T1571" s="198"/>
    </row>
    <row r="1572" spans="1:20" ht="49" customHeight="1">
      <c r="A1572" s="11" t="s">
        <v>10063</v>
      </c>
      <c r="B1572" s="198" t="s">
        <v>2272</v>
      </c>
      <c r="C1572" s="198" t="s">
        <v>2272</v>
      </c>
      <c r="D1572" s="198" t="s">
        <v>2644</v>
      </c>
      <c r="E1572" s="4" t="s">
        <v>3850</v>
      </c>
      <c r="F1572" s="198" t="s">
        <v>2272</v>
      </c>
      <c r="G1572" s="198" t="s">
        <v>2272</v>
      </c>
      <c r="H1572" s="198" t="s">
        <v>2272</v>
      </c>
      <c r="I1572" s="198" t="s">
        <v>2272</v>
      </c>
      <c r="J1572" s="198" t="s">
        <v>2272</v>
      </c>
      <c r="K1572" s="198" t="s">
        <v>2272</v>
      </c>
      <c r="L1572" s="198" t="s">
        <v>2272</v>
      </c>
      <c r="M1572" s="198" t="s">
        <v>2272</v>
      </c>
      <c r="N1572" s="198" t="s">
        <v>2272</v>
      </c>
      <c r="O1572" s="198" t="s">
        <v>2272</v>
      </c>
      <c r="P1572" s="198" t="s">
        <v>2272</v>
      </c>
      <c r="Q1572" s="198" t="s">
        <v>2272</v>
      </c>
      <c r="R1572" s="21">
        <v>33</v>
      </c>
      <c r="S1572" s="198" t="s">
        <v>2272</v>
      </c>
      <c r="T1572" s="198" t="s">
        <v>10071</v>
      </c>
    </row>
    <row r="1573" spans="1:20" ht="46" customHeight="1">
      <c r="A1573" s="11" t="s">
        <v>10075</v>
      </c>
      <c r="B1573" s="198" t="s">
        <v>2272</v>
      </c>
      <c r="C1573" s="198" t="s">
        <v>2640</v>
      </c>
      <c r="D1573" s="198" t="s">
        <v>2648</v>
      </c>
      <c r="E1573" s="198" t="s">
        <v>2272</v>
      </c>
      <c r="F1573" s="198" t="s">
        <v>2272</v>
      </c>
      <c r="G1573" s="198" t="s">
        <v>2272</v>
      </c>
      <c r="H1573" s="198" t="s">
        <v>2272</v>
      </c>
      <c r="I1573" s="198" t="s">
        <v>2272</v>
      </c>
      <c r="J1573" s="198" t="s">
        <v>2272</v>
      </c>
      <c r="K1573" s="198" t="s">
        <v>2272</v>
      </c>
      <c r="L1573" s="198" t="s">
        <v>2272</v>
      </c>
      <c r="M1573" s="198" t="s">
        <v>2272</v>
      </c>
      <c r="N1573" s="198" t="s">
        <v>2272</v>
      </c>
      <c r="O1573" s="198" t="s">
        <v>2272</v>
      </c>
      <c r="P1573" s="198" t="s">
        <v>2272</v>
      </c>
      <c r="Q1573" s="198" t="s">
        <v>2272</v>
      </c>
      <c r="R1573" s="198" t="s">
        <v>2272</v>
      </c>
      <c r="S1573" s="198" t="s">
        <v>2272</v>
      </c>
      <c r="T1573" s="198"/>
    </row>
    <row r="1574" spans="1:20" ht="49" customHeight="1">
      <c r="A1574" s="11" t="s">
        <v>10079</v>
      </c>
      <c r="B1574" s="198" t="s">
        <v>69</v>
      </c>
      <c r="C1574" s="198" t="s">
        <v>11</v>
      </c>
      <c r="D1574" s="4" t="s">
        <v>394</v>
      </c>
      <c r="E1574" s="198" t="s">
        <v>44</v>
      </c>
      <c r="F1574" s="198" t="s">
        <v>2648</v>
      </c>
      <c r="G1574" s="198" t="s">
        <v>135</v>
      </c>
      <c r="H1574" s="198" t="s">
        <v>2272</v>
      </c>
      <c r="I1574" s="198" t="s">
        <v>2272</v>
      </c>
      <c r="J1574" s="198" t="s">
        <v>2272</v>
      </c>
      <c r="K1574" s="198" t="s">
        <v>2272</v>
      </c>
      <c r="L1574" s="198" t="s">
        <v>2272</v>
      </c>
      <c r="M1574" s="198" t="s">
        <v>2272</v>
      </c>
      <c r="N1574" s="198" t="s">
        <v>2272</v>
      </c>
      <c r="O1574" s="21">
        <f>10</f>
        <v>10</v>
      </c>
      <c r="P1574" s="21">
        <f>10+(2300/'Record info'!K1574)</f>
        <v>13.382352941176471</v>
      </c>
      <c r="Q1574" s="198" t="s">
        <v>2272</v>
      </c>
      <c r="R1574" s="21">
        <f>46000/'Record info'!K1574</f>
        <v>67.647058823529406</v>
      </c>
      <c r="S1574" s="198" t="s">
        <v>2272</v>
      </c>
      <c r="T1574" s="198"/>
    </row>
    <row r="1575" spans="1:20" ht="46.5" customHeight="1">
      <c r="A1575" s="198" t="s">
        <v>10084</v>
      </c>
      <c r="B1575" s="198" t="s">
        <v>2272</v>
      </c>
      <c r="C1575" s="198" t="s">
        <v>2640</v>
      </c>
      <c r="D1575" s="198" t="s">
        <v>2648</v>
      </c>
      <c r="E1575" s="198" t="s">
        <v>2272</v>
      </c>
      <c r="F1575" s="198" t="s">
        <v>2272</v>
      </c>
      <c r="G1575" s="198" t="s">
        <v>2272</v>
      </c>
      <c r="H1575" s="198" t="s">
        <v>2272</v>
      </c>
      <c r="I1575" s="198" t="s">
        <v>2272</v>
      </c>
      <c r="J1575" s="198" t="s">
        <v>2272</v>
      </c>
      <c r="K1575" s="198" t="s">
        <v>2272</v>
      </c>
      <c r="L1575" s="198" t="s">
        <v>2272</v>
      </c>
      <c r="M1575" s="198" t="s">
        <v>2272</v>
      </c>
      <c r="N1575" s="21">
        <f>0.76*71</f>
        <v>53.96</v>
      </c>
      <c r="O1575" s="198" t="s">
        <v>2272</v>
      </c>
      <c r="P1575" s="198" t="s">
        <v>2272</v>
      </c>
      <c r="Q1575" s="198" t="s">
        <v>2272</v>
      </c>
      <c r="R1575" s="21">
        <f>71-N1575</f>
        <v>17.04</v>
      </c>
      <c r="S1575" s="198" t="s">
        <v>2272</v>
      </c>
      <c r="T1575" s="198"/>
    </row>
    <row r="1576" spans="1:20" ht="48.5" customHeight="1">
      <c r="A1576" s="11" t="s">
        <v>10091</v>
      </c>
      <c r="B1576" s="198" t="s">
        <v>2272</v>
      </c>
      <c r="C1576" s="198" t="s">
        <v>2641</v>
      </c>
      <c r="D1576" s="198" t="s">
        <v>135</v>
      </c>
      <c r="E1576" s="198" t="s">
        <v>5795</v>
      </c>
      <c r="F1576" s="198" t="s">
        <v>2272</v>
      </c>
      <c r="G1576" s="198" t="s">
        <v>2272</v>
      </c>
      <c r="H1576" s="198" t="s">
        <v>2272</v>
      </c>
      <c r="I1576" s="198" t="s">
        <v>2272</v>
      </c>
      <c r="J1576" s="198" t="s">
        <v>2272</v>
      </c>
      <c r="K1576" s="198" t="s">
        <v>2272</v>
      </c>
      <c r="L1576" s="198" t="s">
        <v>2272</v>
      </c>
      <c r="M1576" s="198" t="s">
        <v>2272</v>
      </c>
      <c r="N1576" s="21">
        <v>20</v>
      </c>
      <c r="O1576" s="198" t="s">
        <v>2272</v>
      </c>
      <c r="P1576" s="198" t="s">
        <v>2272</v>
      </c>
      <c r="Q1576" s="21">
        <v>80</v>
      </c>
      <c r="R1576" s="198" t="s">
        <v>2272</v>
      </c>
      <c r="S1576" s="198" t="s">
        <v>2272</v>
      </c>
      <c r="T1576" s="4" t="s">
        <v>10094</v>
      </c>
    </row>
    <row r="1577" spans="1:20" ht="46.5" customHeight="1">
      <c r="A1577" s="11" t="s">
        <v>10097</v>
      </c>
      <c r="B1577" s="198" t="s">
        <v>69</v>
      </c>
      <c r="C1577" s="198" t="s">
        <v>2640</v>
      </c>
      <c r="D1577" s="198" t="s">
        <v>82</v>
      </c>
      <c r="E1577" s="198" t="s">
        <v>2644</v>
      </c>
      <c r="F1577" s="4" t="s">
        <v>394</v>
      </c>
      <c r="G1577" s="198" t="s">
        <v>2272</v>
      </c>
      <c r="H1577" s="198" t="s">
        <v>2272</v>
      </c>
      <c r="I1577" s="198">
        <v>3500</v>
      </c>
      <c r="J1577" s="198" t="s">
        <v>2272</v>
      </c>
      <c r="K1577" s="198" t="s">
        <v>532</v>
      </c>
      <c r="L1577" s="198" t="s">
        <v>2272</v>
      </c>
      <c r="M1577" s="21">
        <f>25000000/4900000</f>
        <v>5.1020408163265305</v>
      </c>
      <c r="N1577" s="21">
        <f>4900000/'Record info'!K1577</f>
        <v>37.404580152671755</v>
      </c>
      <c r="O1577" s="198" t="s">
        <v>2272</v>
      </c>
      <c r="P1577" s="21">
        <f>100-N1577</f>
        <v>62.595419847328245</v>
      </c>
      <c r="Q1577" s="198" t="s">
        <v>2272</v>
      </c>
      <c r="R1577" s="198" t="s">
        <v>2272</v>
      </c>
      <c r="S1577" s="198" t="s">
        <v>2272</v>
      </c>
      <c r="T1577" s="198"/>
    </row>
    <row r="1578" spans="1:20" ht="44.5" customHeight="1">
      <c r="A1578" s="11" t="s">
        <v>10112</v>
      </c>
      <c r="B1578" s="198" t="s">
        <v>31</v>
      </c>
      <c r="C1578" s="198" t="s">
        <v>2640</v>
      </c>
      <c r="D1578" s="198" t="s">
        <v>82</v>
      </c>
      <c r="E1578" s="198" t="s">
        <v>128</v>
      </c>
      <c r="F1578" s="198" t="s">
        <v>135</v>
      </c>
      <c r="G1578" s="198" t="s">
        <v>2272</v>
      </c>
      <c r="H1578" s="198" t="s">
        <v>2272</v>
      </c>
      <c r="I1578" s="198" t="s">
        <v>2272</v>
      </c>
      <c r="J1578" s="198" t="s">
        <v>2272</v>
      </c>
      <c r="K1578" s="198" t="s">
        <v>532</v>
      </c>
      <c r="L1578" s="198" t="s">
        <v>2272</v>
      </c>
      <c r="M1578" s="198" t="s">
        <v>2272</v>
      </c>
      <c r="N1578" s="198" t="s">
        <v>2272</v>
      </c>
      <c r="O1578" s="198" t="s">
        <v>2272</v>
      </c>
      <c r="P1578" s="198" t="s">
        <v>2272</v>
      </c>
      <c r="Q1578" s="198" t="s">
        <v>2272</v>
      </c>
      <c r="R1578" s="21">
        <f>40+(100*2779/12038)</f>
        <v>63.085230104668554</v>
      </c>
      <c r="S1578" s="21">
        <v>2.9</v>
      </c>
      <c r="T1578" s="4" t="s">
        <v>10116</v>
      </c>
    </row>
    <row r="1579" spans="1:20" ht="40.5" customHeight="1">
      <c r="A1579" s="11" t="s">
        <v>10121</v>
      </c>
      <c r="B1579" s="198" t="s">
        <v>1193</v>
      </c>
      <c r="C1579" s="198" t="s">
        <v>2640</v>
      </c>
      <c r="D1579" s="198" t="s">
        <v>135</v>
      </c>
      <c r="E1579" s="198" t="s">
        <v>2644</v>
      </c>
      <c r="F1579" s="198" t="s">
        <v>2648</v>
      </c>
      <c r="G1579" s="198" t="s">
        <v>2272</v>
      </c>
      <c r="H1579" s="198" t="s">
        <v>2272</v>
      </c>
      <c r="I1579" s="198" t="s">
        <v>2272</v>
      </c>
      <c r="J1579" s="198" t="s">
        <v>2272</v>
      </c>
      <c r="K1579" s="198" t="s">
        <v>532</v>
      </c>
      <c r="L1579" s="198" t="s">
        <v>2272</v>
      </c>
      <c r="M1579" s="198" t="s">
        <v>2272</v>
      </c>
      <c r="N1579" s="21">
        <f>100*6.2/10.7</f>
        <v>57.943925233644862</v>
      </c>
      <c r="O1579" s="198" t="s">
        <v>2272</v>
      </c>
      <c r="P1579" s="198" t="s">
        <v>2272</v>
      </c>
      <c r="Q1579" s="198" t="s">
        <v>2272</v>
      </c>
      <c r="R1579" s="21">
        <f>100*4.5/10.7</f>
        <v>42.056074766355145</v>
      </c>
      <c r="S1579" s="198" t="s">
        <v>2272</v>
      </c>
      <c r="T1579" s="198" t="s">
        <v>10131</v>
      </c>
    </row>
    <row r="1580" spans="1:20" ht="39" customHeight="1">
      <c r="A1580" s="198" t="s">
        <v>10133</v>
      </c>
      <c r="B1580" s="11" t="s">
        <v>69</v>
      </c>
      <c r="C1580" s="11" t="s">
        <v>2640</v>
      </c>
      <c r="D1580" s="198" t="s">
        <v>2644</v>
      </c>
      <c r="E1580" s="198" t="s">
        <v>2272</v>
      </c>
      <c r="F1580" s="198" t="s">
        <v>2272</v>
      </c>
      <c r="G1580" s="198" t="s">
        <v>2272</v>
      </c>
      <c r="H1580" s="198" t="s">
        <v>2272</v>
      </c>
      <c r="I1580" s="198" t="s">
        <v>2272</v>
      </c>
      <c r="J1580" s="198" t="s">
        <v>2272</v>
      </c>
      <c r="K1580" s="198" t="s">
        <v>532</v>
      </c>
      <c r="L1580" s="198" t="s">
        <v>2272</v>
      </c>
      <c r="M1580" s="198" t="s">
        <v>2272</v>
      </c>
      <c r="N1580" s="21">
        <v>100</v>
      </c>
      <c r="O1580" s="198" t="s">
        <v>2272</v>
      </c>
      <c r="P1580" s="198" t="s">
        <v>2272</v>
      </c>
      <c r="Q1580" s="198" t="s">
        <v>2272</v>
      </c>
      <c r="R1580" s="198" t="s">
        <v>2272</v>
      </c>
      <c r="S1580" s="198" t="s">
        <v>2272</v>
      </c>
      <c r="T1580" s="198" t="s">
        <v>10144</v>
      </c>
    </row>
    <row r="1581" spans="1:20" s="197" customFormat="1" ht="39" customHeight="1">
      <c r="A1581" s="198" t="s">
        <v>10134</v>
      </c>
      <c r="B1581" s="11" t="s">
        <v>69</v>
      </c>
      <c r="C1581" s="11" t="s">
        <v>2640</v>
      </c>
      <c r="D1581" s="198" t="s">
        <v>2644</v>
      </c>
      <c r="E1581" s="198" t="s">
        <v>2272</v>
      </c>
      <c r="F1581" s="198" t="s">
        <v>2272</v>
      </c>
      <c r="G1581" s="198" t="s">
        <v>2272</v>
      </c>
      <c r="H1581" s="198" t="s">
        <v>2272</v>
      </c>
      <c r="I1581" s="198" t="s">
        <v>2272</v>
      </c>
      <c r="J1581" s="198" t="s">
        <v>2272</v>
      </c>
      <c r="K1581" s="198" t="s">
        <v>532</v>
      </c>
      <c r="L1581" s="198" t="s">
        <v>2272</v>
      </c>
      <c r="M1581" s="198" t="s">
        <v>2272</v>
      </c>
      <c r="N1581" s="21">
        <v>100</v>
      </c>
      <c r="O1581" s="198" t="s">
        <v>2272</v>
      </c>
      <c r="P1581" s="198" t="s">
        <v>2272</v>
      </c>
      <c r="Q1581" s="198" t="s">
        <v>2272</v>
      </c>
      <c r="R1581" s="198" t="s">
        <v>2272</v>
      </c>
      <c r="S1581" s="198" t="s">
        <v>2272</v>
      </c>
      <c r="T1581" s="198" t="s">
        <v>10144</v>
      </c>
    </row>
    <row r="1582" spans="1:20" s="197" customFormat="1" ht="39" customHeight="1">
      <c r="A1582" s="198" t="s">
        <v>10140</v>
      </c>
      <c r="B1582" s="11" t="s">
        <v>69</v>
      </c>
      <c r="C1582" s="11" t="s">
        <v>2640</v>
      </c>
      <c r="D1582" s="198" t="s">
        <v>2644</v>
      </c>
      <c r="E1582" s="198" t="s">
        <v>2272</v>
      </c>
      <c r="F1582" s="198" t="s">
        <v>2272</v>
      </c>
      <c r="G1582" s="198" t="s">
        <v>2272</v>
      </c>
      <c r="H1582" s="198" t="s">
        <v>2272</v>
      </c>
      <c r="I1582" s="198" t="s">
        <v>2272</v>
      </c>
      <c r="J1582" s="198" t="s">
        <v>2272</v>
      </c>
      <c r="K1582" s="198" t="s">
        <v>532</v>
      </c>
      <c r="L1582" s="198" t="s">
        <v>2272</v>
      </c>
      <c r="M1582" s="198" t="s">
        <v>2272</v>
      </c>
      <c r="N1582" s="21">
        <v>100</v>
      </c>
      <c r="O1582" s="198" t="s">
        <v>2272</v>
      </c>
      <c r="P1582" s="198" t="s">
        <v>2272</v>
      </c>
      <c r="Q1582" s="198" t="s">
        <v>2272</v>
      </c>
      <c r="R1582" s="198" t="s">
        <v>2272</v>
      </c>
      <c r="S1582" s="198" t="s">
        <v>2272</v>
      </c>
      <c r="T1582" s="198" t="s">
        <v>10144</v>
      </c>
    </row>
    <row r="1583" spans="1:20" s="197" customFormat="1" ht="39" customHeight="1">
      <c r="A1583" s="198" t="s">
        <v>10141</v>
      </c>
      <c r="B1583" s="11" t="s">
        <v>69</v>
      </c>
      <c r="C1583" s="11" t="s">
        <v>2640</v>
      </c>
      <c r="D1583" s="198" t="s">
        <v>2644</v>
      </c>
      <c r="E1583" s="198" t="s">
        <v>2272</v>
      </c>
      <c r="F1583" s="198" t="s">
        <v>2272</v>
      </c>
      <c r="G1583" s="198" t="s">
        <v>2272</v>
      </c>
      <c r="H1583" s="198" t="s">
        <v>2272</v>
      </c>
      <c r="I1583" s="198" t="s">
        <v>2272</v>
      </c>
      <c r="J1583" s="198" t="s">
        <v>2272</v>
      </c>
      <c r="K1583" s="198" t="s">
        <v>532</v>
      </c>
      <c r="L1583" s="198" t="s">
        <v>2272</v>
      </c>
      <c r="M1583" s="198" t="s">
        <v>2272</v>
      </c>
      <c r="N1583" s="21">
        <v>100</v>
      </c>
      <c r="O1583" s="198" t="s">
        <v>2272</v>
      </c>
      <c r="P1583" s="198" t="s">
        <v>2272</v>
      </c>
      <c r="Q1583" s="198" t="s">
        <v>2272</v>
      </c>
      <c r="R1583" s="198" t="s">
        <v>2272</v>
      </c>
      <c r="S1583" s="198" t="s">
        <v>2272</v>
      </c>
      <c r="T1583" s="198" t="s">
        <v>10144</v>
      </c>
    </row>
    <row r="1584" spans="1:20" s="197" customFormat="1" ht="39" customHeight="1">
      <c r="A1584" s="198" t="s">
        <v>10142</v>
      </c>
      <c r="B1584" s="11" t="s">
        <v>69</v>
      </c>
      <c r="C1584" s="11" t="s">
        <v>2640</v>
      </c>
      <c r="D1584" s="198" t="s">
        <v>2644</v>
      </c>
      <c r="E1584" s="198" t="s">
        <v>2272</v>
      </c>
      <c r="F1584" s="198" t="s">
        <v>2272</v>
      </c>
      <c r="G1584" s="198" t="s">
        <v>2272</v>
      </c>
      <c r="H1584" s="198" t="s">
        <v>2272</v>
      </c>
      <c r="I1584" s="198" t="s">
        <v>2272</v>
      </c>
      <c r="J1584" s="198" t="s">
        <v>2272</v>
      </c>
      <c r="K1584" s="198" t="s">
        <v>532</v>
      </c>
      <c r="L1584" s="198" t="s">
        <v>2272</v>
      </c>
      <c r="M1584" s="198" t="s">
        <v>2272</v>
      </c>
      <c r="N1584" s="21">
        <v>100</v>
      </c>
      <c r="O1584" s="198" t="s">
        <v>2272</v>
      </c>
      <c r="P1584" s="198" t="s">
        <v>2272</v>
      </c>
      <c r="Q1584" s="198" t="s">
        <v>2272</v>
      </c>
      <c r="R1584" s="198" t="s">
        <v>2272</v>
      </c>
      <c r="S1584" s="198" t="s">
        <v>2272</v>
      </c>
      <c r="T1584" s="198" t="s">
        <v>10144</v>
      </c>
    </row>
    <row r="1585" spans="1:20" ht="39" customHeight="1">
      <c r="A1585" s="11" t="s">
        <v>10151</v>
      </c>
      <c r="B1585" s="198" t="s">
        <v>31</v>
      </c>
      <c r="C1585" s="198" t="s">
        <v>2640</v>
      </c>
      <c r="D1585" s="198" t="s">
        <v>2272</v>
      </c>
      <c r="E1585" s="198" t="s">
        <v>2272</v>
      </c>
      <c r="F1585" s="198" t="s">
        <v>2272</v>
      </c>
      <c r="G1585" s="35" t="s">
        <v>2272</v>
      </c>
      <c r="H1585" s="35" t="s">
        <v>2272</v>
      </c>
      <c r="I1585" s="35" t="s">
        <v>2272</v>
      </c>
      <c r="J1585" s="35" t="s">
        <v>2272</v>
      </c>
      <c r="K1585" s="35" t="s">
        <v>2272</v>
      </c>
      <c r="L1585" s="35" t="s">
        <v>2272</v>
      </c>
      <c r="M1585" s="35" t="s">
        <v>2272</v>
      </c>
      <c r="N1585" s="35" t="s">
        <v>2272</v>
      </c>
      <c r="O1585" s="35" t="s">
        <v>2272</v>
      </c>
      <c r="P1585" s="35" t="s">
        <v>2272</v>
      </c>
      <c r="Q1585" s="35" t="s">
        <v>2272</v>
      </c>
      <c r="R1585" s="35" t="s">
        <v>2272</v>
      </c>
      <c r="S1585" s="35" t="s">
        <v>2272</v>
      </c>
      <c r="T1585" s="35" t="s">
        <v>10152</v>
      </c>
    </row>
    <row r="1586" spans="1:20" ht="44" customHeight="1">
      <c r="A1586" s="11" t="s">
        <v>10155</v>
      </c>
      <c r="B1586" s="198" t="s">
        <v>2272</v>
      </c>
      <c r="C1586" s="198" t="s">
        <v>2640</v>
      </c>
      <c r="D1586" s="198" t="s">
        <v>2644</v>
      </c>
      <c r="E1586" s="198" t="s">
        <v>2272</v>
      </c>
      <c r="F1586" s="198" t="s">
        <v>2272</v>
      </c>
      <c r="G1586" s="198" t="s">
        <v>2272</v>
      </c>
      <c r="H1586" s="198" t="s">
        <v>2272</v>
      </c>
      <c r="I1586" s="198" t="s">
        <v>2272</v>
      </c>
      <c r="J1586" s="198" t="s">
        <v>2272</v>
      </c>
      <c r="K1586" s="198" t="s">
        <v>532</v>
      </c>
      <c r="L1586" s="198" t="s">
        <v>2272</v>
      </c>
      <c r="M1586" s="198" t="s">
        <v>2272</v>
      </c>
      <c r="N1586" s="198" t="s">
        <v>2272</v>
      </c>
      <c r="O1586" s="198" t="s">
        <v>2272</v>
      </c>
      <c r="P1586" s="198" t="s">
        <v>2272</v>
      </c>
      <c r="Q1586" s="198" t="s">
        <v>2272</v>
      </c>
      <c r="R1586" s="21">
        <v>16.552</v>
      </c>
      <c r="S1586" s="198" t="s">
        <v>2272</v>
      </c>
      <c r="T1586" s="198" t="s">
        <v>10156</v>
      </c>
    </row>
    <row r="1587" spans="1:20" ht="44" customHeight="1">
      <c r="A1587" s="11" t="s">
        <v>10167</v>
      </c>
      <c r="B1587" s="198" t="s">
        <v>2272</v>
      </c>
      <c r="C1587" s="198" t="s">
        <v>2272</v>
      </c>
      <c r="D1587" s="198" t="s">
        <v>2272</v>
      </c>
      <c r="E1587" s="198" t="s">
        <v>2272</v>
      </c>
      <c r="F1587" s="198" t="s">
        <v>2272</v>
      </c>
      <c r="G1587" s="198" t="s">
        <v>2272</v>
      </c>
      <c r="H1587" s="198" t="s">
        <v>2272</v>
      </c>
      <c r="I1587" s="198" t="s">
        <v>2272</v>
      </c>
      <c r="J1587" s="198" t="s">
        <v>2272</v>
      </c>
      <c r="K1587" s="198" t="s">
        <v>2272</v>
      </c>
      <c r="L1587" s="198" t="s">
        <v>2272</v>
      </c>
      <c r="M1587" s="198" t="s">
        <v>2272</v>
      </c>
      <c r="N1587" s="198" t="s">
        <v>2272</v>
      </c>
      <c r="O1587" s="198" t="s">
        <v>2272</v>
      </c>
      <c r="P1587" s="198" t="s">
        <v>2272</v>
      </c>
      <c r="Q1587" s="198" t="s">
        <v>2272</v>
      </c>
      <c r="R1587" s="198" t="s">
        <v>2272</v>
      </c>
      <c r="S1587" s="198" t="s">
        <v>2272</v>
      </c>
      <c r="T1587" s="198"/>
    </row>
    <row r="1588" spans="1:20" ht="44" customHeight="1">
      <c r="A1588" s="11" t="s">
        <v>10168</v>
      </c>
      <c r="B1588" s="198" t="s">
        <v>2272</v>
      </c>
      <c r="C1588" s="198" t="s">
        <v>2272</v>
      </c>
      <c r="D1588" s="198" t="s">
        <v>2272</v>
      </c>
      <c r="E1588" s="198" t="s">
        <v>2272</v>
      </c>
      <c r="F1588" s="198" t="s">
        <v>2272</v>
      </c>
      <c r="G1588" s="198" t="s">
        <v>2272</v>
      </c>
      <c r="H1588" s="198" t="s">
        <v>2272</v>
      </c>
      <c r="I1588" s="198" t="s">
        <v>2272</v>
      </c>
      <c r="J1588" s="198" t="s">
        <v>2272</v>
      </c>
      <c r="K1588" s="198" t="s">
        <v>2272</v>
      </c>
      <c r="L1588" s="198" t="s">
        <v>2272</v>
      </c>
      <c r="M1588" s="198" t="s">
        <v>2272</v>
      </c>
      <c r="N1588" s="198" t="s">
        <v>2272</v>
      </c>
      <c r="O1588" s="198" t="s">
        <v>2272</v>
      </c>
      <c r="P1588" s="198" t="s">
        <v>2272</v>
      </c>
      <c r="Q1588" s="198" t="s">
        <v>2272</v>
      </c>
      <c r="R1588" s="198" t="s">
        <v>2272</v>
      </c>
      <c r="S1588" s="198" t="s">
        <v>2272</v>
      </c>
      <c r="T1588" s="198"/>
    </row>
    <row r="1589" spans="1:20" ht="44" customHeight="1">
      <c r="A1589" s="11" t="s">
        <v>10169</v>
      </c>
      <c r="B1589" s="198" t="s">
        <v>2272</v>
      </c>
      <c r="C1589" s="198" t="s">
        <v>2272</v>
      </c>
      <c r="D1589" s="198" t="s">
        <v>128</v>
      </c>
      <c r="E1589" s="198" t="s">
        <v>2272</v>
      </c>
      <c r="F1589" s="198" t="s">
        <v>2272</v>
      </c>
      <c r="G1589" s="198" t="s">
        <v>2272</v>
      </c>
      <c r="H1589" s="198" t="s">
        <v>2272</v>
      </c>
      <c r="I1589" s="198" t="s">
        <v>2272</v>
      </c>
      <c r="J1589" s="198" t="s">
        <v>2272</v>
      </c>
      <c r="K1589" s="198" t="s">
        <v>2272</v>
      </c>
      <c r="L1589" s="198" t="s">
        <v>2272</v>
      </c>
      <c r="M1589" s="198" t="s">
        <v>2272</v>
      </c>
      <c r="N1589" s="198" t="s">
        <v>2272</v>
      </c>
      <c r="O1589" s="198" t="s">
        <v>2272</v>
      </c>
      <c r="P1589" s="198" t="s">
        <v>2272</v>
      </c>
      <c r="Q1589" s="198" t="s">
        <v>2272</v>
      </c>
      <c r="R1589" s="198" t="s">
        <v>2272</v>
      </c>
      <c r="S1589" s="198" t="s">
        <v>2272</v>
      </c>
      <c r="T1589" s="198"/>
    </row>
    <row r="1590" spans="1:20" ht="44" customHeight="1">
      <c r="A1590" s="11" t="s">
        <v>10170</v>
      </c>
      <c r="B1590" s="198" t="s">
        <v>2272</v>
      </c>
      <c r="C1590" s="198" t="s">
        <v>2272</v>
      </c>
      <c r="D1590" s="198" t="s">
        <v>2272</v>
      </c>
      <c r="E1590" s="198" t="s">
        <v>2272</v>
      </c>
      <c r="F1590" s="198" t="s">
        <v>2272</v>
      </c>
      <c r="G1590" s="198" t="s">
        <v>2272</v>
      </c>
      <c r="H1590" s="198" t="s">
        <v>2272</v>
      </c>
      <c r="I1590" s="198" t="s">
        <v>2272</v>
      </c>
      <c r="J1590" s="198" t="s">
        <v>2272</v>
      </c>
      <c r="K1590" s="198" t="s">
        <v>2272</v>
      </c>
      <c r="L1590" s="198" t="s">
        <v>2272</v>
      </c>
      <c r="M1590" s="198" t="s">
        <v>2272</v>
      </c>
      <c r="N1590" s="198" t="s">
        <v>2272</v>
      </c>
      <c r="O1590" s="198" t="s">
        <v>2272</v>
      </c>
      <c r="P1590" s="198" t="s">
        <v>2272</v>
      </c>
      <c r="Q1590" s="198" t="s">
        <v>2272</v>
      </c>
      <c r="R1590" s="198" t="s">
        <v>2272</v>
      </c>
      <c r="S1590" s="198" t="s">
        <v>2272</v>
      </c>
      <c r="T1590" s="198"/>
    </row>
    <row r="1591" spans="1:20" ht="44" customHeight="1">
      <c r="A1591" s="11" t="s">
        <v>10171</v>
      </c>
      <c r="B1591" s="198" t="s">
        <v>2272</v>
      </c>
      <c r="C1591" s="198" t="s">
        <v>2272</v>
      </c>
      <c r="D1591" s="198" t="s">
        <v>2272</v>
      </c>
      <c r="E1591" s="198" t="s">
        <v>2272</v>
      </c>
      <c r="F1591" s="198" t="s">
        <v>2272</v>
      </c>
      <c r="G1591" s="198" t="s">
        <v>2272</v>
      </c>
      <c r="H1591" s="198" t="s">
        <v>2272</v>
      </c>
      <c r="I1591" s="198" t="s">
        <v>2272</v>
      </c>
      <c r="J1591" s="198" t="s">
        <v>2272</v>
      </c>
      <c r="K1591" s="198" t="s">
        <v>2272</v>
      </c>
      <c r="L1591" s="198" t="s">
        <v>2272</v>
      </c>
      <c r="M1591" s="198" t="s">
        <v>2272</v>
      </c>
      <c r="N1591" s="198" t="s">
        <v>2272</v>
      </c>
      <c r="O1591" s="198" t="s">
        <v>2272</v>
      </c>
      <c r="P1591" s="198" t="s">
        <v>2272</v>
      </c>
      <c r="Q1591" s="198" t="s">
        <v>2272</v>
      </c>
      <c r="R1591" s="198" t="s">
        <v>2272</v>
      </c>
      <c r="S1591" s="198" t="s">
        <v>2272</v>
      </c>
      <c r="T1591" s="198"/>
    </row>
    <row r="1592" spans="1:20" ht="44" customHeight="1">
      <c r="A1592" s="11" t="s">
        <v>10172</v>
      </c>
      <c r="B1592" s="198" t="s">
        <v>2272</v>
      </c>
      <c r="C1592" s="198" t="s">
        <v>2272</v>
      </c>
      <c r="D1592" s="198" t="s">
        <v>114</v>
      </c>
      <c r="E1592" s="198" t="s">
        <v>2272</v>
      </c>
      <c r="F1592" s="198" t="s">
        <v>2272</v>
      </c>
      <c r="G1592" s="198" t="s">
        <v>2272</v>
      </c>
      <c r="H1592" s="198" t="s">
        <v>2272</v>
      </c>
      <c r="I1592" s="198" t="s">
        <v>2272</v>
      </c>
      <c r="J1592" s="198" t="s">
        <v>2272</v>
      </c>
      <c r="K1592" s="198" t="s">
        <v>2272</v>
      </c>
      <c r="L1592" s="198" t="s">
        <v>2272</v>
      </c>
      <c r="M1592" s="198" t="s">
        <v>2272</v>
      </c>
      <c r="N1592" s="198" t="s">
        <v>2272</v>
      </c>
      <c r="O1592" s="198" t="s">
        <v>2272</v>
      </c>
      <c r="P1592" s="198" t="s">
        <v>2272</v>
      </c>
      <c r="Q1592" s="198" t="s">
        <v>2272</v>
      </c>
      <c r="R1592" s="198" t="s">
        <v>2272</v>
      </c>
      <c r="S1592" s="198" t="s">
        <v>2272</v>
      </c>
      <c r="T1592" s="198"/>
    </row>
    <row r="1593" spans="1:20" ht="47" customHeight="1">
      <c r="A1593" s="11" t="s">
        <v>10196</v>
      </c>
      <c r="B1593" s="4" t="s">
        <v>1193</v>
      </c>
      <c r="C1593" s="198" t="s">
        <v>2640</v>
      </c>
      <c r="D1593" s="198" t="s">
        <v>2644</v>
      </c>
      <c r="E1593" s="198" t="s">
        <v>135</v>
      </c>
      <c r="F1593" s="198" t="s">
        <v>2272</v>
      </c>
      <c r="G1593" s="198" t="s">
        <v>2272</v>
      </c>
      <c r="H1593" s="198" t="s">
        <v>2272</v>
      </c>
      <c r="I1593" s="198" t="s">
        <v>2272</v>
      </c>
      <c r="J1593" s="198" t="s">
        <v>2272</v>
      </c>
      <c r="K1593" s="198" t="s">
        <v>2272</v>
      </c>
      <c r="L1593" s="198" t="s">
        <v>2272</v>
      </c>
      <c r="M1593" s="198" t="s">
        <v>2272</v>
      </c>
      <c r="N1593" s="198" t="s">
        <v>2272</v>
      </c>
      <c r="O1593" s="198" t="s">
        <v>2272</v>
      </c>
      <c r="P1593" s="198" t="s">
        <v>2272</v>
      </c>
      <c r="Q1593" s="198" t="s">
        <v>2272</v>
      </c>
      <c r="R1593" s="198" t="s">
        <v>2272</v>
      </c>
      <c r="S1593" s="198" t="s">
        <v>2272</v>
      </c>
      <c r="T1593" s="198"/>
    </row>
    <row r="1594" spans="1:20" ht="48" customHeight="1">
      <c r="A1594" s="11" t="s">
        <v>10204</v>
      </c>
      <c r="B1594" s="198" t="s">
        <v>31</v>
      </c>
      <c r="C1594" s="198" t="s">
        <v>11</v>
      </c>
      <c r="D1594" s="198" t="s">
        <v>44</v>
      </c>
      <c r="E1594" s="198" t="s">
        <v>2644</v>
      </c>
      <c r="F1594" s="198" t="s">
        <v>2272</v>
      </c>
      <c r="G1594" s="198" t="s">
        <v>2272</v>
      </c>
      <c r="H1594" s="198" t="s">
        <v>2272</v>
      </c>
      <c r="I1594" s="198" t="s">
        <v>2272</v>
      </c>
      <c r="J1594" s="198" t="s">
        <v>2272</v>
      </c>
      <c r="K1594" s="198" t="s">
        <v>532</v>
      </c>
      <c r="L1594" s="198" t="s">
        <v>2272</v>
      </c>
      <c r="M1594" s="198" t="s">
        <v>2272</v>
      </c>
      <c r="N1594" s="198" t="s">
        <v>2272</v>
      </c>
      <c r="O1594" s="198" t="s">
        <v>2272</v>
      </c>
      <c r="P1594" s="198" t="s">
        <v>2272</v>
      </c>
      <c r="Q1594" s="198" t="s">
        <v>2272</v>
      </c>
      <c r="R1594" s="198" t="s">
        <v>2272</v>
      </c>
      <c r="S1594" s="198" t="s">
        <v>2272</v>
      </c>
      <c r="T1594" s="198"/>
    </row>
    <row r="1595" spans="1:20" ht="42" customHeight="1">
      <c r="A1595" s="11" t="s">
        <v>10217</v>
      </c>
      <c r="B1595" s="198" t="s">
        <v>31</v>
      </c>
      <c r="C1595" s="198" t="s">
        <v>2640</v>
      </c>
      <c r="D1595" s="198" t="s">
        <v>2272</v>
      </c>
      <c r="E1595" s="198" t="s">
        <v>2272</v>
      </c>
      <c r="F1595" s="198" t="s">
        <v>2272</v>
      </c>
      <c r="G1595" s="198" t="s">
        <v>2272</v>
      </c>
      <c r="H1595" s="198" t="s">
        <v>2272</v>
      </c>
      <c r="I1595" s="198" t="s">
        <v>2272</v>
      </c>
      <c r="J1595" s="198" t="s">
        <v>2272</v>
      </c>
      <c r="K1595" s="198" t="s">
        <v>2272</v>
      </c>
      <c r="L1595" s="198" t="s">
        <v>2272</v>
      </c>
      <c r="M1595" s="198" t="s">
        <v>2272</v>
      </c>
      <c r="N1595" s="198" t="s">
        <v>2272</v>
      </c>
      <c r="O1595" s="198" t="s">
        <v>2272</v>
      </c>
      <c r="P1595" s="198" t="s">
        <v>2272</v>
      </c>
      <c r="Q1595" s="198" t="s">
        <v>2272</v>
      </c>
      <c r="R1595" s="198" t="s">
        <v>2272</v>
      </c>
      <c r="S1595" s="198" t="s">
        <v>2272</v>
      </c>
      <c r="T1595" s="198"/>
    </row>
    <row r="1596" spans="1:20" ht="44.5" customHeight="1">
      <c r="A1596" s="11" t="s">
        <v>10234</v>
      </c>
      <c r="B1596" s="198" t="s">
        <v>2272</v>
      </c>
      <c r="C1596" s="198" t="s">
        <v>2640</v>
      </c>
      <c r="D1596" s="198" t="s">
        <v>2644</v>
      </c>
      <c r="E1596" s="198" t="s">
        <v>2272</v>
      </c>
      <c r="F1596" s="198" t="s">
        <v>2272</v>
      </c>
      <c r="G1596" s="198" t="s">
        <v>2272</v>
      </c>
      <c r="H1596" s="198" t="s">
        <v>2272</v>
      </c>
      <c r="I1596" s="198" t="s">
        <v>2272</v>
      </c>
      <c r="J1596" s="198" t="s">
        <v>2272</v>
      </c>
      <c r="K1596" s="198" t="s">
        <v>532</v>
      </c>
      <c r="L1596" s="198" t="s">
        <v>2272</v>
      </c>
      <c r="M1596" s="198" t="s">
        <v>2272</v>
      </c>
      <c r="N1596" s="198" t="s">
        <v>2272</v>
      </c>
      <c r="O1596" s="198" t="s">
        <v>2272</v>
      </c>
      <c r="P1596" s="198" t="s">
        <v>2272</v>
      </c>
      <c r="Q1596" s="198" t="s">
        <v>2272</v>
      </c>
      <c r="R1596" s="198" t="s">
        <v>2272</v>
      </c>
      <c r="S1596" s="198" t="s">
        <v>2272</v>
      </c>
      <c r="T1596" s="198"/>
    </row>
    <row r="1597" spans="1:20" ht="42.5" customHeight="1">
      <c r="A1597" s="11" t="s">
        <v>10236</v>
      </c>
      <c r="B1597" s="198" t="s">
        <v>2272</v>
      </c>
      <c r="C1597" s="198" t="s">
        <v>2640</v>
      </c>
      <c r="D1597" s="198" t="s">
        <v>2644</v>
      </c>
      <c r="E1597" s="198" t="s">
        <v>2272</v>
      </c>
      <c r="F1597" s="198" t="s">
        <v>2272</v>
      </c>
      <c r="G1597" s="198" t="s">
        <v>2272</v>
      </c>
      <c r="H1597" s="198" t="s">
        <v>2272</v>
      </c>
      <c r="I1597" s="198" t="s">
        <v>2272</v>
      </c>
      <c r="J1597" s="198" t="s">
        <v>2272</v>
      </c>
      <c r="K1597" s="198" t="s">
        <v>532</v>
      </c>
      <c r="L1597" s="198" t="s">
        <v>2272</v>
      </c>
      <c r="M1597" s="198" t="s">
        <v>2272</v>
      </c>
      <c r="N1597" s="198" t="s">
        <v>2272</v>
      </c>
      <c r="O1597" s="198" t="s">
        <v>2272</v>
      </c>
      <c r="P1597" s="198" t="s">
        <v>2272</v>
      </c>
      <c r="Q1597" s="198" t="s">
        <v>2272</v>
      </c>
      <c r="R1597" s="198" t="s">
        <v>2272</v>
      </c>
      <c r="S1597" s="198" t="s">
        <v>2272</v>
      </c>
      <c r="T1597" s="198"/>
    </row>
    <row r="1598" spans="1:20" ht="43.5" customHeight="1">
      <c r="A1598" s="11" t="s">
        <v>10244</v>
      </c>
      <c r="B1598" s="198" t="s">
        <v>2272</v>
      </c>
      <c r="C1598" s="198" t="s">
        <v>11</v>
      </c>
      <c r="D1598" s="198" t="s">
        <v>44</v>
      </c>
      <c r="E1598" s="198" t="s">
        <v>2272</v>
      </c>
      <c r="F1598" s="198" t="s">
        <v>2272</v>
      </c>
      <c r="G1598" s="198" t="s">
        <v>2272</v>
      </c>
      <c r="H1598" s="198" t="s">
        <v>2272</v>
      </c>
      <c r="I1598" s="198" t="s">
        <v>2272</v>
      </c>
      <c r="J1598" s="198" t="s">
        <v>2272</v>
      </c>
      <c r="K1598" s="198" t="s">
        <v>2272</v>
      </c>
      <c r="L1598" s="198" t="s">
        <v>2272</v>
      </c>
      <c r="M1598" s="198" t="s">
        <v>2272</v>
      </c>
      <c r="N1598" s="198" t="s">
        <v>2272</v>
      </c>
      <c r="O1598" s="198" t="s">
        <v>2272</v>
      </c>
      <c r="P1598" s="198" t="s">
        <v>2272</v>
      </c>
      <c r="Q1598" s="198" t="s">
        <v>2272</v>
      </c>
      <c r="R1598" s="198" t="s">
        <v>2272</v>
      </c>
      <c r="S1598" s="198" t="s">
        <v>2272</v>
      </c>
      <c r="T1598" s="198" t="s">
        <v>10246</v>
      </c>
    </row>
    <row r="1599" spans="1:20" ht="43.5" customHeight="1">
      <c r="A1599" s="11" t="s">
        <v>10249</v>
      </c>
      <c r="B1599" s="198" t="s">
        <v>2272</v>
      </c>
      <c r="C1599" s="198" t="s">
        <v>11</v>
      </c>
      <c r="D1599" s="4" t="s">
        <v>394</v>
      </c>
      <c r="E1599" s="4" t="s">
        <v>44</v>
      </c>
      <c r="F1599" s="4" t="s">
        <v>2648</v>
      </c>
      <c r="G1599" s="198" t="s">
        <v>2272</v>
      </c>
      <c r="H1599" s="198" t="s">
        <v>2272</v>
      </c>
      <c r="I1599" s="198" t="s">
        <v>2272</v>
      </c>
      <c r="J1599" s="198" t="s">
        <v>2272</v>
      </c>
      <c r="K1599" s="198" t="s">
        <v>2272</v>
      </c>
      <c r="L1599" s="198" t="s">
        <v>2272</v>
      </c>
      <c r="M1599" s="198" t="s">
        <v>2272</v>
      </c>
      <c r="N1599" s="198" t="s">
        <v>2272</v>
      </c>
      <c r="O1599" s="198" t="s">
        <v>2272</v>
      </c>
      <c r="P1599" s="198" t="s">
        <v>2272</v>
      </c>
      <c r="Q1599" s="198" t="s">
        <v>2272</v>
      </c>
      <c r="R1599" s="198" t="s">
        <v>2272</v>
      </c>
      <c r="S1599" s="198" t="s">
        <v>2272</v>
      </c>
      <c r="T1599" s="198"/>
    </row>
    <row r="1600" spans="1:20" ht="43.5" customHeight="1">
      <c r="A1600" s="11" t="s">
        <v>10250</v>
      </c>
      <c r="B1600" s="198" t="s">
        <v>2272</v>
      </c>
      <c r="C1600" s="198" t="s">
        <v>11</v>
      </c>
      <c r="D1600" s="4" t="s">
        <v>394</v>
      </c>
      <c r="E1600" s="4" t="s">
        <v>82</v>
      </c>
      <c r="F1600" s="4" t="s">
        <v>2648</v>
      </c>
      <c r="G1600" s="198" t="s">
        <v>2272</v>
      </c>
      <c r="H1600" s="198" t="s">
        <v>2272</v>
      </c>
      <c r="I1600" s="198" t="s">
        <v>2272</v>
      </c>
      <c r="J1600" s="198" t="s">
        <v>2272</v>
      </c>
      <c r="K1600" s="198" t="s">
        <v>2272</v>
      </c>
      <c r="L1600" s="198" t="s">
        <v>2272</v>
      </c>
      <c r="M1600" s="198" t="s">
        <v>2272</v>
      </c>
      <c r="N1600" s="198" t="s">
        <v>2272</v>
      </c>
      <c r="O1600" s="198" t="s">
        <v>2272</v>
      </c>
      <c r="P1600" s="198" t="s">
        <v>2272</v>
      </c>
      <c r="Q1600" s="198" t="s">
        <v>2272</v>
      </c>
      <c r="R1600" s="198" t="s">
        <v>2272</v>
      </c>
      <c r="S1600" s="198" t="s">
        <v>2272</v>
      </c>
      <c r="T1600" s="198"/>
    </row>
    <row r="1601" spans="1:20" ht="43.5" customHeight="1">
      <c r="A1601" s="11" t="s">
        <v>10251</v>
      </c>
      <c r="B1601" s="198" t="s">
        <v>2272</v>
      </c>
      <c r="C1601" s="198" t="s">
        <v>2640</v>
      </c>
      <c r="D1601" s="4" t="s">
        <v>394</v>
      </c>
      <c r="E1601" s="4" t="s">
        <v>2648</v>
      </c>
      <c r="F1601" s="4" t="s">
        <v>2647</v>
      </c>
      <c r="G1601" s="198" t="s">
        <v>2272</v>
      </c>
      <c r="H1601" s="198" t="s">
        <v>2272</v>
      </c>
      <c r="I1601" s="198" t="s">
        <v>2272</v>
      </c>
      <c r="J1601" s="198" t="s">
        <v>2272</v>
      </c>
      <c r="K1601" s="198" t="s">
        <v>2272</v>
      </c>
      <c r="L1601" s="198" t="s">
        <v>2272</v>
      </c>
      <c r="M1601" s="198" t="s">
        <v>2272</v>
      </c>
      <c r="N1601" s="198" t="s">
        <v>2272</v>
      </c>
      <c r="O1601" s="198" t="s">
        <v>2272</v>
      </c>
      <c r="P1601" s="198" t="s">
        <v>2272</v>
      </c>
      <c r="Q1601" s="198" t="s">
        <v>2272</v>
      </c>
      <c r="R1601" s="198" t="s">
        <v>2272</v>
      </c>
      <c r="S1601" s="198" t="s">
        <v>2272</v>
      </c>
      <c r="T1601" s="198"/>
    </row>
    <row r="1602" spans="1:20" ht="42.5" customHeight="1">
      <c r="A1602" s="11" t="s">
        <v>10255</v>
      </c>
      <c r="B1602" s="198" t="s">
        <v>2272</v>
      </c>
      <c r="C1602" s="198" t="s">
        <v>2640</v>
      </c>
      <c r="D1602" s="198" t="s">
        <v>2644</v>
      </c>
      <c r="E1602" s="198" t="s">
        <v>860</v>
      </c>
      <c r="F1602" s="198" t="s">
        <v>114</v>
      </c>
      <c r="G1602" s="198" t="s">
        <v>2272</v>
      </c>
      <c r="H1602" s="198" t="s">
        <v>2272</v>
      </c>
      <c r="I1602" s="198" t="s">
        <v>2272</v>
      </c>
      <c r="J1602" s="198" t="s">
        <v>2272</v>
      </c>
      <c r="K1602" s="198" t="s">
        <v>532</v>
      </c>
      <c r="L1602" s="198" t="s">
        <v>2272</v>
      </c>
      <c r="M1602" s="21">
        <f>100*14000/'Record info'!K1602</f>
        <v>14.973262032085561</v>
      </c>
      <c r="N1602" s="21">
        <v>19</v>
      </c>
      <c r="O1602" s="198" t="s">
        <v>2272</v>
      </c>
      <c r="P1602" s="198" t="s">
        <v>2272</v>
      </c>
      <c r="Q1602" s="21">
        <v>28</v>
      </c>
      <c r="R1602" s="21">
        <v>42</v>
      </c>
      <c r="S1602" s="198" t="s">
        <v>2272</v>
      </c>
      <c r="T1602" s="198"/>
    </row>
    <row r="1603" spans="1:20" ht="47" customHeight="1">
      <c r="A1603" s="11" t="s">
        <v>10267</v>
      </c>
      <c r="B1603" s="198" t="s">
        <v>2272</v>
      </c>
      <c r="C1603" s="198" t="s">
        <v>2272</v>
      </c>
      <c r="D1603" s="198" t="s">
        <v>114</v>
      </c>
      <c r="E1603" s="198" t="s">
        <v>9461</v>
      </c>
      <c r="F1603" s="198" t="s">
        <v>2272</v>
      </c>
      <c r="G1603" s="198" t="s">
        <v>2272</v>
      </c>
      <c r="H1603" s="198" t="s">
        <v>2272</v>
      </c>
      <c r="I1603" s="198" t="s">
        <v>2272</v>
      </c>
      <c r="J1603" s="198" t="s">
        <v>2272</v>
      </c>
      <c r="K1603" s="198" t="s">
        <v>2272</v>
      </c>
      <c r="L1603" s="198" t="s">
        <v>2272</v>
      </c>
      <c r="M1603" s="198" t="s">
        <v>2272</v>
      </c>
      <c r="N1603" s="198" t="s">
        <v>2272</v>
      </c>
      <c r="O1603" s="198" t="s">
        <v>2272</v>
      </c>
      <c r="P1603" s="198" t="s">
        <v>2272</v>
      </c>
      <c r="Q1603" s="198" t="s">
        <v>2272</v>
      </c>
      <c r="R1603" s="21">
        <v>100</v>
      </c>
      <c r="S1603" s="198" t="s">
        <v>2272</v>
      </c>
      <c r="T1603" s="198"/>
    </row>
    <row r="1604" spans="1:20" ht="43.5" customHeight="1">
      <c r="A1604" s="11" t="s">
        <v>10274</v>
      </c>
      <c r="B1604" s="198" t="s">
        <v>31</v>
      </c>
      <c r="C1604" s="198" t="s">
        <v>2640</v>
      </c>
      <c r="D1604" s="198" t="s">
        <v>2644</v>
      </c>
      <c r="E1604" s="198" t="s">
        <v>2648</v>
      </c>
      <c r="F1604" s="198" t="s">
        <v>135</v>
      </c>
      <c r="G1604" s="198" t="s">
        <v>82</v>
      </c>
      <c r="H1604" s="198" t="s">
        <v>2272</v>
      </c>
      <c r="I1604" s="198" t="s">
        <v>2272</v>
      </c>
      <c r="J1604" s="198" t="s">
        <v>2272</v>
      </c>
      <c r="K1604" s="198" t="s">
        <v>532</v>
      </c>
      <c r="L1604" s="198" t="s">
        <v>2272</v>
      </c>
      <c r="M1604" s="198" t="s">
        <v>2272</v>
      </c>
      <c r="N1604" s="21">
        <f>41/2</f>
        <v>20.5</v>
      </c>
      <c r="O1604" s="198" t="s">
        <v>2272</v>
      </c>
      <c r="P1604" s="21">
        <v>4.5</v>
      </c>
      <c r="Q1604" s="198" t="s">
        <v>2272</v>
      </c>
      <c r="R1604" s="21">
        <f>81/2+12.5</f>
        <v>53</v>
      </c>
      <c r="S1604" s="198" t="s">
        <v>2272</v>
      </c>
      <c r="T1604" s="198"/>
    </row>
    <row r="1605" spans="1:20" ht="44.5" customHeight="1">
      <c r="A1605" s="11" t="s">
        <v>10288</v>
      </c>
      <c r="B1605" s="198" t="s">
        <v>31</v>
      </c>
      <c r="C1605" s="198" t="s">
        <v>2640</v>
      </c>
      <c r="D1605" s="198" t="s">
        <v>2644</v>
      </c>
      <c r="E1605" s="198" t="s">
        <v>82</v>
      </c>
      <c r="F1605" s="198" t="s">
        <v>2642</v>
      </c>
      <c r="G1605" s="198" t="s">
        <v>2648</v>
      </c>
      <c r="H1605" s="198" t="s">
        <v>2272</v>
      </c>
      <c r="I1605" s="198" t="s">
        <v>2272</v>
      </c>
      <c r="J1605" s="198" t="s">
        <v>2272</v>
      </c>
      <c r="K1605" s="198" t="s">
        <v>532</v>
      </c>
      <c r="L1605" s="198" t="s">
        <v>2272</v>
      </c>
      <c r="M1605" s="198" t="s">
        <v>2272</v>
      </c>
      <c r="N1605" s="21">
        <f>67/2</f>
        <v>33.5</v>
      </c>
      <c r="O1605" s="198" t="s">
        <v>2272</v>
      </c>
      <c r="P1605" s="198" t="s">
        <v>2272</v>
      </c>
      <c r="Q1605" s="198" t="s">
        <v>2272</v>
      </c>
      <c r="R1605" s="21">
        <f>67/2</f>
        <v>33.5</v>
      </c>
      <c r="S1605" s="198" t="s">
        <v>2272</v>
      </c>
      <c r="T1605" s="4" t="s">
        <v>10301</v>
      </c>
    </row>
    <row r="1606" spans="1:20" ht="44.5" customHeight="1">
      <c r="A1606" s="11" t="s">
        <v>10304</v>
      </c>
      <c r="B1606" s="198" t="s">
        <v>2272</v>
      </c>
      <c r="C1606" s="198" t="s">
        <v>2640</v>
      </c>
      <c r="D1606" s="198" t="s">
        <v>2644</v>
      </c>
      <c r="E1606" s="198" t="s">
        <v>2272</v>
      </c>
      <c r="F1606" s="198" t="s">
        <v>2272</v>
      </c>
      <c r="G1606" s="198" t="s">
        <v>2272</v>
      </c>
      <c r="H1606" s="198" t="s">
        <v>2272</v>
      </c>
      <c r="I1606" s="198" t="s">
        <v>2272</v>
      </c>
      <c r="J1606" s="198" t="s">
        <v>2272</v>
      </c>
      <c r="K1606" s="198" t="s">
        <v>2272</v>
      </c>
      <c r="L1606" s="198" t="s">
        <v>2272</v>
      </c>
      <c r="M1606" s="198" t="s">
        <v>2272</v>
      </c>
      <c r="N1606" s="21">
        <f t="shared" ref="N1606:N1608" si="7">67/2</f>
        <v>33.5</v>
      </c>
      <c r="O1606" s="198" t="s">
        <v>2272</v>
      </c>
      <c r="P1606" s="198" t="s">
        <v>2272</v>
      </c>
      <c r="Q1606" s="198" t="s">
        <v>2272</v>
      </c>
      <c r="R1606" s="21">
        <f t="shared" ref="R1606:R1608" si="8">67/2</f>
        <v>33.5</v>
      </c>
      <c r="S1606" s="198" t="s">
        <v>2272</v>
      </c>
      <c r="T1606" s="198" t="s">
        <v>10343</v>
      </c>
    </row>
    <row r="1607" spans="1:20" ht="44.5" customHeight="1">
      <c r="A1607" s="11" t="s">
        <v>10308</v>
      </c>
      <c r="B1607" s="198" t="s">
        <v>2272</v>
      </c>
      <c r="C1607" s="198" t="s">
        <v>2640</v>
      </c>
      <c r="D1607" s="198" t="s">
        <v>2644</v>
      </c>
      <c r="E1607" s="198" t="s">
        <v>2272</v>
      </c>
      <c r="F1607" s="198" t="s">
        <v>2272</v>
      </c>
      <c r="G1607" s="198" t="s">
        <v>2272</v>
      </c>
      <c r="H1607" s="198" t="s">
        <v>2272</v>
      </c>
      <c r="I1607" s="198" t="s">
        <v>2272</v>
      </c>
      <c r="J1607" s="198" t="s">
        <v>2272</v>
      </c>
      <c r="K1607" s="198" t="s">
        <v>2272</v>
      </c>
      <c r="L1607" s="198" t="s">
        <v>2272</v>
      </c>
      <c r="M1607" s="198" t="s">
        <v>2272</v>
      </c>
      <c r="N1607" s="21">
        <f t="shared" si="7"/>
        <v>33.5</v>
      </c>
      <c r="O1607" s="198" t="s">
        <v>2272</v>
      </c>
      <c r="P1607" s="198" t="s">
        <v>2272</v>
      </c>
      <c r="Q1607" s="198" t="s">
        <v>2272</v>
      </c>
      <c r="R1607" s="21">
        <f t="shared" si="8"/>
        <v>33.5</v>
      </c>
      <c r="S1607" s="198" t="s">
        <v>2272</v>
      </c>
      <c r="T1607" s="198"/>
    </row>
    <row r="1608" spans="1:20" ht="44.5" customHeight="1">
      <c r="A1608" s="11" t="s">
        <v>10309</v>
      </c>
      <c r="B1608" s="198" t="s">
        <v>2272</v>
      </c>
      <c r="C1608" s="198" t="s">
        <v>2640</v>
      </c>
      <c r="D1608" s="198" t="s">
        <v>2644</v>
      </c>
      <c r="E1608" s="198" t="s">
        <v>2272</v>
      </c>
      <c r="F1608" s="198" t="s">
        <v>2272</v>
      </c>
      <c r="G1608" s="198" t="s">
        <v>2272</v>
      </c>
      <c r="H1608" s="198" t="s">
        <v>2272</v>
      </c>
      <c r="I1608" s="198" t="s">
        <v>2272</v>
      </c>
      <c r="J1608" s="198" t="s">
        <v>2272</v>
      </c>
      <c r="K1608" s="198" t="s">
        <v>2272</v>
      </c>
      <c r="L1608" s="198" t="s">
        <v>2272</v>
      </c>
      <c r="M1608" s="198" t="s">
        <v>2272</v>
      </c>
      <c r="N1608" s="21">
        <f t="shared" si="7"/>
        <v>33.5</v>
      </c>
      <c r="O1608" s="198" t="s">
        <v>2272</v>
      </c>
      <c r="P1608" s="198" t="s">
        <v>2272</v>
      </c>
      <c r="Q1608" s="198" t="s">
        <v>2272</v>
      </c>
      <c r="R1608" s="21">
        <f t="shared" si="8"/>
        <v>33.5</v>
      </c>
      <c r="S1608" s="198" t="s">
        <v>2272</v>
      </c>
      <c r="T1608" s="198"/>
    </row>
    <row r="1609" spans="1:20" ht="48" customHeight="1">
      <c r="A1609" s="198" t="s">
        <v>10348</v>
      </c>
      <c r="B1609" s="198" t="s">
        <v>31</v>
      </c>
      <c r="C1609" s="198" t="s">
        <v>2640</v>
      </c>
      <c r="D1609" s="198" t="s">
        <v>135</v>
      </c>
      <c r="E1609" s="198" t="s">
        <v>2648</v>
      </c>
      <c r="F1609" s="198" t="s">
        <v>82</v>
      </c>
      <c r="G1609" s="198" t="s">
        <v>2272</v>
      </c>
      <c r="H1609" s="198" t="s">
        <v>2272</v>
      </c>
      <c r="I1609" s="198" t="s">
        <v>2272</v>
      </c>
      <c r="J1609" s="198" t="s">
        <v>2272</v>
      </c>
      <c r="K1609" s="198" t="s">
        <v>2272</v>
      </c>
      <c r="L1609" s="198" t="s">
        <v>2272</v>
      </c>
      <c r="M1609" s="198" t="s">
        <v>2272</v>
      </c>
      <c r="N1609" s="198" t="s">
        <v>2272</v>
      </c>
      <c r="O1609" s="198" t="s">
        <v>2272</v>
      </c>
      <c r="P1609" s="198" t="s">
        <v>2272</v>
      </c>
      <c r="Q1609" s="198" t="s">
        <v>2272</v>
      </c>
      <c r="R1609" s="198" t="s">
        <v>2272</v>
      </c>
      <c r="S1609" s="198" t="s">
        <v>2272</v>
      </c>
      <c r="T1609" s="198"/>
    </row>
    <row r="1610" spans="1:20" ht="45.5" customHeight="1">
      <c r="A1610" s="11" t="s">
        <v>10354</v>
      </c>
      <c r="B1610" s="198" t="s">
        <v>1193</v>
      </c>
      <c r="C1610" s="198" t="s">
        <v>2641</v>
      </c>
      <c r="D1610" s="198" t="s">
        <v>135</v>
      </c>
      <c r="E1610" s="198" t="s">
        <v>2272</v>
      </c>
      <c r="F1610" s="198" t="s">
        <v>2272</v>
      </c>
      <c r="G1610" s="198" t="s">
        <v>2272</v>
      </c>
      <c r="H1610" s="198" t="s">
        <v>2272</v>
      </c>
      <c r="I1610" s="198" t="s">
        <v>2272</v>
      </c>
      <c r="J1610" s="198" t="s">
        <v>2272</v>
      </c>
      <c r="K1610" s="198" t="s">
        <v>2272</v>
      </c>
      <c r="L1610" s="198" t="s">
        <v>2272</v>
      </c>
      <c r="M1610" s="198" t="s">
        <v>2272</v>
      </c>
      <c r="N1610" s="198" t="s">
        <v>2272</v>
      </c>
      <c r="O1610" s="198" t="s">
        <v>2272</v>
      </c>
      <c r="P1610" s="198" t="s">
        <v>2272</v>
      </c>
      <c r="Q1610" s="198" t="s">
        <v>2272</v>
      </c>
      <c r="R1610" s="21">
        <v>100</v>
      </c>
      <c r="S1610" s="198" t="s">
        <v>2272</v>
      </c>
      <c r="T1610" s="198"/>
    </row>
    <row r="1611" spans="1:20" ht="45.5" customHeight="1">
      <c r="A1611" s="11" t="s">
        <v>10362</v>
      </c>
      <c r="B1611" s="198" t="s">
        <v>1193</v>
      </c>
      <c r="C1611" s="198" t="s">
        <v>2641</v>
      </c>
      <c r="D1611" s="198" t="s">
        <v>135</v>
      </c>
      <c r="E1611" s="198" t="s">
        <v>2272</v>
      </c>
      <c r="F1611" s="198" t="s">
        <v>2272</v>
      </c>
      <c r="G1611" s="198" t="s">
        <v>2272</v>
      </c>
      <c r="H1611" s="198" t="s">
        <v>2272</v>
      </c>
      <c r="I1611" s="198" t="s">
        <v>2272</v>
      </c>
      <c r="J1611" s="198" t="s">
        <v>2272</v>
      </c>
      <c r="K1611" s="198" t="s">
        <v>2272</v>
      </c>
      <c r="L1611" s="198" t="s">
        <v>2272</v>
      </c>
      <c r="M1611" s="198" t="s">
        <v>2272</v>
      </c>
      <c r="N1611" s="198" t="s">
        <v>2272</v>
      </c>
      <c r="O1611" s="198" t="s">
        <v>2272</v>
      </c>
      <c r="P1611" s="198" t="s">
        <v>2272</v>
      </c>
      <c r="Q1611" s="198" t="s">
        <v>2272</v>
      </c>
      <c r="R1611" s="21">
        <f>100-7.7</f>
        <v>92.3</v>
      </c>
      <c r="S1611" s="198" t="s">
        <v>2272</v>
      </c>
      <c r="T1611" s="198" t="s">
        <v>10382</v>
      </c>
    </row>
    <row r="1612" spans="1:20" ht="45.5" customHeight="1">
      <c r="A1612" s="11" t="s">
        <v>10373</v>
      </c>
      <c r="B1612" s="198" t="s">
        <v>1193</v>
      </c>
      <c r="C1612" s="198" t="s">
        <v>2641</v>
      </c>
      <c r="D1612" s="198" t="s">
        <v>135</v>
      </c>
      <c r="E1612" s="198" t="s">
        <v>2272</v>
      </c>
      <c r="F1612" s="198" t="s">
        <v>2272</v>
      </c>
      <c r="G1612" s="198" t="s">
        <v>2272</v>
      </c>
      <c r="H1612" s="198" t="s">
        <v>2272</v>
      </c>
      <c r="I1612" s="198" t="s">
        <v>2272</v>
      </c>
      <c r="J1612" s="198" t="s">
        <v>2272</v>
      </c>
      <c r="K1612" s="198" t="s">
        <v>2272</v>
      </c>
      <c r="L1612" s="198" t="s">
        <v>2272</v>
      </c>
      <c r="M1612" s="198" t="s">
        <v>2272</v>
      </c>
      <c r="N1612" s="198" t="s">
        <v>2272</v>
      </c>
      <c r="O1612" s="198" t="s">
        <v>2272</v>
      </c>
      <c r="P1612" s="198" t="s">
        <v>2272</v>
      </c>
      <c r="Q1612" s="198" t="s">
        <v>2272</v>
      </c>
      <c r="R1612" s="21">
        <f>100-1.8</f>
        <v>98.2</v>
      </c>
      <c r="S1612" s="198" t="s">
        <v>2272</v>
      </c>
      <c r="T1612" s="198" t="s">
        <v>10382</v>
      </c>
    </row>
    <row r="1613" spans="1:20" ht="45.5" customHeight="1">
      <c r="A1613" s="11" t="s">
        <v>10374</v>
      </c>
      <c r="B1613" s="198" t="s">
        <v>1193</v>
      </c>
      <c r="C1613" s="198" t="s">
        <v>2641</v>
      </c>
      <c r="D1613" s="198" t="s">
        <v>135</v>
      </c>
      <c r="E1613" s="198" t="s">
        <v>2272</v>
      </c>
      <c r="F1613" s="198" t="s">
        <v>2272</v>
      </c>
      <c r="G1613" s="198" t="s">
        <v>2272</v>
      </c>
      <c r="H1613" s="198" t="s">
        <v>2272</v>
      </c>
      <c r="I1613" s="198" t="s">
        <v>2272</v>
      </c>
      <c r="J1613" s="198" t="s">
        <v>2272</v>
      </c>
      <c r="K1613" s="198" t="s">
        <v>2272</v>
      </c>
      <c r="L1613" s="198" t="s">
        <v>2272</v>
      </c>
      <c r="M1613" s="198" t="s">
        <v>2272</v>
      </c>
      <c r="N1613" s="198" t="s">
        <v>2272</v>
      </c>
      <c r="O1613" s="198" t="s">
        <v>2272</v>
      </c>
      <c r="P1613" s="198" t="s">
        <v>2272</v>
      </c>
      <c r="Q1613" s="198" t="s">
        <v>2272</v>
      </c>
      <c r="R1613" s="21">
        <f>100-7.1</f>
        <v>92.9</v>
      </c>
      <c r="S1613" s="198" t="s">
        <v>2272</v>
      </c>
      <c r="T1613" s="198" t="s">
        <v>10382</v>
      </c>
    </row>
    <row r="1614" spans="1:20" ht="45.5" customHeight="1">
      <c r="A1614" s="11" t="s">
        <v>10375</v>
      </c>
      <c r="B1614" s="198" t="s">
        <v>1193</v>
      </c>
      <c r="C1614" s="198" t="s">
        <v>2641</v>
      </c>
      <c r="D1614" s="198" t="s">
        <v>135</v>
      </c>
      <c r="E1614" s="198" t="s">
        <v>2272</v>
      </c>
      <c r="F1614" s="198" t="s">
        <v>2272</v>
      </c>
      <c r="G1614" s="198" t="s">
        <v>2272</v>
      </c>
      <c r="H1614" s="198" t="s">
        <v>2272</v>
      </c>
      <c r="I1614" s="198" t="s">
        <v>2272</v>
      </c>
      <c r="J1614" s="198" t="s">
        <v>2272</v>
      </c>
      <c r="K1614" s="198" t="s">
        <v>2272</v>
      </c>
      <c r="L1614" s="198" t="s">
        <v>2272</v>
      </c>
      <c r="M1614" s="198" t="s">
        <v>2272</v>
      </c>
      <c r="N1614" s="198" t="s">
        <v>2272</v>
      </c>
      <c r="O1614" s="198" t="s">
        <v>2272</v>
      </c>
      <c r="P1614" s="198" t="s">
        <v>2272</v>
      </c>
      <c r="Q1614" s="198" t="s">
        <v>2272</v>
      </c>
      <c r="R1614" s="21">
        <f>100-10.7</f>
        <v>89.3</v>
      </c>
      <c r="S1614" s="198" t="s">
        <v>2272</v>
      </c>
      <c r="T1614" s="198" t="s">
        <v>10382</v>
      </c>
    </row>
    <row r="1615" spans="1:20" ht="45.5" customHeight="1">
      <c r="A1615" s="11" t="s">
        <v>10376</v>
      </c>
      <c r="B1615" s="198" t="s">
        <v>1193</v>
      </c>
      <c r="C1615" s="198" t="s">
        <v>2641</v>
      </c>
      <c r="D1615" s="198" t="s">
        <v>135</v>
      </c>
      <c r="E1615" s="198" t="s">
        <v>2272</v>
      </c>
      <c r="F1615" s="198" t="s">
        <v>2272</v>
      </c>
      <c r="G1615" s="198" t="s">
        <v>2272</v>
      </c>
      <c r="H1615" s="198" t="s">
        <v>2272</v>
      </c>
      <c r="I1615" s="198" t="s">
        <v>2272</v>
      </c>
      <c r="J1615" s="198" t="s">
        <v>2272</v>
      </c>
      <c r="K1615" s="198" t="s">
        <v>2272</v>
      </c>
      <c r="L1615" s="198" t="s">
        <v>2272</v>
      </c>
      <c r="M1615" s="198" t="s">
        <v>2272</v>
      </c>
      <c r="N1615" s="198" t="s">
        <v>2272</v>
      </c>
      <c r="O1615" s="198" t="s">
        <v>2272</v>
      </c>
      <c r="P1615" s="198" t="s">
        <v>2272</v>
      </c>
      <c r="Q1615" s="198" t="s">
        <v>2272</v>
      </c>
      <c r="R1615" s="21">
        <f>100-2.1</f>
        <v>97.9</v>
      </c>
      <c r="S1615" s="198" t="s">
        <v>2272</v>
      </c>
      <c r="T1615" s="198" t="s">
        <v>10382</v>
      </c>
    </row>
    <row r="1616" spans="1:20" ht="45.5" customHeight="1">
      <c r="A1616" s="11" t="s">
        <v>10377</v>
      </c>
      <c r="B1616" s="198" t="s">
        <v>1193</v>
      </c>
      <c r="C1616" s="198" t="s">
        <v>2641</v>
      </c>
      <c r="D1616" s="198" t="s">
        <v>135</v>
      </c>
      <c r="E1616" s="198" t="s">
        <v>2272</v>
      </c>
      <c r="F1616" s="198" t="s">
        <v>2272</v>
      </c>
      <c r="G1616" s="198" t="s">
        <v>2272</v>
      </c>
      <c r="H1616" s="198" t="s">
        <v>2272</v>
      </c>
      <c r="I1616" s="198" t="s">
        <v>2272</v>
      </c>
      <c r="J1616" s="198" t="s">
        <v>2272</v>
      </c>
      <c r="K1616" s="198" t="s">
        <v>2272</v>
      </c>
      <c r="L1616" s="198" t="s">
        <v>2272</v>
      </c>
      <c r="M1616" s="198" t="s">
        <v>2272</v>
      </c>
      <c r="N1616" s="198" t="s">
        <v>2272</v>
      </c>
      <c r="O1616" s="198" t="s">
        <v>2272</v>
      </c>
      <c r="P1616" s="198" t="s">
        <v>2272</v>
      </c>
      <c r="Q1616" s="198" t="s">
        <v>2272</v>
      </c>
      <c r="R1616" s="21">
        <f>100-14</f>
        <v>86</v>
      </c>
      <c r="S1616" s="198" t="s">
        <v>2272</v>
      </c>
      <c r="T1616" s="198" t="s">
        <v>10382</v>
      </c>
    </row>
    <row r="1617" spans="1:20" ht="45.5" customHeight="1">
      <c r="A1617" s="11" t="s">
        <v>10378</v>
      </c>
      <c r="B1617" s="198" t="s">
        <v>1193</v>
      </c>
      <c r="C1617" s="198" t="s">
        <v>2641</v>
      </c>
      <c r="D1617" s="198" t="s">
        <v>135</v>
      </c>
      <c r="E1617" s="198" t="s">
        <v>2272</v>
      </c>
      <c r="F1617" s="198" t="s">
        <v>2272</v>
      </c>
      <c r="G1617" s="198" t="s">
        <v>2272</v>
      </c>
      <c r="H1617" s="198" t="s">
        <v>2272</v>
      </c>
      <c r="I1617" s="198" t="s">
        <v>2272</v>
      </c>
      <c r="J1617" s="198" t="s">
        <v>2272</v>
      </c>
      <c r="K1617" s="198" t="s">
        <v>2272</v>
      </c>
      <c r="L1617" s="198" t="s">
        <v>2272</v>
      </c>
      <c r="M1617" s="198" t="s">
        <v>2272</v>
      </c>
      <c r="N1617" s="198" t="s">
        <v>2272</v>
      </c>
      <c r="O1617" s="198" t="s">
        <v>2272</v>
      </c>
      <c r="P1617" s="198" t="s">
        <v>2272</v>
      </c>
      <c r="Q1617" s="198" t="s">
        <v>2272</v>
      </c>
      <c r="R1617" s="21">
        <f>100-1.2</f>
        <v>98.8</v>
      </c>
      <c r="S1617" s="198" t="s">
        <v>2272</v>
      </c>
      <c r="T1617" s="198" t="s">
        <v>10382</v>
      </c>
    </row>
    <row r="1618" spans="1:20" ht="45.5" customHeight="1">
      <c r="A1618" s="11" t="s">
        <v>10379</v>
      </c>
      <c r="B1618" s="198" t="s">
        <v>1193</v>
      </c>
      <c r="C1618" s="198" t="s">
        <v>2641</v>
      </c>
      <c r="D1618" s="198" t="s">
        <v>135</v>
      </c>
      <c r="E1618" s="198" t="s">
        <v>2272</v>
      </c>
      <c r="F1618" s="198" t="s">
        <v>2272</v>
      </c>
      <c r="G1618" s="198" t="s">
        <v>2272</v>
      </c>
      <c r="H1618" s="198" t="s">
        <v>2272</v>
      </c>
      <c r="I1618" s="198" t="s">
        <v>2272</v>
      </c>
      <c r="J1618" s="198" t="s">
        <v>2272</v>
      </c>
      <c r="K1618" s="198" t="s">
        <v>2272</v>
      </c>
      <c r="L1618" s="198" t="s">
        <v>2272</v>
      </c>
      <c r="M1618" s="198" t="s">
        <v>2272</v>
      </c>
      <c r="N1618" s="198" t="s">
        <v>2272</v>
      </c>
      <c r="O1618" s="198" t="s">
        <v>2272</v>
      </c>
      <c r="P1618" s="198" t="s">
        <v>2272</v>
      </c>
      <c r="Q1618" s="198" t="s">
        <v>2272</v>
      </c>
      <c r="R1618" s="21">
        <f>100-9.1</f>
        <v>90.9</v>
      </c>
      <c r="S1618" s="198" t="s">
        <v>2272</v>
      </c>
      <c r="T1618" s="198" t="s">
        <v>10382</v>
      </c>
    </row>
    <row r="1619" spans="1:20" ht="45.5" customHeight="1">
      <c r="A1619" s="11" t="s">
        <v>10380</v>
      </c>
      <c r="B1619" s="198" t="s">
        <v>1193</v>
      </c>
      <c r="C1619" s="198" t="s">
        <v>2641</v>
      </c>
      <c r="D1619" s="198" t="s">
        <v>135</v>
      </c>
      <c r="E1619" s="198" t="s">
        <v>2272</v>
      </c>
      <c r="F1619" s="198" t="s">
        <v>2272</v>
      </c>
      <c r="G1619" s="198" t="s">
        <v>2272</v>
      </c>
      <c r="H1619" s="198" t="s">
        <v>2272</v>
      </c>
      <c r="I1619" s="198" t="s">
        <v>2272</v>
      </c>
      <c r="J1619" s="198" t="s">
        <v>2272</v>
      </c>
      <c r="K1619" s="198" t="s">
        <v>2272</v>
      </c>
      <c r="L1619" s="198" t="s">
        <v>2272</v>
      </c>
      <c r="M1619" s="198" t="s">
        <v>2272</v>
      </c>
      <c r="N1619" s="198" t="s">
        <v>2272</v>
      </c>
      <c r="O1619" s="198" t="s">
        <v>2272</v>
      </c>
      <c r="P1619" s="198" t="s">
        <v>2272</v>
      </c>
      <c r="Q1619" s="198" t="s">
        <v>2272</v>
      </c>
      <c r="R1619" s="21">
        <f>100-3.2</f>
        <v>96.8</v>
      </c>
      <c r="S1619" s="198" t="s">
        <v>2272</v>
      </c>
      <c r="T1619" s="198" t="s">
        <v>10382</v>
      </c>
    </row>
    <row r="1620" spans="1:20" ht="45.5" customHeight="1">
      <c r="A1620" s="11" t="s">
        <v>10381</v>
      </c>
      <c r="B1620" s="198" t="s">
        <v>1193</v>
      </c>
      <c r="C1620" s="198" t="s">
        <v>2641</v>
      </c>
      <c r="D1620" s="198" t="s">
        <v>135</v>
      </c>
      <c r="E1620" s="198" t="s">
        <v>2272</v>
      </c>
      <c r="F1620" s="198" t="s">
        <v>2272</v>
      </c>
      <c r="G1620" s="198" t="s">
        <v>2272</v>
      </c>
      <c r="H1620" s="198" t="s">
        <v>2272</v>
      </c>
      <c r="I1620" s="198" t="s">
        <v>2272</v>
      </c>
      <c r="J1620" s="198" t="s">
        <v>2272</v>
      </c>
      <c r="K1620" s="198" t="s">
        <v>2272</v>
      </c>
      <c r="L1620" s="198" t="s">
        <v>2272</v>
      </c>
      <c r="M1620" s="198" t="s">
        <v>2272</v>
      </c>
      <c r="N1620" s="198" t="s">
        <v>2272</v>
      </c>
      <c r="O1620" s="198" t="s">
        <v>2272</v>
      </c>
      <c r="P1620" s="198" t="s">
        <v>2272</v>
      </c>
      <c r="Q1620" s="198" t="s">
        <v>2272</v>
      </c>
      <c r="R1620" s="21">
        <f>100-0.2</f>
        <v>99.8</v>
      </c>
      <c r="S1620" s="198" t="s">
        <v>2272</v>
      </c>
      <c r="T1620" s="198" t="s">
        <v>10382</v>
      </c>
    </row>
    <row r="1621" spans="1:20" ht="44.5" customHeight="1">
      <c r="A1621" s="11" t="s">
        <v>10406</v>
      </c>
      <c r="B1621" s="198" t="s">
        <v>1193</v>
      </c>
      <c r="C1621" s="198" t="s">
        <v>2641</v>
      </c>
      <c r="D1621" s="198" t="s">
        <v>135</v>
      </c>
      <c r="E1621" s="198" t="s">
        <v>2272</v>
      </c>
      <c r="F1621" s="198" t="s">
        <v>2272</v>
      </c>
      <c r="G1621" s="198" t="s">
        <v>2272</v>
      </c>
      <c r="H1621" s="198" t="s">
        <v>2272</v>
      </c>
      <c r="I1621" s="198" t="s">
        <v>2272</v>
      </c>
      <c r="J1621" s="198" t="s">
        <v>2272</v>
      </c>
      <c r="K1621" s="198" t="s">
        <v>2272</v>
      </c>
      <c r="L1621" s="198" t="s">
        <v>2272</v>
      </c>
      <c r="M1621" s="198" t="s">
        <v>2272</v>
      </c>
      <c r="N1621" s="198" t="s">
        <v>2272</v>
      </c>
      <c r="O1621" s="198" t="s">
        <v>2272</v>
      </c>
      <c r="P1621" s="198" t="s">
        <v>2272</v>
      </c>
      <c r="Q1621" s="198" t="s">
        <v>2272</v>
      </c>
      <c r="R1621" s="21">
        <v>100</v>
      </c>
      <c r="S1621" s="198" t="s">
        <v>2272</v>
      </c>
      <c r="T1621" s="198"/>
    </row>
    <row r="1622" spans="1:20" ht="53.5" customHeight="1">
      <c r="A1622" s="198" t="s">
        <v>10425</v>
      </c>
      <c r="B1622" s="198" t="s">
        <v>2272</v>
      </c>
      <c r="C1622" s="198" t="s">
        <v>11</v>
      </c>
      <c r="D1622" s="4" t="s">
        <v>3849</v>
      </c>
      <c r="E1622" s="198" t="s">
        <v>2272</v>
      </c>
      <c r="F1622" s="198" t="s">
        <v>2272</v>
      </c>
      <c r="G1622" s="198" t="s">
        <v>2272</v>
      </c>
      <c r="H1622" s="198">
        <f>3.45/I1622</f>
        <v>0.92</v>
      </c>
      <c r="I1622" s="198">
        <v>3.75</v>
      </c>
      <c r="J1622" s="198" t="s">
        <v>2272</v>
      </c>
      <c r="K1622" s="198" t="s">
        <v>2272</v>
      </c>
      <c r="L1622" s="198" t="s">
        <v>2272</v>
      </c>
      <c r="M1622" s="198" t="s">
        <v>2272</v>
      </c>
      <c r="N1622" s="198" t="s">
        <v>2272</v>
      </c>
      <c r="O1622" s="198" t="s">
        <v>2272</v>
      </c>
      <c r="P1622" s="198" t="s">
        <v>2272</v>
      </c>
      <c r="Q1622" s="198" t="s">
        <v>2272</v>
      </c>
      <c r="R1622" s="198" t="s">
        <v>2272</v>
      </c>
      <c r="S1622" s="198" t="s">
        <v>2272</v>
      </c>
      <c r="T1622" s="198"/>
    </row>
    <row r="1623" spans="1:20" ht="53.5" customHeight="1">
      <c r="A1623" s="198" t="s">
        <v>10428</v>
      </c>
      <c r="B1623" s="198" t="s">
        <v>2272</v>
      </c>
      <c r="C1623" s="198" t="s">
        <v>2640</v>
      </c>
      <c r="D1623" s="198" t="s">
        <v>135</v>
      </c>
      <c r="E1623" s="198" t="s">
        <v>2272</v>
      </c>
      <c r="F1623" s="198" t="s">
        <v>2272</v>
      </c>
      <c r="G1623" s="198" t="s">
        <v>2272</v>
      </c>
      <c r="H1623" s="198" t="s">
        <v>2272</v>
      </c>
      <c r="I1623" s="198" t="s">
        <v>2272</v>
      </c>
      <c r="J1623" s="198" t="s">
        <v>2272</v>
      </c>
      <c r="K1623" s="198" t="s">
        <v>2272</v>
      </c>
      <c r="L1623" s="198" t="s">
        <v>2272</v>
      </c>
      <c r="M1623" s="198" t="s">
        <v>2272</v>
      </c>
      <c r="N1623" s="198" t="s">
        <v>2272</v>
      </c>
      <c r="O1623" s="198" t="s">
        <v>2272</v>
      </c>
      <c r="P1623" s="198" t="s">
        <v>2272</v>
      </c>
      <c r="Q1623" s="198" t="s">
        <v>2272</v>
      </c>
      <c r="R1623" s="198" t="s">
        <v>2272</v>
      </c>
      <c r="S1623" s="198" t="s">
        <v>2272</v>
      </c>
      <c r="T1623" s="198"/>
    </row>
    <row r="1624" spans="1:20" ht="53.5" customHeight="1">
      <c r="A1624" s="11" t="s">
        <v>10430</v>
      </c>
      <c r="B1624" s="198" t="s">
        <v>2272</v>
      </c>
      <c r="C1624" s="198" t="s">
        <v>2640</v>
      </c>
      <c r="D1624" s="198" t="s">
        <v>135</v>
      </c>
      <c r="E1624" s="198" t="s">
        <v>2272</v>
      </c>
      <c r="F1624" s="198" t="s">
        <v>2272</v>
      </c>
      <c r="G1624" s="198" t="s">
        <v>2272</v>
      </c>
      <c r="H1624" s="198" t="s">
        <v>2272</v>
      </c>
      <c r="I1624" s="198" t="s">
        <v>2272</v>
      </c>
      <c r="J1624" s="198" t="s">
        <v>2272</v>
      </c>
      <c r="K1624" s="198" t="s">
        <v>2272</v>
      </c>
      <c r="L1624" s="198" t="s">
        <v>2272</v>
      </c>
      <c r="M1624" s="198" t="s">
        <v>2272</v>
      </c>
      <c r="N1624" s="198" t="s">
        <v>2272</v>
      </c>
      <c r="O1624" s="198" t="s">
        <v>2272</v>
      </c>
      <c r="P1624" s="198" t="s">
        <v>2272</v>
      </c>
      <c r="Q1624" s="198" t="s">
        <v>2272</v>
      </c>
      <c r="R1624" s="198" t="s">
        <v>2272</v>
      </c>
      <c r="S1624" s="198" t="s">
        <v>2272</v>
      </c>
      <c r="T1624" s="198"/>
    </row>
    <row r="1625" spans="1:20" ht="53.5" customHeight="1">
      <c r="A1625" s="11" t="s">
        <v>10431</v>
      </c>
      <c r="B1625" s="198" t="s">
        <v>2272</v>
      </c>
      <c r="C1625" s="198" t="s">
        <v>2640</v>
      </c>
      <c r="D1625" s="198" t="s">
        <v>135</v>
      </c>
      <c r="E1625" s="198" t="s">
        <v>2272</v>
      </c>
      <c r="F1625" s="198" t="s">
        <v>2272</v>
      </c>
      <c r="G1625" s="198" t="s">
        <v>2272</v>
      </c>
      <c r="H1625" s="198" t="s">
        <v>2272</v>
      </c>
      <c r="I1625" s="198" t="s">
        <v>2272</v>
      </c>
      <c r="J1625" s="198" t="s">
        <v>2272</v>
      </c>
      <c r="K1625" s="198" t="s">
        <v>2272</v>
      </c>
      <c r="L1625" s="198" t="s">
        <v>2272</v>
      </c>
      <c r="M1625" s="198" t="s">
        <v>2272</v>
      </c>
      <c r="N1625" s="198" t="s">
        <v>2272</v>
      </c>
      <c r="O1625" s="198" t="s">
        <v>2272</v>
      </c>
      <c r="P1625" s="198" t="s">
        <v>2272</v>
      </c>
      <c r="Q1625" s="198" t="s">
        <v>2272</v>
      </c>
      <c r="R1625" s="198" t="s">
        <v>2272</v>
      </c>
      <c r="S1625" s="198" t="s">
        <v>2272</v>
      </c>
      <c r="T1625" s="198"/>
    </row>
    <row r="1626" spans="1:20" ht="46" customHeight="1">
      <c r="A1626" s="11" t="s">
        <v>10441</v>
      </c>
      <c r="B1626" s="198" t="s">
        <v>31</v>
      </c>
      <c r="C1626" s="198" t="s">
        <v>11</v>
      </c>
      <c r="D1626" s="198" t="s">
        <v>135</v>
      </c>
      <c r="E1626" s="198" t="s">
        <v>128</v>
      </c>
      <c r="F1626" s="198" t="s">
        <v>44</v>
      </c>
      <c r="G1626" s="198" t="s">
        <v>114</v>
      </c>
      <c r="H1626" s="198" t="s">
        <v>2272</v>
      </c>
      <c r="I1626" s="198" t="s">
        <v>2272</v>
      </c>
      <c r="J1626" s="198" t="s">
        <v>2272</v>
      </c>
      <c r="K1626" s="198" t="s">
        <v>2272</v>
      </c>
      <c r="L1626" s="198" t="s">
        <v>2272</v>
      </c>
      <c r="M1626" s="198" t="s">
        <v>2272</v>
      </c>
      <c r="N1626" s="198" t="s">
        <v>2272</v>
      </c>
      <c r="O1626" s="198" t="s">
        <v>2272</v>
      </c>
      <c r="P1626" s="198" t="s">
        <v>2272</v>
      </c>
      <c r="Q1626" s="198" t="s">
        <v>2272</v>
      </c>
      <c r="R1626" s="198" t="s">
        <v>2272</v>
      </c>
      <c r="S1626" s="198" t="s">
        <v>2272</v>
      </c>
      <c r="T1626" s="198"/>
    </row>
    <row r="1627" spans="1:20" ht="46" customHeight="1">
      <c r="A1627" s="198" t="s">
        <v>10452</v>
      </c>
      <c r="B1627" s="198" t="s">
        <v>1193</v>
      </c>
      <c r="C1627" s="198" t="s">
        <v>2640</v>
      </c>
      <c r="D1627" s="198" t="s">
        <v>2272</v>
      </c>
      <c r="E1627" s="198" t="s">
        <v>2272</v>
      </c>
      <c r="F1627" s="198" t="s">
        <v>2272</v>
      </c>
      <c r="G1627" s="198" t="s">
        <v>2272</v>
      </c>
      <c r="H1627" s="198" t="s">
        <v>2272</v>
      </c>
      <c r="I1627" s="198" t="s">
        <v>2272</v>
      </c>
      <c r="J1627" s="198" t="s">
        <v>2272</v>
      </c>
      <c r="K1627" s="198" t="s">
        <v>2272</v>
      </c>
      <c r="L1627" s="198" t="s">
        <v>2272</v>
      </c>
      <c r="M1627" s="198" t="s">
        <v>2272</v>
      </c>
      <c r="N1627" s="198" t="s">
        <v>2272</v>
      </c>
      <c r="O1627" s="198" t="s">
        <v>2272</v>
      </c>
      <c r="P1627" s="198" t="s">
        <v>2272</v>
      </c>
      <c r="Q1627" s="198" t="s">
        <v>2272</v>
      </c>
      <c r="R1627" s="198" t="s">
        <v>2272</v>
      </c>
      <c r="S1627" s="198" t="s">
        <v>2272</v>
      </c>
      <c r="T1627" s="198"/>
    </row>
    <row r="1628" spans="1:20" ht="46" customHeight="1">
      <c r="A1628" s="198" t="s">
        <v>10455</v>
      </c>
      <c r="B1628" s="198" t="s">
        <v>69</v>
      </c>
      <c r="C1628" s="198" t="s">
        <v>2640</v>
      </c>
      <c r="D1628" s="198" t="s">
        <v>82</v>
      </c>
      <c r="E1628" s="198" t="s">
        <v>2642</v>
      </c>
      <c r="F1628" s="198" t="s">
        <v>2644</v>
      </c>
      <c r="G1628" s="198" t="s">
        <v>2272</v>
      </c>
      <c r="H1628" s="198" t="s">
        <v>2272</v>
      </c>
      <c r="I1628" s="198" t="s">
        <v>2272</v>
      </c>
      <c r="J1628" s="198" t="s">
        <v>2272</v>
      </c>
      <c r="K1628" s="198" t="s">
        <v>2272</v>
      </c>
      <c r="L1628" s="198" t="s">
        <v>2272</v>
      </c>
      <c r="M1628" s="198" t="s">
        <v>2272</v>
      </c>
      <c r="N1628" s="198" t="s">
        <v>2272</v>
      </c>
      <c r="O1628" s="198" t="s">
        <v>2272</v>
      </c>
      <c r="P1628" s="198" t="s">
        <v>2272</v>
      </c>
      <c r="Q1628" s="198" t="s">
        <v>2272</v>
      </c>
      <c r="R1628" s="198" t="s">
        <v>2272</v>
      </c>
      <c r="S1628" s="198" t="s">
        <v>2272</v>
      </c>
      <c r="T1628" s="4" t="s">
        <v>10459</v>
      </c>
    </row>
    <row r="1629" spans="1:20" ht="46" customHeight="1">
      <c r="A1629" s="198" t="s">
        <v>10456</v>
      </c>
      <c r="B1629" s="198" t="s">
        <v>2272</v>
      </c>
      <c r="C1629" s="198" t="s">
        <v>2640</v>
      </c>
      <c r="D1629" s="198" t="s">
        <v>82</v>
      </c>
      <c r="E1629" s="198" t="s">
        <v>2642</v>
      </c>
      <c r="F1629" s="198" t="s">
        <v>2644</v>
      </c>
      <c r="G1629" s="198" t="s">
        <v>2272</v>
      </c>
      <c r="H1629" s="198" t="s">
        <v>2272</v>
      </c>
      <c r="I1629" s="198" t="s">
        <v>2272</v>
      </c>
      <c r="J1629" s="198" t="s">
        <v>2272</v>
      </c>
      <c r="K1629" s="198" t="s">
        <v>2272</v>
      </c>
      <c r="L1629" s="198" t="s">
        <v>2272</v>
      </c>
      <c r="M1629" s="198" t="s">
        <v>2272</v>
      </c>
      <c r="N1629" s="198" t="s">
        <v>2272</v>
      </c>
      <c r="O1629" s="198" t="s">
        <v>2272</v>
      </c>
      <c r="P1629" s="198" t="s">
        <v>2272</v>
      </c>
      <c r="Q1629" s="198" t="s">
        <v>2272</v>
      </c>
      <c r="R1629" s="198" t="s">
        <v>2272</v>
      </c>
      <c r="S1629" s="198" t="s">
        <v>2272</v>
      </c>
      <c r="T1629" s="4" t="s">
        <v>10459</v>
      </c>
    </row>
    <row r="1630" spans="1:20" ht="46" customHeight="1">
      <c r="A1630" s="198" t="s">
        <v>10457</v>
      </c>
      <c r="B1630" s="198" t="s">
        <v>2272</v>
      </c>
      <c r="C1630" s="198" t="s">
        <v>2640</v>
      </c>
      <c r="D1630" s="198" t="s">
        <v>82</v>
      </c>
      <c r="E1630" s="198" t="s">
        <v>2642</v>
      </c>
      <c r="F1630" s="198" t="s">
        <v>2644</v>
      </c>
      <c r="G1630" s="198" t="s">
        <v>2272</v>
      </c>
      <c r="H1630" s="198" t="s">
        <v>2272</v>
      </c>
      <c r="I1630" s="198" t="s">
        <v>2272</v>
      </c>
      <c r="J1630" s="198" t="s">
        <v>2272</v>
      </c>
      <c r="K1630" s="198" t="s">
        <v>2272</v>
      </c>
      <c r="L1630" s="198" t="s">
        <v>2272</v>
      </c>
      <c r="M1630" s="198" t="s">
        <v>2272</v>
      </c>
      <c r="N1630" s="198" t="s">
        <v>2272</v>
      </c>
      <c r="O1630" s="198" t="s">
        <v>2272</v>
      </c>
      <c r="P1630" s="198" t="s">
        <v>2272</v>
      </c>
      <c r="Q1630" s="198" t="s">
        <v>2272</v>
      </c>
      <c r="R1630" s="198" t="s">
        <v>2272</v>
      </c>
      <c r="S1630" s="198" t="s">
        <v>2272</v>
      </c>
      <c r="T1630" s="4" t="s">
        <v>10459</v>
      </c>
    </row>
    <row r="1631" spans="1:20" ht="39" customHeight="1">
      <c r="A1631" s="11" t="s">
        <v>10474</v>
      </c>
      <c r="B1631" s="198" t="s">
        <v>1193</v>
      </c>
      <c r="C1631" s="198" t="s">
        <v>2640</v>
      </c>
      <c r="D1631" s="198" t="s">
        <v>135</v>
      </c>
      <c r="E1631" s="198" t="s">
        <v>2647</v>
      </c>
      <c r="F1631" s="198" t="s">
        <v>2272</v>
      </c>
      <c r="G1631" s="198" t="s">
        <v>2272</v>
      </c>
      <c r="H1631" s="198" t="s">
        <v>2272</v>
      </c>
      <c r="I1631" s="198" t="s">
        <v>2272</v>
      </c>
      <c r="J1631" s="198" t="s">
        <v>2272</v>
      </c>
      <c r="K1631" s="198" t="s">
        <v>2272</v>
      </c>
      <c r="L1631" s="198" t="s">
        <v>2272</v>
      </c>
      <c r="M1631" s="198" t="s">
        <v>2272</v>
      </c>
      <c r="N1631" s="198" t="s">
        <v>2272</v>
      </c>
      <c r="O1631" s="198" t="s">
        <v>2272</v>
      </c>
      <c r="P1631" s="198" t="s">
        <v>2272</v>
      </c>
      <c r="Q1631" s="198" t="s">
        <v>2272</v>
      </c>
      <c r="R1631" s="198" t="s">
        <v>2272</v>
      </c>
      <c r="S1631" s="198" t="s">
        <v>2272</v>
      </c>
      <c r="T1631" s="198"/>
    </row>
    <row r="1632" spans="1:20" ht="39" customHeight="1">
      <c r="A1632" s="11" t="s">
        <v>10477</v>
      </c>
      <c r="B1632" s="198" t="s">
        <v>68</v>
      </c>
      <c r="C1632" s="198" t="s">
        <v>393</v>
      </c>
      <c r="D1632" s="198" t="s">
        <v>44</v>
      </c>
      <c r="E1632" s="198" t="s">
        <v>2272</v>
      </c>
      <c r="F1632" s="198" t="s">
        <v>2272</v>
      </c>
      <c r="G1632" s="198" t="s">
        <v>2272</v>
      </c>
      <c r="H1632" s="198" t="s">
        <v>2272</v>
      </c>
      <c r="I1632" s="198" t="s">
        <v>2272</v>
      </c>
      <c r="J1632" s="198" t="s">
        <v>2272</v>
      </c>
      <c r="K1632" s="198" t="s">
        <v>2272</v>
      </c>
      <c r="L1632" s="198" t="s">
        <v>2272</v>
      </c>
      <c r="M1632" s="198" t="s">
        <v>2272</v>
      </c>
      <c r="N1632" s="198" t="s">
        <v>2272</v>
      </c>
      <c r="O1632" s="198" t="s">
        <v>2272</v>
      </c>
      <c r="P1632" s="198" t="s">
        <v>2272</v>
      </c>
      <c r="Q1632" s="198" t="s">
        <v>2272</v>
      </c>
      <c r="R1632" s="198" t="s">
        <v>2272</v>
      </c>
      <c r="S1632" s="198" t="s">
        <v>2272</v>
      </c>
      <c r="T1632" s="198"/>
    </row>
    <row r="1633" spans="1:20" ht="41.5" customHeight="1">
      <c r="A1633" s="11" t="s">
        <v>10483</v>
      </c>
      <c r="B1633" s="198" t="s">
        <v>1193</v>
      </c>
      <c r="C1633" s="198" t="s">
        <v>2640</v>
      </c>
      <c r="D1633" s="198" t="s">
        <v>135</v>
      </c>
      <c r="E1633" s="198" t="s">
        <v>2272</v>
      </c>
      <c r="F1633" s="198" t="s">
        <v>2272</v>
      </c>
      <c r="G1633" s="198" t="s">
        <v>2272</v>
      </c>
      <c r="H1633" s="198" t="s">
        <v>2272</v>
      </c>
      <c r="I1633" s="198" t="s">
        <v>2272</v>
      </c>
      <c r="J1633" s="198" t="s">
        <v>2272</v>
      </c>
      <c r="K1633" s="198" t="s">
        <v>2272</v>
      </c>
      <c r="L1633" s="198" t="s">
        <v>2272</v>
      </c>
      <c r="M1633" s="198" t="s">
        <v>2272</v>
      </c>
      <c r="N1633" s="198" t="s">
        <v>2272</v>
      </c>
      <c r="O1633" s="198" t="s">
        <v>2272</v>
      </c>
      <c r="P1633" s="198" t="s">
        <v>2272</v>
      </c>
      <c r="Q1633" s="198" t="s">
        <v>2272</v>
      </c>
      <c r="R1633" s="198" t="s">
        <v>2272</v>
      </c>
      <c r="S1633" s="198" t="s">
        <v>2272</v>
      </c>
      <c r="T1633" s="198" t="s">
        <v>10486</v>
      </c>
    </row>
    <row r="1634" spans="1:20" ht="41.5" customHeight="1">
      <c r="A1634" s="11" t="s">
        <v>10485</v>
      </c>
      <c r="B1634" s="198" t="s">
        <v>2254</v>
      </c>
      <c r="C1634" s="198" t="s">
        <v>11</v>
      </c>
      <c r="D1634" s="198" t="s">
        <v>44</v>
      </c>
      <c r="E1634" s="198" t="s">
        <v>135</v>
      </c>
      <c r="F1634" s="198" t="s">
        <v>2272</v>
      </c>
      <c r="G1634" s="198" t="s">
        <v>2272</v>
      </c>
      <c r="H1634" s="198" t="s">
        <v>2272</v>
      </c>
      <c r="I1634" s="198" t="s">
        <v>2272</v>
      </c>
      <c r="J1634" s="198" t="s">
        <v>2272</v>
      </c>
      <c r="K1634" s="198" t="s">
        <v>2272</v>
      </c>
      <c r="L1634" s="198" t="s">
        <v>2272</v>
      </c>
      <c r="M1634" s="198" t="s">
        <v>2272</v>
      </c>
      <c r="N1634" s="198" t="s">
        <v>2272</v>
      </c>
      <c r="O1634" s="198" t="s">
        <v>2272</v>
      </c>
      <c r="P1634" s="198" t="s">
        <v>2272</v>
      </c>
      <c r="Q1634" s="198" t="s">
        <v>2272</v>
      </c>
      <c r="R1634" s="198" t="s">
        <v>2272</v>
      </c>
      <c r="S1634" s="198" t="s">
        <v>2272</v>
      </c>
      <c r="T1634" s="198" t="s">
        <v>10486</v>
      </c>
    </row>
    <row r="1635" spans="1:20" ht="40" customHeight="1">
      <c r="A1635" s="11" t="s">
        <v>10489</v>
      </c>
      <c r="B1635" s="198" t="s">
        <v>69</v>
      </c>
      <c r="C1635" s="198" t="s">
        <v>11</v>
      </c>
      <c r="D1635" s="198" t="s">
        <v>44</v>
      </c>
      <c r="E1635" s="4" t="s">
        <v>395</v>
      </c>
      <c r="F1635" s="4" t="s">
        <v>2648</v>
      </c>
      <c r="G1635" s="198" t="s">
        <v>2272</v>
      </c>
      <c r="H1635" s="198" t="s">
        <v>2272</v>
      </c>
      <c r="I1635" s="198" t="s">
        <v>2272</v>
      </c>
      <c r="J1635" s="198" t="s">
        <v>2272</v>
      </c>
      <c r="K1635" s="198" t="s">
        <v>2272</v>
      </c>
      <c r="L1635" s="198" t="s">
        <v>2272</v>
      </c>
      <c r="M1635" s="198" t="s">
        <v>2272</v>
      </c>
      <c r="N1635" s="198" t="s">
        <v>2272</v>
      </c>
      <c r="O1635" s="198" t="s">
        <v>2272</v>
      </c>
      <c r="P1635" s="198" t="s">
        <v>2272</v>
      </c>
      <c r="Q1635" s="198" t="s">
        <v>2272</v>
      </c>
      <c r="R1635" s="198" t="s">
        <v>2272</v>
      </c>
      <c r="S1635" s="198" t="s">
        <v>2272</v>
      </c>
      <c r="T1635" s="198"/>
    </row>
    <row r="1636" spans="1:20" ht="45.5" customHeight="1">
      <c r="A1636" s="11" t="s">
        <v>10510</v>
      </c>
      <c r="B1636" s="198" t="s">
        <v>69</v>
      </c>
      <c r="C1636" s="198" t="s">
        <v>2640</v>
      </c>
      <c r="D1636" s="198" t="s">
        <v>2642</v>
      </c>
      <c r="E1636" s="198" t="s">
        <v>2272</v>
      </c>
      <c r="F1636" s="198" t="s">
        <v>2272</v>
      </c>
      <c r="G1636" s="198" t="s">
        <v>2272</v>
      </c>
      <c r="H1636" s="198" t="s">
        <v>2272</v>
      </c>
      <c r="I1636" s="198" t="s">
        <v>2272</v>
      </c>
      <c r="J1636" s="198" t="s">
        <v>2272</v>
      </c>
      <c r="K1636" s="198" t="s">
        <v>2272</v>
      </c>
      <c r="L1636" s="198" t="s">
        <v>2272</v>
      </c>
      <c r="M1636" s="198" t="s">
        <v>2272</v>
      </c>
      <c r="N1636" s="198" t="s">
        <v>2272</v>
      </c>
      <c r="O1636" s="198" t="s">
        <v>2272</v>
      </c>
      <c r="P1636" s="198" t="s">
        <v>2272</v>
      </c>
      <c r="Q1636" s="198" t="s">
        <v>2272</v>
      </c>
      <c r="R1636" s="198" t="s">
        <v>2272</v>
      </c>
      <c r="S1636" s="198" t="s">
        <v>2272</v>
      </c>
      <c r="T1636" s="198"/>
    </row>
    <row r="1637" spans="1:20" ht="43.5" customHeight="1">
      <c r="A1637" s="11" t="s">
        <v>10516</v>
      </c>
      <c r="B1637" s="198" t="s">
        <v>69</v>
      </c>
      <c r="C1637" s="198" t="s">
        <v>2641</v>
      </c>
      <c r="D1637" s="198" t="s">
        <v>135</v>
      </c>
      <c r="E1637" s="198" t="s">
        <v>2647</v>
      </c>
      <c r="F1637" s="198" t="s">
        <v>2272</v>
      </c>
      <c r="G1637" s="198" t="s">
        <v>2272</v>
      </c>
      <c r="H1637" s="198" t="s">
        <v>2272</v>
      </c>
      <c r="I1637" s="198" t="s">
        <v>2272</v>
      </c>
      <c r="J1637" s="198" t="s">
        <v>2272</v>
      </c>
      <c r="K1637" s="198" t="s">
        <v>2272</v>
      </c>
      <c r="L1637" s="198" t="s">
        <v>2272</v>
      </c>
      <c r="M1637" s="198" t="s">
        <v>2272</v>
      </c>
      <c r="N1637" s="198" t="s">
        <v>2272</v>
      </c>
      <c r="O1637" s="198" t="s">
        <v>2272</v>
      </c>
      <c r="P1637" s="198" t="s">
        <v>2272</v>
      </c>
      <c r="Q1637" s="198" t="s">
        <v>2272</v>
      </c>
      <c r="R1637" s="21">
        <v>100</v>
      </c>
      <c r="S1637" s="198" t="s">
        <v>2272</v>
      </c>
      <c r="T1637" s="198"/>
    </row>
    <row r="1638" spans="1:20" ht="45.5" customHeight="1">
      <c r="A1638" s="11" t="s">
        <v>10523</v>
      </c>
      <c r="B1638" s="198" t="s">
        <v>69</v>
      </c>
      <c r="C1638" s="198" t="s">
        <v>2640</v>
      </c>
      <c r="D1638" s="198" t="s">
        <v>44</v>
      </c>
      <c r="E1638" s="198" t="s">
        <v>82</v>
      </c>
      <c r="F1638" s="198" t="s">
        <v>2644</v>
      </c>
      <c r="G1638" s="198" t="s">
        <v>5001</v>
      </c>
      <c r="H1638" s="198" t="s">
        <v>2272</v>
      </c>
      <c r="I1638" s="198">
        <v>200</v>
      </c>
      <c r="J1638" s="198" t="s">
        <v>2272</v>
      </c>
      <c r="K1638" s="198" t="s">
        <v>2272</v>
      </c>
      <c r="L1638" s="198" t="s">
        <v>2272</v>
      </c>
      <c r="M1638" s="198" t="s">
        <v>2272</v>
      </c>
      <c r="N1638" s="198" t="s">
        <v>2272</v>
      </c>
      <c r="O1638" s="198" t="s">
        <v>2272</v>
      </c>
      <c r="P1638" s="198" t="s">
        <v>2272</v>
      </c>
      <c r="Q1638" s="198" t="s">
        <v>2272</v>
      </c>
      <c r="R1638" s="198" t="s">
        <v>2272</v>
      </c>
      <c r="S1638" s="198" t="s">
        <v>2272</v>
      </c>
      <c r="T1638" s="4" t="s">
        <v>10530</v>
      </c>
    </row>
    <row r="1639" spans="1:20" ht="43.5" customHeight="1">
      <c r="A1639" s="11" t="s">
        <v>10524</v>
      </c>
      <c r="B1639" s="198" t="s">
        <v>69</v>
      </c>
      <c r="C1639" s="198" t="s">
        <v>2640</v>
      </c>
      <c r="D1639" s="198" t="s">
        <v>82</v>
      </c>
      <c r="E1639" s="198" t="s">
        <v>2272</v>
      </c>
      <c r="F1639" s="198" t="s">
        <v>2272</v>
      </c>
      <c r="G1639" s="198" t="s">
        <v>2272</v>
      </c>
      <c r="H1639" s="198" t="s">
        <v>2272</v>
      </c>
      <c r="I1639" s="198" t="s">
        <v>2272</v>
      </c>
      <c r="J1639" s="198" t="s">
        <v>2272</v>
      </c>
      <c r="K1639" s="198" t="s">
        <v>2272</v>
      </c>
      <c r="L1639" s="198" t="s">
        <v>2272</v>
      </c>
      <c r="M1639" s="198" t="s">
        <v>2272</v>
      </c>
      <c r="N1639" s="198" t="s">
        <v>2272</v>
      </c>
      <c r="O1639" s="198" t="s">
        <v>2272</v>
      </c>
      <c r="P1639" s="198" t="s">
        <v>2272</v>
      </c>
      <c r="Q1639" s="198" t="s">
        <v>2272</v>
      </c>
      <c r="R1639" s="198" t="s">
        <v>2272</v>
      </c>
      <c r="S1639" s="198" t="s">
        <v>2272</v>
      </c>
      <c r="T1639" s="198"/>
    </row>
    <row r="1640" spans="1:20" s="197" customFormat="1" ht="43.5" customHeight="1">
      <c r="A1640" s="11" t="s">
        <v>10554</v>
      </c>
      <c r="B1640" s="198" t="s">
        <v>2272</v>
      </c>
      <c r="C1640" s="198" t="s">
        <v>2272</v>
      </c>
      <c r="D1640" s="198" t="s">
        <v>2272</v>
      </c>
      <c r="E1640" s="198" t="s">
        <v>2272</v>
      </c>
      <c r="F1640" s="198" t="s">
        <v>2272</v>
      </c>
      <c r="G1640" s="198" t="s">
        <v>2272</v>
      </c>
      <c r="H1640" s="198" t="s">
        <v>2272</v>
      </c>
      <c r="I1640" s="198" t="s">
        <v>2272</v>
      </c>
      <c r="J1640" s="198" t="s">
        <v>2272</v>
      </c>
      <c r="K1640" s="198" t="s">
        <v>2272</v>
      </c>
      <c r="L1640" s="198" t="s">
        <v>2272</v>
      </c>
      <c r="M1640" s="198" t="s">
        <v>2272</v>
      </c>
      <c r="N1640" s="198" t="s">
        <v>2272</v>
      </c>
      <c r="O1640" s="198" t="s">
        <v>2272</v>
      </c>
      <c r="P1640" s="198" t="s">
        <v>2272</v>
      </c>
      <c r="Q1640" s="198" t="s">
        <v>2272</v>
      </c>
      <c r="R1640" s="198" t="s">
        <v>2272</v>
      </c>
      <c r="S1640" s="198" t="s">
        <v>2272</v>
      </c>
      <c r="T1640" s="198"/>
    </row>
    <row r="1641" spans="1:20" s="197" customFormat="1" ht="43.5" customHeight="1">
      <c r="A1641" s="11" t="s">
        <v>10651</v>
      </c>
      <c r="B1641" s="198" t="s">
        <v>2272</v>
      </c>
      <c r="C1641" s="198" t="s">
        <v>2272</v>
      </c>
      <c r="D1641" s="198" t="s">
        <v>2272</v>
      </c>
      <c r="E1641" s="198" t="s">
        <v>2272</v>
      </c>
      <c r="F1641" s="198" t="s">
        <v>2272</v>
      </c>
      <c r="G1641" s="198" t="s">
        <v>2272</v>
      </c>
      <c r="H1641" s="198" t="s">
        <v>2272</v>
      </c>
      <c r="I1641" s="198" t="s">
        <v>2272</v>
      </c>
      <c r="J1641" s="198" t="s">
        <v>2272</v>
      </c>
      <c r="K1641" s="198" t="s">
        <v>2272</v>
      </c>
      <c r="L1641" s="198" t="s">
        <v>2272</v>
      </c>
      <c r="M1641" s="198" t="s">
        <v>2272</v>
      </c>
      <c r="N1641" s="198" t="s">
        <v>2272</v>
      </c>
      <c r="O1641" s="198" t="s">
        <v>2272</v>
      </c>
      <c r="P1641" s="198" t="s">
        <v>2272</v>
      </c>
      <c r="Q1641" s="198" t="s">
        <v>2272</v>
      </c>
      <c r="R1641" s="198" t="s">
        <v>2272</v>
      </c>
      <c r="S1641" s="198" t="s">
        <v>2272</v>
      </c>
      <c r="T1641" s="198"/>
    </row>
    <row r="1642" spans="1:20" s="197" customFormat="1" ht="43.5" customHeight="1">
      <c r="A1642" s="11" t="s">
        <v>10652</v>
      </c>
      <c r="B1642" s="198" t="s">
        <v>2272</v>
      </c>
      <c r="C1642" s="198" t="s">
        <v>2272</v>
      </c>
      <c r="D1642" s="198" t="s">
        <v>2272</v>
      </c>
      <c r="E1642" s="198" t="s">
        <v>2272</v>
      </c>
      <c r="F1642" s="198" t="s">
        <v>2272</v>
      </c>
      <c r="G1642" s="198" t="s">
        <v>2272</v>
      </c>
      <c r="H1642" s="198" t="s">
        <v>2272</v>
      </c>
      <c r="I1642" s="198" t="s">
        <v>2272</v>
      </c>
      <c r="J1642" s="198" t="s">
        <v>2272</v>
      </c>
      <c r="K1642" s="198" t="s">
        <v>2272</v>
      </c>
      <c r="L1642" s="198" t="s">
        <v>2272</v>
      </c>
      <c r="M1642" s="198" t="s">
        <v>2272</v>
      </c>
      <c r="N1642" s="198" t="s">
        <v>2272</v>
      </c>
      <c r="O1642" s="198" t="s">
        <v>2272</v>
      </c>
      <c r="P1642" s="198" t="s">
        <v>2272</v>
      </c>
      <c r="Q1642" s="198" t="s">
        <v>2272</v>
      </c>
      <c r="R1642" s="198" t="s">
        <v>2272</v>
      </c>
      <c r="S1642" s="198" t="s">
        <v>2272</v>
      </c>
      <c r="T1642" s="198"/>
    </row>
    <row r="1643" spans="1:20" s="197" customFormat="1" ht="43.5" customHeight="1">
      <c r="A1643" s="11" t="s">
        <v>10653</v>
      </c>
      <c r="B1643" s="198" t="s">
        <v>2272</v>
      </c>
      <c r="C1643" s="198" t="s">
        <v>2272</v>
      </c>
      <c r="D1643" s="198" t="s">
        <v>2272</v>
      </c>
      <c r="E1643" s="198" t="s">
        <v>2272</v>
      </c>
      <c r="F1643" s="198" t="s">
        <v>2272</v>
      </c>
      <c r="G1643" s="198" t="s">
        <v>2272</v>
      </c>
      <c r="H1643" s="198" t="s">
        <v>2272</v>
      </c>
      <c r="I1643" s="198" t="s">
        <v>2272</v>
      </c>
      <c r="J1643" s="198" t="s">
        <v>2272</v>
      </c>
      <c r="K1643" s="198" t="s">
        <v>2272</v>
      </c>
      <c r="L1643" s="198" t="s">
        <v>2272</v>
      </c>
      <c r="M1643" s="198" t="s">
        <v>2272</v>
      </c>
      <c r="N1643" s="198" t="s">
        <v>2272</v>
      </c>
      <c r="O1643" s="198" t="s">
        <v>2272</v>
      </c>
      <c r="P1643" s="198" t="s">
        <v>2272</v>
      </c>
      <c r="Q1643" s="198" t="s">
        <v>2272</v>
      </c>
      <c r="R1643" s="198" t="s">
        <v>2272</v>
      </c>
      <c r="S1643" s="198" t="s">
        <v>2272</v>
      </c>
      <c r="T1643" s="198"/>
    </row>
    <row r="1644" spans="1:20" s="197" customFormat="1" ht="43.5" customHeight="1">
      <c r="A1644" s="11" t="s">
        <v>10654</v>
      </c>
      <c r="B1644" s="198" t="s">
        <v>2272</v>
      </c>
      <c r="C1644" s="198" t="s">
        <v>2272</v>
      </c>
      <c r="D1644" s="198" t="s">
        <v>2272</v>
      </c>
      <c r="E1644" s="198" t="s">
        <v>2272</v>
      </c>
      <c r="F1644" s="198" t="s">
        <v>2272</v>
      </c>
      <c r="G1644" s="198" t="s">
        <v>2272</v>
      </c>
      <c r="H1644" s="198" t="s">
        <v>2272</v>
      </c>
      <c r="I1644" s="198" t="s">
        <v>2272</v>
      </c>
      <c r="J1644" s="198" t="s">
        <v>2272</v>
      </c>
      <c r="K1644" s="198" t="s">
        <v>2272</v>
      </c>
      <c r="L1644" s="198" t="s">
        <v>2272</v>
      </c>
      <c r="M1644" s="198" t="s">
        <v>2272</v>
      </c>
      <c r="N1644" s="198" t="s">
        <v>2272</v>
      </c>
      <c r="O1644" s="198" t="s">
        <v>2272</v>
      </c>
      <c r="P1644" s="198" t="s">
        <v>2272</v>
      </c>
      <c r="Q1644" s="198" t="s">
        <v>2272</v>
      </c>
      <c r="R1644" s="198" t="s">
        <v>2272</v>
      </c>
      <c r="S1644" s="198" t="s">
        <v>2272</v>
      </c>
      <c r="T1644" s="198"/>
    </row>
    <row r="1645" spans="1:20" s="197" customFormat="1" ht="43.5" customHeight="1">
      <c r="A1645" s="11" t="s">
        <v>10655</v>
      </c>
      <c r="B1645" s="198" t="s">
        <v>2272</v>
      </c>
      <c r="C1645" s="198" t="s">
        <v>2272</v>
      </c>
      <c r="D1645" s="198" t="s">
        <v>2272</v>
      </c>
      <c r="E1645" s="198" t="s">
        <v>2272</v>
      </c>
      <c r="F1645" s="198" t="s">
        <v>2272</v>
      </c>
      <c r="G1645" s="198" t="s">
        <v>2272</v>
      </c>
      <c r="H1645" s="198" t="s">
        <v>2272</v>
      </c>
      <c r="I1645" s="198" t="s">
        <v>2272</v>
      </c>
      <c r="J1645" s="198" t="s">
        <v>2272</v>
      </c>
      <c r="K1645" s="198" t="s">
        <v>2272</v>
      </c>
      <c r="L1645" s="198" t="s">
        <v>2272</v>
      </c>
      <c r="M1645" s="198" t="s">
        <v>2272</v>
      </c>
      <c r="N1645" s="198" t="s">
        <v>2272</v>
      </c>
      <c r="O1645" s="198" t="s">
        <v>2272</v>
      </c>
      <c r="P1645" s="198" t="s">
        <v>2272</v>
      </c>
      <c r="Q1645" s="198" t="s">
        <v>2272</v>
      </c>
      <c r="R1645" s="198" t="s">
        <v>2272</v>
      </c>
      <c r="S1645" s="198" t="s">
        <v>2272</v>
      </c>
      <c r="T1645" s="198"/>
    </row>
    <row r="1646" spans="1:20" s="197" customFormat="1" ht="43.5" customHeight="1">
      <c r="A1646" s="11" t="s">
        <v>10656</v>
      </c>
      <c r="B1646" s="198" t="s">
        <v>2272</v>
      </c>
      <c r="C1646" s="198" t="s">
        <v>2272</v>
      </c>
      <c r="D1646" s="198" t="s">
        <v>2272</v>
      </c>
      <c r="E1646" s="198" t="s">
        <v>2272</v>
      </c>
      <c r="F1646" s="198" t="s">
        <v>2272</v>
      </c>
      <c r="G1646" s="198" t="s">
        <v>2272</v>
      </c>
      <c r="H1646" s="198" t="s">
        <v>2272</v>
      </c>
      <c r="I1646" s="198" t="s">
        <v>2272</v>
      </c>
      <c r="J1646" s="198" t="s">
        <v>2272</v>
      </c>
      <c r="K1646" s="198" t="s">
        <v>2272</v>
      </c>
      <c r="L1646" s="198" t="s">
        <v>2272</v>
      </c>
      <c r="M1646" s="198" t="s">
        <v>2272</v>
      </c>
      <c r="N1646" s="198" t="s">
        <v>2272</v>
      </c>
      <c r="O1646" s="198" t="s">
        <v>2272</v>
      </c>
      <c r="P1646" s="198" t="s">
        <v>2272</v>
      </c>
      <c r="Q1646" s="198" t="s">
        <v>2272</v>
      </c>
      <c r="R1646" s="198" t="s">
        <v>2272</v>
      </c>
      <c r="S1646" s="198" t="s">
        <v>2272</v>
      </c>
      <c r="T1646" s="198"/>
    </row>
    <row r="1647" spans="1:20" s="197" customFormat="1" ht="43.5" customHeight="1">
      <c r="A1647" s="11" t="s">
        <v>10657</v>
      </c>
      <c r="B1647" s="198" t="s">
        <v>2272</v>
      </c>
      <c r="C1647" s="198" t="s">
        <v>2272</v>
      </c>
      <c r="D1647" s="198" t="s">
        <v>2272</v>
      </c>
      <c r="E1647" s="198" t="s">
        <v>2272</v>
      </c>
      <c r="F1647" s="198" t="s">
        <v>2272</v>
      </c>
      <c r="G1647" s="198" t="s">
        <v>2272</v>
      </c>
      <c r="H1647" s="198" t="s">
        <v>2272</v>
      </c>
      <c r="I1647" s="198" t="s">
        <v>2272</v>
      </c>
      <c r="J1647" s="198" t="s">
        <v>2272</v>
      </c>
      <c r="K1647" s="198" t="s">
        <v>2272</v>
      </c>
      <c r="L1647" s="198" t="s">
        <v>2272</v>
      </c>
      <c r="M1647" s="198" t="s">
        <v>2272</v>
      </c>
      <c r="N1647" s="198" t="s">
        <v>2272</v>
      </c>
      <c r="O1647" s="198" t="s">
        <v>2272</v>
      </c>
      <c r="P1647" s="198" t="s">
        <v>2272</v>
      </c>
      <c r="Q1647" s="198" t="s">
        <v>2272</v>
      </c>
      <c r="R1647" s="198" t="s">
        <v>2272</v>
      </c>
      <c r="S1647" s="198" t="s">
        <v>2272</v>
      </c>
      <c r="T1647" s="198"/>
    </row>
    <row r="1648" spans="1:20" s="197" customFormat="1" ht="43.5" customHeight="1">
      <c r="A1648" s="11" t="s">
        <v>10658</v>
      </c>
      <c r="B1648" s="198" t="s">
        <v>2272</v>
      </c>
      <c r="C1648" s="198" t="s">
        <v>2272</v>
      </c>
      <c r="D1648" s="198" t="s">
        <v>2272</v>
      </c>
      <c r="E1648" s="198" t="s">
        <v>2272</v>
      </c>
      <c r="F1648" s="198" t="s">
        <v>2272</v>
      </c>
      <c r="G1648" s="198" t="s">
        <v>2272</v>
      </c>
      <c r="H1648" s="198" t="s">
        <v>2272</v>
      </c>
      <c r="I1648" s="198" t="s">
        <v>2272</v>
      </c>
      <c r="J1648" s="198" t="s">
        <v>2272</v>
      </c>
      <c r="K1648" s="198" t="s">
        <v>2272</v>
      </c>
      <c r="L1648" s="198" t="s">
        <v>2272</v>
      </c>
      <c r="M1648" s="198" t="s">
        <v>2272</v>
      </c>
      <c r="N1648" s="198" t="s">
        <v>2272</v>
      </c>
      <c r="O1648" s="198" t="s">
        <v>2272</v>
      </c>
      <c r="P1648" s="198" t="s">
        <v>2272</v>
      </c>
      <c r="Q1648" s="198" t="s">
        <v>2272</v>
      </c>
      <c r="R1648" s="198" t="s">
        <v>2272</v>
      </c>
      <c r="S1648" s="198" t="s">
        <v>2272</v>
      </c>
      <c r="T1648" s="198"/>
    </row>
    <row r="1649" spans="1:20" s="197" customFormat="1" ht="43.5" customHeight="1">
      <c r="A1649" s="11" t="s">
        <v>10659</v>
      </c>
      <c r="B1649" s="198" t="s">
        <v>2272</v>
      </c>
      <c r="C1649" s="198" t="s">
        <v>2272</v>
      </c>
      <c r="D1649" s="198" t="s">
        <v>2272</v>
      </c>
      <c r="E1649" s="198" t="s">
        <v>2272</v>
      </c>
      <c r="F1649" s="198" t="s">
        <v>2272</v>
      </c>
      <c r="G1649" s="198" t="s">
        <v>2272</v>
      </c>
      <c r="H1649" s="198" t="s">
        <v>2272</v>
      </c>
      <c r="I1649" s="198" t="s">
        <v>2272</v>
      </c>
      <c r="J1649" s="198" t="s">
        <v>2272</v>
      </c>
      <c r="K1649" s="198" t="s">
        <v>2272</v>
      </c>
      <c r="L1649" s="198" t="s">
        <v>2272</v>
      </c>
      <c r="M1649" s="198" t="s">
        <v>2272</v>
      </c>
      <c r="N1649" s="198" t="s">
        <v>2272</v>
      </c>
      <c r="O1649" s="198" t="s">
        <v>2272</v>
      </c>
      <c r="P1649" s="198" t="s">
        <v>2272</v>
      </c>
      <c r="Q1649" s="198" t="s">
        <v>2272</v>
      </c>
      <c r="R1649" s="198" t="s">
        <v>2272</v>
      </c>
      <c r="S1649" s="198" t="s">
        <v>2272</v>
      </c>
      <c r="T1649" s="198"/>
    </row>
    <row r="1650" spans="1:20" s="197" customFormat="1" ht="43.5" customHeight="1">
      <c r="A1650" s="11" t="s">
        <v>10660</v>
      </c>
      <c r="B1650" s="198" t="s">
        <v>2272</v>
      </c>
      <c r="C1650" s="198" t="s">
        <v>2272</v>
      </c>
      <c r="D1650" s="198" t="s">
        <v>2272</v>
      </c>
      <c r="E1650" s="198" t="s">
        <v>2272</v>
      </c>
      <c r="F1650" s="198" t="s">
        <v>2272</v>
      </c>
      <c r="G1650" s="198" t="s">
        <v>2272</v>
      </c>
      <c r="H1650" s="198" t="s">
        <v>2272</v>
      </c>
      <c r="I1650" s="198" t="s">
        <v>2272</v>
      </c>
      <c r="J1650" s="198" t="s">
        <v>2272</v>
      </c>
      <c r="K1650" s="198" t="s">
        <v>2272</v>
      </c>
      <c r="L1650" s="198" t="s">
        <v>2272</v>
      </c>
      <c r="M1650" s="198" t="s">
        <v>2272</v>
      </c>
      <c r="N1650" s="198" t="s">
        <v>2272</v>
      </c>
      <c r="O1650" s="198" t="s">
        <v>2272</v>
      </c>
      <c r="P1650" s="198" t="s">
        <v>2272</v>
      </c>
      <c r="Q1650" s="198" t="s">
        <v>2272</v>
      </c>
      <c r="R1650" s="198" t="s">
        <v>2272</v>
      </c>
      <c r="S1650" s="198" t="s">
        <v>2272</v>
      </c>
      <c r="T1650" s="198"/>
    </row>
    <row r="1651" spans="1:20" s="197" customFormat="1" ht="43.5" customHeight="1">
      <c r="A1651" s="11" t="s">
        <v>10661</v>
      </c>
      <c r="B1651" s="198" t="s">
        <v>2272</v>
      </c>
      <c r="C1651" s="198" t="s">
        <v>2272</v>
      </c>
      <c r="D1651" s="198" t="s">
        <v>2272</v>
      </c>
      <c r="E1651" s="198" t="s">
        <v>2272</v>
      </c>
      <c r="F1651" s="198" t="s">
        <v>2272</v>
      </c>
      <c r="G1651" s="198" t="s">
        <v>2272</v>
      </c>
      <c r="H1651" s="198" t="s">
        <v>2272</v>
      </c>
      <c r="I1651" s="198" t="s">
        <v>2272</v>
      </c>
      <c r="J1651" s="198" t="s">
        <v>2272</v>
      </c>
      <c r="K1651" s="198" t="s">
        <v>2272</v>
      </c>
      <c r="L1651" s="198" t="s">
        <v>2272</v>
      </c>
      <c r="M1651" s="198" t="s">
        <v>2272</v>
      </c>
      <c r="N1651" s="198" t="s">
        <v>2272</v>
      </c>
      <c r="O1651" s="198" t="s">
        <v>2272</v>
      </c>
      <c r="P1651" s="198" t="s">
        <v>2272</v>
      </c>
      <c r="Q1651" s="198" t="s">
        <v>2272</v>
      </c>
      <c r="R1651" s="198" t="s">
        <v>2272</v>
      </c>
      <c r="S1651" s="198" t="s">
        <v>2272</v>
      </c>
      <c r="T1651" s="198"/>
    </row>
    <row r="1652" spans="1:20" s="197" customFormat="1" ht="43.5" customHeight="1">
      <c r="A1652" s="11" t="s">
        <v>10662</v>
      </c>
      <c r="B1652" s="198" t="s">
        <v>2272</v>
      </c>
      <c r="C1652" s="198" t="s">
        <v>2272</v>
      </c>
      <c r="D1652" s="198" t="s">
        <v>2272</v>
      </c>
      <c r="E1652" s="198" t="s">
        <v>2272</v>
      </c>
      <c r="F1652" s="198" t="s">
        <v>2272</v>
      </c>
      <c r="G1652" s="198" t="s">
        <v>2272</v>
      </c>
      <c r="H1652" s="198" t="s">
        <v>2272</v>
      </c>
      <c r="I1652" s="198" t="s">
        <v>2272</v>
      </c>
      <c r="J1652" s="198" t="s">
        <v>2272</v>
      </c>
      <c r="K1652" s="198" t="s">
        <v>2272</v>
      </c>
      <c r="L1652" s="198" t="s">
        <v>2272</v>
      </c>
      <c r="M1652" s="198" t="s">
        <v>2272</v>
      </c>
      <c r="N1652" s="198" t="s">
        <v>2272</v>
      </c>
      <c r="O1652" s="198" t="s">
        <v>2272</v>
      </c>
      <c r="P1652" s="198" t="s">
        <v>2272</v>
      </c>
      <c r="Q1652" s="198" t="s">
        <v>2272</v>
      </c>
      <c r="R1652" s="198" t="s">
        <v>2272</v>
      </c>
      <c r="S1652" s="198" t="s">
        <v>2272</v>
      </c>
      <c r="T1652" s="198"/>
    </row>
    <row r="1653" spans="1:20" s="197" customFormat="1" ht="43.5" customHeight="1">
      <c r="A1653" s="11" t="s">
        <v>10663</v>
      </c>
      <c r="B1653" s="198" t="s">
        <v>2272</v>
      </c>
      <c r="C1653" s="198" t="s">
        <v>2272</v>
      </c>
      <c r="D1653" s="198" t="s">
        <v>2272</v>
      </c>
      <c r="E1653" s="198" t="s">
        <v>2272</v>
      </c>
      <c r="F1653" s="198" t="s">
        <v>2272</v>
      </c>
      <c r="G1653" s="198" t="s">
        <v>2272</v>
      </c>
      <c r="H1653" s="198" t="s">
        <v>2272</v>
      </c>
      <c r="I1653" s="198" t="s">
        <v>2272</v>
      </c>
      <c r="J1653" s="198" t="s">
        <v>2272</v>
      </c>
      <c r="K1653" s="198" t="s">
        <v>2272</v>
      </c>
      <c r="L1653" s="198" t="s">
        <v>2272</v>
      </c>
      <c r="M1653" s="198" t="s">
        <v>2272</v>
      </c>
      <c r="N1653" s="198" t="s">
        <v>2272</v>
      </c>
      <c r="O1653" s="198" t="s">
        <v>2272</v>
      </c>
      <c r="P1653" s="198" t="s">
        <v>2272</v>
      </c>
      <c r="Q1653" s="198" t="s">
        <v>2272</v>
      </c>
      <c r="R1653" s="198" t="s">
        <v>2272</v>
      </c>
      <c r="S1653" s="198" t="s">
        <v>2272</v>
      </c>
      <c r="T1653" s="198"/>
    </row>
    <row r="1654" spans="1:20" s="197" customFormat="1" ht="43.5" customHeight="1">
      <c r="A1654" s="11" t="s">
        <v>10664</v>
      </c>
      <c r="B1654" s="198" t="s">
        <v>2272</v>
      </c>
      <c r="C1654" s="198" t="s">
        <v>2272</v>
      </c>
      <c r="D1654" s="198" t="s">
        <v>2272</v>
      </c>
      <c r="E1654" s="198" t="s">
        <v>2272</v>
      </c>
      <c r="F1654" s="198" t="s">
        <v>2272</v>
      </c>
      <c r="G1654" s="198" t="s">
        <v>2272</v>
      </c>
      <c r="H1654" s="198" t="s">
        <v>2272</v>
      </c>
      <c r="I1654" s="198" t="s">
        <v>2272</v>
      </c>
      <c r="J1654" s="198" t="s">
        <v>2272</v>
      </c>
      <c r="K1654" s="198" t="s">
        <v>2272</v>
      </c>
      <c r="L1654" s="198" t="s">
        <v>2272</v>
      </c>
      <c r="M1654" s="198" t="s">
        <v>2272</v>
      </c>
      <c r="N1654" s="198" t="s">
        <v>2272</v>
      </c>
      <c r="O1654" s="198" t="s">
        <v>2272</v>
      </c>
      <c r="P1654" s="198" t="s">
        <v>2272</v>
      </c>
      <c r="Q1654" s="198" t="s">
        <v>2272</v>
      </c>
      <c r="R1654" s="198" t="s">
        <v>2272</v>
      </c>
      <c r="S1654" s="198" t="s">
        <v>2272</v>
      </c>
      <c r="T1654" s="198"/>
    </row>
    <row r="1655" spans="1:20" s="197" customFormat="1" ht="43.5" customHeight="1">
      <c r="A1655" s="11" t="s">
        <v>10665</v>
      </c>
      <c r="B1655" s="198" t="s">
        <v>2272</v>
      </c>
      <c r="C1655" s="198" t="s">
        <v>2272</v>
      </c>
      <c r="D1655" s="198" t="s">
        <v>2272</v>
      </c>
      <c r="E1655" s="198" t="s">
        <v>2272</v>
      </c>
      <c r="F1655" s="198" t="s">
        <v>2272</v>
      </c>
      <c r="G1655" s="198" t="s">
        <v>2272</v>
      </c>
      <c r="H1655" s="198" t="s">
        <v>2272</v>
      </c>
      <c r="I1655" s="198" t="s">
        <v>2272</v>
      </c>
      <c r="J1655" s="198" t="s">
        <v>2272</v>
      </c>
      <c r="K1655" s="198" t="s">
        <v>2272</v>
      </c>
      <c r="L1655" s="198" t="s">
        <v>2272</v>
      </c>
      <c r="M1655" s="198" t="s">
        <v>2272</v>
      </c>
      <c r="N1655" s="198" t="s">
        <v>2272</v>
      </c>
      <c r="O1655" s="198" t="s">
        <v>2272</v>
      </c>
      <c r="P1655" s="198" t="s">
        <v>2272</v>
      </c>
      <c r="Q1655" s="198" t="s">
        <v>2272</v>
      </c>
      <c r="R1655" s="198" t="s">
        <v>2272</v>
      </c>
      <c r="S1655" s="198" t="s">
        <v>2272</v>
      </c>
      <c r="T1655" s="198"/>
    </row>
    <row r="1656" spans="1:20" s="197" customFormat="1" ht="43.5" customHeight="1">
      <c r="A1656" s="11" t="s">
        <v>10666</v>
      </c>
      <c r="B1656" s="198" t="s">
        <v>2272</v>
      </c>
      <c r="C1656" s="198" t="s">
        <v>2272</v>
      </c>
      <c r="D1656" s="198" t="s">
        <v>2272</v>
      </c>
      <c r="E1656" s="198" t="s">
        <v>2272</v>
      </c>
      <c r="F1656" s="198" t="s">
        <v>2272</v>
      </c>
      <c r="G1656" s="198" t="s">
        <v>2272</v>
      </c>
      <c r="H1656" s="198" t="s">
        <v>2272</v>
      </c>
      <c r="I1656" s="198" t="s">
        <v>2272</v>
      </c>
      <c r="J1656" s="198" t="s">
        <v>2272</v>
      </c>
      <c r="K1656" s="198" t="s">
        <v>2272</v>
      </c>
      <c r="L1656" s="198" t="s">
        <v>2272</v>
      </c>
      <c r="M1656" s="198" t="s">
        <v>2272</v>
      </c>
      <c r="N1656" s="198" t="s">
        <v>2272</v>
      </c>
      <c r="O1656" s="198" t="s">
        <v>2272</v>
      </c>
      <c r="P1656" s="198" t="s">
        <v>2272</v>
      </c>
      <c r="Q1656" s="198" t="s">
        <v>2272</v>
      </c>
      <c r="R1656" s="198" t="s">
        <v>2272</v>
      </c>
      <c r="S1656" s="198" t="s">
        <v>2272</v>
      </c>
      <c r="T1656" s="198"/>
    </row>
    <row r="1657" spans="1:20" s="197" customFormat="1" ht="43.5" customHeight="1">
      <c r="A1657" s="11" t="s">
        <v>10667</v>
      </c>
      <c r="B1657" s="198" t="s">
        <v>2272</v>
      </c>
      <c r="C1657" s="198" t="s">
        <v>2272</v>
      </c>
      <c r="D1657" s="198" t="s">
        <v>2272</v>
      </c>
      <c r="E1657" s="198" t="s">
        <v>2272</v>
      </c>
      <c r="F1657" s="198" t="s">
        <v>2272</v>
      </c>
      <c r="G1657" s="198" t="s">
        <v>2272</v>
      </c>
      <c r="H1657" s="198" t="s">
        <v>2272</v>
      </c>
      <c r="I1657" s="198" t="s">
        <v>2272</v>
      </c>
      <c r="J1657" s="198" t="s">
        <v>2272</v>
      </c>
      <c r="K1657" s="198" t="s">
        <v>2272</v>
      </c>
      <c r="L1657" s="198" t="s">
        <v>2272</v>
      </c>
      <c r="M1657" s="198" t="s">
        <v>2272</v>
      </c>
      <c r="N1657" s="198" t="s">
        <v>2272</v>
      </c>
      <c r="O1657" s="198" t="s">
        <v>2272</v>
      </c>
      <c r="P1657" s="198" t="s">
        <v>2272</v>
      </c>
      <c r="Q1657" s="198" t="s">
        <v>2272</v>
      </c>
      <c r="R1657" s="198" t="s">
        <v>2272</v>
      </c>
      <c r="S1657" s="198" t="s">
        <v>2272</v>
      </c>
      <c r="T1657" s="198"/>
    </row>
    <row r="1658" spans="1:20" s="197" customFormat="1" ht="43.5" customHeight="1">
      <c r="A1658" s="11" t="s">
        <v>10668</v>
      </c>
      <c r="B1658" s="198" t="s">
        <v>2272</v>
      </c>
      <c r="C1658" s="198" t="s">
        <v>2272</v>
      </c>
      <c r="D1658" s="198" t="s">
        <v>2272</v>
      </c>
      <c r="E1658" s="198" t="s">
        <v>2272</v>
      </c>
      <c r="F1658" s="198" t="s">
        <v>2272</v>
      </c>
      <c r="G1658" s="198" t="s">
        <v>2272</v>
      </c>
      <c r="H1658" s="198" t="s">
        <v>2272</v>
      </c>
      <c r="I1658" s="198" t="s">
        <v>2272</v>
      </c>
      <c r="J1658" s="198" t="s">
        <v>2272</v>
      </c>
      <c r="K1658" s="198" t="s">
        <v>2272</v>
      </c>
      <c r="L1658" s="198" t="s">
        <v>2272</v>
      </c>
      <c r="M1658" s="198" t="s">
        <v>2272</v>
      </c>
      <c r="N1658" s="198" t="s">
        <v>2272</v>
      </c>
      <c r="O1658" s="198" t="s">
        <v>2272</v>
      </c>
      <c r="P1658" s="198" t="s">
        <v>2272</v>
      </c>
      <c r="Q1658" s="198" t="s">
        <v>2272</v>
      </c>
      <c r="R1658" s="198" t="s">
        <v>2272</v>
      </c>
      <c r="S1658" s="198" t="s">
        <v>2272</v>
      </c>
      <c r="T1658" s="198"/>
    </row>
    <row r="1659" spans="1:20" s="197" customFormat="1" ht="43.5" customHeight="1">
      <c r="A1659" s="11" t="s">
        <v>10669</v>
      </c>
      <c r="B1659" s="198" t="s">
        <v>2272</v>
      </c>
      <c r="C1659" s="198" t="s">
        <v>2272</v>
      </c>
      <c r="D1659" s="198" t="s">
        <v>2272</v>
      </c>
      <c r="E1659" s="198" t="s">
        <v>2272</v>
      </c>
      <c r="F1659" s="198" t="s">
        <v>2272</v>
      </c>
      <c r="G1659" s="198" t="s">
        <v>2272</v>
      </c>
      <c r="H1659" s="198" t="s">
        <v>2272</v>
      </c>
      <c r="I1659" s="198" t="s">
        <v>2272</v>
      </c>
      <c r="J1659" s="198" t="s">
        <v>2272</v>
      </c>
      <c r="K1659" s="198" t="s">
        <v>2272</v>
      </c>
      <c r="L1659" s="198" t="s">
        <v>2272</v>
      </c>
      <c r="M1659" s="198" t="s">
        <v>2272</v>
      </c>
      <c r="N1659" s="198" t="s">
        <v>2272</v>
      </c>
      <c r="O1659" s="198" t="s">
        <v>2272</v>
      </c>
      <c r="P1659" s="198" t="s">
        <v>2272</v>
      </c>
      <c r="Q1659" s="198" t="s">
        <v>2272</v>
      </c>
      <c r="R1659" s="198" t="s">
        <v>2272</v>
      </c>
      <c r="S1659" s="198" t="s">
        <v>2272</v>
      </c>
      <c r="T1659" s="198"/>
    </row>
    <row r="1660" spans="1:20" s="197" customFormat="1" ht="43.5" customHeight="1">
      <c r="A1660" s="11" t="s">
        <v>10670</v>
      </c>
      <c r="B1660" s="198" t="s">
        <v>2272</v>
      </c>
      <c r="C1660" s="198" t="s">
        <v>2272</v>
      </c>
      <c r="D1660" s="198" t="s">
        <v>2272</v>
      </c>
      <c r="E1660" s="198" t="s">
        <v>2272</v>
      </c>
      <c r="F1660" s="198" t="s">
        <v>2272</v>
      </c>
      <c r="G1660" s="198" t="s">
        <v>2272</v>
      </c>
      <c r="H1660" s="198" t="s">
        <v>2272</v>
      </c>
      <c r="I1660" s="198" t="s">
        <v>2272</v>
      </c>
      <c r="J1660" s="198" t="s">
        <v>2272</v>
      </c>
      <c r="K1660" s="198" t="s">
        <v>2272</v>
      </c>
      <c r="L1660" s="198" t="s">
        <v>2272</v>
      </c>
      <c r="M1660" s="198" t="s">
        <v>2272</v>
      </c>
      <c r="N1660" s="198" t="s">
        <v>2272</v>
      </c>
      <c r="O1660" s="198" t="s">
        <v>2272</v>
      </c>
      <c r="P1660" s="198" t="s">
        <v>2272</v>
      </c>
      <c r="Q1660" s="198" t="s">
        <v>2272</v>
      </c>
      <c r="R1660" s="198" t="s">
        <v>2272</v>
      </c>
      <c r="S1660" s="198" t="s">
        <v>2272</v>
      </c>
      <c r="T1660" s="198"/>
    </row>
    <row r="1661" spans="1:20" s="197" customFormat="1" ht="43.5" customHeight="1">
      <c r="A1661" s="11" t="s">
        <v>10671</v>
      </c>
      <c r="B1661" s="198" t="s">
        <v>2272</v>
      </c>
      <c r="C1661" s="198" t="s">
        <v>2272</v>
      </c>
      <c r="D1661" s="198" t="s">
        <v>2272</v>
      </c>
      <c r="E1661" s="198" t="s">
        <v>2272</v>
      </c>
      <c r="F1661" s="198" t="s">
        <v>2272</v>
      </c>
      <c r="G1661" s="198" t="s">
        <v>2272</v>
      </c>
      <c r="H1661" s="198" t="s">
        <v>2272</v>
      </c>
      <c r="I1661" s="198" t="s">
        <v>2272</v>
      </c>
      <c r="J1661" s="198" t="s">
        <v>2272</v>
      </c>
      <c r="K1661" s="198" t="s">
        <v>2272</v>
      </c>
      <c r="L1661" s="198" t="s">
        <v>2272</v>
      </c>
      <c r="M1661" s="198" t="s">
        <v>2272</v>
      </c>
      <c r="N1661" s="198" t="s">
        <v>2272</v>
      </c>
      <c r="O1661" s="198" t="s">
        <v>2272</v>
      </c>
      <c r="P1661" s="198" t="s">
        <v>2272</v>
      </c>
      <c r="Q1661" s="198" t="s">
        <v>2272</v>
      </c>
      <c r="R1661" s="198" t="s">
        <v>2272</v>
      </c>
      <c r="S1661" s="198" t="s">
        <v>2272</v>
      </c>
      <c r="T1661" s="198"/>
    </row>
    <row r="1662" spans="1:20" s="197" customFormat="1" ht="43.5" customHeight="1">
      <c r="A1662" s="11" t="s">
        <v>10672</v>
      </c>
      <c r="B1662" s="198" t="s">
        <v>2272</v>
      </c>
      <c r="C1662" s="198" t="s">
        <v>2272</v>
      </c>
      <c r="D1662" s="198" t="s">
        <v>2272</v>
      </c>
      <c r="E1662" s="198" t="s">
        <v>2272</v>
      </c>
      <c r="F1662" s="198" t="s">
        <v>2272</v>
      </c>
      <c r="G1662" s="198" t="s">
        <v>2272</v>
      </c>
      <c r="H1662" s="198" t="s">
        <v>2272</v>
      </c>
      <c r="I1662" s="198" t="s">
        <v>2272</v>
      </c>
      <c r="J1662" s="198" t="s">
        <v>2272</v>
      </c>
      <c r="K1662" s="198" t="s">
        <v>2272</v>
      </c>
      <c r="L1662" s="198" t="s">
        <v>2272</v>
      </c>
      <c r="M1662" s="198" t="s">
        <v>2272</v>
      </c>
      <c r="N1662" s="198" t="s">
        <v>2272</v>
      </c>
      <c r="O1662" s="198" t="s">
        <v>2272</v>
      </c>
      <c r="P1662" s="198" t="s">
        <v>2272</v>
      </c>
      <c r="Q1662" s="198" t="s">
        <v>2272</v>
      </c>
      <c r="R1662" s="198" t="s">
        <v>2272</v>
      </c>
      <c r="S1662" s="198" t="s">
        <v>2272</v>
      </c>
      <c r="T1662" s="198"/>
    </row>
    <row r="1663" spans="1:20" s="197" customFormat="1" ht="43.5" customHeight="1">
      <c r="A1663" s="11" t="s">
        <v>10673</v>
      </c>
      <c r="B1663" s="198" t="s">
        <v>2272</v>
      </c>
      <c r="C1663" s="198" t="s">
        <v>2272</v>
      </c>
      <c r="D1663" s="198" t="s">
        <v>2272</v>
      </c>
      <c r="E1663" s="198" t="s">
        <v>2272</v>
      </c>
      <c r="F1663" s="198" t="s">
        <v>2272</v>
      </c>
      <c r="G1663" s="198" t="s">
        <v>2272</v>
      </c>
      <c r="H1663" s="198" t="s">
        <v>2272</v>
      </c>
      <c r="I1663" s="198" t="s">
        <v>2272</v>
      </c>
      <c r="J1663" s="198" t="s">
        <v>2272</v>
      </c>
      <c r="K1663" s="198" t="s">
        <v>2272</v>
      </c>
      <c r="L1663" s="198" t="s">
        <v>2272</v>
      </c>
      <c r="M1663" s="198" t="s">
        <v>2272</v>
      </c>
      <c r="N1663" s="198" t="s">
        <v>2272</v>
      </c>
      <c r="O1663" s="198" t="s">
        <v>2272</v>
      </c>
      <c r="P1663" s="198" t="s">
        <v>2272</v>
      </c>
      <c r="Q1663" s="198" t="s">
        <v>2272</v>
      </c>
      <c r="R1663" s="198" t="s">
        <v>2272</v>
      </c>
      <c r="S1663" s="198" t="s">
        <v>2272</v>
      </c>
      <c r="T1663" s="198"/>
    </row>
    <row r="1664" spans="1:20" s="197" customFormat="1" ht="43.5" customHeight="1">
      <c r="A1664" s="11" t="s">
        <v>10674</v>
      </c>
      <c r="B1664" s="198" t="s">
        <v>2272</v>
      </c>
      <c r="C1664" s="198" t="s">
        <v>2272</v>
      </c>
      <c r="D1664" s="198" t="s">
        <v>2272</v>
      </c>
      <c r="E1664" s="198" t="s">
        <v>2272</v>
      </c>
      <c r="F1664" s="198" t="s">
        <v>2272</v>
      </c>
      <c r="G1664" s="198" t="s">
        <v>2272</v>
      </c>
      <c r="H1664" s="198" t="s">
        <v>2272</v>
      </c>
      <c r="I1664" s="198" t="s">
        <v>2272</v>
      </c>
      <c r="J1664" s="198" t="s">
        <v>2272</v>
      </c>
      <c r="K1664" s="198" t="s">
        <v>2272</v>
      </c>
      <c r="L1664" s="198" t="s">
        <v>2272</v>
      </c>
      <c r="M1664" s="198" t="s">
        <v>2272</v>
      </c>
      <c r="N1664" s="198" t="s">
        <v>2272</v>
      </c>
      <c r="O1664" s="198" t="s">
        <v>2272</v>
      </c>
      <c r="P1664" s="198" t="s">
        <v>2272</v>
      </c>
      <c r="Q1664" s="198" t="s">
        <v>2272</v>
      </c>
      <c r="R1664" s="198" t="s">
        <v>2272</v>
      </c>
      <c r="S1664" s="198" t="s">
        <v>2272</v>
      </c>
      <c r="T1664" s="198"/>
    </row>
    <row r="1665" spans="1:20" s="197" customFormat="1" ht="43.5" customHeight="1">
      <c r="A1665" s="11" t="s">
        <v>10675</v>
      </c>
      <c r="B1665" s="198" t="s">
        <v>2272</v>
      </c>
      <c r="C1665" s="198" t="s">
        <v>2272</v>
      </c>
      <c r="D1665" s="198" t="s">
        <v>2272</v>
      </c>
      <c r="E1665" s="198" t="s">
        <v>2272</v>
      </c>
      <c r="F1665" s="198" t="s">
        <v>2272</v>
      </c>
      <c r="G1665" s="198" t="s">
        <v>2272</v>
      </c>
      <c r="H1665" s="198" t="s">
        <v>2272</v>
      </c>
      <c r="I1665" s="198" t="s">
        <v>2272</v>
      </c>
      <c r="J1665" s="198" t="s">
        <v>2272</v>
      </c>
      <c r="K1665" s="198" t="s">
        <v>2272</v>
      </c>
      <c r="L1665" s="198" t="s">
        <v>2272</v>
      </c>
      <c r="M1665" s="198" t="s">
        <v>2272</v>
      </c>
      <c r="N1665" s="198" t="s">
        <v>2272</v>
      </c>
      <c r="O1665" s="198" t="s">
        <v>2272</v>
      </c>
      <c r="P1665" s="198" t="s">
        <v>2272</v>
      </c>
      <c r="Q1665" s="198" t="s">
        <v>2272</v>
      </c>
      <c r="R1665" s="198" t="s">
        <v>2272</v>
      </c>
      <c r="S1665" s="198" t="s">
        <v>2272</v>
      </c>
      <c r="T1665" s="198"/>
    </row>
    <row r="1666" spans="1:20" s="197" customFormat="1" ht="43.5" customHeight="1">
      <c r="A1666" s="11" t="s">
        <v>10676</v>
      </c>
      <c r="B1666" s="198" t="s">
        <v>2272</v>
      </c>
      <c r="C1666" s="198" t="s">
        <v>2272</v>
      </c>
      <c r="D1666" s="198" t="s">
        <v>2272</v>
      </c>
      <c r="E1666" s="198" t="s">
        <v>2272</v>
      </c>
      <c r="F1666" s="198" t="s">
        <v>2272</v>
      </c>
      <c r="G1666" s="198" t="s">
        <v>2272</v>
      </c>
      <c r="H1666" s="198" t="s">
        <v>2272</v>
      </c>
      <c r="I1666" s="198" t="s">
        <v>2272</v>
      </c>
      <c r="J1666" s="198" t="s">
        <v>2272</v>
      </c>
      <c r="K1666" s="198" t="s">
        <v>2272</v>
      </c>
      <c r="L1666" s="198" t="s">
        <v>2272</v>
      </c>
      <c r="M1666" s="198" t="s">
        <v>2272</v>
      </c>
      <c r="N1666" s="198" t="s">
        <v>2272</v>
      </c>
      <c r="O1666" s="198" t="s">
        <v>2272</v>
      </c>
      <c r="P1666" s="198" t="s">
        <v>2272</v>
      </c>
      <c r="Q1666" s="198" t="s">
        <v>2272</v>
      </c>
      <c r="R1666" s="198" t="s">
        <v>2272</v>
      </c>
      <c r="S1666" s="198" t="s">
        <v>2272</v>
      </c>
      <c r="T1666" s="198"/>
    </row>
    <row r="1667" spans="1:20" s="197" customFormat="1" ht="43.5" customHeight="1">
      <c r="A1667" s="11" t="s">
        <v>10677</v>
      </c>
      <c r="B1667" s="198" t="s">
        <v>2272</v>
      </c>
      <c r="C1667" s="198" t="s">
        <v>2272</v>
      </c>
      <c r="D1667" s="198" t="s">
        <v>2272</v>
      </c>
      <c r="E1667" s="198" t="s">
        <v>2272</v>
      </c>
      <c r="F1667" s="198" t="s">
        <v>2272</v>
      </c>
      <c r="G1667" s="198" t="s">
        <v>2272</v>
      </c>
      <c r="H1667" s="198" t="s">
        <v>2272</v>
      </c>
      <c r="I1667" s="198" t="s">
        <v>2272</v>
      </c>
      <c r="J1667" s="198" t="s">
        <v>2272</v>
      </c>
      <c r="K1667" s="198" t="s">
        <v>2272</v>
      </c>
      <c r="L1667" s="198" t="s">
        <v>2272</v>
      </c>
      <c r="M1667" s="198" t="s">
        <v>2272</v>
      </c>
      <c r="N1667" s="198" t="s">
        <v>2272</v>
      </c>
      <c r="O1667" s="198" t="s">
        <v>2272</v>
      </c>
      <c r="P1667" s="198" t="s">
        <v>2272</v>
      </c>
      <c r="Q1667" s="198" t="s">
        <v>2272</v>
      </c>
      <c r="R1667" s="198" t="s">
        <v>2272</v>
      </c>
      <c r="S1667" s="198" t="s">
        <v>2272</v>
      </c>
      <c r="T1667" s="198"/>
    </row>
    <row r="1668" spans="1:20" s="197" customFormat="1" ht="43.5" customHeight="1">
      <c r="A1668" s="11" t="s">
        <v>10678</v>
      </c>
      <c r="B1668" s="198" t="s">
        <v>2272</v>
      </c>
      <c r="C1668" s="198" t="s">
        <v>2272</v>
      </c>
      <c r="D1668" s="198" t="s">
        <v>2272</v>
      </c>
      <c r="E1668" s="198" t="s">
        <v>2272</v>
      </c>
      <c r="F1668" s="198" t="s">
        <v>2272</v>
      </c>
      <c r="G1668" s="198" t="s">
        <v>2272</v>
      </c>
      <c r="H1668" s="198" t="s">
        <v>2272</v>
      </c>
      <c r="I1668" s="198" t="s">
        <v>2272</v>
      </c>
      <c r="J1668" s="198" t="s">
        <v>2272</v>
      </c>
      <c r="K1668" s="198" t="s">
        <v>2272</v>
      </c>
      <c r="L1668" s="198" t="s">
        <v>2272</v>
      </c>
      <c r="M1668" s="198" t="s">
        <v>2272</v>
      </c>
      <c r="N1668" s="198" t="s">
        <v>2272</v>
      </c>
      <c r="O1668" s="198" t="s">
        <v>2272</v>
      </c>
      <c r="P1668" s="198" t="s">
        <v>2272</v>
      </c>
      <c r="Q1668" s="198" t="s">
        <v>2272</v>
      </c>
      <c r="R1668" s="198" t="s">
        <v>2272</v>
      </c>
      <c r="S1668" s="198" t="s">
        <v>2272</v>
      </c>
      <c r="T1668" s="198"/>
    </row>
    <row r="1669" spans="1:20" s="197" customFormat="1" ht="43.5" customHeight="1">
      <c r="A1669" s="11" t="s">
        <v>10679</v>
      </c>
      <c r="B1669" s="198" t="s">
        <v>2272</v>
      </c>
      <c r="C1669" s="198" t="s">
        <v>2272</v>
      </c>
      <c r="D1669" s="198" t="s">
        <v>2272</v>
      </c>
      <c r="E1669" s="198" t="s">
        <v>2272</v>
      </c>
      <c r="F1669" s="198" t="s">
        <v>2272</v>
      </c>
      <c r="G1669" s="198" t="s">
        <v>2272</v>
      </c>
      <c r="H1669" s="198" t="s">
        <v>2272</v>
      </c>
      <c r="I1669" s="198" t="s">
        <v>2272</v>
      </c>
      <c r="J1669" s="198" t="s">
        <v>2272</v>
      </c>
      <c r="K1669" s="198" t="s">
        <v>2272</v>
      </c>
      <c r="L1669" s="198" t="s">
        <v>2272</v>
      </c>
      <c r="M1669" s="198" t="s">
        <v>2272</v>
      </c>
      <c r="N1669" s="198" t="s">
        <v>2272</v>
      </c>
      <c r="O1669" s="198" t="s">
        <v>2272</v>
      </c>
      <c r="P1669" s="198" t="s">
        <v>2272</v>
      </c>
      <c r="Q1669" s="198" t="s">
        <v>2272</v>
      </c>
      <c r="R1669" s="198" t="s">
        <v>2272</v>
      </c>
      <c r="S1669" s="198" t="s">
        <v>2272</v>
      </c>
      <c r="T1669" s="198"/>
    </row>
    <row r="1670" spans="1:20" s="197" customFormat="1" ht="43.5" customHeight="1">
      <c r="A1670" s="11" t="s">
        <v>10680</v>
      </c>
      <c r="B1670" s="198" t="s">
        <v>2272</v>
      </c>
      <c r="C1670" s="198" t="s">
        <v>2272</v>
      </c>
      <c r="D1670" s="198" t="s">
        <v>2272</v>
      </c>
      <c r="E1670" s="198" t="s">
        <v>2272</v>
      </c>
      <c r="F1670" s="198" t="s">
        <v>2272</v>
      </c>
      <c r="G1670" s="198" t="s">
        <v>2272</v>
      </c>
      <c r="H1670" s="198" t="s">
        <v>2272</v>
      </c>
      <c r="I1670" s="198" t="s">
        <v>2272</v>
      </c>
      <c r="J1670" s="198" t="s">
        <v>2272</v>
      </c>
      <c r="K1670" s="198" t="s">
        <v>2272</v>
      </c>
      <c r="L1670" s="198" t="s">
        <v>2272</v>
      </c>
      <c r="M1670" s="198" t="s">
        <v>2272</v>
      </c>
      <c r="N1670" s="198" t="s">
        <v>2272</v>
      </c>
      <c r="O1670" s="198" t="s">
        <v>2272</v>
      </c>
      <c r="P1670" s="198" t="s">
        <v>2272</v>
      </c>
      <c r="Q1670" s="198" t="s">
        <v>2272</v>
      </c>
      <c r="R1670" s="198" t="s">
        <v>2272</v>
      </c>
      <c r="S1670" s="198" t="s">
        <v>2272</v>
      </c>
      <c r="T1670" s="198"/>
    </row>
    <row r="1671" spans="1:20" s="197" customFormat="1" ht="43.5" customHeight="1">
      <c r="A1671" s="11" t="s">
        <v>10681</v>
      </c>
      <c r="B1671" s="198" t="s">
        <v>2272</v>
      </c>
      <c r="C1671" s="198" t="s">
        <v>2272</v>
      </c>
      <c r="D1671" s="198" t="s">
        <v>2272</v>
      </c>
      <c r="E1671" s="198" t="s">
        <v>2272</v>
      </c>
      <c r="F1671" s="198" t="s">
        <v>2272</v>
      </c>
      <c r="G1671" s="198" t="s">
        <v>2272</v>
      </c>
      <c r="H1671" s="198" t="s">
        <v>2272</v>
      </c>
      <c r="I1671" s="198" t="s">
        <v>2272</v>
      </c>
      <c r="J1671" s="198" t="s">
        <v>2272</v>
      </c>
      <c r="K1671" s="198" t="s">
        <v>2272</v>
      </c>
      <c r="L1671" s="198" t="s">
        <v>2272</v>
      </c>
      <c r="M1671" s="198" t="s">
        <v>2272</v>
      </c>
      <c r="N1671" s="198" t="s">
        <v>2272</v>
      </c>
      <c r="O1671" s="198" t="s">
        <v>2272</v>
      </c>
      <c r="P1671" s="198" t="s">
        <v>2272</v>
      </c>
      <c r="Q1671" s="198" t="s">
        <v>2272</v>
      </c>
      <c r="R1671" s="198" t="s">
        <v>2272</v>
      </c>
      <c r="S1671" s="198" t="s">
        <v>2272</v>
      </c>
      <c r="T1671" s="198"/>
    </row>
    <row r="1672" spans="1:20" s="197" customFormat="1" ht="43.5" customHeight="1">
      <c r="A1672" s="11" t="s">
        <v>10682</v>
      </c>
      <c r="B1672" s="198" t="s">
        <v>2272</v>
      </c>
      <c r="C1672" s="198" t="s">
        <v>2272</v>
      </c>
      <c r="D1672" s="198" t="s">
        <v>2272</v>
      </c>
      <c r="E1672" s="198" t="s">
        <v>2272</v>
      </c>
      <c r="F1672" s="198" t="s">
        <v>2272</v>
      </c>
      <c r="G1672" s="198" t="s">
        <v>2272</v>
      </c>
      <c r="H1672" s="198" t="s">
        <v>2272</v>
      </c>
      <c r="I1672" s="198" t="s">
        <v>2272</v>
      </c>
      <c r="J1672" s="198" t="s">
        <v>2272</v>
      </c>
      <c r="K1672" s="198" t="s">
        <v>2272</v>
      </c>
      <c r="L1672" s="198" t="s">
        <v>2272</v>
      </c>
      <c r="M1672" s="198" t="s">
        <v>2272</v>
      </c>
      <c r="N1672" s="198" t="s">
        <v>2272</v>
      </c>
      <c r="O1672" s="198" t="s">
        <v>2272</v>
      </c>
      <c r="P1672" s="198" t="s">
        <v>2272</v>
      </c>
      <c r="Q1672" s="198" t="s">
        <v>2272</v>
      </c>
      <c r="R1672" s="198" t="s">
        <v>2272</v>
      </c>
      <c r="S1672" s="198" t="s">
        <v>2272</v>
      </c>
      <c r="T1672" s="198"/>
    </row>
    <row r="1673" spans="1:20" s="197" customFormat="1" ht="43.5" customHeight="1">
      <c r="A1673" s="11" t="s">
        <v>10683</v>
      </c>
      <c r="B1673" s="198" t="s">
        <v>2272</v>
      </c>
      <c r="C1673" s="198" t="s">
        <v>2272</v>
      </c>
      <c r="D1673" s="198" t="s">
        <v>2272</v>
      </c>
      <c r="E1673" s="198" t="s">
        <v>2272</v>
      </c>
      <c r="F1673" s="198" t="s">
        <v>2272</v>
      </c>
      <c r="G1673" s="198" t="s">
        <v>2272</v>
      </c>
      <c r="H1673" s="198" t="s">
        <v>2272</v>
      </c>
      <c r="I1673" s="198" t="s">
        <v>2272</v>
      </c>
      <c r="J1673" s="198" t="s">
        <v>2272</v>
      </c>
      <c r="K1673" s="198" t="s">
        <v>2272</v>
      </c>
      <c r="L1673" s="198" t="s">
        <v>2272</v>
      </c>
      <c r="M1673" s="198" t="s">
        <v>2272</v>
      </c>
      <c r="N1673" s="198" t="s">
        <v>2272</v>
      </c>
      <c r="O1673" s="198" t="s">
        <v>2272</v>
      </c>
      <c r="P1673" s="198" t="s">
        <v>2272</v>
      </c>
      <c r="Q1673" s="198" t="s">
        <v>2272</v>
      </c>
      <c r="R1673" s="198" t="s">
        <v>2272</v>
      </c>
      <c r="S1673" s="198" t="s">
        <v>2272</v>
      </c>
      <c r="T1673" s="198"/>
    </row>
    <row r="1674" spans="1:20" s="197" customFormat="1" ht="43.5" customHeight="1">
      <c r="A1674" s="11" t="s">
        <v>10684</v>
      </c>
      <c r="B1674" s="198" t="s">
        <v>2272</v>
      </c>
      <c r="C1674" s="198" t="s">
        <v>2272</v>
      </c>
      <c r="D1674" s="198" t="s">
        <v>2272</v>
      </c>
      <c r="E1674" s="198" t="s">
        <v>2272</v>
      </c>
      <c r="F1674" s="198" t="s">
        <v>2272</v>
      </c>
      <c r="G1674" s="198" t="s">
        <v>2272</v>
      </c>
      <c r="H1674" s="198" t="s">
        <v>2272</v>
      </c>
      <c r="I1674" s="198" t="s">
        <v>2272</v>
      </c>
      <c r="J1674" s="198" t="s">
        <v>2272</v>
      </c>
      <c r="K1674" s="198" t="s">
        <v>2272</v>
      </c>
      <c r="L1674" s="198" t="s">
        <v>2272</v>
      </c>
      <c r="M1674" s="198" t="s">
        <v>2272</v>
      </c>
      <c r="N1674" s="198" t="s">
        <v>2272</v>
      </c>
      <c r="O1674" s="198" t="s">
        <v>2272</v>
      </c>
      <c r="P1674" s="198" t="s">
        <v>2272</v>
      </c>
      <c r="Q1674" s="198" t="s">
        <v>2272</v>
      </c>
      <c r="R1674" s="198" t="s">
        <v>2272</v>
      </c>
      <c r="S1674" s="198" t="s">
        <v>2272</v>
      </c>
      <c r="T1674" s="198"/>
    </row>
    <row r="1675" spans="1:20" s="197" customFormat="1" ht="43.5" customHeight="1">
      <c r="A1675" s="11" t="s">
        <v>10685</v>
      </c>
      <c r="B1675" s="198" t="s">
        <v>2272</v>
      </c>
      <c r="C1675" s="198" t="s">
        <v>2272</v>
      </c>
      <c r="D1675" s="198" t="s">
        <v>2272</v>
      </c>
      <c r="E1675" s="198" t="s">
        <v>2272</v>
      </c>
      <c r="F1675" s="198" t="s">
        <v>2272</v>
      </c>
      <c r="G1675" s="198" t="s">
        <v>2272</v>
      </c>
      <c r="H1675" s="198" t="s">
        <v>2272</v>
      </c>
      <c r="I1675" s="198" t="s">
        <v>2272</v>
      </c>
      <c r="J1675" s="198" t="s">
        <v>2272</v>
      </c>
      <c r="K1675" s="198" t="s">
        <v>2272</v>
      </c>
      <c r="L1675" s="198" t="s">
        <v>2272</v>
      </c>
      <c r="M1675" s="198" t="s">
        <v>2272</v>
      </c>
      <c r="N1675" s="198" t="s">
        <v>2272</v>
      </c>
      <c r="O1675" s="198" t="s">
        <v>2272</v>
      </c>
      <c r="P1675" s="198" t="s">
        <v>2272</v>
      </c>
      <c r="Q1675" s="198" t="s">
        <v>2272</v>
      </c>
      <c r="R1675" s="198" t="s">
        <v>2272</v>
      </c>
      <c r="S1675" s="198" t="s">
        <v>2272</v>
      </c>
      <c r="T1675" s="198"/>
    </row>
    <row r="1676" spans="1:20" s="197" customFormat="1" ht="43.5" customHeight="1">
      <c r="A1676" s="11" t="s">
        <v>10686</v>
      </c>
      <c r="B1676" s="198" t="s">
        <v>2272</v>
      </c>
      <c r="C1676" s="198" t="s">
        <v>2272</v>
      </c>
      <c r="D1676" s="198" t="s">
        <v>2272</v>
      </c>
      <c r="E1676" s="198" t="s">
        <v>2272</v>
      </c>
      <c r="F1676" s="198" t="s">
        <v>2272</v>
      </c>
      <c r="G1676" s="198" t="s">
        <v>2272</v>
      </c>
      <c r="H1676" s="198" t="s">
        <v>2272</v>
      </c>
      <c r="I1676" s="198" t="s">
        <v>2272</v>
      </c>
      <c r="J1676" s="198" t="s">
        <v>2272</v>
      </c>
      <c r="K1676" s="198" t="s">
        <v>2272</v>
      </c>
      <c r="L1676" s="198" t="s">
        <v>2272</v>
      </c>
      <c r="M1676" s="198" t="s">
        <v>2272</v>
      </c>
      <c r="N1676" s="198" t="s">
        <v>2272</v>
      </c>
      <c r="O1676" s="198" t="s">
        <v>2272</v>
      </c>
      <c r="P1676" s="198" t="s">
        <v>2272</v>
      </c>
      <c r="Q1676" s="198" t="s">
        <v>2272</v>
      </c>
      <c r="R1676" s="198" t="s">
        <v>2272</v>
      </c>
      <c r="S1676" s="198" t="s">
        <v>2272</v>
      </c>
      <c r="T1676" s="198"/>
    </row>
    <row r="1677" spans="1:20" s="197" customFormat="1" ht="43.5" customHeight="1">
      <c r="A1677" s="11" t="s">
        <v>10687</v>
      </c>
      <c r="B1677" s="198" t="s">
        <v>2272</v>
      </c>
      <c r="C1677" s="198" t="s">
        <v>2272</v>
      </c>
      <c r="D1677" s="198" t="s">
        <v>2272</v>
      </c>
      <c r="E1677" s="198" t="s">
        <v>2272</v>
      </c>
      <c r="F1677" s="198" t="s">
        <v>2272</v>
      </c>
      <c r="G1677" s="198" t="s">
        <v>2272</v>
      </c>
      <c r="H1677" s="198" t="s">
        <v>2272</v>
      </c>
      <c r="I1677" s="198" t="s">
        <v>2272</v>
      </c>
      <c r="J1677" s="198" t="s">
        <v>2272</v>
      </c>
      <c r="K1677" s="198" t="s">
        <v>2272</v>
      </c>
      <c r="L1677" s="198" t="s">
        <v>2272</v>
      </c>
      <c r="M1677" s="198" t="s">
        <v>2272</v>
      </c>
      <c r="N1677" s="198" t="s">
        <v>2272</v>
      </c>
      <c r="O1677" s="198" t="s">
        <v>2272</v>
      </c>
      <c r="P1677" s="198" t="s">
        <v>2272</v>
      </c>
      <c r="Q1677" s="198" t="s">
        <v>2272</v>
      </c>
      <c r="R1677" s="198" t="s">
        <v>2272</v>
      </c>
      <c r="S1677" s="198" t="s">
        <v>2272</v>
      </c>
      <c r="T1677" s="198"/>
    </row>
    <row r="1678" spans="1:20" s="197" customFormat="1" ht="43.5" customHeight="1">
      <c r="A1678" s="11" t="s">
        <v>10688</v>
      </c>
      <c r="B1678" s="198" t="s">
        <v>2272</v>
      </c>
      <c r="C1678" s="198" t="s">
        <v>2272</v>
      </c>
      <c r="D1678" s="198" t="s">
        <v>2272</v>
      </c>
      <c r="E1678" s="198" t="s">
        <v>2272</v>
      </c>
      <c r="F1678" s="198" t="s">
        <v>2272</v>
      </c>
      <c r="G1678" s="198" t="s">
        <v>2272</v>
      </c>
      <c r="H1678" s="198" t="s">
        <v>2272</v>
      </c>
      <c r="I1678" s="198" t="s">
        <v>2272</v>
      </c>
      <c r="J1678" s="198" t="s">
        <v>2272</v>
      </c>
      <c r="K1678" s="198" t="s">
        <v>2272</v>
      </c>
      <c r="L1678" s="198" t="s">
        <v>2272</v>
      </c>
      <c r="M1678" s="198" t="s">
        <v>2272</v>
      </c>
      <c r="N1678" s="198" t="s">
        <v>2272</v>
      </c>
      <c r="O1678" s="198" t="s">
        <v>2272</v>
      </c>
      <c r="P1678" s="198" t="s">
        <v>2272</v>
      </c>
      <c r="Q1678" s="198" t="s">
        <v>2272</v>
      </c>
      <c r="R1678" s="198" t="s">
        <v>2272</v>
      </c>
      <c r="S1678" s="198" t="s">
        <v>2272</v>
      </c>
      <c r="T1678" s="198"/>
    </row>
    <row r="1679" spans="1:20" s="197" customFormat="1" ht="43.5" customHeight="1">
      <c r="A1679" s="11" t="s">
        <v>10689</v>
      </c>
      <c r="B1679" s="198" t="s">
        <v>2272</v>
      </c>
      <c r="C1679" s="198" t="s">
        <v>2272</v>
      </c>
      <c r="D1679" s="198" t="s">
        <v>2272</v>
      </c>
      <c r="E1679" s="198" t="s">
        <v>2272</v>
      </c>
      <c r="F1679" s="198" t="s">
        <v>2272</v>
      </c>
      <c r="G1679" s="198" t="s">
        <v>2272</v>
      </c>
      <c r="H1679" s="198" t="s">
        <v>2272</v>
      </c>
      <c r="I1679" s="198" t="s">
        <v>2272</v>
      </c>
      <c r="J1679" s="198" t="s">
        <v>2272</v>
      </c>
      <c r="K1679" s="198" t="s">
        <v>2272</v>
      </c>
      <c r="L1679" s="198" t="s">
        <v>2272</v>
      </c>
      <c r="M1679" s="198" t="s">
        <v>2272</v>
      </c>
      <c r="N1679" s="198" t="s">
        <v>2272</v>
      </c>
      <c r="O1679" s="198" t="s">
        <v>2272</v>
      </c>
      <c r="P1679" s="198" t="s">
        <v>2272</v>
      </c>
      <c r="Q1679" s="198" t="s">
        <v>2272</v>
      </c>
      <c r="R1679" s="198" t="s">
        <v>2272</v>
      </c>
      <c r="S1679" s="198" t="s">
        <v>2272</v>
      </c>
      <c r="T1679" s="198"/>
    </row>
    <row r="1680" spans="1:20" s="197" customFormat="1" ht="43.5" customHeight="1">
      <c r="A1680" s="11" t="s">
        <v>10690</v>
      </c>
      <c r="B1680" s="198" t="s">
        <v>2272</v>
      </c>
      <c r="C1680" s="198" t="s">
        <v>2272</v>
      </c>
      <c r="D1680" s="198" t="s">
        <v>2272</v>
      </c>
      <c r="E1680" s="198" t="s">
        <v>2272</v>
      </c>
      <c r="F1680" s="198" t="s">
        <v>2272</v>
      </c>
      <c r="G1680" s="198" t="s">
        <v>2272</v>
      </c>
      <c r="H1680" s="198" t="s">
        <v>2272</v>
      </c>
      <c r="I1680" s="198" t="s">
        <v>2272</v>
      </c>
      <c r="J1680" s="198" t="s">
        <v>2272</v>
      </c>
      <c r="K1680" s="198" t="s">
        <v>2272</v>
      </c>
      <c r="L1680" s="198" t="s">
        <v>2272</v>
      </c>
      <c r="M1680" s="198" t="s">
        <v>2272</v>
      </c>
      <c r="N1680" s="198" t="s">
        <v>2272</v>
      </c>
      <c r="O1680" s="198" t="s">
        <v>2272</v>
      </c>
      <c r="P1680" s="198" t="s">
        <v>2272</v>
      </c>
      <c r="Q1680" s="198" t="s">
        <v>2272</v>
      </c>
      <c r="R1680" s="198" t="s">
        <v>2272</v>
      </c>
      <c r="S1680" s="198" t="s">
        <v>2272</v>
      </c>
      <c r="T1680" s="198"/>
    </row>
    <row r="1681" spans="1:20" s="197" customFormat="1" ht="43.5" customHeight="1">
      <c r="A1681" s="11" t="s">
        <v>10691</v>
      </c>
      <c r="B1681" s="198" t="s">
        <v>2272</v>
      </c>
      <c r="C1681" s="198" t="s">
        <v>2272</v>
      </c>
      <c r="D1681" s="198" t="s">
        <v>2272</v>
      </c>
      <c r="E1681" s="198" t="s">
        <v>2272</v>
      </c>
      <c r="F1681" s="198" t="s">
        <v>2272</v>
      </c>
      <c r="G1681" s="198" t="s">
        <v>2272</v>
      </c>
      <c r="H1681" s="198" t="s">
        <v>2272</v>
      </c>
      <c r="I1681" s="198" t="s">
        <v>2272</v>
      </c>
      <c r="J1681" s="198" t="s">
        <v>2272</v>
      </c>
      <c r="K1681" s="198" t="s">
        <v>2272</v>
      </c>
      <c r="L1681" s="198" t="s">
        <v>2272</v>
      </c>
      <c r="M1681" s="198" t="s">
        <v>2272</v>
      </c>
      <c r="N1681" s="198" t="s">
        <v>2272</v>
      </c>
      <c r="O1681" s="198" t="s">
        <v>2272</v>
      </c>
      <c r="P1681" s="198" t="s">
        <v>2272</v>
      </c>
      <c r="Q1681" s="198" t="s">
        <v>2272</v>
      </c>
      <c r="R1681" s="198" t="s">
        <v>2272</v>
      </c>
      <c r="S1681" s="198" t="s">
        <v>2272</v>
      </c>
      <c r="T1681" s="198"/>
    </row>
    <row r="1682" spans="1:20" s="197" customFormat="1" ht="43.5" customHeight="1">
      <c r="A1682" s="11" t="s">
        <v>10692</v>
      </c>
      <c r="B1682" s="198" t="s">
        <v>2272</v>
      </c>
      <c r="C1682" s="198" t="s">
        <v>2272</v>
      </c>
      <c r="D1682" s="198" t="s">
        <v>2272</v>
      </c>
      <c r="E1682" s="198" t="s">
        <v>2272</v>
      </c>
      <c r="F1682" s="198" t="s">
        <v>2272</v>
      </c>
      <c r="G1682" s="198" t="s">
        <v>2272</v>
      </c>
      <c r="H1682" s="198" t="s">
        <v>2272</v>
      </c>
      <c r="I1682" s="198" t="s">
        <v>2272</v>
      </c>
      <c r="J1682" s="198" t="s">
        <v>2272</v>
      </c>
      <c r="K1682" s="198" t="s">
        <v>2272</v>
      </c>
      <c r="L1682" s="198" t="s">
        <v>2272</v>
      </c>
      <c r="M1682" s="198" t="s">
        <v>2272</v>
      </c>
      <c r="N1682" s="198" t="s">
        <v>2272</v>
      </c>
      <c r="O1682" s="198" t="s">
        <v>2272</v>
      </c>
      <c r="P1682" s="198" t="s">
        <v>2272</v>
      </c>
      <c r="Q1682" s="198" t="s">
        <v>2272</v>
      </c>
      <c r="R1682" s="198" t="s">
        <v>2272</v>
      </c>
      <c r="S1682" s="198" t="s">
        <v>2272</v>
      </c>
      <c r="T1682" s="198"/>
    </row>
    <row r="1683" spans="1:20" s="197" customFormat="1" ht="43.5" customHeight="1">
      <c r="A1683" s="11" t="s">
        <v>10693</v>
      </c>
      <c r="B1683" s="198" t="s">
        <v>2272</v>
      </c>
      <c r="C1683" s="198" t="s">
        <v>2272</v>
      </c>
      <c r="D1683" s="198" t="s">
        <v>2272</v>
      </c>
      <c r="E1683" s="198" t="s">
        <v>2272</v>
      </c>
      <c r="F1683" s="198" t="s">
        <v>2272</v>
      </c>
      <c r="G1683" s="198" t="s">
        <v>2272</v>
      </c>
      <c r="H1683" s="198" t="s">
        <v>2272</v>
      </c>
      <c r="I1683" s="198" t="s">
        <v>2272</v>
      </c>
      <c r="J1683" s="198" t="s">
        <v>2272</v>
      </c>
      <c r="K1683" s="198" t="s">
        <v>2272</v>
      </c>
      <c r="L1683" s="198" t="s">
        <v>2272</v>
      </c>
      <c r="M1683" s="198" t="s">
        <v>2272</v>
      </c>
      <c r="N1683" s="198" t="s">
        <v>2272</v>
      </c>
      <c r="O1683" s="198" t="s">
        <v>2272</v>
      </c>
      <c r="P1683" s="198" t="s">
        <v>2272</v>
      </c>
      <c r="Q1683" s="198" t="s">
        <v>2272</v>
      </c>
      <c r="R1683" s="198" t="s">
        <v>2272</v>
      </c>
      <c r="S1683" s="198" t="s">
        <v>2272</v>
      </c>
      <c r="T1683" s="198"/>
    </row>
    <row r="1684" spans="1:20" s="197" customFormat="1" ht="43.5" customHeight="1">
      <c r="A1684" s="11" t="s">
        <v>10694</v>
      </c>
      <c r="B1684" s="198" t="s">
        <v>2272</v>
      </c>
      <c r="C1684" s="198" t="s">
        <v>2272</v>
      </c>
      <c r="D1684" s="198" t="s">
        <v>2272</v>
      </c>
      <c r="E1684" s="198" t="s">
        <v>2272</v>
      </c>
      <c r="F1684" s="198" t="s">
        <v>2272</v>
      </c>
      <c r="G1684" s="198" t="s">
        <v>2272</v>
      </c>
      <c r="H1684" s="198" t="s">
        <v>2272</v>
      </c>
      <c r="I1684" s="198" t="s">
        <v>2272</v>
      </c>
      <c r="J1684" s="198" t="s">
        <v>2272</v>
      </c>
      <c r="K1684" s="198" t="s">
        <v>2272</v>
      </c>
      <c r="L1684" s="198" t="s">
        <v>2272</v>
      </c>
      <c r="M1684" s="198" t="s">
        <v>2272</v>
      </c>
      <c r="N1684" s="198" t="s">
        <v>2272</v>
      </c>
      <c r="O1684" s="198" t="s">
        <v>2272</v>
      </c>
      <c r="P1684" s="198" t="s">
        <v>2272</v>
      </c>
      <c r="Q1684" s="198" t="s">
        <v>2272</v>
      </c>
      <c r="R1684" s="198" t="s">
        <v>2272</v>
      </c>
      <c r="S1684" s="198" t="s">
        <v>2272</v>
      </c>
      <c r="T1684" s="198"/>
    </row>
    <row r="1685" spans="1:20" s="197" customFormat="1" ht="43.5" customHeight="1">
      <c r="A1685" s="11" t="s">
        <v>10695</v>
      </c>
      <c r="B1685" s="198" t="s">
        <v>2272</v>
      </c>
      <c r="C1685" s="198" t="s">
        <v>2272</v>
      </c>
      <c r="D1685" s="198" t="s">
        <v>2272</v>
      </c>
      <c r="E1685" s="198" t="s">
        <v>2272</v>
      </c>
      <c r="F1685" s="198" t="s">
        <v>2272</v>
      </c>
      <c r="G1685" s="198" t="s">
        <v>2272</v>
      </c>
      <c r="H1685" s="198" t="s">
        <v>2272</v>
      </c>
      <c r="I1685" s="198" t="s">
        <v>2272</v>
      </c>
      <c r="J1685" s="198" t="s">
        <v>2272</v>
      </c>
      <c r="K1685" s="198" t="s">
        <v>2272</v>
      </c>
      <c r="L1685" s="198" t="s">
        <v>2272</v>
      </c>
      <c r="M1685" s="198" t="s">
        <v>2272</v>
      </c>
      <c r="N1685" s="198" t="s">
        <v>2272</v>
      </c>
      <c r="O1685" s="198" t="s">
        <v>2272</v>
      </c>
      <c r="P1685" s="198" t="s">
        <v>2272</v>
      </c>
      <c r="Q1685" s="198" t="s">
        <v>2272</v>
      </c>
      <c r="R1685" s="198" t="s">
        <v>2272</v>
      </c>
      <c r="S1685" s="198" t="s">
        <v>2272</v>
      </c>
      <c r="T1685" s="198"/>
    </row>
    <row r="1686" spans="1:20" s="197" customFormat="1" ht="43.5" customHeight="1">
      <c r="A1686" s="11" t="s">
        <v>10696</v>
      </c>
      <c r="B1686" s="198" t="s">
        <v>2272</v>
      </c>
      <c r="C1686" s="198" t="s">
        <v>2272</v>
      </c>
      <c r="D1686" s="198" t="s">
        <v>2272</v>
      </c>
      <c r="E1686" s="198" t="s">
        <v>2272</v>
      </c>
      <c r="F1686" s="198" t="s">
        <v>2272</v>
      </c>
      <c r="G1686" s="198" t="s">
        <v>2272</v>
      </c>
      <c r="H1686" s="198" t="s">
        <v>2272</v>
      </c>
      <c r="I1686" s="198" t="s">
        <v>2272</v>
      </c>
      <c r="J1686" s="198" t="s">
        <v>2272</v>
      </c>
      <c r="K1686" s="198" t="s">
        <v>2272</v>
      </c>
      <c r="L1686" s="198" t="s">
        <v>2272</v>
      </c>
      <c r="M1686" s="198" t="s">
        <v>2272</v>
      </c>
      <c r="N1686" s="198" t="s">
        <v>2272</v>
      </c>
      <c r="O1686" s="198" t="s">
        <v>2272</v>
      </c>
      <c r="P1686" s="198" t="s">
        <v>2272</v>
      </c>
      <c r="Q1686" s="198" t="s">
        <v>2272</v>
      </c>
      <c r="R1686" s="198" t="s">
        <v>2272</v>
      </c>
      <c r="S1686" s="198" t="s">
        <v>2272</v>
      </c>
      <c r="T1686" s="198"/>
    </row>
    <row r="1687" spans="1:20" s="197" customFormat="1" ht="43.5" customHeight="1">
      <c r="A1687" s="11" t="s">
        <v>10697</v>
      </c>
      <c r="B1687" s="198" t="s">
        <v>2272</v>
      </c>
      <c r="C1687" s="198" t="s">
        <v>2272</v>
      </c>
      <c r="D1687" s="198" t="s">
        <v>2272</v>
      </c>
      <c r="E1687" s="198" t="s">
        <v>2272</v>
      </c>
      <c r="F1687" s="198" t="s">
        <v>2272</v>
      </c>
      <c r="G1687" s="198" t="s">
        <v>2272</v>
      </c>
      <c r="H1687" s="198" t="s">
        <v>2272</v>
      </c>
      <c r="I1687" s="198" t="s">
        <v>2272</v>
      </c>
      <c r="J1687" s="198" t="s">
        <v>2272</v>
      </c>
      <c r="K1687" s="198" t="s">
        <v>2272</v>
      </c>
      <c r="L1687" s="198" t="s">
        <v>2272</v>
      </c>
      <c r="M1687" s="198" t="s">
        <v>2272</v>
      </c>
      <c r="N1687" s="198" t="s">
        <v>2272</v>
      </c>
      <c r="O1687" s="198" t="s">
        <v>2272</v>
      </c>
      <c r="P1687" s="198" t="s">
        <v>2272</v>
      </c>
      <c r="Q1687" s="198" t="s">
        <v>2272</v>
      </c>
      <c r="R1687" s="198" t="s">
        <v>2272</v>
      </c>
      <c r="S1687" s="198" t="s">
        <v>2272</v>
      </c>
      <c r="T1687" s="198"/>
    </row>
    <row r="1688" spans="1:20" s="197" customFormat="1" ht="43.5" customHeight="1">
      <c r="A1688" s="11" t="s">
        <v>10698</v>
      </c>
      <c r="B1688" s="198" t="s">
        <v>2272</v>
      </c>
      <c r="C1688" s="198" t="s">
        <v>2272</v>
      </c>
      <c r="D1688" s="198" t="s">
        <v>2272</v>
      </c>
      <c r="E1688" s="198" t="s">
        <v>2272</v>
      </c>
      <c r="F1688" s="198" t="s">
        <v>2272</v>
      </c>
      <c r="G1688" s="198" t="s">
        <v>2272</v>
      </c>
      <c r="H1688" s="198" t="s">
        <v>2272</v>
      </c>
      <c r="I1688" s="198" t="s">
        <v>2272</v>
      </c>
      <c r="J1688" s="198" t="s">
        <v>2272</v>
      </c>
      <c r="K1688" s="198" t="s">
        <v>2272</v>
      </c>
      <c r="L1688" s="198" t="s">
        <v>2272</v>
      </c>
      <c r="M1688" s="198" t="s">
        <v>2272</v>
      </c>
      <c r="N1688" s="198" t="s">
        <v>2272</v>
      </c>
      <c r="O1688" s="198" t="s">
        <v>2272</v>
      </c>
      <c r="P1688" s="198" t="s">
        <v>2272</v>
      </c>
      <c r="Q1688" s="198" t="s">
        <v>2272</v>
      </c>
      <c r="R1688" s="198" t="s">
        <v>2272</v>
      </c>
      <c r="S1688" s="198" t="s">
        <v>2272</v>
      </c>
      <c r="T1688" s="198"/>
    </row>
    <row r="1689" spans="1:20" s="197" customFormat="1" ht="43.5" customHeight="1">
      <c r="A1689" s="11" t="s">
        <v>10699</v>
      </c>
      <c r="B1689" s="198" t="s">
        <v>2272</v>
      </c>
      <c r="C1689" s="198" t="s">
        <v>2272</v>
      </c>
      <c r="D1689" s="198" t="s">
        <v>2272</v>
      </c>
      <c r="E1689" s="198" t="s">
        <v>2272</v>
      </c>
      <c r="F1689" s="198" t="s">
        <v>2272</v>
      </c>
      <c r="G1689" s="198" t="s">
        <v>2272</v>
      </c>
      <c r="H1689" s="198" t="s">
        <v>2272</v>
      </c>
      <c r="I1689" s="198" t="s">
        <v>2272</v>
      </c>
      <c r="J1689" s="198" t="s">
        <v>2272</v>
      </c>
      <c r="K1689" s="198" t="s">
        <v>2272</v>
      </c>
      <c r="L1689" s="198" t="s">
        <v>2272</v>
      </c>
      <c r="M1689" s="198" t="s">
        <v>2272</v>
      </c>
      <c r="N1689" s="198" t="s">
        <v>2272</v>
      </c>
      <c r="O1689" s="198" t="s">
        <v>2272</v>
      </c>
      <c r="P1689" s="198" t="s">
        <v>2272</v>
      </c>
      <c r="Q1689" s="198" t="s">
        <v>2272</v>
      </c>
      <c r="R1689" s="198" t="s">
        <v>2272</v>
      </c>
      <c r="S1689" s="198" t="s">
        <v>2272</v>
      </c>
      <c r="T1689" s="198"/>
    </row>
    <row r="1690" spans="1:20" s="197" customFormat="1" ht="43.5" customHeight="1">
      <c r="A1690" s="11" t="s">
        <v>10700</v>
      </c>
      <c r="B1690" s="198" t="s">
        <v>2272</v>
      </c>
      <c r="C1690" s="198" t="s">
        <v>2272</v>
      </c>
      <c r="D1690" s="198" t="s">
        <v>2272</v>
      </c>
      <c r="E1690" s="198" t="s">
        <v>2272</v>
      </c>
      <c r="F1690" s="198" t="s">
        <v>2272</v>
      </c>
      <c r="G1690" s="198" t="s">
        <v>2272</v>
      </c>
      <c r="H1690" s="198" t="s">
        <v>2272</v>
      </c>
      <c r="I1690" s="198" t="s">
        <v>2272</v>
      </c>
      <c r="J1690" s="198" t="s">
        <v>2272</v>
      </c>
      <c r="K1690" s="198" t="s">
        <v>2272</v>
      </c>
      <c r="L1690" s="198" t="s">
        <v>2272</v>
      </c>
      <c r="M1690" s="198" t="s">
        <v>2272</v>
      </c>
      <c r="N1690" s="198" t="s">
        <v>2272</v>
      </c>
      <c r="O1690" s="198" t="s">
        <v>2272</v>
      </c>
      <c r="P1690" s="198" t="s">
        <v>2272</v>
      </c>
      <c r="Q1690" s="198" t="s">
        <v>2272</v>
      </c>
      <c r="R1690" s="198" t="s">
        <v>2272</v>
      </c>
      <c r="S1690" s="198" t="s">
        <v>2272</v>
      </c>
      <c r="T1690" s="198"/>
    </row>
    <row r="1691" spans="1:20" s="197" customFormat="1" ht="43.5" customHeight="1">
      <c r="A1691" s="11" t="s">
        <v>10701</v>
      </c>
      <c r="B1691" s="198" t="s">
        <v>2272</v>
      </c>
      <c r="C1691" s="198" t="s">
        <v>2272</v>
      </c>
      <c r="D1691" s="198" t="s">
        <v>2272</v>
      </c>
      <c r="E1691" s="198" t="s">
        <v>2272</v>
      </c>
      <c r="F1691" s="198" t="s">
        <v>2272</v>
      </c>
      <c r="G1691" s="198" t="s">
        <v>2272</v>
      </c>
      <c r="H1691" s="198" t="s">
        <v>2272</v>
      </c>
      <c r="I1691" s="198" t="s">
        <v>2272</v>
      </c>
      <c r="J1691" s="198" t="s">
        <v>2272</v>
      </c>
      <c r="K1691" s="198" t="s">
        <v>2272</v>
      </c>
      <c r="L1691" s="198" t="s">
        <v>2272</v>
      </c>
      <c r="M1691" s="198" t="s">
        <v>2272</v>
      </c>
      <c r="N1691" s="198" t="s">
        <v>2272</v>
      </c>
      <c r="O1691" s="198" t="s">
        <v>2272</v>
      </c>
      <c r="P1691" s="198" t="s">
        <v>2272</v>
      </c>
      <c r="Q1691" s="198" t="s">
        <v>2272</v>
      </c>
      <c r="R1691" s="198" t="s">
        <v>2272</v>
      </c>
      <c r="S1691" s="198" t="s">
        <v>2272</v>
      </c>
      <c r="T1691" s="198"/>
    </row>
    <row r="1692" spans="1:20" s="197" customFormat="1" ht="43.5" customHeight="1">
      <c r="A1692" s="11" t="s">
        <v>10702</v>
      </c>
      <c r="B1692" s="198" t="s">
        <v>2272</v>
      </c>
      <c r="C1692" s="198" t="s">
        <v>2272</v>
      </c>
      <c r="D1692" s="198" t="s">
        <v>2272</v>
      </c>
      <c r="E1692" s="198" t="s">
        <v>2272</v>
      </c>
      <c r="F1692" s="198" t="s">
        <v>2272</v>
      </c>
      <c r="G1692" s="198" t="s">
        <v>2272</v>
      </c>
      <c r="H1692" s="198" t="s">
        <v>2272</v>
      </c>
      <c r="I1692" s="198" t="s">
        <v>2272</v>
      </c>
      <c r="J1692" s="198" t="s">
        <v>2272</v>
      </c>
      <c r="K1692" s="198" t="s">
        <v>2272</v>
      </c>
      <c r="L1692" s="198" t="s">
        <v>2272</v>
      </c>
      <c r="M1692" s="198" t="s">
        <v>2272</v>
      </c>
      <c r="N1692" s="198" t="s">
        <v>2272</v>
      </c>
      <c r="O1692" s="198" t="s">
        <v>2272</v>
      </c>
      <c r="P1692" s="198" t="s">
        <v>2272</v>
      </c>
      <c r="Q1692" s="198" t="s">
        <v>2272</v>
      </c>
      <c r="R1692" s="198" t="s">
        <v>2272</v>
      </c>
      <c r="S1692" s="198" t="s">
        <v>2272</v>
      </c>
      <c r="T1692" s="198"/>
    </row>
    <row r="1693" spans="1:20" s="197" customFormat="1" ht="43.5" customHeight="1">
      <c r="A1693" s="11" t="s">
        <v>10703</v>
      </c>
      <c r="B1693" s="198" t="s">
        <v>2272</v>
      </c>
      <c r="C1693" s="198" t="s">
        <v>2272</v>
      </c>
      <c r="D1693" s="198" t="s">
        <v>2272</v>
      </c>
      <c r="E1693" s="198" t="s">
        <v>2272</v>
      </c>
      <c r="F1693" s="198" t="s">
        <v>2272</v>
      </c>
      <c r="G1693" s="198" t="s">
        <v>2272</v>
      </c>
      <c r="H1693" s="198" t="s">
        <v>2272</v>
      </c>
      <c r="I1693" s="198" t="s">
        <v>2272</v>
      </c>
      <c r="J1693" s="198" t="s">
        <v>2272</v>
      </c>
      <c r="K1693" s="198" t="s">
        <v>2272</v>
      </c>
      <c r="L1693" s="198" t="s">
        <v>2272</v>
      </c>
      <c r="M1693" s="198" t="s">
        <v>2272</v>
      </c>
      <c r="N1693" s="198" t="s">
        <v>2272</v>
      </c>
      <c r="O1693" s="198" t="s">
        <v>2272</v>
      </c>
      <c r="P1693" s="198" t="s">
        <v>2272</v>
      </c>
      <c r="Q1693" s="198" t="s">
        <v>2272</v>
      </c>
      <c r="R1693" s="198" t="s">
        <v>2272</v>
      </c>
      <c r="S1693" s="198" t="s">
        <v>2272</v>
      </c>
      <c r="T1693" s="198"/>
    </row>
    <row r="1694" spans="1:20" s="197" customFormat="1" ht="43.5" customHeight="1">
      <c r="A1694" s="11" t="s">
        <v>10704</v>
      </c>
      <c r="B1694" s="198" t="s">
        <v>2272</v>
      </c>
      <c r="C1694" s="198" t="s">
        <v>2272</v>
      </c>
      <c r="D1694" s="198" t="s">
        <v>2272</v>
      </c>
      <c r="E1694" s="198" t="s">
        <v>2272</v>
      </c>
      <c r="F1694" s="198" t="s">
        <v>2272</v>
      </c>
      <c r="G1694" s="198" t="s">
        <v>2272</v>
      </c>
      <c r="H1694" s="198" t="s">
        <v>2272</v>
      </c>
      <c r="I1694" s="198" t="s">
        <v>2272</v>
      </c>
      <c r="J1694" s="198" t="s">
        <v>2272</v>
      </c>
      <c r="K1694" s="198" t="s">
        <v>2272</v>
      </c>
      <c r="L1694" s="198" t="s">
        <v>2272</v>
      </c>
      <c r="M1694" s="198" t="s">
        <v>2272</v>
      </c>
      <c r="N1694" s="198" t="s">
        <v>2272</v>
      </c>
      <c r="O1694" s="198" t="s">
        <v>2272</v>
      </c>
      <c r="P1694" s="198" t="s">
        <v>2272</v>
      </c>
      <c r="Q1694" s="198" t="s">
        <v>2272</v>
      </c>
      <c r="R1694" s="198" t="s">
        <v>2272</v>
      </c>
      <c r="S1694" s="198" t="s">
        <v>2272</v>
      </c>
      <c r="T1694" s="198"/>
    </row>
    <row r="1695" spans="1:20" s="197" customFormat="1" ht="43.5" customHeight="1">
      <c r="A1695" s="11" t="s">
        <v>10705</v>
      </c>
      <c r="B1695" s="198" t="s">
        <v>2272</v>
      </c>
      <c r="C1695" s="198" t="s">
        <v>2272</v>
      </c>
      <c r="D1695" s="198" t="s">
        <v>2272</v>
      </c>
      <c r="E1695" s="198" t="s">
        <v>2272</v>
      </c>
      <c r="F1695" s="198" t="s">
        <v>2272</v>
      </c>
      <c r="G1695" s="198" t="s">
        <v>2272</v>
      </c>
      <c r="H1695" s="198" t="s">
        <v>2272</v>
      </c>
      <c r="I1695" s="198" t="s">
        <v>2272</v>
      </c>
      <c r="J1695" s="198" t="s">
        <v>2272</v>
      </c>
      <c r="K1695" s="198" t="s">
        <v>2272</v>
      </c>
      <c r="L1695" s="198" t="s">
        <v>2272</v>
      </c>
      <c r="M1695" s="198" t="s">
        <v>2272</v>
      </c>
      <c r="N1695" s="198" t="s">
        <v>2272</v>
      </c>
      <c r="O1695" s="198" t="s">
        <v>2272</v>
      </c>
      <c r="P1695" s="198" t="s">
        <v>2272</v>
      </c>
      <c r="Q1695" s="198" t="s">
        <v>2272</v>
      </c>
      <c r="R1695" s="198" t="s">
        <v>2272</v>
      </c>
      <c r="S1695" s="198" t="s">
        <v>2272</v>
      </c>
      <c r="T1695" s="198"/>
    </row>
    <row r="1696" spans="1:20" s="197" customFormat="1" ht="43.5" customHeight="1">
      <c r="A1696" s="11" t="s">
        <v>10706</v>
      </c>
      <c r="B1696" s="198" t="s">
        <v>2272</v>
      </c>
      <c r="C1696" s="198" t="s">
        <v>2272</v>
      </c>
      <c r="D1696" s="198" t="s">
        <v>2272</v>
      </c>
      <c r="E1696" s="198" t="s">
        <v>2272</v>
      </c>
      <c r="F1696" s="198" t="s">
        <v>2272</v>
      </c>
      <c r="G1696" s="198" t="s">
        <v>2272</v>
      </c>
      <c r="H1696" s="198" t="s">
        <v>2272</v>
      </c>
      <c r="I1696" s="198" t="s">
        <v>2272</v>
      </c>
      <c r="J1696" s="198" t="s">
        <v>2272</v>
      </c>
      <c r="K1696" s="198" t="s">
        <v>2272</v>
      </c>
      <c r="L1696" s="198" t="s">
        <v>2272</v>
      </c>
      <c r="M1696" s="198" t="s">
        <v>2272</v>
      </c>
      <c r="N1696" s="198" t="s">
        <v>2272</v>
      </c>
      <c r="O1696" s="198" t="s">
        <v>2272</v>
      </c>
      <c r="P1696" s="198" t="s">
        <v>2272</v>
      </c>
      <c r="Q1696" s="198" t="s">
        <v>2272</v>
      </c>
      <c r="R1696" s="198" t="s">
        <v>2272</v>
      </c>
      <c r="S1696" s="198" t="s">
        <v>2272</v>
      </c>
      <c r="T1696" s="198"/>
    </row>
    <row r="1697" spans="1:20" s="197" customFormat="1" ht="43.5" customHeight="1">
      <c r="A1697" s="11" t="s">
        <v>10707</v>
      </c>
      <c r="B1697" s="198" t="s">
        <v>2272</v>
      </c>
      <c r="C1697" s="198" t="s">
        <v>2272</v>
      </c>
      <c r="D1697" s="198" t="s">
        <v>2272</v>
      </c>
      <c r="E1697" s="198" t="s">
        <v>2272</v>
      </c>
      <c r="F1697" s="198" t="s">
        <v>2272</v>
      </c>
      <c r="G1697" s="198" t="s">
        <v>2272</v>
      </c>
      <c r="H1697" s="198" t="s">
        <v>2272</v>
      </c>
      <c r="I1697" s="198" t="s">
        <v>2272</v>
      </c>
      <c r="J1697" s="198" t="s">
        <v>2272</v>
      </c>
      <c r="K1697" s="198" t="s">
        <v>2272</v>
      </c>
      <c r="L1697" s="198" t="s">
        <v>2272</v>
      </c>
      <c r="M1697" s="198" t="s">
        <v>2272</v>
      </c>
      <c r="N1697" s="198" t="s">
        <v>2272</v>
      </c>
      <c r="O1697" s="198" t="s">
        <v>2272</v>
      </c>
      <c r="P1697" s="198" t="s">
        <v>2272</v>
      </c>
      <c r="Q1697" s="198" t="s">
        <v>2272</v>
      </c>
      <c r="R1697" s="198" t="s">
        <v>2272</v>
      </c>
      <c r="S1697" s="198" t="s">
        <v>2272</v>
      </c>
      <c r="T1697" s="198"/>
    </row>
    <row r="1698" spans="1:20" s="197" customFormat="1" ht="43.5" customHeight="1">
      <c r="A1698" s="11" t="s">
        <v>10708</v>
      </c>
      <c r="B1698" s="198" t="s">
        <v>2272</v>
      </c>
      <c r="C1698" s="198" t="s">
        <v>2272</v>
      </c>
      <c r="D1698" s="198" t="s">
        <v>2272</v>
      </c>
      <c r="E1698" s="198" t="s">
        <v>2272</v>
      </c>
      <c r="F1698" s="198" t="s">
        <v>2272</v>
      </c>
      <c r="G1698" s="198" t="s">
        <v>2272</v>
      </c>
      <c r="H1698" s="198" t="s">
        <v>2272</v>
      </c>
      <c r="I1698" s="198" t="s">
        <v>2272</v>
      </c>
      <c r="J1698" s="198" t="s">
        <v>2272</v>
      </c>
      <c r="K1698" s="198" t="s">
        <v>2272</v>
      </c>
      <c r="L1698" s="198" t="s">
        <v>2272</v>
      </c>
      <c r="M1698" s="198" t="s">
        <v>2272</v>
      </c>
      <c r="N1698" s="198" t="s">
        <v>2272</v>
      </c>
      <c r="O1698" s="198" t="s">
        <v>2272</v>
      </c>
      <c r="P1698" s="198" t="s">
        <v>2272</v>
      </c>
      <c r="Q1698" s="198" t="s">
        <v>2272</v>
      </c>
      <c r="R1698" s="198" t="s">
        <v>2272</v>
      </c>
      <c r="S1698" s="198" t="s">
        <v>2272</v>
      </c>
      <c r="T1698" s="198"/>
    </row>
    <row r="1699" spans="1:20" s="197" customFormat="1" ht="43.5" customHeight="1">
      <c r="A1699" s="11" t="s">
        <v>10709</v>
      </c>
      <c r="B1699" s="198" t="s">
        <v>2272</v>
      </c>
      <c r="C1699" s="198" t="s">
        <v>2272</v>
      </c>
      <c r="D1699" s="198" t="s">
        <v>2272</v>
      </c>
      <c r="E1699" s="198" t="s">
        <v>2272</v>
      </c>
      <c r="F1699" s="198" t="s">
        <v>2272</v>
      </c>
      <c r="G1699" s="198" t="s">
        <v>2272</v>
      </c>
      <c r="H1699" s="198" t="s">
        <v>2272</v>
      </c>
      <c r="I1699" s="198" t="s">
        <v>2272</v>
      </c>
      <c r="J1699" s="198" t="s">
        <v>2272</v>
      </c>
      <c r="K1699" s="198" t="s">
        <v>2272</v>
      </c>
      <c r="L1699" s="198" t="s">
        <v>2272</v>
      </c>
      <c r="M1699" s="198" t="s">
        <v>2272</v>
      </c>
      <c r="N1699" s="198" t="s">
        <v>2272</v>
      </c>
      <c r="O1699" s="198" t="s">
        <v>2272</v>
      </c>
      <c r="P1699" s="198" t="s">
        <v>2272</v>
      </c>
      <c r="Q1699" s="198" t="s">
        <v>2272</v>
      </c>
      <c r="R1699" s="198" t="s">
        <v>2272</v>
      </c>
      <c r="S1699" s="198" t="s">
        <v>2272</v>
      </c>
      <c r="T1699" s="198"/>
    </row>
    <row r="1700" spans="1:20" s="197" customFormat="1" ht="43.5" customHeight="1">
      <c r="A1700" s="11" t="s">
        <v>10710</v>
      </c>
      <c r="B1700" s="198" t="s">
        <v>2272</v>
      </c>
      <c r="C1700" s="198" t="s">
        <v>2272</v>
      </c>
      <c r="D1700" s="198" t="s">
        <v>2272</v>
      </c>
      <c r="E1700" s="198" t="s">
        <v>2272</v>
      </c>
      <c r="F1700" s="198" t="s">
        <v>2272</v>
      </c>
      <c r="G1700" s="198" t="s">
        <v>2272</v>
      </c>
      <c r="H1700" s="198" t="s">
        <v>2272</v>
      </c>
      <c r="I1700" s="198" t="s">
        <v>2272</v>
      </c>
      <c r="J1700" s="198" t="s">
        <v>2272</v>
      </c>
      <c r="K1700" s="198" t="s">
        <v>2272</v>
      </c>
      <c r="L1700" s="198" t="s">
        <v>2272</v>
      </c>
      <c r="M1700" s="198" t="s">
        <v>2272</v>
      </c>
      <c r="N1700" s="198" t="s">
        <v>2272</v>
      </c>
      <c r="O1700" s="198" t="s">
        <v>2272</v>
      </c>
      <c r="P1700" s="198" t="s">
        <v>2272</v>
      </c>
      <c r="Q1700" s="198" t="s">
        <v>2272</v>
      </c>
      <c r="R1700" s="198" t="s">
        <v>2272</v>
      </c>
      <c r="S1700" s="198" t="s">
        <v>2272</v>
      </c>
      <c r="T1700" s="198"/>
    </row>
    <row r="1701" spans="1:20" s="197" customFormat="1" ht="43.5" customHeight="1">
      <c r="A1701" s="11" t="s">
        <v>10711</v>
      </c>
      <c r="B1701" s="198" t="s">
        <v>2272</v>
      </c>
      <c r="C1701" s="198" t="s">
        <v>2272</v>
      </c>
      <c r="D1701" s="198" t="s">
        <v>2272</v>
      </c>
      <c r="E1701" s="198" t="s">
        <v>2272</v>
      </c>
      <c r="F1701" s="198" t="s">
        <v>2272</v>
      </c>
      <c r="G1701" s="198" t="s">
        <v>2272</v>
      </c>
      <c r="H1701" s="198" t="s">
        <v>2272</v>
      </c>
      <c r="I1701" s="198" t="s">
        <v>2272</v>
      </c>
      <c r="J1701" s="198" t="s">
        <v>2272</v>
      </c>
      <c r="K1701" s="198" t="s">
        <v>2272</v>
      </c>
      <c r="L1701" s="198" t="s">
        <v>2272</v>
      </c>
      <c r="M1701" s="198" t="s">
        <v>2272</v>
      </c>
      <c r="N1701" s="198" t="s">
        <v>2272</v>
      </c>
      <c r="O1701" s="198" t="s">
        <v>2272</v>
      </c>
      <c r="P1701" s="198" t="s">
        <v>2272</v>
      </c>
      <c r="Q1701" s="198" t="s">
        <v>2272</v>
      </c>
      <c r="R1701" s="198" t="s">
        <v>2272</v>
      </c>
      <c r="S1701" s="198" t="s">
        <v>2272</v>
      </c>
      <c r="T1701" s="198"/>
    </row>
    <row r="1702" spans="1:20" s="197" customFormat="1" ht="43.5" customHeight="1">
      <c r="A1702" s="11" t="s">
        <v>10712</v>
      </c>
      <c r="B1702" s="198" t="s">
        <v>2272</v>
      </c>
      <c r="C1702" s="198" t="s">
        <v>2272</v>
      </c>
      <c r="D1702" s="198" t="s">
        <v>2272</v>
      </c>
      <c r="E1702" s="198" t="s">
        <v>2272</v>
      </c>
      <c r="F1702" s="198" t="s">
        <v>2272</v>
      </c>
      <c r="G1702" s="198" t="s">
        <v>2272</v>
      </c>
      <c r="H1702" s="198" t="s">
        <v>2272</v>
      </c>
      <c r="I1702" s="198" t="s">
        <v>2272</v>
      </c>
      <c r="J1702" s="198" t="s">
        <v>2272</v>
      </c>
      <c r="K1702" s="198" t="s">
        <v>2272</v>
      </c>
      <c r="L1702" s="198" t="s">
        <v>2272</v>
      </c>
      <c r="M1702" s="198" t="s">
        <v>2272</v>
      </c>
      <c r="N1702" s="198" t="s">
        <v>2272</v>
      </c>
      <c r="O1702" s="198" t="s">
        <v>2272</v>
      </c>
      <c r="P1702" s="198" t="s">
        <v>2272</v>
      </c>
      <c r="Q1702" s="198" t="s">
        <v>2272</v>
      </c>
      <c r="R1702" s="198" t="s">
        <v>2272</v>
      </c>
      <c r="S1702" s="198" t="s">
        <v>2272</v>
      </c>
      <c r="T1702" s="198"/>
    </row>
    <row r="1703" spans="1:20" s="197" customFormat="1" ht="43.5" customHeight="1">
      <c r="A1703" s="11" t="s">
        <v>10713</v>
      </c>
      <c r="B1703" s="198" t="s">
        <v>2272</v>
      </c>
      <c r="C1703" s="198" t="s">
        <v>2272</v>
      </c>
      <c r="D1703" s="198" t="s">
        <v>2272</v>
      </c>
      <c r="E1703" s="198" t="s">
        <v>2272</v>
      </c>
      <c r="F1703" s="198" t="s">
        <v>2272</v>
      </c>
      <c r="G1703" s="198" t="s">
        <v>2272</v>
      </c>
      <c r="H1703" s="198" t="s">
        <v>2272</v>
      </c>
      <c r="I1703" s="198" t="s">
        <v>2272</v>
      </c>
      <c r="J1703" s="198" t="s">
        <v>2272</v>
      </c>
      <c r="K1703" s="198" t="s">
        <v>2272</v>
      </c>
      <c r="L1703" s="198" t="s">
        <v>2272</v>
      </c>
      <c r="M1703" s="198" t="s">
        <v>2272</v>
      </c>
      <c r="N1703" s="198" t="s">
        <v>2272</v>
      </c>
      <c r="O1703" s="198" t="s">
        <v>2272</v>
      </c>
      <c r="P1703" s="198" t="s">
        <v>2272</v>
      </c>
      <c r="Q1703" s="198" t="s">
        <v>2272</v>
      </c>
      <c r="R1703" s="198" t="s">
        <v>2272</v>
      </c>
      <c r="S1703" s="198" t="s">
        <v>2272</v>
      </c>
      <c r="T1703" s="198"/>
    </row>
    <row r="1704" spans="1:20" s="197" customFormat="1" ht="43.5" customHeight="1">
      <c r="A1704" s="11" t="s">
        <v>10714</v>
      </c>
      <c r="B1704" s="198" t="s">
        <v>2272</v>
      </c>
      <c r="C1704" s="198" t="s">
        <v>2272</v>
      </c>
      <c r="D1704" s="198" t="s">
        <v>2272</v>
      </c>
      <c r="E1704" s="198" t="s">
        <v>2272</v>
      </c>
      <c r="F1704" s="198" t="s">
        <v>2272</v>
      </c>
      <c r="G1704" s="198" t="s">
        <v>2272</v>
      </c>
      <c r="H1704" s="198" t="s">
        <v>2272</v>
      </c>
      <c r="I1704" s="198" t="s">
        <v>2272</v>
      </c>
      <c r="J1704" s="198" t="s">
        <v>2272</v>
      </c>
      <c r="K1704" s="198" t="s">
        <v>2272</v>
      </c>
      <c r="L1704" s="198" t="s">
        <v>2272</v>
      </c>
      <c r="M1704" s="198" t="s">
        <v>2272</v>
      </c>
      <c r="N1704" s="198" t="s">
        <v>2272</v>
      </c>
      <c r="O1704" s="198" t="s">
        <v>2272</v>
      </c>
      <c r="P1704" s="198" t="s">
        <v>2272</v>
      </c>
      <c r="Q1704" s="198" t="s">
        <v>2272</v>
      </c>
      <c r="R1704" s="198" t="s">
        <v>2272</v>
      </c>
      <c r="S1704" s="198" t="s">
        <v>2272</v>
      </c>
      <c r="T1704" s="198"/>
    </row>
    <row r="1705" spans="1:20" s="197" customFormat="1" ht="43.5" customHeight="1">
      <c r="A1705" s="11" t="s">
        <v>10715</v>
      </c>
      <c r="B1705" s="198" t="s">
        <v>2272</v>
      </c>
      <c r="C1705" s="198" t="s">
        <v>2272</v>
      </c>
      <c r="D1705" s="198" t="s">
        <v>2272</v>
      </c>
      <c r="E1705" s="198" t="s">
        <v>2272</v>
      </c>
      <c r="F1705" s="198" t="s">
        <v>2272</v>
      </c>
      <c r="G1705" s="198" t="s">
        <v>2272</v>
      </c>
      <c r="H1705" s="198" t="s">
        <v>2272</v>
      </c>
      <c r="I1705" s="198" t="s">
        <v>2272</v>
      </c>
      <c r="J1705" s="198" t="s">
        <v>2272</v>
      </c>
      <c r="K1705" s="198" t="s">
        <v>2272</v>
      </c>
      <c r="L1705" s="198" t="s">
        <v>2272</v>
      </c>
      <c r="M1705" s="198" t="s">
        <v>2272</v>
      </c>
      <c r="N1705" s="198" t="s">
        <v>2272</v>
      </c>
      <c r="O1705" s="198" t="s">
        <v>2272</v>
      </c>
      <c r="P1705" s="198" t="s">
        <v>2272</v>
      </c>
      <c r="Q1705" s="198" t="s">
        <v>2272</v>
      </c>
      <c r="R1705" s="198" t="s">
        <v>2272</v>
      </c>
      <c r="S1705" s="198" t="s">
        <v>2272</v>
      </c>
      <c r="T1705" s="198"/>
    </row>
    <row r="1706" spans="1:20" s="197" customFormat="1" ht="43.5" customHeight="1">
      <c r="A1706" s="11" t="s">
        <v>10716</v>
      </c>
      <c r="B1706" s="198" t="s">
        <v>2272</v>
      </c>
      <c r="C1706" s="198" t="s">
        <v>2272</v>
      </c>
      <c r="D1706" s="198" t="s">
        <v>2272</v>
      </c>
      <c r="E1706" s="198" t="s">
        <v>2272</v>
      </c>
      <c r="F1706" s="198" t="s">
        <v>2272</v>
      </c>
      <c r="G1706" s="198" t="s">
        <v>2272</v>
      </c>
      <c r="H1706" s="198" t="s">
        <v>2272</v>
      </c>
      <c r="I1706" s="198" t="s">
        <v>2272</v>
      </c>
      <c r="J1706" s="198" t="s">
        <v>2272</v>
      </c>
      <c r="K1706" s="198" t="s">
        <v>2272</v>
      </c>
      <c r="L1706" s="198" t="s">
        <v>2272</v>
      </c>
      <c r="M1706" s="198" t="s">
        <v>2272</v>
      </c>
      <c r="N1706" s="198" t="s">
        <v>2272</v>
      </c>
      <c r="O1706" s="198" t="s">
        <v>2272</v>
      </c>
      <c r="P1706" s="198" t="s">
        <v>2272</v>
      </c>
      <c r="Q1706" s="198" t="s">
        <v>2272</v>
      </c>
      <c r="R1706" s="198" t="s">
        <v>2272</v>
      </c>
      <c r="S1706" s="198" t="s">
        <v>2272</v>
      </c>
      <c r="T1706" s="198"/>
    </row>
    <row r="1707" spans="1:20" s="197" customFormat="1" ht="43.5" customHeight="1">
      <c r="A1707" s="11" t="s">
        <v>10717</v>
      </c>
      <c r="B1707" s="198" t="s">
        <v>2272</v>
      </c>
      <c r="C1707" s="198" t="s">
        <v>2272</v>
      </c>
      <c r="D1707" s="198" t="s">
        <v>2272</v>
      </c>
      <c r="E1707" s="198" t="s">
        <v>2272</v>
      </c>
      <c r="F1707" s="198" t="s">
        <v>2272</v>
      </c>
      <c r="G1707" s="198" t="s">
        <v>2272</v>
      </c>
      <c r="H1707" s="198" t="s">
        <v>2272</v>
      </c>
      <c r="I1707" s="198" t="s">
        <v>2272</v>
      </c>
      <c r="J1707" s="198" t="s">
        <v>2272</v>
      </c>
      <c r="K1707" s="198" t="s">
        <v>2272</v>
      </c>
      <c r="L1707" s="198" t="s">
        <v>2272</v>
      </c>
      <c r="M1707" s="198" t="s">
        <v>2272</v>
      </c>
      <c r="N1707" s="198" t="s">
        <v>2272</v>
      </c>
      <c r="O1707" s="198" t="s">
        <v>2272</v>
      </c>
      <c r="P1707" s="198" t="s">
        <v>2272</v>
      </c>
      <c r="Q1707" s="198" t="s">
        <v>2272</v>
      </c>
      <c r="R1707" s="198" t="s">
        <v>2272</v>
      </c>
      <c r="S1707" s="198" t="s">
        <v>2272</v>
      </c>
      <c r="T1707" s="198"/>
    </row>
    <row r="1708" spans="1:20" s="197" customFormat="1" ht="43.5" customHeight="1">
      <c r="A1708" s="11" t="s">
        <v>10718</v>
      </c>
      <c r="B1708" s="198" t="s">
        <v>2272</v>
      </c>
      <c r="C1708" s="198" t="s">
        <v>2272</v>
      </c>
      <c r="D1708" s="198" t="s">
        <v>2272</v>
      </c>
      <c r="E1708" s="198" t="s">
        <v>2272</v>
      </c>
      <c r="F1708" s="198" t="s">
        <v>2272</v>
      </c>
      <c r="G1708" s="198" t="s">
        <v>2272</v>
      </c>
      <c r="H1708" s="198" t="s">
        <v>2272</v>
      </c>
      <c r="I1708" s="198" t="s">
        <v>2272</v>
      </c>
      <c r="J1708" s="198" t="s">
        <v>2272</v>
      </c>
      <c r="K1708" s="198" t="s">
        <v>2272</v>
      </c>
      <c r="L1708" s="198" t="s">
        <v>2272</v>
      </c>
      <c r="M1708" s="198" t="s">
        <v>2272</v>
      </c>
      <c r="N1708" s="198" t="s">
        <v>2272</v>
      </c>
      <c r="O1708" s="198" t="s">
        <v>2272</v>
      </c>
      <c r="P1708" s="198" t="s">
        <v>2272</v>
      </c>
      <c r="Q1708" s="198" t="s">
        <v>2272</v>
      </c>
      <c r="R1708" s="198" t="s">
        <v>2272</v>
      </c>
      <c r="S1708" s="198" t="s">
        <v>2272</v>
      </c>
      <c r="T1708" s="198"/>
    </row>
    <row r="1709" spans="1:20" s="197" customFormat="1" ht="43.5" customHeight="1">
      <c r="A1709" s="11" t="s">
        <v>10719</v>
      </c>
      <c r="B1709" s="198" t="s">
        <v>2272</v>
      </c>
      <c r="C1709" s="198" t="s">
        <v>2272</v>
      </c>
      <c r="D1709" s="198" t="s">
        <v>2272</v>
      </c>
      <c r="E1709" s="198" t="s">
        <v>2272</v>
      </c>
      <c r="F1709" s="198" t="s">
        <v>2272</v>
      </c>
      <c r="G1709" s="198" t="s">
        <v>2272</v>
      </c>
      <c r="H1709" s="198" t="s">
        <v>2272</v>
      </c>
      <c r="I1709" s="198" t="s">
        <v>2272</v>
      </c>
      <c r="J1709" s="198" t="s">
        <v>2272</v>
      </c>
      <c r="K1709" s="198" t="s">
        <v>2272</v>
      </c>
      <c r="L1709" s="198" t="s">
        <v>2272</v>
      </c>
      <c r="M1709" s="198" t="s">
        <v>2272</v>
      </c>
      <c r="N1709" s="198" t="s">
        <v>2272</v>
      </c>
      <c r="O1709" s="198" t="s">
        <v>2272</v>
      </c>
      <c r="P1709" s="198" t="s">
        <v>2272</v>
      </c>
      <c r="Q1709" s="198" t="s">
        <v>2272</v>
      </c>
      <c r="R1709" s="198" t="s">
        <v>2272</v>
      </c>
      <c r="S1709" s="198" t="s">
        <v>2272</v>
      </c>
      <c r="T1709" s="198"/>
    </row>
    <row r="1710" spans="1:20" s="197" customFormat="1" ht="43.5" customHeight="1">
      <c r="A1710" s="11" t="s">
        <v>10720</v>
      </c>
      <c r="B1710" s="198" t="s">
        <v>2272</v>
      </c>
      <c r="C1710" s="198" t="s">
        <v>2272</v>
      </c>
      <c r="D1710" s="198" t="s">
        <v>2272</v>
      </c>
      <c r="E1710" s="198" t="s">
        <v>2272</v>
      </c>
      <c r="F1710" s="198" t="s">
        <v>2272</v>
      </c>
      <c r="G1710" s="198" t="s">
        <v>2272</v>
      </c>
      <c r="H1710" s="198" t="s">
        <v>2272</v>
      </c>
      <c r="I1710" s="198" t="s">
        <v>2272</v>
      </c>
      <c r="J1710" s="198" t="s">
        <v>2272</v>
      </c>
      <c r="K1710" s="198" t="s">
        <v>2272</v>
      </c>
      <c r="L1710" s="198" t="s">
        <v>2272</v>
      </c>
      <c r="M1710" s="198" t="s">
        <v>2272</v>
      </c>
      <c r="N1710" s="198" t="s">
        <v>2272</v>
      </c>
      <c r="O1710" s="198" t="s">
        <v>2272</v>
      </c>
      <c r="P1710" s="198" t="s">
        <v>2272</v>
      </c>
      <c r="Q1710" s="198" t="s">
        <v>2272</v>
      </c>
      <c r="R1710" s="198" t="s">
        <v>2272</v>
      </c>
      <c r="S1710" s="198" t="s">
        <v>2272</v>
      </c>
      <c r="T1710" s="198"/>
    </row>
    <row r="1711" spans="1:20" s="197" customFormat="1" ht="43.5" customHeight="1">
      <c r="A1711" s="11" t="s">
        <v>10721</v>
      </c>
      <c r="B1711" s="198" t="s">
        <v>2272</v>
      </c>
      <c r="C1711" s="198" t="s">
        <v>2272</v>
      </c>
      <c r="D1711" s="198" t="s">
        <v>2272</v>
      </c>
      <c r="E1711" s="198" t="s">
        <v>2272</v>
      </c>
      <c r="F1711" s="198" t="s">
        <v>2272</v>
      </c>
      <c r="G1711" s="198" t="s">
        <v>2272</v>
      </c>
      <c r="H1711" s="198" t="s">
        <v>2272</v>
      </c>
      <c r="I1711" s="198" t="s">
        <v>2272</v>
      </c>
      <c r="J1711" s="198" t="s">
        <v>2272</v>
      </c>
      <c r="K1711" s="198" t="s">
        <v>2272</v>
      </c>
      <c r="L1711" s="198" t="s">
        <v>2272</v>
      </c>
      <c r="M1711" s="198" t="s">
        <v>2272</v>
      </c>
      <c r="N1711" s="198" t="s">
        <v>2272</v>
      </c>
      <c r="O1711" s="198" t="s">
        <v>2272</v>
      </c>
      <c r="P1711" s="198" t="s">
        <v>2272</v>
      </c>
      <c r="Q1711" s="198" t="s">
        <v>2272</v>
      </c>
      <c r="R1711" s="198" t="s">
        <v>2272</v>
      </c>
      <c r="S1711" s="198" t="s">
        <v>2272</v>
      </c>
      <c r="T1711" s="198"/>
    </row>
    <row r="1712" spans="1:20" s="197" customFormat="1" ht="43.5" customHeight="1">
      <c r="A1712" s="11" t="s">
        <v>10722</v>
      </c>
      <c r="B1712" s="198" t="s">
        <v>2272</v>
      </c>
      <c r="C1712" s="198" t="s">
        <v>2272</v>
      </c>
      <c r="D1712" s="198" t="s">
        <v>2272</v>
      </c>
      <c r="E1712" s="198" t="s">
        <v>2272</v>
      </c>
      <c r="F1712" s="198" t="s">
        <v>2272</v>
      </c>
      <c r="G1712" s="198" t="s">
        <v>2272</v>
      </c>
      <c r="H1712" s="198" t="s">
        <v>2272</v>
      </c>
      <c r="I1712" s="198" t="s">
        <v>2272</v>
      </c>
      <c r="J1712" s="198" t="s">
        <v>2272</v>
      </c>
      <c r="K1712" s="198" t="s">
        <v>2272</v>
      </c>
      <c r="L1712" s="198" t="s">
        <v>2272</v>
      </c>
      <c r="M1712" s="198" t="s">
        <v>2272</v>
      </c>
      <c r="N1712" s="198" t="s">
        <v>2272</v>
      </c>
      <c r="O1712" s="198" t="s">
        <v>2272</v>
      </c>
      <c r="P1712" s="198" t="s">
        <v>2272</v>
      </c>
      <c r="Q1712" s="198" t="s">
        <v>2272</v>
      </c>
      <c r="R1712" s="198" t="s">
        <v>2272</v>
      </c>
      <c r="S1712" s="198" t="s">
        <v>2272</v>
      </c>
      <c r="T1712" s="198"/>
    </row>
    <row r="1713" spans="1:20" s="197" customFormat="1" ht="43.5" customHeight="1">
      <c r="A1713" s="11" t="s">
        <v>10723</v>
      </c>
      <c r="B1713" s="198" t="s">
        <v>2272</v>
      </c>
      <c r="C1713" s="198" t="s">
        <v>2272</v>
      </c>
      <c r="D1713" s="198" t="s">
        <v>2272</v>
      </c>
      <c r="E1713" s="198" t="s">
        <v>2272</v>
      </c>
      <c r="F1713" s="198" t="s">
        <v>2272</v>
      </c>
      <c r="G1713" s="198" t="s">
        <v>2272</v>
      </c>
      <c r="H1713" s="198" t="s">
        <v>2272</v>
      </c>
      <c r="I1713" s="198" t="s">
        <v>2272</v>
      </c>
      <c r="J1713" s="198" t="s">
        <v>2272</v>
      </c>
      <c r="K1713" s="198" t="s">
        <v>2272</v>
      </c>
      <c r="L1713" s="198" t="s">
        <v>2272</v>
      </c>
      <c r="M1713" s="198" t="s">
        <v>2272</v>
      </c>
      <c r="N1713" s="198" t="s">
        <v>2272</v>
      </c>
      <c r="O1713" s="198" t="s">
        <v>2272</v>
      </c>
      <c r="P1713" s="198" t="s">
        <v>2272</v>
      </c>
      <c r="Q1713" s="198" t="s">
        <v>2272</v>
      </c>
      <c r="R1713" s="198" t="s">
        <v>2272</v>
      </c>
      <c r="S1713" s="198" t="s">
        <v>2272</v>
      </c>
      <c r="T1713" s="198"/>
    </row>
    <row r="1714" spans="1:20" s="197" customFormat="1" ht="43.5" customHeight="1">
      <c r="A1714" s="11" t="s">
        <v>10724</v>
      </c>
      <c r="B1714" s="198" t="s">
        <v>2272</v>
      </c>
      <c r="C1714" s="198" t="s">
        <v>2272</v>
      </c>
      <c r="D1714" s="198" t="s">
        <v>2272</v>
      </c>
      <c r="E1714" s="198" t="s">
        <v>2272</v>
      </c>
      <c r="F1714" s="198" t="s">
        <v>2272</v>
      </c>
      <c r="G1714" s="198" t="s">
        <v>2272</v>
      </c>
      <c r="H1714" s="198" t="s">
        <v>2272</v>
      </c>
      <c r="I1714" s="198" t="s">
        <v>2272</v>
      </c>
      <c r="J1714" s="198" t="s">
        <v>2272</v>
      </c>
      <c r="K1714" s="198" t="s">
        <v>2272</v>
      </c>
      <c r="L1714" s="198" t="s">
        <v>2272</v>
      </c>
      <c r="M1714" s="198" t="s">
        <v>2272</v>
      </c>
      <c r="N1714" s="198" t="s">
        <v>2272</v>
      </c>
      <c r="O1714" s="198" t="s">
        <v>2272</v>
      </c>
      <c r="P1714" s="198" t="s">
        <v>2272</v>
      </c>
      <c r="Q1714" s="198" t="s">
        <v>2272</v>
      </c>
      <c r="R1714" s="198" t="s">
        <v>2272</v>
      </c>
      <c r="S1714" s="198" t="s">
        <v>2272</v>
      </c>
      <c r="T1714" s="198"/>
    </row>
    <row r="1715" spans="1:20" s="197" customFormat="1" ht="43.5" customHeight="1">
      <c r="A1715" s="11" t="s">
        <v>10725</v>
      </c>
      <c r="B1715" s="198" t="s">
        <v>2272</v>
      </c>
      <c r="C1715" s="198" t="s">
        <v>2272</v>
      </c>
      <c r="D1715" s="198" t="s">
        <v>2272</v>
      </c>
      <c r="E1715" s="198" t="s">
        <v>2272</v>
      </c>
      <c r="F1715" s="198" t="s">
        <v>2272</v>
      </c>
      <c r="G1715" s="198" t="s">
        <v>2272</v>
      </c>
      <c r="H1715" s="198" t="s">
        <v>2272</v>
      </c>
      <c r="I1715" s="198" t="s">
        <v>2272</v>
      </c>
      <c r="J1715" s="198" t="s">
        <v>2272</v>
      </c>
      <c r="K1715" s="198" t="s">
        <v>2272</v>
      </c>
      <c r="L1715" s="198" t="s">
        <v>2272</v>
      </c>
      <c r="M1715" s="198" t="s">
        <v>2272</v>
      </c>
      <c r="N1715" s="198" t="s">
        <v>2272</v>
      </c>
      <c r="O1715" s="198" t="s">
        <v>2272</v>
      </c>
      <c r="P1715" s="198" t="s">
        <v>2272</v>
      </c>
      <c r="Q1715" s="198" t="s">
        <v>2272</v>
      </c>
      <c r="R1715" s="198" t="s">
        <v>2272</v>
      </c>
      <c r="S1715" s="198" t="s">
        <v>2272</v>
      </c>
      <c r="T1715" s="198"/>
    </row>
    <row r="1716" spans="1:20" s="197" customFormat="1" ht="43.5" customHeight="1">
      <c r="A1716" s="11" t="s">
        <v>10726</v>
      </c>
      <c r="B1716" s="198" t="s">
        <v>2272</v>
      </c>
      <c r="C1716" s="198" t="s">
        <v>2272</v>
      </c>
      <c r="D1716" s="198" t="s">
        <v>2272</v>
      </c>
      <c r="E1716" s="198" t="s">
        <v>2272</v>
      </c>
      <c r="F1716" s="198" t="s">
        <v>2272</v>
      </c>
      <c r="G1716" s="198" t="s">
        <v>2272</v>
      </c>
      <c r="H1716" s="198" t="s">
        <v>2272</v>
      </c>
      <c r="I1716" s="198" t="s">
        <v>2272</v>
      </c>
      <c r="J1716" s="198" t="s">
        <v>2272</v>
      </c>
      <c r="K1716" s="198" t="s">
        <v>2272</v>
      </c>
      <c r="L1716" s="198" t="s">
        <v>2272</v>
      </c>
      <c r="M1716" s="198" t="s">
        <v>2272</v>
      </c>
      <c r="N1716" s="198" t="s">
        <v>2272</v>
      </c>
      <c r="O1716" s="198" t="s">
        <v>2272</v>
      </c>
      <c r="P1716" s="198" t="s">
        <v>2272</v>
      </c>
      <c r="Q1716" s="198" t="s">
        <v>2272</v>
      </c>
      <c r="R1716" s="198" t="s">
        <v>2272</v>
      </c>
      <c r="S1716" s="198" t="s">
        <v>2272</v>
      </c>
      <c r="T1716" s="198"/>
    </row>
    <row r="1717" spans="1:20" s="197" customFormat="1" ht="43.5" customHeight="1">
      <c r="A1717" s="11" t="s">
        <v>10727</v>
      </c>
      <c r="B1717" s="198" t="s">
        <v>2272</v>
      </c>
      <c r="C1717" s="198" t="s">
        <v>2272</v>
      </c>
      <c r="D1717" s="198" t="s">
        <v>2272</v>
      </c>
      <c r="E1717" s="198" t="s">
        <v>2272</v>
      </c>
      <c r="F1717" s="198" t="s">
        <v>2272</v>
      </c>
      <c r="G1717" s="198" t="s">
        <v>2272</v>
      </c>
      <c r="H1717" s="198" t="s">
        <v>2272</v>
      </c>
      <c r="I1717" s="198" t="s">
        <v>2272</v>
      </c>
      <c r="J1717" s="198" t="s">
        <v>2272</v>
      </c>
      <c r="K1717" s="198" t="s">
        <v>2272</v>
      </c>
      <c r="L1717" s="198" t="s">
        <v>2272</v>
      </c>
      <c r="M1717" s="198" t="s">
        <v>2272</v>
      </c>
      <c r="N1717" s="198" t="s">
        <v>2272</v>
      </c>
      <c r="O1717" s="198" t="s">
        <v>2272</v>
      </c>
      <c r="P1717" s="198" t="s">
        <v>2272</v>
      </c>
      <c r="Q1717" s="198" t="s">
        <v>2272</v>
      </c>
      <c r="R1717" s="198" t="s">
        <v>2272</v>
      </c>
      <c r="S1717" s="198" t="s">
        <v>2272</v>
      </c>
      <c r="T1717" s="198"/>
    </row>
    <row r="1718" spans="1:20" s="197" customFormat="1" ht="43.5" customHeight="1">
      <c r="A1718" s="11" t="s">
        <v>10728</v>
      </c>
      <c r="B1718" s="198" t="s">
        <v>2272</v>
      </c>
      <c r="C1718" s="198" t="s">
        <v>2272</v>
      </c>
      <c r="D1718" s="198" t="s">
        <v>2272</v>
      </c>
      <c r="E1718" s="198" t="s">
        <v>2272</v>
      </c>
      <c r="F1718" s="198" t="s">
        <v>2272</v>
      </c>
      <c r="G1718" s="198" t="s">
        <v>2272</v>
      </c>
      <c r="H1718" s="198" t="s">
        <v>2272</v>
      </c>
      <c r="I1718" s="198" t="s">
        <v>2272</v>
      </c>
      <c r="J1718" s="198" t="s">
        <v>2272</v>
      </c>
      <c r="K1718" s="198" t="s">
        <v>2272</v>
      </c>
      <c r="L1718" s="198" t="s">
        <v>2272</v>
      </c>
      <c r="M1718" s="198" t="s">
        <v>2272</v>
      </c>
      <c r="N1718" s="198" t="s">
        <v>2272</v>
      </c>
      <c r="O1718" s="198" t="s">
        <v>2272</v>
      </c>
      <c r="P1718" s="198" t="s">
        <v>2272</v>
      </c>
      <c r="Q1718" s="198" t="s">
        <v>2272</v>
      </c>
      <c r="R1718" s="198" t="s">
        <v>2272</v>
      </c>
      <c r="S1718" s="198" t="s">
        <v>2272</v>
      </c>
      <c r="T1718" s="198"/>
    </row>
    <row r="1719" spans="1:20" s="197" customFormat="1" ht="43.5" customHeight="1">
      <c r="A1719" s="11" t="s">
        <v>10729</v>
      </c>
      <c r="B1719" s="198" t="s">
        <v>2272</v>
      </c>
      <c r="C1719" s="198" t="s">
        <v>2272</v>
      </c>
      <c r="D1719" s="198" t="s">
        <v>2272</v>
      </c>
      <c r="E1719" s="198" t="s">
        <v>2272</v>
      </c>
      <c r="F1719" s="198" t="s">
        <v>2272</v>
      </c>
      <c r="G1719" s="198" t="s">
        <v>2272</v>
      </c>
      <c r="H1719" s="198" t="s">
        <v>2272</v>
      </c>
      <c r="I1719" s="198" t="s">
        <v>2272</v>
      </c>
      <c r="J1719" s="198" t="s">
        <v>2272</v>
      </c>
      <c r="K1719" s="198" t="s">
        <v>2272</v>
      </c>
      <c r="L1719" s="198" t="s">
        <v>2272</v>
      </c>
      <c r="M1719" s="198" t="s">
        <v>2272</v>
      </c>
      <c r="N1719" s="198" t="s">
        <v>2272</v>
      </c>
      <c r="O1719" s="198" t="s">
        <v>2272</v>
      </c>
      <c r="P1719" s="198" t="s">
        <v>2272</v>
      </c>
      <c r="Q1719" s="198" t="s">
        <v>2272</v>
      </c>
      <c r="R1719" s="198" t="s">
        <v>2272</v>
      </c>
      <c r="S1719" s="198" t="s">
        <v>2272</v>
      </c>
      <c r="T1719" s="198"/>
    </row>
    <row r="1720" spans="1:20" s="197" customFormat="1" ht="43.5" customHeight="1">
      <c r="A1720" s="11" t="s">
        <v>10730</v>
      </c>
      <c r="B1720" s="198" t="s">
        <v>2272</v>
      </c>
      <c r="C1720" s="198" t="s">
        <v>2272</v>
      </c>
      <c r="D1720" s="198" t="s">
        <v>2272</v>
      </c>
      <c r="E1720" s="198" t="s">
        <v>2272</v>
      </c>
      <c r="F1720" s="198" t="s">
        <v>2272</v>
      </c>
      <c r="G1720" s="198" t="s">
        <v>2272</v>
      </c>
      <c r="H1720" s="198" t="s">
        <v>2272</v>
      </c>
      <c r="I1720" s="198" t="s">
        <v>2272</v>
      </c>
      <c r="J1720" s="198" t="s">
        <v>2272</v>
      </c>
      <c r="K1720" s="198" t="s">
        <v>2272</v>
      </c>
      <c r="L1720" s="198" t="s">
        <v>2272</v>
      </c>
      <c r="M1720" s="198" t="s">
        <v>2272</v>
      </c>
      <c r="N1720" s="198" t="s">
        <v>2272</v>
      </c>
      <c r="O1720" s="198" t="s">
        <v>2272</v>
      </c>
      <c r="P1720" s="198" t="s">
        <v>2272</v>
      </c>
      <c r="Q1720" s="198" t="s">
        <v>2272</v>
      </c>
      <c r="R1720" s="198" t="s">
        <v>2272</v>
      </c>
      <c r="S1720" s="198" t="s">
        <v>2272</v>
      </c>
      <c r="T1720" s="198"/>
    </row>
    <row r="1721" spans="1:20" s="197" customFormat="1" ht="43.5" customHeight="1">
      <c r="A1721" s="11" t="s">
        <v>10731</v>
      </c>
      <c r="B1721" s="198" t="s">
        <v>2272</v>
      </c>
      <c r="C1721" s="198" t="s">
        <v>2272</v>
      </c>
      <c r="D1721" s="198" t="s">
        <v>2272</v>
      </c>
      <c r="E1721" s="198" t="s">
        <v>2272</v>
      </c>
      <c r="F1721" s="198" t="s">
        <v>2272</v>
      </c>
      <c r="G1721" s="198" t="s">
        <v>2272</v>
      </c>
      <c r="H1721" s="198" t="s">
        <v>2272</v>
      </c>
      <c r="I1721" s="198" t="s">
        <v>2272</v>
      </c>
      <c r="J1721" s="198" t="s">
        <v>2272</v>
      </c>
      <c r="K1721" s="198" t="s">
        <v>2272</v>
      </c>
      <c r="L1721" s="198" t="s">
        <v>2272</v>
      </c>
      <c r="M1721" s="198" t="s">
        <v>2272</v>
      </c>
      <c r="N1721" s="198" t="s">
        <v>2272</v>
      </c>
      <c r="O1721" s="198" t="s">
        <v>2272</v>
      </c>
      <c r="P1721" s="198" t="s">
        <v>2272</v>
      </c>
      <c r="Q1721" s="198" t="s">
        <v>2272</v>
      </c>
      <c r="R1721" s="198" t="s">
        <v>2272</v>
      </c>
      <c r="S1721" s="198" t="s">
        <v>2272</v>
      </c>
      <c r="T1721" s="198"/>
    </row>
    <row r="1722" spans="1:20" s="197" customFormat="1" ht="43.5" customHeight="1">
      <c r="A1722" s="11" t="s">
        <v>10732</v>
      </c>
      <c r="B1722" s="198" t="s">
        <v>2272</v>
      </c>
      <c r="C1722" s="198" t="s">
        <v>2272</v>
      </c>
      <c r="D1722" s="198" t="s">
        <v>2272</v>
      </c>
      <c r="E1722" s="198" t="s">
        <v>2272</v>
      </c>
      <c r="F1722" s="198" t="s">
        <v>2272</v>
      </c>
      <c r="G1722" s="198" t="s">
        <v>2272</v>
      </c>
      <c r="H1722" s="198" t="s">
        <v>2272</v>
      </c>
      <c r="I1722" s="198" t="s">
        <v>2272</v>
      </c>
      <c r="J1722" s="198" t="s">
        <v>2272</v>
      </c>
      <c r="K1722" s="198" t="s">
        <v>2272</v>
      </c>
      <c r="L1722" s="198" t="s">
        <v>2272</v>
      </c>
      <c r="M1722" s="198" t="s">
        <v>2272</v>
      </c>
      <c r="N1722" s="198" t="s">
        <v>2272</v>
      </c>
      <c r="O1722" s="198" t="s">
        <v>2272</v>
      </c>
      <c r="P1722" s="198" t="s">
        <v>2272</v>
      </c>
      <c r="Q1722" s="198" t="s">
        <v>2272</v>
      </c>
      <c r="R1722" s="198" t="s">
        <v>2272</v>
      </c>
      <c r="S1722" s="198" t="s">
        <v>2272</v>
      </c>
      <c r="T1722" s="198"/>
    </row>
    <row r="1723" spans="1:20" s="197" customFormat="1" ht="43.5" customHeight="1">
      <c r="A1723" s="11" t="s">
        <v>10733</v>
      </c>
      <c r="B1723" s="198" t="s">
        <v>2272</v>
      </c>
      <c r="C1723" s="198" t="s">
        <v>2272</v>
      </c>
      <c r="D1723" s="198" t="s">
        <v>2272</v>
      </c>
      <c r="E1723" s="198" t="s">
        <v>2272</v>
      </c>
      <c r="F1723" s="198" t="s">
        <v>2272</v>
      </c>
      <c r="G1723" s="198" t="s">
        <v>2272</v>
      </c>
      <c r="H1723" s="198" t="s">
        <v>2272</v>
      </c>
      <c r="I1723" s="198" t="s">
        <v>2272</v>
      </c>
      <c r="J1723" s="198" t="s">
        <v>2272</v>
      </c>
      <c r="K1723" s="198" t="s">
        <v>2272</v>
      </c>
      <c r="L1723" s="198" t="s">
        <v>2272</v>
      </c>
      <c r="M1723" s="198" t="s">
        <v>2272</v>
      </c>
      <c r="N1723" s="198" t="s">
        <v>2272</v>
      </c>
      <c r="O1723" s="198" t="s">
        <v>2272</v>
      </c>
      <c r="P1723" s="198" t="s">
        <v>2272</v>
      </c>
      <c r="Q1723" s="198" t="s">
        <v>2272</v>
      </c>
      <c r="R1723" s="198" t="s">
        <v>2272</v>
      </c>
      <c r="S1723" s="198" t="s">
        <v>2272</v>
      </c>
      <c r="T1723" s="198"/>
    </row>
    <row r="1724" spans="1:20" ht="44.5" customHeight="1">
      <c r="A1724" s="11" t="s">
        <v>10556</v>
      </c>
      <c r="B1724" s="198" t="s">
        <v>69</v>
      </c>
      <c r="C1724" s="198" t="s">
        <v>2640</v>
      </c>
      <c r="D1724" s="198" t="s">
        <v>82</v>
      </c>
      <c r="E1724" s="198" t="s">
        <v>2642</v>
      </c>
      <c r="F1724" s="198" t="s">
        <v>135</v>
      </c>
      <c r="G1724" s="198" t="s">
        <v>2272</v>
      </c>
      <c r="H1724" s="198" t="s">
        <v>2272</v>
      </c>
      <c r="I1724" s="198" t="s">
        <v>2272</v>
      </c>
      <c r="J1724" s="198" t="s">
        <v>2272</v>
      </c>
      <c r="K1724" s="198" t="s">
        <v>2272</v>
      </c>
      <c r="L1724" s="198" t="s">
        <v>2272</v>
      </c>
      <c r="M1724" s="198" t="s">
        <v>2272</v>
      </c>
      <c r="N1724" s="198" t="s">
        <v>2272</v>
      </c>
      <c r="O1724" s="198" t="s">
        <v>2272</v>
      </c>
      <c r="P1724" s="198" t="s">
        <v>2272</v>
      </c>
      <c r="Q1724" s="198" t="s">
        <v>2272</v>
      </c>
      <c r="R1724" s="198" t="s">
        <v>2272</v>
      </c>
      <c r="S1724" s="198" t="s">
        <v>2272</v>
      </c>
      <c r="T1724" s="198"/>
    </row>
    <row r="1725" spans="1:20" ht="40" customHeight="1">
      <c r="A1725" s="11" t="s">
        <v>10562</v>
      </c>
      <c r="B1725" s="198" t="s">
        <v>69</v>
      </c>
      <c r="C1725" s="198" t="s">
        <v>2640</v>
      </c>
      <c r="D1725" s="198" t="s">
        <v>2642</v>
      </c>
      <c r="E1725" s="198" t="s">
        <v>2272</v>
      </c>
      <c r="F1725" s="198" t="s">
        <v>2272</v>
      </c>
      <c r="G1725" s="198" t="s">
        <v>2272</v>
      </c>
      <c r="H1725" s="198" t="s">
        <v>2272</v>
      </c>
      <c r="I1725" s="21">
        <f>(3067*185+644*600)/785</f>
        <v>1215.0254777070063</v>
      </c>
      <c r="J1725" s="198" t="s">
        <v>2272</v>
      </c>
      <c r="K1725" s="198" t="s">
        <v>2272</v>
      </c>
      <c r="L1725" s="198" t="s">
        <v>2272</v>
      </c>
      <c r="M1725" s="198" t="s">
        <v>2272</v>
      </c>
      <c r="N1725" s="198" t="s">
        <v>2272</v>
      </c>
      <c r="O1725" s="21">
        <v>100</v>
      </c>
      <c r="P1725" s="198" t="s">
        <v>2272</v>
      </c>
      <c r="Q1725" s="198" t="s">
        <v>2272</v>
      </c>
      <c r="R1725" s="198" t="s">
        <v>2272</v>
      </c>
      <c r="S1725" s="198" t="s">
        <v>2272</v>
      </c>
      <c r="T1725" s="198"/>
    </row>
    <row r="1726" spans="1:20" ht="41" customHeight="1">
      <c r="A1726" s="11" t="s">
        <v>10573</v>
      </c>
      <c r="B1726" s="198" t="s">
        <v>69</v>
      </c>
      <c r="C1726" s="198" t="s">
        <v>2640</v>
      </c>
      <c r="D1726" s="198" t="s">
        <v>82</v>
      </c>
      <c r="E1726" s="198" t="s">
        <v>2272</v>
      </c>
      <c r="F1726" s="198" t="s">
        <v>2272</v>
      </c>
      <c r="G1726" s="198" t="s">
        <v>2272</v>
      </c>
      <c r="H1726" s="198" t="s">
        <v>2272</v>
      </c>
      <c r="I1726" s="198" t="s">
        <v>2272</v>
      </c>
      <c r="J1726" s="198" t="s">
        <v>2272</v>
      </c>
      <c r="K1726" s="198" t="s">
        <v>2272</v>
      </c>
      <c r="L1726" s="198" t="s">
        <v>2272</v>
      </c>
      <c r="M1726" s="198" t="s">
        <v>2272</v>
      </c>
      <c r="N1726" s="198" t="s">
        <v>2272</v>
      </c>
      <c r="O1726" s="198" t="s">
        <v>2272</v>
      </c>
      <c r="P1726" s="21">
        <f>100-R1726</f>
        <v>85.469725484760119</v>
      </c>
      <c r="Q1726" s="198" t="s">
        <v>2272</v>
      </c>
      <c r="R1726" s="21">
        <f>100*27254/'Record info'!K1726</f>
        <v>14.530274515239888</v>
      </c>
      <c r="S1726" s="21">
        <v>3.3</v>
      </c>
      <c r="T1726" s="198"/>
    </row>
    <row r="1727" spans="1:20" ht="42.5" customHeight="1">
      <c r="A1727" s="11" t="s">
        <v>10735</v>
      </c>
      <c r="B1727" s="198" t="s">
        <v>2272</v>
      </c>
      <c r="C1727" s="198" t="s">
        <v>2641</v>
      </c>
      <c r="D1727" s="198" t="s">
        <v>2648</v>
      </c>
      <c r="E1727" s="198" t="s">
        <v>5795</v>
      </c>
      <c r="F1727" s="198" t="s">
        <v>82</v>
      </c>
      <c r="G1727" s="198" t="s">
        <v>2272</v>
      </c>
      <c r="H1727" s="198" t="s">
        <v>2272</v>
      </c>
      <c r="I1727" s="198" t="s">
        <v>2272</v>
      </c>
      <c r="J1727" s="198" t="s">
        <v>2272</v>
      </c>
      <c r="K1727" s="198" t="s">
        <v>2272</v>
      </c>
      <c r="L1727" s="198" t="s">
        <v>2272</v>
      </c>
      <c r="M1727" s="198" t="s">
        <v>2272</v>
      </c>
      <c r="N1727" s="198" t="s">
        <v>2272</v>
      </c>
      <c r="O1727" s="198" t="s">
        <v>2272</v>
      </c>
      <c r="P1727" s="198" t="s">
        <v>2272</v>
      </c>
      <c r="Q1727" s="198" t="s">
        <v>2272</v>
      </c>
      <c r="R1727" s="198" t="s">
        <v>2272</v>
      </c>
      <c r="S1727" s="198" t="s">
        <v>2272</v>
      </c>
      <c r="T1727" s="198"/>
    </row>
    <row r="1728" spans="1:20" ht="42.5" customHeight="1">
      <c r="A1728" s="11" t="s">
        <v>10738</v>
      </c>
      <c r="B1728" s="198" t="s">
        <v>2272</v>
      </c>
      <c r="C1728" s="198" t="s">
        <v>2641</v>
      </c>
      <c r="D1728" s="198" t="s">
        <v>2648</v>
      </c>
      <c r="E1728" s="198" t="s">
        <v>5795</v>
      </c>
      <c r="F1728" s="198" t="s">
        <v>2272</v>
      </c>
      <c r="G1728" s="198" t="s">
        <v>2272</v>
      </c>
      <c r="H1728" s="198" t="s">
        <v>2272</v>
      </c>
      <c r="I1728" s="198" t="s">
        <v>2272</v>
      </c>
      <c r="J1728" s="198" t="s">
        <v>2272</v>
      </c>
      <c r="K1728" s="198" t="s">
        <v>532</v>
      </c>
      <c r="L1728" s="198" t="s">
        <v>2272</v>
      </c>
      <c r="M1728" s="198" t="s">
        <v>2272</v>
      </c>
      <c r="N1728" s="198" t="s">
        <v>2272</v>
      </c>
      <c r="O1728" s="198" t="s">
        <v>2272</v>
      </c>
      <c r="P1728" s="198" t="s">
        <v>2272</v>
      </c>
      <c r="Q1728" s="198" t="s">
        <v>2272</v>
      </c>
      <c r="R1728" s="198" t="s">
        <v>2272</v>
      </c>
      <c r="S1728" s="198" t="s">
        <v>2272</v>
      </c>
      <c r="T1728" s="198"/>
    </row>
    <row r="1729" spans="1:21" ht="43.5" customHeight="1">
      <c r="A1729" s="11" t="s">
        <v>10751</v>
      </c>
      <c r="B1729" s="198" t="s">
        <v>2272</v>
      </c>
      <c r="C1729" s="198" t="s">
        <v>2640</v>
      </c>
      <c r="D1729" s="198" t="s">
        <v>2648</v>
      </c>
      <c r="E1729" s="198" t="s">
        <v>135</v>
      </c>
      <c r="F1729" s="198" t="s">
        <v>2644</v>
      </c>
      <c r="G1729" s="198" t="s">
        <v>2272</v>
      </c>
      <c r="H1729" s="198" t="s">
        <v>2272</v>
      </c>
      <c r="I1729" s="198" t="s">
        <v>2272</v>
      </c>
      <c r="J1729" s="198" t="s">
        <v>2272</v>
      </c>
      <c r="K1729" s="198" t="s">
        <v>2272</v>
      </c>
      <c r="L1729" s="198" t="s">
        <v>2272</v>
      </c>
      <c r="M1729" s="198" t="s">
        <v>2272</v>
      </c>
      <c r="N1729" s="198" t="s">
        <v>2272</v>
      </c>
      <c r="O1729" s="198" t="s">
        <v>2272</v>
      </c>
      <c r="P1729" s="198" t="s">
        <v>2272</v>
      </c>
      <c r="Q1729" s="198" t="s">
        <v>2272</v>
      </c>
      <c r="R1729" s="198" t="s">
        <v>2272</v>
      </c>
      <c r="S1729" s="198" t="s">
        <v>2272</v>
      </c>
      <c r="T1729" s="198"/>
    </row>
    <row r="1730" spans="1:21" ht="40.5" customHeight="1">
      <c r="A1730" s="11" t="s">
        <v>10765</v>
      </c>
      <c r="B1730" s="198" t="s">
        <v>1193</v>
      </c>
      <c r="C1730" s="198" t="s">
        <v>11</v>
      </c>
      <c r="D1730" s="198" t="s">
        <v>2647</v>
      </c>
      <c r="E1730" s="198" t="s">
        <v>135</v>
      </c>
      <c r="F1730" s="198" t="s">
        <v>44</v>
      </c>
      <c r="G1730" s="198" t="s">
        <v>2272</v>
      </c>
      <c r="H1730" s="198" t="s">
        <v>2272</v>
      </c>
      <c r="I1730" s="198" t="s">
        <v>2272</v>
      </c>
      <c r="J1730" s="198" t="s">
        <v>2272</v>
      </c>
      <c r="K1730" s="198" t="s">
        <v>2272</v>
      </c>
      <c r="L1730" s="198" t="s">
        <v>2272</v>
      </c>
      <c r="M1730" s="198" t="s">
        <v>2272</v>
      </c>
      <c r="N1730" s="155">
        <v>65</v>
      </c>
      <c r="O1730" s="155" t="s">
        <v>2272</v>
      </c>
      <c r="P1730" s="155" t="s">
        <v>2272</v>
      </c>
      <c r="Q1730" s="155">
        <v>35</v>
      </c>
      <c r="R1730" s="198" t="s">
        <v>2272</v>
      </c>
      <c r="S1730" s="198" t="s">
        <v>2272</v>
      </c>
      <c r="T1730" s="198"/>
    </row>
    <row r="1731" spans="1:21" ht="36.5" customHeight="1">
      <c r="A1731" s="11" t="s">
        <v>10773</v>
      </c>
      <c r="B1731" s="198" t="s">
        <v>1193</v>
      </c>
      <c r="C1731" s="198" t="s">
        <v>2272</v>
      </c>
      <c r="D1731" s="198" t="s">
        <v>135</v>
      </c>
      <c r="E1731" s="198" t="s">
        <v>2272</v>
      </c>
      <c r="F1731" s="198" t="s">
        <v>2272</v>
      </c>
      <c r="G1731" s="198" t="s">
        <v>2272</v>
      </c>
      <c r="H1731" s="198" t="s">
        <v>2272</v>
      </c>
      <c r="I1731" s="198" t="s">
        <v>2272</v>
      </c>
      <c r="J1731" s="198" t="s">
        <v>2272</v>
      </c>
      <c r="K1731" s="198" t="s">
        <v>2272</v>
      </c>
      <c r="L1731" s="198" t="s">
        <v>2272</v>
      </c>
      <c r="M1731" s="198" t="s">
        <v>2272</v>
      </c>
      <c r="N1731" s="198" t="s">
        <v>2272</v>
      </c>
      <c r="O1731" s="198" t="s">
        <v>2272</v>
      </c>
      <c r="P1731" s="198" t="s">
        <v>2272</v>
      </c>
      <c r="Q1731" s="198" t="s">
        <v>2272</v>
      </c>
      <c r="R1731" s="198" t="s">
        <v>2272</v>
      </c>
      <c r="S1731" s="198" t="s">
        <v>2272</v>
      </c>
      <c r="T1731" s="198"/>
    </row>
    <row r="1732" spans="1:21" ht="36.5" customHeight="1">
      <c r="A1732" s="11" t="s">
        <v>10776</v>
      </c>
      <c r="B1732" s="198" t="s">
        <v>2272</v>
      </c>
      <c r="C1732" s="198" t="s">
        <v>2272</v>
      </c>
      <c r="D1732" s="198" t="s">
        <v>2648</v>
      </c>
      <c r="E1732" s="198" t="s">
        <v>2272</v>
      </c>
      <c r="F1732" s="198" t="s">
        <v>2272</v>
      </c>
      <c r="G1732" s="198" t="s">
        <v>2272</v>
      </c>
      <c r="H1732" s="198" t="s">
        <v>2272</v>
      </c>
      <c r="I1732" s="198" t="s">
        <v>2272</v>
      </c>
      <c r="J1732" s="198" t="s">
        <v>2272</v>
      </c>
      <c r="K1732" s="198" t="s">
        <v>2272</v>
      </c>
      <c r="L1732" s="198" t="s">
        <v>2272</v>
      </c>
      <c r="M1732" s="198" t="s">
        <v>2272</v>
      </c>
      <c r="N1732" s="198" t="s">
        <v>2272</v>
      </c>
      <c r="O1732" s="198" t="s">
        <v>2272</v>
      </c>
      <c r="P1732" s="198" t="s">
        <v>2272</v>
      </c>
      <c r="Q1732" s="198" t="s">
        <v>2272</v>
      </c>
      <c r="R1732" s="198" t="s">
        <v>2272</v>
      </c>
      <c r="S1732" s="198" t="s">
        <v>2272</v>
      </c>
      <c r="T1732" s="198"/>
    </row>
    <row r="1733" spans="1:21" ht="38" customHeight="1">
      <c r="A1733" s="11" t="s">
        <v>10781</v>
      </c>
      <c r="B1733" s="198" t="s">
        <v>2272</v>
      </c>
      <c r="C1733" s="198" t="s">
        <v>11</v>
      </c>
      <c r="D1733" s="198" t="s">
        <v>135</v>
      </c>
      <c r="E1733" s="198" t="s">
        <v>2647</v>
      </c>
      <c r="F1733" s="198" t="s">
        <v>44</v>
      </c>
      <c r="G1733" s="198" t="s">
        <v>2648</v>
      </c>
      <c r="H1733" s="198" t="s">
        <v>2272</v>
      </c>
      <c r="I1733" s="198" t="s">
        <v>2272</v>
      </c>
      <c r="J1733" s="198" t="s">
        <v>2272</v>
      </c>
      <c r="K1733" s="198" t="s">
        <v>2272</v>
      </c>
      <c r="L1733" s="198" t="s">
        <v>2272</v>
      </c>
      <c r="M1733" s="198" t="s">
        <v>2272</v>
      </c>
      <c r="N1733" s="198" t="s">
        <v>2272</v>
      </c>
      <c r="O1733" s="198" t="s">
        <v>2272</v>
      </c>
      <c r="P1733" s="198" t="s">
        <v>2272</v>
      </c>
      <c r="Q1733" s="198" t="s">
        <v>2272</v>
      </c>
      <c r="R1733" s="198" t="s">
        <v>2272</v>
      </c>
      <c r="S1733" s="198" t="s">
        <v>2272</v>
      </c>
      <c r="T1733" s="198"/>
      <c r="U1733" s="117"/>
    </row>
    <row r="1734" spans="1:21" ht="39.5" customHeight="1">
      <c r="A1734" s="11" t="s">
        <v>10797</v>
      </c>
      <c r="B1734" s="198" t="s">
        <v>69</v>
      </c>
      <c r="C1734" s="198" t="s">
        <v>2640</v>
      </c>
      <c r="D1734" s="198" t="s">
        <v>2644</v>
      </c>
      <c r="E1734" s="198" t="s">
        <v>2648</v>
      </c>
      <c r="F1734" s="198" t="s">
        <v>135</v>
      </c>
      <c r="G1734" s="198" t="s">
        <v>2272</v>
      </c>
      <c r="H1734" s="198" t="s">
        <v>2272</v>
      </c>
      <c r="I1734" s="198" t="s">
        <v>2272</v>
      </c>
      <c r="J1734" s="198" t="s">
        <v>2272</v>
      </c>
      <c r="K1734" s="198" t="s">
        <v>532</v>
      </c>
      <c r="L1734" s="198" t="s">
        <v>2272</v>
      </c>
      <c r="M1734" s="198" t="s">
        <v>2272</v>
      </c>
      <c r="N1734" s="198" t="s">
        <v>2272</v>
      </c>
      <c r="O1734" s="198" t="s">
        <v>2272</v>
      </c>
      <c r="P1734" s="198" t="s">
        <v>2272</v>
      </c>
      <c r="Q1734" s="198" t="s">
        <v>2272</v>
      </c>
      <c r="R1734" s="198" t="s">
        <v>2272</v>
      </c>
      <c r="S1734" s="198" t="s">
        <v>2272</v>
      </c>
      <c r="T1734" s="198"/>
    </row>
    <row r="1735" spans="1:21" ht="38" customHeight="1">
      <c r="A1735" s="12" t="s">
        <v>10803</v>
      </c>
      <c r="B1735" s="12" t="s">
        <v>2272</v>
      </c>
      <c r="C1735" s="12" t="s">
        <v>11</v>
      </c>
      <c r="D1735" s="12" t="s">
        <v>2648</v>
      </c>
      <c r="E1735" s="87" t="s">
        <v>394</v>
      </c>
      <c r="F1735" s="87" t="s">
        <v>44</v>
      </c>
      <c r="G1735" s="12" t="s">
        <v>2272</v>
      </c>
      <c r="H1735" s="12" t="s">
        <v>2272</v>
      </c>
      <c r="I1735" s="12" t="s">
        <v>2272</v>
      </c>
      <c r="J1735" s="12" t="s">
        <v>2272</v>
      </c>
      <c r="K1735" s="12" t="s">
        <v>2272</v>
      </c>
      <c r="L1735" s="12" t="s">
        <v>2272</v>
      </c>
      <c r="M1735" s="12" t="s">
        <v>2272</v>
      </c>
      <c r="N1735" s="12" t="s">
        <v>2272</v>
      </c>
      <c r="O1735" s="12" t="s">
        <v>2272</v>
      </c>
      <c r="P1735" s="12" t="s">
        <v>2272</v>
      </c>
      <c r="Q1735" s="12" t="s">
        <v>2272</v>
      </c>
      <c r="R1735" s="83">
        <v>8</v>
      </c>
      <c r="S1735" s="12" t="s">
        <v>2272</v>
      </c>
      <c r="T1735" s="12"/>
    </row>
    <row r="1736" spans="1:21" ht="47" customHeight="1">
      <c r="A1736" s="12" t="s">
        <v>10810</v>
      </c>
      <c r="B1736" s="12" t="s">
        <v>31</v>
      </c>
      <c r="C1736" s="12" t="s">
        <v>2272</v>
      </c>
      <c r="D1736" s="12" t="s">
        <v>2648</v>
      </c>
      <c r="E1736" s="12" t="s">
        <v>2644</v>
      </c>
      <c r="F1736" s="87" t="s">
        <v>44</v>
      </c>
      <c r="G1736" s="12" t="s">
        <v>2272</v>
      </c>
      <c r="H1736" s="12" t="s">
        <v>2272</v>
      </c>
      <c r="I1736" s="12" t="s">
        <v>2272</v>
      </c>
      <c r="J1736" s="12" t="s">
        <v>2272</v>
      </c>
      <c r="K1736" s="12" t="s">
        <v>532</v>
      </c>
      <c r="L1736" s="12" t="s">
        <v>2272</v>
      </c>
      <c r="M1736" s="12" t="s">
        <v>2272</v>
      </c>
      <c r="N1736" s="12" t="s">
        <v>2272</v>
      </c>
      <c r="O1736" s="12" t="s">
        <v>2272</v>
      </c>
      <c r="P1736" s="12" t="s">
        <v>2272</v>
      </c>
      <c r="Q1736" s="12" t="s">
        <v>2272</v>
      </c>
      <c r="R1736" s="12" t="s">
        <v>2272</v>
      </c>
      <c r="S1736" s="12" t="s">
        <v>2272</v>
      </c>
      <c r="T1736" s="12"/>
    </row>
    <row r="1737" spans="1:21" ht="48" customHeight="1">
      <c r="A1737" s="11" t="s">
        <v>10824</v>
      </c>
      <c r="B1737" s="198" t="s">
        <v>1193</v>
      </c>
      <c r="C1737" s="198" t="s">
        <v>2640</v>
      </c>
      <c r="D1737" s="12" t="s">
        <v>2644</v>
      </c>
      <c r="E1737" s="87" t="s">
        <v>5000</v>
      </c>
      <c r="F1737" s="87" t="s">
        <v>2647</v>
      </c>
      <c r="G1737" s="12" t="s">
        <v>2272</v>
      </c>
      <c r="H1737" s="12" t="s">
        <v>2272</v>
      </c>
      <c r="I1737" s="12" t="s">
        <v>2272</v>
      </c>
      <c r="J1737" s="12" t="s">
        <v>2272</v>
      </c>
      <c r="K1737" s="12" t="s">
        <v>532</v>
      </c>
      <c r="L1737" s="12" t="s">
        <v>2272</v>
      </c>
      <c r="M1737" s="12" t="s">
        <v>2272</v>
      </c>
      <c r="N1737" s="21">
        <v>65</v>
      </c>
      <c r="O1737" s="12" t="s">
        <v>2272</v>
      </c>
      <c r="P1737" s="12" t="s">
        <v>2272</v>
      </c>
      <c r="Q1737" s="21">
        <v>35</v>
      </c>
      <c r="R1737" s="12" t="s">
        <v>2272</v>
      </c>
      <c r="S1737" s="12" t="s">
        <v>2272</v>
      </c>
      <c r="T1737" s="198"/>
    </row>
    <row r="1738" spans="1:21" ht="46" customHeight="1">
      <c r="A1738" s="11" t="s">
        <v>10836</v>
      </c>
      <c r="B1738" s="198" t="s">
        <v>69</v>
      </c>
      <c r="C1738" s="198" t="s">
        <v>2640</v>
      </c>
      <c r="D1738" s="198" t="s">
        <v>2648</v>
      </c>
      <c r="E1738" s="87" t="s">
        <v>2647</v>
      </c>
      <c r="F1738" s="12" t="s">
        <v>2272</v>
      </c>
      <c r="G1738" s="12" t="s">
        <v>2272</v>
      </c>
      <c r="H1738" s="12" t="s">
        <v>2272</v>
      </c>
      <c r="I1738" s="198">
        <v>21.347000000000001</v>
      </c>
      <c r="J1738" s="12" t="s">
        <v>2272</v>
      </c>
      <c r="K1738" s="12" t="s">
        <v>2272</v>
      </c>
      <c r="L1738" s="12" t="s">
        <v>2272</v>
      </c>
      <c r="M1738" s="12" t="s">
        <v>2272</v>
      </c>
      <c r="N1738" s="12" t="s">
        <v>2272</v>
      </c>
      <c r="O1738" s="12" t="s">
        <v>2272</v>
      </c>
      <c r="P1738" s="12" t="s">
        <v>2272</v>
      </c>
      <c r="Q1738" s="12" t="s">
        <v>2272</v>
      </c>
      <c r="R1738" s="12" t="s">
        <v>2272</v>
      </c>
      <c r="S1738" s="12" t="s">
        <v>2272</v>
      </c>
      <c r="T1738" s="4" t="s">
        <v>10844</v>
      </c>
    </row>
    <row r="1739" spans="1:21" ht="43" customHeight="1">
      <c r="A1739" s="11" t="s">
        <v>10845</v>
      </c>
      <c r="B1739" s="198" t="s">
        <v>31</v>
      </c>
      <c r="C1739" s="198" t="s">
        <v>2640</v>
      </c>
      <c r="D1739" s="12" t="s">
        <v>2644</v>
      </c>
      <c r="E1739" s="12" t="s">
        <v>2648</v>
      </c>
      <c r="F1739" s="198" t="s">
        <v>114</v>
      </c>
      <c r="G1739" s="87" t="s">
        <v>2647</v>
      </c>
      <c r="H1739" s="12" t="s">
        <v>2272</v>
      </c>
      <c r="I1739" s="12" t="s">
        <v>2272</v>
      </c>
      <c r="J1739" s="12" t="s">
        <v>2272</v>
      </c>
      <c r="K1739" s="12" t="s">
        <v>532</v>
      </c>
      <c r="L1739" s="12" t="s">
        <v>2272</v>
      </c>
      <c r="M1739" s="12" t="s">
        <v>2272</v>
      </c>
      <c r="N1739" s="21">
        <v>50</v>
      </c>
      <c r="O1739" s="12" t="s">
        <v>2272</v>
      </c>
      <c r="P1739" s="12" t="s">
        <v>2272</v>
      </c>
      <c r="Q1739" s="12" t="s">
        <v>2272</v>
      </c>
      <c r="R1739" s="21">
        <v>50</v>
      </c>
      <c r="S1739" s="12" t="s">
        <v>2272</v>
      </c>
      <c r="T1739" s="4" t="s">
        <v>10852</v>
      </c>
    </row>
    <row r="1740" spans="1:21" ht="37" customHeight="1">
      <c r="A1740" s="11" t="s">
        <v>10862</v>
      </c>
      <c r="B1740" s="198" t="s">
        <v>69</v>
      </c>
      <c r="C1740" s="198" t="s">
        <v>2641</v>
      </c>
      <c r="D1740" s="198" t="s">
        <v>135</v>
      </c>
      <c r="E1740" s="12" t="s">
        <v>2272</v>
      </c>
      <c r="F1740" s="12" t="s">
        <v>2272</v>
      </c>
      <c r="G1740" s="12" t="s">
        <v>2272</v>
      </c>
      <c r="H1740" s="12" t="s">
        <v>2272</v>
      </c>
      <c r="I1740" s="12" t="s">
        <v>2272</v>
      </c>
      <c r="J1740" s="12" t="s">
        <v>2272</v>
      </c>
      <c r="K1740" s="12" t="s">
        <v>2272</v>
      </c>
      <c r="L1740" s="12" t="s">
        <v>2272</v>
      </c>
      <c r="M1740" s="12" t="s">
        <v>2272</v>
      </c>
      <c r="N1740" s="12" t="s">
        <v>2272</v>
      </c>
      <c r="O1740" s="12" t="s">
        <v>2272</v>
      </c>
      <c r="P1740" s="12" t="s">
        <v>2272</v>
      </c>
      <c r="Q1740" s="12" t="s">
        <v>2272</v>
      </c>
      <c r="R1740" s="12" t="s">
        <v>2272</v>
      </c>
      <c r="S1740" s="12" t="s">
        <v>2272</v>
      </c>
      <c r="T1740" s="198"/>
    </row>
    <row r="1741" spans="1:21" ht="37" customHeight="1">
      <c r="A1741" s="11" t="s">
        <v>10863</v>
      </c>
      <c r="B1741" s="198" t="s">
        <v>1193</v>
      </c>
      <c r="C1741" s="198" t="s">
        <v>2640</v>
      </c>
      <c r="D1741" s="12" t="s">
        <v>2644</v>
      </c>
      <c r="E1741" s="198" t="s">
        <v>135</v>
      </c>
      <c r="F1741" s="12" t="s">
        <v>2272</v>
      </c>
      <c r="G1741" s="12" t="s">
        <v>2272</v>
      </c>
      <c r="H1741" s="12" t="s">
        <v>2272</v>
      </c>
      <c r="I1741" s="12" t="s">
        <v>2272</v>
      </c>
      <c r="J1741" s="12" t="s">
        <v>2272</v>
      </c>
      <c r="K1741" s="12" t="s">
        <v>532</v>
      </c>
      <c r="L1741" s="12" t="s">
        <v>2272</v>
      </c>
      <c r="M1741" s="12" t="s">
        <v>2272</v>
      </c>
      <c r="N1741" s="12" t="s">
        <v>2272</v>
      </c>
      <c r="O1741" s="12" t="s">
        <v>2272</v>
      </c>
      <c r="P1741" s="12" t="s">
        <v>2272</v>
      </c>
      <c r="Q1741" s="12" t="s">
        <v>2272</v>
      </c>
      <c r="R1741" s="12" t="s">
        <v>2272</v>
      </c>
      <c r="S1741" s="12" t="s">
        <v>2272</v>
      </c>
      <c r="T1741" s="198"/>
    </row>
    <row r="1742" spans="1:21" ht="37" customHeight="1">
      <c r="A1742" s="11" t="s">
        <v>10864</v>
      </c>
      <c r="B1742" s="198" t="s">
        <v>31</v>
      </c>
      <c r="C1742" s="198" t="s">
        <v>2640</v>
      </c>
      <c r="D1742" s="12" t="s">
        <v>2272</v>
      </c>
      <c r="E1742" s="12" t="s">
        <v>2272</v>
      </c>
      <c r="F1742" s="12" t="s">
        <v>2272</v>
      </c>
      <c r="G1742" s="12" t="s">
        <v>2272</v>
      </c>
      <c r="H1742" s="12" t="s">
        <v>2272</v>
      </c>
      <c r="I1742" s="12" t="s">
        <v>2272</v>
      </c>
      <c r="J1742" s="12" t="s">
        <v>2272</v>
      </c>
      <c r="K1742" s="12" t="s">
        <v>2272</v>
      </c>
      <c r="L1742" s="12" t="s">
        <v>2272</v>
      </c>
      <c r="M1742" s="12" t="s">
        <v>2272</v>
      </c>
      <c r="N1742" s="12" t="s">
        <v>2272</v>
      </c>
      <c r="O1742" s="12" t="s">
        <v>2272</v>
      </c>
      <c r="P1742" s="12" t="s">
        <v>2272</v>
      </c>
      <c r="Q1742" s="12" t="s">
        <v>2272</v>
      </c>
      <c r="R1742" s="12" t="s">
        <v>2272</v>
      </c>
      <c r="S1742" s="12" t="s">
        <v>2272</v>
      </c>
      <c r="T1742" s="198"/>
    </row>
    <row r="1743" spans="1:21" ht="35.5" customHeight="1">
      <c r="A1743" s="11" t="s">
        <v>10876</v>
      </c>
      <c r="B1743" s="198" t="s">
        <v>2272</v>
      </c>
      <c r="C1743" s="12" t="s">
        <v>2272</v>
      </c>
      <c r="D1743" s="12" t="s">
        <v>2272</v>
      </c>
      <c r="E1743" s="12" t="s">
        <v>2272</v>
      </c>
      <c r="F1743" s="12" t="s">
        <v>2272</v>
      </c>
      <c r="G1743" s="12" t="s">
        <v>2272</v>
      </c>
      <c r="H1743" s="12" t="s">
        <v>2272</v>
      </c>
      <c r="I1743" s="12" t="s">
        <v>2272</v>
      </c>
      <c r="J1743" s="12" t="s">
        <v>2272</v>
      </c>
      <c r="K1743" s="12" t="s">
        <v>2272</v>
      </c>
      <c r="L1743" s="12" t="s">
        <v>2272</v>
      </c>
      <c r="M1743" s="12" t="s">
        <v>2272</v>
      </c>
      <c r="N1743" s="12" t="s">
        <v>2272</v>
      </c>
      <c r="O1743" s="12" t="s">
        <v>2272</v>
      </c>
      <c r="P1743" s="12" t="s">
        <v>2272</v>
      </c>
      <c r="Q1743" s="12" t="s">
        <v>2272</v>
      </c>
      <c r="R1743" s="12" t="s">
        <v>2272</v>
      </c>
      <c r="S1743" s="12" t="s">
        <v>2272</v>
      </c>
      <c r="T1743" s="198"/>
    </row>
    <row r="1744" spans="1:21" s="197" customFormat="1" ht="35.5" customHeight="1">
      <c r="A1744" s="11" t="s">
        <v>10954</v>
      </c>
      <c r="B1744" s="198" t="s">
        <v>2272</v>
      </c>
      <c r="C1744" s="198" t="s">
        <v>2640</v>
      </c>
      <c r="D1744" s="12" t="s">
        <v>82</v>
      </c>
      <c r="E1744" s="12" t="s">
        <v>2272</v>
      </c>
      <c r="F1744" s="12" t="s">
        <v>2272</v>
      </c>
      <c r="G1744" s="12" t="s">
        <v>2272</v>
      </c>
      <c r="H1744" s="12" t="s">
        <v>2272</v>
      </c>
      <c r="I1744" s="12" t="s">
        <v>2272</v>
      </c>
      <c r="J1744" s="12" t="s">
        <v>2272</v>
      </c>
      <c r="K1744" s="12" t="s">
        <v>2272</v>
      </c>
      <c r="L1744" s="12" t="s">
        <v>2272</v>
      </c>
      <c r="M1744" s="12" t="s">
        <v>2272</v>
      </c>
      <c r="N1744" s="12" t="s">
        <v>2272</v>
      </c>
      <c r="O1744" s="12" t="s">
        <v>2272</v>
      </c>
      <c r="P1744" s="12" t="s">
        <v>2272</v>
      </c>
      <c r="Q1744" s="12" t="s">
        <v>2272</v>
      </c>
      <c r="R1744" s="12" t="s">
        <v>2272</v>
      </c>
      <c r="S1744" s="12" t="s">
        <v>2272</v>
      </c>
      <c r="T1744" s="198"/>
    </row>
    <row r="1745" spans="1:20" s="197" customFormat="1" ht="35.5" customHeight="1">
      <c r="A1745" s="11" t="s">
        <v>10958</v>
      </c>
      <c r="B1745" s="198" t="s">
        <v>69</v>
      </c>
      <c r="C1745" s="198" t="s">
        <v>2640</v>
      </c>
      <c r="D1745" s="12" t="s">
        <v>82</v>
      </c>
      <c r="E1745" s="198" t="s">
        <v>135</v>
      </c>
      <c r="F1745" s="12" t="s">
        <v>2272</v>
      </c>
      <c r="G1745" s="12" t="s">
        <v>2272</v>
      </c>
      <c r="H1745" s="12" t="s">
        <v>2272</v>
      </c>
      <c r="I1745" s="12" t="s">
        <v>2272</v>
      </c>
      <c r="J1745" s="12" t="s">
        <v>2272</v>
      </c>
      <c r="K1745" s="12" t="s">
        <v>2272</v>
      </c>
      <c r="L1745" s="12" t="s">
        <v>2272</v>
      </c>
      <c r="M1745" s="12" t="s">
        <v>2272</v>
      </c>
      <c r="N1745" s="12" t="s">
        <v>2272</v>
      </c>
      <c r="O1745" s="12" t="s">
        <v>2272</v>
      </c>
      <c r="P1745" s="12" t="s">
        <v>2272</v>
      </c>
      <c r="Q1745" s="12" t="s">
        <v>2272</v>
      </c>
      <c r="R1745" s="12" t="s">
        <v>2272</v>
      </c>
      <c r="S1745" s="12" t="s">
        <v>2272</v>
      </c>
      <c r="T1745" s="198"/>
    </row>
    <row r="1746" spans="1:20" ht="35.5" customHeight="1">
      <c r="A1746" s="11" t="s">
        <v>10881</v>
      </c>
      <c r="B1746" s="198" t="s">
        <v>2272</v>
      </c>
      <c r="C1746" s="198" t="s">
        <v>2640</v>
      </c>
      <c r="D1746" s="12" t="s">
        <v>2644</v>
      </c>
      <c r="E1746" s="198" t="s">
        <v>135</v>
      </c>
      <c r="F1746" s="12" t="s">
        <v>2272</v>
      </c>
      <c r="G1746" s="12" t="s">
        <v>2272</v>
      </c>
      <c r="H1746" s="12" t="s">
        <v>2272</v>
      </c>
      <c r="I1746" s="12" t="s">
        <v>2272</v>
      </c>
      <c r="J1746" s="12" t="s">
        <v>2272</v>
      </c>
      <c r="K1746" s="198" t="s">
        <v>532</v>
      </c>
      <c r="L1746" s="12" t="s">
        <v>2272</v>
      </c>
      <c r="M1746" s="12" t="s">
        <v>2272</v>
      </c>
      <c r="N1746" s="21">
        <v>12.6</v>
      </c>
      <c r="O1746" s="12" t="s">
        <v>2272</v>
      </c>
      <c r="P1746" s="12" t="s">
        <v>2272</v>
      </c>
      <c r="Q1746" s="12" t="s">
        <v>2272</v>
      </c>
      <c r="R1746" s="21">
        <v>20.7</v>
      </c>
      <c r="S1746" s="12" t="s">
        <v>2272</v>
      </c>
      <c r="T1746" s="198" t="s">
        <v>10885</v>
      </c>
    </row>
    <row r="1747" spans="1:20" ht="35.5" customHeight="1">
      <c r="A1747" s="11" t="s">
        <v>10882</v>
      </c>
      <c r="B1747" s="198" t="s">
        <v>2272</v>
      </c>
      <c r="C1747" s="198" t="s">
        <v>2640</v>
      </c>
      <c r="D1747" s="12" t="s">
        <v>2644</v>
      </c>
      <c r="E1747" s="198" t="s">
        <v>135</v>
      </c>
      <c r="F1747" s="12" t="s">
        <v>2272</v>
      </c>
      <c r="G1747" s="12" t="s">
        <v>2272</v>
      </c>
      <c r="H1747" s="12" t="s">
        <v>2272</v>
      </c>
      <c r="I1747" s="12" t="s">
        <v>2272</v>
      </c>
      <c r="J1747" s="12" t="s">
        <v>2272</v>
      </c>
      <c r="K1747" s="198" t="s">
        <v>532</v>
      </c>
      <c r="L1747" s="12" t="s">
        <v>2272</v>
      </c>
      <c r="M1747" s="12" t="s">
        <v>2272</v>
      </c>
      <c r="N1747" s="12" t="s">
        <v>2272</v>
      </c>
      <c r="O1747" s="12" t="s">
        <v>2272</v>
      </c>
      <c r="P1747" s="12" t="s">
        <v>2272</v>
      </c>
      <c r="Q1747" s="12" t="s">
        <v>2272</v>
      </c>
      <c r="R1747" s="12" t="s">
        <v>2272</v>
      </c>
      <c r="S1747" s="12" t="s">
        <v>2272</v>
      </c>
      <c r="T1747" s="198"/>
    </row>
    <row r="1748" spans="1:20" ht="35.5" customHeight="1">
      <c r="A1748" s="11" t="s">
        <v>10883</v>
      </c>
      <c r="B1748" s="198" t="s">
        <v>2272</v>
      </c>
      <c r="C1748" s="198" t="s">
        <v>2640</v>
      </c>
      <c r="D1748" s="12" t="s">
        <v>2644</v>
      </c>
      <c r="E1748" s="198" t="s">
        <v>135</v>
      </c>
      <c r="F1748" s="12" t="s">
        <v>2272</v>
      </c>
      <c r="G1748" s="12" t="s">
        <v>2272</v>
      </c>
      <c r="H1748" s="12" t="s">
        <v>2272</v>
      </c>
      <c r="I1748" s="12" t="s">
        <v>2272</v>
      </c>
      <c r="J1748" s="12" t="s">
        <v>2272</v>
      </c>
      <c r="K1748" s="198" t="s">
        <v>532</v>
      </c>
      <c r="L1748" s="12" t="s">
        <v>2272</v>
      </c>
      <c r="M1748" s="12" t="s">
        <v>2272</v>
      </c>
      <c r="N1748" s="12" t="s">
        <v>2272</v>
      </c>
      <c r="O1748" s="12" t="s">
        <v>2272</v>
      </c>
      <c r="P1748" s="12" t="s">
        <v>2272</v>
      </c>
      <c r="Q1748" s="12" t="s">
        <v>2272</v>
      </c>
      <c r="R1748" s="12" t="s">
        <v>2272</v>
      </c>
      <c r="S1748" s="12" t="s">
        <v>2272</v>
      </c>
      <c r="T1748" s="198"/>
    </row>
    <row r="1749" spans="1:20" ht="35.5" customHeight="1">
      <c r="A1749" s="11" t="s">
        <v>10884</v>
      </c>
      <c r="B1749" s="198" t="s">
        <v>2272</v>
      </c>
      <c r="C1749" s="198" t="s">
        <v>2640</v>
      </c>
      <c r="D1749" s="12" t="s">
        <v>2644</v>
      </c>
      <c r="E1749" s="198" t="s">
        <v>135</v>
      </c>
      <c r="F1749" s="12" t="s">
        <v>2272</v>
      </c>
      <c r="G1749" s="12" t="s">
        <v>2272</v>
      </c>
      <c r="H1749" s="12" t="s">
        <v>2272</v>
      </c>
      <c r="I1749" s="12" t="s">
        <v>2272</v>
      </c>
      <c r="J1749" s="12" t="s">
        <v>2272</v>
      </c>
      <c r="K1749" s="198" t="s">
        <v>532</v>
      </c>
      <c r="L1749" s="12" t="s">
        <v>2272</v>
      </c>
      <c r="M1749" s="12" t="s">
        <v>2272</v>
      </c>
      <c r="N1749" s="12" t="s">
        <v>2272</v>
      </c>
      <c r="O1749" s="12" t="s">
        <v>2272</v>
      </c>
      <c r="P1749" s="12" t="s">
        <v>2272</v>
      </c>
      <c r="Q1749" s="12" t="s">
        <v>2272</v>
      </c>
      <c r="R1749" s="12" t="s">
        <v>2272</v>
      </c>
      <c r="S1749" s="12" t="s">
        <v>2272</v>
      </c>
      <c r="T1749" s="198"/>
    </row>
    <row r="1750" spans="1:20" ht="38" customHeight="1">
      <c r="A1750" s="11" t="s">
        <v>10903</v>
      </c>
      <c r="B1750" s="198" t="s">
        <v>2272</v>
      </c>
      <c r="C1750" s="198" t="s">
        <v>11</v>
      </c>
      <c r="D1750" s="198" t="s">
        <v>114</v>
      </c>
      <c r="E1750" s="12" t="s">
        <v>2644</v>
      </c>
      <c r="F1750" s="12" t="s">
        <v>2272</v>
      </c>
      <c r="G1750" s="12" t="s">
        <v>2272</v>
      </c>
      <c r="H1750" s="12" t="s">
        <v>2272</v>
      </c>
      <c r="I1750" s="12" t="s">
        <v>2272</v>
      </c>
      <c r="J1750" s="12" t="s">
        <v>2272</v>
      </c>
      <c r="K1750" s="198" t="s">
        <v>532</v>
      </c>
      <c r="L1750" s="12" t="s">
        <v>2272</v>
      </c>
      <c r="M1750" s="12" t="s">
        <v>2272</v>
      </c>
      <c r="N1750" s="21">
        <f>333000/'Record info'!K1750</f>
        <v>0.13981369090929702</v>
      </c>
      <c r="O1750" s="12" t="s">
        <v>2272</v>
      </c>
      <c r="P1750" s="12" t="s">
        <v>2272</v>
      </c>
      <c r="Q1750" s="12" t="s">
        <v>2272</v>
      </c>
      <c r="R1750" s="12" t="s">
        <v>2272</v>
      </c>
      <c r="S1750" s="21">
        <v>0.52</v>
      </c>
      <c r="T1750" s="198" t="s">
        <v>10904</v>
      </c>
    </row>
    <row r="1751" spans="1:20" ht="42" customHeight="1">
      <c r="A1751" s="11" t="s">
        <v>10921</v>
      </c>
      <c r="B1751" s="198" t="s">
        <v>2272</v>
      </c>
      <c r="C1751" s="198" t="s">
        <v>2640</v>
      </c>
      <c r="D1751" s="198" t="s">
        <v>135</v>
      </c>
      <c r="E1751" s="198" t="s">
        <v>5795</v>
      </c>
      <c r="F1751" s="198" t="s">
        <v>2648</v>
      </c>
      <c r="G1751" s="12" t="s">
        <v>2644</v>
      </c>
      <c r="H1751" s="12" t="s">
        <v>2272</v>
      </c>
      <c r="I1751" s="12" t="s">
        <v>2272</v>
      </c>
      <c r="J1751" s="12" t="s">
        <v>2272</v>
      </c>
      <c r="K1751" s="198" t="s">
        <v>532</v>
      </c>
      <c r="L1751" s="12" t="s">
        <v>2272</v>
      </c>
      <c r="M1751" s="12" t="s">
        <v>2272</v>
      </c>
      <c r="N1751" s="21">
        <f>100000/'Record info'!$K$1751</f>
        <v>4.6144617230400078</v>
      </c>
      <c r="O1751" s="21">
        <f>80000/'Record info'!$K$1751</f>
        <v>3.6915693784320061</v>
      </c>
      <c r="P1751" s="12" t="s">
        <v>2272</v>
      </c>
      <c r="Q1751" s="12" t="s">
        <v>2272</v>
      </c>
      <c r="R1751" s="21">
        <f>85000/'Record info'!$K$1751</f>
        <v>3.9222924645840065</v>
      </c>
      <c r="S1751" s="12" t="s">
        <v>2272</v>
      </c>
      <c r="T1751" s="4" t="s">
        <v>10923</v>
      </c>
    </row>
    <row r="1752" spans="1:20" ht="42" customHeight="1">
      <c r="A1752" s="11" t="s">
        <v>10927</v>
      </c>
      <c r="B1752" s="198" t="s">
        <v>2272</v>
      </c>
      <c r="C1752" s="198" t="s">
        <v>2640</v>
      </c>
      <c r="D1752" s="198" t="s">
        <v>2647</v>
      </c>
      <c r="E1752" s="198" t="s">
        <v>2648</v>
      </c>
      <c r="F1752" s="12" t="s">
        <v>2272</v>
      </c>
      <c r="G1752" s="12" t="s">
        <v>2272</v>
      </c>
      <c r="H1752" s="12" t="s">
        <v>2272</v>
      </c>
      <c r="I1752" s="12" t="s">
        <v>2272</v>
      </c>
      <c r="J1752" s="12" t="s">
        <v>2272</v>
      </c>
      <c r="K1752" s="12" t="s">
        <v>2272</v>
      </c>
      <c r="L1752" s="12" t="s">
        <v>2272</v>
      </c>
      <c r="M1752" s="12" t="s">
        <v>2272</v>
      </c>
      <c r="N1752" s="12" t="s">
        <v>2272</v>
      </c>
      <c r="O1752" s="12" t="s">
        <v>2272</v>
      </c>
      <c r="P1752" s="12" t="s">
        <v>2272</v>
      </c>
      <c r="Q1752" s="12" t="s">
        <v>2272</v>
      </c>
      <c r="R1752" s="87" t="s">
        <v>2272</v>
      </c>
      <c r="S1752" s="87" t="s">
        <v>2272</v>
      </c>
      <c r="T1752" s="4" t="s">
        <v>10928</v>
      </c>
    </row>
    <row r="1753" spans="1:20" ht="52" customHeight="1">
      <c r="A1753" s="19" t="s">
        <v>10937</v>
      </c>
      <c r="B1753" s="4" t="s">
        <v>1193</v>
      </c>
      <c r="C1753" s="4" t="s">
        <v>2640</v>
      </c>
      <c r="D1753" s="4" t="s">
        <v>135</v>
      </c>
      <c r="E1753" s="12" t="s">
        <v>2272</v>
      </c>
      <c r="F1753" s="12" t="s">
        <v>2272</v>
      </c>
      <c r="G1753" s="12" t="s">
        <v>2272</v>
      </c>
      <c r="H1753" s="12" t="s">
        <v>2272</v>
      </c>
      <c r="I1753" s="12" t="s">
        <v>2272</v>
      </c>
      <c r="J1753" s="12" t="s">
        <v>2272</v>
      </c>
      <c r="K1753" s="12" t="s">
        <v>2272</v>
      </c>
      <c r="L1753" s="12" t="s">
        <v>2272</v>
      </c>
      <c r="M1753" s="12" t="s">
        <v>2272</v>
      </c>
      <c r="N1753" s="12" t="s">
        <v>2272</v>
      </c>
      <c r="O1753" s="12" t="s">
        <v>2272</v>
      </c>
      <c r="P1753" s="12" t="s">
        <v>2272</v>
      </c>
      <c r="Q1753" s="12" t="s">
        <v>2272</v>
      </c>
      <c r="R1753" s="71">
        <v>100</v>
      </c>
      <c r="S1753" s="4"/>
      <c r="T1753" s="19" t="s">
        <v>10939</v>
      </c>
    </row>
    <row r="1754" spans="1:20" ht="38" customHeight="1">
      <c r="A1754" s="11" t="s">
        <v>10970</v>
      </c>
      <c r="B1754" s="198" t="s">
        <v>2272</v>
      </c>
      <c r="C1754" s="4" t="s">
        <v>2640</v>
      </c>
      <c r="D1754" s="4" t="s">
        <v>2648</v>
      </c>
      <c r="E1754" s="198" t="s">
        <v>2272</v>
      </c>
      <c r="F1754" s="198" t="s">
        <v>2272</v>
      </c>
      <c r="G1754" s="198" t="s">
        <v>2272</v>
      </c>
      <c r="H1754" s="198" t="s">
        <v>2272</v>
      </c>
      <c r="I1754" s="198" t="s">
        <v>2272</v>
      </c>
      <c r="J1754" s="198" t="s">
        <v>2272</v>
      </c>
      <c r="K1754" s="198" t="s">
        <v>2272</v>
      </c>
      <c r="L1754" s="198" t="s">
        <v>2272</v>
      </c>
      <c r="M1754" s="198" t="s">
        <v>2272</v>
      </c>
      <c r="N1754" s="198" t="s">
        <v>2272</v>
      </c>
      <c r="O1754" s="198" t="s">
        <v>2272</v>
      </c>
      <c r="P1754" s="198" t="s">
        <v>2272</v>
      </c>
      <c r="Q1754" s="198" t="s">
        <v>2272</v>
      </c>
      <c r="R1754" s="198" t="s">
        <v>2272</v>
      </c>
      <c r="S1754" s="198" t="s">
        <v>2272</v>
      </c>
      <c r="T1754" s="198"/>
    </row>
    <row r="1755" spans="1:20" ht="38" customHeight="1">
      <c r="A1755" s="11" t="s">
        <v>10983</v>
      </c>
      <c r="B1755" s="198" t="s">
        <v>2272</v>
      </c>
      <c r="C1755" s="198" t="s">
        <v>2272</v>
      </c>
      <c r="D1755" s="198" t="s">
        <v>2272</v>
      </c>
      <c r="E1755" s="198" t="s">
        <v>2272</v>
      </c>
      <c r="F1755" s="198" t="s">
        <v>2272</v>
      </c>
      <c r="G1755" s="198" t="s">
        <v>2272</v>
      </c>
      <c r="H1755" s="198" t="s">
        <v>2272</v>
      </c>
      <c r="I1755" s="198" t="s">
        <v>2272</v>
      </c>
      <c r="J1755" s="198" t="s">
        <v>2272</v>
      </c>
      <c r="K1755" s="198" t="s">
        <v>2272</v>
      </c>
      <c r="L1755" s="198" t="s">
        <v>2272</v>
      </c>
      <c r="M1755" s="198" t="s">
        <v>2272</v>
      </c>
      <c r="N1755" s="198" t="s">
        <v>2272</v>
      </c>
      <c r="O1755" s="198" t="s">
        <v>2272</v>
      </c>
      <c r="P1755" s="198" t="s">
        <v>2272</v>
      </c>
      <c r="Q1755" s="198" t="s">
        <v>2272</v>
      </c>
      <c r="R1755" s="198" t="s">
        <v>2272</v>
      </c>
      <c r="S1755" s="198" t="s">
        <v>2272</v>
      </c>
      <c r="T1755" s="198"/>
    </row>
    <row r="1756" spans="1:20" ht="38" customHeight="1">
      <c r="A1756" s="11" t="s">
        <v>10984</v>
      </c>
      <c r="B1756" s="198" t="s">
        <v>2272</v>
      </c>
      <c r="C1756" s="198" t="s">
        <v>2272</v>
      </c>
      <c r="D1756" s="198" t="s">
        <v>2272</v>
      </c>
      <c r="E1756" s="198" t="s">
        <v>2272</v>
      </c>
      <c r="F1756" s="198" t="s">
        <v>2272</v>
      </c>
      <c r="G1756" s="198" t="s">
        <v>2272</v>
      </c>
      <c r="H1756" s="198" t="s">
        <v>2272</v>
      </c>
      <c r="I1756" s="198" t="s">
        <v>2272</v>
      </c>
      <c r="J1756" s="198" t="s">
        <v>2272</v>
      </c>
      <c r="K1756" s="198" t="s">
        <v>2272</v>
      </c>
      <c r="L1756" s="198" t="s">
        <v>2272</v>
      </c>
      <c r="M1756" s="198" t="s">
        <v>2272</v>
      </c>
      <c r="N1756" s="198" t="s">
        <v>2272</v>
      </c>
      <c r="O1756" s="198" t="s">
        <v>2272</v>
      </c>
      <c r="P1756" s="198" t="s">
        <v>2272</v>
      </c>
      <c r="Q1756" s="198" t="s">
        <v>2272</v>
      </c>
      <c r="R1756" s="198" t="s">
        <v>2272</v>
      </c>
      <c r="S1756" s="198" t="s">
        <v>2272</v>
      </c>
      <c r="T1756" s="198"/>
    </row>
    <row r="1757" spans="1:20" ht="38" customHeight="1">
      <c r="A1757" s="11" t="s">
        <v>10985</v>
      </c>
      <c r="B1757" s="198" t="s">
        <v>2272</v>
      </c>
      <c r="C1757" s="198" t="s">
        <v>2272</v>
      </c>
      <c r="D1757" s="198" t="s">
        <v>2272</v>
      </c>
      <c r="E1757" s="198" t="s">
        <v>2272</v>
      </c>
      <c r="F1757" s="198" t="s">
        <v>2272</v>
      </c>
      <c r="G1757" s="198" t="s">
        <v>2272</v>
      </c>
      <c r="H1757" s="198" t="s">
        <v>2272</v>
      </c>
      <c r="I1757" s="198" t="s">
        <v>2272</v>
      </c>
      <c r="J1757" s="198" t="s">
        <v>2272</v>
      </c>
      <c r="K1757" s="198" t="s">
        <v>2272</v>
      </c>
      <c r="L1757" s="198" t="s">
        <v>2272</v>
      </c>
      <c r="M1757" s="198" t="s">
        <v>2272</v>
      </c>
      <c r="N1757" s="198" t="s">
        <v>2272</v>
      </c>
      <c r="O1757" s="198" t="s">
        <v>2272</v>
      </c>
      <c r="P1757" s="198" t="s">
        <v>2272</v>
      </c>
      <c r="Q1757" s="198" t="s">
        <v>2272</v>
      </c>
      <c r="R1757" s="198" t="s">
        <v>2272</v>
      </c>
      <c r="S1757" s="198" t="s">
        <v>2272</v>
      </c>
      <c r="T1757" s="198"/>
    </row>
    <row r="1758" spans="1:20" ht="38" customHeight="1">
      <c r="A1758" s="11" t="s">
        <v>10986</v>
      </c>
      <c r="B1758" s="198" t="s">
        <v>2272</v>
      </c>
      <c r="C1758" s="198" t="s">
        <v>2272</v>
      </c>
      <c r="D1758" s="198" t="s">
        <v>2272</v>
      </c>
      <c r="E1758" s="198" t="s">
        <v>2272</v>
      </c>
      <c r="F1758" s="198" t="s">
        <v>2272</v>
      </c>
      <c r="G1758" s="198" t="s">
        <v>2272</v>
      </c>
      <c r="H1758" s="198" t="s">
        <v>2272</v>
      </c>
      <c r="I1758" s="198" t="s">
        <v>2272</v>
      </c>
      <c r="J1758" s="198" t="s">
        <v>2272</v>
      </c>
      <c r="K1758" s="198" t="s">
        <v>2272</v>
      </c>
      <c r="L1758" s="198" t="s">
        <v>2272</v>
      </c>
      <c r="M1758" s="198" t="s">
        <v>2272</v>
      </c>
      <c r="N1758" s="198" t="s">
        <v>2272</v>
      </c>
      <c r="O1758" s="198" t="s">
        <v>2272</v>
      </c>
      <c r="P1758" s="198" t="s">
        <v>2272</v>
      </c>
      <c r="Q1758" s="198" t="s">
        <v>2272</v>
      </c>
      <c r="R1758" s="198" t="s">
        <v>2272</v>
      </c>
      <c r="S1758" s="198" t="s">
        <v>2272</v>
      </c>
      <c r="T1758" s="198"/>
    </row>
    <row r="1759" spans="1:20" ht="38" customHeight="1">
      <c r="A1759" s="11" t="s">
        <v>10987</v>
      </c>
      <c r="B1759" s="198" t="s">
        <v>2272</v>
      </c>
      <c r="C1759" s="198" t="s">
        <v>2272</v>
      </c>
      <c r="D1759" s="198" t="s">
        <v>2272</v>
      </c>
      <c r="E1759" s="198" t="s">
        <v>2272</v>
      </c>
      <c r="F1759" s="198" t="s">
        <v>2272</v>
      </c>
      <c r="G1759" s="198" t="s">
        <v>2272</v>
      </c>
      <c r="H1759" s="198" t="s">
        <v>2272</v>
      </c>
      <c r="I1759" s="198" t="s">
        <v>2272</v>
      </c>
      <c r="J1759" s="198" t="s">
        <v>2272</v>
      </c>
      <c r="K1759" s="198" t="s">
        <v>2272</v>
      </c>
      <c r="L1759" s="198" t="s">
        <v>2272</v>
      </c>
      <c r="M1759" s="198" t="s">
        <v>2272</v>
      </c>
      <c r="N1759" s="198" t="s">
        <v>2272</v>
      </c>
      <c r="O1759" s="198" t="s">
        <v>2272</v>
      </c>
      <c r="P1759" s="198" t="s">
        <v>2272</v>
      </c>
      <c r="Q1759" s="198" t="s">
        <v>2272</v>
      </c>
      <c r="R1759" s="198" t="s">
        <v>2272</v>
      </c>
      <c r="S1759" s="198" t="s">
        <v>2272</v>
      </c>
      <c r="T1759" s="198"/>
    </row>
    <row r="1760" spans="1:20" ht="38" customHeight="1">
      <c r="A1760" s="11" t="s">
        <v>10988</v>
      </c>
      <c r="B1760" s="198" t="s">
        <v>2272</v>
      </c>
      <c r="C1760" s="4" t="s">
        <v>2640</v>
      </c>
      <c r="D1760" s="4" t="s">
        <v>2648</v>
      </c>
      <c r="E1760" s="198" t="s">
        <v>2272</v>
      </c>
      <c r="F1760" s="198" t="s">
        <v>2272</v>
      </c>
      <c r="G1760" s="198" t="s">
        <v>2272</v>
      </c>
      <c r="H1760" s="198" t="s">
        <v>2272</v>
      </c>
      <c r="I1760" s="198" t="s">
        <v>2272</v>
      </c>
      <c r="J1760" s="198" t="s">
        <v>2272</v>
      </c>
      <c r="K1760" s="198" t="s">
        <v>2272</v>
      </c>
      <c r="L1760" s="198" t="s">
        <v>2272</v>
      </c>
      <c r="M1760" s="198" t="s">
        <v>2272</v>
      </c>
      <c r="N1760" s="198" t="s">
        <v>2272</v>
      </c>
      <c r="O1760" s="198" t="s">
        <v>2272</v>
      </c>
      <c r="P1760" s="198" t="s">
        <v>2272</v>
      </c>
      <c r="Q1760" s="198" t="s">
        <v>2272</v>
      </c>
      <c r="R1760" s="198" t="s">
        <v>2272</v>
      </c>
      <c r="S1760" s="198" t="s">
        <v>2272</v>
      </c>
      <c r="T1760" s="198"/>
    </row>
    <row r="1761" spans="1:20" ht="38" customHeight="1">
      <c r="A1761" s="11" t="s">
        <v>10989</v>
      </c>
      <c r="B1761" s="198" t="s">
        <v>2272</v>
      </c>
      <c r="C1761" s="4" t="s">
        <v>2640</v>
      </c>
      <c r="D1761" s="4" t="s">
        <v>2648</v>
      </c>
      <c r="E1761" s="198" t="s">
        <v>2272</v>
      </c>
      <c r="F1761" s="198" t="s">
        <v>2272</v>
      </c>
      <c r="G1761" s="198" t="s">
        <v>2272</v>
      </c>
      <c r="H1761" s="198" t="s">
        <v>2272</v>
      </c>
      <c r="I1761" s="198" t="s">
        <v>2272</v>
      </c>
      <c r="J1761" s="198" t="s">
        <v>2272</v>
      </c>
      <c r="K1761" s="198" t="s">
        <v>2272</v>
      </c>
      <c r="L1761" s="198" t="s">
        <v>2272</v>
      </c>
      <c r="M1761" s="198" t="s">
        <v>2272</v>
      </c>
      <c r="N1761" s="198" t="s">
        <v>2272</v>
      </c>
      <c r="O1761" s="198" t="s">
        <v>2272</v>
      </c>
      <c r="P1761" s="198" t="s">
        <v>2272</v>
      </c>
      <c r="Q1761" s="198" t="s">
        <v>2272</v>
      </c>
      <c r="R1761" s="198" t="s">
        <v>2272</v>
      </c>
      <c r="S1761" s="198" t="s">
        <v>2272</v>
      </c>
      <c r="T1761" s="198"/>
    </row>
    <row r="1762" spans="1:20" ht="38" customHeight="1">
      <c r="A1762" s="11" t="s">
        <v>10990</v>
      </c>
      <c r="B1762" s="198" t="s">
        <v>2272</v>
      </c>
      <c r="C1762" s="198" t="s">
        <v>2272</v>
      </c>
      <c r="D1762" s="198" t="s">
        <v>2272</v>
      </c>
      <c r="E1762" s="198" t="s">
        <v>2272</v>
      </c>
      <c r="F1762" s="198" t="s">
        <v>2272</v>
      </c>
      <c r="G1762" s="198" t="s">
        <v>2272</v>
      </c>
      <c r="H1762" s="198" t="s">
        <v>2272</v>
      </c>
      <c r="I1762" s="198" t="s">
        <v>2272</v>
      </c>
      <c r="J1762" s="198" t="s">
        <v>2272</v>
      </c>
      <c r="K1762" s="198" t="s">
        <v>2272</v>
      </c>
      <c r="L1762" s="198" t="s">
        <v>2272</v>
      </c>
      <c r="M1762" s="198" t="s">
        <v>2272</v>
      </c>
      <c r="N1762" s="198" t="s">
        <v>2272</v>
      </c>
      <c r="O1762" s="198" t="s">
        <v>2272</v>
      </c>
      <c r="P1762" s="198" t="s">
        <v>2272</v>
      </c>
      <c r="Q1762" s="198" t="s">
        <v>2272</v>
      </c>
      <c r="R1762" s="198" t="s">
        <v>2272</v>
      </c>
      <c r="S1762" s="198" t="s">
        <v>2272</v>
      </c>
      <c r="T1762" s="198"/>
    </row>
    <row r="1763" spans="1:20" ht="38" customHeight="1">
      <c r="A1763" s="11" t="s">
        <v>10991</v>
      </c>
      <c r="B1763" s="198" t="s">
        <v>2272</v>
      </c>
      <c r="C1763" s="198" t="s">
        <v>2272</v>
      </c>
      <c r="D1763" s="198" t="s">
        <v>2272</v>
      </c>
      <c r="E1763" s="198" t="s">
        <v>2272</v>
      </c>
      <c r="F1763" s="198" t="s">
        <v>2272</v>
      </c>
      <c r="G1763" s="198" t="s">
        <v>2272</v>
      </c>
      <c r="H1763" s="198" t="s">
        <v>2272</v>
      </c>
      <c r="I1763" s="198" t="s">
        <v>2272</v>
      </c>
      <c r="J1763" s="198" t="s">
        <v>2272</v>
      </c>
      <c r="K1763" s="198" t="s">
        <v>2272</v>
      </c>
      <c r="L1763" s="198" t="s">
        <v>2272</v>
      </c>
      <c r="M1763" s="198" t="s">
        <v>2272</v>
      </c>
      <c r="N1763" s="198" t="s">
        <v>2272</v>
      </c>
      <c r="O1763" s="198" t="s">
        <v>2272</v>
      </c>
      <c r="P1763" s="198" t="s">
        <v>2272</v>
      </c>
      <c r="Q1763" s="198" t="s">
        <v>2272</v>
      </c>
      <c r="R1763" s="198" t="s">
        <v>2272</v>
      </c>
      <c r="S1763" s="198" t="s">
        <v>2272</v>
      </c>
      <c r="T1763" s="198"/>
    </row>
    <row r="1764" spans="1:20" ht="38" customHeight="1">
      <c r="A1764" s="11" t="s">
        <v>10992</v>
      </c>
      <c r="B1764" s="198" t="s">
        <v>2272</v>
      </c>
      <c r="C1764" s="198" t="s">
        <v>2272</v>
      </c>
      <c r="D1764" s="198" t="s">
        <v>2272</v>
      </c>
      <c r="E1764" s="198" t="s">
        <v>2272</v>
      </c>
      <c r="F1764" s="198" t="s">
        <v>2272</v>
      </c>
      <c r="G1764" s="198" t="s">
        <v>2272</v>
      </c>
      <c r="H1764" s="198" t="s">
        <v>2272</v>
      </c>
      <c r="I1764" s="198" t="s">
        <v>2272</v>
      </c>
      <c r="J1764" s="198" t="s">
        <v>2272</v>
      </c>
      <c r="K1764" s="198" t="s">
        <v>2272</v>
      </c>
      <c r="L1764" s="198" t="s">
        <v>2272</v>
      </c>
      <c r="M1764" s="198" t="s">
        <v>2272</v>
      </c>
      <c r="N1764" s="198" t="s">
        <v>2272</v>
      </c>
      <c r="O1764" s="198" t="s">
        <v>2272</v>
      </c>
      <c r="P1764" s="198" t="s">
        <v>2272</v>
      </c>
      <c r="Q1764" s="198" t="s">
        <v>2272</v>
      </c>
      <c r="R1764" s="198" t="s">
        <v>2272</v>
      </c>
      <c r="S1764" s="198" t="s">
        <v>2272</v>
      </c>
      <c r="T1764" s="198"/>
    </row>
    <row r="1765" spans="1:20" ht="41" customHeight="1">
      <c r="A1765" s="19" t="s">
        <v>11007</v>
      </c>
      <c r="B1765" s="4" t="s">
        <v>2272</v>
      </c>
      <c r="C1765" s="4" t="s">
        <v>2272</v>
      </c>
      <c r="D1765" s="4" t="s">
        <v>2272</v>
      </c>
      <c r="E1765" s="4" t="s">
        <v>2272</v>
      </c>
      <c r="F1765" s="4" t="s">
        <v>2272</v>
      </c>
      <c r="G1765" s="4" t="s">
        <v>2272</v>
      </c>
      <c r="H1765" s="198" t="s">
        <v>2272</v>
      </c>
      <c r="I1765" s="198" t="s">
        <v>2272</v>
      </c>
      <c r="J1765" s="198" t="s">
        <v>2272</v>
      </c>
      <c r="K1765" s="198" t="s">
        <v>2272</v>
      </c>
      <c r="L1765" s="198" t="s">
        <v>2272</v>
      </c>
      <c r="M1765" s="198" t="s">
        <v>2272</v>
      </c>
      <c r="N1765" s="198" t="s">
        <v>2272</v>
      </c>
      <c r="O1765" s="198" t="s">
        <v>2272</v>
      </c>
      <c r="P1765" s="198" t="s">
        <v>2272</v>
      </c>
      <c r="Q1765" s="198" t="s">
        <v>2272</v>
      </c>
      <c r="R1765" s="198" t="s">
        <v>2272</v>
      </c>
      <c r="S1765" s="198" t="s">
        <v>2272</v>
      </c>
      <c r="T1765" s="198"/>
    </row>
    <row r="1766" spans="1:20" ht="46.5" customHeight="1">
      <c r="A1766" s="19" t="s">
        <v>11011</v>
      </c>
      <c r="B1766" s="4" t="s">
        <v>31</v>
      </c>
      <c r="C1766" s="4" t="s">
        <v>2640</v>
      </c>
      <c r="D1766" s="4" t="s">
        <v>2648</v>
      </c>
      <c r="E1766" s="4" t="s">
        <v>2647</v>
      </c>
      <c r="F1766" s="4" t="s">
        <v>5795</v>
      </c>
      <c r="G1766" s="4" t="s">
        <v>2644</v>
      </c>
      <c r="H1766" s="198" t="s">
        <v>2272</v>
      </c>
      <c r="I1766" s="198" t="s">
        <v>2272</v>
      </c>
      <c r="J1766" s="198" t="s">
        <v>2272</v>
      </c>
      <c r="K1766" s="198" t="s">
        <v>532</v>
      </c>
      <c r="L1766" s="198" t="s">
        <v>2272</v>
      </c>
      <c r="M1766" s="198" t="s">
        <v>2272</v>
      </c>
      <c r="N1766" s="198" t="s">
        <v>2272</v>
      </c>
      <c r="O1766" s="198" t="s">
        <v>2272</v>
      </c>
      <c r="P1766" s="198" t="s">
        <v>2272</v>
      </c>
      <c r="Q1766" s="21">
        <f>((7.9-2.5)*1000000)/'Record info'!K1766</f>
        <v>41.260744985673355</v>
      </c>
      <c r="R1766" s="21">
        <f>(2.5*1000000)/'Record info'!K1766</f>
        <v>19.102196752626551</v>
      </c>
      <c r="S1766" s="198" t="s">
        <v>2272</v>
      </c>
      <c r="T1766" s="198"/>
    </row>
    <row r="1767" spans="1:20" ht="52" customHeight="1">
      <c r="A1767" s="11" t="s">
        <v>11032</v>
      </c>
      <c r="B1767" s="198" t="s">
        <v>2272</v>
      </c>
      <c r="C1767" s="198" t="s">
        <v>2640</v>
      </c>
      <c r="D1767" s="4" t="s">
        <v>2648</v>
      </c>
      <c r="E1767" s="4" t="s">
        <v>3850</v>
      </c>
      <c r="F1767" s="4" t="s">
        <v>2272</v>
      </c>
      <c r="G1767" s="4" t="s">
        <v>2272</v>
      </c>
      <c r="H1767" s="4" t="s">
        <v>2272</v>
      </c>
      <c r="I1767" s="4" t="s">
        <v>2272</v>
      </c>
      <c r="J1767" s="4" t="s">
        <v>2272</v>
      </c>
      <c r="K1767" s="4" t="s">
        <v>2272</v>
      </c>
      <c r="L1767" s="4" t="s">
        <v>2272</v>
      </c>
      <c r="M1767" s="4" t="s">
        <v>2272</v>
      </c>
      <c r="N1767" s="4" t="s">
        <v>2272</v>
      </c>
      <c r="O1767" s="4" t="s">
        <v>2272</v>
      </c>
      <c r="P1767" s="4" t="s">
        <v>2272</v>
      </c>
      <c r="Q1767" s="4" t="s">
        <v>2272</v>
      </c>
      <c r="R1767" s="71">
        <f>4010000/'Record info'!K1767</f>
        <v>47.80696002575138</v>
      </c>
      <c r="S1767" s="4" t="s">
        <v>2272</v>
      </c>
      <c r="T1767" s="198"/>
    </row>
    <row r="1768" spans="1:20" ht="52.5" customHeight="1">
      <c r="A1768" s="11" t="s">
        <v>11126</v>
      </c>
      <c r="B1768" s="198" t="s">
        <v>31</v>
      </c>
      <c r="C1768" s="198" t="s">
        <v>2640</v>
      </c>
      <c r="D1768" s="4" t="s">
        <v>2648</v>
      </c>
      <c r="E1768" s="198" t="s">
        <v>5000</v>
      </c>
      <c r="F1768" s="4" t="s">
        <v>2272</v>
      </c>
      <c r="G1768" s="4" t="s">
        <v>2272</v>
      </c>
      <c r="H1768" s="4" t="s">
        <v>2272</v>
      </c>
      <c r="I1768" s="4" t="s">
        <v>2272</v>
      </c>
      <c r="J1768" s="4" t="s">
        <v>2272</v>
      </c>
      <c r="K1768" s="4" t="s">
        <v>2272</v>
      </c>
      <c r="L1768" s="4" t="s">
        <v>2272</v>
      </c>
      <c r="M1768" s="4" t="s">
        <v>2272</v>
      </c>
      <c r="N1768" s="4" t="s">
        <v>2272</v>
      </c>
      <c r="O1768" s="4" t="s">
        <v>2272</v>
      </c>
      <c r="P1768" s="4" t="s">
        <v>2272</v>
      </c>
      <c r="Q1768" s="21">
        <f>2</f>
        <v>2</v>
      </c>
      <c r="R1768" s="21">
        <f>55.7+15.5</f>
        <v>71.2</v>
      </c>
      <c r="S1768" s="4" t="s">
        <v>2272</v>
      </c>
      <c r="T1768" s="198" t="s">
        <v>11129</v>
      </c>
    </row>
    <row r="1769" spans="1:20" s="197" customFormat="1" ht="52.5" customHeight="1">
      <c r="A1769" s="11" t="s">
        <v>11136</v>
      </c>
      <c r="B1769" s="198" t="s">
        <v>2272</v>
      </c>
      <c r="C1769" s="198" t="s">
        <v>2272</v>
      </c>
      <c r="D1769" s="4" t="s">
        <v>3850</v>
      </c>
      <c r="E1769" s="4" t="s">
        <v>2648</v>
      </c>
      <c r="F1769" s="198" t="s">
        <v>2647</v>
      </c>
      <c r="G1769" s="4" t="s">
        <v>2272</v>
      </c>
      <c r="H1769" s="4" t="s">
        <v>2272</v>
      </c>
      <c r="I1769" s="4" t="s">
        <v>2272</v>
      </c>
      <c r="J1769" s="4" t="s">
        <v>2272</v>
      </c>
      <c r="K1769" s="4" t="s">
        <v>2272</v>
      </c>
      <c r="L1769" s="4" t="s">
        <v>2272</v>
      </c>
      <c r="M1769" s="4" t="s">
        <v>2272</v>
      </c>
      <c r="N1769" s="4" t="s">
        <v>2272</v>
      </c>
      <c r="O1769" s="4" t="s">
        <v>2272</v>
      </c>
      <c r="P1769" s="4" t="s">
        <v>2272</v>
      </c>
      <c r="Q1769" s="4" t="s">
        <v>2272</v>
      </c>
      <c r="R1769" s="4" t="s">
        <v>2272</v>
      </c>
      <c r="S1769" s="4" t="s">
        <v>2272</v>
      </c>
      <c r="T1769" s="198"/>
    </row>
    <row r="1770" spans="1:20" ht="55.5" customHeight="1">
      <c r="A1770" s="11" t="s">
        <v>11143</v>
      </c>
      <c r="B1770" s="198" t="s">
        <v>2272</v>
      </c>
      <c r="C1770" s="198" t="s">
        <v>2640</v>
      </c>
      <c r="D1770" s="4" t="s">
        <v>2648</v>
      </c>
      <c r="E1770" s="198" t="s">
        <v>2647</v>
      </c>
      <c r="F1770" s="4" t="s">
        <v>5795</v>
      </c>
      <c r="G1770" s="4" t="s">
        <v>2272</v>
      </c>
      <c r="H1770" s="4" t="s">
        <v>2272</v>
      </c>
      <c r="I1770" s="4" t="s">
        <v>2272</v>
      </c>
      <c r="J1770" s="4" t="s">
        <v>2272</v>
      </c>
      <c r="K1770" s="4" t="s">
        <v>2272</v>
      </c>
      <c r="L1770" s="4" t="s">
        <v>2272</v>
      </c>
      <c r="M1770" s="4" t="s">
        <v>2272</v>
      </c>
      <c r="N1770" s="4" t="s">
        <v>2272</v>
      </c>
      <c r="O1770" s="4" t="s">
        <v>2272</v>
      </c>
      <c r="P1770" s="4" t="s">
        <v>2272</v>
      </c>
      <c r="Q1770" s="4" t="s">
        <v>2272</v>
      </c>
      <c r="R1770" s="4" t="s">
        <v>2272</v>
      </c>
      <c r="S1770" s="4" t="s">
        <v>2272</v>
      </c>
      <c r="T1770" s="198"/>
    </row>
    <row r="1771" spans="1:20" ht="51" customHeight="1">
      <c r="A1771" s="11" t="s">
        <v>11152</v>
      </c>
      <c r="B1771" s="198" t="s">
        <v>31</v>
      </c>
      <c r="C1771" s="198" t="s">
        <v>2641</v>
      </c>
      <c r="D1771" s="198" t="s">
        <v>5795</v>
      </c>
      <c r="E1771" s="198" t="s">
        <v>135</v>
      </c>
      <c r="F1771" s="198" t="s">
        <v>3204</v>
      </c>
      <c r="G1771" s="198" t="s">
        <v>44</v>
      </c>
      <c r="H1771" s="4" t="s">
        <v>2272</v>
      </c>
      <c r="I1771" s="4" t="s">
        <v>2272</v>
      </c>
      <c r="J1771" s="4" t="s">
        <v>2272</v>
      </c>
      <c r="K1771" s="4" t="s">
        <v>2272</v>
      </c>
      <c r="L1771" s="4" t="s">
        <v>2272</v>
      </c>
      <c r="M1771" s="4" t="s">
        <v>2272</v>
      </c>
      <c r="N1771" s="4" t="s">
        <v>2272</v>
      </c>
      <c r="O1771" s="4" t="s">
        <v>2272</v>
      </c>
      <c r="P1771" s="4" t="s">
        <v>2272</v>
      </c>
      <c r="Q1771" s="4" t="s">
        <v>2272</v>
      </c>
      <c r="R1771" s="4" t="s">
        <v>2272</v>
      </c>
      <c r="S1771" s="4" t="s">
        <v>2272</v>
      </c>
      <c r="T1771" s="198"/>
    </row>
    <row r="1772" spans="1:20" ht="47" customHeight="1">
      <c r="A1772" s="11" t="s">
        <v>11158</v>
      </c>
      <c r="B1772" s="198" t="s">
        <v>69</v>
      </c>
      <c r="C1772" s="198" t="s">
        <v>2640</v>
      </c>
      <c r="D1772" s="198" t="s">
        <v>2644</v>
      </c>
      <c r="E1772" s="4" t="s">
        <v>2648</v>
      </c>
      <c r="F1772" s="4" t="s">
        <v>5795</v>
      </c>
      <c r="G1772" s="4" t="s">
        <v>2272</v>
      </c>
      <c r="H1772" s="4" t="s">
        <v>2272</v>
      </c>
      <c r="I1772" s="198">
        <f>0.3*221+0.7*1.75</f>
        <v>67.524999999999991</v>
      </c>
      <c r="J1772" s="4" t="s">
        <v>2272</v>
      </c>
      <c r="K1772" s="198" t="s">
        <v>532</v>
      </c>
      <c r="L1772" s="4" t="s">
        <v>2272</v>
      </c>
      <c r="M1772" s="4" t="s">
        <v>2272</v>
      </c>
      <c r="N1772" s="21">
        <v>35</v>
      </c>
      <c r="O1772" s="4" t="s">
        <v>2272</v>
      </c>
      <c r="P1772" s="4" t="s">
        <v>2272</v>
      </c>
      <c r="Q1772" s="4" t="s">
        <v>2272</v>
      </c>
      <c r="R1772" s="21">
        <v>35</v>
      </c>
      <c r="S1772" s="4" t="s">
        <v>2272</v>
      </c>
      <c r="T1772" s="4" t="s">
        <v>11161</v>
      </c>
    </row>
    <row r="1773" spans="1:20" ht="50" customHeight="1">
      <c r="A1773" s="11" t="s">
        <v>11168</v>
      </c>
      <c r="B1773" s="198" t="s">
        <v>2272</v>
      </c>
      <c r="C1773" s="198" t="s">
        <v>2640</v>
      </c>
      <c r="D1773" s="4" t="s">
        <v>2648</v>
      </c>
      <c r="E1773" s="4" t="s">
        <v>3850</v>
      </c>
      <c r="F1773" s="4" t="s">
        <v>2272</v>
      </c>
      <c r="G1773" s="4" t="s">
        <v>2272</v>
      </c>
      <c r="H1773" s="4" t="s">
        <v>2272</v>
      </c>
      <c r="I1773" s="4" t="s">
        <v>2272</v>
      </c>
      <c r="J1773" s="4" t="s">
        <v>2272</v>
      </c>
      <c r="K1773" s="4" t="s">
        <v>2272</v>
      </c>
      <c r="L1773" s="4" t="s">
        <v>2272</v>
      </c>
      <c r="M1773" s="4" t="s">
        <v>2272</v>
      </c>
      <c r="N1773" s="4" t="s">
        <v>2272</v>
      </c>
      <c r="O1773" s="4" t="s">
        <v>2272</v>
      </c>
      <c r="P1773" s="4" t="s">
        <v>2272</v>
      </c>
      <c r="Q1773" s="4" t="s">
        <v>2272</v>
      </c>
      <c r="R1773" s="4" t="s">
        <v>2272</v>
      </c>
      <c r="S1773" s="4" t="s">
        <v>2272</v>
      </c>
      <c r="T1773" s="198"/>
    </row>
    <row r="1774" spans="1:20" ht="50" customHeight="1">
      <c r="A1774" s="11" t="s">
        <v>11179</v>
      </c>
      <c r="B1774" s="198" t="s">
        <v>68</v>
      </c>
      <c r="C1774" s="198" t="s">
        <v>393</v>
      </c>
      <c r="D1774" s="198" t="s">
        <v>128</v>
      </c>
      <c r="E1774" s="198" t="s">
        <v>44</v>
      </c>
      <c r="F1774" s="198" t="s">
        <v>114</v>
      </c>
      <c r="G1774" s="4" t="s">
        <v>2272</v>
      </c>
      <c r="H1774" s="4" t="s">
        <v>2272</v>
      </c>
      <c r="I1774" s="4" t="s">
        <v>2272</v>
      </c>
      <c r="J1774" s="4" t="s">
        <v>2272</v>
      </c>
      <c r="K1774" s="4" t="s">
        <v>2272</v>
      </c>
      <c r="L1774" s="4" t="s">
        <v>2272</v>
      </c>
      <c r="M1774" s="4" t="s">
        <v>2272</v>
      </c>
      <c r="N1774" s="4" t="s">
        <v>2272</v>
      </c>
      <c r="O1774" s="4" t="s">
        <v>2272</v>
      </c>
      <c r="P1774" s="4" t="s">
        <v>2272</v>
      </c>
      <c r="Q1774" s="4" t="s">
        <v>2272</v>
      </c>
      <c r="R1774" s="4" t="s">
        <v>2272</v>
      </c>
      <c r="S1774" s="4" t="s">
        <v>2272</v>
      </c>
      <c r="T1774" s="198"/>
    </row>
    <row r="1775" spans="1:20" ht="50" customHeight="1">
      <c r="A1775" s="11" t="s">
        <v>11192</v>
      </c>
      <c r="B1775" s="198" t="s">
        <v>2272</v>
      </c>
      <c r="C1775" s="198" t="s">
        <v>11</v>
      </c>
      <c r="D1775" s="198" t="s">
        <v>128</v>
      </c>
      <c r="E1775" s="198" t="s">
        <v>44</v>
      </c>
      <c r="F1775" s="4" t="s">
        <v>394</v>
      </c>
      <c r="G1775" s="4" t="s">
        <v>860</v>
      </c>
      <c r="H1775" s="4" t="s">
        <v>2272</v>
      </c>
      <c r="I1775" s="4" t="s">
        <v>2272</v>
      </c>
      <c r="J1775" s="4" t="s">
        <v>2272</v>
      </c>
      <c r="K1775" s="198" t="s">
        <v>532</v>
      </c>
      <c r="L1775" s="4" t="s">
        <v>2272</v>
      </c>
      <c r="M1775" s="4" t="s">
        <v>2272</v>
      </c>
      <c r="N1775" s="4" t="s">
        <v>2272</v>
      </c>
      <c r="O1775" s="21">
        <v>35.799999999999997</v>
      </c>
      <c r="P1775" s="21">
        <f>(74-O1775)/2</f>
        <v>19.100000000000001</v>
      </c>
      <c r="Q1775" s="21">
        <f>P1775</f>
        <v>19.100000000000001</v>
      </c>
      <c r="R1775" s="21">
        <v>9.6</v>
      </c>
      <c r="S1775" s="4" t="s">
        <v>2272</v>
      </c>
      <c r="T1775" s="198" t="s">
        <v>11202</v>
      </c>
    </row>
    <row r="1776" spans="1:20" ht="50" customHeight="1">
      <c r="A1776" s="11" t="s">
        <v>11193</v>
      </c>
      <c r="B1776" s="198" t="s">
        <v>2272</v>
      </c>
      <c r="C1776" s="198" t="s">
        <v>11</v>
      </c>
      <c r="D1776" s="198" t="s">
        <v>128</v>
      </c>
      <c r="E1776" s="198" t="s">
        <v>44</v>
      </c>
      <c r="F1776" s="4" t="s">
        <v>394</v>
      </c>
      <c r="G1776" s="4" t="s">
        <v>860</v>
      </c>
      <c r="H1776" s="4" t="s">
        <v>2272</v>
      </c>
      <c r="I1776" s="4" t="s">
        <v>2272</v>
      </c>
      <c r="J1776" s="4" t="s">
        <v>2272</v>
      </c>
      <c r="K1776" s="198" t="s">
        <v>532</v>
      </c>
      <c r="L1776" s="4" t="s">
        <v>2272</v>
      </c>
      <c r="M1776" s="4" t="s">
        <v>2272</v>
      </c>
      <c r="N1776" s="4" t="s">
        <v>2272</v>
      </c>
      <c r="O1776" s="21">
        <v>35.799999999999997</v>
      </c>
      <c r="P1776" s="21">
        <f>(74-O1776)/2</f>
        <v>19.100000000000001</v>
      </c>
      <c r="Q1776" s="21">
        <f>P1776</f>
        <v>19.100000000000001</v>
      </c>
      <c r="R1776" s="21">
        <v>9.6</v>
      </c>
      <c r="S1776" s="4" t="s">
        <v>2272</v>
      </c>
      <c r="T1776" s="198" t="s">
        <v>11202</v>
      </c>
    </row>
    <row r="1777" spans="1:20" ht="52" customHeight="1">
      <c r="A1777" s="11" t="s">
        <v>11210</v>
      </c>
      <c r="B1777" s="198" t="s">
        <v>31</v>
      </c>
      <c r="C1777" s="198" t="s">
        <v>11</v>
      </c>
      <c r="D1777" s="198" t="s">
        <v>114</v>
      </c>
      <c r="E1777" s="198" t="s">
        <v>135</v>
      </c>
      <c r="F1777" s="198" t="s">
        <v>44</v>
      </c>
      <c r="G1777" s="198" t="s">
        <v>82</v>
      </c>
      <c r="H1777" s="4" t="s">
        <v>2272</v>
      </c>
      <c r="I1777" s="4" t="s">
        <v>2272</v>
      </c>
      <c r="J1777" s="4" t="s">
        <v>2272</v>
      </c>
      <c r="K1777" s="198" t="s">
        <v>532</v>
      </c>
      <c r="L1777" s="4" t="s">
        <v>2272</v>
      </c>
      <c r="M1777" s="4" t="s">
        <v>2272</v>
      </c>
      <c r="N1777" s="4" t="s">
        <v>2272</v>
      </c>
      <c r="O1777" s="4" t="s">
        <v>2272</v>
      </c>
      <c r="P1777" s="4" t="s">
        <v>2272</v>
      </c>
      <c r="Q1777" s="4" t="s">
        <v>2272</v>
      </c>
      <c r="R1777" s="4" t="s">
        <v>2272</v>
      </c>
      <c r="S1777" s="4" t="s">
        <v>2272</v>
      </c>
      <c r="T1777" s="198"/>
    </row>
    <row r="1778" spans="1:20" ht="52" customHeight="1">
      <c r="A1778" s="11" t="s">
        <v>11233</v>
      </c>
      <c r="B1778" s="198" t="s">
        <v>68</v>
      </c>
      <c r="C1778" s="198" t="s">
        <v>393</v>
      </c>
      <c r="D1778" s="198" t="s">
        <v>114</v>
      </c>
      <c r="E1778" s="4" t="s">
        <v>2272</v>
      </c>
      <c r="F1778" s="4" t="s">
        <v>2272</v>
      </c>
      <c r="G1778" s="4" t="s">
        <v>2272</v>
      </c>
      <c r="H1778" s="4" t="s">
        <v>2272</v>
      </c>
      <c r="I1778" s="4" t="s">
        <v>2272</v>
      </c>
      <c r="J1778" s="4" t="s">
        <v>2272</v>
      </c>
      <c r="K1778" s="4" t="s">
        <v>2272</v>
      </c>
      <c r="L1778" s="4" t="s">
        <v>2272</v>
      </c>
      <c r="M1778" s="4" t="s">
        <v>2272</v>
      </c>
      <c r="N1778" s="4" t="s">
        <v>2272</v>
      </c>
      <c r="O1778" s="4" t="s">
        <v>2272</v>
      </c>
      <c r="P1778" s="4" t="s">
        <v>2272</v>
      </c>
      <c r="Q1778" s="4" t="s">
        <v>2272</v>
      </c>
      <c r="R1778" s="21">
        <v>100</v>
      </c>
      <c r="S1778" s="4" t="s">
        <v>2272</v>
      </c>
      <c r="T1778" s="198" t="s">
        <v>11236</v>
      </c>
    </row>
    <row r="1779" spans="1:20" ht="50" customHeight="1">
      <c r="A1779" s="11" t="s">
        <v>11251</v>
      </c>
      <c r="B1779" s="198" t="s">
        <v>68</v>
      </c>
      <c r="C1779" s="198" t="s">
        <v>393</v>
      </c>
      <c r="D1779" s="198" t="s">
        <v>114</v>
      </c>
      <c r="E1779" s="198" t="s">
        <v>128</v>
      </c>
      <c r="F1779" s="198" t="s">
        <v>44</v>
      </c>
      <c r="G1779" s="4" t="s">
        <v>2272</v>
      </c>
      <c r="H1779" s="4" t="s">
        <v>2272</v>
      </c>
      <c r="I1779" s="4" t="s">
        <v>2272</v>
      </c>
      <c r="J1779" s="4" t="s">
        <v>2272</v>
      </c>
      <c r="K1779" s="4" t="s">
        <v>2272</v>
      </c>
      <c r="L1779" s="4" t="s">
        <v>2272</v>
      </c>
      <c r="M1779" s="4" t="s">
        <v>2272</v>
      </c>
      <c r="N1779" s="4" t="s">
        <v>2272</v>
      </c>
      <c r="O1779" s="4" t="s">
        <v>2272</v>
      </c>
      <c r="P1779" s="4" t="s">
        <v>2272</v>
      </c>
      <c r="Q1779" s="4" t="s">
        <v>2272</v>
      </c>
      <c r="R1779" s="4" t="s">
        <v>2272</v>
      </c>
      <c r="S1779" s="4" t="s">
        <v>2272</v>
      </c>
      <c r="T1779" s="198"/>
    </row>
    <row r="1780" spans="1:20" ht="50" customHeight="1">
      <c r="A1780" s="19" t="s">
        <v>11344</v>
      </c>
      <c r="B1780" s="198" t="s">
        <v>69</v>
      </c>
      <c r="C1780" s="198" t="s">
        <v>2641</v>
      </c>
      <c r="D1780" s="198" t="s">
        <v>135</v>
      </c>
      <c r="E1780" s="198" t="s">
        <v>2647</v>
      </c>
      <c r="F1780" s="198" t="s">
        <v>2272</v>
      </c>
      <c r="G1780" s="198" t="s">
        <v>2272</v>
      </c>
      <c r="H1780" s="198" t="s">
        <v>2272</v>
      </c>
      <c r="I1780" s="198" t="s">
        <v>2272</v>
      </c>
      <c r="J1780" s="198" t="s">
        <v>2272</v>
      </c>
      <c r="K1780" s="198" t="s">
        <v>2272</v>
      </c>
      <c r="L1780" s="198" t="s">
        <v>2272</v>
      </c>
      <c r="M1780" s="198" t="s">
        <v>2272</v>
      </c>
      <c r="N1780" s="198" t="s">
        <v>2272</v>
      </c>
      <c r="O1780" s="198" t="s">
        <v>2272</v>
      </c>
      <c r="P1780" s="198" t="s">
        <v>2272</v>
      </c>
      <c r="Q1780" s="198" t="s">
        <v>2272</v>
      </c>
      <c r="R1780" s="198" t="s">
        <v>2272</v>
      </c>
      <c r="S1780" s="198" t="s">
        <v>2272</v>
      </c>
      <c r="T1780" s="198"/>
    </row>
    <row r="1781" spans="1:20" ht="50" customHeight="1">
      <c r="A1781" s="19" t="s">
        <v>11345</v>
      </c>
      <c r="B1781" s="198" t="s">
        <v>31</v>
      </c>
      <c r="C1781" s="198" t="s">
        <v>2641</v>
      </c>
      <c r="D1781" s="198" t="s">
        <v>2647</v>
      </c>
      <c r="E1781" s="198" t="s">
        <v>2272</v>
      </c>
      <c r="F1781" s="198" t="s">
        <v>2272</v>
      </c>
      <c r="G1781" s="198" t="s">
        <v>2272</v>
      </c>
      <c r="H1781" s="198" t="s">
        <v>2272</v>
      </c>
      <c r="I1781" s="198" t="s">
        <v>2272</v>
      </c>
      <c r="J1781" s="198" t="s">
        <v>2272</v>
      </c>
      <c r="K1781" s="198" t="s">
        <v>2272</v>
      </c>
      <c r="L1781" s="198" t="s">
        <v>2272</v>
      </c>
      <c r="M1781" s="198" t="s">
        <v>2272</v>
      </c>
      <c r="N1781" s="198" t="s">
        <v>2272</v>
      </c>
      <c r="O1781" s="198" t="s">
        <v>2272</v>
      </c>
      <c r="P1781" s="198" t="s">
        <v>2272</v>
      </c>
      <c r="Q1781" s="198" t="s">
        <v>2272</v>
      </c>
      <c r="R1781" s="198" t="s">
        <v>2272</v>
      </c>
      <c r="S1781" s="198" t="s">
        <v>2272</v>
      </c>
      <c r="T1781" s="198"/>
    </row>
    <row r="1782" spans="1:20" ht="50" customHeight="1">
      <c r="A1782" s="19" t="s">
        <v>11346</v>
      </c>
      <c r="B1782" s="198" t="s">
        <v>1193</v>
      </c>
      <c r="C1782" s="198" t="s">
        <v>2641</v>
      </c>
      <c r="D1782" s="198" t="s">
        <v>135</v>
      </c>
      <c r="E1782" s="198" t="s">
        <v>2272</v>
      </c>
      <c r="F1782" s="198" t="s">
        <v>2272</v>
      </c>
      <c r="G1782" s="198" t="s">
        <v>2272</v>
      </c>
      <c r="H1782" s="198" t="s">
        <v>2272</v>
      </c>
      <c r="I1782" s="198" t="s">
        <v>2272</v>
      </c>
      <c r="J1782" s="198" t="s">
        <v>2272</v>
      </c>
      <c r="K1782" s="198" t="s">
        <v>2272</v>
      </c>
      <c r="L1782" s="198" t="s">
        <v>2272</v>
      </c>
      <c r="M1782" s="198" t="s">
        <v>2272</v>
      </c>
      <c r="N1782" s="198" t="s">
        <v>2272</v>
      </c>
      <c r="O1782" s="198" t="s">
        <v>2272</v>
      </c>
      <c r="P1782" s="198" t="s">
        <v>2272</v>
      </c>
      <c r="Q1782" s="198" t="s">
        <v>2272</v>
      </c>
      <c r="R1782" s="198">
        <v>100</v>
      </c>
      <c r="S1782" s="198" t="s">
        <v>2272</v>
      </c>
      <c r="T1782" s="198"/>
    </row>
    <row r="1783" spans="1:20" ht="50" customHeight="1">
      <c r="A1783" s="19" t="s">
        <v>11347</v>
      </c>
      <c r="B1783" s="198" t="s">
        <v>31</v>
      </c>
      <c r="C1783" s="198" t="s">
        <v>2640</v>
      </c>
      <c r="D1783" s="198" t="s">
        <v>82</v>
      </c>
      <c r="E1783" s="198" t="s">
        <v>2644</v>
      </c>
      <c r="F1783" s="198" t="s">
        <v>2272</v>
      </c>
      <c r="G1783" s="198" t="s">
        <v>2272</v>
      </c>
      <c r="H1783" s="198" t="s">
        <v>2272</v>
      </c>
      <c r="I1783" s="198" t="s">
        <v>2272</v>
      </c>
      <c r="J1783" s="198" t="s">
        <v>2272</v>
      </c>
      <c r="K1783" s="198" t="s">
        <v>532</v>
      </c>
      <c r="L1783" s="198" t="s">
        <v>2272</v>
      </c>
      <c r="M1783" s="198" t="s">
        <v>2272</v>
      </c>
      <c r="N1783" s="198" t="s">
        <v>2272</v>
      </c>
      <c r="O1783" s="198" t="s">
        <v>2272</v>
      </c>
      <c r="P1783" s="198" t="s">
        <v>2272</v>
      </c>
      <c r="Q1783" s="198" t="s">
        <v>2272</v>
      </c>
      <c r="R1783" s="198" t="s">
        <v>2272</v>
      </c>
      <c r="S1783" s="198" t="s">
        <v>2272</v>
      </c>
      <c r="T1783" s="198"/>
    </row>
    <row r="1784" spans="1:20" ht="47.5" customHeight="1">
      <c r="A1784" s="19" t="s">
        <v>11357</v>
      </c>
      <c r="B1784" s="198" t="s">
        <v>31</v>
      </c>
      <c r="C1784" s="198" t="s">
        <v>2641</v>
      </c>
      <c r="D1784" s="198" t="s">
        <v>114</v>
      </c>
      <c r="E1784" s="198" t="s">
        <v>135</v>
      </c>
      <c r="F1784" s="198" t="s">
        <v>2272</v>
      </c>
      <c r="G1784" s="198" t="s">
        <v>2272</v>
      </c>
      <c r="H1784" s="198" t="s">
        <v>2272</v>
      </c>
      <c r="I1784" s="198" t="s">
        <v>2272</v>
      </c>
      <c r="J1784" s="198" t="s">
        <v>2272</v>
      </c>
      <c r="K1784" s="198" t="s">
        <v>2272</v>
      </c>
      <c r="L1784" s="198" t="s">
        <v>2272</v>
      </c>
      <c r="M1784" s="198" t="s">
        <v>2272</v>
      </c>
      <c r="N1784" s="198" t="s">
        <v>2272</v>
      </c>
      <c r="O1784" s="198" t="s">
        <v>2272</v>
      </c>
      <c r="P1784" s="198" t="s">
        <v>2272</v>
      </c>
      <c r="Q1784" s="198" t="s">
        <v>2272</v>
      </c>
      <c r="R1784" s="198" t="s">
        <v>2272</v>
      </c>
      <c r="S1784" s="198" t="s">
        <v>2272</v>
      </c>
      <c r="T1784" s="198"/>
    </row>
    <row r="1785" spans="1:20" ht="47.5" customHeight="1">
      <c r="A1785" s="19" t="s">
        <v>11367</v>
      </c>
      <c r="B1785" s="198" t="s">
        <v>68</v>
      </c>
      <c r="C1785" s="198" t="s">
        <v>11</v>
      </c>
      <c r="D1785" s="198" t="s">
        <v>2644</v>
      </c>
      <c r="E1785" s="198" t="s">
        <v>114</v>
      </c>
      <c r="F1785" s="198" t="s">
        <v>860</v>
      </c>
      <c r="G1785" s="198" t="s">
        <v>2272</v>
      </c>
      <c r="H1785" s="198" t="s">
        <v>2272</v>
      </c>
      <c r="I1785" s="198" t="s">
        <v>2272</v>
      </c>
      <c r="J1785" s="198" t="s">
        <v>2272</v>
      </c>
      <c r="K1785" s="198" t="s">
        <v>532</v>
      </c>
      <c r="L1785" s="198" t="s">
        <v>2272</v>
      </c>
      <c r="M1785" s="198" t="s">
        <v>2272</v>
      </c>
      <c r="N1785" s="198" t="s">
        <v>2272</v>
      </c>
      <c r="O1785" s="198" t="s">
        <v>2272</v>
      </c>
      <c r="P1785" s="198" t="s">
        <v>2272</v>
      </c>
      <c r="Q1785" s="198" t="s">
        <v>2272</v>
      </c>
      <c r="R1785" s="198" t="s">
        <v>2272</v>
      </c>
      <c r="S1785" s="198" t="s">
        <v>2272</v>
      </c>
      <c r="T1785" s="4" t="s">
        <v>11376</v>
      </c>
    </row>
    <row r="1786" spans="1:20" ht="47.5" customHeight="1">
      <c r="A1786" s="19" t="s">
        <v>11378</v>
      </c>
      <c r="B1786" s="198" t="s">
        <v>1193</v>
      </c>
      <c r="C1786" s="198" t="s">
        <v>2641</v>
      </c>
      <c r="D1786" s="198" t="s">
        <v>114</v>
      </c>
      <c r="E1786" s="198" t="s">
        <v>2644</v>
      </c>
      <c r="F1786" s="198" t="s">
        <v>2272</v>
      </c>
      <c r="G1786" s="198" t="s">
        <v>2272</v>
      </c>
      <c r="H1786" s="198" t="s">
        <v>2272</v>
      </c>
      <c r="I1786" s="198" t="s">
        <v>2272</v>
      </c>
      <c r="J1786" s="198" t="s">
        <v>2272</v>
      </c>
      <c r="K1786" s="198" t="s">
        <v>2272</v>
      </c>
      <c r="L1786" s="198" t="s">
        <v>2272</v>
      </c>
      <c r="M1786" s="198" t="s">
        <v>2272</v>
      </c>
      <c r="N1786" s="198" t="s">
        <v>2272</v>
      </c>
      <c r="O1786" s="198" t="s">
        <v>2272</v>
      </c>
      <c r="P1786" s="198" t="s">
        <v>2272</v>
      </c>
      <c r="Q1786" s="198" t="s">
        <v>2272</v>
      </c>
      <c r="R1786" s="198" t="s">
        <v>2272</v>
      </c>
      <c r="S1786" s="198" t="s">
        <v>2272</v>
      </c>
      <c r="T1786" s="198"/>
    </row>
    <row r="1787" spans="1:20" ht="47.5" customHeight="1">
      <c r="A1787" s="19" t="s">
        <v>11386</v>
      </c>
      <c r="B1787" s="198" t="s">
        <v>68</v>
      </c>
      <c r="C1787" s="198" t="s">
        <v>393</v>
      </c>
      <c r="D1787" s="198" t="s">
        <v>114</v>
      </c>
      <c r="E1787" s="198" t="s">
        <v>5000</v>
      </c>
      <c r="F1787" s="198" t="s">
        <v>2272</v>
      </c>
      <c r="G1787" s="198" t="s">
        <v>2272</v>
      </c>
      <c r="H1787" s="198" t="s">
        <v>2272</v>
      </c>
      <c r="I1787" s="198" t="s">
        <v>2272</v>
      </c>
      <c r="J1787" s="198" t="s">
        <v>2272</v>
      </c>
      <c r="K1787" s="198" t="s">
        <v>2272</v>
      </c>
      <c r="L1787" s="198" t="s">
        <v>2272</v>
      </c>
      <c r="M1787" s="198" t="s">
        <v>2272</v>
      </c>
      <c r="N1787" s="198" t="s">
        <v>2272</v>
      </c>
      <c r="O1787" s="198" t="s">
        <v>2272</v>
      </c>
      <c r="P1787" s="198" t="s">
        <v>2272</v>
      </c>
      <c r="Q1787" s="198" t="s">
        <v>2272</v>
      </c>
      <c r="R1787" s="198" t="s">
        <v>2272</v>
      </c>
      <c r="S1787" s="198" t="s">
        <v>2272</v>
      </c>
      <c r="T1787" s="198"/>
    </row>
    <row r="1788" spans="1:20" ht="48.5" customHeight="1">
      <c r="A1788" s="19" t="s">
        <v>11388</v>
      </c>
      <c r="B1788" s="198" t="s">
        <v>2272</v>
      </c>
      <c r="C1788" s="198" t="s">
        <v>2640</v>
      </c>
      <c r="D1788" s="198" t="s">
        <v>5795</v>
      </c>
      <c r="E1788" s="198" t="s">
        <v>2272</v>
      </c>
      <c r="F1788" s="198" t="s">
        <v>2272</v>
      </c>
      <c r="G1788" s="198" t="s">
        <v>2272</v>
      </c>
      <c r="H1788" s="198" t="s">
        <v>2272</v>
      </c>
      <c r="I1788" s="198" t="s">
        <v>2272</v>
      </c>
      <c r="J1788" s="198" t="s">
        <v>2272</v>
      </c>
      <c r="K1788" s="198" t="s">
        <v>2272</v>
      </c>
      <c r="L1788" s="198" t="s">
        <v>2272</v>
      </c>
      <c r="M1788" s="198" t="s">
        <v>2272</v>
      </c>
      <c r="N1788" s="198" t="s">
        <v>2272</v>
      </c>
      <c r="O1788" s="198" t="s">
        <v>2272</v>
      </c>
      <c r="P1788" s="198" t="s">
        <v>2272</v>
      </c>
      <c r="Q1788" s="198" t="s">
        <v>2272</v>
      </c>
      <c r="R1788" s="198" t="s">
        <v>2272</v>
      </c>
      <c r="S1788" s="198" t="s">
        <v>2272</v>
      </c>
      <c r="T1788" s="198"/>
    </row>
    <row r="1789" spans="1:20" ht="48.5" customHeight="1">
      <c r="A1789" s="19" t="s">
        <v>11400</v>
      </c>
      <c r="B1789" s="198" t="s">
        <v>31</v>
      </c>
      <c r="C1789" s="198" t="s">
        <v>2640</v>
      </c>
      <c r="D1789" s="198" t="s">
        <v>2642</v>
      </c>
      <c r="E1789" s="198" t="s">
        <v>2644</v>
      </c>
      <c r="F1789" s="198" t="s">
        <v>2272</v>
      </c>
      <c r="G1789" s="198" t="s">
        <v>2272</v>
      </c>
      <c r="H1789" s="198" t="s">
        <v>2272</v>
      </c>
      <c r="I1789" s="198" t="s">
        <v>2272</v>
      </c>
      <c r="J1789" s="198" t="s">
        <v>2272</v>
      </c>
      <c r="K1789" s="198" t="s">
        <v>532</v>
      </c>
      <c r="L1789" s="198" t="s">
        <v>2272</v>
      </c>
      <c r="M1789" s="198" t="s">
        <v>2272</v>
      </c>
      <c r="N1789" s="198" t="s">
        <v>2272</v>
      </c>
      <c r="O1789" s="198" t="s">
        <v>2272</v>
      </c>
      <c r="P1789" s="198" t="s">
        <v>2272</v>
      </c>
      <c r="Q1789" s="198" t="s">
        <v>2272</v>
      </c>
      <c r="R1789" s="198" t="s">
        <v>2272</v>
      </c>
      <c r="S1789" s="198" t="s">
        <v>2272</v>
      </c>
      <c r="T1789" s="198"/>
    </row>
    <row r="1790" spans="1:20" ht="41" customHeight="1">
      <c r="A1790" s="19" t="s">
        <v>11414</v>
      </c>
      <c r="B1790" s="4" t="s">
        <v>69</v>
      </c>
      <c r="C1790" s="4" t="s">
        <v>2640</v>
      </c>
      <c r="D1790" s="4" t="s">
        <v>2647</v>
      </c>
      <c r="E1790" s="4" t="s">
        <v>2272</v>
      </c>
      <c r="F1790" s="4" t="s">
        <v>2272</v>
      </c>
      <c r="G1790" s="4" t="s">
        <v>2272</v>
      </c>
      <c r="H1790" s="4" t="s">
        <v>2272</v>
      </c>
      <c r="I1790" s="4" t="s">
        <v>2272</v>
      </c>
      <c r="J1790" s="4" t="s">
        <v>2272</v>
      </c>
      <c r="K1790" s="4" t="s">
        <v>2272</v>
      </c>
      <c r="L1790" s="4" t="s">
        <v>2272</v>
      </c>
      <c r="M1790" s="4" t="s">
        <v>2272</v>
      </c>
      <c r="N1790" s="4" t="s">
        <v>2272</v>
      </c>
      <c r="O1790" s="4" t="s">
        <v>2272</v>
      </c>
      <c r="P1790" s="4" t="s">
        <v>2272</v>
      </c>
      <c r="Q1790" s="71">
        <v>24</v>
      </c>
      <c r="R1790" s="71">
        <f>100-Q1790</f>
        <v>76</v>
      </c>
      <c r="S1790" s="4" t="s">
        <v>2272</v>
      </c>
      <c r="T1790" s="4" t="s">
        <v>11419</v>
      </c>
    </row>
    <row r="1791" spans="1:20" ht="40" customHeight="1">
      <c r="A1791" s="19" t="s">
        <v>11421</v>
      </c>
      <c r="B1791" s="4" t="s">
        <v>2272</v>
      </c>
      <c r="C1791" s="4" t="s">
        <v>11</v>
      </c>
      <c r="D1791" s="4" t="s">
        <v>394</v>
      </c>
      <c r="E1791" s="4" t="s">
        <v>44</v>
      </c>
      <c r="F1791" s="4" t="s">
        <v>82</v>
      </c>
      <c r="G1791" s="4" t="s">
        <v>2272</v>
      </c>
      <c r="H1791" s="4" t="s">
        <v>2272</v>
      </c>
      <c r="I1791" s="4" t="s">
        <v>2272</v>
      </c>
      <c r="J1791" s="4" t="s">
        <v>2272</v>
      </c>
      <c r="K1791" s="4" t="s">
        <v>2272</v>
      </c>
      <c r="L1791" s="4" t="s">
        <v>2272</v>
      </c>
      <c r="M1791" s="4" t="s">
        <v>2272</v>
      </c>
      <c r="N1791" s="4" t="s">
        <v>2272</v>
      </c>
      <c r="O1791" s="4" t="s">
        <v>2272</v>
      </c>
      <c r="P1791" s="4" t="s">
        <v>2272</v>
      </c>
      <c r="Q1791" s="4" t="s">
        <v>2272</v>
      </c>
      <c r="R1791" s="4" t="s">
        <v>2272</v>
      </c>
      <c r="S1791" s="4" t="s">
        <v>2272</v>
      </c>
      <c r="T1791" s="4"/>
    </row>
    <row r="1792" spans="1:20" ht="53" customHeight="1">
      <c r="A1792" s="11" t="s">
        <v>11429</v>
      </c>
      <c r="B1792" s="198" t="s">
        <v>1193</v>
      </c>
      <c r="C1792" s="198" t="s">
        <v>2640</v>
      </c>
      <c r="D1792" s="198" t="s">
        <v>82</v>
      </c>
      <c r="E1792" s="4" t="s">
        <v>44</v>
      </c>
      <c r="F1792" s="4" t="s">
        <v>2272</v>
      </c>
      <c r="G1792" s="4" t="s">
        <v>2272</v>
      </c>
      <c r="H1792" s="4" t="s">
        <v>2272</v>
      </c>
      <c r="I1792" s="4" t="s">
        <v>2272</v>
      </c>
      <c r="J1792" s="4" t="s">
        <v>2272</v>
      </c>
      <c r="K1792" s="198" t="s">
        <v>532</v>
      </c>
      <c r="L1792" s="4" t="s">
        <v>2272</v>
      </c>
      <c r="M1792" s="4" t="s">
        <v>2272</v>
      </c>
      <c r="N1792" s="4" t="s">
        <v>2272</v>
      </c>
      <c r="O1792" s="4" t="s">
        <v>2272</v>
      </c>
      <c r="P1792" s="4" t="s">
        <v>2272</v>
      </c>
      <c r="Q1792" s="4" t="s">
        <v>2272</v>
      </c>
      <c r="R1792" s="4" t="s">
        <v>2272</v>
      </c>
      <c r="S1792" s="4" t="s">
        <v>2272</v>
      </c>
      <c r="T1792" s="198"/>
    </row>
    <row r="1793" spans="1:20" ht="53" customHeight="1">
      <c r="A1793" s="11" t="s">
        <v>11431</v>
      </c>
      <c r="B1793" s="198" t="s">
        <v>31</v>
      </c>
      <c r="C1793" s="198" t="s">
        <v>2640</v>
      </c>
      <c r="D1793" s="198" t="s">
        <v>2648</v>
      </c>
      <c r="E1793" s="198" t="s">
        <v>5795</v>
      </c>
      <c r="F1793" s="198" t="s">
        <v>82</v>
      </c>
      <c r="G1793" s="4" t="s">
        <v>44</v>
      </c>
      <c r="H1793" s="4" t="s">
        <v>2272</v>
      </c>
      <c r="I1793" s="4" t="s">
        <v>2272</v>
      </c>
      <c r="J1793" s="4" t="s">
        <v>2272</v>
      </c>
      <c r="K1793" s="198" t="s">
        <v>532</v>
      </c>
      <c r="L1793" s="4" t="s">
        <v>2272</v>
      </c>
      <c r="M1793" s="4" t="s">
        <v>2272</v>
      </c>
      <c r="N1793" s="4" t="s">
        <v>2272</v>
      </c>
      <c r="O1793" s="4" t="s">
        <v>2272</v>
      </c>
      <c r="P1793" s="4" t="s">
        <v>2272</v>
      </c>
      <c r="Q1793" s="4" t="s">
        <v>2272</v>
      </c>
      <c r="R1793" s="4" t="s">
        <v>2272</v>
      </c>
      <c r="S1793" s="4" t="s">
        <v>2272</v>
      </c>
      <c r="T1793" s="198"/>
    </row>
    <row r="1794" spans="1:20" ht="53" customHeight="1">
      <c r="A1794" s="19" t="s">
        <v>11435</v>
      </c>
      <c r="B1794" s="4" t="s">
        <v>2272</v>
      </c>
      <c r="C1794" s="4" t="s">
        <v>2640</v>
      </c>
      <c r="D1794" s="4" t="s">
        <v>860</v>
      </c>
      <c r="E1794" s="4" t="s">
        <v>2648</v>
      </c>
      <c r="F1794" s="4" t="s">
        <v>5795</v>
      </c>
      <c r="G1794" s="198" t="s">
        <v>82</v>
      </c>
      <c r="H1794" s="4" t="s">
        <v>2272</v>
      </c>
      <c r="I1794" s="4" t="s">
        <v>2272</v>
      </c>
      <c r="J1794" s="4" t="s">
        <v>2272</v>
      </c>
      <c r="K1794" s="198" t="s">
        <v>532</v>
      </c>
      <c r="L1794" s="4" t="s">
        <v>2272</v>
      </c>
      <c r="M1794" s="4" t="s">
        <v>2272</v>
      </c>
      <c r="N1794" s="4" t="s">
        <v>2272</v>
      </c>
      <c r="O1794" s="4" t="s">
        <v>2272</v>
      </c>
      <c r="P1794" s="4" t="s">
        <v>2272</v>
      </c>
      <c r="Q1794" s="4" t="s">
        <v>2272</v>
      </c>
      <c r="R1794" s="4" t="s">
        <v>2272</v>
      </c>
      <c r="S1794" s="4" t="s">
        <v>2272</v>
      </c>
      <c r="T1794" s="198"/>
    </row>
    <row r="1795" spans="1:20" ht="52.5" customHeight="1">
      <c r="A1795" s="19" t="s">
        <v>11451</v>
      </c>
      <c r="B1795" s="4" t="s">
        <v>2272</v>
      </c>
      <c r="C1795" s="4" t="s">
        <v>2272</v>
      </c>
      <c r="D1795" s="4" t="s">
        <v>5795</v>
      </c>
      <c r="E1795" s="4" t="s">
        <v>2272</v>
      </c>
      <c r="F1795" s="4" t="s">
        <v>5795</v>
      </c>
      <c r="G1795" s="4" t="s">
        <v>2272</v>
      </c>
      <c r="H1795" s="4" t="s">
        <v>2272</v>
      </c>
      <c r="I1795" s="4" t="s">
        <v>2272</v>
      </c>
      <c r="J1795" s="4" t="s">
        <v>2272</v>
      </c>
      <c r="K1795" s="4" t="s">
        <v>2272</v>
      </c>
      <c r="L1795" s="4" t="s">
        <v>2272</v>
      </c>
      <c r="M1795" s="4" t="s">
        <v>2272</v>
      </c>
      <c r="N1795" s="4" t="s">
        <v>2272</v>
      </c>
      <c r="O1795" s="4" t="s">
        <v>2272</v>
      </c>
      <c r="P1795" s="4" t="s">
        <v>2272</v>
      </c>
      <c r="Q1795" s="4" t="s">
        <v>2272</v>
      </c>
      <c r="R1795" s="4" t="s">
        <v>2272</v>
      </c>
      <c r="S1795" s="4" t="s">
        <v>2272</v>
      </c>
      <c r="T1795" s="198"/>
    </row>
    <row r="1796" spans="1:20" ht="48.5" customHeight="1">
      <c r="A1796" s="19" t="s">
        <v>11458</v>
      </c>
      <c r="B1796" s="198" t="s">
        <v>2272</v>
      </c>
      <c r="C1796" s="198" t="s">
        <v>11</v>
      </c>
      <c r="D1796" s="198" t="s">
        <v>860</v>
      </c>
      <c r="E1796" s="4" t="s">
        <v>2272</v>
      </c>
      <c r="F1796" s="4" t="s">
        <v>2272</v>
      </c>
      <c r="G1796" s="4" t="s">
        <v>2272</v>
      </c>
      <c r="H1796" s="4" t="s">
        <v>2272</v>
      </c>
      <c r="I1796" s="4" t="s">
        <v>2272</v>
      </c>
      <c r="J1796" s="4" t="s">
        <v>2272</v>
      </c>
      <c r="K1796" s="198" t="s">
        <v>532</v>
      </c>
      <c r="L1796" s="4" t="s">
        <v>2272</v>
      </c>
      <c r="M1796" s="4" t="s">
        <v>2272</v>
      </c>
      <c r="N1796" s="4" t="s">
        <v>2272</v>
      </c>
      <c r="O1796" s="4" t="s">
        <v>2272</v>
      </c>
      <c r="P1796" s="4" t="s">
        <v>2272</v>
      </c>
      <c r="Q1796" s="4" t="s">
        <v>2272</v>
      </c>
      <c r="R1796" s="4" t="s">
        <v>2272</v>
      </c>
      <c r="S1796" s="4" t="s">
        <v>2272</v>
      </c>
      <c r="T1796" s="198"/>
    </row>
    <row r="1797" spans="1:20" ht="48.5" customHeight="1">
      <c r="A1797" s="19" t="s">
        <v>11473</v>
      </c>
      <c r="B1797" s="198" t="s">
        <v>31</v>
      </c>
      <c r="C1797" s="198" t="s">
        <v>11</v>
      </c>
      <c r="D1797" s="4" t="s">
        <v>128</v>
      </c>
      <c r="E1797" s="4" t="s">
        <v>395</v>
      </c>
      <c r="F1797" s="4" t="s">
        <v>394</v>
      </c>
      <c r="G1797" s="4" t="s">
        <v>2272</v>
      </c>
      <c r="H1797" s="4" t="s">
        <v>2272</v>
      </c>
      <c r="I1797" s="4" t="s">
        <v>2272</v>
      </c>
      <c r="J1797" s="4" t="s">
        <v>2272</v>
      </c>
      <c r="K1797" s="4" t="s">
        <v>2272</v>
      </c>
      <c r="L1797" s="4" t="s">
        <v>2272</v>
      </c>
      <c r="M1797" s="4" t="s">
        <v>2272</v>
      </c>
      <c r="N1797" s="4" t="s">
        <v>2272</v>
      </c>
      <c r="O1797" s="4" t="s">
        <v>2272</v>
      </c>
      <c r="P1797" s="4" t="s">
        <v>2272</v>
      </c>
      <c r="Q1797" s="4" t="s">
        <v>2272</v>
      </c>
      <c r="R1797" s="4" t="s">
        <v>2272</v>
      </c>
      <c r="S1797" s="4" t="s">
        <v>2272</v>
      </c>
      <c r="T1797" s="198"/>
    </row>
    <row r="1798" spans="1:20" ht="48.5" customHeight="1">
      <c r="A1798" s="19" t="s">
        <v>11475</v>
      </c>
      <c r="B1798" s="4" t="s">
        <v>2254</v>
      </c>
      <c r="C1798" s="4" t="s">
        <v>11</v>
      </c>
      <c r="D1798" s="4" t="s">
        <v>394</v>
      </c>
      <c r="E1798" s="4" t="s">
        <v>395</v>
      </c>
      <c r="F1798" s="4" t="s">
        <v>5000</v>
      </c>
      <c r="G1798" s="4" t="s">
        <v>2272</v>
      </c>
      <c r="H1798" s="4" t="s">
        <v>2272</v>
      </c>
      <c r="I1798" s="21">
        <v>3.2</v>
      </c>
      <c r="J1798" s="4" t="s">
        <v>2272</v>
      </c>
      <c r="K1798" s="4" t="s">
        <v>2272</v>
      </c>
      <c r="L1798" s="4" t="s">
        <v>2272</v>
      </c>
      <c r="M1798" s="4" t="s">
        <v>2272</v>
      </c>
      <c r="N1798" s="4" t="s">
        <v>2272</v>
      </c>
      <c r="O1798" s="4" t="s">
        <v>2272</v>
      </c>
      <c r="P1798" s="4" t="s">
        <v>2272</v>
      </c>
      <c r="Q1798" s="4" t="s">
        <v>2272</v>
      </c>
      <c r="R1798" s="4" t="s">
        <v>2272</v>
      </c>
      <c r="S1798" s="4" t="s">
        <v>2272</v>
      </c>
      <c r="T1798" s="4" t="s">
        <v>11479</v>
      </c>
    </row>
    <row r="1799" spans="1:20" ht="48.5" customHeight="1">
      <c r="A1799" s="19" t="s">
        <v>11489</v>
      </c>
      <c r="B1799" s="198" t="s">
        <v>69</v>
      </c>
      <c r="C1799" s="198" t="s">
        <v>2640</v>
      </c>
      <c r="D1799" s="198" t="s">
        <v>82</v>
      </c>
      <c r="E1799" s="198" t="s">
        <v>44</v>
      </c>
      <c r="F1799" s="198" t="s">
        <v>114</v>
      </c>
      <c r="G1799" s="4" t="s">
        <v>2272</v>
      </c>
      <c r="H1799" s="4" t="s">
        <v>2272</v>
      </c>
      <c r="I1799" s="4" t="s">
        <v>2272</v>
      </c>
      <c r="J1799" s="4" t="s">
        <v>2272</v>
      </c>
      <c r="K1799" s="4" t="s">
        <v>2272</v>
      </c>
      <c r="L1799" s="4" t="s">
        <v>2272</v>
      </c>
      <c r="M1799" s="4" t="s">
        <v>2272</v>
      </c>
      <c r="N1799" s="4" t="s">
        <v>2272</v>
      </c>
      <c r="O1799" s="4" t="s">
        <v>2272</v>
      </c>
      <c r="P1799" s="4" t="s">
        <v>2272</v>
      </c>
      <c r="Q1799" s="4" t="s">
        <v>2272</v>
      </c>
      <c r="R1799" s="4" t="s">
        <v>2272</v>
      </c>
      <c r="S1799" s="4" t="s">
        <v>2272</v>
      </c>
      <c r="T1799" s="4" t="s">
        <v>11507</v>
      </c>
    </row>
    <row r="1800" spans="1:20" ht="44.5" customHeight="1"/>
  </sheetData>
  <autoFilter ref="A1:A1224"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946" yWindow="513"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1: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1 M1577 M1602 M1780:M1783 M180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N1801 N1803:S1048576 O1801:S1802 R1567:S1567"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1:H1402 H963 P932 H1000:H1012 H1025:H1027 H1105:H1114 H927:H931 H933:S933 I929:J931 H1091:H1097 H1070 H1083:H1085 H1229:H1236 H1255:H1256 H1263 H1266 H1020:H1021 C935 H1550 H1780:H1783 H1801: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L1801:L1048576 L927:L931 M929:S931 L963 J1004:J1012 J963 I1060:J1060 H1035:I1035 J1001:J1002 I997:I1012 I1020:I1022 J1357:J1361 J1364 L1482 J1496:J1497 J1550 J1022:J1027 I1024:I1027 L1780:L1783 J1780:J1783 J180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50 I1256 I1258:I1260 I1262:I1263 I1306 I1364 H1393:I1393 I1401:I1402 I1407 I1483 I1485:I1489 I1501 I1508 I1529 I1550 I1552 I1556:I1557 I1577 H1622:I1622 I1638 I1725 I1738 I1772 I1780:I1783 I1798 I1801: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946" yWindow="513"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K1223:K1225 K1780:K1783 K1785 K1789 K1792:K1794 K1796 K1801:K1048576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J921:S926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C1331:C1333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D1595:S1595 C1587:C1592 D1587:D1588 D1590:D1591 E1587:S1592 F1593:S1593 F1594:J1594 L1594:S1594 E1598:S1598 E1596:J1597 L1596:S1597 L1602:L1723 G1599:S1601 G1602:J1602 P1605:P1723 O1602:P1602 F1603:K1603 M1603:Q1603 M1604:M1723 O1604:O1723 R1622:R1636 R1609 H1604:J1605 N1609:N1723 E1606:K1608 G1609:K1609 S1602:S1723 H1623:I1623 J1610:K1623 E1610:G1623 H1610:I1621 H1626:K1626 E1624:K1625 D1627:F1627 E1632:E1633 R1638:R1723 F1631:F1634 G1627:K1635 F1637:K1637 E1636:K1636 E1639:K1639 B1801:B1048576 P1725:S1725 H1638 J1638:K1638 G1724:S1724 E1725:H1725 J1725:N1725 C1640:K1723 E1726:O1726 R1727:S1730 F1728 K1727 K1729:K1730 G1727:J1730 Q1726:Q1729 E1754:R1765 C1762:D1765 C1755:D1759 L1766:P1766 H1766:J1766 F1767:Q1767 G1772:H1772 S1753:S1769 F1768:P1768 C1769 G1770:S1770 G1769:R1769 H1771:S1771 S1772:S1779 J1772:J1779 L1772:M1772 O1772:Q1772 K1773:R1774 F1773:I1773 G1774:I1774 L1777:R1777 L1775:N1776 H1775:I1777 E1778:I1778 K1778:Q1778 G1779:I1779 K1779:R1779 B1063:B1422 B1458:B1793 B1796:B1799 Q1604:Q1723 L1727:M1730 O1727:P1730 N1727:N1729</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C1063:C1114 C1116:C1119 C1128:C1132 C1334:C1341 C1349:C1356 C1362:C1386 C1393:C1404 C1406:C1423 C1430 C1447:C1448 C1452:C1453 C1439:C1441 C1434:C1435 C1457:C1480 C1573:C1586 E1731:S1732 H1733:T1733 G1734:J1734 L1734:S1734 G1735:Q1735 L1736:R1736 R1737:R1738 L1737:M1737 O1737:P1737 G1736:J1737 L1740:R1742 F1738:H1738 J1738:Q1738 O1739:Q1739 L1739:M1739 H1739:J1739 F1741:J1741 D1742:K1742 E1740:K1740 F1746:J1750 O1746:Q1746 N1747:R1749 O1750:R1750 E1753:Q1753 H1751:J1751 L1746:M1751 P1751:Q1751 S1751:S1752 F1752:R1752 D1743 E1743:E1744 S1735:S1749 F1743:R1745 C1801:C1048576 C1760:C1761 C1766:C1768 C1032 C1155:C1330 C1770:C1794 C1482:C1571 C1796:C1799 C1593:C1639 C1724:C1754</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F1401:F1402 S1460:S1479 L1460:M1460 R1463:R1479 L1461:L1480 I984 C1442:C1446 H1115:S1119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L1033:S1033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L1036:Q1057 S1036:S1057 R1036:R1042 R1047:R1057</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D1556:H1557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D1498:G1528 D1529:H1529 L1530:S1530 F1531:S1531 H1550:J1550 F1532:J1548 L1550:Q1550 H1549:Q1549 L1532:Q1548 Q1551:Q1554 S1551:S1554 H1551:O1551 J1552:P1552 R1552:R1553 H1552:H1554 I1553:P1553 F1555:S1555 F1549:G1554 I1554:J1554 L1554:P1554 P1557:P1568 D1530:E1555 L1556:N1557 K1557:K1558 L1783:R1783 F1780:S1781 F1782:Q1782 F1225:G1494 F1783:J1783 R1564:R1567 L1558:O1559 R1558:R1559 K1560:O1563 L1564:O1568 L1569:M1569 K1570:P1570 D1558:I1570 D1571:Q1571 J1556:J1570 Q1558:Q1570 F1572:Q1572 R1570:R1571 Q1574:Q1575 F1573:R1573 F1574:N1574 S1556:S1577 F1575:M1576 O1575:P1576 R1576:R1577 F1577:H1584 M1578:N1579 D1572:E1584 K1585 N1585:N1586 S1586 D1585:H1586 D1589 E1593:E1594 D1592:D1594 D1596:D1600 E1599:F1600 D1601:F1602 F1604:G1604 D1603:E1604 D1605:G1605 P1578:P1586 R1579:S1585 M1580:M1586 I1578:I1586 O1577:O1586 L1577:L1586 J1577:J1586 Q1577:Q1586 E1609:F1609 E1626:G1626 D1606:D1626 D1628:F1630 E1631 F1635 E1634:E1635 E1637:E1638 F1638:G1638 E1724:F1724 F1727 F1729:F1730 E1727:E1730 G1733 E1733:F1737 E1741 D1801:G1048576 E1738:E1739 F1739:G1739 E1745:E1752 D1744:D1754 F1751:G1751 D1760:D1761 F1766:G1766 D1766:E1768 E1769:F1772 G1771 E1773 E1774:F1777 G1775:G1777 E1225:E1495 H1784:S1784 D1225:D1496 D1780:E1783 D1:G1224 L1785:R1785 H1785:J1785 H1786:R1788 L1789:R1789 H1789:J1789 B1794:B1795 H1790:P1790 H1791:Q1791 L1792:Q1794 D1769:D1793 G1780:G1793 E1779:F1793 L1796:Q1796 H1792:J1794 R1790:R1797 S1782:S1797 H1795:Q1795 C1795:E1795 D1794:E1794 F1794:G1795 E1796:J1796 J1798:S1798 I1797:Q1797 I1799:S1799 E1797:H1799 D1567:Q1567 D1796:D1799 D1631:D1639 D1724:D1741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301FD-869D-486B-BB49-B8824724248F}">
  <dimension ref="A1:AE4431"/>
  <sheetViews>
    <sheetView topLeftCell="Y1" zoomScale="55" zoomScaleNormal="55" workbookViewId="0">
      <pane ySplit="1" topLeftCell="A855" activePane="bottomLeft" state="frozen"/>
      <selection pane="bottomLeft" activeCell="A786" sqref="A786"/>
    </sheetView>
  </sheetViews>
  <sheetFormatPr defaultRowHeight="14.5"/>
  <cols>
    <col min="1" max="1" width="18.36328125" style="197" customWidth="1"/>
    <col min="2" max="2" width="20.54296875" style="197" customWidth="1"/>
    <col min="3" max="3" width="20.453125" style="197" customWidth="1"/>
    <col min="4" max="4" width="27" style="197" customWidth="1"/>
    <col min="5" max="5" width="26.90625" style="197" customWidth="1"/>
    <col min="6" max="6" width="25.7265625" style="199" customWidth="1"/>
    <col min="7" max="7" width="25.7265625" style="197" customWidth="1"/>
    <col min="8" max="9" width="21" style="197" customWidth="1"/>
    <col min="10" max="11" width="24" style="14" customWidth="1"/>
    <col min="12" max="12" width="23" style="14" customWidth="1"/>
    <col min="13" max="14" width="19.36328125" style="14" customWidth="1"/>
    <col min="15" max="20" width="18.6328125" style="14" customWidth="1"/>
    <col min="21" max="22" width="19.90625" style="14" customWidth="1"/>
    <col min="23" max="24" width="21.81640625" style="14" customWidth="1"/>
    <col min="25" max="25" width="23" style="14" customWidth="1"/>
    <col min="26" max="26" width="21.1796875" style="14" customWidth="1"/>
    <col min="27" max="27" width="22.54296875" style="197" customWidth="1"/>
    <col min="28" max="28" width="23.26953125" style="197" customWidth="1"/>
    <col min="29" max="29" width="29.26953125" style="197" customWidth="1"/>
    <col min="30" max="30" width="46.36328125" style="197" customWidth="1"/>
    <col min="31" max="31" width="48" style="197" customWidth="1"/>
    <col min="32" max="16384" width="8.7265625" style="197"/>
  </cols>
  <sheetData>
    <row r="1" spans="1:31" ht="72.5" customHeight="1" thickBot="1">
      <c r="A1" s="1" t="s">
        <v>2260</v>
      </c>
      <c r="B1" s="15" t="s">
        <v>5048</v>
      </c>
      <c r="C1" s="2" t="s">
        <v>6</v>
      </c>
      <c r="D1" s="2" t="s">
        <v>7</v>
      </c>
      <c r="E1" s="2" t="s">
        <v>2281</v>
      </c>
      <c r="F1" s="15" t="s">
        <v>2435</v>
      </c>
      <c r="G1" s="15" t="s">
        <v>2445</v>
      </c>
      <c r="H1" s="15" t="s">
        <v>520</v>
      </c>
      <c r="I1" s="2" t="s">
        <v>166</v>
      </c>
      <c r="J1" s="67" t="s">
        <v>11573</v>
      </c>
      <c r="K1" s="67" t="s">
        <v>11574</v>
      </c>
      <c r="L1" s="67" t="s">
        <v>1246</v>
      </c>
      <c r="M1" s="67" t="s">
        <v>2353</v>
      </c>
      <c r="N1" s="67" t="s">
        <v>1245</v>
      </c>
      <c r="O1" s="67" t="s">
        <v>2352</v>
      </c>
      <c r="P1" s="67" t="s">
        <v>1244</v>
      </c>
      <c r="Q1" s="67" t="s">
        <v>2354</v>
      </c>
      <c r="R1" s="67" t="s">
        <v>2433</v>
      </c>
      <c r="S1" s="67" t="s">
        <v>2434</v>
      </c>
      <c r="T1" s="67" t="s">
        <v>1223</v>
      </c>
      <c r="U1" s="67" t="s">
        <v>2355</v>
      </c>
      <c r="V1" s="67" t="s">
        <v>1224</v>
      </c>
      <c r="W1" s="67" t="s">
        <v>2356</v>
      </c>
      <c r="X1" s="67" t="s">
        <v>1461</v>
      </c>
      <c r="Y1" s="67" t="s">
        <v>2357</v>
      </c>
      <c r="Z1" s="67" t="s">
        <v>35</v>
      </c>
      <c r="AA1" s="2" t="s">
        <v>8</v>
      </c>
      <c r="AB1" s="2" t="s">
        <v>9</v>
      </c>
      <c r="AC1" s="2" t="s">
        <v>36</v>
      </c>
      <c r="AD1" s="2" t="s">
        <v>0</v>
      </c>
      <c r="AE1" s="247" t="s">
        <v>115</v>
      </c>
    </row>
    <row r="2" spans="1:31" ht="33" customHeight="1">
      <c r="A2" s="32" t="s">
        <v>14</v>
      </c>
      <c r="B2" s="197" t="s">
        <v>39</v>
      </c>
      <c r="C2" s="32" t="s">
        <v>23</v>
      </c>
      <c r="D2" s="32" t="s">
        <v>24</v>
      </c>
      <c r="E2" s="32" t="s">
        <v>44</v>
      </c>
      <c r="F2" s="177" t="s">
        <v>28</v>
      </c>
      <c r="G2" s="177" t="s">
        <v>28</v>
      </c>
      <c r="H2" s="32" t="s">
        <v>521</v>
      </c>
      <c r="I2" s="32"/>
      <c r="J2" s="81">
        <v>1.63157895E-2</v>
      </c>
      <c r="K2" s="25" t="s">
        <v>2272</v>
      </c>
      <c r="L2" s="81" t="s">
        <v>2272</v>
      </c>
      <c r="M2" s="81" t="s">
        <v>2272</v>
      </c>
      <c r="N2" s="81" t="s">
        <v>2272</v>
      </c>
      <c r="O2" s="81" t="s">
        <v>2272</v>
      </c>
      <c r="P2" s="81" t="s">
        <v>2272</v>
      </c>
      <c r="Q2" s="81" t="s">
        <v>2272</v>
      </c>
      <c r="R2" s="25" t="s">
        <v>2272</v>
      </c>
      <c r="S2" s="25" t="s">
        <v>2272</v>
      </c>
      <c r="T2" s="81" t="s">
        <v>2272</v>
      </c>
      <c r="U2" s="81">
        <v>342</v>
      </c>
      <c r="V2" s="81" t="s">
        <v>2272</v>
      </c>
      <c r="W2" s="81">
        <v>31</v>
      </c>
      <c r="X2" s="81" t="s">
        <v>2272</v>
      </c>
      <c r="Y2" s="81" t="s">
        <v>2272</v>
      </c>
      <c r="Z2" s="81">
        <v>2</v>
      </c>
      <c r="AA2" s="32" t="s">
        <v>33</v>
      </c>
      <c r="AB2" s="32" t="s">
        <v>34</v>
      </c>
      <c r="AC2" s="32" t="s">
        <v>63</v>
      </c>
      <c r="AD2" s="32"/>
      <c r="AE2" s="32"/>
    </row>
    <row r="3" spans="1:31" ht="55.5" customHeight="1">
      <c r="A3" s="198" t="s">
        <v>14</v>
      </c>
      <c r="B3" s="198" t="s">
        <v>40</v>
      </c>
      <c r="C3" s="198" t="s">
        <v>23</v>
      </c>
      <c r="D3" s="198" t="s">
        <v>25</v>
      </c>
      <c r="E3" s="198" t="s">
        <v>44</v>
      </c>
      <c r="F3" s="4" t="s">
        <v>28</v>
      </c>
      <c r="G3" s="4" t="s">
        <v>28</v>
      </c>
      <c r="H3" s="198" t="s">
        <v>521</v>
      </c>
      <c r="I3" s="198"/>
      <c r="J3" s="21">
        <v>6.5839694700000007E-2</v>
      </c>
      <c r="K3" s="21" t="s">
        <v>2272</v>
      </c>
      <c r="L3" s="21" t="s">
        <v>2272</v>
      </c>
      <c r="M3" s="21" t="s">
        <v>2272</v>
      </c>
      <c r="N3" s="21" t="s">
        <v>2272</v>
      </c>
      <c r="O3" s="21" t="s">
        <v>2272</v>
      </c>
      <c r="P3" s="21" t="s">
        <v>2272</v>
      </c>
      <c r="Q3" s="21" t="s">
        <v>2272</v>
      </c>
      <c r="R3" s="21" t="s">
        <v>2272</v>
      </c>
      <c r="S3" s="21" t="s">
        <v>2272</v>
      </c>
      <c r="T3" s="21" t="s">
        <v>2272</v>
      </c>
      <c r="U3" s="21">
        <v>262</v>
      </c>
      <c r="V3" s="21" t="s">
        <v>2272</v>
      </c>
      <c r="W3" s="21">
        <v>23</v>
      </c>
      <c r="X3" s="21" t="s">
        <v>2272</v>
      </c>
      <c r="Y3" s="21" t="s">
        <v>2272</v>
      </c>
      <c r="Z3" s="21">
        <v>2</v>
      </c>
      <c r="AA3" s="198" t="s">
        <v>37</v>
      </c>
      <c r="AB3" s="198" t="s">
        <v>33</v>
      </c>
      <c r="AC3" s="198" t="s">
        <v>63</v>
      </c>
      <c r="AD3" s="4" t="s">
        <v>38</v>
      </c>
      <c r="AE3" s="198"/>
    </row>
    <row r="4" spans="1:31" ht="43.5" customHeight="1">
      <c r="A4" s="198" t="s">
        <v>14</v>
      </c>
      <c r="B4" s="198" t="s">
        <v>41</v>
      </c>
      <c r="C4" s="198" t="s">
        <v>23</v>
      </c>
      <c r="D4" s="198" t="s">
        <v>26</v>
      </c>
      <c r="E4" s="198" t="s">
        <v>128</v>
      </c>
      <c r="F4" s="4" t="s">
        <v>159</v>
      </c>
      <c r="G4" s="4" t="s">
        <v>159</v>
      </c>
      <c r="H4" s="198" t="s">
        <v>521</v>
      </c>
      <c r="I4" s="198"/>
      <c r="J4" s="68">
        <v>3.3</v>
      </c>
      <c r="K4" s="21" t="s">
        <v>2272</v>
      </c>
      <c r="L4" s="21" t="s">
        <v>2272</v>
      </c>
      <c r="M4" s="21">
        <v>0.01</v>
      </c>
      <c r="N4" s="21" t="s">
        <v>2272</v>
      </c>
      <c r="O4" s="21">
        <v>0.2</v>
      </c>
      <c r="P4" s="21" t="s">
        <v>2272</v>
      </c>
      <c r="Q4" s="21" t="s">
        <v>2272</v>
      </c>
      <c r="R4" s="21" t="s">
        <v>2272</v>
      </c>
      <c r="S4" s="21" t="s">
        <v>2272</v>
      </c>
      <c r="T4" s="21" t="s">
        <v>2272</v>
      </c>
      <c r="U4" s="21">
        <v>4</v>
      </c>
      <c r="V4" s="21" t="s">
        <v>2272</v>
      </c>
      <c r="W4" s="68">
        <v>33</v>
      </c>
      <c r="X4" s="68" t="s">
        <v>2272</v>
      </c>
      <c r="Y4" s="68" t="s">
        <v>2272</v>
      </c>
      <c r="Z4" s="68">
        <v>3</v>
      </c>
      <c r="AA4" s="198" t="s">
        <v>67</v>
      </c>
      <c r="AB4" s="198" t="s">
        <v>34</v>
      </c>
      <c r="AC4" s="198" t="s">
        <v>63</v>
      </c>
      <c r="AD4" s="198"/>
      <c r="AE4" s="198"/>
    </row>
    <row r="5" spans="1:31" ht="44.5" customHeight="1">
      <c r="A5" s="198" t="s">
        <v>14</v>
      </c>
      <c r="B5" s="198" t="s">
        <v>42</v>
      </c>
      <c r="C5" s="198" t="s">
        <v>2453</v>
      </c>
      <c r="D5" s="198" t="s">
        <v>24</v>
      </c>
      <c r="E5" s="198" t="s">
        <v>44</v>
      </c>
      <c r="F5" s="4" t="s">
        <v>2657</v>
      </c>
      <c r="G5" s="4" t="s">
        <v>2657</v>
      </c>
      <c r="H5" s="198" t="s">
        <v>521</v>
      </c>
      <c r="I5" s="198"/>
      <c r="J5" s="21">
        <v>2.6811593999999999E-3</v>
      </c>
      <c r="K5" s="21" t="s">
        <v>2272</v>
      </c>
      <c r="L5" s="21" t="s">
        <v>2272</v>
      </c>
      <c r="M5" s="21" t="s">
        <v>2272</v>
      </c>
      <c r="N5" s="21" t="s">
        <v>2272</v>
      </c>
      <c r="O5" s="21" t="s">
        <v>2272</v>
      </c>
      <c r="P5" s="21" t="s">
        <v>2272</v>
      </c>
      <c r="Q5" s="21" t="s">
        <v>2272</v>
      </c>
      <c r="R5" s="21" t="s">
        <v>2272</v>
      </c>
      <c r="S5" s="21" t="s">
        <v>2272</v>
      </c>
      <c r="T5" s="21" t="s">
        <v>2272</v>
      </c>
      <c r="U5" s="21">
        <v>69</v>
      </c>
      <c r="V5" s="21" t="s">
        <v>2272</v>
      </c>
      <c r="W5" s="21">
        <v>3.7</v>
      </c>
      <c r="X5" s="21" t="s">
        <v>2272</v>
      </c>
      <c r="Y5" s="21" t="s">
        <v>2272</v>
      </c>
      <c r="Z5" s="68" t="s">
        <v>2272</v>
      </c>
      <c r="AA5" s="198" t="s">
        <v>33</v>
      </c>
      <c r="AB5" s="198" t="s">
        <v>34</v>
      </c>
      <c r="AC5" s="198" t="s">
        <v>63</v>
      </c>
      <c r="AD5" s="198"/>
      <c r="AE5" s="198"/>
    </row>
    <row r="6" spans="1:31" ht="41.5" customHeight="1">
      <c r="A6" s="198" t="s">
        <v>14</v>
      </c>
      <c r="B6" s="198" t="s">
        <v>43</v>
      </c>
      <c r="C6" s="198" t="s">
        <v>23</v>
      </c>
      <c r="D6" s="198" t="s">
        <v>2342</v>
      </c>
      <c r="E6" s="198" t="s">
        <v>2272</v>
      </c>
      <c r="F6" s="4" t="s">
        <v>2657</v>
      </c>
      <c r="G6" s="4" t="s">
        <v>2657</v>
      </c>
      <c r="H6" s="198" t="s">
        <v>521</v>
      </c>
      <c r="I6" s="198"/>
      <c r="J6" s="21">
        <v>1.0526316E-3</v>
      </c>
      <c r="K6" s="21" t="s">
        <v>2272</v>
      </c>
      <c r="L6" s="21" t="s">
        <v>2272</v>
      </c>
      <c r="M6" s="21" t="s">
        <v>2272</v>
      </c>
      <c r="N6" s="21" t="s">
        <v>2272</v>
      </c>
      <c r="O6" s="21" t="s">
        <v>2272</v>
      </c>
      <c r="P6" s="21" t="s">
        <v>2272</v>
      </c>
      <c r="Q6" s="21" t="s">
        <v>2272</v>
      </c>
      <c r="R6" s="21" t="s">
        <v>2272</v>
      </c>
      <c r="S6" s="21" t="s">
        <v>2272</v>
      </c>
      <c r="T6" s="21" t="s">
        <v>2272</v>
      </c>
      <c r="U6" s="21">
        <v>7</v>
      </c>
      <c r="V6" s="21" t="s">
        <v>2272</v>
      </c>
      <c r="W6" s="21" t="s">
        <v>2272</v>
      </c>
      <c r="X6" s="21" t="s">
        <v>2272</v>
      </c>
      <c r="Y6" s="21" t="s">
        <v>2272</v>
      </c>
      <c r="Z6" s="21" t="s">
        <v>2272</v>
      </c>
      <c r="AA6" s="198" t="s">
        <v>33</v>
      </c>
      <c r="AB6" s="198" t="s">
        <v>34</v>
      </c>
      <c r="AC6" s="198" t="s">
        <v>63</v>
      </c>
      <c r="AD6" s="198"/>
      <c r="AE6" s="198"/>
    </row>
    <row r="7" spans="1:31" ht="61" customHeight="1">
      <c r="A7" s="198" t="s">
        <v>14</v>
      </c>
      <c r="B7" s="198" t="s">
        <v>59</v>
      </c>
      <c r="C7" s="198" t="s">
        <v>23</v>
      </c>
      <c r="D7" s="198" t="s">
        <v>60</v>
      </c>
      <c r="E7" s="198" t="s">
        <v>114</v>
      </c>
      <c r="F7" s="4" t="s">
        <v>2657</v>
      </c>
      <c r="G7" s="4" t="s">
        <v>2657</v>
      </c>
      <c r="H7" s="198" t="s">
        <v>521</v>
      </c>
      <c r="I7" s="198"/>
      <c r="J7" s="21" t="s">
        <v>2272</v>
      </c>
      <c r="K7" s="21" t="s">
        <v>2272</v>
      </c>
      <c r="L7" s="21" t="s">
        <v>2272</v>
      </c>
      <c r="M7" s="21" t="s">
        <v>2272</v>
      </c>
      <c r="N7" s="21" t="s">
        <v>2272</v>
      </c>
      <c r="O7" s="21" t="s">
        <v>2272</v>
      </c>
      <c r="P7" s="21" t="s">
        <v>2272</v>
      </c>
      <c r="Q7" s="21" t="s">
        <v>2272</v>
      </c>
      <c r="R7" s="21" t="s">
        <v>2272</v>
      </c>
      <c r="S7" s="21" t="s">
        <v>2272</v>
      </c>
      <c r="T7" s="21" t="s">
        <v>2272</v>
      </c>
      <c r="U7" s="21" t="s">
        <v>2272</v>
      </c>
      <c r="V7" s="21" t="s">
        <v>2272</v>
      </c>
      <c r="W7" s="21" t="s">
        <v>2272</v>
      </c>
      <c r="X7" s="21" t="s">
        <v>2272</v>
      </c>
      <c r="Y7" s="21" t="s">
        <v>2272</v>
      </c>
      <c r="Z7" s="21" t="s">
        <v>2272</v>
      </c>
      <c r="AA7" s="198" t="s">
        <v>37</v>
      </c>
      <c r="AB7" s="198" t="s">
        <v>34</v>
      </c>
      <c r="AC7" s="198" t="s">
        <v>63</v>
      </c>
      <c r="AD7" s="4" t="s">
        <v>62</v>
      </c>
      <c r="AE7" s="198"/>
    </row>
    <row r="8" spans="1:31" ht="49.5" customHeight="1">
      <c r="A8" s="198" t="s">
        <v>15</v>
      </c>
      <c r="B8" s="198" t="s">
        <v>45</v>
      </c>
      <c r="C8" s="198" t="s">
        <v>23</v>
      </c>
      <c r="D8" s="198" t="s">
        <v>24</v>
      </c>
      <c r="E8" s="198" t="s">
        <v>44</v>
      </c>
      <c r="F8" s="4" t="s">
        <v>28</v>
      </c>
      <c r="G8" s="4" t="s">
        <v>28</v>
      </c>
      <c r="H8" s="198" t="s">
        <v>521</v>
      </c>
      <c r="I8" s="198"/>
      <c r="J8" s="21" t="s">
        <v>2272</v>
      </c>
      <c r="K8" s="21" t="s">
        <v>2272</v>
      </c>
      <c r="L8" s="21" t="s">
        <v>2272</v>
      </c>
      <c r="M8" s="21" t="s">
        <v>2272</v>
      </c>
      <c r="N8" s="21" t="s">
        <v>2272</v>
      </c>
      <c r="O8" s="21" t="s">
        <v>2272</v>
      </c>
      <c r="P8" s="21" t="s">
        <v>2272</v>
      </c>
      <c r="Q8" s="21" t="s">
        <v>2272</v>
      </c>
      <c r="R8" s="21" t="s">
        <v>2272</v>
      </c>
      <c r="S8" s="21" t="s">
        <v>2272</v>
      </c>
      <c r="T8" s="21" t="s">
        <v>2272</v>
      </c>
      <c r="U8" s="21" t="s">
        <v>2272</v>
      </c>
      <c r="V8" s="21" t="s">
        <v>2272</v>
      </c>
      <c r="W8" s="21" t="s">
        <v>2272</v>
      </c>
      <c r="X8" s="21" t="s">
        <v>2272</v>
      </c>
      <c r="Y8" s="21" t="s">
        <v>2272</v>
      </c>
      <c r="Z8" s="21" t="s">
        <v>2272</v>
      </c>
      <c r="AA8" s="198" t="s">
        <v>33</v>
      </c>
      <c r="AB8" s="198" t="s">
        <v>34</v>
      </c>
      <c r="AC8" s="198" t="s">
        <v>63</v>
      </c>
      <c r="AD8" s="18" t="s">
        <v>47</v>
      </c>
      <c r="AE8" s="198"/>
    </row>
    <row r="9" spans="1:31" ht="48" customHeight="1">
      <c r="A9" s="198" t="s">
        <v>16</v>
      </c>
      <c r="B9" s="198" t="s">
        <v>46</v>
      </c>
      <c r="C9" s="198" t="s">
        <v>23</v>
      </c>
      <c r="D9" s="198" t="s">
        <v>26</v>
      </c>
      <c r="E9" s="4" t="s">
        <v>395</v>
      </c>
      <c r="F9" s="4" t="s">
        <v>27</v>
      </c>
      <c r="G9" s="4" t="s">
        <v>27</v>
      </c>
      <c r="H9" s="198" t="s">
        <v>521</v>
      </c>
      <c r="I9" s="198"/>
      <c r="J9" s="21" t="s">
        <v>2272</v>
      </c>
      <c r="K9" s="21" t="s">
        <v>2272</v>
      </c>
      <c r="L9" s="21" t="s">
        <v>2272</v>
      </c>
      <c r="M9" s="21" t="s">
        <v>2272</v>
      </c>
      <c r="N9" s="21" t="s">
        <v>2272</v>
      </c>
      <c r="O9" s="21" t="s">
        <v>2272</v>
      </c>
      <c r="P9" s="21" t="s">
        <v>2272</v>
      </c>
      <c r="Q9" s="21" t="s">
        <v>2272</v>
      </c>
      <c r="R9" s="21" t="s">
        <v>2272</v>
      </c>
      <c r="S9" s="21" t="s">
        <v>2272</v>
      </c>
      <c r="T9" s="21" t="s">
        <v>2272</v>
      </c>
      <c r="U9" s="21" t="s">
        <v>2272</v>
      </c>
      <c r="V9" s="21" t="s">
        <v>2272</v>
      </c>
      <c r="W9" s="21" t="s">
        <v>2272</v>
      </c>
      <c r="X9" s="21" t="s">
        <v>2272</v>
      </c>
      <c r="Y9" s="21" t="s">
        <v>2272</v>
      </c>
      <c r="Z9" s="21" t="s">
        <v>2272</v>
      </c>
      <c r="AA9" s="198" t="s">
        <v>67</v>
      </c>
      <c r="AB9" s="198" t="s">
        <v>34</v>
      </c>
      <c r="AC9" s="198" t="s">
        <v>63</v>
      </c>
      <c r="AD9" s="4" t="s">
        <v>49</v>
      </c>
      <c r="AE9" s="198"/>
    </row>
    <row r="10" spans="1:31" ht="49.5" customHeight="1">
      <c r="A10" s="198" t="s">
        <v>17</v>
      </c>
      <c r="B10" s="198" t="s">
        <v>50</v>
      </c>
      <c r="C10" s="198" t="s">
        <v>23</v>
      </c>
      <c r="D10" s="198" t="s">
        <v>24</v>
      </c>
      <c r="E10" s="198" t="s">
        <v>44</v>
      </c>
      <c r="F10" s="4" t="s">
        <v>28</v>
      </c>
      <c r="G10" s="4" t="s">
        <v>28</v>
      </c>
      <c r="H10" s="198" t="s">
        <v>521</v>
      </c>
      <c r="I10" s="198"/>
      <c r="J10" s="21" t="s">
        <v>2272</v>
      </c>
      <c r="K10" s="21" t="s">
        <v>2272</v>
      </c>
      <c r="L10" s="21" t="s">
        <v>2272</v>
      </c>
      <c r="M10" s="21" t="s">
        <v>2272</v>
      </c>
      <c r="N10" s="21" t="s">
        <v>2272</v>
      </c>
      <c r="O10" s="21" t="s">
        <v>2272</v>
      </c>
      <c r="P10" s="21" t="s">
        <v>2272</v>
      </c>
      <c r="Q10" s="21" t="s">
        <v>2272</v>
      </c>
      <c r="R10" s="21" t="s">
        <v>2272</v>
      </c>
      <c r="S10" s="21" t="s">
        <v>2272</v>
      </c>
      <c r="T10" s="21" t="s">
        <v>2272</v>
      </c>
      <c r="U10" s="21" t="s">
        <v>2272</v>
      </c>
      <c r="V10" s="21" t="s">
        <v>2272</v>
      </c>
      <c r="W10" s="21" t="s">
        <v>2272</v>
      </c>
      <c r="X10" s="21" t="s">
        <v>2272</v>
      </c>
      <c r="Y10" s="21" t="s">
        <v>2272</v>
      </c>
      <c r="Z10" s="21" t="s">
        <v>2272</v>
      </c>
      <c r="AA10" s="198" t="s">
        <v>33</v>
      </c>
      <c r="AB10" s="198" t="s">
        <v>34</v>
      </c>
      <c r="AC10" s="198" t="s">
        <v>63</v>
      </c>
      <c r="AD10" s="4" t="s">
        <v>48</v>
      </c>
      <c r="AE10" s="198"/>
    </row>
    <row r="11" spans="1:31" ht="60.5" customHeight="1">
      <c r="A11" s="198" t="s">
        <v>18</v>
      </c>
      <c r="B11" s="198" t="s">
        <v>52</v>
      </c>
      <c r="C11" s="198" t="s">
        <v>23</v>
      </c>
      <c r="D11" s="198" t="s">
        <v>24</v>
      </c>
      <c r="E11" s="198" t="s">
        <v>44</v>
      </c>
      <c r="F11" s="4" t="s">
        <v>28</v>
      </c>
      <c r="G11" s="4" t="s">
        <v>28</v>
      </c>
      <c r="H11" s="198" t="s">
        <v>521</v>
      </c>
      <c r="I11" s="198"/>
      <c r="J11" s="21" t="s">
        <v>2272</v>
      </c>
      <c r="K11" s="21" t="s">
        <v>2272</v>
      </c>
      <c r="L11" s="21" t="s">
        <v>2272</v>
      </c>
      <c r="M11" s="21" t="s">
        <v>2272</v>
      </c>
      <c r="N11" s="21" t="s">
        <v>2272</v>
      </c>
      <c r="O11" s="21" t="s">
        <v>2272</v>
      </c>
      <c r="P11" s="21" t="s">
        <v>2272</v>
      </c>
      <c r="Q11" s="21" t="s">
        <v>2272</v>
      </c>
      <c r="R11" s="21" t="s">
        <v>2272</v>
      </c>
      <c r="S11" s="21" t="s">
        <v>2272</v>
      </c>
      <c r="T11" s="21" t="s">
        <v>2272</v>
      </c>
      <c r="U11" s="21" t="s">
        <v>2272</v>
      </c>
      <c r="V11" s="21" t="s">
        <v>2272</v>
      </c>
      <c r="W11" s="21" t="s">
        <v>2272</v>
      </c>
      <c r="X11" s="21" t="s">
        <v>2272</v>
      </c>
      <c r="Y11" s="21" t="s">
        <v>2272</v>
      </c>
      <c r="Z11" s="21" t="s">
        <v>2272</v>
      </c>
      <c r="AA11" s="198" t="s">
        <v>33</v>
      </c>
      <c r="AB11" s="198" t="s">
        <v>34</v>
      </c>
      <c r="AC11" s="198" t="s">
        <v>63</v>
      </c>
      <c r="AD11" s="4" t="s">
        <v>55</v>
      </c>
      <c r="AE11" s="198"/>
    </row>
    <row r="12" spans="1:31" ht="53.5" customHeight="1">
      <c r="A12" s="198" t="s">
        <v>18</v>
      </c>
      <c r="B12" s="198" t="s">
        <v>53</v>
      </c>
      <c r="C12" s="198" t="s">
        <v>23</v>
      </c>
      <c r="D12" s="4" t="s">
        <v>142</v>
      </c>
      <c r="E12" s="198" t="s">
        <v>135</v>
      </c>
      <c r="F12" s="4" t="s">
        <v>54</v>
      </c>
      <c r="G12" s="4" t="s">
        <v>54</v>
      </c>
      <c r="H12" s="198" t="s">
        <v>521</v>
      </c>
      <c r="I12" s="198"/>
      <c r="J12" s="21" t="s">
        <v>2272</v>
      </c>
      <c r="K12" s="21" t="s">
        <v>2272</v>
      </c>
      <c r="L12" s="21" t="s">
        <v>2272</v>
      </c>
      <c r="M12" s="21" t="s">
        <v>2272</v>
      </c>
      <c r="N12" s="21" t="s">
        <v>2272</v>
      </c>
      <c r="O12" s="21" t="s">
        <v>2272</v>
      </c>
      <c r="P12" s="21" t="s">
        <v>2272</v>
      </c>
      <c r="Q12" s="21" t="s">
        <v>2272</v>
      </c>
      <c r="R12" s="21" t="s">
        <v>2272</v>
      </c>
      <c r="S12" s="21" t="s">
        <v>2272</v>
      </c>
      <c r="T12" s="21" t="s">
        <v>2272</v>
      </c>
      <c r="U12" s="21" t="s">
        <v>2272</v>
      </c>
      <c r="V12" s="21" t="s">
        <v>2272</v>
      </c>
      <c r="W12" s="21" t="s">
        <v>2272</v>
      </c>
      <c r="X12" s="21" t="s">
        <v>2272</v>
      </c>
      <c r="Y12" s="21" t="s">
        <v>2272</v>
      </c>
      <c r="Z12" s="21" t="s">
        <v>2272</v>
      </c>
      <c r="AA12" s="198" t="s">
        <v>33</v>
      </c>
      <c r="AB12" s="198" t="s">
        <v>34</v>
      </c>
      <c r="AC12" s="198" t="s">
        <v>63</v>
      </c>
      <c r="AD12" s="4" t="s">
        <v>51</v>
      </c>
      <c r="AE12" s="198"/>
    </row>
    <row r="13" spans="1:31" ht="62.5" customHeight="1">
      <c r="A13" s="8" t="s">
        <v>70</v>
      </c>
      <c r="B13" s="198" t="s">
        <v>72</v>
      </c>
      <c r="C13" s="8" t="s">
        <v>23</v>
      </c>
      <c r="D13" s="8" t="s">
        <v>26</v>
      </c>
      <c r="E13" s="9" t="s">
        <v>128</v>
      </c>
      <c r="F13" s="9" t="s">
        <v>159</v>
      </c>
      <c r="G13" s="9" t="s">
        <v>159</v>
      </c>
      <c r="H13" s="198" t="s">
        <v>521</v>
      </c>
      <c r="I13" s="8"/>
      <c r="J13" s="68" t="s">
        <v>2272</v>
      </c>
      <c r="K13" s="21" t="s">
        <v>2272</v>
      </c>
      <c r="L13" s="68" t="s">
        <v>2272</v>
      </c>
      <c r="M13" s="68" t="s">
        <v>2272</v>
      </c>
      <c r="N13" s="68" t="s">
        <v>2272</v>
      </c>
      <c r="O13" s="68" t="s">
        <v>2272</v>
      </c>
      <c r="P13" s="68" t="s">
        <v>2272</v>
      </c>
      <c r="Q13" s="68" t="s">
        <v>2272</v>
      </c>
      <c r="R13" s="21" t="s">
        <v>2272</v>
      </c>
      <c r="S13" s="21" t="s">
        <v>2272</v>
      </c>
      <c r="T13" s="68" t="s">
        <v>2272</v>
      </c>
      <c r="U13" s="68" t="s">
        <v>2272</v>
      </c>
      <c r="V13" s="68" t="s">
        <v>2272</v>
      </c>
      <c r="W13" s="68" t="s">
        <v>2272</v>
      </c>
      <c r="X13" s="68" t="s">
        <v>2272</v>
      </c>
      <c r="Y13" s="68" t="s">
        <v>2272</v>
      </c>
      <c r="Z13" s="68" t="s">
        <v>2272</v>
      </c>
      <c r="AA13" s="8" t="s">
        <v>74</v>
      </c>
      <c r="AB13" s="8" t="s">
        <v>34</v>
      </c>
      <c r="AC13" s="8" t="s">
        <v>75</v>
      </c>
      <c r="AD13" s="9" t="s">
        <v>76</v>
      </c>
      <c r="AE13" s="198"/>
    </row>
    <row r="14" spans="1:31" ht="122.5" customHeight="1">
      <c r="A14" s="198" t="s">
        <v>80</v>
      </c>
      <c r="B14" s="198" t="s">
        <v>81</v>
      </c>
      <c r="C14" s="198" t="s">
        <v>23</v>
      </c>
      <c r="D14" s="198" t="s">
        <v>2654</v>
      </c>
      <c r="E14" s="4" t="s">
        <v>394</v>
      </c>
      <c r="F14" s="4" t="s">
        <v>27</v>
      </c>
      <c r="G14" s="198" t="s">
        <v>2272</v>
      </c>
      <c r="H14" s="198" t="s">
        <v>521</v>
      </c>
      <c r="I14" s="198"/>
      <c r="J14" s="21" t="s">
        <v>2272</v>
      </c>
      <c r="K14" s="21" t="s">
        <v>2272</v>
      </c>
      <c r="L14" s="21" t="s">
        <v>2272</v>
      </c>
      <c r="M14" s="21" t="s">
        <v>2272</v>
      </c>
      <c r="N14" s="21" t="s">
        <v>2272</v>
      </c>
      <c r="O14" s="21" t="s">
        <v>2272</v>
      </c>
      <c r="P14" s="21" t="s">
        <v>2272</v>
      </c>
      <c r="Q14" s="21" t="s">
        <v>2272</v>
      </c>
      <c r="R14" s="21" t="s">
        <v>2272</v>
      </c>
      <c r="S14" s="21" t="s">
        <v>2272</v>
      </c>
      <c r="T14" s="21" t="s">
        <v>2272</v>
      </c>
      <c r="U14" s="21" t="s">
        <v>2272</v>
      </c>
      <c r="V14" s="21" t="s">
        <v>2272</v>
      </c>
      <c r="W14" s="71" t="s">
        <v>2272</v>
      </c>
      <c r="X14" s="71" t="s">
        <v>2272</v>
      </c>
      <c r="Y14" s="71" t="s">
        <v>2272</v>
      </c>
      <c r="Z14" s="71" t="s">
        <v>2272</v>
      </c>
      <c r="AA14" s="198" t="s">
        <v>74</v>
      </c>
      <c r="AB14" s="198" t="s">
        <v>34</v>
      </c>
      <c r="AC14" s="198" t="s">
        <v>63</v>
      </c>
      <c r="AD14" s="4" t="s">
        <v>5047</v>
      </c>
      <c r="AE14" s="4" t="s">
        <v>5042</v>
      </c>
    </row>
    <row r="15" spans="1:31" ht="124.5" customHeight="1">
      <c r="A15" s="198" t="s">
        <v>80</v>
      </c>
      <c r="B15" s="198" t="s">
        <v>83</v>
      </c>
      <c r="C15" s="198" t="s">
        <v>23</v>
      </c>
      <c r="D15" s="198" t="s">
        <v>2654</v>
      </c>
      <c r="E15" s="4" t="s">
        <v>395</v>
      </c>
      <c r="F15" s="4" t="s">
        <v>27</v>
      </c>
      <c r="G15" s="198" t="s">
        <v>2272</v>
      </c>
      <c r="H15" s="198" t="s">
        <v>521</v>
      </c>
      <c r="I15" s="198"/>
      <c r="J15" s="21" t="s">
        <v>2272</v>
      </c>
      <c r="K15" s="21" t="s">
        <v>2272</v>
      </c>
      <c r="L15" s="21" t="s">
        <v>2272</v>
      </c>
      <c r="M15" s="21" t="s">
        <v>2272</v>
      </c>
      <c r="N15" s="21" t="s">
        <v>2272</v>
      </c>
      <c r="O15" s="21" t="s">
        <v>2272</v>
      </c>
      <c r="P15" s="21" t="s">
        <v>2272</v>
      </c>
      <c r="Q15" s="21" t="s">
        <v>2272</v>
      </c>
      <c r="R15" s="21" t="s">
        <v>2272</v>
      </c>
      <c r="S15" s="21" t="s">
        <v>2272</v>
      </c>
      <c r="T15" s="21" t="s">
        <v>2272</v>
      </c>
      <c r="U15" s="21" t="s">
        <v>2272</v>
      </c>
      <c r="V15" s="71" t="s">
        <v>2272</v>
      </c>
      <c r="W15" s="71" t="s">
        <v>2272</v>
      </c>
      <c r="X15" s="71" t="s">
        <v>2272</v>
      </c>
      <c r="Y15" s="71" t="s">
        <v>2272</v>
      </c>
      <c r="Z15" s="71" t="s">
        <v>2272</v>
      </c>
      <c r="AA15" s="198" t="s">
        <v>74</v>
      </c>
      <c r="AB15" s="198" t="s">
        <v>34</v>
      </c>
      <c r="AC15" s="198" t="s">
        <v>63</v>
      </c>
      <c r="AD15" s="4" t="s">
        <v>5047</v>
      </c>
      <c r="AE15" s="4" t="s">
        <v>5043</v>
      </c>
    </row>
    <row r="16" spans="1:31" ht="122.5" customHeight="1">
      <c r="A16" s="31" t="s">
        <v>219</v>
      </c>
      <c r="B16" s="198" t="s">
        <v>5041</v>
      </c>
      <c r="C16" s="198" t="s">
        <v>23</v>
      </c>
      <c r="D16" s="198" t="s">
        <v>2654</v>
      </c>
      <c r="E16" s="4" t="s">
        <v>394</v>
      </c>
      <c r="F16" s="4" t="s">
        <v>27</v>
      </c>
      <c r="G16" s="198" t="s">
        <v>2272</v>
      </c>
      <c r="H16" s="198" t="s">
        <v>521</v>
      </c>
      <c r="I16" s="198"/>
      <c r="J16" s="21" t="s">
        <v>2272</v>
      </c>
      <c r="K16" s="21" t="s">
        <v>2272</v>
      </c>
      <c r="L16" s="21" t="s">
        <v>2272</v>
      </c>
      <c r="M16" s="21" t="s">
        <v>2272</v>
      </c>
      <c r="N16" s="21" t="s">
        <v>2272</v>
      </c>
      <c r="O16" s="21" t="s">
        <v>2272</v>
      </c>
      <c r="P16" s="21" t="s">
        <v>2272</v>
      </c>
      <c r="Q16" s="21" t="s">
        <v>2272</v>
      </c>
      <c r="R16" s="21" t="s">
        <v>2272</v>
      </c>
      <c r="S16" s="21" t="s">
        <v>2272</v>
      </c>
      <c r="T16" s="21" t="s">
        <v>2272</v>
      </c>
      <c r="U16" s="21" t="s">
        <v>2272</v>
      </c>
      <c r="V16" s="71" t="s">
        <v>2272</v>
      </c>
      <c r="W16" s="71" t="s">
        <v>2272</v>
      </c>
      <c r="X16" s="71" t="s">
        <v>2272</v>
      </c>
      <c r="Y16" s="71" t="s">
        <v>2272</v>
      </c>
      <c r="Z16" s="71" t="s">
        <v>2272</v>
      </c>
      <c r="AA16" s="198" t="s">
        <v>74</v>
      </c>
      <c r="AB16" s="198" t="s">
        <v>34</v>
      </c>
      <c r="AC16" s="198" t="s">
        <v>63</v>
      </c>
      <c r="AD16" s="4" t="s">
        <v>5047</v>
      </c>
      <c r="AE16" s="4" t="s">
        <v>5044</v>
      </c>
    </row>
    <row r="17" spans="1:31" ht="114.5" customHeight="1">
      <c r="A17" s="31" t="s">
        <v>220</v>
      </c>
      <c r="B17" s="198" t="s">
        <v>311</v>
      </c>
      <c r="C17" s="198" t="s">
        <v>23</v>
      </c>
      <c r="D17" s="198" t="s">
        <v>2654</v>
      </c>
      <c r="E17" s="4" t="s">
        <v>394</v>
      </c>
      <c r="F17" s="4" t="s">
        <v>27</v>
      </c>
      <c r="G17" s="198" t="s">
        <v>2272</v>
      </c>
      <c r="H17" s="198" t="s">
        <v>521</v>
      </c>
      <c r="I17" s="198"/>
      <c r="J17" s="21" t="s">
        <v>2272</v>
      </c>
      <c r="K17" s="21" t="s">
        <v>2272</v>
      </c>
      <c r="L17" s="21" t="s">
        <v>2272</v>
      </c>
      <c r="M17" s="21" t="s">
        <v>2272</v>
      </c>
      <c r="N17" s="21" t="s">
        <v>2272</v>
      </c>
      <c r="O17" s="21" t="s">
        <v>2272</v>
      </c>
      <c r="P17" s="21" t="s">
        <v>2272</v>
      </c>
      <c r="Q17" s="21" t="s">
        <v>2272</v>
      </c>
      <c r="R17" s="21" t="s">
        <v>2272</v>
      </c>
      <c r="S17" s="21" t="s">
        <v>2272</v>
      </c>
      <c r="T17" s="21" t="s">
        <v>2272</v>
      </c>
      <c r="U17" s="21" t="s">
        <v>2272</v>
      </c>
      <c r="V17" s="71" t="s">
        <v>2272</v>
      </c>
      <c r="W17" s="71" t="s">
        <v>2272</v>
      </c>
      <c r="X17" s="71" t="s">
        <v>2272</v>
      </c>
      <c r="Y17" s="71" t="s">
        <v>2272</v>
      </c>
      <c r="Z17" s="71" t="s">
        <v>2272</v>
      </c>
      <c r="AA17" s="198" t="s">
        <v>74</v>
      </c>
      <c r="AB17" s="198" t="s">
        <v>34</v>
      </c>
      <c r="AC17" s="198" t="s">
        <v>63</v>
      </c>
      <c r="AD17" s="4" t="s">
        <v>5047</v>
      </c>
      <c r="AE17" s="4" t="s">
        <v>5044</v>
      </c>
    </row>
    <row r="18" spans="1:31" ht="111.5" customHeight="1">
      <c r="A18" s="31" t="s">
        <v>221</v>
      </c>
      <c r="B18" s="198" t="s">
        <v>312</v>
      </c>
      <c r="C18" s="198" t="s">
        <v>23</v>
      </c>
      <c r="D18" s="198" t="s">
        <v>2654</v>
      </c>
      <c r="E18" s="4" t="s">
        <v>394</v>
      </c>
      <c r="F18" s="4" t="s">
        <v>27</v>
      </c>
      <c r="G18" s="198" t="s">
        <v>2272</v>
      </c>
      <c r="H18" s="198" t="s">
        <v>521</v>
      </c>
      <c r="I18" s="198"/>
      <c r="J18" s="21" t="s">
        <v>2272</v>
      </c>
      <c r="K18" s="21" t="s">
        <v>2272</v>
      </c>
      <c r="L18" s="21" t="s">
        <v>2272</v>
      </c>
      <c r="M18" s="21" t="s">
        <v>2272</v>
      </c>
      <c r="N18" s="21" t="s">
        <v>2272</v>
      </c>
      <c r="O18" s="21" t="s">
        <v>2272</v>
      </c>
      <c r="P18" s="21" t="s">
        <v>2272</v>
      </c>
      <c r="Q18" s="21" t="s">
        <v>2272</v>
      </c>
      <c r="R18" s="21" t="s">
        <v>2272</v>
      </c>
      <c r="S18" s="21" t="s">
        <v>2272</v>
      </c>
      <c r="T18" s="21" t="s">
        <v>2272</v>
      </c>
      <c r="U18" s="21" t="s">
        <v>2272</v>
      </c>
      <c r="V18" s="71" t="s">
        <v>2272</v>
      </c>
      <c r="W18" s="71" t="s">
        <v>2272</v>
      </c>
      <c r="X18" s="71" t="s">
        <v>2272</v>
      </c>
      <c r="Y18" s="71" t="s">
        <v>2272</v>
      </c>
      <c r="Z18" s="71" t="s">
        <v>2272</v>
      </c>
      <c r="AA18" s="198" t="s">
        <v>74</v>
      </c>
      <c r="AB18" s="198" t="s">
        <v>34</v>
      </c>
      <c r="AC18" s="198" t="s">
        <v>63</v>
      </c>
      <c r="AD18" s="4" t="s">
        <v>5047</v>
      </c>
      <c r="AE18" s="4" t="s">
        <v>5044</v>
      </c>
    </row>
    <row r="19" spans="1:31" ht="115" customHeight="1">
      <c r="A19" s="31" t="s">
        <v>222</v>
      </c>
      <c r="B19" s="198" t="s">
        <v>313</v>
      </c>
      <c r="C19" s="198" t="s">
        <v>23</v>
      </c>
      <c r="D19" s="198" t="s">
        <v>2654</v>
      </c>
      <c r="E19" s="4" t="s">
        <v>394</v>
      </c>
      <c r="F19" s="4" t="s">
        <v>27</v>
      </c>
      <c r="G19" s="198" t="s">
        <v>2272</v>
      </c>
      <c r="H19" s="198" t="s">
        <v>521</v>
      </c>
      <c r="I19" s="198"/>
      <c r="J19" s="21" t="s">
        <v>2272</v>
      </c>
      <c r="K19" s="21" t="s">
        <v>2272</v>
      </c>
      <c r="L19" s="21" t="s">
        <v>2272</v>
      </c>
      <c r="M19" s="21" t="s">
        <v>2272</v>
      </c>
      <c r="N19" s="21" t="s">
        <v>2272</v>
      </c>
      <c r="O19" s="21" t="s">
        <v>2272</v>
      </c>
      <c r="P19" s="21" t="s">
        <v>2272</v>
      </c>
      <c r="Q19" s="21" t="s">
        <v>2272</v>
      </c>
      <c r="R19" s="21" t="s">
        <v>2272</v>
      </c>
      <c r="S19" s="21" t="s">
        <v>2272</v>
      </c>
      <c r="T19" s="21" t="s">
        <v>2272</v>
      </c>
      <c r="U19" s="21" t="s">
        <v>2272</v>
      </c>
      <c r="V19" s="71" t="s">
        <v>2272</v>
      </c>
      <c r="W19" s="71" t="s">
        <v>2272</v>
      </c>
      <c r="X19" s="71" t="s">
        <v>2272</v>
      </c>
      <c r="Y19" s="71" t="s">
        <v>2272</v>
      </c>
      <c r="Z19" s="71" t="s">
        <v>2272</v>
      </c>
      <c r="AA19" s="198" t="s">
        <v>74</v>
      </c>
      <c r="AB19" s="198" t="s">
        <v>34</v>
      </c>
      <c r="AC19" s="198" t="s">
        <v>63</v>
      </c>
      <c r="AD19" s="4" t="s">
        <v>5047</v>
      </c>
      <c r="AE19" s="4" t="s">
        <v>5044</v>
      </c>
    </row>
    <row r="20" spans="1:31" ht="76.5" customHeight="1">
      <c r="A20" s="31" t="s">
        <v>223</v>
      </c>
      <c r="B20" s="198" t="s">
        <v>314</v>
      </c>
      <c r="C20" s="198" t="s">
        <v>23</v>
      </c>
      <c r="D20" s="198" t="s">
        <v>2654</v>
      </c>
      <c r="E20" s="4" t="s">
        <v>394</v>
      </c>
      <c r="F20" s="4" t="s">
        <v>27</v>
      </c>
      <c r="G20" s="198" t="s">
        <v>2272</v>
      </c>
      <c r="H20" s="198" t="s">
        <v>521</v>
      </c>
      <c r="I20" s="198"/>
      <c r="J20" s="21" t="s">
        <v>2272</v>
      </c>
      <c r="K20" s="21" t="s">
        <v>2272</v>
      </c>
      <c r="L20" s="21" t="s">
        <v>2272</v>
      </c>
      <c r="M20" s="21" t="s">
        <v>2272</v>
      </c>
      <c r="N20" s="21" t="s">
        <v>2272</v>
      </c>
      <c r="O20" s="21" t="s">
        <v>2272</v>
      </c>
      <c r="P20" s="21" t="s">
        <v>2272</v>
      </c>
      <c r="Q20" s="21" t="s">
        <v>2272</v>
      </c>
      <c r="R20" s="21" t="s">
        <v>2272</v>
      </c>
      <c r="S20" s="21" t="s">
        <v>2272</v>
      </c>
      <c r="T20" s="21" t="s">
        <v>2272</v>
      </c>
      <c r="U20" s="21" t="s">
        <v>2272</v>
      </c>
      <c r="V20" s="71" t="s">
        <v>2272</v>
      </c>
      <c r="W20" s="71" t="s">
        <v>2272</v>
      </c>
      <c r="X20" s="71" t="s">
        <v>2272</v>
      </c>
      <c r="Y20" s="71" t="s">
        <v>2272</v>
      </c>
      <c r="Z20" s="71" t="s">
        <v>2272</v>
      </c>
      <c r="AA20" s="198" t="s">
        <v>74</v>
      </c>
      <c r="AB20" s="198" t="s">
        <v>34</v>
      </c>
      <c r="AC20" s="198" t="s">
        <v>63</v>
      </c>
      <c r="AD20" s="4" t="s">
        <v>5047</v>
      </c>
      <c r="AE20" s="4" t="s">
        <v>5044</v>
      </c>
    </row>
    <row r="21" spans="1:31" ht="78" customHeight="1">
      <c r="A21" s="31" t="s">
        <v>255</v>
      </c>
      <c r="B21" s="198" t="s">
        <v>315</v>
      </c>
      <c r="C21" s="198" t="s">
        <v>23</v>
      </c>
      <c r="D21" s="198" t="s">
        <v>2654</v>
      </c>
      <c r="E21" s="4" t="s">
        <v>394</v>
      </c>
      <c r="F21" s="4" t="s">
        <v>27</v>
      </c>
      <c r="G21" s="198" t="s">
        <v>2272</v>
      </c>
      <c r="H21" s="198" t="s">
        <v>521</v>
      </c>
      <c r="I21" s="198"/>
      <c r="J21" s="21" t="s">
        <v>2272</v>
      </c>
      <c r="K21" s="21" t="s">
        <v>2272</v>
      </c>
      <c r="L21" s="21" t="s">
        <v>2272</v>
      </c>
      <c r="M21" s="21" t="s">
        <v>2272</v>
      </c>
      <c r="N21" s="21" t="s">
        <v>2272</v>
      </c>
      <c r="O21" s="21" t="s">
        <v>2272</v>
      </c>
      <c r="P21" s="21" t="s">
        <v>2272</v>
      </c>
      <c r="Q21" s="21" t="s">
        <v>2272</v>
      </c>
      <c r="R21" s="21" t="s">
        <v>2272</v>
      </c>
      <c r="S21" s="21" t="s">
        <v>2272</v>
      </c>
      <c r="T21" s="21" t="s">
        <v>2272</v>
      </c>
      <c r="U21" s="21" t="s">
        <v>2272</v>
      </c>
      <c r="V21" s="71" t="s">
        <v>2272</v>
      </c>
      <c r="W21" s="71" t="s">
        <v>2272</v>
      </c>
      <c r="X21" s="71" t="s">
        <v>2272</v>
      </c>
      <c r="Y21" s="71" t="s">
        <v>2272</v>
      </c>
      <c r="Z21" s="71" t="s">
        <v>2272</v>
      </c>
      <c r="AA21" s="198" t="s">
        <v>74</v>
      </c>
      <c r="AB21" s="198" t="s">
        <v>34</v>
      </c>
      <c r="AC21" s="198" t="s">
        <v>63</v>
      </c>
      <c r="AD21" s="4" t="s">
        <v>5047</v>
      </c>
      <c r="AE21" s="4" t="s">
        <v>5044</v>
      </c>
    </row>
    <row r="22" spans="1:31" ht="70.5" customHeight="1">
      <c r="A22" s="31" t="s">
        <v>256</v>
      </c>
      <c r="B22" s="198" t="s">
        <v>316</v>
      </c>
      <c r="C22" s="198" t="s">
        <v>23</v>
      </c>
      <c r="D22" s="198" t="s">
        <v>2654</v>
      </c>
      <c r="E22" s="4" t="s">
        <v>394</v>
      </c>
      <c r="F22" s="4" t="s">
        <v>27</v>
      </c>
      <c r="G22" s="198" t="s">
        <v>2272</v>
      </c>
      <c r="H22" s="198" t="s">
        <v>521</v>
      </c>
      <c r="I22" s="198"/>
      <c r="J22" s="21" t="s">
        <v>2272</v>
      </c>
      <c r="K22" s="21" t="s">
        <v>2272</v>
      </c>
      <c r="L22" s="21" t="s">
        <v>2272</v>
      </c>
      <c r="M22" s="21" t="s">
        <v>2272</v>
      </c>
      <c r="N22" s="21" t="s">
        <v>2272</v>
      </c>
      <c r="O22" s="21" t="s">
        <v>2272</v>
      </c>
      <c r="P22" s="21" t="s">
        <v>2272</v>
      </c>
      <c r="Q22" s="21" t="s">
        <v>2272</v>
      </c>
      <c r="R22" s="21" t="s">
        <v>2272</v>
      </c>
      <c r="S22" s="21" t="s">
        <v>2272</v>
      </c>
      <c r="T22" s="21" t="s">
        <v>2272</v>
      </c>
      <c r="U22" s="21" t="s">
        <v>2272</v>
      </c>
      <c r="V22" s="71" t="s">
        <v>2272</v>
      </c>
      <c r="W22" s="71" t="s">
        <v>2272</v>
      </c>
      <c r="X22" s="71" t="s">
        <v>2272</v>
      </c>
      <c r="Y22" s="71" t="s">
        <v>2272</v>
      </c>
      <c r="Z22" s="71" t="s">
        <v>2272</v>
      </c>
      <c r="AA22" s="198" t="s">
        <v>74</v>
      </c>
      <c r="AB22" s="198" t="s">
        <v>34</v>
      </c>
      <c r="AC22" s="198" t="s">
        <v>63</v>
      </c>
      <c r="AD22" s="4" t="s">
        <v>5047</v>
      </c>
      <c r="AE22" s="4" t="s">
        <v>5044</v>
      </c>
    </row>
    <row r="23" spans="1:31" ht="89" customHeight="1">
      <c r="A23" s="31" t="s">
        <v>257</v>
      </c>
      <c r="B23" s="198" t="s">
        <v>317</v>
      </c>
      <c r="C23" s="198" t="s">
        <v>23</v>
      </c>
      <c r="D23" s="198" t="s">
        <v>2654</v>
      </c>
      <c r="E23" s="4" t="s">
        <v>394</v>
      </c>
      <c r="F23" s="4" t="s">
        <v>27</v>
      </c>
      <c r="G23" s="198" t="s">
        <v>2272</v>
      </c>
      <c r="H23" s="198" t="s">
        <v>521</v>
      </c>
      <c r="I23" s="198"/>
      <c r="J23" s="21" t="s">
        <v>2272</v>
      </c>
      <c r="K23" s="21" t="s">
        <v>2272</v>
      </c>
      <c r="L23" s="21" t="s">
        <v>2272</v>
      </c>
      <c r="M23" s="21" t="s">
        <v>2272</v>
      </c>
      <c r="N23" s="21" t="s">
        <v>2272</v>
      </c>
      <c r="O23" s="21" t="s">
        <v>2272</v>
      </c>
      <c r="P23" s="21" t="s">
        <v>2272</v>
      </c>
      <c r="Q23" s="21" t="s">
        <v>2272</v>
      </c>
      <c r="R23" s="21" t="s">
        <v>2272</v>
      </c>
      <c r="S23" s="21" t="s">
        <v>2272</v>
      </c>
      <c r="T23" s="21" t="s">
        <v>2272</v>
      </c>
      <c r="U23" s="21" t="s">
        <v>2272</v>
      </c>
      <c r="V23" s="71" t="s">
        <v>2272</v>
      </c>
      <c r="W23" s="71" t="s">
        <v>2272</v>
      </c>
      <c r="X23" s="71" t="s">
        <v>2272</v>
      </c>
      <c r="Y23" s="71" t="s">
        <v>2272</v>
      </c>
      <c r="Z23" s="71" t="s">
        <v>2272</v>
      </c>
      <c r="AA23" s="198" t="s">
        <v>74</v>
      </c>
      <c r="AB23" s="198" t="s">
        <v>34</v>
      </c>
      <c r="AC23" s="198" t="s">
        <v>63</v>
      </c>
      <c r="AD23" s="4" t="s">
        <v>5047</v>
      </c>
      <c r="AE23" s="4" t="s">
        <v>5044</v>
      </c>
    </row>
    <row r="24" spans="1:31" ht="88.5" customHeight="1">
      <c r="A24" s="31" t="s">
        <v>258</v>
      </c>
      <c r="B24" s="198" t="s">
        <v>318</v>
      </c>
      <c r="C24" s="198" t="s">
        <v>23</v>
      </c>
      <c r="D24" s="198" t="s">
        <v>2654</v>
      </c>
      <c r="E24" s="4" t="s">
        <v>394</v>
      </c>
      <c r="F24" s="4" t="s">
        <v>27</v>
      </c>
      <c r="G24" s="198" t="s">
        <v>2272</v>
      </c>
      <c r="H24" s="198" t="s">
        <v>521</v>
      </c>
      <c r="I24" s="198"/>
      <c r="J24" s="21" t="s">
        <v>2272</v>
      </c>
      <c r="K24" s="21" t="s">
        <v>2272</v>
      </c>
      <c r="L24" s="21" t="s">
        <v>2272</v>
      </c>
      <c r="M24" s="21" t="s">
        <v>2272</v>
      </c>
      <c r="N24" s="21" t="s">
        <v>2272</v>
      </c>
      <c r="O24" s="21" t="s">
        <v>2272</v>
      </c>
      <c r="P24" s="21" t="s">
        <v>2272</v>
      </c>
      <c r="Q24" s="21" t="s">
        <v>2272</v>
      </c>
      <c r="R24" s="21" t="s">
        <v>2272</v>
      </c>
      <c r="S24" s="21" t="s">
        <v>2272</v>
      </c>
      <c r="T24" s="21" t="s">
        <v>2272</v>
      </c>
      <c r="U24" s="21" t="s">
        <v>2272</v>
      </c>
      <c r="V24" s="71" t="s">
        <v>2272</v>
      </c>
      <c r="W24" s="71" t="s">
        <v>2272</v>
      </c>
      <c r="X24" s="71" t="s">
        <v>2272</v>
      </c>
      <c r="Y24" s="71" t="s">
        <v>2272</v>
      </c>
      <c r="Z24" s="71" t="s">
        <v>2272</v>
      </c>
      <c r="AA24" s="198" t="s">
        <v>74</v>
      </c>
      <c r="AB24" s="198" t="s">
        <v>34</v>
      </c>
      <c r="AC24" s="198" t="s">
        <v>63</v>
      </c>
      <c r="AD24" s="4" t="s">
        <v>5047</v>
      </c>
      <c r="AE24" s="4" t="s">
        <v>5044</v>
      </c>
    </row>
    <row r="25" spans="1:31" ht="87" customHeight="1">
      <c r="A25" s="31" t="s">
        <v>259</v>
      </c>
      <c r="B25" s="198" t="s">
        <v>319</v>
      </c>
      <c r="C25" s="198" t="s">
        <v>23</v>
      </c>
      <c r="D25" s="198" t="s">
        <v>2654</v>
      </c>
      <c r="E25" s="4" t="s">
        <v>394</v>
      </c>
      <c r="F25" s="4" t="s">
        <v>27</v>
      </c>
      <c r="G25" s="198" t="s">
        <v>2272</v>
      </c>
      <c r="H25" s="198" t="s">
        <v>521</v>
      </c>
      <c r="I25" s="198"/>
      <c r="J25" s="21" t="s">
        <v>2272</v>
      </c>
      <c r="K25" s="21" t="s">
        <v>2272</v>
      </c>
      <c r="L25" s="21" t="s">
        <v>2272</v>
      </c>
      <c r="M25" s="21" t="s">
        <v>2272</v>
      </c>
      <c r="N25" s="21" t="s">
        <v>2272</v>
      </c>
      <c r="O25" s="21" t="s">
        <v>2272</v>
      </c>
      <c r="P25" s="21" t="s">
        <v>2272</v>
      </c>
      <c r="Q25" s="21" t="s">
        <v>2272</v>
      </c>
      <c r="R25" s="21" t="s">
        <v>2272</v>
      </c>
      <c r="S25" s="21" t="s">
        <v>2272</v>
      </c>
      <c r="T25" s="21" t="s">
        <v>2272</v>
      </c>
      <c r="U25" s="21" t="s">
        <v>2272</v>
      </c>
      <c r="V25" s="71" t="s">
        <v>2272</v>
      </c>
      <c r="W25" s="71" t="s">
        <v>2272</v>
      </c>
      <c r="X25" s="71" t="s">
        <v>2272</v>
      </c>
      <c r="Y25" s="71" t="s">
        <v>2272</v>
      </c>
      <c r="Z25" s="71" t="s">
        <v>2272</v>
      </c>
      <c r="AA25" s="198" t="s">
        <v>74</v>
      </c>
      <c r="AB25" s="198" t="s">
        <v>34</v>
      </c>
      <c r="AC25" s="198" t="s">
        <v>63</v>
      </c>
      <c r="AD25" s="4" t="s">
        <v>5047</v>
      </c>
      <c r="AE25" s="4" t="s">
        <v>5044</v>
      </c>
    </row>
    <row r="26" spans="1:31" ht="152" customHeight="1">
      <c r="A26" s="31" t="s">
        <v>260</v>
      </c>
      <c r="B26" s="198" t="s">
        <v>320</v>
      </c>
      <c r="C26" s="198" t="s">
        <v>23</v>
      </c>
      <c r="D26" s="198" t="s">
        <v>2654</v>
      </c>
      <c r="E26" s="4" t="s">
        <v>394</v>
      </c>
      <c r="F26" s="4" t="s">
        <v>27</v>
      </c>
      <c r="G26" s="198" t="s">
        <v>2272</v>
      </c>
      <c r="H26" s="198" t="s">
        <v>521</v>
      </c>
      <c r="I26" s="198"/>
      <c r="J26" s="21" t="s">
        <v>2272</v>
      </c>
      <c r="K26" s="21" t="s">
        <v>2272</v>
      </c>
      <c r="L26" s="21" t="s">
        <v>2272</v>
      </c>
      <c r="M26" s="21" t="s">
        <v>2272</v>
      </c>
      <c r="N26" s="21" t="s">
        <v>2272</v>
      </c>
      <c r="O26" s="21" t="s">
        <v>2272</v>
      </c>
      <c r="P26" s="21" t="s">
        <v>2272</v>
      </c>
      <c r="Q26" s="21" t="s">
        <v>2272</v>
      </c>
      <c r="R26" s="21" t="s">
        <v>2272</v>
      </c>
      <c r="S26" s="21" t="s">
        <v>2272</v>
      </c>
      <c r="T26" s="21" t="s">
        <v>2272</v>
      </c>
      <c r="U26" s="21" t="s">
        <v>2272</v>
      </c>
      <c r="V26" s="71" t="s">
        <v>2272</v>
      </c>
      <c r="W26" s="71" t="s">
        <v>2272</v>
      </c>
      <c r="X26" s="71" t="s">
        <v>2272</v>
      </c>
      <c r="Y26" s="71" t="s">
        <v>2272</v>
      </c>
      <c r="Z26" s="71" t="s">
        <v>2272</v>
      </c>
      <c r="AA26" s="198" t="s">
        <v>74</v>
      </c>
      <c r="AB26" s="198" t="s">
        <v>34</v>
      </c>
      <c r="AC26" s="198" t="s">
        <v>63</v>
      </c>
      <c r="AD26" s="4" t="s">
        <v>5047</v>
      </c>
      <c r="AE26" s="4" t="s">
        <v>5044</v>
      </c>
    </row>
    <row r="27" spans="1:31" ht="140" customHeight="1">
      <c r="A27" s="31" t="s">
        <v>261</v>
      </c>
      <c r="B27" s="198" t="s">
        <v>321</v>
      </c>
      <c r="C27" s="198" t="s">
        <v>23</v>
      </c>
      <c r="D27" s="198" t="s">
        <v>2654</v>
      </c>
      <c r="E27" s="4" t="s">
        <v>394</v>
      </c>
      <c r="F27" s="4" t="s">
        <v>27</v>
      </c>
      <c r="G27" s="198" t="s">
        <v>2272</v>
      </c>
      <c r="H27" s="198" t="s">
        <v>521</v>
      </c>
      <c r="I27" s="198"/>
      <c r="J27" s="21" t="s">
        <v>2272</v>
      </c>
      <c r="K27" s="21" t="s">
        <v>2272</v>
      </c>
      <c r="L27" s="21" t="s">
        <v>2272</v>
      </c>
      <c r="M27" s="21" t="s">
        <v>2272</v>
      </c>
      <c r="N27" s="21" t="s">
        <v>2272</v>
      </c>
      <c r="O27" s="21" t="s">
        <v>2272</v>
      </c>
      <c r="P27" s="21" t="s">
        <v>2272</v>
      </c>
      <c r="Q27" s="21" t="s">
        <v>2272</v>
      </c>
      <c r="R27" s="21" t="s">
        <v>2272</v>
      </c>
      <c r="S27" s="21" t="s">
        <v>2272</v>
      </c>
      <c r="T27" s="21" t="s">
        <v>2272</v>
      </c>
      <c r="U27" s="21" t="s">
        <v>2272</v>
      </c>
      <c r="V27" s="71" t="s">
        <v>2272</v>
      </c>
      <c r="W27" s="71" t="s">
        <v>2272</v>
      </c>
      <c r="X27" s="71" t="s">
        <v>2272</v>
      </c>
      <c r="Y27" s="71" t="s">
        <v>2272</v>
      </c>
      <c r="Z27" s="71" t="s">
        <v>2272</v>
      </c>
      <c r="AA27" s="198" t="s">
        <v>74</v>
      </c>
      <c r="AB27" s="198" t="s">
        <v>34</v>
      </c>
      <c r="AC27" s="198" t="s">
        <v>63</v>
      </c>
      <c r="AD27" s="4" t="s">
        <v>5047</v>
      </c>
      <c r="AE27" s="4" t="s">
        <v>5044</v>
      </c>
    </row>
    <row r="28" spans="1:31" ht="43" customHeight="1">
      <c r="A28" s="31" t="s">
        <v>262</v>
      </c>
      <c r="B28" s="198" t="s">
        <v>322</v>
      </c>
      <c r="C28" s="198" t="s">
        <v>23</v>
      </c>
      <c r="D28" s="198" t="s">
        <v>2654</v>
      </c>
      <c r="E28" s="4" t="s">
        <v>394</v>
      </c>
      <c r="F28" s="4" t="s">
        <v>27</v>
      </c>
      <c r="G28" s="198" t="s">
        <v>2272</v>
      </c>
      <c r="H28" s="198" t="s">
        <v>521</v>
      </c>
      <c r="I28" s="198"/>
      <c r="J28" s="21" t="s">
        <v>2272</v>
      </c>
      <c r="K28" s="21" t="s">
        <v>2272</v>
      </c>
      <c r="L28" s="21" t="s">
        <v>2272</v>
      </c>
      <c r="M28" s="21" t="s">
        <v>2272</v>
      </c>
      <c r="N28" s="21" t="s">
        <v>2272</v>
      </c>
      <c r="O28" s="21" t="s">
        <v>2272</v>
      </c>
      <c r="P28" s="21" t="s">
        <v>2272</v>
      </c>
      <c r="Q28" s="21" t="s">
        <v>2272</v>
      </c>
      <c r="R28" s="21" t="s">
        <v>2272</v>
      </c>
      <c r="S28" s="21" t="s">
        <v>2272</v>
      </c>
      <c r="T28" s="21" t="s">
        <v>2272</v>
      </c>
      <c r="U28" s="21" t="s">
        <v>2272</v>
      </c>
      <c r="V28" s="71" t="s">
        <v>2272</v>
      </c>
      <c r="W28" s="71" t="s">
        <v>2272</v>
      </c>
      <c r="X28" s="71" t="s">
        <v>2272</v>
      </c>
      <c r="Y28" s="71" t="s">
        <v>2272</v>
      </c>
      <c r="Z28" s="71" t="s">
        <v>2272</v>
      </c>
      <c r="AA28" s="198" t="s">
        <v>74</v>
      </c>
      <c r="AB28" s="198" t="s">
        <v>34</v>
      </c>
      <c r="AC28" s="198" t="s">
        <v>63</v>
      </c>
      <c r="AD28" s="4" t="s">
        <v>5047</v>
      </c>
      <c r="AE28" s="4" t="s">
        <v>5044</v>
      </c>
    </row>
    <row r="29" spans="1:31" ht="56" customHeight="1">
      <c r="A29" s="31" t="s">
        <v>263</v>
      </c>
      <c r="B29" s="198" t="s">
        <v>323</v>
      </c>
      <c r="C29" s="198" t="s">
        <v>23</v>
      </c>
      <c r="D29" s="198" t="s">
        <v>2654</v>
      </c>
      <c r="E29" s="4" t="s">
        <v>394</v>
      </c>
      <c r="F29" s="4" t="s">
        <v>27</v>
      </c>
      <c r="G29" s="198" t="s">
        <v>2272</v>
      </c>
      <c r="H29" s="198" t="s">
        <v>521</v>
      </c>
      <c r="I29" s="198"/>
      <c r="J29" s="21" t="s">
        <v>2272</v>
      </c>
      <c r="K29" s="21" t="s">
        <v>2272</v>
      </c>
      <c r="L29" s="21" t="s">
        <v>2272</v>
      </c>
      <c r="M29" s="21" t="s">
        <v>2272</v>
      </c>
      <c r="N29" s="21" t="s">
        <v>2272</v>
      </c>
      <c r="O29" s="21" t="s">
        <v>2272</v>
      </c>
      <c r="P29" s="21" t="s">
        <v>2272</v>
      </c>
      <c r="Q29" s="21" t="s">
        <v>2272</v>
      </c>
      <c r="R29" s="21" t="s">
        <v>2272</v>
      </c>
      <c r="S29" s="21" t="s">
        <v>2272</v>
      </c>
      <c r="T29" s="21" t="s">
        <v>2272</v>
      </c>
      <c r="U29" s="21" t="s">
        <v>2272</v>
      </c>
      <c r="V29" s="71" t="s">
        <v>2272</v>
      </c>
      <c r="W29" s="71" t="s">
        <v>2272</v>
      </c>
      <c r="X29" s="71" t="s">
        <v>2272</v>
      </c>
      <c r="Y29" s="71" t="s">
        <v>2272</v>
      </c>
      <c r="Z29" s="71" t="s">
        <v>2272</v>
      </c>
      <c r="AA29" s="198" t="s">
        <v>74</v>
      </c>
      <c r="AB29" s="198" t="s">
        <v>34</v>
      </c>
      <c r="AC29" s="198" t="s">
        <v>63</v>
      </c>
      <c r="AD29" s="4" t="s">
        <v>5047</v>
      </c>
      <c r="AE29" s="4" t="s">
        <v>5044</v>
      </c>
    </row>
    <row r="30" spans="1:31" ht="55" customHeight="1">
      <c r="A30" s="31" t="s">
        <v>264</v>
      </c>
      <c r="B30" s="198" t="s">
        <v>324</v>
      </c>
      <c r="C30" s="198" t="s">
        <v>23</v>
      </c>
      <c r="D30" s="198" t="s">
        <v>2654</v>
      </c>
      <c r="E30" s="4" t="s">
        <v>394</v>
      </c>
      <c r="F30" s="4" t="s">
        <v>27</v>
      </c>
      <c r="G30" s="198" t="s">
        <v>2272</v>
      </c>
      <c r="H30" s="198" t="s">
        <v>521</v>
      </c>
      <c r="I30" s="198"/>
      <c r="J30" s="21" t="s">
        <v>2272</v>
      </c>
      <c r="K30" s="21" t="s">
        <v>2272</v>
      </c>
      <c r="L30" s="21" t="s">
        <v>2272</v>
      </c>
      <c r="M30" s="21" t="s">
        <v>2272</v>
      </c>
      <c r="N30" s="21" t="s">
        <v>2272</v>
      </c>
      <c r="O30" s="21" t="s">
        <v>2272</v>
      </c>
      <c r="P30" s="21" t="s">
        <v>2272</v>
      </c>
      <c r="Q30" s="21" t="s">
        <v>2272</v>
      </c>
      <c r="R30" s="21" t="s">
        <v>2272</v>
      </c>
      <c r="S30" s="21" t="s">
        <v>2272</v>
      </c>
      <c r="T30" s="21" t="s">
        <v>2272</v>
      </c>
      <c r="U30" s="21" t="s">
        <v>2272</v>
      </c>
      <c r="V30" s="71" t="s">
        <v>2272</v>
      </c>
      <c r="W30" s="71" t="s">
        <v>2272</v>
      </c>
      <c r="X30" s="71" t="s">
        <v>2272</v>
      </c>
      <c r="Y30" s="71" t="s">
        <v>2272</v>
      </c>
      <c r="Z30" s="71" t="s">
        <v>2272</v>
      </c>
      <c r="AA30" s="198" t="s">
        <v>74</v>
      </c>
      <c r="AB30" s="198" t="s">
        <v>34</v>
      </c>
      <c r="AC30" s="198" t="s">
        <v>63</v>
      </c>
      <c r="AD30" s="4" t="s">
        <v>5047</v>
      </c>
      <c r="AE30" s="4" t="s">
        <v>5044</v>
      </c>
    </row>
    <row r="31" spans="1:31" ht="63.5" customHeight="1">
      <c r="A31" s="31" t="s">
        <v>265</v>
      </c>
      <c r="B31" s="198" t="s">
        <v>325</v>
      </c>
      <c r="C31" s="198" t="s">
        <v>23</v>
      </c>
      <c r="D31" s="198" t="s">
        <v>2654</v>
      </c>
      <c r="E31" s="4" t="s">
        <v>394</v>
      </c>
      <c r="F31" s="4" t="s">
        <v>27</v>
      </c>
      <c r="G31" s="198" t="s">
        <v>2272</v>
      </c>
      <c r="H31" s="198" t="s">
        <v>521</v>
      </c>
      <c r="I31" s="198"/>
      <c r="J31" s="21" t="s">
        <v>2272</v>
      </c>
      <c r="K31" s="21" t="s">
        <v>2272</v>
      </c>
      <c r="L31" s="21" t="s">
        <v>2272</v>
      </c>
      <c r="M31" s="21" t="s">
        <v>2272</v>
      </c>
      <c r="N31" s="21" t="s">
        <v>2272</v>
      </c>
      <c r="O31" s="21" t="s">
        <v>2272</v>
      </c>
      <c r="P31" s="21" t="s">
        <v>2272</v>
      </c>
      <c r="Q31" s="21" t="s">
        <v>2272</v>
      </c>
      <c r="R31" s="21" t="s">
        <v>2272</v>
      </c>
      <c r="S31" s="21" t="s">
        <v>2272</v>
      </c>
      <c r="T31" s="21" t="s">
        <v>2272</v>
      </c>
      <c r="U31" s="21" t="s">
        <v>2272</v>
      </c>
      <c r="V31" s="71" t="s">
        <v>2272</v>
      </c>
      <c r="W31" s="71" t="s">
        <v>2272</v>
      </c>
      <c r="X31" s="71" t="s">
        <v>2272</v>
      </c>
      <c r="Y31" s="71" t="s">
        <v>2272</v>
      </c>
      <c r="Z31" s="71" t="s">
        <v>2272</v>
      </c>
      <c r="AA31" s="198" t="s">
        <v>74</v>
      </c>
      <c r="AB31" s="198" t="s">
        <v>34</v>
      </c>
      <c r="AC31" s="198" t="s">
        <v>63</v>
      </c>
      <c r="AD31" s="4" t="s">
        <v>5047</v>
      </c>
      <c r="AE31" s="4" t="s">
        <v>5044</v>
      </c>
    </row>
    <row r="32" spans="1:31" ht="72.5">
      <c r="A32" s="31" t="s">
        <v>266</v>
      </c>
      <c r="B32" s="198" t="s">
        <v>326</v>
      </c>
      <c r="C32" s="198" t="s">
        <v>23</v>
      </c>
      <c r="D32" s="198" t="s">
        <v>2654</v>
      </c>
      <c r="E32" s="4" t="s">
        <v>394</v>
      </c>
      <c r="F32" s="4" t="s">
        <v>27</v>
      </c>
      <c r="G32" s="198" t="s">
        <v>2272</v>
      </c>
      <c r="H32" s="198" t="s">
        <v>521</v>
      </c>
      <c r="I32" s="198"/>
      <c r="J32" s="21" t="s">
        <v>2272</v>
      </c>
      <c r="K32" s="21" t="s">
        <v>2272</v>
      </c>
      <c r="L32" s="21" t="s">
        <v>2272</v>
      </c>
      <c r="M32" s="21" t="s">
        <v>2272</v>
      </c>
      <c r="N32" s="21" t="s">
        <v>2272</v>
      </c>
      <c r="O32" s="21" t="s">
        <v>2272</v>
      </c>
      <c r="P32" s="21" t="s">
        <v>2272</v>
      </c>
      <c r="Q32" s="21" t="s">
        <v>2272</v>
      </c>
      <c r="R32" s="21" t="s">
        <v>2272</v>
      </c>
      <c r="S32" s="21" t="s">
        <v>2272</v>
      </c>
      <c r="T32" s="21" t="s">
        <v>2272</v>
      </c>
      <c r="U32" s="21" t="s">
        <v>2272</v>
      </c>
      <c r="V32" s="71" t="s">
        <v>2272</v>
      </c>
      <c r="W32" s="71" t="s">
        <v>2272</v>
      </c>
      <c r="X32" s="71" t="s">
        <v>2272</v>
      </c>
      <c r="Y32" s="71" t="s">
        <v>2272</v>
      </c>
      <c r="Z32" s="71" t="s">
        <v>2272</v>
      </c>
      <c r="AA32" s="198" t="s">
        <v>74</v>
      </c>
      <c r="AB32" s="198" t="s">
        <v>34</v>
      </c>
      <c r="AC32" s="198" t="s">
        <v>63</v>
      </c>
      <c r="AD32" s="4" t="s">
        <v>5047</v>
      </c>
      <c r="AE32" s="4" t="s">
        <v>5044</v>
      </c>
    </row>
    <row r="33" spans="1:31" ht="72.5">
      <c r="A33" s="31" t="s">
        <v>267</v>
      </c>
      <c r="B33" s="198" t="s">
        <v>327</v>
      </c>
      <c r="C33" s="198" t="s">
        <v>23</v>
      </c>
      <c r="D33" s="198" t="s">
        <v>2654</v>
      </c>
      <c r="E33" s="4" t="s">
        <v>394</v>
      </c>
      <c r="F33" s="4" t="s">
        <v>27</v>
      </c>
      <c r="G33" s="198" t="s">
        <v>2272</v>
      </c>
      <c r="H33" s="198" t="s">
        <v>521</v>
      </c>
      <c r="I33" s="198"/>
      <c r="J33" s="21" t="s">
        <v>2272</v>
      </c>
      <c r="K33" s="21" t="s">
        <v>2272</v>
      </c>
      <c r="L33" s="21" t="s">
        <v>2272</v>
      </c>
      <c r="M33" s="21" t="s">
        <v>2272</v>
      </c>
      <c r="N33" s="21" t="s">
        <v>2272</v>
      </c>
      <c r="O33" s="21" t="s">
        <v>2272</v>
      </c>
      <c r="P33" s="21" t="s">
        <v>2272</v>
      </c>
      <c r="Q33" s="21" t="s">
        <v>2272</v>
      </c>
      <c r="R33" s="21" t="s">
        <v>2272</v>
      </c>
      <c r="S33" s="21" t="s">
        <v>2272</v>
      </c>
      <c r="T33" s="21" t="s">
        <v>2272</v>
      </c>
      <c r="U33" s="21" t="s">
        <v>2272</v>
      </c>
      <c r="V33" s="71" t="s">
        <v>2272</v>
      </c>
      <c r="W33" s="71" t="s">
        <v>2272</v>
      </c>
      <c r="X33" s="71" t="s">
        <v>2272</v>
      </c>
      <c r="Y33" s="71" t="s">
        <v>2272</v>
      </c>
      <c r="Z33" s="71" t="s">
        <v>2272</v>
      </c>
      <c r="AA33" s="198" t="s">
        <v>74</v>
      </c>
      <c r="AB33" s="198" t="s">
        <v>34</v>
      </c>
      <c r="AC33" s="198" t="s">
        <v>63</v>
      </c>
      <c r="AD33" s="4" t="s">
        <v>5047</v>
      </c>
      <c r="AE33" s="4" t="s">
        <v>5044</v>
      </c>
    </row>
    <row r="34" spans="1:31" ht="72.5">
      <c r="A34" s="31" t="s">
        <v>268</v>
      </c>
      <c r="B34" s="198" t="s">
        <v>328</v>
      </c>
      <c r="C34" s="198" t="s">
        <v>23</v>
      </c>
      <c r="D34" s="198" t="s">
        <v>2654</v>
      </c>
      <c r="E34" s="4" t="s">
        <v>394</v>
      </c>
      <c r="F34" s="4" t="s">
        <v>27</v>
      </c>
      <c r="G34" s="198" t="s">
        <v>2272</v>
      </c>
      <c r="H34" s="198" t="s">
        <v>521</v>
      </c>
      <c r="I34" s="198"/>
      <c r="J34" s="21" t="s">
        <v>2272</v>
      </c>
      <c r="K34" s="21" t="s">
        <v>2272</v>
      </c>
      <c r="L34" s="21" t="s">
        <v>2272</v>
      </c>
      <c r="M34" s="21" t="s">
        <v>2272</v>
      </c>
      <c r="N34" s="21" t="s">
        <v>2272</v>
      </c>
      <c r="O34" s="21" t="s">
        <v>2272</v>
      </c>
      <c r="P34" s="21" t="s">
        <v>2272</v>
      </c>
      <c r="Q34" s="21" t="s">
        <v>2272</v>
      </c>
      <c r="R34" s="21" t="s">
        <v>2272</v>
      </c>
      <c r="S34" s="21" t="s">
        <v>2272</v>
      </c>
      <c r="T34" s="21" t="s">
        <v>2272</v>
      </c>
      <c r="U34" s="21" t="s">
        <v>2272</v>
      </c>
      <c r="V34" s="71" t="s">
        <v>2272</v>
      </c>
      <c r="W34" s="71" t="s">
        <v>2272</v>
      </c>
      <c r="X34" s="71" t="s">
        <v>2272</v>
      </c>
      <c r="Y34" s="71" t="s">
        <v>2272</v>
      </c>
      <c r="Z34" s="71" t="s">
        <v>2272</v>
      </c>
      <c r="AA34" s="198" t="s">
        <v>74</v>
      </c>
      <c r="AB34" s="198" t="s">
        <v>34</v>
      </c>
      <c r="AC34" s="198" t="s">
        <v>63</v>
      </c>
      <c r="AD34" s="4" t="s">
        <v>5047</v>
      </c>
      <c r="AE34" s="4" t="s">
        <v>5044</v>
      </c>
    </row>
    <row r="35" spans="1:31" ht="72.5">
      <c r="A35" s="31" t="s">
        <v>269</v>
      </c>
      <c r="B35" s="198" t="s">
        <v>329</v>
      </c>
      <c r="C35" s="198" t="s">
        <v>23</v>
      </c>
      <c r="D35" s="198" t="s">
        <v>2654</v>
      </c>
      <c r="E35" s="4" t="s">
        <v>394</v>
      </c>
      <c r="F35" s="4" t="s">
        <v>27</v>
      </c>
      <c r="G35" s="198" t="s">
        <v>2272</v>
      </c>
      <c r="H35" s="198" t="s">
        <v>521</v>
      </c>
      <c r="I35" s="198"/>
      <c r="J35" s="21" t="s">
        <v>2272</v>
      </c>
      <c r="K35" s="21" t="s">
        <v>2272</v>
      </c>
      <c r="L35" s="21" t="s">
        <v>2272</v>
      </c>
      <c r="M35" s="21" t="s">
        <v>2272</v>
      </c>
      <c r="N35" s="21" t="s">
        <v>2272</v>
      </c>
      <c r="O35" s="21" t="s">
        <v>2272</v>
      </c>
      <c r="P35" s="21" t="s">
        <v>2272</v>
      </c>
      <c r="Q35" s="21" t="s">
        <v>2272</v>
      </c>
      <c r="R35" s="21" t="s">
        <v>2272</v>
      </c>
      <c r="S35" s="21" t="s">
        <v>2272</v>
      </c>
      <c r="T35" s="21" t="s">
        <v>2272</v>
      </c>
      <c r="U35" s="21" t="s">
        <v>2272</v>
      </c>
      <c r="V35" s="71" t="s">
        <v>2272</v>
      </c>
      <c r="W35" s="71" t="s">
        <v>2272</v>
      </c>
      <c r="X35" s="71" t="s">
        <v>2272</v>
      </c>
      <c r="Y35" s="71" t="s">
        <v>2272</v>
      </c>
      <c r="Z35" s="71" t="s">
        <v>2272</v>
      </c>
      <c r="AA35" s="198" t="s">
        <v>74</v>
      </c>
      <c r="AB35" s="198" t="s">
        <v>34</v>
      </c>
      <c r="AC35" s="198" t="s">
        <v>63</v>
      </c>
      <c r="AD35" s="4" t="s">
        <v>5047</v>
      </c>
      <c r="AE35" s="4" t="s">
        <v>5044</v>
      </c>
    </row>
    <row r="36" spans="1:31" ht="72.5">
      <c r="A36" s="31" t="s">
        <v>270</v>
      </c>
      <c r="B36" s="198" t="s">
        <v>330</v>
      </c>
      <c r="C36" s="198" t="s">
        <v>23</v>
      </c>
      <c r="D36" s="198" t="s">
        <v>2654</v>
      </c>
      <c r="E36" s="4" t="s">
        <v>394</v>
      </c>
      <c r="F36" s="4" t="s">
        <v>27</v>
      </c>
      <c r="G36" s="198" t="s">
        <v>2272</v>
      </c>
      <c r="H36" s="198" t="s">
        <v>521</v>
      </c>
      <c r="I36" s="198"/>
      <c r="J36" s="21" t="s">
        <v>2272</v>
      </c>
      <c r="K36" s="21" t="s">
        <v>2272</v>
      </c>
      <c r="L36" s="21" t="s">
        <v>2272</v>
      </c>
      <c r="M36" s="21" t="s">
        <v>2272</v>
      </c>
      <c r="N36" s="21" t="s">
        <v>2272</v>
      </c>
      <c r="O36" s="21" t="s">
        <v>2272</v>
      </c>
      <c r="P36" s="21" t="s">
        <v>2272</v>
      </c>
      <c r="Q36" s="21" t="s">
        <v>2272</v>
      </c>
      <c r="R36" s="21" t="s">
        <v>2272</v>
      </c>
      <c r="S36" s="21" t="s">
        <v>2272</v>
      </c>
      <c r="T36" s="21" t="s">
        <v>2272</v>
      </c>
      <c r="U36" s="21" t="s">
        <v>2272</v>
      </c>
      <c r="V36" s="71" t="s">
        <v>2272</v>
      </c>
      <c r="W36" s="71" t="s">
        <v>2272</v>
      </c>
      <c r="X36" s="71" t="s">
        <v>2272</v>
      </c>
      <c r="Y36" s="71" t="s">
        <v>2272</v>
      </c>
      <c r="Z36" s="71" t="s">
        <v>2272</v>
      </c>
      <c r="AA36" s="198" t="s">
        <v>74</v>
      </c>
      <c r="AB36" s="198" t="s">
        <v>34</v>
      </c>
      <c r="AC36" s="198" t="s">
        <v>63</v>
      </c>
      <c r="AD36" s="4" t="s">
        <v>5047</v>
      </c>
      <c r="AE36" s="4" t="s">
        <v>5044</v>
      </c>
    </row>
    <row r="37" spans="1:31" ht="72.5">
      <c r="A37" s="31" t="s">
        <v>271</v>
      </c>
      <c r="B37" s="198" t="s">
        <v>331</v>
      </c>
      <c r="C37" s="198" t="s">
        <v>23</v>
      </c>
      <c r="D37" s="198" t="s">
        <v>2654</v>
      </c>
      <c r="E37" s="4" t="s">
        <v>394</v>
      </c>
      <c r="F37" s="4" t="s">
        <v>27</v>
      </c>
      <c r="G37" s="198" t="s">
        <v>2272</v>
      </c>
      <c r="H37" s="198" t="s">
        <v>521</v>
      </c>
      <c r="I37" s="198"/>
      <c r="J37" s="21" t="s">
        <v>2272</v>
      </c>
      <c r="K37" s="21" t="s">
        <v>2272</v>
      </c>
      <c r="L37" s="21" t="s">
        <v>2272</v>
      </c>
      <c r="M37" s="21" t="s">
        <v>2272</v>
      </c>
      <c r="N37" s="21" t="s">
        <v>2272</v>
      </c>
      <c r="O37" s="21" t="s">
        <v>2272</v>
      </c>
      <c r="P37" s="21" t="s">
        <v>2272</v>
      </c>
      <c r="Q37" s="21" t="s">
        <v>2272</v>
      </c>
      <c r="R37" s="21" t="s">
        <v>2272</v>
      </c>
      <c r="S37" s="21" t="s">
        <v>2272</v>
      </c>
      <c r="T37" s="21" t="s">
        <v>2272</v>
      </c>
      <c r="U37" s="21" t="s">
        <v>2272</v>
      </c>
      <c r="V37" s="71" t="s">
        <v>2272</v>
      </c>
      <c r="W37" s="71" t="s">
        <v>2272</v>
      </c>
      <c r="X37" s="71" t="s">
        <v>2272</v>
      </c>
      <c r="Y37" s="71" t="s">
        <v>2272</v>
      </c>
      <c r="Z37" s="71" t="s">
        <v>2272</v>
      </c>
      <c r="AA37" s="198" t="s">
        <v>74</v>
      </c>
      <c r="AB37" s="198" t="s">
        <v>34</v>
      </c>
      <c r="AC37" s="198" t="s">
        <v>63</v>
      </c>
      <c r="AD37" s="4" t="s">
        <v>5047</v>
      </c>
      <c r="AE37" s="4" t="s">
        <v>5044</v>
      </c>
    </row>
    <row r="38" spans="1:31" ht="125.5" customHeight="1">
      <c r="A38" s="31" t="s">
        <v>272</v>
      </c>
      <c r="B38" s="198" t="s">
        <v>332</v>
      </c>
      <c r="C38" s="198" t="s">
        <v>23</v>
      </c>
      <c r="D38" s="198" t="s">
        <v>2654</v>
      </c>
      <c r="E38" s="4" t="s">
        <v>394</v>
      </c>
      <c r="F38" s="4" t="s">
        <v>27</v>
      </c>
      <c r="G38" s="198" t="s">
        <v>2272</v>
      </c>
      <c r="H38" s="198" t="s">
        <v>521</v>
      </c>
      <c r="I38" s="198"/>
      <c r="J38" s="21" t="s">
        <v>2272</v>
      </c>
      <c r="K38" s="21" t="s">
        <v>2272</v>
      </c>
      <c r="L38" s="21" t="s">
        <v>2272</v>
      </c>
      <c r="M38" s="21" t="s">
        <v>2272</v>
      </c>
      <c r="N38" s="21" t="s">
        <v>2272</v>
      </c>
      <c r="O38" s="21" t="s">
        <v>2272</v>
      </c>
      <c r="P38" s="21" t="s">
        <v>2272</v>
      </c>
      <c r="Q38" s="21" t="s">
        <v>2272</v>
      </c>
      <c r="R38" s="21" t="s">
        <v>2272</v>
      </c>
      <c r="S38" s="21" t="s">
        <v>2272</v>
      </c>
      <c r="T38" s="21" t="s">
        <v>2272</v>
      </c>
      <c r="U38" s="21" t="s">
        <v>2272</v>
      </c>
      <c r="V38" s="71" t="s">
        <v>2272</v>
      </c>
      <c r="W38" s="71" t="s">
        <v>2272</v>
      </c>
      <c r="X38" s="71" t="s">
        <v>2272</v>
      </c>
      <c r="Y38" s="71" t="s">
        <v>2272</v>
      </c>
      <c r="Z38" s="71" t="s">
        <v>2272</v>
      </c>
      <c r="AA38" s="198" t="s">
        <v>74</v>
      </c>
      <c r="AB38" s="198" t="s">
        <v>34</v>
      </c>
      <c r="AC38" s="198" t="s">
        <v>63</v>
      </c>
      <c r="AD38" s="4" t="s">
        <v>5047</v>
      </c>
      <c r="AE38" s="4" t="s">
        <v>5044</v>
      </c>
    </row>
    <row r="39" spans="1:31" ht="127" customHeight="1">
      <c r="A39" s="31" t="s">
        <v>273</v>
      </c>
      <c r="B39" s="198" t="s">
        <v>333</v>
      </c>
      <c r="C39" s="198" t="s">
        <v>23</v>
      </c>
      <c r="D39" s="198" t="s">
        <v>2654</v>
      </c>
      <c r="E39" s="4" t="s">
        <v>394</v>
      </c>
      <c r="F39" s="4" t="s">
        <v>27</v>
      </c>
      <c r="G39" s="198" t="s">
        <v>2272</v>
      </c>
      <c r="H39" s="198" t="s">
        <v>521</v>
      </c>
      <c r="I39" s="198"/>
      <c r="J39" s="21" t="s">
        <v>2272</v>
      </c>
      <c r="K39" s="21" t="s">
        <v>2272</v>
      </c>
      <c r="L39" s="21" t="s">
        <v>2272</v>
      </c>
      <c r="M39" s="21" t="s">
        <v>2272</v>
      </c>
      <c r="N39" s="21" t="s">
        <v>2272</v>
      </c>
      <c r="O39" s="21" t="s">
        <v>2272</v>
      </c>
      <c r="P39" s="21" t="s">
        <v>2272</v>
      </c>
      <c r="Q39" s="21" t="s">
        <v>2272</v>
      </c>
      <c r="R39" s="21" t="s">
        <v>2272</v>
      </c>
      <c r="S39" s="21" t="s">
        <v>2272</v>
      </c>
      <c r="T39" s="21" t="s">
        <v>2272</v>
      </c>
      <c r="U39" s="21" t="s">
        <v>2272</v>
      </c>
      <c r="V39" s="71" t="s">
        <v>2272</v>
      </c>
      <c r="W39" s="71" t="s">
        <v>2272</v>
      </c>
      <c r="X39" s="71" t="s">
        <v>2272</v>
      </c>
      <c r="Y39" s="71" t="s">
        <v>2272</v>
      </c>
      <c r="Z39" s="71" t="s">
        <v>2272</v>
      </c>
      <c r="AA39" s="198" t="s">
        <v>74</v>
      </c>
      <c r="AB39" s="198" t="s">
        <v>34</v>
      </c>
      <c r="AC39" s="198" t="s">
        <v>63</v>
      </c>
      <c r="AD39" s="4" t="s">
        <v>5047</v>
      </c>
      <c r="AE39" s="4" t="s">
        <v>5044</v>
      </c>
    </row>
    <row r="40" spans="1:31" ht="124" customHeight="1">
      <c r="A40" s="31" t="s">
        <v>274</v>
      </c>
      <c r="B40" s="198" t="s">
        <v>334</v>
      </c>
      <c r="C40" s="198" t="s">
        <v>23</v>
      </c>
      <c r="D40" s="198" t="s">
        <v>2654</v>
      </c>
      <c r="E40" s="4" t="s">
        <v>394</v>
      </c>
      <c r="F40" s="4" t="s">
        <v>27</v>
      </c>
      <c r="G40" s="198" t="s">
        <v>2272</v>
      </c>
      <c r="H40" s="198" t="s">
        <v>521</v>
      </c>
      <c r="I40" s="198"/>
      <c r="J40" s="21" t="s">
        <v>2272</v>
      </c>
      <c r="K40" s="21" t="s">
        <v>2272</v>
      </c>
      <c r="L40" s="21" t="s">
        <v>2272</v>
      </c>
      <c r="M40" s="21" t="s">
        <v>2272</v>
      </c>
      <c r="N40" s="21" t="s">
        <v>2272</v>
      </c>
      <c r="O40" s="21" t="s">
        <v>2272</v>
      </c>
      <c r="P40" s="21" t="s">
        <v>2272</v>
      </c>
      <c r="Q40" s="21" t="s">
        <v>2272</v>
      </c>
      <c r="R40" s="21" t="s">
        <v>2272</v>
      </c>
      <c r="S40" s="21" t="s">
        <v>2272</v>
      </c>
      <c r="T40" s="21" t="s">
        <v>2272</v>
      </c>
      <c r="U40" s="21" t="s">
        <v>2272</v>
      </c>
      <c r="V40" s="71" t="s">
        <v>2272</v>
      </c>
      <c r="W40" s="71" t="s">
        <v>2272</v>
      </c>
      <c r="X40" s="71" t="s">
        <v>2272</v>
      </c>
      <c r="Y40" s="71" t="s">
        <v>2272</v>
      </c>
      <c r="Z40" s="71" t="s">
        <v>2272</v>
      </c>
      <c r="AA40" s="198" t="s">
        <v>74</v>
      </c>
      <c r="AB40" s="198" t="s">
        <v>34</v>
      </c>
      <c r="AC40" s="198" t="s">
        <v>63</v>
      </c>
      <c r="AD40" s="4" t="s">
        <v>5047</v>
      </c>
      <c r="AE40" s="4" t="s">
        <v>5044</v>
      </c>
    </row>
    <row r="41" spans="1:31" ht="46" customHeight="1">
      <c r="A41" s="31" t="s">
        <v>275</v>
      </c>
      <c r="B41" s="198" t="s">
        <v>335</v>
      </c>
      <c r="C41" s="198" t="s">
        <v>23</v>
      </c>
      <c r="D41" s="198" t="s">
        <v>2654</v>
      </c>
      <c r="E41" s="4" t="s">
        <v>394</v>
      </c>
      <c r="F41" s="4" t="s">
        <v>27</v>
      </c>
      <c r="G41" s="198" t="s">
        <v>2272</v>
      </c>
      <c r="H41" s="198" t="s">
        <v>521</v>
      </c>
      <c r="I41" s="198"/>
      <c r="J41" s="21" t="s">
        <v>2272</v>
      </c>
      <c r="K41" s="21" t="s">
        <v>2272</v>
      </c>
      <c r="L41" s="21" t="s">
        <v>2272</v>
      </c>
      <c r="M41" s="21" t="s">
        <v>2272</v>
      </c>
      <c r="N41" s="21" t="s">
        <v>2272</v>
      </c>
      <c r="O41" s="21" t="s">
        <v>2272</v>
      </c>
      <c r="P41" s="21" t="s">
        <v>2272</v>
      </c>
      <c r="Q41" s="21" t="s">
        <v>2272</v>
      </c>
      <c r="R41" s="21" t="s">
        <v>2272</v>
      </c>
      <c r="S41" s="21" t="s">
        <v>2272</v>
      </c>
      <c r="T41" s="21" t="s">
        <v>2272</v>
      </c>
      <c r="U41" s="21" t="s">
        <v>2272</v>
      </c>
      <c r="V41" s="71" t="s">
        <v>2272</v>
      </c>
      <c r="W41" s="71" t="s">
        <v>2272</v>
      </c>
      <c r="X41" s="71" t="s">
        <v>2272</v>
      </c>
      <c r="Y41" s="71" t="s">
        <v>2272</v>
      </c>
      <c r="Z41" s="71" t="s">
        <v>2272</v>
      </c>
      <c r="AA41" s="198" t="s">
        <v>74</v>
      </c>
      <c r="AB41" s="198" t="s">
        <v>34</v>
      </c>
      <c r="AC41" s="198" t="s">
        <v>63</v>
      </c>
      <c r="AD41" s="4" t="s">
        <v>5047</v>
      </c>
      <c r="AE41" s="4" t="s">
        <v>5044</v>
      </c>
    </row>
    <row r="42" spans="1:31" ht="49" customHeight="1">
      <c r="A42" s="31" t="s">
        <v>288</v>
      </c>
      <c r="B42" s="198" t="s">
        <v>336</v>
      </c>
      <c r="C42" s="198" t="s">
        <v>23</v>
      </c>
      <c r="D42" s="198" t="s">
        <v>2654</v>
      </c>
      <c r="E42" s="4" t="s">
        <v>394</v>
      </c>
      <c r="F42" s="4" t="s">
        <v>27</v>
      </c>
      <c r="G42" s="198" t="s">
        <v>2272</v>
      </c>
      <c r="H42" s="198" t="s">
        <v>521</v>
      </c>
      <c r="I42" s="198"/>
      <c r="J42" s="21" t="s">
        <v>2272</v>
      </c>
      <c r="K42" s="21" t="s">
        <v>2272</v>
      </c>
      <c r="L42" s="21" t="s">
        <v>2272</v>
      </c>
      <c r="M42" s="21" t="s">
        <v>2272</v>
      </c>
      <c r="N42" s="21" t="s">
        <v>2272</v>
      </c>
      <c r="O42" s="21" t="s">
        <v>2272</v>
      </c>
      <c r="P42" s="21" t="s">
        <v>2272</v>
      </c>
      <c r="Q42" s="21" t="s">
        <v>2272</v>
      </c>
      <c r="R42" s="21" t="s">
        <v>2272</v>
      </c>
      <c r="S42" s="21" t="s">
        <v>2272</v>
      </c>
      <c r="T42" s="21" t="s">
        <v>2272</v>
      </c>
      <c r="U42" s="21" t="s">
        <v>2272</v>
      </c>
      <c r="V42" s="71" t="s">
        <v>2272</v>
      </c>
      <c r="W42" s="71" t="s">
        <v>2272</v>
      </c>
      <c r="X42" s="71" t="s">
        <v>2272</v>
      </c>
      <c r="Y42" s="71" t="s">
        <v>2272</v>
      </c>
      <c r="Z42" s="71" t="s">
        <v>2272</v>
      </c>
      <c r="AA42" s="198" t="s">
        <v>74</v>
      </c>
      <c r="AB42" s="198" t="s">
        <v>34</v>
      </c>
      <c r="AC42" s="198" t="s">
        <v>63</v>
      </c>
      <c r="AD42" s="4" t="s">
        <v>5047</v>
      </c>
      <c r="AE42" s="4" t="s">
        <v>5044</v>
      </c>
    </row>
    <row r="43" spans="1:31" ht="67" customHeight="1">
      <c r="A43" s="31" t="s">
        <v>289</v>
      </c>
      <c r="B43" s="198" t="s">
        <v>337</v>
      </c>
      <c r="C43" s="198" t="s">
        <v>23</v>
      </c>
      <c r="D43" s="198" t="s">
        <v>2654</v>
      </c>
      <c r="E43" s="4" t="s">
        <v>394</v>
      </c>
      <c r="F43" s="4" t="s">
        <v>27</v>
      </c>
      <c r="G43" s="198" t="s">
        <v>2272</v>
      </c>
      <c r="H43" s="198" t="s">
        <v>521</v>
      </c>
      <c r="I43" s="198"/>
      <c r="J43" s="21" t="s">
        <v>2272</v>
      </c>
      <c r="K43" s="21" t="s">
        <v>2272</v>
      </c>
      <c r="L43" s="21" t="s">
        <v>2272</v>
      </c>
      <c r="M43" s="21" t="s">
        <v>2272</v>
      </c>
      <c r="N43" s="21" t="s">
        <v>2272</v>
      </c>
      <c r="O43" s="21" t="s">
        <v>2272</v>
      </c>
      <c r="P43" s="21" t="s">
        <v>2272</v>
      </c>
      <c r="Q43" s="21" t="s">
        <v>2272</v>
      </c>
      <c r="R43" s="21" t="s">
        <v>2272</v>
      </c>
      <c r="S43" s="21" t="s">
        <v>2272</v>
      </c>
      <c r="T43" s="21" t="s">
        <v>2272</v>
      </c>
      <c r="U43" s="21" t="s">
        <v>2272</v>
      </c>
      <c r="V43" s="71" t="s">
        <v>2272</v>
      </c>
      <c r="W43" s="71" t="s">
        <v>2272</v>
      </c>
      <c r="X43" s="71" t="s">
        <v>2272</v>
      </c>
      <c r="Y43" s="71" t="s">
        <v>2272</v>
      </c>
      <c r="Z43" s="71" t="s">
        <v>2272</v>
      </c>
      <c r="AA43" s="198" t="s">
        <v>74</v>
      </c>
      <c r="AB43" s="198" t="s">
        <v>34</v>
      </c>
      <c r="AC43" s="198" t="s">
        <v>63</v>
      </c>
      <c r="AD43" s="4" t="s">
        <v>5047</v>
      </c>
      <c r="AE43" s="4" t="s">
        <v>5044</v>
      </c>
    </row>
    <row r="44" spans="1:31" ht="72" customHeight="1">
      <c r="A44" s="31" t="s">
        <v>290</v>
      </c>
      <c r="B44" s="198" t="s">
        <v>338</v>
      </c>
      <c r="C44" s="198" t="s">
        <v>23</v>
      </c>
      <c r="D44" s="198" t="s">
        <v>2654</v>
      </c>
      <c r="E44" s="4" t="s">
        <v>394</v>
      </c>
      <c r="F44" s="4" t="s">
        <v>27</v>
      </c>
      <c r="G44" s="198" t="s">
        <v>2272</v>
      </c>
      <c r="H44" s="198" t="s">
        <v>521</v>
      </c>
      <c r="I44" s="198"/>
      <c r="J44" s="21" t="s">
        <v>2272</v>
      </c>
      <c r="K44" s="21" t="s">
        <v>2272</v>
      </c>
      <c r="L44" s="21" t="s">
        <v>2272</v>
      </c>
      <c r="M44" s="21" t="s">
        <v>2272</v>
      </c>
      <c r="N44" s="21" t="s">
        <v>2272</v>
      </c>
      <c r="O44" s="21" t="s">
        <v>2272</v>
      </c>
      <c r="P44" s="21" t="s">
        <v>2272</v>
      </c>
      <c r="Q44" s="21" t="s">
        <v>2272</v>
      </c>
      <c r="R44" s="21" t="s">
        <v>2272</v>
      </c>
      <c r="S44" s="21" t="s">
        <v>2272</v>
      </c>
      <c r="T44" s="21" t="s">
        <v>2272</v>
      </c>
      <c r="U44" s="21" t="s">
        <v>2272</v>
      </c>
      <c r="V44" s="71" t="s">
        <v>2272</v>
      </c>
      <c r="W44" s="71" t="s">
        <v>2272</v>
      </c>
      <c r="X44" s="71" t="s">
        <v>2272</v>
      </c>
      <c r="Y44" s="71" t="s">
        <v>2272</v>
      </c>
      <c r="Z44" s="71" t="s">
        <v>2272</v>
      </c>
      <c r="AA44" s="198" t="s">
        <v>74</v>
      </c>
      <c r="AB44" s="198" t="s">
        <v>34</v>
      </c>
      <c r="AC44" s="198" t="s">
        <v>63</v>
      </c>
      <c r="AD44" s="4" t="s">
        <v>5047</v>
      </c>
      <c r="AE44" s="4" t="s">
        <v>5044</v>
      </c>
    </row>
    <row r="45" spans="1:31" ht="72" customHeight="1">
      <c r="A45" s="31" t="s">
        <v>291</v>
      </c>
      <c r="B45" s="198" t="s">
        <v>339</v>
      </c>
      <c r="C45" s="198" t="s">
        <v>23</v>
      </c>
      <c r="D45" s="198" t="s">
        <v>2654</v>
      </c>
      <c r="E45" s="4" t="s">
        <v>394</v>
      </c>
      <c r="F45" s="4" t="s">
        <v>27</v>
      </c>
      <c r="G45" s="198" t="s">
        <v>2272</v>
      </c>
      <c r="H45" s="198" t="s">
        <v>521</v>
      </c>
      <c r="I45" s="198"/>
      <c r="J45" s="21" t="s">
        <v>2272</v>
      </c>
      <c r="K45" s="21" t="s">
        <v>2272</v>
      </c>
      <c r="L45" s="21" t="s">
        <v>2272</v>
      </c>
      <c r="M45" s="21" t="s">
        <v>2272</v>
      </c>
      <c r="N45" s="21" t="s">
        <v>2272</v>
      </c>
      <c r="O45" s="21" t="s">
        <v>2272</v>
      </c>
      <c r="P45" s="21" t="s">
        <v>2272</v>
      </c>
      <c r="Q45" s="21" t="s">
        <v>2272</v>
      </c>
      <c r="R45" s="21" t="s">
        <v>2272</v>
      </c>
      <c r="S45" s="21" t="s">
        <v>2272</v>
      </c>
      <c r="T45" s="21" t="s">
        <v>2272</v>
      </c>
      <c r="U45" s="21" t="s">
        <v>2272</v>
      </c>
      <c r="V45" s="71" t="s">
        <v>2272</v>
      </c>
      <c r="W45" s="71" t="s">
        <v>2272</v>
      </c>
      <c r="X45" s="71" t="s">
        <v>2272</v>
      </c>
      <c r="Y45" s="71" t="s">
        <v>2272</v>
      </c>
      <c r="Z45" s="71" t="s">
        <v>2272</v>
      </c>
      <c r="AA45" s="198" t="s">
        <v>74</v>
      </c>
      <c r="AB45" s="198" t="s">
        <v>34</v>
      </c>
      <c r="AC45" s="198" t="s">
        <v>63</v>
      </c>
      <c r="AD45" s="4" t="s">
        <v>5047</v>
      </c>
      <c r="AE45" s="4" t="s">
        <v>5044</v>
      </c>
    </row>
    <row r="46" spans="1:31" ht="97" customHeight="1">
      <c r="A46" s="198" t="s">
        <v>87</v>
      </c>
      <c r="B46" s="198" t="s">
        <v>89</v>
      </c>
      <c r="C46" s="198" t="s">
        <v>23</v>
      </c>
      <c r="D46" s="198" t="s">
        <v>2654</v>
      </c>
      <c r="E46" s="4" t="s">
        <v>394</v>
      </c>
      <c r="F46" s="4" t="s">
        <v>27</v>
      </c>
      <c r="G46" s="198" t="s">
        <v>2272</v>
      </c>
      <c r="H46" s="198" t="s">
        <v>521</v>
      </c>
      <c r="I46" s="198"/>
      <c r="J46" s="21" t="s">
        <v>2272</v>
      </c>
      <c r="K46" s="21" t="s">
        <v>2272</v>
      </c>
      <c r="L46" s="21" t="s">
        <v>2272</v>
      </c>
      <c r="M46" s="21" t="s">
        <v>2272</v>
      </c>
      <c r="N46" s="21" t="s">
        <v>2272</v>
      </c>
      <c r="O46" s="21" t="s">
        <v>2272</v>
      </c>
      <c r="P46" s="21" t="s">
        <v>2272</v>
      </c>
      <c r="Q46" s="21" t="s">
        <v>2272</v>
      </c>
      <c r="R46" s="21" t="s">
        <v>2272</v>
      </c>
      <c r="S46" s="21" t="s">
        <v>2272</v>
      </c>
      <c r="T46" s="21" t="s">
        <v>2272</v>
      </c>
      <c r="U46" s="21" t="s">
        <v>2272</v>
      </c>
      <c r="V46" s="71" t="s">
        <v>2272</v>
      </c>
      <c r="W46" s="71" t="s">
        <v>2272</v>
      </c>
      <c r="X46" s="71" t="s">
        <v>2272</v>
      </c>
      <c r="Y46" s="71" t="s">
        <v>2272</v>
      </c>
      <c r="Z46" s="71" t="s">
        <v>2272</v>
      </c>
      <c r="AA46" s="198" t="s">
        <v>74</v>
      </c>
      <c r="AB46" s="198" t="s">
        <v>34</v>
      </c>
      <c r="AC46" s="198" t="s">
        <v>63</v>
      </c>
      <c r="AD46" s="4" t="s">
        <v>5047</v>
      </c>
      <c r="AE46" s="4" t="s">
        <v>5045</v>
      </c>
    </row>
    <row r="47" spans="1:31" ht="92" customHeight="1">
      <c r="A47" s="198" t="s">
        <v>87</v>
      </c>
      <c r="B47" s="198" t="s">
        <v>90</v>
      </c>
      <c r="C47" s="198" t="s">
        <v>23</v>
      </c>
      <c r="D47" s="198" t="s">
        <v>2654</v>
      </c>
      <c r="E47" s="4" t="s">
        <v>395</v>
      </c>
      <c r="F47" s="4" t="s">
        <v>27</v>
      </c>
      <c r="G47" s="198" t="s">
        <v>2272</v>
      </c>
      <c r="H47" s="198" t="s">
        <v>521</v>
      </c>
      <c r="I47" s="198"/>
      <c r="J47" s="21" t="s">
        <v>2272</v>
      </c>
      <c r="K47" s="21" t="s">
        <v>2272</v>
      </c>
      <c r="L47" s="21" t="s">
        <v>2272</v>
      </c>
      <c r="M47" s="21" t="s">
        <v>2272</v>
      </c>
      <c r="N47" s="21" t="s">
        <v>2272</v>
      </c>
      <c r="O47" s="21" t="s">
        <v>2272</v>
      </c>
      <c r="P47" s="21" t="s">
        <v>2272</v>
      </c>
      <c r="Q47" s="21" t="s">
        <v>2272</v>
      </c>
      <c r="R47" s="21" t="s">
        <v>2272</v>
      </c>
      <c r="S47" s="21" t="s">
        <v>2272</v>
      </c>
      <c r="T47" s="21" t="s">
        <v>2272</v>
      </c>
      <c r="U47" s="21" t="s">
        <v>2272</v>
      </c>
      <c r="V47" s="71" t="s">
        <v>2272</v>
      </c>
      <c r="W47" s="71" t="s">
        <v>2272</v>
      </c>
      <c r="X47" s="71" t="s">
        <v>2272</v>
      </c>
      <c r="Y47" s="71" t="s">
        <v>2272</v>
      </c>
      <c r="Z47" s="71" t="s">
        <v>2272</v>
      </c>
      <c r="AA47" s="198" t="s">
        <v>74</v>
      </c>
      <c r="AB47" s="198" t="s">
        <v>34</v>
      </c>
      <c r="AC47" s="198" t="s">
        <v>63</v>
      </c>
      <c r="AD47" s="4" t="s">
        <v>5047</v>
      </c>
      <c r="AE47" s="4" t="s">
        <v>5046</v>
      </c>
    </row>
    <row r="48" spans="1:31" ht="69.5" customHeight="1">
      <c r="A48" s="31" t="s">
        <v>276</v>
      </c>
      <c r="B48" s="198" t="s">
        <v>340</v>
      </c>
      <c r="C48" s="198" t="s">
        <v>23</v>
      </c>
      <c r="D48" s="198" t="s">
        <v>2654</v>
      </c>
      <c r="E48" s="4" t="s">
        <v>394</v>
      </c>
      <c r="F48" s="4" t="s">
        <v>27</v>
      </c>
      <c r="G48" s="198" t="s">
        <v>2272</v>
      </c>
      <c r="H48" s="198" t="s">
        <v>521</v>
      </c>
      <c r="I48" s="198"/>
      <c r="J48" s="21" t="s">
        <v>2272</v>
      </c>
      <c r="K48" s="21" t="s">
        <v>2272</v>
      </c>
      <c r="L48" s="21" t="s">
        <v>2272</v>
      </c>
      <c r="M48" s="21" t="s">
        <v>2272</v>
      </c>
      <c r="N48" s="21" t="s">
        <v>2272</v>
      </c>
      <c r="O48" s="21" t="s">
        <v>2272</v>
      </c>
      <c r="P48" s="21" t="s">
        <v>2272</v>
      </c>
      <c r="Q48" s="21" t="s">
        <v>2272</v>
      </c>
      <c r="R48" s="21" t="s">
        <v>2272</v>
      </c>
      <c r="S48" s="21" t="s">
        <v>2272</v>
      </c>
      <c r="T48" s="21" t="s">
        <v>2272</v>
      </c>
      <c r="U48" s="21" t="s">
        <v>2272</v>
      </c>
      <c r="V48" s="71" t="s">
        <v>2272</v>
      </c>
      <c r="W48" s="71" t="s">
        <v>2272</v>
      </c>
      <c r="X48" s="71" t="s">
        <v>2272</v>
      </c>
      <c r="Y48" s="71" t="s">
        <v>2272</v>
      </c>
      <c r="Z48" s="71" t="s">
        <v>2272</v>
      </c>
      <c r="AA48" s="198" t="s">
        <v>74</v>
      </c>
      <c r="AB48" s="198" t="s">
        <v>34</v>
      </c>
      <c r="AC48" s="198" t="s">
        <v>63</v>
      </c>
      <c r="AD48" s="4" t="s">
        <v>5047</v>
      </c>
      <c r="AE48" s="4" t="s">
        <v>2257</v>
      </c>
    </row>
    <row r="49" spans="1:31" ht="69.5" customHeight="1">
      <c r="A49" s="31" t="s">
        <v>277</v>
      </c>
      <c r="B49" s="198" t="s">
        <v>341</v>
      </c>
      <c r="C49" s="198" t="s">
        <v>23</v>
      </c>
      <c r="D49" s="198" t="s">
        <v>2654</v>
      </c>
      <c r="E49" s="4" t="s">
        <v>394</v>
      </c>
      <c r="F49" s="4" t="s">
        <v>27</v>
      </c>
      <c r="G49" s="198" t="s">
        <v>2272</v>
      </c>
      <c r="H49" s="198" t="s">
        <v>521</v>
      </c>
      <c r="I49" s="198"/>
      <c r="J49" s="21" t="s">
        <v>2272</v>
      </c>
      <c r="K49" s="21" t="s">
        <v>2272</v>
      </c>
      <c r="L49" s="21" t="s">
        <v>2272</v>
      </c>
      <c r="M49" s="21" t="s">
        <v>2272</v>
      </c>
      <c r="N49" s="21" t="s">
        <v>2272</v>
      </c>
      <c r="O49" s="21" t="s">
        <v>2272</v>
      </c>
      <c r="P49" s="21" t="s">
        <v>2272</v>
      </c>
      <c r="Q49" s="21" t="s">
        <v>2272</v>
      </c>
      <c r="R49" s="21" t="s">
        <v>2272</v>
      </c>
      <c r="S49" s="21" t="s">
        <v>2272</v>
      </c>
      <c r="T49" s="21" t="s">
        <v>2272</v>
      </c>
      <c r="U49" s="21" t="s">
        <v>2272</v>
      </c>
      <c r="V49" s="71" t="s">
        <v>2272</v>
      </c>
      <c r="W49" s="71" t="s">
        <v>2272</v>
      </c>
      <c r="X49" s="71" t="s">
        <v>2272</v>
      </c>
      <c r="Y49" s="71" t="s">
        <v>2272</v>
      </c>
      <c r="Z49" s="71" t="s">
        <v>2272</v>
      </c>
      <c r="AA49" s="198" t="s">
        <v>74</v>
      </c>
      <c r="AB49" s="198" t="s">
        <v>34</v>
      </c>
      <c r="AC49" s="198" t="s">
        <v>63</v>
      </c>
      <c r="AD49" s="4" t="s">
        <v>5047</v>
      </c>
      <c r="AE49" s="4" t="s">
        <v>2257</v>
      </c>
    </row>
    <row r="50" spans="1:31" ht="69.5" customHeight="1">
      <c r="A50" s="31" t="s">
        <v>278</v>
      </c>
      <c r="B50" s="198" t="s">
        <v>342</v>
      </c>
      <c r="C50" s="198" t="s">
        <v>23</v>
      </c>
      <c r="D50" s="198" t="s">
        <v>2654</v>
      </c>
      <c r="E50" s="4" t="s">
        <v>394</v>
      </c>
      <c r="F50" s="4" t="s">
        <v>27</v>
      </c>
      <c r="G50" s="198" t="s">
        <v>2272</v>
      </c>
      <c r="H50" s="198" t="s">
        <v>521</v>
      </c>
      <c r="I50" s="198"/>
      <c r="J50" s="21" t="s">
        <v>2272</v>
      </c>
      <c r="K50" s="21" t="s">
        <v>2272</v>
      </c>
      <c r="L50" s="21" t="s">
        <v>2272</v>
      </c>
      <c r="M50" s="21" t="s">
        <v>2272</v>
      </c>
      <c r="N50" s="21" t="s">
        <v>2272</v>
      </c>
      <c r="O50" s="21" t="s">
        <v>2272</v>
      </c>
      <c r="P50" s="21" t="s">
        <v>2272</v>
      </c>
      <c r="Q50" s="21" t="s">
        <v>2272</v>
      </c>
      <c r="R50" s="21" t="s">
        <v>2272</v>
      </c>
      <c r="S50" s="21" t="s">
        <v>2272</v>
      </c>
      <c r="T50" s="21" t="s">
        <v>2272</v>
      </c>
      <c r="U50" s="21" t="s">
        <v>2272</v>
      </c>
      <c r="V50" s="71" t="s">
        <v>2272</v>
      </c>
      <c r="W50" s="71" t="s">
        <v>2272</v>
      </c>
      <c r="X50" s="71" t="s">
        <v>2272</v>
      </c>
      <c r="Y50" s="71" t="s">
        <v>2272</v>
      </c>
      <c r="Z50" s="71" t="s">
        <v>2272</v>
      </c>
      <c r="AA50" s="198" t="s">
        <v>74</v>
      </c>
      <c r="AB50" s="198" t="s">
        <v>34</v>
      </c>
      <c r="AC50" s="198" t="s">
        <v>63</v>
      </c>
      <c r="AD50" s="4" t="s">
        <v>5047</v>
      </c>
      <c r="AE50" s="4" t="s">
        <v>2257</v>
      </c>
    </row>
    <row r="51" spans="1:31" ht="69.5" customHeight="1">
      <c r="A51" s="31" t="s">
        <v>279</v>
      </c>
      <c r="B51" s="198" t="s">
        <v>343</v>
      </c>
      <c r="C51" s="198" t="s">
        <v>23</v>
      </c>
      <c r="D51" s="198" t="s">
        <v>2654</v>
      </c>
      <c r="E51" s="4" t="s">
        <v>394</v>
      </c>
      <c r="F51" s="4" t="s">
        <v>27</v>
      </c>
      <c r="G51" s="198" t="s">
        <v>2272</v>
      </c>
      <c r="H51" s="198" t="s">
        <v>521</v>
      </c>
      <c r="I51" s="198"/>
      <c r="J51" s="21" t="s">
        <v>2272</v>
      </c>
      <c r="K51" s="21" t="s">
        <v>2272</v>
      </c>
      <c r="L51" s="21" t="s">
        <v>2272</v>
      </c>
      <c r="M51" s="21" t="s">
        <v>2272</v>
      </c>
      <c r="N51" s="21" t="s">
        <v>2272</v>
      </c>
      <c r="O51" s="21" t="s">
        <v>2272</v>
      </c>
      <c r="P51" s="21" t="s">
        <v>2272</v>
      </c>
      <c r="Q51" s="21" t="s">
        <v>2272</v>
      </c>
      <c r="R51" s="21" t="s">
        <v>2272</v>
      </c>
      <c r="S51" s="21" t="s">
        <v>2272</v>
      </c>
      <c r="T51" s="21" t="s">
        <v>2272</v>
      </c>
      <c r="U51" s="21" t="s">
        <v>2272</v>
      </c>
      <c r="V51" s="71" t="s">
        <v>2272</v>
      </c>
      <c r="W51" s="71" t="s">
        <v>2272</v>
      </c>
      <c r="X51" s="71" t="s">
        <v>2272</v>
      </c>
      <c r="Y51" s="71" t="s">
        <v>2272</v>
      </c>
      <c r="Z51" s="71" t="s">
        <v>2272</v>
      </c>
      <c r="AA51" s="198" t="s">
        <v>74</v>
      </c>
      <c r="AB51" s="198" t="s">
        <v>34</v>
      </c>
      <c r="AC51" s="198" t="s">
        <v>63</v>
      </c>
      <c r="AD51" s="4" t="s">
        <v>5047</v>
      </c>
      <c r="AE51" s="4" t="s">
        <v>2257</v>
      </c>
    </row>
    <row r="52" spans="1:31" ht="69.5" customHeight="1">
      <c r="A52" s="31" t="s">
        <v>280</v>
      </c>
      <c r="B52" s="198" t="s">
        <v>344</v>
      </c>
      <c r="C52" s="198" t="s">
        <v>23</v>
      </c>
      <c r="D52" s="198" t="s">
        <v>2654</v>
      </c>
      <c r="E52" s="4" t="s">
        <v>394</v>
      </c>
      <c r="F52" s="4" t="s">
        <v>27</v>
      </c>
      <c r="G52" s="198" t="s">
        <v>2272</v>
      </c>
      <c r="H52" s="198" t="s">
        <v>521</v>
      </c>
      <c r="I52" s="198"/>
      <c r="J52" s="21" t="s">
        <v>2272</v>
      </c>
      <c r="K52" s="21" t="s">
        <v>2272</v>
      </c>
      <c r="L52" s="21" t="s">
        <v>2272</v>
      </c>
      <c r="M52" s="21" t="s">
        <v>2272</v>
      </c>
      <c r="N52" s="21" t="s">
        <v>2272</v>
      </c>
      <c r="O52" s="21" t="s">
        <v>2272</v>
      </c>
      <c r="P52" s="21" t="s">
        <v>2272</v>
      </c>
      <c r="Q52" s="21" t="s">
        <v>2272</v>
      </c>
      <c r="R52" s="21" t="s">
        <v>2272</v>
      </c>
      <c r="S52" s="21" t="s">
        <v>2272</v>
      </c>
      <c r="T52" s="21" t="s">
        <v>2272</v>
      </c>
      <c r="U52" s="21" t="s">
        <v>2272</v>
      </c>
      <c r="V52" s="71" t="s">
        <v>2272</v>
      </c>
      <c r="W52" s="71" t="s">
        <v>2272</v>
      </c>
      <c r="X52" s="71" t="s">
        <v>2272</v>
      </c>
      <c r="Y52" s="71" t="s">
        <v>2272</v>
      </c>
      <c r="Z52" s="71" t="s">
        <v>2272</v>
      </c>
      <c r="AA52" s="198" t="s">
        <v>74</v>
      </c>
      <c r="AB52" s="198" t="s">
        <v>34</v>
      </c>
      <c r="AC52" s="198" t="s">
        <v>63</v>
      </c>
      <c r="AD52" s="4" t="s">
        <v>5047</v>
      </c>
      <c r="AE52" s="4" t="s">
        <v>2257</v>
      </c>
    </row>
    <row r="53" spans="1:31" ht="69.5" customHeight="1">
      <c r="A53" s="31" t="s">
        <v>281</v>
      </c>
      <c r="B53" s="198" t="s">
        <v>345</v>
      </c>
      <c r="C53" s="198" t="s">
        <v>23</v>
      </c>
      <c r="D53" s="198" t="s">
        <v>2654</v>
      </c>
      <c r="E53" s="4" t="s">
        <v>394</v>
      </c>
      <c r="F53" s="4" t="s">
        <v>27</v>
      </c>
      <c r="G53" s="198" t="s">
        <v>2272</v>
      </c>
      <c r="H53" s="198" t="s">
        <v>521</v>
      </c>
      <c r="I53" s="198"/>
      <c r="J53" s="21" t="s">
        <v>2272</v>
      </c>
      <c r="K53" s="21" t="s">
        <v>2272</v>
      </c>
      <c r="L53" s="21" t="s">
        <v>2272</v>
      </c>
      <c r="M53" s="21" t="s">
        <v>2272</v>
      </c>
      <c r="N53" s="21" t="s">
        <v>2272</v>
      </c>
      <c r="O53" s="21" t="s">
        <v>2272</v>
      </c>
      <c r="P53" s="21" t="s">
        <v>2272</v>
      </c>
      <c r="Q53" s="21" t="s">
        <v>2272</v>
      </c>
      <c r="R53" s="21" t="s">
        <v>2272</v>
      </c>
      <c r="S53" s="21" t="s">
        <v>2272</v>
      </c>
      <c r="T53" s="21" t="s">
        <v>2272</v>
      </c>
      <c r="U53" s="21" t="s">
        <v>2272</v>
      </c>
      <c r="V53" s="71" t="s">
        <v>2272</v>
      </c>
      <c r="W53" s="71" t="s">
        <v>2272</v>
      </c>
      <c r="X53" s="71" t="s">
        <v>2272</v>
      </c>
      <c r="Y53" s="71" t="s">
        <v>2272</v>
      </c>
      <c r="Z53" s="71" t="s">
        <v>2272</v>
      </c>
      <c r="AA53" s="198" t="s">
        <v>74</v>
      </c>
      <c r="AB53" s="198" t="s">
        <v>34</v>
      </c>
      <c r="AC53" s="198" t="s">
        <v>63</v>
      </c>
      <c r="AD53" s="4" t="s">
        <v>5047</v>
      </c>
      <c r="AE53" s="4" t="s">
        <v>2257</v>
      </c>
    </row>
    <row r="54" spans="1:31" ht="69.5" customHeight="1">
      <c r="A54" s="31" t="s">
        <v>282</v>
      </c>
      <c r="B54" s="198" t="s">
        <v>346</v>
      </c>
      <c r="C54" s="198" t="s">
        <v>23</v>
      </c>
      <c r="D54" s="198" t="s">
        <v>2654</v>
      </c>
      <c r="E54" s="4" t="s">
        <v>394</v>
      </c>
      <c r="F54" s="4" t="s">
        <v>27</v>
      </c>
      <c r="G54" s="198" t="s">
        <v>2272</v>
      </c>
      <c r="H54" s="198" t="s">
        <v>521</v>
      </c>
      <c r="I54" s="198"/>
      <c r="J54" s="21" t="s">
        <v>2272</v>
      </c>
      <c r="K54" s="21" t="s">
        <v>2272</v>
      </c>
      <c r="L54" s="21" t="s">
        <v>2272</v>
      </c>
      <c r="M54" s="21" t="s">
        <v>2272</v>
      </c>
      <c r="N54" s="21" t="s">
        <v>2272</v>
      </c>
      <c r="O54" s="21" t="s">
        <v>2272</v>
      </c>
      <c r="P54" s="21" t="s">
        <v>2272</v>
      </c>
      <c r="Q54" s="21" t="s">
        <v>2272</v>
      </c>
      <c r="R54" s="21" t="s">
        <v>2272</v>
      </c>
      <c r="S54" s="21" t="s">
        <v>2272</v>
      </c>
      <c r="T54" s="21" t="s">
        <v>2272</v>
      </c>
      <c r="U54" s="21" t="s">
        <v>2272</v>
      </c>
      <c r="V54" s="71" t="s">
        <v>2272</v>
      </c>
      <c r="W54" s="71" t="s">
        <v>2272</v>
      </c>
      <c r="X54" s="71" t="s">
        <v>2272</v>
      </c>
      <c r="Y54" s="71" t="s">
        <v>2272</v>
      </c>
      <c r="Z54" s="71" t="s">
        <v>2272</v>
      </c>
      <c r="AA54" s="198" t="s">
        <v>74</v>
      </c>
      <c r="AB54" s="198" t="s">
        <v>34</v>
      </c>
      <c r="AC54" s="198" t="s">
        <v>63</v>
      </c>
      <c r="AD54" s="4" t="s">
        <v>5047</v>
      </c>
      <c r="AE54" s="4" t="s">
        <v>2257</v>
      </c>
    </row>
    <row r="55" spans="1:31" ht="69.5" customHeight="1">
      <c r="A55" s="31" t="s">
        <v>283</v>
      </c>
      <c r="B55" s="198" t="s">
        <v>347</v>
      </c>
      <c r="C55" s="198" t="s">
        <v>23</v>
      </c>
      <c r="D55" s="198" t="s">
        <v>2654</v>
      </c>
      <c r="E55" s="4" t="s">
        <v>394</v>
      </c>
      <c r="F55" s="4" t="s">
        <v>27</v>
      </c>
      <c r="G55" s="198" t="s">
        <v>2272</v>
      </c>
      <c r="H55" s="198" t="s">
        <v>521</v>
      </c>
      <c r="I55" s="198"/>
      <c r="J55" s="21" t="s">
        <v>2272</v>
      </c>
      <c r="K55" s="21" t="s">
        <v>2272</v>
      </c>
      <c r="L55" s="21" t="s">
        <v>2272</v>
      </c>
      <c r="M55" s="21" t="s">
        <v>2272</v>
      </c>
      <c r="N55" s="21" t="s">
        <v>2272</v>
      </c>
      <c r="O55" s="21" t="s">
        <v>2272</v>
      </c>
      <c r="P55" s="21" t="s">
        <v>2272</v>
      </c>
      <c r="Q55" s="21" t="s">
        <v>2272</v>
      </c>
      <c r="R55" s="21" t="s">
        <v>2272</v>
      </c>
      <c r="S55" s="21" t="s">
        <v>2272</v>
      </c>
      <c r="T55" s="21" t="s">
        <v>2272</v>
      </c>
      <c r="U55" s="21" t="s">
        <v>2272</v>
      </c>
      <c r="V55" s="71" t="s">
        <v>2272</v>
      </c>
      <c r="W55" s="71" t="s">
        <v>2272</v>
      </c>
      <c r="X55" s="71" t="s">
        <v>2272</v>
      </c>
      <c r="Y55" s="71" t="s">
        <v>2272</v>
      </c>
      <c r="Z55" s="71" t="s">
        <v>2272</v>
      </c>
      <c r="AA55" s="198" t="s">
        <v>74</v>
      </c>
      <c r="AB55" s="198" t="s">
        <v>34</v>
      </c>
      <c r="AC55" s="198" t="s">
        <v>63</v>
      </c>
      <c r="AD55" s="4" t="s">
        <v>5047</v>
      </c>
      <c r="AE55" s="4" t="s">
        <v>2257</v>
      </c>
    </row>
    <row r="56" spans="1:31" ht="69.5" customHeight="1">
      <c r="A56" s="31" t="s">
        <v>284</v>
      </c>
      <c r="B56" s="198" t="s">
        <v>348</v>
      </c>
      <c r="C56" s="198" t="s">
        <v>23</v>
      </c>
      <c r="D56" s="198" t="s">
        <v>2654</v>
      </c>
      <c r="E56" s="4" t="s">
        <v>394</v>
      </c>
      <c r="F56" s="4" t="s">
        <v>27</v>
      </c>
      <c r="G56" s="198" t="s">
        <v>2272</v>
      </c>
      <c r="H56" s="198" t="s">
        <v>521</v>
      </c>
      <c r="I56" s="198"/>
      <c r="J56" s="21" t="s">
        <v>2272</v>
      </c>
      <c r="K56" s="21" t="s">
        <v>2272</v>
      </c>
      <c r="L56" s="21" t="s">
        <v>2272</v>
      </c>
      <c r="M56" s="21" t="s">
        <v>2272</v>
      </c>
      <c r="N56" s="21" t="s">
        <v>2272</v>
      </c>
      <c r="O56" s="21" t="s">
        <v>2272</v>
      </c>
      <c r="P56" s="21" t="s">
        <v>2272</v>
      </c>
      <c r="Q56" s="21" t="s">
        <v>2272</v>
      </c>
      <c r="R56" s="21" t="s">
        <v>2272</v>
      </c>
      <c r="S56" s="21" t="s">
        <v>2272</v>
      </c>
      <c r="T56" s="21" t="s">
        <v>2272</v>
      </c>
      <c r="U56" s="21" t="s">
        <v>2272</v>
      </c>
      <c r="V56" s="71" t="s">
        <v>2272</v>
      </c>
      <c r="W56" s="71" t="s">
        <v>2272</v>
      </c>
      <c r="X56" s="71" t="s">
        <v>2272</v>
      </c>
      <c r="Y56" s="71" t="s">
        <v>2272</v>
      </c>
      <c r="Z56" s="71" t="s">
        <v>2272</v>
      </c>
      <c r="AA56" s="198" t="s">
        <v>74</v>
      </c>
      <c r="AB56" s="198" t="s">
        <v>34</v>
      </c>
      <c r="AC56" s="198" t="s">
        <v>63</v>
      </c>
      <c r="AD56" s="4" t="s">
        <v>5047</v>
      </c>
      <c r="AE56" s="4" t="s">
        <v>2257</v>
      </c>
    </row>
    <row r="57" spans="1:31" ht="69.5" customHeight="1">
      <c r="A57" s="31" t="s">
        <v>285</v>
      </c>
      <c r="B57" s="198" t="s">
        <v>349</v>
      </c>
      <c r="C57" s="198" t="s">
        <v>23</v>
      </c>
      <c r="D57" s="198" t="s">
        <v>2654</v>
      </c>
      <c r="E57" s="4" t="s">
        <v>394</v>
      </c>
      <c r="F57" s="4" t="s">
        <v>27</v>
      </c>
      <c r="G57" s="198" t="s">
        <v>2272</v>
      </c>
      <c r="H57" s="198" t="s">
        <v>521</v>
      </c>
      <c r="I57" s="198"/>
      <c r="J57" s="21" t="s">
        <v>2272</v>
      </c>
      <c r="K57" s="21" t="s">
        <v>2272</v>
      </c>
      <c r="L57" s="21" t="s">
        <v>2272</v>
      </c>
      <c r="M57" s="21" t="s">
        <v>2272</v>
      </c>
      <c r="N57" s="21" t="s">
        <v>2272</v>
      </c>
      <c r="O57" s="21" t="s">
        <v>2272</v>
      </c>
      <c r="P57" s="21" t="s">
        <v>2272</v>
      </c>
      <c r="Q57" s="21" t="s">
        <v>2272</v>
      </c>
      <c r="R57" s="21" t="s">
        <v>2272</v>
      </c>
      <c r="S57" s="21" t="s">
        <v>2272</v>
      </c>
      <c r="T57" s="21" t="s">
        <v>2272</v>
      </c>
      <c r="U57" s="21" t="s">
        <v>2272</v>
      </c>
      <c r="V57" s="71" t="s">
        <v>2272</v>
      </c>
      <c r="W57" s="71" t="s">
        <v>2272</v>
      </c>
      <c r="X57" s="71" t="s">
        <v>2272</v>
      </c>
      <c r="Y57" s="71" t="s">
        <v>2272</v>
      </c>
      <c r="Z57" s="71" t="s">
        <v>2272</v>
      </c>
      <c r="AA57" s="198" t="s">
        <v>74</v>
      </c>
      <c r="AB57" s="198" t="s">
        <v>34</v>
      </c>
      <c r="AC57" s="198" t="s">
        <v>63</v>
      </c>
      <c r="AD57" s="4" t="s">
        <v>5047</v>
      </c>
      <c r="AE57" s="4" t="s">
        <v>2257</v>
      </c>
    </row>
    <row r="58" spans="1:31" ht="69.5" customHeight="1">
      <c r="A58" s="31" t="s">
        <v>286</v>
      </c>
      <c r="B58" s="198" t="s">
        <v>350</v>
      </c>
      <c r="C58" s="198" t="s">
        <v>23</v>
      </c>
      <c r="D58" s="198" t="s">
        <v>2654</v>
      </c>
      <c r="E58" s="4" t="s">
        <v>394</v>
      </c>
      <c r="F58" s="4" t="s">
        <v>27</v>
      </c>
      <c r="G58" s="198" t="s">
        <v>2272</v>
      </c>
      <c r="H58" s="198" t="s">
        <v>521</v>
      </c>
      <c r="I58" s="198"/>
      <c r="J58" s="21" t="s">
        <v>2272</v>
      </c>
      <c r="K58" s="21" t="s">
        <v>2272</v>
      </c>
      <c r="L58" s="21" t="s">
        <v>2272</v>
      </c>
      <c r="M58" s="21" t="s">
        <v>2272</v>
      </c>
      <c r="N58" s="21" t="s">
        <v>2272</v>
      </c>
      <c r="O58" s="21" t="s">
        <v>2272</v>
      </c>
      <c r="P58" s="21" t="s">
        <v>2272</v>
      </c>
      <c r="Q58" s="21" t="s">
        <v>2272</v>
      </c>
      <c r="R58" s="21" t="s">
        <v>2272</v>
      </c>
      <c r="S58" s="21" t="s">
        <v>2272</v>
      </c>
      <c r="T58" s="21" t="s">
        <v>2272</v>
      </c>
      <c r="U58" s="21" t="s">
        <v>2272</v>
      </c>
      <c r="V58" s="71" t="s">
        <v>2272</v>
      </c>
      <c r="W58" s="71" t="s">
        <v>2272</v>
      </c>
      <c r="X58" s="71" t="s">
        <v>2272</v>
      </c>
      <c r="Y58" s="71" t="s">
        <v>2272</v>
      </c>
      <c r="Z58" s="71" t="s">
        <v>2272</v>
      </c>
      <c r="AA58" s="198" t="s">
        <v>74</v>
      </c>
      <c r="AB58" s="198" t="s">
        <v>34</v>
      </c>
      <c r="AC58" s="198" t="s">
        <v>63</v>
      </c>
      <c r="AD58" s="4" t="s">
        <v>5047</v>
      </c>
      <c r="AE58" s="4" t="s">
        <v>2257</v>
      </c>
    </row>
    <row r="59" spans="1:31" ht="69.5" customHeight="1">
      <c r="A59" s="31" t="s">
        <v>287</v>
      </c>
      <c r="B59" s="198" t="s">
        <v>351</v>
      </c>
      <c r="C59" s="198" t="s">
        <v>23</v>
      </c>
      <c r="D59" s="198" t="s">
        <v>2654</v>
      </c>
      <c r="E59" s="4" t="s">
        <v>394</v>
      </c>
      <c r="F59" s="4" t="s">
        <v>27</v>
      </c>
      <c r="G59" s="198" t="s">
        <v>2272</v>
      </c>
      <c r="H59" s="198" t="s">
        <v>521</v>
      </c>
      <c r="I59" s="198"/>
      <c r="J59" s="21" t="s">
        <v>2272</v>
      </c>
      <c r="K59" s="21" t="s">
        <v>2272</v>
      </c>
      <c r="L59" s="21" t="s">
        <v>2272</v>
      </c>
      <c r="M59" s="21" t="s">
        <v>2272</v>
      </c>
      <c r="N59" s="21" t="s">
        <v>2272</v>
      </c>
      <c r="O59" s="21" t="s">
        <v>2272</v>
      </c>
      <c r="P59" s="21" t="s">
        <v>2272</v>
      </c>
      <c r="Q59" s="21" t="s">
        <v>2272</v>
      </c>
      <c r="R59" s="21" t="s">
        <v>2272</v>
      </c>
      <c r="S59" s="21" t="s">
        <v>2272</v>
      </c>
      <c r="T59" s="21" t="s">
        <v>2272</v>
      </c>
      <c r="U59" s="21" t="s">
        <v>2272</v>
      </c>
      <c r="V59" s="71" t="s">
        <v>2272</v>
      </c>
      <c r="W59" s="71" t="s">
        <v>2272</v>
      </c>
      <c r="X59" s="71" t="s">
        <v>2272</v>
      </c>
      <c r="Y59" s="71" t="s">
        <v>2272</v>
      </c>
      <c r="Z59" s="71" t="s">
        <v>2272</v>
      </c>
      <c r="AA59" s="198" t="s">
        <v>74</v>
      </c>
      <c r="AB59" s="198" t="s">
        <v>34</v>
      </c>
      <c r="AC59" s="198" t="s">
        <v>63</v>
      </c>
      <c r="AD59" s="4" t="s">
        <v>5047</v>
      </c>
      <c r="AE59" s="4" t="s">
        <v>2257</v>
      </c>
    </row>
    <row r="60" spans="1:31" ht="69.5" customHeight="1">
      <c r="A60" s="31" t="s">
        <v>292</v>
      </c>
      <c r="B60" s="198" t="s">
        <v>352</v>
      </c>
      <c r="C60" s="198" t="s">
        <v>23</v>
      </c>
      <c r="D60" s="198" t="s">
        <v>2654</v>
      </c>
      <c r="E60" s="4" t="s">
        <v>394</v>
      </c>
      <c r="F60" s="4" t="s">
        <v>27</v>
      </c>
      <c r="G60" s="198" t="s">
        <v>2272</v>
      </c>
      <c r="H60" s="198" t="s">
        <v>521</v>
      </c>
      <c r="I60" s="198"/>
      <c r="J60" s="21" t="s">
        <v>2272</v>
      </c>
      <c r="K60" s="21" t="s">
        <v>2272</v>
      </c>
      <c r="L60" s="21" t="s">
        <v>2272</v>
      </c>
      <c r="M60" s="21" t="s">
        <v>2272</v>
      </c>
      <c r="N60" s="21" t="s">
        <v>2272</v>
      </c>
      <c r="O60" s="21" t="s">
        <v>2272</v>
      </c>
      <c r="P60" s="21" t="s">
        <v>2272</v>
      </c>
      <c r="Q60" s="21" t="s">
        <v>2272</v>
      </c>
      <c r="R60" s="21" t="s">
        <v>2272</v>
      </c>
      <c r="S60" s="21" t="s">
        <v>2272</v>
      </c>
      <c r="T60" s="21" t="s">
        <v>2272</v>
      </c>
      <c r="U60" s="21" t="s">
        <v>2272</v>
      </c>
      <c r="V60" s="71" t="s">
        <v>2272</v>
      </c>
      <c r="W60" s="71" t="s">
        <v>2272</v>
      </c>
      <c r="X60" s="71" t="s">
        <v>2272</v>
      </c>
      <c r="Y60" s="71" t="s">
        <v>2272</v>
      </c>
      <c r="Z60" s="71" t="s">
        <v>2272</v>
      </c>
      <c r="AA60" s="198" t="s">
        <v>74</v>
      </c>
      <c r="AB60" s="198" t="s">
        <v>34</v>
      </c>
      <c r="AC60" s="198" t="s">
        <v>63</v>
      </c>
      <c r="AD60" s="4" t="s">
        <v>5047</v>
      </c>
      <c r="AE60" s="4" t="s">
        <v>2257</v>
      </c>
    </row>
    <row r="61" spans="1:31" ht="69.5" customHeight="1">
      <c r="A61" s="31" t="s">
        <v>293</v>
      </c>
      <c r="B61" s="198" t="s">
        <v>353</v>
      </c>
      <c r="C61" s="198" t="s">
        <v>23</v>
      </c>
      <c r="D61" s="198" t="s">
        <v>2654</v>
      </c>
      <c r="E61" s="4" t="s">
        <v>394</v>
      </c>
      <c r="F61" s="4" t="s">
        <v>27</v>
      </c>
      <c r="G61" s="198" t="s">
        <v>2272</v>
      </c>
      <c r="H61" s="198" t="s">
        <v>521</v>
      </c>
      <c r="I61" s="198"/>
      <c r="J61" s="21" t="s">
        <v>2272</v>
      </c>
      <c r="K61" s="21" t="s">
        <v>2272</v>
      </c>
      <c r="L61" s="21" t="s">
        <v>2272</v>
      </c>
      <c r="M61" s="21" t="s">
        <v>2272</v>
      </c>
      <c r="N61" s="21" t="s">
        <v>2272</v>
      </c>
      <c r="O61" s="21" t="s">
        <v>2272</v>
      </c>
      <c r="P61" s="21" t="s">
        <v>2272</v>
      </c>
      <c r="Q61" s="21" t="s">
        <v>2272</v>
      </c>
      <c r="R61" s="21" t="s">
        <v>2272</v>
      </c>
      <c r="S61" s="21" t="s">
        <v>2272</v>
      </c>
      <c r="T61" s="21" t="s">
        <v>2272</v>
      </c>
      <c r="U61" s="21" t="s">
        <v>2272</v>
      </c>
      <c r="V61" s="71" t="s">
        <v>2272</v>
      </c>
      <c r="W61" s="71" t="s">
        <v>2272</v>
      </c>
      <c r="X61" s="71" t="s">
        <v>2272</v>
      </c>
      <c r="Y61" s="71" t="s">
        <v>2272</v>
      </c>
      <c r="Z61" s="71" t="s">
        <v>2272</v>
      </c>
      <c r="AA61" s="198" t="s">
        <v>74</v>
      </c>
      <c r="AB61" s="198" t="s">
        <v>34</v>
      </c>
      <c r="AC61" s="198" t="s">
        <v>63</v>
      </c>
      <c r="AD61" s="4" t="s">
        <v>5047</v>
      </c>
      <c r="AE61" s="4" t="s">
        <v>2257</v>
      </c>
    </row>
    <row r="62" spans="1:31" ht="69.5" customHeight="1">
      <c r="A62" s="31" t="s">
        <v>294</v>
      </c>
      <c r="B62" s="198" t="s">
        <v>354</v>
      </c>
      <c r="C62" s="198" t="s">
        <v>23</v>
      </c>
      <c r="D62" s="198" t="s">
        <v>2654</v>
      </c>
      <c r="E62" s="4" t="s">
        <v>394</v>
      </c>
      <c r="F62" s="4" t="s">
        <v>27</v>
      </c>
      <c r="G62" s="198" t="s">
        <v>2272</v>
      </c>
      <c r="H62" s="198" t="s">
        <v>521</v>
      </c>
      <c r="I62" s="198"/>
      <c r="J62" s="21" t="s">
        <v>2272</v>
      </c>
      <c r="K62" s="21" t="s">
        <v>2272</v>
      </c>
      <c r="L62" s="21" t="s">
        <v>2272</v>
      </c>
      <c r="M62" s="21" t="s">
        <v>2272</v>
      </c>
      <c r="N62" s="21" t="s">
        <v>2272</v>
      </c>
      <c r="O62" s="21" t="s">
        <v>2272</v>
      </c>
      <c r="P62" s="21" t="s">
        <v>2272</v>
      </c>
      <c r="Q62" s="21" t="s">
        <v>2272</v>
      </c>
      <c r="R62" s="21" t="s">
        <v>2272</v>
      </c>
      <c r="S62" s="21" t="s">
        <v>2272</v>
      </c>
      <c r="T62" s="21" t="s">
        <v>2272</v>
      </c>
      <c r="U62" s="21" t="s">
        <v>2272</v>
      </c>
      <c r="V62" s="71" t="s">
        <v>2272</v>
      </c>
      <c r="W62" s="71" t="s">
        <v>2272</v>
      </c>
      <c r="X62" s="71" t="s">
        <v>2272</v>
      </c>
      <c r="Y62" s="71" t="s">
        <v>2272</v>
      </c>
      <c r="Z62" s="71" t="s">
        <v>2272</v>
      </c>
      <c r="AA62" s="198" t="s">
        <v>74</v>
      </c>
      <c r="AB62" s="198" t="s">
        <v>34</v>
      </c>
      <c r="AC62" s="198" t="s">
        <v>63</v>
      </c>
      <c r="AD62" s="4" t="s">
        <v>5047</v>
      </c>
      <c r="AE62" s="4" t="s">
        <v>2257</v>
      </c>
    </row>
    <row r="63" spans="1:31" ht="69.5" customHeight="1">
      <c r="A63" s="31" t="s">
        <v>295</v>
      </c>
      <c r="B63" s="198" t="s">
        <v>355</v>
      </c>
      <c r="C63" s="198" t="s">
        <v>23</v>
      </c>
      <c r="D63" s="198" t="s">
        <v>2654</v>
      </c>
      <c r="E63" s="4" t="s">
        <v>394</v>
      </c>
      <c r="F63" s="4" t="s">
        <v>27</v>
      </c>
      <c r="G63" s="198" t="s">
        <v>2272</v>
      </c>
      <c r="H63" s="198" t="s">
        <v>521</v>
      </c>
      <c r="I63" s="198"/>
      <c r="J63" s="21" t="s">
        <v>2272</v>
      </c>
      <c r="K63" s="21" t="s">
        <v>2272</v>
      </c>
      <c r="L63" s="21" t="s">
        <v>2272</v>
      </c>
      <c r="M63" s="21" t="s">
        <v>2272</v>
      </c>
      <c r="N63" s="21" t="s">
        <v>2272</v>
      </c>
      <c r="O63" s="21" t="s">
        <v>2272</v>
      </c>
      <c r="P63" s="21" t="s">
        <v>2272</v>
      </c>
      <c r="Q63" s="21" t="s">
        <v>2272</v>
      </c>
      <c r="R63" s="21" t="s">
        <v>2272</v>
      </c>
      <c r="S63" s="21" t="s">
        <v>2272</v>
      </c>
      <c r="T63" s="21" t="s">
        <v>2272</v>
      </c>
      <c r="U63" s="21" t="s">
        <v>2272</v>
      </c>
      <c r="V63" s="71" t="s">
        <v>2272</v>
      </c>
      <c r="W63" s="71" t="s">
        <v>2272</v>
      </c>
      <c r="X63" s="71" t="s">
        <v>2272</v>
      </c>
      <c r="Y63" s="71" t="s">
        <v>2272</v>
      </c>
      <c r="Z63" s="71" t="s">
        <v>2272</v>
      </c>
      <c r="AA63" s="198" t="s">
        <v>74</v>
      </c>
      <c r="AB63" s="198" t="s">
        <v>34</v>
      </c>
      <c r="AC63" s="198" t="s">
        <v>63</v>
      </c>
      <c r="AD63" s="4" t="s">
        <v>5047</v>
      </c>
      <c r="AE63" s="4" t="s">
        <v>2257</v>
      </c>
    </row>
    <row r="64" spans="1:31" ht="69.5" customHeight="1">
      <c r="A64" s="31" t="s">
        <v>296</v>
      </c>
      <c r="B64" s="198" t="s">
        <v>356</v>
      </c>
      <c r="C64" s="198" t="s">
        <v>23</v>
      </c>
      <c r="D64" s="198" t="s">
        <v>2654</v>
      </c>
      <c r="E64" s="4" t="s">
        <v>394</v>
      </c>
      <c r="F64" s="4" t="s">
        <v>27</v>
      </c>
      <c r="G64" s="198" t="s">
        <v>2272</v>
      </c>
      <c r="H64" s="198" t="s">
        <v>521</v>
      </c>
      <c r="I64" s="198"/>
      <c r="J64" s="21" t="s">
        <v>2272</v>
      </c>
      <c r="K64" s="21" t="s">
        <v>2272</v>
      </c>
      <c r="L64" s="21" t="s">
        <v>2272</v>
      </c>
      <c r="M64" s="21" t="s">
        <v>2272</v>
      </c>
      <c r="N64" s="21" t="s">
        <v>2272</v>
      </c>
      <c r="O64" s="21" t="s">
        <v>2272</v>
      </c>
      <c r="P64" s="21" t="s">
        <v>2272</v>
      </c>
      <c r="Q64" s="21" t="s">
        <v>2272</v>
      </c>
      <c r="R64" s="21" t="s">
        <v>2272</v>
      </c>
      <c r="S64" s="21" t="s">
        <v>2272</v>
      </c>
      <c r="T64" s="21" t="s">
        <v>2272</v>
      </c>
      <c r="U64" s="21" t="s">
        <v>2272</v>
      </c>
      <c r="V64" s="71" t="s">
        <v>2272</v>
      </c>
      <c r="W64" s="71" t="s">
        <v>2272</v>
      </c>
      <c r="X64" s="71" t="s">
        <v>2272</v>
      </c>
      <c r="Y64" s="71" t="s">
        <v>2272</v>
      </c>
      <c r="Z64" s="71" t="s">
        <v>2272</v>
      </c>
      <c r="AA64" s="198" t="s">
        <v>74</v>
      </c>
      <c r="AB64" s="198" t="s">
        <v>34</v>
      </c>
      <c r="AC64" s="198" t="s">
        <v>63</v>
      </c>
      <c r="AD64" s="4" t="s">
        <v>5047</v>
      </c>
      <c r="AE64" s="4" t="s">
        <v>2257</v>
      </c>
    </row>
    <row r="65" spans="1:31" ht="69.5" customHeight="1">
      <c r="A65" s="31" t="s">
        <v>297</v>
      </c>
      <c r="B65" s="198" t="s">
        <v>357</v>
      </c>
      <c r="C65" s="198" t="s">
        <v>23</v>
      </c>
      <c r="D65" s="198" t="s">
        <v>2654</v>
      </c>
      <c r="E65" s="4" t="s">
        <v>394</v>
      </c>
      <c r="F65" s="4" t="s">
        <v>27</v>
      </c>
      <c r="G65" s="198" t="s">
        <v>2272</v>
      </c>
      <c r="H65" s="198" t="s">
        <v>521</v>
      </c>
      <c r="I65" s="198"/>
      <c r="J65" s="21" t="s">
        <v>2272</v>
      </c>
      <c r="K65" s="21" t="s">
        <v>2272</v>
      </c>
      <c r="L65" s="21" t="s">
        <v>2272</v>
      </c>
      <c r="M65" s="21" t="s">
        <v>2272</v>
      </c>
      <c r="N65" s="21" t="s">
        <v>2272</v>
      </c>
      <c r="O65" s="21" t="s">
        <v>2272</v>
      </c>
      <c r="P65" s="21" t="s">
        <v>2272</v>
      </c>
      <c r="Q65" s="21" t="s">
        <v>2272</v>
      </c>
      <c r="R65" s="21" t="s">
        <v>2272</v>
      </c>
      <c r="S65" s="21" t="s">
        <v>2272</v>
      </c>
      <c r="T65" s="21" t="s">
        <v>2272</v>
      </c>
      <c r="U65" s="21" t="s">
        <v>2272</v>
      </c>
      <c r="V65" s="71" t="s">
        <v>2272</v>
      </c>
      <c r="W65" s="71" t="s">
        <v>2272</v>
      </c>
      <c r="X65" s="71" t="s">
        <v>2272</v>
      </c>
      <c r="Y65" s="71" t="s">
        <v>2272</v>
      </c>
      <c r="Z65" s="71" t="s">
        <v>2272</v>
      </c>
      <c r="AA65" s="198" t="s">
        <v>74</v>
      </c>
      <c r="AB65" s="198" t="s">
        <v>34</v>
      </c>
      <c r="AC65" s="198" t="s">
        <v>63</v>
      </c>
      <c r="AD65" s="4" t="s">
        <v>5047</v>
      </c>
      <c r="AE65" s="4" t="s">
        <v>2257</v>
      </c>
    </row>
    <row r="66" spans="1:31" ht="69.5" customHeight="1">
      <c r="A66" s="31" t="s">
        <v>298</v>
      </c>
      <c r="B66" s="198" t="s">
        <v>358</v>
      </c>
      <c r="C66" s="198" t="s">
        <v>23</v>
      </c>
      <c r="D66" s="198" t="s">
        <v>2654</v>
      </c>
      <c r="E66" s="4" t="s">
        <v>394</v>
      </c>
      <c r="F66" s="4" t="s">
        <v>27</v>
      </c>
      <c r="G66" s="198" t="s">
        <v>2272</v>
      </c>
      <c r="H66" s="198" t="s">
        <v>521</v>
      </c>
      <c r="I66" s="198"/>
      <c r="J66" s="21" t="s">
        <v>2272</v>
      </c>
      <c r="K66" s="21" t="s">
        <v>2272</v>
      </c>
      <c r="L66" s="21" t="s">
        <v>2272</v>
      </c>
      <c r="M66" s="21" t="s">
        <v>2272</v>
      </c>
      <c r="N66" s="21" t="s">
        <v>2272</v>
      </c>
      <c r="O66" s="21" t="s">
        <v>2272</v>
      </c>
      <c r="P66" s="21" t="s">
        <v>2272</v>
      </c>
      <c r="Q66" s="21" t="s">
        <v>2272</v>
      </c>
      <c r="R66" s="21" t="s">
        <v>2272</v>
      </c>
      <c r="S66" s="21" t="s">
        <v>2272</v>
      </c>
      <c r="T66" s="21" t="s">
        <v>2272</v>
      </c>
      <c r="U66" s="21" t="s">
        <v>2272</v>
      </c>
      <c r="V66" s="71" t="s">
        <v>2272</v>
      </c>
      <c r="W66" s="71" t="s">
        <v>2272</v>
      </c>
      <c r="X66" s="71" t="s">
        <v>2272</v>
      </c>
      <c r="Y66" s="71" t="s">
        <v>2272</v>
      </c>
      <c r="Z66" s="71" t="s">
        <v>2272</v>
      </c>
      <c r="AA66" s="198" t="s">
        <v>74</v>
      </c>
      <c r="AB66" s="198" t="s">
        <v>34</v>
      </c>
      <c r="AC66" s="198" t="s">
        <v>63</v>
      </c>
      <c r="AD66" s="4" t="s">
        <v>5047</v>
      </c>
      <c r="AE66" s="4" t="s">
        <v>2257</v>
      </c>
    </row>
    <row r="67" spans="1:31" ht="69.5" customHeight="1">
      <c r="A67" s="31" t="s">
        <v>299</v>
      </c>
      <c r="B67" s="198" t="s">
        <v>359</v>
      </c>
      <c r="C67" s="198" t="s">
        <v>23</v>
      </c>
      <c r="D67" s="198" t="s">
        <v>2654</v>
      </c>
      <c r="E67" s="4" t="s">
        <v>394</v>
      </c>
      <c r="F67" s="4" t="s">
        <v>27</v>
      </c>
      <c r="G67" s="198" t="s">
        <v>2272</v>
      </c>
      <c r="H67" s="198" t="s">
        <v>521</v>
      </c>
      <c r="I67" s="198"/>
      <c r="J67" s="21" t="s">
        <v>2272</v>
      </c>
      <c r="K67" s="21" t="s">
        <v>2272</v>
      </c>
      <c r="L67" s="21" t="s">
        <v>2272</v>
      </c>
      <c r="M67" s="21" t="s">
        <v>2272</v>
      </c>
      <c r="N67" s="21" t="s">
        <v>2272</v>
      </c>
      <c r="O67" s="21" t="s">
        <v>2272</v>
      </c>
      <c r="P67" s="21" t="s">
        <v>2272</v>
      </c>
      <c r="Q67" s="21" t="s">
        <v>2272</v>
      </c>
      <c r="R67" s="21" t="s">
        <v>2272</v>
      </c>
      <c r="S67" s="21" t="s">
        <v>2272</v>
      </c>
      <c r="T67" s="21" t="s">
        <v>2272</v>
      </c>
      <c r="U67" s="21" t="s">
        <v>2272</v>
      </c>
      <c r="V67" s="71" t="s">
        <v>2272</v>
      </c>
      <c r="W67" s="71" t="s">
        <v>2272</v>
      </c>
      <c r="X67" s="71" t="s">
        <v>2272</v>
      </c>
      <c r="Y67" s="71" t="s">
        <v>2272</v>
      </c>
      <c r="Z67" s="71" t="s">
        <v>2272</v>
      </c>
      <c r="AA67" s="198" t="s">
        <v>74</v>
      </c>
      <c r="AB67" s="198" t="s">
        <v>34</v>
      </c>
      <c r="AC67" s="198" t="s">
        <v>63</v>
      </c>
      <c r="AD67" s="4" t="s">
        <v>5047</v>
      </c>
      <c r="AE67" s="4" t="s">
        <v>2257</v>
      </c>
    </row>
    <row r="68" spans="1:31" ht="69.5" customHeight="1">
      <c r="A68" s="31" t="s">
        <v>300</v>
      </c>
      <c r="B68" s="198" t="s">
        <v>360</v>
      </c>
      <c r="C68" s="198" t="s">
        <v>23</v>
      </c>
      <c r="D68" s="198" t="s">
        <v>2654</v>
      </c>
      <c r="E68" s="4" t="s">
        <v>394</v>
      </c>
      <c r="F68" s="4" t="s">
        <v>27</v>
      </c>
      <c r="G68" s="198" t="s">
        <v>2272</v>
      </c>
      <c r="H68" s="198" t="s">
        <v>521</v>
      </c>
      <c r="I68" s="198"/>
      <c r="J68" s="21" t="s">
        <v>2272</v>
      </c>
      <c r="K68" s="21" t="s">
        <v>2272</v>
      </c>
      <c r="L68" s="21" t="s">
        <v>2272</v>
      </c>
      <c r="M68" s="21" t="s">
        <v>2272</v>
      </c>
      <c r="N68" s="21" t="s">
        <v>2272</v>
      </c>
      <c r="O68" s="21" t="s">
        <v>2272</v>
      </c>
      <c r="P68" s="21" t="s">
        <v>2272</v>
      </c>
      <c r="Q68" s="21" t="s">
        <v>2272</v>
      </c>
      <c r="R68" s="21" t="s">
        <v>2272</v>
      </c>
      <c r="S68" s="21" t="s">
        <v>2272</v>
      </c>
      <c r="T68" s="21" t="s">
        <v>2272</v>
      </c>
      <c r="U68" s="21" t="s">
        <v>2272</v>
      </c>
      <c r="V68" s="71" t="s">
        <v>2272</v>
      </c>
      <c r="W68" s="71" t="s">
        <v>2272</v>
      </c>
      <c r="X68" s="71" t="s">
        <v>2272</v>
      </c>
      <c r="Y68" s="71" t="s">
        <v>2272</v>
      </c>
      <c r="Z68" s="71" t="s">
        <v>2272</v>
      </c>
      <c r="AA68" s="198" t="s">
        <v>74</v>
      </c>
      <c r="AB68" s="198" t="s">
        <v>34</v>
      </c>
      <c r="AC68" s="198" t="s">
        <v>63</v>
      </c>
      <c r="AD68" s="4" t="s">
        <v>5047</v>
      </c>
      <c r="AE68" s="4" t="s">
        <v>2257</v>
      </c>
    </row>
    <row r="69" spans="1:31" ht="69.5" customHeight="1">
      <c r="A69" s="31" t="s">
        <v>301</v>
      </c>
      <c r="B69" s="198" t="s">
        <v>361</v>
      </c>
      <c r="C69" s="198" t="s">
        <v>23</v>
      </c>
      <c r="D69" s="198" t="s">
        <v>2654</v>
      </c>
      <c r="E69" s="4" t="s">
        <v>394</v>
      </c>
      <c r="F69" s="4" t="s">
        <v>27</v>
      </c>
      <c r="G69" s="198" t="s">
        <v>2272</v>
      </c>
      <c r="H69" s="198" t="s">
        <v>521</v>
      </c>
      <c r="I69" s="198"/>
      <c r="J69" s="21" t="s">
        <v>2272</v>
      </c>
      <c r="K69" s="21" t="s">
        <v>2272</v>
      </c>
      <c r="L69" s="21" t="s">
        <v>2272</v>
      </c>
      <c r="M69" s="21" t="s">
        <v>2272</v>
      </c>
      <c r="N69" s="21" t="s">
        <v>2272</v>
      </c>
      <c r="O69" s="21" t="s">
        <v>2272</v>
      </c>
      <c r="P69" s="21" t="s">
        <v>2272</v>
      </c>
      <c r="Q69" s="21" t="s">
        <v>2272</v>
      </c>
      <c r="R69" s="21" t="s">
        <v>2272</v>
      </c>
      <c r="S69" s="21" t="s">
        <v>2272</v>
      </c>
      <c r="T69" s="21" t="s">
        <v>2272</v>
      </c>
      <c r="U69" s="21" t="s">
        <v>2272</v>
      </c>
      <c r="V69" s="71" t="s">
        <v>2272</v>
      </c>
      <c r="W69" s="71" t="s">
        <v>2272</v>
      </c>
      <c r="X69" s="71" t="s">
        <v>2272</v>
      </c>
      <c r="Y69" s="71" t="s">
        <v>2272</v>
      </c>
      <c r="Z69" s="71" t="s">
        <v>2272</v>
      </c>
      <c r="AA69" s="198" t="s">
        <v>74</v>
      </c>
      <c r="AB69" s="198" t="s">
        <v>34</v>
      </c>
      <c r="AC69" s="198" t="s">
        <v>63</v>
      </c>
      <c r="AD69" s="4" t="s">
        <v>5047</v>
      </c>
      <c r="AE69" s="4" t="s">
        <v>2257</v>
      </c>
    </row>
    <row r="70" spans="1:31" ht="69.5" customHeight="1">
      <c r="A70" s="31" t="s">
        <v>302</v>
      </c>
      <c r="B70" s="198" t="s">
        <v>362</v>
      </c>
      <c r="C70" s="198" t="s">
        <v>23</v>
      </c>
      <c r="D70" s="198" t="s">
        <v>2654</v>
      </c>
      <c r="E70" s="4" t="s">
        <v>394</v>
      </c>
      <c r="F70" s="4" t="s">
        <v>27</v>
      </c>
      <c r="G70" s="198" t="s">
        <v>2272</v>
      </c>
      <c r="H70" s="198" t="s">
        <v>521</v>
      </c>
      <c r="I70" s="198"/>
      <c r="J70" s="21" t="s">
        <v>2272</v>
      </c>
      <c r="K70" s="21" t="s">
        <v>2272</v>
      </c>
      <c r="L70" s="21" t="s">
        <v>2272</v>
      </c>
      <c r="M70" s="21" t="s">
        <v>2272</v>
      </c>
      <c r="N70" s="21" t="s">
        <v>2272</v>
      </c>
      <c r="O70" s="21" t="s">
        <v>2272</v>
      </c>
      <c r="P70" s="21" t="s">
        <v>2272</v>
      </c>
      <c r="Q70" s="21" t="s">
        <v>2272</v>
      </c>
      <c r="R70" s="21" t="s">
        <v>2272</v>
      </c>
      <c r="S70" s="21" t="s">
        <v>2272</v>
      </c>
      <c r="T70" s="21" t="s">
        <v>2272</v>
      </c>
      <c r="U70" s="21" t="s">
        <v>2272</v>
      </c>
      <c r="V70" s="71" t="s">
        <v>2272</v>
      </c>
      <c r="W70" s="71" t="s">
        <v>2272</v>
      </c>
      <c r="X70" s="71" t="s">
        <v>2272</v>
      </c>
      <c r="Y70" s="71" t="s">
        <v>2272</v>
      </c>
      <c r="Z70" s="71" t="s">
        <v>2272</v>
      </c>
      <c r="AA70" s="198" t="s">
        <v>74</v>
      </c>
      <c r="AB70" s="198" t="s">
        <v>34</v>
      </c>
      <c r="AC70" s="198" t="s">
        <v>63</v>
      </c>
      <c r="AD70" s="4" t="s">
        <v>5047</v>
      </c>
      <c r="AE70" s="4" t="s">
        <v>2257</v>
      </c>
    </row>
    <row r="71" spans="1:31" ht="69.5" customHeight="1">
      <c r="A71" s="31" t="s">
        <v>303</v>
      </c>
      <c r="B71" s="198" t="s">
        <v>363</v>
      </c>
      <c r="C71" s="198" t="s">
        <v>23</v>
      </c>
      <c r="D71" s="198" t="s">
        <v>2654</v>
      </c>
      <c r="E71" s="4" t="s">
        <v>394</v>
      </c>
      <c r="F71" s="4" t="s">
        <v>27</v>
      </c>
      <c r="G71" s="198" t="s">
        <v>2272</v>
      </c>
      <c r="H71" s="198" t="s">
        <v>521</v>
      </c>
      <c r="I71" s="198"/>
      <c r="J71" s="21" t="s">
        <v>2272</v>
      </c>
      <c r="K71" s="21" t="s">
        <v>2272</v>
      </c>
      <c r="L71" s="21" t="s">
        <v>2272</v>
      </c>
      <c r="M71" s="21" t="s">
        <v>2272</v>
      </c>
      <c r="N71" s="21" t="s">
        <v>2272</v>
      </c>
      <c r="O71" s="21" t="s">
        <v>2272</v>
      </c>
      <c r="P71" s="21" t="s">
        <v>2272</v>
      </c>
      <c r="Q71" s="21" t="s">
        <v>2272</v>
      </c>
      <c r="R71" s="21" t="s">
        <v>2272</v>
      </c>
      <c r="S71" s="21" t="s">
        <v>2272</v>
      </c>
      <c r="T71" s="21" t="s">
        <v>2272</v>
      </c>
      <c r="U71" s="21" t="s">
        <v>2272</v>
      </c>
      <c r="V71" s="71" t="s">
        <v>2272</v>
      </c>
      <c r="W71" s="71" t="s">
        <v>2272</v>
      </c>
      <c r="X71" s="71" t="s">
        <v>2272</v>
      </c>
      <c r="Y71" s="71" t="s">
        <v>2272</v>
      </c>
      <c r="Z71" s="71" t="s">
        <v>2272</v>
      </c>
      <c r="AA71" s="198" t="s">
        <v>74</v>
      </c>
      <c r="AB71" s="198" t="s">
        <v>34</v>
      </c>
      <c r="AC71" s="198" t="s">
        <v>63</v>
      </c>
      <c r="AD71" s="4" t="s">
        <v>5047</v>
      </c>
      <c r="AE71" s="4" t="s">
        <v>2257</v>
      </c>
    </row>
    <row r="72" spans="1:31" ht="69.5" customHeight="1">
      <c r="A72" s="31" t="s">
        <v>304</v>
      </c>
      <c r="B72" s="198" t="s">
        <v>364</v>
      </c>
      <c r="C72" s="198" t="s">
        <v>23</v>
      </c>
      <c r="D72" s="198" t="s">
        <v>2654</v>
      </c>
      <c r="E72" s="4" t="s">
        <v>394</v>
      </c>
      <c r="F72" s="4" t="s">
        <v>27</v>
      </c>
      <c r="G72" s="198" t="s">
        <v>2272</v>
      </c>
      <c r="H72" s="198" t="s">
        <v>521</v>
      </c>
      <c r="I72" s="198"/>
      <c r="J72" s="21" t="s">
        <v>2272</v>
      </c>
      <c r="K72" s="21" t="s">
        <v>2272</v>
      </c>
      <c r="L72" s="21" t="s">
        <v>2272</v>
      </c>
      <c r="M72" s="21" t="s">
        <v>2272</v>
      </c>
      <c r="N72" s="21" t="s">
        <v>2272</v>
      </c>
      <c r="O72" s="21" t="s">
        <v>2272</v>
      </c>
      <c r="P72" s="21" t="s">
        <v>2272</v>
      </c>
      <c r="Q72" s="21" t="s">
        <v>2272</v>
      </c>
      <c r="R72" s="21" t="s">
        <v>2272</v>
      </c>
      <c r="S72" s="21" t="s">
        <v>2272</v>
      </c>
      <c r="T72" s="21" t="s">
        <v>2272</v>
      </c>
      <c r="U72" s="21" t="s">
        <v>2272</v>
      </c>
      <c r="V72" s="71" t="s">
        <v>2272</v>
      </c>
      <c r="W72" s="71" t="s">
        <v>2272</v>
      </c>
      <c r="X72" s="71" t="s">
        <v>2272</v>
      </c>
      <c r="Y72" s="71" t="s">
        <v>2272</v>
      </c>
      <c r="Z72" s="71" t="s">
        <v>2272</v>
      </c>
      <c r="AA72" s="198" t="s">
        <v>74</v>
      </c>
      <c r="AB72" s="198" t="s">
        <v>34</v>
      </c>
      <c r="AC72" s="198" t="s">
        <v>63</v>
      </c>
      <c r="AD72" s="4" t="s">
        <v>5047</v>
      </c>
      <c r="AE72" s="4" t="s">
        <v>2257</v>
      </c>
    </row>
    <row r="73" spans="1:31" ht="69.5" customHeight="1">
      <c r="A73" s="31" t="s">
        <v>305</v>
      </c>
      <c r="B73" s="198" t="s">
        <v>365</v>
      </c>
      <c r="C73" s="198" t="s">
        <v>23</v>
      </c>
      <c r="D73" s="198" t="s">
        <v>2654</v>
      </c>
      <c r="E73" s="4" t="s">
        <v>394</v>
      </c>
      <c r="F73" s="4" t="s">
        <v>27</v>
      </c>
      <c r="G73" s="198" t="s">
        <v>2272</v>
      </c>
      <c r="H73" s="198" t="s">
        <v>521</v>
      </c>
      <c r="I73" s="198"/>
      <c r="J73" s="21" t="s">
        <v>2272</v>
      </c>
      <c r="K73" s="21" t="s">
        <v>2272</v>
      </c>
      <c r="L73" s="21" t="s">
        <v>2272</v>
      </c>
      <c r="M73" s="21" t="s">
        <v>2272</v>
      </c>
      <c r="N73" s="21" t="s">
        <v>2272</v>
      </c>
      <c r="O73" s="21" t="s">
        <v>2272</v>
      </c>
      <c r="P73" s="21" t="s">
        <v>2272</v>
      </c>
      <c r="Q73" s="21" t="s">
        <v>2272</v>
      </c>
      <c r="R73" s="21" t="s">
        <v>2272</v>
      </c>
      <c r="S73" s="21" t="s">
        <v>2272</v>
      </c>
      <c r="T73" s="21" t="s">
        <v>2272</v>
      </c>
      <c r="U73" s="21" t="s">
        <v>2272</v>
      </c>
      <c r="V73" s="71" t="s">
        <v>2272</v>
      </c>
      <c r="W73" s="71" t="s">
        <v>2272</v>
      </c>
      <c r="X73" s="71" t="s">
        <v>2272</v>
      </c>
      <c r="Y73" s="71" t="s">
        <v>2272</v>
      </c>
      <c r="Z73" s="71" t="s">
        <v>2272</v>
      </c>
      <c r="AA73" s="198" t="s">
        <v>74</v>
      </c>
      <c r="AB73" s="198" t="s">
        <v>34</v>
      </c>
      <c r="AC73" s="198" t="s">
        <v>63</v>
      </c>
      <c r="AD73" s="4" t="s">
        <v>5047</v>
      </c>
      <c r="AE73" s="4" t="s">
        <v>2257</v>
      </c>
    </row>
    <row r="74" spans="1:31" ht="69.5" customHeight="1">
      <c r="A74" s="31" t="s">
        <v>306</v>
      </c>
      <c r="B74" s="198" t="s">
        <v>366</v>
      </c>
      <c r="C74" s="198" t="s">
        <v>23</v>
      </c>
      <c r="D74" s="198" t="s">
        <v>2654</v>
      </c>
      <c r="E74" s="4" t="s">
        <v>394</v>
      </c>
      <c r="F74" s="4" t="s">
        <v>27</v>
      </c>
      <c r="G74" s="198" t="s">
        <v>2272</v>
      </c>
      <c r="H74" s="198" t="s">
        <v>521</v>
      </c>
      <c r="I74" s="198"/>
      <c r="J74" s="21" t="s">
        <v>2272</v>
      </c>
      <c r="K74" s="21" t="s">
        <v>2272</v>
      </c>
      <c r="L74" s="21" t="s">
        <v>2272</v>
      </c>
      <c r="M74" s="21" t="s">
        <v>2272</v>
      </c>
      <c r="N74" s="21" t="s">
        <v>2272</v>
      </c>
      <c r="O74" s="21" t="s">
        <v>2272</v>
      </c>
      <c r="P74" s="21" t="s">
        <v>2272</v>
      </c>
      <c r="Q74" s="21" t="s">
        <v>2272</v>
      </c>
      <c r="R74" s="21" t="s">
        <v>2272</v>
      </c>
      <c r="S74" s="21" t="s">
        <v>2272</v>
      </c>
      <c r="T74" s="21" t="s">
        <v>2272</v>
      </c>
      <c r="U74" s="21" t="s">
        <v>2272</v>
      </c>
      <c r="V74" s="71" t="s">
        <v>2272</v>
      </c>
      <c r="W74" s="71" t="s">
        <v>2272</v>
      </c>
      <c r="X74" s="71" t="s">
        <v>2272</v>
      </c>
      <c r="Y74" s="71" t="s">
        <v>2272</v>
      </c>
      <c r="Z74" s="71" t="s">
        <v>2272</v>
      </c>
      <c r="AA74" s="198" t="s">
        <v>74</v>
      </c>
      <c r="AB74" s="198" t="s">
        <v>34</v>
      </c>
      <c r="AC74" s="198" t="s">
        <v>63</v>
      </c>
      <c r="AD74" s="4" t="s">
        <v>5047</v>
      </c>
      <c r="AE74" s="4" t="s">
        <v>2257</v>
      </c>
    </row>
    <row r="75" spans="1:31" ht="69.5" customHeight="1">
      <c r="A75" s="31" t="s">
        <v>307</v>
      </c>
      <c r="B75" s="198" t="s">
        <v>367</v>
      </c>
      <c r="C75" s="198" t="s">
        <v>23</v>
      </c>
      <c r="D75" s="198" t="s">
        <v>2654</v>
      </c>
      <c r="E75" s="4" t="s">
        <v>394</v>
      </c>
      <c r="F75" s="4" t="s">
        <v>27</v>
      </c>
      <c r="G75" s="198" t="s">
        <v>2272</v>
      </c>
      <c r="H75" s="198" t="s">
        <v>521</v>
      </c>
      <c r="I75" s="198"/>
      <c r="J75" s="21" t="s">
        <v>2272</v>
      </c>
      <c r="K75" s="21" t="s">
        <v>2272</v>
      </c>
      <c r="L75" s="21" t="s">
        <v>2272</v>
      </c>
      <c r="M75" s="21" t="s">
        <v>2272</v>
      </c>
      <c r="N75" s="21" t="s">
        <v>2272</v>
      </c>
      <c r="O75" s="21" t="s">
        <v>2272</v>
      </c>
      <c r="P75" s="21" t="s">
        <v>2272</v>
      </c>
      <c r="Q75" s="21" t="s">
        <v>2272</v>
      </c>
      <c r="R75" s="21" t="s">
        <v>2272</v>
      </c>
      <c r="S75" s="21" t="s">
        <v>2272</v>
      </c>
      <c r="T75" s="21" t="s">
        <v>2272</v>
      </c>
      <c r="U75" s="21" t="s">
        <v>2272</v>
      </c>
      <c r="V75" s="71" t="s">
        <v>2272</v>
      </c>
      <c r="W75" s="71" t="s">
        <v>2272</v>
      </c>
      <c r="X75" s="71" t="s">
        <v>2272</v>
      </c>
      <c r="Y75" s="71" t="s">
        <v>2272</v>
      </c>
      <c r="Z75" s="71" t="s">
        <v>2272</v>
      </c>
      <c r="AA75" s="198" t="s">
        <v>74</v>
      </c>
      <c r="AB75" s="198" t="s">
        <v>34</v>
      </c>
      <c r="AC75" s="198" t="s">
        <v>63</v>
      </c>
      <c r="AD75" s="4" t="s">
        <v>5047</v>
      </c>
      <c r="AE75" s="4" t="s">
        <v>2257</v>
      </c>
    </row>
    <row r="76" spans="1:31" ht="69.5" customHeight="1">
      <c r="A76" s="31" t="s">
        <v>308</v>
      </c>
      <c r="B76" s="198" t="s">
        <v>368</v>
      </c>
      <c r="C76" s="198" t="s">
        <v>23</v>
      </c>
      <c r="D76" s="198" t="s">
        <v>2654</v>
      </c>
      <c r="E76" s="4" t="s">
        <v>394</v>
      </c>
      <c r="F76" s="4" t="s">
        <v>27</v>
      </c>
      <c r="G76" s="198" t="s">
        <v>2272</v>
      </c>
      <c r="H76" s="198" t="s">
        <v>521</v>
      </c>
      <c r="I76" s="198"/>
      <c r="J76" s="21" t="s">
        <v>2272</v>
      </c>
      <c r="K76" s="21" t="s">
        <v>2272</v>
      </c>
      <c r="L76" s="21" t="s">
        <v>2272</v>
      </c>
      <c r="M76" s="21" t="s">
        <v>2272</v>
      </c>
      <c r="N76" s="21" t="s">
        <v>2272</v>
      </c>
      <c r="O76" s="21" t="s">
        <v>2272</v>
      </c>
      <c r="P76" s="21" t="s">
        <v>2272</v>
      </c>
      <c r="Q76" s="21" t="s">
        <v>2272</v>
      </c>
      <c r="R76" s="21" t="s">
        <v>2272</v>
      </c>
      <c r="S76" s="21" t="s">
        <v>2272</v>
      </c>
      <c r="T76" s="21" t="s">
        <v>2272</v>
      </c>
      <c r="U76" s="21" t="s">
        <v>2272</v>
      </c>
      <c r="V76" s="71" t="s">
        <v>2272</v>
      </c>
      <c r="W76" s="71" t="s">
        <v>2272</v>
      </c>
      <c r="X76" s="71" t="s">
        <v>2272</v>
      </c>
      <c r="Y76" s="71" t="s">
        <v>2272</v>
      </c>
      <c r="Z76" s="71" t="s">
        <v>2272</v>
      </c>
      <c r="AA76" s="198" t="s">
        <v>74</v>
      </c>
      <c r="AB76" s="198" t="s">
        <v>34</v>
      </c>
      <c r="AC76" s="198" t="s">
        <v>63</v>
      </c>
      <c r="AD76" s="4" t="s">
        <v>5047</v>
      </c>
      <c r="AE76" s="4" t="s">
        <v>2257</v>
      </c>
    </row>
    <row r="77" spans="1:31" ht="69.5" customHeight="1">
      <c r="A77" s="31" t="s">
        <v>309</v>
      </c>
      <c r="B77" s="198" t="s">
        <v>369</v>
      </c>
      <c r="C77" s="198" t="s">
        <v>23</v>
      </c>
      <c r="D77" s="198" t="s">
        <v>2654</v>
      </c>
      <c r="E77" s="4" t="s">
        <v>394</v>
      </c>
      <c r="F77" s="4" t="s">
        <v>27</v>
      </c>
      <c r="G77" s="198" t="s">
        <v>2272</v>
      </c>
      <c r="H77" s="198" t="s">
        <v>521</v>
      </c>
      <c r="I77" s="198"/>
      <c r="J77" s="21" t="s">
        <v>2272</v>
      </c>
      <c r="K77" s="21" t="s">
        <v>2272</v>
      </c>
      <c r="L77" s="21" t="s">
        <v>2272</v>
      </c>
      <c r="M77" s="21" t="s">
        <v>2272</v>
      </c>
      <c r="N77" s="21" t="s">
        <v>2272</v>
      </c>
      <c r="O77" s="21" t="s">
        <v>2272</v>
      </c>
      <c r="P77" s="21" t="s">
        <v>2272</v>
      </c>
      <c r="Q77" s="21" t="s">
        <v>2272</v>
      </c>
      <c r="R77" s="21" t="s">
        <v>2272</v>
      </c>
      <c r="S77" s="21" t="s">
        <v>2272</v>
      </c>
      <c r="T77" s="21" t="s">
        <v>2272</v>
      </c>
      <c r="U77" s="21" t="s">
        <v>2272</v>
      </c>
      <c r="V77" s="71" t="s">
        <v>2272</v>
      </c>
      <c r="W77" s="71" t="s">
        <v>2272</v>
      </c>
      <c r="X77" s="71" t="s">
        <v>2272</v>
      </c>
      <c r="Y77" s="71" t="s">
        <v>2272</v>
      </c>
      <c r="Z77" s="71" t="s">
        <v>2272</v>
      </c>
      <c r="AA77" s="198" t="s">
        <v>74</v>
      </c>
      <c r="AB77" s="198" t="s">
        <v>34</v>
      </c>
      <c r="AC77" s="198" t="s">
        <v>63</v>
      </c>
      <c r="AD77" s="4" t="s">
        <v>5047</v>
      </c>
      <c r="AE77" s="4" t="s">
        <v>2257</v>
      </c>
    </row>
    <row r="78" spans="1:31" ht="69.5" customHeight="1">
      <c r="A78" s="31" t="s">
        <v>310</v>
      </c>
      <c r="B78" s="198" t="s">
        <v>370</v>
      </c>
      <c r="C78" s="198" t="s">
        <v>23</v>
      </c>
      <c r="D78" s="198" t="s">
        <v>2654</v>
      </c>
      <c r="E78" s="4" t="s">
        <v>394</v>
      </c>
      <c r="F78" s="4" t="s">
        <v>27</v>
      </c>
      <c r="G78" s="198" t="s">
        <v>2272</v>
      </c>
      <c r="H78" s="198" t="s">
        <v>521</v>
      </c>
      <c r="I78" s="198"/>
      <c r="J78" s="21" t="s">
        <v>2272</v>
      </c>
      <c r="K78" s="21" t="s">
        <v>2272</v>
      </c>
      <c r="L78" s="21" t="s">
        <v>2272</v>
      </c>
      <c r="M78" s="21" t="s">
        <v>2272</v>
      </c>
      <c r="N78" s="21" t="s">
        <v>2272</v>
      </c>
      <c r="O78" s="21" t="s">
        <v>2272</v>
      </c>
      <c r="P78" s="21" t="s">
        <v>2272</v>
      </c>
      <c r="Q78" s="21" t="s">
        <v>2272</v>
      </c>
      <c r="R78" s="21" t="s">
        <v>2272</v>
      </c>
      <c r="S78" s="21" t="s">
        <v>2272</v>
      </c>
      <c r="T78" s="21" t="s">
        <v>2272</v>
      </c>
      <c r="U78" s="21" t="s">
        <v>2272</v>
      </c>
      <c r="V78" s="71" t="s">
        <v>2272</v>
      </c>
      <c r="W78" s="71" t="s">
        <v>2272</v>
      </c>
      <c r="X78" s="71" t="s">
        <v>2272</v>
      </c>
      <c r="Y78" s="71" t="s">
        <v>2272</v>
      </c>
      <c r="Z78" s="71" t="s">
        <v>2272</v>
      </c>
      <c r="AA78" s="198" t="s">
        <v>74</v>
      </c>
      <c r="AB78" s="198" t="s">
        <v>34</v>
      </c>
      <c r="AC78" s="198" t="s">
        <v>63</v>
      </c>
      <c r="AD78" s="4" t="s">
        <v>5047</v>
      </c>
      <c r="AE78" s="4" t="s">
        <v>2257</v>
      </c>
    </row>
    <row r="79" spans="1:31" ht="106" customHeight="1">
      <c r="A79" s="198" t="s">
        <v>92</v>
      </c>
      <c r="B79" s="198" t="s">
        <v>93</v>
      </c>
      <c r="C79" s="198" t="s">
        <v>23</v>
      </c>
      <c r="D79" s="198" t="s">
        <v>2654</v>
      </c>
      <c r="E79" s="4" t="s">
        <v>394</v>
      </c>
      <c r="F79" s="4" t="s">
        <v>27</v>
      </c>
      <c r="G79" s="198" t="s">
        <v>2272</v>
      </c>
      <c r="H79" s="198" t="s">
        <v>521</v>
      </c>
      <c r="I79" s="198"/>
      <c r="J79" s="21" t="s">
        <v>2272</v>
      </c>
      <c r="K79" s="21" t="s">
        <v>2272</v>
      </c>
      <c r="L79" s="21" t="s">
        <v>2272</v>
      </c>
      <c r="M79" s="21" t="s">
        <v>2272</v>
      </c>
      <c r="N79" s="21" t="s">
        <v>2272</v>
      </c>
      <c r="O79" s="21" t="s">
        <v>2272</v>
      </c>
      <c r="P79" s="21" t="s">
        <v>2272</v>
      </c>
      <c r="Q79" s="21" t="s">
        <v>2272</v>
      </c>
      <c r="R79" s="21" t="s">
        <v>2272</v>
      </c>
      <c r="S79" s="21" t="s">
        <v>2272</v>
      </c>
      <c r="T79" s="21" t="s">
        <v>2272</v>
      </c>
      <c r="U79" s="83" t="s">
        <v>2272</v>
      </c>
      <c r="V79" s="71" t="s">
        <v>2272</v>
      </c>
      <c r="W79" s="21" t="s">
        <v>2272</v>
      </c>
      <c r="X79" s="21" t="s">
        <v>2272</v>
      </c>
      <c r="Y79" s="21" t="s">
        <v>2272</v>
      </c>
      <c r="Z79" s="71" t="s">
        <v>2272</v>
      </c>
      <c r="AA79" s="198" t="s">
        <v>74</v>
      </c>
      <c r="AB79" s="198" t="s">
        <v>34</v>
      </c>
      <c r="AC79" s="198" t="s">
        <v>63</v>
      </c>
      <c r="AD79" s="4" t="s">
        <v>1257</v>
      </c>
      <c r="AE79" s="4" t="s">
        <v>1265</v>
      </c>
    </row>
    <row r="80" spans="1:31" ht="100" customHeight="1">
      <c r="A80" s="198" t="s">
        <v>92</v>
      </c>
      <c r="B80" s="198" t="s">
        <v>94</v>
      </c>
      <c r="C80" s="198" t="s">
        <v>23</v>
      </c>
      <c r="D80" s="198" t="s">
        <v>2654</v>
      </c>
      <c r="E80" s="4" t="s">
        <v>394</v>
      </c>
      <c r="F80" s="4" t="s">
        <v>27</v>
      </c>
      <c r="G80" s="198" t="s">
        <v>2272</v>
      </c>
      <c r="H80" s="198" t="s">
        <v>521</v>
      </c>
      <c r="I80" s="198"/>
      <c r="J80" s="21" t="s">
        <v>2272</v>
      </c>
      <c r="K80" s="21" t="s">
        <v>2272</v>
      </c>
      <c r="L80" s="21" t="s">
        <v>2272</v>
      </c>
      <c r="M80" s="21" t="s">
        <v>2272</v>
      </c>
      <c r="N80" s="21" t="s">
        <v>2272</v>
      </c>
      <c r="O80" s="21" t="s">
        <v>2272</v>
      </c>
      <c r="P80" s="21" t="s">
        <v>2272</v>
      </c>
      <c r="Q80" s="21" t="s">
        <v>2272</v>
      </c>
      <c r="R80" s="21" t="s">
        <v>2272</v>
      </c>
      <c r="S80" s="21" t="s">
        <v>2272</v>
      </c>
      <c r="T80" s="21" t="s">
        <v>2272</v>
      </c>
      <c r="U80" s="83" t="s">
        <v>2272</v>
      </c>
      <c r="V80" s="71" t="s">
        <v>2272</v>
      </c>
      <c r="W80" s="21" t="s">
        <v>2272</v>
      </c>
      <c r="X80" s="21" t="s">
        <v>2272</v>
      </c>
      <c r="Y80" s="21" t="s">
        <v>2272</v>
      </c>
      <c r="Z80" s="71" t="s">
        <v>2272</v>
      </c>
      <c r="AA80" s="198" t="s">
        <v>37</v>
      </c>
      <c r="AB80" s="198" t="s">
        <v>84</v>
      </c>
      <c r="AC80" s="198" t="s">
        <v>63</v>
      </c>
      <c r="AD80" s="4" t="s">
        <v>1258</v>
      </c>
      <c r="AE80" s="4" t="s">
        <v>1266</v>
      </c>
    </row>
    <row r="81" spans="1:31" ht="110" customHeight="1">
      <c r="A81" s="198" t="s">
        <v>92</v>
      </c>
      <c r="B81" s="198" t="s">
        <v>1255</v>
      </c>
      <c r="C81" s="198" t="s">
        <v>23</v>
      </c>
      <c r="D81" s="198" t="s">
        <v>2654</v>
      </c>
      <c r="E81" s="4" t="s">
        <v>395</v>
      </c>
      <c r="F81" s="4" t="s">
        <v>27</v>
      </c>
      <c r="G81" s="198" t="s">
        <v>2272</v>
      </c>
      <c r="H81" s="198" t="s">
        <v>521</v>
      </c>
      <c r="I81" s="198"/>
      <c r="J81" s="21" t="s">
        <v>2272</v>
      </c>
      <c r="K81" s="21" t="s">
        <v>2272</v>
      </c>
      <c r="L81" s="21" t="s">
        <v>2272</v>
      </c>
      <c r="M81" s="21" t="s">
        <v>2272</v>
      </c>
      <c r="N81" s="21" t="s">
        <v>2272</v>
      </c>
      <c r="O81" s="21" t="s">
        <v>2272</v>
      </c>
      <c r="P81" s="21" t="s">
        <v>2272</v>
      </c>
      <c r="Q81" s="21" t="s">
        <v>2272</v>
      </c>
      <c r="R81" s="21" t="s">
        <v>2272</v>
      </c>
      <c r="S81" s="21" t="s">
        <v>2272</v>
      </c>
      <c r="T81" s="21" t="s">
        <v>2272</v>
      </c>
      <c r="U81" s="83" t="s">
        <v>2272</v>
      </c>
      <c r="V81" s="71" t="s">
        <v>2272</v>
      </c>
      <c r="W81" s="21" t="s">
        <v>2272</v>
      </c>
      <c r="X81" s="21" t="s">
        <v>2272</v>
      </c>
      <c r="Y81" s="21" t="s">
        <v>2272</v>
      </c>
      <c r="Z81" s="71" t="s">
        <v>2272</v>
      </c>
      <c r="AA81" s="198" t="s">
        <v>74</v>
      </c>
      <c r="AB81" s="198" t="s">
        <v>34</v>
      </c>
      <c r="AC81" s="198" t="s">
        <v>63</v>
      </c>
      <c r="AD81" s="4" t="s">
        <v>1257</v>
      </c>
      <c r="AE81" s="4" t="s">
        <v>1267</v>
      </c>
    </row>
    <row r="82" spans="1:31" ht="100" customHeight="1">
      <c r="A82" s="198" t="s">
        <v>92</v>
      </c>
      <c r="B82" s="198" t="s">
        <v>1256</v>
      </c>
      <c r="C82" s="198" t="s">
        <v>23</v>
      </c>
      <c r="D82" s="198" t="s">
        <v>2654</v>
      </c>
      <c r="E82" s="4" t="s">
        <v>395</v>
      </c>
      <c r="F82" s="4" t="s">
        <v>27</v>
      </c>
      <c r="G82" s="198" t="s">
        <v>2272</v>
      </c>
      <c r="H82" s="198" t="s">
        <v>521</v>
      </c>
      <c r="I82" s="198"/>
      <c r="J82" s="21" t="s">
        <v>2272</v>
      </c>
      <c r="K82" s="21" t="s">
        <v>2272</v>
      </c>
      <c r="L82" s="21" t="s">
        <v>2272</v>
      </c>
      <c r="M82" s="21" t="s">
        <v>2272</v>
      </c>
      <c r="N82" s="21" t="s">
        <v>2272</v>
      </c>
      <c r="O82" s="21" t="s">
        <v>2272</v>
      </c>
      <c r="P82" s="21" t="s">
        <v>2272</v>
      </c>
      <c r="Q82" s="21" t="s">
        <v>2272</v>
      </c>
      <c r="R82" s="21" t="s">
        <v>2272</v>
      </c>
      <c r="S82" s="21" t="s">
        <v>2272</v>
      </c>
      <c r="T82" s="21" t="s">
        <v>2272</v>
      </c>
      <c r="U82" s="83" t="s">
        <v>2272</v>
      </c>
      <c r="V82" s="71" t="s">
        <v>2272</v>
      </c>
      <c r="W82" s="21" t="s">
        <v>2272</v>
      </c>
      <c r="X82" s="21" t="s">
        <v>2272</v>
      </c>
      <c r="Y82" s="21" t="s">
        <v>2272</v>
      </c>
      <c r="Z82" s="71" t="s">
        <v>2272</v>
      </c>
      <c r="AA82" s="198" t="s">
        <v>37</v>
      </c>
      <c r="AB82" s="198" t="s">
        <v>84</v>
      </c>
      <c r="AC82" s="198" t="s">
        <v>63</v>
      </c>
      <c r="AD82" s="4" t="s">
        <v>1258</v>
      </c>
      <c r="AE82" s="4" t="s">
        <v>1266</v>
      </c>
    </row>
    <row r="83" spans="1:31" ht="100" customHeight="1">
      <c r="A83" s="198" t="s">
        <v>1249</v>
      </c>
      <c r="B83" s="198" t="s">
        <v>1253</v>
      </c>
      <c r="C83" s="198" t="s">
        <v>23</v>
      </c>
      <c r="D83" s="198" t="s">
        <v>2654</v>
      </c>
      <c r="E83" s="4" t="s">
        <v>394</v>
      </c>
      <c r="F83" s="4" t="s">
        <v>27</v>
      </c>
      <c r="G83" s="198" t="s">
        <v>2272</v>
      </c>
      <c r="H83" s="198" t="s">
        <v>521</v>
      </c>
      <c r="I83" s="198"/>
      <c r="J83" s="21" t="s">
        <v>2272</v>
      </c>
      <c r="K83" s="21" t="s">
        <v>2272</v>
      </c>
      <c r="L83" s="21" t="s">
        <v>2272</v>
      </c>
      <c r="M83" s="21" t="s">
        <v>2272</v>
      </c>
      <c r="N83" s="21" t="s">
        <v>2272</v>
      </c>
      <c r="O83" s="21" t="s">
        <v>2272</v>
      </c>
      <c r="P83" s="21" t="s">
        <v>2272</v>
      </c>
      <c r="Q83" s="21" t="s">
        <v>2272</v>
      </c>
      <c r="R83" s="21" t="s">
        <v>2272</v>
      </c>
      <c r="S83" s="21" t="s">
        <v>2272</v>
      </c>
      <c r="T83" s="21" t="s">
        <v>2272</v>
      </c>
      <c r="U83" s="83" t="s">
        <v>2272</v>
      </c>
      <c r="V83" s="71" t="s">
        <v>2272</v>
      </c>
      <c r="W83" s="21" t="s">
        <v>2272</v>
      </c>
      <c r="X83" s="21" t="s">
        <v>2272</v>
      </c>
      <c r="Y83" s="21" t="s">
        <v>2272</v>
      </c>
      <c r="Z83" s="71" t="s">
        <v>2272</v>
      </c>
      <c r="AA83" s="198" t="s">
        <v>74</v>
      </c>
      <c r="AB83" s="198" t="s">
        <v>34</v>
      </c>
      <c r="AC83" s="198" t="s">
        <v>63</v>
      </c>
      <c r="AD83" s="4" t="s">
        <v>1257</v>
      </c>
      <c r="AE83" s="4" t="s">
        <v>1265</v>
      </c>
    </row>
    <row r="84" spans="1:31" ht="100" customHeight="1">
      <c r="A84" s="198" t="s">
        <v>1249</v>
      </c>
      <c r="B84" s="198" t="s">
        <v>1254</v>
      </c>
      <c r="C84" s="198" t="s">
        <v>23</v>
      </c>
      <c r="D84" s="198" t="s">
        <v>2654</v>
      </c>
      <c r="E84" s="4" t="s">
        <v>394</v>
      </c>
      <c r="F84" s="4" t="s">
        <v>27</v>
      </c>
      <c r="G84" s="198" t="s">
        <v>2272</v>
      </c>
      <c r="H84" s="198" t="s">
        <v>521</v>
      </c>
      <c r="I84" s="198"/>
      <c r="J84" s="21" t="s">
        <v>2272</v>
      </c>
      <c r="K84" s="21" t="s">
        <v>2272</v>
      </c>
      <c r="L84" s="21" t="s">
        <v>2272</v>
      </c>
      <c r="M84" s="21" t="s">
        <v>2272</v>
      </c>
      <c r="N84" s="21" t="s">
        <v>2272</v>
      </c>
      <c r="O84" s="21" t="s">
        <v>2272</v>
      </c>
      <c r="P84" s="21" t="s">
        <v>2272</v>
      </c>
      <c r="Q84" s="21" t="s">
        <v>2272</v>
      </c>
      <c r="R84" s="21" t="s">
        <v>2272</v>
      </c>
      <c r="S84" s="21" t="s">
        <v>2272</v>
      </c>
      <c r="T84" s="21" t="s">
        <v>2272</v>
      </c>
      <c r="U84" s="83" t="s">
        <v>2272</v>
      </c>
      <c r="V84" s="71" t="s">
        <v>2272</v>
      </c>
      <c r="W84" s="21" t="s">
        <v>2272</v>
      </c>
      <c r="X84" s="21" t="s">
        <v>2272</v>
      </c>
      <c r="Y84" s="21" t="s">
        <v>2272</v>
      </c>
      <c r="Z84" s="71" t="s">
        <v>2272</v>
      </c>
      <c r="AA84" s="198" t="s">
        <v>37</v>
      </c>
      <c r="AB84" s="198" t="s">
        <v>84</v>
      </c>
      <c r="AC84" s="198" t="s">
        <v>63</v>
      </c>
      <c r="AD84" s="4" t="s">
        <v>1258</v>
      </c>
      <c r="AE84" s="4" t="s">
        <v>1266</v>
      </c>
    </row>
    <row r="85" spans="1:31" ht="100" customHeight="1">
      <c r="A85" s="198" t="s">
        <v>1249</v>
      </c>
      <c r="B85" s="198" t="s">
        <v>1259</v>
      </c>
      <c r="C85" s="198" t="s">
        <v>23</v>
      </c>
      <c r="D85" s="198" t="s">
        <v>2654</v>
      </c>
      <c r="E85" s="4" t="s">
        <v>395</v>
      </c>
      <c r="F85" s="4" t="s">
        <v>27</v>
      </c>
      <c r="G85" s="198" t="s">
        <v>2272</v>
      </c>
      <c r="H85" s="198" t="s">
        <v>521</v>
      </c>
      <c r="I85" s="198"/>
      <c r="J85" s="21" t="s">
        <v>2272</v>
      </c>
      <c r="K85" s="21" t="s">
        <v>2272</v>
      </c>
      <c r="L85" s="21" t="s">
        <v>2272</v>
      </c>
      <c r="M85" s="21" t="s">
        <v>2272</v>
      </c>
      <c r="N85" s="21" t="s">
        <v>2272</v>
      </c>
      <c r="O85" s="21" t="s">
        <v>2272</v>
      </c>
      <c r="P85" s="21" t="s">
        <v>2272</v>
      </c>
      <c r="Q85" s="21" t="s">
        <v>2272</v>
      </c>
      <c r="R85" s="21" t="s">
        <v>2272</v>
      </c>
      <c r="S85" s="21" t="s">
        <v>2272</v>
      </c>
      <c r="T85" s="21" t="s">
        <v>2272</v>
      </c>
      <c r="U85" s="83" t="s">
        <v>2272</v>
      </c>
      <c r="V85" s="71" t="s">
        <v>2272</v>
      </c>
      <c r="W85" s="21" t="s">
        <v>2272</v>
      </c>
      <c r="X85" s="21" t="s">
        <v>2272</v>
      </c>
      <c r="Y85" s="21" t="s">
        <v>2272</v>
      </c>
      <c r="Z85" s="71" t="s">
        <v>2272</v>
      </c>
      <c r="AA85" s="198" t="s">
        <v>74</v>
      </c>
      <c r="AB85" s="198" t="s">
        <v>34</v>
      </c>
      <c r="AC85" s="198" t="s">
        <v>63</v>
      </c>
      <c r="AD85" s="4" t="s">
        <v>1257</v>
      </c>
      <c r="AE85" s="4" t="s">
        <v>1267</v>
      </c>
    </row>
    <row r="86" spans="1:31" ht="100" customHeight="1">
      <c r="A86" s="198" t="s">
        <v>1249</v>
      </c>
      <c r="B86" s="198" t="s">
        <v>1260</v>
      </c>
      <c r="C86" s="198" t="s">
        <v>23</v>
      </c>
      <c r="D86" s="198" t="s">
        <v>2654</v>
      </c>
      <c r="E86" s="4" t="s">
        <v>395</v>
      </c>
      <c r="F86" s="4" t="s">
        <v>27</v>
      </c>
      <c r="G86" s="198" t="s">
        <v>2272</v>
      </c>
      <c r="H86" s="198" t="s">
        <v>521</v>
      </c>
      <c r="I86" s="198"/>
      <c r="J86" s="21" t="s">
        <v>2272</v>
      </c>
      <c r="K86" s="21" t="s">
        <v>2272</v>
      </c>
      <c r="L86" s="21" t="s">
        <v>2272</v>
      </c>
      <c r="M86" s="21" t="s">
        <v>2272</v>
      </c>
      <c r="N86" s="21" t="s">
        <v>2272</v>
      </c>
      <c r="O86" s="21" t="s">
        <v>2272</v>
      </c>
      <c r="P86" s="21" t="s">
        <v>2272</v>
      </c>
      <c r="Q86" s="21" t="s">
        <v>2272</v>
      </c>
      <c r="R86" s="21" t="s">
        <v>2272</v>
      </c>
      <c r="S86" s="21" t="s">
        <v>2272</v>
      </c>
      <c r="T86" s="21" t="s">
        <v>2272</v>
      </c>
      <c r="U86" s="83" t="s">
        <v>2272</v>
      </c>
      <c r="V86" s="71" t="s">
        <v>2272</v>
      </c>
      <c r="W86" s="21" t="s">
        <v>2272</v>
      </c>
      <c r="X86" s="21" t="s">
        <v>2272</v>
      </c>
      <c r="Y86" s="21" t="s">
        <v>2272</v>
      </c>
      <c r="Z86" s="71" t="s">
        <v>2272</v>
      </c>
      <c r="AA86" s="198" t="s">
        <v>37</v>
      </c>
      <c r="AB86" s="198" t="s">
        <v>84</v>
      </c>
      <c r="AC86" s="198" t="s">
        <v>63</v>
      </c>
      <c r="AD86" s="4" t="s">
        <v>1258</v>
      </c>
      <c r="AE86" s="4" t="s">
        <v>1266</v>
      </c>
    </row>
    <row r="87" spans="1:31" ht="100" customHeight="1">
      <c r="A87" s="198" t="s">
        <v>1250</v>
      </c>
      <c r="B87" s="198" t="s">
        <v>1261</v>
      </c>
      <c r="C87" s="198" t="s">
        <v>23</v>
      </c>
      <c r="D87" s="198" t="s">
        <v>2654</v>
      </c>
      <c r="E87" s="4" t="s">
        <v>394</v>
      </c>
      <c r="F87" s="4" t="s">
        <v>27</v>
      </c>
      <c r="G87" s="198" t="s">
        <v>2272</v>
      </c>
      <c r="H87" s="198" t="s">
        <v>521</v>
      </c>
      <c r="I87" s="198"/>
      <c r="J87" s="21" t="s">
        <v>2272</v>
      </c>
      <c r="K87" s="21" t="s">
        <v>2272</v>
      </c>
      <c r="L87" s="21" t="s">
        <v>2272</v>
      </c>
      <c r="M87" s="21" t="s">
        <v>2272</v>
      </c>
      <c r="N87" s="21" t="s">
        <v>2272</v>
      </c>
      <c r="O87" s="21" t="s">
        <v>2272</v>
      </c>
      <c r="P87" s="21" t="s">
        <v>2272</v>
      </c>
      <c r="Q87" s="21" t="s">
        <v>2272</v>
      </c>
      <c r="R87" s="21" t="s">
        <v>2272</v>
      </c>
      <c r="S87" s="21" t="s">
        <v>2272</v>
      </c>
      <c r="T87" s="21" t="s">
        <v>2272</v>
      </c>
      <c r="U87" s="83" t="s">
        <v>2272</v>
      </c>
      <c r="V87" s="71" t="s">
        <v>2272</v>
      </c>
      <c r="W87" s="21" t="s">
        <v>2272</v>
      </c>
      <c r="X87" s="21" t="s">
        <v>2272</v>
      </c>
      <c r="Y87" s="21" t="s">
        <v>2272</v>
      </c>
      <c r="Z87" s="71" t="s">
        <v>2272</v>
      </c>
      <c r="AA87" s="198" t="s">
        <v>74</v>
      </c>
      <c r="AB87" s="198" t="s">
        <v>34</v>
      </c>
      <c r="AC87" s="198" t="s">
        <v>63</v>
      </c>
      <c r="AD87" s="4" t="s">
        <v>1257</v>
      </c>
      <c r="AE87" s="4" t="s">
        <v>1265</v>
      </c>
    </row>
    <row r="88" spans="1:31" ht="100" customHeight="1">
      <c r="A88" s="198" t="s">
        <v>1250</v>
      </c>
      <c r="B88" s="198" t="s">
        <v>1262</v>
      </c>
      <c r="C88" s="198" t="s">
        <v>23</v>
      </c>
      <c r="D88" s="198" t="s">
        <v>2654</v>
      </c>
      <c r="E88" s="4" t="s">
        <v>394</v>
      </c>
      <c r="F88" s="4" t="s">
        <v>27</v>
      </c>
      <c r="G88" s="198" t="s">
        <v>2272</v>
      </c>
      <c r="H88" s="198" t="s">
        <v>521</v>
      </c>
      <c r="I88" s="198"/>
      <c r="J88" s="21" t="s">
        <v>2272</v>
      </c>
      <c r="K88" s="21" t="s">
        <v>2272</v>
      </c>
      <c r="L88" s="21" t="s">
        <v>2272</v>
      </c>
      <c r="M88" s="21" t="s">
        <v>2272</v>
      </c>
      <c r="N88" s="21" t="s">
        <v>2272</v>
      </c>
      <c r="O88" s="21" t="s">
        <v>2272</v>
      </c>
      <c r="P88" s="21" t="s">
        <v>2272</v>
      </c>
      <c r="Q88" s="21" t="s">
        <v>2272</v>
      </c>
      <c r="R88" s="21" t="s">
        <v>2272</v>
      </c>
      <c r="S88" s="21" t="s">
        <v>2272</v>
      </c>
      <c r="T88" s="21" t="s">
        <v>2272</v>
      </c>
      <c r="U88" s="83" t="s">
        <v>2272</v>
      </c>
      <c r="V88" s="71" t="s">
        <v>2272</v>
      </c>
      <c r="W88" s="21" t="s">
        <v>2272</v>
      </c>
      <c r="X88" s="21" t="s">
        <v>2272</v>
      </c>
      <c r="Y88" s="21" t="s">
        <v>2272</v>
      </c>
      <c r="Z88" s="71" t="s">
        <v>2272</v>
      </c>
      <c r="AA88" s="198" t="s">
        <v>37</v>
      </c>
      <c r="AB88" s="198" t="s">
        <v>84</v>
      </c>
      <c r="AC88" s="198" t="s">
        <v>63</v>
      </c>
      <c r="AD88" s="4" t="s">
        <v>1258</v>
      </c>
      <c r="AE88" s="4" t="s">
        <v>1266</v>
      </c>
    </row>
    <row r="89" spans="1:31" ht="100" customHeight="1">
      <c r="A89" s="198" t="s">
        <v>1250</v>
      </c>
      <c r="B89" s="198" t="s">
        <v>1263</v>
      </c>
      <c r="C89" s="198" t="s">
        <v>23</v>
      </c>
      <c r="D89" s="198" t="s">
        <v>2654</v>
      </c>
      <c r="E89" s="4" t="s">
        <v>395</v>
      </c>
      <c r="F89" s="4" t="s">
        <v>27</v>
      </c>
      <c r="G89" s="198" t="s">
        <v>2272</v>
      </c>
      <c r="H89" s="198" t="s">
        <v>521</v>
      </c>
      <c r="I89" s="198"/>
      <c r="J89" s="21" t="s">
        <v>2272</v>
      </c>
      <c r="K89" s="21" t="s">
        <v>2272</v>
      </c>
      <c r="L89" s="21" t="s">
        <v>2272</v>
      </c>
      <c r="M89" s="21" t="s">
        <v>2272</v>
      </c>
      <c r="N89" s="21" t="s">
        <v>2272</v>
      </c>
      <c r="O89" s="21" t="s">
        <v>2272</v>
      </c>
      <c r="P89" s="21" t="s">
        <v>2272</v>
      </c>
      <c r="Q89" s="21" t="s">
        <v>2272</v>
      </c>
      <c r="R89" s="21" t="s">
        <v>2272</v>
      </c>
      <c r="S89" s="21" t="s">
        <v>2272</v>
      </c>
      <c r="T89" s="21" t="s">
        <v>2272</v>
      </c>
      <c r="U89" s="83" t="s">
        <v>2272</v>
      </c>
      <c r="V89" s="71" t="s">
        <v>2272</v>
      </c>
      <c r="W89" s="21" t="s">
        <v>2272</v>
      </c>
      <c r="X89" s="21" t="s">
        <v>2272</v>
      </c>
      <c r="Y89" s="21" t="s">
        <v>2272</v>
      </c>
      <c r="Z89" s="71" t="s">
        <v>2272</v>
      </c>
      <c r="AA89" s="198" t="s">
        <v>74</v>
      </c>
      <c r="AB89" s="198" t="s">
        <v>34</v>
      </c>
      <c r="AC89" s="198" t="s">
        <v>63</v>
      </c>
      <c r="AD89" s="4" t="s">
        <v>1257</v>
      </c>
      <c r="AE89" s="4" t="s">
        <v>1267</v>
      </c>
    </row>
    <row r="90" spans="1:31" ht="100" customHeight="1">
      <c r="A90" s="198" t="s">
        <v>1250</v>
      </c>
      <c r="B90" s="198" t="s">
        <v>1264</v>
      </c>
      <c r="C90" s="198" t="s">
        <v>23</v>
      </c>
      <c r="D90" s="198" t="s">
        <v>2654</v>
      </c>
      <c r="E90" s="4" t="s">
        <v>395</v>
      </c>
      <c r="F90" s="4" t="s">
        <v>27</v>
      </c>
      <c r="G90" s="198" t="s">
        <v>2272</v>
      </c>
      <c r="H90" s="198" t="s">
        <v>521</v>
      </c>
      <c r="I90" s="198"/>
      <c r="J90" s="21" t="s">
        <v>2272</v>
      </c>
      <c r="K90" s="21" t="s">
        <v>2272</v>
      </c>
      <c r="L90" s="21" t="s">
        <v>2272</v>
      </c>
      <c r="M90" s="21" t="s">
        <v>2272</v>
      </c>
      <c r="N90" s="21" t="s">
        <v>2272</v>
      </c>
      <c r="O90" s="21" t="s">
        <v>2272</v>
      </c>
      <c r="P90" s="21" t="s">
        <v>2272</v>
      </c>
      <c r="Q90" s="21" t="s">
        <v>2272</v>
      </c>
      <c r="R90" s="21" t="s">
        <v>2272</v>
      </c>
      <c r="S90" s="21" t="s">
        <v>2272</v>
      </c>
      <c r="T90" s="21" t="s">
        <v>2272</v>
      </c>
      <c r="U90" s="83" t="s">
        <v>2272</v>
      </c>
      <c r="V90" s="71" t="s">
        <v>2272</v>
      </c>
      <c r="W90" s="21" t="s">
        <v>2272</v>
      </c>
      <c r="X90" s="21" t="s">
        <v>2272</v>
      </c>
      <c r="Y90" s="21" t="s">
        <v>2272</v>
      </c>
      <c r="Z90" s="71" t="s">
        <v>2272</v>
      </c>
      <c r="AA90" s="198" t="s">
        <v>37</v>
      </c>
      <c r="AB90" s="198" t="s">
        <v>84</v>
      </c>
      <c r="AC90" s="198" t="s">
        <v>63</v>
      </c>
      <c r="AD90" s="4" t="s">
        <v>1258</v>
      </c>
      <c r="AE90" s="4" t="s">
        <v>1266</v>
      </c>
    </row>
    <row r="91" spans="1:31" ht="100" customHeight="1">
      <c r="A91" s="198" t="s">
        <v>96</v>
      </c>
      <c r="B91" s="198" t="s">
        <v>98</v>
      </c>
      <c r="C91" s="198" t="s">
        <v>23</v>
      </c>
      <c r="D91" s="198" t="s">
        <v>2654</v>
      </c>
      <c r="E91" s="4" t="s">
        <v>394</v>
      </c>
      <c r="F91" s="4" t="s">
        <v>27</v>
      </c>
      <c r="G91" s="198" t="s">
        <v>2272</v>
      </c>
      <c r="H91" s="198" t="s">
        <v>521</v>
      </c>
      <c r="I91" s="198"/>
      <c r="J91" s="21" t="s">
        <v>2272</v>
      </c>
      <c r="K91" s="21" t="s">
        <v>2272</v>
      </c>
      <c r="L91" s="21" t="s">
        <v>2272</v>
      </c>
      <c r="M91" s="21" t="s">
        <v>2272</v>
      </c>
      <c r="N91" s="21" t="s">
        <v>2272</v>
      </c>
      <c r="O91" s="21" t="s">
        <v>2272</v>
      </c>
      <c r="P91" s="21" t="s">
        <v>2272</v>
      </c>
      <c r="Q91" s="21" t="s">
        <v>2272</v>
      </c>
      <c r="R91" s="21" t="s">
        <v>2272</v>
      </c>
      <c r="S91" s="21" t="s">
        <v>2272</v>
      </c>
      <c r="T91" s="21" t="s">
        <v>2272</v>
      </c>
      <c r="U91" s="21" t="s">
        <v>2272</v>
      </c>
      <c r="V91" s="21" t="s">
        <v>2272</v>
      </c>
      <c r="W91" s="21" t="s">
        <v>2272</v>
      </c>
      <c r="X91" s="21" t="s">
        <v>2272</v>
      </c>
      <c r="Y91" s="21" t="s">
        <v>2272</v>
      </c>
      <c r="Z91" s="71" t="s">
        <v>2272</v>
      </c>
      <c r="AA91" s="198" t="s">
        <v>74</v>
      </c>
      <c r="AB91" s="198" t="s">
        <v>34</v>
      </c>
      <c r="AC91" s="198" t="s">
        <v>63</v>
      </c>
      <c r="AD91" s="4" t="s">
        <v>1311</v>
      </c>
      <c r="AE91" s="4" t="s">
        <v>5020</v>
      </c>
    </row>
    <row r="92" spans="1:31" ht="95.5" customHeight="1">
      <c r="A92" s="198" t="s">
        <v>96</v>
      </c>
      <c r="B92" s="198" t="s">
        <v>99</v>
      </c>
      <c r="C92" s="198" t="s">
        <v>23</v>
      </c>
      <c r="D92" s="198" t="s">
        <v>2654</v>
      </c>
      <c r="E92" s="4" t="s">
        <v>394</v>
      </c>
      <c r="F92" s="4" t="s">
        <v>27</v>
      </c>
      <c r="G92" s="198" t="s">
        <v>2272</v>
      </c>
      <c r="H92" s="198" t="s">
        <v>521</v>
      </c>
      <c r="I92" s="198"/>
      <c r="J92" s="21" t="s">
        <v>2272</v>
      </c>
      <c r="K92" s="21" t="s">
        <v>2272</v>
      </c>
      <c r="L92" s="21" t="s">
        <v>2272</v>
      </c>
      <c r="M92" s="21" t="s">
        <v>2272</v>
      </c>
      <c r="N92" s="21" t="s">
        <v>2272</v>
      </c>
      <c r="O92" s="21" t="s">
        <v>2272</v>
      </c>
      <c r="P92" s="21" t="s">
        <v>2272</v>
      </c>
      <c r="Q92" s="21" t="s">
        <v>2272</v>
      </c>
      <c r="R92" s="21" t="s">
        <v>2272</v>
      </c>
      <c r="S92" s="21" t="s">
        <v>2272</v>
      </c>
      <c r="T92" s="21" t="s">
        <v>2272</v>
      </c>
      <c r="U92" s="21" t="s">
        <v>2272</v>
      </c>
      <c r="V92" s="21" t="s">
        <v>2272</v>
      </c>
      <c r="W92" s="21" t="s">
        <v>2272</v>
      </c>
      <c r="X92" s="21" t="s">
        <v>2272</v>
      </c>
      <c r="Y92" s="21" t="s">
        <v>2272</v>
      </c>
      <c r="Z92" s="71" t="s">
        <v>2272</v>
      </c>
      <c r="AA92" s="198" t="s">
        <v>37</v>
      </c>
      <c r="AB92" s="198" t="s">
        <v>84</v>
      </c>
      <c r="AC92" s="198" t="s">
        <v>63</v>
      </c>
      <c r="AD92" s="4" t="s">
        <v>1310</v>
      </c>
      <c r="AE92" s="4" t="s">
        <v>5021</v>
      </c>
    </row>
    <row r="93" spans="1:31" ht="109" customHeight="1">
      <c r="A93" s="198" t="s">
        <v>1268</v>
      </c>
      <c r="B93" s="198" t="s">
        <v>1290</v>
      </c>
      <c r="C93" s="198" t="s">
        <v>23</v>
      </c>
      <c r="D93" s="198" t="s">
        <v>2654</v>
      </c>
      <c r="E93" s="4" t="s">
        <v>394</v>
      </c>
      <c r="F93" s="4" t="s">
        <v>27</v>
      </c>
      <c r="G93" s="198" t="s">
        <v>2272</v>
      </c>
      <c r="H93" s="198" t="s">
        <v>521</v>
      </c>
      <c r="I93" s="198"/>
      <c r="J93" s="21" t="s">
        <v>2272</v>
      </c>
      <c r="K93" s="21" t="s">
        <v>2272</v>
      </c>
      <c r="L93" s="21" t="s">
        <v>2272</v>
      </c>
      <c r="M93" s="21" t="s">
        <v>2272</v>
      </c>
      <c r="N93" s="21" t="s">
        <v>2272</v>
      </c>
      <c r="O93" s="21" t="s">
        <v>2272</v>
      </c>
      <c r="P93" s="21" t="s">
        <v>2272</v>
      </c>
      <c r="Q93" s="21" t="s">
        <v>2272</v>
      </c>
      <c r="R93" s="21" t="s">
        <v>2272</v>
      </c>
      <c r="S93" s="21" t="s">
        <v>2272</v>
      </c>
      <c r="T93" s="21" t="s">
        <v>2272</v>
      </c>
      <c r="U93" s="21" t="s">
        <v>2272</v>
      </c>
      <c r="V93" s="21" t="s">
        <v>2272</v>
      </c>
      <c r="W93" s="21" t="s">
        <v>2272</v>
      </c>
      <c r="X93" s="21" t="s">
        <v>2272</v>
      </c>
      <c r="Y93" s="21" t="s">
        <v>2272</v>
      </c>
      <c r="Z93" s="71" t="s">
        <v>2272</v>
      </c>
      <c r="AA93" s="198" t="s">
        <v>74</v>
      </c>
      <c r="AB93" s="198" t="s">
        <v>34</v>
      </c>
      <c r="AC93" s="198" t="s">
        <v>63</v>
      </c>
      <c r="AD93" s="4" t="s">
        <v>1311</v>
      </c>
      <c r="AE93" s="4" t="s">
        <v>5020</v>
      </c>
    </row>
    <row r="94" spans="1:31" ht="88" customHeight="1">
      <c r="A94" s="198" t="s">
        <v>1268</v>
      </c>
      <c r="B94" s="198" t="s">
        <v>1291</v>
      </c>
      <c r="C94" s="198" t="s">
        <v>23</v>
      </c>
      <c r="D94" s="198" t="s">
        <v>2654</v>
      </c>
      <c r="E94" s="4" t="s">
        <v>394</v>
      </c>
      <c r="F94" s="4" t="s">
        <v>27</v>
      </c>
      <c r="G94" s="198" t="s">
        <v>2272</v>
      </c>
      <c r="H94" s="198" t="s">
        <v>521</v>
      </c>
      <c r="I94" s="198"/>
      <c r="J94" s="21" t="s">
        <v>2272</v>
      </c>
      <c r="K94" s="21" t="s">
        <v>2272</v>
      </c>
      <c r="L94" s="21" t="s">
        <v>2272</v>
      </c>
      <c r="M94" s="21" t="s">
        <v>2272</v>
      </c>
      <c r="N94" s="21" t="s">
        <v>2272</v>
      </c>
      <c r="O94" s="21" t="s">
        <v>2272</v>
      </c>
      <c r="P94" s="21" t="s">
        <v>2272</v>
      </c>
      <c r="Q94" s="21" t="s">
        <v>2272</v>
      </c>
      <c r="R94" s="21" t="s">
        <v>2272</v>
      </c>
      <c r="S94" s="21" t="s">
        <v>2272</v>
      </c>
      <c r="T94" s="21" t="s">
        <v>2272</v>
      </c>
      <c r="U94" s="21" t="s">
        <v>2272</v>
      </c>
      <c r="V94" s="21" t="s">
        <v>2272</v>
      </c>
      <c r="W94" s="21" t="s">
        <v>2272</v>
      </c>
      <c r="X94" s="21" t="s">
        <v>2272</v>
      </c>
      <c r="Y94" s="21" t="s">
        <v>2272</v>
      </c>
      <c r="Z94" s="71" t="s">
        <v>2272</v>
      </c>
      <c r="AA94" s="198" t="s">
        <v>37</v>
      </c>
      <c r="AB94" s="198" t="s">
        <v>84</v>
      </c>
      <c r="AC94" s="198" t="s">
        <v>63</v>
      </c>
      <c r="AD94" s="4" t="s">
        <v>1310</v>
      </c>
      <c r="AE94" s="4" t="s">
        <v>5021</v>
      </c>
    </row>
    <row r="95" spans="1:31" ht="88" customHeight="1">
      <c r="A95" s="198" t="s">
        <v>1269</v>
      </c>
      <c r="B95" s="198" t="s">
        <v>1292</v>
      </c>
      <c r="C95" s="198" t="s">
        <v>23</v>
      </c>
      <c r="D95" s="198" t="s">
        <v>2654</v>
      </c>
      <c r="E95" s="4" t="s">
        <v>394</v>
      </c>
      <c r="F95" s="4" t="s">
        <v>27</v>
      </c>
      <c r="G95" s="198" t="s">
        <v>2272</v>
      </c>
      <c r="H95" s="198" t="s">
        <v>521</v>
      </c>
      <c r="I95" s="198"/>
      <c r="J95" s="21" t="s">
        <v>2272</v>
      </c>
      <c r="K95" s="21" t="s">
        <v>2272</v>
      </c>
      <c r="L95" s="21" t="s">
        <v>2272</v>
      </c>
      <c r="M95" s="21" t="s">
        <v>2272</v>
      </c>
      <c r="N95" s="21" t="s">
        <v>2272</v>
      </c>
      <c r="O95" s="21" t="s">
        <v>2272</v>
      </c>
      <c r="P95" s="21" t="s">
        <v>2272</v>
      </c>
      <c r="Q95" s="21" t="s">
        <v>2272</v>
      </c>
      <c r="R95" s="21" t="s">
        <v>2272</v>
      </c>
      <c r="S95" s="21" t="s">
        <v>2272</v>
      </c>
      <c r="T95" s="21" t="s">
        <v>2272</v>
      </c>
      <c r="U95" s="21" t="s">
        <v>2272</v>
      </c>
      <c r="V95" s="21" t="s">
        <v>2272</v>
      </c>
      <c r="W95" s="21" t="s">
        <v>2272</v>
      </c>
      <c r="X95" s="21" t="s">
        <v>2272</v>
      </c>
      <c r="Y95" s="21" t="s">
        <v>2272</v>
      </c>
      <c r="Z95" s="71" t="s">
        <v>2272</v>
      </c>
      <c r="AA95" s="198" t="s">
        <v>74</v>
      </c>
      <c r="AB95" s="198" t="s">
        <v>34</v>
      </c>
      <c r="AC95" s="198" t="s">
        <v>63</v>
      </c>
      <c r="AD95" s="4" t="s">
        <v>1311</v>
      </c>
      <c r="AE95" s="4" t="s">
        <v>5020</v>
      </c>
    </row>
    <row r="96" spans="1:31" ht="88" customHeight="1">
      <c r="A96" s="198" t="s">
        <v>1269</v>
      </c>
      <c r="B96" s="198" t="s">
        <v>1293</v>
      </c>
      <c r="C96" s="198" t="s">
        <v>23</v>
      </c>
      <c r="D96" s="198" t="s">
        <v>2654</v>
      </c>
      <c r="E96" s="4" t="s">
        <v>394</v>
      </c>
      <c r="F96" s="4" t="s">
        <v>27</v>
      </c>
      <c r="G96" s="198" t="s">
        <v>2272</v>
      </c>
      <c r="H96" s="198" t="s">
        <v>521</v>
      </c>
      <c r="I96" s="198"/>
      <c r="J96" s="21" t="s">
        <v>2272</v>
      </c>
      <c r="K96" s="21" t="s">
        <v>2272</v>
      </c>
      <c r="L96" s="21" t="s">
        <v>2272</v>
      </c>
      <c r="M96" s="21" t="s">
        <v>2272</v>
      </c>
      <c r="N96" s="21" t="s">
        <v>2272</v>
      </c>
      <c r="O96" s="21" t="s">
        <v>2272</v>
      </c>
      <c r="P96" s="21" t="s">
        <v>2272</v>
      </c>
      <c r="Q96" s="21" t="s">
        <v>2272</v>
      </c>
      <c r="R96" s="21" t="s">
        <v>2272</v>
      </c>
      <c r="S96" s="21" t="s">
        <v>2272</v>
      </c>
      <c r="T96" s="21" t="s">
        <v>2272</v>
      </c>
      <c r="U96" s="21" t="s">
        <v>2272</v>
      </c>
      <c r="V96" s="21" t="s">
        <v>2272</v>
      </c>
      <c r="W96" s="21" t="s">
        <v>2272</v>
      </c>
      <c r="X96" s="21" t="s">
        <v>2272</v>
      </c>
      <c r="Y96" s="21" t="s">
        <v>2272</v>
      </c>
      <c r="Z96" s="71" t="s">
        <v>2272</v>
      </c>
      <c r="AA96" s="198" t="s">
        <v>37</v>
      </c>
      <c r="AB96" s="198" t="s">
        <v>84</v>
      </c>
      <c r="AC96" s="198" t="s">
        <v>63</v>
      </c>
      <c r="AD96" s="4" t="s">
        <v>1310</v>
      </c>
      <c r="AE96" s="4" t="s">
        <v>5021</v>
      </c>
    </row>
    <row r="97" spans="1:31" ht="88" customHeight="1">
      <c r="A97" s="198" t="s">
        <v>1270</v>
      </c>
      <c r="B97" s="198" t="s">
        <v>1294</v>
      </c>
      <c r="C97" s="198" t="s">
        <v>23</v>
      </c>
      <c r="D97" s="198" t="s">
        <v>2654</v>
      </c>
      <c r="E97" s="4" t="s">
        <v>394</v>
      </c>
      <c r="F97" s="4" t="s">
        <v>27</v>
      </c>
      <c r="G97" s="198" t="s">
        <v>2272</v>
      </c>
      <c r="H97" s="198" t="s">
        <v>521</v>
      </c>
      <c r="I97" s="198"/>
      <c r="J97" s="21" t="s">
        <v>2272</v>
      </c>
      <c r="K97" s="21" t="s">
        <v>2272</v>
      </c>
      <c r="L97" s="21" t="s">
        <v>2272</v>
      </c>
      <c r="M97" s="21" t="s">
        <v>2272</v>
      </c>
      <c r="N97" s="21" t="s">
        <v>2272</v>
      </c>
      <c r="O97" s="21" t="s">
        <v>2272</v>
      </c>
      <c r="P97" s="21" t="s">
        <v>2272</v>
      </c>
      <c r="Q97" s="21" t="s">
        <v>2272</v>
      </c>
      <c r="R97" s="21" t="s">
        <v>2272</v>
      </c>
      <c r="S97" s="21" t="s">
        <v>2272</v>
      </c>
      <c r="T97" s="21" t="s">
        <v>2272</v>
      </c>
      <c r="U97" s="21" t="s">
        <v>2272</v>
      </c>
      <c r="V97" s="21" t="s">
        <v>2272</v>
      </c>
      <c r="W97" s="21" t="s">
        <v>2272</v>
      </c>
      <c r="X97" s="21" t="s">
        <v>2272</v>
      </c>
      <c r="Y97" s="21" t="s">
        <v>2272</v>
      </c>
      <c r="Z97" s="71" t="s">
        <v>2272</v>
      </c>
      <c r="AA97" s="198" t="s">
        <v>74</v>
      </c>
      <c r="AB97" s="198" t="s">
        <v>34</v>
      </c>
      <c r="AC97" s="198" t="s">
        <v>63</v>
      </c>
      <c r="AD97" s="4" t="s">
        <v>1311</v>
      </c>
      <c r="AE97" s="4" t="s">
        <v>5020</v>
      </c>
    </row>
    <row r="98" spans="1:31" ht="88" customHeight="1">
      <c r="A98" s="198" t="s">
        <v>1270</v>
      </c>
      <c r="B98" s="198" t="s">
        <v>1295</v>
      </c>
      <c r="C98" s="198" t="s">
        <v>23</v>
      </c>
      <c r="D98" s="198" t="s">
        <v>2654</v>
      </c>
      <c r="E98" s="4" t="s">
        <v>394</v>
      </c>
      <c r="F98" s="4" t="s">
        <v>27</v>
      </c>
      <c r="G98" s="198" t="s">
        <v>2272</v>
      </c>
      <c r="H98" s="198" t="s">
        <v>521</v>
      </c>
      <c r="I98" s="198"/>
      <c r="J98" s="21" t="s">
        <v>2272</v>
      </c>
      <c r="K98" s="21" t="s">
        <v>2272</v>
      </c>
      <c r="L98" s="21" t="s">
        <v>2272</v>
      </c>
      <c r="M98" s="21" t="s">
        <v>2272</v>
      </c>
      <c r="N98" s="21" t="s">
        <v>2272</v>
      </c>
      <c r="O98" s="21" t="s">
        <v>2272</v>
      </c>
      <c r="P98" s="21" t="s">
        <v>2272</v>
      </c>
      <c r="Q98" s="21" t="s">
        <v>2272</v>
      </c>
      <c r="R98" s="21" t="s">
        <v>2272</v>
      </c>
      <c r="S98" s="21" t="s">
        <v>2272</v>
      </c>
      <c r="T98" s="21" t="s">
        <v>2272</v>
      </c>
      <c r="U98" s="21" t="s">
        <v>2272</v>
      </c>
      <c r="V98" s="21" t="s">
        <v>2272</v>
      </c>
      <c r="W98" s="21" t="s">
        <v>2272</v>
      </c>
      <c r="X98" s="21" t="s">
        <v>2272</v>
      </c>
      <c r="Y98" s="21" t="s">
        <v>2272</v>
      </c>
      <c r="Z98" s="71" t="s">
        <v>2272</v>
      </c>
      <c r="AA98" s="198" t="s">
        <v>37</v>
      </c>
      <c r="AB98" s="198" t="s">
        <v>84</v>
      </c>
      <c r="AC98" s="198" t="s">
        <v>63</v>
      </c>
      <c r="AD98" s="4" t="s">
        <v>1310</v>
      </c>
      <c r="AE98" s="4" t="s">
        <v>5021</v>
      </c>
    </row>
    <row r="99" spans="1:31" ht="88" customHeight="1">
      <c r="A99" s="198" t="s">
        <v>1271</v>
      </c>
      <c r="B99" s="198" t="s">
        <v>1296</v>
      </c>
      <c r="C99" s="198" t="s">
        <v>23</v>
      </c>
      <c r="D99" s="198" t="s">
        <v>2654</v>
      </c>
      <c r="E99" s="4" t="s">
        <v>394</v>
      </c>
      <c r="F99" s="4" t="s">
        <v>27</v>
      </c>
      <c r="G99" s="198" t="s">
        <v>2272</v>
      </c>
      <c r="H99" s="198" t="s">
        <v>521</v>
      </c>
      <c r="I99" s="198"/>
      <c r="J99" s="21" t="s">
        <v>2272</v>
      </c>
      <c r="K99" s="21" t="s">
        <v>2272</v>
      </c>
      <c r="L99" s="21" t="s">
        <v>2272</v>
      </c>
      <c r="M99" s="21" t="s">
        <v>2272</v>
      </c>
      <c r="N99" s="21" t="s">
        <v>2272</v>
      </c>
      <c r="O99" s="21" t="s">
        <v>2272</v>
      </c>
      <c r="P99" s="21" t="s">
        <v>2272</v>
      </c>
      <c r="Q99" s="21" t="s">
        <v>2272</v>
      </c>
      <c r="R99" s="21" t="s">
        <v>2272</v>
      </c>
      <c r="S99" s="21" t="s">
        <v>2272</v>
      </c>
      <c r="T99" s="21" t="s">
        <v>2272</v>
      </c>
      <c r="U99" s="21" t="s">
        <v>2272</v>
      </c>
      <c r="V99" s="21" t="s">
        <v>2272</v>
      </c>
      <c r="W99" s="21" t="s">
        <v>2272</v>
      </c>
      <c r="X99" s="21" t="s">
        <v>2272</v>
      </c>
      <c r="Y99" s="21" t="s">
        <v>2272</v>
      </c>
      <c r="Z99" s="71" t="s">
        <v>2272</v>
      </c>
      <c r="AA99" s="198" t="s">
        <v>74</v>
      </c>
      <c r="AB99" s="198" t="s">
        <v>34</v>
      </c>
      <c r="AC99" s="198" t="s">
        <v>63</v>
      </c>
      <c r="AD99" s="4" t="s">
        <v>1311</v>
      </c>
      <c r="AE99" s="4" t="s">
        <v>5020</v>
      </c>
    </row>
    <row r="100" spans="1:31" ht="88" customHeight="1">
      <c r="A100" s="198" t="s">
        <v>1271</v>
      </c>
      <c r="B100" s="198" t="s">
        <v>1297</v>
      </c>
      <c r="C100" s="198" t="s">
        <v>23</v>
      </c>
      <c r="D100" s="198" t="s">
        <v>2654</v>
      </c>
      <c r="E100" s="4" t="s">
        <v>394</v>
      </c>
      <c r="F100" s="4" t="s">
        <v>27</v>
      </c>
      <c r="G100" s="198" t="s">
        <v>2272</v>
      </c>
      <c r="H100" s="198" t="s">
        <v>521</v>
      </c>
      <c r="I100" s="198"/>
      <c r="J100" s="21" t="s">
        <v>2272</v>
      </c>
      <c r="K100" s="21" t="s">
        <v>2272</v>
      </c>
      <c r="L100" s="21" t="s">
        <v>2272</v>
      </c>
      <c r="M100" s="21" t="s">
        <v>2272</v>
      </c>
      <c r="N100" s="21" t="s">
        <v>2272</v>
      </c>
      <c r="O100" s="21" t="s">
        <v>2272</v>
      </c>
      <c r="P100" s="21" t="s">
        <v>2272</v>
      </c>
      <c r="Q100" s="21" t="s">
        <v>2272</v>
      </c>
      <c r="R100" s="21" t="s">
        <v>2272</v>
      </c>
      <c r="S100" s="21" t="s">
        <v>2272</v>
      </c>
      <c r="T100" s="21" t="s">
        <v>2272</v>
      </c>
      <c r="U100" s="21" t="s">
        <v>2272</v>
      </c>
      <c r="V100" s="21" t="s">
        <v>2272</v>
      </c>
      <c r="W100" s="21" t="s">
        <v>2272</v>
      </c>
      <c r="X100" s="21" t="s">
        <v>2272</v>
      </c>
      <c r="Y100" s="21" t="s">
        <v>2272</v>
      </c>
      <c r="Z100" s="71" t="s">
        <v>2272</v>
      </c>
      <c r="AA100" s="198" t="s">
        <v>37</v>
      </c>
      <c r="AB100" s="198" t="s">
        <v>84</v>
      </c>
      <c r="AC100" s="198" t="s">
        <v>63</v>
      </c>
      <c r="AD100" s="4" t="s">
        <v>1310</v>
      </c>
      <c r="AE100" s="4" t="s">
        <v>5021</v>
      </c>
    </row>
    <row r="101" spans="1:31" ht="88" customHeight="1">
      <c r="A101" s="198" t="s">
        <v>1272</v>
      </c>
      <c r="B101" s="198" t="s">
        <v>1298</v>
      </c>
      <c r="C101" s="198" t="s">
        <v>23</v>
      </c>
      <c r="D101" s="198" t="s">
        <v>2654</v>
      </c>
      <c r="E101" s="4" t="s">
        <v>394</v>
      </c>
      <c r="F101" s="4" t="s">
        <v>27</v>
      </c>
      <c r="G101" s="198" t="s">
        <v>2272</v>
      </c>
      <c r="H101" s="198" t="s">
        <v>521</v>
      </c>
      <c r="I101" s="198"/>
      <c r="J101" s="21" t="s">
        <v>2272</v>
      </c>
      <c r="K101" s="21" t="s">
        <v>2272</v>
      </c>
      <c r="L101" s="21" t="s">
        <v>2272</v>
      </c>
      <c r="M101" s="21" t="s">
        <v>2272</v>
      </c>
      <c r="N101" s="21" t="s">
        <v>2272</v>
      </c>
      <c r="O101" s="21" t="s">
        <v>2272</v>
      </c>
      <c r="P101" s="21" t="s">
        <v>2272</v>
      </c>
      <c r="Q101" s="21" t="s">
        <v>2272</v>
      </c>
      <c r="R101" s="21" t="s">
        <v>2272</v>
      </c>
      <c r="S101" s="21" t="s">
        <v>2272</v>
      </c>
      <c r="T101" s="21" t="s">
        <v>2272</v>
      </c>
      <c r="U101" s="21" t="s">
        <v>2272</v>
      </c>
      <c r="V101" s="21" t="s">
        <v>2272</v>
      </c>
      <c r="W101" s="21" t="s">
        <v>2272</v>
      </c>
      <c r="X101" s="21" t="s">
        <v>2272</v>
      </c>
      <c r="Y101" s="21" t="s">
        <v>2272</v>
      </c>
      <c r="Z101" s="71" t="s">
        <v>2272</v>
      </c>
      <c r="AA101" s="198" t="s">
        <v>74</v>
      </c>
      <c r="AB101" s="198" t="s">
        <v>34</v>
      </c>
      <c r="AC101" s="198" t="s">
        <v>63</v>
      </c>
      <c r="AD101" s="4" t="s">
        <v>1311</v>
      </c>
      <c r="AE101" s="4" t="s">
        <v>5020</v>
      </c>
    </row>
    <row r="102" spans="1:31" ht="88" customHeight="1">
      <c r="A102" s="198" t="s">
        <v>1272</v>
      </c>
      <c r="B102" s="198" t="s">
        <v>1299</v>
      </c>
      <c r="C102" s="198" t="s">
        <v>23</v>
      </c>
      <c r="D102" s="198" t="s">
        <v>2654</v>
      </c>
      <c r="E102" s="4" t="s">
        <v>394</v>
      </c>
      <c r="F102" s="4" t="s">
        <v>27</v>
      </c>
      <c r="G102" s="198" t="s">
        <v>2272</v>
      </c>
      <c r="H102" s="198" t="s">
        <v>521</v>
      </c>
      <c r="I102" s="198"/>
      <c r="J102" s="21" t="s">
        <v>2272</v>
      </c>
      <c r="K102" s="21" t="s">
        <v>2272</v>
      </c>
      <c r="L102" s="21" t="s">
        <v>2272</v>
      </c>
      <c r="M102" s="21" t="s">
        <v>2272</v>
      </c>
      <c r="N102" s="21" t="s">
        <v>2272</v>
      </c>
      <c r="O102" s="21" t="s">
        <v>2272</v>
      </c>
      <c r="P102" s="21" t="s">
        <v>2272</v>
      </c>
      <c r="Q102" s="21" t="s">
        <v>2272</v>
      </c>
      <c r="R102" s="21" t="s">
        <v>2272</v>
      </c>
      <c r="S102" s="21" t="s">
        <v>2272</v>
      </c>
      <c r="T102" s="21" t="s">
        <v>2272</v>
      </c>
      <c r="U102" s="21" t="s">
        <v>2272</v>
      </c>
      <c r="V102" s="21" t="s">
        <v>2272</v>
      </c>
      <c r="W102" s="21" t="s">
        <v>2272</v>
      </c>
      <c r="X102" s="21" t="s">
        <v>2272</v>
      </c>
      <c r="Y102" s="21" t="s">
        <v>2272</v>
      </c>
      <c r="Z102" s="71" t="s">
        <v>2272</v>
      </c>
      <c r="AA102" s="198" t="s">
        <v>37</v>
      </c>
      <c r="AB102" s="198" t="s">
        <v>84</v>
      </c>
      <c r="AC102" s="198" t="s">
        <v>63</v>
      </c>
      <c r="AD102" s="4" t="s">
        <v>1310</v>
      </c>
      <c r="AE102" s="4" t="s">
        <v>5021</v>
      </c>
    </row>
    <row r="103" spans="1:31" ht="88" customHeight="1">
      <c r="A103" s="198" t="s">
        <v>1273</v>
      </c>
      <c r="B103" s="198" t="s">
        <v>1300</v>
      </c>
      <c r="C103" s="198" t="s">
        <v>23</v>
      </c>
      <c r="D103" s="198" t="s">
        <v>2654</v>
      </c>
      <c r="E103" s="4" t="s">
        <v>394</v>
      </c>
      <c r="F103" s="4" t="s">
        <v>27</v>
      </c>
      <c r="G103" s="198" t="s">
        <v>2272</v>
      </c>
      <c r="H103" s="198" t="s">
        <v>521</v>
      </c>
      <c r="I103" s="198"/>
      <c r="J103" s="21" t="s">
        <v>2272</v>
      </c>
      <c r="K103" s="21" t="s">
        <v>2272</v>
      </c>
      <c r="L103" s="21" t="s">
        <v>2272</v>
      </c>
      <c r="M103" s="21" t="s">
        <v>2272</v>
      </c>
      <c r="N103" s="21" t="s">
        <v>2272</v>
      </c>
      <c r="O103" s="21" t="s">
        <v>2272</v>
      </c>
      <c r="P103" s="21" t="s">
        <v>2272</v>
      </c>
      <c r="Q103" s="21" t="s">
        <v>2272</v>
      </c>
      <c r="R103" s="21" t="s">
        <v>2272</v>
      </c>
      <c r="S103" s="21" t="s">
        <v>2272</v>
      </c>
      <c r="T103" s="21" t="s">
        <v>2272</v>
      </c>
      <c r="U103" s="21" t="s">
        <v>2272</v>
      </c>
      <c r="V103" s="21" t="s">
        <v>2272</v>
      </c>
      <c r="W103" s="21" t="s">
        <v>2272</v>
      </c>
      <c r="X103" s="21" t="s">
        <v>2272</v>
      </c>
      <c r="Y103" s="21" t="s">
        <v>2272</v>
      </c>
      <c r="Z103" s="71" t="s">
        <v>2272</v>
      </c>
      <c r="AA103" s="198" t="s">
        <v>74</v>
      </c>
      <c r="AB103" s="198" t="s">
        <v>34</v>
      </c>
      <c r="AC103" s="198" t="s">
        <v>63</v>
      </c>
      <c r="AD103" s="4" t="s">
        <v>1311</v>
      </c>
      <c r="AE103" s="4" t="s">
        <v>5020</v>
      </c>
    </row>
    <row r="104" spans="1:31" ht="88" customHeight="1">
      <c r="A104" s="198" t="s">
        <v>1273</v>
      </c>
      <c r="B104" s="198" t="s">
        <v>1301</v>
      </c>
      <c r="C104" s="198" t="s">
        <v>23</v>
      </c>
      <c r="D104" s="198" t="s">
        <v>2654</v>
      </c>
      <c r="E104" s="4" t="s">
        <v>394</v>
      </c>
      <c r="F104" s="4" t="s">
        <v>27</v>
      </c>
      <c r="G104" s="198" t="s">
        <v>2272</v>
      </c>
      <c r="H104" s="198" t="s">
        <v>521</v>
      </c>
      <c r="I104" s="198"/>
      <c r="J104" s="21" t="s">
        <v>2272</v>
      </c>
      <c r="K104" s="21" t="s">
        <v>2272</v>
      </c>
      <c r="L104" s="21" t="s">
        <v>2272</v>
      </c>
      <c r="M104" s="21" t="s">
        <v>2272</v>
      </c>
      <c r="N104" s="21" t="s">
        <v>2272</v>
      </c>
      <c r="O104" s="21" t="s">
        <v>2272</v>
      </c>
      <c r="P104" s="21" t="s">
        <v>2272</v>
      </c>
      <c r="Q104" s="21" t="s">
        <v>2272</v>
      </c>
      <c r="R104" s="21" t="s">
        <v>2272</v>
      </c>
      <c r="S104" s="21" t="s">
        <v>2272</v>
      </c>
      <c r="T104" s="21" t="s">
        <v>2272</v>
      </c>
      <c r="U104" s="21" t="s">
        <v>2272</v>
      </c>
      <c r="V104" s="21" t="s">
        <v>2272</v>
      </c>
      <c r="W104" s="21" t="s">
        <v>2272</v>
      </c>
      <c r="X104" s="21" t="s">
        <v>2272</v>
      </c>
      <c r="Y104" s="21" t="s">
        <v>2272</v>
      </c>
      <c r="Z104" s="71" t="s">
        <v>2272</v>
      </c>
      <c r="AA104" s="198" t="s">
        <v>37</v>
      </c>
      <c r="AB104" s="198" t="s">
        <v>84</v>
      </c>
      <c r="AC104" s="198" t="s">
        <v>63</v>
      </c>
      <c r="AD104" s="4" t="s">
        <v>1310</v>
      </c>
      <c r="AE104" s="4" t="s">
        <v>5021</v>
      </c>
    </row>
    <row r="105" spans="1:31" ht="88" customHeight="1">
      <c r="A105" s="198" t="s">
        <v>1274</v>
      </c>
      <c r="B105" s="198" t="s">
        <v>1302</v>
      </c>
      <c r="C105" s="198" t="s">
        <v>23</v>
      </c>
      <c r="D105" s="198" t="s">
        <v>2654</v>
      </c>
      <c r="E105" s="4" t="s">
        <v>394</v>
      </c>
      <c r="F105" s="4" t="s">
        <v>27</v>
      </c>
      <c r="G105" s="198" t="s">
        <v>2272</v>
      </c>
      <c r="H105" s="198" t="s">
        <v>521</v>
      </c>
      <c r="I105" s="198"/>
      <c r="J105" s="21" t="s">
        <v>2272</v>
      </c>
      <c r="K105" s="21" t="s">
        <v>2272</v>
      </c>
      <c r="L105" s="21" t="s">
        <v>2272</v>
      </c>
      <c r="M105" s="21" t="s">
        <v>2272</v>
      </c>
      <c r="N105" s="21" t="s">
        <v>2272</v>
      </c>
      <c r="O105" s="21" t="s">
        <v>2272</v>
      </c>
      <c r="P105" s="21" t="s">
        <v>2272</v>
      </c>
      <c r="Q105" s="21" t="s">
        <v>2272</v>
      </c>
      <c r="R105" s="21" t="s">
        <v>2272</v>
      </c>
      <c r="S105" s="21" t="s">
        <v>2272</v>
      </c>
      <c r="T105" s="21" t="s">
        <v>2272</v>
      </c>
      <c r="U105" s="21" t="s">
        <v>2272</v>
      </c>
      <c r="V105" s="21" t="s">
        <v>2272</v>
      </c>
      <c r="W105" s="21" t="s">
        <v>2272</v>
      </c>
      <c r="X105" s="21" t="s">
        <v>2272</v>
      </c>
      <c r="Y105" s="21" t="s">
        <v>2272</v>
      </c>
      <c r="Z105" s="71" t="s">
        <v>2272</v>
      </c>
      <c r="AA105" s="198" t="s">
        <v>74</v>
      </c>
      <c r="AB105" s="198" t="s">
        <v>34</v>
      </c>
      <c r="AC105" s="198" t="s">
        <v>63</v>
      </c>
      <c r="AD105" s="4" t="s">
        <v>1311</v>
      </c>
      <c r="AE105" s="4" t="s">
        <v>5020</v>
      </c>
    </row>
    <row r="106" spans="1:31" ht="88" customHeight="1">
      <c r="A106" s="198" t="s">
        <v>1274</v>
      </c>
      <c r="B106" s="198" t="s">
        <v>1303</v>
      </c>
      <c r="C106" s="198" t="s">
        <v>23</v>
      </c>
      <c r="D106" s="198" t="s">
        <v>2654</v>
      </c>
      <c r="E106" s="4" t="s">
        <v>394</v>
      </c>
      <c r="F106" s="4" t="s">
        <v>27</v>
      </c>
      <c r="G106" s="198" t="s">
        <v>2272</v>
      </c>
      <c r="H106" s="198" t="s">
        <v>521</v>
      </c>
      <c r="I106" s="198"/>
      <c r="J106" s="21" t="s">
        <v>2272</v>
      </c>
      <c r="K106" s="21" t="s">
        <v>2272</v>
      </c>
      <c r="L106" s="21" t="s">
        <v>2272</v>
      </c>
      <c r="M106" s="21" t="s">
        <v>2272</v>
      </c>
      <c r="N106" s="21" t="s">
        <v>2272</v>
      </c>
      <c r="O106" s="21" t="s">
        <v>2272</v>
      </c>
      <c r="P106" s="21" t="s">
        <v>2272</v>
      </c>
      <c r="Q106" s="21" t="s">
        <v>2272</v>
      </c>
      <c r="R106" s="21" t="s">
        <v>2272</v>
      </c>
      <c r="S106" s="21" t="s">
        <v>2272</v>
      </c>
      <c r="T106" s="21" t="s">
        <v>2272</v>
      </c>
      <c r="U106" s="21" t="s">
        <v>2272</v>
      </c>
      <c r="V106" s="21" t="s">
        <v>2272</v>
      </c>
      <c r="W106" s="21" t="s">
        <v>2272</v>
      </c>
      <c r="X106" s="21" t="s">
        <v>2272</v>
      </c>
      <c r="Y106" s="21" t="s">
        <v>2272</v>
      </c>
      <c r="Z106" s="71" t="s">
        <v>2272</v>
      </c>
      <c r="AA106" s="198" t="s">
        <v>37</v>
      </c>
      <c r="AB106" s="198" t="s">
        <v>84</v>
      </c>
      <c r="AC106" s="198" t="s">
        <v>63</v>
      </c>
      <c r="AD106" s="4" t="s">
        <v>1310</v>
      </c>
      <c r="AE106" s="4" t="s">
        <v>5021</v>
      </c>
    </row>
    <row r="107" spans="1:31" ht="88" customHeight="1">
      <c r="A107" s="198" t="s">
        <v>1275</v>
      </c>
      <c r="B107" s="198" t="s">
        <v>1304</v>
      </c>
      <c r="C107" s="198" t="s">
        <v>23</v>
      </c>
      <c r="D107" s="198" t="s">
        <v>2654</v>
      </c>
      <c r="E107" s="4" t="s">
        <v>394</v>
      </c>
      <c r="F107" s="4" t="s">
        <v>27</v>
      </c>
      <c r="G107" s="198" t="s">
        <v>2272</v>
      </c>
      <c r="H107" s="198" t="s">
        <v>521</v>
      </c>
      <c r="I107" s="198"/>
      <c r="J107" s="21" t="s">
        <v>2272</v>
      </c>
      <c r="K107" s="21" t="s">
        <v>2272</v>
      </c>
      <c r="L107" s="21" t="s">
        <v>2272</v>
      </c>
      <c r="M107" s="21" t="s">
        <v>2272</v>
      </c>
      <c r="N107" s="21" t="s">
        <v>2272</v>
      </c>
      <c r="O107" s="21" t="s">
        <v>2272</v>
      </c>
      <c r="P107" s="21" t="s">
        <v>2272</v>
      </c>
      <c r="Q107" s="21" t="s">
        <v>2272</v>
      </c>
      <c r="R107" s="21" t="s">
        <v>2272</v>
      </c>
      <c r="S107" s="21" t="s">
        <v>2272</v>
      </c>
      <c r="T107" s="21" t="s">
        <v>2272</v>
      </c>
      <c r="U107" s="21" t="s">
        <v>2272</v>
      </c>
      <c r="V107" s="21" t="s">
        <v>2272</v>
      </c>
      <c r="W107" s="21" t="s">
        <v>2272</v>
      </c>
      <c r="X107" s="21" t="s">
        <v>2272</v>
      </c>
      <c r="Y107" s="21" t="s">
        <v>2272</v>
      </c>
      <c r="Z107" s="71" t="s">
        <v>2272</v>
      </c>
      <c r="AA107" s="198" t="s">
        <v>74</v>
      </c>
      <c r="AB107" s="198" t="s">
        <v>34</v>
      </c>
      <c r="AC107" s="198" t="s">
        <v>63</v>
      </c>
      <c r="AD107" s="4" t="s">
        <v>1311</v>
      </c>
      <c r="AE107" s="4" t="s">
        <v>5020</v>
      </c>
    </row>
    <row r="108" spans="1:31" ht="88" customHeight="1">
      <c r="A108" s="198" t="s">
        <v>1275</v>
      </c>
      <c r="B108" s="198" t="s">
        <v>1305</v>
      </c>
      <c r="C108" s="198" t="s">
        <v>23</v>
      </c>
      <c r="D108" s="198" t="s">
        <v>2654</v>
      </c>
      <c r="E108" s="4" t="s">
        <v>394</v>
      </c>
      <c r="F108" s="4" t="s">
        <v>27</v>
      </c>
      <c r="G108" s="198" t="s">
        <v>2272</v>
      </c>
      <c r="H108" s="198" t="s">
        <v>521</v>
      </c>
      <c r="I108" s="198"/>
      <c r="J108" s="21" t="s">
        <v>2272</v>
      </c>
      <c r="K108" s="21" t="s">
        <v>2272</v>
      </c>
      <c r="L108" s="21" t="s">
        <v>2272</v>
      </c>
      <c r="M108" s="21" t="s">
        <v>2272</v>
      </c>
      <c r="N108" s="21" t="s">
        <v>2272</v>
      </c>
      <c r="O108" s="21" t="s">
        <v>2272</v>
      </c>
      <c r="P108" s="21" t="s">
        <v>2272</v>
      </c>
      <c r="Q108" s="21" t="s">
        <v>2272</v>
      </c>
      <c r="R108" s="21" t="s">
        <v>2272</v>
      </c>
      <c r="S108" s="21" t="s">
        <v>2272</v>
      </c>
      <c r="T108" s="21" t="s">
        <v>2272</v>
      </c>
      <c r="U108" s="21" t="s">
        <v>2272</v>
      </c>
      <c r="V108" s="21" t="s">
        <v>2272</v>
      </c>
      <c r="W108" s="21" t="s">
        <v>2272</v>
      </c>
      <c r="X108" s="21" t="s">
        <v>2272</v>
      </c>
      <c r="Y108" s="21" t="s">
        <v>2272</v>
      </c>
      <c r="Z108" s="71" t="s">
        <v>2272</v>
      </c>
      <c r="AA108" s="198" t="s">
        <v>37</v>
      </c>
      <c r="AB108" s="198" t="s">
        <v>84</v>
      </c>
      <c r="AC108" s="198" t="s">
        <v>63</v>
      </c>
      <c r="AD108" s="4" t="s">
        <v>1310</v>
      </c>
      <c r="AE108" s="4" t="s">
        <v>5021</v>
      </c>
    </row>
    <row r="109" spans="1:31" ht="88" customHeight="1">
      <c r="A109" s="198" t="s">
        <v>1276</v>
      </c>
      <c r="B109" s="198" t="s">
        <v>1306</v>
      </c>
      <c r="C109" s="198" t="s">
        <v>23</v>
      </c>
      <c r="D109" s="198" t="s">
        <v>2654</v>
      </c>
      <c r="E109" s="4" t="s">
        <v>394</v>
      </c>
      <c r="F109" s="4" t="s">
        <v>27</v>
      </c>
      <c r="G109" s="198" t="s">
        <v>2272</v>
      </c>
      <c r="H109" s="198" t="s">
        <v>521</v>
      </c>
      <c r="I109" s="198"/>
      <c r="J109" s="21" t="s">
        <v>2272</v>
      </c>
      <c r="K109" s="21" t="s">
        <v>2272</v>
      </c>
      <c r="L109" s="21" t="s">
        <v>2272</v>
      </c>
      <c r="M109" s="21" t="s">
        <v>2272</v>
      </c>
      <c r="N109" s="21" t="s">
        <v>2272</v>
      </c>
      <c r="O109" s="21" t="s">
        <v>2272</v>
      </c>
      <c r="P109" s="21" t="s">
        <v>2272</v>
      </c>
      <c r="Q109" s="21" t="s">
        <v>2272</v>
      </c>
      <c r="R109" s="21" t="s">
        <v>2272</v>
      </c>
      <c r="S109" s="21" t="s">
        <v>2272</v>
      </c>
      <c r="T109" s="21" t="s">
        <v>2272</v>
      </c>
      <c r="U109" s="21" t="s">
        <v>2272</v>
      </c>
      <c r="V109" s="21" t="s">
        <v>2272</v>
      </c>
      <c r="W109" s="21" t="s">
        <v>2272</v>
      </c>
      <c r="X109" s="21" t="s">
        <v>2272</v>
      </c>
      <c r="Y109" s="21" t="s">
        <v>2272</v>
      </c>
      <c r="Z109" s="71" t="s">
        <v>2272</v>
      </c>
      <c r="AA109" s="198" t="s">
        <v>74</v>
      </c>
      <c r="AB109" s="198" t="s">
        <v>34</v>
      </c>
      <c r="AC109" s="198" t="s">
        <v>63</v>
      </c>
      <c r="AD109" s="4" t="s">
        <v>1311</v>
      </c>
      <c r="AE109" s="4" t="s">
        <v>5020</v>
      </c>
    </row>
    <row r="110" spans="1:31" ht="88" customHeight="1">
      <c r="A110" s="198" t="s">
        <v>1276</v>
      </c>
      <c r="B110" s="198" t="s">
        <v>1307</v>
      </c>
      <c r="C110" s="198" t="s">
        <v>23</v>
      </c>
      <c r="D110" s="198" t="s">
        <v>2654</v>
      </c>
      <c r="E110" s="4" t="s">
        <v>394</v>
      </c>
      <c r="F110" s="4" t="s">
        <v>27</v>
      </c>
      <c r="G110" s="198" t="s">
        <v>2272</v>
      </c>
      <c r="H110" s="198" t="s">
        <v>521</v>
      </c>
      <c r="I110" s="198"/>
      <c r="J110" s="21" t="s">
        <v>2272</v>
      </c>
      <c r="K110" s="21" t="s">
        <v>2272</v>
      </c>
      <c r="L110" s="21" t="s">
        <v>2272</v>
      </c>
      <c r="M110" s="21" t="s">
        <v>2272</v>
      </c>
      <c r="N110" s="21" t="s">
        <v>2272</v>
      </c>
      <c r="O110" s="21" t="s">
        <v>2272</v>
      </c>
      <c r="P110" s="21" t="s">
        <v>2272</v>
      </c>
      <c r="Q110" s="21" t="s">
        <v>2272</v>
      </c>
      <c r="R110" s="21" t="s">
        <v>2272</v>
      </c>
      <c r="S110" s="21" t="s">
        <v>2272</v>
      </c>
      <c r="T110" s="21" t="s">
        <v>2272</v>
      </c>
      <c r="U110" s="21" t="s">
        <v>2272</v>
      </c>
      <c r="V110" s="21" t="s">
        <v>2272</v>
      </c>
      <c r="W110" s="21" t="s">
        <v>2272</v>
      </c>
      <c r="X110" s="21" t="s">
        <v>2272</v>
      </c>
      <c r="Y110" s="21" t="s">
        <v>2272</v>
      </c>
      <c r="Z110" s="71" t="s">
        <v>2272</v>
      </c>
      <c r="AA110" s="198" t="s">
        <v>37</v>
      </c>
      <c r="AB110" s="198" t="s">
        <v>84</v>
      </c>
      <c r="AC110" s="198" t="s">
        <v>63</v>
      </c>
      <c r="AD110" s="4" t="s">
        <v>1310</v>
      </c>
      <c r="AE110" s="4" t="s">
        <v>5021</v>
      </c>
    </row>
    <row r="111" spans="1:31" ht="88" customHeight="1">
      <c r="A111" s="198" t="s">
        <v>1277</v>
      </c>
      <c r="B111" s="198" t="s">
        <v>1308</v>
      </c>
      <c r="C111" s="198" t="s">
        <v>23</v>
      </c>
      <c r="D111" s="198" t="s">
        <v>2654</v>
      </c>
      <c r="E111" s="4" t="s">
        <v>394</v>
      </c>
      <c r="F111" s="4" t="s">
        <v>27</v>
      </c>
      <c r="G111" s="198" t="s">
        <v>2272</v>
      </c>
      <c r="H111" s="198" t="s">
        <v>521</v>
      </c>
      <c r="I111" s="198"/>
      <c r="J111" s="21" t="s">
        <v>2272</v>
      </c>
      <c r="K111" s="21" t="s">
        <v>2272</v>
      </c>
      <c r="L111" s="21" t="s">
        <v>2272</v>
      </c>
      <c r="M111" s="21" t="s">
        <v>2272</v>
      </c>
      <c r="N111" s="21" t="s">
        <v>2272</v>
      </c>
      <c r="O111" s="21" t="s">
        <v>2272</v>
      </c>
      <c r="P111" s="21" t="s">
        <v>2272</v>
      </c>
      <c r="Q111" s="21" t="s">
        <v>2272</v>
      </c>
      <c r="R111" s="21" t="s">
        <v>2272</v>
      </c>
      <c r="S111" s="21" t="s">
        <v>2272</v>
      </c>
      <c r="T111" s="21" t="s">
        <v>2272</v>
      </c>
      <c r="U111" s="21" t="s">
        <v>2272</v>
      </c>
      <c r="V111" s="21" t="s">
        <v>2272</v>
      </c>
      <c r="W111" s="21" t="s">
        <v>2272</v>
      </c>
      <c r="X111" s="21" t="s">
        <v>2272</v>
      </c>
      <c r="Y111" s="21" t="s">
        <v>2272</v>
      </c>
      <c r="Z111" s="71" t="s">
        <v>2272</v>
      </c>
      <c r="AA111" s="198" t="s">
        <v>74</v>
      </c>
      <c r="AB111" s="198" t="s">
        <v>34</v>
      </c>
      <c r="AC111" s="198" t="s">
        <v>63</v>
      </c>
      <c r="AD111" s="4" t="s">
        <v>1311</v>
      </c>
      <c r="AE111" s="4" t="s">
        <v>5020</v>
      </c>
    </row>
    <row r="112" spans="1:31" ht="88" customHeight="1">
      <c r="A112" s="198" t="s">
        <v>1277</v>
      </c>
      <c r="B112" s="198" t="s">
        <v>1309</v>
      </c>
      <c r="C112" s="198" t="s">
        <v>23</v>
      </c>
      <c r="D112" s="198" t="s">
        <v>2654</v>
      </c>
      <c r="E112" s="4" t="s">
        <v>394</v>
      </c>
      <c r="F112" s="4" t="s">
        <v>27</v>
      </c>
      <c r="G112" s="198" t="s">
        <v>2272</v>
      </c>
      <c r="H112" s="198" t="s">
        <v>521</v>
      </c>
      <c r="I112" s="198"/>
      <c r="J112" s="21" t="s">
        <v>2272</v>
      </c>
      <c r="K112" s="21" t="s">
        <v>2272</v>
      </c>
      <c r="L112" s="21" t="s">
        <v>2272</v>
      </c>
      <c r="M112" s="21" t="s">
        <v>2272</v>
      </c>
      <c r="N112" s="21" t="s">
        <v>2272</v>
      </c>
      <c r="O112" s="21" t="s">
        <v>2272</v>
      </c>
      <c r="P112" s="21" t="s">
        <v>2272</v>
      </c>
      <c r="Q112" s="21" t="s">
        <v>2272</v>
      </c>
      <c r="R112" s="21" t="s">
        <v>2272</v>
      </c>
      <c r="S112" s="21" t="s">
        <v>2272</v>
      </c>
      <c r="T112" s="21" t="s">
        <v>2272</v>
      </c>
      <c r="U112" s="21" t="s">
        <v>2272</v>
      </c>
      <c r="V112" s="21" t="s">
        <v>2272</v>
      </c>
      <c r="W112" s="21" t="s">
        <v>2272</v>
      </c>
      <c r="X112" s="21" t="s">
        <v>2272</v>
      </c>
      <c r="Y112" s="21" t="s">
        <v>2272</v>
      </c>
      <c r="Z112" s="71" t="s">
        <v>2272</v>
      </c>
      <c r="AA112" s="198" t="s">
        <v>37</v>
      </c>
      <c r="AB112" s="198" t="s">
        <v>84</v>
      </c>
      <c r="AC112" s="198" t="s">
        <v>63</v>
      </c>
      <c r="AD112" s="4" t="s">
        <v>1310</v>
      </c>
      <c r="AE112" s="4" t="s">
        <v>5021</v>
      </c>
    </row>
    <row r="113" spans="1:31" ht="50" customHeight="1">
      <c r="A113" s="198" t="s">
        <v>101</v>
      </c>
      <c r="B113" s="198" t="s">
        <v>102</v>
      </c>
      <c r="C113" s="198" t="s">
        <v>23</v>
      </c>
      <c r="D113" s="198" t="s">
        <v>2654</v>
      </c>
      <c r="E113" s="4" t="s">
        <v>394</v>
      </c>
      <c r="F113" s="4" t="s">
        <v>27</v>
      </c>
      <c r="G113" s="198" t="s">
        <v>2272</v>
      </c>
      <c r="H113" s="198" t="s">
        <v>521</v>
      </c>
      <c r="I113" s="198"/>
      <c r="J113" s="21" t="s">
        <v>2272</v>
      </c>
      <c r="K113" s="21" t="s">
        <v>2272</v>
      </c>
      <c r="L113" s="21" t="s">
        <v>2272</v>
      </c>
      <c r="M113" s="21" t="s">
        <v>2272</v>
      </c>
      <c r="N113" s="21" t="s">
        <v>2272</v>
      </c>
      <c r="O113" s="21" t="s">
        <v>2272</v>
      </c>
      <c r="P113" s="21" t="s">
        <v>2272</v>
      </c>
      <c r="Q113" s="21" t="s">
        <v>2272</v>
      </c>
      <c r="R113" s="21" t="s">
        <v>2272</v>
      </c>
      <c r="S113" s="21" t="s">
        <v>2272</v>
      </c>
      <c r="T113" s="21" t="s">
        <v>2272</v>
      </c>
      <c r="U113" s="21" t="s">
        <v>2272</v>
      </c>
      <c r="V113" s="21" t="s">
        <v>2272</v>
      </c>
      <c r="W113" s="21" t="s">
        <v>2272</v>
      </c>
      <c r="X113" s="21" t="s">
        <v>2272</v>
      </c>
      <c r="Y113" s="21" t="s">
        <v>2272</v>
      </c>
      <c r="Z113" s="21" t="s">
        <v>2272</v>
      </c>
      <c r="AA113" s="198" t="s">
        <v>74</v>
      </c>
      <c r="AB113" s="198" t="s">
        <v>34</v>
      </c>
      <c r="AC113" s="198" t="s">
        <v>63</v>
      </c>
      <c r="AD113" s="4" t="s">
        <v>103</v>
      </c>
      <c r="AE113" s="198" t="s">
        <v>5022</v>
      </c>
    </row>
    <row r="114" spans="1:31" ht="140" customHeight="1">
      <c r="A114" s="198" t="s">
        <v>105</v>
      </c>
      <c r="B114" s="198" t="s">
        <v>108</v>
      </c>
      <c r="C114" s="198" t="s">
        <v>23</v>
      </c>
      <c r="D114" s="198" t="s">
        <v>2654</v>
      </c>
      <c r="E114" s="4" t="s">
        <v>394</v>
      </c>
      <c r="F114" s="4" t="s">
        <v>27</v>
      </c>
      <c r="G114" s="198" t="s">
        <v>2272</v>
      </c>
      <c r="H114" s="198" t="s">
        <v>521</v>
      </c>
      <c r="I114" s="198"/>
      <c r="J114" s="21" t="s">
        <v>2272</v>
      </c>
      <c r="K114" s="21" t="s">
        <v>2272</v>
      </c>
      <c r="L114" s="21" t="s">
        <v>2272</v>
      </c>
      <c r="M114" s="21" t="s">
        <v>2272</v>
      </c>
      <c r="N114" s="21" t="s">
        <v>2272</v>
      </c>
      <c r="O114" s="21" t="s">
        <v>2272</v>
      </c>
      <c r="P114" s="21" t="s">
        <v>2272</v>
      </c>
      <c r="Q114" s="21" t="s">
        <v>2272</v>
      </c>
      <c r="R114" s="21" t="s">
        <v>2272</v>
      </c>
      <c r="S114" s="21" t="s">
        <v>2272</v>
      </c>
      <c r="T114" s="21" t="s">
        <v>2272</v>
      </c>
      <c r="U114" s="21" t="s">
        <v>2272</v>
      </c>
      <c r="V114" s="21" t="s">
        <v>2272</v>
      </c>
      <c r="W114" s="21" t="s">
        <v>2272</v>
      </c>
      <c r="X114" s="21" t="s">
        <v>2272</v>
      </c>
      <c r="Y114" s="21" t="s">
        <v>2272</v>
      </c>
      <c r="Z114" s="21">
        <f>5/2.95</f>
        <v>1.6949152542372881</v>
      </c>
      <c r="AA114" s="198" t="s">
        <v>74</v>
      </c>
      <c r="AB114" s="198" t="s">
        <v>34</v>
      </c>
      <c r="AC114" s="198" t="s">
        <v>63</v>
      </c>
      <c r="AD114" s="4" t="s">
        <v>5025</v>
      </c>
      <c r="AE114" s="4" t="s">
        <v>1355</v>
      </c>
    </row>
    <row r="115" spans="1:31" ht="100.5" customHeight="1">
      <c r="A115" s="198" t="s">
        <v>105</v>
      </c>
      <c r="B115" s="198" t="s">
        <v>109</v>
      </c>
      <c r="C115" s="198" t="s">
        <v>23</v>
      </c>
      <c r="D115" s="198" t="s">
        <v>2654</v>
      </c>
      <c r="E115" s="4" t="s">
        <v>395</v>
      </c>
      <c r="F115" s="4" t="s">
        <v>27</v>
      </c>
      <c r="G115" s="198" t="s">
        <v>2272</v>
      </c>
      <c r="H115" s="198" t="s">
        <v>521</v>
      </c>
      <c r="I115" s="198"/>
      <c r="J115" s="21" t="s">
        <v>2272</v>
      </c>
      <c r="K115" s="21" t="s">
        <v>2272</v>
      </c>
      <c r="L115" s="21" t="s">
        <v>2272</v>
      </c>
      <c r="M115" s="21" t="s">
        <v>2272</v>
      </c>
      <c r="N115" s="21" t="s">
        <v>2272</v>
      </c>
      <c r="O115" s="21" t="s">
        <v>2272</v>
      </c>
      <c r="P115" s="21" t="s">
        <v>2272</v>
      </c>
      <c r="Q115" s="21" t="s">
        <v>2272</v>
      </c>
      <c r="R115" s="21" t="s">
        <v>2272</v>
      </c>
      <c r="S115" s="21" t="s">
        <v>2272</v>
      </c>
      <c r="T115" s="21" t="s">
        <v>2272</v>
      </c>
      <c r="U115" s="21" t="s">
        <v>2272</v>
      </c>
      <c r="V115" s="21" t="s">
        <v>2272</v>
      </c>
      <c r="W115" s="21" t="s">
        <v>2272</v>
      </c>
      <c r="X115" s="21" t="s">
        <v>2272</v>
      </c>
      <c r="Y115" s="21" t="s">
        <v>2272</v>
      </c>
      <c r="Z115" s="21">
        <f>5/2.95</f>
        <v>1.6949152542372881</v>
      </c>
      <c r="AA115" s="198" t="s">
        <v>74</v>
      </c>
      <c r="AB115" s="198" t="s">
        <v>34</v>
      </c>
      <c r="AC115" s="198" t="s">
        <v>63</v>
      </c>
      <c r="AD115" s="4" t="s">
        <v>5025</v>
      </c>
      <c r="AE115" s="4" t="s">
        <v>1354</v>
      </c>
    </row>
    <row r="116" spans="1:31" ht="150.5" customHeight="1">
      <c r="A116" s="198" t="s">
        <v>1313</v>
      </c>
      <c r="B116" s="198" t="s">
        <v>1323</v>
      </c>
      <c r="C116" s="198" t="s">
        <v>23</v>
      </c>
      <c r="D116" s="198" t="s">
        <v>2654</v>
      </c>
      <c r="E116" s="4" t="s">
        <v>394</v>
      </c>
      <c r="F116" s="4" t="s">
        <v>27</v>
      </c>
      <c r="G116" s="198" t="s">
        <v>2272</v>
      </c>
      <c r="H116" s="198" t="s">
        <v>521</v>
      </c>
      <c r="I116" s="198"/>
      <c r="J116" s="21" t="s">
        <v>2272</v>
      </c>
      <c r="K116" s="21" t="s">
        <v>2272</v>
      </c>
      <c r="L116" s="21" t="s">
        <v>2272</v>
      </c>
      <c r="M116" s="21" t="s">
        <v>2272</v>
      </c>
      <c r="N116" s="21" t="s">
        <v>2272</v>
      </c>
      <c r="O116" s="21" t="s">
        <v>2272</v>
      </c>
      <c r="P116" s="21" t="s">
        <v>2272</v>
      </c>
      <c r="Q116" s="21" t="s">
        <v>2272</v>
      </c>
      <c r="R116" s="21" t="s">
        <v>2272</v>
      </c>
      <c r="S116" s="21" t="s">
        <v>2272</v>
      </c>
      <c r="T116" s="21" t="s">
        <v>2272</v>
      </c>
      <c r="U116" s="21" t="s">
        <v>2272</v>
      </c>
      <c r="V116" s="21" t="s">
        <v>2272</v>
      </c>
      <c r="W116" s="21" t="s">
        <v>2272</v>
      </c>
      <c r="X116" s="21" t="s">
        <v>2272</v>
      </c>
      <c r="Y116" s="21" t="s">
        <v>2272</v>
      </c>
      <c r="Z116" s="21">
        <f>5/3.29</f>
        <v>1.519756838905775</v>
      </c>
      <c r="AA116" s="198" t="s">
        <v>74</v>
      </c>
      <c r="AB116" s="198" t="s">
        <v>34</v>
      </c>
      <c r="AC116" s="198" t="s">
        <v>63</v>
      </c>
      <c r="AD116" s="4" t="s">
        <v>5025</v>
      </c>
      <c r="AE116" s="4" t="s">
        <v>1355</v>
      </c>
    </row>
    <row r="117" spans="1:31" ht="109.5" customHeight="1">
      <c r="A117" s="198" t="s">
        <v>1313</v>
      </c>
      <c r="B117" s="198" t="s">
        <v>1324</v>
      </c>
      <c r="C117" s="198" t="s">
        <v>23</v>
      </c>
      <c r="D117" s="198" t="s">
        <v>2654</v>
      </c>
      <c r="E117" s="4" t="s">
        <v>395</v>
      </c>
      <c r="F117" s="4" t="s">
        <v>27</v>
      </c>
      <c r="G117" s="198" t="s">
        <v>2272</v>
      </c>
      <c r="H117" s="198" t="s">
        <v>521</v>
      </c>
      <c r="I117" s="198"/>
      <c r="J117" s="21" t="s">
        <v>2272</v>
      </c>
      <c r="K117" s="21" t="s">
        <v>2272</v>
      </c>
      <c r="L117" s="21" t="s">
        <v>2272</v>
      </c>
      <c r="M117" s="21" t="s">
        <v>2272</v>
      </c>
      <c r="N117" s="21" t="s">
        <v>2272</v>
      </c>
      <c r="O117" s="21" t="s">
        <v>2272</v>
      </c>
      <c r="P117" s="21" t="s">
        <v>2272</v>
      </c>
      <c r="Q117" s="21" t="s">
        <v>2272</v>
      </c>
      <c r="R117" s="21" t="s">
        <v>2272</v>
      </c>
      <c r="S117" s="21" t="s">
        <v>2272</v>
      </c>
      <c r="T117" s="21" t="s">
        <v>2272</v>
      </c>
      <c r="U117" s="21" t="s">
        <v>2272</v>
      </c>
      <c r="V117" s="21" t="s">
        <v>2272</v>
      </c>
      <c r="W117" s="21" t="s">
        <v>2272</v>
      </c>
      <c r="X117" s="21" t="s">
        <v>2272</v>
      </c>
      <c r="Y117" s="21" t="s">
        <v>2272</v>
      </c>
      <c r="Z117" s="21">
        <f>5/3.29</f>
        <v>1.519756838905775</v>
      </c>
      <c r="AA117" s="198" t="s">
        <v>74</v>
      </c>
      <c r="AB117" s="198" t="s">
        <v>34</v>
      </c>
      <c r="AC117" s="198" t="s">
        <v>63</v>
      </c>
      <c r="AD117" s="4" t="s">
        <v>5025</v>
      </c>
      <c r="AE117" s="4" t="s">
        <v>1354</v>
      </c>
    </row>
    <row r="118" spans="1:31" ht="146.5" customHeight="1">
      <c r="A118" s="198" t="s">
        <v>1314</v>
      </c>
      <c r="B118" s="198" t="s">
        <v>1336</v>
      </c>
      <c r="C118" s="198" t="s">
        <v>23</v>
      </c>
      <c r="D118" s="198" t="s">
        <v>2654</v>
      </c>
      <c r="E118" s="4" t="s">
        <v>394</v>
      </c>
      <c r="F118" s="4" t="s">
        <v>27</v>
      </c>
      <c r="G118" s="198" t="s">
        <v>2272</v>
      </c>
      <c r="H118" s="198" t="s">
        <v>521</v>
      </c>
      <c r="I118" s="198"/>
      <c r="J118" s="21" t="s">
        <v>2272</v>
      </c>
      <c r="K118" s="21" t="s">
        <v>2272</v>
      </c>
      <c r="L118" s="21" t="s">
        <v>2272</v>
      </c>
      <c r="M118" s="21" t="s">
        <v>2272</v>
      </c>
      <c r="N118" s="21" t="s">
        <v>2272</v>
      </c>
      <c r="O118" s="21" t="s">
        <v>2272</v>
      </c>
      <c r="P118" s="21" t="s">
        <v>2272</v>
      </c>
      <c r="Q118" s="21" t="s">
        <v>2272</v>
      </c>
      <c r="R118" s="21" t="s">
        <v>2272</v>
      </c>
      <c r="S118" s="21" t="s">
        <v>2272</v>
      </c>
      <c r="T118" s="21" t="s">
        <v>2272</v>
      </c>
      <c r="U118" s="21" t="s">
        <v>2272</v>
      </c>
      <c r="V118" s="21" t="s">
        <v>2272</v>
      </c>
      <c r="W118" s="21" t="s">
        <v>2272</v>
      </c>
      <c r="X118" s="21" t="s">
        <v>2272</v>
      </c>
      <c r="Y118" s="21" t="s">
        <v>2272</v>
      </c>
      <c r="Z118" s="21">
        <f>5/3.67</f>
        <v>1.3623978201634879</v>
      </c>
      <c r="AA118" s="198" t="s">
        <v>74</v>
      </c>
      <c r="AB118" s="198" t="s">
        <v>34</v>
      </c>
      <c r="AC118" s="198" t="s">
        <v>63</v>
      </c>
      <c r="AD118" s="4" t="s">
        <v>5025</v>
      </c>
      <c r="AE118" s="4" t="s">
        <v>1355</v>
      </c>
    </row>
    <row r="119" spans="1:31" ht="110.5" customHeight="1">
      <c r="A119" s="198" t="s">
        <v>1314</v>
      </c>
      <c r="B119" s="198" t="s">
        <v>1337</v>
      </c>
      <c r="C119" s="198" t="s">
        <v>23</v>
      </c>
      <c r="D119" s="198" t="s">
        <v>2654</v>
      </c>
      <c r="E119" s="4" t="s">
        <v>395</v>
      </c>
      <c r="F119" s="4" t="s">
        <v>27</v>
      </c>
      <c r="G119" s="198" t="s">
        <v>2272</v>
      </c>
      <c r="H119" s="198" t="s">
        <v>521</v>
      </c>
      <c r="I119" s="198"/>
      <c r="J119" s="21" t="s">
        <v>2272</v>
      </c>
      <c r="K119" s="21" t="s">
        <v>2272</v>
      </c>
      <c r="L119" s="21" t="s">
        <v>2272</v>
      </c>
      <c r="M119" s="21" t="s">
        <v>2272</v>
      </c>
      <c r="N119" s="21" t="s">
        <v>2272</v>
      </c>
      <c r="O119" s="21" t="s">
        <v>2272</v>
      </c>
      <c r="P119" s="21" t="s">
        <v>2272</v>
      </c>
      <c r="Q119" s="21" t="s">
        <v>2272</v>
      </c>
      <c r="R119" s="21" t="s">
        <v>2272</v>
      </c>
      <c r="S119" s="21" t="s">
        <v>2272</v>
      </c>
      <c r="T119" s="21" t="s">
        <v>2272</v>
      </c>
      <c r="U119" s="21" t="s">
        <v>2272</v>
      </c>
      <c r="V119" s="21" t="s">
        <v>2272</v>
      </c>
      <c r="W119" s="21" t="s">
        <v>2272</v>
      </c>
      <c r="X119" s="21" t="s">
        <v>2272</v>
      </c>
      <c r="Y119" s="21" t="s">
        <v>2272</v>
      </c>
      <c r="Z119" s="21">
        <f>5/3.67</f>
        <v>1.3623978201634879</v>
      </c>
      <c r="AA119" s="198" t="s">
        <v>74</v>
      </c>
      <c r="AB119" s="198" t="s">
        <v>34</v>
      </c>
      <c r="AC119" s="198" t="s">
        <v>63</v>
      </c>
      <c r="AD119" s="4" t="s">
        <v>5025</v>
      </c>
      <c r="AE119" s="4" t="s">
        <v>1354</v>
      </c>
    </row>
    <row r="120" spans="1:31" ht="144.5" customHeight="1">
      <c r="A120" s="198" t="s">
        <v>1315</v>
      </c>
      <c r="B120" s="198" t="s">
        <v>1338</v>
      </c>
      <c r="C120" s="198" t="s">
        <v>23</v>
      </c>
      <c r="D120" s="198" t="s">
        <v>2654</v>
      </c>
      <c r="E120" s="4" t="s">
        <v>394</v>
      </c>
      <c r="F120" s="4" t="s">
        <v>27</v>
      </c>
      <c r="G120" s="198" t="s">
        <v>2272</v>
      </c>
      <c r="H120" s="198" t="s">
        <v>521</v>
      </c>
      <c r="I120" s="198"/>
      <c r="J120" s="21" t="s">
        <v>2272</v>
      </c>
      <c r="K120" s="21" t="s">
        <v>2272</v>
      </c>
      <c r="L120" s="21" t="s">
        <v>2272</v>
      </c>
      <c r="M120" s="21" t="s">
        <v>2272</v>
      </c>
      <c r="N120" s="21" t="s">
        <v>2272</v>
      </c>
      <c r="O120" s="21" t="s">
        <v>2272</v>
      </c>
      <c r="P120" s="21" t="s">
        <v>2272</v>
      </c>
      <c r="Q120" s="21" t="s">
        <v>2272</v>
      </c>
      <c r="R120" s="21" t="s">
        <v>2272</v>
      </c>
      <c r="S120" s="21" t="s">
        <v>2272</v>
      </c>
      <c r="T120" s="21" t="s">
        <v>2272</v>
      </c>
      <c r="U120" s="21" t="s">
        <v>2272</v>
      </c>
      <c r="V120" s="21" t="s">
        <v>2272</v>
      </c>
      <c r="W120" s="21" t="s">
        <v>2272</v>
      </c>
      <c r="X120" s="21" t="s">
        <v>2272</v>
      </c>
      <c r="Y120" s="21" t="s">
        <v>2272</v>
      </c>
      <c r="Z120" s="21">
        <f>5/2.51</f>
        <v>1.9920318725099604</v>
      </c>
      <c r="AA120" s="198" t="s">
        <v>74</v>
      </c>
      <c r="AB120" s="198" t="s">
        <v>34</v>
      </c>
      <c r="AC120" s="198" t="s">
        <v>63</v>
      </c>
      <c r="AD120" s="4" t="s">
        <v>5025</v>
      </c>
      <c r="AE120" s="4" t="s">
        <v>1355</v>
      </c>
    </row>
    <row r="121" spans="1:31" ht="110.5" customHeight="1">
      <c r="A121" s="198" t="s">
        <v>1315</v>
      </c>
      <c r="B121" s="198" t="s">
        <v>1339</v>
      </c>
      <c r="C121" s="198" t="s">
        <v>23</v>
      </c>
      <c r="D121" s="198" t="s">
        <v>2654</v>
      </c>
      <c r="E121" s="4" t="s">
        <v>395</v>
      </c>
      <c r="F121" s="4" t="s">
        <v>27</v>
      </c>
      <c r="G121" s="198" t="s">
        <v>2272</v>
      </c>
      <c r="H121" s="198" t="s">
        <v>521</v>
      </c>
      <c r="I121" s="198"/>
      <c r="J121" s="21" t="s">
        <v>2272</v>
      </c>
      <c r="K121" s="21" t="s">
        <v>2272</v>
      </c>
      <c r="L121" s="21" t="s">
        <v>2272</v>
      </c>
      <c r="M121" s="21" t="s">
        <v>2272</v>
      </c>
      <c r="N121" s="21" t="s">
        <v>2272</v>
      </c>
      <c r="O121" s="21" t="s">
        <v>2272</v>
      </c>
      <c r="P121" s="21" t="s">
        <v>2272</v>
      </c>
      <c r="Q121" s="21" t="s">
        <v>2272</v>
      </c>
      <c r="R121" s="21" t="s">
        <v>2272</v>
      </c>
      <c r="S121" s="21" t="s">
        <v>2272</v>
      </c>
      <c r="T121" s="21" t="s">
        <v>2272</v>
      </c>
      <c r="U121" s="21" t="s">
        <v>2272</v>
      </c>
      <c r="V121" s="21" t="s">
        <v>2272</v>
      </c>
      <c r="W121" s="21" t="s">
        <v>2272</v>
      </c>
      <c r="X121" s="21" t="s">
        <v>2272</v>
      </c>
      <c r="Y121" s="21" t="s">
        <v>2272</v>
      </c>
      <c r="Z121" s="21">
        <f>5/2.51</f>
        <v>1.9920318725099604</v>
      </c>
      <c r="AA121" s="198" t="s">
        <v>74</v>
      </c>
      <c r="AB121" s="198" t="s">
        <v>34</v>
      </c>
      <c r="AC121" s="198" t="s">
        <v>63</v>
      </c>
      <c r="AD121" s="4" t="s">
        <v>5025</v>
      </c>
      <c r="AE121" s="4" t="s">
        <v>1354</v>
      </c>
    </row>
    <row r="122" spans="1:31" ht="153" customHeight="1">
      <c r="A122" s="198" t="s">
        <v>1316</v>
      </c>
      <c r="B122" s="198" t="s">
        <v>1340</v>
      </c>
      <c r="C122" s="198" t="s">
        <v>23</v>
      </c>
      <c r="D122" s="198" t="s">
        <v>2654</v>
      </c>
      <c r="E122" s="4" t="s">
        <v>394</v>
      </c>
      <c r="F122" s="4" t="s">
        <v>27</v>
      </c>
      <c r="G122" s="198" t="s">
        <v>2272</v>
      </c>
      <c r="H122" s="198" t="s">
        <v>521</v>
      </c>
      <c r="I122" s="198"/>
      <c r="J122" s="21" t="s">
        <v>2272</v>
      </c>
      <c r="K122" s="21" t="s">
        <v>2272</v>
      </c>
      <c r="L122" s="21" t="s">
        <v>2272</v>
      </c>
      <c r="M122" s="21" t="s">
        <v>2272</v>
      </c>
      <c r="N122" s="21" t="s">
        <v>2272</v>
      </c>
      <c r="O122" s="21" t="s">
        <v>2272</v>
      </c>
      <c r="P122" s="21" t="s">
        <v>2272</v>
      </c>
      <c r="Q122" s="21" t="s">
        <v>2272</v>
      </c>
      <c r="R122" s="21" t="s">
        <v>2272</v>
      </c>
      <c r="S122" s="21" t="s">
        <v>2272</v>
      </c>
      <c r="T122" s="21" t="s">
        <v>2272</v>
      </c>
      <c r="U122" s="21" t="s">
        <v>2272</v>
      </c>
      <c r="V122" s="21" t="s">
        <v>2272</v>
      </c>
      <c r="W122" s="21" t="s">
        <v>2272</v>
      </c>
      <c r="X122" s="21" t="s">
        <v>2272</v>
      </c>
      <c r="Y122" s="21" t="s">
        <v>2272</v>
      </c>
      <c r="Z122" s="21">
        <f>5/3.26</f>
        <v>1.5337423312883436</v>
      </c>
      <c r="AA122" s="198" t="s">
        <v>74</v>
      </c>
      <c r="AB122" s="198" t="s">
        <v>34</v>
      </c>
      <c r="AC122" s="198" t="s">
        <v>63</v>
      </c>
      <c r="AD122" s="4" t="s">
        <v>5025</v>
      </c>
      <c r="AE122" s="4" t="s">
        <v>1355</v>
      </c>
    </row>
    <row r="123" spans="1:31" ht="101" customHeight="1">
      <c r="A123" s="198" t="s">
        <v>1316</v>
      </c>
      <c r="B123" s="198" t="s">
        <v>1341</v>
      </c>
      <c r="C123" s="198" t="s">
        <v>23</v>
      </c>
      <c r="D123" s="198" t="s">
        <v>2654</v>
      </c>
      <c r="E123" s="4" t="s">
        <v>395</v>
      </c>
      <c r="F123" s="4" t="s">
        <v>27</v>
      </c>
      <c r="G123" s="198" t="s">
        <v>2272</v>
      </c>
      <c r="H123" s="198" t="s">
        <v>521</v>
      </c>
      <c r="I123" s="198"/>
      <c r="J123" s="21" t="s">
        <v>2272</v>
      </c>
      <c r="K123" s="21" t="s">
        <v>2272</v>
      </c>
      <c r="L123" s="21" t="s">
        <v>2272</v>
      </c>
      <c r="M123" s="21" t="s">
        <v>2272</v>
      </c>
      <c r="N123" s="21" t="s">
        <v>2272</v>
      </c>
      <c r="O123" s="21" t="s">
        <v>2272</v>
      </c>
      <c r="P123" s="21" t="s">
        <v>2272</v>
      </c>
      <c r="Q123" s="21" t="s">
        <v>2272</v>
      </c>
      <c r="R123" s="21" t="s">
        <v>2272</v>
      </c>
      <c r="S123" s="21" t="s">
        <v>2272</v>
      </c>
      <c r="T123" s="21" t="s">
        <v>2272</v>
      </c>
      <c r="U123" s="21" t="s">
        <v>2272</v>
      </c>
      <c r="V123" s="21" t="s">
        <v>2272</v>
      </c>
      <c r="W123" s="21" t="s">
        <v>2272</v>
      </c>
      <c r="X123" s="21" t="s">
        <v>2272</v>
      </c>
      <c r="Y123" s="21" t="s">
        <v>2272</v>
      </c>
      <c r="Z123" s="21">
        <f>5/3.26</f>
        <v>1.5337423312883436</v>
      </c>
      <c r="AA123" s="198" t="s">
        <v>74</v>
      </c>
      <c r="AB123" s="198" t="s">
        <v>34</v>
      </c>
      <c r="AC123" s="198" t="s">
        <v>63</v>
      </c>
      <c r="AD123" s="4" t="s">
        <v>5025</v>
      </c>
      <c r="AE123" s="4" t="s">
        <v>1354</v>
      </c>
    </row>
    <row r="124" spans="1:31" ht="142" customHeight="1">
      <c r="A124" s="198" t="s">
        <v>1317</v>
      </c>
      <c r="B124" s="198" t="s">
        <v>1342</v>
      </c>
      <c r="C124" s="198" t="s">
        <v>23</v>
      </c>
      <c r="D124" s="198" t="s">
        <v>2654</v>
      </c>
      <c r="E124" s="4" t="s">
        <v>394</v>
      </c>
      <c r="F124" s="4" t="s">
        <v>27</v>
      </c>
      <c r="G124" s="198" t="s">
        <v>2272</v>
      </c>
      <c r="H124" s="198" t="s">
        <v>521</v>
      </c>
      <c r="I124" s="198"/>
      <c r="J124" s="21" t="s">
        <v>2272</v>
      </c>
      <c r="K124" s="21" t="s">
        <v>2272</v>
      </c>
      <c r="L124" s="21" t="s">
        <v>2272</v>
      </c>
      <c r="M124" s="21" t="s">
        <v>2272</v>
      </c>
      <c r="N124" s="21" t="s">
        <v>2272</v>
      </c>
      <c r="O124" s="21" t="s">
        <v>2272</v>
      </c>
      <c r="P124" s="21" t="s">
        <v>2272</v>
      </c>
      <c r="Q124" s="21" t="s">
        <v>2272</v>
      </c>
      <c r="R124" s="21" t="s">
        <v>2272</v>
      </c>
      <c r="S124" s="21" t="s">
        <v>2272</v>
      </c>
      <c r="T124" s="21" t="s">
        <v>2272</v>
      </c>
      <c r="U124" s="21" t="s">
        <v>2272</v>
      </c>
      <c r="V124" s="21" t="s">
        <v>2272</v>
      </c>
      <c r="W124" s="21" t="s">
        <v>2272</v>
      </c>
      <c r="X124" s="21" t="s">
        <v>2272</v>
      </c>
      <c r="Y124" s="21" t="s">
        <v>2272</v>
      </c>
      <c r="Z124" s="21">
        <f>5/2.75</f>
        <v>1.8181818181818181</v>
      </c>
      <c r="AA124" s="198" t="s">
        <v>74</v>
      </c>
      <c r="AB124" s="198" t="s">
        <v>34</v>
      </c>
      <c r="AC124" s="198" t="s">
        <v>63</v>
      </c>
      <c r="AD124" s="4" t="s">
        <v>5025</v>
      </c>
      <c r="AE124" s="4" t="s">
        <v>1355</v>
      </c>
    </row>
    <row r="125" spans="1:31" ht="105.5" customHeight="1">
      <c r="A125" s="198" t="s">
        <v>1317</v>
      </c>
      <c r="B125" s="198" t="s">
        <v>1343</v>
      </c>
      <c r="C125" s="198" t="s">
        <v>23</v>
      </c>
      <c r="D125" s="198" t="s">
        <v>2654</v>
      </c>
      <c r="E125" s="4" t="s">
        <v>395</v>
      </c>
      <c r="F125" s="4" t="s">
        <v>27</v>
      </c>
      <c r="G125" s="198" t="s">
        <v>2272</v>
      </c>
      <c r="H125" s="198" t="s">
        <v>521</v>
      </c>
      <c r="I125" s="198"/>
      <c r="J125" s="21" t="s">
        <v>2272</v>
      </c>
      <c r="K125" s="21" t="s">
        <v>2272</v>
      </c>
      <c r="L125" s="21" t="s">
        <v>2272</v>
      </c>
      <c r="M125" s="21" t="s">
        <v>2272</v>
      </c>
      <c r="N125" s="21" t="s">
        <v>2272</v>
      </c>
      <c r="O125" s="21" t="s">
        <v>2272</v>
      </c>
      <c r="P125" s="21" t="s">
        <v>2272</v>
      </c>
      <c r="Q125" s="21" t="s">
        <v>2272</v>
      </c>
      <c r="R125" s="21" t="s">
        <v>2272</v>
      </c>
      <c r="S125" s="21" t="s">
        <v>2272</v>
      </c>
      <c r="T125" s="21" t="s">
        <v>2272</v>
      </c>
      <c r="U125" s="21" t="s">
        <v>2272</v>
      </c>
      <c r="V125" s="21" t="s">
        <v>2272</v>
      </c>
      <c r="W125" s="21" t="s">
        <v>2272</v>
      </c>
      <c r="X125" s="21" t="s">
        <v>2272</v>
      </c>
      <c r="Y125" s="21" t="s">
        <v>2272</v>
      </c>
      <c r="Z125" s="21">
        <f>5/2.75</f>
        <v>1.8181818181818181</v>
      </c>
      <c r="AA125" s="198" t="s">
        <v>74</v>
      </c>
      <c r="AB125" s="198" t="s">
        <v>34</v>
      </c>
      <c r="AC125" s="198" t="s">
        <v>63</v>
      </c>
      <c r="AD125" s="4" t="s">
        <v>5025</v>
      </c>
      <c r="AE125" s="4" t="s">
        <v>1354</v>
      </c>
    </row>
    <row r="126" spans="1:31" ht="151" customHeight="1">
      <c r="A126" s="198" t="s">
        <v>1318</v>
      </c>
      <c r="B126" s="198" t="s">
        <v>1344</v>
      </c>
      <c r="C126" s="198" t="s">
        <v>23</v>
      </c>
      <c r="D126" s="198" t="s">
        <v>2654</v>
      </c>
      <c r="E126" s="4" t="s">
        <v>394</v>
      </c>
      <c r="F126" s="4" t="s">
        <v>27</v>
      </c>
      <c r="G126" s="198" t="s">
        <v>2272</v>
      </c>
      <c r="H126" s="198" t="s">
        <v>521</v>
      </c>
      <c r="I126" s="198"/>
      <c r="J126" s="21" t="s">
        <v>2272</v>
      </c>
      <c r="K126" s="21" t="s">
        <v>2272</v>
      </c>
      <c r="L126" s="21" t="s">
        <v>2272</v>
      </c>
      <c r="M126" s="21" t="s">
        <v>2272</v>
      </c>
      <c r="N126" s="21" t="s">
        <v>2272</v>
      </c>
      <c r="O126" s="21" t="s">
        <v>2272</v>
      </c>
      <c r="P126" s="21" t="s">
        <v>2272</v>
      </c>
      <c r="Q126" s="21" t="s">
        <v>2272</v>
      </c>
      <c r="R126" s="21" t="s">
        <v>2272</v>
      </c>
      <c r="S126" s="21" t="s">
        <v>2272</v>
      </c>
      <c r="T126" s="21" t="s">
        <v>2272</v>
      </c>
      <c r="U126" s="21" t="s">
        <v>2272</v>
      </c>
      <c r="V126" s="21" t="s">
        <v>2272</v>
      </c>
      <c r="W126" s="21" t="s">
        <v>2272</v>
      </c>
      <c r="X126" s="21" t="s">
        <v>2272</v>
      </c>
      <c r="Y126" s="21" t="s">
        <v>2272</v>
      </c>
      <c r="Z126" s="21">
        <f>5/2.62</f>
        <v>1.9083969465648853</v>
      </c>
      <c r="AA126" s="198" t="s">
        <v>74</v>
      </c>
      <c r="AB126" s="198" t="s">
        <v>34</v>
      </c>
      <c r="AC126" s="198" t="s">
        <v>63</v>
      </c>
      <c r="AD126" s="4" t="s">
        <v>5025</v>
      </c>
      <c r="AE126" s="4" t="s">
        <v>1355</v>
      </c>
    </row>
    <row r="127" spans="1:31" ht="110.5" customHeight="1">
      <c r="A127" s="198" t="s">
        <v>1318</v>
      </c>
      <c r="B127" s="198" t="s">
        <v>1345</v>
      </c>
      <c r="C127" s="198" t="s">
        <v>23</v>
      </c>
      <c r="D127" s="198" t="s">
        <v>2654</v>
      </c>
      <c r="E127" s="4" t="s">
        <v>395</v>
      </c>
      <c r="F127" s="4" t="s">
        <v>27</v>
      </c>
      <c r="G127" s="198" t="s">
        <v>2272</v>
      </c>
      <c r="H127" s="198" t="s">
        <v>521</v>
      </c>
      <c r="I127" s="198"/>
      <c r="J127" s="21" t="s">
        <v>2272</v>
      </c>
      <c r="K127" s="21" t="s">
        <v>2272</v>
      </c>
      <c r="L127" s="21" t="s">
        <v>2272</v>
      </c>
      <c r="M127" s="21" t="s">
        <v>2272</v>
      </c>
      <c r="N127" s="21" t="s">
        <v>2272</v>
      </c>
      <c r="O127" s="21" t="s">
        <v>2272</v>
      </c>
      <c r="P127" s="21" t="s">
        <v>2272</v>
      </c>
      <c r="Q127" s="21" t="s">
        <v>2272</v>
      </c>
      <c r="R127" s="21" t="s">
        <v>2272</v>
      </c>
      <c r="S127" s="21" t="s">
        <v>2272</v>
      </c>
      <c r="T127" s="21" t="s">
        <v>2272</v>
      </c>
      <c r="U127" s="21" t="s">
        <v>2272</v>
      </c>
      <c r="V127" s="21" t="s">
        <v>2272</v>
      </c>
      <c r="W127" s="21" t="s">
        <v>2272</v>
      </c>
      <c r="X127" s="21" t="s">
        <v>2272</v>
      </c>
      <c r="Y127" s="21" t="s">
        <v>2272</v>
      </c>
      <c r="Z127" s="21">
        <f>5/2.62</f>
        <v>1.9083969465648853</v>
      </c>
      <c r="AA127" s="198" t="s">
        <v>74</v>
      </c>
      <c r="AB127" s="198" t="s">
        <v>34</v>
      </c>
      <c r="AC127" s="198" t="s">
        <v>63</v>
      </c>
      <c r="AD127" s="4" t="s">
        <v>5025</v>
      </c>
      <c r="AE127" s="4" t="s">
        <v>1354</v>
      </c>
    </row>
    <row r="128" spans="1:31" ht="110.5" customHeight="1">
      <c r="A128" s="198" t="s">
        <v>1319</v>
      </c>
      <c r="B128" s="198" t="s">
        <v>1346</v>
      </c>
      <c r="C128" s="198" t="s">
        <v>23</v>
      </c>
      <c r="D128" s="198" t="s">
        <v>2654</v>
      </c>
      <c r="E128" s="4" t="s">
        <v>394</v>
      </c>
      <c r="F128" s="4" t="s">
        <v>27</v>
      </c>
      <c r="G128" s="198" t="s">
        <v>2272</v>
      </c>
      <c r="H128" s="198" t="s">
        <v>521</v>
      </c>
      <c r="I128" s="198"/>
      <c r="J128" s="21" t="s">
        <v>2272</v>
      </c>
      <c r="K128" s="21" t="s">
        <v>2272</v>
      </c>
      <c r="L128" s="21" t="s">
        <v>2272</v>
      </c>
      <c r="M128" s="21" t="s">
        <v>2272</v>
      </c>
      <c r="N128" s="21" t="s">
        <v>2272</v>
      </c>
      <c r="O128" s="21" t="s">
        <v>2272</v>
      </c>
      <c r="P128" s="21" t="s">
        <v>2272</v>
      </c>
      <c r="Q128" s="21" t="s">
        <v>2272</v>
      </c>
      <c r="R128" s="21" t="s">
        <v>2272</v>
      </c>
      <c r="S128" s="21" t="s">
        <v>2272</v>
      </c>
      <c r="T128" s="21" t="s">
        <v>2272</v>
      </c>
      <c r="U128" s="21" t="s">
        <v>2272</v>
      </c>
      <c r="V128" s="21" t="s">
        <v>2272</v>
      </c>
      <c r="W128" s="21" t="s">
        <v>2272</v>
      </c>
      <c r="X128" s="21" t="s">
        <v>2272</v>
      </c>
      <c r="Y128" s="21" t="s">
        <v>2272</v>
      </c>
      <c r="Z128" s="21">
        <f>5/2.38</f>
        <v>2.1008403361344539</v>
      </c>
      <c r="AA128" s="198" t="s">
        <v>74</v>
      </c>
      <c r="AB128" s="198" t="s">
        <v>34</v>
      </c>
      <c r="AC128" s="198" t="s">
        <v>63</v>
      </c>
      <c r="AD128" s="4" t="s">
        <v>5025</v>
      </c>
      <c r="AE128" s="4" t="s">
        <v>1355</v>
      </c>
    </row>
    <row r="129" spans="1:31" ht="110.5" customHeight="1">
      <c r="A129" s="198" t="s">
        <v>1319</v>
      </c>
      <c r="B129" s="198" t="s">
        <v>1347</v>
      </c>
      <c r="C129" s="198" t="s">
        <v>23</v>
      </c>
      <c r="D129" s="198" t="s">
        <v>2654</v>
      </c>
      <c r="E129" s="4" t="s">
        <v>395</v>
      </c>
      <c r="F129" s="4" t="s">
        <v>27</v>
      </c>
      <c r="G129" s="198" t="s">
        <v>2272</v>
      </c>
      <c r="H129" s="198" t="s">
        <v>521</v>
      </c>
      <c r="I129" s="198"/>
      <c r="J129" s="21" t="s">
        <v>2272</v>
      </c>
      <c r="K129" s="21" t="s">
        <v>2272</v>
      </c>
      <c r="L129" s="21" t="s">
        <v>2272</v>
      </c>
      <c r="M129" s="21" t="s">
        <v>2272</v>
      </c>
      <c r="N129" s="21" t="s">
        <v>2272</v>
      </c>
      <c r="O129" s="21" t="s">
        <v>2272</v>
      </c>
      <c r="P129" s="21" t="s">
        <v>2272</v>
      </c>
      <c r="Q129" s="21" t="s">
        <v>2272</v>
      </c>
      <c r="R129" s="21" t="s">
        <v>2272</v>
      </c>
      <c r="S129" s="21" t="s">
        <v>2272</v>
      </c>
      <c r="T129" s="21" t="s">
        <v>2272</v>
      </c>
      <c r="U129" s="21" t="s">
        <v>2272</v>
      </c>
      <c r="V129" s="21" t="s">
        <v>2272</v>
      </c>
      <c r="W129" s="21" t="s">
        <v>2272</v>
      </c>
      <c r="X129" s="21" t="s">
        <v>2272</v>
      </c>
      <c r="Y129" s="21" t="s">
        <v>2272</v>
      </c>
      <c r="Z129" s="21">
        <f>5/2.38</f>
        <v>2.1008403361344539</v>
      </c>
      <c r="AA129" s="198" t="s">
        <v>74</v>
      </c>
      <c r="AB129" s="198" t="s">
        <v>34</v>
      </c>
      <c r="AC129" s="198" t="s">
        <v>63</v>
      </c>
      <c r="AD129" s="4" t="s">
        <v>5025</v>
      </c>
      <c r="AE129" s="4" t="s">
        <v>1354</v>
      </c>
    </row>
    <row r="130" spans="1:31" ht="132.5" customHeight="1">
      <c r="A130" s="198" t="s">
        <v>1320</v>
      </c>
      <c r="B130" s="198" t="s">
        <v>1348</v>
      </c>
      <c r="C130" s="198" t="s">
        <v>23</v>
      </c>
      <c r="D130" s="198" t="s">
        <v>2654</v>
      </c>
      <c r="E130" s="4" t="s">
        <v>394</v>
      </c>
      <c r="F130" s="4" t="s">
        <v>27</v>
      </c>
      <c r="G130" s="198" t="s">
        <v>2272</v>
      </c>
      <c r="H130" s="198" t="s">
        <v>521</v>
      </c>
      <c r="I130" s="198"/>
      <c r="J130" s="21" t="s">
        <v>2272</v>
      </c>
      <c r="K130" s="21" t="s">
        <v>2272</v>
      </c>
      <c r="L130" s="21" t="s">
        <v>2272</v>
      </c>
      <c r="M130" s="21" t="s">
        <v>2272</v>
      </c>
      <c r="N130" s="21" t="s">
        <v>2272</v>
      </c>
      <c r="O130" s="21" t="s">
        <v>2272</v>
      </c>
      <c r="P130" s="21" t="s">
        <v>2272</v>
      </c>
      <c r="Q130" s="21" t="s">
        <v>2272</v>
      </c>
      <c r="R130" s="21" t="s">
        <v>2272</v>
      </c>
      <c r="S130" s="21" t="s">
        <v>2272</v>
      </c>
      <c r="T130" s="21" t="s">
        <v>2272</v>
      </c>
      <c r="U130" s="21" t="s">
        <v>2272</v>
      </c>
      <c r="V130" s="21" t="s">
        <v>2272</v>
      </c>
      <c r="W130" s="21" t="s">
        <v>2272</v>
      </c>
      <c r="X130" s="21" t="s">
        <v>2272</v>
      </c>
      <c r="Y130" s="21" t="s">
        <v>2272</v>
      </c>
      <c r="Z130" s="21">
        <f>5/2.22</f>
        <v>2.2522522522522519</v>
      </c>
      <c r="AA130" s="198" t="s">
        <v>74</v>
      </c>
      <c r="AB130" s="198" t="s">
        <v>34</v>
      </c>
      <c r="AC130" s="198" t="s">
        <v>63</v>
      </c>
      <c r="AD130" s="4" t="s">
        <v>5025</v>
      </c>
      <c r="AE130" s="4" t="s">
        <v>1355</v>
      </c>
    </row>
    <row r="131" spans="1:31" ht="118" customHeight="1">
      <c r="A131" s="198" t="s">
        <v>1320</v>
      </c>
      <c r="B131" s="198" t="s">
        <v>1349</v>
      </c>
      <c r="C131" s="198" t="s">
        <v>23</v>
      </c>
      <c r="D131" s="198" t="s">
        <v>2654</v>
      </c>
      <c r="E131" s="4" t="s">
        <v>395</v>
      </c>
      <c r="F131" s="4" t="s">
        <v>27</v>
      </c>
      <c r="G131" s="198" t="s">
        <v>2272</v>
      </c>
      <c r="H131" s="198" t="s">
        <v>521</v>
      </c>
      <c r="I131" s="198"/>
      <c r="J131" s="21" t="s">
        <v>2272</v>
      </c>
      <c r="K131" s="21" t="s">
        <v>2272</v>
      </c>
      <c r="L131" s="21" t="s">
        <v>2272</v>
      </c>
      <c r="M131" s="21" t="s">
        <v>2272</v>
      </c>
      <c r="N131" s="21" t="s">
        <v>2272</v>
      </c>
      <c r="O131" s="21" t="s">
        <v>2272</v>
      </c>
      <c r="P131" s="21" t="s">
        <v>2272</v>
      </c>
      <c r="Q131" s="21" t="s">
        <v>2272</v>
      </c>
      <c r="R131" s="21" t="s">
        <v>2272</v>
      </c>
      <c r="S131" s="21" t="s">
        <v>2272</v>
      </c>
      <c r="T131" s="21" t="s">
        <v>2272</v>
      </c>
      <c r="U131" s="21" t="s">
        <v>2272</v>
      </c>
      <c r="V131" s="21" t="s">
        <v>2272</v>
      </c>
      <c r="W131" s="21" t="s">
        <v>2272</v>
      </c>
      <c r="X131" s="21" t="s">
        <v>2272</v>
      </c>
      <c r="Y131" s="21" t="s">
        <v>2272</v>
      </c>
      <c r="Z131" s="21">
        <f>5/2.22</f>
        <v>2.2522522522522519</v>
      </c>
      <c r="AA131" s="198" t="s">
        <v>74</v>
      </c>
      <c r="AB131" s="198" t="s">
        <v>34</v>
      </c>
      <c r="AC131" s="198" t="s">
        <v>63</v>
      </c>
      <c r="AD131" s="4" t="s">
        <v>5025</v>
      </c>
      <c r="AE131" s="4" t="s">
        <v>1354</v>
      </c>
    </row>
    <row r="132" spans="1:31" ht="149.5" customHeight="1">
      <c r="A132" s="198" t="s">
        <v>1321</v>
      </c>
      <c r="B132" s="198" t="s">
        <v>1350</v>
      </c>
      <c r="C132" s="198" t="s">
        <v>23</v>
      </c>
      <c r="D132" s="198" t="s">
        <v>2654</v>
      </c>
      <c r="E132" s="4" t="s">
        <v>394</v>
      </c>
      <c r="F132" s="4" t="s">
        <v>27</v>
      </c>
      <c r="G132" s="198" t="s">
        <v>2272</v>
      </c>
      <c r="H132" s="198" t="s">
        <v>521</v>
      </c>
      <c r="I132" s="198"/>
      <c r="J132" s="21" t="s">
        <v>2272</v>
      </c>
      <c r="K132" s="21" t="s">
        <v>2272</v>
      </c>
      <c r="L132" s="21" t="s">
        <v>2272</v>
      </c>
      <c r="M132" s="21" t="s">
        <v>2272</v>
      </c>
      <c r="N132" s="21" t="s">
        <v>2272</v>
      </c>
      <c r="O132" s="21" t="s">
        <v>2272</v>
      </c>
      <c r="P132" s="21" t="s">
        <v>2272</v>
      </c>
      <c r="Q132" s="21" t="s">
        <v>2272</v>
      </c>
      <c r="R132" s="21" t="s">
        <v>2272</v>
      </c>
      <c r="S132" s="21" t="s">
        <v>2272</v>
      </c>
      <c r="T132" s="21" t="s">
        <v>2272</v>
      </c>
      <c r="U132" s="21" t="s">
        <v>2272</v>
      </c>
      <c r="V132" s="21" t="s">
        <v>2272</v>
      </c>
      <c r="W132" s="21" t="s">
        <v>2272</v>
      </c>
      <c r="X132" s="21" t="s">
        <v>2272</v>
      </c>
      <c r="Y132" s="21" t="s">
        <v>2272</v>
      </c>
      <c r="Z132" s="21">
        <f>5/2.81</f>
        <v>1.7793594306049823</v>
      </c>
      <c r="AA132" s="198" t="s">
        <v>74</v>
      </c>
      <c r="AB132" s="198" t="s">
        <v>34</v>
      </c>
      <c r="AC132" s="198" t="s">
        <v>63</v>
      </c>
      <c r="AD132" s="4" t="s">
        <v>5025</v>
      </c>
      <c r="AE132" s="4" t="s">
        <v>1355</v>
      </c>
    </row>
    <row r="133" spans="1:31" ht="116.5" customHeight="1">
      <c r="A133" s="198" t="s">
        <v>1321</v>
      </c>
      <c r="B133" s="198" t="s">
        <v>1351</v>
      </c>
      <c r="C133" s="198" t="s">
        <v>23</v>
      </c>
      <c r="D133" s="198" t="s">
        <v>2654</v>
      </c>
      <c r="E133" s="4" t="s">
        <v>395</v>
      </c>
      <c r="F133" s="4" t="s">
        <v>27</v>
      </c>
      <c r="G133" s="198" t="s">
        <v>2272</v>
      </c>
      <c r="H133" s="198" t="s">
        <v>521</v>
      </c>
      <c r="I133" s="198"/>
      <c r="J133" s="21" t="s">
        <v>2272</v>
      </c>
      <c r="K133" s="21" t="s">
        <v>2272</v>
      </c>
      <c r="L133" s="21" t="s">
        <v>2272</v>
      </c>
      <c r="M133" s="21" t="s">
        <v>2272</v>
      </c>
      <c r="N133" s="21" t="s">
        <v>2272</v>
      </c>
      <c r="O133" s="21" t="s">
        <v>2272</v>
      </c>
      <c r="P133" s="21" t="s">
        <v>2272</v>
      </c>
      <c r="Q133" s="21" t="s">
        <v>2272</v>
      </c>
      <c r="R133" s="21" t="s">
        <v>2272</v>
      </c>
      <c r="S133" s="21" t="s">
        <v>2272</v>
      </c>
      <c r="T133" s="21" t="s">
        <v>2272</v>
      </c>
      <c r="U133" s="21" t="s">
        <v>2272</v>
      </c>
      <c r="V133" s="21" t="s">
        <v>2272</v>
      </c>
      <c r="W133" s="21" t="s">
        <v>2272</v>
      </c>
      <c r="X133" s="21" t="s">
        <v>2272</v>
      </c>
      <c r="Y133" s="21" t="s">
        <v>2272</v>
      </c>
      <c r="Z133" s="21">
        <f>5/2.81</f>
        <v>1.7793594306049823</v>
      </c>
      <c r="AA133" s="198" t="s">
        <v>74</v>
      </c>
      <c r="AB133" s="198" t="s">
        <v>34</v>
      </c>
      <c r="AC133" s="198" t="s">
        <v>63</v>
      </c>
      <c r="AD133" s="4" t="s">
        <v>5025</v>
      </c>
      <c r="AE133" s="4" t="s">
        <v>1354</v>
      </c>
    </row>
    <row r="134" spans="1:31" ht="149.5" customHeight="1">
      <c r="A134" s="198" t="s">
        <v>1322</v>
      </c>
      <c r="B134" s="198" t="s">
        <v>1352</v>
      </c>
      <c r="C134" s="198" t="s">
        <v>23</v>
      </c>
      <c r="D134" s="198" t="s">
        <v>2654</v>
      </c>
      <c r="E134" s="4" t="s">
        <v>394</v>
      </c>
      <c r="F134" s="4" t="s">
        <v>27</v>
      </c>
      <c r="G134" s="198" t="s">
        <v>2272</v>
      </c>
      <c r="H134" s="198" t="s">
        <v>521</v>
      </c>
      <c r="I134" s="198"/>
      <c r="J134" s="21" t="s">
        <v>2272</v>
      </c>
      <c r="K134" s="21" t="s">
        <v>2272</v>
      </c>
      <c r="L134" s="21" t="s">
        <v>2272</v>
      </c>
      <c r="M134" s="21" t="s">
        <v>2272</v>
      </c>
      <c r="N134" s="21" t="s">
        <v>2272</v>
      </c>
      <c r="O134" s="21" t="s">
        <v>2272</v>
      </c>
      <c r="P134" s="21" t="s">
        <v>2272</v>
      </c>
      <c r="Q134" s="21" t="s">
        <v>2272</v>
      </c>
      <c r="R134" s="21" t="s">
        <v>2272</v>
      </c>
      <c r="S134" s="21" t="s">
        <v>2272</v>
      </c>
      <c r="T134" s="21" t="s">
        <v>2272</v>
      </c>
      <c r="U134" s="21" t="s">
        <v>2272</v>
      </c>
      <c r="V134" s="21" t="s">
        <v>2272</v>
      </c>
      <c r="W134" s="21" t="s">
        <v>2272</v>
      </c>
      <c r="X134" s="21" t="s">
        <v>2272</v>
      </c>
      <c r="Y134" s="21" t="s">
        <v>2272</v>
      </c>
      <c r="Z134" s="21">
        <f>5/3.42</f>
        <v>1.4619883040935673</v>
      </c>
      <c r="AA134" s="198" t="s">
        <v>74</v>
      </c>
      <c r="AB134" s="198" t="s">
        <v>34</v>
      </c>
      <c r="AC134" s="198" t="s">
        <v>63</v>
      </c>
      <c r="AD134" s="4" t="s">
        <v>5025</v>
      </c>
      <c r="AE134" s="4" t="s">
        <v>1355</v>
      </c>
    </row>
    <row r="135" spans="1:31" ht="101.5" customHeight="1">
      <c r="A135" s="198" t="s">
        <v>1322</v>
      </c>
      <c r="B135" s="198" t="s">
        <v>1353</v>
      </c>
      <c r="C135" s="198" t="s">
        <v>23</v>
      </c>
      <c r="D135" s="198" t="s">
        <v>2654</v>
      </c>
      <c r="E135" s="4" t="s">
        <v>395</v>
      </c>
      <c r="F135" s="4" t="s">
        <v>27</v>
      </c>
      <c r="G135" s="198" t="s">
        <v>2272</v>
      </c>
      <c r="H135" s="198" t="s">
        <v>521</v>
      </c>
      <c r="I135" s="198"/>
      <c r="J135" s="21" t="s">
        <v>2272</v>
      </c>
      <c r="K135" s="21" t="s">
        <v>2272</v>
      </c>
      <c r="L135" s="21" t="s">
        <v>2272</v>
      </c>
      <c r="M135" s="21" t="s">
        <v>2272</v>
      </c>
      <c r="N135" s="21" t="s">
        <v>2272</v>
      </c>
      <c r="O135" s="21" t="s">
        <v>2272</v>
      </c>
      <c r="P135" s="21" t="s">
        <v>2272</v>
      </c>
      <c r="Q135" s="21" t="s">
        <v>2272</v>
      </c>
      <c r="R135" s="21" t="s">
        <v>2272</v>
      </c>
      <c r="S135" s="21" t="s">
        <v>2272</v>
      </c>
      <c r="T135" s="21" t="s">
        <v>2272</v>
      </c>
      <c r="U135" s="21" t="s">
        <v>2272</v>
      </c>
      <c r="V135" s="21" t="s">
        <v>2272</v>
      </c>
      <c r="W135" s="21" t="s">
        <v>2272</v>
      </c>
      <c r="X135" s="21" t="s">
        <v>2272</v>
      </c>
      <c r="Y135" s="21" t="s">
        <v>2272</v>
      </c>
      <c r="Z135" s="21">
        <f>5/3.42</f>
        <v>1.4619883040935673</v>
      </c>
      <c r="AA135" s="198" t="s">
        <v>74</v>
      </c>
      <c r="AB135" s="198" t="s">
        <v>34</v>
      </c>
      <c r="AC135" s="198" t="s">
        <v>63</v>
      </c>
      <c r="AD135" s="4" t="s">
        <v>5025</v>
      </c>
      <c r="AE135" s="4" t="s">
        <v>1354</v>
      </c>
    </row>
    <row r="136" spans="1:31" ht="150.5" customHeight="1">
      <c r="A136" s="198" t="s">
        <v>1357</v>
      </c>
      <c r="B136" s="198" t="s">
        <v>1359</v>
      </c>
      <c r="C136" s="198" t="s">
        <v>23</v>
      </c>
      <c r="D136" s="198" t="s">
        <v>2654</v>
      </c>
      <c r="E136" s="4" t="s">
        <v>394</v>
      </c>
      <c r="F136" s="4" t="s">
        <v>27</v>
      </c>
      <c r="G136" s="198" t="s">
        <v>2272</v>
      </c>
      <c r="H136" s="198" t="s">
        <v>521</v>
      </c>
      <c r="I136" s="198"/>
      <c r="J136" s="21" t="s">
        <v>2272</v>
      </c>
      <c r="K136" s="21" t="s">
        <v>2272</v>
      </c>
      <c r="L136" s="21" t="s">
        <v>2272</v>
      </c>
      <c r="M136" s="21" t="s">
        <v>2272</v>
      </c>
      <c r="N136" s="21" t="s">
        <v>2272</v>
      </c>
      <c r="O136" s="21" t="s">
        <v>2272</v>
      </c>
      <c r="P136" s="21" t="s">
        <v>2272</v>
      </c>
      <c r="Q136" s="21" t="s">
        <v>2272</v>
      </c>
      <c r="R136" s="21" t="s">
        <v>2272</v>
      </c>
      <c r="S136" s="21" t="s">
        <v>2272</v>
      </c>
      <c r="T136" s="21" t="s">
        <v>2272</v>
      </c>
      <c r="U136" s="21" t="s">
        <v>2272</v>
      </c>
      <c r="V136" s="21" t="s">
        <v>2272</v>
      </c>
      <c r="W136" s="21" t="s">
        <v>2272</v>
      </c>
      <c r="X136" s="21" t="s">
        <v>2272</v>
      </c>
      <c r="Y136" s="21" t="s">
        <v>2272</v>
      </c>
      <c r="Z136" s="21">
        <f>5/3.14</f>
        <v>1.592356687898089</v>
      </c>
      <c r="AA136" s="198" t="s">
        <v>74</v>
      </c>
      <c r="AB136" s="198" t="s">
        <v>34</v>
      </c>
      <c r="AC136" s="198" t="s">
        <v>63</v>
      </c>
      <c r="AD136" s="4" t="s">
        <v>5025</v>
      </c>
      <c r="AE136" s="4" t="s">
        <v>1355</v>
      </c>
    </row>
    <row r="137" spans="1:31" ht="103" customHeight="1">
      <c r="A137" s="198" t="s">
        <v>1357</v>
      </c>
      <c r="B137" s="198" t="s">
        <v>1360</v>
      </c>
      <c r="C137" s="198" t="s">
        <v>23</v>
      </c>
      <c r="D137" s="198" t="s">
        <v>2654</v>
      </c>
      <c r="E137" s="4" t="s">
        <v>395</v>
      </c>
      <c r="F137" s="4" t="s">
        <v>27</v>
      </c>
      <c r="G137" s="198" t="s">
        <v>2272</v>
      </c>
      <c r="H137" s="198" t="s">
        <v>521</v>
      </c>
      <c r="I137" s="198"/>
      <c r="J137" s="21" t="s">
        <v>2272</v>
      </c>
      <c r="K137" s="21" t="s">
        <v>2272</v>
      </c>
      <c r="L137" s="21" t="s">
        <v>2272</v>
      </c>
      <c r="M137" s="21" t="s">
        <v>2272</v>
      </c>
      <c r="N137" s="21" t="s">
        <v>2272</v>
      </c>
      <c r="O137" s="21" t="s">
        <v>2272</v>
      </c>
      <c r="P137" s="21" t="s">
        <v>2272</v>
      </c>
      <c r="Q137" s="21" t="s">
        <v>2272</v>
      </c>
      <c r="R137" s="21" t="s">
        <v>2272</v>
      </c>
      <c r="S137" s="21" t="s">
        <v>2272</v>
      </c>
      <c r="T137" s="21" t="s">
        <v>2272</v>
      </c>
      <c r="U137" s="21" t="s">
        <v>2272</v>
      </c>
      <c r="V137" s="21" t="s">
        <v>2272</v>
      </c>
      <c r="W137" s="21" t="s">
        <v>2272</v>
      </c>
      <c r="X137" s="21" t="s">
        <v>2272</v>
      </c>
      <c r="Y137" s="21" t="s">
        <v>2272</v>
      </c>
      <c r="Z137" s="21">
        <f>5/3.14</f>
        <v>1.592356687898089</v>
      </c>
      <c r="AA137" s="198" t="s">
        <v>74</v>
      </c>
      <c r="AB137" s="198" t="s">
        <v>34</v>
      </c>
      <c r="AC137" s="198" t="s">
        <v>63</v>
      </c>
      <c r="AD137" s="4" t="s">
        <v>5025</v>
      </c>
      <c r="AE137" s="4" t="s">
        <v>1354</v>
      </c>
    </row>
    <row r="138" spans="1:31" ht="119.5" customHeight="1">
      <c r="A138" s="198" t="s">
        <v>110</v>
      </c>
      <c r="B138" s="198" t="s">
        <v>113</v>
      </c>
      <c r="C138" s="198" t="s">
        <v>23</v>
      </c>
      <c r="D138" s="198" t="s">
        <v>2654</v>
      </c>
      <c r="E138" s="4" t="s">
        <v>82</v>
      </c>
      <c r="F138" s="4" t="s">
        <v>27</v>
      </c>
      <c r="G138" s="198" t="s">
        <v>2272</v>
      </c>
      <c r="H138" s="198" t="s">
        <v>521</v>
      </c>
      <c r="I138" s="198">
        <v>2001</v>
      </c>
      <c r="J138" s="21" t="s">
        <v>2272</v>
      </c>
      <c r="K138" s="21" t="s">
        <v>2272</v>
      </c>
      <c r="L138" s="21" t="s">
        <v>2272</v>
      </c>
      <c r="M138" s="21" t="s">
        <v>2272</v>
      </c>
      <c r="N138" s="21" t="s">
        <v>2272</v>
      </c>
      <c r="O138" s="21" t="s">
        <v>2272</v>
      </c>
      <c r="P138" s="21" t="s">
        <v>2272</v>
      </c>
      <c r="Q138" s="21" t="s">
        <v>2272</v>
      </c>
      <c r="R138" s="21" t="s">
        <v>2272</v>
      </c>
      <c r="S138" s="21" t="s">
        <v>2272</v>
      </c>
      <c r="T138" s="21" t="s">
        <v>2272</v>
      </c>
      <c r="U138" s="21" t="s">
        <v>2272</v>
      </c>
      <c r="V138" s="21" t="s">
        <v>2272</v>
      </c>
      <c r="W138" s="21" t="s">
        <v>2272</v>
      </c>
      <c r="X138" s="21" t="s">
        <v>2272</v>
      </c>
      <c r="Y138" s="21" t="s">
        <v>2272</v>
      </c>
      <c r="Z138" s="21" t="s">
        <v>2272</v>
      </c>
      <c r="AA138" s="198" t="s">
        <v>33</v>
      </c>
      <c r="AB138" s="198" t="s">
        <v>33</v>
      </c>
      <c r="AC138" s="198" t="s">
        <v>63</v>
      </c>
      <c r="AD138" s="4" t="s">
        <v>5025</v>
      </c>
      <c r="AE138" s="4" t="s">
        <v>1373</v>
      </c>
    </row>
    <row r="139" spans="1:31" ht="116" customHeight="1">
      <c r="A139" s="198" t="s">
        <v>110</v>
      </c>
      <c r="B139" s="198" t="s">
        <v>1362</v>
      </c>
      <c r="C139" s="198" t="s">
        <v>23</v>
      </c>
      <c r="D139" s="198" t="s">
        <v>2654</v>
      </c>
      <c r="E139" s="4" t="s">
        <v>82</v>
      </c>
      <c r="F139" s="4" t="s">
        <v>27</v>
      </c>
      <c r="G139" s="198" t="s">
        <v>2272</v>
      </c>
      <c r="H139" s="198" t="s">
        <v>521</v>
      </c>
      <c r="I139" s="198">
        <v>2001</v>
      </c>
      <c r="J139" s="21" t="s">
        <v>2272</v>
      </c>
      <c r="K139" s="21" t="s">
        <v>2272</v>
      </c>
      <c r="L139" s="21" t="s">
        <v>2272</v>
      </c>
      <c r="M139" s="21" t="s">
        <v>2272</v>
      </c>
      <c r="N139" s="21" t="s">
        <v>2272</v>
      </c>
      <c r="O139" s="21" t="s">
        <v>2272</v>
      </c>
      <c r="P139" s="21" t="s">
        <v>2272</v>
      </c>
      <c r="Q139" s="21" t="s">
        <v>2272</v>
      </c>
      <c r="R139" s="21" t="s">
        <v>2272</v>
      </c>
      <c r="S139" s="21" t="s">
        <v>2272</v>
      </c>
      <c r="T139" s="21" t="s">
        <v>2272</v>
      </c>
      <c r="U139" s="21" t="s">
        <v>2272</v>
      </c>
      <c r="V139" s="21" t="s">
        <v>2272</v>
      </c>
      <c r="W139" s="21" t="s">
        <v>2272</v>
      </c>
      <c r="X139" s="21" t="s">
        <v>2272</v>
      </c>
      <c r="Y139" s="21" t="s">
        <v>2272</v>
      </c>
      <c r="Z139" s="21" t="s">
        <v>2272</v>
      </c>
      <c r="AA139" s="198" t="s">
        <v>67</v>
      </c>
      <c r="AB139" s="198" t="s">
        <v>67</v>
      </c>
      <c r="AC139" s="198" t="s">
        <v>63</v>
      </c>
      <c r="AD139" s="4" t="s">
        <v>5025</v>
      </c>
      <c r="AE139" s="4" t="s">
        <v>1373</v>
      </c>
    </row>
    <row r="140" spans="1:31" ht="116" customHeight="1">
      <c r="A140" s="198" t="s">
        <v>110</v>
      </c>
      <c r="B140" s="198" t="s">
        <v>1363</v>
      </c>
      <c r="C140" s="198" t="s">
        <v>23</v>
      </c>
      <c r="D140" s="198" t="s">
        <v>2654</v>
      </c>
      <c r="E140" s="4" t="s">
        <v>82</v>
      </c>
      <c r="F140" s="4" t="s">
        <v>27</v>
      </c>
      <c r="G140" s="198" t="s">
        <v>2272</v>
      </c>
      <c r="H140" s="198" t="s">
        <v>521</v>
      </c>
      <c r="I140" s="198">
        <v>2002</v>
      </c>
      <c r="J140" s="21" t="s">
        <v>2272</v>
      </c>
      <c r="K140" s="21" t="s">
        <v>2272</v>
      </c>
      <c r="L140" s="21" t="s">
        <v>2272</v>
      </c>
      <c r="M140" s="21" t="s">
        <v>2272</v>
      </c>
      <c r="N140" s="21" t="s">
        <v>2272</v>
      </c>
      <c r="O140" s="21" t="s">
        <v>2272</v>
      </c>
      <c r="P140" s="21" t="s">
        <v>2272</v>
      </c>
      <c r="Q140" s="21" t="s">
        <v>2272</v>
      </c>
      <c r="R140" s="21" t="s">
        <v>2272</v>
      </c>
      <c r="S140" s="21" t="s">
        <v>2272</v>
      </c>
      <c r="T140" s="21" t="s">
        <v>2272</v>
      </c>
      <c r="U140" s="21" t="s">
        <v>2272</v>
      </c>
      <c r="V140" s="21" t="s">
        <v>2272</v>
      </c>
      <c r="W140" s="21" t="s">
        <v>2272</v>
      </c>
      <c r="X140" s="21" t="s">
        <v>2272</v>
      </c>
      <c r="Y140" s="21" t="s">
        <v>2272</v>
      </c>
      <c r="Z140" s="21" t="s">
        <v>2272</v>
      </c>
      <c r="AA140" s="198" t="s">
        <v>33</v>
      </c>
      <c r="AB140" s="198" t="s">
        <v>33</v>
      </c>
      <c r="AC140" s="198" t="s">
        <v>63</v>
      </c>
      <c r="AD140" s="4" t="s">
        <v>5025</v>
      </c>
      <c r="AE140" s="4" t="s">
        <v>1373</v>
      </c>
    </row>
    <row r="141" spans="1:31" ht="131" customHeight="1">
      <c r="A141" s="198" t="s">
        <v>110</v>
      </c>
      <c r="B141" s="198" t="s">
        <v>1364</v>
      </c>
      <c r="C141" s="198" t="s">
        <v>23</v>
      </c>
      <c r="D141" s="198" t="s">
        <v>2654</v>
      </c>
      <c r="E141" s="4" t="s">
        <v>82</v>
      </c>
      <c r="F141" s="4" t="s">
        <v>27</v>
      </c>
      <c r="G141" s="198" t="s">
        <v>2272</v>
      </c>
      <c r="H141" s="198" t="s">
        <v>521</v>
      </c>
      <c r="I141" s="198">
        <v>2002</v>
      </c>
      <c r="J141" s="21" t="s">
        <v>2272</v>
      </c>
      <c r="K141" s="21" t="s">
        <v>2272</v>
      </c>
      <c r="L141" s="21" t="s">
        <v>2272</v>
      </c>
      <c r="M141" s="21" t="s">
        <v>2272</v>
      </c>
      <c r="N141" s="21" t="s">
        <v>2272</v>
      </c>
      <c r="O141" s="21" t="s">
        <v>2272</v>
      </c>
      <c r="P141" s="21" t="s">
        <v>2272</v>
      </c>
      <c r="Q141" s="21" t="s">
        <v>2272</v>
      </c>
      <c r="R141" s="21" t="s">
        <v>2272</v>
      </c>
      <c r="S141" s="21" t="s">
        <v>2272</v>
      </c>
      <c r="T141" s="21" t="s">
        <v>2272</v>
      </c>
      <c r="U141" s="21" t="s">
        <v>2272</v>
      </c>
      <c r="V141" s="21" t="s">
        <v>2272</v>
      </c>
      <c r="W141" s="21" t="s">
        <v>2272</v>
      </c>
      <c r="X141" s="21" t="s">
        <v>2272</v>
      </c>
      <c r="Y141" s="21" t="s">
        <v>2272</v>
      </c>
      <c r="Z141" s="21" t="s">
        <v>2272</v>
      </c>
      <c r="AA141" s="198" t="s">
        <v>67</v>
      </c>
      <c r="AB141" s="198" t="s">
        <v>67</v>
      </c>
      <c r="AC141" s="198" t="s">
        <v>63</v>
      </c>
      <c r="AD141" s="4" t="s">
        <v>5025</v>
      </c>
      <c r="AE141" s="4" t="s">
        <v>1373</v>
      </c>
    </row>
    <row r="142" spans="1:31" ht="121" customHeight="1">
      <c r="A142" s="198" t="s">
        <v>110</v>
      </c>
      <c r="B142" s="198" t="s">
        <v>1365</v>
      </c>
      <c r="C142" s="198" t="s">
        <v>23</v>
      </c>
      <c r="D142" s="198" t="s">
        <v>2654</v>
      </c>
      <c r="E142" s="4" t="s">
        <v>82</v>
      </c>
      <c r="F142" s="4" t="s">
        <v>27</v>
      </c>
      <c r="G142" s="198" t="s">
        <v>2272</v>
      </c>
      <c r="H142" s="198" t="s">
        <v>521</v>
      </c>
      <c r="I142" s="198">
        <v>2003</v>
      </c>
      <c r="J142" s="21" t="s">
        <v>2272</v>
      </c>
      <c r="K142" s="21" t="s">
        <v>2272</v>
      </c>
      <c r="L142" s="21" t="s">
        <v>2272</v>
      </c>
      <c r="M142" s="21" t="s">
        <v>2272</v>
      </c>
      <c r="N142" s="21" t="s">
        <v>2272</v>
      </c>
      <c r="O142" s="21" t="s">
        <v>2272</v>
      </c>
      <c r="P142" s="21" t="s">
        <v>2272</v>
      </c>
      <c r="Q142" s="21" t="s">
        <v>2272</v>
      </c>
      <c r="R142" s="21" t="s">
        <v>2272</v>
      </c>
      <c r="S142" s="21" t="s">
        <v>2272</v>
      </c>
      <c r="T142" s="21" t="s">
        <v>2272</v>
      </c>
      <c r="U142" s="21" t="s">
        <v>2272</v>
      </c>
      <c r="V142" s="21" t="s">
        <v>2272</v>
      </c>
      <c r="W142" s="21" t="s">
        <v>2272</v>
      </c>
      <c r="X142" s="21" t="s">
        <v>2272</v>
      </c>
      <c r="Y142" s="21" t="s">
        <v>2272</v>
      </c>
      <c r="Z142" s="21" t="s">
        <v>2272</v>
      </c>
      <c r="AA142" s="198" t="s">
        <v>33</v>
      </c>
      <c r="AB142" s="198" t="s">
        <v>33</v>
      </c>
      <c r="AC142" s="198" t="s">
        <v>63</v>
      </c>
      <c r="AD142" s="4" t="s">
        <v>5025</v>
      </c>
      <c r="AE142" s="4" t="s">
        <v>1373</v>
      </c>
    </row>
    <row r="143" spans="1:31" ht="122" customHeight="1">
      <c r="A143" s="198" t="s">
        <v>110</v>
      </c>
      <c r="B143" s="198" t="s">
        <v>1366</v>
      </c>
      <c r="C143" s="198" t="s">
        <v>23</v>
      </c>
      <c r="D143" s="198" t="s">
        <v>2654</v>
      </c>
      <c r="E143" s="4" t="s">
        <v>82</v>
      </c>
      <c r="F143" s="4" t="s">
        <v>27</v>
      </c>
      <c r="G143" s="198" t="s">
        <v>2272</v>
      </c>
      <c r="H143" s="198" t="s">
        <v>521</v>
      </c>
      <c r="I143" s="198">
        <v>2003</v>
      </c>
      <c r="J143" s="21" t="s">
        <v>2272</v>
      </c>
      <c r="K143" s="21" t="s">
        <v>2272</v>
      </c>
      <c r="L143" s="21" t="s">
        <v>2272</v>
      </c>
      <c r="M143" s="21" t="s">
        <v>2272</v>
      </c>
      <c r="N143" s="21" t="s">
        <v>2272</v>
      </c>
      <c r="O143" s="21" t="s">
        <v>2272</v>
      </c>
      <c r="P143" s="21" t="s">
        <v>2272</v>
      </c>
      <c r="Q143" s="21" t="s">
        <v>2272</v>
      </c>
      <c r="R143" s="21" t="s">
        <v>2272</v>
      </c>
      <c r="S143" s="21" t="s">
        <v>2272</v>
      </c>
      <c r="T143" s="21" t="s">
        <v>2272</v>
      </c>
      <c r="U143" s="21" t="s">
        <v>2272</v>
      </c>
      <c r="V143" s="21" t="s">
        <v>2272</v>
      </c>
      <c r="W143" s="21" t="s">
        <v>2272</v>
      </c>
      <c r="X143" s="21" t="s">
        <v>2272</v>
      </c>
      <c r="Y143" s="21" t="s">
        <v>2272</v>
      </c>
      <c r="Z143" s="21" t="s">
        <v>2272</v>
      </c>
      <c r="AA143" s="198" t="s">
        <v>67</v>
      </c>
      <c r="AB143" s="198" t="s">
        <v>67</v>
      </c>
      <c r="AC143" s="198" t="s">
        <v>63</v>
      </c>
      <c r="AD143" s="4" t="s">
        <v>5025</v>
      </c>
      <c r="AE143" s="4" t="s">
        <v>1373</v>
      </c>
    </row>
    <row r="144" spans="1:31" ht="122" customHeight="1">
      <c r="A144" s="198" t="s">
        <v>110</v>
      </c>
      <c r="B144" s="198" t="s">
        <v>1367</v>
      </c>
      <c r="C144" s="198" t="s">
        <v>23</v>
      </c>
      <c r="D144" s="198" t="s">
        <v>2654</v>
      </c>
      <c r="E144" s="4" t="s">
        <v>82</v>
      </c>
      <c r="F144" s="4" t="s">
        <v>27</v>
      </c>
      <c r="G144" s="198" t="s">
        <v>2272</v>
      </c>
      <c r="H144" s="198" t="s">
        <v>521</v>
      </c>
      <c r="I144" s="198">
        <v>2004</v>
      </c>
      <c r="J144" s="21" t="s">
        <v>2272</v>
      </c>
      <c r="K144" s="21" t="s">
        <v>2272</v>
      </c>
      <c r="L144" s="21" t="s">
        <v>2272</v>
      </c>
      <c r="M144" s="21" t="s">
        <v>2272</v>
      </c>
      <c r="N144" s="21" t="s">
        <v>2272</v>
      </c>
      <c r="O144" s="21" t="s">
        <v>2272</v>
      </c>
      <c r="P144" s="21" t="s">
        <v>2272</v>
      </c>
      <c r="Q144" s="21" t="s">
        <v>2272</v>
      </c>
      <c r="R144" s="21" t="s">
        <v>2272</v>
      </c>
      <c r="S144" s="21" t="s">
        <v>2272</v>
      </c>
      <c r="T144" s="21" t="s">
        <v>2272</v>
      </c>
      <c r="U144" s="21" t="s">
        <v>2272</v>
      </c>
      <c r="V144" s="21" t="s">
        <v>2272</v>
      </c>
      <c r="W144" s="21" t="s">
        <v>2272</v>
      </c>
      <c r="X144" s="21" t="s">
        <v>2272</v>
      </c>
      <c r="Y144" s="21" t="s">
        <v>2272</v>
      </c>
      <c r="Z144" s="21" t="s">
        <v>2272</v>
      </c>
      <c r="AA144" s="198" t="s">
        <v>33</v>
      </c>
      <c r="AB144" s="198" t="s">
        <v>33</v>
      </c>
      <c r="AC144" s="198" t="s">
        <v>63</v>
      </c>
      <c r="AD144" s="4" t="s">
        <v>5025</v>
      </c>
      <c r="AE144" s="4" t="s">
        <v>1373</v>
      </c>
    </row>
    <row r="145" spans="1:31" ht="121" customHeight="1">
      <c r="A145" s="198" t="s">
        <v>110</v>
      </c>
      <c r="B145" s="198" t="s">
        <v>1368</v>
      </c>
      <c r="C145" s="198" t="s">
        <v>23</v>
      </c>
      <c r="D145" s="198" t="s">
        <v>2654</v>
      </c>
      <c r="E145" s="4" t="s">
        <v>82</v>
      </c>
      <c r="F145" s="4" t="s">
        <v>27</v>
      </c>
      <c r="G145" s="198" t="s">
        <v>2272</v>
      </c>
      <c r="H145" s="198" t="s">
        <v>521</v>
      </c>
      <c r="I145" s="198">
        <v>2004</v>
      </c>
      <c r="J145" s="21" t="s">
        <v>2272</v>
      </c>
      <c r="K145" s="21" t="s">
        <v>2272</v>
      </c>
      <c r="L145" s="21" t="s">
        <v>2272</v>
      </c>
      <c r="M145" s="21" t="s">
        <v>2272</v>
      </c>
      <c r="N145" s="21" t="s">
        <v>2272</v>
      </c>
      <c r="O145" s="21" t="s">
        <v>2272</v>
      </c>
      <c r="P145" s="21" t="s">
        <v>2272</v>
      </c>
      <c r="Q145" s="21" t="s">
        <v>2272</v>
      </c>
      <c r="R145" s="21" t="s">
        <v>2272</v>
      </c>
      <c r="S145" s="21" t="s">
        <v>2272</v>
      </c>
      <c r="T145" s="21" t="s">
        <v>2272</v>
      </c>
      <c r="U145" s="21" t="s">
        <v>2272</v>
      </c>
      <c r="V145" s="21" t="s">
        <v>2272</v>
      </c>
      <c r="W145" s="21" t="s">
        <v>2272</v>
      </c>
      <c r="X145" s="21" t="s">
        <v>2272</v>
      </c>
      <c r="Y145" s="21" t="s">
        <v>2272</v>
      </c>
      <c r="Z145" s="21" t="s">
        <v>2272</v>
      </c>
      <c r="AA145" s="198" t="s">
        <v>67</v>
      </c>
      <c r="AB145" s="198" t="s">
        <v>67</v>
      </c>
      <c r="AC145" s="198" t="s">
        <v>63</v>
      </c>
      <c r="AD145" s="4" t="s">
        <v>5025</v>
      </c>
      <c r="AE145" s="4" t="s">
        <v>1373</v>
      </c>
    </row>
    <row r="146" spans="1:31" ht="121" customHeight="1">
      <c r="A146" s="198" t="s">
        <v>110</v>
      </c>
      <c r="B146" s="198" t="s">
        <v>1369</v>
      </c>
      <c r="C146" s="198" t="s">
        <v>23</v>
      </c>
      <c r="D146" s="198" t="s">
        <v>2654</v>
      </c>
      <c r="E146" s="4" t="s">
        <v>82</v>
      </c>
      <c r="F146" s="4" t="s">
        <v>27</v>
      </c>
      <c r="G146" s="198" t="s">
        <v>2272</v>
      </c>
      <c r="H146" s="198" t="s">
        <v>521</v>
      </c>
      <c r="I146" s="198">
        <v>2005</v>
      </c>
      <c r="J146" s="21" t="s">
        <v>2272</v>
      </c>
      <c r="K146" s="21" t="s">
        <v>2272</v>
      </c>
      <c r="L146" s="21" t="s">
        <v>2272</v>
      </c>
      <c r="M146" s="21" t="s">
        <v>2272</v>
      </c>
      <c r="N146" s="21" t="s">
        <v>2272</v>
      </c>
      <c r="O146" s="21" t="s">
        <v>2272</v>
      </c>
      <c r="P146" s="21" t="s">
        <v>2272</v>
      </c>
      <c r="Q146" s="21" t="s">
        <v>2272</v>
      </c>
      <c r="R146" s="21" t="s">
        <v>2272</v>
      </c>
      <c r="S146" s="21" t="s">
        <v>2272</v>
      </c>
      <c r="T146" s="21" t="s">
        <v>2272</v>
      </c>
      <c r="U146" s="21" t="s">
        <v>2272</v>
      </c>
      <c r="V146" s="21" t="s">
        <v>2272</v>
      </c>
      <c r="W146" s="21" t="s">
        <v>2272</v>
      </c>
      <c r="X146" s="21" t="s">
        <v>2272</v>
      </c>
      <c r="Y146" s="21" t="s">
        <v>2272</v>
      </c>
      <c r="Z146" s="21" t="s">
        <v>2272</v>
      </c>
      <c r="AA146" s="198" t="s">
        <v>33</v>
      </c>
      <c r="AB146" s="198" t="s">
        <v>33</v>
      </c>
      <c r="AC146" s="198" t="s">
        <v>63</v>
      </c>
      <c r="AD146" s="4" t="s">
        <v>5025</v>
      </c>
      <c r="AE146" s="4" t="s">
        <v>1373</v>
      </c>
    </row>
    <row r="147" spans="1:31" ht="115" customHeight="1">
      <c r="A147" s="198" t="s">
        <v>110</v>
      </c>
      <c r="B147" s="198" t="s">
        <v>1370</v>
      </c>
      <c r="C147" s="198" t="s">
        <v>23</v>
      </c>
      <c r="D147" s="198" t="s">
        <v>2654</v>
      </c>
      <c r="E147" s="4" t="s">
        <v>82</v>
      </c>
      <c r="F147" s="4" t="s">
        <v>27</v>
      </c>
      <c r="G147" s="198" t="s">
        <v>2272</v>
      </c>
      <c r="H147" s="198" t="s">
        <v>521</v>
      </c>
      <c r="I147" s="198">
        <v>2005</v>
      </c>
      <c r="J147" s="21" t="s">
        <v>2272</v>
      </c>
      <c r="K147" s="21" t="s">
        <v>2272</v>
      </c>
      <c r="L147" s="21" t="s">
        <v>2272</v>
      </c>
      <c r="M147" s="21" t="s">
        <v>2272</v>
      </c>
      <c r="N147" s="21" t="s">
        <v>2272</v>
      </c>
      <c r="O147" s="21" t="s">
        <v>2272</v>
      </c>
      <c r="P147" s="21" t="s">
        <v>2272</v>
      </c>
      <c r="Q147" s="21" t="s">
        <v>2272</v>
      </c>
      <c r="R147" s="21" t="s">
        <v>2272</v>
      </c>
      <c r="S147" s="21" t="s">
        <v>2272</v>
      </c>
      <c r="T147" s="21" t="s">
        <v>2272</v>
      </c>
      <c r="U147" s="21" t="s">
        <v>2272</v>
      </c>
      <c r="V147" s="21" t="s">
        <v>2272</v>
      </c>
      <c r="W147" s="21" t="s">
        <v>2272</v>
      </c>
      <c r="X147" s="21" t="s">
        <v>2272</v>
      </c>
      <c r="Y147" s="21" t="s">
        <v>2272</v>
      </c>
      <c r="Z147" s="21" t="s">
        <v>2272</v>
      </c>
      <c r="AA147" s="198" t="s">
        <v>67</v>
      </c>
      <c r="AB147" s="198" t="s">
        <v>67</v>
      </c>
      <c r="AC147" s="198" t="s">
        <v>63</v>
      </c>
      <c r="AD147" s="4" t="s">
        <v>5025</v>
      </c>
      <c r="AE147" s="4" t="s">
        <v>1373</v>
      </c>
    </row>
    <row r="148" spans="1:31" ht="155.5" customHeight="1">
      <c r="A148" s="198" t="s">
        <v>121</v>
      </c>
      <c r="B148" s="198" t="s">
        <v>122</v>
      </c>
      <c r="C148" s="198" t="s">
        <v>23</v>
      </c>
      <c r="D148" s="198" t="s">
        <v>26</v>
      </c>
      <c r="E148" s="198" t="s">
        <v>128</v>
      </c>
      <c r="F148" s="4" t="s">
        <v>73</v>
      </c>
      <c r="G148" s="4" t="s">
        <v>73</v>
      </c>
      <c r="H148" s="198" t="s">
        <v>521</v>
      </c>
      <c r="I148" s="198"/>
      <c r="J148" s="21" t="s">
        <v>2272</v>
      </c>
      <c r="K148" s="21" t="s">
        <v>2272</v>
      </c>
      <c r="L148" s="21" t="s">
        <v>2272</v>
      </c>
      <c r="M148" s="21" t="s">
        <v>2272</v>
      </c>
      <c r="N148" s="21" t="s">
        <v>2272</v>
      </c>
      <c r="O148" s="21" t="s">
        <v>2272</v>
      </c>
      <c r="P148" s="21" t="s">
        <v>2272</v>
      </c>
      <c r="Q148" s="21" t="s">
        <v>2272</v>
      </c>
      <c r="R148" s="21" t="s">
        <v>2272</v>
      </c>
      <c r="S148" s="21" t="s">
        <v>2272</v>
      </c>
      <c r="T148" s="21" t="s">
        <v>2272</v>
      </c>
      <c r="U148" s="21" t="s">
        <v>2272</v>
      </c>
      <c r="V148" s="21" t="s">
        <v>2272</v>
      </c>
      <c r="W148" s="21" t="s">
        <v>2272</v>
      </c>
      <c r="X148" s="21" t="s">
        <v>2272</v>
      </c>
      <c r="Y148" s="21" t="s">
        <v>2272</v>
      </c>
      <c r="Z148" s="21" t="s">
        <v>2272</v>
      </c>
      <c r="AA148" s="198" t="s">
        <v>67</v>
      </c>
      <c r="AB148" s="198" t="s">
        <v>67</v>
      </c>
      <c r="AC148" s="198" t="s">
        <v>75</v>
      </c>
      <c r="AD148" s="4" t="s">
        <v>129</v>
      </c>
      <c r="AE148" s="198"/>
    </row>
    <row r="149" spans="1:31" ht="149.5" customHeight="1">
      <c r="A149" s="198" t="s">
        <v>121</v>
      </c>
      <c r="B149" s="198" t="s">
        <v>123</v>
      </c>
      <c r="C149" s="198" t="s">
        <v>23</v>
      </c>
      <c r="D149" s="198" t="s">
        <v>26</v>
      </c>
      <c r="E149" s="198" t="s">
        <v>128</v>
      </c>
      <c r="F149" s="4" t="s">
        <v>159</v>
      </c>
      <c r="G149" s="198" t="s">
        <v>2272</v>
      </c>
      <c r="H149" s="198" t="s">
        <v>521</v>
      </c>
      <c r="I149" s="198"/>
      <c r="J149" s="21" t="s">
        <v>2272</v>
      </c>
      <c r="K149" s="21" t="s">
        <v>2272</v>
      </c>
      <c r="L149" s="21" t="s">
        <v>2272</v>
      </c>
      <c r="M149" s="21" t="s">
        <v>2272</v>
      </c>
      <c r="N149" s="21" t="s">
        <v>2272</v>
      </c>
      <c r="O149" s="21" t="s">
        <v>2272</v>
      </c>
      <c r="P149" s="21" t="s">
        <v>2272</v>
      </c>
      <c r="Q149" s="21" t="s">
        <v>2272</v>
      </c>
      <c r="R149" s="21" t="s">
        <v>2272</v>
      </c>
      <c r="S149" s="21" t="s">
        <v>2272</v>
      </c>
      <c r="T149" s="21" t="s">
        <v>2272</v>
      </c>
      <c r="U149" s="21" t="s">
        <v>2272</v>
      </c>
      <c r="V149" s="21" t="s">
        <v>2272</v>
      </c>
      <c r="W149" s="21" t="s">
        <v>2272</v>
      </c>
      <c r="X149" s="21" t="s">
        <v>2272</v>
      </c>
      <c r="Y149" s="21" t="s">
        <v>2272</v>
      </c>
      <c r="Z149" s="21" t="s">
        <v>2272</v>
      </c>
      <c r="AA149" s="198" t="s">
        <v>34</v>
      </c>
      <c r="AB149" s="198" t="s">
        <v>125</v>
      </c>
      <c r="AC149" s="198" t="s">
        <v>126</v>
      </c>
      <c r="AD149" s="4" t="s">
        <v>130</v>
      </c>
      <c r="AE149" s="198"/>
    </row>
    <row r="150" spans="1:31" ht="47" customHeight="1">
      <c r="A150" s="198" t="s">
        <v>131</v>
      </c>
      <c r="B150" s="198" t="s">
        <v>136</v>
      </c>
      <c r="C150" s="198" t="s">
        <v>23</v>
      </c>
      <c r="D150" s="4" t="s">
        <v>142</v>
      </c>
      <c r="E150" s="198" t="s">
        <v>135</v>
      </c>
      <c r="F150" s="4" t="s">
        <v>73</v>
      </c>
      <c r="G150" s="198" t="s">
        <v>2272</v>
      </c>
      <c r="H150" s="198" t="s">
        <v>522</v>
      </c>
      <c r="I150" s="198"/>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21">
        <v>0</v>
      </c>
      <c r="Z150" s="21" t="s">
        <v>2272</v>
      </c>
      <c r="AA150" s="198" t="s">
        <v>2272</v>
      </c>
      <c r="AB150" s="198" t="s">
        <v>2272</v>
      </c>
      <c r="AC150" s="198" t="s">
        <v>2272</v>
      </c>
      <c r="AD150" s="198" t="s">
        <v>137</v>
      </c>
      <c r="AE150" s="198"/>
    </row>
    <row r="151" spans="1:31" ht="60" customHeight="1">
      <c r="A151" s="198" t="s">
        <v>131</v>
      </c>
      <c r="B151" s="198" t="s">
        <v>138</v>
      </c>
      <c r="C151" s="198" t="s">
        <v>23</v>
      </c>
      <c r="D151" s="198" t="s">
        <v>26</v>
      </c>
      <c r="E151" s="198" t="s">
        <v>128</v>
      </c>
      <c r="F151" s="4" t="s">
        <v>159</v>
      </c>
      <c r="G151" s="198" t="s">
        <v>2272</v>
      </c>
      <c r="H151" s="198" t="s">
        <v>521</v>
      </c>
      <c r="I151" s="198"/>
      <c r="J151" s="21" t="s">
        <v>2272</v>
      </c>
      <c r="K151" s="21" t="s">
        <v>2272</v>
      </c>
      <c r="L151" s="21" t="s">
        <v>2272</v>
      </c>
      <c r="M151" s="21" t="s">
        <v>2272</v>
      </c>
      <c r="N151" s="21" t="s">
        <v>2272</v>
      </c>
      <c r="O151" s="21" t="s">
        <v>2272</v>
      </c>
      <c r="P151" s="21" t="s">
        <v>2272</v>
      </c>
      <c r="Q151" s="21" t="s">
        <v>2272</v>
      </c>
      <c r="R151" s="21" t="s">
        <v>2272</v>
      </c>
      <c r="S151" s="21" t="s">
        <v>2272</v>
      </c>
      <c r="T151" s="21" t="s">
        <v>2272</v>
      </c>
      <c r="U151" s="21" t="s">
        <v>2272</v>
      </c>
      <c r="V151" s="21" t="s">
        <v>2272</v>
      </c>
      <c r="W151" s="21" t="s">
        <v>2272</v>
      </c>
      <c r="X151" s="21" t="s">
        <v>2272</v>
      </c>
      <c r="Y151" s="21" t="s">
        <v>2272</v>
      </c>
      <c r="Z151" s="21" t="s">
        <v>2272</v>
      </c>
      <c r="AA151" s="198" t="s">
        <v>2272</v>
      </c>
      <c r="AB151" s="198" t="s">
        <v>2272</v>
      </c>
      <c r="AC151" s="198" t="s">
        <v>2272</v>
      </c>
      <c r="AD151" s="198"/>
      <c r="AE151" s="4" t="s">
        <v>1374</v>
      </c>
    </row>
    <row r="152" spans="1:31" ht="77.5" customHeight="1">
      <c r="A152" s="198" t="s">
        <v>134</v>
      </c>
      <c r="B152" s="198" t="s">
        <v>140</v>
      </c>
      <c r="C152" s="198" t="s">
        <v>23</v>
      </c>
      <c r="D152" s="198" t="s">
        <v>24</v>
      </c>
      <c r="E152" s="198" t="s">
        <v>44</v>
      </c>
      <c r="F152" s="4" t="s">
        <v>28</v>
      </c>
      <c r="G152" s="4" t="s">
        <v>28</v>
      </c>
      <c r="H152" s="198" t="s">
        <v>521</v>
      </c>
      <c r="I152" s="198"/>
      <c r="J152" s="21" t="s">
        <v>2272</v>
      </c>
      <c r="K152" s="21" t="s">
        <v>2272</v>
      </c>
      <c r="L152" s="21" t="s">
        <v>2272</v>
      </c>
      <c r="M152" s="21" t="s">
        <v>2272</v>
      </c>
      <c r="N152" s="21" t="s">
        <v>2272</v>
      </c>
      <c r="O152" s="21" t="s">
        <v>2272</v>
      </c>
      <c r="P152" s="21" t="s">
        <v>2272</v>
      </c>
      <c r="Q152" s="21" t="s">
        <v>2272</v>
      </c>
      <c r="R152" s="21" t="s">
        <v>2272</v>
      </c>
      <c r="S152" s="21" t="s">
        <v>2272</v>
      </c>
      <c r="T152" s="21" t="s">
        <v>2272</v>
      </c>
      <c r="U152" s="21" t="s">
        <v>2272</v>
      </c>
      <c r="V152" s="21" t="s">
        <v>2272</v>
      </c>
      <c r="W152" s="21" t="s">
        <v>2272</v>
      </c>
      <c r="X152" s="21" t="s">
        <v>2272</v>
      </c>
      <c r="Y152" s="21" t="s">
        <v>2272</v>
      </c>
      <c r="Z152" s="21" t="s">
        <v>2272</v>
      </c>
      <c r="AA152" s="198" t="s">
        <v>2272</v>
      </c>
      <c r="AB152" s="198" t="s">
        <v>2272</v>
      </c>
      <c r="AC152" s="198" t="s">
        <v>2272</v>
      </c>
      <c r="AD152" s="4" t="s">
        <v>1376</v>
      </c>
      <c r="AE152" s="4" t="s">
        <v>1375</v>
      </c>
    </row>
    <row r="153" spans="1:31" ht="77.5" customHeight="1">
      <c r="A153" s="198" t="s">
        <v>134</v>
      </c>
      <c r="B153" s="198" t="s">
        <v>5026</v>
      </c>
      <c r="C153" s="198" t="s">
        <v>23</v>
      </c>
      <c r="D153" s="198" t="s">
        <v>141</v>
      </c>
      <c r="E153" s="198" t="s">
        <v>44</v>
      </c>
      <c r="F153" s="4" t="s">
        <v>73</v>
      </c>
      <c r="G153" s="4" t="s">
        <v>73</v>
      </c>
      <c r="H153" s="198" t="s">
        <v>521</v>
      </c>
      <c r="I153" s="198"/>
      <c r="J153" s="21" t="s">
        <v>2272</v>
      </c>
      <c r="K153" s="21" t="s">
        <v>2272</v>
      </c>
      <c r="L153" s="21" t="s">
        <v>2272</v>
      </c>
      <c r="M153" s="21" t="s">
        <v>2272</v>
      </c>
      <c r="N153" s="21" t="s">
        <v>2272</v>
      </c>
      <c r="O153" s="21" t="s">
        <v>2272</v>
      </c>
      <c r="P153" s="21" t="s">
        <v>2272</v>
      </c>
      <c r="Q153" s="21" t="s">
        <v>2272</v>
      </c>
      <c r="R153" s="21" t="s">
        <v>2272</v>
      </c>
      <c r="S153" s="21" t="s">
        <v>2272</v>
      </c>
      <c r="T153" s="21" t="s">
        <v>2272</v>
      </c>
      <c r="U153" s="21" t="s">
        <v>2272</v>
      </c>
      <c r="V153" s="21" t="s">
        <v>2272</v>
      </c>
      <c r="W153" s="21" t="s">
        <v>2272</v>
      </c>
      <c r="X153" s="21" t="s">
        <v>2272</v>
      </c>
      <c r="Y153" s="21" t="s">
        <v>2272</v>
      </c>
      <c r="Z153" s="21" t="s">
        <v>2272</v>
      </c>
      <c r="AA153" s="198" t="s">
        <v>2272</v>
      </c>
      <c r="AB153" s="198" t="s">
        <v>2272</v>
      </c>
      <c r="AC153" s="198" t="s">
        <v>2272</v>
      </c>
      <c r="AD153" s="4" t="s">
        <v>1376</v>
      </c>
      <c r="AE153" s="4" t="s">
        <v>1375</v>
      </c>
    </row>
    <row r="154" spans="1:31" ht="77.5" customHeight="1">
      <c r="A154" s="198" t="s">
        <v>134</v>
      </c>
      <c r="B154" s="198" t="s">
        <v>5027</v>
      </c>
      <c r="C154" s="198" t="s">
        <v>2453</v>
      </c>
      <c r="D154" s="198" t="s">
        <v>24</v>
      </c>
      <c r="E154" s="198" t="s">
        <v>44</v>
      </c>
      <c r="F154" s="4" t="s">
        <v>28</v>
      </c>
      <c r="G154" s="4" t="s">
        <v>73</v>
      </c>
      <c r="H154" s="198" t="s">
        <v>521</v>
      </c>
      <c r="I154" s="198"/>
      <c r="J154" s="21" t="s">
        <v>2272</v>
      </c>
      <c r="K154" s="21" t="s">
        <v>2272</v>
      </c>
      <c r="L154" s="21" t="s">
        <v>2272</v>
      </c>
      <c r="M154" s="21" t="s">
        <v>2272</v>
      </c>
      <c r="N154" s="21" t="s">
        <v>2272</v>
      </c>
      <c r="O154" s="21" t="s">
        <v>2272</v>
      </c>
      <c r="P154" s="21" t="s">
        <v>2272</v>
      </c>
      <c r="Q154" s="21" t="s">
        <v>2272</v>
      </c>
      <c r="R154" s="21" t="s">
        <v>2272</v>
      </c>
      <c r="S154" s="21" t="s">
        <v>2272</v>
      </c>
      <c r="T154" s="21" t="s">
        <v>2272</v>
      </c>
      <c r="U154" s="21" t="s">
        <v>2272</v>
      </c>
      <c r="V154" s="21" t="s">
        <v>2272</v>
      </c>
      <c r="W154" s="21" t="s">
        <v>2272</v>
      </c>
      <c r="X154" s="21" t="s">
        <v>2272</v>
      </c>
      <c r="Y154" s="21" t="s">
        <v>2272</v>
      </c>
      <c r="Z154" s="21" t="s">
        <v>2272</v>
      </c>
      <c r="AA154" s="198" t="s">
        <v>2272</v>
      </c>
      <c r="AB154" s="198" t="s">
        <v>2272</v>
      </c>
      <c r="AC154" s="198" t="s">
        <v>2272</v>
      </c>
      <c r="AD154" s="4" t="s">
        <v>1376</v>
      </c>
      <c r="AE154" s="4" t="s">
        <v>1375</v>
      </c>
    </row>
    <row r="155" spans="1:31" ht="77.5" customHeight="1">
      <c r="A155" s="198" t="s">
        <v>143</v>
      </c>
      <c r="B155" s="198" t="s">
        <v>2296</v>
      </c>
      <c r="C155" s="198" t="s">
        <v>23</v>
      </c>
      <c r="D155" s="198" t="s">
        <v>2301</v>
      </c>
      <c r="E155" s="198" t="s">
        <v>114</v>
      </c>
      <c r="F155" s="4" t="s">
        <v>73</v>
      </c>
      <c r="G155" s="4" t="s">
        <v>73</v>
      </c>
      <c r="H155" s="198" t="s">
        <v>521</v>
      </c>
      <c r="I155" s="198"/>
      <c r="J155" s="21" t="s">
        <v>2272</v>
      </c>
      <c r="K155" s="21" t="s">
        <v>2272</v>
      </c>
      <c r="L155" s="21" t="s">
        <v>2272</v>
      </c>
      <c r="M155" s="21" t="s">
        <v>2272</v>
      </c>
      <c r="N155" s="21" t="s">
        <v>2272</v>
      </c>
      <c r="O155" s="21" t="s">
        <v>2272</v>
      </c>
      <c r="P155" s="21" t="s">
        <v>2272</v>
      </c>
      <c r="Q155" s="21" t="s">
        <v>2272</v>
      </c>
      <c r="R155" s="21" t="s">
        <v>2272</v>
      </c>
      <c r="S155" s="21" t="s">
        <v>2272</v>
      </c>
      <c r="T155" s="21" t="s">
        <v>2272</v>
      </c>
      <c r="U155" s="21" t="s">
        <v>2272</v>
      </c>
      <c r="V155" s="21" t="s">
        <v>2272</v>
      </c>
      <c r="W155" s="21" t="s">
        <v>2272</v>
      </c>
      <c r="X155" s="21" t="s">
        <v>2272</v>
      </c>
      <c r="Y155" s="21" t="s">
        <v>2272</v>
      </c>
      <c r="Z155" s="21" t="s">
        <v>2272</v>
      </c>
      <c r="AA155" s="21" t="s">
        <v>2272</v>
      </c>
      <c r="AB155" s="21" t="s">
        <v>2272</v>
      </c>
      <c r="AC155" s="21" t="s">
        <v>2272</v>
      </c>
      <c r="AD155" s="4" t="s">
        <v>2299</v>
      </c>
      <c r="AE155" s="4"/>
    </row>
    <row r="156" spans="1:31" ht="77.5" customHeight="1">
      <c r="A156" s="198" t="s">
        <v>143</v>
      </c>
      <c r="B156" s="198" t="s">
        <v>2297</v>
      </c>
      <c r="C156" s="198" t="s">
        <v>23</v>
      </c>
      <c r="D156" s="198" t="s">
        <v>26</v>
      </c>
      <c r="E156" s="198" t="s">
        <v>128</v>
      </c>
      <c r="F156" s="4" t="s">
        <v>73</v>
      </c>
      <c r="G156" s="4" t="s">
        <v>73</v>
      </c>
      <c r="H156" s="198" t="s">
        <v>521</v>
      </c>
      <c r="I156" s="198"/>
      <c r="J156" s="21" t="s">
        <v>2272</v>
      </c>
      <c r="K156" s="21" t="s">
        <v>2272</v>
      </c>
      <c r="L156" s="21" t="s">
        <v>2272</v>
      </c>
      <c r="M156" s="21" t="s">
        <v>2272</v>
      </c>
      <c r="N156" s="21" t="s">
        <v>2272</v>
      </c>
      <c r="O156" s="21" t="s">
        <v>2272</v>
      </c>
      <c r="P156" s="21" t="s">
        <v>2272</v>
      </c>
      <c r="Q156" s="21" t="s">
        <v>2272</v>
      </c>
      <c r="R156" s="21" t="s">
        <v>2272</v>
      </c>
      <c r="S156" s="21" t="s">
        <v>2272</v>
      </c>
      <c r="T156" s="21" t="s">
        <v>2272</v>
      </c>
      <c r="U156" s="21" t="s">
        <v>2272</v>
      </c>
      <c r="V156" s="21" t="s">
        <v>2272</v>
      </c>
      <c r="W156" s="21" t="s">
        <v>2272</v>
      </c>
      <c r="X156" s="21" t="s">
        <v>2272</v>
      </c>
      <c r="Y156" s="21" t="s">
        <v>2272</v>
      </c>
      <c r="Z156" s="21" t="s">
        <v>2272</v>
      </c>
      <c r="AA156" s="21" t="s">
        <v>2272</v>
      </c>
      <c r="AB156" s="21" t="s">
        <v>2272</v>
      </c>
      <c r="AC156" s="21" t="s">
        <v>2272</v>
      </c>
      <c r="AD156" s="4" t="s">
        <v>2298</v>
      </c>
      <c r="AE156" s="4"/>
    </row>
    <row r="157" spans="1:31" ht="131" customHeight="1">
      <c r="A157" s="198" t="s">
        <v>148</v>
      </c>
      <c r="B157" s="198" t="s">
        <v>155</v>
      </c>
      <c r="C157" s="198" t="s">
        <v>23</v>
      </c>
      <c r="D157" s="198" t="s">
        <v>141</v>
      </c>
      <c r="E157" s="198" t="s">
        <v>44</v>
      </c>
      <c r="F157" s="4" t="s">
        <v>73</v>
      </c>
      <c r="G157" s="198" t="s">
        <v>73</v>
      </c>
      <c r="H157" s="198" t="s">
        <v>521</v>
      </c>
      <c r="I157" s="198"/>
      <c r="J157" s="21" t="s">
        <v>2272</v>
      </c>
      <c r="K157" s="21" t="s">
        <v>2272</v>
      </c>
      <c r="L157" s="21" t="s">
        <v>2272</v>
      </c>
      <c r="M157" s="21" t="s">
        <v>2272</v>
      </c>
      <c r="N157" s="21" t="s">
        <v>2272</v>
      </c>
      <c r="O157" s="21" t="s">
        <v>2272</v>
      </c>
      <c r="P157" s="21" t="s">
        <v>2272</v>
      </c>
      <c r="Q157" s="21" t="s">
        <v>2272</v>
      </c>
      <c r="R157" s="21" t="s">
        <v>2272</v>
      </c>
      <c r="S157" s="21" t="s">
        <v>2272</v>
      </c>
      <c r="T157" s="21" t="s">
        <v>2272</v>
      </c>
      <c r="U157" s="21" t="s">
        <v>2272</v>
      </c>
      <c r="V157" s="21" t="s">
        <v>2272</v>
      </c>
      <c r="W157" s="21" t="s">
        <v>2272</v>
      </c>
      <c r="X157" s="21" t="s">
        <v>2272</v>
      </c>
      <c r="Y157" s="21" t="s">
        <v>2272</v>
      </c>
      <c r="Z157" s="21" t="s">
        <v>2272</v>
      </c>
      <c r="AA157" s="198" t="s">
        <v>2272</v>
      </c>
      <c r="AB157" s="198" t="s">
        <v>2272</v>
      </c>
      <c r="AC157" s="198" t="s">
        <v>2272</v>
      </c>
      <c r="AD157" s="4"/>
      <c r="AE157" s="4" t="s">
        <v>5018</v>
      </c>
    </row>
    <row r="158" spans="1:31" ht="138.5" customHeight="1">
      <c r="A158" s="198" t="s">
        <v>148</v>
      </c>
      <c r="B158" s="198" t="s">
        <v>156</v>
      </c>
      <c r="C158" s="198" t="s">
        <v>23</v>
      </c>
      <c r="D158" s="198" t="s">
        <v>24</v>
      </c>
      <c r="E158" s="198" t="s">
        <v>44</v>
      </c>
      <c r="F158" s="4" t="s">
        <v>28</v>
      </c>
      <c r="G158" s="198" t="s">
        <v>28</v>
      </c>
      <c r="H158" s="198" t="s">
        <v>521</v>
      </c>
      <c r="I158" s="198"/>
      <c r="J158" s="21" t="s">
        <v>2272</v>
      </c>
      <c r="K158" s="21" t="s">
        <v>2272</v>
      </c>
      <c r="L158" s="21" t="s">
        <v>2272</v>
      </c>
      <c r="M158" s="21" t="s">
        <v>2272</v>
      </c>
      <c r="N158" s="21" t="s">
        <v>2272</v>
      </c>
      <c r="O158" s="21" t="s">
        <v>2272</v>
      </c>
      <c r="P158" s="21" t="s">
        <v>2272</v>
      </c>
      <c r="Q158" s="21" t="s">
        <v>2272</v>
      </c>
      <c r="R158" s="21" t="s">
        <v>2272</v>
      </c>
      <c r="S158" s="21" t="s">
        <v>2272</v>
      </c>
      <c r="T158" s="21" t="s">
        <v>2272</v>
      </c>
      <c r="U158" s="21" t="s">
        <v>2272</v>
      </c>
      <c r="V158" s="21" t="s">
        <v>2272</v>
      </c>
      <c r="W158" s="21" t="s">
        <v>2272</v>
      </c>
      <c r="X158" s="21" t="s">
        <v>2272</v>
      </c>
      <c r="Y158" s="21" t="s">
        <v>2272</v>
      </c>
      <c r="Z158" s="21" t="s">
        <v>2272</v>
      </c>
      <c r="AA158" s="198" t="s">
        <v>2272</v>
      </c>
      <c r="AB158" s="198" t="s">
        <v>2272</v>
      </c>
      <c r="AC158" s="198" t="s">
        <v>2272</v>
      </c>
      <c r="AD158" s="198"/>
      <c r="AE158" s="4" t="s">
        <v>5018</v>
      </c>
    </row>
    <row r="159" spans="1:31" ht="132.5" customHeight="1">
      <c r="A159" s="198" t="s">
        <v>148</v>
      </c>
      <c r="B159" s="198" t="s">
        <v>157</v>
      </c>
      <c r="C159" s="198" t="s">
        <v>23</v>
      </c>
      <c r="D159" s="198" t="s">
        <v>26</v>
      </c>
      <c r="E159" s="198" t="s">
        <v>128</v>
      </c>
      <c r="F159" s="4" t="s">
        <v>159</v>
      </c>
      <c r="G159" s="4" t="s">
        <v>2272</v>
      </c>
      <c r="H159" s="198" t="s">
        <v>521</v>
      </c>
      <c r="I159" s="4"/>
      <c r="J159" s="21" t="s">
        <v>2272</v>
      </c>
      <c r="K159" s="21" t="s">
        <v>2272</v>
      </c>
      <c r="L159" s="21" t="s">
        <v>2272</v>
      </c>
      <c r="M159" s="21" t="s">
        <v>2272</v>
      </c>
      <c r="N159" s="21" t="s">
        <v>2272</v>
      </c>
      <c r="O159" s="21" t="s">
        <v>2272</v>
      </c>
      <c r="P159" s="21" t="s">
        <v>2272</v>
      </c>
      <c r="Q159" s="21" t="s">
        <v>2272</v>
      </c>
      <c r="R159" s="21" t="s">
        <v>2272</v>
      </c>
      <c r="S159" s="21" t="s">
        <v>2272</v>
      </c>
      <c r="T159" s="21" t="s">
        <v>2272</v>
      </c>
      <c r="U159" s="21" t="s">
        <v>2272</v>
      </c>
      <c r="V159" s="21" t="s">
        <v>2272</v>
      </c>
      <c r="W159" s="21" t="s">
        <v>2272</v>
      </c>
      <c r="X159" s="21" t="s">
        <v>2272</v>
      </c>
      <c r="Y159" s="21" t="s">
        <v>2272</v>
      </c>
      <c r="Z159" s="21" t="s">
        <v>2272</v>
      </c>
      <c r="AA159" s="198" t="s">
        <v>2272</v>
      </c>
      <c r="AB159" s="198" t="s">
        <v>2272</v>
      </c>
      <c r="AC159" s="198" t="s">
        <v>2272</v>
      </c>
      <c r="AD159" s="198"/>
      <c r="AE159" s="4" t="s">
        <v>5018</v>
      </c>
    </row>
    <row r="160" spans="1:31" ht="150.5" customHeight="1">
      <c r="A160" s="198" t="s">
        <v>160</v>
      </c>
      <c r="B160" s="198" t="s">
        <v>165</v>
      </c>
      <c r="C160" s="198" t="s">
        <v>23</v>
      </c>
      <c r="D160" s="198" t="s">
        <v>141</v>
      </c>
      <c r="E160" s="198" t="s">
        <v>82</v>
      </c>
      <c r="F160" s="4" t="s">
        <v>73</v>
      </c>
      <c r="G160" s="198" t="s">
        <v>73</v>
      </c>
      <c r="H160" s="198" t="s">
        <v>521</v>
      </c>
      <c r="I160" s="198">
        <v>2002</v>
      </c>
      <c r="J160" s="21" t="s">
        <v>2272</v>
      </c>
      <c r="K160" s="21" t="s">
        <v>2272</v>
      </c>
      <c r="L160" s="21" t="s">
        <v>2272</v>
      </c>
      <c r="M160" s="21" t="s">
        <v>2272</v>
      </c>
      <c r="N160" s="21" t="s">
        <v>2272</v>
      </c>
      <c r="O160" s="21" t="s">
        <v>2272</v>
      </c>
      <c r="P160" s="21" t="s">
        <v>2272</v>
      </c>
      <c r="Q160" s="21" t="s">
        <v>2272</v>
      </c>
      <c r="R160" s="21" t="s">
        <v>2272</v>
      </c>
      <c r="S160" s="21" t="s">
        <v>2272</v>
      </c>
      <c r="T160" s="21" t="s">
        <v>2272</v>
      </c>
      <c r="U160" s="21" t="s">
        <v>2272</v>
      </c>
      <c r="V160" s="21" t="s">
        <v>2272</v>
      </c>
      <c r="W160" s="21" t="s">
        <v>2272</v>
      </c>
      <c r="X160" s="21" t="s">
        <v>2272</v>
      </c>
      <c r="Y160" s="21" t="s">
        <v>2272</v>
      </c>
      <c r="Z160" s="21" t="s">
        <v>2272</v>
      </c>
      <c r="AA160" s="198" t="s">
        <v>2272</v>
      </c>
      <c r="AB160" s="198" t="s">
        <v>2272</v>
      </c>
      <c r="AC160" s="198" t="s">
        <v>2272</v>
      </c>
      <c r="AD160" s="4" t="s">
        <v>1394</v>
      </c>
      <c r="AE160" s="4" t="s">
        <v>1439</v>
      </c>
    </row>
    <row r="161" spans="1:31" ht="151.5" customHeight="1">
      <c r="A161" s="198" t="s">
        <v>160</v>
      </c>
      <c r="B161" s="198" t="s">
        <v>167</v>
      </c>
      <c r="C161" s="198" t="s">
        <v>23</v>
      </c>
      <c r="D161" s="198" t="s">
        <v>141</v>
      </c>
      <c r="E161" s="198" t="s">
        <v>82</v>
      </c>
      <c r="F161" s="4" t="s">
        <v>73</v>
      </c>
      <c r="G161" s="198" t="s">
        <v>73</v>
      </c>
      <c r="H161" s="198" t="s">
        <v>521</v>
      </c>
      <c r="I161" s="198">
        <v>2003</v>
      </c>
      <c r="J161" s="21" t="s">
        <v>2272</v>
      </c>
      <c r="K161" s="21" t="s">
        <v>2272</v>
      </c>
      <c r="L161" s="21" t="s">
        <v>2272</v>
      </c>
      <c r="M161" s="21" t="s">
        <v>2272</v>
      </c>
      <c r="N161" s="21" t="s">
        <v>2272</v>
      </c>
      <c r="O161" s="21" t="s">
        <v>2272</v>
      </c>
      <c r="P161" s="21" t="s">
        <v>2272</v>
      </c>
      <c r="Q161" s="21" t="s">
        <v>2272</v>
      </c>
      <c r="R161" s="21" t="s">
        <v>2272</v>
      </c>
      <c r="S161" s="21" t="s">
        <v>2272</v>
      </c>
      <c r="T161" s="21" t="s">
        <v>2272</v>
      </c>
      <c r="U161" s="21" t="s">
        <v>2272</v>
      </c>
      <c r="V161" s="21" t="s">
        <v>2272</v>
      </c>
      <c r="W161" s="21" t="s">
        <v>2272</v>
      </c>
      <c r="X161" s="21" t="s">
        <v>2272</v>
      </c>
      <c r="Y161" s="21" t="s">
        <v>2272</v>
      </c>
      <c r="Z161" s="21" t="s">
        <v>2272</v>
      </c>
      <c r="AA161" s="198" t="s">
        <v>2272</v>
      </c>
      <c r="AB161" s="198" t="s">
        <v>2272</v>
      </c>
      <c r="AC161" s="198" t="s">
        <v>2272</v>
      </c>
      <c r="AD161" s="4" t="s">
        <v>1394</v>
      </c>
      <c r="AE161" s="4" t="s">
        <v>1439</v>
      </c>
    </row>
    <row r="162" spans="1:31" ht="137.5" customHeight="1">
      <c r="A162" s="198" t="s">
        <v>160</v>
      </c>
      <c r="B162" s="198" t="s">
        <v>168</v>
      </c>
      <c r="C162" s="198" t="s">
        <v>23</v>
      </c>
      <c r="D162" s="198" t="s">
        <v>141</v>
      </c>
      <c r="E162" s="198" t="s">
        <v>82</v>
      </c>
      <c r="F162" s="4" t="s">
        <v>73</v>
      </c>
      <c r="G162" s="198" t="s">
        <v>73</v>
      </c>
      <c r="H162" s="198" t="s">
        <v>521</v>
      </c>
      <c r="I162" s="198">
        <v>2004</v>
      </c>
      <c r="J162" s="21" t="s">
        <v>2272</v>
      </c>
      <c r="K162" s="21" t="s">
        <v>2272</v>
      </c>
      <c r="L162" s="21" t="s">
        <v>2272</v>
      </c>
      <c r="M162" s="21" t="s">
        <v>2272</v>
      </c>
      <c r="N162" s="21" t="s">
        <v>2272</v>
      </c>
      <c r="O162" s="21" t="s">
        <v>2272</v>
      </c>
      <c r="P162" s="21" t="s">
        <v>2272</v>
      </c>
      <c r="Q162" s="21" t="s">
        <v>2272</v>
      </c>
      <c r="R162" s="21" t="s">
        <v>2272</v>
      </c>
      <c r="S162" s="21" t="s">
        <v>2272</v>
      </c>
      <c r="T162" s="21" t="s">
        <v>2272</v>
      </c>
      <c r="U162" s="21" t="s">
        <v>2272</v>
      </c>
      <c r="V162" s="21" t="s">
        <v>2272</v>
      </c>
      <c r="W162" s="21" t="s">
        <v>2272</v>
      </c>
      <c r="X162" s="21" t="s">
        <v>2272</v>
      </c>
      <c r="Y162" s="21" t="s">
        <v>2272</v>
      </c>
      <c r="Z162" s="21" t="s">
        <v>2272</v>
      </c>
      <c r="AA162" s="198" t="s">
        <v>2272</v>
      </c>
      <c r="AB162" s="198" t="s">
        <v>2272</v>
      </c>
      <c r="AC162" s="198" t="s">
        <v>2272</v>
      </c>
      <c r="AD162" s="4" t="s">
        <v>1394</v>
      </c>
      <c r="AE162" s="4" t="s">
        <v>5030</v>
      </c>
    </row>
    <row r="163" spans="1:31" ht="124" customHeight="1">
      <c r="A163" s="198" t="s">
        <v>160</v>
      </c>
      <c r="B163" s="198" t="s">
        <v>1386</v>
      </c>
      <c r="C163" s="198" t="s">
        <v>23</v>
      </c>
      <c r="D163" s="198" t="s">
        <v>141</v>
      </c>
      <c r="E163" s="198" t="s">
        <v>82</v>
      </c>
      <c r="F163" s="4" t="s">
        <v>73</v>
      </c>
      <c r="G163" s="198" t="s">
        <v>73</v>
      </c>
      <c r="H163" s="198" t="s">
        <v>521</v>
      </c>
      <c r="I163" s="198">
        <v>2005</v>
      </c>
      <c r="J163" s="21" t="s">
        <v>2272</v>
      </c>
      <c r="K163" s="21" t="s">
        <v>2272</v>
      </c>
      <c r="L163" s="21" t="s">
        <v>2272</v>
      </c>
      <c r="M163" s="21" t="s">
        <v>2272</v>
      </c>
      <c r="N163" s="21" t="s">
        <v>2272</v>
      </c>
      <c r="O163" s="21" t="s">
        <v>2272</v>
      </c>
      <c r="P163" s="21" t="s">
        <v>2272</v>
      </c>
      <c r="Q163" s="21" t="s">
        <v>2272</v>
      </c>
      <c r="R163" s="21" t="s">
        <v>2272</v>
      </c>
      <c r="S163" s="21" t="s">
        <v>2272</v>
      </c>
      <c r="T163" s="21" t="s">
        <v>2272</v>
      </c>
      <c r="U163" s="21" t="s">
        <v>2272</v>
      </c>
      <c r="V163" s="21" t="s">
        <v>2272</v>
      </c>
      <c r="W163" s="21" t="s">
        <v>2272</v>
      </c>
      <c r="X163" s="21" t="s">
        <v>2272</v>
      </c>
      <c r="Y163" s="21" t="s">
        <v>2272</v>
      </c>
      <c r="Z163" s="21" t="s">
        <v>2272</v>
      </c>
      <c r="AA163" s="198" t="s">
        <v>2272</v>
      </c>
      <c r="AB163" s="198" t="s">
        <v>2272</v>
      </c>
      <c r="AC163" s="198" t="s">
        <v>2272</v>
      </c>
      <c r="AD163" s="4" t="s">
        <v>1394</v>
      </c>
      <c r="AE163" s="4" t="s">
        <v>1439</v>
      </c>
    </row>
    <row r="164" spans="1:31" ht="135" customHeight="1">
      <c r="A164" s="198" t="s">
        <v>160</v>
      </c>
      <c r="B164" s="198" t="s">
        <v>1387</v>
      </c>
      <c r="C164" s="198" t="s">
        <v>23</v>
      </c>
      <c r="D164" s="198" t="s">
        <v>141</v>
      </c>
      <c r="E164" s="198" t="s">
        <v>82</v>
      </c>
      <c r="F164" s="4" t="s">
        <v>73</v>
      </c>
      <c r="G164" s="198" t="s">
        <v>73</v>
      </c>
      <c r="H164" s="198" t="s">
        <v>521</v>
      </c>
      <c r="I164" s="198">
        <v>2006</v>
      </c>
      <c r="J164" s="21" t="s">
        <v>2272</v>
      </c>
      <c r="K164" s="21" t="s">
        <v>2272</v>
      </c>
      <c r="L164" s="21" t="s">
        <v>2272</v>
      </c>
      <c r="M164" s="21" t="s">
        <v>2272</v>
      </c>
      <c r="N164" s="21" t="s">
        <v>2272</v>
      </c>
      <c r="O164" s="21" t="s">
        <v>2272</v>
      </c>
      <c r="P164" s="21" t="s">
        <v>2272</v>
      </c>
      <c r="Q164" s="21" t="s">
        <v>2272</v>
      </c>
      <c r="R164" s="21" t="s">
        <v>2272</v>
      </c>
      <c r="S164" s="21" t="s">
        <v>2272</v>
      </c>
      <c r="T164" s="21" t="s">
        <v>2272</v>
      </c>
      <c r="U164" s="21" t="s">
        <v>2272</v>
      </c>
      <c r="V164" s="21" t="s">
        <v>2272</v>
      </c>
      <c r="W164" s="21" t="s">
        <v>2272</v>
      </c>
      <c r="X164" s="21" t="s">
        <v>2272</v>
      </c>
      <c r="Y164" s="21" t="s">
        <v>2272</v>
      </c>
      <c r="Z164" s="21" t="s">
        <v>2272</v>
      </c>
      <c r="AA164" s="198" t="s">
        <v>2272</v>
      </c>
      <c r="AB164" s="198" t="s">
        <v>2272</v>
      </c>
      <c r="AC164" s="198" t="s">
        <v>2272</v>
      </c>
      <c r="AD164" s="4" t="s">
        <v>1394</v>
      </c>
      <c r="AE164" s="4" t="s">
        <v>1439</v>
      </c>
    </row>
    <row r="165" spans="1:31" ht="147.5" customHeight="1">
      <c r="A165" s="198" t="s">
        <v>160</v>
      </c>
      <c r="B165" s="198" t="s">
        <v>1388</v>
      </c>
      <c r="C165" s="198" t="s">
        <v>23</v>
      </c>
      <c r="D165" s="198" t="s">
        <v>141</v>
      </c>
      <c r="E165" s="198" t="s">
        <v>82</v>
      </c>
      <c r="F165" s="4" t="s">
        <v>73</v>
      </c>
      <c r="G165" s="198" t="s">
        <v>73</v>
      </c>
      <c r="H165" s="198" t="s">
        <v>521</v>
      </c>
      <c r="I165" s="198">
        <v>2007</v>
      </c>
      <c r="J165" s="21" t="s">
        <v>2272</v>
      </c>
      <c r="K165" s="21" t="s">
        <v>2272</v>
      </c>
      <c r="L165" s="21" t="s">
        <v>2272</v>
      </c>
      <c r="M165" s="21" t="s">
        <v>2272</v>
      </c>
      <c r="N165" s="21" t="s">
        <v>2272</v>
      </c>
      <c r="O165" s="21" t="s">
        <v>2272</v>
      </c>
      <c r="P165" s="21" t="s">
        <v>2272</v>
      </c>
      <c r="Q165" s="21" t="s">
        <v>2272</v>
      </c>
      <c r="R165" s="21" t="s">
        <v>2272</v>
      </c>
      <c r="S165" s="21" t="s">
        <v>2272</v>
      </c>
      <c r="T165" s="21" t="s">
        <v>2272</v>
      </c>
      <c r="U165" s="21" t="s">
        <v>2272</v>
      </c>
      <c r="V165" s="21" t="s">
        <v>2272</v>
      </c>
      <c r="W165" s="21" t="s">
        <v>2272</v>
      </c>
      <c r="X165" s="21" t="s">
        <v>2272</v>
      </c>
      <c r="Y165" s="21" t="s">
        <v>2272</v>
      </c>
      <c r="Z165" s="21" t="s">
        <v>2272</v>
      </c>
      <c r="AA165" s="198" t="s">
        <v>2272</v>
      </c>
      <c r="AB165" s="198" t="s">
        <v>2272</v>
      </c>
      <c r="AC165" s="198" t="s">
        <v>2272</v>
      </c>
      <c r="AD165" s="4" t="s">
        <v>1394</v>
      </c>
      <c r="AE165" s="4" t="s">
        <v>1439</v>
      </c>
    </row>
    <row r="166" spans="1:31" ht="139" customHeight="1">
      <c r="A166" s="198" t="s">
        <v>160</v>
      </c>
      <c r="B166" s="198" t="s">
        <v>1389</v>
      </c>
      <c r="C166" s="198" t="s">
        <v>23</v>
      </c>
      <c r="D166" s="198" t="s">
        <v>141</v>
      </c>
      <c r="E166" s="198" t="s">
        <v>82</v>
      </c>
      <c r="F166" s="4" t="s">
        <v>73</v>
      </c>
      <c r="G166" s="198" t="s">
        <v>73</v>
      </c>
      <c r="H166" s="198" t="s">
        <v>521</v>
      </c>
      <c r="I166" s="198">
        <v>2008</v>
      </c>
      <c r="J166" s="21" t="s">
        <v>2272</v>
      </c>
      <c r="K166" s="21" t="s">
        <v>2272</v>
      </c>
      <c r="L166" s="21" t="s">
        <v>2272</v>
      </c>
      <c r="M166" s="21" t="s">
        <v>2272</v>
      </c>
      <c r="N166" s="21" t="s">
        <v>2272</v>
      </c>
      <c r="O166" s="21" t="s">
        <v>2272</v>
      </c>
      <c r="P166" s="21" t="s">
        <v>2272</v>
      </c>
      <c r="Q166" s="21" t="s">
        <v>2272</v>
      </c>
      <c r="R166" s="21" t="s">
        <v>2272</v>
      </c>
      <c r="S166" s="21" t="s">
        <v>2272</v>
      </c>
      <c r="T166" s="21" t="s">
        <v>2272</v>
      </c>
      <c r="U166" s="21" t="s">
        <v>2272</v>
      </c>
      <c r="V166" s="21" t="s">
        <v>2272</v>
      </c>
      <c r="W166" s="21" t="s">
        <v>2272</v>
      </c>
      <c r="X166" s="21" t="s">
        <v>2272</v>
      </c>
      <c r="Y166" s="21" t="s">
        <v>2272</v>
      </c>
      <c r="Z166" s="21" t="s">
        <v>2272</v>
      </c>
      <c r="AA166" s="198" t="s">
        <v>2272</v>
      </c>
      <c r="AB166" s="198" t="s">
        <v>2272</v>
      </c>
      <c r="AC166" s="198" t="s">
        <v>2272</v>
      </c>
      <c r="AD166" s="4" t="s">
        <v>1394</v>
      </c>
      <c r="AE166" s="4" t="s">
        <v>1439</v>
      </c>
    </row>
    <row r="167" spans="1:31" ht="155" customHeight="1">
      <c r="A167" s="198" t="s">
        <v>160</v>
      </c>
      <c r="B167" s="198" t="s">
        <v>1390</v>
      </c>
      <c r="C167" s="198" t="s">
        <v>23</v>
      </c>
      <c r="D167" s="198" t="s">
        <v>141</v>
      </c>
      <c r="E167" s="198" t="s">
        <v>82</v>
      </c>
      <c r="F167" s="4" t="s">
        <v>73</v>
      </c>
      <c r="G167" s="198" t="s">
        <v>73</v>
      </c>
      <c r="H167" s="198" t="s">
        <v>521</v>
      </c>
      <c r="I167" s="198">
        <v>2009</v>
      </c>
      <c r="J167" s="21" t="s">
        <v>2272</v>
      </c>
      <c r="K167" s="21" t="s">
        <v>2272</v>
      </c>
      <c r="L167" s="21" t="s">
        <v>2272</v>
      </c>
      <c r="M167" s="21" t="s">
        <v>2272</v>
      </c>
      <c r="N167" s="21" t="s">
        <v>2272</v>
      </c>
      <c r="O167" s="21" t="s">
        <v>2272</v>
      </c>
      <c r="P167" s="21" t="s">
        <v>2272</v>
      </c>
      <c r="Q167" s="21" t="s">
        <v>2272</v>
      </c>
      <c r="R167" s="21" t="s">
        <v>2272</v>
      </c>
      <c r="S167" s="21" t="s">
        <v>2272</v>
      </c>
      <c r="T167" s="21" t="s">
        <v>2272</v>
      </c>
      <c r="U167" s="21" t="s">
        <v>2272</v>
      </c>
      <c r="V167" s="21" t="s">
        <v>2272</v>
      </c>
      <c r="W167" s="21" t="s">
        <v>2272</v>
      </c>
      <c r="X167" s="21" t="s">
        <v>2272</v>
      </c>
      <c r="Y167" s="21" t="s">
        <v>2272</v>
      </c>
      <c r="Z167" s="21" t="s">
        <v>2272</v>
      </c>
      <c r="AA167" s="198" t="s">
        <v>2272</v>
      </c>
      <c r="AB167" s="198" t="s">
        <v>2272</v>
      </c>
      <c r="AC167" s="198" t="s">
        <v>2272</v>
      </c>
      <c r="AD167" s="4" t="s">
        <v>1394</v>
      </c>
      <c r="AE167" s="4" t="s">
        <v>1439</v>
      </c>
    </row>
    <row r="168" spans="1:31" ht="146.5" customHeight="1">
      <c r="A168" s="198" t="s">
        <v>160</v>
      </c>
      <c r="B168" s="198" t="s">
        <v>1391</v>
      </c>
      <c r="C168" s="198" t="s">
        <v>23</v>
      </c>
      <c r="D168" s="198" t="s">
        <v>141</v>
      </c>
      <c r="E168" s="198" t="s">
        <v>82</v>
      </c>
      <c r="F168" s="4" t="s">
        <v>73</v>
      </c>
      <c r="G168" s="198" t="s">
        <v>73</v>
      </c>
      <c r="H168" s="198" t="s">
        <v>521</v>
      </c>
      <c r="I168" s="198">
        <v>2010</v>
      </c>
      <c r="J168" s="21" t="s">
        <v>2272</v>
      </c>
      <c r="K168" s="21" t="s">
        <v>2272</v>
      </c>
      <c r="L168" s="21" t="s">
        <v>2272</v>
      </c>
      <c r="M168" s="21" t="s">
        <v>2272</v>
      </c>
      <c r="N168" s="21" t="s">
        <v>2272</v>
      </c>
      <c r="O168" s="21" t="s">
        <v>2272</v>
      </c>
      <c r="P168" s="21" t="s">
        <v>2272</v>
      </c>
      <c r="Q168" s="21" t="s">
        <v>2272</v>
      </c>
      <c r="R168" s="21" t="s">
        <v>2272</v>
      </c>
      <c r="S168" s="21" t="s">
        <v>2272</v>
      </c>
      <c r="T168" s="21" t="s">
        <v>2272</v>
      </c>
      <c r="U168" s="21" t="s">
        <v>2272</v>
      </c>
      <c r="V168" s="21" t="s">
        <v>2272</v>
      </c>
      <c r="W168" s="21" t="s">
        <v>2272</v>
      </c>
      <c r="X168" s="21" t="s">
        <v>2272</v>
      </c>
      <c r="Y168" s="21" t="s">
        <v>2272</v>
      </c>
      <c r="Z168" s="21" t="s">
        <v>2272</v>
      </c>
      <c r="AA168" s="198" t="s">
        <v>2272</v>
      </c>
      <c r="AB168" s="198" t="s">
        <v>2272</v>
      </c>
      <c r="AC168" s="198" t="s">
        <v>2272</v>
      </c>
      <c r="AD168" s="4" t="s">
        <v>1394</v>
      </c>
      <c r="AE168" s="4" t="s">
        <v>1439</v>
      </c>
    </row>
    <row r="169" spans="1:31" ht="147.5" customHeight="1">
      <c r="A169" s="198" t="s">
        <v>160</v>
      </c>
      <c r="B169" s="198" t="s">
        <v>1392</v>
      </c>
      <c r="C169" s="198" t="s">
        <v>23</v>
      </c>
      <c r="D169" s="198" t="s">
        <v>141</v>
      </c>
      <c r="E169" s="198" t="s">
        <v>82</v>
      </c>
      <c r="F169" s="4" t="s">
        <v>73</v>
      </c>
      <c r="G169" s="198" t="s">
        <v>73</v>
      </c>
      <c r="H169" s="198" t="s">
        <v>521</v>
      </c>
      <c r="I169" s="198">
        <v>2011</v>
      </c>
      <c r="J169" s="21" t="s">
        <v>2272</v>
      </c>
      <c r="K169" s="21" t="s">
        <v>2272</v>
      </c>
      <c r="L169" s="21" t="s">
        <v>2272</v>
      </c>
      <c r="M169" s="21" t="s">
        <v>2272</v>
      </c>
      <c r="N169" s="21" t="s">
        <v>2272</v>
      </c>
      <c r="O169" s="21" t="s">
        <v>2272</v>
      </c>
      <c r="P169" s="21" t="s">
        <v>2272</v>
      </c>
      <c r="Q169" s="21" t="s">
        <v>2272</v>
      </c>
      <c r="R169" s="21" t="s">
        <v>2272</v>
      </c>
      <c r="S169" s="21" t="s">
        <v>2272</v>
      </c>
      <c r="T169" s="21" t="s">
        <v>2272</v>
      </c>
      <c r="U169" s="21" t="s">
        <v>2272</v>
      </c>
      <c r="V169" s="21" t="s">
        <v>2272</v>
      </c>
      <c r="W169" s="21" t="s">
        <v>2272</v>
      </c>
      <c r="X169" s="21" t="s">
        <v>2272</v>
      </c>
      <c r="Y169" s="21" t="s">
        <v>2272</v>
      </c>
      <c r="Z169" s="21" t="s">
        <v>2272</v>
      </c>
      <c r="AA169" s="198" t="s">
        <v>2272</v>
      </c>
      <c r="AB169" s="198" t="s">
        <v>2272</v>
      </c>
      <c r="AC169" s="198" t="s">
        <v>2272</v>
      </c>
      <c r="AD169" s="4" t="s">
        <v>1394</v>
      </c>
      <c r="AE169" s="4" t="s">
        <v>1439</v>
      </c>
    </row>
    <row r="170" spans="1:31" ht="142" customHeight="1">
      <c r="A170" s="198" t="s">
        <v>160</v>
      </c>
      <c r="B170" s="198" t="s">
        <v>1393</v>
      </c>
      <c r="C170" s="198" t="s">
        <v>23</v>
      </c>
      <c r="D170" s="198" t="s">
        <v>141</v>
      </c>
      <c r="E170" s="198" t="s">
        <v>82</v>
      </c>
      <c r="F170" s="4" t="s">
        <v>73</v>
      </c>
      <c r="G170" s="198" t="s">
        <v>73</v>
      </c>
      <c r="H170" s="198" t="s">
        <v>521</v>
      </c>
      <c r="I170" s="198">
        <v>2012</v>
      </c>
      <c r="J170" s="21" t="s">
        <v>2272</v>
      </c>
      <c r="K170" s="21" t="s">
        <v>2272</v>
      </c>
      <c r="L170" s="21" t="s">
        <v>2272</v>
      </c>
      <c r="M170" s="21" t="s">
        <v>2272</v>
      </c>
      <c r="N170" s="21" t="s">
        <v>2272</v>
      </c>
      <c r="O170" s="21" t="s">
        <v>2272</v>
      </c>
      <c r="P170" s="21" t="s">
        <v>2272</v>
      </c>
      <c r="Q170" s="21" t="s">
        <v>2272</v>
      </c>
      <c r="R170" s="21" t="s">
        <v>2272</v>
      </c>
      <c r="S170" s="21" t="s">
        <v>2272</v>
      </c>
      <c r="T170" s="21" t="s">
        <v>2272</v>
      </c>
      <c r="U170" s="21" t="s">
        <v>2272</v>
      </c>
      <c r="V170" s="21" t="s">
        <v>2272</v>
      </c>
      <c r="W170" s="21" t="s">
        <v>2272</v>
      </c>
      <c r="X170" s="21" t="s">
        <v>2272</v>
      </c>
      <c r="Y170" s="21" t="s">
        <v>2272</v>
      </c>
      <c r="Z170" s="21" t="s">
        <v>2272</v>
      </c>
      <c r="AA170" s="198" t="s">
        <v>2272</v>
      </c>
      <c r="AB170" s="198" t="s">
        <v>2272</v>
      </c>
      <c r="AC170" s="198" t="s">
        <v>2272</v>
      </c>
      <c r="AD170" s="4" t="s">
        <v>1394</v>
      </c>
      <c r="AE170" s="4" t="s">
        <v>1439</v>
      </c>
    </row>
    <row r="171" spans="1:31" ht="112.5" customHeight="1">
      <c r="A171" s="198" t="s">
        <v>160</v>
      </c>
      <c r="B171" s="198" t="s">
        <v>1395</v>
      </c>
      <c r="C171" s="198" t="s">
        <v>23</v>
      </c>
      <c r="D171" s="198" t="s">
        <v>141</v>
      </c>
      <c r="E171" s="4" t="s">
        <v>394</v>
      </c>
      <c r="F171" s="4" t="s">
        <v>73</v>
      </c>
      <c r="G171" s="198" t="s">
        <v>73</v>
      </c>
      <c r="H171" s="198" t="s">
        <v>521</v>
      </c>
      <c r="I171" s="198">
        <v>2002</v>
      </c>
      <c r="J171" s="21" t="s">
        <v>2272</v>
      </c>
      <c r="K171" s="21" t="s">
        <v>2272</v>
      </c>
      <c r="L171" s="21" t="s">
        <v>2272</v>
      </c>
      <c r="M171" s="21" t="s">
        <v>2272</v>
      </c>
      <c r="N171" s="21" t="s">
        <v>2272</v>
      </c>
      <c r="O171" s="21" t="s">
        <v>2272</v>
      </c>
      <c r="P171" s="21" t="s">
        <v>2272</v>
      </c>
      <c r="Q171" s="21" t="s">
        <v>2272</v>
      </c>
      <c r="R171" s="21" t="s">
        <v>2272</v>
      </c>
      <c r="S171" s="21" t="s">
        <v>2272</v>
      </c>
      <c r="T171" s="21" t="s">
        <v>2272</v>
      </c>
      <c r="U171" s="21" t="s">
        <v>2272</v>
      </c>
      <c r="V171" s="21" t="s">
        <v>2272</v>
      </c>
      <c r="W171" s="21" t="s">
        <v>2272</v>
      </c>
      <c r="X171" s="21" t="s">
        <v>2272</v>
      </c>
      <c r="Y171" s="21" t="s">
        <v>2272</v>
      </c>
      <c r="Z171" s="21" t="s">
        <v>2272</v>
      </c>
      <c r="AA171" s="198" t="s">
        <v>2272</v>
      </c>
      <c r="AB171" s="198" t="s">
        <v>2272</v>
      </c>
      <c r="AC171" s="198" t="s">
        <v>2272</v>
      </c>
      <c r="AD171" s="4" t="s">
        <v>1394</v>
      </c>
      <c r="AE171" s="4" t="s">
        <v>1438</v>
      </c>
    </row>
    <row r="172" spans="1:31" ht="112.5" customHeight="1">
      <c r="A172" s="198" t="s">
        <v>160</v>
      </c>
      <c r="B172" s="198" t="s">
        <v>1396</v>
      </c>
      <c r="C172" s="198" t="s">
        <v>23</v>
      </c>
      <c r="D172" s="198" t="s">
        <v>141</v>
      </c>
      <c r="E172" s="4" t="s">
        <v>394</v>
      </c>
      <c r="F172" s="4" t="s">
        <v>73</v>
      </c>
      <c r="G172" s="198" t="s">
        <v>73</v>
      </c>
      <c r="H172" s="198" t="s">
        <v>521</v>
      </c>
      <c r="I172" s="198">
        <v>2003</v>
      </c>
      <c r="J172" s="21" t="s">
        <v>2272</v>
      </c>
      <c r="K172" s="21" t="s">
        <v>2272</v>
      </c>
      <c r="L172" s="21" t="s">
        <v>2272</v>
      </c>
      <c r="M172" s="21" t="s">
        <v>2272</v>
      </c>
      <c r="N172" s="21" t="s">
        <v>2272</v>
      </c>
      <c r="O172" s="21" t="s">
        <v>2272</v>
      </c>
      <c r="P172" s="21" t="s">
        <v>2272</v>
      </c>
      <c r="Q172" s="21" t="s">
        <v>2272</v>
      </c>
      <c r="R172" s="21" t="s">
        <v>2272</v>
      </c>
      <c r="S172" s="21" t="s">
        <v>2272</v>
      </c>
      <c r="T172" s="21" t="s">
        <v>2272</v>
      </c>
      <c r="U172" s="21" t="s">
        <v>2272</v>
      </c>
      <c r="V172" s="21" t="s">
        <v>2272</v>
      </c>
      <c r="W172" s="21" t="s">
        <v>2272</v>
      </c>
      <c r="X172" s="21" t="s">
        <v>2272</v>
      </c>
      <c r="Y172" s="21" t="s">
        <v>2272</v>
      </c>
      <c r="Z172" s="21" t="s">
        <v>2272</v>
      </c>
      <c r="AA172" s="198" t="s">
        <v>2272</v>
      </c>
      <c r="AB172" s="198" t="s">
        <v>2272</v>
      </c>
      <c r="AC172" s="198" t="s">
        <v>2272</v>
      </c>
      <c r="AD172" s="4" t="s">
        <v>1394</v>
      </c>
      <c r="AE172" s="4" t="s">
        <v>1438</v>
      </c>
    </row>
    <row r="173" spans="1:31" ht="112.5" customHeight="1">
      <c r="A173" s="198" t="s">
        <v>160</v>
      </c>
      <c r="B173" s="198" t="s">
        <v>1397</v>
      </c>
      <c r="C173" s="198" t="s">
        <v>23</v>
      </c>
      <c r="D173" s="198" t="s">
        <v>141</v>
      </c>
      <c r="E173" s="4" t="s">
        <v>394</v>
      </c>
      <c r="F173" s="4" t="s">
        <v>73</v>
      </c>
      <c r="G173" s="198" t="s">
        <v>73</v>
      </c>
      <c r="H173" s="198" t="s">
        <v>521</v>
      </c>
      <c r="I173" s="198">
        <v>2004</v>
      </c>
      <c r="J173" s="21" t="s">
        <v>2272</v>
      </c>
      <c r="K173" s="21" t="s">
        <v>2272</v>
      </c>
      <c r="L173" s="21" t="s">
        <v>2272</v>
      </c>
      <c r="M173" s="21" t="s">
        <v>2272</v>
      </c>
      <c r="N173" s="21" t="s">
        <v>2272</v>
      </c>
      <c r="O173" s="21" t="s">
        <v>2272</v>
      </c>
      <c r="P173" s="21" t="s">
        <v>2272</v>
      </c>
      <c r="Q173" s="21" t="s">
        <v>2272</v>
      </c>
      <c r="R173" s="21" t="s">
        <v>2272</v>
      </c>
      <c r="S173" s="21" t="s">
        <v>2272</v>
      </c>
      <c r="T173" s="21" t="s">
        <v>2272</v>
      </c>
      <c r="U173" s="21" t="s">
        <v>2272</v>
      </c>
      <c r="V173" s="21" t="s">
        <v>2272</v>
      </c>
      <c r="W173" s="21" t="s">
        <v>2272</v>
      </c>
      <c r="X173" s="21" t="s">
        <v>2272</v>
      </c>
      <c r="Y173" s="21" t="s">
        <v>2272</v>
      </c>
      <c r="Z173" s="21" t="s">
        <v>2272</v>
      </c>
      <c r="AA173" s="198" t="s">
        <v>2272</v>
      </c>
      <c r="AB173" s="198" t="s">
        <v>2272</v>
      </c>
      <c r="AC173" s="198" t="s">
        <v>2272</v>
      </c>
      <c r="AD173" s="4" t="s">
        <v>1394</v>
      </c>
      <c r="AE173" s="4" t="s">
        <v>1438</v>
      </c>
    </row>
    <row r="174" spans="1:31" ht="112.5" customHeight="1">
      <c r="A174" s="198" t="s">
        <v>160</v>
      </c>
      <c r="B174" s="198" t="s">
        <v>1398</v>
      </c>
      <c r="C174" s="198" t="s">
        <v>23</v>
      </c>
      <c r="D174" s="198" t="s">
        <v>141</v>
      </c>
      <c r="E174" s="4" t="s">
        <v>394</v>
      </c>
      <c r="F174" s="4" t="s">
        <v>73</v>
      </c>
      <c r="G174" s="198" t="s">
        <v>73</v>
      </c>
      <c r="H174" s="198" t="s">
        <v>521</v>
      </c>
      <c r="I174" s="198">
        <v>2005</v>
      </c>
      <c r="J174" s="21" t="s">
        <v>2272</v>
      </c>
      <c r="K174" s="21" t="s">
        <v>2272</v>
      </c>
      <c r="L174" s="21" t="s">
        <v>2272</v>
      </c>
      <c r="M174" s="21" t="s">
        <v>2272</v>
      </c>
      <c r="N174" s="21" t="s">
        <v>2272</v>
      </c>
      <c r="O174" s="21" t="s">
        <v>2272</v>
      </c>
      <c r="P174" s="21" t="s">
        <v>2272</v>
      </c>
      <c r="Q174" s="21" t="s">
        <v>2272</v>
      </c>
      <c r="R174" s="21" t="s">
        <v>2272</v>
      </c>
      <c r="S174" s="21" t="s">
        <v>2272</v>
      </c>
      <c r="T174" s="21" t="s">
        <v>2272</v>
      </c>
      <c r="U174" s="21" t="s">
        <v>2272</v>
      </c>
      <c r="V174" s="21" t="s">
        <v>2272</v>
      </c>
      <c r="W174" s="21" t="s">
        <v>2272</v>
      </c>
      <c r="X174" s="21" t="s">
        <v>2272</v>
      </c>
      <c r="Y174" s="21" t="s">
        <v>2272</v>
      </c>
      <c r="Z174" s="21" t="s">
        <v>2272</v>
      </c>
      <c r="AA174" s="198" t="s">
        <v>2272</v>
      </c>
      <c r="AB174" s="198" t="s">
        <v>2272</v>
      </c>
      <c r="AC174" s="198" t="s">
        <v>2272</v>
      </c>
      <c r="AD174" s="4" t="s">
        <v>1394</v>
      </c>
      <c r="AE174" s="4" t="s">
        <v>1438</v>
      </c>
    </row>
    <row r="175" spans="1:31" ht="112.5" customHeight="1">
      <c r="A175" s="198" t="s">
        <v>160</v>
      </c>
      <c r="B175" s="198" t="s">
        <v>1399</v>
      </c>
      <c r="C175" s="198" t="s">
        <v>23</v>
      </c>
      <c r="D175" s="198" t="s">
        <v>141</v>
      </c>
      <c r="E175" s="4" t="s">
        <v>394</v>
      </c>
      <c r="F175" s="4" t="s">
        <v>73</v>
      </c>
      <c r="G175" s="198" t="s">
        <v>73</v>
      </c>
      <c r="H175" s="198" t="s">
        <v>521</v>
      </c>
      <c r="I175" s="198">
        <v>2006</v>
      </c>
      <c r="J175" s="21" t="s">
        <v>2272</v>
      </c>
      <c r="K175" s="21" t="s">
        <v>2272</v>
      </c>
      <c r="L175" s="21" t="s">
        <v>2272</v>
      </c>
      <c r="M175" s="21" t="s">
        <v>2272</v>
      </c>
      <c r="N175" s="21" t="s">
        <v>2272</v>
      </c>
      <c r="O175" s="21" t="s">
        <v>2272</v>
      </c>
      <c r="P175" s="21" t="s">
        <v>2272</v>
      </c>
      <c r="Q175" s="21" t="s">
        <v>2272</v>
      </c>
      <c r="R175" s="21" t="s">
        <v>2272</v>
      </c>
      <c r="S175" s="21" t="s">
        <v>2272</v>
      </c>
      <c r="T175" s="21" t="s">
        <v>2272</v>
      </c>
      <c r="U175" s="21" t="s">
        <v>2272</v>
      </c>
      <c r="V175" s="21" t="s">
        <v>2272</v>
      </c>
      <c r="W175" s="21" t="s">
        <v>2272</v>
      </c>
      <c r="X175" s="21" t="s">
        <v>2272</v>
      </c>
      <c r="Y175" s="21" t="s">
        <v>2272</v>
      </c>
      <c r="Z175" s="21" t="s">
        <v>2272</v>
      </c>
      <c r="AA175" s="198" t="s">
        <v>2272</v>
      </c>
      <c r="AB175" s="198" t="s">
        <v>2272</v>
      </c>
      <c r="AC175" s="198" t="s">
        <v>2272</v>
      </c>
      <c r="AD175" s="4" t="s">
        <v>1394</v>
      </c>
      <c r="AE175" s="4" t="s">
        <v>1438</v>
      </c>
    </row>
    <row r="176" spans="1:31" ht="112.5" customHeight="1">
      <c r="A176" s="198" t="s">
        <v>160</v>
      </c>
      <c r="B176" s="198" t="s">
        <v>1400</v>
      </c>
      <c r="C176" s="198" t="s">
        <v>23</v>
      </c>
      <c r="D176" s="198" t="s">
        <v>141</v>
      </c>
      <c r="E176" s="4" t="s">
        <v>394</v>
      </c>
      <c r="F176" s="4" t="s">
        <v>73</v>
      </c>
      <c r="G176" s="198" t="s">
        <v>73</v>
      </c>
      <c r="H176" s="198" t="s">
        <v>521</v>
      </c>
      <c r="I176" s="198">
        <v>2007</v>
      </c>
      <c r="J176" s="21" t="s">
        <v>2272</v>
      </c>
      <c r="K176" s="21" t="s">
        <v>2272</v>
      </c>
      <c r="L176" s="21" t="s">
        <v>2272</v>
      </c>
      <c r="M176" s="21" t="s">
        <v>2272</v>
      </c>
      <c r="N176" s="21" t="s">
        <v>2272</v>
      </c>
      <c r="O176" s="21" t="s">
        <v>2272</v>
      </c>
      <c r="P176" s="21" t="s">
        <v>2272</v>
      </c>
      <c r="Q176" s="21" t="s">
        <v>2272</v>
      </c>
      <c r="R176" s="21" t="s">
        <v>2272</v>
      </c>
      <c r="S176" s="21" t="s">
        <v>2272</v>
      </c>
      <c r="T176" s="21" t="s">
        <v>2272</v>
      </c>
      <c r="U176" s="21" t="s">
        <v>2272</v>
      </c>
      <c r="V176" s="21" t="s">
        <v>2272</v>
      </c>
      <c r="W176" s="21" t="s">
        <v>2272</v>
      </c>
      <c r="X176" s="21" t="s">
        <v>2272</v>
      </c>
      <c r="Y176" s="21" t="s">
        <v>2272</v>
      </c>
      <c r="Z176" s="21" t="s">
        <v>2272</v>
      </c>
      <c r="AA176" s="198" t="s">
        <v>2272</v>
      </c>
      <c r="AB176" s="198" t="s">
        <v>2272</v>
      </c>
      <c r="AC176" s="198" t="s">
        <v>2272</v>
      </c>
      <c r="AD176" s="4" t="s">
        <v>1394</v>
      </c>
      <c r="AE176" s="4" t="s">
        <v>1438</v>
      </c>
    </row>
    <row r="177" spans="1:31" ht="112.5" customHeight="1">
      <c r="A177" s="198" t="s">
        <v>160</v>
      </c>
      <c r="B177" s="198" t="s">
        <v>1401</v>
      </c>
      <c r="C177" s="198" t="s">
        <v>23</v>
      </c>
      <c r="D177" s="198" t="s">
        <v>141</v>
      </c>
      <c r="E177" s="4" t="s">
        <v>394</v>
      </c>
      <c r="F177" s="4" t="s">
        <v>73</v>
      </c>
      <c r="G177" s="198" t="s">
        <v>73</v>
      </c>
      <c r="H177" s="198" t="s">
        <v>521</v>
      </c>
      <c r="I177" s="198">
        <v>2008</v>
      </c>
      <c r="J177" s="21" t="s">
        <v>2272</v>
      </c>
      <c r="K177" s="21" t="s">
        <v>2272</v>
      </c>
      <c r="L177" s="21" t="s">
        <v>2272</v>
      </c>
      <c r="M177" s="21" t="s">
        <v>2272</v>
      </c>
      <c r="N177" s="21" t="s">
        <v>2272</v>
      </c>
      <c r="O177" s="21" t="s">
        <v>2272</v>
      </c>
      <c r="P177" s="21" t="s">
        <v>2272</v>
      </c>
      <c r="Q177" s="21" t="s">
        <v>2272</v>
      </c>
      <c r="R177" s="21" t="s">
        <v>2272</v>
      </c>
      <c r="S177" s="21" t="s">
        <v>2272</v>
      </c>
      <c r="T177" s="21" t="s">
        <v>2272</v>
      </c>
      <c r="U177" s="21" t="s">
        <v>2272</v>
      </c>
      <c r="V177" s="21" t="s">
        <v>2272</v>
      </c>
      <c r="W177" s="21" t="s">
        <v>2272</v>
      </c>
      <c r="X177" s="21" t="s">
        <v>2272</v>
      </c>
      <c r="Y177" s="21" t="s">
        <v>2272</v>
      </c>
      <c r="Z177" s="21" t="s">
        <v>2272</v>
      </c>
      <c r="AA177" s="198" t="s">
        <v>2272</v>
      </c>
      <c r="AB177" s="198" t="s">
        <v>2272</v>
      </c>
      <c r="AC177" s="198" t="s">
        <v>2272</v>
      </c>
      <c r="AD177" s="4" t="s">
        <v>1394</v>
      </c>
      <c r="AE177" s="4" t="s">
        <v>1438</v>
      </c>
    </row>
    <row r="178" spans="1:31" ht="112.5" customHeight="1">
      <c r="A178" s="198" t="s">
        <v>160</v>
      </c>
      <c r="B178" s="198" t="s">
        <v>1402</v>
      </c>
      <c r="C178" s="198" t="s">
        <v>23</v>
      </c>
      <c r="D178" s="198" t="s">
        <v>141</v>
      </c>
      <c r="E178" s="4" t="s">
        <v>394</v>
      </c>
      <c r="F178" s="4" t="s">
        <v>73</v>
      </c>
      <c r="G178" s="198" t="s">
        <v>73</v>
      </c>
      <c r="H178" s="198" t="s">
        <v>521</v>
      </c>
      <c r="I178" s="198">
        <v>2009</v>
      </c>
      <c r="J178" s="21" t="s">
        <v>2272</v>
      </c>
      <c r="K178" s="21" t="s">
        <v>2272</v>
      </c>
      <c r="L178" s="21" t="s">
        <v>2272</v>
      </c>
      <c r="M178" s="21" t="s">
        <v>2272</v>
      </c>
      <c r="N178" s="21" t="s">
        <v>2272</v>
      </c>
      <c r="O178" s="21" t="s">
        <v>2272</v>
      </c>
      <c r="P178" s="21" t="s">
        <v>2272</v>
      </c>
      <c r="Q178" s="21" t="s">
        <v>2272</v>
      </c>
      <c r="R178" s="21" t="s">
        <v>2272</v>
      </c>
      <c r="S178" s="21" t="s">
        <v>2272</v>
      </c>
      <c r="T178" s="21" t="s">
        <v>2272</v>
      </c>
      <c r="U178" s="21" t="s">
        <v>2272</v>
      </c>
      <c r="V178" s="21" t="s">
        <v>2272</v>
      </c>
      <c r="W178" s="21" t="s">
        <v>2272</v>
      </c>
      <c r="X178" s="21" t="s">
        <v>2272</v>
      </c>
      <c r="Y178" s="21" t="s">
        <v>2272</v>
      </c>
      <c r="Z178" s="21" t="s">
        <v>2272</v>
      </c>
      <c r="AA178" s="198" t="s">
        <v>2272</v>
      </c>
      <c r="AB178" s="198" t="s">
        <v>2272</v>
      </c>
      <c r="AC178" s="198" t="s">
        <v>2272</v>
      </c>
      <c r="AD178" s="4" t="s">
        <v>1394</v>
      </c>
      <c r="AE178" s="4" t="s">
        <v>1438</v>
      </c>
    </row>
    <row r="179" spans="1:31" ht="112.5" customHeight="1">
      <c r="A179" s="198" t="s">
        <v>160</v>
      </c>
      <c r="B179" s="198" t="s">
        <v>1403</v>
      </c>
      <c r="C179" s="198" t="s">
        <v>23</v>
      </c>
      <c r="D179" s="198" t="s">
        <v>141</v>
      </c>
      <c r="E179" s="4" t="s">
        <v>394</v>
      </c>
      <c r="F179" s="4" t="s">
        <v>73</v>
      </c>
      <c r="G179" s="198" t="s">
        <v>73</v>
      </c>
      <c r="H179" s="198" t="s">
        <v>521</v>
      </c>
      <c r="I179" s="198">
        <v>2010</v>
      </c>
      <c r="J179" s="21" t="s">
        <v>2272</v>
      </c>
      <c r="K179" s="21" t="s">
        <v>2272</v>
      </c>
      <c r="L179" s="21" t="s">
        <v>2272</v>
      </c>
      <c r="M179" s="21" t="s">
        <v>2272</v>
      </c>
      <c r="N179" s="21" t="s">
        <v>2272</v>
      </c>
      <c r="O179" s="21" t="s">
        <v>2272</v>
      </c>
      <c r="P179" s="21" t="s">
        <v>2272</v>
      </c>
      <c r="Q179" s="21" t="s">
        <v>2272</v>
      </c>
      <c r="R179" s="21" t="s">
        <v>2272</v>
      </c>
      <c r="S179" s="21" t="s">
        <v>2272</v>
      </c>
      <c r="T179" s="21" t="s">
        <v>2272</v>
      </c>
      <c r="U179" s="21" t="s">
        <v>2272</v>
      </c>
      <c r="V179" s="21" t="s">
        <v>2272</v>
      </c>
      <c r="W179" s="21" t="s">
        <v>2272</v>
      </c>
      <c r="X179" s="21" t="s">
        <v>2272</v>
      </c>
      <c r="Y179" s="21" t="s">
        <v>2272</v>
      </c>
      <c r="Z179" s="21" t="s">
        <v>2272</v>
      </c>
      <c r="AA179" s="198" t="s">
        <v>2272</v>
      </c>
      <c r="AB179" s="198" t="s">
        <v>2272</v>
      </c>
      <c r="AC179" s="198" t="s">
        <v>2272</v>
      </c>
      <c r="AD179" s="4" t="s">
        <v>1394</v>
      </c>
      <c r="AE179" s="4" t="s">
        <v>1438</v>
      </c>
    </row>
    <row r="180" spans="1:31" ht="112.5" customHeight="1">
      <c r="A180" s="198" t="s">
        <v>160</v>
      </c>
      <c r="B180" s="198" t="s">
        <v>1404</v>
      </c>
      <c r="C180" s="198" t="s">
        <v>23</v>
      </c>
      <c r="D180" s="198" t="s">
        <v>141</v>
      </c>
      <c r="E180" s="4" t="s">
        <v>394</v>
      </c>
      <c r="F180" s="4" t="s">
        <v>73</v>
      </c>
      <c r="G180" s="198" t="s">
        <v>73</v>
      </c>
      <c r="H180" s="198" t="s">
        <v>521</v>
      </c>
      <c r="I180" s="198">
        <v>2011</v>
      </c>
      <c r="J180" s="21" t="s">
        <v>2272</v>
      </c>
      <c r="K180" s="21" t="s">
        <v>2272</v>
      </c>
      <c r="L180" s="21" t="s">
        <v>2272</v>
      </c>
      <c r="M180" s="21" t="s">
        <v>2272</v>
      </c>
      <c r="N180" s="21" t="s">
        <v>2272</v>
      </c>
      <c r="O180" s="21" t="s">
        <v>2272</v>
      </c>
      <c r="P180" s="21" t="s">
        <v>2272</v>
      </c>
      <c r="Q180" s="21" t="s">
        <v>2272</v>
      </c>
      <c r="R180" s="21" t="s">
        <v>2272</v>
      </c>
      <c r="S180" s="21" t="s">
        <v>2272</v>
      </c>
      <c r="T180" s="21" t="s">
        <v>2272</v>
      </c>
      <c r="U180" s="21" t="s">
        <v>2272</v>
      </c>
      <c r="V180" s="21" t="s">
        <v>2272</v>
      </c>
      <c r="W180" s="21" t="s">
        <v>2272</v>
      </c>
      <c r="X180" s="21" t="s">
        <v>2272</v>
      </c>
      <c r="Y180" s="21" t="s">
        <v>2272</v>
      </c>
      <c r="Z180" s="21" t="s">
        <v>2272</v>
      </c>
      <c r="AA180" s="198" t="s">
        <v>2272</v>
      </c>
      <c r="AB180" s="198" t="s">
        <v>2272</v>
      </c>
      <c r="AC180" s="198" t="s">
        <v>2272</v>
      </c>
      <c r="AD180" s="4" t="s">
        <v>1394</v>
      </c>
      <c r="AE180" s="4" t="s">
        <v>1438</v>
      </c>
    </row>
    <row r="181" spans="1:31" ht="112.5" customHeight="1">
      <c r="A181" s="198" t="s">
        <v>160</v>
      </c>
      <c r="B181" s="198" t="s">
        <v>1405</v>
      </c>
      <c r="C181" s="198" t="s">
        <v>23</v>
      </c>
      <c r="D181" s="198" t="s">
        <v>141</v>
      </c>
      <c r="E181" s="4" t="s">
        <v>394</v>
      </c>
      <c r="F181" s="4" t="s">
        <v>73</v>
      </c>
      <c r="G181" s="198" t="s">
        <v>73</v>
      </c>
      <c r="H181" s="198" t="s">
        <v>521</v>
      </c>
      <c r="I181" s="198">
        <v>2012</v>
      </c>
      <c r="J181" s="21" t="s">
        <v>2272</v>
      </c>
      <c r="K181" s="21" t="s">
        <v>2272</v>
      </c>
      <c r="L181" s="21" t="s">
        <v>2272</v>
      </c>
      <c r="M181" s="21" t="s">
        <v>2272</v>
      </c>
      <c r="N181" s="21" t="s">
        <v>2272</v>
      </c>
      <c r="O181" s="21" t="s">
        <v>2272</v>
      </c>
      <c r="P181" s="21" t="s">
        <v>2272</v>
      </c>
      <c r="Q181" s="21" t="s">
        <v>2272</v>
      </c>
      <c r="R181" s="21" t="s">
        <v>2272</v>
      </c>
      <c r="S181" s="21" t="s">
        <v>2272</v>
      </c>
      <c r="T181" s="21" t="s">
        <v>2272</v>
      </c>
      <c r="U181" s="21" t="s">
        <v>2272</v>
      </c>
      <c r="V181" s="21" t="s">
        <v>2272</v>
      </c>
      <c r="W181" s="21" t="s">
        <v>2272</v>
      </c>
      <c r="X181" s="21" t="s">
        <v>2272</v>
      </c>
      <c r="Y181" s="21" t="s">
        <v>2272</v>
      </c>
      <c r="Z181" s="21" t="s">
        <v>2272</v>
      </c>
      <c r="AA181" s="198" t="s">
        <v>2272</v>
      </c>
      <c r="AB181" s="198" t="s">
        <v>2272</v>
      </c>
      <c r="AC181" s="198" t="s">
        <v>2272</v>
      </c>
      <c r="AD181" s="4" t="s">
        <v>1394</v>
      </c>
      <c r="AE181" s="4" t="s">
        <v>1438</v>
      </c>
    </row>
    <row r="182" spans="1:31" ht="112.5" customHeight="1">
      <c r="A182" s="198" t="s">
        <v>160</v>
      </c>
      <c r="B182" s="198" t="s">
        <v>1419</v>
      </c>
      <c r="C182" s="198" t="s">
        <v>23</v>
      </c>
      <c r="D182" s="198" t="s">
        <v>141</v>
      </c>
      <c r="E182" s="4" t="s">
        <v>44</v>
      </c>
      <c r="F182" s="4" t="s">
        <v>73</v>
      </c>
      <c r="G182" s="198" t="s">
        <v>73</v>
      </c>
      <c r="H182" s="198" t="s">
        <v>521</v>
      </c>
      <c r="I182" s="198">
        <v>2002</v>
      </c>
      <c r="J182" s="21" t="s">
        <v>2272</v>
      </c>
      <c r="K182" s="21" t="s">
        <v>2272</v>
      </c>
      <c r="L182" s="21" t="s">
        <v>2272</v>
      </c>
      <c r="M182" s="21" t="s">
        <v>2272</v>
      </c>
      <c r="N182" s="21" t="s">
        <v>2272</v>
      </c>
      <c r="O182" s="21" t="s">
        <v>2272</v>
      </c>
      <c r="P182" s="21" t="s">
        <v>2272</v>
      </c>
      <c r="Q182" s="21" t="s">
        <v>2272</v>
      </c>
      <c r="R182" s="21" t="s">
        <v>2272</v>
      </c>
      <c r="S182" s="21" t="s">
        <v>2272</v>
      </c>
      <c r="T182" s="21" t="s">
        <v>2272</v>
      </c>
      <c r="U182" s="21" t="s">
        <v>2272</v>
      </c>
      <c r="V182" s="21" t="s">
        <v>2272</v>
      </c>
      <c r="W182" s="21" t="s">
        <v>2272</v>
      </c>
      <c r="X182" s="21" t="s">
        <v>2272</v>
      </c>
      <c r="Y182" s="21" t="s">
        <v>2272</v>
      </c>
      <c r="Z182" s="21" t="s">
        <v>2272</v>
      </c>
      <c r="AA182" s="198" t="s">
        <v>2272</v>
      </c>
      <c r="AB182" s="198" t="s">
        <v>2272</v>
      </c>
      <c r="AC182" s="198" t="s">
        <v>2272</v>
      </c>
      <c r="AD182" s="4" t="s">
        <v>1394</v>
      </c>
      <c r="AE182" s="4" t="s">
        <v>1438</v>
      </c>
    </row>
    <row r="183" spans="1:31" ht="112.5" customHeight="1">
      <c r="A183" s="198" t="s">
        <v>160</v>
      </c>
      <c r="B183" s="198" t="s">
        <v>1420</v>
      </c>
      <c r="C183" s="198" t="s">
        <v>23</v>
      </c>
      <c r="D183" s="198" t="s">
        <v>141</v>
      </c>
      <c r="E183" s="4" t="s">
        <v>44</v>
      </c>
      <c r="F183" s="4" t="s">
        <v>73</v>
      </c>
      <c r="G183" s="198" t="s">
        <v>73</v>
      </c>
      <c r="H183" s="198" t="s">
        <v>521</v>
      </c>
      <c r="I183" s="198">
        <v>2003</v>
      </c>
      <c r="J183" s="21" t="s">
        <v>2272</v>
      </c>
      <c r="K183" s="21" t="s">
        <v>2272</v>
      </c>
      <c r="L183" s="21" t="s">
        <v>2272</v>
      </c>
      <c r="M183" s="21" t="s">
        <v>2272</v>
      </c>
      <c r="N183" s="21" t="s">
        <v>2272</v>
      </c>
      <c r="O183" s="21" t="s">
        <v>2272</v>
      </c>
      <c r="P183" s="21" t="s">
        <v>2272</v>
      </c>
      <c r="Q183" s="21" t="s">
        <v>2272</v>
      </c>
      <c r="R183" s="21" t="s">
        <v>2272</v>
      </c>
      <c r="S183" s="21" t="s">
        <v>2272</v>
      </c>
      <c r="T183" s="21" t="s">
        <v>2272</v>
      </c>
      <c r="U183" s="21" t="s">
        <v>2272</v>
      </c>
      <c r="V183" s="21" t="s">
        <v>2272</v>
      </c>
      <c r="W183" s="21" t="s">
        <v>2272</v>
      </c>
      <c r="X183" s="21" t="s">
        <v>2272</v>
      </c>
      <c r="Y183" s="21" t="s">
        <v>2272</v>
      </c>
      <c r="Z183" s="21" t="s">
        <v>2272</v>
      </c>
      <c r="AA183" s="198" t="s">
        <v>2272</v>
      </c>
      <c r="AB183" s="198" t="s">
        <v>2272</v>
      </c>
      <c r="AC183" s="198" t="s">
        <v>2272</v>
      </c>
      <c r="AD183" s="4" t="s">
        <v>1394</v>
      </c>
      <c r="AE183" s="4" t="s">
        <v>1438</v>
      </c>
    </row>
    <row r="184" spans="1:31" ht="112.5" customHeight="1">
      <c r="A184" s="198" t="s">
        <v>160</v>
      </c>
      <c r="B184" s="198" t="s">
        <v>1421</v>
      </c>
      <c r="C184" s="198" t="s">
        <v>23</v>
      </c>
      <c r="D184" s="198" t="s">
        <v>141</v>
      </c>
      <c r="E184" s="4" t="s">
        <v>44</v>
      </c>
      <c r="F184" s="4" t="s">
        <v>73</v>
      </c>
      <c r="G184" s="198" t="s">
        <v>73</v>
      </c>
      <c r="H184" s="198" t="s">
        <v>521</v>
      </c>
      <c r="I184" s="198">
        <v>2004</v>
      </c>
      <c r="J184" s="21" t="s">
        <v>2272</v>
      </c>
      <c r="K184" s="21" t="s">
        <v>2272</v>
      </c>
      <c r="L184" s="21" t="s">
        <v>2272</v>
      </c>
      <c r="M184" s="21" t="s">
        <v>2272</v>
      </c>
      <c r="N184" s="21" t="s">
        <v>2272</v>
      </c>
      <c r="O184" s="21" t="s">
        <v>2272</v>
      </c>
      <c r="P184" s="21" t="s">
        <v>2272</v>
      </c>
      <c r="Q184" s="21" t="s">
        <v>2272</v>
      </c>
      <c r="R184" s="21" t="s">
        <v>2272</v>
      </c>
      <c r="S184" s="21" t="s">
        <v>2272</v>
      </c>
      <c r="T184" s="21" t="s">
        <v>2272</v>
      </c>
      <c r="U184" s="21" t="s">
        <v>2272</v>
      </c>
      <c r="V184" s="21" t="s">
        <v>2272</v>
      </c>
      <c r="W184" s="21" t="s">
        <v>2272</v>
      </c>
      <c r="X184" s="21" t="s">
        <v>2272</v>
      </c>
      <c r="Y184" s="21" t="s">
        <v>2272</v>
      </c>
      <c r="Z184" s="21" t="s">
        <v>2272</v>
      </c>
      <c r="AA184" s="198" t="s">
        <v>2272</v>
      </c>
      <c r="AB184" s="198" t="s">
        <v>2272</v>
      </c>
      <c r="AC184" s="198" t="s">
        <v>2272</v>
      </c>
      <c r="AD184" s="4" t="s">
        <v>1394</v>
      </c>
      <c r="AE184" s="4" t="s">
        <v>1438</v>
      </c>
    </row>
    <row r="185" spans="1:31" ht="112.5" customHeight="1">
      <c r="A185" s="198" t="s">
        <v>160</v>
      </c>
      <c r="B185" s="198" t="s">
        <v>1422</v>
      </c>
      <c r="C185" s="198" t="s">
        <v>23</v>
      </c>
      <c r="D185" s="198" t="s">
        <v>141</v>
      </c>
      <c r="E185" s="4" t="s">
        <v>44</v>
      </c>
      <c r="F185" s="4" t="s">
        <v>73</v>
      </c>
      <c r="G185" s="198" t="s">
        <v>73</v>
      </c>
      <c r="H185" s="198" t="s">
        <v>521</v>
      </c>
      <c r="I185" s="198">
        <v>2005</v>
      </c>
      <c r="J185" s="21" t="s">
        <v>2272</v>
      </c>
      <c r="K185" s="21" t="s">
        <v>2272</v>
      </c>
      <c r="L185" s="21" t="s">
        <v>2272</v>
      </c>
      <c r="M185" s="21" t="s">
        <v>2272</v>
      </c>
      <c r="N185" s="21" t="s">
        <v>2272</v>
      </c>
      <c r="O185" s="21" t="s">
        <v>2272</v>
      </c>
      <c r="P185" s="21" t="s">
        <v>2272</v>
      </c>
      <c r="Q185" s="21" t="s">
        <v>2272</v>
      </c>
      <c r="R185" s="21" t="s">
        <v>2272</v>
      </c>
      <c r="S185" s="21" t="s">
        <v>2272</v>
      </c>
      <c r="T185" s="21" t="s">
        <v>2272</v>
      </c>
      <c r="U185" s="21" t="s">
        <v>2272</v>
      </c>
      <c r="V185" s="21" t="s">
        <v>2272</v>
      </c>
      <c r="W185" s="21" t="s">
        <v>2272</v>
      </c>
      <c r="X185" s="21" t="s">
        <v>2272</v>
      </c>
      <c r="Y185" s="21" t="s">
        <v>2272</v>
      </c>
      <c r="Z185" s="21" t="s">
        <v>2272</v>
      </c>
      <c r="AA185" s="198" t="s">
        <v>2272</v>
      </c>
      <c r="AB185" s="198" t="s">
        <v>2272</v>
      </c>
      <c r="AC185" s="198" t="s">
        <v>2272</v>
      </c>
      <c r="AD185" s="4" t="s">
        <v>1394</v>
      </c>
      <c r="AE185" s="4" t="s">
        <v>1438</v>
      </c>
    </row>
    <row r="186" spans="1:31" ht="112.5" customHeight="1">
      <c r="A186" s="198" t="s">
        <v>160</v>
      </c>
      <c r="B186" s="198" t="s">
        <v>1423</v>
      </c>
      <c r="C186" s="198" t="s">
        <v>23</v>
      </c>
      <c r="D186" s="198" t="s">
        <v>141</v>
      </c>
      <c r="E186" s="4" t="s">
        <v>44</v>
      </c>
      <c r="F186" s="4" t="s">
        <v>73</v>
      </c>
      <c r="G186" s="198" t="s">
        <v>73</v>
      </c>
      <c r="H186" s="198" t="s">
        <v>521</v>
      </c>
      <c r="I186" s="198">
        <v>2006</v>
      </c>
      <c r="J186" s="21" t="s">
        <v>2272</v>
      </c>
      <c r="K186" s="21" t="s">
        <v>2272</v>
      </c>
      <c r="L186" s="21" t="s">
        <v>2272</v>
      </c>
      <c r="M186" s="21" t="s">
        <v>2272</v>
      </c>
      <c r="N186" s="21" t="s">
        <v>2272</v>
      </c>
      <c r="O186" s="21" t="s">
        <v>2272</v>
      </c>
      <c r="P186" s="21" t="s">
        <v>2272</v>
      </c>
      <c r="Q186" s="21" t="s">
        <v>2272</v>
      </c>
      <c r="R186" s="21" t="s">
        <v>2272</v>
      </c>
      <c r="S186" s="21" t="s">
        <v>2272</v>
      </c>
      <c r="T186" s="21" t="s">
        <v>2272</v>
      </c>
      <c r="U186" s="21" t="s">
        <v>2272</v>
      </c>
      <c r="V186" s="21" t="s">
        <v>2272</v>
      </c>
      <c r="W186" s="21" t="s">
        <v>2272</v>
      </c>
      <c r="X186" s="21" t="s">
        <v>2272</v>
      </c>
      <c r="Y186" s="21" t="s">
        <v>2272</v>
      </c>
      <c r="Z186" s="21" t="s">
        <v>2272</v>
      </c>
      <c r="AA186" s="198" t="s">
        <v>2272</v>
      </c>
      <c r="AB186" s="198" t="s">
        <v>2272</v>
      </c>
      <c r="AC186" s="198" t="s">
        <v>2272</v>
      </c>
      <c r="AD186" s="4" t="s">
        <v>1394</v>
      </c>
      <c r="AE186" s="4" t="s">
        <v>1438</v>
      </c>
    </row>
    <row r="187" spans="1:31" ht="112.5" customHeight="1">
      <c r="A187" s="198" t="s">
        <v>160</v>
      </c>
      <c r="B187" s="198" t="s">
        <v>1424</v>
      </c>
      <c r="C187" s="198" t="s">
        <v>23</v>
      </c>
      <c r="D187" s="198" t="s">
        <v>141</v>
      </c>
      <c r="E187" s="4" t="s">
        <v>44</v>
      </c>
      <c r="F187" s="4" t="s">
        <v>73</v>
      </c>
      <c r="G187" s="198" t="s">
        <v>73</v>
      </c>
      <c r="H187" s="198" t="s">
        <v>521</v>
      </c>
      <c r="I187" s="198">
        <v>2007</v>
      </c>
      <c r="J187" s="21" t="s">
        <v>2272</v>
      </c>
      <c r="K187" s="21" t="s">
        <v>2272</v>
      </c>
      <c r="L187" s="21" t="s">
        <v>2272</v>
      </c>
      <c r="M187" s="21" t="s">
        <v>2272</v>
      </c>
      <c r="N187" s="21" t="s">
        <v>2272</v>
      </c>
      <c r="O187" s="21" t="s">
        <v>2272</v>
      </c>
      <c r="P187" s="21" t="s">
        <v>2272</v>
      </c>
      <c r="Q187" s="21" t="s">
        <v>2272</v>
      </c>
      <c r="R187" s="21" t="s">
        <v>2272</v>
      </c>
      <c r="S187" s="21" t="s">
        <v>2272</v>
      </c>
      <c r="T187" s="21" t="s">
        <v>2272</v>
      </c>
      <c r="U187" s="21" t="s">
        <v>2272</v>
      </c>
      <c r="V187" s="21" t="s">
        <v>2272</v>
      </c>
      <c r="W187" s="21" t="s">
        <v>2272</v>
      </c>
      <c r="X187" s="21" t="s">
        <v>2272</v>
      </c>
      <c r="Y187" s="21" t="s">
        <v>2272</v>
      </c>
      <c r="Z187" s="21" t="s">
        <v>2272</v>
      </c>
      <c r="AA187" s="198" t="s">
        <v>2272</v>
      </c>
      <c r="AB187" s="198" t="s">
        <v>2272</v>
      </c>
      <c r="AC187" s="198" t="s">
        <v>2272</v>
      </c>
      <c r="AD187" s="4" t="s">
        <v>1394</v>
      </c>
      <c r="AE187" s="4" t="s">
        <v>1438</v>
      </c>
    </row>
    <row r="188" spans="1:31" ht="112.5" customHeight="1">
      <c r="A188" s="198" t="s">
        <v>160</v>
      </c>
      <c r="B188" s="198" t="s">
        <v>1425</v>
      </c>
      <c r="C188" s="198" t="s">
        <v>23</v>
      </c>
      <c r="D188" s="198" t="s">
        <v>141</v>
      </c>
      <c r="E188" s="4" t="s">
        <v>44</v>
      </c>
      <c r="F188" s="4" t="s">
        <v>73</v>
      </c>
      <c r="G188" s="198" t="s">
        <v>73</v>
      </c>
      <c r="H188" s="198" t="s">
        <v>521</v>
      </c>
      <c r="I188" s="198">
        <v>2008</v>
      </c>
      <c r="J188" s="21" t="s">
        <v>2272</v>
      </c>
      <c r="K188" s="21" t="s">
        <v>2272</v>
      </c>
      <c r="L188" s="21" t="s">
        <v>2272</v>
      </c>
      <c r="M188" s="21" t="s">
        <v>2272</v>
      </c>
      <c r="N188" s="21" t="s">
        <v>2272</v>
      </c>
      <c r="O188" s="21" t="s">
        <v>2272</v>
      </c>
      <c r="P188" s="21" t="s">
        <v>2272</v>
      </c>
      <c r="Q188" s="21" t="s">
        <v>2272</v>
      </c>
      <c r="R188" s="21" t="s">
        <v>2272</v>
      </c>
      <c r="S188" s="21" t="s">
        <v>2272</v>
      </c>
      <c r="T188" s="21" t="s">
        <v>2272</v>
      </c>
      <c r="U188" s="21" t="s">
        <v>2272</v>
      </c>
      <c r="V188" s="21" t="s">
        <v>2272</v>
      </c>
      <c r="W188" s="21" t="s">
        <v>2272</v>
      </c>
      <c r="X188" s="21" t="s">
        <v>2272</v>
      </c>
      <c r="Y188" s="21" t="s">
        <v>2272</v>
      </c>
      <c r="Z188" s="21" t="s">
        <v>2272</v>
      </c>
      <c r="AA188" s="198" t="s">
        <v>2272</v>
      </c>
      <c r="AB188" s="198" t="s">
        <v>2272</v>
      </c>
      <c r="AC188" s="198" t="s">
        <v>2272</v>
      </c>
      <c r="AD188" s="4" t="s">
        <v>1394</v>
      </c>
      <c r="AE188" s="4" t="s">
        <v>1438</v>
      </c>
    </row>
    <row r="189" spans="1:31" ht="112.5" customHeight="1">
      <c r="A189" s="198" t="s">
        <v>160</v>
      </c>
      <c r="B189" s="198" t="s">
        <v>1426</v>
      </c>
      <c r="C189" s="198" t="s">
        <v>23</v>
      </c>
      <c r="D189" s="198" t="s">
        <v>141</v>
      </c>
      <c r="E189" s="4" t="s">
        <v>44</v>
      </c>
      <c r="F189" s="4" t="s">
        <v>73</v>
      </c>
      <c r="G189" s="198" t="s">
        <v>73</v>
      </c>
      <c r="H189" s="198" t="s">
        <v>521</v>
      </c>
      <c r="I189" s="198">
        <v>2009</v>
      </c>
      <c r="J189" s="21" t="s">
        <v>2272</v>
      </c>
      <c r="K189" s="21" t="s">
        <v>2272</v>
      </c>
      <c r="L189" s="21" t="s">
        <v>2272</v>
      </c>
      <c r="M189" s="21" t="s">
        <v>2272</v>
      </c>
      <c r="N189" s="21" t="s">
        <v>2272</v>
      </c>
      <c r="O189" s="21" t="s">
        <v>2272</v>
      </c>
      <c r="P189" s="21" t="s">
        <v>2272</v>
      </c>
      <c r="Q189" s="21" t="s">
        <v>2272</v>
      </c>
      <c r="R189" s="21" t="s">
        <v>2272</v>
      </c>
      <c r="S189" s="21" t="s">
        <v>2272</v>
      </c>
      <c r="T189" s="21" t="s">
        <v>2272</v>
      </c>
      <c r="U189" s="21" t="s">
        <v>2272</v>
      </c>
      <c r="V189" s="21" t="s">
        <v>2272</v>
      </c>
      <c r="W189" s="21" t="s">
        <v>2272</v>
      </c>
      <c r="X189" s="21" t="s">
        <v>2272</v>
      </c>
      <c r="Y189" s="21" t="s">
        <v>2272</v>
      </c>
      <c r="Z189" s="21" t="s">
        <v>2272</v>
      </c>
      <c r="AA189" s="198" t="s">
        <v>2272</v>
      </c>
      <c r="AB189" s="198" t="s">
        <v>2272</v>
      </c>
      <c r="AC189" s="198" t="s">
        <v>2272</v>
      </c>
      <c r="AD189" s="4" t="s">
        <v>1394</v>
      </c>
      <c r="AE189" s="4" t="s">
        <v>1438</v>
      </c>
    </row>
    <row r="190" spans="1:31" ht="112.5" customHeight="1">
      <c r="A190" s="198" t="s">
        <v>160</v>
      </c>
      <c r="B190" s="198" t="s">
        <v>1427</v>
      </c>
      <c r="C190" s="198" t="s">
        <v>23</v>
      </c>
      <c r="D190" s="198" t="s">
        <v>141</v>
      </c>
      <c r="E190" s="4" t="s">
        <v>44</v>
      </c>
      <c r="F190" s="4" t="s">
        <v>73</v>
      </c>
      <c r="G190" s="198" t="s">
        <v>73</v>
      </c>
      <c r="H190" s="198" t="s">
        <v>521</v>
      </c>
      <c r="I190" s="198">
        <v>2010</v>
      </c>
      <c r="J190" s="21" t="s">
        <v>2272</v>
      </c>
      <c r="K190" s="21" t="s">
        <v>2272</v>
      </c>
      <c r="L190" s="21" t="s">
        <v>2272</v>
      </c>
      <c r="M190" s="21" t="s">
        <v>2272</v>
      </c>
      <c r="N190" s="21" t="s">
        <v>2272</v>
      </c>
      <c r="O190" s="21" t="s">
        <v>2272</v>
      </c>
      <c r="P190" s="21" t="s">
        <v>2272</v>
      </c>
      <c r="Q190" s="21" t="s">
        <v>2272</v>
      </c>
      <c r="R190" s="21" t="s">
        <v>2272</v>
      </c>
      <c r="S190" s="21" t="s">
        <v>2272</v>
      </c>
      <c r="T190" s="21" t="s">
        <v>2272</v>
      </c>
      <c r="U190" s="21" t="s">
        <v>2272</v>
      </c>
      <c r="V190" s="21" t="s">
        <v>2272</v>
      </c>
      <c r="W190" s="21" t="s">
        <v>2272</v>
      </c>
      <c r="X190" s="21" t="s">
        <v>2272</v>
      </c>
      <c r="Y190" s="21" t="s">
        <v>2272</v>
      </c>
      <c r="Z190" s="21" t="s">
        <v>2272</v>
      </c>
      <c r="AA190" s="198" t="s">
        <v>2272</v>
      </c>
      <c r="AB190" s="198" t="s">
        <v>2272</v>
      </c>
      <c r="AC190" s="198" t="s">
        <v>2272</v>
      </c>
      <c r="AD190" s="4" t="s">
        <v>1394</v>
      </c>
      <c r="AE190" s="4" t="s">
        <v>1438</v>
      </c>
    </row>
    <row r="191" spans="1:31" ht="112.5" customHeight="1">
      <c r="A191" s="198" t="s">
        <v>160</v>
      </c>
      <c r="B191" s="198" t="s">
        <v>1428</v>
      </c>
      <c r="C191" s="198" t="s">
        <v>23</v>
      </c>
      <c r="D191" s="198" t="s">
        <v>141</v>
      </c>
      <c r="E191" s="4" t="s">
        <v>44</v>
      </c>
      <c r="F191" s="4" t="s">
        <v>73</v>
      </c>
      <c r="G191" s="198" t="s">
        <v>73</v>
      </c>
      <c r="H191" s="198" t="s">
        <v>521</v>
      </c>
      <c r="I191" s="198">
        <v>2011</v>
      </c>
      <c r="J191" s="21" t="s">
        <v>2272</v>
      </c>
      <c r="K191" s="21" t="s">
        <v>2272</v>
      </c>
      <c r="L191" s="21" t="s">
        <v>2272</v>
      </c>
      <c r="M191" s="21" t="s">
        <v>2272</v>
      </c>
      <c r="N191" s="21" t="s">
        <v>2272</v>
      </c>
      <c r="O191" s="21" t="s">
        <v>2272</v>
      </c>
      <c r="P191" s="21" t="s">
        <v>2272</v>
      </c>
      <c r="Q191" s="21" t="s">
        <v>2272</v>
      </c>
      <c r="R191" s="21" t="s">
        <v>2272</v>
      </c>
      <c r="S191" s="21" t="s">
        <v>2272</v>
      </c>
      <c r="T191" s="21" t="s">
        <v>2272</v>
      </c>
      <c r="U191" s="21" t="s">
        <v>2272</v>
      </c>
      <c r="V191" s="21" t="s">
        <v>2272</v>
      </c>
      <c r="W191" s="21" t="s">
        <v>2272</v>
      </c>
      <c r="X191" s="21" t="s">
        <v>2272</v>
      </c>
      <c r="Y191" s="21" t="s">
        <v>2272</v>
      </c>
      <c r="Z191" s="21" t="s">
        <v>2272</v>
      </c>
      <c r="AA191" s="198" t="s">
        <v>2272</v>
      </c>
      <c r="AB191" s="198" t="s">
        <v>2272</v>
      </c>
      <c r="AC191" s="198" t="s">
        <v>2272</v>
      </c>
      <c r="AD191" s="4" t="s">
        <v>1394</v>
      </c>
      <c r="AE191" s="4" t="s">
        <v>1438</v>
      </c>
    </row>
    <row r="192" spans="1:31" ht="112.5" customHeight="1">
      <c r="A192" s="198" t="s">
        <v>160</v>
      </c>
      <c r="B192" s="198" t="s">
        <v>1429</v>
      </c>
      <c r="C192" s="198" t="s">
        <v>23</v>
      </c>
      <c r="D192" s="198" t="s">
        <v>141</v>
      </c>
      <c r="E192" s="4" t="s">
        <v>44</v>
      </c>
      <c r="F192" s="4" t="s">
        <v>73</v>
      </c>
      <c r="G192" s="198" t="s">
        <v>73</v>
      </c>
      <c r="H192" s="198" t="s">
        <v>521</v>
      </c>
      <c r="I192" s="198">
        <v>2012</v>
      </c>
      <c r="J192" s="21" t="s">
        <v>2272</v>
      </c>
      <c r="K192" s="21" t="s">
        <v>2272</v>
      </c>
      <c r="L192" s="21" t="s">
        <v>2272</v>
      </c>
      <c r="M192" s="21" t="s">
        <v>2272</v>
      </c>
      <c r="N192" s="21" t="s">
        <v>2272</v>
      </c>
      <c r="O192" s="21" t="s">
        <v>2272</v>
      </c>
      <c r="P192" s="21" t="s">
        <v>2272</v>
      </c>
      <c r="Q192" s="21" t="s">
        <v>2272</v>
      </c>
      <c r="R192" s="21" t="s">
        <v>2272</v>
      </c>
      <c r="S192" s="21" t="s">
        <v>2272</v>
      </c>
      <c r="T192" s="21" t="s">
        <v>2272</v>
      </c>
      <c r="U192" s="21" t="s">
        <v>2272</v>
      </c>
      <c r="V192" s="21" t="s">
        <v>2272</v>
      </c>
      <c r="W192" s="21" t="s">
        <v>2272</v>
      </c>
      <c r="X192" s="21" t="s">
        <v>2272</v>
      </c>
      <c r="Y192" s="21" t="s">
        <v>2272</v>
      </c>
      <c r="Z192" s="21" t="s">
        <v>2272</v>
      </c>
      <c r="AA192" s="198" t="s">
        <v>2272</v>
      </c>
      <c r="AB192" s="198" t="s">
        <v>2272</v>
      </c>
      <c r="AC192" s="198" t="s">
        <v>2272</v>
      </c>
      <c r="AD192" s="4" t="s">
        <v>1394</v>
      </c>
      <c r="AE192" s="4" t="s">
        <v>1438</v>
      </c>
    </row>
    <row r="193" spans="1:31" ht="112.5" customHeight="1">
      <c r="A193" s="198" t="s">
        <v>161</v>
      </c>
      <c r="B193" s="198" t="s">
        <v>169</v>
      </c>
      <c r="C193" s="198" t="s">
        <v>23</v>
      </c>
      <c r="D193" s="198" t="s">
        <v>141</v>
      </c>
      <c r="E193" s="4" t="s">
        <v>394</v>
      </c>
      <c r="F193" s="4" t="s">
        <v>73</v>
      </c>
      <c r="G193" s="198" t="s">
        <v>73</v>
      </c>
      <c r="H193" s="198" t="s">
        <v>521</v>
      </c>
      <c r="I193" s="198">
        <v>2002</v>
      </c>
      <c r="J193" s="21" t="s">
        <v>2272</v>
      </c>
      <c r="K193" s="21" t="s">
        <v>2272</v>
      </c>
      <c r="L193" s="21" t="s">
        <v>2272</v>
      </c>
      <c r="M193" s="21" t="s">
        <v>2272</v>
      </c>
      <c r="N193" s="21" t="s">
        <v>2272</v>
      </c>
      <c r="O193" s="21" t="s">
        <v>2272</v>
      </c>
      <c r="P193" s="21" t="s">
        <v>2272</v>
      </c>
      <c r="Q193" s="21" t="s">
        <v>2272</v>
      </c>
      <c r="R193" s="21" t="s">
        <v>2272</v>
      </c>
      <c r="S193" s="21" t="s">
        <v>2272</v>
      </c>
      <c r="T193" s="21" t="s">
        <v>2272</v>
      </c>
      <c r="U193" s="21" t="s">
        <v>2272</v>
      </c>
      <c r="V193" s="21" t="s">
        <v>2272</v>
      </c>
      <c r="W193" s="21" t="s">
        <v>2272</v>
      </c>
      <c r="X193" s="21" t="s">
        <v>2272</v>
      </c>
      <c r="Y193" s="21" t="s">
        <v>2272</v>
      </c>
      <c r="Z193" s="21" t="s">
        <v>2272</v>
      </c>
      <c r="AA193" s="198" t="s">
        <v>2272</v>
      </c>
      <c r="AB193" s="198" t="s">
        <v>2272</v>
      </c>
      <c r="AC193" s="198" t="s">
        <v>2272</v>
      </c>
      <c r="AD193" s="4" t="s">
        <v>1394</v>
      </c>
      <c r="AE193" s="4" t="s">
        <v>1438</v>
      </c>
    </row>
    <row r="194" spans="1:31" ht="112.5" customHeight="1">
      <c r="A194" s="198" t="s">
        <v>161</v>
      </c>
      <c r="B194" s="198" t="s">
        <v>170</v>
      </c>
      <c r="C194" s="198" t="s">
        <v>23</v>
      </c>
      <c r="D194" s="198" t="s">
        <v>141</v>
      </c>
      <c r="E194" s="4" t="s">
        <v>394</v>
      </c>
      <c r="F194" s="4" t="s">
        <v>73</v>
      </c>
      <c r="G194" s="198" t="s">
        <v>73</v>
      </c>
      <c r="H194" s="198" t="s">
        <v>521</v>
      </c>
      <c r="I194" s="198">
        <v>2003</v>
      </c>
      <c r="J194" s="21" t="s">
        <v>2272</v>
      </c>
      <c r="K194" s="21" t="s">
        <v>2272</v>
      </c>
      <c r="L194" s="21" t="s">
        <v>2272</v>
      </c>
      <c r="M194" s="21" t="s">
        <v>2272</v>
      </c>
      <c r="N194" s="21" t="s">
        <v>2272</v>
      </c>
      <c r="O194" s="21" t="s">
        <v>2272</v>
      </c>
      <c r="P194" s="21" t="s">
        <v>2272</v>
      </c>
      <c r="Q194" s="21" t="s">
        <v>2272</v>
      </c>
      <c r="R194" s="21" t="s">
        <v>2272</v>
      </c>
      <c r="S194" s="21" t="s">
        <v>2272</v>
      </c>
      <c r="T194" s="21" t="s">
        <v>2272</v>
      </c>
      <c r="U194" s="21" t="s">
        <v>2272</v>
      </c>
      <c r="V194" s="21" t="s">
        <v>2272</v>
      </c>
      <c r="W194" s="21" t="s">
        <v>2272</v>
      </c>
      <c r="X194" s="21" t="s">
        <v>2272</v>
      </c>
      <c r="Y194" s="21" t="s">
        <v>2272</v>
      </c>
      <c r="Z194" s="21" t="s">
        <v>2272</v>
      </c>
      <c r="AA194" s="198" t="s">
        <v>2272</v>
      </c>
      <c r="AB194" s="198" t="s">
        <v>2272</v>
      </c>
      <c r="AC194" s="198" t="s">
        <v>2272</v>
      </c>
      <c r="AD194" s="4" t="s">
        <v>1394</v>
      </c>
      <c r="AE194" s="4" t="s">
        <v>1438</v>
      </c>
    </row>
    <row r="195" spans="1:31" ht="112.5" customHeight="1">
      <c r="A195" s="198" t="s">
        <v>161</v>
      </c>
      <c r="B195" s="198" t="s">
        <v>171</v>
      </c>
      <c r="C195" s="198" t="s">
        <v>23</v>
      </c>
      <c r="D195" s="198" t="s">
        <v>141</v>
      </c>
      <c r="E195" s="4" t="s">
        <v>394</v>
      </c>
      <c r="F195" s="4" t="s">
        <v>73</v>
      </c>
      <c r="G195" s="198" t="s">
        <v>73</v>
      </c>
      <c r="H195" s="198" t="s">
        <v>521</v>
      </c>
      <c r="I195" s="198">
        <v>2004</v>
      </c>
      <c r="J195" s="21" t="s">
        <v>2272</v>
      </c>
      <c r="K195" s="21" t="s">
        <v>2272</v>
      </c>
      <c r="L195" s="21" t="s">
        <v>2272</v>
      </c>
      <c r="M195" s="21" t="s">
        <v>2272</v>
      </c>
      <c r="N195" s="21" t="s">
        <v>2272</v>
      </c>
      <c r="O195" s="21" t="s">
        <v>2272</v>
      </c>
      <c r="P195" s="21" t="s">
        <v>2272</v>
      </c>
      <c r="Q195" s="21" t="s">
        <v>2272</v>
      </c>
      <c r="R195" s="21" t="s">
        <v>2272</v>
      </c>
      <c r="S195" s="21" t="s">
        <v>2272</v>
      </c>
      <c r="T195" s="21" t="s">
        <v>2272</v>
      </c>
      <c r="U195" s="21" t="s">
        <v>2272</v>
      </c>
      <c r="V195" s="21" t="s">
        <v>2272</v>
      </c>
      <c r="W195" s="21" t="s">
        <v>2272</v>
      </c>
      <c r="X195" s="21" t="s">
        <v>2272</v>
      </c>
      <c r="Y195" s="21" t="s">
        <v>2272</v>
      </c>
      <c r="Z195" s="21" t="s">
        <v>2272</v>
      </c>
      <c r="AA195" s="198" t="s">
        <v>2272</v>
      </c>
      <c r="AB195" s="198" t="s">
        <v>2272</v>
      </c>
      <c r="AC195" s="198" t="s">
        <v>2272</v>
      </c>
      <c r="AD195" s="4" t="s">
        <v>1394</v>
      </c>
      <c r="AE195" s="4" t="s">
        <v>1438</v>
      </c>
    </row>
    <row r="196" spans="1:31" ht="112.5" customHeight="1">
      <c r="A196" s="198" t="s">
        <v>161</v>
      </c>
      <c r="B196" s="198" t="s">
        <v>1408</v>
      </c>
      <c r="C196" s="198" t="s">
        <v>23</v>
      </c>
      <c r="D196" s="198" t="s">
        <v>141</v>
      </c>
      <c r="E196" s="4" t="s">
        <v>394</v>
      </c>
      <c r="F196" s="4" t="s">
        <v>73</v>
      </c>
      <c r="G196" s="198" t="s">
        <v>73</v>
      </c>
      <c r="H196" s="198" t="s">
        <v>521</v>
      </c>
      <c r="I196" s="198">
        <v>2005</v>
      </c>
      <c r="J196" s="21" t="s">
        <v>2272</v>
      </c>
      <c r="K196" s="21" t="s">
        <v>2272</v>
      </c>
      <c r="L196" s="21" t="s">
        <v>2272</v>
      </c>
      <c r="M196" s="21" t="s">
        <v>2272</v>
      </c>
      <c r="N196" s="21" t="s">
        <v>2272</v>
      </c>
      <c r="O196" s="21" t="s">
        <v>2272</v>
      </c>
      <c r="P196" s="21" t="s">
        <v>2272</v>
      </c>
      <c r="Q196" s="21" t="s">
        <v>2272</v>
      </c>
      <c r="R196" s="21" t="s">
        <v>2272</v>
      </c>
      <c r="S196" s="21" t="s">
        <v>2272</v>
      </c>
      <c r="T196" s="21" t="s">
        <v>2272</v>
      </c>
      <c r="U196" s="21" t="s">
        <v>2272</v>
      </c>
      <c r="V196" s="21" t="s">
        <v>2272</v>
      </c>
      <c r="W196" s="21" t="s">
        <v>2272</v>
      </c>
      <c r="X196" s="21" t="s">
        <v>2272</v>
      </c>
      <c r="Y196" s="21" t="s">
        <v>2272</v>
      </c>
      <c r="Z196" s="21" t="s">
        <v>2272</v>
      </c>
      <c r="AA196" s="198" t="s">
        <v>2272</v>
      </c>
      <c r="AB196" s="198" t="s">
        <v>2272</v>
      </c>
      <c r="AC196" s="198" t="s">
        <v>2272</v>
      </c>
      <c r="AD196" s="4" t="s">
        <v>1394</v>
      </c>
      <c r="AE196" s="4" t="s">
        <v>1438</v>
      </c>
    </row>
    <row r="197" spans="1:31" ht="112.5" customHeight="1">
      <c r="A197" s="198" t="s">
        <v>161</v>
      </c>
      <c r="B197" s="198" t="s">
        <v>1409</v>
      </c>
      <c r="C197" s="198" t="s">
        <v>23</v>
      </c>
      <c r="D197" s="198" t="s">
        <v>141</v>
      </c>
      <c r="E197" s="4" t="s">
        <v>394</v>
      </c>
      <c r="F197" s="4" t="s">
        <v>73</v>
      </c>
      <c r="G197" s="198" t="s">
        <v>73</v>
      </c>
      <c r="H197" s="198" t="s">
        <v>521</v>
      </c>
      <c r="I197" s="198">
        <v>2006</v>
      </c>
      <c r="J197" s="21" t="s">
        <v>2272</v>
      </c>
      <c r="K197" s="21" t="s">
        <v>2272</v>
      </c>
      <c r="L197" s="21" t="s">
        <v>2272</v>
      </c>
      <c r="M197" s="21" t="s">
        <v>2272</v>
      </c>
      <c r="N197" s="21" t="s">
        <v>2272</v>
      </c>
      <c r="O197" s="21" t="s">
        <v>2272</v>
      </c>
      <c r="P197" s="21" t="s">
        <v>2272</v>
      </c>
      <c r="Q197" s="21" t="s">
        <v>2272</v>
      </c>
      <c r="R197" s="21" t="s">
        <v>2272</v>
      </c>
      <c r="S197" s="21" t="s">
        <v>2272</v>
      </c>
      <c r="T197" s="21" t="s">
        <v>2272</v>
      </c>
      <c r="U197" s="21" t="s">
        <v>2272</v>
      </c>
      <c r="V197" s="21" t="s">
        <v>2272</v>
      </c>
      <c r="W197" s="21" t="s">
        <v>2272</v>
      </c>
      <c r="X197" s="21" t="s">
        <v>2272</v>
      </c>
      <c r="Y197" s="21" t="s">
        <v>2272</v>
      </c>
      <c r="Z197" s="21" t="s">
        <v>2272</v>
      </c>
      <c r="AA197" s="198" t="s">
        <v>2272</v>
      </c>
      <c r="AB197" s="198" t="s">
        <v>2272</v>
      </c>
      <c r="AC197" s="198" t="s">
        <v>2272</v>
      </c>
      <c r="AD197" s="4" t="s">
        <v>1394</v>
      </c>
      <c r="AE197" s="4" t="s">
        <v>1438</v>
      </c>
    </row>
    <row r="198" spans="1:31" ht="112.5" customHeight="1">
      <c r="A198" s="198" t="s">
        <v>161</v>
      </c>
      <c r="B198" s="198" t="s">
        <v>1410</v>
      </c>
      <c r="C198" s="198" t="s">
        <v>23</v>
      </c>
      <c r="D198" s="198" t="s">
        <v>141</v>
      </c>
      <c r="E198" s="4" t="s">
        <v>394</v>
      </c>
      <c r="F198" s="4" t="s">
        <v>73</v>
      </c>
      <c r="G198" s="198" t="s">
        <v>73</v>
      </c>
      <c r="H198" s="198" t="s">
        <v>521</v>
      </c>
      <c r="I198" s="198">
        <v>2007</v>
      </c>
      <c r="J198" s="21" t="s">
        <v>2272</v>
      </c>
      <c r="K198" s="21" t="s">
        <v>2272</v>
      </c>
      <c r="L198" s="21" t="s">
        <v>2272</v>
      </c>
      <c r="M198" s="21" t="s">
        <v>2272</v>
      </c>
      <c r="N198" s="21" t="s">
        <v>2272</v>
      </c>
      <c r="O198" s="21" t="s">
        <v>2272</v>
      </c>
      <c r="P198" s="21" t="s">
        <v>2272</v>
      </c>
      <c r="Q198" s="21" t="s">
        <v>2272</v>
      </c>
      <c r="R198" s="21" t="s">
        <v>2272</v>
      </c>
      <c r="S198" s="21" t="s">
        <v>2272</v>
      </c>
      <c r="T198" s="21" t="s">
        <v>2272</v>
      </c>
      <c r="U198" s="21" t="s">
        <v>2272</v>
      </c>
      <c r="V198" s="21" t="s">
        <v>2272</v>
      </c>
      <c r="W198" s="21" t="s">
        <v>2272</v>
      </c>
      <c r="X198" s="21" t="s">
        <v>2272</v>
      </c>
      <c r="Y198" s="21" t="s">
        <v>2272</v>
      </c>
      <c r="Z198" s="21" t="s">
        <v>2272</v>
      </c>
      <c r="AA198" s="198" t="s">
        <v>2272</v>
      </c>
      <c r="AB198" s="198" t="s">
        <v>2272</v>
      </c>
      <c r="AC198" s="198" t="s">
        <v>2272</v>
      </c>
      <c r="AD198" s="4" t="s">
        <v>1394</v>
      </c>
      <c r="AE198" s="4" t="s">
        <v>1438</v>
      </c>
    </row>
    <row r="199" spans="1:31" ht="112.5" customHeight="1">
      <c r="A199" s="198" t="s">
        <v>161</v>
      </c>
      <c r="B199" s="198" t="s">
        <v>1411</v>
      </c>
      <c r="C199" s="198" t="s">
        <v>23</v>
      </c>
      <c r="D199" s="198" t="s">
        <v>141</v>
      </c>
      <c r="E199" s="4" t="s">
        <v>394</v>
      </c>
      <c r="F199" s="4" t="s">
        <v>73</v>
      </c>
      <c r="G199" s="198" t="s">
        <v>73</v>
      </c>
      <c r="H199" s="198" t="s">
        <v>521</v>
      </c>
      <c r="I199" s="198">
        <v>2008</v>
      </c>
      <c r="J199" s="21" t="s">
        <v>2272</v>
      </c>
      <c r="K199" s="21" t="s">
        <v>2272</v>
      </c>
      <c r="L199" s="21" t="s">
        <v>2272</v>
      </c>
      <c r="M199" s="21" t="s">
        <v>2272</v>
      </c>
      <c r="N199" s="21" t="s">
        <v>2272</v>
      </c>
      <c r="O199" s="21" t="s">
        <v>2272</v>
      </c>
      <c r="P199" s="21" t="s">
        <v>2272</v>
      </c>
      <c r="Q199" s="21" t="s">
        <v>2272</v>
      </c>
      <c r="R199" s="21" t="s">
        <v>2272</v>
      </c>
      <c r="S199" s="21" t="s">
        <v>2272</v>
      </c>
      <c r="T199" s="21" t="s">
        <v>2272</v>
      </c>
      <c r="U199" s="21" t="s">
        <v>2272</v>
      </c>
      <c r="V199" s="21" t="s">
        <v>2272</v>
      </c>
      <c r="W199" s="21" t="s">
        <v>2272</v>
      </c>
      <c r="X199" s="21" t="s">
        <v>2272</v>
      </c>
      <c r="Y199" s="21" t="s">
        <v>2272</v>
      </c>
      <c r="Z199" s="21" t="s">
        <v>2272</v>
      </c>
      <c r="AA199" s="198" t="s">
        <v>2272</v>
      </c>
      <c r="AB199" s="198" t="s">
        <v>2272</v>
      </c>
      <c r="AC199" s="198" t="s">
        <v>2272</v>
      </c>
      <c r="AD199" s="4" t="s">
        <v>1394</v>
      </c>
      <c r="AE199" s="4" t="s">
        <v>1438</v>
      </c>
    </row>
    <row r="200" spans="1:31" ht="112.5" customHeight="1">
      <c r="A200" s="198" t="s">
        <v>161</v>
      </c>
      <c r="B200" s="198" t="s">
        <v>1412</v>
      </c>
      <c r="C200" s="198" t="s">
        <v>23</v>
      </c>
      <c r="D200" s="198" t="s">
        <v>141</v>
      </c>
      <c r="E200" s="4" t="s">
        <v>394</v>
      </c>
      <c r="F200" s="4" t="s">
        <v>73</v>
      </c>
      <c r="G200" s="198" t="s">
        <v>73</v>
      </c>
      <c r="H200" s="198" t="s">
        <v>521</v>
      </c>
      <c r="I200" s="198">
        <v>2009</v>
      </c>
      <c r="J200" s="21" t="s">
        <v>2272</v>
      </c>
      <c r="K200" s="21" t="s">
        <v>2272</v>
      </c>
      <c r="L200" s="21" t="s">
        <v>2272</v>
      </c>
      <c r="M200" s="21" t="s">
        <v>2272</v>
      </c>
      <c r="N200" s="21" t="s">
        <v>2272</v>
      </c>
      <c r="O200" s="21" t="s">
        <v>2272</v>
      </c>
      <c r="P200" s="21" t="s">
        <v>2272</v>
      </c>
      <c r="Q200" s="21" t="s">
        <v>2272</v>
      </c>
      <c r="R200" s="21" t="s">
        <v>2272</v>
      </c>
      <c r="S200" s="21" t="s">
        <v>2272</v>
      </c>
      <c r="T200" s="21" t="s">
        <v>2272</v>
      </c>
      <c r="U200" s="21" t="s">
        <v>2272</v>
      </c>
      <c r="V200" s="21" t="s">
        <v>2272</v>
      </c>
      <c r="W200" s="21" t="s">
        <v>2272</v>
      </c>
      <c r="X200" s="21" t="s">
        <v>2272</v>
      </c>
      <c r="Y200" s="21" t="s">
        <v>2272</v>
      </c>
      <c r="Z200" s="21" t="s">
        <v>2272</v>
      </c>
      <c r="AA200" s="198" t="s">
        <v>2272</v>
      </c>
      <c r="AB200" s="198" t="s">
        <v>2272</v>
      </c>
      <c r="AC200" s="198" t="s">
        <v>2272</v>
      </c>
      <c r="AD200" s="4" t="s">
        <v>1394</v>
      </c>
      <c r="AE200" s="4" t="s">
        <v>1438</v>
      </c>
    </row>
    <row r="201" spans="1:31" ht="112.5" customHeight="1">
      <c r="A201" s="198" t="s">
        <v>161</v>
      </c>
      <c r="B201" s="198" t="s">
        <v>1413</v>
      </c>
      <c r="C201" s="198" t="s">
        <v>23</v>
      </c>
      <c r="D201" s="198" t="s">
        <v>141</v>
      </c>
      <c r="E201" s="4" t="s">
        <v>394</v>
      </c>
      <c r="F201" s="4" t="s">
        <v>73</v>
      </c>
      <c r="G201" s="198" t="s">
        <v>73</v>
      </c>
      <c r="H201" s="198" t="s">
        <v>521</v>
      </c>
      <c r="I201" s="198">
        <v>2010</v>
      </c>
      <c r="J201" s="21" t="s">
        <v>2272</v>
      </c>
      <c r="K201" s="21" t="s">
        <v>2272</v>
      </c>
      <c r="L201" s="21" t="s">
        <v>2272</v>
      </c>
      <c r="M201" s="21" t="s">
        <v>2272</v>
      </c>
      <c r="N201" s="21" t="s">
        <v>2272</v>
      </c>
      <c r="O201" s="21" t="s">
        <v>2272</v>
      </c>
      <c r="P201" s="21" t="s">
        <v>2272</v>
      </c>
      <c r="Q201" s="21" t="s">
        <v>2272</v>
      </c>
      <c r="R201" s="21" t="s">
        <v>2272</v>
      </c>
      <c r="S201" s="21" t="s">
        <v>2272</v>
      </c>
      <c r="T201" s="21" t="s">
        <v>2272</v>
      </c>
      <c r="U201" s="21" t="s">
        <v>2272</v>
      </c>
      <c r="V201" s="21" t="s">
        <v>2272</v>
      </c>
      <c r="W201" s="21" t="s">
        <v>2272</v>
      </c>
      <c r="X201" s="21" t="s">
        <v>2272</v>
      </c>
      <c r="Y201" s="21" t="s">
        <v>2272</v>
      </c>
      <c r="Z201" s="21" t="s">
        <v>2272</v>
      </c>
      <c r="AA201" s="198" t="s">
        <v>2272</v>
      </c>
      <c r="AB201" s="198" t="s">
        <v>2272</v>
      </c>
      <c r="AC201" s="198" t="s">
        <v>2272</v>
      </c>
      <c r="AD201" s="4" t="s">
        <v>1394</v>
      </c>
      <c r="AE201" s="4" t="s">
        <v>1438</v>
      </c>
    </row>
    <row r="202" spans="1:31" ht="112.5" customHeight="1">
      <c r="A202" s="198" t="s">
        <v>161</v>
      </c>
      <c r="B202" s="198" t="s">
        <v>1414</v>
      </c>
      <c r="C202" s="198" t="s">
        <v>23</v>
      </c>
      <c r="D202" s="198" t="s">
        <v>141</v>
      </c>
      <c r="E202" s="4" t="s">
        <v>394</v>
      </c>
      <c r="F202" s="4" t="s">
        <v>73</v>
      </c>
      <c r="G202" s="198" t="s">
        <v>73</v>
      </c>
      <c r="H202" s="198" t="s">
        <v>521</v>
      </c>
      <c r="I202" s="198">
        <v>2011</v>
      </c>
      <c r="J202" s="21" t="s">
        <v>2272</v>
      </c>
      <c r="K202" s="21" t="s">
        <v>2272</v>
      </c>
      <c r="L202" s="21" t="s">
        <v>2272</v>
      </c>
      <c r="M202" s="21" t="s">
        <v>2272</v>
      </c>
      <c r="N202" s="21" t="s">
        <v>2272</v>
      </c>
      <c r="O202" s="21" t="s">
        <v>2272</v>
      </c>
      <c r="P202" s="21" t="s">
        <v>2272</v>
      </c>
      <c r="Q202" s="21" t="s">
        <v>2272</v>
      </c>
      <c r="R202" s="21" t="s">
        <v>2272</v>
      </c>
      <c r="S202" s="21" t="s">
        <v>2272</v>
      </c>
      <c r="T202" s="21" t="s">
        <v>2272</v>
      </c>
      <c r="U202" s="21" t="s">
        <v>2272</v>
      </c>
      <c r="V202" s="21" t="s">
        <v>2272</v>
      </c>
      <c r="W202" s="21" t="s">
        <v>2272</v>
      </c>
      <c r="X202" s="21" t="s">
        <v>2272</v>
      </c>
      <c r="Y202" s="21" t="s">
        <v>2272</v>
      </c>
      <c r="Z202" s="21" t="s">
        <v>2272</v>
      </c>
      <c r="AA202" s="198" t="s">
        <v>2272</v>
      </c>
      <c r="AB202" s="198" t="s">
        <v>2272</v>
      </c>
      <c r="AC202" s="198" t="s">
        <v>2272</v>
      </c>
      <c r="AD202" s="4" t="s">
        <v>1394</v>
      </c>
      <c r="AE202" s="4" t="s">
        <v>1438</v>
      </c>
    </row>
    <row r="203" spans="1:31" ht="112.5" customHeight="1">
      <c r="A203" s="198" t="s">
        <v>161</v>
      </c>
      <c r="B203" s="198" t="s">
        <v>1415</v>
      </c>
      <c r="C203" s="198" t="s">
        <v>23</v>
      </c>
      <c r="D203" s="198" t="s">
        <v>141</v>
      </c>
      <c r="E203" s="4" t="s">
        <v>394</v>
      </c>
      <c r="F203" s="4" t="s">
        <v>73</v>
      </c>
      <c r="G203" s="198" t="s">
        <v>73</v>
      </c>
      <c r="H203" s="198" t="s">
        <v>521</v>
      </c>
      <c r="I203" s="198">
        <v>2012</v>
      </c>
      <c r="J203" s="21" t="s">
        <v>2272</v>
      </c>
      <c r="K203" s="21" t="s">
        <v>2272</v>
      </c>
      <c r="L203" s="21" t="s">
        <v>2272</v>
      </c>
      <c r="M203" s="21" t="s">
        <v>2272</v>
      </c>
      <c r="N203" s="21" t="s">
        <v>2272</v>
      </c>
      <c r="O203" s="21" t="s">
        <v>2272</v>
      </c>
      <c r="P203" s="21" t="s">
        <v>2272</v>
      </c>
      <c r="Q203" s="21" t="s">
        <v>2272</v>
      </c>
      <c r="R203" s="21" t="s">
        <v>2272</v>
      </c>
      <c r="S203" s="21" t="s">
        <v>2272</v>
      </c>
      <c r="T203" s="21" t="s">
        <v>2272</v>
      </c>
      <c r="U203" s="21" t="s">
        <v>2272</v>
      </c>
      <c r="V203" s="21" t="s">
        <v>2272</v>
      </c>
      <c r="W203" s="21" t="s">
        <v>2272</v>
      </c>
      <c r="X203" s="21" t="s">
        <v>2272</v>
      </c>
      <c r="Y203" s="21" t="s">
        <v>2272</v>
      </c>
      <c r="Z203" s="21" t="s">
        <v>2272</v>
      </c>
      <c r="AA203" s="198" t="s">
        <v>2272</v>
      </c>
      <c r="AB203" s="198" t="s">
        <v>2272</v>
      </c>
      <c r="AC203" s="198" t="s">
        <v>2272</v>
      </c>
      <c r="AD203" s="4" t="s">
        <v>1394</v>
      </c>
      <c r="AE203" s="4" t="s">
        <v>1438</v>
      </c>
    </row>
    <row r="204" spans="1:31" ht="112.5" customHeight="1">
      <c r="A204" s="198" t="s">
        <v>161</v>
      </c>
      <c r="B204" s="198" t="s">
        <v>1416</v>
      </c>
      <c r="C204" s="198" t="s">
        <v>23</v>
      </c>
      <c r="D204" s="198" t="s">
        <v>141</v>
      </c>
      <c r="E204" s="4" t="s">
        <v>44</v>
      </c>
      <c r="F204" s="4" t="s">
        <v>73</v>
      </c>
      <c r="G204" s="198" t="s">
        <v>73</v>
      </c>
      <c r="H204" s="198" t="s">
        <v>521</v>
      </c>
      <c r="I204" s="198">
        <v>2002</v>
      </c>
      <c r="J204" s="21" t="s">
        <v>2272</v>
      </c>
      <c r="K204" s="21" t="s">
        <v>2272</v>
      </c>
      <c r="L204" s="21" t="s">
        <v>2272</v>
      </c>
      <c r="M204" s="21" t="s">
        <v>2272</v>
      </c>
      <c r="N204" s="21" t="s">
        <v>2272</v>
      </c>
      <c r="O204" s="21" t="s">
        <v>2272</v>
      </c>
      <c r="P204" s="21" t="s">
        <v>2272</v>
      </c>
      <c r="Q204" s="21" t="s">
        <v>2272</v>
      </c>
      <c r="R204" s="21" t="s">
        <v>2272</v>
      </c>
      <c r="S204" s="21" t="s">
        <v>2272</v>
      </c>
      <c r="T204" s="21" t="s">
        <v>2272</v>
      </c>
      <c r="U204" s="21" t="s">
        <v>2272</v>
      </c>
      <c r="V204" s="21" t="s">
        <v>2272</v>
      </c>
      <c r="W204" s="21" t="s">
        <v>2272</v>
      </c>
      <c r="X204" s="21" t="s">
        <v>2272</v>
      </c>
      <c r="Y204" s="21" t="s">
        <v>2272</v>
      </c>
      <c r="Z204" s="21" t="s">
        <v>2272</v>
      </c>
      <c r="AA204" s="198" t="s">
        <v>2272</v>
      </c>
      <c r="AB204" s="198" t="s">
        <v>2272</v>
      </c>
      <c r="AC204" s="198" t="s">
        <v>2272</v>
      </c>
      <c r="AD204" s="4" t="s">
        <v>1394</v>
      </c>
      <c r="AE204" s="4" t="s">
        <v>1438</v>
      </c>
    </row>
    <row r="205" spans="1:31" ht="112.5" customHeight="1">
      <c r="A205" s="198" t="s">
        <v>161</v>
      </c>
      <c r="B205" s="198" t="s">
        <v>1417</v>
      </c>
      <c r="C205" s="198" t="s">
        <v>23</v>
      </c>
      <c r="D205" s="198" t="s">
        <v>141</v>
      </c>
      <c r="E205" s="4" t="s">
        <v>44</v>
      </c>
      <c r="F205" s="4" t="s">
        <v>73</v>
      </c>
      <c r="G205" s="198" t="s">
        <v>73</v>
      </c>
      <c r="H205" s="198" t="s">
        <v>521</v>
      </c>
      <c r="I205" s="198">
        <v>2003</v>
      </c>
      <c r="J205" s="21" t="s">
        <v>2272</v>
      </c>
      <c r="K205" s="21" t="s">
        <v>2272</v>
      </c>
      <c r="L205" s="21" t="s">
        <v>2272</v>
      </c>
      <c r="M205" s="21" t="s">
        <v>2272</v>
      </c>
      <c r="N205" s="21" t="s">
        <v>2272</v>
      </c>
      <c r="O205" s="21" t="s">
        <v>2272</v>
      </c>
      <c r="P205" s="21" t="s">
        <v>2272</v>
      </c>
      <c r="Q205" s="21" t="s">
        <v>2272</v>
      </c>
      <c r="R205" s="21" t="s">
        <v>2272</v>
      </c>
      <c r="S205" s="21" t="s">
        <v>2272</v>
      </c>
      <c r="T205" s="21" t="s">
        <v>2272</v>
      </c>
      <c r="U205" s="21" t="s">
        <v>2272</v>
      </c>
      <c r="V205" s="21" t="s">
        <v>2272</v>
      </c>
      <c r="W205" s="21" t="s">
        <v>2272</v>
      </c>
      <c r="X205" s="21" t="s">
        <v>2272</v>
      </c>
      <c r="Y205" s="21" t="s">
        <v>2272</v>
      </c>
      <c r="Z205" s="21" t="s">
        <v>2272</v>
      </c>
      <c r="AA205" s="198" t="s">
        <v>2272</v>
      </c>
      <c r="AB205" s="198" t="s">
        <v>2272</v>
      </c>
      <c r="AC205" s="198" t="s">
        <v>2272</v>
      </c>
      <c r="AD205" s="4" t="s">
        <v>1394</v>
      </c>
      <c r="AE205" s="4" t="s">
        <v>1438</v>
      </c>
    </row>
    <row r="206" spans="1:31" ht="112.5" customHeight="1">
      <c r="A206" s="198" t="s">
        <v>161</v>
      </c>
      <c r="B206" s="198" t="s">
        <v>1418</v>
      </c>
      <c r="C206" s="198" t="s">
        <v>23</v>
      </c>
      <c r="D206" s="198" t="s">
        <v>141</v>
      </c>
      <c r="E206" s="4" t="s">
        <v>44</v>
      </c>
      <c r="F206" s="4" t="s">
        <v>73</v>
      </c>
      <c r="G206" s="198" t="s">
        <v>73</v>
      </c>
      <c r="H206" s="198" t="s">
        <v>521</v>
      </c>
      <c r="I206" s="198">
        <v>2004</v>
      </c>
      <c r="J206" s="21" t="s">
        <v>2272</v>
      </c>
      <c r="K206" s="21" t="s">
        <v>2272</v>
      </c>
      <c r="L206" s="21" t="s">
        <v>2272</v>
      </c>
      <c r="M206" s="21" t="s">
        <v>2272</v>
      </c>
      <c r="N206" s="21" t="s">
        <v>2272</v>
      </c>
      <c r="O206" s="21" t="s">
        <v>2272</v>
      </c>
      <c r="P206" s="21" t="s">
        <v>2272</v>
      </c>
      <c r="Q206" s="21" t="s">
        <v>2272</v>
      </c>
      <c r="R206" s="21" t="s">
        <v>2272</v>
      </c>
      <c r="S206" s="21" t="s">
        <v>2272</v>
      </c>
      <c r="T206" s="21" t="s">
        <v>2272</v>
      </c>
      <c r="U206" s="21" t="s">
        <v>2272</v>
      </c>
      <c r="V206" s="21" t="s">
        <v>2272</v>
      </c>
      <c r="W206" s="21" t="s">
        <v>2272</v>
      </c>
      <c r="X206" s="21" t="s">
        <v>2272</v>
      </c>
      <c r="Y206" s="21" t="s">
        <v>2272</v>
      </c>
      <c r="Z206" s="21" t="s">
        <v>2272</v>
      </c>
      <c r="AA206" s="198" t="s">
        <v>2272</v>
      </c>
      <c r="AB206" s="198" t="s">
        <v>2272</v>
      </c>
      <c r="AC206" s="198" t="s">
        <v>2272</v>
      </c>
      <c r="AD206" s="4" t="s">
        <v>1394</v>
      </c>
      <c r="AE206" s="4" t="s">
        <v>1438</v>
      </c>
    </row>
    <row r="207" spans="1:31" ht="112.5" customHeight="1">
      <c r="A207" s="198" t="s">
        <v>161</v>
      </c>
      <c r="B207" s="198" t="s">
        <v>1430</v>
      </c>
      <c r="C207" s="198" t="s">
        <v>23</v>
      </c>
      <c r="D207" s="198" t="s">
        <v>141</v>
      </c>
      <c r="E207" s="4" t="s">
        <v>44</v>
      </c>
      <c r="F207" s="4" t="s">
        <v>73</v>
      </c>
      <c r="G207" s="198" t="s">
        <v>73</v>
      </c>
      <c r="H207" s="198" t="s">
        <v>521</v>
      </c>
      <c r="I207" s="198">
        <v>2005</v>
      </c>
      <c r="J207" s="21" t="s">
        <v>2272</v>
      </c>
      <c r="K207" s="21" t="s">
        <v>2272</v>
      </c>
      <c r="L207" s="21" t="s">
        <v>2272</v>
      </c>
      <c r="M207" s="21" t="s">
        <v>2272</v>
      </c>
      <c r="N207" s="21" t="s">
        <v>2272</v>
      </c>
      <c r="O207" s="21" t="s">
        <v>2272</v>
      </c>
      <c r="P207" s="21" t="s">
        <v>2272</v>
      </c>
      <c r="Q207" s="21" t="s">
        <v>2272</v>
      </c>
      <c r="R207" s="21" t="s">
        <v>2272</v>
      </c>
      <c r="S207" s="21" t="s">
        <v>2272</v>
      </c>
      <c r="T207" s="21" t="s">
        <v>2272</v>
      </c>
      <c r="U207" s="21" t="s">
        <v>2272</v>
      </c>
      <c r="V207" s="21" t="s">
        <v>2272</v>
      </c>
      <c r="W207" s="21" t="s">
        <v>2272</v>
      </c>
      <c r="X207" s="21" t="s">
        <v>2272</v>
      </c>
      <c r="Y207" s="21" t="s">
        <v>2272</v>
      </c>
      <c r="Z207" s="21" t="s">
        <v>2272</v>
      </c>
      <c r="AA207" s="198" t="s">
        <v>2272</v>
      </c>
      <c r="AB207" s="198" t="s">
        <v>2272</v>
      </c>
      <c r="AC207" s="198" t="s">
        <v>2272</v>
      </c>
      <c r="AD207" s="4" t="s">
        <v>1394</v>
      </c>
      <c r="AE207" s="4" t="s">
        <v>1438</v>
      </c>
    </row>
    <row r="208" spans="1:31" ht="112.5" customHeight="1">
      <c r="A208" s="198" t="s">
        <v>161</v>
      </c>
      <c r="B208" s="198" t="s">
        <v>1431</v>
      </c>
      <c r="C208" s="198" t="s">
        <v>23</v>
      </c>
      <c r="D208" s="198" t="s">
        <v>141</v>
      </c>
      <c r="E208" s="4" t="s">
        <v>44</v>
      </c>
      <c r="F208" s="4" t="s">
        <v>73</v>
      </c>
      <c r="G208" s="198" t="s">
        <v>73</v>
      </c>
      <c r="H208" s="198" t="s">
        <v>521</v>
      </c>
      <c r="I208" s="198">
        <v>2006</v>
      </c>
      <c r="J208" s="21" t="s">
        <v>2272</v>
      </c>
      <c r="K208" s="21" t="s">
        <v>2272</v>
      </c>
      <c r="L208" s="21" t="s">
        <v>2272</v>
      </c>
      <c r="M208" s="21" t="s">
        <v>2272</v>
      </c>
      <c r="N208" s="21" t="s">
        <v>2272</v>
      </c>
      <c r="O208" s="21" t="s">
        <v>2272</v>
      </c>
      <c r="P208" s="21" t="s">
        <v>2272</v>
      </c>
      <c r="Q208" s="21" t="s">
        <v>2272</v>
      </c>
      <c r="R208" s="21" t="s">
        <v>2272</v>
      </c>
      <c r="S208" s="21" t="s">
        <v>2272</v>
      </c>
      <c r="T208" s="21" t="s">
        <v>2272</v>
      </c>
      <c r="U208" s="21" t="s">
        <v>2272</v>
      </c>
      <c r="V208" s="21" t="s">
        <v>2272</v>
      </c>
      <c r="W208" s="21" t="s">
        <v>2272</v>
      </c>
      <c r="X208" s="21" t="s">
        <v>2272</v>
      </c>
      <c r="Y208" s="21" t="s">
        <v>2272</v>
      </c>
      <c r="Z208" s="21" t="s">
        <v>2272</v>
      </c>
      <c r="AA208" s="198" t="s">
        <v>2272</v>
      </c>
      <c r="AB208" s="198" t="s">
        <v>2272</v>
      </c>
      <c r="AC208" s="198" t="s">
        <v>2272</v>
      </c>
      <c r="AD208" s="4" t="s">
        <v>1394</v>
      </c>
      <c r="AE208" s="4" t="s">
        <v>1438</v>
      </c>
    </row>
    <row r="209" spans="1:31" ht="112.5" customHeight="1">
      <c r="A209" s="198" t="s">
        <v>161</v>
      </c>
      <c r="B209" s="198" t="s">
        <v>1432</v>
      </c>
      <c r="C209" s="198" t="s">
        <v>23</v>
      </c>
      <c r="D209" s="198" t="s">
        <v>141</v>
      </c>
      <c r="E209" s="4" t="s">
        <v>44</v>
      </c>
      <c r="F209" s="4" t="s">
        <v>73</v>
      </c>
      <c r="G209" s="198" t="s">
        <v>73</v>
      </c>
      <c r="H209" s="198" t="s">
        <v>521</v>
      </c>
      <c r="I209" s="198">
        <v>2007</v>
      </c>
      <c r="J209" s="21" t="s">
        <v>2272</v>
      </c>
      <c r="K209" s="21" t="s">
        <v>2272</v>
      </c>
      <c r="L209" s="21" t="s">
        <v>2272</v>
      </c>
      <c r="M209" s="21" t="s">
        <v>2272</v>
      </c>
      <c r="N209" s="21" t="s">
        <v>2272</v>
      </c>
      <c r="O209" s="21" t="s">
        <v>2272</v>
      </c>
      <c r="P209" s="21" t="s">
        <v>2272</v>
      </c>
      <c r="Q209" s="21" t="s">
        <v>2272</v>
      </c>
      <c r="R209" s="21" t="s">
        <v>2272</v>
      </c>
      <c r="S209" s="21" t="s">
        <v>2272</v>
      </c>
      <c r="T209" s="21" t="s">
        <v>2272</v>
      </c>
      <c r="U209" s="21" t="s">
        <v>2272</v>
      </c>
      <c r="V209" s="21" t="s">
        <v>2272</v>
      </c>
      <c r="W209" s="21" t="s">
        <v>2272</v>
      </c>
      <c r="X209" s="21" t="s">
        <v>2272</v>
      </c>
      <c r="Y209" s="21" t="s">
        <v>2272</v>
      </c>
      <c r="Z209" s="21" t="s">
        <v>2272</v>
      </c>
      <c r="AA209" s="198" t="s">
        <v>2272</v>
      </c>
      <c r="AB209" s="198" t="s">
        <v>2272</v>
      </c>
      <c r="AC209" s="198" t="s">
        <v>2272</v>
      </c>
      <c r="AD209" s="4" t="s">
        <v>1394</v>
      </c>
      <c r="AE209" s="4" t="s">
        <v>1438</v>
      </c>
    </row>
    <row r="210" spans="1:31" ht="112.5" customHeight="1">
      <c r="A210" s="198" t="s">
        <v>161</v>
      </c>
      <c r="B210" s="198" t="s">
        <v>1433</v>
      </c>
      <c r="C210" s="198" t="s">
        <v>23</v>
      </c>
      <c r="D210" s="198" t="s">
        <v>141</v>
      </c>
      <c r="E210" s="4" t="s">
        <v>44</v>
      </c>
      <c r="F210" s="4" t="s">
        <v>73</v>
      </c>
      <c r="G210" s="198" t="s">
        <v>73</v>
      </c>
      <c r="H210" s="198" t="s">
        <v>521</v>
      </c>
      <c r="I210" s="198">
        <v>2008</v>
      </c>
      <c r="J210" s="21" t="s">
        <v>2272</v>
      </c>
      <c r="K210" s="21" t="s">
        <v>2272</v>
      </c>
      <c r="L210" s="21" t="s">
        <v>2272</v>
      </c>
      <c r="M210" s="21" t="s">
        <v>2272</v>
      </c>
      <c r="N210" s="21" t="s">
        <v>2272</v>
      </c>
      <c r="O210" s="21" t="s">
        <v>2272</v>
      </c>
      <c r="P210" s="21" t="s">
        <v>2272</v>
      </c>
      <c r="Q210" s="21" t="s">
        <v>2272</v>
      </c>
      <c r="R210" s="21" t="s">
        <v>2272</v>
      </c>
      <c r="S210" s="21" t="s">
        <v>2272</v>
      </c>
      <c r="T210" s="21" t="s">
        <v>2272</v>
      </c>
      <c r="U210" s="21" t="s">
        <v>2272</v>
      </c>
      <c r="V210" s="21" t="s">
        <v>2272</v>
      </c>
      <c r="W210" s="21" t="s">
        <v>2272</v>
      </c>
      <c r="X210" s="21" t="s">
        <v>2272</v>
      </c>
      <c r="Y210" s="21" t="s">
        <v>2272</v>
      </c>
      <c r="Z210" s="21" t="s">
        <v>2272</v>
      </c>
      <c r="AA210" s="198" t="s">
        <v>2272</v>
      </c>
      <c r="AB210" s="198" t="s">
        <v>2272</v>
      </c>
      <c r="AC210" s="198" t="s">
        <v>2272</v>
      </c>
      <c r="AD210" s="4" t="s">
        <v>1394</v>
      </c>
      <c r="AE210" s="4" t="s">
        <v>1438</v>
      </c>
    </row>
    <row r="211" spans="1:31" ht="112.5" customHeight="1">
      <c r="A211" s="198" t="s">
        <v>161</v>
      </c>
      <c r="B211" s="198" t="s">
        <v>1434</v>
      </c>
      <c r="C211" s="198" t="s">
        <v>23</v>
      </c>
      <c r="D211" s="198" t="s">
        <v>141</v>
      </c>
      <c r="E211" s="4" t="s">
        <v>44</v>
      </c>
      <c r="F211" s="4" t="s">
        <v>73</v>
      </c>
      <c r="G211" s="198" t="s">
        <v>73</v>
      </c>
      <c r="H211" s="198" t="s">
        <v>521</v>
      </c>
      <c r="I211" s="198">
        <v>2009</v>
      </c>
      <c r="J211" s="21" t="s">
        <v>2272</v>
      </c>
      <c r="K211" s="21" t="s">
        <v>2272</v>
      </c>
      <c r="L211" s="21" t="s">
        <v>2272</v>
      </c>
      <c r="M211" s="21" t="s">
        <v>2272</v>
      </c>
      <c r="N211" s="21" t="s">
        <v>2272</v>
      </c>
      <c r="O211" s="21" t="s">
        <v>2272</v>
      </c>
      <c r="P211" s="21" t="s">
        <v>2272</v>
      </c>
      <c r="Q211" s="21" t="s">
        <v>2272</v>
      </c>
      <c r="R211" s="21" t="s">
        <v>2272</v>
      </c>
      <c r="S211" s="21" t="s">
        <v>2272</v>
      </c>
      <c r="T211" s="21" t="s">
        <v>2272</v>
      </c>
      <c r="U211" s="21" t="s">
        <v>2272</v>
      </c>
      <c r="V211" s="21" t="s">
        <v>2272</v>
      </c>
      <c r="W211" s="21" t="s">
        <v>2272</v>
      </c>
      <c r="X211" s="21" t="s">
        <v>2272</v>
      </c>
      <c r="Y211" s="21" t="s">
        <v>2272</v>
      </c>
      <c r="Z211" s="21" t="s">
        <v>2272</v>
      </c>
      <c r="AA211" s="198" t="s">
        <v>2272</v>
      </c>
      <c r="AB211" s="198" t="s">
        <v>2272</v>
      </c>
      <c r="AC211" s="198" t="s">
        <v>2272</v>
      </c>
      <c r="AD211" s="4" t="s">
        <v>1394</v>
      </c>
      <c r="AE211" s="4" t="s">
        <v>1438</v>
      </c>
    </row>
    <row r="212" spans="1:31" ht="112.5" customHeight="1">
      <c r="A212" s="198" t="s">
        <v>161</v>
      </c>
      <c r="B212" s="198" t="s">
        <v>1435</v>
      </c>
      <c r="C212" s="198" t="s">
        <v>23</v>
      </c>
      <c r="D212" s="198" t="s">
        <v>141</v>
      </c>
      <c r="E212" s="4" t="s">
        <v>44</v>
      </c>
      <c r="F212" s="4" t="s">
        <v>73</v>
      </c>
      <c r="G212" s="198" t="s">
        <v>73</v>
      </c>
      <c r="H212" s="198" t="s">
        <v>521</v>
      </c>
      <c r="I212" s="198">
        <v>2010</v>
      </c>
      <c r="J212" s="21" t="s">
        <v>2272</v>
      </c>
      <c r="K212" s="21" t="s">
        <v>2272</v>
      </c>
      <c r="L212" s="21" t="s">
        <v>2272</v>
      </c>
      <c r="M212" s="21" t="s">
        <v>2272</v>
      </c>
      <c r="N212" s="21" t="s">
        <v>2272</v>
      </c>
      <c r="O212" s="21" t="s">
        <v>2272</v>
      </c>
      <c r="P212" s="21" t="s">
        <v>2272</v>
      </c>
      <c r="Q212" s="21" t="s">
        <v>2272</v>
      </c>
      <c r="R212" s="21" t="s">
        <v>2272</v>
      </c>
      <c r="S212" s="21" t="s">
        <v>2272</v>
      </c>
      <c r="T212" s="21" t="s">
        <v>2272</v>
      </c>
      <c r="U212" s="21" t="s">
        <v>2272</v>
      </c>
      <c r="V212" s="21" t="s">
        <v>2272</v>
      </c>
      <c r="W212" s="21" t="s">
        <v>2272</v>
      </c>
      <c r="X212" s="21" t="s">
        <v>2272</v>
      </c>
      <c r="Y212" s="21" t="s">
        <v>2272</v>
      </c>
      <c r="Z212" s="21" t="s">
        <v>2272</v>
      </c>
      <c r="AA212" s="198" t="s">
        <v>2272</v>
      </c>
      <c r="AB212" s="198" t="s">
        <v>2272</v>
      </c>
      <c r="AC212" s="198" t="s">
        <v>2272</v>
      </c>
      <c r="AD212" s="4" t="s">
        <v>1394</v>
      </c>
      <c r="AE212" s="4" t="s">
        <v>1438</v>
      </c>
    </row>
    <row r="213" spans="1:31" ht="112.5" customHeight="1">
      <c r="A213" s="198" t="s">
        <v>161</v>
      </c>
      <c r="B213" s="198" t="s">
        <v>1436</v>
      </c>
      <c r="C213" s="198" t="s">
        <v>23</v>
      </c>
      <c r="D213" s="198" t="s">
        <v>141</v>
      </c>
      <c r="E213" s="4" t="s">
        <v>44</v>
      </c>
      <c r="F213" s="4" t="s">
        <v>73</v>
      </c>
      <c r="G213" s="198" t="s">
        <v>73</v>
      </c>
      <c r="H213" s="198" t="s">
        <v>521</v>
      </c>
      <c r="I213" s="198">
        <v>2011</v>
      </c>
      <c r="J213" s="21" t="s">
        <v>2272</v>
      </c>
      <c r="K213" s="21" t="s">
        <v>2272</v>
      </c>
      <c r="L213" s="21" t="s">
        <v>2272</v>
      </c>
      <c r="M213" s="21" t="s">
        <v>2272</v>
      </c>
      <c r="N213" s="21" t="s">
        <v>2272</v>
      </c>
      <c r="O213" s="21" t="s">
        <v>2272</v>
      </c>
      <c r="P213" s="21" t="s">
        <v>2272</v>
      </c>
      <c r="Q213" s="21" t="s">
        <v>2272</v>
      </c>
      <c r="R213" s="21" t="s">
        <v>2272</v>
      </c>
      <c r="S213" s="21" t="s">
        <v>2272</v>
      </c>
      <c r="T213" s="21" t="s">
        <v>2272</v>
      </c>
      <c r="U213" s="21" t="s">
        <v>2272</v>
      </c>
      <c r="V213" s="21" t="s">
        <v>2272</v>
      </c>
      <c r="W213" s="21" t="s">
        <v>2272</v>
      </c>
      <c r="X213" s="21" t="s">
        <v>2272</v>
      </c>
      <c r="Y213" s="21" t="s">
        <v>2272</v>
      </c>
      <c r="Z213" s="21" t="s">
        <v>2272</v>
      </c>
      <c r="AA213" s="198" t="s">
        <v>2272</v>
      </c>
      <c r="AB213" s="198" t="s">
        <v>2272</v>
      </c>
      <c r="AC213" s="198" t="s">
        <v>2272</v>
      </c>
      <c r="AD213" s="4" t="s">
        <v>1394</v>
      </c>
      <c r="AE213" s="4" t="s">
        <v>1438</v>
      </c>
    </row>
    <row r="214" spans="1:31" ht="120" customHeight="1">
      <c r="A214" s="198" t="s">
        <v>161</v>
      </c>
      <c r="B214" s="198" t="s">
        <v>1437</v>
      </c>
      <c r="C214" s="198" t="s">
        <v>23</v>
      </c>
      <c r="D214" s="198" t="s">
        <v>141</v>
      </c>
      <c r="E214" s="4" t="s">
        <v>44</v>
      </c>
      <c r="F214" s="4" t="s">
        <v>73</v>
      </c>
      <c r="G214" s="198" t="s">
        <v>73</v>
      </c>
      <c r="H214" s="198" t="s">
        <v>521</v>
      </c>
      <c r="I214" s="198">
        <v>2012</v>
      </c>
      <c r="J214" s="21" t="s">
        <v>2272</v>
      </c>
      <c r="K214" s="21" t="s">
        <v>2272</v>
      </c>
      <c r="L214" s="21" t="s">
        <v>2272</v>
      </c>
      <c r="M214" s="21" t="s">
        <v>2272</v>
      </c>
      <c r="N214" s="21" t="s">
        <v>2272</v>
      </c>
      <c r="O214" s="21" t="s">
        <v>2272</v>
      </c>
      <c r="P214" s="21" t="s">
        <v>2272</v>
      </c>
      <c r="Q214" s="21" t="s">
        <v>2272</v>
      </c>
      <c r="R214" s="21" t="s">
        <v>2272</v>
      </c>
      <c r="S214" s="21" t="s">
        <v>2272</v>
      </c>
      <c r="T214" s="21" t="s">
        <v>2272</v>
      </c>
      <c r="U214" s="21" t="s">
        <v>2272</v>
      </c>
      <c r="V214" s="21" t="s">
        <v>2272</v>
      </c>
      <c r="W214" s="21" t="s">
        <v>2272</v>
      </c>
      <c r="X214" s="21" t="s">
        <v>2272</v>
      </c>
      <c r="Y214" s="21" t="s">
        <v>2272</v>
      </c>
      <c r="Z214" s="21" t="s">
        <v>2272</v>
      </c>
      <c r="AA214" s="198" t="s">
        <v>2272</v>
      </c>
      <c r="AB214" s="198" t="s">
        <v>2272</v>
      </c>
      <c r="AC214" s="198" t="s">
        <v>2272</v>
      </c>
      <c r="AD214" s="4" t="s">
        <v>1394</v>
      </c>
      <c r="AE214" s="4" t="s">
        <v>1438</v>
      </c>
    </row>
    <row r="215" spans="1:31" ht="151.5" customHeight="1">
      <c r="A215" s="198" t="s">
        <v>161</v>
      </c>
      <c r="B215" s="198" t="s">
        <v>1440</v>
      </c>
      <c r="C215" s="198" t="s">
        <v>23</v>
      </c>
      <c r="D215" s="198" t="s">
        <v>141</v>
      </c>
      <c r="E215" s="198" t="s">
        <v>82</v>
      </c>
      <c r="F215" s="4" t="s">
        <v>73</v>
      </c>
      <c r="G215" s="198" t="s">
        <v>73</v>
      </c>
      <c r="H215" s="198" t="s">
        <v>521</v>
      </c>
      <c r="I215" s="198">
        <v>2002</v>
      </c>
      <c r="J215" s="21" t="s">
        <v>2272</v>
      </c>
      <c r="K215" s="21" t="s">
        <v>2272</v>
      </c>
      <c r="L215" s="21" t="s">
        <v>2272</v>
      </c>
      <c r="M215" s="21" t="s">
        <v>2272</v>
      </c>
      <c r="N215" s="21" t="s">
        <v>2272</v>
      </c>
      <c r="O215" s="21" t="s">
        <v>2272</v>
      </c>
      <c r="P215" s="21" t="s">
        <v>2272</v>
      </c>
      <c r="Q215" s="21" t="s">
        <v>2272</v>
      </c>
      <c r="R215" s="21" t="s">
        <v>2272</v>
      </c>
      <c r="S215" s="21" t="s">
        <v>2272</v>
      </c>
      <c r="T215" s="21" t="s">
        <v>2272</v>
      </c>
      <c r="U215" s="21" t="s">
        <v>2272</v>
      </c>
      <c r="V215" s="21" t="s">
        <v>2272</v>
      </c>
      <c r="W215" s="21" t="s">
        <v>2272</v>
      </c>
      <c r="X215" s="21" t="s">
        <v>2272</v>
      </c>
      <c r="Y215" s="21" t="s">
        <v>2272</v>
      </c>
      <c r="Z215" s="21" t="s">
        <v>2272</v>
      </c>
      <c r="AA215" s="198" t="s">
        <v>2272</v>
      </c>
      <c r="AB215" s="198" t="s">
        <v>2272</v>
      </c>
      <c r="AC215" s="198" t="s">
        <v>2272</v>
      </c>
      <c r="AD215" s="4" t="s">
        <v>1394</v>
      </c>
      <c r="AE215" s="4" t="s">
        <v>1451</v>
      </c>
    </row>
    <row r="216" spans="1:31" ht="160.5" customHeight="1">
      <c r="A216" s="198" t="s">
        <v>161</v>
      </c>
      <c r="B216" s="198" t="s">
        <v>1441</v>
      </c>
      <c r="C216" s="198" t="s">
        <v>23</v>
      </c>
      <c r="D216" s="198" t="s">
        <v>141</v>
      </c>
      <c r="E216" s="198" t="s">
        <v>82</v>
      </c>
      <c r="F216" s="4" t="s">
        <v>73</v>
      </c>
      <c r="G216" s="198" t="s">
        <v>73</v>
      </c>
      <c r="H216" s="198" t="s">
        <v>521</v>
      </c>
      <c r="I216" s="198">
        <v>2003</v>
      </c>
      <c r="J216" s="21" t="s">
        <v>2272</v>
      </c>
      <c r="K216" s="21" t="s">
        <v>2272</v>
      </c>
      <c r="L216" s="21" t="s">
        <v>2272</v>
      </c>
      <c r="M216" s="21" t="s">
        <v>2272</v>
      </c>
      <c r="N216" s="21" t="s">
        <v>2272</v>
      </c>
      <c r="O216" s="21" t="s">
        <v>2272</v>
      </c>
      <c r="P216" s="21" t="s">
        <v>2272</v>
      </c>
      <c r="Q216" s="21" t="s">
        <v>2272</v>
      </c>
      <c r="R216" s="21" t="s">
        <v>2272</v>
      </c>
      <c r="S216" s="21" t="s">
        <v>2272</v>
      </c>
      <c r="T216" s="21" t="s">
        <v>2272</v>
      </c>
      <c r="U216" s="21" t="s">
        <v>2272</v>
      </c>
      <c r="V216" s="21" t="s">
        <v>2272</v>
      </c>
      <c r="W216" s="21" t="s">
        <v>2272</v>
      </c>
      <c r="X216" s="21" t="s">
        <v>2272</v>
      </c>
      <c r="Y216" s="21" t="s">
        <v>2272</v>
      </c>
      <c r="Z216" s="21" t="s">
        <v>2272</v>
      </c>
      <c r="AA216" s="198" t="s">
        <v>2272</v>
      </c>
      <c r="AB216" s="198" t="s">
        <v>2272</v>
      </c>
      <c r="AC216" s="198" t="s">
        <v>2272</v>
      </c>
      <c r="AD216" s="4" t="s">
        <v>1394</v>
      </c>
      <c r="AE216" s="4" t="s">
        <v>1451</v>
      </c>
    </row>
    <row r="217" spans="1:31" ht="160.5" customHeight="1">
      <c r="A217" s="198" t="s">
        <v>161</v>
      </c>
      <c r="B217" s="198" t="s">
        <v>1442</v>
      </c>
      <c r="C217" s="198" t="s">
        <v>23</v>
      </c>
      <c r="D217" s="198" t="s">
        <v>141</v>
      </c>
      <c r="E217" s="198" t="s">
        <v>82</v>
      </c>
      <c r="F217" s="4" t="s">
        <v>73</v>
      </c>
      <c r="G217" s="198" t="s">
        <v>73</v>
      </c>
      <c r="H217" s="198" t="s">
        <v>521</v>
      </c>
      <c r="I217" s="198">
        <v>2004</v>
      </c>
      <c r="J217" s="21" t="s">
        <v>2272</v>
      </c>
      <c r="K217" s="21" t="s">
        <v>2272</v>
      </c>
      <c r="L217" s="21" t="s">
        <v>2272</v>
      </c>
      <c r="M217" s="21" t="s">
        <v>2272</v>
      </c>
      <c r="N217" s="21" t="s">
        <v>2272</v>
      </c>
      <c r="O217" s="21" t="s">
        <v>2272</v>
      </c>
      <c r="P217" s="21" t="s">
        <v>2272</v>
      </c>
      <c r="Q217" s="21" t="s">
        <v>2272</v>
      </c>
      <c r="R217" s="21" t="s">
        <v>2272</v>
      </c>
      <c r="S217" s="21" t="s">
        <v>2272</v>
      </c>
      <c r="T217" s="21" t="s">
        <v>2272</v>
      </c>
      <c r="U217" s="21" t="s">
        <v>2272</v>
      </c>
      <c r="V217" s="21" t="s">
        <v>2272</v>
      </c>
      <c r="W217" s="21" t="s">
        <v>2272</v>
      </c>
      <c r="X217" s="21" t="s">
        <v>2272</v>
      </c>
      <c r="Y217" s="21" t="s">
        <v>2272</v>
      </c>
      <c r="Z217" s="21" t="s">
        <v>2272</v>
      </c>
      <c r="AA217" s="198" t="s">
        <v>2272</v>
      </c>
      <c r="AB217" s="198" t="s">
        <v>2272</v>
      </c>
      <c r="AC217" s="198" t="s">
        <v>2272</v>
      </c>
      <c r="AD217" s="4" t="s">
        <v>1394</v>
      </c>
      <c r="AE217" s="4" t="s">
        <v>1451</v>
      </c>
    </row>
    <row r="218" spans="1:31" ht="160.5" customHeight="1">
      <c r="A218" s="198" t="s">
        <v>161</v>
      </c>
      <c r="B218" s="198" t="s">
        <v>1443</v>
      </c>
      <c r="C218" s="198" t="s">
        <v>23</v>
      </c>
      <c r="D218" s="198" t="s">
        <v>141</v>
      </c>
      <c r="E218" s="198" t="s">
        <v>82</v>
      </c>
      <c r="F218" s="4" t="s">
        <v>73</v>
      </c>
      <c r="G218" s="198" t="s">
        <v>73</v>
      </c>
      <c r="H218" s="198" t="s">
        <v>521</v>
      </c>
      <c r="I218" s="198">
        <v>2005</v>
      </c>
      <c r="J218" s="21" t="s">
        <v>2272</v>
      </c>
      <c r="K218" s="21" t="s">
        <v>2272</v>
      </c>
      <c r="L218" s="21" t="s">
        <v>2272</v>
      </c>
      <c r="M218" s="21" t="s">
        <v>2272</v>
      </c>
      <c r="N218" s="21" t="s">
        <v>2272</v>
      </c>
      <c r="O218" s="21" t="s">
        <v>2272</v>
      </c>
      <c r="P218" s="21" t="s">
        <v>2272</v>
      </c>
      <c r="Q218" s="21" t="s">
        <v>2272</v>
      </c>
      <c r="R218" s="21" t="s">
        <v>2272</v>
      </c>
      <c r="S218" s="21" t="s">
        <v>2272</v>
      </c>
      <c r="T218" s="21" t="s">
        <v>2272</v>
      </c>
      <c r="U218" s="21" t="s">
        <v>2272</v>
      </c>
      <c r="V218" s="21" t="s">
        <v>2272</v>
      </c>
      <c r="W218" s="21" t="s">
        <v>2272</v>
      </c>
      <c r="X218" s="21" t="s">
        <v>2272</v>
      </c>
      <c r="Y218" s="21" t="s">
        <v>2272</v>
      </c>
      <c r="Z218" s="21" t="s">
        <v>2272</v>
      </c>
      <c r="AA218" s="198" t="s">
        <v>2272</v>
      </c>
      <c r="AB218" s="198" t="s">
        <v>2272</v>
      </c>
      <c r="AC218" s="198" t="s">
        <v>2272</v>
      </c>
      <c r="AD218" s="4" t="s">
        <v>1394</v>
      </c>
      <c r="AE218" s="4" t="s">
        <v>1451</v>
      </c>
    </row>
    <row r="219" spans="1:31" ht="160.5" customHeight="1">
      <c r="A219" s="198" t="s">
        <v>161</v>
      </c>
      <c r="B219" s="198" t="s">
        <v>1444</v>
      </c>
      <c r="C219" s="198" t="s">
        <v>23</v>
      </c>
      <c r="D219" s="198" t="s">
        <v>141</v>
      </c>
      <c r="E219" s="198" t="s">
        <v>82</v>
      </c>
      <c r="F219" s="4" t="s">
        <v>73</v>
      </c>
      <c r="G219" s="198" t="s">
        <v>73</v>
      </c>
      <c r="H219" s="198" t="s">
        <v>521</v>
      </c>
      <c r="I219" s="198">
        <v>2006</v>
      </c>
      <c r="J219" s="21" t="s">
        <v>2272</v>
      </c>
      <c r="K219" s="21" t="s">
        <v>2272</v>
      </c>
      <c r="L219" s="21" t="s">
        <v>2272</v>
      </c>
      <c r="M219" s="21" t="s">
        <v>2272</v>
      </c>
      <c r="N219" s="21" t="s">
        <v>2272</v>
      </c>
      <c r="O219" s="21" t="s">
        <v>2272</v>
      </c>
      <c r="P219" s="21" t="s">
        <v>2272</v>
      </c>
      <c r="Q219" s="21" t="s">
        <v>2272</v>
      </c>
      <c r="R219" s="21" t="s">
        <v>2272</v>
      </c>
      <c r="S219" s="21" t="s">
        <v>2272</v>
      </c>
      <c r="T219" s="21" t="s">
        <v>2272</v>
      </c>
      <c r="U219" s="21" t="s">
        <v>2272</v>
      </c>
      <c r="V219" s="21" t="s">
        <v>2272</v>
      </c>
      <c r="W219" s="21" t="s">
        <v>2272</v>
      </c>
      <c r="X219" s="21" t="s">
        <v>2272</v>
      </c>
      <c r="Y219" s="21" t="s">
        <v>2272</v>
      </c>
      <c r="Z219" s="21" t="s">
        <v>2272</v>
      </c>
      <c r="AA219" s="198" t="s">
        <v>2272</v>
      </c>
      <c r="AB219" s="198" t="s">
        <v>2272</v>
      </c>
      <c r="AC219" s="198" t="s">
        <v>2272</v>
      </c>
      <c r="AD219" s="4" t="s">
        <v>1394</v>
      </c>
      <c r="AE219" s="4" t="s">
        <v>1451</v>
      </c>
    </row>
    <row r="220" spans="1:31" ht="160.5" customHeight="1">
      <c r="A220" s="198" t="s">
        <v>161</v>
      </c>
      <c r="B220" s="198" t="s">
        <v>1445</v>
      </c>
      <c r="C220" s="198" t="s">
        <v>23</v>
      </c>
      <c r="D220" s="198" t="s">
        <v>141</v>
      </c>
      <c r="E220" s="198" t="s">
        <v>82</v>
      </c>
      <c r="F220" s="4" t="s">
        <v>73</v>
      </c>
      <c r="G220" s="198" t="s">
        <v>73</v>
      </c>
      <c r="H220" s="198" t="s">
        <v>521</v>
      </c>
      <c r="I220" s="198">
        <v>2007</v>
      </c>
      <c r="J220" s="21" t="s">
        <v>2272</v>
      </c>
      <c r="K220" s="21" t="s">
        <v>2272</v>
      </c>
      <c r="L220" s="21" t="s">
        <v>2272</v>
      </c>
      <c r="M220" s="21" t="s">
        <v>2272</v>
      </c>
      <c r="N220" s="21" t="s">
        <v>2272</v>
      </c>
      <c r="O220" s="21" t="s">
        <v>2272</v>
      </c>
      <c r="P220" s="21" t="s">
        <v>2272</v>
      </c>
      <c r="Q220" s="21" t="s">
        <v>2272</v>
      </c>
      <c r="R220" s="21" t="s">
        <v>2272</v>
      </c>
      <c r="S220" s="21" t="s">
        <v>2272</v>
      </c>
      <c r="T220" s="21" t="s">
        <v>2272</v>
      </c>
      <c r="U220" s="21" t="s">
        <v>2272</v>
      </c>
      <c r="V220" s="21" t="s">
        <v>2272</v>
      </c>
      <c r="W220" s="21" t="s">
        <v>2272</v>
      </c>
      <c r="X220" s="21" t="s">
        <v>2272</v>
      </c>
      <c r="Y220" s="21" t="s">
        <v>2272</v>
      </c>
      <c r="Z220" s="21" t="s">
        <v>2272</v>
      </c>
      <c r="AA220" s="198" t="s">
        <v>2272</v>
      </c>
      <c r="AB220" s="198" t="s">
        <v>2272</v>
      </c>
      <c r="AC220" s="198" t="s">
        <v>2272</v>
      </c>
      <c r="AD220" s="4" t="s">
        <v>1394</v>
      </c>
      <c r="AE220" s="4" t="s">
        <v>1451</v>
      </c>
    </row>
    <row r="221" spans="1:31" ht="160.5" customHeight="1">
      <c r="A221" s="198" t="s">
        <v>161</v>
      </c>
      <c r="B221" s="198" t="s">
        <v>1446</v>
      </c>
      <c r="C221" s="198" t="s">
        <v>23</v>
      </c>
      <c r="D221" s="198" t="s">
        <v>141</v>
      </c>
      <c r="E221" s="198" t="s">
        <v>82</v>
      </c>
      <c r="F221" s="4" t="s">
        <v>73</v>
      </c>
      <c r="G221" s="198" t="s">
        <v>73</v>
      </c>
      <c r="H221" s="198" t="s">
        <v>521</v>
      </c>
      <c r="I221" s="198">
        <v>2008</v>
      </c>
      <c r="J221" s="21" t="s">
        <v>2272</v>
      </c>
      <c r="K221" s="21" t="s">
        <v>2272</v>
      </c>
      <c r="L221" s="21" t="s">
        <v>2272</v>
      </c>
      <c r="M221" s="21" t="s">
        <v>2272</v>
      </c>
      <c r="N221" s="21" t="s">
        <v>2272</v>
      </c>
      <c r="O221" s="21" t="s">
        <v>2272</v>
      </c>
      <c r="P221" s="21" t="s">
        <v>2272</v>
      </c>
      <c r="Q221" s="21" t="s">
        <v>2272</v>
      </c>
      <c r="R221" s="21" t="s">
        <v>2272</v>
      </c>
      <c r="S221" s="21" t="s">
        <v>2272</v>
      </c>
      <c r="T221" s="21" t="s">
        <v>2272</v>
      </c>
      <c r="U221" s="21" t="s">
        <v>2272</v>
      </c>
      <c r="V221" s="21" t="s">
        <v>2272</v>
      </c>
      <c r="W221" s="21" t="s">
        <v>2272</v>
      </c>
      <c r="X221" s="21" t="s">
        <v>2272</v>
      </c>
      <c r="Y221" s="21" t="s">
        <v>2272</v>
      </c>
      <c r="Z221" s="21" t="s">
        <v>2272</v>
      </c>
      <c r="AA221" s="198" t="s">
        <v>2272</v>
      </c>
      <c r="AB221" s="198" t="s">
        <v>2272</v>
      </c>
      <c r="AC221" s="198" t="s">
        <v>2272</v>
      </c>
      <c r="AD221" s="4" t="s">
        <v>1394</v>
      </c>
      <c r="AE221" s="4" t="s">
        <v>1451</v>
      </c>
    </row>
    <row r="222" spans="1:31" ht="160.5" customHeight="1">
      <c r="A222" s="198" t="s">
        <v>161</v>
      </c>
      <c r="B222" s="198" t="s">
        <v>1447</v>
      </c>
      <c r="C222" s="198" t="s">
        <v>23</v>
      </c>
      <c r="D222" s="198" t="s">
        <v>141</v>
      </c>
      <c r="E222" s="198" t="s">
        <v>82</v>
      </c>
      <c r="F222" s="4" t="s">
        <v>73</v>
      </c>
      <c r="G222" s="198" t="s">
        <v>73</v>
      </c>
      <c r="H222" s="198" t="s">
        <v>521</v>
      </c>
      <c r="I222" s="198">
        <v>2009</v>
      </c>
      <c r="J222" s="21" t="s">
        <v>2272</v>
      </c>
      <c r="K222" s="21" t="s">
        <v>2272</v>
      </c>
      <c r="L222" s="21" t="s">
        <v>2272</v>
      </c>
      <c r="M222" s="21" t="s">
        <v>2272</v>
      </c>
      <c r="N222" s="21" t="s">
        <v>2272</v>
      </c>
      <c r="O222" s="21" t="s">
        <v>2272</v>
      </c>
      <c r="P222" s="21" t="s">
        <v>2272</v>
      </c>
      <c r="Q222" s="21" t="s">
        <v>2272</v>
      </c>
      <c r="R222" s="21" t="s">
        <v>2272</v>
      </c>
      <c r="S222" s="21" t="s">
        <v>2272</v>
      </c>
      <c r="T222" s="21" t="s">
        <v>2272</v>
      </c>
      <c r="U222" s="21" t="s">
        <v>2272</v>
      </c>
      <c r="V222" s="21" t="s">
        <v>2272</v>
      </c>
      <c r="W222" s="21" t="s">
        <v>2272</v>
      </c>
      <c r="X222" s="21" t="s">
        <v>2272</v>
      </c>
      <c r="Y222" s="21" t="s">
        <v>2272</v>
      </c>
      <c r="Z222" s="21" t="s">
        <v>2272</v>
      </c>
      <c r="AA222" s="198" t="s">
        <v>2272</v>
      </c>
      <c r="AB222" s="198" t="s">
        <v>2272</v>
      </c>
      <c r="AC222" s="198" t="s">
        <v>2272</v>
      </c>
      <c r="AD222" s="4" t="s">
        <v>1394</v>
      </c>
      <c r="AE222" s="4" t="s">
        <v>1451</v>
      </c>
    </row>
    <row r="223" spans="1:31" ht="160.5" customHeight="1">
      <c r="A223" s="198" t="s">
        <v>161</v>
      </c>
      <c r="B223" s="198" t="s">
        <v>1448</v>
      </c>
      <c r="C223" s="198" t="s">
        <v>23</v>
      </c>
      <c r="D223" s="198" t="s">
        <v>141</v>
      </c>
      <c r="E223" s="198" t="s">
        <v>82</v>
      </c>
      <c r="F223" s="4" t="s">
        <v>73</v>
      </c>
      <c r="G223" s="198" t="s">
        <v>73</v>
      </c>
      <c r="H223" s="198" t="s">
        <v>521</v>
      </c>
      <c r="I223" s="198">
        <v>2010</v>
      </c>
      <c r="J223" s="21" t="s">
        <v>2272</v>
      </c>
      <c r="K223" s="21" t="s">
        <v>2272</v>
      </c>
      <c r="L223" s="21" t="s">
        <v>2272</v>
      </c>
      <c r="M223" s="21" t="s">
        <v>2272</v>
      </c>
      <c r="N223" s="21" t="s">
        <v>2272</v>
      </c>
      <c r="O223" s="21" t="s">
        <v>2272</v>
      </c>
      <c r="P223" s="21" t="s">
        <v>2272</v>
      </c>
      <c r="Q223" s="21" t="s">
        <v>2272</v>
      </c>
      <c r="R223" s="21" t="s">
        <v>2272</v>
      </c>
      <c r="S223" s="21" t="s">
        <v>2272</v>
      </c>
      <c r="T223" s="21" t="s">
        <v>2272</v>
      </c>
      <c r="U223" s="21" t="s">
        <v>2272</v>
      </c>
      <c r="V223" s="21" t="s">
        <v>2272</v>
      </c>
      <c r="W223" s="21" t="s">
        <v>2272</v>
      </c>
      <c r="X223" s="21" t="s">
        <v>2272</v>
      </c>
      <c r="Y223" s="21" t="s">
        <v>2272</v>
      </c>
      <c r="Z223" s="21" t="s">
        <v>2272</v>
      </c>
      <c r="AA223" s="198" t="s">
        <v>2272</v>
      </c>
      <c r="AB223" s="198" t="s">
        <v>2272</v>
      </c>
      <c r="AC223" s="198" t="s">
        <v>2272</v>
      </c>
      <c r="AD223" s="4" t="s">
        <v>1394</v>
      </c>
      <c r="AE223" s="4" t="s">
        <v>1451</v>
      </c>
    </row>
    <row r="224" spans="1:31" ht="160.5" customHeight="1">
      <c r="A224" s="198" t="s">
        <v>161</v>
      </c>
      <c r="B224" s="198" t="s">
        <v>1449</v>
      </c>
      <c r="C224" s="198" t="s">
        <v>23</v>
      </c>
      <c r="D224" s="198" t="s">
        <v>141</v>
      </c>
      <c r="E224" s="198" t="s">
        <v>82</v>
      </c>
      <c r="F224" s="4" t="s">
        <v>73</v>
      </c>
      <c r="G224" s="198" t="s">
        <v>73</v>
      </c>
      <c r="H224" s="198" t="s">
        <v>521</v>
      </c>
      <c r="I224" s="198">
        <v>2011</v>
      </c>
      <c r="J224" s="21" t="s">
        <v>2272</v>
      </c>
      <c r="K224" s="21" t="s">
        <v>2272</v>
      </c>
      <c r="L224" s="21" t="s">
        <v>2272</v>
      </c>
      <c r="M224" s="21" t="s">
        <v>2272</v>
      </c>
      <c r="N224" s="21" t="s">
        <v>2272</v>
      </c>
      <c r="O224" s="21" t="s">
        <v>2272</v>
      </c>
      <c r="P224" s="21" t="s">
        <v>2272</v>
      </c>
      <c r="Q224" s="21" t="s">
        <v>2272</v>
      </c>
      <c r="R224" s="21" t="s">
        <v>2272</v>
      </c>
      <c r="S224" s="21" t="s">
        <v>2272</v>
      </c>
      <c r="T224" s="21" t="s">
        <v>2272</v>
      </c>
      <c r="U224" s="21" t="s">
        <v>2272</v>
      </c>
      <c r="V224" s="21" t="s">
        <v>2272</v>
      </c>
      <c r="W224" s="21" t="s">
        <v>2272</v>
      </c>
      <c r="X224" s="21" t="s">
        <v>2272</v>
      </c>
      <c r="Y224" s="21" t="s">
        <v>2272</v>
      </c>
      <c r="Z224" s="21" t="s">
        <v>2272</v>
      </c>
      <c r="AA224" s="198" t="s">
        <v>2272</v>
      </c>
      <c r="AB224" s="198" t="s">
        <v>2272</v>
      </c>
      <c r="AC224" s="198" t="s">
        <v>2272</v>
      </c>
      <c r="AD224" s="4" t="s">
        <v>1394</v>
      </c>
      <c r="AE224" s="4" t="s">
        <v>1451</v>
      </c>
    </row>
    <row r="225" spans="1:31" ht="160.5" customHeight="1">
      <c r="A225" s="198" t="s">
        <v>161</v>
      </c>
      <c r="B225" s="198" t="s">
        <v>1450</v>
      </c>
      <c r="C225" s="198" t="s">
        <v>23</v>
      </c>
      <c r="D225" s="198" t="s">
        <v>141</v>
      </c>
      <c r="E225" s="198" t="s">
        <v>82</v>
      </c>
      <c r="F225" s="4" t="s">
        <v>73</v>
      </c>
      <c r="G225" s="198" t="s">
        <v>73</v>
      </c>
      <c r="H225" s="198" t="s">
        <v>521</v>
      </c>
      <c r="I225" s="198">
        <v>2012</v>
      </c>
      <c r="J225" s="21" t="s">
        <v>2272</v>
      </c>
      <c r="K225" s="21" t="s">
        <v>2272</v>
      </c>
      <c r="L225" s="21" t="s">
        <v>2272</v>
      </c>
      <c r="M225" s="21" t="s">
        <v>2272</v>
      </c>
      <c r="N225" s="21" t="s">
        <v>2272</v>
      </c>
      <c r="O225" s="21" t="s">
        <v>2272</v>
      </c>
      <c r="P225" s="21" t="s">
        <v>2272</v>
      </c>
      <c r="Q225" s="21" t="s">
        <v>2272</v>
      </c>
      <c r="R225" s="21" t="s">
        <v>2272</v>
      </c>
      <c r="S225" s="21" t="s">
        <v>2272</v>
      </c>
      <c r="T225" s="21" t="s">
        <v>2272</v>
      </c>
      <c r="U225" s="21" t="s">
        <v>2272</v>
      </c>
      <c r="V225" s="21" t="s">
        <v>2272</v>
      </c>
      <c r="W225" s="21" t="s">
        <v>2272</v>
      </c>
      <c r="X225" s="21" t="s">
        <v>2272</v>
      </c>
      <c r="Y225" s="21" t="s">
        <v>2272</v>
      </c>
      <c r="Z225" s="21" t="s">
        <v>2272</v>
      </c>
      <c r="AA225" s="198" t="s">
        <v>2272</v>
      </c>
      <c r="AB225" s="198" t="s">
        <v>2272</v>
      </c>
      <c r="AC225" s="198" t="s">
        <v>2272</v>
      </c>
      <c r="AD225" s="4" t="s">
        <v>1394</v>
      </c>
      <c r="AE225" s="4" t="s">
        <v>1451</v>
      </c>
    </row>
    <row r="226" spans="1:31" ht="56" customHeight="1">
      <c r="A226" s="198" t="s">
        <v>172</v>
      </c>
      <c r="B226" s="198" t="s">
        <v>183</v>
      </c>
      <c r="C226" s="198" t="s">
        <v>23</v>
      </c>
      <c r="D226" s="198" t="s">
        <v>26</v>
      </c>
      <c r="E226" s="4" t="s">
        <v>395</v>
      </c>
      <c r="F226" s="4" t="s">
        <v>159</v>
      </c>
      <c r="G226" s="4" t="s">
        <v>159</v>
      </c>
      <c r="H226" s="198" t="s">
        <v>521</v>
      </c>
      <c r="I226" s="198"/>
      <c r="J226" s="21" t="s">
        <v>2272</v>
      </c>
      <c r="K226" s="21" t="s">
        <v>2272</v>
      </c>
      <c r="L226" s="21" t="s">
        <v>2272</v>
      </c>
      <c r="M226" s="21" t="s">
        <v>2272</v>
      </c>
      <c r="N226" s="21" t="s">
        <v>2272</v>
      </c>
      <c r="O226" s="21" t="s">
        <v>2272</v>
      </c>
      <c r="P226" s="21" t="s">
        <v>2272</v>
      </c>
      <c r="Q226" s="21" t="s">
        <v>2272</v>
      </c>
      <c r="R226" s="21" t="s">
        <v>2272</v>
      </c>
      <c r="S226" s="21" t="s">
        <v>2272</v>
      </c>
      <c r="T226" s="21" t="s">
        <v>2272</v>
      </c>
      <c r="U226" s="21" t="s">
        <v>2272</v>
      </c>
      <c r="V226" s="21" t="s">
        <v>2272</v>
      </c>
      <c r="W226" s="21" t="s">
        <v>2272</v>
      </c>
      <c r="X226" s="21" t="s">
        <v>2272</v>
      </c>
      <c r="Y226" s="21" t="s">
        <v>2272</v>
      </c>
      <c r="Z226" s="21">
        <v>7.15</v>
      </c>
      <c r="AA226" s="198" t="s">
        <v>186</v>
      </c>
      <c r="AB226" s="198" t="s">
        <v>187</v>
      </c>
      <c r="AC226" s="198" t="s">
        <v>63</v>
      </c>
      <c r="AD226" s="198"/>
      <c r="AE226" s="4" t="s">
        <v>1455</v>
      </c>
    </row>
    <row r="227" spans="1:31" ht="52.5" customHeight="1">
      <c r="A227" s="198" t="s">
        <v>173</v>
      </c>
      <c r="B227" s="198" t="s">
        <v>184</v>
      </c>
      <c r="C227" s="198" t="s">
        <v>23</v>
      </c>
      <c r="D227" s="198" t="s">
        <v>26</v>
      </c>
      <c r="E227" s="30" t="s">
        <v>128</v>
      </c>
      <c r="F227" s="4" t="s">
        <v>159</v>
      </c>
      <c r="G227" s="4" t="s">
        <v>159</v>
      </c>
      <c r="H227" s="198" t="s">
        <v>521</v>
      </c>
      <c r="I227" s="198"/>
      <c r="J227" s="21" t="s">
        <v>2272</v>
      </c>
      <c r="K227" s="21" t="s">
        <v>2272</v>
      </c>
      <c r="L227" s="21" t="s">
        <v>2272</v>
      </c>
      <c r="M227" s="21" t="s">
        <v>2272</v>
      </c>
      <c r="N227" s="21" t="s">
        <v>2272</v>
      </c>
      <c r="O227" s="21" t="s">
        <v>2272</v>
      </c>
      <c r="P227" s="21" t="s">
        <v>2272</v>
      </c>
      <c r="Q227" s="21" t="s">
        <v>2272</v>
      </c>
      <c r="R227" s="21" t="s">
        <v>2272</v>
      </c>
      <c r="S227" s="21" t="s">
        <v>2272</v>
      </c>
      <c r="T227" s="21" t="s">
        <v>2272</v>
      </c>
      <c r="U227" s="21" t="s">
        <v>2272</v>
      </c>
      <c r="V227" s="21" t="s">
        <v>2272</v>
      </c>
      <c r="W227" s="21" t="s">
        <v>2272</v>
      </c>
      <c r="X227" s="21" t="s">
        <v>2272</v>
      </c>
      <c r="Y227" s="21" t="s">
        <v>2272</v>
      </c>
      <c r="Z227" s="21">
        <v>11.97</v>
      </c>
      <c r="AA227" s="198" t="s">
        <v>186</v>
      </c>
      <c r="AB227" s="198" t="s">
        <v>187</v>
      </c>
      <c r="AC227" s="198" t="s">
        <v>63</v>
      </c>
      <c r="AD227" s="198"/>
      <c r="AE227" s="4" t="s">
        <v>1455</v>
      </c>
    </row>
    <row r="228" spans="1:31" ht="59.5" customHeight="1">
      <c r="A228" s="198" t="s">
        <v>174</v>
      </c>
      <c r="B228" s="198" t="s">
        <v>185</v>
      </c>
      <c r="C228" s="198" t="s">
        <v>23</v>
      </c>
      <c r="D228" s="198" t="s">
        <v>26</v>
      </c>
      <c r="E228" s="198" t="s">
        <v>128</v>
      </c>
      <c r="F228" s="4" t="s">
        <v>159</v>
      </c>
      <c r="G228" s="4" t="s">
        <v>2272</v>
      </c>
      <c r="H228" s="198" t="s">
        <v>521</v>
      </c>
      <c r="I228" s="198"/>
      <c r="J228" s="21" t="s">
        <v>2272</v>
      </c>
      <c r="K228" s="21" t="s">
        <v>2272</v>
      </c>
      <c r="L228" s="21" t="s">
        <v>2272</v>
      </c>
      <c r="M228" s="21" t="s">
        <v>2272</v>
      </c>
      <c r="N228" s="21" t="s">
        <v>2272</v>
      </c>
      <c r="O228" s="21" t="s">
        <v>2272</v>
      </c>
      <c r="P228" s="21" t="s">
        <v>2272</v>
      </c>
      <c r="Q228" s="21" t="s">
        <v>2272</v>
      </c>
      <c r="R228" s="21" t="s">
        <v>2272</v>
      </c>
      <c r="S228" s="21" t="s">
        <v>2272</v>
      </c>
      <c r="T228" s="21" t="s">
        <v>2272</v>
      </c>
      <c r="U228" s="21" t="s">
        <v>2272</v>
      </c>
      <c r="V228" s="21" t="s">
        <v>2272</v>
      </c>
      <c r="W228" s="21" t="s">
        <v>2272</v>
      </c>
      <c r="X228" s="21" t="s">
        <v>2272</v>
      </c>
      <c r="Y228" s="21" t="s">
        <v>2272</v>
      </c>
      <c r="Z228" s="21">
        <v>14.16</v>
      </c>
      <c r="AA228" s="198" t="s">
        <v>186</v>
      </c>
      <c r="AB228" s="198" t="s">
        <v>187</v>
      </c>
      <c r="AC228" s="198" t="s">
        <v>63</v>
      </c>
      <c r="AD228" s="198"/>
      <c r="AE228" s="4" t="s">
        <v>1455</v>
      </c>
    </row>
    <row r="229" spans="1:31" ht="84" customHeight="1">
      <c r="A229" s="198" t="s">
        <v>371</v>
      </c>
      <c r="B229" s="198" t="s">
        <v>376</v>
      </c>
      <c r="C229" s="198" t="s">
        <v>23</v>
      </c>
      <c r="D229" s="198" t="s">
        <v>26</v>
      </c>
      <c r="E229" s="4" t="s">
        <v>394</v>
      </c>
      <c r="F229" s="4" t="s">
        <v>159</v>
      </c>
      <c r="G229" s="4" t="s">
        <v>159</v>
      </c>
      <c r="H229" s="198" t="s">
        <v>521</v>
      </c>
      <c r="I229" s="198"/>
      <c r="J229" s="21" t="s">
        <v>2272</v>
      </c>
      <c r="K229" s="21" t="s">
        <v>2272</v>
      </c>
      <c r="L229" s="21" t="s">
        <v>2272</v>
      </c>
      <c r="M229" s="21" t="s">
        <v>2272</v>
      </c>
      <c r="N229" s="21" t="s">
        <v>2272</v>
      </c>
      <c r="O229" s="21" t="s">
        <v>2272</v>
      </c>
      <c r="P229" s="21" t="s">
        <v>2272</v>
      </c>
      <c r="Q229" s="21" t="s">
        <v>2272</v>
      </c>
      <c r="R229" s="21" t="s">
        <v>2272</v>
      </c>
      <c r="S229" s="21" t="s">
        <v>2272</v>
      </c>
      <c r="T229" s="21" t="s">
        <v>2272</v>
      </c>
      <c r="U229" s="21" t="s">
        <v>2272</v>
      </c>
      <c r="V229" s="21" t="s">
        <v>2272</v>
      </c>
      <c r="W229" s="21" t="s">
        <v>2272</v>
      </c>
      <c r="X229" s="21" t="s">
        <v>2272</v>
      </c>
      <c r="Y229" s="21" t="s">
        <v>2272</v>
      </c>
      <c r="Z229" s="21" t="s">
        <v>2272</v>
      </c>
      <c r="AA229" s="198" t="s">
        <v>187</v>
      </c>
      <c r="AB229" s="198" t="s">
        <v>37</v>
      </c>
      <c r="AC229" s="198" t="s">
        <v>63</v>
      </c>
      <c r="AD229" s="4" t="s">
        <v>378</v>
      </c>
      <c r="AE229" s="4" t="s">
        <v>392</v>
      </c>
    </row>
    <row r="230" spans="1:31" ht="90.5" customHeight="1">
      <c r="A230" s="198" t="s">
        <v>371</v>
      </c>
      <c r="B230" s="198" t="s">
        <v>377</v>
      </c>
      <c r="C230" s="198" t="s">
        <v>23</v>
      </c>
      <c r="D230" s="198" t="s">
        <v>26</v>
      </c>
      <c r="E230" s="4" t="s">
        <v>395</v>
      </c>
      <c r="F230" s="4" t="s">
        <v>159</v>
      </c>
      <c r="G230" s="4" t="s">
        <v>159</v>
      </c>
      <c r="H230" s="198" t="s">
        <v>521</v>
      </c>
      <c r="I230" s="198"/>
      <c r="J230" s="21" t="s">
        <v>2272</v>
      </c>
      <c r="K230" s="21" t="s">
        <v>2272</v>
      </c>
      <c r="L230" s="21" t="s">
        <v>2272</v>
      </c>
      <c r="M230" s="21" t="s">
        <v>2272</v>
      </c>
      <c r="N230" s="21" t="s">
        <v>2272</v>
      </c>
      <c r="O230" s="21" t="s">
        <v>2272</v>
      </c>
      <c r="P230" s="21" t="s">
        <v>2272</v>
      </c>
      <c r="Q230" s="21" t="s">
        <v>2272</v>
      </c>
      <c r="R230" s="21" t="s">
        <v>2272</v>
      </c>
      <c r="S230" s="21" t="s">
        <v>2272</v>
      </c>
      <c r="T230" s="21" t="s">
        <v>2272</v>
      </c>
      <c r="U230" s="21" t="s">
        <v>2272</v>
      </c>
      <c r="V230" s="21" t="s">
        <v>2272</v>
      </c>
      <c r="W230" s="21" t="s">
        <v>2272</v>
      </c>
      <c r="X230" s="21" t="s">
        <v>2272</v>
      </c>
      <c r="Y230" s="21" t="s">
        <v>2272</v>
      </c>
      <c r="Z230" s="21" t="s">
        <v>2272</v>
      </c>
      <c r="AA230" s="198" t="s">
        <v>187</v>
      </c>
      <c r="AB230" s="198" t="s">
        <v>37</v>
      </c>
      <c r="AC230" s="198" t="s">
        <v>63</v>
      </c>
      <c r="AD230" s="4" t="s">
        <v>379</v>
      </c>
      <c r="AE230" s="4" t="s">
        <v>392</v>
      </c>
    </row>
    <row r="231" spans="1:31" ht="76.5" customHeight="1">
      <c r="A231" s="198" t="s">
        <v>380</v>
      </c>
      <c r="B231" s="198" t="s">
        <v>388</v>
      </c>
      <c r="C231" s="198" t="s">
        <v>23</v>
      </c>
      <c r="D231" s="198" t="s">
        <v>26</v>
      </c>
      <c r="E231" s="4" t="s">
        <v>395</v>
      </c>
      <c r="F231" s="4" t="s">
        <v>27</v>
      </c>
      <c r="G231" s="198" t="s">
        <v>2272</v>
      </c>
      <c r="H231" s="198" t="s">
        <v>522</v>
      </c>
      <c r="I231" s="198"/>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v>0</v>
      </c>
      <c r="Z231" s="21" t="s">
        <v>2272</v>
      </c>
      <c r="AA231" s="198" t="s">
        <v>398</v>
      </c>
      <c r="AB231" s="198" t="s">
        <v>397</v>
      </c>
      <c r="AC231" s="198" t="s">
        <v>63</v>
      </c>
      <c r="AD231" s="198"/>
      <c r="AE231" s="87"/>
    </row>
    <row r="232" spans="1:31" ht="108" customHeight="1">
      <c r="A232" s="198" t="s">
        <v>380</v>
      </c>
      <c r="B232" s="198" t="s">
        <v>401</v>
      </c>
      <c r="C232" s="198" t="s">
        <v>23</v>
      </c>
      <c r="D232" s="198" t="s">
        <v>26</v>
      </c>
      <c r="E232" s="4" t="s">
        <v>128</v>
      </c>
      <c r="F232" s="4" t="s">
        <v>159</v>
      </c>
      <c r="G232" s="198" t="s">
        <v>2272</v>
      </c>
      <c r="H232" s="198" t="s">
        <v>521</v>
      </c>
      <c r="I232" s="198"/>
      <c r="J232" s="21" t="s">
        <v>2272</v>
      </c>
      <c r="K232" s="21" t="s">
        <v>2272</v>
      </c>
      <c r="L232" s="21" t="s">
        <v>2272</v>
      </c>
      <c r="M232" s="21" t="s">
        <v>2272</v>
      </c>
      <c r="N232" s="21" t="s">
        <v>2272</v>
      </c>
      <c r="O232" s="21" t="s">
        <v>2272</v>
      </c>
      <c r="P232" s="21" t="s">
        <v>2272</v>
      </c>
      <c r="Q232" s="21" t="s">
        <v>2272</v>
      </c>
      <c r="R232" s="21" t="s">
        <v>2272</v>
      </c>
      <c r="S232" s="21" t="s">
        <v>2272</v>
      </c>
      <c r="T232" s="21" t="s">
        <v>2272</v>
      </c>
      <c r="U232" s="21" t="s">
        <v>2272</v>
      </c>
      <c r="V232" s="21" t="s">
        <v>2272</v>
      </c>
      <c r="W232" s="21" t="s">
        <v>2272</v>
      </c>
      <c r="X232" s="21" t="s">
        <v>2272</v>
      </c>
      <c r="Y232" s="21" t="s">
        <v>2272</v>
      </c>
      <c r="Z232" s="21">
        <v>3.310162</v>
      </c>
      <c r="AA232" s="198" t="s">
        <v>398</v>
      </c>
      <c r="AB232" s="198" t="s">
        <v>397</v>
      </c>
      <c r="AC232" s="198" t="s">
        <v>63</v>
      </c>
      <c r="AD232" s="198"/>
      <c r="AE232" s="87" t="s">
        <v>413</v>
      </c>
    </row>
    <row r="233" spans="1:31" ht="76.5" customHeight="1">
      <c r="A233" s="198" t="s">
        <v>380</v>
      </c>
      <c r="B233" s="198" t="s">
        <v>408</v>
      </c>
      <c r="C233" s="198" t="s">
        <v>23</v>
      </c>
      <c r="D233" s="198" t="s">
        <v>404</v>
      </c>
      <c r="E233" s="4" t="s">
        <v>128</v>
      </c>
      <c r="F233" s="4" t="s">
        <v>159</v>
      </c>
      <c r="G233" s="198" t="s">
        <v>2272</v>
      </c>
      <c r="H233" s="198" t="s">
        <v>521</v>
      </c>
      <c r="I233" s="198"/>
      <c r="J233" s="21" t="s">
        <v>2272</v>
      </c>
      <c r="K233" s="21" t="s">
        <v>2272</v>
      </c>
      <c r="L233" s="21" t="s">
        <v>2272</v>
      </c>
      <c r="M233" s="21" t="s">
        <v>2272</v>
      </c>
      <c r="N233" s="21" t="s">
        <v>2272</v>
      </c>
      <c r="O233" s="21" t="s">
        <v>2272</v>
      </c>
      <c r="P233" s="21" t="s">
        <v>2272</v>
      </c>
      <c r="Q233" s="21" t="s">
        <v>2272</v>
      </c>
      <c r="R233" s="21" t="s">
        <v>2272</v>
      </c>
      <c r="S233" s="21" t="s">
        <v>2272</v>
      </c>
      <c r="T233" s="21" t="s">
        <v>2272</v>
      </c>
      <c r="U233" s="21" t="s">
        <v>2272</v>
      </c>
      <c r="V233" s="21" t="s">
        <v>2272</v>
      </c>
      <c r="W233" s="21" t="s">
        <v>2272</v>
      </c>
      <c r="X233" s="21" t="s">
        <v>2272</v>
      </c>
      <c r="Y233" s="21" t="s">
        <v>2272</v>
      </c>
      <c r="Z233" s="21" t="s">
        <v>2272</v>
      </c>
      <c r="AA233" s="198" t="s">
        <v>402</v>
      </c>
      <c r="AB233" s="198" t="s">
        <v>403</v>
      </c>
      <c r="AC233" s="198" t="s">
        <v>63</v>
      </c>
      <c r="AD233" s="4" t="s">
        <v>406</v>
      </c>
      <c r="AE233" s="87" t="s">
        <v>407</v>
      </c>
    </row>
    <row r="234" spans="1:31" ht="76.5" customHeight="1">
      <c r="A234" s="198" t="s">
        <v>380</v>
      </c>
      <c r="B234" s="198" t="s">
        <v>1460</v>
      </c>
      <c r="C234" s="198" t="s">
        <v>23</v>
      </c>
      <c r="D234" s="198" t="s">
        <v>25</v>
      </c>
      <c r="E234" s="4" t="s">
        <v>128</v>
      </c>
      <c r="F234" s="4" t="s">
        <v>2657</v>
      </c>
      <c r="G234" s="198" t="s">
        <v>2272</v>
      </c>
      <c r="H234" s="198" t="s">
        <v>521</v>
      </c>
      <c r="I234" s="198"/>
      <c r="J234" s="21" t="s">
        <v>2272</v>
      </c>
      <c r="K234" s="21" t="s">
        <v>2272</v>
      </c>
      <c r="L234" s="21" t="s">
        <v>2272</v>
      </c>
      <c r="M234" s="21" t="s">
        <v>2272</v>
      </c>
      <c r="N234" s="21" t="s">
        <v>2272</v>
      </c>
      <c r="O234" s="21" t="s">
        <v>2272</v>
      </c>
      <c r="P234" s="21" t="s">
        <v>2272</v>
      </c>
      <c r="Q234" s="21" t="s">
        <v>2272</v>
      </c>
      <c r="R234" s="21" t="s">
        <v>2272</v>
      </c>
      <c r="S234" s="21" t="s">
        <v>2272</v>
      </c>
      <c r="T234" s="21" t="s">
        <v>2272</v>
      </c>
      <c r="U234" s="21" t="s">
        <v>2272</v>
      </c>
      <c r="V234" s="21" t="s">
        <v>2272</v>
      </c>
      <c r="W234" s="21" t="s">
        <v>2272</v>
      </c>
      <c r="X234" s="21" t="s">
        <v>2272</v>
      </c>
      <c r="Y234" s="21" t="s">
        <v>2272</v>
      </c>
      <c r="Z234" s="21" t="s">
        <v>2272</v>
      </c>
      <c r="AA234" s="198" t="s">
        <v>402</v>
      </c>
      <c r="AB234" s="198" t="s">
        <v>403</v>
      </c>
      <c r="AC234" s="198" t="s">
        <v>63</v>
      </c>
      <c r="AD234" s="4" t="s">
        <v>406</v>
      </c>
      <c r="AE234" s="87" t="s">
        <v>407</v>
      </c>
    </row>
    <row r="235" spans="1:31" ht="97" customHeight="1">
      <c r="A235" s="198" t="s">
        <v>381</v>
      </c>
      <c r="B235" s="198" t="s">
        <v>389</v>
      </c>
      <c r="C235" s="198" t="s">
        <v>23</v>
      </c>
      <c r="D235" s="198" t="s">
        <v>26</v>
      </c>
      <c r="E235" s="4" t="s">
        <v>395</v>
      </c>
      <c r="F235" s="4" t="s">
        <v>27</v>
      </c>
      <c r="G235" s="198" t="s">
        <v>2272</v>
      </c>
      <c r="H235" s="198" t="s">
        <v>522</v>
      </c>
      <c r="I235" s="198"/>
      <c r="J235" s="21">
        <v>0</v>
      </c>
      <c r="K235" s="21">
        <v>0</v>
      </c>
      <c r="L235" s="21">
        <v>0</v>
      </c>
      <c r="M235" s="21">
        <v>0</v>
      </c>
      <c r="N235" s="21">
        <v>0</v>
      </c>
      <c r="O235" s="21">
        <v>0</v>
      </c>
      <c r="P235" s="21">
        <v>0</v>
      </c>
      <c r="Q235" s="21">
        <v>0</v>
      </c>
      <c r="R235" s="21" t="s">
        <v>2272</v>
      </c>
      <c r="S235" s="21" t="s">
        <v>2272</v>
      </c>
      <c r="T235" s="21">
        <v>0</v>
      </c>
      <c r="U235" s="21">
        <v>0</v>
      </c>
      <c r="V235" s="21">
        <v>0</v>
      </c>
      <c r="W235" s="21">
        <v>0</v>
      </c>
      <c r="X235" s="21">
        <v>0</v>
      </c>
      <c r="Y235" s="21">
        <v>0</v>
      </c>
      <c r="Z235" s="21" t="s">
        <v>2272</v>
      </c>
      <c r="AA235" s="198" t="s">
        <v>398</v>
      </c>
      <c r="AB235" s="198" t="s">
        <v>397</v>
      </c>
      <c r="AC235" s="198" t="s">
        <v>63</v>
      </c>
      <c r="AD235" s="198"/>
      <c r="AE235" s="87"/>
    </row>
    <row r="236" spans="1:31" ht="103" customHeight="1">
      <c r="A236" s="198" t="s">
        <v>381</v>
      </c>
      <c r="B236" s="198" t="s">
        <v>405</v>
      </c>
      <c r="C236" s="198" t="s">
        <v>23</v>
      </c>
      <c r="D236" s="198" t="s">
        <v>26</v>
      </c>
      <c r="E236" s="4" t="s">
        <v>128</v>
      </c>
      <c r="F236" s="4" t="s">
        <v>159</v>
      </c>
      <c r="G236" s="198" t="s">
        <v>2272</v>
      </c>
      <c r="H236" s="198" t="s">
        <v>521</v>
      </c>
      <c r="I236" s="198"/>
      <c r="J236" s="21" t="s">
        <v>2272</v>
      </c>
      <c r="K236" s="21" t="s">
        <v>2272</v>
      </c>
      <c r="L236" s="21" t="s">
        <v>2272</v>
      </c>
      <c r="M236" s="21" t="s">
        <v>2272</v>
      </c>
      <c r="N236" s="21" t="s">
        <v>2272</v>
      </c>
      <c r="O236" s="21" t="s">
        <v>2272</v>
      </c>
      <c r="P236" s="21" t="s">
        <v>2272</v>
      </c>
      <c r="Q236" s="21" t="s">
        <v>2272</v>
      </c>
      <c r="R236" s="21" t="s">
        <v>2272</v>
      </c>
      <c r="S236" s="21" t="s">
        <v>2272</v>
      </c>
      <c r="T236" s="21" t="s">
        <v>2272</v>
      </c>
      <c r="U236" s="21" t="s">
        <v>2272</v>
      </c>
      <c r="V236" s="21" t="s">
        <v>2272</v>
      </c>
      <c r="W236" s="21" t="s">
        <v>2272</v>
      </c>
      <c r="X236" s="21" t="s">
        <v>2272</v>
      </c>
      <c r="Y236" s="21" t="s">
        <v>2272</v>
      </c>
      <c r="Z236" s="21">
        <v>5.2383449999999998</v>
      </c>
      <c r="AA236" s="198" t="s">
        <v>398</v>
      </c>
      <c r="AB236" s="198" t="s">
        <v>397</v>
      </c>
      <c r="AC236" s="198" t="s">
        <v>63</v>
      </c>
      <c r="AD236" s="198"/>
      <c r="AE236" s="87" t="s">
        <v>413</v>
      </c>
    </row>
    <row r="237" spans="1:31" ht="66.5" customHeight="1">
      <c r="A237" s="198" t="s">
        <v>381</v>
      </c>
      <c r="B237" s="198" t="s">
        <v>409</v>
      </c>
      <c r="C237" s="198" t="s">
        <v>23</v>
      </c>
      <c r="D237" s="198" t="s">
        <v>404</v>
      </c>
      <c r="E237" s="4" t="s">
        <v>128</v>
      </c>
      <c r="F237" s="4" t="s">
        <v>159</v>
      </c>
      <c r="G237" s="198" t="s">
        <v>2272</v>
      </c>
      <c r="H237" s="198" t="s">
        <v>521</v>
      </c>
      <c r="I237" s="198"/>
      <c r="J237" s="21" t="s">
        <v>2272</v>
      </c>
      <c r="K237" s="21" t="s">
        <v>2272</v>
      </c>
      <c r="L237" s="21" t="s">
        <v>2272</v>
      </c>
      <c r="M237" s="21" t="s">
        <v>2272</v>
      </c>
      <c r="N237" s="21" t="s">
        <v>2272</v>
      </c>
      <c r="O237" s="21" t="s">
        <v>2272</v>
      </c>
      <c r="P237" s="21" t="s">
        <v>2272</v>
      </c>
      <c r="Q237" s="21" t="s">
        <v>2272</v>
      </c>
      <c r="R237" s="21" t="s">
        <v>2272</v>
      </c>
      <c r="S237" s="21" t="s">
        <v>2272</v>
      </c>
      <c r="T237" s="21" t="s">
        <v>2272</v>
      </c>
      <c r="U237" s="21" t="s">
        <v>2272</v>
      </c>
      <c r="V237" s="21" t="s">
        <v>2272</v>
      </c>
      <c r="W237" s="21" t="s">
        <v>2272</v>
      </c>
      <c r="X237" s="21" t="s">
        <v>2272</v>
      </c>
      <c r="Y237" s="21" t="s">
        <v>2272</v>
      </c>
      <c r="Z237" s="21" t="s">
        <v>2272</v>
      </c>
      <c r="AA237" s="198" t="s">
        <v>402</v>
      </c>
      <c r="AB237" s="198" t="s">
        <v>403</v>
      </c>
      <c r="AC237" s="198" t="s">
        <v>63</v>
      </c>
      <c r="AD237" s="4" t="s">
        <v>406</v>
      </c>
      <c r="AE237" s="87" t="s">
        <v>407</v>
      </c>
    </row>
    <row r="238" spans="1:31" ht="73" customHeight="1">
      <c r="A238" s="198" t="s">
        <v>386</v>
      </c>
      <c r="B238" s="198" t="s">
        <v>390</v>
      </c>
      <c r="C238" s="198" t="s">
        <v>23</v>
      </c>
      <c r="D238" s="198" t="s">
        <v>26</v>
      </c>
      <c r="E238" s="4" t="s">
        <v>395</v>
      </c>
      <c r="F238" s="4" t="s">
        <v>27</v>
      </c>
      <c r="G238" s="198" t="s">
        <v>2272</v>
      </c>
      <c r="H238" s="198" t="s">
        <v>522</v>
      </c>
      <c r="I238" s="198"/>
      <c r="J238" s="21">
        <v>0</v>
      </c>
      <c r="K238" s="21">
        <v>0</v>
      </c>
      <c r="L238" s="21">
        <v>0</v>
      </c>
      <c r="M238" s="21">
        <v>0</v>
      </c>
      <c r="N238" s="21">
        <v>0</v>
      </c>
      <c r="O238" s="21">
        <v>0</v>
      </c>
      <c r="P238" s="21">
        <v>0</v>
      </c>
      <c r="Q238" s="21">
        <v>0</v>
      </c>
      <c r="R238" s="21" t="s">
        <v>2272</v>
      </c>
      <c r="S238" s="21" t="s">
        <v>2272</v>
      </c>
      <c r="T238" s="21">
        <v>0</v>
      </c>
      <c r="U238" s="21">
        <v>0</v>
      </c>
      <c r="V238" s="21">
        <v>0</v>
      </c>
      <c r="W238" s="21">
        <v>0</v>
      </c>
      <c r="X238" s="21">
        <v>0</v>
      </c>
      <c r="Y238" s="21">
        <v>0</v>
      </c>
      <c r="Z238" s="21" t="s">
        <v>2272</v>
      </c>
      <c r="AA238" s="198" t="s">
        <v>398</v>
      </c>
      <c r="AB238" s="198" t="s">
        <v>397</v>
      </c>
      <c r="AC238" s="198" t="s">
        <v>63</v>
      </c>
      <c r="AD238" s="87" t="s">
        <v>399</v>
      </c>
      <c r="AE238" s="87"/>
    </row>
    <row r="239" spans="1:31" ht="73" customHeight="1">
      <c r="A239" s="198" t="s">
        <v>386</v>
      </c>
      <c r="B239" s="198" t="s">
        <v>410</v>
      </c>
      <c r="C239" s="198" t="s">
        <v>23</v>
      </c>
      <c r="D239" s="198" t="s">
        <v>26</v>
      </c>
      <c r="E239" s="4" t="s">
        <v>128</v>
      </c>
      <c r="F239" s="4" t="s">
        <v>159</v>
      </c>
      <c r="G239" s="198" t="s">
        <v>2272</v>
      </c>
      <c r="H239" s="198" t="s">
        <v>522</v>
      </c>
      <c r="I239" s="198"/>
      <c r="J239" s="21">
        <v>0</v>
      </c>
      <c r="K239" s="21">
        <v>0</v>
      </c>
      <c r="L239" s="21">
        <v>0</v>
      </c>
      <c r="M239" s="21">
        <v>0</v>
      </c>
      <c r="N239" s="21">
        <v>0</v>
      </c>
      <c r="O239" s="21">
        <v>0</v>
      </c>
      <c r="P239" s="21">
        <v>0</v>
      </c>
      <c r="Q239" s="21">
        <v>0</v>
      </c>
      <c r="R239" s="21" t="s">
        <v>2272</v>
      </c>
      <c r="S239" s="21" t="s">
        <v>2272</v>
      </c>
      <c r="T239" s="21">
        <v>0</v>
      </c>
      <c r="U239" s="21">
        <v>0</v>
      </c>
      <c r="V239" s="21">
        <v>0</v>
      </c>
      <c r="W239" s="21">
        <v>0</v>
      </c>
      <c r="X239" s="21">
        <v>0</v>
      </c>
      <c r="Y239" s="21">
        <v>0</v>
      </c>
      <c r="Z239" s="21" t="s">
        <v>2272</v>
      </c>
      <c r="AA239" s="198" t="s">
        <v>398</v>
      </c>
      <c r="AB239" s="198" t="s">
        <v>397</v>
      </c>
      <c r="AC239" s="198" t="s">
        <v>63</v>
      </c>
      <c r="AD239" s="87" t="s">
        <v>1462</v>
      </c>
      <c r="AE239" s="87"/>
    </row>
    <row r="240" spans="1:31" ht="108" customHeight="1">
      <c r="A240" s="198" t="s">
        <v>387</v>
      </c>
      <c r="B240" s="198" t="s">
        <v>391</v>
      </c>
      <c r="C240" s="198" t="s">
        <v>23</v>
      </c>
      <c r="D240" s="198" t="s">
        <v>26</v>
      </c>
      <c r="E240" s="4" t="s">
        <v>395</v>
      </c>
      <c r="F240" s="4" t="s">
        <v>27</v>
      </c>
      <c r="G240" s="198" t="s">
        <v>2272</v>
      </c>
      <c r="H240" s="198" t="s">
        <v>522</v>
      </c>
      <c r="I240" s="198"/>
      <c r="J240" s="21">
        <v>0</v>
      </c>
      <c r="K240" s="21">
        <v>0</v>
      </c>
      <c r="L240" s="21">
        <v>0</v>
      </c>
      <c r="M240" s="21">
        <v>0</v>
      </c>
      <c r="N240" s="21">
        <v>0</v>
      </c>
      <c r="O240" s="21">
        <v>0</v>
      </c>
      <c r="P240" s="21">
        <v>0</v>
      </c>
      <c r="Q240" s="21">
        <v>0</v>
      </c>
      <c r="R240" s="21" t="s">
        <v>2272</v>
      </c>
      <c r="S240" s="21" t="s">
        <v>2272</v>
      </c>
      <c r="T240" s="21">
        <v>0</v>
      </c>
      <c r="U240" s="21">
        <v>0</v>
      </c>
      <c r="V240" s="21">
        <v>0</v>
      </c>
      <c r="W240" s="21">
        <v>0</v>
      </c>
      <c r="X240" s="21">
        <v>0</v>
      </c>
      <c r="Y240" s="21">
        <v>0</v>
      </c>
      <c r="Z240" s="21" t="s">
        <v>2272</v>
      </c>
      <c r="AA240" s="198" t="s">
        <v>34</v>
      </c>
      <c r="AB240" s="198" t="s">
        <v>397</v>
      </c>
      <c r="AC240" s="198" t="s">
        <v>63</v>
      </c>
      <c r="AD240" s="87" t="s">
        <v>400</v>
      </c>
      <c r="AE240" s="87"/>
    </row>
    <row r="241" spans="1:31" ht="108" customHeight="1">
      <c r="A241" s="198" t="s">
        <v>387</v>
      </c>
      <c r="B241" s="198" t="s">
        <v>411</v>
      </c>
      <c r="C241" s="198" t="s">
        <v>23</v>
      </c>
      <c r="D241" s="198" t="s">
        <v>141</v>
      </c>
      <c r="E241" s="4" t="s">
        <v>395</v>
      </c>
      <c r="F241" s="4" t="s">
        <v>2657</v>
      </c>
      <c r="G241" s="198" t="s">
        <v>2272</v>
      </c>
      <c r="H241" s="198" t="s">
        <v>521</v>
      </c>
      <c r="I241" s="198"/>
      <c r="J241" s="21" t="s">
        <v>2272</v>
      </c>
      <c r="K241" s="21" t="s">
        <v>2272</v>
      </c>
      <c r="L241" s="21" t="s">
        <v>2272</v>
      </c>
      <c r="M241" s="21" t="s">
        <v>2272</v>
      </c>
      <c r="N241" s="21" t="s">
        <v>2272</v>
      </c>
      <c r="O241" s="21" t="s">
        <v>2272</v>
      </c>
      <c r="P241" s="21" t="s">
        <v>2272</v>
      </c>
      <c r="Q241" s="21" t="s">
        <v>2272</v>
      </c>
      <c r="R241" s="21" t="s">
        <v>2272</v>
      </c>
      <c r="S241" s="21" t="s">
        <v>2272</v>
      </c>
      <c r="T241" s="21" t="s">
        <v>2272</v>
      </c>
      <c r="U241" s="21" t="s">
        <v>2272</v>
      </c>
      <c r="V241" s="21" t="s">
        <v>2272</v>
      </c>
      <c r="W241" s="21" t="s">
        <v>2272</v>
      </c>
      <c r="X241" s="21" t="s">
        <v>2272</v>
      </c>
      <c r="Y241" s="21" t="s">
        <v>2272</v>
      </c>
      <c r="Z241" s="21" t="s">
        <v>2272</v>
      </c>
      <c r="AA241" s="198" t="s">
        <v>34</v>
      </c>
      <c r="AB241" s="198" t="s">
        <v>397</v>
      </c>
      <c r="AC241" s="198" t="s">
        <v>63</v>
      </c>
      <c r="AD241" s="87" t="s">
        <v>400</v>
      </c>
      <c r="AE241" s="87" t="s">
        <v>412</v>
      </c>
    </row>
    <row r="242" spans="1:31" ht="108" customHeight="1">
      <c r="A242" s="198" t="s">
        <v>387</v>
      </c>
      <c r="B242" s="198" t="s">
        <v>1465</v>
      </c>
      <c r="C242" s="198" t="s">
        <v>23</v>
      </c>
      <c r="D242" s="198" t="s">
        <v>26</v>
      </c>
      <c r="E242" s="4" t="s">
        <v>128</v>
      </c>
      <c r="F242" s="4" t="s">
        <v>159</v>
      </c>
      <c r="G242" s="198" t="s">
        <v>2272</v>
      </c>
      <c r="H242" s="198" t="s">
        <v>521</v>
      </c>
      <c r="I242" s="198"/>
      <c r="J242" s="21" t="s">
        <v>2272</v>
      </c>
      <c r="K242" s="21" t="s">
        <v>2272</v>
      </c>
      <c r="L242" s="21" t="s">
        <v>2272</v>
      </c>
      <c r="M242" s="21" t="s">
        <v>2272</v>
      </c>
      <c r="N242" s="21" t="s">
        <v>2272</v>
      </c>
      <c r="O242" s="21" t="s">
        <v>2272</v>
      </c>
      <c r="P242" s="21" t="s">
        <v>2272</v>
      </c>
      <c r="Q242" s="21" t="s">
        <v>2272</v>
      </c>
      <c r="R242" s="21" t="s">
        <v>2272</v>
      </c>
      <c r="S242" s="21" t="s">
        <v>2272</v>
      </c>
      <c r="T242" s="21" t="s">
        <v>2272</v>
      </c>
      <c r="U242" s="21" t="s">
        <v>2272</v>
      </c>
      <c r="V242" s="21" t="s">
        <v>2272</v>
      </c>
      <c r="W242" s="21" t="s">
        <v>2272</v>
      </c>
      <c r="X242" s="21" t="s">
        <v>2272</v>
      </c>
      <c r="Y242" s="21" t="s">
        <v>2272</v>
      </c>
      <c r="Z242" s="21">
        <v>8.6058520000000005</v>
      </c>
      <c r="AA242" s="198" t="s">
        <v>34</v>
      </c>
      <c r="AB242" s="198" t="s">
        <v>397</v>
      </c>
      <c r="AC242" s="198" t="s">
        <v>63</v>
      </c>
      <c r="AD242" s="87" t="s">
        <v>400</v>
      </c>
      <c r="AE242" s="87" t="s">
        <v>413</v>
      </c>
    </row>
    <row r="243" spans="1:31" ht="63.5" customHeight="1">
      <c r="A243" s="198" t="s">
        <v>414</v>
      </c>
      <c r="B243" s="198" t="s">
        <v>417</v>
      </c>
      <c r="C243" s="198" t="s">
        <v>23</v>
      </c>
      <c r="D243" s="198" t="s">
        <v>26</v>
      </c>
      <c r="E243" s="4" t="s">
        <v>128</v>
      </c>
      <c r="F243" s="4" t="s">
        <v>159</v>
      </c>
      <c r="G243" s="198" t="s">
        <v>2272</v>
      </c>
      <c r="H243" s="198" t="s">
        <v>521</v>
      </c>
      <c r="I243" s="198"/>
      <c r="J243" s="21" t="s">
        <v>2272</v>
      </c>
      <c r="K243" s="21" t="s">
        <v>2272</v>
      </c>
      <c r="L243" s="21" t="s">
        <v>2272</v>
      </c>
      <c r="M243" s="21" t="s">
        <v>2272</v>
      </c>
      <c r="N243" s="21" t="s">
        <v>2272</v>
      </c>
      <c r="O243" s="21" t="s">
        <v>2272</v>
      </c>
      <c r="P243" s="21" t="s">
        <v>2272</v>
      </c>
      <c r="Q243" s="21" t="s">
        <v>2272</v>
      </c>
      <c r="R243" s="21" t="s">
        <v>2272</v>
      </c>
      <c r="S243" s="21" t="s">
        <v>2272</v>
      </c>
      <c r="T243" s="21" t="s">
        <v>2272</v>
      </c>
      <c r="U243" s="21" t="s">
        <v>2272</v>
      </c>
      <c r="V243" s="21" t="s">
        <v>2272</v>
      </c>
      <c r="W243" s="21" t="s">
        <v>2272</v>
      </c>
      <c r="X243" s="21" t="s">
        <v>2272</v>
      </c>
      <c r="Y243" s="21" t="s">
        <v>2272</v>
      </c>
      <c r="Z243" s="21">
        <v>10</v>
      </c>
      <c r="AA243" s="198" t="s">
        <v>2272</v>
      </c>
      <c r="AB243" s="198" t="s">
        <v>2272</v>
      </c>
      <c r="AC243" s="198" t="s">
        <v>2272</v>
      </c>
      <c r="AD243" s="198"/>
      <c r="AE243" s="4" t="s">
        <v>1471</v>
      </c>
    </row>
    <row r="244" spans="1:31" ht="77" customHeight="1">
      <c r="A244" s="198" t="s">
        <v>418</v>
      </c>
      <c r="B244" s="198" t="s">
        <v>422</v>
      </c>
      <c r="C244" s="198" t="s">
        <v>23</v>
      </c>
      <c r="D244" s="198" t="s">
        <v>26</v>
      </c>
      <c r="E244" s="4" t="s">
        <v>128</v>
      </c>
      <c r="F244" s="4" t="s">
        <v>159</v>
      </c>
      <c r="G244" s="198" t="s">
        <v>2272</v>
      </c>
      <c r="H244" s="198" t="s">
        <v>521</v>
      </c>
      <c r="I244" s="198"/>
      <c r="J244" s="21" t="s">
        <v>2272</v>
      </c>
      <c r="K244" s="21" t="s">
        <v>2272</v>
      </c>
      <c r="L244" s="21" t="s">
        <v>2272</v>
      </c>
      <c r="M244" s="21" t="s">
        <v>2272</v>
      </c>
      <c r="N244" s="21" t="s">
        <v>2272</v>
      </c>
      <c r="O244" s="21" t="s">
        <v>2272</v>
      </c>
      <c r="P244" s="21" t="s">
        <v>2272</v>
      </c>
      <c r="Q244" s="21" t="s">
        <v>2272</v>
      </c>
      <c r="R244" s="21" t="s">
        <v>2272</v>
      </c>
      <c r="S244" s="21" t="s">
        <v>2272</v>
      </c>
      <c r="T244" s="21" t="s">
        <v>2272</v>
      </c>
      <c r="U244" s="21" t="s">
        <v>2272</v>
      </c>
      <c r="V244" s="21" t="s">
        <v>2272</v>
      </c>
      <c r="W244" s="21" t="s">
        <v>2272</v>
      </c>
      <c r="X244" s="21" t="s">
        <v>2272</v>
      </c>
      <c r="Y244" s="21" t="s">
        <v>2272</v>
      </c>
      <c r="Z244" s="21">
        <v>13</v>
      </c>
      <c r="AA244" s="198" t="s">
        <v>423</v>
      </c>
      <c r="AB244" s="198" t="s">
        <v>67</v>
      </c>
      <c r="AC244" s="198" t="s">
        <v>2272</v>
      </c>
      <c r="AD244" s="4" t="s">
        <v>1474</v>
      </c>
      <c r="AE244" s="4" t="s">
        <v>1475</v>
      </c>
    </row>
    <row r="245" spans="1:31" ht="67.5" customHeight="1">
      <c r="A245" s="198" t="s">
        <v>425</v>
      </c>
      <c r="B245" s="198" t="s">
        <v>426</v>
      </c>
      <c r="C245" s="198" t="s">
        <v>23</v>
      </c>
      <c r="D245" s="198" t="s">
        <v>26</v>
      </c>
      <c r="E245" s="4" t="s">
        <v>128</v>
      </c>
      <c r="F245" s="4" t="s">
        <v>159</v>
      </c>
      <c r="G245" s="198" t="s">
        <v>2272</v>
      </c>
      <c r="H245" s="198" t="s">
        <v>521</v>
      </c>
      <c r="I245" s="198"/>
      <c r="J245" s="21" t="s">
        <v>2272</v>
      </c>
      <c r="K245" s="21" t="s">
        <v>2272</v>
      </c>
      <c r="L245" s="21" t="s">
        <v>2272</v>
      </c>
      <c r="M245" s="21" t="s">
        <v>2272</v>
      </c>
      <c r="N245" s="21" t="s">
        <v>2272</v>
      </c>
      <c r="O245" s="21" t="s">
        <v>2272</v>
      </c>
      <c r="P245" s="21" t="s">
        <v>2272</v>
      </c>
      <c r="Q245" s="21" t="s">
        <v>2272</v>
      </c>
      <c r="R245" s="21" t="s">
        <v>2272</v>
      </c>
      <c r="S245" s="21" t="s">
        <v>2272</v>
      </c>
      <c r="T245" s="21" t="s">
        <v>2272</v>
      </c>
      <c r="U245" s="21" t="s">
        <v>2272</v>
      </c>
      <c r="V245" s="21" t="s">
        <v>2272</v>
      </c>
      <c r="W245" s="21" t="s">
        <v>2272</v>
      </c>
      <c r="X245" s="21" t="s">
        <v>2272</v>
      </c>
      <c r="Y245" s="21" t="s">
        <v>2272</v>
      </c>
      <c r="Z245" s="21">
        <v>26</v>
      </c>
      <c r="AA245" s="198" t="s">
        <v>423</v>
      </c>
      <c r="AB245" s="198" t="s">
        <v>67</v>
      </c>
      <c r="AC245" s="198" t="s">
        <v>2272</v>
      </c>
      <c r="AD245" s="4" t="s">
        <v>424</v>
      </c>
      <c r="AE245" s="4" t="s">
        <v>1476</v>
      </c>
    </row>
    <row r="246" spans="1:31" ht="67" customHeight="1">
      <c r="A246" s="198" t="s">
        <v>428</v>
      </c>
      <c r="B246" s="198" t="s">
        <v>430</v>
      </c>
      <c r="C246" s="198" t="s">
        <v>23</v>
      </c>
      <c r="D246" s="198" t="s">
        <v>26</v>
      </c>
      <c r="E246" s="4" t="s">
        <v>128</v>
      </c>
      <c r="F246" s="4" t="s">
        <v>27</v>
      </c>
      <c r="G246" s="198" t="s">
        <v>2272</v>
      </c>
      <c r="H246" s="198" t="s">
        <v>521</v>
      </c>
      <c r="I246" s="198"/>
      <c r="J246" s="21" t="s">
        <v>2272</v>
      </c>
      <c r="K246" s="21" t="s">
        <v>2272</v>
      </c>
      <c r="L246" s="21" t="s">
        <v>2272</v>
      </c>
      <c r="M246" s="21" t="s">
        <v>2272</v>
      </c>
      <c r="N246" s="21" t="s">
        <v>2272</v>
      </c>
      <c r="O246" s="21" t="s">
        <v>2272</v>
      </c>
      <c r="P246" s="21" t="s">
        <v>2272</v>
      </c>
      <c r="Q246" s="21" t="s">
        <v>2272</v>
      </c>
      <c r="R246" s="21" t="s">
        <v>2272</v>
      </c>
      <c r="S246" s="21" t="s">
        <v>2272</v>
      </c>
      <c r="T246" s="21" t="s">
        <v>2272</v>
      </c>
      <c r="U246" s="21" t="s">
        <v>2272</v>
      </c>
      <c r="V246" s="21" t="s">
        <v>2272</v>
      </c>
      <c r="W246" s="21" t="s">
        <v>2272</v>
      </c>
      <c r="X246" s="21" t="s">
        <v>2272</v>
      </c>
      <c r="Y246" s="21" t="s">
        <v>2272</v>
      </c>
      <c r="Z246" s="21">
        <v>1</v>
      </c>
      <c r="AA246" s="198" t="s">
        <v>2272</v>
      </c>
      <c r="AB246" s="198" t="s">
        <v>2272</v>
      </c>
      <c r="AC246" s="198" t="s">
        <v>2272</v>
      </c>
      <c r="AD246" s="4" t="s">
        <v>432</v>
      </c>
      <c r="AE246" s="4" t="s">
        <v>433</v>
      </c>
    </row>
    <row r="247" spans="1:31" ht="63.5" customHeight="1">
      <c r="A247" s="198" t="s">
        <v>428</v>
      </c>
      <c r="B247" s="198" t="s">
        <v>431</v>
      </c>
      <c r="C247" s="198" t="s">
        <v>23</v>
      </c>
      <c r="D247" s="198" t="s">
        <v>26</v>
      </c>
      <c r="E247" s="4" t="s">
        <v>128</v>
      </c>
      <c r="F247" s="4" t="s">
        <v>159</v>
      </c>
      <c r="G247" s="198" t="s">
        <v>2272</v>
      </c>
      <c r="H247" s="198" t="s">
        <v>521</v>
      </c>
      <c r="I247" s="198"/>
      <c r="J247" s="21" t="s">
        <v>2272</v>
      </c>
      <c r="K247" s="21" t="s">
        <v>2272</v>
      </c>
      <c r="L247" s="21" t="s">
        <v>2272</v>
      </c>
      <c r="M247" s="21" t="s">
        <v>2272</v>
      </c>
      <c r="N247" s="21" t="s">
        <v>2272</v>
      </c>
      <c r="O247" s="21" t="s">
        <v>2272</v>
      </c>
      <c r="P247" s="21" t="s">
        <v>2272</v>
      </c>
      <c r="Q247" s="21" t="s">
        <v>2272</v>
      </c>
      <c r="R247" s="21" t="s">
        <v>2272</v>
      </c>
      <c r="S247" s="21" t="s">
        <v>2272</v>
      </c>
      <c r="T247" s="21" t="s">
        <v>2272</v>
      </c>
      <c r="U247" s="21" t="s">
        <v>2272</v>
      </c>
      <c r="V247" s="21" t="s">
        <v>2272</v>
      </c>
      <c r="W247" s="21" t="s">
        <v>2272</v>
      </c>
      <c r="X247" s="21" t="s">
        <v>2272</v>
      </c>
      <c r="Y247" s="21" t="s">
        <v>2272</v>
      </c>
      <c r="Z247" s="21">
        <v>20</v>
      </c>
      <c r="AA247" s="198" t="s">
        <v>2272</v>
      </c>
      <c r="AB247" s="198" t="s">
        <v>2272</v>
      </c>
      <c r="AC247" s="198" t="s">
        <v>2272</v>
      </c>
      <c r="AD247" s="4" t="s">
        <v>435</v>
      </c>
      <c r="AE247" s="4" t="s">
        <v>5008</v>
      </c>
    </row>
    <row r="248" spans="1:31" ht="60" customHeight="1">
      <c r="A248" s="198" t="s">
        <v>436</v>
      </c>
      <c r="B248" s="198" t="s">
        <v>440</v>
      </c>
      <c r="C248" s="198" t="s">
        <v>23</v>
      </c>
      <c r="D248" s="198" t="s">
        <v>26</v>
      </c>
      <c r="E248" s="4" t="s">
        <v>128</v>
      </c>
      <c r="F248" s="4" t="s">
        <v>159</v>
      </c>
      <c r="G248" s="198" t="s">
        <v>2272</v>
      </c>
      <c r="H248" s="198" t="s">
        <v>521</v>
      </c>
      <c r="I248" s="198"/>
      <c r="J248" s="21" t="s">
        <v>2272</v>
      </c>
      <c r="K248" s="21" t="s">
        <v>2272</v>
      </c>
      <c r="L248" s="21" t="s">
        <v>2272</v>
      </c>
      <c r="M248" s="21" t="s">
        <v>2272</v>
      </c>
      <c r="N248" s="21" t="s">
        <v>2272</v>
      </c>
      <c r="O248" s="21" t="s">
        <v>2272</v>
      </c>
      <c r="P248" s="21" t="s">
        <v>2272</v>
      </c>
      <c r="Q248" s="21" t="s">
        <v>2272</v>
      </c>
      <c r="R248" s="21" t="s">
        <v>2272</v>
      </c>
      <c r="S248" s="21" t="s">
        <v>2272</v>
      </c>
      <c r="T248" s="21" t="s">
        <v>2272</v>
      </c>
      <c r="U248" s="21" t="s">
        <v>2272</v>
      </c>
      <c r="V248" s="21" t="s">
        <v>2272</v>
      </c>
      <c r="W248" s="21" t="s">
        <v>2272</v>
      </c>
      <c r="X248" s="21" t="s">
        <v>2272</v>
      </c>
      <c r="Y248" s="21" t="s">
        <v>2272</v>
      </c>
      <c r="Z248" s="21">
        <v>11</v>
      </c>
      <c r="AA248" s="198" t="s">
        <v>67</v>
      </c>
      <c r="AB248" s="198" t="s">
        <v>67</v>
      </c>
      <c r="AC248" s="198" t="s">
        <v>2272</v>
      </c>
      <c r="AD248" s="198"/>
      <c r="AE248" s="4" t="s">
        <v>1477</v>
      </c>
    </row>
    <row r="249" spans="1:31" ht="69.5" customHeight="1">
      <c r="A249" s="198" t="s">
        <v>444</v>
      </c>
      <c r="B249" s="198" t="s">
        <v>445</v>
      </c>
      <c r="C249" s="198" t="s">
        <v>23</v>
      </c>
      <c r="D249" s="198" t="s">
        <v>26</v>
      </c>
      <c r="E249" s="4" t="s">
        <v>394</v>
      </c>
      <c r="F249" s="4" t="s">
        <v>27</v>
      </c>
      <c r="G249" s="198" t="s">
        <v>2272</v>
      </c>
      <c r="H249" s="198" t="s">
        <v>522</v>
      </c>
      <c r="I249" s="198"/>
      <c r="J249" s="21">
        <v>0</v>
      </c>
      <c r="K249" s="21">
        <v>0</v>
      </c>
      <c r="L249" s="21">
        <v>0</v>
      </c>
      <c r="M249" s="21">
        <v>0</v>
      </c>
      <c r="N249" s="21">
        <v>0</v>
      </c>
      <c r="O249" s="21">
        <v>0</v>
      </c>
      <c r="P249" s="21">
        <v>0</v>
      </c>
      <c r="Q249" s="21">
        <v>0</v>
      </c>
      <c r="R249" s="21" t="s">
        <v>2272</v>
      </c>
      <c r="S249" s="21" t="s">
        <v>2272</v>
      </c>
      <c r="T249" s="21">
        <v>0</v>
      </c>
      <c r="U249" s="21">
        <v>0</v>
      </c>
      <c r="V249" s="21">
        <v>0</v>
      </c>
      <c r="W249" s="21">
        <v>0</v>
      </c>
      <c r="X249" s="21">
        <v>0</v>
      </c>
      <c r="Y249" s="21">
        <v>0</v>
      </c>
      <c r="Z249" s="21" t="s">
        <v>2272</v>
      </c>
      <c r="AA249" s="198" t="s">
        <v>2272</v>
      </c>
      <c r="AB249" s="198" t="s">
        <v>2272</v>
      </c>
      <c r="AC249" s="198" t="s">
        <v>2272</v>
      </c>
      <c r="AD249" s="4" t="s">
        <v>446</v>
      </c>
      <c r="AE249" s="4"/>
    </row>
    <row r="250" spans="1:31" ht="121.5" customHeight="1">
      <c r="A250" s="198" t="s">
        <v>444</v>
      </c>
      <c r="B250" s="198" t="s">
        <v>449</v>
      </c>
      <c r="C250" s="198" t="s">
        <v>23</v>
      </c>
      <c r="D250" s="198" t="s">
        <v>26</v>
      </c>
      <c r="E250" s="4" t="s">
        <v>128</v>
      </c>
      <c r="F250" s="4" t="s">
        <v>54</v>
      </c>
      <c r="G250" s="198" t="s">
        <v>2272</v>
      </c>
      <c r="H250" s="198" t="s">
        <v>522</v>
      </c>
      <c r="I250" s="198"/>
      <c r="J250" s="21">
        <v>0</v>
      </c>
      <c r="K250" s="21">
        <v>0</v>
      </c>
      <c r="L250" s="21">
        <v>0</v>
      </c>
      <c r="M250" s="21">
        <v>0</v>
      </c>
      <c r="N250" s="21">
        <v>0</v>
      </c>
      <c r="O250" s="21">
        <v>0</v>
      </c>
      <c r="P250" s="21">
        <v>0</v>
      </c>
      <c r="Q250" s="21">
        <v>0</v>
      </c>
      <c r="R250" s="21" t="s">
        <v>2272</v>
      </c>
      <c r="S250" s="21" t="s">
        <v>2272</v>
      </c>
      <c r="T250" s="21">
        <v>0</v>
      </c>
      <c r="U250" s="21">
        <v>0</v>
      </c>
      <c r="V250" s="21">
        <v>0</v>
      </c>
      <c r="W250" s="21">
        <v>0</v>
      </c>
      <c r="X250" s="21">
        <v>0</v>
      </c>
      <c r="Y250" s="21">
        <v>0</v>
      </c>
      <c r="Z250" s="21" t="s">
        <v>2272</v>
      </c>
      <c r="AA250" s="198" t="s">
        <v>2272</v>
      </c>
      <c r="AB250" s="198" t="s">
        <v>2272</v>
      </c>
      <c r="AC250" s="198" t="s">
        <v>2272</v>
      </c>
      <c r="AD250" s="4" t="s">
        <v>447</v>
      </c>
      <c r="AE250" s="4"/>
    </row>
    <row r="251" spans="1:31" ht="101" customHeight="1">
      <c r="A251" s="198" t="s">
        <v>444</v>
      </c>
      <c r="B251" s="198" t="s">
        <v>450</v>
      </c>
      <c r="C251" s="198" t="s">
        <v>23</v>
      </c>
      <c r="D251" s="198" t="s">
        <v>26</v>
      </c>
      <c r="E251" s="4" t="s">
        <v>128</v>
      </c>
      <c r="F251" s="4" t="s">
        <v>2657</v>
      </c>
      <c r="G251" s="198" t="s">
        <v>2272</v>
      </c>
      <c r="H251" s="4" t="s">
        <v>521</v>
      </c>
      <c r="I251" s="198"/>
      <c r="J251" s="21" t="s">
        <v>2272</v>
      </c>
      <c r="K251" s="21" t="s">
        <v>2272</v>
      </c>
      <c r="L251" s="21" t="s">
        <v>2272</v>
      </c>
      <c r="M251" s="21" t="s">
        <v>2272</v>
      </c>
      <c r="N251" s="21" t="s">
        <v>2272</v>
      </c>
      <c r="O251" s="21" t="s">
        <v>2272</v>
      </c>
      <c r="P251" s="21" t="s">
        <v>2272</v>
      </c>
      <c r="Q251" s="21" t="s">
        <v>2272</v>
      </c>
      <c r="R251" s="21" t="s">
        <v>2272</v>
      </c>
      <c r="S251" s="21" t="s">
        <v>2272</v>
      </c>
      <c r="T251" s="21" t="s">
        <v>2272</v>
      </c>
      <c r="U251" s="21" t="s">
        <v>2272</v>
      </c>
      <c r="V251" s="21" t="s">
        <v>2272</v>
      </c>
      <c r="W251" s="21" t="s">
        <v>2272</v>
      </c>
      <c r="X251" s="21" t="s">
        <v>2272</v>
      </c>
      <c r="Y251" s="21" t="s">
        <v>2272</v>
      </c>
      <c r="Z251" s="21" t="s">
        <v>2272</v>
      </c>
      <c r="AA251" s="198" t="s">
        <v>2272</v>
      </c>
      <c r="AB251" s="198" t="s">
        <v>2272</v>
      </c>
      <c r="AC251" s="198" t="s">
        <v>2272</v>
      </c>
      <c r="AD251" s="4" t="s">
        <v>1480</v>
      </c>
      <c r="AE251" s="4" t="s">
        <v>448</v>
      </c>
    </row>
    <row r="252" spans="1:31" ht="95" customHeight="1">
      <c r="A252" s="198" t="s">
        <v>452</v>
      </c>
      <c r="B252" s="198" t="s">
        <v>459</v>
      </c>
      <c r="C252" s="198" t="s">
        <v>23</v>
      </c>
      <c r="D252" s="198" t="s">
        <v>26</v>
      </c>
      <c r="E252" s="4" t="s">
        <v>394</v>
      </c>
      <c r="F252" s="4" t="s">
        <v>27</v>
      </c>
      <c r="G252" s="198" t="s">
        <v>2272</v>
      </c>
      <c r="H252" s="198" t="s">
        <v>522</v>
      </c>
      <c r="I252" s="198"/>
      <c r="J252" s="21">
        <v>0</v>
      </c>
      <c r="K252" s="21">
        <v>0</v>
      </c>
      <c r="L252" s="21">
        <v>0</v>
      </c>
      <c r="M252" s="21">
        <v>0</v>
      </c>
      <c r="N252" s="21">
        <v>0</v>
      </c>
      <c r="O252" s="21">
        <v>0</v>
      </c>
      <c r="P252" s="21">
        <v>0</v>
      </c>
      <c r="Q252" s="21">
        <v>0</v>
      </c>
      <c r="R252" s="21" t="s">
        <v>2272</v>
      </c>
      <c r="S252" s="21" t="s">
        <v>2272</v>
      </c>
      <c r="T252" s="21">
        <v>0</v>
      </c>
      <c r="U252" s="21">
        <v>0</v>
      </c>
      <c r="V252" s="21">
        <v>0</v>
      </c>
      <c r="W252" s="21">
        <v>0</v>
      </c>
      <c r="X252" s="21">
        <v>0</v>
      </c>
      <c r="Y252" s="21">
        <v>0</v>
      </c>
      <c r="Z252" s="21" t="s">
        <v>2272</v>
      </c>
      <c r="AA252" s="198" t="s">
        <v>2272</v>
      </c>
      <c r="AB252" s="198" t="s">
        <v>2272</v>
      </c>
      <c r="AC252" s="198" t="s">
        <v>2272</v>
      </c>
      <c r="AD252" s="4" t="s">
        <v>460</v>
      </c>
      <c r="AE252" s="198"/>
    </row>
    <row r="253" spans="1:31" ht="66" customHeight="1">
      <c r="A253" s="198" t="s">
        <v>453</v>
      </c>
      <c r="B253" s="198" t="s">
        <v>461</v>
      </c>
      <c r="C253" s="198" t="s">
        <v>23</v>
      </c>
      <c r="D253" s="198" t="s">
        <v>26</v>
      </c>
      <c r="E253" s="4" t="s">
        <v>394</v>
      </c>
      <c r="F253" s="4" t="s">
        <v>27</v>
      </c>
      <c r="G253" s="198" t="s">
        <v>2272</v>
      </c>
      <c r="H253" s="198" t="s">
        <v>522</v>
      </c>
      <c r="I253" s="198"/>
      <c r="J253" s="21">
        <v>0</v>
      </c>
      <c r="K253" s="21">
        <v>0</v>
      </c>
      <c r="L253" s="21">
        <v>0</v>
      </c>
      <c r="M253" s="21">
        <v>0</v>
      </c>
      <c r="N253" s="21">
        <v>0</v>
      </c>
      <c r="O253" s="21">
        <v>0</v>
      </c>
      <c r="P253" s="21">
        <v>0</v>
      </c>
      <c r="Q253" s="21">
        <v>0</v>
      </c>
      <c r="R253" s="21" t="s">
        <v>2272</v>
      </c>
      <c r="S253" s="21" t="s">
        <v>2272</v>
      </c>
      <c r="T253" s="21">
        <v>0</v>
      </c>
      <c r="U253" s="21">
        <v>0</v>
      </c>
      <c r="V253" s="21">
        <v>0</v>
      </c>
      <c r="W253" s="21">
        <v>0</v>
      </c>
      <c r="X253" s="21">
        <v>0</v>
      </c>
      <c r="Y253" s="21">
        <v>0</v>
      </c>
      <c r="Z253" s="21" t="s">
        <v>2272</v>
      </c>
      <c r="AA253" s="198" t="s">
        <v>2272</v>
      </c>
      <c r="AB253" s="198" t="s">
        <v>2272</v>
      </c>
      <c r="AC253" s="198" t="s">
        <v>2272</v>
      </c>
      <c r="AD253" s="4" t="s">
        <v>460</v>
      </c>
      <c r="AE253" s="198"/>
    </row>
    <row r="254" spans="1:31" ht="79.5" customHeight="1">
      <c r="A254" s="198" t="s">
        <v>453</v>
      </c>
      <c r="B254" s="198" t="s">
        <v>1481</v>
      </c>
      <c r="C254" s="198" t="s">
        <v>23</v>
      </c>
      <c r="D254" s="198" t="s">
        <v>26</v>
      </c>
      <c r="E254" s="4" t="s">
        <v>128</v>
      </c>
      <c r="F254" s="4" t="s">
        <v>54</v>
      </c>
      <c r="G254" s="198" t="s">
        <v>2272</v>
      </c>
      <c r="H254" s="198" t="s">
        <v>522</v>
      </c>
      <c r="I254" s="198"/>
      <c r="J254" s="21">
        <v>0</v>
      </c>
      <c r="K254" s="21">
        <v>0</v>
      </c>
      <c r="L254" s="21">
        <v>0</v>
      </c>
      <c r="M254" s="21">
        <v>0</v>
      </c>
      <c r="N254" s="21">
        <v>0</v>
      </c>
      <c r="O254" s="21">
        <v>0</v>
      </c>
      <c r="P254" s="21">
        <v>0</v>
      </c>
      <c r="Q254" s="21">
        <v>0</v>
      </c>
      <c r="R254" s="21" t="s">
        <v>2272</v>
      </c>
      <c r="S254" s="21" t="s">
        <v>2272</v>
      </c>
      <c r="T254" s="21">
        <v>0</v>
      </c>
      <c r="U254" s="21">
        <v>0</v>
      </c>
      <c r="V254" s="21">
        <v>0</v>
      </c>
      <c r="W254" s="21">
        <v>0</v>
      </c>
      <c r="X254" s="21">
        <v>0</v>
      </c>
      <c r="Y254" s="21">
        <v>0</v>
      </c>
      <c r="Z254" s="21" t="s">
        <v>2272</v>
      </c>
      <c r="AA254" s="198" t="s">
        <v>2272</v>
      </c>
      <c r="AB254" s="198" t="s">
        <v>2272</v>
      </c>
      <c r="AC254" s="198" t="s">
        <v>2272</v>
      </c>
      <c r="AD254" s="4" t="s">
        <v>462</v>
      </c>
      <c r="AE254" s="198"/>
    </row>
    <row r="255" spans="1:31" ht="97.5" customHeight="1">
      <c r="A255" s="198" t="s">
        <v>464</v>
      </c>
      <c r="B255" s="198" t="s">
        <v>474</v>
      </c>
      <c r="C255" s="198" t="s">
        <v>23</v>
      </c>
      <c r="D255" s="198" t="s">
        <v>26</v>
      </c>
      <c r="E255" s="4" t="s">
        <v>395</v>
      </c>
      <c r="F255" s="4" t="s">
        <v>27</v>
      </c>
      <c r="G255" s="198" t="s">
        <v>2272</v>
      </c>
      <c r="H255" s="198" t="s">
        <v>522</v>
      </c>
      <c r="I255" s="198">
        <v>2010</v>
      </c>
      <c r="J255" s="21">
        <v>0</v>
      </c>
      <c r="K255" s="21">
        <v>0</v>
      </c>
      <c r="L255" s="21">
        <v>0</v>
      </c>
      <c r="M255" s="21">
        <v>0</v>
      </c>
      <c r="N255" s="21">
        <v>0</v>
      </c>
      <c r="O255" s="21">
        <v>0</v>
      </c>
      <c r="P255" s="21">
        <v>0</v>
      </c>
      <c r="Q255" s="21">
        <v>0</v>
      </c>
      <c r="R255" s="21" t="s">
        <v>2272</v>
      </c>
      <c r="S255" s="21" t="s">
        <v>2272</v>
      </c>
      <c r="T255" s="21">
        <v>0</v>
      </c>
      <c r="U255" s="21">
        <v>0</v>
      </c>
      <c r="V255" s="21">
        <v>0</v>
      </c>
      <c r="W255" s="21">
        <v>0</v>
      </c>
      <c r="X255" s="21">
        <v>0</v>
      </c>
      <c r="Y255" s="21">
        <v>0</v>
      </c>
      <c r="Z255" s="21" t="s">
        <v>2272</v>
      </c>
      <c r="AA255" s="198" t="s">
        <v>2272</v>
      </c>
      <c r="AB255" s="198" t="s">
        <v>2272</v>
      </c>
      <c r="AC255" s="198" t="s">
        <v>2272</v>
      </c>
      <c r="AD255" s="4" t="s">
        <v>477</v>
      </c>
      <c r="AE255" s="198"/>
    </row>
    <row r="256" spans="1:31" ht="93.5" customHeight="1">
      <c r="A256" s="198" t="s">
        <v>464</v>
      </c>
      <c r="B256" s="198" t="s">
        <v>475</v>
      </c>
      <c r="C256" s="198" t="s">
        <v>23</v>
      </c>
      <c r="D256" s="198" t="s">
        <v>26</v>
      </c>
      <c r="E256" s="4" t="s">
        <v>128</v>
      </c>
      <c r="F256" s="4" t="s">
        <v>2657</v>
      </c>
      <c r="G256" s="198" t="s">
        <v>2272</v>
      </c>
      <c r="H256" s="198" t="s">
        <v>522</v>
      </c>
      <c r="I256" s="198">
        <v>2010</v>
      </c>
      <c r="J256" s="21">
        <v>0</v>
      </c>
      <c r="K256" s="21">
        <v>0</v>
      </c>
      <c r="L256" s="21">
        <v>0</v>
      </c>
      <c r="M256" s="21">
        <v>0</v>
      </c>
      <c r="N256" s="21">
        <v>0</v>
      </c>
      <c r="O256" s="21">
        <v>0</v>
      </c>
      <c r="P256" s="21">
        <v>0</v>
      </c>
      <c r="Q256" s="21">
        <v>0</v>
      </c>
      <c r="R256" s="21" t="s">
        <v>2272</v>
      </c>
      <c r="S256" s="21" t="s">
        <v>2272</v>
      </c>
      <c r="T256" s="21">
        <v>0</v>
      </c>
      <c r="U256" s="21">
        <v>0</v>
      </c>
      <c r="V256" s="21">
        <v>0</v>
      </c>
      <c r="W256" s="21">
        <v>0</v>
      </c>
      <c r="X256" s="21">
        <v>0</v>
      </c>
      <c r="Y256" s="21">
        <v>0</v>
      </c>
      <c r="Z256" s="21" t="s">
        <v>2272</v>
      </c>
      <c r="AA256" s="198" t="s">
        <v>2272</v>
      </c>
      <c r="AB256" s="198" t="s">
        <v>2272</v>
      </c>
      <c r="AC256" s="198" t="s">
        <v>2272</v>
      </c>
      <c r="AD256" s="4" t="s">
        <v>476</v>
      </c>
      <c r="AE256" s="198"/>
    </row>
    <row r="257" spans="1:31" ht="87.5" customHeight="1">
      <c r="A257" s="32" t="s">
        <v>465</v>
      </c>
      <c r="B257" s="32" t="s">
        <v>478</v>
      </c>
      <c r="C257" s="198" t="s">
        <v>23</v>
      </c>
      <c r="D257" s="198" t="s">
        <v>26</v>
      </c>
      <c r="E257" s="4" t="s">
        <v>395</v>
      </c>
      <c r="F257" s="4" t="s">
        <v>27</v>
      </c>
      <c r="G257" s="198" t="s">
        <v>2272</v>
      </c>
      <c r="H257" s="198" t="s">
        <v>522</v>
      </c>
      <c r="I257" s="198">
        <v>2010</v>
      </c>
      <c r="J257" s="21">
        <v>0</v>
      </c>
      <c r="K257" s="21">
        <v>0</v>
      </c>
      <c r="L257" s="21">
        <v>0</v>
      </c>
      <c r="M257" s="21">
        <v>0</v>
      </c>
      <c r="N257" s="21">
        <v>0</v>
      </c>
      <c r="O257" s="21">
        <v>0</v>
      </c>
      <c r="P257" s="21">
        <v>0</v>
      </c>
      <c r="Q257" s="21">
        <v>0</v>
      </c>
      <c r="R257" s="21" t="s">
        <v>2272</v>
      </c>
      <c r="S257" s="21" t="s">
        <v>2272</v>
      </c>
      <c r="T257" s="21">
        <v>0</v>
      </c>
      <c r="U257" s="21">
        <v>0</v>
      </c>
      <c r="V257" s="21">
        <v>0</v>
      </c>
      <c r="W257" s="21">
        <v>0</v>
      </c>
      <c r="X257" s="21">
        <v>0</v>
      </c>
      <c r="Y257" s="21">
        <v>0</v>
      </c>
      <c r="Z257" s="21" t="s">
        <v>2272</v>
      </c>
      <c r="AA257" s="198" t="s">
        <v>2272</v>
      </c>
      <c r="AB257" s="198" t="s">
        <v>2272</v>
      </c>
      <c r="AC257" s="198" t="s">
        <v>2272</v>
      </c>
      <c r="AD257" s="198"/>
      <c r="AE257" s="198"/>
    </row>
    <row r="258" spans="1:31" ht="83.5" customHeight="1">
      <c r="A258" s="35" t="s">
        <v>465</v>
      </c>
      <c r="B258" s="35" t="s">
        <v>479</v>
      </c>
      <c r="C258" s="35" t="s">
        <v>23</v>
      </c>
      <c r="D258" s="35" t="s">
        <v>26</v>
      </c>
      <c r="E258" s="163" t="s">
        <v>128</v>
      </c>
      <c r="F258" s="163" t="s">
        <v>54</v>
      </c>
      <c r="G258" s="198" t="s">
        <v>2272</v>
      </c>
      <c r="H258" s="198" t="s">
        <v>522</v>
      </c>
      <c r="I258" s="198">
        <v>2010</v>
      </c>
      <c r="J258" s="21">
        <v>0</v>
      </c>
      <c r="K258" s="21">
        <v>0</v>
      </c>
      <c r="L258" s="21">
        <v>0</v>
      </c>
      <c r="M258" s="21">
        <v>0</v>
      </c>
      <c r="N258" s="21">
        <v>0</v>
      </c>
      <c r="O258" s="21">
        <v>0</v>
      </c>
      <c r="P258" s="21">
        <v>0</v>
      </c>
      <c r="Q258" s="21">
        <v>0</v>
      </c>
      <c r="R258" s="21" t="s">
        <v>2272</v>
      </c>
      <c r="S258" s="21" t="s">
        <v>2272</v>
      </c>
      <c r="T258" s="21">
        <v>0</v>
      </c>
      <c r="U258" s="21">
        <v>0</v>
      </c>
      <c r="V258" s="21">
        <v>0</v>
      </c>
      <c r="W258" s="21">
        <v>0</v>
      </c>
      <c r="X258" s="21">
        <v>0</v>
      </c>
      <c r="Y258" s="21">
        <v>0</v>
      </c>
      <c r="Z258" s="21" t="s">
        <v>2272</v>
      </c>
      <c r="AA258" s="198" t="s">
        <v>2272</v>
      </c>
      <c r="AB258" s="198" t="s">
        <v>2272</v>
      </c>
      <c r="AC258" s="198" t="s">
        <v>2272</v>
      </c>
      <c r="AD258" s="4" t="s">
        <v>462</v>
      </c>
      <c r="AE258" s="198"/>
    </row>
    <row r="259" spans="1:31" ht="66" customHeight="1">
      <c r="A259" s="198" t="s">
        <v>465</v>
      </c>
      <c r="B259" s="198" t="s">
        <v>480</v>
      </c>
      <c r="C259" s="198" t="s">
        <v>23</v>
      </c>
      <c r="D259" s="198" t="s">
        <v>26</v>
      </c>
      <c r="E259" s="4" t="s">
        <v>128</v>
      </c>
      <c r="F259" s="4" t="s">
        <v>159</v>
      </c>
      <c r="G259" s="198" t="s">
        <v>2272</v>
      </c>
      <c r="H259" s="4" t="s">
        <v>521</v>
      </c>
      <c r="I259" s="198">
        <v>2010</v>
      </c>
      <c r="J259" s="21" t="s">
        <v>2272</v>
      </c>
      <c r="K259" s="21" t="s">
        <v>2272</v>
      </c>
      <c r="L259" s="21" t="s">
        <v>2272</v>
      </c>
      <c r="M259" s="21" t="s">
        <v>2272</v>
      </c>
      <c r="N259" s="21" t="s">
        <v>2272</v>
      </c>
      <c r="O259" s="21" t="s">
        <v>2272</v>
      </c>
      <c r="P259" s="21" t="s">
        <v>2272</v>
      </c>
      <c r="Q259" s="21" t="s">
        <v>2272</v>
      </c>
      <c r="R259" s="21" t="s">
        <v>2272</v>
      </c>
      <c r="S259" s="21" t="s">
        <v>2272</v>
      </c>
      <c r="T259" s="21" t="s">
        <v>2272</v>
      </c>
      <c r="U259" s="21" t="s">
        <v>2272</v>
      </c>
      <c r="V259" s="21" t="s">
        <v>2272</v>
      </c>
      <c r="W259" s="21" t="s">
        <v>2272</v>
      </c>
      <c r="X259" s="21" t="s">
        <v>2272</v>
      </c>
      <c r="Y259" s="21" t="s">
        <v>2272</v>
      </c>
      <c r="Z259" s="21">
        <v>7</v>
      </c>
      <c r="AA259" s="198" t="s">
        <v>67</v>
      </c>
      <c r="AB259" s="198" t="s">
        <v>34</v>
      </c>
      <c r="AC259" s="198" t="s">
        <v>63</v>
      </c>
      <c r="AD259" s="4" t="s">
        <v>481</v>
      </c>
      <c r="AE259" s="4" t="s">
        <v>2407</v>
      </c>
    </row>
    <row r="260" spans="1:31" ht="68.5" customHeight="1">
      <c r="A260" s="198" t="s">
        <v>466</v>
      </c>
      <c r="B260" s="32" t="s">
        <v>482</v>
      </c>
      <c r="C260" s="198" t="s">
        <v>23</v>
      </c>
      <c r="D260" s="198" t="s">
        <v>26</v>
      </c>
      <c r="E260" s="4" t="s">
        <v>395</v>
      </c>
      <c r="F260" s="4" t="s">
        <v>27</v>
      </c>
      <c r="G260" s="198" t="s">
        <v>2272</v>
      </c>
      <c r="H260" s="198" t="s">
        <v>522</v>
      </c>
      <c r="I260" s="198">
        <v>2010</v>
      </c>
      <c r="J260" s="21">
        <v>0</v>
      </c>
      <c r="K260" s="21">
        <v>0</v>
      </c>
      <c r="L260" s="21">
        <v>0</v>
      </c>
      <c r="M260" s="21">
        <v>0</v>
      </c>
      <c r="N260" s="21">
        <v>0</v>
      </c>
      <c r="O260" s="21">
        <v>0</v>
      </c>
      <c r="P260" s="21">
        <v>0</v>
      </c>
      <c r="Q260" s="21">
        <v>0</v>
      </c>
      <c r="R260" s="21" t="s">
        <v>2272</v>
      </c>
      <c r="S260" s="21" t="s">
        <v>2272</v>
      </c>
      <c r="T260" s="21">
        <v>0</v>
      </c>
      <c r="U260" s="21">
        <v>0</v>
      </c>
      <c r="V260" s="21">
        <v>0</v>
      </c>
      <c r="W260" s="21">
        <v>0</v>
      </c>
      <c r="X260" s="21">
        <v>0</v>
      </c>
      <c r="Y260" s="21">
        <v>0</v>
      </c>
      <c r="Z260" s="21" t="s">
        <v>2272</v>
      </c>
      <c r="AA260" s="198" t="s">
        <v>2272</v>
      </c>
      <c r="AB260" s="198" t="s">
        <v>2272</v>
      </c>
      <c r="AC260" s="198" t="s">
        <v>2272</v>
      </c>
      <c r="AD260" s="198"/>
      <c r="AE260" s="4"/>
    </row>
    <row r="261" spans="1:31" ht="62.5" customHeight="1">
      <c r="A261" s="198" t="s">
        <v>466</v>
      </c>
      <c r="B261" s="35" t="s">
        <v>483</v>
      </c>
      <c r="C261" s="35" t="s">
        <v>23</v>
      </c>
      <c r="D261" s="35" t="s">
        <v>26</v>
      </c>
      <c r="E261" s="163" t="s">
        <v>128</v>
      </c>
      <c r="F261" s="163" t="s">
        <v>54</v>
      </c>
      <c r="G261" s="198" t="s">
        <v>2272</v>
      </c>
      <c r="H261" s="198" t="s">
        <v>522</v>
      </c>
      <c r="I261" s="198">
        <v>2010</v>
      </c>
      <c r="J261" s="21">
        <v>0</v>
      </c>
      <c r="K261" s="21">
        <v>0</v>
      </c>
      <c r="L261" s="21">
        <v>0</v>
      </c>
      <c r="M261" s="21">
        <v>0</v>
      </c>
      <c r="N261" s="21">
        <v>0</v>
      </c>
      <c r="O261" s="21">
        <v>0</v>
      </c>
      <c r="P261" s="21">
        <v>0</v>
      </c>
      <c r="Q261" s="21">
        <v>0</v>
      </c>
      <c r="R261" s="21" t="s">
        <v>2272</v>
      </c>
      <c r="S261" s="21" t="s">
        <v>2272</v>
      </c>
      <c r="T261" s="21">
        <v>0</v>
      </c>
      <c r="U261" s="21">
        <v>0</v>
      </c>
      <c r="V261" s="21">
        <v>0</v>
      </c>
      <c r="W261" s="21">
        <v>0</v>
      </c>
      <c r="X261" s="21">
        <v>0</v>
      </c>
      <c r="Y261" s="21">
        <v>0</v>
      </c>
      <c r="Z261" s="21" t="s">
        <v>2272</v>
      </c>
      <c r="AA261" s="198" t="s">
        <v>2272</v>
      </c>
      <c r="AB261" s="198" t="s">
        <v>2272</v>
      </c>
      <c r="AC261" s="198" t="s">
        <v>2272</v>
      </c>
      <c r="AD261" s="4" t="s">
        <v>462</v>
      </c>
      <c r="AE261" s="4"/>
    </row>
    <row r="262" spans="1:31" ht="65" customHeight="1">
      <c r="A262" s="198" t="s">
        <v>466</v>
      </c>
      <c r="B262" s="198" t="s">
        <v>484</v>
      </c>
      <c r="C262" s="198" t="s">
        <v>23</v>
      </c>
      <c r="D262" s="198" t="s">
        <v>26</v>
      </c>
      <c r="E262" s="4" t="s">
        <v>128</v>
      </c>
      <c r="F262" s="4" t="s">
        <v>159</v>
      </c>
      <c r="G262" s="198" t="s">
        <v>2272</v>
      </c>
      <c r="H262" s="4" t="s">
        <v>521</v>
      </c>
      <c r="I262" s="198">
        <v>2010</v>
      </c>
      <c r="J262" s="21" t="s">
        <v>2272</v>
      </c>
      <c r="K262" s="21" t="s">
        <v>2272</v>
      </c>
      <c r="L262" s="21" t="s">
        <v>2272</v>
      </c>
      <c r="M262" s="21" t="s">
        <v>2272</v>
      </c>
      <c r="N262" s="21" t="s">
        <v>2272</v>
      </c>
      <c r="O262" s="21" t="s">
        <v>2272</v>
      </c>
      <c r="P262" s="21" t="s">
        <v>2272</v>
      </c>
      <c r="Q262" s="21" t="s">
        <v>2272</v>
      </c>
      <c r="R262" s="21" t="s">
        <v>2272</v>
      </c>
      <c r="S262" s="21" t="s">
        <v>2272</v>
      </c>
      <c r="T262" s="21" t="s">
        <v>2272</v>
      </c>
      <c r="U262" s="21" t="s">
        <v>2272</v>
      </c>
      <c r="V262" s="21" t="s">
        <v>2272</v>
      </c>
      <c r="W262" s="21" t="s">
        <v>2272</v>
      </c>
      <c r="X262" s="21" t="s">
        <v>2272</v>
      </c>
      <c r="Y262" s="21" t="s">
        <v>2272</v>
      </c>
      <c r="Z262" s="21">
        <v>7</v>
      </c>
      <c r="AA262" s="198" t="s">
        <v>67</v>
      </c>
      <c r="AB262" s="198" t="s">
        <v>34</v>
      </c>
      <c r="AC262" s="198" t="s">
        <v>63</v>
      </c>
      <c r="AD262" s="4" t="s">
        <v>489</v>
      </c>
      <c r="AE262" s="4" t="s">
        <v>2407</v>
      </c>
    </row>
    <row r="263" spans="1:31" ht="60.5" customHeight="1">
      <c r="A263" s="198" t="s">
        <v>467</v>
      </c>
      <c r="B263" s="198" t="s">
        <v>485</v>
      </c>
      <c r="C263" s="198" t="s">
        <v>23</v>
      </c>
      <c r="D263" s="198" t="s">
        <v>26</v>
      </c>
      <c r="E263" s="4" t="s">
        <v>395</v>
      </c>
      <c r="F263" s="4" t="s">
        <v>27</v>
      </c>
      <c r="G263" s="198" t="s">
        <v>2272</v>
      </c>
      <c r="H263" s="198" t="s">
        <v>522</v>
      </c>
      <c r="I263" s="198">
        <v>2010</v>
      </c>
      <c r="J263" s="21">
        <v>0</v>
      </c>
      <c r="K263" s="21">
        <v>0</v>
      </c>
      <c r="L263" s="21">
        <v>0</v>
      </c>
      <c r="M263" s="21">
        <v>0</v>
      </c>
      <c r="N263" s="21">
        <v>0</v>
      </c>
      <c r="O263" s="21">
        <v>0</v>
      </c>
      <c r="P263" s="21">
        <v>0</v>
      </c>
      <c r="Q263" s="21">
        <v>0</v>
      </c>
      <c r="R263" s="21" t="s">
        <v>2272</v>
      </c>
      <c r="S263" s="21" t="s">
        <v>2272</v>
      </c>
      <c r="T263" s="21">
        <v>0</v>
      </c>
      <c r="U263" s="21">
        <v>0</v>
      </c>
      <c r="V263" s="21">
        <v>0</v>
      </c>
      <c r="W263" s="21">
        <v>0</v>
      </c>
      <c r="X263" s="21">
        <v>0</v>
      </c>
      <c r="Y263" s="21">
        <v>0</v>
      </c>
      <c r="Z263" s="21" t="s">
        <v>2272</v>
      </c>
      <c r="AA263" s="198" t="s">
        <v>2272</v>
      </c>
      <c r="AB263" s="198" t="s">
        <v>2272</v>
      </c>
      <c r="AC263" s="198" t="s">
        <v>2272</v>
      </c>
      <c r="AD263" s="198"/>
      <c r="AE263" s="4"/>
    </row>
    <row r="264" spans="1:31" ht="61" customHeight="1">
      <c r="A264" s="198" t="s">
        <v>467</v>
      </c>
      <c r="B264" s="198" t="s">
        <v>486</v>
      </c>
      <c r="C264" s="35" t="s">
        <v>23</v>
      </c>
      <c r="D264" s="35" t="s">
        <v>26</v>
      </c>
      <c r="E264" s="163" t="s">
        <v>128</v>
      </c>
      <c r="F264" s="163" t="s">
        <v>54</v>
      </c>
      <c r="G264" s="198" t="s">
        <v>2272</v>
      </c>
      <c r="H264" s="198" t="s">
        <v>522</v>
      </c>
      <c r="I264" s="198">
        <v>2010</v>
      </c>
      <c r="J264" s="69">
        <v>0</v>
      </c>
      <c r="K264" s="69">
        <v>0</v>
      </c>
      <c r="L264" s="69">
        <v>0</v>
      </c>
      <c r="M264" s="69">
        <v>0</v>
      </c>
      <c r="N264" s="69">
        <v>0</v>
      </c>
      <c r="O264" s="69">
        <v>0</v>
      </c>
      <c r="P264" s="69">
        <v>0</v>
      </c>
      <c r="Q264" s="69">
        <v>0</v>
      </c>
      <c r="R264" s="21" t="s">
        <v>2272</v>
      </c>
      <c r="S264" s="21" t="s">
        <v>2272</v>
      </c>
      <c r="T264" s="69">
        <v>0</v>
      </c>
      <c r="U264" s="69">
        <v>0</v>
      </c>
      <c r="V264" s="69">
        <v>0</v>
      </c>
      <c r="W264" s="69">
        <v>0</v>
      </c>
      <c r="X264" s="69">
        <v>0</v>
      </c>
      <c r="Y264" s="69">
        <v>0</v>
      </c>
      <c r="Z264" s="21" t="s">
        <v>2272</v>
      </c>
      <c r="AA264" s="198" t="s">
        <v>2272</v>
      </c>
      <c r="AB264" s="198" t="s">
        <v>2272</v>
      </c>
      <c r="AC264" s="198" t="s">
        <v>2272</v>
      </c>
      <c r="AD264" s="198"/>
      <c r="AE264" s="4"/>
    </row>
    <row r="265" spans="1:31" ht="101" customHeight="1">
      <c r="A265" s="198" t="s">
        <v>467</v>
      </c>
      <c r="B265" s="198" t="s">
        <v>487</v>
      </c>
      <c r="C265" s="198" t="s">
        <v>23</v>
      </c>
      <c r="D265" s="198" t="s">
        <v>26</v>
      </c>
      <c r="E265" s="4" t="s">
        <v>128</v>
      </c>
      <c r="F265" s="4" t="s">
        <v>159</v>
      </c>
      <c r="G265" s="198" t="s">
        <v>2272</v>
      </c>
      <c r="H265" s="4" t="s">
        <v>521</v>
      </c>
      <c r="I265" s="198">
        <v>2010</v>
      </c>
      <c r="J265" s="21" t="s">
        <v>2272</v>
      </c>
      <c r="K265" s="21" t="s">
        <v>2272</v>
      </c>
      <c r="L265" s="21" t="s">
        <v>2272</v>
      </c>
      <c r="M265" s="21" t="s">
        <v>2272</v>
      </c>
      <c r="N265" s="21" t="s">
        <v>2272</v>
      </c>
      <c r="O265" s="21" t="s">
        <v>2272</v>
      </c>
      <c r="P265" s="21" t="s">
        <v>2272</v>
      </c>
      <c r="Q265" s="21" t="s">
        <v>2272</v>
      </c>
      <c r="R265" s="21" t="s">
        <v>2272</v>
      </c>
      <c r="S265" s="21" t="s">
        <v>2272</v>
      </c>
      <c r="T265" s="21" t="s">
        <v>2272</v>
      </c>
      <c r="U265" s="21" t="s">
        <v>2272</v>
      </c>
      <c r="V265" s="21" t="s">
        <v>2272</v>
      </c>
      <c r="W265" s="21" t="s">
        <v>2272</v>
      </c>
      <c r="X265" s="21" t="s">
        <v>2272</v>
      </c>
      <c r="Y265" s="21" t="s">
        <v>2272</v>
      </c>
      <c r="Z265" s="21">
        <v>6</v>
      </c>
      <c r="AA265" s="198" t="s">
        <v>67</v>
      </c>
      <c r="AB265" s="198" t="s">
        <v>34</v>
      </c>
      <c r="AC265" s="198" t="s">
        <v>63</v>
      </c>
      <c r="AD265" s="4" t="s">
        <v>488</v>
      </c>
      <c r="AE265" s="4" t="s">
        <v>2407</v>
      </c>
    </row>
    <row r="266" spans="1:31" ht="44" customHeight="1">
      <c r="A266" s="198" t="s">
        <v>495</v>
      </c>
      <c r="B266" s="198" t="s">
        <v>498</v>
      </c>
      <c r="C266" s="198" t="s">
        <v>23</v>
      </c>
      <c r="D266" s="198" t="s">
        <v>26</v>
      </c>
      <c r="E266" s="4" t="s">
        <v>395</v>
      </c>
      <c r="F266" s="4" t="s">
        <v>27</v>
      </c>
      <c r="G266" s="198" t="s">
        <v>2272</v>
      </c>
      <c r="H266" s="198" t="s">
        <v>522</v>
      </c>
      <c r="I266" s="198">
        <v>1990</v>
      </c>
      <c r="J266" s="21">
        <v>0</v>
      </c>
      <c r="K266" s="21">
        <v>0</v>
      </c>
      <c r="L266" s="21">
        <v>0</v>
      </c>
      <c r="M266" s="21">
        <v>0</v>
      </c>
      <c r="N266" s="21">
        <v>0</v>
      </c>
      <c r="O266" s="21">
        <v>0</v>
      </c>
      <c r="P266" s="21">
        <v>0</v>
      </c>
      <c r="Q266" s="21">
        <v>0</v>
      </c>
      <c r="R266" s="21" t="s">
        <v>2272</v>
      </c>
      <c r="S266" s="21" t="s">
        <v>2272</v>
      </c>
      <c r="T266" s="21">
        <v>0</v>
      </c>
      <c r="U266" s="21">
        <v>0</v>
      </c>
      <c r="V266" s="21">
        <v>0</v>
      </c>
      <c r="W266" s="21">
        <v>0</v>
      </c>
      <c r="X266" s="21">
        <v>0</v>
      </c>
      <c r="Y266" s="21">
        <v>0</v>
      </c>
      <c r="Z266" s="21" t="s">
        <v>2272</v>
      </c>
      <c r="AA266" s="198" t="s">
        <v>2272</v>
      </c>
      <c r="AB266" s="198" t="s">
        <v>2272</v>
      </c>
      <c r="AC266" s="198" t="s">
        <v>2272</v>
      </c>
      <c r="AD266" s="198"/>
      <c r="AE266" s="4"/>
    </row>
    <row r="267" spans="1:31" ht="39.5" customHeight="1">
      <c r="A267" s="198" t="s">
        <v>495</v>
      </c>
      <c r="B267" s="198" t="s">
        <v>499</v>
      </c>
      <c r="C267" s="198" t="s">
        <v>23</v>
      </c>
      <c r="D267" s="198" t="s">
        <v>26</v>
      </c>
      <c r="E267" s="4" t="s">
        <v>128</v>
      </c>
      <c r="F267" s="4" t="s">
        <v>54</v>
      </c>
      <c r="G267" s="198" t="s">
        <v>2272</v>
      </c>
      <c r="H267" s="198" t="s">
        <v>522</v>
      </c>
      <c r="I267" s="198">
        <v>1990</v>
      </c>
      <c r="J267" s="21">
        <v>0</v>
      </c>
      <c r="K267" s="21">
        <v>0</v>
      </c>
      <c r="L267" s="21">
        <v>0</v>
      </c>
      <c r="M267" s="21">
        <v>0</v>
      </c>
      <c r="N267" s="21">
        <v>0</v>
      </c>
      <c r="O267" s="21">
        <v>0</v>
      </c>
      <c r="P267" s="21">
        <v>0</v>
      </c>
      <c r="Q267" s="21">
        <v>0</v>
      </c>
      <c r="R267" s="21" t="s">
        <v>2272</v>
      </c>
      <c r="S267" s="21" t="s">
        <v>2272</v>
      </c>
      <c r="T267" s="21">
        <v>0</v>
      </c>
      <c r="U267" s="21">
        <v>0</v>
      </c>
      <c r="V267" s="21">
        <v>0</v>
      </c>
      <c r="W267" s="21">
        <v>0</v>
      </c>
      <c r="X267" s="21">
        <v>0</v>
      </c>
      <c r="Y267" s="21">
        <v>0</v>
      </c>
      <c r="Z267" s="21" t="s">
        <v>2272</v>
      </c>
      <c r="AA267" s="198" t="s">
        <v>2272</v>
      </c>
      <c r="AB267" s="198" t="s">
        <v>2272</v>
      </c>
      <c r="AC267" s="198" t="s">
        <v>2272</v>
      </c>
      <c r="AD267" s="198"/>
      <c r="AE267" s="4"/>
    </row>
    <row r="268" spans="1:31" ht="47.5" customHeight="1">
      <c r="A268" s="198" t="s">
        <v>496</v>
      </c>
      <c r="B268" s="32" t="s">
        <v>500</v>
      </c>
      <c r="C268" s="198" t="s">
        <v>23</v>
      </c>
      <c r="D268" s="198" t="s">
        <v>26</v>
      </c>
      <c r="E268" s="4" t="s">
        <v>395</v>
      </c>
      <c r="F268" s="4" t="s">
        <v>27</v>
      </c>
      <c r="G268" s="198" t="s">
        <v>2272</v>
      </c>
      <c r="H268" s="198" t="s">
        <v>522</v>
      </c>
      <c r="I268" s="198">
        <v>1997</v>
      </c>
      <c r="J268" s="21">
        <v>0</v>
      </c>
      <c r="K268" s="21">
        <v>0</v>
      </c>
      <c r="L268" s="21">
        <v>0</v>
      </c>
      <c r="M268" s="21">
        <v>0</v>
      </c>
      <c r="N268" s="21">
        <v>0</v>
      </c>
      <c r="O268" s="21">
        <v>0</v>
      </c>
      <c r="P268" s="21">
        <v>0</v>
      </c>
      <c r="Q268" s="21">
        <v>0</v>
      </c>
      <c r="R268" s="21" t="s">
        <v>2272</v>
      </c>
      <c r="S268" s="21" t="s">
        <v>2272</v>
      </c>
      <c r="T268" s="21">
        <v>0</v>
      </c>
      <c r="U268" s="21">
        <v>0</v>
      </c>
      <c r="V268" s="21">
        <v>0</v>
      </c>
      <c r="W268" s="21">
        <v>0</v>
      </c>
      <c r="X268" s="21">
        <v>0</v>
      </c>
      <c r="Y268" s="21">
        <v>0</v>
      </c>
      <c r="Z268" s="21" t="s">
        <v>2272</v>
      </c>
      <c r="AA268" s="198" t="s">
        <v>2272</v>
      </c>
      <c r="AB268" s="198" t="s">
        <v>2272</v>
      </c>
      <c r="AC268" s="198" t="s">
        <v>2272</v>
      </c>
      <c r="AD268" s="198"/>
      <c r="AE268" s="4"/>
    </row>
    <row r="269" spans="1:31" ht="34.5" customHeight="1">
      <c r="A269" s="198" t="s">
        <v>496</v>
      </c>
      <c r="B269" s="35" t="s">
        <v>501</v>
      </c>
      <c r="C269" s="35" t="s">
        <v>23</v>
      </c>
      <c r="D269" s="35" t="s">
        <v>26</v>
      </c>
      <c r="E269" s="163" t="s">
        <v>128</v>
      </c>
      <c r="F269" s="163" t="s">
        <v>54</v>
      </c>
      <c r="G269" s="198" t="s">
        <v>2272</v>
      </c>
      <c r="H269" s="198" t="s">
        <v>522</v>
      </c>
      <c r="I269" s="198">
        <v>1997</v>
      </c>
      <c r="J269" s="69">
        <v>0</v>
      </c>
      <c r="K269" s="21">
        <v>0</v>
      </c>
      <c r="L269" s="69">
        <v>0</v>
      </c>
      <c r="M269" s="69">
        <v>0</v>
      </c>
      <c r="N269" s="69">
        <v>0</v>
      </c>
      <c r="O269" s="69">
        <v>0</v>
      </c>
      <c r="P269" s="69">
        <v>0</v>
      </c>
      <c r="Q269" s="69">
        <v>0</v>
      </c>
      <c r="R269" s="21" t="s">
        <v>2272</v>
      </c>
      <c r="S269" s="21" t="s">
        <v>2272</v>
      </c>
      <c r="T269" s="69">
        <v>0</v>
      </c>
      <c r="U269" s="69">
        <v>0</v>
      </c>
      <c r="V269" s="69">
        <v>0</v>
      </c>
      <c r="W269" s="69">
        <v>0</v>
      </c>
      <c r="X269" s="69">
        <v>0</v>
      </c>
      <c r="Y269" s="69">
        <v>0</v>
      </c>
      <c r="Z269" s="21" t="s">
        <v>2272</v>
      </c>
      <c r="AA269" s="198" t="s">
        <v>2272</v>
      </c>
      <c r="AB269" s="198" t="s">
        <v>2272</v>
      </c>
      <c r="AC269" s="198" t="s">
        <v>2272</v>
      </c>
      <c r="AD269" s="198"/>
      <c r="AE269" s="4"/>
    </row>
    <row r="270" spans="1:31" ht="52" customHeight="1">
      <c r="A270" s="198" t="s">
        <v>496</v>
      </c>
      <c r="B270" s="198" t="s">
        <v>502</v>
      </c>
      <c r="C270" s="198" t="s">
        <v>23</v>
      </c>
      <c r="D270" s="198" t="s">
        <v>26</v>
      </c>
      <c r="E270" s="4" t="s">
        <v>128</v>
      </c>
      <c r="F270" s="4" t="s">
        <v>159</v>
      </c>
      <c r="G270" s="198" t="s">
        <v>2272</v>
      </c>
      <c r="H270" s="4" t="s">
        <v>521</v>
      </c>
      <c r="I270" s="198">
        <v>1997</v>
      </c>
      <c r="J270" s="21" t="s">
        <v>2272</v>
      </c>
      <c r="K270" s="21" t="s">
        <v>2272</v>
      </c>
      <c r="L270" s="21" t="s">
        <v>2272</v>
      </c>
      <c r="M270" s="21" t="s">
        <v>2272</v>
      </c>
      <c r="N270" s="21" t="s">
        <v>2272</v>
      </c>
      <c r="O270" s="21" t="s">
        <v>2272</v>
      </c>
      <c r="P270" s="21" t="s">
        <v>2272</v>
      </c>
      <c r="Q270" s="21" t="s">
        <v>2272</v>
      </c>
      <c r="R270" s="21" t="s">
        <v>2272</v>
      </c>
      <c r="S270" s="21" t="s">
        <v>2272</v>
      </c>
      <c r="T270" s="21" t="s">
        <v>2272</v>
      </c>
      <c r="U270" s="21" t="s">
        <v>2272</v>
      </c>
      <c r="V270" s="21" t="s">
        <v>2272</v>
      </c>
      <c r="W270" s="21" t="s">
        <v>2272</v>
      </c>
      <c r="X270" s="21" t="s">
        <v>2272</v>
      </c>
      <c r="Y270" s="21" t="s">
        <v>2272</v>
      </c>
      <c r="Z270" s="21">
        <v>7</v>
      </c>
      <c r="AA270" s="198" t="s">
        <v>67</v>
      </c>
      <c r="AB270" s="198" t="s">
        <v>34</v>
      </c>
      <c r="AC270" s="198" t="s">
        <v>63</v>
      </c>
      <c r="AD270" s="198"/>
      <c r="AE270" s="4" t="s">
        <v>2407</v>
      </c>
    </row>
    <row r="271" spans="1:31" ht="41.5" customHeight="1">
      <c r="A271" s="198" t="s">
        <v>497</v>
      </c>
      <c r="B271" s="32" t="s">
        <v>503</v>
      </c>
      <c r="C271" s="198" t="s">
        <v>23</v>
      </c>
      <c r="D271" s="198" t="s">
        <v>26</v>
      </c>
      <c r="E271" s="4" t="s">
        <v>395</v>
      </c>
      <c r="F271" s="4" t="s">
        <v>27</v>
      </c>
      <c r="G271" s="198" t="s">
        <v>2272</v>
      </c>
      <c r="H271" s="198" t="s">
        <v>522</v>
      </c>
      <c r="I271" s="198">
        <v>1990</v>
      </c>
      <c r="J271" s="21">
        <v>0</v>
      </c>
      <c r="K271" s="69">
        <v>0</v>
      </c>
      <c r="L271" s="21">
        <v>0</v>
      </c>
      <c r="M271" s="21">
        <v>0</v>
      </c>
      <c r="N271" s="21">
        <v>0</v>
      </c>
      <c r="O271" s="21">
        <v>0</v>
      </c>
      <c r="P271" s="21">
        <v>0</v>
      </c>
      <c r="Q271" s="21">
        <v>0</v>
      </c>
      <c r="R271" s="21" t="s">
        <v>2272</v>
      </c>
      <c r="S271" s="21" t="s">
        <v>2272</v>
      </c>
      <c r="T271" s="21">
        <v>0</v>
      </c>
      <c r="U271" s="21">
        <v>0</v>
      </c>
      <c r="V271" s="21">
        <v>0</v>
      </c>
      <c r="W271" s="21">
        <v>0</v>
      </c>
      <c r="X271" s="21">
        <v>0</v>
      </c>
      <c r="Y271" s="21">
        <v>0</v>
      </c>
      <c r="Z271" s="21" t="s">
        <v>2272</v>
      </c>
      <c r="AA271" s="198" t="s">
        <v>2272</v>
      </c>
      <c r="AB271" s="198" t="s">
        <v>2272</v>
      </c>
      <c r="AC271" s="198" t="s">
        <v>2272</v>
      </c>
      <c r="AD271" s="198"/>
      <c r="AE271" s="4"/>
    </row>
    <row r="272" spans="1:31" ht="39.5" customHeight="1">
      <c r="A272" s="198" t="s">
        <v>497</v>
      </c>
      <c r="B272" s="35" t="s">
        <v>504</v>
      </c>
      <c r="C272" s="35" t="s">
        <v>23</v>
      </c>
      <c r="D272" s="35" t="s">
        <v>26</v>
      </c>
      <c r="E272" s="163" t="s">
        <v>128</v>
      </c>
      <c r="F272" s="163" t="s">
        <v>54</v>
      </c>
      <c r="G272" s="198" t="s">
        <v>2272</v>
      </c>
      <c r="H272" s="198" t="s">
        <v>522</v>
      </c>
      <c r="I272" s="198">
        <v>1990</v>
      </c>
      <c r="J272" s="69">
        <v>0</v>
      </c>
      <c r="K272" s="69">
        <v>0</v>
      </c>
      <c r="L272" s="69">
        <v>0</v>
      </c>
      <c r="M272" s="69">
        <v>0</v>
      </c>
      <c r="N272" s="69">
        <v>0</v>
      </c>
      <c r="O272" s="69">
        <v>0</v>
      </c>
      <c r="P272" s="69">
        <v>0</v>
      </c>
      <c r="Q272" s="69">
        <v>0</v>
      </c>
      <c r="R272" s="21" t="s">
        <v>2272</v>
      </c>
      <c r="S272" s="21" t="s">
        <v>2272</v>
      </c>
      <c r="T272" s="69">
        <v>0</v>
      </c>
      <c r="U272" s="69">
        <v>0</v>
      </c>
      <c r="V272" s="69">
        <v>0</v>
      </c>
      <c r="W272" s="69">
        <v>0</v>
      </c>
      <c r="X272" s="69">
        <v>0</v>
      </c>
      <c r="Y272" s="69">
        <v>0</v>
      </c>
      <c r="Z272" s="21" t="s">
        <v>2272</v>
      </c>
      <c r="AA272" s="198" t="s">
        <v>2272</v>
      </c>
      <c r="AB272" s="198" t="s">
        <v>2272</v>
      </c>
      <c r="AC272" s="198" t="s">
        <v>2272</v>
      </c>
      <c r="AD272" s="198"/>
      <c r="AE272" s="4"/>
    </row>
    <row r="273" spans="1:31" ht="59" customHeight="1">
      <c r="A273" s="198" t="s">
        <v>497</v>
      </c>
      <c r="B273" s="198" t="s">
        <v>505</v>
      </c>
      <c r="C273" s="198" t="s">
        <v>23</v>
      </c>
      <c r="D273" s="198" t="s">
        <v>26</v>
      </c>
      <c r="E273" s="4" t="s">
        <v>128</v>
      </c>
      <c r="F273" s="4" t="s">
        <v>159</v>
      </c>
      <c r="G273" s="198" t="s">
        <v>2272</v>
      </c>
      <c r="H273" s="4" t="s">
        <v>521</v>
      </c>
      <c r="I273" s="198">
        <v>1990</v>
      </c>
      <c r="J273" s="21" t="s">
        <v>2272</v>
      </c>
      <c r="K273" s="21" t="s">
        <v>2272</v>
      </c>
      <c r="L273" s="21" t="s">
        <v>2272</v>
      </c>
      <c r="M273" s="21" t="s">
        <v>2272</v>
      </c>
      <c r="N273" s="21" t="s">
        <v>2272</v>
      </c>
      <c r="O273" s="21" t="s">
        <v>2272</v>
      </c>
      <c r="P273" s="21" t="s">
        <v>2272</v>
      </c>
      <c r="Q273" s="21" t="s">
        <v>2272</v>
      </c>
      <c r="R273" s="21" t="s">
        <v>2272</v>
      </c>
      <c r="S273" s="21" t="s">
        <v>2272</v>
      </c>
      <c r="T273" s="21" t="s">
        <v>2272</v>
      </c>
      <c r="U273" s="21" t="s">
        <v>2272</v>
      </c>
      <c r="V273" s="21" t="s">
        <v>2272</v>
      </c>
      <c r="W273" s="21" t="s">
        <v>2272</v>
      </c>
      <c r="X273" s="21" t="s">
        <v>2272</v>
      </c>
      <c r="Y273" s="21" t="s">
        <v>2272</v>
      </c>
      <c r="Z273" s="21">
        <v>12</v>
      </c>
      <c r="AA273" s="198" t="s">
        <v>67</v>
      </c>
      <c r="AB273" s="198" t="s">
        <v>34</v>
      </c>
      <c r="AC273" s="198" t="s">
        <v>63</v>
      </c>
      <c r="AD273" s="198"/>
      <c r="AE273" s="4" t="s">
        <v>2407</v>
      </c>
    </row>
    <row r="274" spans="1:31" ht="154.5" customHeight="1">
      <c r="A274" s="198" t="s">
        <v>507</v>
      </c>
      <c r="B274" s="198" t="s">
        <v>2305</v>
      </c>
      <c r="C274" s="198" t="s">
        <v>23</v>
      </c>
      <c r="D274" s="198" t="s">
        <v>1241</v>
      </c>
      <c r="E274" s="4" t="s">
        <v>114</v>
      </c>
      <c r="F274" s="4" t="s">
        <v>159</v>
      </c>
      <c r="G274" s="198" t="s">
        <v>2272</v>
      </c>
      <c r="H274" s="4" t="s">
        <v>521</v>
      </c>
      <c r="I274" s="198"/>
      <c r="J274" s="21" t="s">
        <v>2272</v>
      </c>
      <c r="K274" s="21" t="s">
        <v>2272</v>
      </c>
      <c r="L274" s="21" t="s">
        <v>2272</v>
      </c>
      <c r="M274" s="21" t="s">
        <v>2272</v>
      </c>
      <c r="N274" s="21" t="s">
        <v>2272</v>
      </c>
      <c r="O274" s="21" t="s">
        <v>2272</v>
      </c>
      <c r="P274" s="21" t="s">
        <v>2272</v>
      </c>
      <c r="Q274" s="21" t="s">
        <v>2272</v>
      </c>
      <c r="R274" s="21" t="s">
        <v>2272</v>
      </c>
      <c r="S274" s="21" t="s">
        <v>2272</v>
      </c>
      <c r="T274" s="21" t="s">
        <v>2272</v>
      </c>
      <c r="U274" s="21" t="s">
        <v>2272</v>
      </c>
      <c r="V274" s="21" t="s">
        <v>2272</v>
      </c>
      <c r="W274" s="21" t="s">
        <v>2272</v>
      </c>
      <c r="X274" s="21" t="s">
        <v>2272</v>
      </c>
      <c r="Y274" s="21" t="s">
        <v>2272</v>
      </c>
      <c r="Z274" s="21" t="s">
        <v>2272</v>
      </c>
      <c r="AA274" s="198" t="s">
        <v>2272</v>
      </c>
      <c r="AB274" s="198" t="s">
        <v>2272</v>
      </c>
      <c r="AC274" s="198" t="s">
        <v>2308</v>
      </c>
      <c r="AD274" s="4" t="s">
        <v>2309</v>
      </c>
      <c r="AE274" s="4" t="s">
        <v>2319</v>
      </c>
    </row>
    <row r="275" spans="1:31" ht="138" customHeight="1">
      <c r="A275" s="198" t="s">
        <v>507</v>
      </c>
      <c r="B275" s="198" t="s">
        <v>2306</v>
      </c>
      <c r="C275" s="198" t="s">
        <v>23</v>
      </c>
      <c r="D275" s="198" t="s">
        <v>1241</v>
      </c>
      <c r="E275" s="4" t="s">
        <v>114</v>
      </c>
      <c r="F275" s="4" t="s">
        <v>73</v>
      </c>
      <c r="G275" s="198" t="s">
        <v>2272</v>
      </c>
      <c r="H275" s="4" t="s">
        <v>521</v>
      </c>
      <c r="I275" s="198"/>
      <c r="J275" s="21" t="s">
        <v>2272</v>
      </c>
      <c r="K275" s="21" t="s">
        <v>2272</v>
      </c>
      <c r="L275" s="21" t="s">
        <v>2272</v>
      </c>
      <c r="M275" s="21" t="s">
        <v>2272</v>
      </c>
      <c r="N275" s="21" t="s">
        <v>2272</v>
      </c>
      <c r="O275" s="21" t="s">
        <v>2272</v>
      </c>
      <c r="P275" s="21" t="s">
        <v>2272</v>
      </c>
      <c r="Q275" s="21" t="s">
        <v>2272</v>
      </c>
      <c r="R275" s="21" t="s">
        <v>2272</v>
      </c>
      <c r="S275" s="21" t="s">
        <v>2272</v>
      </c>
      <c r="T275" s="21" t="s">
        <v>2272</v>
      </c>
      <c r="U275" s="21" t="s">
        <v>2272</v>
      </c>
      <c r="V275" s="21" t="s">
        <v>2272</v>
      </c>
      <c r="W275" s="21" t="s">
        <v>2272</v>
      </c>
      <c r="X275" s="21" t="s">
        <v>2272</v>
      </c>
      <c r="Y275" s="21" t="s">
        <v>2272</v>
      </c>
      <c r="Z275" s="21" t="s">
        <v>2272</v>
      </c>
      <c r="AA275" s="198" t="s">
        <v>2272</v>
      </c>
      <c r="AB275" s="198" t="s">
        <v>2272</v>
      </c>
      <c r="AC275" s="198" t="s">
        <v>2308</v>
      </c>
      <c r="AD275" s="4" t="s">
        <v>2309</v>
      </c>
      <c r="AE275" s="4" t="s">
        <v>2320</v>
      </c>
    </row>
    <row r="276" spans="1:31" ht="108" customHeight="1">
      <c r="A276" s="198" t="s">
        <v>507</v>
      </c>
      <c r="B276" s="198" t="s">
        <v>2307</v>
      </c>
      <c r="C276" s="198" t="s">
        <v>23</v>
      </c>
      <c r="D276" s="198" t="s">
        <v>141</v>
      </c>
      <c r="E276" s="4" t="s">
        <v>1102</v>
      </c>
      <c r="F276" s="4" t="s">
        <v>73</v>
      </c>
      <c r="G276" s="198" t="s">
        <v>2272</v>
      </c>
      <c r="H276" s="4" t="s">
        <v>522</v>
      </c>
      <c r="I276" s="198"/>
      <c r="J276" s="21">
        <v>0</v>
      </c>
      <c r="K276" s="21">
        <v>0</v>
      </c>
      <c r="L276" s="21">
        <v>0</v>
      </c>
      <c r="M276" s="21">
        <v>0</v>
      </c>
      <c r="N276" s="21">
        <v>0</v>
      </c>
      <c r="O276" s="21">
        <v>0</v>
      </c>
      <c r="P276" s="21">
        <v>0</v>
      </c>
      <c r="Q276" s="21">
        <v>0</v>
      </c>
      <c r="R276" s="21" t="s">
        <v>2272</v>
      </c>
      <c r="S276" s="21" t="s">
        <v>2272</v>
      </c>
      <c r="T276" s="21">
        <v>0</v>
      </c>
      <c r="U276" s="21">
        <v>0</v>
      </c>
      <c r="V276" s="21">
        <v>0</v>
      </c>
      <c r="W276" s="21">
        <v>0</v>
      </c>
      <c r="X276" s="21">
        <v>0</v>
      </c>
      <c r="Y276" s="21">
        <v>0</v>
      </c>
      <c r="Z276" s="198" t="s">
        <v>2272</v>
      </c>
      <c r="AA276" s="198" t="s">
        <v>2272</v>
      </c>
      <c r="AB276" s="198" t="s">
        <v>2272</v>
      </c>
      <c r="AC276" s="198"/>
      <c r="AD276" s="4" t="s">
        <v>2310</v>
      </c>
      <c r="AE276" s="4"/>
    </row>
    <row r="277" spans="1:31" ht="147" customHeight="1">
      <c r="A277" s="198" t="s">
        <v>2311</v>
      </c>
      <c r="B277" s="198" t="s">
        <v>2313</v>
      </c>
      <c r="C277" s="198" t="s">
        <v>23</v>
      </c>
      <c r="D277" s="198" t="s">
        <v>2301</v>
      </c>
      <c r="E277" s="4" t="s">
        <v>114</v>
      </c>
      <c r="F277" s="4" t="s">
        <v>159</v>
      </c>
      <c r="G277" s="198" t="s">
        <v>2272</v>
      </c>
      <c r="H277" s="4" t="s">
        <v>521</v>
      </c>
      <c r="I277" s="198"/>
      <c r="J277" s="21" t="s">
        <v>2272</v>
      </c>
      <c r="K277" s="21" t="s">
        <v>2272</v>
      </c>
      <c r="L277" s="21" t="s">
        <v>2272</v>
      </c>
      <c r="M277" s="21" t="s">
        <v>2272</v>
      </c>
      <c r="N277" s="21" t="s">
        <v>2272</v>
      </c>
      <c r="O277" s="21" t="s">
        <v>2272</v>
      </c>
      <c r="P277" s="21" t="s">
        <v>2272</v>
      </c>
      <c r="Q277" s="21" t="s">
        <v>2272</v>
      </c>
      <c r="R277" s="21" t="s">
        <v>2272</v>
      </c>
      <c r="S277" s="21" t="s">
        <v>2272</v>
      </c>
      <c r="T277" s="21" t="s">
        <v>2272</v>
      </c>
      <c r="U277" s="21" t="s">
        <v>2272</v>
      </c>
      <c r="V277" s="21" t="s">
        <v>2272</v>
      </c>
      <c r="W277" s="21" t="s">
        <v>2272</v>
      </c>
      <c r="X277" s="21" t="s">
        <v>2272</v>
      </c>
      <c r="Y277" s="21" t="s">
        <v>2272</v>
      </c>
      <c r="Z277" s="21" t="s">
        <v>2272</v>
      </c>
      <c r="AA277" s="198" t="s">
        <v>2272</v>
      </c>
      <c r="AB277" s="198" t="s">
        <v>2272</v>
      </c>
      <c r="AC277" s="198" t="s">
        <v>2308</v>
      </c>
      <c r="AD277" s="4" t="s">
        <v>2309</v>
      </c>
      <c r="AE277" s="4" t="s">
        <v>2321</v>
      </c>
    </row>
    <row r="278" spans="1:31" ht="138" customHeight="1">
      <c r="A278" s="198" t="s">
        <v>2311</v>
      </c>
      <c r="B278" s="198" t="s">
        <v>2314</v>
      </c>
      <c r="C278" s="198" t="s">
        <v>23</v>
      </c>
      <c r="D278" s="198" t="s">
        <v>2301</v>
      </c>
      <c r="E278" s="4" t="s">
        <v>114</v>
      </c>
      <c r="F278" s="4" t="s">
        <v>73</v>
      </c>
      <c r="G278" s="198" t="s">
        <v>2272</v>
      </c>
      <c r="H278" s="4" t="s">
        <v>521</v>
      </c>
      <c r="I278" s="198"/>
      <c r="J278" s="21" t="s">
        <v>2272</v>
      </c>
      <c r="K278" s="21" t="s">
        <v>2272</v>
      </c>
      <c r="L278" s="21" t="s">
        <v>2272</v>
      </c>
      <c r="M278" s="21" t="s">
        <v>2272</v>
      </c>
      <c r="N278" s="21" t="s">
        <v>2272</v>
      </c>
      <c r="O278" s="21" t="s">
        <v>2272</v>
      </c>
      <c r="P278" s="21" t="s">
        <v>2272</v>
      </c>
      <c r="Q278" s="21" t="s">
        <v>2272</v>
      </c>
      <c r="R278" s="21" t="s">
        <v>2272</v>
      </c>
      <c r="S278" s="21" t="s">
        <v>2272</v>
      </c>
      <c r="T278" s="21" t="s">
        <v>2272</v>
      </c>
      <c r="U278" s="21" t="s">
        <v>2272</v>
      </c>
      <c r="V278" s="21" t="s">
        <v>2272</v>
      </c>
      <c r="W278" s="21" t="s">
        <v>2272</v>
      </c>
      <c r="X278" s="21" t="s">
        <v>2272</v>
      </c>
      <c r="Y278" s="21" t="s">
        <v>2272</v>
      </c>
      <c r="Z278" s="21" t="s">
        <v>2272</v>
      </c>
      <c r="AA278" s="198" t="s">
        <v>2272</v>
      </c>
      <c r="AB278" s="198" t="s">
        <v>2272</v>
      </c>
      <c r="AC278" s="198" t="s">
        <v>2308</v>
      </c>
      <c r="AD278" s="4" t="s">
        <v>2309</v>
      </c>
      <c r="AE278" s="4" t="s">
        <v>2322</v>
      </c>
    </row>
    <row r="279" spans="1:31" ht="138" customHeight="1">
      <c r="A279" s="198" t="s">
        <v>2311</v>
      </c>
      <c r="B279" s="198" t="s">
        <v>2315</v>
      </c>
      <c r="C279" s="198" t="s">
        <v>23</v>
      </c>
      <c r="D279" s="198" t="s">
        <v>141</v>
      </c>
      <c r="E279" s="4" t="s">
        <v>1102</v>
      </c>
      <c r="F279" s="4" t="s">
        <v>73</v>
      </c>
      <c r="G279" s="198" t="s">
        <v>2272</v>
      </c>
      <c r="H279" s="4" t="s">
        <v>522</v>
      </c>
      <c r="I279" s="198"/>
      <c r="J279" s="21">
        <v>0</v>
      </c>
      <c r="K279" s="21">
        <v>0</v>
      </c>
      <c r="L279" s="21">
        <v>0</v>
      </c>
      <c r="M279" s="21">
        <v>0</v>
      </c>
      <c r="N279" s="21">
        <v>0</v>
      </c>
      <c r="O279" s="21">
        <v>0</v>
      </c>
      <c r="P279" s="21">
        <v>0</v>
      </c>
      <c r="Q279" s="21">
        <v>0</v>
      </c>
      <c r="R279" s="21" t="s">
        <v>2272</v>
      </c>
      <c r="S279" s="21" t="s">
        <v>2272</v>
      </c>
      <c r="T279" s="21">
        <v>0</v>
      </c>
      <c r="U279" s="21">
        <v>0</v>
      </c>
      <c r="V279" s="21">
        <v>0</v>
      </c>
      <c r="W279" s="21">
        <v>0</v>
      </c>
      <c r="X279" s="21">
        <v>0</v>
      </c>
      <c r="Y279" s="21">
        <v>0</v>
      </c>
      <c r="Z279" s="198" t="s">
        <v>2272</v>
      </c>
      <c r="AA279" s="198" t="s">
        <v>2272</v>
      </c>
      <c r="AB279" s="198" t="s">
        <v>2272</v>
      </c>
      <c r="AC279" s="198"/>
      <c r="AD279" s="4" t="s">
        <v>2310</v>
      </c>
      <c r="AE279" s="4"/>
    </row>
    <row r="280" spans="1:31" ht="152" customHeight="1">
      <c r="A280" s="198" t="s">
        <v>2312</v>
      </c>
      <c r="B280" s="198" t="s">
        <v>2316</v>
      </c>
      <c r="C280" s="198" t="s">
        <v>23</v>
      </c>
      <c r="D280" s="198" t="s">
        <v>2301</v>
      </c>
      <c r="E280" s="4" t="s">
        <v>114</v>
      </c>
      <c r="F280" s="4" t="s">
        <v>159</v>
      </c>
      <c r="G280" s="198" t="s">
        <v>2272</v>
      </c>
      <c r="H280" s="4" t="s">
        <v>521</v>
      </c>
      <c r="I280" s="198"/>
      <c r="J280" s="21" t="s">
        <v>2272</v>
      </c>
      <c r="K280" s="21" t="s">
        <v>2272</v>
      </c>
      <c r="L280" s="21" t="s">
        <v>2272</v>
      </c>
      <c r="M280" s="21" t="s">
        <v>2272</v>
      </c>
      <c r="N280" s="21" t="s">
        <v>2272</v>
      </c>
      <c r="O280" s="21" t="s">
        <v>2272</v>
      </c>
      <c r="P280" s="21" t="s">
        <v>2272</v>
      </c>
      <c r="Q280" s="21" t="s">
        <v>2272</v>
      </c>
      <c r="R280" s="21" t="s">
        <v>2272</v>
      </c>
      <c r="S280" s="21" t="s">
        <v>2272</v>
      </c>
      <c r="T280" s="21" t="s">
        <v>2272</v>
      </c>
      <c r="U280" s="21" t="s">
        <v>2272</v>
      </c>
      <c r="V280" s="21" t="s">
        <v>2272</v>
      </c>
      <c r="W280" s="21" t="s">
        <v>2272</v>
      </c>
      <c r="X280" s="21" t="s">
        <v>2272</v>
      </c>
      <c r="Y280" s="21" t="s">
        <v>2272</v>
      </c>
      <c r="Z280" s="21" t="s">
        <v>2272</v>
      </c>
      <c r="AA280" s="198" t="s">
        <v>2272</v>
      </c>
      <c r="AB280" s="198" t="s">
        <v>2272</v>
      </c>
      <c r="AC280" s="198" t="s">
        <v>2308</v>
      </c>
      <c r="AD280" s="4" t="s">
        <v>2309</v>
      </c>
      <c r="AE280" s="4" t="s">
        <v>2323</v>
      </c>
    </row>
    <row r="281" spans="1:31" ht="138" customHeight="1">
      <c r="A281" s="198" t="s">
        <v>2312</v>
      </c>
      <c r="B281" s="198" t="s">
        <v>2317</v>
      </c>
      <c r="C281" s="198" t="s">
        <v>23</v>
      </c>
      <c r="D281" s="198" t="s">
        <v>2301</v>
      </c>
      <c r="E281" s="4" t="s">
        <v>114</v>
      </c>
      <c r="F281" s="4" t="s">
        <v>73</v>
      </c>
      <c r="G281" s="198" t="s">
        <v>2272</v>
      </c>
      <c r="H281" s="4" t="s">
        <v>521</v>
      </c>
      <c r="I281" s="198"/>
      <c r="J281" s="21" t="s">
        <v>2272</v>
      </c>
      <c r="K281" s="21" t="s">
        <v>2272</v>
      </c>
      <c r="L281" s="21" t="s">
        <v>2272</v>
      </c>
      <c r="M281" s="21" t="s">
        <v>2272</v>
      </c>
      <c r="N281" s="21" t="s">
        <v>2272</v>
      </c>
      <c r="O281" s="21" t="s">
        <v>2272</v>
      </c>
      <c r="P281" s="21" t="s">
        <v>2272</v>
      </c>
      <c r="Q281" s="21" t="s">
        <v>2272</v>
      </c>
      <c r="R281" s="21" t="s">
        <v>2272</v>
      </c>
      <c r="S281" s="21" t="s">
        <v>2272</v>
      </c>
      <c r="T281" s="21" t="s">
        <v>2272</v>
      </c>
      <c r="U281" s="21" t="s">
        <v>2272</v>
      </c>
      <c r="V281" s="21" t="s">
        <v>2272</v>
      </c>
      <c r="W281" s="21" t="s">
        <v>2272</v>
      </c>
      <c r="X281" s="21" t="s">
        <v>2272</v>
      </c>
      <c r="Y281" s="21" t="s">
        <v>2272</v>
      </c>
      <c r="Z281" s="21" t="s">
        <v>2272</v>
      </c>
      <c r="AA281" s="198" t="s">
        <v>2272</v>
      </c>
      <c r="AB281" s="198" t="s">
        <v>2272</v>
      </c>
      <c r="AC281" s="198" t="s">
        <v>2308</v>
      </c>
      <c r="AD281" s="4" t="s">
        <v>2309</v>
      </c>
      <c r="AE281" s="4" t="s">
        <v>5009</v>
      </c>
    </row>
    <row r="282" spans="1:31" ht="138" customHeight="1">
      <c r="A282" s="198" t="s">
        <v>2312</v>
      </c>
      <c r="B282" s="198" t="s">
        <v>2318</v>
      </c>
      <c r="C282" s="198" t="s">
        <v>23</v>
      </c>
      <c r="D282" s="198" t="s">
        <v>141</v>
      </c>
      <c r="E282" s="4" t="s">
        <v>1102</v>
      </c>
      <c r="F282" s="4" t="s">
        <v>73</v>
      </c>
      <c r="G282" s="198" t="s">
        <v>2272</v>
      </c>
      <c r="H282" s="4" t="s">
        <v>522</v>
      </c>
      <c r="I282" s="198"/>
      <c r="J282" s="21">
        <v>0</v>
      </c>
      <c r="K282" s="21">
        <v>0</v>
      </c>
      <c r="L282" s="21">
        <v>0</v>
      </c>
      <c r="M282" s="21">
        <v>0</v>
      </c>
      <c r="N282" s="21">
        <v>0</v>
      </c>
      <c r="O282" s="21">
        <v>0</v>
      </c>
      <c r="P282" s="21">
        <v>0</v>
      </c>
      <c r="Q282" s="21">
        <v>0</v>
      </c>
      <c r="R282" s="21" t="s">
        <v>2272</v>
      </c>
      <c r="S282" s="21" t="s">
        <v>2272</v>
      </c>
      <c r="T282" s="21">
        <v>0</v>
      </c>
      <c r="U282" s="21">
        <v>0</v>
      </c>
      <c r="V282" s="21">
        <v>0</v>
      </c>
      <c r="W282" s="21">
        <v>0</v>
      </c>
      <c r="X282" s="21">
        <v>0</v>
      </c>
      <c r="Y282" s="21">
        <v>0</v>
      </c>
      <c r="Z282" s="198" t="s">
        <v>2272</v>
      </c>
      <c r="AA282" s="198" t="s">
        <v>2272</v>
      </c>
      <c r="AB282" s="198" t="s">
        <v>2272</v>
      </c>
      <c r="AC282" s="198"/>
      <c r="AD282" s="4" t="s">
        <v>2310</v>
      </c>
      <c r="AE282" s="4"/>
    </row>
    <row r="283" spans="1:31" ht="75" customHeight="1">
      <c r="A283" s="198" t="s">
        <v>508</v>
      </c>
      <c r="B283" s="198" t="s">
        <v>512</v>
      </c>
      <c r="C283" s="198" t="s">
        <v>23</v>
      </c>
      <c r="D283" s="198" t="s">
        <v>26</v>
      </c>
      <c r="E283" s="4" t="s">
        <v>128</v>
      </c>
      <c r="F283" s="4" t="s">
        <v>159</v>
      </c>
      <c r="G283" s="198" t="s">
        <v>2272</v>
      </c>
      <c r="H283" s="4" t="s">
        <v>521</v>
      </c>
      <c r="I283" s="198"/>
      <c r="J283" s="21" t="s">
        <v>2272</v>
      </c>
      <c r="K283" s="21" t="s">
        <v>2272</v>
      </c>
      <c r="L283" s="21" t="s">
        <v>2272</v>
      </c>
      <c r="M283" s="21" t="s">
        <v>2272</v>
      </c>
      <c r="N283" s="21" t="s">
        <v>2272</v>
      </c>
      <c r="O283" s="21" t="s">
        <v>2272</v>
      </c>
      <c r="P283" s="21" t="s">
        <v>2272</v>
      </c>
      <c r="Q283" s="21" t="s">
        <v>2272</v>
      </c>
      <c r="R283" s="21" t="s">
        <v>2272</v>
      </c>
      <c r="S283" s="21" t="s">
        <v>2272</v>
      </c>
      <c r="T283" s="21" t="s">
        <v>2272</v>
      </c>
      <c r="U283" s="21" t="s">
        <v>2272</v>
      </c>
      <c r="V283" s="21" t="s">
        <v>2272</v>
      </c>
      <c r="W283" s="21" t="s">
        <v>2272</v>
      </c>
      <c r="X283" s="21" t="s">
        <v>2272</v>
      </c>
      <c r="Y283" s="21" t="s">
        <v>2272</v>
      </c>
      <c r="Z283" s="21">
        <v>8</v>
      </c>
      <c r="AA283" s="198" t="s">
        <v>2272</v>
      </c>
      <c r="AB283" s="198" t="s">
        <v>2272</v>
      </c>
      <c r="AC283" s="198" t="s">
        <v>2272</v>
      </c>
      <c r="AD283" s="4" t="s">
        <v>513</v>
      </c>
      <c r="AE283" s="4" t="s">
        <v>1490</v>
      </c>
    </row>
    <row r="284" spans="1:31" ht="109.5" customHeight="1">
      <c r="A284" s="198" t="s">
        <v>508</v>
      </c>
      <c r="B284" s="198" t="s">
        <v>515</v>
      </c>
      <c r="C284" s="198" t="s">
        <v>23</v>
      </c>
      <c r="D284" s="198" t="s">
        <v>26</v>
      </c>
      <c r="E284" s="4" t="s">
        <v>128</v>
      </c>
      <c r="F284" s="4" t="s">
        <v>27</v>
      </c>
      <c r="G284" s="198" t="s">
        <v>2272</v>
      </c>
      <c r="H284" s="4" t="s">
        <v>521</v>
      </c>
      <c r="I284" s="198"/>
      <c r="J284" s="21" t="s">
        <v>2272</v>
      </c>
      <c r="K284" s="21" t="s">
        <v>2272</v>
      </c>
      <c r="L284" s="21" t="s">
        <v>2272</v>
      </c>
      <c r="M284" s="21" t="s">
        <v>2272</v>
      </c>
      <c r="N284" s="21" t="s">
        <v>2272</v>
      </c>
      <c r="O284" s="21" t="s">
        <v>2272</v>
      </c>
      <c r="P284" s="21" t="s">
        <v>2272</v>
      </c>
      <c r="Q284" s="21" t="s">
        <v>2272</v>
      </c>
      <c r="R284" s="21" t="s">
        <v>2272</v>
      </c>
      <c r="S284" s="21" t="s">
        <v>2272</v>
      </c>
      <c r="T284" s="21" t="s">
        <v>2272</v>
      </c>
      <c r="U284" s="21" t="s">
        <v>2272</v>
      </c>
      <c r="V284" s="21" t="s">
        <v>2272</v>
      </c>
      <c r="W284" s="21" t="s">
        <v>2272</v>
      </c>
      <c r="X284" s="21" t="s">
        <v>2272</v>
      </c>
      <c r="Y284" s="21" t="s">
        <v>2272</v>
      </c>
      <c r="Z284" s="21">
        <v>1</v>
      </c>
      <c r="AA284" s="198" t="s">
        <v>2272</v>
      </c>
      <c r="AB284" s="198" t="s">
        <v>2272</v>
      </c>
      <c r="AC284" s="198" t="s">
        <v>2272</v>
      </c>
      <c r="AD284" s="18" t="s">
        <v>514</v>
      </c>
      <c r="AE284" s="198"/>
    </row>
    <row r="285" spans="1:31" ht="79.5" customHeight="1">
      <c r="A285" s="198" t="s">
        <v>508</v>
      </c>
      <c r="B285" s="198" t="s">
        <v>516</v>
      </c>
      <c r="C285" s="198" t="s">
        <v>23</v>
      </c>
      <c r="D285" s="198" t="s">
        <v>26</v>
      </c>
      <c r="E285" s="4" t="s">
        <v>395</v>
      </c>
      <c r="F285" s="4" t="s">
        <v>27</v>
      </c>
      <c r="G285" s="198" t="s">
        <v>2272</v>
      </c>
      <c r="H285" s="4" t="s">
        <v>522</v>
      </c>
      <c r="I285" s="198"/>
      <c r="J285" s="21">
        <v>0</v>
      </c>
      <c r="K285" s="21">
        <v>0</v>
      </c>
      <c r="L285" s="21">
        <v>0</v>
      </c>
      <c r="M285" s="21">
        <v>0</v>
      </c>
      <c r="N285" s="21">
        <v>0</v>
      </c>
      <c r="O285" s="21">
        <v>0</v>
      </c>
      <c r="P285" s="21">
        <v>0</v>
      </c>
      <c r="Q285" s="21">
        <v>0</v>
      </c>
      <c r="R285" s="21" t="s">
        <v>2272</v>
      </c>
      <c r="S285" s="21" t="s">
        <v>2272</v>
      </c>
      <c r="T285" s="21">
        <v>0</v>
      </c>
      <c r="U285" s="21">
        <v>0</v>
      </c>
      <c r="V285" s="21">
        <v>0</v>
      </c>
      <c r="W285" s="21">
        <v>0</v>
      </c>
      <c r="X285" s="21">
        <v>0</v>
      </c>
      <c r="Y285" s="21">
        <v>0</v>
      </c>
      <c r="Z285" s="21" t="s">
        <v>2272</v>
      </c>
      <c r="AA285" s="198" t="s">
        <v>2272</v>
      </c>
      <c r="AB285" s="198" t="s">
        <v>2272</v>
      </c>
      <c r="AC285" s="198" t="s">
        <v>2272</v>
      </c>
      <c r="AD285" s="18" t="s">
        <v>517</v>
      </c>
      <c r="AE285" s="198"/>
    </row>
    <row r="286" spans="1:31" ht="135" customHeight="1">
      <c r="A286" s="198" t="s">
        <v>518</v>
      </c>
      <c r="B286" s="198" t="s">
        <v>536</v>
      </c>
      <c r="C286" s="198" t="s">
        <v>23</v>
      </c>
      <c r="D286" s="198" t="s">
        <v>141</v>
      </c>
      <c r="E286" s="4" t="s">
        <v>128</v>
      </c>
      <c r="F286" s="4" t="s">
        <v>73</v>
      </c>
      <c r="G286" s="198" t="s">
        <v>2272</v>
      </c>
      <c r="H286" s="4" t="s">
        <v>521</v>
      </c>
      <c r="I286" s="198"/>
      <c r="J286" s="21" t="s">
        <v>2272</v>
      </c>
      <c r="K286" s="21" t="s">
        <v>2272</v>
      </c>
      <c r="L286" s="21" t="s">
        <v>2272</v>
      </c>
      <c r="M286" s="21" t="s">
        <v>2272</v>
      </c>
      <c r="N286" s="21" t="s">
        <v>2272</v>
      </c>
      <c r="O286" s="21" t="s">
        <v>2272</v>
      </c>
      <c r="P286" s="21" t="s">
        <v>2272</v>
      </c>
      <c r="Q286" s="21" t="s">
        <v>2272</v>
      </c>
      <c r="R286" s="21" t="s">
        <v>2272</v>
      </c>
      <c r="S286" s="21" t="s">
        <v>2272</v>
      </c>
      <c r="T286" s="21" t="s">
        <v>2272</v>
      </c>
      <c r="U286" s="21" t="s">
        <v>2272</v>
      </c>
      <c r="V286" s="21" t="s">
        <v>2272</v>
      </c>
      <c r="W286" s="21" t="s">
        <v>2272</v>
      </c>
      <c r="X286" s="21" t="s">
        <v>2272</v>
      </c>
      <c r="Y286" s="21" t="s">
        <v>2272</v>
      </c>
      <c r="Z286" s="21" t="s">
        <v>2272</v>
      </c>
      <c r="AA286" s="198" t="s">
        <v>2272</v>
      </c>
      <c r="AB286" s="198" t="s">
        <v>2272</v>
      </c>
      <c r="AC286" s="198" t="s">
        <v>2272</v>
      </c>
      <c r="AD286" s="4" t="s">
        <v>538</v>
      </c>
      <c r="AE286" s="4"/>
    </row>
    <row r="287" spans="1:31" ht="75.5" customHeight="1">
      <c r="A287" s="198" t="s">
        <v>518</v>
      </c>
      <c r="B287" s="198" t="s">
        <v>537</v>
      </c>
      <c r="C287" s="198" t="s">
        <v>23</v>
      </c>
      <c r="D287" s="198" t="s">
        <v>141</v>
      </c>
      <c r="E287" s="4" t="s">
        <v>44</v>
      </c>
      <c r="F287" s="4" t="s">
        <v>73</v>
      </c>
      <c r="G287" s="198" t="s">
        <v>2272</v>
      </c>
      <c r="H287" s="4" t="s">
        <v>522</v>
      </c>
      <c r="I287" s="198"/>
      <c r="J287" s="21">
        <v>0</v>
      </c>
      <c r="K287" s="21">
        <v>0</v>
      </c>
      <c r="L287" s="21">
        <v>0</v>
      </c>
      <c r="M287" s="21">
        <v>0</v>
      </c>
      <c r="N287" s="21">
        <v>0</v>
      </c>
      <c r="O287" s="21">
        <v>0</v>
      </c>
      <c r="P287" s="21">
        <v>0</v>
      </c>
      <c r="Q287" s="21">
        <v>0</v>
      </c>
      <c r="R287" s="21" t="s">
        <v>2272</v>
      </c>
      <c r="S287" s="21" t="s">
        <v>2272</v>
      </c>
      <c r="T287" s="21">
        <v>0</v>
      </c>
      <c r="U287" s="21">
        <v>0</v>
      </c>
      <c r="V287" s="21">
        <v>0</v>
      </c>
      <c r="W287" s="21">
        <v>0</v>
      </c>
      <c r="X287" s="21">
        <v>0</v>
      </c>
      <c r="Y287" s="21">
        <v>0</v>
      </c>
      <c r="Z287" s="21" t="s">
        <v>2272</v>
      </c>
      <c r="AA287" s="198" t="s">
        <v>2272</v>
      </c>
      <c r="AB287" s="198" t="s">
        <v>2272</v>
      </c>
      <c r="AC287" s="198" t="s">
        <v>2272</v>
      </c>
      <c r="AD287" s="4" t="s">
        <v>540</v>
      </c>
      <c r="AE287" s="4"/>
    </row>
    <row r="288" spans="1:31" ht="132" customHeight="1">
      <c r="A288" s="198" t="s">
        <v>544</v>
      </c>
      <c r="B288" s="198" t="s">
        <v>546</v>
      </c>
      <c r="C288" s="198" t="s">
        <v>23</v>
      </c>
      <c r="D288" s="198" t="s">
        <v>26</v>
      </c>
      <c r="E288" s="4" t="s">
        <v>128</v>
      </c>
      <c r="F288" s="4" t="s">
        <v>2272</v>
      </c>
      <c r="G288" s="4" t="s">
        <v>159</v>
      </c>
      <c r="H288" s="4" t="s">
        <v>521</v>
      </c>
      <c r="I288" s="198">
        <v>1987</v>
      </c>
      <c r="J288" s="21" t="s">
        <v>2272</v>
      </c>
      <c r="K288" s="21" t="s">
        <v>2272</v>
      </c>
      <c r="L288" s="21" t="s">
        <v>2272</v>
      </c>
      <c r="M288" s="21" t="s">
        <v>2272</v>
      </c>
      <c r="N288" s="21" t="s">
        <v>2272</v>
      </c>
      <c r="O288" s="21" t="s">
        <v>2272</v>
      </c>
      <c r="P288" s="21" t="s">
        <v>2272</v>
      </c>
      <c r="Q288" s="21" t="s">
        <v>2272</v>
      </c>
      <c r="R288" s="21" t="s">
        <v>2272</v>
      </c>
      <c r="S288" s="21" t="s">
        <v>2272</v>
      </c>
      <c r="T288" s="21" t="s">
        <v>2272</v>
      </c>
      <c r="U288" s="21">
        <v>300</v>
      </c>
      <c r="V288" s="21" t="s">
        <v>2272</v>
      </c>
      <c r="W288" s="21">
        <v>17.706738130000002</v>
      </c>
      <c r="X288" s="21" t="s">
        <v>2272</v>
      </c>
      <c r="Y288" s="21">
        <v>3.8216561000000003E-2</v>
      </c>
      <c r="Z288" s="21">
        <v>7.4</v>
      </c>
      <c r="AA288" s="198" t="s">
        <v>2272</v>
      </c>
      <c r="AB288" s="198" t="s">
        <v>2272</v>
      </c>
      <c r="AC288" s="198" t="s">
        <v>2272</v>
      </c>
      <c r="AD288" s="4" t="s">
        <v>550</v>
      </c>
      <c r="AE288" s="4" t="s">
        <v>2408</v>
      </c>
    </row>
    <row r="289" spans="1:31" ht="118" customHeight="1">
      <c r="A289" s="198" t="s">
        <v>544</v>
      </c>
      <c r="B289" s="198" t="s">
        <v>547</v>
      </c>
      <c r="C289" s="198" t="s">
        <v>23</v>
      </c>
      <c r="D289" s="198" t="s">
        <v>141</v>
      </c>
      <c r="E289" s="4" t="s">
        <v>128</v>
      </c>
      <c r="F289" s="4" t="s">
        <v>2272</v>
      </c>
      <c r="G289" s="4" t="s">
        <v>73</v>
      </c>
      <c r="H289" s="4" t="s">
        <v>521</v>
      </c>
      <c r="I289" s="198">
        <v>1987</v>
      </c>
      <c r="J289" s="21" t="s">
        <v>2272</v>
      </c>
      <c r="K289" s="21" t="s">
        <v>2272</v>
      </c>
      <c r="L289" s="21" t="s">
        <v>2272</v>
      </c>
      <c r="M289" s="21" t="s">
        <v>2272</v>
      </c>
      <c r="N289" s="21" t="s">
        <v>2272</v>
      </c>
      <c r="O289" s="21" t="s">
        <v>2272</v>
      </c>
      <c r="P289" s="21" t="s">
        <v>2272</v>
      </c>
      <c r="Q289" s="21" t="s">
        <v>2272</v>
      </c>
      <c r="R289" s="21" t="s">
        <v>2272</v>
      </c>
      <c r="S289" s="21" t="s">
        <v>2272</v>
      </c>
      <c r="T289" s="21" t="s">
        <v>2272</v>
      </c>
      <c r="U289" s="21">
        <v>200</v>
      </c>
      <c r="V289" s="21" t="s">
        <v>2272</v>
      </c>
      <c r="W289" s="21">
        <v>2.5477710000000001E-2</v>
      </c>
      <c r="X289" s="21" t="s">
        <v>2272</v>
      </c>
      <c r="Y289" s="21">
        <v>2.5477706999999999E-2</v>
      </c>
      <c r="Z289" s="21" t="s">
        <v>2272</v>
      </c>
      <c r="AA289" s="198" t="s">
        <v>2272</v>
      </c>
      <c r="AB289" s="198" t="s">
        <v>2272</v>
      </c>
      <c r="AC289" s="198" t="s">
        <v>2272</v>
      </c>
      <c r="AD289" s="4" t="s">
        <v>550</v>
      </c>
      <c r="AE289" s="4" t="s">
        <v>2408</v>
      </c>
    </row>
    <row r="290" spans="1:31" ht="121" customHeight="1">
      <c r="A290" s="198" t="s">
        <v>545</v>
      </c>
      <c r="B290" s="198" t="s">
        <v>548</v>
      </c>
      <c r="C290" s="198" t="s">
        <v>23</v>
      </c>
      <c r="D290" s="198" t="s">
        <v>26</v>
      </c>
      <c r="E290" s="4" t="s">
        <v>128</v>
      </c>
      <c r="F290" s="4" t="s">
        <v>2272</v>
      </c>
      <c r="G290" s="4" t="s">
        <v>159</v>
      </c>
      <c r="H290" s="4" t="s">
        <v>521</v>
      </c>
      <c r="I290" s="198">
        <v>2014</v>
      </c>
      <c r="J290" s="21" t="s">
        <v>2272</v>
      </c>
      <c r="K290" s="21" t="s">
        <v>2272</v>
      </c>
      <c r="L290" s="21" t="s">
        <v>2272</v>
      </c>
      <c r="M290" s="21" t="s">
        <v>2272</v>
      </c>
      <c r="N290" s="21" t="s">
        <v>2272</v>
      </c>
      <c r="O290" s="21" t="s">
        <v>2272</v>
      </c>
      <c r="P290" s="21" t="s">
        <v>2272</v>
      </c>
      <c r="Q290" s="21" t="s">
        <v>2272</v>
      </c>
      <c r="R290" s="21" t="s">
        <v>2272</v>
      </c>
      <c r="S290" s="21" t="s">
        <v>2272</v>
      </c>
      <c r="T290" s="21" t="s">
        <v>2272</v>
      </c>
      <c r="U290" s="21">
        <v>850</v>
      </c>
      <c r="V290" s="21" t="s">
        <v>2272</v>
      </c>
      <c r="W290" s="21">
        <v>12.73699156</v>
      </c>
      <c r="X290" s="21" t="s">
        <v>2272</v>
      </c>
      <c r="Y290" s="21">
        <v>0.10828025500000001</v>
      </c>
      <c r="Z290" s="21">
        <v>6.1</v>
      </c>
      <c r="AA290" s="198" t="s">
        <v>2272</v>
      </c>
      <c r="AB290" s="198" t="s">
        <v>2272</v>
      </c>
      <c r="AC290" s="198" t="s">
        <v>2272</v>
      </c>
      <c r="AD290" s="4" t="s">
        <v>550</v>
      </c>
      <c r="AE290" s="4" t="s">
        <v>2408</v>
      </c>
    </row>
    <row r="291" spans="1:31" ht="112" customHeight="1">
      <c r="A291" s="198" t="s">
        <v>545</v>
      </c>
      <c r="B291" s="198" t="s">
        <v>549</v>
      </c>
      <c r="C291" s="198" t="s">
        <v>23</v>
      </c>
      <c r="D291" s="198" t="s">
        <v>26</v>
      </c>
      <c r="E291" s="4" t="s">
        <v>128</v>
      </c>
      <c r="F291" s="4" t="s">
        <v>2272</v>
      </c>
      <c r="G291" s="4" t="s">
        <v>159</v>
      </c>
      <c r="H291" s="4" t="s">
        <v>521</v>
      </c>
      <c r="I291" s="198">
        <v>2014</v>
      </c>
      <c r="J291" s="21" t="s">
        <v>2272</v>
      </c>
      <c r="K291" s="21" t="s">
        <v>2272</v>
      </c>
      <c r="L291" s="21" t="s">
        <v>2272</v>
      </c>
      <c r="M291" s="21" t="s">
        <v>2272</v>
      </c>
      <c r="N291" s="21" t="s">
        <v>2272</v>
      </c>
      <c r="O291" s="21" t="s">
        <v>2272</v>
      </c>
      <c r="P291" s="21" t="s">
        <v>2272</v>
      </c>
      <c r="Q291" s="21" t="s">
        <v>2272</v>
      </c>
      <c r="R291" s="21" t="s">
        <v>2272</v>
      </c>
      <c r="S291" s="21" t="s">
        <v>2272</v>
      </c>
      <c r="T291" s="21" t="s">
        <v>2272</v>
      </c>
      <c r="U291" s="21">
        <v>150</v>
      </c>
      <c r="V291" s="21" t="s">
        <v>2272</v>
      </c>
      <c r="W291" s="21">
        <v>1.9108279999999998E-2</v>
      </c>
      <c r="X291" s="21" t="s">
        <v>2272</v>
      </c>
      <c r="Y291" s="21">
        <v>1.9108279999999998E-2</v>
      </c>
      <c r="Z291" s="21" t="s">
        <v>2272</v>
      </c>
      <c r="AA291" s="198" t="s">
        <v>2272</v>
      </c>
      <c r="AB291" s="198" t="s">
        <v>2272</v>
      </c>
      <c r="AC291" s="198" t="s">
        <v>2272</v>
      </c>
      <c r="AD291" s="4" t="s">
        <v>550</v>
      </c>
      <c r="AE291" s="4" t="s">
        <v>2408</v>
      </c>
    </row>
    <row r="292" spans="1:31" ht="112" customHeight="1">
      <c r="A292" s="198" t="s">
        <v>1724</v>
      </c>
      <c r="B292" s="198" t="s">
        <v>1771</v>
      </c>
      <c r="C292" s="198" t="s">
        <v>23</v>
      </c>
      <c r="D292" s="198" t="s">
        <v>141</v>
      </c>
      <c r="E292" s="4" t="s">
        <v>395</v>
      </c>
      <c r="F292" s="4" t="s">
        <v>73</v>
      </c>
      <c r="G292" s="198" t="s">
        <v>2272</v>
      </c>
      <c r="H292" s="4" t="s">
        <v>521</v>
      </c>
      <c r="I292" s="198"/>
      <c r="J292" s="21" t="s">
        <v>2272</v>
      </c>
      <c r="K292" s="21" t="s">
        <v>2272</v>
      </c>
      <c r="L292" s="21" t="s">
        <v>2272</v>
      </c>
      <c r="M292" s="21" t="s">
        <v>2272</v>
      </c>
      <c r="N292" s="21" t="s">
        <v>2272</v>
      </c>
      <c r="O292" s="21" t="s">
        <v>2272</v>
      </c>
      <c r="P292" s="21" t="s">
        <v>2272</v>
      </c>
      <c r="Q292" s="21" t="s">
        <v>2272</v>
      </c>
      <c r="R292" s="21" t="s">
        <v>2272</v>
      </c>
      <c r="S292" s="21" t="s">
        <v>2272</v>
      </c>
      <c r="T292" s="21" t="s">
        <v>2272</v>
      </c>
      <c r="U292" s="21" t="s">
        <v>2272</v>
      </c>
      <c r="V292" s="21" t="s">
        <v>2272</v>
      </c>
      <c r="W292" s="21" t="s">
        <v>2272</v>
      </c>
      <c r="X292" s="21" t="s">
        <v>2272</v>
      </c>
      <c r="Y292" s="21" t="s">
        <v>2272</v>
      </c>
      <c r="Z292" s="21" t="s">
        <v>2272</v>
      </c>
      <c r="AA292" s="198" t="s">
        <v>2272</v>
      </c>
      <c r="AB292" s="198" t="s">
        <v>2272</v>
      </c>
      <c r="AC292" s="198" t="s">
        <v>2272</v>
      </c>
      <c r="AD292" s="4"/>
      <c r="AE292" s="4"/>
    </row>
    <row r="293" spans="1:31" ht="112" customHeight="1">
      <c r="A293" s="198" t="s">
        <v>1723</v>
      </c>
      <c r="B293" s="198" t="s">
        <v>1772</v>
      </c>
      <c r="C293" s="198" t="s">
        <v>23</v>
      </c>
      <c r="D293" s="198" t="s">
        <v>141</v>
      </c>
      <c r="E293" s="4" t="s">
        <v>395</v>
      </c>
      <c r="F293" s="4" t="s">
        <v>73</v>
      </c>
      <c r="G293" s="198" t="s">
        <v>2272</v>
      </c>
      <c r="H293" s="4" t="s">
        <v>521</v>
      </c>
      <c r="I293" s="198"/>
      <c r="J293" s="21" t="s">
        <v>2272</v>
      </c>
      <c r="K293" s="21" t="s">
        <v>2272</v>
      </c>
      <c r="L293" s="21" t="s">
        <v>2272</v>
      </c>
      <c r="M293" s="21" t="s">
        <v>2272</v>
      </c>
      <c r="N293" s="21" t="s">
        <v>2272</v>
      </c>
      <c r="O293" s="21" t="s">
        <v>2272</v>
      </c>
      <c r="P293" s="21" t="s">
        <v>2272</v>
      </c>
      <c r="Q293" s="21" t="s">
        <v>2272</v>
      </c>
      <c r="R293" s="21" t="s">
        <v>2272</v>
      </c>
      <c r="S293" s="21" t="s">
        <v>2272</v>
      </c>
      <c r="T293" s="21" t="s">
        <v>2272</v>
      </c>
      <c r="U293" s="21" t="s">
        <v>2272</v>
      </c>
      <c r="V293" s="21" t="s">
        <v>2272</v>
      </c>
      <c r="W293" s="21" t="s">
        <v>2272</v>
      </c>
      <c r="X293" s="21" t="s">
        <v>2272</v>
      </c>
      <c r="Y293" s="21" t="s">
        <v>2272</v>
      </c>
      <c r="Z293" s="21" t="s">
        <v>2272</v>
      </c>
      <c r="AA293" s="198" t="s">
        <v>2272</v>
      </c>
      <c r="AB293" s="198" t="s">
        <v>2272</v>
      </c>
      <c r="AC293" s="198" t="s">
        <v>2272</v>
      </c>
      <c r="AD293" s="4"/>
      <c r="AE293" s="4"/>
    </row>
    <row r="294" spans="1:31" ht="112" customHeight="1">
      <c r="A294" s="198" t="s">
        <v>1725</v>
      </c>
      <c r="B294" s="198" t="s">
        <v>1773</v>
      </c>
      <c r="C294" s="198" t="s">
        <v>23</v>
      </c>
      <c r="D294" s="198" t="s">
        <v>141</v>
      </c>
      <c r="E294" s="4" t="s">
        <v>395</v>
      </c>
      <c r="F294" s="4" t="s">
        <v>73</v>
      </c>
      <c r="G294" s="198" t="s">
        <v>2272</v>
      </c>
      <c r="H294" s="4" t="s">
        <v>521</v>
      </c>
      <c r="I294" s="198"/>
      <c r="J294" s="21" t="s">
        <v>2272</v>
      </c>
      <c r="K294" s="21" t="s">
        <v>2272</v>
      </c>
      <c r="L294" s="21" t="s">
        <v>2272</v>
      </c>
      <c r="M294" s="21" t="s">
        <v>2272</v>
      </c>
      <c r="N294" s="21" t="s">
        <v>2272</v>
      </c>
      <c r="O294" s="21" t="s">
        <v>2272</v>
      </c>
      <c r="P294" s="21" t="s">
        <v>2272</v>
      </c>
      <c r="Q294" s="21" t="s">
        <v>2272</v>
      </c>
      <c r="R294" s="21" t="s">
        <v>2272</v>
      </c>
      <c r="S294" s="21" t="s">
        <v>2272</v>
      </c>
      <c r="T294" s="21" t="s">
        <v>2272</v>
      </c>
      <c r="U294" s="21" t="s">
        <v>2272</v>
      </c>
      <c r="V294" s="21" t="s">
        <v>2272</v>
      </c>
      <c r="W294" s="21" t="s">
        <v>2272</v>
      </c>
      <c r="X294" s="21" t="s">
        <v>2272</v>
      </c>
      <c r="Y294" s="21" t="s">
        <v>2272</v>
      </c>
      <c r="Z294" s="21" t="s">
        <v>2272</v>
      </c>
      <c r="AA294" s="198" t="s">
        <v>2272</v>
      </c>
      <c r="AB294" s="198" t="s">
        <v>2272</v>
      </c>
      <c r="AC294" s="198" t="s">
        <v>2272</v>
      </c>
      <c r="AD294" s="4"/>
      <c r="AE294" s="4"/>
    </row>
    <row r="295" spans="1:31" ht="112" customHeight="1">
      <c r="A295" s="198" t="s">
        <v>1726</v>
      </c>
      <c r="B295" s="198" t="s">
        <v>1774</v>
      </c>
      <c r="C295" s="198" t="s">
        <v>23</v>
      </c>
      <c r="D295" s="198" t="s">
        <v>141</v>
      </c>
      <c r="E295" s="4" t="s">
        <v>128</v>
      </c>
      <c r="F295" s="4" t="s">
        <v>73</v>
      </c>
      <c r="G295" s="198" t="s">
        <v>2272</v>
      </c>
      <c r="H295" s="4" t="s">
        <v>521</v>
      </c>
      <c r="I295" s="198"/>
      <c r="J295" s="21" t="s">
        <v>2272</v>
      </c>
      <c r="K295" s="21" t="s">
        <v>2272</v>
      </c>
      <c r="L295" s="21" t="s">
        <v>2272</v>
      </c>
      <c r="M295" s="21" t="s">
        <v>2272</v>
      </c>
      <c r="N295" s="21" t="s">
        <v>2272</v>
      </c>
      <c r="O295" s="21" t="s">
        <v>2272</v>
      </c>
      <c r="P295" s="21" t="s">
        <v>2272</v>
      </c>
      <c r="Q295" s="21" t="s">
        <v>2272</v>
      </c>
      <c r="R295" s="21" t="s">
        <v>2272</v>
      </c>
      <c r="S295" s="21" t="s">
        <v>2272</v>
      </c>
      <c r="T295" s="21" t="s">
        <v>2272</v>
      </c>
      <c r="U295" s="21" t="s">
        <v>2272</v>
      </c>
      <c r="V295" s="21" t="s">
        <v>2272</v>
      </c>
      <c r="W295" s="21" t="s">
        <v>2272</v>
      </c>
      <c r="X295" s="21" t="s">
        <v>2272</v>
      </c>
      <c r="Y295" s="21" t="s">
        <v>2272</v>
      </c>
      <c r="Z295" s="21" t="s">
        <v>2272</v>
      </c>
      <c r="AA295" s="198" t="s">
        <v>2272</v>
      </c>
      <c r="AB295" s="198" t="s">
        <v>2272</v>
      </c>
      <c r="AC295" s="198" t="s">
        <v>2272</v>
      </c>
      <c r="AD295" s="4"/>
      <c r="AE295" s="4"/>
    </row>
    <row r="296" spans="1:31" ht="112" customHeight="1">
      <c r="A296" s="198" t="s">
        <v>1726</v>
      </c>
      <c r="B296" s="198" t="s">
        <v>1775</v>
      </c>
      <c r="C296" s="198" t="s">
        <v>23</v>
      </c>
      <c r="D296" s="198" t="s">
        <v>26</v>
      </c>
      <c r="E296" s="4" t="s">
        <v>128</v>
      </c>
      <c r="F296" s="4" t="s">
        <v>159</v>
      </c>
      <c r="G296" s="198" t="s">
        <v>2272</v>
      </c>
      <c r="H296" s="4" t="s">
        <v>521</v>
      </c>
      <c r="I296" s="198"/>
      <c r="J296" s="21" t="s">
        <v>2272</v>
      </c>
      <c r="K296" s="21" t="s">
        <v>2272</v>
      </c>
      <c r="L296" s="21" t="s">
        <v>2272</v>
      </c>
      <c r="M296" s="21" t="s">
        <v>2272</v>
      </c>
      <c r="N296" s="21" t="s">
        <v>2272</v>
      </c>
      <c r="O296" s="21" t="s">
        <v>2272</v>
      </c>
      <c r="P296" s="21" t="s">
        <v>2272</v>
      </c>
      <c r="Q296" s="21" t="s">
        <v>2272</v>
      </c>
      <c r="R296" s="21" t="s">
        <v>2272</v>
      </c>
      <c r="S296" s="21" t="s">
        <v>2272</v>
      </c>
      <c r="T296" s="21" t="s">
        <v>2272</v>
      </c>
      <c r="U296" s="21" t="s">
        <v>2272</v>
      </c>
      <c r="V296" s="21" t="s">
        <v>2272</v>
      </c>
      <c r="W296" s="21" t="s">
        <v>2272</v>
      </c>
      <c r="X296" s="21" t="s">
        <v>2272</v>
      </c>
      <c r="Y296" s="21" t="s">
        <v>2272</v>
      </c>
      <c r="Z296" s="21" t="s">
        <v>2272</v>
      </c>
      <c r="AA296" s="198" t="s">
        <v>2272</v>
      </c>
      <c r="AB296" s="198" t="s">
        <v>2272</v>
      </c>
      <c r="AC296" s="198" t="s">
        <v>2272</v>
      </c>
      <c r="AD296" s="4"/>
      <c r="AE296" s="4"/>
    </row>
    <row r="297" spans="1:31" ht="112" customHeight="1">
      <c r="A297" s="198" t="s">
        <v>1727</v>
      </c>
      <c r="B297" s="198" t="s">
        <v>1776</v>
      </c>
      <c r="C297" s="198" t="s">
        <v>23</v>
      </c>
      <c r="D297" s="198" t="s">
        <v>141</v>
      </c>
      <c r="E297" s="4" t="s">
        <v>395</v>
      </c>
      <c r="F297" s="4" t="s">
        <v>73</v>
      </c>
      <c r="G297" s="198" t="s">
        <v>2272</v>
      </c>
      <c r="H297" s="4" t="s">
        <v>521</v>
      </c>
      <c r="I297" s="198"/>
      <c r="J297" s="21" t="s">
        <v>2272</v>
      </c>
      <c r="K297" s="21" t="s">
        <v>2272</v>
      </c>
      <c r="L297" s="21" t="s">
        <v>2272</v>
      </c>
      <c r="M297" s="21" t="s">
        <v>2272</v>
      </c>
      <c r="N297" s="21" t="s">
        <v>2272</v>
      </c>
      <c r="O297" s="21" t="s">
        <v>2272</v>
      </c>
      <c r="P297" s="21" t="s">
        <v>2272</v>
      </c>
      <c r="Q297" s="21" t="s">
        <v>2272</v>
      </c>
      <c r="R297" s="21" t="s">
        <v>2272</v>
      </c>
      <c r="S297" s="21" t="s">
        <v>2272</v>
      </c>
      <c r="T297" s="21" t="s">
        <v>2272</v>
      </c>
      <c r="U297" s="21" t="s">
        <v>2272</v>
      </c>
      <c r="V297" s="21" t="s">
        <v>2272</v>
      </c>
      <c r="W297" s="21" t="s">
        <v>2272</v>
      </c>
      <c r="X297" s="21" t="s">
        <v>2272</v>
      </c>
      <c r="Y297" s="21" t="s">
        <v>2272</v>
      </c>
      <c r="Z297" s="21" t="s">
        <v>2272</v>
      </c>
      <c r="AA297" s="198" t="s">
        <v>2272</v>
      </c>
      <c r="AB297" s="198" t="s">
        <v>2272</v>
      </c>
      <c r="AC297" s="198" t="s">
        <v>2272</v>
      </c>
      <c r="AD297" s="4"/>
      <c r="AE297" s="4"/>
    </row>
    <row r="298" spans="1:31" ht="112" customHeight="1">
      <c r="A298" s="198" t="s">
        <v>1730</v>
      </c>
      <c r="B298" s="198" t="s">
        <v>1777</v>
      </c>
      <c r="C298" s="198" t="s">
        <v>23</v>
      </c>
      <c r="D298" s="198" t="s">
        <v>141</v>
      </c>
      <c r="E298" s="4" t="s">
        <v>128</v>
      </c>
      <c r="F298" s="4" t="s">
        <v>73</v>
      </c>
      <c r="G298" s="198" t="s">
        <v>2272</v>
      </c>
      <c r="H298" s="4" t="s">
        <v>521</v>
      </c>
      <c r="I298" s="198"/>
      <c r="J298" s="21" t="s">
        <v>2272</v>
      </c>
      <c r="K298" s="21" t="s">
        <v>2272</v>
      </c>
      <c r="L298" s="21" t="s">
        <v>2272</v>
      </c>
      <c r="M298" s="21" t="s">
        <v>2272</v>
      </c>
      <c r="N298" s="21" t="s">
        <v>2272</v>
      </c>
      <c r="O298" s="21" t="s">
        <v>2272</v>
      </c>
      <c r="P298" s="21" t="s">
        <v>2272</v>
      </c>
      <c r="Q298" s="21" t="s">
        <v>2272</v>
      </c>
      <c r="R298" s="21" t="s">
        <v>2272</v>
      </c>
      <c r="S298" s="21" t="s">
        <v>2272</v>
      </c>
      <c r="T298" s="21" t="s">
        <v>2272</v>
      </c>
      <c r="U298" s="21" t="s">
        <v>2272</v>
      </c>
      <c r="V298" s="21" t="s">
        <v>2272</v>
      </c>
      <c r="W298" s="21" t="s">
        <v>2272</v>
      </c>
      <c r="X298" s="21" t="s">
        <v>2272</v>
      </c>
      <c r="Y298" s="21" t="s">
        <v>2272</v>
      </c>
      <c r="Z298" s="21" t="s">
        <v>2272</v>
      </c>
      <c r="AA298" s="198" t="s">
        <v>2272</v>
      </c>
      <c r="AB298" s="198" t="s">
        <v>2272</v>
      </c>
      <c r="AC298" s="198" t="s">
        <v>2272</v>
      </c>
      <c r="AD298" s="4"/>
      <c r="AE298" s="4"/>
    </row>
    <row r="299" spans="1:31" ht="112" customHeight="1">
      <c r="A299" s="198" t="s">
        <v>1730</v>
      </c>
      <c r="B299" s="198" t="s">
        <v>1778</v>
      </c>
      <c r="C299" s="198" t="s">
        <v>23</v>
      </c>
      <c r="D299" s="198" t="s">
        <v>26</v>
      </c>
      <c r="E299" s="4" t="s">
        <v>128</v>
      </c>
      <c r="F299" s="4" t="s">
        <v>159</v>
      </c>
      <c r="G299" s="198" t="s">
        <v>2272</v>
      </c>
      <c r="H299" s="4" t="s">
        <v>521</v>
      </c>
      <c r="I299" s="198"/>
      <c r="J299" s="21" t="s">
        <v>2272</v>
      </c>
      <c r="K299" s="21" t="s">
        <v>2272</v>
      </c>
      <c r="L299" s="21" t="s">
        <v>2272</v>
      </c>
      <c r="M299" s="21" t="s">
        <v>2272</v>
      </c>
      <c r="N299" s="21" t="s">
        <v>2272</v>
      </c>
      <c r="O299" s="21" t="s">
        <v>2272</v>
      </c>
      <c r="P299" s="21" t="s">
        <v>2272</v>
      </c>
      <c r="Q299" s="21" t="s">
        <v>2272</v>
      </c>
      <c r="R299" s="21" t="s">
        <v>2272</v>
      </c>
      <c r="S299" s="21" t="s">
        <v>2272</v>
      </c>
      <c r="T299" s="21" t="s">
        <v>2272</v>
      </c>
      <c r="U299" s="21" t="s">
        <v>2272</v>
      </c>
      <c r="V299" s="21" t="s">
        <v>2272</v>
      </c>
      <c r="W299" s="21" t="s">
        <v>2272</v>
      </c>
      <c r="X299" s="21" t="s">
        <v>2272</v>
      </c>
      <c r="Y299" s="21" t="s">
        <v>2272</v>
      </c>
      <c r="Z299" s="21" t="s">
        <v>2272</v>
      </c>
      <c r="AA299" s="198" t="s">
        <v>2272</v>
      </c>
      <c r="AB299" s="198" t="s">
        <v>2272</v>
      </c>
      <c r="AC299" s="198" t="s">
        <v>2272</v>
      </c>
      <c r="AD299" s="4"/>
      <c r="AE299" s="4"/>
    </row>
    <row r="300" spans="1:31" ht="112" customHeight="1">
      <c r="A300" s="198" t="s">
        <v>1731</v>
      </c>
      <c r="B300" s="198" t="s">
        <v>1779</v>
      </c>
      <c r="C300" s="198" t="s">
        <v>23</v>
      </c>
      <c r="D300" s="198" t="s">
        <v>141</v>
      </c>
      <c r="E300" s="4" t="s">
        <v>128</v>
      </c>
      <c r="F300" s="4" t="s">
        <v>73</v>
      </c>
      <c r="G300" s="198" t="s">
        <v>2272</v>
      </c>
      <c r="H300" s="4" t="s">
        <v>521</v>
      </c>
      <c r="I300" s="198"/>
      <c r="J300" s="21" t="s">
        <v>2272</v>
      </c>
      <c r="K300" s="21" t="s">
        <v>2272</v>
      </c>
      <c r="L300" s="21" t="s">
        <v>2272</v>
      </c>
      <c r="M300" s="21" t="s">
        <v>2272</v>
      </c>
      <c r="N300" s="21" t="s">
        <v>2272</v>
      </c>
      <c r="O300" s="21" t="s">
        <v>2272</v>
      </c>
      <c r="P300" s="21" t="s">
        <v>2272</v>
      </c>
      <c r="Q300" s="21" t="s">
        <v>2272</v>
      </c>
      <c r="R300" s="21" t="s">
        <v>2272</v>
      </c>
      <c r="S300" s="21" t="s">
        <v>2272</v>
      </c>
      <c r="T300" s="21" t="s">
        <v>2272</v>
      </c>
      <c r="U300" s="21" t="s">
        <v>2272</v>
      </c>
      <c r="V300" s="21" t="s">
        <v>2272</v>
      </c>
      <c r="W300" s="21" t="s">
        <v>2272</v>
      </c>
      <c r="X300" s="21" t="s">
        <v>2272</v>
      </c>
      <c r="Y300" s="21" t="s">
        <v>2272</v>
      </c>
      <c r="Z300" s="21" t="s">
        <v>2272</v>
      </c>
      <c r="AA300" s="198" t="s">
        <v>2272</v>
      </c>
      <c r="AB300" s="198" t="s">
        <v>2272</v>
      </c>
      <c r="AC300" s="198" t="s">
        <v>2272</v>
      </c>
      <c r="AD300" s="4"/>
      <c r="AE300" s="4"/>
    </row>
    <row r="301" spans="1:31" ht="112" customHeight="1">
      <c r="A301" s="198" t="s">
        <v>1731</v>
      </c>
      <c r="B301" s="198" t="s">
        <v>1780</v>
      </c>
      <c r="C301" s="198" t="s">
        <v>23</v>
      </c>
      <c r="D301" s="198" t="s">
        <v>26</v>
      </c>
      <c r="E301" s="4" t="s">
        <v>128</v>
      </c>
      <c r="F301" s="4" t="s">
        <v>159</v>
      </c>
      <c r="G301" s="198" t="s">
        <v>2272</v>
      </c>
      <c r="H301" s="4" t="s">
        <v>521</v>
      </c>
      <c r="I301" s="198"/>
      <c r="J301" s="21" t="s">
        <v>2272</v>
      </c>
      <c r="K301" s="21" t="s">
        <v>2272</v>
      </c>
      <c r="L301" s="21" t="s">
        <v>2272</v>
      </c>
      <c r="M301" s="21" t="s">
        <v>2272</v>
      </c>
      <c r="N301" s="21" t="s">
        <v>2272</v>
      </c>
      <c r="O301" s="21" t="s">
        <v>2272</v>
      </c>
      <c r="P301" s="21" t="s">
        <v>2272</v>
      </c>
      <c r="Q301" s="21" t="s">
        <v>2272</v>
      </c>
      <c r="R301" s="21" t="s">
        <v>2272</v>
      </c>
      <c r="S301" s="21" t="s">
        <v>2272</v>
      </c>
      <c r="T301" s="21" t="s">
        <v>2272</v>
      </c>
      <c r="U301" s="21" t="s">
        <v>2272</v>
      </c>
      <c r="V301" s="21" t="s">
        <v>2272</v>
      </c>
      <c r="W301" s="21" t="s">
        <v>2272</v>
      </c>
      <c r="X301" s="21" t="s">
        <v>2272</v>
      </c>
      <c r="Y301" s="21" t="s">
        <v>2272</v>
      </c>
      <c r="Z301" s="21" t="s">
        <v>2272</v>
      </c>
      <c r="AA301" s="198" t="s">
        <v>2272</v>
      </c>
      <c r="AB301" s="198" t="s">
        <v>2272</v>
      </c>
      <c r="AC301" s="198" t="s">
        <v>2272</v>
      </c>
      <c r="AD301" s="4"/>
      <c r="AE301" s="4"/>
    </row>
    <row r="302" spans="1:31" ht="112" customHeight="1">
      <c r="A302" s="198" t="s">
        <v>1728</v>
      </c>
      <c r="B302" s="198" t="s">
        <v>1781</v>
      </c>
      <c r="C302" s="198" t="s">
        <v>23</v>
      </c>
      <c r="D302" s="198" t="s">
        <v>141</v>
      </c>
      <c r="E302" s="4" t="s">
        <v>128</v>
      </c>
      <c r="F302" s="4" t="s">
        <v>73</v>
      </c>
      <c r="G302" s="198" t="s">
        <v>2272</v>
      </c>
      <c r="H302" s="4" t="s">
        <v>521</v>
      </c>
      <c r="I302" s="198"/>
      <c r="J302" s="21" t="s">
        <v>2272</v>
      </c>
      <c r="K302" s="21" t="s">
        <v>2272</v>
      </c>
      <c r="L302" s="21" t="s">
        <v>2272</v>
      </c>
      <c r="M302" s="21" t="s">
        <v>2272</v>
      </c>
      <c r="N302" s="21" t="s">
        <v>2272</v>
      </c>
      <c r="O302" s="21" t="s">
        <v>2272</v>
      </c>
      <c r="P302" s="21" t="s">
        <v>2272</v>
      </c>
      <c r="Q302" s="21" t="s">
        <v>2272</v>
      </c>
      <c r="R302" s="21" t="s">
        <v>2272</v>
      </c>
      <c r="S302" s="21" t="s">
        <v>2272</v>
      </c>
      <c r="T302" s="21" t="s">
        <v>2272</v>
      </c>
      <c r="U302" s="21" t="s">
        <v>2272</v>
      </c>
      <c r="V302" s="21" t="s">
        <v>2272</v>
      </c>
      <c r="W302" s="21" t="s">
        <v>2272</v>
      </c>
      <c r="X302" s="21" t="s">
        <v>2272</v>
      </c>
      <c r="Y302" s="21" t="s">
        <v>2272</v>
      </c>
      <c r="Z302" s="21" t="s">
        <v>2272</v>
      </c>
      <c r="AA302" s="198" t="s">
        <v>2272</v>
      </c>
      <c r="AB302" s="198" t="s">
        <v>2272</v>
      </c>
      <c r="AC302" s="198" t="s">
        <v>2272</v>
      </c>
      <c r="AD302" s="4"/>
      <c r="AE302" s="4"/>
    </row>
    <row r="303" spans="1:31" ht="112" customHeight="1">
      <c r="A303" s="198" t="s">
        <v>1728</v>
      </c>
      <c r="B303" s="198" t="s">
        <v>1782</v>
      </c>
      <c r="C303" s="198" t="s">
        <v>23</v>
      </c>
      <c r="D303" s="198" t="s">
        <v>26</v>
      </c>
      <c r="E303" s="4" t="s">
        <v>128</v>
      </c>
      <c r="F303" s="4" t="s">
        <v>159</v>
      </c>
      <c r="G303" s="198" t="s">
        <v>2272</v>
      </c>
      <c r="H303" s="4" t="s">
        <v>521</v>
      </c>
      <c r="I303" s="198"/>
      <c r="J303" s="21" t="s">
        <v>2272</v>
      </c>
      <c r="K303" s="21" t="s">
        <v>2272</v>
      </c>
      <c r="L303" s="21" t="s">
        <v>2272</v>
      </c>
      <c r="M303" s="21" t="s">
        <v>2272</v>
      </c>
      <c r="N303" s="21" t="s">
        <v>2272</v>
      </c>
      <c r="O303" s="21" t="s">
        <v>2272</v>
      </c>
      <c r="P303" s="21" t="s">
        <v>2272</v>
      </c>
      <c r="Q303" s="21" t="s">
        <v>2272</v>
      </c>
      <c r="R303" s="21" t="s">
        <v>2272</v>
      </c>
      <c r="S303" s="21" t="s">
        <v>2272</v>
      </c>
      <c r="T303" s="21" t="s">
        <v>2272</v>
      </c>
      <c r="U303" s="21" t="s">
        <v>2272</v>
      </c>
      <c r="V303" s="21" t="s">
        <v>2272</v>
      </c>
      <c r="W303" s="21" t="s">
        <v>2272</v>
      </c>
      <c r="X303" s="21" t="s">
        <v>2272</v>
      </c>
      <c r="Y303" s="21" t="s">
        <v>2272</v>
      </c>
      <c r="Z303" s="21" t="s">
        <v>2272</v>
      </c>
      <c r="AA303" s="198" t="s">
        <v>2272</v>
      </c>
      <c r="AB303" s="198" t="s">
        <v>2272</v>
      </c>
      <c r="AC303" s="198" t="s">
        <v>2272</v>
      </c>
      <c r="AD303" s="4"/>
      <c r="AE303" s="4"/>
    </row>
    <row r="304" spans="1:31" ht="112" customHeight="1">
      <c r="A304" s="198" t="s">
        <v>1729</v>
      </c>
      <c r="B304" s="198" t="s">
        <v>1783</v>
      </c>
      <c r="C304" s="198" t="s">
        <v>23</v>
      </c>
      <c r="D304" s="198" t="s">
        <v>141</v>
      </c>
      <c r="E304" s="4" t="s">
        <v>128</v>
      </c>
      <c r="F304" s="4" t="s">
        <v>73</v>
      </c>
      <c r="G304" s="198" t="s">
        <v>2272</v>
      </c>
      <c r="H304" s="4" t="s">
        <v>521</v>
      </c>
      <c r="I304" s="198"/>
      <c r="J304" s="21" t="s">
        <v>2272</v>
      </c>
      <c r="K304" s="21" t="s">
        <v>2272</v>
      </c>
      <c r="L304" s="21" t="s">
        <v>2272</v>
      </c>
      <c r="M304" s="21" t="s">
        <v>2272</v>
      </c>
      <c r="N304" s="21" t="s">
        <v>2272</v>
      </c>
      <c r="O304" s="21" t="s">
        <v>2272</v>
      </c>
      <c r="P304" s="21" t="s">
        <v>2272</v>
      </c>
      <c r="Q304" s="21" t="s">
        <v>2272</v>
      </c>
      <c r="R304" s="21" t="s">
        <v>2272</v>
      </c>
      <c r="S304" s="21" t="s">
        <v>2272</v>
      </c>
      <c r="T304" s="21" t="s">
        <v>2272</v>
      </c>
      <c r="U304" s="21" t="s">
        <v>2272</v>
      </c>
      <c r="V304" s="21" t="s">
        <v>2272</v>
      </c>
      <c r="W304" s="21" t="s">
        <v>2272</v>
      </c>
      <c r="X304" s="21" t="s">
        <v>2272</v>
      </c>
      <c r="Y304" s="21" t="s">
        <v>2272</v>
      </c>
      <c r="Z304" s="21" t="s">
        <v>2272</v>
      </c>
      <c r="AA304" s="198" t="s">
        <v>2272</v>
      </c>
      <c r="AB304" s="198" t="s">
        <v>2272</v>
      </c>
      <c r="AC304" s="198" t="s">
        <v>2272</v>
      </c>
      <c r="AD304" s="4"/>
      <c r="AE304" s="4"/>
    </row>
    <row r="305" spans="1:31" ht="112" customHeight="1">
      <c r="A305" s="198" t="s">
        <v>1729</v>
      </c>
      <c r="B305" s="198" t="s">
        <v>1784</v>
      </c>
      <c r="C305" s="198" t="s">
        <v>23</v>
      </c>
      <c r="D305" s="198" t="s">
        <v>26</v>
      </c>
      <c r="E305" s="4" t="s">
        <v>128</v>
      </c>
      <c r="F305" s="4" t="s">
        <v>159</v>
      </c>
      <c r="G305" s="198" t="s">
        <v>2272</v>
      </c>
      <c r="H305" s="4" t="s">
        <v>521</v>
      </c>
      <c r="I305" s="198"/>
      <c r="J305" s="21" t="s">
        <v>2272</v>
      </c>
      <c r="K305" s="21" t="s">
        <v>2272</v>
      </c>
      <c r="L305" s="21" t="s">
        <v>2272</v>
      </c>
      <c r="M305" s="21" t="s">
        <v>2272</v>
      </c>
      <c r="N305" s="21" t="s">
        <v>2272</v>
      </c>
      <c r="O305" s="21" t="s">
        <v>2272</v>
      </c>
      <c r="P305" s="21" t="s">
        <v>2272</v>
      </c>
      <c r="Q305" s="21" t="s">
        <v>2272</v>
      </c>
      <c r="R305" s="21" t="s">
        <v>2272</v>
      </c>
      <c r="S305" s="21" t="s">
        <v>2272</v>
      </c>
      <c r="T305" s="21" t="s">
        <v>2272</v>
      </c>
      <c r="U305" s="21" t="s">
        <v>2272</v>
      </c>
      <c r="V305" s="21" t="s">
        <v>2272</v>
      </c>
      <c r="W305" s="21" t="s">
        <v>2272</v>
      </c>
      <c r="X305" s="21" t="s">
        <v>2272</v>
      </c>
      <c r="Y305" s="21" t="s">
        <v>2272</v>
      </c>
      <c r="Z305" s="21" t="s">
        <v>2272</v>
      </c>
      <c r="AA305" s="198" t="s">
        <v>2272</v>
      </c>
      <c r="AB305" s="198" t="s">
        <v>2272</v>
      </c>
      <c r="AC305" s="198" t="s">
        <v>2272</v>
      </c>
      <c r="AD305" s="4"/>
      <c r="AE305" s="4"/>
    </row>
    <row r="306" spans="1:31" ht="112" customHeight="1">
      <c r="A306" s="198" t="s">
        <v>1732</v>
      </c>
      <c r="B306" s="198" t="s">
        <v>1785</v>
      </c>
      <c r="C306" s="198" t="s">
        <v>23</v>
      </c>
      <c r="D306" s="198" t="s">
        <v>141</v>
      </c>
      <c r="E306" s="4" t="s">
        <v>128</v>
      </c>
      <c r="F306" s="4" t="s">
        <v>73</v>
      </c>
      <c r="G306" s="198" t="s">
        <v>2272</v>
      </c>
      <c r="H306" s="4" t="s">
        <v>521</v>
      </c>
      <c r="I306" s="198"/>
      <c r="J306" s="21" t="s">
        <v>2272</v>
      </c>
      <c r="K306" s="21" t="s">
        <v>2272</v>
      </c>
      <c r="L306" s="21" t="s">
        <v>2272</v>
      </c>
      <c r="M306" s="21" t="s">
        <v>2272</v>
      </c>
      <c r="N306" s="21" t="s">
        <v>2272</v>
      </c>
      <c r="O306" s="21" t="s">
        <v>2272</v>
      </c>
      <c r="P306" s="21" t="s">
        <v>2272</v>
      </c>
      <c r="Q306" s="21" t="s">
        <v>2272</v>
      </c>
      <c r="R306" s="21" t="s">
        <v>2272</v>
      </c>
      <c r="S306" s="21" t="s">
        <v>2272</v>
      </c>
      <c r="T306" s="21" t="s">
        <v>2272</v>
      </c>
      <c r="U306" s="21" t="s">
        <v>2272</v>
      </c>
      <c r="V306" s="21" t="s">
        <v>2272</v>
      </c>
      <c r="W306" s="21" t="s">
        <v>2272</v>
      </c>
      <c r="X306" s="21" t="s">
        <v>2272</v>
      </c>
      <c r="Y306" s="21" t="s">
        <v>2272</v>
      </c>
      <c r="Z306" s="21" t="s">
        <v>2272</v>
      </c>
      <c r="AA306" s="198" t="s">
        <v>2272</v>
      </c>
      <c r="AB306" s="198" t="s">
        <v>2272</v>
      </c>
      <c r="AC306" s="198" t="s">
        <v>2272</v>
      </c>
      <c r="AD306" s="4"/>
      <c r="AE306" s="4"/>
    </row>
    <row r="307" spans="1:31" ht="112" customHeight="1">
      <c r="A307" s="198" t="s">
        <v>1732</v>
      </c>
      <c r="B307" s="198" t="s">
        <v>1786</v>
      </c>
      <c r="C307" s="198" t="s">
        <v>23</v>
      </c>
      <c r="D307" s="198" t="s">
        <v>26</v>
      </c>
      <c r="E307" s="4" t="s">
        <v>128</v>
      </c>
      <c r="F307" s="4" t="s">
        <v>159</v>
      </c>
      <c r="G307" s="198" t="s">
        <v>2272</v>
      </c>
      <c r="H307" s="4" t="s">
        <v>521</v>
      </c>
      <c r="I307" s="198"/>
      <c r="J307" s="21" t="s">
        <v>2272</v>
      </c>
      <c r="K307" s="21" t="s">
        <v>2272</v>
      </c>
      <c r="L307" s="21" t="s">
        <v>2272</v>
      </c>
      <c r="M307" s="21" t="s">
        <v>2272</v>
      </c>
      <c r="N307" s="21" t="s">
        <v>2272</v>
      </c>
      <c r="O307" s="21" t="s">
        <v>2272</v>
      </c>
      <c r="P307" s="21" t="s">
        <v>2272</v>
      </c>
      <c r="Q307" s="21" t="s">
        <v>2272</v>
      </c>
      <c r="R307" s="21" t="s">
        <v>2272</v>
      </c>
      <c r="S307" s="21" t="s">
        <v>2272</v>
      </c>
      <c r="T307" s="21" t="s">
        <v>2272</v>
      </c>
      <c r="U307" s="21" t="s">
        <v>2272</v>
      </c>
      <c r="V307" s="21" t="s">
        <v>2272</v>
      </c>
      <c r="W307" s="21" t="s">
        <v>2272</v>
      </c>
      <c r="X307" s="21" t="s">
        <v>2272</v>
      </c>
      <c r="Y307" s="21" t="s">
        <v>2272</v>
      </c>
      <c r="Z307" s="21" t="s">
        <v>2272</v>
      </c>
      <c r="AA307" s="198" t="s">
        <v>2272</v>
      </c>
      <c r="AB307" s="198" t="s">
        <v>2272</v>
      </c>
      <c r="AC307" s="198" t="s">
        <v>2272</v>
      </c>
      <c r="AD307" s="4"/>
      <c r="AE307" s="4"/>
    </row>
    <row r="308" spans="1:31" ht="112" customHeight="1">
      <c r="A308" s="198" t="s">
        <v>1733</v>
      </c>
      <c r="B308" s="198" t="s">
        <v>1787</v>
      </c>
      <c r="C308" s="198" t="s">
        <v>23</v>
      </c>
      <c r="D308" s="198" t="s">
        <v>141</v>
      </c>
      <c r="E308" s="4" t="s">
        <v>395</v>
      </c>
      <c r="F308" s="4" t="s">
        <v>73</v>
      </c>
      <c r="G308" s="198" t="s">
        <v>2272</v>
      </c>
      <c r="H308" s="4" t="s">
        <v>521</v>
      </c>
      <c r="I308" s="198"/>
      <c r="J308" s="21" t="s">
        <v>2272</v>
      </c>
      <c r="K308" s="21" t="s">
        <v>2272</v>
      </c>
      <c r="L308" s="21" t="s">
        <v>2272</v>
      </c>
      <c r="M308" s="21" t="s">
        <v>2272</v>
      </c>
      <c r="N308" s="21" t="s">
        <v>2272</v>
      </c>
      <c r="O308" s="21" t="s">
        <v>2272</v>
      </c>
      <c r="P308" s="21" t="s">
        <v>2272</v>
      </c>
      <c r="Q308" s="21" t="s">
        <v>2272</v>
      </c>
      <c r="R308" s="21" t="s">
        <v>2272</v>
      </c>
      <c r="S308" s="21" t="s">
        <v>2272</v>
      </c>
      <c r="T308" s="21" t="s">
        <v>2272</v>
      </c>
      <c r="U308" s="21" t="s">
        <v>2272</v>
      </c>
      <c r="V308" s="21" t="s">
        <v>2272</v>
      </c>
      <c r="W308" s="21" t="s">
        <v>2272</v>
      </c>
      <c r="X308" s="21" t="s">
        <v>2272</v>
      </c>
      <c r="Y308" s="21" t="s">
        <v>2272</v>
      </c>
      <c r="Z308" s="21" t="s">
        <v>2272</v>
      </c>
      <c r="AA308" s="198" t="s">
        <v>2272</v>
      </c>
      <c r="AB308" s="198" t="s">
        <v>2272</v>
      </c>
      <c r="AC308" s="198" t="s">
        <v>2272</v>
      </c>
      <c r="AD308" s="4"/>
      <c r="AE308" s="4"/>
    </row>
    <row r="309" spans="1:31" ht="112" customHeight="1">
      <c r="A309" s="198" t="s">
        <v>1734</v>
      </c>
      <c r="B309" s="198" t="s">
        <v>1788</v>
      </c>
      <c r="C309" s="198" t="s">
        <v>23</v>
      </c>
      <c r="D309" s="198" t="s">
        <v>141</v>
      </c>
      <c r="E309" s="4" t="s">
        <v>128</v>
      </c>
      <c r="F309" s="4" t="s">
        <v>73</v>
      </c>
      <c r="G309" s="198" t="s">
        <v>2272</v>
      </c>
      <c r="H309" s="4" t="s">
        <v>521</v>
      </c>
      <c r="I309" s="198"/>
      <c r="J309" s="21" t="s">
        <v>2272</v>
      </c>
      <c r="K309" s="21" t="s">
        <v>2272</v>
      </c>
      <c r="L309" s="21" t="s">
        <v>2272</v>
      </c>
      <c r="M309" s="21" t="s">
        <v>2272</v>
      </c>
      <c r="N309" s="21" t="s">
        <v>2272</v>
      </c>
      <c r="O309" s="21" t="s">
        <v>2272</v>
      </c>
      <c r="P309" s="21" t="s">
        <v>2272</v>
      </c>
      <c r="Q309" s="21" t="s">
        <v>2272</v>
      </c>
      <c r="R309" s="21" t="s">
        <v>2272</v>
      </c>
      <c r="S309" s="21" t="s">
        <v>2272</v>
      </c>
      <c r="T309" s="21" t="s">
        <v>2272</v>
      </c>
      <c r="U309" s="21" t="s">
        <v>2272</v>
      </c>
      <c r="V309" s="21" t="s">
        <v>2272</v>
      </c>
      <c r="W309" s="21" t="s">
        <v>2272</v>
      </c>
      <c r="X309" s="21" t="s">
        <v>2272</v>
      </c>
      <c r="Y309" s="21" t="s">
        <v>2272</v>
      </c>
      <c r="Z309" s="21" t="s">
        <v>2272</v>
      </c>
      <c r="AA309" s="198" t="s">
        <v>2272</v>
      </c>
      <c r="AB309" s="198" t="s">
        <v>2272</v>
      </c>
      <c r="AC309" s="198" t="s">
        <v>2272</v>
      </c>
      <c r="AD309" s="4"/>
      <c r="AE309" s="4"/>
    </row>
    <row r="310" spans="1:31" ht="112" customHeight="1">
      <c r="A310" s="198" t="s">
        <v>1734</v>
      </c>
      <c r="B310" s="198" t="s">
        <v>1789</v>
      </c>
      <c r="C310" s="198" t="s">
        <v>23</v>
      </c>
      <c r="D310" s="198" t="s">
        <v>26</v>
      </c>
      <c r="E310" s="4" t="s">
        <v>128</v>
      </c>
      <c r="F310" s="4" t="s">
        <v>159</v>
      </c>
      <c r="G310" s="198" t="s">
        <v>2272</v>
      </c>
      <c r="H310" s="4" t="s">
        <v>521</v>
      </c>
      <c r="I310" s="198"/>
      <c r="J310" s="21" t="s">
        <v>2272</v>
      </c>
      <c r="K310" s="21" t="s">
        <v>2272</v>
      </c>
      <c r="L310" s="21" t="s">
        <v>2272</v>
      </c>
      <c r="M310" s="21" t="s">
        <v>2272</v>
      </c>
      <c r="N310" s="21" t="s">
        <v>2272</v>
      </c>
      <c r="O310" s="21" t="s">
        <v>2272</v>
      </c>
      <c r="P310" s="21" t="s">
        <v>2272</v>
      </c>
      <c r="Q310" s="21" t="s">
        <v>2272</v>
      </c>
      <c r="R310" s="21" t="s">
        <v>2272</v>
      </c>
      <c r="S310" s="21" t="s">
        <v>2272</v>
      </c>
      <c r="T310" s="21" t="s">
        <v>2272</v>
      </c>
      <c r="U310" s="21" t="s">
        <v>2272</v>
      </c>
      <c r="V310" s="21" t="s">
        <v>2272</v>
      </c>
      <c r="W310" s="21" t="s">
        <v>2272</v>
      </c>
      <c r="X310" s="21" t="s">
        <v>2272</v>
      </c>
      <c r="Y310" s="21" t="s">
        <v>2272</v>
      </c>
      <c r="Z310" s="21" t="s">
        <v>2272</v>
      </c>
      <c r="AA310" s="198" t="s">
        <v>2272</v>
      </c>
      <c r="AB310" s="198" t="s">
        <v>2272</v>
      </c>
      <c r="AC310" s="198" t="s">
        <v>2272</v>
      </c>
      <c r="AD310" s="4"/>
      <c r="AE310" s="4"/>
    </row>
    <row r="311" spans="1:31" ht="112" customHeight="1">
      <c r="A311" s="198" t="s">
        <v>1735</v>
      </c>
      <c r="B311" s="198" t="s">
        <v>1790</v>
      </c>
      <c r="C311" s="198" t="s">
        <v>23</v>
      </c>
      <c r="D311" s="198" t="s">
        <v>141</v>
      </c>
      <c r="E311" s="4" t="s">
        <v>395</v>
      </c>
      <c r="F311" s="4" t="s">
        <v>73</v>
      </c>
      <c r="G311" s="198" t="s">
        <v>2272</v>
      </c>
      <c r="H311" s="4" t="s">
        <v>521</v>
      </c>
      <c r="I311" s="198"/>
      <c r="J311" s="21" t="s">
        <v>2272</v>
      </c>
      <c r="K311" s="21" t="s">
        <v>2272</v>
      </c>
      <c r="L311" s="21" t="s">
        <v>2272</v>
      </c>
      <c r="M311" s="21" t="s">
        <v>2272</v>
      </c>
      <c r="N311" s="21" t="s">
        <v>2272</v>
      </c>
      <c r="O311" s="21" t="s">
        <v>2272</v>
      </c>
      <c r="P311" s="21" t="s">
        <v>2272</v>
      </c>
      <c r="Q311" s="21" t="s">
        <v>2272</v>
      </c>
      <c r="R311" s="21" t="s">
        <v>2272</v>
      </c>
      <c r="S311" s="21" t="s">
        <v>2272</v>
      </c>
      <c r="T311" s="21" t="s">
        <v>2272</v>
      </c>
      <c r="U311" s="21" t="s">
        <v>2272</v>
      </c>
      <c r="V311" s="21" t="s">
        <v>2272</v>
      </c>
      <c r="W311" s="21" t="s">
        <v>2272</v>
      </c>
      <c r="X311" s="21" t="s">
        <v>2272</v>
      </c>
      <c r="Y311" s="21" t="s">
        <v>2272</v>
      </c>
      <c r="Z311" s="21" t="s">
        <v>2272</v>
      </c>
      <c r="AA311" s="198" t="s">
        <v>2272</v>
      </c>
      <c r="AB311" s="198" t="s">
        <v>2272</v>
      </c>
      <c r="AC311" s="198" t="s">
        <v>2272</v>
      </c>
      <c r="AD311" s="4"/>
      <c r="AE311" s="4"/>
    </row>
    <row r="312" spans="1:31" ht="112" customHeight="1">
      <c r="A312" s="198" t="s">
        <v>1735</v>
      </c>
      <c r="B312" s="198" t="s">
        <v>1791</v>
      </c>
      <c r="C312" s="198" t="s">
        <v>23</v>
      </c>
      <c r="D312" s="198" t="s">
        <v>141</v>
      </c>
      <c r="E312" s="4" t="s">
        <v>128</v>
      </c>
      <c r="F312" s="4" t="s">
        <v>73</v>
      </c>
      <c r="G312" s="198" t="s">
        <v>2272</v>
      </c>
      <c r="H312" s="4" t="s">
        <v>521</v>
      </c>
      <c r="I312" s="198"/>
      <c r="J312" s="21" t="s">
        <v>2272</v>
      </c>
      <c r="K312" s="21" t="s">
        <v>2272</v>
      </c>
      <c r="L312" s="21" t="s">
        <v>2272</v>
      </c>
      <c r="M312" s="21" t="s">
        <v>2272</v>
      </c>
      <c r="N312" s="21" t="s">
        <v>2272</v>
      </c>
      <c r="O312" s="21" t="s">
        <v>2272</v>
      </c>
      <c r="P312" s="21" t="s">
        <v>2272</v>
      </c>
      <c r="Q312" s="21" t="s">
        <v>2272</v>
      </c>
      <c r="R312" s="21" t="s">
        <v>2272</v>
      </c>
      <c r="S312" s="21" t="s">
        <v>2272</v>
      </c>
      <c r="T312" s="21" t="s">
        <v>2272</v>
      </c>
      <c r="U312" s="21" t="s">
        <v>2272</v>
      </c>
      <c r="V312" s="21" t="s">
        <v>2272</v>
      </c>
      <c r="W312" s="21" t="s">
        <v>2272</v>
      </c>
      <c r="X312" s="21" t="s">
        <v>2272</v>
      </c>
      <c r="Y312" s="21" t="s">
        <v>2272</v>
      </c>
      <c r="Z312" s="21" t="s">
        <v>2272</v>
      </c>
      <c r="AA312" s="198" t="s">
        <v>2272</v>
      </c>
      <c r="AB312" s="198" t="s">
        <v>2272</v>
      </c>
      <c r="AC312" s="198" t="s">
        <v>2272</v>
      </c>
      <c r="AD312" s="4"/>
      <c r="AE312" s="4"/>
    </row>
    <row r="313" spans="1:31" ht="112" customHeight="1">
      <c r="A313" s="198" t="s">
        <v>1735</v>
      </c>
      <c r="B313" s="198" t="s">
        <v>1792</v>
      </c>
      <c r="C313" s="198" t="s">
        <v>23</v>
      </c>
      <c r="D313" s="198" t="s">
        <v>26</v>
      </c>
      <c r="E313" s="4" t="s">
        <v>128</v>
      </c>
      <c r="F313" s="4" t="s">
        <v>159</v>
      </c>
      <c r="G313" s="198" t="s">
        <v>2272</v>
      </c>
      <c r="H313" s="4" t="s">
        <v>521</v>
      </c>
      <c r="I313" s="198"/>
      <c r="J313" s="21" t="s">
        <v>2272</v>
      </c>
      <c r="K313" s="21" t="s">
        <v>2272</v>
      </c>
      <c r="L313" s="21" t="s">
        <v>2272</v>
      </c>
      <c r="M313" s="21" t="s">
        <v>2272</v>
      </c>
      <c r="N313" s="21" t="s">
        <v>2272</v>
      </c>
      <c r="O313" s="21" t="s">
        <v>2272</v>
      </c>
      <c r="P313" s="21" t="s">
        <v>2272</v>
      </c>
      <c r="Q313" s="21" t="s">
        <v>2272</v>
      </c>
      <c r="R313" s="21" t="s">
        <v>2272</v>
      </c>
      <c r="S313" s="21" t="s">
        <v>2272</v>
      </c>
      <c r="T313" s="21" t="s">
        <v>2272</v>
      </c>
      <c r="U313" s="21" t="s">
        <v>2272</v>
      </c>
      <c r="V313" s="21" t="s">
        <v>2272</v>
      </c>
      <c r="W313" s="21" t="s">
        <v>2272</v>
      </c>
      <c r="X313" s="21" t="s">
        <v>2272</v>
      </c>
      <c r="Y313" s="21" t="s">
        <v>2272</v>
      </c>
      <c r="Z313" s="21" t="s">
        <v>2272</v>
      </c>
      <c r="AA313" s="198" t="s">
        <v>2272</v>
      </c>
      <c r="AB313" s="198" t="s">
        <v>2272</v>
      </c>
      <c r="AC313" s="198" t="s">
        <v>2272</v>
      </c>
      <c r="AD313" s="4"/>
      <c r="AE313" s="4"/>
    </row>
    <row r="314" spans="1:31" ht="112" customHeight="1">
      <c r="A314" s="198" t="s">
        <v>1736</v>
      </c>
      <c r="B314" s="198" t="s">
        <v>1793</v>
      </c>
      <c r="C314" s="198" t="s">
        <v>23</v>
      </c>
      <c r="D314" s="198" t="s">
        <v>141</v>
      </c>
      <c r="E314" s="4" t="s">
        <v>395</v>
      </c>
      <c r="F314" s="4" t="s">
        <v>73</v>
      </c>
      <c r="G314" s="198" t="s">
        <v>2272</v>
      </c>
      <c r="H314" s="4" t="s">
        <v>521</v>
      </c>
      <c r="I314" s="198"/>
      <c r="J314" s="21" t="s">
        <v>2272</v>
      </c>
      <c r="K314" s="21" t="s">
        <v>2272</v>
      </c>
      <c r="L314" s="21" t="s">
        <v>2272</v>
      </c>
      <c r="M314" s="21" t="s">
        <v>2272</v>
      </c>
      <c r="N314" s="21" t="s">
        <v>2272</v>
      </c>
      <c r="O314" s="21" t="s">
        <v>2272</v>
      </c>
      <c r="P314" s="21" t="s">
        <v>2272</v>
      </c>
      <c r="Q314" s="21" t="s">
        <v>2272</v>
      </c>
      <c r="R314" s="21" t="s">
        <v>2272</v>
      </c>
      <c r="S314" s="21" t="s">
        <v>2272</v>
      </c>
      <c r="T314" s="21" t="s">
        <v>2272</v>
      </c>
      <c r="U314" s="21" t="s">
        <v>2272</v>
      </c>
      <c r="V314" s="21" t="s">
        <v>2272</v>
      </c>
      <c r="W314" s="21" t="s">
        <v>2272</v>
      </c>
      <c r="X314" s="21" t="s">
        <v>2272</v>
      </c>
      <c r="Y314" s="21" t="s">
        <v>2272</v>
      </c>
      <c r="Z314" s="21" t="s">
        <v>2272</v>
      </c>
      <c r="AA314" s="198" t="s">
        <v>2272</v>
      </c>
      <c r="AB314" s="198" t="s">
        <v>2272</v>
      </c>
      <c r="AC314" s="198" t="s">
        <v>2272</v>
      </c>
      <c r="AD314" s="4"/>
      <c r="AE314" s="4"/>
    </row>
    <row r="315" spans="1:31" ht="112" customHeight="1">
      <c r="A315" s="198" t="s">
        <v>1737</v>
      </c>
      <c r="B315" s="198" t="s">
        <v>1794</v>
      </c>
      <c r="C315" s="198" t="s">
        <v>23</v>
      </c>
      <c r="D315" s="198" t="s">
        <v>141</v>
      </c>
      <c r="E315" s="4" t="s">
        <v>128</v>
      </c>
      <c r="F315" s="4" t="s">
        <v>73</v>
      </c>
      <c r="G315" s="198" t="s">
        <v>2272</v>
      </c>
      <c r="H315" s="4" t="s">
        <v>521</v>
      </c>
      <c r="I315" s="198"/>
      <c r="J315" s="21" t="s">
        <v>2272</v>
      </c>
      <c r="K315" s="21" t="s">
        <v>2272</v>
      </c>
      <c r="L315" s="21" t="s">
        <v>2272</v>
      </c>
      <c r="M315" s="21" t="s">
        <v>2272</v>
      </c>
      <c r="N315" s="21" t="s">
        <v>2272</v>
      </c>
      <c r="O315" s="21" t="s">
        <v>2272</v>
      </c>
      <c r="P315" s="21" t="s">
        <v>2272</v>
      </c>
      <c r="Q315" s="21" t="s">
        <v>2272</v>
      </c>
      <c r="R315" s="21" t="s">
        <v>2272</v>
      </c>
      <c r="S315" s="21" t="s">
        <v>2272</v>
      </c>
      <c r="T315" s="21" t="s">
        <v>2272</v>
      </c>
      <c r="U315" s="21" t="s">
        <v>2272</v>
      </c>
      <c r="V315" s="21" t="s">
        <v>2272</v>
      </c>
      <c r="W315" s="21" t="s">
        <v>2272</v>
      </c>
      <c r="X315" s="21" t="s">
        <v>2272</v>
      </c>
      <c r="Y315" s="21" t="s">
        <v>2272</v>
      </c>
      <c r="Z315" s="21" t="s">
        <v>2272</v>
      </c>
      <c r="AA315" s="198" t="s">
        <v>2272</v>
      </c>
      <c r="AB315" s="198" t="s">
        <v>2272</v>
      </c>
      <c r="AC315" s="198" t="s">
        <v>2272</v>
      </c>
      <c r="AD315" s="4"/>
      <c r="AE315" s="4"/>
    </row>
    <row r="316" spans="1:31" ht="112" customHeight="1">
      <c r="A316" s="198" t="s">
        <v>1737</v>
      </c>
      <c r="B316" s="198" t="s">
        <v>1795</v>
      </c>
      <c r="C316" s="198" t="s">
        <v>23</v>
      </c>
      <c r="D316" s="198" t="s">
        <v>26</v>
      </c>
      <c r="E316" s="4" t="s">
        <v>128</v>
      </c>
      <c r="F316" s="4" t="s">
        <v>159</v>
      </c>
      <c r="G316" s="198" t="s">
        <v>2272</v>
      </c>
      <c r="H316" s="4" t="s">
        <v>521</v>
      </c>
      <c r="I316" s="198"/>
      <c r="J316" s="21" t="s">
        <v>2272</v>
      </c>
      <c r="K316" s="21" t="s">
        <v>2272</v>
      </c>
      <c r="L316" s="21" t="s">
        <v>2272</v>
      </c>
      <c r="M316" s="21" t="s">
        <v>2272</v>
      </c>
      <c r="N316" s="21" t="s">
        <v>2272</v>
      </c>
      <c r="O316" s="21" t="s">
        <v>2272</v>
      </c>
      <c r="P316" s="21" t="s">
        <v>2272</v>
      </c>
      <c r="Q316" s="21" t="s">
        <v>2272</v>
      </c>
      <c r="R316" s="21" t="s">
        <v>2272</v>
      </c>
      <c r="S316" s="21" t="s">
        <v>2272</v>
      </c>
      <c r="T316" s="21" t="s">
        <v>2272</v>
      </c>
      <c r="U316" s="21" t="s">
        <v>2272</v>
      </c>
      <c r="V316" s="21" t="s">
        <v>2272</v>
      </c>
      <c r="W316" s="21" t="s">
        <v>2272</v>
      </c>
      <c r="X316" s="21" t="s">
        <v>2272</v>
      </c>
      <c r="Y316" s="21" t="s">
        <v>2272</v>
      </c>
      <c r="Z316" s="21" t="s">
        <v>2272</v>
      </c>
      <c r="AA316" s="198" t="s">
        <v>2272</v>
      </c>
      <c r="AB316" s="198" t="s">
        <v>2272</v>
      </c>
      <c r="AC316" s="198" t="s">
        <v>2272</v>
      </c>
      <c r="AD316" s="4"/>
      <c r="AE316" s="4"/>
    </row>
    <row r="317" spans="1:31" ht="112" customHeight="1">
      <c r="A317" s="198" t="s">
        <v>1738</v>
      </c>
      <c r="B317" s="198" t="s">
        <v>1796</v>
      </c>
      <c r="C317" s="198" t="s">
        <v>23</v>
      </c>
      <c r="D317" s="198" t="s">
        <v>141</v>
      </c>
      <c r="E317" s="4" t="s">
        <v>128</v>
      </c>
      <c r="F317" s="4" t="s">
        <v>73</v>
      </c>
      <c r="G317" s="198" t="s">
        <v>2272</v>
      </c>
      <c r="H317" s="4" t="s">
        <v>521</v>
      </c>
      <c r="I317" s="198"/>
      <c r="J317" s="21" t="s">
        <v>2272</v>
      </c>
      <c r="K317" s="21" t="s">
        <v>2272</v>
      </c>
      <c r="L317" s="21" t="s">
        <v>2272</v>
      </c>
      <c r="M317" s="21" t="s">
        <v>2272</v>
      </c>
      <c r="N317" s="21" t="s">
        <v>2272</v>
      </c>
      <c r="O317" s="21" t="s">
        <v>2272</v>
      </c>
      <c r="P317" s="21" t="s">
        <v>2272</v>
      </c>
      <c r="Q317" s="21" t="s">
        <v>2272</v>
      </c>
      <c r="R317" s="21" t="s">
        <v>2272</v>
      </c>
      <c r="S317" s="21" t="s">
        <v>2272</v>
      </c>
      <c r="T317" s="21" t="s">
        <v>2272</v>
      </c>
      <c r="U317" s="21" t="s">
        <v>2272</v>
      </c>
      <c r="V317" s="21" t="s">
        <v>2272</v>
      </c>
      <c r="W317" s="21" t="s">
        <v>2272</v>
      </c>
      <c r="X317" s="21" t="s">
        <v>2272</v>
      </c>
      <c r="Y317" s="21" t="s">
        <v>2272</v>
      </c>
      <c r="Z317" s="21" t="s">
        <v>2272</v>
      </c>
      <c r="AA317" s="198" t="s">
        <v>2272</v>
      </c>
      <c r="AB317" s="198" t="s">
        <v>2272</v>
      </c>
      <c r="AC317" s="198" t="s">
        <v>2272</v>
      </c>
      <c r="AD317" s="4"/>
      <c r="AE317" s="4"/>
    </row>
    <row r="318" spans="1:31" ht="112" customHeight="1">
      <c r="A318" s="198" t="s">
        <v>1738</v>
      </c>
      <c r="B318" s="198" t="s">
        <v>1797</v>
      </c>
      <c r="C318" s="198" t="s">
        <v>23</v>
      </c>
      <c r="D318" s="198" t="s">
        <v>26</v>
      </c>
      <c r="E318" s="4" t="s">
        <v>128</v>
      </c>
      <c r="F318" s="4" t="s">
        <v>159</v>
      </c>
      <c r="G318" s="198" t="s">
        <v>2272</v>
      </c>
      <c r="H318" s="4" t="s">
        <v>521</v>
      </c>
      <c r="I318" s="198"/>
      <c r="J318" s="21" t="s">
        <v>2272</v>
      </c>
      <c r="K318" s="21" t="s">
        <v>2272</v>
      </c>
      <c r="L318" s="21" t="s">
        <v>2272</v>
      </c>
      <c r="M318" s="21" t="s">
        <v>2272</v>
      </c>
      <c r="N318" s="21" t="s">
        <v>2272</v>
      </c>
      <c r="O318" s="21" t="s">
        <v>2272</v>
      </c>
      <c r="P318" s="21" t="s">
        <v>2272</v>
      </c>
      <c r="Q318" s="21" t="s">
        <v>2272</v>
      </c>
      <c r="R318" s="21" t="s">
        <v>2272</v>
      </c>
      <c r="S318" s="21" t="s">
        <v>2272</v>
      </c>
      <c r="T318" s="21" t="s">
        <v>2272</v>
      </c>
      <c r="U318" s="21" t="s">
        <v>2272</v>
      </c>
      <c r="V318" s="21" t="s">
        <v>2272</v>
      </c>
      <c r="W318" s="21" t="s">
        <v>2272</v>
      </c>
      <c r="X318" s="21" t="s">
        <v>2272</v>
      </c>
      <c r="Y318" s="21" t="s">
        <v>2272</v>
      </c>
      <c r="Z318" s="21" t="s">
        <v>2272</v>
      </c>
      <c r="AA318" s="198" t="s">
        <v>2272</v>
      </c>
      <c r="AB318" s="198" t="s">
        <v>2272</v>
      </c>
      <c r="AC318" s="198" t="s">
        <v>2272</v>
      </c>
      <c r="AD318" s="4"/>
      <c r="AE318" s="4"/>
    </row>
    <row r="319" spans="1:31" ht="112" customHeight="1">
      <c r="A319" s="198" t="s">
        <v>1739</v>
      </c>
      <c r="B319" s="198" t="s">
        <v>1798</v>
      </c>
      <c r="C319" s="198" t="s">
        <v>23</v>
      </c>
      <c r="D319" s="198" t="s">
        <v>141</v>
      </c>
      <c r="E319" s="4" t="s">
        <v>128</v>
      </c>
      <c r="F319" s="4" t="s">
        <v>73</v>
      </c>
      <c r="G319" s="198" t="s">
        <v>2272</v>
      </c>
      <c r="H319" s="4" t="s">
        <v>521</v>
      </c>
      <c r="I319" s="198"/>
      <c r="J319" s="21" t="s">
        <v>2272</v>
      </c>
      <c r="K319" s="21" t="s">
        <v>2272</v>
      </c>
      <c r="L319" s="21" t="s">
        <v>2272</v>
      </c>
      <c r="M319" s="21" t="s">
        <v>2272</v>
      </c>
      <c r="N319" s="21" t="s">
        <v>2272</v>
      </c>
      <c r="O319" s="21" t="s">
        <v>2272</v>
      </c>
      <c r="P319" s="21" t="s">
        <v>2272</v>
      </c>
      <c r="Q319" s="21" t="s">
        <v>2272</v>
      </c>
      <c r="R319" s="21" t="s">
        <v>2272</v>
      </c>
      <c r="S319" s="21" t="s">
        <v>2272</v>
      </c>
      <c r="T319" s="21" t="s">
        <v>2272</v>
      </c>
      <c r="U319" s="21" t="s">
        <v>2272</v>
      </c>
      <c r="V319" s="21" t="s">
        <v>2272</v>
      </c>
      <c r="W319" s="21" t="s">
        <v>2272</v>
      </c>
      <c r="X319" s="21" t="s">
        <v>2272</v>
      </c>
      <c r="Y319" s="21" t="s">
        <v>2272</v>
      </c>
      <c r="Z319" s="21" t="s">
        <v>2272</v>
      </c>
      <c r="AA319" s="198" t="s">
        <v>2272</v>
      </c>
      <c r="AB319" s="198" t="s">
        <v>2272</v>
      </c>
      <c r="AC319" s="198" t="s">
        <v>2272</v>
      </c>
      <c r="AD319" s="4"/>
      <c r="AE319" s="4"/>
    </row>
    <row r="320" spans="1:31" ht="112" customHeight="1">
      <c r="A320" s="198" t="s">
        <v>1739</v>
      </c>
      <c r="B320" s="198" t="s">
        <v>1799</v>
      </c>
      <c r="C320" s="198" t="s">
        <v>23</v>
      </c>
      <c r="D320" s="198" t="s">
        <v>26</v>
      </c>
      <c r="E320" s="4" t="s">
        <v>128</v>
      </c>
      <c r="F320" s="4" t="s">
        <v>159</v>
      </c>
      <c r="G320" s="198" t="s">
        <v>2272</v>
      </c>
      <c r="H320" s="4" t="s">
        <v>521</v>
      </c>
      <c r="I320" s="198"/>
      <c r="J320" s="21" t="s">
        <v>2272</v>
      </c>
      <c r="K320" s="21" t="s">
        <v>2272</v>
      </c>
      <c r="L320" s="21" t="s">
        <v>2272</v>
      </c>
      <c r="M320" s="21" t="s">
        <v>2272</v>
      </c>
      <c r="N320" s="21" t="s">
        <v>2272</v>
      </c>
      <c r="O320" s="21" t="s">
        <v>2272</v>
      </c>
      <c r="P320" s="21" t="s">
        <v>2272</v>
      </c>
      <c r="Q320" s="21" t="s">
        <v>2272</v>
      </c>
      <c r="R320" s="21" t="s">
        <v>2272</v>
      </c>
      <c r="S320" s="21" t="s">
        <v>2272</v>
      </c>
      <c r="T320" s="21" t="s">
        <v>2272</v>
      </c>
      <c r="U320" s="21" t="s">
        <v>2272</v>
      </c>
      <c r="V320" s="21" t="s">
        <v>2272</v>
      </c>
      <c r="W320" s="21" t="s">
        <v>2272</v>
      </c>
      <c r="X320" s="21" t="s">
        <v>2272</v>
      </c>
      <c r="Y320" s="21" t="s">
        <v>2272</v>
      </c>
      <c r="Z320" s="21" t="s">
        <v>2272</v>
      </c>
      <c r="AA320" s="198" t="s">
        <v>2272</v>
      </c>
      <c r="AB320" s="198" t="s">
        <v>2272</v>
      </c>
      <c r="AC320" s="198" t="s">
        <v>2272</v>
      </c>
      <c r="AD320" s="4"/>
      <c r="AE320" s="4"/>
    </row>
    <row r="321" spans="1:31" ht="112" customHeight="1">
      <c r="A321" s="198" t="s">
        <v>1739</v>
      </c>
      <c r="B321" s="198" t="s">
        <v>1800</v>
      </c>
      <c r="C321" s="198" t="s">
        <v>23</v>
      </c>
      <c r="D321" s="198" t="s">
        <v>141</v>
      </c>
      <c r="E321" s="4" t="s">
        <v>395</v>
      </c>
      <c r="F321" s="4" t="s">
        <v>73</v>
      </c>
      <c r="G321" s="198" t="s">
        <v>2272</v>
      </c>
      <c r="H321" s="4" t="s">
        <v>521</v>
      </c>
      <c r="I321" s="198"/>
      <c r="J321" s="21" t="s">
        <v>2272</v>
      </c>
      <c r="K321" s="21" t="s">
        <v>2272</v>
      </c>
      <c r="L321" s="21" t="s">
        <v>2272</v>
      </c>
      <c r="M321" s="21" t="s">
        <v>2272</v>
      </c>
      <c r="N321" s="21" t="s">
        <v>2272</v>
      </c>
      <c r="O321" s="21" t="s">
        <v>2272</v>
      </c>
      <c r="P321" s="21" t="s">
        <v>2272</v>
      </c>
      <c r="Q321" s="21" t="s">
        <v>2272</v>
      </c>
      <c r="R321" s="21" t="s">
        <v>2272</v>
      </c>
      <c r="S321" s="21" t="s">
        <v>2272</v>
      </c>
      <c r="T321" s="21" t="s">
        <v>2272</v>
      </c>
      <c r="U321" s="21" t="s">
        <v>2272</v>
      </c>
      <c r="V321" s="21" t="s">
        <v>2272</v>
      </c>
      <c r="W321" s="21" t="s">
        <v>2272</v>
      </c>
      <c r="X321" s="21" t="s">
        <v>2272</v>
      </c>
      <c r="Y321" s="21" t="s">
        <v>2272</v>
      </c>
      <c r="Z321" s="21" t="s">
        <v>2272</v>
      </c>
      <c r="AA321" s="198" t="s">
        <v>2272</v>
      </c>
      <c r="AB321" s="198" t="s">
        <v>2272</v>
      </c>
      <c r="AC321" s="198" t="s">
        <v>2272</v>
      </c>
      <c r="AD321" s="4"/>
      <c r="AE321" s="4"/>
    </row>
    <row r="322" spans="1:31" ht="112" customHeight="1">
      <c r="A322" s="198" t="s">
        <v>1740</v>
      </c>
      <c r="B322" s="198" t="s">
        <v>1801</v>
      </c>
      <c r="C322" s="198" t="s">
        <v>23</v>
      </c>
      <c r="D322" s="198" t="s">
        <v>141</v>
      </c>
      <c r="E322" s="4" t="s">
        <v>128</v>
      </c>
      <c r="F322" s="4" t="s">
        <v>73</v>
      </c>
      <c r="G322" s="198" t="s">
        <v>2272</v>
      </c>
      <c r="H322" s="4" t="s">
        <v>521</v>
      </c>
      <c r="I322" s="198"/>
      <c r="J322" s="21" t="s">
        <v>2272</v>
      </c>
      <c r="K322" s="21" t="s">
        <v>2272</v>
      </c>
      <c r="L322" s="21" t="s">
        <v>2272</v>
      </c>
      <c r="M322" s="21" t="s">
        <v>2272</v>
      </c>
      <c r="N322" s="21" t="s">
        <v>2272</v>
      </c>
      <c r="O322" s="21" t="s">
        <v>2272</v>
      </c>
      <c r="P322" s="21" t="s">
        <v>2272</v>
      </c>
      <c r="Q322" s="21" t="s">
        <v>2272</v>
      </c>
      <c r="R322" s="21" t="s">
        <v>2272</v>
      </c>
      <c r="S322" s="21" t="s">
        <v>2272</v>
      </c>
      <c r="T322" s="21" t="s">
        <v>2272</v>
      </c>
      <c r="U322" s="21" t="s">
        <v>2272</v>
      </c>
      <c r="V322" s="21" t="s">
        <v>2272</v>
      </c>
      <c r="W322" s="21" t="s">
        <v>2272</v>
      </c>
      <c r="X322" s="21" t="s">
        <v>2272</v>
      </c>
      <c r="Y322" s="21" t="s">
        <v>2272</v>
      </c>
      <c r="Z322" s="21" t="s">
        <v>2272</v>
      </c>
      <c r="AA322" s="198" t="s">
        <v>2272</v>
      </c>
      <c r="AB322" s="198" t="s">
        <v>2272</v>
      </c>
      <c r="AC322" s="198" t="s">
        <v>2272</v>
      </c>
      <c r="AD322" s="4"/>
      <c r="AE322" s="4"/>
    </row>
    <row r="323" spans="1:31" ht="112" customHeight="1">
      <c r="A323" s="198" t="s">
        <v>1740</v>
      </c>
      <c r="B323" s="198" t="s">
        <v>1802</v>
      </c>
      <c r="C323" s="198" t="s">
        <v>23</v>
      </c>
      <c r="D323" s="198" t="s">
        <v>26</v>
      </c>
      <c r="E323" s="4" t="s">
        <v>128</v>
      </c>
      <c r="F323" s="4" t="s">
        <v>159</v>
      </c>
      <c r="G323" s="198" t="s">
        <v>2272</v>
      </c>
      <c r="H323" s="4" t="s">
        <v>521</v>
      </c>
      <c r="I323" s="198"/>
      <c r="J323" s="21" t="s">
        <v>2272</v>
      </c>
      <c r="K323" s="21" t="s">
        <v>2272</v>
      </c>
      <c r="L323" s="21" t="s">
        <v>2272</v>
      </c>
      <c r="M323" s="21" t="s">
        <v>2272</v>
      </c>
      <c r="N323" s="21" t="s">
        <v>2272</v>
      </c>
      <c r="O323" s="21" t="s">
        <v>2272</v>
      </c>
      <c r="P323" s="21" t="s">
        <v>2272</v>
      </c>
      <c r="Q323" s="21" t="s">
        <v>2272</v>
      </c>
      <c r="R323" s="21" t="s">
        <v>2272</v>
      </c>
      <c r="S323" s="21" t="s">
        <v>2272</v>
      </c>
      <c r="T323" s="21" t="s">
        <v>2272</v>
      </c>
      <c r="U323" s="21" t="s">
        <v>2272</v>
      </c>
      <c r="V323" s="21" t="s">
        <v>2272</v>
      </c>
      <c r="W323" s="21" t="s">
        <v>2272</v>
      </c>
      <c r="X323" s="21" t="s">
        <v>2272</v>
      </c>
      <c r="Y323" s="21" t="s">
        <v>2272</v>
      </c>
      <c r="Z323" s="21" t="s">
        <v>2272</v>
      </c>
      <c r="AA323" s="198" t="s">
        <v>2272</v>
      </c>
      <c r="AB323" s="198" t="s">
        <v>2272</v>
      </c>
      <c r="AC323" s="198" t="s">
        <v>2272</v>
      </c>
      <c r="AD323" s="4"/>
      <c r="AE323" s="4"/>
    </row>
    <row r="324" spans="1:31" ht="112" customHeight="1">
      <c r="A324" s="198" t="s">
        <v>1740</v>
      </c>
      <c r="B324" s="198" t="s">
        <v>1803</v>
      </c>
      <c r="C324" s="198" t="s">
        <v>23</v>
      </c>
      <c r="D324" s="198" t="s">
        <v>141</v>
      </c>
      <c r="E324" s="4" t="s">
        <v>395</v>
      </c>
      <c r="F324" s="4" t="s">
        <v>73</v>
      </c>
      <c r="G324" s="198" t="s">
        <v>2272</v>
      </c>
      <c r="H324" s="4" t="s">
        <v>521</v>
      </c>
      <c r="I324" s="198"/>
      <c r="J324" s="21" t="s">
        <v>2272</v>
      </c>
      <c r="K324" s="21" t="s">
        <v>2272</v>
      </c>
      <c r="L324" s="21" t="s">
        <v>2272</v>
      </c>
      <c r="M324" s="21" t="s">
        <v>2272</v>
      </c>
      <c r="N324" s="21" t="s">
        <v>2272</v>
      </c>
      <c r="O324" s="21" t="s">
        <v>2272</v>
      </c>
      <c r="P324" s="21" t="s">
        <v>2272</v>
      </c>
      <c r="Q324" s="21" t="s">
        <v>2272</v>
      </c>
      <c r="R324" s="21" t="s">
        <v>2272</v>
      </c>
      <c r="S324" s="21" t="s">
        <v>2272</v>
      </c>
      <c r="T324" s="21" t="s">
        <v>2272</v>
      </c>
      <c r="U324" s="21" t="s">
        <v>2272</v>
      </c>
      <c r="V324" s="21" t="s">
        <v>2272</v>
      </c>
      <c r="W324" s="21" t="s">
        <v>2272</v>
      </c>
      <c r="X324" s="21" t="s">
        <v>2272</v>
      </c>
      <c r="Y324" s="21" t="s">
        <v>2272</v>
      </c>
      <c r="Z324" s="21" t="s">
        <v>2272</v>
      </c>
      <c r="AA324" s="198" t="s">
        <v>2272</v>
      </c>
      <c r="AB324" s="198" t="s">
        <v>2272</v>
      </c>
      <c r="AC324" s="198" t="s">
        <v>2272</v>
      </c>
      <c r="AD324" s="4"/>
      <c r="AE324" s="4"/>
    </row>
    <row r="325" spans="1:31" ht="112" customHeight="1">
      <c r="A325" s="198" t="s">
        <v>1741</v>
      </c>
      <c r="B325" s="198" t="s">
        <v>1804</v>
      </c>
      <c r="C325" s="198" t="s">
        <v>23</v>
      </c>
      <c r="D325" s="198" t="s">
        <v>141</v>
      </c>
      <c r="E325" s="4" t="s">
        <v>395</v>
      </c>
      <c r="F325" s="4" t="s">
        <v>73</v>
      </c>
      <c r="G325" s="198" t="s">
        <v>2272</v>
      </c>
      <c r="H325" s="4" t="s">
        <v>521</v>
      </c>
      <c r="I325" s="198"/>
      <c r="J325" s="21" t="s">
        <v>2272</v>
      </c>
      <c r="K325" s="21" t="s">
        <v>2272</v>
      </c>
      <c r="L325" s="21" t="s">
        <v>2272</v>
      </c>
      <c r="M325" s="21" t="s">
        <v>2272</v>
      </c>
      <c r="N325" s="21" t="s">
        <v>2272</v>
      </c>
      <c r="O325" s="21" t="s">
        <v>2272</v>
      </c>
      <c r="P325" s="21" t="s">
        <v>2272</v>
      </c>
      <c r="Q325" s="21" t="s">
        <v>2272</v>
      </c>
      <c r="R325" s="21" t="s">
        <v>2272</v>
      </c>
      <c r="S325" s="21" t="s">
        <v>2272</v>
      </c>
      <c r="T325" s="21" t="s">
        <v>2272</v>
      </c>
      <c r="U325" s="21" t="s">
        <v>2272</v>
      </c>
      <c r="V325" s="21" t="s">
        <v>2272</v>
      </c>
      <c r="W325" s="21" t="s">
        <v>2272</v>
      </c>
      <c r="X325" s="21" t="s">
        <v>2272</v>
      </c>
      <c r="Y325" s="21" t="s">
        <v>2272</v>
      </c>
      <c r="Z325" s="21" t="s">
        <v>2272</v>
      </c>
      <c r="AA325" s="198" t="s">
        <v>2272</v>
      </c>
      <c r="AB325" s="198" t="s">
        <v>2272</v>
      </c>
      <c r="AC325" s="198" t="s">
        <v>2272</v>
      </c>
      <c r="AD325" s="4"/>
      <c r="AE325" s="4"/>
    </row>
    <row r="326" spans="1:31" ht="112" customHeight="1">
      <c r="A326" s="198" t="s">
        <v>1742</v>
      </c>
      <c r="B326" s="198" t="s">
        <v>1805</v>
      </c>
      <c r="C326" s="198" t="s">
        <v>23</v>
      </c>
      <c r="D326" s="198" t="s">
        <v>141</v>
      </c>
      <c r="E326" s="4" t="s">
        <v>128</v>
      </c>
      <c r="F326" s="4" t="s">
        <v>73</v>
      </c>
      <c r="G326" s="198" t="s">
        <v>2272</v>
      </c>
      <c r="H326" s="4" t="s">
        <v>521</v>
      </c>
      <c r="I326" s="198"/>
      <c r="J326" s="21" t="s">
        <v>2272</v>
      </c>
      <c r="K326" s="21" t="s">
        <v>2272</v>
      </c>
      <c r="L326" s="21" t="s">
        <v>2272</v>
      </c>
      <c r="M326" s="21" t="s">
        <v>2272</v>
      </c>
      <c r="N326" s="21" t="s">
        <v>2272</v>
      </c>
      <c r="O326" s="21" t="s">
        <v>2272</v>
      </c>
      <c r="P326" s="21" t="s">
        <v>2272</v>
      </c>
      <c r="Q326" s="21" t="s">
        <v>2272</v>
      </c>
      <c r="R326" s="21" t="s">
        <v>2272</v>
      </c>
      <c r="S326" s="21" t="s">
        <v>2272</v>
      </c>
      <c r="T326" s="21" t="s">
        <v>2272</v>
      </c>
      <c r="U326" s="21" t="s">
        <v>2272</v>
      </c>
      <c r="V326" s="21" t="s">
        <v>2272</v>
      </c>
      <c r="W326" s="21" t="s">
        <v>2272</v>
      </c>
      <c r="X326" s="21" t="s">
        <v>2272</v>
      </c>
      <c r="Y326" s="21" t="s">
        <v>2272</v>
      </c>
      <c r="Z326" s="21" t="s">
        <v>2272</v>
      </c>
      <c r="AA326" s="198" t="s">
        <v>2272</v>
      </c>
      <c r="AB326" s="198" t="s">
        <v>2272</v>
      </c>
      <c r="AC326" s="198" t="s">
        <v>2272</v>
      </c>
      <c r="AD326" s="4"/>
      <c r="AE326" s="4"/>
    </row>
    <row r="327" spans="1:31" ht="112" customHeight="1">
      <c r="A327" s="198" t="s">
        <v>1742</v>
      </c>
      <c r="B327" s="198" t="s">
        <v>1806</v>
      </c>
      <c r="C327" s="198" t="s">
        <v>23</v>
      </c>
      <c r="D327" s="198" t="s">
        <v>26</v>
      </c>
      <c r="E327" s="4" t="s">
        <v>128</v>
      </c>
      <c r="F327" s="4" t="s">
        <v>159</v>
      </c>
      <c r="G327" s="198" t="s">
        <v>2272</v>
      </c>
      <c r="H327" s="4" t="s">
        <v>521</v>
      </c>
      <c r="I327" s="198"/>
      <c r="J327" s="21" t="s">
        <v>2272</v>
      </c>
      <c r="K327" s="21" t="s">
        <v>2272</v>
      </c>
      <c r="L327" s="21" t="s">
        <v>2272</v>
      </c>
      <c r="M327" s="21" t="s">
        <v>2272</v>
      </c>
      <c r="N327" s="21" t="s">
        <v>2272</v>
      </c>
      <c r="O327" s="21" t="s">
        <v>2272</v>
      </c>
      <c r="P327" s="21" t="s">
        <v>2272</v>
      </c>
      <c r="Q327" s="21" t="s">
        <v>2272</v>
      </c>
      <c r="R327" s="21" t="s">
        <v>2272</v>
      </c>
      <c r="S327" s="21" t="s">
        <v>2272</v>
      </c>
      <c r="T327" s="21" t="s">
        <v>2272</v>
      </c>
      <c r="U327" s="21" t="s">
        <v>2272</v>
      </c>
      <c r="V327" s="21" t="s">
        <v>2272</v>
      </c>
      <c r="W327" s="21" t="s">
        <v>2272</v>
      </c>
      <c r="X327" s="21" t="s">
        <v>2272</v>
      </c>
      <c r="Y327" s="21" t="s">
        <v>2272</v>
      </c>
      <c r="Z327" s="21" t="s">
        <v>2272</v>
      </c>
      <c r="AA327" s="198" t="s">
        <v>2272</v>
      </c>
      <c r="AB327" s="198" t="s">
        <v>2272</v>
      </c>
      <c r="AC327" s="198" t="s">
        <v>2272</v>
      </c>
      <c r="AD327" s="4"/>
      <c r="AE327" s="4"/>
    </row>
    <row r="328" spans="1:31" ht="112" customHeight="1">
      <c r="A328" s="198" t="s">
        <v>1742</v>
      </c>
      <c r="B328" s="198" t="s">
        <v>1807</v>
      </c>
      <c r="C328" s="198" t="s">
        <v>23</v>
      </c>
      <c r="D328" s="198" t="s">
        <v>141</v>
      </c>
      <c r="E328" s="4" t="s">
        <v>395</v>
      </c>
      <c r="F328" s="4" t="s">
        <v>73</v>
      </c>
      <c r="G328" s="198" t="s">
        <v>2272</v>
      </c>
      <c r="H328" s="4" t="s">
        <v>521</v>
      </c>
      <c r="I328" s="198"/>
      <c r="J328" s="21" t="s">
        <v>2272</v>
      </c>
      <c r="K328" s="21" t="s">
        <v>2272</v>
      </c>
      <c r="L328" s="21" t="s">
        <v>2272</v>
      </c>
      <c r="M328" s="21" t="s">
        <v>2272</v>
      </c>
      <c r="N328" s="21" t="s">
        <v>2272</v>
      </c>
      <c r="O328" s="21" t="s">
        <v>2272</v>
      </c>
      <c r="P328" s="21" t="s">
        <v>2272</v>
      </c>
      <c r="Q328" s="21" t="s">
        <v>2272</v>
      </c>
      <c r="R328" s="21" t="s">
        <v>2272</v>
      </c>
      <c r="S328" s="21" t="s">
        <v>2272</v>
      </c>
      <c r="T328" s="21" t="s">
        <v>2272</v>
      </c>
      <c r="U328" s="21" t="s">
        <v>2272</v>
      </c>
      <c r="V328" s="21" t="s">
        <v>2272</v>
      </c>
      <c r="W328" s="21" t="s">
        <v>2272</v>
      </c>
      <c r="X328" s="21" t="s">
        <v>2272</v>
      </c>
      <c r="Y328" s="21" t="s">
        <v>2272</v>
      </c>
      <c r="Z328" s="21" t="s">
        <v>2272</v>
      </c>
      <c r="AA328" s="198" t="s">
        <v>2272</v>
      </c>
      <c r="AB328" s="198" t="s">
        <v>2272</v>
      </c>
      <c r="AC328" s="198" t="s">
        <v>2272</v>
      </c>
      <c r="AD328" s="4"/>
      <c r="AE328" s="4"/>
    </row>
    <row r="329" spans="1:31" ht="112" customHeight="1">
      <c r="A329" s="198" t="s">
        <v>1743</v>
      </c>
      <c r="B329" s="198" t="s">
        <v>1808</v>
      </c>
      <c r="C329" s="198" t="s">
        <v>23</v>
      </c>
      <c r="D329" s="198" t="s">
        <v>141</v>
      </c>
      <c r="E329" s="4" t="s">
        <v>395</v>
      </c>
      <c r="F329" s="4" t="s">
        <v>73</v>
      </c>
      <c r="G329" s="198" t="s">
        <v>2272</v>
      </c>
      <c r="H329" s="4" t="s">
        <v>521</v>
      </c>
      <c r="I329" s="198"/>
      <c r="J329" s="21" t="s">
        <v>2272</v>
      </c>
      <c r="K329" s="21" t="s">
        <v>2272</v>
      </c>
      <c r="L329" s="21" t="s">
        <v>2272</v>
      </c>
      <c r="M329" s="21" t="s">
        <v>2272</v>
      </c>
      <c r="N329" s="21" t="s">
        <v>2272</v>
      </c>
      <c r="O329" s="21" t="s">
        <v>2272</v>
      </c>
      <c r="P329" s="21" t="s">
        <v>2272</v>
      </c>
      <c r="Q329" s="21" t="s">
        <v>2272</v>
      </c>
      <c r="R329" s="21" t="s">
        <v>2272</v>
      </c>
      <c r="S329" s="21" t="s">
        <v>2272</v>
      </c>
      <c r="T329" s="21" t="s">
        <v>2272</v>
      </c>
      <c r="U329" s="21" t="s">
        <v>2272</v>
      </c>
      <c r="V329" s="21" t="s">
        <v>2272</v>
      </c>
      <c r="W329" s="21" t="s">
        <v>2272</v>
      </c>
      <c r="X329" s="21" t="s">
        <v>2272</v>
      </c>
      <c r="Y329" s="21" t="s">
        <v>2272</v>
      </c>
      <c r="Z329" s="21" t="s">
        <v>2272</v>
      </c>
      <c r="AA329" s="198" t="s">
        <v>2272</v>
      </c>
      <c r="AB329" s="198" t="s">
        <v>2272</v>
      </c>
      <c r="AC329" s="198" t="s">
        <v>2272</v>
      </c>
      <c r="AD329" s="4"/>
      <c r="AE329" s="4"/>
    </row>
    <row r="330" spans="1:31" ht="112" customHeight="1">
      <c r="A330" s="198" t="s">
        <v>1744</v>
      </c>
      <c r="B330" s="198" t="s">
        <v>1809</v>
      </c>
      <c r="C330" s="198" t="s">
        <v>23</v>
      </c>
      <c r="D330" s="198" t="s">
        <v>141</v>
      </c>
      <c r="E330" s="4" t="s">
        <v>395</v>
      </c>
      <c r="F330" s="4" t="s">
        <v>73</v>
      </c>
      <c r="G330" s="198" t="s">
        <v>2272</v>
      </c>
      <c r="H330" s="4" t="s">
        <v>521</v>
      </c>
      <c r="I330" s="198"/>
      <c r="J330" s="21" t="s">
        <v>2272</v>
      </c>
      <c r="K330" s="21" t="s">
        <v>2272</v>
      </c>
      <c r="L330" s="21" t="s">
        <v>2272</v>
      </c>
      <c r="M330" s="21" t="s">
        <v>2272</v>
      </c>
      <c r="N330" s="21" t="s">
        <v>2272</v>
      </c>
      <c r="O330" s="21" t="s">
        <v>2272</v>
      </c>
      <c r="P330" s="21" t="s">
        <v>2272</v>
      </c>
      <c r="Q330" s="21" t="s">
        <v>2272</v>
      </c>
      <c r="R330" s="21" t="s">
        <v>2272</v>
      </c>
      <c r="S330" s="21" t="s">
        <v>2272</v>
      </c>
      <c r="T330" s="21" t="s">
        <v>2272</v>
      </c>
      <c r="U330" s="21" t="s">
        <v>2272</v>
      </c>
      <c r="V330" s="21" t="s">
        <v>2272</v>
      </c>
      <c r="W330" s="21" t="s">
        <v>2272</v>
      </c>
      <c r="X330" s="21" t="s">
        <v>2272</v>
      </c>
      <c r="Y330" s="21" t="s">
        <v>2272</v>
      </c>
      <c r="Z330" s="21" t="s">
        <v>2272</v>
      </c>
      <c r="AA330" s="198" t="s">
        <v>2272</v>
      </c>
      <c r="AB330" s="198" t="s">
        <v>2272</v>
      </c>
      <c r="AC330" s="198" t="s">
        <v>2272</v>
      </c>
      <c r="AD330" s="4"/>
      <c r="AE330" s="4"/>
    </row>
    <row r="331" spans="1:31" ht="112" customHeight="1">
      <c r="A331" s="198" t="s">
        <v>1745</v>
      </c>
      <c r="B331" s="198" t="s">
        <v>1810</v>
      </c>
      <c r="C331" s="198" t="s">
        <v>23</v>
      </c>
      <c r="D331" s="198" t="s">
        <v>141</v>
      </c>
      <c r="E331" s="4" t="s">
        <v>395</v>
      </c>
      <c r="F331" s="4" t="s">
        <v>73</v>
      </c>
      <c r="G331" s="198" t="s">
        <v>2272</v>
      </c>
      <c r="H331" s="4" t="s">
        <v>521</v>
      </c>
      <c r="I331" s="198"/>
      <c r="J331" s="21" t="s">
        <v>2272</v>
      </c>
      <c r="K331" s="21" t="s">
        <v>2272</v>
      </c>
      <c r="L331" s="21" t="s">
        <v>2272</v>
      </c>
      <c r="M331" s="21" t="s">
        <v>2272</v>
      </c>
      <c r="N331" s="21" t="s">
        <v>2272</v>
      </c>
      <c r="O331" s="21" t="s">
        <v>2272</v>
      </c>
      <c r="P331" s="21" t="s">
        <v>2272</v>
      </c>
      <c r="Q331" s="21" t="s">
        <v>2272</v>
      </c>
      <c r="R331" s="21" t="s">
        <v>2272</v>
      </c>
      <c r="S331" s="21" t="s">
        <v>2272</v>
      </c>
      <c r="T331" s="21" t="s">
        <v>2272</v>
      </c>
      <c r="U331" s="21" t="s">
        <v>2272</v>
      </c>
      <c r="V331" s="21" t="s">
        <v>2272</v>
      </c>
      <c r="W331" s="21" t="s">
        <v>2272</v>
      </c>
      <c r="X331" s="21" t="s">
        <v>2272</v>
      </c>
      <c r="Y331" s="21" t="s">
        <v>2272</v>
      </c>
      <c r="Z331" s="21" t="s">
        <v>2272</v>
      </c>
      <c r="AA331" s="198" t="s">
        <v>2272</v>
      </c>
      <c r="AB331" s="198" t="s">
        <v>2272</v>
      </c>
      <c r="AC331" s="198" t="s">
        <v>2272</v>
      </c>
      <c r="AD331" s="4"/>
      <c r="AE331" s="4"/>
    </row>
    <row r="332" spans="1:31" ht="112" customHeight="1">
      <c r="A332" s="198" t="s">
        <v>1745</v>
      </c>
      <c r="B332" s="198" t="s">
        <v>1811</v>
      </c>
      <c r="C332" s="198" t="s">
        <v>23</v>
      </c>
      <c r="D332" s="198" t="s">
        <v>141</v>
      </c>
      <c r="E332" s="4" t="s">
        <v>128</v>
      </c>
      <c r="F332" s="4" t="s">
        <v>73</v>
      </c>
      <c r="G332" s="198" t="s">
        <v>2272</v>
      </c>
      <c r="H332" s="4" t="s">
        <v>521</v>
      </c>
      <c r="I332" s="198"/>
      <c r="J332" s="21" t="s">
        <v>2272</v>
      </c>
      <c r="K332" s="21" t="s">
        <v>2272</v>
      </c>
      <c r="L332" s="21" t="s">
        <v>2272</v>
      </c>
      <c r="M332" s="21" t="s">
        <v>2272</v>
      </c>
      <c r="N332" s="21" t="s">
        <v>2272</v>
      </c>
      <c r="O332" s="21" t="s">
        <v>2272</v>
      </c>
      <c r="P332" s="21" t="s">
        <v>2272</v>
      </c>
      <c r="Q332" s="21" t="s">
        <v>2272</v>
      </c>
      <c r="R332" s="21" t="s">
        <v>2272</v>
      </c>
      <c r="S332" s="21" t="s">
        <v>2272</v>
      </c>
      <c r="T332" s="21" t="s">
        <v>2272</v>
      </c>
      <c r="U332" s="21" t="s">
        <v>2272</v>
      </c>
      <c r="V332" s="21" t="s">
        <v>2272</v>
      </c>
      <c r="W332" s="21" t="s">
        <v>2272</v>
      </c>
      <c r="X332" s="21" t="s">
        <v>2272</v>
      </c>
      <c r="Y332" s="21" t="s">
        <v>2272</v>
      </c>
      <c r="Z332" s="21" t="s">
        <v>2272</v>
      </c>
      <c r="AA332" s="198" t="s">
        <v>2272</v>
      </c>
      <c r="AB332" s="198" t="s">
        <v>2272</v>
      </c>
      <c r="AC332" s="198" t="s">
        <v>2272</v>
      </c>
      <c r="AD332" s="4"/>
      <c r="AE332" s="4"/>
    </row>
    <row r="333" spans="1:31" ht="112" customHeight="1">
      <c r="A333" s="198" t="s">
        <v>1745</v>
      </c>
      <c r="B333" s="198" t="s">
        <v>1812</v>
      </c>
      <c r="C333" s="198" t="s">
        <v>23</v>
      </c>
      <c r="D333" s="198" t="s">
        <v>26</v>
      </c>
      <c r="E333" s="4" t="s">
        <v>128</v>
      </c>
      <c r="F333" s="4" t="s">
        <v>159</v>
      </c>
      <c r="G333" s="198" t="s">
        <v>2272</v>
      </c>
      <c r="H333" s="4" t="s">
        <v>521</v>
      </c>
      <c r="I333" s="198"/>
      <c r="J333" s="21" t="s">
        <v>2272</v>
      </c>
      <c r="K333" s="21" t="s">
        <v>2272</v>
      </c>
      <c r="L333" s="21" t="s">
        <v>2272</v>
      </c>
      <c r="M333" s="21" t="s">
        <v>2272</v>
      </c>
      <c r="N333" s="21" t="s">
        <v>2272</v>
      </c>
      <c r="O333" s="21" t="s">
        <v>2272</v>
      </c>
      <c r="P333" s="21" t="s">
        <v>2272</v>
      </c>
      <c r="Q333" s="21" t="s">
        <v>2272</v>
      </c>
      <c r="R333" s="21" t="s">
        <v>2272</v>
      </c>
      <c r="S333" s="21" t="s">
        <v>2272</v>
      </c>
      <c r="T333" s="21" t="s">
        <v>2272</v>
      </c>
      <c r="U333" s="21" t="s">
        <v>2272</v>
      </c>
      <c r="V333" s="21" t="s">
        <v>2272</v>
      </c>
      <c r="W333" s="21" t="s">
        <v>2272</v>
      </c>
      <c r="X333" s="21" t="s">
        <v>2272</v>
      </c>
      <c r="Y333" s="21" t="s">
        <v>2272</v>
      </c>
      <c r="Z333" s="21" t="s">
        <v>2272</v>
      </c>
      <c r="AA333" s="198" t="s">
        <v>2272</v>
      </c>
      <c r="AB333" s="198" t="s">
        <v>2272</v>
      </c>
      <c r="AC333" s="198" t="s">
        <v>2272</v>
      </c>
      <c r="AD333" s="4"/>
      <c r="AE333" s="4"/>
    </row>
    <row r="334" spans="1:31" ht="112" customHeight="1">
      <c r="A334" s="198" t="s">
        <v>1746</v>
      </c>
      <c r="B334" s="198" t="s">
        <v>1813</v>
      </c>
      <c r="C334" s="198" t="s">
        <v>23</v>
      </c>
      <c r="D334" s="198" t="s">
        <v>141</v>
      </c>
      <c r="E334" s="4" t="s">
        <v>395</v>
      </c>
      <c r="F334" s="4" t="s">
        <v>73</v>
      </c>
      <c r="G334" s="198" t="s">
        <v>2272</v>
      </c>
      <c r="H334" s="4" t="s">
        <v>521</v>
      </c>
      <c r="I334" s="198"/>
      <c r="J334" s="21" t="s">
        <v>2272</v>
      </c>
      <c r="K334" s="21" t="s">
        <v>2272</v>
      </c>
      <c r="L334" s="21" t="s">
        <v>2272</v>
      </c>
      <c r="M334" s="21" t="s">
        <v>2272</v>
      </c>
      <c r="N334" s="21" t="s">
        <v>2272</v>
      </c>
      <c r="O334" s="21" t="s">
        <v>2272</v>
      </c>
      <c r="P334" s="21" t="s">
        <v>2272</v>
      </c>
      <c r="Q334" s="21" t="s">
        <v>2272</v>
      </c>
      <c r="R334" s="21" t="s">
        <v>2272</v>
      </c>
      <c r="S334" s="21" t="s">
        <v>2272</v>
      </c>
      <c r="T334" s="21" t="s">
        <v>2272</v>
      </c>
      <c r="U334" s="21" t="s">
        <v>2272</v>
      </c>
      <c r="V334" s="21" t="s">
        <v>2272</v>
      </c>
      <c r="W334" s="21" t="s">
        <v>2272</v>
      </c>
      <c r="X334" s="21" t="s">
        <v>2272</v>
      </c>
      <c r="Y334" s="21" t="s">
        <v>2272</v>
      </c>
      <c r="Z334" s="21" t="s">
        <v>2272</v>
      </c>
      <c r="AA334" s="198" t="s">
        <v>2272</v>
      </c>
      <c r="AB334" s="198" t="s">
        <v>2272</v>
      </c>
      <c r="AC334" s="198" t="s">
        <v>2272</v>
      </c>
      <c r="AD334" s="4"/>
      <c r="AE334" s="4"/>
    </row>
    <row r="335" spans="1:31" ht="112" customHeight="1">
      <c r="A335" s="198" t="s">
        <v>1747</v>
      </c>
      <c r="B335" s="198" t="s">
        <v>1814</v>
      </c>
      <c r="C335" s="198" t="s">
        <v>23</v>
      </c>
      <c r="D335" s="198" t="s">
        <v>141</v>
      </c>
      <c r="E335" s="4" t="s">
        <v>395</v>
      </c>
      <c r="F335" s="4" t="s">
        <v>73</v>
      </c>
      <c r="G335" s="198" t="s">
        <v>2272</v>
      </c>
      <c r="H335" s="4" t="s">
        <v>521</v>
      </c>
      <c r="I335" s="198"/>
      <c r="J335" s="21" t="s">
        <v>2272</v>
      </c>
      <c r="K335" s="21" t="s">
        <v>2272</v>
      </c>
      <c r="L335" s="21" t="s">
        <v>2272</v>
      </c>
      <c r="M335" s="21" t="s">
        <v>2272</v>
      </c>
      <c r="N335" s="21" t="s">
        <v>2272</v>
      </c>
      <c r="O335" s="21" t="s">
        <v>2272</v>
      </c>
      <c r="P335" s="21" t="s">
        <v>2272</v>
      </c>
      <c r="Q335" s="21" t="s">
        <v>2272</v>
      </c>
      <c r="R335" s="21" t="s">
        <v>2272</v>
      </c>
      <c r="S335" s="21" t="s">
        <v>2272</v>
      </c>
      <c r="T335" s="21" t="s">
        <v>2272</v>
      </c>
      <c r="U335" s="21" t="s">
        <v>2272</v>
      </c>
      <c r="V335" s="21" t="s">
        <v>2272</v>
      </c>
      <c r="W335" s="21" t="s">
        <v>2272</v>
      </c>
      <c r="X335" s="21" t="s">
        <v>2272</v>
      </c>
      <c r="Y335" s="21" t="s">
        <v>2272</v>
      </c>
      <c r="Z335" s="21" t="s">
        <v>2272</v>
      </c>
      <c r="AA335" s="198" t="s">
        <v>2272</v>
      </c>
      <c r="AB335" s="198" t="s">
        <v>2272</v>
      </c>
      <c r="AC335" s="198" t="s">
        <v>2272</v>
      </c>
      <c r="AD335" s="4"/>
      <c r="AE335" s="4"/>
    </row>
    <row r="336" spans="1:31" ht="112" customHeight="1">
      <c r="A336" s="198" t="s">
        <v>1748</v>
      </c>
      <c r="B336" s="198" t="s">
        <v>1815</v>
      </c>
      <c r="C336" s="198" t="s">
        <v>23</v>
      </c>
      <c r="D336" s="198" t="s">
        <v>141</v>
      </c>
      <c r="E336" s="4" t="s">
        <v>395</v>
      </c>
      <c r="F336" s="4" t="s">
        <v>73</v>
      </c>
      <c r="G336" s="198" t="s">
        <v>2272</v>
      </c>
      <c r="H336" s="4" t="s">
        <v>521</v>
      </c>
      <c r="I336" s="198"/>
      <c r="J336" s="21" t="s">
        <v>2272</v>
      </c>
      <c r="K336" s="21" t="s">
        <v>2272</v>
      </c>
      <c r="L336" s="21" t="s">
        <v>2272</v>
      </c>
      <c r="M336" s="21" t="s">
        <v>2272</v>
      </c>
      <c r="N336" s="21" t="s">
        <v>2272</v>
      </c>
      <c r="O336" s="21" t="s">
        <v>2272</v>
      </c>
      <c r="P336" s="21" t="s">
        <v>2272</v>
      </c>
      <c r="Q336" s="21" t="s">
        <v>2272</v>
      </c>
      <c r="R336" s="21" t="s">
        <v>2272</v>
      </c>
      <c r="S336" s="21" t="s">
        <v>2272</v>
      </c>
      <c r="T336" s="21" t="s">
        <v>2272</v>
      </c>
      <c r="U336" s="21" t="s">
        <v>2272</v>
      </c>
      <c r="V336" s="21" t="s">
        <v>2272</v>
      </c>
      <c r="W336" s="21" t="s">
        <v>2272</v>
      </c>
      <c r="X336" s="21" t="s">
        <v>2272</v>
      </c>
      <c r="Y336" s="21" t="s">
        <v>2272</v>
      </c>
      <c r="Z336" s="21" t="s">
        <v>2272</v>
      </c>
      <c r="AA336" s="198" t="s">
        <v>2272</v>
      </c>
      <c r="AB336" s="198" t="s">
        <v>2272</v>
      </c>
      <c r="AC336" s="198" t="s">
        <v>2272</v>
      </c>
      <c r="AD336" s="4"/>
      <c r="AE336" s="4"/>
    </row>
    <row r="337" spans="1:31" ht="112" customHeight="1">
      <c r="A337" s="198" t="s">
        <v>1748</v>
      </c>
      <c r="B337" s="198" t="s">
        <v>1816</v>
      </c>
      <c r="C337" s="198" t="s">
        <v>23</v>
      </c>
      <c r="D337" s="198" t="s">
        <v>141</v>
      </c>
      <c r="E337" s="4" t="s">
        <v>128</v>
      </c>
      <c r="F337" s="4" t="s">
        <v>73</v>
      </c>
      <c r="G337" s="198" t="s">
        <v>2272</v>
      </c>
      <c r="H337" s="4" t="s">
        <v>521</v>
      </c>
      <c r="I337" s="198"/>
      <c r="J337" s="21" t="s">
        <v>2272</v>
      </c>
      <c r="K337" s="21" t="s">
        <v>2272</v>
      </c>
      <c r="L337" s="21" t="s">
        <v>2272</v>
      </c>
      <c r="M337" s="21" t="s">
        <v>2272</v>
      </c>
      <c r="N337" s="21" t="s">
        <v>2272</v>
      </c>
      <c r="O337" s="21" t="s">
        <v>2272</v>
      </c>
      <c r="P337" s="21" t="s">
        <v>2272</v>
      </c>
      <c r="Q337" s="21" t="s">
        <v>2272</v>
      </c>
      <c r="R337" s="21" t="s">
        <v>2272</v>
      </c>
      <c r="S337" s="21" t="s">
        <v>2272</v>
      </c>
      <c r="T337" s="21" t="s">
        <v>2272</v>
      </c>
      <c r="U337" s="21" t="s">
        <v>2272</v>
      </c>
      <c r="V337" s="21" t="s">
        <v>2272</v>
      </c>
      <c r="W337" s="21" t="s">
        <v>2272</v>
      </c>
      <c r="X337" s="21" t="s">
        <v>2272</v>
      </c>
      <c r="Y337" s="21" t="s">
        <v>2272</v>
      </c>
      <c r="Z337" s="21" t="s">
        <v>2272</v>
      </c>
      <c r="AA337" s="198" t="s">
        <v>2272</v>
      </c>
      <c r="AB337" s="198" t="s">
        <v>2272</v>
      </c>
      <c r="AC337" s="198" t="s">
        <v>2272</v>
      </c>
      <c r="AD337" s="4"/>
      <c r="AE337" s="4"/>
    </row>
    <row r="338" spans="1:31" ht="112" customHeight="1">
      <c r="A338" s="198" t="s">
        <v>1748</v>
      </c>
      <c r="B338" s="198" t="s">
        <v>1817</v>
      </c>
      <c r="C338" s="198" t="s">
        <v>23</v>
      </c>
      <c r="D338" s="198" t="s">
        <v>26</v>
      </c>
      <c r="E338" s="4" t="s">
        <v>128</v>
      </c>
      <c r="F338" s="4" t="s">
        <v>159</v>
      </c>
      <c r="G338" s="198" t="s">
        <v>2272</v>
      </c>
      <c r="H338" s="4" t="s">
        <v>521</v>
      </c>
      <c r="I338" s="198"/>
      <c r="J338" s="21" t="s">
        <v>2272</v>
      </c>
      <c r="K338" s="21" t="s">
        <v>2272</v>
      </c>
      <c r="L338" s="21" t="s">
        <v>2272</v>
      </c>
      <c r="M338" s="21" t="s">
        <v>2272</v>
      </c>
      <c r="N338" s="21" t="s">
        <v>2272</v>
      </c>
      <c r="O338" s="21" t="s">
        <v>2272</v>
      </c>
      <c r="P338" s="21" t="s">
        <v>2272</v>
      </c>
      <c r="Q338" s="21" t="s">
        <v>2272</v>
      </c>
      <c r="R338" s="21" t="s">
        <v>2272</v>
      </c>
      <c r="S338" s="21" t="s">
        <v>2272</v>
      </c>
      <c r="T338" s="21" t="s">
        <v>2272</v>
      </c>
      <c r="U338" s="21" t="s">
        <v>2272</v>
      </c>
      <c r="V338" s="21" t="s">
        <v>2272</v>
      </c>
      <c r="W338" s="21" t="s">
        <v>2272</v>
      </c>
      <c r="X338" s="21" t="s">
        <v>2272</v>
      </c>
      <c r="Y338" s="21" t="s">
        <v>2272</v>
      </c>
      <c r="Z338" s="21" t="s">
        <v>2272</v>
      </c>
      <c r="AA338" s="198" t="s">
        <v>2272</v>
      </c>
      <c r="AB338" s="198" t="s">
        <v>2272</v>
      </c>
      <c r="AC338" s="198" t="s">
        <v>2272</v>
      </c>
      <c r="AD338" s="4"/>
      <c r="AE338" s="4"/>
    </row>
    <row r="339" spans="1:31" ht="112" customHeight="1">
      <c r="A339" s="198" t="s">
        <v>1749</v>
      </c>
      <c r="B339" s="198" t="s">
        <v>1818</v>
      </c>
      <c r="C339" s="198" t="s">
        <v>23</v>
      </c>
      <c r="D339" s="198" t="s">
        <v>141</v>
      </c>
      <c r="E339" s="4" t="s">
        <v>128</v>
      </c>
      <c r="F339" s="4" t="s">
        <v>73</v>
      </c>
      <c r="G339" s="198" t="s">
        <v>2272</v>
      </c>
      <c r="H339" s="4" t="s">
        <v>521</v>
      </c>
      <c r="I339" s="198"/>
      <c r="J339" s="21" t="s">
        <v>2272</v>
      </c>
      <c r="K339" s="21" t="s">
        <v>2272</v>
      </c>
      <c r="L339" s="21" t="s">
        <v>2272</v>
      </c>
      <c r="M339" s="21" t="s">
        <v>2272</v>
      </c>
      <c r="N339" s="21" t="s">
        <v>2272</v>
      </c>
      <c r="O339" s="21" t="s">
        <v>2272</v>
      </c>
      <c r="P339" s="21" t="s">
        <v>2272</v>
      </c>
      <c r="Q339" s="21" t="s">
        <v>2272</v>
      </c>
      <c r="R339" s="21" t="s">
        <v>2272</v>
      </c>
      <c r="S339" s="21" t="s">
        <v>2272</v>
      </c>
      <c r="T339" s="21" t="s">
        <v>2272</v>
      </c>
      <c r="U339" s="21" t="s">
        <v>2272</v>
      </c>
      <c r="V339" s="21" t="s">
        <v>2272</v>
      </c>
      <c r="W339" s="21" t="s">
        <v>2272</v>
      </c>
      <c r="X339" s="21" t="s">
        <v>2272</v>
      </c>
      <c r="Y339" s="21" t="s">
        <v>2272</v>
      </c>
      <c r="Z339" s="21" t="s">
        <v>2272</v>
      </c>
      <c r="AA339" s="198" t="s">
        <v>2272</v>
      </c>
      <c r="AB339" s="198" t="s">
        <v>2272</v>
      </c>
      <c r="AC339" s="198" t="s">
        <v>2272</v>
      </c>
      <c r="AD339" s="4"/>
      <c r="AE339" s="4"/>
    </row>
    <row r="340" spans="1:31" ht="112" customHeight="1">
      <c r="A340" s="198" t="s">
        <v>1749</v>
      </c>
      <c r="B340" s="198" t="s">
        <v>1819</v>
      </c>
      <c r="C340" s="198" t="s">
        <v>23</v>
      </c>
      <c r="D340" s="198" t="s">
        <v>26</v>
      </c>
      <c r="E340" s="4" t="s">
        <v>128</v>
      </c>
      <c r="F340" s="4" t="s">
        <v>159</v>
      </c>
      <c r="G340" s="198" t="s">
        <v>2272</v>
      </c>
      <c r="H340" s="4" t="s">
        <v>521</v>
      </c>
      <c r="I340" s="198"/>
      <c r="J340" s="21" t="s">
        <v>2272</v>
      </c>
      <c r="K340" s="21" t="s">
        <v>2272</v>
      </c>
      <c r="L340" s="21" t="s">
        <v>2272</v>
      </c>
      <c r="M340" s="21" t="s">
        <v>2272</v>
      </c>
      <c r="N340" s="21" t="s">
        <v>2272</v>
      </c>
      <c r="O340" s="21" t="s">
        <v>2272</v>
      </c>
      <c r="P340" s="21" t="s">
        <v>2272</v>
      </c>
      <c r="Q340" s="21" t="s">
        <v>2272</v>
      </c>
      <c r="R340" s="21" t="s">
        <v>2272</v>
      </c>
      <c r="S340" s="21" t="s">
        <v>2272</v>
      </c>
      <c r="T340" s="21" t="s">
        <v>2272</v>
      </c>
      <c r="U340" s="21" t="s">
        <v>2272</v>
      </c>
      <c r="V340" s="21" t="s">
        <v>2272</v>
      </c>
      <c r="W340" s="21" t="s">
        <v>2272</v>
      </c>
      <c r="X340" s="21" t="s">
        <v>2272</v>
      </c>
      <c r="Y340" s="21" t="s">
        <v>2272</v>
      </c>
      <c r="Z340" s="21" t="s">
        <v>2272</v>
      </c>
      <c r="AA340" s="198" t="s">
        <v>2272</v>
      </c>
      <c r="AB340" s="198" t="s">
        <v>2272</v>
      </c>
      <c r="AC340" s="198" t="s">
        <v>2272</v>
      </c>
      <c r="AD340" s="4"/>
      <c r="AE340" s="4"/>
    </row>
    <row r="341" spans="1:31" ht="112" customHeight="1">
      <c r="A341" s="198" t="s">
        <v>1750</v>
      </c>
      <c r="B341" s="198" t="s">
        <v>1820</v>
      </c>
      <c r="C341" s="198" t="s">
        <v>23</v>
      </c>
      <c r="D341" s="198" t="s">
        <v>141</v>
      </c>
      <c r="E341" s="4" t="s">
        <v>395</v>
      </c>
      <c r="F341" s="4" t="s">
        <v>73</v>
      </c>
      <c r="G341" s="198" t="s">
        <v>2272</v>
      </c>
      <c r="H341" s="4" t="s">
        <v>521</v>
      </c>
      <c r="I341" s="198"/>
      <c r="J341" s="21" t="s">
        <v>2272</v>
      </c>
      <c r="K341" s="21" t="s">
        <v>2272</v>
      </c>
      <c r="L341" s="21" t="s">
        <v>2272</v>
      </c>
      <c r="M341" s="21" t="s">
        <v>2272</v>
      </c>
      <c r="N341" s="21" t="s">
        <v>2272</v>
      </c>
      <c r="O341" s="21" t="s">
        <v>2272</v>
      </c>
      <c r="P341" s="21" t="s">
        <v>2272</v>
      </c>
      <c r="Q341" s="21" t="s">
        <v>2272</v>
      </c>
      <c r="R341" s="21" t="s">
        <v>2272</v>
      </c>
      <c r="S341" s="21" t="s">
        <v>2272</v>
      </c>
      <c r="T341" s="21" t="s">
        <v>2272</v>
      </c>
      <c r="U341" s="21" t="s">
        <v>2272</v>
      </c>
      <c r="V341" s="21" t="s">
        <v>2272</v>
      </c>
      <c r="W341" s="21" t="s">
        <v>2272</v>
      </c>
      <c r="X341" s="21" t="s">
        <v>2272</v>
      </c>
      <c r="Y341" s="21" t="s">
        <v>2272</v>
      </c>
      <c r="Z341" s="21" t="s">
        <v>2272</v>
      </c>
      <c r="AA341" s="198" t="s">
        <v>2272</v>
      </c>
      <c r="AB341" s="198" t="s">
        <v>2272</v>
      </c>
      <c r="AC341" s="198" t="s">
        <v>2272</v>
      </c>
      <c r="AD341" s="4"/>
      <c r="AE341" s="4"/>
    </row>
    <row r="342" spans="1:31" ht="112" customHeight="1">
      <c r="A342" s="198" t="s">
        <v>1751</v>
      </c>
      <c r="B342" s="198" t="s">
        <v>1821</v>
      </c>
      <c r="C342" s="198" t="s">
        <v>23</v>
      </c>
      <c r="D342" s="198" t="s">
        <v>141</v>
      </c>
      <c r="E342" s="4" t="s">
        <v>128</v>
      </c>
      <c r="F342" s="4" t="s">
        <v>73</v>
      </c>
      <c r="G342" s="198" t="s">
        <v>2272</v>
      </c>
      <c r="H342" s="4" t="s">
        <v>521</v>
      </c>
      <c r="I342" s="198"/>
      <c r="J342" s="21" t="s">
        <v>2272</v>
      </c>
      <c r="K342" s="21" t="s">
        <v>2272</v>
      </c>
      <c r="L342" s="21" t="s">
        <v>2272</v>
      </c>
      <c r="M342" s="21" t="s">
        <v>2272</v>
      </c>
      <c r="N342" s="21" t="s">
        <v>2272</v>
      </c>
      <c r="O342" s="21" t="s">
        <v>2272</v>
      </c>
      <c r="P342" s="21" t="s">
        <v>2272</v>
      </c>
      <c r="Q342" s="21" t="s">
        <v>2272</v>
      </c>
      <c r="R342" s="21" t="s">
        <v>2272</v>
      </c>
      <c r="S342" s="21" t="s">
        <v>2272</v>
      </c>
      <c r="T342" s="21" t="s">
        <v>2272</v>
      </c>
      <c r="U342" s="21" t="s">
        <v>2272</v>
      </c>
      <c r="V342" s="21" t="s">
        <v>2272</v>
      </c>
      <c r="W342" s="21" t="s">
        <v>2272</v>
      </c>
      <c r="X342" s="21" t="s">
        <v>2272</v>
      </c>
      <c r="Y342" s="21" t="s">
        <v>2272</v>
      </c>
      <c r="Z342" s="21" t="s">
        <v>2272</v>
      </c>
      <c r="AA342" s="198" t="s">
        <v>2272</v>
      </c>
      <c r="AB342" s="198" t="s">
        <v>2272</v>
      </c>
      <c r="AC342" s="198" t="s">
        <v>2272</v>
      </c>
      <c r="AD342" s="4"/>
      <c r="AE342" s="4"/>
    </row>
    <row r="343" spans="1:31" ht="112" customHeight="1">
      <c r="A343" s="198" t="s">
        <v>1751</v>
      </c>
      <c r="B343" s="198" t="s">
        <v>1821</v>
      </c>
      <c r="C343" s="198" t="s">
        <v>23</v>
      </c>
      <c r="D343" s="198" t="s">
        <v>26</v>
      </c>
      <c r="E343" s="4" t="s">
        <v>128</v>
      </c>
      <c r="F343" s="4" t="s">
        <v>159</v>
      </c>
      <c r="G343" s="198" t="s">
        <v>2272</v>
      </c>
      <c r="H343" s="4" t="s">
        <v>521</v>
      </c>
      <c r="I343" s="198"/>
      <c r="J343" s="21" t="s">
        <v>2272</v>
      </c>
      <c r="K343" s="21" t="s">
        <v>2272</v>
      </c>
      <c r="L343" s="21" t="s">
        <v>2272</v>
      </c>
      <c r="M343" s="21" t="s">
        <v>2272</v>
      </c>
      <c r="N343" s="21" t="s">
        <v>2272</v>
      </c>
      <c r="O343" s="21" t="s">
        <v>2272</v>
      </c>
      <c r="P343" s="21" t="s">
        <v>2272</v>
      </c>
      <c r="Q343" s="21" t="s">
        <v>2272</v>
      </c>
      <c r="R343" s="21" t="s">
        <v>2272</v>
      </c>
      <c r="S343" s="21" t="s">
        <v>2272</v>
      </c>
      <c r="T343" s="21" t="s">
        <v>2272</v>
      </c>
      <c r="U343" s="21" t="s">
        <v>2272</v>
      </c>
      <c r="V343" s="21" t="s">
        <v>2272</v>
      </c>
      <c r="W343" s="21" t="s">
        <v>2272</v>
      </c>
      <c r="X343" s="21" t="s">
        <v>2272</v>
      </c>
      <c r="Y343" s="21" t="s">
        <v>2272</v>
      </c>
      <c r="Z343" s="21" t="s">
        <v>2272</v>
      </c>
      <c r="AA343" s="198" t="s">
        <v>2272</v>
      </c>
      <c r="AB343" s="198" t="s">
        <v>2272</v>
      </c>
      <c r="AC343" s="198" t="s">
        <v>2272</v>
      </c>
      <c r="AD343" s="4"/>
      <c r="AE343" s="4"/>
    </row>
    <row r="344" spans="1:31" ht="112" customHeight="1">
      <c r="A344" s="198" t="s">
        <v>1752</v>
      </c>
      <c r="B344" s="198" t="s">
        <v>1822</v>
      </c>
      <c r="C344" s="198" t="s">
        <v>23</v>
      </c>
      <c r="D344" s="198" t="s">
        <v>141</v>
      </c>
      <c r="E344" s="4" t="s">
        <v>128</v>
      </c>
      <c r="F344" s="4" t="s">
        <v>73</v>
      </c>
      <c r="G344" s="198" t="s">
        <v>2272</v>
      </c>
      <c r="H344" s="4" t="s">
        <v>521</v>
      </c>
      <c r="I344" s="198"/>
      <c r="J344" s="21" t="s">
        <v>2272</v>
      </c>
      <c r="K344" s="21" t="s">
        <v>2272</v>
      </c>
      <c r="L344" s="21" t="s">
        <v>2272</v>
      </c>
      <c r="M344" s="21" t="s">
        <v>2272</v>
      </c>
      <c r="N344" s="21" t="s">
        <v>2272</v>
      </c>
      <c r="O344" s="21" t="s">
        <v>2272</v>
      </c>
      <c r="P344" s="21" t="s">
        <v>2272</v>
      </c>
      <c r="Q344" s="21" t="s">
        <v>2272</v>
      </c>
      <c r="R344" s="21" t="s">
        <v>2272</v>
      </c>
      <c r="S344" s="21" t="s">
        <v>2272</v>
      </c>
      <c r="T344" s="21" t="s">
        <v>2272</v>
      </c>
      <c r="U344" s="21" t="s">
        <v>2272</v>
      </c>
      <c r="V344" s="21" t="s">
        <v>2272</v>
      </c>
      <c r="W344" s="21" t="s">
        <v>2272</v>
      </c>
      <c r="X344" s="21" t="s">
        <v>2272</v>
      </c>
      <c r="Y344" s="21" t="s">
        <v>2272</v>
      </c>
      <c r="Z344" s="21" t="s">
        <v>2272</v>
      </c>
      <c r="AA344" s="198" t="s">
        <v>2272</v>
      </c>
      <c r="AB344" s="198" t="s">
        <v>2272</v>
      </c>
      <c r="AC344" s="198" t="s">
        <v>2272</v>
      </c>
      <c r="AD344" s="4"/>
      <c r="AE344" s="4"/>
    </row>
    <row r="345" spans="1:31" ht="112" customHeight="1">
      <c r="A345" s="198" t="s">
        <v>1752</v>
      </c>
      <c r="B345" s="198" t="s">
        <v>1822</v>
      </c>
      <c r="C345" s="198" t="s">
        <v>23</v>
      </c>
      <c r="D345" s="198" t="s">
        <v>26</v>
      </c>
      <c r="E345" s="4" t="s">
        <v>128</v>
      </c>
      <c r="F345" s="4" t="s">
        <v>159</v>
      </c>
      <c r="G345" s="198" t="s">
        <v>2272</v>
      </c>
      <c r="H345" s="4" t="s">
        <v>521</v>
      </c>
      <c r="I345" s="198"/>
      <c r="J345" s="21" t="s">
        <v>2272</v>
      </c>
      <c r="K345" s="21" t="s">
        <v>2272</v>
      </c>
      <c r="L345" s="21" t="s">
        <v>2272</v>
      </c>
      <c r="M345" s="21" t="s">
        <v>2272</v>
      </c>
      <c r="N345" s="21" t="s">
        <v>2272</v>
      </c>
      <c r="O345" s="21" t="s">
        <v>2272</v>
      </c>
      <c r="P345" s="21" t="s">
        <v>2272</v>
      </c>
      <c r="Q345" s="21" t="s">
        <v>2272</v>
      </c>
      <c r="R345" s="21" t="s">
        <v>2272</v>
      </c>
      <c r="S345" s="21" t="s">
        <v>2272</v>
      </c>
      <c r="T345" s="21" t="s">
        <v>2272</v>
      </c>
      <c r="U345" s="21" t="s">
        <v>2272</v>
      </c>
      <c r="V345" s="21" t="s">
        <v>2272</v>
      </c>
      <c r="W345" s="21" t="s">
        <v>2272</v>
      </c>
      <c r="X345" s="21" t="s">
        <v>2272</v>
      </c>
      <c r="Y345" s="21" t="s">
        <v>2272</v>
      </c>
      <c r="Z345" s="21" t="s">
        <v>2272</v>
      </c>
      <c r="AA345" s="198" t="s">
        <v>2272</v>
      </c>
      <c r="AB345" s="198" t="s">
        <v>2272</v>
      </c>
      <c r="AC345" s="198" t="s">
        <v>2272</v>
      </c>
      <c r="AD345" s="4"/>
      <c r="AE345" s="4"/>
    </row>
    <row r="346" spans="1:31" ht="112" customHeight="1">
      <c r="A346" s="198" t="s">
        <v>1753</v>
      </c>
      <c r="B346" s="198" t="s">
        <v>1823</v>
      </c>
      <c r="C346" s="198" t="s">
        <v>23</v>
      </c>
      <c r="D346" s="198" t="s">
        <v>141</v>
      </c>
      <c r="E346" s="4" t="s">
        <v>128</v>
      </c>
      <c r="F346" s="4" t="s">
        <v>73</v>
      </c>
      <c r="G346" s="198" t="s">
        <v>2272</v>
      </c>
      <c r="H346" s="4" t="s">
        <v>521</v>
      </c>
      <c r="I346" s="198"/>
      <c r="J346" s="21" t="s">
        <v>2272</v>
      </c>
      <c r="K346" s="21" t="s">
        <v>2272</v>
      </c>
      <c r="L346" s="21" t="s">
        <v>2272</v>
      </c>
      <c r="M346" s="21" t="s">
        <v>2272</v>
      </c>
      <c r="N346" s="21" t="s">
        <v>2272</v>
      </c>
      <c r="O346" s="21" t="s">
        <v>2272</v>
      </c>
      <c r="P346" s="21" t="s">
        <v>2272</v>
      </c>
      <c r="Q346" s="21" t="s">
        <v>2272</v>
      </c>
      <c r="R346" s="21" t="s">
        <v>2272</v>
      </c>
      <c r="S346" s="21" t="s">
        <v>2272</v>
      </c>
      <c r="T346" s="21" t="s">
        <v>2272</v>
      </c>
      <c r="U346" s="21" t="s">
        <v>2272</v>
      </c>
      <c r="V346" s="21" t="s">
        <v>2272</v>
      </c>
      <c r="W346" s="21" t="s">
        <v>2272</v>
      </c>
      <c r="X346" s="21" t="s">
        <v>2272</v>
      </c>
      <c r="Y346" s="21" t="s">
        <v>2272</v>
      </c>
      <c r="Z346" s="21" t="s">
        <v>2272</v>
      </c>
      <c r="AA346" s="198" t="s">
        <v>2272</v>
      </c>
      <c r="AB346" s="198" t="s">
        <v>2272</v>
      </c>
      <c r="AC346" s="198" t="s">
        <v>2272</v>
      </c>
      <c r="AD346" s="4"/>
      <c r="AE346" s="4"/>
    </row>
    <row r="347" spans="1:31" ht="112" customHeight="1">
      <c r="A347" s="198" t="s">
        <v>1753</v>
      </c>
      <c r="B347" s="198" t="s">
        <v>1824</v>
      </c>
      <c r="C347" s="198" t="s">
        <v>23</v>
      </c>
      <c r="D347" s="198" t="s">
        <v>26</v>
      </c>
      <c r="E347" s="4" t="s">
        <v>128</v>
      </c>
      <c r="F347" s="4" t="s">
        <v>159</v>
      </c>
      <c r="G347" s="198" t="s">
        <v>2272</v>
      </c>
      <c r="H347" s="4" t="s">
        <v>521</v>
      </c>
      <c r="I347" s="198"/>
      <c r="J347" s="21" t="s">
        <v>2272</v>
      </c>
      <c r="K347" s="21" t="s">
        <v>2272</v>
      </c>
      <c r="L347" s="21" t="s">
        <v>2272</v>
      </c>
      <c r="M347" s="21" t="s">
        <v>2272</v>
      </c>
      <c r="N347" s="21" t="s">
        <v>2272</v>
      </c>
      <c r="O347" s="21" t="s">
        <v>2272</v>
      </c>
      <c r="P347" s="21" t="s">
        <v>2272</v>
      </c>
      <c r="Q347" s="21" t="s">
        <v>2272</v>
      </c>
      <c r="R347" s="21" t="s">
        <v>2272</v>
      </c>
      <c r="S347" s="21" t="s">
        <v>2272</v>
      </c>
      <c r="T347" s="21" t="s">
        <v>2272</v>
      </c>
      <c r="U347" s="21" t="s">
        <v>2272</v>
      </c>
      <c r="V347" s="21" t="s">
        <v>2272</v>
      </c>
      <c r="W347" s="21" t="s">
        <v>2272</v>
      </c>
      <c r="X347" s="21" t="s">
        <v>2272</v>
      </c>
      <c r="Y347" s="21" t="s">
        <v>2272</v>
      </c>
      <c r="Z347" s="21" t="s">
        <v>2272</v>
      </c>
      <c r="AA347" s="198" t="s">
        <v>2272</v>
      </c>
      <c r="AB347" s="198" t="s">
        <v>2272</v>
      </c>
      <c r="AC347" s="198" t="s">
        <v>2272</v>
      </c>
      <c r="AD347" s="4"/>
      <c r="AE347" s="4"/>
    </row>
    <row r="348" spans="1:31" ht="112" customHeight="1">
      <c r="A348" s="198" t="s">
        <v>1753</v>
      </c>
      <c r="B348" s="198" t="s">
        <v>1825</v>
      </c>
      <c r="C348" s="198" t="s">
        <v>23</v>
      </c>
      <c r="D348" s="198" t="s">
        <v>141</v>
      </c>
      <c r="E348" s="4" t="s">
        <v>395</v>
      </c>
      <c r="F348" s="4" t="s">
        <v>73</v>
      </c>
      <c r="G348" s="198" t="s">
        <v>2272</v>
      </c>
      <c r="H348" s="4" t="s">
        <v>521</v>
      </c>
      <c r="I348" s="198"/>
      <c r="J348" s="21" t="s">
        <v>2272</v>
      </c>
      <c r="K348" s="21" t="s">
        <v>2272</v>
      </c>
      <c r="L348" s="21" t="s">
        <v>2272</v>
      </c>
      <c r="M348" s="21" t="s">
        <v>2272</v>
      </c>
      <c r="N348" s="21" t="s">
        <v>2272</v>
      </c>
      <c r="O348" s="21" t="s">
        <v>2272</v>
      </c>
      <c r="P348" s="21" t="s">
        <v>2272</v>
      </c>
      <c r="Q348" s="21" t="s">
        <v>2272</v>
      </c>
      <c r="R348" s="21" t="s">
        <v>2272</v>
      </c>
      <c r="S348" s="21" t="s">
        <v>2272</v>
      </c>
      <c r="T348" s="21" t="s">
        <v>2272</v>
      </c>
      <c r="U348" s="21" t="s">
        <v>2272</v>
      </c>
      <c r="V348" s="21" t="s">
        <v>2272</v>
      </c>
      <c r="W348" s="21" t="s">
        <v>2272</v>
      </c>
      <c r="X348" s="21" t="s">
        <v>2272</v>
      </c>
      <c r="Y348" s="21" t="s">
        <v>2272</v>
      </c>
      <c r="Z348" s="21" t="s">
        <v>2272</v>
      </c>
      <c r="AA348" s="198" t="s">
        <v>2272</v>
      </c>
      <c r="AB348" s="198" t="s">
        <v>2272</v>
      </c>
      <c r="AC348" s="198" t="s">
        <v>2272</v>
      </c>
      <c r="AD348" s="4"/>
      <c r="AE348" s="4"/>
    </row>
    <row r="349" spans="1:31" ht="112" customHeight="1">
      <c r="A349" s="198" t="s">
        <v>1754</v>
      </c>
      <c r="B349" s="198" t="s">
        <v>1826</v>
      </c>
      <c r="C349" s="198" t="s">
        <v>23</v>
      </c>
      <c r="D349" s="198" t="s">
        <v>141</v>
      </c>
      <c r="E349" s="4" t="s">
        <v>128</v>
      </c>
      <c r="F349" s="4" t="s">
        <v>73</v>
      </c>
      <c r="G349" s="198" t="s">
        <v>2272</v>
      </c>
      <c r="H349" s="4" t="s">
        <v>521</v>
      </c>
      <c r="I349" s="198"/>
      <c r="J349" s="21" t="s">
        <v>2272</v>
      </c>
      <c r="K349" s="21" t="s">
        <v>2272</v>
      </c>
      <c r="L349" s="21" t="s">
        <v>2272</v>
      </c>
      <c r="M349" s="21" t="s">
        <v>2272</v>
      </c>
      <c r="N349" s="21" t="s">
        <v>2272</v>
      </c>
      <c r="O349" s="21" t="s">
        <v>2272</v>
      </c>
      <c r="P349" s="21" t="s">
        <v>2272</v>
      </c>
      <c r="Q349" s="21" t="s">
        <v>2272</v>
      </c>
      <c r="R349" s="21" t="s">
        <v>2272</v>
      </c>
      <c r="S349" s="21" t="s">
        <v>2272</v>
      </c>
      <c r="T349" s="21" t="s">
        <v>2272</v>
      </c>
      <c r="U349" s="21" t="s">
        <v>2272</v>
      </c>
      <c r="V349" s="21" t="s">
        <v>2272</v>
      </c>
      <c r="W349" s="21" t="s">
        <v>2272</v>
      </c>
      <c r="X349" s="21" t="s">
        <v>2272</v>
      </c>
      <c r="Y349" s="21" t="s">
        <v>2272</v>
      </c>
      <c r="Z349" s="21" t="s">
        <v>2272</v>
      </c>
      <c r="AA349" s="198" t="s">
        <v>2272</v>
      </c>
      <c r="AB349" s="198" t="s">
        <v>2272</v>
      </c>
      <c r="AC349" s="198" t="s">
        <v>2272</v>
      </c>
      <c r="AD349" s="4"/>
      <c r="AE349" s="4"/>
    </row>
    <row r="350" spans="1:31" ht="112" customHeight="1">
      <c r="A350" s="198" t="s">
        <v>1754</v>
      </c>
      <c r="B350" s="198" t="s">
        <v>1827</v>
      </c>
      <c r="C350" s="198" t="s">
        <v>23</v>
      </c>
      <c r="D350" s="198" t="s">
        <v>26</v>
      </c>
      <c r="E350" s="4" t="s">
        <v>128</v>
      </c>
      <c r="F350" s="4" t="s">
        <v>159</v>
      </c>
      <c r="G350" s="198" t="s">
        <v>2272</v>
      </c>
      <c r="H350" s="4" t="s">
        <v>521</v>
      </c>
      <c r="I350" s="198"/>
      <c r="J350" s="21" t="s">
        <v>2272</v>
      </c>
      <c r="K350" s="21" t="s">
        <v>2272</v>
      </c>
      <c r="L350" s="21" t="s">
        <v>2272</v>
      </c>
      <c r="M350" s="21" t="s">
        <v>2272</v>
      </c>
      <c r="N350" s="21" t="s">
        <v>2272</v>
      </c>
      <c r="O350" s="21" t="s">
        <v>2272</v>
      </c>
      <c r="P350" s="21" t="s">
        <v>2272</v>
      </c>
      <c r="Q350" s="21" t="s">
        <v>2272</v>
      </c>
      <c r="R350" s="21" t="s">
        <v>2272</v>
      </c>
      <c r="S350" s="21" t="s">
        <v>2272</v>
      </c>
      <c r="T350" s="21" t="s">
        <v>2272</v>
      </c>
      <c r="U350" s="21" t="s">
        <v>2272</v>
      </c>
      <c r="V350" s="21" t="s">
        <v>2272</v>
      </c>
      <c r="W350" s="21" t="s">
        <v>2272</v>
      </c>
      <c r="X350" s="21" t="s">
        <v>2272</v>
      </c>
      <c r="Y350" s="21" t="s">
        <v>2272</v>
      </c>
      <c r="Z350" s="21" t="s">
        <v>2272</v>
      </c>
      <c r="AA350" s="198" t="s">
        <v>2272</v>
      </c>
      <c r="AB350" s="198" t="s">
        <v>2272</v>
      </c>
      <c r="AC350" s="198" t="s">
        <v>2272</v>
      </c>
      <c r="AD350" s="4"/>
      <c r="AE350" s="4"/>
    </row>
    <row r="351" spans="1:31" ht="112" customHeight="1">
      <c r="A351" s="198" t="s">
        <v>1754</v>
      </c>
      <c r="B351" s="198" t="s">
        <v>1828</v>
      </c>
      <c r="C351" s="198" t="s">
        <v>23</v>
      </c>
      <c r="D351" s="198" t="s">
        <v>141</v>
      </c>
      <c r="E351" s="4" t="s">
        <v>395</v>
      </c>
      <c r="F351" s="4" t="s">
        <v>73</v>
      </c>
      <c r="G351" s="198" t="s">
        <v>2272</v>
      </c>
      <c r="H351" s="4" t="s">
        <v>521</v>
      </c>
      <c r="I351" s="198"/>
      <c r="J351" s="21" t="s">
        <v>2272</v>
      </c>
      <c r="K351" s="21" t="s">
        <v>2272</v>
      </c>
      <c r="L351" s="21" t="s">
        <v>2272</v>
      </c>
      <c r="M351" s="21" t="s">
        <v>2272</v>
      </c>
      <c r="N351" s="21" t="s">
        <v>2272</v>
      </c>
      <c r="O351" s="21" t="s">
        <v>2272</v>
      </c>
      <c r="P351" s="21" t="s">
        <v>2272</v>
      </c>
      <c r="Q351" s="21" t="s">
        <v>2272</v>
      </c>
      <c r="R351" s="21" t="s">
        <v>2272</v>
      </c>
      <c r="S351" s="21" t="s">
        <v>2272</v>
      </c>
      <c r="T351" s="21" t="s">
        <v>2272</v>
      </c>
      <c r="U351" s="21" t="s">
        <v>2272</v>
      </c>
      <c r="V351" s="21" t="s">
        <v>2272</v>
      </c>
      <c r="W351" s="21" t="s">
        <v>2272</v>
      </c>
      <c r="X351" s="21" t="s">
        <v>2272</v>
      </c>
      <c r="Y351" s="21" t="s">
        <v>2272</v>
      </c>
      <c r="Z351" s="21" t="s">
        <v>2272</v>
      </c>
      <c r="AA351" s="198" t="s">
        <v>2272</v>
      </c>
      <c r="AB351" s="198" t="s">
        <v>2272</v>
      </c>
      <c r="AC351" s="198" t="s">
        <v>2272</v>
      </c>
      <c r="AD351" s="4"/>
      <c r="AE351" s="4"/>
    </row>
    <row r="352" spans="1:31" ht="112" customHeight="1">
      <c r="A352" s="198" t="s">
        <v>1755</v>
      </c>
      <c r="B352" s="198" t="s">
        <v>1829</v>
      </c>
      <c r="C352" s="198" t="s">
        <v>23</v>
      </c>
      <c r="D352" s="198" t="s">
        <v>141</v>
      </c>
      <c r="E352" s="4" t="s">
        <v>128</v>
      </c>
      <c r="F352" s="4" t="s">
        <v>73</v>
      </c>
      <c r="G352" s="198" t="s">
        <v>2272</v>
      </c>
      <c r="H352" s="4" t="s">
        <v>521</v>
      </c>
      <c r="I352" s="198"/>
      <c r="J352" s="21" t="s">
        <v>2272</v>
      </c>
      <c r="K352" s="21" t="s">
        <v>2272</v>
      </c>
      <c r="L352" s="21" t="s">
        <v>2272</v>
      </c>
      <c r="M352" s="21" t="s">
        <v>2272</v>
      </c>
      <c r="N352" s="21" t="s">
        <v>2272</v>
      </c>
      <c r="O352" s="21" t="s">
        <v>2272</v>
      </c>
      <c r="P352" s="21" t="s">
        <v>2272</v>
      </c>
      <c r="Q352" s="21" t="s">
        <v>2272</v>
      </c>
      <c r="R352" s="21" t="s">
        <v>2272</v>
      </c>
      <c r="S352" s="21" t="s">
        <v>2272</v>
      </c>
      <c r="T352" s="21" t="s">
        <v>2272</v>
      </c>
      <c r="U352" s="21" t="s">
        <v>2272</v>
      </c>
      <c r="V352" s="21" t="s">
        <v>2272</v>
      </c>
      <c r="W352" s="21" t="s">
        <v>2272</v>
      </c>
      <c r="X352" s="21" t="s">
        <v>2272</v>
      </c>
      <c r="Y352" s="21" t="s">
        <v>2272</v>
      </c>
      <c r="Z352" s="21" t="s">
        <v>2272</v>
      </c>
      <c r="AA352" s="198" t="s">
        <v>2272</v>
      </c>
      <c r="AB352" s="198" t="s">
        <v>2272</v>
      </c>
      <c r="AC352" s="198" t="s">
        <v>2272</v>
      </c>
      <c r="AD352" s="4"/>
      <c r="AE352" s="4"/>
    </row>
    <row r="353" spans="1:31" ht="112" customHeight="1">
      <c r="A353" s="198" t="s">
        <v>1755</v>
      </c>
      <c r="B353" s="198" t="s">
        <v>1830</v>
      </c>
      <c r="C353" s="198" t="s">
        <v>23</v>
      </c>
      <c r="D353" s="198" t="s">
        <v>26</v>
      </c>
      <c r="E353" s="4" t="s">
        <v>128</v>
      </c>
      <c r="F353" s="4" t="s">
        <v>159</v>
      </c>
      <c r="G353" s="198" t="s">
        <v>2272</v>
      </c>
      <c r="H353" s="4" t="s">
        <v>521</v>
      </c>
      <c r="I353" s="198"/>
      <c r="J353" s="21" t="s">
        <v>2272</v>
      </c>
      <c r="K353" s="21" t="s">
        <v>2272</v>
      </c>
      <c r="L353" s="21" t="s">
        <v>2272</v>
      </c>
      <c r="M353" s="21" t="s">
        <v>2272</v>
      </c>
      <c r="N353" s="21" t="s">
        <v>2272</v>
      </c>
      <c r="O353" s="21" t="s">
        <v>2272</v>
      </c>
      <c r="P353" s="21" t="s">
        <v>2272</v>
      </c>
      <c r="Q353" s="21" t="s">
        <v>2272</v>
      </c>
      <c r="R353" s="21" t="s">
        <v>2272</v>
      </c>
      <c r="S353" s="21" t="s">
        <v>2272</v>
      </c>
      <c r="T353" s="21" t="s">
        <v>2272</v>
      </c>
      <c r="U353" s="21" t="s">
        <v>2272</v>
      </c>
      <c r="V353" s="21" t="s">
        <v>2272</v>
      </c>
      <c r="W353" s="21" t="s">
        <v>2272</v>
      </c>
      <c r="X353" s="21" t="s">
        <v>2272</v>
      </c>
      <c r="Y353" s="21" t="s">
        <v>2272</v>
      </c>
      <c r="Z353" s="21" t="s">
        <v>2272</v>
      </c>
      <c r="AA353" s="198" t="s">
        <v>2272</v>
      </c>
      <c r="AB353" s="198" t="s">
        <v>2272</v>
      </c>
      <c r="AC353" s="198" t="s">
        <v>2272</v>
      </c>
      <c r="AD353" s="4"/>
      <c r="AE353" s="4"/>
    </row>
    <row r="354" spans="1:31" ht="112" customHeight="1">
      <c r="A354" s="198" t="s">
        <v>1756</v>
      </c>
      <c r="B354" s="198" t="s">
        <v>1831</v>
      </c>
      <c r="C354" s="198" t="s">
        <v>23</v>
      </c>
      <c r="D354" s="198" t="s">
        <v>141</v>
      </c>
      <c r="E354" s="4" t="s">
        <v>128</v>
      </c>
      <c r="F354" s="4" t="s">
        <v>73</v>
      </c>
      <c r="G354" s="198" t="s">
        <v>2272</v>
      </c>
      <c r="H354" s="4" t="s">
        <v>521</v>
      </c>
      <c r="I354" s="198"/>
      <c r="J354" s="21" t="s">
        <v>2272</v>
      </c>
      <c r="K354" s="21" t="s">
        <v>2272</v>
      </c>
      <c r="L354" s="21" t="s">
        <v>2272</v>
      </c>
      <c r="M354" s="21" t="s">
        <v>2272</v>
      </c>
      <c r="N354" s="21" t="s">
        <v>2272</v>
      </c>
      <c r="O354" s="21" t="s">
        <v>2272</v>
      </c>
      <c r="P354" s="21" t="s">
        <v>2272</v>
      </c>
      <c r="Q354" s="21" t="s">
        <v>2272</v>
      </c>
      <c r="R354" s="21" t="s">
        <v>2272</v>
      </c>
      <c r="S354" s="21" t="s">
        <v>2272</v>
      </c>
      <c r="T354" s="21" t="s">
        <v>2272</v>
      </c>
      <c r="U354" s="21" t="s">
        <v>2272</v>
      </c>
      <c r="V354" s="21" t="s">
        <v>2272</v>
      </c>
      <c r="W354" s="21" t="s">
        <v>2272</v>
      </c>
      <c r="X354" s="21" t="s">
        <v>2272</v>
      </c>
      <c r="Y354" s="21" t="s">
        <v>2272</v>
      </c>
      <c r="Z354" s="21" t="s">
        <v>2272</v>
      </c>
      <c r="AA354" s="198" t="s">
        <v>2272</v>
      </c>
      <c r="AB354" s="198" t="s">
        <v>2272</v>
      </c>
      <c r="AC354" s="198" t="s">
        <v>2272</v>
      </c>
      <c r="AD354" s="4"/>
      <c r="AE354" s="4"/>
    </row>
    <row r="355" spans="1:31" ht="112" customHeight="1">
      <c r="A355" s="198" t="s">
        <v>1756</v>
      </c>
      <c r="B355" s="198" t="s">
        <v>1832</v>
      </c>
      <c r="C355" s="198" t="s">
        <v>23</v>
      </c>
      <c r="D355" s="198" t="s">
        <v>26</v>
      </c>
      <c r="E355" s="4" t="s">
        <v>128</v>
      </c>
      <c r="F355" s="4" t="s">
        <v>159</v>
      </c>
      <c r="G355" s="198" t="s">
        <v>2272</v>
      </c>
      <c r="H355" s="4" t="s">
        <v>521</v>
      </c>
      <c r="I355" s="198"/>
      <c r="J355" s="21" t="s">
        <v>2272</v>
      </c>
      <c r="K355" s="21" t="s">
        <v>2272</v>
      </c>
      <c r="L355" s="21" t="s">
        <v>2272</v>
      </c>
      <c r="M355" s="21" t="s">
        <v>2272</v>
      </c>
      <c r="N355" s="21" t="s">
        <v>2272</v>
      </c>
      <c r="O355" s="21" t="s">
        <v>2272</v>
      </c>
      <c r="P355" s="21" t="s">
        <v>2272</v>
      </c>
      <c r="Q355" s="21" t="s">
        <v>2272</v>
      </c>
      <c r="R355" s="21" t="s">
        <v>2272</v>
      </c>
      <c r="S355" s="21" t="s">
        <v>2272</v>
      </c>
      <c r="T355" s="21" t="s">
        <v>2272</v>
      </c>
      <c r="U355" s="21" t="s">
        <v>2272</v>
      </c>
      <c r="V355" s="21" t="s">
        <v>2272</v>
      </c>
      <c r="W355" s="21" t="s">
        <v>2272</v>
      </c>
      <c r="X355" s="21" t="s">
        <v>2272</v>
      </c>
      <c r="Y355" s="21" t="s">
        <v>2272</v>
      </c>
      <c r="Z355" s="21" t="s">
        <v>2272</v>
      </c>
      <c r="AA355" s="198" t="s">
        <v>2272</v>
      </c>
      <c r="AB355" s="198" t="s">
        <v>2272</v>
      </c>
      <c r="AC355" s="198" t="s">
        <v>2272</v>
      </c>
      <c r="AD355" s="4"/>
      <c r="AE355" s="4"/>
    </row>
    <row r="356" spans="1:31" ht="112" customHeight="1">
      <c r="A356" s="198" t="s">
        <v>1756</v>
      </c>
      <c r="B356" s="198" t="s">
        <v>1833</v>
      </c>
      <c r="C356" s="198" t="s">
        <v>23</v>
      </c>
      <c r="D356" s="198" t="s">
        <v>141</v>
      </c>
      <c r="E356" s="4" t="s">
        <v>395</v>
      </c>
      <c r="F356" s="4" t="s">
        <v>73</v>
      </c>
      <c r="G356" s="198" t="s">
        <v>2272</v>
      </c>
      <c r="H356" s="4" t="s">
        <v>521</v>
      </c>
      <c r="I356" s="198"/>
      <c r="J356" s="21" t="s">
        <v>2272</v>
      </c>
      <c r="K356" s="21" t="s">
        <v>2272</v>
      </c>
      <c r="L356" s="21" t="s">
        <v>2272</v>
      </c>
      <c r="M356" s="21" t="s">
        <v>2272</v>
      </c>
      <c r="N356" s="21" t="s">
        <v>2272</v>
      </c>
      <c r="O356" s="21" t="s">
        <v>2272</v>
      </c>
      <c r="P356" s="21" t="s">
        <v>2272</v>
      </c>
      <c r="Q356" s="21" t="s">
        <v>2272</v>
      </c>
      <c r="R356" s="21" t="s">
        <v>2272</v>
      </c>
      <c r="S356" s="21" t="s">
        <v>2272</v>
      </c>
      <c r="T356" s="21" t="s">
        <v>2272</v>
      </c>
      <c r="U356" s="21" t="s">
        <v>2272</v>
      </c>
      <c r="V356" s="21" t="s">
        <v>2272</v>
      </c>
      <c r="W356" s="21" t="s">
        <v>2272</v>
      </c>
      <c r="X356" s="21" t="s">
        <v>2272</v>
      </c>
      <c r="Y356" s="21" t="s">
        <v>2272</v>
      </c>
      <c r="Z356" s="21" t="s">
        <v>2272</v>
      </c>
      <c r="AA356" s="198" t="s">
        <v>2272</v>
      </c>
      <c r="AB356" s="198" t="s">
        <v>2272</v>
      </c>
      <c r="AC356" s="198" t="s">
        <v>2272</v>
      </c>
      <c r="AD356" s="4"/>
      <c r="AE356" s="4"/>
    </row>
    <row r="357" spans="1:31" ht="112" customHeight="1">
      <c r="A357" s="198" t="s">
        <v>1757</v>
      </c>
      <c r="B357" s="198" t="s">
        <v>1834</v>
      </c>
      <c r="C357" s="198" t="s">
        <v>23</v>
      </c>
      <c r="D357" s="198" t="s">
        <v>141</v>
      </c>
      <c r="E357" s="4" t="s">
        <v>128</v>
      </c>
      <c r="F357" s="4" t="s">
        <v>73</v>
      </c>
      <c r="G357" s="198" t="s">
        <v>2272</v>
      </c>
      <c r="H357" s="4" t="s">
        <v>521</v>
      </c>
      <c r="I357" s="198"/>
      <c r="J357" s="21" t="s">
        <v>2272</v>
      </c>
      <c r="K357" s="21" t="s">
        <v>2272</v>
      </c>
      <c r="L357" s="21" t="s">
        <v>2272</v>
      </c>
      <c r="M357" s="21" t="s">
        <v>2272</v>
      </c>
      <c r="N357" s="21" t="s">
        <v>2272</v>
      </c>
      <c r="O357" s="21" t="s">
        <v>2272</v>
      </c>
      <c r="P357" s="21" t="s">
        <v>2272</v>
      </c>
      <c r="Q357" s="21" t="s">
        <v>2272</v>
      </c>
      <c r="R357" s="21" t="s">
        <v>2272</v>
      </c>
      <c r="S357" s="21" t="s">
        <v>2272</v>
      </c>
      <c r="T357" s="21" t="s">
        <v>2272</v>
      </c>
      <c r="U357" s="21" t="s">
        <v>2272</v>
      </c>
      <c r="V357" s="21" t="s">
        <v>2272</v>
      </c>
      <c r="W357" s="21" t="s">
        <v>2272</v>
      </c>
      <c r="X357" s="21" t="s">
        <v>2272</v>
      </c>
      <c r="Y357" s="21" t="s">
        <v>2272</v>
      </c>
      <c r="Z357" s="21" t="s">
        <v>2272</v>
      </c>
      <c r="AA357" s="198" t="s">
        <v>2272</v>
      </c>
      <c r="AB357" s="198" t="s">
        <v>2272</v>
      </c>
      <c r="AC357" s="198" t="s">
        <v>2272</v>
      </c>
      <c r="AD357" s="4"/>
      <c r="AE357" s="4"/>
    </row>
    <row r="358" spans="1:31" ht="112" customHeight="1">
      <c r="A358" s="198" t="s">
        <v>1757</v>
      </c>
      <c r="B358" s="198" t="s">
        <v>1835</v>
      </c>
      <c r="C358" s="198" t="s">
        <v>23</v>
      </c>
      <c r="D358" s="198" t="s">
        <v>26</v>
      </c>
      <c r="E358" s="4" t="s">
        <v>128</v>
      </c>
      <c r="F358" s="4" t="s">
        <v>159</v>
      </c>
      <c r="G358" s="198" t="s">
        <v>2272</v>
      </c>
      <c r="H358" s="4" t="s">
        <v>521</v>
      </c>
      <c r="I358" s="198"/>
      <c r="J358" s="21" t="s">
        <v>2272</v>
      </c>
      <c r="K358" s="21" t="s">
        <v>2272</v>
      </c>
      <c r="L358" s="21" t="s">
        <v>2272</v>
      </c>
      <c r="M358" s="21" t="s">
        <v>2272</v>
      </c>
      <c r="N358" s="21" t="s">
        <v>2272</v>
      </c>
      <c r="O358" s="21" t="s">
        <v>2272</v>
      </c>
      <c r="P358" s="21" t="s">
        <v>2272</v>
      </c>
      <c r="Q358" s="21" t="s">
        <v>2272</v>
      </c>
      <c r="R358" s="21" t="s">
        <v>2272</v>
      </c>
      <c r="S358" s="21" t="s">
        <v>2272</v>
      </c>
      <c r="T358" s="21" t="s">
        <v>2272</v>
      </c>
      <c r="U358" s="21" t="s">
        <v>2272</v>
      </c>
      <c r="V358" s="21" t="s">
        <v>2272</v>
      </c>
      <c r="W358" s="21" t="s">
        <v>2272</v>
      </c>
      <c r="X358" s="21" t="s">
        <v>2272</v>
      </c>
      <c r="Y358" s="21" t="s">
        <v>2272</v>
      </c>
      <c r="Z358" s="21" t="s">
        <v>2272</v>
      </c>
      <c r="AA358" s="198" t="s">
        <v>2272</v>
      </c>
      <c r="AB358" s="198" t="s">
        <v>2272</v>
      </c>
      <c r="AC358" s="198" t="s">
        <v>2272</v>
      </c>
      <c r="AD358" s="4"/>
      <c r="AE358" s="4"/>
    </row>
    <row r="359" spans="1:31" ht="112" customHeight="1">
      <c r="A359" s="198" t="s">
        <v>1757</v>
      </c>
      <c r="B359" s="198" t="s">
        <v>1836</v>
      </c>
      <c r="C359" s="198" t="s">
        <v>23</v>
      </c>
      <c r="D359" s="198" t="s">
        <v>141</v>
      </c>
      <c r="E359" s="4" t="s">
        <v>395</v>
      </c>
      <c r="F359" s="4" t="s">
        <v>73</v>
      </c>
      <c r="G359" s="198" t="s">
        <v>2272</v>
      </c>
      <c r="H359" s="4" t="s">
        <v>521</v>
      </c>
      <c r="I359" s="198"/>
      <c r="J359" s="21" t="s">
        <v>2272</v>
      </c>
      <c r="K359" s="21" t="s">
        <v>2272</v>
      </c>
      <c r="L359" s="21" t="s">
        <v>2272</v>
      </c>
      <c r="M359" s="21" t="s">
        <v>2272</v>
      </c>
      <c r="N359" s="21" t="s">
        <v>2272</v>
      </c>
      <c r="O359" s="21" t="s">
        <v>2272</v>
      </c>
      <c r="P359" s="21" t="s">
        <v>2272</v>
      </c>
      <c r="Q359" s="21" t="s">
        <v>2272</v>
      </c>
      <c r="R359" s="21" t="s">
        <v>2272</v>
      </c>
      <c r="S359" s="21" t="s">
        <v>2272</v>
      </c>
      <c r="T359" s="21" t="s">
        <v>2272</v>
      </c>
      <c r="U359" s="21" t="s">
        <v>2272</v>
      </c>
      <c r="V359" s="21" t="s">
        <v>2272</v>
      </c>
      <c r="W359" s="21" t="s">
        <v>2272</v>
      </c>
      <c r="X359" s="21" t="s">
        <v>2272</v>
      </c>
      <c r="Y359" s="21" t="s">
        <v>2272</v>
      </c>
      <c r="Z359" s="21" t="s">
        <v>2272</v>
      </c>
      <c r="AA359" s="198" t="s">
        <v>2272</v>
      </c>
      <c r="AB359" s="198" t="s">
        <v>2272</v>
      </c>
      <c r="AC359" s="198" t="s">
        <v>2272</v>
      </c>
      <c r="AD359" s="4"/>
      <c r="AE359" s="4"/>
    </row>
    <row r="360" spans="1:31" ht="112" customHeight="1">
      <c r="A360" s="198" t="s">
        <v>1758</v>
      </c>
      <c r="B360" s="198" t="s">
        <v>1837</v>
      </c>
      <c r="C360" s="198" t="s">
        <v>23</v>
      </c>
      <c r="D360" s="198" t="s">
        <v>141</v>
      </c>
      <c r="E360" s="4" t="s">
        <v>128</v>
      </c>
      <c r="F360" s="4" t="s">
        <v>73</v>
      </c>
      <c r="G360" s="198" t="s">
        <v>2272</v>
      </c>
      <c r="H360" s="4" t="s">
        <v>521</v>
      </c>
      <c r="I360" s="198"/>
      <c r="J360" s="21" t="s">
        <v>2272</v>
      </c>
      <c r="K360" s="21" t="s">
        <v>2272</v>
      </c>
      <c r="L360" s="21" t="s">
        <v>2272</v>
      </c>
      <c r="M360" s="21" t="s">
        <v>2272</v>
      </c>
      <c r="N360" s="21" t="s">
        <v>2272</v>
      </c>
      <c r="O360" s="21" t="s">
        <v>2272</v>
      </c>
      <c r="P360" s="21" t="s">
        <v>2272</v>
      </c>
      <c r="Q360" s="21" t="s">
        <v>2272</v>
      </c>
      <c r="R360" s="21" t="s">
        <v>2272</v>
      </c>
      <c r="S360" s="21" t="s">
        <v>2272</v>
      </c>
      <c r="T360" s="21" t="s">
        <v>2272</v>
      </c>
      <c r="U360" s="21" t="s">
        <v>2272</v>
      </c>
      <c r="V360" s="21" t="s">
        <v>2272</v>
      </c>
      <c r="W360" s="21" t="s">
        <v>2272</v>
      </c>
      <c r="X360" s="21" t="s">
        <v>2272</v>
      </c>
      <c r="Y360" s="21" t="s">
        <v>2272</v>
      </c>
      <c r="Z360" s="21" t="s">
        <v>2272</v>
      </c>
      <c r="AA360" s="198" t="s">
        <v>2272</v>
      </c>
      <c r="AB360" s="198" t="s">
        <v>2272</v>
      </c>
      <c r="AC360" s="198" t="s">
        <v>2272</v>
      </c>
      <c r="AD360" s="4"/>
      <c r="AE360" s="4"/>
    </row>
    <row r="361" spans="1:31" ht="112" customHeight="1">
      <c r="A361" s="198" t="s">
        <v>1758</v>
      </c>
      <c r="B361" s="198" t="s">
        <v>1838</v>
      </c>
      <c r="C361" s="198" t="s">
        <v>23</v>
      </c>
      <c r="D361" s="198" t="s">
        <v>26</v>
      </c>
      <c r="E361" s="4" t="s">
        <v>128</v>
      </c>
      <c r="F361" s="4" t="s">
        <v>159</v>
      </c>
      <c r="G361" s="198" t="s">
        <v>2272</v>
      </c>
      <c r="H361" s="4" t="s">
        <v>521</v>
      </c>
      <c r="I361" s="198"/>
      <c r="J361" s="21" t="s">
        <v>2272</v>
      </c>
      <c r="K361" s="21" t="s">
        <v>2272</v>
      </c>
      <c r="L361" s="21" t="s">
        <v>2272</v>
      </c>
      <c r="M361" s="21" t="s">
        <v>2272</v>
      </c>
      <c r="N361" s="21" t="s">
        <v>2272</v>
      </c>
      <c r="O361" s="21" t="s">
        <v>2272</v>
      </c>
      <c r="P361" s="21" t="s">
        <v>2272</v>
      </c>
      <c r="Q361" s="21" t="s">
        <v>2272</v>
      </c>
      <c r="R361" s="21" t="s">
        <v>2272</v>
      </c>
      <c r="S361" s="21" t="s">
        <v>2272</v>
      </c>
      <c r="T361" s="21" t="s">
        <v>2272</v>
      </c>
      <c r="U361" s="21" t="s">
        <v>2272</v>
      </c>
      <c r="V361" s="21" t="s">
        <v>2272</v>
      </c>
      <c r="W361" s="21" t="s">
        <v>2272</v>
      </c>
      <c r="X361" s="21" t="s">
        <v>2272</v>
      </c>
      <c r="Y361" s="21" t="s">
        <v>2272</v>
      </c>
      <c r="Z361" s="21" t="s">
        <v>2272</v>
      </c>
      <c r="AA361" s="198" t="s">
        <v>2272</v>
      </c>
      <c r="AB361" s="198" t="s">
        <v>2272</v>
      </c>
      <c r="AC361" s="198" t="s">
        <v>2272</v>
      </c>
      <c r="AD361" s="4"/>
      <c r="AE361" s="4"/>
    </row>
    <row r="362" spans="1:31" ht="112" customHeight="1">
      <c r="A362" s="198" t="s">
        <v>1758</v>
      </c>
      <c r="B362" s="198" t="s">
        <v>1839</v>
      </c>
      <c r="C362" s="198" t="s">
        <v>23</v>
      </c>
      <c r="D362" s="198" t="s">
        <v>141</v>
      </c>
      <c r="E362" s="4" t="s">
        <v>395</v>
      </c>
      <c r="F362" s="4" t="s">
        <v>73</v>
      </c>
      <c r="G362" s="198" t="s">
        <v>2272</v>
      </c>
      <c r="H362" s="4" t="s">
        <v>521</v>
      </c>
      <c r="I362" s="198"/>
      <c r="J362" s="21" t="s">
        <v>2272</v>
      </c>
      <c r="K362" s="21" t="s">
        <v>2272</v>
      </c>
      <c r="L362" s="21" t="s">
        <v>2272</v>
      </c>
      <c r="M362" s="21" t="s">
        <v>2272</v>
      </c>
      <c r="N362" s="21" t="s">
        <v>2272</v>
      </c>
      <c r="O362" s="21" t="s">
        <v>2272</v>
      </c>
      <c r="P362" s="21" t="s">
        <v>2272</v>
      </c>
      <c r="Q362" s="21" t="s">
        <v>2272</v>
      </c>
      <c r="R362" s="21" t="s">
        <v>2272</v>
      </c>
      <c r="S362" s="21" t="s">
        <v>2272</v>
      </c>
      <c r="T362" s="21" t="s">
        <v>2272</v>
      </c>
      <c r="U362" s="21" t="s">
        <v>2272</v>
      </c>
      <c r="V362" s="21" t="s">
        <v>2272</v>
      </c>
      <c r="W362" s="21" t="s">
        <v>2272</v>
      </c>
      <c r="X362" s="21" t="s">
        <v>2272</v>
      </c>
      <c r="Y362" s="21" t="s">
        <v>2272</v>
      </c>
      <c r="Z362" s="21" t="s">
        <v>2272</v>
      </c>
      <c r="AA362" s="198" t="s">
        <v>2272</v>
      </c>
      <c r="AB362" s="198" t="s">
        <v>2272</v>
      </c>
      <c r="AC362" s="198" t="s">
        <v>2272</v>
      </c>
      <c r="AD362" s="4"/>
      <c r="AE362" s="4"/>
    </row>
    <row r="363" spans="1:31" ht="112" customHeight="1">
      <c r="A363" s="198" t="s">
        <v>1759</v>
      </c>
      <c r="B363" s="198" t="s">
        <v>1840</v>
      </c>
      <c r="C363" s="198" t="s">
        <v>23</v>
      </c>
      <c r="D363" s="198" t="s">
        <v>141</v>
      </c>
      <c r="E363" s="4" t="s">
        <v>128</v>
      </c>
      <c r="F363" s="4" t="s">
        <v>73</v>
      </c>
      <c r="G363" s="198" t="s">
        <v>2272</v>
      </c>
      <c r="H363" s="4" t="s">
        <v>521</v>
      </c>
      <c r="I363" s="198"/>
      <c r="J363" s="21" t="s">
        <v>2272</v>
      </c>
      <c r="K363" s="21" t="s">
        <v>2272</v>
      </c>
      <c r="L363" s="21" t="s">
        <v>2272</v>
      </c>
      <c r="M363" s="21" t="s">
        <v>2272</v>
      </c>
      <c r="N363" s="21" t="s">
        <v>2272</v>
      </c>
      <c r="O363" s="21" t="s">
        <v>2272</v>
      </c>
      <c r="P363" s="21" t="s">
        <v>2272</v>
      </c>
      <c r="Q363" s="21" t="s">
        <v>2272</v>
      </c>
      <c r="R363" s="21" t="s">
        <v>2272</v>
      </c>
      <c r="S363" s="21" t="s">
        <v>2272</v>
      </c>
      <c r="T363" s="21" t="s">
        <v>2272</v>
      </c>
      <c r="U363" s="21" t="s">
        <v>2272</v>
      </c>
      <c r="V363" s="21" t="s">
        <v>2272</v>
      </c>
      <c r="W363" s="21" t="s">
        <v>2272</v>
      </c>
      <c r="X363" s="21" t="s">
        <v>2272</v>
      </c>
      <c r="Y363" s="21" t="s">
        <v>2272</v>
      </c>
      <c r="Z363" s="21" t="s">
        <v>2272</v>
      </c>
      <c r="AA363" s="198" t="s">
        <v>2272</v>
      </c>
      <c r="AB363" s="198" t="s">
        <v>2272</v>
      </c>
      <c r="AC363" s="198" t="s">
        <v>2272</v>
      </c>
      <c r="AD363" s="4"/>
      <c r="AE363" s="4"/>
    </row>
    <row r="364" spans="1:31" ht="112" customHeight="1">
      <c r="A364" s="198" t="s">
        <v>1759</v>
      </c>
      <c r="B364" s="198" t="s">
        <v>1841</v>
      </c>
      <c r="C364" s="198" t="s">
        <v>23</v>
      </c>
      <c r="D364" s="198" t="s">
        <v>26</v>
      </c>
      <c r="E364" s="4" t="s">
        <v>128</v>
      </c>
      <c r="F364" s="4" t="s">
        <v>159</v>
      </c>
      <c r="G364" s="198" t="s">
        <v>2272</v>
      </c>
      <c r="H364" s="4" t="s">
        <v>521</v>
      </c>
      <c r="I364" s="198"/>
      <c r="J364" s="21" t="s">
        <v>2272</v>
      </c>
      <c r="K364" s="21" t="s">
        <v>2272</v>
      </c>
      <c r="L364" s="21" t="s">
        <v>2272</v>
      </c>
      <c r="M364" s="21" t="s">
        <v>2272</v>
      </c>
      <c r="N364" s="21" t="s">
        <v>2272</v>
      </c>
      <c r="O364" s="21" t="s">
        <v>2272</v>
      </c>
      <c r="P364" s="21" t="s">
        <v>2272</v>
      </c>
      <c r="Q364" s="21" t="s">
        <v>2272</v>
      </c>
      <c r="R364" s="21" t="s">
        <v>2272</v>
      </c>
      <c r="S364" s="21" t="s">
        <v>2272</v>
      </c>
      <c r="T364" s="21" t="s">
        <v>2272</v>
      </c>
      <c r="U364" s="21" t="s">
        <v>2272</v>
      </c>
      <c r="V364" s="21" t="s">
        <v>2272</v>
      </c>
      <c r="W364" s="21" t="s">
        <v>2272</v>
      </c>
      <c r="X364" s="21" t="s">
        <v>2272</v>
      </c>
      <c r="Y364" s="21" t="s">
        <v>2272</v>
      </c>
      <c r="Z364" s="21" t="s">
        <v>2272</v>
      </c>
      <c r="AA364" s="198" t="s">
        <v>2272</v>
      </c>
      <c r="AB364" s="198" t="s">
        <v>2272</v>
      </c>
      <c r="AC364" s="198" t="s">
        <v>2272</v>
      </c>
      <c r="AD364" s="4"/>
      <c r="AE364" s="4"/>
    </row>
    <row r="365" spans="1:31" ht="112" customHeight="1">
      <c r="A365" s="198" t="s">
        <v>1759</v>
      </c>
      <c r="B365" s="198" t="s">
        <v>1842</v>
      </c>
      <c r="C365" s="198" t="s">
        <v>23</v>
      </c>
      <c r="D365" s="198" t="s">
        <v>141</v>
      </c>
      <c r="E365" s="4" t="s">
        <v>395</v>
      </c>
      <c r="F365" s="4" t="s">
        <v>73</v>
      </c>
      <c r="G365" s="198" t="s">
        <v>2272</v>
      </c>
      <c r="H365" s="4" t="s">
        <v>521</v>
      </c>
      <c r="I365" s="198"/>
      <c r="J365" s="21" t="s">
        <v>2272</v>
      </c>
      <c r="K365" s="21" t="s">
        <v>2272</v>
      </c>
      <c r="L365" s="21" t="s">
        <v>2272</v>
      </c>
      <c r="M365" s="21" t="s">
        <v>2272</v>
      </c>
      <c r="N365" s="21" t="s">
        <v>2272</v>
      </c>
      <c r="O365" s="21" t="s">
        <v>2272</v>
      </c>
      <c r="P365" s="21" t="s">
        <v>2272</v>
      </c>
      <c r="Q365" s="21" t="s">
        <v>2272</v>
      </c>
      <c r="R365" s="21" t="s">
        <v>2272</v>
      </c>
      <c r="S365" s="21" t="s">
        <v>2272</v>
      </c>
      <c r="T365" s="21" t="s">
        <v>2272</v>
      </c>
      <c r="U365" s="21" t="s">
        <v>2272</v>
      </c>
      <c r="V365" s="21" t="s">
        <v>2272</v>
      </c>
      <c r="W365" s="21" t="s">
        <v>2272</v>
      </c>
      <c r="X365" s="21" t="s">
        <v>2272</v>
      </c>
      <c r="Y365" s="21" t="s">
        <v>2272</v>
      </c>
      <c r="Z365" s="21" t="s">
        <v>2272</v>
      </c>
      <c r="AA365" s="198" t="s">
        <v>2272</v>
      </c>
      <c r="AB365" s="198" t="s">
        <v>2272</v>
      </c>
      <c r="AC365" s="198" t="s">
        <v>2272</v>
      </c>
      <c r="AD365" s="4"/>
      <c r="AE365" s="4"/>
    </row>
    <row r="366" spans="1:31" ht="112" customHeight="1">
      <c r="A366" s="198" t="s">
        <v>1760</v>
      </c>
      <c r="B366" s="198" t="s">
        <v>1843</v>
      </c>
      <c r="C366" s="198" t="s">
        <v>23</v>
      </c>
      <c r="D366" s="198" t="s">
        <v>141</v>
      </c>
      <c r="E366" s="4" t="s">
        <v>128</v>
      </c>
      <c r="F366" s="4" t="s">
        <v>73</v>
      </c>
      <c r="G366" s="198" t="s">
        <v>2272</v>
      </c>
      <c r="H366" s="4" t="s">
        <v>521</v>
      </c>
      <c r="I366" s="198"/>
      <c r="J366" s="21" t="s">
        <v>2272</v>
      </c>
      <c r="K366" s="21" t="s">
        <v>2272</v>
      </c>
      <c r="L366" s="21" t="s">
        <v>2272</v>
      </c>
      <c r="M366" s="21" t="s">
        <v>2272</v>
      </c>
      <c r="N366" s="21" t="s">
        <v>2272</v>
      </c>
      <c r="O366" s="21" t="s">
        <v>2272</v>
      </c>
      <c r="P366" s="21" t="s">
        <v>2272</v>
      </c>
      <c r="Q366" s="21" t="s">
        <v>2272</v>
      </c>
      <c r="R366" s="21" t="s">
        <v>2272</v>
      </c>
      <c r="S366" s="21" t="s">
        <v>2272</v>
      </c>
      <c r="T366" s="21" t="s">
        <v>2272</v>
      </c>
      <c r="U366" s="21" t="s">
        <v>2272</v>
      </c>
      <c r="V366" s="21" t="s">
        <v>2272</v>
      </c>
      <c r="W366" s="21" t="s">
        <v>2272</v>
      </c>
      <c r="X366" s="21" t="s">
        <v>2272</v>
      </c>
      <c r="Y366" s="21" t="s">
        <v>2272</v>
      </c>
      <c r="Z366" s="21" t="s">
        <v>2272</v>
      </c>
      <c r="AA366" s="198" t="s">
        <v>2272</v>
      </c>
      <c r="AB366" s="198" t="s">
        <v>2272</v>
      </c>
      <c r="AC366" s="198" t="s">
        <v>2272</v>
      </c>
      <c r="AD366" s="4"/>
      <c r="AE366" s="4"/>
    </row>
    <row r="367" spans="1:31" ht="112" customHeight="1">
      <c r="A367" s="198" t="s">
        <v>1760</v>
      </c>
      <c r="B367" s="198" t="s">
        <v>1844</v>
      </c>
      <c r="C367" s="198" t="s">
        <v>23</v>
      </c>
      <c r="D367" s="198" t="s">
        <v>26</v>
      </c>
      <c r="E367" s="4" t="s">
        <v>128</v>
      </c>
      <c r="F367" s="4" t="s">
        <v>159</v>
      </c>
      <c r="G367" s="198" t="s">
        <v>2272</v>
      </c>
      <c r="H367" s="4" t="s">
        <v>521</v>
      </c>
      <c r="I367" s="198"/>
      <c r="J367" s="21" t="s">
        <v>2272</v>
      </c>
      <c r="K367" s="21" t="s">
        <v>2272</v>
      </c>
      <c r="L367" s="21" t="s">
        <v>2272</v>
      </c>
      <c r="M367" s="21" t="s">
        <v>2272</v>
      </c>
      <c r="N367" s="21" t="s">
        <v>2272</v>
      </c>
      <c r="O367" s="21" t="s">
        <v>2272</v>
      </c>
      <c r="P367" s="21" t="s">
        <v>2272</v>
      </c>
      <c r="Q367" s="21" t="s">
        <v>2272</v>
      </c>
      <c r="R367" s="21" t="s">
        <v>2272</v>
      </c>
      <c r="S367" s="21" t="s">
        <v>2272</v>
      </c>
      <c r="T367" s="21" t="s">
        <v>2272</v>
      </c>
      <c r="U367" s="21" t="s">
        <v>2272</v>
      </c>
      <c r="V367" s="21" t="s">
        <v>2272</v>
      </c>
      <c r="W367" s="21" t="s">
        <v>2272</v>
      </c>
      <c r="X367" s="21" t="s">
        <v>2272</v>
      </c>
      <c r="Y367" s="21" t="s">
        <v>2272</v>
      </c>
      <c r="Z367" s="21" t="s">
        <v>2272</v>
      </c>
      <c r="AA367" s="198" t="s">
        <v>2272</v>
      </c>
      <c r="AB367" s="198" t="s">
        <v>2272</v>
      </c>
      <c r="AC367" s="198" t="s">
        <v>2272</v>
      </c>
      <c r="AD367" s="4"/>
      <c r="AE367" s="4"/>
    </row>
    <row r="368" spans="1:31" ht="112" customHeight="1">
      <c r="A368" s="198" t="s">
        <v>1761</v>
      </c>
      <c r="B368" s="198" t="s">
        <v>1845</v>
      </c>
      <c r="C368" s="198" t="s">
        <v>23</v>
      </c>
      <c r="D368" s="198" t="s">
        <v>141</v>
      </c>
      <c r="E368" s="4" t="s">
        <v>128</v>
      </c>
      <c r="F368" s="4" t="s">
        <v>73</v>
      </c>
      <c r="G368" s="198" t="s">
        <v>2272</v>
      </c>
      <c r="H368" s="4" t="s">
        <v>521</v>
      </c>
      <c r="I368" s="198"/>
      <c r="J368" s="21" t="s">
        <v>2272</v>
      </c>
      <c r="K368" s="21" t="s">
        <v>2272</v>
      </c>
      <c r="L368" s="21" t="s">
        <v>2272</v>
      </c>
      <c r="M368" s="21" t="s">
        <v>2272</v>
      </c>
      <c r="N368" s="21" t="s">
        <v>2272</v>
      </c>
      <c r="O368" s="21" t="s">
        <v>2272</v>
      </c>
      <c r="P368" s="21" t="s">
        <v>2272</v>
      </c>
      <c r="Q368" s="21" t="s">
        <v>2272</v>
      </c>
      <c r="R368" s="21" t="s">
        <v>2272</v>
      </c>
      <c r="S368" s="21" t="s">
        <v>2272</v>
      </c>
      <c r="T368" s="21" t="s">
        <v>2272</v>
      </c>
      <c r="U368" s="21" t="s">
        <v>2272</v>
      </c>
      <c r="V368" s="21" t="s">
        <v>2272</v>
      </c>
      <c r="W368" s="21" t="s">
        <v>2272</v>
      </c>
      <c r="X368" s="21" t="s">
        <v>2272</v>
      </c>
      <c r="Y368" s="21" t="s">
        <v>2272</v>
      </c>
      <c r="Z368" s="21" t="s">
        <v>2272</v>
      </c>
      <c r="AA368" s="198" t="s">
        <v>2272</v>
      </c>
      <c r="AB368" s="198" t="s">
        <v>2272</v>
      </c>
      <c r="AC368" s="198" t="s">
        <v>2272</v>
      </c>
      <c r="AD368" s="4"/>
      <c r="AE368" s="4"/>
    </row>
    <row r="369" spans="1:31" ht="112" customHeight="1">
      <c r="A369" s="198" t="s">
        <v>1761</v>
      </c>
      <c r="B369" s="198" t="s">
        <v>1846</v>
      </c>
      <c r="C369" s="198" t="s">
        <v>23</v>
      </c>
      <c r="D369" s="198" t="s">
        <v>26</v>
      </c>
      <c r="E369" s="4" t="s">
        <v>128</v>
      </c>
      <c r="F369" s="4" t="s">
        <v>159</v>
      </c>
      <c r="G369" s="198" t="s">
        <v>2272</v>
      </c>
      <c r="H369" s="4" t="s">
        <v>521</v>
      </c>
      <c r="I369" s="198"/>
      <c r="J369" s="21" t="s">
        <v>2272</v>
      </c>
      <c r="K369" s="21" t="s">
        <v>2272</v>
      </c>
      <c r="L369" s="21" t="s">
        <v>2272</v>
      </c>
      <c r="M369" s="21" t="s">
        <v>2272</v>
      </c>
      <c r="N369" s="21" t="s">
        <v>2272</v>
      </c>
      <c r="O369" s="21" t="s">
        <v>2272</v>
      </c>
      <c r="P369" s="21" t="s">
        <v>2272</v>
      </c>
      <c r="Q369" s="21" t="s">
        <v>2272</v>
      </c>
      <c r="R369" s="21" t="s">
        <v>2272</v>
      </c>
      <c r="S369" s="21" t="s">
        <v>2272</v>
      </c>
      <c r="T369" s="21" t="s">
        <v>2272</v>
      </c>
      <c r="U369" s="21" t="s">
        <v>2272</v>
      </c>
      <c r="V369" s="21" t="s">
        <v>2272</v>
      </c>
      <c r="W369" s="21" t="s">
        <v>2272</v>
      </c>
      <c r="X369" s="21" t="s">
        <v>2272</v>
      </c>
      <c r="Y369" s="21" t="s">
        <v>2272</v>
      </c>
      <c r="Z369" s="21" t="s">
        <v>2272</v>
      </c>
      <c r="AA369" s="198" t="s">
        <v>2272</v>
      </c>
      <c r="AB369" s="198" t="s">
        <v>2272</v>
      </c>
      <c r="AC369" s="198" t="s">
        <v>2272</v>
      </c>
      <c r="AD369" s="4"/>
      <c r="AE369" s="4"/>
    </row>
    <row r="370" spans="1:31" ht="112" customHeight="1">
      <c r="A370" s="198" t="s">
        <v>1761</v>
      </c>
      <c r="B370" s="198" t="s">
        <v>1847</v>
      </c>
      <c r="C370" s="198" t="s">
        <v>23</v>
      </c>
      <c r="D370" s="198" t="s">
        <v>141</v>
      </c>
      <c r="E370" s="4" t="s">
        <v>395</v>
      </c>
      <c r="F370" s="4" t="s">
        <v>73</v>
      </c>
      <c r="G370" s="198" t="s">
        <v>2272</v>
      </c>
      <c r="H370" s="4" t="s">
        <v>521</v>
      </c>
      <c r="I370" s="198"/>
      <c r="J370" s="21" t="s">
        <v>2272</v>
      </c>
      <c r="K370" s="21" t="s">
        <v>2272</v>
      </c>
      <c r="L370" s="21" t="s">
        <v>2272</v>
      </c>
      <c r="M370" s="21" t="s">
        <v>2272</v>
      </c>
      <c r="N370" s="21" t="s">
        <v>2272</v>
      </c>
      <c r="O370" s="21" t="s">
        <v>2272</v>
      </c>
      <c r="P370" s="21" t="s">
        <v>2272</v>
      </c>
      <c r="Q370" s="21" t="s">
        <v>2272</v>
      </c>
      <c r="R370" s="21" t="s">
        <v>2272</v>
      </c>
      <c r="S370" s="21" t="s">
        <v>2272</v>
      </c>
      <c r="T370" s="21" t="s">
        <v>2272</v>
      </c>
      <c r="U370" s="21" t="s">
        <v>2272</v>
      </c>
      <c r="V370" s="21" t="s">
        <v>2272</v>
      </c>
      <c r="W370" s="21" t="s">
        <v>2272</v>
      </c>
      <c r="X370" s="21" t="s">
        <v>2272</v>
      </c>
      <c r="Y370" s="21" t="s">
        <v>2272</v>
      </c>
      <c r="Z370" s="21" t="s">
        <v>2272</v>
      </c>
      <c r="AA370" s="198" t="s">
        <v>2272</v>
      </c>
      <c r="AB370" s="198" t="s">
        <v>2272</v>
      </c>
      <c r="AC370" s="198" t="s">
        <v>2272</v>
      </c>
      <c r="AD370" s="4"/>
      <c r="AE370" s="4"/>
    </row>
    <row r="371" spans="1:31" ht="112" customHeight="1">
      <c r="A371" s="198" t="s">
        <v>1762</v>
      </c>
      <c r="B371" s="198" t="s">
        <v>1848</v>
      </c>
      <c r="C371" s="198" t="s">
        <v>23</v>
      </c>
      <c r="D371" s="198" t="s">
        <v>141</v>
      </c>
      <c r="E371" s="4" t="s">
        <v>128</v>
      </c>
      <c r="F371" s="4" t="s">
        <v>73</v>
      </c>
      <c r="G371" s="198" t="s">
        <v>2272</v>
      </c>
      <c r="H371" s="4" t="s">
        <v>521</v>
      </c>
      <c r="I371" s="198"/>
      <c r="J371" s="21" t="s">
        <v>2272</v>
      </c>
      <c r="K371" s="21" t="s">
        <v>2272</v>
      </c>
      <c r="L371" s="21" t="s">
        <v>2272</v>
      </c>
      <c r="M371" s="21" t="s">
        <v>2272</v>
      </c>
      <c r="N371" s="21" t="s">
        <v>2272</v>
      </c>
      <c r="O371" s="21" t="s">
        <v>2272</v>
      </c>
      <c r="P371" s="21" t="s">
        <v>2272</v>
      </c>
      <c r="Q371" s="21" t="s">
        <v>2272</v>
      </c>
      <c r="R371" s="21" t="s">
        <v>2272</v>
      </c>
      <c r="S371" s="21" t="s">
        <v>2272</v>
      </c>
      <c r="T371" s="21" t="s">
        <v>2272</v>
      </c>
      <c r="U371" s="21" t="s">
        <v>2272</v>
      </c>
      <c r="V371" s="21" t="s">
        <v>2272</v>
      </c>
      <c r="W371" s="21" t="s">
        <v>2272</v>
      </c>
      <c r="X371" s="21" t="s">
        <v>2272</v>
      </c>
      <c r="Y371" s="21" t="s">
        <v>2272</v>
      </c>
      <c r="Z371" s="21" t="s">
        <v>2272</v>
      </c>
      <c r="AA371" s="198" t="s">
        <v>2272</v>
      </c>
      <c r="AB371" s="198" t="s">
        <v>2272</v>
      </c>
      <c r="AC371" s="198" t="s">
        <v>2272</v>
      </c>
      <c r="AD371" s="4"/>
      <c r="AE371" s="4"/>
    </row>
    <row r="372" spans="1:31" ht="112" customHeight="1">
      <c r="A372" s="198" t="s">
        <v>1762</v>
      </c>
      <c r="B372" s="198" t="s">
        <v>1849</v>
      </c>
      <c r="C372" s="198" t="s">
        <v>23</v>
      </c>
      <c r="D372" s="198" t="s">
        <v>26</v>
      </c>
      <c r="E372" s="4" t="s">
        <v>128</v>
      </c>
      <c r="F372" s="4" t="s">
        <v>159</v>
      </c>
      <c r="G372" s="198" t="s">
        <v>2272</v>
      </c>
      <c r="H372" s="4" t="s">
        <v>521</v>
      </c>
      <c r="I372" s="198"/>
      <c r="J372" s="21" t="s">
        <v>2272</v>
      </c>
      <c r="K372" s="21" t="s">
        <v>2272</v>
      </c>
      <c r="L372" s="21" t="s">
        <v>2272</v>
      </c>
      <c r="M372" s="21" t="s">
        <v>2272</v>
      </c>
      <c r="N372" s="21" t="s">
        <v>2272</v>
      </c>
      <c r="O372" s="21" t="s">
        <v>2272</v>
      </c>
      <c r="P372" s="21" t="s">
        <v>2272</v>
      </c>
      <c r="Q372" s="21" t="s">
        <v>2272</v>
      </c>
      <c r="R372" s="21" t="s">
        <v>2272</v>
      </c>
      <c r="S372" s="21" t="s">
        <v>2272</v>
      </c>
      <c r="T372" s="21" t="s">
        <v>2272</v>
      </c>
      <c r="U372" s="21" t="s">
        <v>2272</v>
      </c>
      <c r="V372" s="21" t="s">
        <v>2272</v>
      </c>
      <c r="W372" s="21" t="s">
        <v>2272</v>
      </c>
      <c r="X372" s="21" t="s">
        <v>2272</v>
      </c>
      <c r="Y372" s="21" t="s">
        <v>2272</v>
      </c>
      <c r="Z372" s="21" t="s">
        <v>2272</v>
      </c>
      <c r="AA372" s="198" t="s">
        <v>2272</v>
      </c>
      <c r="AB372" s="198" t="s">
        <v>2272</v>
      </c>
      <c r="AC372" s="198" t="s">
        <v>2272</v>
      </c>
      <c r="AD372" s="4"/>
      <c r="AE372" s="4"/>
    </row>
    <row r="373" spans="1:31" ht="112" customHeight="1">
      <c r="A373" s="198" t="s">
        <v>1763</v>
      </c>
      <c r="B373" s="198" t="s">
        <v>1850</v>
      </c>
      <c r="C373" s="198" t="s">
        <v>23</v>
      </c>
      <c r="D373" s="198" t="s">
        <v>141</v>
      </c>
      <c r="E373" s="4" t="s">
        <v>395</v>
      </c>
      <c r="F373" s="4" t="s">
        <v>73</v>
      </c>
      <c r="G373" s="198" t="s">
        <v>2272</v>
      </c>
      <c r="H373" s="4" t="s">
        <v>521</v>
      </c>
      <c r="I373" s="198"/>
      <c r="J373" s="21" t="s">
        <v>2272</v>
      </c>
      <c r="K373" s="21" t="s">
        <v>2272</v>
      </c>
      <c r="L373" s="21" t="s">
        <v>2272</v>
      </c>
      <c r="M373" s="21" t="s">
        <v>2272</v>
      </c>
      <c r="N373" s="21" t="s">
        <v>2272</v>
      </c>
      <c r="O373" s="21" t="s">
        <v>2272</v>
      </c>
      <c r="P373" s="21" t="s">
        <v>2272</v>
      </c>
      <c r="Q373" s="21" t="s">
        <v>2272</v>
      </c>
      <c r="R373" s="21" t="s">
        <v>2272</v>
      </c>
      <c r="S373" s="21" t="s">
        <v>2272</v>
      </c>
      <c r="T373" s="21" t="s">
        <v>2272</v>
      </c>
      <c r="U373" s="21" t="s">
        <v>2272</v>
      </c>
      <c r="V373" s="21" t="s">
        <v>2272</v>
      </c>
      <c r="W373" s="21" t="s">
        <v>2272</v>
      </c>
      <c r="X373" s="21" t="s">
        <v>2272</v>
      </c>
      <c r="Y373" s="21" t="s">
        <v>2272</v>
      </c>
      <c r="Z373" s="21" t="s">
        <v>2272</v>
      </c>
      <c r="AA373" s="198" t="s">
        <v>2272</v>
      </c>
      <c r="AB373" s="198" t="s">
        <v>2272</v>
      </c>
      <c r="AC373" s="198" t="s">
        <v>2272</v>
      </c>
      <c r="AD373" s="4"/>
      <c r="AE373" s="4"/>
    </row>
    <row r="374" spans="1:31" ht="112" customHeight="1">
      <c r="A374" s="198" t="s">
        <v>1764</v>
      </c>
      <c r="B374" s="198" t="s">
        <v>1851</v>
      </c>
      <c r="C374" s="198" t="s">
        <v>23</v>
      </c>
      <c r="D374" s="198" t="s">
        <v>141</v>
      </c>
      <c r="E374" s="4" t="s">
        <v>395</v>
      </c>
      <c r="F374" s="4" t="s">
        <v>73</v>
      </c>
      <c r="G374" s="198" t="s">
        <v>2272</v>
      </c>
      <c r="H374" s="4" t="s">
        <v>521</v>
      </c>
      <c r="I374" s="198"/>
      <c r="J374" s="21" t="s">
        <v>2272</v>
      </c>
      <c r="K374" s="21" t="s">
        <v>2272</v>
      </c>
      <c r="L374" s="21" t="s">
        <v>2272</v>
      </c>
      <c r="M374" s="21" t="s">
        <v>2272</v>
      </c>
      <c r="N374" s="21" t="s">
        <v>2272</v>
      </c>
      <c r="O374" s="21" t="s">
        <v>2272</v>
      </c>
      <c r="P374" s="21" t="s">
        <v>2272</v>
      </c>
      <c r="Q374" s="21" t="s">
        <v>2272</v>
      </c>
      <c r="R374" s="21" t="s">
        <v>2272</v>
      </c>
      <c r="S374" s="21" t="s">
        <v>2272</v>
      </c>
      <c r="T374" s="21" t="s">
        <v>2272</v>
      </c>
      <c r="U374" s="21" t="s">
        <v>2272</v>
      </c>
      <c r="V374" s="21" t="s">
        <v>2272</v>
      </c>
      <c r="W374" s="21" t="s">
        <v>2272</v>
      </c>
      <c r="X374" s="21" t="s">
        <v>2272</v>
      </c>
      <c r="Y374" s="21" t="s">
        <v>2272</v>
      </c>
      <c r="Z374" s="21" t="s">
        <v>2272</v>
      </c>
      <c r="AA374" s="198" t="s">
        <v>2272</v>
      </c>
      <c r="AB374" s="198" t="s">
        <v>2272</v>
      </c>
      <c r="AC374" s="198" t="s">
        <v>2272</v>
      </c>
      <c r="AD374" s="4"/>
      <c r="AE374" s="4"/>
    </row>
    <row r="375" spans="1:31" ht="112" customHeight="1">
      <c r="A375" s="198" t="s">
        <v>1765</v>
      </c>
      <c r="B375" s="198" t="s">
        <v>1852</v>
      </c>
      <c r="C375" s="198" t="s">
        <v>23</v>
      </c>
      <c r="D375" s="198" t="s">
        <v>141</v>
      </c>
      <c r="E375" s="4" t="s">
        <v>128</v>
      </c>
      <c r="F375" s="4" t="s">
        <v>73</v>
      </c>
      <c r="G375" s="198" t="s">
        <v>2272</v>
      </c>
      <c r="H375" s="4" t="s">
        <v>521</v>
      </c>
      <c r="I375" s="198"/>
      <c r="J375" s="21" t="s">
        <v>2272</v>
      </c>
      <c r="K375" s="21" t="s">
        <v>2272</v>
      </c>
      <c r="L375" s="21" t="s">
        <v>2272</v>
      </c>
      <c r="M375" s="21" t="s">
        <v>2272</v>
      </c>
      <c r="N375" s="21" t="s">
        <v>2272</v>
      </c>
      <c r="O375" s="21" t="s">
        <v>2272</v>
      </c>
      <c r="P375" s="21" t="s">
        <v>2272</v>
      </c>
      <c r="Q375" s="21" t="s">
        <v>2272</v>
      </c>
      <c r="R375" s="21" t="s">
        <v>2272</v>
      </c>
      <c r="S375" s="21" t="s">
        <v>2272</v>
      </c>
      <c r="T375" s="21" t="s">
        <v>2272</v>
      </c>
      <c r="U375" s="21" t="s">
        <v>2272</v>
      </c>
      <c r="V375" s="21" t="s">
        <v>2272</v>
      </c>
      <c r="W375" s="21" t="s">
        <v>2272</v>
      </c>
      <c r="X375" s="21" t="s">
        <v>2272</v>
      </c>
      <c r="Y375" s="21" t="s">
        <v>2272</v>
      </c>
      <c r="Z375" s="21" t="s">
        <v>2272</v>
      </c>
      <c r="AA375" s="198" t="s">
        <v>2272</v>
      </c>
      <c r="AB375" s="198" t="s">
        <v>2272</v>
      </c>
      <c r="AC375" s="198" t="s">
        <v>2272</v>
      </c>
      <c r="AD375" s="4"/>
      <c r="AE375" s="4"/>
    </row>
    <row r="376" spans="1:31" ht="112" customHeight="1">
      <c r="A376" s="198" t="s">
        <v>1765</v>
      </c>
      <c r="B376" s="198" t="s">
        <v>1853</v>
      </c>
      <c r="C376" s="198" t="s">
        <v>23</v>
      </c>
      <c r="D376" s="198" t="s">
        <v>26</v>
      </c>
      <c r="E376" s="4" t="s">
        <v>128</v>
      </c>
      <c r="F376" s="4" t="s">
        <v>159</v>
      </c>
      <c r="G376" s="198" t="s">
        <v>2272</v>
      </c>
      <c r="H376" s="4" t="s">
        <v>521</v>
      </c>
      <c r="I376" s="198"/>
      <c r="J376" s="21" t="s">
        <v>2272</v>
      </c>
      <c r="K376" s="21" t="s">
        <v>2272</v>
      </c>
      <c r="L376" s="21" t="s">
        <v>2272</v>
      </c>
      <c r="M376" s="21" t="s">
        <v>2272</v>
      </c>
      <c r="N376" s="21" t="s">
        <v>2272</v>
      </c>
      <c r="O376" s="21" t="s">
        <v>2272</v>
      </c>
      <c r="P376" s="21" t="s">
        <v>2272</v>
      </c>
      <c r="Q376" s="21" t="s">
        <v>2272</v>
      </c>
      <c r="R376" s="21" t="s">
        <v>2272</v>
      </c>
      <c r="S376" s="21" t="s">
        <v>2272</v>
      </c>
      <c r="T376" s="21" t="s">
        <v>2272</v>
      </c>
      <c r="U376" s="21" t="s">
        <v>2272</v>
      </c>
      <c r="V376" s="21" t="s">
        <v>2272</v>
      </c>
      <c r="W376" s="21" t="s">
        <v>2272</v>
      </c>
      <c r="X376" s="21" t="s">
        <v>2272</v>
      </c>
      <c r="Y376" s="21" t="s">
        <v>2272</v>
      </c>
      <c r="Z376" s="21" t="s">
        <v>2272</v>
      </c>
      <c r="AA376" s="198" t="s">
        <v>2272</v>
      </c>
      <c r="AB376" s="198" t="s">
        <v>2272</v>
      </c>
      <c r="AC376" s="198" t="s">
        <v>2272</v>
      </c>
      <c r="AD376" s="4"/>
      <c r="AE376" s="4"/>
    </row>
    <row r="377" spans="1:31" ht="112" customHeight="1">
      <c r="A377" s="198" t="s">
        <v>1765</v>
      </c>
      <c r="B377" s="198" t="s">
        <v>1854</v>
      </c>
      <c r="C377" s="198" t="s">
        <v>23</v>
      </c>
      <c r="D377" s="198" t="s">
        <v>141</v>
      </c>
      <c r="E377" s="4" t="s">
        <v>395</v>
      </c>
      <c r="F377" s="4" t="s">
        <v>73</v>
      </c>
      <c r="G377" s="198" t="s">
        <v>2272</v>
      </c>
      <c r="H377" s="4" t="s">
        <v>521</v>
      </c>
      <c r="I377" s="198"/>
      <c r="J377" s="21" t="s">
        <v>2272</v>
      </c>
      <c r="K377" s="21" t="s">
        <v>2272</v>
      </c>
      <c r="L377" s="21" t="s">
        <v>2272</v>
      </c>
      <c r="M377" s="21" t="s">
        <v>2272</v>
      </c>
      <c r="N377" s="21" t="s">
        <v>2272</v>
      </c>
      <c r="O377" s="21" t="s">
        <v>2272</v>
      </c>
      <c r="P377" s="21" t="s">
        <v>2272</v>
      </c>
      <c r="Q377" s="21" t="s">
        <v>2272</v>
      </c>
      <c r="R377" s="21" t="s">
        <v>2272</v>
      </c>
      <c r="S377" s="21" t="s">
        <v>2272</v>
      </c>
      <c r="T377" s="21" t="s">
        <v>2272</v>
      </c>
      <c r="U377" s="21" t="s">
        <v>2272</v>
      </c>
      <c r="V377" s="21" t="s">
        <v>2272</v>
      </c>
      <c r="W377" s="21" t="s">
        <v>2272</v>
      </c>
      <c r="X377" s="21" t="s">
        <v>2272</v>
      </c>
      <c r="Y377" s="21" t="s">
        <v>2272</v>
      </c>
      <c r="Z377" s="21" t="s">
        <v>2272</v>
      </c>
      <c r="AA377" s="198" t="s">
        <v>2272</v>
      </c>
      <c r="AB377" s="198" t="s">
        <v>2272</v>
      </c>
      <c r="AC377" s="198" t="s">
        <v>2272</v>
      </c>
      <c r="AD377" s="4"/>
      <c r="AE377" s="4"/>
    </row>
    <row r="378" spans="1:31" ht="112" customHeight="1">
      <c r="A378" s="198" t="s">
        <v>1766</v>
      </c>
      <c r="B378" s="198" t="s">
        <v>1855</v>
      </c>
      <c r="C378" s="198" t="s">
        <v>23</v>
      </c>
      <c r="D378" s="198" t="s">
        <v>141</v>
      </c>
      <c r="E378" s="4" t="s">
        <v>128</v>
      </c>
      <c r="F378" s="4" t="s">
        <v>73</v>
      </c>
      <c r="G378" s="198" t="s">
        <v>2272</v>
      </c>
      <c r="H378" s="4" t="s">
        <v>521</v>
      </c>
      <c r="I378" s="198"/>
      <c r="J378" s="21" t="s">
        <v>2272</v>
      </c>
      <c r="K378" s="21" t="s">
        <v>2272</v>
      </c>
      <c r="L378" s="21" t="s">
        <v>2272</v>
      </c>
      <c r="M378" s="21" t="s">
        <v>2272</v>
      </c>
      <c r="N378" s="21" t="s">
        <v>2272</v>
      </c>
      <c r="O378" s="21" t="s">
        <v>2272</v>
      </c>
      <c r="P378" s="21" t="s">
        <v>2272</v>
      </c>
      <c r="Q378" s="21" t="s">
        <v>2272</v>
      </c>
      <c r="R378" s="21" t="s">
        <v>2272</v>
      </c>
      <c r="S378" s="21" t="s">
        <v>2272</v>
      </c>
      <c r="T378" s="21" t="s">
        <v>2272</v>
      </c>
      <c r="U378" s="21" t="s">
        <v>2272</v>
      </c>
      <c r="V378" s="21" t="s">
        <v>2272</v>
      </c>
      <c r="W378" s="21" t="s">
        <v>2272</v>
      </c>
      <c r="X378" s="21" t="s">
        <v>2272</v>
      </c>
      <c r="Y378" s="21" t="s">
        <v>2272</v>
      </c>
      <c r="Z378" s="21" t="s">
        <v>2272</v>
      </c>
      <c r="AA378" s="198" t="s">
        <v>2272</v>
      </c>
      <c r="AB378" s="198" t="s">
        <v>2272</v>
      </c>
      <c r="AC378" s="198" t="s">
        <v>2272</v>
      </c>
      <c r="AD378" s="4"/>
      <c r="AE378" s="4"/>
    </row>
    <row r="379" spans="1:31" ht="112" customHeight="1">
      <c r="A379" s="198" t="s">
        <v>1766</v>
      </c>
      <c r="B379" s="198" t="s">
        <v>1856</v>
      </c>
      <c r="C379" s="198" t="s">
        <v>23</v>
      </c>
      <c r="D379" s="198" t="s">
        <v>26</v>
      </c>
      <c r="E379" s="4" t="s">
        <v>128</v>
      </c>
      <c r="F379" s="4" t="s">
        <v>159</v>
      </c>
      <c r="G379" s="198" t="s">
        <v>2272</v>
      </c>
      <c r="H379" s="4" t="s">
        <v>521</v>
      </c>
      <c r="I379" s="198"/>
      <c r="J379" s="21" t="s">
        <v>2272</v>
      </c>
      <c r="K379" s="21" t="s">
        <v>2272</v>
      </c>
      <c r="L379" s="21" t="s">
        <v>2272</v>
      </c>
      <c r="M379" s="21" t="s">
        <v>2272</v>
      </c>
      <c r="N379" s="21" t="s">
        <v>2272</v>
      </c>
      <c r="O379" s="21" t="s">
        <v>2272</v>
      </c>
      <c r="P379" s="21" t="s">
        <v>2272</v>
      </c>
      <c r="Q379" s="21" t="s">
        <v>2272</v>
      </c>
      <c r="R379" s="21" t="s">
        <v>2272</v>
      </c>
      <c r="S379" s="21" t="s">
        <v>2272</v>
      </c>
      <c r="T379" s="21" t="s">
        <v>2272</v>
      </c>
      <c r="U379" s="21" t="s">
        <v>2272</v>
      </c>
      <c r="V379" s="21" t="s">
        <v>2272</v>
      </c>
      <c r="W379" s="21" t="s">
        <v>2272</v>
      </c>
      <c r="X379" s="21" t="s">
        <v>2272</v>
      </c>
      <c r="Y379" s="21" t="s">
        <v>2272</v>
      </c>
      <c r="Z379" s="21" t="s">
        <v>2272</v>
      </c>
      <c r="AA379" s="198" t="s">
        <v>2272</v>
      </c>
      <c r="AB379" s="198" t="s">
        <v>2272</v>
      </c>
      <c r="AC379" s="198" t="s">
        <v>2272</v>
      </c>
      <c r="AD379" s="4"/>
      <c r="AE379" s="4"/>
    </row>
    <row r="380" spans="1:31" ht="112" customHeight="1">
      <c r="A380" s="198" t="s">
        <v>1766</v>
      </c>
      <c r="B380" s="198" t="s">
        <v>1857</v>
      </c>
      <c r="C380" s="198" t="s">
        <v>23</v>
      </c>
      <c r="D380" s="198" t="s">
        <v>141</v>
      </c>
      <c r="E380" s="4" t="s">
        <v>395</v>
      </c>
      <c r="F380" s="4" t="s">
        <v>73</v>
      </c>
      <c r="G380" s="198" t="s">
        <v>2272</v>
      </c>
      <c r="H380" s="4" t="s">
        <v>521</v>
      </c>
      <c r="I380" s="198"/>
      <c r="J380" s="21" t="s">
        <v>2272</v>
      </c>
      <c r="K380" s="21" t="s">
        <v>2272</v>
      </c>
      <c r="L380" s="21" t="s">
        <v>2272</v>
      </c>
      <c r="M380" s="21" t="s">
        <v>2272</v>
      </c>
      <c r="N380" s="21" t="s">
        <v>2272</v>
      </c>
      <c r="O380" s="21" t="s">
        <v>2272</v>
      </c>
      <c r="P380" s="21" t="s">
        <v>2272</v>
      </c>
      <c r="Q380" s="21" t="s">
        <v>2272</v>
      </c>
      <c r="R380" s="21" t="s">
        <v>2272</v>
      </c>
      <c r="S380" s="21" t="s">
        <v>2272</v>
      </c>
      <c r="T380" s="21" t="s">
        <v>2272</v>
      </c>
      <c r="U380" s="21" t="s">
        <v>2272</v>
      </c>
      <c r="V380" s="21" t="s">
        <v>2272</v>
      </c>
      <c r="W380" s="21" t="s">
        <v>2272</v>
      </c>
      <c r="X380" s="21" t="s">
        <v>2272</v>
      </c>
      <c r="Y380" s="21" t="s">
        <v>2272</v>
      </c>
      <c r="Z380" s="21" t="s">
        <v>2272</v>
      </c>
      <c r="AA380" s="198" t="s">
        <v>2272</v>
      </c>
      <c r="AB380" s="198" t="s">
        <v>2272</v>
      </c>
      <c r="AC380" s="198" t="s">
        <v>2272</v>
      </c>
      <c r="AD380" s="4"/>
      <c r="AE380" s="4"/>
    </row>
    <row r="381" spans="1:31" ht="112" customHeight="1">
      <c r="A381" s="198" t="s">
        <v>1767</v>
      </c>
      <c r="B381" s="198" t="s">
        <v>1858</v>
      </c>
      <c r="C381" s="198" t="s">
        <v>23</v>
      </c>
      <c r="D381" s="198" t="s">
        <v>141</v>
      </c>
      <c r="E381" s="4" t="s">
        <v>128</v>
      </c>
      <c r="F381" s="4" t="s">
        <v>73</v>
      </c>
      <c r="G381" s="198" t="s">
        <v>2272</v>
      </c>
      <c r="H381" s="4" t="s">
        <v>521</v>
      </c>
      <c r="I381" s="198"/>
      <c r="J381" s="21" t="s">
        <v>2272</v>
      </c>
      <c r="K381" s="21" t="s">
        <v>2272</v>
      </c>
      <c r="L381" s="21" t="s">
        <v>2272</v>
      </c>
      <c r="M381" s="21" t="s">
        <v>2272</v>
      </c>
      <c r="N381" s="21" t="s">
        <v>2272</v>
      </c>
      <c r="O381" s="21" t="s">
        <v>2272</v>
      </c>
      <c r="P381" s="21" t="s">
        <v>2272</v>
      </c>
      <c r="Q381" s="21" t="s">
        <v>2272</v>
      </c>
      <c r="R381" s="21" t="s">
        <v>2272</v>
      </c>
      <c r="S381" s="21" t="s">
        <v>2272</v>
      </c>
      <c r="T381" s="21" t="s">
        <v>2272</v>
      </c>
      <c r="U381" s="21" t="s">
        <v>2272</v>
      </c>
      <c r="V381" s="21" t="s">
        <v>2272</v>
      </c>
      <c r="W381" s="21" t="s">
        <v>2272</v>
      </c>
      <c r="X381" s="21" t="s">
        <v>2272</v>
      </c>
      <c r="Y381" s="21" t="s">
        <v>2272</v>
      </c>
      <c r="Z381" s="21" t="s">
        <v>2272</v>
      </c>
      <c r="AA381" s="198" t="s">
        <v>2272</v>
      </c>
      <c r="AB381" s="198" t="s">
        <v>2272</v>
      </c>
      <c r="AC381" s="198" t="s">
        <v>2272</v>
      </c>
      <c r="AD381" s="4"/>
      <c r="AE381" s="4"/>
    </row>
    <row r="382" spans="1:31" ht="112" customHeight="1">
      <c r="A382" s="198" t="s">
        <v>1767</v>
      </c>
      <c r="B382" s="198" t="s">
        <v>1859</v>
      </c>
      <c r="C382" s="198" t="s">
        <v>23</v>
      </c>
      <c r="D382" s="198" t="s">
        <v>26</v>
      </c>
      <c r="E382" s="4" t="s">
        <v>128</v>
      </c>
      <c r="F382" s="4" t="s">
        <v>159</v>
      </c>
      <c r="G382" s="198" t="s">
        <v>2272</v>
      </c>
      <c r="H382" s="4" t="s">
        <v>521</v>
      </c>
      <c r="I382" s="198"/>
      <c r="J382" s="21" t="s">
        <v>2272</v>
      </c>
      <c r="K382" s="21" t="s">
        <v>2272</v>
      </c>
      <c r="L382" s="21" t="s">
        <v>2272</v>
      </c>
      <c r="M382" s="21" t="s">
        <v>2272</v>
      </c>
      <c r="N382" s="21" t="s">
        <v>2272</v>
      </c>
      <c r="O382" s="21" t="s">
        <v>2272</v>
      </c>
      <c r="P382" s="21" t="s">
        <v>2272</v>
      </c>
      <c r="Q382" s="21" t="s">
        <v>2272</v>
      </c>
      <c r="R382" s="21" t="s">
        <v>2272</v>
      </c>
      <c r="S382" s="21" t="s">
        <v>2272</v>
      </c>
      <c r="T382" s="21" t="s">
        <v>2272</v>
      </c>
      <c r="U382" s="21" t="s">
        <v>2272</v>
      </c>
      <c r="V382" s="21" t="s">
        <v>2272</v>
      </c>
      <c r="W382" s="21" t="s">
        <v>2272</v>
      </c>
      <c r="X382" s="21" t="s">
        <v>2272</v>
      </c>
      <c r="Y382" s="21" t="s">
        <v>2272</v>
      </c>
      <c r="Z382" s="21" t="s">
        <v>2272</v>
      </c>
      <c r="AA382" s="198" t="s">
        <v>2272</v>
      </c>
      <c r="AB382" s="198" t="s">
        <v>2272</v>
      </c>
      <c r="AC382" s="198" t="s">
        <v>2272</v>
      </c>
      <c r="AD382" s="4"/>
      <c r="AE382" s="4"/>
    </row>
    <row r="383" spans="1:31" ht="112" customHeight="1">
      <c r="A383" s="198" t="s">
        <v>1768</v>
      </c>
      <c r="B383" s="198" t="s">
        <v>1860</v>
      </c>
      <c r="C383" s="198" t="s">
        <v>23</v>
      </c>
      <c r="D383" s="198" t="s">
        <v>141</v>
      </c>
      <c r="E383" s="4" t="s">
        <v>128</v>
      </c>
      <c r="F383" s="4" t="s">
        <v>73</v>
      </c>
      <c r="G383" s="198" t="s">
        <v>2272</v>
      </c>
      <c r="H383" s="4" t="s">
        <v>521</v>
      </c>
      <c r="I383" s="198"/>
      <c r="J383" s="21" t="s">
        <v>2272</v>
      </c>
      <c r="K383" s="21" t="s">
        <v>2272</v>
      </c>
      <c r="L383" s="21" t="s">
        <v>2272</v>
      </c>
      <c r="M383" s="21" t="s">
        <v>2272</v>
      </c>
      <c r="N383" s="21" t="s">
        <v>2272</v>
      </c>
      <c r="O383" s="21" t="s">
        <v>2272</v>
      </c>
      <c r="P383" s="21" t="s">
        <v>2272</v>
      </c>
      <c r="Q383" s="21" t="s">
        <v>2272</v>
      </c>
      <c r="R383" s="21" t="s">
        <v>2272</v>
      </c>
      <c r="S383" s="21" t="s">
        <v>2272</v>
      </c>
      <c r="T383" s="21" t="s">
        <v>2272</v>
      </c>
      <c r="U383" s="21" t="s">
        <v>2272</v>
      </c>
      <c r="V383" s="21" t="s">
        <v>2272</v>
      </c>
      <c r="W383" s="21" t="s">
        <v>2272</v>
      </c>
      <c r="X383" s="21" t="s">
        <v>2272</v>
      </c>
      <c r="Y383" s="21" t="s">
        <v>2272</v>
      </c>
      <c r="Z383" s="21" t="s">
        <v>2272</v>
      </c>
      <c r="AA383" s="198" t="s">
        <v>2272</v>
      </c>
      <c r="AB383" s="198" t="s">
        <v>2272</v>
      </c>
      <c r="AC383" s="198" t="s">
        <v>2272</v>
      </c>
      <c r="AD383" s="4"/>
      <c r="AE383" s="4"/>
    </row>
    <row r="384" spans="1:31" ht="112" customHeight="1">
      <c r="A384" s="198" t="s">
        <v>1768</v>
      </c>
      <c r="B384" s="198" t="s">
        <v>1861</v>
      </c>
      <c r="C384" s="198" t="s">
        <v>23</v>
      </c>
      <c r="D384" s="198" t="s">
        <v>26</v>
      </c>
      <c r="E384" s="4" t="s">
        <v>128</v>
      </c>
      <c r="F384" s="4" t="s">
        <v>159</v>
      </c>
      <c r="G384" s="198" t="s">
        <v>2272</v>
      </c>
      <c r="H384" s="4" t="s">
        <v>521</v>
      </c>
      <c r="I384" s="198"/>
      <c r="J384" s="21" t="s">
        <v>2272</v>
      </c>
      <c r="K384" s="21" t="s">
        <v>2272</v>
      </c>
      <c r="L384" s="21" t="s">
        <v>2272</v>
      </c>
      <c r="M384" s="21" t="s">
        <v>2272</v>
      </c>
      <c r="N384" s="21" t="s">
        <v>2272</v>
      </c>
      <c r="O384" s="21" t="s">
        <v>2272</v>
      </c>
      <c r="P384" s="21" t="s">
        <v>2272</v>
      </c>
      <c r="Q384" s="21" t="s">
        <v>2272</v>
      </c>
      <c r="R384" s="21" t="s">
        <v>2272</v>
      </c>
      <c r="S384" s="21" t="s">
        <v>2272</v>
      </c>
      <c r="T384" s="21" t="s">
        <v>2272</v>
      </c>
      <c r="U384" s="21" t="s">
        <v>2272</v>
      </c>
      <c r="V384" s="21" t="s">
        <v>2272</v>
      </c>
      <c r="W384" s="21" t="s">
        <v>2272</v>
      </c>
      <c r="X384" s="21" t="s">
        <v>2272</v>
      </c>
      <c r="Y384" s="21" t="s">
        <v>2272</v>
      </c>
      <c r="Z384" s="21" t="s">
        <v>2272</v>
      </c>
      <c r="AA384" s="198" t="s">
        <v>2272</v>
      </c>
      <c r="AB384" s="198" t="s">
        <v>2272</v>
      </c>
      <c r="AC384" s="198" t="s">
        <v>2272</v>
      </c>
      <c r="AD384" s="4"/>
      <c r="AE384" s="4"/>
    </row>
    <row r="385" spans="1:31" ht="112" customHeight="1">
      <c r="A385" s="198" t="s">
        <v>1769</v>
      </c>
      <c r="B385" s="198" t="s">
        <v>1862</v>
      </c>
      <c r="C385" s="198" t="s">
        <v>23</v>
      </c>
      <c r="D385" s="198" t="s">
        <v>141</v>
      </c>
      <c r="E385" s="4" t="s">
        <v>395</v>
      </c>
      <c r="F385" s="4" t="s">
        <v>73</v>
      </c>
      <c r="G385" s="198" t="s">
        <v>2272</v>
      </c>
      <c r="H385" s="4" t="s">
        <v>521</v>
      </c>
      <c r="I385" s="198"/>
      <c r="J385" s="21" t="s">
        <v>2272</v>
      </c>
      <c r="K385" s="21" t="s">
        <v>2272</v>
      </c>
      <c r="L385" s="21" t="s">
        <v>2272</v>
      </c>
      <c r="M385" s="21" t="s">
        <v>2272</v>
      </c>
      <c r="N385" s="21" t="s">
        <v>2272</v>
      </c>
      <c r="O385" s="21" t="s">
        <v>2272</v>
      </c>
      <c r="P385" s="21" t="s">
        <v>2272</v>
      </c>
      <c r="Q385" s="21" t="s">
        <v>2272</v>
      </c>
      <c r="R385" s="21" t="s">
        <v>2272</v>
      </c>
      <c r="S385" s="21" t="s">
        <v>2272</v>
      </c>
      <c r="T385" s="21" t="s">
        <v>2272</v>
      </c>
      <c r="U385" s="21" t="s">
        <v>2272</v>
      </c>
      <c r="V385" s="21" t="s">
        <v>2272</v>
      </c>
      <c r="W385" s="21" t="s">
        <v>2272</v>
      </c>
      <c r="X385" s="21" t="s">
        <v>2272</v>
      </c>
      <c r="Y385" s="21" t="s">
        <v>2272</v>
      </c>
      <c r="Z385" s="21" t="s">
        <v>2272</v>
      </c>
      <c r="AA385" s="198" t="s">
        <v>2272</v>
      </c>
      <c r="AB385" s="198" t="s">
        <v>2272</v>
      </c>
      <c r="AC385" s="198" t="s">
        <v>2272</v>
      </c>
      <c r="AD385" s="4"/>
      <c r="AE385" s="4"/>
    </row>
    <row r="386" spans="1:31" ht="112" customHeight="1">
      <c r="A386" s="198" t="s">
        <v>1770</v>
      </c>
      <c r="B386" s="198" t="s">
        <v>1863</v>
      </c>
      <c r="C386" s="198" t="s">
        <v>23</v>
      </c>
      <c r="D386" s="198" t="s">
        <v>141</v>
      </c>
      <c r="E386" s="4" t="s">
        <v>395</v>
      </c>
      <c r="F386" s="4" t="s">
        <v>73</v>
      </c>
      <c r="G386" s="198" t="s">
        <v>2272</v>
      </c>
      <c r="H386" s="4" t="s">
        <v>521</v>
      </c>
      <c r="I386" s="198"/>
      <c r="J386" s="21" t="s">
        <v>2272</v>
      </c>
      <c r="K386" s="21" t="s">
        <v>2272</v>
      </c>
      <c r="L386" s="21" t="s">
        <v>2272</v>
      </c>
      <c r="M386" s="21" t="s">
        <v>2272</v>
      </c>
      <c r="N386" s="21" t="s">
        <v>2272</v>
      </c>
      <c r="O386" s="21" t="s">
        <v>2272</v>
      </c>
      <c r="P386" s="21" t="s">
        <v>2272</v>
      </c>
      <c r="Q386" s="21" t="s">
        <v>2272</v>
      </c>
      <c r="R386" s="21" t="s">
        <v>2272</v>
      </c>
      <c r="S386" s="21" t="s">
        <v>2272</v>
      </c>
      <c r="T386" s="21" t="s">
        <v>2272</v>
      </c>
      <c r="U386" s="21" t="s">
        <v>2272</v>
      </c>
      <c r="V386" s="21" t="s">
        <v>2272</v>
      </c>
      <c r="W386" s="21" t="s">
        <v>2272</v>
      </c>
      <c r="X386" s="21" t="s">
        <v>2272</v>
      </c>
      <c r="Y386" s="21" t="s">
        <v>2272</v>
      </c>
      <c r="Z386" s="21" t="s">
        <v>2272</v>
      </c>
      <c r="AA386" s="198" t="s">
        <v>2272</v>
      </c>
      <c r="AB386" s="198" t="s">
        <v>2272</v>
      </c>
      <c r="AC386" s="198" t="s">
        <v>2272</v>
      </c>
      <c r="AD386" s="4"/>
      <c r="AE386" s="4"/>
    </row>
    <row r="387" spans="1:31" ht="67" customHeight="1">
      <c r="A387" s="198" t="s">
        <v>553</v>
      </c>
      <c r="B387" s="198" t="s">
        <v>562</v>
      </c>
      <c r="C387" s="198" t="s">
        <v>23</v>
      </c>
      <c r="D387" s="198" t="s">
        <v>26</v>
      </c>
      <c r="E387" s="4" t="s">
        <v>128</v>
      </c>
      <c r="F387" s="4" t="s">
        <v>159</v>
      </c>
      <c r="G387" s="198" t="s">
        <v>2272</v>
      </c>
      <c r="H387" s="4" t="s">
        <v>521</v>
      </c>
      <c r="I387" s="198"/>
      <c r="J387" s="21" t="s">
        <v>2272</v>
      </c>
      <c r="K387" s="21" t="s">
        <v>2272</v>
      </c>
      <c r="L387" s="21" t="s">
        <v>2272</v>
      </c>
      <c r="M387" s="21" t="s">
        <v>2272</v>
      </c>
      <c r="N387" s="21" t="s">
        <v>2272</v>
      </c>
      <c r="O387" s="21" t="s">
        <v>2272</v>
      </c>
      <c r="P387" s="21" t="s">
        <v>2272</v>
      </c>
      <c r="Q387" s="21" t="s">
        <v>2272</v>
      </c>
      <c r="R387" s="21" t="s">
        <v>2272</v>
      </c>
      <c r="S387" s="21" t="s">
        <v>2272</v>
      </c>
      <c r="T387" s="21" t="s">
        <v>2272</v>
      </c>
      <c r="U387" s="21" t="s">
        <v>2272</v>
      </c>
      <c r="V387" s="21" t="s">
        <v>2272</v>
      </c>
      <c r="W387" s="21" t="s">
        <v>2272</v>
      </c>
      <c r="X387" s="21" t="s">
        <v>2272</v>
      </c>
      <c r="Y387" s="21" t="s">
        <v>2272</v>
      </c>
      <c r="Z387" s="21">
        <v>5</v>
      </c>
      <c r="AA387" s="198" t="s">
        <v>403</v>
      </c>
      <c r="AB387" s="198" t="s">
        <v>423</v>
      </c>
      <c r="AC387" s="198" t="s">
        <v>2272</v>
      </c>
      <c r="AD387" s="4" t="s">
        <v>1870</v>
      </c>
      <c r="AE387" s="4" t="s">
        <v>5010</v>
      </c>
    </row>
    <row r="388" spans="1:31" ht="67" customHeight="1">
      <c r="A388" s="198" t="s">
        <v>553</v>
      </c>
      <c r="B388" s="198" t="s">
        <v>563</v>
      </c>
      <c r="C388" s="198" t="s">
        <v>23</v>
      </c>
      <c r="D388" s="198" t="s">
        <v>141</v>
      </c>
      <c r="E388" s="4" t="s">
        <v>128</v>
      </c>
      <c r="F388" s="4" t="s">
        <v>73</v>
      </c>
      <c r="G388" s="4" t="s">
        <v>73</v>
      </c>
      <c r="H388" s="4" t="s">
        <v>521</v>
      </c>
      <c r="I388" s="198"/>
      <c r="J388" s="21" t="s">
        <v>2272</v>
      </c>
      <c r="K388" s="21" t="s">
        <v>2272</v>
      </c>
      <c r="L388" s="21" t="s">
        <v>2272</v>
      </c>
      <c r="M388" s="21" t="s">
        <v>2272</v>
      </c>
      <c r="N388" s="21" t="s">
        <v>2272</v>
      </c>
      <c r="O388" s="21" t="s">
        <v>2272</v>
      </c>
      <c r="P388" s="21" t="s">
        <v>2272</v>
      </c>
      <c r="Q388" s="21" t="s">
        <v>2272</v>
      </c>
      <c r="R388" s="21" t="s">
        <v>2272</v>
      </c>
      <c r="S388" s="21" t="s">
        <v>2272</v>
      </c>
      <c r="T388" s="21" t="s">
        <v>2272</v>
      </c>
      <c r="U388" s="21" t="s">
        <v>2272</v>
      </c>
      <c r="V388" s="21" t="s">
        <v>2272</v>
      </c>
      <c r="W388" s="21" t="s">
        <v>2272</v>
      </c>
      <c r="X388" s="21" t="s">
        <v>2272</v>
      </c>
      <c r="Y388" s="21" t="s">
        <v>2272</v>
      </c>
      <c r="Z388" s="21" t="s">
        <v>2272</v>
      </c>
      <c r="AA388" s="198" t="s">
        <v>403</v>
      </c>
      <c r="AB388" s="198" t="s">
        <v>423</v>
      </c>
      <c r="AC388" s="198" t="s">
        <v>2272</v>
      </c>
      <c r="AD388" s="4" t="s">
        <v>1866</v>
      </c>
      <c r="AE388" s="4" t="s">
        <v>1868</v>
      </c>
    </row>
    <row r="389" spans="1:31" ht="67" customHeight="1">
      <c r="A389" s="198" t="s">
        <v>553</v>
      </c>
      <c r="B389" s="198" t="s">
        <v>565</v>
      </c>
      <c r="C389" s="198" t="s">
        <v>23</v>
      </c>
      <c r="D389" s="198" t="s">
        <v>141</v>
      </c>
      <c r="E389" s="4" t="s">
        <v>394</v>
      </c>
      <c r="F389" s="4" t="s">
        <v>73</v>
      </c>
      <c r="G389" s="4" t="s">
        <v>73</v>
      </c>
      <c r="H389" s="4" t="s">
        <v>521</v>
      </c>
      <c r="I389" s="198"/>
      <c r="J389" s="21" t="s">
        <v>2272</v>
      </c>
      <c r="K389" s="21" t="s">
        <v>2272</v>
      </c>
      <c r="L389" s="21" t="s">
        <v>2272</v>
      </c>
      <c r="M389" s="21" t="s">
        <v>2272</v>
      </c>
      <c r="N389" s="21" t="s">
        <v>2272</v>
      </c>
      <c r="O389" s="21" t="s">
        <v>2272</v>
      </c>
      <c r="P389" s="21" t="s">
        <v>2272</v>
      </c>
      <c r="Q389" s="21" t="s">
        <v>2272</v>
      </c>
      <c r="R389" s="21" t="s">
        <v>2272</v>
      </c>
      <c r="S389" s="21" t="s">
        <v>2272</v>
      </c>
      <c r="T389" s="21" t="s">
        <v>2272</v>
      </c>
      <c r="U389" s="21" t="s">
        <v>2272</v>
      </c>
      <c r="V389" s="21" t="s">
        <v>2272</v>
      </c>
      <c r="W389" s="21" t="s">
        <v>2272</v>
      </c>
      <c r="X389" s="21" t="s">
        <v>2272</v>
      </c>
      <c r="Y389" s="21" t="s">
        <v>2272</v>
      </c>
      <c r="Z389" s="21" t="s">
        <v>2272</v>
      </c>
      <c r="AA389" s="198" t="s">
        <v>403</v>
      </c>
      <c r="AB389" s="198" t="s">
        <v>423</v>
      </c>
      <c r="AC389" s="198" t="s">
        <v>2272</v>
      </c>
      <c r="AD389" s="4" t="s">
        <v>1866</v>
      </c>
      <c r="AE389" s="4" t="s">
        <v>1868</v>
      </c>
    </row>
    <row r="390" spans="1:31" ht="98.5" customHeight="1">
      <c r="A390" s="198" t="s">
        <v>553</v>
      </c>
      <c r="B390" s="198" t="s">
        <v>1867</v>
      </c>
      <c r="C390" s="198" t="s">
        <v>23</v>
      </c>
      <c r="D390" s="198" t="s">
        <v>24</v>
      </c>
      <c r="E390" s="4" t="s">
        <v>44</v>
      </c>
      <c r="F390" s="4" t="s">
        <v>28</v>
      </c>
      <c r="G390" s="198" t="s">
        <v>2272</v>
      </c>
      <c r="H390" s="4" t="s">
        <v>521</v>
      </c>
      <c r="I390" s="198"/>
      <c r="J390" s="21" t="s">
        <v>2272</v>
      </c>
      <c r="K390" s="21" t="s">
        <v>2272</v>
      </c>
      <c r="L390" s="21" t="s">
        <v>2272</v>
      </c>
      <c r="M390" s="21" t="s">
        <v>2272</v>
      </c>
      <c r="N390" s="21" t="s">
        <v>2272</v>
      </c>
      <c r="O390" s="21" t="s">
        <v>2272</v>
      </c>
      <c r="P390" s="21" t="s">
        <v>2272</v>
      </c>
      <c r="Q390" s="21" t="s">
        <v>2272</v>
      </c>
      <c r="R390" s="21" t="s">
        <v>2272</v>
      </c>
      <c r="S390" s="21" t="s">
        <v>2272</v>
      </c>
      <c r="T390" s="21" t="s">
        <v>2272</v>
      </c>
      <c r="U390" s="21" t="s">
        <v>2272</v>
      </c>
      <c r="V390" s="21" t="s">
        <v>2272</v>
      </c>
      <c r="W390" s="21">
        <v>84</v>
      </c>
      <c r="X390" s="21" t="s">
        <v>2272</v>
      </c>
      <c r="Y390" s="21">
        <v>22.68</v>
      </c>
      <c r="Z390" s="21">
        <v>1</v>
      </c>
      <c r="AA390" s="198" t="s">
        <v>403</v>
      </c>
      <c r="AB390" s="198" t="s">
        <v>423</v>
      </c>
      <c r="AC390" s="198" t="s">
        <v>2272</v>
      </c>
      <c r="AD390" s="4" t="s">
        <v>1869</v>
      </c>
      <c r="AE390" s="4" t="s">
        <v>568</v>
      </c>
    </row>
    <row r="391" spans="1:31" ht="59.5" customHeight="1">
      <c r="A391" s="198" t="s">
        <v>554</v>
      </c>
      <c r="B391" s="198" t="s">
        <v>560</v>
      </c>
      <c r="C391" s="198" t="s">
        <v>23</v>
      </c>
      <c r="D391" s="198" t="s">
        <v>26</v>
      </c>
      <c r="E391" s="4" t="s">
        <v>128</v>
      </c>
      <c r="F391" s="4" t="s">
        <v>159</v>
      </c>
      <c r="G391" s="198" t="s">
        <v>2272</v>
      </c>
      <c r="H391" s="4" t="s">
        <v>521</v>
      </c>
      <c r="I391" s="198"/>
      <c r="J391" s="21" t="s">
        <v>2272</v>
      </c>
      <c r="K391" s="21" t="s">
        <v>2272</v>
      </c>
      <c r="L391" s="21" t="s">
        <v>2272</v>
      </c>
      <c r="M391" s="21" t="s">
        <v>2272</v>
      </c>
      <c r="N391" s="21" t="s">
        <v>2272</v>
      </c>
      <c r="O391" s="21" t="s">
        <v>2272</v>
      </c>
      <c r="P391" s="21" t="s">
        <v>2272</v>
      </c>
      <c r="Q391" s="21" t="s">
        <v>2272</v>
      </c>
      <c r="R391" s="21" t="s">
        <v>2272</v>
      </c>
      <c r="S391" s="21" t="s">
        <v>2272</v>
      </c>
      <c r="T391" s="21" t="s">
        <v>2272</v>
      </c>
      <c r="U391" s="21" t="s">
        <v>2272</v>
      </c>
      <c r="V391" s="21" t="s">
        <v>2272</v>
      </c>
      <c r="W391" s="21" t="s">
        <v>2272</v>
      </c>
      <c r="X391" s="21" t="s">
        <v>2272</v>
      </c>
      <c r="Y391" s="21" t="s">
        <v>2272</v>
      </c>
      <c r="Z391" s="21">
        <v>5</v>
      </c>
      <c r="AA391" s="198" t="s">
        <v>403</v>
      </c>
      <c r="AB391" s="198" t="s">
        <v>423</v>
      </c>
      <c r="AC391" s="198" t="s">
        <v>2272</v>
      </c>
      <c r="AD391" s="4" t="s">
        <v>1870</v>
      </c>
      <c r="AE391" s="4" t="s">
        <v>5010</v>
      </c>
    </row>
    <row r="392" spans="1:31" ht="62" customHeight="1">
      <c r="A392" s="198" t="s">
        <v>554</v>
      </c>
      <c r="B392" s="198" t="s">
        <v>561</v>
      </c>
      <c r="C392" s="198" t="s">
        <v>23</v>
      </c>
      <c r="D392" s="198" t="s">
        <v>141</v>
      </c>
      <c r="E392" s="4" t="s">
        <v>128</v>
      </c>
      <c r="F392" s="4" t="s">
        <v>73</v>
      </c>
      <c r="G392" s="4" t="s">
        <v>73</v>
      </c>
      <c r="H392" s="4" t="s">
        <v>521</v>
      </c>
      <c r="I392" s="198"/>
      <c r="J392" s="21" t="s">
        <v>2272</v>
      </c>
      <c r="K392" s="21" t="s">
        <v>2272</v>
      </c>
      <c r="L392" s="21" t="s">
        <v>2272</v>
      </c>
      <c r="M392" s="21" t="s">
        <v>2272</v>
      </c>
      <c r="N392" s="21" t="s">
        <v>2272</v>
      </c>
      <c r="O392" s="21" t="s">
        <v>2272</v>
      </c>
      <c r="P392" s="21" t="s">
        <v>2272</v>
      </c>
      <c r="Q392" s="21" t="s">
        <v>2272</v>
      </c>
      <c r="R392" s="21" t="s">
        <v>2272</v>
      </c>
      <c r="S392" s="21" t="s">
        <v>2272</v>
      </c>
      <c r="T392" s="21" t="s">
        <v>2272</v>
      </c>
      <c r="U392" s="21" t="s">
        <v>2272</v>
      </c>
      <c r="V392" s="21" t="s">
        <v>2272</v>
      </c>
      <c r="W392" s="21" t="s">
        <v>2272</v>
      </c>
      <c r="X392" s="21" t="s">
        <v>2272</v>
      </c>
      <c r="Y392" s="21" t="s">
        <v>2272</v>
      </c>
      <c r="Z392" s="21" t="s">
        <v>2272</v>
      </c>
      <c r="AA392" s="198" t="s">
        <v>403</v>
      </c>
      <c r="AB392" s="198" t="s">
        <v>423</v>
      </c>
      <c r="AC392" s="198" t="s">
        <v>2272</v>
      </c>
      <c r="AD392" s="4" t="s">
        <v>1866</v>
      </c>
      <c r="AE392" s="4" t="s">
        <v>1868</v>
      </c>
    </row>
    <row r="393" spans="1:31" ht="62" customHeight="1">
      <c r="A393" s="198" t="s">
        <v>554</v>
      </c>
      <c r="B393" s="198" t="s">
        <v>566</v>
      </c>
      <c r="C393" s="198" t="s">
        <v>23</v>
      </c>
      <c r="D393" s="198" t="s">
        <v>141</v>
      </c>
      <c r="E393" s="4" t="s">
        <v>394</v>
      </c>
      <c r="F393" s="4" t="s">
        <v>73</v>
      </c>
      <c r="G393" s="198" t="s">
        <v>2272</v>
      </c>
      <c r="H393" s="4" t="s">
        <v>521</v>
      </c>
      <c r="I393" s="198"/>
      <c r="J393" s="21" t="s">
        <v>2272</v>
      </c>
      <c r="K393" s="21" t="s">
        <v>2272</v>
      </c>
      <c r="L393" s="21" t="s">
        <v>2272</v>
      </c>
      <c r="M393" s="21" t="s">
        <v>2272</v>
      </c>
      <c r="N393" s="21" t="s">
        <v>2272</v>
      </c>
      <c r="O393" s="21" t="s">
        <v>2272</v>
      </c>
      <c r="P393" s="21" t="s">
        <v>2272</v>
      </c>
      <c r="Q393" s="21" t="s">
        <v>2272</v>
      </c>
      <c r="R393" s="21" t="s">
        <v>2272</v>
      </c>
      <c r="S393" s="21" t="s">
        <v>2272</v>
      </c>
      <c r="T393" s="21" t="s">
        <v>2272</v>
      </c>
      <c r="U393" s="21" t="s">
        <v>2272</v>
      </c>
      <c r="V393" s="21" t="s">
        <v>2272</v>
      </c>
      <c r="W393" s="21" t="s">
        <v>2272</v>
      </c>
      <c r="X393" s="21" t="s">
        <v>2272</v>
      </c>
      <c r="Y393" s="21" t="s">
        <v>2272</v>
      </c>
      <c r="Z393" s="21" t="s">
        <v>2272</v>
      </c>
      <c r="AA393" s="198" t="s">
        <v>403</v>
      </c>
      <c r="AB393" s="198" t="s">
        <v>423</v>
      </c>
      <c r="AC393" s="198" t="s">
        <v>2272</v>
      </c>
      <c r="AD393" s="4" t="s">
        <v>1866</v>
      </c>
      <c r="AE393" s="4" t="s">
        <v>1868</v>
      </c>
    </row>
    <row r="394" spans="1:31" ht="96" customHeight="1">
      <c r="A394" s="198" t="s">
        <v>554</v>
      </c>
      <c r="B394" s="198" t="s">
        <v>566</v>
      </c>
      <c r="C394" s="198" t="s">
        <v>23</v>
      </c>
      <c r="D394" s="198" t="s">
        <v>24</v>
      </c>
      <c r="E394" s="4" t="s">
        <v>44</v>
      </c>
      <c r="F394" s="4" t="s">
        <v>28</v>
      </c>
      <c r="G394" s="198" t="s">
        <v>2272</v>
      </c>
      <c r="H394" s="4" t="s">
        <v>521</v>
      </c>
      <c r="I394" s="198"/>
      <c r="J394" s="21" t="s">
        <v>2272</v>
      </c>
      <c r="K394" s="21" t="s">
        <v>2272</v>
      </c>
      <c r="L394" s="21" t="s">
        <v>2272</v>
      </c>
      <c r="M394" s="21" t="s">
        <v>2272</v>
      </c>
      <c r="N394" s="21" t="s">
        <v>2272</v>
      </c>
      <c r="O394" s="21" t="s">
        <v>2272</v>
      </c>
      <c r="P394" s="21" t="s">
        <v>2272</v>
      </c>
      <c r="Q394" s="21" t="s">
        <v>2272</v>
      </c>
      <c r="R394" s="21" t="s">
        <v>2272</v>
      </c>
      <c r="S394" s="21" t="s">
        <v>2272</v>
      </c>
      <c r="T394" s="21" t="s">
        <v>2272</v>
      </c>
      <c r="U394" s="21" t="s">
        <v>2272</v>
      </c>
      <c r="V394" s="21" t="s">
        <v>2272</v>
      </c>
      <c r="W394" s="21">
        <v>84</v>
      </c>
      <c r="X394" s="21" t="s">
        <v>2272</v>
      </c>
      <c r="Y394" s="21">
        <v>22.68</v>
      </c>
      <c r="Z394" s="21">
        <v>1</v>
      </c>
      <c r="AA394" s="198" t="s">
        <v>403</v>
      </c>
      <c r="AB394" s="198" t="s">
        <v>423</v>
      </c>
      <c r="AC394" s="198" t="s">
        <v>2272</v>
      </c>
      <c r="AD394" s="4" t="s">
        <v>1869</v>
      </c>
      <c r="AE394" s="4" t="s">
        <v>568</v>
      </c>
    </row>
    <row r="395" spans="1:31" ht="56" customHeight="1">
      <c r="A395" s="198" t="s">
        <v>569</v>
      </c>
      <c r="B395" s="198" t="s">
        <v>579</v>
      </c>
      <c r="C395" s="198" t="s">
        <v>23</v>
      </c>
      <c r="D395" s="198" t="s">
        <v>26</v>
      </c>
      <c r="E395" s="4" t="s">
        <v>128</v>
      </c>
      <c r="F395" s="4" t="s">
        <v>159</v>
      </c>
      <c r="G395" s="198" t="s">
        <v>2272</v>
      </c>
      <c r="H395" s="4" t="s">
        <v>522</v>
      </c>
      <c r="I395" s="198"/>
      <c r="J395" s="21">
        <v>0</v>
      </c>
      <c r="K395" s="21">
        <v>0</v>
      </c>
      <c r="L395" s="21">
        <v>0</v>
      </c>
      <c r="M395" s="21">
        <v>0</v>
      </c>
      <c r="N395" s="21">
        <v>0</v>
      </c>
      <c r="O395" s="21">
        <v>0</v>
      </c>
      <c r="P395" s="21">
        <v>0</v>
      </c>
      <c r="Q395" s="21">
        <v>0</v>
      </c>
      <c r="R395" s="21" t="s">
        <v>2272</v>
      </c>
      <c r="S395" s="21" t="s">
        <v>2272</v>
      </c>
      <c r="T395" s="21">
        <v>0</v>
      </c>
      <c r="U395" s="21">
        <v>0</v>
      </c>
      <c r="V395" s="21">
        <v>0</v>
      </c>
      <c r="W395" s="21">
        <v>0</v>
      </c>
      <c r="X395" s="21">
        <v>0</v>
      </c>
      <c r="Y395" s="21">
        <v>0</v>
      </c>
      <c r="Z395" s="21" t="s">
        <v>2272</v>
      </c>
      <c r="AA395" s="198" t="s">
        <v>2272</v>
      </c>
      <c r="AB395" s="198" t="s">
        <v>2272</v>
      </c>
      <c r="AC395" s="198" t="s">
        <v>2272</v>
      </c>
      <c r="AD395" s="4" t="s">
        <v>1956</v>
      </c>
      <c r="AE395" s="4"/>
    </row>
    <row r="396" spans="1:31" ht="56" customHeight="1">
      <c r="A396" s="198" t="s">
        <v>570</v>
      </c>
      <c r="B396" s="198" t="s">
        <v>584</v>
      </c>
      <c r="C396" s="198" t="s">
        <v>23</v>
      </c>
      <c r="D396" s="198" t="s">
        <v>26</v>
      </c>
      <c r="E396" s="4" t="s">
        <v>128</v>
      </c>
      <c r="F396" s="4" t="s">
        <v>159</v>
      </c>
      <c r="G396" s="198" t="s">
        <v>2272</v>
      </c>
      <c r="H396" s="4" t="s">
        <v>522</v>
      </c>
      <c r="I396" s="198"/>
      <c r="J396" s="21">
        <v>0</v>
      </c>
      <c r="K396" s="21">
        <v>0</v>
      </c>
      <c r="L396" s="21">
        <v>0</v>
      </c>
      <c r="M396" s="21">
        <v>0</v>
      </c>
      <c r="N396" s="21">
        <v>0</v>
      </c>
      <c r="O396" s="21">
        <v>0</v>
      </c>
      <c r="P396" s="21">
        <v>0</v>
      </c>
      <c r="Q396" s="21">
        <v>0</v>
      </c>
      <c r="R396" s="21" t="s">
        <v>2272</v>
      </c>
      <c r="S396" s="21" t="s">
        <v>2272</v>
      </c>
      <c r="T396" s="21">
        <v>0</v>
      </c>
      <c r="U396" s="21">
        <v>0</v>
      </c>
      <c r="V396" s="21">
        <v>0</v>
      </c>
      <c r="W396" s="21">
        <v>0</v>
      </c>
      <c r="X396" s="21">
        <v>0</v>
      </c>
      <c r="Y396" s="21">
        <v>0</v>
      </c>
      <c r="Z396" s="21" t="s">
        <v>2272</v>
      </c>
      <c r="AA396" s="198" t="s">
        <v>2272</v>
      </c>
      <c r="AB396" s="198" t="s">
        <v>2272</v>
      </c>
      <c r="AC396" s="198" t="s">
        <v>2272</v>
      </c>
      <c r="AD396" s="4" t="s">
        <v>1956</v>
      </c>
      <c r="AE396" s="4"/>
    </row>
    <row r="397" spans="1:31" ht="56" customHeight="1">
      <c r="A397" s="198" t="s">
        <v>571</v>
      </c>
      <c r="B397" s="198" t="s">
        <v>625</v>
      </c>
      <c r="C397" s="198" t="s">
        <v>23</v>
      </c>
      <c r="D397" s="198" t="s">
        <v>26</v>
      </c>
      <c r="E397" s="4" t="s">
        <v>128</v>
      </c>
      <c r="F397" s="4" t="s">
        <v>159</v>
      </c>
      <c r="G397" s="198" t="s">
        <v>2272</v>
      </c>
      <c r="H397" s="4" t="s">
        <v>522</v>
      </c>
      <c r="I397" s="198"/>
      <c r="J397" s="21">
        <v>0</v>
      </c>
      <c r="K397" s="21">
        <v>0</v>
      </c>
      <c r="L397" s="21">
        <v>0</v>
      </c>
      <c r="M397" s="21">
        <v>0</v>
      </c>
      <c r="N397" s="21">
        <v>0</v>
      </c>
      <c r="O397" s="21">
        <v>0</v>
      </c>
      <c r="P397" s="21">
        <v>0</v>
      </c>
      <c r="Q397" s="21">
        <v>0</v>
      </c>
      <c r="R397" s="21" t="s">
        <v>2272</v>
      </c>
      <c r="S397" s="21" t="s">
        <v>2272</v>
      </c>
      <c r="T397" s="21">
        <v>0</v>
      </c>
      <c r="U397" s="21">
        <v>0</v>
      </c>
      <c r="V397" s="21">
        <v>0</v>
      </c>
      <c r="W397" s="21">
        <v>0</v>
      </c>
      <c r="X397" s="21">
        <v>0</v>
      </c>
      <c r="Y397" s="21">
        <v>0</v>
      </c>
      <c r="Z397" s="21" t="s">
        <v>2272</v>
      </c>
      <c r="AA397" s="198" t="s">
        <v>2272</v>
      </c>
      <c r="AB397" s="198" t="s">
        <v>2272</v>
      </c>
      <c r="AC397" s="198" t="s">
        <v>2272</v>
      </c>
      <c r="AD397" s="4" t="s">
        <v>1956</v>
      </c>
      <c r="AE397" s="4"/>
    </row>
    <row r="398" spans="1:31" ht="56" customHeight="1">
      <c r="A398" s="198" t="s">
        <v>572</v>
      </c>
      <c r="B398" s="198" t="s">
        <v>626</v>
      </c>
      <c r="C398" s="198" t="s">
        <v>23</v>
      </c>
      <c r="D398" s="198" t="s">
        <v>26</v>
      </c>
      <c r="E398" s="4" t="s">
        <v>128</v>
      </c>
      <c r="F398" s="4" t="s">
        <v>159</v>
      </c>
      <c r="G398" s="198" t="s">
        <v>2272</v>
      </c>
      <c r="H398" s="4" t="s">
        <v>522</v>
      </c>
      <c r="I398" s="198"/>
      <c r="J398" s="21">
        <v>0</v>
      </c>
      <c r="K398" s="21">
        <v>0</v>
      </c>
      <c r="L398" s="21">
        <v>0</v>
      </c>
      <c r="M398" s="21">
        <v>0</v>
      </c>
      <c r="N398" s="21">
        <v>0</v>
      </c>
      <c r="O398" s="21">
        <v>0</v>
      </c>
      <c r="P398" s="21">
        <v>0</v>
      </c>
      <c r="Q398" s="21">
        <v>0</v>
      </c>
      <c r="R398" s="21" t="s">
        <v>2272</v>
      </c>
      <c r="S398" s="21" t="s">
        <v>2272</v>
      </c>
      <c r="T398" s="21">
        <v>0</v>
      </c>
      <c r="U398" s="21">
        <v>0</v>
      </c>
      <c r="V398" s="21">
        <v>0</v>
      </c>
      <c r="W398" s="21">
        <v>0</v>
      </c>
      <c r="X398" s="21">
        <v>0</v>
      </c>
      <c r="Y398" s="21">
        <v>0</v>
      </c>
      <c r="Z398" s="21" t="s">
        <v>2272</v>
      </c>
      <c r="AA398" s="198" t="s">
        <v>2272</v>
      </c>
      <c r="AB398" s="198" t="s">
        <v>2272</v>
      </c>
      <c r="AC398" s="198" t="s">
        <v>2272</v>
      </c>
      <c r="AD398" s="4" t="s">
        <v>1956</v>
      </c>
      <c r="AE398" s="4"/>
    </row>
    <row r="399" spans="1:31" ht="56" customHeight="1">
      <c r="A399" s="198" t="s">
        <v>573</v>
      </c>
      <c r="B399" s="198" t="s">
        <v>627</v>
      </c>
      <c r="C399" s="198" t="s">
        <v>23</v>
      </c>
      <c r="D399" s="198" t="s">
        <v>26</v>
      </c>
      <c r="E399" s="4" t="s">
        <v>128</v>
      </c>
      <c r="F399" s="4" t="s">
        <v>159</v>
      </c>
      <c r="G399" s="198" t="s">
        <v>2272</v>
      </c>
      <c r="H399" s="4" t="s">
        <v>522</v>
      </c>
      <c r="I399" s="198"/>
      <c r="J399" s="21">
        <v>0</v>
      </c>
      <c r="K399" s="21">
        <v>0</v>
      </c>
      <c r="L399" s="21">
        <v>0</v>
      </c>
      <c r="M399" s="21">
        <v>0</v>
      </c>
      <c r="N399" s="21">
        <v>0</v>
      </c>
      <c r="O399" s="21">
        <v>0</v>
      </c>
      <c r="P399" s="21">
        <v>0</v>
      </c>
      <c r="Q399" s="21">
        <v>0</v>
      </c>
      <c r="R399" s="21" t="s">
        <v>2272</v>
      </c>
      <c r="S399" s="21" t="s">
        <v>2272</v>
      </c>
      <c r="T399" s="21">
        <v>0</v>
      </c>
      <c r="U399" s="21">
        <v>0</v>
      </c>
      <c r="V399" s="21">
        <v>0</v>
      </c>
      <c r="W399" s="21">
        <v>0</v>
      </c>
      <c r="X399" s="21">
        <v>0</v>
      </c>
      <c r="Y399" s="21">
        <v>0</v>
      </c>
      <c r="Z399" s="21" t="s">
        <v>2272</v>
      </c>
      <c r="AA399" s="198" t="s">
        <v>2272</v>
      </c>
      <c r="AB399" s="198" t="s">
        <v>2272</v>
      </c>
      <c r="AC399" s="198" t="s">
        <v>2272</v>
      </c>
      <c r="AD399" s="4" t="s">
        <v>1956</v>
      </c>
      <c r="AE399" s="4"/>
    </row>
    <row r="400" spans="1:31" ht="56" customHeight="1">
      <c r="A400" s="198" t="s">
        <v>574</v>
      </c>
      <c r="B400" s="198" t="s">
        <v>628</v>
      </c>
      <c r="C400" s="198" t="s">
        <v>23</v>
      </c>
      <c r="D400" s="198" t="s">
        <v>26</v>
      </c>
      <c r="E400" s="4" t="s">
        <v>128</v>
      </c>
      <c r="F400" s="4" t="s">
        <v>159</v>
      </c>
      <c r="G400" s="198" t="s">
        <v>2272</v>
      </c>
      <c r="H400" s="4" t="s">
        <v>522</v>
      </c>
      <c r="I400" s="198"/>
      <c r="J400" s="21">
        <v>0</v>
      </c>
      <c r="K400" s="21">
        <v>0</v>
      </c>
      <c r="L400" s="21">
        <v>0</v>
      </c>
      <c r="M400" s="21">
        <v>0</v>
      </c>
      <c r="N400" s="21">
        <v>0</v>
      </c>
      <c r="O400" s="21">
        <v>0</v>
      </c>
      <c r="P400" s="21">
        <v>0</v>
      </c>
      <c r="Q400" s="21">
        <v>0</v>
      </c>
      <c r="R400" s="21" t="s">
        <v>2272</v>
      </c>
      <c r="S400" s="21" t="s">
        <v>2272</v>
      </c>
      <c r="T400" s="21">
        <v>0</v>
      </c>
      <c r="U400" s="21">
        <v>0</v>
      </c>
      <c r="V400" s="21">
        <v>0</v>
      </c>
      <c r="W400" s="21">
        <v>0</v>
      </c>
      <c r="X400" s="21">
        <v>0</v>
      </c>
      <c r="Y400" s="21">
        <v>0</v>
      </c>
      <c r="Z400" s="21" t="s">
        <v>2272</v>
      </c>
      <c r="AA400" s="198" t="s">
        <v>2272</v>
      </c>
      <c r="AB400" s="198" t="s">
        <v>2272</v>
      </c>
      <c r="AC400" s="198" t="s">
        <v>2272</v>
      </c>
      <c r="AD400" s="4" t="s">
        <v>1956</v>
      </c>
      <c r="AE400" s="4"/>
    </row>
    <row r="401" spans="1:31" ht="67.5" customHeight="1">
      <c r="A401" s="198" t="s">
        <v>575</v>
      </c>
      <c r="B401" s="198" t="s">
        <v>629</v>
      </c>
      <c r="C401" s="198" t="s">
        <v>23</v>
      </c>
      <c r="D401" s="198" t="s">
        <v>26</v>
      </c>
      <c r="E401" s="4" t="s">
        <v>395</v>
      </c>
      <c r="F401" s="4" t="s">
        <v>27</v>
      </c>
      <c r="G401" s="198" t="s">
        <v>2272</v>
      </c>
      <c r="H401" s="4" t="s">
        <v>522</v>
      </c>
      <c r="I401" s="198"/>
      <c r="J401" s="21">
        <v>0</v>
      </c>
      <c r="K401" s="21">
        <v>0</v>
      </c>
      <c r="L401" s="21">
        <v>0</v>
      </c>
      <c r="M401" s="21">
        <v>0</v>
      </c>
      <c r="N401" s="21">
        <v>0</v>
      </c>
      <c r="O401" s="21">
        <v>0</v>
      </c>
      <c r="P401" s="21">
        <v>0</v>
      </c>
      <c r="Q401" s="21">
        <v>0</v>
      </c>
      <c r="R401" s="21" t="s">
        <v>2272</v>
      </c>
      <c r="S401" s="21" t="s">
        <v>2272</v>
      </c>
      <c r="T401" s="21">
        <v>0</v>
      </c>
      <c r="U401" s="21">
        <v>0</v>
      </c>
      <c r="V401" s="21">
        <v>0</v>
      </c>
      <c r="W401" s="21">
        <v>0</v>
      </c>
      <c r="X401" s="21">
        <v>0</v>
      </c>
      <c r="Y401" s="21">
        <v>0</v>
      </c>
      <c r="Z401" s="21" t="s">
        <v>2272</v>
      </c>
      <c r="AA401" s="198" t="s">
        <v>2272</v>
      </c>
      <c r="AB401" s="198" t="s">
        <v>2272</v>
      </c>
      <c r="AC401" s="198" t="s">
        <v>2272</v>
      </c>
      <c r="AD401" s="18" t="s">
        <v>1974</v>
      </c>
      <c r="AE401" s="4"/>
    </row>
    <row r="402" spans="1:31" ht="68.5" customHeight="1">
      <c r="A402" s="198" t="s">
        <v>576</v>
      </c>
      <c r="B402" s="198" t="s">
        <v>630</v>
      </c>
      <c r="C402" s="198" t="s">
        <v>23</v>
      </c>
      <c r="D402" s="198" t="s">
        <v>26</v>
      </c>
      <c r="E402" s="4" t="s">
        <v>395</v>
      </c>
      <c r="F402" s="4" t="s">
        <v>27</v>
      </c>
      <c r="G402" s="198" t="s">
        <v>2272</v>
      </c>
      <c r="H402" s="4" t="s">
        <v>522</v>
      </c>
      <c r="I402" s="198"/>
      <c r="J402" s="21">
        <v>0</v>
      </c>
      <c r="K402" s="21">
        <v>0</v>
      </c>
      <c r="L402" s="21">
        <v>0</v>
      </c>
      <c r="M402" s="21">
        <v>0</v>
      </c>
      <c r="N402" s="21">
        <v>0</v>
      </c>
      <c r="O402" s="21">
        <v>0</v>
      </c>
      <c r="P402" s="21">
        <v>0</v>
      </c>
      <c r="Q402" s="21">
        <v>0</v>
      </c>
      <c r="R402" s="21" t="s">
        <v>2272</v>
      </c>
      <c r="S402" s="21" t="s">
        <v>2272</v>
      </c>
      <c r="T402" s="21">
        <v>0</v>
      </c>
      <c r="U402" s="21">
        <v>0</v>
      </c>
      <c r="V402" s="21">
        <v>0</v>
      </c>
      <c r="W402" s="21">
        <v>0</v>
      </c>
      <c r="X402" s="21">
        <v>0</v>
      </c>
      <c r="Y402" s="21">
        <v>0</v>
      </c>
      <c r="Z402" s="21" t="s">
        <v>2272</v>
      </c>
      <c r="AA402" s="198" t="s">
        <v>2272</v>
      </c>
      <c r="AB402" s="198" t="s">
        <v>2272</v>
      </c>
      <c r="AC402" s="198" t="s">
        <v>2272</v>
      </c>
      <c r="AD402" s="18" t="s">
        <v>1957</v>
      </c>
      <c r="AE402" s="4"/>
    </row>
    <row r="403" spans="1:31" ht="56" customHeight="1">
      <c r="A403" s="198" t="s">
        <v>577</v>
      </c>
      <c r="B403" s="198" t="s">
        <v>631</v>
      </c>
      <c r="C403" s="198" t="s">
        <v>23</v>
      </c>
      <c r="D403" s="198" t="s">
        <v>26</v>
      </c>
      <c r="E403" s="4" t="s">
        <v>128</v>
      </c>
      <c r="F403" s="4" t="s">
        <v>159</v>
      </c>
      <c r="G403" s="198" t="s">
        <v>2272</v>
      </c>
      <c r="H403" s="4" t="s">
        <v>522</v>
      </c>
      <c r="I403" s="198"/>
      <c r="J403" s="21">
        <v>0</v>
      </c>
      <c r="K403" s="21">
        <v>0</v>
      </c>
      <c r="L403" s="21">
        <v>0</v>
      </c>
      <c r="M403" s="21">
        <v>0</v>
      </c>
      <c r="N403" s="21">
        <v>0</v>
      </c>
      <c r="O403" s="21">
        <v>0</v>
      </c>
      <c r="P403" s="21">
        <v>0</v>
      </c>
      <c r="Q403" s="21">
        <v>0</v>
      </c>
      <c r="R403" s="21" t="s">
        <v>2272</v>
      </c>
      <c r="S403" s="21" t="s">
        <v>2272</v>
      </c>
      <c r="T403" s="21">
        <v>0</v>
      </c>
      <c r="U403" s="21">
        <v>0</v>
      </c>
      <c r="V403" s="21">
        <v>0</v>
      </c>
      <c r="W403" s="21">
        <v>0</v>
      </c>
      <c r="X403" s="21">
        <v>0</v>
      </c>
      <c r="Y403" s="21">
        <v>0</v>
      </c>
      <c r="Z403" s="21" t="s">
        <v>2272</v>
      </c>
      <c r="AA403" s="198" t="s">
        <v>2272</v>
      </c>
      <c r="AB403" s="198" t="s">
        <v>2272</v>
      </c>
      <c r="AC403" s="198" t="s">
        <v>2272</v>
      </c>
      <c r="AD403" s="4" t="s">
        <v>1956</v>
      </c>
      <c r="AE403" s="4"/>
    </row>
    <row r="404" spans="1:31" ht="56" customHeight="1">
      <c r="A404" s="198" t="s">
        <v>1871</v>
      </c>
      <c r="B404" s="198" t="s">
        <v>1958</v>
      </c>
      <c r="C404" s="198" t="s">
        <v>23</v>
      </c>
      <c r="D404" s="198" t="s">
        <v>26</v>
      </c>
      <c r="E404" s="4" t="s">
        <v>128</v>
      </c>
      <c r="F404" s="4" t="s">
        <v>159</v>
      </c>
      <c r="G404" s="198" t="s">
        <v>2272</v>
      </c>
      <c r="H404" s="4" t="s">
        <v>522</v>
      </c>
      <c r="I404" s="198"/>
      <c r="J404" s="21">
        <v>0</v>
      </c>
      <c r="K404" s="21">
        <v>0</v>
      </c>
      <c r="L404" s="21">
        <v>0</v>
      </c>
      <c r="M404" s="21">
        <v>0</v>
      </c>
      <c r="N404" s="21">
        <v>0</v>
      </c>
      <c r="O404" s="21">
        <v>0</v>
      </c>
      <c r="P404" s="21">
        <v>0</v>
      </c>
      <c r="Q404" s="21">
        <v>0</v>
      </c>
      <c r="R404" s="21" t="s">
        <v>2272</v>
      </c>
      <c r="S404" s="21" t="s">
        <v>2272</v>
      </c>
      <c r="T404" s="21">
        <v>0</v>
      </c>
      <c r="U404" s="21">
        <v>0</v>
      </c>
      <c r="V404" s="21">
        <v>0</v>
      </c>
      <c r="W404" s="21">
        <v>0</v>
      </c>
      <c r="X404" s="21">
        <v>0</v>
      </c>
      <c r="Y404" s="21">
        <v>0</v>
      </c>
      <c r="Z404" s="21" t="s">
        <v>2272</v>
      </c>
      <c r="AA404" s="198" t="s">
        <v>2272</v>
      </c>
      <c r="AB404" s="198" t="s">
        <v>2272</v>
      </c>
      <c r="AC404" s="198" t="s">
        <v>2272</v>
      </c>
      <c r="AD404" s="4" t="s">
        <v>1956</v>
      </c>
      <c r="AE404" s="4"/>
    </row>
    <row r="405" spans="1:31" ht="56" customHeight="1">
      <c r="A405" s="198" t="s">
        <v>1872</v>
      </c>
      <c r="B405" s="198" t="s">
        <v>1959</v>
      </c>
      <c r="C405" s="198" t="s">
        <v>23</v>
      </c>
      <c r="D405" s="198" t="s">
        <v>26</v>
      </c>
      <c r="E405" s="4" t="s">
        <v>128</v>
      </c>
      <c r="F405" s="4" t="s">
        <v>159</v>
      </c>
      <c r="G405" s="198" t="s">
        <v>2272</v>
      </c>
      <c r="H405" s="4" t="s">
        <v>522</v>
      </c>
      <c r="I405" s="198"/>
      <c r="J405" s="21">
        <v>0</v>
      </c>
      <c r="K405" s="21">
        <v>0</v>
      </c>
      <c r="L405" s="21">
        <v>0</v>
      </c>
      <c r="M405" s="21">
        <v>0</v>
      </c>
      <c r="N405" s="21">
        <v>0</v>
      </c>
      <c r="O405" s="21">
        <v>0</v>
      </c>
      <c r="P405" s="21">
        <v>0</v>
      </c>
      <c r="Q405" s="21">
        <v>0</v>
      </c>
      <c r="R405" s="21" t="s">
        <v>2272</v>
      </c>
      <c r="S405" s="21" t="s">
        <v>2272</v>
      </c>
      <c r="T405" s="21">
        <v>0</v>
      </c>
      <c r="U405" s="21">
        <v>0</v>
      </c>
      <c r="V405" s="21">
        <v>0</v>
      </c>
      <c r="W405" s="21">
        <v>0</v>
      </c>
      <c r="X405" s="21">
        <v>0</v>
      </c>
      <c r="Y405" s="21">
        <v>0</v>
      </c>
      <c r="Z405" s="21" t="s">
        <v>2272</v>
      </c>
      <c r="AA405" s="198" t="s">
        <v>2272</v>
      </c>
      <c r="AB405" s="198" t="s">
        <v>2272</v>
      </c>
      <c r="AC405" s="198" t="s">
        <v>2272</v>
      </c>
      <c r="AD405" s="4" t="s">
        <v>1956</v>
      </c>
      <c r="AE405" s="4"/>
    </row>
    <row r="406" spans="1:31" ht="56" customHeight="1">
      <c r="A406" s="198" t="s">
        <v>1873</v>
      </c>
      <c r="B406" s="198" t="s">
        <v>1960</v>
      </c>
      <c r="C406" s="198" t="s">
        <v>23</v>
      </c>
      <c r="D406" s="198" t="s">
        <v>26</v>
      </c>
      <c r="E406" s="4" t="s">
        <v>395</v>
      </c>
      <c r="F406" s="4" t="s">
        <v>27</v>
      </c>
      <c r="G406" s="198" t="s">
        <v>2272</v>
      </c>
      <c r="H406" s="4" t="s">
        <v>522</v>
      </c>
      <c r="I406" s="198"/>
      <c r="J406" s="21">
        <v>0</v>
      </c>
      <c r="K406" s="21">
        <v>0</v>
      </c>
      <c r="L406" s="21">
        <v>0</v>
      </c>
      <c r="M406" s="21">
        <v>0</v>
      </c>
      <c r="N406" s="21">
        <v>0</v>
      </c>
      <c r="O406" s="21">
        <v>0</v>
      </c>
      <c r="P406" s="21">
        <v>0</v>
      </c>
      <c r="Q406" s="21">
        <v>0</v>
      </c>
      <c r="R406" s="21" t="s">
        <v>2272</v>
      </c>
      <c r="S406" s="21" t="s">
        <v>2272</v>
      </c>
      <c r="T406" s="21">
        <v>0</v>
      </c>
      <c r="U406" s="21">
        <v>0</v>
      </c>
      <c r="V406" s="21">
        <v>0</v>
      </c>
      <c r="W406" s="21">
        <v>0</v>
      </c>
      <c r="X406" s="21">
        <v>0</v>
      </c>
      <c r="Y406" s="21">
        <v>0</v>
      </c>
      <c r="Z406" s="21" t="s">
        <v>2272</v>
      </c>
      <c r="AA406" s="198" t="s">
        <v>2272</v>
      </c>
      <c r="AB406" s="198" t="s">
        <v>2272</v>
      </c>
      <c r="AC406" s="198" t="s">
        <v>2272</v>
      </c>
      <c r="AD406" s="198" t="s">
        <v>1962</v>
      </c>
      <c r="AE406" s="4"/>
    </row>
    <row r="407" spans="1:31" ht="56" customHeight="1">
      <c r="A407" s="198" t="s">
        <v>1874</v>
      </c>
      <c r="B407" s="198" t="s">
        <v>1961</v>
      </c>
      <c r="C407" s="198" t="s">
        <v>23</v>
      </c>
      <c r="D407" s="198" t="s">
        <v>26</v>
      </c>
      <c r="E407" s="4" t="s">
        <v>128</v>
      </c>
      <c r="F407" s="4" t="s">
        <v>159</v>
      </c>
      <c r="G407" s="198" t="s">
        <v>2272</v>
      </c>
      <c r="H407" s="4" t="s">
        <v>522</v>
      </c>
      <c r="I407" s="198"/>
      <c r="J407" s="21">
        <v>0</v>
      </c>
      <c r="K407" s="21">
        <v>0</v>
      </c>
      <c r="L407" s="21">
        <v>0</v>
      </c>
      <c r="M407" s="21">
        <v>0</v>
      </c>
      <c r="N407" s="21">
        <v>0</v>
      </c>
      <c r="O407" s="21">
        <v>0</v>
      </c>
      <c r="P407" s="21">
        <v>0</v>
      </c>
      <c r="Q407" s="21">
        <v>0</v>
      </c>
      <c r="R407" s="21" t="s">
        <v>2272</v>
      </c>
      <c r="S407" s="21" t="s">
        <v>2272</v>
      </c>
      <c r="T407" s="21">
        <v>0</v>
      </c>
      <c r="U407" s="21">
        <v>0</v>
      </c>
      <c r="V407" s="21">
        <v>0</v>
      </c>
      <c r="W407" s="21">
        <v>0</v>
      </c>
      <c r="X407" s="21">
        <v>0</v>
      </c>
      <c r="Y407" s="21">
        <v>0</v>
      </c>
      <c r="Z407" s="21" t="s">
        <v>2272</v>
      </c>
      <c r="AA407" s="198" t="s">
        <v>2272</v>
      </c>
      <c r="AB407" s="198" t="s">
        <v>2272</v>
      </c>
      <c r="AC407" s="198" t="s">
        <v>2272</v>
      </c>
      <c r="AD407" s="4" t="s">
        <v>1956</v>
      </c>
      <c r="AE407" s="4"/>
    </row>
    <row r="408" spans="1:31" ht="56" customHeight="1">
      <c r="A408" s="198" t="s">
        <v>1875</v>
      </c>
      <c r="B408" s="198" t="s">
        <v>1963</v>
      </c>
      <c r="C408" s="198" t="s">
        <v>23</v>
      </c>
      <c r="D408" s="198" t="s">
        <v>26</v>
      </c>
      <c r="E408" s="4" t="s">
        <v>128</v>
      </c>
      <c r="F408" s="4" t="s">
        <v>159</v>
      </c>
      <c r="G408" s="198" t="s">
        <v>2272</v>
      </c>
      <c r="H408" s="4" t="s">
        <v>522</v>
      </c>
      <c r="I408" s="198"/>
      <c r="J408" s="21">
        <v>0</v>
      </c>
      <c r="K408" s="21">
        <v>0</v>
      </c>
      <c r="L408" s="21">
        <v>0</v>
      </c>
      <c r="M408" s="21">
        <v>0</v>
      </c>
      <c r="N408" s="21">
        <v>0</v>
      </c>
      <c r="O408" s="21">
        <v>0</v>
      </c>
      <c r="P408" s="21">
        <v>0</v>
      </c>
      <c r="Q408" s="21">
        <v>0</v>
      </c>
      <c r="R408" s="21" t="s">
        <v>2272</v>
      </c>
      <c r="S408" s="21" t="s">
        <v>2272</v>
      </c>
      <c r="T408" s="21">
        <v>0</v>
      </c>
      <c r="U408" s="21">
        <v>0</v>
      </c>
      <c r="V408" s="21">
        <v>0</v>
      </c>
      <c r="W408" s="21">
        <v>0</v>
      </c>
      <c r="X408" s="21">
        <v>0</v>
      </c>
      <c r="Y408" s="21">
        <v>0</v>
      </c>
      <c r="Z408" s="21" t="s">
        <v>2272</v>
      </c>
      <c r="AA408" s="198" t="s">
        <v>2272</v>
      </c>
      <c r="AB408" s="198" t="s">
        <v>2272</v>
      </c>
      <c r="AC408" s="198" t="s">
        <v>2272</v>
      </c>
      <c r="AD408" s="4" t="s">
        <v>1956</v>
      </c>
      <c r="AE408" s="4"/>
    </row>
    <row r="409" spans="1:31" ht="56" customHeight="1">
      <c r="A409" s="198" t="s">
        <v>1876</v>
      </c>
      <c r="B409" s="198" t="s">
        <v>1964</v>
      </c>
      <c r="C409" s="198" t="s">
        <v>23</v>
      </c>
      <c r="D409" s="198" t="s">
        <v>26</v>
      </c>
      <c r="E409" s="4" t="s">
        <v>128</v>
      </c>
      <c r="F409" s="4" t="s">
        <v>73</v>
      </c>
      <c r="G409" s="198" t="s">
        <v>2272</v>
      </c>
      <c r="H409" s="4" t="s">
        <v>521</v>
      </c>
      <c r="I409" s="198"/>
      <c r="J409" s="21" t="s">
        <v>2272</v>
      </c>
      <c r="K409" s="21" t="s">
        <v>2272</v>
      </c>
      <c r="L409" s="21" t="s">
        <v>2272</v>
      </c>
      <c r="M409" s="21" t="s">
        <v>2272</v>
      </c>
      <c r="N409" s="21" t="s">
        <v>2272</v>
      </c>
      <c r="O409" s="21" t="s">
        <v>2272</v>
      </c>
      <c r="P409" s="21" t="s">
        <v>2272</v>
      </c>
      <c r="Q409" s="21" t="s">
        <v>2272</v>
      </c>
      <c r="R409" s="21" t="s">
        <v>2272</v>
      </c>
      <c r="S409" s="21" t="s">
        <v>2272</v>
      </c>
      <c r="T409" s="21" t="s">
        <v>2272</v>
      </c>
      <c r="U409" s="21" t="s">
        <v>2272</v>
      </c>
      <c r="V409" s="21" t="s">
        <v>2272</v>
      </c>
      <c r="W409" s="21" t="s">
        <v>2272</v>
      </c>
      <c r="X409" s="21" t="s">
        <v>2272</v>
      </c>
      <c r="Y409" s="21" t="s">
        <v>2272</v>
      </c>
      <c r="Z409" s="21" t="s">
        <v>2272</v>
      </c>
      <c r="AA409" s="198" t="s">
        <v>2272</v>
      </c>
      <c r="AB409" s="198" t="s">
        <v>2272</v>
      </c>
      <c r="AC409" s="198" t="s">
        <v>2272</v>
      </c>
      <c r="AD409" s="4" t="s">
        <v>1966</v>
      </c>
      <c r="AE409" s="4"/>
    </row>
    <row r="410" spans="1:31" ht="56" customHeight="1">
      <c r="A410" s="198" t="s">
        <v>1876</v>
      </c>
      <c r="B410" s="198" t="s">
        <v>1965</v>
      </c>
      <c r="C410" s="198" t="s">
        <v>23</v>
      </c>
      <c r="D410" s="198" t="s">
        <v>26</v>
      </c>
      <c r="E410" s="4" t="s">
        <v>128</v>
      </c>
      <c r="F410" s="4" t="s">
        <v>159</v>
      </c>
      <c r="G410" s="198" t="s">
        <v>2272</v>
      </c>
      <c r="H410" s="4" t="s">
        <v>521</v>
      </c>
      <c r="I410" s="198"/>
      <c r="J410" s="21" t="s">
        <v>2272</v>
      </c>
      <c r="K410" s="21" t="s">
        <v>2272</v>
      </c>
      <c r="L410" s="21" t="s">
        <v>2272</v>
      </c>
      <c r="M410" s="21" t="s">
        <v>2272</v>
      </c>
      <c r="N410" s="21" t="s">
        <v>2272</v>
      </c>
      <c r="O410" s="21" t="s">
        <v>2272</v>
      </c>
      <c r="P410" s="21" t="s">
        <v>2272</v>
      </c>
      <c r="Q410" s="21" t="s">
        <v>2272</v>
      </c>
      <c r="R410" s="21" t="s">
        <v>2272</v>
      </c>
      <c r="S410" s="21" t="s">
        <v>2272</v>
      </c>
      <c r="T410" s="21" t="s">
        <v>2272</v>
      </c>
      <c r="U410" s="21" t="s">
        <v>2272</v>
      </c>
      <c r="V410" s="21" t="s">
        <v>2272</v>
      </c>
      <c r="W410" s="21" t="s">
        <v>2272</v>
      </c>
      <c r="X410" s="21" t="s">
        <v>2272</v>
      </c>
      <c r="Y410" s="21" t="s">
        <v>2272</v>
      </c>
      <c r="Z410" s="21" t="s">
        <v>2272</v>
      </c>
      <c r="AA410" s="198" t="s">
        <v>2272</v>
      </c>
      <c r="AB410" s="198" t="s">
        <v>2272</v>
      </c>
      <c r="AC410" s="198" t="s">
        <v>2272</v>
      </c>
      <c r="AD410" s="4" t="s">
        <v>1966</v>
      </c>
      <c r="AE410" s="4"/>
    </row>
    <row r="411" spans="1:31" ht="56" customHeight="1">
      <c r="A411" s="198" t="s">
        <v>1879</v>
      </c>
      <c r="B411" s="198" t="s">
        <v>1968</v>
      </c>
      <c r="C411" s="198" t="s">
        <v>23</v>
      </c>
      <c r="D411" s="198" t="s">
        <v>26</v>
      </c>
      <c r="E411" s="4" t="s">
        <v>128</v>
      </c>
      <c r="F411" s="4" t="s">
        <v>159</v>
      </c>
      <c r="G411" s="198" t="s">
        <v>2272</v>
      </c>
      <c r="H411" s="4" t="s">
        <v>521</v>
      </c>
      <c r="I411" s="198"/>
      <c r="J411" s="21" t="s">
        <v>2272</v>
      </c>
      <c r="K411" s="21" t="s">
        <v>2272</v>
      </c>
      <c r="L411" s="21" t="s">
        <v>2272</v>
      </c>
      <c r="M411" s="21" t="s">
        <v>2272</v>
      </c>
      <c r="N411" s="21" t="s">
        <v>2272</v>
      </c>
      <c r="O411" s="21" t="s">
        <v>2272</v>
      </c>
      <c r="P411" s="21" t="s">
        <v>2272</v>
      </c>
      <c r="Q411" s="21" t="s">
        <v>2272</v>
      </c>
      <c r="R411" s="21" t="s">
        <v>2272</v>
      </c>
      <c r="S411" s="21" t="s">
        <v>2272</v>
      </c>
      <c r="T411" s="21" t="s">
        <v>2272</v>
      </c>
      <c r="U411" s="21" t="s">
        <v>2272</v>
      </c>
      <c r="V411" s="21" t="s">
        <v>2272</v>
      </c>
      <c r="W411" s="21" t="s">
        <v>2272</v>
      </c>
      <c r="X411" s="21" t="s">
        <v>2272</v>
      </c>
      <c r="Y411" s="21" t="s">
        <v>2272</v>
      </c>
      <c r="Z411" s="21" t="s">
        <v>2272</v>
      </c>
      <c r="AA411" s="198" t="s">
        <v>2272</v>
      </c>
      <c r="AB411" s="198" t="s">
        <v>2272</v>
      </c>
      <c r="AC411" s="198" t="s">
        <v>2272</v>
      </c>
      <c r="AD411" s="4" t="s">
        <v>1967</v>
      </c>
      <c r="AE411" s="4"/>
    </row>
    <row r="412" spans="1:31" ht="71" customHeight="1">
      <c r="A412" s="198" t="s">
        <v>1880</v>
      </c>
      <c r="B412" s="198" t="s">
        <v>1969</v>
      </c>
      <c r="C412" s="198" t="s">
        <v>23</v>
      </c>
      <c r="D412" s="198" t="s">
        <v>26</v>
      </c>
      <c r="E412" s="4" t="s">
        <v>395</v>
      </c>
      <c r="F412" s="4" t="s">
        <v>27</v>
      </c>
      <c r="G412" s="198" t="s">
        <v>2272</v>
      </c>
      <c r="H412" s="4" t="s">
        <v>522</v>
      </c>
      <c r="I412" s="198"/>
      <c r="J412" s="21">
        <v>0</v>
      </c>
      <c r="K412" s="21">
        <v>0</v>
      </c>
      <c r="L412" s="21">
        <v>0</v>
      </c>
      <c r="M412" s="21">
        <v>0</v>
      </c>
      <c r="N412" s="21">
        <v>0</v>
      </c>
      <c r="O412" s="21">
        <v>0</v>
      </c>
      <c r="P412" s="21">
        <v>0</v>
      </c>
      <c r="Q412" s="21">
        <v>0</v>
      </c>
      <c r="R412" s="21" t="s">
        <v>2272</v>
      </c>
      <c r="S412" s="21" t="s">
        <v>2272</v>
      </c>
      <c r="T412" s="21">
        <v>0</v>
      </c>
      <c r="U412" s="21">
        <v>0</v>
      </c>
      <c r="V412" s="21">
        <v>0</v>
      </c>
      <c r="W412" s="21">
        <v>0</v>
      </c>
      <c r="X412" s="21">
        <v>0</v>
      </c>
      <c r="Y412" s="21">
        <v>0</v>
      </c>
      <c r="Z412" s="21" t="s">
        <v>2272</v>
      </c>
      <c r="AA412" s="198" t="s">
        <v>2272</v>
      </c>
      <c r="AB412" s="198" t="s">
        <v>2272</v>
      </c>
      <c r="AC412" s="198" t="s">
        <v>2272</v>
      </c>
      <c r="AD412" s="18" t="s">
        <v>1974</v>
      </c>
      <c r="AE412" s="4"/>
    </row>
    <row r="413" spans="1:31" ht="56" customHeight="1">
      <c r="A413" s="198" t="s">
        <v>1877</v>
      </c>
      <c r="B413" s="198" t="s">
        <v>1970</v>
      </c>
      <c r="C413" s="198" t="s">
        <v>23</v>
      </c>
      <c r="D413" s="198" t="s">
        <v>26</v>
      </c>
      <c r="E413" s="4" t="s">
        <v>395</v>
      </c>
      <c r="F413" s="4" t="s">
        <v>27</v>
      </c>
      <c r="G413" s="198" t="s">
        <v>2272</v>
      </c>
      <c r="H413" s="4" t="s">
        <v>522</v>
      </c>
      <c r="I413" s="198"/>
      <c r="J413" s="21">
        <v>0</v>
      </c>
      <c r="K413" s="21">
        <v>0</v>
      </c>
      <c r="L413" s="21">
        <v>0</v>
      </c>
      <c r="M413" s="21">
        <v>0</v>
      </c>
      <c r="N413" s="21">
        <v>0</v>
      </c>
      <c r="O413" s="21">
        <v>0</v>
      </c>
      <c r="P413" s="21">
        <v>0</v>
      </c>
      <c r="Q413" s="21">
        <v>0</v>
      </c>
      <c r="R413" s="21" t="s">
        <v>2272</v>
      </c>
      <c r="S413" s="21" t="s">
        <v>2272</v>
      </c>
      <c r="T413" s="21">
        <v>0</v>
      </c>
      <c r="U413" s="21">
        <v>0</v>
      </c>
      <c r="V413" s="21">
        <v>0</v>
      </c>
      <c r="W413" s="21">
        <v>0</v>
      </c>
      <c r="X413" s="21">
        <v>0</v>
      </c>
      <c r="Y413" s="21">
        <v>0</v>
      </c>
      <c r="Z413" s="21" t="s">
        <v>2272</v>
      </c>
      <c r="AA413" s="198" t="s">
        <v>2272</v>
      </c>
      <c r="AB413" s="198" t="s">
        <v>2272</v>
      </c>
      <c r="AC413" s="198" t="s">
        <v>2272</v>
      </c>
      <c r="AD413" s="198" t="s">
        <v>1962</v>
      </c>
      <c r="AE413" s="4"/>
    </row>
    <row r="414" spans="1:31" ht="56" customHeight="1">
      <c r="A414" s="198" t="s">
        <v>1878</v>
      </c>
      <c r="B414" s="198" t="s">
        <v>1971</v>
      </c>
      <c r="C414" s="198" t="s">
        <v>23</v>
      </c>
      <c r="D414" s="198" t="s">
        <v>26</v>
      </c>
      <c r="E414" s="4" t="s">
        <v>395</v>
      </c>
      <c r="F414" s="4" t="s">
        <v>27</v>
      </c>
      <c r="G414" s="198" t="s">
        <v>2272</v>
      </c>
      <c r="H414" s="4" t="s">
        <v>522</v>
      </c>
      <c r="I414" s="198"/>
      <c r="J414" s="21">
        <v>0</v>
      </c>
      <c r="K414" s="21">
        <v>0</v>
      </c>
      <c r="L414" s="21">
        <v>0</v>
      </c>
      <c r="M414" s="21">
        <v>0</v>
      </c>
      <c r="N414" s="21">
        <v>0</v>
      </c>
      <c r="O414" s="21">
        <v>0</v>
      </c>
      <c r="P414" s="21">
        <v>0</v>
      </c>
      <c r="Q414" s="21">
        <v>0</v>
      </c>
      <c r="R414" s="21" t="s">
        <v>2272</v>
      </c>
      <c r="S414" s="21" t="s">
        <v>2272</v>
      </c>
      <c r="T414" s="21">
        <v>0</v>
      </c>
      <c r="U414" s="21">
        <v>0</v>
      </c>
      <c r="V414" s="21">
        <v>0</v>
      </c>
      <c r="W414" s="21">
        <v>0</v>
      </c>
      <c r="X414" s="21">
        <v>0</v>
      </c>
      <c r="Y414" s="21">
        <v>0</v>
      </c>
      <c r="Z414" s="21" t="s">
        <v>2272</v>
      </c>
      <c r="AA414" s="198" t="s">
        <v>2272</v>
      </c>
      <c r="AB414" s="198" t="s">
        <v>2272</v>
      </c>
      <c r="AC414" s="198" t="s">
        <v>2272</v>
      </c>
      <c r="AD414" s="198" t="s">
        <v>1962</v>
      </c>
      <c r="AE414" s="4"/>
    </row>
    <row r="415" spans="1:31" ht="56" customHeight="1">
      <c r="A415" s="198" t="s">
        <v>1881</v>
      </c>
      <c r="B415" s="198" t="s">
        <v>1972</v>
      </c>
      <c r="C415" s="198" t="s">
        <v>23</v>
      </c>
      <c r="D415" s="198" t="s">
        <v>26</v>
      </c>
      <c r="E415" s="4" t="s">
        <v>395</v>
      </c>
      <c r="F415" s="4" t="s">
        <v>27</v>
      </c>
      <c r="G415" s="198" t="s">
        <v>2272</v>
      </c>
      <c r="H415" s="4" t="s">
        <v>522</v>
      </c>
      <c r="I415" s="198"/>
      <c r="J415" s="21">
        <v>0</v>
      </c>
      <c r="K415" s="21">
        <v>0</v>
      </c>
      <c r="L415" s="21">
        <v>0</v>
      </c>
      <c r="M415" s="21">
        <v>0</v>
      </c>
      <c r="N415" s="21">
        <v>0</v>
      </c>
      <c r="O415" s="21">
        <v>0</v>
      </c>
      <c r="P415" s="21">
        <v>0</v>
      </c>
      <c r="Q415" s="21">
        <v>0</v>
      </c>
      <c r="R415" s="21" t="s">
        <v>2272</v>
      </c>
      <c r="S415" s="21" t="s">
        <v>2272</v>
      </c>
      <c r="T415" s="21">
        <v>0</v>
      </c>
      <c r="U415" s="21">
        <v>0</v>
      </c>
      <c r="V415" s="21">
        <v>0</v>
      </c>
      <c r="W415" s="21">
        <v>0</v>
      </c>
      <c r="X415" s="21">
        <v>0</v>
      </c>
      <c r="Y415" s="21">
        <v>0</v>
      </c>
      <c r="Z415" s="21" t="s">
        <v>2272</v>
      </c>
      <c r="AA415" s="198" t="s">
        <v>2272</v>
      </c>
      <c r="AB415" s="198" t="s">
        <v>2272</v>
      </c>
      <c r="AC415" s="198" t="s">
        <v>2272</v>
      </c>
      <c r="AD415" s="198" t="s">
        <v>1962</v>
      </c>
      <c r="AE415" s="4"/>
    </row>
    <row r="416" spans="1:31" ht="73.5" customHeight="1">
      <c r="A416" s="198" t="s">
        <v>1882</v>
      </c>
      <c r="B416" s="198" t="s">
        <v>1973</v>
      </c>
      <c r="C416" s="198" t="s">
        <v>23</v>
      </c>
      <c r="D416" s="198" t="s">
        <v>26</v>
      </c>
      <c r="E416" s="4" t="s">
        <v>395</v>
      </c>
      <c r="F416" s="4" t="s">
        <v>27</v>
      </c>
      <c r="G416" s="198" t="s">
        <v>2272</v>
      </c>
      <c r="H416" s="4" t="s">
        <v>522</v>
      </c>
      <c r="I416" s="198"/>
      <c r="J416" s="21">
        <v>0</v>
      </c>
      <c r="K416" s="21">
        <v>0</v>
      </c>
      <c r="L416" s="21">
        <v>0</v>
      </c>
      <c r="M416" s="21">
        <v>0</v>
      </c>
      <c r="N416" s="21">
        <v>0</v>
      </c>
      <c r="O416" s="21">
        <v>0</v>
      </c>
      <c r="P416" s="21">
        <v>0</v>
      </c>
      <c r="Q416" s="21">
        <v>0</v>
      </c>
      <c r="R416" s="21" t="s">
        <v>2272</v>
      </c>
      <c r="S416" s="21" t="s">
        <v>2272</v>
      </c>
      <c r="T416" s="21">
        <v>0</v>
      </c>
      <c r="U416" s="21">
        <v>0</v>
      </c>
      <c r="V416" s="21">
        <v>0</v>
      </c>
      <c r="W416" s="21">
        <v>0</v>
      </c>
      <c r="X416" s="21">
        <v>0</v>
      </c>
      <c r="Y416" s="21">
        <v>0</v>
      </c>
      <c r="Z416" s="21" t="s">
        <v>2272</v>
      </c>
      <c r="AA416" s="198" t="s">
        <v>2272</v>
      </c>
      <c r="AB416" s="198" t="s">
        <v>2272</v>
      </c>
      <c r="AC416" s="198" t="s">
        <v>2272</v>
      </c>
      <c r="AD416" s="18" t="s">
        <v>1974</v>
      </c>
      <c r="AE416" s="4"/>
    </row>
    <row r="417" spans="1:31" ht="56" customHeight="1">
      <c r="A417" s="198" t="s">
        <v>1883</v>
      </c>
      <c r="B417" s="198" t="s">
        <v>1975</v>
      </c>
      <c r="C417" s="198" t="s">
        <v>23</v>
      </c>
      <c r="D417" s="198" t="s">
        <v>26</v>
      </c>
      <c r="E417" s="4" t="s">
        <v>128</v>
      </c>
      <c r="F417" s="4" t="s">
        <v>159</v>
      </c>
      <c r="G417" s="198" t="s">
        <v>2272</v>
      </c>
      <c r="H417" s="4" t="s">
        <v>521</v>
      </c>
      <c r="I417" s="198"/>
      <c r="J417" s="21" t="s">
        <v>2272</v>
      </c>
      <c r="K417" s="21" t="s">
        <v>2272</v>
      </c>
      <c r="L417" s="21" t="s">
        <v>2272</v>
      </c>
      <c r="M417" s="21" t="s">
        <v>2272</v>
      </c>
      <c r="N417" s="21" t="s">
        <v>2272</v>
      </c>
      <c r="O417" s="21" t="s">
        <v>2272</v>
      </c>
      <c r="P417" s="21" t="s">
        <v>2272</v>
      </c>
      <c r="Q417" s="21" t="s">
        <v>2272</v>
      </c>
      <c r="R417" s="21" t="s">
        <v>2272</v>
      </c>
      <c r="S417" s="21" t="s">
        <v>2272</v>
      </c>
      <c r="T417" s="21" t="s">
        <v>2272</v>
      </c>
      <c r="U417" s="21" t="s">
        <v>2272</v>
      </c>
      <c r="V417" s="21" t="s">
        <v>2272</v>
      </c>
      <c r="W417" s="21" t="s">
        <v>2272</v>
      </c>
      <c r="X417" s="21" t="s">
        <v>2272</v>
      </c>
      <c r="Y417" s="21" t="s">
        <v>2272</v>
      </c>
      <c r="Z417" s="21" t="s">
        <v>2272</v>
      </c>
      <c r="AA417" s="198" t="s">
        <v>2272</v>
      </c>
      <c r="AB417" s="198" t="s">
        <v>2272</v>
      </c>
      <c r="AC417" s="198" t="s">
        <v>2272</v>
      </c>
      <c r="AD417" s="4" t="s">
        <v>1967</v>
      </c>
      <c r="AE417" s="4"/>
    </row>
    <row r="418" spans="1:31" ht="56" customHeight="1">
      <c r="A418" s="198" t="s">
        <v>1884</v>
      </c>
      <c r="B418" s="198" t="s">
        <v>1976</v>
      </c>
      <c r="C418" s="198" t="s">
        <v>23</v>
      </c>
      <c r="D418" s="198" t="s">
        <v>26</v>
      </c>
      <c r="E418" s="4" t="s">
        <v>128</v>
      </c>
      <c r="F418" s="4" t="s">
        <v>73</v>
      </c>
      <c r="G418" s="198" t="s">
        <v>2272</v>
      </c>
      <c r="H418" s="4" t="s">
        <v>521</v>
      </c>
      <c r="I418" s="198"/>
      <c r="J418" s="21" t="s">
        <v>2272</v>
      </c>
      <c r="K418" s="21" t="s">
        <v>2272</v>
      </c>
      <c r="L418" s="21" t="s">
        <v>2272</v>
      </c>
      <c r="M418" s="21" t="s">
        <v>2272</v>
      </c>
      <c r="N418" s="21" t="s">
        <v>2272</v>
      </c>
      <c r="O418" s="21" t="s">
        <v>2272</v>
      </c>
      <c r="P418" s="21" t="s">
        <v>2272</v>
      </c>
      <c r="Q418" s="21" t="s">
        <v>2272</v>
      </c>
      <c r="R418" s="21" t="s">
        <v>2272</v>
      </c>
      <c r="S418" s="21" t="s">
        <v>2272</v>
      </c>
      <c r="T418" s="21" t="s">
        <v>2272</v>
      </c>
      <c r="U418" s="21" t="s">
        <v>2272</v>
      </c>
      <c r="V418" s="21" t="s">
        <v>2272</v>
      </c>
      <c r="W418" s="21" t="s">
        <v>2272</v>
      </c>
      <c r="X418" s="21" t="s">
        <v>2272</v>
      </c>
      <c r="Y418" s="21" t="s">
        <v>2272</v>
      </c>
      <c r="Z418" s="21" t="s">
        <v>2272</v>
      </c>
      <c r="AA418" s="198" t="s">
        <v>2272</v>
      </c>
      <c r="AB418" s="198" t="s">
        <v>2272</v>
      </c>
      <c r="AC418" s="198" t="s">
        <v>2272</v>
      </c>
      <c r="AD418" s="4" t="s">
        <v>1966</v>
      </c>
      <c r="AE418" s="4"/>
    </row>
    <row r="419" spans="1:31" ht="56" customHeight="1">
      <c r="A419" s="198" t="s">
        <v>1884</v>
      </c>
      <c r="B419" s="198" t="s">
        <v>1977</v>
      </c>
      <c r="C419" s="198" t="s">
        <v>23</v>
      </c>
      <c r="D419" s="198" t="s">
        <v>26</v>
      </c>
      <c r="E419" s="4" t="s">
        <v>128</v>
      </c>
      <c r="F419" s="4" t="s">
        <v>159</v>
      </c>
      <c r="G419" s="198" t="s">
        <v>2272</v>
      </c>
      <c r="H419" s="4" t="s">
        <v>521</v>
      </c>
      <c r="I419" s="198"/>
      <c r="J419" s="21" t="s">
        <v>2272</v>
      </c>
      <c r="K419" s="21" t="s">
        <v>2272</v>
      </c>
      <c r="L419" s="21" t="s">
        <v>2272</v>
      </c>
      <c r="M419" s="21" t="s">
        <v>2272</v>
      </c>
      <c r="N419" s="21" t="s">
        <v>2272</v>
      </c>
      <c r="O419" s="21" t="s">
        <v>2272</v>
      </c>
      <c r="P419" s="21" t="s">
        <v>2272</v>
      </c>
      <c r="Q419" s="21" t="s">
        <v>2272</v>
      </c>
      <c r="R419" s="21" t="s">
        <v>2272</v>
      </c>
      <c r="S419" s="21" t="s">
        <v>2272</v>
      </c>
      <c r="T419" s="21" t="s">
        <v>2272</v>
      </c>
      <c r="U419" s="21" t="s">
        <v>2272</v>
      </c>
      <c r="V419" s="21" t="s">
        <v>2272</v>
      </c>
      <c r="W419" s="21" t="s">
        <v>2272</v>
      </c>
      <c r="X419" s="21" t="s">
        <v>2272</v>
      </c>
      <c r="Y419" s="21" t="s">
        <v>2272</v>
      </c>
      <c r="Z419" s="21" t="s">
        <v>2272</v>
      </c>
      <c r="AA419" s="198" t="s">
        <v>2272</v>
      </c>
      <c r="AB419" s="198" t="s">
        <v>2272</v>
      </c>
      <c r="AC419" s="198" t="s">
        <v>2272</v>
      </c>
      <c r="AD419" s="4" t="s">
        <v>1966</v>
      </c>
      <c r="AE419" s="4"/>
    </row>
    <row r="420" spans="1:31" ht="56" customHeight="1">
      <c r="A420" s="198" t="s">
        <v>1885</v>
      </c>
      <c r="B420" s="198" t="s">
        <v>1978</v>
      </c>
      <c r="C420" s="198" t="s">
        <v>23</v>
      </c>
      <c r="D420" s="198" t="s">
        <v>26</v>
      </c>
      <c r="E420" s="4" t="s">
        <v>128</v>
      </c>
      <c r="F420" s="4" t="s">
        <v>159</v>
      </c>
      <c r="G420" s="198" t="s">
        <v>2272</v>
      </c>
      <c r="H420" s="4" t="s">
        <v>521</v>
      </c>
      <c r="I420" s="198"/>
      <c r="J420" s="21" t="s">
        <v>2272</v>
      </c>
      <c r="K420" s="21" t="s">
        <v>2272</v>
      </c>
      <c r="L420" s="21" t="s">
        <v>2272</v>
      </c>
      <c r="M420" s="21" t="s">
        <v>2272</v>
      </c>
      <c r="N420" s="21" t="s">
        <v>2272</v>
      </c>
      <c r="O420" s="21" t="s">
        <v>2272</v>
      </c>
      <c r="P420" s="21" t="s">
        <v>2272</v>
      </c>
      <c r="Q420" s="21" t="s">
        <v>2272</v>
      </c>
      <c r="R420" s="21" t="s">
        <v>2272</v>
      </c>
      <c r="S420" s="21" t="s">
        <v>2272</v>
      </c>
      <c r="T420" s="21" t="s">
        <v>2272</v>
      </c>
      <c r="U420" s="21" t="s">
        <v>2272</v>
      </c>
      <c r="V420" s="21" t="s">
        <v>2272</v>
      </c>
      <c r="W420" s="21" t="s">
        <v>2272</v>
      </c>
      <c r="X420" s="21" t="s">
        <v>2272</v>
      </c>
      <c r="Y420" s="21" t="s">
        <v>2272</v>
      </c>
      <c r="Z420" s="21" t="s">
        <v>2272</v>
      </c>
      <c r="AA420" s="198" t="s">
        <v>2272</v>
      </c>
      <c r="AB420" s="198" t="s">
        <v>2272</v>
      </c>
      <c r="AC420" s="198" t="s">
        <v>2272</v>
      </c>
      <c r="AD420" s="4" t="s">
        <v>1967</v>
      </c>
      <c r="AE420" s="4"/>
    </row>
    <row r="421" spans="1:31" ht="56" customHeight="1">
      <c r="A421" s="198" t="s">
        <v>1886</v>
      </c>
      <c r="B421" s="198" t="s">
        <v>1979</v>
      </c>
      <c r="C421" s="198" t="s">
        <v>23</v>
      </c>
      <c r="D421" s="198" t="s">
        <v>26</v>
      </c>
      <c r="E421" s="4" t="s">
        <v>128</v>
      </c>
      <c r="F421" s="4" t="s">
        <v>159</v>
      </c>
      <c r="G421" s="198" t="s">
        <v>2272</v>
      </c>
      <c r="H421" s="4" t="s">
        <v>521</v>
      </c>
      <c r="I421" s="198"/>
      <c r="J421" s="21" t="s">
        <v>2272</v>
      </c>
      <c r="K421" s="21" t="s">
        <v>2272</v>
      </c>
      <c r="L421" s="21" t="s">
        <v>2272</v>
      </c>
      <c r="M421" s="21" t="s">
        <v>2272</v>
      </c>
      <c r="N421" s="21" t="s">
        <v>2272</v>
      </c>
      <c r="O421" s="21" t="s">
        <v>2272</v>
      </c>
      <c r="P421" s="21" t="s">
        <v>2272</v>
      </c>
      <c r="Q421" s="21" t="s">
        <v>2272</v>
      </c>
      <c r="R421" s="21" t="s">
        <v>2272</v>
      </c>
      <c r="S421" s="21" t="s">
        <v>2272</v>
      </c>
      <c r="T421" s="21" t="s">
        <v>2272</v>
      </c>
      <c r="U421" s="21" t="s">
        <v>2272</v>
      </c>
      <c r="V421" s="21" t="s">
        <v>2272</v>
      </c>
      <c r="W421" s="21" t="s">
        <v>2272</v>
      </c>
      <c r="X421" s="21" t="s">
        <v>2272</v>
      </c>
      <c r="Y421" s="21" t="s">
        <v>2272</v>
      </c>
      <c r="Z421" s="21" t="s">
        <v>2272</v>
      </c>
      <c r="AA421" s="198" t="s">
        <v>2272</v>
      </c>
      <c r="AB421" s="198" t="s">
        <v>2272</v>
      </c>
      <c r="AC421" s="198" t="s">
        <v>2272</v>
      </c>
      <c r="AD421" s="4" t="s">
        <v>1967</v>
      </c>
      <c r="AE421" s="4"/>
    </row>
    <row r="422" spans="1:31" ht="56" customHeight="1">
      <c r="A422" s="198" t="s">
        <v>1887</v>
      </c>
      <c r="B422" s="198" t="s">
        <v>1980</v>
      </c>
      <c r="C422" s="198" t="s">
        <v>23</v>
      </c>
      <c r="D422" s="198" t="s">
        <v>26</v>
      </c>
      <c r="E422" s="4" t="s">
        <v>395</v>
      </c>
      <c r="F422" s="4" t="s">
        <v>27</v>
      </c>
      <c r="G422" s="198" t="s">
        <v>2272</v>
      </c>
      <c r="H422" s="4" t="s">
        <v>522</v>
      </c>
      <c r="I422" s="198"/>
      <c r="J422" s="21">
        <v>0</v>
      </c>
      <c r="K422" s="21">
        <v>0</v>
      </c>
      <c r="L422" s="21">
        <v>0</v>
      </c>
      <c r="M422" s="21">
        <v>0</v>
      </c>
      <c r="N422" s="21">
        <v>0</v>
      </c>
      <c r="O422" s="21">
        <v>0</v>
      </c>
      <c r="P422" s="21">
        <v>0</v>
      </c>
      <c r="Q422" s="21">
        <v>0</v>
      </c>
      <c r="R422" s="21" t="s">
        <v>2272</v>
      </c>
      <c r="S422" s="21" t="s">
        <v>2272</v>
      </c>
      <c r="T422" s="21">
        <v>0</v>
      </c>
      <c r="U422" s="21">
        <v>0</v>
      </c>
      <c r="V422" s="21">
        <v>0</v>
      </c>
      <c r="W422" s="21">
        <v>0</v>
      </c>
      <c r="X422" s="21">
        <v>0</v>
      </c>
      <c r="Y422" s="21">
        <v>0</v>
      </c>
      <c r="Z422" s="21" t="s">
        <v>2272</v>
      </c>
      <c r="AA422" s="198" t="s">
        <v>2272</v>
      </c>
      <c r="AB422" s="198" t="s">
        <v>2272</v>
      </c>
      <c r="AC422" s="198" t="s">
        <v>2272</v>
      </c>
      <c r="AD422" s="198" t="s">
        <v>1962</v>
      </c>
      <c r="AE422" s="4"/>
    </row>
    <row r="423" spans="1:31" ht="73.5" customHeight="1">
      <c r="A423" s="198" t="s">
        <v>1888</v>
      </c>
      <c r="B423" s="198" t="s">
        <v>1981</v>
      </c>
      <c r="C423" s="198" t="s">
        <v>23</v>
      </c>
      <c r="D423" s="198" t="s">
        <v>26</v>
      </c>
      <c r="E423" s="4" t="s">
        <v>395</v>
      </c>
      <c r="F423" s="4" t="s">
        <v>27</v>
      </c>
      <c r="G423" s="198" t="s">
        <v>2272</v>
      </c>
      <c r="H423" s="4" t="s">
        <v>522</v>
      </c>
      <c r="I423" s="198"/>
      <c r="J423" s="21">
        <v>0</v>
      </c>
      <c r="K423" s="21">
        <v>0</v>
      </c>
      <c r="L423" s="21">
        <v>0</v>
      </c>
      <c r="M423" s="21">
        <v>0</v>
      </c>
      <c r="N423" s="21">
        <v>0</v>
      </c>
      <c r="O423" s="21">
        <v>0</v>
      </c>
      <c r="P423" s="21">
        <v>0</v>
      </c>
      <c r="Q423" s="21">
        <v>0</v>
      </c>
      <c r="R423" s="21" t="s">
        <v>2272</v>
      </c>
      <c r="S423" s="21" t="s">
        <v>2272</v>
      </c>
      <c r="T423" s="21">
        <v>0</v>
      </c>
      <c r="U423" s="21">
        <v>0</v>
      </c>
      <c r="V423" s="21">
        <v>0</v>
      </c>
      <c r="W423" s="21">
        <v>0</v>
      </c>
      <c r="X423" s="21">
        <v>0</v>
      </c>
      <c r="Y423" s="21">
        <v>0</v>
      </c>
      <c r="Z423" s="21" t="s">
        <v>2272</v>
      </c>
      <c r="AA423" s="198" t="s">
        <v>2272</v>
      </c>
      <c r="AB423" s="198" t="s">
        <v>2272</v>
      </c>
      <c r="AC423" s="198" t="s">
        <v>2272</v>
      </c>
      <c r="AD423" s="18" t="s">
        <v>1974</v>
      </c>
      <c r="AE423" s="4"/>
    </row>
    <row r="424" spans="1:31" ht="56" customHeight="1">
      <c r="A424" s="198" t="s">
        <v>1889</v>
      </c>
      <c r="B424" s="198" t="s">
        <v>1982</v>
      </c>
      <c r="C424" s="198" t="s">
        <v>23</v>
      </c>
      <c r="D424" s="198" t="s">
        <v>26</v>
      </c>
      <c r="E424" s="4" t="s">
        <v>395</v>
      </c>
      <c r="F424" s="4" t="s">
        <v>27</v>
      </c>
      <c r="G424" s="198" t="s">
        <v>2272</v>
      </c>
      <c r="H424" s="4" t="s">
        <v>522</v>
      </c>
      <c r="I424" s="198"/>
      <c r="J424" s="21">
        <v>0</v>
      </c>
      <c r="K424" s="21">
        <v>0</v>
      </c>
      <c r="L424" s="21">
        <v>0</v>
      </c>
      <c r="M424" s="21">
        <v>0</v>
      </c>
      <c r="N424" s="21">
        <v>0</v>
      </c>
      <c r="O424" s="21">
        <v>0</v>
      </c>
      <c r="P424" s="21">
        <v>0</v>
      </c>
      <c r="Q424" s="21">
        <v>0</v>
      </c>
      <c r="R424" s="21" t="s">
        <v>2272</v>
      </c>
      <c r="S424" s="21" t="s">
        <v>2272</v>
      </c>
      <c r="T424" s="21">
        <v>0</v>
      </c>
      <c r="U424" s="21">
        <v>0</v>
      </c>
      <c r="V424" s="21">
        <v>0</v>
      </c>
      <c r="W424" s="21">
        <v>0</v>
      </c>
      <c r="X424" s="21">
        <v>0</v>
      </c>
      <c r="Y424" s="21">
        <v>0</v>
      </c>
      <c r="Z424" s="21" t="s">
        <v>2272</v>
      </c>
      <c r="AA424" s="198" t="s">
        <v>2272</v>
      </c>
      <c r="AB424" s="198" t="s">
        <v>2272</v>
      </c>
      <c r="AC424" s="198" t="s">
        <v>2272</v>
      </c>
      <c r="AD424" s="198" t="s">
        <v>1962</v>
      </c>
      <c r="AE424" s="4"/>
    </row>
    <row r="425" spans="1:31" ht="56" customHeight="1">
      <c r="A425" s="198" t="s">
        <v>1890</v>
      </c>
      <c r="B425" s="198" t="s">
        <v>1983</v>
      </c>
      <c r="C425" s="198" t="s">
        <v>23</v>
      </c>
      <c r="D425" s="198" t="s">
        <v>26</v>
      </c>
      <c r="E425" s="4" t="s">
        <v>395</v>
      </c>
      <c r="F425" s="4" t="s">
        <v>27</v>
      </c>
      <c r="G425" s="198" t="s">
        <v>2272</v>
      </c>
      <c r="H425" s="4" t="s">
        <v>522</v>
      </c>
      <c r="I425" s="198"/>
      <c r="J425" s="21">
        <v>0</v>
      </c>
      <c r="K425" s="21">
        <v>0</v>
      </c>
      <c r="L425" s="21">
        <v>0</v>
      </c>
      <c r="M425" s="21">
        <v>0</v>
      </c>
      <c r="N425" s="21">
        <v>0</v>
      </c>
      <c r="O425" s="21">
        <v>0</v>
      </c>
      <c r="P425" s="21">
        <v>0</v>
      </c>
      <c r="Q425" s="21">
        <v>0</v>
      </c>
      <c r="R425" s="21" t="s">
        <v>2272</v>
      </c>
      <c r="S425" s="21" t="s">
        <v>2272</v>
      </c>
      <c r="T425" s="21">
        <v>0</v>
      </c>
      <c r="U425" s="21">
        <v>0</v>
      </c>
      <c r="V425" s="21">
        <v>0</v>
      </c>
      <c r="W425" s="21">
        <v>0</v>
      </c>
      <c r="X425" s="21">
        <v>0</v>
      </c>
      <c r="Y425" s="21">
        <v>0</v>
      </c>
      <c r="Z425" s="21" t="s">
        <v>2272</v>
      </c>
      <c r="AA425" s="198" t="s">
        <v>2272</v>
      </c>
      <c r="AB425" s="198" t="s">
        <v>2272</v>
      </c>
      <c r="AC425" s="198" t="s">
        <v>2272</v>
      </c>
      <c r="AD425" s="198" t="s">
        <v>1962</v>
      </c>
      <c r="AE425" s="4"/>
    </row>
    <row r="426" spans="1:31" ht="56" customHeight="1">
      <c r="A426" s="198" t="s">
        <v>1891</v>
      </c>
      <c r="B426" s="198" t="s">
        <v>1984</v>
      </c>
      <c r="C426" s="198" t="s">
        <v>23</v>
      </c>
      <c r="D426" s="198" t="s">
        <v>26</v>
      </c>
      <c r="E426" s="4" t="s">
        <v>395</v>
      </c>
      <c r="F426" s="4" t="s">
        <v>27</v>
      </c>
      <c r="G426" s="198" t="s">
        <v>2272</v>
      </c>
      <c r="H426" s="4" t="s">
        <v>522</v>
      </c>
      <c r="I426" s="198"/>
      <c r="J426" s="21">
        <v>0</v>
      </c>
      <c r="K426" s="21">
        <v>0</v>
      </c>
      <c r="L426" s="21">
        <v>0</v>
      </c>
      <c r="M426" s="21">
        <v>0</v>
      </c>
      <c r="N426" s="21">
        <v>0</v>
      </c>
      <c r="O426" s="21">
        <v>0</v>
      </c>
      <c r="P426" s="21">
        <v>0</v>
      </c>
      <c r="Q426" s="21">
        <v>0</v>
      </c>
      <c r="R426" s="21" t="s">
        <v>2272</v>
      </c>
      <c r="S426" s="21" t="s">
        <v>2272</v>
      </c>
      <c r="T426" s="21">
        <v>0</v>
      </c>
      <c r="U426" s="21">
        <v>0</v>
      </c>
      <c r="V426" s="21">
        <v>0</v>
      </c>
      <c r="W426" s="21">
        <v>0</v>
      </c>
      <c r="X426" s="21">
        <v>0</v>
      </c>
      <c r="Y426" s="21">
        <v>0</v>
      </c>
      <c r="Z426" s="21" t="s">
        <v>2272</v>
      </c>
      <c r="AA426" s="198" t="s">
        <v>2272</v>
      </c>
      <c r="AB426" s="198" t="s">
        <v>2272</v>
      </c>
      <c r="AC426" s="198" t="s">
        <v>2272</v>
      </c>
      <c r="AD426" s="198" t="s">
        <v>1962</v>
      </c>
      <c r="AE426" s="4"/>
    </row>
    <row r="427" spans="1:31" ht="56" customHeight="1">
      <c r="A427" s="198" t="s">
        <v>1892</v>
      </c>
      <c r="B427" s="198" t="s">
        <v>1985</v>
      </c>
      <c r="C427" s="198" t="s">
        <v>23</v>
      </c>
      <c r="D427" s="198" t="s">
        <v>26</v>
      </c>
      <c r="E427" s="4" t="s">
        <v>128</v>
      </c>
      <c r="F427" s="4" t="s">
        <v>159</v>
      </c>
      <c r="G427" s="198" t="s">
        <v>2272</v>
      </c>
      <c r="H427" s="4" t="s">
        <v>522</v>
      </c>
      <c r="I427" s="198"/>
      <c r="J427" s="21">
        <v>0</v>
      </c>
      <c r="K427" s="21">
        <v>0</v>
      </c>
      <c r="L427" s="21">
        <v>0</v>
      </c>
      <c r="M427" s="21">
        <v>0</v>
      </c>
      <c r="N427" s="21">
        <v>0</v>
      </c>
      <c r="O427" s="21">
        <v>0</v>
      </c>
      <c r="P427" s="21">
        <v>0</v>
      </c>
      <c r="Q427" s="21">
        <v>0</v>
      </c>
      <c r="R427" s="21" t="s">
        <v>2272</v>
      </c>
      <c r="S427" s="21" t="s">
        <v>2272</v>
      </c>
      <c r="T427" s="21">
        <v>0</v>
      </c>
      <c r="U427" s="21">
        <v>0</v>
      </c>
      <c r="V427" s="21">
        <v>0</v>
      </c>
      <c r="W427" s="21">
        <v>0</v>
      </c>
      <c r="X427" s="21">
        <v>0</v>
      </c>
      <c r="Y427" s="21">
        <v>0</v>
      </c>
      <c r="Z427" s="21" t="s">
        <v>2272</v>
      </c>
      <c r="AA427" s="198" t="s">
        <v>2272</v>
      </c>
      <c r="AB427" s="198" t="s">
        <v>2272</v>
      </c>
      <c r="AC427" s="198" t="s">
        <v>2272</v>
      </c>
      <c r="AD427" s="4" t="s">
        <v>1956</v>
      </c>
      <c r="AE427" s="4"/>
    </row>
    <row r="428" spans="1:31" ht="70" customHeight="1">
      <c r="A428" s="198" t="s">
        <v>1893</v>
      </c>
      <c r="B428" s="198" t="s">
        <v>1986</v>
      </c>
      <c r="C428" s="198" t="s">
        <v>23</v>
      </c>
      <c r="D428" s="198" t="s">
        <v>26</v>
      </c>
      <c r="E428" s="4" t="s">
        <v>395</v>
      </c>
      <c r="F428" s="4" t="s">
        <v>27</v>
      </c>
      <c r="G428" s="198" t="s">
        <v>2272</v>
      </c>
      <c r="H428" s="4" t="s">
        <v>522</v>
      </c>
      <c r="I428" s="198"/>
      <c r="J428" s="21">
        <v>0</v>
      </c>
      <c r="K428" s="21">
        <v>0</v>
      </c>
      <c r="L428" s="21">
        <v>0</v>
      </c>
      <c r="M428" s="21">
        <v>0</v>
      </c>
      <c r="N428" s="21">
        <v>0</v>
      </c>
      <c r="O428" s="21">
        <v>0</v>
      </c>
      <c r="P428" s="21">
        <v>0</v>
      </c>
      <c r="Q428" s="21">
        <v>0</v>
      </c>
      <c r="R428" s="21" t="s">
        <v>2272</v>
      </c>
      <c r="S428" s="21" t="s">
        <v>2272</v>
      </c>
      <c r="T428" s="21">
        <v>0</v>
      </c>
      <c r="U428" s="21">
        <v>0</v>
      </c>
      <c r="V428" s="21">
        <v>0</v>
      </c>
      <c r="W428" s="21">
        <v>0</v>
      </c>
      <c r="X428" s="21">
        <v>0</v>
      </c>
      <c r="Y428" s="21">
        <v>0</v>
      </c>
      <c r="Z428" s="21" t="s">
        <v>2272</v>
      </c>
      <c r="AA428" s="198" t="s">
        <v>2272</v>
      </c>
      <c r="AB428" s="198" t="s">
        <v>2272</v>
      </c>
      <c r="AC428" s="198" t="s">
        <v>2272</v>
      </c>
      <c r="AD428" s="18" t="s">
        <v>1974</v>
      </c>
      <c r="AE428" s="4"/>
    </row>
    <row r="429" spans="1:31" ht="63.5" customHeight="1">
      <c r="A429" s="198" t="s">
        <v>1894</v>
      </c>
      <c r="B429" s="198" t="s">
        <v>1987</v>
      </c>
      <c r="C429" s="198" t="s">
        <v>23</v>
      </c>
      <c r="D429" s="198" t="s">
        <v>26</v>
      </c>
      <c r="E429" s="4" t="s">
        <v>395</v>
      </c>
      <c r="F429" s="4" t="s">
        <v>27</v>
      </c>
      <c r="G429" s="198" t="s">
        <v>2272</v>
      </c>
      <c r="H429" s="4" t="s">
        <v>522</v>
      </c>
      <c r="I429" s="198"/>
      <c r="J429" s="21">
        <v>0</v>
      </c>
      <c r="K429" s="21">
        <v>0</v>
      </c>
      <c r="L429" s="21">
        <v>0</v>
      </c>
      <c r="M429" s="21">
        <v>0</v>
      </c>
      <c r="N429" s="21">
        <v>0</v>
      </c>
      <c r="O429" s="21">
        <v>0</v>
      </c>
      <c r="P429" s="21">
        <v>0</v>
      </c>
      <c r="Q429" s="21">
        <v>0</v>
      </c>
      <c r="R429" s="21" t="s">
        <v>2272</v>
      </c>
      <c r="S429" s="21" t="s">
        <v>2272</v>
      </c>
      <c r="T429" s="21">
        <v>0</v>
      </c>
      <c r="U429" s="21">
        <v>0</v>
      </c>
      <c r="V429" s="21">
        <v>0</v>
      </c>
      <c r="W429" s="21">
        <v>0</v>
      </c>
      <c r="X429" s="21">
        <v>0</v>
      </c>
      <c r="Y429" s="21">
        <v>0</v>
      </c>
      <c r="Z429" s="21" t="s">
        <v>2272</v>
      </c>
      <c r="AA429" s="198" t="s">
        <v>2272</v>
      </c>
      <c r="AB429" s="198" t="s">
        <v>2272</v>
      </c>
      <c r="AC429" s="198" t="s">
        <v>2272</v>
      </c>
      <c r="AD429" s="18" t="s">
        <v>1974</v>
      </c>
      <c r="AE429" s="4"/>
    </row>
    <row r="430" spans="1:31" ht="56" customHeight="1">
      <c r="A430" s="198" t="s">
        <v>1895</v>
      </c>
      <c r="B430" s="198" t="s">
        <v>1988</v>
      </c>
      <c r="C430" s="198" t="s">
        <v>23</v>
      </c>
      <c r="D430" s="198" t="s">
        <v>26</v>
      </c>
      <c r="E430" s="4" t="s">
        <v>395</v>
      </c>
      <c r="F430" s="4" t="s">
        <v>27</v>
      </c>
      <c r="G430" s="198" t="s">
        <v>2272</v>
      </c>
      <c r="H430" s="4" t="s">
        <v>522</v>
      </c>
      <c r="I430" s="198"/>
      <c r="J430" s="21">
        <v>0</v>
      </c>
      <c r="K430" s="21">
        <v>0</v>
      </c>
      <c r="L430" s="21">
        <v>0</v>
      </c>
      <c r="M430" s="21">
        <v>0</v>
      </c>
      <c r="N430" s="21">
        <v>0</v>
      </c>
      <c r="O430" s="21">
        <v>0</v>
      </c>
      <c r="P430" s="21">
        <v>0</v>
      </c>
      <c r="Q430" s="21">
        <v>0</v>
      </c>
      <c r="R430" s="21" t="s">
        <v>2272</v>
      </c>
      <c r="S430" s="21" t="s">
        <v>2272</v>
      </c>
      <c r="T430" s="21">
        <v>0</v>
      </c>
      <c r="U430" s="21">
        <v>0</v>
      </c>
      <c r="V430" s="21">
        <v>0</v>
      </c>
      <c r="W430" s="21">
        <v>0</v>
      </c>
      <c r="X430" s="21">
        <v>0</v>
      </c>
      <c r="Y430" s="21">
        <v>0</v>
      </c>
      <c r="Z430" s="21" t="s">
        <v>2272</v>
      </c>
      <c r="AA430" s="198" t="s">
        <v>2272</v>
      </c>
      <c r="AB430" s="198" t="s">
        <v>2272</v>
      </c>
      <c r="AC430" s="198" t="s">
        <v>2272</v>
      </c>
      <c r="AD430" s="198" t="s">
        <v>1962</v>
      </c>
      <c r="AE430" s="4"/>
    </row>
    <row r="431" spans="1:31" ht="56" customHeight="1">
      <c r="A431" s="198" t="s">
        <v>1896</v>
      </c>
      <c r="B431" s="198" t="s">
        <v>1988</v>
      </c>
      <c r="C431" s="198" t="s">
        <v>23</v>
      </c>
      <c r="D431" s="198" t="s">
        <v>26</v>
      </c>
      <c r="E431" s="4" t="s">
        <v>395</v>
      </c>
      <c r="F431" s="4" t="s">
        <v>27</v>
      </c>
      <c r="G431" s="198" t="s">
        <v>2272</v>
      </c>
      <c r="H431" s="4" t="s">
        <v>522</v>
      </c>
      <c r="I431" s="198"/>
      <c r="J431" s="21">
        <v>0</v>
      </c>
      <c r="K431" s="21">
        <v>0</v>
      </c>
      <c r="L431" s="21">
        <v>0</v>
      </c>
      <c r="M431" s="21">
        <v>0</v>
      </c>
      <c r="N431" s="21">
        <v>0</v>
      </c>
      <c r="O431" s="21">
        <v>0</v>
      </c>
      <c r="P431" s="21">
        <v>0</v>
      </c>
      <c r="Q431" s="21">
        <v>0</v>
      </c>
      <c r="R431" s="21" t="s">
        <v>2272</v>
      </c>
      <c r="S431" s="21" t="s">
        <v>2272</v>
      </c>
      <c r="T431" s="21">
        <v>0</v>
      </c>
      <c r="U431" s="21">
        <v>0</v>
      </c>
      <c r="V431" s="21">
        <v>0</v>
      </c>
      <c r="W431" s="21">
        <v>0</v>
      </c>
      <c r="X431" s="21">
        <v>0</v>
      </c>
      <c r="Y431" s="21">
        <v>0</v>
      </c>
      <c r="Z431" s="21" t="s">
        <v>2272</v>
      </c>
      <c r="AA431" s="198" t="s">
        <v>2272</v>
      </c>
      <c r="AB431" s="198" t="s">
        <v>2272</v>
      </c>
      <c r="AC431" s="198" t="s">
        <v>2272</v>
      </c>
      <c r="AD431" s="198" t="s">
        <v>1962</v>
      </c>
      <c r="AE431" s="4"/>
    </row>
    <row r="432" spans="1:31" ht="56" customHeight="1">
      <c r="A432" s="198" t="s">
        <v>1898</v>
      </c>
      <c r="B432" s="198" t="s">
        <v>1989</v>
      </c>
      <c r="C432" s="198" t="s">
        <v>23</v>
      </c>
      <c r="D432" s="198" t="s">
        <v>26</v>
      </c>
      <c r="E432" s="4" t="s">
        <v>128</v>
      </c>
      <c r="F432" s="4" t="s">
        <v>159</v>
      </c>
      <c r="G432" s="198" t="s">
        <v>2272</v>
      </c>
      <c r="H432" s="4" t="s">
        <v>522</v>
      </c>
      <c r="I432" s="198"/>
      <c r="J432" s="21">
        <v>0</v>
      </c>
      <c r="K432" s="21">
        <v>0</v>
      </c>
      <c r="L432" s="21">
        <v>0</v>
      </c>
      <c r="M432" s="21">
        <v>0</v>
      </c>
      <c r="N432" s="21">
        <v>0</v>
      </c>
      <c r="O432" s="21">
        <v>0</v>
      </c>
      <c r="P432" s="21">
        <v>0</v>
      </c>
      <c r="Q432" s="21">
        <v>0</v>
      </c>
      <c r="R432" s="21" t="s">
        <v>2272</v>
      </c>
      <c r="S432" s="21" t="s">
        <v>2272</v>
      </c>
      <c r="T432" s="21">
        <v>0</v>
      </c>
      <c r="U432" s="21">
        <v>0</v>
      </c>
      <c r="V432" s="21">
        <v>0</v>
      </c>
      <c r="W432" s="21">
        <v>0</v>
      </c>
      <c r="X432" s="21">
        <v>0</v>
      </c>
      <c r="Y432" s="21">
        <v>0</v>
      </c>
      <c r="Z432" s="21" t="s">
        <v>2272</v>
      </c>
      <c r="AA432" s="198" t="s">
        <v>2272</v>
      </c>
      <c r="AB432" s="198" t="s">
        <v>2272</v>
      </c>
      <c r="AC432" s="198" t="s">
        <v>2272</v>
      </c>
      <c r="AD432" s="4" t="s">
        <v>1956</v>
      </c>
      <c r="AE432" s="4"/>
    </row>
    <row r="433" spans="1:31" ht="56" customHeight="1">
      <c r="A433" s="198" t="s">
        <v>1897</v>
      </c>
      <c r="B433" s="198" t="s">
        <v>1990</v>
      </c>
      <c r="C433" s="198" t="s">
        <v>23</v>
      </c>
      <c r="D433" s="198" t="s">
        <v>26</v>
      </c>
      <c r="E433" s="4" t="s">
        <v>395</v>
      </c>
      <c r="F433" s="4" t="s">
        <v>27</v>
      </c>
      <c r="G433" s="198" t="s">
        <v>2272</v>
      </c>
      <c r="H433" s="4" t="s">
        <v>522</v>
      </c>
      <c r="I433" s="198"/>
      <c r="J433" s="21">
        <v>0</v>
      </c>
      <c r="K433" s="21">
        <v>0</v>
      </c>
      <c r="L433" s="21">
        <v>0</v>
      </c>
      <c r="M433" s="21">
        <v>0</v>
      </c>
      <c r="N433" s="21">
        <v>0</v>
      </c>
      <c r="O433" s="21">
        <v>0</v>
      </c>
      <c r="P433" s="21">
        <v>0</v>
      </c>
      <c r="Q433" s="21">
        <v>0</v>
      </c>
      <c r="R433" s="21" t="s">
        <v>2272</v>
      </c>
      <c r="S433" s="21" t="s">
        <v>2272</v>
      </c>
      <c r="T433" s="21">
        <v>0</v>
      </c>
      <c r="U433" s="21">
        <v>0</v>
      </c>
      <c r="V433" s="21">
        <v>0</v>
      </c>
      <c r="W433" s="21">
        <v>0</v>
      </c>
      <c r="X433" s="21">
        <v>0</v>
      </c>
      <c r="Y433" s="21">
        <v>0</v>
      </c>
      <c r="Z433" s="21" t="s">
        <v>2272</v>
      </c>
      <c r="AA433" s="198" t="s">
        <v>2272</v>
      </c>
      <c r="AB433" s="198" t="s">
        <v>2272</v>
      </c>
      <c r="AC433" s="198" t="s">
        <v>2272</v>
      </c>
      <c r="AD433" s="198" t="s">
        <v>1962</v>
      </c>
      <c r="AE433" s="4"/>
    </row>
    <row r="434" spans="1:31" ht="56" customHeight="1">
      <c r="A434" s="198" t="s">
        <v>1899</v>
      </c>
      <c r="B434" s="198" t="s">
        <v>1991</v>
      </c>
      <c r="C434" s="198" t="s">
        <v>23</v>
      </c>
      <c r="D434" s="198" t="s">
        <v>26</v>
      </c>
      <c r="E434" s="4" t="s">
        <v>395</v>
      </c>
      <c r="F434" s="4" t="s">
        <v>27</v>
      </c>
      <c r="G434" s="198" t="s">
        <v>2272</v>
      </c>
      <c r="H434" s="4" t="s">
        <v>522</v>
      </c>
      <c r="I434" s="198"/>
      <c r="J434" s="21">
        <v>0</v>
      </c>
      <c r="K434" s="21">
        <v>0</v>
      </c>
      <c r="L434" s="21">
        <v>0</v>
      </c>
      <c r="M434" s="21">
        <v>0</v>
      </c>
      <c r="N434" s="21">
        <v>0</v>
      </c>
      <c r="O434" s="21">
        <v>0</v>
      </c>
      <c r="P434" s="21">
        <v>0</v>
      </c>
      <c r="Q434" s="21">
        <v>0</v>
      </c>
      <c r="R434" s="21" t="s">
        <v>2272</v>
      </c>
      <c r="S434" s="21" t="s">
        <v>2272</v>
      </c>
      <c r="T434" s="21">
        <v>0</v>
      </c>
      <c r="U434" s="21">
        <v>0</v>
      </c>
      <c r="V434" s="21">
        <v>0</v>
      </c>
      <c r="W434" s="21">
        <v>0</v>
      </c>
      <c r="X434" s="21">
        <v>0</v>
      </c>
      <c r="Y434" s="21">
        <v>0</v>
      </c>
      <c r="Z434" s="21" t="s">
        <v>2272</v>
      </c>
      <c r="AA434" s="198" t="s">
        <v>2272</v>
      </c>
      <c r="AB434" s="198" t="s">
        <v>2272</v>
      </c>
      <c r="AC434" s="198" t="s">
        <v>2272</v>
      </c>
      <c r="AD434" s="198" t="s">
        <v>1962</v>
      </c>
      <c r="AE434" s="4"/>
    </row>
    <row r="435" spans="1:31" ht="56" customHeight="1">
      <c r="A435" s="198" t="s">
        <v>1900</v>
      </c>
      <c r="B435" s="198" t="s">
        <v>1992</v>
      </c>
      <c r="C435" s="198" t="s">
        <v>23</v>
      </c>
      <c r="D435" s="198" t="s">
        <v>26</v>
      </c>
      <c r="E435" s="4" t="s">
        <v>395</v>
      </c>
      <c r="F435" s="4" t="s">
        <v>27</v>
      </c>
      <c r="G435" s="198" t="s">
        <v>2272</v>
      </c>
      <c r="H435" s="4" t="s">
        <v>522</v>
      </c>
      <c r="I435" s="198"/>
      <c r="J435" s="21">
        <v>0</v>
      </c>
      <c r="K435" s="21">
        <v>0</v>
      </c>
      <c r="L435" s="21">
        <v>0</v>
      </c>
      <c r="M435" s="21">
        <v>0</v>
      </c>
      <c r="N435" s="21">
        <v>0</v>
      </c>
      <c r="O435" s="21">
        <v>0</v>
      </c>
      <c r="P435" s="21">
        <v>0</v>
      </c>
      <c r="Q435" s="21">
        <v>0</v>
      </c>
      <c r="R435" s="21" t="s">
        <v>2272</v>
      </c>
      <c r="S435" s="21" t="s">
        <v>2272</v>
      </c>
      <c r="T435" s="21">
        <v>0</v>
      </c>
      <c r="U435" s="21">
        <v>0</v>
      </c>
      <c r="V435" s="21">
        <v>0</v>
      </c>
      <c r="W435" s="21">
        <v>0</v>
      </c>
      <c r="X435" s="21">
        <v>0</v>
      </c>
      <c r="Y435" s="21">
        <v>0</v>
      </c>
      <c r="Z435" s="21" t="s">
        <v>2272</v>
      </c>
      <c r="AA435" s="198" t="s">
        <v>2272</v>
      </c>
      <c r="AB435" s="198" t="s">
        <v>2272</v>
      </c>
      <c r="AC435" s="198" t="s">
        <v>2272</v>
      </c>
      <c r="AD435" s="198" t="s">
        <v>1962</v>
      </c>
      <c r="AE435" s="4"/>
    </row>
    <row r="436" spans="1:31" ht="56" customHeight="1">
      <c r="A436" s="198" t="s">
        <v>1901</v>
      </c>
      <c r="B436" s="198" t="s">
        <v>1993</v>
      </c>
      <c r="C436" s="198" t="s">
        <v>23</v>
      </c>
      <c r="D436" s="198" t="s">
        <v>26</v>
      </c>
      <c r="E436" s="4" t="s">
        <v>128</v>
      </c>
      <c r="F436" s="4" t="s">
        <v>159</v>
      </c>
      <c r="G436" s="198" t="s">
        <v>2272</v>
      </c>
      <c r="H436" s="4" t="s">
        <v>521</v>
      </c>
      <c r="I436" s="198"/>
      <c r="J436" s="21" t="s">
        <v>2272</v>
      </c>
      <c r="K436" s="21" t="s">
        <v>2272</v>
      </c>
      <c r="L436" s="21" t="s">
        <v>2272</v>
      </c>
      <c r="M436" s="21" t="s">
        <v>2272</v>
      </c>
      <c r="N436" s="21" t="s">
        <v>2272</v>
      </c>
      <c r="O436" s="21" t="s">
        <v>2272</v>
      </c>
      <c r="P436" s="21" t="s">
        <v>2272</v>
      </c>
      <c r="Q436" s="21" t="s">
        <v>2272</v>
      </c>
      <c r="R436" s="21" t="s">
        <v>2272</v>
      </c>
      <c r="S436" s="21" t="s">
        <v>2272</v>
      </c>
      <c r="T436" s="21" t="s">
        <v>2272</v>
      </c>
      <c r="U436" s="21" t="s">
        <v>2272</v>
      </c>
      <c r="V436" s="21" t="s">
        <v>2272</v>
      </c>
      <c r="W436" s="21" t="s">
        <v>2272</v>
      </c>
      <c r="X436" s="21" t="s">
        <v>2272</v>
      </c>
      <c r="Y436" s="21" t="s">
        <v>2272</v>
      </c>
      <c r="Z436" s="21" t="s">
        <v>2272</v>
      </c>
      <c r="AA436" s="198" t="s">
        <v>2272</v>
      </c>
      <c r="AB436" s="198" t="s">
        <v>2272</v>
      </c>
      <c r="AC436" s="198" t="s">
        <v>2272</v>
      </c>
      <c r="AD436" s="4" t="s">
        <v>1967</v>
      </c>
      <c r="AE436" s="4"/>
    </row>
    <row r="437" spans="1:31" ht="56" customHeight="1">
      <c r="A437" s="198" t="s">
        <v>1902</v>
      </c>
      <c r="B437" s="198" t="s">
        <v>1994</v>
      </c>
      <c r="C437" s="198" t="s">
        <v>23</v>
      </c>
      <c r="D437" s="198" t="s">
        <v>26</v>
      </c>
      <c r="E437" s="4" t="s">
        <v>128</v>
      </c>
      <c r="F437" s="4" t="s">
        <v>159</v>
      </c>
      <c r="G437" s="198" t="s">
        <v>2272</v>
      </c>
      <c r="H437" s="4" t="s">
        <v>521</v>
      </c>
      <c r="I437" s="198"/>
      <c r="J437" s="21" t="s">
        <v>2272</v>
      </c>
      <c r="K437" s="21" t="s">
        <v>2272</v>
      </c>
      <c r="L437" s="21" t="s">
        <v>2272</v>
      </c>
      <c r="M437" s="21" t="s">
        <v>2272</v>
      </c>
      <c r="N437" s="21" t="s">
        <v>2272</v>
      </c>
      <c r="O437" s="21" t="s">
        <v>2272</v>
      </c>
      <c r="P437" s="21" t="s">
        <v>2272</v>
      </c>
      <c r="Q437" s="21" t="s">
        <v>2272</v>
      </c>
      <c r="R437" s="21" t="s">
        <v>2272</v>
      </c>
      <c r="S437" s="21" t="s">
        <v>2272</v>
      </c>
      <c r="T437" s="21" t="s">
        <v>2272</v>
      </c>
      <c r="U437" s="21" t="s">
        <v>2272</v>
      </c>
      <c r="V437" s="21" t="s">
        <v>2272</v>
      </c>
      <c r="W437" s="21" t="s">
        <v>2272</v>
      </c>
      <c r="X437" s="21" t="s">
        <v>2272</v>
      </c>
      <c r="Y437" s="21" t="s">
        <v>2272</v>
      </c>
      <c r="Z437" s="21" t="s">
        <v>2272</v>
      </c>
      <c r="AA437" s="198" t="s">
        <v>2272</v>
      </c>
      <c r="AB437" s="198" t="s">
        <v>2272</v>
      </c>
      <c r="AC437" s="198" t="s">
        <v>2272</v>
      </c>
      <c r="AD437" s="4" t="s">
        <v>1967</v>
      </c>
      <c r="AE437" s="4"/>
    </row>
    <row r="438" spans="1:31" ht="56" customHeight="1">
      <c r="A438" s="198" t="s">
        <v>1903</v>
      </c>
      <c r="B438" s="198" t="s">
        <v>1995</v>
      </c>
      <c r="C438" s="198" t="s">
        <v>23</v>
      </c>
      <c r="D438" s="198" t="s">
        <v>26</v>
      </c>
      <c r="E438" s="4" t="s">
        <v>128</v>
      </c>
      <c r="F438" s="4" t="s">
        <v>73</v>
      </c>
      <c r="G438" s="198" t="s">
        <v>2272</v>
      </c>
      <c r="H438" s="4" t="s">
        <v>521</v>
      </c>
      <c r="I438" s="198"/>
      <c r="J438" s="21" t="s">
        <v>2272</v>
      </c>
      <c r="K438" s="21" t="s">
        <v>2272</v>
      </c>
      <c r="L438" s="21" t="s">
        <v>2272</v>
      </c>
      <c r="M438" s="21" t="s">
        <v>2272</v>
      </c>
      <c r="N438" s="21" t="s">
        <v>2272</v>
      </c>
      <c r="O438" s="21" t="s">
        <v>2272</v>
      </c>
      <c r="P438" s="21" t="s">
        <v>2272</v>
      </c>
      <c r="Q438" s="21" t="s">
        <v>2272</v>
      </c>
      <c r="R438" s="21" t="s">
        <v>2272</v>
      </c>
      <c r="S438" s="21" t="s">
        <v>2272</v>
      </c>
      <c r="T438" s="21" t="s">
        <v>2272</v>
      </c>
      <c r="U438" s="21" t="s">
        <v>2272</v>
      </c>
      <c r="V438" s="21" t="s">
        <v>2272</v>
      </c>
      <c r="W438" s="21" t="s">
        <v>2272</v>
      </c>
      <c r="X438" s="21" t="s">
        <v>2272</v>
      </c>
      <c r="Y438" s="21" t="s">
        <v>2272</v>
      </c>
      <c r="Z438" s="21" t="s">
        <v>2272</v>
      </c>
      <c r="AA438" s="198" t="s">
        <v>2272</v>
      </c>
      <c r="AB438" s="198" t="s">
        <v>2272</v>
      </c>
      <c r="AC438" s="198" t="s">
        <v>2272</v>
      </c>
      <c r="AD438" s="4" t="s">
        <v>1966</v>
      </c>
      <c r="AE438" s="4"/>
    </row>
    <row r="439" spans="1:31" ht="56" customHeight="1">
      <c r="A439" s="198" t="s">
        <v>1903</v>
      </c>
      <c r="B439" s="198" t="s">
        <v>1996</v>
      </c>
      <c r="C439" s="198" t="s">
        <v>23</v>
      </c>
      <c r="D439" s="198" t="s">
        <v>26</v>
      </c>
      <c r="E439" s="4" t="s">
        <v>128</v>
      </c>
      <c r="F439" s="4" t="s">
        <v>159</v>
      </c>
      <c r="G439" s="198" t="s">
        <v>2272</v>
      </c>
      <c r="H439" s="4" t="s">
        <v>521</v>
      </c>
      <c r="I439" s="198"/>
      <c r="J439" s="21" t="s">
        <v>2272</v>
      </c>
      <c r="K439" s="21" t="s">
        <v>2272</v>
      </c>
      <c r="L439" s="21" t="s">
        <v>2272</v>
      </c>
      <c r="M439" s="21" t="s">
        <v>2272</v>
      </c>
      <c r="N439" s="21" t="s">
        <v>2272</v>
      </c>
      <c r="O439" s="21" t="s">
        <v>2272</v>
      </c>
      <c r="P439" s="21" t="s">
        <v>2272</v>
      </c>
      <c r="Q439" s="21" t="s">
        <v>2272</v>
      </c>
      <c r="R439" s="21" t="s">
        <v>2272</v>
      </c>
      <c r="S439" s="21" t="s">
        <v>2272</v>
      </c>
      <c r="T439" s="21" t="s">
        <v>2272</v>
      </c>
      <c r="U439" s="21" t="s">
        <v>2272</v>
      </c>
      <c r="V439" s="21" t="s">
        <v>2272</v>
      </c>
      <c r="W439" s="21" t="s">
        <v>2272</v>
      </c>
      <c r="X439" s="21" t="s">
        <v>2272</v>
      </c>
      <c r="Y439" s="21" t="s">
        <v>2272</v>
      </c>
      <c r="Z439" s="21" t="s">
        <v>2272</v>
      </c>
      <c r="AA439" s="198" t="s">
        <v>2272</v>
      </c>
      <c r="AB439" s="198" t="s">
        <v>2272</v>
      </c>
      <c r="AC439" s="198" t="s">
        <v>2272</v>
      </c>
      <c r="AD439" s="4" t="s">
        <v>1966</v>
      </c>
      <c r="AE439" s="4"/>
    </row>
    <row r="440" spans="1:31" ht="56" customHeight="1">
      <c r="A440" s="198" t="s">
        <v>1904</v>
      </c>
      <c r="B440" s="198" t="s">
        <v>1997</v>
      </c>
      <c r="C440" s="198" t="s">
        <v>23</v>
      </c>
      <c r="D440" s="198" t="s">
        <v>26</v>
      </c>
      <c r="E440" s="4" t="s">
        <v>128</v>
      </c>
      <c r="F440" s="4" t="s">
        <v>159</v>
      </c>
      <c r="G440" s="198" t="s">
        <v>2272</v>
      </c>
      <c r="H440" s="4" t="s">
        <v>521</v>
      </c>
      <c r="I440" s="198"/>
      <c r="J440" s="21" t="s">
        <v>2272</v>
      </c>
      <c r="K440" s="21" t="s">
        <v>2272</v>
      </c>
      <c r="L440" s="21" t="s">
        <v>2272</v>
      </c>
      <c r="M440" s="21" t="s">
        <v>2272</v>
      </c>
      <c r="N440" s="21" t="s">
        <v>2272</v>
      </c>
      <c r="O440" s="21" t="s">
        <v>2272</v>
      </c>
      <c r="P440" s="21" t="s">
        <v>2272</v>
      </c>
      <c r="Q440" s="21" t="s">
        <v>2272</v>
      </c>
      <c r="R440" s="21" t="s">
        <v>2272</v>
      </c>
      <c r="S440" s="21" t="s">
        <v>2272</v>
      </c>
      <c r="T440" s="21" t="s">
        <v>2272</v>
      </c>
      <c r="U440" s="21" t="s">
        <v>2272</v>
      </c>
      <c r="V440" s="21" t="s">
        <v>2272</v>
      </c>
      <c r="W440" s="21" t="s">
        <v>2272</v>
      </c>
      <c r="X440" s="21" t="s">
        <v>2272</v>
      </c>
      <c r="Y440" s="21" t="s">
        <v>2272</v>
      </c>
      <c r="Z440" s="21" t="s">
        <v>2272</v>
      </c>
      <c r="AA440" s="198" t="s">
        <v>2272</v>
      </c>
      <c r="AB440" s="198" t="s">
        <v>2272</v>
      </c>
      <c r="AC440" s="198" t="s">
        <v>2272</v>
      </c>
      <c r="AD440" s="4" t="s">
        <v>1967</v>
      </c>
      <c r="AE440" s="4"/>
    </row>
    <row r="441" spans="1:31" ht="56" customHeight="1">
      <c r="A441" s="198" t="s">
        <v>1905</v>
      </c>
      <c r="B441" s="198" t="s">
        <v>1998</v>
      </c>
      <c r="C441" s="198" t="s">
        <v>23</v>
      </c>
      <c r="D441" s="198" t="s">
        <v>26</v>
      </c>
      <c r="E441" s="4" t="s">
        <v>128</v>
      </c>
      <c r="F441" s="4" t="s">
        <v>159</v>
      </c>
      <c r="G441" s="198" t="s">
        <v>2272</v>
      </c>
      <c r="H441" s="4" t="s">
        <v>521</v>
      </c>
      <c r="I441" s="198"/>
      <c r="J441" s="21" t="s">
        <v>2272</v>
      </c>
      <c r="K441" s="21" t="s">
        <v>2272</v>
      </c>
      <c r="L441" s="21" t="s">
        <v>2272</v>
      </c>
      <c r="M441" s="21" t="s">
        <v>2272</v>
      </c>
      <c r="N441" s="21" t="s">
        <v>2272</v>
      </c>
      <c r="O441" s="21" t="s">
        <v>2272</v>
      </c>
      <c r="P441" s="21" t="s">
        <v>2272</v>
      </c>
      <c r="Q441" s="21" t="s">
        <v>2272</v>
      </c>
      <c r="R441" s="21" t="s">
        <v>2272</v>
      </c>
      <c r="S441" s="21" t="s">
        <v>2272</v>
      </c>
      <c r="T441" s="21" t="s">
        <v>2272</v>
      </c>
      <c r="U441" s="21" t="s">
        <v>2272</v>
      </c>
      <c r="V441" s="21" t="s">
        <v>2272</v>
      </c>
      <c r="W441" s="21" t="s">
        <v>2272</v>
      </c>
      <c r="X441" s="21" t="s">
        <v>2272</v>
      </c>
      <c r="Y441" s="21" t="s">
        <v>2272</v>
      </c>
      <c r="Z441" s="21" t="s">
        <v>2272</v>
      </c>
      <c r="AA441" s="198" t="s">
        <v>2272</v>
      </c>
      <c r="AB441" s="198" t="s">
        <v>2272</v>
      </c>
      <c r="AC441" s="198" t="s">
        <v>2272</v>
      </c>
      <c r="AD441" s="4" t="s">
        <v>1967</v>
      </c>
      <c r="AE441" s="4"/>
    </row>
    <row r="442" spans="1:31" ht="56" customHeight="1">
      <c r="A442" s="198" t="s">
        <v>1906</v>
      </c>
      <c r="B442" s="198" t="s">
        <v>1999</v>
      </c>
      <c r="C442" s="198" t="s">
        <v>23</v>
      </c>
      <c r="D442" s="198" t="s">
        <v>26</v>
      </c>
      <c r="E442" s="4" t="s">
        <v>395</v>
      </c>
      <c r="F442" s="4" t="s">
        <v>27</v>
      </c>
      <c r="G442" s="198" t="s">
        <v>2272</v>
      </c>
      <c r="H442" s="4" t="s">
        <v>522</v>
      </c>
      <c r="I442" s="198"/>
      <c r="J442" s="21">
        <v>0</v>
      </c>
      <c r="K442" s="21">
        <v>0</v>
      </c>
      <c r="L442" s="21">
        <v>0</v>
      </c>
      <c r="M442" s="21">
        <v>0</v>
      </c>
      <c r="N442" s="21">
        <v>0</v>
      </c>
      <c r="O442" s="21">
        <v>0</v>
      </c>
      <c r="P442" s="21">
        <v>0</v>
      </c>
      <c r="Q442" s="21">
        <v>0</v>
      </c>
      <c r="R442" s="21" t="s">
        <v>2272</v>
      </c>
      <c r="S442" s="21" t="s">
        <v>2272</v>
      </c>
      <c r="T442" s="21">
        <v>0</v>
      </c>
      <c r="U442" s="21">
        <v>0</v>
      </c>
      <c r="V442" s="21">
        <v>0</v>
      </c>
      <c r="W442" s="21">
        <v>0</v>
      </c>
      <c r="X442" s="21">
        <v>0</v>
      </c>
      <c r="Y442" s="21">
        <v>0</v>
      </c>
      <c r="Z442" s="21" t="s">
        <v>2272</v>
      </c>
      <c r="AA442" s="198" t="s">
        <v>2272</v>
      </c>
      <c r="AB442" s="198" t="s">
        <v>2272</v>
      </c>
      <c r="AC442" s="198" t="s">
        <v>2272</v>
      </c>
      <c r="AD442" s="198" t="s">
        <v>1962</v>
      </c>
      <c r="AE442" s="4"/>
    </row>
    <row r="443" spans="1:31" ht="55" customHeight="1">
      <c r="A443" s="198" t="s">
        <v>586</v>
      </c>
      <c r="B443" s="198" t="s">
        <v>589</v>
      </c>
      <c r="C443" s="198" t="s">
        <v>23</v>
      </c>
      <c r="D443" s="198" t="s">
        <v>26</v>
      </c>
      <c r="E443" s="4" t="s">
        <v>128</v>
      </c>
      <c r="F443" s="4" t="s">
        <v>159</v>
      </c>
      <c r="G443" s="198" t="s">
        <v>2272</v>
      </c>
      <c r="H443" s="4" t="s">
        <v>521</v>
      </c>
      <c r="I443" s="198"/>
      <c r="J443" s="198" t="s">
        <v>2272</v>
      </c>
      <c r="K443" s="198" t="s">
        <v>2272</v>
      </c>
      <c r="L443" s="198" t="s">
        <v>2272</v>
      </c>
      <c r="M443" s="198" t="s">
        <v>2272</v>
      </c>
      <c r="N443" s="198" t="s">
        <v>2272</v>
      </c>
      <c r="O443" s="198" t="s">
        <v>2272</v>
      </c>
      <c r="P443" s="198" t="s">
        <v>2272</v>
      </c>
      <c r="Q443" s="198" t="s">
        <v>2272</v>
      </c>
      <c r="R443" s="21" t="s">
        <v>2272</v>
      </c>
      <c r="S443" s="21" t="s">
        <v>2272</v>
      </c>
      <c r="T443" s="198" t="s">
        <v>2272</v>
      </c>
      <c r="U443" s="198" t="s">
        <v>2272</v>
      </c>
      <c r="V443" s="198" t="s">
        <v>2272</v>
      </c>
      <c r="W443" s="198" t="s">
        <v>2272</v>
      </c>
      <c r="X443" s="198" t="s">
        <v>2272</v>
      </c>
      <c r="Y443" s="198" t="s">
        <v>2272</v>
      </c>
      <c r="Z443" s="198" t="s">
        <v>2272</v>
      </c>
      <c r="AA443" s="198" t="s">
        <v>2272</v>
      </c>
      <c r="AB443" s="198" t="s">
        <v>2272</v>
      </c>
      <c r="AC443" s="198" t="s">
        <v>2272</v>
      </c>
      <c r="AD443" s="4" t="s">
        <v>2005</v>
      </c>
      <c r="AE443" s="4" t="s">
        <v>706</v>
      </c>
    </row>
    <row r="444" spans="1:31" ht="103" customHeight="1">
      <c r="A444" s="198" t="s">
        <v>586</v>
      </c>
      <c r="B444" s="198" t="s">
        <v>591</v>
      </c>
      <c r="C444" s="198" t="s">
        <v>23</v>
      </c>
      <c r="D444" s="198" t="s">
        <v>141</v>
      </c>
      <c r="E444" s="4" t="s">
        <v>128</v>
      </c>
      <c r="F444" s="4" t="s">
        <v>73</v>
      </c>
      <c r="G444" s="4" t="s">
        <v>73</v>
      </c>
      <c r="H444" s="4" t="s">
        <v>521</v>
      </c>
      <c r="I444" s="198"/>
      <c r="J444" s="198" t="s">
        <v>2272</v>
      </c>
      <c r="K444" s="198" t="s">
        <v>2272</v>
      </c>
      <c r="L444" s="198" t="s">
        <v>2272</v>
      </c>
      <c r="M444" s="198" t="s">
        <v>2272</v>
      </c>
      <c r="N444" s="198" t="s">
        <v>2272</v>
      </c>
      <c r="O444" s="198" t="s">
        <v>2272</v>
      </c>
      <c r="P444" s="198" t="s">
        <v>2272</v>
      </c>
      <c r="Q444" s="198" t="s">
        <v>2272</v>
      </c>
      <c r="R444" s="21" t="s">
        <v>2272</v>
      </c>
      <c r="S444" s="21" t="s">
        <v>2272</v>
      </c>
      <c r="T444" s="198" t="s">
        <v>2272</v>
      </c>
      <c r="U444" s="198" t="s">
        <v>2272</v>
      </c>
      <c r="V444" s="198" t="s">
        <v>2272</v>
      </c>
      <c r="W444" s="198" t="s">
        <v>2272</v>
      </c>
      <c r="X444" s="198" t="s">
        <v>2272</v>
      </c>
      <c r="Y444" s="198" t="s">
        <v>2272</v>
      </c>
      <c r="Z444" s="198" t="s">
        <v>2272</v>
      </c>
      <c r="AA444" s="198" t="s">
        <v>2272</v>
      </c>
      <c r="AB444" s="198" t="s">
        <v>2272</v>
      </c>
      <c r="AC444" s="198" t="s">
        <v>2272</v>
      </c>
      <c r="AD444" s="198"/>
      <c r="AE444" s="4" t="s">
        <v>2004</v>
      </c>
    </row>
    <row r="445" spans="1:31" ht="51" customHeight="1">
      <c r="A445" s="198" t="s">
        <v>590</v>
      </c>
      <c r="B445" s="198" t="s">
        <v>596</v>
      </c>
      <c r="C445" s="198" t="s">
        <v>23</v>
      </c>
      <c r="D445" s="198" t="s">
        <v>26</v>
      </c>
      <c r="E445" s="4" t="s">
        <v>128</v>
      </c>
      <c r="F445" s="4" t="s">
        <v>159</v>
      </c>
      <c r="G445" s="198" t="s">
        <v>2272</v>
      </c>
      <c r="H445" s="4" t="s">
        <v>521</v>
      </c>
      <c r="I445" s="198"/>
      <c r="J445" s="198" t="s">
        <v>2272</v>
      </c>
      <c r="K445" s="198" t="s">
        <v>2272</v>
      </c>
      <c r="L445" s="198" t="s">
        <v>2272</v>
      </c>
      <c r="M445" s="198" t="s">
        <v>2272</v>
      </c>
      <c r="N445" s="198" t="s">
        <v>2272</v>
      </c>
      <c r="O445" s="198" t="s">
        <v>2272</v>
      </c>
      <c r="P445" s="198" t="s">
        <v>2272</v>
      </c>
      <c r="Q445" s="198" t="s">
        <v>2272</v>
      </c>
      <c r="R445" s="21" t="s">
        <v>2272</v>
      </c>
      <c r="S445" s="21" t="s">
        <v>2272</v>
      </c>
      <c r="T445" s="198" t="s">
        <v>2272</v>
      </c>
      <c r="U445" s="198" t="s">
        <v>2272</v>
      </c>
      <c r="V445" s="198" t="s">
        <v>2272</v>
      </c>
      <c r="W445" s="198" t="s">
        <v>2272</v>
      </c>
      <c r="X445" s="198" t="s">
        <v>2272</v>
      </c>
      <c r="Y445" s="198" t="s">
        <v>2272</v>
      </c>
      <c r="Z445" s="198" t="s">
        <v>2272</v>
      </c>
      <c r="AA445" s="198" t="s">
        <v>2272</v>
      </c>
      <c r="AB445" s="198" t="s">
        <v>2272</v>
      </c>
      <c r="AC445" s="198" t="s">
        <v>2272</v>
      </c>
      <c r="AD445" s="4" t="s">
        <v>2005</v>
      </c>
      <c r="AE445" s="4" t="s">
        <v>706</v>
      </c>
    </row>
    <row r="446" spans="1:31" ht="104.5" customHeight="1">
      <c r="A446" s="198" t="s">
        <v>590</v>
      </c>
      <c r="B446" s="198" t="s">
        <v>615</v>
      </c>
      <c r="C446" s="198" t="s">
        <v>23</v>
      </c>
      <c r="D446" s="198" t="s">
        <v>141</v>
      </c>
      <c r="E446" s="4" t="s">
        <v>128</v>
      </c>
      <c r="F446" s="4" t="s">
        <v>73</v>
      </c>
      <c r="G446" s="4" t="s">
        <v>73</v>
      </c>
      <c r="H446" s="4" t="s">
        <v>521</v>
      </c>
      <c r="I446" s="198"/>
      <c r="J446" s="198" t="s">
        <v>2272</v>
      </c>
      <c r="K446" s="198" t="s">
        <v>2272</v>
      </c>
      <c r="L446" s="198" t="s">
        <v>2272</v>
      </c>
      <c r="M446" s="198" t="s">
        <v>2272</v>
      </c>
      <c r="N446" s="198" t="s">
        <v>2272</v>
      </c>
      <c r="O446" s="198" t="s">
        <v>2272</v>
      </c>
      <c r="P446" s="198" t="s">
        <v>2272</v>
      </c>
      <c r="Q446" s="198" t="s">
        <v>2272</v>
      </c>
      <c r="R446" s="21" t="s">
        <v>2272</v>
      </c>
      <c r="S446" s="21" t="s">
        <v>2272</v>
      </c>
      <c r="T446" s="198" t="s">
        <v>2272</v>
      </c>
      <c r="U446" s="198" t="s">
        <v>2272</v>
      </c>
      <c r="V446" s="198" t="s">
        <v>2272</v>
      </c>
      <c r="W446" s="198" t="s">
        <v>2272</v>
      </c>
      <c r="X446" s="198" t="s">
        <v>2272</v>
      </c>
      <c r="Y446" s="198" t="s">
        <v>2272</v>
      </c>
      <c r="Z446" s="198" t="s">
        <v>2272</v>
      </c>
      <c r="AA446" s="198" t="s">
        <v>2272</v>
      </c>
      <c r="AB446" s="198" t="s">
        <v>2272</v>
      </c>
      <c r="AC446" s="198" t="s">
        <v>2272</v>
      </c>
      <c r="AD446" s="198"/>
      <c r="AE446" s="4" t="s">
        <v>2004</v>
      </c>
    </row>
    <row r="447" spans="1:31" ht="67.5" customHeight="1">
      <c r="A447" s="198" t="s">
        <v>592</v>
      </c>
      <c r="B447" s="198" t="s">
        <v>594</v>
      </c>
      <c r="C447" s="198" t="s">
        <v>23</v>
      </c>
      <c r="D447" s="198" t="s">
        <v>26</v>
      </c>
      <c r="E447" s="4" t="s">
        <v>128</v>
      </c>
      <c r="F447" s="4" t="s">
        <v>159</v>
      </c>
      <c r="G447" s="198" t="s">
        <v>2272</v>
      </c>
      <c r="H447" s="4" t="s">
        <v>521</v>
      </c>
      <c r="I447" s="198"/>
      <c r="J447" s="198" t="s">
        <v>2272</v>
      </c>
      <c r="K447" s="198" t="s">
        <v>2272</v>
      </c>
      <c r="L447" s="198" t="s">
        <v>2272</v>
      </c>
      <c r="M447" s="198" t="s">
        <v>2272</v>
      </c>
      <c r="N447" s="198" t="s">
        <v>2272</v>
      </c>
      <c r="O447" s="198" t="s">
        <v>2272</v>
      </c>
      <c r="P447" s="198" t="s">
        <v>2272</v>
      </c>
      <c r="Q447" s="198" t="s">
        <v>2272</v>
      </c>
      <c r="R447" s="21" t="s">
        <v>2272</v>
      </c>
      <c r="S447" s="21" t="s">
        <v>2272</v>
      </c>
      <c r="T447" s="198" t="s">
        <v>2272</v>
      </c>
      <c r="U447" s="198" t="s">
        <v>2272</v>
      </c>
      <c r="V447" s="198" t="s">
        <v>2272</v>
      </c>
      <c r="W447" s="198" t="s">
        <v>2272</v>
      </c>
      <c r="X447" s="198" t="s">
        <v>2272</v>
      </c>
      <c r="Y447" s="198" t="s">
        <v>2272</v>
      </c>
      <c r="Z447" s="198" t="s">
        <v>2272</v>
      </c>
      <c r="AA447" s="198" t="s">
        <v>2272</v>
      </c>
      <c r="AB447" s="198" t="s">
        <v>2272</v>
      </c>
      <c r="AC447" s="198" t="s">
        <v>2272</v>
      </c>
      <c r="AD447" s="4" t="s">
        <v>2005</v>
      </c>
      <c r="AE447" s="4" t="s">
        <v>706</v>
      </c>
    </row>
    <row r="448" spans="1:31" ht="101.5" customHeight="1">
      <c r="A448" s="198" t="s">
        <v>592</v>
      </c>
      <c r="B448" s="198" t="s">
        <v>616</v>
      </c>
      <c r="C448" s="198" t="s">
        <v>23</v>
      </c>
      <c r="D448" s="198" t="s">
        <v>141</v>
      </c>
      <c r="E448" s="4" t="s">
        <v>128</v>
      </c>
      <c r="F448" s="4" t="s">
        <v>73</v>
      </c>
      <c r="G448" s="4" t="s">
        <v>73</v>
      </c>
      <c r="H448" s="4" t="s">
        <v>521</v>
      </c>
      <c r="I448" s="198"/>
      <c r="J448" s="198" t="s">
        <v>2272</v>
      </c>
      <c r="K448" s="198" t="s">
        <v>2272</v>
      </c>
      <c r="L448" s="198" t="s">
        <v>2272</v>
      </c>
      <c r="M448" s="198" t="s">
        <v>2272</v>
      </c>
      <c r="N448" s="198" t="s">
        <v>2272</v>
      </c>
      <c r="O448" s="198" t="s">
        <v>2272</v>
      </c>
      <c r="P448" s="198" t="s">
        <v>2272</v>
      </c>
      <c r="Q448" s="198" t="s">
        <v>2272</v>
      </c>
      <c r="R448" s="21" t="s">
        <v>2272</v>
      </c>
      <c r="S448" s="21" t="s">
        <v>2272</v>
      </c>
      <c r="T448" s="198" t="s">
        <v>2272</v>
      </c>
      <c r="U448" s="198" t="s">
        <v>2272</v>
      </c>
      <c r="V448" s="198" t="s">
        <v>2272</v>
      </c>
      <c r="W448" s="198" t="s">
        <v>2272</v>
      </c>
      <c r="X448" s="198" t="s">
        <v>2272</v>
      </c>
      <c r="Y448" s="198" t="s">
        <v>2272</v>
      </c>
      <c r="Z448" s="198" t="s">
        <v>2272</v>
      </c>
      <c r="AA448" s="198" t="s">
        <v>2272</v>
      </c>
      <c r="AB448" s="198" t="s">
        <v>2272</v>
      </c>
      <c r="AC448" s="198" t="s">
        <v>2272</v>
      </c>
      <c r="AD448" s="198"/>
      <c r="AE448" s="4" t="s">
        <v>2004</v>
      </c>
    </row>
    <row r="449" spans="1:31" ht="63.5" customHeight="1">
      <c r="A449" s="198" t="s">
        <v>595</v>
      </c>
      <c r="B449" s="198" t="s">
        <v>597</v>
      </c>
      <c r="C449" s="198" t="s">
        <v>23</v>
      </c>
      <c r="D449" s="198" t="s">
        <v>26</v>
      </c>
      <c r="E449" s="4" t="s">
        <v>128</v>
      </c>
      <c r="F449" s="4" t="s">
        <v>159</v>
      </c>
      <c r="G449" s="198" t="s">
        <v>2272</v>
      </c>
      <c r="H449" s="4" t="s">
        <v>521</v>
      </c>
      <c r="I449" s="198"/>
      <c r="J449" s="198" t="s">
        <v>2272</v>
      </c>
      <c r="K449" s="198" t="s">
        <v>2272</v>
      </c>
      <c r="L449" s="198" t="s">
        <v>2272</v>
      </c>
      <c r="M449" s="198" t="s">
        <v>2272</v>
      </c>
      <c r="N449" s="198" t="s">
        <v>2272</v>
      </c>
      <c r="O449" s="198" t="s">
        <v>2272</v>
      </c>
      <c r="P449" s="198" t="s">
        <v>2272</v>
      </c>
      <c r="Q449" s="198" t="s">
        <v>2272</v>
      </c>
      <c r="R449" s="21" t="s">
        <v>2272</v>
      </c>
      <c r="S449" s="21" t="s">
        <v>2272</v>
      </c>
      <c r="T449" s="198" t="s">
        <v>2272</v>
      </c>
      <c r="U449" s="198" t="s">
        <v>2272</v>
      </c>
      <c r="V449" s="198" t="s">
        <v>2272</v>
      </c>
      <c r="W449" s="198" t="s">
        <v>2272</v>
      </c>
      <c r="X449" s="198" t="s">
        <v>2272</v>
      </c>
      <c r="Y449" s="198" t="s">
        <v>2272</v>
      </c>
      <c r="Z449" s="198" t="s">
        <v>2272</v>
      </c>
      <c r="AA449" s="198" t="s">
        <v>2272</v>
      </c>
      <c r="AB449" s="198" t="s">
        <v>2272</v>
      </c>
      <c r="AC449" s="198" t="s">
        <v>2272</v>
      </c>
      <c r="AD449" s="4" t="s">
        <v>2005</v>
      </c>
      <c r="AE449" s="4" t="s">
        <v>706</v>
      </c>
    </row>
    <row r="450" spans="1:31" ht="110" customHeight="1">
      <c r="A450" s="198" t="s">
        <v>595</v>
      </c>
      <c r="B450" s="198" t="s">
        <v>617</v>
      </c>
      <c r="C450" s="198" t="s">
        <v>23</v>
      </c>
      <c r="D450" s="198" t="s">
        <v>141</v>
      </c>
      <c r="E450" s="4" t="s">
        <v>128</v>
      </c>
      <c r="F450" s="4" t="s">
        <v>73</v>
      </c>
      <c r="G450" s="4" t="s">
        <v>73</v>
      </c>
      <c r="H450" s="4" t="s">
        <v>521</v>
      </c>
      <c r="I450" s="198"/>
      <c r="J450" s="198" t="s">
        <v>2272</v>
      </c>
      <c r="K450" s="198" t="s">
        <v>2272</v>
      </c>
      <c r="L450" s="198" t="s">
        <v>2272</v>
      </c>
      <c r="M450" s="198" t="s">
        <v>2272</v>
      </c>
      <c r="N450" s="198" t="s">
        <v>2272</v>
      </c>
      <c r="O450" s="198" t="s">
        <v>2272</v>
      </c>
      <c r="P450" s="198" t="s">
        <v>2272</v>
      </c>
      <c r="Q450" s="198" t="s">
        <v>2272</v>
      </c>
      <c r="R450" s="21" t="s">
        <v>2272</v>
      </c>
      <c r="S450" s="21" t="s">
        <v>2272</v>
      </c>
      <c r="T450" s="198" t="s">
        <v>2272</v>
      </c>
      <c r="U450" s="198" t="s">
        <v>2272</v>
      </c>
      <c r="V450" s="198" t="s">
        <v>2272</v>
      </c>
      <c r="W450" s="198" t="s">
        <v>2272</v>
      </c>
      <c r="X450" s="198" t="s">
        <v>2272</v>
      </c>
      <c r="Y450" s="198" t="s">
        <v>2272</v>
      </c>
      <c r="Z450" s="198" t="s">
        <v>2272</v>
      </c>
      <c r="AA450" s="198" t="s">
        <v>2272</v>
      </c>
      <c r="AB450" s="198" t="s">
        <v>2272</v>
      </c>
      <c r="AC450" s="198" t="s">
        <v>2272</v>
      </c>
      <c r="AD450" s="198"/>
      <c r="AE450" s="4" t="s">
        <v>2004</v>
      </c>
    </row>
    <row r="451" spans="1:31" ht="62" customHeight="1">
      <c r="A451" s="198" t="s">
        <v>598</v>
      </c>
      <c r="B451" s="198" t="s">
        <v>599</v>
      </c>
      <c r="C451" s="198" t="s">
        <v>23</v>
      </c>
      <c r="D451" s="198" t="s">
        <v>26</v>
      </c>
      <c r="E451" s="4" t="s">
        <v>128</v>
      </c>
      <c r="F451" s="4" t="s">
        <v>159</v>
      </c>
      <c r="G451" s="198" t="s">
        <v>2272</v>
      </c>
      <c r="H451" s="4" t="s">
        <v>521</v>
      </c>
      <c r="I451" s="198"/>
      <c r="J451" s="198" t="s">
        <v>2272</v>
      </c>
      <c r="K451" s="198" t="s">
        <v>2272</v>
      </c>
      <c r="L451" s="198" t="s">
        <v>2272</v>
      </c>
      <c r="M451" s="198" t="s">
        <v>2272</v>
      </c>
      <c r="N451" s="198" t="s">
        <v>2272</v>
      </c>
      <c r="O451" s="198" t="s">
        <v>2272</v>
      </c>
      <c r="P451" s="198" t="s">
        <v>2272</v>
      </c>
      <c r="Q451" s="198" t="s">
        <v>2272</v>
      </c>
      <c r="R451" s="21" t="s">
        <v>2272</v>
      </c>
      <c r="S451" s="21" t="s">
        <v>2272</v>
      </c>
      <c r="T451" s="198" t="s">
        <v>2272</v>
      </c>
      <c r="U451" s="198" t="s">
        <v>2272</v>
      </c>
      <c r="V451" s="198" t="s">
        <v>2272</v>
      </c>
      <c r="W451" s="198" t="s">
        <v>2272</v>
      </c>
      <c r="X451" s="198" t="s">
        <v>2272</v>
      </c>
      <c r="Y451" s="198" t="s">
        <v>2272</v>
      </c>
      <c r="Z451" s="198" t="s">
        <v>2272</v>
      </c>
      <c r="AA451" s="198" t="s">
        <v>2272</v>
      </c>
      <c r="AB451" s="198" t="s">
        <v>2272</v>
      </c>
      <c r="AC451" s="198" t="s">
        <v>2272</v>
      </c>
      <c r="AD451" s="4" t="s">
        <v>2005</v>
      </c>
      <c r="AE451" s="4" t="s">
        <v>706</v>
      </c>
    </row>
    <row r="452" spans="1:31" ht="114" customHeight="1">
      <c r="A452" s="198" t="s">
        <v>598</v>
      </c>
      <c r="B452" s="198" t="s">
        <v>618</v>
      </c>
      <c r="C452" s="198" t="s">
        <v>23</v>
      </c>
      <c r="D452" s="198" t="s">
        <v>141</v>
      </c>
      <c r="E452" s="4" t="s">
        <v>128</v>
      </c>
      <c r="F452" s="4" t="s">
        <v>73</v>
      </c>
      <c r="G452" s="4" t="s">
        <v>73</v>
      </c>
      <c r="H452" s="4" t="s">
        <v>521</v>
      </c>
      <c r="I452" s="198"/>
      <c r="J452" s="21" t="s">
        <v>2272</v>
      </c>
      <c r="K452" s="198" t="s">
        <v>2272</v>
      </c>
      <c r="L452" s="21" t="s">
        <v>2272</v>
      </c>
      <c r="M452" s="21" t="s">
        <v>2272</v>
      </c>
      <c r="N452" s="21" t="s">
        <v>2272</v>
      </c>
      <c r="O452" s="21" t="s">
        <v>2272</v>
      </c>
      <c r="P452" s="198" t="s">
        <v>2272</v>
      </c>
      <c r="Q452" s="21" t="s">
        <v>2272</v>
      </c>
      <c r="R452" s="21" t="s">
        <v>2272</v>
      </c>
      <c r="S452" s="21" t="s">
        <v>2272</v>
      </c>
      <c r="T452" s="21" t="s">
        <v>2272</v>
      </c>
      <c r="U452" s="21" t="s">
        <v>2272</v>
      </c>
      <c r="V452" s="21" t="s">
        <v>2272</v>
      </c>
      <c r="W452" s="21" t="s">
        <v>2272</v>
      </c>
      <c r="X452" s="21" t="s">
        <v>2272</v>
      </c>
      <c r="Y452" s="21" t="s">
        <v>2272</v>
      </c>
      <c r="Z452" s="21" t="s">
        <v>2272</v>
      </c>
      <c r="AA452" s="198" t="s">
        <v>2272</v>
      </c>
      <c r="AB452" s="198" t="s">
        <v>2272</v>
      </c>
      <c r="AC452" s="198" t="s">
        <v>2272</v>
      </c>
      <c r="AD452" s="198"/>
      <c r="AE452" s="4" t="s">
        <v>2004</v>
      </c>
    </row>
    <row r="453" spans="1:31" ht="43" customHeight="1">
      <c r="A453" s="198" t="s">
        <v>600</v>
      </c>
      <c r="B453" s="198" t="s">
        <v>607</v>
      </c>
      <c r="C453" s="198" t="s">
        <v>23</v>
      </c>
      <c r="D453" s="198" t="s">
        <v>141</v>
      </c>
      <c r="E453" s="4" t="s">
        <v>128</v>
      </c>
      <c r="F453" s="4" t="s">
        <v>73</v>
      </c>
      <c r="G453" s="4" t="s">
        <v>73</v>
      </c>
      <c r="H453" s="4" t="s">
        <v>521</v>
      </c>
      <c r="I453" s="198"/>
      <c r="J453" s="21" t="s">
        <v>2272</v>
      </c>
      <c r="K453" s="198" t="s">
        <v>2272</v>
      </c>
      <c r="L453" s="21" t="s">
        <v>2272</v>
      </c>
      <c r="M453" s="21" t="s">
        <v>2272</v>
      </c>
      <c r="N453" s="21" t="s">
        <v>2272</v>
      </c>
      <c r="O453" s="21" t="s">
        <v>2272</v>
      </c>
      <c r="P453" s="21" t="s">
        <v>2272</v>
      </c>
      <c r="Q453" s="21" t="s">
        <v>2272</v>
      </c>
      <c r="R453" s="21" t="s">
        <v>2272</v>
      </c>
      <c r="S453" s="21" t="s">
        <v>2272</v>
      </c>
      <c r="T453" s="21" t="s">
        <v>2272</v>
      </c>
      <c r="U453" s="21" t="s">
        <v>2272</v>
      </c>
      <c r="V453" s="21" t="s">
        <v>2272</v>
      </c>
      <c r="W453" s="21" t="s">
        <v>2272</v>
      </c>
      <c r="X453" s="21" t="s">
        <v>2272</v>
      </c>
      <c r="Y453" s="21" t="s">
        <v>2272</v>
      </c>
      <c r="Z453" s="21" t="s">
        <v>2272</v>
      </c>
      <c r="AA453" s="198" t="s">
        <v>2272</v>
      </c>
      <c r="AB453" s="198" t="s">
        <v>2272</v>
      </c>
      <c r="AC453" s="198" t="s">
        <v>2272</v>
      </c>
      <c r="AD453" s="198"/>
      <c r="AE453" s="198"/>
    </row>
    <row r="454" spans="1:31" ht="116.5" customHeight="1">
      <c r="A454" s="198" t="s">
        <v>600</v>
      </c>
      <c r="B454" s="198" t="s">
        <v>608</v>
      </c>
      <c r="C454" s="198" t="s">
        <v>23</v>
      </c>
      <c r="D454" s="198" t="s">
        <v>26</v>
      </c>
      <c r="E454" s="4" t="s">
        <v>128</v>
      </c>
      <c r="F454" s="4" t="s">
        <v>159</v>
      </c>
      <c r="G454" s="198" t="s">
        <v>2272</v>
      </c>
      <c r="H454" s="4" t="s">
        <v>521</v>
      </c>
      <c r="I454" s="198"/>
      <c r="J454" s="21" t="s">
        <v>2272</v>
      </c>
      <c r="K454" s="198" t="s">
        <v>2272</v>
      </c>
      <c r="L454" s="21" t="s">
        <v>2272</v>
      </c>
      <c r="M454" s="21" t="s">
        <v>2272</v>
      </c>
      <c r="N454" s="21" t="s">
        <v>2272</v>
      </c>
      <c r="O454" s="21" t="s">
        <v>2272</v>
      </c>
      <c r="P454" s="21" t="s">
        <v>2272</v>
      </c>
      <c r="Q454" s="21" t="s">
        <v>2272</v>
      </c>
      <c r="R454" s="21" t="s">
        <v>2272</v>
      </c>
      <c r="S454" s="21" t="s">
        <v>2272</v>
      </c>
      <c r="T454" s="21" t="s">
        <v>2272</v>
      </c>
      <c r="U454" s="21" t="s">
        <v>2272</v>
      </c>
      <c r="V454" s="21" t="s">
        <v>2272</v>
      </c>
      <c r="W454" s="21" t="s">
        <v>2272</v>
      </c>
      <c r="X454" s="21" t="s">
        <v>2272</v>
      </c>
      <c r="Y454" s="21" t="s">
        <v>2272</v>
      </c>
      <c r="Z454" s="21" t="s">
        <v>2272</v>
      </c>
      <c r="AA454" s="198" t="s">
        <v>2272</v>
      </c>
      <c r="AB454" s="198" t="s">
        <v>2272</v>
      </c>
      <c r="AC454" s="198" t="s">
        <v>2272</v>
      </c>
      <c r="AD454" s="198"/>
      <c r="AE454" s="198" t="s">
        <v>3213</v>
      </c>
    </row>
    <row r="455" spans="1:31" ht="77" customHeight="1">
      <c r="A455" s="198" t="s">
        <v>619</v>
      </c>
      <c r="B455" s="198" t="s">
        <v>3212</v>
      </c>
      <c r="C455" s="198" t="s">
        <v>23</v>
      </c>
      <c r="D455" s="198" t="s">
        <v>141</v>
      </c>
      <c r="E455" s="4" t="s">
        <v>44</v>
      </c>
      <c r="F455" s="4" t="s">
        <v>73</v>
      </c>
      <c r="G455" s="4" t="s">
        <v>73</v>
      </c>
      <c r="H455" s="4" t="s">
        <v>521</v>
      </c>
      <c r="I455" s="198"/>
      <c r="J455" s="21" t="s">
        <v>2272</v>
      </c>
      <c r="K455" s="198" t="s">
        <v>2272</v>
      </c>
      <c r="L455" s="21" t="s">
        <v>2272</v>
      </c>
      <c r="M455" s="21" t="s">
        <v>2272</v>
      </c>
      <c r="N455" s="21" t="s">
        <v>2272</v>
      </c>
      <c r="O455" s="21" t="s">
        <v>2272</v>
      </c>
      <c r="P455" s="21" t="s">
        <v>2272</v>
      </c>
      <c r="Q455" s="21" t="s">
        <v>2272</v>
      </c>
      <c r="R455" s="21" t="s">
        <v>2272</v>
      </c>
      <c r="S455" s="21" t="s">
        <v>2272</v>
      </c>
      <c r="T455" s="21" t="s">
        <v>2272</v>
      </c>
      <c r="U455" s="21" t="s">
        <v>2272</v>
      </c>
      <c r="V455" s="21" t="s">
        <v>2272</v>
      </c>
      <c r="W455" s="21" t="s">
        <v>2272</v>
      </c>
      <c r="X455" s="21" t="s">
        <v>2272</v>
      </c>
      <c r="Y455" s="21" t="s">
        <v>2272</v>
      </c>
      <c r="Z455" s="21" t="s">
        <v>2272</v>
      </c>
      <c r="AA455" s="198" t="s">
        <v>2272</v>
      </c>
      <c r="AB455" s="198" t="s">
        <v>2272</v>
      </c>
      <c r="AC455" s="198" t="s">
        <v>2272</v>
      </c>
      <c r="AD455" s="4" t="s">
        <v>585</v>
      </c>
      <c r="AE455" s="198"/>
    </row>
    <row r="456" spans="1:31" ht="115.5" customHeight="1">
      <c r="A456" s="198" t="s">
        <v>619</v>
      </c>
      <c r="B456" s="198" t="s">
        <v>3214</v>
      </c>
      <c r="C456" s="198" t="s">
        <v>23</v>
      </c>
      <c r="D456" s="198" t="s">
        <v>26</v>
      </c>
      <c r="E456" s="4" t="s">
        <v>128</v>
      </c>
      <c r="F456" s="4" t="s">
        <v>159</v>
      </c>
      <c r="G456" s="198" t="s">
        <v>2272</v>
      </c>
      <c r="H456" s="4" t="s">
        <v>521</v>
      </c>
      <c r="I456" s="198"/>
      <c r="J456" s="21" t="s">
        <v>2272</v>
      </c>
      <c r="K456" s="198" t="s">
        <v>2272</v>
      </c>
      <c r="L456" s="21" t="s">
        <v>2272</v>
      </c>
      <c r="M456" s="21" t="s">
        <v>2272</v>
      </c>
      <c r="N456" s="21" t="s">
        <v>2272</v>
      </c>
      <c r="O456" s="21" t="s">
        <v>2272</v>
      </c>
      <c r="P456" s="21" t="s">
        <v>2272</v>
      </c>
      <c r="Q456" s="21" t="s">
        <v>2272</v>
      </c>
      <c r="R456" s="21" t="s">
        <v>2272</v>
      </c>
      <c r="S456" s="21" t="s">
        <v>2272</v>
      </c>
      <c r="T456" s="21" t="s">
        <v>2272</v>
      </c>
      <c r="U456" s="21" t="s">
        <v>2272</v>
      </c>
      <c r="V456" s="21" t="s">
        <v>2272</v>
      </c>
      <c r="W456" s="21" t="s">
        <v>2272</v>
      </c>
      <c r="X456" s="21" t="s">
        <v>2272</v>
      </c>
      <c r="Y456" s="21" t="s">
        <v>2272</v>
      </c>
      <c r="Z456" s="21" t="s">
        <v>2272</v>
      </c>
      <c r="AA456" s="198" t="s">
        <v>2272</v>
      </c>
      <c r="AB456" s="198" t="s">
        <v>2272</v>
      </c>
      <c r="AC456" s="198" t="s">
        <v>2272</v>
      </c>
      <c r="AD456" s="4"/>
      <c r="AE456" s="8"/>
    </row>
    <row r="457" spans="1:31" ht="62" customHeight="1">
      <c r="A457" s="198" t="s">
        <v>620</v>
      </c>
      <c r="B457" s="198" t="s">
        <v>632</v>
      </c>
      <c r="C457" s="198" t="s">
        <v>23</v>
      </c>
      <c r="D457" s="198" t="s">
        <v>26</v>
      </c>
      <c r="E457" s="4" t="s">
        <v>128</v>
      </c>
      <c r="F457" s="4" t="s">
        <v>159</v>
      </c>
      <c r="G457" s="198" t="s">
        <v>2272</v>
      </c>
      <c r="H457" s="4" t="s">
        <v>521</v>
      </c>
      <c r="I457" s="198"/>
      <c r="J457" s="21" t="s">
        <v>2272</v>
      </c>
      <c r="K457" s="198" t="s">
        <v>2272</v>
      </c>
      <c r="L457" s="21" t="s">
        <v>2272</v>
      </c>
      <c r="M457" s="21" t="s">
        <v>2272</v>
      </c>
      <c r="N457" s="21" t="s">
        <v>2272</v>
      </c>
      <c r="O457" s="21" t="s">
        <v>2272</v>
      </c>
      <c r="P457" s="21" t="s">
        <v>2272</v>
      </c>
      <c r="Q457" s="21" t="s">
        <v>2272</v>
      </c>
      <c r="R457" s="21" t="s">
        <v>2272</v>
      </c>
      <c r="S457" s="21" t="s">
        <v>2272</v>
      </c>
      <c r="T457" s="21" t="s">
        <v>2272</v>
      </c>
      <c r="U457" s="21" t="s">
        <v>2272</v>
      </c>
      <c r="V457" s="21" t="s">
        <v>2272</v>
      </c>
      <c r="W457" s="21" t="s">
        <v>2272</v>
      </c>
      <c r="X457" s="21" t="s">
        <v>2272</v>
      </c>
      <c r="Y457" s="21" t="s">
        <v>2272</v>
      </c>
      <c r="Z457" s="21" t="s">
        <v>2272</v>
      </c>
      <c r="AA457" s="198" t="s">
        <v>637</v>
      </c>
      <c r="AB457" s="198" t="s">
        <v>187</v>
      </c>
      <c r="AC457" s="198" t="s">
        <v>638</v>
      </c>
      <c r="AD457" s="4" t="s">
        <v>2007</v>
      </c>
      <c r="AE457" s="198"/>
    </row>
    <row r="458" spans="1:31" ht="39.5" customHeight="1">
      <c r="A458" s="198" t="s">
        <v>620</v>
      </c>
      <c r="B458" s="198" t="s">
        <v>636</v>
      </c>
      <c r="C458" s="198" t="s">
        <v>23</v>
      </c>
      <c r="D458" s="198" t="s">
        <v>26</v>
      </c>
      <c r="E458" s="4" t="s">
        <v>395</v>
      </c>
      <c r="F458" s="4" t="s">
        <v>27</v>
      </c>
      <c r="G458" s="198" t="s">
        <v>2272</v>
      </c>
      <c r="H458" s="4" t="s">
        <v>522</v>
      </c>
      <c r="I458" s="198"/>
      <c r="J458" s="21">
        <v>0</v>
      </c>
      <c r="K458" s="21">
        <v>0</v>
      </c>
      <c r="L458" s="21">
        <v>0</v>
      </c>
      <c r="M458" s="21">
        <v>0</v>
      </c>
      <c r="N458" s="21">
        <v>0</v>
      </c>
      <c r="O458" s="21">
        <v>0</v>
      </c>
      <c r="P458" s="21">
        <v>0</v>
      </c>
      <c r="Q458" s="21">
        <v>0</v>
      </c>
      <c r="R458" s="21" t="s">
        <v>2272</v>
      </c>
      <c r="S458" s="21" t="s">
        <v>2272</v>
      </c>
      <c r="T458" s="21">
        <v>0</v>
      </c>
      <c r="U458" s="21">
        <v>0</v>
      </c>
      <c r="V458" s="21">
        <v>0</v>
      </c>
      <c r="W458" s="21">
        <v>0</v>
      </c>
      <c r="X458" s="21">
        <v>0</v>
      </c>
      <c r="Y458" s="21">
        <v>0</v>
      </c>
      <c r="Z458" s="21" t="s">
        <v>2272</v>
      </c>
      <c r="AA458" s="198" t="s">
        <v>2272</v>
      </c>
      <c r="AB458" s="198" t="s">
        <v>2272</v>
      </c>
      <c r="AC458" s="198" t="s">
        <v>2272</v>
      </c>
      <c r="AD458" s="4" t="s">
        <v>634</v>
      </c>
      <c r="AE458" s="198"/>
    </row>
    <row r="459" spans="1:31" ht="72.5" customHeight="1">
      <c r="A459" s="198" t="s">
        <v>620</v>
      </c>
      <c r="B459" s="198" t="s">
        <v>635</v>
      </c>
      <c r="C459" s="198" t="s">
        <v>23</v>
      </c>
      <c r="D459" s="198" t="s">
        <v>25</v>
      </c>
      <c r="E459" s="4" t="s">
        <v>395</v>
      </c>
      <c r="F459" s="4" t="s">
        <v>27</v>
      </c>
      <c r="G459" s="198" t="s">
        <v>2272</v>
      </c>
      <c r="H459" s="4" t="s">
        <v>521</v>
      </c>
      <c r="I459" s="198"/>
      <c r="J459" s="21" t="s">
        <v>2272</v>
      </c>
      <c r="K459" s="198" t="s">
        <v>2272</v>
      </c>
      <c r="L459" s="21" t="s">
        <v>2272</v>
      </c>
      <c r="M459" s="21" t="s">
        <v>2272</v>
      </c>
      <c r="N459" s="21" t="s">
        <v>2272</v>
      </c>
      <c r="O459" s="21" t="s">
        <v>2272</v>
      </c>
      <c r="P459" s="21" t="s">
        <v>2272</v>
      </c>
      <c r="Q459" s="21" t="s">
        <v>2272</v>
      </c>
      <c r="R459" s="21" t="s">
        <v>2272</v>
      </c>
      <c r="S459" s="21" t="s">
        <v>2272</v>
      </c>
      <c r="T459" s="21" t="s">
        <v>2272</v>
      </c>
      <c r="U459" s="21" t="s">
        <v>2272</v>
      </c>
      <c r="V459" s="21" t="s">
        <v>2272</v>
      </c>
      <c r="W459" s="21" t="s">
        <v>2272</v>
      </c>
      <c r="X459" s="21" t="s">
        <v>2272</v>
      </c>
      <c r="Y459" s="21" t="s">
        <v>2272</v>
      </c>
      <c r="Z459" s="21" t="s">
        <v>2272</v>
      </c>
      <c r="AA459" s="198" t="s">
        <v>637</v>
      </c>
      <c r="AB459" s="198" t="s">
        <v>187</v>
      </c>
      <c r="AC459" s="198" t="s">
        <v>75</v>
      </c>
      <c r="AD459" s="4" t="s">
        <v>2008</v>
      </c>
      <c r="AE459" s="198"/>
    </row>
    <row r="460" spans="1:31" ht="89.5" customHeight="1">
      <c r="A460" s="198" t="s">
        <v>639</v>
      </c>
      <c r="B460" s="198" t="s">
        <v>642</v>
      </c>
      <c r="C460" s="198" t="s">
        <v>23</v>
      </c>
      <c r="D460" s="198" t="s">
        <v>26</v>
      </c>
      <c r="E460" s="198" t="s">
        <v>128</v>
      </c>
      <c r="F460" s="4" t="s">
        <v>159</v>
      </c>
      <c r="G460" s="198" t="s">
        <v>2272</v>
      </c>
      <c r="H460" s="4" t="s">
        <v>521</v>
      </c>
      <c r="I460" s="198"/>
      <c r="J460" s="21" t="s">
        <v>2272</v>
      </c>
      <c r="K460" s="198" t="s">
        <v>2272</v>
      </c>
      <c r="L460" s="21" t="s">
        <v>2272</v>
      </c>
      <c r="M460" s="21" t="s">
        <v>2272</v>
      </c>
      <c r="N460" s="21" t="s">
        <v>2272</v>
      </c>
      <c r="O460" s="21" t="s">
        <v>2272</v>
      </c>
      <c r="P460" s="21" t="s">
        <v>2272</v>
      </c>
      <c r="Q460" s="21" t="s">
        <v>2272</v>
      </c>
      <c r="R460" s="21" t="s">
        <v>2272</v>
      </c>
      <c r="S460" s="21" t="s">
        <v>2272</v>
      </c>
      <c r="T460" s="21" t="s">
        <v>2272</v>
      </c>
      <c r="U460" s="21" t="s">
        <v>2272</v>
      </c>
      <c r="V460" s="21" t="s">
        <v>2272</v>
      </c>
      <c r="W460" s="21" t="s">
        <v>2272</v>
      </c>
      <c r="X460" s="21" t="s">
        <v>2272</v>
      </c>
      <c r="Y460" s="21" t="s">
        <v>2272</v>
      </c>
      <c r="Z460" s="21" t="s">
        <v>2272</v>
      </c>
      <c r="AA460" s="198" t="s">
        <v>403</v>
      </c>
      <c r="AB460" s="198" t="s">
        <v>403</v>
      </c>
      <c r="AC460" s="198" t="s">
        <v>75</v>
      </c>
      <c r="AD460" s="4" t="s">
        <v>644</v>
      </c>
      <c r="AE460" s="198"/>
    </row>
    <row r="461" spans="1:31" ht="92.5" customHeight="1">
      <c r="A461" s="198" t="s">
        <v>639</v>
      </c>
      <c r="B461" s="198" t="s">
        <v>643</v>
      </c>
      <c r="C461" s="198" t="s">
        <v>23</v>
      </c>
      <c r="D461" s="198" t="s">
        <v>26</v>
      </c>
      <c r="E461" s="198" t="s">
        <v>128</v>
      </c>
      <c r="F461" s="4" t="s">
        <v>73</v>
      </c>
      <c r="G461" s="198" t="s">
        <v>2272</v>
      </c>
      <c r="H461" s="4" t="s">
        <v>521</v>
      </c>
      <c r="I461" s="198"/>
      <c r="J461" s="21" t="s">
        <v>2272</v>
      </c>
      <c r="K461" s="198" t="s">
        <v>2272</v>
      </c>
      <c r="L461" s="21" t="s">
        <v>2272</v>
      </c>
      <c r="M461" s="21" t="s">
        <v>2272</v>
      </c>
      <c r="N461" s="21" t="s">
        <v>2272</v>
      </c>
      <c r="O461" s="21" t="s">
        <v>2272</v>
      </c>
      <c r="P461" s="21" t="s">
        <v>2272</v>
      </c>
      <c r="Q461" s="21" t="s">
        <v>2272</v>
      </c>
      <c r="R461" s="21" t="s">
        <v>2272</v>
      </c>
      <c r="S461" s="21" t="s">
        <v>2272</v>
      </c>
      <c r="T461" s="21" t="s">
        <v>2272</v>
      </c>
      <c r="U461" s="21" t="s">
        <v>2272</v>
      </c>
      <c r="V461" s="21" t="s">
        <v>2272</v>
      </c>
      <c r="W461" s="21" t="s">
        <v>2272</v>
      </c>
      <c r="X461" s="21" t="s">
        <v>2272</v>
      </c>
      <c r="Y461" s="21" t="s">
        <v>2272</v>
      </c>
      <c r="Z461" s="21" t="s">
        <v>2272</v>
      </c>
      <c r="AA461" s="198" t="s">
        <v>403</v>
      </c>
      <c r="AB461" s="198" t="s">
        <v>403</v>
      </c>
      <c r="AC461" s="198" t="s">
        <v>75</v>
      </c>
      <c r="AD461" s="4" t="s">
        <v>644</v>
      </c>
      <c r="AE461" s="198"/>
    </row>
    <row r="462" spans="1:31" ht="55" customHeight="1">
      <c r="A462" s="198" t="s">
        <v>649</v>
      </c>
      <c r="B462" s="198" t="s">
        <v>650</v>
      </c>
      <c r="C462" s="198" t="s">
        <v>23</v>
      </c>
      <c r="D462" s="198" t="s">
        <v>26</v>
      </c>
      <c r="E462" s="198" t="s">
        <v>128</v>
      </c>
      <c r="F462" s="4" t="s">
        <v>159</v>
      </c>
      <c r="G462" s="198" t="s">
        <v>2272</v>
      </c>
      <c r="H462" s="4" t="s">
        <v>521</v>
      </c>
      <c r="I462" s="198"/>
      <c r="J462" s="21" t="s">
        <v>2272</v>
      </c>
      <c r="K462" s="198" t="s">
        <v>2272</v>
      </c>
      <c r="L462" s="21" t="s">
        <v>2272</v>
      </c>
      <c r="M462" s="21" t="s">
        <v>2272</v>
      </c>
      <c r="N462" s="21" t="s">
        <v>2272</v>
      </c>
      <c r="O462" s="21" t="s">
        <v>2272</v>
      </c>
      <c r="P462" s="21" t="s">
        <v>2272</v>
      </c>
      <c r="Q462" s="21" t="s">
        <v>2272</v>
      </c>
      <c r="R462" s="21" t="s">
        <v>2272</v>
      </c>
      <c r="S462" s="21" t="s">
        <v>2272</v>
      </c>
      <c r="T462" s="21" t="s">
        <v>2272</v>
      </c>
      <c r="U462" s="21">
        <v>35</v>
      </c>
      <c r="V462" s="21" t="s">
        <v>2272</v>
      </c>
      <c r="W462" s="21" t="s">
        <v>2272</v>
      </c>
      <c r="X462" s="21" t="s">
        <v>2272</v>
      </c>
      <c r="Y462" s="21">
        <v>9.9056700000000001E-3</v>
      </c>
      <c r="Z462" s="21" t="s">
        <v>2272</v>
      </c>
      <c r="AA462" s="198" t="s">
        <v>403</v>
      </c>
      <c r="AB462" s="198" t="s">
        <v>403</v>
      </c>
      <c r="AC462" s="198" t="s">
        <v>75</v>
      </c>
      <c r="AD462" s="4" t="s">
        <v>2011</v>
      </c>
      <c r="AE462" s="4" t="s">
        <v>5011</v>
      </c>
    </row>
    <row r="463" spans="1:31" ht="52" customHeight="1">
      <c r="A463" s="198" t="s">
        <v>649</v>
      </c>
      <c r="B463" s="198" t="s">
        <v>651</v>
      </c>
      <c r="C463" s="198" t="s">
        <v>23</v>
      </c>
      <c r="D463" s="198" t="s">
        <v>26</v>
      </c>
      <c r="E463" s="198" t="s">
        <v>128</v>
      </c>
      <c r="F463" s="4" t="s">
        <v>73</v>
      </c>
      <c r="G463" s="198" t="s">
        <v>2272</v>
      </c>
      <c r="H463" s="4" t="s">
        <v>521</v>
      </c>
      <c r="I463" s="198"/>
      <c r="J463" s="21" t="s">
        <v>2272</v>
      </c>
      <c r="K463" s="198" t="s">
        <v>2272</v>
      </c>
      <c r="L463" s="21" t="s">
        <v>2272</v>
      </c>
      <c r="M463" s="21" t="s">
        <v>2272</v>
      </c>
      <c r="N463" s="21" t="s">
        <v>2272</v>
      </c>
      <c r="O463" s="21" t="s">
        <v>2272</v>
      </c>
      <c r="P463" s="21" t="s">
        <v>2272</v>
      </c>
      <c r="Q463" s="21" t="s">
        <v>2272</v>
      </c>
      <c r="R463" s="21" t="s">
        <v>2272</v>
      </c>
      <c r="S463" s="21" t="s">
        <v>2272</v>
      </c>
      <c r="T463" s="21" t="s">
        <v>2272</v>
      </c>
      <c r="U463" s="21">
        <v>18</v>
      </c>
      <c r="V463" s="21" t="s">
        <v>2272</v>
      </c>
      <c r="W463" s="21" t="s">
        <v>2272</v>
      </c>
      <c r="X463" s="21" t="s">
        <v>2272</v>
      </c>
      <c r="Y463" s="21">
        <v>5.0943439999999998E-3</v>
      </c>
      <c r="Z463" s="21" t="s">
        <v>2272</v>
      </c>
      <c r="AA463" s="198" t="s">
        <v>403</v>
      </c>
      <c r="AB463" s="198" t="s">
        <v>403</v>
      </c>
      <c r="AC463" s="198" t="s">
        <v>75</v>
      </c>
      <c r="AD463" s="4" t="s">
        <v>2012</v>
      </c>
      <c r="AE463" s="198"/>
    </row>
    <row r="464" spans="1:31" ht="48" customHeight="1">
      <c r="A464" s="198" t="s">
        <v>652</v>
      </c>
      <c r="B464" s="198" t="s">
        <v>657</v>
      </c>
      <c r="C464" s="198" t="s">
        <v>23</v>
      </c>
      <c r="D464" s="198" t="s">
        <v>26</v>
      </c>
      <c r="E464" s="198" t="s">
        <v>128</v>
      </c>
      <c r="F464" s="4" t="s">
        <v>159</v>
      </c>
      <c r="G464" s="198" t="s">
        <v>2272</v>
      </c>
      <c r="H464" s="4" t="s">
        <v>521</v>
      </c>
      <c r="I464" s="198"/>
      <c r="J464" s="21" t="s">
        <v>2272</v>
      </c>
      <c r="K464" s="198" t="s">
        <v>2272</v>
      </c>
      <c r="L464" s="21" t="s">
        <v>2272</v>
      </c>
      <c r="M464" s="21" t="s">
        <v>2272</v>
      </c>
      <c r="N464" s="21" t="s">
        <v>2272</v>
      </c>
      <c r="O464" s="21" t="s">
        <v>2272</v>
      </c>
      <c r="P464" s="21" t="s">
        <v>2272</v>
      </c>
      <c r="Q464" s="21" t="s">
        <v>2272</v>
      </c>
      <c r="R464" s="21" t="s">
        <v>2272</v>
      </c>
      <c r="S464" s="21" t="s">
        <v>2272</v>
      </c>
      <c r="T464" s="21" t="s">
        <v>2272</v>
      </c>
      <c r="U464" s="21" t="s">
        <v>2272</v>
      </c>
      <c r="V464" s="21" t="s">
        <v>2272</v>
      </c>
      <c r="W464" s="21" t="s">
        <v>2272</v>
      </c>
      <c r="X464" s="21" t="s">
        <v>2272</v>
      </c>
      <c r="Y464" s="21" t="s">
        <v>2272</v>
      </c>
      <c r="Z464" s="21" t="s">
        <v>2272</v>
      </c>
      <c r="AA464" s="198" t="s">
        <v>2272</v>
      </c>
      <c r="AB464" s="198" t="s">
        <v>2272</v>
      </c>
      <c r="AC464" s="198" t="s">
        <v>2272</v>
      </c>
      <c r="AD464" s="198"/>
      <c r="AE464" s="4" t="s">
        <v>2014</v>
      </c>
    </row>
    <row r="465" spans="1:31" ht="48.5" customHeight="1">
      <c r="A465" s="198" t="s">
        <v>658</v>
      </c>
      <c r="B465" s="198" t="s">
        <v>662</v>
      </c>
      <c r="C465" s="198" t="s">
        <v>23</v>
      </c>
      <c r="D465" s="198" t="s">
        <v>26</v>
      </c>
      <c r="E465" s="198" t="s">
        <v>128</v>
      </c>
      <c r="F465" s="4" t="s">
        <v>159</v>
      </c>
      <c r="G465" s="198" t="s">
        <v>2272</v>
      </c>
      <c r="H465" s="4" t="s">
        <v>521</v>
      </c>
      <c r="I465" s="4"/>
      <c r="J465" s="71" t="s">
        <v>2272</v>
      </c>
      <c r="K465" s="198" t="s">
        <v>2272</v>
      </c>
      <c r="L465" s="71" t="s">
        <v>2272</v>
      </c>
      <c r="M465" s="71" t="s">
        <v>2272</v>
      </c>
      <c r="N465" s="71" t="s">
        <v>2272</v>
      </c>
      <c r="O465" s="71" t="s">
        <v>2272</v>
      </c>
      <c r="P465" s="21" t="s">
        <v>2272</v>
      </c>
      <c r="Q465" s="71" t="s">
        <v>2272</v>
      </c>
      <c r="R465" s="21" t="s">
        <v>2272</v>
      </c>
      <c r="S465" s="21" t="s">
        <v>2272</v>
      </c>
      <c r="T465" s="71" t="s">
        <v>2272</v>
      </c>
      <c r="U465" s="71" t="s">
        <v>2272</v>
      </c>
      <c r="V465" s="71" t="s">
        <v>2272</v>
      </c>
      <c r="W465" s="71" t="s">
        <v>2272</v>
      </c>
      <c r="X465" s="71" t="s">
        <v>2272</v>
      </c>
      <c r="Y465" s="71" t="s">
        <v>2272</v>
      </c>
      <c r="Z465" s="71">
        <v>7</v>
      </c>
      <c r="AA465" s="4" t="s">
        <v>186</v>
      </c>
      <c r="AB465" s="4" t="s">
        <v>187</v>
      </c>
      <c r="AC465" s="198" t="s">
        <v>63</v>
      </c>
      <c r="AD465" s="4" t="s">
        <v>663</v>
      </c>
      <c r="AE465" s="4" t="s">
        <v>2042</v>
      </c>
    </row>
    <row r="466" spans="1:31" ht="80.5" customHeight="1">
      <c r="A466" s="198" t="s">
        <v>658</v>
      </c>
      <c r="B466" s="198" t="s">
        <v>661</v>
      </c>
      <c r="C466" s="198" t="s">
        <v>23</v>
      </c>
      <c r="D466" s="198" t="s">
        <v>141</v>
      </c>
      <c r="E466" s="198" t="s">
        <v>128</v>
      </c>
      <c r="F466" s="4" t="s">
        <v>73</v>
      </c>
      <c r="G466" s="198" t="s">
        <v>2272</v>
      </c>
      <c r="H466" s="4" t="s">
        <v>522</v>
      </c>
      <c r="I466" s="198"/>
      <c r="J466" s="21">
        <v>0</v>
      </c>
      <c r="K466" s="21">
        <v>0</v>
      </c>
      <c r="L466" s="21">
        <v>0</v>
      </c>
      <c r="M466" s="21">
        <v>0</v>
      </c>
      <c r="N466" s="21">
        <v>0</v>
      </c>
      <c r="O466" s="21">
        <v>0</v>
      </c>
      <c r="P466" s="21">
        <v>0</v>
      </c>
      <c r="Q466" s="21">
        <v>0</v>
      </c>
      <c r="R466" s="21" t="s">
        <v>2272</v>
      </c>
      <c r="S466" s="21" t="s">
        <v>2272</v>
      </c>
      <c r="T466" s="21">
        <v>0</v>
      </c>
      <c r="U466" s="21">
        <v>0</v>
      </c>
      <c r="V466" s="21">
        <v>0</v>
      </c>
      <c r="W466" s="21">
        <v>0</v>
      </c>
      <c r="X466" s="21">
        <v>0</v>
      </c>
      <c r="Y466" s="21">
        <v>0</v>
      </c>
      <c r="Z466" s="21" t="s">
        <v>2272</v>
      </c>
      <c r="AA466" s="198" t="s">
        <v>2272</v>
      </c>
      <c r="AB466" s="198" t="s">
        <v>2272</v>
      </c>
      <c r="AC466" s="198" t="s">
        <v>2272</v>
      </c>
      <c r="AD466" s="4" t="s">
        <v>2017</v>
      </c>
      <c r="AE466" s="198"/>
    </row>
    <row r="467" spans="1:31" ht="80.5" customHeight="1">
      <c r="A467" s="198" t="s">
        <v>658</v>
      </c>
      <c r="B467" s="198" t="s">
        <v>2018</v>
      </c>
      <c r="C467" s="198" t="s">
        <v>23</v>
      </c>
      <c r="D467" s="198" t="s">
        <v>141</v>
      </c>
      <c r="E467" s="4" t="s">
        <v>394</v>
      </c>
      <c r="F467" s="4" t="s">
        <v>73</v>
      </c>
      <c r="G467" s="198" t="s">
        <v>2272</v>
      </c>
      <c r="H467" s="4" t="s">
        <v>521</v>
      </c>
      <c r="I467" s="198"/>
      <c r="J467" s="21" t="s">
        <v>2272</v>
      </c>
      <c r="K467" s="198" t="s">
        <v>2272</v>
      </c>
      <c r="L467" s="21" t="s">
        <v>2272</v>
      </c>
      <c r="M467" s="21" t="s">
        <v>2272</v>
      </c>
      <c r="N467" s="21" t="s">
        <v>2272</v>
      </c>
      <c r="O467" s="21" t="s">
        <v>2272</v>
      </c>
      <c r="P467" s="21" t="s">
        <v>2272</v>
      </c>
      <c r="Q467" s="21" t="s">
        <v>2272</v>
      </c>
      <c r="R467" s="21" t="s">
        <v>2272</v>
      </c>
      <c r="S467" s="21" t="s">
        <v>2272</v>
      </c>
      <c r="T467" s="21" t="s">
        <v>2272</v>
      </c>
      <c r="U467" s="21" t="s">
        <v>2272</v>
      </c>
      <c r="V467" s="21" t="s">
        <v>2272</v>
      </c>
      <c r="W467" s="21" t="s">
        <v>2272</v>
      </c>
      <c r="X467" s="21" t="s">
        <v>2272</v>
      </c>
      <c r="Y467" s="21" t="s">
        <v>2272</v>
      </c>
      <c r="Z467" s="21" t="s">
        <v>2272</v>
      </c>
      <c r="AA467" s="4" t="s">
        <v>186</v>
      </c>
      <c r="AB467" s="4" t="s">
        <v>37</v>
      </c>
      <c r="AC467" s="198" t="s">
        <v>2272</v>
      </c>
      <c r="AD467" s="4" t="s">
        <v>2019</v>
      </c>
      <c r="AE467" s="198"/>
    </row>
    <row r="468" spans="1:31" ht="51" customHeight="1">
      <c r="A468" s="198" t="s">
        <v>664</v>
      </c>
      <c r="B468" s="198" t="s">
        <v>738</v>
      </c>
      <c r="C468" s="198" t="s">
        <v>23</v>
      </c>
      <c r="D468" s="198" t="s">
        <v>26</v>
      </c>
      <c r="E468" s="198" t="s">
        <v>128</v>
      </c>
      <c r="F468" s="4" t="s">
        <v>159</v>
      </c>
      <c r="G468" s="4" t="s">
        <v>159</v>
      </c>
      <c r="H468" s="4" t="s">
        <v>521</v>
      </c>
      <c r="I468" s="198"/>
      <c r="J468" s="21" t="s">
        <v>2272</v>
      </c>
      <c r="K468" s="198" t="s">
        <v>2272</v>
      </c>
      <c r="L468" s="21" t="s">
        <v>2272</v>
      </c>
      <c r="M468" s="21" t="s">
        <v>2272</v>
      </c>
      <c r="N468" s="21" t="s">
        <v>2272</v>
      </c>
      <c r="O468" s="21" t="s">
        <v>2272</v>
      </c>
      <c r="P468" s="21" t="s">
        <v>2272</v>
      </c>
      <c r="Q468" s="21" t="s">
        <v>2272</v>
      </c>
      <c r="R468" s="21" t="s">
        <v>2272</v>
      </c>
      <c r="S468" s="21" t="s">
        <v>2272</v>
      </c>
      <c r="T468" s="21" t="s">
        <v>2272</v>
      </c>
      <c r="U468" s="21" t="s">
        <v>2272</v>
      </c>
      <c r="V468" s="21" t="s">
        <v>2272</v>
      </c>
      <c r="W468" s="21" t="s">
        <v>2272</v>
      </c>
      <c r="X468" s="21" t="s">
        <v>2272</v>
      </c>
      <c r="Y468" s="21" t="s">
        <v>2272</v>
      </c>
      <c r="Z468" s="21" t="s">
        <v>2272</v>
      </c>
      <c r="AA468" s="198" t="s">
        <v>668</v>
      </c>
      <c r="AB468" s="198" t="s">
        <v>37</v>
      </c>
      <c r="AC468" s="198" t="s">
        <v>63</v>
      </c>
      <c r="AD468" s="4" t="s">
        <v>669</v>
      </c>
      <c r="AE468" s="4" t="s">
        <v>670</v>
      </c>
    </row>
    <row r="469" spans="1:31" ht="48.5" customHeight="1">
      <c r="A469" s="198" t="s">
        <v>671</v>
      </c>
      <c r="B469" s="198" t="s">
        <v>739</v>
      </c>
      <c r="C469" s="198" t="s">
        <v>23</v>
      </c>
      <c r="D469" s="198" t="s">
        <v>26</v>
      </c>
      <c r="E469" s="198" t="s">
        <v>128</v>
      </c>
      <c r="F469" s="4" t="s">
        <v>73</v>
      </c>
      <c r="G469" s="4" t="s">
        <v>73</v>
      </c>
      <c r="H469" s="4" t="s">
        <v>521</v>
      </c>
      <c r="I469" s="198">
        <v>1955</v>
      </c>
      <c r="J469" s="21" t="s">
        <v>2272</v>
      </c>
      <c r="K469" s="198" t="s">
        <v>2272</v>
      </c>
      <c r="L469" s="21" t="s">
        <v>2272</v>
      </c>
      <c r="M469" s="21" t="s">
        <v>2272</v>
      </c>
      <c r="N469" s="21" t="s">
        <v>2272</v>
      </c>
      <c r="O469" s="21" t="s">
        <v>2272</v>
      </c>
      <c r="P469" s="21" t="s">
        <v>2272</v>
      </c>
      <c r="Q469" s="21" t="s">
        <v>2272</v>
      </c>
      <c r="R469" s="21" t="s">
        <v>2272</v>
      </c>
      <c r="S469" s="21" t="s">
        <v>2272</v>
      </c>
      <c r="T469" s="21" t="s">
        <v>2272</v>
      </c>
      <c r="U469" s="21" t="s">
        <v>2272</v>
      </c>
      <c r="V469" s="21" t="s">
        <v>2272</v>
      </c>
      <c r="W469" s="21" t="s">
        <v>2272</v>
      </c>
      <c r="X469" s="21" t="s">
        <v>2272</v>
      </c>
      <c r="Y469" s="21" t="s">
        <v>2272</v>
      </c>
      <c r="Z469" s="21" t="s">
        <v>2272</v>
      </c>
      <c r="AA469" s="198" t="s">
        <v>2272</v>
      </c>
      <c r="AB469" s="198" t="s">
        <v>2272</v>
      </c>
      <c r="AC469" s="198" t="s">
        <v>2272</v>
      </c>
      <c r="AD469" s="4" t="s">
        <v>2021</v>
      </c>
      <c r="AE469" s="198" t="s">
        <v>580</v>
      </c>
    </row>
    <row r="470" spans="1:31" ht="56" customHeight="1">
      <c r="A470" s="198" t="s">
        <v>671</v>
      </c>
      <c r="B470" s="198" t="s">
        <v>740</v>
      </c>
      <c r="C470" s="198" t="s">
        <v>23</v>
      </c>
      <c r="D470" s="198" t="s">
        <v>26</v>
      </c>
      <c r="E470" s="198" t="s">
        <v>128</v>
      </c>
      <c r="F470" s="4" t="s">
        <v>73</v>
      </c>
      <c r="G470" s="4" t="s">
        <v>73</v>
      </c>
      <c r="H470" s="4" t="s">
        <v>521</v>
      </c>
      <c r="I470" s="198">
        <v>1975</v>
      </c>
      <c r="J470" s="21" t="s">
        <v>2272</v>
      </c>
      <c r="K470" s="198" t="s">
        <v>2272</v>
      </c>
      <c r="L470" s="21" t="s">
        <v>2272</v>
      </c>
      <c r="M470" s="21" t="s">
        <v>2272</v>
      </c>
      <c r="N470" s="21" t="s">
        <v>2272</v>
      </c>
      <c r="O470" s="21" t="s">
        <v>2272</v>
      </c>
      <c r="P470" s="21" t="s">
        <v>2272</v>
      </c>
      <c r="Q470" s="21" t="s">
        <v>2272</v>
      </c>
      <c r="R470" s="21" t="s">
        <v>2272</v>
      </c>
      <c r="S470" s="21" t="s">
        <v>2272</v>
      </c>
      <c r="T470" s="21" t="s">
        <v>2272</v>
      </c>
      <c r="U470" s="21" t="s">
        <v>2272</v>
      </c>
      <c r="V470" s="21" t="s">
        <v>2272</v>
      </c>
      <c r="W470" s="21" t="s">
        <v>2272</v>
      </c>
      <c r="X470" s="21" t="s">
        <v>2272</v>
      </c>
      <c r="Y470" s="21" t="s">
        <v>2272</v>
      </c>
      <c r="Z470" s="21" t="s">
        <v>2272</v>
      </c>
      <c r="AA470" s="198" t="s">
        <v>2272</v>
      </c>
      <c r="AB470" s="198" t="s">
        <v>2272</v>
      </c>
      <c r="AC470" s="198" t="s">
        <v>2272</v>
      </c>
      <c r="AD470" s="4" t="s">
        <v>2021</v>
      </c>
      <c r="AE470" s="198" t="s">
        <v>580</v>
      </c>
    </row>
    <row r="471" spans="1:31" ht="55.5" customHeight="1">
      <c r="A471" s="198" t="s">
        <v>671</v>
      </c>
      <c r="B471" s="198" t="s">
        <v>741</v>
      </c>
      <c r="C471" s="198" t="s">
        <v>23</v>
      </c>
      <c r="D471" s="198" t="s">
        <v>26</v>
      </c>
      <c r="E471" s="198" t="s">
        <v>128</v>
      </c>
      <c r="F471" s="4" t="s">
        <v>159</v>
      </c>
      <c r="G471" s="4" t="s">
        <v>159</v>
      </c>
      <c r="H471" s="4" t="s">
        <v>521</v>
      </c>
      <c r="I471" s="198">
        <v>1992</v>
      </c>
      <c r="J471" s="21" t="s">
        <v>2272</v>
      </c>
      <c r="K471" s="198" t="s">
        <v>2272</v>
      </c>
      <c r="L471" s="21" t="s">
        <v>2272</v>
      </c>
      <c r="M471" s="21" t="s">
        <v>2272</v>
      </c>
      <c r="N471" s="21" t="s">
        <v>2272</v>
      </c>
      <c r="O471" s="21" t="s">
        <v>2272</v>
      </c>
      <c r="P471" s="21" t="s">
        <v>2272</v>
      </c>
      <c r="Q471" s="21" t="s">
        <v>2272</v>
      </c>
      <c r="R471" s="21" t="s">
        <v>2272</v>
      </c>
      <c r="S471" s="21" t="s">
        <v>2272</v>
      </c>
      <c r="T471" s="21" t="s">
        <v>2272</v>
      </c>
      <c r="U471" s="21" t="s">
        <v>2272</v>
      </c>
      <c r="V471" s="21" t="s">
        <v>2272</v>
      </c>
      <c r="W471" s="21" t="s">
        <v>2272</v>
      </c>
      <c r="X471" s="21" t="s">
        <v>2272</v>
      </c>
      <c r="Y471" s="21" t="s">
        <v>2272</v>
      </c>
      <c r="Z471" s="21" t="s">
        <v>2272</v>
      </c>
      <c r="AA471" s="198" t="s">
        <v>2272</v>
      </c>
      <c r="AB471" s="198" t="s">
        <v>2272</v>
      </c>
      <c r="AC471" s="198" t="s">
        <v>2272</v>
      </c>
      <c r="AD471" s="4" t="s">
        <v>2021</v>
      </c>
      <c r="AE471" s="198" t="s">
        <v>580</v>
      </c>
    </row>
    <row r="472" spans="1:31" ht="48.5" customHeight="1">
      <c r="A472" s="198" t="s">
        <v>674</v>
      </c>
      <c r="B472" s="198" t="s">
        <v>678</v>
      </c>
      <c r="C472" s="198" t="s">
        <v>23</v>
      </c>
      <c r="D472" s="198" t="s">
        <v>26</v>
      </c>
      <c r="E472" s="198" t="s">
        <v>128</v>
      </c>
      <c r="F472" s="4" t="s">
        <v>159</v>
      </c>
      <c r="G472" s="4" t="s">
        <v>2272</v>
      </c>
      <c r="H472" s="4" t="s">
        <v>521</v>
      </c>
      <c r="I472" s="198">
        <v>2002</v>
      </c>
      <c r="J472" s="21" t="s">
        <v>2272</v>
      </c>
      <c r="K472" s="198" t="s">
        <v>2272</v>
      </c>
      <c r="L472" s="21" t="s">
        <v>2272</v>
      </c>
      <c r="M472" s="21" t="s">
        <v>2272</v>
      </c>
      <c r="N472" s="21" t="s">
        <v>2272</v>
      </c>
      <c r="O472" s="21" t="s">
        <v>2272</v>
      </c>
      <c r="P472" s="21" t="s">
        <v>2272</v>
      </c>
      <c r="Q472" s="21" t="s">
        <v>2272</v>
      </c>
      <c r="R472" s="21" t="s">
        <v>2272</v>
      </c>
      <c r="S472" s="21" t="s">
        <v>2272</v>
      </c>
      <c r="T472" s="21" t="s">
        <v>2272</v>
      </c>
      <c r="U472" s="21" t="s">
        <v>2272</v>
      </c>
      <c r="V472" s="21" t="s">
        <v>2272</v>
      </c>
      <c r="W472" s="21" t="s">
        <v>2272</v>
      </c>
      <c r="X472" s="21" t="s">
        <v>2272</v>
      </c>
      <c r="Y472" s="21" t="s">
        <v>2272</v>
      </c>
      <c r="Z472" s="21" t="s">
        <v>2272</v>
      </c>
      <c r="AA472" s="198" t="s">
        <v>2272</v>
      </c>
      <c r="AB472" s="198" t="s">
        <v>2272</v>
      </c>
      <c r="AC472" s="198" t="s">
        <v>2272</v>
      </c>
      <c r="AD472" s="4"/>
      <c r="AE472" s="4" t="s">
        <v>2023</v>
      </c>
    </row>
    <row r="473" spans="1:31" ht="48.5" customHeight="1">
      <c r="A473" s="198" t="s">
        <v>674</v>
      </c>
      <c r="B473" s="198" t="s">
        <v>680</v>
      </c>
      <c r="C473" s="198" t="s">
        <v>23</v>
      </c>
      <c r="D473" s="198" t="s">
        <v>26</v>
      </c>
      <c r="E473" s="198" t="s">
        <v>128</v>
      </c>
      <c r="F473" s="4" t="s">
        <v>73</v>
      </c>
      <c r="G473" s="4" t="s">
        <v>2272</v>
      </c>
      <c r="H473" s="4" t="s">
        <v>522</v>
      </c>
      <c r="I473" s="198">
        <v>2002</v>
      </c>
      <c r="J473" s="21">
        <v>0</v>
      </c>
      <c r="K473" s="21">
        <v>0</v>
      </c>
      <c r="L473" s="21">
        <v>0</v>
      </c>
      <c r="M473" s="21">
        <v>0</v>
      </c>
      <c r="N473" s="21">
        <v>0</v>
      </c>
      <c r="O473" s="21">
        <v>0</v>
      </c>
      <c r="P473" s="21">
        <v>0</v>
      </c>
      <c r="Q473" s="21">
        <v>0</v>
      </c>
      <c r="R473" s="21" t="s">
        <v>2272</v>
      </c>
      <c r="S473" s="21" t="s">
        <v>2272</v>
      </c>
      <c r="T473" s="21">
        <v>0</v>
      </c>
      <c r="U473" s="21">
        <v>0</v>
      </c>
      <c r="V473" s="21">
        <v>0</v>
      </c>
      <c r="W473" s="21">
        <v>0</v>
      </c>
      <c r="X473" s="21">
        <v>0</v>
      </c>
      <c r="Y473" s="21">
        <v>0</v>
      </c>
      <c r="Z473" s="21" t="s">
        <v>2272</v>
      </c>
      <c r="AA473" s="198" t="s">
        <v>2272</v>
      </c>
      <c r="AB473" s="198" t="s">
        <v>2272</v>
      </c>
      <c r="AC473" s="198" t="s">
        <v>2272</v>
      </c>
      <c r="AD473" s="4" t="s">
        <v>2022</v>
      </c>
      <c r="AE473" s="4"/>
    </row>
    <row r="474" spans="1:31" ht="57" customHeight="1">
      <c r="A474" s="198" t="s">
        <v>677</v>
      </c>
      <c r="B474" s="198" t="s">
        <v>679</v>
      </c>
      <c r="C474" s="198" t="s">
        <v>23</v>
      </c>
      <c r="D474" s="198" t="s">
        <v>26</v>
      </c>
      <c r="E474" s="198" t="s">
        <v>128</v>
      </c>
      <c r="F474" s="4" t="s">
        <v>159</v>
      </c>
      <c r="G474" s="4" t="s">
        <v>2272</v>
      </c>
      <c r="H474" s="4" t="s">
        <v>521</v>
      </c>
      <c r="I474" s="198">
        <v>1997</v>
      </c>
      <c r="J474" s="21" t="s">
        <v>2272</v>
      </c>
      <c r="K474" s="198" t="s">
        <v>2272</v>
      </c>
      <c r="L474" s="21" t="s">
        <v>2272</v>
      </c>
      <c r="M474" s="21" t="s">
        <v>2272</v>
      </c>
      <c r="N474" s="21" t="s">
        <v>2272</v>
      </c>
      <c r="O474" s="21" t="s">
        <v>2272</v>
      </c>
      <c r="P474" s="21">
        <v>3</v>
      </c>
      <c r="Q474" s="21" t="s">
        <v>2272</v>
      </c>
      <c r="R474" s="21" t="s">
        <v>2272</v>
      </c>
      <c r="S474" s="21" t="s">
        <v>2272</v>
      </c>
      <c r="T474" s="21" t="s">
        <v>2272</v>
      </c>
      <c r="U474" s="21" t="s">
        <v>2272</v>
      </c>
      <c r="V474" s="21" t="s">
        <v>2272</v>
      </c>
      <c r="W474" s="21" t="s">
        <v>2272</v>
      </c>
      <c r="X474" s="21" t="s">
        <v>2272</v>
      </c>
      <c r="Y474" s="21" t="s">
        <v>2272</v>
      </c>
      <c r="Z474" s="21">
        <v>14</v>
      </c>
      <c r="AA474" s="198" t="s">
        <v>2272</v>
      </c>
      <c r="AB474" s="198" t="s">
        <v>2272</v>
      </c>
      <c r="AC474" s="198" t="s">
        <v>2272</v>
      </c>
      <c r="AD474" s="4"/>
      <c r="AE474" s="4" t="s">
        <v>2023</v>
      </c>
    </row>
    <row r="475" spans="1:31" ht="58.5" customHeight="1">
      <c r="A475" s="198" t="s">
        <v>681</v>
      </c>
      <c r="B475" s="198" t="s">
        <v>685</v>
      </c>
      <c r="C475" s="198" t="s">
        <v>23</v>
      </c>
      <c r="D475" s="198" t="s">
        <v>26</v>
      </c>
      <c r="E475" s="198" t="s">
        <v>128</v>
      </c>
      <c r="F475" s="4" t="s">
        <v>159</v>
      </c>
      <c r="G475" s="4" t="s">
        <v>2272</v>
      </c>
      <c r="H475" s="4" t="s">
        <v>521</v>
      </c>
      <c r="I475" s="198"/>
      <c r="J475" s="21" t="s">
        <v>2272</v>
      </c>
      <c r="K475" s="198" t="s">
        <v>2272</v>
      </c>
      <c r="L475" s="21" t="s">
        <v>2272</v>
      </c>
      <c r="M475" s="21" t="s">
        <v>2272</v>
      </c>
      <c r="N475" s="21" t="s">
        <v>2272</v>
      </c>
      <c r="O475" s="21" t="s">
        <v>2272</v>
      </c>
      <c r="P475" s="21" t="s">
        <v>2272</v>
      </c>
      <c r="Q475" s="21" t="s">
        <v>2272</v>
      </c>
      <c r="R475" s="21" t="s">
        <v>2272</v>
      </c>
      <c r="S475" s="21" t="s">
        <v>2272</v>
      </c>
      <c r="T475" s="21" t="s">
        <v>2272</v>
      </c>
      <c r="U475" s="21" t="s">
        <v>2272</v>
      </c>
      <c r="V475" s="21" t="s">
        <v>2272</v>
      </c>
      <c r="W475" s="21" t="s">
        <v>2272</v>
      </c>
      <c r="X475" s="21" t="s">
        <v>2272</v>
      </c>
      <c r="Y475" s="21" t="s">
        <v>2272</v>
      </c>
      <c r="Z475" s="21">
        <v>4.2</v>
      </c>
      <c r="AA475" s="198" t="s">
        <v>668</v>
      </c>
      <c r="AB475" s="198" t="s">
        <v>37</v>
      </c>
      <c r="AC475" s="198" t="s">
        <v>63</v>
      </c>
      <c r="AD475" s="4" t="s">
        <v>2025</v>
      </c>
      <c r="AE475" s="198"/>
    </row>
    <row r="476" spans="1:31" ht="52.5" customHeight="1">
      <c r="A476" s="198" t="s">
        <v>681</v>
      </c>
      <c r="B476" s="198" t="s">
        <v>686</v>
      </c>
      <c r="C476" s="198" t="s">
        <v>23</v>
      </c>
      <c r="D476" s="198" t="s">
        <v>26</v>
      </c>
      <c r="E476" s="198" t="s">
        <v>128</v>
      </c>
      <c r="F476" s="4" t="s">
        <v>159</v>
      </c>
      <c r="G476" s="4" t="s">
        <v>2272</v>
      </c>
      <c r="H476" s="4" t="s">
        <v>521</v>
      </c>
      <c r="I476" s="198"/>
      <c r="J476" s="21" t="s">
        <v>2272</v>
      </c>
      <c r="K476" s="198" t="s">
        <v>2272</v>
      </c>
      <c r="L476" s="21" t="s">
        <v>2272</v>
      </c>
      <c r="M476" s="21" t="s">
        <v>2272</v>
      </c>
      <c r="N476" s="21" t="s">
        <v>2272</v>
      </c>
      <c r="O476" s="21" t="s">
        <v>2272</v>
      </c>
      <c r="P476" s="21" t="s">
        <v>2272</v>
      </c>
      <c r="Q476" s="21" t="s">
        <v>2272</v>
      </c>
      <c r="R476" s="21" t="s">
        <v>2272</v>
      </c>
      <c r="S476" s="21" t="s">
        <v>2272</v>
      </c>
      <c r="T476" s="21" t="s">
        <v>2272</v>
      </c>
      <c r="U476" s="21" t="s">
        <v>2272</v>
      </c>
      <c r="V476" s="21" t="s">
        <v>2272</v>
      </c>
      <c r="W476" s="21" t="s">
        <v>2272</v>
      </c>
      <c r="X476" s="21" t="s">
        <v>2272</v>
      </c>
      <c r="Y476" s="21" t="s">
        <v>2272</v>
      </c>
      <c r="Z476" s="21">
        <v>4.9000000000000004</v>
      </c>
      <c r="AA476" s="198" t="s">
        <v>668</v>
      </c>
      <c r="AB476" s="198" t="s">
        <v>37</v>
      </c>
      <c r="AC476" s="198" t="s">
        <v>63</v>
      </c>
      <c r="AD476" s="4" t="s">
        <v>2025</v>
      </c>
      <c r="AE476" s="198"/>
    </row>
    <row r="477" spans="1:31" ht="55" customHeight="1">
      <c r="A477" s="198" t="s">
        <v>681</v>
      </c>
      <c r="B477" s="198" t="s">
        <v>687</v>
      </c>
      <c r="C477" s="198" t="s">
        <v>23</v>
      </c>
      <c r="D477" s="198" t="s">
        <v>26</v>
      </c>
      <c r="E477" s="198" t="s">
        <v>128</v>
      </c>
      <c r="F477" s="4" t="s">
        <v>159</v>
      </c>
      <c r="G477" s="4" t="s">
        <v>2272</v>
      </c>
      <c r="H477" s="4" t="s">
        <v>521</v>
      </c>
      <c r="I477" s="198"/>
      <c r="J477" s="21" t="s">
        <v>2272</v>
      </c>
      <c r="K477" s="198" t="s">
        <v>2272</v>
      </c>
      <c r="L477" s="21" t="s">
        <v>2272</v>
      </c>
      <c r="M477" s="21" t="s">
        <v>2272</v>
      </c>
      <c r="N477" s="21" t="s">
        <v>2272</v>
      </c>
      <c r="O477" s="21" t="s">
        <v>2272</v>
      </c>
      <c r="P477" s="21" t="s">
        <v>2272</v>
      </c>
      <c r="Q477" s="21" t="s">
        <v>2272</v>
      </c>
      <c r="R477" s="21" t="s">
        <v>2272</v>
      </c>
      <c r="S477" s="21" t="s">
        <v>2272</v>
      </c>
      <c r="T477" s="21" t="s">
        <v>2272</v>
      </c>
      <c r="U477" s="21" t="s">
        <v>2272</v>
      </c>
      <c r="V477" s="21" t="s">
        <v>2272</v>
      </c>
      <c r="W477" s="21" t="s">
        <v>2272</v>
      </c>
      <c r="X477" s="21" t="s">
        <v>2272</v>
      </c>
      <c r="Y477" s="21" t="s">
        <v>2272</v>
      </c>
      <c r="Z477" s="21">
        <v>5.6</v>
      </c>
      <c r="AA477" s="198" t="s">
        <v>668</v>
      </c>
      <c r="AB477" s="198" t="s">
        <v>37</v>
      </c>
      <c r="AC477" s="198" t="s">
        <v>63</v>
      </c>
      <c r="AD477" s="4" t="s">
        <v>2025</v>
      </c>
      <c r="AE477" s="198"/>
    </row>
    <row r="478" spans="1:31" ht="59" customHeight="1">
      <c r="A478" s="198" t="s">
        <v>682</v>
      </c>
      <c r="B478" s="198" t="s">
        <v>688</v>
      </c>
      <c r="C478" s="198" t="s">
        <v>23</v>
      </c>
      <c r="D478" s="198" t="s">
        <v>26</v>
      </c>
      <c r="E478" s="198" t="s">
        <v>128</v>
      </c>
      <c r="F478" s="4" t="s">
        <v>159</v>
      </c>
      <c r="G478" s="4" t="s">
        <v>2272</v>
      </c>
      <c r="H478" s="4" t="s">
        <v>521</v>
      </c>
      <c r="I478" s="198"/>
      <c r="J478" s="21" t="s">
        <v>2272</v>
      </c>
      <c r="K478" s="198" t="s">
        <v>2272</v>
      </c>
      <c r="L478" s="21" t="s">
        <v>2272</v>
      </c>
      <c r="M478" s="21" t="s">
        <v>2272</v>
      </c>
      <c r="N478" s="21" t="s">
        <v>2272</v>
      </c>
      <c r="O478" s="21" t="s">
        <v>2272</v>
      </c>
      <c r="P478" s="21" t="s">
        <v>2272</v>
      </c>
      <c r="Q478" s="21" t="s">
        <v>2272</v>
      </c>
      <c r="R478" s="21" t="s">
        <v>2272</v>
      </c>
      <c r="S478" s="21" t="s">
        <v>2272</v>
      </c>
      <c r="T478" s="21" t="s">
        <v>2272</v>
      </c>
      <c r="U478" s="21" t="s">
        <v>2272</v>
      </c>
      <c r="V478" s="21" t="s">
        <v>2272</v>
      </c>
      <c r="W478" s="21" t="s">
        <v>2272</v>
      </c>
      <c r="X478" s="21" t="s">
        <v>2272</v>
      </c>
      <c r="Y478" s="21" t="s">
        <v>2272</v>
      </c>
      <c r="Z478" s="21">
        <v>11.1</v>
      </c>
      <c r="AA478" s="198" t="s">
        <v>668</v>
      </c>
      <c r="AB478" s="198" t="s">
        <v>37</v>
      </c>
      <c r="AC478" s="198" t="s">
        <v>63</v>
      </c>
      <c r="AD478" s="4" t="s">
        <v>2025</v>
      </c>
      <c r="AE478" s="198"/>
    </row>
    <row r="479" spans="1:31" ht="69" customHeight="1">
      <c r="A479" s="198" t="s">
        <v>682</v>
      </c>
      <c r="B479" s="198" t="s">
        <v>689</v>
      </c>
      <c r="C479" s="198" t="s">
        <v>23</v>
      </c>
      <c r="D479" s="198" t="s">
        <v>26</v>
      </c>
      <c r="E479" s="198" t="s">
        <v>128</v>
      </c>
      <c r="F479" s="4" t="s">
        <v>159</v>
      </c>
      <c r="G479" s="4" t="s">
        <v>2272</v>
      </c>
      <c r="H479" s="4" t="s">
        <v>521</v>
      </c>
      <c r="I479" s="198"/>
      <c r="J479" s="21" t="s">
        <v>2272</v>
      </c>
      <c r="K479" s="198" t="s">
        <v>2272</v>
      </c>
      <c r="L479" s="21" t="s">
        <v>2272</v>
      </c>
      <c r="M479" s="21" t="s">
        <v>2272</v>
      </c>
      <c r="N479" s="21" t="s">
        <v>2272</v>
      </c>
      <c r="O479" s="21" t="s">
        <v>2272</v>
      </c>
      <c r="P479" s="21" t="s">
        <v>2272</v>
      </c>
      <c r="Q479" s="21" t="s">
        <v>2272</v>
      </c>
      <c r="R479" s="21" t="s">
        <v>2272</v>
      </c>
      <c r="S479" s="21" t="s">
        <v>2272</v>
      </c>
      <c r="T479" s="21" t="s">
        <v>2272</v>
      </c>
      <c r="U479" s="21" t="s">
        <v>2272</v>
      </c>
      <c r="V479" s="21" t="s">
        <v>2272</v>
      </c>
      <c r="W479" s="21" t="s">
        <v>2272</v>
      </c>
      <c r="X479" s="21" t="s">
        <v>2272</v>
      </c>
      <c r="Y479" s="21" t="s">
        <v>2272</v>
      </c>
      <c r="Z479" s="21">
        <v>5.3</v>
      </c>
      <c r="AA479" s="198" t="s">
        <v>668</v>
      </c>
      <c r="AB479" s="198" t="s">
        <v>37</v>
      </c>
      <c r="AC479" s="198" t="s">
        <v>63</v>
      </c>
      <c r="AD479" s="4" t="s">
        <v>2025</v>
      </c>
      <c r="AE479" s="198"/>
    </row>
    <row r="480" spans="1:31" ht="72" customHeight="1">
      <c r="A480" s="198" t="s">
        <v>682</v>
      </c>
      <c r="B480" s="198" t="s">
        <v>690</v>
      </c>
      <c r="C480" s="198" t="s">
        <v>23</v>
      </c>
      <c r="D480" s="198" t="s">
        <v>26</v>
      </c>
      <c r="E480" s="198" t="s">
        <v>128</v>
      </c>
      <c r="F480" s="4" t="s">
        <v>159</v>
      </c>
      <c r="G480" s="4" t="s">
        <v>2272</v>
      </c>
      <c r="H480" s="4" t="s">
        <v>521</v>
      </c>
      <c r="I480" s="198"/>
      <c r="J480" s="21" t="s">
        <v>2272</v>
      </c>
      <c r="K480" s="198" t="s">
        <v>2272</v>
      </c>
      <c r="L480" s="21" t="s">
        <v>2272</v>
      </c>
      <c r="M480" s="21" t="s">
        <v>2272</v>
      </c>
      <c r="N480" s="21" t="s">
        <v>2272</v>
      </c>
      <c r="O480" s="21" t="s">
        <v>2272</v>
      </c>
      <c r="P480" s="21" t="s">
        <v>2272</v>
      </c>
      <c r="Q480" s="21" t="s">
        <v>2272</v>
      </c>
      <c r="R480" s="21" t="s">
        <v>2272</v>
      </c>
      <c r="S480" s="21" t="s">
        <v>2272</v>
      </c>
      <c r="T480" s="21" t="s">
        <v>2272</v>
      </c>
      <c r="U480" s="21" t="s">
        <v>2272</v>
      </c>
      <c r="V480" s="21" t="s">
        <v>2272</v>
      </c>
      <c r="W480" s="21" t="s">
        <v>2272</v>
      </c>
      <c r="X480" s="21" t="s">
        <v>2272</v>
      </c>
      <c r="Y480" s="21" t="s">
        <v>2272</v>
      </c>
      <c r="Z480" s="21">
        <v>8.6</v>
      </c>
      <c r="AA480" s="198" t="s">
        <v>668</v>
      </c>
      <c r="AB480" s="198" t="s">
        <v>37</v>
      </c>
      <c r="AC480" s="198" t="s">
        <v>63</v>
      </c>
      <c r="AD480" s="4" t="s">
        <v>2025</v>
      </c>
      <c r="AE480" s="198"/>
    </row>
    <row r="481" spans="1:31" ht="73.5" customHeight="1">
      <c r="A481" s="198" t="s">
        <v>695</v>
      </c>
      <c r="B481" s="198" t="s">
        <v>705</v>
      </c>
      <c r="C481" s="198" t="s">
        <v>23</v>
      </c>
      <c r="D481" s="198" t="s">
        <v>26</v>
      </c>
      <c r="E481" s="198" t="s">
        <v>128</v>
      </c>
      <c r="F481" s="4" t="s">
        <v>27</v>
      </c>
      <c r="G481" s="4" t="s">
        <v>2272</v>
      </c>
      <c r="H481" s="4" t="s">
        <v>521</v>
      </c>
      <c r="I481" s="198"/>
      <c r="J481" s="21" t="s">
        <v>2272</v>
      </c>
      <c r="K481" s="198" t="s">
        <v>2272</v>
      </c>
      <c r="L481" s="21" t="s">
        <v>2272</v>
      </c>
      <c r="M481" s="21" t="s">
        <v>2272</v>
      </c>
      <c r="N481" s="21" t="s">
        <v>2272</v>
      </c>
      <c r="O481" s="21" t="s">
        <v>2272</v>
      </c>
      <c r="P481" s="21" t="s">
        <v>2272</v>
      </c>
      <c r="Q481" s="21" t="s">
        <v>2272</v>
      </c>
      <c r="R481" s="21" t="s">
        <v>2272</v>
      </c>
      <c r="S481" s="21" t="s">
        <v>2272</v>
      </c>
      <c r="T481" s="21" t="s">
        <v>2272</v>
      </c>
      <c r="U481" s="21" t="s">
        <v>2272</v>
      </c>
      <c r="V481" s="21" t="s">
        <v>2272</v>
      </c>
      <c r="W481" s="21" t="s">
        <v>2272</v>
      </c>
      <c r="X481" s="21" t="s">
        <v>2272</v>
      </c>
      <c r="Y481" s="21" t="s">
        <v>2272</v>
      </c>
      <c r="Z481" s="21">
        <v>3</v>
      </c>
      <c r="AA481" s="198" t="s">
        <v>2272</v>
      </c>
      <c r="AB481" s="198" t="s">
        <v>2272</v>
      </c>
      <c r="AC481" s="198" t="s">
        <v>2272</v>
      </c>
      <c r="AD481" s="4" t="s">
        <v>751</v>
      </c>
      <c r="AE481" s="4" t="s">
        <v>2026</v>
      </c>
    </row>
    <row r="482" spans="1:31" ht="58.5" customHeight="1">
      <c r="A482" s="198" t="s">
        <v>695</v>
      </c>
      <c r="B482" s="198" t="s">
        <v>2034</v>
      </c>
      <c r="C482" s="198" t="s">
        <v>23</v>
      </c>
      <c r="D482" s="198" t="s">
        <v>26</v>
      </c>
      <c r="E482" s="4" t="s">
        <v>395</v>
      </c>
      <c r="F482" s="4" t="s">
        <v>27</v>
      </c>
      <c r="G482" s="4" t="s">
        <v>2272</v>
      </c>
      <c r="H482" s="4" t="s">
        <v>522</v>
      </c>
      <c r="I482" s="198"/>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v>0</v>
      </c>
      <c r="Z482" s="21" t="s">
        <v>2272</v>
      </c>
      <c r="AA482" s="198" t="s">
        <v>2272</v>
      </c>
      <c r="AB482" s="198" t="s">
        <v>2272</v>
      </c>
      <c r="AC482" s="198" t="s">
        <v>2272</v>
      </c>
      <c r="AD482" s="4" t="s">
        <v>707</v>
      </c>
      <c r="AE482" s="198"/>
    </row>
    <row r="483" spans="1:31" ht="77.5" customHeight="1">
      <c r="A483" s="198" t="s">
        <v>696</v>
      </c>
      <c r="B483" s="198" t="s">
        <v>708</v>
      </c>
      <c r="C483" s="198" t="s">
        <v>23</v>
      </c>
      <c r="D483" s="198" t="s">
        <v>26</v>
      </c>
      <c r="E483" s="198" t="s">
        <v>128</v>
      </c>
      <c r="F483" s="4" t="s">
        <v>27</v>
      </c>
      <c r="G483" s="4" t="s">
        <v>2272</v>
      </c>
      <c r="H483" s="4" t="s">
        <v>521</v>
      </c>
      <c r="I483" s="198"/>
      <c r="J483" s="21" t="s">
        <v>2272</v>
      </c>
      <c r="K483" s="21" t="s">
        <v>2272</v>
      </c>
      <c r="L483" s="21" t="s">
        <v>2272</v>
      </c>
      <c r="M483" s="21" t="s">
        <v>2272</v>
      </c>
      <c r="N483" s="21" t="s">
        <v>2272</v>
      </c>
      <c r="O483" s="21" t="s">
        <v>2272</v>
      </c>
      <c r="P483" s="21" t="s">
        <v>2272</v>
      </c>
      <c r="Q483" s="21" t="s">
        <v>2272</v>
      </c>
      <c r="R483" s="21" t="s">
        <v>2272</v>
      </c>
      <c r="S483" s="21" t="s">
        <v>2272</v>
      </c>
      <c r="T483" s="21" t="s">
        <v>2272</v>
      </c>
      <c r="U483" s="21" t="s">
        <v>2272</v>
      </c>
      <c r="V483" s="21" t="s">
        <v>2272</v>
      </c>
      <c r="W483" s="21" t="s">
        <v>2272</v>
      </c>
      <c r="X483" s="21" t="s">
        <v>2272</v>
      </c>
      <c r="Y483" s="21" t="s">
        <v>2272</v>
      </c>
      <c r="Z483" s="21">
        <v>3</v>
      </c>
      <c r="AA483" s="198" t="s">
        <v>2272</v>
      </c>
      <c r="AB483" s="198" t="s">
        <v>2272</v>
      </c>
      <c r="AC483" s="198" t="s">
        <v>2272</v>
      </c>
      <c r="AD483" s="4" t="s">
        <v>751</v>
      </c>
      <c r="AE483" s="4" t="s">
        <v>2026</v>
      </c>
    </row>
    <row r="484" spans="1:31" ht="68" customHeight="1">
      <c r="A484" s="198" t="s">
        <v>696</v>
      </c>
      <c r="B484" s="198" t="s">
        <v>2035</v>
      </c>
      <c r="C484" s="198" t="s">
        <v>23</v>
      </c>
      <c r="D484" s="198" t="s">
        <v>26</v>
      </c>
      <c r="E484" s="4" t="s">
        <v>395</v>
      </c>
      <c r="F484" s="4" t="s">
        <v>27</v>
      </c>
      <c r="G484" s="4" t="s">
        <v>2272</v>
      </c>
      <c r="H484" s="4" t="s">
        <v>522</v>
      </c>
      <c r="I484" s="198"/>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v>0</v>
      </c>
      <c r="Z484" s="21" t="s">
        <v>2272</v>
      </c>
      <c r="AA484" s="198" t="s">
        <v>2272</v>
      </c>
      <c r="AB484" s="198" t="s">
        <v>2272</v>
      </c>
      <c r="AC484" s="198" t="s">
        <v>2272</v>
      </c>
      <c r="AD484" s="4" t="s">
        <v>707</v>
      </c>
      <c r="AE484" s="198"/>
    </row>
    <row r="485" spans="1:31" ht="73" customHeight="1">
      <c r="A485" s="198" t="s">
        <v>697</v>
      </c>
      <c r="B485" s="198" t="s">
        <v>709</v>
      </c>
      <c r="C485" s="198" t="s">
        <v>23</v>
      </c>
      <c r="D485" s="198" t="s">
        <v>26</v>
      </c>
      <c r="E485" s="198" t="s">
        <v>128</v>
      </c>
      <c r="F485" s="4" t="s">
        <v>27</v>
      </c>
      <c r="G485" s="4" t="s">
        <v>2272</v>
      </c>
      <c r="H485" s="4" t="s">
        <v>521</v>
      </c>
      <c r="I485" s="198"/>
      <c r="J485" s="21" t="s">
        <v>2272</v>
      </c>
      <c r="K485" s="21" t="s">
        <v>2272</v>
      </c>
      <c r="L485" s="21" t="s">
        <v>2272</v>
      </c>
      <c r="M485" s="21" t="s">
        <v>2272</v>
      </c>
      <c r="N485" s="21" t="s">
        <v>2272</v>
      </c>
      <c r="O485" s="21" t="s">
        <v>2272</v>
      </c>
      <c r="P485" s="21" t="s">
        <v>2272</v>
      </c>
      <c r="Q485" s="21" t="s">
        <v>2272</v>
      </c>
      <c r="R485" s="21" t="s">
        <v>2272</v>
      </c>
      <c r="S485" s="21" t="s">
        <v>2272</v>
      </c>
      <c r="T485" s="21" t="s">
        <v>2272</v>
      </c>
      <c r="U485" s="21" t="s">
        <v>2272</v>
      </c>
      <c r="V485" s="21" t="s">
        <v>2272</v>
      </c>
      <c r="W485" s="21" t="s">
        <v>2272</v>
      </c>
      <c r="X485" s="21" t="s">
        <v>2272</v>
      </c>
      <c r="Y485" s="21" t="s">
        <v>2272</v>
      </c>
      <c r="Z485" s="21">
        <v>3</v>
      </c>
      <c r="AA485" s="198" t="s">
        <v>2272</v>
      </c>
      <c r="AB485" s="198" t="s">
        <v>2272</v>
      </c>
      <c r="AC485" s="198" t="s">
        <v>2272</v>
      </c>
      <c r="AD485" s="4" t="s">
        <v>751</v>
      </c>
      <c r="AE485" s="4" t="s">
        <v>2026</v>
      </c>
    </row>
    <row r="486" spans="1:31" ht="70" customHeight="1">
      <c r="A486" s="198" t="s">
        <v>697</v>
      </c>
      <c r="B486" s="198" t="s">
        <v>2036</v>
      </c>
      <c r="C486" s="198" t="s">
        <v>23</v>
      </c>
      <c r="D486" s="198" t="s">
        <v>26</v>
      </c>
      <c r="E486" s="4" t="s">
        <v>395</v>
      </c>
      <c r="F486" s="4" t="s">
        <v>27</v>
      </c>
      <c r="G486" s="4" t="s">
        <v>2272</v>
      </c>
      <c r="H486" s="4" t="s">
        <v>522</v>
      </c>
      <c r="I486" s="198"/>
      <c r="J486" s="21">
        <v>0</v>
      </c>
      <c r="K486" s="21">
        <v>0</v>
      </c>
      <c r="L486" s="21">
        <v>0</v>
      </c>
      <c r="M486" s="21">
        <v>0</v>
      </c>
      <c r="N486" s="21">
        <v>0</v>
      </c>
      <c r="O486" s="21">
        <v>0</v>
      </c>
      <c r="P486" s="21">
        <v>0</v>
      </c>
      <c r="Q486" s="21">
        <v>0</v>
      </c>
      <c r="R486" s="21" t="s">
        <v>2272</v>
      </c>
      <c r="S486" s="21" t="s">
        <v>2272</v>
      </c>
      <c r="T486" s="21">
        <v>0</v>
      </c>
      <c r="U486" s="21">
        <v>0</v>
      </c>
      <c r="V486" s="21">
        <v>0</v>
      </c>
      <c r="W486" s="21">
        <v>0</v>
      </c>
      <c r="X486" s="21">
        <v>0</v>
      </c>
      <c r="Y486" s="21">
        <v>0</v>
      </c>
      <c r="Z486" s="21" t="s">
        <v>2272</v>
      </c>
      <c r="AA486" s="198" t="s">
        <v>2272</v>
      </c>
      <c r="AB486" s="198" t="s">
        <v>2272</v>
      </c>
      <c r="AC486" s="198" t="s">
        <v>2272</v>
      </c>
      <c r="AD486" s="4" t="s">
        <v>707</v>
      </c>
      <c r="AE486" s="198"/>
    </row>
    <row r="487" spans="1:31" ht="75" customHeight="1">
      <c r="A487" s="198" t="s">
        <v>698</v>
      </c>
      <c r="B487" s="198" t="s">
        <v>734</v>
      </c>
      <c r="C487" s="198" t="s">
        <v>23</v>
      </c>
      <c r="D487" s="198" t="s">
        <v>26</v>
      </c>
      <c r="E487" s="198" t="s">
        <v>128</v>
      </c>
      <c r="F487" s="4" t="s">
        <v>159</v>
      </c>
      <c r="G487" s="4" t="s">
        <v>2272</v>
      </c>
      <c r="H487" s="4" t="s">
        <v>521</v>
      </c>
      <c r="I487" s="198"/>
      <c r="J487" s="21" t="s">
        <v>2272</v>
      </c>
      <c r="K487" s="21" t="s">
        <v>2272</v>
      </c>
      <c r="L487" s="21" t="s">
        <v>2272</v>
      </c>
      <c r="M487" s="21" t="s">
        <v>2272</v>
      </c>
      <c r="N487" s="21" t="s">
        <v>2272</v>
      </c>
      <c r="O487" s="21" t="s">
        <v>2272</v>
      </c>
      <c r="P487" s="21" t="s">
        <v>2272</v>
      </c>
      <c r="Q487" s="21" t="s">
        <v>2272</v>
      </c>
      <c r="R487" s="21">
        <v>0</v>
      </c>
      <c r="S487" s="21">
        <v>0</v>
      </c>
      <c r="T487" s="21" t="s">
        <v>2272</v>
      </c>
      <c r="U487" s="21" t="s">
        <v>2272</v>
      </c>
      <c r="V487" s="21" t="s">
        <v>2272</v>
      </c>
      <c r="W487" s="21" t="s">
        <v>2272</v>
      </c>
      <c r="X487" s="21" t="s">
        <v>2272</v>
      </c>
      <c r="Y487" s="21" t="s">
        <v>2272</v>
      </c>
      <c r="Z487" s="21" t="s">
        <v>2272</v>
      </c>
      <c r="AA487" s="198" t="s">
        <v>2272</v>
      </c>
      <c r="AB487" s="198" t="s">
        <v>2272</v>
      </c>
      <c r="AC487" s="198" t="s">
        <v>2272</v>
      </c>
      <c r="AD487" s="198" t="s">
        <v>715</v>
      </c>
      <c r="AE487" s="4" t="s">
        <v>2027</v>
      </c>
    </row>
    <row r="488" spans="1:31" ht="65" customHeight="1">
      <c r="A488" s="198" t="s">
        <v>698</v>
      </c>
      <c r="B488" s="198" t="s">
        <v>714</v>
      </c>
      <c r="C488" s="198" t="s">
        <v>23</v>
      </c>
      <c r="D488" s="198" t="s">
        <v>26</v>
      </c>
      <c r="E488" s="4" t="s">
        <v>395</v>
      </c>
      <c r="F488" s="4" t="s">
        <v>27</v>
      </c>
      <c r="G488" s="4" t="s">
        <v>2272</v>
      </c>
      <c r="H488" s="4" t="s">
        <v>522</v>
      </c>
      <c r="I488" s="198"/>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21">
        <v>0</v>
      </c>
      <c r="Z488" s="21" t="s">
        <v>2272</v>
      </c>
      <c r="AA488" s="198" t="s">
        <v>2272</v>
      </c>
      <c r="AB488" s="198" t="s">
        <v>2272</v>
      </c>
      <c r="AC488" s="198" t="s">
        <v>2272</v>
      </c>
      <c r="AD488" s="198" t="s">
        <v>743</v>
      </c>
      <c r="AE488" s="198"/>
    </row>
    <row r="489" spans="1:31" ht="64" customHeight="1">
      <c r="A489" s="198" t="s">
        <v>702</v>
      </c>
      <c r="B489" s="198" t="s">
        <v>711</v>
      </c>
      <c r="C489" s="198" t="s">
        <v>23</v>
      </c>
      <c r="D489" s="198" t="s">
        <v>26</v>
      </c>
      <c r="E489" s="198" t="s">
        <v>128</v>
      </c>
      <c r="F489" s="4" t="s">
        <v>159</v>
      </c>
      <c r="G489" s="4" t="s">
        <v>2272</v>
      </c>
      <c r="H489" s="4" t="s">
        <v>521</v>
      </c>
      <c r="I489" s="198"/>
      <c r="J489" s="21" t="s">
        <v>2272</v>
      </c>
      <c r="K489" s="21" t="s">
        <v>2272</v>
      </c>
      <c r="L489" s="21" t="s">
        <v>2272</v>
      </c>
      <c r="M489" s="21" t="s">
        <v>2272</v>
      </c>
      <c r="N489" s="21" t="s">
        <v>2272</v>
      </c>
      <c r="O489" s="21" t="s">
        <v>2272</v>
      </c>
      <c r="P489" s="21" t="s">
        <v>2272</v>
      </c>
      <c r="Q489" s="21" t="s">
        <v>2272</v>
      </c>
      <c r="R489" s="21" t="s">
        <v>2272</v>
      </c>
      <c r="S489" s="21" t="s">
        <v>2272</v>
      </c>
      <c r="T489" s="21" t="s">
        <v>2272</v>
      </c>
      <c r="U489" s="21" t="s">
        <v>2272</v>
      </c>
      <c r="V489" s="21" t="s">
        <v>2272</v>
      </c>
      <c r="W489" s="21" t="s">
        <v>2272</v>
      </c>
      <c r="X489" s="21" t="s">
        <v>2272</v>
      </c>
      <c r="Y489" s="21" t="s">
        <v>2272</v>
      </c>
      <c r="Z489" s="21" t="s">
        <v>2272</v>
      </c>
      <c r="AA489" s="198" t="s">
        <v>2272</v>
      </c>
      <c r="AB489" s="198" t="s">
        <v>2272</v>
      </c>
      <c r="AC489" s="198" t="s">
        <v>2272</v>
      </c>
      <c r="AD489" s="198" t="s">
        <v>715</v>
      </c>
      <c r="AE489" s="4" t="s">
        <v>2027</v>
      </c>
    </row>
    <row r="490" spans="1:31" ht="60" customHeight="1">
      <c r="A490" s="198" t="s">
        <v>702</v>
      </c>
      <c r="B490" s="198" t="s">
        <v>712</v>
      </c>
      <c r="C490" s="198" t="s">
        <v>23</v>
      </c>
      <c r="D490" s="198" t="s">
        <v>26</v>
      </c>
      <c r="E490" s="4" t="s">
        <v>395</v>
      </c>
      <c r="F490" s="4" t="s">
        <v>27</v>
      </c>
      <c r="G490" s="4" t="s">
        <v>2272</v>
      </c>
      <c r="H490" s="4" t="s">
        <v>522</v>
      </c>
      <c r="I490" s="198"/>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21">
        <v>0</v>
      </c>
      <c r="Z490" s="21" t="s">
        <v>2272</v>
      </c>
      <c r="AA490" s="198" t="s">
        <v>2272</v>
      </c>
      <c r="AB490" s="198" t="s">
        <v>2272</v>
      </c>
      <c r="AC490" s="198" t="s">
        <v>2272</v>
      </c>
      <c r="AD490" s="198" t="s">
        <v>743</v>
      </c>
      <c r="AE490" s="198"/>
    </row>
    <row r="491" spans="1:31" ht="78.5" customHeight="1">
      <c r="A491" s="198" t="s">
        <v>703</v>
      </c>
      <c r="B491" s="198" t="s">
        <v>733</v>
      </c>
      <c r="C491" s="198" t="s">
        <v>23</v>
      </c>
      <c r="D491" s="198" t="s">
        <v>26</v>
      </c>
      <c r="E491" s="198" t="s">
        <v>128</v>
      </c>
      <c r="F491" s="4" t="s">
        <v>159</v>
      </c>
      <c r="G491" s="4" t="s">
        <v>2272</v>
      </c>
      <c r="H491" s="198" t="s">
        <v>521</v>
      </c>
      <c r="I491" s="198"/>
      <c r="J491" s="21" t="s">
        <v>2272</v>
      </c>
      <c r="K491" s="21" t="s">
        <v>2272</v>
      </c>
      <c r="L491" s="21" t="s">
        <v>2272</v>
      </c>
      <c r="M491" s="21" t="s">
        <v>2272</v>
      </c>
      <c r="N491" s="21" t="s">
        <v>2272</v>
      </c>
      <c r="O491" s="21" t="s">
        <v>2272</v>
      </c>
      <c r="P491" s="21" t="s">
        <v>2272</v>
      </c>
      <c r="Q491" s="21" t="s">
        <v>2272</v>
      </c>
      <c r="R491" s="21" t="s">
        <v>2272</v>
      </c>
      <c r="S491" s="21" t="s">
        <v>2272</v>
      </c>
      <c r="T491" s="21" t="s">
        <v>2272</v>
      </c>
      <c r="U491" s="21" t="s">
        <v>2272</v>
      </c>
      <c r="V491" s="21" t="s">
        <v>2272</v>
      </c>
      <c r="W491" s="21" t="s">
        <v>2272</v>
      </c>
      <c r="X491" s="21" t="s">
        <v>2272</v>
      </c>
      <c r="Y491" s="21" t="s">
        <v>2272</v>
      </c>
      <c r="Z491" s="21" t="s">
        <v>2272</v>
      </c>
      <c r="AA491" s="198" t="s">
        <v>2272</v>
      </c>
      <c r="AB491" s="198" t="s">
        <v>2272</v>
      </c>
      <c r="AC491" s="198" t="s">
        <v>2272</v>
      </c>
      <c r="AD491" s="198" t="s">
        <v>715</v>
      </c>
      <c r="AE491" s="4" t="s">
        <v>2027</v>
      </c>
    </row>
    <row r="492" spans="1:31" ht="57" customHeight="1">
      <c r="A492" s="198" t="s">
        <v>703</v>
      </c>
      <c r="B492" s="198" t="s">
        <v>713</v>
      </c>
      <c r="C492" s="198" t="s">
        <v>23</v>
      </c>
      <c r="D492" s="198" t="s">
        <v>26</v>
      </c>
      <c r="E492" s="4" t="s">
        <v>395</v>
      </c>
      <c r="F492" s="4" t="s">
        <v>27</v>
      </c>
      <c r="G492" s="4" t="s">
        <v>2272</v>
      </c>
      <c r="H492" s="4" t="s">
        <v>522</v>
      </c>
      <c r="I492" s="198"/>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21">
        <v>0</v>
      </c>
      <c r="Z492" s="21" t="s">
        <v>2272</v>
      </c>
      <c r="AA492" s="198" t="s">
        <v>2272</v>
      </c>
      <c r="AB492" s="198" t="s">
        <v>2272</v>
      </c>
      <c r="AC492" s="198" t="s">
        <v>2272</v>
      </c>
      <c r="AD492" s="198" t="s">
        <v>743</v>
      </c>
      <c r="AE492" s="198"/>
    </row>
    <row r="493" spans="1:31" ht="39.5" customHeight="1">
      <c r="A493" s="198" t="s">
        <v>722</v>
      </c>
      <c r="B493" s="198" t="s">
        <v>731</v>
      </c>
      <c r="C493" s="198" t="s">
        <v>23</v>
      </c>
      <c r="D493" s="198" t="s">
        <v>26</v>
      </c>
      <c r="E493" s="198" t="s">
        <v>128</v>
      </c>
      <c r="F493" s="4" t="s">
        <v>159</v>
      </c>
      <c r="G493" s="4" t="s">
        <v>2272</v>
      </c>
      <c r="H493" s="198" t="s">
        <v>521</v>
      </c>
      <c r="I493" s="198"/>
      <c r="J493" s="21" t="s">
        <v>2272</v>
      </c>
      <c r="K493" s="21" t="s">
        <v>2272</v>
      </c>
      <c r="L493" s="21" t="s">
        <v>2272</v>
      </c>
      <c r="M493" s="21" t="s">
        <v>2272</v>
      </c>
      <c r="N493" s="21" t="s">
        <v>2272</v>
      </c>
      <c r="O493" s="21" t="s">
        <v>2272</v>
      </c>
      <c r="P493" s="21" t="s">
        <v>2272</v>
      </c>
      <c r="Q493" s="21" t="s">
        <v>2272</v>
      </c>
      <c r="R493" s="21" t="s">
        <v>2272</v>
      </c>
      <c r="S493" s="21" t="s">
        <v>2272</v>
      </c>
      <c r="T493" s="21" t="s">
        <v>2272</v>
      </c>
      <c r="U493" s="21" t="s">
        <v>2272</v>
      </c>
      <c r="V493" s="21" t="s">
        <v>2272</v>
      </c>
      <c r="W493" s="21" t="s">
        <v>2272</v>
      </c>
      <c r="X493" s="21" t="s">
        <v>2272</v>
      </c>
      <c r="Y493" s="21" t="s">
        <v>2272</v>
      </c>
      <c r="Z493" s="21" t="s">
        <v>2272</v>
      </c>
      <c r="AA493" s="198" t="s">
        <v>2272</v>
      </c>
      <c r="AB493" s="198" t="s">
        <v>2272</v>
      </c>
      <c r="AC493" s="198" t="s">
        <v>2272</v>
      </c>
      <c r="AD493" s="198" t="s">
        <v>715</v>
      </c>
      <c r="AE493" s="198" t="s">
        <v>2040</v>
      </c>
    </row>
    <row r="494" spans="1:31" ht="39.5" customHeight="1">
      <c r="A494" s="198" t="s">
        <v>722</v>
      </c>
      <c r="B494" s="198" t="s">
        <v>732</v>
      </c>
      <c r="C494" s="198" t="s">
        <v>23</v>
      </c>
      <c r="D494" s="198" t="s">
        <v>26</v>
      </c>
      <c r="E494" s="4" t="s">
        <v>395</v>
      </c>
      <c r="F494" s="4" t="s">
        <v>27</v>
      </c>
      <c r="G494" s="4" t="s">
        <v>2272</v>
      </c>
      <c r="H494" s="4" t="s">
        <v>522</v>
      </c>
      <c r="I494" s="198"/>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v>0</v>
      </c>
      <c r="Z494" s="21" t="s">
        <v>2272</v>
      </c>
      <c r="AA494" s="198" t="s">
        <v>2272</v>
      </c>
      <c r="AB494" s="198" t="s">
        <v>2272</v>
      </c>
      <c r="AC494" s="198" t="s">
        <v>2272</v>
      </c>
      <c r="AD494" s="198" t="s">
        <v>743</v>
      </c>
      <c r="AE494" s="198"/>
    </row>
    <row r="495" spans="1:31" ht="38" customHeight="1">
      <c r="A495" s="198" t="s">
        <v>723</v>
      </c>
      <c r="B495" s="198" t="s">
        <v>735</v>
      </c>
      <c r="C495" s="198" t="s">
        <v>23</v>
      </c>
      <c r="D495" s="198" t="s">
        <v>26</v>
      </c>
      <c r="E495" s="198" t="s">
        <v>128</v>
      </c>
      <c r="F495" s="4" t="s">
        <v>159</v>
      </c>
      <c r="G495" s="4" t="s">
        <v>2272</v>
      </c>
      <c r="H495" s="198" t="s">
        <v>521</v>
      </c>
      <c r="I495" s="198"/>
      <c r="J495" s="21" t="s">
        <v>2272</v>
      </c>
      <c r="K495" s="21" t="s">
        <v>2272</v>
      </c>
      <c r="L495" s="21" t="s">
        <v>2272</v>
      </c>
      <c r="M495" s="21" t="s">
        <v>2272</v>
      </c>
      <c r="N495" s="21" t="s">
        <v>2272</v>
      </c>
      <c r="O495" s="21" t="s">
        <v>2272</v>
      </c>
      <c r="P495" s="21" t="s">
        <v>2272</v>
      </c>
      <c r="Q495" s="21" t="s">
        <v>2272</v>
      </c>
      <c r="R495" s="21" t="s">
        <v>2272</v>
      </c>
      <c r="S495" s="21" t="s">
        <v>2272</v>
      </c>
      <c r="T495" s="21" t="s">
        <v>2272</v>
      </c>
      <c r="U495" s="21" t="s">
        <v>2272</v>
      </c>
      <c r="V495" s="21" t="s">
        <v>2272</v>
      </c>
      <c r="W495" s="21" t="s">
        <v>2272</v>
      </c>
      <c r="X495" s="21" t="s">
        <v>2272</v>
      </c>
      <c r="Y495" s="21" t="s">
        <v>2272</v>
      </c>
      <c r="Z495" s="21" t="s">
        <v>2272</v>
      </c>
      <c r="AA495" s="198" t="s">
        <v>2272</v>
      </c>
      <c r="AB495" s="198" t="s">
        <v>2272</v>
      </c>
      <c r="AC495" s="198" t="s">
        <v>2272</v>
      </c>
      <c r="AD495" s="198" t="s">
        <v>715</v>
      </c>
      <c r="AE495" s="198" t="s">
        <v>2040</v>
      </c>
    </row>
    <row r="496" spans="1:31" ht="38" customHeight="1">
      <c r="A496" s="198" t="s">
        <v>723</v>
      </c>
      <c r="B496" s="198" t="s">
        <v>736</v>
      </c>
      <c r="C496" s="198" t="s">
        <v>23</v>
      </c>
      <c r="D496" s="198" t="s">
        <v>26</v>
      </c>
      <c r="E496" s="4" t="s">
        <v>395</v>
      </c>
      <c r="F496" s="4" t="s">
        <v>27</v>
      </c>
      <c r="G496" s="4" t="s">
        <v>2272</v>
      </c>
      <c r="H496" s="4" t="s">
        <v>522</v>
      </c>
      <c r="I496" s="198"/>
      <c r="J496" s="21">
        <v>0</v>
      </c>
      <c r="K496" s="21">
        <v>0</v>
      </c>
      <c r="L496" s="21">
        <v>0</v>
      </c>
      <c r="M496" s="21">
        <v>0</v>
      </c>
      <c r="N496" s="21">
        <v>0</v>
      </c>
      <c r="O496" s="21">
        <v>0</v>
      </c>
      <c r="P496" s="21">
        <v>0</v>
      </c>
      <c r="Q496" s="21">
        <v>0</v>
      </c>
      <c r="R496" s="21" t="s">
        <v>2272</v>
      </c>
      <c r="S496" s="21" t="s">
        <v>2272</v>
      </c>
      <c r="T496" s="21">
        <v>0</v>
      </c>
      <c r="U496" s="21">
        <v>0</v>
      </c>
      <c r="V496" s="21">
        <v>0</v>
      </c>
      <c r="W496" s="21">
        <v>0</v>
      </c>
      <c r="X496" s="21">
        <v>0</v>
      </c>
      <c r="Y496" s="21">
        <v>0</v>
      </c>
      <c r="Z496" s="21" t="s">
        <v>2272</v>
      </c>
      <c r="AA496" s="198" t="s">
        <v>2272</v>
      </c>
      <c r="AB496" s="198" t="s">
        <v>2272</v>
      </c>
      <c r="AC496" s="198" t="s">
        <v>2272</v>
      </c>
      <c r="AD496" s="198" t="s">
        <v>743</v>
      </c>
      <c r="AE496" s="198"/>
    </row>
    <row r="497" spans="1:31" ht="37" customHeight="1">
      <c r="A497" s="198" t="s">
        <v>724</v>
      </c>
      <c r="B497" s="198" t="s">
        <v>737</v>
      </c>
      <c r="C497" s="198" t="s">
        <v>23</v>
      </c>
      <c r="D497" s="198" t="s">
        <v>26</v>
      </c>
      <c r="E497" s="198" t="s">
        <v>128</v>
      </c>
      <c r="F497" s="4" t="s">
        <v>159</v>
      </c>
      <c r="G497" s="4" t="s">
        <v>2272</v>
      </c>
      <c r="H497" s="198" t="s">
        <v>521</v>
      </c>
      <c r="I497" s="198"/>
      <c r="J497" s="21" t="s">
        <v>2272</v>
      </c>
      <c r="K497" s="21" t="s">
        <v>2272</v>
      </c>
      <c r="L497" s="21" t="s">
        <v>2272</v>
      </c>
      <c r="M497" s="21" t="s">
        <v>2272</v>
      </c>
      <c r="N497" s="21" t="s">
        <v>2272</v>
      </c>
      <c r="O497" s="21" t="s">
        <v>2272</v>
      </c>
      <c r="P497" s="21" t="s">
        <v>2272</v>
      </c>
      <c r="Q497" s="21" t="s">
        <v>2272</v>
      </c>
      <c r="R497" s="21" t="s">
        <v>2272</v>
      </c>
      <c r="S497" s="21" t="s">
        <v>2272</v>
      </c>
      <c r="T497" s="21" t="s">
        <v>2272</v>
      </c>
      <c r="U497" s="21" t="s">
        <v>2272</v>
      </c>
      <c r="V497" s="21" t="s">
        <v>2272</v>
      </c>
      <c r="W497" s="21" t="s">
        <v>2272</v>
      </c>
      <c r="X497" s="21" t="s">
        <v>2272</v>
      </c>
      <c r="Y497" s="21" t="s">
        <v>2272</v>
      </c>
      <c r="Z497" s="21" t="s">
        <v>2272</v>
      </c>
      <c r="AA497" s="198" t="s">
        <v>2272</v>
      </c>
      <c r="AB497" s="198" t="s">
        <v>2272</v>
      </c>
      <c r="AC497" s="198" t="s">
        <v>2272</v>
      </c>
      <c r="AD497" s="198" t="s">
        <v>715</v>
      </c>
      <c r="AE497" s="198" t="s">
        <v>2040</v>
      </c>
    </row>
    <row r="498" spans="1:31" ht="38.5" customHeight="1">
      <c r="A498" s="198" t="s">
        <v>724</v>
      </c>
      <c r="B498" s="198" t="s">
        <v>742</v>
      </c>
      <c r="C498" s="198" t="s">
        <v>23</v>
      </c>
      <c r="D498" s="198" t="s">
        <v>26</v>
      </c>
      <c r="E498" s="4" t="s">
        <v>395</v>
      </c>
      <c r="F498" s="4" t="s">
        <v>27</v>
      </c>
      <c r="G498" s="4" t="s">
        <v>2272</v>
      </c>
      <c r="H498" s="4" t="s">
        <v>522</v>
      </c>
      <c r="I498" s="198"/>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v>0</v>
      </c>
      <c r="Z498" s="21" t="s">
        <v>2272</v>
      </c>
      <c r="AA498" s="198" t="s">
        <v>2272</v>
      </c>
      <c r="AB498" s="198" t="s">
        <v>2272</v>
      </c>
      <c r="AC498" s="198" t="s">
        <v>2272</v>
      </c>
      <c r="AD498" s="198" t="s">
        <v>743</v>
      </c>
      <c r="AE498" s="198"/>
    </row>
    <row r="499" spans="1:31" ht="36" customHeight="1">
      <c r="A499" s="198" t="s">
        <v>744</v>
      </c>
      <c r="B499" s="198" t="s">
        <v>747</v>
      </c>
      <c r="C499" s="198" t="s">
        <v>23</v>
      </c>
      <c r="D499" s="198" t="s">
        <v>26</v>
      </c>
      <c r="E499" s="198" t="s">
        <v>128</v>
      </c>
      <c r="F499" s="4" t="s">
        <v>159</v>
      </c>
      <c r="G499" s="4" t="s">
        <v>2272</v>
      </c>
      <c r="H499" s="198" t="s">
        <v>521</v>
      </c>
      <c r="I499" s="198"/>
      <c r="J499" s="21" t="s">
        <v>2272</v>
      </c>
      <c r="K499" s="21" t="s">
        <v>2272</v>
      </c>
      <c r="L499" s="21" t="s">
        <v>2272</v>
      </c>
      <c r="M499" s="21" t="s">
        <v>2272</v>
      </c>
      <c r="N499" s="21" t="s">
        <v>2272</v>
      </c>
      <c r="O499" s="21" t="s">
        <v>2272</v>
      </c>
      <c r="P499" s="21" t="s">
        <v>2272</v>
      </c>
      <c r="Q499" s="21" t="s">
        <v>2272</v>
      </c>
      <c r="R499" s="21" t="s">
        <v>2272</v>
      </c>
      <c r="S499" s="21" t="s">
        <v>2272</v>
      </c>
      <c r="T499" s="21" t="s">
        <v>2272</v>
      </c>
      <c r="U499" s="21" t="s">
        <v>2272</v>
      </c>
      <c r="V499" s="21" t="s">
        <v>2272</v>
      </c>
      <c r="W499" s="21" t="s">
        <v>2272</v>
      </c>
      <c r="X499" s="21" t="s">
        <v>2272</v>
      </c>
      <c r="Y499" s="21" t="s">
        <v>2272</v>
      </c>
      <c r="Z499" s="198">
        <v>10</v>
      </c>
      <c r="AA499" s="198" t="s">
        <v>2272</v>
      </c>
      <c r="AB499" s="198" t="s">
        <v>2272</v>
      </c>
      <c r="AC499" s="198" t="s">
        <v>2272</v>
      </c>
      <c r="AD499" s="4" t="s">
        <v>748</v>
      </c>
      <c r="AE499" s="198"/>
    </row>
    <row r="500" spans="1:31" ht="48.5" customHeight="1">
      <c r="A500" s="198" t="s">
        <v>750</v>
      </c>
      <c r="B500" s="198" t="s">
        <v>760</v>
      </c>
      <c r="C500" s="198" t="s">
        <v>23</v>
      </c>
      <c r="D500" s="198" t="s">
        <v>26</v>
      </c>
      <c r="E500" s="198" t="s">
        <v>128</v>
      </c>
      <c r="F500" s="4" t="s">
        <v>159</v>
      </c>
      <c r="G500" s="4" t="s">
        <v>2272</v>
      </c>
      <c r="H500" s="198" t="s">
        <v>521</v>
      </c>
      <c r="I500" s="198"/>
      <c r="J500" s="198" t="s">
        <v>2272</v>
      </c>
      <c r="K500" s="198" t="s">
        <v>2272</v>
      </c>
      <c r="L500" s="198" t="s">
        <v>2272</v>
      </c>
      <c r="M500" s="198" t="s">
        <v>2272</v>
      </c>
      <c r="N500" s="198" t="s">
        <v>2272</v>
      </c>
      <c r="O500" s="198" t="s">
        <v>2272</v>
      </c>
      <c r="P500" s="198" t="s">
        <v>2272</v>
      </c>
      <c r="Q500" s="198" t="s">
        <v>2272</v>
      </c>
      <c r="R500" s="21" t="s">
        <v>2272</v>
      </c>
      <c r="S500" s="21" t="s">
        <v>2272</v>
      </c>
      <c r="T500" s="198" t="s">
        <v>2272</v>
      </c>
      <c r="U500" s="198" t="s">
        <v>2272</v>
      </c>
      <c r="V500" s="198" t="s">
        <v>2272</v>
      </c>
      <c r="W500" s="198" t="s">
        <v>2272</v>
      </c>
      <c r="X500" s="198" t="s">
        <v>2272</v>
      </c>
      <c r="Y500" s="198" t="s">
        <v>2272</v>
      </c>
      <c r="Z500" s="198" t="s">
        <v>2272</v>
      </c>
      <c r="AA500" s="198" t="s">
        <v>2272</v>
      </c>
      <c r="AB500" s="198" t="s">
        <v>2272</v>
      </c>
      <c r="AC500" s="198" t="s">
        <v>2272</v>
      </c>
      <c r="AD500" s="198"/>
      <c r="AE500" s="4" t="s">
        <v>5012</v>
      </c>
    </row>
    <row r="501" spans="1:31" ht="52.5" customHeight="1">
      <c r="A501" s="198" t="s">
        <v>753</v>
      </c>
      <c r="B501" s="198" t="s">
        <v>761</v>
      </c>
      <c r="C501" s="198" t="s">
        <v>23</v>
      </c>
      <c r="D501" s="198" t="s">
        <v>26</v>
      </c>
      <c r="E501" s="198" t="s">
        <v>128</v>
      </c>
      <c r="F501" s="4" t="s">
        <v>159</v>
      </c>
      <c r="G501" s="4" t="s">
        <v>2272</v>
      </c>
      <c r="H501" s="198" t="s">
        <v>521</v>
      </c>
      <c r="I501" s="198"/>
      <c r="J501" s="198" t="s">
        <v>2272</v>
      </c>
      <c r="K501" s="198" t="s">
        <v>2272</v>
      </c>
      <c r="L501" s="198" t="s">
        <v>2272</v>
      </c>
      <c r="M501" s="198" t="s">
        <v>2272</v>
      </c>
      <c r="N501" s="198" t="s">
        <v>2272</v>
      </c>
      <c r="O501" s="198" t="s">
        <v>2272</v>
      </c>
      <c r="P501" s="198" t="s">
        <v>2272</v>
      </c>
      <c r="Q501" s="198" t="s">
        <v>2272</v>
      </c>
      <c r="R501" s="21" t="s">
        <v>2272</v>
      </c>
      <c r="S501" s="21" t="s">
        <v>2272</v>
      </c>
      <c r="T501" s="198" t="s">
        <v>2272</v>
      </c>
      <c r="U501" s="198" t="s">
        <v>2272</v>
      </c>
      <c r="V501" s="198" t="s">
        <v>2272</v>
      </c>
      <c r="W501" s="198" t="s">
        <v>2272</v>
      </c>
      <c r="X501" s="198" t="s">
        <v>2272</v>
      </c>
      <c r="Y501" s="198" t="s">
        <v>2272</v>
      </c>
      <c r="Z501" s="198" t="s">
        <v>2272</v>
      </c>
      <c r="AA501" s="198" t="s">
        <v>2272</v>
      </c>
      <c r="AB501" s="198" t="s">
        <v>2272</v>
      </c>
      <c r="AC501" s="198" t="s">
        <v>2272</v>
      </c>
      <c r="AD501" s="198"/>
      <c r="AE501" s="4" t="s">
        <v>5013</v>
      </c>
    </row>
    <row r="502" spans="1:31" ht="61" customHeight="1">
      <c r="A502" s="198" t="s">
        <v>754</v>
      </c>
      <c r="B502" s="198" t="s">
        <v>762</v>
      </c>
      <c r="C502" s="198" t="s">
        <v>23</v>
      </c>
      <c r="D502" s="198" t="s">
        <v>26</v>
      </c>
      <c r="E502" s="198" t="s">
        <v>128</v>
      </c>
      <c r="F502" s="4" t="s">
        <v>159</v>
      </c>
      <c r="G502" s="4" t="s">
        <v>2272</v>
      </c>
      <c r="H502" s="198" t="s">
        <v>521</v>
      </c>
      <c r="I502" s="198"/>
      <c r="J502" s="198" t="s">
        <v>2272</v>
      </c>
      <c r="K502" s="198" t="s">
        <v>2272</v>
      </c>
      <c r="L502" s="198" t="s">
        <v>2272</v>
      </c>
      <c r="M502" s="198" t="s">
        <v>2272</v>
      </c>
      <c r="N502" s="198" t="s">
        <v>2272</v>
      </c>
      <c r="O502" s="198" t="s">
        <v>2272</v>
      </c>
      <c r="P502" s="198" t="s">
        <v>2272</v>
      </c>
      <c r="Q502" s="198" t="s">
        <v>2272</v>
      </c>
      <c r="R502" s="21" t="s">
        <v>2272</v>
      </c>
      <c r="S502" s="21" t="s">
        <v>2272</v>
      </c>
      <c r="T502" s="198" t="s">
        <v>2272</v>
      </c>
      <c r="U502" s="198" t="s">
        <v>2272</v>
      </c>
      <c r="V502" s="198" t="s">
        <v>2272</v>
      </c>
      <c r="W502" s="198" t="s">
        <v>2272</v>
      </c>
      <c r="X502" s="198" t="s">
        <v>2272</v>
      </c>
      <c r="Y502" s="198" t="s">
        <v>2272</v>
      </c>
      <c r="Z502" s="198" t="s">
        <v>2272</v>
      </c>
      <c r="AA502" s="198" t="s">
        <v>2272</v>
      </c>
      <c r="AB502" s="198" t="s">
        <v>2272</v>
      </c>
      <c r="AC502" s="198" t="s">
        <v>2272</v>
      </c>
      <c r="AD502" s="198"/>
      <c r="AE502" s="4" t="s">
        <v>5013</v>
      </c>
    </row>
    <row r="503" spans="1:31" ht="43.5" customHeight="1">
      <c r="A503" s="198" t="s">
        <v>752</v>
      </c>
      <c r="B503" s="198" t="s">
        <v>769</v>
      </c>
      <c r="C503" s="198" t="s">
        <v>23</v>
      </c>
      <c r="D503" s="198" t="s">
        <v>26</v>
      </c>
      <c r="E503" s="198" t="s">
        <v>128</v>
      </c>
      <c r="F503" s="4" t="s">
        <v>159</v>
      </c>
      <c r="G503" s="4" t="s">
        <v>2272</v>
      </c>
      <c r="H503" s="198" t="s">
        <v>521</v>
      </c>
      <c r="I503" s="198"/>
      <c r="J503" s="21" t="s">
        <v>2272</v>
      </c>
      <c r="K503" s="21" t="s">
        <v>2272</v>
      </c>
      <c r="L503" s="21" t="s">
        <v>2272</v>
      </c>
      <c r="M503" s="21" t="s">
        <v>2272</v>
      </c>
      <c r="N503" s="21" t="s">
        <v>2272</v>
      </c>
      <c r="O503" s="21" t="s">
        <v>2272</v>
      </c>
      <c r="P503" s="21" t="s">
        <v>2272</v>
      </c>
      <c r="Q503" s="21" t="s">
        <v>2272</v>
      </c>
      <c r="R503" s="21" t="s">
        <v>2272</v>
      </c>
      <c r="S503" s="21" t="s">
        <v>2272</v>
      </c>
      <c r="T503" s="21" t="s">
        <v>2272</v>
      </c>
      <c r="U503" s="21" t="s">
        <v>2272</v>
      </c>
      <c r="V503" s="21" t="s">
        <v>2272</v>
      </c>
      <c r="W503" s="21" t="s">
        <v>2272</v>
      </c>
      <c r="X503" s="21" t="s">
        <v>2272</v>
      </c>
      <c r="Y503" s="21" t="s">
        <v>2272</v>
      </c>
      <c r="Z503" s="21">
        <v>10</v>
      </c>
      <c r="AA503" s="198" t="s">
        <v>84</v>
      </c>
      <c r="AB503" s="198" t="s">
        <v>84</v>
      </c>
      <c r="AC503" s="198" t="s">
        <v>63</v>
      </c>
      <c r="AD503" s="198" t="s">
        <v>633</v>
      </c>
      <c r="AE503" s="4" t="s">
        <v>768</v>
      </c>
    </row>
    <row r="504" spans="1:31" ht="58.5" customHeight="1">
      <c r="A504" s="198" t="s">
        <v>770</v>
      </c>
      <c r="B504" s="198" t="s">
        <v>777</v>
      </c>
      <c r="C504" s="198" t="s">
        <v>23</v>
      </c>
      <c r="D504" s="198" t="s">
        <v>26</v>
      </c>
      <c r="E504" s="198" t="s">
        <v>128</v>
      </c>
      <c r="F504" s="4" t="s">
        <v>159</v>
      </c>
      <c r="G504" s="4" t="s">
        <v>2272</v>
      </c>
      <c r="H504" s="198" t="s">
        <v>521</v>
      </c>
      <c r="I504" s="198"/>
      <c r="J504" s="198" t="s">
        <v>2272</v>
      </c>
      <c r="K504" s="198" t="s">
        <v>2272</v>
      </c>
      <c r="L504" s="198" t="s">
        <v>2272</v>
      </c>
      <c r="M504" s="198" t="s">
        <v>2272</v>
      </c>
      <c r="N504" s="198" t="s">
        <v>2272</v>
      </c>
      <c r="O504" s="198" t="s">
        <v>2272</v>
      </c>
      <c r="P504" s="198" t="s">
        <v>2272</v>
      </c>
      <c r="Q504" s="198" t="s">
        <v>2272</v>
      </c>
      <c r="R504" s="21" t="s">
        <v>2272</v>
      </c>
      <c r="S504" s="21" t="s">
        <v>2272</v>
      </c>
      <c r="T504" s="198" t="s">
        <v>2272</v>
      </c>
      <c r="U504" s="198" t="s">
        <v>2272</v>
      </c>
      <c r="V504" s="198" t="s">
        <v>2272</v>
      </c>
      <c r="W504" s="198" t="s">
        <v>2272</v>
      </c>
      <c r="X504" s="198" t="s">
        <v>2272</v>
      </c>
      <c r="Y504" s="198" t="s">
        <v>2272</v>
      </c>
      <c r="Z504" s="198" t="s">
        <v>2272</v>
      </c>
      <c r="AA504" s="198" t="s">
        <v>2272</v>
      </c>
      <c r="AB504" s="198" t="s">
        <v>2272</v>
      </c>
      <c r="AC504" s="198" t="s">
        <v>2272</v>
      </c>
      <c r="AD504" s="198"/>
      <c r="AE504" s="4" t="s">
        <v>2045</v>
      </c>
    </row>
    <row r="505" spans="1:31" ht="33.5" customHeight="1">
      <c r="A505" s="198" t="s">
        <v>770</v>
      </c>
      <c r="B505" s="198" t="s">
        <v>779</v>
      </c>
      <c r="C505" s="198" t="s">
        <v>23</v>
      </c>
      <c r="D505" s="198" t="s">
        <v>26</v>
      </c>
      <c r="E505" s="4" t="s">
        <v>395</v>
      </c>
      <c r="F505" s="4" t="s">
        <v>27</v>
      </c>
      <c r="G505" s="4" t="s">
        <v>2272</v>
      </c>
      <c r="H505" s="198" t="s">
        <v>522</v>
      </c>
      <c r="I505" s="198"/>
      <c r="J505" s="21">
        <v>0</v>
      </c>
      <c r="K505" s="21">
        <v>0</v>
      </c>
      <c r="L505" s="21">
        <v>0</v>
      </c>
      <c r="M505" s="21">
        <v>0</v>
      </c>
      <c r="N505" s="21">
        <v>0</v>
      </c>
      <c r="O505" s="21">
        <v>0</v>
      </c>
      <c r="P505" s="21">
        <v>0</v>
      </c>
      <c r="Q505" s="21">
        <v>0</v>
      </c>
      <c r="R505" s="21" t="s">
        <v>2272</v>
      </c>
      <c r="S505" s="21" t="s">
        <v>2272</v>
      </c>
      <c r="T505" s="21">
        <v>0</v>
      </c>
      <c r="U505" s="21">
        <v>0</v>
      </c>
      <c r="V505" s="21">
        <v>0</v>
      </c>
      <c r="W505" s="21">
        <v>0</v>
      </c>
      <c r="X505" s="21">
        <v>0</v>
      </c>
      <c r="Y505" s="21">
        <v>0</v>
      </c>
      <c r="Z505" s="21" t="s">
        <v>2272</v>
      </c>
      <c r="AA505" s="198" t="s">
        <v>2272</v>
      </c>
      <c r="AB505" s="198" t="s">
        <v>2272</v>
      </c>
      <c r="AC505" s="198" t="s">
        <v>2272</v>
      </c>
      <c r="AD505" s="198" t="s">
        <v>743</v>
      </c>
      <c r="AE505" s="4"/>
    </row>
    <row r="506" spans="1:31" ht="57.5" customHeight="1">
      <c r="A506" s="198" t="s">
        <v>771</v>
      </c>
      <c r="B506" s="198" t="s">
        <v>778</v>
      </c>
      <c r="C506" s="198" t="s">
        <v>23</v>
      </c>
      <c r="D506" s="198" t="s">
        <v>26</v>
      </c>
      <c r="E506" s="198" t="s">
        <v>128</v>
      </c>
      <c r="F506" s="4" t="s">
        <v>159</v>
      </c>
      <c r="G506" s="4" t="s">
        <v>2272</v>
      </c>
      <c r="H506" s="198" t="s">
        <v>521</v>
      </c>
      <c r="I506" s="198"/>
      <c r="J506" s="21" t="s">
        <v>2272</v>
      </c>
      <c r="K506" s="21" t="s">
        <v>2272</v>
      </c>
      <c r="L506" s="21" t="s">
        <v>2272</v>
      </c>
      <c r="M506" s="21" t="s">
        <v>2272</v>
      </c>
      <c r="N506" s="21" t="s">
        <v>2272</v>
      </c>
      <c r="O506" s="21" t="s">
        <v>2272</v>
      </c>
      <c r="P506" s="21" t="s">
        <v>2272</v>
      </c>
      <c r="Q506" s="21" t="s">
        <v>2272</v>
      </c>
      <c r="R506" s="21" t="s">
        <v>2272</v>
      </c>
      <c r="S506" s="21" t="s">
        <v>2272</v>
      </c>
      <c r="T506" s="21" t="s">
        <v>2272</v>
      </c>
      <c r="U506" s="21" t="s">
        <v>2272</v>
      </c>
      <c r="V506" s="21" t="s">
        <v>2272</v>
      </c>
      <c r="W506" s="21" t="s">
        <v>2272</v>
      </c>
      <c r="X506" s="21" t="s">
        <v>2272</v>
      </c>
      <c r="Y506" s="21" t="s">
        <v>2272</v>
      </c>
      <c r="Z506" s="21" t="s">
        <v>2272</v>
      </c>
      <c r="AA506" s="21" t="s">
        <v>2272</v>
      </c>
      <c r="AB506" s="21" t="s">
        <v>2272</v>
      </c>
      <c r="AC506" s="198" t="s">
        <v>2272</v>
      </c>
      <c r="AD506" s="198"/>
      <c r="AE506" s="4" t="s">
        <v>2045</v>
      </c>
    </row>
    <row r="507" spans="1:31" ht="51" customHeight="1">
      <c r="A507" s="198" t="s">
        <v>771</v>
      </c>
      <c r="B507" s="198" t="s">
        <v>780</v>
      </c>
      <c r="C507" s="198" t="s">
        <v>23</v>
      </c>
      <c r="D507" s="198" t="s">
        <v>26</v>
      </c>
      <c r="E507" s="4" t="s">
        <v>395</v>
      </c>
      <c r="F507" s="4" t="s">
        <v>27</v>
      </c>
      <c r="G507" s="4" t="s">
        <v>2272</v>
      </c>
      <c r="H507" s="198" t="s">
        <v>522</v>
      </c>
      <c r="I507" s="198"/>
      <c r="J507" s="21">
        <v>0</v>
      </c>
      <c r="K507" s="21">
        <v>0</v>
      </c>
      <c r="L507" s="21">
        <v>0</v>
      </c>
      <c r="M507" s="21">
        <v>0</v>
      </c>
      <c r="N507" s="21">
        <v>0</v>
      </c>
      <c r="O507" s="21">
        <v>0</v>
      </c>
      <c r="P507" s="21">
        <v>0</v>
      </c>
      <c r="Q507" s="21">
        <v>0</v>
      </c>
      <c r="R507" s="21" t="s">
        <v>2272</v>
      </c>
      <c r="S507" s="21" t="s">
        <v>2272</v>
      </c>
      <c r="T507" s="21">
        <v>0</v>
      </c>
      <c r="U507" s="21">
        <v>0</v>
      </c>
      <c r="V507" s="21">
        <v>0</v>
      </c>
      <c r="W507" s="21">
        <v>0</v>
      </c>
      <c r="X507" s="21">
        <v>0</v>
      </c>
      <c r="Y507" s="21">
        <v>0</v>
      </c>
      <c r="Z507" s="21" t="s">
        <v>2272</v>
      </c>
      <c r="AA507" s="198" t="s">
        <v>2272</v>
      </c>
      <c r="AB507" s="198" t="s">
        <v>2272</v>
      </c>
      <c r="AC507" s="198" t="s">
        <v>2272</v>
      </c>
      <c r="AD507" s="198" t="s">
        <v>743</v>
      </c>
      <c r="AE507" s="4"/>
    </row>
    <row r="508" spans="1:31" ht="59.5" customHeight="1">
      <c r="A508" s="198" t="s">
        <v>781</v>
      </c>
      <c r="B508" s="198" t="s">
        <v>787</v>
      </c>
      <c r="C508" s="198" t="s">
        <v>23</v>
      </c>
      <c r="D508" s="198" t="s">
        <v>26</v>
      </c>
      <c r="E508" s="198" t="s">
        <v>128</v>
      </c>
      <c r="F508" s="4" t="s">
        <v>159</v>
      </c>
      <c r="G508" s="4" t="s">
        <v>2272</v>
      </c>
      <c r="H508" s="198" t="s">
        <v>521</v>
      </c>
      <c r="I508" s="198">
        <v>1993</v>
      </c>
      <c r="J508" s="21" t="s">
        <v>2272</v>
      </c>
      <c r="K508" s="21" t="s">
        <v>2272</v>
      </c>
      <c r="L508" s="21" t="s">
        <v>2272</v>
      </c>
      <c r="M508" s="21" t="s">
        <v>2272</v>
      </c>
      <c r="N508" s="21" t="s">
        <v>2272</v>
      </c>
      <c r="O508" s="21" t="s">
        <v>2272</v>
      </c>
      <c r="P508" s="21" t="s">
        <v>2272</v>
      </c>
      <c r="Q508" s="21" t="s">
        <v>2272</v>
      </c>
      <c r="R508" s="21" t="s">
        <v>2272</v>
      </c>
      <c r="S508" s="21" t="s">
        <v>2272</v>
      </c>
      <c r="T508" s="21" t="s">
        <v>2272</v>
      </c>
      <c r="U508" s="21" t="s">
        <v>2272</v>
      </c>
      <c r="V508" s="21" t="s">
        <v>2272</v>
      </c>
      <c r="W508" s="21" t="s">
        <v>2272</v>
      </c>
      <c r="X508" s="21" t="s">
        <v>2272</v>
      </c>
      <c r="Y508" s="21" t="s">
        <v>2272</v>
      </c>
      <c r="Z508" s="21">
        <v>6.6</v>
      </c>
      <c r="AA508" s="198" t="s">
        <v>2272</v>
      </c>
      <c r="AB508" s="198" t="s">
        <v>2272</v>
      </c>
      <c r="AC508" s="198" t="s">
        <v>2272</v>
      </c>
      <c r="AD508" s="198"/>
      <c r="AE508" s="4" t="s">
        <v>2047</v>
      </c>
    </row>
    <row r="509" spans="1:31" ht="46" customHeight="1">
      <c r="A509" s="198" t="s">
        <v>781</v>
      </c>
      <c r="B509" s="198" t="s">
        <v>788</v>
      </c>
      <c r="C509" s="198" t="s">
        <v>23</v>
      </c>
      <c r="D509" s="198" t="s">
        <v>26</v>
      </c>
      <c r="E509" s="198" t="s">
        <v>128</v>
      </c>
      <c r="F509" s="4" t="s">
        <v>159</v>
      </c>
      <c r="G509" s="4" t="s">
        <v>2272</v>
      </c>
      <c r="H509" s="198" t="s">
        <v>521</v>
      </c>
      <c r="I509" s="198">
        <v>1994</v>
      </c>
      <c r="J509" s="21" t="s">
        <v>2272</v>
      </c>
      <c r="K509" s="21" t="s">
        <v>2272</v>
      </c>
      <c r="L509" s="21" t="s">
        <v>2272</v>
      </c>
      <c r="M509" s="21" t="s">
        <v>2272</v>
      </c>
      <c r="N509" s="21" t="s">
        <v>2272</v>
      </c>
      <c r="O509" s="21" t="s">
        <v>2272</v>
      </c>
      <c r="P509" s="21" t="s">
        <v>2272</v>
      </c>
      <c r="Q509" s="21" t="s">
        <v>2272</v>
      </c>
      <c r="R509" s="21" t="s">
        <v>2272</v>
      </c>
      <c r="S509" s="21" t="s">
        <v>2272</v>
      </c>
      <c r="T509" s="21" t="s">
        <v>2272</v>
      </c>
      <c r="U509" s="21" t="s">
        <v>2272</v>
      </c>
      <c r="V509" s="21" t="s">
        <v>2272</v>
      </c>
      <c r="W509" s="21" t="s">
        <v>2272</v>
      </c>
      <c r="X509" s="21" t="s">
        <v>2272</v>
      </c>
      <c r="Y509" s="21" t="s">
        <v>2272</v>
      </c>
      <c r="Z509" s="21">
        <v>6.1</v>
      </c>
      <c r="AA509" s="198" t="s">
        <v>2272</v>
      </c>
      <c r="AB509" s="198" t="s">
        <v>2272</v>
      </c>
      <c r="AC509" s="198" t="s">
        <v>2272</v>
      </c>
      <c r="AD509" s="198"/>
      <c r="AE509" s="4" t="s">
        <v>2047</v>
      </c>
    </row>
    <row r="510" spans="1:31" ht="52" customHeight="1">
      <c r="A510" s="198" t="s">
        <v>781</v>
      </c>
      <c r="B510" s="198" t="s">
        <v>789</v>
      </c>
      <c r="C510" s="198" t="s">
        <v>23</v>
      </c>
      <c r="D510" s="198" t="s">
        <v>26</v>
      </c>
      <c r="E510" s="198" t="s">
        <v>128</v>
      </c>
      <c r="F510" s="4" t="s">
        <v>159</v>
      </c>
      <c r="G510" s="4" t="s">
        <v>2272</v>
      </c>
      <c r="H510" s="198" t="s">
        <v>521</v>
      </c>
      <c r="I510" s="198">
        <v>1995</v>
      </c>
      <c r="J510" s="21" t="s">
        <v>2272</v>
      </c>
      <c r="K510" s="21" t="s">
        <v>2272</v>
      </c>
      <c r="L510" s="21" t="s">
        <v>2272</v>
      </c>
      <c r="M510" s="21" t="s">
        <v>2272</v>
      </c>
      <c r="N510" s="21" t="s">
        <v>2272</v>
      </c>
      <c r="O510" s="21" t="s">
        <v>2272</v>
      </c>
      <c r="P510" s="21" t="s">
        <v>2272</v>
      </c>
      <c r="Q510" s="21" t="s">
        <v>2272</v>
      </c>
      <c r="R510" s="21" t="s">
        <v>2272</v>
      </c>
      <c r="S510" s="21" t="s">
        <v>2272</v>
      </c>
      <c r="T510" s="21" t="s">
        <v>2272</v>
      </c>
      <c r="U510" s="21" t="s">
        <v>2272</v>
      </c>
      <c r="V510" s="21" t="s">
        <v>2272</v>
      </c>
      <c r="W510" s="21" t="s">
        <v>2272</v>
      </c>
      <c r="X510" s="21" t="s">
        <v>2272</v>
      </c>
      <c r="Y510" s="21" t="s">
        <v>2272</v>
      </c>
      <c r="Z510" s="21">
        <v>7.9</v>
      </c>
      <c r="AA510" s="198" t="s">
        <v>2272</v>
      </c>
      <c r="AB510" s="198" t="s">
        <v>2272</v>
      </c>
      <c r="AC510" s="198" t="s">
        <v>2272</v>
      </c>
      <c r="AD510" s="198"/>
      <c r="AE510" s="4" t="s">
        <v>2047</v>
      </c>
    </row>
    <row r="511" spans="1:31" ht="53.5" customHeight="1">
      <c r="A511" s="198" t="s">
        <v>781</v>
      </c>
      <c r="B511" s="198" t="s">
        <v>790</v>
      </c>
      <c r="C511" s="198" t="s">
        <v>23</v>
      </c>
      <c r="D511" s="198" t="s">
        <v>26</v>
      </c>
      <c r="E511" s="198" t="s">
        <v>128</v>
      </c>
      <c r="F511" s="4" t="s">
        <v>159</v>
      </c>
      <c r="G511" s="4" t="s">
        <v>2272</v>
      </c>
      <c r="H511" s="198" t="s">
        <v>521</v>
      </c>
      <c r="I511" s="198">
        <v>1996</v>
      </c>
      <c r="J511" s="21" t="s">
        <v>2272</v>
      </c>
      <c r="K511" s="21" t="s">
        <v>2272</v>
      </c>
      <c r="L511" s="21" t="s">
        <v>2272</v>
      </c>
      <c r="M511" s="21" t="s">
        <v>2272</v>
      </c>
      <c r="N511" s="21" t="s">
        <v>2272</v>
      </c>
      <c r="O511" s="21" t="s">
        <v>2272</v>
      </c>
      <c r="P511" s="21" t="s">
        <v>2272</v>
      </c>
      <c r="Q511" s="21" t="s">
        <v>2272</v>
      </c>
      <c r="R511" s="21" t="s">
        <v>2272</v>
      </c>
      <c r="S511" s="21" t="s">
        <v>2272</v>
      </c>
      <c r="T511" s="21" t="s">
        <v>2272</v>
      </c>
      <c r="U511" s="21" t="s">
        <v>2272</v>
      </c>
      <c r="V511" s="21" t="s">
        <v>2272</v>
      </c>
      <c r="W511" s="21" t="s">
        <v>2272</v>
      </c>
      <c r="X511" s="21" t="s">
        <v>2272</v>
      </c>
      <c r="Y511" s="21" t="s">
        <v>2272</v>
      </c>
      <c r="Z511" s="21">
        <v>6.8</v>
      </c>
      <c r="AA511" s="198" t="s">
        <v>2272</v>
      </c>
      <c r="AB511" s="198" t="s">
        <v>2272</v>
      </c>
      <c r="AC511" s="198" t="s">
        <v>2272</v>
      </c>
      <c r="AD511" s="198"/>
      <c r="AE511" s="4" t="s">
        <v>2047</v>
      </c>
    </row>
    <row r="512" spans="1:31" ht="50" customHeight="1">
      <c r="A512" s="198" t="s">
        <v>781</v>
      </c>
      <c r="B512" s="198" t="s">
        <v>791</v>
      </c>
      <c r="C512" s="198" t="s">
        <v>23</v>
      </c>
      <c r="D512" s="198" t="s">
        <v>26</v>
      </c>
      <c r="E512" s="4" t="s">
        <v>395</v>
      </c>
      <c r="F512" s="4" t="s">
        <v>27</v>
      </c>
      <c r="G512" s="4" t="s">
        <v>2272</v>
      </c>
      <c r="H512" s="198" t="s">
        <v>522</v>
      </c>
      <c r="I512" s="198"/>
      <c r="J512" s="21">
        <v>0</v>
      </c>
      <c r="K512" s="21">
        <v>0</v>
      </c>
      <c r="L512" s="21">
        <v>0</v>
      </c>
      <c r="M512" s="21">
        <v>0</v>
      </c>
      <c r="N512" s="21">
        <v>0</v>
      </c>
      <c r="O512" s="21">
        <v>0</v>
      </c>
      <c r="P512" s="21">
        <v>0</v>
      </c>
      <c r="Q512" s="21">
        <v>0</v>
      </c>
      <c r="R512" s="21" t="s">
        <v>2272</v>
      </c>
      <c r="S512" s="21" t="s">
        <v>2272</v>
      </c>
      <c r="T512" s="21">
        <v>0</v>
      </c>
      <c r="U512" s="21">
        <v>0</v>
      </c>
      <c r="V512" s="21">
        <v>0</v>
      </c>
      <c r="W512" s="21">
        <v>0</v>
      </c>
      <c r="X512" s="21">
        <v>0</v>
      </c>
      <c r="Y512" s="21">
        <v>0</v>
      </c>
      <c r="Z512" s="21" t="s">
        <v>2272</v>
      </c>
      <c r="AA512" s="198" t="s">
        <v>2272</v>
      </c>
      <c r="AB512" s="198" t="s">
        <v>2272</v>
      </c>
      <c r="AC512" s="198" t="s">
        <v>2272</v>
      </c>
      <c r="AD512" s="198" t="s">
        <v>743</v>
      </c>
      <c r="AE512" s="198"/>
    </row>
    <row r="513" spans="1:31" ht="53.5" customHeight="1">
      <c r="A513" s="198" t="s">
        <v>786</v>
      </c>
      <c r="B513" s="198" t="s">
        <v>792</v>
      </c>
      <c r="C513" s="198" t="s">
        <v>23</v>
      </c>
      <c r="D513" s="198" t="s">
        <v>26</v>
      </c>
      <c r="E513" s="198" t="s">
        <v>128</v>
      </c>
      <c r="F513" s="4" t="s">
        <v>159</v>
      </c>
      <c r="G513" s="4" t="s">
        <v>2272</v>
      </c>
      <c r="H513" s="198" t="s">
        <v>521</v>
      </c>
      <c r="I513" s="198">
        <v>1996</v>
      </c>
      <c r="J513" s="21" t="s">
        <v>2272</v>
      </c>
      <c r="K513" s="21" t="s">
        <v>2272</v>
      </c>
      <c r="L513" s="21" t="s">
        <v>2272</v>
      </c>
      <c r="M513" s="21" t="s">
        <v>2272</v>
      </c>
      <c r="N513" s="21" t="s">
        <v>2272</v>
      </c>
      <c r="O513" s="21" t="s">
        <v>2272</v>
      </c>
      <c r="P513" s="21" t="s">
        <v>2272</v>
      </c>
      <c r="Q513" s="21" t="s">
        <v>2272</v>
      </c>
      <c r="R513" s="21" t="s">
        <v>2272</v>
      </c>
      <c r="S513" s="21" t="s">
        <v>2272</v>
      </c>
      <c r="T513" s="21" t="s">
        <v>2272</v>
      </c>
      <c r="U513" s="21" t="s">
        <v>2272</v>
      </c>
      <c r="V513" s="21" t="s">
        <v>2272</v>
      </c>
      <c r="W513" s="21" t="s">
        <v>2272</v>
      </c>
      <c r="X513" s="21" t="s">
        <v>2272</v>
      </c>
      <c r="Y513" s="21" t="s">
        <v>2272</v>
      </c>
      <c r="Z513" s="21">
        <v>9.8000000000000007</v>
      </c>
      <c r="AA513" s="198" t="s">
        <v>2272</v>
      </c>
      <c r="AB513" s="198" t="s">
        <v>2272</v>
      </c>
      <c r="AC513" s="198" t="s">
        <v>2272</v>
      </c>
      <c r="AD513" s="198"/>
      <c r="AE513" s="4" t="s">
        <v>2047</v>
      </c>
    </row>
    <row r="514" spans="1:31" ht="35" customHeight="1">
      <c r="A514" s="198" t="s">
        <v>786</v>
      </c>
      <c r="B514" s="198" t="s">
        <v>793</v>
      </c>
      <c r="C514" s="198" t="s">
        <v>23</v>
      </c>
      <c r="D514" s="198" t="s">
        <v>26</v>
      </c>
      <c r="E514" s="4" t="s">
        <v>395</v>
      </c>
      <c r="F514" s="4" t="s">
        <v>27</v>
      </c>
      <c r="G514" s="4" t="s">
        <v>2272</v>
      </c>
      <c r="H514" s="198" t="s">
        <v>522</v>
      </c>
      <c r="I514" s="198"/>
      <c r="J514" s="21">
        <v>0</v>
      </c>
      <c r="K514" s="21">
        <v>0</v>
      </c>
      <c r="L514" s="21">
        <v>0</v>
      </c>
      <c r="M514" s="21">
        <v>0</v>
      </c>
      <c r="N514" s="21">
        <v>0</v>
      </c>
      <c r="O514" s="21">
        <v>0</v>
      </c>
      <c r="P514" s="21">
        <v>0</v>
      </c>
      <c r="Q514" s="21">
        <v>0</v>
      </c>
      <c r="R514" s="21" t="s">
        <v>2272</v>
      </c>
      <c r="S514" s="21" t="s">
        <v>2272</v>
      </c>
      <c r="T514" s="21">
        <v>0</v>
      </c>
      <c r="U514" s="21">
        <v>0</v>
      </c>
      <c r="V514" s="21">
        <v>0</v>
      </c>
      <c r="W514" s="21">
        <v>0</v>
      </c>
      <c r="X514" s="21">
        <v>0</v>
      </c>
      <c r="Y514" s="21">
        <v>0</v>
      </c>
      <c r="Z514" s="21" t="s">
        <v>2272</v>
      </c>
      <c r="AA514" s="198" t="s">
        <v>2272</v>
      </c>
      <c r="AB514" s="198" t="s">
        <v>2272</v>
      </c>
      <c r="AC514" s="198" t="s">
        <v>2272</v>
      </c>
      <c r="AD514" s="198" t="s">
        <v>743</v>
      </c>
      <c r="AE514" s="198"/>
    </row>
    <row r="515" spans="1:31" ht="34.5" customHeight="1">
      <c r="A515" s="12" t="s">
        <v>794</v>
      </c>
      <c r="B515" s="198" t="s">
        <v>807</v>
      </c>
      <c r="C515" s="198" t="s">
        <v>23</v>
      </c>
      <c r="D515" s="198" t="s">
        <v>26</v>
      </c>
      <c r="E515" s="198" t="s">
        <v>128</v>
      </c>
      <c r="F515" s="4" t="s">
        <v>159</v>
      </c>
      <c r="G515" s="4" t="s">
        <v>2272</v>
      </c>
      <c r="H515" s="198" t="s">
        <v>521</v>
      </c>
      <c r="I515" s="198"/>
      <c r="J515" s="21" t="s">
        <v>2272</v>
      </c>
      <c r="K515" s="21" t="s">
        <v>2272</v>
      </c>
      <c r="L515" s="21" t="s">
        <v>2272</v>
      </c>
      <c r="M515" s="21" t="s">
        <v>2272</v>
      </c>
      <c r="N515" s="21" t="s">
        <v>2272</v>
      </c>
      <c r="O515" s="21" t="s">
        <v>2272</v>
      </c>
      <c r="P515" s="21" t="s">
        <v>2272</v>
      </c>
      <c r="Q515" s="21" t="s">
        <v>2272</v>
      </c>
      <c r="R515" s="21" t="s">
        <v>2272</v>
      </c>
      <c r="S515" s="21" t="s">
        <v>2272</v>
      </c>
      <c r="T515" s="21" t="s">
        <v>2272</v>
      </c>
      <c r="U515" s="21" t="s">
        <v>2272</v>
      </c>
      <c r="V515" s="21" t="s">
        <v>2272</v>
      </c>
      <c r="W515" s="21" t="s">
        <v>2272</v>
      </c>
      <c r="X515" s="21" t="s">
        <v>2272</v>
      </c>
      <c r="Y515" s="21" t="s">
        <v>2272</v>
      </c>
      <c r="Z515" s="21" t="s">
        <v>2272</v>
      </c>
      <c r="AA515" s="198" t="s">
        <v>2272</v>
      </c>
      <c r="AB515" s="198" t="s">
        <v>2272</v>
      </c>
      <c r="AC515" s="198" t="s">
        <v>2272</v>
      </c>
      <c r="AD515" s="198"/>
      <c r="AE515" s="198" t="s">
        <v>715</v>
      </c>
    </row>
    <row r="516" spans="1:31" ht="75" customHeight="1">
      <c r="A516" s="198" t="s">
        <v>795</v>
      </c>
      <c r="B516" s="198" t="s">
        <v>808</v>
      </c>
      <c r="C516" s="198" t="s">
        <v>23</v>
      </c>
      <c r="D516" s="198" t="s">
        <v>26</v>
      </c>
      <c r="E516" s="4" t="s">
        <v>394</v>
      </c>
      <c r="F516" s="4" t="s">
        <v>27</v>
      </c>
      <c r="G516" s="4" t="s">
        <v>2272</v>
      </c>
      <c r="H516" s="198" t="s">
        <v>522</v>
      </c>
      <c r="I516" s="198"/>
      <c r="J516" s="21">
        <v>0</v>
      </c>
      <c r="K516" s="21">
        <v>0</v>
      </c>
      <c r="L516" s="21">
        <v>0</v>
      </c>
      <c r="M516" s="21">
        <v>0</v>
      </c>
      <c r="N516" s="21">
        <v>0</v>
      </c>
      <c r="O516" s="21">
        <v>0</v>
      </c>
      <c r="P516" s="21">
        <v>0</v>
      </c>
      <c r="Q516" s="21">
        <v>0</v>
      </c>
      <c r="R516" s="21" t="s">
        <v>2272</v>
      </c>
      <c r="S516" s="21" t="s">
        <v>2272</v>
      </c>
      <c r="T516" s="21">
        <v>0</v>
      </c>
      <c r="U516" s="21">
        <v>0</v>
      </c>
      <c r="V516" s="21">
        <v>0</v>
      </c>
      <c r="W516" s="21">
        <v>0</v>
      </c>
      <c r="X516" s="21">
        <v>0</v>
      </c>
      <c r="Y516" s="21">
        <v>0</v>
      </c>
      <c r="Z516" s="21" t="s">
        <v>2272</v>
      </c>
      <c r="AA516" s="198" t="s">
        <v>2272</v>
      </c>
      <c r="AB516" s="198" t="s">
        <v>2272</v>
      </c>
      <c r="AC516" s="198" t="s">
        <v>2272</v>
      </c>
      <c r="AD516" s="4" t="s">
        <v>813</v>
      </c>
      <c r="AE516" s="198"/>
    </row>
    <row r="517" spans="1:31" ht="76" customHeight="1">
      <c r="A517" s="198" t="s">
        <v>796</v>
      </c>
      <c r="B517" s="198" t="s">
        <v>809</v>
      </c>
      <c r="C517" s="198" t="s">
        <v>23</v>
      </c>
      <c r="D517" s="198" t="s">
        <v>26</v>
      </c>
      <c r="E517" s="4" t="s">
        <v>394</v>
      </c>
      <c r="F517" s="4" t="s">
        <v>27</v>
      </c>
      <c r="G517" s="4" t="s">
        <v>2272</v>
      </c>
      <c r="H517" s="198" t="s">
        <v>522</v>
      </c>
      <c r="I517" s="198"/>
      <c r="J517" s="21">
        <v>0</v>
      </c>
      <c r="K517" s="21">
        <v>0</v>
      </c>
      <c r="L517" s="21">
        <v>0</v>
      </c>
      <c r="M517" s="21">
        <v>0</v>
      </c>
      <c r="N517" s="21">
        <v>0</v>
      </c>
      <c r="O517" s="21">
        <v>0</v>
      </c>
      <c r="P517" s="21">
        <v>0</v>
      </c>
      <c r="Q517" s="21">
        <v>0</v>
      </c>
      <c r="R517" s="21" t="s">
        <v>2272</v>
      </c>
      <c r="S517" s="21" t="s">
        <v>2272</v>
      </c>
      <c r="T517" s="21">
        <v>0</v>
      </c>
      <c r="U517" s="21">
        <v>0</v>
      </c>
      <c r="V517" s="21">
        <v>0</v>
      </c>
      <c r="W517" s="21">
        <v>0</v>
      </c>
      <c r="X517" s="21">
        <v>0</v>
      </c>
      <c r="Y517" s="21">
        <v>0</v>
      </c>
      <c r="Z517" s="21" t="s">
        <v>2272</v>
      </c>
      <c r="AA517" s="198" t="s">
        <v>2272</v>
      </c>
      <c r="AB517" s="198" t="s">
        <v>2272</v>
      </c>
      <c r="AC517" s="198" t="s">
        <v>2272</v>
      </c>
      <c r="AD517" s="4" t="s">
        <v>813</v>
      </c>
      <c r="AE517" s="198"/>
    </row>
    <row r="518" spans="1:31" ht="27" customHeight="1">
      <c r="A518" s="198" t="s">
        <v>797</v>
      </c>
      <c r="B518" s="198" t="s">
        <v>810</v>
      </c>
      <c r="C518" s="198" t="s">
        <v>23</v>
      </c>
      <c r="D518" s="198" t="s">
        <v>26</v>
      </c>
      <c r="E518" s="198" t="s">
        <v>128</v>
      </c>
      <c r="F518" s="4" t="s">
        <v>159</v>
      </c>
      <c r="G518" s="4" t="s">
        <v>2272</v>
      </c>
      <c r="H518" s="198" t="s">
        <v>521</v>
      </c>
      <c r="I518" s="198"/>
      <c r="J518" s="21" t="s">
        <v>2272</v>
      </c>
      <c r="K518" s="21" t="s">
        <v>2272</v>
      </c>
      <c r="L518" s="21" t="s">
        <v>2272</v>
      </c>
      <c r="M518" s="21" t="s">
        <v>2272</v>
      </c>
      <c r="N518" s="21" t="s">
        <v>2272</v>
      </c>
      <c r="O518" s="21" t="s">
        <v>2272</v>
      </c>
      <c r="P518" s="21" t="s">
        <v>2272</v>
      </c>
      <c r="Q518" s="21" t="s">
        <v>2272</v>
      </c>
      <c r="R518" s="21" t="s">
        <v>2272</v>
      </c>
      <c r="S518" s="21" t="s">
        <v>2272</v>
      </c>
      <c r="T518" s="21" t="s">
        <v>2272</v>
      </c>
      <c r="U518" s="21" t="s">
        <v>2272</v>
      </c>
      <c r="V518" s="21" t="s">
        <v>2272</v>
      </c>
      <c r="W518" s="21" t="s">
        <v>2272</v>
      </c>
      <c r="X518" s="21" t="s">
        <v>2272</v>
      </c>
      <c r="Y518" s="21" t="s">
        <v>2272</v>
      </c>
      <c r="Z518" s="21">
        <v>12</v>
      </c>
      <c r="AA518" s="198" t="s">
        <v>2272</v>
      </c>
      <c r="AB518" s="198" t="s">
        <v>2272</v>
      </c>
      <c r="AC518" s="198" t="s">
        <v>2272</v>
      </c>
      <c r="AD518" s="198"/>
      <c r="AE518" s="198" t="s">
        <v>2051</v>
      </c>
    </row>
    <row r="519" spans="1:31" ht="24.5" customHeight="1">
      <c r="A519" s="198" t="s">
        <v>798</v>
      </c>
      <c r="B519" s="198" t="s">
        <v>811</v>
      </c>
      <c r="C519" s="198" t="s">
        <v>23</v>
      </c>
      <c r="D519" s="198" t="s">
        <v>26</v>
      </c>
      <c r="E519" s="198" t="s">
        <v>128</v>
      </c>
      <c r="F519" s="4" t="s">
        <v>159</v>
      </c>
      <c r="G519" s="4" t="s">
        <v>2272</v>
      </c>
      <c r="H519" s="198" t="s">
        <v>521</v>
      </c>
      <c r="I519" s="198"/>
      <c r="J519" s="21" t="s">
        <v>2272</v>
      </c>
      <c r="K519" s="21" t="s">
        <v>2272</v>
      </c>
      <c r="L519" s="21" t="s">
        <v>2272</v>
      </c>
      <c r="M519" s="21" t="s">
        <v>2272</v>
      </c>
      <c r="N519" s="21" t="s">
        <v>2272</v>
      </c>
      <c r="O519" s="21" t="s">
        <v>2272</v>
      </c>
      <c r="P519" s="21" t="s">
        <v>2272</v>
      </c>
      <c r="Q519" s="21" t="s">
        <v>2272</v>
      </c>
      <c r="R519" s="21" t="s">
        <v>2272</v>
      </c>
      <c r="S519" s="21" t="s">
        <v>2272</v>
      </c>
      <c r="T519" s="21" t="s">
        <v>2272</v>
      </c>
      <c r="U519" s="21" t="s">
        <v>2272</v>
      </c>
      <c r="V519" s="21" t="s">
        <v>2272</v>
      </c>
      <c r="W519" s="21" t="s">
        <v>2272</v>
      </c>
      <c r="X519" s="21" t="s">
        <v>2272</v>
      </c>
      <c r="Y519" s="21" t="s">
        <v>2272</v>
      </c>
      <c r="Z519" s="21" t="s">
        <v>2272</v>
      </c>
      <c r="AA519" s="198" t="s">
        <v>2272</v>
      </c>
      <c r="AB519" s="198" t="s">
        <v>2272</v>
      </c>
      <c r="AC519" s="198" t="s">
        <v>2272</v>
      </c>
      <c r="AD519" s="198"/>
      <c r="AE519" s="198" t="s">
        <v>2052</v>
      </c>
    </row>
    <row r="520" spans="1:31" ht="27" customHeight="1">
      <c r="A520" s="198" t="s">
        <v>799</v>
      </c>
      <c r="B520" s="198" t="s">
        <v>812</v>
      </c>
      <c r="C520" s="198" t="s">
        <v>23</v>
      </c>
      <c r="D520" s="198" t="s">
        <v>26</v>
      </c>
      <c r="E520" s="198" t="s">
        <v>128</v>
      </c>
      <c r="F520" s="4" t="s">
        <v>159</v>
      </c>
      <c r="G520" s="4" t="s">
        <v>2272</v>
      </c>
      <c r="H520" s="198" t="s">
        <v>521</v>
      </c>
      <c r="I520" s="198"/>
      <c r="J520" s="21" t="s">
        <v>2272</v>
      </c>
      <c r="K520" s="21" t="s">
        <v>2272</v>
      </c>
      <c r="L520" s="21" t="s">
        <v>2272</v>
      </c>
      <c r="M520" s="21" t="s">
        <v>2272</v>
      </c>
      <c r="N520" s="21" t="s">
        <v>2272</v>
      </c>
      <c r="O520" s="21" t="s">
        <v>2272</v>
      </c>
      <c r="P520" s="21" t="s">
        <v>2272</v>
      </c>
      <c r="Q520" s="21" t="s">
        <v>2272</v>
      </c>
      <c r="R520" s="21" t="s">
        <v>2272</v>
      </c>
      <c r="S520" s="21" t="s">
        <v>2272</v>
      </c>
      <c r="T520" s="21" t="s">
        <v>2272</v>
      </c>
      <c r="U520" s="21" t="s">
        <v>2272</v>
      </c>
      <c r="V520" s="21" t="s">
        <v>2272</v>
      </c>
      <c r="W520" s="21" t="s">
        <v>2272</v>
      </c>
      <c r="X520" s="21" t="s">
        <v>2272</v>
      </c>
      <c r="Y520" s="21" t="s">
        <v>2272</v>
      </c>
      <c r="Z520" s="21" t="s">
        <v>2272</v>
      </c>
      <c r="AA520" s="198" t="s">
        <v>2272</v>
      </c>
      <c r="AB520" s="198" t="s">
        <v>2272</v>
      </c>
      <c r="AC520" s="198" t="s">
        <v>2272</v>
      </c>
      <c r="AD520" s="198"/>
      <c r="AE520" s="198" t="s">
        <v>715</v>
      </c>
    </row>
    <row r="521" spans="1:31" ht="32" customHeight="1">
      <c r="A521" s="198" t="s">
        <v>814</v>
      </c>
      <c r="B521" s="198" t="s">
        <v>817</v>
      </c>
      <c r="C521" s="198" t="s">
        <v>23</v>
      </c>
      <c r="D521" s="198" t="s">
        <v>26</v>
      </c>
      <c r="E521" s="198" t="s">
        <v>128</v>
      </c>
      <c r="F521" s="4" t="s">
        <v>159</v>
      </c>
      <c r="G521" s="4"/>
      <c r="H521" s="198" t="s">
        <v>521</v>
      </c>
      <c r="I521" s="198"/>
      <c r="J521" s="21" t="s">
        <v>2272</v>
      </c>
      <c r="K521" s="21" t="s">
        <v>2272</v>
      </c>
      <c r="L521" s="21" t="s">
        <v>2272</v>
      </c>
      <c r="M521" s="21" t="s">
        <v>2272</v>
      </c>
      <c r="N521" s="21" t="s">
        <v>2272</v>
      </c>
      <c r="O521" s="21" t="s">
        <v>2272</v>
      </c>
      <c r="P521" s="21" t="s">
        <v>2272</v>
      </c>
      <c r="Q521" s="21" t="s">
        <v>2272</v>
      </c>
      <c r="R521" s="21" t="s">
        <v>2272</v>
      </c>
      <c r="S521" s="21" t="s">
        <v>2272</v>
      </c>
      <c r="T521" s="21" t="s">
        <v>2272</v>
      </c>
      <c r="U521" s="21" t="s">
        <v>2272</v>
      </c>
      <c r="V521" s="21" t="s">
        <v>2272</v>
      </c>
      <c r="W521" s="21" t="s">
        <v>2272</v>
      </c>
      <c r="X521" s="21" t="s">
        <v>2272</v>
      </c>
      <c r="Y521" s="21" t="s">
        <v>2272</v>
      </c>
      <c r="Z521" s="21">
        <v>22</v>
      </c>
      <c r="AA521" s="198" t="s">
        <v>2272</v>
      </c>
      <c r="AB521" s="198" t="s">
        <v>2272</v>
      </c>
      <c r="AC521" s="198" t="s">
        <v>2272</v>
      </c>
      <c r="AD521" s="198"/>
      <c r="AE521" s="198" t="s">
        <v>715</v>
      </c>
    </row>
    <row r="522" spans="1:31" ht="54.5" customHeight="1">
      <c r="A522" s="198" t="s">
        <v>821</v>
      </c>
      <c r="B522" s="198" t="s">
        <v>822</v>
      </c>
      <c r="C522" s="198" t="s">
        <v>23</v>
      </c>
      <c r="D522" s="198" t="s">
        <v>26</v>
      </c>
      <c r="E522" s="198" t="s">
        <v>128</v>
      </c>
      <c r="F522" s="4" t="s">
        <v>159</v>
      </c>
      <c r="G522" s="4"/>
      <c r="H522" s="198" t="s">
        <v>521</v>
      </c>
      <c r="I522" s="198"/>
      <c r="J522" s="21" t="s">
        <v>2272</v>
      </c>
      <c r="K522" s="21" t="s">
        <v>2272</v>
      </c>
      <c r="L522" s="21" t="s">
        <v>2272</v>
      </c>
      <c r="M522" s="21" t="s">
        <v>2272</v>
      </c>
      <c r="N522" s="21" t="s">
        <v>2272</v>
      </c>
      <c r="O522" s="21" t="s">
        <v>2272</v>
      </c>
      <c r="P522" s="21" t="s">
        <v>2272</v>
      </c>
      <c r="Q522" s="21" t="s">
        <v>2272</v>
      </c>
      <c r="R522" s="21" t="s">
        <v>2272</v>
      </c>
      <c r="S522" s="21" t="s">
        <v>2272</v>
      </c>
      <c r="T522" s="21" t="s">
        <v>2272</v>
      </c>
      <c r="U522" s="21" t="s">
        <v>2272</v>
      </c>
      <c r="V522" s="21" t="s">
        <v>2272</v>
      </c>
      <c r="W522" s="21" t="s">
        <v>2272</v>
      </c>
      <c r="X522" s="21" t="s">
        <v>2272</v>
      </c>
      <c r="Y522" s="21" t="s">
        <v>2272</v>
      </c>
      <c r="Z522" s="21" t="s">
        <v>2272</v>
      </c>
      <c r="AA522" s="198" t="s">
        <v>2272</v>
      </c>
      <c r="AB522" s="198" t="s">
        <v>2272</v>
      </c>
      <c r="AC522" s="198" t="s">
        <v>2272</v>
      </c>
      <c r="AD522" s="4"/>
      <c r="AE522" s="4" t="s">
        <v>5014</v>
      </c>
    </row>
    <row r="523" spans="1:31" ht="41" customHeight="1">
      <c r="A523" s="198" t="s">
        <v>821</v>
      </c>
      <c r="B523" s="198" t="s">
        <v>823</v>
      </c>
      <c r="C523" s="198" t="s">
        <v>23</v>
      </c>
      <c r="D523" s="198" t="s">
        <v>26</v>
      </c>
      <c r="E523" s="198" t="s">
        <v>128</v>
      </c>
      <c r="F523" s="4" t="s">
        <v>73</v>
      </c>
      <c r="G523" s="4"/>
      <c r="H523" s="198" t="s">
        <v>522</v>
      </c>
      <c r="I523" s="198"/>
      <c r="J523" s="21">
        <v>0</v>
      </c>
      <c r="K523" s="21">
        <v>0</v>
      </c>
      <c r="L523" s="21">
        <v>0</v>
      </c>
      <c r="M523" s="21">
        <v>0</v>
      </c>
      <c r="N523" s="21">
        <v>0</v>
      </c>
      <c r="O523" s="21">
        <v>0</v>
      </c>
      <c r="P523" s="21">
        <v>0</v>
      </c>
      <c r="Q523" s="21">
        <v>0</v>
      </c>
      <c r="R523" s="21" t="s">
        <v>2272</v>
      </c>
      <c r="S523" s="21" t="s">
        <v>2272</v>
      </c>
      <c r="T523" s="21">
        <v>0</v>
      </c>
      <c r="U523" s="21">
        <v>0</v>
      </c>
      <c r="V523" s="21">
        <v>0</v>
      </c>
      <c r="W523" s="21">
        <v>0</v>
      </c>
      <c r="X523" s="21">
        <v>0</v>
      </c>
      <c r="Y523" s="21">
        <v>0</v>
      </c>
      <c r="Z523" s="21" t="s">
        <v>2272</v>
      </c>
      <c r="AA523" s="198" t="s">
        <v>2272</v>
      </c>
      <c r="AB523" s="198" t="s">
        <v>2272</v>
      </c>
      <c r="AC523" s="198" t="s">
        <v>2272</v>
      </c>
      <c r="AD523" s="198"/>
      <c r="AE523" s="198"/>
    </row>
    <row r="524" spans="1:31" ht="56" customHeight="1">
      <c r="A524" s="198" t="s">
        <v>821</v>
      </c>
      <c r="B524" s="198" t="s">
        <v>824</v>
      </c>
      <c r="C524" s="198" t="s">
        <v>23</v>
      </c>
      <c r="D524" s="198" t="s">
        <v>141</v>
      </c>
      <c r="E524" s="4" t="s">
        <v>395</v>
      </c>
      <c r="F524" s="4" t="s">
        <v>73</v>
      </c>
      <c r="G524" s="4"/>
      <c r="H524" s="198" t="s">
        <v>522</v>
      </c>
      <c r="I524" s="198"/>
      <c r="J524" s="21">
        <v>0</v>
      </c>
      <c r="K524" s="21">
        <v>0</v>
      </c>
      <c r="L524" s="21">
        <v>0</v>
      </c>
      <c r="M524" s="21">
        <v>0</v>
      </c>
      <c r="N524" s="21">
        <v>0</v>
      </c>
      <c r="O524" s="21">
        <v>0</v>
      </c>
      <c r="P524" s="21">
        <v>0</v>
      </c>
      <c r="Q524" s="21">
        <v>0</v>
      </c>
      <c r="R524" s="21" t="s">
        <v>2272</v>
      </c>
      <c r="S524" s="21" t="s">
        <v>2272</v>
      </c>
      <c r="T524" s="21">
        <v>0</v>
      </c>
      <c r="U524" s="21">
        <v>0</v>
      </c>
      <c r="V524" s="21">
        <v>0</v>
      </c>
      <c r="W524" s="21">
        <v>0</v>
      </c>
      <c r="X524" s="21">
        <v>0</v>
      </c>
      <c r="Y524" s="21">
        <v>0</v>
      </c>
      <c r="Z524" s="21" t="s">
        <v>2272</v>
      </c>
      <c r="AA524" s="198" t="s">
        <v>2272</v>
      </c>
      <c r="AB524" s="198" t="s">
        <v>2272</v>
      </c>
      <c r="AC524" s="198" t="s">
        <v>2272</v>
      </c>
      <c r="AD524" s="198"/>
      <c r="AE524" s="198"/>
    </row>
    <row r="525" spans="1:31" ht="51" customHeight="1">
      <c r="A525" s="198" t="s">
        <v>825</v>
      </c>
      <c r="B525" s="198" t="s">
        <v>829</v>
      </c>
      <c r="C525" s="198" t="s">
        <v>23</v>
      </c>
      <c r="D525" s="198" t="s">
        <v>26</v>
      </c>
      <c r="E525" s="198" t="s">
        <v>128</v>
      </c>
      <c r="F525" s="4" t="s">
        <v>159</v>
      </c>
      <c r="G525" s="4"/>
      <c r="H525" s="198" t="s">
        <v>521</v>
      </c>
      <c r="I525" s="198"/>
      <c r="J525" s="21" t="s">
        <v>2272</v>
      </c>
      <c r="K525" s="21" t="s">
        <v>2272</v>
      </c>
      <c r="L525" s="21" t="s">
        <v>2272</v>
      </c>
      <c r="M525" s="21" t="s">
        <v>2272</v>
      </c>
      <c r="N525" s="21" t="s">
        <v>2272</v>
      </c>
      <c r="O525" s="21" t="s">
        <v>2272</v>
      </c>
      <c r="P525" s="21" t="s">
        <v>2272</v>
      </c>
      <c r="Q525" s="21" t="s">
        <v>2272</v>
      </c>
      <c r="R525" s="21" t="s">
        <v>2272</v>
      </c>
      <c r="S525" s="21" t="s">
        <v>2272</v>
      </c>
      <c r="T525" s="21" t="s">
        <v>2272</v>
      </c>
      <c r="U525" s="21" t="s">
        <v>2272</v>
      </c>
      <c r="V525" s="21" t="s">
        <v>2272</v>
      </c>
      <c r="W525" s="21" t="s">
        <v>2272</v>
      </c>
      <c r="X525" s="21" t="s">
        <v>2272</v>
      </c>
      <c r="Y525" s="21" t="s">
        <v>2272</v>
      </c>
      <c r="Z525" s="21">
        <v>14</v>
      </c>
      <c r="AA525" s="198" t="s">
        <v>2272</v>
      </c>
      <c r="AB525" s="198" t="s">
        <v>2272</v>
      </c>
      <c r="AC525" s="198" t="s">
        <v>2272</v>
      </c>
      <c r="AD525" s="4" t="s">
        <v>831</v>
      </c>
      <c r="AE525" s="4" t="s">
        <v>2062</v>
      </c>
    </row>
    <row r="526" spans="1:31" ht="42" customHeight="1">
      <c r="A526" s="198" t="s">
        <v>825</v>
      </c>
      <c r="B526" s="198" t="s">
        <v>829</v>
      </c>
      <c r="C526" s="198" t="s">
        <v>23</v>
      </c>
      <c r="D526" s="198" t="s">
        <v>26</v>
      </c>
      <c r="E526" s="4" t="s">
        <v>395</v>
      </c>
      <c r="F526" s="4" t="s">
        <v>27</v>
      </c>
      <c r="G526" s="4"/>
      <c r="H526" s="198" t="s">
        <v>522</v>
      </c>
      <c r="I526" s="198"/>
      <c r="J526" s="21">
        <v>0</v>
      </c>
      <c r="K526" s="21">
        <v>0</v>
      </c>
      <c r="L526" s="21">
        <v>0</v>
      </c>
      <c r="M526" s="21">
        <v>0</v>
      </c>
      <c r="N526" s="21">
        <v>0</v>
      </c>
      <c r="O526" s="21">
        <v>0</v>
      </c>
      <c r="P526" s="21">
        <v>0</v>
      </c>
      <c r="Q526" s="21">
        <v>0</v>
      </c>
      <c r="R526" s="21" t="s">
        <v>2272</v>
      </c>
      <c r="S526" s="21" t="s">
        <v>2272</v>
      </c>
      <c r="T526" s="21">
        <v>0</v>
      </c>
      <c r="U526" s="21">
        <v>0</v>
      </c>
      <c r="V526" s="21">
        <v>0</v>
      </c>
      <c r="W526" s="21">
        <v>0</v>
      </c>
      <c r="X526" s="21">
        <v>0</v>
      </c>
      <c r="Y526" s="21">
        <v>0</v>
      </c>
      <c r="Z526" s="21" t="s">
        <v>2272</v>
      </c>
      <c r="AA526" s="198" t="s">
        <v>2272</v>
      </c>
      <c r="AB526" s="198" t="s">
        <v>2272</v>
      </c>
      <c r="AC526" s="198" t="s">
        <v>2272</v>
      </c>
      <c r="AD526" s="198" t="s">
        <v>830</v>
      </c>
      <c r="AE526" s="198"/>
    </row>
    <row r="527" spans="1:31" ht="38" customHeight="1">
      <c r="A527" s="198" t="s">
        <v>833</v>
      </c>
      <c r="B527" s="198" t="s">
        <v>836</v>
      </c>
      <c r="C527" s="198" t="s">
        <v>23</v>
      </c>
      <c r="D527" s="198" t="s">
        <v>26</v>
      </c>
      <c r="E527" s="198" t="s">
        <v>128</v>
      </c>
      <c r="F527" s="4" t="s">
        <v>159</v>
      </c>
      <c r="G527" s="4"/>
      <c r="H527" s="198" t="s">
        <v>521</v>
      </c>
      <c r="I527" s="198"/>
      <c r="J527" s="21" t="s">
        <v>2272</v>
      </c>
      <c r="K527" s="21" t="s">
        <v>2272</v>
      </c>
      <c r="L527" s="21" t="s">
        <v>2272</v>
      </c>
      <c r="M527" s="21" t="s">
        <v>2272</v>
      </c>
      <c r="N527" s="21" t="s">
        <v>2272</v>
      </c>
      <c r="O527" s="21" t="s">
        <v>2272</v>
      </c>
      <c r="P527" s="21" t="s">
        <v>2272</v>
      </c>
      <c r="Q527" s="21" t="s">
        <v>2272</v>
      </c>
      <c r="R527" s="21" t="s">
        <v>2272</v>
      </c>
      <c r="S527" s="21" t="s">
        <v>2272</v>
      </c>
      <c r="T527" s="21" t="s">
        <v>2272</v>
      </c>
      <c r="U527" s="21" t="s">
        <v>2272</v>
      </c>
      <c r="V527" s="21" t="s">
        <v>2272</v>
      </c>
      <c r="W527" s="21" t="s">
        <v>2272</v>
      </c>
      <c r="X527" s="21" t="s">
        <v>2272</v>
      </c>
      <c r="Y527" s="21" t="s">
        <v>2272</v>
      </c>
      <c r="Z527" s="21" t="s">
        <v>2272</v>
      </c>
      <c r="AA527" s="198" t="s">
        <v>2272</v>
      </c>
      <c r="AB527" s="198" t="s">
        <v>2272</v>
      </c>
      <c r="AC527" s="198" t="s">
        <v>2272</v>
      </c>
      <c r="AD527" s="4"/>
      <c r="AE527" s="198" t="s">
        <v>715</v>
      </c>
    </row>
    <row r="528" spans="1:31" ht="38.5" customHeight="1">
      <c r="A528" s="198" t="s">
        <v>837</v>
      </c>
      <c r="B528" s="198" t="s">
        <v>837</v>
      </c>
      <c r="C528" s="198" t="s">
        <v>23</v>
      </c>
      <c r="D528" s="198" t="s">
        <v>26</v>
      </c>
      <c r="E528" s="4" t="s">
        <v>395</v>
      </c>
      <c r="F528" s="4" t="s">
        <v>159</v>
      </c>
      <c r="G528" s="4"/>
      <c r="H528" s="198" t="s">
        <v>522</v>
      </c>
      <c r="I528" s="198"/>
      <c r="J528" s="21" t="s">
        <v>2272</v>
      </c>
      <c r="K528" s="21" t="s">
        <v>2272</v>
      </c>
      <c r="L528" s="21" t="s">
        <v>2272</v>
      </c>
      <c r="M528" s="21" t="s">
        <v>2272</v>
      </c>
      <c r="N528" s="21" t="s">
        <v>2272</v>
      </c>
      <c r="O528" s="21" t="s">
        <v>2272</v>
      </c>
      <c r="P528" s="21" t="s">
        <v>2272</v>
      </c>
      <c r="Q528" s="21" t="s">
        <v>2272</v>
      </c>
      <c r="R528" s="21" t="s">
        <v>2272</v>
      </c>
      <c r="S528" s="21" t="s">
        <v>2272</v>
      </c>
      <c r="T528" s="21" t="s">
        <v>2272</v>
      </c>
      <c r="U528" s="21" t="s">
        <v>2272</v>
      </c>
      <c r="V528" s="21" t="s">
        <v>2272</v>
      </c>
      <c r="W528" s="21" t="s">
        <v>2272</v>
      </c>
      <c r="X528" s="21" t="s">
        <v>2272</v>
      </c>
      <c r="Y528" s="21" t="s">
        <v>2272</v>
      </c>
      <c r="Z528" s="21" t="s">
        <v>2272</v>
      </c>
      <c r="AA528" s="198" t="s">
        <v>2272</v>
      </c>
      <c r="AB528" s="198" t="s">
        <v>2272</v>
      </c>
      <c r="AC528" s="198" t="s">
        <v>2272</v>
      </c>
      <c r="AD528" s="4" t="s">
        <v>850</v>
      </c>
      <c r="AE528" s="4"/>
    </row>
    <row r="529" spans="1:31" ht="63.5" customHeight="1">
      <c r="A529" s="198" t="s">
        <v>840</v>
      </c>
      <c r="B529" s="198" t="s">
        <v>849</v>
      </c>
      <c r="C529" s="198" t="s">
        <v>23</v>
      </c>
      <c r="D529" s="198" t="s">
        <v>26</v>
      </c>
      <c r="E529" s="198" t="s">
        <v>128</v>
      </c>
      <c r="F529" s="4" t="s">
        <v>159</v>
      </c>
      <c r="G529" s="4"/>
      <c r="H529" s="198" t="s">
        <v>521</v>
      </c>
      <c r="I529" s="198"/>
      <c r="J529" s="21" t="s">
        <v>2272</v>
      </c>
      <c r="K529" s="21" t="s">
        <v>2272</v>
      </c>
      <c r="L529" s="21" t="s">
        <v>2272</v>
      </c>
      <c r="M529" s="21" t="s">
        <v>2272</v>
      </c>
      <c r="N529" s="21" t="s">
        <v>2272</v>
      </c>
      <c r="O529" s="21" t="s">
        <v>2272</v>
      </c>
      <c r="P529" s="21" t="s">
        <v>2272</v>
      </c>
      <c r="Q529" s="21" t="s">
        <v>2272</v>
      </c>
      <c r="R529" s="21" t="s">
        <v>2272</v>
      </c>
      <c r="S529" s="21" t="s">
        <v>2272</v>
      </c>
      <c r="T529" s="21" t="s">
        <v>2272</v>
      </c>
      <c r="U529" s="21" t="s">
        <v>2272</v>
      </c>
      <c r="V529" s="21" t="s">
        <v>2272</v>
      </c>
      <c r="W529" s="21" t="s">
        <v>2272</v>
      </c>
      <c r="X529" s="21" t="s">
        <v>2272</v>
      </c>
      <c r="Y529" s="21" t="s">
        <v>2272</v>
      </c>
      <c r="Z529" s="21" t="s">
        <v>2272</v>
      </c>
      <c r="AA529" s="198" t="s">
        <v>2272</v>
      </c>
      <c r="AB529" s="198" t="s">
        <v>2272</v>
      </c>
      <c r="AC529" s="198" t="s">
        <v>2272</v>
      </c>
      <c r="AD529" s="4"/>
      <c r="AE529" s="4" t="s">
        <v>2414</v>
      </c>
    </row>
    <row r="530" spans="1:31" ht="43.5" customHeight="1">
      <c r="A530" s="198" t="s">
        <v>841</v>
      </c>
      <c r="B530" s="198" t="s">
        <v>841</v>
      </c>
      <c r="C530" s="198" t="s">
        <v>23</v>
      </c>
      <c r="D530" s="198" t="s">
        <v>26</v>
      </c>
      <c r="E530" s="4" t="s">
        <v>395</v>
      </c>
      <c r="F530" s="4" t="s">
        <v>159</v>
      </c>
      <c r="G530" s="4"/>
      <c r="H530" s="198" t="s">
        <v>522</v>
      </c>
      <c r="I530" s="198"/>
      <c r="J530" s="21">
        <v>0</v>
      </c>
      <c r="K530" s="21">
        <v>0</v>
      </c>
      <c r="L530" s="21">
        <v>0</v>
      </c>
      <c r="M530" s="21">
        <v>0</v>
      </c>
      <c r="N530" s="21">
        <v>0</v>
      </c>
      <c r="O530" s="21">
        <v>0</v>
      </c>
      <c r="P530" s="21">
        <v>0</v>
      </c>
      <c r="Q530" s="21">
        <v>0</v>
      </c>
      <c r="R530" s="21" t="s">
        <v>2272</v>
      </c>
      <c r="S530" s="21" t="s">
        <v>2272</v>
      </c>
      <c r="T530" s="21">
        <v>0</v>
      </c>
      <c r="U530" s="21">
        <v>0</v>
      </c>
      <c r="V530" s="21">
        <v>0</v>
      </c>
      <c r="W530" s="21">
        <v>0</v>
      </c>
      <c r="X530" s="21">
        <v>0</v>
      </c>
      <c r="Y530" s="21">
        <v>0</v>
      </c>
      <c r="Z530" s="21" t="s">
        <v>2272</v>
      </c>
      <c r="AA530" s="198" t="s">
        <v>2272</v>
      </c>
      <c r="AB530" s="198" t="s">
        <v>2272</v>
      </c>
      <c r="AC530" s="198" t="s">
        <v>2272</v>
      </c>
      <c r="AD530" s="4" t="s">
        <v>850</v>
      </c>
      <c r="AE530" s="4"/>
    </row>
    <row r="531" spans="1:31" ht="56" customHeight="1">
      <c r="A531" s="198" t="s">
        <v>842</v>
      </c>
      <c r="B531" s="198" t="s">
        <v>847</v>
      </c>
      <c r="C531" s="198" t="s">
        <v>23</v>
      </c>
      <c r="D531" s="198" t="s">
        <v>26</v>
      </c>
      <c r="E531" s="198" t="s">
        <v>128</v>
      </c>
      <c r="F531" s="4" t="s">
        <v>159</v>
      </c>
      <c r="G531" s="4"/>
      <c r="H531" s="198" t="s">
        <v>521</v>
      </c>
      <c r="I531" s="198"/>
      <c r="J531" s="21" t="s">
        <v>2272</v>
      </c>
      <c r="K531" s="21" t="s">
        <v>2272</v>
      </c>
      <c r="L531" s="21" t="s">
        <v>2272</v>
      </c>
      <c r="M531" s="21" t="s">
        <v>2272</v>
      </c>
      <c r="N531" s="21" t="s">
        <v>2272</v>
      </c>
      <c r="O531" s="21" t="s">
        <v>2272</v>
      </c>
      <c r="P531" s="21" t="s">
        <v>2272</v>
      </c>
      <c r="Q531" s="21" t="s">
        <v>2272</v>
      </c>
      <c r="R531" s="21" t="s">
        <v>2272</v>
      </c>
      <c r="S531" s="21" t="s">
        <v>2272</v>
      </c>
      <c r="T531" s="21" t="s">
        <v>2272</v>
      </c>
      <c r="U531" s="21" t="s">
        <v>2272</v>
      </c>
      <c r="V531" s="21" t="s">
        <v>2272</v>
      </c>
      <c r="W531" s="21" t="s">
        <v>2272</v>
      </c>
      <c r="X531" s="21" t="s">
        <v>2272</v>
      </c>
      <c r="Y531" s="21" t="s">
        <v>2272</v>
      </c>
      <c r="Z531" s="21" t="s">
        <v>2272</v>
      </c>
      <c r="AA531" s="198" t="s">
        <v>2272</v>
      </c>
      <c r="AB531" s="198" t="s">
        <v>2272</v>
      </c>
      <c r="AC531" s="198" t="s">
        <v>2272</v>
      </c>
      <c r="AD531" s="4"/>
      <c r="AE531" s="4" t="s">
        <v>2414</v>
      </c>
    </row>
    <row r="532" spans="1:31" ht="37.5" customHeight="1">
      <c r="A532" s="198" t="s">
        <v>843</v>
      </c>
      <c r="B532" s="198" t="s">
        <v>843</v>
      </c>
      <c r="C532" s="198" t="s">
        <v>23</v>
      </c>
      <c r="D532" s="198" t="s">
        <v>26</v>
      </c>
      <c r="E532" s="4" t="s">
        <v>395</v>
      </c>
      <c r="F532" s="4" t="s">
        <v>159</v>
      </c>
      <c r="G532" s="4"/>
      <c r="H532" s="198" t="s">
        <v>522</v>
      </c>
      <c r="I532" s="198"/>
      <c r="J532" s="21">
        <v>0</v>
      </c>
      <c r="K532" s="21">
        <v>0</v>
      </c>
      <c r="L532" s="21">
        <v>0</v>
      </c>
      <c r="M532" s="21">
        <v>0</v>
      </c>
      <c r="N532" s="21">
        <v>0</v>
      </c>
      <c r="O532" s="21">
        <v>0</v>
      </c>
      <c r="P532" s="21">
        <v>0</v>
      </c>
      <c r="Q532" s="21">
        <v>0</v>
      </c>
      <c r="R532" s="21" t="s">
        <v>2272</v>
      </c>
      <c r="S532" s="21" t="s">
        <v>2272</v>
      </c>
      <c r="T532" s="21">
        <v>0</v>
      </c>
      <c r="U532" s="21">
        <v>0</v>
      </c>
      <c r="V532" s="21">
        <v>0</v>
      </c>
      <c r="W532" s="21">
        <v>0</v>
      </c>
      <c r="X532" s="21">
        <v>0</v>
      </c>
      <c r="Y532" s="21">
        <v>0</v>
      </c>
      <c r="Z532" s="21" t="s">
        <v>2272</v>
      </c>
      <c r="AA532" s="198" t="s">
        <v>2272</v>
      </c>
      <c r="AB532" s="198" t="s">
        <v>2272</v>
      </c>
      <c r="AC532" s="198" t="s">
        <v>2272</v>
      </c>
      <c r="AD532" s="4" t="s">
        <v>850</v>
      </c>
      <c r="AE532" s="4"/>
    </row>
    <row r="533" spans="1:31" ht="47" customHeight="1">
      <c r="A533" s="5" t="s">
        <v>844</v>
      </c>
      <c r="B533" s="5" t="s">
        <v>848</v>
      </c>
      <c r="C533" s="5" t="s">
        <v>23</v>
      </c>
      <c r="D533" s="5" t="s">
        <v>26</v>
      </c>
      <c r="E533" s="5" t="s">
        <v>128</v>
      </c>
      <c r="F533" s="6" t="s">
        <v>159</v>
      </c>
      <c r="G533" s="6"/>
      <c r="H533" s="5" t="s">
        <v>521</v>
      </c>
      <c r="I533" s="198"/>
      <c r="J533" s="21" t="s">
        <v>2272</v>
      </c>
      <c r="K533" s="21" t="s">
        <v>2272</v>
      </c>
      <c r="L533" s="21" t="s">
        <v>2272</v>
      </c>
      <c r="M533" s="21" t="s">
        <v>2272</v>
      </c>
      <c r="N533" s="21" t="s">
        <v>2272</v>
      </c>
      <c r="O533" s="21" t="s">
        <v>2272</v>
      </c>
      <c r="P533" s="21" t="s">
        <v>2272</v>
      </c>
      <c r="Q533" s="21" t="s">
        <v>2272</v>
      </c>
      <c r="R533" s="21" t="s">
        <v>2272</v>
      </c>
      <c r="S533" s="21" t="s">
        <v>2272</v>
      </c>
      <c r="T533" s="21" t="s">
        <v>2272</v>
      </c>
      <c r="U533" s="21" t="s">
        <v>2272</v>
      </c>
      <c r="V533" s="21" t="s">
        <v>2272</v>
      </c>
      <c r="W533" s="21" t="s">
        <v>2272</v>
      </c>
      <c r="X533" s="21" t="s">
        <v>2272</v>
      </c>
      <c r="Y533" s="21" t="s">
        <v>2272</v>
      </c>
      <c r="Z533" s="21" t="s">
        <v>2272</v>
      </c>
      <c r="AA533" s="198" t="s">
        <v>2272</v>
      </c>
      <c r="AB533" s="198" t="s">
        <v>2272</v>
      </c>
      <c r="AC533" s="198" t="s">
        <v>2272</v>
      </c>
      <c r="AD533" s="4" t="s">
        <v>850</v>
      </c>
      <c r="AE533" s="4"/>
    </row>
    <row r="534" spans="1:31" ht="45.5" customHeight="1">
      <c r="A534" s="198" t="s">
        <v>859</v>
      </c>
      <c r="B534" s="198" t="s">
        <v>861</v>
      </c>
      <c r="C534" s="198" t="s">
        <v>23</v>
      </c>
      <c r="D534" s="198" t="s">
        <v>26</v>
      </c>
      <c r="E534" s="198" t="s">
        <v>128</v>
      </c>
      <c r="F534" s="4" t="s">
        <v>159</v>
      </c>
      <c r="G534" s="4"/>
      <c r="H534" s="198" t="s">
        <v>521</v>
      </c>
      <c r="I534" s="198"/>
      <c r="J534" s="21" t="s">
        <v>2272</v>
      </c>
      <c r="K534" s="21" t="s">
        <v>2272</v>
      </c>
      <c r="L534" s="21" t="s">
        <v>2272</v>
      </c>
      <c r="M534" s="21" t="s">
        <v>2272</v>
      </c>
      <c r="N534" s="21" t="s">
        <v>2272</v>
      </c>
      <c r="O534" s="21" t="s">
        <v>2272</v>
      </c>
      <c r="P534" s="21" t="s">
        <v>2272</v>
      </c>
      <c r="Q534" s="21" t="s">
        <v>2272</v>
      </c>
      <c r="R534" s="21" t="s">
        <v>2272</v>
      </c>
      <c r="S534" s="21" t="s">
        <v>2272</v>
      </c>
      <c r="T534" s="21" t="s">
        <v>2272</v>
      </c>
      <c r="U534" s="21" t="s">
        <v>2272</v>
      </c>
      <c r="V534" s="21" t="s">
        <v>2272</v>
      </c>
      <c r="W534" s="21" t="s">
        <v>2272</v>
      </c>
      <c r="X534" s="21" t="s">
        <v>2272</v>
      </c>
      <c r="Y534" s="21" t="s">
        <v>2272</v>
      </c>
      <c r="Z534" s="21" t="s">
        <v>2272</v>
      </c>
      <c r="AA534" s="198" t="s">
        <v>2272</v>
      </c>
      <c r="AB534" s="198" t="s">
        <v>2272</v>
      </c>
      <c r="AC534" s="198" t="s">
        <v>2272</v>
      </c>
      <c r="AD534" s="198"/>
      <c r="AE534" s="198" t="s">
        <v>2067</v>
      </c>
    </row>
    <row r="535" spans="1:31" ht="83.5" customHeight="1">
      <c r="A535" s="198" t="s">
        <v>859</v>
      </c>
      <c r="B535" s="198" t="s">
        <v>862</v>
      </c>
      <c r="C535" s="198" t="s">
        <v>23</v>
      </c>
      <c r="D535" s="198" t="s">
        <v>141</v>
      </c>
      <c r="E535" s="198" t="s">
        <v>860</v>
      </c>
      <c r="F535" s="4" t="s">
        <v>73</v>
      </c>
      <c r="G535" s="4"/>
      <c r="H535" s="198" t="s">
        <v>522</v>
      </c>
      <c r="I535" s="198"/>
      <c r="J535" s="21">
        <v>0</v>
      </c>
      <c r="K535" s="21">
        <v>0</v>
      </c>
      <c r="L535" s="21">
        <v>0</v>
      </c>
      <c r="M535" s="21">
        <v>0</v>
      </c>
      <c r="N535" s="21">
        <v>0</v>
      </c>
      <c r="O535" s="21">
        <v>0</v>
      </c>
      <c r="P535" s="21">
        <v>0</v>
      </c>
      <c r="Q535" s="21">
        <v>0</v>
      </c>
      <c r="R535" s="21" t="s">
        <v>2272</v>
      </c>
      <c r="S535" s="21" t="s">
        <v>2272</v>
      </c>
      <c r="T535" s="21">
        <v>0</v>
      </c>
      <c r="U535" s="21">
        <v>0</v>
      </c>
      <c r="V535" s="21">
        <v>0</v>
      </c>
      <c r="W535" s="21">
        <v>0</v>
      </c>
      <c r="X535" s="21">
        <v>0</v>
      </c>
      <c r="Y535" s="21">
        <v>0</v>
      </c>
      <c r="Z535" s="21" t="s">
        <v>2272</v>
      </c>
      <c r="AA535" s="198" t="s">
        <v>2272</v>
      </c>
      <c r="AB535" s="198" t="s">
        <v>2272</v>
      </c>
      <c r="AC535" s="198" t="s">
        <v>2272</v>
      </c>
      <c r="AD535" s="4" t="s">
        <v>865</v>
      </c>
      <c r="AE535" s="198"/>
    </row>
    <row r="536" spans="1:31" ht="63" customHeight="1">
      <c r="A536" s="198" t="s">
        <v>859</v>
      </c>
      <c r="B536" s="198" t="s">
        <v>863</v>
      </c>
      <c r="C536" s="198" t="s">
        <v>23</v>
      </c>
      <c r="D536" s="198" t="s">
        <v>26</v>
      </c>
      <c r="E536" s="4" t="s">
        <v>395</v>
      </c>
      <c r="F536" s="4" t="s">
        <v>27</v>
      </c>
      <c r="G536" s="4"/>
      <c r="H536" s="198" t="s">
        <v>522</v>
      </c>
      <c r="I536" s="198"/>
      <c r="J536" s="21">
        <v>0</v>
      </c>
      <c r="K536" s="21">
        <v>0</v>
      </c>
      <c r="L536" s="21">
        <v>0</v>
      </c>
      <c r="M536" s="21">
        <v>0</v>
      </c>
      <c r="N536" s="21">
        <v>0</v>
      </c>
      <c r="O536" s="21">
        <v>0</v>
      </c>
      <c r="P536" s="21">
        <v>0</v>
      </c>
      <c r="Q536" s="21">
        <v>0</v>
      </c>
      <c r="R536" s="21" t="s">
        <v>2272</v>
      </c>
      <c r="S536" s="21" t="s">
        <v>2272</v>
      </c>
      <c r="T536" s="21">
        <v>0</v>
      </c>
      <c r="U536" s="21">
        <v>0</v>
      </c>
      <c r="V536" s="21">
        <v>0</v>
      </c>
      <c r="W536" s="21">
        <v>0</v>
      </c>
      <c r="X536" s="21">
        <v>0</v>
      </c>
      <c r="Y536" s="21">
        <v>0</v>
      </c>
      <c r="Z536" s="21" t="s">
        <v>2272</v>
      </c>
      <c r="AA536" s="198" t="s">
        <v>2272</v>
      </c>
      <c r="AB536" s="198" t="s">
        <v>2272</v>
      </c>
      <c r="AC536" s="198" t="s">
        <v>2272</v>
      </c>
      <c r="AD536" s="4" t="s">
        <v>864</v>
      </c>
      <c r="AE536" s="198"/>
    </row>
    <row r="537" spans="1:31" ht="83.5" customHeight="1">
      <c r="A537" s="198" t="s">
        <v>866</v>
      </c>
      <c r="B537" s="198" t="s">
        <v>871</v>
      </c>
      <c r="C537" s="198" t="s">
        <v>23</v>
      </c>
      <c r="D537" s="198" t="s">
        <v>26</v>
      </c>
      <c r="E537" s="198" t="s">
        <v>128</v>
      </c>
      <c r="F537" s="4" t="s">
        <v>159</v>
      </c>
      <c r="G537" s="4"/>
      <c r="H537" s="198" t="s">
        <v>521</v>
      </c>
      <c r="I537" s="198"/>
      <c r="J537" s="21" t="s">
        <v>2272</v>
      </c>
      <c r="K537" s="21" t="s">
        <v>2272</v>
      </c>
      <c r="L537" s="73">
        <v>0.2</v>
      </c>
      <c r="M537" s="73" t="s">
        <v>2272</v>
      </c>
      <c r="N537" s="73">
        <v>0.5</v>
      </c>
      <c r="O537" s="73" t="s">
        <v>2272</v>
      </c>
      <c r="P537" s="73" t="s">
        <v>2272</v>
      </c>
      <c r="Q537" s="73" t="s">
        <v>2272</v>
      </c>
      <c r="R537" s="73" t="s">
        <v>2272</v>
      </c>
      <c r="S537" s="73" t="s">
        <v>2272</v>
      </c>
      <c r="T537" s="73" t="s">
        <v>2272</v>
      </c>
      <c r="U537" s="73" t="s">
        <v>2272</v>
      </c>
      <c r="V537" s="73" t="s">
        <v>2272</v>
      </c>
      <c r="W537" s="73" t="s">
        <v>2272</v>
      </c>
      <c r="X537" s="73" t="s">
        <v>2272</v>
      </c>
      <c r="Y537" s="73" t="s">
        <v>2272</v>
      </c>
      <c r="Z537" s="21">
        <v>12</v>
      </c>
      <c r="AA537" s="198" t="s">
        <v>74</v>
      </c>
      <c r="AB537" s="198" t="s">
        <v>34</v>
      </c>
      <c r="AC537" s="198" t="s">
        <v>63</v>
      </c>
      <c r="AD537" s="4" t="s">
        <v>877</v>
      </c>
      <c r="AE537" s="4" t="s">
        <v>5019</v>
      </c>
    </row>
    <row r="538" spans="1:31" ht="83.5" customHeight="1">
      <c r="A538" s="198" t="s">
        <v>2068</v>
      </c>
      <c r="B538" s="198" t="s">
        <v>2122</v>
      </c>
      <c r="C538" s="198" t="s">
        <v>23</v>
      </c>
      <c r="D538" s="198" t="s">
        <v>26</v>
      </c>
      <c r="E538" s="198" t="s">
        <v>128</v>
      </c>
      <c r="F538" s="4" t="s">
        <v>159</v>
      </c>
      <c r="G538" s="4"/>
      <c r="H538" s="198" t="s">
        <v>521</v>
      </c>
      <c r="I538" s="198"/>
      <c r="J538" s="21" t="s">
        <v>2272</v>
      </c>
      <c r="K538" s="21" t="s">
        <v>2272</v>
      </c>
      <c r="L538" s="73">
        <v>0.2</v>
      </c>
      <c r="M538" s="73" t="s">
        <v>2272</v>
      </c>
      <c r="N538" s="73">
        <v>0.5</v>
      </c>
      <c r="O538" s="73" t="s">
        <v>2272</v>
      </c>
      <c r="P538" s="73" t="s">
        <v>2272</v>
      </c>
      <c r="Q538" s="73" t="s">
        <v>2272</v>
      </c>
      <c r="R538" s="73" t="s">
        <v>2272</v>
      </c>
      <c r="S538" s="73" t="s">
        <v>2272</v>
      </c>
      <c r="T538" s="73" t="s">
        <v>2272</v>
      </c>
      <c r="U538" s="73" t="s">
        <v>2272</v>
      </c>
      <c r="V538" s="73" t="s">
        <v>2272</v>
      </c>
      <c r="W538" s="73" t="s">
        <v>2272</v>
      </c>
      <c r="X538" s="73" t="s">
        <v>2272</v>
      </c>
      <c r="Y538" s="73" t="s">
        <v>2272</v>
      </c>
      <c r="Z538" s="21">
        <v>12</v>
      </c>
      <c r="AA538" s="198" t="s">
        <v>74</v>
      </c>
      <c r="AB538" s="198" t="s">
        <v>34</v>
      </c>
      <c r="AC538" s="198" t="s">
        <v>63</v>
      </c>
      <c r="AD538" s="4" t="s">
        <v>877</v>
      </c>
      <c r="AE538" s="4" t="s">
        <v>5019</v>
      </c>
    </row>
    <row r="539" spans="1:31" ht="83.5" customHeight="1">
      <c r="A539" s="198" t="s">
        <v>2069</v>
      </c>
      <c r="B539" s="198" t="s">
        <v>2123</v>
      </c>
      <c r="C539" s="198" t="s">
        <v>23</v>
      </c>
      <c r="D539" s="198" t="s">
        <v>26</v>
      </c>
      <c r="E539" s="198" t="s">
        <v>128</v>
      </c>
      <c r="F539" s="4" t="s">
        <v>159</v>
      </c>
      <c r="G539" s="4"/>
      <c r="H539" s="198" t="s">
        <v>521</v>
      </c>
      <c r="I539" s="198"/>
      <c r="J539" s="21" t="s">
        <v>2272</v>
      </c>
      <c r="K539" s="21" t="s">
        <v>2272</v>
      </c>
      <c r="L539" s="73">
        <v>0.2</v>
      </c>
      <c r="M539" s="73" t="s">
        <v>2272</v>
      </c>
      <c r="N539" s="73">
        <v>0.5</v>
      </c>
      <c r="O539" s="73" t="s">
        <v>2272</v>
      </c>
      <c r="P539" s="73" t="s">
        <v>2272</v>
      </c>
      <c r="Q539" s="73" t="s">
        <v>2272</v>
      </c>
      <c r="R539" s="73" t="s">
        <v>2272</v>
      </c>
      <c r="S539" s="73" t="s">
        <v>2272</v>
      </c>
      <c r="T539" s="73" t="s">
        <v>2272</v>
      </c>
      <c r="U539" s="73" t="s">
        <v>2272</v>
      </c>
      <c r="V539" s="73" t="s">
        <v>2272</v>
      </c>
      <c r="W539" s="73" t="s">
        <v>2272</v>
      </c>
      <c r="X539" s="73" t="s">
        <v>2272</v>
      </c>
      <c r="Y539" s="73" t="s">
        <v>2272</v>
      </c>
      <c r="Z539" s="21">
        <v>12</v>
      </c>
      <c r="AA539" s="198" t="s">
        <v>74</v>
      </c>
      <c r="AB539" s="198" t="s">
        <v>34</v>
      </c>
      <c r="AC539" s="198" t="s">
        <v>63</v>
      </c>
      <c r="AD539" s="4" t="s">
        <v>877</v>
      </c>
      <c r="AE539" s="4" t="s">
        <v>5019</v>
      </c>
    </row>
    <row r="540" spans="1:31" ht="83.5" customHeight="1">
      <c r="A540" s="198" t="s">
        <v>2070</v>
      </c>
      <c r="B540" s="198" t="s">
        <v>2124</v>
      </c>
      <c r="C540" s="198" t="s">
        <v>23</v>
      </c>
      <c r="D540" s="198" t="s">
        <v>26</v>
      </c>
      <c r="E540" s="198" t="s">
        <v>128</v>
      </c>
      <c r="F540" s="4" t="s">
        <v>159</v>
      </c>
      <c r="G540" s="4"/>
      <c r="H540" s="198" t="s">
        <v>521</v>
      </c>
      <c r="I540" s="198"/>
      <c r="J540" s="21" t="s">
        <v>2272</v>
      </c>
      <c r="K540" s="21" t="s">
        <v>2272</v>
      </c>
      <c r="L540" s="73">
        <v>0.2</v>
      </c>
      <c r="M540" s="73" t="s">
        <v>2272</v>
      </c>
      <c r="N540" s="73">
        <v>0.5</v>
      </c>
      <c r="O540" s="73" t="s">
        <v>2272</v>
      </c>
      <c r="P540" s="73" t="s">
        <v>2272</v>
      </c>
      <c r="Q540" s="73" t="s">
        <v>2272</v>
      </c>
      <c r="R540" s="73" t="s">
        <v>2272</v>
      </c>
      <c r="S540" s="73" t="s">
        <v>2272</v>
      </c>
      <c r="T540" s="73" t="s">
        <v>2272</v>
      </c>
      <c r="U540" s="73" t="s">
        <v>2272</v>
      </c>
      <c r="V540" s="73" t="s">
        <v>2272</v>
      </c>
      <c r="W540" s="73" t="s">
        <v>2272</v>
      </c>
      <c r="X540" s="73" t="s">
        <v>2272</v>
      </c>
      <c r="Y540" s="73" t="s">
        <v>2272</v>
      </c>
      <c r="Z540" s="21">
        <v>12</v>
      </c>
      <c r="AA540" s="198" t="s">
        <v>74</v>
      </c>
      <c r="AB540" s="198" t="s">
        <v>34</v>
      </c>
      <c r="AC540" s="198" t="s">
        <v>63</v>
      </c>
      <c r="AD540" s="4" t="s">
        <v>877</v>
      </c>
      <c r="AE540" s="4" t="s">
        <v>5019</v>
      </c>
    </row>
    <row r="541" spans="1:31" ht="83.5" customHeight="1">
      <c r="A541" s="198" t="s">
        <v>2071</v>
      </c>
      <c r="B541" s="198" t="s">
        <v>2125</v>
      </c>
      <c r="C541" s="198" t="s">
        <v>23</v>
      </c>
      <c r="D541" s="198" t="s">
        <v>26</v>
      </c>
      <c r="E541" s="198" t="s">
        <v>128</v>
      </c>
      <c r="F541" s="4" t="s">
        <v>159</v>
      </c>
      <c r="G541" s="4"/>
      <c r="H541" s="198" t="s">
        <v>521</v>
      </c>
      <c r="I541" s="198"/>
      <c r="J541" s="21" t="s">
        <v>2272</v>
      </c>
      <c r="K541" s="21" t="s">
        <v>2272</v>
      </c>
      <c r="L541" s="73">
        <v>0.2</v>
      </c>
      <c r="M541" s="73" t="s">
        <v>2272</v>
      </c>
      <c r="N541" s="73">
        <v>0.5</v>
      </c>
      <c r="O541" s="73" t="s">
        <v>2272</v>
      </c>
      <c r="P541" s="73" t="s">
        <v>2272</v>
      </c>
      <c r="Q541" s="73" t="s">
        <v>2272</v>
      </c>
      <c r="R541" s="73" t="s">
        <v>2272</v>
      </c>
      <c r="S541" s="73" t="s">
        <v>2272</v>
      </c>
      <c r="T541" s="73" t="s">
        <v>2272</v>
      </c>
      <c r="U541" s="73" t="s">
        <v>2272</v>
      </c>
      <c r="V541" s="73" t="s">
        <v>2272</v>
      </c>
      <c r="W541" s="73" t="s">
        <v>2272</v>
      </c>
      <c r="X541" s="73" t="s">
        <v>2272</v>
      </c>
      <c r="Y541" s="73" t="s">
        <v>2272</v>
      </c>
      <c r="Z541" s="21">
        <v>12</v>
      </c>
      <c r="AA541" s="198" t="s">
        <v>74</v>
      </c>
      <c r="AB541" s="198" t="s">
        <v>34</v>
      </c>
      <c r="AC541" s="198" t="s">
        <v>63</v>
      </c>
      <c r="AD541" s="4" t="s">
        <v>877</v>
      </c>
      <c r="AE541" s="4" t="s">
        <v>5019</v>
      </c>
    </row>
    <row r="542" spans="1:31" ht="83.5" customHeight="1">
      <c r="A542" s="198" t="s">
        <v>2072</v>
      </c>
      <c r="B542" s="198" t="s">
        <v>2126</v>
      </c>
      <c r="C542" s="198" t="s">
        <v>23</v>
      </c>
      <c r="D542" s="198" t="s">
        <v>26</v>
      </c>
      <c r="E542" s="198" t="s">
        <v>128</v>
      </c>
      <c r="F542" s="4" t="s">
        <v>159</v>
      </c>
      <c r="G542" s="4"/>
      <c r="H542" s="198" t="s">
        <v>521</v>
      </c>
      <c r="I542" s="198"/>
      <c r="J542" s="21" t="s">
        <v>2272</v>
      </c>
      <c r="K542" s="21" t="s">
        <v>2272</v>
      </c>
      <c r="L542" s="73">
        <v>0.2</v>
      </c>
      <c r="M542" s="73" t="s">
        <v>2272</v>
      </c>
      <c r="N542" s="73">
        <v>0.5</v>
      </c>
      <c r="O542" s="73" t="s">
        <v>2272</v>
      </c>
      <c r="P542" s="73" t="s">
        <v>2272</v>
      </c>
      <c r="Q542" s="73" t="s">
        <v>2272</v>
      </c>
      <c r="R542" s="73" t="s">
        <v>2272</v>
      </c>
      <c r="S542" s="73" t="s">
        <v>2272</v>
      </c>
      <c r="T542" s="73" t="s">
        <v>2272</v>
      </c>
      <c r="U542" s="73" t="s">
        <v>2272</v>
      </c>
      <c r="V542" s="73" t="s">
        <v>2272</v>
      </c>
      <c r="W542" s="73" t="s">
        <v>2272</v>
      </c>
      <c r="X542" s="73" t="s">
        <v>2272</v>
      </c>
      <c r="Y542" s="73" t="s">
        <v>2272</v>
      </c>
      <c r="Z542" s="21">
        <v>12</v>
      </c>
      <c r="AA542" s="198" t="s">
        <v>74</v>
      </c>
      <c r="AB542" s="198" t="s">
        <v>34</v>
      </c>
      <c r="AC542" s="198" t="s">
        <v>63</v>
      </c>
      <c r="AD542" s="4" t="s">
        <v>877</v>
      </c>
      <c r="AE542" s="4" t="s">
        <v>5019</v>
      </c>
    </row>
    <row r="543" spans="1:31" ht="83.5" customHeight="1">
      <c r="A543" s="198" t="s">
        <v>2073</v>
      </c>
      <c r="B543" s="198" t="s">
        <v>2127</v>
      </c>
      <c r="C543" s="198" t="s">
        <v>23</v>
      </c>
      <c r="D543" s="198" t="s">
        <v>26</v>
      </c>
      <c r="E543" s="198" t="s">
        <v>128</v>
      </c>
      <c r="F543" s="4" t="s">
        <v>159</v>
      </c>
      <c r="G543" s="4"/>
      <c r="H543" s="198" t="s">
        <v>521</v>
      </c>
      <c r="I543" s="198"/>
      <c r="J543" s="21" t="s">
        <v>2272</v>
      </c>
      <c r="K543" s="21" t="s">
        <v>2272</v>
      </c>
      <c r="L543" s="73">
        <v>0.2</v>
      </c>
      <c r="M543" s="73" t="s">
        <v>2272</v>
      </c>
      <c r="N543" s="73">
        <v>0.5</v>
      </c>
      <c r="O543" s="73" t="s">
        <v>2272</v>
      </c>
      <c r="P543" s="73" t="s">
        <v>2272</v>
      </c>
      <c r="Q543" s="73" t="s">
        <v>2272</v>
      </c>
      <c r="R543" s="73" t="s">
        <v>2272</v>
      </c>
      <c r="S543" s="73" t="s">
        <v>2272</v>
      </c>
      <c r="T543" s="73" t="s">
        <v>2272</v>
      </c>
      <c r="U543" s="73" t="s">
        <v>2272</v>
      </c>
      <c r="V543" s="73" t="s">
        <v>2272</v>
      </c>
      <c r="W543" s="73" t="s">
        <v>2272</v>
      </c>
      <c r="X543" s="73" t="s">
        <v>2272</v>
      </c>
      <c r="Y543" s="73" t="s">
        <v>2272</v>
      </c>
      <c r="Z543" s="21">
        <v>12</v>
      </c>
      <c r="AA543" s="198" t="s">
        <v>74</v>
      </c>
      <c r="AB543" s="198" t="s">
        <v>34</v>
      </c>
      <c r="AC543" s="198" t="s">
        <v>63</v>
      </c>
      <c r="AD543" s="4" t="s">
        <v>877</v>
      </c>
      <c r="AE543" s="4" t="s">
        <v>5019</v>
      </c>
    </row>
    <row r="544" spans="1:31" ht="83.5" customHeight="1">
      <c r="A544" s="198" t="s">
        <v>2074</v>
      </c>
      <c r="B544" s="198" t="s">
        <v>2128</v>
      </c>
      <c r="C544" s="198" t="s">
        <v>23</v>
      </c>
      <c r="D544" s="198" t="s">
        <v>26</v>
      </c>
      <c r="E544" s="198" t="s">
        <v>128</v>
      </c>
      <c r="F544" s="4" t="s">
        <v>159</v>
      </c>
      <c r="G544" s="4"/>
      <c r="H544" s="198" t="s">
        <v>521</v>
      </c>
      <c r="I544" s="198"/>
      <c r="J544" s="21" t="s">
        <v>2272</v>
      </c>
      <c r="K544" s="21" t="s">
        <v>2272</v>
      </c>
      <c r="L544" s="73">
        <v>0.2</v>
      </c>
      <c r="M544" s="73" t="s">
        <v>2272</v>
      </c>
      <c r="N544" s="73">
        <v>0.5</v>
      </c>
      <c r="O544" s="73" t="s">
        <v>2272</v>
      </c>
      <c r="P544" s="73" t="s">
        <v>2272</v>
      </c>
      <c r="Q544" s="73" t="s">
        <v>2272</v>
      </c>
      <c r="R544" s="73" t="s">
        <v>2272</v>
      </c>
      <c r="S544" s="73" t="s">
        <v>2272</v>
      </c>
      <c r="T544" s="73" t="s">
        <v>2272</v>
      </c>
      <c r="U544" s="73" t="s">
        <v>2272</v>
      </c>
      <c r="V544" s="73" t="s">
        <v>2272</v>
      </c>
      <c r="W544" s="73" t="s">
        <v>2272</v>
      </c>
      <c r="X544" s="73" t="s">
        <v>2272</v>
      </c>
      <c r="Y544" s="73" t="s">
        <v>2272</v>
      </c>
      <c r="Z544" s="21">
        <v>12</v>
      </c>
      <c r="AA544" s="198" t="s">
        <v>74</v>
      </c>
      <c r="AB544" s="198" t="s">
        <v>34</v>
      </c>
      <c r="AC544" s="198" t="s">
        <v>63</v>
      </c>
      <c r="AD544" s="4" t="s">
        <v>877</v>
      </c>
      <c r="AE544" s="4" t="s">
        <v>5019</v>
      </c>
    </row>
    <row r="545" spans="1:31" ht="83.5" customHeight="1">
      <c r="A545" s="198" t="s">
        <v>2075</v>
      </c>
      <c r="B545" s="198" t="s">
        <v>2129</v>
      </c>
      <c r="C545" s="198" t="s">
        <v>23</v>
      </c>
      <c r="D545" s="198" t="s">
        <v>26</v>
      </c>
      <c r="E545" s="198" t="s">
        <v>128</v>
      </c>
      <c r="F545" s="4" t="s">
        <v>159</v>
      </c>
      <c r="G545" s="4"/>
      <c r="H545" s="198" t="s">
        <v>521</v>
      </c>
      <c r="I545" s="198"/>
      <c r="J545" s="21" t="s">
        <v>2272</v>
      </c>
      <c r="K545" s="21" t="s">
        <v>2272</v>
      </c>
      <c r="L545" s="73">
        <v>0.2</v>
      </c>
      <c r="M545" s="73" t="s">
        <v>2272</v>
      </c>
      <c r="N545" s="73">
        <v>0.5</v>
      </c>
      <c r="O545" s="73" t="s">
        <v>2272</v>
      </c>
      <c r="P545" s="73" t="s">
        <v>2272</v>
      </c>
      <c r="Q545" s="73" t="s">
        <v>2272</v>
      </c>
      <c r="R545" s="73" t="s">
        <v>2272</v>
      </c>
      <c r="S545" s="73" t="s">
        <v>2272</v>
      </c>
      <c r="T545" s="73" t="s">
        <v>2272</v>
      </c>
      <c r="U545" s="73" t="s">
        <v>2272</v>
      </c>
      <c r="V545" s="73" t="s">
        <v>2272</v>
      </c>
      <c r="W545" s="73" t="s">
        <v>2272</v>
      </c>
      <c r="X545" s="73" t="s">
        <v>2272</v>
      </c>
      <c r="Y545" s="73" t="s">
        <v>2272</v>
      </c>
      <c r="Z545" s="21">
        <v>12</v>
      </c>
      <c r="AA545" s="198" t="s">
        <v>74</v>
      </c>
      <c r="AB545" s="198" t="s">
        <v>34</v>
      </c>
      <c r="AC545" s="198" t="s">
        <v>63</v>
      </c>
      <c r="AD545" s="4" t="s">
        <v>877</v>
      </c>
      <c r="AE545" s="4" t="s">
        <v>5019</v>
      </c>
    </row>
    <row r="546" spans="1:31" ht="83.5" customHeight="1">
      <c r="A546" s="198" t="s">
        <v>2076</v>
      </c>
      <c r="B546" s="198" t="s">
        <v>2130</v>
      </c>
      <c r="C546" s="198" t="s">
        <v>23</v>
      </c>
      <c r="D546" s="198" t="s">
        <v>26</v>
      </c>
      <c r="E546" s="198" t="s">
        <v>128</v>
      </c>
      <c r="F546" s="4" t="s">
        <v>159</v>
      </c>
      <c r="G546" s="4"/>
      <c r="H546" s="198" t="s">
        <v>521</v>
      </c>
      <c r="I546" s="198"/>
      <c r="J546" s="21" t="s">
        <v>2272</v>
      </c>
      <c r="K546" s="21" t="s">
        <v>2272</v>
      </c>
      <c r="L546" s="73">
        <v>0.2</v>
      </c>
      <c r="M546" s="73" t="s">
        <v>2272</v>
      </c>
      <c r="N546" s="73">
        <v>0.5</v>
      </c>
      <c r="O546" s="73" t="s">
        <v>2272</v>
      </c>
      <c r="P546" s="73" t="s">
        <v>2272</v>
      </c>
      <c r="Q546" s="73" t="s">
        <v>2272</v>
      </c>
      <c r="R546" s="73" t="s">
        <v>2272</v>
      </c>
      <c r="S546" s="73" t="s">
        <v>2272</v>
      </c>
      <c r="T546" s="73" t="s">
        <v>2272</v>
      </c>
      <c r="U546" s="73" t="s">
        <v>2272</v>
      </c>
      <c r="V546" s="73" t="s">
        <v>2272</v>
      </c>
      <c r="W546" s="73" t="s">
        <v>2272</v>
      </c>
      <c r="X546" s="73" t="s">
        <v>2272</v>
      </c>
      <c r="Y546" s="73" t="s">
        <v>2272</v>
      </c>
      <c r="Z546" s="21">
        <v>12</v>
      </c>
      <c r="AA546" s="198" t="s">
        <v>74</v>
      </c>
      <c r="AB546" s="198" t="s">
        <v>34</v>
      </c>
      <c r="AC546" s="198" t="s">
        <v>63</v>
      </c>
      <c r="AD546" s="4" t="s">
        <v>877</v>
      </c>
      <c r="AE546" s="4" t="s">
        <v>5019</v>
      </c>
    </row>
    <row r="547" spans="1:31" ht="83.5" customHeight="1">
      <c r="A547" s="198" t="s">
        <v>2077</v>
      </c>
      <c r="B547" s="198" t="s">
        <v>2131</v>
      </c>
      <c r="C547" s="198" t="s">
        <v>23</v>
      </c>
      <c r="D547" s="198" t="s">
        <v>26</v>
      </c>
      <c r="E547" s="198" t="s">
        <v>128</v>
      </c>
      <c r="F547" s="4" t="s">
        <v>159</v>
      </c>
      <c r="G547" s="4"/>
      <c r="H547" s="198" t="s">
        <v>521</v>
      </c>
      <c r="I547" s="198"/>
      <c r="J547" s="21" t="s">
        <v>2272</v>
      </c>
      <c r="K547" s="21" t="s">
        <v>2272</v>
      </c>
      <c r="L547" s="73">
        <v>0.2</v>
      </c>
      <c r="M547" s="73" t="s">
        <v>2272</v>
      </c>
      <c r="N547" s="73">
        <v>0.5</v>
      </c>
      <c r="O547" s="73" t="s">
        <v>2272</v>
      </c>
      <c r="P547" s="73" t="s">
        <v>2272</v>
      </c>
      <c r="Q547" s="73" t="s">
        <v>2272</v>
      </c>
      <c r="R547" s="73" t="s">
        <v>2272</v>
      </c>
      <c r="S547" s="73" t="s">
        <v>2272</v>
      </c>
      <c r="T547" s="73" t="s">
        <v>2272</v>
      </c>
      <c r="U547" s="73" t="s">
        <v>2272</v>
      </c>
      <c r="V547" s="73" t="s">
        <v>2272</v>
      </c>
      <c r="W547" s="73" t="s">
        <v>2272</v>
      </c>
      <c r="X547" s="73" t="s">
        <v>2272</v>
      </c>
      <c r="Y547" s="73" t="s">
        <v>2272</v>
      </c>
      <c r="Z547" s="21">
        <v>12</v>
      </c>
      <c r="AA547" s="198" t="s">
        <v>74</v>
      </c>
      <c r="AB547" s="198" t="s">
        <v>34</v>
      </c>
      <c r="AC547" s="198" t="s">
        <v>63</v>
      </c>
      <c r="AD547" s="4" t="s">
        <v>877</v>
      </c>
      <c r="AE547" s="4" t="s">
        <v>5019</v>
      </c>
    </row>
    <row r="548" spans="1:31" ht="83.5" customHeight="1">
      <c r="A548" s="198" t="s">
        <v>2078</v>
      </c>
      <c r="B548" s="198" t="s">
        <v>2132</v>
      </c>
      <c r="C548" s="198" t="s">
        <v>23</v>
      </c>
      <c r="D548" s="198" t="s">
        <v>26</v>
      </c>
      <c r="E548" s="198" t="s">
        <v>128</v>
      </c>
      <c r="F548" s="4" t="s">
        <v>159</v>
      </c>
      <c r="G548" s="4"/>
      <c r="H548" s="198" t="s">
        <v>521</v>
      </c>
      <c r="I548" s="198"/>
      <c r="J548" s="21" t="s">
        <v>2272</v>
      </c>
      <c r="K548" s="21" t="s">
        <v>2272</v>
      </c>
      <c r="L548" s="73">
        <v>0.2</v>
      </c>
      <c r="M548" s="73" t="s">
        <v>2272</v>
      </c>
      <c r="N548" s="73">
        <v>0.5</v>
      </c>
      <c r="O548" s="73" t="s">
        <v>2272</v>
      </c>
      <c r="P548" s="73" t="s">
        <v>2272</v>
      </c>
      <c r="Q548" s="73" t="s">
        <v>2272</v>
      </c>
      <c r="R548" s="73" t="s">
        <v>2272</v>
      </c>
      <c r="S548" s="73" t="s">
        <v>2272</v>
      </c>
      <c r="T548" s="73" t="s">
        <v>2272</v>
      </c>
      <c r="U548" s="73" t="s">
        <v>2272</v>
      </c>
      <c r="V548" s="73" t="s">
        <v>2272</v>
      </c>
      <c r="W548" s="73" t="s">
        <v>2272</v>
      </c>
      <c r="X548" s="73" t="s">
        <v>2272</v>
      </c>
      <c r="Y548" s="73" t="s">
        <v>2272</v>
      </c>
      <c r="Z548" s="21">
        <v>12</v>
      </c>
      <c r="AA548" s="198" t="s">
        <v>74</v>
      </c>
      <c r="AB548" s="198" t="s">
        <v>34</v>
      </c>
      <c r="AC548" s="198" t="s">
        <v>63</v>
      </c>
      <c r="AD548" s="4" t="s">
        <v>877</v>
      </c>
      <c r="AE548" s="4" t="s">
        <v>5019</v>
      </c>
    </row>
    <row r="549" spans="1:31" ht="83.5" customHeight="1">
      <c r="A549" s="198" t="s">
        <v>2079</v>
      </c>
      <c r="B549" s="198" t="s">
        <v>2133</v>
      </c>
      <c r="C549" s="198" t="s">
        <v>23</v>
      </c>
      <c r="D549" s="198" t="s">
        <v>26</v>
      </c>
      <c r="E549" s="198" t="s">
        <v>128</v>
      </c>
      <c r="F549" s="4" t="s">
        <v>159</v>
      </c>
      <c r="G549" s="4"/>
      <c r="H549" s="198" t="s">
        <v>521</v>
      </c>
      <c r="I549" s="198"/>
      <c r="J549" s="21" t="s">
        <v>2272</v>
      </c>
      <c r="K549" s="21" t="s">
        <v>2272</v>
      </c>
      <c r="L549" s="73">
        <v>0.2</v>
      </c>
      <c r="M549" s="73" t="s">
        <v>2272</v>
      </c>
      <c r="N549" s="73">
        <v>0.5</v>
      </c>
      <c r="O549" s="73" t="s">
        <v>2272</v>
      </c>
      <c r="P549" s="73" t="s">
        <v>2272</v>
      </c>
      <c r="Q549" s="73" t="s">
        <v>2272</v>
      </c>
      <c r="R549" s="73" t="s">
        <v>2272</v>
      </c>
      <c r="S549" s="73" t="s">
        <v>2272</v>
      </c>
      <c r="T549" s="73" t="s">
        <v>2272</v>
      </c>
      <c r="U549" s="73" t="s">
        <v>2272</v>
      </c>
      <c r="V549" s="73" t="s">
        <v>2272</v>
      </c>
      <c r="W549" s="73" t="s">
        <v>2272</v>
      </c>
      <c r="X549" s="73" t="s">
        <v>2272</v>
      </c>
      <c r="Y549" s="73" t="s">
        <v>2272</v>
      </c>
      <c r="Z549" s="21">
        <v>12</v>
      </c>
      <c r="AA549" s="198" t="s">
        <v>74</v>
      </c>
      <c r="AB549" s="198" t="s">
        <v>34</v>
      </c>
      <c r="AC549" s="198" t="s">
        <v>63</v>
      </c>
      <c r="AD549" s="4" t="s">
        <v>877</v>
      </c>
      <c r="AE549" s="4" t="s">
        <v>5019</v>
      </c>
    </row>
    <row r="550" spans="1:31" ht="83.5" customHeight="1">
      <c r="A550" s="198" t="s">
        <v>2080</v>
      </c>
      <c r="B550" s="198" t="s">
        <v>2134</v>
      </c>
      <c r="C550" s="198" t="s">
        <v>23</v>
      </c>
      <c r="D550" s="198" t="s">
        <v>26</v>
      </c>
      <c r="E550" s="198" t="s">
        <v>128</v>
      </c>
      <c r="F550" s="4" t="s">
        <v>159</v>
      </c>
      <c r="G550" s="4"/>
      <c r="H550" s="198" t="s">
        <v>521</v>
      </c>
      <c r="I550" s="198"/>
      <c r="J550" s="21" t="s">
        <v>2272</v>
      </c>
      <c r="K550" s="21" t="s">
        <v>2272</v>
      </c>
      <c r="L550" s="73">
        <v>0.2</v>
      </c>
      <c r="M550" s="73" t="s">
        <v>2272</v>
      </c>
      <c r="N550" s="73">
        <v>0.5</v>
      </c>
      <c r="O550" s="73" t="s">
        <v>2272</v>
      </c>
      <c r="P550" s="73" t="s">
        <v>2272</v>
      </c>
      <c r="Q550" s="73" t="s">
        <v>2272</v>
      </c>
      <c r="R550" s="73" t="s">
        <v>2272</v>
      </c>
      <c r="S550" s="73" t="s">
        <v>2272</v>
      </c>
      <c r="T550" s="73" t="s">
        <v>2272</v>
      </c>
      <c r="U550" s="73" t="s">
        <v>2272</v>
      </c>
      <c r="V550" s="73" t="s">
        <v>2272</v>
      </c>
      <c r="W550" s="73" t="s">
        <v>2272</v>
      </c>
      <c r="X550" s="73" t="s">
        <v>2272</v>
      </c>
      <c r="Y550" s="73" t="s">
        <v>2272</v>
      </c>
      <c r="Z550" s="21">
        <v>12</v>
      </c>
      <c r="AA550" s="198" t="s">
        <v>74</v>
      </c>
      <c r="AB550" s="198" t="s">
        <v>34</v>
      </c>
      <c r="AC550" s="198" t="s">
        <v>63</v>
      </c>
      <c r="AD550" s="4" t="s">
        <v>877</v>
      </c>
      <c r="AE550" s="4" t="s">
        <v>5019</v>
      </c>
    </row>
    <row r="551" spans="1:31" ht="83.5" customHeight="1">
      <c r="A551" s="198" t="s">
        <v>2081</v>
      </c>
      <c r="B551" s="198" t="s">
        <v>2135</v>
      </c>
      <c r="C551" s="198" t="s">
        <v>23</v>
      </c>
      <c r="D551" s="198" t="s">
        <v>26</v>
      </c>
      <c r="E551" s="198" t="s">
        <v>128</v>
      </c>
      <c r="F551" s="4" t="s">
        <v>159</v>
      </c>
      <c r="G551" s="4"/>
      <c r="H551" s="198" t="s">
        <v>521</v>
      </c>
      <c r="I551" s="198"/>
      <c r="J551" s="21" t="s">
        <v>2272</v>
      </c>
      <c r="K551" s="21" t="s">
        <v>2272</v>
      </c>
      <c r="L551" s="73">
        <v>0.2</v>
      </c>
      <c r="M551" s="73" t="s">
        <v>2272</v>
      </c>
      <c r="N551" s="73">
        <v>0.5</v>
      </c>
      <c r="O551" s="73" t="s">
        <v>2272</v>
      </c>
      <c r="P551" s="73" t="s">
        <v>2272</v>
      </c>
      <c r="Q551" s="73" t="s">
        <v>2272</v>
      </c>
      <c r="R551" s="73" t="s">
        <v>2272</v>
      </c>
      <c r="S551" s="73" t="s">
        <v>2272</v>
      </c>
      <c r="T551" s="73" t="s">
        <v>2272</v>
      </c>
      <c r="U551" s="73" t="s">
        <v>2272</v>
      </c>
      <c r="V551" s="73" t="s">
        <v>2272</v>
      </c>
      <c r="W551" s="73" t="s">
        <v>2272</v>
      </c>
      <c r="X551" s="73" t="s">
        <v>2272</v>
      </c>
      <c r="Y551" s="73" t="s">
        <v>2272</v>
      </c>
      <c r="Z551" s="21">
        <v>12</v>
      </c>
      <c r="AA551" s="198" t="s">
        <v>74</v>
      </c>
      <c r="AB551" s="198" t="s">
        <v>34</v>
      </c>
      <c r="AC551" s="198" t="s">
        <v>63</v>
      </c>
      <c r="AD551" s="4" t="s">
        <v>877</v>
      </c>
      <c r="AE551" s="4" t="s">
        <v>5019</v>
      </c>
    </row>
    <row r="552" spans="1:31" ht="83.5" customHeight="1">
      <c r="A552" s="198" t="s">
        <v>2082</v>
      </c>
      <c r="B552" s="198" t="s">
        <v>2136</v>
      </c>
      <c r="C552" s="198" t="s">
        <v>23</v>
      </c>
      <c r="D552" s="198" t="s">
        <v>26</v>
      </c>
      <c r="E552" s="198" t="s">
        <v>128</v>
      </c>
      <c r="F552" s="4" t="s">
        <v>159</v>
      </c>
      <c r="G552" s="4"/>
      <c r="H552" s="198" t="s">
        <v>521</v>
      </c>
      <c r="I552" s="198"/>
      <c r="J552" s="21" t="s">
        <v>2272</v>
      </c>
      <c r="K552" s="21" t="s">
        <v>2272</v>
      </c>
      <c r="L552" s="73">
        <v>0.2</v>
      </c>
      <c r="M552" s="73" t="s">
        <v>2272</v>
      </c>
      <c r="N552" s="73">
        <v>0.5</v>
      </c>
      <c r="O552" s="73" t="s">
        <v>2272</v>
      </c>
      <c r="P552" s="73" t="s">
        <v>2272</v>
      </c>
      <c r="Q552" s="73" t="s">
        <v>2272</v>
      </c>
      <c r="R552" s="73" t="s">
        <v>2272</v>
      </c>
      <c r="S552" s="73" t="s">
        <v>2272</v>
      </c>
      <c r="T552" s="73" t="s">
        <v>2272</v>
      </c>
      <c r="U552" s="73" t="s">
        <v>2272</v>
      </c>
      <c r="V552" s="73" t="s">
        <v>2272</v>
      </c>
      <c r="W552" s="73" t="s">
        <v>2272</v>
      </c>
      <c r="X552" s="73" t="s">
        <v>2272</v>
      </c>
      <c r="Y552" s="73" t="s">
        <v>2272</v>
      </c>
      <c r="Z552" s="21">
        <v>12</v>
      </c>
      <c r="AA552" s="198" t="s">
        <v>74</v>
      </c>
      <c r="AB552" s="198" t="s">
        <v>34</v>
      </c>
      <c r="AC552" s="198" t="s">
        <v>63</v>
      </c>
      <c r="AD552" s="4" t="s">
        <v>877</v>
      </c>
      <c r="AE552" s="4" t="s">
        <v>5019</v>
      </c>
    </row>
    <row r="553" spans="1:31" ht="83.5" customHeight="1">
      <c r="A553" s="198" t="s">
        <v>2083</v>
      </c>
      <c r="B553" s="198" t="s">
        <v>2137</v>
      </c>
      <c r="C553" s="198" t="s">
        <v>23</v>
      </c>
      <c r="D553" s="198" t="s">
        <v>26</v>
      </c>
      <c r="E553" s="198" t="s">
        <v>128</v>
      </c>
      <c r="F553" s="4" t="s">
        <v>159</v>
      </c>
      <c r="G553" s="4"/>
      <c r="H553" s="198" t="s">
        <v>521</v>
      </c>
      <c r="I553" s="198"/>
      <c r="J553" s="21" t="s">
        <v>2272</v>
      </c>
      <c r="K553" s="21" t="s">
        <v>2272</v>
      </c>
      <c r="L553" s="73">
        <v>0.2</v>
      </c>
      <c r="M553" s="73" t="s">
        <v>2272</v>
      </c>
      <c r="N553" s="73">
        <v>0.5</v>
      </c>
      <c r="O553" s="73" t="s">
        <v>2272</v>
      </c>
      <c r="P553" s="73" t="s">
        <v>2272</v>
      </c>
      <c r="Q553" s="73" t="s">
        <v>2272</v>
      </c>
      <c r="R553" s="73" t="s">
        <v>2272</v>
      </c>
      <c r="S553" s="73" t="s">
        <v>2272</v>
      </c>
      <c r="T553" s="73" t="s">
        <v>2272</v>
      </c>
      <c r="U553" s="73" t="s">
        <v>2272</v>
      </c>
      <c r="V553" s="73" t="s">
        <v>2272</v>
      </c>
      <c r="W553" s="73" t="s">
        <v>2272</v>
      </c>
      <c r="X553" s="73" t="s">
        <v>2272</v>
      </c>
      <c r="Y553" s="73" t="s">
        <v>2272</v>
      </c>
      <c r="Z553" s="21">
        <v>12</v>
      </c>
      <c r="AA553" s="198" t="s">
        <v>74</v>
      </c>
      <c r="AB553" s="198" t="s">
        <v>34</v>
      </c>
      <c r="AC553" s="198" t="s">
        <v>63</v>
      </c>
      <c r="AD553" s="4" t="s">
        <v>877</v>
      </c>
      <c r="AE553" s="4" t="s">
        <v>5019</v>
      </c>
    </row>
    <row r="554" spans="1:31" ht="83.5" customHeight="1">
      <c r="A554" s="198" t="s">
        <v>2084</v>
      </c>
      <c r="B554" s="198" t="s">
        <v>2138</v>
      </c>
      <c r="C554" s="198" t="s">
        <v>23</v>
      </c>
      <c r="D554" s="198" t="s">
        <v>26</v>
      </c>
      <c r="E554" s="198" t="s">
        <v>128</v>
      </c>
      <c r="F554" s="4" t="s">
        <v>159</v>
      </c>
      <c r="G554" s="4"/>
      <c r="H554" s="198" t="s">
        <v>521</v>
      </c>
      <c r="I554" s="198"/>
      <c r="J554" s="21" t="s">
        <v>2272</v>
      </c>
      <c r="K554" s="21" t="s">
        <v>2272</v>
      </c>
      <c r="L554" s="73">
        <v>0.2</v>
      </c>
      <c r="M554" s="73" t="s">
        <v>2272</v>
      </c>
      <c r="N554" s="73">
        <v>0.5</v>
      </c>
      <c r="O554" s="73" t="s">
        <v>2272</v>
      </c>
      <c r="P554" s="73" t="s">
        <v>2272</v>
      </c>
      <c r="Q554" s="73" t="s">
        <v>2272</v>
      </c>
      <c r="R554" s="73" t="s">
        <v>2272</v>
      </c>
      <c r="S554" s="73" t="s">
        <v>2272</v>
      </c>
      <c r="T554" s="73" t="s">
        <v>2272</v>
      </c>
      <c r="U554" s="73" t="s">
        <v>2272</v>
      </c>
      <c r="V554" s="73" t="s">
        <v>2272</v>
      </c>
      <c r="W554" s="73" t="s">
        <v>2272</v>
      </c>
      <c r="X554" s="73" t="s">
        <v>2272</v>
      </c>
      <c r="Y554" s="73" t="s">
        <v>2272</v>
      </c>
      <c r="Z554" s="21">
        <v>12</v>
      </c>
      <c r="AA554" s="198" t="s">
        <v>74</v>
      </c>
      <c r="AB554" s="198" t="s">
        <v>34</v>
      </c>
      <c r="AC554" s="198" t="s">
        <v>63</v>
      </c>
      <c r="AD554" s="4" t="s">
        <v>877</v>
      </c>
      <c r="AE554" s="4" t="s">
        <v>5019</v>
      </c>
    </row>
    <row r="555" spans="1:31" ht="83.5" customHeight="1">
      <c r="A555" s="198" t="s">
        <v>2085</v>
      </c>
      <c r="B555" s="198" t="s">
        <v>2139</v>
      </c>
      <c r="C555" s="198" t="s">
        <v>23</v>
      </c>
      <c r="D555" s="198" t="s">
        <v>26</v>
      </c>
      <c r="E555" s="198" t="s">
        <v>128</v>
      </c>
      <c r="F555" s="4" t="s">
        <v>159</v>
      </c>
      <c r="G555" s="4"/>
      <c r="H555" s="198" t="s">
        <v>521</v>
      </c>
      <c r="I555" s="198"/>
      <c r="J555" s="21" t="s">
        <v>2272</v>
      </c>
      <c r="K555" s="21" t="s">
        <v>2272</v>
      </c>
      <c r="L555" s="73">
        <v>0.2</v>
      </c>
      <c r="M555" s="73" t="s">
        <v>2272</v>
      </c>
      <c r="N555" s="73">
        <v>0.5</v>
      </c>
      <c r="O555" s="73" t="s">
        <v>2272</v>
      </c>
      <c r="P555" s="73" t="s">
        <v>2272</v>
      </c>
      <c r="Q555" s="73" t="s">
        <v>2272</v>
      </c>
      <c r="R555" s="73" t="s">
        <v>2272</v>
      </c>
      <c r="S555" s="73" t="s">
        <v>2272</v>
      </c>
      <c r="T555" s="73" t="s">
        <v>2272</v>
      </c>
      <c r="U555" s="73" t="s">
        <v>2272</v>
      </c>
      <c r="V555" s="73" t="s">
        <v>2272</v>
      </c>
      <c r="W555" s="73" t="s">
        <v>2272</v>
      </c>
      <c r="X555" s="73" t="s">
        <v>2272</v>
      </c>
      <c r="Y555" s="73" t="s">
        <v>2272</v>
      </c>
      <c r="Z555" s="21">
        <v>12</v>
      </c>
      <c r="AA555" s="198" t="s">
        <v>74</v>
      </c>
      <c r="AB555" s="198" t="s">
        <v>34</v>
      </c>
      <c r="AC555" s="198" t="s">
        <v>63</v>
      </c>
      <c r="AD555" s="4" t="s">
        <v>877</v>
      </c>
      <c r="AE555" s="4" t="s">
        <v>5019</v>
      </c>
    </row>
    <row r="556" spans="1:31" ht="83.5" customHeight="1">
      <c r="A556" s="198" t="s">
        <v>2086</v>
      </c>
      <c r="B556" s="198" t="s">
        <v>2140</v>
      </c>
      <c r="C556" s="198" t="s">
        <v>23</v>
      </c>
      <c r="D556" s="198" t="s">
        <v>26</v>
      </c>
      <c r="E556" s="198" t="s">
        <v>128</v>
      </c>
      <c r="F556" s="4" t="s">
        <v>159</v>
      </c>
      <c r="G556" s="4"/>
      <c r="H556" s="198" t="s">
        <v>521</v>
      </c>
      <c r="I556" s="198"/>
      <c r="J556" s="21" t="s">
        <v>2272</v>
      </c>
      <c r="K556" s="21" t="s">
        <v>2272</v>
      </c>
      <c r="L556" s="73">
        <v>0.2</v>
      </c>
      <c r="M556" s="73" t="s">
        <v>2272</v>
      </c>
      <c r="N556" s="73">
        <v>0.5</v>
      </c>
      <c r="O556" s="73" t="s">
        <v>2272</v>
      </c>
      <c r="P556" s="73" t="s">
        <v>2272</v>
      </c>
      <c r="Q556" s="73" t="s">
        <v>2272</v>
      </c>
      <c r="R556" s="73" t="s">
        <v>2272</v>
      </c>
      <c r="S556" s="73" t="s">
        <v>2272</v>
      </c>
      <c r="T556" s="73" t="s">
        <v>2272</v>
      </c>
      <c r="U556" s="73" t="s">
        <v>2272</v>
      </c>
      <c r="V556" s="73" t="s">
        <v>2272</v>
      </c>
      <c r="W556" s="73" t="s">
        <v>2272</v>
      </c>
      <c r="X556" s="73" t="s">
        <v>2272</v>
      </c>
      <c r="Y556" s="73" t="s">
        <v>2272</v>
      </c>
      <c r="Z556" s="21">
        <v>12</v>
      </c>
      <c r="AA556" s="198" t="s">
        <v>74</v>
      </c>
      <c r="AB556" s="198" t="s">
        <v>34</v>
      </c>
      <c r="AC556" s="198" t="s">
        <v>63</v>
      </c>
      <c r="AD556" s="4" t="s">
        <v>877</v>
      </c>
      <c r="AE556" s="4" t="s">
        <v>5019</v>
      </c>
    </row>
    <row r="557" spans="1:31" ht="83.5" customHeight="1">
      <c r="A557" s="198" t="s">
        <v>2087</v>
      </c>
      <c r="B557" s="198" t="s">
        <v>2141</v>
      </c>
      <c r="C557" s="198" t="s">
        <v>23</v>
      </c>
      <c r="D557" s="198" t="s">
        <v>26</v>
      </c>
      <c r="E557" s="198" t="s">
        <v>128</v>
      </c>
      <c r="F557" s="4" t="s">
        <v>159</v>
      </c>
      <c r="G557" s="4"/>
      <c r="H557" s="198" t="s">
        <v>521</v>
      </c>
      <c r="I557" s="198"/>
      <c r="J557" s="21" t="s">
        <v>2272</v>
      </c>
      <c r="K557" s="21" t="s">
        <v>2272</v>
      </c>
      <c r="L557" s="73">
        <v>0.2</v>
      </c>
      <c r="M557" s="73" t="s">
        <v>2272</v>
      </c>
      <c r="N557" s="73">
        <v>0.5</v>
      </c>
      <c r="O557" s="73" t="s">
        <v>2272</v>
      </c>
      <c r="P557" s="73" t="s">
        <v>2272</v>
      </c>
      <c r="Q557" s="73" t="s">
        <v>2272</v>
      </c>
      <c r="R557" s="73" t="s">
        <v>2272</v>
      </c>
      <c r="S557" s="73" t="s">
        <v>2272</v>
      </c>
      <c r="T557" s="73" t="s">
        <v>2272</v>
      </c>
      <c r="U557" s="73" t="s">
        <v>2272</v>
      </c>
      <c r="V557" s="73" t="s">
        <v>2272</v>
      </c>
      <c r="W557" s="73" t="s">
        <v>2272</v>
      </c>
      <c r="X557" s="73" t="s">
        <v>2272</v>
      </c>
      <c r="Y557" s="73" t="s">
        <v>2272</v>
      </c>
      <c r="Z557" s="21">
        <v>12</v>
      </c>
      <c r="AA557" s="198" t="s">
        <v>74</v>
      </c>
      <c r="AB557" s="198" t="s">
        <v>34</v>
      </c>
      <c r="AC557" s="198" t="s">
        <v>63</v>
      </c>
      <c r="AD557" s="4" t="s">
        <v>877</v>
      </c>
      <c r="AE557" s="4" t="s">
        <v>5019</v>
      </c>
    </row>
    <row r="558" spans="1:31" ht="83.5" customHeight="1">
      <c r="A558" s="198" t="s">
        <v>2088</v>
      </c>
      <c r="B558" s="198" t="s">
        <v>2142</v>
      </c>
      <c r="C558" s="198" t="s">
        <v>23</v>
      </c>
      <c r="D558" s="198" t="s">
        <v>26</v>
      </c>
      <c r="E558" s="198" t="s">
        <v>128</v>
      </c>
      <c r="F558" s="4" t="s">
        <v>159</v>
      </c>
      <c r="G558" s="4"/>
      <c r="H558" s="198" t="s">
        <v>521</v>
      </c>
      <c r="I558" s="198"/>
      <c r="J558" s="21" t="s">
        <v>2272</v>
      </c>
      <c r="K558" s="21" t="s">
        <v>2272</v>
      </c>
      <c r="L558" s="73">
        <v>0.2</v>
      </c>
      <c r="M558" s="73" t="s">
        <v>2272</v>
      </c>
      <c r="N558" s="73">
        <v>0.5</v>
      </c>
      <c r="O558" s="73" t="s">
        <v>2272</v>
      </c>
      <c r="P558" s="73" t="s">
        <v>2272</v>
      </c>
      <c r="Q558" s="73" t="s">
        <v>2272</v>
      </c>
      <c r="R558" s="73" t="s">
        <v>2272</v>
      </c>
      <c r="S558" s="73" t="s">
        <v>2272</v>
      </c>
      <c r="T558" s="73" t="s">
        <v>2272</v>
      </c>
      <c r="U558" s="73" t="s">
        <v>2272</v>
      </c>
      <c r="V558" s="73" t="s">
        <v>2272</v>
      </c>
      <c r="W558" s="73" t="s">
        <v>2272</v>
      </c>
      <c r="X558" s="73" t="s">
        <v>2272</v>
      </c>
      <c r="Y558" s="73" t="s">
        <v>2272</v>
      </c>
      <c r="Z558" s="21">
        <v>12</v>
      </c>
      <c r="AA558" s="198" t="s">
        <v>74</v>
      </c>
      <c r="AB558" s="198" t="s">
        <v>34</v>
      </c>
      <c r="AC558" s="198" t="s">
        <v>63</v>
      </c>
      <c r="AD558" s="4" t="s">
        <v>877</v>
      </c>
      <c r="AE558" s="4" t="s">
        <v>5019</v>
      </c>
    </row>
    <row r="559" spans="1:31" ht="83.5" customHeight="1">
      <c r="A559" s="198" t="s">
        <v>2089</v>
      </c>
      <c r="B559" s="198" t="s">
        <v>2143</v>
      </c>
      <c r="C559" s="198" t="s">
        <v>23</v>
      </c>
      <c r="D559" s="198" t="s">
        <v>26</v>
      </c>
      <c r="E559" s="198" t="s">
        <v>128</v>
      </c>
      <c r="F559" s="4" t="s">
        <v>159</v>
      </c>
      <c r="G559" s="4"/>
      <c r="H559" s="198" t="s">
        <v>521</v>
      </c>
      <c r="I559" s="198"/>
      <c r="J559" s="21" t="s">
        <v>2272</v>
      </c>
      <c r="K559" s="21" t="s">
        <v>2272</v>
      </c>
      <c r="L559" s="73">
        <v>0.2</v>
      </c>
      <c r="M559" s="73" t="s">
        <v>2272</v>
      </c>
      <c r="N559" s="73">
        <v>0.5</v>
      </c>
      <c r="O559" s="73" t="s">
        <v>2272</v>
      </c>
      <c r="P559" s="73" t="s">
        <v>2272</v>
      </c>
      <c r="Q559" s="73" t="s">
        <v>2272</v>
      </c>
      <c r="R559" s="73" t="s">
        <v>2272</v>
      </c>
      <c r="S559" s="73" t="s">
        <v>2272</v>
      </c>
      <c r="T559" s="73" t="s">
        <v>2272</v>
      </c>
      <c r="U559" s="73" t="s">
        <v>2272</v>
      </c>
      <c r="V559" s="73" t="s">
        <v>2272</v>
      </c>
      <c r="W559" s="73" t="s">
        <v>2272</v>
      </c>
      <c r="X559" s="73" t="s">
        <v>2272</v>
      </c>
      <c r="Y559" s="73" t="s">
        <v>2272</v>
      </c>
      <c r="Z559" s="21">
        <v>12</v>
      </c>
      <c r="AA559" s="198" t="s">
        <v>74</v>
      </c>
      <c r="AB559" s="198" t="s">
        <v>34</v>
      </c>
      <c r="AC559" s="198" t="s">
        <v>63</v>
      </c>
      <c r="AD559" s="4" t="s">
        <v>877</v>
      </c>
      <c r="AE559" s="4" t="s">
        <v>5019</v>
      </c>
    </row>
    <row r="560" spans="1:31" ht="83.5" customHeight="1">
      <c r="A560" s="198" t="s">
        <v>2090</v>
      </c>
      <c r="B560" s="198" t="s">
        <v>2144</v>
      </c>
      <c r="C560" s="198" t="s">
        <v>23</v>
      </c>
      <c r="D560" s="198" t="s">
        <v>26</v>
      </c>
      <c r="E560" s="198" t="s">
        <v>128</v>
      </c>
      <c r="F560" s="4" t="s">
        <v>159</v>
      </c>
      <c r="G560" s="4"/>
      <c r="H560" s="198" t="s">
        <v>521</v>
      </c>
      <c r="I560" s="198"/>
      <c r="J560" s="21" t="s">
        <v>2272</v>
      </c>
      <c r="K560" s="21" t="s">
        <v>2272</v>
      </c>
      <c r="L560" s="73">
        <v>0.2</v>
      </c>
      <c r="M560" s="73" t="s">
        <v>2272</v>
      </c>
      <c r="N560" s="73">
        <v>0.5</v>
      </c>
      <c r="O560" s="73" t="s">
        <v>2272</v>
      </c>
      <c r="P560" s="73" t="s">
        <v>2272</v>
      </c>
      <c r="Q560" s="73" t="s">
        <v>2272</v>
      </c>
      <c r="R560" s="73" t="s">
        <v>2272</v>
      </c>
      <c r="S560" s="73" t="s">
        <v>2272</v>
      </c>
      <c r="T560" s="73" t="s">
        <v>2272</v>
      </c>
      <c r="U560" s="73" t="s">
        <v>2272</v>
      </c>
      <c r="V560" s="73" t="s">
        <v>2272</v>
      </c>
      <c r="W560" s="73" t="s">
        <v>2272</v>
      </c>
      <c r="X560" s="73" t="s">
        <v>2272</v>
      </c>
      <c r="Y560" s="73" t="s">
        <v>2272</v>
      </c>
      <c r="Z560" s="21">
        <v>12</v>
      </c>
      <c r="AA560" s="198" t="s">
        <v>74</v>
      </c>
      <c r="AB560" s="198" t="s">
        <v>34</v>
      </c>
      <c r="AC560" s="198" t="s">
        <v>63</v>
      </c>
      <c r="AD560" s="4" t="s">
        <v>877</v>
      </c>
      <c r="AE560" s="4" t="s">
        <v>5019</v>
      </c>
    </row>
    <row r="561" spans="1:31" ht="83.5" customHeight="1">
      <c r="A561" s="198" t="s">
        <v>2091</v>
      </c>
      <c r="B561" s="198" t="s">
        <v>2145</v>
      </c>
      <c r="C561" s="198" t="s">
        <v>23</v>
      </c>
      <c r="D561" s="198" t="s">
        <v>26</v>
      </c>
      <c r="E561" s="198" t="s">
        <v>128</v>
      </c>
      <c r="F561" s="4" t="s">
        <v>159</v>
      </c>
      <c r="G561" s="4"/>
      <c r="H561" s="198" t="s">
        <v>521</v>
      </c>
      <c r="I561" s="198"/>
      <c r="J561" s="21" t="s">
        <v>2272</v>
      </c>
      <c r="K561" s="21" t="s">
        <v>2272</v>
      </c>
      <c r="L561" s="73">
        <v>0.2</v>
      </c>
      <c r="M561" s="73" t="s">
        <v>2272</v>
      </c>
      <c r="N561" s="73">
        <v>0.5</v>
      </c>
      <c r="O561" s="73" t="s">
        <v>2272</v>
      </c>
      <c r="P561" s="73" t="s">
        <v>2272</v>
      </c>
      <c r="Q561" s="73" t="s">
        <v>2272</v>
      </c>
      <c r="R561" s="73" t="s">
        <v>2272</v>
      </c>
      <c r="S561" s="73" t="s">
        <v>2272</v>
      </c>
      <c r="T561" s="73" t="s">
        <v>2272</v>
      </c>
      <c r="U561" s="73" t="s">
        <v>2272</v>
      </c>
      <c r="V561" s="73" t="s">
        <v>2272</v>
      </c>
      <c r="W561" s="73" t="s">
        <v>2272</v>
      </c>
      <c r="X561" s="73" t="s">
        <v>2272</v>
      </c>
      <c r="Y561" s="73" t="s">
        <v>2272</v>
      </c>
      <c r="Z561" s="21">
        <v>12</v>
      </c>
      <c r="AA561" s="198" t="s">
        <v>74</v>
      </c>
      <c r="AB561" s="198" t="s">
        <v>34</v>
      </c>
      <c r="AC561" s="198" t="s">
        <v>63</v>
      </c>
      <c r="AD561" s="4" t="s">
        <v>877</v>
      </c>
      <c r="AE561" s="4" t="s">
        <v>5019</v>
      </c>
    </row>
    <row r="562" spans="1:31" ht="83.5" customHeight="1">
      <c r="A562" s="198" t="s">
        <v>2092</v>
      </c>
      <c r="B562" s="198" t="s">
        <v>2146</v>
      </c>
      <c r="C562" s="198" t="s">
        <v>23</v>
      </c>
      <c r="D562" s="198" t="s">
        <v>26</v>
      </c>
      <c r="E562" s="198" t="s">
        <v>128</v>
      </c>
      <c r="F562" s="4" t="s">
        <v>159</v>
      </c>
      <c r="G562" s="4"/>
      <c r="H562" s="198" t="s">
        <v>521</v>
      </c>
      <c r="I562" s="198"/>
      <c r="J562" s="21" t="s">
        <v>2272</v>
      </c>
      <c r="K562" s="21" t="s">
        <v>2272</v>
      </c>
      <c r="L562" s="73">
        <v>0.2</v>
      </c>
      <c r="M562" s="73" t="s">
        <v>2272</v>
      </c>
      <c r="N562" s="73">
        <v>0.5</v>
      </c>
      <c r="O562" s="73" t="s">
        <v>2272</v>
      </c>
      <c r="P562" s="73" t="s">
        <v>2272</v>
      </c>
      <c r="Q562" s="73" t="s">
        <v>2272</v>
      </c>
      <c r="R562" s="73" t="s">
        <v>2272</v>
      </c>
      <c r="S562" s="73" t="s">
        <v>2272</v>
      </c>
      <c r="T562" s="73" t="s">
        <v>2272</v>
      </c>
      <c r="U562" s="73" t="s">
        <v>2272</v>
      </c>
      <c r="V562" s="73" t="s">
        <v>2272</v>
      </c>
      <c r="W562" s="73" t="s">
        <v>2272</v>
      </c>
      <c r="X562" s="73" t="s">
        <v>2272</v>
      </c>
      <c r="Y562" s="73" t="s">
        <v>2272</v>
      </c>
      <c r="Z562" s="21">
        <v>12</v>
      </c>
      <c r="AA562" s="198" t="s">
        <v>74</v>
      </c>
      <c r="AB562" s="198" t="s">
        <v>34</v>
      </c>
      <c r="AC562" s="198" t="s">
        <v>63</v>
      </c>
      <c r="AD562" s="4" t="s">
        <v>877</v>
      </c>
      <c r="AE562" s="4" t="s">
        <v>5019</v>
      </c>
    </row>
    <row r="563" spans="1:31" ht="83.5" customHeight="1">
      <c r="A563" s="198" t="s">
        <v>2093</v>
      </c>
      <c r="B563" s="198" t="s">
        <v>2147</v>
      </c>
      <c r="C563" s="198" t="s">
        <v>23</v>
      </c>
      <c r="D563" s="198" t="s">
        <v>26</v>
      </c>
      <c r="E563" s="198" t="s">
        <v>128</v>
      </c>
      <c r="F563" s="4" t="s">
        <v>159</v>
      </c>
      <c r="G563" s="4"/>
      <c r="H563" s="198" t="s">
        <v>521</v>
      </c>
      <c r="I563" s="198"/>
      <c r="J563" s="21" t="s">
        <v>2272</v>
      </c>
      <c r="K563" s="21" t="s">
        <v>2272</v>
      </c>
      <c r="L563" s="73">
        <v>0.2</v>
      </c>
      <c r="M563" s="73" t="s">
        <v>2272</v>
      </c>
      <c r="N563" s="73">
        <v>0.5</v>
      </c>
      <c r="O563" s="73" t="s">
        <v>2272</v>
      </c>
      <c r="P563" s="73" t="s">
        <v>2272</v>
      </c>
      <c r="Q563" s="73" t="s">
        <v>2272</v>
      </c>
      <c r="R563" s="73" t="s">
        <v>2272</v>
      </c>
      <c r="S563" s="73" t="s">
        <v>2272</v>
      </c>
      <c r="T563" s="73" t="s">
        <v>2272</v>
      </c>
      <c r="U563" s="73" t="s">
        <v>2272</v>
      </c>
      <c r="V563" s="73" t="s">
        <v>2272</v>
      </c>
      <c r="W563" s="73" t="s">
        <v>2272</v>
      </c>
      <c r="X563" s="73" t="s">
        <v>2272</v>
      </c>
      <c r="Y563" s="73" t="s">
        <v>2272</v>
      </c>
      <c r="Z563" s="21">
        <v>12</v>
      </c>
      <c r="AA563" s="198" t="s">
        <v>74</v>
      </c>
      <c r="AB563" s="198" t="s">
        <v>34</v>
      </c>
      <c r="AC563" s="198" t="s">
        <v>63</v>
      </c>
      <c r="AD563" s="4" t="s">
        <v>877</v>
      </c>
      <c r="AE563" s="4" t="s">
        <v>5019</v>
      </c>
    </row>
    <row r="564" spans="1:31" ht="83.5" customHeight="1">
      <c r="A564" s="198" t="s">
        <v>2094</v>
      </c>
      <c r="B564" s="198" t="s">
        <v>2148</v>
      </c>
      <c r="C564" s="198" t="s">
        <v>23</v>
      </c>
      <c r="D564" s="198" t="s">
        <v>26</v>
      </c>
      <c r="E564" s="198" t="s">
        <v>128</v>
      </c>
      <c r="F564" s="4" t="s">
        <v>159</v>
      </c>
      <c r="G564" s="4"/>
      <c r="H564" s="198" t="s">
        <v>521</v>
      </c>
      <c r="I564" s="198"/>
      <c r="J564" s="21" t="s">
        <v>2272</v>
      </c>
      <c r="K564" s="21" t="s">
        <v>2272</v>
      </c>
      <c r="L564" s="73">
        <v>0.2</v>
      </c>
      <c r="M564" s="73" t="s">
        <v>2272</v>
      </c>
      <c r="N564" s="73">
        <v>0.5</v>
      </c>
      <c r="O564" s="73" t="s">
        <v>2272</v>
      </c>
      <c r="P564" s="73" t="s">
        <v>2272</v>
      </c>
      <c r="Q564" s="73" t="s">
        <v>2272</v>
      </c>
      <c r="R564" s="73" t="s">
        <v>2272</v>
      </c>
      <c r="S564" s="73" t="s">
        <v>2272</v>
      </c>
      <c r="T564" s="73" t="s">
        <v>2272</v>
      </c>
      <c r="U564" s="73" t="s">
        <v>2272</v>
      </c>
      <c r="V564" s="73" t="s">
        <v>2272</v>
      </c>
      <c r="W564" s="73" t="s">
        <v>2272</v>
      </c>
      <c r="X564" s="73" t="s">
        <v>2272</v>
      </c>
      <c r="Y564" s="73" t="s">
        <v>2272</v>
      </c>
      <c r="Z564" s="21">
        <v>12</v>
      </c>
      <c r="AA564" s="198" t="s">
        <v>74</v>
      </c>
      <c r="AB564" s="198" t="s">
        <v>34</v>
      </c>
      <c r="AC564" s="198" t="s">
        <v>63</v>
      </c>
      <c r="AD564" s="4" t="s">
        <v>877</v>
      </c>
      <c r="AE564" s="4" t="s">
        <v>5019</v>
      </c>
    </row>
    <row r="565" spans="1:31" ht="83.5" customHeight="1">
      <c r="A565" s="198" t="s">
        <v>2095</v>
      </c>
      <c r="B565" s="198" t="s">
        <v>2149</v>
      </c>
      <c r="C565" s="198" t="s">
        <v>23</v>
      </c>
      <c r="D565" s="198" t="s">
        <v>26</v>
      </c>
      <c r="E565" s="198" t="s">
        <v>128</v>
      </c>
      <c r="F565" s="4" t="s">
        <v>159</v>
      </c>
      <c r="G565" s="4"/>
      <c r="H565" s="198" t="s">
        <v>521</v>
      </c>
      <c r="I565" s="198"/>
      <c r="J565" s="21" t="s">
        <v>2272</v>
      </c>
      <c r="K565" s="21" t="s">
        <v>2272</v>
      </c>
      <c r="L565" s="73">
        <v>0.2</v>
      </c>
      <c r="M565" s="73" t="s">
        <v>2272</v>
      </c>
      <c r="N565" s="73">
        <v>0.5</v>
      </c>
      <c r="O565" s="73" t="s">
        <v>2272</v>
      </c>
      <c r="P565" s="73" t="s">
        <v>2272</v>
      </c>
      <c r="Q565" s="73" t="s">
        <v>2272</v>
      </c>
      <c r="R565" s="73" t="s">
        <v>2272</v>
      </c>
      <c r="S565" s="73" t="s">
        <v>2272</v>
      </c>
      <c r="T565" s="73" t="s">
        <v>2272</v>
      </c>
      <c r="U565" s="73" t="s">
        <v>2272</v>
      </c>
      <c r="V565" s="73" t="s">
        <v>2272</v>
      </c>
      <c r="W565" s="73" t="s">
        <v>2272</v>
      </c>
      <c r="X565" s="73" t="s">
        <v>2272</v>
      </c>
      <c r="Y565" s="73" t="s">
        <v>2272</v>
      </c>
      <c r="Z565" s="21">
        <v>12</v>
      </c>
      <c r="AA565" s="198" t="s">
        <v>74</v>
      </c>
      <c r="AB565" s="198" t="s">
        <v>34</v>
      </c>
      <c r="AC565" s="198" t="s">
        <v>63</v>
      </c>
      <c r="AD565" s="4" t="s">
        <v>877</v>
      </c>
      <c r="AE565" s="4" t="s">
        <v>5019</v>
      </c>
    </row>
    <row r="566" spans="1:31" ht="83.5" customHeight="1">
      <c r="A566" s="198" t="s">
        <v>2096</v>
      </c>
      <c r="B566" s="198" t="s">
        <v>2150</v>
      </c>
      <c r="C566" s="198" t="s">
        <v>23</v>
      </c>
      <c r="D566" s="198" t="s">
        <v>26</v>
      </c>
      <c r="E566" s="198" t="s">
        <v>128</v>
      </c>
      <c r="F566" s="4" t="s">
        <v>159</v>
      </c>
      <c r="G566" s="4"/>
      <c r="H566" s="198" t="s">
        <v>521</v>
      </c>
      <c r="I566" s="198"/>
      <c r="J566" s="21" t="s">
        <v>2272</v>
      </c>
      <c r="K566" s="21" t="s">
        <v>2272</v>
      </c>
      <c r="L566" s="73">
        <v>0.2</v>
      </c>
      <c r="M566" s="73" t="s">
        <v>2272</v>
      </c>
      <c r="N566" s="73">
        <v>0.5</v>
      </c>
      <c r="O566" s="73" t="s">
        <v>2272</v>
      </c>
      <c r="P566" s="73" t="s">
        <v>2272</v>
      </c>
      <c r="Q566" s="73" t="s">
        <v>2272</v>
      </c>
      <c r="R566" s="73" t="s">
        <v>2272</v>
      </c>
      <c r="S566" s="73" t="s">
        <v>2272</v>
      </c>
      <c r="T566" s="73" t="s">
        <v>2272</v>
      </c>
      <c r="U566" s="73" t="s">
        <v>2272</v>
      </c>
      <c r="V566" s="73" t="s">
        <v>2272</v>
      </c>
      <c r="W566" s="73" t="s">
        <v>2272</v>
      </c>
      <c r="X566" s="73" t="s">
        <v>2272</v>
      </c>
      <c r="Y566" s="73" t="s">
        <v>2272</v>
      </c>
      <c r="Z566" s="21">
        <v>12</v>
      </c>
      <c r="AA566" s="198" t="s">
        <v>74</v>
      </c>
      <c r="AB566" s="198" t="s">
        <v>34</v>
      </c>
      <c r="AC566" s="198" t="s">
        <v>63</v>
      </c>
      <c r="AD566" s="4" t="s">
        <v>877</v>
      </c>
      <c r="AE566" s="4" t="s">
        <v>5019</v>
      </c>
    </row>
    <row r="567" spans="1:31" ht="83.5" customHeight="1">
      <c r="A567" s="198" t="s">
        <v>2097</v>
      </c>
      <c r="B567" s="198" t="s">
        <v>2151</v>
      </c>
      <c r="C567" s="198" t="s">
        <v>23</v>
      </c>
      <c r="D567" s="198" t="s">
        <v>26</v>
      </c>
      <c r="E567" s="198" t="s">
        <v>128</v>
      </c>
      <c r="F567" s="4" t="s">
        <v>159</v>
      </c>
      <c r="G567" s="4"/>
      <c r="H567" s="198" t="s">
        <v>521</v>
      </c>
      <c r="I567" s="198"/>
      <c r="J567" s="21" t="s">
        <v>2272</v>
      </c>
      <c r="K567" s="21" t="s">
        <v>2272</v>
      </c>
      <c r="L567" s="73">
        <v>0.2</v>
      </c>
      <c r="M567" s="73" t="s">
        <v>2272</v>
      </c>
      <c r="N567" s="73">
        <v>0.5</v>
      </c>
      <c r="O567" s="73" t="s">
        <v>2272</v>
      </c>
      <c r="P567" s="73" t="s">
        <v>2272</v>
      </c>
      <c r="Q567" s="73" t="s">
        <v>2272</v>
      </c>
      <c r="R567" s="73" t="s">
        <v>2272</v>
      </c>
      <c r="S567" s="73" t="s">
        <v>2272</v>
      </c>
      <c r="T567" s="73" t="s">
        <v>2272</v>
      </c>
      <c r="U567" s="73" t="s">
        <v>2272</v>
      </c>
      <c r="V567" s="73" t="s">
        <v>2272</v>
      </c>
      <c r="W567" s="73" t="s">
        <v>2272</v>
      </c>
      <c r="X567" s="73" t="s">
        <v>2272</v>
      </c>
      <c r="Y567" s="73" t="s">
        <v>2272</v>
      </c>
      <c r="Z567" s="21">
        <v>12</v>
      </c>
      <c r="AA567" s="198" t="s">
        <v>74</v>
      </c>
      <c r="AB567" s="198" t="s">
        <v>34</v>
      </c>
      <c r="AC567" s="198" t="s">
        <v>63</v>
      </c>
      <c r="AD567" s="4" t="s">
        <v>877</v>
      </c>
      <c r="AE567" s="4" t="s">
        <v>5019</v>
      </c>
    </row>
    <row r="568" spans="1:31" ht="83.5" customHeight="1">
      <c r="A568" s="198" t="s">
        <v>2098</v>
      </c>
      <c r="B568" s="198" t="s">
        <v>2152</v>
      </c>
      <c r="C568" s="198" t="s">
        <v>23</v>
      </c>
      <c r="D568" s="198" t="s">
        <v>26</v>
      </c>
      <c r="E568" s="198" t="s">
        <v>128</v>
      </c>
      <c r="F568" s="4" t="s">
        <v>159</v>
      </c>
      <c r="G568" s="4"/>
      <c r="H568" s="198" t="s">
        <v>521</v>
      </c>
      <c r="I568" s="198"/>
      <c r="J568" s="21" t="s">
        <v>2272</v>
      </c>
      <c r="K568" s="21" t="s">
        <v>2272</v>
      </c>
      <c r="L568" s="73">
        <v>0.2</v>
      </c>
      <c r="M568" s="73" t="s">
        <v>2272</v>
      </c>
      <c r="N568" s="73">
        <v>0.5</v>
      </c>
      <c r="O568" s="73" t="s">
        <v>2272</v>
      </c>
      <c r="P568" s="73" t="s">
        <v>2272</v>
      </c>
      <c r="Q568" s="73" t="s">
        <v>2272</v>
      </c>
      <c r="R568" s="73" t="s">
        <v>2272</v>
      </c>
      <c r="S568" s="73" t="s">
        <v>2272</v>
      </c>
      <c r="T568" s="73" t="s">
        <v>2272</v>
      </c>
      <c r="U568" s="73" t="s">
        <v>2272</v>
      </c>
      <c r="V568" s="73" t="s">
        <v>2272</v>
      </c>
      <c r="W568" s="73" t="s">
        <v>2272</v>
      </c>
      <c r="X568" s="73" t="s">
        <v>2272</v>
      </c>
      <c r="Y568" s="73" t="s">
        <v>2272</v>
      </c>
      <c r="Z568" s="21">
        <v>12</v>
      </c>
      <c r="AA568" s="198" t="s">
        <v>74</v>
      </c>
      <c r="AB568" s="198" t="s">
        <v>34</v>
      </c>
      <c r="AC568" s="198" t="s">
        <v>63</v>
      </c>
      <c r="AD568" s="4" t="s">
        <v>877</v>
      </c>
      <c r="AE568" s="4" t="s">
        <v>5019</v>
      </c>
    </row>
    <row r="569" spans="1:31" ht="83.5" customHeight="1">
      <c r="A569" s="198" t="s">
        <v>2099</v>
      </c>
      <c r="B569" s="198" t="s">
        <v>2153</v>
      </c>
      <c r="C569" s="198" t="s">
        <v>23</v>
      </c>
      <c r="D569" s="198" t="s">
        <v>26</v>
      </c>
      <c r="E569" s="198" t="s">
        <v>128</v>
      </c>
      <c r="F569" s="4" t="s">
        <v>159</v>
      </c>
      <c r="G569" s="4"/>
      <c r="H569" s="198" t="s">
        <v>521</v>
      </c>
      <c r="I569" s="198"/>
      <c r="J569" s="21" t="s">
        <v>2272</v>
      </c>
      <c r="K569" s="21" t="s">
        <v>2272</v>
      </c>
      <c r="L569" s="73">
        <v>0.2</v>
      </c>
      <c r="M569" s="73" t="s">
        <v>2272</v>
      </c>
      <c r="N569" s="73">
        <v>0.5</v>
      </c>
      <c r="O569" s="73" t="s">
        <v>2272</v>
      </c>
      <c r="P569" s="73" t="s">
        <v>2272</v>
      </c>
      <c r="Q569" s="73" t="s">
        <v>2272</v>
      </c>
      <c r="R569" s="73" t="s">
        <v>2272</v>
      </c>
      <c r="S569" s="73" t="s">
        <v>2272</v>
      </c>
      <c r="T569" s="73" t="s">
        <v>2272</v>
      </c>
      <c r="U569" s="73" t="s">
        <v>2272</v>
      </c>
      <c r="V569" s="73" t="s">
        <v>2272</v>
      </c>
      <c r="W569" s="73" t="s">
        <v>2272</v>
      </c>
      <c r="X569" s="73" t="s">
        <v>2272</v>
      </c>
      <c r="Y569" s="73" t="s">
        <v>2272</v>
      </c>
      <c r="Z569" s="21">
        <v>12</v>
      </c>
      <c r="AA569" s="198" t="s">
        <v>74</v>
      </c>
      <c r="AB569" s="198" t="s">
        <v>34</v>
      </c>
      <c r="AC569" s="198" t="s">
        <v>63</v>
      </c>
      <c r="AD569" s="4" t="s">
        <v>877</v>
      </c>
      <c r="AE569" s="4" t="s">
        <v>5019</v>
      </c>
    </row>
    <row r="570" spans="1:31" ht="83.5" customHeight="1">
      <c r="A570" s="198" t="s">
        <v>2100</v>
      </c>
      <c r="B570" s="198" t="s">
        <v>2154</v>
      </c>
      <c r="C570" s="198" t="s">
        <v>23</v>
      </c>
      <c r="D570" s="198" t="s">
        <v>26</v>
      </c>
      <c r="E570" s="198" t="s">
        <v>128</v>
      </c>
      <c r="F570" s="4" t="s">
        <v>159</v>
      </c>
      <c r="G570" s="4"/>
      <c r="H570" s="198" t="s">
        <v>521</v>
      </c>
      <c r="I570" s="198"/>
      <c r="J570" s="21" t="s">
        <v>2272</v>
      </c>
      <c r="K570" s="21" t="s">
        <v>2272</v>
      </c>
      <c r="L570" s="73">
        <v>0.2</v>
      </c>
      <c r="M570" s="73" t="s">
        <v>2272</v>
      </c>
      <c r="N570" s="73">
        <v>0.5</v>
      </c>
      <c r="O570" s="73" t="s">
        <v>2272</v>
      </c>
      <c r="P570" s="73" t="s">
        <v>2272</v>
      </c>
      <c r="Q570" s="73" t="s">
        <v>2272</v>
      </c>
      <c r="R570" s="73" t="s">
        <v>2272</v>
      </c>
      <c r="S570" s="73" t="s">
        <v>2272</v>
      </c>
      <c r="T570" s="73" t="s">
        <v>2272</v>
      </c>
      <c r="U570" s="73" t="s">
        <v>2272</v>
      </c>
      <c r="V570" s="73" t="s">
        <v>2272</v>
      </c>
      <c r="W570" s="73" t="s">
        <v>2272</v>
      </c>
      <c r="X570" s="73" t="s">
        <v>2272</v>
      </c>
      <c r="Y570" s="73" t="s">
        <v>2272</v>
      </c>
      <c r="Z570" s="21">
        <v>12</v>
      </c>
      <c r="AA570" s="198" t="s">
        <v>74</v>
      </c>
      <c r="AB570" s="198" t="s">
        <v>34</v>
      </c>
      <c r="AC570" s="198" t="s">
        <v>63</v>
      </c>
      <c r="AD570" s="4" t="s">
        <v>877</v>
      </c>
      <c r="AE570" s="4" t="s">
        <v>5019</v>
      </c>
    </row>
    <row r="571" spans="1:31" ht="83.5" customHeight="1">
      <c r="A571" s="198" t="s">
        <v>2101</v>
      </c>
      <c r="B571" s="198" t="s">
        <v>2155</v>
      </c>
      <c r="C571" s="198" t="s">
        <v>23</v>
      </c>
      <c r="D571" s="198" t="s">
        <v>26</v>
      </c>
      <c r="E571" s="198" t="s">
        <v>128</v>
      </c>
      <c r="F571" s="4" t="s">
        <v>159</v>
      </c>
      <c r="G571" s="4"/>
      <c r="H571" s="198" t="s">
        <v>521</v>
      </c>
      <c r="I571" s="198"/>
      <c r="J571" s="21" t="s">
        <v>2272</v>
      </c>
      <c r="K571" s="21" t="s">
        <v>2272</v>
      </c>
      <c r="L571" s="73">
        <v>0.2</v>
      </c>
      <c r="M571" s="73" t="s">
        <v>2272</v>
      </c>
      <c r="N571" s="73">
        <v>0.5</v>
      </c>
      <c r="O571" s="73" t="s">
        <v>2272</v>
      </c>
      <c r="P571" s="73" t="s">
        <v>2272</v>
      </c>
      <c r="Q571" s="73" t="s">
        <v>2272</v>
      </c>
      <c r="R571" s="73" t="s">
        <v>2272</v>
      </c>
      <c r="S571" s="73" t="s">
        <v>2272</v>
      </c>
      <c r="T571" s="73" t="s">
        <v>2272</v>
      </c>
      <c r="U571" s="73" t="s">
        <v>2272</v>
      </c>
      <c r="V571" s="73" t="s">
        <v>2272</v>
      </c>
      <c r="W571" s="73" t="s">
        <v>2272</v>
      </c>
      <c r="X571" s="73" t="s">
        <v>2272</v>
      </c>
      <c r="Y571" s="73" t="s">
        <v>2272</v>
      </c>
      <c r="Z571" s="21">
        <v>12</v>
      </c>
      <c r="AA571" s="198" t="s">
        <v>74</v>
      </c>
      <c r="AB571" s="198" t="s">
        <v>34</v>
      </c>
      <c r="AC571" s="198" t="s">
        <v>63</v>
      </c>
      <c r="AD571" s="4" t="s">
        <v>877</v>
      </c>
      <c r="AE571" s="4" t="s">
        <v>5019</v>
      </c>
    </row>
    <row r="572" spans="1:31" ht="83.5" customHeight="1">
      <c r="A572" s="198" t="s">
        <v>2102</v>
      </c>
      <c r="B572" s="198" t="s">
        <v>2156</v>
      </c>
      <c r="C572" s="198" t="s">
        <v>23</v>
      </c>
      <c r="D572" s="198" t="s">
        <v>26</v>
      </c>
      <c r="E572" s="198" t="s">
        <v>128</v>
      </c>
      <c r="F572" s="4" t="s">
        <v>159</v>
      </c>
      <c r="G572" s="4"/>
      <c r="H572" s="198" t="s">
        <v>521</v>
      </c>
      <c r="I572" s="198"/>
      <c r="J572" s="21" t="s">
        <v>2272</v>
      </c>
      <c r="K572" s="21" t="s">
        <v>2272</v>
      </c>
      <c r="L572" s="73">
        <v>0.2</v>
      </c>
      <c r="M572" s="73" t="s">
        <v>2272</v>
      </c>
      <c r="N572" s="73">
        <v>0.5</v>
      </c>
      <c r="O572" s="73" t="s">
        <v>2272</v>
      </c>
      <c r="P572" s="73" t="s">
        <v>2272</v>
      </c>
      <c r="Q572" s="73" t="s">
        <v>2272</v>
      </c>
      <c r="R572" s="73" t="s">
        <v>2272</v>
      </c>
      <c r="S572" s="73" t="s">
        <v>2272</v>
      </c>
      <c r="T572" s="73" t="s">
        <v>2272</v>
      </c>
      <c r="U572" s="73" t="s">
        <v>2272</v>
      </c>
      <c r="V572" s="73" t="s">
        <v>2272</v>
      </c>
      <c r="W572" s="73" t="s">
        <v>2272</v>
      </c>
      <c r="X572" s="73" t="s">
        <v>2272</v>
      </c>
      <c r="Y572" s="73" t="s">
        <v>2272</v>
      </c>
      <c r="Z572" s="21">
        <v>12</v>
      </c>
      <c r="AA572" s="198" t="s">
        <v>74</v>
      </c>
      <c r="AB572" s="198" t="s">
        <v>34</v>
      </c>
      <c r="AC572" s="198" t="s">
        <v>63</v>
      </c>
      <c r="AD572" s="4" t="s">
        <v>877</v>
      </c>
      <c r="AE572" s="4" t="s">
        <v>5019</v>
      </c>
    </row>
    <row r="573" spans="1:31" ht="83.5" customHeight="1">
      <c r="A573" s="198" t="s">
        <v>2103</v>
      </c>
      <c r="B573" s="198" t="s">
        <v>2157</v>
      </c>
      <c r="C573" s="198" t="s">
        <v>23</v>
      </c>
      <c r="D573" s="198" t="s">
        <v>26</v>
      </c>
      <c r="E573" s="198" t="s">
        <v>128</v>
      </c>
      <c r="F573" s="4" t="s">
        <v>159</v>
      </c>
      <c r="G573" s="4"/>
      <c r="H573" s="198" t="s">
        <v>521</v>
      </c>
      <c r="I573" s="198"/>
      <c r="J573" s="21" t="s">
        <v>2272</v>
      </c>
      <c r="K573" s="21" t="s">
        <v>2272</v>
      </c>
      <c r="L573" s="73">
        <v>0.2</v>
      </c>
      <c r="M573" s="73" t="s">
        <v>2272</v>
      </c>
      <c r="N573" s="73">
        <v>0.5</v>
      </c>
      <c r="O573" s="73" t="s">
        <v>2272</v>
      </c>
      <c r="P573" s="73" t="s">
        <v>2272</v>
      </c>
      <c r="Q573" s="73" t="s">
        <v>2272</v>
      </c>
      <c r="R573" s="73" t="s">
        <v>2272</v>
      </c>
      <c r="S573" s="73" t="s">
        <v>2272</v>
      </c>
      <c r="T573" s="73" t="s">
        <v>2272</v>
      </c>
      <c r="U573" s="73" t="s">
        <v>2272</v>
      </c>
      <c r="V573" s="73" t="s">
        <v>2272</v>
      </c>
      <c r="W573" s="73" t="s">
        <v>2272</v>
      </c>
      <c r="X573" s="73" t="s">
        <v>2272</v>
      </c>
      <c r="Y573" s="73" t="s">
        <v>2272</v>
      </c>
      <c r="Z573" s="21">
        <v>12</v>
      </c>
      <c r="AA573" s="198" t="s">
        <v>74</v>
      </c>
      <c r="AB573" s="198" t="s">
        <v>34</v>
      </c>
      <c r="AC573" s="198" t="s">
        <v>63</v>
      </c>
      <c r="AD573" s="4" t="s">
        <v>877</v>
      </c>
      <c r="AE573" s="4" t="s">
        <v>5019</v>
      </c>
    </row>
    <row r="574" spans="1:31" ht="83.5" customHeight="1">
      <c r="A574" s="198" t="s">
        <v>2104</v>
      </c>
      <c r="B574" s="198" t="s">
        <v>2158</v>
      </c>
      <c r="C574" s="198" t="s">
        <v>23</v>
      </c>
      <c r="D574" s="198" t="s">
        <v>26</v>
      </c>
      <c r="E574" s="198" t="s">
        <v>128</v>
      </c>
      <c r="F574" s="4" t="s">
        <v>159</v>
      </c>
      <c r="G574" s="4"/>
      <c r="H574" s="198" t="s">
        <v>521</v>
      </c>
      <c r="I574" s="198"/>
      <c r="J574" s="21" t="s">
        <v>2272</v>
      </c>
      <c r="K574" s="21" t="s">
        <v>2272</v>
      </c>
      <c r="L574" s="73">
        <v>0.2</v>
      </c>
      <c r="M574" s="73" t="s">
        <v>2272</v>
      </c>
      <c r="N574" s="73">
        <v>0.5</v>
      </c>
      <c r="O574" s="73" t="s">
        <v>2272</v>
      </c>
      <c r="P574" s="73" t="s">
        <v>2272</v>
      </c>
      <c r="Q574" s="73" t="s">
        <v>2272</v>
      </c>
      <c r="R574" s="73" t="s">
        <v>2272</v>
      </c>
      <c r="S574" s="73" t="s">
        <v>2272</v>
      </c>
      <c r="T574" s="73" t="s">
        <v>2272</v>
      </c>
      <c r="U574" s="73" t="s">
        <v>2272</v>
      </c>
      <c r="V574" s="73" t="s">
        <v>2272</v>
      </c>
      <c r="W574" s="73" t="s">
        <v>2272</v>
      </c>
      <c r="X574" s="73" t="s">
        <v>2272</v>
      </c>
      <c r="Y574" s="73" t="s">
        <v>2272</v>
      </c>
      <c r="Z574" s="21">
        <v>12</v>
      </c>
      <c r="AA574" s="198" t="s">
        <v>74</v>
      </c>
      <c r="AB574" s="198" t="s">
        <v>34</v>
      </c>
      <c r="AC574" s="198" t="s">
        <v>63</v>
      </c>
      <c r="AD574" s="4" t="s">
        <v>877</v>
      </c>
      <c r="AE574" s="4" t="s">
        <v>5019</v>
      </c>
    </row>
    <row r="575" spans="1:31" ht="83.5" customHeight="1">
      <c r="A575" s="198" t="s">
        <v>2105</v>
      </c>
      <c r="B575" s="198" t="s">
        <v>2159</v>
      </c>
      <c r="C575" s="198" t="s">
        <v>23</v>
      </c>
      <c r="D575" s="198" t="s">
        <v>26</v>
      </c>
      <c r="E575" s="198" t="s">
        <v>128</v>
      </c>
      <c r="F575" s="4" t="s">
        <v>159</v>
      </c>
      <c r="G575" s="4"/>
      <c r="H575" s="198" t="s">
        <v>521</v>
      </c>
      <c r="I575" s="198"/>
      <c r="J575" s="21" t="s">
        <v>2272</v>
      </c>
      <c r="K575" s="21" t="s">
        <v>2272</v>
      </c>
      <c r="L575" s="73">
        <v>0.2</v>
      </c>
      <c r="M575" s="73" t="s">
        <v>2272</v>
      </c>
      <c r="N575" s="73">
        <v>0.5</v>
      </c>
      <c r="O575" s="73" t="s">
        <v>2272</v>
      </c>
      <c r="P575" s="73" t="s">
        <v>2272</v>
      </c>
      <c r="Q575" s="73" t="s">
        <v>2272</v>
      </c>
      <c r="R575" s="73" t="s">
        <v>2272</v>
      </c>
      <c r="S575" s="73" t="s">
        <v>2272</v>
      </c>
      <c r="T575" s="73" t="s">
        <v>2272</v>
      </c>
      <c r="U575" s="73" t="s">
        <v>2272</v>
      </c>
      <c r="V575" s="73" t="s">
        <v>2272</v>
      </c>
      <c r="W575" s="73" t="s">
        <v>2272</v>
      </c>
      <c r="X575" s="73" t="s">
        <v>2272</v>
      </c>
      <c r="Y575" s="73" t="s">
        <v>2272</v>
      </c>
      <c r="Z575" s="21">
        <v>12</v>
      </c>
      <c r="AA575" s="198" t="s">
        <v>74</v>
      </c>
      <c r="AB575" s="198" t="s">
        <v>34</v>
      </c>
      <c r="AC575" s="198" t="s">
        <v>63</v>
      </c>
      <c r="AD575" s="4" t="s">
        <v>877</v>
      </c>
      <c r="AE575" s="4" t="s">
        <v>5019</v>
      </c>
    </row>
    <row r="576" spans="1:31" ht="83.5" customHeight="1">
      <c r="A576" s="198" t="s">
        <v>2106</v>
      </c>
      <c r="B576" s="198" t="s">
        <v>2160</v>
      </c>
      <c r="C576" s="198" t="s">
        <v>23</v>
      </c>
      <c r="D576" s="198" t="s">
        <v>26</v>
      </c>
      <c r="E576" s="198" t="s">
        <v>128</v>
      </c>
      <c r="F576" s="4" t="s">
        <v>159</v>
      </c>
      <c r="G576" s="4"/>
      <c r="H576" s="198" t="s">
        <v>521</v>
      </c>
      <c r="I576" s="198"/>
      <c r="J576" s="21" t="s">
        <v>2272</v>
      </c>
      <c r="K576" s="21" t="s">
        <v>2272</v>
      </c>
      <c r="L576" s="73">
        <v>0.2</v>
      </c>
      <c r="M576" s="73" t="s">
        <v>2272</v>
      </c>
      <c r="N576" s="73">
        <v>0.5</v>
      </c>
      <c r="O576" s="73" t="s">
        <v>2272</v>
      </c>
      <c r="P576" s="73" t="s">
        <v>2272</v>
      </c>
      <c r="Q576" s="73" t="s">
        <v>2272</v>
      </c>
      <c r="R576" s="73" t="s">
        <v>2272</v>
      </c>
      <c r="S576" s="73" t="s">
        <v>2272</v>
      </c>
      <c r="T576" s="73" t="s">
        <v>2272</v>
      </c>
      <c r="U576" s="73" t="s">
        <v>2272</v>
      </c>
      <c r="V576" s="73" t="s">
        <v>2272</v>
      </c>
      <c r="W576" s="73" t="s">
        <v>2272</v>
      </c>
      <c r="X576" s="73" t="s">
        <v>2272</v>
      </c>
      <c r="Y576" s="73" t="s">
        <v>2272</v>
      </c>
      <c r="Z576" s="21">
        <v>12</v>
      </c>
      <c r="AA576" s="198" t="s">
        <v>74</v>
      </c>
      <c r="AB576" s="198" t="s">
        <v>34</v>
      </c>
      <c r="AC576" s="198" t="s">
        <v>63</v>
      </c>
      <c r="AD576" s="4" t="s">
        <v>877</v>
      </c>
      <c r="AE576" s="4" t="s">
        <v>5019</v>
      </c>
    </row>
    <row r="577" spans="1:31" ht="83.5" customHeight="1">
      <c r="A577" s="198" t="s">
        <v>2107</v>
      </c>
      <c r="B577" s="198" t="s">
        <v>2161</v>
      </c>
      <c r="C577" s="198" t="s">
        <v>23</v>
      </c>
      <c r="D577" s="198" t="s">
        <v>26</v>
      </c>
      <c r="E577" s="198" t="s">
        <v>128</v>
      </c>
      <c r="F577" s="4" t="s">
        <v>159</v>
      </c>
      <c r="G577" s="4"/>
      <c r="H577" s="198" t="s">
        <v>521</v>
      </c>
      <c r="I577" s="198"/>
      <c r="J577" s="21" t="s">
        <v>2272</v>
      </c>
      <c r="K577" s="21" t="s">
        <v>2272</v>
      </c>
      <c r="L577" s="73">
        <v>0.2</v>
      </c>
      <c r="M577" s="73" t="s">
        <v>2272</v>
      </c>
      <c r="N577" s="73">
        <v>0.5</v>
      </c>
      <c r="O577" s="73" t="s">
        <v>2272</v>
      </c>
      <c r="P577" s="73" t="s">
        <v>2272</v>
      </c>
      <c r="Q577" s="73" t="s">
        <v>2272</v>
      </c>
      <c r="R577" s="73" t="s">
        <v>2272</v>
      </c>
      <c r="S577" s="73" t="s">
        <v>2272</v>
      </c>
      <c r="T577" s="73" t="s">
        <v>2272</v>
      </c>
      <c r="U577" s="73" t="s">
        <v>2272</v>
      </c>
      <c r="V577" s="73" t="s">
        <v>2272</v>
      </c>
      <c r="W577" s="73" t="s">
        <v>2272</v>
      </c>
      <c r="X577" s="73" t="s">
        <v>2272</v>
      </c>
      <c r="Y577" s="73" t="s">
        <v>2272</v>
      </c>
      <c r="Z577" s="21">
        <v>12</v>
      </c>
      <c r="AA577" s="198" t="s">
        <v>74</v>
      </c>
      <c r="AB577" s="198" t="s">
        <v>34</v>
      </c>
      <c r="AC577" s="198" t="s">
        <v>63</v>
      </c>
      <c r="AD577" s="4" t="s">
        <v>877</v>
      </c>
      <c r="AE577" s="4" t="s">
        <v>5019</v>
      </c>
    </row>
    <row r="578" spans="1:31" ht="83.5" customHeight="1">
      <c r="A578" s="198" t="s">
        <v>2108</v>
      </c>
      <c r="B578" s="198" t="s">
        <v>2162</v>
      </c>
      <c r="C578" s="198" t="s">
        <v>23</v>
      </c>
      <c r="D578" s="198" t="s">
        <v>26</v>
      </c>
      <c r="E578" s="198" t="s">
        <v>128</v>
      </c>
      <c r="F578" s="4" t="s">
        <v>159</v>
      </c>
      <c r="G578" s="4"/>
      <c r="H578" s="198" t="s">
        <v>521</v>
      </c>
      <c r="I578" s="198"/>
      <c r="J578" s="21" t="s">
        <v>2272</v>
      </c>
      <c r="K578" s="21" t="s">
        <v>2272</v>
      </c>
      <c r="L578" s="73">
        <v>0.2</v>
      </c>
      <c r="M578" s="73" t="s">
        <v>2272</v>
      </c>
      <c r="N578" s="73">
        <v>0.5</v>
      </c>
      <c r="O578" s="73" t="s">
        <v>2272</v>
      </c>
      <c r="P578" s="73" t="s">
        <v>2272</v>
      </c>
      <c r="Q578" s="73" t="s">
        <v>2272</v>
      </c>
      <c r="R578" s="73" t="s">
        <v>2272</v>
      </c>
      <c r="S578" s="73" t="s">
        <v>2272</v>
      </c>
      <c r="T578" s="73" t="s">
        <v>2272</v>
      </c>
      <c r="U578" s="73" t="s">
        <v>2272</v>
      </c>
      <c r="V578" s="73" t="s">
        <v>2272</v>
      </c>
      <c r="W578" s="73" t="s">
        <v>2272</v>
      </c>
      <c r="X578" s="73" t="s">
        <v>2272</v>
      </c>
      <c r="Y578" s="73" t="s">
        <v>2272</v>
      </c>
      <c r="Z578" s="21">
        <v>12</v>
      </c>
      <c r="AA578" s="198" t="s">
        <v>74</v>
      </c>
      <c r="AB578" s="198" t="s">
        <v>34</v>
      </c>
      <c r="AC578" s="198" t="s">
        <v>63</v>
      </c>
      <c r="AD578" s="4" t="s">
        <v>877</v>
      </c>
      <c r="AE578" s="4" t="s">
        <v>5019</v>
      </c>
    </row>
    <row r="579" spans="1:31" ht="83.5" customHeight="1">
      <c r="A579" s="198" t="s">
        <v>2109</v>
      </c>
      <c r="B579" s="198" t="s">
        <v>2163</v>
      </c>
      <c r="C579" s="198" t="s">
        <v>23</v>
      </c>
      <c r="D579" s="198" t="s">
        <v>26</v>
      </c>
      <c r="E579" s="198" t="s">
        <v>128</v>
      </c>
      <c r="F579" s="4" t="s">
        <v>159</v>
      </c>
      <c r="G579" s="4"/>
      <c r="H579" s="198" t="s">
        <v>521</v>
      </c>
      <c r="I579" s="198"/>
      <c r="J579" s="21" t="s">
        <v>2272</v>
      </c>
      <c r="K579" s="21" t="s">
        <v>2272</v>
      </c>
      <c r="L579" s="73">
        <v>0.2</v>
      </c>
      <c r="M579" s="73" t="s">
        <v>2272</v>
      </c>
      <c r="N579" s="73">
        <v>0.5</v>
      </c>
      <c r="O579" s="73" t="s">
        <v>2272</v>
      </c>
      <c r="P579" s="73" t="s">
        <v>2272</v>
      </c>
      <c r="Q579" s="73" t="s">
        <v>2272</v>
      </c>
      <c r="R579" s="73" t="s">
        <v>2272</v>
      </c>
      <c r="S579" s="73" t="s">
        <v>2272</v>
      </c>
      <c r="T579" s="73" t="s">
        <v>2272</v>
      </c>
      <c r="U579" s="73" t="s">
        <v>2272</v>
      </c>
      <c r="V579" s="73" t="s">
        <v>2272</v>
      </c>
      <c r="W579" s="73" t="s">
        <v>2272</v>
      </c>
      <c r="X579" s="73" t="s">
        <v>2272</v>
      </c>
      <c r="Y579" s="73" t="s">
        <v>2272</v>
      </c>
      <c r="Z579" s="21">
        <v>12</v>
      </c>
      <c r="AA579" s="198" t="s">
        <v>74</v>
      </c>
      <c r="AB579" s="198" t="s">
        <v>34</v>
      </c>
      <c r="AC579" s="198" t="s">
        <v>63</v>
      </c>
      <c r="AD579" s="4" t="s">
        <v>877</v>
      </c>
      <c r="AE579" s="4" t="s">
        <v>5019</v>
      </c>
    </row>
    <row r="580" spans="1:31" ht="83.5" customHeight="1">
      <c r="A580" s="198" t="s">
        <v>2110</v>
      </c>
      <c r="B580" s="198" t="s">
        <v>2164</v>
      </c>
      <c r="C580" s="198" t="s">
        <v>23</v>
      </c>
      <c r="D580" s="198" t="s">
        <v>26</v>
      </c>
      <c r="E580" s="198" t="s">
        <v>128</v>
      </c>
      <c r="F580" s="4" t="s">
        <v>159</v>
      </c>
      <c r="G580" s="4"/>
      <c r="H580" s="198" t="s">
        <v>521</v>
      </c>
      <c r="I580" s="198"/>
      <c r="J580" s="21" t="s">
        <v>2272</v>
      </c>
      <c r="K580" s="21" t="s">
        <v>2272</v>
      </c>
      <c r="L580" s="73">
        <v>0.2</v>
      </c>
      <c r="M580" s="73" t="s">
        <v>2272</v>
      </c>
      <c r="N580" s="73">
        <v>0.5</v>
      </c>
      <c r="O580" s="73" t="s">
        <v>2272</v>
      </c>
      <c r="P580" s="73" t="s">
        <v>2272</v>
      </c>
      <c r="Q580" s="73" t="s">
        <v>2272</v>
      </c>
      <c r="R580" s="73" t="s">
        <v>2272</v>
      </c>
      <c r="S580" s="73" t="s">
        <v>2272</v>
      </c>
      <c r="T580" s="73" t="s">
        <v>2272</v>
      </c>
      <c r="U580" s="73" t="s">
        <v>2272</v>
      </c>
      <c r="V580" s="73" t="s">
        <v>2272</v>
      </c>
      <c r="W580" s="73" t="s">
        <v>2272</v>
      </c>
      <c r="X580" s="73" t="s">
        <v>2272</v>
      </c>
      <c r="Y580" s="73" t="s">
        <v>2272</v>
      </c>
      <c r="Z580" s="21">
        <v>12</v>
      </c>
      <c r="AA580" s="198" t="s">
        <v>74</v>
      </c>
      <c r="AB580" s="198" t="s">
        <v>34</v>
      </c>
      <c r="AC580" s="198" t="s">
        <v>63</v>
      </c>
      <c r="AD580" s="4" t="s">
        <v>877</v>
      </c>
      <c r="AE580" s="4" t="s">
        <v>5019</v>
      </c>
    </row>
    <row r="581" spans="1:31" ht="83.5" customHeight="1">
      <c r="A581" s="198" t="s">
        <v>2111</v>
      </c>
      <c r="B581" s="198" t="s">
        <v>2165</v>
      </c>
      <c r="C581" s="198" t="s">
        <v>23</v>
      </c>
      <c r="D581" s="198" t="s">
        <v>26</v>
      </c>
      <c r="E581" s="198" t="s">
        <v>128</v>
      </c>
      <c r="F581" s="4" t="s">
        <v>159</v>
      </c>
      <c r="G581" s="4"/>
      <c r="H581" s="198" t="s">
        <v>521</v>
      </c>
      <c r="I581" s="198"/>
      <c r="J581" s="21" t="s">
        <v>2272</v>
      </c>
      <c r="K581" s="21" t="s">
        <v>2272</v>
      </c>
      <c r="L581" s="73">
        <v>0.2</v>
      </c>
      <c r="M581" s="73" t="s">
        <v>2272</v>
      </c>
      <c r="N581" s="73">
        <v>0.5</v>
      </c>
      <c r="O581" s="73" t="s">
        <v>2272</v>
      </c>
      <c r="P581" s="73" t="s">
        <v>2272</v>
      </c>
      <c r="Q581" s="73" t="s">
        <v>2272</v>
      </c>
      <c r="R581" s="73" t="s">
        <v>2272</v>
      </c>
      <c r="S581" s="73" t="s">
        <v>2272</v>
      </c>
      <c r="T581" s="73" t="s">
        <v>2272</v>
      </c>
      <c r="U581" s="73" t="s">
        <v>2272</v>
      </c>
      <c r="V581" s="73" t="s">
        <v>2272</v>
      </c>
      <c r="W581" s="73" t="s">
        <v>2272</v>
      </c>
      <c r="X581" s="73" t="s">
        <v>2272</v>
      </c>
      <c r="Y581" s="73" t="s">
        <v>2272</v>
      </c>
      <c r="Z581" s="21">
        <v>12</v>
      </c>
      <c r="AA581" s="198" t="s">
        <v>74</v>
      </c>
      <c r="AB581" s="198" t="s">
        <v>34</v>
      </c>
      <c r="AC581" s="198" t="s">
        <v>63</v>
      </c>
      <c r="AD581" s="4" t="s">
        <v>877</v>
      </c>
      <c r="AE581" s="4" t="s">
        <v>5019</v>
      </c>
    </row>
    <row r="582" spans="1:31" ht="83.5" customHeight="1">
      <c r="A582" s="198" t="s">
        <v>2112</v>
      </c>
      <c r="B582" s="198" t="s">
        <v>2166</v>
      </c>
      <c r="C582" s="198" t="s">
        <v>23</v>
      </c>
      <c r="D582" s="198" t="s">
        <v>26</v>
      </c>
      <c r="E582" s="198" t="s">
        <v>128</v>
      </c>
      <c r="F582" s="4" t="s">
        <v>159</v>
      </c>
      <c r="G582" s="4"/>
      <c r="H582" s="198" t="s">
        <v>521</v>
      </c>
      <c r="I582" s="198"/>
      <c r="J582" s="21" t="s">
        <v>2272</v>
      </c>
      <c r="K582" s="21" t="s">
        <v>2272</v>
      </c>
      <c r="L582" s="73">
        <v>0.2</v>
      </c>
      <c r="M582" s="73" t="s">
        <v>2272</v>
      </c>
      <c r="N582" s="73">
        <v>0.5</v>
      </c>
      <c r="O582" s="73" t="s">
        <v>2272</v>
      </c>
      <c r="P582" s="73" t="s">
        <v>2272</v>
      </c>
      <c r="Q582" s="73" t="s">
        <v>2272</v>
      </c>
      <c r="R582" s="73" t="s">
        <v>2272</v>
      </c>
      <c r="S582" s="73" t="s">
        <v>2272</v>
      </c>
      <c r="T582" s="73" t="s">
        <v>2272</v>
      </c>
      <c r="U582" s="73" t="s">
        <v>2272</v>
      </c>
      <c r="V582" s="73" t="s">
        <v>2272</v>
      </c>
      <c r="W582" s="73" t="s">
        <v>2272</v>
      </c>
      <c r="X582" s="73" t="s">
        <v>2272</v>
      </c>
      <c r="Y582" s="73" t="s">
        <v>2272</v>
      </c>
      <c r="Z582" s="21">
        <v>12</v>
      </c>
      <c r="AA582" s="198" t="s">
        <v>74</v>
      </c>
      <c r="AB582" s="198" t="s">
        <v>34</v>
      </c>
      <c r="AC582" s="198" t="s">
        <v>63</v>
      </c>
      <c r="AD582" s="4" t="s">
        <v>877</v>
      </c>
      <c r="AE582" s="4" t="s">
        <v>5019</v>
      </c>
    </row>
    <row r="583" spans="1:31" ht="83.5" customHeight="1">
      <c r="A583" s="198" t="s">
        <v>2113</v>
      </c>
      <c r="B583" s="198" t="s">
        <v>2167</v>
      </c>
      <c r="C583" s="198" t="s">
        <v>23</v>
      </c>
      <c r="D583" s="198" t="s">
        <v>26</v>
      </c>
      <c r="E583" s="198" t="s">
        <v>128</v>
      </c>
      <c r="F583" s="4" t="s">
        <v>159</v>
      </c>
      <c r="G583" s="4"/>
      <c r="H583" s="198" t="s">
        <v>521</v>
      </c>
      <c r="I583" s="198"/>
      <c r="J583" s="21" t="s">
        <v>2272</v>
      </c>
      <c r="K583" s="21" t="s">
        <v>2272</v>
      </c>
      <c r="L583" s="73">
        <v>0.2</v>
      </c>
      <c r="M583" s="73" t="s">
        <v>2272</v>
      </c>
      <c r="N583" s="73">
        <v>0.5</v>
      </c>
      <c r="O583" s="73" t="s">
        <v>2272</v>
      </c>
      <c r="P583" s="73" t="s">
        <v>2272</v>
      </c>
      <c r="Q583" s="73" t="s">
        <v>2272</v>
      </c>
      <c r="R583" s="73" t="s">
        <v>2272</v>
      </c>
      <c r="S583" s="73" t="s">
        <v>2272</v>
      </c>
      <c r="T583" s="73" t="s">
        <v>2272</v>
      </c>
      <c r="U583" s="73" t="s">
        <v>2272</v>
      </c>
      <c r="V583" s="73" t="s">
        <v>2272</v>
      </c>
      <c r="W583" s="73" t="s">
        <v>2272</v>
      </c>
      <c r="X583" s="73" t="s">
        <v>2272</v>
      </c>
      <c r="Y583" s="73" t="s">
        <v>2272</v>
      </c>
      <c r="Z583" s="21">
        <v>12</v>
      </c>
      <c r="AA583" s="198" t="s">
        <v>74</v>
      </c>
      <c r="AB583" s="198" t="s">
        <v>34</v>
      </c>
      <c r="AC583" s="198" t="s">
        <v>63</v>
      </c>
      <c r="AD583" s="4" t="s">
        <v>877</v>
      </c>
      <c r="AE583" s="4" t="s">
        <v>5019</v>
      </c>
    </row>
    <row r="584" spans="1:31" ht="83.5" customHeight="1">
      <c r="A584" s="198" t="s">
        <v>2114</v>
      </c>
      <c r="B584" s="198" t="s">
        <v>2168</v>
      </c>
      <c r="C584" s="198" t="s">
        <v>23</v>
      </c>
      <c r="D584" s="198" t="s">
        <v>26</v>
      </c>
      <c r="E584" s="198" t="s">
        <v>128</v>
      </c>
      <c r="F584" s="4" t="s">
        <v>159</v>
      </c>
      <c r="G584" s="4"/>
      <c r="H584" s="198" t="s">
        <v>521</v>
      </c>
      <c r="I584" s="198"/>
      <c r="J584" s="21" t="s">
        <v>2272</v>
      </c>
      <c r="K584" s="21" t="s">
        <v>2272</v>
      </c>
      <c r="L584" s="73">
        <v>0.2</v>
      </c>
      <c r="M584" s="73" t="s">
        <v>2272</v>
      </c>
      <c r="N584" s="73">
        <v>0.5</v>
      </c>
      <c r="O584" s="73" t="s">
        <v>2272</v>
      </c>
      <c r="P584" s="73" t="s">
        <v>2272</v>
      </c>
      <c r="Q584" s="73" t="s">
        <v>2272</v>
      </c>
      <c r="R584" s="73" t="s">
        <v>2272</v>
      </c>
      <c r="S584" s="73" t="s">
        <v>2272</v>
      </c>
      <c r="T584" s="73" t="s">
        <v>2272</v>
      </c>
      <c r="U584" s="73" t="s">
        <v>2272</v>
      </c>
      <c r="V584" s="73" t="s">
        <v>2272</v>
      </c>
      <c r="W584" s="73" t="s">
        <v>2272</v>
      </c>
      <c r="X584" s="73" t="s">
        <v>2272</v>
      </c>
      <c r="Y584" s="73" t="s">
        <v>2272</v>
      </c>
      <c r="Z584" s="21">
        <v>12</v>
      </c>
      <c r="AA584" s="198" t="s">
        <v>74</v>
      </c>
      <c r="AB584" s="198" t="s">
        <v>34</v>
      </c>
      <c r="AC584" s="198" t="s">
        <v>63</v>
      </c>
      <c r="AD584" s="4" t="s">
        <v>877</v>
      </c>
      <c r="AE584" s="4" t="s">
        <v>5019</v>
      </c>
    </row>
    <row r="585" spans="1:31" ht="83.5" customHeight="1">
      <c r="A585" s="198" t="s">
        <v>2115</v>
      </c>
      <c r="B585" s="198" t="s">
        <v>2169</v>
      </c>
      <c r="C585" s="198" t="s">
        <v>23</v>
      </c>
      <c r="D585" s="198" t="s">
        <v>26</v>
      </c>
      <c r="E585" s="198" t="s">
        <v>128</v>
      </c>
      <c r="F585" s="4" t="s">
        <v>159</v>
      </c>
      <c r="G585" s="4"/>
      <c r="H585" s="198" t="s">
        <v>521</v>
      </c>
      <c r="I585" s="198"/>
      <c r="J585" s="21" t="s">
        <v>2272</v>
      </c>
      <c r="K585" s="21" t="s">
        <v>2272</v>
      </c>
      <c r="L585" s="73">
        <v>0.2</v>
      </c>
      <c r="M585" s="73" t="s">
        <v>2272</v>
      </c>
      <c r="N585" s="73">
        <v>0.5</v>
      </c>
      <c r="O585" s="73" t="s">
        <v>2272</v>
      </c>
      <c r="P585" s="73" t="s">
        <v>2272</v>
      </c>
      <c r="Q585" s="73" t="s">
        <v>2272</v>
      </c>
      <c r="R585" s="73" t="s">
        <v>2272</v>
      </c>
      <c r="S585" s="73" t="s">
        <v>2272</v>
      </c>
      <c r="T585" s="73" t="s">
        <v>2272</v>
      </c>
      <c r="U585" s="73" t="s">
        <v>2272</v>
      </c>
      <c r="V585" s="73" t="s">
        <v>2272</v>
      </c>
      <c r="W585" s="73" t="s">
        <v>2272</v>
      </c>
      <c r="X585" s="73" t="s">
        <v>2272</v>
      </c>
      <c r="Y585" s="73" t="s">
        <v>2272</v>
      </c>
      <c r="Z585" s="21">
        <v>12</v>
      </c>
      <c r="AA585" s="198" t="s">
        <v>74</v>
      </c>
      <c r="AB585" s="198" t="s">
        <v>34</v>
      </c>
      <c r="AC585" s="198" t="s">
        <v>63</v>
      </c>
      <c r="AD585" s="4" t="s">
        <v>877</v>
      </c>
      <c r="AE585" s="4" t="s">
        <v>5019</v>
      </c>
    </row>
    <row r="586" spans="1:31" ht="83.5" customHeight="1">
      <c r="A586" s="198" t="s">
        <v>2116</v>
      </c>
      <c r="B586" s="198" t="s">
        <v>2170</v>
      </c>
      <c r="C586" s="198" t="s">
        <v>23</v>
      </c>
      <c r="D586" s="198" t="s">
        <v>26</v>
      </c>
      <c r="E586" s="198" t="s">
        <v>128</v>
      </c>
      <c r="F586" s="4" t="s">
        <v>159</v>
      </c>
      <c r="G586" s="4"/>
      <c r="H586" s="198" t="s">
        <v>521</v>
      </c>
      <c r="I586" s="198"/>
      <c r="J586" s="21" t="s">
        <v>2272</v>
      </c>
      <c r="K586" s="21" t="s">
        <v>2272</v>
      </c>
      <c r="L586" s="73">
        <v>0.2</v>
      </c>
      <c r="M586" s="73" t="s">
        <v>2272</v>
      </c>
      <c r="N586" s="73">
        <v>0.5</v>
      </c>
      <c r="O586" s="73" t="s">
        <v>2272</v>
      </c>
      <c r="P586" s="73" t="s">
        <v>2272</v>
      </c>
      <c r="Q586" s="73" t="s">
        <v>2272</v>
      </c>
      <c r="R586" s="73" t="s">
        <v>2272</v>
      </c>
      <c r="S586" s="73" t="s">
        <v>2272</v>
      </c>
      <c r="T586" s="73" t="s">
        <v>2272</v>
      </c>
      <c r="U586" s="73" t="s">
        <v>2272</v>
      </c>
      <c r="V586" s="73" t="s">
        <v>2272</v>
      </c>
      <c r="W586" s="73" t="s">
        <v>2272</v>
      </c>
      <c r="X586" s="73" t="s">
        <v>2272</v>
      </c>
      <c r="Y586" s="73" t="s">
        <v>2272</v>
      </c>
      <c r="Z586" s="21">
        <v>12</v>
      </c>
      <c r="AA586" s="198" t="s">
        <v>74</v>
      </c>
      <c r="AB586" s="198" t="s">
        <v>34</v>
      </c>
      <c r="AC586" s="198" t="s">
        <v>63</v>
      </c>
      <c r="AD586" s="4" t="s">
        <v>877</v>
      </c>
      <c r="AE586" s="4" t="s">
        <v>5019</v>
      </c>
    </row>
    <row r="587" spans="1:31" ht="83.5" customHeight="1">
      <c r="A587" s="198" t="s">
        <v>2117</v>
      </c>
      <c r="B587" s="198" t="s">
        <v>2171</v>
      </c>
      <c r="C587" s="198" t="s">
        <v>23</v>
      </c>
      <c r="D587" s="198" t="s">
        <v>26</v>
      </c>
      <c r="E587" s="198" t="s">
        <v>128</v>
      </c>
      <c r="F587" s="4" t="s">
        <v>159</v>
      </c>
      <c r="G587" s="4"/>
      <c r="H587" s="198" t="s">
        <v>521</v>
      </c>
      <c r="I587" s="198"/>
      <c r="J587" s="21" t="s">
        <v>2272</v>
      </c>
      <c r="K587" s="21" t="s">
        <v>2272</v>
      </c>
      <c r="L587" s="73">
        <v>0.2</v>
      </c>
      <c r="M587" s="73" t="s">
        <v>2272</v>
      </c>
      <c r="N587" s="73">
        <v>0.5</v>
      </c>
      <c r="O587" s="73" t="s">
        <v>2272</v>
      </c>
      <c r="P587" s="73" t="s">
        <v>2272</v>
      </c>
      <c r="Q587" s="73" t="s">
        <v>2272</v>
      </c>
      <c r="R587" s="73" t="s">
        <v>2272</v>
      </c>
      <c r="S587" s="73" t="s">
        <v>2272</v>
      </c>
      <c r="T587" s="73" t="s">
        <v>2272</v>
      </c>
      <c r="U587" s="73" t="s">
        <v>2272</v>
      </c>
      <c r="V587" s="73" t="s">
        <v>2272</v>
      </c>
      <c r="W587" s="73" t="s">
        <v>2272</v>
      </c>
      <c r="X587" s="73" t="s">
        <v>2272</v>
      </c>
      <c r="Y587" s="73" t="s">
        <v>2272</v>
      </c>
      <c r="Z587" s="21">
        <v>12</v>
      </c>
      <c r="AA587" s="198" t="s">
        <v>74</v>
      </c>
      <c r="AB587" s="198" t="s">
        <v>34</v>
      </c>
      <c r="AC587" s="198" t="s">
        <v>63</v>
      </c>
      <c r="AD587" s="4" t="s">
        <v>877</v>
      </c>
      <c r="AE587" s="4" t="s">
        <v>5019</v>
      </c>
    </row>
    <row r="588" spans="1:31" ht="83.5" customHeight="1">
      <c r="A588" s="198" t="s">
        <v>2118</v>
      </c>
      <c r="B588" s="198" t="s">
        <v>2172</v>
      </c>
      <c r="C588" s="198" t="s">
        <v>23</v>
      </c>
      <c r="D588" s="198" t="s">
        <v>26</v>
      </c>
      <c r="E588" s="198" t="s">
        <v>128</v>
      </c>
      <c r="F588" s="4" t="s">
        <v>159</v>
      </c>
      <c r="G588" s="4"/>
      <c r="H588" s="198" t="s">
        <v>521</v>
      </c>
      <c r="I588" s="198"/>
      <c r="J588" s="21" t="s">
        <v>2272</v>
      </c>
      <c r="K588" s="21" t="s">
        <v>2272</v>
      </c>
      <c r="L588" s="73">
        <v>0.2</v>
      </c>
      <c r="M588" s="73" t="s">
        <v>2272</v>
      </c>
      <c r="N588" s="73">
        <v>0.5</v>
      </c>
      <c r="O588" s="73" t="s">
        <v>2272</v>
      </c>
      <c r="P588" s="73" t="s">
        <v>2272</v>
      </c>
      <c r="Q588" s="73" t="s">
        <v>2272</v>
      </c>
      <c r="R588" s="73" t="s">
        <v>2272</v>
      </c>
      <c r="S588" s="73" t="s">
        <v>2272</v>
      </c>
      <c r="T588" s="73" t="s">
        <v>2272</v>
      </c>
      <c r="U588" s="73" t="s">
        <v>2272</v>
      </c>
      <c r="V588" s="73" t="s">
        <v>2272</v>
      </c>
      <c r="W588" s="73" t="s">
        <v>2272</v>
      </c>
      <c r="X588" s="73" t="s">
        <v>2272</v>
      </c>
      <c r="Y588" s="73" t="s">
        <v>2272</v>
      </c>
      <c r="Z588" s="21">
        <v>12</v>
      </c>
      <c r="AA588" s="198" t="s">
        <v>74</v>
      </c>
      <c r="AB588" s="198" t="s">
        <v>34</v>
      </c>
      <c r="AC588" s="198" t="s">
        <v>63</v>
      </c>
      <c r="AD588" s="4" t="s">
        <v>877</v>
      </c>
      <c r="AE588" s="4" t="s">
        <v>5019</v>
      </c>
    </row>
    <row r="589" spans="1:31" ht="75" customHeight="1">
      <c r="A589" s="198" t="s">
        <v>873</v>
      </c>
      <c r="B589" s="198" t="s">
        <v>876</v>
      </c>
      <c r="C589" s="198" t="s">
        <v>23</v>
      </c>
      <c r="D589" s="198" t="s">
        <v>26</v>
      </c>
      <c r="E589" s="198" t="s">
        <v>128</v>
      </c>
      <c r="F589" s="4" t="s">
        <v>159</v>
      </c>
      <c r="G589" s="4"/>
      <c r="H589" s="198" t="s">
        <v>521</v>
      </c>
      <c r="I589" s="198"/>
      <c r="J589" s="21" t="s">
        <v>2272</v>
      </c>
      <c r="K589" s="21" t="s">
        <v>2272</v>
      </c>
      <c r="L589" s="21">
        <v>0.2</v>
      </c>
      <c r="M589" s="21" t="s">
        <v>2272</v>
      </c>
      <c r="N589" s="21">
        <v>0.7</v>
      </c>
      <c r="O589" s="21" t="s">
        <v>2272</v>
      </c>
      <c r="P589" s="21">
        <v>0.45</v>
      </c>
      <c r="Q589" s="21" t="s">
        <v>2272</v>
      </c>
      <c r="R589" s="21" t="s">
        <v>2272</v>
      </c>
      <c r="S589" s="21" t="s">
        <v>2272</v>
      </c>
      <c r="T589" s="21" t="s">
        <v>2272</v>
      </c>
      <c r="U589" s="21" t="s">
        <v>2272</v>
      </c>
      <c r="V589" s="21" t="s">
        <v>2272</v>
      </c>
      <c r="W589" s="21" t="s">
        <v>2272</v>
      </c>
      <c r="X589" s="21" t="s">
        <v>2272</v>
      </c>
      <c r="Y589" s="21" t="s">
        <v>2272</v>
      </c>
      <c r="Z589" s="21" t="s">
        <v>2272</v>
      </c>
      <c r="AA589" s="198" t="s">
        <v>74</v>
      </c>
      <c r="AB589" s="198" t="s">
        <v>34</v>
      </c>
      <c r="AC589" s="198" t="s">
        <v>63</v>
      </c>
      <c r="AD589" s="4" t="s">
        <v>877</v>
      </c>
      <c r="AE589" s="198"/>
    </row>
    <row r="590" spans="1:31" ht="67.5" customHeight="1">
      <c r="A590" s="198" t="s">
        <v>878</v>
      </c>
      <c r="B590" s="198" t="s">
        <v>880</v>
      </c>
      <c r="C590" s="198" t="s">
        <v>23</v>
      </c>
      <c r="D590" s="198" t="s">
        <v>26</v>
      </c>
      <c r="E590" s="198" t="s">
        <v>128</v>
      </c>
      <c r="F590" s="4" t="s">
        <v>159</v>
      </c>
      <c r="G590" s="4"/>
      <c r="H590" s="198" t="s">
        <v>521</v>
      </c>
      <c r="I590" s="198"/>
      <c r="J590" s="21" t="s">
        <v>2272</v>
      </c>
      <c r="K590" s="21" t="s">
        <v>2272</v>
      </c>
      <c r="L590" s="21" t="s">
        <v>2272</v>
      </c>
      <c r="M590" s="21" t="s">
        <v>2272</v>
      </c>
      <c r="N590" s="21" t="s">
        <v>2272</v>
      </c>
      <c r="O590" s="21" t="s">
        <v>2272</v>
      </c>
      <c r="P590" s="21" t="s">
        <v>2272</v>
      </c>
      <c r="Q590" s="21" t="s">
        <v>2272</v>
      </c>
      <c r="R590" s="21" t="s">
        <v>2272</v>
      </c>
      <c r="S590" s="21" t="s">
        <v>2272</v>
      </c>
      <c r="T590" s="21" t="s">
        <v>2272</v>
      </c>
      <c r="U590" s="21" t="s">
        <v>2272</v>
      </c>
      <c r="V590" s="21" t="s">
        <v>2272</v>
      </c>
      <c r="W590" s="21" t="s">
        <v>2272</v>
      </c>
      <c r="X590" s="21" t="s">
        <v>2272</v>
      </c>
      <c r="Y590" s="21" t="s">
        <v>2272</v>
      </c>
      <c r="Z590" s="21" t="s">
        <v>2272</v>
      </c>
      <c r="AA590" s="198" t="s">
        <v>37</v>
      </c>
      <c r="AB590" s="198" t="s">
        <v>84</v>
      </c>
      <c r="AC590" s="198" t="s">
        <v>75</v>
      </c>
      <c r="AD590" s="4" t="s">
        <v>2201</v>
      </c>
      <c r="AE590" s="4" t="s">
        <v>2202</v>
      </c>
    </row>
    <row r="591" spans="1:31" ht="75" customHeight="1">
      <c r="A591" s="198" t="s">
        <v>883</v>
      </c>
      <c r="B591" s="198" t="s">
        <v>889</v>
      </c>
      <c r="C591" s="198" t="s">
        <v>23</v>
      </c>
      <c r="D591" s="198" t="s">
        <v>26</v>
      </c>
      <c r="E591" s="198" t="s">
        <v>128</v>
      </c>
      <c r="F591" s="4" t="s">
        <v>159</v>
      </c>
      <c r="G591" s="4"/>
      <c r="H591" s="198" t="s">
        <v>521</v>
      </c>
      <c r="I591" s="198"/>
      <c r="J591" s="21" t="s">
        <v>2272</v>
      </c>
      <c r="K591" s="21" t="s">
        <v>2272</v>
      </c>
      <c r="L591" s="21" t="s">
        <v>2272</v>
      </c>
      <c r="M591" s="21" t="s">
        <v>2272</v>
      </c>
      <c r="N591" s="21" t="s">
        <v>2272</v>
      </c>
      <c r="O591" s="21" t="s">
        <v>2272</v>
      </c>
      <c r="P591" s="21" t="s">
        <v>2272</v>
      </c>
      <c r="Q591" s="21" t="s">
        <v>2272</v>
      </c>
      <c r="R591" s="21" t="s">
        <v>2272</v>
      </c>
      <c r="S591" s="21" t="s">
        <v>2272</v>
      </c>
      <c r="T591" s="21" t="s">
        <v>2272</v>
      </c>
      <c r="U591" s="21" t="s">
        <v>2272</v>
      </c>
      <c r="V591" s="21" t="s">
        <v>2272</v>
      </c>
      <c r="W591" s="21" t="s">
        <v>2272</v>
      </c>
      <c r="X591" s="21" t="s">
        <v>2272</v>
      </c>
      <c r="Y591" s="21" t="s">
        <v>2272</v>
      </c>
      <c r="Z591" s="21">
        <v>23.5</v>
      </c>
      <c r="AA591" s="198" t="s">
        <v>37</v>
      </c>
      <c r="AB591" s="198" t="s">
        <v>37</v>
      </c>
      <c r="AC591" s="198" t="s">
        <v>63</v>
      </c>
      <c r="AD591" s="4" t="s">
        <v>2204</v>
      </c>
      <c r="AE591" s="198" t="s">
        <v>2203</v>
      </c>
    </row>
    <row r="592" spans="1:31" ht="53" customHeight="1">
      <c r="A592" s="198" t="s">
        <v>894</v>
      </c>
      <c r="B592" s="198" t="s">
        <v>895</v>
      </c>
      <c r="C592" s="198" t="s">
        <v>23</v>
      </c>
      <c r="D592" s="198" t="s">
        <v>26</v>
      </c>
      <c r="E592" s="198" t="s">
        <v>128</v>
      </c>
      <c r="F592" s="4" t="s">
        <v>159</v>
      </c>
      <c r="G592" s="4"/>
      <c r="H592" s="198" t="s">
        <v>521</v>
      </c>
      <c r="I592" s="198"/>
      <c r="J592" s="21" t="s">
        <v>2272</v>
      </c>
      <c r="K592" s="21" t="s">
        <v>2272</v>
      </c>
      <c r="L592" s="21" t="s">
        <v>2272</v>
      </c>
      <c r="M592" s="21" t="s">
        <v>2272</v>
      </c>
      <c r="N592" s="21" t="s">
        <v>2272</v>
      </c>
      <c r="O592" s="21" t="s">
        <v>2272</v>
      </c>
      <c r="P592" s="21" t="s">
        <v>2272</v>
      </c>
      <c r="Q592" s="21" t="s">
        <v>2272</v>
      </c>
      <c r="R592" s="21" t="s">
        <v>2272</v>
      </c>
      <c r="S592" s="21" t="s">
        <v>2272</v>
      </c>
      <c r="T592" s="21" t="s">
        <v>2272</v>
      </c>
      <c r="U592" s="21" t="s">
        <v>2272</v>
      </c>
      <c r="V592" s="21" t="s">
        <v>2272</v>
      </c>
      <c r="W592" s="21" t="s">
        <v>2272</v>
      </c>
      <c r="X592" s="21" t="s">
        <v>2272</v>
      </c>
      <c r="Y592" s="21" t="s">
        <v>2272</v>
      </c>
      <c r="Z592" s="21" t="s">
        <v>2272</v>
      </c>
      <c r="AA592" s="198" t="s">
        <v>2272</v>
      </c>
      <c r="AB592" s="198" t="s">
        <v>2272</v>
      </c>
      <c r="AC592" s="198" t="s">
        <v>2272</v>
      </c>
      <c r="AD592" s="198"/>
      <c r="AE592" s="198" t="s">
        <v>715</v>
      </c>
    </row>
    <row r="593" spans="1:31" ht="75" customHeight="1">
      <c r="A593" s="198" t="s">
        <v>897</v>
      </c>
      <c r="B593" s="198" t="s">
        <v>900</v>
      </c>
      <c r="C593" s="198" t="s">
        <v>23</v>
      </c>
      <c r="D593" s="198" t="s">
        <v>26</v>
      </c>
      <c r="E593" s="198" t="s">
        <v>128</v>
      </c>
      <c r="F593" s="4" t="s">
        <v>159</v>
      </c>
      <c r="G593" s="4"/>
      <c r="H593" s="198" t="s">
        <v>521</v>
      </c>
      <c r="I593" s="198"/>
      <c r="J593" s="21" t="s">
        <v>2272</v>
      </c>
      <c r="K593" s="21" t="s">
        <v>2272</v>
      </c>
      <c r="L593" s="21" t="s">
        <v>2272</v>
      </c>
      <c r="M593" s="21" t="s">
        <v>2272</v>
      </c>
      <c r="N593" s="21" t="s">
        <v>2272</v>
      </c>
      <c r="O593" s="21" t="s">
        <v>2272</v>
      </c>
      <c r="P593" s="21" t="s">
        <v>2272</v>
      </c>
      <c r="Q593" s="21" t="s">
        <v>2272</v>
      </c>
      <c r="R593" s="21" t="s">
        <v>2272</v>
      </c>
      <c r="S593" s="21" t="s">
        <v>2272</v>
      </c>
      <c r="T593" s="21" t="s">
        <v>2272</v>
      </c>
      <c r="U593" s="21" t="s">
        <v>2272</v>
      </c>
      <c r="V593" s="21" t="s">
        <v>2272</v>
      </c>
      <c r="W593" s="21" t="s">
        <v>2272</v>
      </c>
      <c r="X593" s="21" t="s">
        <v>2272</v>
      </c>
      <c r="Y593" s="21" t="s">
        <v>2272</v>
      </c>
      <c r="Z593" s="21" t="s">
        <v>2272</v>
      </c>
      <c r="AA593" s="198" t="s">
        <v>37</v>
      </c>
      <c r="AB593" s="198" t="s">
        <v>84</v>
      </c>
      <c r="AC593" s="198" t="s">
        <v>63</v>
      </c>
      <c r="AD593" s="198"/>
      <c r="AE593" s="4" t="s">
        <v>901</v>
      </c>
    </row>
    <row r="594" spans="1:31" ht="75" customHeight="1">
      <c r="A594" s="198" t="s">
        <v>902</v>
      </c>
      <c r="B594" s="198" t="s">
        <v>2205</v>
      </c>
      <c r="C594" s="198" t="s">
        <v>23</v>
      </c>
      <c r="D594" s="198" t="s">
        <v>26</v>
      </c>
      <c r="E594" s="198" t="s">
        <v>128</v>
      </c>
      <c r="F594" s="4" t="s">
        <v>159</v>
      </c>
      <c r="G594" s="4"/>
      <c r="H594" s="198" t="s">
        <v>521</v>
      </c>
      <c r="I594" s="198"/>
      <c r="J594" s="21" t="s">
        <v>2272</v>
      </c>
      <c r="K594" s="21" t="s">
        <v>2272</v>
      </c>
      <c r="L594" s="21" t="s">
        <v>2272</v>
      </c>
      <c r="M594" s="21" t="s">
        <v>2272</v>
      </c>
      <c r="N594" s="21" t="s">
        <v>2272</v>
      </c>
      <c r="O594" s="21" t="s">
        <v>2272</v>
      </c>
      <c r="P594" s="21" t="s">
        <v>2272</v>
      </c>
      <c r="Q594" s="21" t="s">
        <v>2272</v>
      </c>
      <c r="R594" s="21" t="s">
        <v>2272</v>
      </c>
      <c r="S594" s="21" t="s">
        <v>2272</v>
      </c>
      <c r="T594" s="21" t="s">
        <v>2272</v>
      </c>
      <c r="U594" s="21" t="s">
        <v>2272</v>
      </c>
      <c r="V594" s="21" t="s">
        <v>2272</v>
      </c>
      <c r="W594" s="21" t="s">
        <v>2272</v>
      </c>
      <c r="X594" s="21" t="s">
        <v>2272</v>
      </c>
      <c r="Y594" s="21" t="s">
        <v>2272</v>
      </c>
      <c r="Z594" s="21" t="s">
        <v>2272</v>
      </c>
      <c r="AA594" s="198" t="s">
        <v>2272</v>
      </c>
      <c r="AB594" s="198" t="s">
        <v>2272</v>
      </c>
      <c r="AC594" s="198" t="s">
        <v>2272</v>
      </c>
      <c r="AD594" s="198"/>
      <c r="AE594" s="4"/>
    </row>
    <row r="595" spans="1:31" ht="75" customHeight="1">
      <c r="A595" s="198" t="s">
        <v>905</v>
      </c>
      <c r="B595" s="198" t="s">
        <v>920</v>
      </c>
      <c r="C595" s="198" t="s">
        <v>23</v>
      </c>
      <c r="D595" s="198" t="s">
        <v>26</v>
      </c>
      <c r="E595" s="198" t="s">
        <v>128</v>
      </c>
      <c r="F595" s="4" t="s">
        <v>159</v>
      </c>
      <c r="G595" s="4"/>
      <c r="H595" s="198" t="s">
        <v>521</v>
      </c>
      <c r="I595" s="198"/>
      <c r="J595" s="21" t="s">
        <v>2272</v>
      </c>
      <c r="K595" s="21" t="s">
        <v>2272</v>
      </c>
      <c r="L595" s="21" t="s">
        <v>2272</v>
      </c>
      <c r="M595" s="21" t="s">
        <v>2272</v>
      </c>
      <c r="N595" s="21" t="s">
        <v>2272</v>
      </c>
      <c r="O595" s="21" t="s">
        <v>2272</v>
      </c>
      <c r="P595" s="21" t="s">
        <v>2272</v>
      </c>
      <c r="Q595" s="21" t="s">
        <v>2272</v>
      </c>
      <c r="R595" s="21" t="s">
        <v>2272</v>
      </c>
      <c r="S595" s="21" t="s">
        <v>2272</v>
      </c>
      <c r="T595" s="21" t="s">
        <v>2272</v>
      </c>
      <c r="U595" s="21" t="s">
        <v>2272</v>
      </c>
      <c r="V595" s="21" t="s">
        <v>2272</v>
      </c>
      <c r="W595" s="21" t="s">
        <v>2272</v>
      </c>
      <c r="X595" s="21" t="s">
        <v>2272</v>
      </c>
      <c r="Y595" s="21" t="s">
        <v>2272</v>
      </c>
      <c r="Z595" s="21" t="s">
        <v>2272</v>
      </c>
      <c r="AA595" s="198" t="s">
        <v>2272</v>
      </c>
      <c r="AB595" s="198" t="s">
        <v>2272</v>
      </c>
      <c r="AC595" s="198" t="s">
        <v>2272</v>
      </c>
      <c r="AD595" s="198"/>
      <c r="AE595" s="4"/>
    </row>
    <row r="596" spans="1:31" ht="75" customHeight="1">
      <c r="A596" s="198" t="s">
        <v>916</v>
      </c>
      <c r="B596" s="198" t="s">
        <v>921</v>
      </c>
      <c r="C596" s="198" t="s">
        <v>23</v>
      </c>
      <c r="D596" s="198" t="s">
        <v>26</v>
      </c>
      <c r="E596" s="198" t="s">
        <v>128</v>
      </c>
      <c r="F596" s="4" t="s">
        <v>159</v>
      </c>
      <c r="G596" s="4"/>
      <c r="H596" s="198" t="s">
        <v>521</v>
      </c>
      <c r="I596" s="198"/>
      <c r="J596" s="21" t="s">
        <v>2272</v>
      </c>
      <c r="K596" s="21" t="s">
        <v>2272</v>
      </c>
      <c r="L596" s="21" t="s">
        <v>2272</v>
      </c>
      <c r="M596" s="21" t="s">
        <v>2272</v>
      </c>
      <c r="N596" s="21" t="s">
        <v>2272</v>
      </c>
      <c r="O596" s="21" t="s">
        <v>2272</v>
      </c>
      <c r="P596" s="21" t="s">
        <v>2272</v>
      </c>
      <c r="Q596" s="21" t="s">
        <v>2272</v>
      </c>
      <c r="R596" s="21" t="s">
        <v>2272</v>
      </c>
      <c r="S596" s="21" t="s">
        <v>2272</v>
      </c>
      <c r="T596" s="21" t="s">
        <v>2272</v>
      </c>
      <c r="U596" s="21" t="s">
        <v>2272</v>
      </c>
      <c r="V596" s="21" t="s">
        <v>2272</v>
      </c>
      <c r="W596" s="21" t="s">
        <v>2272</v>
      </c>
      <c r="X596" s="21" t="s">
        <v>2272</v>
      </c>
      <c r="Y596" s="21" t="s">
        <v>2272</v>
      </c>
      <c r="Z596" s="21" t="s">
        <v>2272</v>
      </c>
      <c r="AA596" s="198" t="s">
        <v>2272</v>
      </c>
      <c r="AB596" s="198" t="s">
        <v>2272</v>
      </c>
      <c r="AC596" s="198" t="s">
        <v>2272</v>
      </c>
      <c r="AD596" s="198"/>
      <c r="AE596" s="4"/>
    </row>
    <row r="597" spans="1:31" ht="75" customHeight="1">
      <c r="A597" s="198" t="s">
        <v>917</v>
      </c>
      <c r="B597" s="198" t="s">
        <v>922</v>
      </c>
      <c r="C597" s="198" t="s">
        <v>23</v>
      </c>
      <c r="D597" s="198" t="s">
        <v>26</v>
      </c>
      <c r="E597" s="198" t="s">
        <v>128</v>
      </c>
      <c r="F597" s="4" t="s">
        <v>159</v>
      </c>
      <c r="G597" s="4"/>
      <c r="H597" s="198" t="s">
        <v>521</v>
      </c>
      <c r="I597" s="198"/>
      <c r="J597" s="21" t="s">
        <v>2272</v>
      </c>
      <c r="K597" s="21" t="s">
        <v>2272</v>
      </c>
      <c r="L597" s="21" t="s">
        <v>2272</v>
      </c>
      <c r="M597" s="21" t="s">
        <v>2272</v>
      </c>
      <c r="N597" s="21" t="s">
        <v>2272</v>
      </c>
      <c r="O597" s="21" t="s">
        <v>2272</v>
      </c>
      <c r="P597" s="21" t="s">
        <v>2272</v>
      </c>
      <c r="Q597" s="21" t="s">
        <v>2272</v>
      </c>
      <c r="R597" s="21" t="s">
        <v>2272</v>
      </c>
      <c r="S597" s="21" t="s">
        <v>2272</v>
      </c>
      <c r="T597" s="21" t="s">
        <v>2272</v>
      </c>
      <c r="U597" s="21" t="s">
        <v>2272</v>
      </c>
      <c r="V597" s="21" t="s">
        <v>2272</v>
      </c>
      <c r="W597" s="21" t="s">
        <v>2272</v>
      </c>
      <c r="X597" s="21" t="s">
        <v>2272</v>
      </c>
      <c r="Y597" s="21" t="s">
        <v>2272</v>
      </c>
      <c r="Z597" s="21" t="s">
        <v>2272</v>
      </c>
      <c r="AA597" s="198" t="s">
        <v>2272</v>
      </c>
      <c r="AB597" s="198" t="s">
        <v>2272</v>
      </c>
      <c r="AC597" s="198" t="s">
        <v>2272</v>
      </c>
      <c r="AD597" s="198"/>
      <c r="AE597" s="4"/>
    </row>
    <row r="598" spans="1:31" ht="75" customHeight="1">
      <c r="A598" s="198" t="s">
        <v>918</v>
      </c>
      <c r="B598" s="198" t="s">
        <v>923</v>
      </c>
      <c r="C598" s="198" t="s">
        <v>23</v>
      </c>
      <c r="D598" s="198" t="s">
        <v>26</v>
      </c>
      <c r="E598" s="198" t="s">
        <v>128</v>
      </c>
      <c r="F598" s="4" t="s">
        <v>159</v>
      </c>
      <c r="G598" s="4"/>
      <c r="H598" s="198" t="s">
        <v>521</v>
      </c>
      <c r="I598" s="198"/>
      <c r="J598" s="21" t="s">
        <v>2272</v>
      </c>
      <c r="K598" s="21" t="s">
        <v>2272</v>
      </c>
      <c r="L598" s="21" t="s">
        <v>2272</v>
      </c>
      <c r="M598" s="21" t="s">
        <v>2272</v>
      </c>
      <c r="N598" s="21" t="s">
        <v>2272</v>
      </c>
      <c r="O598" s="21" t="s">
        <v>2272</v>
      </c>
      <c r="P598" s="21" t="s">
        <v>2272</v>
      </c>
      <c r="Q598" s="21" t="s">
        <v>2272</v>
      </c>
      <c r="R598" s="21" t="s">
        <v>2272</v>
      </c>
      <c r="S598" s="21" t="s">
        <v>2272</v>
      </c>
      <c r="T598" s="21" t="s">
        <v>2272</v>
      </c>
      <c r="U598" s="21" t="s">
        <v>2272</v>
      </c>
      <c r="V598" s="21" t="s">
        <v>2272</v>
      </c>
      <c r="W598" s="21" t="s">
        <v>2272</v>
      </c>
      <c r="X598" s="21" t="s">
        <v>2272</v>
      </c>
      <c r="Y598" s="21" t="s">
        <v>2272</v>
      </c>
      <c r="Z598" s="21" t="s">
        <v>2272</v>
      </c>
      <c r="AA598" s="198" t="s">
        <v>2272</v>
      </c>
      <c r="AB598" s="198" t="s">
        <v>2272</v>
      </c>
      <c r="AC598" s="198" t="s">
        <v>2272</v>
      </c>
      <c r="AD598" s="198"/>
      <c r="AE598" s="4"/>
    </row>
    <row r="599" spans="1:31" ht="151" customHeight="1">
      <c r="A599" s="198" t="s">
        <v>908</v>
      </c>
      <c r="B599" s="198" t="s">
        <v>911</v>
      </c>
      <c r="C599" s="198" t="s">
        <v>23</v>
      </c>
      <c r="D599" s="198" t="s">
        <v>24</v>
      </c>
      <c r="E599" s="198" t="s">
        <v>44</v>
      </c>
      <c r="F599" s="4" t="s">
        <v>28</v>
      </c>
      <c r="G599" s="4"/>
      <c r="H599" s="198" t="s">
        <v>521</v>
      </c>
      <c r="I599" s="198"/>
      <c r="J599" s="21" t="s">
        <v>2272</v>
      </c>
      <c r="K599" s="21" t="s">
        <v>2272</v>
      </c>
      <c r="L599" s="21" t="s">
        <v>2272</v>
      </c>
      <c r="M599" s="21" t="s">
        <v>2272</v>
      </c>
      <c r="N599" s="21" t="s">
        <v>2272</v>
      </c>
      <c r="O599" s="21" t="s">
        <v>2272</v>
      </c>
      <c r="P599" s="21" t="s">
        <v>2272</v>
      </c>
      <c r="Q599" s="21" t="s">
        <v>2272</v>
      </c>
      <c r="R599" s="21" t="s">
        <v>2272</v>
      </c>
      <c r="S599" s="21" t="s">
        <v>2272</v>
      </c>
      <c r="T599" s="21" t="s">
        <v>2272</v>
      </c>
      <c r="U599" s="21" t="s">
        <v>2272</v>
      </c>
      <c r="V599" s="21" t="s">
        <v>2272</v>
      </c>
      <c r="W599" s="21" t="s">
        <v>2272</v>
      </c>
      <c r="X599" s="21" t="s">
        <v>2272</v>
      </c>
      <c r="Y599" s="21" t="s">
        <v>2272</v>
      </c>
      <c r="Z599" s="21" t="s">
        <v>2272</v>
      </c>
      <c r="AA599" s="198" t="s">
        <v>423</v>
      </c>
      <c r="AB599" s="198" t="s">
        <v>67</v>
      </c>
      <c r="AC599" s="198" t="s">
        <v>63</v>
      </c>
      <c r="AD599" s="4" t="s">
        <v>910</v>
      </c>
      <c r="AE599" s="198"/>
    </row>
    <row r="600" spans="1:31" ht="89.5" customHeight="1">
      <c r="A600" s="198" t="s">
        <v>908</v>
      </c>
      <c r="B600" s="198" t="s">
        <v>912</v>
      </c>
      <c r="C600" s="198" t="s">
        <v>23</v>
      </c>
      <c r="D600" s="198" t="s">
        <v>26</v>
      </c>
      <c r="E600" s="198" t="s">
        <v>128</v>
      </c>
      <c r="F600" s="4" t="s">
        <v>159</v>
      </c>
      <c r="G600" s="4"/>
      <c r="H600" s="198" t="s">
        <v>521</v>
      </c>
      <c r="I600" s="198"/>
      <c r="J600" s="21" t="s">
        <v>2272</v>
      </c>
      <c r="K600" s="21" t="s">
        <v>2272</v>
      </c>
      <c r="L600" s="21" t="s">
        <v>2272</v>
      </c>
      <c r="M600" s="21" t="s">
        <v>2272</v>
      </c>
      <c r="N600" s="21" t="s">
        <v>2272</v>
      </c>
      <c r="O600" s="21" t="s">
        <v>2272</v>
      </c>
      <c r="P600" s="21" t="s">
        <v>2272</v>
      </c>
      <c r="Q600" s="21" t="s">
        <v>2272</v>
      </c>
      <c r="R600" s="21" t="s">
        <v>2272</v>
      </c>
      <c r="S600" s="21" t="s">
        <v>2272</v>
      </c>
      <c r="T600" s="21" t="s">
        <v>2272</v>
      </c>
      <c r="U600" s="21" t="s">
        <v>2272</v>
      </c>
      <c r="V600" s="21" t="s">
        <v>2272</v>
      </c>
      <c r="W600" s="21" t="s">
        <v>2272</v>
      </c>
      <c r="X600" s="21" t="s">
        <v>2272</v>
      </c>
      <c r="Y600" s="21" t="s">
        <v>2272</v>
      </c>
      <c r="Z600" s="21" t="s">
        <v>2272</v>
      </c>
      <c r="AA600" s="198" t="s">
        <v>423</v>
      </c>
      <c r="AB600" s="198" t="s">
        <v>67</v>
      </c>
      <c r="AC600" s="198" t="s">
        <v>63</v>
      </c>
      <c r="AD600" s="4" t="s">
        <v>5015</v>
      </c>
      <c r="AE600" s="198" t="s">
        <v>715</v>
      </c>
    </row>
    <row r="601" spans="1:31" ht="45.5" customHeight="1">
      <c r="A601" s="198" t="s">
        <v>908</v>
      </c>
      <c r="B601" s="198" t="s">
        <v>914</v>
      </c>
      <c r="C601" s="198" t="s">
        <v>23</v>
      </c>
      <c r="D601" s="198" t="s">
        <v>26</v>
      </c>
      <c r="E601" s="198" t="s">
        <v>128</v>
      </c>
      <c r="F601" s="4" t="s">
        <v>27</v>
      </c>
      <c r="G601" s="4"/>
      <c r="H601" s="198" t="s">
        <v>522</v>
      </c>
      <c r="I601" s="198"/>
      <c r="J601" s="21">
        <v>0</v>
      </c>
      <c r="K601" s="21">
        <v>0</v>
      </c>
      <c r="L601" s="21">
        <v>0</v>
      </c>
      <c r="M601" s="21">
        <v>0</v>
      </c>
      <c r="N601" s="21">
        <v>0</v>
      </c>
      <c r="O601" s="21">
        <v>0</v>
      </c>
      <c r="P601" s="21">
        <v>0</v>
      </c>
      <c r="Q601" s="21">
        <v>0</v>
      </c>
      <c r="R601" s="21" t="s">
        <v>2272</v>
      </c>
      <c r="S601" s="21" t="s">
        <v>2272</v>
      </c>
      <c r="T601" s="21">
        <v>0</v>
      </c>
      <c r="U601" s="21">
        <v>0</v>
      </c>
      <c r="V601" s="21">
        <v>0</v>
      </c>
      <c r="W601" s="21">
        <v>0</v>
      </c>
      <c r="X601" s="21">
        <v>0</v>
      </c>
      <c r="Y601" s="21">
        <v>0</v>
      </c>
      <c r="Z601" s="21" t="s">
        <v>2272</v>
      </c>
      <c r="AA601" s="198" t="s">
        <v>2272</v>
      </c>
      <c r="AB601" s="198" t="s">
        <v>2272</v>
      </c>
      <c r="AC601" s="198" t="s">
        <v>2272</v>
      </c>
      <c r="AD601" s="198"/>
      <c r="AE601" s="198"/>
    </row>
    <row r="602" spans="1:31" ht="41.5" customHeight="1">
      <c r="A602" s="198" t="s">
        <v>908</v>
      </c>
      <c r="B602" s="198" t="s">
        <v>915</v>
      </c>
      <c r="C602" s="198" t="s">
        <v>23</v>
      </c>
      <c r="D602" s="198" t="s">
        <v>60</v>
      </c>
      <c r="E602" s="4" t="s">
        <v>2645</v>
      </c>
      <c r="F602" s="4" t="s">
        <v>159</v>
      </c>
      <c r="G602" s="4"/>
      <c r="H602" s="198" t="s">
        <v>522</v>
      </c>
      <c r="I602" s="198"/>
      <c r="J602" s="21">
        <v>0</v>
      </c>
      <c r="K602" s="21">
        <v>0</v>
      </c>
      <c r="L602" s="21">
        <v>0</v>
      </c>
      <c r="M602" s="21">
        <v>0</v>
      </c>
      <c r="N602" s="21">
        <v>0</v>
      </c>
      <c r="O602" s="21">
        <v>0</v>
      </c>
      <c r="P602" s="21">
        <v>0</v>
      </c>
      <c r="Q602" s="21">
        <v>0</v>
      </c>
      <c r="R602" s="21" t="s">
        <v>2272</v>
      </c>
      <c r="S602" s="21" t="s">
        <v>2272</v>
      </c>
      <c r="T602" s="21">
        <v>0</v>
      </c>
      <c r="U602" s="21">
        <v>0</v>
      </c>
      <c r="V602" s="21">
        <v>0</v>
      </c>
      <c r="W602" s="21">
        <v>0</v>
      </c>
      <c r="X602" s="21">
        <v>0</v>
      </c>
      <c r="Y602" s="21">
        <v>0</v>
      </c>
      <c r="Z602" s="21" t="s">
        <v>2272</v>
      </c>
      <c r="AA602" s="198" t="s">
        <v>2272</v>
      </c>
      <c r="AB602" s="198" t="s">
        <v>2272</v>
      </c>
      <c r="AC602" s="198" t="s">
        <v>2272</v>
      </c>
      <c r="AD602" s="198"/>
      <c r="AE602" s="198"/>
    </row>
    <row r="603" spans="1:31" ht="41.5" customHeight="1">
      <c r="A603" s="198" t="s">
        <v>930</v>
      </c>
      <c r="B603" s="198" t="s">
        <v>5054</v>
      </c>
      <c r="C603" s="198" t="s">
        <v>23</v>
      </c>
      <c r="D603" s="198" t="s">
        <v>2799</v>
      </c>
      <c r="E603" s="4" t="s">
        <v>5000</v>
      </c>
      <c r="F603" s="4" t="s">
        <v>2657</v>
      </c>
      <c r="G603" s="4" t="s">
        <v>2657</v>
      </c>
      <c r="H603" s="198" t="s">
        <v>521</v>
      </c>
      <c r="I603" s="198">
        <v>1973</v>
      </c>
      <c r="J603" s="21" t="s">
        <v>2272</v>
      </c>
      <c r="K603" s="21" t="s">
        <v>2272</v>
      </c>
      <c r="L603" s="21" t="s">
        <v>2272</v>
      </c>
      <c r="M603" s="21" t="s">
        <v>2272</v>
      </c>
      <c r="N603" s="21" t="s">
        <v>2272</v>
      </c>
      <c r="O603" s="21" t="s">
        <v>2272</v>
      </c>
      <c r="P603" s="21" t="s">
        <v>2272</v>
      </c>
      <c r="Q603" s="21" t="s">
        <v>2272</v>
      </c>
      <c r="R603" s="21" t="s">
        <v>2272</v>
      </c>
      <c r="S603" s="21" t="s">
        <v>2272</v>
      </c>
      <c r="T603" s="21" t="s">
        <v>2272</v>
      </c>
      <c r="U603" s="21" t="s">
        <v>2272</v>
      </c>
      <c r="V603" s="21" t="s">
        <v>2272</v>
      </c>
      <c r="W603" s="21" t="s">
        <v>2272</v>
      </c>
      <c r="X603" s="21" t="s">
        <v>2272</v>
      </c>
      <c r="Y603" s="21" t="s">
        <v>2272</v>
      </c>
      <c r="Z603" s="21" t="s">
        <v>2272</v>
      </c>
      <c r="AA603" s="198" t="s">
        <v>125</v>
      </c>
      <c r="AB603" s="198" t="s">
        <v>37</v>
      </c>
      <c r="AC603" s="198" t="s">
        <v>2650</v>
      </c>
      <c r="AD603" s="4" t="s">
        <v>5063</v>
      </c>
      <c r="AE603" s="4" t="s">
        <v>5071</v>
      </c>
    </row>
    <row r="604" spans="1:31" ht="41.5" customHeight="1">
      <c r="A604" s="198" t="s">
        <v>930</v>
      </c>
      <c r="B604" s="198" t="s">
        <v>5055</v>
      </c>
      <c r="C604" s="198" t="s">
        <v>23</v>
      </c>
      <c r="D604" s="198" t="s">
        <v>2799</v>
      </c>
      <c r="E604" s="4" t="s">
        <v>5000</v>
      </c>
      <c r="F604" s="4" t="s">
        <v>2657</v>
      </c>
      <c r="G604" s="4" t="s">
        <v>2657</v>
      </c>
      <c r="H604" s="198" t="s">
        <v>521</v>
      </c>
      <c r="I604" s="198">
        <v>1984</v>
      </c>
      <c r="J604" s="21" t="s">
        <v>2272</v>
      </c>
      <c r="K604" s="21" t="s">
        <v>2272</v>
      </c>
      <c r="L604" s="21" t="s">
        <v>2272</v>
      </c>
      <c r="M604" s="21" t="s">
        <v>2272</v>
      </c>
      <c r="N604" s="21" t="s">
        <v>2272</v>
      </c>
      <c r="O604" s="21" t="s">
        <v>2272</v>
      </c>
      <c r="P604" s="21" t="s">
        <v>2272</v>
      </c>
      <c r="Q604" s="21" t="s">
        <v>2272</v>
      </c>
      <c r="R604" s="21" t="s">
        <v>2272</v>
      </c>
      <c r="S604" s="21" t="s">
        <v>2272</v>
      </c>
      <c r="T604" s="21" t="s">
        <v>2272</v>
      </c>
      <c r="U604" s="21" t="s">
        <v>2272</v>
      </c>
      <c r="V604" s="21" t="s">
        <v>2272</v>
      </c>
      <c r="W604" s="21" t="s">
        <v>2272</v>
      </c>
      <c r="X604" s="21" t="s">
        <v>2272</v>
      </c>
      <c r="Y604" s="21" t="s">
        <v>2272</v>
      </c>
      <c r="Z604" s="21" t="s">
        <v>2272</v>
      </c>
      <c r="AA604" s="198" t="s">
        <v>125</v>
      </c>
      <c r="AB604" s="198" t="s">
        <v>37</v>
      </c>
      <c r="AC604" s="198" t="s">
        <v>2650</v>
      </c>
      <c r="AD604" s="4" t="s">
        <v>5063</v>
      </c>
      <c r="AE604" s="4" t="s">
        <v>5071</v>
      </c>
    </row>
    <row r="605" spans="1:31" ht="41.5" customHeight="1">
      <c r="A605" s="198" t="s">
        <v>930</v>
      </c>
      <c r="B605" s="198" t="s">
        <v>5056</v>
      </c>
      <c r="C605" s="198" t="s">
        <v>23</v>
      </c>
      <c r="D605" s="198" t="s">
        <v>2799</v>
      </c>
      <c r="E605" s="4" t="s">
        <v>5000</v>
      </c>
      <c r="F605" s="4" t="s">
        <v>2657</v>
      </c>
      <c r="G605" s="4" t="s">
        <v>2657</v>
      </c>
      <c r="H605" s="198" t="s">
        <v>521</v>
      </c>
      <c r="I605" s="198">
        <v>1987</v>
      </c>
      <c r="J605" s="21" t="s">
        <v>2272</v>
      </c>
      <c r="K605" s="21" t="s">
        <v>2272</v>
      </c>
      <c r="L605" s="21" t="s">
        <v>2272</v>
      </c>
      <c r="M605" s="21" t="s">
        <v>2272</v>
      </c>
      <c r="N605" s="21" t="s">
        <v>2272</v>
      </c>
      <c r="O605" s="21" t="s">
        <v>2272</v>
      </c>
      <c r="P605" s="21" t="s">
        <v>2272</v>
      </c>
      <c r="Q605" s="21" t="s">
        <v>2272</v>
      </c>
      <c r="R605" s="21" t="s">
        <v>2272</v>
      </c>
      <c r="S605" s="21" t="s">
        <v>2272</v>
      </c>
      <c r="T605" s="21" t="s">
        <v>2272</v>
      </c>
      <c r="U605" s="21" t="s">
        <v>2272</v>
      </c>
      <c r="V605" s="21" t="s">
        <v>2272</v>
      </c>
      <c r="W605" s="21" t="s">
        <v>2272</v>
      </c>
      <c r="X605" s="21" t="s">
        <v>2272</v>
      </c>
      <c r="Y605" s="21" t="s">
        <v>2272</v>
      </c>
      <c r="Z605" s="21" t="s">
        <v>2272</v>
      </c>
      <c r="AA605" s="198" t="s">
        <v>125</v>
      </c>
      <c r="AB605" s="198" t="s">
        <v>37</v>
      </c>
      <c r="AC605" s="198" t="s">
        <v>2650</v>
      </c>
      <c r="AD605" s="4" t="s">
        <v>5063</v>
      </c>
      <c r="AE605" s="4" t="s">
        <v>5071</v>
      </c>
    </row>
    <row r="606" spans="1:31" ht="41.5" customHeight="1">
      <c r="A606" s="198" t="s">
        <v>930</v>
      </c>
      <c r="B606" s="198" t="s">
        <v>5057</v>
      </c>
      <c r="C606" s="198" t="s">
        <v>23</v>
      </c>
      <c r="D606" s="198" t="s">
        <v>2799</v>
      </c>
      <c r="E606" s="4" t="s">
        <v>5000</v>
      </c>
      <c r="F606" s="4" t="s">
        <v>2657</v>
      </c>
      <c r="G606" s="4" t="s">
        <v>2657</v>
      </c>
      <c r="H606" s="198" t="s">
        <v>521</v>
      </c>
      <c r="I606" s="198">
        <v>2000</v>
      </c>
      <c r="J606" s="21" t="s">
        <v>2272</v>
      </c>
      <c r="K606" s="21" t="s">
        <v>2272</v>
      </c>
      <c r="L606" s="21" t="s">
        <v>2272</v>
      </c>
      <c r="M606" s="21" t="s">
        <v>2272</v>
      </c>
      <c r="N606" s="21" t="s">
        <v>2272</v>
      </c>
      <c r="O606" s="21" t="s">
        <v>2272</v>
      </c>
      <c r="P606" s="21" t="s">
        <v>2272</v>
      </c>
      <c r="Q606" s="21" t="s">
        <v>2272</v>
      </c>
      <c r="R606" s="21" t="s">
        <v>2272</v>
      </c>
      <c r="S606" s="21" t="s">
        <v>2272</v>
      </c>
      <c r="T606" s="21" t="s">
        <v>2272</v>
      </c>
      <c r="U606" s="21" t="s">
        <v>2272</v>
      </c>
      <c r="V606" s="21" t="s">
        <v>2272</v>
      </c>
      <c r="W606" s="21" t="s">
        <v>2272</v>
      </c>
      <c r="X606" s="21" t="s">
        <v>2272</v>
      </c>
      <c r="Y606" s="21" t="s">
        <v>2272</v>
      </c>
      <c r="Z606" s="21" t="s">
        <v>2272</v>
      </c>
      <c r="AA606" s="198" t="s">
        <v>125</v>
      </c>
      <c r="AB606" s="198" t="s">
        <v>37</v>
      </c>
      <c r="AC606" s="198" t="s">
        <v>2650</v>
      </c>
      <c r="AD606" s="4" t="s">
        <v>5063</v>
      </c>
      <c r="AE606" s="4" t="s">
        <v>5071</v>
      </c>
    </row>
    <row r="607" spans="1:31" ht="41.5" customHeight="1">
      <c r="A607" s="198" t="s">
        <v>930</v>
      </c>
      <c r="B607" s="198" t="s">
        <v>5058</v>
      </c>
      <c r="C607" s="198" t="s">
        <v>23</v>
      </c>
      <c r="D607" s="198" t="s">
        <v>2799</v>
      </c>
      <c r="E607" s="4" t="s">
        <v>5000</v>
      </c>
      <c r="F607" s="4" t="s">
        <v>2657</v>
      </c>
      <c r="G607" s="4" t="s">
        <v>2657</v>
      </c>
      <c r="H607" s="198" t="s">
        <v>521</v>
      </c>
      <c r="I607" s="198">
        <v>2008</v>
      </c>
      <c r="J607" s="21" t="s">
        <v>2272</v>
      </c>
      <c r="K607" s="21" t="s">
        <v>2272</v>
      </c>
      <c r="L607" s="21" t="s">
        <v>2272</v>
      </c>
      <c r="M607" s="21" t="s">
        <v>2272</v>
      </c>
      <c r="N607" s="21" t="s">
        <v>2272</v>
      </c>
      <c r="O607" s="21" t="s">
        <v>2272</v>
      </c>
      <c r="P607" s="21" t="s">
        <v>2272</v>
      </c>
      <c r="Q607" s="21" t="s">
        <v>2272</v>
      </c>
      <c r="R607" s="21" t="s">
        <v>2272</v>
      </c>
      <c r="S607" s="21" t="s">
        <v>2272</v>
      </c>
      <c r="T607" s="21" t="s">
        <v>2272</v>
      </c>
      <c r="U607" s="21" t="s">
        <v>2272</v>
      </c>
      <c r="V607" s="21" t="s">
        <v>2272</v>
      </c>
      <c r="W607" s="21" t="s">
        <v>2272</v>
      </c>
      <c r="X607" s="21" t="s">
        <v>2272</v>
      </c>
      <c r="Y607" s="21" t="s">
        <v>2272</v>
      </c>
      <c r="Z607" s="21" t="s">
        <v>2272</v>
      </c>
      <c r="AA607" s="198" t="s">
        <v>125</v>
      </c>
      <c r="AB607" s="198" t="s">
        <v>37</v>
      </c>
      <c r="AC607" s="198" t="s">
        <v>2650</v>
      </c>
      <c r="AD607" s="4" t="s">
        <v>5063</v>
      </c>
      <c r="AE607" s="4" t="s">
        <v>5071</v>
      </c>
    </row>
    <row r="608" spans="1:31" ht="41.5" customHeight="1">
      <c r="A608" s="198" t="s">
        <v>930</v>
      </c>
      <c r="B608" s="198" t="s">
        <v>5059</v>
      </c>
      <c r="C608" s="198" t="s">
        <v>23</v>
      </c>
      <c r="D608" s="198" t="s">
        <v>2799</v>
      </c>
      <c r="E608" s="4" t="s">
        <v>5000</v>
      </c>
      <c r="F608" s="4" t="s">
        <v>2657</v>
      </c>
      <c r="G608" s="4" t="s">
        <v>2657</v>
      </c>
      <c r="H608" s="198" t="s">
        <v>521</v>
      </c>
      <c r="I608" s="198">
        <v>2011</v>
      </c>
      <c r="J608" s="21" t="s">
        <v>2272</v>
      </c>
      <c r="K608" s="21" t="s">
        <v>2272</v>
      </c>
      <c r="L608" s="21" t="s">
        <v>2272</v>
      </c>
      <c r="M608" s="21" t="s">
        <v>2272</v>
      </c>
      <c r="N608" s="21" t="s">
        <v>2272</v>
      </c>
      <c r="O608" s="21" t="s">
        <v>2272</v>
      </c>
      <c r="P608" s="21" t="s">
        <v>2272</v>
      </c>
      <c r="Q608" s="21" t="s">
        <v>2272</v>
      </c>
      <c r="R608" s="21" t="s">
        <v>2272</v>
      </c>
      <c r="S608" s="21" t="s">
        <v>2272</v>
      </c>
      <c r="T608" s="21" t="s">
        <v>2272</v>
      </c>
      <c r="U608" s="21" t="s">
        <v>2272</v>
      </c>
      <c r="V608" s="21" t="s">
        <v>2272</v>
      </c>
      <c r="W608" s="21" t="s">
        <v>2272</v>
      </c>
      <c r="X608" s="21" t="s">
        <v>2272</v>
      </c>
      <c r="Y608" s="21" t="s">
        <v>2272</v>
      </c>
      <c r="Z608" s="21" t="s">
        <v>2272</v>
      </c>
      <c r="AA608" s="198" t="s">
        <v>125</v>
      </c>
      <c r="AB608" s="198" t="s">
        <v>37</v>
      </c>
      <c r="AC608" s="198" t="s">
        <v>2650</v>
      </c>
      <c r="AD608" s="4" t="s">
        <v>5063</v>
      </c>
      <c r="AE608" s="4" t="s">
        <v>5071</v>
      </c>
    </row>
    <row r="609" spans="1:31" ht="41.5" customHeight="1">
      <c r="A609" s="198" t="s">
        <v>930</v>
      </c>
      <c r="B609" s="198" t="s">
        <v>5060</v>
      </c>
      <c r="C609" s="198" t="s">
        <v>23</v>
      </c>
      <c r="D609" s="198" t="s">
        <v>2799</v>
      </c>
      <c r="E609" s="4" t="s">
        <v>5000</v>
      </c>
      <c r="F609" s="4" t="s">
        <v>2657</v>
      </c>
      <c r="G609" s="4" t="s">
        <v>2657</v>
      </c>
      <c r="H609" s="198" t="s">
        <v>521</v>
      </c>
      <c r="I609" s="198">
        <v>2017</v>
      </c>
      <c r="J609" s="21" t="s">
        <v>2272</v>
      </c>
      <c r="K609" s="21" t="s">
        <v>2272</v>
      </c>
      <c r="L609" s="21" t="s">
        <v>2272</v>
      </c>
      <c r="M609" s="21" t="s">
        <v>2272</v>
      </c>
      <c r="N609" s="21" t="s">
        <v>2272</v>
      </c>
      <c r="O609" s="21" t="s">
        <v>2272</v>
      </c>
      <c r="P609" s="21" t="s">
        <v>2272</v>
      </c>
      <c r="Q609" s="21" t="s">
        <v>2272</v>
      </c>
      <c r="R609" s="21" t="s">
        <v>2272</v>
      </c>
      <c r="S609" s="21" t="s">
        <v>2272</v>
      </c>
      <c r="T609" s="21" t="s">
        <v>2272</v>
      </c>
      <c r="U609" s="21" t="s">
        <v>2272</v>
      </c>
      <c r="V609" s="21" t="s">
        <v>2272</v>
      </c>
      <c r="W609" s="21" t="s">
        <v>2272</v>
      </c>
      <c r="X609" s="21" t="s">
        <v>2272</v>
      </c>
      <c r="Y609" s="21" t="s">
        <v>2272</v>
      </c>
      <c r="Z609" s="21" t="s">
        <v>2272</v>
      </c>
      <c r="AA609" s="198" t="s">
        <v>125</v>
      </c>
      <c r="AB609" s="198" t="s">
        <v>37</v>
      </c>
      <c r="AC609" s="198" t="s">
        <v>2650</v>
      </c>
      <c r="AD609" s="4" t="s">
        <v>5063</v>
      </c>
      <c r="AE609" s="4" t="s">
        <v>5071</v>
      </c>
    </row>
    <row r="610" spans="1:31" ht="41.5" customHeight="1">
      <c r="A610" s="198" t="s">
        <v>930</v>
      </c>
      <c r="B610" s="198" t="s">
        <v>5061</v>
      </c>
      <c r="C610" s="198" t="s">
        <v>23</v>
      </c>
      <c r="D610" s="198" t="s">
        <v>2342</v>
      </c>
      <c r="E610" s="4" t="s">
        <v>5000</v>
      </c>
      <c r="F610" s="4" t="s">
        <v>2657</v>
      </c>
      <c r="G610" s="4" t="s">
        <v>2657</v>
      </c>
      <c r="H610" s="198" t="s">
        <v>521</v>
      </c>
      <c r="I610" s="198">
        <v>2017</v>
      </c>
      <c r="J610" s="21" t="s">
        <v>2272</v>
      </c>
      <c r="K610" s="21" t="s">
        <v>2272</v>
      </c>
      <c r="L610" s="21" t="s">
        <v>2272</v>
      </c>
      <c r="M610" s="21" t="s">
        <v>2272</v>
      </c>
      <c r="N610" s="21" t="s">
        <v>2272</v>
      </c>
      <c r="O610" s="21" t="s">
        <v>2272</v>
      </c>
      <c r="P610" s="21" t="s">
        <v>2272</v>
      </c>
      <c r="Q610" s="21" t="s">
        <v>2272</v>
      </c>
      <c r="R610" s="21" t="s">
        <v>2272</v>
      </c>
      <c r="S610" s="21" t="s">
        <v>2272</v>
      </c>
      <c r="T610" s="21" t="s">
        <v>2272</v>
      </c>
      <c r="U610" s="21" t="s">
        <v>2272</v>
      </c>
      <c r="V610" s="21" t="s">
        <v>2272</v>
      </c>
      <c r="W610" s="21" t="s">
        <v>2272</v>
      </c>
      <c r="X610" s="21" t="s">
        <v>2272</v>
      </c>
      <c r="Y610" s="21" t="s">
        <v>2272</v>
      </c>
      <c r="Z610" s="21" t="s">
        <v>2272</v>
      </c>
      <c r="AA610" s="98" t="s">
        <v>2272</v>
      </c>
      <c r="AB610" s="98" t="s">
        <v>2272</v>
      </c>
      <c r="AC610" s="98" t="s">
        <v>2272</v>
      </c>
      <c r="AD610" s="4" t="s">
        <v>5072</v>
      </c>
      <c r="AE610" s="98" t="s">
        <v>2272</v>
      </c>
    </row>
    <row r="611" spans="1:31" ht="41.5" customHeight="1">
      <c r="A611" s="198" t="s">
        <v>5053</v>
      </c>
      <c r="B611" s="198" t="s">
        <v>5062</v>
      </c>
      <c r="C611" s="198" t="s">
        <v>23</v>
      </c>
      <c r="D611" s="198" t="s">
        <v>2799</v>
      </c>
      <c r="E611" s="4" t="s">
        <v>5000</v>
      </c>
      <c r="F611" s="4" t="s">
        <v>2657</v>
      </c>
      <c r="G611" s="4" t="s">
        <v>2657</v>
      </c>
      <c r="H611" s="198" t="s">
        <v>521</v>
      </c>
      <c r="I611" s="198">
        <v>1973</v>
      </c>
      <c r="J611" s="21" t="s">
        <v>2272</v>
      </c>
      <c r="K611" s="21" t="s">
        <v>2272</v>
      </c>
      <c r="L611" s="21" t="s">
        <v>2272</v>
      </c>
      <c r="M611" s="21" t="s">
        <v>2272</v>
      </c>
      <c r="N611" s="21" t="s">
        <v>2272</v>
      </c>
      <c r="O611" s="21" t="s">
        <v>2272</v>
      </c>
      <c r="P611" s="21" t="s">
        <v>2272</v>
      </c>
      <c r="Q611" s="21" t="s">
        <v>2272</v>
      </c>
      <c r="R611" s="21" t="s">
        <v>2272</v>
      </c>
      <c r="S611" s="21" t="s">
        <v>2272</v>
      </c>
      <c r="T611" s="21" t="s">
        <v>2272</v>
      </c>
      <c r="U611" s="21" t="s">
        <v>2272</v>
      </c>
      <c r="V611" s="21" t="s">
        <v>2272</v>
      </c>
      <c r="W611" s="21" t="s">
        <v>2272</v>
      </c>
      <c r="X611" s="21" t="s">
        <v>2272</v>
      </c>
      <c r="Y611" s="21" t="s">
        <v>2272</v>
      </c>
      <c r="Z611" s="21" t="s">
        <v>2272</v>
      </c>
      <c r="AA611" s="198" t="s">
        <v>125</v>
      </c>
      <c r="AB611" s="198" t="s">
        <v>37</v>
      </c>
      <c r="AC611" s="198" t="s">
        <v>2650</v>
      </c>
      <c r="AD611" s="4" t="s">
        <v>5063</v>
      </c>
      <c r="AE611" s="4" t="s">
        <v>5071</v>
      </c>
    </row>
    <row r="612" spans="1:31" ht="41.5" customHeight="1">
      <c r="A612" s="198" t="s">
        <v>5053</v>
      </c>
      <c r="B612" s="198" t="s">
        <v>5064</v>
      </c>
      <c r="C612" s="198" t="s">
        <v>23</v>
      </c>
      <c r="D612" s="198" t="s">
        <v>2799</v>
      </c>
      <c r="E612" s="4" t="s">
        <v>5000</v>
      </c>
      <c r="F612" s="4" t="s">
        <v>2657</v>
      </c>
      <c r="G612" s="4" t="s">
        <v>2657</v>
      </c>
      <c r="H612" s="198" t="s">
        <v>521</v>
      </c>
      <c r="I612" s="198">
        <v>1984</v>
      </c>
      <c r="J612" s="21" t="s">
        <v>2272</v>
      </c>
      <c r="K612" s="21" t="s">
        <v>2272</v>
      </c>
      <c r="L612" s="21" t="s">
        <v>2272</v>
      </c>
      <c r="M612" s="21" t="s">
        <v>2272</v>
      </c>
      <c r="N612" s="21" t="s">
        <v>2272</v>
      </c>
      <c r="O612" s="21" t="s">
        <v>2272</v>
      </c>
      <c r="P612" s="21" t="s">
        <v>2272</v>
      </c>
      <c r="Q612" s="21" t="s">
        <v>2272</v>
      </c>
      <c r="R612" s="21" t="s">
        <v>2272</v>
      </c>
      <c r="S612" s="21" t="s">
        <v>2272</v>
      </c>
      <c r="T612" s="21" t="s">
        <v>2272</v>
      </c>
      <c r="U612" s="21" t="s">
        <v>2272</v>
      </c>
      <c r="V612" s="21" t="s">
        <v>2272</v>
      </c>
      <c r="W612" s="21" t="s">
        <v>2272</v>
      </c>
      <c r="X612" s="21" t="s">
        <v>2272</v>
      </c>
      <c r="Y612" s="21" t="s">
        <v>2272</v>
      </c>
      <c r="Z612" s="21" t="s">
        <v>2272</v>
      </c>
      <c r="AA612" s="198" t="s">
        <v>125</v>
      </c>
      <c r="AB612" s="198" t="s">
        <v>37</v>
      </c>
      <c r="AC612" s="198" t="s">
        <v>2650</v>
      </c>
      <c r="AD612" s="4" t="s">
        <v>5063</v>
      </c>
      <c r="AE612" s="4" t="s">
        <v>5071</v>
      </c>
    </row>
    <row r="613" spans="1:31" ht="41.5" customHeight="1">
      <c r="A613" s="198" t="s">
        <v>5053</v>
      </c>
      <c r="B613" s="198" t="s">
        <v>5065</v>
      </c>
      <c r="C613" s="198" t="s">
        <v>23</v>
      </c>
      <c r="D613" s="198" t="s">
        <v>2799</v>
      </c>
      <c r="E613" s="4" t="s">
        <v>5000</v>
      </c>
      <c r="F613" s="4" t="s">
        <v>2657</v>
      </c>
      <c r="G613" s="4" t="s">
        <v>2657</v>
      </c>
      <c r="H613" s="198" t="s">
        <v>521</v>
      </c>
      <c r="I613" s="198">
        <v>1987</v>
      </c>
      <c r="J613" s="21" t="s">
        <v>2272</v>
      </c>
      <c r="K613" s="21" t="s">
        <v>2272</v>
      </c>
      <c r="L613" s="21" t="s">
        <v>2272</v>
      </c>
      <c r="M613" s="21" t="s">
        <v>2272</v>
      </c>
      <c r="N613" s="21" t="s">
        <v>2272</v>
      </c>
      <c r="O613" s="21" t="s">
        <v>2272</v>
      </c>
      <c r="P613" s="21" t="s">
        <v>2272</v>
      </c>
      <c r="Q613" s="21" t="s">
        <v>2272</v>
      </c>
      <c r="R613" s="21" t="s">
        <v>2272</v>
      </c>
      <c r="S613" s="21" t="s">
        <v>2272</v>
      </c>
      <c r="T613" s="21" t="s">
        <v>2272</v>
      </c>
      <c r="U613" s="21" t="s">
        <v>2272</v>
      </c>
      <c r="V613" s="21" t="s">
        <v>2272</v>
      </c>
      <c r="W613" s="21" t="s">
        <v>2272</v>
      </c>
      <c r="X613" s="21" t="s">
        <v>2272</v>
      </c>
      <c r="Y613" s="21" t="s">
        <v>2272</v>
      </c>
      <c r="Z613" s="21" t="s">
        <v>2272</v>
      </c>
      <c r="AA613" s="198" t="s">
        <v>125</v>
      </c>
      <c r="AB613" s="198" t="s">
        <v>37</v>
      </c>
      <c r="AC613" s="198" t="s">
        <v>2650</v>
      </c>
      <c r="AD613" s="4" t="s">
        <v>5063</v>
      </c>
      <c r="AE613" s="4" t="s">
        <v>5071</v>
      </c>
    </row>
    <row r="614" spans="1:31" ht="41.5" customHeight="1">
      <c r="A614" s="198" t="s">
        <v>5053</v>
      </c>
      <c r="B614" s="198" t="s">
        <v>5066</v>
      </c>
      <c r="C614" s="198" t="s">
        <v>23</v>
      </c>
      <c r="D614" s="198" t="s">
        <v>2799</v>
      </c>
      <c r="E614" s="4" t="s">
        <v>5000</v>
      </c>
      <c r="F614" s="4" t="s">
        <v>2657</v>
      </c>
      <c r="G614" s="4" t="s">
        <v>2657</v>
      </c>
      <c r="H614" s="198" t="s">
        <v>521</v>
      </c>
      <c r="I614" s="198">
        <v>2000</v>
      </c>
      <c r="J614" s="21" t="s">
        <v>2272</v>
      </c>
      <c r="K614" s="21" t="s">
        <v>2272</v>
      </c>
      <c r="L614" s="21" t="s">
        <v>2272</v>
      </c>
      <c r="M614" s="21" t="s">
        <v>2272</v>
      </c>
      <c r="N614" s="21" t="s">
        <v>2272</v>
      </c>
      <c r="O614" s="21" t="s">
        <v>2272</v>
      </c>
      <c r="P614" s="21" t="s">
        <v>2272</v>
      </c>
      <c r="Q614" s="21" t="s">
        <v>2272</v>
      </c>
      <c r="R614" s="21" t="s">
        <v>2272</v>
      </c>
      <c r="S614" s="21" t="s">
        <v>2272</v>
      </c>
      <c r="T614" s="21" t="s">
        <v>2272</v>
      </c>
      <c r="U614" s="21" t="s">
        <v>2272</v>
      </c>
      <c r="V614" s="21" t="s">
        <v>2272</v>
      </c>
      <c r="W614" s="21" t="s">
        <v>2272</v>
      </c>
      <c r="X614" s="21" t="s">
        <v>2272</v>
      </c>
      <c r="Y614" s="21" t="s">
        <v>2272</v>
      </c>
      <c r="Z614" s="21" t="s">
        <v>2272</v>
      </c>
      <c r="AA614" s="198" t="s">
        <v>125</v>
      </c>
      <c r="AB614" s="198" t="s">
        <v>37</v>
      </c>
      <c r="AC614" s="198" t="s">
        <v>2650</v>
      </c>
      <c r="AD614" s="4" t="s">
        <v>5063</v>
      </c>
      <c r="AE614" s="4" t="s">
        <v>5071</v>
      </c>
    </row>
    <row r="615" spans="1:31" ht="41.5" customHeight="1">
      <c r="A615" s="198" t="s">
        <v>5053</v>
      </c>
      <c r="B615" s="198" t="s">
        <v>5067</v>
      </c>
      <c r="C615" s="198" t="s">
        <v>23</v>
      </c>
      <c r="D615" s="198" t="s">
        <v>2799</v>
      </c>
      <c r="E615" s="4" t="s">
        <v>5000</v>
      </c>
      <c r="F615" s="4" t="s">
        <v>2657</v>
      </c>
      <c r="G615" s="4" t="s">
        <v>2657</v>
      </c>
      <c r="H615" s="198" t="s">
        <v>521</v>
      </c>
      <c r="I615" s="198">
        <v>2008</v>
      </c>
      <c r="J615" s="21" t="s">
        <v>2272</v>
      </c>
      <c r="K615" s="21" t="s">
        <v>2272</v>
      </c>
      <c r="L615" s="21" t="s">
        <v>2272</v>
      </c>
      <c r="M615" s="21" t="s">
        <v>2272</v>
      </c>
      <c r="N615" s="21" t="s">
        <v>2272</v>
      </c>
      <c r="O615" s="21" t="s">
        <v>2272</v>
      </c>
      <c r="P615" s="21" t="s">
        <v>2272</v>
      </c>
      <c r="Q615" s="21" t="s">
        <v>2272</v>
      </c>
      <c r="R615" s="21" t="s">
        <v>2272</v>
      </c>
      <c r="S615" s="21" t="s">
        <v>2272</v>
      </c>
      <c r="T615" s="21" t="s">
        <v>2272</v>
      </c>
      <c r="U615" s="21" t="s">
        <v>2272</v>
      </c>
      <c r="V615" s="21" t="s">
        <v>2272</v>
      </c>
      <c r="W615" s="21" t="s">
        <v>2272</v>
      </c>
      <c r="X615" s="21" t="s">
        <v>2272</v>
      </c>
      <c r="Y615" s="21" t="s">
        <v>2272</v>
      </c>
      <c r="Z615" s="21" t="s">
        <v>2272</v>
      </c>
      <c r="AA615" s="198" t="s">
        <v>125</v>
      </c>
      <c r="AB615" s="198" t="s">
        <v>37</v>
      </c>
      <c r="AC615" s="198" t="s">
        <v>2650</v>
      </c>
      <c r="AD615" s="4" t="s">
        <v>5063</v>
      </c>
      <c r="AE615" s="4" t="s">
        <v>5071</v>
      </c>
    </row>
    <row r="616" spans="1:31" ht="41.5" customHeight="1">
      <c r="A616" s="198" t="s">
        <v>5053</v>
      </c>
      <c r="B616" s="198" t="s">
        <v>5068</v>
      </c>
      <c r="C616" s="198" t="s">
        <v>23</v>
      </c>
      <c r="D616" s="198" t="s">
        <v>2799</v>
      </c>
      <c r="E616" s="4" t="s">
        <v>5000</v>
      </c>
      <c r="F616" s="4" t="s">
        <v>2657</v>
      </c>
      <c r="G616" s="4" t="s">
        <v>2657</v>
      </c>
      <c r="H616" s="198" t="s">
        <v>521</v>
      </c>
      <c r="I616" s="198">
        <v>2011</v>
      </c>
      <c r="J616" s="21" t="s">
        <v>2272</v>
      </c>
      <c r="K616" s="21" t="s">
        <v>2272</v>
      </c>
      <c r="L616" s="21" t="s">
        <v>2272</v>
      </c>
      <c r="M616" s="21" t="s">
        <v>2272</v>
      </c>
      <c r="N616" s="21" t="s">
        <v>2272</v>
      </c>
      <c r="O616" s="21" t="s">
        <v>2272</v>
      </c>
      <c r="P616" s="21" t="s">
        <v>2272</v>
      </c>
      <c r="Q616" s="21" t="s">
        <v>2272</v>
      </c>
      <c r="R616" s="21" t="s">
        <v>2272</v>
      </c>
      <c r="S616" s="21" t="s">
        <v>2272</v>
      </c>
      <c r="T616" s="21" t="s">
        <v>2272</v>
      </c>
      <c r="U616" s="21" t="s">
        <v>2272</v>
      </c>
      <c r="V616" s="21" t="s">
        <v>2272</v>
      </c>
      <c r="W616" s="21" t="s">
        <v>2272</v>
      </c>
      <c r="X616" s="21" t="s">
        <v>2272</v>
      </c>
      <c r="Y616" s="21" t="s">
        <v>2272</v>
      </c>
      <c r="Z616" s="21" t="s">
        <v>2272</v>
      </c>
      <c r="AA616" s="198" t="s">
        <v>125</v>
      </c>
      <c r="AB616" s="198" t="s">
        <v>37</v>
      </c>
      <c r="AC616" s="198" t="s">
        <v>2650</v>
      </c>
      <c r="AD616" s="4" t="s">
        <v>5063</v>
      </c>
      <c r="AE616" s="4" t="s">
        <v>5071</v>
      </c>
    </row>
    <row r="617" spans="1:31" ht="41.5" customHeight="1">
      <c r="A617" s="198" t="s">
        <v>5053</v>
      </c>
      <c r="B617" s="198" t="s">
        <v>5069</v>
      </c>
      <c r="C617" s="198" t="s">
        <v>23</v>
      </c>
      <c r="D617" s="198" t="s">
        <v>2799</v>
      </c>
      <c r="E617" s="4" t="s">
        <v>5000</v>
      </c>
      <c r="F617" s="4" t="s">
        <v>2657</v>
      </c>
      <c r="G617" s="4" t="s">
        <v>2657</v>
      </c>
      <c r="H617" s="198" t="s">
        <v>521</v>
      </c>
      <c r="I617" s="198">
        <v>2017</v>
      </c>
      <c r="J617" s="21" t="s">
        <v>2272</v>
      </c>
      <c r="K617" s="21" t="s">
        <v>2272</v>
      </c>
      <c r="L617" s="21" t="s">
        <v>2272</v>
      </c>
      <c r="M617" s="21" t="s">
        <v>2272</v>
      </c>
      <c r="N617" s="21" t="s">
        <v>2272</v>
      </c>
      <c r="O617" s="21" t="s">
        <v>2272</v>
      </c>
      <c r="P617" s="21" t="s">
        <v>2272</v>
      </c>
      <c r="Q617" s="21" t="s">
        <v>2272</v>
      </c>
      <c r="R617" s="21" t="s">
        <v>2272</v>
      </c>
      <c r="S617" s="21" t="s">
        <v>2272</v>
      </c>
      <c r="T617" s="21" t="s">
        <v>2272</v>
      </c>
      <c r="U617" s="21" t="s">
        <v>2272</v>
      </c>
      <c r="V617" s="21" t="s">
        <v>2272</v>
      </c>
      <c r="W617" s="21" t="s">
        <v>2272</v>
      </c>
      <c r="X617" s="21" t="s">
        <v>2272</v>
      </c>
      <c r="Y617" s="21" t="s">
        <v>2272</v>
      </c>
      <c r="Z617" s="21" t="s">
        <v>2272</v>
      </c>
      <c r="AA617" s="198" t="s">
        <v>125</v>
      </c>
      <c r="AB617" s="198" t="s">
        <v>37</v>
      </c>
      <c r="AC617" s="198" t="s">
        <v>2650</v>
      </c>
      <c r="AD617" s="4" t="s">
        <v>5063</v>
      </c>
      <c r="AE617" s="4" t="s">
        <v>5071</v>
      </c>
    </row>
    <row r="618" spans="1:31" ht="41.5" customHeight="1">
      <c r="A618" s="198" t="s">
        <v>5053</v>
      </c>
      <c r="B618" s="198" t="s">
        <v>5070</v>
      </c>
      <c r="C618" s="198" t="s">
        <v>23</v>
      </c>
      <c r="D618" s="198" t="s">
        <v>2342</v>
      </c>
      <c r="E618" s="4" t="s">
        <v>5000</v>
      </c>
      <c r="F618" s="4" t="s">
        <v>2657</v>
      </c>
      <c r="G618" s="4" t="s">
        <v>2657</v>
      </c>
      <c r="H618" s="198" t="s">
        <v>521</v>
      </c>
      <c r="I618" s="198">
        <v>2017</v>
      </c>
      <c r="J618" s="21" t="s">
        <v>2272</v>
      </c>
      <c r="K618" s="21" t="s">
        <v>2272</v>
      </c>
      <c r="L618" s="21" t="s">
        <v>2272</v>
      </c>
      <c r="M618" s="21" t="s">
        <v>2272</v>
      </c>
      <c r="N618" s="21" t="s">
        <v>2272</v>
      </c>
      <c r="O618" s="21" t="s">
        <v>2272</v>
      </c>
      <c r="P618" s="21" t="s">
        <v>2272</v>
      </c>
      <c r="Q618" s="21" t="s">
        <v>2272</v>
      </c>
      <c r="R618" s="21" t="s">
        <v>2272</v>
      </c>
      <c r="S618" s="21" t="s">
        <v>2272</v>
      </c>
      <c r="T618" s="21" t="s">
        <v>2272</v>
      </c>
      <c r="U618" s="21" t="s">
        <v>2272</v>
      </c>
      <c r="V618" s="21" t="s">
        <v>2272</v>
      </c>
      <c r="W618" s="21" t="s">
        <v>2272</v>
      </c>
      <c r="X618" s="21" t="s">
        <v>2272</v>
      </c>
      <c r="Y618" s="21" t="s">
        <v>2272</v>
      </c>
      <c r="Z618" s="21" t="s">
        <v>2272</v>
      </c>
      <c r="AA618" s="98" t="s">
        <v>2272</v>
      </c>
      <c r="AB618" s="98" t="s">
        <v>2272</v>
      </c>
      <c r="AC618" s="98" t="s">
        <v>2272</v>
      </c>
      <c r="AD618" s="4" t="s">
        <v>5072</v>
      </c>
      <c r="AE618" s="4"/>
    </row>
    <row r="619" spans="1:31" ht="41.5" customHeight="1">
      <c r="A619" s="198" t="s">
        <v>924</v>
      </c>
      <c r="B619" s="198" t="s">
        <v>931</v>
      </c>
      <c r="C619" s="198" t="s">
        <v>23</v>
      </c>
      <c r="D619" s="198" t="s">
        <v>141</v>
      </c>
      <c r="E619" s="198" t="s">
        <v>44</v>
      </c>
      <c r="F619" s="4" t="s">
        <v>73</v>
      </c>
      <c r="G619" s="4"/>
      <c r="H619" s="198" t="s">
        <v>521</v>
      </c>
      <c r="I619" s="198"/>
      <c r="J619" s="21" t="s">
        <v>2272</v>
      </c>
      <c r="K619" s="21" t="s">
        <v>2272</v>
      </c>
      <c r="L619" s="21" t="s">
        <v>2272</v>
      </c>
      <c r="M619" s="21" t="s">
        <v>2272</v>
      </c>
      <c r="N619" s="21" t="s">
        <v>2272</v>
      </c>
      <c r="O619" s="21" t="s">
        <v>2272</v>
      </c>
      <c r="P619" s="21" t="s">
        <v>2272</v>
      </c>
      <c r="Q619" s="21" t="s">
        <v>2272</v>
      </c>
      <c r="R619" s="21" t="s">
        <v>2272</v>
      </c>
      <c r="S619" s="21" t="s">
        <v>2272</v>
      </c>
      <c r="T619" s="21" t="s">
        <v>2272</v>
      </c>
      <c r="U619" s="21" t="s">
        <v>2272</v>
      </c>
      <c r="V619" s="21" t="s">
        <v>2272</v>
      </c>
      <c r="W619" s="21" t="s">
        <v>2272</v>
      </c>
      <c r="X619" s="21" t="s">
        <v>2272</v>
      </c>
      <c r="Y619" s="21" t="s">
        <v>2272</v>
      </c>
      <c r="Z619" s="21" t="s">
        <v>2272</v>
      </c>
      <c r="AA619" s="198" t="s">
        <v>2272</v>
      </c>
      <c r="AB619" s="198" t="s">
        <v>2272</v>
      </c>
      <c r="AC619" s="198" t="s">
        <v>2272</v>
      </c>
      <c r="AD619" s="198"/>
      <c r="AE619" s="198"/>
    </row>
    <row r="620" spans="1:31" ht="39.5" customHeight="1">
      <c r="A620" s="198" t="s">
        <v>929</v>
      </c>
      <c r="B620" s="198" t="s">
        <v>932</v>
      </c>
      <c r="C620" s="198" t="s">
        <v>23</v>
      </c>
      <c r="D620" s="198" t="s">
        <v>26</v>
      </c>
      <c r="E620" s="198" t="s">
        <v>128</v>
      </c>
      <c r="F620" s="4" t="s">
        <v>159</v>
      </c>
      <c r="G620" s="4"/>
      <c r="H620" s="198" t="s">
        <v>521</v>
      </c>
      <c r="I620" s="198"/>
      <c r="J620" s="21" t="s">
        <v>2272</v>
      </c>
      <c r="K620" s="21" t="s">
        <v>2272</v>
      </c>
      <c r="L620" s="21" t="s">
        <v>2272</v>
      </c>
      <c r="M620" s="21" t="s">
        <v>2272</v>
      </c>
      <c r="N620" s="21" t="s">
        <v>2272</v>
      </c>
      <c r="O620" s="21" t="s">
        <v>2272</v>
      </c>
      <c r="P620" s="21" t="s">
        <v>2272</v>
      </c>
      <c r="Q620" s="21" t="s">
        <v>2272</v>
      </c>
      <c r="R620" s="21" t="s">
        <v>2272</v>
      </c>
      <c r="S620" s="21" t="s">
        <v>2272</v>
      </c>
      <c r="T620" s="21" t="s">
        <v>2272</v>
      </c>
      <c r="U620" s="21" t="s">
        <v>2272</v>
      </c>
      <c r="V620" s="21" t="s">
        <v>2272</v>
      </c>
      <c r="W620" s="21" t="s">
        <v>2272</v>
      </c>
      <c r="X620" s="21" t="s">
        <v>2272</v>
      </c>
      <c r="Y620" s="21" t="s">
        <v>2272</v>
      </c>
      <c r="Z620" s="21" t="s">
        <v>2272</v>
      </c>
      <c r="AA620" s="198" t="s">
        <v>2272</v>
      </c>
      <c r="AB620" s="198" t="s">
        <v>2272</v>
      </c>
      <c r="AC620" s="198" t="s">
        <v>2272</v>
      </c>
      <c r="AD620" s="198"/>
      <c r="AE620" s="198"/>
    </row>
    <row r="621" spans="1:31" ht="41" customHeight="1">
      <c r="A621" s="198" t="s">
        <v>935</v>
      </c>
      <c r="B621" s="198" t="s">
        <v>939</v>
      </c>
      <c r="C621" s="198" t="s">
        <v>23</v>
      </c>
      <c r="D621" s="198" t="s">
        <v>26</v>
      </c>
      <c r="E621" s="198" t="s">
        <v>128</v>
      </c>
      <c r="F621" s="4" t="s">
        <v>159</v>
      </c>
      <c r="G621" s="4"/>
      <c r="H621" s="198" t="s">
        <v>521</v>
      </c>
      <c r="I621" s="198"/>
      <c r="J621" s="21" t="s">
        <v>2272</v>
      </c>
      <c r="K621" s="21" t="s">
        <v>2272</v>
      </c>
      <c r="L621" s="21" t="s">
        <v>2272</v>
      </c>
      <c r="M621" s="21" t="s">
        <v>2272</v>
      </c>
      <c r="N621" s="21" t="s">
        <v>2272</v>
      </c>
      <c r="O621" s="21" t="s">
        <v>2272</v>
      </c>
      <c r="P621" s="21" t="s">
        <v>2272</v>
      </c>
      <c r="Q621" s="21" t="s">
        <v>2272</v>
      </c>
      <c r="R621" s="21" t="s">
        <v>2272</v>
      </c>
      <c r="S621" s="21" t="s">
        <v>2272</v>
      </c>
      <c r="T621" s="21" t="s">
        <v>2272</v>
      </c>
      <c r="U621" s="21" t="s">
        <v>2272</v>
      </c>
      <c r="V621" s="21" t="s">
        <v>2272</v>
      </c>
      <c r="W621" s="21" t="s">
        <v>2272</v>
      </c>
      <c r="X621" s="21" t="s">
        <v>2272</v>
      </c>
      <c r="Y621" s="21" t="s">
        <v>2272</v>
      </c>
      <c r="Z621" s="21">
        <v>17.5</v>
      </c>
      <c r="AA621" s="198" t="s">
        <v>2272</v>
      </c>
      <c r="AB621" s="198" t="s">
        <v>2272</v>
      </c>
      <c r="AC621" s="198" t="s">
        <v>2272</v>
      </c>
      <c r="AD621" s="198"/>
      <c r="AE621" s="4" t="s">
        <v>2211</v>
      </c>
    </row>
    <row r="622" spans="1:31" ht="52" customHeight="1">
      <c r="A622" s="198" t="s">
        <v>941</v>
      </c>
      <c r="B622" s="198" t="s">
        <v>945</v>
      </c>
      <c r="C622" s="198" t="s">
        <v>23</v>
      </c>
      <c r="D622" s="198" t="s">
        <v>141</v>
      </c>
      <c r="E622" s="198" t="s">
        <v>860</v>
      </c>
      <c r="F622" s="4" t="s">
        <v>73</v>
      </c>
      <c r="G622" s="4"/>
      <c r="H622" s="198" t="s">
        <v>522</v>
      </c>
      <c r="I622" s="198"/>
      <c r="J622" s="21" t="s">
        <v>2272</v>
      </c>
      <c r="K622" s="21" t="s">
        <v>2272</v>
      </c>
      <c r="L622" s="21" t="s">
        <v>2272</v>
      </c>
      <c r="M622" s="21" t="s">
        <v>2272</v>
      </c>
      <c r="N622" s="21" t="s">
        <v>2272</v>
      </c>
      <c r="O622" s="21" t="s">
        <v>2272</v>
      </c>
      <c r="P622" s="21" t="s">
        <v>2272</v>
      </c>
      <c r="Q622" s="21" t="s">
        <v>2272</v>
      </c>
      <c r="R622" s="21" t="s">
        <v>2272</v>
      </c>
      <c r="S622" s="21" t="s">
        <v>2272</v>
      </c>
      <c r="T622" s="21" t="s">
        <v>2272</v>
      </c>
      <c r="U622" s="21" t="s">
        <v>2272</v>
      </c>
      <c r="V622" s="21" t="s">
        <v>2272</v>
      </c>
      <c r="W622" s="21" t="s">
        <v>2272</v>
      </c>
      <c r="X622" s="21" t="s">
        <v>2272</v>
      </c>
      <c r="Y622" s="21" t="s">
        <v>2272</v>
      </c>
      <c r="Z622" s="21" t="s">
        <v>2272</v>
      </c>
      <c r="AA622" s="198" t="s">
        <v>2272</v>
      </c>
      <c r="AB622" s="198" t="s">
        <v>2272</v>
      </c>
      <c r="AC622" s="198" t="s">
        <v>2272</v>
      </c>
      <c r="AD622" s="4" t="s">
        <v>2212</v>
      </c>
      <c r="AE622" s="198"/>
    </row>
    <row r="623" spans="1:31" ht="39.5" customHeight="1">
      <c r="A623" s="198" t="s">
        <v>941</v>
      </c>
      <c r="B623" s="198" t="s">
        <v>947</v>
      </c>
      <c r="C623" s="198" t="s">
        <v>23</v>
      </c>
      <c r="D623" s="198" t="s">
        <v>26</v>
      </c>
      <c r="E623" s="198" t="s">
        <v>128</v>
      </c>
      <c r="F623" s="4" t="s">
        <v>159</v>
      </c>
      <c r="G623" s="4"/>
      <c r="H623" s="198" t="s">
        <v>521</v>
      </c>
      <c r="I623" s="198"/>
      <c r="J623" s="21" t="s">
        <v>2272</v>
      </c>
      <c r="K623" s="21" t="s">
        <v>2272</v>
      </c>
      <c r="L623" s="21" t="s">
        <v>2272</v>
      </c>
      <c r="M623" s="21" t="s">
        <v>2272</v>
      </c>
      <c r="N623" s="21" t="s">
        <v>2272</v>
      </c>
      <c r="O623" s="21" t="s">
        <v>2272</v>
      </c>
      <c r="P623" s="21" t="s">
        <v>2272</v>
      </c>
      <c r="Q623" s="21" t="s">
        <v>2272</v>
      </c>
      <c r="R623" s="21" t="s">
        <v>2272</v>
      </c>
      <c r="S623" s="21" t="s">
        <v>2272</v>
      </c>
      <c r="T623" s="21" t="s">
        <v>2272</v>
      </c>
      <c r="U623" s="21" t="s">
        <v>2272</v>
      </c>
      <c r="V623" s="21" t="s">
        <v>2272</v>
      </c>
      <c r="W623" s="21" t="s">
        <v>2272</v>
      </c>
      <c r="X623" s="21" t="s">
        <v>2272</v>
      </c>
      <c r="Y623" s="21" t="s">
        <v>2272</v>
      </c>
      <c r="Z623" s="21" t="s">
        <v>2272</v>
      </c>
      <c r="AA623" s="198" t="s">
        <v>2272</v>
      </c>
      <c r="AB623" s="198" t="s">
        <v>2272</v>
      </c>
      <c r="AC623" s="198" t="s">
        <v>2272</v>
      </c>
      <c r="AD623" s="4"/>
      <c r="AE623" s="198"/>
    </row>
    <row r="624" spans="1:31" ht="48.5" customHeight="1">
      <c r="A624" s="198" t="s">
        <v>943</v>
      </c>
      <c r="B624" s="198" t="s">
        <v>946</v>
      </c>
      <c r="C624" s="198" t="s">
        <v>23</v>
      </c>
      <c r="D624" s="198" t="s">
        <v>141</v>
      </c>
      <c r="E624" s="198" t="s">
        <v>860</v>
      </c>
      <c r="F624" s="4" t="s">
        <v>73</v>
      </c>
      <c r="G624" s="4"/>
      <c r="H624" s="198" t="s">
        <v>522</v>
      </c>
      <c r="I624" s="198"/>
      <c r="J624" s="21" t="s">
        <v>2272</v>
      </c>
      <c r="K624" s="21" t="s">
        <v>2272</v>
      </c>
      <c r="L624" s="21" t="s">
        <v>2272</v>
      </c>
      <c r="M624" s="21" t="s">
        <v>2272</v>
      </c>
      <c r="N624" s="21" t="s">
        <v>2272</v>
      </c>
      <c r="O624" s="21" t="s">
        <v>2272</v>
      </c>
      <c r="P624" s="21" t="s">
        <v>2272</v>
      </c>
      <c r="Q624" s="21" t="s">
        <v>2272</v>
      </c>
      <c r="R624" s="21" t="s">
        <v>2272</v>
      </c>
      <c r="S624" s="21" t="s">
        <v>2272</v>
      </c>
      <c r="T624" s="21" t="s">
        <v>2272</v>
      </c>
      <c r="U624" s="21" t="s">
        <v>2272</v>
      </c>
      <c r="V624" s="21" t="s">
        <v>2272</v>
      </c>
      <c r="W624" s="21" t="s">
        <v>2272</v>
      </c>
      <c r="X624" s="21" t="s">
        <v>2272</v>
      </c>
      <c r="Y624" s="21" t="s">
        <v>2272</v>
      </c>
      <c r="Z624" s="21" t="s">
        <v>2272</v>
      </c>
      <c r="AA624" s="198" t="s">
        <v>2272</v>
      </c>
      <c r="AB624" s="198" t="s">
        <v>2272</v>
      </c>
      <c r="AC624" s="198" t="s">
        <v>2272</v>
      </c>
      <c r="AD624" s="4" t="s">
        <v>2212</v>
      </c>
      <c r="AE624" s="198"/>
    </row>
    <row r="625" spans="1:31" ht="55" customHeight="1">
      <c r="A625" s="198" t="s">
        <v>943</v>
      </c>
      <c r="B625" s="198" t="s">
        <v>948</v>
      </c>
      <c r="C625" s="198" t="s">
        <v>23</v>
      </c>
      <c r="D625" s="198" t="s">
        <v>26</v>
      </c>
      <c r="E625" s="198" t="s">
        <v>128</v>
      </c>
      <c r="F625" s="4" t="s">
        <v>159</v>
      </c>
      <c r="G625" s="4"/>
      <c r="H625" s="198" t="s">
        <v>521</v>
      </c>
      <c r="I625" s="198"/>
      <c r="J625" s="21" t="s">
        <v>2272</v>
      </c>
      <c r="K625" s="21" t="s">
        <v>2272</v>
      </c>
      <c r="L625" s="21" t="s">
        <v>2272</v>
      </c>
      <c r="M625" s="21" t="s">
        <v>2272</v>
      </c>
      <c r="N625" s="21" t="s">
        <v>2272</v>
      </c>
      <c r="O625" s="21" t="s">
        <v>2272</v>
      </c>
      <c r="P625" s="21" t="s">
        <v>2272</v>
      </c>
      <c r="Q625" s="21" t="s">
        <v>2272</v>
      </c>
      <c r="R625" s="21" t="s">
        <v>2272</v>
      </c>
      <c r="S625" s="21" t="s">
        <v>2272</v>
      </c>
      <c r="T625" s="21" t="s">
        <v>2272</v>
      </c>
      <c r="U625" s="21" t="s">
        <v>2272</v>
      </c>
      <c r="V625" s="21" t="s">
        <v>2272</v>
      </c>
      <c r="W625" s="21" t="s">
        <v>2272</v>
      </c>
      <c r="X625" s="21" t="s">
        <v>2272</v>
      </c>
      <c r="Y625" s="21" t="s">
        <v>2272</v>
      </c>
      <c r="Z625" s="21" t="s">
        <v>2272</v>
      </c>
      <c r="AA625" s="198" t="s">
        <v>2272</v>
      </c>
      <c r="AB625" s="198" t="s">
        <v>2272</v>
      </c>
      <c r="AC625" s="198" t="s">
        <v>2272</v>
      </c>
      <c r="AD625" s="198"/>
      <c r="AE625" s="198"/>
    </row>
    <row r="626" spans="1:31" ht="72" customHeight="1">
      <c r="A626" s="198" t="s">
        <v>951</v>
      </c>
      <c r="B626" s="198" t="s">
        <v>959</v>
      </c>
      <c r="C626" s="198" t="s">
        <v>23</v>
      </c>
      <c r="D626" s="198" t="s">
        <v>26</v>
      </c>
      <c r="E626" s="198" t="s">
        <v>128</v>
      </c>
      <c r="F626" s="4" t="s">
        <v>159</v>
      </c>
      <c r="G626" s="4"/>
      <c r="H626" s="198" t="s">
        <v>521</v>
      </c>
      <c r="I626" s="198"/>
      <c r="J626" s="21" t="s">
        <v>2272</v>
      </c>
      <c r="K626" s="21" t="s">
        <v>2272</v>
      </c>
      <c r="L626" s="21" t="s">
        <v>2272</v>
      </c>
      <c r="M626" s="21" t="s">
        <v>2272</v>
      </c>
      <c r="N626" s="21" t="s">
        <v>2272</v>
      </c>
      <c r="O626" s="21" t="s">
        <v>2272</v>
      </c>
      <c r="P626" s="21" t="s">
        <v>2272</v>
      </c>
      <c r="Q626" s="21" t="s">
        <v>2272</v>
      </c>
      <c r="R626" s="21" t="s">
        <v>2272</v>
      </c>
      <c r="S626" s="21" t="s">
        <v>2272</v>
      </c>
      <c r="T626" s="21" t="s">
        <v>2272</v>
      </c>
      <c r="U626" s="21" t="s">
        <v>2272</v>
      </c>
      <c r="V626" s="21" t="s">
        <v>2272</v>
      </c>
      <c r="W626" s="21" t="s">
        <v>2272</v>
      </c>
      <c r="X626" s="21" t="s">
        <v>2272</v>
      </c>
      <c r="Y626" s="21" t="s">
        <v>2272</v>
      </c>
      <c r="Z626" s="21" t="s">
        <v>2272</v>
      </c>
      <c r="AA626" s="198" t="s">
        <v>423</v>
      </c>
      <c r="AB626" s="198" t="s">
        <v>67</v>
      </c>
      <c r="AC626" s="198" t="s">
        <v>2272</v>
      </c>
      <c r="AD626" s="4" t="s">
        <v>954</v>
      </c>
      <c r="AE626" s="198" t="s">
        <v>715</v>
      </c>
    </row>
    <row r="627" spans="1:31" ht="46.5" customHeight="1">
      <c r="A627" s="198" t="s">
        <v>951</v>
      </c>
      <c r="B627" s="198" t="s">
        <v>960</v>
      </c>
      <c r="C627" s="198" t="s">
        <v>23</v>
      </c>
      <c r="D627" s="198" t="s">
        <v>141</v>
      </c>
      <c r="E627" s="198" t="s">
        <v>44</v>
      </c>
      <c r="F627" s="4" t="s">
        <v>73</v>
      </c>
      <c r="G627" s="4"/>
      <c r="H627" s="198" t="s">
        <v>521</v>
      </c>
      <c r="I627" s="198"/>
      <c r="J627" s="21" t="s">
        <v>2272</v>
      </c>
      <c r="K627" s="21" t="s">
        <v>2272</v>
      </c>
      <c r="L627" s="21" t="s">
        <v>2272</v>
      </c>
      <c r="M627" s="21" t="s">
        <v>2272</v>
      </c>
      <c r="N627" s="21" t="s">
        <v>2272</v>
      </c>
      <c r="O627" s="21" t="s">
        <v>2272</v>
      </c>
      <c r="P627" s="21" t="s">
        <v>2272</v>
      </c>
      <c r="Q627" s="21" t="s">
        <v>2272</v>
      </c>
      <c r="R627" s="21" t="s">
        <v>2272</v>
      </c>
      <c r="S627" s="21" t="s">
        <v>2272</v>
      </c>
      <c r="T627" s="21" t="s">
        <v>2272</v>
      </c>
      <c r="U627" s="21" t="s">
        <v>2272</v>
      </c>
      <c r="V627" s="21" t="s">
        <v>2272</v>
      </c>
      <c r="W627" s="21" t="s">
        <v>2272</v>
      </c>
      <c r="X627" s="21" t="s">
        <v>2272</v>
      </c>
      <c r="Y627" s="21" t="s">
        <v>2272</v>
      </c>
      <c r="Z627" s="21" t="s">
        <v>2272</v>
      </c>
      <c r="AA627" s="198" t="s">
        <v>2272</v>
      </c>
      <c r="AB627" s="198" t="s">
        <v>2272</v>
      </c>
      <c r="AC627" s="198" t="s">
        <v>2272</v>
      </c>
      <c r="AD627" s="4" t="s">
        <v>955</v>
      </c>
      <c r="AE627" s="198"/>
    </row>
    <row r="628" spans="1:31" ht="71.5" customHeight="1">
      <c r="A628" s="198" t="s">
        <v>956</v>
      </c>
      <c r="B628" s="198" t="s">
        <v>961</v>
      </c>
      <c r="C628" s="198" t="s">
        <v>23</v>
      </c>
      <c r="D628" s="198" t="s">
        <v>26</v>
      </c>
      <c r="E628" s="198" t="s">
        <v>128</v>
      </c>
      <c r="F628" s="4" t="s">
        <v>159</v>
      </c>
      <c r="G628" s="4"/>
      <c r="H628" s="198" t="s">
        <v>521</v>
      </c>
      <c r="I628" s="198"/>
      <c r="J628" s="21" t="s">
        <v>2272</v>
      </c>
      <c r="K628" s="21" t="s">
        <v>2272</v>
      </c>
      <c r="L628" s="21" t="s">
        <v>2272</v>
      </c>
      <c r="M628" s="21" t="s">
        <v>2272</v>
      </c>
      <c r="N628" s="21" t="s">
        <v>2272</v>
      </c>
      <c r="O628" s="21" t="s">
        <v>2272</v>
      </c>
      <c r="P628" s="21" t="s">
        <v>2272</v>
      </c>
      <c r="Q628" s="21" t="s">
        <v>2272</v>
      </c>
      <c r="R628" s="21" t="s">
        <v>2272</v>
      </c>
      <c r="S628" s="21" t="s">
        <v>2272</v>
      </c>
      <c r="T628" s="21" t="s">
        <v>2272</v>
      </c>
      <c r="U628" s="21" t="s">
        <v>2272</v>
      </c>
      <c r="V628" s="21" t="s">
        <v>2272</v>
      </c>
      <c r="W628" s="21" t="s">
        <v>2272</v>
      </c>
      <c r="X628" s="21" t="s">
        <v>2272</v>
      </c>
      <c r="Y628" s="21" t="s">
        <v>2272</v>
      </c>
      <c r="Z628" s="21">
        <v>5</v>
      </c>
      <c r="AA628" s="198" t="s">
        <v>2272</v>
      </c>
      <c r="AB628" s="198" t="s">
        <v>2272</v>
      </c>
      <c r="AC628" s="198" t="s">
        <v>2272</v>
      </c>
      <c r="AD628" s="198" t="s">
        <v>965</v>
      </c>
      <c r="AE628" s="4" t="s">
        <v>2218</v>
      </c>
    </row>
    <row r="629" spans="1:31" ht="64.5" customHeight="1">
      <c r="A629" s="198" t="s">
        <v>962</v>
      </c>
      <c r="B629" s="198" t="s">
        <v>966</v>
      </c>
      <c r="C629" s="198" t="s">
        <v>23</v>
      </c>
      <c r="D629" s="198" t="s">
        <v>26</v>
      </c>
      <c r="E629" s="198" t="s">
        <v>128</v>
      </c>
      <c r="F629" s="4" t="s">
        <v>159</v>
      </c>
      <c r="G629" s="4"/>
      <c r="H629" s="198" t="s">
        <v>521</v>
      </c>
      <c r="I629" s="198"/>
      <c r="J629" s="21" t="s">
        <v>2272</v>
      </c>
      <c r="K629" s="21" t="s">
        <v>2272</v>
      </c>
      <c r="L629" s="21" t="s">
        <v>2272</v>
      </c>
      <c r="M629" s="21" t="s">
        <v>2272</v>
      </c>
      <c r="N629" s="21" t="s">
        <v>2272</v>
      </c>
      <c r="O629" s="21" t="s">
        <v>2272</v>
      </c>
      <c r="P629" s="21" t="s">
        <v>2272</v>
      </c>
      <c r="Q629" s="21" t="s">
        <v>2272</v>
      </c>
      <c r="R629" s="21" t="s">
        <v>2272</v>
      </c>
      <c r="S629" s="21" t="s">
        <v>2272</v>
      </c>
      <c r="T629" s="21" t="s">
        <v>2272</v>
      </c>
      <c r="U629" s="21" t="s">
        <v>2272</v>
      </c>
      <c r="V629" s="21" t="s">
        <v>2272</v>
      </c>
      <c r="W629" s="21" t="s">
        <v>2272</v>
      </c>
      <c r="X629" s="21" t="s">
        <v>2272</v>
      </c>
      <c r="Y629" s="21" t="s">
        <v>2272</v>
      </c>
      <c r="Z629" s="21">
        <v>4.8</v>
      </c>
      <c r="AA629" s="198" t="s">
        <v>2272</v>
      </c>
      <c r="AB629" s="198" t="s">
        <v>2272</v>
      </c>
      <c r="AC629" s="198" t="s">
        <v>2272</v>
      </c>
      <c r="AD629" s="198" t="s">
        <v>965</v>
      </c>
      <c r="AE629" s="4" t="s">
        <v>2219</v>
      </c>
    </row>
    <row r="630" spans="1:31" ht="70" customHeight="1">
      <c r="A630" s="198" t="s">
        <v>963</v>
      </c>
      <c r="B630" s="198" t="s">
        <v>967</v>
      </c>
      <c r="C630" s="198" t="s">
        <v>23</v>
      </c>
      <c r="D630" s="198" t="s">
        <v>26</v>
      </c>
      <c r="E630" s="198" t="s">
        <v>128</v>
      </c>
      <c r="F630" s="4" t="s">
        <v>159</v>
      </c>
      <c r="G630" s="4"/>
      <c r="H630" s="198" t="s">
        <v>521</v>
      </c>
      <c r="I630" s="198"/>
      <c r="J630" s="21" t="s">
        <v>2272</v>
      </c>
      <c r="K630" s="21" t="s">
        <v>2272</v>
      </c>
      <c r="L630" s="21" t="s">
        <v>2272</v>
      </c>
      <c r="M630" s="21" t="s">
        <v>2272</v>
      </c>
      <c r="N630" s="21" t="s">
        <v>2272</v>
      </c>
      <c r="O630" s="21" t="s">
        <v>2272</v>
      </c>
      <c r="P630" s="21" t="s">
        <v>2272</v>
      </c>
      <c r="Q630" s="21" t="s">
        <v>2272</v>
      </c>
      <c r="R630" s="21" t="s">
        <v>2272</v>
      </c>
      <c r="S630" s="21" t="s">
        <v>2272</v>
      </c>
      <c r="T630" s="21" t="s">
        <v>2272</v>
      </c>
      <c r="U630" s="21" t="s">
        <v>2272</v>
      </c>
      <c r="V630" s="21" t="s">
        <v>2272</v>
      </c>
      <c r="W630" s="21" t="s">
        <v>2272</v>
      </c>
      <c r="X630" s="21" t="s">
        <v>2272</v>
      </c>
      <c r="Y630" s="21" t="s">
        <v>2272</v>
      </c>
      <c r="Z630" s="21">
        <v>5.8</v>
      </c>
      <c r="AA630" s="198" t="s">
        <v>2272</v>
      </c>
      <c r="AB630" s="198" t="s">
        <v>2272</v>
      </c>
      <c r="AC630" s="198" t="s">
        <v>2272</v>
      </c>
      <c r="AD630" s="198" t="s">
        <v>965</v>
      </c>
      <c r="AE630" s="4" t="s">
        <v>2219</v>
      </c>
    </row>
    <row r="631" spans="1:31" ht="68.5" customHeight="1">
      <c r="A631" s="198" t="s">
        <v>972</v>
      </c>
      <c r="B631" s="198" t="s">
        <v>973</v>
      </c>
      <c r="C631" s="198" t="s">
        <v>23</v>
      </c>
      <c r="D631" s="198" t="s">
        <v>26</v>
      </c>
      <c r="E631" s="198" t="s">
        <v>128</v>
      </c>
      <c r="F631" s="4" t="s">
        <v>159</v>
      </c>
      <c r="G631" s="4"/>
      <c r="H631" s="198" t="s">
        <v>521</v>
      </c>
      <c r="I631" s="198"/>
      <c r="J631" s="21" t="s">
        <v>2272</v>
      </c>
      <c r="K631" s="21" t="s">
        <v>2272</v>
      </c>
      <c r="L631" s="21" t="s">
        <v>2272</v>
      </c>
      <c r="M631" s="21" t="s">
        <v>2272</v>
      </c>
      <c r="N631" s="21" t="s">
        <v>2272</v>
      </c>
      <c r="O631" s="21" t="s">
        <v>2272</v>
      </c>
      <c r="P631" s="21" t="s">
        <v>2272</v>
      </c>
      <c r="Q631" s="21" t="s">
        <v>2272</v>
      </c>
      <c r="R631" s="21" t="s">
        <v>2272</v>
      </c>
      <c r="S631" s="21" t="s">
        <v>2272</v>
      </c>
      <c r="T631" s="21" t="s">
        <v>2272</v>
      </c>
      <c r="U631" s="21" t="s">
        <v>2272</v>
      </c>
      <c r="V631" s="21" t="s">
        <v>2272</v>
      </c>
      <c r="W631" s="21" t="s">
        <v>2272</v>
      </c>
      <c r="X631" s="21" t="s">
        <v>2272</v>
      </c>
      <c r="Y631" s="21" t="s">
        <v>2272</v>
      </c>
      <c r="Z631" s="21">
        <v>5</v>
      </c>
      <c r="AA631" s="198" t="s">
        <v>2272</v>
      </c>
      <c r="AB631" s="198" t="s">
        <v>2272</v>
      </c>
      <c r="AC631" s="198" t="s">
        <v>2272</v>
      </c>
      <c r="AD631" s="198"/>
      <c r="AE631" s="4" t="s">
        <v>2221</v>
      </c>
    </row>
    <row r="632" spans="1:31" ht="38.5" customHeight="1">
      <c r="A632" s="198" t="s">
        <v>974</v>
      </c>
      <c r="B632" s="198" t="s">
        <v>984</v>
      </c>
      <c r="C632" s="198" t="s">
        <v>23</v>
      </c>
      <c r="D632" s="198" t="s">
        <v>141</v>
      </c>
      <c r="E632" s="4" t="s">
        <v>395</v>
      </c>
      <c r="F632" s="4" t="s">
        <v>73</v>
      </c>
      <c r="G632" s="4"/>
      <c r="H632" s="198" t="s">
        <v>521</v>
      </c>
      <c r="I632" s="198"/>
      <c r="J632" s="21" t="s">
        <v>2272</v>
      </c>
      <c r="K632" s="21" t="s">
        <v>2272</v>
      </c>
      <c r="L632" s="21" t="s">
        <v>2272</v>
      </c>
      <c r="M632" s="21" t="s">
        <v>2272</v>
      </c>
      <c r="N632" s="21" t="s">
        <v>2272</v>
      </c>
      <c r="O632" s="21" t="s">
        <v>2272</v>
      </c>
      <c r="P632" s="21" t="s">
        <v>2272</v>
      </c>
      <c r="Q632" s="21" t="s">
        <v>2272</v>
      </c>
      <c r="R632" s="21" t="s">
        <v>2272</v>
      </c>
      <c r="S632" s="21" t="s">
        <v>2272</v>
      </c>
      <c r="T632" s="21" t="s">
        <v>2272</v>
      </c>
      <c r="U632" s="21" t="s">
        <v>2272</v>
      </c>
      <c r="V632" s="21" t="s">
        <v>2272</v>
      </c>
      <c r="W632" s="21" t="s">
        <v>2272</v>
      </c>
      <c r="X632" s="21" t="s">
        <v>2272</v>
      </c>
      <c r="Y632" s="21" t="s">
        <v>2272</v>
      </c>
      <c r="Z632" s="21" t="s">
        <v>2272</v>
      </c>
      <c r="AA632" s="198" t="s">
        <v>2272</v>
      </c>
      <c r="AB632" s="198" t="s">
        <v>2272</v>
      </c>
      <c r="AC632" s="198" t="s">
        <v>2272</v>
      </c>
      <c r="AD632" s="198"/>
      <c r="AE632" s="198"/>
    </row>
    <row r="633" spans="1:31" ht="36" customHeight="1">
      <c r="A633" s="198" t="s">
        <v>978</v>
      </c>
      <c r="B633" s="198" t="s">
        <v>985</v>
      </c>
      <c r="C633" s="198" t="s">
        <v>23</v>
      </c>
      <c r="D633" s="198" t="s">
        <v>26</v>
      </c>
      <c r="E633" s="198" t="s">
        <v>128</v>
      </c>
      <c r="F633" s="4" t="s">
        <v>159</v>
      </c>
      <c r="G633" s="4"/>
      <c r="H633" s="198" t="s">
        <v>521</v>
      </c>
      <c r="I633" s="198"/>
      <c r="J633" s="21" t="s">
        <v>2272</v>
      </c>
      <c r="K633" s="21" t="s">
        <v>2272</v>
      </c>
      <c r="L633" s="21" t="s">
        <v>2272</v>
      </c>
      <c r="M633" s="21" t="s">
        <v>2272</v>
      </c>
      <c r="N633" s="21" t="s">
        <v>2272</v>
      </c>
      <c r="O633" s="21" t="s">
        <v>2272</v>
      </c>
      <c r="P633" s="21" t="s">
        <v>2272</v>
      </c>
      <c r="Q633" s="21" t="s">
        <v>2272</v>
      </c>
      <c r="R633" s="21" t="s">
        <v>2272</v>
      </c>
      <c r="S633" s="21" t="s">
        <v>2272</v>
      </c>
      <c r="T633" s="21" t="s">
        <v>2272</v>
      </c>
      <c r="U633" s="21" t="s">
        <v>2272</v>
      </c>
      <c r="V633" s="21" t="s">
        <v>2272</v>
      </c>
      <c r="W633" s="21" t="s">
        <v>2272</v>
      </c>
      <c r="X633" s="21" t="s">
        <v>2272</v>
      </c>
      <c r="Y633" s="21" t="s">
        <v>2272</v>
      </c>
      <c r="Z633" s="21" t="s">
        <v>2272</v>
      </c>
      <c r="AA633" s="198" t="s">
        <v>2272</v>
      </c>
      <c r="AB633" s="198" t="s">
        <v>2272</v>
      </c>
      <c r="AC633" s="198" t="s">
        <v>2272</v>
      </c>
      <c r="AD633" s="198"/>
      <c r="AE633" s="198"/>
    </row>
    <row r="634" spans="1:31" ht="34.5" customHeight="1">
      <c r="A634" s="198" t="s">
        <v>986</v>
      </c>
      <c r="B634" s="198" t="s">
        <v>999</v>
      </c>
      <c r="C634" s="198" t="s">
        <v>23</v>
      </c>
      <c r="D634" s="198" t="s">
        <v>26</v>
      </c>
      <c r="E634" s="198" t="s">
        <v>128</v>
      </c>
      <c r="F634" s="4" t="s">
        <v>159</v>
      </c>
      <c r="G634" s="4"/>
      <c r="H634" s="198" t="s">
        <v>521</v>
      </c>
      <c r="I634" s="198"/>
      <c r="J634" s="21" t="s">
        <v>2272</v>
      </c>
      <c r="K634" s="21" t="s">
        <v>2272</v>
      </c>
      <c r="L634" s="21" t="s">
        <v>2272</v>
      </c>
      <c r="M634" s="21" t="s">
        <v>2272</v>
      </c>
      <c r="N634" s="21" t="s">
        <v>2272</v>
      </c>
      <c r="O634" s="21" t="s">
        <v>2272</v>
      </c>
      <c r="P634" s="21" t="s">
        <v>2272</v>
      </c>
      <c r="Q634" s="21" t="s">
        <v>2272</v>
      </c>
      <c r="R634" s="21" t="s">
        <v>2272</v>
      </c>
      <c r="S634" s="21" t="s">
        <v>2272</v>
      </c>
      <c r="T634" s="21" t="s">
        <v>2272</v>
      </c>
      <c r="U634" s="21" t="s">
        <v>2272</v>
      </c>
      <c r="V634" s="21" t="s">
        <v>2272</v>
      </c>
      <c r="W634" s="21" t="s">
        <v>2272</v>
      </c>
      <c r="X634" s="21" t="s">
        <v>2272</v>
      </c>
      <c r="Y634" s="21" t="s">
        <v>2272</v>
      </c>
      <c r="Z634" s="21" t="s">
        <v>2272</v>
      </c>
      <c r="AA634" s="198" t="s">
        <v>2272</v>
      </c>
      <c r="AB634" s="198" t="s">
        <v>2272</v>
      </c>
      <c r="AC634" s="198" t="s">
        <v>2272</v>
      </c>
      <c r="AD634" s="198" t="s">
        <v>1004</v>
      </c>
      <c r="AE634" s="4" t="s">
        <v>715</v>
      </c>
    </row>
    <row r="635" spans="1:31" ht="61" customHeight="1">
      <c r="A635" s="198" t="s">
        <v>986</v>
      </c>
      <c r="B635" s="198" t="s">
        <v>2226</v>
      </c>
      <c r="C635" s="198" t="s">
        <v>23</v>
      </c>
      <c r="D635" s="198" t="s">
        <v>2227</v>
      </c>
      <c r="E635" s="4" t="s">
        <v>394</v>
      </c>
      <c r="F635" s="4" t="s">
        <v>159</v>
      </c>
      <c r="G635" s="4"/>
      <c r="H635" s="198" t="s">
        <v>521</v>
      </c>
      <c r="I635" s="198"/>
      <c r="J635" s="21" t="s">
        <v>2272</v>
      </c>
      <c r="K635" s="21" t="s">
        <v>2272</v>
      </c>
      <c r="L635" s="21" t="s">
        <v>2272</v>
      </c>
      <c r="M635" s="21" t="s">
        <v>2272</v>
      </c>
      <c r="N635" s="21" t="s">
        <v>2272</v>
      </c>
      <c r="O635" s="21" t="s">
        <v>2272</v>
      </c>
      <c r="P635" s="21" t="s">
        <v>2272</v>
      </c>
      <c r="Q635" s="21" t="s">
        <v>2272</v>
      </c>
      <c r="R635" s="21" t="s">
        <v>2272</v>
      </c>
      <c r="S635" s="21" t="s">
        <v>2272</v>
      </c>
      <c r="T635" s="21" t="s">
        <v>2272</v>
      </c>
      <c r="U635" s="21" t="s">
        <v>2272</v>
      </c>
      <c r="V635" s="21" t="s">
        <v>2272</v>
      </c>
      <c r="W635" s="21" t="s">
        <v>2272</v>
      </c>
      <c r="X635" s="21" t="s">
        <v>2272</v>
      </c>
      <c r="Y635" s="21" t="s">
        <v>2272</v>
      </c>
      <c r="Z635" s="21" t="s">
        <v>2272</v>
      </c>
      <c r="AA635" s="198" t="s">
        <v>2272</v>
      </c>
      <c r="AB635" s="198" t="s">
        <v>2272</v>
      </c>
      <c r="AC635" s="198" t="s">
        <v>2272</v>
      </c>
      <c r="AD635" s="4" t="s">
        <v>2228</v>
      </c>
      <c r="AE635" s="4"/>
    </row>
    <row r="636" spans="1:31" ht="65" customHeight="1">
      <c r="A636" s="198" t="s">
        <v>987</v>
      </c>
      <c r="B636" s="198" t="s">
        <v>1000</v>
      </c>
      <c r="C636" s="198" t="s">
        <v>23</v>
      </c>
      <c r="D636" s="198" t="s">
        <v>26</v>
      </c>
      <c r="E636" s="198" t="s">
        <v>128</v>
      </c>
      <c r="F636" s="4" t="s">
        <v>159</v>
      </c>
      <c r="G636" s="4"/>
      <c r="H636" s="198" t="s">
        <v>521</v>
      </c>
      <c r="I636" s="198"/>
      <c r="J636" s="21" t="s">
        <v>2272</v>
      </c>
      <c r="K636" s="21" t="s">
        <v>2272</v>
      </c>
      <c r="L636" s="21" t="s">
        <v>2272</v>
      </c>
      <c r="M636" s="21" t="s">
        <v>2272</v>
      </c>
      <c r="N636" s="21" t="s">
        <v>2272</v>
      </c>
      <c r="O636" s="21" t="s">
        <v>2272</v>
      </c>
      <c r="P636" s="21" t="s">
        <v>2272</v>
      </c>
      <c r="Q636" s="21" t="s">
        <v>2272</v>
      </c>
      <c r="R636" s="21" t="s">
        <v>2272</v>
      </c>
      <c r="S636" s="21" t="s">
        <v>2272</v>
      </c>
      <c r="T636" s="21" t="s">
        <v>2272</v>
      </c>
      <c r="U636" s="21" t="s">
        <v>2272</v>
      </c>
      <c r="V636" s="21" t="s">
        <v>2272</v>
      </c>
      <c r="W636" s="21" t="s">
        <v>2272</v>
      </c>
      <c r="X636" s="21" t="s">
        <v>2272</v>
      </c>
      <c r="Y636" s="21" t="s">
        <v>2272</v>
      </c>
      <c r="Z636" s="21" t="s">
        <v>2272</v>
      </c>
      <c r="AA636" s="198" t="s">
        <v>2272</v>
      </c>
      <c r="AB636" s="198" t="s">
        <v>2272</v>
      </c>
      <c r="AC636" s="198" t="s">
        <v>2272</v>
      </c>
      <c r="AD636" s="198" t="s">
        <v>1004</v>
      </c>
      <c r="AE636" s="4" t="s">
        <v>1005</v>
      </c>
    </row>
    <row r="637" spans="1:31" ht="65" customHeight="1">
      <c r="A637" s="198" t="s">
        <v>987</v>
      </c>
      <c r="B637" s="198" t="s">
        <v>2229</v>
      </c>
      <c r="C637" s="198" t="s">
        <v>23</v>
      </c>
      <c r="D637" s="198" t="s">
        <v>2227</v>
      </c>
      <c r="E637" s="4" t="s">
        <v>394</v>
      </c>
      <c r="F637" s="4" t="s">
        <v>159</v>
      </c>
      <c r="G637" s="4"/>
      <c r="H637" s="198" t="s">
        <v>521</v>
      </c>
      <c r="I637" s="198"/>
      <c r="J637" s="21" t="s">
        <v>2272</v>
      </c>
      <c r="K637" s="21" t="s">
        <v>2272</v>
      </c>
      <c r="L637" s="21" t="s">
        <v>2272</v>
      </c>
      <c r="M637" s="21" t="s">
        <v>2272</v>
      </c>
      <c r="N637" s="21" t="s">
        <v>2272</v>
      </c>
      <c r="O637" s="21" t="s">
        <v>2272</v>
      </c>
      <c r="P637" s="21" t="s">
        <v>2272</v>
      </c>
      <c r="Q637" s="21" t="s">
        <v>2272</v>
      </c>
      <c r="R637" s="21" t="s">
        <v>2272</v>
      </c>
      <c r="S637" s="21" t="s">
        <v>2272</v>
      </c>
      <c r="T637" s="21" t="s">
        <v>2272</v>
      </c>
      <c r="U637" s="21" t="s">
        <v>2272</v>
      </c>
      <c r="V637" s="21" t="s">
        <v>2272</v>
      </c>
      <c r="W637" s="21" t="s">
        <v>2272</v>
      </c>
      <c r="X637" s="21" t="s">
        <v>2272</v>
      </c>
      <c r="Y637" s="21" t="s">
        <v>2272</v>
      </c>
      <c r="Z637" s="21" t="s">
        <v>2272</v>
      </c>
      <c r="AA637" s="198" t="s">
        <v>2272</v>
      </c>
      <c r="AB637" s="198" t="s">
        <v>2272</v>
      </c>
      <c r="AC637" s="198" t="s">
        <v>2272</v>
      </c>
      <c r="AD637" s="4" t="s">
        <v>2233</v>
      </c>
      <c r="AE637" s="4"/>
    </row>
    <row r="638" spans="1:31" ht="60.5" customHeight="1">
      <c r="A638" s="198" t="s">
        <v>988</v>
      </c>
      <c r="B638" s="198" t="s">
        <v>1001</v>
      </c>
      <c r="C638" s="198" t="s">
        <v>23</v>
      </c>
      <c r="D638" s="198" t="s">
        <v>26</v>
      </c>
      <c r="E638" s="198" t="s">
        <v>128</v>
      </c>
      <c r="F638" s="4" t="s">
        <v>159</v>
      </c>
      <c r="G638" s="4"/>
      <c r="H638" s="198" t="s">
        <v>521</v>
      </c>
      <c r="I638" s="198"/>
      <c r="J638" s="21" t="s">
        <v>2272</v>
      </c>
      <c r="K638" s="21" t="s">
        <v>2272</v>
      </c>
      <c r="L638" s="21" t="s">
        <v>2272</v>
      </c>
      <c r="M638" s="21" t="s">
        <v>2272</v>
      </c>
      <c r="N638" s="21" t="s">
        <v>2272</v>
      </c>
      <c r="O638" s="21" t="s">
        <v>2272</v>
      </c>
      <c r="P638" s="21" t="s">
        <v>2272</v>
      </c>
      <c r="Q638" s="21" t="s">
        <v>2272</v>
      </c>
      <c r="R638" s="21" t="s">
        <v>2272</v>
      </c>
      <c r="S638" s="21" t="s">
        <v>2272</v>
      </c>
      <c r="T638" s="21" t="s">
        <v>2272</v>
      </c>
      <c r="U638" s="21" t="s">
        <v>2272</v>
      </c>
      <c r="V638" s="21" t="s">
        <v>2272</v>
      </c>
      <c r="W638" s="21" t="s">
        <v>2272</v>
      </c>
      <c r="X638" s="21" t="s">
        <v>2272</v>
      </c>
      <c r="Y638" s="21" t="s">
        <v>2272</v>
      </c>
      <c r="Z638" s="21" t="s">
        <v>2272</v>
      </c>
      <c r="AA638" s="198" t="s">
        <v>2272</v>
      </c>
      <c r="AB638" s="198" t="s">
        <v>2272</v>
      </c>
      <c r="AC638" s="198" t="s">
        <v>2272</v>
      </c>
      <c r="AD638" s="198" t="s">
        <v>1004</v>
      </c>
      <c r="AE638" s="4" t="s">
        <v>1005</v>
      </c>
    </row>
    <row r="639" spans="1:31" ht="60.5" customHeight="1">
      <c r="A639" s="198" t="s">
        <v>988</v>
      </c>
      <c r="B639" s="198" t="s">
        <v>2230</v>
      </c>
      <c r="C639" s="198" t="s">
        <v>23</v>
      </c>
      <c r="D639" s="198" t="s">
        <v>2227</v>
      </c>
      <c r="E639" s="4" t="s">
        <v>394</v>
      </c>
      <c r="F639" s="4" t="s">
        <v>159</v>
      </c>
      <c r="G639" s="4"/>
      <c r="H639" s="198" t="s">
        <v>521</v>
      </c>
      <c r="I639" s="198"/>
      <c r="J639" s="21" t="s">
        <v>2272</v>
      </c>
      <c r="K639" s="21" t="s">
        <v>2272</v>
      </c>
      <c r="L639" s="21" t="s">
        <v>2272</v>
      </c>
      <c r="M639" s="21" t="s">
        <v>2272</v>
      </c>
      <c r="N639" s="21" t="s">
        <v>2272</v>
      </c>
      <c r="O639" s="21" t="s">
        <v>2272</v>
      </c>
      <c r="P639" s="21" t="s">
        <v>2272</v>
      </c>
      <c r="Q639" s="21" t="s">
        <v>2272</v>
      </c>
      <c r="R639" s="21" t="s">
        <v>2272</v>
      </c>
      <c r="S639" s="21" t="s">
        <v>2272</v>
      </c>
      <c r="T639" s="21" t="s">
        <v>2272</v>
      </c>
      <c r="U639" s="21" t="s">
        <v>2272</v>
      </c>
      <c r="V639" s="21" t="s">
        <v>2272</v>
      </c>
      <c r="W639" s="21" t="s">
        <v>2272</v>
      </c>
      <c r="X639" s="21" t="s">
        <v>2272</v>
      </c>
      <c r="Y639" s="21" t="s">
        <v>2272</v>
      </c>
      <c r="Z639" s="21" t="s">
        <v>2272</v>
      </c>
      <c r="AA639" s="198" t="s">
        <v>2272</v>
      </c>
      <c r="AB639" s="198" t="s">
        <v>2272</v>
      </c>
      <c r="AC639" s="198" t="s">
        <v>2272</v>
      </c>
      <c r="AD639" s="4" t="s">
        <v>2234</v>
      </c>
      <c r="AE639" s="4"/>
    </row>
    <row r="640" spans="1:31" ht="60" customHeight="1">
      <c r="A640" s="198" t="s">
        <v>989</v>
      </c>
      <c r="B640" s="198" t="s">
        <v>1002</v>
      </c>
      <c r="C640" s="198" t="s">
        <v>23</v>
      </c>
      <c r="D640" s="198" t="s">
        <v>26</v>
      </c>
      <c r="E640" s="198" t="s">
        <v>128</v>
      </c>
      <c r="F640" s="4" t="s">
        <v>159</v>
      </c>
      <c r="G640" s="4"/>
      <c r="H640" s="198" t="s">
        <v>521</v>
      </c>
      <c r="I640" s="198"/>
      <c r="J640" s="21" t="s">
        <v>2272</v>
      </c>
      <c r="K640" s="21" t="s">
        <v>2272</v>
      </c>
      <c r="L640" s="21" t="s">
        <v>2272</v>
      </c>
      <c r="M640" s="21" t="s">
        <v>2272</v>
      </c>
      <c r="N640" s="21" t="s">
        <v>2272</v>
      </c>
      <c r="O640" s="21" t="s">
        <v>2272</v>
      </c>
      <c r="P640" s="21" t="s">
        <v>2272</v>
      </c>
      <c r="Q640" s="21" t="s">
        <v>2272</v>
      </c>
      <c r="R640" s="21" t="s">
        <v>2272</v>
      </c>
      <c r="S640" s="21" t="s">
        <v>2272</v>
      </c>
      <c r="T640" s="21" t="s">
        <v>2272</v>
      </c>
      <c r="U640" s="21" t="s">
        <v>2272</v>
      </c>
      <c r="V640" s="21" t="s">
        <v>2272</v>
      </c>
      <c r="W640" s="21" t="s">
        <v>2272</v>
      </c>
      <c r="X640" s="21" t="s">
        <v>2272</v>
      </c>
      <c r="Y640" s="21" t="s">
        <v>2272</v>
      </c>
      <c r="Z640" s="21" t="s">
        <v>2272</v>
      </c>
      <c r="AA640" s="198" t="s">
        <v>2272</v>
      </c>
      <c r="AB640" s="198" t="s">
        <v>2272</v>
      </c>
      <c r="AC640" s="198" t="s">
        <v>2272</v>
      </c>
      <c r="AD640" s="198" t="s">
        <v>1004</v>
      </c>
      <c r="AE640" s="4" t="s">
        <v>1005</v>
      </c>
    </row>
    <row r="641" spans="1:31" ht="60" customHeight="1">
      <c r="A641" s="198" t="s">
        <v>989</v>
      </c>
      <c r="B641" s="198" t="s">
        <v>2231</v>
      </c>
      <c r="C641" s="198" t="s">
        <v>23</v>
      </c>
      <c r="D641" s="198" t="s">
        <v>2227</v>
      </c>
      <c r="E641" s="4" t="s">
        <v>394</v>
      </c>
      <c r="F641" s="4" t="s">
        <v>159</v>
      </c>
      <c r="G641" s="4"/>
      <c r="H641" s="198" t="s">
        <v>521</v>
      </c>
      <c r="I641" s="198"/>
      <c r="J641" s="21" t="s">
        <v>2272</v>
      </c>
      <c r="K641" s="21" t="s">
        <v>2272</v>
      </c>
      <c r="L641" s="21" t="s">
        <v>2272</v>
      </c>
      <c r="M641" s="21" t="s">
        <v>2272</v>
      </c>
      <c r="N641" s="21" t="s">
        <v>2272</v>
      </c>
      <c r="O641" s="21" t="s">
        <v>2272</v>
      </c>
      <c r="P641" s="21" t="s">
        <v>2272</v>
      </c>
      <c r="Q641" s="21" t="s">
        <v>2272</v>
      </c>
      <c r="R641" s="21" t="s">
        <v>2272</v>
      </c>
      <c r="S641" s="21" t="s">
        <v>2272</v>
      </c>
      <c r="T641" s="21" t="s">
        <v>2272</v>
      </c>
      <c r="U641" s="21" t="s">
        <v>2272</v>
      </c>
      <c r="V641" s="21" t="s">
        <v>2272</v>
      </c>
      <c r="W641" s="21" t="s">
        <v>2272</v>
      </c>
      <c r="X641" s="21" t="s">
        <v>2272</v>
      </c>
      <c r="Y641" s="21" t="s">
        <v>2272</v>
      </c>
      <c r="Z641" s="21" t="s">
        <v>2272</v>
      </c>
      <c r="AA641" s="198" t="s">
        <v>2272</v>
      </c>
      <c r="AB641" s="198" t="s">
        <v>2272</v>
      </c>
      <c r="AC641" s="198" t="s">
        <v>2272</v>
      </c>
      <c r="AD641" s="4" t="s">
        <v>2235</v>
      </c>
      <c r="AE641" s="4"/>
    </row>
    <row r="642" spans="1:31" ht="57.5" customHeight="1">
      <c r="A642" s="198" t="s">
        <v>990</v>
      </c>
      <c r="B642" s="198" t="s">
        <v>1003</v>
      </c>
      <c r="C642" s="198" t="s">
        <v>23</v>
      </c>
      <c r="D642" s="198" t="s">
        <v>26</v>
      </c>
      <c r="E642" s="198" t="s">
        <v>128</v>
      </c>
      <c r="F642" s="4" t="s">
        <v>159</v>
      </c>
      <c r="G642" s="4"/>
      <c r="H642" s="198" t="s">
        <v>521</v>
      </c>
      <c r="I642" s="198"/>
      <c r="J642" s="21" t="s">
        <v>2272</v>
      </c>
      <c r="K642" s="21" t="s">
        <v>2272</v>
      </c>
      <c r="L642" s="21" t="s">
        <v>2272</v>
      </c>
      <c r="M642" s="21" t="s">
        <v>2272</v>
      </c>
      <c r="N642" s="21" t="s">
        <v>2272</v>
      </c>
      <c r="O642" s="21" t="s">
        <v>2272</v>
      </c>
      <c r="P642" s="21" t="s">
        <v>2272</v>
      </c>
      <c r="Q642" s="21" t="s">
        <v>2272</v>
      </c>
      <c r="R642" s="21" t="s">
        <v>2272</v>
      </c>
      <c r="S642" s="21" t="s">
        <v>2272</v>
      </c>
      <c r="T642" s="21" t="s">
        <v>2272</v>
      </c>
      <c r="U642" s="21" t="s">
        <v>2272</v>
      </c>
      <c r="V642" s="21" t="s">
        <v>2272</v>
      </c>
      <c r="W642" s="21" t="s">
        <v>2272</v>
      </c>
      <c r="X642" s="21" t="s">
        <v>2272</v>
      </c>
      <c r="Y642" s="21" t="s">
        <v>2272</v>
      </c>
      <c r="Z642" s="21" t="s">
        <v>2272</v>
      </c>
      <c r="AA642" s="198" t="s">
        <v>2272</v>
      </c>
      <c r="AB642" s="198" t="s">
        <v>2272</v>
      </c>
      <c r="AC642" s="198" t="s">
        <v>2272</v>
      </c>
      <c r="AD642" s="198" t="s">
        <v>1004</v>
      </c>
      <c r="AE642" s="4" t="s">
        <v>715</v>
      </c>
    </row>
    <row r="643" spans="1:31" ht="57.5" customHeight="1">
      <c r="A643" s="198" t="s">
        <v>990</v>
      </c>
      <c r="B643" s="198" t="s">
        <v>2232</v>
      </c>
      <c r="C643" s="198" t="s">
        <v>23</v>
      </c>
      <c r="D643" s="198" t="s">
        <v>2227</v>
      </c>
      <c r="E643" s="4" t="s">
        <v>394</v>
      </c>
      <c r="F643" s="4" t="s">
        <v>159</v>
      </c>
      <c r="G643" s="4"/>
      <c r="H643" s="198" t="s">
        <v>521</v>
      </c>
      <c r="I643" s="198"/>
      <c r="J643" s="21" t="s">
        <v>2272</v>
      </c>
      <c r="K643" s="21" t="s">
        <v>2272</v>
      </c>
      <c r="L643" s="21" t="s">
        <v>2272</v>
      </c>
      <c r="M643" s="21" t="s">
        <v>2272</v>
      </c>
      <c r="N643" s="21" t="s">
        <v>2272</v>
      </c>
      <c r="O643" s="21" t="s">
        <v>2272</v>
      </c>
      <c r="P643" s="21" t="s">
        <v>2272</v>
      </c>
      <c r="Q643" s="21" t="s">
        <v>2272</v>
      </c>
      <c r="R643" s="21" t="s">
        <v>2272</v>
      </c>
      <c r="S643" s="21" t="s">
        <v>2272</v>
      </c>
      <c r="T643" s="21" t="s">
        <v>2272</v>
      </c>
      <c r="U643" s="21" t="s">
        <v>2272</v>
      </c>
      <c r="V643" s="21" t="s">
        <v>2272</v>
      </c>
      <c r="W643" s="21" t="s">
        <v>2272</v>
      </c>
      <c r="X643" s="21" t="s">
        <v>2272</v>
      </c>
      <c r="Y643" s="21" t="s">
        <v>2272</v>
      </c>
      <c r="Z643" s="21" t="s">
        <v>2272</v>
      </c>
      <c r="AA643" s="198" t="s">
        <v>2272</v>
      </c>
      <c r="AB643" s="198" t="s">
        <v>2272</v>
      </c>
      <c r="AC643" s="198" t="s">
        <v>2272</v>
      </c>
      <c r="AD643" s="4" t="s">
        <v>2236</v>
      </c>
      <c r="AE643" s="4"/>
    </row>
    <row r="644" spans="1:31" ht="61" customHeight="1">
      <c r="A644" s="198" t="s">
        <v>991</v>
      </c>
      <c r="B644" s="198" t="s">
        <v>1009</v>
      </c>
      <c r="C644" s="198" t="s">
        <v>23</v>
      </c>
      <c r="D644" s="198" t="s">
        <v>26</v>
      </c>
      <c r="E644" s="198" t="s">
        <v>128</v>
      </c>
      <c r="F644" s="4" t="s">
        <v>159</v>
      </c>
      <c r="G644" s="4"/>
      <c r="H644" s="198" t="s">
        <v>521</v>
      </c>
      <c r="I644" s="198"/>
      <c r="J644" s="21" t="s">
        <v>2272</v>
      </c>
      <c r="K644" s="21" t="s">
        <v>2272</v>
      </c>
      <c r="L644" s="21" t="s">
        <v>2272</v>
      </c>
      <c r="M644" s="21" t="s">
        <v>2272</v>
      </c>
      <c r="N644" s="21" t="s">
        <v>2272</v>
      </c>
      <c r="O644" s="21" t="s">
        <v>2272</v>
      </c>
      <c r="P644" s="21" t="s">
        <v>2272</v>
      </c>
      <c r="Q644" s="21" t="s">
        <v>2272</v>
      </c>
      <c r="R644" s="21" t="s">
        <v>2272</v>
      </c>
      <c r="S644" s="21" t="s">
        <v>2272</v>
      </c>
      <c r="T644" s="21" t="s">
        <v>2272</v>
      </c>
      <c r="U644" s="21" t="s">
        <v>2272</v>
      </c>
      <c r="V644" s="21" t="s">
        <v>2272</v>
      </c>
      <c r="W644" s="21" t="s">
        <v>2272</v>
      </c>
      <c r="X644" s="21" t="s">
        <v>2272</v>
      </c>
      <c r="Y644" s="21" t="s">
        <v>2272</v>
      </c>
      <c r="Z644" s="21" t="s">
        <v>2272</v>
      </c>
      <c r="AA644" s="198" t="s">
        <v>2272</v>
      </c>
      <c r="AB644" s="198" t="s">
        <v>2272</v>
      </c>
      <c r="AC644" s="198" t="s">
        <v>2272</v>
      </c>
      <c r="AD644" s="198" t="s">
        <v>1004</v>
      </c>
      <c r="AE644" s="4" t="s">
        <v>2224</v>
      </c>
    </row>
    <row r="645" spans="1:31" ht="71.5" customHeight="1">
      <c r="A645" s="198" t="s">
        <v>993</v>
      </c>
      <c r="B645" s="198" t="s">
        <v>1010</v>
      </c>
      <c r="C645" s="198" t="s">
        <v>23</v>
      </c>
      <c r="D645" s="198" t="s">
        <v>26</v>
      </c>
      <c r="E645" s="198" t="s">
        <v>128</v>
      </c>
      <c r="F645" s="4" t="s">
        <v>159</v>
      </c>
      <c r="G645" s="4"/>
      <c r="H645" s="198" t="s">
        <v>521</v>
      </c>
      <c r="I645" s="198"/>
      <c r="J645" s="21" t="s">
        <v>2272</v>
      </c>
      <c r="K645" s="21" t="s">
        <v>2272</v>
      </c>
      <c r="L645" s="21" t="s">
        <v>2272</v>
      </c>
      <c r="M645" s="21" t="s">
        <v>2272</v>
      </c>
      <c r="N645" s="21" t="s">
        <v>2272</v>
      </c>
      <c r="O645" s="21" t="s">
        <v>2272</v>
      </c>
      <c r="P645" s="21" t="s">
        <v>2272</v>
      </c>
      <c r="Q645" s="21" t="s">
        <v>2272</v>
      </c>
      <c r="R645" s="21" t="s">
        <v>2272</v>
      </c>
      <c r="S645" s="21" t="s">
        <v>2272</v>
      </c>
      <c r="T645" s="21" t="s">
        <v>2272</v>
      </c>
      <c r="U645" s="21" t="s">
        <v>2272</v>
      </c>
      <c r="V645" s="21" t="s">
        <v>2272</v>
      </c>
      <c r="W645" s="21" t="s">
        <v>2272</v>
      </c>
      <c r="X645" s="21" t="s">
        <v>2272</v>
      </c>
      <c r="Y645" s="21" t="s">
        <v>2272</v>
      </c>
      <c r="Z645" s="21" t="s">
        <v>2272</v>
      </c>
      <c r="AA645" s="198" t="s">
        <v>2272</v>
      </c>
      <c r="AB645" s="198" t="s">
        <v>2272</v>
      </c>
      <c r="AC645" s="198" t="s">
        <v>2272</v>
      </c>
      <c r="AD645" s="198" t="s">
        <v>1004</v>
      </c>
      <c r="AE645" s="4" t="s">
        <v>2225</v>
      </c>
    </row>
    <row r="646" spans="1:31" ht="74" customHeight="1">
      <c r="A646" s="198" t="s">
        <v>992</v>
      </c>
      <c r="B646" s="198" t="s">
        <v>1011</v>
      </c>
      <c r="C646" s="198" t="s">
        <v>23</v>
      </c>
      <c r="D646" s="198" t="s">
        <v>26</v>
      </c>
      <c r="E646" s="198" t="s">
        <v>128</v>
      </c>
      <c r="F646" s="4" t="s">
        <v>159</v>
      </c>
      <c r="G646" s="4"/>
      <c r="H646" s="198" t="s">
        <v>521</v>
      </c>
      <c r="I646" s="198"/>
      <c r="J646" s="21" t="s">
        <v>2272</v>
      </c>
      <c r="K646" s="21" t="s">
        <v>2272</v>
      </c>
      <c r="L646" s="21" t="s">
        <v>2272</v>
      </c>
      <c r="M646" s="21" t="s">
        <v>2272</v>
      </c>
      <c r="N646" s="21" t="s">
        <v>2272</v>
      </c>
      <c r="O646" s="21" t="s">
        <v>2272</v>
      </c>
      <c r="P646" s="21" t="s">
        <v>2272</v>
      </c>
      <c r="Q646" s="21" t="s">
        <v>2272</v>
      </c>
      <c r="R646" s="21" t="s">
        <v>2272</v>
      </c>
      <c r="S646" s="21" t="s">
        <v>2272</v>
      </c>
      <c r="T646" s="21" t="s">
        <v>2272</v>
      </c>
      <c r="U646" s="21" t="s">
        <v>2272</v>
      </c>
      <c r="V646" s="21" t="s">
        <v>2272</v>
      </c>
      <c r="W646" s="21" t="s">
        <v>2272</v>
      </c>
      <c r="X646" s="21" t="s">
        <v>2272</v>
      </c>
      <c r="Y646" s="21" t="s">
        <v>2272</v>
      </c>
      <c r="Z646" s="21" t="s">
        <v>2272</v>
      </c>
      <c r="AA646" s="198" t="s">
        <v>2272</v>
      </c>
      <c r="AB646" s="198" t="s">
        <v>2272</v>
      </c>
      <c r="AC646" s="198" t="s">
        <v>2272</v>
      </c>
      <c r="AD646" s="198" t="s">
        <v>1004</v>
      </c>
      <c r="AE646" s="4" t="s">
        <v>2225</v>
      </c>
    </row>
    <row r="647" spans="1:31" ht="74" customHeight="1">
      <c r="A647" s="198" t="s">
        <v>992</v>
      </c>
      <c r="B647" s="198" t="s">
        <v>2237</v>
      </c>
      <c r="C647" s="198" t="s">
        <v>23</v>
      </c>
      <c r="D647" s="198" t="s">
        <v>2227</v>
      </c>
      <c r="E647" s="4" t="s">
        <v>394</v>
      </c>
      <c r="F647" s="4" t="s">
        <v>159</v>
      </c>
      <c r="G647" s="4"/>
      <c r="H647" s="198" t="s">
        <v>521</v>
      </c>
      <c r="I647" s="198"/>
      <c r="J647" s="21" t="s">
        <v>2272</v>
      </c>
      <c r="K647" s="21" t="s">
        <v>2272</v>
      </c>
      <c r="L647" s="21" t="s">
        <v>2272</v>
      </c>
      <c r="M647" s="21" t="s">
        <v>2272</v>
      </c>
      <c r="N647" s="21" t="s">
        <v>2272</v>
      </c>
      <c r="O647" s="21" t="s">
        <v>2272</v>
      </c>
      <c r="P647" s="21" t="s">
        <v>2272</v>
      </c>
      <c r="Q647" s="21" t="s">
        <v>2272</v>
      </c>
      <c r="R647" s="21" t="s">
        <v>2272</v>
      </c>
      <c r="S647" s="21" t="s">
        <v>2272</v>
      </c>
      <c r="T647" s="21" t="s">
        <v>2272</v>
      </c>
      <c r="U647" s="21" t="s">
        <v>2272</v>
      </c>
      <c r="V647" s="21" t="s">
        <v>2272</v>
      </c>
      <c r="W647" s="21" t="s">
        <v>2272</v>
      </c>
      <c r="X647" s="21" t="s">
        <v>2272</v>
      </c>
      <c r="Y647" s="21" t="s">
        <v>2272</v>
      </c>
      <c r="Z647" s="21" t="s">
        <v>2272</v>
      </c>
      <c r="AA647" s="198" t="s">
        <v>2272</v>
      </c>
      <c r="AB647" s="198" t="s">
        <v>2272</v>
      </c>
      <c r="AC647" s="198" t="s">
        <v>2272</v>
      </c>
      <c r="AD647" s="4" t="s">
        <v>2239</v>
      </c>
      <c r="AE647" s="4"/>
    </row>
    <row r="648" spans="1:31" ht="62.5" customHeight="1">
      <c r="A648" s="198" t="s">
        <v>994</v>
      </c>
      <c r="B648" s="198" t="s">
        <v>1012</v>
      </c>
      <c r="C648" s="198" t="s">
        <v>23</v>
      </c>
      <c r="D648" s="198" t="s">
        <v>26</v>
      </c>
      <c r="E648" s="198" t="s">
        <v>128</v>
      </c>
      <c r="F648" s="4" t="s">
        <v>159</v>
      </c>
      <c r="G648" s="4"/>
      <c r="H648" s="198" t="s">
        <v>521</v>
      </c>
      <c r="I648" s="198"/>
      <c r="J648" s="21" t="s">
        <v>2272</v>
      </c>
      <c r="K648" s="21" t="s">
        <v>2272</v>
      </c>
      <c r="L648" s="21" t="s">
        <v>2272</v>
      </c>
      <c r="M648" s="21" t="s">
        <v>2272</v>
      </c>
      <c r="N648" s="21" t="s">
        <v>2272</v>
      </c>
      <c r="O648" s="21" t="s">
        <v>2272</v>
      </c>
      <c r="P648" s="21" t="s">
        <v>2272</v>
      </c>
      <c r="Q648" s="21" t="s">
        <v>2272</v>
      </c>
      <c r="R648" s="21" t="s">
        <v>2272</v>
      </c>
      <c r="S648" s="21" t="s">
        <v>2272</v>
      </c>
      <c r="T648" s="21" t="s">
        <v>2272</v>
      </c>
      <c r="U648" s="21" t="s">
        <v>2272</v>
      </c>
      <c r="V648" s="21" t="s">
        <v>2272</v>
      </c>
      <c r="W648" s="21" t="s">
        <v>2272</v>
      </c>
      <c r="X648" s="21" t="s">
        <v>2272</v>
      </c>
      <c r="Y648" s="21" t="s">
        <v>2272</v>
      </c>
      <c r="Z648" s="21" t="s">
        <v>2272</v>
      </c>
      <c r="AA648" s="198" t="s">
        <v>2272</v>
      </c>
      <c r="AB648" s="198" t="s">
        <v>2272</v>
      </c>
      <c r="AC648" s="198" t="s">
        <v>2272</v>
      </c>
      <c r="AD648" s="198" t="s">
        <v>1004</v>
      </c>
      <c r="AE648" s="4" t="s">
        <v>2224</v>
      </c>
    </row>
    <row r="649" spans="1:31" ht="69" customHeight="1">
      <c r="A649" s="198" t="s">
        <v>994</v>
      </c>
      <c r="B649" s="198" t="s">
        <v>2238</v>
      </c>
      <c r="C649" s="198" t="s">
        <v>23</v>
      </c>
      <c r="D649" s="198" t="s">
        <v>2227</v>
      </c>
      <c r="E649" s="4" t="s">
        <v>394</v>
      </c>
      <c r="F649" s="4" t="s">
        <v>159</v>
      </c>
      <c r="G649" s="4"/>
      <c r="H649" s="198" t="s">
        <v>521</v>
      </c>
      <c r="I649" s="198"/>
      <c r="J649" s="21" t="s">
        <v>2272</v>
      </c>
      <c r="K649" s="21" t="s">
        <v>2272</v>
      </c>
      <c r="L649" s="21" t="s">
        <v>2272</v>
      </c>
      <c r="M649" s="21" t="s">
        <v>2272</v>
      </c>
      <c r="N649" s="21" t="s">
        <v>2272</v>
      </c>
      <c r="O649" s="21" t="s">
        <v>2272</v>
      </c>
      <c r="P649" s="21" t="s">
        <v>2272</v>
      </c>
      <c r="Q649" s="21" t="s">
        <v>2272</v>
      </c>
      <c r="R649" s="21" t="s">
        <v>2272</v>
      </c>
      <c r="S649" s="21" t="s">
        <v>2272</v>
      </c>
      <c r="T649" s="21" t="s">
        <v>2272</v>
      </c>
      <c r="U649" s="21" t="s">
        <v>2272</v>
      </c>
      <c r="V649" s="21" t="s">
        <v>2272</v>
      </c>
      <c r="W649" s="21" t="s">
        <v>2272</v>
      </c>
      <c r="X649" s="21" t="s">
        <v>2272</v>
      </c>
      <c r="Y649" s="21" t="s">
        <v>2272</v>
      </c>
      <c r="Z649" s="21" t="s">
        <v>2272</v>
      </c>
      <c r="AA649" s="198" t="s">
        <v>2272</v>
      </c>
      <c r="AB649" s="198" t="s">
        <v>2272</v>
      </c>
      <c r="AC649" s="198" t="s">
        <v>2272</v>
      </c>
      <c r="AD649" s="4" t="s">
        <v>2236</v>
      </c>
      <c r="AE649" s="4"/>
    </row>
    <row r="650" spans="1:31" ht="70" customHeight="1">
      <c r="A650" s="198" t="s">
        <v>1013</v>
      </c>
      <c r="B650" s="198" t="s">
        <v>1018</v>
      </c>
      <c r="C650" s="198" t="s">
        <v>23</v>
      </c>
      <c r="D650" s="198" t="s">
        <v>26</v>
      </c>
      <c r="E650" s="198" t="s">
        <v>128</v>
      </c>
      <c r="F650" s="4" t="s">
        <v>159</v>
      </c>
      <c r="G650" s="4"/>
      <c r="H650" s="198" t="s">
        <v>521</v>
      </c>
      <c r="I650" s="198"/>
      <c r="J650" s="21" t="s">
        <v>2272</v>
      </c>
      <c r="K650" s="21" t="s">
        <v>2272</v>
      </c>
      <c r="L650" s="21" t="s">
        <v>2272</v>
      </c>
      <c r="M650" s="21" t="s">
        <v>2272</v>
      </c>
      <c r="N650" s="21" t="s">
        <v>2272</v>
      </c>
      <c r="O650" s="21" t="s">
        <v>2272</v>
      </c>
      <c r="P650" s="21" t="s">
        <v>2272</v>
      </c>
      <c r="Q650" s="21" t="s">
        <v>2272</v>
      </c>
      <c r="R650" s="21" t="s">
        <v>2272</v>
      </c>
      <c r="S650" s="21" t="s">
        <v>2272</v>
      </c>
      <c r="T650" s="21" t="s">
        <v>2272</v>
      </c>
      <c r="U650" s="21" t="s">
        <v>2272</v>
      </c>
      <c r="V650" s="21" t="s">
        <v>2272</v>
      </c>
      <c r="W650" s="21" t="s">
        <v>2272</v>
      </c>
      <c r="X650" s="21" t="s">
        <v>2272</v>
      </c>
      <c r="Y650" s="21" t="s">
        <v>2272</v>
      </c>
      <c r="Z650" s="21" t="s">
        <v>2272</v>
      </c>
      <c r="AA650" s="198" t="s">
        <v>2272</v>
      </c>
      <c r="AB650" s="198" t="s">
        <v>2272</v>
      </c>
      <c r="AC650" s="198" t="s">
        <v>2272</v>
      </c>
      <c r="AD650" s="198" t="s">
        <v>1004</v>
      </c>
      <c r="AE650" s="4" t="s">
        <v>2240</v>
      </c>
    </row>
    <row r="651" spans="1:31" ht="67.5" customHeight="1">
      <c r="A651" s="198" t="s">
        <v>1016</v>
      </c>
      <c r="B651" s="198" t="s">
        <v>1019</v>
      </c>
      <c r="C651" s="198" t="s">
        <v>23</v>
      </c>
      <c r="D651" s="198" t="s">
        <v>26</v>
      </c>
      <c r="E651" s="198" t="s">
        <v>128</v>
      </c>
      <c r="F651" s="4" t="s">
        <v>159</v>
      </c>
      <c r="G651" s="4"/>
      <c r="H651" s="198" t="s">
        <v>521</v>
      </c>
      <c r="I651" s="198"/>
      <c r="J651" s="21" t="s">
        <v>2272</v>
      </c>
      <c r="K651" s="21" t="s">
        <v>2272</v>
      </c>
      <c r="L651" s="21" t="s">
        <v>2272</v>
      </c>
      <c r="M651" s="21" t="s">
        <v>2272</v>
      </c>
      <c r="N651" s="21" t="s">
        <v>2272</v>
      </c>
      <c r="O651" s="21" t="s">
        <v>2272</v>
      </c>
      <c r="P651" s="21" t="s">
        <v>2272</v>
      </c>
      <c r="Q651" s="21" t="s">
        <v>2272</v>
      </c>
      <c r="R651" s="21" t="s">
        <v>2272</v>
      </c>
      <c r="S651" s="21" t="s">
        <v>2272</v>
      </c>
      <c r="T651" s="21" t="s">
        <v>2272</v>
      </c>
      <c r="U651" s="21" t="s">
        <v>2272</v>
      </c>
      <c r="V651" s="21" t="s">
        <v>2272</v>
      </c>
      <c r="W651" s="21" t="s">
        <v>2272</v>
      </c>
      <c r="X651" s="21" t="s">
        <v>2272</v>
      </c>
      <c r="Y651" s="21" t="s">
        <v>2272</v>
      </c>
      <c r="Z651" s="21" t="s">
        <v>2272</v>
      </c>
      <c r="AA651" s="198" t="s">
        <v>2272</v>
      </c>
      <c r="AB651" s="198" t="s">
        <v>2272</v>
      </c>
      <c r="AC651" s="198" t="s">
        <v>2272</v>
      </c>
      <c r="AD651" s="198" t="s">
        <v>1004</v>
      </c>
      <c r="AE651" s="4" t="s">
        <v>2240</v>
      </c>
    </row>
    <row r="652" spans="1:31" ht="48.5" customHeight="1">
      <c r="A652" s="198" t="s">
        <v>1020</v>
      </c>
      <c r="B652" s="198" t="s">
        <v>1025</v>
      </c>
      <c r="C652" s="198" t="s">
        <v>23</v>
      </c>
      <c r="D652" s="198" t="s">
        <v>26</v>
      </c>
      <c r="E652" s="198" t="s">
        <v>128</v>
      </c>
      <c r="F652" s="4" t="s">
        <v>159</v>
      </c>
      <c r="G652" s="4"/>
      <c r="H652" s="198" t="s">
        <v>521</v>
      </c>
      <c r="I652" s="198"/>
      <c r="J652" s="21" t="s">
        <v>2272</v>
      </c>
      <c r="K652" s="21" t="s">
        <v>2272</v>
      </c>
      <c r="L652" s="21" t="s">
        <v>2272</v>
      </c>
      <c r="M652" s="21" t="s">
        <v>2272</v>
      </c>
      <c r="N652" s="21" t="s">
        <v>2272</v>
      </c>
      <c r="O652" s="21" t="s">
        <v>2272</v>
      </c>
      <c r="P652" s="21" t="s">
        <v>2272</v>
      </c>
      <c r="Q652" s="21" t="s">
        <v>2272</v>
      </c>
      <c r="R652" s="21" t="s">
        <v>2272</v>
      </c>
      <c r="S652" s="21" t="s">
        <v>2272</v>
      </c>
      <c r="T652" s="21" t="s">
        <v>2272</v>
      </c>
      <c r="U652" s="21" t="s">
        <v>2272</v>
      </c>
      <c r="V652" s="21" t="s">
        <v>2272</v>
      </c>
      <c r="W652" s="21" t="s">
        <v>2272</v>
      </c>
      <c r="X652" s="21" t="s">
        <v>2272</v>
      </c>
      <c r="Y652" s="21" t="s">
        <v>2272</v>
      </c>
      <c r="Z652" s="21" t="s">
        <v>2272</v>
      </c>
      <c r="AA652" s="198" t="s">
        <v>2272</v>
      </c>
      <c r="AB652" s="198" t="s">
        <v>2272</v>
      </c>
      <c r="AC652" s="198" t="s">
        <v>2272</v>
      </c>
      <c r="AD652" s="4" t="s">
        <v>2242</v>
      </c>
      <c r="AE652" s="4" t="s">
        <v>2067</v>
      </c>
    </row>
    <row r="653" spans="1:31" ht="54" customHeight="1">
      <c r="A653" s="198" t="s">
        <v>1021</v>
      </c>
      <c r="B653" s="198" t="s">
        <v>1026</v>
      </c>
      <c r="C653" s="198" t="s">
        <v>23</v>
      </c>
      <c r="D653" s="198" t="s">
        <v>26</v>
      </c>
      <c r="E653" s="198" t="s">
        <v>128</v>
      </c>
      <c r="F653" s="4" t="s">
        <v>159</v>
      </c>
      <c r="G653" s="4"/>
      <c r="H653" s="198" t="s">
        <v>521</v>
      </c>
      <c r="I653" s="198"/>
      <c r="J653" s="21" t="s">
        <v>2272</v>
      </c>
      <c r="K653" s="21" t="s">
        <v>2272</v>
      </c>
      <c r="L653" s="21" t="s">
        <v>2272</v>
      </c>
      <c r="M653" s="21" t="s">
        <v>2272</v>
      </c>
      <c r="N653" s="21" t="s">
        <v>2272</v>
      </c>
      <c r="O653" s="21" t="s">
        <v>2272</v>
      </c>
      <c r="P653" s="21" t="s">
        <v>2272</v>
      </c>
      <c r="Q653" s="21" t="s">
        <v>2272</v>
      </c>
      <c r="R653" s="21" t="s">
        <v>2272</v>
      </c>
      <c r="S653" s="21" t="s">
        <v>2272</v>
      </c>
      <c r="T653" s="21" t="s">
        <v>2272</v>
      </c>
      <c r="U653" s="21" t="s">
        <v>2272</v>
      </c>
      <c r="V653" s="21" t="s">
        <v>2272</v>
      </c>
      <c r="W653" s="21" t="s">
        <v>2272</v>
      </c>
      <c r="X653" s="21" t="s">
        <v>2272</v>
      </c>
      <c r="Y653" s="21" t="s">
        <v>2272</v>
      </c>
      <c r="Z653" s="21" t="s">
        <v>2272</v>
      </c>
      <c r="AA653" s="198" t="s">
        <v>2272</v>
      </c>
      <c r="AB653" s="198" t="s">
        <v>2272</v>
      </c>
      <c r="AC653" s="198" t="s">
        <v>2272</v>
      </c>
      <c r="AD653" s="4" t="s">
        <v>2242</v>
      </c>
      <c r="AE653" s="4" t="s">
        <v>2067</v>
      </c>
    </row>
    <row r="654" spans="1:31" ht="47.5" customHeight="1">
      <c r="A654" s="198" t="s">
        <v>1068</v>
      </c>
      <c r="B654" s="198" t="s">
        <v>1073</v>
      </c>
      <c r="C654" s="198" t="s">
        <v>23</v>
      </c>
      <c r="D654" s="198" t="s">
        <v>26</v>
      </c>
      <c r="E654" s="198" t="s">
        <v>128</v>
      </c>
      <c r="F654" s="4" t="s">
        <v>159</v>
      </c>
      <c r="G654" s="4"/>
      <c r="H654" s="198" t="s">
        <v>522</v>
      </c>
      <c r="I654" s="198"/>
      <c r="J654" s="21">
        <v>0</v>
      </c>
      <c r="K654" s="21">
        <v>0</v>
      </c>
      <c r="L654" s="21">
        <v>0</v>
      </c>
      <c r="M654" s="21">
        <v>0</v>
      </c>
      <c r="N654" s="21">
        <v>0</v>
      </c>
      <c r="O654" s="21">
        <v>0</v>
      </c>
      <c r="P654" s="21">
        <v>0</v>
      </c>
      <c r="Q654" s="21">
        <v>0</v>
      </c>
      <c r="R654" s="21" t="s">
        <v>2272</v>
      </c>
      <c r="S654" s="21" t="s">
        <v>2272</v>
      </c>
      <c r="T654" s="21">
        <v>0</v>
      </c>
      <c r="U654" s="21">
        <v>0</v>
      </c>
      <c r="V654" s="21">
        <v>0</v>
      </c>
      <c r="W654" s="21">
        <v>0</v>
      </c>
      <c r="X654" s="21">
        <v>0</v>
      </c>
      <c r="Y654" s="21">
        <v>0</v>
      </c>
      <c r="Z654" s="21" t="s">
        <v>2272</v>
      </c>
      <c r="AA654" s="198" t="s">
        <v>2272</v>
      </c>
      <c r="AB654" s="198" t="s">
        <v>2272</v>
      </c>
      <c r="AC654" s="198" t="s">
        <v>2272</v>
      </c>
      <c r="AD654" s="198"/>
      <c r="AE654" s="198"/>
    </row>
    <row r="655" spans="1:31" ht="46.5" customHeight="1">
      <c r="A655" s="198" t="s">
        <v>1068</v>
      </c>
      <c r="B655" s="198" t="s">
        <v>1075</v>
      </c>
      <c r="C655" s="198" t="s">
        <v>23</v>
      </c>
      <c r="D655" s="198" t="s">
        <v>141</v>
      </c>
      <c r="E655" s="54" t="s">
        <v>2645</v>
      </c>
      <c r="F655" s="4" t="s">
        <v>73</v>
      </c>
      <c r="G655" s="4"/>
      <c r="H655" s="198" t="s">
        <v>522</v>
      </c>
      <c r="I655" s="198"/>
      <c r="J655" s="21" t="s">
        <v>2272</v>
      </c>
      <c r="K655" s="21" t="s">
        <v>2272</v>
      </c>
      <c r="L655" s="21" t="s">
        <v>2272</v>
      </c>
      <c r="M655" s="21" t="s">
        <v>2272</v>
      </c>
      <c r="N655" s="21" t="s">
        <v>2272</v>
      </c>
      <c r="O655" s="21" t="s">
        <v>2272</v>
      </c>
      <c r="P655" s="21" t="s">
        <v>2272</v>
      </c>
      <c r="Q655" s="21" t="s">
        <v>2272</v>
      </c>
      <c r="R655" s="21" t="s">
        <v>2272</v>
      </c>
      <c r="S655" s="21" t="s">
        <v>2272</v>
      </c>
      <c r="T655" s="21" t="s">
        <v>2272</v>
      </c>
      <c r="U655" s="21" t="s">
        <v>2272</v>
      </c>
      <c r="V655" s="21" t="s">
        <v>2272</v>
      </c>
      <c r="W655" s="21" t="s">
        <v>2272</v>
      </c>
      <c r="X655" s="21" t="s">
        <v>2272</v>
      </c>
      <c r="Y655" s="21" t="s">
        <v>2272</v>
      </c>
      <c r="Z655" s="21" t="s">
        <v>2272</v>
      </c>
      <c r="AA655" s="198" t="s">
        <v>2272</v>
      </c>
      <c r="AB655" s="198" t="s">
        <v>2272</v>
      </c>
      <c r="AC655" s="198" t="s">
        <v>2272</v>
      </c>
      <c r="AD655" s="198"/>
      <c r="AE655" s="4" t="s">
        <v>1076</v>
      </c>
    </row>
    <row r="656" spans="1:31" ht="64" customHeight="1">
      <c r="A656" s="198" t="s">
        <v>1072</v>
      </c>
      <c r="B656" s="198" t="s">
        <v>1074</v>
      </c>
      <c r="C656" s="198" t="s">
        <v>23</v>
      </c>
      <c r="D656" s="198" t="s">
        <v>26</v>
      </c>
      <c r="E656" s="198" t="s">
        <v>128</v>
      </c>
      <c r="F656" s="4" t="s">
        <v>159</v>
      </c>
      <c r="G656" s="4"/>
      <c r="H656" s="198" t="s">
        <v>521</v>
      </c>
      <c r="I656" s="198"/>
      <c r="J656" s="21" t="s">
        <v>2272</v>
      </c>
      <c r="K656" s="21" t="s">
        <v>2272</v>
      </c>
      <c r="L656" s="21" t="s">
        <v>2272</v>
      </c>
      <c r="M656" s="21" t="s">
        <v>2272</v>
      </c>
      <c r="N656" s="21" t="s">
        <v>2272</v>
      </c>
      <c r="O656" s="21" t="s">
        <v>2272</v>
      </c>
      <c r="P656" s="21" t="s">
        <v>2272</v>
      </c>
      <c r="Q656" s="21" t="s">
        <v>2272</v>
      </c>
      <c r="R656" s="21" t="s">
        <v>2272</v>
      </c>
      <c r="S656" s="21" t="s">
        <v>2272</v>
      </c>
      <c r="T656" s="21" t="s">
        <v>2272</v>
      </c>
      <c r="U656" s="21" t="s">
        <v>2272</v>
      </c>
      <c r="V656" s="21" t="s">
        <v>2272</v>
      </c>
      <c r="W656" s="21" t="s">
        <v>2272</v>
      </c>
      <c r="X656" s="21" t="s">
        <v>2272</v>
      </c>
      <c r="Y656" s="21" t="s">
        <v>2272</v>
      </c>
      <c r="Z656" s="21">
        <v>16</v>
      </c>
      <c r="AA656" s="198" t="s">
        <v>187</v>
      </c>
      <c r="AB656" s="198" t="s">
        <v>187</v>
      </c>
      <c r="AC656" s="198" t="s">
        <v>2272</v>
      </c>
      <c r="AD656" s="198" t="s">
        <v>1004</v>
      </c>
      <c r="AE656" s="4" t="s">
        <v>2288</v>
      </c>
    </row>
    <row r="657" spans="1:31" ht="46" customHeight="1">
      <c r="A657" s="198" t="s">
        <v>1072</v>
      </c>
      <c r="B657" s="198" t="s">
        <v>1078</v>
      </c>
      <c r="C657" s="198" t="s">
        <v>23</v>
      </c>
      <c r="D657" s="198" t="s">
        <v>24</v>
      </c>
      <c r="E657" s="198" t="s">
        <v>44</v>
      </c>
      <c r="F657" s="4" t="s">
        <v>159</v>
      </c>
      <c r="G657" s="4"/>
      <c r="H657" s="198" t="s">
        <v>521</v>
      </c>
      <c r="I657" s="198"/>
      <c r="J657" s="21" t="s">
        <v>2272</v>
      </c>
      <c r="K657" s="21" t="s">
        <v>2272</v>
      </c>
      <c r="L657" s="21" t="s">
        <v>2272</v>
      </c>
      <c r="M657" s="21" t="s">
        <v>2272</v>
      </c>
      <c r="N657" s="21" t="s">
        <v>2272</v>
      </c>
      <c r="O657" s="21" t="s">
        <v>2272</v>
      </c>
      <c r="P657" s="21" t="s">
        <v>2272</v>
      </c>
      <c r="Q657" s="21" t="s">
        <v>2272</v>
      </c>
      <c r="R657" s="21" t="s">
        <v>2272</v>
      </c>
      <c r="S657" s="21" t="s">
        <v>2272</v>
      </c>
      <c r="T657" s="21" t="s">
        <v>2272</v>
      </c>
      <c r="U657" s="21" t="s">
        <v>2272</v>
      </c>
      <c r="V657" s="21" t="s">
        <v>2272</v>
      </c>
      <c r="W657" s="21" t="s">
        <v>2272</v>
      </c>
      <c r="X657" s="21" t="s">
        <v>2272</v>
      </c>
      <c r="Y657" s="21" t="s">
        <v>2272</v>
      </c>
      <c r="Z657" s="21" t="s">
        <v>2272</v>
      </c>
      <c r="AA657" s="198" t="s">
        <v>1079</v>
      </c>
      <c r="AB657" s="198" t="s">
        <v>187</v>
      </c>
      <c r="AC657" s="198" t="s">
        <v>2272</v>
      </c>
      <c r="AD657" s="4" t="s">
        <v>2289</v>
      </c>
      <c r="AE657" s="198"/>
    </row>
    <row r="658" spans="1:31" ht="43.5" customHeight="1">
      <c r="A658" s="32" t="s">
        <v>1095</v>
      </c>
      <c r="B658" s="32" t="s">
        <v>1098</v>
      </c>
      <c r="C658" s="32" t="s">
        <v>23</v>
      </c>
      <c r="D658" s="35" t="s">
        <v>24</v>
      </c>
      <c r="E658" s="35" t="s">
        <v>44</v>
      </c>
      <c r="F658" s="163" t="s">
        <v>28</v>
      </c>
      <c r="G658" s="163"/>
      <c r="H658" s="35" t="s">
        <v>521</v>
      </c>
      <c r="I658" s="35"/>
      <c r="J658" s="69" t="s">
        <v>2272</v>
      </c>
      <c r="K658" s="69" t="s">
        <v>2272</v>
      </c>
      <c r="L658" s="69" t="s">
        <v>2272</v>
      </c>
      <c r="M658" s="69" t="s">
        <v>2272</v>
      </c>
      <c r="N658" s="69" t="s">
        <v>2272</v>
      </c>
      <c r="O658" s="69" t="s">
        <v>2272</v>
      </c>
      <c r="P658" s="69" t="s">
        <v>2272</v>
      </c>
      <c r="Q658" s="69" t="s">
        <v>2272</v>
      </c>
      <c r="R658" s="21" t="s">
        <v>2272</v>
      </c>
      <c r="S658" s="21" t="s">
        <v>2272</v>
      </c>
      <c r="T658" s="69" t="s">
        <v>2272</v>
      </c>
      <c r="U658" s="69" t="s">
        <v>2272</v>
      </c>
      <c r="V658" s="69" t="s">
        <v>2272</v>
      </c>
      <c r="W658" s="69" t="s">
        <v>2272</v>
      </c>
      <c r="X658" s="69" t="s">
        <v>2272</v>
      </c>
      <c r="Y658" s="69" t="s">
        <v>2272</v>
      </c>
      <c r="Z658" s="69" t="s">
        <v>2272</v>
      </c>
      <c r="AA658" s="35" t="s">
        <v>186</v>
      </c>
      <c r="AB658" s="35" t="s">
        <v>37</v>
      </c>
      <c r="AC658" s="35" t="s">
        <v>2272</v>
      </c>
      <c r="AD658" s="35"/>
      <c r="AE658" s="35"/>
    </row>
    <row r="659" spans="1:31" ht="44.5" customHeight="1">
      <c r="A659" s="198" t="s">
        <v>1095</v>
      </c>
      <c r="B659" s="198" t="s">
        <v>1099</v>
      </c>
      <c r="C659" s="198" t="s">
        <v>23</v>
      </c>
      <c r="D659" s="198" t="s">
        <v>3475</v>
      </c>
      <c r="E659" s="198" t="s">
        <v>114</v>
      </c>
      <c r="F659" s="4" t="s">
        <v>73</v>
      </c>
      <c r="G659" s="4"/>
      <c r="H659" s="198" t="s">
        <v>521</v>
      </c>
      <c r="I659" s="198"/>
      <c r="J659" s="21" t="s">
        <v>2272</v>
      </c>
      <c r="K659" s="21" t="s">
        <v>2272</v>
      </c>
      <c r="L659" s="21" t="s">
        <v>2272</v>
      </c>
      <c r="M659" s="21" t="s">
        <v>2272</v>
      </c>
      <c r="N659" s="21" t="s">
        <v>2272</v>
      </c>
      <c r="O659" s="21" t="s">
        <v>2272</v>
      </c>
      <c r="P659" s="21" t="s">
        <v>2272</v>
      </c>
      <c r="Q659" s="21" t="s">
        <v>2272</v>
      </c>
      <c r="R659" s="21" t="s">
        <v>2272</v>
      </c>
      <c r="S659" s="21" t="s">
        <v>2272</v>
      </c>
      <c r="T659" s="21" t="s">
        <v>2272</v>
      </c>
      <c r="U659" s="21" t="s">
        <v>2272</v>
      </c>
      <c r="V659" s="21" t="s">
        <v>2272</v>
      </c>
      <c r="W659" s="21" t="s">
        <v>2272</v>
      </c>
      <c r="X659" s="21" t="s">
        <v>2272</v>
      </c>
      <c r="Y659" s="21" t="s">
        <v>2272</v>
      </c>
      <c r="Z659" s="21" t="s">
        <v>2272</v>
      </c>
      <c r="AA659" s="35" t="s">
        <v>186</v>
      </c>
      <c r="AB659" s="35" t="s">
        <v>37</v>
      </c>
      <c r="AC659" s="198" t="s">
        <v>2272</v>
      </c>
      <c r="AD659" s="4" t="s">
        <v>1100</v>
      </c>
      <c r="AE659" s="198"/>
    </row>
    <row r="660" spans="1:31" ht="44.5" customHeight="1">
      <c r="A660" s="198" t="s">
        <v>1095</v>
      </c>
      <c r="B660" s="198" t="s">
        <v>1101</v>
      </c>
      <c r="C660" s="198" t="s">
        <v>23</v>
      </c>
      <c r="D660" s="4" t="s">
        <v>142</v>
      </c>
      <c r="E660" s="4" t="s">
        <v>135</v>
      </c>
      <c r="F660" s="4" t="s">
        <v>73</v>
      </c>
      <c r="G660" s="4"/>
      <c r="H660" s="198" t="s">
        <v>522</v>
      </c>
      <c r="I660" s="198"/>
      <c r="J660" s="21" t="s">
        <v>2272</v>
      </c>
      <c r="K660" s="21" t="s">
        <v>2272</v>
      </c>
      <c r="L660" s="21" t="s">
        <v>2272</v>
      </c>
      <c r="M660" s="21" t="s">
        <v>2272</v>
      </c>
      <c r="N660" s="21" t="s">
        <v>2272</v>
      </c>
      <c r="O660" s="21" t="s">
        <v>2272</v>
      </c>
      <c r="P660" s="21" t="s">
        <v>2272</v>
      </c>
      <c r="Q660" s="21" t="s">
        <v>2272</v>
      </c>
      <c r="R660" s="21" t="s">
        <v>2272</v>
      </c>
      <c r="S660" s="21" t="s">
        <v>2272</v>
      </c>
      <c r="T660" s="21" t="s">
        <v>2272</v>
      </c>
      <c r="U660" s="21" t="s">
        <v>2272</v>
      </c>
      <c r="V660" s="21" t="s">
        <v>2272</v>
      </c>
      <c r="W660" s="21" t="s">
        <v>2272</v>
      </c>
      <c r="X660" s="21" t="s">
        <v>2272</v>
      </c>
      <c r="Y660" s="21" t="s">
        <v>2272</v>
      </c>
      <c r="Z660" s="21" t="s">
        <v>2272</v>
      </c>
      <c r="AA660" s="198" t="s">
        <v>2272</v>
      </c>
      <c r="AB660" s="198" t="s">
        <v>2272</v>
      </c>
      <c r="AC660" s="198" t="s">
        <v>2272</v>
      </c>
      <c r="AD660" s="4"/>
      <c r="AE660" s="198"/>
    </row>
    <row r="661" spans="1:31" ht="66" customHeight="1">
      <c r="A661" s="198" t="s">
        <v>1095</v>
      </c>
      <c r="B661" s="198" t="s">
        <v>1104</v>
      </c>
      <c r="C661" s="198" t="s">
        <v>2651</v>
      </c>
      <c r="D661" s="4" t="s">
        <v>2272</v>
      </c>
      <c r="E661" s="4" t="s">
        <v>2272</v>
      </c>
      <c r="F661" s="4" t="s">
        <v>2272</v>
      </c>
      <c r="G661" s="4" t="s">
        <v>73</v>
      </c>
      <c r="H661" s="198" t="s">
        <v>522</v>
      </c>
      <c r="I661" s="198">
        <v>1992</v>
      </c>
      <c r="J661" s="21" t="s">
        <v>2272</v>
      </c>
      <c r="K661" s="21" t="s">
        <v>2272</v>
      </c>
      <c r="L661" s="21" t="s">
        <v>2272</v>
      </c>
      <c r="M661" s="21" t="s">
        <v>2272</v>
      </c>
      <c r="N661" s="21" t="s">
        <v>2272</v>
      </c>
      <c r="O661" s="21" t="s">
        <v>2272</v>
      </c>
      <c r="P661" s="21" t="s">
        <v>2272</v>
      </c>
      <c r="Q661" s="21" t="s">
        <v>2272</v>
      </c>
      <c r="R661" s="21" t="s">
        <v>2272</v>
      </c>
      <c r="S661" s="21" t="s">
        <v>2272</v>
      </c>
      <c r="T661" s="21" t="s">
        <v>2272</v>
      </c>
      <c r="U661" s="21" t="s">
        <v>2272</v>
      </c>
      <c r="V661" s="21" t="s">
        <v>2272</v>
      </c>
      <c r="W661" s="21" t="s">
        <v>2272</v>
      </c>
      <c r="X661" s="21" t="s">
        <v>2272</v>
      </c>
      <c r="Y661" s="21" t="s">
        <v>2272</v>
      </c>
      <c r="Z661" s="21" t="s">
        <v>2272</v>
      </c>
      <c r="AA661" s="198" t="s">
        <v>2272</v>
      </c>
      <c r="AB661" s="198" t="s">
        <v>2272</v>
      </c>
      <c r="AC661" s="198" t="s">
        <v>2272</v>
      </c>
      <c r="AD661" s="4" t="s">
        <v>1105</v>
      </c>
      <c r="AE661" s="198"/>
    </row>
    <row r="662" spans="1:31" ht="63" customHeight="1">
      <c r="A662" s="198" t="s">
        <v>1095</v>
      </c>
      <c r="B662" s="198" t="s">
        <v>1106</v>
      </c>
      <c r="C662" s="198" t="s">
        <v>2651</v>
      </c>
      <c r="D662" s="4" t="s">
        <v>2272</v>
      </c>
      <c r="E662" s="4" t="s">
        <v>2272</v>
      </c>
      <c r="F662" s="4" t="s">
        <v>2272</v>
      </c>
      <c r="G662" s="4" t="s">
        <v>73</v>
      </c>
      <c r="H662" s="198" t="s">
        <v>522</v>
      </c>
      <c r="I662" s="198">
        <v>1993</v>
      </c>
      <c r="J662" s="21" t="s">
        <v>2272</v>
      </c>
      <c r="K662" s="21" t="s">
        <v>2272</v>
      </c>
      <c r="L662" s="21" t="s">
        <v>2272</v>
      </c>
      <c r="M662" s="21" t="s">
        <v>2272</v>
      </c>
      <c r="N662" s="21" t="s">
        <v>2272</v>
      </c>
      <c r="O662" s="21" t="s">
        <v>2272</v>
      </c>
      <c r="P662" s="21" t="s">
        <v>2272</v>
      </c>
      <c r="Q662" s="21" t="s">
        <v>2272</v>
      </c>
      <c r="R662" s="21" t="s">
        <v>2272</v>
      </c>
      <c r="S662" s="21" t="s">
        <v>2272</v>
      </c>
      <c r="T662" s="21" t="s">
        <v>2272</v>
      </c>
      <c r="U662" s="21" t="s">
        <v>2272</v>
      </c>
      <c r="V662" s="21" t="s">
        <v>2272</v>
      </c>
      <c r="W662" s="21" t="s">
        <v>2272</v>
      </c>
      <c r="X662" s="21" t="s">
        <v>2272</v>
      </c>
      <c r="Y662" s="21" t="s">
        <v>2272</v>
      </c>
      <c r="Z662" s="21" t="s">
        <v>2272</v>
      </c>
      <c r="AA662" s="198" t="s">
        <v>2272</v>
      </c>
      <c r="AB662" s="198" t="s">
        <v>2272</v>
      </c>
      <c r="AC662" s="198" t="s">
        <v>2272</v>
      </c>
      <c r="AD662" s="4" t="s">
        <v>1105</v>
      </c>
      <c r="AE662" s="198"/>
    </row>
    <row r="663" spans="1:31" ht="62" customHeight="1">
      <c r="A663" s="198" t="s">
        <v>1095</v>
      </c>
      <c r="B663" s="198" t="s">
        <v>1107</v>
      </c>
      <c r="C663" s="198" t="s">
        <v>2651</v>
      </c>
      <c r="D663" s="4" t="s">
        <v>2272</v>
      </c>
      <c r="E663" s="4" t="s">
        <v>2272</v>
      </c>
      <c r="F663" s="4" t="s">
        <v>2272</v>
      </c>
      <c r="G663" s="4" t="s">
        <v>73</v>
      </c>
      <c r="H663" s="198" t="s">
        <v>522</v>
      </c>
      <c r="I663" s="198">
        <v>1994</v>
      </c>
      <c r="J663" s="21" t="s">
        <v>2272</v>
      </c>
      <c r="K663" s="21" t="s">
        <v>2272</v>
      </c>
      <c r="L663" s="21" t="s">
        <v>2272</v>
      </c>
      <c r="M663" s="21" t="s">
        <v>2272</v>
      </c>
      <c r="N663" s="21" t="s">
        <v>2272</v>
      </c>
      <c r="O663" s="21" t="s">
        <v>2272</v>
      </c>
      <c r="P663" s="21" t="s">
        <v>2272</v>
      </c>
      <c r="Q663" s="21" t="s">
        <v>2272</v>
      </c>
      <c r="R663" s="21" t="s">
        <v>2272</v>
      </c>
      <c r="S663" s="21" t="s">
        <v>2272</v>
      </c>
      <c r="T663" s="21" t="s">
        <v>2272</v>
      </c>
      <c r="U663" s="21" t="s">
        <v>2272</v>
      </c>
      <c r="V663" s="21" t="s">
        <v>2272</v>
      </c>
      <c r="W663" s="21" t="s">
        <v>2272</v>
      </c>
      <c r="X663" s="21" t="s">
        <v>2272</v>
      </c>
      <c r="Y663" s="21" t="s">
        <v>2272</v>
      </c>
      <c r="Z663" s="21" t="s">
        <v>2272</v>
      </c>
      <c r="AA663" s="198" t="s">
        <v>2272</v>
      </c>
      <c r="AB663" s="198" t="s">
        <v>2272</v>
      </c>
      <c r="AC663" s="198" t="s">
        <v>2272</v>
      </c>
      <c r="AD663" s="4" t="s">
        <v>1105</v>
      </c>
      <c r="AE663" s="198"/>
    </row>
    <row r="664" spans="1:31" ht="64.5" customHeight="1">
      <c r="A664" s="198" t="s">
        <v>1095</v>
      </c>
      <c r="B664" s="198" t="s">
        <v>1108</v>
      </c>
      <c r="C664" s="198" t="s">
        <v>2651</v>
      </c>
      <c r="D664" s="4" t="s">
        <v>2272</v>
      </c>
      <c r="E664" s="4" t="s">
        <v>2272</v>
      </c>
      <c r="F664" s="4" t="s">
        <v>2272</v>
      </c>
      <c r="G664" s="4" t="s">
        <v>73</v>
      </c>
      <c r="H664" s="198" t="s">
        <v>522</v>
      </c>
      <c r="I664" s="198">
        <v>1995</v>
      </c>
      <c r="J664" s="21" t="s">
        <v>2272</v>
      </c>
      <c r="K664" s="21" t="s">
        <v>2272</v>
      </c>
      <c r="L664" s="21" t="s">
        <v>2272</v>
      </c>
      <c r="M664" s="21" t="s">
        <v>2272</v>
      </c>
      <c r="N664" s="21" t="s">
        <v>2272</v>
      </c>
      <c r="O664" s="21" t="s">
        <v>2272</v>
      </c>
      <c r="P664" s="21" t="s">
        <v>2272</v>
      </c>
      <c r="Q664" s="21" t="s">
        <v>2272</v>
      </c>
      <c r="R664" s="21" t="s">
        <v>2272</v>
      </c>
      <c r="S664" s="21" t="s">
        <v>2272</v>
      </c>
      <c r="T664" s="21" t="s">
        <v>2272</v>
      </c>
      <c r="U664" s="21" t="s">
        <v>2272</v>
      </c>
      <c r="V664" s="21" t="s">
        <v>2272</v>
      </c>
      <c r="W664" s="21" t="s">
        <v>2272</v>
      </c>
      <c r="X664" s="21" t="s">
        <v>2272</v>
      </c>
      <c r="Y664" s="21" t="s">
        <v>2272</v>
      </c>
      <c r="Z664" s="21" t="s">
        <v>2272</v>
      </c>
      <c r="AA664" s="198" t="s">
        <v>2272</v>
      </c>
      <c r="AB664" s="198" t="s">
        <v>2272</v>
      </c>
      <c r="AC664" s="198" t="s">
        <v>2272</v>
      </c>
      <c r="AD664" s="4" t="s">
        <v>1105</v>
      </c>
      <c r="AE664" s="198"/>
    </row>
    <row r="665" spans="1:31" ht="65.5" customHeight="1">
      <c r="A665" s="198" t="s">
        <v>1095</v>
      </c>
      <c r="B665" s="198" t="s">
        <v>1109</v>
      </c>
      <c r="C665" s="198" t="s">
        <v>2651</v>
      </c>
      <c r="D665" s="4" t="s">
        <v>2272</v>
      </c>
      <c r="E665" s="4" t="s">
        <v>2272</v>
      </c>
      <c r="F665" s="4" t="s">
        <v>2272</v>
      </c>
      <c r="G665" s="4" t="s">
        <v>73</v>
      </c>
      <c r="H665" s="198" t="s">
        <v>522</v>
      </c>
      <c r="I665" s="198">
        <v>1996</v>
      </c>
      <c r="J665" s="21" t="s">
        <v>2272</v>
      </c>
      <c r="K665" s="21" t="s">
        <v>2272</v>
      </c>
      <c r="L665" s="21" t="s">
        <v>2272</v>
      </c>
      <c r="M665" s="21" t="s">
        <v>2272</v>
      </c>
      <c r="N665" s="21" t="s">
        <v>2272</v>
      </c>
      <c r="O665" s="21" t="s">
        <v>2272</v>
      </c>
      <c r="P665" s="21" t="s">
        <v>2272</v>
      </c>
      <c r="Q665" s="21" t="s">
        <v>2272</v>
      </c>
      <c r="R665" s="21" t="s">
        <v>2272</v>
      </c>
      <c r="S665" s="21" t="s">
        <v>2272</v>
      </c>
      <c r="T665" s="21" t="s">
        <v>2272</v>
      </c>
      <c r="U665" s="21" t="s">
        <v>2272</v>
      </c>
      <c r="V665" s="21" t="s">
        <v>2272</v>
      </c>
      <c r="W665" s="21" t="s">
        <v>2272</v>
      </c>
      <c r="X665" s="21" t="s">
        <v>2272</v>
      </c>
      <c r="Y665" s="21" t="s">
        <v>2272</v>
      </c>
      <c r="Z665" s="21" t="s">
        <v>2272</v>
      </c>
      <c r="AA665" s="198" t="s">
        <v>2272</v>
      </c>
      <c r="AB665" s="198" t="s">
        <v>2272</v>
      </c>
      <c r="AC665" s="198" t="s">
        <v>2272</v>
      </c>
      <c r="AD665" s="4" t="s">
        <v>1105</v>
      </c>
      <c r="AE665" s="198"/>
    </row>
    <row r="666" spans="1:31" ht="64.5" customHeight="1">
      <c r="A666" s="198" t="s">
        <v>1095</v>
      </c>
      <c r="B666" s="198" t="s">
        <v>1110</v>
      </c>
      <c r="C666" s="198" t="s">
        <v>2651</v>
      </c>
      <c r="D666" s="4" t="s">
        <v>2272</v>
      </c>
      <c r="E666" s="4" t="s">
        <v>2272</v>
      </c>
      <c r="F666" s="4" t="s">
        <v>2272</v>
      </c>
      <c r="G666" s="4" t="s">
        <v>73</v>
      </c>
      <c r="H666" s="198" t="s">
        <v>522</v>
      </c>
      <c r="I666" s="198">
        <v>1997</v>
      </c>
      <c r="J666" s="21" t="s">
        <v>2272</v>
      </c>
      <c r="K666" s="21" t="s">
        <v>2272</v>
      </c>
      <c r="L666" s="21" t="s">
        <v>2272</v>
      </c>
      <c r="M666" s="21" t="s">
        <v>2272</v>
      </c>
      <c r="N666" s="21" t="s">
        <v>2272</v>
      </c>
      <c r="O666" s="21" t="s">
        <v>2272</v>
      </c>
      <c r="P666" s="21" t="s">
        <v>2272</v>
      </c>
      <c r="Q666" s="21" t="s">
        <v>2272</v>
      </c>
      <c r="R666" s="21" t="s">
        <v>2272</v>
      </c>
      <c r="S666" s="21" t="s">
        <v>2272</v>
      </c>
      <c r="T666" s="21" t="s">
        <v>2272</v>
      </c>
      <c r="U666" s="21" t="s">
        <v>2272</v>
      </c>
      <c r="V666" s="21" t="s">
        <v>2272</v>
      </c>
      <c r="W666" s="21" t="s">
        <v>2272</v>
      </c>
      <c r="X666" s="21" t="s">
        <v>2272</v>
      </c>
      <c r="Y666" s="21" t="s">
        <v>2272</v>
      </c>
      <c r="Z666" s="21" t="s">
        <v>2272</v>
      </c>
      <c r="AA666" s="198" t="s">
        <v>2272</v>
      </c>
      <c r="AB666" s="198" t="s">
        <v>2272</v>
      </c>
      <c r="AC666" s="198" t="s">
        <v>2272</v>
      </c>
      <c r="AD666" s="4" t="s">
        <v>1105</v>
      </c>
      <c r="AE666" s="198"/>
    </row>
    <row r="667" spans="1:31" ht="63" customHeight="1">
      <c r="A667" s="198" t="s">
        <v>1095</v>
      </c>
      <c r="B667" s="198" t="s">
        <v>1111</v>
      </c>
      <c r="C667" s="198" t="s">
        <v>2651</v>
      </c>
      <c r="D667" s="4" t="s">
        <v>2272</v>
      </c>
      <c r="E667" s="4" t="s">
        <v>2272</v>
      </c>
      <c r="F667" s="4" t="s">
        <v>2272</v>
      </c>
      <c r="G667" s="4" t="s">
        <v>73</v>
      </c>
      <c r="H667" s="198" t="s">
        <v>522</v>
      </c>
      <c r="I667" s="198">
        <v>1998</v>
      </c>
      <c r="J667" s="21" t="s">
        <v>2272</v>
      </c>
      <c r="K667" s="21" t="s">
        <v>2272</v>
      </c>
      <c r="L667" s="21" t="s">
        <v>2272</v>
      </c>
      <c r="M667" s="21" t="s">
        <v>2272</v>
      </c>
      <c r="N667" s="21" t="s">
        <v>2272</v>
      </c>
      <c r="O667" s="21" t="s">
        <v>2272</v>
      </c>
      <c r="P667" s="21" t="s">
        <v>2272</v>
      </c>
      <c r="Q667" s="21" t="s">
        <v>2272</v>
      </c>
      <c r="R667" s="21" t="s">
        <v>2272</v>
      </c>
      <c r="S667" s="21" t="s">
        <v>2272</v>
      </c>
      <c r="T667" s="21" t="s">
        <v>2272</v>
      </c>
      <c r="U667" s="21" t="s">
        <v>2272</v>
      </c>
      <c r="V667" s="21" t="s">
        <v>2272</v>
      </c>
      <c r="W667" s="21" t="s">
        <v>2272</v>
      </c>
      <c r="X667" s="21" t="s">
        <v>2272</v>
      </c>
      <c r="Y667" s="21" t="s">
        <v>2272</v>
      </c>
      <c r="Z667" s="21" t="s">
        <v>2272</v>
      </c>
      <c r="AA667" s="198" t="s">
        <v>2272</v>
      </c>
      <c r="AB667" s="198" t="s">
        <v>2272</v>
      </c>
      <c r="AC667" s="198" t="s">
        <v>2272</v>
      </c>
      <c r="AD667" s="4" t="s">
        <v>1105</v>
      </c>
      <c r="AE667" s="198"/>
    </row>
    <row r="668" spans="1:31" ht="62" customHeight="1">
      <c r="A668" s="198" t="s">
        <v>1095</v>
      </c>
      <c r="B668" s="198" t="s">
        <v>1112</v>
      </c>
      <c r="C668" s="198" t="s">
        <v>2651</v>
      </c>
      <c r="D668" s="4" t="s">
        <v>2272</v>
      </c>
      <c r="E668" s="4" t="s">
        <v>2272</v>
      </c>
      <c r="F668" s="4" t="s">
        <v>2272</v>
      </c>
      <c r="G668" s="4" t="s">
        <v>73</v>
      </c>
      <c r="H668" s="198" t="s">
        <v>522</v>
      </c>
      <c r="I668" s="198">
        <v>1999</v>
      </c>
      <c r="J668" s="21" t="s">
        <v>2272</v>
      </c>
      <c r="K668" s="21" t="s">
        <v>2272</v>
      </c>
      <c r="L668" s="21" t="s">
        <v>2272</v>
      </c>
      <c r="M668" s="21" t="s">
        <v>2272</v>
      </c>
      <c r="N668" s="21" t="s">
        <v>2272</v>
      </c>
      <c r="O668" s="21" t="s">
        <v>2272</v>
      </c>
      <c r="P668" s="21" t="s">
        <v>2272</v>
      </c>
      <c r="Q668" s="21" t="s">
        <v>2272</v>
      </c>
      <c r="R668" s="21" t="s">
        <v>2272</v>
      </c>
      <c r="S668" s="21" t="s">
        <v>2272</v>
      </c>
      <c r="T668" s="21" t="s">
        <v>2272</v>
      </c>
      <c r="U668" s="21" t="s">
        <v>2272</v>
      </c>
      <c r="V668" s="21" t="s">
        <v>2272</v>
      </c>
      <c r="W668" s="21" t="s">
        <v>2272</v>
      </c>
      <c r="X668" s="21" t="s">
        <v>2272</v>
      </c>
      <c r="Y668" s="21" t="s">
        <v>2272</v>
      </c>
      <c r="Z668" s="21" t="s">
        <v>2272</v>
      </c>
      <c r="AA668" s="198" t="s">
        <v>2272</v>
      </c>
      <c r="AB668" s="198" t="s">
        <v>2272</v>
      </c>
      <c r="AC668" s="198" t="s">
        <v>2272</v>
      </c>
      <c r="AD668" s="4" t="s">
        <v>1105</v>
      </c>
      <c r="AE668" s="198"/>
    </row>
    <row r="669" spans="1:31" ht="67" customHeight="1">
      <c r="A669" s="198" t="s">
        <v>1095</v>
      </c>
      <c r="B669" s="198" t="s">
        <v>1113</v>
      </c>
      <c r="C669" s="198" t="s">
        <v>2651</v>
      </c>
      <c r="D669" s="4" t="s">
        <v>2272</v>
      </c>
      <c r="E669" s="4" t="s">
        <v>2272</v>
      </c>
      <c r="F669" s="4" t="s">
        <v>2272</v>
      </c>
      <c r="G669" s="4" t="s">
        <v>73</v>
      </c>
      <c r="H669" s="198" t="s">
        <v>522</v>
      </c>
      <c r="I669" s="198">
        <v>2000</v>
      </c>
      <c r="J669" s="21" t="s">
        <v>2272</v>
      </c>
      <c r="K669" s="21" t="s">
        <v>2272</v>
      </c>
      <c r="L669" s="21" t="s">
        <v>2272</v>
      </c>
      <c r="M669" s="21" t="s">
        <v>2272</v>
      </c>
      <c r="N669" s="21" t="s">
        <v>2272</v>
      </c>
      <c r="O669" s="21" t="s">
        <v>2272</v>
      </c>
      <c r="P669" s="21" t="s">
        <v>2272</v>
      </c>
      <c r="Q669" s="21" t="s">
        <v>2272</v>
      </c>
      <c r="R669" s="21" t="s">
        <v>2272</v>
      </c>
      <c r="S669" s="21" t="s">
        <v>2272</v>
      </c>
      <c r="T669" s="21" t="s">
        <v>2272</v>
      </c>
      <c r="U669" s="21" t="s">
        <v>2272</v>
      </c>
      <c r="V669" s="21" t="s">
        <v>2272</v>
      </c>
      <c r="W669" s="21" t="s">
        <v>2272</v>
      </c>
      <c r="X669" s="21" t="s">
        <v>2272</v>
      </c>
      <c r="Y669" s="21" t="s">
        <v>2272</v>
      </c>
      <c r="Z669" s="21" t="s">
        <v>2272</v>
      </c>
      <c r="AA669" s="198" t="s">
        <v>2272</v>
      </c>
      <c r="AB669" s="198" t="s">
        <v>2272</v>
      </c>
      <c r="AC669" s="198" t="s">
        <v>2272</v>
      </c>
      <c r="AD669" s="4" t="s">
        <v>1105</v>
      </c>
      <c r="AE669" s="198"/>
    </row>
    <row r="670" spans="1:31" ht="93.5" customHeight="1">
      <c r="A670" s="198" t="s">
        <v>1114</v>
      </c>
      <c r="B670" s="198" t="s">
        <v>2327</v>
      </c>
      <c r="C670" s="198" t="s">
        <v>23</v>
      </c>
      <c r="D670" s="4" t="s">
        <v>26</v>
      </c>
      <c r="E670" s="4" t="s">
        <v>128</v>
      </c>
      <c r="F670" s="4" t="s">
        <v>159</v>
      </c>
      <c r="G670" s="4"/>
      <c r="H670" s="198" t="s">
        <v>521</v>
      </c>
      <c r="I670" s="198"/>
      <c r="J670" s="21" t="s">
        <v>2272</v>
      </c>
      <c r="K670" s="21" t="s">
        <v>2272</v>
      </c>
      <c r="L670" s="21" t="s">
        <v>2272</v>
      </c>
      <c r="M670" s="21" t="s">
        <v>2272</v>
      </c>
      <c r="N670" s="21" t="s">
        <v>2272</v>
      </c>
      <c r="O670" s="21" t="s">
        <v>2272</v>
      </c>
      <c r="P670" s="21" t="s">
        <v>2272</v>
      </c>
      <c r="Q670" s="21" t="s">
        <v>2272</v>
      </c>
      <c r="R670" s="21" t="s">
        <v>2272</v>
      </c>
      <c r="S670" s="21" t="s">
        <v>2272</v>
      </c>
      <c r="T670" s="21" t="s">
        <v>2272</v>
      </c>
      <c r="U670" s="21" t="s">
        <v>2272</v>
      </c>
      <c r="V670" s="21" t="s">
        <v>2272</v>
      </c>
      <c r="W670" s="21" t="s">
        <v>2272</v>
      </c>
      <c r="X670" s="21" t="s">
        <v>2272</v>
      </c>
      <c r="Y670" s="21" t="s">
        <v>2272</v>
      </c>
      <c r="Z670" s="21" t="s">
        <v>2272</v>
      </c>
      <c r="AA670" s="198" t="s">
        <v>67</v>
      </c>
      <c r="AB670" s="198" t="s">
        <v>34</v>
      </c>
      <c r="AC670" s="198" t="s">
        <v>2272</v>
      </c>
      <c r="AD670" s="4" t="s">
        <v>2345</v>
      </c>
      <c r="AE670" s="198"/>
    </row>
    <row r="671" spans="1:31" ht="93.5" customHeight="1">
      <c r="A671" s="198" t="s">
        <v>1114</v>
      </c>
      <c r="B671" s="198" t="s">
        <v>2328</v>
      </c>
      <c r="C671" s="198" t="s">
        <v>23</v>
      </c>
      <c r="D671" s="4" t="s">
        <v>141</v>
      </c>
      <c r="E671" s="4" t="s">
        <v>860</v>
      </c>
      <c r="F671" s="4" t="s">
        <v>73</v>
      </c>
      <c r="G671" s="4"/>
      <c r="H671" s="198" t="s">
        <v>521</v>
      </c>
      <c r="I671" s="198"/>
      <c r="J671" s="21" t="s">
        <v>2272</v>
      </c>
      <c r="K671" s="21" t="s">
        <v>2272</v>
      </c>
      <c r="L671" s="21" t="s">
        <v>2272</v>
      </c>
      <c r="M671" s="21" t="s">
        <v>2272</v>
      </c>
      <c r="N671" s="21" t="s">
        <v>2272</v>
      </c>
      <c r="O671" s="21" t="s">
        <v>2272</v>
      </c>
      <c r="P671" s="21" t="s">
        <v>2272</v>
      </c>
      <c r="Q671" s="21" t="s">
        <v>2272</v>
      </c>
      <c r="R671" s="21" t="s">
        <v>2272</v>
      </c>
      <c r="S671" s="21" t="s">
        <v>2272</v>
      </c>
      <c r="T671" s="21" t="s">
        <v>2272</v>
      </c>
      <c r="U671" s="21" t="s">
        <v>2272</v>
      </c>
      <c r="V671" s="21" t="s">
        <v>2272</v>
      </c>
      <c r="W671" s="21" t="s">
        <v>2272</v>
      </c>
      <c r="X671" s="21" t="s">
        <v>2272</v>
      </c>
      <c r="Y671" s="21" t="s">
        <v>2272</v>
      </c>
      <c r="Z671" s="21" t="s">
        <v>2272</v>
      </c>
      <c r="AA671" s="21" t="s">
        <v>2272</v>
      </c>
      <c r="AB671" s="21" t="s">
        <v>2272</v>
      </c>
      <c r="AC671" s="198" t="s">
        <v>2272</v>
      </c>
      <c r="AD671" s="4" t="s">
        <v>2332</v>
      </c>
      <c r="AE671" s="198"/>
    </row>
    <row r="672" spans="1:31" ht="93.5" customHeight="1">
      <c r="A672" s="198" t="s">
        <v>1114</v>
      </c>
      <c r="B672" s="198" t="s">
        <v>2333</v>
      </c>
      <c r="C672" s="198" t="s">
        <v>23</v>
      </c>
      <c r="D672" s="4" t="s">
        <v>60</v>
      </c>
      <c r="E672" s="4" t="s">
        <v>860</v>
      </c>
      <c r="F672" s="4" t="s">
        <v>159</v>
      </c>
      <c r="G672" s="4"/>
      <c r="H672" s="198" t="s">
        <v>521</v>
      </c>
      <c r="I672" s="198"/>
      <c r="J672" s="21" t="s">
        <v>2272</v>
      </c>
      <c r="K672" s="21" t="s">
        <v>2272</v>
      </c>
      <c r="L672" s="21" t="s">
        <v>2272</v>
      </c>
      <c r="M672" s="21" t="s">
        <v>2272</v>
      </c>
      <c r="N672" s="21" t="s">
        <v>2272</v>
      </c>
      <c r="O672" s="21" t="s">
        <v>2272</v>
      </c>
      <c r="P672" s="21" t="s">
        <v>2272</v>
      </c>
      <c r="Q672" s="21" t="s">
        <v>2272</v>
      </c>
      <c r="R672" s="21" t="s">
        <v>2272</v>
      </c>
      <c r="S672" s="21" t="s">
        <v>2272</v>
      </c>
      <c r="T672" s="21" t="s">
        <v>2272</v>
      </c>
      <c r="U672" s="21" t="s">
        <v>2272</v>
      </c>
      <c r="V672" s="21" t="s">
        <v>2272</v>
      </c>
      <c r="W672" s="21" t="s">
        <v>2272</v>
      </c>
      <c r="X672" s="21" t="s">
        <v>2272</v>
      </c>
      <c r="Y672" s="21" t="s">
        <v>2272</v>
      </c>
      <c r="Z672" s="21" t="s">
        <v>2272</v>
      </c>
      <c r="AA672" s="21" t="s">
        <v>2272</v>
      </c>
      <c r="AB672" s="21" t="s">
        <v>2272</v>
      </c>
      <c r="AC672" s="198" t="s">
        <v>2272</v>
      </c>
      <c r="AD672" s="4" t="s">
        <v>2344</v>
      </c>
      <c r="AE672" s="198"/>
    </row>
    <row r="673" spans="1:31" ht="93.5" customHeight="1">
      <c r="A673" s="198" t="s">
        <v>1114</v>
      </c>
      <c r="B673" s="198" t="s">
        <v>2335</v>
      </c>
      <c r="C673" s="198" t="s">
        <v>23</v>
      </c>
      <c r="D673" s="4" t="s">
        <v>1241</v>
      </c>
      <c r="E673" s="4" t="s">
        <v>114</v>
      </c>
      <c r="F673" s="4" t="s">
        <v>73</v>
      </c>
      <c r="G673" s="4"/>
      <c r="H673" s="198" t="s">
        <v>521</v>
      </c>
      <c r="I673" s="198"/>
      <c r="J673" s="21" t="s">
        <v>2272</v>
      </c>
      <c r="K673" s="21" t="s">
        <v>2272</v>
      </c>
      <c r="L673" s="21" t="s">
        <v>2272</v>
      </c>
      <c r="M673" s="21" t="s">
        <v>2272</v>
      </c>
      <c r="N673" s="21" t="s">
        <v>2272</v>
      </c>
      <c r="O673" s="21" t="s">
        <v>2272</v>
      </c>
      <c r="P673" s="21" t="s">
        <v>2272</v>
      </c>
      <c r="Q673" s="21" t="s">
        <v>2272</v>
      </c>
      <c r="R673" s="21" t="s">
        <v>2272</v>
      </c>
      <c r="S673" s="21" t="s">
        <v>2272</v>
      </c>
      <c r="T673" s="21" t="s">
        <v>2272</v>
      </c>
      <c r="U673" s="21" t="s">
        <v>2272</v>
      </c>
      <c r="V673" s="21" t="s">
        <v>2272</v>
      </c>
      <c r="W673" s="21" t="s">
        <v>2272</v>
      </c>
      <c r="X673" s="21" t="s">
        <v>2272</v>
      </c>
      <c r="Y673" s="21" t="s">
        <v>2272</v>
      </c>
      <c r="Z673" s="21" t="s">
        <v>2272</v>
      </c>
      <c r="AA673" s="21" t="s">
        <v>2272</v>
      </c>
      <c r="AB673" s="21" t="s">
        <v>2272</v>
      </c>
      <c r="AC673" s="198" t="s">
        <v>2272</v>
      </c>
      <c r="AD673" s="4" t="s">
        <v>2348</v>
      </c>
      <c r="AE673" s="198"/>
    </row>
    <row r="674" spans="1:31" ht="93.5" customHeight="1">
      <c r="A674" s="198" t="s">
        <v>1114</v>
      </c>
      <c r="B674" s="198" t="s">
        <v>2339</v>
      </c>
      <c r="C674" s="198" t="s">
        <v>23</v>
      </c>
      <c r="D674" s="4" t="s">
        <v>2337</v>
      </c>
      <c r="E674" s="4" t="s">
        <v>1102</v>
      </c>
      <c r="F674" s="4" t="s">
        <v>159</v>
      </c>
      <c r="G674" s="4"/>
      <c r="H674" s="198" t="s">
        <v>521</v>
      </c>
      <c r="I674" s="198"/>
      <c r="J674" s="21" t="s">
        <v>2272</v>
      </c>
      <c r="K674" s="21" t="s">
        <v>2272</v>
      </c>
      <c r="L674" s="21" t="s">
        <v>2272</v>
      </c>
      <c r="M674" s="21" t="s">
        <v>2272</v>
      </c>
      <c r="N674" s="21" t="s">
        <v>2272</v>
      </c>
      <c r="O674" s="21" t="s">
        <v>2272</v>
      </c>
      <c r="P674" s="21" t="s">
        <v>2272</v>
      </c>
      <c r="Q674" s="21" t="s">
        <v>2272</v>
      </c>
      <c r="R674" s="21" t="s">
        <v>2272</v>
      </c>
      <c r="S674" s="21" t="s">
        <v>2272</v>
      </c>
      <c r="T674" s="21" t="s">
        <v>2272</v>
      </c>
      <c r="U674" s="21" t="s">
        <v>2272</v>
      </c>
      <c r="V674" s="21" t="s">
        <v>2272</v>
      </c>
      <c r="W674" s="21" t="s">
        <v>2272</v>
      </c>
      <c r="X674" s="21" t="s">
        <v>2272</v>
      </c>
      <c r="Y674" s="21">
        <v>20.5</v>
      </c>
      <c r="Z674" s="21">
        <v>1</v>
      </c>
      <c r="AA674" s="198" t="s">
        <v>2272</v>
      </c>
      <c r="AB674" s="198" t="s">
        <v>2272</v>
      </c>
      <c r="AC674" s="198" t="s">
        <v>2272</v>
      </c>
      <c r="AD674" s="4" t="s">
        <v>2338</v>
      </c>
      <c r="AE674" s="198"/>
    </row>
    <row r="675" spans="1:31" ht="89.5" customHeight="1">
      <c r="A675" s="198" t="s">
        <v>1115</v>
      </c>
      <c r="B675" s="198" t="s">
        <v>2329</v>
      </c>
      <c r="C675" s="198" t="s">
        <v>23</v>
      </c>
      <c r="D675" s="4" t="s">
        <v>26</v>
      </c>
      <c r="E675" s="4" t="s">
        <v>128</v>
      </c>
      <c r="F675" s="4" t="s">
        <v>159</v>
      </c>
      <c r="G675" s="4"/>
      <c r="H675" s="198" t="s">
        <v>521</v>
      </c>
      <c r="I675" s="198"/>
      <c r="J675" s="21" t="s">
        <v>2272</v>
      </c>
      <c r="K675" s="21" t="s">
        <v>2272</v>
      </c>
      <c r="L675" s="21" t="s">
        <v>2272</v>
      </c>
      <c r="M675" s="21" t="s">
        <v>2272</v>
      </c>
      <c r="N675" s="21" t="s">
        <v>2272</v>
      </c>
      <c r="O675" s="21" t="s">
        <v>2272</v>
      </c>
      <c r="P675" s="21" t="s">
        <v>2272</v>
      </c>
      <c r="Q675" s="21" t="s">
        <v>2272</v>
      </c>
      <c r="R675" s="21" t="s">
        <v>2272</v>
      </c>
      <c r="S675" s="21" t="s">
        <v>2272</v>
      </c>
      <c r="T675" s="21" t="s">
        <v>2272</v>
      </c>
      <c r="U675" s="21" t="s">
        <v>2272</v>
      </c>
      <c r="V675" s="21" t="s">
        <v>2272</v>
      </c>
      <c r="W675" s="21" t="s">
        <v>2272</v>
      </c>
      <c r="X675" s="21" t="s">
        <v>2272</v>
      </c>
      <c r="Y675" s="21" t="s">
        <v>2272</v>
      </c>
      <c r="Z675" s="21" t="s">
        <v>2272</v>
      </c>
      <c r="AA675" s="198" t="s">
        <v>67</v>
      </c>
      <c r="AB675" s="198" t="s">
        <v>34</v>
      </c>
      <c r="AC675" s="198" t="s">
        <v>2272</v>
      </c>
      <c r="AD675" s="4" t="s">
        <v>2345</v>
      </c>
      <c r="AE675" s="198"/>
    </row>
    <row r="676" spans="1:31" ht="102" customHeight="1">
      <c r="A676" s="198" t="s">
        <v>1115</v>
      </c>
      <c r="B676" s="198" t="s">
        <v>2331</v>
      </c>
      <c r="C676" s="198" t="s">
        <v>23</v>
      </c>
      <c r="D676" s="4" t="s">
        <v>141</v>
      </c>
      <c r="E676" s="4" t="s">
        <v>860</v>
      </c>
      <c r="F676" s="4" t="s">
        <v>73</v>
      </c>
      <c r="G676" s="4"/>
      <c r="H676" s="198" t="s">
        <v>521</v>
      </c>
      <c r="I676" s="198"/>
      <c r="J676" s="21" t="s">
        <v>2272</v>
      </c>
      <c r="K676" s="21" t="s">
        <v>2272</v>
      </c>
      <c r="L676" s="21" t="s">
        <v>2272</v>
      </c>
      <c r="M676" s="21" t="s">
        <v>2272</v>
      </c>
      <c r="N676" s="21" t="s">
        <v>2272</v>
      </c>
      <c r="O676" s="21" t="s">
        <v>2272</v>
      </c>
      <c r="P676" s="21" t="s">
        <v>2272</v>
      </c>
      <c r="Q676" s="21" t="s">
        <v>2272</v>
      </c>
      <c r="R676" s="21" t="s">
        <v>2272</v>
      </c>
      <c r="S676" s="21" t="s">
        <v>2272</v>
      </c>
      <c r="T676" s="21" t="s">
        <v>2272</v>
      </c>
      <c r="U676" s="21" t="s">
        <v>2272</v>
      </c>
      <c r="V676" s="21" t="s">
        <v>2272</v>
      </c>
      <c r="W676" s="21" t="s">
        <v>2272</v>
      </c>
      <c r="X676" s="21" t="s">
        <v>2272</v>
      </c>
      <c r="Y676" s="21" t="s">
        <v>2272</v>
      </c>
      <c r="Z676" s="21" t="s">
        <v>2272</v>
      </c>
      <c r="AA676" s="21" t="s">
        <v>2272</v>
      </c>
      <c r="AB676" s="21" t="s">
        <v>2272</v>
      </c>
      <c r="AC676" s="198" t="s">
        <v>2272</v>
      </c>
      <c r="AD676" s="4" t="s">
        <v>2332</v>
      </c>
      <c r="AE676" s="198"/>
    </row>
    <row r="677" spans="1:31" ht="102" customHeight="1">
      <c r="A677" s="198" t="s">
        <v>1115</v>
      </c>
      <c r="B677" s="198" t="s">
        <v>2334</v>
      </c>
      <c r="C677" s="198" t="s">
        <v>23</v>
      </c>
      <c r="D677" s="4" t="s">
        <v>1241</v>
      </c>
      <c r="E677" s="4" t="s">
        <v>114</v>
      </c>
      <c r="F677" s="4" t="s">
        <v>73</v>
      </c>
      <c r="G677" s="4"/>
      <c r="H677" s="198" t="s">
        <v>521</v>
      </c>
      <c r="I677" s="198"/>
      <c r="J677" s="21" t="s">
        <v>2272</v>
      </c>
      <c r="K677" s="21" t="s">
        <v>2272</v>
      </c>
      <c r="L677" s="21" t="s">
        <v>2272</v>
      </c>
      <c r="M677" s="21" t="s">
        <v>2272</v>
      </c>
      <c r="N677" s="21" t="s">
        <v>2272</v>
      </c>
      <c r="O677" s="21" t="s">
        <v>2272</v>
      </c>
      <c r="P677" s="21" t="s">
        <v>2272</v>
      </c>
      <c r="Q677" s="21" t="s">
        <v>2272</v>
      </c>
      <c r="R677" s="21" t="s">
        <v>2272</v>
      </c>
      <c r="S677" s="21" t="s">
        <v>2272</v>
      </c>
      <c r="T677" s="21" t="s">
        <v>2272</v>
      </c>
      <c r="U677" s="21" t="s">
        <v>2272</v>
      </c>
      <c r="V677" s="21" t="s">
        <v>2272</v>
      </c>
      <c r="W677" s="21" t="s">
        <v>2272</v>
      </c>
      <c r="X677" s="21" t="s">
        <v>2272</v>
      </c>
      <c r="Y677" s="21" t="s">
        <v>2272</v>
      </c>
      <c r="Z677" s="21" t="s">
        <v>2272</v>
      </c>
      <c r="AA677" s="21" t="s">
        <v>2272</v>
      </c>
      <c r="AB677" s="21" t="s">
        <v>2272</v>
      </c>
      <c r="AC677" s="198" t="s">
        <v>2272</v>
      </c>
      <c r="AD677" s="4" t="s">
        <v>2348</v>
      </c>
      <c r="AE677" s="198"/>
    </row>
    <row r="678" spans="1:31" ht="102" customHeight="1">
      <c r="A678" s="198" t="s">
        <v>1115</v>
      </c>
      <c r="B678" s="198" t="s">
        <v>2336</v>
      </c>
      <c r="C678" s="198" t="s">
        <v>23</v>
      </c>
      <c r="D678" s="4" t="s">
        <v>2337</v>
      </c>
      <c r="E678" s="4" t="s">
        <v>1102</v>
      </c>
      <c r="F678" s="4" t="s">
        <v>159</v>
      </c>
      <c r="G678" s="4"/>
      <c r="H678" s="198" t="s">
        <v>521</v>
      </c>
      <c r="I678" s="198"/>
      <c r="J678" s="21" t="s">
        <v>2272</v>
      </c>
      <c r="K678" s="21" t="s">
        <v>2272</v>
      </c>
      <c r="L678" s="21" t="s">
        <v>2272</v>
      </c>
      <c r="M678" s="21" t="s">
        <v>2272</v>
      </c>
      <c r="N678" s="21" t="s">
        <v>2272</v>
      </c>
      <c r="O678" s="21" t="s">
        <v>2272</v>
      </c>
      <c r="P678" s="21" t="s">
        <v>2272</v>
      </c>
      <c r="Q678" s="21" t="s">
        <v>2272</v>
      </c>
      <c r="R678" s="21" t="s">
        <v>2272</v>
      </c>
      <c r="S678" s="21" t="s">
        <v>2272</v>
      </c>
      <c r="T678" s="21" t="s">
        <v>2272</v>
      </c>
      <c r="U678" s="21" t="s">
        <v>2272</v>
      </c>
      <c r="V678" s="21" t="s">
        <v>2272</v>
      </c>
      <c r="W678" s="21" t="s">
        <v>2272</v>
      </c>
      <c r="X678" s="21" t="s">
        <v>2272</v>
      </c>
      <c r="Y678" s="21" t="s">
        <v>2272</v>
      </c>
      <c r="Z678" s="21">
        <v>1</v>
      </c>
      <c r="AA678" s="21" t="s">
        <v>2272</v>
      </c>
      <c r="AB678" s="21" t="s">
        <v>2272</v>
      </c>
      <c r="AC678" s="198" t="s">
        <v>2272</v>
      </c>
      <c r="AD678" s="4" t="s">
        <v>2338</v>
      </c>
      <c r="AE678" s="198"/>
    </row>
    <row r="679" spans="1:31" ht="102" customHeight="1">
      <c r="A679" s="198" t="s">
        <v>1115</v>
      </c>
      <c r="B679" s="198" t="s">
        <v>2340</v>
      </c>
      <c r="C679" s="198" t="s">
        <v>23</v>
      </c>
      <c r="D679" s="4" t="s">
        <v>60</v>
      </c>
      <c r="E679" s="4" t="s">
        <v>860</v>
      </c>
      <c r="F679" s="4" t="s">
        <v>159</v>
      </c>
      <c r="G679" s="4"/>
      <c r="H679" s="198" t="s">
        <v>521</v>
      </c>
      <c r="I679" s="198"/>
      <c r="J679" s="21" t="s">
        <v>2272</v>
      </c>
      <c r="K679" s="21" t="s">
        <v>2272</v>
      </c>
      <c r="L679" s="21" t="s">
        <v>2272</v>
      </c>
      <c r="M679" s="21" t="s">
        <v>2272</v>
      </c>
      <c r="N679" s="21" t="s">
        <v>2272</v>
      </c>
      <c r="O679" s="21" t="s">
        <v>2272</v>
      </c>
      <c r="P679" s="21" t="s">
        <v>2272</v>
      </c>
      <c r="Q679" s="21" t="s">
        <v>2272</v>
      </c>
      <c r="R679" s="21" t="s">
        <v>2272</v>
      </c>
      <c r="S679" s="21" t="s">
        <v>2272</v>
      </c>
      <c r="T679" s="21" t="s">
        <v>2272</v>
      </c>
      <c r="U679" s="21" t="s">
        <v>2272</v>
      </c>
      <c r="V679" s="21" t="s">
        <v>2272</v>
      </c>
      <c r="W679" s="21" t="s">
        <v>2272</v>
      </c>
      <c r="X679" s="21" t="s">
        <v>2272</v>
      </c>
      <c r="Y679" s="21" t="s">
        <v>2272</v>
      </c>
      <c r="Z679" s="21" t="s">
        <v>2272</v>
      </c>
      <c r="AA679" s="21" t="s">
        <v>2272</v>
      </c>
      <c r="AB679" s="21" t="s">
        <v>2272</v>
      </c>
      <c r="AC679" s="198" t="s">
        <v>2272</v>
      </c>
      <c r="AD679" s="4" t="s">
        <v>2344</v>
      </c>
      <c r="AE679" s="198"/>
    </row>
    <row r="680" spans="1:31" ht="102" customHeight="1">
      <c r="A680" s="198" t="s">
        <v>1115</v>
      </c>
      <c r="B680" s="198" t="s">
        <v>2421</v>
      </c>
      <c r="C680" s="198" t="s">
        <v>23</v>
      </c>
      <c r="D680" s="4" t="s">
        <v>26</v>
      </c>
      <c r="E680" s="4" t="s">
        <v>82</v>
      </c>
      <c r="F680" s="4" t="s">
        <v>27</v>
      </c>
      <c r="G680" s="4"/>
      <c r="H680" s="198" t="s">
        <v>522</v>
      </c>
      <c r="I680" s="198"/>
      <c r="J680" s="21">
        <v>0</v>
      </c>
      <c r="K680" s="21">
        <v>0</v>
      </c>
      <c r="L680" s="21">
        <v>0</v>
      </c>
      <c r="M680" s="21">
        <v>0</v>
      </c>
      <c r="N680" s="21">
        <v>0</v>
      </c>
      <c r="O680" s="21">
        <v>0</v>
      </c>
      <c r="P680" s="21">
        <v>0</v>
      </c>
      <c r="Q680" s="21">
        <v>0</v>
      </c>
      <c r="R680" s="21" t="s">
        <v>2272</v>
      </c>
      <c r="S680" s="21" t="s">
        <v>2272</v>
      </c>
      <c r="T680" s="21">
        <v>0</v>
      </c>
      <c r="U680" s="21">
        <v>0</v>
      </c>
      <c r="V680" s="21">
        <v>0</v>
      </c>
      <c r="W680" s="21">
        <v>0</v>
      </c>
      <c r="X680" s="21">
        <v>0</v>
      </c>
      <c r="Y680" s="21">
        <v>0</v>
      </c>
      <c r="Z680" s="21" t="s">
        <v>2272</v>
      </c>
      <c r="AA680" s="21" t="s">
        <v>2272</v>
      </c>
      <c r="AB680" s="21" t="s">
        <v>2272</v>
      </c>
      <c r="AC680" s="198" t="s">
        <v>2272</v>
      </c>
      <c r="AD680" s="4" t="s">
        <v>2341</v>
      </c>
      <c r="AE680" s="198"/>
    </row>
    <row r="681" spans="1:31" ht="102" customHeight="1">
      <c r="A681" s="198" t="s">
        <v>1115</v>
      </c>
      <c r="B681" s="198" t="s">
        <v>2422</v>
      </c>
      <c r="C681" s="198" t="s">
        <v>23</v>
      </c>
      <c r="D681" s="4" t="s">
        <v>2342</v>
      </c>
      <c r="E681" s="4" t="s">
        <v>128</v>
      </c>
      <c r="F681" s="4" t="s">
        <v>27</v>
      </c>
      <c r="G681" s="4"/>
      <c r="H681" s="198" t="s">
        <v>521</v>
      </c>
      <c r="I681" s="198"/>
      <c r="J681" s="21" t="s">
        <v>2272</v>
      </c>
      <c r="K681" s="21" t="s">
        <v>2272</v>
      </c>
      <c r="L681" s="21" t="s">
        <v>2272</v>
      </c>
      <c r="M681" s="21" t="s">
        <v>2272</v>
      </c>
      <c r="N681" s="21" t="s">
        <v>2272</v>
      </c>
      <c r="O681" s="21" t="s">
        <v>2272</v>
      </c>
      <c r="P681" s="21" t="s">
        <v>2272</v>
      </c>
      <c r="Q681" s="21" t="s">
        <v>2272</v>
      </c>
      <c r="R681" s="21" t="s">
        <v>2272</v>
      </c>
      <c r="S681" s="21" t="s">
        <v>2272</v>
      </c>
      <c r="T681" s="21" t="s">
        <v>2272</v>
      </c>
      <c r="U681" s="21" t="s">
        <v>2272</v>
      </c>
      <c r="V681" s="21" t="s">
        <v>2272</v>
      </c>
      <c r="W681" s="21" t="s">
        <v>2272</v>
      </c>
      <c r="X681" s="21" t="s">
        <v>2272</v>
      </c>
      <c r="Y681" s="21" t="s">
        <v>2272</v>
      </c>
      <c r="Z681" s="21" t="s">
        <v>2272</v>
      </c>
      <c r="AA681" s="21" t="s">
        <v>2272</v>
      </c>
      <c r="AB681" s="21" t="s">
        <v>2272</v>
      </c>
      <c r="AC681" s="198" t="s">
        <v>2272</v>
      </c>
      <c r="AD681" s="4" t="s">
        <v>2343</v>
      </c>
      <c r="AE681" s="198"/>
    </row>
    <row r="682" spans="1:31" ht="102" customHeight="1">
      <c r="A682" s="198" t="s">
        <v>1115</v>
      </c>
      <c r="B682" s="198" t="s">
        <v>2423</v>
      </c>
      <c r="C682" s="198" t="s">
        <v>23</v>
      </c>
      <c r="D682" s="4" t="s">
        <v>2342</v>
      </c>
      <c r="E682" s="4" t="s">
        <v>860</v>
      </c>
      <c r="F682" s="4" t="s">
        <v>27</v>
      </c>
      <c r="G682" s="4"/>
      <c r="H682" s="198" t="s">
        <v>521</v>
      </c>
      <c r="I682" s="198"/>
      <c r="J682" s="21" t="s">
        <v>2272</v>
      </c>
      <c r="K682" s="21" t="s">
        <v>2272</v>
      </c>
      <c r="L682" s="21" t="s">
        <v>2272</v>
      </c>
      <c r="M682" s="21" t="s">
        <v>2272</v>
      </c>
      <c r="N682" s="21" t="s">
        <v>2272</v>
      </c>
      <c r="O682" s="21" t="s">
        <v>2272</v>
      </c>
      <c r="P682" s="21" t="s">
        <v>2272</v>
      </c>
      <c r="Q682" s="21" t="s">
        <v>2272</v>
      </c>
      <c r="R682" s="21" t="s">
        <v>2272</v>
      </c>
      <c r="S682" s="21" t="s">
        <v>2272</v>
      </c>
      <c r="T682" s="21" t="s">
        <v>2272</v>
      </c>
      <c r="U682" s="21" t="s">
        <v>2272</v>
      </c>
      <c r="V682" s="21" t="s">
        <v>2272</v>
      </c>
      <c r="W682" s="21" t="s">
        <v>2272</v>
      </c>
      <c r="X682" s="21" t="s">
        <v>2272</v>
      </c>
      <c r="Y682" s="21" t="s">
        <v>2272</v>
      </c>
      <c r="Z682" s="21" t="s">
        <v>2272</v>
      </c>
      <c r="AA682" s="21" t="s">
        <v>2272</v>
      </c>
      <c r="AB682" s="21" t="s">
        <v>2272</v>
      </c>
      <c r="AC682" s="198" t="s">
        <v>2272</v>
      </c>
      <c r="AD682" s="4" t="s">
        <v>2343</v>
      </c>
      <c r="AE682" s="198"/>
    </row>
    <row r="683" spans="1:31" ht="52" customHeight="1">
      <c r="A683" s="198" t="s">
        <v>1122</v>
      </c>
      <c r="B683" s="198" t="s">
        <v>1124</v>
      </c>
      <c r="C683" s="198" t="s">
        <v>23</v>
      </c>
      <c r="D683" s="198" t="s">
        <v>26</v>
      </c>
      <c r="E683" s="198" t="s">
        <v>128</v>
      </c>
      <c r="F683" s="4" t="s">
        <v>159</v>
      </c>
      <c r="G683" s="198"/>
      <c r="H683" s="198" t="s">
        <v>521</v>
      </c>
      <c r="I683" s="198"/>
      <c r="J683" s="21" t="s">
        <v>2272</v>
      </c>
      <c r="K683" s="21" t="s">
        <v>2272</v>
      </c>
      <c r="L683" s="21" t="s">
        <v>2272</v>
      </c>
      <c r="M683" s="21" t="s">
        <v>2272</v>
      </c>
      <c r="N683" s="21" t="s">
        <v>2272</v>
      </c>
      <c r="O683" s="21" t="s">
        <v>2272</v>
      </c>
      <c r="P683" s="21" t="s">
        <v>2272</v>
      </c>
      <c r="Q683" s="21" t="s">
        <v>2272</v>
      </c>
      <c r="R683" s="21" t="s">
        <v>2272</v>
      </c>
      <c r="S683" s="21" t="s">
        <v>2272</v>
      </c>
      <c r="T683" s="21" t="s">
        <v>2272</v>
      </c>
      <c r="U683" s="21" t="s">
        <v>2272</v>
      </c>
      <c r="V683" s="21" t="s">
        <v>2272</v>
      </c>
      <c r="W683" s="21" t="s">
        <v>2272</v>
      </c>
      <c r="X683" s="21" t="s">
        <v>2272</v>
      </c>
      <c r="Y683" s="21" t="s">
        <v>2272</v>
      </c>
      <c r="Z683" s="21" t="s">
        <v>2272</v>
      </c>
      <c r="AA683" s="198" t="s">
        <v>2272</v>
      </c>
      <c r="AB683" s="198" t="s">
        <v>2272</v>
      </c>
      <c r="AC683" s="198" t="s">
        <v>2272</v>
      </c>
      <c r="AD683" s="198"/>
      <c r="AE683" s="198"/>
    </row>
    <row r="684" spans="1:31" ht="80" customHeight="1">
      <c r="A684" s="198" t="s">
        <v>1122</v>
      </c>
      <c r="B684" s="198" t="s">
        <v>1126</v>
      </c>
      <c r="C684" s="198" t="s">
        <v>23</v>
      </c>
      <c r="D684" s="198" t="s">
        <v>2654</v>
      </c>
      <c r="E684" s="198" t="s">
        <v>128</v>
      </c>
      <c r="F684" s="4" t="s">
        <v>27</v>
      </c>
      <c r="G684" s="198"/>
      <c r="H684" s="198" t="s">
        <v>521</v>
      </c>
      <c r="I684" s="198"/>
      <c r="J684" s="21" t="s">
        <v>2272</v>
      </c>
      <c r="K684" s="21" t="s">
        <v>2272</v>
      </c>
      <c r="L684" s="21" t="s">
        <v>2272</v>
      </c>
      <c r="M684" s="21" t="s">
        <v>2272</v>
      </c>
      <c r="N684" s="21" t="s">
        <v>2272</v>
      </c>
      <c r="O684" s="21" t="s">
        <v>2272</v>
      </c>
      <c r="P684" s="21" t="s">
        <v>2272</v>
      </c>
      <c r="Q684" s="21" t="s">
        <v>2272</v>
      </c>
      <c r="R684" s="21" t="s">
        <v>2272</v>
      </c>
      <c r="S684" s="21" t="s">
        <v>2272</v>
      </c>
      <c r="T684" s="21" t="s">
        <v>2272</v>
      </c>
      <c r="U684" s="21" t="s">
        <v>2272</v>
      </c>
      <c r="V684" s="21" t="s">
        <v>2272</v>
      </c>
      <c r="W684" s="21" t="s">
        <v>2272</v>
      </c>
      <c r="X684" s="21" t="s">
        <v>2272</v>
      </c>
      <c r="Y684" s="21" t="s">
        <v>2272</v>
      </c>
      <c r="Z684" s="21">
        <v>1</v>
      </c>
      <c r="AA684" s="198" t="s">
        <v>2272</v>
      </c>
      <c r="AB684" s="198" t="s">
        <v>2272</v>
      </c>
      <c r="AC684" s="198" t="s">
        <v>2272</v>
      </c>
      <c r="AD684" s="4" t="s">
        <v>1125</v>
      </c>
      <c r="AE684" s="198"/>
    </row>
    <row r="685" spans="1:31" ht="70.5" customHeight="1">
      <c r="A685" s="198" t="s">
        <v>1122</v>
      </c>
      <c r="B685" s="198" t="s">
        <v>1127</v>
      </c>
      <c r="C685" s="198" t="s">
        <v>23</v>
      </c>
      <c r="D685" s="198" t="s">
        <v>1128</v>
      </c>
      <c r="E685" s="198" t="s">
        <v>128</v>
      </c>
      <c r="F685" s="4" t="s">
        <v>73</v>
      </c>
      <c r="G685" s="4"/>
      <c r="H685" s="198" t="s">
        <v>521</v>
      </c>
      <c r="I685" s="198"/>
      <c r="J685" s="21" t="s">
        <v>2272</v>
      </c>
      <c r="K685" s="21" t="s">
        <v>2272</v>
      </c>
      <c r="L685" s="21" t="s">
        <v>2272</v>
      </c>
      <c r="M685" s="21" t="s">
        <v>2272</v>
      </c>
      <c r="N685" s="21" t="s">
        <v>2272</v>
      </c>
      <c r="O685" s="21" t="s">
        <v>2272</v>
      </c>
      <c r="P685" s="21" t="s">
        <v>2272</v>
      </c>
      <c r="Q685" s="21" t="s">
        <v>2272</v>
      </c>
      <c r="R685" s="21" t="s">
        <v>2272</v>
      </c>
      <c r="S685" s="21" t="s">
        <v>2272</v>
      </c>
      <c r="T685" s="21" t="s">
        <v>2272</v>
      </c>
      <c r="U685" s="21" t="s">
        <v>2272</v>
      </c>
      <c r="V685" s="21" t="s">
        <v>2272</v>
      </c>
      <c r="W685" s="21" t="s">
        <v>2272</v>
      </c>
      <c r="X685" s="21" t="s">
        <v>2272</v>
      </c>
      <c r="Y685" s="21" t="s">
        <v>2272</v>
      </c>
      <c r="Z685" s="21" t="s">
        <v>2272</v>
      </c>
      <c r="AA685" s="198" t="s">
        <v>2272</v>
      </c>
      <c r="AB685" s="198" t="s">
        <v>2272</v>
      </c>
      <c r="AC685" s="198" t="s">
        <v>2272</v>
      </c>
      <c r="AD685" s="198"/>
      <c r="AE685" s="198"/>
    </row>
    <row r="686" spans="1:31" ht="49.5" customHeight="1">
      <c r="A686" s="198" t="s">
        <v>1122</v>
      </c>
      <c r="B686" s="198" t="s">
        <v>1129</v>
      </c>
      <c r="C686" s="198" t="s">
        <v>23</v>
      </c>
      <c r="D686" s="198" t="s">
        <v>1128</v>
      </c>
      <c r="E686" s="198" t="s">
        <v>128</v>
      </c>
      <c r="F686" s="4" t="s">
        <v>159</v>
      </c>
      <c r="G686" s="4"/>
      <c r="H686" s="198" t="s">
        <v>521</v>
      </c>
      <c r="I686" s="198"/>
      <c r="J686" s="21" t="s">
        <v>2272</v>
      </c>
      <c r="K686" s="21" t="s">
        <v>2272</v>
      </c>
      <c r="L686" s="21" t="s">
        <v>2272</v>
      </c>
      <c r="M686" s="21" t="s">
        <v>2272</v>
      </c>
      <c r="N686" s="21" t="s">
        <v>2272</v>
      </c>
      <c r="O686" s="21" t="s">
        <v>2272</v>
      </c>
      <c r="P686" s="21" t="s">
        <v>2272</v>
      </c>
      <c r="Q686" s="21" t="s">
        <v>2272</v>
      </c>
      <c r="R686" s="21" t="s">
        <v>2272</v>
      </c>
      <c r="S686" s="21" t="s">
        <v>2272</v>
      </c>
      <c r="T686" s="21" t="s">
        <v>2272</v>
      </c>
      <c r="U686" s="21" t="s">
        <v>2272</v>
      </c>
      <c r="V686" s="21" t="s">
        <v>2272</v>
      </c>
      <c r="W686" s="21" t="s">
        <v>2272</v>
      </c>
      <c r="X686" s="21" t="s">
        <v>2272</v>
      </c>
      <c r="Y686" s="21" t="s">
        <v>2272</v>
      </c>
      <c r="Z686" s="21" t="s">
        <v>2272</v>
      </c>
      <c r="AA686" s="198" t="s">
        <v>2272</v>
      </c>
      <c r="AB686" s="198" t="s">
        <v>2272</v>
      </c>
      <c r="AC686" s="198" t="s">
        <v>2272</v>
      </c>
      <c r="AD686" s="198"/>
      <c r="AE686" s="198"/>
    </row>
    <row r="687" spans="1:31" ht="49.5" customHeight="1">
      <c r="A687" s="198" t="s">
        <v>1141</v>
      </c>
      <c r="B687" s="198" t="s">
        <v>1647</v>
      </c>
      <c r="C687" s="198" t="s">
        <v>23</v>
      </c>
      <c r="D687" s="198" t="s">
        <v>141</v>
      </c>
      <c r="E687" s="198" t="s">
        <v>860</v>
      </c>
      <c r="F687" s="4" t="s">
        <v>73</v>
      </c>
      <c r="G687" s="4"/>
      <c r="H687" s="198" t="s">
        <v>522</v>
      </c>
      <c r="I687" s="198"/>
      <c r="J687" s="21">
        <v>0</v>
      </c>
      <c r="K687" s="21">
        <v>0</v>
      </c>
      <c r="L687" s="21">
        <v>0</v>
      </c>
      <c r="M687" s="21">
        <v>0</v>
      </c>
      <c r="N687" s="21">
        <v>0</v>
      </c>
      <c r="O687" s="21">
        <v>0</v>
      </c>
      <c r="P687" s="21">
        <v>0</v>
      </c>
      <c r="Q687" s="21">
        <v>0</v>
      </c>
      <c r="R687" s="21" t="s">
        <v>2272</v>
      </c>
      <c r="S687" s="21" t="s">
        <v>2272</v>
      </c>
      <c r="T687" s="21">
        <v>0</v>
      </c>
      <c r="U687" s="21">
        <v>0</v>
      </c>
      <c r="V687" s="21">
        <v>0</v>
      </c>
      <c r="W687" s="21">
        <v>0</v>
      </c>
      <c r="X687" s="21">
        <v>0</v>
      </c>
      <c r="Y687" s="21">
        <v>0</v>
      </c>
      <c r="Z687" s="21" t="s">
        <v>2272</v>
      </c>
      <c r="AA687" s="198" t="s">
        <v>2272</v>
      </c>
      <c r="AB687" s="198" t="s">
        <v>2272</v>
      </c>
      <c r="AC687" s="198" t="s">
        <v>2272</v>
      </c>
      <c r="AD687" s="4" t="s">
        <v>1722</v>
      </c>
      <c r="AE687" s="198"/>
    </row>
    <row r="688" spans="1:31" ht="49.5" customHeight="1">
      <c r="A688" s="198" t="s">
        <v>1499</v>
      </c>
      <c r="B688" s="198" t="s">
        <v>1649</v>
      </c>
      <c r="C688" s="198" t="s">
        <v>23</v>
      </c>
      <c r="D688" s="198" t="s">
        <v>141</v>
      </c>
      <c r="E688" s="198" t="s">
        <v>860</v>
      </c>
      <c r="F688" s="4" t="s">
        <v>73</v>
      </c>
      <c r="G688" s="4"/>
      <c r="H688" s="198" t="s">
        <v>522</v>
      </c>
      <c r="I688" s="198"/>
      <c r="J688" s="21">
        <v>0</v>
      </c>
      <c r="K688" s="21">
        <v>0</v>
      </c>
      <c r="L688" s="21">
        <v>0</v>
      </c>
      <c r="M688" s="21">
        <v>0</v>
      </c>
      <c r="N688" s="21">
        <v>0</v>
      </c>
      <c r="O688" s="21">
        <v>0</v>
      </c>
      <c r="P688" s="21">
        <v>0</v>
      </c>
      <c r="Q688" s="21">
        <v>0</v>
      </c>
      <c r="R688" s="21" t="s">
        <v>2272</v>
      </c>
      <c r="S688" s="21" t="s">
        <v>2272</v>
      </c>
      <c r="T688" s="21">
        <v>0</v>
      </c>
      <c r="U688" s="21">
        <v>0</v>
      </c>
      <c r="V688" s="21">
        <v>0</v>
      </c>
      <c r="W688" s="21">
        <v>0</v>
      </c>
      <c r="X688" s="21">
        <v>0</v>
      </c>
      <c r="Y688" s="21">
        <v>0</v>
      </c>
      <c r="Z688" s="21" t="s">
        <v>2272</v>
      </c>
      <c r="AA688" s="198" t="s">
        <v>2272</v>
      </c>
      <c r="AB688" s="198" t="s">
        <v>2272</v>
      </c>
      <c r="AC688" s="198" t="s">
        <v>2272</v>
      </c>
      <c r="AD688" s="4" t="s">
        <v>1722</v>
      </c>
      <c r="AE688" s="198"/>
    </row>
    <row r="689" spans="1:31" ht="49.5" customHeight="1">
      <c r="A689" s="198" t="s">
        <v>1500</v>
      </c>
      <c r="B689" s="198" t="s">
        <v>1650</v>
      </c>
      <c r="C689" s="198" t="s">
        <v>23</v>
      </c>
      <c r="D689" s="198" t="s">
        <v>141</v>
      </c>
      <c r="E689" s="198" t="s">
        <v>860</v>
      </c>
      <c r="F689" s="4" t="s">
        <v>73</v>
      </c>
      <c r="G689" s="4"/>
      <c r="H689" s="198" t="s">
        <v>522</v>
      </c>
      <c r="I689" s="198"/>
      <c r="J689" s="21">
        <v>0</v>
      </c>
      <c r="K689" s="21">
        <v>0</v>
      </c>
      <c r="L689" s="21">
        <v>0</v>
      </c>
      <c r="M689" s="21">
        <v>0</v>
      </c>
      <c r="N689" s="21">
        <v>0</v>
      </c>
      <c r="O689" s="21">
        <v>0</v>
      </c>
      <c r="P689" s="21">
        <v>0</v>
      </c>
      <c r="Q689" s="21">
        <v>0</v>
      </c>
      <c r="R689" s="21" t="s">
        <v>2272</v>
      </c>
      <c r="S689" s="21" t="s">
        <v>2272</v>
      </c>
      <c r="T689" s="21">
        <v>0</v>
      </c>
      <c r="U689" s="21">
        <v>0</v>
      </c>
      <c r="V689" s="21">
        <v>0</v>
      </c>
      <c r="W689" s="21">
        <v>0</v>
      </c>
      <c r="X689" s="21">
        <v>0</v>
      </c>
      <c r="Y689" s="21">
        <v>0</v>
      </c>
      <c r="Z689" s="21" t="s">
        <v>2272</v>
      </c>
      <c r="AA689" s="198" t="s">
        <v>2272</v>
      </c>
      <c r="AB689" s="198" t="s">
        <v>2272</v>
      </c>
      <c r="AC689" s="198" t="s">
        <v>2272</v>
      </c>
      <c r="AD689" s="4" t="s">
        <v>1722</v>
      </c>
      <c r="AE689" s="198"/>
    </row>
    <row r="690" spans="1:31" ht="49.5" customHeight="1">
      <c r="A690" s="198" t="s">
        <v>1501</v>
      </c>
      <c r="B690" s="198" t="s">
        <v>1651</v>
      </c>
      <c r="C690" s="198" t="s">
        <v>23</v>
      </c>
      <c r="D690" s="198" t="s">
        <v>141</v>
      </c>
      <c r="E690" s="198" t="s">
        <v>860</v>
      </c>
      <c r="F690" s="4" t="s">
        <v>73</v>
      </c>
      <c r="G690" s="4"/>
      <c r="H690" s="198" t="s">
        <v>522</v>
      </c>
      <c r="I690" s="198"/>
      <c r="J690" s="21">
        <v>0</v>
      </c>
      <c r="K690" s="21">
        <v>0</v>
      </c>
      <c r="L690" s="21">
        <v>0</v>
      </c>
      <c r="M690" s="21">
        <v>0</v>
      </c>
      <c r="N690" s="21">
        <v>0</v>
      </c>
      <c r="O690" s="21">
        <v>0</v>
      </c>
      <c r="P690" s="21">
        <v>0</v>
      </c>
      <c r="Q690" s="21">
        <v>0</v>
      </c>
      <c r="R690" s="21" t="s">
        <v>2272</v>
      </c>
      <c r="S690" s="21" t="s">
        <v>2272</v>
      </c>
      <c r="T690" s="21">
        <v>0</v>
      </c>
      <c r="U690" s="21">
        <v>0</v>
      </c>
      <c r="V690" s="21">
        <v>0</v>
      </c>
      <c r="W690" s="21">
        <v>0</v>
      </c>
      <c r="X690" s="21">
        <v>0</v>
      </c>
      <c r="Y690" s="21">
        <v>0</v>
      </c>
      <c r="Z690" s="21" t="s">
        <v>2272</v>
      </c>
      <c r="AA690" s="198" t="s">
        <v>2272</v>
      </c>
      <c r="AB690" s="198" t="s">
        <v>2272</v>
      </c>
      <c r="AC690" s="198" t="s">
        <v>2272</v>
      </c>
      <c r="AD690" s="4" t="s">
        <v>1722</v>
      </c>
      <c r="AE690" s="198"/>
    </row>
    <row r="691" spans="1:31" ht="49.5" customHeight="1">
      <c r="A691" s="198" t="s">
        <v>1502</v>
      </c>
      <c r="B691" s="198" t="s">
        <v>1652</v>
      </c>
      <c r="C691" s="198" t="s">
        <v>23</v>
      </c>
      <c r="D691" s="198" t="s">
        <v>141</v>
      </c>
      <c r="E691" s="198" t="s">
        <v>860</v>
      </c>
      <c r="F691" s="4" t="s">
        <v>73</v>
      </c>
      <c r="G691" s="4"/>
      <c r="H691" s="198" t="s">
        <v>522</v>
      </c>
      <c r="I691" s="198"/>
      <c r="J691" s="21">
        <v>0</v>
      </c>
      <c r="K691" s="21">
        <v>0</v>
      </c>
      <c r="L691" s="21">
        <v>0</v>
      </c>
      <c r="M691" s="21">
        <v>0</v>
      </c>
      <c r="N691" s="21">
        <v>0</v>
      </c>
      <c r="O691" s="21">
        <v>0</v>
      </c>
      <c r="P691" s="21">
        <v>0</v>
      </c>
      <c r="Q691" s="21">
        <v>0</v>
      </c>
      <c r="R691" s="21" t="s">
        <v>2272</v>
      </c>
      <c r="S691" s="21" t="s">
        <v>2272</v>
      </c>
      <c r="T691" s="21">
        <v>0</v>
      </c>
      <c r="U691" s="21">
        <v>0</v>
      </c>
      <c r="V691" s="21">
        <v>0</v>
      </c>
      <c r="W691" s="21">
        <v>0</v>
      </c>
      <c r="X691" s="21">
        <v>0</v>
      </c>
      <c r="Y691" s="21">
        <v>0</v>
      </c>
      <c r="Z691" s="21" t="s">
        <v>2272</v>
      </c>
      <c r="AA691" s="198" t="s">
        <v>2272</v>
      </c>
      <c r="AB691" s="198" t="s">
        <v>2272</v>
      </c>
      <c r="AC691" s="198" t="s">
        <v>2272</v>
      </c>
      <c r="AD691" s="4" t="s">
        <v>1722</v>
      </c>
      <c r="AE691" s="198"/>
    </row>
    <row r="692" spans="1:31" ht="49.5" customHeight="1">
      <c r="A692" s="198" t="s">
        <v>1503</v>
      </c>
      <c r="B692" s="198" t="s">
        <v>1653</v>
      </c>
      <c r="C692" s="198" t="s">
        <v>23</v>
      </c>
      <c r="D692" s="198" t="s">
        <v>141</v>
      </c>
      <c r="E692" s="198" t="s">
        <v>860</v>
      </c>
      <c r="F692" s="4" t="s">
        <v>73</v>
      </c>
      <c r="G692" s="4"/>
      <c r="H692" s="198" t="s">
        <v>522</v>
      </c>
      <c r="I692" s="198"/>
      <c r="J692" s="21">
        <v>0</v>
      </c>
      <c r="K692" s="21">
        <v>0</v>
      </c>
      <c r="L692" s="21">
        <v>0</v>
      </c>
      <c r="M692" s="21">
        <v>0</v>
      </c>
      <c r="N692" s="21">
        <v>0</v>
      </c>
      <c r="O692" s="21">
        <v>0</v>
      </c>
      <c r="P692" s="21">
        <v>0</v>
      </c>
      <c r="Q692" s="21">
        <v>0</v>
      </c>
      <c r="R692" s="21" t="s">
        <v>2272</v>
      </c>
      <c r="S692" s="21" t="s">
        <v>2272</v>
      </c>
      <c r="T692" s="21">
        <v>0</v>
      </c>
      <c r="U692" s="21">
        <v>0</v>
      </c>
      <c r="V692" s="21">
        <v>0</v>
      </c>
      <c r="W692" s="21">
        <v>0</v>
      </c>
      <c r="X692" s="21">
        <v>0</v>
      </c>
      <c r="Y692" s="21">
        <v>0</v>
      </c>
      <c r="Z692" s="21" t="s">
        <v>2272</v>
      </c>
      <c r="AA692" s="198" t="s">
        <v>2272</v>
      </c>
      <c r="AB692" s="198" t="s">
        <v>2272</v>
      </c>
      <c r="AC692" s="198" t="s">
        <v>2272</v>
      </c>
      <c r="AD692" s="4" t="s">
        <v>1722</v>
      </c>
      <c r="AE692" s="198"/>
    </row>
    <row r="693" spans="1:31" ht="49.5" customHeight="1">
      <c r="A693" s="198" t="s">
        <v>1504</v>
      </c>
      <c r="B693" s="198" t="s">
        <v>1654</v>
      </c>
      <c r="C693" s="198" t="s">
        <v>23</v>
      </c>
      <c r="D693" s="198" t="s">
        <v>141</v>
      </c>
      <c r="E693" s="198" t="s">
        <v>860</v>
      </c>
      <c r="F693" s="4" t="s">
        <v>73</v>
      </c>
      <c r="G693" s="4"/>
      <c r="H693" s="198" t="s">
        <v>522</v>
      </c>
      <c r="I693" s="198"/>
      <c r="J693" s="21">
        <v>0</v>
      </c>
      <c r="K693" s="21">
        <v>0</v>
      </c>
      <c r="L693" s="21">
        <v>0</v>
      </c>
      <c r="M693" s="21">
        <v>0</v>
      </c>
      <c r="N693" s="21">
        <v>0</v>
      </c>
      <c r="O693" s="21">
        <v>0</v>
      </c>
      <c r="P693" s="21">
        <v>0</v>
      </c>
      <c r="Q693" s="21">
        <v>0</v>
      </c>
      <c r="R693" s="21" t="s">
        <v>2272</v>
      </c>
      <c r="S693" s="21" t="s">
        <v>2272</v>
      </c>
      <c r="T693" s="21">
        <v>0</v>
      </c>
      <c r="U693" s="21">
        <v>0</v>
      </c>
      <c r="V693" s="21">
        <v>0</v>
      </c>
      <c r="W693" s="21">
        <v>0</v>
      </c>
      <c r="X693" s="21">
        <v>0</v>
      </c>
      <c r="Y693" s="21">
        <v>0</v>
      </c>
      <c r="Z693" s="21" t="s">
        <v>2272</v>
      </c>
      <c r="AA693" s="198" t="s">
        <v>2272</v>
      </c>
      <c r="AB693" s="198" t="s">
        <v>2272</v>
      </c>
      <c r="AC693" s="198" t="s">
        <v>2272</v>
      </c>
      <c r="AD693" s="4" t="s">
        <v>1722</v>
      </c>
      <c r="AE693" s="198"/>
    </row>
    <row r="694" spans="1:31" ht="49.5" customHeight="1">
      <c r="A694" s="198" t="s">
        <v>1505</v>
      </c>
      <c r="B694" s="198" t="s">
        <v>1655</v>
      </c>
      <c r="C694" s="198" t="s">
        <v>23</v>
      </c>
      <c r="D694" s="198" t="s">
        <v>141</v>
      </c>
      <c r="E694" s="198" t="s">
        <v>860</v>
      </c>
      <c r="F694" s="4" t="s">
        <v>73</v>
      </c>
      <c r="G694" s="4"/>
      <c r="H694" s="198" t="s">
        <v>522</v>
      </c>
      <c r="I694" s="198"/>
      <c r="J694" s="21">
        <v>0</v>
      </c>
      <c r="K694" s="21">
        <v>0</v>
      </c>
      <c r="L694" s="21">
        <v>0</v>
      </c>
      <c r="M694" s="21">
        <v>0</v>
      </c>
      <c r="N694" s="21">
        <v>0</v>
      </c>
      <c r="O694" s="21">
        <v>0</v>
      </c>
      <c r="P694" s="21">
        <v>0</v>
      </c>
      <c r="Q694" s="21">
        <v>0</v>
      </c>
      <c r="R694" s="21" t="s">
        <v>2272</v>
      </c>
      <c r="S694" s="21" t="s">
        <v>2272</v>
      </c>
      <c r="T694" s="21">
        <v>0</v>
      </c>
      <c r="U694" s="21">
        <v>0</v>
      </c>
      <c r="V694" s="21">
        <v>0</v>
      </c>
      <c r="W694" s="21">
        <v>0</v>
      </c>
      <c r="X694" s="21">
        <v>0</v>
      </c>
      <c r="Y694" s="21">
        <v>0</v>
      </c>
      <c r="Z694" s="21" t="s">
        <v>2272</v>
      </c>
      <c r="AA694" s="198" t="s">
        <v>2272</v>
      </c>
      <c r="AB694" s="198" t="s">
        <v>2272</v>
      </c>
      <c r="AC694" s="198" t="s">
        <v>2272</v>
      </c>
      <c r="AD694" s="4" t="s">
        <v>1722</v>
      </c>
      <c r="AE694" s="198"/>
    </row>
    <row r="695" spans="1:31" ht="49.5" customHeight="1">
      <c r="A695" s="198" t="s">
        <v>1506</v>
      </c>
      <c r="B695" s="198" t="s">
        <v>1656</v>
      </c>
      <c r="C695" s="198" t="s">
        <v>23</v>
      </c>
      <c r="D695" s="198" t="s">
        <v>141</v>
      </c>
      <c r="E695" s="198" t="s">
        <v>860</v>
      </c>
      <c r="F695" s="4" t="s">
        <v>73</v>
      </c>
      <c r="G695" s="4"/>
      <c r="H695" s="198" t="s">
        <v>522</v>
      </c>
      <c r="I695" s="198"/>
      <c r="J695" s="21">
        <v>0</v>
      </c>
      <c r="K695" s="21">
        <v>0</v>
      </c>
      <c r="L695" s="21">
        <v>0</v>
      </c>
      <c r="M695" s="21">
        <v>0</v>
      </c>
      <c r="N695" s="21">
        <v>0</v>
      </c>
      <c r="O695" s="21">
        <v>0</v>
      </c>
      <c r="P695" s="21">
        <v>0</v>
      </c>
      <c r="Q695" s="21">
        <v>0</v>
      </c>
      <c r="R695" s="21" t="s">
        <v>2272</v>
      </c>
      <c r="S695" s="21" t="s">
        <v>2272</v>
      </c>
      <c r="T695" s="21">
        <v>0</v>
      </c>
      <c r="U695" s="21">
        <v>0</v>
      </c>
      <c r="V695" s="21">
        <v>0</v>
      </c>
      <c r="W695" s="21">
        <v>0</v>
      </c>
      <c r="X695" s="21">
        <v>0</v>
      </c>
      <c r="Y695" s="21">
        <v>0</v>
      </c>
      <c r="Z695" s="21" t="s">
        <v>2272</v>
      </c>
      <c r="AA695" s="198" t="s">
        <v>2272</v>
      </c>
      <c r="AB695" s="198" t="s">
        <v>2272</v>
      </c>
      <c r="AC695" s="198" t="s">
        <v>2272</v>
      </c>
      <c r="AD695" s="4" t="s">
        <v>1722</v>
      </c>
      <c r="AE695" s="198"/>
    </row>
    <row r="696" spans="1:31" ht="49.5" customHeight="1">
      <c r="A696" s="198" t="s">
        <v>1507</v>
      </c>
      <c r="B696" s="198" t="s">
        <v>1657</v>
      </c>
      <c r="C696" s="198" t="s">
        <v>23</v>
      </c>
      <c r="D696" s="198" t="s">
        <v>141</v>
      </c>
      <c r="E696" s="198" t="s">
        <v>860</v>
      </c>
      <c r="F696" s="4" t="s">
        <v>73</v>
      </c>
      <c r="G696" s="4"/>
      <c r="H696" s="198" t="s">
        <v>522</v>
      </c>
      <c r="I696" s="198"/>
      <c r="J696" s="21">
        <v>0</v>
      </c>
      <c r="K696" s="21">
        <v>0</v>
      </c>
      <c r="L696" s="21">
        <v>0</v>
      </c>
      <c r="M696" s="21">
        <v>0</v>
      </c>
      <c r="N696" s="21">
        <v>0</v>
      </c>
      <c r="O696" s="21">
        <v>0</v>
      </c>
      <c r="P696" s="21">
        <v>0</v>
      </c>
      <c r="Q696" s="21">
        <v>0</v>
      </c>
      <c r="R696" s="21" t="s">
        <v>2272</v>
      </c>
      <c r="S696" s="21" t="s">
        <v>2272</v>
      </c>
      <c r="T696" s="21">
        <v>0</v>
      </c>
      <c r="U696" s="21">
        <v>0</v>
      </c>
      <c r="V696" s="21">
        <v>0</v>
      </c>
      <c r="W696" s="21">
        <v>0</v>
      </c>
      <c r="X696" s="21">
        <v>0</v>
      </c>
      <c r="Y696" s="21">
        <v>0</v>
      </c>
      <c r="Z696" s="21" t="s">
        <v>2272</v>
      </c>
      <c r="AA696" s="198" t="s">
        <v>2272</v>
      </c>
      <c r="AB696" s="198" t="s">
        <v>2272</v>
      </c>
      <c r="AC696" s="198" t="s">
        <v>2272</v>
      </c>
      <c r="AD696" s="4" t="s">
        <v>1722</v>
      </c>
      <c r="AE696" s="198"/>
    </row>
    <row r="697" spans="1:31" ht="49.5" customHeight="1">
      <c r="A697" s="198" t="s">
        <v>1508</v>
      </c>
      <c r="B697" s="198" t="s">
        <v>1658</v>
      </c>
      <c r="C697" s="198" t="s">
        <v>23</v>
      </c>
      <c r="D697" s="198" t="s">
        <v>141</v>
      </c>
      <c r="E697" s="198" t="s">
        <v>860</v>
      </c>
      <c r="F697" s="4" t="s">
        <v>73</v>
      </c>
      <c r="G697" s="4"/>
      <c r="H697" s="198" t="s">
        <v>522</v>
      </c>
      <c r="I697" s="198"/>
      <c r="J697" s="21">
        <v>0</v>
      </c>
      <c r="K697" s="21">
        <v>0</v>
      </c>
      <c r="L697" s="21">
        <v>0</v>
      </c>
      <c r="M697" s="21">
        <v>0</v>
      </c>
      <c r="N697" s="21">
        <v>0</v>
      </c>
      <c r="O697" s="21">
        <v>0</v>
      </c>
      <c r="P697" s="21">
        <v>0</v>
      </c>
      <c r="Q697" s="21">
        <v>0</v>
      </c>
      <c r="R697" s="21" t="s">
        <v>2272</v>
      </c>
      <c r="S697" s="21" t="s">
        <v>2272</v>
      </c>
      <c r="T697" s="21">
        <v>0</v>
      </c>
      <c r="U697" s="21">
        <v>0</v>
      </c>
      <c r="V697" s="21">
        <v>0</v>
      </c>
      <c r="W697" s="21">
        <v>0</v>
      </c>
      <c r="X697" s="21">
        <v>0</v>
      </c>
      <c r="Y697" s="21">
        <v>0</v>
      </c>
      <c r="Z697" s="21" t="s">
        <v>2272</v>
      </c>
      <c r="AA697" s="198" t="s">
        <v>2272</v>
      </c>
      <c r="AB697" s="198" t="s">
        <v>2272</v>
      </c>
      <c r="AC697" s="198" t="s">
        <v>2272</v>
      </c>
      <c r="AD697" s="4" t="s">
        <v>1722</v>
      </c>
      <c r="AE697" s="198"/>
    </row>
    <row r="698" spans="1:31" ht="49.5" customHeight="1">
      <c r="A698" s="198" t="s">
        <v>1509</v>
      </c>
      <c r="B698" s="198" t="s">
        <v>1659</v>
      </c>
      <c r="C698" s="198" t="s">
        <v>23</v>
      </c>
      <c r="D698" s="198" t="s">
        <v>141</v>
      </c>
      <c r="E698" s="198" t="s">
        <v>860</v>
      </c>
      <c r="F698" s="4" t="s">
        <v>73</v>
      </c>
      <c r="G698" s="4"/>
      <c r="H698" s="198" t="s">
        <v>522</v>
      </c>
      <c r="I698" s="198"/>
      <c r="J698" s="21">
        <v>0</v>
      </c>
      <c r="K698" s="21">
        <v>0</v>
      </c>
      <c r="L698" s="21">
        <v>0</v>
      </c>
      <c r="M698" s="21">
        <v>0</v>
      </c>
      <c r="N698" s="21">
        <v>0</v>
      </c>
      <c r="O698" s="21">
        <v>0</v>
      </c>
      <c r="P698" s="21">
        <v>0</v>
      </c>
      <c r="Q698" s="21">
        <v>0</v>
      </c>
      <c r="R698" s="21" t="s">
        <v>2272</v>
      </c>
      <c r="S698" s="21" t="s">
        <v>2272</v>
      </c>
      <c r="T698" s="21">
        <v>0</v>
      </c>
      <c r="U698" s="21">
        <v>0</v>
      </c>
      <c r="V698" s="21">
        <v>0</v>
      </c>
      <c r="W698" s="21">
        <v>0</v>
      </c>
      <c r="X698" s="21">
        <v>0</v>
      </c>
      <c r="Y698" s="21">
        <v>0</v>
      </c>
      <c r="Z698" s="21" t="s">
        <v>2272</v>
      </c>
      <c r="AA698" s="198" t="s">
        <v>2272</v>
      </c>
      <c r="AB698" s="198" t="s">
        <v>2272</v>
      </c>
      <c r="AC698" s="198" t="s">
        <v>2272</v>
      </c>
      <c r="AD698" s="4" t="s">
        <v>1722</v>
      </c>
      <c r="AE698" s="198"/>
    </row>
    <row r="699" spans="1:31" ht="49.5" customHeight="1">
      <c r="A699" s="198" t="s">
        <v>1510</v>
      </c>
      <c r="B699" s="198" t="s">
        <v>1660</v>
      </c>
      <c r="C699" s="198" t="s">
        <v>23</v>
      </c>
      <c r="D699" s="198" t="s">
        <v>141</v>
      </c>
      <c r="E699" s="198" t="s">
        <v>860</v>
      </c>
      <c r="F699" s="4" t="s">
        <v>73</v>
      </c>
      <c r="G699" s="4"/>
      <c r="H699" s="198" t="s">
        <v>522</v>
      </c>
      <c r="I699" s="198"/>
      <c r="J699" s="21">
        <v>0</v>
      </c>
      <c r="K699" s="21">
        <v>0</v>
      </c>
      <c r="L699" s="21">
        <v>0</v>
      </c>
      <c r="M699" s="21">
        <v>0</v>
      </c>
      <c r="N699" s="21">
        <v>0</v>
      </c>
      <c r="O699" s="21">
        <v>0</v>
      </c>
      <c r="P699" s="21">
        <v>0</v>
      </c>
      <c r="Q699" s="21">
        <v>0</v>
      </c>
      <c r="R699" s="21" t="s">
        <v>2272</v>
      </c>
      <c r="S699" s="21" t="s">
        <v>2272</v>
      </c>
      <c r="T699" s="21">
        <v>0</v>
      </c>
      <c r="U699" s="21">
        <v>0</v>
      </c>
      <c r="V699" s="21">
        <v>0</v>
      </c>
      <c r="W699" s="21">
        <v>0</v>
      </c>
      <c r="X699" s="21">
        <v>0</v>
      </c>
      <c r="Y699" s="21">
        <v>0</v>
      </c>
      <c r="Z699" s="21" t="s">
        <v>2272</v>
      </c>
      <c r="AA699" s="198" t="s">
        <v>2272</v>
      </c>
      <c r="AB699" s="198" t="s">
        <v>2272</v>
      </c>
      <c r="AC699" s="198" t="s">
        <v>2272</v>
      </c>
      <c r="AD699" s="4" t="s">
        <v>1722</v>
      </c>
      <c r="AE699" s="198"/>
    </row>
    <row r="700" spans="1:31" ht="49.5" customHeight="1">
      <c r="A700" s="198" t="s">
        <v>1511</v>
      </c>
      <c r="B700" s="198" t="s">
        <v>1661</v>
      </c>
      <c r="C700" s="198" t="s">
        <v>23</v>
      </c>
      <c r="D700" s="198" t="s">
        <v>141</v>
      </c>
      <c r="E700" s="198" t="s">
        <v>860</v>
      </c>
      <c r="F700" s="4" t="s">
        <v>73</v>
      </c>
      <c r="G700" s="4"/>
      <c r="H700" s="198" t="s">
        <v>522</v>
      </c>
      <c r="I700" s="198"/>
      <c r="J700" s="21">
        <v>0</v>
      </c>
      <c r="K700" s="21">
        <v>0</v>
      </c>
      <c r="L700" s="21">
        <v>0</v>
      </c>
      <c r="M700" s="21">
        <v>0</v>
      </c>
      <c r="N700" s="21">
        <v>0</v>
      </c>
      <c r="O700" s="21">
        <v>0</v>
      </c>
      <c r="P700" s="21">
        <v>0</v>
      </c>
      <c r="Q700" s="21">
        <v>0</v>
      </c>
      <c r="R700" s="21" t="s">
        <v>2272</v>
      </c>
      <c r="S700" s="21" t="s">
        <v>2272</v>
      </c>
      <c r="T700" s="21">
        <v>0</v>
      </c>
      <c r="U700" s="21">
        <v>0</v>
      </c>
      <c r="V700" s="21">
        <v>0</v>
      </c>
      <c r="W700" s="21">
        <v>0</v>
      </c>
      <c r="X700" s="21">
        <v>0</v>
      </c>
      <c r="Y700" s="21">
        <v>0</v>
      </c>
      <c r="Z700" s="21" t="s">
        <v>2272</v>
      </c>
      <c r="AA700" s="198" t="s">
        <v>2272</v>
      </c>
      <c r="AB700" s="198" t="s">
        <v>2272</v>
      </c>
      <c r="AC700" s="198" t="s">
        <v>2272</v>
      </c>
      <c r="AD700" s="4" t="s">
        <v>1722</v>
      </c>
      <c r="AE700" s="198"/>
    </row>
    <row r="701" spans="1:31" ht="49.5" customHeight="1">
      <c r="A701" s="198" t="s">
        <v>1512</v>
      </c>
      <c r="B701" s="198" t="s">
        <v>1662</v>
      </c>
      <c r="C701" s="198" t="s">
        <v>23</v>
      </c>
      <c r="D701" s="198" t="s">
        <v>141</v>
      </c>
      <c r="E701" s="198" t="s">
        <v>860</v>
      </c>
      <c r="F701" s="4" t="s">
        <v>73</v>
      </c>
      <c r="G701" s="4"/>
      <c r="H701" s="198" t="s">
        <v>522</v>
      </c>
      <c r="I701" s="198"/>
      <c r="J701" s="21">
        <v>0</v>
      </c>
      <c r="K701" s="21">
        <v>0</v>
      </c>
      <c r="L701" s="21">
        <v>0</v>
      </c>
      <c r="M701" s="21">
        <v>0</v>
      </c>
      <c r="N701" s="21">
        <v>0</v>
      </c>
      <c r="O701" s="21">
        <v>0</v>
      </c>
      <c r="P701" s="21">
        <v>0</v>
      </c>
      <c r="Q701" s="21">
        <v>0</v>
      </c>
      <c r="R701" s="21" t="s">
        <v>2272</v>
      </c>
      <c r="S701" s="21" t="s">
        <v>2272</v>
      </c>
      <c r="T701" s="21">
        <v>0</v>
      </c>
      <c r="U701" s="21">
        <v>0</v>
      </c>
      <c r="V701" s="21">
        <v>0</v>
      </c>
      <c r="W701" s="21">
        <v>0</v>
      </c>
      <c r="X701" s="21">
        <v>0</v>
      </c>
      <c r="Y701" s="21">
        <v>0</v>
      </c>
      <c r="Z701" s="21" t="s">
        <v>2272</v>
      </c>
      <c r="AA701" s="198" t="s">
        <v>2272</v>
      </c>
      <c r="AB701" s="198" t="s">
        <v>2272</v>
      </c>
      <c r="AC701" s="198" t="s">
        <v>2272</v>
      </c>
      <c r="AD701" s="4" t="s">
        <v>1722</v>
      </c>
      <c r="AE701" s="198"/>
    </row>
    <row r="702" spans="1:31" ht="49.5" customHeight="1">
      <c r="A702" s="198" t="s">
        <v>1513</v>
      </c>
      <c r="B702" s="198" t="s">
        <v>1663</v>
      </c>
      <c r="C702" s="198" t="s">
        <v>23</v>
      </c>
      <c r="D702" s="198" t="s">
        <v>141</v>
      </c>
      <c r="E702" s="198" t="s">
        <v>860</v>
      </c>
      <c r="F702" s="4" t="s">
        <v>73</v>
      </c>
      <c r="G702" s="4"/>
      <c r="H702" s="198" t="s">
        <v>522</v>
      </c>
      <c r="I702" s="198"/>
      <c r="J702" s="21">
        <v>0</v>
      </c>
      <c r="K702" s="21">
        <v>0</v>
      </c>
      <c r="L702" s="21">
        <v>0</v>
      </c>
      <c r="M702" s="21">
        <v>0</v>
      </c>
      <c r="N702" s="21">
        <v>0</v>
      </c>
      <c r="O702" s="21">
        <v>0</v>
      </c>
      <c r="P702" s="21">
        <v>0</v>
      </c>
      <c r="Q702" s="21">
        <v>0</v>
      </c>
      <c r="R702" s="21" t="s">
        <v>2272</v>
      </c>
      <c r="S702" s="21" t="s">
        <v>2272</v>
      </c>
      <c r="T702" s="21">
        <v>0</v>
      </c>
      <c r="U702" s="21">
        <v>0</v>
      </c>
      <c r="V702" s="21">
        <v>0</v>
      </c>
      <c r="W702" s="21">
        <v>0</v>
      </c>
      <c r="X702" s="21">
        <v>0</v>
      </c>
      <c r="Y702" s="21">
        <v>0</v>
      </c>
      <c r="Z702" s="21" t="s">
        <v>2272</v>
      </c>
      <c r="AA702" s="198" t="s">
        <v>2272</v>
      </c>
      <c r="AB702" s="198" t="s">
        <v>2272</v>
      </c>
      <c r="AC702" s="198" t="s">
        <v>2272</v>
      </c>
      <c r="AD702" s="4" t="s">
        <v>1722</v>
      </c>
      <c r="AE702" s="198"/>
    </row>
    <row r="703" spans="1:31" ht="49.5" customHeight="1">
      <c r="A703" s="198" t="s">
        <v>1514</v>
      </c>
      <c r="B703" s="198" t="s">
        <v>1664</v>
      </c>
      <c r="C703" s="198" t="s">
        <v>23</v>
      </c>
      <c r="D703" s="198" t="s">
        <v>141</v>
      </c>
      <c r="E703" s="198" t="s">
        <v>860</v>
      </c>
      <c r="F703" s="4" t="s">
        <v>73</v>
      </c>
      <c r="G703" s="4"/>
      <c r="H703" s="198" t="s">
        <v>522</v>
      </c>
      <c r="I703" s="198"/>
      <c r="J703" s="21">
        <v>0</v>
      </c>
      <c r="K703" s="21">
        <v>0</v>
      </c>
      <c r="L703" s="21">
        <v>0</v>
      </c>
      <c r="M703" s="21">
        <v>0</v>
      </c>
      <c r="N703" s="21">
        <v>0</v>
      </c>
      <c r="O703" s="21">
        <v>0</v>
      </c>
      <c r="P703" s="21">
        <v>0</v>
      </c>
      <c r="Q703" s="21">
        <v>0</v>
      </c>
      <c r="R703" s="21" t="s">
        <v>2272</v>
      </c>
      <c r="S703" s="21" t="s">
        <v>2272</v>
      </c>
      <c r="T703" s="21">
        <v>0</v>
      </c>
      <c r="U703" s="21">
        <v>0</v>
      </c>
      <c r="V703" s="21">
        <v>0</v>
      </c>
      <c r="W703" s="21">
        <v>0</v>
      </c>
      <c r="X703" s="21">
        <v>0</v>
      </c>
      <c r="Y703" s="21">
        <v>0</v>
      </c>
      <c r="Z703" s="21" t="s">
        <v>2272</v>
      </c>
      <c r="AA703" s="198" t="s">
        <v>2272</v>
      </c>
      <c r="AB703" s="198" t="s">
        <v>2272</v>
      </c>
      <c r="AC703" s="198" t="s">
        <v>2272</v>
      </c>
      <c r="AD703" s="4" t="s">
        <v>1722</v>
      </c>
      <c r="AE703" s="198"/>
    </row>
    <row r="704" spans="1:31" ht="49.5" customHeight="1">
      <c r="A704" s="198" t="s">
        <v>1515</v>
      </c>
      <c r="B704" s="198" t="s">
        <v>1665</v>
      </c>
      <c r="C704" s="198" t="s">
        <v>23</v>
      </c>
      <c r="D704" s="198" t="s">
        <v>141</v>
      </c>
      <c r="E704" s="198" t="s">
        <v>860</v>
      </c>
      <c r="F704" s="4" t="s">
        <v>73</v>
      </c>
      <c r="G704" s="4"/>
      <c r="H704" s="198" t="s">
        <v>522</v>
      </c>
      <c r="I704" s="198"/>
      <c r="J704" s="21">
        <v>0</v>
      </c>
      <c r="K704" s="21">
        <v>0</v>
      </c>
      <c r="L704" s="21">
        <v>0</v>
      </c>
      <c r="M704" s="21">
        <v>0</v>
      </c>
      <c r="N704" s="21">
        <v>0</v>
      </c>
      <c r="O704" s="21">
        <v>0</v>
      </c>
      <c r="P704" s="21">
        <v>0</v>
      </c>
      <c r="Q704" s="21">
        <v>0</v>
      </c>
      <c r="R704" s="21" t="s">
        <v>2272</v>
      </c>
      <c r="S704" s="21" t="s">
        <v>2272</v>
      </c>
      <c r="T704" s="21">
        <v>0</v>
      </c>
      <c r="U704" s="21">
        <v>0</v>
      </c>
      <c r="V704" s="21">
        <v>0</v>
      </c>
      <c r="W704" s="21">
        <v>0</v>
      </c>
      <c r="X704" s="21">
        <v>0</v>
      </c>
      <c r="Y704" s="21">
        <v>0</v>
      </c>
      <c r="Z704" s="21" t="s">
        <v>2272</v>
      </c>
      <c r="AA704" s="198" t="s">
        <v>2272</v>
      </c>
      <c r="AB704" s="198" t="s">
        <v>2272</v>
      </c>
      <c r="AC704" s="198" t="s">
        <v>2272</v>
      </c>
      <c r="AD704" s="4" t="s">
        <v>1722</v>
      </c>
      <c r="AE704" s="198"/>
    </row>
    <row r="705" spans="1:31" ht="49.5" customHeight="1">
      <c r="A705" s="198" t="s">
        <v>1516</v>
      </c>
      <c r="B705" s="198" t="s">
        <v>1666</v>
      </c>
      <c r="C705" s="198" t="s">
        <v>23</v>
      </c>
      <c r="D705" s="198" t="s">
        <v>141</v>
      </c>
      <c r="E705" s="198" t="s">
        <v>860</v>
      </c>
      <c r="F705" s="4" t="s">
        <v>73</v>
      </c>
      <c r="G705" s="4"/>
      <c r="H705" s="198" t="s">
        <v>522</v>
      </c>
      <c r="I705" s="198"/>
      <c r="J705" s="21">
        <v>0</v>
      </c>
      <c r="K705" s="21">
        <v>0</v>
      </c>
      <c r="L705" s="21">
        <v>0</v>
      </c>
      <c r="M705" s="21">
        <v>0</v>
      </c>
      <c r="N705" s="21">
        <v>0</v>
      </c>
      <c r="O705" s="21">
        <v>0</v>
      </c>
      <c r="P705" s="21">
        <v>0</v>
      </c>
      <c r="Q705" s="21">
        <v>0</v>
      </c>
      <c r="R705" s="21" t="s">
        <v>2272</v>
      </c>
      <c r="S705" s="21" t="s">
        <v>2272</v>
      </c>
      <c r="T705" s="21">
        <v>0</v>
      </c>
      <c r="U705" s="21">
        <v>0</v>
      </c>
      <c r="V705" s="21">
        <v>0</v>
      </c>
      <c r="W705" s="21">
        <v>0</v>
      </c>
      <c r="X705" s="21">
        <v>0</v>
      </c>
      <c r="Y705" s="21">
        <v>0</v>
      </c>
      <c r="Z705" s="21" t="s">
        <v>2272</v>
      </c>
      <c r="AA705" s="198" t="s">
        <v>2272</v>
      </c>
      <c r="AB705" s="198" t="s">
        <v>2272</v>
      </c>
      <c r="AC705" s="198" t="s">
        <v>2272</v>
      </c>
      <c r="AD705" s="4" t="s">
        <v>1722</v>
      </c>
      <c r="AE705" s="198"/>
    </row>
    <row r="706" spans="1:31" ht="49.5" customHeight="1">
      <c r="A706" s="198" t="s">
        <v>1517</v>
      </c>
      <c r="B706" s="198" t="s">
        <v>1667</v>
      </c>
      <c r="C706" s="198" t="s">
        <v>23</v>
      </c>
      <c r="D706" s="198" t="s">
        <v>141</v>
      </c>
      <c r="E706" s="198" t="s">
        <v>860</v>
      </c>
      <c r="F706" s="4" t="s">
        <v>73</v>
      </c>
      <c r="G706" s="4"/>
      <c r="H706" s="198" t="s">
        <v>522</v>
      </c>
      <c r="I706" s="198"/>
      <c r="J706" s="21">
        <v>0</v>
      </c>
      <c r="K706" s="21">
        <v>0</v>
      </c>
      <c r="L706" s="21">
        <v>0</v>
      </c>
      <c r="M706" s="21">
        <v>0</v>
      </c>
      <c r="N706" s="21">
        <v>0</v>
      </c>
      <c r="O706" s="21">
        <v>0</v>
      </c>
      <c r="P706" s="21">
        <v>0</v>
      </c>
      <c r="Q706" s="21">
        <v>0</v>
      </c>
      <c r="R706" s="21" t="s">
        <v>2272</v>
      </c>
      <c r="S706" s="21" t="s">
        <v>2272</v>
      </c>
      <c r="T706" s="21">
        <v>0</v>
      </c>
      <c r="U706" s="21">
        <v>0</v>
      </c>
      <c r="V706" s="21">
        <v>0</v>
      </c>
      <c r="W706" s="21">
        <v>0</v>
      </c>
      <c r="X706" s="21">
        <v>0</v>
      </c>
      <c r="Y706" s="21">
        <v>0</v>
      </c>
      <c r="Z706" s="21" t="s">
        <v>2272</v>
      </c>
      <c r="AA706" s="198" t="s">
        <v>2272</v>
      </c>
      <c r="AB706" s="198" t="s">
        <v>2272</v>
      </c>
      <c r="AC706" s="198" t="s">
        <v>2272</v>
      </c>
      <c r="AD706" s="4" t="s">
        <v>1722</v>
      </c>
      <c r="AE706" s="198"/>
    </row>
    <row r="707" spans="1:31" ht="49.5" customHeight="1">
      <c r="A707" s="198" t="s">
        <v>1518</v>
      </c>
      <c r="B707" s="198" t="s">
        <v>1668</v>
      </c>
      <c r="C707" s="198" t="s">
        <v>23</v>
      </c>
      <c r="D707" s="198" t="s">
        <v>141</v>
      </c>
      <c r="E707" s="198" t="s">
        <v>860</v>
      </c>
      <c r="F707" s="4" t="s">
        <v>73</v>
      </c>
      <c r="G707" s="4"/>
      <c r="H707" s="198" t="s">
        <v>522</v>
      </c>
      <c r="I707" s="198"/>
      <c r="J707" s="21">
        <v>0</v>
      </c>
      <c r="K707" s="21">
        <v>0</v>
      </c>
      <c r="L707" s="21">
        <v>0</v>
      </c>
      <c r="M707" s="21">
        <v>0</v>
      </c>
      <c r="N707" s="21">
        <v>0</v>
      </c>
      <c r="O707" s="21">
        <v>0</v>
      </c>
      <c r="P707" s="21">
        <v>0</v>
      </c>
      <c r="Q707" s="21">
        <v>0</v>
      </c>
      <c r="R707" s="21" t="s">
        <v>2272</v>
      </c>
      <c r="S707" s="21" t="s">
        <v>2272</v>
      </c>
      <c r="T707" s="21">
        <v>0</v>
      </c>
      <c r="U707" s="21">
        <v>0</v>
      </c>
      <c r="V707" s="21">
        <v>0</v>
      </c>
      <c r="W707" s="21">
        <v>0</v>
      </c>
      <c r="X707" s="21">
        <v>0</v>
      </c>
      <c r="Y707" s="21">
        <v>0</v>
      </c>
      <c r="Z707" s="21" t="s">
        <v>2272</v>
      </c>
      <c r="AA707" s="198" t="s">
        <v>2272</v>
      </c>
      <c r="AB707" s="198" t="s">
        <v>2272</v>
      </c>
      <c r="AC707" s="198" t="s">
        <v>2272</v>
      </c>
      <c r="AD707" s="4" t="s">
        <v>1722</v>
      </c>
      <c r="AE707" s="198"/>
    </row>
    <row r="708" spans="1:31" ht="49.5" customHeight="1">
      <c r="A708" s="198" t="s">
        <v>1519</v>
      </c>
      <c r="B708" s="198" t="s">
        <v>1669</v>
      </c>
      <c r="C708" s="198" t="s">
        <v>23</v>
      </c>
      <c r="D708" s="198" t="s">
        <v>141</v>
      </c>
      <c r="E708" s="198" t="s">
        <v>860</v>
      </c>
      <c r="F708" s="4" t="s">
        <v>73</v>
      </c>
      <c r="G708" s="4"/>
      <c r="H708" s="198" t="s">
        <v>522</v>
      </c>
      <c r="I708" s="198"/>
      <c r="J708" s="21">
        <v>0</v>
      </c>
      <c r="K708" s="21">
        <v>0</v>
      </c>
      <c r="L708" s="21">
        <v>0</v>
      </c>
      <c r="M708" s="21">
        <v>0</v>
      </c>
      <c r="N708" s="21">
        <v>0</v>
      </c>
      <c r="O708" s="21">
        <v>0</v>
      </c>
      <c r="P708" s="21">
        <v>0</v>
      </c>
      <c r="Q708" s="21">
        <v>0</v>
      </c>
      <c r="R708" s="21" t="s">
        <v>2272</v>
      </c>
      <c r="S708" s="21" t="s">
        <v>2272</v>
      </c>
      <c r="T708" s="21">
        <v>0</v>
      </c>
      <c r="U708" s="21">
        <v>0</v>
      </c>
      <c r="V708" s="21">
        <v>0</v>
      </c>
      <c r="W708" s="21">
        <v>0</v>
      </c>
      <c r="X708" s="21">
        <v>0</v>
      </c>
      <c r="Y708" s="21">
        <v>0</v>
      </c>
      <c r="Z708" s="21" t="s">
        <v>2272</v>
      </c>
      <c r="AA708" s="198" t="s">
        <v>2272</v>
      </c>
      <c r="AB708" s="198" t="s">
        <v>2272</v>
      </c>
      <c r="AC708" s="198" t="s">
        <v>2272</v>
      </c>
      <c r="AD708" s="4" t="s">
        <v>1722</v>
      </c>
      <c r="AE708" s="198"/>
    </row>
    <row r="709" spans="1:31" ht="49.5" customHeight="1">
      <c r="A709" s="198" t="s">
        <v>1520</v>
      </c>
      <c r="B709" s="198" t="s">
        <v>1670</v>
      </c>
      <c r="C709" s="198" t="s">
        <v>23</v>
      </c>
      <c r="D709" s="198" t="s">
        <v>141</v>
      </c>
      <c r="E709" s="198" t="s">
        <v>860</v>
      </c>
      <c r="F709" s="4" t="s">
        <v>73</v>
      </c>
      <c r="G709" s="4"/>
      <c r="H709" s="198" t="s">
        <v>522</v>
      </c>
      <c r="I709" s="198"/>
      <c r="J709" s="21">
        <v>0</v>
      </c>
      <c r="K709" s="21">
        <v>0</v>
      </c>
      <c r="L709" s="21">
        <v>0</v>
      </c>
      <c r="M709" s="21">
        <v>0</v>
      </c>
      <c r="N709" s="21">
        <v>0</v>
      </c>
      <c r="O709" s="21">
        <v>0</v>
      </c>
      <c r="P709" s="21">
        <v>0</v>
      </c>
      <c r="Q709" s="21">
        <v>0</v>
      </c>
      <c r="R709" s="21" t="s">
        <v>2272</v>
      </c>
      <c r="S709" s="21" t="s">
        <v>2272</v>
      </c>
      <c r="T709" s="21">
        <v>0</v>
      </c>
      <c r="U709" s="21">
        <v>0</v>
      </c>
      <c r="V709" s="21">
        <v>0</v>
      </c>
      <c r="W709" s="21">
        <v>0</v>
      </c>
      <c r="X709" s="21">
        <v>0</v>
      </c>
      <c r="Y709" s="21">
        <v>0</v>
      </c>
      <c r="Z709" s="21" t="s">
        <v>2272</v>
      </c>
      <c r="AA709" s="198" t="s">
        <v>2272</v>
      </c>
      <c r="AB709" s="198" t="s">
        <v>2272</v>
      </c>
      <c r="AC709" s="198" t="s">
        <v>2272</v>
      </c>
      <c r="AD709" s="4" t="s">
        <v>1722</v>
      </c>
      <c r="AE709" s="198"/>
    </row>
    <row r="710" spans="1:31" ht="49.5" customHeight="1">
      <c r="A710" s="198" t="s">
        <v>1521</v>
      </c>
      <c r="B710" s="198" t="s">
        <v>1671</v>
      </c>
      <c r="C710" s="198" t="s">
        <v>23</v>
      </c>
      <c r="D710" s="198" t="s">
        <v>141</v>
      </c>
      <c r="E710" s="198" t="s">
        <v>860</v>
      </c>
      <c r="F710" s="4" t="s">
        <v>73</v>
      </c>
      <c r="G710" s="4"/>
      <c r="H710" s="198" t="s">
        <v>522</v>
      </c>
      <c r="I710" s="198"/>
      <c r="J710" s="21">
        <v>0</v>
      </c>
      <c r="K710" s="21">
        <v>0</v>
      </c>
      <c r="L710" s="21">
        <v>0</v>
      </c>
      <c r="M710" s="21">
        <v>0</v>
      </c>
      <c r="N710" s="21">
        <v>0</v>
      </c>
      <c r="O710" s="21">
        <v>0</v>
      </c>
      <c r="P710" s="21">
        <v>0</v>
      </c>
      <c r="Q710" s="21">
        <v>0</v>
      </c>
      <c r="R710" s="21" t="s">
        <v>2272</v>
      </c>
      <c r="S710" s="21" t="s">
        <v>2272</v>
      </c>
      <c r="T710" s="21">
        <v>0</v>
      </c>
      <c r="U710" s="21">
        <v>0</v>
      </c>
      <c r="V710" s="21">
        <v>0</v>
      </c>
      <c r="W710" s="21">
        <v>0</v>
      </c>
      <c r="X710" s="21">
        <v>0</v>
      </c>
      <c r="Y710" s="21">
        <v>0</v>
      </c>
      <c r="Z710" s="21" t="s">
        <v>2272</v>
      </c>
      <c r="AA710" s="198" t="s">
        <v>2272</v>
      </c>
      <c r="AB710" s="198" t="s">
        <v>2272</v>
      </c>
      <c r="AC710" s="198" t="s">
        <v>2272</v>
      </c>
      <c r="AD710" s="4" t="s">
        <v>1722</v>
      </c>
      <c r="AE710" s="198"/>
    </row>
    <row r="711" spans="1:31" ht="49.5" customHeight="1">
      <c r="A711" s="198" t="s">
        <v>1522</v>
      </c>
      <c r="B711" s="198" t="s">
        <v>1672</v>
      </c>
      <c r="C711" s="198" t="s">
        <v>23</v>
      </c>
      <c r="D711" s="198" t="s">
        <v>141</v>
      </c>
      <c r="E711" s="198" t="s">
        <v>860</v>
      </c>
      <c r="F711" s="4" t="s">
        <v>73</v>
      </c>
      <c r="G711" s="4"/>
      <c r="H711" s="198" t="s">
        <v>522</v>
      </c>
      <c r="I711" s="198"/>
      <c r="J711" s="21">
        <v>0</v>
      </c>
      <c r="K711" s="21">
        <v>0</v>
      </c>
      <c r="L711" s="21">
        <v>0</v>
      </c>
      <c r="M711" s="21">
        <v>0</v>
      </c>
      <c r="N711" s="21">
        <v>0</v>
      </c>
      <c r="O711" s="21">
        <v>0</v>
      </c>
      <c r="P711" s="21">
        <v>0</v>
      </c>
      <c r="Q711" s="21">
        <v>0</v>
      </c>
      <c r="R711" s="21" t="s">
        <v>2272</v>
      </c>
      <c r="S711" s="21" t="s">
        <v>2272</v>
      </c>
      <c r="T711" s="21">
        <v>0</v>
      </c>
      <c r="U711" s="21">
        <v>0</v>
      </c>
      <c r="V711" s="21">
        <v>0</v>
      </c>
      <c r="W711" s="21">
        <v>0</v>
      </c>
      <c r="X711" s="21">
        <v>0</v>
      </c>
      <c r="Y711" s="21">
        <v>0</v>
      </c>
      <c r="Z711" s="21" t="s">
        <v>2272</v>
      </c>
      <c r="AA711" s="198" t="s">
        <v>2272</v>
      </c>
      <c r="AB711" s="198" t="s">
        <v>2272</v>
      </c>
      <c r="AC711" s="198" t="s">
        <v>2272</v>
      </c>
      <c r="AD711" s="4" t="s">
        <v>1722</v>
      </c>
      <c r="AE711" s="198"/>
    </row>
    <row r="712" spans="1:31" ht="49.5" customHeight="1">
      <c r="A712" s="198" t="s">
        <v>1523</v>
      </c>
      <c r="B712" s="198" t="s">
        <v>1673</v>
      </c>
      <c r="C712" s="198" t="s">
        <v>23</v>
      </c>
      <c r="D712" s="198" t="s">
        <v>141</v>
      </c>
      <c r="E712" s="198" t="s">
        <v>860</v>
      </c>
      <c r="F712" s="4" t="s">
        <v>73</v>
      </c>
      <c r="G712" s="4"/>
      <c r="H712" s="198" t="s">
        <v>522</v>
      </c>
      <c r="I712" s="198"/>
      <c r="J712" s="21">
        <v>0</v>
      </c>
      <c r="K712" s="21">
        <v>0</v>
      </c>
      <c r="L712" s="21">
        <v>0</v>
      </c>
      <c r="M712" s="21">
        <v>0</v>
      </c>
      <c r="N712" s="21">
        <v>0</v>
      </c>
      <c r="O712" s="21">
        <v>0</v>
      </c>
      <c r="P712" s="21">
        <v>0</v>
      </c>
      <c r="Q712" s="21">
        <v>0</v>
      </c>
      <c r="R712" s="21" t="s">
        <v>2272</v>
      </c>
      <c r="S712" s="21" t="s">
        <v>2272</v>
      </c>
      <c r="T712" s="21">
        <v>0</v>
      </c>
      <c r="U712" s="21">
        <v>0</v>
      </c>
      <c r="V712" s="21">
        <v>0</v>
      </c>
      <c r="W712" s="21">
        <v>0</v>
      </c>
      <c r="X712" s="21">
        <v>0</v>
      </c>
      <c r="Y712" s="21">
        <v>0</v>
      </c>
      <c r="Z712" s="21" t="s">
        <v>2272</v>
      </c>
      <c r="AA712" s="198" t="s">
        <v>2272</v>
      </c>
      <c r="AB712" s="198" t="s">
        <v>2272</v>
      </c>
      <c r="AC712" s="198" t="s">
        <v>2272</v>
      </c>
      <c r="AD712" s="4" t="s">
        <v>1722</v>
      </c>
      <c r="AE712" s="198"/>
    </row>
    <row r="713" spans="1:31" ht="49.5" customHeight="1">
      <c r="A713" s="198" t="s">
        <v>1524</v>
      </c>
      <c r="B713" s="198" t="s">
        <v>1674</v>
      </c>
      <c r="C713" s="198" t="s">
        <v>23</v>
      </c>
      <c r="D713" s="198" t="s">
        <v>141</v>
      </c>
      <c r="E713" s="198" t="s">
        <v>860</v>
      </c>
      <c r="F713" s="4" t="s">
        <v>73</v>
      </c>
      <c r="G713" s="4"/>
      <c r="H713" s="198" t="s">
        <v>522</v>
      </c>
      <c r="I713" s="198"/>
      <c r="J713" s="21">
        <v>0</v>
      </c>
      <c r="K713" s="21">
        <v>0</v>
      </c>
      <c r="L713" s="21">
        <v>0</v>
      </c>
      <c r="M713" s="21">
        <v>0</v>
      </c>
      <c r="N713" s="21">
        <v>0</v>
      </c>
      <c r="O713" s="21">
        <v>0</v>
      </c>
      <c r="P713" s="21">
        <v>0</v>
      </c>
      <c r="Q713" s="21">
        <v>0</v>
      </c>
      <c r="R713" s="21" t="s">
        <v>2272</v>
      </c>
      <c r="S713" s="21" t="s">
        <v>2272</v>
      </c>
      <c r="T713" s="21">
        <v>0</v>
      </c>
      <c r="U713" s="21">
        <v>0</v>
      </c>
      <c r="V713" s="21">
        <v>0</v>
      </c>
      <c r="W713" s="21">
        <v>0</v>
      </c>
      <c r="X713" s="21">
        <v>0</v>
      </c>
      <c r="Y713" s="21">
        <v>0</v>
      </c>
      <c r="Z713" s="21" t="s">
        <v>2272</v>
      </c>
      <c r="AA713" s="198" t="s">
        <v>2272</v>
      </c>
      <c r="AB713" s="198" t="s">
        <v>2272</v>
      </c>
      <c r="AC713" s="198" t="s">
        <v>2272</v>
      </c>
      <c r="AD713" s="4" t="s">
        <v>1722</v>
      </c>
      <c r="AE713" s="198"/>
    </row>
    <row r="714" spans="1:31" ht="49.5" customHeight="1">
      <c r="A714" s="198" t="s">
        <v>1525</v>
      </c>
      <c r="B714" s="198" t="s">
        <v>1675</v>
      </c>
      <c r="C714" s="198" t="s">
        <v>23</v>
      </c>
      <c r="D714" s="198" t="s">
        <v>141</v>
      </c>
      <c r="E714" s="198" t="s">
        <v>860</v>
      </c>
      <c r="F714" s="4" t="s">
        <v>73</v>
      </c>
      <c r="G714" s="4"/>
      <c r="H714" s="198" t="s">
        <v>522</v>
      </c>
      <c r="I714" s="198"/>
      <c r="J714" s="21">
        <v>0</v>
      </c>
      <c r="K714" s="21">
        <v>0</v>
      </c>
      <c r="L714" s="21">
        <v>0</v>
      </c>
      <c r="M714" s="21">
        <v>0</v>
      </c>
      <c r="N714" s="21">
        <v>0</v>
      </c>
      <c r="O714" s="21">
        <v>0</v>
      </c>
      <c r="P714" s="21">
        <v>0</v>
      </c>
      <c r="Q714" s="21">
        <v>0</v>
      </c>
      <c r="R714" s="21" t="s">
        <v>2272</v>
      </c>
      <c r="S714" s="21" t="s">
        <v>2272</v>
      </c>
      <c r="T714" s="21">
        <v>0</v>
      </c>
      <c r="U714" s="21">
        <v>0</v>
      </c>
      <c r="V714" s="21">
        <v>0</v>
      </c>
      <c r="W714" s="21">
        <v>0</v>
      </c>
      <c r="X714" s="21">
        <v>0</v>
      </c>
      <c r="Y714" s="21">
        <v>0</v>
      </c>
      <c r="Z714" s="21" t="s">
        <v>2272</v>
      </c>
      <c r="AA714" s="198" t="s">
        <v>2272</v>
      </c>
      <c r="AB714" s="198" t="s">
        <v>2272</v>
      </c>
      <c r="AC714" s="198" t="s">
        <v>2272</v>
      </c>
      <c r="AD714" s="4" t="s">
        <v>1722</v>
      </c>
      <c r="AE714" s="198"/>
    </row>
    <row r="715" spans="1:31" ht="49.5" customHeight="1">
      <c r="A715" s="198" t="s">
        <v>1526</v>
      </c>
      <c r="B715" s="198" t="s">
        <v>1676</v>
      </c>
      <c r="C715" s="198" t="s">
        <v>23</v>
      </c>
      <c r="D715" s="198" t="s">
        <v>141</v>
      </c>
      <c r="E715" s="198" t="s">
        <v>860</v>
      </c>
      <c r="F715" s="4" t="s">
        <v>73</v>
      </c>
      <c r="G715" s="4"/>
      <c r="H715" s="198" t="s">
        <v>522</v>
      </c>
      <c r="I715" s="198"/>
      <c r="J715" s="21">
        <v>0</v>
      </c>
      <c r="K715" s="21">
        <v>0</v>
      </c>
      <c r="L715" s="21">
        <v>0</v>
      </c>
      <c r="M715" s="21">
        <v>0</v>
      </c>
      <c r="N715" s="21">
        <v>0</v>
      </c>
      <c r="O715" s="21">
        <v>0</v>
      </c>
      <c r="P715" s="21">
        <v>0</v>
      </c>
      <c r="Q715" s="21">
        <v>0</v>
      </c>
      <c r="R715" s="21" t="s">
        <v>2272</v>
      </c>
      <c r="S715" s="21" t="s">
        <v>2272</v>
      </c>
      <c r="T715" s="21">
        <v>0</v>
      </c>
      <c r="U715" s="21">
        <v>0</v>
      </c>
      <c r="V715" s="21">
        <v>0</v>
      </c>
      <c r="W715" s="21">
        <v>0</v>
      </c>
      <c r="X715" s="21">
        <v>0</v>
      </c>
      <c r="Y715" s="21">
        <v>0</v>
      </c>
      <c r="Z715" s="21" t="s">
        <v>2272</v>
      </c>
      <c r="AA715" s="198" t="s">
        <v>2272</v>
      </c>
      <c r="AB715" s="198" t="s">
        <v>2272</v>
      </c>
      <c r="AC715" s="198" t="s">
        <v>2272</v>
      </c>
      <c r="AD715" s="4" t="s">
        <v>1722</v>
      </c>
      <c r="AE715" s="198"/>
    </row>
    <row r="716" spans="1:31" ht="49.5" customHeight="1">
      <c r="A716" s="198" t="s">
        <v>1527</v>
      </c>
      <c r="B716" s="198" t="s">
        <v>1677</v>
      </c>
      <c r="C716" s="198" t="s">
        <v>23</v>
      </c>
      <c r="D716" s="198" t="s">
        <v>141</v>
      </c>
      <c r="E716" s="198" t="s">
        <v>860</v>
      </c>
      <c r="F716" s="4" t="s">
        <v>73</v>
      </c>
      <c r="G716" s="4"/>
      <c r="H716" s="198" t="s">
        <v>522</v>
      </c>
      <c r="I716" s="198"/>
      <c r="J716" s="21">
        <v>0</v>
      </c>
      <c r="K716" s="21">
        <v>0</v>
      </c>
      <c r="L716" s="21">
        <v>0</v>
      </c>
      <c r="M716" s="21">
        <v>0</v>
      </c>
      <c r="N716" s="21">
        <v>0</v>
      </c>
      <c r="O716" s="21">
        <v>0</v>
      </c>
      <c r="P716" s="21">
        <v>0</v>
      </c>
      <c r="Q716" s="21">
        <v>0</v>
      </c>
      <c r="R716" s="21" t="s">
        <v>2272</v>
      </c>
      <c r="S716" s="21" t="s">
        <v>2272</v>
      </c>
      <c r="T716" s="21">
        <v>0</v>
      </c>
      <c r="U716" s="21">
        <v>0</v>
      </c>
      <c r="V716" s="21">
        <v>0</v>
      </c>
      <c r="W716" s="21">
        <v>0</v>
      </c>
      <c r="X716" s="21">
        <v>0</v>
      </c>
      <c r="Y716" s="21">
        <v>0</v>
      </c>
      <c r="Z716" s="21" t="s">
        <v>2272</v>
      </c>
      <c r="AA716" s="198" t="s">
        <v>2272</v>
      </c>
      <c r="AB716" s="198" t="s">
        <v>2272</v>
      </c>
      <c r="AC716" s="198" t="s">
        <v>2272</v>
      </c>
      <c r="AD716" s="4" t="s">
        <v>1722</v>
      </c>
      <c r="AE716" s="198"/>
    </row>
    <row r="717" spans="1:31" ht="49.5" customHeight="1">
      <c r="A717" s="198" t="s">
        <v>1528</v>
      </c>
      <c r="B717" s="198" t="s">
        <v>1678</v>
      </c>
      <c r="C717" s="198" t="s">
        <v>23</v>
      </c>
      <c r="D717" s="198" t="s">
        <v>141</v>
      </c>
      <c r="E717" s="198" t="s">
        <v>860</v>
      </c>
      <c r="F717" s="4" t="s">
        <v>73</v>
      </c>
      <c r="G717" s="4"/>
      <c r="H717" s="198" t="s">
        <v>522</v>
      </c>
      <c r="I717" s="198"/>
      <c r="J717" s="21">
        <v>0</v>
      </c>
      <c r="K717" s="21">
        <v>0</v>
      </c>
      <c r="L717" s="21">
        <v>0</v>
      </c>
      <c r="M717" s="21">
        <v>0</v>
      </c>
      <c r="N717" s="21">
        <v>0</v>
      </c>
      <c r="O717" s="21">
        <v>0</v>
      </c>
      <c r="P717" s="21">
        <v>0</v>
      </c>
      <c r="Q717" s="21">
        <v>0</v>
      </c>
      <c r="R717" s="21" t="s">
        <v>2272</v>
      </c>
      <c r="S717" s="21" t="s">
        <v>2272</v>
      </c>
      <c r="T717" s="21">
        <v>0</v>
      </c>
      <c r="U717" s="21">
        <v>0</v>
      </c>
      <c r="V717" s="21">
        <v>0</v>
      </c>
      <c r="W717" s="21">
        <v>0</v>
      </c>
      <c r="X717" s="21">
        <v>0</v>
      </c>
      <c r="Y717" s="21">
        <v>0</v>
      </c>
      <c r="Z717" s="21" t="s">
        <v>2272</v>
      </c>
      <c r="AA717" s="198" t="s">
        <v>2272</v>
      </c>
      <c r="AB717" s="198" t="s">
        <v>2272</v>
      </c>
      <c r="AC717" s="198" t="s">
        <v>2272</v>
      </c>
      <c r="AD717" s="4" t="s">
        <v>1722</v>
      </c>
      <c r="AE717" s="198"/>
    </row>
    <row r="718" spans="1:31" ht="49.5" customHeight="1">
      <c r="A718" s="198" t="s">
        <v>1529</v>
      </c>
      <c r="B718" s="198" t="s">
        <v>1679</v>
      </c>
      <c r="C718" s="198" t="s">
        <v>23</v>
      </c>
      <c r="D718" s="198" t="s">
        <v>141</v>
      </c>
      <c r="E718" s="198" t="s">
        <v>860</v>
      </c>
      <c r="F718" s="4" t="s">
        <v>73</v>
      </c>
      <c r="G718" s="4"/>
      <c r="H718" s="198" t="s">
        <v>522</v>
      </c>
      <c r="I718" s="198"/>
      <c r="J718" s="21">
        <v>0</v>
      </c>
      <c r="K718" s="21">
        <v>0</v>
      </c>
      <c r="L718" s="21">
        <v>0</v>
      </c>
      <c r="M718" s="21">
        <v>0</v>
      </c>
      <c r="N718" s="21">
        <v>0</v>
      </c>
      <c r="O718" s="21">
        <v>0</v>
      </c>
      <c r="P718" s="21">
        <v>0</v>
      </c>
      <c r="Q718" s="21">
        <v>0</v>
      </c>
      <c r="R718" s="21" t="s">
        <v>2272</v>
      </c>
      <c r="S718" s="21" t="s">
        <v>2272</v>
      </c>
      <c r="T718" s="21">
        <v>0</v>
      </c>
      <c r="U718" s="21">
        <v>0</v>
      </c>
      <c r="V718" s="21">
        <v>0</v>
      </c>
      <c r="W718" s="21">
        <v>0</v>
      </c>
      <c r="X718" s="21">
        <v>0</v>
      </c>
      <c r="Y718" s="21">
        <v>0</v>
      </c>
      <c r="Z718" s="21" t="s">
        <v>2272</v>
      </c>
      <c r="AA718" s="198" t="s">
        <v>2272</v>
      </c>
      <c r="AB718" s="198" t="s">
        <v>2272</v>
      </c>
      <c r="AC718" s="198" t="s">
        <v>2272</v>
      </c>
      <c r="AD718" s="4" t="s">
        <v>1722</v>
      </c>
      <c r="AE718" s="198"/>
    </row>
    <row r="719" spans="1:31" ht="49.5" customHeight="1">
      <c r="A719" s="198" t="s">
        <v>1530</v>
      </c>
      <c r="B719" s="198" t="s">
        <v>1680</v>
      </c>
      <c r="C719" s="198" t="s">
        <v>23</v>
      </c>
      <c r="D719" s="198" t="s">
        <v>141</v>
      </c>
      <c r="E719" s="198" t="s">
        <v>860</v>
      </c>
      <c r="F719" s="4" t="s">
        <v>73</v>
      </c>
      <c r="G719" s="4"/>
      <c r="H719" s="198" t="s">
        <v>522</v>
      </c>
      <c r="I719" s="198"/>
      <c r="J719" s="21">
        <v>0</v>
      </c>
      <c r="K719" s="21">
        <v>0</v>
      </c>
      <c r="L719" s="21">
        <v>0</v>
      </c>
      <c r="M719" s="21">
        <v>0</v>
      </c>
      <c r="N719" s="21">
        <v>0</v>
      </c>
      <c r="O719" s="21">
        <v>0</v>
      </c>
      <c r="P719" s="21">
        <v>0</v>
      </c>
      <c r="Q719" s="21">
        <v>0</v>
      </c>
      <c r="R719" s="21" t="s">
        <v>2272</v>
      </c>
      <c r="S719" s="21" t="s">
        <v>2272</v>
      </c>
      <c r="T719" s="21">
        <v>0</v>
      </c>
      <c r="U719" s="21">
        <v>0</v>
      </c>
      <c r="V719" s="21">
        <v>0</v>
      </c>
      <c r="W719" s="21">
        <v>0</v>
      </c>
      <c r="X719" s="21">
        <v>0</v>
      </c>
      <c r="Y719" s="21">
        <v>0</v>
      </c>
      <c r="Z719" s="21" t="s">
        <v>2272</v>
      </c>
      <c r="AA719" s="198" t="s">
        <v>2272</v>
      </c>
      <c r="AB719" s="198" t="s">
        <v>2272</v>
      </c>
      <c r="AC719" s="198" t="s">
        <v>2272</v>
      </c>
      <c r="AD719" s="4" t="s">
        <v>1722</v>
      </c>
      <c r="AE719" s="198"/>
    </row>
    <row r="720" spans="1:31" ht="49.5" customHeight="1">
      <c r="A720" s="198" t="s">
        <v>1531</v>
      </c>
      <c r="B720" s="198" t="s">
        <v>1681</v>
      </c>
      <c r="C720" s="198" t="s">
        <v>23</v>
      </c>
      <c r="D720" s="198" t="s">
        <v>141</v>
      </c>
      <c r="E720" s="198" t="s">
        <v>860</v>
      </c>
      <c r="F720" s="4" t="s">
        <v>73</v>
      </c>
      <c r="G720" s="4"/>
      <c r="H720" s="198" t="s">
        <v>522</v>
      </c>
      <c r="I720" s="198"/>
      <c r="J720" s="21">
        <v>0</v>
      </c>
      <c r="K720" s="21">
        <v>0</v>
      </c>
      <c r="L720" s="21">
        <v>0</v>
      </c>
      <c r="M720" s="21">
        <v>0</v>
      </c>
      <c r="N720" s="21">
        <v>0</v>
      </c>
      <c r="O720" s="21">
        <v>0</v>
      </c>
      <c r="P720" s="21">
        <v>0</v>
      </c>
      <c r="Q720" s="21">
        <v>0</v>
      </c>
      <c r="R720" s="21" t="s">
        <v>2272</v>
      </c>
      <c r="S720" s="21" t="s">
        <v>2272</v>
      </c>
      <c r="T720" s="21">
        <v>0</v>
      </c>
      <c r="U720" s="21">
        <v>0</v>
      </c>
      <c r="V720" s="21">
        <v>0</v>
      </c>
      <c r="W720" s="21">
        <v>0</v>
      </c>
      <c r="X720" s="21">
        <v>0</v>
      </c>
      <c r="Y720" s="21">
        <v>0</v>
      </c>
      <c r="Z720" s="21" t="s">
        <v>2272</v>
      </c>
      <c r="AA720" s="198" t="s">
        <v>2272</v>
      </c>
      <c r="AB720" s="198" t="s">
        <v>2272</v>
      </c>
      <c r="AC720" s="198" t="s">
        <v>2272</v>
      </c>
      <c r="AD720" s="4" t="s">
        <v>1722</v>
      </c>
      <c r="AE720" s="198"/>
    </row>
    <row r="721" spans="1:31" ht="49.5" customHeight="1">
      <c r="A721" s="198" t="s">
        <v>1532</v>
      </c>
      <c r="B721" s="198" t="s">
        <v>1682</v>
      </c>
      <c r="C721" s="198" t="s">
        <v>23</v>
      </c>
      <c r="D721" s="198" t="s">
        <v>141</v>
      </c>
      <c r="E721" s="198" t="s">
        <v>860</v>
      </c>
      <c r="F721" s="4" t="s">
        <v>73</v>
      </c>
      <c r="G721" s="4"/>
      <c r="H721" s="198" t="s">
        <v>522</v>
      </c>
      <c r="I721" s="198"/>
      <c r="J721" s="21">
        <v>0</v>
      </c>
      <c r="K721" s="21">
        <v>0</v>
      </c>
      <c r="L721" s="21">
        <v>0</v>
      </c>
      <c r="M721" s="21">
        <v>0</v>
      </c>
      <c r="N721" s="21">
        <v>0</v>
      </c>
      <c r="O721" s="21">
        <v>0</v>
      </c>
      <c r="P721" s="21">
        <v>0</v>
      </c>
      <c r="Q721" s="21">
        <v>0</v>
      </c>
      <c r="R721" s="21" t="s">
        <v>2272</v>
      </c>
      <c r="S721" s="21" t="s">
        <v>2272</v>
      </c>
      <c r="T721" s="21">
        <v>0</v>
      </c>
      <c r="U721" s="21">
        <v>0</v>
      </c>
      <c r="V721" s="21">
        <v>0</v>
      </c>
      <c r="W721" s="21">
        <v>0</v>
      </c>
      <c r="X721" s="21">
        <v>0</v>
      </c>
      <c r="Y721" s="21">
        <v>0</v>
      </c>
      <c r="Z721" s="21" t="s">
        <v>2272</v>
      </c>
      <c r="AA721" s="198" t="s">
        <v>2272</v>
      </c>
      <c r="AB721" s="198" t="s">
        <v>2272</v>
      </c>
      <c r="AC721" s="198" t="s">
        <v>2272</v>
      </c>
      <c r="AD721" s="4" t="s">
        <v>1722</v>
      </c>
      <c r="AE721" s="198"/>
    </row>
    <row r="722" spans="1:31" ht="49.5" customHeight="1">
      <c r="A722" s="198" t="s">
        <v>1533</v>
      </c>
      <c r="B722" s="198" t="s">
        <v>1683</v>
      </c>
      <c r="C722" s="198" t="s">
        <v>23</v>
      </c>
      <c r="D722" s="198" t="s">
        <v>141</v>
      </c>
      <c r="E722" s="198" t="s">
        <v>860</v>
      </c>
      <c r="F722" s="4" t="s">
        <v>73</v>
      </c>
      <c r="G722" s="4"/>
      <c r="H722" s="198" t="s">
        <v>522</v>
      </c>
      <c r="I722" s="198"/>
      <c r="J722" s="21">
        <v>0</v>
      </c>
      <c r="K722" s="21">
        <v>0</v>
      </c>
      <c r="L722" s="21">
        <v>0</v>
      </c>
      <c r="M722" s="21">
        <v>0</v>
      </c>
      <c r="N722" s="21">
        <v>0</v>
      </c>
      <c r="O722" s="21">
        <v>0</v>
      </c>
      <c r="P722" s="21">
        <v>0</v>
      </c>
      <c r="Q722" s="21">
        <v>0</v>
      </c>
      <c r="R722" s="21" t="s">
        <v>2272</v>
      </c>
      <c r="S722" s="21" t="s">
        <v>2272</v>
      </c>
      <c r="T722" s="21">
        <v>0</v>
      </c>
      <c r="U722" s="21">
        <v>0</v>
      </c>
      <c r="V722" s="21">
        <v>0</v>
      </c>
      <c r="W722" s="21">
        <v>0</v>
      </c>
      <c r="X722" s="21">
        <v>0</v>
      </c>
      <c r="Y722" s="21">
        <v>0</v>
      </c>
      <c r="Z722" s="21" t="s">
        <v>2272</v>
      </c>
      <c r="AA722" s="198" t="s">
        <v>2272</v>
      </c>
      <c r="AB722" s="198" t="s">
        <v>2272</v>
      </c>
      <c r="AC722" s="198" t="s">
        <v>2272</v>
      </c>
      <c r="AD722" s="4" t="s">
        <v>1722</v>
      </c>
      <c r="AE722" s="198"/>
    </row>
    <row r="723" spans="1:31" ht="49.5" customHeight="1">
      <c r="A723" s="198" t="s">
        <v>1534</v>
      </c>
      <c r="B723" s="198" t="s">
        <v>1684</v>
      </c>
      <c r="C723" s="198" t="s">
        <v>23</v>
      </c>
      <c r="D723" s="198" t="s">
        <v>141</v>
      </c>
      <c r="E723" s="198" t="s">
        <v>860</v>
      </c>
      <c r="F723" s="4" t="s">
        <v>73</v>
      </c>
      <c r="G723" s="4"/>
      <c r="H723" s="198" t="s">
        <v>522</v>
      </c>
      <c r="I723" s="198"/>
      <c r="J723" s="21">
        <v>0</v>
      </c>
      <c r="K723" s="21">
        <v>0</v>
      </c>
      <c r="L723" s="21">
        <v>0</v>
      </c>
      <c r="M723" s="21">
        <v>0</v>
      </c>
      <c r="N723" s="21">
        <v>0</v>
      </c>
      <c r="O723" s="21">
        <v>0</v>
      </c>
      <c r="P723" s="21">
        <v>0</v>
      </c>
      <c r="Q723" s="21">
        <v>0</v>
      </c>
      <c r="R723" s="21" t="s">
        <v>2272</v>
      </c>
      <c r="S723" s="21" t="s">
        <v>2272</v>
      </c>
      <c r="T723" s="21">
        <v>0</v>
      </c>
      <c r="U723" s="21">
        <v>0</v>
      </c>
      <c r="V723" s="21">
        <v>0</v>
      </c>
      <c r="W723" s="21">
        <v>0</v>
      </c>
      <c r="X723" s="21">
        <v>0</v>
      </c>
      <c r="Y723" s="21">
        <v>0</v>
      </c>
      <c r="Z723" s="21" t="s">
        <v>2272</v>
      </c>
      <c r="AA723" s="198" t="s">
        <v>2272</v>
      </c>
      <c r="AB723" s="198" t="s">
        <v>2272</v>
      </c>
      <c r="AC723" s="198" t="s">
        <v>2272</v>
      </c>
      <c r="AD723" s="4" t="s">
        <v>1722</v>
      </c>
      <c r="AE723" s="198"/>
    </row>
    <row r="724" spans="1:31" ht="49.5" customHeight="1">
      <c r="A724" s="198" t="s">
        <v>1535</v>
      </c>
      <c r="B724" s="198" t="s">
        <v>1685</v>
      </c>
      <c r="C724" s="198" t="s">
        <v>23</v>
      </c>
      <c r="D724" s="198" t="s">
        <v>141</v>
      </c>
      <c r="E724" s="198" t="s">
        <v>860</v>
      </c>
      <c r="F724" s="4" t="s">
        <v>73</v>
      </c>
      <c r="G724" s="4"/>
      <c r="H724" s="198" t="s">
        <v>522</v>
      </c>
      <c r="I724" s="198"/>
      <c r="J724" s="21">
        <v>0</v>
      </c>
      <c r="K724" s="21">
        <v>0</v>
      </c>
      <c r="L724" s="21">
        <v>0</v>
      </c>
      <c r="M724" s="21">
        <v>0</v>
      </c>
      <c r="N724" s="21">
        <v>0</v>
      </c>
      <c r="O724" s="21">
        <v>0</v>
      </c>
      <c r="P724" s="21">
        <v>0</v>
      </c>
      <c r="Q724" s="21">
        <v>0</v>
      </c>
      <c r="R724" s="21" t="s">
        <v>2272</v>
      </c>
      <c r="S724" s="21" t="s">
        <v>2272</v>
      </c>
      <c r="T724" s="21">
        <v>0</v>
      </c>
      <c r="U724" s="21">
        <v>0</v>
      </c>
      <c r="V724" s="21">
        <v>0</v>
      </c>
      <c r="W724" s="21">
        <v>0</v>
      </c>
      <c r="X724" s="21">
        <v>0</v>
      </c>
      <c r="Y724" s="21">
        <v>0</v>
      </c>
      <c r="Z724" s="21" t="s">
        <v>2272</v>
      </c>
      <c r="AA724" s="198" t="s">
        <v>2272</v>
      </c>
      <c r="AB724" s="198" t="s">
        <v>2272</v>
      </c>
      <c r="AC724" s="198" t="s">
        <v>2272</v>
      </c>
      <c r="AD724" s="4" t="s">
        <v>1722</v>
      </c>
      <c r="AE724" s="198"/>
    </row>
    <row r="725" spans="1:31" ht="49.5" customHeight="1">
      <c r="A725" s="198" t="s">
        <v>1536</v>
      </c>
      <c r="B725" s="198" t="s">
        <v>1686</v>
      </c>
      <c r="C725" s="198" t="s">
        <v>23</v>
      </c>
      <c r="D725" s="198" t="s">
        <v>141</v>
      </c>
      <c r="E725" s="198" t="s">
        <v>860</v>
      </c>
      <c r="F725" s="4" t="s">
        <v>73</v>
      </c>
      <c r="G725" s="4"/>
      <c r="H725" s="198" t="s">
        <v>522</v>
      </c>
      <c r="I725" s="198"/>
      <c r="J725" s="21">
        <v>0</v>
      </c>
      <c r="K725" s="21">
        <v>0</v>
      </c>
      <c r="L725" s="21">
        <v>0</v>
      </c>
      <c r="M725" s="21">
        <v>0</v>
      </c>
      <c r="N725" s="21">
        <v>0</v>
      </c>
      <c r="O725" s="21">
        <v>0</v>
      </c>
      <c r="P725" s="21">
        <v>0</v>
      </c>
      <c r="Q725" s="21">
        <v>0</v>
      </c>
      <c r="R725" s="21" t="s">
        <v>2272</v>
      </c>
      <c r="S725" s="21" t="s">
        <v>2272</v>
      </c>
      <c r="T725" s="21">
        <v>0</v>
      </c>
      <c r="U725" s="21">
        <v>0</v>
      </c>
      <c r="V725" s="21">
        <v>0</v>
      </c>
      <c r="W725" s="21">
        <v>0</v>
      </c>
      <c r="X725" s="21">
        <v>0</v>
      </c>
      <c r="Y725" s="21">
        <v>0</v>
      </c>
      <c r="Z725" s="21" t="s">
        <v>2272</v>
      </c>
      <c r="AA725" s="198" t="s">
        <v>2272</v>
      </c>
      <c r="AB725" s="198" t="s">
        <v>2272</v>
      </c>
      <c r="AC725" s="198" t="s">
        <v>2272</v>
      </c>
      <c r="AD725" s="4" t="s">
        <v>1722</v>
      </c>
      <c r="AE725" s="198"/>
    </row>
    <row r="726" spans="1:31" ht="49.5" customHeight="1">
      <c r="A726" s="198" t="s">
        <v>1537</v>
      </c>
      <c r="B726" s="198" t="s">
        <v>1687</v>
      </c>
      <c r="C726" s="198" t="s">
        <v>23</v>
      </c>
      <c r="D726" s="198" t="s">
        <v>141</v>
      </c>
      <c r="E726" s="198" t="s">
        <v>860</v>
      </c>
      <c r="F726" s="4" t="s">
        <v>73</v>
      </c>
      <c r="G726" s="4"/>
      <c r="H726" s="198" t="s">
        <v>522</v>
      </c>
      <c r="I726" s="198"/>
      <c r="J726" s="21">
        <v>0</v>
      </c>
      <c r="K726" s="21">
        <v>0</v>
      </c>
      <c r="L726" s="21">
        <v>0</v>
      </c>
      <c r="M726" s="21">
        <v>0</v>
      </c>
      <c r="N726" s="21">
        <v>0</v>
      </c>
      <c r="O726" s="21">
        <v>0</v>
      </c>
      <c r="P726" s="21">
        <v>0</v>
      </c>
      <c r="Q726" s="21">
        <v>0</v>
      </c>
      <c r="R726" s="21" t="s">
        <v>2272</v>
      </c>
      <c r="S726" s="21" t="s">
        <v>2272</v>
      </c>
      <c r="T726" s="21">
        <v>0</v>
      </c>
      <c r="U726" s="21">
        <v>0</v>
      </c>
      <c r="V726" s="21">
        <v>0</v>
      </c>
      <c r="W726" s="21">
        <v>0</v>
      </c>
      <c r="X726" s="21">
        <v>0</v>
      </c>
      <c r="Y726" s="21">
        <v>0</v>
      </c>
      <c r="Z726" s="21" t="s">
        <v>2272</v>
      </c>
      <c r="AA726" s="198" t="s">
        <v>2272</v>
      </c>
      <c r="AB726" s="198" t="s">
        <v>2272</v>
      </c>
      <c r="AC726" s="198" t="s">
        <v>2272</v>
      </c>
      <c r="AD726" s="4" t="s">
        <v>1722</v>
      </c>
      <c r="AE726" s="198"/>
    </row>
    <row r="727" spans="1:31" ht="49.5" customHeight="1">
      <c r="A727" s="198" t="s">
        <v>1538</v>
      </c>
      <c r="B727" s="198" t="s">
        <v>1688</v>
      </c>
      <c r="C727" s="198" t="s">
        <v>23</v>
      </c>
      <c r="D727" s="198" t="s">
        <v>141</v>
      </c>
      <c r="E727" s="198" t="s">
        <v>860</v>
      </c>
      <c r="F727" s="4" t="s">
        <v>73</v>
      </c>
      <c r="G727" s="4"/>
      <c r="H727" s="198" t="s">
        <v>522</v>
      </c>
      <c r="I727" s="198"/>
      <c r="J727" s="21">
        <v>0</v>
      </c>
      <c r="K727" s="21">
        <v>0</v>
      </c>
      <c r="L727" s="21">
        <v>0</v>
      </c>
      <c r="M727" s="21">
        <v>0</v>
      </c>
      <c r="N727" s="21">
        <v>0</v>
      </c>
      <c r="O727" s="21">
        <v>0</v>
      </c>
      <c r="P727" s="21">
        <v>0</v>
      </c>
      <c r="Q727" s="21">
        <v>0</v>
      </c>
      <c r="R727" s="21" t="s">
        <v>2272</v>
      </c>
      <c r="S727" s="21" t="s">
        <v>2272</v>
      </c>
      <c r="T727" s="21">
        <v>0</v>
      </c>
      <c r="U727" s="21">
        <v>0</v>
      </c>
      <c r="V727" s="21">
        <v>0</v>
      </c>
      <c r="W727" s="21">
        <v>0</v>
      </c>
      <c r="X727" s="21">
        <v>0</v>
      </c>
      <c r="Y727" s="21">
        <v>0</v>
      </c>
      <c r="Z727" s="21" t="s">
        <v>2272</v>
      </c>
      <c r="AA727" s="198" t="s">
        <v>2272</v>
      </c>
      <c r="AB727" s="198" t="s">
        <v>2272</v>
      </c>
      <c r="AC727" s="198" t="s">
        <v>2272</v>
      </c>
      <c r="AD727" s="4" t="s">
        <v>1722</v>
      </c>
      <c r="AE727" s="198"/>
    </row>
    <row r="728" spans="1:31" ht="49.5" customHeight="1">
      <c r="A728" s="198" t="s">
        <v>1539</v>
      </c>
      <c r="B728" s="198" t="s">
        <v>1689</v>
      </c>
      <c r="C728" s="198" t="s">
        <v>23</v>
      </c>
      <c r="D728" s="198" t="s">
        <v>141</v>
      </c>
      <c r="E728" s="198" t="s">
        <v>860</v>
      </c>
      <c r="F728" s="4" t="s">
        <v>73</v>
      </c>
      <c r="G728" s="4"/>
      <c r="H728" s="198" t="s">
        <v>522</v>
      </c>
      <c r="I728" s="198"/>
      <c r="J728" s="21">
        <v>0</v>
      </c>
      <c r="K728" s="21">
        <v>0</v>
      </c>
      <c r="L728" s="21">
        <v>0</v>
      </c>
      <c r="M728" s="21">
        <v>0</v>
      </c>
      <c r="N728" s="21">
        <v>0</v>
      </c>
      <c r="O728" s="21">
        <v>0</v>
      </c>
      <c r="P728" s="21">
        <v>0</v>
      </c>
      <c r="Q728" s="21">
        <v>0</v>
      </c>
      <c r="R728" s="21" t="s">
        <v>2272</v>
      </c>
      <c r="S728" s="21" t="s">
        <v>2272</v>
      </c>
      <c r="T728" s="21">
        <v>0</v>
      </c>
      <c r="U728" s="21">
        <v>0</v>
      </c>
      <c r="V728" s="21">
        <v>0</v>
      </c>
      <c r="W728" s="21">
        <v>0</v>
      </c>
      <c r="X728" s="21">
        <v>0</v>
      </c>
      <c r="Y728" s="21">
        <v>0</v>
      </c>
      <c r="Z728" s="21" t="s">
        <v>2272</v>
      </c>
      <c r="AA728" s="198" t="s">
        <v>2272</v>
      </c>
      <c r="AB728" s="198" t="s">
        <v>2272</v>
      </c>
      <c r="AC728" s="198" t="s">
        <v>2272</v>
      </c>
      <c r="AD728" s="4" t="s">
        <v>1722</v>
      </c>
      <c r="AE728" s="198"/>
    </row>
    <row r="729" spans="1:31" ht="49.5" customHeight="1">
      <c r="A729" s="198" t="s">
        <v>1540</v>
      </c>
      <c r="B729" s="198" t="s">
        <v>1690</v>
      </c>
      <c r="C729" s="198" t="s">
        <v>23</v>
      </c>
      <c r="D729" s="198" t="s">
        <v>141</v>
      </c>
      <c r="E729" s="198" t="s">
        <v>860</v>
      </c>
      <c r="F729" s="4" t="s">
        <v>73</v>
      </c>
      <c r="G729" s="4"/>
      <c r="H729" s="198" t="s">
        <v>522</v>
      </c>
      <c r="I729" s="198"/>
      <c r="J729" s="21">
        <v>0</v>
      </c>
      <c r="K729" s="21">
        <v>0</v>
      </c>
      <c r="L729" s="21">
        <v>0</v>
      </c>
      <c r="M729" s="21">
        <v>0</v>
      </c>
      <c r="N729" s="21">
        <v>0</v>
      </c>
      <c r="O729" s="21">
        <v>0</v>
      </c>
      <c r="P729" s="21">
        <v>0</v>
      </c>
      <c r="Q729" s="21">
        <v>0</v>
      </c>
      <c r="R729" s="21" t="s">
        <v>2272</v>
      </c>
      <c r="S729" s="21" t="s">
        <v>2272</v>
      </c>
      <c r="T729" s="21">
        <v>0</v>
      </c>
      <c r="U729" s="21">
        <v>0</v>
      </c>
      <c r="V729" s="21">
        <v>0</v>
      </c>
      <c r="W729" s="21">
        <v>0</v>
      </c>
      <c r="X729" s="21">
        <v>0</v>
      </c>
      <c r="Y729" s="21">
        <v>0</v>
      </c>
      <c r="Z729" s="21" t="s">
        <v>2272</v>
      </c>
      <c r="AA729" s="198" t="s">
        <v>2272</v>
      </c>
      <c r="AB729" s="198" t="s">
        <v>2272</v>
      </c>
      <c r="AC729" s="198" t="s">
        <v>2272</v>
      </c>
      <c r="AD729" s="4" t="s">
        <v>1722</v>
      </c>
      <c r="AE729" s="198"/>
    </row>
    <row r="730" spans="1:31" ht="49.5" customHeight="1">
      <c r="A730" s="198" t="s">
        <v>1541</v>
      </c>
      <c r="B730" s="198" t="s">
        <v>1691</v>
      </c>
      <c r="C730" s="198" t="s">
        <v>23</v>
      </c>
      <c r="D730" s="198" t="s">
        <v>141</v>
      </c>
      <c r="E730" s="198" t="s">
        <v>860</v>
      </c>
      <c r="F730" s="4" t="s">
        <v>73</v>
      </c>
      <c r="G730" s="4"/>
      <c r="H730" s="198" t="s">
        <v>522</v>
      </c>
      <c r="I730" s="198"/>
      <c r="J730" s="21">
        <v>0</v>
      </c>
      <c r="K730" s="21">
        <v>0</v>
      </c>
      <c r="L730" s="21">
        <v>0</v>
      </c>
      <c r="M730" s="21">
        <v>0</v>
      </c>
      <c r="N730" s="21">
        <v>0</v>
      </c>
      <c r="O730" s="21">
        <v>0</v>
      </c>
      <c r="P730" s="21">
        <v>0</v>
      </c>
      <c r="Q730" s="21">
        <v>0</v>
      </c>
      <c r="R730" s="21" t="s">
        <v>2272</v>
      </c>
      <c r="S730" s="21" t="s">
        <v>2272</v>
      </c>
      <c r="T730" s="21">
        <v>0</v>
      </c>
      <c r="U730" s="21">
        <v>0</v>
      </c>
      <c r="V730" s="21">
        <v>0</v>
      </c>
      <c r="W730" s="21">
        <v>0</v>
      </c>
      <c r="X730" s="21">
        <v>0</v>
      </c>
      <c r="Y730" s="21">
        <v>0</v>
      </c>
      <c r="Z730" s="21" t="s">
        <v>2272</v>
      </c>
      <c r="AA730" s="198" t="s">
        <v>2272</v>
      </c>
      <c r="AB730" s="198" t="s">
        <v>2272</v>
      </c>
      <c r="AC730" s="198" t="s">
        <v>2272</v>
      </c>
      <c r="AD730" s="4" t="s">
        <v>1722</v>
      </c>
      <c r="AE730" s="198"/>
    </row>
    <row r="731" spans="1:31" ht="49.5" customHeight="1">
      <c r="A731" s="198" t="s">
        <v>1542</v>
      </c>
      <c r="B731" s="198" t="s">
        <v>1692</v>
      </c>
      <c r="C731" s="198" t="s">
        <v>23</v>
      </c>
      <c r="D731" s="198" t="s">
        <v>141</v>
      </c>
      <c r="E731" s="198" t="s">
        <v>860</v>
      </c>
      <c r="F731" s="4" t="s">
        <v>73</v>
      </c>
      <c r="G731" s="4"/>
      <c r="H731" s="198" t="s">
        <v>522</v>
      </c>
      <c r="I731" s="198"/>
      <c r="J731" s="21">
        <v>0</v>
      </c>
      <c r="K731" s="21">
        <v>0</v>
      </c>
      <c r="L731" s="21">
        <v>0</v>
      </c>
      <c r="M731" s="21">
        <v>0</v>
      </c>
      <c r="N731" s="21">
        <v>0</v>
      </c>
      <c r="O731" s="21">
        <v>0</v>
      </c>
      <c r="P731" s="21">
        <v>0</v>
      </c>
      <c r="Q731" s="21">
        <v>0</v>
      </c>
      <c r="R731" s="21" t="s">
        <v>2272</v>
      </c>
      <c r="S731" s="21" t="s">
        <v>2272</v>
      </c>
      <c r="T731" s="21">
        <v>0</v>
      </c>
      <c r="U731" s="21">
        <v>0</v>
      </c>
      <c r="V731" s="21">
        <v>0</v>
      </c>
      <c r="W731" s="21">
        <v>0</v>
      </c>
      <c r="X731" s="21">
        <v>0</v>
      </c>
      <c r="Y731" s="21">
        <v>0</v>
      </c>
      <c r="Z731" s="21" t="s">
        <v>2272</v>
      </c>
      <c r="AA731" s="198" t="s">
        <v>2272</v>
      </c>
      <c r="AB731" s="198" t="s">
        <v>2272</v>
      </c>
      <c r="AC731" s="198" t="s">
        <v>2272</v>
      </c>
      <c r="AD731" s="4" t="s">
        <v>1722</v>
      </c>
      <c r="AE731" s="198"/>
    </row>
    <row r="732" spans="1:31" ht="49.5" customHeight="1">
      <c r="A732" s="198" t="s">
        <v>1543</v>
      </c>
      <c r="B732" s="198" t="s">
        <v>1693</v>
      </c>
      <c r="C732" s="198" t="s">
        <v>23</v>
      </c>
      <c r="D732" s="198" t="s">
        <v>141</v>
      </c>
      <c r="E732" s="198" t="s">
        <v>860</v>
      </c>
      <c r="F732" s="4" t="s">
        <v>73</v>
      </c>
      <c r="G732" s="4"/>
      <c r="H732" s="198" t="s">
        <v>522</v>
      </c>
      <c r="I732" s="198"/>
      <c r="J732" s="21">
        <v>0</v>
      </c>
      <c r="K732" s="21">
        <v>0</v>
      </c>
      <c r="L732" s="21">
        <v>0</v>
      </c>
      <c r="M732" s="21">
        <v>0</v>
      </c>
      <c r="N732" s="21">
        <v>0</v>
      </c>
      <c r="O732" s="21">
        <v>0</v>
      </c>
      <c r="P732" s="21">
        <v>0</v>
      </c>
      <c r="Q732" s="21">
        <v>0</v>
      </c>
      <c r="R732" s="21" t="s">
        <v>2272</v>
      </c>
      <c r="S732" s="21" t="s">
        <v>2272</v>
      </c>
      <c r="T732" s="21">
        <v>0</v>
      </c>
      <c r="U732" s="21">
        <v>0</v>
      </c>
      <c r="V732" s="21">
        <v>0</v>
      </c>
      <c r="W732" s="21">
        <v>0</v>
      </c>
      <c r="X732" s="21">
        <v>0</v>
      </c>
      <c r="Y732" s="21">
        <v>0</v>
      </c>
      <c r="Z732" s="21" t="s">
        <v>2272</v>
      </c>
      <c r="AA732" s="198" t="s">
        <v>2272</v>
      </c>
      <c r="AB732" s="198" t="s">
        <v>2272</v>
      </c>
      <c r="AC732" s="198" t="s">
        <v>2272</v>
      </c>
      <c r="AD732" s="4" t="s">
        <v>1722</v>
      </c>
      <c r="AE732" s="198"/>
    </row>
    <row r="733" spans="1:31" ht="49.5" customHeight="1">
      <c r="A733" s="198" t="s">
        <v>1544</v>
      </c>
      <c r="B733" s="198" t="s">
        <v>1694</v>
      </c>
      <c r="C733" s="198" t="s">
        <v>23</v>
      </c>
      <c r="D733" s="198" t="s">
        <v>141</v>
      </c>
      <c r="E733" s="198" t="s">
        <v>860</v>
      </c>
      <c r="F733" s="4" t="s">
        <v>73</v>
      </c>
      <c r="G733" s="4"/>
      <c r="H733" s="198" t="s">
        <v>522</v>
      </c>
      <c r="I733" s="198"/>
      <c r="J733" s="21">
        <v>0</v>
      </c>
      <c r="K733" s="21">
        <v>0</v>
      </c>
      <c r="L733" s="21">
        <v>0</v>
      </c>
      <c r="M733" s="21">
        <v>0</v>
      </c>
      <c r="N733" s="21">
        <v>0</v>
      </c>
      <c r="O733" s="21">
        <v>0</v>
      </c>
      <c r="P733" s="21">
        <v>0</v>
      </c>
      <c r="Q733" s="21">
        <v>0</v>
      </c>
      <c r="R733" s="21" t="s">
        <v>2272</v>
      </c>
      <c r="S733" s="21" t="s">
        <v>2272</v>
      </c>
      <c r="T733" s="21">
        <v>0</v>
      </c>
      <c r="U733" s="21">
        <v>0</v>
      </c>
      <c r="V733" s="21">
        <v>0</v>
      </c>
      <c r="W733" s="21">
        <v>0</v>
      </c>
      <c r="X733" s="21">
        <v>0</v>
      </c>
      <c r="Y733" s="21">
        <v>0</v>
      </c>
      <c r="Z733" s="21" t="s">
        <v>2272</v>
      </c>
      <c r="AA733" s="198" t="s">
        <v>2272</v>
      </c>
      <c r="AB733" s="198" t="s">
        <v>2272</v>
      </c>
      <c r="AC733" s="198" t="s">
        <v>2272</v>
      </c>
      <c r="AD733" s="4" t="s">
        <v>1722</v>
      </c>
      <c r="AE733" s="198"/>
    </row>
    <row r="734" spans="1:31" ht="49.5" customHeight="1">
      <c r="A734" s="198" t="s">
        <v>1545</v>
      </c>
      <c r="B734" s="198" t="s">
        <v>1695</v>
      </c>
      <c r="C734" s="198" t="s">
        <v>23</v>
      </c>
      <c r="D734" s="198" t="s">
        <v>141</v>
      </c>
      <c r="E734" s="198" t="s">
        <v>860</v>
      </c>
      <c r="F734" s="4" t="s">
        <v>73</v>
      </c>
      <c r="G734" s="4"/>
      <c r="H734" s="198" t="s">
        <v>522</v>
      </c>
      <c r="I734" s="198"/>
      <c r="J734" s="21">
        <v>0</v>
      </c>
      <c r="K734" s="21">
        <v>0</v>
      </c>
      <c r="L734" s="21">
        <v>0</v>
      </c>
      <c r="M734" s="21">
        <v>0</v>
      </c>
      <c r="N734" s="21">
        <v>0</v>
      </c>
      <c r="O734" s="21">
        <v>0</v>
      </c>
      <c r="P734" s="21">
        <v>0</v>
      </c>
      <c r="Q734" s="21">
        <v>0</v>
      </c>
      <c r="R734" s="21" t="s">
        <v>2272</v>
      </c>
      <c r="S734" s="21" t="s">
        <v>2272</v>
      </c>
      <c r="T734" s="21">
        <v>0</v>
      </c>
      <c r="U734" s="21">
        <v>0</v>
      </c>
      <c r="V734" s="21">
        <v>0</v>
      </c>
      <c r="W734" s="21">
        <v>0</v>
      </c>
      <c r="X734" s="21">
        <v>0</v>
      </c>
      <c r="Y734" s="21">
        <v>0</v>
      </c>
      <c r="Z734" s="21" t="s">
        <v>2272</v>
      </c>
      <c r="AA734" s="198" t="s">
        <v>2272</v>
      </c>
      <c r="AB734" s="198" t="s">
        <v>2272</v>
      </c>
      <c r="AC734" s="198" t="s">
        <v>2272</v>
      </c>
      <c r="AD734" s="4" t="s">
        <v>1722</v>
      </c>
      <c r="AE734" s="198"/>
    </row>
    <row r="735" spans="1:31" ht="49.5" customHeight="1">
      <c r="A735" s="198" t="s">
        <v>1546</v>
      </c>
      <c r="B735" s="198" t="s">
        <v>1696</v>
      </c>
      <c r="C735" s="198" t="s">
        <v>23</v>
      </c>
      <c r="D735" s="198" t="s">
        <v>141</v>
      </c>
      <c r="E735" s="198" t="s">
        <v>860</v>
      </c>
      <c r="F735" s="4" t="s">
        <v>73</v>
      </c>
      <c r="G735" s="4"/>
      <c r="H735" s="198" t="s">
        <v>522</v>
      </c>
      <c r="I735" s="198"/>
      <c r="J735" s="21">
        <v>0</v>
      </c>
      <c r="K735" s="21">
        <v>0</v>
      </c>
      <c r="L735" s="21">
        <v>0</v>
      </c>
      <c r="M735" s="21">
        <v>0</v>
      </c>
      <c r="N735" s="21">
        <v>0</v>
      </c>
      <c r="O735" s="21">
        <v>0</v>
      </c>
      <c r="P735" s="21">
        <v>0</v>
      </c>
      <c r="Q735" s="21">
        <v>0</v>
      </c>
      <c r="R735" s="21" t="s">
        <v>2272</v>
      </c>
      <c r="S735" s="21" t="s">
        <v>2272</v>
      </c>
      <c r="T735" s="21">
        <v>0</v>
      </c>
      <c r="U735" s="21">
        <v>0</v>
      </c>
      <c r="V735" s="21">
        <v>0</v>
      </c>
      <c r="W735" s="21">
        <v>0</v>
      </c>
      <c r="X735" s="21">
        <v>0</v>
      </c>
      <c r="Y735" s="21">
        <v>0</v>
      </c>
      <c r="Z735" s="21" t="s">
        <v>2272</v>
      </c>
      <c r="AA735" s="198" t="s">
        <v>2272</v>
      </c>
      <c r="AB735" s="198" t="s">
        <v>2272</v>
      </c>
      <c r="AC735" s="198" t="s">
        <v>2272</v>
      </c>
      <c r="AD735" s="4" t="s">
        <v>1722</v>
      </c>
      <c r="AE735" s="198"/>
    </row>
    <row r="736" spans="1:31" ht="49.5" customHeight="1">
      <c r="A736" s="198" t="s">
        <v>1547</v>
      </c>
      <c r="B736" s="198" t="s">
        <v>1697</v>
      </c>
      <c r="C736" s="198" t="s">
        <v>23</v>
      </c>
      <c r="D736" s="198" t="s">
        <v>141</v>
      </c>
      <c r="E736" s="198" t="s">
        <v>860</v>
      </c>
      <c r="F736" s="4" t="s">
        <v>73</v>
      </c>
      <c r="G736" s="4"/>
      <c r="H736" s="198" t="s">
        <v>522</v>
      </c>
      <c r="I736" s="198"/>
      <c r="J736" s="21">
        <v>0</v>
      </c>
      <c r="K736" s="21">
        <v>0</v>
      </c>
      <c r="L736" s="21">
        <v>0</v>
      </c>
      <c r="M736" s="21">
        <v>0</v>
      </c>
      <c r="N736" s="21">
        <v>0</v>
      </c>
      <c r="O736" s="21">
        <v>0</v>
      </c>
      <c r="P736" s="21">
        <v>0</v>
      </c>
      <c r="Q736" s="21">
        <v>0</v>
      </c>
      <c r="R736" s="21" t="s">
        <v>2272</v>
      </c>
      <c r="S736" s="21" t="s">
        <v>2272</v>
      </c>
      <c r="T736" s="21">
        <v>0</v>
      </c>
      <c r="U736" s="21">
        <v>0</v>
      </c>
      <c r="V736" s="21">
        <v>0</v>
      </c>
      <c r="W736" s="21">
        <v>0</v>
      </c>
      <c r="X736" s="21">
        <v>0</v>
      </c>
      <c r="Y736" s="21">
        <v>0</v>
      </c>
      <c r="Z736" s="21" t="s">
        <v>2272</v>
      </c>
      <c r="AA736" s="198" t="s">
        <v>2272</v>
      </c>
      <c r="AB736" s="198" t="s">
        <v>2272</v>
      </c>
      <c r="AC736" s="198" t="s">
        <v>2272</v>
      </c>
      <c r="AD736" s="4" t="s">
        <v>1722</v>
      </c>
      <c r="AE736" s="198"/>
    </row>
    <row r="737" spans="1:31" ht="49.5" customHeight="1">
      <c r="A737" s="198" t="s">
        <v>1548</v>
      </c>
      <c r="B737" s="198" t="s">
        <v>1698</v>
      </c>
      <c r="C737" s="198" t="s">
        <v>23</v>
      </c>
      <c r="D737" s="198" t="s">
        <v>141</v>
      </c>
      <c r="E737" s="198" t="s">
        <v>860</v>
      </c>
      <c r="F737" s="4" t="s">
        <v>73</v>
      </c>
      <c r="G737" s="4"/>
      <c r="H737" s="198" t="s">
        <v>522</v>
      </c>
      <c r="I737" s="198"/>
      <c r="J737" s="21">
        <v>0</v>
      </c>
      <c r="K737" s="21">
        <v>0</v>
      </c>
      <c r="L737" s="21">
        <v>0</v>
      </c>
      <c r="M737" s="21">
        <v>0</v>
      </c>
      <c r="N737" s="21">
        <v>0</v>
      </c>
      <c r="O737" s="21">
        <v>0</v>
      </c>
      <c r="P737" s="21">
        <v>0</v>
      </c>
      <c r="Q737" s="21">
        <v>0</v>
      </c>
      <c r="R737" s="21" t="s">
        <v>2272</v>
      </c>
      <c r="S737" s="21" t="s">
        <v>2272</v>
      </c>
      <c r="T737" s="21">
        <v>0</v>
      </c>
      <c r="U737" s="21">
        <v>0</v>
      </c>
      <c r="V737" s="21">
        <v>0</v>
      </c>
      <c r="W737" s="21">
        <v>0</v>
      </c>
      <c r="X737" s="21">
        <v>0</v>
      </c>
      <c r="Y737" s="21">
        <v>0</v>
      </c>
      <c r="Z737" s="21" t="s">
        <v>2272</v>
      </c>
      <c r="AA737" s="198" t="s">
        <v>2272</v>
      </c>
      <c r="AB737" s="198" t="s">
        <v>2272</v>
      </c>
      <c r="AC737" s="198" t="s">
        <v>2272</v>
      </c>
      <c r="AD737" s="4" t="s">
        <v>1722</v>
      </c>
      <c r="AE737" s="198"/>
    </row>
    <row r="738" spans="1:31" ht="49.5" customHeight="1">
      <c r="A738" s="198" t="s">
        <v>1549</v>
      </c>
      <c r="B738" s="198" t="s">
        <v>1699</v>
      </c>
      <c r="C738" s="198" t="s">
        <v>23</v>
      </c>
      <c r="D738" s="198" t="s">
        <v>141</v>
      </c>
      <c r="E738" s="198" t="s">
        <v>860</v>
      </c>
      <c r="F738" s="4" t="s">
        <v>73</v>
      </c>
      <c r="G738" s="4"/>
      <c r="H738" s="198" t="s">
        <v>522</v>
      </c>
      <c r="I738" s="198"/>
      <c r="J738" s="21">
        <v>0</v>
      </c>
      <c r="K738" s="21">
        <v>0</v>
      </c>
      <c r="L738" s="21">
        <v>0</v>
      </c>
      <c r="M738" s="21">
        <v>0</v>
      </c>
      <c r="N738" s="21">
        <v>0</v>
      </c>
      <c r="O738" s="21">
        <v>0</v>
      </c>
      <c r="P738" s="21">
        <v>0</v>
      </c>
      <c r="Q738" s="21">
        <v>0</v>
      </c>
      <c r="R738" s="21" t="s">
        <v>2272</v>
      </c>
      <c r="S738" s="21" t="s">
        <v>2272</v>
      </c>
      <c r="T738" s="21">
        <v>0</v>
      </c>
      <c r="U738" s="21">
        <v>0</v>
      </c>
      <c r="V738" s="21">
        <v>0</v>
      </c>
      <c r="W738" s="21">
        <v>0</v>
      </c>
      <c r="X738" s="21">
        <v>0</v>
      </c>
      <c r="Y738" s="21">
        <v>0</v>
      </c>
      <c r="Z738" s="21" t="s">
        <v>2272</v>
      </c>
      <c r="AA738" s="198" t="s">
        <v>2272</v>
      </c>
      <c r="AB738" s="198" t="s">
        <v>2272</v>
      </c>
      <c r="AC738" s="198" t="s">
        <v>2272</v>
      </c>
      <c r="AD738" s="4" t="s">
        <v>1722</v>
      </c>
      <c r="AE738" s="198"/>
    </row>
    <row r="739" spans="1:31" ht="49.5" customHeight="1">
      <c r="A739" s="198" t="s">
        <v>1550</v>
      </c>
      <c r="B739" s="198" t="s">
        <v>1700</v>
      </c>
      <c r="C739" s="198" t="s">
        <v>23</v>
      </c>
      <c r="D739" s="198" t="s">
        <v>141</v>
      </c>
      <c r="E739" s="198" t="s">
        <v>860</v>
      </c>
      <c r="F739" s="4" t="s">
        <v>73</v>
      </c>
      <c r="G739" s="4"/>
      <c r="H739" s="198" t="s">
        <v>522</v>
      </c>
      <c r="I739" s="198"/>
      <c r="J739" s="21">
        <v>0</v>
      </c>
      <c r="K739" s="21">
        <v>0</v>
      </c>
      <c r="L739" s="21">
        <v>0</v>
      </c>
      <c r="M739" s="21">
        <v>0</v>
      </c>
      <c r="N739" s="21">
        <v>0</v>
      </c>
      <c r="O739" s="21">
        <v>0</v>
      </c>
      <c r="P739" s="21">
        <v>0</v>
      </c>
      <c r="Q739" s="21">
        <v>0</v>
      </c>
      <c r="R739" s="21" t="s">
        <v>2272</v>
      </c>
      <c r="S739" s="21" t="s">
        <v>2272</v>
      </c>
      <c r="T739" s="21">
        <v>0</v>
      </c>
      <c r="U739" s="21">
        <v>0</v>
      </c>
      <c r="V739" s="21">
        <v>0</v>
      </c>
      <c r="W739" s="21">
        <v>0</v>
      </c>
      <c r="X739" s="21">
        <v>0</v>
      </c>
      <c r="Y739" s="21">
        <v>0</v>
      </c>
      <c r="Z739" s="21" t="s">
        <v>2272</v>
      </c>
      <c r="AA739" s="198" t="s">
        <v>2272</v>
      </c>
      <c r="AB739" s="198" t="s">
        <v>2272</v>
      </c>
      <c r="AC739" s="198" t="s">
        <v>2272</v>
      </c>
      <c r="AD739" s="4" t="s">
        <v>1722</v>
      </c>
      <c r="AE739" s="198"/>
    </row>
    <row r="740" spans="1:31" ht="49.5" customHeight="1">
      <c r="A740" s="198" t="s">
        <v>1551</v>
      </c>
      <c r="B740" s="198" t="s">
        <v>1701</v>
      </c>
      <c r="C740" s="198" t="s">
        <v>23</v>
      </c>
      <c r="D740" s="198" t="s">
        <v>141</v>
      </c>
      <c r="E740" s="198" t="s">
        <v>860</v>
      </c>
      <c r="F740" s="4" t="s">
        <v>73</v>
      </c>
      <c r="G740" s="4"/>
      <c r="H740" s="198" t="s">
        <v>522</v>
      </c>
      <c r="I740" s="198"/>
      <c r="J740" s="21">
        <v>0</v>
      </c>
      <c r="K740" s="21">
        <v>0</v>
      </c>
      <c r="L740" s="21">
        <v>0</v>
      </c>
      <c r="M740" s="21">
        <v>0</v>
      </c>
      <c r="N740" s="21">
        <v>0</v>
      </c>
      <c r="O740" s="21">
        <v>0</v>
      </c>
      <c r="P740" s="21">
        <v>0</v>
      </c>
      <c r="Q740" s="21">
        <v>0</v>
      </c>
      <c r="R740" s="21" t="s">
        <v>2272</v>
      </c>
      <c r="S740" s="21" t="s">
        <v>2272</v>
      </c>
      <c r="T740" s="21">
        <v>0</v>
      </c>
      <c r="U740" s="21">
        <v>0</v>
      </c>
      <c r="V740" s="21">
        <v>0</v>
      </c>
      <c r="W740" s="21">
        <v>0</v>
      </c>
      <c r="X740" s="21">
        <v>0</v>
      </c>
      <c r="Y740" s="21">
        <v>0</v>
      </c>
      <c r="Z740" s="21" t="s">
        <v>2272</v>
      </c>
      <c r="AA740" s="198" t="s">
        <v>2272</v>
      </c>
      <c r="AB740" s="198" t="s">
        <v>2272</v>
      </c>
      <c r="AC740" s="198" t="s">
        <v>2272</v>
      </c>
      <c r="AD740" s="4" t="s">
        <v>1722</v>
      </c>
      <c r="AE740" s="198"/>
    </row>
    <row r="741" spans="1:31" ht="49.5" customHeight="1">
      <c r="A741" s="198" t="s">
        <v>1552</v>
      </c>
      <c r="B741" s="198" t="s">
        <v>1702</v>
      </c>
      <c r="C741" s="198" t="s">
        <v>23</v>
      </c>
      <c r="D741" s="198" t="s">
        <v>141</v>
      </c>
      <c r="E741" s="198" t="s">
        <v>860</v>
      </c>
      <c r="F741" s="4" t="s">
        <v>73</v>
      </c>
      <c r="G741" s="4"/>
      <c r="H741" s="198" t="s">
        <v>522</v>
      </c>
      <c r="I741" s="198"/>
      <c r="J741" s="21">
        <v>0</v>
      </c>
      <c r="K741" s="21">
        <v>0</v>
      </c>
      <c r="L741" s="21">
        <v>0</v>
      </c>
      <c r="M741" s="21">
        <v>0</v>
      </c>
      <c r="N741" s="21">
        <v>0</v>
      </c>
      <c r="O741" s="21">
        <v>0</v>
      </c>
      <c r="P741" s="21">
        <v>0</v>
      </c>
      <c r="Q741" s="21">
        <v>0</v>
      </c>
      <c r="R741" s="21" t="s">
        <v>2272</v>
      </c>
      <c r="S741" s="21" t="s">
        <v>2272</v>
      </c>
      <c r="T741" s="21">
        <v>0</v>
      </c>
      <c r="U741" s="21">
        <v>0</v>
      </c>
      <c r="V741" s="21">
        <v>0</v>
      </c>
      <c r="W741" s="21">
        <v>0</v>
      </c>
      <c r="X741" s="21">
        <v>0</v>
      </c>
      <c r="Y741" s="21">
        <v>0</v>
      </c>
      <c r="Z741" s="21" t="s">
        <v>2272</v>
      </c>
      <c r="AA741" s="198" t="s">
        <v>2272</v>
      </c>
      <c r="AB741" s="198" t="s">
        <v>2272</v>
      </c>
      <c r="AC741" s="198" t="s">
        <v>2272</v>
      </c>
      <c r="AD741" s="4" t="s">
        <v>1722</v>
      </c>
      <c r="AE741" s="198"/>
    </row>
    <row r="742" spans="1:31" ht="49.5" customHeight="1">
      <c r="A742" s="198" t="s">
        <v>1553</v>
      </c>
      <c r="B742" s="198" t="s">
        <v>1703</v>
      </c>
      <c r="C742" s="198" t="s">
        <v>23</v>
      </c>
      <c r="D742" s="198" t="s">
        <v>141</v>
      </c>
      <c r="E742" s="198" t="s">
        <v>860</v>
      </c>
      <c r="F742" s="4" t="s">
        <v>73</v>
      </c>
      <c r="G742" s="4"/>
      <c r="H742" s="198" t="s">
        <v>522</v>
      </c>
      <c r="I742" s="198"/>
      <c r="J742" s="21">
        <v>0</v>
      </c>
      <c r="K742" s="21">
        <v>0</v>
      </c>
      <c r="L742" s="21">
        <v>0</v>
      </c>
      <c r="M742" s="21">
        <v>0</v>
      </c>
      <c r="N742" s="21">
        <v>0</v>
      </c>
      <c r="O742" s="21">
        <v>0</v>
      </c>
      <c r="P742" s="21">
        <v>0</v>
      </c>
      <c r="Q742" s="21">
        <v>0</v>
      </c>
      <c r="R742" s="21" t="s">
        <v>2272</v>
      </c>
      <c r="S742" s="21" t="s">
        <v>2272</v>
      </c>
      <c r="T742" s="21">
        <v>0</v>
      </c>
      <c r="U742" s="21">
        <v>0</v>
      </c>
      <c r="V742" s="21">
        <v>0</v>
      </c>
      <c r="W742" s="21">
        <v>0</v>
      </c>
      <c r="X742" s="21">
        <v>0</v>
      </c>
      <c r="Y742" s="21">
        <v>0</v>
      </c>
      <c r="Z742" s="21" t="s">
        <v>2272</v>
      </c>
      <c r="AA742" s="198" t="s">
        <v>2272</v>
      </c>
      <c r="AB742" s="198" t="s">
        <v>2272</v>
      </c>
      <c r="AC742" s="198" t="s">
        <v>2272</v>
      </c>
      <c r="AD742" s="4" t="s">
        <v>1722</v>
      </c>
      <c r="AE742" s="198"/>
    </row>
    <row r="743" spans="1:31" ht="49.5" customHeight="1">
      <c r="A743" s="198" t="s">
        <v>1554</v>
      </c>
      <c r="B743" s="198" t="s">
        <v>1704</v>
      </c>
      <c r="C743" s="198" t="s">
        <v>23</v>
      </c>
      <c r="D743" s="198" t="s">
        <v>141</v>
      </c>
      <c r="E743" s="198" t="s">
        <v>860</v>
      </c>
      <c r="F743" s="4" t="s">
        <v>73</v>
      </c>
      <c r="G743" s="4"/>
      <c r="H743" s="198" t="s">
        <v>522</v>
      </c>
      <c r="I743" s="198"/>
      <c r="J743" s="21">
        <v>0</v>
      </c>
      <c r="K743" s="21">
        <v>0</v>
      </c>
      <c r="L743" s="21">
        <v>0</v>
      </c>
      <c r="M743" s="21">
        <v>0</v>
      </c>
      <c r="N743" s="21">
        <v>0</v>
      </c>
      <c r="O743" s="21">
        <v>0</v>
      </c>
      <c r="P743" s="21">
        <v>0</v>
      </c>
      <c r="Q743" s="21">
        <v>0</v>
      </c>
      <c r="R743" s="21" t="s">
        <v>2272</v>
      </c>
      <c r="S743" s="21" t="s">
        <v>2272</v>
      </c>
      <c r="T743" s="21">
        <v>0</v>
      </c>
      <c r="U743" s="21">
        <v>0</v>
      </c>
      <c r="V743" s="21">
        <v>0</v>
      </c>
      <c r="W743" s="21">
        <v>0</v>
      </c>
      <c r="X743" s="21">
        <v>0</v>
      </c>
      <c r="Y743" s="21">
        <v>0</v>
      </c>
      <c r="Z743" s="21" t="s">
        <v>2272</v>
      </c>
      <c r="AA743" s="198" t="s">
        <v>2272</v>
      </c>
      <c r="AB743" s="198" t="s">
        <v>2272</v>
      </c>
      <c r="AC743" s="198" t="s">
        <v>2272</v>
      </c>
      <c r="AD743" s="4" t="s">
        <v>1722</v>
      </c>
      <c r="AE743" s="198"/>
    </row>
    <row r="744" spans="1:31" ht="49.5" customHeight="1">
      <c r="A744" s="198" t="s">
        <v>1555</v>
      </c>
      <c r="B744" s="198" t="s">
        <v>1705</v>
      </c>
      <c r="C744" s="198" t="s">
        <v>23</v>
      </c>
      <c r="D744" s="198" t="s">
        <v>141</v>
      </c>
      <c r="E744" s="198" t="s">
        <v>860</v>
      </c>
      <c r="F744" s="4" t="s">
        <v>73</v>
      </c>
      <c r="G744" s="4"/>
      <c r="H744" s="198" t="s">
        <v>522</v>
      </c>
      <c r="I744" s="198"/>
      <c r="J744" s="21">
        <v>0</v>
      </c>
      <c r="K744" s="21">
        <v>0</v>
      </c>
      <c r="L744" s="21">
        <v>0</v>
      </c>
      <c r="M744" s="21">
        <v>0</v>
      </c>
      <c r="N744" s="21">
        <v>0</v>
      </c>
      <c r="O744" s="21">
        <v>0</v>
      </c>
      <c r="P744" s="21">
        <v>0</v>
      </c>
      <c r="Q744" s="21">
        <v>0</v>
      </c>
      <c r="R744" s="21" t="s">
        <v>2272</v>
      </c>
      <c r="S744" s="21" t="s">
        <v>2272</v>
      </c>
      <c r="T744" s="21">
        <v>0</v>
      </c>
      <c r="U744" s="21">
        <v>0</v>
      </c>
      <c r="V744" s="21">
        <v>0</v>
      </c>
      <c r="W744" s="21">
        <v>0</v>
      </c>
      <c r="X744" s="21">
        <v>0</v>
      </c>
      <c r="Y744" s="21">
        <v>0</v>
      </c>
      <c r="Z744" s="21" t="s">
        <v>2272</v>
      </c>
      <c r="AA744" s="198" t="s">
        <v>2272</v>
      </c>
      <c r="AB744" s="198" t="s">
        <v>2272</v>
      </c>
      <c r="AC744" s="198" t="s">
        <v>2272</v>
      </c>
      <c r="AD744" s="4" t="s">
        <v>1722</v>
      </c>
      <c r="AE744" s="198"/>
    </row>
    <row r="745" spans="1:31" ht="49.5" customHeight="1">
      <c r="A745" s="198" t="s">
        <v>1556</v>
      </c>
      <c r="B745" s="198" t="s">
        <v>1706</v>
      </c>
      <c r="C745" s="198" t="s">
        <v>23</v>
      </c>
      <c r="D745" s="198" t="s">
        <v>141</v>
      </c>
      <c r="E745" s="198" t="s">
        <v>860</v>
      </c>
      <c r="F745" s="4" t="s">
        <v>73</v>
      </c>
      <c r="G745" s="4"/>
      <c r="H745" s="198" t="s">
        <v>522</v>
      </c>
      <c r="I745" s="198"/>
      <c r="J745" s="21">
        <v>0</v>
      </c>
      <c r="K745" s="21">
        <v>0</v>
      </c>
      <c r="L745" s="21">
        <v>0</v>
      </c>
      <c r="M745" s="21">
        <v>0</v>
      </c>
      <c r="N745" s="21">
        <v>0</v>
      </c>
      <c r="O745" s="21">
        <v>0</v>
      </c>
      <c r="P745" s="21">
        <v>0</v>
      </c>
      <c r="Q745" s="21">
        <v>0</v>
      </c>
      <c r="R745" s="21" t="s">
        <v>2272</v>
      </c>
      <c r="S745" s="21" t="s">
        <v>2272</v>
      </c>
      <c r="T745" s="21">
        <v>0</v>
      </c>
      <c r="U745" s="21">
        <v>0</v>
      </c>
      <c r="V745" s="21">
        <v>0</v>
      </c>
      <c r="W745" s="21">
        <v>0</v>
      </c>
      <c r="X745" s="21">
        <v>0</v>
      </c>
      <c r="Y745" s="21">
        <v>0</v>
      </c>
      <c r="Z745" s="21" t="s">
        <v>2272</v>
      </c>
      <c r="AA745" s="198" t="s">
        <v>2272</v>
      </c>
      <c r="AB745" s="198" t="s">
        <v>2272</v>
      </c>
      <c r="AC745" s="198" t="s">
        <v>2272</v>
      </c>
      <c r="AD745" s="4" t="s">
        <v>1722</v>
      </c>
      <c r="AE745" s="198"/>
    </row>
    <row r="746" spans="1:31" ht="49.5" customHeight="1">
      <c r="A746" s="198" t="s">
        <v>1557</v>
      </c>
      <c r="B746" s="198" t="s">
        <v>1707</v>
      </c>
      <c r="C746" s="198" t="s">
        <v>23</v>
      </c>
      <c r="D746" s="198" t="s">
        <v>141</v>
      </c>
      <c r="E746" s="198" t="s">
        <v>860</v>
      </c>
      <c r="F746" s="4" t="s">
        <v>73</v>
      </c>
      <c r="G746" s="4"/>
      <c r="H746" s="198" t="s">
        <v>522</v>
      </c>
      <c r="I746" s="198"/>
      <c r="J746" s="21">
        <v>0</v>
      </c>
      <c r="K746" s="21">
        <v>0</v>
      </c>
      <c r="L746" s="21">
        <v>0</v>
      </c>
      <c r="M746" s="21">
        <v>0</v>
      </c>
      <c r="N746" s="21">
        <v>0</v>
      </c>
      <c r="O746" s="21">
        <v>0</v>
      </c>
      <c r="P746" s="21">
        <v>0</v>
      </c>
      <c r="Q746" s="21">
        <v>0</v>
      </c>
      <c r="R746" s="21" t="s">
        <v>2272</v>
      </c>
      <c r="S746" s="21" t="s">
        <v>2272</v>
      </c>
      <c r="T746" s="21">
        <v>0</v>
      </c>
      <c r="U746" s="21">
        <v>0</v>
      </c>
      <c r="V746" s="21">
        <v>0</v>
      </c>
      <c r="W746" s="21">
        <v>0</v>
      </c>
      <c r="X746" s="21">
        <v>0</v>
      </c>
      <c r="Y746" s="21">
        <v>0</v>
      </c>
      <c r="Z746" s="21" t="s">
        <v>2272</v>
      </c>
      <c r="AA746" s="198" t="s">
        <v>2272</v>
      </c>
      <c r="AB746" s="198" t="s">
        <v>2272</v>
      </c>
      <c r="AC746" s="198" t="s">
        <v>2272</v>
      </c>
      <c r="AD746" s="4" t="s">
        <v>1722</v>
      </c>
      <c r="AE746" s="198"/>
    </row>
    <row r="747" spans="1:31" ht="49.5" customHeight="1">
      <c r="A747" s="198" t="s">
        <v>1558</v>
      </c>
      <c r="B747" s="198" t="s">
        <v>1708</v>
      </c>
      <c r="C747" s="198" t="s">
        <v>23</v>
      </c>
      <c r="D747" s="198" t="s">
        <v>141</v>
      </c>
      <c r="E747" s="198" t="s">
        <v>860</v>
      </c>
      <c r="F747" s="4" t="s">
        <v>73</v>
      </c>
      <c r="G747" s="4"/>
      <c r="H747" s="198" t="s">
        <v>522</v>
      </c>
      <c r="I747" s="198"/>
      <c r="J747" s="21">
        <v>0</v>
      </c>
      <c r="K747" s="21">
        <v>0</v>
      </c>
      <c r="L747" s="21">
        <v>0</v>
      </c>
      <c r="M747" s="21">
        <v>0</v>
      </c>
      <c r="N747" s="21">
        <v>0</v>
      </c>
      <c r="O747" s="21">
        <v>0</v>
      </c>
      <c r="P747" s="21">
        <v>0</v>
      </c>
      <c r="Q747" s="21">
        <v>0</v>
      </c>
      <c r="R747" s="21" t="s">
        <v>2272</v>
      </c>
      <c r="S747" s="21" t="s">
        <v>2272</v>
      </c>
      <c r="T747" s="21">
        <v>0</v>
      </c>
      <c r="U747" s="21">
        <v>0</v>
      </c>
      <c r="V747" s="21">
        <v>0</v>
      </c>
      <c r="W747" s="21">
        <v>0</v>
      </c>
      <c r="X747" s="21">
        <v>0</v>
      </c>
      <c r="Y747" s="21">
        <v>0</v>
      </c>
      <c r="Z747" s="21" t="s">
        <v>2272</v>
      </c>
      <c r="AA747" s="198" t="s">
        <v>2272</v>
      </c>
      <c r="AB747" s="198" t="s">
        <v>2272</v>
      </c>
      <c r="AC747" s="198" t="s">
        <v>2272</v>
      </c>
      <c r="AD747" s="4" t="s">
        <v>1722</v>
      </c>
      <c r="AE747" s="198"/>
    </row>
    <row r="748" spans="1:31" ht="49.5" customHeight="1">
      <c r="A748" s="198" t="s">
        <v>1559</v>
      </c>
      <c r="B748" s="198" t="s">
        <v>1709</v>
      </c>
      <c r="C748" s="198" t="s">
        <v>23</v>
      </c>
      <c r="D748" s="198" t="s">
        <v>141</v>
      </c>
      <c r="E748" s="198" t="s">
        <v>860</v>
      </c>
      <c r="F748" s="4" t="s">
        <v>73</v>
      </c>
      <c r="G748" s="4"/>
      <c r="H748" s="198" t="s">
        <v>522</v>
      </c>
      <c r="I748" s="198"/>
      <c r="J748" s="21">
        <v>0</v>
      </c>
      <c r="K748" s="21">
        <v>0</v>
      </c>
      <c r="L748" s="21">
        <v>0</v>
      </c>
      <c r="M748" s="21">
        <v>0</v>
      </c>
      <c r="N748" s="21">
        <v>0</v>
      </c>
      <c r="O748" s="21">
        <v>0</v>
      </c>
      <c r="P748" s="21">
        <v>0</v>
      </c>
      <c r="Q748" s="21">
        <v>0</v>
      </c>
      <c r="R748" s="21" t="s">
        <v>2272</v>
      </c>
      <c r="S748" s="21" t="s">
        <v>2272</v>
      </c>
      <c r="T748" s="21">
        <v>0</v>
      </c>
      <c r="U748" s="21">
        <v>0</v>
      </c>
      <c r="V748" s="21">
        <v>0</v>
      </c>
      <c r="W748" s="21">
        <v>0</v>
      </c>
      <c r="X748" s="21">
        <v>0</v>
      </c>
      <c r="Y748" s="21">
        <v>0</v>
      </c>
      <c r="Z748" s="21" t="s">
        <v>2272</v>
      </c>
      <c r="AA748" s="198" t="s">
        <v>2272</v>
      </c>
      <c r="AB748" s="198" t="s">
        <v>2272</v>
      </c>
      <c r="AC748" s="198" t="s">
        <v>2272</v>
      </c>
      <c r="AD748" s="4" t="s">
        <v>1722</v>
      </c>
      <c r="AE748" s="198"/>
    </row>
    <row r="749" spans="1:31" ht="49.5" customHeight="1">
      <c r="A749" s="198" t="s">
        <v>1560</v>
      </c>
      <c r="B749" s="198" t="s">
        <v>1710</v>
      </c>
      <c r="C749" s="198" t="s">
        <v>23</v>
      </c>
      <c r="D749" s="198" t="s">
        <v>141</v>
      </c>
      <c r="E749" s="198" t="s">
        <v>860</v>
      </c>
      <c r="F749" s="4" t="s">
        <v>73</v>
      </c>
      <c r="G749" s="4"/>
      <c r="H749" s="198" t="s">
        <v>522</v>
      </c>
      <c r="I749" s="198"/>
      <c r="J749" s="21">
        <v>0</v>
      </c>
      <c r="K749" s="21">
        <v>0</v>
      </c>
      <c r="L749" s="21">
        <v>0</v>
      </c>
      <c r="M749" s="21">
        <v>0</v>
      </c>
      <c r="N749" s="21">
        <v>0</v>
      </c>
      <c r="O749" s="21">
        <v>0</v>
      </c>
      <c r="P749" s="21">
        <v>0</v>
      </c>
      <c r="Q749" s="21">
        <v>0</v>
      </c>
      <c r="R749" s="21" t="s">
        <v>2272</v>
      </c>
      <c r="S749" s="21" t="s">
        <v>2272</v>
      </c>
      <c r="T749" s="21">
        <v>0</v>
      </c>
      <c r="U749" s="21">
        <v>0</v>
      </c>
      <c r="V749" s="21">
        <v>0</v>
      </c>
      <c r="W749" s="21">
        <v>0</v>
      </c>
      <c r="X749" s="21">
        <v>0</v>
      </c>
      <c r="Y749" s="21">
        <v>0</v>
      </c>
      <c r="Z749" s="21" t="s">
        <v>2272</v>
      </c>
      <c r="AA749" s="198" t="s">
        <v>2272</v>
      </c>
      <c r="AB749" s="198" t="s">
        <v>2272</v>
      </c>
      <c r="AC749" s="198" t="s">
        <v>2272</v>
      </c>
      <c r="AD749" s="4" t="s">
        <v>1722</v>
      </c>
      <c r="AE749" s="198"/>
    </row>
    <row r="750" spans="1:31" ht="49.5" customHeight="1">
      <c r="A750" s="198" t="s">
        <v>1561</v>
      </c>
      <c r="B750" s="198" t="s">
        <v>1711</v>
      </c>
      <c r="C750" s="198" t="s">
        <v>23</v>
      </c>
      <c r="D750" s="198" t="s">
        <v>141</v>
      </c>
      <c r="E750" s="198" t="s">
        <v>860</v>
      </c>
      <c r="F750" s="4" t="s">
        <v>73</v>
      </c>
      <c r="G750" s="4"/>
      <c r="H750" s="198" t="s">
        <v>522</v>
      </c>
      <c r="I750" s="198"/>
      <c r="J750" s="21">
        <v>0</v>
      </c>
      <c r="K750" s="21">
        <v>0</v>
      </c>
      <c r="L750" s="21">
        <v>0</v>
      </c>
      <c r="M750" s="21">
        <v>0</v>
      </c>
      <c r="N750" s="21">
        <v>0</v>
      </c>
      <c r="O750" s="21">
        <v>0</v>
      </c>
      <c r="P750" s="21">
        <v>0</v>
      </c>
      <c r="Q750" s="21">
        <v>0</v>
      </c>
      <c r="R750" s="21" t="s">
        <v>2272</v>
      </c>
      <c r="S750" s="21" t="s">
        <v>2272</v>
      </c>
      <c r="T750" s="21">
        <v>0</v>
      </c>
      <c r="U750" s="21">
        <v>0</v>
      </c>
      <c r="V750" s="21">
        <v>0</v>
      </c>
      <c r="W750" s="21">
        <v>0</v>
      </c>
      <c r="X750" s="21">
        <v>0</v>
      </c>
      <c r="Y750" s="21">
        <v>0</v>
      </c>
      <c r="Z750" s="21" t="s">
        <v>2272</v>
      </c>
      <c r="AA750" s="198" t="s">
        <v>2272</v>
      </c>
      <c r="AB750" s="198" t="s">
        <v>2272</v>
      </c>
      <c r="AC750" s="198" t="s">
        <v>2272</v>
      </c>
      <c r="AD750" s="4" t="s">
        <v>1722</v>
      </c>
      <c r="AE750" s="198"/>
    </row>
    <row r="751" spans="1:31" ht="49.5" customHeight="1">
      <c r="A751" s="198" t="s">
        <v>1562</v>
      </c>
      <c r="B751" s="198" t="s">
        <v>1712</v>
      </c>
      <c r="C751" s="198" t="s">
        <v>23</v>
      </c>
      <c r="D751" s="198" t="s">
        <v>141</v>
      </c>
      <c r="E751" s="198" t="s">
        <v>860</v>
      </c>
      <c r="F751" s="4" t="s">
        <v>73</v>
      </c>
      <c r="G751" s="4"/>
      <c r="H751" s="198" t="s">
        <v>522</v>
      </c>
      <c r="I751" s="198"/>
      <c r="J751" s="21">
        <v>0</v>
      </c>
      <c r="K751" s="21">
        <v>0</v>
      </c>
      <c r="L751" s="21">
        <v>0</v>
      </c>
      <c r="M751" s="21">
        <v>0</v>
      </c>
      <c r="N751" s="21">
        <v>0</v>
      </c>
      <c r="O751" s="21">
        <v>0</v>
      </c>
      <c r="P751" s="21">
        <v>0</v>
      </c>
      <c r="Q751" s="21">
        <v>0</v>
      </c>
      <c r="R751" s="21" t="s">
        <v>2272</v>
      </c>
      <c r="S751" s="21" t="s">
        <v>2272</v>
      </c>
      <c r="T751" s="21">
        <v>0</v>
      </c>
      <c r="U751" s="21">
        <v>0</v>
      </c>
      <c r="V751" s="21">
        <v>0</v>
      </c>
      <c r="W751" s="21">
        <v>0</v>
      </c>
      <c r="X751" s="21">
        <v>0</v>
      </c>
      <c r="Y751" s="21">
        <v>0</v>
      </c>
      <c r="Z751" s="21" t="s">
        <v>2272</v>
      </c>
      <c r="AA751" s="198" t="s">
        <v>2272</v>
      </c>
      <c r="AB751" s="198" t="s">
        <v>2272</v>
      </c>
      <c r="AC751" s="198" t="s">
        <v>2272</v>
      </c>
      <c r="AD751" s="4" t="s">
        <v>1722</v>
      </c>
      <c r="AE751" s="198"/>
    </row>
    <row r="752" spans="1:31" ht="49.5" customHeight="1">
      <c r="A752" s="198" t="s">
        <v>1563</v>
      </c>
      <c r="B752" s="198" t="s">
        <v>1713</v>
      </c>
      <c r="C752" s="198" t="s">
        <v>23</v>
      </c>
      <c r="D752" s="198" t="s">
        <v>141</v>
      </c>
      <c r="E752" s="198" t="s">
        <v>860</v>
      </c>
      <c r="F752" s="4" t="s">
        <v>73</v>
      </c>
      <c r="G752" s="4"/>
      <c r="H752" s="198" t="s">
        <v>522</v>
      </c>
      <c r="I752" s="198"/>
      <c r="J752" s="21">
        <v>0</v>
      </c>
      <c r="K752" s="21">
        <v>0</v>
      </c>
      <c r="L752" s="21">
        <v>0</v>
      </c>
      <c r="M752" s="21">
        <v>0</v>
      </c>
      <c r="N752" s="21">
        <v>0</v>
      </c>
      <c r="O752" s="21">
        <v>0</v>
      </c>
      <c r="P752" s="21">
        <v>0</v>
      </c>
      <c r="Q752" s="21">
        <v>0</v>
      </c>
      <c r="R752" s="21" t="s">
        <v>2272</v>
      </c>
      <c r="S752" s="21" t="s">
        <v>2272</v>
      </c>
      <c r="T752" s="21">
        <v>0</v>
      </c>
      <c r="U752" s="21">
        <v>0</v>
      </c>
      <c r="V752" s="21">
        <v>0</v>
      </c>
      <c r="W752" s="21">
        <v>0</v>
      </c>
      <c r="X752" s="21">
        <v>0</v>
      </c>
      <c r="Y752" s="21">
        <v>0</v>
      </c>
      <c r="Z752" s="21" t="s">
        <v>2272</v>
      </c>
      <c r="AA752" s="198" t="s">
        <v>2272</v>
      </c>
      <c r="AB752" s="198" t="s">
        <v>2272</v>
      </c>
      <c r="AC752" s="198" t="s">
        <v>2272</v>
      </c>
      <c r="AD752" s="4" t="s">
        <v>1722</v>
      </c>
      <c r="AE752" s="198"/>
    </row>
    <row r="753" spans="1:31" ht="49.5" customHeight="1">
      <c r="A753" s="198" t="s">
        <v>1564</v>
      </c>
      <c r="B753" s="198" t="s">
        <v>1714</v>
      </c>
      <c r="C753" s="198" t="s">
        <v>23</v>
      </c>
      <c r="D753" s="198" t="s">
        <v>141</v>
      </c>
      <c r="E753" s="198" t="s">
        <v>860</v>
      </c>
      <c r="F753" s="4" t="s">
        <v>73</v>
      </c>
      <c r="G753" s="4"/>
      <c r="H753" s="198" t="s">
        <v>522</v>
      </c>
      <c r="I753" s="198"/>
      <c r="J753" s="21">
        <v>0</v>
      </c>
      <c r="K753" s="21">
        <v>0</v>
      </c>
      <c r="L753" s="21">
        <v>0</v>
      </c>
      <c r="M753" s="21">
        <v>0</v>
      </c>
      <c r="N753" s="21">
        <v>0</v>
      </c>
      <c r="O753" s="21">
        <v>0</v>
      </c>
      <c r="P753" s="21">
        <v>0</v>
      </c>
      <c r="Q753" s="21">
        <v>0</v>
      </c>
      <c r="R753" s="21" t="s">
        <v>2272</v>
      </c>
      <c r="S753" s="21" t="s">
        <v>2272</v>
      </c>
      <c r="T753" s="21">
        <v>0</v>
      </c>
      <c r="U753" s="21">
        <v>0</v>
      </c>
      <c r="V753" s="21">
        <v>0</v>
      </c>
      <c r="W753" s="21">
        <v>0</v>
      </c>
      <c r="X753" s="21">
        <v>0</v>
      </c>
      <c r="Y753" s="21">
        <v>0</v>
      </c>
      <c r="Z753" s="21" t="s">
        <v>2272</v>
      </c>
      <c r="AA753" s="198" t="s">
        <v>2272</v>
      </c>
      <c r="AB753" s="198" t="s">
        <v>2272</v>
      </c>
      <c r="AC753" s="198" t="s">
        <v>2272</v>
      </c>
      <c r="AD753" s="4" t="s">
        <v>1722</v>
      </c>
      <c r="AE753" s="198"/>
    </row>
    <row r="754" spans="1:31" ht="49.5" customHeight="1">
      <c r="A754" s="198" t="s">
        <v>1565</v>
      </c>
      <c r="B754" s="198" t="s">
        <v>1715</v>
      </c>
      <c r="C754" s="198" t="s">
        <v>23</v>
      </c>
      <c r="D754" s="198" t="s">
        <v>141</v>
      </c>
      <c r="E754" s="198" t="s">
        <v>860</v>
      </c>
      <c r="F754" s="4" t="s">
        <v>73</v>
      </c>
      <c r="G754" s="4"/>
      <c r="H754" s="198" t="s">
        <v>522</v>
      </c>
      <c r="I754" s="198"/>
      <c r="J754" s="21">
        <v>0</v>
      </c>
      <c r="K754" s="21">
        <v>0</v>
      </c>
      <c r="L754" s="21">
        <v>0</v>
      </c>
      <c r="M754" s="21">
        <v>0</v>
      </c>
      <c r="N754" s="21">
        <v>0</v>
      </c>
      <c r="O754" s="21">
        <v>0</v>
      </c>
      <c r="P754" s="21">
        <v>0</v>
      </c>
      <c r="Q754" s="21">
        <v>0</v>
      </c>
      <c r="R754" s="21" t="s">
        <v>2272</v>
      </c>
      <c r="S754" s="21" t="s">
        <v>2272</v>
      </c>
      <c r="T754" s="21">
        <v>0</v>
      </c>
      <c r="U754" s="21">
        <v>0</v>
      </c>
      <c r="V754" s="21">
        <v>0</v>
      </c>
      <c r="W754" s="21">
        <v>0</v>
      </c>
      <c r="X754" s="21">
        <v>0</v>
      </c>
      <c r="Y754" s="21">
        <v>0</v>
      </c>
      <c r="Z754" s="21" t="s">
        <v>2272</v>
      </c>
      <c r="AA754" s="198" t="s">
        <v>2272</v>
      </c>
      <c r="AB754" s="198" t="s">
        <v>2272</v>
      </c>
      <c r="AC754" s="198" t="s">
        <v>2272</v>
      </c>
      <c r="AD754" s="4" t="s">
        <v>1722</v>
      </c>
      <c r="AE754" s="198"/>
    </row>
    <row r="755" spans="1:31" ht="49.5" customHeight="1">
      <c r="A755" s="198" t="s">
        <v>1566</v>
      </c>
      <c r="B755" s="198" t="s">
        <v>1716</v>
      </c>
      <c r="C755" s="198" t="s">
        <v>23</v>
      </c>
      <c r="D755" s="198" t="s">
        <v>141</v>
      </c>
      <c r="E755" s="198" t="s">
        <v>860</v>
      </c>
      <c r="F755" s="4" t="s">
        <v>73</v>
      </c>
      <c r="G755" s="4"/>
      <c r="H755" s="198" t="s">
        <v>522</v>
      </c>
      <c r="I755" s="198"/>
      <c r="J755" s="21">
        <v>0</v>
      </c>
      <c r="K755" s="21">
        <v>0</v>
      </c>
      <c r="L755" s="21">
        <v>0</v>
      </c>
      <c r="M755" s="21">
        <v>0</v>
      </c>
      <c r="N755" s="21">
        <v>0</v>
      </c>
      <c r="O755" s="21">
        <v>0</v>
      </c>
      <c r="P755" s="21">
        <v>0</v>
      </c>
      <c r="Q755" s="21">
        <v>0</v>
      </c>
      <c r="R755" s="21" t="s">
        <v>2272</v>
      </c>
      <c r="S755" s="21" t="s">
        <v>2272</v>
      </c>
      <c r="T755" s="21">
        <v>0</v>
      </c>
      <c r="U755" s="21">
        <v>0</v>
      </c>
      <c r="V755" s="21">
        <v>0</v>
      </c>
      <c r="W755" s="21">
        <v>0</v>
      </c>
      <c r="X755" s="21">
        <v>0</v>
      </c>
      <c r="Y755" s="21">
        <v>0</v>
      </c>
      <c r="Z755" s="21" t="s">
        <v>2272</v>
      </c>
      <c r="AA755" s="198" t="s">
        <v>2272</v>
      </c>
      <c r="AB755" s="198" t="s">
        <v>2272</v>
      </c>
      <c r="AC755" s="198" t="s">
        <v>2272</v>
      </c>
      <c r="AD755" s="4" t="s">
        <v>1722</v>
      </c>
      <c r="AE755" s="198"/>
    </row>
    <row r="756" spans="1:31" ht="49.5" customHeight="1">
      <c r="A756" s="198" t="s">
        <v>1567</v>
      </c>
      <c r="B756" s="198" t="s">
        <v>1717</v>
      </c>
      <c r="C756" s="198" t="s">
        <v>23</v>
      </c>
      <c r="D756" s="198" t="s">
        <v>141</v>
      </c>
      <c r="E756" s="198" t="s">
        <v>860</v>
      </c>
      <c r="F756" s="4" t="s">
        <v>73</v>
      </c>
      <c r="G756" s="4"/>
      <c r="H756" s="198" t="s">
        <v>522</v>
      </c>
      <c r="I756" s="198"/>
      <c r="J756" s="21">
        <v>0</v>
      </c>
      <c r="K756" s="21">
        <v>0</v>
      </c>
      <c r="L756" s="21">
        <v>0</v>
      </c>
      <c r="M756" s="21">
        <v>0</v>
      </c>
      <c r="N756" s="21">
        <v>0</v>
      </c>
      <c r="O756" s="21">
        <v>0</v>
      </c>
      <c r="P756" s="21">
        <v>0</v>
      </c>
      <c r="Q756" s="21">
        <v>0</v>
      </c>
      <c r="R756" s="21" t="s">
        <v>2272</v>
      </c>
      <c r="S756" s="21" t="s">
        <v>2272</v>
      </c>
      <c r="T756" s="21">
        <v>0</v>
      </c>
      <c r="U756" s="21">
        <v>0</v>
      </c>
      <c r="V756" s="21">
        <v>0</v>
      </c>
      <c r="W756" s="21">
        <v>0</v>
      </c>
      <c r="X756" s="21">
        <v>0</v>
      </c>
      <c r="Y756" s="21">
        <v>0</v>
      </c>
      <c r="Z756" s="21" t="s">
        <v>2272</v>
      </c>
      <c r="AA756" s="198" t="s">
        <v>2272</v>
      </c>
      <c r="AB756" s="198" t="s">
        <v>2272</v>
      </c>
      <c r="AC756" s="198" t="s">
        <v>2272</v>
      </c>
      <c r="AD756" s="4" t="s">
        <v>1722</v>
      </c>
      <c r="AE756" s="198"/>
    </row>
    <row r="757" spans="1:31" ht="49.5" customHeight="1">
      <c r="A757" s="198" t="s">
        <v>1568</v>
      </c>
      <c r="B757" s="198" t="s">
        <v>1718</v>
      </c>
      <c r="C757" s="198" t="s">
        <v>23</v>
      </c>
      <c r="D757" s="198" t="s">
        <v>141</v>
      </c>
      <c r="E757" s="198" t="s">
        <v>860</v>
      </c>
      <c r="F757" s="4" t="s">
        <v>73</v>
      </c>
      <c r="G757" s="4"/>
      <c r="H757" s="198" t="s">
        <v>522</v>
      </c>
      <c r="I757" s="198"/>
      <c r="J757" s="21">
        <v>0</v>
      </c>
      <c r="K757" s="21">
        <v>0</v>
      </c>
      <c r="L757" s="21">
        <v>0</v>
      </c>
      <c r="M757" s="21">
        <v>0</v>
      </c>
      <c r="N757" s="21">
        <v>0</v>
      </c>
      <c r="O757" s="21">
        <v>0</v>
      </c>
      <c r="P757" s="21">
        <v>0</v>
      </c>
      <c r="Q757" s="21">
        <v>0</v>
      </c>
      <c r="R757" s="21" t="s">
        <v>2272</v>
      </c>
      <c r="S757" s="21" t="s">
        <v>2272</v>
      </c>
      <c r="T757" s="21">
        <v>0</v>
      </c>
      <c r="U757" s="21">
        <v>0</v>
      </c>
      <c r="V757" s="21">
        <v>0</v>
      </c>
      <c r="W757" s="21">
        <v>0</v>
      </c>
      <c r="X757" s="21">
        <v>0</v>
      </c>
      <c r="Y757" s="21">
        <v>0</v>
      </c>
      <c r="Z757" s="21" t="s">
        <v>2272</v>
      </c>
      <c r="AA757" s="198" t="s">
        <v>2272</v>
      </c>
      <c r="AB757" s="198" t="s">
        <v>2272</v>
      </c>
      <c r="AC757" s="198" t="s">
        <v>2272</v>
      </c>
      <c r="AD757" s="4" t="s">
        <v>1722</v>
      </c>
      <c r="AE757" s="198"/>
    </row>
    <row r="758" spans="1:31" ht="49.5" customHeight="1">
      <c r="A758" s="198" t="s">
        <v>1569</v>
      </c>
      <c r="B758" s="198" t="s">
        <v>1719</v>
      </c>
      <c r="C758" s="198" t="s">
        <v>23</v>
      </c>
      <c r="D758" s="198" t="s">
        <v>141</v>
      </c>
      <c r="E758" s="198" t="s">
        <v>860</v>
      </c>
      <c r="F758" s="4" t="s">
        <v>73</v>
      </c>
      <c r="G758" s="4"/>
      <c r="H758" s="198" t="s">
        <v>522</v>
      </c>
      <c r="I758" s="198"/>
      <c r="J758" s="21">
        <v>0</v>
      </c>
      <c r="K758" s="21">
        <v>0</v>
      </c>
      <c r="L758" s="21">
        <v>0</v>
      </c>
      <c r="M758" s="21">
        <v>0</v>
      </c>
      <c r="N758" s="21">
        <v>0</v>
      </c>
      <c r="O758" s="21">
        <v>0</v>
      </c>
      <c r="P758" s="21">
        <v>0</v>
      </c>
      <c r="Q758" s="21">
        <v>0</v>
      </c>
      <c r="R758" s="21" t="s">
        <v>2272</v>
      </c>
      <c r="S758" s="21" t="s">
        <v>2272</v>
      </c>
      <c r="T758" s="21">
        <v>0</v>
      </c>
      <c r="U758" s="21">
        <v>0</v>
      </c>
      <c r="V758" s="21">
        <v>0</v>
      </c>
      <c r="W758" s="21">
        <v>0</v>
      </c>
      <c r="X758" s="21">
        <v>0</v>
      </c>
      <c r="Y758" s="21">
        <v>0</v>
      </c>
      <c r="Z758" s="21" t="s">
        <v>2272</v>
      </c>
      <c r="AA758" s="198" t="s">
        <v>2272</v>
      </c>
      <c r="AB758" s="198" t="s">
        <v>2272</v>
      </c>
      <c r="AC758" s="198" t="s">
        <v>2272</v>
      </c>
      <c r="AD758" s="4" t="s">
        <v>1722</v>
      </c>
      <c r="AE758" s="198"/>
    </row>
    <row r="759" spans="1:31" ht="49.5" customHeight="1">
      <c r="A759" s="198" t="s">
        <v>1570</v>
      </c>
      <c r="B759" s="198" t="s">
        <v>1720</v>
      </c>
      <c r="C759" s="198" t="s">
        <v>23</v>
      </c>
      <c r="D759" s="198" t="s">
        <v>141</v>
      </c>
      <c r="E759" s="198" t="s">
        <v>860</v>
      </c>
      <c r="F759" s="4" t="s">
        <v>73</v>
      </c>
      <c r="G759" s="4"/>
      <c r="H759" s="198" t="s">
        <v>522</v>
      </c>
      <c r="I759" s="198"/>
      <c r="J759" s="21">
        <v>0</v>
      </c>
      <c r="K759" s="21">
        <v>0</v>
      </c>
      <c r="L759" s="21">
        <v>0</v>
      </c>
      <c r="M759" s="21">
        <v>0</v>
      </c>
      <c r="N759" s="21">
        <v>0</v>
      </c>
      <c r="O759" s="21">
        <v>0</v>
      </c>
      <c r="P759" s="21">
        <v>0</v>
      </c>
      <c r="Q759" s="21">
        <v>0</v>
      </c>
      <c r="R759" s="21" t="s">
        <v>2272</v>
      </c>
      <c r="S759" s="21" t="s">
        <v>2272</v>
      </c>
      <c r="T759" s="21">
        <v>0</v>
      </c>
      <c r="U759" s="21">
        <v>0</v>
      </c>
      <c r="V759" s="21">
        <v>0</v>
      </c>
      <c r="W759" s="21">
        <v>0</v>
      </c>
      <c r="X759" s="21">
        <v>0</v>
      </c>
      <c r="Y759" s="21">
        <v>0</v>
      </c>
      <c r="Z759" s="21" t="s">
        <v>2272</v>
      </c>
      <c r="AA759" s="198" t="s">
        <v>2272</v>
      </c>
      <c r="AB759" s="198" t="s">
        <v>2272</v>
      </c>
      <c r="AC759" s="198" t="s">
        <v>2272</v>
      </c>
      <c r="AD759" s="4" t="s">
        <v>1722</v>
      </c>
      <c r="AE759" s="198"/>
    </row>
    <row r="760" spans="1:31" ht="49.5" customHeight="1">
      <c r="A760" s="198" t="s">
        <v>1571</v>
      </c>
      <c r="B760" s="198" t="s">
        <v>1721</v>
      </c>
      <c r="C760" s="198" t="s">
        <v>23</v>
      </c>
      <c r="D760" s="198" t="s">
        <v>141</v>
      </c>
      <c r="E760" s="198" t="s">
        <v>860</v>
      </c>
      <c r="F760" s="4" t="s">
        <v>73</v>
      </c>
      <c r="G760" s="4"/>
      <c r="H760" s="198" t="s">
        <v>522</v>
      </c>
      <c r="I760" s="198"/>
      <c r="J760" s="21">
        <v>0</v>
      </c>
      <c r="K760" s="21">
        <v>0</v>
      </c>
      <c r="L760" s="21">
        <v>0</v>
      </c>
      <c r="M760" s="21">
        <v>0</v>
      </c>
      <c r="N760" s="21">
        <v>0</v>
      </c>
      <c r="O760" s="21">
        <v>0</v>
      </c>
      <c r="P760" s="21">
        <v>0</v>
      </c>
      <c r="Q760" s="21">
        <v>0</v>
      </c>
      <c r="R760" s="21" t="s">
        <v>2272</v>
      </c>
      <c r="S760" s="21" t="s">
        <v>2272</v>
      </c>
      <c r="T760" s="21">
        <v>0</v>
      </c>
      <c r="U760" s="21">
        <v>0</v>
      </c>
      <c r="V760" s="21">
        <v>0</v>
      </c>
      <c r="W760" s="21">
        <v>0</v>
      </c>
      <c r="X760" s="21">
        <v>0</v>
      </c>
      <c r="Y760" s="21">
        <v>0</v>
      </c>
      <c r="Z760" s="21" t="s">
        <v>2272</v>
      </c>
      <c r="AA760" s="198" t="s">
        <v>2272</v>
      </c>
      <c r="AB760" s="198" t="s">
        <v>2272</v>
      </c>
      <c r="AC760" s="198" t="s">
        <v>2272</v>
      </c>
      <c r="AD760" s="4" t="s">
        <v>1722</v>
      </c>
      <c r="AE760" s="198"/>
    </row>
    <row r="761" spans="1:31" ht="40" customHeight="1">
      <c r="A761" s="198" t="s">
        <v>1149</v>
      </c>
      <c r="B761" s="198" t="s">
        <v>1153</v>
      </c>
      <c r="C761" s="198" t="s">
        <v>23</v>
      </c>
      <c r="D761" s="198" t="s">
        <v>141</v>
      </c>
      <c r="E761" s="4" t="s">
        <v>394</v>
      </c>
      <c r="F761" s="4" t="s">
        <v>73</v>
      </c>
      <c r="G761" s="4"/>
      <c r="H761" s="198" t="s">
        <v>521</v>
      </c>
      <c r="I761" s="198"/>
      <c r="J761" s="21" t="s">
        <v>2272</v>
      </c>
      <c r="K761" s="21" t="s">
        <v>2272</v>
      </c>
      <c r="L761" s="21" t="s">
        <v>2272</v>
      </c>
      <c r="M761" s="21" t="s">
        <v>2272</v>
      </c>
      <c r="N761" s="21" t="s">
        <v>2272</v>
      </c>
      <c r="O761" s="21" t="s">
        <v>2272</v>
      </c>
      <c r="P761" s="21" t="s">
        <v>2272</v>
      </c>
      <c r="Q761" s="21" t="s">
        <v>2272</v>
      </c>
      <c r="R761" s="21" t="s">
        <v>2272</v>
      </c>
      <c r="S761" s="21" t="s">
        <v>2272</v>
      </c>
      <c r="T761" s="21" t="s">
        <v>2272</v>
      </c>
      <c r="U761" s="21" t="s">
        <v>2272</v>
      </c>
      <c r="V761" s="21" t="s">
        <v>2272</v>
      </c>
      <c r="W761" s="21" t="s">
        <v>2272</v>
      </c>
      <c r="X761" s="21" t="s">
        <v>2272</v>
      </c>
      <c r="Y761" s="21" t="s">
        <v>2272</v>
      </c>
      <c r="Z761" s="21" t="s">
        <v>2272</v>
      </c>
      <c r="AA761" s="198" t="s">
        <v>2272</v>
      </c>
      <c r="AB761" s="198" t="s">
        <v>2272</v>
      </c>
      <c r="AC761" s="198" t="s">
        <v>2272</v>
      </c>
      <c r="AD761" s="198" t="s">
        <v>1172</v>
      </c>
      <c r="AE761" s="198"/>
    </row>
    <row r="762" spans="1:31" ht="37" customHeight="1">
      <c r="A762" s="198" t="s">
        <v>1165</v>
      </c>
      <c r="B762" s="198" t="s">
        <v>1171</v>
      </c>
      <c r="C762" s="198" t="s">
        <v>23</v>
      </c>
      <c r="D762" s="198" t="s">
        <v>141</v>
      </c>
      <c r="E762" s="4" t="s">
        <v>394</v>
      </c>
      <c r="F762" s="4" t="s">
        <v>73</v>
      </c>
      <c r="G762" s="4"/>
      <c r="H762" s="198" t="s">
        <v>521</v>
      </c>
      <c r="I762" s="198"/>
      <c r="J762" s="21" t="s">
        <v>2272</v>
      </c>
      <c r="K762" s="21" t="s">
        <v>2272</v>
      </c>
      <c r="L762" s="21" t="s">
        <v>2272</v>
      </c>
      <c r="M762" s="21" t="s">
        <v>2272</v>
      </c>
      <c r="N762" s="21" t="s">
        <v>2272</v>
      </c>
      <c r="O762" s="21" t="s">
        <v>2272</v>
      </c>
      <c r="P762" s="21" t="s">
        <v>2272</v>
      </c>
      <c r="Q762" s="21" t="s">
        <v>2272</v>
      </c>
      <c r="R762" s="21" t="s">
        <v>2272</v>
      </c>
      <c r="S762" s="21" t="s">
        <v>2272</v>
      </c>
      <c r="T762" s="21" t="s">
        <v>2272</v>
      </c>
      <c r="U762" s="21" t="s">
        <v>2272</v>
      </c>
      <c r="V762" s="21" t="s">
        <v>2272</v>
      </c>
      <c r="W762" s="21" t="s">
        <v>2272</v>
      </c>
      <c r="X762" s="21" t="s">
        <v>2272</v>
      </c>
      <c r="Y762" s="21" t="s">
        <v>2272</v>
      </c>
      <c r="Z762" s="21" t="s">
        <v>2272</v>
      </c>
      <c r="AA762" s="198" t="s">
        <v>2272</v>
      </c>
      <c r="AB762" s="198" t="s">
        <v>2272</v>
      </c>
      <c r="AC762" s="198" t="s">
        <v>2272</v>
      </c>
      <c r="AD762" s="198" t="s">
        <v>1172</v>
      </c>
      <c r="AE762" s="198"/>
    </row>
    <row r="763" spans="1:31" ht="38.5" customHeight="1">
      <c r="A763" s="198" t="s">
        <v>1167</v>
      </c>
      <c r="B763" s="198" t="s">
        <v>1173</v>
      </c>
      <c r="C763" s="198" t="s">
        <v>23</v>
      </c>
      <c r="D763" s="198" t="s">
        <v>141</v>
      </c>
      <c r="E763" s="4" t="s">
        <v>394</v>
      </c>
      <c r="F763" s="4" t="s">
        <v>73</v>
      </c>
      <c r="G763" s="4"/>
      <c r="H763" s="198" t="s">
        <v>521</v>
      </c>
      <c r="I763" s="198"/>
      <c r="J763" s="21" t="s">
        <v>2272</v>
      </c>
      <c r="K763" s="21" t="s">
        <v>2272</v>
      </c>
      <c r="L763" s="21" t="s">
        <v>2272</v>
      </c>
      <c r="M763" s="21" t="s">
        <v>2272</v>
      </c>
      <c r="N763" s="21" t="s">
        <v>2272</v>
      </c>
      <c r="O763" s="21" t="s">
        <v>2272</v>
      </c>
      <c r="P763" s="21" t="s">
        <v>2272</v>
      </c>
      <c r="Q763" s="21" t="s">
        <v>2272</v>
      </c>
      <c r="R763" s="21" t="s">
        <v>2272</v>
      </c>
      <c r="S763" s="21" t="s">
        <v>2272</v>
      </c>
      <c r="T763" s="21" t="s">
        <v>2272</v>
      </c>
      <c r="U763" s="21" t="s">
        <v>2272</v>
      </c>
      <c r="V763" s="21" t="s">
        <v>2272</v>
      </c>
      <c r="W763" s="21" t="s">
        <v>2272</v>
      </c>
      <c r="X763" s="21" t="s">
        <v>2272</v>
      </c>
      <c r="Y763" s="21" t="s">
        <v>2272</v>
      </c>
      <c r="Z763" s="21" t="s">
        <v>2272</v>
      </c>
      <c r="AA763" s="198" t="s">
        <v>2272</v>
      </c>
      <c r="AB763" s="198" t="s">
        <v>2272</v>
      </c>
      <c r="AC763" s="198" t="s">
        <v>2272</v>
      </c>
      <c r="AD763" s="198" t="s">
        <v>1172</v>
      </c>
      <c r="AE763" s="198"/>
    </row>
    <row r="764" spans="1:31" ht="38.5" customHeight="1">
      <c r="A764" s="198" t="s">
        <v>1174</v>
      </c>
      <c r="B764" s="198" t="s">
        <v>1178</v>
      </c>
      <c r="C764" s="198" t="s">
        <v>23</v>
      </c>
      <c r="D764" s="198" t="s">
        <v>26</v>
      </c>
      <c r="E764" s="198" t="s">
        <v>128</v>
      </c>
      <c r="F764" s="4" t="s">
        <v>159</v>
      </c>
      <c r="G764" s="198"/>
      <c r="H764" s="198" t="s">
        <v>521</v>
      </c>
      <c r="I764" s="198"/>
      <c r="J764" s="21" t="s">
        <v>2272</v>
      </c>
      <c r="K764" s="21" t="s">
        <v>2272</v>
      </c>
      <c r="L764" s="21" t="s">
        <v>2272</v>
      </c>
      <c r="M764" s="21" t="s">
        <v>2272</v>
      </c>
      <c r="N764" s="21" t="s">
        <v>2272</v>
      </c>
      <c r="O764" s="21" t="s">
        <v>2272</v>
      </c>
      <c r="P764" s="21" t="s">
        <v>2272</v>
      </c>
      <c r="Q764" s="21" t="s">
        <v>2272</v>
      </c>
      <c r="R764" s="21" t="s">
        <v>2272</v>
      </c>
      <c r="S764" s="21" t="s">
        <v>2272</v>
      </c>
      <c r="T764" s="21" t="s">
        <v>2272</v>
      </c>
      <c r="U764" s="21" t="s">
        <v>2272</v>
      </c>
      <c r="V764" s="21" t="s">
        <v>2272</v>
      </c>
      <c r="W764" s="21" t="s">
        <v>2272</v>
      </c>
      <c r="X764" s="21" t="s">
        <v>2272</v>
      </c>
      <c r="Y764" s="21" t="s">
        <v>2272</v>
      </c>
      <c r="Z764" s="21" t="s">
        <v>2272</v>
      </c>
      <c r="AA764" s="198" t="s">
        <v>187</v>
      </c>
      <c r="AB764" s="198" t="s">
        <v>187</v>
      </c>
      <c r="AC764" s="198" t="s">
        <v>63</v>
      </c>
      <c r="AD764" s="198"/>
      <c r="AE764" s="198"/>
    </row>
    <row r="765" spans="1:31" ht="37" customHeight="1">
      <c r="A765" s="198" t="s">
        <v>1174</v>
      </c>
      <c r="B765" s="198" t="s">
        <v>1179</v>
      </c>
      <c r="C765" s="198" t="s">
        <v>23</v>
      </c>
      <c r="D765" s="198" t="s">
        <v>26</v>
      </c>
      <c r="E765" s="198" t="s">
        <v>128</v>
      </c>
      <c r="F765" s="4" t="s">
        <v>73</v>
      </c>
      <c r="G765" s="198"/>
      <c r="H765" s="198" t="s">
        <v>521</v>
      </c>
      <c r="I765" s="198"/>
      <c r="J765" s="21" t="s">
        <v>2272</v>
      </c>
      <c r="K765" s="21" t="s">
        <v>2272</v>
      </c>
      <c r="L765" s="21" t="s">
        <v>2272</v>
      </c>
      <c r="M765" s="21" t="s">
        <v>2272</v>
      </c>
      <c r="N765" s="21" t="s">
        <v>2272</v>
      </c>
      <c r="O765" s="21" t="s">
        <v>2272</v>
      </c>
      <c r="P765" s="21" t="s">
        <v>2272</v>
      </c>
      <c r="Q765" s="21" t="s">
        <v>2272</v>
      </c>
      <c r="R765" s="21" t="s">
        <v>2272</v>
      </c>
      <c r="S765" s="21" t="s">
        <v>2272</v>
      </c>
      <c r="T765" s="21" t="s">
        <v>2272</v>
      </c>
      <c r="U765" s="21" t="s">
        <v>2272</v>
      </c>
      <c r="V765" s="21" t="s">
        <v>2272</v>
      </c>
      <c r="W765" s="21" t="s">
        <v>2272</v>
      </c>
      <c r="X765" s="21" t="s">
        <v>2272</v>
      </c>
      <c r="Y765" s="21" t="s">
        <v>2272</v>
      </c>
      <c r="Z765" s="21" t="s">
        <v>2272</v>
      </c>
      <c r="AA765" s="198" t="s">
        <v>187</v>
      </c>
      <c r="AB765" s="198" t="s">
        <v>187</v>
      </c>
      <c r="AC765" s="198" t="s">
        <v>63</v>
      </c>
      <c r="AD765" s="198"/>
      <c r="AE765" s="198"/>
    </row>
    <row r="766" spans="1:31" ht="36.5" customHeight="1">
      <c r="A766" s="198" t="s">
        <v>1174</v>
      </c>
      <c r="B766" s="198" t="s">
        <v>1180</v>
      </c>
      <c r="C766" s="198" t="s">
        <v>23</v>
      </c>
      <c r="D766" s="198" t="s">
        <v>141</v>
      </c>
      <c r="E766" s="198" t="s">
        <v>44</v>
      </c>
      <c r="F766" s="4" t="s">
        <v>73</v>
      </c>
      <c r="G766" s="198"/>
      <c r="H766" s="198" t="s">
        <v>521</v>
      </c>
      <c r="I766" s="198"/>
      <c r="J766" s="21" t="s">
        <v>2272</v>
      </c>
      <c r="K766" s="21" t="s">
        <v>2272</v>
      </c>
      <c r="L766" s="21" t="s">
        <v>2272</v>
      </c>
      <c r="M766" s="21" t="s">
        <v>2272</v>
      </c>
      <c r="N766" s="21" t="s">
        <v>2272</v>
      </c>
      <c r="O766" s="21" t="s">
        <v>2272</v>
      </c>
      <c r="P766" s="21" t="s">
        <v>2272</v>
      </c>
      <c r="Q766" s="21" t="s">
        <v>2272</v>
      </c>
      <c r="R766" s="21" t="s">
        <v>2272</v>
      </c>
      <c r="S766" s="21" t="s">
        <v>2272</v>
      </c>
      <c r="T766" s="21" t="s">
        <v>2272</v>
      </c>
      <c r="U766" s="21" t="s">
        <v>2272</v>
      </c>
      <c r="V766" s="21" t="s">
        <v>2272</v>
      </c>
      <c r="W766" s="21" t="s">
        <v>2272</v>
      </c>
      <c r="X766" s="21" t="s">
        <v>2272</v>
      </c>
      <c r="Y766" s="21" t="s">
        <v>2272</v>
      </c>
      <c r="Z766" s="21" t="s">
        <v>2272</v>
      </c>
      <c r="AA766" s="198" t="s">
        <v>187</v>
      </c>
      <c r="AB766" s="198" t="s">
        <v>187</v>
      </c>
      <c r="AC766" s="198" t="s">
        <v>63</v>
      </c>
      <c r="AD766" s="198"/>
      <c r="AE766" s="198"/>
    </row>
    <row r="767" spans="1:31" ht="36" customHeight="1">
      <c r="A767" s="198" t="s">
        <v>1174</v>
      </c>
      <c r="B767" s="198" t="s">
        <v>1181</v>
      </c>
      <c r="C767" s="198" t="s">
        <v>23</v>
      </c>
      <c r="D767" s="198" t="s">
        <v>24</v>
      </c>
      <c r="E767" s="198" t="s">
        <v>44</v>
      </c>
      <c r="F767" s="4" t="s">
        <v>73</v>
      </c>
      <c r="G767" s="198"/>
      <c r="H767" s="198" t="s">
        <v>521</v>
      </c>
      <c r="I767" s="198"/>
      <c r="J767" s="21" t="s">
        <v>2272</v>
      </c>
      <c r="K767" s="21" t="s">
        <v>2272</v>
      </c>
      <c r="L767" s="21" t="s">
        <v>2272</v>
      </c>
      <c r="M767" s="21" t="s">
        <v>2272</v>
      </c>
      <c r="N767" s="21" t="s">
        <v>2272</v>
      </c>
      <c r="O767" s="21" t="s">
        <v>2272</v>
      </c>
      <c r="P767" s="21" t="s">
        <v>2272</v>
      </c>
      <c r="Q767" s="21" t="s">
        <v>2272</v>
      </c>
      <c r="R767" s="21" t="s">
        <v>2272</v>
      </c>
      <c r="S767" s="21" t="s">
        <v>2272</v>
      </c>
      <c r="T767" s="21" t="s">
        <v>2272</v>
      </c>
      <c r="U767" s="21" t="s">
        <v>2272</v>
      </c>
      <c r="V767" s="21" t="s">
        <v>2272</v>
      </c>
      <c r="W767" s="21" t="s">
        <v>2272</v>
      </c>
      <c r="X767" s="21" t="s">
        <v>2272</v>
      </c>
      <c r="Y767" s="21" t="s">
        <v>2272</v>
      </c>
      <c r="Z767" s="21" t="s">
        <v>2272</v>
      </c>
      <c r="AA767" s="198" t="s">
        <v>187</v>
      </c>
      <c r="AB767" s="198" t="s">
        <v>187</v>
      </c>
      <c r="AC767" s="198" t="s">
        <v>63</v>
      </c>
      <c r="AD767" s="198"/>
      <c r="AE767" s="198"/>
    </row>
    <row r="768" spans="1:31" ht="63.5" customHeight="1">
      <c r="A768" s="198" t="s">
        <v>1174</v>
      </c>
      <c r="B768" s="198" t="s">
        <v>1183</v>
      </c>
      <c r="C768" s="198" t="s">
        <v>23</v>
      </c>
      <c r="D768" s="198" t="s">
        <v>2342</v>
      </c>
      <c r="E768" s="198" t="s">
        <v>2272</v>
      </c>
      <c r="F768" s="4" t="s">
        <v>73</v>
      </c>
      <c r="G768" s="198"/>
      <c r="H768" s="198" t="s">
        <v>521</v>
      </c>
      <c r="I768" s="198"/>
      <c r="J768" s="21" t="s">
        <v>2272</v>
      </c>
      <c r="K768" s="21" t="s">
        <v>2272</v>
      </c>
      <c r="L768" s="21" t="s">
        <v>2272</v>
      </c>
      <c r="M768" s="21" t="s">
        <v>2272</v>
      </c>
      <c r="N768" s="21" t="s">
        <v>2272</v>
      </c>
      <c r="O768" s="21" t="s">
        <v>2272</v>
      </c>
      <c r="P768" s="21" t="s">
        <v>2272</v>
      </c>
      <c r="Q768" s="21" t="s">
        <v>2272</v>
      </c>
      <c r="R768" s="21" t="s">
        <v>2272</v>
      </c>
      <c r="S768" s="21" t="s">
        <v>2272</v>
      </c>
      <c r="T768" s="21" t="s">
        <v>2272</v>
      </c>
      <c r="U768" s="21" t="s">
        <v>2272</v>
      </c>
      <c r="V768" s="21" t="s">
        <v>2272</v>
      </c>
      <c r="W768" s="21" t="s">
        <v>2272</v>
      </c>
      <c r="X768" s="21" t="s">
        <v>2272</v>
      </c>
      <c r="Y768" s="21" t="s">
        <v>2272</v>
      </c>
      <c r="Z768" s="21" t="s">
        <v>2272</v>
      </c>
      <c r="AA768" s="198" t="s">
        <v>2272</v>
      </c>
      <c r="AB768" s="198" t="s">
        <v>2272</v>
      </c>
      <c r="AC768" s="198" t="s">
        <v>2272</v>
      </c>
      <c r="AD768" s="4" t="s">
        <v>1185</v>
      </c>
      <c r="AE768" s="198"/>
    </row>
    <row r="769" spans="1:31" ht="53" customHeight="1">
      <c r="A769" s="198" t="s">
        <v>1187</v>
      </c>
      <c r="B769" s="198" t="s">
        <v>1195</v>
      </c>
      <c r="C769" s="198" t="s">
        <v>23</v>
      </c>
      <c r="D769" s="198" t="s">
        <v>26</v>
      </c>
      <c r="E769" s="198" t="s">
        <v>128</v>
      </c>
      <c r="F769" s="4" t="s">
        <v>159</v>
      </c>
      <c r="G769" s="198"/>
      <c r="H769" s="198" t="s">
        <v>521</v>
      </c>
      <c r="I769" s="198"/>
      <c r="J769" s="21" t="s">
        <v>2272</v>
      </c>
      <c r="K769" s="21" t="s">
        <v>2272</v>
      </c>
      <c r="L769" s="21" t="s">
        <v>2272</v>
      </c>
      <c r="M769" s="21" t="s">
        <v>2272</v>
      </c>
      <c r="N769" s="21" t="s">
        <v>2272</v>
      </c>
      <c r="O769" s="21" t="s">
        <v>2272</v>
      </c>
      <c r="P769" s="21" t="s">
        <v>2272</v>
      </c>
      <c r="Q769" s="21" t="s">
        <v>2272</v>
      </c>
      <c r="R769" s="21" t="s">
        <v>2272</v>
      </c>
      <c r="S769" s="21" t="s">
        <v>2272</v>
      </c>
      <c r="T769" s="21" t="s">
        <v>2272</v>
      </c>
      <c r="U769" s="21" t="s">
        <v>2272</v>
      </c>
      <c r="V769" s="21" t="s">
        <v>2272</v>
      </c>
      <c r="W769" s="21" t="s">
        <v>2272</v>
      </c>
      <c r="X769" s="21" t="s">
        <v>2272</v>
      </c>
      <c r="Y769" s="21" t="s">
        <v>2272</v>
      </c>
      <c r="Z769" s="21">
        <v>10</v>
      </c>
      <c r="AA769" s="198" t="s">
        <v>2272</v>
      </c>
      <c r="AB769" s="198" t="s">
        <v>2272</v>
      </c>
      <c r="AC769" s="198" t="s">
        <v>2272</v>
      </c>
      <c r="AD769" s="198" t="s">
        <v>1198</v>
      </c>
      <c r="AE769" s="4" t="s">
        <v>1211</v>
      </c>
    </row>
    <row r="770" spans="1:31" ht="49.5" customHeight="1">
      <c r="A770" s="198" t="s">
        <v>1191</v>
      </c>
      <c r="B770" s="198" t="s">
        <v>1196</v>
      </c>
      <c r="C770" s="198" t="s">
        <v>23</v>
      </c>
      <c r="D770" s="198" t="s">
        <v>26</v>
      </c>
      <c r="E770" s="198" t="s">
        <v>128</v>
      </c>
      <c r="F770" s="4" t="s">
        <v>159</v>
      </c>
      <c r="G770" s="198"/>
      <c r="H770" s="198" t="s">
        <v>521</v>
      </c>
      <c r="I770" s="198"/>
      <c r="J770" s="21" t="s">
        <v>2272</v>
      </c>
      <c r="K770" s="21" t="s">
        <v>2272</v>
      </c>
      <c r="L770" s="21" t="s">
        <v>2272</v>
      </c>
      <c r="M770" s="21" t="s">
        <v>2272</v>
      </c>
      <c r="N770" s="21" t="s">
        <v>2272</v>
      </c>
      <c r="O770" s="21" t="s">
        <v>2272</v>
      </c>
      <c r="P770" s="21" t="s">
        <v>2272</v>
      </c>
      <c r="Q770" s="21" t="s">
        <v>2272</v>
      </c>
      <c r="R770" s="21" t="s">
        <v>2272</v>
      </c>
      <c r="S770" s="21" t="s">
        <v>2272</v>
      </c>
      <c r="T770" s="21" t="s">
        <v>2272</v>
      </c>
      <c r="U770" s="21" t="s">
        <v>2272</v>
      </c>
      <c r="V770" s="21" t="s">
        <v>2272</v>
      </c>
      <c r="W770" s="21" t="s">
        <v>2272</v>
      </c>
      <c r="X770" s="21" t="s">
        <v>2272</v>
      </c>
      <c r="Y770" s="21" t="s">
        <v>2272</v>
      </c>
      <c r="Z770" s="21">
        <v>6</v>
      </c>
      <c r="AA770" s="198" t="s">
        <v>2272</v>
      </c>
      <c r="AB770" s="198" t="s">
        <v>2272</v>
      </c>
      <c r="AC770" s="198" t="s">
        <v>2272</v>
      </c>
      <c r="AD770" s="198" t="s">
        <v>1198</v>
      </c>
      <c r="AE770" s="4" t="s">
        <v>1211</v>
      </c>
    </row>
    <row r="771" spans="1:31" ht="54" customHeight="1">
      <c r="A771" s="198" t="s">
        <v>1192</v>
      </c>
      <c r="B771" s="198" t="s">
        <v>1197</v>
      </c>
      <c r="C771" s="198" t="s">
        <v>23</v>
      </c>
      <c r="D771" s="198" t="s">
        <v>26</v>
      </c>
      <c r="E771" s="198" t="s">
        <v>128</v>
      </c>
      <c r="F771" s="4" t="s">
        <v>159</v>
      </c>
      <c r="G771" s="198"/>
      <c r="H771" s="198" t="s">
        <v>521</v>
      </c>
      <c r="I771" s="198"/>
      <c r="J771" s="21" t="s">
        <v>2272</v>
      </c>
      <c r="K771" s="21" t="s">
        <v>2272</v>
      </c>
      <c r="L771" s="21" t="s">
        <v>2272</v>
      </c>
      <c r="M771" s="21" t="s">
        <v>2272</v>
      </c>
      <c r="N771" s="21" t="s">
        <v>2272</v>
      </c>
      <c r="O771" s="21" t="s">
        <v>2272</v>
      </c>
      <c r="P771" s="21" t="s">
        <v>2272</v>
      </c>
      <c r="Q771" s="21" t="s">
        <v>2272</v>
      </c>
      <c r="R771" s="21" t="s">
        <v>2272</v>
      </c>
      <c r="S771" s="21" t="s">
        <v>2272</v>
      </c>
      <c r="T771" s="21" t="s">
        <v>2272</v>
      </c>
      <c r="U771" s="21" t="s">
        <v>2272</v>
      </c>
      <c r="V771" s="21" t="s">
        <v>2272</v>
      </c>
      <c r="W771" s="21" t="s">
        <v>2272</v>
      </c>
      <c r="X771" s="21" t="s">
        <v>2272</v>
      </c>
      <c r="Y771" s="21" t="s">
        <v>2272</v>
      </c>
      <c r="Z771" s="21">
        <v>8</v>
      </c>
      <c r="AA771" s="198" t="s">
        <v>2272</v>
      </c>
      <c r="AB771" s="198" t="s">
        <v>2272</v>
      </c>
      <c r="AC771" s="198" t="s">
        <v>2272</v>
      </c>
      <c r="AD771" s="4" t="s">
        <v>1199</v>
      </c>
      <c r="AE771" s="4" t="s">
        <v>1211</v>
      </c>
    </row>
    <row r="772" spans="1:31" ht="37" customHeight="1">
      <c r="A772" s="198" t="s">
        <v>1201</v>
      </c>
      <c r="B772" s="198" t="s">
        <v>1205</v>
      </c>
      <c r="C772" s="198" t="s">
        <v>23</v>
      </c>
      <c r="D772" s="198" t="s">
        <v>26</v>
      </c>
      <c r="E772" s="198" t="s">
        <v>128</v>
      </c>
      <c r="F772" s="4" t="s">
        <v>159</v>
      </c>
      <c r="G772" s="198"/>
      <c r="H772" s="198" t="s">
        <v>521</v>
      </c>
      <c r="I772" s="198"/>
      <c r="J772" s="21" t="s">
        <v>2272</v>
      </c>
      <c r="K772" s="21" t="s">
        <v>2272</v>
      </c>
      <c r="L772" s="21" t="s">
        <v>2272</v>
      </c>
      <c r="M772" s="21" t="s">
        <v>2272</v>
      </c>
      <c r="N772" s="21" t="s">
        <v>2272</v>
      </c>
      <c r="O772" s="21" t="s">
        <v>2272</v>
      </c>
      <c r="P772" s="21" t="s">
        <v>2272</v>
      </c>
      <c r="Q772" s="21" t="s">
        <v>2272</v>
      </c>
      <c r="R772" s="21" t="s">
        <v>2272</v>
      </c>
      <c r="S772" s="21" t="s">
        <v>2272</v>
      </c>
      <c r="T772" s="21" t="s">
        <v>2272</v>
      </c>
      <c r="U772" s="21" t="s">
        <v>2272</v>
      </c>
      <c r="V772" s="21" t="s">
        <v>2272</v>
      </c>
      <c r="W772" s="21" t="s">
        <v>2272</v>
      </c>
      <c r="X772" s="21" t="s">
        <v>2272</v>
      </c>
      <c r="Y772" s="21" t="s">
        <v>2272</v>
      </c>
      <c r="Z772" s="21">
        <v>8</v>
      </c>
      <c r="AA772" s="198" t="s">
        <v>2272</v>
      </c>
      <c r="AB772" s="198" t="s">
        <v>2272</v>
      </c>
      <c r="AC772" s="198" t="s">
        <v>2272</v>
      </c>
      <c r="AD772" s="198" t="s">
        <v>1209</v>
      </c>
      <c r="AE772" s="4" t="s">
        <v>1212</v>
      </c>
    </row>
    <row r="773" spans="1:31" ht="37" customHeight="1">
      <c r="A773" s="198" t="s">
        <v>1201</v>
      </c>
      <c r="B773" s="198" t="s">
        <v>1213</v>
      </c>
      <c r="C773" s="198" t="s">
        <v>23</v>
      </c>
      <c r="D773" s="198" t="s">
        <v>2654</v>
      </c>
      <c r="E773" s="198" t="s">
        <v>128</v>
      </c>
      <c r="F773" s="4" t="s">
        <v>159</v>
      </c>
      <c r="G773" s="198"/>
      <c r="H773" s="198" t="s">
        <v>521</v>
      </c>
      <c r="I773" s="198"/>
      <c r="J773" s="21" t="s">
        <v>2272</v>
      </c>
      <c r="K773" s="21" t="s">
        <v>2272</v>
      </c>
      <c r="L773" s="21" t="s">
        <v>2272</v>
      </c>
      <c r="M773" s="21" t="s">
        <v>2272</v>
      </c>
      <c r="N773" s="21" t="s">
        <v>2272</v>
      </c>
      <c r="O773" s="21" t="s">
        <v>2272</v>
      </c>
      <c r="P773" s="21" t="s">
        <v>2272</v>
      </c>
      <c r="Q773" s="21" t="s">
        <v>2272</v>
      </c>
      <c r="R773" s="21" t="s">
        <v>2272</v>
      </c>
      <c r="S773" s="21" t="s">
        <v>2272</v>
      </c>
      <c r="T773" s="21" t="s">
        <v>2272</v>
      </c>
      <c r="U773" s="21" t="s">
        <v>2272</v>
      </c>
      <c r="V773" s="21" t="s">
        <v>2272</v>
      </c>
      <c r="W773" s="21" t="s">
        <v>2272</v>
      </c>
      <c r="X773" s="21" t="s">
        <v>2272</v>
      </c>
      <c r="Y773" s="21" t="s">
        <v>2272</v>
      </c>
      <c r="Z773" s="21" t="s">
        <v>2272</v>
      </c>
      <c r="AA773" s="198" t="s">
        <v>2272</v>
      </c>
      <c r="AB773" s="198" t="s">
        <v>2272</v>
      </c>
      <c r="AC773" s="198" t="s">
        <v>2272</v>
      </c>
      <c r="AD773" s="198"/>
      <c r="AE773" s="4" t="s">
        <v>1217</v>
      </c>
    </row>
    <row r="774" spans="1:31" ht="41.5" customHeight="1">
      <c r="A774" s="198" t="s">
        <v>1202</v>
      </c>
      <c r="B774" s="198" t="s">
        <v>1206</v>
      </c>
      <c r="C774" s="198" t="s">
        <v>23</v>
      </c>
      <c r="D774" s="198" t="s">
        <v>26</v>
      </c>
      <c r="E774" s="198" t="s">
        <v>128</v>
      </c>
      <c r="F774" s="4" t="s">
        <v>159</v>
      </c>
      <c r="G774" s="198"/>
      <c r="H774" s="198" t="s">
        <v>522</v>
      </c>
      <c r="I774" s="198"/>
      <c r="J774" s="21">
        <v>0</v>
      </c>
      <c r="K774" s="21">
        <v>0</v>
      </c>
      <c r="L774" s="21">
        <v>0</v>
      </c>
      <c r="M774" s="21">
        <v>0</v>
      </c>
      <c r="N774" s="21">
        <v>0</v>
      </c>
      <c r="O774" s="21">
        <v>0</v>
      </c>
      <c r="P774" s="21">
        <v>0</v>
      </c>
      <c r="Q774" s="21">
        <v>0</v>
      </c>
      <c r="R774" s="21" t="s">
        <v>2272</v>
      </c>
      <c r="S774" s="21" t="s">
        <v>2272</v>
      </c>
      <c r="T774" s="21">
        <v>0</v>
      </c>
      <c r="U774" s="21">
        <v>0</v>
      </c>
      <c r="V774" s="21">
        <v>0</v>
      </c>
      <c r="W774" s="21">
        <v>0</v>
      </c>
      <c r="X774" s="21" t="s">
        <v>2272</v>
      </c>
      <c r="Y774" s="21">
        <v>0</v>
      </c>
      <c r="Z774" s="21" t="s">
        <v>2272</v>
      </c>
      <c r="AA774" s="198" t="s">
        <v>2272</v>
      </c>
      <c r="AB774" s="198" t="s">
        <v>2272</v>
      </c>
      <c r="AC774" s="198" t="s">
        <v>2272</v>
      </c>
      <c r="AD774" s="4" t="s">
        <v>1210</v>
      </c>
      <c r="AE774" s="198"/>
    </row>
    <row r="775" spans="1:31" ht="41.5" customHeight="1">
      <c r="A775" s="198" t="s">
        <v>1202</v>
      </c>
      <c r="B775" s="198" t="s">
        <v>1214</v>
      </c>
      <c r="C775" s="198" t="s">
        <v>23</v>
      </c>
      <c r="D775" s="198" t="s">
        <v>2654</v>
      </c>
      <c r="E775" s="198" t="s">
        <v>128</v>
      </c>
      <c r="F775" s="4" t="s">
        <v>159</v>
      </c>
      <c r="G775" s="198"/>
      <c r="H775" s="198" t="s">
        <v>522</v>
      </c>
      <c r="I775" s="198"/>
      <c r="J775" s="21">
        <v>0</v>
      </c>
      <c r="K775" s="21">
        <v>0</v>
      </c>
      <c r="L775" s="21">
        <v>0</v>
      </c>
      <c r="M775" s="21">
        <v>0</v>
      </c>
      <c r="N775" s="21">
        <v>0</v>
      </c>
      <c r="O775" s="21">
        <v>0</v>
      </c>
      <c r="P775" s="21">
        <v>0</v>
      </c>
      <c r="Q775" s="21">
        <v>0</v>
      </c>
      <c r="R775" s="21" t="s">
        <v>2272</v>
      </c>
      <c r="S775" s="21" t="s">
        <v>2272</v>
      </c>
      <c r="T775" s="21">
        <v>0</v>
      </c>
      <c r="U775" s="21">
        <v>0</v>
      </c>
      <c r="V775" s="21">
        <v>0</v>
      </c>
      <c r="W775" s="21">
        <v>0</v>
      </c>
      <c r="X775" s="21" t="s">
        <v>2272</v>
      </c>
      <c r="Y775" s="21">
        <v>0</v>
      </c>
      <c r="Z775" s="21" t="s">
        <v>2272</v>
      </c>
      <c r="AA775" s="198" t="s">
        <v>2272</v>
      </c>
      <c r="AB775" s="198" t="s">
        <v>2272</v>
      </c>
      <c r="AC775" s="198" t="s">
        <v>2272</v>
      </c>
      <c r="AD775" s="4" t="s">
        <v>1210</v>
      </c>
      <c r="AE775" s="198"/>
    </row>
    <row r="776" spans="1:31" ht="39.5" customHeight="1">
      <c r="A776" s="198" t="s">
        <v>1203</v>
      </c>
      <c r="B776" s="198" t="s">
        <v>1207</v>
      </c>
      <c r="C776" s="198" t="s">
        <v>23</v>
      </c>
      <c r="D776" s="198" t="s">
        <v>26</v>
      </c>
      <c r="E776" s="198" t="s">
        <v>128</v>
      </c>
      <c r="F776" s="4" t="s">
        <v>159</v>
      </c>
      <c r="G776" s="198"/>
      <c r="H776" s="198" t="s">
        <v>521</v>
      </c>
      <c r="I776" s="198"/>
      <c r="J776" s="21" t="s">
        <v>2272</v>
      </c>
      <c r="K776" s="21" t="s">
        <v>2272</v>
      </c>
      <c r="L776" s="21" t="s">
        <v>2272</v>
      </c>
      <c r="M776" s="21" t="s">
        <v>2272</v>
      </c>
      <c r="N776" s="21" t="s">
        <v>2272</v>
      </c>
      <c r="O776" s="21" t="s">
        <v>2272</v>
      </c>
      <c r="P776" s="21" t="s">
        <v>2272</v>
      </c>
      <c r="Q776" s="21" t="s">
        <v>2272</v>
      </c>
      <c r="R776" s="21" t="s">
        <v>2272</v>
      </c>
      <c r="S776" s="21" t="s">
        <v>2272</v>
      </c>
      <c r="T776" s="21" t="s">
        <v>2272</v>
      </c>
      <c r="U776" s="21" t="s">
        <v>2272</v>
      </c>
      <c r="V776" s="21" t="s">
        <v>2272</v>
      </c>
      <c r="W776" s="21" t="s">
        <v>2272</v>
      </c>
      <c r="X776" s="21" t="s">
        <v>2272</v>
      </c>
      <c r="Y776" s="21" t="s">
        <v>2272</v>
      </c>
      <c r="Z776" s="21">
        <v>8</v>
      </c>
      <c r="AA776" s="198" t="s">
        <v>2272</v>
      </c>
      <c r="AB776" s="198" t="s">
        <v>2272</v>
      </c>
      <c r="AC776" s="198" t="s">
        <v>2272</v>
      </c>
      <c r="AD776" s="4" t="s">
        <v>1209</v>
      </c>
      <c r="AE776" s="4" t="s">
        <v>1212</v>
      </c>
    </row>
    <row r="777" spans="1:31" ht="39.5" customHeight="1">
      <c r="A777" s="198" t="s">
        <v>1203</v>
      </c>
      <c r="B777" s="198" t="s">
        <v>1215</v>
      </c>
      <c r="C777" s="198" t="s">
        <v>23</v>
      </c>
      <c r="D777" s="198" t="s">
        <v>2654</v>
      </c>
      <c r="E777" s="198" t="s">
        <v>128</v>
      </c>
      <c r="F777" s="4" t="s">
        <v>159</v>
      </c>
      <c r="G777" s="198"/>
      <c r="H777" s="198" t="s">
        <v>521</v>
      </c>
      <c r="I777" s="198"/>
      <c r="J777" s="21" t="s">
        <v>2272</v>
      </c>
      <c r="K777" s="21" t="s">
        <v>2272</v>
      </c>
      <c r="L777" s="21" t="s">
        <v>2272</v>
      </c>
      <c r="M777" s="21" t="s">
        <v>2272</v>
      </c>
      <c r="N777" s="21" t="s">
        <v>2272</v>
      </c>
      <c r="O777" s="21" t="s">
        <v>2272</v>
      </c>
      <c r="P777" s="21" t="s">
        <v>2272</v>
      </c>
      <c r="Q777" s="21" t="s">
        <v>2272</v>
      </c>
      <c r="R777" s="21" t="s">
        <v>2272</v>
      </c>
      <c r="S777" s="21" t="s">
        <v>2272</v>
      </c>
      <c r="T777" s="21" t="s">
        <v>2272</v>
      </c>
      <c r="U777" s="21" t="s">
        <v>2272</v>
      </c>
      <c r="V777" s="21" t="s">
        <v>2272</v>
      </c>
      <c r="W777" s="21" t="s">
        <v>2272</v>
      </c>
      <c r="X777" s="21" t="s">
        <v>2272</v>
      </c>
      <c r="Y777" s="21" t="s">
        <v>2272</v>
      </c>
      <c r="Z777" s="21" t="s">
        <v>2272</v>
      </c>
      <c r="AA777" s="198" t="s">
        <v>2272</v>
      </c>
      <c r="AB777" s="198" t="s">
        <v>2272</v>
      </c>
      <c r="AC777" s="198" t="s">
        <v>2272</v>
      </c>
      <c r="AD777" s="198"/>
      <c r="AE777" s="4" t="s">
        <v>1217</v>
      </c>
    </row>
    <row r="778" spans="1:31" ht="37" customHeight="1">
      <c r="A778" s="198" t="s">
        <v>1204</v>
      </c>
      <c r="B778" s="198" t="s">
        <v>1208</v>
      </c>
      <c r="C778" s="198" t="s">
        <v>23</v>
      </c>
      <c r="D778" s="198" t="s">
        <v>26</v>
      </c>
      <c r="E778" s="198" t="s">
        <v>128</v>
      </c>
      <c r="F778" s="4" t="s">
        <v>159</v>
      </c>
      <c r="G778" s="198"/>
      <c r="H778" s="198" t="s">
        <v>522</v>
      </c>
      <c r="I778" s="198"/>
      <c r="J778" s="21">
        <v>0</v>
      </c>
      <c r="K778" s="21">
        <v>0</v>
      </c>
      <c r="L778" s="21">
        <v>0</v>
      </c>
      <c r="M778" s="21">
        <v>0</v>
      </c>
      <c r="N778" s="21">
        <v>0</v>
      </c>
      <c r="O778" s="21">
        <v>0</v>
      </c>
      <c r="P778" s="21">
        <v>0</v>
      </c>
      <c r="Q778" s="21">
        <v>0</v>
      </c>
      <c r="R778" s="21" t="s">
        <v>2272</v>
      </c>
      <c r="S778" s="21" t="s">
        <v>2272</v>
      </c>
      <c r="T778" s="21">
        <v>0</v>
      </c>
      <c r="U778" s="21">
        <v>0</v>
      </c>
      <c r="V778" s="21">
        <v>0</v>
      </c>
      <c r="W778" s="21">
        <v>0</v>
      </c>
      <c r="X778" s="21" t="s">
        <v>2272</v>
      </c>
      <c r="Y778" s="21">
        <v>0</v>
      </c>
      <c r="Z778" s="21" t="s">
        <v>2272</v>
      </c>
      <c r="AA778" s="198" t="s">
        <v>2272</v>
      </c>
      <c r="AB778" s="198" t="s">
        <v>2272</v>
      </c>
      <c r="AC778" s="198" t="s">
        <v>2272</v>
      </c>
      <c r="AD778" s="4" t="s">
        <v>1210</v>
      </c>
      <c r="AE778" s="198"/>
    </row>
    <row r="779" spans="1:31" ht="37" customHeight="1">
      <c r="A779" s="198" t="s">
        <v>1204</v>
      </c>
      <c r="B779" s="198" t="s">
        <v>1216</v>
      </c>
      <c r="C779" s="198" t="s">
        <v>23</v>
      </c>
      <c r="D779" s="198" t="s">
        <v>2654</v>
      </c>
      <c r="E779" s="198" t="s">
        <v>128</v>
      </c>
      <c r="F779" s="4" t="s">
        <v>159</v>
      </c>
      <c r="G779" s="198"/>
      <c r="H779" s="198" t="s">
        <v>522</v>
      </c>
      <c r="I779" s="198"/>
      <c r="J779" s="21">
        <v>0</v>
      </c>
      <c r="K779" s="21">
        <v>0</v>
      </c>
      <c r="L779" s="21">
        <v>0</v>
      </c>
      <c r="M779" s="21">
        <v>0</v>
      </c>
      <c r="N779" s="21">
        <v>0</v>
      </c>
      <c r="O779" s="21">
        <v>0</v>
      </c>
      <c r="P779" s="21">
        <v>0</v>
      </c>
      <c r="Q779" s="21">
        <v>0</v>
      </c>
      <c r="R779" s="21" t="s">
        <v>2272</v>
      </c>
      <c r="S779" s="21" t="s">
        <v>2272</v>
      </c>
      <c r="T779" s="21">
        <v>0</v>
      </c>
      <c r="U779" s="21">
        <v>0</v>
      </c>
      <c r="V779" s="21">
        <v>0</v>
      </c>
      <c r="W779" s="21">
        <v>0</v>
      </c>
      <c r="X779" s="21" t="s">
        <v>2272</v>
      </c>
      <c r="Y779" s="21">
        <v>0</v>
      </c>
      <c r="Z779" s="21" t="s">
        <v>2272</v>
      </c>
      <c r="AA779" s="198" t="s">
        <v>2272</v>
      </c>
      <c r="AB779" s="198" t="s">
        <v>2272</v>
      </c>
      <c r="AC779" s="198" t="s">
        <v>2272</v>
      </c>
      <c r="AD779" s="4" t="s">
        <v>1210</v>
      </c>
      <c r="AE779" s="198"/>
    </row>
    <row r="780" spans="1:31" ht="41" customHeight="1">
      <c r="A780" s="198" t="s">
        <v>1228</v>
      </c>
      <c r="B780" s="198" t="s">
        <v>1229</v>
      </c>
      <c r="C780" s="198" t="s">
        <v>23</v>
      </c>
      <c r="D780" s="198" t="s">
        <v>1238</v>
      </c>
      <c r="E780" s="198" t="s">
        <v>5000</v>
      </c>
      <c r="F780" s="4" t="s">
        <v>2657</v>
      </c>
      <c r="G780" s="198"/>
      <c r="H780" s="198" t="s">
        <v>521</v>
      </c>
      <c r="I780" s="198"/>
      <c r="J780" s="21" t="s">
        <v>2272</v>
      </c>
      <c r="K780" s="21" t="s">
        <v>2272</v>
      </c>
      <c r="L780" s="21" t="s">
        <v>2272</v>
      </c>
      <c r="M780" s="21" t="s">
        <v>2272</v>
      </c>
      <c r="N780" s="21" t="s">
        <v>2272</v>
      </c>
      <c r="O780" s="21" t="s">
        <v>2272</v>
      </c>
      <c r="P780" s="21" t="s">
        <v>2272</v>
      </c>
      <c r="Q780" s="21" t="s">
        <v>2272</v>
      </c>
      <c r="R780" s="21" t="s">
        <v>2272</v>
      </c>
      <c r="S780" s="21" t="s">
        <v>2272</v>
      </c>
      <c r="T780" s="21" t="s">
        <v>2272</v>
      </c>
      <c r="U780" s="21" t="s">
        <v>2272</v>
      </c>
      <c r="V780" s="21" t="s">
        <v>2272</v>
      </c>
      <c r="W780" s="21" t="s">
        <v>2272</v>
      </c>
      <c r="X780" s="21" t="s">
        <v>2272</v>
      </c>
      <c r="Y780" s="21" t="s">
        <v>2272</v>
      </c>
      <c r="Z780" s="21">
        <v>4.5</v>
      </c>
      <c r="AA780" s="198" t="s">
        <v>402</v>
      </c>
      <c r="AB780" s="198" t="s">
        <v>34</v>
      </c>
      <c r="AC780" s="198" t="s">
        <v>63</v>
      </c>
      <c r="AD780" s="4" t="s">
        <v>1230</v>
      </c>
      <c r="AE780" s="198"/>
    </row>
    <row r="781" spans="1:31" ht="39" customHeight="1">
      <c r="A781" s="198" t="s">
        <v>1228</v>
      </c>
      <c r="B781" s="198" t="s">
        <v>1231</v>
      </c>
      <c r="C781" s="198" t="s">
        <v>23</v>
      </c>
      <c r="D781" s="198" t="s">
        <v>142</v>
      </c>
      <c r="E781" s="198" t="s">
        <v>135</v>
      </c>
      <c r="F781" s="4" t="s">
        <v>2657</v>
      </c>
      <c r="G781" s="198"/>
      <c r="H781" s="198" t="s">
        <v>522</v>
      </c>
      <c r="I781" s="198"/>
      <c r="J781" s="21">
        <v>0</v>
      </c>
      <c r="K781" s="21">
        <v>0</v>
      </c>
      <c r="L781" s="21">
        <v>0</v>
      </c>
      <c r="M781" s="21">
        <v>0</v>
      </c>
      <c r="N781" s="21">
        <v>0</v>
      </c>
      <c r="O781" s="21">
        <v>0</v>
      </c>
      <c r="P781" s="21">
        <v>0</v>
      </c>
      <c r="Q781" s="21">
        <v>0</v>
      </c>
      <c r="R781" s="21" t="s">
        <v>2272</v>
      </c>
      <c r="S781" s="21" t="s">
        <v>2272</v>
      </c>
      <c r="T781" s="21">
        <v>0</v>
      </c>
      <c r="U781" s="21">
        <v>0</v>
      </c>
      <c r="V781" s="21">
        <v>0</v>
      </c>
      <c r="W781" s="21">
        <v>0</v>
      </c>
      <c r="X781" s="21" t="s">
        <v>2272</v>
      </c>
      <c r="Y781" s="21">
        <v>0</v>
      </c>
      <c r="Z781" s="21" t="s">
        <v>2272</v>
      </c>
      <c r="AA781" s="198" t="s">
        <v>2272</v>
      </c>
      <c r="AB781" s="198" t="s">
        <v>2272</v>
      </c>
      <c r="AC781" s="198" t="s">
        <v>2272</v>
      </c>
      <c r="AD781" s="4" t="s">
        <v>1232</v>
      </c>
      <c r="AE781" s="198"/>
    </row>
    <row r="782" spans="1:31" ht="39" customHeight="1">
      <c r="A782" s="198" t="s">
        <v>1228</v>
      </c>
      <c r="B782" s="198" t="s">
        <v>1233</v>
      </c>
      <c r="C782" s="198" t="s">
        <v>23</v>
      </c>
      <c r="D782" s="198" t="s">
        <v>25</v>
      </c>
      <c r="E782" s="198" t="s">
        <v>5000</v>
      </c>
      <c r="F782" s="4" t="s">
        <v>2657</v>
      </c>
      <c r="G782" s="198"/>
      <c r="H782" s="198" t="s">
        <v>521</v>
      </c>
      <c r="I782" s="198"/>
      <c r="J782" s="21" t="s">
        <v>2272</v>
      </c>
      <c r="K782" s="21" t="s">
        <v>2272</v>
      </c>
      <c r="L782" s="21" t="s">
        <v>2272</v>
      </c>
      <c r="M782" s="21" t="s">
        <v>2272</v>
      </c>
      <c r="N782" s="21" t="s">
        <v>2272</v>
      </c>
      <c r="O782" s="21" t="s">
        <v>2272</v>
      </c>
      <c r="P782" s="21" t="s">
        <v>2272</v>
      </c>
      <c r="Q782" s="21" t="s">
        <v>2272</v>
      </c>
      <c r="R782" s="21" t="s">
        <v>2272</v>
      </c>
      <c r="S782" s="21" t="s">
        <v>2272</v>
      </c>
      <c r="T782" s="21" t="s">
        <v>2272</v>
      </c>
      <c r="U782" s="21" t="s">
        <v>2272</v>
      </c>
      <c r="V782" s="21" t="s">
        <v>2272</v>
      </c>
      <c r="W782" s="21" t="s">
        <v>2272</v>
      </c>
      <c r="X782" s="21" t="s">
        <v>2272</v>
      </c>
      <c r="Y782" s="21" t="s">
        <v>2272</v>
      </c>
      <c r="Z782" s="21" t="s">
        <v>2272</v>
      </c>
      <c r="AA782" s="198" t="s">
        <v>2272</v>
      </c>
      <c r="AB782" s="198" t="s">
        <v>2272</v>
      </c>
      <c r="AC782" s="198" t="s">
        <v>2272</v>
      </c>
      <c r="AD782" s="4"/>
      <c r="AE782" s="198"/>
    </row>
    <row r="783" spans="1:31" ht="43.5" customHeight="1">
      <c r="A783" s="198" t="s">
        <v>1236</v>
      </c>
      <c r="B783" s="198" t="s">
        <v>1237</v>
      </c>
      <c r="C783" s="198" t="s">
        <v>23</v>
      </c>
      <c r="D783" s="198" t="s">
        <v>1238</v>
      </c>
      <c r="E783" s="198" t="s">
        <v>135</v>
      </c>
      <c r="F783" s="4" t="s">
        <v>2657</v>
      </c>
      <c r="G783" s="198"/>
      <c r="H783" s="198" t="s">
        <v>521</v>
      </c>
      <c r="I783" s="198"/>
      <c r="J783" s="21" t="s">
        <v>2272</v>
      </c>
      <c r="K783" s="21" t="s">
        <v>2272</v>
      </c>
      <c r="L783" s="21" t="s">
        <v>2272</v>
      </c>
      <c r="M783" s="21" t="s">
        <v>2272</v>
      </c>
      <c r="N783" s="21" t="s">
        <v>2272</v>
      </c>
      <c r="O783" s="21" t="s">
        <v>2272</v>
      </c>
      <c r="P783" s="21" t="s">
        <v>2272</v>
      </c>
      <c r="Q783" s="21" t="s">
        <v>2272</v>
      </c>
      <c r="R783" s="21" t="s">
        <v>2272</v>
      </c>
      <c r="S783" s="21" t="s">
        <v>2272</v>
      </c>
      <c r="T783" s="21" t="s">
        <v>2272</v>
      </c>
      <c r="U783" s="21" t="s">
        <v>2272</v>
      </c>
      <c r="V783" s="21" t="s">
        <v>2272</v>
      </c>
      <c r="W783" s="21" t="s">
        <v>2272</v>
      </c>
      <c r="X783" s="21" t="s">
        <v>2272</v>
      </c>
      <c r="Y783" s="21" t="s">
        <v>2272</v>
      </c>
      <c r="Z783" s="21" t="s">
        <v>2272</v>
      </c>
      <c r="AA783" s="198" t="s">
        <v>84</v>
      </c>
      <c r="AB783" s="198" t="s">
        <v>402</v>
      </c>
      <c r="AC783" s="198" t="s">
        <v>63</v>
      </c>
      <c r="AD783" s="4" t="s">
        <v>1239</v>
      </c>
      <c r="AE783" s="198"/>
    </row>
    <row r="784" spans="1:31" ht="36.5" customHeight="1">
      <c r="A784" s="198" t="s">
        <v>1236</v>
      </c>
      <c r="B784" s="198" t="s">
        <v>1240</v>
      </c>
      <c r="C784" s="198" t="s">
        <v>23</v>
      </c>
      <c r="D784" s="198" t="s">
        <v>1241</v>
      </c>
      <c r="E784" s="198" t="s">
        <v>114</v>
      </c>
      <c r="F784" s="4" t="s">
        <v>2657</v>
      </c>
      <c r="G784" s="198"/>
      <c r="H784" s="198" t="s">
        <v>521</v>
      </c>
      <c r="I784" s="198"/>
      <c r="J784" s="21" t="s">
        <v>2272</v>
      </c>
      <c r="K784" s="21" t="s">
        <v>2272</v>
      </c>
      <c r="L784" s="21" t="s">
        <v>2272</v>
      </c>
      <c r="M784" s="21" t="s">
        <v>2272</v>
      </c>
      <c r="N784" s="21" t="s">
        <v>2272</v>
      </c>
      <c r="O784" s="21" t="s">
        <v>2272</v>
      </c>
      <c r="P784" s="21" t="s">
        <v>2272</v>
      </c>
      <c r="Q784" s="21" t="s">
        <v>2272</v>
      </c>
      <c r="R784" s="21" t="s">
        <v>2272</v>
      </c>
      <c r="S784" s="21" t="s">
        <v>2272</v>
      </c>
      <c r="T784" s="21" t="s">
        <v>2272</v>
      </c>
      <c r="U784" s="21" t="s">
        <v>2272</v>
      </c>
      <c r="V784" s="21" t="s">
        <v>2272</v>
      </c>
      <c r="W784" s="21" t="s">
        <v>2272</v>
      </c>
      <c r="X784" s="21" t="s">
        <v>2272</v>
      </c>
      <c r="Y784" s="21" t="s">
        <v>2272</v>
      </c>
      <c r="Z784" s="21" t="s">
        <v>2272</v>
      </c>
      <c r="AA784" s="198" t="s">
        <v>1242</v>
      </c>
      <c r="AB784" s="198" t="s">
        <v>403</v>
      </c>
      <c r="AC784" s="198" t="s">
        <v>63</v>
      </c>
      <c r="AD784" s="198"/>
      <c r="AE784" s="198"/>
    </row>
    <row r="785" spans="1:31" ht="86.5" customHeight="1">
      <c r="A785" s="198" t="s">
        <v>2441</v>
      </c>
      <c r="B785" s="198" t="s">
        <v>2448</v>
      </c>
      <c r="C785" s="198" t="s">
        <v>23</v>
      </c>
      <c r="D785" s="198" t="s">
        <v>26</v>
      </c>
      <c r="E785" s="198" t="s">
        <v>128</v>
      </c>
      <c r="F785" s="4" t="s">
        <v>73</v>
      </c>
      <c r="G785" s="198" t="s">
        <v>73</v>
      </c>
      <c r="H785" s="198" t="s">
        <v>521</v>
      </c>
      <c r="I785" s="198"/>
      <c r="J785" s="21" t="s">
        <v>2272</v>
      </c>
      <c r="K785" s="21" t="s">
        <v>2272</v>
      </c>
      <c r="L785" s="21" t="s">
        <v>2272</v>
      </c>
      <c r="M785" s="21" t="s">
        <v>2272</v>
      </c>
      <c r="N785" s="21" t="s">
        <v>2272</v>
      </c>
      <c r="O785" s="21" t="s">
        <v>2272</v>
      </c>
      <c r="P785" s="21" t="s">
        <v>2272</v>
      </c>
      <c r="Q785" s="21" t="s">
        <v>2272</v>
      </c>
      <c r="R785" s="21" t="s">
        <v>2272</v>
      </c>
      <c r="S785" s="21" t="s">
        <v>2272</v>
      </c>
      <c r="T785" s="21" t="s">
        <v>2272</v>
      </c>
      <c r="U785" s="21" t="s">
        <v>2272</v>
      </c>
      <c r="V785" s="21">
        <v>2</v>
      </c>
      <c r="W785" s="21">
        <v>2</v>
      </c>
      <c r="X785" s="21" t="s">
        <v>2272</v>
      </c>
      <c r="Y785" s="21" t="s">
        <v>2272</v>
      </c>
      <c r="Z785" s="21" t="s">
        <v>2272</v>
      </c>
      <c r="AA785" s="21" t="s">
        <v>2272</v>
      </c>
      <c r="AB785" s="21" t="s">
        <v>2272</v>
      </c>
      <c r="AC785" s="21" t="s">
        <v>2272</v>
      </c>
      <c r="AD785" s="198"/>
      <c r="AE785" s="4" t="s">
        <v>2450</v>
      </c>
    </row>
    <row r="786" spans="1:31" ht="83.5" customHeight="1">
      <c r="A786" s="198" t="s">
        <v>2441</v>
      </c>
      <c r="B786" s="198" t="s">
        <v>2449</v>
      </c>
      <c r="C786" s="198" t="s">
        <v>2453</v>
      </c>
      <c r="D786" s="198" t="s">
        <v>26</v>
      </c>
      <c r="E786" s="198" t="s">
        <v>128</v>
      </c>
      <c r="F786" s="4" t="s">
        <v>2272</v>
      </c>
      <c r="G786" s="198" t="s">
        <v>73</v>
      </c>
      <c r="H786" s="198" t="s">
        <v>521</v>
      </c>
      <c r="I786" s="198"/>
      <c r="J786" s="21" t="s">
        <v>2272</v>
      </c>
      <c r="K786" s="21" t="s">
        <v>2272</v>
      </c>
      <c r="L786" s="21" t="s">
        <v>2272</v>
      </c>
      <c r="M786" s="21" t="s">
        <v>2272</v>
      </c>
      <c r="N786" s="21" t="s">
        <v>2272</v>
      </c>
      <c r="O786" s="21" t="s">
        <v>2272</v>
      </c>
      <c r="P786" s="21" t="s">
        <v>2272</v>
      </c>
      <c r="Q786" s="21" t="s">
        <v>2272</v>
      </c>
      <c r="R786" s="21" t="s">
        <v>2272</v>
      </c>
      <c r="S786" s="21" t="s">
        <v>2272</v>
      </c>
      <c r="T786" s="21" t="s">
        <v>2272</v>
      </c>
      <c r="U786" s="21" t="s">
        <v>2272</v>
      </c>
      <c r="V786" s="21">
        <v>0</v>
      </c>
      <c r="W786" s="21">
        <v>2</v>
      </c>
      <c r="X786" s="21" t="s">
        <v>2272</v>
      </c>
      <c r="Y786" s="21" t="s">
        <v>2272</v>
      </c>
      <c r="Z786" s="21" t="s">
        <v>2272</v>
      </c>
      <c r="AA786" s="21" t="s">
        <v>2272</v>
      </c>
      <c r="AB786" s="21" t="s">
        <v>2272</v>
      </c>
      <c r="AC786" s="21" t="s">
        <v>2272</v>
      </c>
      <c r="AD786" s="198" t="s">
        <v>2451</v>
      </c>
      <c r="AE786" s="4" t="s">
        <v>2450</v>
      </c>
    </row>
    <row r="787" spans="1:31" ht="57" customHeight="1">
      <c r="A787" s="198" t="s">
        <v>2444</v>
      </c>
      <c r="B787" s="198" t="s">
        <v>2455</v>
      </c>
      <c r="C787" s="198" t="s">
        <v>23</v>
      </c>
      <c r="D787" s="198" t="s">
        <v>26</v>
      </c>
      <c r="E787" s="198" t="s">
        <v>128</v>
      </c>
      <c r="F787" s="4" t="s">
        <v>159</v>
      </c>
      <c r="G787" s="198" t="s">
        <v>159</v>
      </c>
      <c r="H787" s="198" t="s">
        <v>521</v>
      </c>
      <c r="I787" s="198"/>
      <c r="J787" s="21" t="s">
        <v>2272</v>
      </c>
      <c r="K787" s="21" t="s">
        <v>2272</v>
      </c>
      <c r="L787" s="21" t="s">
        <v>2272</v>
      </c>
      <c r="M787" s="21" t="s">
        <v>2272</v>
      </c>
      <c r="N787" s="21" t="s">
        <v>2272</v>
      </c>
      <c r="O787" s="21" t="s">
        <v>2272</v>
      </c>
      <c r="P787" s="21" t="s">
        <v>2272</v>
      </c>
      <c r="Q787" s="21" t="s">
        <v>2272</v>
      </c>
      <c r="R787" s="21" t="s">
        <v>2272</v>
      </c>
      <c r="S787" s="21" t="s">
        <v>2272</v>
      </c>
      <c r="T787" s="21" t="s">
        <v>2272</v>
      </c>
      <c r="U787" s="21" t="s">
        <v>2272</v>
      </c>
      <c r="V787" s="21" t="s">
        <v>2272</v>
      </c>
      <c r="W787" s="21" t="s">
        <v>2272</v>
      </c>
      <c r="X787" s="21" t="s">
        <v>2272</v>
      </c>
      <c r="Y787" s="21" t="s">
        <v>2272</v>
      </c>
      <c r="Z787" s="21" t="s">
        <v>2272</v>
      </c>
      <c r="AA787" s="21" t="s">
        <v>2272</v>
      </c>
      <c r="AB787" s="21" t="s">
        <v>2272</v>
      </c>
      <c r="AC787" s="21" t="s">
        <v>2272</v>
      </c>
      <c r="AD787" s="198"/>
      <c r="AE787" s="198"/>
    </row>
    <row r="788" spans="1:31" ht="45" customHeight="1">
      <c r="A788" s="198" t="s">
        <v>2444</v>
      </c>
      <c r="B788" s="198" t="s">
        <v>2457</v>
      </c>
      <c r="C788" s="198" t="s">
        <v>23</v>
      </c>
      <c r="D788" s="198" t="s">
        <v>26</v>
      </c>
      <c r="E788" s="198" t="s">
        <v>128</v>
      </c>
      <c r="F788" s="4" t="s">
        <v>27</v>
      </c>
      <c r="G788" s="198" t="s">
        <v>27</v>
      </c>
      <c r="H788" s="198" t="s">
        <v>521</v>
      </c>
      <c r="I788" s="198"/>
      <c r="J788" s="21" t="s">
        <v>2272</v>
      </c>
      <c r="K788" s="21" t="s">
        <v>2272</v>
      </c>
      <c r="L788" s="21" t="s">
        <v>2272</v>
      </c>
      <c r="M788" s="21" t="s">
        <v>2272</v>
      </c>
      <c r="N788" s="21" t="s">
        <v>2272</v>
      </c>
      <c r="O788" s="21" t="s">
        <v>2272</v>
      </c>
      <c r="P788" s="21" t="s">
        <v>2272</v>
      </c>
      <c r="Q788" s="21" t="s">
        <v>2272</v>
      </c>
      <c r="R788" s="21" t="s">
        <v>2272</v>
      </c>
      <c r="S788" s="21" t="s">
        <v>2272</v>
      </c>
      <c r="T788" s="21" t="s">
        <v>2272</v>
      </c>
      <c r="U788" s="21" t="s">
        <v>2272</v>
      </c>
      <c r="V788" s="21" t="s">
        <v>2272</v>
      </c>
      <c r="W788" s="21" t="s">
        <v>2272</v>
      </c>
      <c r="X788" s="21" t="s">
        <v>2272</v>
      </c>
      <c r="Y788" s="21" t="s">
        <v>2272</v>
      </c>
      <c r="Z788" s="21">
        <v>1</v>
      </c>
      <c r="AA788" s="21" t="s">
        <v>2272</v>
      </c>
      <c r="AB788" s="21" t="s">
        <v>2272</v>
      </c>
      <c r="AC788" s="21" t="s">
        <v>2272</v>
      </c>
      <c r="AD788" s="4" t="s">
        <v>2458</v>
      </c>
      <c r="AE788" s="198"/>
    </row>
    <row r="789" spans="1:31" ht="53.5" customHeight="1">
      <c r="A789" s="198" t="s">
        <v>2461</v>
      </c>
      <c r="B789" s="198" t="s">
        <v>2495</v>
      </c>
      <c r="C789" s="198" t="s">
        <v>23</v>
      </c>
      <c r="D789" s="198" t="s">
        <v>26</v>
      </c>
      <c r="E789" s="198" t="s">
        <v>128</v>
      </c>
      <c r="F789" s="4" t="s">
        <v>159</v>
      </c>
      <c r="G789" s="198" t="s">
        <v>2272</v>
      </c>
      <c r="H789" s="198" t="s">
        <v>521</v>
      </c>
      <c r="I789" s="198"/>
      <c r="J789" s="21" t="s">
        <v>2272</v>
      </c>
      <c r="K789" s="21" t="s">
        <v>2272</v>
      </c>
      <c r="L789" s="21" t="s">
        <v>2272</v>
      </c>
      <c r="M789" s="21" t="s">
        <v>2272</v>
      </c>
      <c r="N789" s="21" t="s">
        <v>2272</v>
      </c>
      <c r="O789" s="21" t="s">
        <v>2272</v>
      </c>
      <c r="P789" s="21" t="s">
        <v>2272</v>
      </c>
      <c r="Q789" s="21" t="s">
        <v>2272</v>
      </c>
      <c r="R789" s="21" t="s">
        <v>2272</v>
      </c>
      <c r="S789" s="21" t="s">
        <v>2272</v>
      </c>
      <c r="T789" s="21" t="s">
        <v>2272</v>
      </c>
      <c r="U789" s="21" t="s">
        <v>2272</v>
      </c>
      <c r="V789" s="21" t="s">
        <v>2272</v>
      </c>
      <c r="W789" s="21" t="s">
        <v>2272</v>
      </c>
      <c r="X789" s="21" t="s">
        <v>2272</v>
      </c>
      <c r="Y789" s="21" t="s">
        <v>2272</v>
      </c>
      <c r="Z789" s="21" t="s">
        <v>2272</v>
      </c>
      <c r="AA789" s="21" t="s">
        <v>186</v>
      </c>
      <c r="AB789" s="21" t="s">
        <v>187</v>
      </c>
      <c r="AC789" s="21" t="s">
        <v>63</v>
      </c>
      <c r="AD789" s="198"/>
      <c r="AE789" s="198"/>
    </row>
    <row r="790" spans="1:31" ht="64.5" customHeight="1">
      <c r="A790" s="198" t="s">
        <v>2462</v>
      </c>
      <c r="B790" s="198" t="s">
        <v>2496</v>
      </c>
      <c r="C790" s="198" t="s">
        <v>23</v>
      </c>
      <c r="D790" s="198" t="s">
        <v>26</v>
      </c>
      <c r="E790" s="198" t="s">
        <v>128</v>
      </c>
      <c r="F790" s="4" t="s">
        <v>159</v>
      </c>
      <c r="G790" s="198" t="s">
        <v>2272</v>
      </c>
      <c r="H790" s="198" t="s">
        <v>521</v>
      </c>
      <c r="I790" s="198"/>
      <c r="J790" s="21" t="s">
        <v>2272</v>
      </c>
      <c r="K790" s="21" t="s">
        <v>2272</v>
      </c>
      <c r="L790" s="21" t="s">
        <v>2272</v>
      </c>
      <c r="M790" s="21" t="s">
        <v>2272</v>
      </c>
      <c r="N790" s="21" t="s">
        <v>2272</v>
      </c>
      <c r="O790" s="21" t="s">
        <v>2272</v>
      </c>
      <c r="P790" s="21" t="s">
        <v>2272</v>
      </c>
      <c r="Q790" s="21" t="s">
        <v>2272</v>
      </c>
      <c r="R790" s="21" t="s">
        <v>2272</v>
      </c>
      <c r="S790" s="21" t="s">
        <v>2272</v>
      </c>
      <c r="T790" s="21" t="s">
        <v>2272</v>
      </c>
      <c r="U790" s="21" t="s">
        <v>2272</v>
      </c>
      <c r="V790" s="21" t="s">
        <v>2272</v>
      </c>
      <c r="W790" s="21" t="s">
        <v>2272</v>
      </c>
      <c r="X790" s="21" t="s">
        <v>2272</v>
      </c>
      <c r="Y790" s="21" t="s">
        <v>2272</v>
      </c>
      <c r="Z790" s="21" t="s">
        <v>2272</v>
      </c>
      <c r="AA790" s="21" t="s">
        <v>186</v>
      </c>
      <c r="AB790" s="21" t="s">
        <v>187</v>
      </c>
      <c r="AC790" s="21" t="s">
        <v>63</v>
      </c>
      <c r="AD790" s="198"/>
      <c r="AE790" s="198"/>
    </row>
    <row r="791" spans="1:31" ht="64.5" customHeight="1">
      <c r="A791" s="198" t="s">
        <v>2463</v>
      </c>
      <c r="B791" s="198" t="s">
        <v>2497</v>
      </c>
      <c r="C791" s="198" t="s">
        <v>23</v>
      </c>
      <c r="D791" s="198" t="s">
        <v>26</v>
      </c>
      <c r="E791" s="198" t="s">
        <v>128</v>
      </c>
      <c r="F791" s="4" t="s">
        <v>159</v>
      </c>
      <c r="G791" s="198" t="s">
        <v>2272</v>
      </c>
      <c r="H791" s="198" t="s">
        <v>521</v>
      </c>
      <c r="I791" s="198"/>
      <c r="J791" s="21" t="s">
        <v>2272</v>
      </c>
      <c r="K791" s="21" t="s">
        <v>2272</v>
      </c>
      <c r="L791" s="21" t="s">
        <v>2272</v>
      </c>
      <c r="M791" s="21" t="s">
        <v>2272</v>
      </c>
      <c r="N791" s="21" t="s">
        <v>2272</v>
      </c>
      <c r="O791" s="21" t="s">
        <v>2272</v>
      </c>
      <c r="P791" s="21" t="s">
        <v>2272</v>
      </c>
      <c r="Q791" s="21" t="s">
        <v>2272</v>
      </c>
      <c r="R791" s="21" t="s">
        <v>2272</v>
      </c>
      <c r="S791" s="21" t="s">
        <v>2272</v>
      </c>
      <c r="T791" s="21" t="s">
        <v>2272</v>
      </c>
      <c r="U791" s="21" t="s">
        <v>2272</v>
      </c>
      <c r="V791" s="21" t="s">
        <v>2272</v>
      </c>
      <c r="W791" s="21" t="s">
        <v>2272</v>
      </c>
      <c r="X791" s="21" t="s">
        <v>2272</v>
      </c>
      <c r="Y791" s="21" t="s">
        <v>2272</v>
      </c>
      <c r="Z791" s="21" t="s">
        <v>2272</v>
      </c>
      <c r="AA791" s="21" t="s">
        <v>186</v>
      </c>
      <c r="AB791" s="21" t="s">
        <v>187</v>
      </c>
      <c r="AC791" s="21" t="s">
        <v>63</v>
      </c>
      <c r="AD791" s="198"/>
      <c r="AE791" s="198"/>
    </row>
    <row r="792" spans="1:31" ht="64.5" customHeight="1">
      <c r="A792" s="198" t="s">
        <v>2464</v>
      </c>
      <c r="B792" s="198" t="s">
        <v>2498</v>
      </c>
      <c r="C792" s="198" t="s">
        <v>23</v>
      </c>
      <c r="D792" s="198" t="s">
        <v>26</v>
      </c>
      <c r="E792" s="198" t="s">
        <v>128</v>
      </c>
      <c r="F792" s="4" t="s">
        <v>159</v>
      </c>
      <c r="G792" s="198" t="s">
        <v>2272</v>
      </c>
      <c r="H792" s="198" t="s">
        <v>521</v>
      </c>
      <c r="I792" s="198"/>
      <c r="J792" s="21" t="s">
        <v>2272</v>
      </c>
      <c r="K792" s="21" t="s">
        <v>2272</v>
      </c>
      <c r="L792" s="21" t="s">
        <v>2272</v>
      </c>
      <c r="M792" s="21" t="s">
        <v>2272</v>
      </c>
      <c r="N792" s="21" t="s">
        <v>2272</v>
      </c>
      <c r="O792" s="21" t="s">
        <v>2272</v>
      </c>
      <c r="P792" s="21" t="s">
        <v>2272</v>
      </c>
      <c r="Q792" s="21" t="s">
        <v>2272</v>
      </c>
      <c r="R792" s="21" t="s">
        <v>2272</v>
      </c>
      <c r="S792" s="21" t="s">
        <v>2272</v>
      </c>
      <c r="T792" s="21" t="s">
        <v>2272</v>
      </c>
      <c r="U792" s="21" t="s">
        <v>2272</v>
      </c>
      <c r="V792" s="21" t="s">
        <v>2272</v>
      </c>
      <c r="W792" s="21" t="s">
        <v>2272</v>
      </c>
      <c r="X792" s="21" t="s">
        <v>2272</v>
      </c>
      <c r="Y792" s="21" t="s">
        <v>2272</v>
      </c>
      <c r="Z792" s="21" t="s">
        <v>2272</v>
      </c>
      <c r="AA792" s="21" t="s">
        <v>186</v>
      </c>
      <c r="AB792" s="21" t="s">
        <v>187</v>
      </c>
      <c r="AC792" s="21" t="s">
        <v>63</v>
      </c>
      <c r="AD792" s="198"/>
      <c r="AE792" s="198"/>
    </row>
    <row r="793" spans="1:31" ht="64.5" customHeight="1">
      <c r="A793" s="198" t="s">
        <v>2465</v>
      </c>
      <c r="B793" s="198" t="s">
        <v>2499</v>
      </c>
      <c r="C793" s="198" t="s">
        <v>23</v>
      </c>
      <c r="D793" s="198" t="s">
        <v>26</v>
      </c>
      <c r="E793" s="198" t="s">
        <v>128</v>
      </c>
      <c r="F793" s="4" t="s">
        <v>159</v>
      </c>
      <c r="G793" s="198" t="s">
        <v>2272</v>
      </c>
      <c r="H793" s="198" t="s">
        <v>521</v>
      </c>
      <c r="I793" s="198"/>
      <c r="J793" s="21" t="s">
        <v>2272</v>
      </c>
      <c r="K793" s="21" t="s">
        <v>2272</v>
      </c>
      <c r="L793" s="21" t="s">
        <v>2272</v>
      </c>
      <c r="M793" s="21" t="s">
        <v>2272</v>
      </c>
      <c r="N793" s="21" t="s">
        <v>2272</v>
      </c>
      <c r="O793" s="21" t="s">
        <v>2272</v>
      </c>
      <c r="P793" s="21" t="s">
        <v>2272</v>
      </c>
      <c r="Q793" s="21" t="s">
        <v>2272</v>
      </c>
      <c r="R793" s="21" t="s">
        <v>2272</v>
      </c>
      <c r="S793" s="21" t="s">
        <v>2272</v>
      </c>
      <c r="T793" s="21" t="s">
        <v>2272</v>
      </c>
      <c r="U793" s="21" t="s">
        <v>2272</v>
      </c>
      <c r="V793" s="21" t="s">
        <v>2272</v>
      </c>
      <c r="W793" s="21" t="s">
        <v>2272</v>
      </c>
      <c r="X793" s="21" t="s">
        <v>2272</v>
      </c>
      <c r="Y793" s="21" t="s">
        <v>2272</v>
      </c>
      <c r="Z793" s="21" t="s">
        <v>2272</v>
      </c>
      <c r="AA793" s="21" t="s">
        <v>186</v>
      </c>
      <c r="AB793" s="21" t="s">
        <v>187</v>
      </c>
      <c r="AC793" s="21" t="s">
        <v>63</v>
      </c>
      <c r="AD793" s="198"/>
      <c r="AE793" s="198"/>
    </row>
    <row r="794" spans="1:31" ht="64.5" customHeight="1">
      <c r="A794" s="198" t="s">
        <v>2466</v>
      </c>
      <c r="B794" s="198" t="s">
        <v>2500</v>
      </c>
      <c r="C794" s="198" t="s">
        <v>23</v>
      </c>
      <c r="D794" s="198" t="s">
        <v>26</v>
      </c>
      <c r="E794" s="198" t="s">
        <v>128</v>
      </c>
      <c r="F794" s="4" t="s">
        <v>159</v>
      </c>
      <c r="G794" s="198" t="s">
        <v>2272</v>
      </c>
      <c r="H794" s="198" t="s">
        <v>521</v>
      </c>
      <c r="I794" s="198"/>
      <c r="J794" s="21" t="s">
        <v>2272</v>
      </c>
      <c r="K794" s="21" t="s">
        <v>2272</v>
      </c>
      <c r="L794" s="21" t="s">
        <v>2272</v>
      </c>
      <c r="M794" s="21" t="s">
        <v>2272</v>
      </c>
      <c r="N794" s="21" t="s">
        <v>2272</v>
      </c>
      <c r="O794" s="21" t="s">
        <v>2272</v>
      </c>
      <c r="P794" s="21" t="s">
        <v>2272</v>
      </c>
      <c r="Q794" s="21" t="s">
        <v>2272</v>
      </c>
      <c r="R794" s="21" t="s">
        <v>2272</v>
      </c>
      <c r="S794" s="21" t="s">
        <v>2272</v>
      </c>
      <c r="T794" s="21" t="s">
        <v>2272</v>
      </c>
      <c r="U794" s="21" t="s">
        <v>2272</v>
      </c>
      <c r="V794" s="21" t="s">
        <v>2272</v>
      </c>
      <c r="W794" s="21" t="s">
        <v>2272</v>
      </c>
      <c r="X794" s="21" t="s">
        <v>2272</v>
      </c>
      <c r="Y794" s="21" t="s">
        <v>2272</v>
      </c>
      <c r="Z794" s="21" t="s">
        <v>2272</v>
      </c>
      <c r="AA794" s="21" t="s">
        <v>186</v>
      </c>
      <c r="AB794" s="21" t="s">
        <v>187</v>
      </c>
      <c r="AC794" s="21" t="s">
        <v>63</v>
      </c>
      <c r="AD794" s="198"/>
      <c r="AE794" s="198"/>
    </row>
    <row r="795" spans="1:31" ht="64.5" customHeight="1">
      <c r="A795" s="198" t="s">
        <v>2467</v>
      </c>
      <c r="B795" s="198" t="s">
        <v>2501</v>
      </c>
      <c r="C795" s="198" t="s">
        <v>23</v>
      </c>
      <c r="D795" s="198" t="s">
        <v>26</v>
      </c>
      <c r="E795" s="198" t="s">
        <v>128</v>
      </c>
      <c r="F795" s="4" t="s">
        <v>159</v>
      </c>
      <c r="G795" s="198" t="s">
        <v>2272</v>
      </c>
      <c r="H795" s="198" t="s">
        <v>521</v>
      </c>
      <c r="I795" s="198"/>
      <c r="J795" s="21" t="s">
        <v>2272</v>
      </c>
      <c r="K795" s="21" t="s">
        <v>2272</v>
      </c>
      <c r="L795" s="21" t="s">
        <v>2272</v>
      </c>
      <c r="M795" s="21" t="s">
        <v>2272</v>
      </c>
      <c r="N795" s="21" t="s">
        <v>2272</v>
      </c>
      <c r="O795" s="21" t="s">
        <v>2272</v>
      </c>
      <c r="P795" s="21" t="s">
        <v>2272</v>
      </c>
      <c r="Q795" s="21" t="s">
        <v>2272</v>
      </c>
      <c r="R795" s="21" t="s">
        <v>2272</v>
      </c>
      <c r="S795" s="21" t="s">
        <v>2272</v>
      </c>
      <c r="T795" s="21" t="s">
        <v>2272</v>
      </c>
      <c r="U795" s="21" t="s">
        <v>2272</v>
      </c>
      <c r="V795" s="21" t="s">
        <v>2272</v>
      </c>
      <c r="W795" s="21" t="s">
        <v>2272</v>
      </c>
      <c r="X795" s="21" t="s">
        <v>2272</v>
      </c>
      <c r="Y795" s="21" t="s">
        <v>2272</v>
      </c>
      <c r="Z795" s="21" t="s">
        <v>2272</v>
      </c>
      <c r="AA795" s="21" t="s">
        <v>186</v>
      </c>
      <c r="AB795" s="21" t="s">
        <v>187</v>
      </c>
      <c r="AC795" s="21" t="s">
        <v>63</v>
      </c>
      <c r="AD795" s="198"/>
      <c r="AE795" s="198"/>
    </row>
    <row r="796" spans="1:31" ht="64.5" customHeight="1">
      <c r="A796" s="198" t="s">
        <v>2468</v>
      </c>
      <c r="B796" s="198" t="s">
        <v>2502</v>
      </c>
      <c r="C796" s="198" t="s">
        <v>23</v>
      </c>
      <c r="D796" s="198" t="s">
        <v>26</v>
      </c>
      <c r="E796" s="198" t="s">
        <v>128</v>
      </c>
      <c r="F796" s="4" t="s">
        <v>159</v>
      </c>
      <c r="G796" s="198" t="s">
        <v>2272</v>
      </c>
      <c r="H796" s="198" t="s">
        <v>521</v>
      </c>
      <c r="I796" s="198"/>
      <c r="J796" s="21" t="s">
        <v>2272</v>
      </c>
      <c r="K796" s="21" t="s">
        <v>2272</v>
      </c>
      <c r="L796" s="21" t="s">
        <v>2272</v>
      </c>
      <c r="M796" s="21" t="s">
        <v>2272</v>
      </c>
      <c r="N796" s="21" t="s">
        <v>2272</v>
      </c>
      <c r="O796" s="21" t="s">
        <v>2272</v>
      </c>
      <c r="P796" s="21" t="s">
        <v>2272</v>
      </c>
      <c r="Q796" s="21" t="s">
        <v>2272</v>
      </c>
      <c r="R796" s="21" t="s">
        <v>2272</v>
      </c>
      <c r="S796" s="21" t="s">
        <v>2272</v>
      </c>
      <c r="T796" s="21" t="s">
        <v>2272</v>
      </c>
      <c r="U796" s="21" t="s">
        <v>2272</v>
      </c>
      <c r="V796" s="21" t="s">
        <v>2272</v>
      </c>
      <c r="W796" s="21" t="s">
        <v>2272</v>
      </c>
      <c r="X796" s="21" t="s">
        <v>2272</v>
      </c>
      <c r="Y796" s="21" t="s">
        <v>2272</v>
      </c>
      <c r="Z796" s="21" t="s">
        <v>2272</v>
      </c>
      <c r="AA796" s="21" t="s">
        <v>186</v>
      </c>
      <c r="AB796" s="21" t="s">
        <v>187</v>
      </c>
      <c r="AC796" s="21" t="s">
        <v>63</v>
      </c>
      <c r="AD796" s="198"/>
      <c r="AE796" s="198"/>
    </row>
    <row r="797" spans="1:31" ht="64.5" customHeight="1">
      <c r="A797" s="198" t="s">
        <v>2469</v>
      </c>
      <c r="B797" s="198" t="s">
        <v>2503</v>
      </c>
      <c r="C797" s="198" t="s">
        <v>23</v>
      </c>
      <c r="D797" s="198" t="s">
        <v>26</v>
      </c>
      <c r="E797" s="198" t="s">
        <v>128</v>
      </c>
      <c r="F797" s="4" t="s">
        <v>159</v>
      </c>
      <c r="G797" s="198" t="s">
        <v>2272</v>
      </c>
      <c r="H797" s="198" t="s">
        <v>521</v>
      </c>
      <c r="I797" s="198"/>
      <c r="J797" s="21" t="s">
        <v>2272</v>
      </c>
      <c r="K797" s="21" t="s">
        <v>2272</v>
      </c>
      <c r="L797" s="21" t="s">
        <v>2272</v>
      </c>
      <c r="M797" s="21" t="s">
        <v>2272</v>
      </c>
      <c r="N797" s="21" t="s">
        <v>2272</v>
      </c>
      <c r="O797" s="21" t="s">
        <v>2272</v>
      </c>
      <c r="P797" s="21" t="s">
        <v>2272</v>
      </c>
      <c r="Q797" s="21" t="s">
        <v>2272</v>
      </c>
      <c r="R797" s="21" t="s">
        <v>2272</v>
      </c>
      <c r="S797" s="21" t="s">
        <v>2272</v>
      </c>
      <c r="T797" s="21" t="s">
        <v>2272</v>
      </c>
      <c r="U797" s="21" t="s">
        <v>2272</v>
      </c>
      <c r="V797" s="21" t="s">
        <v>2272</v>
      </c>
      <c r="W797" s="21" t="s">
        <v>2272</v>
      </c>
      <c r="X797" s="21" t="s">
        <v>2272</v>
      </c>
      <c r="Y797" s="21" t="s">
        <v>2272</v>
      </c>
      <c r="Z797" s="21" t="s">
        <v>2272</v>
      </c>
      <c r="AA797" s="21" t="s">
        <v>186</v>
      </c>
      <c r="AB797" s="21" t="s">
        <v>187</v>
      </c>
      <c r="AC797" s="21" t="s">
        <v>63</v>
      </c>
      <c r="AD797" s="198"/>
      <c r="AE797" s="198"/>
    </row>
    <row r="798" spans="1:31" ht="64.5" customHeight="1">
      <c r="A798" s="198" t="s">
        <v>2470</v>
      </c>
      <c r="B798" s="198" t="s">
        <v>2504</v>
      </c>
      <c r="C798" s="198" t="s">
        <v>23</v>
      </c>
      <c r="D798" s="198" t="s">
        <v>26</v>
      </c>
      <c r="E798" s="198" t="s">
        <v>128</v>
      </c>
      <c r="F798" s="4" t="s">
        <v>159</v>
      </c>
      <c r="G798" s="198" t="s">
        <v>2272</v>
      </c>
      <c r="H798" s="198" t="s">
        <v>521</v>
      </c>
      <c r="I798" s="198"/>
      <c r="J798" s="21" t="s">
        <v>2272</v>
      </c>
      <c r="K798" s="21" t="s">
        <v>2272</v>
      </c>
      <c r="L798" s="21" t="s">
        <v>2272</v>
      </c>
      <c r="M798" s="21" t="s">
        <v>2272</v>
      </c>
      <c r="N798" s="21" t="s">
        <v>2272</v>
      </c>
      <c r="O798" s="21" t="s">
        <v>2272</v>
      </c>
      <c r="P798" s="21" t="s">
        <v>2272</v>
      </c>
      <c r="Q798" s="21" t="s">
        <v>2272</v>
      </c>
      <c r="R798" s="21" t="s">
        <v>2272</v>
      </c>
      <c r="S798" s="21" t="s">
        <v>2272</v>
      </c>
      <c r="T798" s="21" t="s">
        <v>2272</v>
      </c>
      <c r="U798" s="21" t="s">
        <v>2272</v>
      </c>
      <c r="V798" s="21" t="s">
        <v>2272</v>
      </c>
      <c r="W798" s="21" t="s">
        <v>2272</v>
      </c>
      <c r="X798" s="21" t="s">
        <v>2272</v>
      </c>
      <c r="Y798" s="21" t="s">
        <v>2272</v>
      </c>
      <c r="Z798" s="21" t="s">
        <v>2272</v>
      </c>
      <c r="AA798" s="21" t="s">
        <v>186</v>
      </c>
      <c r="AB798" s="21" t="s">
        <v>187</v>
      </c>
      <c r="AC798" s="21" t="s">
        <v>63</v>
      </c>
      <c r="AD798" s="198"/>
      <c r="AE798" s="198"/>
    </row>
    <row r="799" spans="1:31" ht="64.5" customHeight="1">
      <c r="A799" s="198" t="s">
        <v>2471</v>
      </c>
      <c r="B799" s="198" t="s">
        <v>2505</v>
      </c>
      <c r="C799" s="198" t="s">
        <v>23</v>
      </c>
      <c r="D799" s="198" t="s">
        <v>26</v>
      </c>
      <c r="E799" s="198" t="s">
        <v>128</v>
      </c>
      <c r="F799" s="4" t="s">
        <v>159</v>
      </c>
      <c r="G799" s="198" t="s">
        <v>2272</v>
      </c>
      <c r="H799" s="198" t="s">
        <v>521</v>
      </c>
      <c r="I799" s="198"/>
      <c r="J799" s="21" t="s">
        <v>2272</v>
      </c>
      <c r="K799" s="21" t="s">
        <v>2272</v>
      </c>
      <c r="L799" s="21" t="s">
        <v>2272</v>
      </c>
      <c r="M799" s="21" t="s">
        <v>2272</v>
      </c>
      <c r="N799" s="21" t="s">
        <v>2272</v>
      </c>
      <c r="O799" s="21" t="s">
        <v>2272</v>
      </c>
      <c r="P799" s="21" t="s">
        <v>2272</v>
      </c>
      <c r="Q799" s="21" t="s">
        <v>2272</v>
      </c>
      <c r="R799" s="21" t="s">
        <v>2272</v>
      </c>
      <c r="S799" s="21" t="s">
        <v>2272</v>
      </c>
      <c r="T799" s="21" t="s">
        <v>2272</v>
      </c>
      <c r="U799" s="21" t="s">
        <v>2272</v>
      </c>
      <c r="V799" s="21" t="s">
        <v>2272</v>
      </c>
      <c r="W799" s="21" t="s">
        <v>2272</v>
      </c>
      <c r="X799" s="21" t="s">
        <v>2272</v>
      </c>
      <c r="Y799" s="21" t="s">
        <v>2272</v>
      </c>
      <c r="Z799" s="21" t="s">
        <v>2272</v>
      </c>
      <c r="AA799" s="21" t="s">
        <v>186</v>
      </c>
      <c r="AB799" s="21" t="s">
        <v>187</v>
      </c>
      <c r="AC799" s="21" t="s">
        <v>63</v>
      </c>
      <c r="AD799" s="198"/>
      <c r="AE799" s="198"/>
    </row>
    <row r="800" spans="1:31" ht="64.5" customHeight="1">
      <c r="A800" s="198" t="s">
        <v>2472</v>
      </c>
      <c r="B800" s="198" t="s">
        <v>2506</v>
      </c>
      <c r="C800" s="198" t="s">
        <v>23</v>
      </c>
      <c r="D800" s="198" t="s">
        <v>26</v>
      </c>
      <c r="E800" s="198" t="s">
        <v>128</v>
      </c>
      <c r="F800" s="4" t="s">
        <v>159</v>
      </c>
      <c r="G800" s="198" t="s">
        <v>2272</v>
      </c>
      <c r="H800" s="198" t="s">
        <v>521</v>
      </c>
      <c r="I800" s="198"/>
      <c r="J800" s="21" t="s">
        <v>2272</v>
      </c>
      <c r="K800" s="21" t="s">
        <v>2272</v>
      </c>
      <c r="L800" s="21" t="s">
        <v>2272</v>
      </c>
      <c r="M800" s="21" t="s">
        <v>2272</v>
      </c>
      <c r="N800" s="21" t="s">
        <v>2272</v>
      </c>
      <c r="O800" s="21" t="s">
        <v>2272</v>
      </c>
      <c r="P800" s="21" t="s">
        <v>2272</v>
      </c>
      <c r="Q800" s="21" t="s">
        <v>2272</v>
      </c>
      <c r="R800" s="21" t="s">
        <v>2272</v>
      </c>
      <c r="S800" s="21" t="s">
        <v>2272</v>
      </c>
      <c r="T800" s="21" t="s">
        <v>2272</v>
      </c>
      <c r="U800" s="21" t="s">
        <v>2272</v>
      </c>
      <c r="V800" s="21" t="s">
        <v>2272</v>
      </c>
      <c r="W800" s="21" t="s">
        <v>2272</v>
      </c>
      <c r="X800" s="21" t="s">
        <v>2272</v>
      </c>
      <c r="Y800" s="21" t="s">
        <v>2272</v>
      </c>
      <c r="Z800" s="21" t="s">
        <v>2272</v>
      </c>
      <c r="AA800" s="21" t="s">
        <v>186</v>
      </c>
      <c r="AB800" s="21" t="s">
        <v>187</v>
      </c>
      <c r="AC800" s="21" t="s">
        <v>63</v>
      </c>
      <c r="AD800" s="198"/>
      <c r="AE800" s="198"/>
    </row>
    <row r="801" spans="1:31" ht="64.5" customHeight="1">
      <c r="A801" s="198" t="s">
        <v>2473</v>
      </c>
      <c r="B801" s="198" t="s">
        <v>2507</v>
      </c>
      <c r="C801" s="198" t="s">
        <v>23</v>
      </c>
      <c r="D801" s="198" t="s">
        <v>26</v>
      </c>
      <c r="E801" s="198" t="s">
        <v>128</v>
      </c>
      <c r="F801" s="4" t="s">
        <v>159</v>
      </c>
      <c r="G801" s="198" t="s">
        <v>2272</v>
      </c>
      <c r="H801" s="198" t="s">
        <v>521</v>
      </c>
      <c r="I801" s="198"/>
      <c r="J801" s="21" t="s">
        <v>2272</v>
      </c>
      <c r="K801" s="21" t="s">
        <v>2272</v>
      </c>
      <c r="L801" s="21" t="s">
        <v>2272</v>
      </c>
      <c r="M801" s="21" t="s">
        <v>2272</v>
      </c>
      <c r="N801" s="21" t="s">
        <v>2272</v>
      </c>
      <c r="O801" s="21" t="s">
        <v>2272</v>
      </c>
      <c r="P801" s="21" t="s">
        <v>2272</v>
      </c>
      <c r="Q801" s="21" t="s">
        <v>2272</v>
      </c>
      <c r="R801" s="21" t="s">
        <v>2272</v>
      </c>
      <c r="S801" s="21" t="s">
        <v>2272</v>
      </c>
      <c r="T801" s="21" t="s">
        <v>2272</v>
      </c>
      <c r="U801" s="21" t="s">
        <v>2272</v>
      </c>
      <c r="V801" s="21" t="s">
        <v>2272</v>
      </c>
      <c r="W801" s="21" t="s">
        <v>2272</v>
      </c>
      <c r="X801" s="21" t="s">
        <v>2272</v>
      </c>
      <c r="Y801" s="21" t="s">
        <v>2272</v>
      </c>
      <c r="Z801" s="21" t="s">
        <v>2272</v>
      </c>
      <c r="AA801" s="21" t="s">
        <v>186</v>
      </c>
      <c r="AB801" s="21" t="s">
        <v>187</v>
      </c>
      <c r="AC801" s="21" t="s">
        <v>63</v>
      </c>
      <c r="AD801" s="198"/>
      <c r="AE801" s="198"/>
    </row>
    <row r="802" spans="1:31" ht="64.5" customHeight="1">
      <c r="A802" s="198" t="s">
        <v>2474</v>
      </c>
      <c r="B802" s="198" t="s">
        <v>2508</v>
      </c>
      <c r="C802" s="198" t="s">
        <v>23</v>
      </c>
      <c r="D802" s="198" t="s">
        <v>26</v>
      </c>
      <c r="E802" s="198" t="s">
        <v>128</v>
      </c>
      <c r="F802" s="4" t="s">
        <v>159</v>
      </c>
      <c r="G802" s="198" t="s">
        <v>2272</v>
      </c>
      <c r="H802" s="198" t="s">
        <v>521</v>
      </c>
      <c r="I802" s="198"/>
      <c r="J802" s="21" t="s">
        <v>2272</v>
      </c>
      <c r="K802" s="21" t="s">
        <v>2272</v>
      </c>
      <c r="L802" s="21" t="s">
        <v>2272</v>
      </c>
      <c r="M802" s="21" t="s">
        <v>2272</v>
      </c>
      <c r="N802" s="21" t="s">
        <v>2272</v>
      </c>
      <c r="O802" s="21" t="s">
        <v>2272</v>
      </c>
      <c r="P802" s="21" t="s">
        <v>2272</v>
      </c>
      <c r="Q802" s="21" t="s">
        <v>2272</v>
      </c>
      <c r="R802" s="21" t="s">
        <v>2272</v>
      </c>
      <c r="S802" s="21" t="s">
        <v>2272</v>
      </c>
      <c r="T802" s="21" t="s">
        <v>2272</v>
      </c>
      <c r="U802" s="21" t="s">
        <v>2272</v>
      </c>
      <c r="V802" s="21" t="s">
        <v>2272</v>
      </c>
      <c r="W802" s="21" t="s">
        <v>2272</v>
      </c>
      <c r="X802" s="21" t="s">
        <v>2272</v>
      </c>
      <c r="Y802" s="21" t="s">
        <v>2272</v>
      </c>
      <c r="Z802" s="21" t="s">
        <v>2272</v>
      </c>
      <c r="AA802" s="21" t="s">
        <v>186</v>
      </c>
      <c r="AB802" s="21" t="s">
        <v>187</v>
      </c>
      <c r="AC802" s="21" t="s">
        <v>63</v>
      </c>
      <c r="AD802" s="198"/>
      <c r="AE802" s="198"/>
    </row>
    <row r="803" spans="1:31" ht="64.5" customHeight="1">
      <c r="A803" s="198" t="s">
        <v>2475</v>
      </c>
      <c r="B803" s="198" t="s">
        <v>2509</v>
      </c>
      <c r="C803" s="198" t="s">
        <v>23</v>
      </c>
      <c r="D803" s="198" t="s">
        <v>26</v>
      </c>
      <c r="E803" s="198" t="s">
        <v>128</v>
      </c>
      <c r="F803" s="4" t="s">
        <v>159</v>
      </c>
      <c r="G803" s="198" t="s">
        <v>2272</v>
      </c>
      <c r="H803" s="198" t="s">
        <v>521</v>
      </c>
      <c r="I803" s="198"/>
      <c r="J803" s="21" t="s">
        <v>2272</v>
      </c>
      <c r="K803" s="21" t="s">
        <v>2272</v>
      </c>
      <c r="L803" s="21" t="s">
        <v>2272</v>
      </c>
      <c r="M803" s="21" t="s">
        <v>2272</v>
      </c>
      <c r="N803" s="21" t="s">
        <v>2272</v>
      </c>
      <c r="O803" s="21" t="s">
        <v>2272</v>
      </c>
      <c r="P803" s="21" t="s">
        <v>2272</v>
      </c>
      <c r="Q803" s="21" t="s">
        <v>2272</v>
      </c>
      <c r="R803" s="21" t="s">
        <v>2272</v>
      </c>
      <c r="S803" s="21" t="s">
        <v>2272</v>
      </c>
      <c r="T803" s="21" t="s">
        <v>2272</v>
      </c>
      <c r="U803" s="21" t="s">
        <v>2272</v>
      </c>
      <c r="V803" s="21" t="s">
        <v>2272</v>
      </c>
      <c r="W803" s="21" t="s">
        <v>2272</v>
      </c>
      <c r="X803" s="21" t="s">
        <v>2272</v>
      </c>
      <c r="Y803" s="21" t="s">
        <v>2272</v>
      </c>
      <c r="Z803" s="21" t="s">
        <v>2272</v>
      </c>
      <c r="AA803" s="21" t="s">
        <v>186</v>
      </c>
      <c r="AB803" s="21" t="s">
        <v>187</v>
      </c>
      <c r="AC803" s="21" t="s">
        <v>63</v>
      </c>
      <c r="AD803" s="198"/>
      <c r="AE803" s="198"/>
    </row>
    <row r="804" spans="1:31" ht="64.5" customHeight="1">
      <c r="A804" s="198" t="s">
        <v>2476</v>
      </c>
      <c r="B804" s="198" t="s">
        <v>2510</v>
      </c>
      <c r="C804" s="198" t="s">
        <v>23</v>
      </c>
      <c r="D804" s="198" t="s">
        <v>26</v>
      </c>
      <c r="E804" s="198" t="s">
        <v>128</v>
      </c>
      <c r="F804" s="4" t="s">
        <v>159</v>
      </c>
      <c r="G804" s="198" t="s">
        <v>2272</v>
      </c>
      <c r="H804" s="198" t="s">
        <v>521</v>
      </c>
      <c r="I804" s="198"/>
      <c r="J804" s="21" t="s">
        <v>2272</v>
      </c>
      <c r="K804" s="21" t="s">
        <v>2272</v>
      </c>
      <c r="L804" s="21" t="s">
        <v>2272</v>
      </c>
      <c r="M804" s="21" t="s">
        <v>2272</v>
      </c>
      <c r="N804" s="21" t="s">
        <v>2272</v>
      </c>
      <c r="O804" s="21" t="s">
        <v>2272</v>
      </c>
      <c r="P804" s="21" t="s">
        <v>2272</v>
      </c>
      <c r="Q804" s="21" t="s">
        <v>2272</v>
      </c>
      <c r="R804" s="21" t="s">
        <v>2272</v>
      </c>
      <c r="S804" s="21" t="s">
        <v>2272</v>
      </c>
      <c r="T804" s="21" t="s">
        <v>2272</v>
      </c>
      <c r="U804" s="21" t="s">
        <v>2272</v>
      </c>
      <c r="V804" s="21" t="s">
        <v>2272</v>
      </c>
      <c r="W804" s="21" t="s">
        <v>2272</v>
      </c>
      <c r="X804" s="21" t="s">
        <v>2272</v>
      </c>
      <c r="Y804" s="21" t="s">
        <v>2272</v>
      </c>
      <c r="Z804" s="21" t="s">
        <v>2272</v>
      </c>
      <c r="AA804" s="21" t="s">
        <v>186</v>
      </c>
      <c r="AB804" s="21" t="s">
        <v>187</v>
      </c>
      <c r="AC804" s="21" t="s">
        <v>63</v>
      </c>
      <c r="AD804" s="198"/>
      <c r="AE804" s="198"/>
    </row>
    <row r="805" spans="1:31" ht="31" customHeight="1">
      <c r="A805" s="198" t="s">
        <v>2513</v>
      </c>
      <c r="B805" s="198" t="s">
        <v>2518</v>
      </c>
      <c r="C805" s="198" t="s">
        <v>23</v>
      </c>
      <c r="D805" s="198" t="s">
        <v>26</v>
      </c>
      <c r="E805" s="198" t="s">
        <v>128</v>
      </c>
      <c r="F805" s="4" t="s">
        <v>159</v>
      </c>
      <c r="G805" s="198" t="s">
        <v>2272</v>
      </c>
      <c r="H805" s="198" t="s">
        <v>521</v>
      </c>
      <c r="I805" s="198"/>
      <c r="J805" s="21" t="s">
        <v>2272</v>
      </c>
      <c r="K805" s="21" t="s">
        <v>2272</v>
      </c>
      <c r="L805" s="21" t="s">
        <v>2272</v>
      </c>
      <c r="M805" s="21" t="s">
        <v>2272</v>
      </c>
      <c r="N805" s="21" t="s">
        <v>2272</v>
      </c>
      <c r="O805" s="21" t="s">
        <v>2272</v>
      </c>
      <c r="P805" s="21" t="s">
        <v>2272</v>
      </c>
      <c r="Q805" s="21" t="s">
        <v>2272</v>
      </c>
      <c r="R805" s="21" t="s">
        <v>2272</v>
      </c>
      <c r="S805" s="21" t="s">
        <v>2272</v>
      </c>
      <c r="T805" s="21" t="s">
        <v>2272</v>
      </c>
      <c r="U805" s="21" t="s">
        <v>2272</v>
      </c>
      <c r="V805" s="21" t="s">
        <v>2272</v>
      </c>
      <c r="W805" s="21" t="s">
        <v>2272</v>
      </c>
      <c r="X805" s="21" t="s">
        <v>2272</v>
      </c>
      <c r="Y805" s="21" t="s">
        <v>2272</v>
      </c>
      <c r="Z805" s="21" t="s">
        <v>2272</v>
      </c>
      <c r="AA805" s="21" t="s">
        <v>2272</v>
      </c>
      <c r="AB805" s="21" t="s">
        <v>2272</v>
      </c>
      <c r="AC805" s="21" t="s">
        <v>2272</v>
      </c>
      <c r="AD805" s="198"/>
      <c r="AE805" s="198"/>
    </row>
    <row r="806" spans="1:31" ht="28.5" customHeight="1">
      <c r="A806" s="198" t="s">
        <v>2513</v>
      </c>
      <c r="B806" s="198" t="s">
        <v>2520</v>
      </c>
      <c r="C806" s="198" t="s">
        <v>23</v>
      </c>
      <c r="D806" s="198" t="s">
        <v>26</v>
      </c>
      <c r="E806" s="198" t="s">
        <v>128</v>
      </c>
      <c r="F806" s="4" t="s">
        <v>73</v>
      </c>
      <c r="G806" s="198" t="s">
        <v>2272</v>
      </c>
      <c r="H806" s="198" t="s">
        <v>521</v>
      </c>
      <c r="I806" s="198"/>
      <c r="J806" s="21" t="s">
        <v>2272</v>
      </c>
      <c r="K806" s="21" t="s">
        <v>2272</v>
      </c>
      <c r="L806" s="21" t="s">
        <v>2272</v>
      </c>
      <c r="M806" s="21" t="s">
        <v>2272</v>
      </c>
      <c r="N806" s="21" t="s">
        <v>2272</v>
      </c>
      <c r="O806" s="21" t="s">
        <v>2272</v>
      </c>
      <c r="P806" s="21" t="s">
        <v>2272</v>
      </c>
      <c r="Q806" s="21" t="s">
        <v>2272</v>
      </c>
      <c r="R806" s="21" t="s">
        <v>2272</v>
      </c>
      <c r="S806" s="21" t="s">
        <v>2272</v>
      </c>
      <c r="T806" s="21" t="s">
        <v>2272</v>
      </c>
      <c r="U806" s="21" t="s">
        <v>2272</v>
      </c>
      <c r="V806" s="21" t="s">
        <v>2272</v>
      </c>
      <c r="W806" s="21" t="s">
        <v>2272</v>
      </c>
      <c r="X806" s="21" t="s">
        <v>2272</v>
      </c>
      <c r="Y806" s="21" t="s">
        <v>2272</v>
      </c>
      <c r="Z806" s="21" t="s">
        <v>2272</v>
      </c>
      <c r="AA806" s="21" t="s">
        <v>2272</v>
      </c>
      <c r="AB806" s="21" t="s">
        <v>2272</v>
      </c>
      <c r="AC806" s="21" t="s">
        <v>2272</v>
      </c>
      <c r="AD806" s="198"/>
      <c r="AE806" s="198"/>
    </row>
    <row r="807" spans="1:31" ht="32" customHeight="1">
      <c r="A807" s="198" t="s">
        <v>2515</v>
      </c>
      <c r="B807" s="198" t="s">
        <v>2519</v>
      </c>
      <c r="C807" s="198" t="s">
        <v>23</v>
      </c>
      <c r="D807" s="198" t="s">
        <v>26</v>
      </c>
      <c r="E807" s="198" t="s">
        <v>128</v>
      </c>
      <c r="F807" s="4" t="s">
        <v>159</v>
      </c>
      <c r="G807" s="198" t="s">
        <v>2272</v>
      </c>
      <c r="H807" s="198" t="s">
        <v>521</v>
      </c>
      <c r="I807" s="198"/>
      <c r="J807" s="21" t="s">
        <v>2272</v>
      </c>
      <c r="K807" s="21" t="s">
        <v>2272</v>
      </c>
      <c r="L807" s="21" t="s">
        <v>2272</v>
      </c>
      <c r="M807" s="21" t="s">
        <v>2272</v>
      </c>
      <c r="N807" s="21" t="s">
        <v>2272</v>
      </c>
      <c r="O807" s="21" t="s">
        <v>2272</v>
      </c>
      <c r="P807" s="21" t="s">
        <v>2272</v>
      </c>
      <c r="Q807" s="21" t="s">
        <v>2272</v>
      </c>
      <c r="R807" s="21" t="s">
        <v>2272</v>
      </c>
      <c r="S807" s="21" t="s">
        <v>2272</v>
      </c>
      <c r="T807" s="21" t="s">
        <v>2272</v>
      </c>
      <c r="U807" s="21" t="s">
        <v>2272</v>
      </c>
      <c r="V807" s="21" t="s">
        <v>2272</v>
      </c>
      <c r="W807" s="21" t="s">
        <v>2272</v>
      </c>
      <c r="X807" s="21" t="s">
        <v>2272</v>
      </c>
      <c r="Y807" s="21" t="s">
        <v>2272</v>
      </c>
      <c r="Z807" s="21" t="s">
        <v>2272</v>
      </c>
      <c r="AA807" s="21" t="s">
        <v>2272</v>
      </c>
      <c r="AB807" s="21" t="s">
        <v>2272</v>
      </c>
      <c r="AC807" s="21" t="s">
        <v>2272</v>
      </c>
      <c r="AD807" s="198"/>
      <c r="AE807" s="198"/>
    </row>
    <row r="808" spans="1:31" ht="31" customHeight="1">
      <c r="A808" s="198" t="s">
        <v>2515</v>
      </c>
      <c r="B808" s="198" t="s">
        <v>2521</v>
      </c>
      <c r="C808" s="198" t="s">
        <v>23</v>
      </c>
      <c r="D808" s="198" t="s">
        <v>26</v>
      </c>
      <c r="E808" s="198" t="s">
        <v>128</v>
      </c>
      <c r="F808" s="4" t="s">
        <v>73</v>
      </c>
      <c r="G808" s="198" t="s">
        <v>2272</v>
      </c>
      <c r="H808" s="198" t="s">
        <v>521</v>
      </c>
      <c r="I808" s="198"/>
      <c r="J808" s="21" t="s">
        <v>2272</v>
      </c>
      <c r="K808" s="21" t="s">
        <v>2272</v>
      </c>
      <c r="L808" s="21" t="s">
        <v>2272</v>
      </c>
      <c r="M808" s="21" t="s">
        <v>2272</v>
      </c>
      <c r="N808" s="21" t="s">
        <v>2272</v>
      </c>
      <c r="O808" s="21" t="s">
        <v>2272</v>
      </c>
      <c r="P808" s="21" t="s">
        <v>2272</v>
      </c>
      <c r="Q808" s="21" t="s">
        <v>2272</v>
      </c>
      <c r="R808" s="21" t="s">
        <v>2272</v>
      </c>
      <c r="S808" s="21" t="s">
        <v>2272</v>
      </c>
      <c r="T808" s="21" t="s">
        <v>2272</v>
      </c>
      <c r="U808" s="21" t="s">
        <v>2272</v>
      </c>
      <c r="V808" s="21" t="s">
        <v>2272</v>
      </c>
      <c r="W808" s="21" t="s">
        <v>2272</v>
      </c>
      <c r="X808" s="21" t="s">
        <v>2272</v>
      </c>
      <c r="Y808" s="21" t="s">
        <v>2272</v>
      </c>
      <c r="Z808" s="21" t="s">
        <v>2272</v>
      </c>
      <c r="AA808" s="21" t="s">
        <v>2272</v>
      </c>
      <c r="AB808" s="21" t="s">
        <v>2272</v>
      </c>
      <c r="AC808" s="21" t="s">
        <v>2272</v>
      </c>
      <c r="AD808" s="198"/>
      <c r="AE808" s="198"/>
    </row>
    <row r="809" spans="1:31" ht="31" customHeight="1">
      <c r="A809" s="12" t="s">
        <v>2515</v>
      </c>
      <c r="B809" s="12" t="s">
        <v>2542</v>
      </c>
      <c r="C809" s="12" t="s">
        <v>23</v>
      </c>
      <c r="D809" s="12" t="s">
        <v>26</v>
      </c>
      <c r="E809" s="12" t="s">
        <v>82</v>
      </c>
      <c r="F809" s="87" t="s">
        <v>73</v>
      </c>
      <c r="G809" s="12" t="s">
        <v>2272</v>
      </c>
      <c r="H809" s="12" t="s">
        <v>522</v>
      </c>
      <c r="I809" s="12"/>
      <c r="J809" s="83">
        <v>0</v>
      </c>
      <c r="K809" s="83">
        <v>0</v>
      </c>
      <c r="L809" s="83">
        <v>0</v>
      </c>
      <c r="M809" s="83">
        <v>0</v>
      </c>
      <c r="N809" s="83">
        <v>0</v>
      </c>
      <c r="O809" s="83">
        <v>0</v>
      </c>
      <c r="P809" s="83">
        <v>0</v>
      </c>
      <c r="Q809" s="83">
        <v>0</v>
      </c>
      <c r="R809" s="83">
        <v>0</v>
      </c>
      <c r="S809" s="83">
        <v>0</v>
      </c>
      <c r="T809" s="83">
        <v>0</v>
      </c>
      <c r="U809" s="83">
        <v>0</v>
      </c>
      <c r="V809" s="83">
        <v>0</v>
      </c>
      <c r="W809" s="83">
        <v>0</v>
      </c>
      <c r="X809" s="83">
        <v>0</v>
      </c>
      <c r="Y809" s="83">
        <v>0</v>
      </c>
      <c r="Z809" s="21" t="s">
        <v>2272</v>
      </c>
      <c r="AA809" s="83" t="s">
        <v>2272</v>
      </c>
      <c r="AB809" s="83" t="s">
        <v>2272</v>
      </c>
      <c r="AC809" s="83" t="s">
        <v>2272</v>
      </c>
      <c r="AD809" s="12"/>
      <c r="AE809" s="12"/>
    </row>
    <row r="810" spans="1:31" ht="31" customHeight="1">
      <c r="A810" s="12" t="s">
        <v>2515</v>
      </c>
      <c r="B810" s="12" t="s">
        <v>2543</v>
      </c>
      <c r="C810" s="12" t="s">
        <v>23</v>
      </c>
      <c r="D810" s="12" t="s">
        <v>141</v>
      </c>
      <c r="E810" s="12" t="s">
        <v>82</v>
      </c>
      <c r="F810" s="87" t="s">
        <v>73</v>
      </c>
      <c r="G810" s="12" t="s">
        <v>2272</v>
      </c>
      <c r="H810" s="12" t="s">
        <v>522</v>
      </c>
      <c r="I810" s="12"/>
      <c r="J810" s="83">
        <v>0</v>
      </c>
      <c r="K810" s="83">
        <v>0</v>
      </c>
      <c r="L810" s="83">
        <v>0</v>
      </c>
      <c r="M810" s="83">
        <v>0</v>
      </c>
      <c r="N810" s="83">
        <v>0</v>
      </c>
      <c r="O810" s="83">
        <v>0</v>
      </c>
      <c r="P810" s="83">
        <v>0</v>
      </c>
      <c r="Q810" s="83">
        <v>0</v>
      </c>
      <c r="R810" s="83">
        <v>0</v>
      </c>
      <c r="S810" s="83">
        <v>0</v>
      </c>
      <c r="T810" s="83">
        <v>0</v>
      </c>
      <c r="U810" s="83">
        <v>0</v>
      </c>
      <c r="V810" s="83">
        <v>0</v>
      </c>
      <c r="W810" s="83">
        <v>0</v>
      </c>
      <c r="X810" s="83">
        <v>0</v>
      </c>
      <c r="Y810" s="83">
        <v>0</v>
      </c>
      <c r="Z810" s="21" t="s">
        <v>2272</v>
      </c>
      <c r="AA810" s="83" t="s">
        <v>2272</v>
      </c>
      <c r="AB810" s="83" t="s">
        <v>2272</v>
      </c>
      <c r="AC810" s="83" t="s">
        <v>2272</v>
      </c>
      <c r="AD810" s="12"/>
      <c r="AE810" s="12"/>
    </row>
    <row r="811" spans="1:31" ht="41.5" customHeight="1">
      <c r="A811" s="198" t="s">
        <v>2526</v>
      </c>
      <c r="B811" s="198" t="s">
        <v>2529</v>
      </c>
      <c r="C811" s="198" t="s">
        <v>23</v>
      </c>
      <c r="D811" s="198" t="s">
        <v>26</v>
      </c>
      <c r="E811" s="198" t="s">
        <v>128</v>
      </c>
      <c r="F811" s="4" t="s">
        <v>159</v>
      </c>
      <c r="G811" s="198" t="s">
        <v>2272</v>
      </c>
      <c r="H811" s="198" t="s">
        <v>521</v>
      </c>
      <c r="I811" s="198"/>
      <c r="J811" s="21" t="s">
        <v>2272</v>
      </c>
      <c r="K811" s="21" t="s">
        <v>2272</v>
      </c>
      <c r="L811" s="21" t="s">
        <v>2272</v>
      </c>
      <c r="M811" s="21" t="s">
        <v>2272</v>
      </c>
      <c r="N811" s="21" t="s">
        <v>2272</v>
      </c>
      <c r="O811" s="21" t="s">
        <v>2272</v>
      </c>
      <c r="P811" s="21" t="s">
        <v>2272</v>
      </c>
      <c r="Q811" s="21" t="s">
        <v>2272</v>
      </c>
      <c r="R811" s="21" t="s">
        <v>2272</v>
      </c>
      <c r="S811" s="21" t="s">
        <v>2272</v>
      </c>
      <c r="T811" s="21" t="s">
        <v>2272</v>
      </c>
      <c r="U811" s="21" t="s">
        <v>2272</v>
      </c>
      <c r="V811" s="21" t="s">
        <v>2272</v>
      </c>
      <c r="W811" s="21" t="s">
        <v>2272</v>
      </c>
      <c r="X811" s="21" t="s">
        <v>2272</v>
      </c>
      <c r="Y811" s="21" t="s">
        <v>2272</v>
      </c>
      <c r="Z811" s="21" t="s">
        <v>2272</v>
      </c>
      <c r="AA811" s="21" t="s">
        <v>33</v>
      </c>
      <c r="AB811" s="21" t="s">
        <v>403</v>
      </c>
      <c r="AC811" s="21" t="s">
        <v>75</v>
      </c>
      <c r="AD811" s="4" t="s">
        <v>2531</v>
      </c>
      <c r="AE811" s="4" t="s">
        <v>2548</v>
      </c>
    </row>
    <row r="812" spans="1:31" ht="48.5" customHeight="1">
      <c r="A812" s="198" t="s">
        <v>2527</v>
      </c>
      <c r="B812" s="198" t="s">
        <v>2530</v>
      </c>
      <c r="C812" s="198" t="s">
        <v>23</v>
      </c>
      <c r="D812" s="198" t="s">
        <v>26</v>
      </c>
      <c r="E812" s="198" t="s">
        <v>128</v>
      </c>
      <c r="F812" s="4" t="s">
        <v>73</v>
      </c>
      <c r="G812" s="198" t="s">
        <v>2272</v>
      </c>
      <c r="H812" s="198" t="s">
        <v>521</v>
      </c>
      <c r="I812" s="198"/>
      <c r="J812" s="21" t="s">
        <v>2272</v>
      </c>
      <c r="K812" s="21" t="s">
        <v>2272</v>
      </c>
      <c r="L812" s="21" t="s">
        <v>2272</v>
      </c>
      <c r="M812" s="21" t="s">
        <v>2272</v>
      </c>
      <c r="N812" s="21" t="s">
        <v>2272</v>
      </c>
      <c r="O812" s="21" t="s">
        <v>2272</v>
      </c>
      <c r="P812" s="21" t="s">
        <v>2272</v>
      </c>
      <c r="Q812" s="21" t="s">
        <v>2272</v>
      </c>
      <c r="R812" s="21" t="s">
        <v>2272</v>
      </c>
      <c r="S812" s="21" t="s">
        <v>2272</v>
      </c>
      <c r="T812" s="21" t="s">
        <v>2272</v>
      </c>
      <c r="U812" s="21" t="s">
        <v>2272</v>
      </c>
      <c r="V812" s="21" t="s">
        <v>2272</v>
      </c>
      <c r="W812" s="21" t="s">
        <v>2272</v>
      </c>
      <c r="X812" s="21" t="s">
        <v>2272</v>
      </c>
      <c r="Y812" s="21" t="s">
        <v>2272</v>
      </c>
      <c r="Z812" s="21" t="s">
        <v>2272</v>
      </c>
      <c r="AA812" s="21" t="s">
        <v>33</v>
      </c>
      <c r="AB812" s="21" t="s">
        <v>403</v>
      </c>
      <c r="AC812" s="21" t="s">
        <v>75</v>
      </c>
      <c r="AD812" s="4" t="s">
        <v>2531</v>
      </c>
      <c r="AE812" s="4" t="s">
        <v>2548</v>
      </c>
    </row>
    <row r="813" spans="1:31" ht="42.5" customHeight="1">
      <c r="A813" s="198" t="s">
        <v>2535</v>
      </c>
      <c r="B813" s="198" t="s">
        <v>2539</v>
      </c>
      <c r="C813" s="198" t="s">
        <v>23</v>
      </c>
      <c r="D813" s="198" t="s">
        <v>26</v>
      </c>
      <c r="E813" s="198" t="s">
        <v>128</v>
      </c>
      <c r="F813" s="4" t="s">
        <v>73</v>
      </c>
      <c r="G813" s="198" t="s">
        <v>2272</v>
      </c>
      <c r="H813" s="198" t="s">
        <v>521</v>
      </c>
      <c r="I813" s="198"/>
      <c r="J813" s="21" t="s">
        <v>2272</v>
      </c>
      <c r="K813" s="21" t="s">
        <v>2272</v>
      </c>
      <c r="L813" s="21">
        <v>0.15</v>
      </c>
      <c r="M813" s="21" t="s">
        <v>2272</v>
      </c>
      <c r="N813" s="21">
        <v>0.35</v>
      </c>
      <c r="O813" s="21" t="s">
        <v>2272</v>
      </c>
      <c r="P813" s="21">
        <v>0.25</v>
      </c>
      <c r="Q813" s="21" t="s">
        <v>2272</v>
      </c>
      <c r="R813" s="21" t="s">
        <v>2272</v>
      </c>
      <c r="S813" s="21" t="s">
        <v>2272</v>
      </c>
      <c r="T813" s="21" t="s">
        <v>2272</v>
      </c>
      <c r="U813" s="21" t="s">
        <v>2272</v>
      </c>
      <c r="V813" s="21" t="s">
        <v>2272</v>
      </c>
      <c r="W813" s="21" t="s">
        <v>2272</v>
      </c>
      <c r="X813" s="21" t="s">
        <v>2272</v>
      </c>
      <c r="Y813" s="21" t="s">
        <v>2272</v>
      </c>
      <c r="Z813" s="21" t="s">
        <v>2272</v>
      </c>
      <c r="AA813" s="21" t="s">
        <v>2272</v>
      </c>
      <c r="AB813" s="21" t="s">
        <v>2272</v>
      </c>
      <c r="AC813" s="21" t="s">
        <v>2272</v>
      </c>
      <c r="AD813" s="198"/>
      <c r="AE813" s="198"/>
    </row>
    <row r="814" spans="1:31" ht="39.5" customHeight="1">
      <c r="A814" s="198" t="s">
        <v>2535</v>
      </c>
      <c r="B814" s="198" t="s">
        <v>2540</v>
      </c>
      <c r="C814" s="198" t="s">
        <v>23</v>
      </c>
      <c r="D814" s="198" t="s">
        <v>26</v>
      </c>
      <c r="E814" s="198" t="s">
        <v>128</v>
      </c>
      <c r="F814" s="4" t="s">
        <v>159</v>
      </c>
      <c r="G814" s="198" t="s">
        <v>2272</v>
      </c>
      <c r="H814" s="198" t="s">
        <v>521</v>
      </c>
      <c r="I814" s="198"/>
      <c r="J814" s="21" t="s">
        <v>2272</v>
      </c>
      <c r="K814" s="21" t="s">
        <v>2272</v>
      </c>
      <c r="L814" s="21">
        <v>0.15</v>
      </c>
      <c r="M814" s="21" t="s">
        <v>2272</v>
      </c>
      <c r="N814" s="21">
        <v>0.35</v>
      </c>
      <c r="O814" s="21" t="s">
        <v>2272</v>
      </c>
      <c r="P814" s="21">
        <v>0.25</v>
      </c>
      <c r="Q814" s="21" t="s">
        <v>2272</v>
      </c>
      <c r="R814" s="21" t="s">
        <v>2272</v>
      </c>
      <c r="S814" s="21" t="s">
        <v>2272</v>
      </c>
      <c r="T814" s="21" t="s">
        <v>2272</v>
      </c>
      <c r="U814" s="21" t="s">
        <v>2272</v>
      </c>
      <c r="V814" s="21" t="s">
        <v>2272</v>
      </c>
      <c r="W814" s="21" t="s">
        <v>2272</v>
      </c>
      <c r="X814" s="21" t="s">
        <v>2272</v>
      </c>
      <c r="Y814" s="21" t="s">
        <v>2272</v>
      </c>
      <c r="Z814" s="21" t="s">
        <v>2272</v>
      </c>
      <c r="AA814" s="21" t="s">
        <v>2272</v>
      </c>
      <c r="AB814" s="21" t="s">
        <v>2272</v>
      </c>
      <c r="AC814" s="21" t="s">
        <v>2272</v>
      </c>
      <c r="AD814" s="198"/>
      <c r="AE814" s="198"/>
    </row>
    <row r="815" spans="1:31" ht="67.5" customHeight="1">
      <c r="A815" s="198" t="s">
        <v>2545</v>
      </c>
      <c r="B815" s="198" t="s">
        <v>2549</v>
      </c>
      <c r="C815" s="198" t="s">
        <v>23</v>
      </c>
      <c r="D815" s="198" t="s">
        <v>26</v>
      </c>
      <c r="E815" s="198" t="s">
        <v>128</v>
      </c>
      <c r="F815" s="4" t="s">
        <v>159</v>
      </c>
      <c r="G815" s="198" t="s">
        <v>2272</v>
      </c>
      <c r="H815" s="198" t="s">
        <v>521</v>
      </c>
      <c r="I815" s="198">
        <v>2002</v>
      </c>
      <c r="J815" s="21" t="s">
        <v>2272</v>
      </c>
      <c r="K815" s="21" t="s">
        <v>2272</v>
      </c>
      <c r="L815" s="21" t="s">
        <v>2272</v>
      </c>
      <c r="M815" s="21" t="s">
        <v>2272</v>
      </c>
      <c r="N815" s="21" t="s">
        <v>2272</v>
      </c>
      <c r="O815" s="21" t="s">
        <v>2272</v>
      </c>
      <c r="P815" s="21" t="s">
        <v>2272</v>
      </c>
      <c r="Q815" s="21" t="s">
        <v>2272</v>
      </c>
      <c r="R815" s="21" t="s">
        <v>2272</v>
      </c>
      <c r="S815" s="21" t="s">
        <v>2272</v>
      </c>
      <c r="T815" s="21" t="s">
        <v>2272</v>
      </c>
      <c r="U815" s="21" t="s">
        <v>2272</v>
      </c>
      <c r="V815" s="21" t="s">
        <v>2272</v>
      </c>
      <c r="W815" s="21" t="s">
        <v>2272</v>
      </c>
      <c r="X815" s="21" t="s">
        <v>2272</v>
      </c>
      <c r="Y815" s="21" t="s">
        <v>2272</v>
      </c>
      <c r="Z815" s="21">
        <v>6</v>
      </c>
      <c r="AA815" s="198" t="s">
        <v>186</v>
      </c>
      <c r="AB815" s="198" t="s">
        <v>186</v>
      </c>
      <c r="AC815" s="198" t="s">
        <v>63</v>
      </c>
      <c r="AD815" s="4" t="s">
        <v>2551</v>
      </c>
      <c r="AE815" s="198"/>
    </row>
    <row r="816" spans="1:31" ht="94.5" customHeight="1">
      <c r="A816" s="198" t="s">
        <v>2545</v>
      </c>
      <c r="B816" s="198" t="s">
        <v>2550</v>
      </c>
      <c r="C816" s="198" t="s">
        <v>23</v>
      </c>
      <c r="D816" s="198" t="s">
        <v>26</v>
      </c>
      <c r="E816" s="4" t="s">
        <v>395</v>
      </c>
      <c r="F816" s="4" t="s">
        <v>27</v>
      </c>
      <c r="G816" s="198" t="s">
        <v>2272</v>
      </c>
      <c r="H816" s="198" t="s">
        <v>521</v>
      </c>
      <c r="I816" s="198">
        <v>2002</v>
      </c>
      <c r="J816" s="21" t="s">
        <v>2272</v>
      </c>
      <c r="K816" s="21" t="s">
        <v>2272</v>
      </c>
      <c r="L816" s="21" t="s">
        <v>2272</v>
      </c>
      <c r="M816" s="21" t="s">
        <v>2272</v>
      </c>
      <c r="N816" s="21" t="s">
        <v>2272</v>
      </c>
      <c r="O816" s="21" t="s">
        <v>2272</v>
      </c>
      <c r="P816" s="21" t="s">
        <v>2272</v>
      </c>
      <c r="Q816" s="21" t="s">
        <v>2272</v>
      </c>
      <c r="R816" s="21" t="s">
        <v>2272</v>
      </c>
      <c r="S816" s="21" t="s">
        <v>2272</v>
      </c>
      <c r="T816" s="21" t="s">
        <v>2272</v>
      </c>
      <c r="U816" s="21" t="s">
        <v>2272</v>
      </c>
      <c r="V816" s="21" t="s">
        <v>2272</v>
      </c>
      <c r="W816" s="21" t="s">
        <v>2272</v>
      </c>
      <c r="X816" s="21" t="s">
        <v>2272</v>
      </c>
      <c r="Y816" s="21" t="s">
        <v>2272</v>
      </c>
      <c r="Z816" s="21" t="s">
        <v>2272</v>
      </c>
      <c r="AA816" s="198" t="s">
        <v>397</v>
      </c>
      <c r="AB816" s="198" t="s">
        <v>397</v>
      </c>
      <c r="AC816" s="198" t="s">
        <v>75</v>
      </c>
      <c r="AD816" s="4" t="s">
        <v>2567</v>
      </c>
      <c r="AE816" s="198"/>
    </row>
    <row r="817" spans="1:31" ht="34.5" customHeight="1">
      <c r="A817" s="198" t="s">
        <v>2552</v>
      </c>
      <c r="B817" s="198" t="s">
        <v>2553</v>
      </c>
      <c r="C817" s="198" t="s">
        <v>23</v>
      </c>
      <c r="D817" s="198" t="s">
        <v>26</v>
      </c>
      <c r="E817" s="198" t="s">
        <v>128</v>
      </c>
      <c r="F817" s="4" t="s">
        <v>159</v>
      </c>
      <c r="G817" s="198" t="s">
        <v>2272</v>
      </c>
      <c r="H817" s="198" t="s">
        <v>521</v>
      </c>
      <c r="I817" s="198">
        <v>1997</v>
      </c>
      <c r="J817" s="21" t="s">
        <v>2272</v>
      </c>
      <c r="K817" s="21" t="s">
        <v>2272</v>
      </c>
      <c r="L817" s="21" t="s">
        <v>2272</v>
      </c>
      <c r="M817" s="21" t="s">
        <v>2272</v>
      </c>
      <c r="N817" s="21" t="s">
        <v>2272</v>
      </c>
      <c r="O817" s="21" t="s">
        <v>2272</v>
      </c>
      <c r="P817" s="21" t="s">
        <v>2272</v>
      </c>
      <c r="Q817" s="21" t="s">
        <v>2272</v>
      </c>
      <c r="R817" s="21" t="s">
        <v>2272</v>
      </c>
      <c r="S817" s="21" t="s">
        <v>2272</v>
      </c>
      <c r="T817" s="21" t="s">
        <v>2272</v>
      </c>
      <c r="U817" s="21" t="s">
        <v>2272</v>
      </c>
      <c r="V817" s="21" t="s">
        <v>2272</v>
      </c>
      <c r="W817" s="21" t="s">
        <v>2272</v>
      </c>
      <c r="X817" s="21" t="s">
        <v>2272</v>
      </c>
      <c r="Y817" s="21" t="s">
        <v>2272</v>
      </c>
      <c r="Z817" s="21" t="s">
        <v>2272</v>
      </c>
      <c r="AA817" s="198" t="s">
        <v>186</v>
      </c>
      <c r="AB817" s="198" t="s">
        <v>186</v>
      </c>
      <c r="AC817" s="198" t="s">
        <v>63</v>
      </c>
      <c r="AD817" s="198"/>
      <c r="AE817" s="198"/>
    </row>
    <row r="818" spans="1:31" ht="34.5" customHeight="1">
      <c r="A818" s="198" t="s">
        <v>2552</v>
      </c>
      <c r="B818" s="198" t="s">
        <v>2554</v>
      </c>
      <c r="C818" s="198" t="s">
        <v>23</v>
      </c>
      <c r="D818" s="198" t="s">
        <v>26</v>
      </c>
      <c r="E818" s="198" t="s">
        <v>128</v>
      </c>
      <c r="F818" s="4" t="s">
        <v>159</v>
      </c>
      <c r="G818" s="198" t="s">
        <v>2272</v>
      </c>
      <c r="H818" s="198" t="s">
        <v>521</v>
      </c>
      <c r="I818" s="198">
        <v>1992</v>
      </c>
      <c r="J818" s="21" t="s">
        <v>2272</v>
      </c>
      <c r="K818" s="21" t="s">
        <v>2272</v>
      </c>
      <c r="L818" s="21" t="s">
        <v>2272</v>
      </c>
      <c r="M818" s="21" t="s">
        <v>2272</v>
      </c>
      <c r="N818" s="21" t="s">
        <v>2272</v>
      </c>
      <c r="O818" s="21" t="s">
        <v>2272</v>
      </c>
      <c r="P818" s="21" t="s">
        <v>2272</v>
      </c>
      <c r="Q818" s="21" t="s">
        <v>2272</v>
      </c>
      <c r="R818" s="21" t="s">
        <v>2272</v>
      </c>
      <c r="S818" s="21" t="s">
        <v>2272</v>
      </c>
      <c r="T818" s="21" t="s">
        <v>2272</v>
      </c>
      <c r="U818" s="21" t="s">
        <v>2272</v>
      </c>
      <c r="V818" s="21" t="s">
        <v>2272</v>
      </c>
      <c r="W818" s="21" t="s">
        <v>2272</v>
      </c>
      <c r="X818" s="21" t="s">
        <v>2272</v>
      </c>
      <c r="Y818" s="21" t="s">
        <v>2272</v>
      </c>
      <c r="Z818" s="21" t="s">
        <v>2272</v>
      </c>
      <c r="AA818" s="198" t="s">
        <v>186</v>
      </c>
      <c r="AB818" s="198" t="s">
        <v>186</v>
      </c>
      <c r="AC818" s="198" t="s">
        <v>63</v>
      </c>
      <c r="AD818" s="198"/>
      <c r="AE818" s="198"/>
    </row>
    <row r="819" spans="1:31" ht="34.5" customHeight="1">
      <c r="A819" s="198" t="s">
        <v>2552</v>
      </c>
      <c r="B819" s="198" t="s">
        <v>2555</v>
      </c>
      <c r="C819" s="198" t="s">
        <v>23</v>
      </c>
      <c r="D819" s="198" t="s">
        <v>26</v>
      </c>
      <c r="E819" s="198" t="s">
        <v>128</v>
      </c>
      <c r="F819" s="4" t="s">
        <v>159</v>
      </c>
      <c r="G819" s="198" t="s">
        <v>2272</v>
      </c>
      <c r="H819" s="198" t="s">
        <v>521</v>
      </c>
      <c r="I819" s="198">
        <v>1987</v>
      </c>
      <c r="J819" s="21" t="s">
        <v>2272</v>
      </c>
      <c r="K819" s="21" t="s">
        <v>2272</v>
      </c>
      <c r="L819" s="21" t="s">
        <v>2272</v>
      </c>
      <c r="M819" s="21" t="s">
        <v>2272</v>
      </c>
      <c r="N819" s="21" t="s">
        <v>2272</v>
      </c>
      <c r="O819" s="21" t="s">
        <v>2272</v>
      </c>
      <c r="P819" s="21" t="s">
        <v>2272</v>
      </c>
      <c r="Q819" s="21" t="s">
        <v>2272</v>
      </c>
      <c r="R819" s="21" t="s">
        <v>2272</v>
      </c>
      <c r="S819" s="21" t="s">
        <v>2272</v>
      </c>
      <c r="T819" s="21" t="s">
        <v>2272</v>
      </c>
      <c r="U819" s="21" t="s">
        <v>2272</v>
      </c>
      <c r="V819" s="21" t="s">
        <v>2272</v>
      </c>
      <c r="W819" s="21" t="s">
        <v>2272</v>
      </c>
      <c r="X819" s="21" t="s">
        <v>2272</v>
      </c>
      <c r="Y819" s="21" t="s">
        <v>2272</v>
      </c>
      <c r="Z819" s="21" t="s">
        <v>2272</v>
      </c>
      <c r="AA819" s="198" t="s">
        <v>186</v>
      </c>
      <c r="AB819" s="198" t="s">
        <v>186</v>
      </c>
      <c r="AC819" s="198" t="s">
        <v>63</v>
      </c>
      <c r="AD819" s="198"/>
      <c r="AE819" s="198"/>
    </row>
    <row r="820" spans="1:31" ht="34.5" customHeight="1">
      <c r="A820" s="198" t="s">
        <v>2552</v>
      </c>
      <c r="B820" s="198" t="s">
        <v>2556</v>
      </c>
      <c r="C820" s="198" t="s">
        <v>23</v>
      </c>
      <c r="D820" s="198" t="s">
        <v>26</v>
      </c>
      <c r="E820" s="198" t="s">
        <v>128</v>
      </c>
      <c r="F820" s="4" t="s">
        <v>159</v>
      </c>
      <c r="G820" s="198" t="s">
        <v>2272</v>
      </c>
      <c r="H820" s="198" t="s">
        <v>521</v>
      </c>
      <c r="I820" s="198">
        <v>1982</v>
      </c>
      <c r="J820" s="21" t="s">
        <v>2272</v>
      </c>
      <c r="K820" s="21" t="s">
        <v>2272</v>
      </c>
      <c r="L820" s="21" t="s">
        <v>2272</v>
      </c>
      <c r="M820" s="21" t="s">
        <v>2272</v>
      </c>
      <c r="N820" s="21" t="s">
        <v>2272</v>
      </c>
      <c r="O820" s="21" t="s">
        <v>2272</v>
      </c>
      <c r="P820" s="21" t="s">
        <v>2272</v>
      </c>
      <c r="Q820" s="21" t="s">
        <v>2272</v>
      </c>
      <c r="R820" s="21" t="s">
        <v>2272</v>
      </c>
      <c r="S820" s="21" t="s">
        <v>2272</v>
      </c>
      <c r="T820" s="21" t="s">
        <v>2272</v>
      </c>
      <c r="U820" s="21" t="s">
        <v>2272</v>
      </c>
      <c r="V820" s="21" t="s">
        <v>2272</v>
      </c>
      <c r="W820" s="21" t="s">
        <v>2272</v>
      </c>
      <c r="X820" s="21" t="s">
        <v>2272</v>
      </c>
      <c r="Y820" s="21" t="s">
        <v>2272</v>
      </c>
      <c r="Z820" s="21" t="s">
        <v>2272</v>
      </c>
      <c r="AA820" s="198" t="s">
        <v>186</v>
      </c>
      <c r="AB820" s="198" t="s">
        <v>186</v>
      </c>
      <c r="AC820" s="198" t="s">
        <v>63</v>
      </c>
      <c r="AD820" s="198"/>
      <c r="AE820" s="198"/>
    </row>
    <row r="821" spans="1:31" ht="34.5" customHeight="1">
      <c r="A821" s="198" t="s">
        <v>2552</v>
      </c>
      <c r="B821" s="198" t="s">
        <v>2557</v>
      </c>
      <c r="C821" s="198" t="s">
        <v>23</v>
      </c>
      <c r="D821" s="198" t="s">
        <v>26</v>
      </c>
      <c r="E821" s="198" t="s">
        <v>128</v>
      </c>
      <c r="F821" s="4" t="s">
        <v>159</v>
      </c>
      <c r="G821" s="198" t="s">
        <v>2272</v>
      </c>
      <c r="H821" s="198" t="s">
        <v>521</v>
      </c>
      <c r="I821" s="198">
        <v>1977</v>
      </c>
      <c r="J821" s="21" t="s">
        <v>2272</v>
      </c>
      <c r="K821" s="21" t="s">
        <v>2272</v>
      </c>
      <c r="L821" s="21" t="s">
        <v>2272</v>
      </c>
      <c r="M821" s="21" t="s">
        <v>2272</v>
      </c>
      <c r="N821" s="21" t="s">
        <v>2272</v>
      </c>
      <c r="O821" s="21" t="s">
        <v>2272</v>
      </c>
      <c r="P821" s="21" t="s">
        <v>2272</v>
      </c>
      <c r="Q821" s="21" t="s">
        <v>2272</v>
      </c>
      <c r="R821" s="21" t="s">
        <v>2272</v>
      </c>
      <c r="S821" s="21" t="s">
        <v>2272</v>
      </c>
      <c r="T821" s="21" t="s">
        <v>2272</v>
      </c>
      <c r="U821" s="21" t="s">
        <v>2272</v>
      </c>
      <c r="V821" s="21" t="s">
        <v>2272</v>
      </c>
      <c r="W821" s="21" t="s">
        <v>2272</v>
      </c>
      <c r="X821" s="21" t="s">
        <v>2272</v>
      </c>
      <c r="Y821" s="21" t="s">
        <v>2272</v>
      </c>
      <c r="Z821" s="21" t="s">
        <v>2272</v>
      </c>
      <c r="AA821" s="198" t="s">
        <v>186</v>
      </c>
      <c r="AB821" s="198" t="s">
        <v>186</v>
      </c>
      <c r="AC821" s="198" t="s">
        <v>63</v>
      </c>
      <c r="AD821" s="198"/>
      <c r="AE821" s="198"/>
    </row>
    <row r="822" spans="1:31" ht="99" customHeight="1">
      <c r="A822" s="198" t="s">
        <v>2558</v>
      </c>
      <c r="B822" s="198" t="s">
        <v>2566</v>
      </c>
      <c r="C822" s="198" t="s">
        <v>23</v>
      </c>
      <c r="D822" s="198" t="s">
        <v>26</v>
      </c>
      <c r="E822" s="4" t="s">
        <v>395</v>
      </c>
      <c r="F822" s="4" t="s">
        <v>27</v>
      </c>
      <c r="G822" s="198" t="s">
        <v>2272</v>
      </c>
      <c r="H822" s="198" t="s">
        <v>521</v>
      </c>
      <c r="I822" s="198"/>
      <c r="J822" s="21" t="s">
        <v>2272</v>
      </c>
      <c r="K822" s="21" t="s">
        <v>2272</v>
      </c>
      <c r="L822" s="21" t="s">
        <v>2272</v>
      </c>
      <c r="M822" s="21" t="s">
        <v>2272</v>
      </c>
      <c r="N822" s="21" t="s">
        <v>2272</v>
      </c>
      <c r="O822" s="21" t="s">
        <v>2272</v>
      </c>
      <c r="P822" s="21" t="s">
        <v>2272</v>
      </c>
      <c r="Q822" s="21" t="s">
        <v>2272</v>
      </c>
      <c r="R822" s="21" t="s">
        <v>2272</v>
      </c>
      <c r="S822" s="21" t="s">
        <v>2272</v>
      </c>
      <c r="T822" s="21" t="s">
        <v>2272</v>
      </c>
      <c r="U822" s="21" t="s">
        <v>2272</v>
      </c>
      <c r="V822" s="21" t="s">
        <v>2272</v>
      </c>
      <c r="W822" s="21" t="s">
        <v>2272</v>
      </c>
      <c r="X822" s="21" t="s">
        <v>2272</v>
      </c>
      <c r="Y822" s="21" t="s">
        <v>2272</v>
      </c>
      <c r="Z822" s="21" t="s">
        <v>2272</v>
      </c>
      <c r="AA822" s="198" t="s">
        <v>397</v>
      </c>
      <c r="AB822" s="198" t="s">
        <v>397</v>
      </c>
      <c r="AC822" s="198" t="s">
        <v>75</v>
      </c>
      <c r="AD822" s="4" t="s">
        <v>2567</v>
      </c>
      <c r="AE822" s="198"/>
    </row>
    <row r="823" spans="1:31" ht="36" customHeight="1">
      <c r="A823" s="198" t="s">
        <v>2569</v>
      </c>
      <c r="B823" s="198" t="s">
        <v>2596</v>
      </c>
      <c r="C823" s="198" t="s">
        <v>23</v>
      </c>
      <c r="D823" s="198" t="s">
        <v>26</v>
      </c>
      <c r="E823" s="198" t="s">
        <v>128</v>
      </c>
      <c r="F823" s="4" t="s">
        <v>159</v>
      </c>
      <c r="G823" s="198" t="s">
        <v>2272</v>
      </c>
      <c r="H823" s="198" t="s">
        <v>521</v>
      </c>
      <c r="I823" s="198"/>
      <c r="J823" s="21" t="s">
        <v>2272</v>
      </c>
      <c r="K823" s="21" t="s">
        <v>2272</v>
      </c>
      <c r="L823" s="21" t="s">
        <v>2272</v>
      </c>
      <c r="M823" s="21" t="s">
        <v>2272</v>
      </c>
      <c r="N823" s="21" t="s">
        <v>2272</v>
      </c>
      <c r="O823" s="21" t="s">
        <v>2272</v>
      </c>
      <c r="P823" s="21" t="s">
        <v>2272</v>
      </c>
      <c r="Q823" s="21" t="s">
        <v>2272</v>
      </c>
      <c r="R823" s="21" t="s">
        <v>2272</v>
      </c>
      <c r="S823" s="21" t="s">
        <v>2272</v>
      </c>
      <c r="T823" s="21" t="s">
        <v>2272</v>
      </c>
      <c r="U823" s="21" t="s">
        <v>2272</v>
      </c>
      <c r="V823" s="21" t="s">
        <v>2272</v>
      </c>
      <c r="W823" s="21" t="s">
        <v>2272</v>
      </c>
      <c r="X823" s="21" t="s">
        <v>2272</v>
      </c>
      <c r="Y823" s="21" t="s">
        <v>2272</v>
      </c>
      <c r="Z823" s="21" t="s">
        <v>2272</v>
      </c>
      <c r="AA823" s="21" t="s">
        <v>2272</v>
      </c>
      <c r="AB823" s="21" t="s">
        <v>2272</v>
      </c>
      <c r="AC823" s="21" t="s">
        <v>2272</v>
      </c>
      <c r="AD823" s="198"/>
      <c r="AE823" s="198"/>
    </row>
    <row r="824" spans="1:31" ht="36" customHeight="1">
      <c r="A824" s="198" t="s">
        <v>2569</v>
      </c>
      <c r="B824" s="198" t="s">
        <v>2595</v>
      </c>
      <c r="C824" s="198" t="s">
        <v>23</v>
      </c>
      <c r="D824" s="198" t="s">
        <v>26</v>
      </c>
      <c r="E824" s="198" t="s">
        <v>128</v>
      </c>
      <c r="F824" s="4" t="s">
        <v>73</v>
      </c>
      <c r="G824" s="198" t="s">
        <v>2272</v>
      </c>
      <c r="H824" s="198" t="s">
        <v>521</v>
      </c>
      <c r="I824" s="198"/>
      <c r="J824" s="21"/>
      <c r="K824" s="21"/>
      <c r="L824" s="21"/>
      <c r="M824" s="21"/>
      <c r="N824" s="21"/>
      <c r="O824" s="21"/>
      <c r="P824" s="21"/>
      <c r="Q824" s="21"/>
      <c r="R824" s="21"/>
      <c r="S824" s="21"/>
      <c r="T824" s="21"/>
      <c r="U824" s="21"/>
      <c r="V824" s="21"/>
      <c r="W824" s="21"/>
      <c r="X824" s="21"/>
      <c r="Y824" s="21"/>
      <c r="Z824" s="21"/>
      <c r="AA824" s="21"/>
      <c r="AB824" s="21"/>
      <c r="AC824" s="21"/>
      <c r="AD824" s="198"/>
      <c r="AE824" s="198"/>
    </row>
    <row r="825" spans="1:31" ht="36" customHeight="1">
      <c r="A825" s="198" t="s">
        <v>2571</v>
      </c>
      <c r="B825" s="198" t="s">
        <v>2597</v>
      </c>
      <c r="C825" s="198" t="s">
        <v>23</v>
      </c>
      <c r="D825" s="198" t="s">
        <v>26</v>
      </c>
      <c r="E825" s="198" t="s">
        <v>128</v>
      </c>
      <c r="F825" s="4" t="s">
        <v>159</v>
      </c>
      <c r="G825" s="198" t="s">
        <v>2272</v>
      </c>
      <c r="H825" s="198" t="s">
        <v>521</v>
      </c>
      <c r="I825" s="198"/>
      <c r="J825" s="21" t="s">
        <v>2272</v>
      </c>
      <c r="K825" s="21" t="s">
        <v>2272</v>
      </c>
      <c r="L825" s="21" t="s">
        <v>2272</v>
      </c>
      <c r="M825" s="21" t="s">
        <v>2272</v>
      </c>
      <c r="N825" s="21" t="s">
        <v>2272</v>
      </c>
      <c r="O825" s="21" t="s">
        <v>2272</v>
      </c>
      <c r="P825" s="21" t="s">
        <v>2272</v>
      </c>
      <c r="Q825" s="21" t="s">
        <v>2272</v>
      </c>
      <c r="R825" s="21" t="s">
        <v>2272</v>
      </c>
      <c r="S825" s="21" t="s">
        <v>2272</v>
      </c>
      <c r="T825" s="21" t="s">
        <v>2272</v>
      </c>
      <c r="U825" s="21" t="s">
        <v>2272</v>
      </c>
      <c r="V825" s="21" t="s">
        <v>2272</v>
      </c>
      <c r="W825" s="21" t="s">
        <v>2272</v>
      </c>
      <c r="X825" s="21" t="s">
        <v>2272</v>
      </c>
      <c r="Y825" s="21" t="s">
        <v>2272</v>
      </c>
      <c r="Z825" s="21" t="s">
        <v>2272</v>
      </c>
      <c r="AA825" s="21" t="s">
        <v>2272</v>
      </c>
      <c r="AB825" s="21" t="s">
        <v>2272</v>
      </c>
      <c r="AC825" s="21" t="s">
        <v>2272</v>
      </c>
      <c r="AD825" s="198"/>
      <c r="AE825" s="198"/>
    </row>
    <row r="826" spans="1:31" ht="36" customHeight="1">
      <c r="A826" s="198" t="s">
        <v>2571</v>
      </c>
      <c r="B826" s="198" t="s">
        <v>2598</v>
      </c>
      <c r="C826" s="198" t="s">
        <v>23</v>
      </c>
      <c r="D826" s="198" t="s">
        <v>26</v>
      </c>
      <c r="E826" s="198" t="s">
        <v>128</v>
      </c>
      <c r="F826" s="4" t="s">
        <v>73</v>
      </c>
      <c r="G826" s="198" t="s">
        <v>2272</v>
      </c>
      <c r="H826" s="198" t="s">
        <v>521</v>
      </c>
      <c r="I826" s="198"/>
      <c r="J826" s="21" t="s">
        <v>2272</v>
      </c>
      <c r="K826" s="21" t="s">
        <v>2272</v>
      </c>
      <c r="L826" s="21" t="s">
        <v>2272</v>
      </c>
      <c r="M826" s="21" t="s">
        <v>2272</v>
      </c>
      <c r="N826" s="21" t="s">
        <v>2272</v>
      </c>
      <c r="O826" s="21" t="s">
        <v>2272</v>
      </c>
      <c r="P826" s="21" t="s">
        <v>2272</v>
      </c>
      <c r="Q826" s="21" t="s">
        <v>2272</v>
      </c>
      <c r="R826" s="21" t="s">
        <v>2272</v>
      </c>
      <c r="S826" s="21" t="s">
        <v>2272</v>
      </c>
      <c r="T826" s="21" t="s">
        <v>2272</v>
      </c>
      <c r="U826" s="21" t="s">
        <v>2272</v>
      </c>
      <c r="V826" s="21" t="s">
        <v>2272</v>
      </c>
      <c r="W826" s="21" t="s">
        <v>2272</v>
      </c>
      <c r="X826" s="21" t="s">
        <v>2272</v>
      </c>
      <c r="Y826" s="21" t="s">
        <v>2272</v>
      </c>
      <c r="Z826" s="21" t="s">
        <v>2272</v>
      </c>
      <c r="AA826" s="21" t="s">
        <v>2272</v>
      </c>
      <c r="AB826" s="21" t="s">
        <v>2272</v>
      </c>
      <c r="AC826" s="21" t="s">
        <v>2272</v>
      </c>
      <c r="AD826" s="198"/>
      <c r="AE826" s="198"/>
    </row>
    <row r="827" spans="1:31" ht="36" customHeight="1">
      <c r="A827" s="198" t="s">
        <v>2583</v>
      </c>
      <c r="B827" s="198" t="s">
        <v>2599</v>
      </c>
      <c r="C827" s="198" t="s">
        <v>23</v>
      </c>
      <c r="D827" s="198" t="s">
        <v>26</v>
      </c>
      <c r="E827" s="198" t="s">
        <v>128</v>
      </c>
      <c r="F827" s="4" t="s">
        <v>159</v>
      </c>
      <c r="G827" s="198" t="s">
        <v>2272</v>
      </c>
      <c r="H827" s="198" t="s">
        <v>521</v>
      </c>
      <c r="I827" s="198"/>
      <c r="J827" s="21" t="s">
        <v>2272</v>
      </c>
      <c r="K827" s="21" t="s">
        <v>2272</v>
      </c>
      <c r="L827" s="21" t="s">
        <v>2272</v>
      </c>
      <c r="M827" s="21" t="s">
        <v>2272</v>
      </c>
      <c r="N827" s="21" t="s">
        <v>2272</v>
      </c>
      <c r="O827" s="21" t="s">
        <v>2272</v>
      </c>
      <c r="P827" s="21" t="s">
        <v>2272</v>
      </c>
      <c r="Q827" s="21" t="s">
        <v>2272</v>
      </c>
      <c r="R827" s="21" t="s">
        <v>2272</v>
      </c>
      <c r="S827" s="21" t="s">
        <v>2272</v>
      </c>
      <c r="T827" s="21" t="s">
        <v>2272</v>
      </c>
      <c r="U827" s="21" t="s">
        <v>2272</v>
      </c>
      <c r="V827" s="21" t="s">
        <v>2272</v>
      </c>
      <c r="W827" s="21" t="s">
        <v>2272</v>
      </c>
      <c r="X827" s="21" t="s">
        <v>2272</v>
      </c>
      <c r="Y827" s="21" t="s">
        <v>2272</v>
      </c>
      <c r="Z827" s="21" t="s">
        <v>2272</v>
      </c>
      <c r="AA827" s="21" t="s">
        <v>2272</v>
      </c>
      <c r="AB827" s="21" t="s">
        <v>2272</v>
      </c>
      <c r="AC827" s="21" t="s">
        <v>2272</v>
      </c>
      <c r="AD827" s="198"/>
      <c r="AE827" s="198"/>
    </row>
    <row r="828" spans="1:31" ht="36" customHeight="1">
      <c r="A828" s="198" t="s">
        <v>2583</v>
      </c>
      <c r="B828" s="198" t="s">
        <v>2600</v>
      </c>
      <c r="C828" s="198" t="s">
        <v>23</v>
      </c>
      <c r="D828" s="198" t="s">
        <v>26</v>
      </c>
      <c r="E828" s="198" t="s">
        <v>128</v>
      </c>
      <c r="F828" s="4" t="s">
        <v>73</v>
      </c>
      <c r="G828" s="198" t="s">
        <v>2272</v>
      </c>
      <c r="H828" s="198" t="s">
        <v>521</v>
      </c>
      <c r="I828" s="198"/>
      <c r="J828" s="21" t="s">
        <v>2272</v>
      </c>
      <c r="K828" s="21" t="s">
        <v>2272</v>
      </c>
      <c r="L828" s="21" t="s">
        <v>2272</v>
      </c>
      <c r="M828" s="21" t="s">
        <v>2272</v>
      </c>
      <c r="N828" s="21" t="s">
        <v>2272</v>
      </c>
      <c r="O828" s="21" t="s">
        <v>2272</v>
      </c>
      <c r="P828" s="21" t="s">
        <v>2272</v>
      </c>
      <c r="Q828" s="21" t="s">
        <v>2272</v>
      </c>
      <c r="R828" s="21" t="s">
        <v>2272</v>
      </c>
      <c r="S828" s="21" t="s">
        <v>2272</v>
      </c>
      <c r="T828" s="21" t="s">
        <v>2272</v>
      </c>
      <c r="U828" s="21" t="s">
        <v>2272</v>
      </c>
      <c r="V828" s="21" t="s">
        <v>2272</v>
      </c>
      <c r="W828" s="21" t="s">
        <v>2272</v>
      </c>
      <c r="X828" s="21" t="s">
        <v>2272</v>
      </c>
      <c r="Y828" s="21" t="s">
        <v>2272</v>
      </c>
      <c r="Z828" s="21" t="s">
        <v>2272</v>
      </c>
      <c r="AA828" s="21" t="s">
        <v>2272</v>
      </c>
      <c r="AB828" s="21" t="s">
        <v>2272</v>
      </c>
      <c r="AC828" s="21" t="s">
        <v>2272</v>
      </c>
      <c r="AD828" s="198"/>
      <c r="AE828" s="198"/>
    </row>
    <row r="829" spans="1:31" ht="36" customHeight="1">
      <c r="A829" s="198" t="s">
        <v>2584</v>
      </c>
      <c r="B829" s="198" t="s">
        <v>2601</v>
      </c>
      <c r="C829" s="198" t="s">
        <v>23</v>
      </c>
      <c r="D829" s="198" t="s">
        <v>26</v>
      </c>
      <c r="E829" s="198" t="s">
        <v>128</v>
      </c>
      <c r="F829" s="4" t="s">
        <v>159</v>
      </c>
      <c r="G829" s="198" t="s">
        <v>2272</v>
      </c>
      <c r="H829" s="198" t="s">
        <v>521</v>
      </c>
      <c r="I829" s="198"/>
      <c r="J829" s="21" t="s">
        <v>2272</v>
      </c>
      <c r="K829" s="21" t="s">
        <v>2272</v>
      </c>
      <c r="L829" s="21" t="s">
        <v>2272</v>
      </c>
      <c r="M829" s="21" t="s">
        <v>2272</v>
      </c>
      <c r="N829" s="21" t="s">
        <v>2272</v>
      </c>
      <c r="O829" s="21" t="s">
        <v>2272</v>
      </c>
      <c r="P829" s="21" t="s">
        <v>2272</v>
      </c>
      <c r="Q829" s="21" t="s">
        <v>2272</v>
      </c>
      <c r="R829" s="21" t="s">
        <v>2272</v>
      </c>
      <c r="S829" s="21" t="s">
        <v>2272</v>
      </c>
      <c r="T829" s="21" t="s">
        <v>2272</v>
      </c>
      <c r="U829" s="21" t="s">
        <v>2272</v>
      </c>
      <c r="V829" s="21" t="s">
        <v>2272</v>
      </c>
      <c r="W829" s="21" t="s">
        <v>2272</v>
      </c>
      <c r="X829" s="21" t="s">
        <v>2272</v>
      </c>
      <c r="Y829" s="21" t="s">
        <v>2272</v>
      </c>
      <c r="Z829" s="21" t="s">
        <v>2272</v>
      </c>
      <c r="AA829" s="21" t="s">
        <v>2272</v>
      </c>
      <c r="AB829" s="21" t="s">
        <v>2272</v>
      </c>
      <c r="AC829" s="21" t="s">
        <v>2272</v>
      </c>
      <c r="AD829" s="198"/>
      <c r="AE829" s="198"/>
    </row>
    <row r="830" spans="1:31" ht="36" customHeight="1">
      <c r="A830" s="198" t="s">
        <v>2584</v>
      </c>
      <c r="B830" s="198" t="s">
        <v>2602</v>
      </c>
      <c r="C830" s="198" t="s">
        <v>23</v>
      </c>
      <c r="D830" s="198" t="s">
        <v>26</v>
      </c>
      <c r="E830" s="198" t="s">
        <v>128</v>
      </c>
      <c r="F830" s="4" t="s">
        <v>73</v>
      </c>
      <c r="G830" s="198" t="s">
        <v>2272</v>
      </c>
      <c r="H830" s="198" t="s">
        <v>521</v>
      </c>
      <c r="I830" s="198"/>
      <c r="J830" s="21" t="s">
        <v>2272</v>
      </c>
      <c r="K830" s="21" t="s">
        <v>2272</v>
      </c>
      <c r="L830" s="21" t="s">
        <v>2272</v>
      </c>
      <c r="M830" s="21" t="s">
        <v>2272</v>
      </c>
      <c r="N830" s="21" t="s">
        <v>2272</v>
      </c>
      <c r="O830" s="21" t="s">
        <v>2272</v>
      </c>
      <c r="P830" s="21" t="s">
        <v>2272</v>
      </c>
      <c r="Q830" s="21" t="s">
        <v>2272</v>
      </c>
      <c r="R830" s="21" t="s">
        <v>2272</v>
      </c>
      <c r="S830" s="21" t="s">
        <v>2272</v>
      </c>
      <c r="T830" s="21" t="s">
        <v>2272</v>
      </c>
      <c r="U830" s="21" t="s">
        <v>2272</v>
      </c>
      <c r="V830" s="21" t="s">
        <v>2272</v>
      </c>
      <c r="W830" s="21" t="s">
        <v>2272</v>
      </c>
      <c r="X830" s="21" t="s">
        <v>2272</v>
      </c>
      <c r="Y830" s="21" t="s">
        <v>2272</v>
      </c>
      <c r="Z830" s="21" t="s">
        <v>2272</v>
      </c>
      <c r="AA830" s="21" t="s">
        <v>2272</v>
      </c>
      <c r="AB830" s="21" t="s">
        <v>2272</v>
      </c>
      <c r="AC830" s="21" t="s">
        <v>2272</v>
      </c>
      <c r="AD830" s="198"/>
      <c r="AE830" s="198"/>
    </row>
    <row r="831" spans="1:31" ht="36" customHeight="1">
      <c r="A831" s="198" t="s">
        <v>2585</v>
      </c>
      <c r="B831" s="198" t="s">
        <v>2603</v>
      </c>
      <c r="C831" s="198" t="s">
        <v>23</v>
      </c>
      <c r="D831" s="198" t="s">
        <v>26</v>
      </c>
      <c r="E831" s="198" t="s">
        <v>128</v>
      </c>
      <c r="F831" s="4" t="s">
        <v>159</v>
      </c>
      <c r="G831" s="198" t="s">
        <v>2272</v>
      </c>
      <c r="H831" s="198" t="s">
        <v>521</v>
      </c>
      <c r="I831" s="198"/>
      <c r="J831" s="21" t="s">
        <v>2272</v>
      </c>
      <c r="K831" s="21" t="s">
        <v>2272</v>
      </c>
      <c r="L831" s="21" t="s">
        <v>2272</v>
      </c>
      <c r="M831" s="21" t="s">
        <v>2272</v>
      </c>
      <c r="N831" s="21" t="s">
        <v>2272</v>
      </c>
      <c r="O831" s="21" t="s">
        <v>2272</v>
      </c>
      <c r="P831" s="21" t="s">
        <v>2272</v>
      </c>
      <c r="Q831" s="21" t="s">
        <v>2272</v>
      </c>
      <c r="R831" s="21" t="s">
        <v>2272</v>
      </c>
      <c r="S831" s="21" t="s">
        <v>2272</v>
      </c>
      <c r="T831" s="21" t="s">
        <v>2272</v>
      </c>
      <c r="U831" s="21" t="s">
        <v>2272</v>
      </c>
      <c r="V831" s="21" t="s">
        <v>2272</v>
      </c>
      <c r="W831" s="21" t="s">
        <v>2272</v>
      </c>
      <c r="X831" s="21" t="s">
        <v>2272</v>
      </c>
      <c r="Y831" s="21" t="s">
        <v>2272</v>
      </c>
      <c r="Z831" s="21" t="s">
        <v>2272</v>
      </c>
      <c r="AA831" s="21" t="s">
        <v>2272</v>
      </c>
      <c r="AB831" s="21" t="s">
        <v>2272</v>
      </c>
      <c r="AC831" s="21" t="s">
        <v>2272</v>
      </c>
      <c r="AD831" s="198"/>
      <c r="AE831" s="198"/>
    </row>
    <row r="832" spans="1:31" ht="36" customHeight="1">
      <c r="A832" s="198" t="s">
        <v>2585</v>
      </c>
      <c r="B832" s="198" t="s">
        <v>2604</v>
      </c>
      <c r="C832" s="198" t="s">
        <v>23</v>
      </c>
      <c r="D832" s="198" t="s">
        <v>26</v>
      </c>
      <c r="E832" s="198" t="s">
        <v>128</v>
      </c>
      <c r="F832" s="4" t="s">
        <v>73</v>
      </c>
      <c r="G832" s="198" t="s">
        <v>2272</v>
      </c>
      <c r="H832" s="198" t="s">
        <v>521</v>
      </c>
      <c r="I832" s="198"/>
      <c r="J832" s="21" t="s">
        <v>2272</v>
      </c>
      <c r="K832" s="21" t="s">
        <v>2272</v>
      </c>
      <c r="L832" s="21" t="s">
        <v>2272</v>
      </c>
      <c r="M832" s="21" t="s">
        <v>2272</v>
      </c>
      <c r="N832" s="21" t="s">
        <v>2272</v>
      </c>
      <c r="O832" s="21" t="s">
        <v>2272</v>
      </c>
      <c r="P832" s="21" t="s">
        <v>2272</v>
      </c>
      <c r="Q832" s="21" t="s">
        <v>2272</v>
      </c>
      <c r="R832" s="21" t="s">
        <v>2272</v>
      </c>
      <c r="S832" s="21" t="s">
        <v>2272</v>
      </c>
      <c r="T832" s="21" t="s">
        <v>2272</v>
      </c>
      <c r="U832" s="21" t="s">
        <v>2272</v>
      </c>
      <c r="V832" s="21" t="s">
        <v>2272</v>
      </c>
      <c r="W832" s="21" t="s">
        <v>2272</v>
      </c>
      <c r="X832" s="21" t="s">
        <v>2272</v>
      </c>
      <c r="Y832" s="21" t="s">
        <v>2272</v>
      </c>
      <c r="Z832" s="21" t="s">
        <v>2272</v>
      </c>
      <c r="AA832" s="21" t="s">
        <v>2272</v>
      </c>
      <c r="AB832" s="21" t="s">
        <v>2272</v>
      </c>
      <c r="AC832" s="21" t="s">
        <v>2272</v>
      </c>
      <c r="AD832" s="198"/>
      <c r="AE832" s="198"/>
    </row>
    <row r="833" spans="1:31" ht="36" customHeight="1">
      <c r="A833" s="198" t="s">
        <v>2586</v>
      </c>
      <c r="B833" s="198" t="s">
        <v>2605</v>
      </c>
      <c r="C833" s="198" t="s">
        <v>23</v>
      </c>
      <c r="D833" s="198" t="s">
        <v>26</v>
      </c>
      <c r="E833" s="198" t="s">
        <v>128</v>
      </c>
      <c r="F833" s="4" t="s">
        <v>159</v>
      </c>
      <c r="G833" s="198" t="s">
        <v>2272</v>
      </c>
      <c r="H833" s="198" t="s">
        <v>521</v>
      </c>
      <c r="I833" s="198"/>
      <c r="J833" s="21" t="s">
        <v>2272</v>
      </c>
      <c r="K833" s="21" t="s">
        <v>2272</v>
      </c>
      <c r="L833" s="21" t="s">
        <v>2272</v>
      </c>
      <c r="M833" s="21" t="s">
        <v>2272</v>
      </c>
      <c r="N833" s="21" t="s">
        <v>2272</v>
      </c>
      <c r="O833" s="21" t="s">
        <v>2272</v>
      </c>
      <c r="P833" s="21" t="s">
        <v>2272</v>
      </c>
      <c r="Q833" s="21" t="s">
        <v>2272</v>
      </c>
      <c r="R833" s="21" t="s">
        <v>2272</v>
      </c>
      <c r="S833" s="21" t="s">
        <v>2272</v>
      </c>
      <c r="T833" s="21" t="s">
        <v>2272</v>
      </c>
      <c r="U833" s="21" t="s">
        <v>2272</v>
      </c>
      <c r="V833" s="21" t="s">
        <v>2272</v>
      </c>
      <c r="W833" s="21" t="s">
        <v>2272</v>
      </c>
      <c r="X833" s="21" t="s">
        <v>2272</v>
      </c>
      <c r="Y833" s="21" t="s">
        <v>2272</v>
      </c>
      <c r="Z833" s="21" t="s">
        <v>2272</v>
      </c>
      <c r="AA833" s="21" t="s">
        <v>2272</v>
      </c>
      <c r="AB833" s="21" t="s">
        <v>2272</v>
      </c>
      <c r="AC833" s="21" t="s">
        <v>2272</v>
      </c>
      <c r="AD833" s="198"/>
      <c r="AE833" s="198"/>
    </row>
    <row r="834" spans="1:31" ht="36" customHeight="1">
      <c r="A834" s="198" t="s">
        <v>2586</v>
      </c>
      <c r="B834" s="198" t="s">
        <v>2606</v>
      </c>
      <c r="C834" s="198" t="s">
        <v>23</v>
      </c>
      <c r="D834" s="198" t="s">
        <v>26</v>
      </c>
      <c r="E834" s="198" t="s">
        <v>128</v>
      </c>
      <c r="F834" s="4" t="s">
        <v>73</v>
      </c>
      <c r="G834" s="198" t="s">
        <v>2272</v>
      </c>
      <c r="H834" s="198" t="s">
        <v>521</v>
      </c>
      <c r="I834" s="198"/>
      <c r="J834" s="21" t="s">
        <v>2272</v>
      </c>
      <c r="K834" s="21" t="s">
        <v>2272</v>
      </c>
      <c r="L834" s="21" t="s">
        <v>2272</v>
      </c>
      <c r="M834" s="21" t="s">
        <v>2272</v>
      </c>
      <c r="N834" s="21" t="s">
        <v>2272</v>
      </c>
      <c r="O834" s="21" t="s">
        <v>2272</v>
      </c>
      <c r="P834" s="21" t="s">
        <v>2272</v>
      </c>
      <c r="Q834" s="21" t="s">
        <v>2272</v>
      </c>
      <c r="R834" s="21" t="s">
        <v>2272</v>
      </c>
      <c r="S834" s="21" t="s">
        <v>2272</v>
      </c>
      <c r="T834" s="21" t="s">
        <v>2272</v>
      </c>
      <c r="U834" s="21" t="s">
        <v>2272</v>
      </c>
      <c r="V834" s="21" t="s">
        <v>2272</v>
      </c>
      <c r="W834" s="21" t="s">
        <v>2272</v>
      </c>
      <c r="X834" s="21" t="s">
        <v>2272</v>
      </c>
      <c r="Y834" s="21" t="s">
        <v>2272</v>
      </c>
      <c r="Z834" s="21" t="s">
        <v>2272</v>
      </c>
      <c r="AA834" s="21" t="s">
        <v>2272</v>
      </c>
      <c r="AB834" s="21" t="s">
        <v>2272</v>
      </c>
      <c r="AC834" s="21" t="s">
        <v>2272</v>
      </c>
      <c r="AD834" s="198"/>
      <c r="AE834" s="198"/>
    </row>
    <row r="835" spans="1:31" ht="36" customHeight="1">
      <c r="A835" s="198" t="s">
        <v>2587</v>
      </c>
      <c r="B835" s="198" t="s">
        <v>2607</v>
      </c>
      <c r="C835" s="198" t="s">
        <v>23</v>
      </c>
      <c r="D835" s="198" t="s">
        <v>26</v>
      </c>
      <c r="E835" s="198" t="s">
        <v>128</v>
      </c>
      <c r="F835" s="4" t="s">
        <v>159</v>
      </c>
      <c r="G835" s="198" t="s">
        <v>2272</v>
      </c>
      <c r="H835" s="198" t="s">
        <v>521</v>
      </c>
      <c r="I835" s="198"/>
      <c r="J835" s="21" t="s">
        <v>2272</v>
      </c>
      <c r="K835" s="21" t="s">
        <v>2272</v>
      </c>
      <c r="L835" s="21" t="s">
        <v>2272</v>
      </c>
      <c r="M835" s="21" t="s">
        <v>2272</v>
      </c>
      <c r="N835" s="21" t="s">
        <v>2272</v>
      </c>
      <c r="O835" s="21" t="s">
        <v>2272</v>
      </c>
      <c r="P835" s="21" t="s">
        <v>2272</v>
      </c>
      <c r="Q835" s="21" t="s">
        <v>2272</v>
      </c>
      <c r="R835" s="21" t="s">
        <v>2272</v>
      </c>
      <c r="S835" s="21" t="s">
        <v>2272</v>
      </c>
      <c r="T835" s="21" t="s">
        <v>2272</v>
      </c>
      <c r="U835" s="21" t="s">
        <v>2272</v>
      </c>
      <c r="V835" s="21" t="s">
        <v>2272</v>
      </c>
      <c r="W835" s="21" t="s">
        <v>2272</v>
      </c>
      <c r="X835" s="21" t="s">
        <v>2272</v>
      </c>
      <c r="Y835" s="21" t="s">
        <v>2272</v>
      </c>
      <c r="Z835" s="21" t="s">
        <v>2272</v>
      </c>
      <c r="AA835" s="21" t="s">
        <v>2272</v>
      </c>
      <c r="AB835" s="21" t="s">
        <v>2272</v>
      </c>
      <c r="AC835" s="21" t="s">
        <v>2272</v>
      </c>
      <c r="AD835" s="198"/>
      <c r="AE835" s="198"/>
    </row>
    <row r="836" spans="1:31" ht="36" customHeight="1">
      <c r="A836" s="198" t="s">
        <v>2587</v>
      </c>
      <c r="B836" s="198" t="s">
        <v>2608</v>
      </c>
      <c r="C836" s="198" t="s">
        <v>23</v>
      </c>
      <c r="D836" s="198" t="s">
        <v>26</v>
      </c>
      <c r="E836" s="198" t="s">
        <v>128</v>
      </c>
      <c r="F836" s="4" t="s">
        <v>73</v>
      </c>
      <c r="G836" s="198" t="s">
        <v>2272</v>
      </c>
      <c r="H836" s="198" t="s">
        <v>521</v>
      </c>
      <c r="I836" s="198"/>
      <c r="J836" s="21" t="s">
        <v>2272</v>
      </c>
      <c r="K836" s="21" t="s">
        <v>2272</v>
      </c>
      <c r="L836" s="21" t="s">
        <v>2272</v>
      </c>
      <c r="M836" s="21" t="s">
        <v>2272</v>
      </c>
      <c r="N836" s="21" t="s">
        <v>2272</v>
      </c>
      <c r="O836" s="21" t="s">
        <v>2272</v>
      </c>
      <c r="P836" s="21" t="s">
        <v>2272</v>
      </c>
      <c r="Q836" s="21" t="s">
        <v>2272</v>
      </c>
      <c r="R836" s="21" t="s">
        <v>2272</v>
      </c>
      <c r="S836" s="21" t="s">
        <v>2272</v>
      </c>
      <c r="T836" s="21" t="s">
        <v>2272</v>
      </c>
      <c r="U836" s="21" t="s">
        <v>2272</v>
      </c>
      <c r="V836" s="21" t="s">
        <v>2272</v>
      </c>
      <c r="W836" s="21" t="s">
        <v>2272</v>
      </c>
      <c r="X836" s="21" t="s">
        <v>2272</v>
      </c>
      <c r="Y836" s="21" t="s">
        <v>2272</v>
      </c>
      <c r="Z836" s="21" t="s">
        <v>2272</v>
      </c>
      <c r="AA836" s="21" t="s">
        <v>2272</v>
      </c>
      <c r="AB836" s="21" t="s">
        <v>2272</v>
      </c>
      <c r="AC836" s="21" t="s">
        <v>2272</v>
      </c>
      <c r="AD836" s="198"/>
      <c r="AE836" s="198"/>
    </row>
    <row r="837" spans="1:31" ht="36" customHeight="1">
      <c r="A837" s="198" t="s">
        <v>2588</v>
      </c>
      <c r="B837" s="198" t="s">
        <v>2609</v>
      </c>
      <c r="C837" s="198" t="s">
        <v>23</v>
      </c>
      <c r="D837" s="198" t="s">
        <v>26</v>
      </c>
      <c r="E837" s="198" t="s">
        <v>128</v>
      </c>
      <c r="F837" s="4" t="s">
        <v>159</v>
      </c>
      <c r="G837" s="198" t="s">
        <v>2272</v>
      </c>
      <c r="H837" s="198" t="s">
        <v>521</v>
      </c>
      <c r="I837" s="198"/>
      <c r="J837" s="21" t="s">
        <v>2272</v>
      </c>
      <c r="K837" s="21" t="s">
        <v>2272</v>
      </c>
      <c r="L837" s="21" t="s">
        <v>2272</v>
      </c>
      <c r="M837" s="21" t="s">
        <v>2272</v>
      </c>
      <c r="N837" s="21" t="s">
        <v>2272</v>
      </c>
      <c r="O837" s="21" t="s">
        <v>2272</v>
      </c>
      <c r="P837" s="21" t="s">
        <v>2272</v>
      </c>
      <c r="Q837" s="21" t="s">
        <v>2272</v>
      </c>
      <c r="R837" s="21" t="s">
        <v>2272</v>
      </c>
      <c r="S837" s="21" t="s">
        <v>2272</v>
      </c>
      <c r="T837" s="21" t="s">
        <v>2272</v>
      </c>
      <c r="U837" s="21" t="s">
        <v>2272</v>
      </c>
      <c r="V837" s="21" t="s">
        <v>2272</v>
      </c>
      <c r="W837" s="21" t="s">
        <v>2272</v>
      </c>
      <c r="X837" s="21" t="s">
        <v>2272</v>
      </c>
      <c r="Y837" s="21" t="s">
        <v>2272</v>
      </c>
      <c r="Z837" s="21" t="s">
        <v>2272</v>
      </c>
      <c r="AA837" s="21" t="s">
        <v>2272</v>
      </c>
      <c r="AB837" s="21" t="s">
        <v>2272</v>
      </c>
      <c r="AC837" s="21" t="s">
        <v>2272</v>
      </c>
      <c r="AD837" s="198"/>
      <c r="AE837" s="198"/>
    </row>
    <row r="838" spans="1:31" ht="36" customHeight="1">
      <c r="A838" s="198" t="s">
        <v>2588</v>
      </c>
      <c r="B838" s="198" t="s">
        <v>2610</v>
      </c>
      <c r="C838" s="198" t="s">
        <v>23</v>
      </c>
      <c r="D838" s="198" t="s">
        <v>26</v>
      </c>
      <c r="E838" s="198" t="s">
        <v>128</v>
      </c>
      <c r="F838" s="4" t="s">
        <v>73</v>
      </c>
      <c r="G838" s="198" t="s">
        <v>2272</v>
      </c>
      <c r="H838" s="198" t="s">
        <v>521</v>
      </c>
      <c r="I838" s="198"/>
      <c r="J838" s="21" t="s">
        <v>2272</v>
      </c>
      <c r="K838" s="21" t="s">
        <v>2272</v>
      </c>
      <c r="L838" s="21" t="s">
        <v>2272</v>
      </c>
      <c r="M838" s="21" t="s">
        <v>2272</v>
      </c>
      <c r="N838" s="21" t="s">
        <v>2272</v>
      </c>
      <c r="O838" s="21" t="s">
        <v>2272</v>
      </c>
      <c r="P838" s="21" t="s">
        <v>2272</v>
      </c>
      <c r="Q838" s="21" t="s">
        <v>2272</v>
      </c>
      <c r="R838" s="21" t="s">
        <v>2272</v>
      </c>
      <c r="S838" s="21" t="s">
        <v>2272</v>
      </c>
      <c r="T838" s="21" t="s">
        <v>2272</v>
      </c>
      <c r="U838" s="21" t="s">
        <v>2272</v>
      </c>
      <c r="V838" s="21" t="s">
        <v>2272</v>
      </c>
      <c r="W838" s="21" t="s">
        <v>2272</v>
      </c>
      <c r="X838" s="21" t="s">
        <v>2272</v>
      </c>
      <c r="Y838" s="21" t="s">
        <v>2272</v>
      </c>
      <c r="Z838" s="21" t="s">
        <v>2272</v>
      </c>
      <c r="AA838" s="21" t="s">
        <v>2272</v>
      </c>
      <c r="AB838" s="21" t="s">
        <v>2272</v>
      </c>
      <c r="AC838" s="21" t="s">
        <v>2272</v>
      </c>
      <c r="AD838" s="198"/>
      <c r="AE838" s="198"/>
    </row>
    <row r="839" spans="1:31" ht="36" customHeight="1">
      <c r="A839" s="198" t="s">
        <v>2589</v>
      </c>
      <c r="B839" s="198" t="s">
        <v>2611</v>
      </c>
      <c r="C839" s="198" t="s">
        <v>23</v>
      </c>
      <c r="D839" s="198" t="s">
        <v>26</v>
      </c>
      <c r="E839" s="198" t="s">
        <v>128</v>
      </c>
      <c r="F839" s="4" t="s">
        <v>159</v>
      </c>
      <c r="G839" s="198" t="s">
        <v>2272</v>
      </c>
      <c r="H839" s="198" t="s">
        <v>521</v>
      </c>
      <c r="I839" s="198"/>
      <c r="J839" s="21" t="s">
        <v>2272</v>
      </c>
      <c r="K839" s="21" t="s">
        <v>2272</v>
      </c>
      <c r="L839" s="21" t="s">
        <v>2272</v>
      </c>
      <c r="M839" s="21" t="s">
        <v>2272</v>
      </c>
      <c r="N839" s="21" t="s">
        <v>2272</v>
      </c>
      <c r="O839" s="21" t="s">
        <v>2272</v>
      </c>
      <c r="P839" s="21" t="s">
        <v>2272</v>
      </c>
      <c r="Q839" s="21" t="s">
        <v>2272</v>
      </c>
      <c r="R839" s="21" t="s">
        <v>2272</v>
      </c>
      <c r="S839" s="21" t="s">
        <v>2272</v>
      </c>
      <c r="T839" s="21" t="s">
        <v>2272</v>
      </c>
      <c r="U839" s="21" t="s">
        <v>2272</v>
      </c>
      <c r="V839" s="21" t="s">
        <v>2272</v>
      </c>
      <c r="W839" s="21" t="s">
        <v>2272</v>
      </c>
      <c r="X839" s="21" t="s">
        <v>2272</v>
      </c>
      <c r="Y839" s="21" t="s">
        <v>2272</v>
      </c>
      <c r="Z839" s="21" t="s">
        <v>2272</v>
      </c>
      <c r="AA839" s="21" t="s">
        <v>2272</v>
      </c>
      <c r="AB839" s="21" t="s">
        <v>2272</v>
      </c>
      <c r="AC839" s="21" t="s">
        <v>2272</v>
      </c>
      <c r="AD839" s="198"/>
      <c r="AE839" s="198"/>
    </row>
    <row r="840" spans="1:31" ht="36" customHeight="1">
      <c r="A840" s="198" t="s">
        <v>2589</v>
      </c>
      <c r="B840" s="198" t="s">
        <v>2612</v>
      </c>
      <c r="C840" s="198" t="s">
        <v>23</v>
      </c>
      <c r="D840" s="198" t="s">
        <v>26</v>
      </c>
      <c r="E840" s="198" t="s">
        <v>128</v>
      </c>
      <c r="F840" s="4" t="s">
        <v>73</v>
      </c>
      <c r="G840" s="198" t="s">
        <v>2272</v>
      </c>
      <c r="H840" s="198" t="s">
        <v>521</v>
      </c>
      <c r="I840" s="198"/>
      <c r="J840" s="21" t="s">
        <v>2272</v>
      </c>
      <c r="K840" s="21" t="s">
        <v>2272</v>
      </c>
      <c r="L840" s="21" t="s">
        <v>2272</v>
      </c>
      <c r="M840" s="21" t="s">
        <v>2272</v>
      </c>
      <c r="N840" s="21" t="s">
        <v>2272</v>
      </c>
      <c r="O840" s="21" t="s">
        <v>2272</v>
      </c>
      <c r="P840" s="21" t="s">
        <v>2272</v>
      </c>
      <c r="Q840" s="21" t="s">
        <v>2272</v>
      </c>
      <c r="R840" s="21" t="s">
        <v>2272</v>
      </c>
      <c r="S840" s="21" t="s">
        <v>2272</v>
      </c>
      <c r="T840" s="21" t="s">
        <v>2272</v>
      </c>
      <c r="U840" s="21" t="s">
        <v>2272</v>
      </c>
      <c r="V840" s="21" t="s">
        <v>2272</v>
      </c>
      <c r="W840" s="21" t="s">
        <v>2272</v>
      </c>
      <c r="X840" s="21" t="s">
        <v>2272</v>
      </c>
      <c r="Y840" s="21" t="s">
        <v>2272</v>
      </c>
      <c r="Z840" s="21" t="s">
        <v>2272</v>
      </c>
      <c r="AA840" s="21" t="s">
        <v>2272</v>
      </c>
      <c r="AB840" s="21" t="s">
        <v>2272</v>
      </c>
      <c r="AC840" s="21" t="s">
        <v>2272</v>
      </c>
      <c r="AD840" s="198"/>
      <c r="AE840" s="198"/>
    </row>
    <row r="841" spans="1:31" ht="36" customHeight="1">
      <c r="A841" s="198" t="s">
        <v>2590</v>
      </c>
      <c r="B841" s="198" t="s">
        <v>2613</v>
      </c>
      <c r="C841" s="198" t="s">
        <v>23</v>
      </c>
      <c r="D841" s="198" t="s">
        <v>26</v>
      </c>
      <c r="E841" s="198" t="s">
        <v>128</v>
      </c>
      <c r="F841" s="4" t="s">
        <v>159</v>
      </c>
      <c r="G841" s="198" t="s">
        <v>2272</v>
      </c>
      <c r="H841" s="198" t="s">
        <v>521</v>
      </c>
      <c r="I841" s="198"/>
      <c r="J841" s="21" t="s">
        <v>2272</v>
      </c>
      <c r="K841" s="21" t="s">
        <v>2272</v>
      </c>
      <c r="L841" s="21" t="s">
        <v>2272</v>
      </c>
      <c r="M841" s="21" t="s">
        <v>2272</v>
      </c>
      <c r="N841" s="21" t="s">
        <v>2272</v>
      </c>
      <c r="O841" s="21" t="s">
        <v>2272</v>
      </c>
      <c r="P841" s="21" t="s">
        <v>2272</v>
      </c>
      <c r="Q841" s="21" t="s">
        <v>2272</v>
      </c>
      <c r="R841" s="21" t="s">
        <v>2272</v>
      </c>
      <c r="S841" s="21" t="s">
        <v>2272</v>
      </c>
      <c r="T841" s="21" t="s">
        <v>2272</v>
      </c>
      <c r="U841" s="21" t="s">
        <v>2272</v>
      </c>
      <c r="V841" s="21" t="s">
        <v>2272</v>
      </c>
      <c r="W841" s="21" t="s">
        <v>2272</v>
      </c>
      <c r="X841" s="21" t="s">
        <v>2272</v>
      </c>
      <c r="Y841" s="21" t="s">
        <v>2272</v>
      </c>
      <c r="Z841" s="21" t="s">
        <v>2272</v>
      </c>
      <c r="AA841" s="21" t="s">
        <v>2272</v>
      </c>
      <c r="AB841" s="21" t="s">
        <v>2272</v>
      </c>
      <c r="AC841" s="21" t="s">
        <v>2272</v>
      </c>
      <c r="AD841" s="198"/>
      <c r="AE841" s="198"/>
    </row>
    <row r="842" spans="1:31" ht="36" customHeight="1">
      <c r="A842" s="198" t="s">
        <v>2590</v>
      </c>
      <c r="B842" s="198" t="s">
        <v>2614</v>
      </c>
      <c r="C842" s="198" t="s">
        <v>23</v>
      </c>
      <c r="D842" s="198" t="s">
        <v>26</v>
      </c>
      <c r="E842" s="198" t="s">
        <v>128</v>
      </c>
      <c r="F842" s="4" t="s">
        <v>73</v>
      </c>
      <c r="G842" s="198" t="s">
        <v>2272</v>
      </c>
      <c r="H842" s="198" t="s">
        <v>521</v>
      </c>
      <c r="I842" s="198"/>
      <c r="J842" s="21" t="s">
        <v>2272</v>
      </c>
      <c r="K842" s="21" t="s">
        <v>2272</v>
      </c>
      <c r="L842" s="21" t="s">
        <v>2272</v>
      </c>
      <c r="M842" s="21" t="s">
        <v>2272</v>
      </c>
      <c r="N842" s="21" t="s">
        <v>2272</v>
      </c>
      <c r="O842" s="21" t="s">
        <v>2272</v>
      </c>
      <c r="P842" s="21" t="s">
        <v>2272</v>
      </c>
      <c r="Q842" s="21" t="s">
        <v>2272</v>
      </c>
      <c r="R842" s="21" t="s">
        <v>2272</v>
      </c>
      <c r="S842" s="21" t="s">
        <v>2272</v>
      </c>
      <c r="T842" s="21" t="s">
        <v>2272</v>
      </c>
      <c r="U842" s="21" t="s">
        <v>2272</v>
      </c>
      <c r="V842" s="21" t="s">
        <v>2272</v>
      </c>
      <c r="W842" s="21" t="s">
        <v>2272</v>
      </c>
      <c r="X842" s="21" t="s">
        <v>2272</v>
      </c>
      <c r="Y842" s="21" t="s">
        <v>2272</v>
      </c>
      <c r="Z842" s="21" t="s">
        <v>2272</v>
      </c>
      <c r="AA842" s="21" t="s">
        <v>2272</v>
      </c>
      <c r="AB842" s="21" t="s">
        <v>2272</v>
      </c>
      <c r="AC842" s="21" t="s">
        <v>2272</v>
      </c>
      <c r="AD842" s="198"/>
      <c r="AE842" s="198"/>
    </row>
    <row r="843" spans="1:31" ht="36" customHeight="1">
      <c r="A843" s="198" t="s">
        <v>2591</v>
      </c>
      <c r="B843" s="198" t="s">
        <v>2615</v>
      </c>
      <c r="C843" s="198" t="s">
        <v>23</v>
      </c>
      <c r="D843" s="198" t="s">
        <v>26</v>
      </c>
      <c r="E843" s="198" t="s">
        <v>128</v>
      </c>
      <c r="F843" s="4" t="s">
        <v>159</v>
      </c>
      <c r="G843" s="198" t="s">
        <v>2272</v>
      </c>
      <c r="H843" s="198" t="s">
        <v>521</v>
      </c>
      <c r="I843" s="198"/>
      <c r="J843" s="21" t="s">
        <v>2272</v>
      </c>
      <c r="K843" s="21" t="s">
        <v>2272</v>
      </c>
      <c r="L843" s="21" t="s">
        <v>2272</v>
      </c>
      <c r="M843" s="21" t="s">
        <v>2272</v>
      </c>
      <c r="N843" s="21" t="s">
        <v>2272</v>
      </c>
      <c r="O843" s="21" t="s">
        <v>2272</v>
      </c>
      <c r="P843" s="21" t="s">
        <v>2272</v>
      </c>
      <c r="Q843" s="21" t="s">
        <v>2272</v>
      </c>
      <c r="R843" s="21" t="s">
        <v>2272</v>
      </c>
      <c r="S843" s="21" t="s">
        <v>2272</v>
      </c>
      <c r="T843" s="21" t="s">
        <v>2272</v>
      </c>
      <c r="U843" s="21" t="s">
        <v>2272</v>
      </c>
      <c r="V843" s="21" t="s">
        <v>2272</v>
      </c>
      <c r="W843" s="21" t="s">
        <v>2272</v>
      </c>
      <c r="X843" s="21" t="s">
        <v>2272</v>
      </c>
      <c r="Y843" s="21" t="s">
        <v>2272</v>
      </c>
      <c r="Z843" s="21" t="s">
        <v>2272</v>
      </c>
      <c r="AA843" s="21" t="s">
        <v>2272</v>
      </c>
      <c r="AB843" s="21" t="s">
        <v>2272</v>
      </c>
      <c r="AC843" s="21" t="s">
        <v>2272</v>
      </c>
      <c r="AD843" s="198"/>
      <c r="AE843" s="198"/>
    </row>
    <row r="844" spans="1:31" ht="36" customHeight="1">
      <c r="A844" s="198" t="s">
        <v>2591</v>
      </c>
      <c r="B844" s="198" t="s">
        <v>2616</v>
      </c>
      <c r="C844" s="198" t="s">
        <v>23</v>
      </c>
      <c r="D844" s="198" t="s">
        <v>26</v>
      </c>
      <c r="E844" s="198" t="s">
        <v>128</v>
      </c>
      <c r="F844" s="4" t="s">
        <v>159</v>
      </c>
      <c r="G844" s="198" t="s">
        <v>2272</v>
      </c>
      <c r="H844" s="198" t="s">
        <v>521</v>
      </c>
      <c r="I844" s="198"/>
      <c r="J844" s="21" t="s">
        <v>2272</v>
      </c>
      <c r="K844" s="21" t="s">
        <v>2272</v>
      </c>
      <c r="L844" s="21" t="s">
        <v>2272</v>
      </c>
      <c r="M844" s="21" t="s">
        <v>2272</v>
      </c>
      <c r="N844" s="21" t="s">
        <v>2272</v>
      </c>
      <c r="O844" s="21" t="s">
        <v>2272</v>
      </c>
      <c r="P844" s="21" t="s">
        <v>2272</v>
      </c>
      <c r="Q844" s="21" t="s">
        <v>2272</v>
      </c>
      <c r="R844" s="21" t="s">
        <v>2272</v>
      </c>
      <c r="S844" s="21" t="s">
        <v>2272</v>
      </c>
      <c r="T844" s="21" t="s">
        <v>2272</v>
      </c>
      <c r="U844" s="21" t="s">
        <v>2272</v>
      </c>
      <c r="V844" s="21" t="s">
        <v>2272</v>
      </c>
      <c r="W844" s="21" t="s">
        <v>2272</v>
      </c>
      <c r="X844" s="21" t="s">
        <v>2272</v>
      </c>
      <c r="Y844" s="21" t="s">
        <v>2272</v>
      </c>
      <c r="Z844" s="21" t="s">
        <v>2272</v>
      </c>
      <c r="AA844" s="21" t="s">
        <v>2272</v>
      </c>
      <c r="AB844" s="21" t="s">
        <v>2272</v>
      </c>
      <c r="AC844" s="21" t="s">
        <v>2272</v>
      </c>
      <c r="AD844" s="198"/>
      <c r="AE844" s="198"/>
    </row>
    <row r="845" spans="1:31" ht="62.5" customHeight="1">
      <c r="A845" s="198" t="s">
        <v>2619</v>
      </c>
      <c r="B845" s="198" t="s">
        <v>2625</v>
      </c>
      <c r="C845" s="198" t="s">
        <v>23</v>
      </c>
      <c r="D845" s="198" t="s">
        <v>26</v>
      </c>
      <c r="E845" s="198" t="s">
        <v>128</v>
      </c>
      <c r="F845" s="4" t="s">
        <v>73</v>
      </c>
      <c r="G845" s="198" t="s">
        <v>2272</v>
      </c>
      <c r="H845" s="198" t="s">
        <v>521</v>
      </c>
      <c r="I845" s="198"/>
      <c r="J845" s="21" t="s">
        <v>2272</v>
      </c>
      <c r="K845" s="21" t="s">
        <v>2272</v>
      </c>
      <c r="L845" s="21" t="s">
        <v>2272</v>
      </c>
      <c r="M845" s="21" t="s">
        <v>2272</v>
      </c>
      <c r="N845" s="21" t="s">
        <v>2272</v>
      </c>
      <c r="O845" s="21" t="s">
        <v>2272</v>
      </c>
      <c r="P845" s="21">
        <v>0.9</v>
      </c>
      <c r="Q845" s="21" t="s">
        <v>2272</v>
      </c>
      <c r="R845" s="21" t="s">
        <v>2272</v>
      </c>
      <c r="S845" s="21" t="s">
        <v>2272</v>
      </c>
      <c r="T845" s="21" t="s">
        <v>2272</v>
      </c>
      <c r="U845" s="21" t="s">
        <v>2272</v>
      </c>
      <c r="V845" s="21" t="s">
        <v>2272</v>
      </c>
      <c r="W845" s="21" t="s">
        <v>2272</v>
      </c>
      <c r="X845" s="21" t="s">
        <v>2272</v>
      </c>
      <c r="Y845" s="21" t="s">
        <v>2272</v>
      </c>
      <c r="Z845" s="21" t="s">
        <v>2272</v>
      </c>
      <c r="AA845" s="21" t="s">
        <v>2272</v>
      </c>
      <c r="AB845" s="21" t="s">
        <v>2272</v>
      </c>
      <c r="AC845" s="21" t="s">
        <v>2272</v>
      </c>
      <c r="AD845" s="4" t="s">
        <v>2687</v>
      </c>
      <c r="AE845" s="198"/>
    </row>
    <row r="846" spans="1:31" ht="65.5" customHeight="1">
      <c r="A846" s="198" t="s">
        <v>2620</v>
      </c>
      <c r="B846" s="198" t="s">
        <v>2624</v>
      </c>
      <c r="C846" s="198" t="s">
        <v>23</v>
      </c>
      <c r="D846" s="198" t="s">
        <v>26</v>
      </c>
      <c r="E846" s="198" t="s">
        <v>128</v>
      </c>
      <c r="F846" s="4" t="s">
        <v>73</v>
      </c>
      <c r="G846" s="198" t="s">
        <v>2272</v>
      </c>
      <c r="H846" s="198" t="s">
        <v>521</v>
      </c>
      <c r="I846" s="198"/>
      <c r="J846" s="21" t="s">
        <v>2272</v>
      </c>
      <c r="K846" s="21" t="s">
        <v>2272</v>
      </c>
      <c r="L846" s="21" t="s">
        <v>2272</v>
      </c>
      <c r="M846" s="21" t="s">
        <v>2272</v>
      </c>
      <c r="N846" s="21" t="s">
        <v>2272</v>
      </c>
      <c r="O846" s="21" t="s">
        <v>2272</v>
      </c>
      <c r="P846" s="21">
        <v>0.64</v>
      </c>
      <c r="Q846" s="21" t="s">
        <v>2272</v>
      </c>
      <c r="R846" s="21" t="s">
        <v>2272</v>
      </c>
      <c r="S846" s="21" t="s">
        <v>2272</v>
      </c>
      <c r="T846" s="21" t="s">
        <v>2272</v>
      </c>
      <c r="U846" s="21">
        <v>21</v>
      </c>
      <c r="V846" s="21" t="s">
        <v>2272</v>
      </c>
      <c r="W846" s="21" t="s">
        <v>2272</v>
      </c>
      <c r="X846" s="21" t="s">
        <v>2272</v>
      </c>
      <c r="Y846" s="21" t="s">
        <v>2272</v>
      </c>
      <c r="Z846" s="21" t="s">
        <v>2272</v>
      </c>
      <c r="AA846" s="21" t="s">
        <v>2272</v>
      </c>
      <c r="AB846" s="21" t="s">
        <v>2272</v>
      </c>
      <c r="AC846" s="21" t="s">
        <v>2272</v>
      </c>
      <c r="AD846" s="4" t="s">
        <v>2683</v>
      </c>
      <c r="AE846" s="198"/>
    </row>
    <row r="847" spans="1:31" ht="65.5" customHeight="1">
      <c r="A847" s="198" t="s">
        <v>2620</v>
      </c>
      <c r="B847" s="198" t="s">
        <v>2682</v>
      </c>
      <c r="C847" s="198" t="s">
        <v>23</v>
      </c>
      <c r="D847" s="198" t="s">
        <v>26</v>
      </c>
      <c r="E847" s="198" t="s">
        <v>128</v>
      </c>
      <c r="F847" s="4" t="s">
        <v>159</v>
      </c>
      <c r="G847" s="198" t="s">
        <v>2272</v>
      </c>
      <c r="H847" s="198" t="s">
        <v>522</v>
      </c>
      <c r="I847" s="198"/>
      <c r="J847" s="21" t="s">
        <v>2272</v>
      </c>
      <c r="K847" s="21" t="s">
        <v>2272</v>
      </c>
      <c r="L847" s="21" t="s">
        <v>2272</v>
      </c>
      <c r="M847" s="21" t="s">
        <v>2272</v>
      </c>
      <c r="N847" s="21" t="s">
        <v>2272</v>
      </c>
      <c r="O847" s="21" t="s">
        <v>2272</v>
      </c>
      <c r="P847" s="21" t="s">
        <v>2272</v>
      </c>
      <c r="Q847" s="21" t="s">
        <v>2272</v>
      </c>
      <c r="R847" s="21" t="s">
        <v>2272</v>
      </c>
      <c r="S847" s="21" t="s">
        <v>2272</v>
      </c>
      <c r="T847" s="21" t="s">
        <v>2272</v>
      </c>
      <c r="U847" s="21" t="s">
        <v>2272</v>
      </c>
      <c r="V847" s="21" t="s">
        <v>2272</v>
      </c>
      <c r="W847" s="21" t="s">
        <v>2272</v>
      </c>
      <c r="X847" s="21" t="s">
        <v>2272</v>
      </c>
      <c r="Y847" s="21" t="s">
        <v>2272</v>
      </c>
      <c r="Z847" s="21" t="s">
        <v>2272</v>
      </c>
      <c r="AA847" s="21" t="s">
        <v>2272</v>
      </c>
      <c r="AB847" s="21" t="s">
        <v>2272</v>
      </c>
      <c r="AC847" s="21" t="s">
        <v>2272</v>
      </c>
      <c r="AD847" s="4" t="s">
        <v>2688</v>
      </c>
      <c r="AE847" s="198"/>
    </row>
    <row r="848" spans="1:31" ht="65.5" customHeight="1">
      <c r="A848" s="198" t="s">
        <v>2620</v>
      </c>
      <c r="B848" s="198" t="s">
        <v>2689</v>
      </c>
      <c r="C848" s="198" t="s">
        <v>23</v>
      </c>
      <c r="D848" s="198" t="s">
        <v>2227</v>
      </c>
      <c r="E848" s="198" t="s">
        <v>128</v>
      </c>
      <c r="F848" s="4" t="s">
        <v>73</v>
      </c>
      <c r="G848" s="198" t="s">
        <v>2272</v>
      </c>
      <c r="H848" s="198" t="s">
        <v>521</v>
      </c>
      <c r="I848" s="198"/>
      <c r="J848" s="21" t="s">
        <v>2272</v>
      </c>
      <c r="K848" s="21" t="s">
        <v>2272</v>
      </c>
      <c r="L848" s="21" t="s">
        <v>2272</v>
      </c>
      <c r="M848" s="21" t="s">
        <v>2272</v>
      </c>
      <c r="N848" s="21" t="s">
        <v>2272</v>
      </c>
      <c r="O848" s="21" t="s">
        <v>2272</v>
      </c>
      <c r="P848" s="21">
        <v>0.64</v>
      </c>
      <c r="Q848" s="21" t="s">
        <v>2272</v>
      </c>
      <c r="R848" s="21" t="s">
        <v>2272</v>
      </c>
      <c r="S848" s="21" t="s">
        <v>2272</v>
      </c>
      <c r="T848" s="21" t="s">
        <v>2272</v>
      </c>
      <c r="U848" s="21">
        <v>4</v>
      </c>
      <c r="V848" s="21" t="s">
        <v>2272</v>
      </c>
      <c r="W848" s="21" t="s">
        <v>2272</v>
      </c>
      <c r="X848" s="21" t="s">
        <v>2272</v>
      </c>
      <c r="Y848" s="21" t="s">
        <v>2272</v>
      </c>
      <c r="Z848" s="21" t="s">
        <v>2272</v>
      </c>
      <c r="AA848" s="21" t="s">
        <v>2272</v>
      </c>
      <c r="AB848" s="21" t="s">
        <v>2272</v>
      </c>
      <c r="AC848" s="21" t="s">
        <v>2272</v>
      </c>
      <c r="AD848" s="4" t="s">
        <v>2690</v>
      </c>
      <c r="AE848" s="198"/>
    </row>
    <row r="849" spans="1:31" ht="49" customHeight="1">
      <c r="A849" s="198" t="s">
        <v>2673</v>
      </c>
      <c r="B849" s="198" t="s">
        <v>2676</v>
      </c>
      <c r="C849" s="198" t="s">
        <v>23</v>
      </c>
      <c r="D849" s="198" t="s">
        <v>26</v>
      </c>
      <c r="E849" s="198" t="s">
        <v>128</v>
      </c>
      <c r="F849" s="4" t="s">
        <v>73</v>
      </c>
      <c r="G849" s="198" t="s">
        <v>2272</v>
      </c>
      <c r="H849" s="198" t="s">
        <v>521</v>
      </c>
      <c r="I849" s="198"/>
      <c r="J849" s="21" t="s">
        <v>2272</v>
      </c>
      <c r="K849" s="21" t="s">
        <v>2272</v>
      </c>
      <c r="L849" s="21" t="s">
        <v>2272</v>
      </c>
      <c r="M849" s="21" t="s">
        <v>2272</v>
      </c>
      <c r="N849" s="21" t="s">
        <v>2272</v>
      </c>
      <c r="O849" s="21" t="s">
        <v>2272</v>
      </c>
      <c r="P849" s="21">
        <v>1</v>
      </c>
      <c r="Q849" s="21" t="s">
        <v>2272</v>
      </c>
      <c r="R849" s="21" t="s">
        <v>2272</v>
      </c>
      <c r="S849" s="21" t="s">
        <v>2272</v>
      </c>
      <c r="T849" s="21" t="s">
        <v>2272</v>
      </c>
      <c r="U849" s="21" t="s">
        <v>2272</v>
      </c>
      <c r="V849" s="21" t="s">
        <v>2272</v>
      </c>
      <c r="W849" s="21" t="s">
        <v>2272</v>
      </c>
      <c r="X849" s="21" t="s">
        <v>2272</v>
      </c>
      <c r="Y849" s="21" t="s">
        <v>2272</v>
      </c>
      <c r="Z849" s="21" t="s">
        <v>2272</v>
      </c>
      <c r="AA849" s="21" t="s">
        <v>2272</v>
      </c>
      <c r="AB849" s="21" t="s">
        <v>2272</v>
      </c>
      <c r="AC849" s="21" t="s">
        <v>2272</v>
      </c>
      <c r="AD849" s="4" t="s">
        <v>2672</v>
      </c>
      <c r="AE849" s="198"/>
    </row>
    <row r="850" spans="1:31" ht="51.5" customHeight="1">
      <c r="A850" s="198" t="s">
        <v>2677</v>
      </c>
      <c r="B850" s="198" t="s">
        <v>2680</v>
      </c>
      <c r="C850" s="198" t="s">
        <v>23</v>
      </c>
      <c r="D850" s="198" t="s">
        <v>26</v>
      </c>
      <c r="E850" s="198" t="s">
        <v>128</v>
      </c>
      <c r="F850" s="4" t="s">
        <v>73</v>
      </c>
      <c r="G850" s="198" t="s">
        <v>2272</v>
      </c>
      <c r="H850" s="198" t="s">
        <v>521</v>
      </c>
      <c r="I850" s="198"/>
      <c r="J850" s="21" t="s">
        <v>2272</v>
      </c>
      <c r="K850" s="21" t="s">
        <v>2272</v>
      </c>
      <c r="L850" s="21" t="s">
        <v>2272</v>
      </c>
      <c r="M850" s="21" t="s">
        <v>2272</v>
      </c>
      <c r="N850" s="21" t="s">
        <v>2272</v>
      </c>
      <c r="O850" s="21" t="s">
        <v>2272</v>
      </c>
      <c r="P850" s="21">
        <v>0.6</v>
      </c>
      <c r="Q850" s="21" t="s">
        <v>2272</v>
      </c>
      <c r="R850" s="21" t="s">
        <v>2272</v>
      </c>
      <c r="S850" s="21" t="s">
        <v>2272</v>
      </c>
      <c r="T850" s="21" t="s">
        <v>2272</v>
      </c>
      <c r="U850" s="21" t="s">
        <v>2272</v>
      </c>
      <c r="V850" s="21" t="s">
        <v>2272</v>
      </c>
      <c r="W850" s="21" t="s">
        <v>2272</v>
      </c>
      <c r="X850" s="21" t="s">
        <v>2272</v>
      </c>
      <c r="Y850" s="21" t="s">
        <v>2272</v>
      </c>
      <c r="Z850" s="21" t="s">
        <v>2272</v>
      </c>
      <c r="AA850" s="21" t="s">
        <v>2272</v>
      </c>
      <c r="AB850" s="21" t="s">
        <v>2272</v>
      </c>
      <c r="AC850" s="21" t="s">
        <v>2272</v>
      </c>
      <c r="AD850" s="4" t="s">
        <v>2672</v>
      </c>
      <c r="AE850" s="198"/>
    </row>
    <row r="851" spans="1:31" ht="26.5" customHeight="1">
      <c r="A851" s="198" t="s">
        <v>2702</v>
      </c>
      <c r="B851" s="198" t="s">
        <v>2716</v>
      </c>
      <c r="C851" s="198" t="s">
        <v>23</v>
      </c>
      <c r="D851" s="198" t="s">
        <v>26</v>
      </c>
      <c r="E851" s="198" t="s">
        <v>128</v>
      </c>
      <c r="F851" s="4" t="s">
        <v>73</v>
      </c>
      <c r="G851" s="198" t="s">
        <v>2272</v>
      </c>
      <c r="H851" s="198" t="s">
        <v>521</v>
      </c>
      <c r="I851" s="198"/>
      <c r="J851" s="21" t="s">
        <v>2272</v>
      </c>
      <c r="K851" s="21" t="s">
        <v>2272</v>
      </c>
      <c r="L851" s="21" t="s">
        <v>2272</v>
      </c>
      <c r="M851" s="21" t="s">
        <v>2272</v>
      </c>
      <c r="N851" s="21" t="s">
        <v>2272</v>
      </c>
      <c r="O851" s="21" t="s">
        <v>2272</v>
      </c>
      <c r="P851" s="21" t="s">
        <v>2272</v>
      </c>
      <c r="Q851" s="21" t="s">
        <v>2272</v>
      </c>
      <c r="R851" s="21" t="s">
        <v>2272</v>
      </c>
      <c r="S851" s="21" t="s">
        <v>2272</v>
      </c>
      <c r="T851" s="21" t="s">
        <v>2272</v>
      </c>
      <c r="U851" s="21" t="s">
        <v>2272</v>
      </c>
      <c r="V851" s="21" t="s">
        <v>2272</v>
      </c>
      <c r="W851" s="21" t="s">
        <v>2272</v>
      </c>
      <c r="X851" s="21" t="s">
        <v>2272</v>
      </c>
      <c r="Y851" s="21" t="s">
        <v>2272</v>
      </c>
      <c r="Z851" s="21" t="s">
        <v>2272</v>
      </c>
      <c r="AA851" s="21" t="s">
        <v>2272</v>
      </c>
      <c r="AB851" s="21" t="s">
        <v>2272</v>
      </c>
      <c r="AC851" s="21" t="s">
        <v>2272</v>
      </c>
      <c r="AD851" s="198"/>
      <c r="AE851" s="198" t="s">
        <v>2728</v>
      </c>
    </row>
    <row r="852" spans="1:31" ht="30" customHeight="1">
      <c r="A852" s="198" t="s">
        <v>2702</v>
      </c>
      <c r="B852" s="198" t="s">
        <v>2717</v>
      </c>
      <c r="C852" s="198" t="s">
        <v>2453</v>
      </c>
      <c r="D852" s="198" t="s">
        <v>26</v>
      </c>
      <c r="E852" s="198" t="s">
        <v>128</v>
      </c>
      <c r="F852" s="4" t="s">
        <v>73</v>
      </c>
      <c r="G852" s="198" t="s">
        <v>159</v>
      </c>
      <c r="H852" s="198" t="s">
        <v>521</v>
      </c>
      <c r="I852" s="198"/>
      <c r="J852" s="21" t="s">
        <v>2272</v>
      </c>
      <c r="K852" s="21" t="s">
        <v>2272</v>
      </c>
      <c r="L852" s="21" t="s">
        <v>2272</v>
      </c>
      <c r="M852" s="21" t="s">
        <v>2272</v>
      </c>
      <c r="N852" s="21" t="s">
        <v>2272</v>
      </c>
      <c r="O852" s="21" t="s">
        <v>2272</v>
      </c>
      <c r="P852" s="21" t="s">
        <v>2272</v>
      </c>
      <c r="Q852" s="21" t="s">
        <v>2272</v>
      </c>
      <c r="R852" s="21" t="s">
        <v>2272</v>
      </c>
      <c r="S852" s="21" t="s">
        <v>2272</v>
      </c>
      <c r="T852" s="21" t="s">
        <v>2272</v>
      </c>
      <c r="U852" s="21" t="s">
        <v>2272</v>
      </c>
      <c r="V852" s="21" t="s">
        <v>2272</v>
      </c>
      <c r="W852" s="21" t="s">
        <v>2272</v>
      </c>
      <c r="X852" s="21" t="s">
        <v>2272</v>
      </c>
      <c r="Y852" s="21" t="s">
        <v>2272</v>
      </c>
      <c r="Z852" s="21" t="s">
        <v>2272</v>
      </c>
      <c r="AA852" s="21" t="s">
        <v>2272</v>
      </c>
      <c r="AB852" s="21" t="s">
        <v>2272</v>
      </c>
      <c r="AC852" s="21" t="s">
        <v>2272</v>
      </c>
      <c r="AD852" s="4" t="s">
        <v>2727</v>
      </c>
      <c r="AE852" s="198"/>
    </row>
    <row r="853" spans="1:31" ht="28.5" customHeight="1">
      <c r="A853" s="198" t="s">
        <v>2703</v>
      </c>
      <c r="B853" s="198" t="s">
        <v>2715</v>
      </c>
      <c r="C853" s="198" t="s">
        <v>23</v>
      </c>
      <c r="D853" s="198" t="s">
        <v>26</v>
      </c>
      <c r="E853" s="198" t="s">
        <v>128</v>
      </c>
      <c r="F853" s="4" t="s">
        <v>73</v>
      </c>
      <c r="G853" s="198" t="s">
        <v>2272</v>
      </c>
      <c r="H853" s="198" t="s">
        <v>521</v>
      </c>
      <c r="I853" s="198"/>
      <c r="J853" s="21" t="s">
        <v>2272</v>
      </c>
      <c r="K853" s="21" t="s">
        <v>2272</v>
      </c>
      <c r="L853" s="21" t="s">
        <v>2272</v>
      </c>
      <c r="M853" s="21" t="s">
        <v>2272</v>
      </c>
      <c r="N853" s="21" t="s">
        <v>2272</v>
      </c>
      <c r="O853" s="21" t="s">
        <v>2272</v>
      </c>
      <c r="P853" s="21" t="s">
        <v>2272</v>
      </c>
      <c r="Q853" s="21" t="s">
        <v>2272</v>
      </c>
      <c r="R853" s="21" t="s">
        <v>2272</v>
      </c>
      <c r="S853" s="21" t="s">
        <v>2272</v>
      </c>
      <c r="T853" s="21" t="s">
        <v>2272</v>
      </c>
      <c r="U853" s="21" t="s">
        <v>2272</v>
      </c>
      <c r="V853" s="21" t="s">
        <v>2272</v>
      </c>
      <c r="W853" s="21" t="s">
        <v>2272</v>
      </c>
      <c r="X853" s="21" t="s">
        <v>2272</v>
      </c>
      <c r="Y853" s="21" t="s">
        <v>2272</v>
      </c>
      <c r="Z853" s="21" t="s">
        <v>2272</v>
      </c>
      <c r="AA853" s="21" t="s">
        <v>2272</v>
      </c>
      <c r="AB853" s="21" t="s">
        <v>2272</v>
      </c>
      <c r="AC853" s="21" t="s">
        <v>2272</v>
      </c>
      <c r="AD853" s="198"/>
      <c r="AE853" s="4" t="s">
        <v>2742</v>
      </c>
    </row>
    <row r="854" spans="1:31" ht="28.5" customHeight="1">
      <c r="A854" s="198" t="s">
        <v>2703</v>
      </c>
      <c r="B854" s="198" t="s">
        <v>2722</v>
      </c>
      <c r="C854" s="198" t="s">
        <v>2453</v>
      </c>
      <c r="D854" s="198" t="s">
        <v>26</v>
      </c>
      <c r="E854" s="198" t="s">
        <v>128</v>
      </c>
      <c r="F854" s="4" t="s">
        <v>73</v>
      </c>
      <c r="G854" s="198" t="s">
        <v>27</v>
      </c>
      <c r="H854" s="198" t="s">
        <v>521</v>
      </c>
      <c r="I854" s="198"/>
      <c r="J854" s="21" t="s">
        <v>2272</v>
      </c>
      <c r="K854" s="21" t="s">
        <v>2272</v>
      </c>
      <c r="L854" s="21" t="s">
        <v>2272</v>
      </c>
      <c r="M854" s="21" t="s">
        <v>2272</v>
      </c>
      <c r="N854" s="21" t="s">
        <v>2272</v>
      </c>
      <c r="O854" s="21" t="s">
        <v>2272</v>
      </c>
      <c r="P854" s="21" t="s">
        <v>2272</v>
      </c>
      <c r="Q854" s="21" t="s">
        <v>2272</v>
      </c>
      <c r="R854" s="21" t="s">
        <v>2272</v>
      </c>
      <c r="S854" s="21" t="s">
        <v>2272</v>
      </c>
      <c r="T854" s="21" t="s">
        <v>2272</v>
      </c>
      <c r="U854" s="21" t="s">
        <v>2272</v>
      </c>
      <c r="V854" s="21" t="s">
        <v>2272</v>
      </c>
      <c r="W854" s="21" t="s">
        <v>2272</v>
      </c>
      <c r="X854" s="21" t="s">
        <v>2272</v>
      </c>
      <c r="Y854" s="21" t="s">
        <v>2272</v>
      </c>
      <c r="Z854" s="21" t="s">
        <v>2272</v>
      </c>
      <c r="AA854" s="21" t="s">
        <v>2272</v>
      </c>
      <c r="AB854" s="21" t="s">
        <v>2272</v>
      </c>
      <c r="AC854" s="21" t="s">
        <v>2272</v>
      </c>
      <c r="AD854" s="4" t="s">
        <v>2729</v>
      </c>
      <c r="AE854" s="198"/>
    </row>
    <row r="855" spans="1:31" ht="24.5" customHeight="1">
      <c r="A855" s="198" t="s">
        <v>2704</v>
      </c>
      <c r="B855" s="198" t="s">
        <v>2711</v>
      </c>
      <c r="C855" s="198" t="s">
        <v>23</v>
      </c>
      <c r="D855" s="198" t="s">
        <v>26</v>
      </c>
      <c r="E855" s="198" t="s">
        <v>128</v>
      </c>
      <c r="F855" s="4" t="s">
        <v>73</v>
      </c>
      <c r="G855" s="198" t="s">
        <v>2272</v>
      </c>
      <c r="H855" s="198" t="s">
        <v>521</v>
      </c>
      <c r="I855" s="198"/>
      <c r="J855" s="21" t="s">
        <v>2272</v>
      </c>
      <c r="K855" s="21" t="s">
        <v>2272</v>
      </c>
      <c r="L855" s="21" t="s">
        <v>2272</v>
      </c>
      <c r="M855" s="21" t="s">
        <v>2272</v>
      </c>
      <c r="N855" s="21" t="s">
        <v>2272</v>
      </c>
      <c r="O855" s="21" t="s">
        <v>2272</v>
      </c>
      <c r="P855" s="21" t="s">
        <v>2272</v>
      </c>
      <c r="Q855" s="21" t="s">
        <v>2272</v>
      </c>
      <c r="R855" s="21" t="s">
        <v>2272</v>
      </c>
      <c r="S855" s="21" t="s">
        <v>2272</v>
      </c>
      <c r="T855" s="21" t="s">
        <v>2272</v>
      </c>
      <c r="U855" s="21" t="s">
        <v>2272</v>
      </c>
      <c r="V855" s="21" t="s">
        <v>2272</v>
      </c>
      <c r="W855" s="21" t="s">
        <v>2272</v>
      </c>
      <c r="X855" s="21" t="s">
        <v>2272</v>
      </c>
      <c r="Y855" s="21" t="s">
        <v>2272</v>
      </c>
      <c r="Z855" s="21" t="s">
        <v>2272</v>
      </c>
      <c r="AA855" s="21" t="s">
        <v>2272</v>
      </c>
      <c r="AB855" s="21" t="s">
        <v>2272</v>
      </c>
      <c r="AC855" s="21" t="s">
        <v>2272</v>
      </c>
      <c r="AD855" s="198"/>
      <c r="AE855" s="198" t="s">
        <v>2728</v>
      </c>
    </row>
    <row r="856" spans="1:31" ht="30" customHeight="1">
      <c r="A856" s="198" t="s">
        <v>2704</v>
      </c>
      <c r="B856" s="198" t="s">
        <v>2725</v>
      </c>
      <c r="C856" s="198" t="s">
        <v>23</v>
      </c>
      <c r="D856" s="198" t="s">
        <v>26</v>
      </c>
      <c r="E856" s="4" t="s">
        <v>82</v>
      </c>
      <c r="F856" s="4" t="s">
        <v>73</v>
      </c>
      <c r="G856" s="198" t="s">
        <v>2272</v>
      </c>
      <c r="H856" s="198" t="s">
        <v>521</v>
      </c>
      <c r="I856" s="198"/>
      <c r="J856" s="21" t="s">
        <v>2272</v>
      </c>
      <c r="K856" s="21" t="s">
        <v>2272</v>
      </c>
      <c r="L856" s="21" t="s">
        <v>2272</v>
      </c>
      <c r="M856" s="21" t="s">
        <v>2272</v>
      </c>
      <c r="N856" s="21" t="s">
        <v>2272</v>
      </c>
      <c r="O856" s="21" t="s">
        <v>2272</v>
      </c>
      <c r="P856" s="21" t="s">
        <v>2272</v>
      </c>
      <c r="Q856" s="21" t="s">
        <v>2272</v>
      </c>
      <c r="R856" s="21" t="s">
        <v>2272</v>
      </c>
      <c r="S856" s="21" t="s">
        <v>2272</v>
      </c>
      <c r="T856" s="21" t="s">
        <v>2272</v>
      </c>
      <c r="U856" s="21" t="s">
        <v>2272</v>
      </c>
      <c r="V856" s="21" t="s">
        <v>2272</v>
      </c>
      <c r="W856" s="21" t="s">
        <v>2272</v>
      </c>
      <c r="X856" s="21" t="s">
        <v>2272</v>
      </c>
      <c r="Y856" s="21" t="s">
        <v>2272</v>
      </c>
      <c r="Z856" s="21" t="s">
        <v>2272</v>
      </c>
      <c r="AA856" s="21" t="s">
        <v>2272</v>
      </c>
      <c r="AB856" s="21" t="s">
        <v>2272</v>
      </c>
      <c r="AC856" s="21" t="s">
        <v>2272</v>
      </c>
      <c r="AD856" s="198"/>
      <c r="AE856" s="198"/>
    </row>
    <row r="857" spans="1:31" ht="30" customHeight="1">
      <c r="A857" s="198" t="s">
        <v>2704</v>
      </c>
      <c r="B857" s="198" t="s">
        <v>2730</v>
      </c>
      <c r="C857" s="198" t="s">
        <v>23</v>
      </c>
      <c r="D857" s="198" t="s">
        <v>141</v>
      </c>
      <c r="E857" s="4" t="s">
        <v>82</v>
      </c>
      <c r="F857" s="4" t="s">
        <v>73</v>
      </c>
      <c r="G857" s="198" t="s">
        <v>2272</v>
      </c>
      <c r="H857" s="198" t="s">
        <v>521</v>
      </c>
      <c r="I857" s="198"/>
      <c r="J857" s="21" t="s">
        <v>2272</v>
      </c>
      <c r="K857" s="21" t="s">
        <v>2272</v>
      </c>
      <c r="L857" s="21" t="s">
        <v>2272</v>
      </c>
      <c r="M857" s="21" t="s">
        <v>2272</v>
      </c>
      <c r="N857" s="21" t="s">
        <v>2272</v>
      </c>
      <c r="O857" s="21" t="s">
        <v>2272</v>
      </c>
      <c r="P857" s="21" t="s">
        <v>2272</v>
      </c>
      <c r="Q857" s="21" t="s">
        <v>2272</v>
      </c>
      <c r="R857" s="21" t="s">
        <v>2272</v>
      </c>
      <c r="S857" s="21" t="s">
        <v>2272</v>
      </c>
      <c r="T857" s="21" t="s">
        <v>2272</v>
      </c>
      <c r="U857" s="21" t="s">
        <v>2272</v>
      </c>
      <c r="V857" s="21" t="s">
        <v>2272</v>
      </c>
      <c r="W857" s="21" t="s">
        <v>2272</v>
      </c>
      <c r="X857" s="21" t="s">
        <v>2272</v>
      </c>
      <c r="Y857" s="21" t="s">
        <v>2272</v>
      </c>
      <c r="Z857" s="21" t="s">
        <v>2272</v>
      </c>
      <c r="AA857" s="21" t="s">
        <v>2272</v>
      </c>
      <c r="AB857" s="21" t="s">
        <v>2272</v>
      </c>
      <c r="AC857" s="21" t="s">
        <v>2272</v>
      </c>
      <c r="AD857" s="198"/>
      <c r="AE857" s="198"/>
    </row>
    <row r="858" spans="1:31" ht="35" customHeight="1">
      <c r="A858" s="198" t="s">
        <v>2704</v>
      </c>
      <c r="B858" s="198" t="s">
        <v>2732</v>
      </c>
      <c r="C858" s="198" t="s">
        <v>2453</v>
      </c>
      <c r="D858" s="198" t="s">
        <v>141</v>
      </c>
      <c r="E858" s="4" t="s">
        <v>82</v>
      </c>
      <c r="F858" s="4" t="s">
        <v>73</v>
      </c>
      <c r="G858" s="198" t="s">
        <v>27</v>
      </c>
      <c r="H858" s="198" t="s">
        <v>521</v>
      </c>
      <c r="I858" s="198"/>
      <c r="J858" s="21" t="s">
        <v>2272</v>
      </c>
      <c r="K858" s="21" t="s">
        <v>2272</v>
      </c>
      <c r="L858" s="21" t="s">
        <v>2272</v>
      </c>
      <c r="M858" s="21" t="s">
        <v>2272</v>
      </c>
      <c r="N858" s="21" t="s">
        <v>2272</v>
      </c>
      <c r="O858" s="21" t="s">
        <v>2272</v>
      </c>
      <c r="P858" s="21" t="s">
        <v>2272</v>
      </c>
      <c r="Q858" s="21" t="s">
        <v>2272</v>
      </c>
      <c r="R858" s="21" t="s">
        <v>2272</v>
      </c>
      <c r="S858" s="21" t="s">
        <v>2272</v>
      </c>
      <c r="T858" s="21" t="s">
        <v>2272</v>
      </c>
      <c r="U858" s="21" t="s">
        <v>2272</v>
      </c>
      <c r="V858" s="21" t="s">
        <v>2272</v>
      </c>
      <c r="W858" s="21" t="s">
        <v>2272</v>
      </c>
      <c r="X858" s="21" t="s">
        <v>2272</v>
      </c>
      <c r="Y858" s="21" t="s">
        <v>2272</v>
      </c>
      <c r="Z858" s="21" t="s">
        <v>2272</v>
      </c>
      <c r="AA858" s="21" t="s">
        <v>2272</v>
      </c>
      <c r="AB858" s="21" t="s">
        <v>2272</v>
      </c>
      <c r="AC858" s="21" t="s">
        <v>2272</v>
      </c>
      <c r="AD858" s="4" t="s">
        <v>2726</v>
      </c>
      <c r="AE858" s="198"/>
    </row>
    <row r="859" spans="1:31" ht="35.5" customHeight="1">
      <c r="A859" s="198" t="s">
        <v>2719</v>
      </c>
      <c r="B859" s="198" t="s">
        <v>2720</v>
      </c>
      <c r="C859" s="198" t="s">
        <v>2453</v>
      </c>
      <c r="D859" s="198" t="s">
        <v>1102</v>
      </c>
      <c r="E859" s="198" t="s">
        <v>1102</v>
      </c>
      <c r="F859" s="4" t="s">
        <v>2272</v>
      </c>
      <c r="G859" s="198" t="s">
        <v>73</v>
      </c>
      <c r="H859" s="198" t="s">
        <v>521</v>
      </c>
      <c r="I859" s="198"/>
      <c r="J859" s="21" t="s">
        <v>2272</v>
      </c>
      <c r="K859" s="21" t="s">
        <v>2272</v>
      </c>
      <c r="L859" s="21" t="s">
        <v>2272</v>
      </c>
      <c r="M859" s="21" t="s">
        <v>2272</v>
      </c>
      <c r="N859" s="21" t="s">
        <v>2272</v>
      </c>
      <c r="O859" s="21" t="s">
        <v>2272</v>
      </c>
      <c r="P859" s="21" t="s">
        <v>2272</v>
      </c>
      <c r="Q859" s="21" t="s">
        <v>2272</v>
      </c>
      <c r="R859" s="21" t="s">
        <v>2272</v>
      </c>
      <c r="S859" s="21" t="s">
        <v>2272</v>
      </c>
      <c r="T859" s="21" t="s">
        <v>2272</v>
      </c>
      <c r="U859" s="21">
        <v>170000</v>
      </c>
      <c r="V859" s="21" t="s">
        <v>2272</v>
      </c>
      <c r="W859" s="21" t="s">
        <v>2272</v>
      </c>
      <c r="X859" s="21" t="s">
        <v>2272</v>
      </c>
      <c r="Y859" s="21">
        <f>U859/'Record info'!K531</f>
        <v>8.7891634784406989</v>
      </c>
      <c r="Z859" s="21" t="s">
        <v>2272</v>
      </c>
      <c r="AA859" s="21" t="s">
        <v>2272</v>
      </c>
      <c r="AB859" s="21" t="s">
        <v>2272</v>
      </c>
      <c r="AC859" s="21" t="s">
        <v>2272</v>
      </c>
      <c r="AD859" s="198"/>
      <c r="AE859" s="198"/>
    </row>
    <row r="860" spans="1:31" ht="36.5" customHeight="1">
      <c r="A860" s="198" t="s">
        <v>2741</v>
      </c>
      <c r="B860" s="198" t="s">
        <v>2744</v>
      </c>
      <c r="C860" s="198" t="s">
        <v>30</v>
      </c>
      <c r="D860" s="198" t="s">
        <v>1102</v>
      </c>
      <c r="E860" s="198" t="s">
        <v>1102</v>
      </c>
      <c r="F860" s="4" t="s">
        <v>2272</v>
      </c>
      <c r="G860" s="198" t="s">
        <v>73</v>
      </c>
      <c r="H860" s="198" t="s">
        <v>521</v>
      </c>
      <c r="I860" s="198"/>
      <c r="J860" s="21" t="s">
        <v>2272</v>
      </c>
      <c r="K860" s="21" t="s">
        <v>2272</v>
      </c>
      <c r="L860" s="21" t="s">
        <v>2272</v>
      </c>
      <c r="M860" s="21" t="s">
        <v>2272</v>
      </c>
      <c r="N860" s="21" t="s">
        <v>2272</v>
      </c>
      <c r="O860" s="21" t="s">
        <v>2272</v>
      </c>
      <c r="P860" s="21" t="s">
        <v>2272</v>
      </c>
      <c r="Q860" s="21" t="s">
        <v>2272</v>
      </c>
      <c r="R860" s="21" t="s">
        <v>2272</v>
      </c>
      <c r="S860" s="21" t="s">
        <v>2272</v>
      </c>
      <c r="T860" s="21" t="s">
        <v>2272</v>
      </c>
      <c r="U860" s="21">
        <f>400*100</f>
        <v>40000</v>
      </c>
      <c r="V860" s="21" t="s">
        <v>2272</v>
      </c>
      <c r="W860" s="21" t="s">
        <v>2272</v>
      </c>
      <c r="X860" s="21" t="s">
        <v>2272</v>
      </c>
      <c r="Y860" s="21" t="s">
        <v>2272</v>
      </c>
      <c r="Z860" s="21" t="s">
        <v>2272</v>
      </c>
      <c r="AA860" s="21" t="s">
        <v>2272</v>
      </c>
      <c r="AB860" s="21" t="s">
        <v>2272</v>
      </c>
      <c r="AC860" s="21" t="s">
        <v>2272</v>
      </c>
      <c r="AD860" s="198"/>
      <c r="AE860" s="198"/>
    </row>
    <row r="861" spans="1:31" ht="34.5" customHeight="1">
      <c r="A861" s="198" t="s">
        <v>2746</v>
      </c>
      <c r="B861" s="198" t="s">
        <v>2752</v>
      </c>
      <c r="C861" s="198" t="s">
        <v>23</v>
      </c>
      <c r="D861" s="198" t="s">
        <v>26</v>
      </c>
      <c r="E861" s="198" t="s">
        <v>128</v>
      </c>
      <c r="F861" s="4" t="s">
        <v>159</v>
      </c>
      <c r="G861" s="198" t="s">
        <v>2272</v>
      </c>
      <c r="H861" s="198" t="s">
        <v>521</v>
      </c>
      <c r="I861" s="198"/>
      <c r="J861" s="21" t="s">
        <v>2272</v>
      </c>
      <c r="K861" s="21" t="s">
        <v>2272</v>
      </c>
      <c r="L861" s="21" t="s">
        <v>2272</v>
      </c>
      <c r="M861" s="21" t="s">
        <v>2272</v>
      </c>
      <c r="N861" s="21" t="s">
        <v>2272</v>
      </c>
      <c r="O861" s="21" t="s">
        <v>2272</v>
      </c>
      <c r="P861" s="21" t="s">
        <v>2272</v>
      </c>
      <c r="Q861" s="21" t="s">
        <v>2272</v>
      </c>
      <c r="R861" s="21" t="s">
        <v>2272</v>
      </c>
      <c r="S861" s="21" t="s">
        <v>2272</v>
      </c>
      <c r="T861" s="21" t="s">
        <v>2272</v>
      </c>
      <c r="U861" s="21" t="s">
        <v>2272</v>
      </c>
      <c r="V861" s="21" t="s">
        <v>2272</v>
      </c>
      <c r="W861" s="21" t="s">
        <v>2272</v>
      </c>
      <c r="X861" s="21" t="s">
        <v>2272</v>
      </c>
      <c r="Y861" s="21" t="s">
        <v>2272</v>
      </c>
      <c r="Z861" s="21" t="s">
        <v>2272</v>
      </c>
      <c r="AA861" s="21" t="s">
        <v>2272</v>
      </c>
      <c r="AB861" s="21" t="s">
        <v>2272</v>
      </c>
      <c r="AC861" s="21" t="s">
        <v>2272</v>
      </c>
      <c r="AD861" s="198"/>
      <c r="AE861" s="198" t="s">
        <v>2755</v>
      </c>
    </row>
    <row r="862" spans="1:31" ht="30" customHeight="1">
      <c r="A862" s="198" t="s">
        <v>2751</v>
      </c>
      <c r="B862" s="198" t="s">
        <v>2753</v>
      </c>
      <c r="C862" s="198" t="s">
        <v>23</v>
      </c>
      <c r="D862" s="198" t="s">
        <v>26</v>
      </c>
      <c r="E862" s="198" t="s">
        <v>128</v>
      </c>
      <c r="F862" s="4" t="s">
        <v>159</v>
      </c>
      <c r="G862" s="198" t="s">
        <v>2272</v>
      </c>
      <c r="H862" s="198" t="s">
        <v>521</v>
      </c>
      <c r="I862" s="198"/>
      <c r="J862" s="21" t="s">
        <v>2272</v>
      </c>
      <c r="K862" s="21" t="s">
        <v>2272</v>
      </c>
      <c r="L862" s="21" t="s">
        <v>2272</v>
      </c>
      <c r="M862" s="21" t="s">
        <v>2272</v>
      </c>
      <c r="N862" s="21" t="s">
        <v>2272</v>
      </c>
      <c r="O862" s="21" t="s">
        <v>2272</v>
      </c>
      <c r="P862" s="21" t="s">
        <v>2272</v>
      </c>
      <c r="Q862" s="21" t="s">
        <v>2272</v>
      </c>
      <c r="R862" s="21" t="s">
        <v>2272</v>
      </c>
      <c r="S862" s="21" t="s">
        <v>2272</v>
      </c>
      <c r="T862" s="21" t="s">
        <v>2272</v>
      </c>
      <c r="U862" s="21" t="s">
        <v>2272</v>
      </c>
      <c r="V862" s="21" t="s">
        <v>2272</v>
      </c>
      <c r="W862" s="21" t="s">
        <v>2272</v>
      </c>
      <c r="X862" s="21" t="s">
        <v>2272</v>
      </c>
      <c r="Y862" s="21" t="s">
        <v>2272</v>
      </c>
      <c r="Z862" s="21" t="s">
        <v>2272</v>
      </c>
      <c r="AA862" s="21" t="s">
        <v>2272</v>
      </c>
      <c r="AB862" s="21" t="s">
        <v>2272</v>
      </c>
      <c r="AC862" s="21" t="s">
        <v>2272</v>
      </c>
      <c r="AD862" s="198"/>
      <c r="AE862" s="198" t="s">
        <v>2756</v>
      </c>
    </row>
    <row r="863" spans="1:31" ht="39" customHeight="1">
      <c r="A863" s="198" t="s">
        <v>2758</v>
      </c>
      <c r="B863" s="198" t="s">
        <v>2761</v>
      </c>
      <c r="C863" s="198" t="s">
        <v>23</v>
      </c>
      <c r="D863" s="198" t="s">
        <v>26</v>
      </c>
      <c r="E863" s="198" t="s">
        <v>128</v>
      </c>
      <c r="F863" s="4" t="s">
        <v>159</v>
      </c>
      <c r="G863" s="198" t="s">
        <v>2272</v>
      </c>
      <c r="H863" s="198" t="s">
        <v>521</v>
      </c>
      <c r="I863" s="198"/>
      <c r="J863" s="21" t="s">
        <v>2272</v>
      </c>
      <c r="K863" s="21" t="s">
        <v>2272</v>
      </c>
      <c r="L863" s="21" t="s">
        <v>2272</v>
      </c>
      <c r="M863" s="21">
        <v>7.6999999999999999E-2</v>
      </c>
      <c r="N863" s="21" t="s">
        <v>2272</v>
      </c>
      <c r="O863" s="21">
        <v>8.8999999999999996E-2</v>
      </c>
      <c r="P863" s="21" t="s">
        <v>2272</v>
      </c>
      <c r="Q863" s="21">
        <f>AVERAGE(M863,O863)</f>
        <v>8.299999999999999E-2</v>
      </c>
      <c r="R863" s="21" t="s">
        <v>2272</v>
      </c>
      <c r="S863" s="21" t="s">
        <v>2272</v>
      </c>
      <c r="T863" s="21" t="s">
        <v>2272</v>
      </c>
      <c r="U863" s="21">
        <f>(77+89)/100</f>
        <v>1.66</v>
      </c>
      <c r="V863" s="21">
        <f>6.9+7.5</f>
        <v>14.4</v>
      </c>
      <c r="W863" s="21" t="s">
        <v>2272</v>
      </c>
      <c r="X863" s="21" t="s">
        <v>2272</v>
      </c>
      <c r="Y863" s="21" t="s">
        <v>2272</v>
      </c>
      <c r="Z863" s="21" t="s">
        <v>2272</v>
      </c>
      <c r="AA863" s="198" t="s">
        <v>67</v>
      </c>
      <c r="AB863" s="198" t="s">
        <v>67</v>
      </c>
      <c r="AC863" s="21" t="s">
        <v>63</v>
      </c>
      <c r="AD863" s="198"/>
      <c r="AE863" s="198"/>
    </row>
    <row r="864" spans="1:31" ht="43.5">
      <c r="A864" s="198" t="s">
        <v>2764</v>
      </c>
      <c r="B864" s="198" t="s">
        <v>2765</v>
      </c>
      <c r="C864" s="198" t="s">
        <v>23</v>
      </c>
      <c r="D864" s="198" t="s">
        <v>26</v>
      </c>
      <c r="E864" s="198" t="s">
        <v>128</v>
      </c>
      <c r="F864" s="4" t="s">
        <v>27</v>
      </c>
      <c r="G864" s="198" t="s">
        <v>2272</v>
      </c>
      <c r="H864" s="198" t="s">
        <v>521</v>
      </c>
      <c r="I864" s="198"/>
      <c r="J864" s="21" t="s">
        <v>2272</v>
      </c>
      <c r="K864" s="21" t="s">
        <v>2272</v>
      </c>
      <c r="L864" s="21" t="s">
        <v>2272</v>
      </c>
      <c r="M864" s="21" t="s">
        <v>2272</v>
      </c>
      <c r="N864" s="21" t="s">
        <v>2272</v>
      </c>
      <c r="O864" s="21" t="s">
        <v>2272</v>
      </c>
      <c r="P864" s="21" t="s">
        <v>2272</v>
      </c>
      <c r="Q864" s="21" t="s">
        <v>2272</v>
      </c>
      <c r="R864" s="21" t="s">
        <v>2272</v>
      </c>
      <c r="S864" s="21" t="s">
        <v>2272</v>
      </c>
      <c r="T864" s="21" t="s">
        <v>2272</v>
      </c>
      <c r="U864" s="21" t="s">
        <v>2272</v>
      </c>
      <c r="V864" s="21" t="s">
        <v>2272</v>
      </c>
      <c r="W864" s="21" t="s">
        <v>2272</v>
      </c>
      <c r="X864" s="21" t="s">
        <v>2272</v>
      </c>
      <c r="Y864" s="21" t="s">
        <v>2272</v>
      </c>
      <c r="Z864" s="21" t="s">
        <v>2272</v>
      </c>
      <c r="AA864" s="21" t="s">
        <v>403</v>
      </c>
      <c r="AB864" s="21" t="s">
        <v>403</v>
      </c>
      <c r="AC864" s="21" t="s">
        <v>63</v>
      </c>
      <c r="AD864" s="198"/>
      <c r="AE864" s="4" t="s">
        <v>2784</v>
      </c>
    </row>
    <row r="865" spans="1:31" ht="43.5">
      <c r="A865" s="198" t="s">
        <v>2768</v>
      </c>
      <c r="B865" s="198" t="s">
        <v>2778</v>
      </c>
      <c r="C865" s="198" t="s">
        <v>23</v>
      </c>
      <c r="D865" s="198" t="s">
        <v>26</v>
      </c>
      <c r="E865" s="198" t="s">
        <v>128</v>
      </c>
      <c r="F865" s="4" t="s">
        <v>27</v>
      </c>
      <c r="G865" s="198" t="s">
        <v>2272</v>
      </c>
      <c r="H865" s="198" t="s">
        <v>521</v>
      </c>
      <c r="I865" s="198"/>
      <c r="J865" s="21" t="s">
        <v>2272</v>
      </c>
      <c r="K865" s="21" t="s">
        <v>2272</v>
      </c>
      <c r="L865" s="21" t="s">
        <v>2272</v>
      </c>
      <c r="M865" s="21" t="s">
        <v>2272</v>
      </c>
      <c r="N865" s="21" t="s">
        <v>2272</v>
      </c>
      <c r="O865" s="21" t="s">
        <v>2272</v>
      </c>
      <c r="P865" s="21" t="s">
        <v>2272</v>
      </c>
      <c r="Q865" s="21" t="s">
        <v>2272</v>
      </c>
      <c r="R865" s="21" t="s">
        <v>2272</v>
      </c>
      <c r="S865" s="21" t="s">
        <v>2272</v>
      </c>
      <c r="T865" s="21" t="s">
        <v>2272</v>
      </c>
      <c r="U865" s="21" t="s">
        <v>2272</v>
      </c>
      <c r="V865" s="21" t="s">
        <v>2272</v>
      </c>
      <c r="W865" s="21" t="s">
        <v>2272</v>
      </c>
      <c r="X865" s="21" t="s">
        <v>2272</v>
      </c>
      <c r="Y865" s="21" t="s">
        <v>2272</v>
      </c>
      <c r="Z865" s="21" t="s">
        <v>2272</v>
      </c>
      <c r="AA865" s="21" t="s">
        <v>403</v>
      </c>
      <c r="AB865" s="21" t="s">
        <v>403</v>
      </c>
      <c r="AC865" s="21" t="s">
        <v>63</v>
      </c>
      <c r="AD865" s="198"/>
      <c r="AE865" s="4" t="s">
        <v>2784</v>
      </c>
    </row>
    <row r="866" spans="1:31" ht="43.5">
      <c r="A866" s="198" t="s">
        <v>2769</v>
      </c>
      <c r="B866" s="198" t="s">
        <v>2779</v>
      </c>
      <c r="C866" s="198" t="s">
        <v>23</v>
      </c>
      <c r="D866" s="198" t="s">
        <v>26</v>
      </c>
      <c r="E866" s="198" t="s">
        <v>128</v>
      </c>
      <c r="F866" s="4" t="s">
        <v>27</v>
      </c>
      <c r="G866" s="198" t="s">
        <v>2272</v>
      </c>
      <c r="H866" s="198" t="s">
        <v>521</v>
      </c>
      <c r="I866" s="198"/>
      <c r="J866" s="21" t="s">
        <v>2272</v>
      </c>
      <c r="K866" s="21" t="s">
        <v>2272</v>
      </c>
      <c r="L866" s="21" t="s">
        <v>2272</v>
      </c>
      <c r="M866" s="21" t="s">
        <v>2272</v>
      </c>
      <c r="N866" s="21" t="s">
        <v>2272</v>
      </c>
      <c r="O866" s="21" t="s">
        <v>2272</v>
      </c>
      <c r="P866" s="21" t="s">
        <v>2272</v>
      </c>
      <c r="Q866" s="21" t="s">
        <v>2272</v>
      </c>
      <c r="R866" s="21" t="s">
        <v>2272</v>
      </c>
      <c r="S866" s="21" t="s">
        <v>2272</v>
      </c>
      <c r="T866" s="21" t="s">
        <v>2272</v>
      </c>
      <c r="U866" s="21" t="s">
        <v>2272</v>
      </c>
      <c r="V866" s="21" t="s">
        <v>2272</v>
      </c>
      <c r="W866" s="21" t="s">
        <v>2272</v>
      </c>
      <c r="X866" s="21" t="s">
        <v>2272</v>
      </c>
      <c r="Y866" s="21" t="s">
        <v>2272</v>
      </c>
      <c r="Z866" s="21" t="s">
        <v>2272</v>
      </c>
      <c r="AA866" s="21" t="s">
        <v>403</v>
      </c>
      <c r="AB866" s="21" t="s">
        <v>403</v>
      </c>
      <c r="AC866" s="21" t="s">
        <v>63</v>
      </c>
      <c r="AD866" s="198"/>
      <c r="AE866" s="4" t="s">
        <v>2784</v>
      </c>
    </row>
    <row r="867" spans="1:31" ht="43.5">
      <c r="A867" s="198" t="s">
        <v>2770</v>
      </c>
      <c r="B867" s="198" t="s">
        <v>2780</v>
      </c>
      <c r="C867" s="198" t="s">
        <v>23</v>
      </c>
      <c r="D867" s="198" t="s">
        <v>26</v>
      </c>
      <c r="E867" s="198" t="s">
        <v>128</v>
      </c>
      <c r="F867" s="4" t="s">
        <v>27</v>
      </c>
      <c r="G867" s="198" t="s">
        <v>2272</v>
      </c>
      <c r="H867" s="198" t="s">
        <v>521</v>
      </c>
      <c r="I867" s="198"/>
      <c r="J867" s="21" t="s">
        <v>2272</v>
      </c>
      <c r="K867" s="21" t="s">
        <v>2272</v>
      </c>
      <c r="L867" s="21" t="s">
        <v>2272</v>
      </c>
      <c r="M867" s="21" t="s">
        <v>2272</v>
      </c>
      <c r="N867" s="21" t="s">
        <v>2272</v>
      </c>
      <c r="O867" s="21" t="s">
        <v>2272</v>
      </c>
      <c r="P867" s="21" t="s">
        <v>2272</v>
      </c>
      <c r="Q867" s="21" t="s">
        <v>2272</v>
      </c>
      <c r="R867" s="21" t="s">
        <v>2272</v>
      </c>
      <c r="S867" s="21" t="s">
        <v>2272</v>
      </c>
      <c r="T867" s="21" t="s">
        <v>2272</v>
      </c>
      <c r="U867" s="21" t="s">
        <v>2272</v>
      </c>
      <c r="V867" s="21" t="s">
        <v>2272</v>
      </c>
      <c r="W867" s="21" t="s">
        <v>2272</v>
      </c>
      <c r="X867" s="21" t="s">
        <v>2272</v>
      </c>
      <c r="Y867" s="21" t="s">
        <v>2272</v>
      </c>
      <c r="Z867" s="21" t="s">
        <v>2272</v>
      </c>
      <c r="AA867" s="21" t="s">
        <v>403</v>
      </c>
      <c r="AB867" s="21" t="s">
        <v>403</v>
      </c>
      <c r="AC867" s="21" t="s">
        <v>63</v>
      </c>
      <c r="AD867" s="198"/>
      <c r="AE867" s="4" t="s">
        <v>2784</v>
      </c>
    </row>
    <row r="868" spans="1:31" ht="43.5">
      <c r="A868" s="198" t="s">
        <v>2771</v>
      </c>
      <c r="B868" s="198" t="s">
        <v>2781</v>
      </c>
      <c r="C868" s="198" t="s">
        <v>23</v>
      </c>
      <c r="D868" s="198" t="s">
        <v>26</v>
      </c>
      <c r="E868" s="198" t="s">
        <v>128</v>
      </c>
      <c r="F868" s="4" t="s">
        <v>27</v>
      </c>
      <c r="G868" s="198" t="s">
        <v>2272</v>
      </c>
      <c r="H868" s="198" t="s">
        <v>521</v>
      </c>
      <c r="I868" s="198"/>
      <c r="J868" s="21" t="s">
        <v>2272</v>
      </c>
      <c r="K868" s="21" t="s">
        <v>2272</v>
      </c>
      <c r="L868" s="21" t="s">
        <v>2272</v>
      </c>
      <c r="M868" s="21" t="s">
        <v>2272</v>
      </c>
      <c r="N868" s="21" t="s">
        <v>2272</v>
      </c>
      <c r="O868" s="21" t="s">
        <v>2272</v>
      </c>
      <c r="P868" s="21" t="s">
        <v>2272</v>
      </c>
      <c r="Q868" s="21" t="s">
        <v>2272</v>
      </c>
      <c r="R868" s="21" t="s">
        <v>2272</v>
      </c>
      <c r="S868" s="21" t="s">
        <v>2272</v>
      </c>
      <c r="T868" s="21" t="s">
        <v>2272</v>
      </c>
      <c r="U868" s="21" t="s">
        <v>2272</v>
      </c>
      <c r="V868" s="21" t="s">
        <v>2272</v>
      </c>
      <c r="W868" s="21" t="s">
        <v>2272</v>
      </c>
      <c r="X868" s="21" t="s">
        <v>2272</v>
      </c>
      <c r="Y868" s="21" t="s">
        <v>2272</v>
      </c>
      <c r="Z868" s="21" t="s">
        <v>2272</v>
      </c>
      <c r="AA868" s="21" t="s">
        <v>403</v>
      </c>
      <c r="AB868" s="21" t="s">
        <v>403</v>
      </c>
      <c r="AC868" s="21" t="s">
        <v>63</v>
      </c>
      <c r="AD868" s="198"/>
      <c r="AE868" s="4" t="s">
        <v>2784</v>
      </c>
    </row>
    <row r="869" spans="1:31" ht="35.5" customHeight="1">
      <c r="A869" s="198" t="s">
        <v>2791</v>
      </c>
      <c r="B869" s="198" t="s">
        <v>2796</v>
      </c>
      <c r="C869" s="198" t="s">
        <v>23</v>
      </c>
      <c r="D869" s="198" t="s">
        <v>2799</v>
      </c>
      <c r="E869" s="198" t="s">
        <v>5000</v>
      </c>
      <c r="F869" s="4" t="s">
        <v>54</v>
      </c>
      <c r="G869" s="198" t="s">
        <v>2272</v>
      </c>
      <c r="H869" s="198" t="s">
        <v>522</v>
      </c>
      <c r="I869" s="198"/>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2272</v>
      </c>
      <c r="AA869" s="21" t="s">
        <v>2272</v>
      </c>
      <c r="AB869" s="21" t="s">
        <v>2272</v>
      </c>
      <c r="AC869" s="21" t="s">
        <v>2272</v>
      </c>
      <c r="AD869" s="198"/>
      <c r="AE869" s="198"/>
    </row>
    <row r="870" spans="1:31" ht="35.5" customHeight="1">
      <c r="A870" s="198" t="s">
        <v>2791</v>
      </c>
      <c r="B870" s="198" t="s">
        <v>2802</v>
      </c>
      <c r="C870" s="198" t="s">
        <v>23</v>
      </c>
      <c r="D870" s="198" t="s">
        <v>2799</v>
      </c>
      <c r="E870" s="198" t="s">
        <v>5000</v>
      </c>
      <c r="F870" s="4" t="s">
        <v>2657</v>
      </c>
      <c r="G870" s="198" t="s">
        <v>2272</v>
      </c>
      <c r="H870" s="198" t="s">
        <v>522</v>
      </c>
      <c r="I870" s="198"/>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2272</v>
      </c>
      <c r="AA870" s="21" t="s">
        <v>2272</v>
      </c>
      <c r="AB870" s="21" t="s">
        <v>2272</v>
      </c>
      <c r="AC870" s="21" t="s">
        <v>2272</v>
      </c>
      <c r="AD870" s="198"/>
      <c r="AE870" s="198"/>
    </row>
    <row r="871" spans="1:31" ht="34.5" customHeight="1">
      <c r="A871" s="198" t="s">
        <v>2794</v>
      </c>
      <c r="B871" s="198" t="s">
        <v>2797</v>
      </c>
      <c r="C871" s="198" t="s">
        <v>23</v>
      </c>
      <c r="D871" s="198" t="s">
        <v>2799</v>
      </c>
      <c r="E871" s="198" t="s">
        <v>5000</v>
      </c>
      <c r="F871" s="4" t="s">
        <v>54</v>
      </c>
      <c r="G871" s="198" t="s">
        <v>2272</v>
      </c>
      <c r="H871" s="198" t="s">
        <v>522</v>
      </c>
      <c r="I871" s="198"/>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2272</v>
      </c>
      <c r="AA871" s="21" t="s">
        <v>2272</v>
      </c>
      <c r="AB871" s="21" t="s">
        <v>2272</v>
      </c>
      <c r="AC871" s="21" t="s">
        <v>2272</v>
      </c>
      <c r="AD871" s="198"/>
      <c r="AE871" s="198"/>
    </row>
    <row r="872" spans="1:31" ht="34.5" customHeight="1">
      <c r="A872" s="198" t="s">
        <v>2794</v>
      </c>
      <c r="B872" s="198" t="s">
        <v>2801</v>
      </c>
      <c r="C872" s="198" t="s">
        <v>23</v>
      </c>
      <c r="D872" s="198" t="s">
        <v>2799</v>
      </c>
      <c r="E872" s="198" t="s">
        <v>5000</v>
      </c>
      <c r="F872" s="4" t="s">
        <v>2657</v>
      </c>
      <c r="G872" s="198" t="s">
        <v>2272</v>
      </c>
      <c r="H872" s="198" t="s">
        <v>522</v>
      </c>
      <c r="I872" s="198"/>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2272</v>
      </c>
      <c r="AA872" s="21" t="s">
        <v>2272</v>
      </c>
      <c r="AB872" s="21" t="s">
        <v>2272</v>
      </c>
      <c r="AC872" s="21" t="s">
        <v>2272</v>
      </c>
      <c r="AD872" s="198"/>
      <c r="AE872" s="198"/>
    </row>
    <row r="873" spans="1:31" ht="33.5" customHeight="1">
      <c r="A873" s="198" t="s">
        <v>2795</v>
      </c>
      <c r="B873" s="198" t="s">
        <v>2798</v>
      </c>
      <c r="C873" s="198" t="s">
        <v>23</v>
      </c>
      <c r="D873" s="198" t="s">
        <v>2799</v>
      </c>
      <c r="E873" s="198" t="s">
        <v>5000</v>
      </c>
      <c r="F873" s="4" t="s">
        <v>54</v>
      </c>
      <c r="G873" s="198" t="s">
        <v>2272</v>
      </c>
      <c r="H873" s="198" t="s">
        <v>522</v>
      </c>
      <c r="I873" s="198"/>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2272</v>
      </c>
      <c r="AA873" s="21" t="s">
        <v>2272</v>
      </c>
      <c r="AB873" s="21" t="s">
        <v>2272</v>
      </c>
      <c r="AC873" s="21" t="s">
        <v>2272</v>
      </c>
      <c r="AD873" s="198"/>
      <c r="AE873" s="198"/>
    </row>
    <row r="874" spans="1:31" ht="33.5" customHeight="1">
      <c r="A874" s="198" t="s">
        <v>2795</v>
      </c>
      <c r="B874" s="198" t="s">
        <v>2800</v>
      </c>
      <c r="C874" s="198" t="s">
        <v>23</v>
      </c>
      <c r="D874" s="198" t="s">
        <v>2799</v>
      </c>
      <c r="E874" s="198" t="s">
        <v>5000</v>
      </c>
      <c r="F874" s="4" t="s">
        <v>2657</v>
      </c>
      <c r="G874" s="198" t="s">
        <v>2272</v>
      </c>
      <c r="H874" s="198" t="s">
        <v>522</v>
      </c>
      <c r="I874" s="198"/>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2272</v>
      </c>
      <c r="AA874" s="21" t="s">
        <v>2272</v>
      </c>
      <c r="AB874" s="21" t="s">
        <v>2272</v>
      </c>
      <c r="AC874" s="21" t="s">
        <v>2272</v>
      </c>
      <c r="AD874" s="198"/>
      <c r="AE874" s="198"/>
    </row>
    <row r="875" spans="1:31" ht="29" customHeight="1">
      <c r="A875" s="198" t="s">
        <v>2805</v>
      </c>
      <c r="B875" s="198" t="s">
        <v>2818</v>
      </c>
      <c r="C875" s="198" t="s">
        <v>23</v>
      </c>
      <c r="D875" s="198" t="s">
        <v>2799</v>
      </c>
      <c r="E875" s="198" t="s">
        <v>5000</v>
      </c>
      <c r="F875" s="4" t="s">
        <v>54</v>
      </c>
      <c r="G875" s="198" t="s">
        <v>2272</v>
      </c>
      <c r="H875" s="198" t="s">
        <v>522</v>
      </c>
      <c r="I875" s="198"/>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2272</v>
      </c>
      <c r="AA875" s="21" t="s">
        <v>2272</v>
      </c>
      <c r="AB875" s="21" t="s">
        <v>2272</v>
      </c>
      <c r="AC875" s="21" t="s">
        <v>2272</v>
      </c>
      <c r="AD875" s="198"/>
      <c r="AE875" s="198"/>
    </row>
    <row r="876" spans="1:31" ht="35.5" customHeight="1">
      <c r="A876" s="198" t="s">
        <v>2805</v>
      </c>
      <c r="B876" s="198" t="s">
        <v>2819</v>
      </c>
      <c r="C876" s="198" t="s">
        <v>23</v>
      </c>
      <c r="D876" s="198" t="s">
        <v>2799</v>
      </c>
      <c r="E876" s="198" t="s">
        <v>5000</v>
      </c>
      <c r="F876" s="4" t="s">
        <v>2657</v>
      </c>
      <c r="G876" s="198" t="s">
        <v>2272</v>
      </c>
      <c r="H876" s="198" t="s">
        <v>522</v>
      </c>
      <c r="I876" s="198"/>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2272</v>
      </c>
      <c r="AA876" s="21" t="s">
        <v>2272</v>
      </c>
      <c r="AB876" s="21" t="s">
        <v>2272</v>
      </c>
      <c r="AC876" s="21" t="s">
        <v>2272</v>
      </c>
      <c r="AD876" s="198"/>
      <c r="AE876" s="198"/>
    </row>
    <row r="877" spans="1:31" ht="36.5" customHeight="1">
      <c r="A877" s="198" t="s">
        <v>2806</v>
      </c>
      <c r="B877" s="198" t="s">
        <v>2820</v>
      </c>
      <c r="C877" s="198" t="s">
        <v>23</v>
      </c>
      <c r="D877" s="198" t="s">
        <v>2799</v>
      </c>
      <c r="E877" s="198" t="s">
        <v>5000</v>
      </c>
      <c r="F877" s="4" t="s">
        <v>54</v>
      </c>
      <c r="G877" s="198" t="s">
        <v>2272</v>
      </c>
      <c r="H877" s="198" t="s">
        <v>522</v>
      </c>
      <c r="I877" s="198"/>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2272</v>
      </c>
      <c r="AA877" s="21" t="s">
        <v>2272</v>
      </c>
      <c r="AB877" s="21" t="s">
        <v>2272</v>
      </c>
      <c r="AC877" s="21" t="s">
        <v>2272</v>
      </c>
      <c r="AD877" s="198"/>
      <c r="AE877" s="198"/>
    </row>
    <row r="878" spans="1:31" ht="36.5" customHeight="1">
      <c r="A878" s="198" t="s">
        <v>2806</v>
      </c>
      <c r="B878" s="198" t="s">
        <v>2821</v>
      </c>
      <c r="C878" s="198" t="s">
        <v>23</v>
      </c>
      <c r="D878" s="198" t="s">
        <v>2799</v>
      </c>
      <c r="E878" s="198" t="s">
        <v>5000</v>
      </c>
      <c r="F878" s="4" t="s">
        <v>2657</v>
      </c>
      <c r="G878" s="198" t="s">
        <v>2272</v>
      </c>
      <c r="H878" s="198" t="s">
        <v>522</v>
      </c>
      <c r="I878" s="198"/>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2272</v>
      </c>
      <c r="AA878" s="21" t="s">
        <v>2272</v>
      </c>
      <c r="AB878" s="21" t="s">
        <v>2272</v>
      </c>
      <c r="AC878" s="21" t="s">
        <v>2272</v>
      </c>
      <c r="AD878" s="198"/>
      <c r="AE878" s="198"/>
    </row>
    <row r="879" spans="1:31" ht="26.5" customHeight="1">
      <c r="A879" s="198" t="s">
        <v>2807</v>
      </c>
      <c r="B879" s="198" t="s">
        <v>2822</v>
      </c>
      <c r="C879" s="198" t="s">
        <v>23</v>
      </c>
      <c r="D879" s="198" t="s">
        <v>2799</v>
      </c>
      <c r="E879" s="198" t="s">
        <v>5000</v>
      </c>
      <c r="F879" s="4" t="s">
        <v>54</v>
      </c>
      <c r="G879" s="198" t="s">
        <v>2272</v>
      </c>
      <c r="H879" s="198" t="s">
        <v>522</v>
      </c>
      <c r="I879" s="198"/>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2272</v>
      </c>
      <c r="AA879" s="21" t="s">
        <v>2272</v>
      </c>
      <c r="AB879" s="21" t="s">
        <v>2272</v>
      </c>
      <c r="AC879" s="21" t="s">
        <v>2272</v>
      </c>
      <c r="AD879" s="198"/>
      <c r="AE879" s="198"/>
    </row>
    <row r="880" spans="1:31" ht="31.5" customHeight="1">
      <c r="A880" s="198" t="s">
        <v>2807</v>
      </c>
      <c r="B880" s="198" t="s">
        <v>2823</v>
      </c>
      <c r="C880" s="198" t="s">
        <v>23</v>
      </c>
      <c r="D880" s="198" t="s">
        <v>2799</v>
      </c>
      <c r="E880" s="198" t="s">
        <v>5000</v>
      </c>
      <c r="F880" s="4" t="s">
        <v>2657</v>
      </c>
      <c r="G880" s="198" t="s">
        <v>2272</v>
      </c>
      <c r="H880" s="198" t="s">
        <v>522</v>
      </c>
      <c r="I880" s="198"/>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2272</v>
      </c>
      <c r="AA880" s="21" t="s">
        <v>2272</v>
      </c>
      <c r="AB880" s="21" t="s">
        <v>2272</v>
      </c>
      <c r="AC880" s="21" t="s">
        <v>2272</v>
      </c>
      <c r="AD880" s="198"/>
      <c r="AE880" s="198"/>
    </row>
    <row r="881" spans="1:31" ht="29" customHeight="1">
      <c r="A881" s="198" t="s">
        <v>2808</v>
      </c>
      <c r="B881" s="198" t="s">
        <v>2824</v>
      </c>
      <c r="C881" s="198" t="s">
        <v>23</v>
      </c>
      <c r="D881" s="198" t="s">
        <v>2799</v>
      </c>
      <c r="E881" s="198" t="s">
        <v>5000</v>
      </c>
      <c r="F881" s="4" t="s">
        <v>54</v>
      </c>
      <c r="G881" s="198" t="s">
        <v>2272</v>
      </c>
      <c r="H881" s="198" t="s">
        <v>522</v>
      </c>
      <c r="I881" s="198"/>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2272</v>
      </c>
      <c r="AA881" s="21" t="s">
        <v>2272</v>
      </c>
      <c r="AB881" s="21" t="s">
        <v>2272</v>
      </c>
      <c r="AC881" s="21" t="s">
        <v>2272</v>
      </c>
      <c r="AD881" s="198"/>
      <c r="AE881" s="198"/>
    </row>
    <row r="882" spans="1:31" ht="31.5" customHeight="1">
      <c r="A882" s="198" t="s">
        <v>2808</v>
      </c>
      <c r="B882" s="198" t="s">
        <v>2825</v>
      </c>
      <c r="C882" s="198" t="s">
        <v>23</v>
      </c>
      <c r="D882" s="198" t="s">
        <v>2799</v>
      </c>
      <c r="E882" s="198" t="s">
        <v>5000</v>
      </c>
      <c r="F882" s="4" t="s">
        <v>2657</v>
      </c>
      <c r="G882" s="198" t="s">
        <v>2272</v>
      </c>
      <c r="H882" s="198" t="s">
        <v>522</v>
      </c>
      <c r="I882" s="198"/>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2272</v>
      </c>
      <c r="AA882" s="21" t="s">
        <v>2272</v>
      </c>
      <c r="AB882" s="21" t="s">
        <v>2272</v>
      </c>
      <c r="AC882" s="21" t="s">
        <v>2272</v>
      </c>
      <c r="AD882" s="198"/>
      <c r="AE882" s="198"/>
    </row>
    <row r="883" spans="1:31" ht="33.5" customHeight="1">
      <c r="A883" s="198" t="s">
        <v>2809</v>
      </c>
      <c r="B883" s="198" t="s">
        <v>2826</v>
      </c>
      <c r="C883" s="198" t="s">
        <v>23</v>
      </c>
      <c r="D883" s="198" t="s">
        <v>2799</v>
      </c>
      <c r="E883" s="198" t="s">
        <v>5000</v>
      </c>
      <c r="F883" s="4" t="s">
        <v>54</v>
      </c>
      <c r="G883" s="198" t="s">
        <v>2272</v>
      </c>
      <c r="H883" s="198" t="s">
        <v>521</v>
      </c>
      <c r="I883" s="198"/>
      <c r="J883" s="21" t="s">
        <v>2272</v>
      </c>
      <c r="K883" s="21" t="s">
        <v>2272</v>
      </c>
      <c r="L883" s="21" t="s">
        <v>2272</v>
      </c>
      <c r="M883" s="21" t="s">
        <v>2272</v>
      </c>
      <c r="N883" s="21" t="s">
        <v>2272</v>
      </c>
      <c r="O883" s="21" t="s">
        <v>2272</v>
      </c>
      <c r="P883" s="21" t="s">
        <v>2272</v>
      </c>
      <c r="Q883" s="21" t="s">
        <v>2272</v>
      </c>
      <c r="R883" s="21" t="s">
        <v>2272</v>
      </c>
      <c r="S883" s="21" t="s">
        <v>2272</v>
      </c>
      <c r="T883" s="21" t="s">
        <v>2272</v>
      </c>
      <c r="U883" s="21" t="s">
        <v>2272</v>
      </c>
      <c r="V883" s="21" t="s">
        <v>2272</v>
      </c>
      <c r="W883" s="21" t="s">
        <v>2272</v>
      </c>
      <c r="X883" s="21" t="s">
        <v>2272</v>
      </c>
      <c r="Y883" s="21" t="s">
        <v>2272</v>
      </c>
      <c r="Z883" s="21">
        <v>3</v>
      </c>
      <c r="AA883" s="21" t="s">
        <v>2272</v>
      </c>
      <c r="AB883" s="21" t="s">
        <v>2272</v>
      </c>
      <c r="AC883" s="21" t="s">
        <v>2272</v>
      </c>
      <c r="AD883" s="198"/>
      <c r="AE883" s="198"/>
    </row>
    <row r="884" spans="1:31" ht="31" customHeight="1">
      <c r="A884" s="198" t="s">
        <v>2809</v>
      </c>
      <c r="B884" s="198" t="s">
        <v>2827</v>
      </c>
      <c r="C884" s="198" t="s">
        <v>23</v>
      </c>
      <c r="D884" s="198" t="s">
        <v>2799</v>
      </c>
      <c r="E884" s="198" t="s">
        <v>5000</v>
      </c>
      <c r="F884" s="4" t="s">
        <v>2657</v>
      </c>
      <c r="G884" s="198" t="s">
        <v>2272</v>
      </c>
      <c r="H884" s="198" t="s">
        <v>521</v>
      </c>
      <c r="I884" s="198"/>
      <c r="J884" s="21" t="s">
        <v>2272</v>
      </c>
      <c r="K884" s="21" t="s">
        <v>2272</v>
      </c>
      <c r="L884" s="21" t="s">
        <v>2272</v>
      </c>
      <c r="M884" s="21" t="s">
        <v>2272</v>
      </c>
      <c r="N884" s="21" t="s">
        <v>2272</v>
      </c>
      <c r="O884" s="21" t="s">
        <v>2272</v>
      </c>
      <c r="P884" s="21" t="s">
        <v>2272</v>
      </c>
      <c r="Q884" s="21" t="s">
        <v>2272</v>
      </c>
      <c r="R884" s="21" t="s">
        <v>2272</v>
      </c>
      <c r="S884" s="21" t="s">
        <v>2272</v>
      </c>
      <c r="T884" s="21" t="s">
        <v>2272</v>
      </c>
      <c r="U884" s="21" t="s">
        <v>2272</v>
      </c>
      <c r="V884" s="21" t="s">
        <v>2272</v>
      </c>
      <c r="W884" s="21" t="s">
        <v>2272</v>
      </c>
      <c r="X884" s="21" t="s">
        <v>2272</v>
      </c>
      <c r="Y884" s="21" t="s">
        <v>2272</v>
      </c>
      <c r="Z884" s="21">
        <v>3</v>
      </c>
      <c r="AA884" s="21" t="s">
        <v>2272</v>
      </c>
      <c r="AB884" s="21" t="s">
        <v>2272</v>
      </c>
      <c r="AC884" s="21" t="s">
        <v>2272</v>
      </c>
      <c r="AD884" s="198"/>
      <c r="AE884" s="198"/>
    </row>
    <row r="885" spans="1:31" ht="33.5" customHeight="1">
      <c r="A885" s="198" t="s">
        <v>2834</v>
      </c>
      <c r="B885" s="198" t="s">
        <v>2839</v>
      </c>
      <c r="C885" s="198" t="s">
        <v>23</v>
      </c>
      <c r="D885" s="198" t="s">
        <v>26</v>
      </c>
      <c r="E885" s="198" t="s">
        <v>128</v>
      </c>
      <c r="F885" s="4" t="s">
        <v>159</v>
      </c>
      <c r="G885" s="198" t="s">
        <v>2272</v>
      </c>
      <c r="H885" s="198" t="s">
        <v>521</v>
      </c>
      <c r="I885" s="198"/>
      <c r="J885" s="21" t="s">
        <v>2272</v>
      </c>
      <c r="K885" s="21" t="s">
        <v>2272</v>
      </c>
      <c r="L885" s="21" t="s">
        <v>2272</v>
      </c>
      <c r="M885" s="21" t="s">
        <v>2272</v>
      </c>
      <c r="N885" s="21" t="s">
        <v>2272</v>
      </c>
      <c r="O885" s="21" t="s">
        <v>2272</v>
      </c>
      <c r="P885" s="21">
        <v>0.13</v>
      </c>
      <c r="Q885" s="21" t="s">
        <v>2272</v>
      </c>
      <c r="R885" s="21" t="s">
        <v>2272</v>
      </c>
      <c r="S885" s="21" t="s">
        <v>2272</v>
      </c>
      <c r="T885" s="21" t="s">
        <v>2272</v>
      </c>
      <c r="U885" s="21" t="s">
        <v>2272</v>
      </c>
      <c r="V885" s="21" t="s">
        <v>2272</v>
      </c>
      <c r="W885" s="21" t="s">
        <v>2272</v>
      </c>
      <c r="X885" s="21" t="s">
        <v>2272</v>
      </c>
      <c r="Y885" s="21" t="s">
        <v>2272</v>
      </c>
      <c r="Z885" s="21">
        <v>7</v>
      </c>
      <c r="AA885" s="21" t="s">
        <v>2272</v>
      </c>
      <c r="AB885" s="21" t="s">
        <v>2272</v>
      </c>
      <c r="AC885" s="21" t="s">
        <v>2272</v>
      </c>
      <c r="AD885" s="198"/>
      <c r="AE885" s="198"/>
    </row>
    <row r="886" spans="1:31" ht="37" customHeight="1">
      <c r="A886" s="198" t="s">
        <v>2835</v>
      </c>
      <c r="B886" s="198" t="s">
        <v>2842</v>
      </c>
      <c r="C886" s="198" t="s">
        <v>23</v>
      </c>
      <c r="D886" s="198" t="s">
        <v>26</v>
      </c>
      <c r="E886" s="198" t="s">
        <v>128</v>
      </c>
      <c r="F886" s="4" t="s">
        <v>159</v>
      </c>
      <c r="G886" s="198" t="s">
        <v>2272</v>
      </c>
      <c r="H886" s="198" t="s">
        <v>521</v>
      </c>
      <c r="I886" s="198"/>
      <c r="J886" s="21" t="s">
        <v>2272</v>
      </c>
      <c r="K886" s="21" t="s">
        <v>2272</v>
      </c>
      <c r="L886" s="21" t="s">
        <v>2272</v>
      </c>
      <c r="M886" s="21" t="s">
        <v>2272</v>
      </c>
      <c r="N886" s="21" t="s">
        <v>2272</v>
      </c>
      <c r="O886" s="21" t="s">
        <v>2272</v>
      </c>
      <c r="P886" s="21">
        <v>9.5000000000000001E-2</v>
      </c>
      <c r="Q886" s="21" t="s">
        <v>2272</v>
      </c>
      <c r="R886" s="21" t="s">
        <v>2272</v>
      </c>
      <c r="S886" s="21" t="s">
        <v>2272</v>
      </c>
      <c r="T886" s="21" t="s">
        <v>2272</v>
      </c>
      <c r="U886" s="21" t="s">
        <v>2272</v>
      </c>
      <c r="V886" s="21" t="s">
        <v>2272</v>
      </c>
      <c r="W886" s="21" t="s">
        <v>2272</v>
      </c>
      <c r="X886" s="21" t="s">
        <v>2272</v>
      </c>
      <c r="Y886" s="21" t="s">
        <v>2272</v>
      </c>
      <c r="Z886" s="21">
        <v>5.75</v>
      </c>
      <c r="AA886" s="21" t="s">
        <v>2272</v>
      </c>
      <c r="AB886" s="21" t="s">
        <v>2272</v>
      </c>
      <c r="AC886" s="21" t="s">
        <v>2272</v>
      </c>
      <c r="AD886" s="198"/>
      <c r="AE886" s="198"/>
    </row>
    <row r="887" spans="1:31" ht="46.5" customHeight="1">
      <c r="A887" s="198" t="s">
        <v>2843</v>
      </c>
      <c r="B887" s="198" t="s">
        <v>2847</v>
      </c>
      <c r="C887" s="198" t="s">
        <v>23</v>
      </c>
      <c r="D887" s="198" t="s">
        <v>26</v>
      </c>
      <c r="E887" s="198" t="s">
        <v>128</v>
      </c>
      <c r="F887" s="4" t="s">
        <v>159</v>
      </c>
      <c r="G887" s="198" t="s">
        <v>2272</v>
      </c>
      <c r="H887" s="198" t="s">
        <v>522</v>
      </c>
      <c r="I887" s="198"/>
      <c r="J887" s="21" t="s">
        <v>2272</v>
      </c>
      <c r="K887" s="21" t="s">
        <v>2272</v>
      </c>
      <c r="L887" s="21" t="s">
        <v>2272</v>
      </c>
      <c r="M887" s="21" t="s">
        <v>2272</v>
      </c>
      <c r="N887" s="21" t="s">
        <v>2272</v>
      </c>
      <c r="O887" s="21" t="s">
        <v>2272</v>
      </c>
      <c r="P887" s="21" t="s">
        <v>2272</v>
      </c>
      <c r="Q887" s="21" t="s">
        <v>2272</v>
      </c>
      <c r="R887" s="21" t="s">
        <v>2272</v>
      </c>
      <c r="S887" s="21" t="s">
        <v>2272</v>
      </c>
      <c r="T887" s="21" t="s">
        <v>2272</v>
      </c>
      <c r="U887" s="21" t="s">
        <v>2272</v>
      </c>
      <c r="V887" s="21" t="s">
        <v>2272</v>
      </c>
      <c r="W887" s="21" t="s">
        <v>2272</v>
      </c>
      <c r="X887" s="21" t="s">
        <v>2272</v>
      </c>
      <c r="Y887" s="21" t="s">
        <v>2272</v>
      </c>
      <c r="Z887" s="21" t="s">
        <v>2272</v>
      </c>
      <c r="AA887" s="21" t="s">
        <v>2272</v>
      </c>
      <c r="AB887" s="21" t="s">
        <v>2272</v>
      </c>
      <c r="AC887" s="21" t="s">
        <v>2272</v>
      </c>
      <c r="AD887" s="4" t="s">
        <v>2850</v>
      </c>
      <c r="AE887" s="198"/>
    </row>
    <row r="888" spans="1:31" ht="40" customHeight="1">
      <c r="A888" s="198" t="s">
        <v>2843</v>
      </c>
      <c r="B888" s="198" t="s">
        <v>2848</v>
      </c>
      <c r="C888" s="198" t="s">
        <v>23</v>
      </c>
      <c r="D888" s="198" t="s">
        <v>26</v>
      </c>
      <c r="E888" s="198" t="s">
        <v>128</v>
      </c>
      <c r="F888" s="4" t="s">
        <v>27</v>
      </c>
      <c r="G888" s="198" t="s">
        <v>2272</v>
      </c>
      <c r="H888" s="198" t="s">
        <v>521</v>
      </c>
      <c r="I888" s="198"/>
      <c r="J888" s="21" t="s">
        <v>2272</v>
      </c>
      <c r="K888" s="21" t="s">
        <v>2272</v>
      </c>
      <c r="L888" s="21" t="s">
        <v>2272</v>
      </c>
      <c r="M888" s="21" t="s">
        <v>2272</v>
      </c>
      <c r="N888" s="21" t="s">
        <v>2272</v>
      </c>
      <c r="O888" s="21" t="s">
        <v>2272</v>
      </c>
      <c r="P888" s="21" t="s">
        <v>2272</v>
      </c>
      <c r="Q888" s="21" t="s">
        <v>2272</v>
      </c>
      <c r="R888" s="21" t="s">
        <v>2272</v>
      </c>
      <c r="S888" s="21" t="s">
        <v>2272</v>
      </c>
      <c r="T888" s="21" t="s">
        <v>2272</v>
      </c>
      <c r="U888" s="21" t="s">
        <v>2272</v>
      </c>
      <c r="V888" s="21" t="s">
        <v>2272</v>
      </c>
      <c r="W888" s="21" t="s">
        <v>2272</v>
      </c>
      <c r="X888" s="21" t="s">
        <v>2272</v>
      </c>
      <c r="Y888" s="21" t="s">
        <v>2272</v>
      </c>
      <c r="Z888" s="21" t="s">
        <v>2272</v>
      </c>
      <c r="AA888" s="21" t="s">
        <v>2272</v>
      </c>
      <c r="AB888" s="21" t="s">
        <v>2272</v>
      </c>
      <c r="AC888" s="21" t="s">
        <v>2272</v>
      </c>
      <c r="AD888" s="4" t="s">
        <v>2851</v>
      </c>
      <c r="AE888" s="198"/>
    </row>
    <row r="889" spans="1:31" ht="47.5" customHeight="1">
      <c r="A889" s="198" t="s">
        <v>2843</v>
      </c>
      <c r="B889" s="198" t="s">
        <v>2849</v>
      </c>
      <c r="C889" s="198" t="s">
        <v>23</v>
      </c>
      <c r="D889" s="198" t="s">
        <v>26</v>
      </c>
      <c r="E889" s="4" t="s">
        <v>395</v>
      </c>
      <c r="F889" s="4" t="s">
        <v>27</v>
      </c>
      <c r="G889" s="198" t="s">
        <v>2272</v>
      </c>
      <c r="H889" s="198" t="s">
        <v>522</v>
      </c>
      <c r="I889" s="198"/>
      <c r="J889" s="21" t="s">
        <v>2272</v>
      </c>
      <c r="K889" s="21" t="s">
        <v>2272</v>
      </c>
      <c r="L889" s="21" t="s">
        <v>2272</v>
      </c>
      <c r="M889" s="21" t="s">
        <v>2272</v>
      </c>
      <c r="N889" s="21" t="s">
        <v>2272</v>
      </c>
      <c r="O889" s="21" t="s">
        <v>2272</v>
      </c>
      <c r="P889" s="21" t="s">
        <v>2272</v>
      </c>
      <c r="Q889" s="21" t="s">
        <v>2272</v>
      </c>
      <c r="R889" s="21" t="s">
        <v>2272</v>
      </c>
      <c r="S889" s="21" t="s">
        <v>2272</v>
      </c>
      <c r="T889" s="21" t="s">
        <v>2272</v>
      </c>
      <c r="U889" s="21" t="s">
        <v>2272</v>
      </c>
      <c r="V889" s="21" t="s">
        <v>2272</v>
      </c>
      <c r="W889" s="21" t="s">
        <v>2272</v>
      </c>
      <c r="X889" s="21" t="s">
        <v>2272</v>
      </c>
      <c r="Y889" s="21" t="s">
        <v>2272</v>
      </c>
      <c r="Z889" s="21" t="s">
        <v>2272</v>
      </c>
      <c r="AA889" s="21" t="s">
        <v>2272</v>
      </c>
      <c r="AB889" s="21" t="s">
        <v>2272</v>
      </c>
      <c r="AC889" s="21" t="s">
        <v>2272</v>
      </c>
      <c r="AD889" s="4" t="s">
        <v>2852</v>
      </c>
      <c r="AE889" s="198"/>
    </row>
    <row r="890" spans="1:31" ht="48" customHeight="1">
      <c r="A890" s="198" t="s">
        <v>2843</v>
      </c>
      <c r="B890" s="198" t="s">
        <v>2853</v>
      </c>
      <c r="C890" s="198" t="s">
        <v>23</v>
      </c>
      <c r="D890" s="198" t="s">
        <v>2654</v>
      </c>
      <c r="E890" s="4" t="s">
        <v>395</v>
      </c>
      <c r="F890" s="4" t="s">
        <v>27</v>
      </c>
      <c r="G890" s="198" t="s">
        <v>2272</v>
      </c>
      <c r="H890" s="198" t="s">
        <v>521</v>
      </c>
      <c r="I890" s="198"/>
      <c r="J890" s="21" t="s">
        <v>2272</v>
      </c>
      <c r="K890" s="21" t="s">
        <v>2272</v>
      </c>
      <c r="L890" s="21" t="s">
        <v>2272</v>
      </c>
      <c r="M890" s="21" t="s">
        <v>2272</v>
      </c>
      <c r="N890" s="21" t="s">
        <v>2272</v>
      </c>
      <c r="O890" s="21" t="s">
        <v>2272</v>
      </c>
      <c r="P890" s="21" t="s">
        <v>2272</v>
      </c>
      <c r="Q890" s="21" t="s">
        <v>2272</v>
      </c>
      <c r="R890" s="21" t="s">
        <v>2272</v>
      </c>
      <c r="S890" s="21" t="s">
        <v>2272</v>
      </c>
      <c r="T890" s="21" t="s">
        <v>2272</v>
      </c>
      <c r="U890" s="21" t="s">
        <v>2272</v>
      </c>
      <c r="V890" s="21" t="s">
        <v>2272</v>
      </c>
      <c r="W890" s="21" t="s">
        <v>2272</v>
      </c>
      <c r="X890" s="21" t="s">
        <v>2272</v>
      </c>
      <c r="Y890" s="21" t="s">
        <v>2272</v>
      </c>
      <c r="Z890" s="21" t="s">
        <v>2272</v>
      </c>
      <c r="AA890" s="21" t="s">
        <v>2272</v>
      </c>
      <c r="AB890" s="21" t="s">
        <v>2272</v>
      </c>
      <c r="AC890" s="21" t="s">
        <v>2272</v>
      </c>
      <c r="AD890" s="198" t="s">
        <v>2854</v>
      </c>
      <c r="AE890" s="198"/>
    </row>
    <row r="891" spans="1:31" ht="43" customHeight="1">
      <c r="A891" s="198" t="s">
        <v>2858</v>
      </c>
      <c r="B891" s="198" t="s">
        <v>2861</v>
      </c>
      <c r="C891" s="198" t="s">
        <v>23</v>
      </c>
      <c r="D891" s="198" t="s">
        <v>26</v>
      </c>
      <c r="E891" s="198" t="s">
        <v>128</v>
      </c>
      <c r="F891" s="4" t="s">
        <v>159</v>
      </c>
      <c r="G891" s="198" t="s">
        <v>2272</v>
      </c>
      <c r="H891" s="198" t="s">
        <v>521</v>
      </c>
      <c r="I891" s="198"/>
      <c r="J891" s="21" t="s">
        <v>2272</v>
      </c>
      <c r="K891" s="21" t="s">
        <v>2272</v>
      </c>
      <c r="L891" s="21" t="s">
        <v>2272</v>
      </c>
      <c r="M891" s="21" t="s">
        <v>2272</v>
      </c>
      <c r="N891" s="21" t="s">
        <v>2272</v>
      </c>
      <c r="O891" s="21" t="s">
        <v>2272</v>
      </c>
      <c r="P891" s="21" t="s">
        <v>2272</v>
      </c>
      <c r="Q891" s="21" t="s">
        <v>2272</v>
      </c>
      <c r="R891" s="21" t="s">
        <v>2272</v>
      </c>
      <c r="S891" s="21" t="s">
        <v>2272</v>
      </c>
      <c r="T891" s="21" t="s">
        <v>2272</v>
      </c>
      <c r="U891" s="21" t="s">
        <v>2272</v>
      </c>
      <c r="V891" s="21" t="s">
        <v>2272</v>
      </c>
      <c r="W891" s="21" t="s">
        <v>2272</v>
      </c>
      <c r="X891" s="21" t="s">
        <v>2272</v>
      </c>
      <c r="Y891" s="21" t="s">
        <v>2272</v>
      </c>
      <c r="Z891" s="21" t="s">
        <v>2272</v>
      </c>
      <c r="AA891" s="21" t="s">
        <v>2272</v>
      </c>
      <c r="AB891" s="21" t="s">
        <v>2272</v>
      </c>
      <c r="AC891" s="21" t="s">
        <v>2272</v>
      </c>
      <c r="AD891" s="198"/>
      <c r="AE891" s="198" t="s">
        <v>2871</v>
      </c>
    </row>
    <row r="892" spans="1:31" ht="45.5" customHeight="1">
      <c r="A892" s="198" t="s">
        <v>2865</v>
      </c>
      <c r="B892" s="198" t="s">
        <v>2868</v>
      </c>
      <c r="C892" s="198" t="s">
        <v>23</v>
      </c>
      <c r="D892" s="198" t="s">
        <v>26</v>
      </c>
      <c r="E892" s="198" t="s">
        <v>128</v>
      </c>
      <c r="F892" s="4" t="s">
        <v>159</v>
      </c>
      <c r="G892" s="198" t="s">
        <v>2272</v>
      </c>
      <c r="H892" s="198" t="s">
        <v>521</v>
      </c>
      <c r="I892" s="198"/>
      <c r="J892" s="21" t="s">
        <v>2272</v>
      </c>
      <c r="K892" s="21" t="s">
        <v>2272</v>
      </c>
      <c r="L892" s="21" t="s">
        <v>2272</v>
      </c>
      <c r="M892" s="21" t="s">
        <v>2272</v>
      </c>
      <c r="N892" s="21" t="s">
        <v>2272</v>
      </c>
      <c r="O892" s="21" t="s">
        <v>2272</v>
      </c>
      <c r="P892" s="21" t="s">
        <v>2272</v>
      </c>
      <c r="Q892" s="21" t="s">
        <v>2272</v>
      </c>
      <c r="R892" s="21" t="s">
        <v>2272</v>
      </c>
      <c r="S892" s="21" t="s">
        <v>2272</v>
      </c>
      <c r="T892" s="21" t="s">
        <v>2272</v>
      </c>
      <c r="U892" s="21" t="s">
        <v>2272</v>
      </c>
      <c r="V892" s="21" t="s">
        <v>2272</v>
      </c>
      <c r="W892" s="21" t="s">
        <v>2272</v>
      </c>
      <c r="X892" s="21" t="s">
        <v>2272</v>
      </c>
      <c r="Y892" s="21" t="s">
        <v>2272</v>
      </c>
      <c r="Z892" s="21" t="s">
        <v>2272</v>
      </c>
      <c r="AA892" s="21" t="s">
        <v>2272</v>
      </c>
      <c r="AB892" s="21" t="s">
        <v>2272</v>
      </c>
      <c r="AC892" s="21" t="s">
        <v>2272</v>
      </c>
      <c r="AD892" s="198"/>
      <c r="AE892" s="198" t="s">
        <v>2871</v>
      </c>
    </row>
    <row r="893" spans="1:31" ht="45.5" customHeight="1">
      <c r="A893" s="198" t="s">
        <v>2865</v>
      </c>
      <c r="B893" s="198" t="s">
        <v>2869</v>
      </c>
      <c r="C893" s="198" t="s">
        <v>23</v>
      </c>
      <c r="D893" s="198" t="s">
        <v>26</v>
      </c>
      <c r="E893" s="198" t="s">
        <v>128</v>
      </c>
      <c r="F893" s="4" t="s">
        <v>73</v>
      </c>
      <c r="G893" s="198" t="s">
        <v>2272</v>
      </c>
      <c r="H893" s="198" t="s">
        <v>521</v>
      </c>
      <c r="I893" s="198"/>
      <c r="J893" s="21" t="s">
        <v>2272</v>
      </c>
      <c r="K893" s="21" t="s">
        <v>2272</v>
      </c>
      <c r="L893" s="21" t="s">
        <v>2272</v>
      </c>
      <c r="M893" s="21" t="s">
        <v>2272</v>
      </c>
      <c r="N893" s="21" t="s">
        <v>2272</v>
      </c>
      <c r="O893" s="21" t="s">
        <v>2272</v>
      </c>
      <c r="P893" s="21" t="s">
        <v>2272</v>
      </c>
      <c r="Q893" s="21" t="s">
        <v>2272</v>
      </c>
      <c r="R893" s="21" t="s">
        <v>2272</v>
      </c>
      <c r="S893" s="21" t="s">
        <v>2272</v>
      </c>
      <c r="T893" s="21" t="s">
        <v>2272</v>
      </c>
      <c r="U893" s="21" t="s">
        <v>2272</v>
      </c>
      <c r="V893" s="21" t="s">
        <v>2272</v>
      </c>
      <c r="W893" s="21" t="s">
        <v>2272</v>
      </c>
      <c r="X893" s="21" t="s">
        <v>2272</v>
      </c>
      <c r="Y893" s="21" t="s">
        <v>2272</v>
      </c>
      <c r="Z893" s="21" t="s">
        <v>2272</v>
      </c>
      <c r="AA893" s="21" t="s">
        <v>2272</v>
      </c>
      <c r="AB893" s="21" t="s">
        <v>2272</v>
      </c>
      <c r="AC893" s="21" t="s">
        <v>2272</v>
      </c>
      <c r="AD893" s="4" t="s">
        <v>2870</v>
      </c>
      <c r="AE893" s="198"/>
    </row>
    <row r="894" spans="1:31" ht="46.5" customHeight="1">
      <c r="A894" s="198" t="s">
        <v>2865</v>
      </c>
      <c r="B894" s="198" t="s">
        <v>2872</v>
      </c>
      <c r="C894" s="198" t="s">
        <v>23</v>
      </c>
      <c r="D894" s="198" t="s">
        <v>141</v>
      </c>
      <c r="E894" s="4" t="s">
        <v>394</v>
      </c>
      <c r="F894" s="4" t="s">
        <v>73</v>
      </c>
      <c r="G894" s="198" t="s">
        <v>2272</v>
      </c>
      <c r="H894" s="198" t="s">
        <v>521</v>
      </c>
      <c r="I894" s="198"/>
      <c r="J894" s="21" t="s">
        <v>2272</v>
      </c>
      <c r="K894" s="21" t="s">
        <v>2272</v>
      </c>
      <c r="L894" s="21" t="s">
        <v>2272</v>
      </c>
      <c r="M894" s="21" t="s">
        <v>2272</v>
      </c>
      <c r="N894" s="21" t="s">
        <v>2272</v>
      </c>
      <c r="O894" s="21" t="s">
        <v>2272</v>
      </c>
      <c r="P894" s="21" t="s">
        <v>2272</v>
      </c>
      <c r="Q894" s="21" t="s">
        <v>2272</v>
      </c>
      <c r="R894" s="21" t="s">
        <v>2272</v>
      </c>
      <c r="S894" s="21" t="s">
        <v>2272</v>
      </c>
      <c r="T894" s="21" t="s">
        <v>2272</v>
      </c>
      <c r="U894" s="21" t="s">
        <v>2272</v>
      </c>
      <c r="V894" s="21" t="s">
        <v>2272</v>
      </c>
      <c r="W894" s="21" t="s">
        <v>2272</v>
      </c>
      <c r="X894" s="21" t="s">
        <v>2272</v>
      </c>
      <c r="Y894" s="21" t="s">
        <v>2272</v>
      </c>
      <c r="Z894" s="21" t="s">
        <v>2272</v>
      </c>
      <c r="AA894" s="21" t="s">
        <v>2272</v>
      </c>
      <c r="AB894" s="21" t="s">
        <v>2272</v>
      </c>
      <c r="AC894" s="21" t="s">
        <v>2272</v>
      </c>
      <c r="AD894" s="4" t="s">
        <v>2873</v>
      </c>
      <c r="AE894" s="198"/>
    </row>
    <row r="895" spans="1:31" ht="46.5" customHeight="1">
      <c r="A895" s="198" t="s">
        <v>2876</v>
      </c>
      <c r="B895" s="198" t="s">
        <v>2878</v>
      </c>
      <c r="C895" s="198" t="s">
        <v>23</v>
      </c>
      <c r="D895" s="198" t="s">
        <v>26</v>
      </c>
      <c r="E895" s="198" t="s">
        <v>128</v>
      </c>
      <c r="F895" s="4" t="s">
        <v>159</v>
      </c>
      <c r="G895" s="198" t="s">
        <v>2272</v>
      </c>
      <c r="H895" s="198" t="s">
        <v>521</v>
      </c>
      <c r="I895" s="198"/>
      <c r="J895" s="21" t="s">
        <v>2272</v>
      </c>
      <c r="K895" s="21" t="s">
        <v>2272</v>
      </c>
      <c r="L895" s="21" t="s">
        <v>2272</v>
      </c>
      <c r="M895" s="21" t="s">
        <v>2272</v>
      </c>
      <c r="N895" s="21" t="s">
        <v>2272</v>
      </c>
      <c r="O895" s="21" t="s">
        <v>2272</v>
      </c>
      <c r="P895" s="21" t="s">
        <v>2272</v>
      </c>
      <c r="Q895" s="21" t="s">
        <v>2272</v>
      </c>
      <c r="R895" s="21" t="s">
        <v>2272</v>
      </c>
      <c r="S895" s="21" t="s">
        <v>2272</v>
      </c>
      <c r="T895" s="21" t="s">
        <v>2272</v>
      </c>
      <c r="U895" s="21" t="s">
        <v>2272</v>
      </c>
      <c r="V895" s="21" t="s">
        <v>2272</v>
      </c>
      <c r="W895" s="21" t="s">
        <v>2272</v>
      </c>
      <c r="X895" s="21" t="s">
        <v>2272</v>
      </c>
      <c r="Y895" s="21" t="s">
        <v>2272</v>
      </c>
      <c r="Z895" s="21" t="s">
        <v>2272</v>
      </c>
      <c r="AA895" s="198" t="s">
        <v>397</v>
      </c>
      <c r="AB895" s="198" t="s">
        <v>186</v>
      </c>
      <c r="AC895" s="198" t="s">
        <v>63</v>
      </c>
      <c r="AD895" s="198"/>
      <c r="AE895" s="198" t="s">
        <v>2871</v>
      </c>
    </row>
    <row r="896" spans="1:31" ht="36" customHeight="1">
      <c r="A896" s="198" t="s">
        <v>2881</v>
      </c>
      <c r="B896" s="198" t="s">
        <v>2889</v>
      </c>
      <c r="C896" s="198" t="s">
        <v>23</v>
      </c>
      <c r="D896" s="198" t="s">
        <v>1241</v>
      </c>
      <c r="E896" s="198" t="s">
        <v>860</v>
      </c>
      <c r="F896" s="4" t="s">
        <v>2657</v>
      </c>
      <c r="G896" s="198" t="s">
        <v>2272</v>
      </c>
      <c r="H896" s="198" t="s">
        <v>521</v>
      </c>
      <c r="I896" s="198"/>
      <c r="J896" s="198" t="s">
        <v>2272</v>
      </c>
      <c r="K896" s="198" t="s">
        <v>2272</v>
      </c>
      <c r="L896" s="198" t="s">
        <v>2272</v>
      </c>
      <c r="M896" s="198" t="s">
        <v>2272</v>
      </c>
      <c r="N896" s="198" t="s">
        <v>2272</v>
      </c>
      <c r="O896" s="198" t="s">
        <v>2272</v>
      </c>
      <c r="P896" s="198" t="s">
        <v>2272</v>
      </c>
      <c r="Q896" s="198" t="s">
        <v>2272</v>
      </c>
      <c r="R896" s="198" t="s">
        <v>2272</v>
      </c>
      <c r="S896" s="198" t="s">
        <v>2272</v>
      </c>
      <c r="T896" s="198" t="s">
        <v>2272</v>
      </c>
      <c r="U896" s="198" t="s">
        <v>2272</v>
      </c>
      <c r="V896" s="198" t="s">
        <v>2272</v>
      </c>
      <c r="W896" s="198" t="s">
        <v>2272</v>
      </c>
      <c r="X896" s="198" t="s">
        <v>2272</v>
      </c>
      <c r="Y896" s="198" t="s">
        <v>2272</v>
      </c>
      <c r="Z896" s="198" t="s">
        <v>2272</v>
      </c>
      <c r="AA896" s="198" t="s">
        <v>2272</v>
      </c>
      <c r="AB896" s="198" t="s">
        <v>2272</v>
      </c>
      <c r="AC896" s="198" t="s">
        <v>2272</v>
      </c>
      <c r="AD896" s="198"/>
      <c r="AE896" s="198"/>
    </row>
    <row r="897" spans="1:31" ht="36" customHeight="1">
      <c r="A897" s="198" t="s">
        <v>2881</v>
      </c>
      <c r="B897" s="198" t="s">
        <v>2892</v>
      </c>
      <c r="C897" s="198" t="s">
        <v>23</v>
      </c>
      <c r="D897" s="198" t="s">
        <v>25</v>
      </c>
      <c r="E897" s="198" t="s">
        <v>860</v>
      </c>
      <c r="F897" s="4" t="s">
        <v>2657</v>
      </c>
      <c r="G897" s="198" t="s">
        <v>2272</v>
      </c>
      <c r="H897" s="198" t="s">
        <v>521</v>
      </c>
      <c r="I897" s="198"/>
      <c r="J897" s="198" t="s">
        <v>2272</v>
      </c>
      <c r="K897" s="198" t="s">
        <v>2272</v>
      </c>
      <c r="L897" s="198" t="s">
        <v>2272</v>
      </c>
      <c r="M897" s="198" t="s">
        <v>2272</v>
      </c>
      <c r="N897" s="198" t="s">
        <v>2272</v>
      </c>
      <c r="O897" s="198" t="s">
        <v>2272</v>
      </c>
      <c r="P897" s="198" t="s">
        <v>2272</v>
      </c>
      <c r="Q897" s="198" t="s">
        <v>2272</v>
      </c>
      <c r="R897" s="198" t="s">
        <v>2272</v>
      </c>
      <c r="S897" s="198" t="s">
        <v>2272</v>
      </c>
      <c r="T897" s="198" t="s">
        <v>2272</v>
      </c>
      <c r="U897" s="198" t="s">
        <v>2272</v>
      </c>
      <c r="V897" s="198" t="s">
        <v>2272</v>
      </c>
      <c r="W897" s="198" t="s">
        <v>2272</v>
      </c>
      <c r="X897" s="198" t="s">
        <v>2272</v>
      </c>
      <c r="Y897" s="198" t="s">
        <v>2272</v>
      </c>
      <c r="Z897" s="198" t="s">
        <v>2272</v>
      </c>
      <c r="AA897" s="198" t="s">
        <v>2272</v>
      </c>
      <c r="AB897" s="198" t="s">
        <v>2272</v>
      </c>
      <c r="AC897" s="198" t="s">
        <v>2272</v>
      </c>
      <c r="AD897" s="4" t="s">
        <v>2899</v>
      </c>
      <c r="AE897" s="198"/>
    </row>
    <row r="898" spans="1:31" ht="36" customHeight="1">
      <c r="A898" s="198" t="s">
        <v>2881</v>
      </c>
      <c r="B898" s="198" t="s">
        <v>2893</v>
      </c>
      <c r="C898" s="198" t="s">
        <v>23</v>
      </c>
      <c r="D898" s="198" t="s">
        <v>2337</v>
      </c>
      <c r="E898" s="198" t="s">
        <v>860</v>
      </c>
      <c r="F898" s="4" t="s">
        <v>2657</v>
      </c>
      <c r="G898" s="198" t="s">
        <v>2272</v>
      </c>
      <c r="H898" s="198" t="s">
        <v>521</v>
      </c>
      <c r="I898" s="198"/>
      <c r="J898" s="198" t="s">
        <v>2272</v>
      </c>
      <c r="K898" s="198" t="s">
        <v>2272</v>
      </c>
      <c r="L898" s="198" t="s">
        <v>2272</v>
      </c>
      <c r="M898" s="198" t="s">
        <v>2272</v>
      </c>
      <c r="N898" s="198" t="s">
        <v>2272</v>
      </c>
      <c r="O898" s="198" t="s">
        <v>2272</v>
      </c>
      <c r="P898" s="198" t="s">
        <v>2272</v>
      </c>
      <c r="Q898" s="198" t="s">
        <v>2272</v>
      </c>
      <c r="R898" s="198" t="s">
        <v>2272</v>
      </c>
      <c r="S898" s="198" t="s">
        <v>2272</v>
      </c>
      <c r="T898" s="198" t="s">
        <v>2272</v>
      </c>
      <c r="U898" s="198" t="s">
        <v>2272</v>
      </c>
      <c r="V898" s="198" t="s">
        <v>2272</v>
      </c>
      <c r="W898" s="198" t="s">
        <v>2272</v>
      </c>
      <c r="X898" s="198" t="s">
        <v>2272</v>
      </c>
      <c r="Y898" s="198" t="s">
        <v>2272</v>
      </c>
      <c r="Z898" s="198" t="s">
        <v>2272</v>
      </c>
      <c r="AA898" s="198" t="s">
        <v>2272</v>
      </c>
      <c r="AB898" s="198" t="s">
        <v>2272</v>
      </c>
      <c r="AC898" s="198" t="s">
        <v>2272</v>
      </c>
      <c r="AD898" s="4" t="s">
        <v>2900</v>
      </c>
      <c r="AE898" s="198"/>
    </row>
    <row r="899" spans="1:31" ht="36" customHeight="1">
      <c r="A899" s="198" t="s">
        <v>2881</v>
      </c>
      <c r="B899" s="198" t="s">
        <v>2894</v>
      </c>
      <c r="C899" s="198" t="s">
        <v>2453</v>
      </c>
      <c r="D899" s="198" t="s">
        <v>1102</v>
      </c>
      <c r="E899" s="198" t="s">
        <v>1102</v>
      </c>
      <c r="F899" s="4" t="s">
        <v>2657</v>
      </c>
      <c r="G899" s="198" t="s">
        <v>2272</v>
      </c>
      <c r="H899" s="198" t="s">
        <v>521</v>
      </c>
      <c r="I899" s="198"/>
      <c r="J899" s="198" t="s">
        <v>2272</v>
      </c>
      <c r="K899" s="198" t="s">
        <v>2272</v>
      </c>
      <c r="L899" s="198" t="s">
        <v>2272</v>
      </c>
      <c r="M899" s="198" t="s">
        <v>2272</v>
      </c>
      <c r="N899" s="198" t="s">
        <v>2272</v>
      </c>
      <c r="O899" s="198" t="s">
        <v>2272</v>
      </c>
      <c r="P899" s="198" t="s">
        <v>2272</v>
      </c>
      <c r="Q899" s="198" t="s">
        <v>2272</v>
      </c>
      <c r="R899" s="198" t="s">
        <v>2272</v>
      </c>
      <c r="S899" s="198" t="s">
        <v>2272</v>
      </c>
      <c r="T899" s="198" t="s">
        <v>2272</v>
      </c>
      <c r="U899" s="198" t="s">
        <v>2272</v>
      </c>
      <c r="V899" s="198" t="s">
        <v>2272</v>
      </c>
      <c r="W899" s="198" t="s">
        <v>2272</v>
      </c>
      <c r="X899" s="198" t="s">
        <v>2272</v>
      </c>
      <c r="Y899" s="198" t="s">
        <v>2272</v>
      </c>
      <c r="Z899" s="198" t="s">
        <v>2272</v>
      </c>
      <c r="AA899" s="198" t="s">
        <v>34</v>
      </c>
      <c r="AB899" s="198" t="s">
        <v>37</v>
      </c>
      <c r="AC899" s="198" t="s">
        <v>63</v>
      </c>
      <c r="AD899" s="4"/>
      <c r="AE899" s="198"/>
    </row>
    <row r="900" spans="1:31" ht="36" customHeight="1">
      <c r="A900" s="198" t="s">
        <v>2881</v>
      </c>
      <c r="B900" s="198" t="s">
        <v>2895</v>
      </c>
      <c r="C900" s="198" t="s">
        <v>23</v>
      </c>
      <c r="D900" s="198" t="s">
        <v>26</v>
      </c>
      <c r="E900" s="198" t="s">
        <v>128</v>
      </c>
      <c r="F900" s="4" t="s">
        <v>159</v>
      </c>
      <c r="G900" s="198" t="s">
        <v>2272</v>
      </c>
      <c r="H900" s="198" t="s">
        <v>521</v>
      </c>
      <c r="I900" s="198"/>
      <c r="J900" s="198" t="s">
        <v>2272</v>
      </c>
      <c r="K900" s="198" t="s">
        <v>2272</v>
      </c>
      <c r="L900" s="198" t="s">
        <v>2272</v>
      </c>
      <c r="M900" s="198" t="s">
        <v>2272</v>
      </c>
      <c r="N900" s="198" t="s">
        <v>2272</v>
      </c>
      <c r="O900" s="198" t="s">
        <v>2272</v>
      </c>
      <c r="P900" s="198" t="s">
        <v>2272</v>
      </c>
      <c r="Q900" s="198" t="s">
        <v>2272</v>
      </c>
      <c r="R900" s="198" t="s">
        <v>2272</v>
      </c>
      <c r="S900" s="198" t="s">
        <v>2272</v>
      </c>
      <c r="T900" s="198" t="s">
        <v>2272</v>
      </c>
      <c r="U900" s="198" t="s">
        <v>2272</v>
      </c>
      <c r="V900" s="198" t="s">
        <v>2272</v>
      </c>
      <c r="W900" s="198" t="s">
        <v>2272</v>
      </c>
      <c r="X900" s="198" t="s">
        <v>2272</v>
      </c>
      <c r="Y900" s="198" t="s">
        <v>2272</v>
      </c>
      <c r="Z900" s="198" t="s">
        <v>2272</v>
      </c>
      <c r="AA900" s="198" t="s">
        <v>67</v>
      </c>
      <c r="AB900" s="198" t="s">
        <v>34</v>
      </c>
      <c r="AC900" s="198" t="s">
        <v>63</v>
      </c>
      <c r="AD900" s="4"/>
      <c r="AE900" s="198"/>
    </row>
    <row r="901" spans="1:31" ht="36" customHeight="1">
      <c r="A901" s="198" t="s">
        <v>2881</v>
      </c>
      <c r="B901" s="198" t="s">
        <v>2896</v>
      </c>
      <c r="C901" s="198" t="s">
        <v>23</v>
      </c>
      <c r="D901" s="198" t="s">
        <v>2227</v>
      </c>
      <c r="E901" s="4" t="s">
        <v>394</v>
      </c>
      <c r="F901" s="4" t="s">
        <v>2657</v>
      </c>
      <c r="G901" s="198" t="s">
        <v>2272</v>
      </c>
      <c r="H901" s="198" t="s">
        <v>521</v>
      </c>
      <c r="I901" s="198"/>
      <c r="J901" s="198" t="s">
        <v>2272</v>
      </c>
      <c r="K901" s="198" t="s">
        <v>2272</v>
      </c>
      <c r="L901" s="198" t="s">
        <v>2272</v>
      </c>
      <c r="M901" s="198" t="s">
        <v>2272</v>
      </c>
      <c r="N901" s="198" t="s">
        <v>2272</v>
      </c>
      <c r="O901" s="198" t="s">
        <v>2272</v>
      </c>
      <c r="P901" s="198" t="s">
        <v>2272</v>
      </c>
      <c r="Q901" s="198" t="s">
        <v>2272</v>
      </c>
      <c r="R901" s="198" t="s">
        <v>2272</v>
      </c>
      <c r="S901" s="198" t="s">
        <v>2272</v>
      </c>
      <c r="T901" s="198" t="s">
        <v>2272</v>
      </c>
      <c r="U901" s="198" t="s">
        <v>2272</v>
      </c>
      <c r="V901" s="198" t="s">
        <v>2272</v>
      </c>
      <c r="W901" s="198" t="s">
        <v>2272</v>
      </c>
      <c r="X901" s="198" t="s">
        <v>2272</v>
      </c>
      <c r="Y901" s="198" t="s">
        <v>2272</v>
      </c>
      <c r="Z901" s="198" t="s">
        <v>2272</v>
      </c>
      <c r="AA901" s="198" t="s">
        <v>2272</v>
      </c>
      <c r="AB901" s="198" t="s">
        <v>2272</v>
      </c>
      <c r="AC901" s="198" t="s">
        <v>2272</v>
      </c>
      <c r="AD901" s="4" t="s">
        <v>2901</v>
      </c>
      <c r="AE901" s="198"/>
    </row>
    <row r="902" spans="1:31" ht="36" customHeight="1">
      <c r="A902" s="198" t="s">
        <v>2881</v>
      </c>
      <c r="B902" s="198" t="s">
        <v>2897</v>
      </c>
      <c r="C902" s="198" t="s">
        <v>23</v>
      </c>
      <c r="D902" s="198" t="s">
        <v>2342</v>
      </c>
      <c r="E902" s="4" t="s">
        <v>1102</v>
      </c>
      <c r="F902" s="4" t="s">
        <v>2657</v>
      </c>
      <c r="G902" s="198" t="s">
        <v>2272</v>
      </c>
      <c r="H902" s="198" t="s">
        <v>521</v>
      </c>
      <c r="I902" s="198"/>
      <c r="J902" s="198" t="s">
        <v>2272</v>
      </c>
      <c r="K902" s="198" t="s">
        <v>2272</v>
      </c>
      <c r="L902" s="198" t="s">
        <v>2272</v>
      </c>
      <c r="M902" s="198" t="s">
        <v>2272</v>
      </c>
      <c r="N902" s="198" t="s">
        <v>2272</v>
      </c>
      <c r="O902" s="198" t="s">
        <v>2272</v>
      </c>
      <c r="P902" s="198" t="s">
        <v>2272</v>
      </c>
      <c r="Q902" s="198" t="s">
        <v>2272</v>
      </c>
      <c r="R902" s="198" t="s">
        <v>2272</v>
      </c>
      <c r="S902" s="198" t="s">
        <v>2272</v>
      </c>
      <c r="T902" s="198" t="s">
        <v>2272</v>
      </c>
      <c r="U902" s="198" t="s">
        <v>2272</v>
      </c>
      <c r="V902" s="198" t="s">
        <v>2272</v>
      </c>
      <c r="W902" s="198" t="s">
        <v>2272</v>
      </c>
      <c r="X902" s="198" t="s">
        <v>2272</v>
      </c>
      <c r="Y902" s="198" t="s">
        <v>2272</v>
      </c>
      <c r="Z902" s="198" t="s">
        <v>2272</v>
      </c>
      <c r="AA902" s="198" t="s">
        <v>2272</v>
      </c>
      <c r="AB902" s="198" t="s">
        <v>2272</v>
      </c>
      <c r="AC902" s="198" t="s">
        <v>2272</v>
      </c>
      <c r="AD902" s="4" t="s">
        <v>2898</v>
      </c>
      <c r="AE902" s="198"/>
    </row>
    <row r="903" spans="1:31" ht="35.5" customHeight="1">
      <c r="A903" s="198" t="s">
        <v>2882</v>
      </c>
      <c r="B903" s="198" t="s">
        <v>2890</v>
      </c>
      <c r="C903" s="198" t="s">
        <v>23</v>
      </c>
      <c r="D903" s="198" t="s">
        <v>1241</v>
      </c>
      <c r="E903" s="198" t="s">
        <v>860</v>
      </c>
      <c r="F903" s="4" t="s">
        <v>2657</v>
      </c>
      <c r="G903" s="198" t="s">
        <v>2272</v>
      </c>
      <c r="H903" s="198" t="s">
        <v>521</v>
      </c>
      <c r="I903" s="198"/>
      <c r="J903" s="198" t="s">
        <v>2272</v>
      </c>
      <c r="K903" s="198" t="s">
        <v>2272</v>
      </c>
      <c r="L903" s="198" t="s">
        <v>2272</v>
      </c>
      <c r="M903" s="198" t="s">
        <v>2272</v>
      </c>
      <c r="N903" s="198" t="s">
        <v>2272</v>
      </c>
      <c r="O903" s="198" t="s">
        <v>2272</v>
      </c>
      <c r="P903" s="198" t="s">
        <v>2272</v>
      </c>
      <c r="Q903" s="198" t="s">
        <v>2272</v>
      </c>
      <c r="R903" s="198" t="s">
        <v>2272</v>
      </c>
      <c r="S903" s="198" t="s">
        <v>2272</v>
      </c>
      <c r="T903" s="198" t="s">
        <v>2272</v>
      </c>
      <c r="U903" s="198" t="s">
        <v>2272</v>
      </c>
      <c r="V903" s="198" t="s">
        <v>2272</v>
      </c>
      <c r="W903" s="198" t="s">
        <v>2272</v>
      </c>
      <c r="X903" s="198" t="s">
        <v>2272</v>
      </c>
      <c r="Y903" s="198" t="s">
        <v>2272</v>
      </c>
      <c r="Z903" s="198" t="s">
        <v>2272</v>
      </c>
      <c r="AA903" s="198" t="s">
        <v>2272</v>
      </c>
      <c r="AB903" s="198" t="s">
        <v>2272</v>
      </c>
      <c r="AC903" s="198" t="s">
        <v>2272</v>
      </c>
      <c r="AD903" s="198"/>
      <c r="AE903" s="198"/>
    </row>
    <row r="904" spans="1:31" ht="33.5" customHeight="1">
      <c r="A904" s="198" t="s">
        <v>2882</v>
      </c>
      <c r="B904" s="198" t="s">
        <v>2902</v>
      </c>
      <c r="C904" s="198" t="s">
        <v>23</v>
      </c>
      <c r="D904" s="198" t="s">
        <v>25</v>
      </c>
      <c r="E904" s="198" t="s">
        <v>860</v>
      </c>
      <c r="F904" s="4" t="s">
        <v>2657</v>
      </c>
      <c r="G904" s="198" t="s">
        <v>2272</v>
      </c>
      <c r="H904" s="198" t="s">
        <v>521</v>
      </c>
      <c r="I904" s="198"/>
      <c r="J904" s="198" t="s">
        <v>2272</v>
      </c>
      <c r="K904" s="198" t="s">
        <v>2272</v>
      </c>
      <c r="L904" s="198" t="s">
        <v>2272</v>
      </c>
      <c r="M904" s="198" t="s">
        <v>2272</v>
      </c>
      <c r="N904" s="198" t="s">
        <v>2272</v>
      </c>
      <c r="O904" s="198" t="s">
        <v>2272</v>
      </c>
      <c r="P904" s="198" t="s">
        <v>2272</v>
      </c>
      <c r="Q904" s="198" t="s">
        <v>2272</v>
      </c>
      <c r="R904" s="198" t="s">
        <v>2272</v>
      </c>
      <c r="S904" s="198" t="s">
        <v>2272</v>
      </c>
      <c r="T904" s="198" t="s">
        <v>2272</v>
      </c>
      <c r="U904" s="198" t="s">
        <v>2272</v>
      </c>
      <c r="V904" s="198" t="s">
        <v>2272</v>
      </c>
      <c r="W904" s="198" t="s">
        <v>2272</v>
      </c>
      <c r="X904" s="198" t="s">
        <v>2272</v>
      </c>
      <c r="Y904" s="198" t="s">
        <v>2272</v>
      </c>
      <c r="Z904" s="198" t="s">
        <v>2272</v>
      </c>
      <c r="AA904" s="198" t="s">
        <v>2272</v>
      </c>
      <c r="AB904" s="198" t="s">
        <v>2272</v>
      </c>
      <c r="AC904" s="198" t="s">
        <v>2272</v>
      </c>
      <c r="AD904" s="4" t="s">
        <v>2899</v>
      </c>
      <c r="AE904" s="198"/>
    </row>
    <row r="905" spans="1:31" ht="38" customHeight="1">
      <c r="A905" s="198" t="s">
        <v>2882</v>
      </c>
      <c r="B905" s="198" t="s">
        <v>2903</v>
      </c>
      <c r="C905" s="198" t="s">
        <v>23</v>
      </c>
      <c r="D905" s="198" t="s">
        <v>2337</v>
      </c>
      <c r="E905" s="198" t="s">
        <v>860</v>
      </c>
      <c r="F905" s="4" t="s">
        <v>2657</v>
      </c>
      <c r="G905" s="198" t="s">
        <v>2272</v>
      </c>
      <c r="H905" s="198" t="s">
        <v>521</v>
      </c>
      <c r="I905" s="198"/>
      <c r="J905" s="198" t="s">
        <v>2272</v>
      </c>
      <c r="K905" s="198" t="s">
        <v>2272</v>
      </c>
      <c r="L905" s="198" t="s">
        <v>2272</v>
      </c>
      <c r="M905" s="198" t="s">
        <v>2272</v>
      </c>
      <c r="N905" s="198" t="s">
        <v>2272</v>
      </c>
      <c r="O905" s="198" t="s">
        <v>2272</v>
      </c>
      <c r="P905" s="198" t="s">
        <v>2272</v>
      </c>
      <c r="Q905" s="198" t="s">
        <v>2272</v>
      </c>
      <c r="R905" s="198" t="s">
        <v>2272</v>
      </c>
      <c r="S905" s="198" t="s">
        <v>2272</v>
      </c>
      <c r="T905" s="198" t="s">
        <v>2272</v>
      </c>
      <c r="U905" s="198" t="s">
        <v>2272</v>
      </c>
      <c r="V905" s="198" t="s">
        <v>2272</v>
      </c>
      <c r="W905" s="198" t="s">
        <v>2272</v>
      </c>
      <c r="X905" s="198" t="s">
        <v>2272</v>
      </c>
      <c r="Y905" s="198" t="s">
        <v>2272</v>
      </c>
      <c r="Z905" s="198" t="s">
        <v>2272</v>
      </c>
      <c r="AA905" s="198" t="s">
        <v>2272</v>
      </c>
      <c r="AB905" s="198" t="s">
        <v>2272</v>
      </c>
      <c r="AC905" s="198" t="s">
        <v>2272</v>
      </c>
      <c r="AD905" s="4" t="s">
        <v>2900</v>
      </c>
      <c r="AE905" s="198"/>
    </row>
    <row r="906" spans="1:31" ht="44.5" customHeight="1">
      <c r="A906" s="198" t="s">
        <v>2882</v>
      </c>
      <c r="B906" s="198" t="s">
        <v>2904</v>
      </c>
      <c r="C906" s="198" t="s">
        <v>2453</v>
      </c>
      <c r="D906" s="198" t="s">
        <v>1102</v>
      </c>
      <c r="E906" s="198" t="s">
        <v>1102</v>
      </c>
      <c r="F906" s="4" t="s">
        <v>2657</v>
      </c>
      <c r="G906" s="198" t="s">
        <v>2272</v>
      </c>
      <c r="H906" s="198" t="s">
        <v>521</v>
      </c>
      <c r="I906" s="198"/>
      <c r="J906" s="198" t="s">
        <v>2272</v>
      </c>
      <c r="K906" s="198" t="s">
        <v>2272</v>
      </c>
      <c r="L906" s="198" t="s">
        <v>2272</v>
      </c>
      <c r="M906" s="198" t="s">
        <v>2272</v>
      </c>
      <c r="N906" s="198" t="s">
        <v>2272</v>
      </c>
      <c r="O906" s="198" t="s">
        <v>2272</v>
      </c>
      <c r="P906" s="198" t="s">
        <v>2272</v>
      </c>
      <c r="Q906" s="198" t="s">
        <v>2272</v>
      </c>
      <c r="R906" s="198" t="s">
        <v>2272</v>
      </c>
      <c r="S906" s="198" t="s">
        <v>2272</v>
      </c>
      <c r="T906" s="198" t="s">
        <v>2272</v>
      </c>
      <c r="U906" s="198" t="s">
        <v>2272</v>
      </c>
      <c r="V906" s="198" t="s">
        <v>2272</v>
      </c>
      <c r="W906" s="198" t="s">
        <v>2272</v>
      </c>
      <c r="X906" s="198" t="s">
        <v>2272</v>
      </c>
      <c r="Y906" s="198" t="s">
        <v>2272</v>
      </c>
      <c r="Z906" s="198" t="s">
        <v>2272</v>
      </c>
      <c r="AA906" s="198" t="s">
        <v>34</v>
      </c>
      <c r="AB906" s="198" t="s">
        <v>37</v>
      </c>
      <c r="AC906" s="198" t="s">
        <v>63</v>
      </c>
      <c r="AD906" s="4"/>
      <c r="AE906" s="198"/>
    </row>
    <row r="907" spans="1:31" ht="44.5" customHeight="1">
      <c r="A907" s="198" t="s">
        <v>2882</v>
      </c>
      <c r="B907" s="198" t="s">
        <v>2905</v>
      </c>
      <c r="C907" s="198" t="s">
        <v>23</v>
      </c>
      <c r="D907" s="198" t="s">
        <v>26</v>
      </c>
      <c r="E907" s="198" t="s">
        <v>128</v>
      </c>
      <c r="F907" s="4" t="s">
        <v>159</v>
      </c>
      <c r="G907" s="198" t="s">
        <v>2272</v>
      </c>
      <c r="H907" s="198" t="s">
        <v>521</v>
      </c>
      <c r="I907" s="198"/>
      <c r="J907" s="198" t="s">
        <v>2272</v>
      </c>
      <c r="K907" s="198" t="s">
        <v>2272</v>
      </c>
      <c r="L907" s="198" t="s">
        <v>2272</v>
      </c>
      <c r="M907" s="198" t="s">
        <v>2272</v>
      </c>
      <c r="N907" s="198" t="s">
        <v>2272</v>
      </c>
      <c r="O907" s="198" t="s">
        <v>2272</v>
      </c>
      <c r="P907" s="198" t="s">
        <v>2272</v>
      </c>
      <c r="Q907" s="198" t="s">
        <v>2272</v>
      </c>
      <c r="R907" s="198" t="s">
        <v>2272</v>
      </c>
      <c r="S907" s="198" t="s">
        <v>2272</v>
      </c>
      <c r="T907" s="198" t="s">
        <v>2272</v>
      </c>
      <c r="U907" s="198" t="s">
        <v>2272</v>
      </c>
      <c r="V907" s="198" t="s">
        <v>2272</v>
      </c>
      <c r="W907" s="198" t="s">
        <v>2272</v>
      </c>
      <c r="X907" s="198" t="s">
        <v>2272</v>
      </c>
      <c r="Y907" s="198" t="s">
        <v>2272</v>
      </c>
      <c r="Z907" s="198" t="s">
        <v>2272</v>
      </c>
      <c r="AA907" s="198" t="s">
        <v>67</v>
      </c>
      <c r="AB907" s="198" t="s">
        <v>34</v>
      </c>
      <c r="AC907" s="198" t="s">
        <v>63</v>
      </c>
      <c r="AD907" s="4"/>
      <c r="AE907" s="198"/>
    </row>
    <row r="908" spans="1:31" ht="41.5" customHeight="1">
      <c r="A908" s="198" t="s">
        <v>2882</v>
      </c>
      <c r="B908" s="198" t="s">
        <v>2906</v>
      </c>
      <c r="C908" s="198" t="s">
        <v>23</v>
      </c>
      <c r="D908" s="198" t="s">
        <v>2227</v>
      </c>
      <c r="E908" s="4" t="s">
        <v>394</v>
      </c>
      <c r="F908" s="4" t="s">
        <v>2657</v>
      </c>
      <c r="G908" s="198" t="s">
        <v>2272</v>
      </c>
      <c r="H908" s="198" t="s">
        <v>521</v>
      </c>
      <c r="I908" s="198"/>
      <c r="J908" s="198" t="s">
        <v>2272</v>
      </c>
      <c r="K908" s="198" t="s">
        <v>2272</v>
      </c>
      <c r="L908" s="198" t="s">
        <v>2272</v>
      </c>
      <c r="M908" s="198" t="s">
        <v>2272</v>
      </c>
      <c r="N908" s="198" t="s">
        <v>2272</v>
      </c>
      <c r="O908" s="198" t="s">
        <v>2272</v>
      </c>
      <c r="P908" s="198" t="s">
        <v>2272</v>
      </c>
      <c r="Q908" s="198" t="s">
        <v>2272</v>
      </c>
      <c r="R908" s="198" t="s">
        <v>2272</v>
      </c>
      <c r="S908" s="198" t="s">
        <v>2272</v>
      </c>
      <c r="T908" s="198" t="s">
        <v>2272</v>
      </c>
      <c r="U908" s="198" t="s">
        <v>2272</v>
      </c>
      <c r="V908" s="198" t="s">
        <v>2272</v>
      </c>
      <c r="W908" s="198" t="s">
        <v>2272</v>
      </c>
      <c r="X908" s="198" t="s">
        <v>2272</v>
      </c>
      <c r="Y908" s="198" t="s">
        <v>2272</v>
      </c>
      <c r="Z908" s="198" t="s">
        <v>2272</v>
      </c>
      <c r="AA908" s="198" t="s">
        <v>2272</v>
      </c>
      <c r="AB908" s="198" t="s">
        <v>2272</v>
      </c>
      <c r="AC908" s="198" t="s">
        <v>2272</v>
      </c>
      <c r="AD908" s="4" t="s">
        <v>2901</v>
      </c>
      <c r="AE908" s="198"/>
    </row>
    <row r="909" spans="1:31" ht="29">
      <c r="A909" s="198" t="s">
        <v>2882</v>
      </c>
      <c r="B909" s="198" t="s">
        <v>2907</v>
      </c>
      <c r="C909" s="198" t="s">
        <v>23</v>
      </c>
      <c r="D909" s="198" t="s">
        <v>2342</v>
      </c>
      <c r="E909" s="4" t="s">
        <v>1102</v>
      </c>
      <c r="F909" s="4" t="s">
        <v>2657</v>
      </c>
      <c r="G909" s="198" t="s">
        <v>2272</v>
      </c>
      <c r="H909" s="198" t="s">
        <v>521</v>
      </c>
      <c r="I909" s="198"/>
      <c r="J909" s="198" t="s">
        <v>2272</v>
      </c>
      <c r="K909" s="198" t="s">
        <v>2272</v>
      </c>
      <c r="L909" s="198" t="s">
        <v>2272</v>
      </c>
      <c r="M909" s="198" t="s">
        <v>2272</v>
      </c>
      <c r="N909" s="198" t="s">
        <v>2272</v>
      </c>
      <c r="O909" s="198" t="s">
        <v>2272</v>
      </c>
      <c r="P909" s="198" t="s">
        <v>2272</v>
      </c>
      <c r="Q909" s="198" t="s">
        <v>2272</v>
      </c>
      <c r="R909" s="198" t="s">
        <v>2272</v>
      </c>
      <c r="S909" s="198" t="s">
        <v>2272</v>
      </c>
      <c r="T909" s="198" t="s">
        <v>2272</v>
      </c>
      <c r="U909" s="198" t="s">
        <v>2272</v>
      </c>
      <c r="V909" s="198" t="s">
        <v>2272</v>
      </c>
      <c r="W909" s="198" t="s">
        <v>2272</v>
      </c>
      <c r="X909" s="198" t="s">
        <v>2272</v>
      </c>
      <c r="Y909" s="198" t="s">
        <v>2272</v>
      </c>
      <c r="Z909" s="198" t="s">
        <v>2272</v>
      </c>
      <c r="AA909" s="198" t="s">
        <v>2272</v>
      </c>
      <c r="AB909" s="198" t="s">
        <v>2272</v>
      </c>
      <c r="AC909" s="198" t="s">
        <v>2272</v>
      </c>
      <c r="AD909" s="4" t="s">
        <v>2898</v>
      </c>
      <c r="AE909" s="198"/>
    </row>
    <row r="910" spans="1:31" ht="29">
      <c r="A910" s="198" t="s">
        <v>2883</v>
      </c>
      <c r="B910" s="198" t="s">
        <v>2891</v>
      </c>
      <c r="C910" s="198" t="s">
        <v>23</v>
      </c>
      <c r="D910" s="198" t="s">
        <v>1241</v>
      </c>
      <c r="E910" s="198" t="s">
        <v>860</v>
      </c>
      <c r="F910" s="4" t="s">
        <v>2657</v>
      </c>
      <c r="G910" s="198" t="s">
        <v>2272</v>
      </c>
      <c r="H910" s="198" t="s">
        <v>521</v>
      </c>
      <c r="I910" s="198"/>
      <c r="J910" s="198" t="s">
        <v>2272</v>
      </c>
      <c r="K910" s="198" t="s">
        <v>2272</v>
      </c>
      <c r="L910" s="198" t="s">
        <v>2272</v>
      </c>
      <c r="M910" s="198" t="s">
        <v>2272</v>
      </c>
      <c r="N910" s="198" t="s">
        <v>2272</v>
      </c>
      <c r="O910" s="198" t="s">
        <v>2272</v>
      </c>
      <c r="P910" s="198" t="s">
        <v>2272</v>
      </c>
      <c r="Q910" s="198" t="s">
        <v>2272</v>
      </c>
      <c r="R910" s="198" t="s">
        <v>2272</v>
      </c>
      <c r="S910" s="198" t="s">
        <v>2272</v>
      </c>
      <c r="T910" s="198" t="s">
        <v>2272</v>
      </c>
      <c r="U910" s="198" t="s">
        <v>2272</v>
      </c>
      <c r="V910" s="198" t="s">
        <v>2272</v>
      </c>
      <c r="W910" s="198" t="s">
        <v>2272</v>
      </c>
      <c r="X910" s="198" t="s">
        <v>2272</v>
      </c>
      <c r="Y910" s="198" t="s">
        <v>2272</v>
      </c>
      <c r="Z910" s="198" t="s">
        <v>2272</v>
      </c>
      <c r="AA910" s="198" t="s">
        <v>2272</v>
      </c>
      <c r="AB910" s="198" t="s">
        <v>2272</v>
      </c>
      <c r="AC910" s="198" t="s">
        <v>2272</v>
      </c>
      <c r="AD910" s="198"/>
      <c r="AE910" s="198"/>
    </row>
    <row r="911" spans="1:31" ht="29">
      <c r="A911" s="198" t="s">
        <v>2883</v>
      </c>
      <c r="B911" s="198" t="s">
        <v>2908</v>
      </c>
      <c r="C911" s="198" t="s">
        <v>23</v>
      </c>
      <c r="D911" s="198" t="s">
        <v>25</v>
      </c>
      <c r="E911" s="198" t="s">
        <v>860</v>
      </c>
      <c r="F911" s="4" t="s">
        <v>2657</v>
      </c>
      <c r="G911" s="198" t="s">
        <v>2272</v>
      </c>
      <c r="H911" s="198" t="s">
        <v>521</v>
      </c>
      <c r="I911" s="198"/>
      <c r="J911" s="198" t="s">
        <v>2272</v>
      </c>
      <c r="K911" s="198" t="s">
        <v>2272</v>
      </c>
      <c r="L911" s="198" t="s">
        <v>2272</v>
      </c>
      <c r="M911" s="198" t="s">
        <v>2272</v>
      </c>
      <c r="N911" s="198" t="s">
        <v>2272</v>
      </c>
      <c r="O911" s="198" t="s">
        <v>2272</v>
      </c>
      <c r="P911" s="198" t="s">
        <v>2272</v>
      </c>
      <c r="Q911" s="198" t="s">
        <v>2272</v>
      </c>
      <c r="R911" s="198" t="s">
        <v>2272</v>
      </c>
      <c r="S911" s="198" t="s">
        <v>2272</v>
      </c>
      <c r="T911" s="198" t="s">
        <v>2272</v>
      </c>
      <c r="U911" s="198" t="s">
        <v>2272</v>
      </c>
      <c r="V911" s="198" t="s">
        <v>2272</v>
      </c>
      <c r="W911" s="198" t="s">
        <v>2272</v>
      </c>
      <c r="X911" s="198" t="s">
        <v>2272</v>
      </c>
      <c r="Y911" s="198" t="s">
        <v>2272</v>
      </c>
      <c r="Z911" s="198" t="s">
        <v>2272</v>
      </c>
      <c r="AA911" s="198" t="s">
        <v>2272</v>
      </c>
      <c r="AB911" s="198" t="s">
        <v>2272</v>
      </c>
      <c r="AC911" s="198" t="s">
        <v>2272</v>
      </c>
      <c r="AD911" s="4" t="s">
        <v>2899</v>
      </c>
      <c r="AE911" s="198"/>
    </row>
    <row r="912" spans="1:31" ht="29">
      <c r="A912" s="198" t="s">
        <v>2883</v>
      </c>
      <c r="B912" s="198" t="s">
        <v>2909</v>
      </c>
      <c r="C912" s="198" t="s">
        <v>23</v>
      </c>
      <c r="D912" s="198" t="s">
        <v>2337</v>
      </c>
      <c r="E912" s="198" t="s">
        <v>860</v>
      </c>
      <c r="F912" s="4" t="s">
        <v>2657</v>
      </c>
      <c r="G912" s="198" t="s">
        <v>2272</v>
      </c>
      <c r="H912" s="198" t="s">
        <v>521</v>
      </c>
      <c r="I912" s="198"/>
      <c r="J912" s="198" t="s">
        <v>2272</v>
      </c>
      <c r="K912" s="198" t="s">
        <v>2272</v>
      </c>
      <c r="L912" s="198" t="s">
        <v>2272</v>
      </c>
      <c r="M912" s="198" t="s">
        <v>2272</v>
      </c>
      <c r="N912" s="198" t="s">
        <v>2272</v>
      </c>
      <c r="O912" s="198" t="s">
        <v>2272</v>
      </c>
      <c r="P912" s="198" t="s">
        <v>2272</v>
      </c>
      <c r="Q912" s="198" t="s">
        <v>2272</v>
      </c>
      <c r="R912" s="198" t="s">
        <v>2272</v>
      </c>
      <c r="S912" s="198" t="s">
        <v>2272</v>
      </c>
      <c r="T912" s="198" t="s">
        <v>2272</v>
      </c>
      <c r="U912" s="198" t="s">
        <v>2272</v>
      </c>
      <c r="V912" s="198" t="s">
        <v>2272</v>
      </c>
      <c r="W912" s="198" t="s">
        <v>2272</v>
      </c>
      <c r="X912" s="198" t="s">
        <v>2272</v>
      </c>
      <c r="Y912" s="198" t="s">
        <v>2272</v>
      </c>
      <c r="Z912" s="198" t="s">
        <v>2272</v>
      </c>
      <c r="AA912" s="198" t="s">
        <v>2272</v>
      </c>
      <c r="AB912" s="198" t="s">
        <v>2272</v>
      </c>
      <c r="AC912" s="198" t="s">
        <v>2272</v>
      </c>
      <c r="AD912" s="4" t="s">
        <v>2900</v>
      </c>
      <c r="AE912" s="198"/>
    </row>
    <row r="913" spans="1:31" ht="29">
      <c r="A913" s="198" t="s">
        <v>2883</v>
      </c>
      <c r="B913" s="198" t="s">
        <v>2910</v>
      </c>
      <c r="C913" s="198" t="s">
        <v>2453</v>
      </c>
      <c r="D913" s="198" t="s">
        <v>1102</v>
      </c>
      <c r="E913" s="198" t="s">
        <v>1102</v>
      </c>
      <c r="F913" s="4" t="s">
        <v>2657</v>
      </c>
      <c r="G913" s="198" t="s">
        <v>2272</v>
      </c>
      <c r="H913" s="198" t="s">
        <v>521</v>
      </c>
      <c r="I913" s="198"/>
      <c r="J913" s="198" t="s">
        <v>2272</v>
      </c>
      <c r="K913" s="198" t="s">
        <v>2272</v>
      </c>
      <c r="L913" s="198" t="s">
        <v>2272</v>
      </c>
      <c r="M913" s="198" t="s">
        <v>2272</v>
      </c>
      <c r="N913" s="198" t="s">
        <v>2272</v>
      </c>
      <c r="O913" s="198" t="s">
        <v>2272</v>
      </c>
      <c r="P913" s="198" t="s">
        <v>2272</v>
      </c>
      <c r="Q913" s="198" t="s">
        <v>2272</v>
      </c>
      <c r="R913" s="198" t="s">
        <v>2272</v>
      </c>
      <c r="S913" s="198" t="s">
        <v>2272</v>
      </c>
      <c r="T913" s="198" t="s">
        <v>2272</v>
      </c>
      <c r="U913" s="198" t="s">
        <v>2272</v>
      </c>
      <c r="V913" s="198" t="s">
        <v>2272</v>
      </c>
      <c r="W913" s="198" t="s">
        <v>2272</v>
      </c>
      <c r="X913" s="198" t="s">
        <v>2272</v>
      </c>
      <c r="Y913" s="198" t="s">
        <v>2272</v>
      </c>
      <c r="Z913" s="198" t="s">
        <v>2272</v>
      </c>
      <c r="AA913" s="198" t="s">
        <v>34</v>
      </c>
      <c r="AB913" s="198" t="s">
        <v>37</v>
      </c>
      <c r="AC913" s="198" t="s">
        <v>63</v>
      </c>
      <c r="AD913" s="4"/>
      <c r="AE913" s="198"/>
    </row>
    <row r="914" spans="1:31" ht="29.5" customHeight="1">
      <c r="A914" s="198" t="s">
        <v>2883</v>
      </c>
      <c r="B914" s="198" t="s">
        <v>2911</v>
      </c>
      <c r="C914" s="198" t="s">
        <v>23</v>
      </c>
      <c r="D914" s="198" t="s">
        <v>26</v>
      </c>
      <c r="E914" s="198" t="s">
        <v>128</v>
      </c>
      <c r="F914" s="4" t="s">
        <v>159</v>
      </c>
      <c r="G914" s="198" t="s">
        <v>2272</v>
      </c>
      <c r="H914" s="198" t="s">
        <v>521</v>
      </c>
      <c r="I914" s="198"/>
      <c r="J914" s="198" t="s">
        <v>2272</v>
      </c>
      <c r="K914" s="198" t="s">
        <v>2272</v>
      </c>
      <c r="L914" s="198" t="s">
        <v>2272</v>
      </c>
      <c r="M914" s="198" t="s">
        <v>2272</v>
      </c>
      <c r="N914" s="198" t="s">
        <v>2272</v>
      </c>
      <c r="O914" s="198" t="s">
        <v>2272</v>
      </c>
      <c r="P914" s="198" t="s">
        <v>2272</v>
      </c>
      <c r="Q914" s="198" t="s">
        <v>2272</v>
      </c>
      <c r="R914" s="198" t="s">
        <v>2272</v>
      </c>
      <c r="S914" s="198" t="s">
        <v>2272</v>
      </c>
      <c r="T914" s="198" t="s">
        <v>2272</v>
      </c>
      <c r="U914" s="198" t="s">
        <v>2272</v>
      </c>
      <c r="V914" s="198" t="s">
        <v>2272</v>
      </c>
      <c r="W914" s="198" t="s">
        <v>2272</v>
      </c>
      <c r="X914" s="198" t="s">
        <v>2272</v>
      </c>
      <c r="Y914" s="198" t="s">
        <v>2272</v>
      </c>
      <c r="Z914" s="198" t="s">
        <v>2272</v>
      </c>
      <c r="AA914" s="198" t="s">
        <v>67</v>
      </c>
      <c r="AB914" s="198" t="s">
        <v>34</v>
      </c>
      <c r="AC914" s="198" t="s">
        <v>63</v>
      </c>
      <c r="AD914" s="4"/>
      <c r="AE914" s="198"/>
    </row>
    <row r="915" spans="1:31" ht="34.5" customHeight="1">
      <c r="A915" s="198" t="s">
        <v>2883</v>
      </c>
      <c r="B915" s="198" t="s">
        <v>2912</v>
      </c>
      <c r="C915" s="198" t="s">
        <v>23</v>
      </c>
      <c r="D915" s="198" t="s">
        <v>2227</v>
      </c>
      <c r="E915" s="4" t="s">
        <v>394</v>
      </c>
      <c r="F915" s="4" t="s">
        <v>2657</v>
      </c>
      <c r="G915" s="198" t="s">
        <v>2272</v>
      </c>
      <c r="H915" s="198" t="s">
        <v>521</v>
      </c>
      <c r="I915" s="198"/>
      <c r="J915" s="198" t="s">
        <v>2272</v>
      </c>
      <c r="K915" s="198" t="s">
        <v>2272</v>
      </c>
      <c r="L915" s="198" t="s">
        <v>2272</v>
      </c>
      <c r="M915" s="198" t="s">
        <v>2272</v>
      </c>
      <c r="N915" s="198" t="s">
        <v>2272</v>
      </c>
      <c r="O915" s="198" t="s">
        <v>2272</v>
      </c>
      <c r="P915" s="198" t="s">
        <v>2272</v>
      </c>
      <c r="Q915" s="198" t="s">
        <v>2272</v>
      </c>
      <c r="R915" s="198" t="s">
        <v>2272</v>
      </c>
      <c r="S915" s="198" t="s">
        <v>2272</v>
      </c>
      <c r="T915" s="198" t="s">
        <v>2272</v>
      </c>
      <c r="U915" s="198" t="s">
        <v>2272</v>
      </c>
      <c r="V915" s="198" t="s">
        <v>2272</v>
      </c>
      <c r="W915" s="198" t="s">
        <v>2272</v>
      </c>
      <c r="X915" s="198" t="s">
        <v>2272</v>
      </c>
      <c r="Y915" s="198" t="s">
        <v>2272</v>
      </c>
      <c r="Z915" s="198" t="s">
        <v>2272</v>
      </c>
      <c r="AA915" s="198" t="s">
        <v>2272</v>
      </c>
      <c r="AB915" s="198" t="s">
        <v>2272</v>
      </c>
      <c r="AC915" s="198" t="s">
        <v>2272</v>
      </c>
      <c r="AD915" s="4" t="s">
        <v>2901</v>
      </c>
      <c r="AE915" s="198"/>
    </row>
    <row r="916" spans="1:31" ht="37" customHeight="1">
      <c r="A916" s="198" t="s">
        <v>2883</v>
      </c>
      <c r="B916" s="198" t="s">
        <v>2913</v>
      </c>
      <c r="C916" s="198" t="s">
        <v>23</v>
      </c>
      <c r="D916" s="198" t="s">
        <v>2342</v>
      </c>
      <c r="E916" s="4" t="s">
        <v>1102</v>
      </c>
      <c r="F916" s="4" t="s">
        <v>2657</v>
      </c>
      <c r="G916" s="198" t="s">
        <v>2272</v>
      </c>
      <c r="H916" s="198" t="s">
        <v>521</v>
      </c>
      <c r="I916" s="198"/>
      <c r="J916" s="198" t="s">
        <v>2272</v>
      </c>
      <c r="K916" s="198" t="s">
        <v>2272</v>
      </c>
      <c r="L916" s="198" t="s">
        <v>2272</v>
      </c>
      <c r="M916" s="198" t="s">
        <v>2272</v>
      </c>
      <c r="N916" s="198" t="s">
        <v>2272</v>
      </c>
      <c r="O916" s="198" t="s">
        <v>2272</v>
      </c>
      <c r="P916" s="198" t="s">
        <v>2272</v>
      </c>
      <c r="Q916" s="198" t="s">
        <v>2272</v>
      </c>
      <c r="R916" s="198" t="s">
        <v>2272</v>
      </c>
      <c r="S916" s="198" t="s">
        <v>2272</v>
      </c>
      <c r="T916" s="198" t="s">
        <v>2272</v>
      </c>
      <c r="U916" s="198" t="s">
        <v>2272</v>
      </c>
      <c r="V916" s="198" t="s">
        <v>2272</v>
      </c>
      <c r="W916" s="198" t="s">
        <v>2272</v>
      </c>
      <c r="X916" s="198" t="s">
        <v>2272</v>
      </c>
      <c r="Y916" s="198" t="s">
        <v>2272</v>
      </c>
      <c r="Z916" s="198" t="s">
        <v>2272</v>
      </c>
      <c r="AA916" s="198" t="s">
        <v>2272</v>
      </c>
      <c r="AB916" s="198" t="s">
        <v>2272</v>
      </c>
      <c r="AC916" s="198" t="s">
        <v>2272</v>
      </c>
      <c r="AD916" s="4" t="s">
        <v>2898</v>
      </c>
      <c r="AE916" s="198"/>
    </row>
    <row r="917" spans="1:31" ht="34.5" customHeight="1">
      <c r="A917" s="4" t="s">
        <v>2919</v>
      </c>
      <c r="B917" s="4" t="s">
        <v>2923</v>
      </c>
      <c r="C917" s="4" t="s">
        <v>23</v>
      </c>
      <c r="D917" s="4" t="s">
        <v>142</v>
      </c>
      <c r="E917" s="4" t="s">
        <v>135</v>
      </c>
      <c r="F917" s="4" t="s">
        <v>2657</v>
      </c>
      <c r="G917" s="4" t="s">
        <v>2657</v>
      </c>
      <c r="H917" s="4" t="s">
        <v>521</v>
      </c>
      <c r="I917" s="198"/>
      <c r="J917" s="198" t="s">
        <v>2272</v>
      </c>
      <c r="K917" s="198" t="s">
        <v>2272</v>
      </c>
      <c r="L917" s="198" t="s">
        <v>2272</v>
      </c>
      <c r="M917" s="198" t="s">
        <v>2272</v>
      </c>
      <c r="N917" s="198" t="s">
        <v>2272</v>
      </c>
      <c r="O917" s="198" t="s">
        <v>2272</v>
      </c>
      <c r="P917" s="198" t="s">
        <v>2272</v>
      </c>
      <c r="Q917" s="198" t="s">
        <v>2272</v>
      </c>
      <c r="R917" s="198" t="s">
        <v>2272</v>
      </c>
      <c r="S917" s="198" t="s">
        <v>2272</v>
      </c>
      <c r="T917" s="198" t="s">
        <v>2272</v>
      </c>
      <c r="U917" s="198" t="s">
        <v>2272</v>
      </c>
      <c r="V917" s="198" t="s">
        <v>2272</v>
      </c>
      <c r="W917" s="198" t="s">
        <v>2272</v>
      </c>
      <c r="X917" s="198" t="s">
        <v>2272</v>
      </c>
      <c r="Y917" s="198" t="s">
        <v>2272</v>
      </c>
      <c r="Z917" s="198" t="s">
        <v>2272</v>
      </c>
      <c r="AA917" s="198" t="s">
        <v>2272</v>
      </c>
      <c r="AB917" s="198" t="s">
        <v>2272</v>
      </c>
      <c r="AC917" s="198" t="s">
        <v>2272</v>
      </c>
      <c r="AD917" s="198"/>
      <c r="AE917" s="198"/>
    </row>
    <row r="918" spans="1:31" ht="35.5" customHeight="1">
      <c r="A918" s="198" t="s">
        <v>2929</v>
      </c>
      <c r="B918" s="198" t="s">
        <v>2932</v>
      </c>
      <c r="C918" s="198" t="s">
        <v>23</v>
      </c>
      <c r="D918" s="198" t="s">
        <v>26</v>
      </c>
      <c r="E918" s="198" t="s">
        <v>128</v>
      </c>
      <c r="F918" s="4" t="s">
        <v>159</v>
      </c>
      <c r="G918" s="198" t="s">
        <v>2272</v>
      </c>
      <c r="H918" s="198" t="s">
        <v>521</v>
      </c>
      <c r="I918" s="198">
        <v>1990</v>
      </c>
      <c r="J918" s="198" t="s">
        <v>2272</v>
      </c>
      <c r="K918" s="198" t="s">
        <v>2272</v>
      </c>
      <c r="L918" s="198" t="s">
        <v>2272</v>
      </c>
      <c r="M918" s="198" t="s">
        <v>2272</v>
      </c>
      <c r="N918" s="198" t="s">
        <v>2272</v>
      </c>
      <c r="O918" s="198" t="s">
        <v>2272</v>
      </c>
      <c r="P918" s="198" t="s">
        <v>2272</v>
      </c>
      <c r="Q918" s="198" t="s">
        <v>2272</v>
      </c>
      <c r="R918" s="198" t="s">
        <v>2272</v>
      </c>
      <c r="S918" s="198" t="s">
        <v>2272</v>
      </c>
      <c r="T918" s="198" t="s">
        <v>2272</v>
      </c>
      <c r="U918" s="198" t="s">
        <v>2272</v>
      </c>
      <c r="V918" s="198" t="s">
        <v>2272</v>
      </c>
      <c r="W918" s="198" t="s">
        <v>2272</v>
      </c>
      <c r="X918" s="198" t="s">
        <v>2272</v>
      </c>
      <c r="Y918" s="198" t="s">
        <v>2272</v>
      </c>
      <c r="Z918" s="198" t="s">
        <v>2272</v>
      </c>
      <c r="AA918" s="198" t="s">
        <v>2272</v>
      </c>
      <c r="AB918" s="198" t="s">
        <v>2272</v>
      </c>
      <c r="AC918" s="198" t="s">
        <v>2272</v>
      </c>
      <c r="AD918" s="198"/>
      <c r="AE918" s="198"/>
    </row>
    <row r="919" spans="1:31" ht="40" customHeight="1">
      <c r="A919" s="198" t="s">
        <v>2929</v>
      </c>
      <c r="B919" s="198" t="s">
        <v>2934</v>
      </c>
      <c r="C919" s="198" t="s">
        <v>23</v>
      </c>
      <c r="D919" s="198" t="s">
        <v>26</v>
      </c>
      <c r="E919" s="198" t="s">
        <v>128</v>
      </c>
      <c r="F919" s="4" t="s">
        <v>159</v>
      </c>
      <c r="G919" s="198" t="s">
        <v>2272</v>
      </c>
      <c r="H919" s="198" t="s">
        <v>521</v>
      </c>
      <c r="I919" s="198">
        <v>1995</v>
      </c>
      <c r="J919" s="198" t="s">
        <v>2272</v>
      </c>
      <c r="K919" s="198" t="s">
        <v>2272</v>
      </c>
      <c r="L919" s="198" t="s">
        <v>2272</v>
      </c>
      <c r="M919" s="198" t="s">
        <v>2272</v>
      </c>
      <c r="N919" s="198" t="s">
        <v>2272</v>
      </c>
      <c r="O919" s="198" t="s">
        <v>2272</v>
      </c>
      <c r="P919" s="198" t="s">
        <v>2272</v>
      </c>
      <c r="Q919" s="198" t="s">
        <v>2272</v>
      </c>
      <c r="R919" s="198" t="s">
        <v>2272</v>
      </c>
      <c r="S919" s="198" t="s">
        <v>2272</v>
      </c>
      <c r="T919" s="198" t="s">
        <v>2272</v>
      </c>
      <c r="U919" s="198" t="s">
        <v>2272</v>
      </c>
      <c r="V919" s="198" t="s">
        <v>2272</v>
      </c>
      <c r="W919" s="198" t="s">
        <v>2272</v>
      </c>
      <c r="X919" s="198" t="s">
        <v>2272</v>
      </c>
      <c r="Y919" s="198" t="s">
        <v>2272</v>
      </c>
      <c r="Z919" s="198" t="s">
        <v>2272</v>
      </c>
      <c r="AA919" s="198" t="s">
        <v>2272</v>
      </c>
      <c r="AB919" s="198" t="s">
        <v>2272</v>
      </c>
      <c r="AC919" s="198" t="s">
        <v>2272</v>
      </c>
      <c r="AD919" s="198"/>
      <c r="AE919" s="198"/>
    </row>
    <row r="920" spans="1:31" ht="30" customHeight="1">
      <c r="A920" s="198" t="s">
        <v>2931</v>
      </c>
      <c r="B920" s="198" t="s">
        <v>2933</v>
      </c>
      <c r="C920" s="198" t="s">
        <v>23</v>
      </c>
      <c r="D920" s="198" t="s">
        <v>26</v>
      </c>
      <c r="E920" s="198" t="s">
        <v>128</v>
      </c>
      <c r="F920" s="4" t="s">
        <v>159</v>
      </c>
      <c r="G920" s="198" t="s">
        <v>2272</v>
      </c>
      <c r="H920" s="198" t="s">
        <v>521</v>
      </c>
      <c r="I920" s="198">
        <v>2000</v>
      </c>
      <c r="J920" s="198" t="s">
        <v>2272</v>
      </c>
      <c r="K920" s="198" t="s">
        <v>2272</v>
      </c>
      <c r="L920" s="198" t="s">
        <v>2272</v>
      </c>
      <c r="M920" s="198" t="s">
        <v>2272</v>
      </c>
      <c r="N920" s="198" t="s">
        <v>2272</v>
      </c>
      <c r="O920" s="198" t="s">
        <v>2272</v>
      </c>
      <c r="P920" s="198" t="s">
        <v>2272</v>
      </c>
      <c r="Q920" s="198" t="s">
        <v>2272</v>
      </c>
      <c r="R920" s="198" t="s">
        <v>2272</v>
      </c>
      <c r="S920" s="198" t="s">
        <v>2272</v>
      </c>
      <c r="T920" s="198" t="s">
        <v>2272</v>
      </c>
      <c r="U920" s="198" t="s">
        <v>2272</v>
      </c>
      <c r="V920" s="198" t="s">
        <v>2272</v>
      </c>
      <c r="W920" s="198" t="s">
        <v>2272</v>
      </c>
      <c r="X920" s="198" t="s">
        <v>2272</v>
      </c>
      <c r="Y920" s="198" t="s">
        <v>2272</v>
      </c>
      <c r="Z920" s="198" t="s">
        <v>2272</v>
      </c>
      <c r="AA920" s="198" t="s">
        <v>2272</v>
      </c>
      <c r="AB920" s="198" t="s">
        <v>2272</v>
      </c>
      <c r="AC920" s="198" t="s">
        <v>2272</v>
      </c>
      <c r="AD920" s="198"/>
      <c r="AE920" s="198"/>
    </row>
    <row r="921" spans="1:31" ht="34.5" customHeight="1">
      <c r="A921" s="198" t="s">
        <v>2931</v>
      </c>
      <c r="B921" s="198" t="s">
        <v>2936</v>
      </c>
      <c r="C921" s="198" t="s">
        <v>23</v>
      </c>
      <c r="D921" s="198" t="s">
        <v>26</v>
      </c>
      <c r="E921" s="198" t="s">
        <v>128</v>
      </c>
      <c r="F921" s="4" t="s">
        <v>159</v>
      </c>
      <c r="G921" s="198" t="s">
        <v>2272</v>
      </c>
      <c r="H921" s="198" t="s">
        <v>521</v>
      </c>
      <c r="I921" s="198">
        <v>2007</v>
      </c>
      <c r="J921" s="198" t="s">
        <v>2272</v>
      </c>
      <c r="K921" s="198" t="s">
        <v>2272</v>
      </c>
      <c r="L921" s="198" t="s">
        <v>2272</v>
      </c>
      <c r="M921" s="198" t="s">
        <v>2272</v>
      </c>
      <c r="N921" s="198" t="s">
        <v>2272</v>
      </c>
      <c r="O921" s="198" t="s">
        <v>2272</v>
      </c>
      <c r="P921" s="198" t="s">
        <v>2272</v>
      </c>
      <c r="Q921" s="198" t="s">
        <v>2272</v>
      </c>
      <c r="R921" s="198" t="s">
        <v>2272</v>
      </c>
      <c r="S921" s="198" t="s">
        <v>2272</v>
      </c>
      <c r="T921" s="198" t="s">
        <v>2272</v>
      </c>
      <c r="U921" s="198" t="s">
        <v>2272</v>
      </c>
      <c r="V921" s="198" t="s">
        <v>2272</v>
      </c>
      <c r="W921" s="198" t="s">
        <v>2272</v>
      </c>
      <c r="X921" s="198" t="s">
        <v>2272</v>
      </c>
      <c r="Y921" s="198" t="s">
        <v>2272</v>
      </c>
      <c r="Z921" s="198" t="s">
        <v>2272</v>
      </c>
      <c r="AA921" s="198" t="s">
        <v>2272</v>
      </c>
      <c r="AB921" s="198" t="s">
        <v>2272</v>
      </c>
      <c r="AC921" s="198" t="s">
        <v>2272</v>
      </c>
      <c r="AD921" s="198"/>
      <c r="AE921" s="198"/>
    </row>
    <row r="922" spans="1:31" ht="34.5" customHeight="1">
      <c r="A922" s="198" t="s">
        <v>2939</v>
      </c>
      <c r="B922" s="198" t="s">
        <v>2943</v>
      </c>
      <c r="C922" s="198" t="s">
        <v>23</v>
      </c>
      <c r="D922" s="198" t="s">
        <v>26</v>
      </c>
      <c r="E922" s="198" t="s">
        <v>128</v>
      </c>
      <c r="F922" s="4" t="s">
        <v>159</v>
      </c>
      <c r="G922" s="198" t="s">
        <v>2272</v>
      </c>
      <c r="H922" s="198" t="s">
        <v>521</v>
      </c>
      <c r="I922" s="198"/>
      <c r="J922" s="198" t="s">
        <v>2272</v>
      </c>
      <c r="K922" s="198" t="s">
        <v>2272</v>
      </c>
      <c r="L922" s="198" t="s">
        <v>2272</v>
      </c>
      <c r="M922" s="198" t="s">
        <v>2272</v>
      </c>
      <c r="N922" s="198" t="s">
        <v>2272</v>
      </c>
      <c r="O922" s="198" t="s">
        <v>2272</v>
      </c>
      <c r="P922" s="198" t="s">
        <v>2272</v>
      </c>
      <c r="Q922" s="198" t="s">
        <v>2272</v>
      </c>
      <c r="R922" s="198" t="s">
        <v>2272</v>
      </c>
      <c r="S922" s="198" t="s">
        <v>2272</v>
      </c>
      <c r="T922" s="198" t="s">
        <v>2272</v>
      </c>
      <c r="U922" s="198" t="s">
        <v>2272</v>
      </c>
      <c r="V922" s="198" t="s">
        <v>2272</v>
      </c>
      <c r="W922" s="198" t="s">
        <v>2272</v>
      </c>
      <c r="X922" s="198" t="s">
        <v>2272</v>
      </c>
      <c r="Y922" s="198" t="s">
        <v>2272</v>
      </c>
      <c r="Z922" s="198" t="s">
        <v>2272</v>
      </c>
      <c r="AA922" s="198" t="s">
        <v>37</v>
      </c>
      <c r="AB922" s="198" t="s">
        <v>84</v>
      </c>
      <c r="AC922" s="198" t="s">
        <v>63</v>
      </c>
      <c r="AD922" s="198"/>
      <c r="AE922" s="4" t="s">
        <v>2944</v>
      </c>
    </row>
    <row r="923" spans="1:31" ht="39" customHeight="1">
      <c r="A923" s="198" t="s">
        <v>2949</v>
      </c>
      <c r="B923" s="198" t="s">
        <v>2953</v>
      </c>
      <c r="C923" s="198" t="s">
        <v>23</v>
      </c>
      <c r="D923" s="198" t="s">
        <v>1238</v>
      </c>
      <c r="E923" s="198" t="s">
        <v>128</v>
      </c>
      <c r="F923" s="4" t="s">
        <v>2657</v>
      </c>
      <c r="G923" s="198" t="s">
        <v>2272</v>
      </c>
      <c r="H923" s="198" t="s">
        <v>521</v>
      </c>
      <c r="I923" s="198"/>
      <c r="J923" s="198" t="s">
        <v>2272</v>
      </c>
      <c r="K923" s="198" t="s">
        <v>2272</v>
      </c>
      <c r="L923" s="198" t="s">
        <v>2272</v>
      </c>
      <c r="M923" s="198" t="s">
        <v>2272</v>
      </c>
      <c r="N923" s="198" t="s">
        <v>2272</v>
      </c>
      <c r="O923" s="198" t="s">
        <v>2272</v>
      </c>
      <c r="P923" s="198" t="s">
        <v>2272</v>
      </c>
      <c r="Q923" s="198" t="s">
        <v>2272</v>
      </c>
      <c r="R923" s="198" t="s">
        <v>2272</v>
      </c>
      <c r="S923" s="198" t="s">
        <v>2272</v>
      </c>
      <c r="T923" s="198" t="s">
        <v>2272</v>
      </c>
      <c r="U923" s="198" t="s">
        <v>2272</v>
      </c>
      <c r="V923" s="198" t="s">
        <v>2272</v>
      </c>
      <c r="W923" s="198" t="s">
        <v>2272</v>
      </c>
      <c r="X923" s="198" t="s">
        <v>2272</v>
      </c>
      <c r="Y923" s="198" t="s">
        <v>2272</v>
      </c>
      <c r="Z923" s="198" t="s">
        <v>2272</v>
      </c>
      <c r="AA923" s="198" t="s">
        <v>37</v>
      </c>
      <c r="AB923" s="198" t="s">
        <v>84</v>
      </c>
      <c r="AC923" s="198" t="s">
        <v>63</v>
      </c>
      <c r="AD923" s="4" t="s">
        <v>2954</v>
      </c>
      <c r="AE923" s="198"/>
    </row>
    <row r="924" spans="1:31" ht="37.5" customHeight="1">
      <c r="A924" s="198" t="s">
        <v>2949</v>
      </c>
      <c r="B924" s="198" t="s">
        <v>2955</v>
      </c>
      <c r="C924" s="198" t="s">
        <v>23</v>
      </c>
      <c r="D924" s="198" t="s">
        <v>1238</v>
      </c>
      <c r="E924" s="198" t="s">
        <v>114</v>
      </c>
      <c r="F924" s="4" t="s">
        <v>2657</v>
      </c>
      <c r="G924" s="198" t="s">
        <v>2272</v>
      </c>
      <c r="H924" s="198" t="s">
        <v>521</v>
      </c>
      <c r="I924" s="198"/>
      <c r="J924" s="198" t="s">
        <v>2272</v>
      </c>
      <c r="K924" s="198" t="s">
        <v>2272</v>
      </c>
      <c r="L924" s="198" t="s">
        <v>2272</v>
      </c>
      <c r="M924" s="198" t="s">
        <v>2272</v>
      </c>
      <c r="N924" s="198" t="s">
        <v>2272</v>
      </c>
      <c r="O924" s="198" t="s">
        <v>2272</v>
      </c>
      <c r="P924" s="198" t="s">
        <v>2272</v>
      </c>
      <c r="Q924" s="198" t="s">
        <v>2272</v>
      </c>
      <c r="R924" s="198" t="s">
        <v>2272</v>
      </c>
      <c r="S924" s="198" t="s">
        <v>2272</v>
      </c>
      <c r="T924" s="198" t="s">
        <v>2272</v>
      </c>
      <c r="U924" s="198" t="s">
        <v>2272</v>
      </c>
      <c r="V924" s="198" t="s">
        <v>2272</v>
      </c>
      <c r="W924" s="198" t="s">
        <v>2272</v>
      </c>
      <c r="X924" s="198" t="s">
        <v>2272</v>
      </c>
      <c r="Y924" s="198" t="s">
        <v>2272</v>
      </c>
      <c r="Z924" s="198" t="s">
        <v>2272</v>
      </c>
      <c r="AA924" s="198" t="s">
        <v>37</v>
      </c>
      <c r="AB924" s="198" t="s">
        <v>84</v>
      </c>
      <c r="AC924" s="198" t="s">
        <v>63</v>
      </c>
      <c r="AD924" s="4" t="s">
        <v>2956</v>
      </c>
      <c r="AE924" s="198"/>
    </row>
    <row r="925" spans="1:31" ht="36.5" customHeight="1">
      <c r="A925" s="198" t="s">
        <v>2949</v>
      </c>
      <c r="B925" s="198" t="s">
        <v>2957</v>
      </c>
      <c r="C925" s="198" t="s">
        <v>23</v>
      </c>
      <c r="D925" s="198" t="s">
        <v>1241</v>
      </c>
      <c r="E925" s="198" t="s">
        <v>114</v>
      </c>
      <c r="F925" s="4" t="s">
        <v>2657</v>
      </c>
      <c r="G925" s="198" t="s">
        <v>2272</v>
      </c>
      <c r="H925" s="198" t="s">
        <v>521</v>
      </c>
      <c r="I925" s="198"/>
      <c r="J925" s="198" t="s">
        <v>2272</v>
      </c>
      <c r="K925" s="198" t="s">
        <v>2272</v>
      </c>
      <c r="L925" s="198" t="s">
        <v>2272</v>
      </c>
      <c r="M925" s="198" t="s">
        <v>2272</v>
      </c>
      <c r="N925" s="198" t="s">
        <v>2272</v>
      </c>
      <c r="O925" s="198" t="s">
        <v>2272</v>
      </c>
      <c r="P925" s="198" t="s">
        <v>2272</v>
      </c>
      <c r="Q925" s="198" t="s">
        <v>2272</v>
      </c>
      <c r="R925" s="198" t="s">
        <v>2272</v>
      </c>
      <c r="S925" s="198" t="s">
        <v>2272</v>
      </c>
      <c r="T925" s="198" t="s">
        <v>2272</v>
      </c>
      <c r="U925" s="198" t="s">
        <v>2272</v>
      </c>
      <c r="V925" s="198" t="s">
        <v>2272</v>
      </c>
      <c r="W925" s="198" t="s">
        <v>2272</v>
      </c>
      <c r="X925" s="198" t="s">
        <v>2272</v>
      </c>
      <c r="Y925" s="198" t="s">
        <v>2272</v>
      </c>
      <c r="Z925" s="198" t="s">
        <v>2272</v>
      </c>
      <c r="AA925" s="198" t="s">
        <v>37</v>
      </c>
      <c r="AB925" s="198" t="s">
        <v>37</v>
      </c>
      <c r="AC925" s="198" t="s">
        <v>63</v>
      </c>
      <c r="AD925" s="4" t="s">
        <v>2969</v>
      </c>
      <c r="AE925" s="198"/>
    </row>
    <row r="926" spans="1:31" ht="50.5" customHeight="1">
      <c r="A926" s="198" t="s">
        <v>2949</v>
      </c>
      <c r="B926" s="198" t="s">
        <v>2958</v>
      </c>
      <c r="C926" s="198" t="s">
        <v>23</v>
      </c>
      <c r="D926" s="198" t="s">
        <v>1128</v>
      </c>
      <c r="E926" s="198" t="s">
        <v>114</v>
      </c>
      <c r="F926" s="4" t="s">
        <v>2657</v>
      </c>
      <c r="G926" s="198" t="s">
        <v>2272</v>
      </c>
      <c r="H926" s="198" t="s">
        <v>521</v>
      </c>
      <c r="I926" s="198"/>
      <c r="J926" s="198" t="s">
        <v>2272</v>
      </c>
      <c r="K926" s="198" t="s">
        <v>2272</v>
      </c>
      <c r="L926" s="198" t="s">
        <v>2272</v>
      </c>
      <c r="M926" s="198" t="s">
        <v>2272</v>
      </c>
      <c r="N926" s="198" t="s">
        <v>2272</v>
      </c>
      <c r="O926" s="198" t="s">
        <v>2272</v>
      </c>
      <c r="P926" s="198" t="s">
        <v>2272</v>
      </c>
      <c r="Q926" s="198" t="s">
        <v>2272</v>
      </c>
      <c r="R926" s="198" t="s">
        <v>2272</v>
      </c>
      <c r="S926" s="198" t="s">
        <v>2272</v>
      </c>
      <c r="T926" s="198" t="s">
        <v>2272</v>
      </c>
      <c r="U926" s="198" t="s">
        <v>2272</v>
      </c>
      <c r="V926" s="198" t="s">
        <v>2272</v>
      </c>
      <c r="W926" s="198" t="s">
        <v>2272</v>
      </c>
      <c r="X926" s="198" t="s">
        <v>2272</v>
      </c>
      <c r="Y926" s="198" t="s">
        <v>2272</v>
      </c>
      <c r="Z926" s="21">
        <v>5.5</v>
      </c>
      <c r="AA926" s="198" t="s">
        <v>37</v>
      </c>
      <c r="AB926" s="198" t="s">
        <v>84</v>
      </c>
      <c r="AC926" s="198" t="s">
        <v>63</v>
      </c>
      <c r="AD926" s="4" t="s">
        <v>2959</v>
      </c>
      <c r="AE926" s="198"/>
    </row>
    <row r="927" spans="1:31" ht="47.5" customHeight="1">
      <c r="A927" s="198" t="s">
        <v>2949</v>
      </c>
      <c r="B927" s="198" t="s">
        <v>2960</v>
      </c>
      <c r="C927" s="198" t="s">
        <v>23</v>
      </c>
      <c r="D927" s="198" t="s">
        <v>24</v>
      </c>
      <c r="E927" s="198" t="s">
        <v>44</v>
      </c>
      <c r="F927" s="4" t="s">
        <v>28</v>
      </c>
      <c r="G927" s="198" t="s">
        <v>2272</v>
      </c>
      <c r="H927" s="198" t="s">
        <v>521</v>
      </c>
      <c r="I927" s="198"/>
      <c r="J927" s="198" t="s">
        <v>2272</v>
      </c>
      <c r="K927" s="198" t="s">
        <v>2272</v>
      </c>
      <c r="L927" s="198" t="s">
        <v>2272</v>
      </c>
      <c r="M927" s="198" t="s">
        <v>2272</v>
      </c>
      <c r="N927" s="198" t="s">
        <v>2272</v>
      </c>
      <c r="O927" s="198" t="s">
        <v>2272</v>
      </c>
      <c r="P927" s="198" t="s">
        <v>2272</v>
      </c>
      <c r="Q927" s="198" t="s">
        <v>2272</v>
      </c>
      <c r="R927" s="198" t="s">
        <v>2272</v>
      </c>
      <c r="S927" s="198" t="s">
        <v>2272</v>
      </c>
      <c r="T927" s="198" t="s">
        <v>2272</v>
      </c>
      <c r="U927" s="198" t="s">
        <v>2272</v>
      </c>
      <c r="V927" s="198" t="s">
        <v>2272</v>
      </c>
      <c r="W927" s="198" t="s">
        <v>2272</v>
      </c>
      <c r="X927" s="198" t="s">
        <v>2272</v>
      </c>
      <c r="Y927" s="198" t="s">
        <v>2272</v>
      </c>
      <c r="Z927" s="21">
        <v>1</v>
      </c>
      <c r="AA927" s="198" t="s">
        <v>84</v>
      </c>
      <c r="AB927" s="198" t="s">
        <v>84</v>
      </c>
      <c r="AC927" s="198" t="s">
        <v>63</v>
      </c>
      <c r="AD927" s="198" t="s">
        <v>2961</v>
      </c>
      <c r="AE927" s="198"/>
    </row>
    <row r="928" spans="1:31" ht="42.5" customHeight="1">
      <c r="A928" s="198" t="s">
        <v>2949</v>
      </c>
      <c r="B928" s="198" t="s">
        <v>2962</v>
      </c>
      <c r="C928" s="198" t="s">
        <v>23</v>
      </c>
      <c r="D928" s="198" t="s">
        <v>26</v>
      </c>
      <c r="E928" s="198" t="s">
        <v>128</v>
      </c>
      <c r="F928" s="4" t="s">
        <v>159</v>
      </c>
      <c r="G928" s="198" t="s">
        <v>2272</v>
      </c>
      <c r="H928" s="198" t="s">
        <v>521</v>
      </c>
      <c r="I928" s="198"/>
      <c r="J928" s="198" t="s">
        <v>2272</v>
      </c>
      <c r="K928" s="198" t="s">
        <v>2272</v>
      </c>
      <c r="L928" s="198" t="s">
        <v>2272</v>
      </c>
      <c r="M928" s="198" t="s">
        <v>2272</v>
      </c>
      <c r="N928" s="198" t="s">
        <v>2272</v>
      </c>
      <c r="O928" s="198" t="s">
        <v>2272</v>
      </c>
      <c r="P928" s="198" t="s">
        <v>2272</v>
      </c>
      <c r="Q928" s="198" t="s">
        <v>2272</v>
      </c>
      <c r="R928" s="198" t="s">
        <v>2272</v>
      </c>
      <c r="S928" s="198" t="s">
        <v>2272</v>
      </c>
      <c r="T928" s="198" t="s">
        <v>2272</v>
      </c>
      <c r="U928" s="198" t="s">
        <v>2272</v>
      </c>
      <c r="V928" s="198" t="s">
        <v>2272</v>
      </c>
      <c r="W928" s="198" t="s">
        <v>2272</v>
      </c>
      <c r="X928" s="198" t="s">
        <v>2272</v>
      </c>
      <c r="Y928" s="198" t="s">
        <v>2272</v>
      </c>
      <c r="Z928" s="198" t="s">
        <v>2272</v>
      </c>
      <c r="AA928" s="198" t="s">
        <v>403</v>
      </c>
      <c r="AB928" s="198" t="s">
        <v>423</v>
      </c>
      <c r="AC928" s="198" t="s">
        <v>75</v>
      </c>
      <c r="AD928" s="4" t="s">
        <v>2963</v>
      </c>
      <c r="AE928" s="198"/>
    </row>
    <row r="929" spans="1:31" ht="34.5" customHeight="1">
      <c r="A929" s="198" t="s">
        <v>2949</v>
      </c>
      <c r="B929" s="198" t="s">
        <v>2964</v>
      </c>
      <c r="C929" s="198" t="s">
        <v>23</v>
      </c>
      <c r="D929" s="198" t="s">
        <v>2337</v>
      </c>
      <c r="E929" s="198" t="s">
        <v>114</v>
      </c>
      <c r="F929" s="4" t="s">
        <v>2657</v>
      </c>
      <c r="G929" s="198" t="s">
        <v>2272</v>
      </c>
      <c r="H929" s="198" t="s">
        <v>521</v>
      </c>
      <c r="I929" s="198"/>
      <c r="J929" s="198" t="s">
        <v>2272</v>
      </c>
      <c r="K929" s="198" t="s">
        <v>2272</v>
      </c>
      <c r="L929" s="198" t="s">
        <v>2272</v>
      </c>
      <c r="M929" s="198" t="s">
        <v>2272</v>
      </c>
      <c r="N929" s="198" t="s">
        <v>2272</v>
      </c>
      <c r="O929" s="198" t="s">
        <v>2272</v>
      </c>
      <c r="P929" s="198" t="s">
        <v>2272</v>
      </c>
      <c r="Q929" s="198" t="s">
        <v>2272</v>
      </c>
      <c r="R929" s="198" t="s">
        <v>2272</v>
      </c>
      <c r="S929" s="198" t="s">
        <v>2272</v>
      </c>
      <c r="T929" s="198" t="s">
        <v>2272</v>
      </c>
      <c r="U929" s="198" t="s">
        <v>2272</v>
      </c>
      <c r="V929" s="198" t="s">
        <v>2272</v>
      </c>
      <c r="W929" s="198" t="s">
        <v>2272</v>
      </c>
      <c r="X929" s="198" t="s">
        <v>2272</v>
      </c>
      <c r="Y929" s="198" t="s">
        <v>2272</v>
      </c>
      <c r="Z929" s="198" t="s">
        <v>2272</v>
      </c>
      <c r="AA929" s="198" t="s">
        <v>37</v>
      </c>
      <c r="AB929" s="198" t="s">
        <v>423</v>
      </c>
      <c r="AC929" s="198" t="s">
        <v>63</v>
      </c>
      <c r="AD929" s="198" t="s">
        <v>2971</v>
      </c>
      <c r="AE929" s="198"/>
    </row>
    <row r="930" spans="1:31" ht="34.5" customHeight="1">
      <c r="A930" s="198" t="s">
        <v>2949</v>
      </c>
      <c r="B930" s="198" t="s">
        <v>2965</v>
      </c>
      <c r="C930" s="198" t="s">
        <v>23</v>
      </c>
      <c r="D930" s="198" t="s">
        <v>2337</v>
      </c>
      <c r="E930" s="198" t="s">
        <v>128</v>
      </c>
      <c r="F930" s="4" t="s">
        <v>2657</v>
      </c>
      <c r="G930" s="198" t="s">
        <v>2272</v>
      </c>
      <c r="H930" s="198" t="s">
        <v>521</v>
      </c>
      <c r="I930" s="198"/>
      <c r="J930" s="198" t="s">
        <v>2272</v>
      </c>
      <c r="K930" s="198" t="s">
        <v>2272</v>
      </c>
      <c r="L930" s="198" t="s">
        <v>2272</v>
      </c>
      <c r="M930" s="198" t="s">
        <v>2272</v>
      </c>
      <c r="N930" s="198" t="s">
        <v>2272</v>
      </c>
      <c r="O930" s="198" t="s">
        <v>2272</v>
      </c>
      <c r="P930" s="198" t="s">
        <v>2272</v>
      </c>
      <c r="Q930" s="198" t="s">
        <v>2272</v>
      </c>
      <c r="R930" s="198" t="s">
        <v>2272</v>
      </c>
      <c r="S930" s="198" t="s">
        <v>2272</v>
      </c>
      <c r="T930" s="198" t="s">
        <v>2272</v>
      </c>
      <c r="U930" s="198" t="s">
        <v>2272</v>
      </c>
      <c r="V930" s="198" t="s">
        <v>2272</v>
      </c>
      <c r="W930" s="198" t="s">
        <v>2272</v>
      </c>
      <c r="X930" s="198" t="s">
        <v>2272</v>
      </c>
      <c r="Y930" s="198" t="s">
        <v>2272</v>
      </c>
      <c r="Z930" s="198" t="s">
        <v>2272</v>
      </c>
      <c r="AA930" s="198" t="s">
        <v>37</v>
      </c>
      <c r="AB930" s="198" t="s">
        <v>423</v>
      </c>
      <c r="AC930" s="198" t="s">
        <v>63</v>
      </c>
      <c r="AD930" s="4" t="s">
        <v>2972</v>
      </c>
      <c r="AE930" s="198"/>
    </row>
    <row r="931" spans="1:31" ht="41" customHeight="1">
      <c r="A931" s="198" t="s">
        <v>2949</v>
      </c>
      <c r="B931" s="198" t="s">
        <v>2966</v>
      </c>
      <c r="C931" s="198" t="s">
        <v>23</v>
      </c>
      <c r="D931" s="198" t="s">
        <v>25</v>
      </c>
      <c r="E931" s="198" t="s">
        <v>128</v>
      </c>
      <c r="F931" s="4" t="s">
        <v>2657</v>
      </c>
      <c r="G931" s="198" t="s">
        <v>2272</v>
      </c>
      <c r="H931" s="198" t="s">
        <v>521</v>
      </c>
      <c r="I931" s="198"/>
      <c r="J931" s="198" t="s">
        <v>2272</v>
      </c>
      <c r="K931" s="198" t="s">
        <v>2272</v>
      </c>
      <c r="L931" s="198" t="s">
        <v>2272</v>
      </c>
      <c r="M931" s="198" t="s">
        <v>2272</v>
      </c>
      <c r="N931" s="198" t="s">
        <v>2272</v>
      </c>
      <c r="O931" s="198" t="s">
        <v>2272</v>
      </c>
      <c r="P931" s="198" t="s">
        <v>2272</v>
      </c>
      <c r="Q931" s="198" t="s">
        <v>2272</v>
      </c>
      <c r="R931" s="198" t="s">
        <v>2272</v>
      </c>
      <c r="S931" s="198" t="s">
        <v>2272</v>
      </c>
      <c r="T931" s="198" t="s">
        <v>2272</v>
      </c>
      <c r="U931" s="198" t="s">
        <v>2272</v>
      </c>
      <c r="V931" s="198" t="s">
        <v>2272</v>
      </c>
      <c r="W931" s="198" t="s">
        <v>2272</v>
      </c>
      <c r="X931" s="198" t="s">
        <v>2272</v>
      </c>
      <c r="Y931" s="198" t="s">
        <v>2272</v>
      </c>
      <c r="Z931" s="198" t="s">
        <v>2272</v>
      </c>
      <c r="AA931" s="198" t="s">
        <v>37</v>
      </c>
      <c r="AB931" s="198" t="s">
        <v>423</v>
      </c>
      <c r="AC931" s="198" t="s">
        <v>63</v>
      </c>
      <c r="AD931" s="198"/>
      <c r="AE931" s="198"/>
    </row>
    <row r="932" spans="1:31" ht="39" customHeight="1">
      <c r="A932" s="198" t="s">
        <v>2949</v>
      </c>
      <c r="B932" s="198" t="s">
        <v>2967</v>
      </c>
      <c r="C932" s="198" t="s">
        <v>23</v>
      </c>
      <c r="D932" s="198" t="s">
        <v>25</v>
      </c>
      <c r="E932" s="198" t="s">
        <v>114</v>
      </c>
      <c r="F932" s="4" t="s">
        <v>2657</v>
      </c>
      <c r="G932" s="198" t="s">
        <v>2272</v>
      </c>
      <c r="H932" s="198" t="s">
        <v>521</v>
      </c>
      <c r="I932" s="198"/>
      <c r="J932" s="198" t="s">
        <v>2272</v>
      </c>
      <c r="K932" s="198" t="s">
        <v>2272</v>
      </c>
      <c r="L932" s="198" t="s">
        <v>2272</v>
      </c>
      <c r="M932" s="198" t="s">
        <v>2272</v>
      </c>
      <c r="N932" s="198" t="s">
        <v>2272</v>
      </c>
      <c r="O932" s="198" t="s">
        <v>2272</v>
      </c>
      <c r="P932" s="198" t="s">
        <v>2272</v>
      </c>
      <c r="Q932" s="198" t="s">
        <v>2272</v>
      </c>
      <c r="R932" s="198" t="s">
        <v>2272</v>
      </c>
      <c r="S932" s="198" t="s">
        <v>2272</v>
      </c>
      <c r="T932" s="198" t="s">
        <v>2272</v>
      </c>
      <c r="U932" s="198" t="s">
        <v>2272</v>
      </c>
      <c r="V932" s="198" t="s">
        <v>2272</v>
      </c>
      <c r="W932" s="198" t="s">
        <v>2272</v>
      </c>
      <c r="X932" s="198" t="s">
        <v>2272</v>
      </c>
      <c r="Y932" s="198" t="s">
        <v>2272</v>
      </c>
      <c r="Z932" s="198" t="s">
        <v>2272</v>
      </c>
      <c r="AA932" s="198" t="s">
        <v>37</v>
      </c>
      <c r="AB932" s="198" t="s">
        <v>423</v>
      </c>
      <c r="AC932" s="198" t="s">
        <v>63</v>
      </c>
      <c r="AD932" s="198"/>
      <c r="AE932" s="198"/>
    </row>
    <row r="933" spans="1:31" ht="40.5" customHeight="1">
      <c r="A933" s="198" t="s">
        <v>2949</v>
      </c>
      <c r="B933" s="198" t="s">
        <v>2970</v>
      </c>
      <c r="C933" s="198" t="s">
        <v>2453</v>
      </c>
      <c r="D933" s="198" t="s">
        <v>24</v>
      </c>
      <c r="E933" s="198" t="s">
        <v>2642</v>
      </c>
      <c r="F933" s="4" t="s">
        <v>28</v>
      </c>
      <c r="G933" s="4" t="s">
        <v>2657</v>
      </c>
      <c r="H933" s="198" t="s">
        <v>521</v>
      </c>
      <c r="I933" s="198"/>
      <c r="J933" s="198" t="s">
        <v>2272</v>
      </c>
      <c r="K933" s="198" t="s">
        <v>2272</v>
      </c>
      <c r="L933" s="198" t="s">
        <v>2272</v>
      </c>
      <c r="M933" s="198" t="s">
        <v>2272</v>
      </c>
      <c r="N933" s="198" t="s">
        <v>2272</v>
      </c>
      <c r="O933" s="198" t="s">
        <v>2272</v>
      </c>
      <c r="P933" s="198" t="s">
        <v>2272</v>
      </c>
      <c r="Q933" s="198" t="s">
        <v>2272</v>
      </c>
      <c r="R933" s="198" t="s">
        <v>2272</v>
      </c>
      <c r="S933" s="198" t="s">
        <v>2272</v>
      </c>
      <c r="T933" s="198" t="s">
        <v>2272</v>
      </c>
      <c r="U933" s="198" t="s">
        <v>2272</v>
      </c>
      <c r="V933" s="198" t="s">
        <v>2272</v>
      </c>
      <c r="W933" s="198" t="s">
        <v>2272</v>
      </c>
      <c r="X933" s="198" t="s">
        <v>2272</v>
      </c>
      <c r="Y933" s="198" t="s">
        <v>2272</v>
      </c>
      <c r="Z933" s="198" t="s">
        <v>2272</v>
      </c>
      <c r="AA933" s="198" t="s">
        <v>37</v>
      </c>
      <c r="AB933" s="198" t="s">
        <v>423</v>
      </c>
      <c r="AC933" s="198" t="s">
        <v>63</v>
      </c>
      <c r="AD933" s="4" t="s">
        <v>2968</v>
      </c>
      <c r="AE933" s="198"/>
    </row>
    <row r="934" spans="1:31" ht="50" customHeight="1">
      <c r="A934" s="198" t="s">
        <v>2949</v>
      </c>
      <c r="B934" s="198" t="s">
        <v>2976</v>
      </c>
      <c r="C934" s="198" t="s">
        <v>2453</v>
      </c>
      <c r="D934" s="198" t="s">
        <v>26</v>
      </c>
      <c r="E934" s="198" t="s">
        <v>128</v>
      </c>
      <c r="F934" s="4" t="s">
        <v>159</v>
      </c>
      <c r="G934" s="4" t="s">
        <v>2657</v>
      </c>
      <c r="H934" s="198" t="s">
        <v>521</v>
      </c>
      <c r="I934" s="198"/>
      <c r="J934" s="198" t="s">
        <v>2272</v>
      </c>
      <c r="K934" s="198" t="s">
        <v>2272</v>
      </c>
      <c r="L934" s="198" t="s">
        <v>2272</v>
      </c>
      <c r="M934" s="198" t="s">
        <v>2272</v>
      </c>
      <c r="N934" s="198" t="s">
        <v>2272</v>
      </c>
      <c r="O934" s="198" t="s">
        <v>2272</v>
      </c>
      <c r="P934" s="198" t="s">
        <v>2272</v>
      </c>
      <c r="Q934" s="198" t="s">
        <v>2272</v>
      </c>
      <c r="R934" s="198" t="s">
        <v>2272</v>
      </c>
      <c r="S934" s="198" t="s">
        <v>2272</v>
      </c>
      <c r="T934" s="198" t="s">
        <v>2272</v>
      </c>
      <c r="U934" s="198" t="s">
        <v>2272</v>
      </c>
      <c r="V934" s="198" t="s">
        <v>2272</v>
      </c>
      <c r="W934" s="198" t="s">
        <v>2272</v>
      </c>
      <c r="X934" s="198" t="s">
        <v>2272</v>
      </c>
      <c r="Y934" s="198" t="s">
        <v>2272</v>
      </c>
      <c r="Z934" s="198" t="s">
        <v>2272</v>
      </c>
      <c r="AA934" s="198" t="s">
        <v>403</v>
      </c>
      <c r="AB934" s="198" t="s">
        <v>423</v>
      </c>
      <c r="AC934" s="198" t="s">
        <v>75</v>
      </c>
      <c r="AD934" s="4" t="s">
        <v>2977</v>
      </c>
      <c r="AE934" s="198"/>
    </row>
    <row r="935" spans="1:31" ht="63.5" customHeight="1">
      <c r="A935" s="198" t="s">
        <v>2983</v>
      </c>
      <c r="B935" s="198" t="s">
        <v>2984</v>
      </c>
      <c r="C935" s="198" t="s">
        <v>23</v>
      </c>
      <c r="D935" s="198" t="s">
        <v>24</v>
      </c>
      <c r="E935" s="198" t="s">
        <v>5000</v>
      </c>
      <c r="F935" s="4" t="s">
        <v>2657</v>
      </c>
      <c r="G935" s="198" t="s">
        <v>2272</v>
      </c>
      <c r="H935" s="198" t="s">
        <v>521</v>
      </c>
      <c r="I935" s="198"/>
      <c r="J935" s="198" t="s">
        <v>2272</v>
      </c>
      <c r="K935" s="198" t="s">
        <v>2272</v>
      </c>
      <c r="L935" s="198" t="s">
        <v>2272</v>
      </c>
      <c r="M935" s="198" t="s">
        <v>2272</v>
      </c>
      <c r="N935" s="198" t="s">
        <v>2272</v>
      </c>
      <c r="O935" s="198" t="s">
        <v>2272</v>
      </c>
      <c r="P935" s="198" t="s">
        <v>2272</v>
      </c>
      <c r="Q935" s="198" t="s">
        <v>2272</v>
      </c>
      <c r="R935" s="198" t="s">
        <v>2272</v>
      </c>
      <c r="S935" s="198" t="s">
        <v>2272</v>
      </c>
      <c r="T935" s="198" t="s">
        <v>2272</v>
      </c>
      <c r="U935" s="198" t="s">
        <v>2272</v>
      </c>
      <c r="V935" s="198" t="s">
        <v>2272</v>
      </c>
      <c r="W935" s="198" t="s">
        <v>2272</v>
      </c>
      <c r="X935" s="198" t="s">
        <v>2272</v>
      </c>
      <c r="Y935" s="198" t="s">
        <v>2272</v>
      </c>
      <c r="Z935" s="198" t="s">
        <v>2272</v>
      </c>
      <c r="AA935" s="198" t="s">
        <v>67</v>
      </c>
      <c r="AB935" s="198" t="s">
        <v>34</v>
      </c>
      <c r="AC935" s="198" t="s">
        <v>63</v>
      </c>
      <c r="AD935" s="4" t="s">
        <v>3001</v>
      </c>
      <c r="AE935" s="198"/>
    </row>
    <row r="936" spans="1:31" ht="46" customHeight="1">
      <c r="A936" s="198" t="s">
        <v>2983</v>
      </c>
      <c r="B936" s="198" t="s">
        <v>2985</v>
      </c>
      <c r="C936" s="198" t="s">
        <v>23</v>
      </c>
      <c r="D936" s="198" t="s">
        <v>25</v>
      </c>
      <c r="E936" s="198" t="s">
        <v>5000</v>
      </c>
      <c r="F936" s="4" t="s">
        <v>2657</v>
      </c>
      <c r="G936" s="198" t="s">
        <v>2272</v>
      </c>
      <c r="H936" s="198" t="s">
        <v>521</v>
      </c>
      <c r="I936" s="198"/>
      <c r="J936" s="198" t="s">
        <v>2272</v>
      </c>
      <c r="K936" s="198" t="s">
        <v>2272</v>
      </c>
      <c r="L936" s="198" t="s">
        <v>2272</v>
      </c>
      <c r="M936" s="198" t="s">
        <v>2272</v>
      </c>
      <c r="N936" s="198" t="s">
        <v>2272</v>
      </c>
      <c r="O936" s="198" t="s">
        <v>2272</v>
      </c>
      <c r="P936" s="198" t="s">
        <v>2272</v>
      </c>
      <c r="Q936" s="198" t="s">
        <v>2272</v>
      </c>
      <c r="R936" s="198" t="s">
        <v>2272</v>
      </c>
      <c r="S936" s="198" t="s">
        <v>2272</v>
      </c>
      <c r="T936" s="198" t="s">
        <v>2272</v>
      </c>
      <c r="U936" s="198" t="s">
        <v>2272</v>
      </c>
      <c r="V936" s="198" t="s">
        <v>2272</v>
      </c>
      <c r="W936" s="198" t="s">
        <v>2272</v>
      </c>
      <c r="X936" s="198" t="s">
        <v>2272</v>
      </c>
      <c r="Y936" s="198" t="s">
        <v>2272</v>
      </c>
      <c r="Z936" s="198" t="s">
        <v>2272</v>
      </c>
      <c r="AA936" s="198" t="s">
        <v>2272</v>
      </c>
      <c r="AB936" s="198" t="s">
        <v>2272</v>
      </c>
      <c r="AC936" s="198" t="s">
        <v>2272</v>
      </c>
      <c r="AD936" s="198"/>
      <c r="AE936" s="198"/>
    </row>
    <row r="937" spans="1:31" ht="70" customHeight="1">
      <c r="A937" s="198" t="s">
        <v>2983</v>
      </c>
      <c r="B937" s="198" t="s">
        <v>2986</v>
      </c>
      <c r="C937" s="198" t="s">
        <v>23</v>
      </c>
      <c r="D937" s="198" t="s">
        <v>2337</v>
      </c>
      <c r="E937" s="198" t="s">
        <v>5000</v>
      </c>
      <c r="F937" s="4" t="s">
        <v>2657</v>
      </c>
      <c r="G937" s="198" t="s">
        <v>2272</v>
      </c>
      <c r="H937" s="198" t="s">
        <v>521</v>
      </c>
      <c r="I937" s="198"/>
      <c r="J937" s="198" t="s">
        <v>2272</v>
      </c>
      <c r="K937" s="198" t="s">
        <v>2272</v>
      </c>
      <c r="L937" s="198" t="s">
        <v>2272</v>
      </c>
      <c r="M937" s="198" t="s">
        <v>2272</v>
      </c>
      <c r="N937" s="198" t="s">
        <v>2272</v>
      </c>
      <c r="O937" s="198" t="s">
        <v>2272</v>
      </c>
      <c r="P937" s="198" t="s">
        <v>2272</v>
      </c>
      <c r="Q937" s="198" t="s">
        <v>2272</v>
      </c>
      <c r="R937" s="198" t="s">
        <v>2272</v>
      </c>
      <c r="S937" s="198" t="s">
        <v>2272</v>
      </c>
      <c r="T937" s="198" t="s">
        <v>2272</v>
      </c>
      <c r="U937" s="198" t="s">
        <v>2272</v>
      </c>
      <c r="V937" s="198" t="s">
        <v>2272</v>
      </c>
      <c r="W937" s="198" t="s">
        <v>2272</v>
      </c>
      <c r="X937" s="198" t="s">
        <v>2272</v>
      </c>
      <c r="Y937" s="198" t="s">
        <v>2272</v>
      </c>
      <c r="Z937" s="198" t="s">
        <v>2272</v>
      </c>
      <c r="AA937" s="198" t="s">
        <v>67</v>
      </c>
      <c r="AB937" s="198" t="s">
        <v>34</v>
      </c>
      <c r="AC937" s="198" t="s">
        <v>63</v>
      </c>
      <c r="AD937" s="4" t="s">
        <v>3006</v>
      </c>
      <c r="AE937" s="198"/>
    </row>
    <row r="938" spans="1:31" ht="39.5" customHeight="1">
      <c r="A938" s="198" t="s">
        <v>2983</v>
      </c>
      <c r="B938" s="198" t="s">
        <v>2988</v>
      </c>
      <c r="C938" s="198" t="s">
        <v>2453</v>
      </c>
      <c r="D938" s="198" t="s">
        <v>2989</v>
      </c>
      <c r="E938" s="198" t="s">
        <v>5000</v>
      </c>
      <c r="F938" s="4" t="s">
        <v>2272</v>
      </c>
      <c r="G938" s="4" t="s">
        <v>2657</v>
      </c>
      <c r="H938" s="198" t="s">
        <v>521</v>
      </c>
      <c r="I938" s="198"/>
      <c r="J938" s="198" t="s">
        <v>2272</v>
      </c>
      <c r="K938" s="198" t="s">
        <v>2272</v>
      </c>
      <c r="L938" s="198" t="s">
        <v>2272</v>
      </c>
      <c r="M938" s="198" t="s">
        <v>2272</v>
      </c>
      <c r="N938" s="198" t="s">
        <v>2272</v>
      </c>
      <c r="O938" s="198" t="s">
        <v>2272</v>
      </c>
      <c r="P938" s="198" t="s">
        <v>2272</v>
      </c>
      <c r="Q938" s="198" t="s">
        <v>2272</v>
      </c>
      <c r="R938" s="198" t="s">
        <v>2272</v>
      </c>
      <c r="S938" s="198" t="s">
        <v>2272</v>
      </c>
      <c r="T938" s="198" t="s">
        <v>2272</v>
      </c>
      <c r="U938" s="198" t="s">
        <v>2272</v>
      </c>
      <c r="V938" s="198" t="s">
        <v>2272</v>
      </c>
      <c r="W938" s="198" t="s">
        <v>2272</v>
      </c>
      <c r="X938" s="198" t="s">
        <v>2272</v>
      </c>
      <c r="Y938" s="198" t="s">
        <v>2272</v>
      </c>
      <c r="Z938" s="198" t="s">
        <v>2272</v>
      </c>
      <c r="AA938" s="198" t="s">
        <v>2272</v>
      </c>
      <c r="AB938" s="198" t="s">
        <v>2272</v>
      </c>
      <c r="AC938" s="198" t="s">
        <v>2272</v>
      </c>
      <c r="AD938" s="198"/>
      <c r="AE938" s="198"/>
    </row>
    <row r="939" spans="1:31" ht="37" customHeight="1">
      <c r="A939" s="198" t="s">
        <v>2983</v>
      </c>
      <c r="B939" s="198" t="s">
        <v>2992</v>
      </c>
      <c r="C939" s="198" t="s">
        <v>23</v>
      </c>
      <c r="D939" s="198" t="s">
        <v>26</v>
      </c>
      <c r="E939" s="198" t="s">
        <v>128</v>
      </c>
      <c r="F939" s="4" t="s">
        <v>2657</v>
      </c>
      <c r="G939" s="198" t="s">
        <v>2272</v>
      </c>
      <c r="H939" s="198" t="s">
        <v>521</v>
      </c>
      <c r="I939" s="198"/>
      <c r="J939" s="198" t="s">
        <v>2272</v>
      </c>
      <c r="K939" s="198" t="s">
        <v>2272</v>
      </c>
      <c r="L939" s="198" t="s">
        <v>2272</v>
      </c>
      <c r="M939" s="198" t="s">
        <v>2272</v>
      </c>
      <c r="N939" s="198" t="s">
        <v>2272</v>
      </c>
      <c r="O939" s="198" t="s">
        <v>2272</v>
      </c>
      <c r="P939" s="198" t="s">
        <v>2272</v>
      </c>
      <c r="Q939" s="198" t="s">
        <v>2272</v>
      </c>
      <c r="R939" s="198" t="s">
        <v>2272</v>
      </c>
      <c r="S939" s="198" t="s">
        <v>2272</v>
      </c>
      <c r="T939" s="198" t="s">
        <v>2272</v>
      </c>
      <c r="U939" s="198" t="s">
        <v>2272</v>
      </c>
      <c r="V939" s="198" t="s">
        <v>2272</v>
      </c>
      <c r="W939" s="198" t="s">
        <v>2272</v>
      </c>
      <c r="X939" s="198" t="s">
        <v>2272</v>
      </c>
      <c r="Y939" s="198" t="s">
        <v>2272</v>
      </c>
      <c r="Z939" s="198" t="s">
        <v>2272</v>
      </c>
      <c r="AA939" s="198" t="s">
        <v>33</v>
      </c>
      <c r="AB939" s="198" t="s">
        <v>33</v>
      </c>
      <c r="AC939" s="198" t="s">
        <v>2650</v>
      </c>
      <c r="AD939" s="4" t="s">
        <v>3002</v>
      </c>
      <c r="AE939" s="198"/>
    </row>
    <row r="940" spans="1:31" ht="43.5" customHeight="1">
      <c r="A940" s="198" t="s">
        <v>2983</v>
      </c>
      <c r="B940" s="198" t="s">
        <v>2993</v>
      </c>
      <c r="C940" s="198" t="s">
        <v>23</v>
      </c>
      <c r="D940" s="198" t="s">
        <v>26</v>
      </c>
      <c r="E940" s="198" t="s">
        <v>128</v>
      </c>
      <c r="F940" s="4" t="s">
        <v>159</v>
      </c>
      <c r="G940" s="198" t="s">
        <v>2272</v>
      </c>
      <c r="H940" s="198" t="s">
        <v>521</v>
      </c>
      <c r="I940" s="198"/>
      <c r="J940" s="198" t="s">
        <v>2272</v>
      </c>
      <c r="K940" s="198" t="s">
        <v>2272</v>
      </c>
      <c r="L940" s="198" t="s">
        <v>2272</v>
      </c>
      <c r="M940" s="198" t="s">
        <v>2272</v>
      </c>
      <c r="N940" s="198" t="s">
        <v>2272</v>
      </c>
      <c r="O940" s="198" t="s">
        <v>2272</v>
      </c>
      <c r="P940" s="198" t="s">
        <v>2272</v>
      </c>
      <c r="Q940" s="198" t="s">
        <v>2272</v>
      </c>
      <c r="R940" s="198" t="s">
        <v>2272</v>
      </c>
      <c r="S940" s="198" t="s">
        <v>2272</v>
      </c>
      <c r="T940" s="198" t="s">
        <v>2272</v>
      </c>
      <c r="U940" s="198" t="s">
        <v>2272</v>
      </c>
      <c r="V940" s="198" t="s">
        <v>2272</v>
      </c>
      <c r="W940" s="198" t="s">
        <v>2272</v>
      </c>
      <c r="X940" s="198" t="s">
        <v>2272</v>
      </c>
      <c r="Y940" s="198" t="s">
        <v>2272</v>
      </c>
      <c r="Z940" s="198" t="s">
        <v>2272</v>
      </c>
      <c r="AA940" s="198" t="s">
        <v>33</v>
      </c>
      <c r="AB940" s="198" t="s">
        <v>33</v>
      </c>
      <c r="AC940" s="198" t="s">
        <v>2650</v>
      </c>
      <c r="AD940" s="4" t="s">
        <v>3002</v>
      </c>
      <c r="AE940" s="198"/>
    </row>
    <row r="941" spans="1:31" ht="40" customHeight="1">
      <c r="A941" s="198" t="s">
        <v>2983</v>
      </c>
      <c r="B941" s="198" t="s">
        <v>2994</v>
      </c>
      <c r="C941" s="198" t="s">
        <v>23</v>
      </c>
      <c r="D941" s="198" t="s">
        <v>1238</v>
      </c>
      <c r="E941" s="198" t="s">
        <v>128</v>
      </c>
      <c r="F941" s="4" t="s">
        <v>2657</v>
      </c>
      <c r="G941" s="198" t="s">
        <v>2272</v>
      </c>
      <c r="H941" s="198" t="s">
        <v>521</v>
      </c>
      <c r="I941" s="198"/>
      <c r="J941" s="198" t="s">
        <v>2272</v>
      </c>
      <c r="K941" s="198" t="s">
        <v>2272</v>
      </c>
      <c r="L941" s="198" t="s">
        <v>2272</v>
      </c>
      <c r="M941" s="198" t="s">
        <v>2272</v>
      </c>
      <c r="N941" s="198" t="s">
        <v>2272</v>
      </c>
      <c r="O941" s="198" t="s">
        <v>2272</v>
      </c>
      <c r="P941" s="198" t="s">
        <v>2272</v>
      </c>
      <c r="Q941" s="198" t="s">
        <v>2272</v>
      </c>
      <c r="R941" s="198" t="s">
        <v>2272</v>
      </c>
      <c r="S941" s="198" t="s">
        <v>2272</v>
      </c>
      <c r="T941" s="198" t="s">
        <v>2272</v>
      </c>
      <c r="U941" s="198" t="s">
        <v>2272</v>
      </c>
      <c r="V941" s="198" t="s">
        <v>2272</v>
      </c>
      <c r="W941" s="198" t="s">
        <v>2272</v>
      </c>
      <c r="X941" s="198" t="s">
        <v>2272</v>
      </c>
      <c r="Y941" s="198" t="s">
        <v>2272</v>
      </c>
      <c r="Z941" s="198" t="s">
        <v>2272</v>
      </c>
      <c r="AA941" s="198" t="s">
        <v>67</v>
      </c>
      <c r="AB941" s="198" t="s">
        <v>34</v>
      </c>
      <c r="AC941" s="198" t="s">
        <v>63</v>
      </c>
      <c r="AD941" s="4" t="s">
        <v>3003</v>
      </c>
      <c r="AE941" s="198"/>
    </row>
    <row r="942" spans="1:31" ht="34" customHeight="1">
      <c r="A942" s="198" t="s">
        <v>2983</v>
      </c>
      <c r="B942" s="198" t="s">
        <v>2995</v>
      </c>
      <c r="C942" s="198" t="s">
        <v>23</v>
      </c>
      <c r="D942" s="198" t="s">
        <v>1128</v>
      </c>
      <c r="E942" s="198" t="s">
        <v>128</v>
      </c>
      <c r="F942" s="4" t="s">
        <v>2657</v>
      </c>
      <c r="G942" s="198" t="s">
        <v>2272</v>
      </c>
      <c r="H942" s="198" t="s">
        <v>521</v>
      </c>
      <c r="I942" s="198"/>
      <c r="J942" s="198" t="s">
        <v>2272</v>
      </c>
      <c r="K942" s="198" t="s">
        <v>2272</v>
      </c>
      <c r="L942" s="198" t="s">
        <v>2272</v>
      </c>
      <c r="M942" s="198" t="s">
        <v>2272</v>
      </c>
      <c r="N942" s="198" t="s">
        <v>2272</v>
      </c>
      <c r="O942" s="198" t="s">
        <v>2272</v>
      </c>
      <c r="P942" s="198" t="s">
        <v>2272</v>
      </c>
      <c r="Q942" s="198" t="s">
        <v>2272</v>
      </c>
      <c r="R942" s="198" t="s">
        <v>2272</v>
      </c>
      <c r="S942" s="198" t="s">
        <v>2272</v>
      </c>
      <c r="T942" s="198" t="s">
        <v>2272</v>
      </c>
      <c r="U942" s="198" t="s">
        <v>2272</v>
      </c>
      <c r="V942" s="198" t="s">
        <v>2272</v>
      </c>
      <c r="W942" s="198" t="s">
        <v>2272</v>
      </c>
      <c r="X942" s="198" t="s">
        <v>2272</v>
      </c>
      <c r="Y942" s="198" t="s">
        <v>2272</v>
      </c>
      <c r="Z942" s="198" t="s">
        <v>2272</v>
      </c>
      <c r="AA942" s="198" t="s">
        <v>2272</v>
      </c>
      <c r="AB942" s="198" t="s">
        <v>2272</v>
      </c>
      <c r="AC942" s="198" t="s">
        <v>2272</v>
      </c>
      <c r="AD942" s="198"/>
      <c r="AE942" s="198"/>
    </row>
    <row r="943" spans="1:31" ht="42.5" customHeight="1">
      <c r="A943" s="198" t="s">
        <v>2983</v>
      </c>
      <c r="B943" s="198" t="s">
        <v>2996</v>
      </c>
      <c r="C943" s="198" t="s">
        <v>23</v>
      </c>
      <c r="D943" s="198" t="s">
        <v>1241</v>
      </c>
      <c r="E943" s="198" t="s">
        <v>114</v>
      </c>
      <c r="F943" s="4" t="s">
        <v>2657</v>
      </c>
      <c r="G943" s="198" t="s">
        <v>2272</v>
      </c>
      <c r="H943" s="198" t="s">
        <v>521</v>
      </c>
      <c r="I943" s="198"/>
      <c r="J943" s="198" t="s">
        <v>2272</v>
      </c>
      <c r="K943" s="198" t="s">
        <v>2272</v>
      </c>
      <c r="L943" s="198" t="s">
        <v>2272</v>
      </c>
      <c r="M943" s="198" t="s">
        <v>2272</v>
      </c>
      <c r="N943" s="198" t="s">
        <v>2272</v>
      </c>
      <c r="O943" s="198" t="s">
        <v>2272</v>
      </c>
      <c r="P943" s="198" t="s">
        <v>2272</v>
      </c>
      <c r="Q943" s="198" t="s">
        <v>2272</v>
      </c>
      <c r="R943" s="198" t="s">
        <v>2272</v>
      </c>
      <c r="S943" s="198" t="s">
        <v>2272</v>
      </c>
      <c r="T943" s="198" t="s">
        <v>2272</v>
      </c>
      <c r="U943" s="198" t="s">
        <v>2272</v>
      </c>
      <c r="V943" s="198" t="s">
        <v>2272</v>
      </c>
      <c r="W943" s="198" t="s">
        <v>2272</v>
      </c>
      <c r="X943" s="198" t="s">
        <v>2272</v>
      </c>
      <c r="Y943" s="198" t="s">
        <v>2272</v>
      </c>
      <c r="Z943" s="198" t="s">
        <v>2272</v>
      </c>
      <c r="AA943" s="198" t="s">
        <v>2272</v>
      </c>
      <c r="AB943" s="198" t="s">
        <v>2272</v>
      </c>
      <c r="AC943" s="198" t="s">
        <v>2272</v>
      </c>
      <c r="AD943" s="198"/>
      <c r="AE943" s="198"/>
    </row>
    <row r="944" spans="1:31" ht="40.5" customHeight="1">
      <c r="A944" s="198" t="s">
        <v>2983</v>
      </c>
      <c r="B944" s="198" t="s">
        <v>2997</v>
      </c>
      <c r="C944" s="198" t="s">
        <v>23</v>
      </c>
      <c r="D944" s="198" t="s">
        <v>3475</v>
      </c>
      <c r="E944" s="198" t="s">
        <v>114</v>
      </c>
      <c r="F944" s="4" t="s">
        <v>2657</v>
      </c>
      <c r="G944" s="198" t="s">
        <v>2272</v>
      </c>
      <c r="H944" s="198" t="s">
        <v>521</v>
      </c>
      <c r="I944" s="198"/>
      <c r="J944" s="198" t="s">
        <v>2272</v>
      </c>
      <c r="K944" s="198" t="s">
        <v>2272</v>
      </c>
      <c r="L944" s="198" t="s">
        <v>2272</v>
      </c>
      <c r="M944" s="198" t="s">
        <v>2272</v>
      </c>
      <c r="N944" s="198" t="s">
        <v>2272</v>
      </c>
      <c r="O944" s="198" t="s">
        <v>2272</v>
      </c>
      <c r="P944" s="198" t="s">
        <v>2272</v>
      </c>
      <c r="Q944" s="198" t="s">
        <v>2272</v>
      </c>
      <c r="R944" s="198" t="s">
        <v>2272</v>
      </c>
      <c r="S944" s="198" t="s">
        <v>2272</v>
      </c>
      <c r="T944" s="198" t="s">
        <v>2272</v>
      </c>
      <c r="U944" s="198" t="s">
        <v>2272</v>
      </c>
      <c r="V944" s="198" t="s">
        <v>2272</v>
      </c>
      <c r="W944" s="198" t="s">
        <v>2272</v>
      </c>
      <c r="X944" s="198" t="s">
        <v>2272</v>
      </c>
      <c r="Y944" s="198" t="s">
        <v>2272</v>
      </c>
      <c r="Z944" s="198" t="s">
        <v>2272</v>
      </c>
      <c r="AA944" s="198" t="s">
        <v>2272</v>
      </c>
      <c r="AB944" s="198" t="s">
        <v>2272</v>
      </c>
      <c r="AC944" s="198" t="s">
        <v>2272</v>
      </c>
      <c r="AD944" s="4" t="s">
        <v>2998</v>
      </c>
      <c r="AE944" s="198"/>
    </row>
    <row r="945" spans="1:31" ht="39" customHeight="1">
      <c r="A945" s="198" t="s">
        <v>2983</v>
      </c>
      <c r="B945" s="198" t="s">
        <v>2999</v>
      </c>
      <c r="C945" s="198" t="s">
        <v>30</v>
      </c>
      <c r="D945" s="198" t="s">
        <v>1102</v>
      </c>
      <c r="E945" s="198" t="s">
        <v>1102</v>
      </c>
      <c r="F945" s="4" t="s">
        <v>2272</v>
      </c>
      <c r="G945" s="4" t="s">
        <v>2657</v>
      </c>
      <c r="H945" s="198" t="s">
        <v>521</v>
      </c>
      <c r="I945" s="198"/>
      <c r="J945" s="198" t="s">
        <v>2272</v>
      </c>
      <c r="K945" s="198" t="s">
        <v>2272</v>
      </c>
      <c r="L945" s="198" t="s">
        <v>2272</v>
      </c>
      <c r="M945" s="198" t="s">
        <v>2272</v>
      </c>
      <c r="N945" s="198" t="s">
        <v>2272</v>
      </c>
      <c r="O945" s="198" t="s">
        <v>2272</v>
      </c>
      <c r="P945" s="198" t="s">
        <v>2272</v>
      </c>
      <c r="Q945" s="198" t="s">
        <v>2272</v>
      </c>
      <c r="R945" s="198" t="s">
        <v>2272</v>
      </c>
      <c r="S945" s="198" t="s">
        <v>2272</v>
      </c>
      <c r="T945" s="198" t="s">
        <v>2272</v>
      </c>
      <c r="U945" s="198" t="s">
        <v>2272</v>
      </c>
      <c r="V945" s="198" t="s">
        <v>2272</v>
      </c>
      <c r="W945" s="198" t="s">
        <v>2272</v>
      </c>
      <c r="X945" s="198" t="s">
        <v>2272</v>
      </c>
      <c r="Y945" s="198" t="s">
        <v>2272</v>
      </c>
      <c r="Z945" s="198" t="s">
        <v>2272</v>
      </c>
      <c r="AA945" s="198" t="s">
        <v>2272</v>
      </c>
      <c r="AB945" s="198" t="s">
        <v>2272</v>
      </c>
      <c r="AC945" s="198" t="s">
        <v>2272</v>
      </c>
      <c r="AD945" s="198" t="s">
        <v>3000</v>
      </c>
      <c r="AE945" s="198"/>
    </row>
    <row r="946" spans="1:31" ht="43.5" customHeight="1">
      <c r="A946" s="198" t="s">
        <v>2983</v>
      </c>
      <c r="B946" s="198" t="s">
        <v>3004</v>
      </c>
      <c r="C946" s="198" t="s">
        <v>23</v>
      </c>
      <c r="D946" s="198" t="s">
        <v>1238</v>
      </c>
      <c r="E946" s="198" t="s">
        <v>2644</v>
      </c>
      <c r="F946" s="4" t="s">
        <v>2272</v>
      </c>
      <c r="G946" s="4" t="s">
        <v>2657</v>
      </c>
      <c r="H946" s="198" t="s">
        <v>521</v>
      </c>
      <c r="I946" s="198"/>
      <c r="J946" s="198" t="s">
        <v>2272</v>
      </c>
      <c r="K946" s="198" t="s">
        <v>2272</v>
      </c>
      <c r="L946" s="198" t="s">
        <v>2272</v>
      </c>
      <c r="M946" s="198" t="s">
        <v>2272</v>
      </c>
      <c r="N946" s="198" t="s">
        <v>2272</v>
      </c>
      <c r="O946" s="198" t="s">
        <v>2272</v>
      </c>
      <c r="P946" s="198" t="s">
        <v>2272</v>
      </c>
      <c r="Q946" s="198" t="s">
        <v>2272</v>
      </c>
      <c r="R946" s="198" t="s">
        <v>2272</v>
      </c>
      <c r="S946" s="198" t="s">
        <v>2272</v>
      </c>
      <c r="T946" s="198" t="s">
        <v>2272</v>
      </c>
      <c r="U946" s="198" t="s">
        <v>2272</v>
      </c>
      <c r="V946" s="198" t="s">
        <v>2272</v>
      </c>
      <c r="W946" s="198" t="s">
        <v>2272</v>
      </c>
      <c r="X946" s="198" t="s">
        <v>2272</v>
      </c>
      <c r="Y946" s="198" t="s">
        <v>2272</v>
      </c>
      <c r="Z946" s="198" t="s">
        <v>2272</v>
      </c>
      <c r="AA946" s="198" t="s">
        <v>67</v>
      </c>
      <c r="AB946" s="198" t="s">
        <v>34</v>
      </c>
      <c r="AC946" s="198" t="s">
        <v>63</v>
      </c>
      <c r="AD946" s="4" t="s">
        <v>3005</v>
      </c>
      <c r="AE946" s="198"/>
    </row>
    <row r="947" spans="1:31" ht="41" customHeight="1">
      <c r="A947" s="198" t="s">
        <v>2983</v>
      </c>
      <c r="B947" s="198" t="s">
        <v>3009</v>
      </c>
      <c r="C947" s="198" t="s">
        <v>2453</v>
      </c>
      <c r="D947" s="198" t="s">
        <v>26</v>
      </c>
      <c r="E947" s="198" t="s">
        <v>128</v>
      </c>
      <c r="F947" s="4" t="s">
        <v>2657</v>
      </c>
      <c r="G947" s="198" t="s">
        <v>2272</v>
      </c>
      <c r="H947" s="198" t="s">
        <v>521</v>
      </c>
      <c r="I947" s="198"/>
      <c r="J947" s="198" t="s">
        <v>2272</v>
      </c>
      <c r="K947" s="198" t="s">
        <v>2272</v>
      </c>
      <c r="L947" s="198" t="s">
        <v>2272</v>
      </c>
      <c r="M947" s="198" t="s">
        <v>2272</v>
      </c>
      <c r="N947" s="198" t="s">
        <v>2272</v>
      </c>
      <c r="O947" s="198" t="s">
        <v>2272</v>
      </c>
      <c r="P947" s="198" t="s">
        <v>2272</v>
      </c>
      <c r="Q947" s="198" t="s">
        <v>2272</v>
      </c>
      <c r="R947" s="198" t="s">
        <v>2272</v>
      </c>
      <c r="S947" s="198" t="s">
        <v>2272</v>
      </c>
      <c r="T947" s="198" t="s">
        <v>2272</v>
      </c>
      <c r="U947" s="198" t="s">
        <v>2272</v>
      </c>
      <c r="V947" s="198" t="s">
        <v>2272</v>
      </c>
      <c r="W947" s="198" t="s">
        <v>2272</v>
      </c>
      <c r="X947" s="198" t="s">
        <v>2272</v>
      </c>
      <c r="Y947" s="198" t="s">
        <v>2272</v>
      </c>
      <c r="Z947" s="198" t="s">
        <v>2272</v>
      </c>
      <c r="AA947" s="198" t="s">
        <v>33</v>
      </c>
      <c r="AB947" s="198" t="s">
        <v>33</v>
      </c>
      <c r="AC947" s="198" t="s">
        <v>2650</v>
      </c>
      <c r="AD947" s="198"/>
      <c r="AE947" s="198"/>
    </row>
    <row r="948" spans="1:31" ht="35.5" customHeight="1">
      <c r="A948" s="198" t="s">
        <v>2983</v>
      </c>
      <c r="B948" s="198" t="s">
        <v>3010</v>
      </c>
      <c r="C948" s="198" t="s">
        <v>2453</v>
      </c>
      <c r="D948" s="198" t="s">
        <v>26</v>
      </c>
      <c r="E948" s="198" t="s">
        <v>128</v>
      </c>
      <c r="F948" s="4" t="s">
        <v>159</v>
      </c>
      <c r="G948" s="198" t="s">
        <v>2272</v>
      </c>
      <c r="H948" s="198" t="s">
        <v>521</v>
      </c>
      <c r="I948" s="198"/>
      <c r="J948" s="198" t="s">
        <v>2272</v>
      </c>
      <c r="K948" s="198" t="s">
        <v>2272</v>
      </c>
      <c r="L948" s="198" t="s">
        <v>2272</v>
      </c>
      <c r="M948" s="198" t="s">
        <v>2272</v>
      </c>
      <c r="N948" s="198" t="s">
        <v>2272</v>
      </c>
      <c r="O948" s="198" t="s">
        <v>2272</v>
      </c>
      <c r="P948" s="198" t="s">
        <v>2272</v>
      </c>
      <c r="Q948" s="198" t="s">
        <v>2272</v>
      </c>
      <c r="R948" s="198" t="s">
        <v>2272</v>
      </c>
      <c r="S948" s="198" t="s">
        <v>2272</v>
      </c>
      <c r="T948" s="198" t="s">
        <v>2272</v>
      </c>
      <c r="U948" s="198" t="s">
        <v>2272</v>
      </c>
      <c r="V948" s="198" t="s">
        <v>2272</v>
      </c>
      <c r="W948" s="198" t="s">
        <v>2272</v>
      </c>
      <c r="X948" s="198" t="s">
        <v>2272</v>
      </c>
      <c r="Y948" s="198" t="s">
        <v>2272</v>
      </c>
      <c r="Z948" s="198" t="s">
        <v>2272</v>
      </c>
      <c r="AA948" s="198" t="s">
        <v>33</v>
      </c>
      <c r="AB948" s="198" t="s">
        <v>33</v>
      </c>
      <c r="AC948" s="198" t="s">
        <v>2650</v>
      </c>
      <c r="AD948" s="198"/>
      <c r="AE948" s="198"/>
    </row>
    <row r="949" spans="1:31" ht="83.5" customHeight="1">
      <c r="A949" s="198" t="s">
        <v>2990</v>
      </c>
      <c r="B949" s="198" t="s">
        <v>2991</v>
      </c>
      <c r="C949" s="198" t="s">
        <v>23</v>
      </c>
      <c r="D949" s="198" t="s">
        <v>24</v>
      </c>
      <c r="E949" s="198" t="s">
        <v>44</v>
      </c>
      <c r="F949" s="4" t="s">
        <v>28</v>
      </c>
      <c r="G949" s="198" t="s">
        <v>2272</v>
      </c>
      <c r="H949" s="198" t="s">
        <v>521</v>
      </c>
      <c r="I949" s="198"/>
      <c r="J949" s="198" t="s">
        <v>2272</v>
      </c>
      <c r="K949" s="198" t="s">
        <v>2272</v>
      </c>
      <c r="L949" s="198" t="s">
        <v>2272</v>
      </c>
      <c r="M949" s="198" t="s">
        <v>2272</v>
      </c>
      <c r="N949" s="198" t="s">
        <v>2272</v>
      </c>
      <c r="O949" s="198" t="s">
        <v>2272</v>
      </c>
      <c r="P949" s="198" t="s">
        <v>2272</v>
      </c>
      <c r="Q949" s="198" t="s">
        <v>2272</v>
      </c>
      <c r="R949" s="198" t="s">
        <v>2272</v>
      </c>
      <c r="S949" s="198" t="s">
        <v>2272</v>
      </c>
      <c r="T949" s="198" t="s">
        <v>2272</v>
      </c>
      <c r="U949" s="198" t="s">
        <v>2272</v>
      </c>
      <c r="V949" s="198" t="s">
        <v>2272</v>
      </c>
      <c r="W949" s="198" t="s">
        <v>2272</v>
      </c>
      <c r="X949" s="198" t="s">
        <v>2272</v>
      </c>
      <c r="Y949" s="198" t="s">
        <v>2272</v>
      </c>
      <c r="Z949" s="198" t="s">
        <v>2272</v>
      </c>
      <c r="AA949" s="198" t="s">
        <v>84</v>
      </c>
      <c r="AB949" s="198" t="s">
        <v>423</v>
      </c>
      <c r="AC949" s="198" t="s">
        <v>63</v>
      </c>
      <c r="AD949" s="4" t="s">
        <v>3020</v>
      </c>
      <c r="AE949" s="4" t="s">
        <v>3026</v>
      </c>
    </row>
    <row r="950" spans="1:31" ht="82.5" customHeight="1">
      <c r="A950" s="198" t="s">
        <v>2990</v>
      </c>
      <c r="B950" s="198" t="s">
        <v>3016</v>
      </c>
      <c r="C950" s="198" t="s">
        <v>23</v>
      </c>
      <c r="D950" s="198" t="s">
        <v>24</v>
      </c>
      <c r="E950" s="198" t="s">
        <v>2642</v>
      </c>
      <c r="F950" s="4" t="s">
        <v>28</v>
      </c>
      <c r="G950" s="198" t="s">
        <v>2272</v>
      </c>
      <c r="H950" s="198" t="s">
        <v>522</v>
      </c>
      <c r="I950" s="198"/>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198" t="s">
        <v>2272</v>
      </c>
      <c r="AA950" s="198" t="s">
        <v>2272</v>
      </c>
      <c r="AB950" s="198" t="s">
        <v>2272</v>
      </c>
      <c r="AC950" s="198" t="s">
        <v>2272</v>
      </c>
      <c r="AD950" s="4" t="s">
        <v>3021</v>
      </c>
      <c r="AE950" s="198"/>
    </row>
    <row r="951" spans="1:31" ht="44.5" customHeight="1">
      <c r="A951" s="198" t="s">
        <v>2990</v>
      </c>
      <c r="B951" s="198" t="s">
        <v>3017</v>
      </c>
      <c r="C951" s="198" t="s">
        <v>23</v>
      </c>
      <c r="D951" s="198" t="s">
        <v>2227</v>
      </c>
      <c r="E951" s="198" t="s">
        <v>44</v>
      </c>
      <c r="F951" s="4" t="s">
        <v>2657</v>
      </c>
      <c r="G951" s="198" t="s">
        <v>2272</v>
      </c>
      <c r="H951" s="198" t="s">
        <v>521</v>
      </c>
      <c r="I951" s="198"/>
      <c r="J951" s="198" t="s">
        <v>2272</v>
      </c>
      <c r="K951" s="198" t="s">
        <v>2272</v>
      </c>
      <c r="L951" s="198" t="s">
        <v>2272</v>
      </c>
      <c r="M951" s="198" t="s">
        <v>2272</v>
      </c>
      <c r="N951" s="198" t="s">
        <v>2272</v>
      </c>
      <c r="O951" s="198" t="s">
        <v>2272</v>
      </c>
      <c r="P951" s="198" t="s">
        <v>2272</v>
      </c>
      <c r="Q951" s="198" t="s">
        <v>2272</v>
      </c>
      <c r="R951" s="198" t="s">
        <v>2272</v>
      </c>
      <c r="S951" s="198" t="s">
        <v>2272</v>
      </c>
      <c r="T951" s="198" t="s">
        <v>2272</v>
      </c>
      <c r="U951" s="198" t="s">
        <v>2272</v>
      </c>
      <c r="V951" s="198" t="s">
        <v>2272</v>
      </c>
      <c r="W951" s="198" t="s">
        <v>2272</v>
      </c>
      <c r="X951" s="198" t="s">
        <v>2272</v>
      </c>
      <c r="Y951" s="198" t="s">
        <v>2272</v>
      </c>
      <c r="Z951" s="198" t="s">
        <v>2272</v>
      </c>
      <c r="AA951" s="198" t="s">
        <v>84</v>
      </c>
      <c r="AB951" s="198" t="s">
        <v>423</v>
      </c>
      <c r="AC951" s="198" t="s">
        <v>63</v>
      </c>
      <c r="AD951" s="198"/>
      <c r="AE951" s="198"/>
    </row>
    <row r="952" spans="1:31" ht="66" customHeight="1">
      <c r="A952" s="198" t="s">
        <v>2990</v>
      </c>
      <c r="B952" s="198" t="s">
        <v>3018</v>
      </c>
      <c r="C952" s="198" t="s">
        <v>23</v>
      </c>
      <c r="D952" s="198" t="s">
        <v>1238</v>
      </c>
      <c r="E952" s="198" t="s">
        <v>44</v>
      </c>
      <c r="F952" s="4" t="s">
        <v>2272</v>
      </c>
      <c r="G952" s="198" t="s">
        <v>2272</v>
      </c>
      <c r="H952" s="198" t="s">
        <v>521</v>
      </c>
      <c r="I952" s="198"/>
      <c r="J952" s="198" t="s">
        <v>2272</v>
      </c>
      <c r="K952" s="198" t="s">
        <v>2272</v>
      </c>
      <c r="L952" s="198" t="s">
        <v>2272</v>
      </c>
      <c r="M952" s="198" t="s">
        <v>2272</v>
      </c>
      <c r="N952" s="198" t="s">
        <v>2272</v>
      </c>
      <c r="O952" s="198" t="s">
        <v>2272</v>
      </c>
      <c r="P952" s="198" t="s">
        <v>2272</v>
      </c>
      <c r="Q952" s="198" t="s">
        <v>2272</v>
      </c>
      <c r="R952" s="198" t="s">
        <v>2272</v>
      </c>
      <c r="S952" s="198" t="s">
        <v>2272</v>
      </c>
      <c r="T952" s="198" t="s">
        <v>2272</v>
      </c>
      <c r="U952" s="198" t="s">
        <v>2272</v>
      </c>
      <c r="V952" s="198" t="s">
        <v>2272</v>
      </c>
      <c r="W952" s="198" t="s">
        <v>2272</v>
      </c>
      <c r="X952" s="198" t="s">
        <v>2272</v>
      </c>
      <c r="Y952" s="198" t="s">
        <v>2272</v>
      </c>
      <c r="Z952" s="198" t="s">
        <v>2272</v>
      </c>
      <c r="AA952" s="198" t="s">
        <v>84</v>
      </c>
      <c r="AB952" s="198" t="s">
        <v>423</v>
      </c>
      <c r="AC952" s="198" t="s">
        <v>63</v>
      </c>
      <c r="AD952" s="4" t="s">
        <v>3022</v>
      </c>
      <c r="AE952" s="198"/>
    </row>
    <row r="953" spans="1:31" ht="57.5" customHeight="1">
      <c r="A953" s="198" t="s">
        <v>2990</v>
      </c>
      <c r="B953" s="198" t="s">
        <v>3019</v>
      </c>
      <c r="C953" s="198" t="s">
        <v>23</v>
      </c>
      <c r="D953" s="198" t="s">
        <v>26</v>
      </c>
      <c r="E953" s="198" t="s">
        <v>128</v>
      </c>
      <c r="F953" s="4" t="s">
        <v>159</v>
      </c>
      <c r="G953" s="198" t="s">
        <v>2272</v>
      </c>
      <c r="H953" s="198" t="s">
        <v>521</v>
      </c>
      <c r="I953" s="198"/>
      <c r="J953" s="198" t="s">
        <v>2272</v>
      </c>
      <c r="K953" s="198" t="s">
        <v>2272</v>
      </c>
      <c r="L953" s="198" t="s">
        <v>2272</v>
      </c>
      <c r="M953" s="198" t="s">
        <v>2272</v>
      </c>
      <c r="N953" s="198" t="s">
        <v>2272</v>
      </c>
      <c r="O953" s="198" t="s">
        <v>2272</v>
      </c>
      <c r="P953" s="198" t="s">
        <v>2272</v>
      </c>
      <c r="Q953" s="198" t="s">
        <v>2272</v>
      </c>
      <c r="R953" s="198" t="s">
        <v>2272</v>
      </c>
      <c r="S953" s="198" t="s">
        <v>2272</v>
      </c>
      <c r="T953" s="198" t="s">
        <v>2272</v>
      </c>
      <c r="U953" s="198" t="s">
        <v>2272</v>
      </c>
      <c r="V953" s="198" t="s">
        <v>2272</v>
      </c>
      <c r="W953" s="198" t="s">
        <v>2272</v>
      </c>
      <c r="X953" s="198" t="s">
        <v>2272</v>
      </c>
      <c r="Y953" s="198" t="s">
        <v>2272</v>
      </c>
      <c r="Z953" s="198" t="s">
        <v>2272</v>
      </c>
      <c r="AA953" s="198" t="s">
        <v>403</v>
      </c>
      <c r="AB953" s="198" t="s">
        <v>423</v>
      </c>
      <c r="AC953" s="198" t="s">
        <v>63</v>
      </c>
      <c r="AD953" s="4" t="s">
        <v>3027</v>
      </c>
      <c r="AE953" s="4" t="s">
        <v>3026</v>
      </c>
    </row>
    <row r="954" spans="1:31" ht="42.5" customHeight="1">
      <c r="A954" s="198" t="s">
        <v>2990</v>
      </c>
      <c r="B954" s="198" t="s">
        <v>3023</v>
      </c>
      <c r="C954" s="198" t="s">
        <v>2453</v>
      </c>
      <c r="D954" s="198" t="s">
        <v>24</v>
      </c>
      <c r="E954" s="198" t="s">
        <v>44</v>
      </c>
      <c r="F954" s="4" t="s">
        <v>28</v>
      </c>
      <c r="G954" s="198" t="s">
        <v>2272</v>
      </c>
      <c r="H954" s="198" t="s">
        <v>521</v>
      </c>
      <c r="I954" s="198"/>
      <c r="J954" s="198" t="s">
        <v>2272</v>
      </c>
      <c r="K954" s="198" t="s">
        <v>2272</v>
      </c>
      <c r="L954" s="198" t="s">
        <v>2272</v>
      </c>
      <c r="M954" s="198" t="s">
        <v>2272</v>
      </c>
      <c r="N954" s="198" t="s">
        <v>2272</v>
      </c>
      <c r="O954" s="198" t="s">
        <v>2272</v>
      </c>
      <c r="P954" s="198" t="s">
        <v>2272</v>
      </c>
      <c r="Q954" s="198" t="s">
        <v>2272</v>
      </c>
      <c r="R954" s="198" t="s">
        <v>2272</v>
      </c>
      <c r="S954" s="198" t="s">
        <v>2272</v>
      </c>
      <c r="T954" s="198" t="s">
        <v>2272</v>
      </c>
      <c r="U954" s="198" t="s">
        <v>2272</v>
      </c>
      <c r="V954" s="198" t="s">
        <v>2272</v>
      </c>
      <c r="W954" s="198" t="s">
        <v>2272</v>
      </c>
      <c r="X954" s="198" t="s">
        <v>2272</v>
      </c>
      <c r="Y954" s="198" t="s">
        <v>2272</v>
      </c>
      <c r="Z954" s="198" t="s">
        <v>2272</v>
      </c>
      <c r="AA954" s="198" t="s">
        <v>84</v>
      </c>
      <c r="AB954" s="198" t="s">
        <v>423</v>
      </c>
      <c r="AC954" s="198" t="s">
        <v>75</v>
      </c>
      <c r="AD954" s="198" t="s">
        <v>3025</v>
      </c>
      <c r="AE954" s="198"/>
    </row>
    <row r="955" spans="1:31" ht="36.5" customHeight="1">
      <c r="A955" s="198" t="s">
        <v>3032</v>
      </c>
      <c r="B955" s="198" t="s">
        <v>3035</v>
      </c>
      <c r="C955" s="198" t="s">
        <v>23</v>
      </c>
      <c r="D955" s="198" t="s">
        <v>1238</v>
      </c>
      <c r="E955" s="198" t="s">
        <v>2644</v>
      </c>
      <c r="F955" s="4" t="s">
        <v>2657</v>
      </c>
      <c r="G955" s="198" t="s">
        <v>2272</v>
      </c>
      <c r="H955" s="198" t="s">
        <v>521</v>
      </c>
      <c r="I955" s="198"/>
      <c r="J955" s="198" t="s">
        <v>2272</v>
      </c>
      <c r="K955" s="198" t="s">
        <v>2272</v>
      </c>
      <c r="L955" s="198" t="s">
        <v>2272</v>
      </c>
      <c r="M955" s="198" t="s">
        <v>2272</v>
      </c>
      <c r="N955" s="198" t="s">
        <v>2272</v>
      </c>
      <c r="O955" s="198" t="s">
        <v>2272</v>
      </c>
      <c r="P955" s="198" t="s">
        <v>2272</v>
      </c>
      <c r="Q955" s="198" t="s">
        <v>2272</v>
      </c>
      <c r="R955" s="198" t="s">
        <v>2272</v>
      </c>
      <c r="S955" s="198" t="s">
        <v>2272</v>
      </c>
      <c r="T955" s="198" t="s">
        <v>2272</v>
      </c>
      <c r="U955" s="198" t="s">
        <v>2272</v>
      </c>
      <c r="V955" s="198" t="s">
        <v>2272</v>
      </c>
      <c r="W955" s="198" t="s">
        <v>2272</v>
      </c>
      <c r="X955" s="198" t="s">
        <v>2272</v>
      </c>
      <c r="Y955" s="198" t="s">
        <v>2272</v>
      </c>
      <c r="Z955" s="198" t="s">
        <v>2272</v>
      </c>
      <c r="AA955" s="198" t="s">
        <v>67</v>
      </c>
      <c r="AB955" s="198" t="s">
        <v>34</v>
      </c>
      <c r="AC955" s="198" t="s">
        <v>63</v>
      </c>
      <c r="AD955" s="4" t="s">
        <v>3036</v>
      </c>
      <c r="AE955" s="198"/>
    </row>
    <row r="956" spans="1:31" ht="32.5" customHeight="1">
      <c r="A956" s="198" t="s">
        <v>3032</v>
      </c>
      <c r="B956" s="198" t="s">
        <v>3037</v>
      </c>
      <c r="C956" s="198" t="s">
        <v>23</v>
      </c>
      <c r="D956" s="198" t="s">
        <v>24</v>
      </c>
      <c r="E956" s="198" t="s">
        <v>44</v>
      </c>
      <c r="F956" s="4" t="s">
        <v>28</v>
      </c>
      <c r="G956" s="198" t="s">
        <v>2272</v>
      </c>
      <c r="H956" s="198" t="s">
        <v>521</v>
      </c>
      <c r="I956" s="198"/>
      <c r="J956" s="198" t="s">
        <v>2272</v>
      </c>
      <c r="K956" s="198" t="s">
        <v>2272</v>
      </c>
      <c r="L956" s="198" t="s">
        <v>2272</v>
      </c>
      <c r="M956" s="198" t="s">
        <v>2272</v>
      </c>
      <c r="N956" s="198" t="s">
        <v>2272</v>
      </c>
      <c r="O956" s="198" t="s">
        <v>2272</v>
      </c>
      <c r="P956" s="198" t="s">
        <v>2272</v>
      </c>
      <c r="Q956" s="198" t="s">
        <v>2272</v>
      </c>
      <c r="R956" s="198" t="s">
        <v>2272</v>
      </c>
      <c r="S956" s="198" t="s">
        <v>2272</v>
      </c>
      <c r="T956" s="198" t="s">
        <v>2272</v>
      </c>
      <c r="U956" s="198" t="s">
        <v>2272</v>
      </c>
      <c r="V956" s="198" t="s">
        <v>2272</v>
      </c>
      <c r="W956" s="198" t="s">
        <v>2272</v>
      </c>
      <c r="X956" s="198" t="s">
        <v>2272</v>
      </c>
      <c r="Y956" s="198" t="s">
        <v>2272</v>
      </c>
      <c r="Z956" s="198" t="s">
        <v>2272</v>
      </c>
      <c r="AA956" s="198" t="s">
        <v>67</v>
      </c>
      <c r="AB956" s="198" t="s">
        <v>37</v>
      </c>
      <c r="AC956" s="198" t="s">
        <v>2272</v>
      </c>
      <c r="AD956" s="198"/>
      <c r="AE956" s="198"/>
    </row>
    <row r="957" spans="1:31" ht="34" customHeight="1">
      <c r="A957" s="198" t="s">
        <v>3039</v>
      </c>
      <c r="B957" s="198" t="s">
        <v>3044</v>
      </c>
      <c r="C957" s="198" t="s">
        <v>23</v>
      </c>
      <c r="D957" s="198" t="s">
        <v>24</v>
      </c>
      <c r="E957" s="198" t="s">
        <v>44</v>
      </c>
      <c r="F957" s="4" t="s">
        <v>2657</v>
      </c>
      <c r="G957" s="198" t="s">
        <v>2272</v>
      </c>
      <c r="H957" s="198" t="s">
        <v>521</v>
      </c>
      <c r="I957" s="198"/>
      <c r="J957" s="198" t="s">
        <v>2272</v>
      </c>
      <c r="K957" s="198" t="s">
        <v>2272</v>
      </c>
      <c r="L957" s="198" t="s">
        <v>2272</v>
      </c>
      <c r="M957" s="21">
        <v>10</v>
      </c>
      <c r="N957" s="198" t="s">
        <v>2272</v>
      </c>
      <c r="O957" s="21">
        <v>150</v>
      </c>
      <c r="P957" s="198" t="s">
        <v>2272</v>
      </c>
      <c r="Q957" s="198" t="s">
        <v>2272</v>
      </c>
      <c r="R957" s="198" t="s">
        <v>2272</v>
      </c>
      <c r="S957" s="198" t="s">
        <v>2272</v>
      </c>
      <c r="T957" s="198" t="s">
        <v>2272</v>
      </c>
      <c r="U957" s="198" t="s">
        <v>2272</v>
      </c>
      <c r="V957" s="198" t="s">
        <v>2272</v>
      </c>
      <c r="W957" s="198" t="s">
        <v>2272</v>
      </c>
      <c r="X957" s="198" t="s">
        <v>2272</v>
      </c>
      <c r="Y957" s="198" t="s">
        <v>2272</v>
      </c>
      <c r="Z957" s="198" t="s">
        <v>2272</v>
      </c>
      <c r="AA957" s="198" t="s">
        <v>84</v>
      </c>
      <c r="AB957" s="198" t="s">
        <v>33</v>
      </c>
      <c r="AC957" s="198" t="s">
        <v>63</v>
      </c>
      <c r="AD957" s="198" t="s">
        <v>3055</v>
      </c>
      <c r="AE957" s="198"/>
    </row>
    <row r="958" spans="1:31" ht="34.5" customHeight="1">
      <c r="A958" s="198" t="s">
        <v>3039</v>
      </c>
      <c r="B958" s="198" t="s">
        <v>3045</v>
      </c>
      <c r="C958" s="198" t="s">
        <v>23</v>
      </c>
      <c r="D958" s="198" t="s">
        <v>24</v>
      </c>
      <c r="E958" s="198" t="s">
        <v>44</v>
      </c>
      <c r="F958" s="4" t="s">
        <v>54</v>
      </c>
      <c r="G958" s="198" t="s">
        <v>2272</v>
      </c>
      <c r="H958" s="198" t="s">
        <v>521</v>
      </c>
      <c r="I958" s="198"/>
      <c r="J958" s="198" t="s">
        <v>2272</v>
      </c>
      <c r="K958" s="198" t="s">
        <v>2272</v>
      </c>
      <c r="L958" s="198" t="s">
        <v>2272</v>
      </c>
      <c r="M958" s="21">
        <v>10</v>
      </c>
      <c r="N958" s="198" t="s">
        <v>2272</v>
      </c>
      <c r="O958" s="21">
        <v>150</v>
      </c>
      <c r="P958" s="198" t="s">
        <v>2272</v>
      </c>
      <c r="Q958" s="198" t="s">
        <v>2272</v>
      </c>
      <c r="R958" s="198" t="s">
        <v>2272</v>
      </c>
      <c r="S958" s="198" t="s">
        <v>2272</v>
      </c>
      <c r="T958" s="198" t="s">
        <v>2272</v>
      </c>
      <c r="U958" s="198" t="s">
        <v>2272</v>
      </c>
      <c r="V958" s="198" t="s">
        <v>2272</v>
      </c>
      <c r="W958" s="198" t="s">
        <v>2272</v>
      </c>
      <c r="X958" s="198" t="s">
        <v>2272</v>
      </c>
      <c r="Y958" s="198" t="s">
        <v>2272</v>
      </c>
      <c r="Z958" s="198" t="s">
        <v>2272</v>
      </c>
      <c r="AA958" s="198" t="s">
        <v>84</v>
      </c>
      <c r="AB958" s="198" t="s">
        <v>33</v>
      </c>
      <c r="AC958" s="198" t="s">
        <v>63</v>
      </c>
      <c r="AD958" s="198" t="s">
        <v>3054</v>
      </c>
      <c r="AE958" s="198"/>
    </row>
    <row r="959" spans="1:31" ht="38.5" customHeight="1">
      <c r="A959" s="198" t="s">
        <v>3039</v>
      </c>
      <c r="B959" s="198" t="s">
        <v>3046</v>
      </c>
      <c r="C959" s="198" t="s">
        <v>23</v>
      </c>
      <c r="D959" s="198" t="s">
        <v>24</v>
      </c>
      <c r="E959" s="198" t="s">
        <v>44</v>
      </c>
      <c r="F959" s="4" t="s">
        <v>54</v>
      </c>
      <c r="G959" s="198" t="s">
        <v>2272</v>
      </c>
      <c r="H959" s="198" t="s">
        <v>521</v>
      </c>
      <c r="I959" s="198"/>
      <c r="J959" s="198" t="s">
        <v>2272</v>
      </c>
      <c r="K959" s="198" t="s">
        <v>2272</v>
      </c>
      <c r="L959" s="198" t="s">
        <v>2272</v>
      </c>
      <c r="M959" s="21">
        <v>10</v>
      </c>
      <c r="N959" s="198" t="s">
        <v>2272</v>
      </c>
      <c r="O959" s="21">
        <v>150</v>
      </c>
      <c r="P959" s="198" t="s">
        <v>2272</v>
      </c>
      <c r="Q959" s="198" t="s">
        <v>2272</v>
      </c>
      <c r="R959" s="198" t="s">
        <v>2272</v>
      </c>
      <c r="S959" s="198" t="s">
        <v>2272</v>
      </c>
      <c r="T959" s="198" t="s">
        <v>2272</v>
      </c>
      <c r="U959" s="198" t="s">
        <v>2272</v>
      </c>
      <c r="V959" s="198" t="s">
        <v>2272</v>
      </c>
      <c r="W959" s="198" t="s">
        <v>2272</v>
      </c>
      <c r="X959" s="198" t="s">
        <v>2272</v>
      </c>
      <c r="Y959" s="198" t="s">
        <v>2272</v>
      </c>
      <c r="Z959" s="198" t="s">
        <v>2272</v>
      </c>
      <c r="AA959" s="198" t="s">
        <v>402</v>
      </c>
      <c r="AB959" s="198" t="s">
        <v>403</v>
      </c>
      <c r="AC959" s="198" t="s">
        <v>63</v>
      </c>
      <c r="AD959" s="198" t="s">
        <v>3054</v>
      </c>
      <c r="AE959" s="198"/>
    </row>
    <row r="960" spans="1:31" ht="38.5" customHeight="1">
      <c r="A960" s="198" t="s">
        <v>3039</v>
      </c>
      <c r="B960" s="198" t="s">
        <v>3047</v>
      </c>
      <c r="C960" s="198" t="s">
        <v>23</v>
      </c>
      <c r="D960" s="198" t="s">
        <v>24</v>
      </c>
      <c r="E960" s="198" t="s">
        <v>44</v>
      </c>
      <c r="F960" s="4" t="s">
        <v>28</v>
      </c>
      <c r="G960" s="198" t="s">
        <v>2272</v>
      </c>
      <c r="H960" s="198" t="s">
        <v>521</v>
      </c>
      <c r="I960" s="198"/>
      <c r="J960" s="198" t="s">
        <v>2272</v>
      </c>
      <c r="K960" s="198" t="s">
        <v>2272</v>
      </c>
      <c r="L960" s="198" t="s">
        <v>2272</v>
      </c>
      <c r="M960" s="21">
        <v>10</v>
      </c>
      <c r="N960" s="198" t="s">
        <v>2272</v>
      </c>
      <c r="O960" s="21">
        <v>150</v>
      </c>
      <c r="P960" s="198" t="s">
        <v>2272</v>
      </c>
      <c r="Q960" s="198" t="s">
        <v>2272</v>
      </c>
      <c r="R960" s="198" t="s">
        <v>2272</v>
      </c>
      <c r="S960" s="198" t="s">
        <v>2272</v>
      </c>
      <c r="T960" s="198" t="s">
        <v>2272</v>
      </c>
      <c r="U960" s="198" t="s">
        <v>2272</v>
      </c>
      <c r="V960" s="198" t="s">
        <v>2272</v>
      </c>
      <c r="W960" s="198" t="s">
        <v>2272</v>
      </c>
      <c r="X960" s="198" t="s">
        <v>2272</v>
      </c>
      <c r="Y960" s="198" t="s">
        <v>2272</v>
      </c>
      <c r="Z960" s="198" t="s">
        <v>2272</v>
      </c>
      <c r="AA960" s="198" t="s">
        <v>403</v>
      </c>
      <c r="AB960" s="198" t="s">
        <v>423</v>
      </c>
      <c r="AC960" s="198" t="s">
        <v>75</v>
      </c>
      <c r="AD960" s="4" t="s">
        <v>3073</v>
      </c>
      <c r="AE960" s="198"/>
    </row>
    <row r="961" spans="1:31" ht="92" customHeight="1">
      <c r="A961" s="198" t="s">
        <v>3039</v>
      </c>
      <c r="B961" s="198" t="s">
        <v>3048</v>
      </c>
      <c r="C961" s="198" t="s">
        <v>23</v>
      </c>
      <c r="D961" s="198" t="s">
        <v>24</v>
      </c>
      <c r="E961" s="198" t="s">
        <v>44</v>
      </c>
      <c r="F961" s="4" t="s">
        <v>28</v>
      </c>
      <c r="G961" s="198" t="s">
        <v>2272</v>
      </c>
      <c r="H961" s="198" t="s">
        <v>521</v>
      </c>
      <c r="I961" s="198"/>
      <c r="J961" s="198" t="s">
        <v>2272</v>
      </c>
      <c r="K961" s="198" t="s">
        <v>2272</v>
      </c>
      <c r="L961" s="198" t="s">
        <v>2272</v>
      </c>
      <c r="M961" s="198" t="s">
        <v>2272</v>
      </c>
      <c r="N961" s="198" t="s">
        <v>2272</v>
      </c>
      <c r="O961" s="198" t="s">
        <v>2272</v>
      </c>
      <c r="P961" s="198" t="s">
        <v>2272</v>
      </c>
      <c r="Q961" s="198" t="s">
        <v>2272</v>
      </c>
      <c r="R961" s="198" t="s">
        <v>2272</v>
      </c>
      <c r="S961" s="198" t="s">
        <v>2272</v>
      </c>
      <c r="T961" s="198" t="s">
        <v>2272</v>
      </c>
      <c r="U961" s="198" t="s">
        <v>2272</v>
      </c>
      <c r="V961" s="198" t="s">
        <v>2272</v>
      </c>
      <c r="W961" s="198" t="s">
        <v>2272</v>
      </c>
      <c r="X961" s="198" t="s">
        <v>2272</v>
      </c>
      <c r="Y961" s="198" t="s">
        <v>2272</v>
      </c>
      <c r="Z961" s="198" t="s">
        <v>2272</v>
      </c>
      <c r="AA961" s="198" t="s">
        <v>67</v>
      </c>
      <c r="AB961" s="198" t="s">
        <v>34</v>
      </c>
      <c r="AC961" s="198" t="s">
        <v>63</v>
      </c>
      <c r="AD961" s="4" t="s">
        <v>3051</v>
      </c>
      <c r="AE961" s="198" t="s">
        <v>3074</v>
      </c>
    </row>
    <row r="962" spans="1:31" ht="62" customHeight="1">
      <c r="A962" s="198" t="s">
        <v>3039</v>
      </c>
      <c r="B962" s="198" t="s">
        <v>3049</v>
      </c>
      <c r="C962" s="198" t="s">
        <v>23</v>
      </c>
      <c r="D962" s="198" t="s">
        <v>1238</v>
      </c>
      <c r="E962" s="198" t="s">
        <v>44</v>
      </c>
      <c r="F962" s="4" t="s">
        <v>2657</v>
      </c>
      <c r="G962" s="198" t="s">
        <v>2272</v>
      </c>
      <c r="H962" s="198" t="s">
        <v>521</v>
      </c>
      <c r="I962" s="198"/>
      <c r="J962" s="198" t="s">
        <v>2272</v>
      </c>
      <c r="K962" s="198" t="s">
        <v>2272</v>
      </c>
      <c r="L962" s="198" t="s">
        <v>2272</v>
      </c>
      <c r="M962" s="21">
        <v>10</v>
      </c>
      <c r="N962" s="198" t="s">
        <v>2272</v>
      </c>
      <c r="O962" s="21">
        <v>150</v>
      </c>
      <c r="P962" s="198" t="s">
        <v>2272</v>
      </c>
      <c r="Q962" s="198" t="s">
        <v>2272</v>
      </c>
      <c r="R962" s="198" t="s">
        <v>2272</v>
      </c>
      <c r="S962" s="198" t="s">
        <v>2272</v>
      </c>
      <c r="T962" s="198" t="s">
        <v>2272</v>
      </c>
      <c r="U962" s="198" t="s">
        <v>2272</v>
      </c>
      <c r="V962" s="198" t="s">
        <v>2272</v>
      </c>
      <c r="W962" s="198" t="s">
        <v>2272</v>
      </c>
      <c r="X962" s="198" t="s">
        <v>2272</v>
      </c>
      <c r="Y962" s="198" t="s">
        <v>2272</v>
      </c>
      <c r="Z962" s="198" t="s">
        <v>2272</v>
      </c>
      <c r="AA962" s="198" t="s">
        <v>67</v>
      </c>
      <c r="AB962" s="198" t="s">
        <v>34</v>
      </c>
      <c r="AC962" s="198" t="s">
        <v>63</v>
      </c>
      <c r="AD962" s="4" t="s">
        <v>3050</v>
      </c>
      <c r="AE962" s="198"/>
    </row>
    <row r="963" spans="1:31" ht="51.5" customHeight="1">
      <c r="A963" s="198" t="s">
        <v>3039</v>
      </c>
      <c r="B963" s="198" t="s">
        <v>3052</v>
      </c>
      <c r="C963" s="198" t="s">
        <v>2453</v>
      </c>
      <c r="D963" s="198" t="s">
        <v>24</v>
      </c>
      <c r="E963" s="198" t="s">
        <v>44</v>
      </c>
      <c r="F963" s="4" t="s">
        <v>54</v>
      </c>
      <c r="G963" s="198" t="s">
        <v>2272</v>
      </c>
      <c r="H963" s="198" t="s">
        <v>521</v>
      </c>
      <c r="I963" s="198"/>
      <c r="J963" s="198" t="s">
        <v>2272</v>
      </c>
      <c r="K963" s="198" t="s">
        <v>2272</v>
      </c>
      <c r="L963" s="198" t="s">
        <v>2272</v>
      </c>
      <c r="M963" s="198" t="s">
        <v>2272</v>
      </c>
      <c r="N963" s="198" t="s">
        <v>2272</v>
      </c>
      <c r="O963" s="198" t="s">
        <v>2272</v>
      </c>
      <c r="P963" s="198" t="s">
        <v>2272</v>
      </c>
      <c r="Q963" s="198" t="s">
        <v>2272</v>
      </c>
      <c r="R963" s="198" t="s">
        <v>2272</v>
      </c>
      <c r="S963" s="198" t="s">
        <v>2272</v>
      </c>
      <c r="T963" s="198" t="s">
        <v>2272</v>
      </c>
      <c r="U963" s="198" t="s">
        <v>2272</v>
      </c>
      <c r="V963" s="198" t="s">
        <v>2272</v>
      </c>
      <c r="W963" s="198" t="s">
        <v>2272</v>
      </c>
      <c r="X963" s="198" t="s">
        <v>2272</v>
      </c>
      <c r="Y963" s="198" t="s">
        <v>2272</v>
      </c>
      <c r="Z963" s="198" t="s">
        <v>2272</v>
      </c>
      <c r="AA963" s="198" t="s">
        <v>403</v>
      </c>
      <c r="AB963" s="198" t="s">
        <v>423</v>
      </c>
      <c r="AC963" s="198" t="s">
        <v>75</v>
      </c>
      <c r="AD963" s="4" t="s">
        <v>3053</v>
      </c>
      <c r="AE963" s="198"/>
    </row>
    <row r="964" spans="1:31" ht="36.5" customHeight="1">
      <c r="A964" s="198" t="s">
        <v>3040</v>
      </c>
      <c r="B964" s="198" t="s">
        <v>3060</v>
      </c>
      <c r="C964" s="198" t="s">
        <v>23</v>
      </c>
      <c r="D964" s="198" t="s">
        <v>24</v>
      </c>
      <c r="E964" s="198" t="s">
        <v>44</v>
      </c>
      <c r="F964" s="4" t="s">
        <v>2657</v>
      </c>
      <c r="G964" s="198" t="s">
        <v>2272</v>
      </c>
      <c r="H964" s="198" t="s">
        <v>521</v>
      </c>
      <c r="I964" s="198"/>
      <c r="J964" s="198" t="s">
        <v>2272</v>
      </c>
      <c r="K964" s="198" t="s">
        <v>2272</v>
      </c>
      <c r="L964" s="198" t="s">
        <v>2272</v>
      </c>
      <c r="M964" s="21">
        <v>10</v>
      </c>
      <c r="N964" s="198" t="s">
        <v>2272</v>
      </c>
      <c r="O964" s="21">
        <v>150</v>
      </c>
      <c r="P964" s="198" t="s">
        <v>2272</v>
      </c>
      <c r="Q964" s="198" t="s">
        <v>2272</v>
      </c>
      <c r="R964" s="198" t="s">
        <v>2272</v>
      </c>
      <c r="S964" s="198" t="s">
        <v>2272</v>
      </c>
      <c r="T964" s="198" t="s">
        <v>2272</v>
      </c>
      <c r="U964" s="198" t="s">
        <v>2272</v>
      </c>
      <c r="V964" s="198" t="s">
        <v>2272</v>
      </c>
      <c r="W964" s="198" t="s">
        <v>2272</v>
      </c>
      <c r="X964" s="198" t="s">
        <v>2272</v>
      </c>
      <c r="Y964" s="198" t="s">
        <v>2272</v>
      </c>
      <c r="Z964" s="198" t="s">
        <v>2272</v>
      </c>
      <c r="AA964" s="198" t="s">
        <v>84</v>
      </c>
      <c r="AB964" s="198" t="s">
        <v>33</v>
      </c>
      <c r="AC964" s="198" t="s">
        <v>63</v>
      </c>
      <c r="AD964" s="198" t="s">
        <v>3055</v>
      </c>
      <c r="AE964" s="198"/>
    </row>
    <row r="965" spans="1:31" ht="37" customHeight="1">
      <c r="A965" s="198" t="s">
        <v>3040</v>
      </c>
      <c r="B965" s="198" t="s">
        <v>3061</v>
      </c>
      <c r="C965" s="198" t="s">
        <v>23</v>
      </c>
      <c r="D965" s="198" t="s">
        <v>24</v>
      </c>
      <c r="E965" s="198" t="s">
        <v>44</v>
      </c>
      <c r="F965" s="4" t="s">
        <v>54</v>
      </c>
      <c r="G965" s="198" t="s">
        <v>2272</v>
      </c>
      <c r="H965" s="198" t="s">
        <v>521</v>
      </c>
      <c r="I965" s="198"/>
      <c r="J965" s="198" t="s">
        <v>2272</v>
      </c>
      <c r="K965" s="198" t="s">
        <v>2272</v>
      </c>
      <c r="L965" s="198" t="s">
        <v>2272</v>
      </c>
      <c r="M965" s="21">
        <v>10</v>
      </c>
      <c r="N965" s="198" t="s">
        <v>2272</v>
      </c>
      <c r="O965" s="21">
        <v>150</v>
      </c>
      <c r="P965" s="198" t="s">
        <v>2272</v>
      </c>
      <c r="Q965" s="198" t="s">
        <v>2272</v>
      </c>
      <c r="R965" s="198" t="s">
        <v>2272</v>
      </c>
      <c r="S965" s="198" t="s">
        <v>2272</v>
      </c>
      <c r="T965" s="198" t="s">
        <v>2272</v>
      </c>
      <c r="U965" s="198" t="s">
        <v>2272</v>
      </c>
      <c r="V965" s="198" t="s">
        <v>2272</v>
      </c>
      <c r="W965" s="198" t="s">
        <v>2272</v>
      </c>
      <c r="X965" s="198" t="s">
        <v>2272</v>
      </c>
      <c r="Y965" s="198" t="s">
        <v>2272</v>
      </c>
      <c r="Z965" s="198" t="s">
        <v>2272</v>
      </c>
      <c r="AA965" s="198" t="s">
        <v>84</v>
      </c>
      <c r="AB965" s="198" t="s">
        <v>33</v>
      </c>
      <c r="AC965" s="198" t="s">
        <v>63</v>
      </c>
      <c r="AD965" s="198" t="s">
        <v>3054</v>
      </c>
      <c r="AE965" s="198"/>
    </row>
    <row r="966" spans="1:31" ht="50" customHeight="1">
      <c r="A966" s="198" t="s">
        <v>3040</v>
      </c>
      <c r="B966" s="198" t="s">
        <v>3062</v>
      </c>
      <c r="C966" s="198" t="s">
        <v>23</v>
      </c>
      <c r="D966" s="198" t="s">
        <v>24</v>
      </c>
      <c r="E966" s="198" t="s">
        <v>44</v>
      </c>
      <c r="F966" s="4" t="s">
        <v>54</v>
      </c>
      <c r="G966" s="198" t="s">
        <v>2272</v>
      </c>
      <c r="H966" s="198" t="s">
        <v>521</v>
      </c>
      <c r="I966" s="198"/>
      <c r="J966" s="198" t="s">
        <v>2272</v>
      </c>
      <c r="K966" s="198" t="s">
        <v>2272</v>
      </c>
      <c r="L966" s="198" t="s">
        <v>2272</v>
      </c>
      <c r="M966" s="21">
        <v>10</v>
      </c>
      <c r="N966" s="198" t="s">
        <v>2272</v>
      </c>
      <c r="O966" s="21">
        <v>150</v>
      </c>
      <c r="P966" s="198" t="s">
        <v>2272</v>
      </c>
      <c r="Q966" s="198" t="s">
        <v>2272</v>
      </c>
      <c r="R966" s="198" t="s">
        <v>2272</v>
      </c>
      <c r="S966" s="198" t="s">
        <v>2272</v>
      </c>
      <c r="T966" s="198" t="s">
        <v>2272</v>
      </c>
      <c r="U966" s="198" t="s">
        <v>2272</v>
      </c>
      <c r="V966" s="198" t="s">
        <v>2272</v>
      </c>
      <c r="W966" s="198" t="s">
        <v>2272</v>
      </c>
      <c r="X966" s="198" t="s">
        <v>2272</v>
      </c>
      <c r="Y966" s="198" t="s">
        <v>2272</v>
      </c>
      <c r="Z966" s="198" t="s">
        <v>2272</v>
      </c>
      <c r="AA966" s="198" t="s">
        <v>402</v>
      </c>
      <c r="AB966" s="198" t="s">
        <v>403</v>
      </c>
      <c r="AC966" s="198" t="s">
        <v>63</v>
      </c>
      <c r="AD966" s="198" t="s">
        <v>3054</v>
      </c>
      <c r="AE966" s="198"/>
    </row>
    <row r="967" spans="1:31" ht="90" customHeight="1">
      <c r="A967" s="198" t="s">
        <v>3040</v>
      </c>
      <c r="B967" s="198" t="s">
        <v>3063</v>
      </c>
      <c r="C967" s="198" t="s">
        <v>23</v>
      </c>
      <c r="D967" s="198" t="s">
        <v>24</v>
      </c>
      <c r="E967" s="198" t="s">
        <v>44</v>
      </c>
      <c r="F967" s="4" t="s">
        <v>28</v>
      </c>
      <c r="G967" s="198" t="s">
        <v>2272</v>
      </c>
      <c r="H967" s="198" t="s">
        <v>521</v>
      </c>
      <c r="I967" s="198"/>
      <c r="J967" s="198" t="s">
        <v>2272</v>
      </c>
      <c r="K967" s="198" t="s">
        <v>2272</v>
      </c>
      <c r="L967" s="198" t="s">
        <v>2272</v>
      </c>
      <c r="M967" s="21">
        <v>10</v>
      </c>
      <c r="N967" s="198" t="s">
        <v>2272</v>
      </c>
      <c r="O967" s="21">
        <v>150</v>
      </c>
      <c r="P967" s="198" t="s">
        <v>2272</v>
      </c>
      <c r="Q967" s="198" t="s">
        <v>2272</v>
      </c>
      <c r="R967" s="198" t="s">
        <v>2272</v>
      </c>
      <c r="S967" s="198" t="s">
        <v>2272</v>
      </c>
      <c r="T967" s="198" t="s">
        <v>2272</v>
      </c>
      <c r="U967" s="198" t="s">
        <v>2272</v>
      </c>
      <c r="V967" s="198" t="s">
        <v>2272</v>
      </c>
      <c r="W967" s="198" t="s">
        <v>2272</v>
      </c>
      <c r="X967" s="198" t="s">
        <v>2272</v>
      </c>
      <c r="Y967" s="198" t="s">
        <v>2272</v>
      </c>
      <c r="Z967" s="198" t="s">
        <v>2272</v>
      </c>
      <c r="AA967" s="198" t="s">
        <v>403</v>
      </c>
      <c r="AB967" s="198" t="s">
        <v>423</v>
      </c>
      <c r="AC967" s="198" t="s">
        <v>63</v>
      </c>
      <c r="AD967" s="4" t="s">
        <v>3073</v>
      </c>
      <c r="AE967" s="198"/>
    </row>
    <row r="968" spans="1:31" ht="90" customHeight="1">
      <c r="A968" s="198" t="s">
        <v>3040</v>
      </c>
      <c r="B968" s="198" t="s">
        <v>3064</v>
      </c>
      <c r="C968" s="198" t="s">
        <v>23</v>
      </c>
      <c r="D968" s="198" t="s">
        <v>24</v>
      </c>
      <c r="E968" s="198" t="s">
        <v>44</v>
      </c>
      <c r="F968" s="4" t="s">
        <v>28</v>
      </c>
      <c r="G968" s="198" t="s">
        <v>2272</v>
      </c>
      <c r="H968" s="198" t="s">
        <v>521</v>
      </c>
      <c r="I968" s="198"/>
      <c r="J968" s="198" t="s">
        <v>2272</v>
      </c>
      <c r="K968" s="198" t="s">
        <v>2272</v>
      </c>
      <c r="L968" s="198" t="s">
        <v>2272</v>
      </c>
      <c r="M968" s="198" t="s">
        <v>2272</v>
      </c>
      <c r="N968" s="198" t="s">
        <v>2272</v>
      </c>
      <c r="O968" s="198" t="s">
        <v>2272</v>
      </c>
      <c r="P968" s="198" t="s">
        <v>2272</v>
      </c>
      <c r="Q968" s="198" t="s">
        <v>2272</v>
      </c>
      <c r="R968" s="198" t="s">
        <v>2272</v>
      </c>
      <c r="S968" s="198" t="s">
        <v>2272</v>
      </c>
      <c r="T968" s="198" t="s">
        <v>2272</v>
      </c>
      <c r="U968" s="198" t="s">
        <v>2272</v>
      </c>
      <c r="V968" s="198" t="s">
        <v>2272</v>
      </c>
      <c r="W968" s="198" t="s">
        <v>2272</v>
      </c>
      <c r="X968" s="198" t="s">
        <v>2272</v>
      </c>
      <c r="Y968" s="198" t="s">
        <v>2272</v>
      </c>
      <c r="Z968" s="198" t="s">
        <v>2272</v>
      </c>
      <c r="AA968" s="198" t="s">
        <v>67</v>
      </c>
      <c r="AB968" s="198" t="s">
        <v>34</v>
      </c>
      <c r="AC968" s="198" t="s">
        <v>63</v>
      </c>
      <c r="AD968" s="4" t="s">
        <v>3051</v>
      </c>
      <c r="AE968" s="198" t="s">
        <v>3074</v>
      </c>
    </row>
    <row r="969" spans="1:31" ht="44.5" customHeight="1">
      <c r="A969" s="198" t="s">
        <v>3040</v>
      </c>
      <c r="B969" s="198" t="s">
        <v>3065</v>
      </c>
      <c r="C969" s="198" t="s">
        <v>23</v>
      </c>
      <c r="D969" s="198" t="s">
        <v>1238</v>
      </c>
      <c r="E969" s="198" t="s">
        <v>44</v>
      </c>
      <c r="F969" s="4" t="s">
        <v>2657</v>
      </c>
      <c r="G969" s="198" t="s">
        <v>2272</v>
      </c>
      <c r="H969" s="198" t="s">
        <v>521</v>
      </c>
      <c r="I969" s="198"/>
      <c r="J969" s="198" t="s">
        <v>2272</v>
      </c>
      <c r="K969" s="198" t="s">
        <v>2272</v>
      </c>
      <c r="L969" s="198" t="s">
        <v>2272</v>
      </c>
      <c r="M969" s="21">
        <v>10</v>
      </c>
      <c r="N969" s="198" t="s">
        <v>2272</v>
      </c>
      <c r="O969" s="21">
        <v>150</v>
      </c>
      <c r="P969" s="198" t="s">
        <v>2272</v>
      </c>
      <c r="Q969" s="198" t="s">
        <v>2272</v>
      </c>
      <c r="R969" s="198" t="s">
        <v>2272</v>
      </c>
      <c r="S969" s="198" t="s">
        <v>2272</v>
      </c>
      <c r="T969" s="198" t="s">
        <v>2272</v>
      </c>
      <c r="U969" s="198" t="s">
        <v>2272</v>
      </c>
      <c r="V969" s="198" t="s">
        <v>2272</v>
      </c>
      <c r="W969" s="198" t="s">
        <v>2272</v>
      </c>
      <c r="X969" s="198" t="s">
        <v>2272</v>
      </c>
      <c r="Y969" s="198" t="s">
        <v>2272</v>
      </c>
      <c r="Z969" s="198" t="s">
        <v>2272</v>
      </c>
      <c r="AA969" s="198" t="s">
        <v>67</v>
      </c>
      <c r="AB969" s="198" t="s">
        <v>34</v>
      </c>
      <c r="AC969" s="198" t="s">
        <v>63</v>
      </c>
      <c r="AD969" s="4" t="s">
        <v>3050</v>
      </c>
      <c r="AE969" s="198"/>
    </row>
    <row r="970" spans="1:31" ht="48" customHeight="1">
      <c r="A970" s="198" t="s">
        <v>3040</v>
      </c>
      <c r="B970" s="198" t="s">
        <v>3066</v>
      </c>
      <c r="C970" s="198" t="s">
        <v>2453</v>
      </c>
      <c r="D970" s="198" t="s">
        <v>24</v>
      </c>
      <c r="E970" s="198" t="s">
        <v>44</v>
      </c>
      <c r="F970" s="4" t="s">
        <v>54</v>
      </c>
      <c r="G970" s="198" t="s">
        <v>2272</v>
      </c>
      <c r="H970" s="198" t="s">
        <v>521</v>
      </c>
      <c r="I970" s="198"/>
      <c r="J970" s="198" t="s">
        <v>2272</v>
      </c>
      <c r="K970" s="198" t="s">
        <v>2272</v>
      </c>
      <c r="L970" s="198" t="s">
        <v>2272</v>
      </c>
      <c r="M970" s="198" t="s">
        <v>2272</v>
      </c>
      <c r="N970" s="198" t="s">
        <v>2272</v>
      </c>
      <c r="O970" s="198" t="s">
        <v>2272</v>
      </c>
      <c r="P970" s="198" t="s">
        <v>2272</v>
      </c>
      <c r="Q970" s="198" t="s">
        <v>2272</v>
      </c>
      <c r="R970" s="198" t="s">
        <v>2272</v>
      </c>
      <c r="S970" s="198" t="s">
        <v>2272</v>
      </c>
      <c r="T970" s="198" t="s">
        <v>2272</v>
      </c>
      <c r="U970" s="198" t="s">
        <v>2272</v>
      </c>
      <c r="V970" s="198" t="s">
        <v>2272</v>
      </c>
      <c r="W970" s="198" t="s">
        <v>2272</v>
      </c>
      <c r="X970" s="198" t="s">
        <v>2272</v>
      </c>
      <c r="Y970" s="198" t="s">
        <v>2272</v>
      </c>
      <c r="Z970" s="198" t="s">
        <v>2272</v>
      </c>
      <c r="AA970" s="198" t="s">
        <v>403</v>
      </c>
      <c r="AB970" s="198" t="s">
        <v>67</v>
      </c>
      <c r="AC970" s="198" t="s">
        <v>63</v>
      </c>
      <c r="AD970" s="4" t="s">
        <v>3053</v>
      </c>
      <c r="AE970" s="198"/>
    </row>
    <row r="971" spans="1:31" ht="41.5" customHeight="1">
      <c r="A971" s="198" t="s">
        <v>3057</v>
      </c>
      <c r="B971" s="198" t="s">
        <v>3067</v>
      </c>
      <c r="C971" s="198" t="s">
        <v>23</v>
      </c>
      <c r="D971" s="198" t="s">
        <v>1238</v>
      </c>
      <c r="E971" s="198" t="s">
        <v>135</v>
      </c>
      <c r="F971" s="4" t="s">
        <v>2657</v>
      </c>
      <c r="G971" s="198" t="s">
        <v>2272</v>
      </c>
      <c r="H971" s="4" t="s">
        <v>522</v>
      </c>
      <c r="I971" s="198"/>
      <c r="J971" s="21">
        <v>0</v>
      </c>
      <c r="K971" s="21">
        <v>0</v>
      </c>
      <c r="L971" s="21">
        <v>0</v>
      </c>
      <c r="M971" s="21">
        <v>0</v>
      </c>
      <c r="N971" s="21">
        <v>0</v>
      </c>
      <c r="O971" s="21">
        <v>0</v>
      </c>
      <c r="P971" s="21">
        <v>0</v>
      </c>
      <c r="Q971" s="21">
        <v>0</v>
      </c>
      <c r="R971" s="21">
        <v>0</v>
      </c>
      <c r="S971" s="21">
        <v>0</v>
      </c>
      <c r="T971" s="21">
        <v>0</v>
      </c>
      <c r="U971" s="21">
        <v>0</v>
      </c>
      <c r="V971" s="21">
        <v>0</v>
      </c>
      <c r="W971" s="21">
        <v>0</v>
      </c>
      <c r="X971" s="21">
        <v>0</v>
      </c>
      <c r="Y971" s="21">
        <v>0</v>
      </c>
      <c r="Z971" s="198" t="s">
        <v>2272</v>
      </c>
      <c r="AA971" s="198" t="s">
        <v>397</v>
      </c>
      <c r="AB971" s="198" t="s">
        <v>125</v>
      </c>
      <c r="AC971" s="198" t="s">
        <v>2272</v>
      </c>
      <c r="AD971" s="198" t="s">
        <v>3069</v>
      </c>
      <c r="AE971" s="198"/>
    </row>
    <row r="972" spans="1:31" ht="44.5" customHeight="1">
      <c r="A972" s="198" t="s">
        <v>3057</v>
      </c>
      <c r="B972" s="198" t="s">
        <v>3068</v>
      </c>
      <c r="C972" s="198" t="s">
        <v>1102</v>
      </c>
      <c r="D972" s="198" t="s">
        <v>1102</v>
      </c>
      <c r="E972" s="198" t="s">
        <v>1102</v>
      </c>
      <c r="F972" s="4" t="s">
        <v>2657</v>
      </c>
      <c r="G972" s="198" t="s">
        <v>2272</v>
      </c>
      <c r="H972" s="198" t="s">
        <v>521</v>
      </c>
      <c r="I972" s="173">
        <v>2014</v>
      </c>
      <c r="J972" s="198" t="s">
        <v>2272</v>
      </c>
      <c r="K972" s="198" t="s">
        <v>2272</v>
      </c>
      <c r="L972" s="198" t="s">
        <v>2272</v>
      </c>
      <c r="M972" s="198" t="s">
        <v>2272</v>
      </c>
      <c r="N972" s="198" t="s">
        <v>2272</v>
      </c>
      <c r="O972" s="198" t="s">
        <v>2272</v>
      </c>
      <c r="P972" s="198" t="s">
        <v>2272</v>
      </c>
      <c r="Q972" s="198" t="s">
        <v>2272</v>
      </c>
      <c r="R972" s="198" t="s">
        <v>2272</v>
      </c>
      <c r="S972" s="198" t="s">
        <v>2272</v>
      </c>
      <c r="T972" s="198" t="s">
        <v>2272</v>
      </c>
      <c r="U972" s="198" t="s">
        <v>2272</v>
      </c>
      <c r="V972" s="198" t="s">
        <v>2272</v>
      </c>
      <c r="W972" s="198" t="s">
        <v>2272</v>
      </c>
      <c r="X972" s="198" t="s">
        <v>2272</v>
      </c>
      <c r="Y972" s="198" t="s">
        <v>2272</v>
      </c>
      <c r="Z972" s="198" t="s">
        <v>2272</v>
      </c>
      <c r="AA972" s="198" t="s">
        <v>84</v>
      </c>
      <c r="AB972" s="198" t="s">
        <v>33</v>
      </c>
      <c r="AC972" s="198" t="s">
        <v>63</v>
      </c>
      <c r="AD972" s="4"/>
      <c r="AE972" s="4" t="s">
        <v>3079</v>
      </c>
    </row>
    <row r="973" spans="1:31" ht="53.5" customHeight="1">
      <c r="A973" s="198" t="s">
        <v>3057</v>
      </c>
      <c r="B973" s="198" t="s">
        <v>3072</v>
      </c>
      <c r="C973" s="198" t="s">
        <v>1102</v>
      </c>
      <c r="D973" s="198" t="s">
        <v>1102</v>
      </c>
      <c r="E973" s="198" t="s">
        <v>1102</v>
      </c>
      <c r="F973" s="4" t="s">
        <v>2657</v>
      </c>
      <c r="G973" s="198" t="s">
        <v>2272</v>
      </c>
      <c r="H973" s="198" t="s">
        <v>521</v>
      </c>
      <c r="I973" s="173">
        <v>2014</v>
      </c>
      <c r="J973" s="198" t="s">
        <v>2272</v>
      </c>
      <c r="K973" s="198" t="s">
        <v>2272</v>
      </c>
      <c r="L973" s="198" t="s">
        <v>2272</v>
      </c>
      <c r="M973" s="198" t="s">
        <v>2272</v>
      </c>
      <c r="N973" s="198" t="s">
        <v>2272</v>
      </c>
      <c r="O973" s="198" t="s">
        <v>2272</v>
      </c>
      <c r="P973" s="198" t="s">
        <v>2272</v>
      </c>
      <c r="Q973" s="198" t="s">
        <v>2272</v>
      </c>
      <c r="R973" s="198" t="s">
        <v>2272</v>
      </c>
      <c r="S973" s="198" t="s">
        <v>2272</v>
      </c>
      <c r="T973" s="198" t="s">
        <v>2272</v>
      </c>
      <c r="U973" s="198" t="s">
        <v>2272</v>
      </c>
      <c r="V973" s="198" t="s">
        <v>2272</v>
      </c>
      <c r="W973" s="198" t="s">
        <v>2272</v>
      </c>
      <c r="X973" s="198" t="s">
        <v>2272</v>
      </c>
      <c r="Y973" s="198" t="s">
        <v>2272</v>
      </c>
      <c r="Z973" s="198" t="s">
        <v>2272</v>
      </c>
      <c r="AA973" s="198" t="s">
        <v>33</v>
      </c>
      <c r="AB973" s="198" t="s">
        <v>403</v>
      </c>
      <c r="AC973" s="198" t="s">
        <v>63</v>
      </c>
      <c r="AD973" s="4"/>
      <c r="AE973" s="4" t="s">
        <v>3079</v>
      </c>
    </row>
    <row r="974" spans="1:31" ht="58" customHeight="1">
      <c r="A974" s="198" t="s">
        <v>3057</v>
      </c>
      <c r="B974" s="198" t="s">
        <v>3076</v>
      </c>
      <c r="C974" s="198" t="s">
        <v>1102</v>
      </c>
      <c r="D974" s="198" t="s">
        <v>1102</v>
      </c>
      <c r="E974" s="198" t="s">
        <v>1102</v>
      </c>
      <c r="F974" s="4" t="s">
        <v>2657</v>
      </c>
      <c r="G974" s="198" t="s">
        <v>2272</v>
      </c>
      <c r="H974" s="198" t="s">
        <v>521</v>
      </c>
      <c r="I974" s="173">
        <v>2014</v>
      </c>
      <c r="J974" s="198" t="s">
        <v>2272</v>
      </c>
      <c r="K974" s="198" t="s">
        <v>2272</v>
      </c>
      <c r="L974" s="198" t="s">
        <v>2272</v>
      </c>
      <c r="M974" s="198" t="s">
        <v>2272</v>
      </c>
      <c r="N974" s="198" t="s">
        <v>2272</v>
      </c>
      <c r="O974" s="198" t="s">
        <v>2272</v>
      </c>
      <c r="P974" s="198" t="s">
        <v>2272</v>
      </c>
      <c r="Q974" s="198" t="s">
        <v>2272</v>
      </c>
      <c r="R974" s="198" t="s">
        <v>2272</v>
      </c>
      <c r="S974" s="198" t="s">
        <v>2272</v>
      </c>
      <c r="T974" s="198" t="s">
        <v>2272</v>
      </c>
      <c r="U974" s="21">
        <v>44450</v>
      </c>
      <c r="V974" s="198" t="s">
        <v>2272</v>
      </c>
      <c r="W974" s="198" t="s">
        <v>2272</v>
      </c>
      <c r="X974" s="198" t="s">
        <v>2272</v>
      </c>
      <c r="Y974" s="21">
        <v>41</v>
      </c>
      <c r="Z974" s="198" t="s">
        <v>2272</v>
      </c>
      <c r="AA974" s="198" t="s">
        <v>403</v>
      </c>
      <c r="AB974" s="198" t="s">
        <v>423</v>
      </c>
      <c r="AC974" s="198" t="s">
        <v>75</v>
      </c>
      <c r="AD974" s="4" t="s">
        <v>3078</v>
      </c>
      <c r="AE974" s="198"/>
    </row>
    <row r="975" spans="1:31" ht="61" customHeight="1">
      <c r="A975" s="198" t="s">
        <v>3057</v>
      </c>
      <c r="B975" s="198" t="s">
        <v>3077</v>
      </c>
      <c r="C975" s="198" t="s">
        <v>1102</v>
      </c>
      <c r="D975" s="198" t="s">
        <v>1102</v>
      </c>
      <c r="E975" s="198" t="s">
        <v>1102</v>
      </c>
      <c r="F975" s="4" t="s">
        <v>2657</v>
      </c>
      <c r="G975" s="198" t="s">
        <v>2272</v>
      </c>
      <c r="H975" s="198" t="s">
        <v>521</v>
      </c>
      <c r="I975" s="173">
        <v>2015</v>
      </c>
      <c r="J975" s="198" t="s">
        <v>2272</v>
      </c>
      <c r="K975" s="198" t="s">
        <v>2272</v>
      </c>
      <c r="L975" s="198" t="s">
        <v>2272</v>
      </c>
      <c r="M975" s="198" t="s">
        <v>2272</v>
      </c>
      <c r="N975" s="198" t="s">
        <v>2272</v>
      </c>
      <c r="O975" s="198" t="s">
        <v>2272</v>
      </c>
      <c r="P975" s="198" t="s">
        <v>2272</v>
      </c>
      <c r="Q975" s="198" t="s">
        <v>2272</v>
      </c>
      <c r="R975" s="198" t="s">
        <v>2272</v>
      </c>
      <c r="S975" s="198" t="s">
        <v>2272</v>
      </c>
      <c r="T975" s="198" t="s">
        <v>2272</v>
      </c>
      <c r="U975" s="198" t="s">
        <v>2272</v>
      </c>
      <c r="V975" s="198" t="s">
        <v>2272</v>
      </c>
      <c r="W975" s="198" t="s">
        <v>2272</v>
      </c>
      <c r="X975" s="198" t="s">
        <v>2272</v>
      </c>
      <c r="Y975" s="198" t="s">
        <v>2272</v>
      </c>
      <c r="Z975" s="198" t="s">
        <v>2272</v>
      </c>
      <c r="AA975" s="198" t="s">
        <v>84</v>
      </c>
      <c r="AB975" s="198" t="s">
        <v>33</v>
      </c>
      <c r="AC975" s="198" t="s">
        <v>63</v>
      </c>
      <c r="AD975" s="4"/>
      <c r="AE975" s="4" t="s">
        <v>3079</v>
      </c>
    </row>
    <row r="976" spans="1:31" ht="45" customHeight="1">
      <c r="A976" s="198" t="s">
        <v>3057</v>
      </c>
      <c r="B976" s="198" t="s">
        <v>3080</v>
      </c>
      <c r="C976" s="198" t="s">
        <v>1102</v>
      </c>
      <c r="D976" s="198" t="s">
        <v>1102</v>
      </c>
      <c r="E976" s="198" t="s">
        <v>1102</v>
      </c>
      <c r="F976" s="4" t="s">
        <v>2657</v>
      </c>
      <c r="G976" s="198" t="s">
        <v>2272</v>
      </c>
      <c r="H976" s="198" t="s">
        <v>521</v>
      </c>
      <c r="I976" s="173">
        <v>2015</v>
      </c>
      <c r="J976" s="198" t="s">
        <v>2272</v>
      </c>
      <c r="K976" s="198" t="s">
        <v>2272</v>
      </c>
      <c r="L976" s="198" t="s">
        <v>2272</v>
      </c>
      <c r="M976" s="198" t="s">
        <v>2272</v>
      </c>
      <c r="N976" s="198" t="s">
        <v>2272</v>
      </c>
      <c r="O976" s="198" t="s">
        <v>2272</v>
      </c>
      <c r="P976" s="198" t="s">
        <v>2272</v>
      </c>
      <c r="Q976" s="198" t="s">
        <v>2272</v>
      </c>
      <c r="R976" s="198" t="s">
        <v>2272</v>
      </c>
      <c r="S976" s="198" t="s">
        <v>2272</v>
      </c>
      <c r="T976" s="198" t="s">
        <v>2272</v>
      </c>
      <c r="U976" s="198" t="s">
        <v>2272</v>
      </c>
      <c r="V976" s="198" t="s">
        <v>2272</v>
      </c>
      <c r="W976" s="198" t="s">
        <v>2272</v>
      </c>
      <c r="X976" s="198" t="s">
        <v>2272</v>
      </c>
      <c r="Y976" s="198" t="s">
        <v>2272</v>
      </c>
      <c r="Z976" s="198" t="s">
        <v>2272</v>
      </c>
      <c r="AA976" s="198" t="s">
        <v>33</v>
      </c>
      <c r="AB976" s="198" t="s">
        <v>403</v>
      </c>
      <c r="AC976" s="198" t="s">
        <v>63</v>
      </c>
      <c r="AD976" s="4"/>
      <c r="AE976" s="4" t="s">
        <v>3079</v>
      </c>
    </row>
    <row r="977" spans="1:31" ht="46" customHeight="1">
      <c r="A977" s="198" t="s">
        <v>3057</v>
      </c>
      <c r="B977" s="198" t="s">
        <v>3081</v>
      </c>
      <c r="C977" s="198" t="s">
        <v>1102</v>
      </c>
      <c r="D977" s="198" t="s">
        <v>1102</v>
      </c>
      <c r="E977" s="198" t="s">
        <v>1102</v>
      </c>
      <c r="F977" s="4" t="s">
        <v>2657</v>
      </c>
      <c r="G977" s="198" t="s">
        <v>2272</v>
      </c>
      <c r="H977" s="198" t="s">
        <v>521</v>
      </c>
      <c r="I977" s="173">
        <v>2015</v>
      </c>
      <c r="J977" s="198" t="s">
        <v>2272</v>
      </c>
      <c r="K977" s="198" t="s">
        <v>2272</v>
      </c>
      <c r="L977" s="198" t="s">
        <v>2272</v>
      </c>
      <c r="M977" s="198" t="s">
        <v>2272</v>
      </c>
      <c r="N977" s="198" t="s">
        <v>2272</v>
      </c>
      <c r="O977" s="198" t="s">
        <v>2272</v>
      </c>
      <c r="P977" s="198" t="s">
        <v>2272</v>
      </c>
      <c r="Q977" s="198" t="s">
        <v>2272</v>
      </c>
      <c r="R977" s="198" t="s">
        <v>2272</v>
      </c>
      <c r="S977" s="198" t="s">
        <v>2272</v>
      </c>
      <c r="T977" s="198" t="s">
        <v>2272</v>
      </c>
      <c r="U977" s="198" t="s">
        <v>2272</v>
      </c>
      <c r="V977" s="198" t="s">
        <v>2272</v>
      </c>
      <c r="W977" s="198" t="s">
        <v>2272</v>
      </c>
      <c r="X977" s="198" t="s">
        <v>2272</v>
      </c>
      <c r="Y977" s="198" t="s">
        <v>2272</v>
      </c>
      <c r="Z977" s="198" t="s">
        <v>2272</v>
      </c>
      <c r="AA977" s="198" t="s">
        <v>403</v>
      </c>
      <c r="AB977" s="198" t="s">
        <v>423</v>
      </c>
      <c r="AC977" s="198" t="s">
        <v>75</v>
      </c>
      <c r="AD977" s="4" t="s">
        <v>3078</v>
      </c>
      <c r="AE977" s="198"/>
    </row>
    <row r="978" spans="1:31" ht="44" customHeight="1">
      <c r="A978" s="198" t="s">
        <v>3058</v>
      </c>
      <c r="B978" s="198" t="s">
        <v>3082</v>
      </c>
      <c r="C978" s="198" t="s">
        <v>23</v>
      </c>
      <c r="D978" s="198" t="s">
        <v>1238</v>
      </c>
      <c r="E978" s="198" t="s">
        <v>135</v>
      </c>
      <c r="F978" s="4" t="s">
        <v>2657</v>
      </c>
      <c r="G978" s="198" t="s">
        <v>2272</v>
      </c>
      <c r="H978" s="4" t="s">
        <v>522</v>
      </c>
      <c r="I978" s="198"/>
      <c r="J978" s="21">
        <v>0</v>
      </c>
      <c r="K978" s="21">
        <v>0</v>
      </c>
      <c r="L978" s="21">
        <v>0</v>
      </c>
      <c r="M978" s="21">
        <v>0</v>
      </c>
      <c r="N978" s="21">
        <v>0</v>
      </c>
      <c r="O978" s="21">
        <v>0</v>
      </c>
      <c r="P978" s="21">
        <v>0</v>
      </c>
      <c r="Q978" s="21">
        <v>0</v>
      </c>
      <c r="R978" s="21">
        <v>0</v>
      </c>
      <c r="S978" s="21">
        <v>0</v>
      </c>
      <c r="T978" s="21">
        <v>0</v>
      </c>
      <c r="U978" s="21">
        <v>0</v>
      </c>
      <c r="V978" s="21">
        <v>0</v>
      </c>
      <c r="W978" s="21">
        <v>0</v>
      </c>
      <c r="X978" s="21">
        <v>0</v>
      </c>
      <c r="Y978" s="21">
        <v>0</v>
      </c>
      <c r="Z978" s="198" t="s">
        <v>2272</v>
      </c>
      <c r="AA978" s="198" t="s">
        <v>397</v>
      </c>
      <c r="AB978" s="198" t="s">
        <v>125</v>
      </c>
      <c r="AC978" s="198" t="s">
        <v>2272</v>
      </c>
      <c r="AD978" s="198" t="s">
        <v>3069</v>
      </c>
      <c r="AE978" s="198"/>
    </row>
    <row r="979" spans="1:31" ht="40.5" customHeight="1">
      <c r="A979" s="198" t="s">
        <v>3058</v>
      </c>
      <c r="B979" s="198" t="s">
        <v>3083</v>
      </c>
      <c r="C979" s="198" t="s">
        <v>1102</v>
      </c>
      <c r="D979" s="198" t="s">
        <v>1102</v>
      </c>
      <c r="E979" s="198" t="s">
        <v>1102</v>
      </c>
      <c r="F979" s="4" t="s">
        <v>2657</v>
      </c>
      <c r="G979" s="198" t="s">
        <v>2272</v>
      </c>
      <c r="H979" s="198" t="s">
        <v>521</v>
      </c>
      <c r="I979" s="173">
        <v>2014</v>
      </c>
      <c r="J979" s="198" t="s">
        <v>2272</v>
      </c>
      <c r="K979" s="198" t="s">
        <v>2272</v>
      </c>
      <c r="L979" s="198" t="s">
        <v>2272</v>
      </c>
      <c r="M979" s="198" t="s">
        <v>2272</v>
      </c>
      <c r="N979" s="198" t="s">
        <v>2272</v>
      </c>
      <c r="O979" s="198" t="s">
        <v>2272</v>
      </c>
      <c r="P979" s="198" t="s">
        <v>2272</v>
      </c>
      <c r="Q979" s="198" t="s">
        <v>2272</v>
      </c>
      <c r="R979" s="198" t="s">
        <v>2272</v>
      </c>
      <c r="S979" s="198" t="s">
        <v>2272</v>
      </c>
      <c r="T979" s="198" t="s">
        <v>2272</v>
      </c>
      <c r="U979" s="198" t="s">
        <v>2272</v>
      </c>
      <c r="V979" s="198" t="s">
        <v>2272</v>
      </c>
      <c r="W979" s="198" t="s">
        <v>2272</v>
      </c>
      <c r="X979" s="198" t="s">
        <v>2272</v>
      </c>
      <c r="Y979" s="198" t="s">
        <v>2272</v>
      </c>
      <c r="Z979" s="198" t="s">
        <v>2272</v>
      </c>
      <c r="AA979" s="198" t="s">
        <v>84</v>
      </c>
      <c r="AB979" s="198" t="s">
        <v>33</v>
      </c>
      <c r="AC979" s="198" t="s">
        <v>63</v>
      </c>
      <c r="AD979" s="4"/>
      <c r="AE979" s="4" t="s">
        <v>3079</v>
      </c>
    </row>
    <row r="980" spans="1:31" ht="44.5" customHeight="1">
      <c r="A980" s="198" t="s">
        <v>3058</v>
      </c>
      <c r="B980" s="198" t="s">
        <v>3084</v>
      </c>
      <c r="C980" s="198" t="s">
        <v>1102</v>
      </c>
      <c r="D980" s="198" t="s">
        <v>1102</v>
      </c>
      <c r="E980" s="198" t="s">
        <v>1102</v>
      </c>
      <c r="F980" s="4" t="s">
        <v>2657</v>
      </c>
      <c r="G980" s="198" t="s">
        <v>2272</v>
      </c>
      <c r="H980" s="198" t="s">
        <v>521</v>
      </c>
      <c r="I980" s="173">
        <v>2014</v>
      </c>
      <c r="J980" s="198" t="s">
        <v>2272</v>
      </c>
      <c r="K980" s="198" t="s">
        <v>2272</v>
      </c>
      <c r="L980" s="198" t="s">
        <v>2272</v>
      </c>
      <c r="M980" s="198" t="s">
        <v>2272</v>
      </c>
      <c r="N980" s="198" t="s">
        <v>2272</v>
      </c>
      <c r="O980" s="198" t="s">
        <v>2272</v>
      </c>
      <c r="P980" s="198" t="s">
        <v>2272</v>
      </c>
      <c r="Q980" s="198" t="s">
        <v>2272</v>
      </c>
      <c r="R980" s="198" t="s">
        <v>2272</v>
      </c>
      <c r="S980" s="198" t="s">
        <v>2272</v>
      </c>
      <c r="T980" s="198" t="s">
        <v>2272</v>
      </c>
      <c r="U980" s="198" t="s">
        <v>2272</v>
      </c>
      <c r="V980" s="198" t="s">
        <v>2272</v>
      </c>
      <c r="W980" s="198" t="s">
        <v>2272</v>
      </c>
      <c r="X980" s="198" t="s">
        <v>2272</v>
      </c>
      <c r="Y980" s="198" t="s">
        <v>2272</v>
      </c>
      <c r="Z980" s="198" t="s">
        <v>2272</v>
      </c>
      <c r="AA980" s="198" t="s">
        <v>33</v>
      </c>
      <c r="AB980" s="198" t="s">
        <v>403</v>
      </c>
      <c r="AC980" s="198" t="s">
        <v>63</v>
      </c>
      <c r="AD980" s="4"/>
      <c r="AE980" s="4" t="s">
        <v>3079</v>
      </c>
    </row>
    <row r="981" spans="1:31" ht="50" customHeight="1">
      <c r="A981" s="198" t="s">
        <v>3058</v>
      </c>
      <c r="B981" s="198" t="s">
        <v>3085</v>
      </c>
      <c r="C981" s="198" t="s">
        <v>1102</v>
      </c>
      <c r="D981" s="198" t="s">
        <v>1102</v>
      </c>
      <c r="E981" s="198" t="s">
        <v>1102</v>
      </c>
      <c r="F981" s="4" t="s">
        <v>2657</v>
      </c>
      <c r="G981" s="198" t="s">
        <v>2272</v>
      </c>
      <c r="H981" s="198" t="s">
        <v>521</v>
      </c>
      <c r="I981" s="173">
        <v>2014</v>
      </c>
      <c r="J981" s="198" t="s">
        <v>2272</v>
      </c>
      <c r="K981" s="198" t="s">
        <v>2272</v>
      </c>
      <c r="L981" s="198" t="s">
        <v>2272</v>
      </c>
      <c r="M981" s="198" t="s">
        <v>2272</v>
      </c>
      <c r="N981" s="198" t="s">
        <v>2272</v>
      </c>
      <c r="O981" s="198" t="s">
        <v>2272</v>
      </c>
      <c r="P981" s="198" t="s">
        <v>2272</v>
      </c>
      <c r="Q981" s="198" t="s">
        <v>2272</v>
      </c>
      <c r="R981" s="198" t="s">
        <v>2272</v>
      </c>
      <c r="S981" s="198" t="s">
        <v>2272</v>
      </c>
      <c r="T981" s="198" t="s">
        <v>2272</v>
      </c>
      <c r="U981" s="198" t="s">
        <v>2272</v>
      </c>
      <c r="V981" s="198" t="s">
        <v>2272</v>
      </c>
      <c r="W981" s="198" t="s">
        <v>2272</v>
      </c>
      <c r="X981" s="198" t="s">
        <v>2272</v>
      </c>
      <c r="Y981" s="198" t="s">
        <v>2272</v>
      </c>
      <c r="Z981" s="198" t="s">
        <v>2272</v>
      </c>
      <c r="AA981" s="198" t="s">
        <v>403</v>
      </c>
      <c r="AB981" s="198" t="s">
        <v>423</v>
      </c>
      <c r="AC981" s="198" t="s">
        <v>75</v>
      </c>
      <c r="AD981" s="4" t="s">
        <v>3078</v>
      </c>
      <c r="AE981" s="198"/>
    </row>
    <row r="982" spans="1:31" ht="38" customHeight="1">
      <c r="A982" s="198" t="s">
        <v>3058</v>
      </c>
      <c r="B982" s="198" t="s">
        <v>3086</v>
      </c>
      <c r="C982" s="198" t="s">
        <v>1102</v>
      </c>
      <c r="D982" s="198" t="s">
        <v>1102</v>
      </c>
      <c r="E982" s="198" t="s">
        <v>1102</v>
      </c>
      <c r="F982" s="4" t="s">
        <v>2657</v>
      </c>
      <c r="G982" s="198" t="s">
        <v>2272</v>
      </c>
      <c r="H982" s="198" t="s">
        <v>521</v>
      </c>
      <c r="I982" s="173">
        <v>2015</v>
      </c>
      <c r="J982" s="198" t="s">
        <v>2272</v>
      </c>
      <c r="K982" s="198" t="s">
        <v>2272</v>
      </c>
      <c r="L982" s="198" t="s">
        <v>2272</v>
      </c>
      <c r="M982" s="198" t="s">
        <v>2272</v>
      </c>
      <c r="N982" s="198" t="s">
        <v>2272</v>
      </c>
      <c r="O982" s="198" t="s">
        <v>2272</v>
      </c>
      <c r="P982" s="198" t="s">
        <v>2272</v>
      </c>
      <c r="Q982" s="198" t="s">
        <v>2272</v>
      </c>
      <c r="R982" s="198" t="s">
        <v>2272</v>
      </c>
      <c r="S982" s="198" t="s">
        <v>2272</v>
      </c>
      <c r="T982" s="198" t="s">
        <v>2272</v>
      </c>
      <c r="U982" s="198" t="s">
        <v>2272</v>
      </c>
      <c r="V982" s="198" t="s">
        <v>2272</v>
      </c>
      <c r="W982" s="198" t="s">
        <v>2272</v>
      </c>
      <c r="X982" s="198" t="s">
        <v>2272</v>
      </c>
      <c r="Y982" s="198" t="s">
        <v>2272</v>
      </c>
      <c r="Z982" s="198" t="s">
        <v>2272</v>
      </c>
      <c r="AA982" s="198" t="s">
        <v>84</v>
      </c>
      <c r="AB982" s="198" t="s">
        <v>33</v>
      </c>
      <c r="AC982" s="198" t="s">
        <v>63</v>
      </c>
      <c r="AD982" s="4"/>
      <c r="AE982" s="4" t="s">
        <v>3079</v>
      </c>
    </row>
    <row r="983" spans="1:31" ht="41.5" customHeight="1">
      <c r="A983" s="198" t="s">
        <v>3058</v>
      </c>
      <c r="B983" s="198" t="s">
        <v>3087</v>
      </c>
      <c r="C983" s="198" t="s">
        <v>1102</v>
      </c>
      <c r="D983" s="198" t="s">
        <v>1102</v>
      </c>
      <c r="E983" s="198" t="s">
        <v>1102</v>
      </c>
      <c r="F983" s="4" t="s">
        <v>2657</v>
      </c>
      <c r="G983" s="198" t="s">
        <v>2272</v>
      </c>
      <c r="H983" s="198" t="s">
        <v>521</v>
      </c>
      <c r="I983" s="173">
        <v>2015</v>
      </c>
      <c r="J983" s="198" t="s">
        <v>2272</v>
      </c>
      <c r="K983" s="198" t="s">
        <v>2272</v>
      </c>
      <c r="L983" s="198" t="s">
        <v>2272</v>
      </c>
      <c r="M983" s="198" t="s">
        <v>2272</v>
      </c>
      <c r="N983" s="198" t="s">
        <v>2272</v>
      </c>
      <c r="O983" s="198" t="s">
        <v>2272</v>
      </c>
      <c r="P983" s="198" t="s">
        <v>2272</v>
      </c>
      <c r="Q983" s="198" t="s">
        <v>2272</v>
      </c>
      <c r="R983" s="198" t="s">
        <v>2272</v>
      </c>
      <c r="S983" s="198" t="s">
        <v>2272</v>
      </c>
      <c r="T983" s="198" t="s">
        <v>2272</v>
      </c>
      <c r="U983" s="198" t="s">
        <v>2272</v>
      </c>
      <c r="V983" s="198" t="s">
        <v>2272</v>
      </c>
      <c r="W983" s="198" t="s">
        <v>2272</v>
      </c>
      <c r="X983" s="198" t="s">
        <v>2272</v>
      </c>
      <c r="Y983" s="198" t="s">
        <v>2272</v>
      </c>
      <c r="Z983" s="198" t="s">
        <v>2272</v>
      </c>
      <c r="AA983" s="198" t="s">
        <v>33</v>
      </c>
      <c r="AB983" s="198" t="s">
        <v>403</v>
      </c>
      <c r="AC983" s="198" t="s">
        <v>63</v>
      </c>
      <c r="AD983" s="4"/>
      <c r="AE983" s="4" t="s">
        <v>3079</v>
      </c>
    </row>
    <row r="984" spans="1:31" ht="48.5" customHeight="1">
      <c r="A984" s="198" t="s">
        <v>3058</v>
      </c>
      <c r="B984" s="198" t="s">
        <v>3088</v>
      </c>
      <c r="C984" s="198" t="s">
        <v>1102</v>
      </c>
      <c r="D984" s="198" t="s">
        <v>1102</v>
      </c>
      <c r="E984" s="198" t="s">
        <v>1102</v>
      </c>
      <c r="F984" s="4" t="s">
        <v>2657</v>
      </c>
      <c r="G984" s="198" t="s">
        <v>2272</v>
      </c>
      <c r="H984" s="198" t="s">
        <v>521</v>
      </c>
      <c r="I984" s="173">
        <v>2015</v>
      </c>
      <c r="J984" s="198" t="s">
        <v>2272</v>
      </c>
      <c r="K984" s="198" t="s">
        <v>2272</v>
      </c>
      <c r="L984" s="198" t="s">
        <v>2272</v>
      </c>
      <c r="M984" s="198" t="s">
        <v>2272</v>
      </c>
      <c r="N984" s="198" t="s">
        <v>2272</v>
      </c>
      <c r="O984" s="198" t="s">
        <v>2272</v>
      </c>
      <c r="P984" s="198" t="s">
        <v>2272</v>
      </c>
      <c r="Q984" s="198" t="s">
        <v>2272</v>
      </c>
      <c r="R984" s="198" t="s">
        <v>2272</v>
      </c>
      <c r="S984" s="198" t="s">
        <v>2272</v>
      </c>
      <c r="T984" s="198" t="s">
        <v>2272</v>
      </c>
      <c r="U984" s="198" t="s">
        <v>2272</v>
      </c>
      <c r="V984" s="198" t="s">
        <v>2272</v>
      </c>
      <c r="W984" s="198" t="s">
        <v>2272</v>
      </c>
      <c r="X984" s="198" t="s">
        <v>2272</v>
      </c>
      <c r="Y984" s="198" t="s">
        <v>2272</v>
      </c>
      <c r="Z984" s="198" t="s">
        <v>2272</v>
      </c>
      <c r="AA984" s="198" t="s">
        <v>403</v>
      </c>
      <c r="AB984" s="198" t="s">
        <v>423</v>
      </c>
      <c r="AC984" s="198" t="s">
        <v>75</v>
      </c>
      <c r="AD984" s="4" t="s">
        <v>3078</v>
      </c>
      <c r="AE984" s="198"/>
    </row>
    <row r="985" spans="1:31" ht="48.5" customHeight="1">
      <c r="A985" s="198" t="s">
        <v>5034</v>
      </c>
      <c r="B985" s="198" t="s">
        <v>5036</v>
      </c>
      <c r="C985" s="198" t="s">
        <v>1102</v>
      </c>
      <c r="D985" s="198" t="s">
        <v>1102</v>
      </c>
      <c r="E985" s="198" t="s">
        <v>1102</v>
      </c>
      <c r="F985" s="4" t="s">
        <v>2657</v>
      </c>
      <c r="G985" s="198" t="s">
        <v>2272</v>
      </c>
      <c r="H985" s="198" t="s">
        <v>521</v>
      </c>
      <c r="I985" s="173"/>
      <c r="J985" s="198" t="s">
        <v>2272</v>
      </c>
      <c r="K985" s="198" t="s">
        <v>2272</v>
      </c>
      <c r="L985" s="198" t="s">
        <v>2272</v>
      </c>
      <c r="M985" s="198" t="s">
        <v>2272</v>
      </c>
      <c r="N985" s="198" t="s">
        <v>2272</v>
      </c>
      <c r="O985" s="198" t="s">
        <v>2272</v>
      </c>
      <c r="P985" s="198" t="s">
        <v>2272</v>
      </c>
      <c r="Q985" s="198" t="s">
        <v>2272</v>
      </c>
      <c r="R985" s="198" t="s">
        <v>2272</v>
      </c>
      <c r="S985" s="198" t="s">
        <v>2272</v>
      </c>
      <c r="T985" s="198" t="s">
        <v>2272</v>
      </c>
      <c r="U985" s="198" t="s">
        <v>2272</v>
      </c>
      <c r="V985" s="198" t="s">
        <v>2272</v>
      </c>
      <c r="W985" s="198" t="s">
        <v>2272</v>
      </c>
      <c r="X985" s="198" t="s">
        <v>2272</v>
      </c>
      <c r="Y985" s="198" t="s">
        <v>2272</v>
      </c>
      <c r="Z985" s="198" t="s">
        <v>2272</v>
      </c>
      <c r="AA985" s="198" t="s">
        <v>84</v>
      </c>
      <c r="AB985" s="198" t="s">
        <v>34</v>
      </c>
      <c r="AC985" s="198" t="s">
        <v>2272</v>
      </c>
      <c r="AD985" s="4"/>
      <c r="AE985" s="198"/>
    </row>
    <row r="986" spans="1:31" ht="42" customHeight="1">
      <c r="A986" s="198" t="s">
        <v>3092</v>
      </c>
      <c r="B986" s="198" t="s">
        <v>3113</v>
      </c>
      <c r="C986" s="198" t="s">
        <v>23</v>
      </c>
      <c r="D986" s="198" t="s">
        <v>26</v>
      </c>
      <c r="E986" s="198" t="s">
        <v>128</v>
      </c>
      <c r="F986" s="4" t="s">
        <v>73</v>
      </c>
      <c r="G986" s="198" t="s">
        <v>2272</v>
      </c>
      <c r="H986" s="198" t="s">
        <v>521</v>
      </c>
      <c r="I986" s="198"/>
      <c r="J986" s="198" t="s">
        <v>2272</v>
      </c>
      <c r="K986" s="198" t="s">
        <v>2272</v>
      </c>
      <c r="L986" s="198" t="s">
        <v>2272</v>
      </c>
      <c r="M986" s="198" t="s">
        <v>2272</v>
      </c>
      <c r="N986" s="198" t="s">
        <v>2272</v>
      </c>
      <c r="O986" s="198" t="s">
        <v>2272</v>
      </c>
      <c r="P986" s="198" t="s">
        <v>2272</v>
      </c>
      <c r="Q986" s="198" t="s">
        <v>2272</v>
      </c>
      <c r="R986" s="198" t="s">
        <v>2272</v>
      </c>
      <c r="S986" s="198" t="s">
        <v>2272</v>
      </c>
      <c r="T986" s="198" t="s">
        <v>2272</v>
      </c>
      <c r="U986" s="198" t="s">
        <v>2272</v>
      </c>
      <c r="V986" s="198" t="s">
        <v>2272</v>
      </c>
      <c r="W986" s="198" t="s">
        <v>2272</v>
      </c>
      <c r="X986" s="198" t="s">
        <v>2272</v>
      </c>
      <c r="Y986" s="198" t="s">
        <v>2272</v>
      </c>
      <c r="Z986" s="198" t="s">
        <v>2272</v>
      </c>
      <c r="AA986" s="198" t="s">
        <v>2272</v>
      </c>
      <c r="AB986" s="198" t="s">
        <v>2272</v>
      </c>
      <c r="AC986" s="198" t="s">
        <v>2272</v>
      </c>
      <c r="AD986" s="198"/>
      <c r="AE986" s="198"/>
    </row>
    <row r="987" spans="1:31" ht="42" customHeight="1">
      <c r="A987" s="198" t="s">
        <v>3093</v>
      </c>
      <c r="B987" s="198" t="s">
        <v>3114</v>
      </c>
      <c r="C987" s="198" t="s">
        <v>23</v>
      </c>
      <c r="D987" s="198" t="s">
        <v>26</v>
      </c>
      <c r="E987" s="198" t="s">
        <v>128</v>
      </c>
      <c r="F987" s="4" t="s">
        <v>73</v>
      </c>
      <c r="G987" s="198" t="s">
        <v>2272</v>
      </c>
      <c r="H987" s="198" t="s">
        <v>521</v>
      </c>
      <c r="I987" s="198"/>
      <c r="J987" s="198" t="s">
        <v>2272</v>
      </c>
      <c r="K987" s="198" t="s">
        <v>2272</v>
      </c>
      <c r="L987" s="198" t="s">
        <v>2272</v>
      </c>
      <c r="M987" s="198" t="s">
        <v>2272</v>
      </c>
      <c r="N987" s="198" t="s">
        <v>2272</v>
      </c>
      <c r="O987" s="198" t="s">
        <v>2272</v>
      </c>
      <c r="P987" s="198" t="s">
        <v>2272</v>
      </c>
      <c r="Q987" s="198" t="s">
        <v>2272</v>
      </c>
      <c r="R987" s="198" t="s">
        <v>2272</v>
      </c>
      <c r="S987" s="198" t="s">
        <v>2272</v>
      </c>
      <c r="T987" s="198" t="s">
        <v>2272</v>
      </c>
      <c r="U987" s="198" t="s">
        <v>2272</v>
      </c>
      <c r="V987" s="198" t="s">
        <v>2272</v>
      </c>
      <c r="W987" s="198" t="s">
        <v>2272</v>
      </c>
      <c r="X987" s="198" t="s">
        <v>2272</v>
      </c>
      <c r="Y987" s="198" t="s">
        <v>2272</v>
      </c>
      <c r="Z987" s="198" t="s">
        <v>2272</v>
      </c>
      <c r="AA987" s="198" t="s">
        <v>2272</v>
      </c>
      <c r="AB987" s="198" t="s">
        <v>2272</v>
      </c>
      <c r="AC987" s="198" t="s">
        <v>2272</v>
      </c>
      <c r="AD987" s="198"/>
      <c r="AE987" s="198"/>
    </row>
    <row r="988" spans="1:31" ht="38.5" customHeight="1">
      <c r="A988" s="198" t="s">
        <v>3095</v>
      </c>
      <c r="B988" s="198" t="s">
        <v>3115</v>
      </c>
      <c r="C988" s="198" t="s">
        <v>23</v>
      </c>
      <c r="D988" s="198" t="s">
        <v>26</v>
      </c>
      <c r="E988" s="198" t="s">
        <v>128</v>
      </c>
      <c r="F988" s="4" t="s">
        <v>73</v>
      </c>
      <c r="G988" s="198" t="s">
        <v>2272</v>
      </c>
      <c r="H988" s="198" t="s">
        <v>521</v>
      </c>
      <c r="I988" s="198"/>
      <c r="J988" s="198" t="s">
        <v>2272</v>
      </c>
      <c r="K988" s="198" t="s">
        <v>2272</v>
      </c>
      <c r="L988" s="198" t="s">
        <v>2272</v>
      </c>
      <c r="M988" s="198" t="s">
        <v>2272</v>
      </c>
      <c r="N988" s="198" t="s">
        <v>2272</v>
      </c>
      <c r="O988" s="198" t="s">
        <v>2272</v>
      </c>
      <c r="P988" s="198" t="s">
        <v>2272</v>
      </c>
      <c r="Q988" s="198" t="s">
        <v>2272</v>
      </c>
      <c r="R988" s="198" t="s">
        <v>2272</v>
      </c>
      <c r="S988" s="198" t="s">
        <v>2272</v>
      </c>
      <c r="T988" s="198" t="s">
        <v>2272</v>
      </c>
      <c r="U988" s="198" t="s">
        <v>2272</v>
      </c>
      <c r="V988" s="198" t="s">
        <v>2272</v>
      </c>
      <c r="W988" s="198" t="s">
        <v>2272</v>
      </c>
      <c r="X988" s="198" t="s">
        <v>2272</v>
      </c>
      <c r="Y988" s="198" t="s">
        <v>2272</v>
      </c>
      <c r="Z988" s="198" t="s">
        <v>2272</v>
      </c>
      <c r="AA988" s="198" t="s">
        <v>2272</v>
      </c>
      <c r="AB988" s="198" t="s">
        <v>2272</v>
      </c>
      <c r="AC988" s="198" t="s">
        <v>2272</v>
      </c>
      <c r="AD988" s="198"/>
      <c r="AE988" s="198"/>
    </row>
    <row r="989" spans="1:31" ht="31" customHeight="1">
      <c r="A989" s="198" t="s">
        <v>3096</v>
      </c>
      <c r="B989" s="198" t="s">
        <v>3116</v>
      </c>
      <c r="C989" s="198" t="s">
        <v>23</v>
      </c>
      <c r="D989" s="198" t="s">
        <v>26</v>
      </c>
      <c r="E989" s="198" t="s">
        <v>128</v>
      </c>
      <c r="F989" s="4" t="s">
        <v>159</v>
      </c>
      <c r="G989" s="198" t="s">
        <v>2272</v>
      </c>
      <c r="H989" s="198" t="s">
        <v>521</v>
      </c>
      <c r="I989" s="198"/>
      <c r="J989" s="198" t="s">
        <v>2272</v>
      </c>
      <c r="K989" s="198" t="s">
        <v>2272</v>
      </c>
      <c r="L989" s="198" t="s">
        <v>2272</v>
      </c>
      <c r="M989" s="198" t="s">
        <v>2272</v>
      </c>
      <c r="N989" s="198" t="s">
        <v>2272</v>
      </c>
      <c r="O989" s="198" t="s">
        <v>2272</v>
      </c>
      <c r="P989" s="198" t="s">
        <v>2272</v>
      </c>
      <c r="Q989" s="198" t="s">
        <v>2272</v>
      </c>
      <c r="R989" s="198" t="s">
        <v>2272</v>
      </c>
      <c r="S989" s="198" t="s">
        <v>2272</v>
      </c>
      <c r="T989" s="198" t="s">
        <v>2272</v>
      </c>
      <c r="U989" s="198" t="s">
        <v>2272</v>
      </c>
      <c r="V989" s="198" t="s">
        <v>2272</v>
      </c>
      <c r="W989" s="198" t="s">
        <v>2272</v>
      </c>
      <c r="X989" s="198" t="s">
        <v>2272</v>
      </c>
      <c r="Y989" s="198" t="s">
        <v>2272</v>
      </c>
      <c r="Z989" s="198" t="s">
        <v>2272</v>
      </c>
      <c r="AA989" s="198" t="s">
        <v>2272</v>
      </c>
      <c r="AB989" s="198" t="s">
        <v>2272</v>
      </c>
      <c r="AC989" s="198" t="s">
        <v>2272</v>
      </c>
      <c r="AD989" s="198"/>
      <c r="AE989" s="198"/>
    </row>
    <row r="990" spans="1:31" ht="33.5" customHeight="1">
      <c r="A990" s="198" t="s">
        <v>3097</v>
      </c>
      <c r="B990" s="198" t="s">
        <v>3117</v>
      </c>
      <c r="C990" s="198" t="s">
        <v>23</v>
      </c>
      <c r="D990" s="198" t="s">
        <v>26</v>
      </c>
      <c r="E990" s="198" t="s">
        <v>128</v>
      </c>
      <c r="F990" s="4" t="s">
        <v>159</v>
      </c>
      <c r="G990" s="198" t="s">
        <v>2272</v>
      </c>
      <c r="H990" s="198" t="s">
        <v>521</v>
      </c>
      <c r="I990" s="198"/>
      <c r="J990" s="198" t="s">
        <v>2272</v>
      </c>
      <c r="K990" s="198" t="s">
        <v>2272</v>
      </c>
      <c r="L990" s="198" t="s">
        <v>2272</v>
      </c>
      <c r="M990" s="198" t="s">
        <v>2272</v>
      </c>
      <c r="N990" s="198" t="s">
        <v>2272</v>
      </c>
      <c r="O990" s="198" t="s">
        <v>2272</v>
      </c>
      <c r="P990" s="198" t="s">
        <v>2272</v>
      </c>
      <c r="Q990" s="198" t="s">
        <v>2272</v>
      </c>
      <c r="R990" s="198" t="s">
        <v>2272</v>
      </c>
      <c r="S990" s="198" t="s">
        <v>2272</v>
      </c>
      <c r="T990" s="198" t="s">
        <v>2272</v>
      </c>
      <c r="U990" s="198" t="s">
        <v>2272</v>
      </c>
      <c r="V990" s="198" t="s">
        <v>2272</v>
      </c>
      <c r="W990" s="198" t="s">
        <v>2272</v>
      </c>
      <c r="X990" s="198" t="s">
        <v>2272</v>
      </c>
      <c r="Y990" s="198" t="s">
        <v>2272</v>
      </c>
      <c r="Z990" s="198" t="s">
        <v>2272</v>
      </c>
      <c r="AA990" s="198" t="s">
        <v>2272</v>
      </c>
      <c r="AB990" s="198" t="s">
        <v>2272</v>
      </c>
      <c r="AC990" s="198" t="s">
        <v>2272</v>
      </c>
      <c r="AD990" s="198"/>
      <c r="AE990" s="198"/>
    </row>
    <row r="991" spans="1:31" ht="33.5" customHeight="1">
      <c r="A991" s="198" t="s">
        <v>3098</v>
      </c>
      <c r="B991" s="198" t="s">
        <v>3118</v>
      </c>
      <c r="C991" s="198" t="s">
        <v>23</v>
      </c>
      <c r="D991" s="198" t="s">
        <v>26</v>
      </c>
      <c r="E991" s="198" t="s">
        <v>128</v>
      </c>
      <c r="F991" s="4" t="s">
        <v>159</v>
      </c>
      <c r="G991" s="198" t="s">
        <v>2272</v>
      </c>
      <c r="H991" s="198" t="s">
        <v>521</v>
      </c>
      <c r="I991" s="198"/>
      <c r="J991" s="198" t="s">
        <v>2272</v>
      </c>
      <c r="K991" s="198" t="s">
        <v>2272</v>
      </c>
      <c r="L991" s="198" t="s">
        <v>2272</v>
      </c>
      <c r="M991" s="198" t="s">
        <v>2272</v>
      </c>
      <c r="N991" s="198" t="s">
        <v>2272</v>
      </c>
      <c r="O991" s="198" t="s">
        <v>2272</v>
      </c>
      <c r="P991" s="198" t="s">
        <v>2272</v>
      </c>
      <c r="Q991" s="198" t="s">
        <v>2272</v>
      </c>
      <c r="R991" s="198" t="s">
        <v>2272</v>
      </c>
      <c r="S991" s="198" t="s">
        <v>2272</v>
      </c>
      <c r="T991" s="198" t="s">
        <v>2272</v>
      </c>
      <c r="U991" s="198" t="s">
        <v>2272</v>
      </c>
      <c r="V991" s="198" t="s">
        <v>2272</v>
      </c>
      <c r="W991" s="198" t="s">
        <v>2272</v>
      </c>
      <c r="X991" s="198" t="s">
        <v>2272</v>
      </c>
      <c r="Y991" s="198" t="s">
        <v>2272</v>
      </c>
      <c r="Z991" s="198" t="s">
        <v>2272</v>
      </c>
      <c r="AA991" s="198" t="s">
        <v>2272</v>
      </c>
      <c r="AB991" s="198" t="s">
        <v>2272</v>
      </c>
      <c r="AC991" s="198" t="s">
        <v>2272</v>
      </c>
      <c r="AD991" s="198"/>
      <c r="AE991" s="198"/>
    </row>
    <row r="992" spans="1:31" ht="40" customHeight="1">
      <c r="A992" s="198" t="s">
        <v>3124</v>
      </c>
      <c r="B992" s="198" t="s">
        <v>3133</v>
      </c>
      <c r="C992" s="198" t="s">
        <v>23</v>
      </c>
      <c r="D992" s="198" t="s">
        <v>26</v>
      </c>
      <c r="E992" s="198" t="s">
        <v>128</v>
      </c>
      <c r="F992" s="4" t="s">
        <v>159</v>
      </c>
      <c r="G992" s="198" t="s">
        <v>2272</v>
      </c>
      <c r="H992" s="198" t="s">
        <v>521</v>
      </c>
      <c r="I992" s="198"/>
      <c r="J992" s="198" t="s">
        <v>2272</v>
      </c>
      <c r="K992" s="198" t="s">
        <v>2272</v>
      </c>
      <c r="L992" s="198" t="s">
        <v>2272</v>
      </c>
      <c r="M992" s="198" t="s">
        <v>2272</v>
      </c>
      <c r="N992" s="198" t="s">
        <v>2272</v>
      </c>
      <c r="O992" s="198" t="s">
        <v>2272</v>
      </c>
      <c r="P992" s="198" t="s">
        <v>2272</v>
      </c>
      <c r="Q992" s="198" t="s">
        <v>2272</v>
      </c>
      <c r="R992" s="198" t="s">
        <v>2272</v>
      </c>
      <c r="S992" s="198" t="s">
        <v>2272</v>
      </c>
      <c r="T992" s="198" t="s">
        <v>2272</v>
      </c>
      <c r="U992" s="198" t="s">
        <v>2272</v>
      </c>
      <c r="V992" s="198" t="s">
        <v>2272</v>
      </c>
      <c r="W992" s="198" t="s">
        <v>2272</v>
      </c>
      <c r="X992" s="198" t="s">
        <v>2272</v>
      </c>
      <c r="Y992" s="198" t="s">
        <v>2272</v>
      </c>
      <c r="Z992" s="198" t="s">
        <v>2272</v>
      </c>
      <c r="AA992" s="198" t="s">
        <v>2272</v>
      </c>
      <c r="AB992" s="198" t="s">
        <v>2272</v>
      </c>
      <c r="AC992" s="198" t="s">
        <v>2272</v>
      </c>
      <c r="AD992" s="198"/>
      <c r="AE992" s="198" t="s">
        <v>3141</v>
      </c>
    </row>
    <row r="993" spans="1:31" ht="40" customHeight="1">
      <c r="A993" s="198" t="s">
        <v>3124</v>
      </c>
      <c r="B993" s="198" t="s">
        <v>3142</v>
      </c>
      <c r="C993" s="198" t="s">
        <v>23</v>
      </c>
      <c r="D993" s="198" t="s">
        <v>1241</v>
      </c>
      <c r="E993" s="198" t="s">
        <v>114</v>
      </c>
      <c r="F993" s="4" t="s">
        <v>73</v>
      </c>
      <c r="G993" s="198" t="s">
        <v>2272</v>
      </c>
      <c r="H993" s="198" t="s">
        <v>521</v>
      </c>
      <c r="I993" s="198"/>
      <c r="J993" s="198" t="s">
        <v>2272</v>
      </c>
      <c r="K993" s="198" t="s">
        <v>2272</v>
      </c>
      <c r="L993" s="198" t="s">
        <v>2272</v>
      </c>
      <c r="M993" s="198" t="s">
        <v>2272</v>
      </c>
      <c r="N993" s="198" t="s">
        <v>2272</v>
      </c>
      <c r="O993" s="198" t="s">
        <v>2272</v>
      </c>
      <c r="P993" s="198" t="s">
        <v>2272</v>
      </c>
      <c r="Q993" s="198" t="s">
        <v>2272</v>
      </c>
      <c r="R993" s="198" t="s">
        <v>2272</v>
      </c>
      <c r="S993" s="198" t="s">
        <v>2272</v>
      </c>
      <c r="T993" s="198" t="s">
        <v>2272</v>
      </c>
      <c r="U993" s="198" t="s">
        <v>2272</v>
      </c>
      <c r="V993" s="198" t="s">
        <v>2272</v>
      </c>
      <c r="W993" s="198" t="s">
        <v>2272</v>
      </c>
      <c r="X993" s="198" t="s">
        <v>2272</v>
      </c>
      <c r="Y993" s="198" t="s">
        <v>2272</v>
      </c>
      <c r="Z993" s="198" t="s">
        <v>2272</v>
      </c>
      <c r="AA993" s="198" t="s">
        <v>2272</v>
      </c>
      <c r="AB993" s="198" t="s">
        <v>2272</v>
      </c>
      <c r="AC993" s="198" t="s">
        <v>2272</v>
      </c>
      <c r="AD993" s="198"/>
      <c r="AE993" s="198"/>
    </row>
    <row r="994" spans="1:31" ht="40" customHeight="1">
      <c r="A994" s="198" t="s">
        <v>3124</v>
      </c>
      <c r="B994" s="198" t="s">
        <v>3143</v>
      </c>
      <c r="C994" s="198" t="s">
        <v>23</v>
      </c>
      <c r="D994" s="198" t="s">
        <v>1241</v>
      </c>
      <c r="E994" s="198" t="s">
        <v>114</v>
      </c>
      <c r="F994" s="4" t="s">
        <v>2657</v>
      </c>
      <c r="G994" s="198" t="s">
        <v>2272</v>
      </c>
      <c r="H994" s="198" t="s">
        <v>521</v>
      </c>
      <c r="I994" s="198"/>
      <c r="J994" s="198" t="s">
        <v>2272</v>
      </c>
      <c r="K994" s="198" t="s">
        <v>2272</v>
      </c>
      <c r="L994" s="198" t="s">
        <v>2272</v>
      </c>
      <c r="M994" s="198" t="s">
        <v>2272</v>
      </c>
      <c r="N994" s="198" t="s">
        <v>2272</v>
      </c>
      <c r="O994" s="198" t="s">
        <v>2272</v>
      </c>
      <c r="P994" s="198" t="s">
        <v>2272</v>
      </c>
      <c r="Q994" s="198" t="s">
        <v>2272</v>
      </c>
      <c r="R994" s="198" t="s">
        <v>2272</v>
      </c>
      <c r="S994" s="198" t="s">
        <v>2272</v>
      </c>
      <c r="T994" s="198" t="s">
        <v>2272</v>
      </c>
      <c r="U994" s="198" t="s">
        <v>2272</v>
      </c>
      <c r="V994" s="198" t="s">
        <v>2272</v>
      </c>
      <c r="W994" s="198" t="s">
        <v>2272</v>
      </c>
      <c r="X994" s="198" t="s">
        <v>2272</v>
      </c>
      <c r="Y994" s="198" t="s">
        <v>2272</v>
      </c>
      <c r="Z994" s="198" t="s">
        <v>2272</v>
      </c>
      <c r="AA994" s="198" t="s">
        <v>2272</v>
      </c>
      <c r="AB994" s="198" t="s">
        <v>2272</v>
      </c>
      <c r="AC994" s="198" t="s">
        <v>2272</v>
      </c>
      <c r="AD994" s="198"/>
      <c r="AE994" s="198"/>
    </row>
    <row r="995" spans="1:31" ht="40" customHeight="1">
      <c r="A995" s="198" t="s">
        <v>3124</v>
      </c>
      <c r="B995" s="198" t="s">
        <v>3144</v>
      </c>
      <c r="C995" s="198" t="s">
        <v>23</v>
      </c>
      <c r="D995" s="198" t="s">
        <v>2301</v>
      </c>
      <c r="E995" s="198" t="s">
        <v>114</v>
      </c>
      <c r="F995" s="4" t="s">
        <v>2272</v>
      </c>
      <c r="G995" s="198" t="s">
        <v>2272</v>
      </c>
      <c r="H995" s="198" t="s">
        <v>521</v>
      </c>
      <c r="I995" s="198"/>
      <c r="J995" s="198" t="s">
        <v>2272</v>
      </c>
      <c r="K995" s="198" t="s">
        <v>2272</v>
      </c>
      <c r="L995" s="198" t="s">
        <v>2272</v>
      </c>
      <c r="M995" s="198" t="s">
        <v>2272</v>
      </c>
      <c r="N995" s="198" t="s">
        <v>2272</v>
      </c>
      <c r="O995" s="198" t="s">
        <v>2272</v>
      </c>
      <c r="P995" s="198" t="s">
        <v>2272</v>
      </c>
      <c r="Q995" s="198" t="s">
        <v>2272</v>
      </c>
      <c r="R995" s="198" t="s">
        <v>2272</v>
      </c>
      <c r="S995" s="198" t="s">
        <v>2272</v>
      </c>
      <c r="T995" s="198" t="s">
        <v>2272</v>
      </c>
      <c r="U995" s="198" t="s">
        <v>2272</v>
      </c>
      <c r="V995" s="198" t="s">
        <v>2272</v>
      </c>
      <c r="W995" s="198" t="s">
        <v>2272</v>
      </c>
      <c r="X995" s="198" t="s">
        <v>2272</v>
      </c>
      <c r="Y995" s="198" t="s">
        <v>2272</v>
      </c>
      <c r="Z995" s="198" t="s">
        <v>2272</v>
      </c>
      <c r="AA995" s="198" t="s">
        <v>2272</v>
      </c>
      <c r="AB995" s="198" t="s">
        <v>2272</v>
      </c>
      <c r="AC995" s="198" t="s">
        <v>2272</v>
      </c>
      <c r="AD995" s="4" t="s">
        <v>3154</v>
      </c>
      <c r="AE995" s="198"/>
    </row>
    <row r="996" spans="1:31" ht="40" customHeight="1">
      <c r="A996" s="198" t="s">
        <v>3124</v>
      </c>
      <c r="B996" s="198" t="s">
        <v>3145</v>
      </c>
      <c r="C996" s="198" t="s">
        <v>23</v>
      </c>
      <c r="D996" s="198" t="s">
        <v>25</v>
      </c>
      <c r="E996" s="198" t="s">
        <v>114</v>
      </c>
      <c r="F996" s="4" t="s">
        <v>2272</v>
      </c>
      <c r="G996" s="198" t="s">
        <v>2272</v>
      </c>
      <c r="H996" s="198" t="s">
        <v>521</v>
      </c>
      <c r="I996" s="198"/>
      <c r="J996" s="198" t="s">
        <v>2272</v>
      </c>
      <c r="K996" s="198" t="s">
        <v>2272</v>
      </c>
      <c r="L996" s="198" t="s">
        <v>2272</v>
      </c>
      <c r="M996" s="198" t="s">
        <v>2272</v>
      </c>
      <c r="N996" s="198" t="s">
        <v>2272</v>
      </c>
      <c r="O996" s="198" t="s">
        <v>2272</v>
      </c>
      <c r="P996" s="198" t="s">
        <v>2272</v>
      </c>
      <c r="Q996" s="198" t="s">
        <v>2272</v>
      </c>
      <c r="R996" s="198" t="s">
        <v>2272</v>
      </c>
      <c r="S996" s="198" t="s">
        <v>2272</v>
      </c>
      <c r="T996" s="198" t="s">
        <v>2272</v>
      </c>
      <c r="U996" s="198" t="s">
        <v>2272</v>
      </c>
      <c r="V996" s="198" t="s">
        <v>2272</v>
      </c>
      <c r="W996" s="198" t="s">
        <v>2272</v>
      </c>
      <c r="X996" s="198" t="s">
        <v>2272</v>
      </c>
      <c r="Y996" s="198" t="s">
        <v>2272</v>
      </c>
      <c r="Z996" s="198" t="s">
        <v>2272</v>
      </c>
      <c r="AA996" s="198" t="s">
        <v>2272</v>
      </c>
      <c r="AB996" s="198" t="s">
        <v>2272</v>
      </c>
      <c r="AC996" s="198" t="s">
        <v>2272</v>
      </c>
      <c r="AD996" s="198"/>
      <c r="AE996" s="198"/>
    </row>
    <row r="997" spans="1:31" ht="40" customHeight="1">
      <c r="A997" s="198" t="s">
        <v>3124</v>
      </c>
      <c r="B997" s="198" t="s">
        <v>3146</v>
      </c>
      <c r="C997" s="198" t="s">
        <v>23</v>
      </c>
      <c r="D997" s="198" t="s">
        <v>2337</v>
      </c>
      <c r="E997" s="198" t="s">
        <v>114</v>
      </c>
      <c r="F997" s="4" t="s">
        <v>2272</v>
      </c>
      <c r="G997" s="198" t="s">
        <v>2272</v>
      </c>
      <c r="H997" s="198" t="s">
        <v>521</v>
      </c>
      <c r="I997" s="198"/>
      <c r="J997" s="198" t="s">
        <v>2272</v>
      </c>
      <c r="K997" s="198" t="s">
        <v>2272</v>
      </c>
      <c r="L997" s="198" t="s">
        <v>2272</v>
      </c>
      <c r="M997" s="198" t="s">
        <v>2272</v>
      </c>
      <c r="N997" s="198" t="s">
        <v>2272</v>
      </c>
      <c r="O997" s="198" t="s">
        <v>2272</v>
      </c>
      <c r="P997" s="198" t="s">
        <v>2272</v>
      </c>
      <c r="Q997" s="198" t="s">
        <v>2272</v>
      </c>
      <c r="R997" s="198" t="s">
        <v>2272</v>
      </c>
      <c r="S997" s="198" t="s">
        <v>2272</v>
      </c>
      <c r="T997" s="198" t="s">
        <v>2272</v>
      </c>
      <c r="U997" s="198" t="s">
        <v>2272</v>
      </c>
      <c r="V997" s="198" t="s">
        <v>2272</v>
      </c>
      <c r="W997" s="198" t="s">
        <v>2272</v>
      </c>
      <c r="X997" s="198" t="s">
        <v>2272</v>
      </c>
      <c r="Y997" s="198" t="s">
        <v>2272</v>
      </c>
      <c r="Z997" s="198" t="s">
        <v>2272</v>
      </c>
      <c r="AA997" s="198" t="s">
        <v>2272</v>
      </c>
      <c r="AB997" s="198" t="s">
        <v>2272</v>
      </c>
      <c r="AC997" s="198" t="s">
        <v>2272</v>
      </c>
      <c r="AD997" s="198"/>
      <c r="AE997" s="198"/>
    </row>
    <row r="998" spans="1:31" ht="40" customHeight="1">
      <c r="A998" s="198" t="s">
        <v>3124</v>
      </c>
      <c r="B998" s="198" t="s">
        <v>3147</v>
      </c>
      <c r="C998" s="198" t="s">
        <v>23</v>
      </c>
      <c r="D998" s="198" t="s">
        <v>404</v>
      </c>
      <c r="E998" s="198" t="s">
        <v>114</v>
      </c>
      <c r="F998" s="4" t="s">
        <v>2272</v>
      </c>
      <c r="G998" s="198" t="s">
        <v>2272</v>
      </c>
      <c r="H998" s="198" t="s">
        <v>521</v>
      </c>
      <c r="I998" s="198"/>
      <c r="J998" s="198" t="s">
        <v>2272</v>
      </c>
      <c r="K998" s="198" t="s">
        <v>2272</v>
      </c>
      <c r="L998" s="198" t="s">
        <v>2272</v>
      </c>
      <c r="M998" s="198" t="s">
        <v>2272</v>
      </c>
      <c r="N998" s="198" t="s">
        <v>2272</v>
      </c>
      <c r="O998" s="198" t="s">
        <v>2272</v>
      </c>
      <c r="P998" s="198" t="s">
        <v>2272</v>
      </c>
      <c r="Q998" s="198" t="s">
        <v>2272</v>
      </c>
      <c r="R998" s="198" t="s">
        <v>2272</v>
      </c>
      <c r="S998" s="198" t="s">
        <v>2272</v>
      </c>
      <c r="T998" s="198" t="s">
        <v>2272</v>
      </c>
      <c r="U998" s="198" t="s">
        <v>2272</v>
      </c>
      <c r="V998" s="198" t="s">
        <v>2272</v>
      </c>
      <c r="W998" s="198" t="s">
        <v>2272</v>
      </c>
      <c r="X998" s="198" t="s">
        <v>2272</v>
      </c>
      <c r="Y998" s="198" t="s">
        <v>2272</v>
      </c>
      <c r="Z998" s="198" t="s">
        <v>2272</v>
      </c>
      <c r="AA998" s="198" t="s">
        <v>2272</v>
      </c>
      <c r="AB998" s="198" t="s">
        <v>2272</v>
      </c>
      <c r="AC998" s="198" t="s">
        <v>2272</v>
      </c>
      <c r="AD998" s="198"/>
      <c r="AE998" s="198"/>
    </row>
    <row r="999" spans="1:31" ht="40" customHeight="1">
      <c r="A999" s="198" t="s">
        <v>3124</v>
      </c>
      <c r="B999" s="198" t="s">
        <v>3148</v>
      </c>
      <c r="C999" s="198" t="s">
        <v>23</v>
      </c>
      <c r="D999" s="198" t="s">
        <v>2989</v>
      </c>
      <c r="E999" s="198" t="s">
        <v>114</v>
      </c>
      <c r="F999" s="4" t="s">
        <v>2272</v>
      </c>
      <c r="G999" s="198" t="s">
        <v>2272</v>
      </c>
      <c r="H999" s="198" t="s">
        <v>521</v>
      </c>
      <c r="I999" s="198"/>
      <c r="J999" s="198" t="s">
        <v>2272</v>
      </c>
      <c r="K999" s="198" t="s">
        <v>2272</v>
      </c>
      <c r="L999" s="198" t="s">
        <v>2272</v>
      </c>
      <c r="M999" s="198" t="s">
        <v>2272</v>
      </c>
      <c r="N999" s="198" t="s">
        <v>2272</v>
      </c>
      <c r="O999" s="198" t="s">
        <v>2272</v>
      </c>
      <c r="P999" s="198" t="s">
        <v>2272</v>
      </c>
      <c r="Q999" s="198" t="s">
        <v>2272</v>
      </c>
      <c r="R999" s="198" t="s">
        <v>2272</v>
      </c>
      <c r="S999" s="198" t="s">
        <v>2272</v>
      </c>
      <c r="T999" s="198" t="s">
        <v>2272</v>
      </c>
      <c r="U999" s="198" t="s">
        <v>2272</v>
      </c>
      <c r="V999" s="198" t="s">
        <v>2272</v>
      </c>
      <c r="W999" s="198" t="s">
        <v>2272</v>
      </c>
      <c r="X999" s="198" t="s">
        <v>2272</v>
      </c>
      <c r="Y999" s="198" t="s">
        <v>2272</v>
      </c>
      <c r="Z999" s="198" t="s">
        <v>2272</v>
      </c>
      <c r="AA999" s="198" t="s">
        <v>2272</v>
      </c>
      <c r="AB999" s="198" t="s">
        <v>2272</v>
      </c>
      <c r="AC999" s="198" t="s">
        <v>2272</v>
      </c>
      <c r="AD999" s="198"/>
      <c r="AE999" s="198"/>
    </row>
    <row r="1000" spans="1:31" ht="40" customHeight="1">
      <c r="A1000" s="198" t="s">
        <v>3124</v>
      </c>
      <c r="B1000" s="198" t="s">
        <v>3149</v>
      </c>
      <c r="C1000" s="198" t="s">
        <v>23</v>
      </c>
      <c r="D1000" s="198" t="s">
        <v>25</v>
      </c>
      <c r="E1000" s="198" t="s">
        <v>128</v>
      </c>
      <c r="F1000" s="4" t="s">
        <v>2272</v>
      </c>
      <c r="G1000" s="198" t="s">
        <v>2272</v>
      </c>
      <c r="H1000" s="198" t="s">
        <v>521</v>
      </c>
      <c r="I1000" s="198"/>
      <c r="J1000" s="198" t="s">
        <v>2272</v>
      </c>
      <c r="K1000" s="198" t="s">
        <v>2272</v>
      </c>
      <c r="L1000" s="198" t="s">
        <v>2272</v>
      </c>
      <c r="M1000" s="198" t="s">
        <v>2272</v>
      </c>
      <c r="N1000" s="198" t="s">
        <v>2272</v>
      </c>
      <c r="O1000" s="198" t="s">
        <v>2272</v>
      </c>
      <c r="P1000" s="198" t="s">
        <v>2272</v>
      </c>
      <c r="Q1000" s="198" t="s">
        <v>2272</v>
      </c>
      <c r="R1000" s="198" t="s">
        <v>2272</v>
      </c>
      <c r="S1000" s="198" t="s">
        <v>2272</v>
      </c>
      <c r="T1000" s="198" t="s">
        <v>2272</v>
      </c>
      <c r="U1000" s="198" t="s">
        <v>2272</v>
      </c>
      <c r="V1000" s="198" t="s">
        <v>2272</v>
      </c>
      <c r="W1000" s="198" t="s">
        <v>2272</v>
      </c>
      <c r="X1000" s="198" t="s">
        <v>2272</v>
      </c>
      <c r="Y1000" s="198" t="s">
        <v>2272</v>
      </c>
      <c r="Z1000" s="198" t="s">
        <v>2272</v>
      </c>
      <c r="AA1000" s="198" t="s">
        <v>2272</v>
      </c>
      <c r="AB1000" s="198" t="s">
        <v>2272</v>
      </c>
      <c r="AC1000" s="198" t="s">
        <v>2272</v>
      </c>
      <c r="AD1000" s="198"/>
      <c r="AE1000" s="198"/>
    </row>
    <row r="1001" spans="1:31" ht="40" customHeight="1">
      <c r="A1001" s="198" t="s">
        <v>3124</v>
      </c>
      <c r="B1001" s="198" t="s">
        <v>3150</v>
      </c>
      <c r="C1001" s="198" t="s">
        <v>23</v>
      </c>
      <c r="D1001" s="198" t="s">
        <v>2337</v>
      </c>
      <c r="E1001" s="198" t="s">
        <v>128</v>
      </c>
      <c r="F1001" s="4" t="s">
        <v>2272</v>
      </c>
      <c r="G1001" s="198" t="s">
        <v>2272</v>
      </c>
      <c r="H1001" s="198" t="s">
        <v>521</v>
      </c>
      <c r="I1001" s="198"/>
      <c r="J1001" s="198" t="s">
        <v>2272</v>
      </c>
      <c r="K1001" s="198" t="s">
        <v>2272</v>
      </c>
      <c r="L1001" s="198" t="s">
        <v>2272</v>
      </c>
      <c r="M1001" s="198" t="s">
        <v>2272</v>
      </c>
      <c r="N1001" s="198" t="s">
        <v>2272</v>
      </c>
      <c r="O1001" s="198" t="s">
        <v>2272</v>
      </c>
      <c r="P1001" s="198" t="s">
        <v>2272</v>
      </c>
      <c r="Q1001" s="198" t="s">
        <v>2272</v>
      </c>
      <c r="R1001" s="198" t="s">
        <v>2272</v>
      </c>
      <c r="S1001" s="198" t="s">
        <v>2272</v>
      </c>
      <c r="T1001" s="198" t="s">
        <v>2272</v>
      </c>
      <c r="U1001" s="198" t="s">
        <v>2272</v>
      </c>
      <c r="V1001" s="198" t="s">
        <v>2272</v>
      </c>
      <c r="W1001" s="198" t="s">
        <v>2272</v>
      </c>
      <c r="X1001" s="198" t="s">
        <v>2272</v>
      </c>
      <c r="Y1001" s="198" t="s">
        <v>2272</v>
      </c>
      <c r="Z1001" s="198" t="s">
        <v>2272</v>
      </c>
      <c r="AA1001" s="198" t="s">
        <v>2272</v>
      </c>
      <c r="AB1001" s="198" t="s">
        <v>2272</v>
      </c>
      <c r="AC1001" s="198" t="s">
        <v>2272</v>
      </c>
      <c r="AD1001" s="198"/>
      <c r="AE1001" s="198"/>
    </row>
    <row r="1002" spans="1:31" ht="40" customHeight="1">
      <c r="A1002" s="198" t="s">
        <v>3124</v>
      </c>
      <c r="B1002" s="198" t="s">
        <v>3151</v>
      </c>
      <c r="C1002" s="198" t="s">
        <v>23</v>
      </c>
      <c r="D1002" s="198" t="s">
        <v>404</v>
      </c>
      <c r="E1002" s="198" t="s">
        <v>128</v>
      </c>
      <c r="F1002" s="4" t="s">
        <v>2272</v>
      </c>
      <c r="G1002" s="198" t="s">
        <v>2272</v>
      </c>
      <c r="H1002" s="198" t="s">
        <v>521</v>
      </c>
      <c r="I1002" s="198"/>
      <c r="J1002" s="198" t="s">
        <v>2272</v>
      </c>
      <c r="K1002" s="198" t="s">
        <v>2272</v>
      </c>
      <c r="L1002" s="198" t="s">
        <v>2272</v>
      </c>
      <c r="M1002" s="198" t="s">
        <v>2272</v>
      </c>
      <c r="N1002" s="198" t="s">
        <v>2272</v>
      </c>
      <c r="O1002" s="198" t="s">
        <v>2272</v>
      </c>
      <c r="P1002" s="198" t="s">
        <v>2272</v>
      </c>
      <c r="Q1002" s="198" t="s">
        <v>2272</v>
      </c>
      <c r="R1002" s="198" t="s">
        <v>2272</v>
      </c>
      <c r="S1002" s="198" t="s">
        <v>2272</v>
      </c>
      <c r="T1002" s="198" t="s">
        <v>2272</v>
      </c>
      <c r="U1002" s="198" t="s">
        <v>2272</v>
      </c>
      <c r="V1002" s="198" t="s">
        <v>2272</v>
      </c>
      <c r="W1002" s="198" t="s">
        <v>2272</v>
      </c>
      <c r="X1002" s="198" t="s">
        <v>2272</v>
      </c>
      <c r="Y1002" s="198" t="s">
        <v>2272</v>
      </c>
      <c r="Z1002" s="198" t="s">
        <v>2272</v>
      </c>
      <c r="AA1002" s="198" t="s">
        <v>2272</v>
      </c>
      <c r="AB1002" s="198" t="s">
        <v>2272</v>
      </c>
      <c r="AC1002" s="198" t="s">
        <v>2272</v>
      </c>
      <c r="AD1002" s="198"/>
      <c r="AE1002" s="198"/>
    </row>
    <row r="1003" spans="1:31" ht="40" customHeight="1">
      <c r="A1003" s="35" t="s">
        <v>3124</v>
      </c>
      <c r="B1003" s="35" t="s">
        <v>3152</v>
      </c>
      <c r="C1003" s="35" t="s">
        <v>23</v>
      </c>
      <c r="D1003" s="35" t="s">
        <v>2989</v>
      </c>
      <c r="E1003" s="35" t="s">
        <v>128</v>
      </c>
      <c r="F1003" s="163" t="s">
        <v>2272</v>
      </c>
      <c r="G1003" s="198" t="s">
        <v>2272</v>
      </c>
      <c r="H1003" s="35" t="s">
        <v>521</v>
      </c>
      <c r="I1003" s="198"/>
      <c r="J1003" s="198" t="s">
        <v>2272</v>
      </c>
      <c r="K1003" s="198" t="s">
        <v>2272</v>
      </c>
      <c r="L1003" s="198" t="s">
        <v>2272</v>
      </c>
      <c r="M1003" s="198" t="s">
        <v>2272</v>
      </c>
      <c r="N1003" s="198" t="s">
        <v>2272</v>
      </c>
      <c r="O1003" s="198" t="s">
        <v>2272</v>
      </c>
      <c r="P1003" s="198" t="s">
        <v>2272</v>
      </c>
      <c r="Q1003" s="198" t="s">
        <v>2272</v>
      </c>
      <c r="R1003" s="198" t="s">
        <v>2272</v>
      </c>
      <c r="S1003" s="198" t="s">
        <v>2272</v>
      </c>
      <c r="T1003" s="198" t="s">
        <v>2272</v>
      </c>
      <c r="U1003" s="198" t="s">
        <v>2272</v>
      </c>
      <c r="V1003" s="198" t="s">
        <v>2272</v>
      </c>
      <c r="W1003" s="198" t="s">
        <v>2272</v>
      </c>
      <c r="X1003" s="198" t="s">
        <v>2272</v>
      </c>
      <c r="Y1003" s="198" t="s">
        <v>2272</v>
      </c>
      <c r="Z1003" s="198" t="s">
        <v>2272</v>
      </c>
      <c r="AA1003" s="198" t="s">
        <v>2272</v>
      </c>
      <c r="AB1003" s="198" t="s">
        <v>2272</v>
      </c>
      <c r="AC1003" s="198" t="s">
        <v>2272</v>
      </c>
      <c r="AD1003" s="198"/>
      <c r="AE1003" s="198"/>
    </row>
    <row r="1004" spans="1:31" ht="40" customHeight="1">
      <c r="A1004" s="198" t="s">
        <v>3124</v>
      </c>
      <c r="B1004" s="198" t="s">
        <v>3153</v>
      </c>
      <c r="C1004" s="198" t="s">
        <v>30</v>
      </c>
      <c r="D1004" s="198" t="s">
        <v>2272</v>
      </c>
      <c r="E1004" s="198" t="s">
        <v>2647</v>
      </c>
      <c r="F1004" s="4" t="s">
        <v>2272</v>
      </c>
      <c r="G1004" s="198" t="s">
        <v>2272</v>
      </c>
      <c r="H1004" s="198" t="s">
        <v>521</v>
      </c>
      <c r="I1004" s="198"/>
      <c r="J1004" s="198" t="s">
        <v>2272</v>
      </c>
      <c r="K1004" s="198" t="s">
        <v>2272</v>
      </c>
      <c r="L1004" s="198" t="s">
        <v>2272</v>
      </c>
      <c r="M1004" s="198" t="s">
        <v>2272</v>
      </c>
      <c r="N1004" s="198" t="s">
        <v>2272</v>
      </c>
      <c r="O1004" s="198" t="s">
        <v>2272</v>
      </c>
      <c r="P1004" s="198" t="s">
        <v>2272</v>
      </c>
      <c r="Q1004" s="198" t="s">
        <v>2272</v>
      </c>
      <c r="R1004" s="198" t="s">
        <v>2272</v>
      </c>
      <c r="S1004" s="198" t="s">
        <v>2272</v>
      </c>
      <c r="T1004" s="198" t="s">
        <v>2272</v>
      </c>
      <c r="U1004" s="198" t="s">
        <v>2272</v>
      </c>
      <c r="V1004" s="198" t="s">
        <v>2272</v>
      </c>
      <c r="W1004" s="198" t="s">
        <v>2272</v>
      </c>
      <c r="X1004" s="198" t="s">
        <v>2272</v>
      </c>
      <c r="Y1004" s="198" t="s">
        <v>2272</v>
      </c>
      <c r="Z1004" s="198" t="s">
        <v>2272</v>
      </c>
      <c r="AA1004" s="198" t="s">
        <v>2272</v>
      </c>
      <c r="AB1004" s="198" t="s">
        <v>2272</v>
      </c>
      <c r="AC1004" s="198" t="s">
        <v>2272</v>
      </c>
      <c r="AD1004" s="198"/>
      <c r="AE1004" s="198"/>
    </row>
    <row r="1005" spans="1:31" ht="40" customHeight="1">
      <c r="A1005" s="198" t="s">
        <v>3124</v>
      </c>
      <c r="B1005" s="198" t="s">
        <v>3155</v>
      </c>
      <c r="C1005" s="198" t="s">
        <v>23</v>
      </c>
      <c r="D1005" s="198" t="s">
        <v>1238</v>
      </c>
      <c r="E1005" s="198" t="s">
        <v>114</v>
      </c>
      <c r="F1005" s="4" t="s">
        <v>2657</v>
      </c>
      <c r="G1005" s="198" t="s">
        <v>2272</v>
      </c>
      <c r="H1005" s="198" t="s">
        <v>521</v>
      </c>
      <c r="I1005" s="198"/>
      <c r="J1005" s="198" t="s">
        <v>2272</v>
      </c>
      <c r="K1005" s="198" t="s">
        <v>2272</v>
      </c>
      <c r="L1005" s="198" t="s">
        <v>2272</v>
      </c>
      <c r="M1005" s="198" t="s">
        <v>2272</v>
      </c>
      <c r="N1005" s="198" t="s">
        <v>2272</v>
      </c>
      <c r="O1005" s="198" t="s">
        <v>2272</v>
      </c>
      <c r="P1005" s="198" t="s">
        <v>2272</v>
      </c>
      <c r="Q1005" s="198" t="s">
        <v>2272</v>
      </c>
      <c r="R1005" s="198" t="s">
        <v>2272</v>
      </c>
      <c r="S1005" s="198" t="s">
        <v>2272</v>
      </c>
      <c r="T1005" s="198" t="s">
        <v>2272</v>
      </c>
      <c r="U1005" s="198" t="s">
        <v>2272</v>
      </c>
      <c r="V1005" s="198" t="s">
        <v>2272</v>
      </c>
      <c r="W1005" s="198" t="s">
        <v>2272</v>
      </c>
      <c r="X1005" s="198" t="s">
        <v>2272</v>
      </c>
      <c r="Y1005" s="198" t="s">
        <v>2272</v>
      </c>
      <c r="Z1005" s="198" t="s">
        <v>2272</v>
      </c>
      <c r="AA1005" s="198" t="s">
        <v>2272</v>
      </c>
      <c r="AB1005" s="198" t="s">
        <v>2272</v>
      </c>
      <c r="AC1005" s="198" t="s">
        <v>2272</v>
      </c>
      <c r="AD1005" s="198"/>
      <c r="AE1005" s="198"/>
    </row>
    <row r="1006" spans="1:31" ht="40" customHeight="1">
      <c r="A1006" s="198" t="s">
        <v>3124</v>
      </c>
      <c r="B1006" s="198" t="s">
        <v>3156</v>
      </c>
      <c r="C1006" s="198" t="s">
        <v>23</v>
      </c>
      <c r="D1006" s="198" t="s">
        <v>1238</v>
      </c>
      <c r="E1006" s="198" t="s">
        <v>128</v>
      </c>
      <c r="F1006" s="4" t="s">
        <v>2657</v>
      </c>
      <c r="G1006" s="198" t="s">
        <v>2272</v>
      </c>
      <c r="H1006" s="198" t="s">
        <v>521</v>
      </c>
      <c r="I1006" s="198"/>
      <c r="J1006" s="198" t="s">
        <v>2272</v>
      </c>
      <c r="K1006" s="198" t="s">
        <v>2272</v>
      </c>
      <c r="L1006" s="198" t="s">
        <v>2272</v>
      </c>
      <c r="M1006" s="198" t="s">
        <v>2272</v>
      </c>
      <c r="N1006" s="198" t="s">
        <v>2272</v>
      </c>
      <c r="O1006" s="198" t="s">
        <v>2272</v>
      </c>
      <c r="P1006" s="198" t="s">
        <v>2272</v>
      </c>
      <c r="Q1006" s="198" t="s">
        <v>2272</v>
      </c>
      <c r="R1006" s="198" t="s">
        <v>2272</v>
      </c>
      <c r="S1006" s="198" t="s">
        <v>2272</v>
      </c>
      <c r="T1006" s="198" t="s">
        <v>2272</v>
      </c>
      <c r="U1006" s="198" t="s">
        <v>2272</v>
      </c>
      <c r="V1006" s="198" t="s">
        <v>2272</v>
      </c>
      <c r="W1006" s="198" t="s">
        <v>2272</v>
      </c>
      <c r="X1006" s="198" t="s">
        <v>2272</v>
      </c>
      <c r="Y1006" s="198" t="s">
        <v>2272</v>
      </c>
      <c r="Z1006" s="198" t="s">
        <v>2272</v>
      </c>
      <c r="AA1006" s="198" t="s">
        <v>2272</v>
      </c>
      <c r="AB1006" s="198" t="s">
        <v>2272</v>
      </c>
      <c r="AC1006" s="198" t="s">
        <v>2272</v>
      </c>
      <c r="AD1006" s="198"/>
      <c r="AE1006" s="198"/>
    </row>
    <row r="1007" spans="1:31" ht="40" customHeight="1">
      <c r="A1007" s="198" t="s">
        <v>3124</v>
      </c>
      <c r="B1007" s="198" t="s">
        <v>3157</v>
      </c>
      <c r="C1007" s="198" t="s">
        <v>23</v>
      </c>
      <c r="D1007" s="198" t="s">
        <v>24</v>
      </c>
      <c r="E1007" s="198" t="s">
        <v>128</v>
      </c>
      <c r="F1007" s="4" t="s">
        <v>2657</v>
      </c>
      <c r="G1007" s="198" t="s">
        <v>2272</v>
      </c>
      <c r="H1007" s="198" t="s">
        <v>521</v>
      </c>
      <c r="I1007" s="198"/>
      <c r="J1007" s="198" t="s">
        <v>2272</v>
      </c>
      <c r="K1007" s="198" t="s">
        <v>2272</v>
      </c>
      <c r="L1007" s="198" t="s">
        <v>2272</v>
      </c>
      <c r="M1007" s="198" t="s">
        <v>2272</v>
      </c>
      <c r="N1007" s="198" t="s">
        <v>2272</v>
      </c>
      <c r="O1007" s="198" t="s">
        <v>2272</v>
      </c>
      <c r="P1007" s="198" t="s">
        <v>2272</v>
      </c>
      <c r="Q1007" s="198" t="s">
        <v>2272</v>
      </c>
      <c r="R1007" s="198" t="s">
        <v>2272</v>
      </c>
      <c r="S1007" s="198" t="s">
        <v>2272</v>
      </c>
      <c r="T1007" s="198" t="s">
        <v>2272</v>
      </c>
      <c r="U1007" s="198" t="s">
        <v>2272</v>
      </c>
      <c r="V1007" s="198" t="s">
        <v>2272</v>
      </c>
      <c r="W1007" s="198" t="s">
        <v>2272</v>
      </c>
      <c r="X1007" s="198" t="s">
        <v>2272</v>
      </c>
      <c r="Y1007" s="198" t="s">
        <v>2272</v>
      </c>
      <c r="Z1007" s="198" t="s">
        <v>2272</v>
      </c>
      <c r="AA1007" s="198" t="s">
        <v>2272</v>
      </c>
      <c r="AB1007" s="198" t="s">
        <v>2272</v>
      </c>
      <c r="AC1007" s="198" t="s">
        <v>2272</v>
      </c>
      <c r="AD1007" s="4" t="s">
        <v>3158</v>
      </c>
      <c r="AE1007" s="198"/>
    </row>
    <row r="1008" spans="1:31" ht="40" customHeight="1">
      <c r="A1008" s="198" t="s">
        <v>3125</v>
      </c>
      <c r="B1008" s="198" t="s">
        <v>3134</v>
      </c>
      <c r="C1008" s="198" t="s">
        <v>23</v>
      </c>
      <c r="D1008" s="198" t="s">
        <v>26</v>
      </c>
      <c r="E1008" s="198" t="s">
        <v>128</v>
      </c>
      <c r="F1008" s="4" t="s">
        <v>159</v>
      </c>
      <c r="G1008" s="198" t="s">
        <v>2272</v>
      </c>
      <c r="H1008" s="198" t="s">
        <v>521</v>
      </c>
      <c r="I1008" s="198"/>
      <c r="J1008" s="198" t="s">
        <v>2272</v>
      </c>
      <c r="K1008" s="198" t="s">
        <v>2272</v>
      </c>
      <c r="L1008" s="198" t="s">
        <v>2272</v>
      </c>
      <c r="M1008" s="198" t="s">
        <v>2272</v>
      </c>
      <c r="N1008" s="198" t="s">
        <v>2272</v>
      </c>
      <c r="O1008" s="198" t="s">
        <v>2272</v>
      </c>
      <c r="P1008" s="198" t="s">
        <v>2272</v>
      </c>
      <c r="Q1008" s="198" t="s">
        <v>2272</v>
      </c>
      <c r="R1008" s="198" t="s">
        <v>2272</v>
      </c>
      <c r="S1008" s="198" t="s">
        <v>2272</v>
      </c>
      <c r="T1008" s="198" t="s">
        <v>2272</v>
      </c>
      <c r="U1008" s="198" t="s">
        <v>2272</v>
      </c>
      <c r="V1008" s="198" t="s">
        <v>2272</v>
      </c>
      <c r="W1008" s="198" t="s">
        <v>2272</v>
      </c>
      <c r="X1008" s="198" t="s">
        <v>2272</v>
      </c>
      <c r="Y1008" s="198" t="s">
        <v>2272</v>
      </c>
      <c r="Z1008" s="198" t="s">
        <v>2272</v>
      </c>
      <c r="AA1008" s="198" t="s">
        <v>2272</v>
      </c>
      <c r="AB1008" s="198" t="s">
        <v>2272</v>
      </c>
      <c r="AC1008" s="198" t="s">
        <v>2272</v>
      </c>
      <c r="AD1008" s="198"/>
      <c r="AE1008" s="198" t="s">
        <v>3141</v>
      </c>
    </row>
    <row r="1009" spans="1:31" ht="40" customHeight="1">
      <c r="A1009" s="198" t="s">
        <v>3125</v>
      </c>
      <c r="B1009" s="198" t="s">
        <v>3159</v>
      </c>
      <c r="C1009" s="198" t="s">
        <v>23</v>
      </c>
      <c r="D1009" s="198" t="s">
        <v>1241</v>
      </c>
      <c r="E1009" s="198" t="s">
        <v>114</v>
      </c>
      <c r="F1009" s="4" t="s">
        <v>73</v>
      </c>
      <c r="G1009" s="198" t="s">
        <v>2272</v>
      </c>
      <c r="H1009" s="198" t="s">
        <v>521</v>
      </c>
      <c r="I1009" s="198"/>
      <c r="J1009" s="198" t="s">
        <v>2272</v>
      </c>
      <c r="K1009" s="198" t="s">
        <v>2272</v>
      </c>
      <c r="L1009" s="198" t="s">
        <v>2272</v>
      </c>
      <c r="M1009" s="198" t="s">
        <v>2272</v>
      </c>
      <c r="N1009" s="198" t="s">
        <v>2272</v>
      </c>
      <c r="O1009" s="198" t="s">
        <v>2272</v>
      </c>
      <c r="P1009" s="198" t="s">
        <v>2272</v>
      </c>
      <c r="Q1009" s="198" t="s">
        <v>2272</v>
      </c>
      <c r="R1009" s="198" t="s">
        <v>2272</v>
      </c>
      <c r="S1009" s="198" t="s">
        <v>2272</v>
      </c>
      <c r="T1009" s="198" t="s">
        <v>2272</v>
      </c>
      <c r="U1009" s="198" t="s">
        <v>2272</v>
      </c>
      <c r="V1009" s="198" t="s">
        <v>2272</v>
      </c>
      <c r="W1009" s="198" t="s">
        <v>2272</v>
      </c>
      <c r="X1009" s="198" t="s">
        <v>2272</v>
      </c>
      <c r="Y1009" s="198" t="s">
        <v>2272</v>
      </c>
      <c r="Z1009" s="198" t="s">
        <v>2272</v>
      </c>
      <c r="AA1009" s="198" t="s">
        <v>2272</v>
      </c>
      <c r="AB1009" s="198" t="s">
        <v>2272</v>
      </c>
      <c r="AC1009" s="198" t="s">
        <v>2272</v>
      </c>
      <c r="AD1009" s="198"/>
      <c r="AE1009" s="198"/>
    </row>
    <row r="1010" spans="1:31" ht="40" customHeight="1">
      <c r="A1010" s="198" t="s">
        <v>3125</v>
      </c>
      <c r="B1010" s="198" t="s">
        <v>3160</v>
      </c>
      <c r="C1010" s="198" t="s">
        <v>23</v>
      </c>
      <c r="D1010" s="198" t="s">
        <v>1241</v>
      </c>
      <c r="E1010" s="198" t="s">
        <v>114</v>
      </c>
      <c r="F1010" s="4" t="s">
        <v>2657</v>
      </c>
      <c r="G1010" s="198" t="s">
        <v>2272</v>
      </c>
      <c r="H1010" s="198" t="s">
        <v>521</v>
      </c>
      <c r="I1010" s="198"/>
      <c r="J1010" s="198" t="s">
        <v>2272</v>
      </c>
      <c r="K1010" s="198" t="s">
        <v>2272</v>
      </c>
      <c r="L1010" s="198" t="s">
        <v>2272</v>
      </c>
      <c r="M1010" s="198" t="s">
        <v>2272</v>
      </c>
      <c r="N1010" s="198" t="s">
        <v>2272</v>
      </c>
      <c r="O1010" s="198" t="s">
        <v>2272</v>
      </c>
      <c r="P1010" s="198" t="s">
        <v>2272</v>
      </c>
      <c r="Q1010" s="198" t="s">
        <v>2272</v>
      </c>
      <c r="R1010" s="198" t="s">
        <v>2272</v>
      </c>
      <c r="S1010" s="198" t="s">
        <v>2272</v>
      </c>
      <c r="T1010" s="198" t="s">
        <v>2272</v>
      </c>
      <c r="U1010" s="198" t="s">
        <v>2272</v>
      </c>
      <c r="V1010" s="198" t="s">
        <v>2272</v>
      </c>
      <c r="W1010" s="198" t="s">
        <v>2272</v>
      </c>
      <c r="X1010" s="198" t="s">
        <v>2272</v>
      </c>
      <c r="Y1010" s="198" t="s">
        <v>2272</v>
      </c>
      <c r="Z1010" s="198" t="s">
        <v>2272</v>
      </c>
      <c r="AA1010" s="198" t="s">
        <v>2272</v>
      </c>
      <c r="AB1010" s="198" t="s">
        <v>2272</v>
      </c>
      <c r="AC1010" s="198" t="s">
        <v>2272</v>
      </c>
      <c r="AD1010" s="198"/>
      <c r="AE1010" s="198"/>
    </row>
    <row r="1011" spans="1:31" ht="40" customHeight="1">
      <c r="A1011" s="198" t="s">
        <v>3125</v>
      </c>
      <c r="B1011" s="198" t="s">
        <v>3161</v>
      </c>
      <c r="C1011" s="198" t="s">
        <v>23</v>
      </c>
      <c r="D1011" s="198" t="s">
        <v>2301</v>
      </c>
      <c r="E1011" s="198" t="s">
        <v>114</v>
      </c>
      <c r="F1011" s="4" t="s">
        <v>2272</v>
      </c>
      <c r="G1011" s="198" t="s">
        <v>2272</v>
      </c>
      <c r="H1011" s="198" t="s">
        <v>521</v>
      </c>
      <c r="I1011" s="198"/>
      <c r="J1011" s="198" t="s">
        <v>2272</v>
      </c>
      <c r="K1011" s="198" t="s">
        <v>2272</v>
      </c>
      <c r="L1011" s="198" t="s">
        <v>2272</v>
      </c>
      <c r="M1011" s="198" t="s">
        <v>2272</v>
      </c>
      <c r="N1011" s="198" t="s">
        <v>2272</v>
      </c>
      <c r="O1011" s="198" t="s">
        <v>2272</v>
      </c>
      <c r="P1011" s="198" t="s">
        <v>2272</v>
      </c>
      <c r="Q1011" s="198" t="s">
        <v>2272</v>
      </c>
      <c r="R1011" s="198" t="s">
        <v>2272</v>
      </c>
      <c r="S1011" s="198" t="s">
        <v>2272</v>
      </c>
      <c r="T1011" s="198" t="s">
        <v>2272</v>
      </c>
      <c r="U1011" s="198" t="s">
        <v>2272</v>
      </c>
      <c r="V1011" s="198" t="s">
        <v>2272</v>
      </c>
      <c r="W1011" s="198" t="s">
        <v>2272</v>
      </c>
      <c r="X1011" s="198" t="s">
        <v>2272</v>
      </c>
      <c r="Y1011" s="198" t="s">
        <v>2272</v>
      </c>
      <c r="Z1011" s="198" t="s">
        <v>2272</v>
      </c>
      <c r="AA1011" s="198" t="s">
        <v>2272</v>
      </c>
      <c r="AB1011" s="198" t="s">
        <v>2272</v>
      </c>
      <c r="AC1011" s="198" t="s">
        <v>2272</v>
      </c>
      <c r="AD1011" s="4" t="s">
        <v>3154</v>
      </c>
      <c r="AE1011" s="198"/>
    </row>
    <row r="1012" spans="1:31" ht="40" customHeight="1">
      <c r="A1012" s="198" t="s">
        <v>3125</v>
      </c>
      <c r="B1012" s="198" t="s">
        <v>3162</v>
      </c>
      <c r="C1012" s="198" t="s">
        <v>23</v>
      </c>
      <c r="D1012" s="198" t="s">
        <v>25</v>
      </c>
      <c r="E1012" s="198" t="s">
        <v>114</v>
      </c>
      <c r="F1012" s="4" t="s">
        <v>2272</v>
      </c>
      <c r="G1012" s="198" t="s">
        <v>2272</v>
      </c>
      <c r="H1012" s="198" t="s">
        <v>521</v>
      </c>
      <c r="I1012" s="198"/>
      <c r="J1012" s="198" t="s">
        <v>2272</v>
      </c>
      <c r="K1012" s="198" t="s">
        <v>2272</v>
      </c>
      <c r="L1012" s="198" t="s">
        <v>2272</v>
      </c>
      <c r="M1012" s="198" t="s">
        <v>2272</v>
      </c>
      <c r="N1012" s="198" t="s">
        <v>2272</v>
      </c>
      <c r="O1012" s="198" t="s">
        <v>2272</v>
      </c>
      <c r="P1012" s="198" t="s">
        <v>2272</v>
      </c>
      <c r="Q1012" s="198" t="s">
        <v>2272</v>
      </c>
      <c r="R1012" s="198" t="s">
        <v>2272</v>
      </c>
      <c r="S1012" s="198" t="s">
        <v>2272</v>
      </c>
      <c r="T1012" s="198" t="s">
        <v>2272</v>
      </c>
      <c r="U1012" s="198" t="s">
        <v>2272</v>
      </c>
      <c r="V1012" s="198" t="s">
        <v>2272</v>
      </c>
      <c r="W1012" s="198" t="s">
        <v>2272</v>
      </c>
      <c r="X1012" s="198" t="s">
        <v>2272</v>
      </c>
      <c r="Y1012" s="198" t="s">
        <v>2272</v>
      </c>
      <c r="Z1012" s="198" t="s">
        <v>2272</v>
      </c>
      <c r="AA1012" s="198" t="s">
        <v>2272</v>
      </c>
      <c r="AB1012" s="198" t="s">
        <v>2272</v>
      </c>
      <c r="AC1012" s="198" t="s">
        <v>2272</v>
      </c>
      <c r="AD1012" s="198"/>
      <c r="AE1012" s="198"/>
    </row>
    <row r="1013" spans="1:31" ht="40" customHeight="1">
      <c r="A1013" s="198" t="s">
        <v>3125</v>
      </c>
      <c r="B1013" s="198" t="s">
        <v>3163</v>
      </c>
      <c r="C1013" s="198" t="s">
        <v>23</v>
      </c>
      <c r="D1013" s="198" t="s">
        <v>2337</v>
      </c>
      <c r="E1013" s="198" t="s">
        <v>114</v>
      </c>
      <c r="F1013" s="4" t="s">
        <v>2272</v>
      </c>
      <c r="G1013" s="198" t="s">
        <v>2272</v>
      </c>
      <c r="H1013" s="198" t="s">
        <v>521</v>
      </c>
      <c r="I1013" s="198"/>
      <c r="J1013" s="198" t="s">
        <v>2272</v>
      </c>
      <c r="K1013" s="198" t="s">
        <v>2272</v>
      </c>
      <c r="L1013" s="198" t="s">
        <v>2272</v>
      </c>
      <c r="M1013" s="198" t="s">
        <v>2272</v>
      </c>
      <c r="N1013" s="198" t="s">
        <v>2272</v>
      </c>
      <c r="O1013" s="198" t="s">
        <v>2272</v>
      </c>
      <c r="P1013" s="198" t="s">
        <v>2272</v>
      </c>
      <c r="Q1013" s="198" t="s">
        <v>2272</v>
      </c>
      <c r="R1013" s="198" t="s">
        <v>2272</v>
      </c>
      <c r="S1013" s="198" t="s">
        <v>2272</v>
      </c>
      <c r="T1013" s="198" t="s">
        <v>2272</v>
      </c>
      <c r="U1013" s="198" t="s">
        <v>2272</v>
      </c>
      <c r="V1013" s="198" t="s">
        <v>2272</v>
      </c>
      <c r="W1013" s="198" t="s">
        <v>2272</v>
      </c>
      <c r="X1013" s="198" t="s">
        <v>2272</v>
      </c>
      <c r="Y1013" s="198" t="s">
        <v>2272</v>
      </c>
      <c r="Z1013" s="198" t="s">
        <v>2272</v>
      </c>
      <c r="AA1013" s="198" t="s">
        <v>2272</v>
      </c>
      <c r="AB1013" s="198" t="s">
        <v>2272</v>
      </c>
      <c r="AC1013" s="198" t="s">
        <v>2272</v>
      </c>
      <c r="AD1013" s="198"/>
      <c r="AE1013" s="198"/>
    </row>
    <row r="1014" spans="1:31" ht="40" customHeight="1">
      <c r="A1014" s="198" t="s">
        <v>3125</v>
      </c>
      <c r="B1014" s="198" t="s">
        <v>3164</v>
      </c>
      <c r="C1014" s="198" t="s">
        <v>23</v>
      </c>
      <c r="D1014" s="198" t="s">
        <v>404</v>
      </c>
      <c r="E1014" s="198" t="s">
        <v>114</v>
      </c>
      <c r="F1014" s="4" t="s">
        <v>2272</v>
      </c>
      <c r="G1014" s="198" t="s">
        <v>2272</v>
      </c>
      <c r="H1014" s="198" t="s">
        <v>521</v>
      </c>
      <c r="I1014" s="198"/>
      <c r="J1014" s="198" t="s">
        <v>2272</v>
      </c>
      <c r="K1014" s="198" t="s">
        <v>2272</v>
      </c>
      <c r="L1014" s="198" t="s">
        <v>2272</v>
      </c>
      <c r="M1014" s="198" t="s">
        <v>2272</v>
      </c>
      <c r="N1014" s="198" t="s">
        <v>2272</v>
      </c>
      <c r="O1014" s="198" t="s">
        <v>2272</v>
      </c>
      <c r="P1014" s="198" t="s">
        <v>2272</v>
      </c>
      <c r="Q1014" s="198" t="s">
        <v>2272</v>
      </c>
      <c r="R1014" s="198" t="s">
        <v>2272</v>
      </c>
      <c r="S1014" s="198" t="s">
        <v>2272</v>
      </c>
      <c r="T1014" s="198" t="s">
        <v>2272</v>
      </c>
      <c r="U1014" s="198" t="s">
        <v>2272</v>
      </c>
      <c r="V1014" s="198" t="s">
        <v>2272</v>
      </c>
      <c r="W1014" s="198" t="s">
        <v>2272</v>
      </c>
      <c r="X1014" s="198" t="s">
        <v>2272</v>
      </c>
      <c r="Y1014" s="198" t="s">
        <v>2272</v>
      </c>
      <c r="Z1014" s="198" t="s">
        <v>2272</v>
      </c>
      <c r="AA1014" s="198" t="s">
        <v>2272</v>
      </c>
      <c r="AB1014" s="198" t="s">
        <v>2272</v>
      </c>
      <c r="AC1014" s="198" t="s">
        <v>2272</v>
      </c>
      <c r="AD1014" s="198"/>
      <c r="AE1014" s="198"/>
    </row>
    <row r="1015" spans="1:31" ht="40" customHeight="1">
      <c r="A1015" s="198" t="s">
        <v>3125</v>
      </c>
      <c r="B1015" s="198" t="s">
        <v>3165</v>
      </c>
      <c r="C1015" s="198" t="s">
        <v>23</v>
      </c>
      <c r="D1015" s="198" t="s">
        <v>2989</v>
      </c>
      <c r="E1015" s="198" t="s">
        <v>114</v>
      </c>
      <c r="F1015" s="4" t="s">
        <v>2272</v>
      </c>
      <c r="G1015" s="198" t="s">
        <v>2272</v>
      </c>
      <c r="H1015" s="198" t="s">
        <v>521</v>
      </c>
      <c r="I1015" s="198"/>
      <c r="J1015" s="198" t="s">
        <v>2272</v>
      </c>
      <c r="K1015" s="198" t="s">
        <v>2272</v>
      </c>
      <c r="L1015" s="198" t="s">
        <v>2272</v>
      </c>
      <c r="M1015" s="198" t="s">
        <v>2272</v>
      </c>
      <c r="N1015" s="198" t="s">
        <v>2272</v>
      </c>
      <c r="O1015" s="198" t="s">
        <v>2272</v>
      </c>
      <c r="P1015" s="198" t="s">
        <v>2272</v>
      </c>
      <c r="Q1015" s="198" t="s">
        <v>2272</v>
      </c>
      <c r="R1015" s="198" t="s">
        <v>2272</v>
      </c>
      <c r="S1015" s="198" t="s">
        <v>2272</v>
      </c>
      <c r="T1015" s="198" t="s">
        <v>2272</v>
      </c>
      <c r="U1015" s="198" t="s">
        <v>2272</v>
      </c>
      <c r="V1015" s="198" t="s">
        <v>2272</v>
      </c>
      <c r="W1015" s="198" t="s">
        <v>2272</v>
      </c>
      <c r="X1015" s="198" t="s">
        <v>2272</v>
      </c>
      <c r="Y1015" s="198" t="s">
        <v>2272</v>
      </c>
      <c r="Z1015" s="198" t="s">
        <v>2272</v>
      </c>
      <c r="AA1015" s="198" t="s">
        <v>2272</v>
      </c>
      <c r="AB1015" s="198" t="s">
        <v>2272</v>
      </c>
      <c r="AC1015" s="198" t="s">
        <v>2272</v>
      </c>
      <c r="AD1015" s="198"/>
      <c r="AE1015" s="198"/>
    </row>
    <row r="1016" spans="1:31" ht="40" customHeight="1">
      <c r="A1016" s="198" t="s">
        <v>3125</v>
      </c>
      <c r="B1016" s="198" t="s">
        <v>3166</v>
      </c>
      <c r="C1016" s="198" t="s">
        <v>23</v>
      </c>
      <c r="D1016" s="198" t="s">
        <v>25</v>
      </c>
      <c r="E1016" s="198" t="s">
        <v>128</v>
      </c>
      <c r="F1016" s="4" t="s">
        <v>2272</v>
      </c>
      <c r="G1016" s="198" t="s">
        <v>2272</v>
      </c>
      <c r="H1016" s="198" t="s">
        <v>521</v>
      </c>
      <c r="I1016" s="198"/>
      <c r="J1016" s="198" t="s">
        <v>2272</v>
      </c>
      <c r="K1016" s="198" t="s">
        <v>2272</v>
      </c>
      <c r="L1016" s="198" t="s">
        <v>2272</v>
      </c>
      <c r="M1016" s="198" t="s">
        <v>2272</v>
      </c>
      <c r="N1016" s="198" t="s">
        <v>2272</v>
      </c>
      <c r="O1016" s="198" t="s">
        <v>2272</v>
      </c>
      <c r="P1016" s="198" t="s">
        <v>2272</v>
      </c>
      <c r="Q1016" s="198" t="s">
        <v>2272</v>
      </c>
      <c r="R1016" s="198" t="s">
        <v>2272</v>
      </c>
      <c r="S1016" s="198" t="s">
        <v>2272</v>
      </c>
      <c r="T1016" s="198" t="s">
        <v>2272</v>
      </c>
      <c r="U1016" s="198" t="s">
        <v>2272</v>
      </c>
      <c r="V1016" s="198" t="s">
        <v>2272</v>
      </c>
      <c r="W1016" s="198" t="s">
        <v>2272</v>
      </c>
      <c r="X1016" s="198" t="s">
        <v>2272</v>
      </c>
      <c r="Y1016" s="198" t="s">
        <v>2272</v>
      </c>
      <c r="Z1016" s="198" t="s">
        <v>2272</v>
      </c>
      <c r="AA1016" s="198" t="s">
        <v>2272</v>
      </c>
      <c r="AB1016" s="198" t="s">
        <v>2272</v>
      </c>
      <c r="AC1016" s="198" t="s">
        <v>2272</v>
      </c>
      <c r="AD1016" s="198"/>
      <c r="AE1016" s="198"/>
    </row>
    <row r="1017" spans="1:31" ht="40" customHeight="1">
      <c r="A1017" s="198" t="s">
        <v>3125</v>
      </c>
      <c r="B1017" s="198" t="s">
        <v>3167</v>
      </c>
      <c r="C1017" s="198" t="s">
        <v>23</v>
      </c>
      <c r="D1017" s="198" t="s">
        <v>2337</v>
      </c>
      <c r="E1017" s="198" t="s">
        <v>128</v>
      </c>
      <c r="F1017" s="4" t="s">
        <v>2272</v>
      </c>
      <c r="G1017" s="198" t="s">
        <v>2272</v>
      </c>
      <c r="H1017" s="198" t="s">
        <v>521</v>
      </c>
      <c r="I1017" s="198"/>
      <c r="J1017" s="198" t="s">
        <v>2272</v>
      </c>
      <c r="K1017" s="198" t="s">
        <v>2272</v>
      </c>
      <c r="L1017" s="198" t="s">
        <v>2272</v>
      </c>
      <c r="M1017" s="198" t="s">
        <v>2272</v>
      </c>
      <c r="N1017" s="198" t="s">
        <v>2272</v>
      </c>
      <c r="O1017" s="198" t="s">
        <v>2272</v>
      </c>
      <c r="P1017" s="198" t="s">
        <v>2272</v>
      </c>
      <c r="Q1017" s="198" t="s">
        <v>2272</v>
      </c>
      <c r="R1017" s="198" t="s">
        <v>2272</v>
      </c>
      <c r="S1017" s="198" t="s">
        <v>2272</v>
      </c>
      <c r="T1017" s="198" t="s">
        <v>2272</v>
      </c>
      <c r="U1017" s="198" t="s">
        <v>2272</v>
      </c>
      <c r="V1017" s="198" t="s">
        <v>2272</v>
      </c>
      <c r="W1017" s="198" t="s">
        <v>2272</v>
      </c>
      <c r="X1017" s="198" t="s">
        <v>2272</v>
      </c>
      <c r="Y1017" s="198" t="s">
        <v>2272</v>
      </c>
      <c r="Z1017" s="198" t="s">
        <v>2272</v>
      </c>
      <c r="AA1017" s="198" t="s">
        <v>2272</v>
      </c>
      <c r="AB1017" s="198" t="s">
        <v>2272</v>
      </c>
      <c r="AC1017" s="198" t="s">
        <v>2272</v>
      </c>
      <c r="AD1017" s="198"/>
      <c r="AE1017" s="198"/>
    </row>
    <row r="1018" spans="1:31" ht="40" customHeight="1">
      <c r="A1018" s="198" t="s">
        <v>3125</v>
      </c>
      <c r="B1018" s="198" t="s">
        <v>3168</v>
      </c>
      <c r="C1018" s="198" t="s">
        <v>23</v>
      </c>
      <c r="D1018" s="198" t="s">
        <v>404</v>
      </c>
      <c r="E1018" s="198" t="s">
        <v>128</v>
      </c>
      <c r="F1018" s="4" t="s">
        <v>2272</v>
      </c>
      <c r="G1018" s="198" t="s">
        <v>2272</v>
      </c>
      <c r="H1018" s="198" t="s">
        <v>521</v>
      </c>
      <c r="I1018" s="198"/>
      <c r="J1018" s="198" t="s">
        <v>2272</v>
      </c>
      <c r="K1018" s="198" t="s">
        <v>2272</v>
      </c>
      <c r="L1018" s="198" t="s">
        <v>2272</v>
      </c>
      <c r="M1018" s="198" t="s">
        <v>2272</v>
      </c>
      <c r="N1018" s="198" t="s">
        <v>2272</v>
      </c>
      <c r="O1018" s="198" t="s">
        <v>2272</v>
      </c>
      <c r="P1018" s="198" t="s">
        <v>2272</v>
      </c>
      <c r="Q1018" s="198" t="s">
        <v>2272</v>
      </c>
      <c r="R1018" s="198" t="s">
        <v>2272</v>
      </c>
      <c r="S1018" s="198" t="s">
        <v>2272</v>
      </c>
      <c r="T1018" s="198" t="s">
        <v>2272</v>
      </c>
      <c r="U1018" s="198" t="s">
        <v>2272</v>
      </c>
      <c r="V1018" s="198" t="s">
        <v>2272</v>
      </c>
      <c r="W1018" s="198" t="s">
        <v>2272</v>
      </c>
      <c r="X1018" s="198" t="s">
        <v>2272</v>
      </c>
      <c r="Y1018" s="198" t="s">
        <v>2272</v>
      </c>
      <c r="Z1018" s="198" t="s">
        <v>2272</v>
      </c>
      <c r="AA1018" s="198" t="s">
        <v>2272</v>
      </c>
      <c r="AB1018" s="198" t="s">
        <v>2272</v>
      </c>
      <c r="AC1018" s="198" t="s">
        <v>2272</v>
      </c>
      <c r="AD1018" s="198"/>
      <c r="AE1018" s="198"/>
    </row>
    <row r="1019" spans="1:31" ht="40" customHeight="1">
      <c r="A1019" s="198" t="s">
        <v>3125</v>
      </c>
      <c r="B1019" s="198" t="s">
        <v>3169</v>
      </c>
      <c r="C1019" s="35" t="s">
        <v>23</v>
      </c>
      <c r="D1019" s="35" t="s">
        <v>2989</v>
      </c>
      <c r="E1019" s="35" t="s">
        <v>128</v>
      </c>
      <c r="F1019" s="163" t="s">
        <v>2272</v>
      </c>
      <c r="G1019" s="198" t="s">
        <v>2272</v>
      </c>
      <c r="H1019" s="35" t="s">
        <v>521</v>
      </c>
      <c r="I1019" s="198"/>
      <c r="J1019" s="198" t="s">
        <v>2272</v>
      </c>
      <c r="K1019" s="198" t="s">
        <v>2272</v>
      </c>
      <c r="L1019" s="198" t="s">
        <v>2272</v>
      </c>
      <c r="M1019" s="198" t="s">
        <v>2272</v>
      </c>
      <c r="N1019" s="198" t="s">
        <v>2272</v>
      </c>
      <c r="O1019" s="198" t="s">
        <v>2272</v>
      </c>
      <c r="P1019" s="198" t="s">
        <v>2272</v>
      </c>
      <c r="Q1019" s="198" t="s">
        <v>2272</v>
      </c>
      <c r="R1019" s="198" t="s">
        <v>2272</v>
      </c>
      <c r="S1019" s="198" t="s">
        <v>2272</v>
      </c>
      <c r="T1019" s="198" t="s">
        <v>2272</v>
      </c>
      <c r="U1019" s="198" t="s">
        <v>2272</v>
      </c>
      <c r="V1019" s="198" t="s">
        <v>2272</v>
      </c>
      <c r="W1019" s="198" t="s">
        <v>2272</v>
      </c>
      <c r="X1019" s="198" t="s">
        <v>2272</v>
      </c>
      <c r="Y1019" s="198" t="s">
        <v>2272</v>
      </c>
      <c r="Z1019" s="198" t="s">
        <v>2272</v>
      </c>
      <c r="AA1019" s="198" t="s">
        <v>2272</v>
      </c>
      <c r="AB1019" s="198" t="s">
        <v>2272</v>
      </c>
      <c r="AC1019" s="198" t="s">
        <v>2272</v>
      </c>
      <c r="AD1019" s="198"/>
      <c r="AE1019" s="198"/>
    </row>
    <row r="1020" spans="1:31" ht="40" customHeight="1">
      <c r="A1020" s="198" t="s">
        <v>3125</v>
      </c>
      <c r="B1020" s="198" t="s">
        <v>3170</v>
      </c>
      <c r="C1020" s="198" t="s">
        <v>30</v>
      </c>
      <c r="D1020" s="198" t="s">
        <v>2272</v>
      </c>
      <c r="E1020" s="198" t="s">
        <v>2647</v>
      </c>
      <c r="F1020" s="4" t="s">
        <v>2272</v>
      </c>
      <c r="G1020" s="198" t="s">
        <v>2272</v>
      </c>
      <c r="H1020" s="198" t="s">
        <v>521</v>
      </c>
      <c r="I1020" s="198"/>
      <c r="J1020" s="198" t="s">
        <v>2272</v>
      </c>
      <c r="K1020" s="198" t="s">
        <v>2272</v>
      </c>
      <c r="L1020" s="198" t="s">
        <v>2272</v>
      </c>
      <c r="M1020" s="198" t="s">
        <v>2272</v>
      </c>
      <c r="N1020" s="198" t="s">
        <v>2272</v>
      </c>
      <c r="O1020" s="198" t="s">
        <v>2272</v>
      </c>
      <c r="P1020" s="198" t="s">
        <v>2272</v>
      </c>
      <c r="Q1020" s="198" t="s">
        <v>2272</v>
      </c>
      <c r="R1020" s="198" t="s">
        <v>2272</v>
      </c>
      <c r="S1020" s="198" t="s">
        <v>2272</v>
      </c>
      <c r="T1020" s="198" t="s">
        <v>2272</v>
      </c>
      <c r="U1020" s="198" t="s">
        <v>2272</v>
      </c>
      <c r="V1020" s="198" t="s">
        <v>2272</v>
      </c>
      <c r="W1020" s="198" t="s">
        <v>2272</v>
      </c>
      <c r="X1020" s="198" t="s">
        <v>2272</v>
      </c>
      <c r="Y1020" s="198" t="s">
        <v>2272</v>
      </c>
      <c r="Z1020" s="198" t="s">
        <v>2272</v>
      </c>
      <c r="AA1020" s="198" t="s">
        <v>2272</v>
      </c>
      <c r="AB1020" s="198" t="s">
        <v>2272</v>
      </c>
      <c r="AC1020" s="198" t="s">
        <v>2272</v>
      </c>
      <c r="AD1020" s="198"/>
      <c r="AE1020" s="198"/>
    </row>
    <row r="1021" spans="1:31" ht="40" customHeight="1">
      <c r="A1021" s="198" t="s">
        <v>3125</v>
      </c>
      <c r="B1021" s="198" t="s">
        <v>3171</v>
      </c>
      <c r="C1021" s="198" t="s">
        <v>23</v>
      </c>
      <c r="D1021" s="198" t="s">
        <v>1238</v>
      </c>
      <c r="E1021" s="198" t="s">
        <v>114</v>
      </c>
      <c r="F1021" s="4" t="s">
        <v>2657</v>
      </c>
      <c r="G1021" s="198" t="s">
        <v>2272</v>
      </c>
      <c r="H1021" s="198" t="s">
        <v>521</v>
      </c>
      <c r="I1021" s="198"/>
      <c r="J1021" s="198" t="s">
        <v>2272</v>
      </c>
      <c r="K1021" s="198" t="s">
        <v>2272</v>
      </c>
      <c r="L1021" s="198" t="s">
        <v>2272</v>
      </c>
      <c r="M1021" s="198" t="s">
        <v>2272</v>
      </c>
      <c r="N1021" s="198" t="s">
        <v>2272</v>
      </c>
      <c r="O1021" s="198" t="s">
        <v>2272</v>
      </c>
      <c r="P1021" s="198" t="s">
        <v>2272</v>
      </c>
      <c r="Q1021" s="198" t="s">
        <v>2272</v>
      </c>
      <c r="R1021" s="198" t="s">
        <v>2272</v>
      </c>
      <c r="S1021" s="198" t="s">
        <v>2272</v>
      </c>
      <c r="T1021" s="198" t="s">
        <v>2272</v>
      </c>
      <c r="U1021" s="198" t="s">
        <v>2272</v>
      </c>
      <c r="V1021" s="198" t="s">
        <v>2272</v>
      </c>
      <c r="W1021" s="198" t="s">
        <v>2272</v>
      </c>
      <c r="X1021" s="198" t="s">
        <v>2272</v>
      </c>
      <c r="Y1021" s="198" t="s">
        <v>2272</v>
      </c>
      <c r="Z1021" s="198" t="s">
        <v>2272</v>
      </c>
      <c r="AA1021" s="198" t="s">
        <v>2272</v>
      </c>
      <c r="AB1021" s="198" t="s">
        <v>2272</v>
      </c>
      <c r="AC1021" s="198" t="s">
        <v>2272</v>
      </c>
      <c r="AD1021" s="198"/>
      <c r="AE1021" s="198"/>
    </row>
    <row r="1022" spans="1:31" ht="40" customHeight="1">
      <c r="A1022" s="198" t="s">
        <v>3125</v>
      </c>
      <c r="B1022" s="198" t="s">
        <v>3172</v>
      </c>
      <c r="C1022" s="198" t="s">
        <v>23</v>
      </c>
      <c r="D1022" s="198" t="s">
        <v>1238</v>
      </c>
      <c r="E1022" s="198" t="s">
        <v>128</v>
      </c>
      <c r="F1022" s="4" t="s">
        <v>2657</v>
      </c>
      <c r="G1022" s="198" t="s">
        <v>2272</v>
      </c>
      <c r="H1022" s="198" t="s">
        <v>521</v>
      </c>
      <c r="I1022" s="198"/>
      <c r="J1022" s="198" t="s">
        <v>2272</v>
      </c>
      <c r="K1022" s="198" t="s">
        <v>2272</v>
      </c>
      <c r="L1022" s="198" t="s">
        <v>2272</v>
      </c>
      <c r="M1022" s="198" t="s">
        <v>2272</v>
      </c>
      <c r="N1022" s="198" t="s">
        <v>2272</v>
      </c>
      <c r="O1022" s="198" t="s">
        <v>2272</v>
      </c>
      <c r="P1022" s="198" t="s">
        <v>2272</v>
      </c>
      <c r="Q1022" s="198" t="s">
        <v>2272</v>
      </c>
      <c r="R1022" s="198" t="s">
        <v>2272</v>
      </c>
      <c r="S1022" s="198" t="s">
        <v>2272</v>
      </c>
      <c r="T1022" s="198" t="s">
        <v>2272</v>
      </c>
      <c r="U1022" s="198" t="s">
        <v>2272</v>
      </c>
      <c r="V1022" s="198" t="s">
        <v>2272</v>
      </c>
      <c r="W1022" s="198" t="s">
        <v>2272</v>
      </c>
      <c r="X1022" s="198" t="s">
        <v>2272</v>
      </c>
      <c r="Y1022" s="198" t="s">
        <v>2272</v>
      </c>
      <c r="Z1022" s="198" t="s">
        <v>2272</v>
      </c>
      <c r="AA1022" s="198" t="s">
        <v>2272</v>
      </c>
      <c r="AB1022" s="198" t="s">
        <v>2272</v>
      </c>
      <c r="AC1022" s="198" t="s">
        <v>2272</v>
      </c>
      <c r="AD1022" s="198"/>
      <c r="AE1022" s="198"/>
    </row>
    <row r="1023" spans="1:31" ht="40" customHeight="1">
      <c r="A1023" s="198" t="s">
        <v>3125</v>
      </c>
      <c r="B1023" s="198" t="s">
        <v>3173</v>
      </c>
      <c r="C1023" s="198" t="s">
        <v>23</v>
      </c>
      <c r="D1023" s="198" t="s">
        <v>24</v>
      </c>
      <c r="E1023" s="198" t="s">
        <v>128</v>
      </c>
      <c r="F1023" s="4" t="s">
        <v>2657</v>
      </c>
      <c r="G1023" s="198" t="s">
        <v>2272</v>
      </c>
      <c r="H1023" s="198" t="s">
        <v>521</v>
      </c>
      <c r="I1023" s="198"/>
      <c r="J1023" s="198" t="s">
        <v>2272</v>
      </c>
      <c r="K1023" s="198" t="s">
        <v>2272</v>
      </c>
      <c r="L1023" s="198" t="s">
        <v>2272</v>
      </c>
      <c r="M1023" s="198" t="s">
        <v>2272</v>
      </c>
      <c r="N1023" s="198" t="s">
        <v>2272</v>
      </c>
      <c r="O1023" s="198" t="s">
        <v>2272</v>
      </c>
      <c r="P1023" s="198" t="s">
        <v>2272</v>
      </c>
      <c r="Q1023" s="198" t="s">
        <v>2272</v>
      </c>
      <c r="R1023" s="198" t="s">
        <v>2272</v>
      </c>
      <c r="S1023" s="198" t="s">
        <v>2272</v>
      </c>
      <c r="T1023" s="198" t="s">
        <v>2272</v>
      </c>
      <c r="U1023" s="198" t="s">
        <v>2272</v>
      </c>
      <c r="V1023" s="198" t="s">
        <v>2272</v>
      </c>
      <c r="W1023" s="198" t="s">
        <v>2272</v>
      </c>
      <c r="X1023" s="198" t="s">
        <v>2272</v>
      </c>
      <c r="Y1023" s="198" t="s">
        <v>2272</v>
      </c>
      <c r="Z1023" s="198" t="s">
        <v>2272</v>
      </c>
      <c r="AA1023" s="198" t="s">
        <v>2272</v>
      </c>
      <c r="AB1023" s="198" t="s">
        <v>2272</v>
      </c>
      <c r="AC1023" s="198" t="s">
        <v>2272</v>
      </c>
      <c r="AD1023" s="4" t="s">
        <v>3158</v>
      </c>
      <c r="AE1023" s="198"/>
    </row>
    <row r="1024" spans="1:31" ht="40" customHeight="1">
      <c r="A1024" s="198" t="s">
        <v>3126</v>
      </c>
      <c r="B1024" s="198" t="s">
        <v>3135</v>
      </c>
      <c r="C1024" s="198" t="s">
        <v>23</v>
      </c>
      <c r="D1024" s="198" t="s">
        <v>26</v>
      </c>
      <c r="E1024" s="198" t="s">
        <v>128</v>
      </c>
      <c r="F1024" s="4" t="s">
        <v>159</v>
      </c>
      <c r="G1024" s="198" t="s">
        <v>2272</v>
      </c>
      <c r="H1024" s="198" t="s">
        <v>521</v>
      </c>
      <c r="I1024" s="198"/>
      <c r="J1024" s="198" t="s">
        <v>2272</v>
      </c>
      <c r="K1024" s="198" t="s">
        <v>2272</v>
      </c>
      <c r="L1024" s="198" t="s">
        <v>2272</v>
      </c>
      <c r="M1024" s="198" t="s">
        <v>2272</v>
      </c>
      <c r="N1024" s="198" t="s">
        <v>2272</v>
      </c>
      <c r="O1024" s="198" t="s">
        <v>2272</v>
      </c>
      <c r="P1024" s="198" t="s">
        <v>2272</v>
      </c>
      <c r="Q1024" s="198" t="s">
        <v>2272</v>
      </c>
      <c r="R1024" s="198" t="s">
        <v>2272</v>
      </c>
      <c r="S1024" s="198" t="s">
        <v>2272</v>
      </c>
      <c r="T1024" s="198" t="s">
        <v>2272</v>
      </c>
      <c r="U1024" s="198" t="s">
        <v>2272</v>
      </c>
      <c r="V1024" s="198" t="s">
        <v>2272</v>
      </c>
      <c r="W1024" s="198" t="s">
        <v>2272</v>
      </c>
      <c r="X1024" s="198" t="s">
        <v>2272</v>
      </c>
      <c r="Y1024" s="198" t="s">
        <v>2272</v>
      </c>
      <c r="Z1024" s="198" t="s">
        <v>2272</v>
      </c>
      <c r="AA1024" s="198" t="s">
        <v>2272</v>
      </c>
      <c r="AB1024" s="198" t="s">
        <v>2272</v>
      </c>
      <c r="AC1024" s="198" t="s">
        <v>2272</v>
      </c>
      <c r="AD1024" s="198"/>
      <c r="AE1024" s="198" t="s">
        <v>3141</v>
      </c>
    </row>
    <row r="1025" spans="1:31" ht="40" customHeight="1">
      <c r="A1025" s="198" t="s">
        <v>3126</v>
      </c>
      <c r="B1025" s="198" t="s">
        <v>3138</v>
      </c>
      <c r="C1025" s="198" t="s">
        <v>23</v>
      </c>
      <c r="D1025" s="198" t="s">
        <v>1241</v>
      </c>
      <c r="E1025" s="198" t="s">
        <v>114</v>
      </c>
      <c r="F1025" s="4" t="s">
        <v>73</v>
      </c>
      <c r="G1025" s="198" t="s">
        <v>2272</v>
      </c>
      <c r="H1025" s="198" t="s">
        <v>521</v>
      </c>
      <c r="I1025" s="198"/>
      <c r="J1025" s="198" t="s">
        <v>2272</v>
      </c>
      <c r="K1025" s="198" t="s">
        <v>2272</v>
      </c>
      <c r="L1025" s="198" t="s">
        <v>2272</v>
      </c>
      <c r="M1025" s="198" t="s">
        <v>2272</v>
      </c>
      <c r="N1025" s="198" t="s">
        <v>2272</v>
      </c>
      <c r="O1025" s="198" t="s">
        <v>2272</v>
      </c>
      <c r="P1025" s="198" t="s">
        <v>2272</v>
      </c>
      <c r="Q1025" s="198" t="s">
        <v>2272</v>
      </c>
      <c r="R1025" s="198" t="s">
        <v>2272</v>
      </c>
      <c r="S1025" s="198" t="s">
        <v>2272</v>
      </c>
      <c r="T1025" s="198" t="s">
        <v>2272</v>
      </c>
      <c r="U1025" s="198" t="s">
        <v>2272</v>
      </c>
      <c r="V1025" s="198" t="s">
        <v>2272</v>
      </c>
      <c r="W1025" s="198" t="s">
        <v>2272</v>
      </c>
      <c r="X1025" s="198" t="s">
        <v>2272</v>
      </c>
      <c r="Y1025" s="198" t="s">
        <v>2272</v>
      </c>
      <c r="Z1025" s="198" t="s">
        <v>2272</v>
      </c>
      <c r="AA1025" s="198" t="s">
        <v>2272</v>
      </c>
      <c r="AB1025" s="198" t="s">
        <v>2272</v>
      </c>
      <c r="AC1025" s="198" t="s">
        <v>2272</v>
      </c>
      <c r="AD1025" s="198"/>
      <c r="AE1025" s="198"/>
    </row>
    <row r="1026" spans="1:31" ht="40" customHeight="1">
      <c r="A1026" s="198" t="s">
        <v>3126</v>
      </c>
      <c r="B1026" s="198" t="s">
        <v>3174</v>
      </c>
      <c r="C1026" s="198" t="s">
        <v>23</v>
      </c>
      <c r="D1026" s="198" t="s">
        <v>1241</v>
      </c>
      <c r="E1026" s="198" t="s">
        <v>114</v>
      </c>
      <c r="F1026" s="4" t="s">
        <v>2657</v>
      </c>
      <c r="G1026" s="198" t="s">
        <v>2272</v>
      </c>
      <c r="H1026" s="198" t="s">
        <v>521</v>
      </c>
      <c r="I1026" s="198"/>
      <c r="J1026" s="198" t="s">
        <v>2272</v>
      </c>
      <c r="K1026" s="198" t="s">
        <v>2272</v>
      </c>
      <c r="L1026" s="198" t="s">
        <v>2272</v>
      </c>
      <c r="M1026" s="198" t="s">
        <v>2272</v>
      </c>
      <c r="N1026" s="198" t="s">
        <v>2272</v>
      </c>
      <c r="O1026" s="198" t="s">
        <v>2272</v>
      </c>
      <c r="P1026" s="198" t="s">
        <v>2272</v>
      </c>
      <c r="Q1026" s="198" t="s">
        <v>2272</v>
      </c>
      <c r="R1026" s="198" t="s">
        <v>2272</v>
      </c>
      <c r="S1026" s="198" t="s">
        <v>2272</v>
      </c>
      <c r="T1026" s="198" t="s">
        <v>2272</v>
      </c>
      <c r="U1026" s="198" t="s">
        <v>2272</v>
      </c>
      <c r="V1026" s="198" t="s">
        <v>2272</v>
      </c>
      <c r="W1026" s="198" t="s">
        <v>2272</v>
      </c>
      <c r="X1026" s="198" t="s">
        <v>2272</v>
      </c>
      <c r="Y1026" s="198" t="s">
        <v>2272</v>
      </c>
      <c r="Z1026" s="198" t="s">
        <v>2272</v>
      </c>
      <c r="AA1026" s="198" t="s">
        <v>2272</v>
      </c>
      <c r="AB1026" s="198" t="s">
        <v>2272</v>
      </c>
      <c r="AC1026" s="198" t="s">
        <v>2272</v>
      </c>
      <c r="AD1026" s="198"/>
      <c r="AE1026" s="198"/>
    </row>
    <row r="1027" spans="1:31" ht="40" customHeight="1">
      <c r="A1027" s="198" t="s">
        <v>3126</v>
      </c>
      <c r="B1027" s="198" t="s">
        <v>3175</v>
      </c>
      <c r="C1027" s="198" t="s">
        <v>23</v>
      </c>
      <c r="D1027" s="198" t="s">
        <v>2301</v>
      </c>
      <c r="E1027" s="198" t="s">
        <v>114</v>
      </c>
      <c r="F1027" s="4" t="s">
        <v>2272</v>
      </c>
      <c r="G1027" s="198" t="s">
        <v>2272</v>
      </c>
      <c r="H1027" s="198" t="s">
        <v>521</v>
      </c>
      <c r="I1027" s="198"/>
      <c r="J1027" s="198" t="s">
        <v>2272</v>
      </c>
      <c r="K1027" s="198" t="s">
        <v>2272</v>
      </c>
      <c r="L1027" s="198" t="s">
        <v>2272</v>
      </c>
      <c r="M1027" s="198" t="s">
        <v>2272</v>
      </c>
      <c r="N1027" s="198" t="s">
        <v>2272</v>
      </c>
      <c r="O1027" s="198" t="s">
        <v>2272</v>
      </c>
      <c r="P1027" s="198" t="s">
        <v>2272</v>
      </c>
      <c r="Q1027" s="198" t="s">
        <v>2272</v>
      </c>
      <c r="R1027" s="198" t="s">
        <v>2272</v>
      </c>
      <c r="S1027" s="198" t="s">
        <v>2272</v>
      </c>
      <c r="T1027" s="198" t="s">
        <v>2272</v>
      </c>
      <c r="U1027" s="198" t="s">
        <v>2272</v>
      </c>
      <c r="V1027" s="198" t="s">
        <v>2272</v>
      </c>
      <c r="W1027" s="198" t="s">
        <v>2272</v>
      </c>
      <c r="X1027" s="198" t="s">
        <v>2272</v>
      </c>
      <c r="Y1027" s="198" t="s">
        <v>2272</v>
      </c>
      <c r="Z1027" s="198" t="s">
        <v>2272</v>
      </c>
      <c r="AA1027" s="198" t="s">
        <v>2272</v>
      </c>
      <c r="AB1027" s="198" t="s">
        <v>2272</v>
      </c>
      <c r="AC1027" s="198" t="s">
        <v>2272</v>
      </c>
      <c r="AD1027" s="4" t="s">
        <v>3154</v>
      </c>
      <c r="AE1027" s="198"/>
    </row>
    <row r="1028" spans="1:31" ht="40" customHeight="1">
      <c r="A1028" s="198" t="s">
        <v>3126</v>
      </c>
      <c r="B1028" s="198" t="s">
        <v>3176</v>
      </c>
      <c r="C1028" s="198" t="s">
        <v>23</v>
      </c>
      <c r="D1028" s="198" t="s">
        <v>25</v>
      </c>
      <c r="E1028" s="198" t="s">
        <v>114</v>
      </c>
      <c r="F1028" s="4" t="s">
        <v>2272</v>
      </c>
      <c r="G1028" s="198" t="s">
        <v>2272</v>
      </c>
      <c r="H1028" s="198" t="s">
        <v>521</v>
      </c>
      <c r="I1028" s="198"/>
      <c r="J1028" s="198" t="s">
        <v>2272</v>
      </c>
      <c r="K1028" s="198" t="s">
        <v>2272</v>
      </c>
      <c r="L1028" s="198" t="s">
        <v>2272</v>
      </c>
      <c r="M1028" s="198" t="s">
        <v>2272</v>
      </c>
      <c r="N1028" s="198" t="s">
        <v>2272</v>
      </c>
      <c r="O1028" s="198" t="s">
        <v>2272</v>
      </c>
      <c r="P1028" s="198" t="s">
        <v>2272</v>
      </c>
      <c r="Q1028" s="198" t="s">
        <v>2272</v>
      </c>
      <c r="R1028" s="198" t="s">
        <v>2272</v>
      </c>
      <c r="S1028" s="198" t="s">
        <v>2272</v>
      </c>
      <c r="T1028" s="198" t="s">
        <v>2272</v>
      </c>
      <c r="U1028" s="198" t="s">
        <v>2272</v>
      </c>
      <c r="V1028" s="198" t="s">
        <v>2272</v>
      </c>
      <c r="W1028" s="198" t="s">
        <v>2272</v>
      </c>
      <c r="X1028" s="198" t="s">
        <v>2272</v>
      </c>
      <c r="Y1028" s="198" t="s">
        <v>2272</v>
      </c>
      <c r="Z1028" s="198" t="s">
        <v>2272</v>
      </c>
      <c r="AA1028" s="198" t="s">
        <v>2272</v>
      </c>
      <c r="AB1028" s="198" t="s">
        <v>2272</v>
      </c>
      <c r="AC1028" s="198" t="s">
        <v>2272</v>
      </c>
      <c r="AD1028" s="198"/>
      <c r="AE1028" s="198"/>
    </row>
    <row r="1029" spans="1:31" ht="40" customHeight="1">
      <c r="A1029" s="198" t="s">
        <v>3126</v>
      </c>
      <c r="B1029" s="198" t="s">
        <v>3177</v>
      </c>
      <c r="C1029" s="198" t="s">
        <v>23</v>
      </c>
      <c r="D1029" s="198" t="s">
        <v>2337</v>
      </c>
      <c r="E1029" s="198" t="s">
        <v>114</v>
      </c>
      <c r="F1029" s="4" t="s">
        <v>2272</v>
      </c>
      <c r="G1029" s="198" t="s">
        <v>2272</v>
      </c>
      <c r="H1029" s="198" t="s">
        <v>521</v>
      </c>
      <c r="I1029" s="198"/>
      <c r="J1029" s="198" t="s">
        <v>2272</v>
      </c>
      <c r="K1029" s="198" t="s">
        <v>2272</v>
      </c>
      <c r="L1029" s="198" t="s">
        <v>2272</v>
      </c>
      <c r="M1029" s="198" t="s">
        <v>2272</v>
      </c>
      <c r="N1029" s="198" t="s">
        <v>2272</v>
      </c>
      <c r="O1029" s="198" t="s">
        <v>2272</v>
      </c>
      <c r="P1029" s="198" t="s">
        <v>2272</v>
      </c>
      <c r="Q1029" s="198" t="s">
        <v>2272</v>
      </c>
      <c r="R1029" s="198" t="s">
        <v>2272</v>
      </c>
      <c r="S1029" s="198" t="s">
        <v>2272</v>
      </c>
      <c r="T1029" s="198" t="s">
        <v>2272</v>
      </c>
      <c r="U1029" s="198" t="s">
        <v>2272</v>
      </c>
      <c r="V1029" s="198" t="s">
        <v>2272</v>
      </c>
      <c r="W1029" s="198" t="s">
        <v>2272</v>
      </c>
      <c r="X1029" s="198" t="s">
        <v>2272</v>
      </c>
      <c r="Y1029" s="198" t="s">
        <v>2272</v>
      </c>
      <c r="Z1029" s="198" t="s">
        <v>2272</v>
      </c>
      <c r="AA1029" s="198" t="s">
        <v>2272</v>
      </c>
      <c r="AB1029" s="198" t="s">
        <v>2272</v>
      </c>
      <c r="AC1029" s="198" t="s">
        <v>2272</v>
      </c>
      <c r="AD1029" s="198"/>
      <c r="AE1029" s="198"/>
    </row>
    <row r="1030" spans="1:31" ht="40" customHeight="1">
      <c r="A1030" s="198" t="s">
        <v>3126</v>
      </c>
      <c r="B1030" s="198" t="s">
        <v>3178</v>
      </c>
      <c r="C1030" s="198" t="s">
        <v>23</v>
      </c>
      <c r="D1030" s="198" t="s">
        <v>404</v>
      </c>
      <c r="E1030" s="198" t="s">
        <v>114</v>
      </c>
      <c r="F1030" s="4" t="s">
        <v>2272</v>
      </c>
      <c r="G1030" s="198" t="s">
        <v>2272</v>
      </c>
      <c r="H1030" s="198" t="s">
        <v>521</v>
      </c>
      <c r="I1030" s="198"/>
      <c r="J1030" s="198" t="s">
        <v>2272</v>
      </c>
      <c r="K1030" s="198" t="s">
        <v>2272</v>
      </c>
      <c r="L1030" s="198" t="s">
        <v>2272</v>
      </c>
      <c r="M1030" s="198" t="s">
        <v>2272</v>
      </c>
      <c r="N1030" s="198" t="s">
        <v>2272</v>
      </c>
      <c r="O1030" s="198" t="s">
        <v>2272</v>
      </c>
      <c r="P1030" s="198" t="s">
        <v>2272</v>
      </c>
      <c r="Q1030" s="198" t="s">
        <v>2272</v>
      </c>
      <c r="R1030" s="198" t="s">
        <v>2272</v>
      </c>
      <c r="S1030" s="198" t="s">
        <v>2272</v>
      </c>
      <c r="T1030" s="198" t="s">
        <v>2272</v>
      </c>
      <c r="U1030" s="198" t="s">
        <v>2272</v>
      </c>
      <c r="V1030" s="198" t="s">
        <v>2272</v>
      </c>
      <c r="W1030" s="198" t="s">
        <v>2272</v>
      </c>
      <c r="X1030" s="198" t="s">
        <v>2272</v>
      </c>
      <c r="Y1030" s="198" t="s">
        <v>2272</v>
      </c>
      <c r="Z1030" s="198" t="s">
        <v>2272</v>
      </c>
      <c r="AA1030" s="198" t="s">
        <v>2272</v>
      </c>
      <c r="AB1030" s="198" t="s">
        <v>2272</v>
      </c>
      <c r="AC1030" s="198" t="s">
        <v>2272</v>
      </c>
      <c r="AD1030" s="198"/>
      <c r="AE1030" s="198"/>
    </row>
    <row r="1031" spans="1:31" ht="40" customHeight="1">
      <c r="A1031" s="198" t="s">
        <v>3126</v>
      </c>
      <c r="B1031" s="198" t="s">
        <v>3179</v>
      </c>
      <c r="C1031" s="198" t="s">
        <v>23</v>
      </c>
      <c r="D1031" s="198" t="s">
        <v>2989</v>
      </c>
      <c r="E1031" s="198" t="s">
        <v>114</v>
      </c>
      <c r="F1031" s="4" t="s">
        <v>2272</v>
      </c>
      <c r="G1031" s="198" t="s">
        <v>2272</v>
      </c>
      <c r="H1031" s="198" t="s">
        <v>521</v>
      </c>
      <c r="I1031" s="198"/>
      <c r="J1031" s="198" t="s">
        <v>2272</v>
      </c>
      <c r="K1031" s="198" t="s">
        <v>2272</v>
      </c>
      <c r="L1031" s="198" t="s">
        <v>2272</v>
      </c>
      <c r="M1031" s="198" t="s">
        <v>2272</v>
      </c>
      <c r="N1031" s="198" t="s">
        <v>2272</v>
      </c>
      <c r="O1031" s="198" t="s">
        <v>2272</v>
      </c>
      <c r="P1031" s="198" t="s">
        <v>2272</v>
      </c>
      <c r="Q1031" s="198" t="s">
        <v>2272</v>
      </c>
      <c r="R1031" s="198" t="s">
        <v>2272</v>
      </c>
      <c r="S1031" s="198" t="s">
        <v>2272</v>
      </c>
      <c r="T1031" s="198" t="s">
        <v>2272</v>
      </c>
      <c r="U1031" s="198" t="s">
        <v>2272</v>
      </c>
      <c r="V1031" s="198" t="s">
        <v>2272</v>
      </c>
      <c r="W1031" s="198" t="s">
        <v>2272</v>
      </c>
      <c r="X1031" s="198" t="s">
        <v>2272</v>
      </c>
      <c r="Y1031" s="198" t="s">
        <v>2272</v>
      </c>
      <c r="Z1031" s="198" t="s">
        <v>2272</v>
      </c>
      <c r="AA1031" s="198" t="s">
        <v>2272</v>
      </c>
      <c r="AB1031" s="198" t="s">
        <v>2272</v>
      </c>
      <c r="AC1031" s="198" t="s">
        <v>2272</v>
      </c>
      <c r="AD1031" s="198"/>
      <c r="AE1031" s="198"/>
    </row>
    <row r="1032" spans="1:31" ht="40" customHeight="1">
      <c r="A1032" s="198" t="s">
        <v>3126</v>
      </c>
      <c r="B1032" s="198" t="s">
        <v>3180</v>
      </c>
      <c r="C1032" s="198" t="s">
        <v>23</v>
      </c>
      <c r="D1032" s="198" t="s">
        <v>25</v>
      </c>
      <c r="E1032" s="198" t="s">
        <v>128</v>
      </c>
      <c r="F1032" s="4" t="s">
        <v>2272</v>
      </c>
      <c r="G1032" s="198" t="s">
        <v>2272</v>
      </c>
      <c r="H1032" s="198" t="s">
        <v>521</v>
      </c>
      <c r="I1032" s="198"/>
      <c r="J1032" s="198" t="s">
        <v>2272</v>
      </c>
      <c r="K1032" s="198" t="s">
        <v>2272</v>
      </c>
      <c r="L1032" s="198" t="s">
        <v>2272</v>
      </c>
      <c r="M1032" s="198" t="s">
        <v>2272</v>
      </c>
      <c r="N1032" s="198" t="s">
        <v>2272</v>
      </c>
      <c r="O1032" s="198" t="s">
        <v>2272</v>
      </c>
      <c r="P1032" s="198" t="s">
        <v>2272</v>
      </c>
      <c r="Q1032" s="198" t="s">
        <v>2272</v>
      </c>
      <c r="R1032" s="198" t="s">
        <v>2272</v>
      </c>
      <c r="S1032" s="198" t="s">
        <v>2272</v>
      </c>
      <c r="T1032" s="198" t="s">
        <v>2272</v>
      </c>
      <c r="U1032" s="198" t="s">
        <v>2272</v>
      </c>
      <c r="V1032" s="198" t="s">
        <v>2272</v>
      </c>
      <c r="W1032" s="198" t="s">
        <v>2272</v>
      </c>
      <c r="X1032" s="198" t="s">
        <v>2272</v>
      </c>
      <c r="Y1032" s="198" t="s">
        <v>2272</v>
      </c>
      <c r="Z1032" s="198" t="s">
        <v>2272</v>
      </c>
      <c r="AA1032" s="198" t="s">
        <v>2272</v>
      </c>
      <c r="AB1032" s="198" t="s">
        <v>2272</v>
      </c>
      <c r="AC1032" s="198" t="s">
        <v>2272</v>
      </c>
      <c r="AD1032" s="198"/>
      <c r="AE1032" s="198"/>
    </row>
    <row r="1033" spans="1:31" ht="40" customHeight="1">
      <c r="A1033" s="198" t="s">
        <v>3126</v>
      </c>
      <c r="B1033" s="198" t="s">
        <v>3181</v>
      </c>
      <c r="C1033" s="198" t="s">
        <v>23</v>
      </c>
      <c r="D1033" s="198" t="s">
        <v>2337</v>
      </c>
      <c r="E1033" s="198" t="s">
        <v>128</v>
      </c>
      <c r="F1033" s="4" t="s">
        <v>2272</v>
      </c>
      <c r="G1033" s="198" t="s">
        <v>2272</v>
      </c>
      <c r="H1033" s="198" t="s">
        <v>521</v>
      </c>
      <c r="I1033" s="198"/>
      <c r="J1033" s="198" t="s">
        <v>2272</v>
      </c>
      <c r="K1033" s="198" t="s">
        <v>2272</v>
      </c>
      <c r="L1033" s="198" t="s">
        <v>2272</v>
      </c>
      <c r="M1033" s="198" t="s">
        <v>2272</v>
      </c>
      <c r="N1033" s="198" t="s">
        <v>2272</v>
      </c>
      <c r="O1033" s="198" t="s">
        <v>2272</v>
      </c>
      <c r="P1033" s="198" t="s">
        <v>2272</v>
      </c>
      <c r="Q1033" s="198" t="s">
        <v>2272</v>
      </c>
      <c r="R1033" s="198" t="s">
        <v>2272</v>
      </c>
      <c r="S1033" s="198" t="s">
        <v>2272</v>
      </c>
      <c r="T1033" s="198" t="s">
        <v>2272</v>
      </c>
      <c r="U1033" s="198" t="s">
        <v>2272</v>
      </c>
      <c r="V1033" s="198" t="s">
        <v>2272</v>
      </c>
      <c r="W1033" s="198" t="s">
        <v>2272</v>
      </c>
      <c r="X1033" s="198" t="s">
        <v>2272</v>
      </c>
      <c r="Y1033" s="198" t="s">
        <v>2272</v>
      </c>
      <c r="Z1033" s="198" t="s">
        <v>2272</v>
      </c>
      <c r="AA1033" s="198" t="s">
        <v>2272</v>
      </c>
      <c r="AB1033" s="198" t="s">
        <v>2272</v>
      </c>
      <c r="AC1033" s="198" t="s">
        <v>2272</v>
      </c>
      <c r="AD1033" s="198"/>
      <c r="AE1033" s="198"/>
    </row>
    <row r="1034" spans="1:31" ht="40" customHeight="1">
      <c r="A1034" s="198" t="s">
        <v>3126</v>
      </c>
      <c r="B1034" s="198" t="s">
        <v>3182</v>
      </c>
      <c r="C1034" s="198" t="s">
        <v>23</v>
      </c>
      <c r="D1034" s="198" t="s">
        <v>404</v>
      </c>
      <c r="E1034" s="198" t="s">
        <v>128</v>
      </c>
      <c r="F1034" s="4" t="s">
        <v>2272</v>
      </c>
      <c r="G1034" s="198" t="s">
        <v>2272</v>
      </c>
      <c r="H1034" s="198" t="s">
        <v>521</v>
      </c>
      <c r="I1034" s="198"/>
      <c r="J1034" s="198" t="s">
        <v>2272</v>
      </c>
      <c r="K1034" s="198" t="s">
        <v>2272</v>
      </c>
      <c r="L1034" s="198" t="s">
        <v>2272</v>
      </c>
      <c r="M1034" s="198" t="s">
        <v>2272</v>
      </c>
      <c r="N1034" s="198" t="s">
        <v>2272</v>
      </c>
      <c r="O1034" s="198" t="s">
        <v>2272</v>
      </c>
      <c r="P1034" s="198" t="s">
        <v>2272</v>
      </c>
      <c r="Q1034" s="198" t="s">
        <v>2272</v>
      </c>
      <c r="R1034" s="198" t="s">
        <v>2272</v>
      </c>
      <c r="S1034" s="198" t="s">
        <v>2272</v>
      </c>
      <c r="T1034" s="198" t="s">
        <v>2272</v>
      </c>
      <c r="U1034" s="198" t="s">
        <v>2272</v>
      </c>
      <c r="V1034" s="198" t="s">
        <v>2272</v>
      </c>
      <c r="W1034" s="198" t="s">
        <v>2272</v>
      </c>
      <c r="X1034" s="198" t="s">
        <v>2272</v>
      </c>
      <c r="Y1034" s="198" t="s">
        <v>2272</v>
      </c>
      <c r="Z1034" s="198" t="s">
        <v>2272</v>
      </c>
      <c r="AA1034" s="198" t="s">
        <v>2272</v>
      </c>
      <c r="AB1034" s="198" t="s">
        <v>2272</v>
      </c>
      <c r="AC1034" s="198" t="s">
        <v>2272</v>
      </c>
      <c r="AD1034" s="198"/>
      <c r="AE1034" s="198"/>
    </row>
    <row r="1035" spans="1:31" ht="40" customHeight="1">
      <c r="A1035" s="198" t="s">
        <v>3126</v>
      </c>
      <c r="B1035" s="198" t="s">
        <v>3183</v>
      </c>
      <c r="C1035" s="35" t="s">
        <v>23</v>
      </c>
      <c r="D1035" s="35" t="s">
        <v>2989</v>
      </c>
      <c r="E1035" s="35" t="s">
        <v>128</v>
      </c>
      <c r="F1035" s="163" t="s">
        <v>2272</v>
      </c>
      <c r="G1035" s="198" t="s">
        <v>2272</v>
      </c>
      <c r="H1035" s="35" t="s">
        <v>521</v>
      </c>
      <c r="I1035" s="198"/>
      <c r="J1035" s="198" t="s">
        <v>2272</v>
      </c>
      <c r="K1035" s="198" t="s">
        <v>2272</v>
      </c>
      <c r="L1035" s="198" t="s">
        <v>2272</v>
      </c>
      <c r="M1035" s="198" t="s">
        <v>2272</v>
      </c>
      <c r="N1035" s="198" t="s">
        <v>2272</v>
      </c>
      <c r="O1035" s="198" t="s">
        <v>2272</v>
      </c>
      <c r="P1035" s="198" t="s">
        <v>2272</v>
      </c>
      <c r="Q1035" s="198" t="s">
        <v>2272</v>
      </c>
      <c r="R1035" s="198" t="s">
        <v>2272</v>
      </c>
      <c r="S1035" s="198" t="s">
        <v>2272</v>
      </c>
      <c r="T1035" s="198" t="s">
        <v>2272</v>
      </c>
      <c r="U1035" s="198" t="s">
        <v>2272</v>
      </c>
      <c r="V1035" s="198" t="s">
        <v>2272</v>
      </c>
      <c r="W1035" s="198" t="s">
        <v>2272</v>
      </c>
      <c r="X1035" s="198" t="s">
        <v>2272</v>
      </c>
      <c r="Y1035" s="198" t="s">
        <v>2272</v>
      </c>
      <c r="Z1035" s="198" t="s">
        <v>2272</v>
      </c>
      <c r="AA1035" s="198" t="s">
        <v>2272</v>
      </c>
      <c r="AB1035" s="198" t="s">
        <v>2272</v>
      </c>
      <c r="AC1035" s="198" t="s">
        <v>2272</v>
      </c>
      <c r="AD1035" s="198"/>
      <c r="AE1035" s="198"/>
    </row>
    <row r="1036" spans="1:31" ht="40" customHeight="1">
      <c r="A1036" s="198" t="s">
        <v>3126</v>
      </c>
      <c r="B1036" s="198" t="s">
        <v>3184</v>
      </c>
      <c r="C1036" s="198" t="s">
        <v>23</v>
      </c>
      <c r="D1036" s="198" t="s">
        <v>1238</v>
      </c>
      <c r="E1036" s="198" t="s">
        <v>114</v>
      </c>
      <c r="F1036" s="4" t="s">
        <v>2657</v>
      </c>
      <c r="G1036" s="198" t="s">
        <v>2272</v>
      </c>
      <c r="H1036" s="198" t="s">
        <v>521</v>
      </c>
      <c r="I1036" s="198"/>
      <c r="J1036" s="198" t="s">
        <v>2272</v>
      </c>
      <c r="K1036" s="198" t="s">
        <v>2272</v>
      </c>
      <c r="L1036" s="198" t="s">
        <v>2272</v>
      </c>
      <c r="M1036" s="198" t="s">
        <v>2272</v>
      </c>
      <c r="N1036" s="198" t="s">
        <v>2272</v>
      </c>
      <c r="O1036" s="198" t="s">
        <v>2272</v>
      </c>
      <c r="P1036" s="198" t="s">
        <v>2272</v>
      </c>
      <c r="Q1036" s="198" t="s">
        <v>2272</v>
      </c>
      <c r="R1036" s="198" t="s">
        <v>2272</v>
      </c>
      <c r="S1036" s="198" t="s">
        <v>2272</v>
      </c>
      <c r="T1036" s="198" t="s">
        <v>2272</v>
      </c>
      <c r="U1036" s="198" t="s">
        <v>2272</v>
      </c>
      <c r="V1036" s="198" t="s">
        <v>2272</v>
      </c>
      <c r="W1036" s="198" t="s">
        <v>2272</v>
      </c>
      <c r="X1036" s="198" t="s">
        <v>2272</v>
      </c>
      <c r="Y1036" s="198" t="s">
        <v>2272</v>
      </c>
      <c r="Z1036" s="198" t="s">
        <v>2272</v>
      </c>
      <c r="AA1036" s="198" t="s">
        <v>2272</v>
      </c>
      <c r="AB1036" s="198" t="s">
        <v>2272</v>
      </c>
      <c r="AC1036" s="198" t="s">
        <v>2272</v>
      </c>
      <c r="AD1036" s="198"/>
      <c r="AE1036" s="198"/>
    </row>
    <row r="1037" spans="1:31" ht="40" customHeight="1">
      <c r="A1037" s="198" t="s">
        <v>3126</v>
      </c>
      <c r="B1037" s="198" t="s">
        <v>3185</v>
      </c>
      <c r="C1037" s="198" t="s">
        <v>23</v>
      </c>
      <c r="D1037" s="198" t="s">
        <v>1238</v>
      </c>
      <c r="E1037" s="198" t="s">
        <v>128</v>
      </c>
      <c r="F1037" s="4" t="s">
        <v>2657</v>
      </c>
      <c r="G1037" s="198" t="s">
        <v>2272</v>
      </c>
      <c r="H1037" s="198" t="s">
        <v>521</v>
      </c>
      <c r="I1037" s="198"/>
      <c r="J1037" s="198" t="s">
        <v>2272</v>
      </c>
      <c r="K1037" s="198" t="s">
        <v>2272</v>
      </c>
      <c r="L1037" s="198" t="s">
        <v>2272</v>
      </c>
      <c r="M1037" s="198" t="s">
        <v>2272</v>
      </c>
      <c r="N1037" s="198" t="s">
        <v>2272</v>
      </c>
      <c r="O1037" s="198" t="s">
        <v>2272</v>
      </c>
      <c r="P1037" s="198" t="s">
        <v>2272</v>
      </c>
      <c r="Q1037" s="198" t="s">
        <v>2272</v>
      </c>
      <c r="R1037" s="198" t="s">
        <v>2272</v>
      </c>
      <c r="S1037" s="198" t="s">
        <v>2272</v>
      </c>
      <c r="T1037" s="198" t="s">
        <v>2272</v>
      </c>
      <c r="U1037" s="198" t="s">
        <v>2272</v>
      </c>
      <c r="V1037" s="198" t="s">
        <v>2272</v>
      </c>
      <c r="W1037" s="198" t="s">
        <v>2272</v>
      </c>
      <c r="X1037" s="198" t="s">
        <v>2272</v>
      </c>
      <c r="Y1037" s="198" t="s">
        <v>2272</v>
      </c>
      <c r="Z1037" s="198" t="s">
        <v>2272</v>
      </c>
      <c r="AA1037" s="198" t="s">
        <v>2272</v>
      </c>
      <c r="AB1037" s="198" t="s">
        <v>2272</v>
      </c>
      <c r="AC1037" s="198" t="s">
        <v>2272</v>
      </c>
      <c r="AD1037" s="198"/>
      <c r="AE1037" s="198"/>
    </row>
    <row r="1038" spans="1:31" ht="40" customHeight="1">
      <c r="A1038" s="198" t="s">
        <v>3127</v>
      </c>
      <c r="B1038" s="198" t="s">
        <v>3136</v>
      </c>
      <c r="C1038" s="198" t="s">
        <v>23</v>
      </c>
      <c r="D1038" s="198" t="s">
        <v>26</v>
      </c>
      <c r="E1038" s="198" t="s">
        <v>128</v>
      </c>
      <c r="F1038" s="4" t="s">
        <v>159</v>
      </c>
      <c r="G1038" s="198" t="s">
        <v>2272</v>
      </c>
      <c r="H1038" s="198" t="s">
        <v>521</v>
      </c>
      <c r="I1038" s="198"/>
      <c r="J1038" s="198" t="s">
        <v>2272</v>
      </c>
      <c r="K1038" s="198" t="s">
        <v>2272</v>
      </c>
      <c r="L1038" s="198" t="s">
        <v>2272</v>
      </c>
      <c r="M1038" s="198" t="s">
        <v>2272</v>
      </c>
      <c r="N1038" s="198" t="s">
        <v>2272</v>
      </c>
      <c r="O1038" s="198" t="s">
        <v>2272</v>
      </c>
      <c r="P1038" s="198" t="s">
        <v>2272</v>
      </c>
      <c r="Q1038" s="198" t="s">
        <v>2272</v>
      </c>
      <c r="R1038" s="198" t="s">
        <v>2272</v>
      </c>
      <c r="S1038" s="198" t="s">
        <v>2272</v>
      </c>
      <c r="T1038" s="198" t="s">
        <v>2272</v>
      </c>
      <c r="U1038" s="198" t="s">
        <v>2272</v>
      </c>
      <c r="V1038" s="198" t="s">
        <v>2272</v>
      </c>
      <c r="W1038" s="198" t="s">
        <v>2272</v>
      </c>
      <c r="X1038" s="198" t="s">
        <v>2272</v>
      </c>
      <c r="Y1038" s="198" t="s">
        <v>2272</v>
      </c>
      <c r="Z1038" s="198" t="s">
        <v>2272</v>
      </c>
      <c r="AA1038" s="198" t="s">
        <v>2272</v>
      </c>
      <c r="AB1038" s="198" t="s">
        <v>2272</v>
      </c>
      <c r="AC1038" s="198" t="s">
        <v>2272</v>
      </c>
      <c r="AD1038" s="198"/>
      <c r="AE1038" s="198" t="s">
        <v>3141</v>
      </c>
    </row>
    <row r="1039" spans="1:31" ht="40" customHeight="1">
      <c r="A1039" s="198" t="s">
        <v>3127</v>
      </c>
      <c r="B1039" s="198" t="s">
        <v>3186</v>
      </c>
      <c r="C1039" s="198" t="s">
        <v>23</v>
      </c>
      <c r="D1039" s="198" t="s">
        <v>1241</v>
      </c>
      <c r="E1039" s="198" t="s">
        <v>114</v>
      </c>
      <c r="F1039" s="4" t="s">
        <v>73</v>
      </c>
      <c r="G1039" s="198" t="s">
        <v>2272</v>
      </c>
      <c r="H1039" s="198" t="s">
        <v>521</v>
      </c>
      <c r="I1039" s="198"/>
      <c r="J1039" s="198" t="s">
        <v>2272</v>
      </c>
      <c r="K1039" s="198" t="s">
        <v>2272</v>
      </c>
      <c r="L1039" s="198" t="s">
        <v>2272</v>
      </c>
      <c r="M1039" s="198" t="s">
        <v>2272</v>
      </c>
      <c r="N1039" s="198" t="s">
        <v>2272</v>
      </c>
      <c r="O1039" s="198" t="s">
        <v>2272</v>
      </c>
      <c r="P1039" s="198" t="s">
        <v>2272</v>
      </c>
      <c r="Q1039" s="198" t="s">
        <v>2272</v>
      </c>
      <c r="R1039" s="198" t="s">
        <v>2272</v>
      </c>
      <c r="S1039" s="198" t="s">
        <v>2272</v>
      </c>
      <c r="T1039" s="198" t="s">
        <v>2272</v>
      </c>
      <c r="U1039" s="198" t="s">
        <v>2272</v>
      </c>
      <c r="V1039" s="198" t="s">
        <v>2272</v>
      </c>
      <c r="W1039" s="198" t="s">
        <v>2272</v>
      </c>
      <c r="X1039" s="198" t="s">
        <v>2272</v>
      </c>
      <c r="Y1039" s="198" t="s">
        <v>2272</v>
      </c>
      <c r="Z1039" s="198" t="s">
        <v>2272</v>
      </c>
      <c r="AA1039" s="198" t="s">
        <v>2272</v>
      </c>
      <c r="AB1039" s="198" t="s">
        <v>2272</v>
      </c>
      <c r="AC1039" s="198" t="s">
        <v>2272</v>
      </c>
      <c r="AD1039" s="198"/>
      <c r="AE1039" s="198"/>
    </row>
    <row r="1040" spans="1:31" ht="40" customHeight="1">
      <c r="A1040" s="198" t="s">
        <v>3127</v>
      </c>
      <c r="B1040" s="198" t="s">
        <v>3187</v>
      </c>
      <c r="C1040" s="198" t="s">
        <v>23</v>
      </c>
      <c r="D1040" s="198" t="s">
        <v>1241</v>
      </c>
      <c r="E1040" s="198" t="s">
        <v>114</v>
      </c>
      <c r="F1040" s="4" t="s">
        <v>2657</v>
      </c>
      <c r="G1040" s="198" t="s">
        <v>2272</v>
      </c>
      <c r="H1040" s="198" t="s">
        <v>521</v>
      </c>
      <c r="I1040" s="198"/>
      <c r="J1040" s="198" t="s">
        <v>2272</v>
      </c>
      <c r="K1040" s="198" t="s">
        <v>2272</v>
      </c>
      <c r="L1040" s="198" t="s">
        <v>2272</v>
      </c>
      <c r="M1040" s="198" t="s">
        <v>2272</v>
      </c>
      <c r="N1040" s="198" t="s">
        <v>2272</v>
      </c>
      <c r="O1040" s="198" t="s">
        <v>2272</v>
      </c>
      <c r="P1040" s="198" t="s">
        <v>2272</v>
      </c>
      <c r="Q1040" s="198" t="s">
        <v>2272</v>
      </c>
      <c r="R1040" s="198" t="s">
        <v>2272</v>
      </c>
      <c r="S1040" s="198" t="s">
        <v>2272</v>
      </c>
      <c r="T1040" s="198" t="s">
        <v>2272</v>
      </c>
      <c r="U1040" s="198" t="s">
        <v>2272</v>
      </c>
      <c r="V1040" s="198" t="s">
        <v>2272</v>
      </c>
      <c r="W1040" s="198" t="s">
        <v>2272</v>
      </c>
      <c r="X1040" s="198" t="s">
        <v>2272</v>
      </c>
      <c r="Y1040" s="198" t="s">
        <v>2272</v>
      </c>
      <c r="Z1040" s="198" t="s">
        <v>2272</v>
      </c>
      <c r="AA1040" s="198" t="s">
        <v>2272</v>
      </c>
      <c r="AB1040" s="198" t="s">
        <v>2272</v>
      </c>
      <c r="AC1040" s="198" t="s">
        <v>2272</v>
      </c>
      <c r="AD1040" s="198"/>
      <c r="AE1040" s="198"/>
    </row>
    <row r="1041" spans="1:31" ht="40" customHeight="1">
      <c r="A1041" s="198" t="s">
        <v>3127</v>
      </c>
      <c r="B1041" s="198" t="s">
        <v>3188</v>
      </c>
      <c r="C1041" s="198" t="s">
        <v>23</v>
      </c>
      <c r="D1041" s="198" t="s">
        <v>2301</v>
      </c>
      <c r="E1041" s="198" t="s">
        <v>114</v>
      </c>
      <c r="F1041" s="4" t="s">
        <v>2272</v>
      </c>
      <c r="G1041" s="198" t="s">
        <v>2272</v>
      </c>
      <c r="H1041" s="198" t="s">
        <v>521</v>
      </c>
      <c r="I1041" s="198"/>
      <c r="J1041" s="198" t="s">
        <v>2272</v>
      </c>
      <c r="K1041" s="198" t="s">
        <v>2272</v>
      </c>
      <c r="L1041" s="198" t="s">
        <v>2272</v>
      </c>
      <c r="M1041" s="198" t="s">
        <v>2272</v>
      </c>
      <c r="N1041" s="198" t="s">
        <v>2272</v>
      </c>
      <c r="O1041" s="198" t="s">
        <v>2272</v>
      </c>
      <c r="P1041" s="198" t="s">
        <v>2272</v>
      </c>
      <c r="Q1041" s="198" t="s">
        <v>2272</v>
      </c>
      <c r="R1041" s="198" t="s">
        <v>2272</v>
      </c>
      <c r="S1041" s="198" t="s">
        <v>2272</v>
      </c>
      <c r="T1041" s="198" t="s">
        <v>2272</v>
      </c>
      <c r="U1041" s="198" t="s">
        <v>2272</v>
      </c>
      <c r="V1041" s="198" t="s">
        <v>2272</v>
      </c>
      <c r="W1041" s="198" t="s">
        <v>2272</v>
      </c>
      <c r="X1041" s="198" t="s">
        <v>2272</v>
      </c>
      <c r="Y1041" s="198" t="s">
        <v>2272</v>
      </c>
      <c r="Z1041" s="198" t="s">
        <v>2272</v>
      </c>
      <c r="AA1041" s="198" t="s">
        <v>2272</v>
      </c>
      <c r="AB1041" s="198" t="s">
        <v>2272</v>
      </c>
      <c r="AC1041" s="198" t="s">
        <v>2272</v>
      </c>
      <c r="AD1041" s="4" t="s">
        <v>3154</v>
      </c>
      <c r="AE1041" s="198"/>
    </row>
    <row r="1042" spans="1:31" ht="40" customHeight="1">
      <c r="A1042" s="198" t="s">
        <v>3127</v>
      </c>
      <c r="B1042" s="198" t="s">
        <v>3189</v>
      </c>
      <c r="C1042" s="198" t="s">
        <v>23</v>
      </c>
      <c r="D1042" s="198" t="s">
        <v>25</v>
      </c>
      <c r="E1042" s="198" t="s">
        <v>114</v>
      </c>
      <c r="F1042" s="4" t="s">
        <v>2272</v>
      </c>
      <c r="G1042" s="198" t="s">
        <v>2272</v>
      </c>
      <c r="H1042" s="198" t="s">
        <v>521</v>
      </c>
      <c r="I1042" s="198"/>
      <c r="J1042" s="198" t="s">
        <v>2272</v>
      </c>
      <c r="K1042" s="198" t="s">
        <v>2272</v>
      </c>
      <c r="L1042" s="198" t="s">
        <v>2272</v>
      </c>
      <c r="M1042" s="198" t="s">
        <v>2272</v>
      </c>
      <c r="N1042" s="198" t="s">
        <v>2272</v>
      </c>
      <c r="O1042" s="198" t="s">
        <v>2272</v>
      </c>
      <c r="P1042" s="198" t="s">
        <v>2272</v>
      </c>
      <c r="Q1042" s="198" t="s">
        <v>2272</v>
      </c>
      <c r="R1042" s="198" t="s">
        <v>2272</v>
      </c>
      <c r="S1042" s="198" t="s">
        <v>2272</v>
      </c>
      <c r="T1042" s="198" t="s">
        <v>2272</v>
      </c>
      <c r="U1042" s="198" t="s">
        <v>2272</v>
      </c>
      <c r="V1042" s="198" t="s">
        <v>2272</v>
      </c>
      <c r="W1042" s="198" t="s">
        <v>2272</v>
      </c>
      <c r="X1042" s="198" t="s">
        <v>2272</v>
      </c>
      <c r="Y1042" s="198" t="s">
        <v>2272</v>
      </c>
      <c r="Z1042" s="198" t="s">
        <v>2272</v>
      </c>
      <c r="AA1042" s="198" t="s">
        <v>2272</v>
      </c>
      <c r="AB1042" s="198" t="s">
        <v>2272</v>
      </c>
      <c r="AC1042" s="198" t="s">
        <v>2272</v>
      </c>
      <c r="AD1042" s="198"/>
      <c r="AE1042" s="198"/>
    </row>
    <row r="1043" spans="1:31" ht="40" customHeight="1">
      <c r="A1043" s="198" t="s">
        <v>3127</v>
      </c>
      <c r="B1043" s="198" t="s">
        <v>3190</v>
      </c>
      <c r="C1043" s="198" t="s">
        <v>23</v>
      </c>
      <c r="D1043" s="198" t="s">
        <v>2337</v>
      </c>
      <c r="E1043" s="198" t="s">
        <v>114</v>
      </c>
      <c r="F1043" s="4" t="s">
        <v>2272</v>
      </c>
      <c r="G1043" s="198" t="s">
        <v>2272</v>
      </c>
      <c r="H1043" s="198" t="s">
        <v>521</v>
      </c>
      <c r="I1043" s="198"/>
      <c r="J1043" s="198" t="s">
        <v>2272</v>
      </c>
      <c r="K1043" s="198" t="s">
        <v>2272</v>
      </c>
      <c r="L1043" s="198" t="s">
        <v>2272</v>
      </c>
      <c r="M1043" s="198" t="s">
        <v>2272</v>
      </c>
      <c r="N1043" s="198" t="s">
        <v>2272</v>
      </c>
      <c r="O1043" s="198" t="s">
        <v>2272</v>
      </c>
      <c r="P1043" s="198" t="s">
        <v>2272</v>
      </c>
      <c r="Q1043" s="198" t="s">
        <v>2272</v>
      </c>
      <c r="R1043" s="198" t="s">
        <v>2272</v>
      </c>
      <c r="S1043" s="198" t="s">
        <v>2272</v>
      </c>
      <c r="T1043" s="198" t="s">
        <v>2272</v>
      </c>
      <c r="U1043" s="198" t="s">
        <v>2272</v>
      </c>
      <c r="V1043" s="198" t="s">
        <v>2272</v>
      </c>
      <c r="W1043" s="198" t="s">
        <v>2272</v>
      </c>
      <c r="X1043" s="198" t="s">
        <v>2272</v>
      </c>
      <c r="Y1043" s="198" t="s">
        <v>2272</v>
      </c>
      <c r="Z1043" s="198" t="s">
        <v>2272</v>
      </c>
      <c r="AA1043" s="198" t="s">
        <v>2272</v>
      </c>
      <c r="AB1043" s="198" t="s">
        <v>2272</v>
      </c>
      <c r="AC1043" s="198" t="s">
        <v>2272</v>
      </c>
      <c r="AD1043" s="198"/>
      <c r="AE1043" s="198"/>
    </row>
    <row r="1044" spans="1:31" ht="40" customHeight="1">
      <c r="A1044" s="198" t="s">
        <v>3127</v>
      </c>
      <c r="B1044" s="198" t="s">
        <v>3191</v>
      </c>
      <c r="C1044" s="198" t="s">
        <v>23</v>
      </c>
      <c r="D1044" s="198" t="s">
        <v>404</v>
      </c>
      <c r="E1044" s="198" t="s">
        <v>114</v>
      </c>
      <c r="F1044" s="4" t="s">
        <v>2272</v>
      </c>
      <c r="G1044" s="198" t="s">
        <v>2272</v>
      </c>
      <c r="H1044" s="198" t="s">
        <v>521</v>
      </c>
      <c r="I1044" s="198"/>
      <c r="J1044" s="198" t="s">
        <v>2272</v>
      </c>
      <c r="K1044" s="198" t="s">
        <v>2272</v>
      </c>
      <c r="L1044" s="198" t="s">
        <v>2272</v>
      </c>
      <c r="M1044" s="198" t="s">
        <v>2272</v>
      </c>
      <c r="N1044" s="198" t="s">
        <v>2272</v>
      </c>
      <c r="O1044" s="198" t="s">
        <v>2272</v>
      </c>
      <c r="P1044" s="198" t="s">
        <v>2272</v>
      </c>
      <c r="Q1044" s="198" t="s">
        <v>2272</v>
      </c>
      <c r="R1044" s="198" t="s">
        <v>2272</v>
      </c>
      <c r="S1044" s="198" t="s">
        <v>2272</v>
      </c>
      <c r="T1044" s="198" t="s">
        <v>2272</v>
      </c>
      <c r="U1044" s="198" t="s">
        <v>2272</v>
      </c>
      <c r="V1044" s="198" t="s">
        <v>2272</v>
      </c>
      <c r="W1044" s="198" t="s">
        <v>2272</v>
      </c>
      <c r="X1044" s="198" t="s">
        <v>2272</v>
      </c>
      <c r="Y1044" s="198" t="s">
        <v>2272</v>
      </c>
      <c r="Z1044" s="198" t="s">
        <v>2272</v>
      </c>
      <c r="AA1044" s="198" t="s">
        <v>2272</v>
      </c>
      <c r="AB1044" s="198" t="s">
        <v>2272</v>
      </c>
      <c r="AC1044" s="198" t="s">
        <v>2272</v>
      </c>
      <c r="AD1044" s="198"/>
      <c r="AE1044" s="198"/>
    </row>
    <row r="1045" spans="1:31" ht="40" customHeight="1">
      <c r="A1045" s="198" t="s">
        <v>3127</v>
      </c>
      <c r="B1045" s="198" t="s">
        <v>3192</v>
      </c>
      <c r="C1045" s="198" t="s">
        <v>23</v>
      </c>
      <c r="D1045" s="198" t="s">
        <v>2989</v>
      </c>
      <c r="E1045" s="198" t="s">
        <v>114</v>
      </c>
      <c r="F1045" s="4" t="s">
        <v>2272</v>
      </c>
      <c r="G1045" s="198" t="s">
        <v>2272</v>
      </c>
      <c r="H1045" s="198" t="s">
        <v>521</v>
      </c>
      <c r="I1045" s="198"/>
      <c r="J1045" s="198" t="s">
        <v>2272</v>
      </c>
      <c r="K1045" s="198" t="s">
        <v>2272</v>
      </c>
      <c r="L1045" s="198" t="s">
        <v>2272</v>
      </c>
      <c r="M1045" s="198" t="s">
        <v>2272</v>
      </c>
      <c r="N1045" s="198" t="s">
        <v>2272</v>
      </c>
      <c r="O1045" s="198" t="s">
        <v>2272</v>
      </c>
      <c r="P1045" s="198" t="s">
        <v>2272</v>
      </c>
      <c r="Q1045" s="198" t="s">
        <v>2272</v>
      </c>
      <c r="R1045" s="198" t="s">
        <v>2272</v>
      </c>
      <c r="S1045" s="198" t="s">
        <v>2272</v>
      </c>
      <c r="T1045" s="198" t="s">
        <v>2272</v>
      </c>
      <c r="U1045" s="198" t="s">
        <v>2272</v>
      </c>
      <c r="V1045" s="198" t="s">
        <v>2272</v>
      </c>
      <c r="W1045" s="198" t="s">
        <v>2272</v>
      </c>
      <c r="X1045" s="198" t="s">
        <v>2272</v>
      </c>
      <c r="Y1045" s="198" t="s">
        <v>2272</v>
      </c>
      <c r="Z1045" s="198" t="s">
        <v>2272</v>
      </c>
      <c r="AA1045" s="198" t="s">
        <v>2272</v>
      </c>
      <c r="AB1045" s="198" t="s">
        <v>2272</v>
      </c>
      <c r="AC1045" s="198" t="s">
        <v>2272</v>
      </c>
      <c r="AD1045" s="198"/>
      <c r="AE1045" s="198"/>
    </row>
    <row r="1046" spans="1:31" ht="40" customHeight="1">
      <c r="A1046" s="198" t="s">
        <v>3127</v>
      </c>
      <c r="B1046" s="198" t="s">
        <v>3193</v>
      </c>
      <c r="C1046" s="198" t="s">
        <v>23</v>
      </c>
      <c r="D1046" s="198" t="s">
        <v>25</v>
      </c>
      <c r="E1046" s="198" t="s">
        <v>128</v>
      </c>
      <c r="F1046" s="4" t="s">
        <v>2272</v>
      </c>
      <c r="G1046" s="198" t="s">
        <v>2272</v>
      </c>
      <c r="H1046" s="198" t="s">
        <v>521</v>
      </c>
      <c r="I1046" s="198"/>
      <c r="J1046" s="198" t="s">
        <v>2272</v>
      </c>
      <c r="K1046" s="198" t="s">
        <v>2272</v>
      </c>
      <c r="L1046" s="198" t="s">
        <v>2272</v>
      </c>
      <c r="M1046" s="198" t="s">
        <v>2272</v>
      </c>
      <c r="N1046" s="198" t="s">
        <v>2272</v>
      </c>
      <c r="O1046" s="198" t="s">
        <v>2272</v>
      </c>
      <c r="P1046" s="198" t="s">
        <v>2272</v>
      </c>
      <c r="Q1046" s="198" t="s">
        <v>2272</v>
      </c>
      <c r="R1046" s="198" t="s">
        <v>2272</v>
      </c>
      <c r="S1046" s="198" t="s">
        <v>2272</v>
      </c>
      <c r="T1046" s="198" t="s">
        <v>2272</v>
      </c>
      <c r="U1046" s="198" t="s">
        <v>2272</v>
      </c>
      <c r="V1046" s="198" t="s">
        <v>2272</v>
      </c>
      <c r="W1046" s="198" t="s">
        <v>2272</v>
      </c>
      <c r="X1046" s="198" t="s">
        <v>2272</v>
      </c>
      <c r="Y1046" s="198" t="s">
        <v>2272</v>
      </c>
      <c r="Z1046" s="198" t="s">
        <v>2272</v>
      </c>
      <c r="AA1046" s="198" t="s">
        <v>2272</v>
      </c>
      <c r="AB1046" s="198" t="s">
        <v>2272</v>
      </c>
      <c r="AC1046" s="198" t="s">
        <v>2272</v>
      </c>
      <c r="AD1046" s="198"/>
      <c r="AE1046" s="198"/>
    </row>
    <row r="1047" spans="1:31" ht="40" customHeight="1">
      <c r="A1047" s="198" t="s">
        <v>3127</v>
      </c>
      <c r="B1047" s="198" t="s">
        <v>3194</v>
      </c>
      <c r="C1047" s="198" t="s">
        <v>23</v>
      </c>
      <c r="D1047" s="198" t="s">
        <v>2337</v>
      </c>
      <c r="E1047" s="198" t="s">
        <v>128</v>
      </c>
      <c r="F1047" s="4" t="s">
        <v>2272</v>
      </c>
      <c r="G1047" s="198" t="s">
        <v>2272</v>
      </c>
      <c r="H1047" s="198" t="s">
        <v>521</v>
      </c>
      <c r="I1047" s="198"/>
      <c r="J1047" s="198" t="s">
        <v>2272</v>
      </c>
      <c r="K1047" s="198" t="s">
        <v>2272</v>
      </c>
      <c r="L1047" s="198" t="s">
        <v>2272</v>
      </c>
      <c r="M1047" s="198" t="s">
        <v>2272</v>
      </c>
      <c r="N1047" s="198" t="s">
        <v>2272</v>
      </c>
      <c r="O1047" s="198" t="s">
        <v>2272</v>
      </c>
      <c r="P1047" s="198" t="s">
        <v>2272</v>
      </c>
      <c r="Q1047" s="198" t="s">
        <v>2272</v>
      </c>
      <c r="R1047" s="198" t="s">
        <v>2272</v>
      </c>
      <c r="S1047" s="198" t="s">
        <v>2272</v>
      </c>
      <c r="T1047" s="198" t="s">
        <v>2272</v>
      </c>
      <c r="U1047" s="198" t="s">
        <v>2272</v>
      </c>
      <c r="V1047" s="198" t="s">
        <v>2272</v>
      </c>
      <c r="W1047" s="198" t="s">
        <v>2272</v>
      </c>
      <c r="X1047" s="198" t="s">
        <v>2272</v>
      </c>
      <c r="Y1047" s="198" t="s">
        <v>2272</v>
      </c>
      <c r="Z1047" s="198" t="s">
        <v>2272</v>
      </c>
      <c r="AA1047" s="198" t="s">
        <v>2272</v>
      </c>
      <c r="AB1047" s="198" t="s">
        <v>2272</v>
      </c>
      <c r="AC1047" s="198" t="s">
        <v>2272</v>
      </c>
      <c r="AD1047" s="198"/>
      <c r="AE1047" s="198"/>
    </row>
    <row r="1048" spans="1:31" ht="40" customHeight="1">
      <c r="A1048" s="198" t="s">
        <v>3127</v>
      </c>
      <c r="B1048" s="198" t="s">
        <v>3195</v>
      </c>
      <c r="C1048" s="198" t="s">
        <v>23</v>
      </c>
      <c r="D1048" s="198" t="s">
        <v>404</v>
      </c>
      <c r="E1048" s="198" t="s">
        <v>128</v>
      </c>
      <c r="F1048" s="4" t="s">
        <v>2272</v>
      </c>
      <c r="G1048" s="198" t="s">
        <v>2272</v>
      </c>
      <c r="H1048" s="198" t="s">
        <v>521</v>
      </c>
      <c r="I1048" s="198"/>
      <c r="J1048" s="198" t="s">
        <v>2272</v>
      </c>
      <c r="K1048" s="198" t="s">
        <v>2272</v>
      </c>
      <c r="L1048" s="198" t="s">
        <v>2272</v>
      </c>
      <c r="M1048" s="198" t="s">
        <v>2272</v>
      </c>
      <c r="N1048" s="198" t="s">
        <v>2272</v>
      </c>
      <c r="O1048" s="198" t="s">
        <v>2272</v>
      </c>
      <c r="P1048" s="198" t="s">
        <v>2272</v>
      </c>
      <c r="Q1048" s="198" t="s">
        <v>2272</v>
      </c>
      <c r="R1048" s="198" t="s">
        <v>2272</v>
      </c>
      <c r="S1048" s="198" t="s">
        <v>2272</v>
      </c>
      <c r="T1048" s="198" t="s">
        <v>2272</v>
      </c>
      <c r="U1048" s="198" t="s">
        <v>2272</v>
      </c>
      <c r="V1048" s="198" t="s">
        <v>2272</v>
      </c>
      <c r="W1048" s="198" t="s">
        <v>2272</v>
      </c>
      <c r="X1048" s="198" t="s">
        <v>2272</v>
      </c>
      <c r="Y1048" s="198" t="s">
        <v>2272</v>
      </c>
      <c r="Z1048" s="198" t="s">
        <v>2272</v>
      </c>
      <c r="AA1048" s="198" t="s">
        <v>2272</v>
      </c>
      <c r="AB1048" s="198" t="s">
        <v>2272</v>
      </c>
      <c r="AC1048" s="198" t="s">
        <v>2272</v>
      </c>
      <c r="AD1048" s="198"/>
      <c r="AE1048" s="198"/>
    </row>
    <row r="1049" spans="1:31" ht="40" customHeight="1">
      <c r="A1049" s="198" t="s">
        <v>3127</v>
      </c>
      <c r="B1049" s="198" t="s">
        <v>3196</v>
      </c>
      <c r="C1049" s="35" t="s">
        <v>23</v>
      </c>
      <c r="D1049" s="35" t="s">
        <v>2989</v>
      </c>
      <c r="E1049" s="35" t="s">
        <v>128</v>
      </c>
      <c r="F1049" s="163" t="s">
        <v>2272</v>
      </c>
      <c r="G1049" s="198" t="s">
        <v>2272</v>
      </c>
      <c r="H1049" s="35" t="s">
        <v>521</v>
      </c>
      <c r="I1049" s="198"/>
      <c r="J1049" s="198" t="s">
        <v>2272</v>
      </c>
      <c r="K1049" s="198" t="s">
        <v>2272</v>
      </c>
      <c r="L1049" s="198" t="s">
        <v>2272</v>
      </c>
      <c r="M1049" s="198" t="s">
        <v>2272</v>
      </c>
      <c r="N1049" s="198" t="s">
        <v>2272</v>
      </c>
      <c r="O1049" s="198" t="s">
        <v>2272</v>
      </c>
      <c r="P1049" s="198" t="s">
        <v>2272</v>
      </c>
      <c r="Q1049" s="198" t="s">
        <v>2272</v>
      </c>
      <c r="R1049" s="198" t="s">
        <v>2272</v>
      </c>
      <c r="S1049" s="198" t="s">
        <v>2272</v>
      </c>
      <c r="T1049" s="198" t="s">
        <v>2272</v>
      </c>
      <c r="U1049" s="198" t="s">
        <v>2272</v>
      </c>
      <c r="V1049" s="198" t="s">
        <v>2272</v>
      </c>
      <c r="W1049" s="198" t="s">
        <v>2272</v>
      </c>
      <c r="X1049" s="198" t="s">
        <v>2272</v>
      </c>
      <c r="Y1049" s="198" t="s">
        <v>2272</v>
      </c>
      <c r="Z1049" s="198" t="s">
        <v>2272</v>
      </c>
      <c r="AA1049" s="198" t="s">
        <v>2272</v>
      </c>
      <c r="AB1049" s="198" t="s">
        <v>2272</v>
      </c>
      <c r="AC1049" s="198" t="s">
        <v>2272</v>
      </c>
      <c r="AD1049" s="198"/>
      <c r="AE1049" s="198"/>
    </row>
    <row r="1050" spans="1:31" ht="40" customHeight="1">
      <c r="A1050" s="198" t="s">
        <v>3127</v>
      </c>
      <c r="B1050" s="198" t="s">
        <v>3197</v>
      </c>
      <c r="C1050" s="198" t="s">
        <v>23</v>
      </c>
      <c r="D1050" s="198" t="s">
        <v>1238</v>
      </c>
      <c r="E1050" s="198" t="s">
        <v>114</v>
      </c>
      <c r="F1050" s="4" t="s">
        <v>2657</v>
      </c>
      <c r="G1050" s="198" t="s">
        <v>2272</v>
      </c>
      <c r="H1050" s="198" t="s">
        <v>521</v>
      </c>
      <c r="I1050" s="198"/>
      <c r="J1050" s="198" t="s">
        <v>2272</v>
      </c>
      <c r="K1050" s="198" t="s">
        <v>2272</v>
      </c>
      <c r="L1050" s="198" t="s">
        <v>2272</v>
      </c>
      <c r="M1050" s="198" t="s">
        <v>2272</v>
      </c>
      <c r="N1050" s="198" t="s">
        <v>2272</v>
      </c>
      <c r="O1050" s="198" t="s">
        <v>2272</v>
      </c>
      <c r="P1050" s="198" t="s">
        <v>2272</v>
      </c>
      <c r="Q1050" s="198" t="s">
        <v>2272</v>
      </c>
      <c r="R1050" s="198" t="s">
        <v>2272</v>
      </c>
      <c r="S1050" s="198" t="s">
        <v>2272</v>
      </c>
      <c r="T1050" s="198" t="s">
        <v>2272</v>
      </c>
      <c r="U1050" s="198" t="s">
        <v>2272</v>
      </c>
      <c r="V1050" s="198" t="s">
        <v>2272</v>
      </c>
      <c r="W1050" s="198" t="s">
        <v>2272</v>
      </c>
      <c r="X1050" s="198" t="s">
        <v>2272</v>
      </c>
      <c r="Y1050" s="198" t="s">
        <v>2272</v>
      </c>
      <c r="Z1050" s="198" t="s">
        <v>2272</v>
      </c>
      <c r="AA1050" s="198" t="s">
        <v>2272</v>
      </c>
      <c r="AB1050" s="198" t="s">
        <v>2272</v>
      </c>
      <c r="AC1050" s="198" t="s">
        <v>2272</v>
      </c>
      <c r="AD1050" s="198"/>
      <c r="AE1050" s="198"/>
    </row>
    <row r="1051" spans="1:31" ht="40" customHeight="1">
      <c r="A1051" s="198" t="s">
        <v>3127</v>
      </c>
      <c r="B1051" s="198" t="s">
        <v>3198</v>
      </c>
      <c r="C1051" s="198" t="s">
        <v>23</v>
      </c>
      <c r="D1051" s="198" t="s">
        <v>1238</v>
      </c>
      <c r="E1051" s="198" t="s">
        <v>128</v>
      </c>
      <c r="F1051" s="4" t="s">
        <v>2657</v>
      </c>
      <c r="G1051" s="198" t="s">
        <v>2272</v>
      </c>
      <c r="H1051" s="198" t="s">
        <v>521</v>
      </c>
      <c r="I1051" s="198"/>
      <c r="J1051" s="198" t="s">
        <v>2272</v>
      </c>
      <c r="K1051" s="198" t="s">
        <v>2272</v>
      </c>
      <c r="L1051" s="198" t="s">
        <v>2272</v>
      </c>
      <c r="M1051" s="198" t="s">
        <v>2272</v>
      </c>
      <c r="N1051" s="198" t="s">
        <v>2272</v>
      </c>
      <c r="O1051" s="198" t="s">
        <v>2272</v>
      </c>
      <c r="P1051" s="198" t="s">
        <v>2272</v>
      </c>
      <c r="Q1051" s="198" t="s">
        <v>2272</v>
      </c>
      <c r="R1051" s="198" t="s">
        <v>2272</v>
      </c>
      <c r="S1051" s="198" t="s">
        <v>2272</v>
      </c>
      <c r="T1051" s="198" t="s">
        <v>2272</v>
      </c>
      <c r="U1051" s="198" t="s">
        <v>2272</v>
      </c>
      <c r="V1051" s="198" t="s">
        <v>2272</v>
      </c>
      <c r="W1051" s="198" t="s">
        <v>2272</v>
      </c>
      <c r="X1051" s="198" t="s">
        <v>2272</v>
      </c>
      <c r="Y1051" s="198" t="s">
        <v>2272</v>
      </c>
      <c r="Z1051" s="198" t="s">
        <v>2272</v>
      </c>
      <c r="AA1051" s="198" t="s">
        <v>2272</v>
      </c>
      <c r="AB1051" s="198" t="s">
        <v>2272</v>
      </c>
      <c r="AC1051" s="198" t="s">
        <v>2272</v>
      </c>
      <c r="AD1051" s="198"/>
      <c r="AE1051" s="198"/>
    </row>
    <row r="1052" spans="1:31" ht="40" customHeight="1">
      <c r="A1052" s="198" t="s">
        <v>3219</v>
      </c>
      <c r="B1052" s="198" t="s">
        <v>3221</v>
      </c>
      <c r="C1052" s="198" t="s">
        <v>23</v>
      </c>
      <c r="D1052" s="198" t="s">
        <v>26</v>
      </c>
      <c r="E1052" s="198" t="s">
        <v>128</v>
      </c>
      <c r="F1052" s="4" t="s">
        <v>73</v>
      </c>
      <c r="G1052" s="198" t="s">
        <v>2272</v>
      </c>
      <c r="H1052" s="198" t="s">
        <v>521</v>
      </c>
      <c r="I1052" s="198"/>
      <c r="J1052" s="198" t="s">
        <v>2272</v>
      </c>
      <c r="K1052" s="198" t="s">
        <v>2272</v>
      </c>
      <c r="L1052" s="198" t="s">
        <v>2272</v>
      </c>
      <c r="M1052" s="198" t="s">
        <v>2272</v>
      </c>
      <c r="N1052" s="198" t="s">
        <v>2272</v>
      </c>
      <c r="O1052" s="198" t="s">
        <v>2272</v>
      </c>
      <c r="P1052" s="198" t="s">
        <v>2272</v>
      </c>
      <c r="Q1052" s="198" t="s">
        <v>2272</v>
      </c>
      <c r="R1052" s="198" t="s">
        <v>2272</v>
      </c>
      <c r="S1052" s="198" t="s">
        <v>2272</v>
      </c>
      <c r="T1052" s="198" t="s">
        <v>2272</v>
      </c>
      <c r="U1052" s="198" t="s">
        <v>2272</v>
      </c>
      <c r="V1052" s="198" t="s">
        <v>2272</v>
      </c>
      <c r="W1052" s="198" t="s">
        <v>2272</v>
      </c>
      <c r="X1052" s="198" t="s">
        <v>2272</v>
      </c>
      <c r="Y1052" s="198" t="s">
        <v>2272</v>
      </c>
      <c r="Z1052" s="198" t="s">
        <v>2272</v>
      </c>
      <c r="AA1052" s="198" t="s">
        <v>402</v>
      </c>
      <c r="AB1052" s="198" t="s">
        <v>403</v>
      </c>
      <c r="AC1052" s="198" t="s">
        <v>63</v>
      </c>
      <c r="AD1052" s="4" t="s">
        <v>3232</v>
      </c>
      <c r="AE1052" s="198"/>
    </row>
    <row r="1053" spans="1:31" ht="40" customHeight="1">
      <c r="A1053" s="198" t="s">
        <v>3219</v>
      </c>
      <c r="B1053" s="198" t="s">
        <v>3222</v>
      </c>
      <c r="C1053" s="198" t="s">
        <v>23</v>
      </c>
      <c r="D1053" s="198" t="s">
        <v>26</v>
      </c>
      <c r="E1053" s="198" t="s">
        <v>128</v>
      </c>
      <c r="F1053" s="4" t="s">
        <v>27</v>
      </c>
      <c r="G1053" s="198" t="s">
        <v>2272</v>
      </c>
      <c r="H1053" s="198" t="s">
        <v>521</v>
      </c>
      <c r="I1053" s="198"/>
      <c r="J1053" s="198" t="s">
        <v>2272</v>
      </c>
      <c r="K1053" s="198" t="s">
        <v>2272</v>
      </c>
      <c r="L1053" s="198" t="s">
        <v>2272</v>
      </c>
      <c r="M1053" s="198" t="s">
        <v>2272</v>
      </c>
      <c r="N1053" s="198" t="s">
        <v>2272</v>
      </c>
      <c r="O1053" s="198" t="s">
        <v>2272</v>
      </c>
      <c r="P1053" s="198" t="s">
        <v>2272</v>
      </c>
      <c r="Q1053" s="198" t="s">
        <v>2272</v>
      </c>
      <c r="R1053" s="198" t="s">
        <v>2272</v>
      </c>
      <c r="S1053" s="198" t="s">
        <v>2272</v>
      </c>
      <c r="T1053" s="198" t="s">
        <v>2272</v>
      </c>
      <c r="U1053" s="198" t="s">
        <v>2272</v>
      </c>
      <c r="V1053" s="198" t="s">
        <v>2272</v>
      </c>
      <c r="W1053" s="198" t="s">
        <v>2272</v>
      </c>
      <c r="X1053" s="198" t="s">
        <v>2272</v>
      </c>
      <c r="Y1053" s="198" t="s">
        <v>2272</v>
      </c>
      <c r="Z1053" s="21">
        <v>1</v>
      </c>
      <c r="AA1053" s="198" t="s">
        <v>33</v>
      </c>
      <c r="AB1053" s="198" t="s">
        <v>403</v>
      </c>
      <c r="AC1053" s="198" t="s">
        <v>63</v>
      </c>
      <c r="AD1053" s="4" t="s">
        <v>3223</v>
      </c>
      <c r="AE1053" s="198"/>
    </row>
    <row r="1054" spans="1:31" ht="40" customHeight="1">
      <c r="A1054" s="198" t="s">
        <v>3225</v>
      </c>
      <c r="B1054" s="198" t="s">
        <v>3229</v>
      </c>
      <c r="C1054" s="198" t="s">
        <v>23</v>
      </c>
      <c r="D1054" s="198" t="s">
        <v>26</v>
      </c>
      <c r="E1054" s="198" t="s">
        <v>128</v>
      </c>
      <c r="F1054" s="4" t="s">
        <v>73</v>
      </c>
      <c r="G1054" s="198" t="s">
        <v>2272</v>
      </c>
      <c r="H1054" s="198" t="s">
        <v>521</v>
      </c>
      <c r="I1054" s="198"/>
      <c r="J1054" s="198" t="s">
        <v>2272</v>
      </c>
      <c r="K1054" s="198" t="s">
        <v>2272</v>
      </c>
      <c r="L1054" s="198" t="s">
        <v>2272</v>
      </c>
      <c r="M1054" s="198" t="s">
        <v>2272</v>
      </c>
      <c r="N1054" s="198" t="s">
        <v>2272</v>
      </c>
      <c r="O1054" s="198" t="s">
        <v>2272</v>
      </c>
      <c r="P1054" s="198" t="s">
        <v>2272</v>
      </c>
      <c r="Q1054" s="198" t="s">
        <v>2272</v>
      </c>
      <c r="R1054" s="198" t="s">
        <v>2272</v>
      </c>
      <c r="S1054" s="198" t="s">
        <v>2272</v>
      </c>
      <c r="T1054" s="198" t="s">
        <v>2272</v>
      </c>
      <c r="U1054" s="198" t="s">
        <v>2272</v>
      </c>
      <c r="V1054" s="198" t="s">
        <v>2272</v>
      </c>
      <c r="W1054" s="198" t="s">
        <v>2272</v>
      </c>
      <c r="X1054" s="198" t="s">
        <v>2272</v>
      </c>
      <c r="Y1054" s="198" t="s">
        <v>2272</v>
      </c>
      <c r="Z1054" s="198" t="s">
        <v>2272</v>
      </c>
      <c r="AA1054" s="198" t="s">
        <v>84</v>
      </c>
      <c r="AB1054" s="198" t="s">
        <v>403</v>
      </c>
      <c r="AC1054" s="198" t="s">
        <v>63</v>
      </c>
      <c r="AD1054" s="198"/>
      <c r="AE1054" s="198"/>
    </row>
    <row r="1055" spans="1:31" ht="40" customHeight="1">
      <c r="A1055" s="198" t="s">
        <v>3225</v>
      </c>
      <c r="B1055" s="198" t="s">
        <v>3224</v>
      </c>
      <c r="C1055" s="198" t="s">
        <v>23</v>
      </c>
      <c r="D1055" s="198" t="s">
        <v>26</v>
      </c>
      <c r="E1055" s="198" t="s">
        <v>128</v>
      </c>
      <c r="F1055" s="4" t="s">
        <v>27</v>
      </c>
      <c r="G1055" s="198" t="s">
        <v>2272</v>
      </c>
      <c r="H1055" s="198" t="s">
        <v>521</v>
      </c>
      <c r="I1055" s="198"/>
      <c r="J1055" s="198" t="s">
        <v>2272</v>
      </c>
      <c r="K1055" s="198" t="s">
        <v>2272</v>
      </c>
      <c r="L1055" s="198" t="s">
        <v>2272</v>
      </c>
      <c r="M1055" s="198" t="s">
        <v>2272</v>
      </c>
      <c r="N1055" s="198" t="s">
        <v>2272</v>
      </c>
      <c r="O1055" s="198" t="s">
        <v>2272</v>
      </c>
      <c r="P1055" s="198" t="s">
        <v>2272</v>
      </c>
      <c r="Q1055" s="198" t="s">
        <v>2272</v>
      </c>
      <c r="R1055" s="198" t="s">
        <v>2272</v>
      </c>
      <c r="S1055" s="198" t="s">
        <v>2272</v>
      </c>
      <c r="T1055" s="198" t="s">
        <v>2272</v>
      </c>
      <c r="U1055" s="198" t="s">
        <v>2272</v>
      </c>
      <c r="V1055" s="198" t="s">
        <v>2272</v>
      </c>
      <c r="W1055" s="198" t="s">
        <v>2272</v>
      </c>
      <c r="X1055" s="198" t="s">
        <v>2272</v>
      </c>
      <c r="Y1055" s="198" t="s">
        <v>2272</v>
      </c>
      <c r="Z1055" s="21">
        <v>1</v>
      </c>
      <c r="AA1055" s="198" t="s">
        <v>37</v>
      </c>
      <c r="AB1055" s="198" t="s">
        <v>403</v>
      </c>
      <c r="AC1055" s="198" t="s">
        <v>63</v>
      </c>
      <c r="AD1055" s="4" t="s">
        <v>3223</v>
      </c>
      <c r="AE1055" s="198"/>
    </row>
    <row r="1056" spans="1:31" ht="40" customHeight="1">
      <c r="A1056" s="198" t="s">
        <v>3233</v>
      </c>
      <c r="B1056" s="198" t="s">
        <v>3264</v>
      </c>
      <c r="C1056" s="198" t="s">
        <v>23</v>
      </c>
      <c r="D1056" s="198" t="s">
        <v>26</v>
      </c>
      <c r="E1056" s="198" t="s">
        <v>128</v>
      </c>
      <c r="F1056" s="4" t="s">
        <v>159</v>
      </c>
      <c r="G1056" s="198" t="s">
        <v>2272</v>
      </c>
      <c r="H1056" s="198" t="s">
        <v>521</v>
      </c>
      <c r="I1056" s="198"/>
      <c r="J1056" s="198" t="s">
        <v>2272</v>
      </c>
      <c r="K1056" s="198" t="s">
        <v>2272</v>
      </c>
      <c r="L1056" s="198" t="s">
        <v>2272</v>
      </c>
      <c r="M1056" s="198" t="s">
        <v>2272</v>
      </c>
      <c r="N1056" s="198" t="s">
        <v>2272</v>
      </c>
      <c r="O1056" s="198" t="s">
        <v>2272</v>
      </c>
      <c r="P1056" s="198" t="s">
        <v>2272</v>
      </c>
      <c r="Q1056" s="198" t="s">
        <v>2272</v>
      </c>
      <c r="R1056" s="198" t="s">
        <v>2272</v>
      </c>
      <c r="S1056" s="198" t="s">
        <v>2272</v>
      </c>
      <c r="T1056" s="198" t="s">
        <v>2272</v>
      </c>
      <c r="U1056" s="198" t="s">
        <v>2272</v>
      </c>
      <c r="V1056" s="198" t="s">
        <v>2272</v>
      </c>
      <c r="W1056" s="198" t="s">
        <v>2272</v>
      </c>
      <c r="X1056" s="198" t="s">
        <v>2272</v>
      </c>
      <c r="Y1056" s="198" t="s">
        <v>2272</v>
      </c>
      <c r="Z1056" s="198" t="s">
        <v>2272</v>
      </c>
      <c r="AA1056" s="198" t="s">
        <v>2272</v>
      </c>
      <c r="AB1056" s="198" t="s">
        <v>2272</v>
      </c>
      <c r="AC1056" s="198" t="s">
        <v>2272</v>
      </c>
      <c r="AD1056" s="198"/>
      <c r="AE1056" s="4" t="s">
        <v>3278</v>
      </c>
    </row>
    <row r="1057" spans="1:31" ht="40" customHeight="1">
      <c r="A1057" s="198" t="s">
        <v>3236</v>
      </c>
      <c r="B1057" s="198" t="s">
        <v>3265</v>
      </c>
      <c r="C1057" s="198" t="s">
        <v>23</v>
      </c>
      <c r="D1057" s="198" t="s">
        <v>26</v>
      </c>
      <c r="E1057" s="198" t="s">
        <v>128</v>
      </c>
      <c r="F1057" s="4" t="s">
        <v>159</v>
      </c>
      <c r="G1057" s="198" t="s">
        <v>2272</v>
      </c>
      <c r="H1057" s="198" t="s">
        <v>521</v>
      </c>
      <c r="I1057" s="198"/>
      <c r="J1057" s="198" t="s">
        <v>2272</v>
      </c>
      <c r="K1057" s="198" t="s">
        <v>2272</v>
      </c>
      <c r="L1057" s="198" t="s">
        <v>2272</v>
      </c>
      <c r="M1057" s="198" t="s">
        <v>2272</v>
      </c>
      <c r="N1057" s="198" t="s">
        <v>2272</v>
      </c>
      <c r="O1057" s="198" t="s">
        <v>2272</v>
      </c>
      <c r="P1057" s="198" t="s">
        <v>2272</v>
      </c>
      <c r="Q1057" s="198" t="s">
        <v>2272</v>
      </c>
      <c r="R1057" s="198" t="s">
        <v>2272</v>
      </c>
      <c r="S1057" s="198" t="s">
        <v>2272</v>
      </c>
      <c r="T1057" s="198" t="s">
        <v>2272</v>
      </c>
      <c r="U1057" s="198" t="s">
        <v>2272</v>
      </c>
      <c r="V1057" s="198" t="s">
        <v>2272</v>
      </c>
      <c r="W1057" s="198" t="s">
        <v>2272</v>
      </c>
      <c r="X1057" s="198" t="s">
        <v>2272</v>
      </c>
      <c r="Y1057" s="198" t="s">
        <v>2272</v>
      </c>
      <c r="Z1057" s="198" t="s">
        <v>2272</v>
      </c>
      <c r="AA1057" s="198" t="s">
        <v>2272</v>
      </c>
      <c r="AB1057" s="198" t="s">
        <v>2272</v>
      </c>
      <c r="AC1057" s="198" t="s">
        <v>2272</v>
      </c>
      <c r="AD1057" s="198"/>
      <c r="AE1057" s="4" t="s">
        <v>3278</v>
      </c>
    </row>
    <row r="1058" spans="1:31" ht="40" customHeight="1">
      <c r="A1058" s="198" t="s">
        <v>3237</v>
      </c>
      <c r="B1058" s="198" t="s">
        <v>3266</v>
      </c>
      <c r="C1058" s="198" t="s">
        <v>23</v>
      </c>
      <c r="D1058" s="198" t="s">
        <v>26</v>
      </c>
      <c r="E1058" s="198" t="s">
        <v>128</v>
      </c>
      <c r="F1058" s="4" t="s">
        <v>159</v>
      </c>
      <c r="G1058" s="198" t="s">
        <v>2272</v>
      </c>
      <c r="H1058" s="198" t="s">
        <v>521</v>
      </c>
      <c r="I1058" s="198"/>
      <c r="J1058" s="198" t="s">
        <v>2272</v>
      </c>
      <c r="K1058" s="198" t="s">
        <v>2272</v>
      </c>
      <c r="L1058" s="198" t="s">
        <v>2272</v>
      </c>
      <c r="M1058" s="198" t="s">
        <v>2272</v>
      </c>
      <c r="N1058" s="198" t="s">
        <v>2272</v>
      </c>
      <c r="O1058" s="198" t="s">
        <v>2272</v>
      </c>
      <c r="P1058" s="198" t="s">
        <v>2272</v>
      </c>
      <c r="Q1058" s="198" t="s">
        <v>2272</v>
      </c>
      <c r="R1058" s="198" t="s">
        <v>2272</v>
      </c>
      <c r="S1058" s="198" t="s">
        <v>2272</v>
      </c>
      <c r="T1058" s="198" t="s">
        <v>2272</v>
      </c>
      <c r="U1058" s="198" t="s">
        <v>2272</v>
      </c>
      <c r="V1058" s="198" t="s">
        <v>2272</v>
      </c>
      <c r="W1058" s="198" t="s">
        <v>2272</v>
      </c>
      <c r="X1058" s="198" t="s">
        <v>2272</v>
      </c>
      <c r="Y1058" s="198" t="s">
        <v>2272</v>
      </c>
      <c r="Z1058" s="198" t="s">
        <v>2272</v>
      </c>
      <c r="AA1058" s="198" t="s">
        <v>2272</v>
      </c>
      <c r="AB1058" s="198" t="s">
        <v>2272</v>
      </c>
      <c r="AC1058" s="198" t="s">
        <v>2272</v>
      </c>
      <c r="AD1058" s="198"/>
      <c r="AE1058" s="4" t="s">
        <v>3278</v>
      </c>
    </row>
    <row r="1059" spans="1:31" ht="40" customHeight="1">
      <c r="A1059" s="198" t="s">
        <v>3241</v>
      </c>
      <c r="B1059" s="198" t="s">
        <v>3267</v>
      </c>
      <c r="C1059" s="198" t="s">
        <v>23</v>
      </c>
      <c r="D1059" s="198" t="s">
        <v>26</v>
      </c>
      <c r="E1059" s="198" t="s">
        <v>128</v>
      </c>
      <c r="F1059" s="4" t="s">
        <v>159</v>
      </c>
      <c r="G1059" s="198" t="s">
        <v>2272</v>
      </c>
      <c r="H1059" s="198" t="s">
        <v>521</v>
      </c>
      <c r="I1059" s="198"/>
      <c r="J1059" s="198" t="s">
        <v>2272</v>
      </c>
      <c r="K1059" s="198" t="s">
        <v>2272</v>
      </c>
      <c r="L1059" s="198" t="s">
        <v>2272</v>
      </c>
      <c r="M1059" s="198" t="s">
        <v>2272</v>
      </c>
      <c r="N1059" s="198" t="s">
        <v>2272</v>
      </c>
      <c r="O1059" s="198" t="s">
        <v>2272</v>
      </c>
      <c r="P1059" s="198" t="s">
        <v>2272</v>
      </c>
      <c r="Q1059" s="198" t="s">
        <v>2272</v>
      </c>
      <c r="R1059" s="198" t="s">
        <v>2272</v>
      </c>
      <c r="S1059" s="198" t="s">
        <v>2272</v>
      </c>
      <c r="T1059" s="198" t="s">
        <v>2272</v>
      </c>
      <c r="U1059" s="198" t="s">
        <v>2272</v>
      </c>
      <c r="V1059" s="198" t="s">
        <v>2272</v>
      </c>
      <c r="W1059" s="198" t="s">
        <v>2272</v>
      </c>
      <c r="X1059" s="198" t="s">
        <v>2272</v>
      </c>
      <c r="Y1059" s="198" t="s">
        <v>2272</v>
      </c>
      <c r="Z1059" s="198" t="s">
        <v>2272</v>
      </c>
      <c r="AA1059" s="198" t="s">
        <v>2272</v>
      </c>
      <c r="AB1059" s="198" t="s">
        <v>2272</v>
      </c>
      <c r="AC1059" s="198" t="s">
        <v>2272</v>
      </c>
      <c r="AD1059" s="198"/>
      <c r="AE1059" s="4" t="s">
        <v>3278</v>
      </c>
    </row>
    <row r="1060" spans="1:31" ht="40" customHeight="1">
      <c r="A1060" s="198" t="s">
        <v>3242</v>
      </c>
      <c r="B1060" s="198" t="s">
        <v>3268</v>
      </c>
      <c r="C1060" s="198" t="s">
        <v>23</v>
      </c>
      <c r="D1060" s="198" t="s">
        <v>26</v>
      </c>
      <c r="E1060" s="198" t="s">
        <v>128</v>
      </c>
      <c r="F1060" s="4" t="s">
        <v>159</v>
      </c>
      <c r="G1060" s="198" t="s">
        <v>2272</v>
      </c>
      <c r="H1060" s="198" t="s">
        <v>521</v>
      </c>
      <c r="I1060" s="198"/>
      <c r="J1060" s="198" t="s">
        <v>2272</v>
      </c>
      <c r="K1060" s="198" t="s">
        <v>2272</v>
      </c>
      <c r="L1060" s="198" t="s">
        <v>2272</v>
      </c>
      <c r="M1060" s="198" t="s">
        <v>2272</v>
      </c>
      <c r="N1060" s="198" t="s">
        <v>2272</v>
      </c>
      <c r="O1060" s="198" t="s">
        <v>2272</v>
      </c>
      <c r="P1060" s="198" t="s">
        <v>2272</v>
      </c>
      <c r="Q1060" s="198" t="s">
        <v>2272</v>
      </c>
      <c r="R1060" s="198" t="s">
        <v>2272</v>
      </c>
      <c r="S1060" s="198" t="s">
        <v>2272</v>
      </c>
      <c r="T1060" s="198" t="s">
        <v>2272</v>
      </c>
      <c r="U1060" s="198" t="s">
        <v>2272</v>
      </c>
      <c r="V1060" s="198" t="s">
        <v>2272</v>
      </c>
      <c r="W1060" s="198" t="s">
        <v>2272</v>
      </c>
      <c r="X1060" s="198" t="s">
        <v>2272</v>
      </c>
      <c r="Y1060" s="198" t="s">
        <v>2272</v>
      </c>
      <c r="Z1060" s="198" t="s">
        <v>2272</v>
      </c>
      <c r="AA1060" s="198" t="s">
        <v>2272</v>
      </c>
      <c r="AB1060" s="198" t="s">
        <v>2272</v>
      </c>
      <c r="AC1060" s="198" t="s">
        <v>2272</v>
      </c>
      <c r="AD1060" s="198"/>
      <c r="AE1060" s="4" t="s">
        <v>3278</v>
      </c>
    </row>
    <row r="1061" spans="1:31" ht="40" customHeight="1">
      <c r="A1061" s="198" t="s">
        <v>3243</v>
      </c>
      <c r="B1061" s="198" t="s">
        <v>3269</v>
      </c>
      <c r="C1061" s="198" t="s">
        <v>23</v>
      </c>
      <c r="D1061" s="198" t="s">
        <v>26</v>
      </c>
      <c r="E1061" s="198" t="s">
        <v>128</v>
      </c>
      <c r="F1061" s="4" t="s">
        <v>159</v>
      </c>
      <c r="G1061" s="198" t="s">
        <v>2272</v>
      </c>
      <c r="H1061" s="198" t="s">
        <v>521</v>
      </c>
      <c r="I1061" s="198"/>
      <c r="J1061" s="198" t="s">
        <v>2272</v>
      </c>
      <c r="K1061" s="198" t="s">
        <v>2272</v>
      </c>
      <c r="L1061" s="198" t="s">
        <v>2272</v>
      </c>
      <c r="M1061" s="198" t="s">
        <v>2272</v>
      </c>
      <c r="N1061" s="198" t="s">
        <v>2272</v>
      </c>
      <c r="O1061" s="198" t="s">
        <v>2272</v>
      </c>
      <c r="P1061" s="198" t="s">
        <v>2272</v>
      </c>
      <c r="Q1061" s="198" t="s">
        <v>2272</v>
      </c>
      <c r="R1061" s="198" t="s">
        <v>2272</v>
      </c>
      <c r="S1061" s="198" t="s">
        <v>2272</v>
      </c>
      <c r="T1061" s="198" t="s">
        <v>2272</v>
      </c>
      <c r="U1061" s="198" t="s">
        <v>2272</v>
      </c>
      <c r="V1061" s="198" t="s">
        <v>2272</v>
      </c>
      <c r="W1061" s="198" t="s">
        <v>2272</v>
      </c>
      <c r="X1061" s="198" t="s">
        <v>2272</v>
      </c>
      <c r="Y1061" s="198" t="s">
        <v>2272</v>
      </c>
      <c r="Z1061" s="198" t="s">
        <v>2272</v>
      </c>
      <c r="AA1061" s="198" t="s">
        <v>2272</v>
      </c>
      <c r="AB1061" s="198" t="s">
        <v>2272</v>
      </c>
      <c r="AC1061" s="198" t="s">
        <v>2272</v>
      </c>
      <c r="AD1061" s="198"/>
      <c r="AE1061" s="4" t="s">
        <v>3278</v>
      </c>
    </row>
    <row r="1062" spans="1:31" ht="40" customHeight="1">
      <c r="A1062" s="198" t="s">
        <v>3247</v>
      </c>
      <c r="B1062" s="198" t="s">
        <v>3270</v>
      </c>
      <c r="C1062" s="198" t="s">
        <v>23</v>
      </c>
      <c r="D1062" s="198" t="s">
        <v>26</v>
      </c>
      <c r="E1062" s="198" t="s">
        <v>128</v>
      </c>
      <c r="F1062" s="4" t="s">
        <v>159</v>
      </c>
      <c r="G1062" s="198" t="s">
        <v>2272</v>
      </c>
      <c r="H1062" s="198" t="s">
        <v>521</v>
      </c>
      <c r="I1062" s="198"/>
      <c r="J1062" s="198" t="s">
        <v>2272</v>
      </c>
      <c r="K1062" s="198" t="s">
        <v>2272</v>
      </c>
      <c r="L1062" s="198" t="s">
        <v>2272</v>
      </c>
      <c r="M1062" s="198" t="s">
        <v>2272</v>
      </c>
      <c r="N1062" s="198" t="s">
        <v>2272</v>
      </c>
      <c r="O1062" s="198" t="s">
        <v>2272</v>
      </c>
      <c r="P1062" s="198" t="s">
        <v>2272</v>
      </c>
      <c r="Q1062" s="198" t="s">
        <v>2272</v>
      </c>
      <c r="R1062" s="198" t="s">
        <v>2272</v>
      </c>
      <c r="S1062" s="198" t="s">
        <v>2272</v>
      </c>
      <c r="T1062" s="198" t="s">
        <v>2272</v>
      </c>
      <c r="U1062" s="198" t="s">
        <v>2272</v>
      </c>
      <c r="V1062" s="198" t="s">
        <v>2272</v>
      </c>
      <c r="W1062" s="198" t="s">
        <v>2272</v>
      </c>
      <c r="X1062" s="198" t="s">
        <v>2272</v>
      </c>
      <c r="Y1062" s="198" t="s">
        <v>2272</v>
      </c>
      <c r="Z1062" s="198" t="s">
        <v>2272</v>
      </c>
      <c r="AA1062" s="198" t="s">
        <v>2272</v>
      </c>
      <c r="AB1062" s="198" t="s">
        <v>2272</v>
      </c>
      <c r="AC1062" s="198" t="s">
        <v>2272</v>
      </c>
      <c r="AD1062" s="198"/>
      <c r="AE1062" s="4" t="s">
        <v>3278</v>
      </c>
    </row>
    <row r="1063" spans="1:31" ht="40" customHeight="1">
      <c r="A1063" s="198" t="s">
        <v>3248</v>
      </c>
      <c r="B1063" s="198" t="s">
        <v>3271</v>
      </c>
      <c r="C1063" s="198" t="s">
        <v>23</v>
      </c>
      <c r="D1063" s="198" t="s">
        <v>26</v>
      </c>
      <c r="E1063" s="198" t="s">
        <v>128</v>
      </c>
      <c r="F1063" s="4" t="s">
        <v>159</v>
      </c>
      <c r="G1063" s="198" t="s">
        <v>2272</v>
      </c>
      <c r="H1063" s="198" t="s">
        <v>521</v>
      </c>
      <c r="I1063" s="198"/>
      <c r="J1063" s="198" t="s">
        <v>2272</v>
      </c>
      <c r="K1063" s="198" t="s">
        <v>2272</v>
      </c>
      <c r="L1063" s="198" t="s">
        <v>2272</v>
      </c>
      <c r="M1063" s="198" t="s">
        <v>2272</v>
      </c>
      <c r="N1063" s="198" t="s">
        <v>2272</v>
      </c>
      <c r="O1063" s="198" t="s">
        <v>2272</v>
      </c>
      <c r="P1063" s="198" t="s">
        <v>2272</v>
      </c>
      <c r="Q1063" s="198" t="s">
        <v>2272</v>
      </c>
      <c r="R1063" s="198" t="s">
        <v>2272</v>
      </c>
      <c r="S1063" s="198" t="s">
        <v>2272</v>
      </c>
      <c r="T1063" s="198" t="s">
        <v>2272</v>
      </c>
      <c r="U1063" s="198" t="s">
        <v>2272</v>
      </c>
      <c r="V1063" s="198" t="s">
        <v>2272</v>
      </c>
      <c r="W1063" s="198" t="s">
        <v>2272</v>
      </c>
      <c r="X1063" s="198" t="s">
        <v>2272</v>
      </c>
      <c r="Y1063" s="198" t="s">
        <v>2272</v>
      </c>
      <c r="Z1063" s="198" t="s">
        <v>2272</v>
      </c>
      <c r="AA1063" s="198" t="s">
        <v>2272</v>
      </c>
      <c r="AB1063" s="198" t="s">
        <v>2272</v>
      </c>
      <c r="AC1063" s="198" t="s">
        <v>2272</v>
      </c>
      <c r="AD1063" s="198"/>
      <c r="AE1063" s="4" t="s">
        <v>3278</v>
      </c>
    </row>
    <row r="1064" spans="1:31" ht="40" customHeight="1">
      <c r="A1064" s="198" t="s">
        <v>3249</v>
      </c>
      <c r="B1064" s="198" t="s">
        <v>3272</v>
      </c>
      <c r="C1064" s="198" t="s">
        <v>23</v>
      </c>
      <c r="D1064" s="198" t="s">
        <v>26</v>
      </c>
      <c r="E1064" s="198" t="s">
        <v>128</v>
      </c>
      <c r="F1064" s="4" t="s">
        <v>159</v>
      </c>
      <c r="G1064" s="198" t="s">
        <v>2272</v>
      </c>
      <c r="H1064" s="198" t="s">
        <v>521</v>
      </c>
      <c r="I1064" s="198"/>
      <c r="J1064" s="198" t="s">
        <v>2272</v>
      </c>
      <c r="K1064" s="198" t="s">
        <v>2272</v>
      </c>
      <c r="L1064" s="198" t="s">
        <v>2272</v>
      </c>
      <c r="M1064" s="198" t="s">
        <v>2272</v>
      </c>
      <c r="N1064" s="198" t="s">
        <v>2272</v>
      </c>
      <c r="O1064" s="198" t="s">
        <v>2272</v>
      </c>
      <c r="P1064" s="198" t="s">
        <v>2272</v>
      </c>
      <c r="Q1064" s="198" t="s">
        <v>2272</v>
      </c>
      <c r="R1064" s="198" t="s">
        <v>2272</v>
      </c>
      <c r="S1064" s="198" t="s">
        <v>2272</v>
      </c>
      <c r="T1064" s="198" t="s">
        <v>2272</v>
      </c>
      <c r="U1064" s="198" t="s">
        <v>2272</v>
      </c>
      <c r="V1064" s="198" t="s">
        <v>2272</v>
      </c>
      <c r="W1064" s="198" t="s">
        <v>2272</v>
      </c>
      <c r="X1064" s="198" t="s">
        <v>2272</v>
      </c>
      <c r="Y1064" s="198" t="s">
        <v>2272</v>
      </c>
      <c r="Z1064" s="198" t="s">
        <v>2272</v>
      </c>
      <c r="AA1064" s="198" t="s">
        <v>2272</v>
      </c>
      <c r="AB1064" s="198" t="s">
        <v>2272</v>
      </c>
      <c r="AC1064" s="198" t="s">
        <v>2272</v>
      </c>
      <c r="AD1064" s="198"/>
      <c r="AE1064" s="4" t="s">
        <v>3278</v>
      </c>
    </row>
    <row r="1065" spans="1:31" ht="40" customHeight="1">
      <c r="A1065" s="198" t="s">
        <v>3253</v>
      </c>
      <c r="B1065" s="198" t="s">
        <v>3273</v>
      </c>
      <c r="C1065" s="198" t="s">
        <v>23</v>
      </c>
      <c r="D1065" s="198" t="s">
        <v>26</v>
      </c>
      <c r="E1065" s="198" t="s">
        <v>128</v>
      </c>
      <c r="F1065" s="4" t="s">
        <v>159</v>
      </c>
      <c r="G1065" s="198" t="s">
        <v>2272</v>
      </c>
      <c r="H1065" s="198" t="s">
        <v>521</v>
      </c>
      <c r="I1065" s="198"/>
      <c r="J1065" s="198" t="s">
        <v>2272</v>
      </c>
      <c r="K1065" s="198" t="s">
        <v>2272</v>
      </c>
      <c r="L1065" s="198" t="s">
        <v>2272</v>
      </c>
      <c r="M1065" s="198" t="s">
        <v>2272</v>
      </c>
      <c r="N1065" s="198" t="s">
        <v>2272</v>
      </c>
      <c r="O1065" s="198" t="s">
        <v>2272</v>
      </c>
      <c r="P1065" s="198" t="s">
        <v>2272</v>
      </c>
      <c r="Q1065" s="198" t="s">
        <v>2272</v>
      </c>
      <c r="R1065" s="198" t="s">
        <v>2272</v>
      </c>
      <c r="S1065" s="198" t="s">
        <v>2272</v>
      </c>
      <c r="T1065" s="198" t="s">
        <v>2272</v>
      </c>
      <c r="U1065" s="198" t="s">
        <v>2272</v>
      </c>
      <c r="V1065" s="198" t="s">
        <v>2272</v>
      </c>
      <c r="W1065" s="198" t="s">
        <v>2272</v>
      </c>
      <c r="X1065" s="198" t="s">
        <v>2272</v>
      </c>
      <c r="Y1065" s="198" t="s">
        <v>2272</v>
      </c>
      <c r="Z1065" s="198" t="s">
        <v>2272</v>
      </c>
      <c r="AA1065" s="198" t="s">
        <v>2272</v>
      </c>
      <c r="AB1065" s="198" t="s">
        <v>2272</v>
      </c>
      <c r="AC1065" s="198" t="s">
        <v>2272</v>
      </c>
      <c r="AD1065" s="198"/>
      <c r="AE1065" s="4" t="s">
        <v>3278</v>
      </c>
    </row>
    <row r="1066" spans="1:31" ht="40" customHeight="1">
      <c r="A1066" s="198" t="s">
        <v>3254</v>
      </c>
      <c r="B1066" s="198" t="s">
        <v>3274</v>
      </c>
      <c r="C1066" s="198" t="s">
        <v>23</v>
      </c>
      <c r="D1066" s="198" t="s">
        <v>26</v>
      </c>
      <c r="E1066" s="198" t="s">
        <v>128</v>
      </c>
      <c r="F1066" s="4" t="s">
        <v>159</v>
      </c>
      <c r="G1066" s="198" t="s">
        <v>2272</v>
      </c>
      <c r="H1066" s="198" t="s">
        <v>521</v>
      </c>
      <c r="I1066" s="198"/>
      <c r="J1066" s="198" t="s">
        <v>2272</v>
      </c>
      <c r="K1066" s="198" t="s">
        <v>2272</v>
      </c>
      <c r="L1066" s="198" t="s">
        <v>2272</v>
      </c>
      <c r="M1066" s="198" t="s">
        <v>2272</v>
      </c>
      <c r="N1066" s="198" t="s">
        <v>2272</v>
      </c>
      <c r="O1066" s="198" t="s">
        <v>2272</v>
      </c>
      <c r="P1066" s="198" t="s">
        <v>2272</v>
      </c>
      <c r="Q1066" s="198" t="s">
        <v>2272</v>
      </c>
      <c r="R1066" s="198" t="s">
        <v>2272</v>
      </c>
      <c r="S1066" s="198" t="s">
        <v>2272</v>
      </c>
      <c r="T1066" s="198" t="s">
        <v>2272</v>
      </c>
      <c r="U1066" s="198" t="s">
        <v>2272</v>
      </c>
      <c r="V1066" s="198" t="s">
        <v>2272</v>
      </c>
      <c r="W1066" s="198" t="s">
        <v>2272</v>
      </c>
      <c r="X1066" s="198" t="s">
        <v>2272</v>
      </c>
      <c r="Y1066" s="198" t="s">
        <v>2272</v>
      </c>
      <c r="Z1066" s="198" t="s">
        <v>2272</v>
      </c>
      <c r="AA1066" s="198" t="s">
        <v>2272</v>
      </c>
      <c r="AB1066" s="198" t="s">
        <v>2272</v>
      </c>
      <c r="AC1066" s="198" t="s">
        <v>2272</v>
      </c>
      <c r="AD1066" s="198"/>
      <c r="AE1066" s="4" t="s">
        <v>3278</v>
      </c>
    </row>
    <row r="1067" spans="1:31" ht="40" customHeight="1">
      <c r="A1067" s="198" t="s">
        <v>3255</v>
      </c>
      <c r="B1067" s="198" t="s">
        <v>3275</v>
      </c>
      <c r="C1067" s="198" t="s">
        <v>23</v>
      </c>
      <c r="D1067" s="198" t="s">
        <v>26</v>
      </c>
      <c r="E1067" s="198" t="s">
        <v>128</v>
      </c>
      <c r="F1067" s="4" t="s">
        <v>159</v>
      </c>
      <c r="G1067" s="198" t="s">
        <v>2272</v>
      </c>
      <c r="H1067" s="198" t="s">
        <v>521</v>
      </c>
      <c r="I1067" s="198"/>
      <c r="J1067" s="198" t="s">
        <v>2272</v>
      </c>
      <c r="K1067" s="198" t="s">
        <v>2272</v>
      </c>
      <c r="L1067" s="198" t="s">
        <v>2272</v>
      </c>
      <c r="M1067" s="198" t="s">
        <v>2272</v>
      </c>
      <c r="N1067" s="198" t="s">
        <v>2272</v>
      </c>
      <c r="O1067" s="198" t="s">
        <v>2272</v>
      </c>
      <c r="P1067" s="198" t="s">
        <v>2272</v>
      </c>
      <c r="Q1067" s="198" t="s">
        <v>2272</v>
      </c>
      <c r="R1067" s="198" t="s">
        <v>2272</v>
      </c>
      <c r="S1067" s="198" t="s">
        <v>2272</v>
      </c>
      <c r="T1067" s="198" t="s">
        <v>2272</v>
      </c>
      <c r="U1067" s="198" t="s">
        <v>2272</v>
      </c>
      <c r="V1067" s="198" t="s">
        <v>2272</v>
      </c>
      <c r="W1067" s="198" t="s">
        <v>2272</v>
      </c>
      <c r="X1067" s="198" t="s">
        <v>2272</v>
      </c>
      <c r="Y1067" s="198" t="s">
        <v>2272</v>
      </c>
      <c r="Z1067" s="198" t="s">
        <v>2272</v>
      </c>
      <c r="AA1067" s="198" t="s">
        <v>2272</v>
      </c>
      <c r="AB1067" s="198" t="s">
        <v>2272</v>
      </c>
      <c r="AC1067" s="198" t="s">
        <v>2272</v>
      </c>
      <c r="AD1067" s="198"/>
      <c r="AE1067" s="4" t="s">
        <v>3278</v>
      </c>
    </row>
    <row r="1068" spans="1:31" ht="40" customHeight="1">
      <c r="A1068" s="198" t="s">
        <v>3259</v>
      </c>
      <c r="B1068" s="198" t="s">
        <v>3276</v>
      </c>
      <c r="C1068" s="198" t="s">
        <v>23</v>
      </c>
      <c r="D1068" s="198" t="s">
        <v>26</v>
      </c>
      <c r="E1068" s="198" t="s">
        <v>128</v>
      </c>
      <c r="F1068" s="4" t="s">
        <v>159</v>
      </c>
      <c r="G1068" s="198" t="s">
        <v>2272</v>
      </c>
      <c r="H1068" s="198" t="s">
        <v>521</v>
      </c>
      <c r="I1068" s="198"/>
      <c r="J1068" s="198" t="s">
        <v>2272</v>
      </c>
      <c r="K1068" s="198" t="s">
        <v>2272</v>
      </c>
      <c r="L1068" s="198" t="s">
        <v>2272</v>
      </c>
      <c r="M1068" s="198" t="s">
        <v>2272</v>
      </c>
      <c r="N1068" s="198" t="s">
        <v>2272</v>
      </c>
      <c r="O1068" s="198" t="s">
        <v>2272</v>
      </c>
      <c r="P1068" s="198" t="s">
        <v>2272</v>
      </c>
      <c r="Q1068" s="198" t="s">
        <v>2272</v>
      </c>
      <c r="R1068" s="198" t="s">
        <v>2272</v>
      </c>
      <c r="S1068" s="198" t="s">
        <v>2272</v>
      </c>
      <c r="T1068" s="198" t="s">
        <v>2272</v>
      </c>
      <c r="U1068" s="198" t="s">
        <v>2272</v>
      </c>
      <c r="V1068" s="198" t="s">
        <v>2272</v>
      </c>
      <c r="W1068" s="198" t="s">
        <v>2272</v>
      </c>
      <c r="X1068" s="198" t="s">
        <v>2272</v>
      </c>
      <c r="Y1068" s="198" t="s">
        <v>2272</v>
      </c>
      <c r="Z1068" s="198" t="s">
        <v>2272</v>
      </c>
      <c r="AA1068" s="198" t="s">
        <v>2272</v>
      </c>
      <c r="AB1068" s="198" t="s">
        <v>2272</v>
      </c>
      <c r="AC1068" s="198" t="s">
        <v>2272</v>
      </c>
      <c r="AD1068" s="198"/>
      <c r="AE1068" s="4" t="s">
        <v>3278</v>
      </c>
    </row>
    <row r="1069" spans="1:31" ht="40" customHeight="1">
      <c r="A1069" s="198" t="s">
        <v>3260</v>
      </c>
      <c r="B1069" s="198" t="s">
        <v>3277</v>
      </c>
      <c r="C1069" s="198" t="s">
        <v>23</v>
      </c>
      <c r="D1069" s="198" t="s">
        <v>26</v>
      </c>
      <c r="E1069" s="198" t="s">
        <v>128</v>
      </c>
      <c r="F1069" s="4" t="s">
        <v>159</v>
      </c>
      <c r="G1069" s="198" t="s">
        <v>2272</v>
      </c>
      <c r="H1069" s="198" t="s">
        <v>521</v>
      </c>
      <c r="I1069" s="198"/>
      <c r="J1069" s="198" t="s">
        <v>2272</v>
      </c>
      <c r="K1069" s="198" t="s">
        <v>2272</v>
      </c>
      <c r="L1069" s="198" t="s">
        <v>2272</v>
      </c>
      <c r="M1069" s="198" t="s">
        <v>2272</v>
      </c>
      <c r="N1069" s="198" t="s">
        <v>2272</v>
      </c>
      <c r="O1069" s="198" t="s">
        <v>2272</v>
      </c>
      <c r="P1069" s="198" t="s">
        <v>2272</v>
      </c>
      <c r="Q1069" s="198" t="s">
        <v>2272</v>
      </c>
      <c r="R1069" s="198" t="s">
        <v>2272</v>
      </c>
      <c r="S1069" s="198" t="s">
        <v>2272</v>
      </c>
      <c r="T1069" s="198" t="s">
        <v>2272</v>
      </c>
      <c r="U1069" s="198" t="s">
        <v>2272</v>
      </c>
      <c r="V1069" s="198" t="s">
        <v>2272</v>
      </c>
      <c r="W1069" s="198" t="s">
        <v>2272</v>
      </c>
      <c r="X1069" s="198" t="s">
        <v>2272</v>
      </c>
      <c r="Y1069" s="198" t="s">
        <v>2272</v>
      </c>
      <c r="Z1069" s="198" t="s">
        <v>2272</v>
      </c>
      <c r="AA1069" s="198" t="s">
        <v>2272</v>
      </c>
      <c r="AB1069" s="198" t="s">
        <v>2272</v>
      </c>
      <c r="AC1069" s="198" t="s">
        <v>2272</v>
      </c>
      <c r="AD1069" s="198"/>
      <c r="AE1069" s="4" t="s">
        <v>3278</v>
      </c>
    </row>
    <row r="1070" spans="1:31" ht="79" customHeight="1">
      <c r="A1070" s="198" t="s">
        <v>3281</v>
      </c>
      <c r="B1070" s="198" t="s">
        <v>3286</v>
      </c>
      <c r="C1070" s="198" t="s">
        <v>23</v>
      </c>
      <c r="D1070" s="198" t="s">
        <v>1241</v>
      </c>
      <c r="E1070" s="198" t="s">
        <v>114</v>
      </c>
      <c r="F1070" s="4" t="s">
        <v>54</v>
      </c>
      <c r="G1070" s="198" t="s">
        <v>2272</v>
      </c>
      <c r="H1070" s="198" t="s">
        <v>521</v>
      </c>
      <c r="I1070" s="198"/>
      <c r="J1070" s="198" t="s">
        <v>2272</v>
      </c>
      <c r="K1070" s="198" t="s">
        <v>2272</v>
      </c>
      <c r="L1070" s="198" t="s">
        <v>2272</v>
      </c>
      <c r="M1070" s="198" t="s">
        <v>2272</v>
      </c>
      <c r="N1070" s="198" t="s">
        <v>2272</v>
      </c>
      <c r="O1070" s="198" t="s">
        <v>2272</v>
      </c>
      <c r="P1070" s="198" t="s">
        <v>2272</v>
      </c>
      <c r="Q1070" s="198" t="s">
        <v>2272</v>
      </c>
      <c r="R1070" s="198" t="s">
        <v>2272</v>
      </c>
      <c r="S1070" s="198" t="s">
        <v>2272</v>
      </c>
      <c r="T1070" s="198" t="s">
        <v>2272</v>
      </c>
      <c r="U1070" s="198" t="s">
        <v>2272</v>
      </c>
      <c r="V1070" s="198" t="s">
        <v>2272</v>
      </c>
      <c r="W1070" s="198" t="s">
        <v>2272</v>
      </c>
      <c r="X1070" s="198" t="s">
        <v>2272</v>
      </c>
      <c r="Y1070" s="198" t="s">
        <v>2272</v>
      </c>
      <c r="Z1070" s="21">
        <v>1.5</v>
      </c>
      <c r="AA1070" s="198" t="s">
        <v>33</v>
      </c>
      <c r="AB1070" s="198" t="s">
        <v>402</v>
      </c>
      <c r="AC1070" s="198" t="s">
        <v>75</v>
      </c>
      <c r="AD1070" s="4" t="s">
        <v>3289</v>
      </c>
      <c r="AE1070" s="4" t="s">
        <v>3287</v>
      </c>
    </row>
    <row r="1071" spans="1:31" ht="52.5" customHeight="1">
      <c r="A1071" s="198" t="s">
        <v>3281</v>
      </c>
      <c r="B1071" s="198" t="s">
        <v>3288</v>
      </c>
      <c r="C1071" s="198" t="s">
        <v>23</v>
      </c>
      <c r="D1071" s="198" t="s">
        <v>1241</v>
      </c>
      <c r="E1071" s="198" t="s">
        <v>114</v>
      </c>
      <c r="F1071" s="4" t="s">
        <v>2657</v>
      </c>
      <c r="G1071" s="198" t="s">
        <v>2272</v>
      </c>
      <c r="H1071" s="198" t="s">
        <v>521</v>
      </c>
      <c r="I1071" s="198"/>
      <c r="J1071" s="198" t="s">
        <v>2272</v>
      </c>
      <c r="K1071" s="198" t="s">
        <v>2272</v>
      </c>
      <c r="L1071" s="198" t="s">
        <v>2272</v>
      </c>
      <c r="M1071" s="198" t="s">
        <v>2272</v>
      </c>
      <c r="N1071" s="198" t="s">
        <v>2272</v>
      </c>
      <c r="O1071" s="198" t="s">
        <v>2272</v>
      </c>
      <c r="P1071" s="198" t="s">
        <v>2272</v>
      </c>
      <c r="Q1071" s="198" t="s">
        <v>2272</v>
      </c>
      <c r="R1071" s="198" t="s">
        <v>2272</v>
      </c>
      <c r="S1071" s="198" t="s">
        <v>2272</v>
      </c>
      <c r="T1071" s="198" t="s">
        <v>2272</v>
      </c>
      <c r="U1071" s="198" t="s">
        <v>2272</v>
      </c>
      <c r="V1071" s="198" t="s">
        <v>2272</v>
      </c>
      <c r="W1071" s="198" t="s">
        <v>2272</v>
      </c>
      <c r="X1071" s="198" t="s">
        <v>2272</v>
      </c>
      <c r="Y1071" s="198" t="s">
        <v>2272</v>
      </c>
      <c r="Z1071" s="21">
        <v>3.5</v>
      </c>
      <c r="AA1071" s="198" t="s">
        <v>403</v>
      </c>
      <c r="AB1071" s="198" t="s">
        <v>423</v>
      </c>
      <c r="AC1071" s="198" t="s">
        <v>75</v>
      </c>
      <c r="AD1071" s="198"/>
      <c r="AE1071" s="198"/>
    </row>
    <row r="1072" spans="1:31" ht="45.5" customHeight="1">
      <c r="A1072" s="198" t="s">
        <v>3292</v>
      </c>
      <c r="B1072" s="198" t="s">
        <v>3303</v>
      </c>
      <c r="C1072" s="198" t="s">
        <v>23</v>
      </c>
      <c r="D1072" s="198" t="s">
        <v>24</v>
      </c>
      <c r="E1072" s="198" t="s">
        <v>5000</v>
      </c>
      <c r="F1072" s="4" t="s">
        <v>54</v>
      </c>
      <c r="G1072" s="198" t="s">
        <v>2272</v>
      </c>
      <c r="H1072" s="198" t="s">
        <v>521</v>
      </c>
      <c r="I1072" s="198"/>
      <c r="J1072" s="198" t="s">
        <v>2272</v>
      </c>
      <c r="K1072" s="198" t="s">
        <v>2272</v>
      </c>
      <c r="L1072" s="198" t="s">
        <v>2272</v>
      </c>
      <c r="M1072" s="198" t="s">
        <v>2272</v>
      </c>
      <c r="N1072" s="198" t="s">
        <v>2272</v>
      </c>
      <c r="O1072" s="198" t="s">
        <v>2272</v>
      </c>
      <c r="P1072" s="198" t="s">
        <v>2272</v>
      </c>
      <c r="Q1072" s="198" t="s">
        <v>2272</v>
      </c>
      <c r="R1072" s="198" t="s">
        <v>2272</v>
      </c>
      <c r="S1072" s="198" t="s">
        <v>2272</v>
      </c>
      <c r="T1072" s="198" t="s">
        <v>2272</v>
      </c>
      <c r="U1072" s="198" t="s">
        <v>2272</v>
      </c>
      <c r="V1072" s="198" t="s">
        <v>2272</v>
      </c>
      <c r="W1072" s="198" t="s">
        <v>2272</v>
      </c>
      <c r="X1072" s="198" t="s">
        <v>2272</v>
      </c>
      <c r="Y1072" s="198" t="s">
        <v>2272</v>
      </c>
      <c r="Z1072" s="21">
        <v>1</v>
      </c>
      <c r="AA1072" s="198" t="s">
        <v>186</v>
      </c>
      <c r="AB1072" s="198" t="s">
        <v>187</v>
      </c>
      <c r="AC1072" s="198" t="s">
        <v>2650</v>
      </c>
      <c r="AD1072" s="4" t="s">
        <v>3314</v>
      </c>
      <c r="AE1072" s="4" t="s">
        <v>3305</v>
      </c>
    </row>
    <row r="1073" spans="1:31" ht="44" customHeight="1">
      <c r="A1073" s="198" t="s">
        <v>3292</v>
      </c>
      <c r="B1073" s="198" t="s">
        <v>3304</v>
      </c>
      <c r="C1073" s="198" t="s">
        <v>23</v>
      </c>
      <c r="D1073" s="198" t="s">
        <v>24</v>
      </c>
      <c r="E1073" s="198" t="s">
        <v>5000</v>
      </c>
      <c r="F1073" s="4" t="s">
        <v>2657</v>
      </c>
      <c r="G1073" s="198" t="s">
        <v>2272</v>
      </c>
      <c r="H1073" s="198" t="s">
        <v>521</v>
      </c>
      <c r="I1073" s="198"/>
      <c r="J1073" s="198" t="s">
        <v>2272</v>
      </c>
      <c r="K1073" s="198" t="s">
        <v>2272</v>
      </c>
      <c r="L1073" s="198" t="s">
        <v>2272</v>
      </c>
      <c r="M1073" s="198" t="s">
        <v>2272</v>
      </c>
      <c r="N1073" s="198" t="s">
        <v>2272</v>
      </c>
      <c r="O1073" s="198" t="s">
        <v>2272</v>
      </c>
      <c r="P1073" s="198" t="s">
        <v>2272</v>
      </c>
      <c r="Q1073" s="198" t="s">
        <v>2272</v>
      </c>
      <c r="R1073" s="198" t="s">
        <v>2272</v>
      </c>
      <c r="S1073" s="198" t="s">
        <v>2272</v>
      </c>
      <c r="T1073" s="198" t="s">
        <v>2272</v>
      </c>
      <c r="U1073" s="198" t="s">
        <v>2272</v>
      </c>
      <c r="V1073" s="198" t="s">
        <v>2272</v>
      </c>
      <c r="W1073" s="198" t="s">
        <v>2272</v>
      </c>
      <c r="X1073" s="198" t="s">
        <v>2272</v>
      </c>
      <c r="Y1073" s="198" t="s">
        <v>2272</v>
      </c>
      <c r="Z1073" s="21">
        <v>1</v>
      </c>
      <c r="AA1073" s="198" t="s">
        <v>186</v>
      </c>
      <c r="AB1073" s="198" t="s">
        <v>187</v>
      </c>
      <c r="AC1073" s="198" t="s">
        <v>2650</v>
      </c>
      <c r="AD1073" s="4" t="s">
        <v>3314</v>
      </c>
      <c r="AE1073" s="4" t="s">
        <v>3305</v>
      </c>
    </row>
    <row r="1074" spans="1:31" ht="46.5" customHeight="1">
      <c r="A1074" s="198" t="s">
        <v>3297</v>
      </c>
      <c r="B1074" s="198" t="s">
        <v>3306</v>
      </c>
      <c r="C1074" s="198" t="s">
        <v>23</v>
      </c>
      <c r="D1074" s="198" t="s">
        <v>24</v>
      </c>
      <c r="E1074" s="198" t="s">
        <v>5000</v>
      </c>
      <c r="F1074" s="4" t="s">
        <v>54</v>
      </c>
      <c r="G1074" s="198" t="s">
        <v>2272</v>
      </c>
      <c r="H1074" s="198" t="s">
        <v>521</v>
      </c>
      <c r="I1074" s="198"/>
      <c r="J1074" s="198" t="s">
        <v>2272</v>
      </c>
      <c r="K1074" s="198" t="s">
        <v>2272</v>
      </c>
      <c r="L1074" s="198" t="s">
        <v>2272</v>
      </c>
      <c r="M1074" s="198" t="s">
        <v>2272</v>
      </c>
      <c r="N1074" s="198" t="s">
        <v>2272</v>
      </c>
      <c r="O1074" s="198" t="s">
        <v>2272</v>
      </c>
      <c r="P1074" s="198" t="s">
        <v>2272</v>
      </c>
      <c r="Q1074" s="198" t="s">
        <v>2272</v>
      </c>
      <c r="R1074" s="198" t="s">
        <v>2272</v>
      </c>
      <c r="S1074" s="198" t="s">
        <v>2272</v>
      </c>
      <c r="T1074" s="198" t="s">
        <v>2272</v>
      </c>
      <c r="U1074" s="198" t="s">
        <v>2272</v>
      </c>
      <c r="V1074" s="198" t="s">
        <v>2272</v>
      </c>
      <c r="W1074" s="198" t="s">
        <v>2272</v>
      </c>
      <c r="X1074" s="198" t="s">
        <v>2272</v>
      </c>
      <c r="Y1074" s="198" t="s">
        <v>2272</v>
      </c>
      <c r="Z1074" s="21">
        <v>1</v>
      </c>
      <c r="AA1074" s="198" t="s">
        <v>186</v>
      </c>
      <c r="AB1074" s="198" t="s">
        <v>187</v>
      </c>
      <c r="AC1074" s="198" t="s">
        <v>2650</v>
      </c>
      <c r="AD1074" s="4" t="s">
        <v>3314</v>
      </c>
      <c r="AE1074" s="4" t="s">
        <v>3305</v>
      </c>
    </row>
    <row r="1075" spans="1:31" ht="46.5" customHeight="1">
      <c r="A1075" s="198" t="s">
        <v>3297</v>
      </c>
      <c r="B1075" s="198" t="s">
        <v>3307</v>
      </c>
      <c r="C1075" s="198" t="s">
        <v>23</v>
      </c>
      <c r="D1075" s="198" t="s">
        <v>24</v>
      </c>
      <c r="E1075" s="198" t="s">
        <v>5000</v>
      </c>
      <c r="F1075" s="4" t="s">
        <v>2657</v>
      </c>
      <c r="G1075" s="198" t="s">
        <v>2272</v>
      </c>
      <c r="H1075" s="198" t="s">
        <v>521</v>
      </c>
      <c r="I1075" s="198"/>
      <c r="J1075" s="198" t="s">
        <v>2272</v>
      </c>
      <c r="K1075" s="198" t="s">
        <v>2272</v>
      </c>
      <c r="L1075" s="198" t="s">
        <v>2272</v>
      </c>
      <c r="M1075" s="198" t="s">
        <v>2272</v>
      </c>
      <c r="N1075" s="198" t="s">
        <v>2272</v>
      </c>
      <c r="O1075" s="198" t="s">
        <v>2272</v>
      </c>
      <c r="P1075" s="198" t="s">
        <v>2272</v>
      </c>
      <c r="Q1075" s="198" t="s">
        <v>2272</v>
      </c>
      <c r="R1075" s="198" t="s">
        <v>2272</v>
      </c>
      <c r="S1075" s="198" t="s">
        <v>2272</v>
      </c>
      <c r="T1075" s="198" t="s">
        <v>2272</v>
      </c>
      <c r="U1075" s="198" t="s">
        <v>2272</v>
      </c>
      <c r="V1075" s="198" t="s">
        <v>2272</v>
      </c>
      <c r="W1075" s="198" t="s">
        <v>2272</v>
      </c>
      <c r="X1075" s="198" t="s">
        <v>2272</v>
      </c>
      <c r="Y1075" s="198" t="s">
        <v>2272</v>
      </c>
      <c r="Z1075" s="21">
        <v>1</v>
      </c>
      <c r="AA1075" s="198" t="s">
        <v>186</v>
      </c>
      <c r="AB1075" s="198" t="s">
        <v>187</v>
      </c>
      <c r="AC1075" s="198" t="s">
        <v>2650</v>
      </c>
      <c r="AD1075" s="4" t="s">
        <v>3314</v>
      </c>
      <c r="AE1075" s="4" t="s">
        <v>3305</v>
      </c>
    </row>
    <row r="1076" spans="1:31" ht="49" customHeight="1">
      <c r="A1076" s="198" t="s">
        <v>3298</v>
      </c>
      <c r="B1076" s="198" t="s">
        <v>3308</v>
      </c>
      <c r="C1076" s="198" t="s">
        <v>23</v>
      </c>
      <c r="D1076" s="198" t="s">
        <v>24</v>
      </c>
      <c r="E1076" s="198" t="s">
        <v>5000</v>
      </c>
      <c r="F1076" s="4" t="s">
        <v>54</v>
      </c>
      <c r="G1076" s="198" t="s">
        <v>2272</v>
      </c>
      <c r="H1076" s="198" t="s">
        <v>521</v>
      </c>
      <c r="I1076" s="198"/>
      <c r="J1076" s="198" t="s">
        <v>2272</v>
      </c>
      <c r="K1076" s="198" t="s">
        <v>2272</v>
      </c>
      <c r="L1076" s="198" t="s">
        <v>2272</v>
      </c>
      <c r="M1076" s="198" t="s">
        <v>2272</v>
      </c>
      <c r="N1076" s="198" t="s">
        <v>2272</v>
      </c>
      <c r="O1076" s="198" t="s">
        <v>2272</v>
      </c>
      <c r="P1076" s="198" t="s">
        <v>2272</v>
      </c>
      <c r="Q1076" s="198" t="s">
        <v>2272</v>
      </c>
      <c r="R1076" s="198" t="s">
        <v>2272</v>
      </c>
      <c r="S1076" s="198" t="s">
        <v>2272</v>
      </c>
      <c r="T1076" s="198" t="s">
        <v>2272</v>
      </c>
      <c r="U1076" s="198" t="s">
        <v>2272</v>
      </c>
      <c r="V1076" s="198" t="s">
        <v>2272</v>
      </c>
      <c r="W1076" s="198" t="s">
        <v>2272</v>
      </c>
      <c r="X1076" s="198" t="s">
        <v>2272</v>
      </c>
      <c r="Y1076" s="198" t="s">
        <v>2272</v>
      </c>
      <c r="Z1076" s="21">
        <v>1</v>
      </c>
      <c r="AA1076" s="198" t="s">
        <v>186</v>
      </c>
      <c r="AB1076" s="198" t="s">
        <v>187</v>
      </c>
      <c r="AC1076" s="198" t="s">
        <v>2650</v>
      </c>
      <c r="AD1076" s="4" t="s">
        <v>3314</v>
      </c>
      <c r="AE1076" s="4" t="s">
        <v>3305</v>
      </c>
    </row>
    <row r="1077" spans="1:31" ht="47" customHeight="1">
      <c r="A1077" s="198" t="s">
        <v>3298</v>
      </c>
      <c r="B1077" s="198" t="s">
        <v>3309</v>
      </c>
      <c r="C1077" s="198" t="s">
        <v>23</v>
      </c>
      <c r="D1077" s="198" t="s">
        <v>24</v>
      </c>
      <c r="E1077" s="198" t="s">
        <v>5000</v>
      </c>
      <c r="F1077" s="4" t="s">
        <v>2657</v>
      </c>
      <c r="G1077" s="198" t="s">
        <v>2272</v>
      </c>
      <c r="H1077" s="198" t="s">
        <v>521</v>
      </c>
      <c r="I1077" s="198"/>
      <c r="J1077" s="198" t="s">
        <v>2272</v>
      </c>
      <c r="K1077" s="198" t="s">
        <v>2272</v>
      </c>
      <c r="L1077" s="198" t="s">
        <v>2272</v>
      </c>
      <c r="M1077" s="198" t="s">
        <v>2272</v>
      </c>
      <c r="N1077" s="198" t="s">
        <v>2272</v>
      </c>
      <c r="O1077" s="198" t="s">
        <v>2272</v>
      </c>
      <c r="P1077" s="198" t="s">
        <v>2272</v>
      </c>
      <c r="Q1077" s="198" t="s">
        <v>2272</v>
      </c>
      <c r="R1077" s="198" t="s">
        <v>2272</v>
      </c>
      <c r="S1077" s="198" t="s">
        <v>2272</v>
      </c>
      <c r="T1077" s="198" t="s">
        <v>2272</v>
      </c>
      <c r="U1077" s="198" t="s">
        <v>2272</v>
      </c>
      <c r="V1077" s="198" t="s">
        <v>2272</v>
      </c>
      <c r="W1077" s="198" t="s">
        <v>2272</v>
      </c>
      <c r="X1077" s="198" t="s">
        <v>2272</v>
      </c>
      <c r="Y1077" s="198" t="s">
        <v>2272</v>
      </c>
      <c r="Z1077" s="21">
        <v>1</v>
      </c>
      <c r="AA1077" s="198" t="s">
        <v>186</v>
      </c>
      <c r="AB1077" s="198" t="s">
        <v>187</v>
      </c>
      <c r="AC1077" s="198" t="s">
        <v>2650</v>
      </c>
      <c r="AD1077" s="4" t="s">
        <v>3314</v>
      </c>
      <c r="AE1077" s="4" t="s">
        <v>3305</v>
      </c>
    </row>
    <row r="1078" spans="1:31" ht="45.5" customHeight="1">
      <c r="A1078" s="198" t="s">
        <v>3300</v>
      </c>
      <c r="B1078" s="198" t="s">
        <v>3312</v>
      </c>
      <c r="C1078" s="198" t="s">
        <v>23</v>
      </c>
      <c r="D1078" s="198" t="s">
        <v>24</v>
      </c>
      <c r="E1078" s="198" t="s">
        <v>5000</v>
      </c>
      <c r="F1078" s="4" t="s">
        <v>54</v>
      </c>
      <c r="G1078" s="198" t="s">
        <v>2272</v>
      </c>
      <c r="H1078" s="198" t="s">
        <v>521</v>
      </c>
      <c r="I1078" s="198"/>
      <c r="J1078" s="198" t="s">
        <v>2272</v>
      </c>
      <c r="K1078" s="198" t="s">
        <v>2272</v>
      </c>
      <c r="L1078" s="198" t="s">
        <v>2272</v>
      </c>
      <c r="M1078" s="198" t="s">
        <v>2272</v>
      </c>
      <c r="N1078" s="198" t="s">
        <v>2272</v>
      </c>
      <c r="O1078" s="198" t="s">
        <v>2272</v>
      </c>
      <c r="P1078" s="198" t="s">
        <v>2272</v>
      </c>
      <c r="Q1078" s="198" t="s">
        <v>2272</v>
      </c>
      <c r="R1078" s="198" t="s">
        <v>2272</v>
      </c>
      <c r="S1078" s="198" t="s">
        <v>2272</v>
      </c>
      <c r="T1078" s="198" t="s">
        <v>2272</v>
      </c>
      <c r="U1078" s="198" t="s">
        <v>2272</v>
      </c>
      <c r="V1078" s="198" t="s">
        <v>2272</v>
      </c>
      <c r="W1078" s="198" t="s">
        <v>2272</v>
      </c>
      <c r="X1078" s="198" t="s">
        <v>2272</v>
      </c>
      <c r="Y1078" s="198" t="s">
        <v>2272</v>
      </c>
      <c r="Z1078" s="198" t="s">
        <v>2272</v>
      </c>
      <c r="AA1078" s="198" t="s">
        <v>186</v>
      </c>
      <c r="AB1078" s="198" t="s">
        <v>187</v>
      </c>
      <c r="AC1078" s="198" t="s">
        <v>2650</v>
      </c>
      <c r="AD1078" s="4" t="s">
        <v>3313</v>
      </c>
      <c r="AE1078" s="4" t="s">
        <v>3305</v>
      </c>
    </row>
    <row r="1079" spans="1:31" ht="43.5">
      <c r="A1079" s="198" t="s">
        <v>3301</v>
      </c>
      <c r="B1079" s="198" t="s">
        <v>3315</v>
      </c>
      <c r="C1079" s="198" t="s">
        <v>23</v>
      </c>
      <c r="D1079" s="198" t="s">
        <v>24</v>
      </c>
      <c r="E1079" s="198" t="s">
        <v>5000</v>
      </c>
      <c r="F1079" s="4" t="s">
        <v>54</v>
      </c>
      <c r="G1079" s="198" t="s">
        <v>2272</v>
      </c>
      <c r="H1079" s="198" t="s">
        <v>521</v>
      </c>
      <c r="I1079" s="198"/>
      <c r="J1079" s="198" t="s">
        <v>2272</v>
      </c>
      <c r="K1079" s="198" t="s">
        <v>2272</v>
      </c>
      <c r="L1079" s="198" t="s">
        <v>2272</v>
      </c>
      <c r="M1079" s="198" t="s">
        <v>2272</v>
      </c>
      <c r="N1079" s="198" t="s">
        <v>2272</v>
      </c>
      <c r="O1079" s="198" t="s">
        <v>2272</v>
      </c>
      <c r="P1079" s="198" t="s">
        <v>2272</v>
      </c>
      <c r="Q1079" s="198" t="s">
        <v>2272</v>
      </c>
      <c r="R1079" s="198" t="s">
        <v>2272</v>
      </c>
      <c r="S1079" s="198" t="s">
        <v>2272</v>
      </c>
      <c r="T1079" s="198" t="s">
        <v>2272</v>
      </c>
      <c r="U1079" s="198" t="s">
        <v>2272</v>
      </c>
      <c r="V1079" s="198" t="s">
        <v>2272</v>
      </c>
      <c r="W1079" s="198" t="s">
        <v>2272</v>
      </c>
      <c r="X1079" s="198" t="s">
        <v>2272</v>
      </c>
      <c r="Y1079" s="198" t="s">
        <v>2272</v>
      </c>
      <c r="Z1079" s="198" t="s">
        <v>2272</v>
      </c>
      <c r="AA1079" s="198" t="s">
        <v>186</v>
      </c>
      <c r="AB1079" s="198" t="s">
        <v>187</v>
      </c>
      <c r="AC1079" s="198" t="s">
        <v>2650</v>
      </c>
      <c r="AD1079" s="4" t="s">
        <v>3313</v>
      </c>
      <c r="AE1079" s="4" t="s">
        <v>3305</v>
      </c>
    </row>
    <row r="1080" spans="1:31" ht="43.5">
      <c r="A1080" s="198" t="s">
        <v>3302</v>
      </c>
      <c r="B1080" s="198" t="s">
        <v>3316</v>
      </c>
      <c r="C1080" s="198" t="s">
        <v>23</v>
      </c>
      <c r="D1080" s="198" t="s">
        <v>24</v>
      </c>
      <c r="E1080" s="198" t="s">
        <v>5000</v>
      </c>
      <c r="F1080" s="4" t="s">
        <v>54</v>
      </c>
      <c r="G1080" s="198" t="s">
        <v>2272</v>
      </c>
      <c r="H1080" s="198" t="s">
        <v>521</v>
      </c>
      <c r="I1080" s="198"/>
      <c r="J1080" s="198" t="s">
        <v>2272</v>
      </c>
      <c r="K1080" s="198" t="s">
        <v>2272</v>
      </c>
      <c r="L1080" s="198" t="s">
        <v>2272</v>
      </c>
      <c r="M1080" s="198" t="s">
        <v>2272</v>
      </c>
      <c r="N1080" s="198" t="s">
        <v>2272</v>
      </c>
      <c r="O1080" s="198" t="s">
        <v>2272</v>
      </c>
      <c r="P1080" s="198" t="s">
        <v>2272</v>
      </c>
      <c r="Q1080" s="198" t="s">
        <v>2272</v>
      </c>
      <c r="R1080" s="198" t="s">
        <v>2272</v>
      </c>
      <c r="S1080" s="198" t="s">
        <v>2272</v>
      </c>
      <c r="T1080" s="198" t="s">
        <v>2272</v>
      </c>
      <c r="U1080" s="198" t="s">
        <v>2272</v>
      </c>
      <c r="V1080" s="198" t="s">
        <v>2272</v>
      </c>
      <c r="W1080" s="198" t="s">
        <v>2272</v>
      </c>
      <c r="X1080" s="198" t="s">
        <v>2272</v>
      </c>
      <c r="Y1080" s="198" t="s">
        <v>2272</v>
      </c>
      <c r="Z1080" s="198" t="s">
        <v>2272</v>
      </c>
      <c r="AA1080" s="198" t="s">
        <v>186</v>
      </c>
      <c r="AB1080" s="198" t="s">
        <v>187</v>
      </c>
      <c r="AC1080" s="198" t="s">
        <v>2650</v>
      </c>
      <c r="AD1080" s="4" t="s">
        <v>3313</v>
      </c>
      <c r="AE1080" s="4" t="s">
        <v>3305</v>
      </c>
    </row>
    <row r="1081" spans="1:31" ht="43.5" customHeight="1">
      <c r="A1081" s="198" t="s">
        <v>3292</v>
      </c>
      <c r="B1081" s="198" t="s">
        <v>3317</v>
      </c>
      <c r="C1081" s="198" t="s">
        <v>23</v>
      </c>
      <c r="D1081" s="198" t="s">
        <v>142</v>
      </c>
      <c r="E1081" s="198" t="s">
        <v>135</v>
      </c>
      <c r="F1081" s="4" t="s">
        <v>54</v>
      </c>
      <c r="G1081" s="198" t="s">
        <v>2272</v>
      </c>
      <c r="H1081" s="198" t="s">
        <v>521</v>
      </c>
      <c r="I1081" s="198"/>
      <c r="J1081" s="198" t="s">
        <v>2272</v>
      </c>
      <c r="K1081" s="198" t="s">
        <v>2272</v>
      </c>
      <c r="L1081" s="198" t="s">
        <v>2272</v>
      </c>
      <c r="M1081" s="198" t="s">
        <v>2272</v>
      </c>
      <c r="N1081" s="198" t="s">
        <v>2272</v>
      </c>
      <c r="O1081" s="198" t="s">
        <v>2272</v>
      </c>
      <c r="P1081" s="198" t="s">
        <v>2272</v>
      </c>
      <c r="Q1081" s="198" t="s">
        <v>2272</v>
      </c>
      <c r="R1081" s="198" t="s">
        <v>2272</v>
      </c>
      <c r="S1081" s="198" t="s">
        <v>2272</v>
      </c>
      <c r="T1081" s="198" t="s">
        <v>2272</v>
      </c>
      <c r="U1081" s="198" t="s">
        <v>2272</v>
      </c>
      <c r="V1081" s="198" t="s">
        <v>2272</v>
      </c>
      <c r="W1081" s="198" t="s">
        <v>2272</v>
      </c>
      <c r="X1081" s="198" t="s">
        <v>2272</v>
      </c>
      <c r="Y1081" s="198" t="s">
        <v>2272</v>
      </c>
      <c r="Z1081" s="198" t="s">
        <v>2272</v>
      </c>
      <c r="AA1081" s="198" t="s">
        <v>2272</v>
      </c>
      <c r="AB1081" s="198" t="s">
        <v>2272</v>
      </c>
      <c r="AC1081" s="198" t="s">
        <v>2272</v>
      </c>
      <c r="AD1081" s="4" t="s">
        <v>3323</v>
      </c>
      <c r="AE1081" s="4"/>
    </row>
    <row r="1082" spans="1:31" ht="36" customHeight="1">
      <c r="A1082" s="198" t="s">
        <v>3292</v>
      </c>
      <c r="B1082" s="198" t="s">
        <v>3318</v>
      </c>
      <c r="C1082" s="198" t="s">
        <v>23</v>
      </c>
      <c r="D1082" s="198" t="s">
        <v>142</v>
      </c>
      <c r="E1082" s="198" t="s">
        <v>135</v>
      </c>
      <c r="F1082" s="4" t="s">
        <v>2657</v>
      </c>
      <c r="G1082" s="198" t="s">
        <v>2272</v>
      </c>
      <c r="H1082" s="198" t="s">
        <v>521</v>
      </c>
      <c r="I1082" s="198"/>
      <c r="J1082" s="198" t="s">
        <v>2272</v>
      </c>
      <c r="K1082" s="198" t="s">
        <v>2272</v>
      </c>
      <c r="L1082" s="198" t="s">
        <v>2272</v>
      </c>
      <c r="M1082" s="198" t="s">
        <v>2272</v>
      </c>
      <c r="N1082" s="198" t="s">
        <v>2272</v>
      </c>
      <c r="O1082" s="198" t="s">
        <v>2272</v>
      </c>
      <c r="P1082" s="198" t="s">
        <v>2272</v>
      </c>
      <c r="Q1082" s="198" t="s">
        <v>2272</v>
      </c>
      <c r="R1082" s="198" t="s">
        <v>2272</v>
      </c>
      <c r="S1082" s="198" t="s">
        <v>2272</v>
      </c>
      <c r="T1082" s="198" t="s">
        <v>2272</v>
      </c>
      <c r="U1082" s="198" t="s">
        <v>2272</v>
      </c>
      <c r="V1082" s="198" t="s">
        <v>2272</v>
      </c>
      <c r="W1082" s="198" t="s">
        <v>2272</v>
      </c>
      <c r="X1082" s="198" t="s">
        <v>2272</v>
      </c>
      <c r="Y1082" s="198" t="s">
        <v>2272</v>
      </c>
      <c r="Z1082" s="198" t="s">
        <v>2272</v>
      </c>
      <c r="AA1082" s="198" t="s">
        <v>2272</v>
      </c>
      <c r="AB1082" s="198" t="s">
        <v>2272</v>
      </c>
      <c r="AC1082" s="198" t="s">
        <v>2272</v>
      </c>
      <c r="AD1082" s="4" t="s">
        <v>3323</v>
      </c>
      <c r="AE1082" s="4"/>
    </row>
    <row r="1083" spans="1:31" ht="33.5" customHeight="1">
      <c r="A1083" s="198" t="s">
        <v>3297</v>
      </c>
      <c r="B1083" s="198" t="s">
        <v>3319</v>
      </c>
      <c r="C1083" s="198" t="s">
        <v>23</v>
      </c>
      <c r="D1083" s="198" t="s">
        <v>142</v>
      </c>
      <c r="E1083" s="198" t="s">
        <v>135</v>
      </c>
      <c r="F1083" s="4" t="s">
        <v>54</v>
      </c>
      <c r="G1083" s="198" t="s">
        <v>2272</v>
      </c>
      <c r="H1083" s="198" t="s">
        <v>521</v>
      </c>
      <c r="I1083" s="198"/>
      <c r="J1083" s="198" t="s">
        <v>2272</v>
      </c>
      <c r="K1083" s="198" t="s">
        <v>2272</v>
      </c>
      <c r="L1083" s="198" t="s">
        <v>2272</v>
      </c>
      <c r="M1083" s="198" t="s">
        <v>2272</v>
      </c>
      <c r="N1083" s="198" t="s">
        <v>2272</v>
      </c>
      <c r="O1083" s="198" t="s">
        <v>2272</v>
      </c>
      <c r="P1083" s="198" t="s">
        <v>2272</v>
      </c>
      <c r="Q1083" s="198" t="s">
        <v>2272</v>
      </c>
      <c r="R1083" s="198" t="s">
        <v>2272</v>
      </c>
      <c r="S1083" s="198" t="s">
        <v>2272</v>
      </c>
      <c r="T1083" s="198" t="s">
        <v>2272</v>
      </c>
      <c r="U1083" s="198" t="s">
        <v>2272</v>
      </c>
      <c r="V1083" s="198" t="s">
        <v>2272</v>
      </c>
      <c r="W1083" s="198" t="s">
        <v>2272</v>
      </c>
      <c r="X1083" s="198" t="s">
        <v>2272</v>
      </c>
      <c r="Y1083" s="198" t="s">
        <v>2272</v>
      </c>
      <c r="Z1083" s="198" t="s">
        <v>2272</v>
      </c>
      <c r="AA1083" s="198" t="s">
        <v>2272</v>
      </c>
      <c r="AB1083" s="198" t="s">
        <v>2272</v>
      </c>
      <c r="AC1083" s="198" t="s">
        <v>2272</v>
      </c>
      <c r="AD1083" s="4" t="s">
        <v>3323</v>
      </c>
      <c r="AE1083" s="4"/>
    </row>
    <row r="1084" spans="1:31" ht="35.5" customHeight="1">
      <c r="A1084" s="198" t="s">
        <v>3297</v>
      </c>
      <c r="B1084" s="198" t="s">
        <v>3320</v>
      </c>
      <c r="C1084" s="198" t="s">
        <v>23</v>
      </c>
      <c r="D1084" s="198" t="s">
        <v>142</v>
      </c>
      <c r="E1084" s="198" t="s">
        <v>135</v>
      </c>
      <c r="F1084" s="4" t="s">
        <v>2657</v>
      </c>
      <c r="G1084" s="198" t="s">
        <v>2272</v>
      </c>
      <c r="H1084" s="198" t="s">
        <v>521</v>
      </c>
      <c r="I1084" s="198"/>
      <c r="J1084" s="198" t="s">
        <v>2272</v>
      </c>
      <c r="K1084" s="198" t="s">
        <v>2272</v>
      </c>
      <c r="L1084" s="198" t="s">
        <v>2272</v>
      </c>
      <c r="M1084" s="198" t="s">
        <v>2272</v>
      </c>
      <c r="N1084" s="198" t="s">
        <v>2272</v>
      </c>
      <c r="O1084" s="198" t="s">
        <v>2272</v>
      </c>
      <c r="P1084" s="198" t="s">
        <v>2272</v>
      </c>
      <c r="Q1084" s="198" t="s">
        <v>2272</v>
      </c>
      <c r="R1084" s="198" t="s">
        <v>2272</v>
      </c>
      <c r="S1084" s="198" t="s">
        <v>2272</v>
      </c>
      <c r="T1084" s="198" t="s">
        <v>2272</v>
      </c>
      <c r="U1084" s="198" t="s">
        <v>2272</v>
      </c>
      <c r="V1084" s="198" t="s">
        <v>2272</v>
      </c>
      <c r="W1084" s="198" t="s">
        <v>2272</v>
      </c>
      <c r="X1084" s="198" t="s">
        <v>2272</v>
      </c>
      <c r="Y1084" s="198" t="s">
        <v>2272</v>
      </c>
      <c r="Z1084" s="198" t="s">
        <v>2272</v>
      </c>
      <c r="AA1084" s="198" t="s">
        <v>2272</v>
      </c>
      <c r="AB1084" s="198" t="s">
        <v>2272</v>
      </c>
      <c r="AC1084" s="198" t="s">
        <v>2272</v>
      </c>
      <c r="AD1084" s="4" t="s">
        <v>3323</v>
      </c>
      <c r="AE1084" s="198"/>
    </row>
    <row r="1085" spans="1:31" ht="37" customHeight="1">
      <c r="A1085" s="198" t="s">
        <v>3298</v>
      </c>
      <c r="B1085" s="198" t="s">
        <v>3321</v>
      </c>
      <c r="C1085" s="198" t="s">
        <v>23</v>
      </c>
      <c r="D1085" s="198" t="s">
        <v>142</v>
      </c>
      <c r="E1085" s="198" t="s">
        <v>135</v>
      </c>
      <c r="F1085" s="4" t="s">
        <v>54</v>
      </c>
      <c r="G1085" s="198" t="s">
        <v>2272</v>
      </c>
      <c r="H1085" s="198" t="s">
        <v>521</v>
      </c>
      <c r="I1085" s="198"/>
      <c r="J1085" s="198" t="s">
        <v>2272</v>
      </c>
      <c r="K1085" s="198" t="s">
        <v>2272</v>
      </c>
      <c r="L1085" s="198" t="s">
        <v>2272</v>
      </c>
      <c r="M1085" s="198" t="s">
        <v>2272</v>
      </c>
      <c r="N1085" s="198" t="s">
        <v>2272</v>
      </c>
      <c r="O1085" s="198" t="s">
        <v>2272</v>
      </c>
      <c r="P1085" s="198" t="s">
        <v>2272</v>
      </c>
      <c r="Q1085" s="198" t="s">
        <v>2272</v>
      </c>
      <c r="R1085" s="198" t="s">
        <v>2272</v>
      </c>
      <c r="S1085" s="198" t="s">
        <v>2272</v>
      </c>
      <c r="T1085" s="198" t="s">
        <v>2272</v>
      </c>
      <c r="U1085" s="198" t="s">
        <v>2272</v>
      </c>
      <c r="V1085" s="198" t="s">
        <v>2272</v>
      </c>
      <c r="W1085" s="198" t="s">
        <v>2272</v>
      </c>
      <c r="X1085" s="198" t="s">
        <v>2272</v>
      </c>
      <c r="Y1085" s="198" t="s">
        <v>2272</v>
      </c>
      <c r="Z1085" s="198" t="s">
        <v>2272</v>
      </c>
      <c r="AA1085" s="198" t="s">
        <v>2272</v>
      </c>
      <c r="AB1085" s="198" t="s">
        <v>2272</v>
      </c>
      <c r="AC1085" s="198" t="s">
        <v>2272</v>
      </c>
      <c r="AD1085" s="4" t="s">
        <v>3323</v>
      </c>
      <c r="AE1085" s="198"/>
    </row>
    <row r="1086" spans="1:31" ht="33.5" customHeight="1">
      <c r="A1086" s="198" t="s">
        <v>3298</v>
      </c>
      <c r="B1086" s="198" t="s">
        <v>3322</v>
      </c>
      <c r="C1086" s="198" t="s">
        <v>23</v>
      </c>
      <c r="D1086" s="198" t="s">
        <v>142</v>
      </c>
      <c r="E1086" s="198" t="s">
        <v>135</v>
      </c>
      <c r="F1086" s="4" t="s">
        <v>2657</v>
      </c>
      <c r="G1086" s="198" t="s">
        <v>2272</v>
      </c>
      <c r="H1086" s="198" t="s">
        <v>521</v>
      </c>
      <c r="I1086" s="198"/>
      <c r="J1086" s="198" t="s">
        <v>2272</v>
      </c>
      <c r="K1086" s="198" t="s">
        <v>2272</v>
      </c>
      <c r="L1086" s="198" t="s">
        <v>2272</v>
      </c>
      <c r="M1086" s="198" t="s">
        <v>2272</v>
      </c>
      <c r="N1086" s="198" t="s">
        <v>2272</v>
      </c>
      <c r="O1086" s="198" t="s">
        <v>2272</v>
      </c>
      <c r="P1086" s="198" t="s">
        <v>2272</v>
      </c>
      <c r="Q1086" s="198" t="s">
        <v>2272</v>
      </c>
      <c r="R1086" s="198" t="s">
        <v>2272</v>
      </c>
      <c r="S1086" s="198" t="s">
        <v>2272</v>
      </c>
      <c r="T1086" s="198" t="s">
        <v>2272</v>
      </c>
      <c r="U1086" s="198" t="s">
        <v>2272</v>
      </c>
      <c r="V1086" s="198" t="s">
        <v>2272</v>
      </c>
      <c r="W1086" s="198" t="s">
        <v>2272</v>
      </c>
      <c r="X1086" s="198" t="s">
        <v>2272</v>
      </c>
      <c r="Y1086" s="198" t="s">
        <v>2272</v>
      </c>
      <c r="Z1086" s="198" t="s">
        <v>2272</v>
      </c>
      <c r="AA1086" s="198" t="s">
        <v>2272</v>
      </c>
      <c r="AB1086" s="198" t="s">
        <v>2272</v>
      </c>
      <c r="AC1086" s="198" t="s">
        <v>2272</v>
      </c>
      <c r="AD1086" s="4" t="s">
        <v>3323</v>
      </c>
      <c r="AE1086" s="198"/>
    </row>
    <row r="1087" spans="1:31" ht="39" customHeight="1">
      <c r="A1087" s="198" t="s">
        <v>3310</v>
      </c>
      <c r="B1087" s="198" t="s">
        <v>3311</v>
      </c>
      <c r="C1087" s="198" t="s">
        <v>23</v>
      </c>
      <c r="D1087" s="198" t="s">
        <v>2301</v>
      </c>
      <c r="E1087" s="198" t="s">
        <v>114</v>
      </c>
      <c r="F1087" s="4" t="s">
        <v>54</v>
      </c>
      <c r="G1087" s="198" t="s">
        <v>2272</v>
      </c>
      <c r="H1087" s="198" t="s">
        <v>521</v>
      </c>
      <c r="I1087" s="198"/>
      <c r="J1087" s="198" t="s">
        <v>2272</v>
      </c>
      <c r="K1087" s="198" t="s">
        <v>2272</v>
      </c>
      <c r="L1087" s="198" t="s">
        <v>2272</v>
      </c>
      <c r="M1087" s="198" t="s">
        <v>2272</v>
      </c>
      <c r="N1087" s="198" t="s">
        <v>2272</v>
      </c>
      <c r="O1087" s="198" t="s">
        <v>2272</v>
      </c>
      <c r="P1087" s="198" t="s">
        <v>2272</v>
      </c>
      <c r="Q1087" s="198" t="s">
        <v>2272</v>
      </c>
      <c r="R1087" s="198" t="s">
        <v>2272</v>
      </c>
      <c r="S1087" s="198" t="s">
        <v>2272</v>
      </c>
      <c r="T1087" s="198" t="s">
        <v>2272</v>
      </c>
      <c r="U1087" s="198" t="s">
        <v>2272</v>
      </c>
      <c r="V1087" s="198" t="s">
        <v>2272</v>
      </c>
      <c r="W1087" s="198" t="s">
        <v>2272</v>
      </c>
      <c r="X1087" s="198" t="s">
        <v>2272</v>
      </c>
      <c r="Y1087" s="198" t="s">
        <v>2272</v>
      </c>
      <c r="Z1087" s="198" t="s">
        <v>2272</v>
      </c>
      <c r="AA1087" s="198" t="s">
        <v>2272</v>
      </c>
      <c r="AB1087" s="198" t="s">
        <v>2272</v>
      </c>
      <c r="AC1087" s="198" t="s">
        <v>2272</v>
      </c>
      <c r="AD1087" s="4" t="s">
        <v>3335</v>
      </c>
      <c r="AE1087" s="198"/>
    </row>
    <row r="1088" spans="1:31" ht="35.5" customHeight="1">
      <c r="A1088" s="198" t="s">
        <v>3310</v>
      </c>
      <c r="B1088" s="198" t="s">
        <v>3336</v>
      </c>
      <c r="C1088" s="198" t="s">
        <v>23</v>
      </c>
      <c r="D1088" s="198" t="s">
        <v>2301</v>
      </c>
      <c r="E1088" s="198" t="s">
        <v>114</v>
      </c>
      <c r="F1088" s="4" t="s">
        <v>159</v>
      </c>
      <c r="G1088" s="198" t="s">
        <v>2272</v>
      </c>
      <c r="H1088" s="198" t="s">
        <v>521</v>
      </c>
      <c r="I1088" s="198"/>
      <c r="J1088" s="198" t="s">
        <v>2272</v>
      </c>
      <c r="K1088" s="198" t="s">
        <v>2272</v>
      </c>
      <c r="L1088" s="198" t="s">
        <v>2272</v>
      </c>
      <c r="M1088" s="198" t="s">
        <v>2272</v>
      </c>
      <c r="N1088" s="198" t="s">
        <v>2272</v>
      </c>
      <c r="O1088" s="198" t="s">
        <v>2272</v>
      </c>
      <c r="P1088" s="198" t="s">
        <v>2272</v>
      </c>
      <c r="Q1088" s="198" t="s">
        <v>2272</v>
      </c>
      <c r="R1088" s="198" t="s">
        <v>2272</v>
      </c>
      <c r="S1088" s="198" t="s">
        <v>2272</v>
      </c>
      <c r="T1088" s="198" t="s">
        <v>2272</v>
      </c>
      <c r="U1088" s="198" t="s">
        <v>2272</v>
      </c>
      <c r="V1088" s="198" t="s">
        <v>2272</v>
      </c>
      <c r="W1088" s="198" t="s">
        <v>2272</v>
      </c>
      <c r="X1088" s="198" t="s">
        <v>2272</v>
      </c>
      <c r="Y1088" s="198" t="s">
        <v>2272</v>
      </c>
      <c r="Z1088" s="198" t="s">
        <v>2272</v>
      </c>
      <c r="AA1088" s="198" t="s">
        <v>2272</v>
      </c>
      <c r="AB1088" s="198" t="s">
        <v>2272</v>
      </c>
      <c r="AC1088" s="198" t="s">
        <v>2272</v>
      </c>
      <c r="AD1088" s="4" t="s">
        <v>3338</v>
      </c>
      <c r="AE1088" s="198"/>
    </row>
    <row r="1089" spans="1:31" ht="35.5" customHeight="1">
      <c r="A1089" s="198" t="s">
        <v>3310</v>
      </c>
      <c r="B1089" s="198" t="s">
        <v>3337</v>
      </c>
      <c r="C1089" s="198" t="s">
        <v>23</v>
      </c>
      <c r="D1089" s="198" t="s">
        <v>2227</v>
      </c>
      <c r="E1089" s="4" t="s">
        <v>395</v>
      </c>
      <c r="F1089" s="4" t="s">
        <v>54</v>
      </c>
      <c r="G1089" s="198" t="s">
        <v>2272</v>
      </c>
      <c r="H1089" s="198" t="s">
        <v>521</v>
      </c>
      <c r="I1089" s="198"/>
      <c r="J1089" s="198" t="s">
        <v>2272</v>
      </c>
      <c r="K1089" s="198" t="s">
        <v>2272</v>
      </c>
      <c r="L1089" s="198" t="s">
        <v>2272</v>
      </c>
      <c r="M1089" s="198" t="s">
        <v>2272</v>
      </c>
      <c r="N1089" s="198" t="s">
        <v>2272</v>
      </c>
      <c r="O1089" s="198" t="s">
        <v>2272</v>
      </c>
      <c r="P1089" s="198" t="s">
        <v>2272</v>
      </c>
      <c r="Q1089" s="198" t="s">
        <v>2272</v>
      </c>
      <c r="R1089" s="198" t="s">
        <v>2272</v>
      </c>
      <c r="S1089" s="198" t="s">
        <v>2272</v>
      </c>
      <c r="T1089" s="198" t="s">
        <v>2272</v>
      </c>
      <c r="U1089" s="198" t="s">
        <v>2272</v>
      </c>
      <c r="V1089" s="198" t="s">
        <v>2272</v>
      </c>
      <c r="W1089" s="198" t="s">
        <v>2272</v>
      </c>
      <c r="X1089" s="198" t="s">
        <v>2272</v>
      </c>
      <c r="Y1089" s="198" t="s">
        <v>2272</v>
      </c>
      <c r="Z1089" s="198" t="s">
        <v>2272</v>
      </c>
      <c r="AA1089" s="198" t="s">
        <v>2272</v>
      </c>
      <c r="AB1089" s="198" t="s">
        <v>2272</v>
      </c>
      <c r="AC1089" s="198" t="s">
        <v>2272</v>
      </c>
      <c r="AD1089" s="4" t="s">
        <v>3341</v>
      </c>
      <c r="AE1089" s="198"/>
    </row>
    <row r="1090" spans="1:31" ht="38" customHeight="1">
      <c r="A1090" s="198" t="s">
        <v>3310</v>
      </c>
      <c r="B1090" s="198" t="s">
        <v>3339</v>
      </c>
      <c r="C1090" s="198" t="s">
        <v>23</v>
      </c>
      <c r="D1090" s="198" t="s">
        <v>2227</v>
      </c>
      <c r="E1090" s="4" t="s">
        <v>395</v>
      </c>
      <c r="F1090" s="4" t="s">
        <v>159</v>
      </c>
      <c r="G1090" s="198" t="s">
        <v>2272</v>
      </c>
      <c r="H1090" s="198" t="s">
        <v>521</v>
      </c>
      <c r="I1090" s="198"/>
      <c r="J1090" s="198" t="s">
        <v>2272</v>
      </c>
      <c r="K1090" s="198" t="s">
        <v>2272</v>
      </c>
      <c r="L1090" s="198" t="s">
        <v>2272</v>
      </c>
      <c r="M1090" s="198" t="s">
        <v>2272</v>
      </c>
      <c r="N1090" s="198" t="s">
        <v>2272</v>
      </c>
      <c r="O1090" s="198" t="s">
        <v>2272</v>
      </c>
      <c r="P1090" s="198" t="s">
        <v>2272</v>
      </c>
      <c r="Q1090" s="198" t="s">
        <v>2272</v>
      </c>
      <c r="R1090" s="198" t="s">
        <v>2272</v>
      </c>
      <c r="S1090" s="198" t="s">
        <v>2272</v>
      </c>
      <c r="T1090" s="198" t="s">
        <v>2272</v>
      </c>
      <c r="U1090" s="198" t="s">
        <v>2272</v>
      </c>
      <c r="V1090" s="198" t="s">
        <v>2272</v>
      </c>
      <c r="W1090" s="198" t="s">
        <v>2272</v>
      </c>
      <c r="X1090" s="198" t="s">
        <v>2272</v>
      </c>
      <c r="Y1090" s="198" t="s">
        <v>2272</v>
      </c>
      <c r="Z1090" s="198" t="s">
        <v>2272</v>
      </c>
      <c r="AA1090" s="198" t="s">
        <v>2272</v>
      </c>
      <c r="AB1090" s="198" t="s">
        <v>2272</v>
      </c>
      <c r="AC1090" s="198" t="s">
        <v>2272</v>
      </c>
      <c r="AD1090" s="4" t="s">
        <v>3340</v>
      </c>
      <c r="AE1090" s="198"/>
    </row>
    <row r="1091" spans="1:31" ht="36.5" customHeight="1">
      <c r="A1091" s="198" t="s">
        <v>3310</v>
      </c>
      <c r="B1091" s="198" t="s">
        <v>3342</v>
      </c>
      <c r="C1091" s="198" t="s">
        <v>23</v>
      </c>
      <c r="D1091" s="198" t="s">
        <v>2227</v>
      </c>
      <c r="E1091" s="198" t="s">
        <v>44</v>
      </c>
      <c r="F1091" s="4" t="s">
        <v>2272</v>
      </c>
      <c r="G1091" s="198" t="s">
        <v>2272</v>
      </c>
      <c r="H1091" s="198" t="s">
        <v>522</v>
      </c>
      <c r="I1091" s="198"/>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1">
        <v>0</v>
      </c>
      <c r="Z1091" s="198" t="s">
        <v>2272</v>
      </c>
      <c r="AA1091" s="198" t="s">
        <v>2272</v>
      </c>
      <c r="AB1091" s="198" t="s">
        <v>2272</v>
      </c>
      <c r="AC1091" s="198" t="s">
        <v>2272</v>
      </c>
      <c r="AD1091" s="198"/>
      <c r="AE1091" s="198"/>
    </row>
    <row r="1092" spans="1:31" ht="33.5" customHeight="1">
      <c r="A1092" s="198" t="s">
        <v>3310</v>
      </c>
      <c r="B1092" s="198" t="s">
        <v>3343</v>
      </c>
      <c r="C1092" s="198" t="s">
        <v>30</v>
      </c>
      <c r="D1092" s="198" t="s">
        <v>1102</v>
      </c>
      <c r="E1092" s="198" t="s">
        <v>1102</v>
      </c>
      <c r="F1092" s="4" t="s">
        <v>2272</v>
      </c>
      <c r="G1092" s="198" t="s">
        <v>2272</v>
      </c>
      <c r="H1092" s="198" t="s">
        <v>521</v>
      </c>
      <c r="I1092" s="198"/>
      <c r="J1092" s="198" t="s">
        <v>2272</v>
      </c>
      <c r="K1092" s="198" t="s">
        <v>2272</v>
      </c>
      <c r="L1092" s="198" t="s">
        <v>2272</v>
      </c>
      <c r="M1092" s="198" t="s">
        <v>2272</v>
      </c>
      <c r="N1092" s="198" t="s">
        <v>2272</v>
      </c>
      <c r="O1092" s="198" t="s">
        <v>2272</v>
      </c>
      <c r="P1092" s="198" t="s">
        <v>2272</v>
      </c>
      <c r="Q1092" s="198" t="s">
        <v>2272</v>
      </c>
      <c r="R1092" s="198" t="s">
        <v>2272</v>
      </c>
      <c r="S1092" s="198" t="s">
        <v>2272</v>
      </c>
      <c r="T1092" s="198" t="s">
        <v>2272</v>
      </c>
      <c r="U1092" s="198" t="s">
        <v>2272</v>
      </c>
      <c r="V1092" s="198" t="s">
        <v>2272</v>
      </c>
      <c r="W1092" s="198" t="s">
        <v>2272</v>
      </c>
      <c r="X1092" s="198" t="s">
        <v>2272</v>
      </c>
      <c r="Y1092" s="198" t="s">
        <v>2272</v>
      </c>
      <c r="Z1092" s="198" t="s">
        <v>2272</v>
      </c>
      <c r="AA1092" s="198" t="s">
        <v>2272</v>
      </c>
      <c r="AB1092" s="198" t="s">
        <v>2272</v>
      </c>
      <c r="AC1092" s="198" t="s">
        <v>2272</v>
      </c>
      <c r="AD1092" s="198"/>
      <c r="AE1092" s="198"/>
    </row>
    <row r="1093" spans="1:31" ht="40.5" customHeight="1">
      <c r="A1093" s="198" t="s">
        <v>3310</v>
      </c>
      <c r="B1093" s="198" t="s">
        <v>3344</v>
      </c>
      <c r="C1093" s="198" t="s">
        <v>23</v>
      </c>
      <c r="D1093" s="198" t="s">
        <v>1241</v>
      </c>
      <c r="E1093" s="198" t="s">
        <v>114</v>
      </c>
      <c r="F1093" s="4" t="s">
        <v>54</v>
      </c>
      <c r="G1093" s="198" t="s">
        <v>2272</v>
      </c>
      <c r="H1093" s="198" t="s">
        <v>521</v>
      </c>
      <c r="I1093" s="198"/>
      <c r="J1093" s="198" t="s">
        <v>2272</v>
      </c>
      <c r="K1093" s="198" t="s">
        <v>2272</v>
      </c>
      <c r="L1093" s="198" t="s">
        <v>2272</v>
      </c>
      <c r="M1093" s="198" t="s">
        <v>2272</v>
      </c>
      <c r="N1093" s="198" t="s">
        <v>2272</v>
      </c>
      <c r="O1093" s="198" t="s">
        <v>2272</v>
      </c>
      <c r="P1093" s="198" t="s">
        <v>2272</v>
      </c>
      <c r="Q1093" s="198" t="s">
        <v>2272</v>
      </c>
      <c r="R1093" s="198" t="s">
        <v>2272</v>
      </c>
      <c r="S1093" s="198" t="s">
        <v>2272</v>
      </c>
      <c r="T1093" s="198" t="s">
        <v>2272</v>
      </c>
      <c r="U1093" s="198" t="s">
        <v>2272</v>
      </c>
      <c r="V1093" s="198" t="s">
        <v>2272</v>
      </c>
      <c r="W1093" s="198" t="s">
        <v>2272</v>
      </c>
      <c r="X1093" s="198" t="s">
        <v>2272</v>
      </c>
      <c r="Y1093" s="198" t="s">
        <v>2272</v>
      </c>
      <c r="Z1093" s="198" t="s">
        <v>2272</v>
      </c>
      <c r="AA1093" s="198" t="s">
        <v>2272</v>
      </c>
      <c r="AB1093" s="198" t="s">
        <v>2272</v>
      </c>
      <c r="AC1093" s="198" t="s">
        <v>2272</v>
      </c>
      <c r="AD1093" s="198" t="s">
        <v>3345</v>
      </c>
      <c r="AE1093" s="198"/>
    </row>
    <row r="1094" spans="1:31" ht="35" customHeight="1">
      <c r="A1094" s="198" t="s">
        <v>3347</v>
      </c>
      <c r="B1094" s="198" t="s">
        <v>3350</v>
      </c>
      <c r="C1094" s="198" t="s">
        <v>23</v>
      </c>
      <c r="D1094" s="198" t="s">
        <v>2301</v>
      </c>
      <c r="E1094" s="198" t="s">
        <v>114</v>
      </c>
      <c r="F1094" s="4" t="s">
        <v>54</v>
      </c>
      <c r="G1094" s="198" t="s">
        <v>2272</v>
      </c>
      <c r="H1094" s="198" t="s">
        <v>521</v>
      </c>
      <c r="I1094" s="198">
        <v>2000</v>
      </c>
      <c r="J1094" s="198" t="s">
        <v>2272</v>
      </c>
      <c r="K1094" s="198" t="s">
        <v>2272</v>
      </c>
      <c r="L1094" s="198" t="s">
        <v>2272</v>
      </c>
      <c r="M1094" s="198" t="s">
        <v>2272</v>
      </c>
      <c r="N1094" s="198" t="s">
        <v>2272</v>
      </c>
      <c r="O1094" s="198" t="s">
        <v>2272</v>
      </c>
      <c r="P1094" s="198" t="s">
        <v>2272</v>
      </c>
      <c r="Q1094" s="198" t="s">
        <v>2272</v>
      </c>
      <c r="R1094" s="198" t="s">
        <v>2272</v>
      </c>
      <c r="S1094" s="198" t="s">
        <v>2272</v>
      </c>
      <c r="T1094" s="198" t="s">
        <v>2272</v>
      </c>
      <c r="U1094" s="198" t="s">
        <v>2272</v>
      </c>
      <c r="V1094" s="198" t="s">
        <v>2272</v>
      </c>
      <c r="W1094" s="198" t="s">
        <v>2272</v>
      </c>
      <c r="X1094" s="198" t="s">
        <v>2272</v>
      </c>
      <c r="Y1094" s="198" t="s">
        <v>2272</v>
      </c>
      <c r="Z1094" s="198" t="s">
        <v>2272</v>
      </c>
      <c r="AA1094" s="198" t="s">
        <v>423</v>
      </c>
      <c r="AB1094" s="198" t="s">
        <v>125</v>
      </c>
      <c r="AC1094" s="198" t="s">
        <v>63</v>
      </c>
      <c r="AD1094" s="198"/>
      <c r="AE1094" s="4" t="s">
        <v>3354</v>
      </c>
    </row>
    <row r="1095" spans="1:31" ht="36" customHeight="1">
      <c r="A1095" s="198" t="s">
        <v>3347</v>
      </c>
      <c r="B1095" s="198" t="s">
        <v>3351</v>
      </c>
      <c r="C1095" s="198" t="s">
        <v>23</v>
      </c>
      <c r="D1095" s="198" t="s">
        <v>2227</v>
      </c>
      <c r="E1095" s="4" t="s">
        <v>395</v>
      </c>
      <c r="F1095" s="4" t="s">
        <v>54</v>
      </c>
      <c r="G1095" s="198" t="s">
        <v>2272</v>
      </c>
      <c r="H1095" s="198" t="s">
        <v>521</v>
      </c>
      <c r="I1095" s="198">
        <v>2000</v>
      </c>
      <c r="J1095" s="198" t="s">
        <v>2272</v>
      </c>
      <c r="K1095" s="198" t="s">
        <v>2272</v>
      </c>
      <c r="L1095" s="198" t="s">
        <v>2272</v>
      </c>
      <c r="M1095" s="198" t="s">
        <v>2272</v>
      </c>
      <c r="N1095" s="198" t="s">
        <v>2272</v>
      </c>
      <c r="O1095" s="198" t="s">
        <v>2272</v>
      </c>
      <c r="P1095" s="198" t="s">
        <v>2272</v>
      </c>
      <c r="Q1095" s="198" t="s">
        <v>2272</v>
      </c>
      <c r="R1095" s="198" t="s">
        <v>2272</v>
      </c>
      <c r="S1095" s="198" t="s">
        <v>2272</v>
      </c>
      <c r="T1095" s="198" t="s">
        <v>2272</v>
      </c>
      <c r="U1095" s="198" t="s">
        <v>2272</v>
      </c>
      <c r="V1095" s="198" t="s">
        <v>2272</v>
      </c>
      <c r="W1095" s="198" t="s">
        <v>2272</v>
      </c>
      <c r="X1095" s="198" t="s">
        <v>2272</v>
      </c>
      <c r="Y1095" s="198" t="s">
        <v>2272</v>
      </c>
      <c r="Z1095" s="198" t="s">
        <v>2272</v>
      </c>
      <c r="AA1095" s="198" t="s">
        <v>423</v>
      </c>
      <c r="AB1095" s="198" t="s">
        <v>125</v>
      </c>
      <c r="AC1095" s="198" t="s">
        <v>63</v>
      </c>
      <c r="AD1095" s="198"/>
      <c r="AE1095" s="4" t="s">
        <v>3354</v>
      </c>
    </row>
    <row r="1096" spans="1:31" ht="32.5" customHeight="1">
      <c r="A1096" s="198" t="s">
        <v>3347</v>
      </c>
      <c r="B1096" s="198" t="s">
        <v>3352</v>
      </c>
      <c r="C1096" s="198" t="s">
        <v>30</v>
      </c>
      <c r="D1096" s="198" t="s">
        <v>1102</v>
      </c>
      <c r="E1096" s="198" t="s">
        <v>1102</v>
      </c>
      <c r="F1096" s="4" t="s">
        <v>2272</v>
      </c>
      <c r="G1096" s="198" t="s">
        <v>2272</v>
      </c>
      <c r="H1096" s="198" t="s">
        <v>521</v>
      </c>
      <c r="I1096" s="198">
        <v>2000</v>
      </c>
      <c r="J1096" s="198" t="s">
        <v>2272</v>
      </c>
      <c r="K1096" s="198" t="s">
        <v>2272</v>
      </c>
      <c r="L1096" s="198" t="s">
        <v>2272</v>
      </c>
      <c r="M1096" s="198" t="s">
        <v>2272</v>
      </c>
      <c r="N1096" s="198" t="s">
        <v>2272</v>
      </c>
      <c r="O1096" s="198" t="s">
        <v>2272</v>
      </c>
      <c r="P1096" s="198" t="s">
        <v>2272</v>
      </c>
      <c r="Q1096" s="198" t="s">
        <v>2272</v>
      </c>
      <c r="R1096" s="198" t="s">
        <v>2272</v>
      </c>
      <c r="S1096" s="198" t="s">
        <v>2272</v>
      </c>
      <c r="T1096" s="198" t="s">
        <v>2272</v>
      </c>
      <c r="U1096" s="198" t="s">
        <v>2272</v>
      </c>
      <c r="V1096" s="198" t="s">
        <v>2272</v>
      </c>
      <c r="W1096" s="198" t="s">
        <v>2272</v>
      </c>
      <c r="X1096" s="198" t="s">
        <v>2272</v>
      </c>
      <c r="Y1096" s="198" t="s">
        <v>2272</v>
      </c>
      <c r="Z1096" s="198" t="s">
        <v>2272</v>
      </c>
      <c r="AA1096" s="198" t="s">
        <v>423</v>
      </c>
      <c r="AB1096" s="198" t="s">
        <v>125</v>
      </c>
      <c r="AC1096" s="198" t="s">
        <v>63</v>
      </c>
      <c r="AD1096" s="198"/>
      <c r="AE1096" s="4" t="s">
        <v>3354</v>
      </c>
    </row>
    <row r="1097" spans="1:31" ht="29" customHeight="1">
      <c r="A1097" s="198" t="s">
        <v>3347</v>
      </c>
      <c r="B1097" s="198" t="s">
        <v>3353</v>
      </c>
      <c r="C1097" s="198" t="s">
        <v>23</v>
      </c>
      <c r="D1097" s="198" t="s">
        <v>1241</v>
      </c>
      <c r="E1097" s="198" t="s">
        <v>114</v>
      </c>
      <c r="F1097" s="4" t="s">
        <v>54</v>
      </c>
      <c r="G1097" s="198" t="s">
        <v>2272</v>
      </c>
      <c r="H1097" s="198" t="s">
        <v>521</v>
      </c>
      <c r="I1097" s="198">
        <v>2000</v>
      </c>
      <c r="J1097" s="198" t="s">
        <v>2272</v>
      </c>
      <c r="K1097" s="198" t="s">
        <v>2272</v>
      </c>
      <c r="L1097" s="198" t="s">
        <v>2272</v>
      </c>
      <c r="M1097" s="198" t="s">
        <v>2272</v>
      </c>
      <c r="N1097" s="198" t="s">
        <v>2272</v>
      </c>
      <c r="O1097" s="198" t="s">
        <v>2272</v>
      </c>
      <c r="P1097" s="198" t="s">
        <v>2272</v>
      </c>
      <c r="Q1097" s="198" t="s">
        <v>2272</v>
      </c>
      <c r="R1097" s="198" t="s">
        <v>2272</v>
      </c>
      <c r="S1097" s="198" t="s">
        <v>2272</v>
      </c>
      <c r="T1097" s="198" t="s">
        <v>2272</v>
      </c>
      <c r="U1097" s="198" t="s">
        <v>2272</v>
      </c>
      <c r="V1097" s="198" t="s">
        <v>2272</v>
      </c>
      <c r="W1097" s="198" t="s">
        <v>2272</v>
      </c>
      <c r="X1097" s="198" t="s">
        <v>2272</v>
      </c>
      <c r="Y1097" s="198" t="s">
        <v>2272</v>
      </c>
      <c r="Z1097" s="198" t="s">
        <v>2272</v>
      </c>
      <c r="AA1097" s="198" t="s">
        <v>423</v>
      </c>
      <c r="AB1097" s="198" t="s">
        <v>125</v>
      </c>
      <c r="AC1097" s="198" t="s">
        <v>63</v>
      </c>
      <c r="AD1097" s="198"/>
      <c r="AE1097" s="4" t="s">
        <v>3354</v>
      </c>
    </row>
    <row r="1098" spans="1:31" ht="29">
      <c r="A1098" s="198" t="s">
        <v>3347</v>
      </c>
      <c r="B1098" s="198" t="s">
        <v>6082</v>
      </c>
      <c r="C1098" s="198" t="s">
        <v>23</v>
      </c>
      <c r="D1098" s="198" t="s">
        <v>2301</v>
      </c>
      <c r="E1098" s="198" t="s">
        <v>114</v>
      </c>
      <c r="F1098" s="4" t="s">
        <v>54</v>
      </c>
      <c r="G1098" s="198" t="s">
        <v>2272</v>
      </c>
      <c r="H1098" s="198" t="s">
        <v>521</v>
      </c>
      <c r="I1098" s="198">
        <v>2001</v>
      </c>
      <c r="J1098" s="198" t="s">
        <v>2272</v>
      </c>
      <c r="K1098" s="198" t="s">
        <v>2272</v>
      </c>
      <c r="L1098" s="198" t="s">
        <v>2272</v>
      </c>
      <c r="M1098" s="198" t="s">
        <v>2272</v>
      </c>
      <c r="N1098" s="198" t="s">
        <v>2272</v>
      </c>
      <c r="O1098" s="198" t="s">
        <v>2272</v>
      </c>
      <c r="P1098" s="198" t="s">
        <v>2272</v>
      </c>
      <c r="Q1098" s="198" t="s">
        <v>2272</v>
      </c>
      <c r="R1098" s="198" t="s">
        <v>2272</v>
      </c>
      <c r="S1098" s="198" t="s">
        <v>2272</v>
      </c>
      <c r="T1098" s="198" t="s">
        <v>2272</v>
      </c>
      <c r="U1098" s="198" t="s">
        <v>2272</v>
      </c>
      <c r="V1098" s="198" t="s">
        <v>2272</v>
      </c>
      <c r="W1098" s="198" t="s">
        <v>2272</v>
      </c>
      <c r="X1098" s="198" t="s">
        <v>2272</v>
      </c>
      <c r="Y1098" s="198" t="s">
        <v>2272</v>
      </c>
      <c r="Z1098" s="198" t="s">
        <v>2272</v>
      </c>
      <c r="AA1098" s="198" t="s">
        <v>423</v>
      </c>
      <c r="AB1098" s="198" t="s">
        <v>125</v>
      </c>
      <c r="AC1098" s="198" t="s">
        <v>63</v>
      </c>
      <c r="AD1098" s="198"/>
      <c r="AE1098" s="4" t="s">
        <v>3354</v>
      </c>
    </row>
    <row r="1099" spans="1:31" ht="29">
      <c r="A1099" s="198" t="s">
        <v>3347</v>
      </c>
      <c r="B1099" s="198" t="s">
        <v>6083</v>
      </c>
      <c r="C1099" s="198" t="s">
        <v>23</v>
      </c>
      <c r="D1099" s="198" t="s">
        <v>2227</v>
      </c>
      <c r="E1099" s="4" t="s">
        <v>395</v>
      </c>
      <c r="F1099" s="4" t="s">
        <v>54</v>
      </c>
      <c r="G1099" s="198" t="s">
        <v>2272</v>
      </c>
      <c r="H1099" s="198" t="s">
        <v>521</v>
      </c>
      <c r="I1099" s="198">
        <v>2001</v>
      </c>
      <c r="J1099" s="198" t="s">
        <v>2272</v>
      </c>
      <c r="K1099" s="198" t="s">
        <v>2272</v>
      </c>
      <c r="L1099" s="198" t="s">
        <v>2272</v>
      </c>
      <c r="M1099" s="198" t="s">
        <v>2272</v>
      </c>
      <c r="N1099" s="198" t="s">
        <v>2272</v>
      </c>
      <c r="O1099" s="198" t="s">
        <v>2272</v>
      </c>
      <c r="P1099" s="198" t="s">
        <v>2272</v>
      </c>
      <c r="Q1099" s="198" t="s">
        <v>2272</v>
      </c>
      <c r="R1099" s="198" t="s">
        <v>2272</v>
      </c>
      <c r="S1099" s="198" t="s">
        <v>2272</v>
      </c>
      <c r="T1099" s="198" t="s">
        <v>2272</v>
      </c>
      <c r="U1099" s="198" t="s">
        <v>2272</v>
      </c>
      <c r="V1099" s="198" t="s">
        <v>2272</v>
      </c>
      <c r="W1099" s="198" t="s">
        <v>2272</v>
      </c>
      <c r="X1099" s="198" t="s">
        <v>2272</v>
      </c>
      <c r="Y1099" s="198" t="s">
        <v>2272</v>
      </c>
      <c r="Z1099" s="198" t="s">
        <v>2272</v>
      </c>
      <c r="AA1099" s="198" t="s">
        <v>423</v>
      </c>
      <c r="AB1099" s="198" t="s">
        <v>125</v>
      </c>
      <c r="AC1099" s="198" t="s">
        <v>63</v>
      </c>
      <c r="AD1099" s="198"/>
      <c r="AE1099" s="4" t="s">
        <v>3354</v>
      </c>
    </row>
    <row r="1100" spans="1:31" ht="29">
      <c r="A1100" s="198" t="s">
        <v>3347</v>
      </c>
      <c r="B1100" s="198" t="s">
        <v>6084</v>
      </c>
      <c r="C1100" s="198" t="s">
        <v>30</v>
      </c>
      <c r="D1100" s="198" t="s">
        <v>1102</v>
      </c>
      <c r="E1100" s="198" t="s">
        <v>1102</v>
      </c>
      <c r="F1100" s="4" t="s">
        <v>2272</v>
      </c>
      <c r="G1100" s="198" t="s">
        <v>2272</v>
      </c>
      <c r="H1100" s="198" t="s">
        <v>521</v>
      </c>
      <c r="I1100" s="198">
        <v>2001</v>
      </c>
      <c r="J1100" s="198" t="s">
        <v>2272</v>
      </c>
      <c r="K1100" s="198" t="s">
        <v>2272</v>
      </c>
      <c r="L1100" s="198" t="s">
        <v>2272</v>
      </c>
      <c r="M1100" s="198" t="s">
        <v>2272</v>
      </c>
      <c r="N1100" s="198" t="s">
        <v>2272</v>
      </c>
      <c r="O1100" s="198" t="s">
        <v>2272</v>
      </c>
      <c r="P1100" s="198" t="s">
        <v>2272</v>
      </c>
      <c r="Q1100" s="198" t="s">
        <v>2272</v>
      </c>
      <c r="R1100" s="198" t="s">
        <v>2272</v>
      </c>
      <c r="S1100" s="198" t="s">
        <v>2272</v>
      </c>
      <c r="T1100" s="198" t="s">
        <v>2272</v>
      </c>
      <c r="U1100" s="198" t="s">
        <v>2272</v>
      </c>
      <c r="V1100" s="198" t="s">
        <v>2272</v>
      </c>
      <c r="W1100" s="198" t="s">
        <v>2272</v>
      </c>
      <c r="X1100" s="198" t="s">
        <v>2272</v>
      </c>
      <c r="Y1100" s="198" t="s">
        <v>2272</v>
      </c>
      <c r="Z1100" s="198" t="s">
        <v>2272</v>
      </c>
      <c r="AA1100" s="198" t="s">
        <v>423</v>
      </c>
      <c r="AB1100" s="198" t="s">
        <v>125</v>
      </c>
      <c r="AC1100" s="198" t="s">
        <v>63</v>
      </c>
      <c r="AD1100" s="198"/>
      <c r="AE1100" s="4" t="s">
        <v>3354</v>
      </c>
    </row>
    <row r="1101" spans="1:31" ht="29">
      <c r="A1101" s="198" t="s">
        <v>3347</v>
      </c>
      <c r="B1101" s="198" t="s">
        <v>6085</v>
      </c>
      <c r="C1101" s="198" t="s">
        <v>23</v>
      </c>
      <c r="D1101" s="198" t="s">
        <v>1241</v>
      </c>
      <c r="E1101" s="198" t="s">
        <v>114</v>
      </c>
      <c r="F1101" s="4" t="s">
        <v>54</v>
      </c>
      <c r="G1101" s="198" t="s">
        <v>2272</v>
      </c>
      <c r="H1101" s="198" t="s">
        <v>521</v>
      </c>
      <c r="I1101" s="198">
        <v>2001</v>
      </c>
      <c r="J1101" s="198" t="s">
        <v>2272</v>
      </c>
      <c r="K1101" s="198" t="s">
        <v>2272</v>
      </c>
      <c r="L1101" s="198" t="s">
        <v>2272</v>
      </c>
      <c r="M1101" s="198" t="s">
        <v>2272</v>
      </c>
      <c r="N1101" s="198" t="s">
        <v>2272</v>
      </c>
      <c r="O1101" s="198" t="s">
        <v>2272</v>
      </c>
      <c r="P1101" s="198" t="s">
        <v>2272</v>
      </c>
      <c r="Q1101" s="198" t="s">
        <v>2272</v>
      </c>
      <c r="R1101" s="198" t="s">
        <v>2272</v>
      </c>
      <c r="S1101" s="198" t="s">
        <v>2272</v>
      </c>
      <c r="T1101" s="198" t="s">
        <v>2272</v>
      </c>
      <c r="U1101" s="198" t="s">
        <v>2272</v>
      </c>
      <c r="V1101" s="198" t="s">
        <v>2272</v>
      </c>
      <c r="W1101" s="198" t="s">
        <v>2272</v>
      </c>
      <c r="X1101" s="198" t="s">
        <v>2272</v>
      </c>
      <c r="Y1101" s="198" t="s">
        <v>2272</v>
      </c>
      <c r="Z1101" s="198" t="s">
        <v>2272</v>
      </c>
      <c r="AA1101" s="198" t="s">
        <v>423</v>
      </c>
      <c r="AB1101" s="198" t="s">
        <v>125</v>
      </c>
      <c r="AC1101" s="198" t="s">
        <v>63</v>
      </c>
      <c r="AD1101" s="198"/>
      <c r="AE1101" s="4" t="s">
        <v>3354</v>
      </c>
    </row>
    <row r="1102" spans="1:31" ht="29">
      <c r="A1102" s="198" t="s">
        <v>3347</v>
      </c>
      <c r="B1102" s="198" t="s">
        <v>6086</v>
      </c>
      <c r="C1102" s="198" t="s">
        <v>23</v>
      </c>
      <c r="D1102" s="198" t="s">
        <v>2301</v>
      </c>
      <c r="E1102" s="198" t="s">
        <v>114</v>
      </c>
      <c r="F1102" s="4" t="s">
        <v>54</v>
      </c>
      <c r="G1102" s="198" t="s">
        <v>2272</v>
      </c>
      <c r="H1102" s="198" t="s">
        <v>521</v>
      </c>
      <c r="I1102" s="198">
        <v>2002</v>
      </c>
      <c r="J1102" s="198" t="s">
        <v>2272</v>
      </c>
      <c r="K1102" s="198" t="s">
        <v>2272</v>
      </c>
      <c r="L1102" s="198" t="s">
        <v>2272</v>
      </c>
      <c r="M1102" s="198" t="s">
        <v>2272</v>
      </c>
      <c r="N1102" s="198" t="s">
        <v>2272</v>
      </c>
      <c r="O1102" s="198" t="s">
        <v>2272</v>
      </c>
      <c r="P1102" s="198" t="s">
        <v>2272</v>
      </c>
      <c r="Q1102" s="198" t="s">
        <v>2272</v>
      </c>
      <c r="R1102" s="198" t="s">
        <v>2272</v>
      </c>
      <c r="S1102" s="198" t="s">
        <v>2272</v>
      </c>
      <c r="T1102" s="198" t="s">
        <v>2272</v>
      </c>
      <c r="U1102" s="198" t="s">
        <v>2272</v>
      </c>
      <c r="V1102" s="198" t="s">
        <v>2272</v>
      </c>
      <c r="W1102" s="198" t="s">
        <v>2272</v>
      </c>
      <c r="X1102" s="198" t="s">
        <v>2272</v>
      </c>
      <c r="Y1102" s="198" t="s">
        <v>2272</v>
      </c>
      <c r="Z1102" s="198" t="s">
        <v>2272</v>
      </c>
      <c r="AA1102" s="198" t="s">
        <v>423</v>
      </c>
      <c r="AB1102" s="198" t="s">
        <v>125</v>
      </c>
      <c r="AC1102" s="198" t="s">
        <v>63</v>
      </c>
      <c r="AD1102" s="198"/>
      <c r="AE1102" s="4" t="s">
        <v>3354</v>
      </c>
    </row>
    <row r="1103" spans="1:31" ht="29">
      <c r="A1103" s="198" t="s">
        <v>3347</v>
      </c>
      <c r="B1103" s="198" t="s">
        <v>6087</v>
      </c>
      <c r="C1103" s="198" t="s">
        <v>23</v>
      </c>
      <c r="D1103" s="198" t="s">
        <v>2227</v>
      </c>
      <c r="E1103" s="4" t="s">
        <v>395</v>
      </c>
      <c r="F1103" s="4" t="s">
        <v>54</v>
      </c>
      <c r="G1103" s="198" t="s">
        <v>2272</v>
      </c>
      <c r="H1103" s="198" t="s">
        <v>521</v>
      </c>
      <c r="I1103" s="198">
        <v>2002</v>
      </c>
      <c r="J1103" s="198" t="s">
        <v>2272</v>
      </c>
      <c r="K1103" s="198" t="s">
        <v>2272</v>
      </c>
      <c r="L1103" s="198" t="s">
        <v>2272</v>
      </c>
      <c r="M1103" s="198" t="s">
        <v>2272</v>
      </c>
      <c r="N1103" s="198" t="s">
        <v>2272</v>
      </c>
      <c r="O1103" s="198" t="s">
        <v>2272</v>
      </c>
      <c r="P1103" s="198" t="s">
        <v>2272</v>
      </c>
      <c r="Q1103" s="198" t="s">
        <v>2272</v>
      </c>
      <c r="R1103" s="198" t="s">
        <v>2272</v>
      </c>
      <c r="S1103" s="198" t="s">
        <v>2272</v>
      </c>
      <c r="T1103" s="198" t="s">
        <v>2272</v>
      </c>
      <c r="U1103" s="198" t="s">
        <v>2272</v>
      </c>
      <c r="V1103" s="198" t="s">
        <v>2272</v>
      </c>
      <c r="W1103" s="198" t="s">
        <v>2272</v>
      </c>
      <c r="X1103" s="198" t="s">
        <v>2272</v>
      </c>
      <c r="Y1103" s="198" t="s">
        <v>2272</v>
      </c>
      <c r="Z1103" s="198" t="s">
        <v>2272</v>
      </c>
      <c r="AA1103" s="198" t="s">
        <v>423</v>
      </c>
      <c r="AB1103" s="198" t="s">
        <v>125</v>
      </c>
      <c r="AC1103" s="198" t="s">
        <v>63</v>
      </c>
      <c r="AD1103" s="198"/>
      <c r="AE1103" s="4" t="s">
        <v>3354</v>
      </c>
    </row>
    <row r="1104" spans="1:31" ht="29">
      <c r="A1104" s="198" t="s">
        <v>3347</v>
      </c>
      <c r="B1104" s="198" t="s">
        <v>6088</v>
      </c>
      <c r="C1104" s="198" t="s">
        <v>30</v>
      </c>
      <c r="D1104" s="198" t="s">
        <v>1102</v>
      </c>
      <c r="E1104" s="198" t="s">
        <v>1102</v>
      </c>
      <c r="F1104" s="4" t="s">
        <v>2272</v>
      </c>
      <c r="G1104" s="198" t="s">
        <v>2272</v>
      </c>
      <c r="H1104" s="198" t="s">
        <v>521</v>
      </c>
      <c r="I1104" s="198">
        <v>2002</v>
      </c>
      <c r="J1104" s="198" t="s">
        <v>2272</v>
      </c>
      <c r="K1104" s="198" t="s">
        <v>2272</v>
      </c>
      <c r="L1104" s="198" t="s">
        <v>2272</v>
      </c>
      <c r="M1104" s="198" t="s">
        <v>2272</v>
      </c>
      <c r="N1104" s="198" t="s">
        <v>2272</v>
      </c>
      <c r="O1104" s="198" t="s">
        <v>2272</v>
      </c>
      <c r="P1104" s="198" t="s">
        <v>2272</v>
      </c>
      <c r="Q1104" s="198" t="s">
        <v>2272</v>
      </c>
      <c r="R1104" s="198" t="s">
        <v>2272</v>
      </c>
      <c r="S1104" s="198" t="s">
        <v>2272</v>
      </c>
      <c r="T1104" s="198" t="s">
        <v>2272</v>
      </c>
      <c r="U1104" s="198" t="s">
        <v>2272</v>
      </c>
      <c r="V1104" s="198" t="s">
        <v>2272</v>
      </c>
      <c r="W1104" s="198" t="s">
        <v>2272</v>
      </c>
      <c r="X1104" s="198" t="s">
        <v>2272</v>
      </c>
      <c r="Y1104" s="198" t="s">
        <v>2272</v>
      </c>
      <c r="Z1104" s="198" t="s">
        <v>2272</v>
      </c>
      <c r="AA1104" s="198" t="s">
        <v>423</v>
      </c>
      <c r="AB1104" s="198" t="s">
        <v>125</v>
      </c>
      <c r="AC1104" s="198" t="s">
        <v>63</v>
      </c>
      <c r="AD1104" s="198"/>
      <c r="AE1104" s="4" t="s">
        <v>3354</v>
      </c>
    </row>
    <row r="1105" spans="1:31" ht="29">
      <c r="A1105" s="198" t="s">
        <v>3347</v>
      </c>
      <c r="B1105" s="198" t="s">
        <v>6089</v>
      </c>
      <c r="C1105" s="198" t="s">
        <v>23</v>
      </c>
      <c r="D1105" s="198" t="s">
        <v>1241</v>
      </c>
      <c r="E1105" s="198" t="s">
        <v>114</v>
      </c>
      <c r="F1105" s="4" t="s">
        <v>54</v>
      </c>
      <c r="G1105" s="198" t="s">
        <v>2272</v>
      </c>
      <c r="H1105" s="198" t="s">
        <v>521</v>
      </c>
      <c r="I1105" s="198">
        <v>2002</v>
      </c>
      <c r="J1105" s="198" t="s">
        <v>2272</v>
      </c>
      <c r="K1105" s="198" t="s">
        <v>2272</v>
      </c>
      <c r="L1105" s="198" t="s">
        <v>2272</v>
      </c>
      <c r="M1105" s="198" t="s">
        <v>2272</v>
      </c>
      <c r="N1105" s="198" t="s">
        <v>2272</v>
      </c>
      <c r="O1105" s="198" t="s">
        <v>2272</v>
      </c>
      <c r="P1105" s="198" t="s">
        <v>2272</v>
      </c>
      <c r="Q1105" s="198" t="s">
        <v>2272</v>
      </c>
      <c r="R1105" s="198" t="s">
        <v>2272</v>
      </c>
      <c r="S1105" s="198" t="s">
        <v>2272</v>
      </c>
      <c r="T1105" s="198" t="s">
        <v>2272</v>
      </c>
      <c r="U1105" s="198" t="s">
        <v>2272</v>
      </c>
      <c r="V1105" s="198" t="s">
        <v>2272</v>
      </c>
      <c r="W1105" s="198" t="s">
        <v>2272</v>
      </c>
      <c r="X1105" s="198" t="s">
        <v>2272</v>
      </c>
      <c r="Y1105" s="198" t="s">
        <v>2272</v>
      </c>
      <c r="Z1105" s="198" t="s">
        <v>2272</v>
      </c>
      <c r="AA1105" s="198" t="s">
        <v>423</v>
      </c>
      <c r="AB1105" s="198" t="s">
        <v>125</v>
      </c>
      <c r="AC1105" s="198" t="s">
        <v>63</v>
      </c>
      <c r="AD1105" s="198"/>
      <c r="AE1105" s="4" t="s">
        <v>3354</v>
      </c>
    </row>
    <row r="1106" spans="1:31" ht="29">
      <c r="A1106" s="198" t="s">
        <v>3347</v>
      </c>
      <c r="B1106" s="198" t="s">
        <v>6090</v>
      </c>
      <c r="C1106" s="198" t="s">
        <v>23</v>
      </c>
      <c r="D1106" s="198" t="s">
        <v>2301</v>
      </c>
      <c r="E1106" s="198" t="s">
        <v>114</v>
      </c>
      <c r="F1106" s="4" t="s">
        <v>54</v>
      </c>
      <c r="G1106" s="198" t="s">
        <v>2272</v>
      </c>
      <c r="H1106" s="198" t="s">
        <v>521</v>
      </c>
      <c r="I1106" s="198">
        <v>2003</v>
      </c>
      <c r="J1106" s="198" t="s">
        <v>2272</v>
      </c>
      <c r="K1106" s="198" t="s">
        <v>2272</v>
      </c>
      <c r="L1106" s="198" t="s">
        <v>2272</v>
      </c>
      <c r="M1106" s="198" t="s">
        <v>2272</v>
      </c>
      <c r="N1106" s="198" t="s">
        <v>2272</v>
      </c>
      <c r="O1106" s="198" t="s">
        <v>2272</v>
      </c>
      <c r="P1106" s="198" t="s">
        <v>2272</v>
      </c>
      <c r="Q1106" s="198" t="s">
        <v>2272</v>
      </c>
      <c r="R1106" s="198" t="s">
        <v>2272</v>
      </c>
      <c r="S1106" s="198" t="s">
        <v>2272</v>
      </c>
      <c r="T1106" s="198" t="s">
        <v>2272</v>
      </c>
      <c r="U1106" s="198" t="s">
        <v>2272</v>
      </c>
      <c r="V1106" s="198" t="s">
        <v>2272</v>
      </c>
      <c r="W1106" s="198" t="s">
        <v>2272</v>
      </c>
      <c r="X1106" s="198" t="s">
        <v>2272</v>
      </c>
      <c r="Y1106" s="198" t="s">
        <v>2272</v>
      </c>
      <c r="Z1106" s="198" t="s">
        <v>2272</v>
      </c>
      <c r="AA1106" s="198" t="s">
        <v>423</v>
      </c>
      <c r="AB1106" s="198" t="s">
        <v>125</v>
      </c>
      <c r="AC1106" s="198" t="s">
        <v>63</v>
      </c>
      <c r="AD1106" s="198"/>
      <c r="AE1106" s="4" t="s">
        <v>3354</v>
      </c>
    </row>
    <row r="1107" spans="1:31" ht="29">
      <c r="A1107" s="198" t="s">
        <v>3347</v>
      </c>
      <c r="B1107" s="198" t="s">
        <v>6091</v>
      </c>
      <c r="C1107" s="198" t="s">
        <v>23</v>
      </c>
      <c r="D1107" s="198" t="s">
        <v>2227</v>
      </c>
      <c r="E1107" s="4" t="s">
        <v>395</v>
      </c>
      <c r="F1107" s="4" t="s">
        <v>54</v>
      </c>
      <c r="G1107" s="198" t="s">
        <v>2272</v>
      </c>
      <c r="H1107" s="198" t="s">
        <v>521</v>
      </c>
      <c r="I1107" s="198">
        <v>2003</v>
      </c>
      <c r="J1107" s="198" t="s">
        <v>2272</v>
      </c>
      <c r="K1107" s="198" t="s">
        <v>2272</v>
      </c>
      <c r="L1107" s="198" t="s">
        <v>2272</v>
      </c>
      <c r="M1107" s="198" t="s">
        <v>2272</v>
      </c>
      <c r="N1107" s="198" t="s">
        <v>2272</v>
      </c>
      <c r="O1107" s="198" t="s">
        <v>2272</v>
      </c>
      <c r="P1107" s="198" t="s">
        <v>2272</v>
      </c>
      <c r="Q1107" s="198" t="s">
        <v>2272</v>
      </c>
      <c r="R1107" s="198" t="s">
        <v>2272</v>
      </c>
      <c r="S1107" s="198" t="s">
        <v>2272</v>
      </c>
      <c r="T1107" s="198" t="s">
        <v>2272</v>
      </c>
      <c r="U1107" s="198" t="s">
        <v>2272</v>
      </c>
      <c r="V1107" s="198" t="s">
        <v>2272</v>
      </c>
      <c r="W1107" s="198" t="s">
        <v>2272</v>
      </c>
      <c r="X1107" s="198" t="s">
        <v>2272</v>
      </c>
      <c r="Y1107" s="198" t="s">
        <v>2272</v>
      </c>
      <c r="Z1107" s="198" t="s">
        <v>2272</v>
      </c>
      <c r="AA1107" s="198" t="s">
        <v>423</v>
      </c>
      <c r="AB1107" s="198" t="s">
        <v>125</v>
      </c>
      <c r="AC1107" s="198" t="s">
        <v>63</v>
      </c>
      <c r="AD1107" s="198"/>
      <c r="AE1107" s="4" t="s">
        <v>3354</v>
      </c>
    </row>
    <row r="1108" spans="1:31" ht="29">
      <c r="A1108" s="198" t="s">
        <v>3347</v>
      </c>
      <c r="B1108" s="198" t="s">
        <v>6092</v>
      </c>
      <c r="C1108" s="198" t="s">
        <v>30</v>
      </c>
      <c r="D1108" s="198" t="s">
        <v>1102</v>
      </c>
      <c r="E1108" s="198" t="s">
        <v>1102</v>
      </c>
      <c r="F1108" s="4" t="s">
        <v>2272</v>
      </c>
      <c r="G1108" s="198" t="s">
        <v>2272</v>
      </c>
      <c r="H1108" s="198" t="s">
        <v>521</v>
      </c>
      <c r="I1108" s="198">
        <v>2003</v>
      </c>
      <c r="J1108" s="198" t="s">
        <v>2272</v>
      </c>
      <c r="K1108" s="198" t="s">
        <v>2272</v>
      </c>
      <c r="L1108" s="198" t="s">
        <v>2272</v>
      </c>
      <c r="M1108" s="198" t="s">
        <v>2272</v>
      </c>
      <c r="N1108" s="198" t="s">
        <v>2272</v>
      </c>
      <c r="O1108" s="198" t="s">
        <v>2272</v>
      </c>
      <c r="P1108" s="198" t="s">
        <v>2272</v>
      </c>
      <c r="Q1108" s="198" t="s">
        <v>2272</v>
      </c>
      <c r="R1108" s="198" t="s">
        <v>2272</v>
      </c>
      <c r="S1108" s="198" t="s">
        <v>2272</v>
      </c>
      <c r="T1108" s="198" t="s">
        <v>2272</v>
      </c>
      <c r="U1108" s="198" t="s">
        <v>2272</v>
      </c>
      <c r="V1108" s="198" t="s">
        <v>2272</v>
      </c>
      <c r="W1108" s="198" t="s">
        <v>2272</v>
      </c>
      <c r="X1108" s="198" t="s">
        <v>2272</v>
      </c>
      <c r="Y1108" s="198" t="s">
        <v>2272</v>
      </c>
      <c r="Z1108" s="198" t="s">
        <v>2272</v>
      </c>
      <c r="AA1108" s="198" t="s">
        <v>423</v>
      </c>
      <c r="AB1108" s="198" t="s">
        <v>125</v>
      </c>
      <c r="AC1108" s="198" t="s">
        <v>63</v>
      </c>
      <c r="AD1108" s="198"/>
      <c r="AE1108" s="4" t="s">
        <v>3354</v>
      </c>
    </row>
    <row r="1109" spans="1:31" ht="29">
      <c r="A1109" s="198" t="s">
        <v>3347</v>
      </c>
      <c r="B1109" s="198" t="s">
        <v>6093</v>
      </c>
      <c r="C1109" s="198" t="s">
        <v>23</v>
      </c>
      <c r="D1109" s="198" t="s">
        <v>1241</v>
      </c>
      <c r="E1109" s="198" t="s">
        <v>114</v>
      </c>
      <c r="F1109" s="4" t="s">
        <v>54</v>
      </c>
      <c r="G1109" s="198" t="s">
        <v>2272</v>
      </c>
      <c r="H1109" s="198" t="s">
        <v>521</v>
      </c>
      <c r="I1109" s="198">
        <v>2003</v>
      </c>
      <c r="J1109" s="198" t="s">
        <v>2272</v>
      </c>
      <c r="K1109" s="198" t="s">
        <v>2272</v>
      </c>
      <c r="L1109" s="198" t="s">
        <v>2272</v>
      </c>
      <c r="M1109" s="198" t="s">
        <v>2272</v>
      </c>
      <c r="N1109" s="198" t="s">
        <v>2272</v>
      </c>
      <c r="O1109" s="198" t="s">
        <v>2272</v>
      </c>
      <c r="P1109" s="198" t="s">
        <v>2272</v>
      </c>
      <c r="Q1109" s="198" t="s">
        <v>2272</v>
      </c>
      <c r="R1109" s="198" t="s">
        <v>2272</v>
      </c>
      <c r="S1109" s="198" t="s">
        <v>2272</v>
      </c>
      <c r="T1109" s="198" t="s">
        <v>2272</v>
      </c>
      <c r="U1109" s="198" t="s">
        <v>2272</v>
      </c>
      <c r="V1109" s="198" t="s">
        <v>2272</v>
      </c>
      <c r="W1109" s="198" t="s">
        <v>2272</v>
      </c>
      <c r="X1109" s="198" t="s">
        <v>2272</v>
      </c>
      <c r="Y1109" s="198" t="s">
        <v>2272</v>
      </c>
      <c r="Z1109" s="198" t="s">
        <v>2272</v>
      </c>
      <c r="AA1109" s="198" t="s">
        <v>423</v>
      </c>
      <c r="AB1109" s="198" t="s">
        <v>125</v>
      </c>
      <c r="AC1109" s="198" t="s">
        <v>63</v>
      </c>
      <c r="AD1109" s="198"/>
      <c r="AE1109" s="4" t="s">
        <v>3354</v>
      </c>
    </row>
    <row r="1110" spans="1:31" ht="82.5" customHeight="1">
      <c r="A1110" s="198" t="s">
        <v>3359</v>
      </c>
      <c r="B1110" s="198" t="s">
        <v>3361</v>
      </c>
      <c r="C1110" s="198" t="s">
        <v>23</v>
      </c>
      <c r="D1110" s="198" t="s">
        <v>142</v>
      </c>
      <c r="E1110" s="198" t="s">
        <v>135</v>
      </c>
      <c r="F1110" s="4" t="s">
        <v>2657</v>
      </c>
      <c r="G1110" s="198" t="s">
        <v>2272</v>
      </c>
      <c r="H1110" s="198" t="s">
        <v>521</v>
      </c>
      <c r="I1110" s="198"/>
      <c r="J1110" s="198" t="s">
        <v>2272</v>
      </c>
      <c r="K1110" s="198" t="s">
        <v>2272</v>
      </c>
      <c r="L1110" s="198" t="s">
        <v>2272</v>
      </c>
      <c r="M1110" s="198" t="s">
        <v>2272</v>
      </c>
      <c r="N1110" s="198" t="s">
        <v>2272</v>
      </c>
      <c r="O1110" s="198" t="s">
        <v>2272</v>
      </c>
      <c r="P1110" s="198" t="s">
        <v>2272</v>
      </c>
      <c r="Q1110" s="198" t="s">
        <v>2272</v>
      </c>
      <c r="R1110" s="198" t="s">
        <v>2272</v>
      </c>
      <c r="S1110" s="198" t="s">
        <v>2272</v>
      </c>
      <c r="T1110" s="198" t="s">
        <v>2272</v>
      </c>
      <c r="U1110" s="198" t="s">
        <v>2272</v>
      </c>
      <c r="V1110" s="198" t="s">
        <v>2272</v>
      </c>
      <c r="W1110" s="198" t="s">
        <v>2272</v>
      </c>
      <c r="X1110" s="198" t="s">
        <v>2272</v>
      </c>
      <c r="Y1110" s="21">
        <v>85</v>
      </c>
      <c r="Z1110" s="198" t="s">
        <v>2272</v>
      </c>
      <c r="AA1110" s="198" t="s">
        <v>34</v>
      </c>
      <c r="AB1110" s="198" t="s">
        <v>186</v>
      </c>
      <c r="AC1110" s="198" t="s">
        <v>63</v>
      </c>
      <c r="AD1110" s="4"/>
      <c r="AE1110" s="4" t="s">
        <v>3362</v>
      </c>
    </row>
    <row r="1111" spans="1:31" ht="96.5" customHeight="1">
      <c r="A1111" s="198" t="s">
        <v>3365</v>
      </c>
      <c r="B1111" s="198" t="s">
        <v>3369</v>
      </c>
      <c r="C1111" s="198" t="s">
        <v>23</v>
      </c>
      <c r="D1111" s="198" t="s">
        <v>24</v>
      </c>
      <c r="E1111" s="198" t="s">
        <v>5000</v>
      </c>
      <c r="F1111" s="4" t="s">
        <v>2657</v>
      </c>
      <c r="G1111" s="198" t="s">
        <v>2272</v>
      </c>
      <c r="H1111" s="198" t="s">
        <v>522</v>
      </c>
      <c r="I1111" s="198"/>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1">
        <v>0</v>
      </c>
      <c r="Z1111" s="198" t="s">
        <v>2272</v>
      </c>
      <c r="AA1111" s="198" t="s">
        <v>2272</v>
      </c>
      <c r="AB1111" s="198" t="s">
        <v>2272</v>
      </c>
      <c r="AC1111" s="198" t="s">
        <v>2272</v>
      </c>
      <c r="AD1111" s="4" t="s">
        <v>3371</v>
      </c>
      <c r="AE1111" s="198"/>
    </row>
    <row r="1112" spans="1:31" ht="92.5" customHeight="1">
      <c r="A1112" s="198" t="s">
        <v>3366</v>
      </c>
      <c r="B1112" s="198" t="s">
        <v>3370</v>
      </c>
      <c r="C1112" s="198" t="s">
        <v>23</v>
      </c>
      <c r="D1112" s="198" t="s">
        <v>24</v>
      </c>
      <c r="E1112" s="198" t="s">
        <v>5000</v>
      </c>
      <c r="F1112" s="4" t="s">
        <v>2657</v>
      </c>
      <c r="G1112" s="198" t="s">
        <v>2272</v>
      </c>
      <c r="H1112" s="198" t="s">
        <v>522</v>
      </c>
      <c r="I1112" s="198"/>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1">
        <v>0</v>
      </c>
      <c r="Z1112" s="198" t="s">
        <v>2272</v>
      </c>
      <c r="AA1112" s="198" t="s">
        <v>2272</v>
      </c>
      <c r="AB1112" s="198" t="s">
        <v>2272</v>
      </c>
      <c r="AC1112" s="198" t="s">
        <v>2272</v>
      </c>
      <c r="AD1112" s="4" t="s">
        <v>3371</v>
      </c>
      <c r="AE1112" s="198"/>
    </row>
    <row r="1113" spans="1:31" ht="52" customHeight="1">
      <c r="A1113" s="198" t="s">
        <v>3373</v>
      </c>
      <c r="B1113" s="198" t="s">
        <v>3384</v>
      </c>
      <c r="C1113" s="198" t="s">
        <v>23</v>
      </c>
      <c r="D1113" s="198" t="s">
        <v>2799</v>
      </c>
      <c r="E1113" s="198" t="s">
        <v>5000</v>
      </c>
      <c r="F1113" s="4" t="s">
        <v>2657</v>
      </c>
      <c r="G1113" s="198" t="s">
        <v>2272</v>
      </c>
      <c r="H1113" s="198" t="s">
        <v>521</v>
      </c>
      <c r="I1113" s="198">
        <v>1968</v>
      </c>
      <c r="J1113" s="198" t="s">
        <v>2272</v>
      </c>
      <c r="K1113" s="198" t="s">
        <v>2272</v>
      </c>
      <c r="L1113" s="198" t="s">
        <v>2272</v>
      </c>
      <c r="M1113" s="198" t="s">
        <v>2272</v>
      </c>
      <c r="N1113" s="198" t="s">
        <v>2272</v>
      </c>
      <c r="O1113" s="198" t="s">
        <v>2272</v>
      </c>
      <c r="P1113" s="198" t="s">
        <v>2272</v>
      </c>
      <c r="Q1113" s="198" t="s">
        <v>2272</v>
      </c>
      <c r="R1113" s="198" t="s">
        <v>2272</v>
      </c>
      <c r="S1113" s="198" t="s">
        <v>2272</v>
      </c>
      <c r="T1113" s="198" t="s">
        <v>2272</v>
      </c>
      <c r="U1113" s="198" t="s">
        <v>2272</v>
      </c>
      <c r="V1113" s="198" t="s">
        <v>2272</v>
      </c>
      <c r="W1113" s="198" t="s">
        <v>2272</v>
      </c>
      <c r="X1113" s="198" t="s">
        <v>2272</v>
      </c>
      <c r="Y1113" s="198" t="s">
        <v>2272</v>
      </c>
      <c r="Z1113" s="198" t="s">
        <v>2272</v>
      </c>
      <c r="AA1113" s="198" t="s">
        <v>125</v>
      </c>
      <c r="AB1113" s="198" t="s">
        <v>186</v>
      </c>
      <c r="AC1113" s="198" t="s">
        <v>63</v>
      </c>
      <c r="AD1113" s="4" t="s">
        <v>3393</v>
      </c>
      <c r="AE1113" s="4" t="s">
        <v>3394</v>
      </c>
    </row>
    <row r="1114" spans="1:31" ht="56" customHeight="1">
      <c r="A1114" s="198" t="s">
        <v>3374</v>
      </c>
      <c r="B1114" s="198" t="s">
        <v>3385</v>
      </c>
      <c r="C1114" s="198" t="s">
        <v>23</v>
      </c>
      <c r="D1114" s="198" t="s">
        <v>2799</v>
      </c>
      <c r="E1114" s="198" t="s">
        <v>5000</v>
      </c>
      <c r="F1114" s="4" t="s">
        <v>2657</v>
      </c>
      <c r="G1114" s="198" t="s">
        <v>2272</v>
      </c>
      <c r="H1114" s="198" t="s">
        <v>521</v>
      </c>
      <c r="I1114" s="198">
        <v>1968</v>
      </c>
      <c r="J1114" s="198" t="s">
        <v>2272</v>
      </c>
      <c r="K1114" s="198" t="s">
        <v>2272</v>
      </c>
      <c r="L1114" s="198" t="s">
        <v>2272</v>
      </c>
      <c r="M1114" s="198" t="s">
        <v>2272</v>
      </c>
      <c r="N1114" s="198" t="s">
        <v>2272</v>
      </c>
      <c r="O1114" s="198" t="s">
        <v>2272</v>
      </c>
      <c r="P1114" s="198" t="s">
        <v>2272</v>
      </c>
      <c r="Q1114" s="198" t="s">
        <v>2272</v>
      </c>
      <c r="R1114" s="198" t="s">
        <v>2272</v>
      </c>
      <c r="S1114" s="198" t="s">
        <v>2272</v>
      </c>
      <c r="T1114" s="198" t="s">
        <v>2272</v>
      </c>
      <c r="U1114" s="198" t="s">
        <v>2272</v>
      </c>
      <c r="V1114" s="198" t="s">
        <v>2272</v>
      </c>
      <c r="W1114" s="198" t="s">
        <v>2272</v>
      </c>
      <c r="X1114" s="198" t="s">
        <v>2272</v>
      </c>
      <c r="Y1114" s="198" t="s">
        <v>2272</v>
      </c>
      <c r="Z1114" s="198" t="s">
        <v>2272</v>
      </c>
      <c r="AA1114" s="198" t="s">
        <v>125</v>
      </c>
      <c r="AB1114" s="198" t="s">
        <v>186</v>
      </c>
      <c r="AC1114" s="198" t="s">
        <v>63</v>
      </c>
      <c r="AD1114" s="4" t="s">
        <v>3393</v>
      </c>
      <c r="AE1114" s="4" t="s">
        <v>3394</v>
      </c>
    </row>
    <row r="1115" spans="1:31" ht="63.5" customHeight="1">
      <c r="A1115" s="198" t="s">
        <v>3378</v>
      </c>
      <c r="B1115" s="198" t="s">
        <v>3386</v>
      </c>
      <c r="C1115" s="198" t="s">
        <v>23</v>
      </c>
      <c r="D1115" s="198" t="s">
        <v>2799</v>
      </c>
      <c r="E1115" s="198" t="s">
        <v>5000</v>
      </c>
      <c r="F1115" s="4" t="s">
        <v>2657</v>
      </c>
      <c r="G1115" s="198" t="s">
        <v>2272</v>
      </c>
      <c r="H1115" s="198" t="s">
        <v>521</v>
      </c>
      <c r="I1115" s="198">
        <v>1968</v>
      </c>
      <c r="J1115" s="198" t="s">
        <v>2272</v>
      </c>
      <c r="K1115" s="198" t="s">
        <v>2272</v>
      </c>
      <c r="L1115" s="198" t="s">
        <v>2272</v>
      </c>
      <c r="M1115" s="198" t="s">
        <v>2272</v>
      </c>
      <c r="N1115" s="198" t="s">
        <v>2272</v>
      </c>
      <c r="O1115" s="198" t="s">
        <v>2272</v>
      </c>
      <c r="P1115" s="198" t="s">
        <v>2272</v>
      </c>
      <c r="Q1115" s="198" t="s">
        <v>2272</v>
      </c>
      <c r="R1115" s="198" t="s">
        <v>2272</v>
      </c>
      <c r="S1115" s="198" t="s">
        <v>2272</v>
      </c>
      <c r="T1115" s="198" t="s">
        <v>2272</v>
      </c>
      <c r="U1115" s="198" t="s">
        <v>2272</v>
      </c>
      <c r="V1115" s="198" t="s">
        <v>2272</v>
      </c>
      <c r="W1115" s="198" t="s">
        <v>2272</v>
      </c>
      <c r="X1115" s="198" t="s">
        <v>2272</v>
      </c>
      <c r="Y1115" s="198" t="s">
        <v>2272</v>
      </c>
      <c r="Z1115" s="198" t="s">
        <v>2272</v>
      </c>
      <c r="AA1115" s="198" t="s">
        <v>125</v>
      </c>
      <c r="AB1115" s="198" t="s">
        <v>186</v>
      </c>
      <c r="AC1115" s="198" t="s">
        <v>63</v>
      </c>
      <c r="AD1115" s="4" t="s">
        <v>3393</v>
      </c>
      <c r="AE1115" s="4" t="s">
        <v>3394</v>
      </c>
    </row>
    <row r="1116" spans="1:31" ht="56" customHeight="1">
      <c r="A1116" s="198" t="s">
        <v>3373</v>
      </c>
      <c r="B1116" s="198" t="s">
        <v>3387</v>
      </c>
      <c r="C1116" s="198" t="s">
        <v>23</v>
      </c>
      <c r="D1116" s="198" t="s">
        <v>25</v>
      </c>
      <c r="E1116" s="198" t="s">
        <v>5000</v>
      </c>
      <c r="F1116" s="4" t="s">
        <v>2657</v>
      </c>
      <c r="G1116" s="198" t="s">
        <v>2272</v>
      </c>
      <c r="H1116" s="198" t="s">
        <v>521</v>
      </c>
      <c r="I1116" s="198">
        <v>1968</v>
      </c>
      <c r="J1116" s="198" t="s">
        <v>2272</v>
      </c>
      <c r="K1116" s="198" t="s">
        <v>2272</v>
      </c>
      <c r="L1116" s="198" t="s">
        <v>2272</v>
      </c>
      <c r="M1116" s="198" t="s">
        <v>2272</v>
      </c>
      <c r="N1116" s="198" t="s">
        <v>2272</v>
      </c>
      <c r="O1116" s="198" t="s">
        <v>2272</v>
      </c>
      <c r="P1116" s="198" t="s">
        <v>2272</v>
      </c>
      <c r="Q1116" s="198" t="s">
        <v>2272</v>
      </c>
      <c r="R1116" s="198" t="s">
        <v>2272</v>
      </c>
      <c r="S1116" s="198" t="s">
        <v>2272</v>
      </c>
      <c r="T1116" s="198" t="s">
        <v>2272</v>
      </c>
      <c r="U1116" s="198" t="s">
        <v>2272</v>
      </c>
      <c r="V1116" s="198" t="s">
        <v>2272</v>
      </c>
      <c r="W1116" s="198" t="s">
        <v>2272</v>
      </c>
      <c r="X1116" s="198" t="s">
        <v>2272</v>
      </c>
      <c r="Y1116" s="198" t="s">
        <v>2272</v>
      </c>
      <c r="Z1116" s="198" t="s">
        <v>2272</v>
      </c>
      <c r="AA1116" s="198" t="s">
        <v>2272</v>
      </c>
      <c r="AB1116" s="198" t="s">
        <v>2272</v>
      </c>
      <c r="AC1116" s="198" t="s">
        <v>2272</v>
      </c>
      <c r="AD1116" s="4" t="s">
        <v>3393</v>
      </c>
      <c r="AE1116" s="198"/>
    </row>
    <row r="1117" spans="1:31" ht="65.5" customHeight="1">
      <c r="A1117" s="198" t="s">
        <v>3374</v>
      </c>
      <c r="B1117" s="198" t="s">
        <v>3388</v>
      </c>
      <c r="C1117" s="198" t="s">
        <v>23</v>
      </c>
      <c r="D1117" s="198" t="s">
        <v>25</v>
      </c>
      <c r="E1117" s="198" t="s">
        <v>5000</v>
      </c>
      <c r="F1117" s="4" t="s">
        <v>2657</v>
      </c>
      <c r="G1117" s="198" t="s">
        <v>2272</v>
      </c>
      <c r="H1117" s="198" t="s">
        <v>521</v>
      </c>
      <c r="I1117" s="198">
        <v>1968</v>
      </c>
      <c r="J1117" s="198" t="s">
        <v>2272</v>
      </c>
      <c r="K1117" s="198" t="s">
        <v>2272</v>
      </c>
      <c r="L1117" s="198" t="s">
        <v>2272</v>
      </c>
      <c r="M1117" s="198" t="s">
        <v>2272</v>
      </c>
      <c r="N1117" s="198" t="s">
        <v>2272</v>
      </c>
      <c r="O1117" s="198" t="s">
        <v>2272</v>
      </c>
      <c r="P1117" s="198" t="s">
        <v>2272</v>
      </c>
      <c r="Q1117" s="198" t="s">
        <v>2272</v>
      </c>
      <c r="R1117" s="198" t="s">
        <v>2272</v>
      </c>
      <c r="S1117" s="198" t="s">
        <v>2272</v>
      </c>
      <c r="T1117" s="198" t="s">
        <v>2272</v>
      </c>
      <c r="U1117" s="198" t="s">
        <v>2272</v>
      </c>
      <c r="V1117" s="198" t="s">
        <v>2272</v>
      </c>
      <c r="W1117" s="198" t="s">
        <v>2272</v>
      </c>
      <c r="X1117" s="198" t="s">
        <v>2272</v>
      </c>
      <c r="Y1117" s="198" t="s">
        <v>2272</v>
      </c>
      <c r="Z1117" s="198" t="s">
        <v>2272</v>
      </c>
      <c r="AA1117" s="198" t="s">
        <v>2272</v>
      </c>
      <c r="AB1117" s="198" t="s">
        <v>2272</v>
      </c>
      <c r="AC1117" s="198" t="s">
        <v>2272</v>
      </c>
      <c r="AD1117" s="4" t="s">
        <v>3393</v>
      </c>
      <c r="AE1117" s="198"/>
    </row>
    <row r="1118" spans="1:31" ht="61" customHeight="1">
      <c r="A1118" s="198" t="s">
        <v>3378</v>
      </c>
      <c r="B1118" s="198" t="s">
        <v>3389</v>
      </c>
      <c r="C1118" s="198" t="s">
        <v>23</v>
      </c>
      <c r="D1118" s="198" t="s">
        <v>25</v>
      </c>
      <c r="E1118" s="198" t="s">
        <v>5000</v>
      </c>
      <c r="F1118" s="4" t="s">
        <v>2657</v>
      </c>
      <c r="G1118" s="198" t="s">
        <v>2272</v>
      </c>
      <c r="H1118" s="198" t="s">
        <v>521</v>
      </c>
      <c r="I1118" s="198">
        <v>1968</v>
      </c>
      <c r="J1118" s="198" t="s">
        <v>2272</v>
      </c>
      <c r="K1118" s="198" t="s">
        <v>2272</v>
      </c>
      <c r="L1118" s="198" t="s">
        <v>2272</v>
      </c>
      <c r="M1118" s="198" t="s">
        <v>2272</v>
      </c>
      <c r="N1118" s="198" t="s">
        <v>2272</v>
      </c>
      <c r="O1118" s="198" t="s">
        <v>2272</v>
      </c>
      <c r="P1118" s="198" t="s">
        <v>2272</v>
      </c>
      <c r="Q1118" s="198" t="s">
        <v>2272</v>
      </c>
      <c r="R1118" s="198" t="s">
        <v>2272</v>
      </c>
      <c r="S1118" s="198" t="s">
        <v>2272</v>
      </c>
      <c r="T1118" s="198" t="s">
        <v>2272</v>
      </c>
      <c r="U1118" s="198" t="s">
        <v>2272</v>
      </c>
      <c r="V1118" s="198" t="s">
        <v>2272</v>
      </c>
      <c r="W1118" s="198" t="s">
        <v>2272</v>
      </c>
      <c r="X1118" s="198" t="s">
        <v>2272</v>
      </c>
      <c r="Y1118" s="198" t="s">
        <v>2272</v>
      </c>
      <c r="Z1118" s="198" t="s">
        <v>2272</v>
      </c>
      <c r="AA1118" s="198" t="s">
        <v>2272</v>
      </c>
      <c r="AB1118" s="198" t="s">
        <v>2272</v>
      </c>
      <c r="AC1118" s="198" t="s">
        <v>2272</v>
      </c>
      <c r="AD1118" s="4" t="s">
        <v>3393</v>
      </c>
      <c r="AE1118" s="198"/>
    </row>
    <row r="1119" spans="1:31" ht="55.5" customHeight="1">
      <c r="A1119" s="198" t="s">
        <v>3373</v>
      </c>
      <c r="B1119" s="198" t="s">
        <v>3390</v>
      </c>
      <c r="C1119" s="198" t="s">
        <v>23</v>
      </c>
      <c r="D1119" s="198" t="s">
        <v>2337</v>
      </c>
      <c r="E1119" s="198" t="s">
        <v>5000</v>
      </c>
      <c r="F1119" s="4" t="s">
        <v>2657</v>
      </c>
      <c r="G1119" s="198" t="s">
        <v>2272</v>
      </c>
      <c r="H1119" s="198" t="s">
        <v>521</v>
      </c>
      <c r="I1119" s="198">
        <v>1968</v>
      </c>
      <c r="J1119" s="198" t="s">
        <v>2272</v>
      </c>
      <c r="K1119" s="198" t="s">
        <v>2272</v>
      </c>
      <c r="L1119" s="198" t="s">
        <v>2272</v>
      </c>
      <c r="M1119" s="198" t="s">
        <v>2272</v>
      </c>
      <c r="N1119" s="198" t="s">
        <v>2272</v>
      </c>
      <c r="O1119" s="198" t="s">
        <v>2272</v>
      </c>
      <c r="P1119" s="198" t="s">
        <v>2272</v>
      </c>
      <c r="Q1119" s="198" t="s">
        <v>2272</v>
      </c>
      <c r="R1119" s="198" t="s">
        <v>2272</v>
      </c>
      <c r="S1119" s="198" t="s">
        <v>2272</v>
      </c>
      <c r="T1119" s="198" t="s">
        <v>2272</v>
      </c>
      <c r="U1119" s="198" t="s">
        <v>2272</v>
      </c>
      <c r="V1119" s="198" t="s">
        <v>2272</v>
      </c>
      <c r="W1119" s="198" t="s">
        <v>2272</v>
      </c>
      <c r="X1119" s="198" t="s">
        <v>2272</v>
      </c>
      <c r="Y1119" s="198" t="s">
        <v>2272</v>
      </c>
      <c r="Z1119" s="198" t="s">
        <v>2272</v>
      </c>
      <c r="AA1119" s="198" t="s">
        <v>2272</v>
      </c>
      <c r="AB1119" s="198" t="s">
        <v>2272</v>
      </c>
      <c r="AC1119" s="198" t="s">
        <v>2272</v>
      </c>
      <c r="AD1119" s="4" t="s">
        <v>3393</v>
      </c>
      <c r="AE1119" s="198"/>
    </row>
    <row r="1120" spans="1:31" ht="56.5" customHeight="1">
      <c r="A1120" s="198" t="s">
        <v>3374</v>
      </c>
      <c r="B1120" s="198" t="s">
        <v>3391</v>
      </c>
      <c r="C1120" s="198" t="s">
        <v>23</v>
      </c>
      <c r="D1120" s="198" t="s">
        <v>2337</v>
      </c>
      <c r="E1120" s="198" t="s">
        <v>5000</v>
      </c>
      <c r="F1120" s="4" t="s">
        <v>2657</v>
      </c>
      <c r="G1120" s="198" t="s">
        <v>2272</v>
      </c>
      <c r="H1120" s="198" t="s">
        <v>521</v>
      </c>
      <c r="I1120" s="198">
        <v>1968</v>
      </c>
      <c r="J1120" s="198" t="s">
        <v>2272</v>
      </c>
      <c r="K1120" s="198" t="s">
        <v>2272</v>
      </c>
      <c r="L1120" s="198" t="s">
        <v>2272</v>
      </c>
      <c r="M1120" s="198" t="s">
        <v>2272</v>
      </c>
      <c r="N1120" s="198" t="s">
        <v>2272</v>
      </c>
      <c r="O1120" s="198" t="s">
        <v>2272</v>
      </c>
      <c r="P1120" s="198" t="s">
        <v>2272</v>
      </c>
      <c r="Q1120" s="198" t="s">
        <v>2272</v>
      </c>
      <c r="R1120" s="198" t="s">
        <v>2272</v>
      </c>
      <c r="S1120" s="198" t="s">
        <v>2272</v>
      </c>
      <c r="T1120" s="198" t="s">
        <v>2272</v>
      </c>
      <c r="U1120" s="198" t="s">
        <v>2272</v>
      </c>
      <c r="V1120" s="198" t="s">
        <v>2272</v>
      </c>
      <c r="W1120" s="198" t="s">
        <v>2272</v>
      </c>
      <c r="X1120" s="198" t="s">
        <v>2272</v>
      </c>
      <c r="Y1120" s="198" t="s">
        <v>2272</v>
      </c>
      <c r="Z1120" s="198" t="s">
        <v>2272</v>
      </c>
      <c r="AA1120" s="198" t="s">
        <v>2272</v>
      </c>
      <c r="AB1120" s="198" t="s">
        <v>2272</v>
      </c>
      <c r="AC1120" s="198" t="s">
        <v>2272</v>
      </c>
      <c r="AD1120" s="4" t="s">
        <v>3393</v>
      </c>
      <c r="AE1120" s="198"/>
    </row>
    <row r="1121" spans="1:31" ht="55.5" customHeight="1">
      <c r="A1121" s="198" t="s">
        <v>3378</v>
      </c>
      <c r="B1121" s="198" t="s">
        <v>3392</v>
      </c>
      <c r="C1121" s="198" t="s">
        <v>23</v>
      </c>
      <c r="D1121" s="198" t="s">
        <v>2337</v>
      </c>
      <c r="E1121" s="198" t="s">
        <v>5000</v>
      </c>
      <c r="F1121" s="4" t="s">
        <v>2657</v>
      </c>
      <c r="G1121" s="198" t="s">
        <v>2272</v>
      </c>
      <c r="H1121" s="198" t="s">
        <v>521</v>
      </c>
      <c r="I1121" s="198">
        <v>1968</v>
      </c>
      <c r="J1121" s="198" t="s">
        <v>2272</v>
      </c>
      <c r="K1121" s="198" t="s">
        <v>2272</v>
      </c>
      <c r="L1121" s="198" t="s">
        <v>2272</v>
      </c>
      <c r="M1121" s="198" t="s">
        <v>2272</v>
      </c>
      <c r="N1121" s="198" t="s">
        <v>2272</v>
      </c>
      <c r="O1121" s="198" t="s">
        <v>2272</v>
      </c>
      <c r="P1121" s="198" t="s">
        <v>2272</v>
      </c>
      <c r="Q1121" s="198" t="s">
        <v>2272</v>
      </c>
      <c r="R1121" s="198" t="s">
        <v>2272</v>
      </c>
      <c r="S1121" s="198" t="s">
        <v>2272</v>
      </c>
      <c r="T1121" s="198" t="s">
        <v>2272</v>
      </c>
      <c r="U1121" s="198" t="s">
        <v>2272</v>
      </c>
      <c r="V1121" s="198" t="s">
        <v>2272</v>
      </c>
      <c r="W1121" s="198" t="s">
        <v>2272</v>
      </c>
      <c r="X1121" s="198" t="s">
        <v>2272</v>
      </c>
      <c r="Y1121" s="198" t="s">
        <v>2272</v>
      </c>
      <c r="Z1121" s="198" t="s">
        <v>2272</v>
      </c>
      <c r="AA1121" s="198" t="s">
        <v>2272</v>
      </c>
      <c r="AB1121" s="198" t="s">
        <v>2272</v>
      </c>
      <c r="AC1121" s="198" t="s">
        <v>2272</v>
      </c>
      <c r="AD1121" s="4" t="s">
        <v>3393</v>
      </c>
      <c r="AE1121" s="198"/>
    </row>
    <row r="1122" spans="1:31" ht="41.5" customHeight="1">
      <c r="A1122" s="198" t="s">
        <v>3381</v>
      </c>
      <c r="B1122" s="198" t="s">
        <v>3402</v>
      </c>
      <c r="C1122" s="198" t="s">
        <v>23</v>
      </c>
      <c r="D1122" s="198" t="s">
        <v>2799</v>
      </c>
      <c r="E1122" s="198" t="s">
        <v>5000</v>
      </c>
      <c r="F1122" s="4" t="s">
        <v>2657</v>
      </c>
      <c r="G1122" s="198" t="s">
        <v>2272</v>
      </c>
      <c r="H1122" s="198" t="s">
        <v>521</v>
      </c>
      <c r="I1122" s="198"/>
      <c r="J1122" s="198" t="s">
        <v>2272</v>
      </c>
      <c r="K1122" s="198" t="s">
        <v>2272</v>
      </c>
      <c r="L1122" s="198" t="s">
        <v>2272</v>
      </c>
      <c r="M1122" s="198" t="s">
        <v>2272</v>
      </c>
      <c r="N1122" s="198" t="s">
        <v>2272</v>
      </c>
      <c r="O1122" s="198" t="s">
        <v>2272</v>
      </c>
      <c r="P1122" s="198" t="s">
        <v>2272</v>
      </c>
      <c r="Q1122" s="198" t="s">
        <v>2272</v>
      </c>
      <c r="R1122" s="198" t="s">
        <v>2272</v>
      </c>
      <c r="S1122" s="198" t="s">
        <v>2272</v>
      </c>
      <c r="T1122" s="198" t="s">
        <v>2272</v>
      </c>
      <c r="U1122" s="198" t="s">
        <v>2272</v>
      </c>
      <c r="V1122" s="198" t="s">
        <v>2272</v>
      </c>
      <c r="W1122" s="198" t="s">
        <v>2272</v>
      </c>
      <c r="X1122" s="198" t="s">
        <v>2272</v>
      </c>
      <c r="Y1122" s="198" t="s">
        <v>2272</v>
      </c>
      <c r="Z1122" s="198" t="s">
        <v>2272</v>
      </c>
      <c r="AA1122" s="198" t="s">
        <v>125</v>
      </c>
      <c r="AB1122" s="198" t="s">
        <v>186</v>
      </c>
      <c r="AC1122" s="198" t="s">
        <v>63</v>
      </c>
      <c r="AD1122" s="198"/>
      <c r="AE1122" s="198"/>
    </row>
    <row r="1123" spans="1:31" ht="127" customHeight="1">
      <c r="A1123" s="198" t="s">
        <v>3382</v>
      </c>
      <c r="B1123" s="198" t="s">
        <v>3403</v>
      </c>
      <c r="C1123" s="198" t="s">
        <v>23</v>
      </c>
      <c r="D1123" s="198" t="s">
        <v>2799</v>
      </c>
      <c r="E1123" s="198" t="s">
        <v>5000</v>
      </c>
      <c r="F1123" s="4" t="s">
        <v>2657</v>
      </c>
      <c r="G1123" s="198" t="s">
        <v>2272</v>
      </c>
      <c r="H1123" s="198" t="s">
        <v>522</v>
      </c>
      <c r="I1123" s="198"/>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1">
        <v>0</v>
      </c>
      <c r="Z1123" s="198" t="s">
        <v>2272</v>
      </c>
      <c r="AA1123" s="198" t="s">
        <v>2272</v>
      </c>
      <c r="AB1123" s="198" t="s">
        <v>2272</v>
      </c>
      <c r="AC1123" s="198" t="s">
        <v>2272</v>
      </c>
      <c r="AD1123" s="4" t="s">
        <v>3405</v>
      </c>
      <c r="AE1123" s="198"/>
    </row>
    <row r="1124" spans="1:31" ht="47.5" customHeight="1">
      <c r="A1124" s="198" t="s">
        <v>3383</v>
      </c>
      <c r="B1124" s="198" t="s">
        <v>3404</v>
      </c>
      <c r="C1124" s="198" t="s">
        <v>23</v>
      </c>
      <c r="D1124" s="198" t="s">
        <v>2799</v>
      </c>
      <c r="E1124" s="198" t="s">
        <v>5000</v>
      </c>
      <c r="F1124" s="4" t="s">
        <v>2657</v>
      </c>
      <c r="G1124" s="198" t="s">
        <v>2272</v>
      </c>
      <c r="H1124" s="198" t="s">
        <v>522</v>
      </c>
      <c r="I1124" s="198"/>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1">
        <v>0</v>
      </c>
      <c r="Z1124" s="198" t="s">
        <v>2272</v>
      </c>
      <c r="AA1124" s="198" t="s">
        <v>2272</v>
      </c>
      <c r="AB1124" s="198" t="s">
        <v>2272</v>
      </c>
      <c r="AC1124" s="198" t="s">
        <v>2272</v>
      </c>
      <c r="AD1124" s="4" t="s">
        <v>3406</v>
      </c>
      <c r="AE1124" s="198"/>
    </row>
    <row r="1125" spans="1:31" ht="58" customHeight="1">
      <c r="A1125" s="198" t="s">
        <v>3408</v>
      </c>
      <c r="B1125" s="198" t="s">
        <v>3413</v>
      </c>
      <c r="C1125" s="198" t="s">
        <v>23</v>
      </c>
      <c r="D1125" s="198" t="s">
        <v>1241</v>
      </c>
      <c r="E1125" s="198" t="s">
        <v>114</v>
      </c>
      <c r="F1125" s="4" t="s">
        <v>2657</v>
      </c>
      <c r="G1125" s="4" t="s">
        <v>2657</v>
      </c>
      <c r="H1125" s="198" t="s">
        <v>521</v>
      </c>
      <c r="I1125" s="198"/>
      <c r="J1125" s="198" t="s">
        <v>2272</v>
      </c>
      <c r="K1125" s="198" t="s">
        <v>2272</v>
      </c>
      <c r="L1125" s="198" t="s">
        <v>2272</v>
      </c>
      <c r="M1125" s="198" t="s">
        <v>2272</v>
      </c>
      <c r="N1125" s="198" t="s">
        <v>2272</v>
      </c>
      <c r="O1125" s="198" t="s">
        <v>2272</v>
      </c>
      <c r="P1125" s="198" t="s">
        <v>2272</v>
      </c>
      <c r="Q1125" s="198" t="s">
        <v>2272</v>
      </c>
      <c r="R1125" s="198" t="s">
        <v>2272</v>
      </c>
      <c r="S1125" s="198" t="s">
        <v>2272</v>
      </c>
      <c r="T1125" s="198" t="s">
        <v>2272</v>
      </c>
      <c r="U1125" s="198" t="s">
        <v>2272</v>
      </c>
      <c r="V1125" s="198" t="s">
        <v>2272</v>
      </c>
      <c r="W1125" s="198" t="s">
        <v>2272</v>
      </c>
      <c r="X1125" s="198" t="s">
        <v>2272</v>
      </c>
      <c r="Y1125" s="198" t="s">
        <v>2272</v>
      </c>
      <c r="Z1125" s="198" t="s">
        <v>2272</v>
      </c>
      <c r="AA1125" s="198" t="s">
        <v>84</v>
      </c>
      <c r="AB1125" s="198" t="s">
        <v>403</v>
      </c>
      <c r="AC1125" s="198" t="s">
        <v>63</v>
      </c>
      <c r="AD1125" s="4" t="s">
        <v>3416</v>
      </c>
      <c r="AE1125" s="198"/>
    </row>
    <row r="1126" spans="1:31" ht="76.5" customHeight="1">
      <c r="A1126" s="198" t="s">
        <v>3408</v>
      </c>
      <c r="B1126" s="198" t="s">
        <v>3414</v>
      </c>
      <c r="C1126" s="198" t="s">
        <v>23</v>
      </c>
      <c r="D1126" s="198" t="s">
        <v>2337</v>
      </c>
      <c r="E1126" s="198" t="s">
        <v>114</v>
      </c>
      <c r="F1126" s="4" t="s">
        <v>2657</v>
      </c>
      <c r="G1126" s="4" t="s">
        <v>2657</v>
      </c>
      <c r="H1126" s="198" t="s">
        <v>521</v>
      </c>
      <c r="I1126" s="198"/>
      <c r="J1126" s="198" t="s">
        <v>2272</v>
      </c>
      <c r="K1126" s="198" t="s">
        <v>2272</v>
      </c>
      <c r="L1126" s="198" t="s">
        <v>2272</v>
      </c>
      <c r="M1126" s="198" t="s">
        <v>2272</v>
      </c>
      <c r="N1126" s="198" t="s">
        <v>2272</v>
      </c>
      <c r="O1126" s="198" t="s">
        <v>2272</v>
      </c>
      <c r="P1126" s="198" t="s">
        <v>2272</v>
      </c>
      <c r="Q1126" s="198" t="s">
        <v>2272</v>
      </c>
      <c r="R1126" s="198" t="s">
        <v>2272</v>
      </c>
      <c r="S1126" s="198" t="s">
        <v>2272</v>
      </c>
      <c r="T1126" s="198" t="s">
        <v>2272</v>
      </c>
      <c r="U1126" s="198" t="s">
        <v>2272</v>
      </c>
      <c r="V1126" s="198" t="s">
        <v>2272</v>
      </c>
      <c r="W1126" s="198" t="s">
        <v>2272</v>
      </c>
      <c r="X1126" s="198" t="s">
        <v>2272</v>
      </c>
      <c r="Y1126" s="198" t="s">
        <v>2272</v>
      </c>
      <c r="Z1126" s="198" t="s">
        <v>2272</v>
      </c>
      <c r="AA1126" s="198" t="s">
        <v>84</v>
      </c>
      <c r="AB1126" s="198" t="s">
        <v>403</v>
      </c>
      <c r="AC1126" s="198" t="s">
        <v>63</v>
      </c>
      <c r="AD1126" s="4" t="s">
        <v>3416</v>
      </c>
      <c r="AE1126" s="198"/>
    </row>
    <row r="1127" spans="1:31" ht="113.5" customHeight="1">
      <c r="A1127" s="198" t="s">
        <v>3421</v>
      </c>
      <c r="B1127" s="198" t="s">
        <v>3424</v>
      </c>
      <c r="C1127" s="198" t="s">
        <v>23</v>
      </c>
      <c r="D1127" s="198" t="s">
        <v>1241</v>
      </c>
      <c r="E1127" s="198" t="s">
        <v>114</v>
      </c>
      <c r="F1127" s="4" t="s">
        <v>2657</v>
      </c>
      <c r="G1127" s="4" t="s">
        <v>2657</v>
      </c>
      <c r="H1127" s="198" t="s">
        <v>521</v>
      </c>
      <c r="I1127" s="198">
        <v>1953</v>
      </c>
      <c r="J1127" s="198" t="s">
        <v>2272</v>
      </c>
      <c r="K1127" s="198" t="s">
        <v>2272</v>
      </c>
      <c r="L1127" s="198" t="s">
        <v>2272</v>
      </c>
      <c r="M1127" s="21">
        <v>0.5</v>
      </c>
      <c r="N1127" s="198" t="s">
        <v>2272</v>
      </c>
      <c r="O1127" s="198" t="s">
        <v>2272</v>
      </c>
      <c r="P1127" s="198" t="s">
        <v>2272</v>
      </c>
      <c r="Q1127" s="198" t="s">
        <v>2272</v>
      </c>
      <c r="R1127" s="198" t="s">
        <v>2272</v>
      </c>
      <c r="S1127" s="21">
        <v>5</v>
      </c>
      <c r="T1127" s="198" t="s">
        <v>2272</v>
      </c>
      <c r="U1127" s="198" t="s">
        <v>2272</v>
      </c>
      <c r="V1127" s="198" t="s">
        <v>2272</v>
      </c>
      <c r="W1127" s="198" t="s">
        <v>2272</v>
      </c>
      <c r="X1127" s="198" t="s">
        <v>2272</v>
      </c>
      <c r="Y1127" s="198" t="s">
        <v>2272</v>
      </c>
      <c r="Z1127" s="198" t="s">
        <v>2272</v>
      </c>
      <c r="AA1127" s="198" t="s">
        <v>397</v>
      </c>
      <c r="AB1127" s="198" t="s">
        <v>125</v>
      </c>
      <c r="AC1127" s="198" t="s">
        <v>2308</v>
      </c>
      <c r="AD1127" s="4" t="s">
        <v>3437</v>
      </c>
      <c r="AE1127" s="4" t="s">
        <v>3438</v>
      </c>
    </row>
    <row r="1128" spans="1:31" ht="113.5" customHeight="1">
      <c r="A1128" s="198" t="s">
        <v>3421</v>
      </c>
      <c r="B1128" s="198" t="s">
        <v>3425</v>
      </c>
      <c r="C1128" s="198" t="s">
        <v>1102</v>
      </c>
      <c r="D1128" s="198" t="s">
        <v>1102</v>
      </c>
      <c r="E1128" s="198" t="s">
        <v>2272</v>
      </c>
      <c r="F1128" s="4" t="s">
        <v>2272</v>
      </c>
      <c r="G1128" s="4" t="s">
        <v>2657</v>
      </c>
      <c r="H1128" s="198" t="s">
        <v>521</v>
      </c>
      <c r="I1128" s="198">
        <v>1953</v>
      </c>
      <c r="J1128" s="198" t="s">
        <v>2272</v>
      </c>
      <c r="K1128" s="198" t="s">
        <v>2272</v>
      </c>
      <c r="L1128" s="198" t="s">
        <v>2272</v>
      </c>
      <c r="M1128" s="21">
        <v>0.5</v>
      </c>
      <c r="N1128" s="198" t="s">
        <v>2272</v>
      </c>
      <c r="O1128" s="21">
        <v>6005</v>
      </c>
      <c r="P1128" s="198" t="s">
        <v>2272</v>
      </c>
      <c r="Q1128" s="21">
        <v>63.9</v>
      </c>
      <c r="R1128" s="198" t="s">
        <v>2272</v>
      </c>
      <c r="S1128" s="21">
        <v>10.199999999999999</v>
      </c>
      <c r="T1128" s="198" t="s">
        <v>2272</v>
      </c>
      <c r="U1128" s="198" t="s">
        <v>2272</v>
      </c>
      <c r="V1128" s="198" t="s">
        <v>2272</v>
      </c>
      <c r="W1128" s="21">
        <f>22/5</f>
        <v>4.4000000000000004</v>
      </c>
      <c r="X1128" s="198" t="s">
        <v>2272</v>
      </c>
      <c r="Y1128" s="198" t="s">
        <v>2272</v>
      </c>
      <c r="Z1128" s="198" t="s">
        <v>2272</v>
      </c>
      <c r="AA1128" s="198" t="s">
        <v>397</v>
      </c>
      <c r="AB1128" s="198" t="s">
        <v>125</v>
      </c>
      <c r="AC1128" s="198" t="s">
        <v>2308</v>
      </c>
      <c r="AD1128" s="4"/>
      <c r="AE1128" s="4"/>
    </row>
    <row r="1129" spans="1:31" ht="56.5" customHeight="1">
      <c r="A1129" s="198" t="s">
        <v>3421</v>
      </c>
      <c r="B1129" s="198" t="s">
        <v>3426</v>
      </c>
      <c r="C1129" s="198" t="s">
        <v>23</v>
      </c>
      <c r="D1129" s="198" t="s">
        <v>1241</v>
      </c>
      <c r="E1129" s="198" t="s">
        <v>114</v>
      </c>
      <c r="F1129" s="4" t="s">
        <v>2657</v>
      </c>
      <c r="G1129" s="4" t="s">
        <v>2657</v>
      </c>
      <c r="H1129" s="198" t="s">
        <v>522</v>
      </c>
      <c r="I1129" s="198">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198" t="s">
        <v>2272</v>
      </c>
      <c r="AA1129" s="198" t="s">
        <v>2272</v>
      </c>
      <c r="AB1129" s="198" t="s">
        <v>2272</v>
      </c>
      <c r="AC1129" s="198" t="s">
        <v>2272</v>
      </c>
      <c r="AD1129" s="4" t="s">
        <v>3418</v>
      </c>
      <c r="AE1129" s="198"/>
    </row>
    <row r="1130" spans="1:31" ht="42" customHeight="1">
      <c r="A1130" s="198" t="s">
        <v>3421</v>
      </c>
      <c r="B1130" s="198" t="s">
        <v>3427</v>
      </c>
      <c r="C1130" s="198" t="s">
        <v>1102</v>
      </c>
      <c r="D1130" s="198" t="s">
        <v>1102</v>
      </c>
      <c r="E1130" s="198" t="s">
        <v>1102</v>
      </c>
      <c r="F1130" s="4" t="s">
        <v>1102</v>
      </c>
      <c r="G1130" s="198" t="s">
        <v>2272</v>
      </c>
      <c r="H1130" s="198" t="s">
        <v>521</v>
      </c>
      <c r="I1130" s="198">
        <v>1973</v>
      </c>
      <c r="J1130" s="198" t="s">
        <v>2272</v>
      </c>
      <c r="K1130" s="212">
        <f>24/'Record info'!$K$618/5</f>
        <v>1.9899672484557027E-3</v>
      </c>
      <c r="L1130" s="198" t="s">
        <v>2272</v>
      </c>
      <c r="M1130" s="21">
        <v>15</v>
      </c>
      <c r="N1130" s="198" t="s">
        <v>2272</v>
      </c>
      <c r="O1130" s="21">
        <v>24708</v>
      </c>
      <c r="P1130" s="198" t="s">
        <v>2272</v>
      </c>
      <c r="Q1130" s="21">
        <v>1583.9</v>
      </c>
      <c r="R1130" s="198" t="s">
        <v>2272</v>
      </c>
      <c r="S1130" s="21">
        <v>60.9</v>
      </c>
      <c r="T1130" s="198" t="s">
        <v>2272</v>
      </c>
      <c r="U1130" s="198" t="s">
        <v>2272</v>
      </c>
      <c r="V1130" s="198" t="s">
        <v>2272</v>
      </c>
      <c r="W1130" s="14">
        <f>16/5</f>
        <v>3.2</v>
      </c>
      <c r="X1130" s="198" t="s">
        <v>2272</v>
      </c>
      <c r="Y1130" s="198" t="s">
        <v>2272</v>
      </c>
      <c r="Z1130" s="198" t="s">
        <v>2272</v>
      </c>
      <c r="AA1130" s="198" t="s">
        <v>2272</v>
      </c>
      <c r="AB1130" s="198" t="s">
        <v>2272</v>
      </c>
      <c r="AC1130" s="198" t="s">
        <v>2272</v>
      </c>
      <c r="AD1130" s="4" t="s">
        <v>3419</v>
      </c>
      <c r="AE1130" s="198"/>
    </row>
    <row r="1131" spans="1:31" ht="42" customHeight="1">
      <c r="A1131" s="198" t="s">
        <v>3421</v>
      </c>
      <c r="B1131" s="198" t="s">
        <v>3428</v>
      </c>
      <c r="C1131" s="198" t="s">
        <v>23</v>
      </c>
      <c r="D1131" s="198" t="s">
        <v>1241</v>
      </c>
      <c r="E1131" s="198" t="s">
        <v>114</v>
      </c>
      <c r="F1131" s="4" t="s">
        <v>2657</v>
      </c>
      <c r="G1131" s="4" t="s">
        <v>2657</v>
      </c>
      <c r="H1131" s="198" t="s">
        <v>522</v>
      </c>
      <c r="I1131" s="198">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198" t="s">
        <v>2272</v>
      </c>
      <c r="AA1131" s="198" t="s">
        <v>2272</v>
      </c>
      <c r="AB1131" s="198" t="s">
        <v>2272</v>
      </c>
      <c r="AC1131" s="198" t="s">
        <v>2272</v>
      </c>
      <c r="AD1131" s="4" t="s">
        <v>3418</v>
      </c>
      <c r="AE1131" s="198"/>
    </row>
    <row r="1132" spans="1:31" ht="42" customHeight="1">
      <c r="A1132" s="198" t="s">
        <v>3421</v>
      </c>
      <c r="B1132" s="198" t="s">
        <v>3429</v>
      </c>
      <c r="C1132" s="198" t="s">
        <v>1102</v>
      </c>
      <c r="D1132" s="198" t="s">
        <v>1102</v>
      </c>
      <c r="E1132" s="198" t="s">
        <v>1102</v>
      </c>
      <c r="F1132" s="4" t="s">
        <v>1102</v>
      </c>
      <c r="G1132" s="198" t="s">
        <v>2272</v>
      </c>
      <c r="H1132" s="198" t="s">
        <v>521</v>
      </c>
      <c r="I1132" s="198">
        <v>1981</v>
      </c>
      <c r="J1132" s="198" t="s">
        <v>2272</v>
      </c>
      <c r="K1132" s="212">
        <f>4/'Record info'!$K$618/5</f>
        <v>3.3166120807595043E-4</v>
      </c>
      <c r="L1132" s="198" t="s">
        <v>2272</v>
      </c>
      <c r="M1132" s="21">
        <v>17113</v>
      </c>
      <c r="N1132" s="198" t="s">
        <v>2272</v>
      </c>
      <c r="O1132" s="21">
        <v>129646</v>
      </c>
      <c r="P1132" s="198" t="s">
        <v>2272</v>
      </c>
      <c r="Q1132" s="21">
        <v>52644</v>
      </c>
      <c r="R1132" s="198" t="s">
        <v>2272</v>
      </c>
      <c r="S1132" s="198" t="s">
        <v>2272</v>
      </c>
      <c r="T1132" s="198" t="s">
        <v>2272</v>
      </c>
      <c r="U1132" s="198" t="s">
        <v>2272</v>
      </c>
      <c r="V1132" s="198" t="s">
        <v>2272</v>
      </c>
      <c r="W1132" s="14">
        <f>87/5</f>
        <v>17.399999999999999</v>
      </c>
      <c r="X1132" s="198" t="s">
        <v>2272</v>
      </c>
      <c r="Y1132" s="198" t="s">
        <v>2272</v>
      </c>
      <c r="Z1132" s="198" t="s">
        <v>2272</v>
      </c>
      <c r="AA1132" s="198" t="s">
        <v>2272</v>
      </c>
      <c r="AB1132" s="198" t="s">
        <v>2272</v>
      </c>
      <c r="AC1132" s="198" t="s">
        <v>2272</v>
      </c>
      <c r="AD1132" s="4" t="s">
        <v>3419</v>
      </c>
      <c r="AE1132" s="198"/>
    </row>
    <row r="1133" spans="1:31" ht="42" customHeight="1">
      <c r="A1133" s="198" t="s">
        <v>3421</v>
      </c>
      <c r="B1133" s="198" t="s">
        <v>3430</v>
      </c>
      <c r="C1133" s="198" t="s">
        <v>23</v>
      </c>
      <c r="D1133" s="198" t="s">
        <v>1241</v>
      </c>
      <c r="E1133" s="198" t="s">
        <v>114</v>
      </c>
      <c r="F1133" s="4" t="s">
        <v>2657</v>
      </c>
      <c r="G1133" s="4" t="s">
        <v>2657</v>
      </c>
      <c r="H1133" s="198" t="s">
        <v>522</v>
      </c>
      <c r="I1133" s="198">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198" t="s">
        <v>2272</v>
      </c>
      <c r="AA1133" s="198" t="s">
        <v>2272</v>
      </c>
      <c r="AB1133" s="198" t="s">
        <v>2272</v>
      </c>
      <c r="AC1133" s="198" t="s">
        <v>2272</v>
      </c>
      <c r="AD1133" s="4" t="s">
        <v>3418</v>
      </c>
      <c r="AE1133" s="198"/>
    </row>
    <row r="1134" spans="1:31" ht="41" customHeight="1">
      <c r="A1134" s="198" t="s">
        <v>3421</v>
      </c>
      <c r="B1134" s="198" t="s">
        <v>3431</v>
      </c>
      <c r="C1134" s="198" t="s">
        <v>1102</v>
      </c>
      <c r="D1134" s="198" t="s">
        <v>1102</v>
      </c>
      <c r="E1134" s="198" t="s">
        <v>1102</v>
      </c>
      <c r="F1134" s="4" t="s">
        <v>1102</v>
      </c>
      <c r="G1134" s="198" t="s">
        <v>2272</v>
      </c>
      <c r="H1134" s="198" t="s">
        <v>521</v>
      </c>
      <c r="I1134" s="198">
        <v>1988</v>
      </c>
      <c r="J1134" s="198" t="s">
        <v>2272</v>
      </c>
      <c r="K1134" s="212">
        <f>19/'Record info'!$K$618/5</f>
        <v>1.5753907383607648E-3</v>
      </c>
      <c r="L1134" s="198" t="s">
        <v>2272</v>
      </c>
      <c r="M1134" s="21">
        <v>1</v>
      </c>
      <c r="N1134" s="198" t="s">
        <v>2272</v>
      </c>
      <c r="O1134" s="21">
        <v>71346</v>
      </c>
      <c r="P1134" s="198" t="s">
        <v>2272</v>
      </c>
      <c r="Q1134" s="21">
        <v>4970.8999999999996</v>
      </c>
      <c r="R1134" s="198" t="s">
        <v>2272</v>
      </c>
      <c r="S1134" s="21">
        <v>309.89999999999998</v>
      </c>
      <c r="T1134" s="198" t="s">
        <v>2272</v>
      </c>
      <c r="U1134" s="198" t="s">
        <v>2272</v>
      </c>
      <c r="V1134" s="198" t="s">
        <v>2272</v>
      </c>
      <c r="W1134" s="14">
        <f>39/5</f>
        <v>7.8</v>
      </c>
      <c r="X1134" s="198" t="s">
        <v>2272</v>
      </c>
      <c r="Y1134" s="198" t="s">
        <v>2272</v>
      </c>
      <c r="Z1134" s="198" t="s">
        <v>2272</v>
      </c>
      <c r="AA1134" s="198" t="s">
        <v>2272</v>
      </c>
      <c r="AB1134" s="198" t="s">
        <v>2272</v>
      </c>
      <c r="AC1134" s="198" t="s">
        <v>2272</v>
      </c>
      <c r="AD1134" s="4" t="s">
        <v>3419</v>
      </c>
      <c r="AE1134" s="198"/>
    </row>
    <row r="1135" spans="1:31" ht="45.5" customHeight="1">
      <c r="A1135" s="198" t="s">
        <v>3421</v>
      </c>
      <c r="B1135" s="198" t="s">
        <v>3432</v>
      </c>
      <c r="C1135" s="198" t="s">
        <v>23</v>
      </c>
      <c r="D1135" s="198" t="s">
        <v>1241</v>
      </c>
      <c r="E1135" s="198" t="s">
        <v>114</v>
      </c>
      <c r="F1135" s="4" t="s">
        <v>2657</v>
      </c>
      <c r="G1135" s="4" t="s">
        <v>2657</v>
      </c>
      <c r="H1135" s="198" t="s">
        <v>522</v>
      </c>
      <c r="I1135" s="198">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198" t="s">
        <v>2272</v>
      </c>
      <c r="AA1135" s="198" t="s">
        <v>2272</v>
      </c>
      <c r="AB1135" s="198" t="s">
        <v>2272</v>
      </c>
      <c r="AC1135" s="198" t="s">
        <v>2272</v>
      </c>
      <c r="AD1135" s="4" t="s">
        <v>3418</v>
      </c>
      <c r="AE1135" s="198"/>
    </row>
    <row r="1136" spans="1:31" ht="42.5" customHeight="1">
      <c r="A1136" s="198" t="s">
        <v>3421</v>
      </c>
      <c r="B1136" s="198" t="s">
        <v>3433</v>
      </c>
      <c r="C1136" s="198" t="s">
        <v>1102</v>
      </c>
      <c r="D1136" s="198" t="s">
        <v>1102</v>
      </c>
      <c r="E1136" s="198" t="s">
        <v>1102</v>
      </c>
      <c r="F1136" s="4" t="s">
        <v>1102</v>
      </c>
      <c r="G1136" s="198" t="s">
        <v>2272</v>
      </c>
      <c r="H1136" s="198" t="s">
        <v>521</v>
      </c>
      <c r="I1136" s="198">
        <v>1994</v>
      </c>
      <c r="J1136" s="198" t="s">
        <v>2272</v>
      </c>
      <c r="K1136" s="212">
        <f>83/'Record info'!$K$618/5</f>
        <v>6.8819700675759711E-3</v>
      </c>
      <c r="L1136" s="198" t="s">
        <v>2272</v>
      </c>
      <c r="M1136" s="21">
        <v>8</v>
      </c>
      <c r="N1136" s="198" t="s">
        <v>2272</v>
      </c>
      <c r="O1136" s="21">
        <v>11992</v>
      </c>
      <c r="P1136" s="198" t="s">
        <v>2272</v>
      </c>
      <c r="Q1136" s="21">
        <v>561.29999999999995</v>
      </c>
      <c r="R1136" s="198" t="s">
        <v>2272</v>
      </c>
      <c r="S1136" s="21">
        <v>91.2</v>
      </c>
      <c r="T1136" s="198" t="s">
        <v>2272</v>
      </c>
      <c r="U1136" s="198" t="s">
        <v>2272</v>
      </c>
      <c r="V1136" s="198" t="s">
        <v>2272</v>
      </c>
      <c r="W1136" s="14">
        <f>19/5</f>
        <v>3.8</v>
      </c>
      <c r="X1136" s="198" t="s">
        <v>2272</v>
      </c>
      <c r="Y1136" s="198" t="s">
        <v>2272</v>
      </c>
      <c r="Z1136" s="198" t="s">
        <v>2272</v>
      </c>
      <c r="AA1136" s="198" t="s">
        <v>2272</v>
      </c>
      <c r="AB1136" s="198" t="s">
        <v>2272</v>
      </c>
      <c r="AC1136" s="198" t="s">
        <v>2272</v>
      </c>
      <c r="AD1136" s="4" t="s">
        <v>3419</v>
      </c>
      <c r="AE1136" s="198"/>
    </row>
    <row r="1137" spans="1:31" ht="55.5" customHeight="1">
      <c r="A1137" s="198" t="s">
        <v>3421</v>
      </c>
      <c r="B1137" s="198" t="s">
        <v>3434</v>
      </c>
      <c r="C1137" s="198" t="s">
        <v>23</v>
      </c>
      <c r="D1137" s="198" t="s">
        <v>1241</v>
      </c>
      <c r="E1137" s="198" t="s">
        <v>114</v>
      </c>
      <c r="F1137" s="4" t="s">
        <v>2657</v>
      </c>
      <c r="G1137" s="4" t="s">
        <v>2657</v>
      </c>
      <c r="H1137" s="198" t="s">
        <v>522</v>
      </c>
      <c r="I1137" s="198">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198" t="s">
        <v>2272</v>
      </c>
      <c r="AA1137" s="198" t="s">
        <v>2272</v>
      </c>
      <c r="AB1137" s="198" t="s">
        <v>2272</v>
      </c>
      <c r="AC1137" s="198" t="s">
        <v>2272</v>
      </c>
      <c r="AD1137" s="4" t="s">
        <v>3418</v>
      </c>
      <c r="AE1137" s="198"/>
    </row>
    <row r="1138" spans="1:31" ht="55.5" customHeight="1">
      <c r="A1138" s="198" t="s">
        <v>3421</v>
      </c>
      <c r="B1138" s="198" t="s">
        <v>5016</v>
      </c>
      <c r="C1138" s="198" t="s">
        <v>1102</v>
      </c>
      <c r="D1138" s="198" t="s">
        <v>1102</v>
      </c>
      <c r="E1138" s="198" t="s">
        <v>1102</v>
      </c>
      <c r="F1138" s="4" t="s">
        <v>1102</v>
      </c>
      <c r="G1138" s="198" t="s">
        <v>2272</v>
      </c>
      <c r="H1138" s="198" t="s">
        <v>521</v>
      </c>
      <c r="I1138" s="198">
        <v>2000</v>
      </c>
      <c r="J1138" s="198" t="s">
        <v>2272</v>
      </c>
      <c r="K1138" s="212">
        <f>25/'Record info'!$K$618/5</f>
        <v>2.0728825504746904E-3</v>
      </c>
      <c r="L1138" s="198" t="s">
        <v>2272</v>
      </c>
      <c r="M1138" s="21">
        <v>19</v>
      </c>
      <c r="N1138" s="198" t="s">
        <v>2272</v>
      </c>
      <c r="O1138" s="21">
        <v>3683</v>
      </c>
      <c r="P1138" s="198" t="s">
        <v>2272</v>
      </c>
      <c r="Q1138" s="21">
        <v>444.2</v>
      </c>
      <c r="R1138" s="198" t="s">
        <v>2272</v>
      </c>
      <c r="S1138" s="21">
        <v>78.2</v>
      </c>
      <c r="T1138" s="198" t="s">
        <v>2272</v>
      </c>
      <c r="U1138" s="198" t="s">
        <v>2272</v>
      </c>
      <c r="V1138" s="198" t="s">
        <v>2272</v>
      </c>
      <c r="W1138" s="21">
        <f>4.6/5</f>
        <v>0.91999999999999993</v>
      </c>
      <c r="X1138" s="198" t="s">
        <v>2272</v>
      </c>
      <c r="Y1138" s="198" t="s">
        <v>2272</v>
      </c>
      <c r="Z1138" s="198" t="s">
        <v>2272</v>
      </c>
      <c r="AA1138" s="198" t="s">
        <v>2272</v>
      </c>
      <c r="AB1138" s="198" t="s">
        <v>2272</v>
      </c>
      <c r="AC1138" s="198" t="s">
        <v>2272</v>
      </c>
      <c r="AD1138" s="4" t="s">
        <v>3419</v>
      </c>
      <c r="AE1138" s="198"/>
    </row>
    <row r="1139" spans="1:31" ht="39" customHeight="1">
      <c r="A1139" s="198" t="s">
        <v>3440</v>
      </c>
      <c r="B1139" s="198" t="s">
        <v>3442</v>
      </c>
      <c r="C1139" s="198" t="s">
        <v>23</v>
      </c>
      <c r="D1139" s="198" t="s">
        <v>1241</v>
      </c>
      <c r="E1139" s="198" t="s">
        <v>114</v>
      </c>
      <c r="F1139" s="4" t="s">
        <v>2657</v>
      </c>
      <c r="G1139" s="4" t="s">
        <v>2657</v>
      </c>
      <c r="H1139" s="198" t="s">
        <v>521</v>
      </c>
      <c r="I1139" s="198"/>
      <c r="J1139" s="198" t="s">
        <v>2272</v>
      </c>
      <c r="K1139" s="198" t="s">
        <v>2272</v>
      </c>
      <c r="L1139" s="198" t="s">
        <v>2272</v>
      </c>
      <c r="M1139" s="198" t="s">
        <v>2272</v>
      </c>
      <c r="N1139" s="198" t="s">
        <v>2272</v>
      </c>
      <c r="O1139" s="198" t="s">
        <v>2272</v>
      </c>
      <c r="P1139" s="198" t="s">
        <v>2272</v>
      </c>
      <c r="Q1139" s="198" t="s">
        <v>2272</v>
      </c>
      <c r="R1139" s="198" t="s">
        <v>2272</v>
      </c>
      <c r="S1139" s="198" t="s">
        <v>2272</v>
      </c>
      <c r="T1139" s="198" t="s">
        <v>2272</v>
      </c>
      <c r="U1139" s="198" t="s">
        <v>2272</v>
      </c>
      <c r="V1139" s="198" t="s">
        <v>2272</v>
      </c>
      <c r="W1139" s="198" t="s">
        <v>2272</v>
      </c>
      <c r="X1139" s="198" t="s">
        <v>2272</v>
      </c>
      <c r="Y1139" s="198" t="s">
        <v>2272</v>
      </c>
      <c r="Z1139" s="198" t="s">
        <v>2272</v>
      </c>
      <c r="AA1139" s="198" t="s">
        <v>84</v>
      </c>
      <c r="AB1139" s="198" t="s">
        <v>67</v>
      </c>
      <c r="AC1139" s="198" t="s">
        <v>2650</v>
      </c>
      <c r="AD1139" s="4" t="s">
        <v>3444</v>
      </c>
      <c r="AE1139" s="198"/>
    </row>
    <row r="1140" spans="1:31" ht="44.5" customHeight="1">
      <c r="A1140" s="198" t="s">
        <v>3440</v>
      </c>
      <c r="B1140" s="198" t="s">
        <v>3443</v>
      </c>
      <c r="C1140" s="198" t="s">
        <v>23</v>
      </c>
      <c r="D1140" s="198" t="s">
        <v>1238</v>
      </c>
      <c r="E1140" s="198" t="s">
        <v>114</v>
      </c>
      <c r="F1140" s="4" t="s">
        <v>2657</v>
      </c>
      <c r="G1140" s="4" t="s">
        <v>2657</v>
      </c>
      <c r="H1140" s="198" t="s">
        <v>521</v>
      </c>
      <c r="I1140" s="198"/>
      <c r="J1140" s="198" t="s">
        <v>2272</v>
      </c>
      <c r="K1140" s="198" t="s">
        <v>2272</v>
      </c>
      <c r="L1140" s="198" t="s">
        <v>2272</v>
      </c>
      <c r="M1140" s="198" t="s">
        <v>2272</v>
      </c>
      <c r="N1140" s="198" t="s">
        <v>2272</v>
      </c>
      <c r="O1140" s="198" t="s">
        <v>2272</v>
      </c>
      <c r="P1140" s="198" t="s">
        <v>2272</v>
      </c>
      <c r="Q1140" s="198" t="s">
        <v>2272</v>
      </c>
      <c r="R1140" s="198" t="s">
        <v>2272</v>
      </c>
      <c r="S1140" s="198" t="s">
        <v>2272</v>
      </c>
      <c r="T1140" s="198" t="s">
        <v>2272</v>
      </c>
      <c r="U1140" s="198" t="s">
        <v>2272</v>
      </c>
      <c r="V1140" s="198" t="s">
        <v>2272</v>
      </c>
      <c r="W1140" s="198" t="s">
        <v>2272</v>
      </c>
      <c r="X1140" s="198" t="s">
        <v>2272</v>
      </c>
      <c r="Y1140" s="198" t="s">
        <v>2272</v>
      </c>
      <c r="Z1140" s="198" t="s">
        <v>2272</v>
      </c>
      <c r="AA1140" s="198" t="s">
        <v>84</v>
      </c>
      <c r="AB1140" s="198" t="s">
        <v>403</v>
      </c>
      <c r="AC1140" s="198" t="s">
        <v>2650</v>
      </c>
      <c r="AD1140" s="4" t="s">
        <v>3445</v>
      </c>
      <c r="AE1140" s="198"/>
    </row>
    <row r="1141" spans="1:31" ht="45" customHeight="1">
      <c r="A1141" s="198" t="s">
        <v>3440</v>
      </c>
      <c r="B1141" s="198" t="s">
        <v>3446</v>
      </c>
      <c r="C1141" s="198" t="s">
        <v>23</v>
      </c>
      <c r="D1141" s="198" t="s">
        <v>2301</v>
      </c>
      <c r="E1141" s="198" t="s">
        <v>114</v>
      </c>
      <c r="F1141" s="4" t="s">
        <v>54</v>
      </c>
      <c r="G1141" s="198" t="s">
        <v>54</v>
      </c>
      <c r="H1141" s="198" t="s">
        <v>521</v>
      </c>
      <c r="I1141" s="198"/>
      <c r="J1141" s="198" t="s">
        <v>2272</v>
      </c>
      <c r="K1141" s="198" t="s">
        <v>2272</v>
      </c>
      <c r="L1141" s="198" t="s">
        <v>2272</v>
      </c>
      <c r="M1141" s="198" t="s">
        <v>2272</v>
      </c>
      <c r="N1141" s="198" t="s">
        <v>2272</v>
      </c>
      <c r="O1141" s="198" t="s">
        <v>2272</v>
      </c>
      <c r="P1141" s="198" t="s">
        <v>2272</v>
      </c>
      <c r="Q1141" s="198" t="s">
        <v>2272</v>
      </c>
      <c r="R1141" s="198" t="s">
        <v>2272</v>
      </c>
      <c r="S1141" s="198" t="s">
        <v>2272</v>
      </c>
      <c r="T1141" s="198" t="s">
        <v>2272</v>
      </c>
      <c r="U1141" s="198" t="s">
        <v>2272</v>
      </c>
      <c r="V1141" s="198" t="s">
        <v>2272</v>
      </c>
      <c r="W1141" s="198" t="s">
        <v>2272</v>
      </c>
      <c r="X1141" s="198" t="s">
        <v>2272</v>
      </c>
      <c r="Y1141" s="198" t="s">
        <v>2272</v>
      </c>
      <c r="Z1141" s="198" t="s">
        <v>2272</v>
      </c>
      <c r="AA1141" s="198" t="s">
        <v>84</v>
      </c>
      <c r="AB1141" s="198" t="s">
        <v>67</v>
      </c>
      <c r="AC1141" s="198" t="s">
        <v>63</v>
      </c>
      <c r="AD1141" s="4" t="s">
        <v>3448</v>
      </c>
      <c r="AE1141" s="198"/>
    </row>
    <row r="1142" spans="1:31" ht="46" customHeight="1">
      <c r="A1142" s="198" t="s">
        <v>3440</v>
      </c>
      <c r="B1142" s="198" t="s">
        <v>3447</v>
      </c>
      <c r="C1142" s="198" t="s">
        <v>2651</v>
      </c>
      <c r="D1142" s="198" t="s">
        <v>2272</v>
      </c>
      <c r="E1142" s="198" t="s">
        <v>2272</v>
      </c>
      <c r="F1142" s="4" t="s">
        <v>2272</v>
      </c>
      <c r="G1142" s="198" t="s">
        <v>2272</v>
      </c>
      <c r="H1142" s="198" t="s">
        <v>521</v>
      </c>
      <c r="I1142" s="198"/>
      <c r="J1142" s="198" t="s">
        <v>2272</v>
      </c>
      <c r="K1142" s="198" t="s">
        <v>2272</v>
      </c>
      <c r="L1142" s="198" t="s">
        <v>2272</v>
      </c>
      <c r="M1142" s="198" t="s">
        <v>2272</v>
      </c>
      <c r="N1142" s="198" t="s">
        <v>2272</v>
      </c>
      <c r="O1142" s="198" t="s">
        <v>2272</v>
      </c>
      <c r="P1142" s="198" t="s">
        <v>2272</v>
      </c>
      <c r="Q1142" s="198" t="s">
        <v>2272</v>
      </c>
      <c r="R1142" s="198" t="s">
        <v>2272</v>
      </c>
      <c r="S1142" s="198" t="s">
        <v>2272</v>
      </c>
      <c r="T1142" s="198" t="s">
        <v>2272</v>
      </c>
      <c r="U1142" s="198" t="s">
        <v>2272</v>
      </c>
      <c r="V1142" s="198" t="s">
        <v>2272</v>
      </c>
      <c r="W1142" s="198" t="s">
        <v>2272</v>
      </c>
      <c r="X1142" s="198" t="s">
        <v>2272</v>
      </c>
      <c r="Y1142" s="198" t="s">
        <v>2272</v>
      </c>
      <c r="Z1142" s="198" t="s">
        <v>2272</v>
      </c>
      <c r="AA1142" s="198" t="s">
        <v>67</v>
      </c>
      <c r="AB1142" s="198" t="s">
        <v>125</v>
      </c>
      <c r="AC1142" s="198" t="s">
        <v>63</v>
      </c>
      <c r="AD1142" s="4" t="s">
        <v>3451</v>
      </c>
      <c r="AE1142" s="198"/>
    </row>
    <row r="1143" spans="1:31" ht="55.5" customHeight="1">
      <c r="A1143" s="198" t="s">
        <v>3440</v>
      </c>
      <c r="B1143" s="198" t="s">
        <v>3449</v>
      </c>
      <c r="C1143" s="198" t="s">
        <v>2453</v>
      </c>
      <c r="D1143" s="198" t="s">
        <v>1241</v>
      </c>
      <c r="E1143" s="198" t="s">
        <v>114</v>
      </c>
      <c r="F1143" s="4" t="s">
        <v>2657</v>
      </c>
      <c r="G1143" s="198" t="s">
        <v>2272</v>
      </c>
      <c r="H1143" s="198" t="s">
        <v>521</v>
      </c>
      <c r="I1143" s="198"/>
      <c r="J1143" s="198" t="s">
        <v>2272</v>
      </c>
      <c r="K1143" s="198" t="s">
        <v>2272</v>
      </c>
      <c r="L1143" s="198" t="s">
        <v>2272</v>
      </c>
      <c r="M1143" s="198" t="s">
        <v>2272</v>
      </c>
      <c r="N1143" s="198" t="s">
        <v>2272</v>
      </c>
      <c r="O1143" s="198" t="s">
        <v>2272</v>
      </c>
      <c r="P1143" s="198" t="s">
        <v>2272</v>
      </c>
      <c r="Q1143" s="198" t="s">
        <v>2272</v>
      </c>
      <c r="R1143" s="198" t="s">
        <v>2272</v>
      </c>
      <c r="S1143" s="198" t="s">
        <v>2272</v>
      </c>
      <c r="T1143" s="198" t="s">
        <v>2272</v>
      </c>
      <c r="U1143" s="198" t="s">
        <v>2272</v>
      </c>
      <c r="V1143" s="198" t="s">
        <v>2272</v>
      </c>
      <c r="W1143" s="198" t="s">
        <v>2272</v>
      </c>
      <c r="X1143" s="198" t="s">
        <v>2272</v>
      </c>
      <c r="Y1143" s="198" t="s">
        <v>2272</v>
      </c>
      <c r="Z1143" s="198" t="s">
        <v>2272</v>
      </c>
      <c r="AA1143" s="198" t="s">
        <v>423</v>
      </c>
      <c r="AB1143" s="198" t="s">
        <v>67</v>
      </c>
      <c r="AC1143" s="198" t="s">
        <v>63</v>
      </c>
      <c r="AD1143" s="4" t="s">
        <v>3450</v>
      </c>
      <c r="AE1143" s="198"/>
    </row>
    <row r="1144" spans="1:31" ht="45" customHeight="1">
      <c r="A1144" s="198" t="s">
        <v>3455</v>
      </c>
      <c r="B1144" s="198" t="s">
        <v>3460</v>
      </c>
      <c r="C1144" s="198" t="s">
        <v>23</v>
      </c>
      <c r="D1144" s="198" t="s">
        <v>2799</v>
      </c>
      <c r="E1144" s="198" t="s">
        <v>5000</v>
      </c>
      <c r="F1144" s="4" t="s">
        <v>2657</v>
      </c>
      <c r="G1144" s="198" t="s">
        <v>2272</v>
      </c>
      <c r="H1144" s="198" t="s">
        <v>521</v>
      </c>
      <c r="I1144" s="198"/>
      <c r="J1144" s="198" t="s">
        <v>2272</v>
      </c>
      <c r="K1144" s="198" t="s">
        <v>2272</v>
      </c>
      <c r="L1144" s="198" t="s">
        <v>2272</v>
      </c>
      <c r="M1144" s="198" t="s">
        <v>2272</v>
      </c>
      <c r="N1144" s="198" t="s">
        <v>2272</v>
      </c>
      <c r="O1144" s="198" t="s">
        <v>2272</v>
      </c>
      <c r="P1144" s="198" t="s">
        <v>2272</v>
      </c>
      <c r="Q1144" s="198" t="s">
        <v>2272</v>
      </c>
      <c r="R1144" s="198" t="s">
        <v>2272</v>
      </c>
      <c r="S1144" s="198" t="s">
        <v>2272</v>
      </c>
      <c r="T1144" s="198" t="s">
        <v>2272</v>
      </c>
      <c r="U1144" s="198" t="s">
        <v>2272</v>
      </c>
      <c r="V1144" s="198" t="s">
        <v>2272</v>
      </c>
      <c r="W1144" s="198" t="s">
        <v>2272</v>
      </c>
      <c r="X1144" s="198" t="s">
        <v>2272</v>
      </c>
      <c r="Y1144" s="198" t="s">
        <v>2272</v>
      </c>
      <c r="Z1144" s="198" t="s">
        <v>2272</v>
      </c>
      <c r="AA1144" s="198" t="s">
        <v>187</v>
      </c>
      <c r="AB1144" s="198" t="s">
        <v>37</v>
      </c>
      <c r="AC1144" s="198" t="s">
        <v>63</v>
      </c>
      <c r="AD1144" s="4" t="s">
        <v>3461</v>
      </c>
      <c r="AE1144" s="198"/>
    </row>
    <row r="1145" spans="1:31" ht="81.5" customHeight="1">
      <c r="A1145" s="198" t="s">
        <v>3455</v>
      </c>
      <c r="B1145" s="198" t="s">
        <v>3462</v>
      </c>
      <c r="C1145" s="198" t="s">
        <v>23</v>
      </c>
      <c r="D1145" s="198" t="s">
        <v>24</v>
      </c>
      <c r="E1145" s="198" t="s">
        <v>5000</v>
      </c>
      <c r="F1145" s="4" t="s">
        <v>2657</v>
      </c>
      <c r="G1145" s="198" t="s">
        <v>2272</v>
      </c>
      <c r="H1145" s="198" t="s">
        <v>522</v>
      </c>
      <c r="I1145" s="198"/>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198" t="s">
        <v>2272</v>
      </c>
      <c r="AA1145" s="198" t="s">
        <v>67</v>
      </c>
      <c r="AB1145" s="198" t="s">
        <v>34</v>
      </c>
      <c r="AC1145" s="198" t="s">
        <v>2272</v>
      </c>
      <c r="AD1145" s="4" t="s">
        <v>3463</v>
      </c>
      <c r="AE1145" s="198"/>
    </row>
    <row r="1146" spans="1:31" ht="54.5" customHeight="1">
      <c r="A1146" s="198" t="s">
        <v>3455</v>
      </c>
      <c r="B1146" s="198" t="s">
        <v>3464</v>
      </c>
      <c r="C1146" s="198" t="s">
        <v>23</v>
      </c>
      <c r="D1146" s="198" t="s">
        <v>141</v>
      </c>
      <c r="E1146" s="198" t="s">
        <v>128</v>
      </c>
      <c r="F1146" s="4" t="s">
        <v>73</v>
      </c>
      <c r="G1146" s="198" t="s">
        <v>2272</v>
      </c>
      <c r="H1146" s="198" t="s">
        <v>521</v>
      </c>
      <c r="I1146" s="198"/>
      <c r="J1146" s="198" t="s">
        <v>2272</v>
      </c>
      <c r="K1146" s="198" t="s">
        <v>2272</v>
      </c>
      <c r="L1146" s="198" t="s">
        <v>2272</v>
      </c>
      <c r="M1146" s="198" t="s">
        <v>2272</v>
      </c>
      <c r="N1146" s="198" t="s">
        <v>2272</v>
      </c>
      <c r="O1146" s="198" t="s">
        <v>2272</v>
      </c>
      <c r="P1146" s="198" t="s">
        <v>2272</v>
      </c>
      <c r="Q1146" s="198" t="s">
        <v>2272</v>
      </c>
      <c r="R1146" s="198" t="s">
        <v>2272</v>
      </c>
      <c r="S1146" s="198" t="s">
        <v>2272</v>
      </c>
      <c r="T1146" s="198" t="s">
        <v>2272</v>
      </c>
      <c r="U1146" s="198" t="s">
        <v>2272</v>
      </c>
      <c r="V1146" s="198" t="s">
        <v>2272</v>
      </c>
      <c r="W1146" s="198" t="s">
        <v>2272</v>
      </c>
      <c r="X1146" s="198" t="s">
        <v>2272</v>
      </c>
      <c r="Y1146" s="198" t="s">
        <v>2272</v>
      </c>
      <c r="Z1146" s="198" t="s">
        <v>2272</v>
      </c>
      <c r="AA1146" s="198" t="s">
        <v>2272</v>
      </c>
      <c r="AB1146" s="198" t="s">
        <v>2272</v>
      </c>
      <c r="AC1146" s="198" t="s">
        <v>2272</v>
      </c>
      <c r="AD1146" s="198"/>
      <c r="AE1146" s="198"/>
    </row>
    <row r="1147" spans="1:31" ht="47" customHeight="1">
      <c r="A1147" s="198" t="s">
        <v>3455</v>
      </c>
      <c r="B1147" s="198" t="s">
        <v>3465</v>
      </c>
      <c r="C1147" s="198" t="s">
        <v>23</v>
      </c>
      <c r="D1147" s="198" t="s">
        <v>2654</v>
      </c>
      <c r="E1147" s="198" t="s">
        <v>128</v>
      </c>
      <c r="F1147" s="4" t="s">
        <v>27</v>
      </c>
      <c r="G1147" s="198" t="s">
        <v>2272</v>
      </c>
      <c r="H1147" s="198" t="s">
        <v>521</v>
      </c>
      <c r="I1147" s="198"/>
      <c r="J1147" s="198" t="s">
        <v>2272</v>
      </c>
      <c r="K1147" s="198" t="s">
        <v>2272</v>
      </c>
      <c r="L1147" s="198" t="s">
        <v>2272</v>
      </c>
      <c r="M1147" s="198" t="s">
        <v>2272</v>
      </c>
      <c r="N1147" s="198" t="s">
        <v>2272</v>
      </c>
      <c r="O1147" s="198" t="s">
        <v>2272</v>
      </c>
      <c r="P1147" s="198" t="s">
        <v>2272</v>
      </c>
      <c r="Q1147" s="198" t="s">
        <v>2272</v>
      </c>
      <c r="R1147" s="198" t="s">
        <v>2272</v>
      </c>
      <c r="S1147" s="198" t="s">
        <v>2272</v>
      </c>
      <c r="T1147" s="198" t="s">
        <v>2272</v>
      </c>
      <c r="U1147" s="198" t="s">
        <v>2272</v>
      </c>
      <c r="V1147" s="198" t="s">
        <v>2272</v>
      </c>
      <c r="W1147" s="198" t="s">
        <v>2272</v>
      </c>
      <c r="X1147" s="198" t="s">
        <v>2272</v>
      </c>
      <c r="Y1147" s="198" t="s">
        <v>2272</v>
      </c>
      <c r="Z1147" s="198" t="s">
        <v>2272</v>
      </c>
      <c r="AA1147" s="198" t="s">
        <v>187</v>
      </c>
      <c r="AB1147" s="198" t="s">
        <v>37</v>
      </c>
      <c r="AC1147" s="198" t="s">
        <v>63</v>
      </c>
      <c r="AD1147" s="198" t="s">
        <v>3467</v>
      </c>
      <c r="AE1147" s="198"/>
    </row>
    <row r="1148" spans="1:31" ht="45.5" customHeight="1">
      <c r="A1148" s="198" t="s">
        <v>3455</v>
      </c>
      <c r="B1148" s="198" t="s">
        <v>3466</v>
      </c>
      <c r="C1148" s="198" t="s">
        <v>23</v>
      </c>
      <c r="D1148" s="198" t="s">
        <v>26</v>
      </c>
      <c r="E1148" s="198" t="s">
        <v>128</v>
      </c>
      <c r="F1148" s="4" t="s">
        <v>159</v>
      </c>
      <c r="G1148" s="198" t="s">
        <v>2272</v>
      </c>
      <c r="H1148" s="198" t="s">
        <v>521</v>
      </c>
      <c r="I1148" s="198"/>
      <c r="J1148" s="198" t="s">
        <v>2272</v>
      </c>
      <c r="K1148" s="198" t="s">
        <v>2272</v>
      </c>
      <c r="L1148" s="198" t="s">
        <v>2272</v>
      </c>
      <c r="M1148" s="198" t="s">
        <v>2272</v>
      </c>
      <c r="N1148" s="198" t="s">
        <v>2272</v>
      </c>
      <c r="O1148" s="198" t="s">
        <v>2272</v>
      </c>
      <c r="P1148" s="198" t="s">
        <v>2272</v>
      </c>
      <c r="Q1148" s="198" t="s">
        <v>2272</v>
      </c>
      <c r="R1148" s="198" t="s">
        <v>2272</v>
      </c>
      <c r="S1148" s="198" t="s">
        <v>2272</v>
      </c>
      <c r="T1148" s="198" t="s">
        <v>2272</v>
      </c>
      <c r="U1148" s="198" t="s">
        <v>2272</v>
      </c>
      <c r="V1148" s="198" t="s">
        <v>2272</v>
      </c>
      <c r="W1148" s="198" t="s">
        <v>2272</v>
      </c>
      <c r="X1148" s="198" t="s">
        <v>2272</v>
      </c>
      <c r="Y1148" s="198" t="s">
        <v>2272</v>
      </c>
      <c r="Z1148" s="198" t="s">
        <v>2272</v>
      </c>
      <c r="AA1148" s="198" t="s">
        <v>187</v>
      </c>
      <c r="AB1148" s="198" t="s">
        <v>37</v>
      </c>
      <c r="AC1148" s="198" t="s">
        <v>63</v>
      </c>
      <c r="AD1148" s="198" t="s">
        <v>3467</v>
      </c>
      <c r="AE1148" s="198"/>
    </row>
    <row r="1149" spans="1:31" ht="45" customHeight="1">
      <c r="A1149" s="198" t="s">
        <v>3455</v>
      </c>
      <c r="B1149" s="198" t="s">
        <v>3470</v>
      </c>
      <c r="C1149" s="198" t="s">
        <v>23</v>
      </c>
      <c r="D1149" s="198" t="s">
        <v>3471</v>
      </c>
      <c r="E1149" s="198" t="s">
        <v>860</v>
      </c>
      <c r="F1149" s="4" t="s">
        <v>159</v>
      </c>
      <c r="G1149" s="198" t="s">
        <v>2272</v>
      </c>
      <c r="H1149" s="198" t="s">
        <v>521</v>
      </c>
      <c r="I1149" s="198"/>
      <c r="J1149" s="198" t="s">
        <v>2272</v>
      </c>
      <c r="K1149" s="198" t="s">
        <v>2272</v>
      </c>
      <c r="L1149" s="198" t="s">
        <v>2272</v>
      </c>
      <c r="M1149" s="198" t="s">
        <v>2272</v>
      </c>
      <c r="N1149" s="198" t="s">
        <v>2272</v>
      </c>
      <c r="O1149" s="198" t="s">
        <v>2272</v>
      </c>
      <c r="P1149" s="198" t="s">
        <v>2272</v>
      </c>
      <c r="Q1149" s="198" t="s">
        <v>2272</v>
      </c>
      <c r="R1149" s="198" t="s">
        <v>2272</v>
      </c>
      <c r="S1149" s="198" t="s">
        <v>2272</v>
      </c>
      <c r="T1149" s="198" t="s">
        <v>2272</v>
      </c>
      <c r="U1149" s="198" t="s">
        <v>2272</v>
      </c>
      <c r="V1149" s="198" t="s">
        <v>2272</v>
      </c>
      <c r="W1149" s="198" t="s">
        <v>2272</v>
      </c>
      <c r="X1149" s="198" t="s">
        <v>2272</v>
      </c>
      <c r="Y1149" s="198" t="s">
        <v>2272</v>
      </c>
      <c r="Z1149" s="198" t="s">
        <v>2272</v>
      </c>
      <c r="AA1149" s="198" t="s">
        <v>2272</v>
      </c>
      <c r="AB1149" s="198" t="s">
        <v>2272</v>
      </c>
      <c r="AC1149" s="198" t="s">
        <v>2272</v>
      </c>
      <c r="AD1149" s="198"/>
      <c r="AE1149" s="198"/>
    </row>
    <row r="1150" spans="1:31" ht="44.5" customHeight="1">
      <c r="A1150" s="198" t="s">
        <v>3455</v>
      </c>
      <c r="B1150" s="198" t="s">
        <v>3473</v>
      </c>
      <c r="C1150" s="198" t="s">
        <v>2453</v>
      </c>
      <c r="D1150" s="198" t="s">
        <v>3471</v>
      </c>
      <c r="E1150" s="198" t="s">
        <v>860</v>
      </c>
      <c r="F1150" s="4" t="s">
        <v>159</v>
      </c>
      <c r="G1150" s="198" t="s">
        <v>73</v>
      </c>
      <c r="H1150" s="198" t="s">
        <v>521</v>
      </c>
      <c r="I1150" s="198"/>
      <c r="J1150" s="198" t="s">
        <v>2272</v>
      </c>
      <c r="K1150" s="198" t="s">
        <v>2272</v>
      </c>
      <c r="L1150" s="198" t="s">
        <v>2272</v>
      </c>
      <c r="M1150" s="198" t="s">
        <v>2272</v>
      </c>
      <c r="N1150" s="198" t="s">
        <v>2272</v>
      </c>
      <c r="O1150" s="198" t="s">
        <v>2272</v>
      </c>
      <c r="P1150" s="198" t="s">
        <v>2272</v>
      </c>
      <c r="Q1150" s="198" t="s">
        <v>2272</v>
      </c>
      <c r="R1150" s="198" t="s">
        <v>2272</v>
      </c>
      <c r="S1150" s="198" t="s">
        <v>2272</v>
      </c>
      <c r="T1150" s="198" t="s">
        <v>2272</v>
      </c>
      <c r="U1150" s="198" t="s">
        <v>2272</v>
      </c>
      <c r="V1150" s="198" t="s">
        <v>2272</v>
      </c>
      <c r="W1150" s="198" t="s">
        <v>2272</v>
      </c>
      <c r="X1150" s="198" t="s">
        <v>2272</v>
      </c>
      <c r="Y1150" s="198" t="s">
        <v>2272</v>
      </c>
      <c r="Z1150" s="198" t="s">
        <v>2272</v>
      </c>
      <c r="AA1150" s="198" t="s">
        <v>2272</v>
      </c>
      <c r="AB1150" s="198" t="s">
        <v>2272</v>
      </c>
      <c r="AC1150" s="198" t="s">
        <v>2272</v>
      </c>
      <c r="AD1150" s="198" t="s">
        <v>3472</v>
      </c>
      <c r="AE1150" s="198"/>
    </row>
    <row r="1151" spans="1:31" ht="44.5" customHeight="1">
      <c r="A1151" s="198" t="s">
        <v>3455</v>
      </c>
      <c r="B1151" s="198" t="s">
        <v>3474</v>
      </c>
      <c r="C1151" s="198" t="s">
        <v>23</v>
      </c>
      <c r="D1151" s="198" t="s">
        <v>3475</v>
      </c>
      <c r="E1151" s="198" t="s">
        <v>114</v>
      </c>
      <c r="F1151" s="4" t="s">
        <v>73</v>
      </c>
      <c r="G1151" s="198" t="s">
        <v>73</v>
      </c>
      <c r="H1151" s="198" t="s">
        <v>521</v>
      </c>
      <c r="I1151" s="198"/>
      <c r="J1151" s="198" t="s">
        <v>2272</v>
      </c>
      <c r="K1151" s="198" t="s">
        <v>2272</v>
      </c>
      <c r="L1151" s="198" t="s">
        <v>2272</v>
      </c>
      <c r="M1151" s="198" t="s">
        <v>2272</v>
      </c>
      <c r="N1151" s="198" t="s">
        <v>2272</v>
      </c>
      <c r="O1151" s="198" t="s">
        <v>2272</v>
      </c>
      <c r="P1151" s="198" t="s">
        <v>2272</v>
      </c>
      <c r="Q1151" s="198" t="s">
        <v>2272</v>
      </c>
      <c r="R1151" s="198" t="s">
        <v>2272</v>
      </c>
      <c r="S1151" s="198" t="s">
        <v>2272</v>
      </c>
      <c r="T1151" s="198" t="s">
        <v>2272</v>
      </c>
      <c r="U1151" s="198" t="s">
        <v>2272</v>
      </c>
      <c r="V1151" s="198" t="s">
        <v>2272</v>
      </c>
      <c r="W1151" s="198" t="s">
        <v>2272</v>
      </c>
      <c r="X1151" s="198" t="s">
        <v>2272</v>
      </c>
      <c r="Y1151" s="198" t="s">
        <v>2272</v>
      </c>
      <c r="Z1151" s="198" t="s">
        <v>2272</v>
      </c>
      <c r="AA1151" s="198" t="s">
        <v>2272</v>
      </c>
      <c r="AB1151" s="198" t="s">
        <v>2272</v>
      </c>
      <c r="AC1151" s="198" t="s">
        <v>2272</v>
      </c>
      <c r="AD1151" s="4" t="s">
        <v>3476</v>
      </c>
      <c r="AE1151" s="198"/>
    </row>
    <row r="1152" spans="1:31" ht="44.5" customHeight="1">
      <c r="A1152" s="35" t="s">
        <v>3455</v>
      </c>
      <c r="B1152" s="35" t="s">
        <v>3477</v>
      </c>
      <c r="C1152" s="35" t="s">
        <v>2453</v>
      </c>
      <c r="D1152" s="35" t="s">
        <v>3475</v>
      </c>
      <c r="E1152" s="35" t="s">
        <v>114</v>
      </c>
      <c r="F1152" s="163" t="s">
        <v>73</v>
      </c>
      <c r="G1152" s="35" t="s">
        <v>73</v>
      </c>
      <c r="H1152" s="35" t="s">
        <v>521</v>
      </c>
      <c r="I1152" s="35"/>
      <c r="J1152" s="35" t="s">
        <v>2272</v>
      </c>
      <c r="K1152" s="35" t="s">
        <v>2272</v>
      </c>
      <c r="L1152" s="35" t="s">
        <v>2272</v>
      </c>
      <c r="M1152" s="35" t="s">
        <v>2272</v>
      </c>
      <c r="N1152" s="35" t="s">
        <v>2272</v>
      </c>
      <c r="O1152" s="35" t="s">
        <v>2272</v>
      </c>
      <c r="P1152" s="35" t="s">
        <v>2272</v>
      </c>
      <c r="Q1152" s="35" t="s">
        <v>2272</v>
      </c>
      <c r="R1152" s="35" t="s">
        <v>2272</v>
      </c>
      <c r="S1152" s="35" t="s">
        <v>2272</v>
      </c>
      <c r="T1152" s="35" t="s">
        <v>2272</v>
      </c>
      <c r="U1152" s="35" t="s">
        <v>2272</v>
      </c>
      <c r="V1152" s="35" t="s">
        <v>2272</v>
      </c>
      <c r="W1152" s="35" t="s">
        <v>2272</v>
      </c>
      <c r="X1152" s="35" t="s">
        <v>2272</v>
      </c>
      <c r="Y1152" s="35" t="s">
        <v>2272</v>
      </c>
      <c r="Z1152" s="35" t="s">
        <v>2272</v>
      </c>
      <c r="AA1152" s="35" t="s">
        <v>2272</v>
      </c>
      <c r="AB1152" s="35" t="s">
        <v>2272</v>
      </c>
      <c r="AC1152" s="35" t="s">
        <v>2272</v>
      </c>
      <c r="AD1152" s="163" t="s">
        <v>3476</v>
      </c>
      <c r="AE1152" s="198"/>
    </row>
    <row r="1153" spans="1:31" ht="98.5" customHeight="1">
      <c r="A1153" s="198" t="s">
        <v>3455</v>
      </c>
      <c r="B1153" s="198" t="s">
        <v>3478</v>
      </c>
      <c r="C1153" s="198" t="s">
        <v>23</v>
      </c>
      <c r="D1153" s="198" t="s">
        <v>2342</v>
      </c>
      <c r="E1153" s="198" t="s">
        <v>5000</v>
      </c>
      <c r="F1153" s="4" t="s">
        <v>27</v>
      </c>
      <c r="G1153" s="198" t="s">
        <v>2272</v>
      </c>
      <c r="H1153" s="198" t="s">
        <v>521</v>
      </c>
      <c r="I1153" s="198"/>
      <c r="J1153" s="198" t="s">
        <v>2272</v>
      </c>
      <c r="K1153" s="198" t="s">
        <v>2272</v>
      </c>
      <c r="L1153" s="198" t="s">
        <v>2272</v>
      </c>
      <c r="M1153" s="198" t="s">
        <v>2272</v>
      </c>
      <c r="N1153" s="198" t="s">
        <v>2272</v>
      </c>
      <c r="O1153" s="198" t="s">
        <v>2272</v>
      </c>
      <c r="P1153" s="198" t="s">
        <v>2272</v>
      </c>
      <c r="Q1153" s="198" t="s">
        <v>2272</v>
      </c>
      <c r="R1153" s="198" t="s">
        <v>2272</v>
      </c>
      <c r="S1153" s="198" t="s">
        <v>2272</v>
      </c>
      <c r="T1153" s="198" t="s">
        <v>2272</v>
      </c>
      <c r="U1153" s="198" t="s">
        <v>2272</v>
      </c>
      <c r="V1153" s="198" t="s">
        <v>2272</v>
      </c>
      <c r="W1153" s="198" t="s">
        <v>2272</v>
      </c>
      <c r="X1153" s="198" t="s">
        <v>2272</v>
      </c>
      <c r="Y1153" s="198" t="s">
        <v>2272</v>
      </c>
      <c r="Z1153" s="198" t="s">
        <v>2272</v>
      </c>
      <c r="AA1153" s="198" t="s">
        <v>2272</v>
      </c>
      <c r="AB1153" s="198" t="s">
        <v>2272</v>
      </c>
      <c r="AC1153" s="198" t="s">
        <v>2272</v>
      </c>
      <c r="AD1153" s="4" t="s">
        <v>3479</v>
      </c>
      <c r="AE1153" s="198"/>
    </row>
    <row r="1154" spans="1:31" ht="37.5" customHeight="1">
      <c r="A1154" s="198" t="s">
        <v>3486</v>
      </c>
      <c r="B1154" s="198" t="s">
        <v>3492</v>
      </c>
      <c r="C1154" s="198" t="s">
        <v>1102</v>
      </c>
      <c r="D1154" s="198" t="s">
        <v>1102</v>
      </c>
      <c r="E1154" s="198" t="s">
        <v>1102</v>
      </c>
      <c r="F1154" s="4" t="s">
        <v>1102</v>
      </c>
      <c r="G1154" s="198" t="s">
        <v>2272</v>
      </c>
      <c r="H1154" s="198" t="s">
        <v>521</v>
      </c>
      <c r="I1154" s="198">
        <v>2009</v>
      </c>
      <c r="J1154" s="198" t="s">
        <v>2272</v>
      </c>
      <c r="K1154" s="198" t="s">
        <v>2272</v>
      </c>
      <c r="L1154" s="198" t="s">
        <v>2272</v>
      </c>
      <c r="M1154" s="198" t="s">
        <v>2272</v>
      </c>
      <c r="N1154" s="198" t="s">
        <v>2272</v>
      </c>
      <c r="O1154" s="198" t="s">
        <v>2272</v>
      </c>
      <c r="P1154" s="198" t="s">
        <v>2272</v>
      </c>
      <c r="Q1154" s="198" t="s">
        <v>2272</v>
      </c>
      <c r="R1154" s="198" t="s">
        <v>2272</v>
      </c>
      <c r="S1154" s="198" t="s">
        <v>2272</v>
      </c>
      <c r="T1154" s="198" t="s">
        <v>2272</v>
      </c>
      <c r="U1154" s="21">
        <v>5377.8</v>
      </c>
      <c r="V1154" s="198" t="s">
        <v>2272</v>
      </c>
      <c r="W1154" s="198" t="s">
        <v>2272</v>
      </c>
      <c r="X1154" s="198" t="s">
        <v>2272</v>
      </c>
      <c r="Y1154" s="198" t="s">
        <v>2272</v>
      </c>
      <c r="Z1154" s="198" t="s">
        <v>2272</v>
      </c>
      <c r="AA1154" s="198" t="s">
        <v>2272</v>
      </c>
      <c r="AB1154" s="198" t="s">
        <v>2272</v>
      </c>
      <c r="AC1154" s="198" t="s">
        <v>2272</v>
      </c>
      <c r="AD1154" s="198"/>
      <c r="AE1154" s="198"/>
    </row>
    <row r="1155" spans="1:31" ht="37.5" customHeight="1">
      <c r="A1155" s="198" t="s">
        <v>3486</v>
      </c>
      <c r="B1155" s="198" t="s">
        <v>3493</v>
      </c>
      <c r="C1155" s="198" t="s">
        <v>1102</v>
      </c>
      <c r="D1155" s="198" t="s">
        <v>1102</v>
      </c>
      <c r="E1155" s="198" t="s">
        <v>1102</v>
      </c>
      <c r="F1155" s="4" t="s">
        <v>1102</v>
      </c>
      <c r="G1155" s="198" t="s">
        <v>2272</v>
      </c>
      <c r="H1155" s="198" t="s">
        <v>521</v>
      </c>
      <c r="I1155" s="198">
        <v>2010</v>
      </c>
      <c r="J1155" s="198" t="s">
        <v>2272</v>
      </c>
      <c r="K1155" s="198" t="s">
        <v>2272</v>
      </c>
      <c r="L1155" s="198" t="s">
        <v>2272</v>
      </c>
      <c r="M1155" s="198" t="s">
        <v>2272</v>
      </c>
      <c r="N1155" s="198" t="s">
        <v>2272</v>
      </c>
      <c r="O1155" s="198" t="s">
        <v>2272</v>
      </c>
      <c r="P1155" s="198" t="s">
        <v>2272</v>
      </c>
      <c r="Q1155" s="198" t="s">
        <v>2272</v>
      </c>
      <c r="R1155" s="198" t="s">
        <v>2272</v>
      </c>
      <c r="S1155" s="198" t="s">
        <v>2272</v>
      </c>
      <c r="T1155" s="198" t="s">
        <v>2272</v>
      </c>
      <c r="U1155" s="21">
        <v>10079.33</v>
      </c>
      <c r="V1155" s="198" t="s">
        <v>2272</v>
      </c>
      <c r="W1155" s="198" t="s">
        <v>2272</v>
      </c>
      <c r="X1155" s="198" t="s">
        <v>2272</v>
      </c>
      <c r="Y1155" s="198" t="s">
        <v>2272</v>
      </c>
      <c r="Z1155" s="198" t="s">
        <v>2272</v>
      </c>
      <c r="AA1155" s="198" t="s">
        <v>2272</v>
      </c>
      <c r="AB1155" s="198" t="s">
        <v>2272</v>
      </c>
      <c r="AC1155" s="198" t="s">
        <v>2272</v>
      </c>
      <c r="AD1155" s="198"/>
      <c r="AE1155" s="198"/>
    </row>
    <row r="1156" spans="1:31" ht="37.5" customHeight="1">
      <c r="A1156" s="198" t="s">
        <v>3486</v>
      </c>
      <c r="B1156" s="198" t="s">
        <v>3494</v>
      </c>
      <c r="C1156" s="198" t="s">
        <v>1102</v>
      </c>
      <c r="D1156" s="198" t="s">
        <v>1102</v>
      </c>
      <c r="E1156" s="198" t="s">
        <v>1102</v>
      </c>
      <c r="F1156" s="4" t="s">
        <v>1102</v>
      </c>
      <c r="G1156" s="198" t="s">
        <v>2272</v>
      </c>
      <c r="H1156" s="198" t="s">
        <v>521</v>
      </c>
      <c r="I1156" s="198">
        <v>2011</v>
      </c>
      <c r="J1156" s="198" t="s">
        <v>2272</v>
      </c>
      <c r="K1156" s="198" t="s">
        <v>2272</v>
      </c>
      <c r="L1156" s="198" t="s">
        <v>2272</v>
      </c>
      <c r="M1156" s="198" t="s">
        <v>2272</v>
      </c>
      <c r="N1156" s="198" t="s">
        <v>2272</v>
      </c>
      <c r="O1156" s="198" t="s">
        <v>2272</v>
      </c>
      <c r="P1156" s="198" t="s">
        <v>2272</v>
      </c>
      <c r="Q1156" s="198" t="s">
        <v>2272</v>
      </c>
      <c r="R1156" s="198" t="s">
        <v>2272</v>
      </c>
      <c r="S1156" s="198" t="s">
        <v>2272</v>
      </c>
      <c r="T1156" s="198" t="s">
        <v>2272</v>
      </c>
      <c r="U1156" s="21">
        <v>6966.96</v>
      </c>
      <c r="V1156" s="198" t="s">
        <v>2272</v>
      </c>
      <c r="W1156" s="198" t="s">
        <v>2272</v>
      </c>
      <c r="X1156" s="198" t="s">
        <v>2272</v>
      </c>
      <c r="Y1156" s="198" t="s">
        <v>2272</v>
      </c>
      <c r="Z1156" s="198" t="s">
        <v>2272</v>
      </c>
      <c r="AA1156" s="198" t="s">
        <v>2272</v>
      </c>
      <c r="AB1156" s="198" t="s">
        <v>2272</v>
      </c>
      <c r="AC1156" s="198" t="s">
        <v>2272</v>
      </c>
      <c r="AD1156" s="198"/>
      <c r="AE1156" s="198"/>
    </row>
    <row r="1157" spans="1:31" ht="37.5" customHeight="1">
      <c r="A1157" s="198" t="s">
        <v>3486</v>
      </c>
      <c r="B1157" s="198" t="s">
        <v>3497</v>
      </c>
      <c r="C1157" s="198" t="s">
        <v>1102</v>
      </c>
      <c r="D1157" s="198" t="s">
        <v>1102</v>
      </c>
      <c r="E1157" s="198" t="s">
        <v>1102</v>
      </c>
      <c r="F1157" s="4" t="s">
        <v>1102</v>
      </c>
      <c r="G1157" s="198" t="s">
        <v>2272</v>
      </c>
      <c r="H1157" s="198" t="s">
        <v>521</v>
      </c>
      <c r="I1157" s="198">
        <v>2012</v>
      </c>
      <c r="J1157" s="198" t="s">
        <v>2272</v>
      </c>
      <c r="K1157" s="198" t="s">
        <v>2272</v>
      </c>
      <c r="L1157" s="198" t="s">
        <v>2272</v>
      </c>
      <c r="M1157" s="198" t="s">
        <v>2272</v>
      </c>
      <c r="N1157" s="198" t="s">
        <v>2272</v>
      </c>
      <c r="O1157" s="198" t="s">
        <v>2272</v>
      </c>
      <c r="P1157" s="198" t="s">
        <v>2272</v>
      </c>
      <c r="Q1157" s="198" t="s">
        <v>2272</v>
      </c>
      <c r="R1157" s="198" t="s">
        <v>2272</v>
      </c>
      <c r="S1157" s="198" t="s">
        <v>2272</v>
      </c>
      <c r="T1157" s="198" t="s">
        <v>2272</v>
      </c>
      <c r="U1157" s="21">
        <v>4866.6099999999997</v>
      </c>
      <c r="V1157" s="198" t="s">
        <v>2272</v>
      </c>
      <c r="W1157" s="198" t="s">
        <v>2272</v>
      </c>
      <c r="X1157" s="198" t="s">
        <v>2272</v>
      </c>
      <c r="Y1157" s="198" t="s">
        <v>2272</v>
      </c>
      <c r="Z1157" s="198" t="s">
        <v>2272</v>
      </c>
      <c r="AA1157" s="198" t="s">
        <v>2272</v>
      </c>
      <c r="AB1157" s="198" t="s">
        <v>2272</v>
      </c>
      <c r="AC1157" s="198" t="s">
        <v>2272</v>
      </c>
      <c r="AD1157" s="198"/>
      <c r="AE1157" s="198"/>
    </row>
    <row r="1158" spans="1:31" ht="37.5" customHeight="1">
      <c r="A1158" s="198" t="s">
        <v>3486</v>
      </c>
      <c r="B1158" s="198" t="s">
        <v>3498</v>
      </c>
      <c r="C1158" s="198" t="s">
        <v>1102</v>
      </c>
      <c r="D1158" s="198" t="s">
        <v>1102</v>
      </c>
      <c r="E1158" s="198" t="s">
        <v>1102</v>
      </c>
      <c r="F1158" s="4" t="s">
        <v>1102</v>
      </c>
      <c r="G1158" s="198" t="s">
        <v>2272</v>
      </c>
      <c r="H1158" s="198" t="s">
        <v>521</v>
      </c>
      <c r="I1158" s="198">
        <v>2013</v>
      </c>
      <c r="J1158" s="198" t="s">
        <v>2272</v>
      </c>
      <c r="K1158" s="198" t="s">
        <v>2272</v>
      </c>
      <c r="L1158" s="198" t="s">
        <v>2272</v>
      </c>
      <c r="M1158" s="198" t="s">
        <v>2272</v>
      </c>
      <c r="N1158" s="198" t="s">
        <v>2272</v>
      </c>
      <c r="O1158" s="198" t="s">
        <v>2272</v>
      </c>
      <c r="P1158" s="198" t="s">
        <v>2272</v>
      </c>
      <c r="Q1158" s="198" t="s">
        <v>2272</v>
      </c>
      <c r="R1158" s="198" t="s">
        <v>2272</v>
      </c>
      <c r="S1158" s="198" t="s">
        <v>2272</v>
      </c>
      <c r="T1158" s="198" t="s">
        <v>2272</v>
      </c>
      <c r="U1158" s="21">
        <v>4766.0200000000004</v>
      </c>
      <c r="V1158" s="198" t="s">
        <v>2272</v>
      </c>
      <c r="W1158" s="198" t="s">
        <v>2272</v>
      </c>
      <c r="X1158" s="198" t="s">
        <v>2272</v>
      </c>
      <c r="Y1158" s="198" t="s">
        <v>2272</v>
      </c>
      <c r="Z1158" s="198" t="s">
        <v>2272</v>
      </c>
      <c r="AA1158" s="198" t="s">
        <v>2272</v>
      </c>
      <c r="AB1158" s="198" t="s">
        <v>2272</v>
      </c>
      <c r="AC1158" s="198" t="s">
        <v>2272</v>
      </c>
      <c r="AD1158" s="198"/>
      <c r="AE1158" s="198"/>
    </row>
    <row r="1159" spans="1:31" ht="37.5" customHeight="1">
      <c r="A1159" s="198" t="s">
        <v>3486</v>
      </c>
      <c r="B1159" s="198" t="s">
        <v>3499</v>
      </c>
      <c r="C1159" s="198" t="s">
        <v>1102</v>
      </c>
      <c r="D1159" s="198" t="s">
        <v>1102</v>
      </c>
      <c r="E1159" s="198" t="s">
        <v>1102</v>
      </c>
      <c r="F1159" s="4" t="s">
        <v>1102</v>
      </c>
      <c r="G1159" s="198" t="s">
        <v>2272</v>
      </c>
      <c r="H1159" s="198" t="s">
        <v>521</v>
      </c>
      <c r="I1159" s="198">
        <v>2014</v>
      </c>
      <c r="J1159" s="198" t="s">
        <v>2272</v>
      </c>
      <c r="K1159" s="198" t="s">
        <v>2272</v>
      </c>
      <c r="L1159" s="198" t="s">
        <v>2272</v>
      </c>
      <c r="M1159" s="198" t="s">
        <v>2272</v>
      </c>
      <c r="N1159" s="198" t="s">
        <v>2272</v>
      </c>
      <c r="O1159" s="198" t="s">
        <v>2272</v>
      </c>
      <c r="P1159" s="198" t="s">
        <v>2272</v>
      </c>
      <c r="Q1159" s="198" t="s">
        <v>2272</v>
      </c>
      <c r="R1159" s="198" t="s">
        <v>2272</v>
      </c>
      <c r="S1159" s="198" t="s">
        <v>2272</v>
      </c>
      <c r="T1159" s="198" t="s">
        <v>2272</v>
      </c>
      <c r="U1159" s="21">
        <v>3186.23</v>
      </c>
      <c r="V1159" s="198" t="s">
        <v>2272</v>
      </c>
      <c r="W1159" s="198" t="s">
        <v>2272</v>
      </c>
      <c r="X1159" s="198" t="s">
        <v>2272</v>
      </c>
      <c r="Y1159" s="198" t="s">
        <v>2272</v>
      </c>
      <c r="Z1159" s="198" t="s">
        <v>2272</v>
      </c>
      <c r="AA1159" s="198" t="s">
        <v>2272</v>
      </c>
      <c r="AB1159" s="198" t="s">
        <v>2272</v>
      </c>
      <c r="AC1159" s="198" t="s">
        <v>2272</v>
      </c>
      <c r="AD1159" s="198"/>
      <c r="AE1159" s="198"/>
    </row>
    <row r="1160" spans="1:31" ht="45" customHeight="1">
      <c r="A1160" s="198" t="s">
        <v>3525</v>
      </c>
      <c r="B1160" s="198" t="s">
        <v>3528</v>
      </c>
      <c r="C1160" s="198" t="s">
        <v>23</v>
      </c>
      <c r="D1160" s="198" t="s">
        <v>1238</v>
      </c>
      <c r="E1160" s="198" t="s">
        <v>5000</v>
      </c>
      <c r="F1160" s="4" t="s">
        <v>2657</v>
      </c>
      <c r="G1160" s="198" t="s">
        <v>2272</v>
      </c>
      <c r="H1160" s="198" t="s">
        <v>521</v>
      </c>
      <c r="I1160" s="198"/>
      <c r="J1160" s="198" t="s">
        <v>2272</v>
      </c>
      <c r="K1160" s="198" t="s">
        <v>2272</v>
      </c>
      <c r="L1160" s="198" t="s">
        <v>2272</v>
      </c>
      <c r="M1160" s="198" t="s">
        <v>2272</v>
      </c>
      <c r="N1160" s="198" t="s">
        <v>2272</v>
      </c>
      <c r="O1160" s="198" t="s">
        <v>2272</v>
      </c>
      <c r="P1160" s="198" t="s">
        <v>2272</v>
      </c>
      <c r="Q1160" s="198" t="s">
        <v>2272</v>
      </c>
      <c r="R1160" s="198" t="s">
        <v>2272</v>
      </c>
      <c r="S1160" s="198" t="s">
        <v>2272</v>
      </c>
      <c r="T1160" s="198" t="s">
        <v>2272</v>
      </c>
      <c r="U1160" s="198" t="s">
        <v>2272</v>
      </c>
      <c r="V1160" s="198" t="s">
        <v>2272</v>
      </c>
      <c r="W1160" s="198" t="s">
        <v>2272</v>
      </c>
      <c r="X1160" s="198" t="s">
        <v>2272</v>
      </c>
      <c r="Y1160" s="198" t="s">
        <v>2272</v>
      </c>
      <c r="Z1160" s="21">
        <v>4.5</v>
      </c>
      <c r="AA1160" s="198" t="s">
        <v>423</v>
      </c>
      <c r="AB1160" s="198" t="s">
        <v>67</v>
      </c>
      <c r="AC1160" s="198" t="s">
        <v>63</v>
      </c>
      <c r="AD1160" s="198"/>
      <c r="AE1160" s="198"/>
    </row>
    <row r="1161" spans="1:31" ht="45" customHeight="1">
      <c r="A1161" s="198" t="s">
        <v>3525</v>
      </c>
      <c r="B1161" s="198" t="s">
        <v>3529</v>
      </c>
      <c r="C1161" s="198" t="s">
        <v>23</v>
      </c>
      <c r="D1161" s="198" t="s">
        <v>1238</v>
      </c>
      <c r="E1161" s="198" t="s">
        <v>5000</v>
      </c>
      <c r="F1161" s="4" t="s">
        <v>73</v>
      </c>
      <c r="G1161" s="198" t="s">
        <v>2272</v>
      </c>
      <c r="H1161" s="198" t="s">
        <v>522</v>
      </c>
      <c r="I1161" s="198"/>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1">
        <v>0</v>
      </c>
      <c r="Z1161" s="198" t="s">
        <v>2272</v>
      </c>
      <c r="AA1161" s="198" t="s">
        <v>2272</v>
      </c>
      <c r="AB1161" s="198" t="s">
        <v>2272</v>
      </c>
      <c r="AC1161" s="198" t="s">
        <v>2272</v>
      </c>
      <c r="AD1161" s="4" t="s">
        <v>3531</v>
      </c>
      <c r="AE1161" s="198"/>
    </row>
    <row r="1162" spans="1:31" ht="45" customHeight="1">
      <c r="A1162" s="198" t="s">
        <v>3525</v>
      </c>
      <c r="B1162" s="198" t="s">
        <v>3530</v>
      </c>
      <c r="C1162" s="198" t="s">
        <v>23</v>
      </c>
      <c r="D1162" s="198" t="s">
        <v>2799</v>
      </c>
      <c r="E1162" s="198" t="s">
        <v>5000</v>
      </c>
      <c r="F1162" s="4" t="s">
        <v>2657</v>
      </c>
      <c r="G1162" s="198" t="s">
        <v>2272</v>
      </c>
      <c r="H1162" s="198" t="s">
        <v>521</v>
      </c>
      <c r="I1162" s="198"/>
      <c r="J1162" s="198" t="s">
        <v>2272</v>
      </c>
      <c r="K1162" s="198" t="s">
        <v>2272</v>
      </c>
      <c r="L1162" s="198" t="s">
        <v>2272</v>
      </c>
      <c r="M1162" s="198" t="s">
        <v>2272</v>
      </c>
      <c r="N1162" s="198" t="s">
        <v>2272</v>
      </c>
      <c r="O1162" s="198" t="s">
        <v>2272</v>
      </c>
      <c r="P1162" s="198" t="s">
        <v>2272</v>
      </c>
      <c r="Q1162" s="198" t="s">
        <v>2272</v>
      </c>
      <c r="R1162" s="198" t="s">
        <v>2272</v>
      </c>
      <c r="S1162" s="198" t="s">
        <v>2272</v>
      </c>
      <c r="T1162" s="198" t="s">
        <v>2272</v>
      </c>
      <c r="U1162" s="198" t="s">
        <v>2272</v>
      </c>
      <c r="V1162" s="198" t="s">
        <v>2272</v>
      </c>
      <c r="W1162" s="198" t="s">
        <v>2272</v>
      </c>
      <c r="X1162" s="198" t="s">
        <v>2272</v>
      </c>
      <c r="Y1162" s="198" t="s">
        <v>2272</v>
      </c>
      <c r="Z1162" s="21">
        <v>4.5</v>
      </c>
      <c r="AA1162" s="198" t="s">
        <v>402</v>
      </c>
      <c r="AB1162" s="198" t="s">
        <v>67</v>
      </c>
      <c r="AC1162" s="198" t="s">
        <v>63</v>
      </c>
      <c r="AD1162" s="198"/>
      <c r="AE1162" s="198"/>
    </row>
    <row r="1163" spans="1:31" ht="45" customHeight="1">
      <c r="A1163" s="198" t="s">
        <v>3525</v>
      </c>
      <c r="B1163" s="198" t="s">
        <v>3532</v>
      </c>
      <c r="C1163" s="198" t="s">
        <v>23</v>
      </c>
      <c r="D1163" s="198" t="s">
        <v>2799</v>
      </c>
      <c r="E1163" s="198" t="s">
        <v>5000</v>
      </c>
      <c r="F1163" s="4" t="s">
        <v>2657</v>
      </c>
      <c r="G1163" s="198" t="s">
        <v>2272</v>
      </c>
      <c r="H1163" s="198" t="s">
        <v>521</v>
      </c>
      <c r="I1163" s="198"/>
      <c r="J1163" s="198" t="s">
        <v>2272</v>
      </c>
      <c r="K1163" s="198" t="s">
        <v>2272</v>
      </c>
      <c r="L1163" s="198" t="s">
        <v>2272</v>
      </c>
      <c r="M1163" s="198" t="s">
        <v>2272</v>
      </c>
      <c r="N1163" s="198" t="s">
        <v>2272</v>
      </c>
      <c r="O1163" s="198" t="s">
        <v>2272</v>
      </c>
      <c r="P1163" s="198" t="s">
        <v>2272</v>
      </c>
      <c r="Q1163" s="198" t="s">
        <v>2272</v>
      </c>
      <c r="R1163" s="198" t="s">
        <v>2272</v>
      </c>
      <c r="S1163" s="198" t="s">
        <v>2272</v>
      </c>
      <c r="T1163" s="198" t="s">
        <v>2272</v>
      </c>
      <c r="U1163" s="198" t="s">
        <v>2272</v>
      </c>
      <c r="V1163" s="198" t="s">
        <v>2272</v>
      </c>
      <c r="W1163" s="198" t="s">
        <v>2272</v>
      </c>
      <c r="X1163" s="198" t="s">
        <v>2272</v>
      </c>
      <c r="Y1163" s="198" t="s">
        <v>2272</v>
      </c>
      <c r="Z1163" s="21">
        <v>4.5</v>
      </c>
      <c r="AA1163" s="198" t="s">
        <v>397</v>
      </c>
      <c r="AB1163" s="198" t="s">
        <v>37</v>
      </c>
      <c r="AC1163" s="198" t="s">
        <v>63</v>
      </c>
      <c r="AD1163" s="198"/>
      <c r="AE1163" s="198"/>
    </row>
    <row r="1164" spans="1:31" ht="45" customHeight="1">
      <c r="A1164" s="198" t="s">
        <v>3525</v>
      </c>
      <c r="B1164" s="198" t="s">
        <v>3533</v>
      </c>
      <c r="C1164" s="198" t="s">
        <v>23</v>
      </c>
      <c r="D1164" s="198" t="s">
        <v>24</v>
      </c>
      <c r="E1164" s="198" t="s">
        <v>5000</v>
      </c>
      <c r="F1164" s="4" t="s">
        <v>2657</v>
      </c>
      <c r="G1164" s="198" t="s">
        <v>2272</v>
      </c>
      <c r="H1164" s="198" t="s">
        <v>521</v>
      </c>
      <c r="I1164" s="198"/>
      <c r="J1164" s="198" t="s">
        <v>2272</v>
      </c>
      <c r="K1164" s="198" t="s">
        <v>2272</v>
      </c>
      <c r="L1164" s="198" t="s">
        <v>2272</v>
      </c>
      <c r="M1164" s="198" t="s">
        <v>2272</v>
      </c>
      <c r="N1164" s="198" t="s">
        <v>2272</v>
      </c>
      <c r="O1164" s="198" t="s">
        <v>2272</v>
      </c>
      <c r="P1164" s="198" t="s">
        <v>2272</v>
      </c>
      <c r="Q1164" s="198" t="s">
        <v>2272</v>
      </c>
      <c r="R1164" s="198" t="s">
        <v>2272</v>
      </c>
      <c r="S1164" s="198" t="s">
        <v>2272</v>
      </c>
      <c r="T1164" s="198" t="s">
        <v>2272</v>
      </c>
      <c r="U1164" s="198" t="s">
        <v>2272</v>
      </c>
      <c r="V1164" s="198" t="s">
        <v>2272</v>
      </c>
      <c r="W1164" s="198" t="s">
        <v>2272</v>
      </c>
      <c r="X1164" s="198" t="s">
        <v>2272</v>
      </c>
      <c r="Y1164" s="198" t="s">
        <v>2272</v>
      </c>
      <c r="Z1164" s="21">
        <v>4.5</v>
      </c>
      <c r="AA1164" s="198" t="s">
        <v>402</v>
      </c>
      <c r="AB1164" s="198" t="s">
        <v>67</v>
      </c>
      <c r="AC1164" s="198" t="s">
        <v>63</v>
      </c>
      <c r="AD1164" s="198"/>
      <c r="AE1164" s="198"/>
    </row>
    <row r="1165" spans="1:31" ht="45" customHeight="1">
      <c r="A1165" s="198" t="s">
        <v>3525</v>
      </c>
      <c r="B1165" s="198" t="s">
        <v>3534</v>
      </c>
      <c r="C1165" s="198" t="s">
        <v>23</v>
      </c>
      <c r="D1165" s="198" t="s">
        <v>24</v>
      </c>
      <c r="E1165" s="198" t="s">
        <v>5000</v>
      </c>
      <c r="F1165" s="4" t="s">
        <v>2657</v>
      </c>
      <c r="G1165" s="198" t="s">
        <v>2272</v>
      </c>
      <c r="H1165" s="198" t="s">
        <v>521</v>
      </c>
      <c r="I1165" s="198"/>
      <c r="J1165" s="198" t="s">
        <v>2272</v>
      </c>
      <c r="K1165" s="198" t="s">
        <v>2272</v>
      </c>
      <c r="L1165" s="198" t="s">
        <v>2272</v>
      </c>
      <c r="M1165" s="198" t="s">
        <v>2272</v>
      </c>
      <c r="N1165" s="198" t="s">
        <v>2272</v>
      </c>
      <c r="O1165" s="198" t="s">
        <v>2272</v>
      </c>
      <c r="P1165" s="198" t="s">
        <v>2272</v>
      </c>
      <c r="Q1165" s="198" t="s">
        <v>2272</v>
      </c>
      <c r="R1165" s="198" t="s">
        <v>2272</v>
      </c>
      <c r="S1165" s="198" t="s">
        <v>2272</v>
      </c>
      <c r="T1165" s="198" t="s">
        <v>2272</v>
      </c>
      <c r="U1165" s="198" t="s">
        <v>2272</v>
      </c>
      <c r="V1165" s="198" t="s">
        <v>2272</v>
      </c>
      <c r="W1165" s="198" t="s">
        <v>2272</v>
      </c>
      <c r="X1165" s="198" t="s">
        <v>2272</v>
      </c>
      <c r="Y1165" s="198" t="s">
        <v>2272</v>
      </c>
      <c r="Z1165" s="21">
        <v>4.5</v>
      </c>
      <c r="AA1165" s="198" t="s">
        <v>397</v>
      </c>
      <c r="AB1165" s="198" t="s">
        <v>37</v>
      </c>
      <c r="AC1165" s="198" t="s">
        <v>63</v>
      </c>
      <c r="AD1165" s="198"/>
      <c r="AE1165" s="198"/>
    </row>
    <row r="1166" spans="1:31" ht="45" customHeight="1">
      <c r="A1166" s="198" t="s">
        <v>3525</v>
      </c>
      <c r="B1166" s="198" t="s">
        <v>3535</v>
      </c>
      <c r="C1166" s="198" t="s">
        <v>23</v>
      </c>
      <c r="D1166" s="198" t="s">
        <v>25</v>
      </c>
      <c r="E1166" s="198" t="s">
        <v>5000</v>
      </c>
      <c r="F1166" s="4" t="s">
        <v>2657</v>
      </c>
      <c r="G1166" s="198" t="s">
        <v>2272</v>
      </c>
      <c r="H1166" s="198" t="s">
        <v>521</v>
      </c>
      <c r="I1166" s="198"/>
      <c r="J1166" s="198" t="s">
        <v>2272</v>
      </c>
      <c r="K1166" s="198" t="s">
        <v>2272</v>
      </c>
      <c r="L1166" s="198" t="s">
        <v>2272</v>
      </c>
      <c r="M1166" s="198" t="s">
        <v>2272</v>
      </c>
      <c r="N1166" s="198" t="s">
        <v>2272</v>
      </c>
      <c r="O1166" s="198" t="s">
        <v>2272</v>
      </c>
      <c r="P1166" s="198" t="s">
        <v>2272</v>
      </c>
      <c r="Q1166" s="198" t="s">
        <v>2272</v>
      </c>
      <c r="R1166" s="198" t="s">
        <v>2272</v>
      </c>
      <c r="S1166" s="198" t="s">
        <v>2272</v>
      </c>
      <c r="T1166" s="198" t="s">
        <v>2272</v>
      </c>
      <c r="U1166" s="198" t="s">
        <v>2272</v>
      </c>
      <c r="V1166" s="198" t="s">
        <v>2272</v>
      </c>
      <c r="W1166" s="198" t="s">
        <v>2272</v>
      </c>
      <c r="X1166" s="198" t="s">
        <v>2272</v>
      </c>
      <c r="Y1166" s="198" t="s">
        <v>2272</v>
      </c>
      <c r="Z1166" s="21">
        <v>4.5</v>
      </c>
      <c r="AA1166" s="198" t="s">
        <v>402</v>
      </c>
      <c r="AB1166" s="198" t="s">
        <v>67</v>
      </c>
      <c r="AC1166" s="198" t="s">
        <v>63</v>
      </c>
      <c r="AD1166" s="198"/>
      <c r="AE1166" s="198"/>
    </row>
    <row r="1167" spans="1:31" ht="45" customHeight="1">
      <c r="A1167" s="198" t="s">
        <v>3525</v>
      </c>
      <c r="B1167" s="198" t="s">
        <v>3536</v>
      </c>
      <c r="C1167" s="198" t="s">
        <v>23</v>
      </c>
      <c r="D1167" s="198" t="s">
        <v>25</v>
      </c>
      <c r="E1167" s="198" t="s">
        <v>5000</v>
      </c>
      <c r="F1167" s="4" t="s">
        <v>2657</v>
      </c>
      <c r="G1167" s="198" t="s">
        <v>2272</v>
      </c>
      <c r="H1167" s="198" t="s">
        <v>521</v>
      </c>
      <c r="I1167" s="198"/>
      <c r="J1167" s="198" t="s">
        <v>2272</v>
      </c>
      <c r="K1167" s="198" t="s">
        <v>2272</v>
      </c>
      <c r="L1167" s="198" t="s">
        <v>2272</v>
      </c>
      <c r="M1167" s="198" t="s">
        <v>2272</v>
      </c>
      <c r="N1167" s="198" t="s">
        <v>2272</v>
      </c>
      <c r="O1167" s="198" t="s">
        <v>2272</v>
      </c>
      <c r="P1167" s="198" t="s">
        <v>2272</v>
      </c>
      <c r="Q1167" s="198" t="s">
        <v>2272</v>
      </c>
      <c r="R1167" s="198" t="s">
        <v>2272</v>
      </c>
      <c r="S1167" s="198" t="s">
        <v>2272</v>
      </c>
      <c r="T1167" s="198" t="s">
        <v>2272</v>
      </c>
      <c r="U1167" s="198" t="s">
        <v>2272</v>
      </c>
      <c r="V1167" s="198" t="s">
        <v>2272</v>
      </c>
      <c r="W1167" s="198" t="s">
        <v>2272</v>
      </c>
      <c r="X1167" s="198" t="s">
        <v>2272</v>
      </c>
      <c r="Y1167" s="198" t="s">
        <v>2272</v>
      </c>
      <c r="Z1167" s="21">
        <v>4.5</v>
      </c>
      <c r="AA1167" s="198" t="s">
        <v>397</v>
      </c>
      <c r="AB1167" s="198" t="s">
        <v>37</v>
      </c>
      <c r="AC1167" s="198" t="s">
        <v>63</v>
      </c>
      <c r="AD1167" s="198"/>
      <c r="AE1167" s="198"/>
    </row>
    <row r="1168" spans="1:31" ht="45" customHeight="1">
      <c r="A1168" s="198" t="s">
        <v>3525</v>
      </c>
      <c r="B1168" s="198" t="s">
        <v>3537</v>
      </c>
      <c r="C1168" s="198" t="s">
        <v>23</v>
      </c>
      <c r="D1168" s="198" t="s">
        <v>2337</v>
      </c>
      <c r="E1168" s="198" t="s">
        <v>5000</v>
      </c>
      <c r="F1168" s="4" t="s">
        <v>2657</v>
      </c>
      <c r="G1168" s="198" t="s">
        <v>2272</v>
      </c>
      <c r="H1168" s="198" t="s">
        <v>521</v>
      </c>
      <c r="I1168" s="198"/>
      <c r="J1168" s="198" t="s">
        <v>2272</v>
      </c>
      <c r="K1168" s="198" t="s">
        <v>2272</v>
      </c>
      <c r="L1168" s="198" t="s">
        <v>2272</v>
      </c>
      <c r="M1168" s="198" t="s">
        <v>2272</v>
      </c>
      <c r="N1168" s="198" t="s">
        <v>2272</v>
      </c>
      <c r="O1168" s="198" t="s">
        <v>2272</v>
      </c>
      <c r="P1168" s="198" t="s">
        <v>2272</v>
      </c>
      <c r="Q1168" s="198" t="s">
        <v>2272</v>
      </c>
      <c r="R1168" s="198" t="s">
        <v>2272</v>
      </c>
      <c r="S1168" s="198" t="s">
        <v>2272</v>
      </c>
      <c r="T1168" s="198" t="s">
        <v>2272</v>
      </c>
      <c r="U1168" s="198" t="s">
        <v>2272</v>
      </c>
      <c r="V1168" s="198" t="s">
        <v>2272</v>
      </c>
      <c r="W1168" s="198" t="s">
        <v>2272</v>
      </c>
      <c r="X1168" s="198" t="s">
        <v>2272</v>
      </c>
      <c r="Y1168" s="198" t="s">
        <v>2272</v>
      </c>
      <c r="Z1168" s="21">
        <v>4.5</v>
      </c>
      <c r="AA1168" s="198" t="s">
        <v>402</v>
      </c>
      <c r="AB1168" s="198" t="s">
        <v>67</v>
      </c>
      <c r="AC1168" s="198" t="s">
        <v>63</v>
      </c>
      <c r="AD1168" s="198"/>
      <c r="AE1168" s="198"/>
    </row>
    <row r="1169" spans="1:31" ht="45" customHeight="1">
      <c r="A1169" s="198" t="s">
        <v>3525</v>
      </c>
      <c r="B1169" s="198" t="s">
        <v>3538</v>
      </c>
      <c r="C1169" s="198" t="s">
        <v>23</v>
      </c>
      <c r="D1169" s="198" t="s">
        <v>2337</v>
      </c>
      <c r="E1169" s="198" t="s">
        <v>5000</v>
      </c>
      <c r="F1169" s="4" t="s">
        <v>2657</v>
      </c>
      <c r="G1169" s="198" t="s">
        <v>2272</v>
      </c>
      <c r="H1169" s="198" t="s">
        <v>521</v>
      </c>
      <c r="I1169" s="198"/>
      <c r="J1169" s="198" t="s">
        <v>2272</v>
      </c>
      <c r="K1169" s="198" t="s">
        <v>2272</v>
      </c>
      <c r="L1169" s="198" t="s">
        <v>2272</v>
      </c>
      <c r="M1169" s="198" t="s">
        <v>2272</v>
      </c>
      <c r="N1169" s="198" t="s">
        <v>2272</v>
      </c>
      <c r="O1169" s="198" t="s">
        <v>2272</v>
      </c>
      <c r="P1169" s="198" t="s">
        <v>2272</v>
      </c>
      <c r="Q1169" s="198" t="s">
        <v>2272</v>
      </c>
      <c r="R1169" s="198" t="s">
        <v>2272</v>
      </c>
      <c r="S1169" s="198" t="s">
        <v>2272</v>
      </c>
      <c r="T1169" s="198" t="s">
        <v>2272</v>
      </c>
      <c r="U1169" s="198" t="s">
        <v>2272</v>
      </c>
      <c r="V1169" s="198" t="s">
        <v>2272</v>
      </c>
      <c r="W1169" s="198" t="s">
        <v>2272</v>
      </c>
      <c r="X1169" s="198" t="s">
        <v>2272</v>
      </c>
      <c r="Y1169" s="198" t="s">
        <v>2272</v>
      </c>
      <c r="Z1169" s="21">
        <v>4.5</v>
      </c>
      <c r="AA1169" s="198" t="s">
        <v>397</v>
      </c>
      <c r="AB1169" s="198" t="s">
        <v>37</v>
      </c>
      <c r="AC1169" s="198" t="s">
        <v>63</v>
      </c>
      <c r="AD1169" s="198"/>
      <c r="AE1169" s="198"/>
    </row>
    <row r="1170" spans="1:31" ht="45" customHeight="1">
      <c r="A1170" s="198" t="s">
        <v>3525</v>
      </c>
      <c r="B1170" s="198" t="s">
        <v>3539</v>
      </c>
      <c r="C1170" s="198" t="s">
        <v>23</v>
      </c>
      <c r="D1170" s="198" t="s">
        <v>1128</v>
      </c>
      <c r="E1170" s="198" t="s">
        <v>5000</v>
      </c>
      <c r="F1170" s="4" t="s">
        <v>2657</v>
      </c>
      <c r="G1170" s="198" t="s">
        <v>2272</v>
      </c>
      <c r="H1170" s="198" t="s">
        <v>521</v>
      </c>
      <c r="I1170" s="198"/>
      <c r="J1170" s="198" t="s">
        <v>2272</v>
      </c>
      <c r="K1170" s="198" t="s">
        <v>2272</v>
      </c>
      <c r="L1170" s="198" t="s">
        <v>2272</v>
      </c>
      <c r="M1170" s="198" t="s">
        <v>2272</v>
      </c>
      <c r="N1170" s="198" t="s">
        <v>2272</v>
      </c>
      <c r="O1170" s="198" t="s">
        <v>2272</v>
      </c>
      <c r="P1170" s="198" t="s">
        <v>2272</v>
      </c>
      <c r="Q1170" s="198" t="s">
        <v>2272</v>
      </c>
      <c r="R1170" s="198" t="s">
        <v>2272</v>
      </c>
      <c r="S1170" s="198" t="s">
        <v>2272</v>
      </c>
      <c r="T1170" s="198" t="s">
        <v>2272</v>
      </c>
      <c r="U1170" s="198" t="s">
        <v>2272</v>
      </c>
      <c r="V1170" s="198" t="s">
        <v>2272</v>
      </c>
      <c r="W1170" s="198" t="s">
        <v>2272</v>
      </c>
      <c r="X1170" s="198" t="s">
        <v>2272</v>
      </c>
      <c r="Y1170" s="198" t="s">
        <v>2272</v>
      </c>
      <c r="Z1170" s="21">
        <v>4.5</v>
      </c>
      <c r="AA1170" s="198" t="s">
        <v>402</v>
      </c>
      <c r="AB1170" s="198" t="s">
        <v>67</v>
      </c>
      <c r="AC1170" s="198" t="s">
        <v>63</v>
      </c>
      <c r="AD1170" s="198"/>
      <c r="AE1170" s="198"/>
    </row>
    <row r="1171" spans="1:31" ht="45" customHeight="1">
      <c r="A1171" s="198" t="s">
        <v>3525</v>
      </c>
      <c r="B1171" s="198" t="s">
        <v>3540</v>
      </c>
      <c r="C1171" s="198" t="s">
        <v>23</v>
      </c>
      <c r="D1171" s="198" t="s">
        <v>1128</v>
      </c>
      <c r="E1171" s="198" t="s">
        <v>5000</v>
      </c>
      <c r="F1171" s="4" t="s">
        <v>2657</v>
      </c>
      <c r="G1171" s="198" t="s">
        <v>2272</v>
      </c>
      <c r="H1171" s="198" t="s">
        <v>521</v>
      </c>
      <c r="I1171" s="198"/>
      <c r="J1171" s="198" t="s">
        <v>2272</v>
      </c>
      <c r="K1171" s="198" t="s">
        <v>2272</v>
      </c>
      <c r="L1171" s="198" t="s">
        <v>2272</v>
      </c>
      <c r="M1171" s="198" t="s">
        <v>2272</v>
      </c>
      <c r="N1171" s="198" t="s">
        <v>2272</v>
      </c>
      <c r="O1171" s="198" t="s">
        <v>2272</v>
      </c>
      <c r="P1171" s="198" t="s">
        <v>2272</v>
      </c>
      <c r="Q1171" s="198" t="s">
        <v>2272</v>
      </c>
      <c r="R1171" s="198" t="s">
        <v>2272</v>
      </c>
      <c r="S1171" s="198" t="s">
        <v>2272</v>
      </c>
      <c r="T1171" s="198" t="s">
        <v>2272</v>
      </c>
      <c r="U1171" s="198" t="s">
        <v>2272</v>
      </c>
      <c r="V1171" s="198" t="s">
        <v>2272</v>
      </c>
      <c r="W1171" s="198" t="s">
        <v>2272</v>
      </c>
      <c r="X1171" s="198" t="s">
        <v>2272</v>
      </c>
      <c r="Y1171" s="198" t="s">
        <v>2272</v>
      </c>
      <c r="Z1171" s="21">
        <v>4.5</v>
      </c>
      <c r="AA1171" s="198" t="s">
        <v>397</v>
      </c>
      <c r="AB1171" s="198" t="s">
        <v>37</v>
      </c>
      <c r="AC1171" s="198" t="s">
        <v>63</v>
      </c>
      <c r="AD1171" s="198"/>
      <c r="AE1171" s="198"/>
    </row>
    <row r="1172" spans="1:31" ht="40" customHeight="1">
      <c r="A1172" s="198" t="s">
        <v>3525</v>
      </c>
      <c r="B1172" s="198" t="s">
        <v>3541</v>
      </c>
      <c r="C1172" s="198" t="s">
        <v>23</v>
      </c>
      <c r="D1172" s="198" t="s">
        <v>1102</v>
      </c>
      <c r="E1172" s="198" t="s">
        <v>114</v>
      </c>
      <c r="F1172" s="4" t="s">
        <v>73</v>
      </c>
      <c r="G1172" s="198" t="s">
        <v>2272</v>
      </c>
      <c r="H1172" s="198" t="s">
        <v>522</v>
      </c>
      <c r="I1172" s="198"/>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1">
        <v>0</v>
      </c>
      <c r="Z1172" s="198" t="s">
        <v>2272</v>
      </c>
      <c r="AA1172" s="198" t="s">
        <v>2272</v>
      </c>
      <c r="AB1172" s="198" t="s">
        <v>2272</v>
      </c>
      <c r="AC1172" s="198" t="s">
        <v>2272</v>
      </c>
      <c r="AD1172" s="4" t="s">
        <v>3531</v>
      </c>
      <c r="AE1172" s="198"/>
    </row>
    <row r="1173" spans="1:31" ht="92.5" customHeight="1">
      <c r="A1173" s="198" t="s">
        <v>3527</v>
      </c>
      <c r="B1173" s="198" t="s">
        <v>3548</v>
      </c>
      <c r="C1173" s="198" t="s">
        <v>23</v>
      </c>
      <c r="D1173" s="198" t="s">
        <v>1238</v>
      </c>
      <c r="E1173" s="198" t="s">
        <v>5000</v>
      </c>
      <c r="F1173" s="4" t="s">
        <v>2657</v>
      </c>
      <c r="G1173" s="198" t="s">
        <v>2272</v>
      </c>
      <c r="H1173" s="198" t="s">
        <v>522</v>
      </c>
      <c r="I1173" s="198"/>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1">
        <v>0</v>
      </c>
      <c r="Z1173" s="198" t="s">
        <v>2272</v>
      </c>
      <c r="AA1173" s="198" t="s">
        <v>2272</v>
      </c>
      <c r="AB1173" s="198" t="s">
        <v>2272</v>
      </c>
      <c r="AC1173" s="198" t="s">
        <v>2272</v>
      </c>
      <c r="AD1173" s="4" t="s">
        <v>3549</v>
      </c>
      <c r="AE1173" s="198"/>
    </row>
    <row r="1174" spans="1:31" ht="72.5">
      <c r="A1174" s="198" t="s">
        <v>3527</v>
      </c>
      <c r="B1174" s="198" t="s">
        <v>3550</v>
      </c>
      <c r="C1174" s="198" t="s">
        <v>23</v>
      </c>
      <c r="D1174" s="198" t="s">
        <v>2799</v>
      </c>
      <c r="E1174" s="198" t="s">
        <v>5000</v>
      </c>
      <c r="F1174" s="4" t="s">
        <v>2657</v>
      </c>
      <c r="G1174" s="198" t="s">
        <v>2272</v>
      </c>
      <c r="H1174" s="198" t="s">
        <v>522</v>
      </c>
      <c r="I1174" s="198"/>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1">
        <v>0</v>
      </c>
      <c r="Z1174" s="198" t="s">
        <v>2272</v>
      </c>
      <c r="AA1174" s="198" t="s">
        <v>2272</v>
      </c>
      <c r="AB1174" s="198" t="s">
        <v>2272</v>
      </c>
      <c r="AC1174" s="198" t="s">
        <v>2272</v>
      </c>
      <c r="AD1174" s="4" t="s">
        <v>3549</v>
      </c>
      <c r="AE1174" s="198"/>
    </row>
    <row r="1175" spans="1:31" ht="72.5">
      <c r="A1175" s="198" t="s">
        <v>3527</v>
      </c>
      <c r="B1175" s="198" t="s">
        <v>3551</v>
      </c>
      <c r="C1175" s="198" t="s">
        <v>23</v>
      </c>
      <c r="D1175" s="198" t="s">
        <v>25</v>
      </c>
      <c r="E1175" s="198" t="s">
        <v>5000</v>
      </c>
      <c r="F1175" s="4" t="s">
        <v>2657</v>
      </c>
      <c r="G1175" s="198" t="s">
        <v>2272</v>
      </c>
      <c r="H1175" s="198" t="s">
        <v>522</v>
      </c>
      <c r="I1175" s="198"/>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1">
        <v>0</v>
      </c>
      <c r="Z1175" s="198" t="s">
        <v>2272</v>
      </c>
      <c r="AA1175" s="198" t="s">
        <v>2272</v>
      </c>
      <c r="AB1175" s="198" t="s">
        <v>2272</v>
      </c>
      <c r="AC1175" s="198" t="s">
        <v>2272</v>
      </c>
      <c r="AD1175" s="4" t="s">
        <v>3549</v>
      </c>
      <c r="AE1175" s="198"/>
    </row>
    <row r="1176" spans="1:31" ht="72.5">
      <c r="A1176" s="198" t="s">
        <v>3527</v>
      </c>
      <c r="B1176" s="198" t="s">
        <v>3552</v>
      </c>
      <c r="C1176" s="198" t="s">
        <v>23</v>
      </c>
      <c r="D1176" s="198" t="s">
        <v>24</v>
      </c>
      <c r="E1176" s="198" t="s">
        <v>5000</v>
      </c>
      <c r="F1176" s="4" t="s">
        <v>2657</v>
      </c>
      <c r="G1176" s="198" t="s">
        <v>2272</v>
      </c>
      <c r="H1176" s="198" t="s">
        <v>522</v>
      </c>
      <c r="I1176" s="198"/>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1">
        <v>0</v>
      </c>
      <c r="Z1176" s="198" t="s">
        <v>2272</v>
      </c>
      <c r="AA1176" s="198" t="s">
        <v>2272</v>
      </c>
      <c r="AB1176" s="198" t="s">
        <v>2272</v>
      </c>
      <c r="AC1176" s="198" t="s">
        <v>2272</v>
      </c>
      <c r="AD1176" s="4" t="s">
        <v>3549</v>
      </c>
      <c r="AE1176" s="198"/>
    </row>
    <row r="1177" spans="1:31" ht="72.5">
      <c r="A1177" s="198" t="s">
        <v>3527</v>
      </c>
      <c r="B1177" s="198" t="s">
        <v>3553</v>
      </c>
      <c r="C1177" s="198" t="s">
        <v>23</v>
      </c>
      <c r="D1177" s="198" t="s">
        <v>2337</v>
      </c>
      <c r="E1177" s="198" t="s">
        <v>5000</v>
      </c>
      <c r="F1177" s="4" t="s">
        <v>2657</v>
      </c>
      <c r="G1177" s="198" t="s">
        <v>2272</v>
      </c>
      <c r="H1177" s="198" t="s">
        <v>522</v>
      </c>
      <c r="I1177" s="198"/>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1">
        <v>0</v>
      </c>
      <c r="Z1177" s="198" t="s">
        <v>2272</v>
      </c>
      <c r="AA1177" s="198" t="s">
        <v>2272</v>
      </c>
      <c r="AB1177" s="198" t="s">
        <v>2272</v>
      </c>
      <c r="AC1177" s="198" t="s">
        <v>2272</v>
      </c>
      <c r="AD1177" s="4" t="s">
        <v>3549</v>
      </c>
      <c r="AE1177" s="198"/>
    </row>
    <row r="1178" spans="1:31" ht="72.5">
      <c r="A1178" s="198" t="s">
        <v>3527</v>
      </c>
      <c r="B1178" s="198" t="s">
        <v>3554</v>
      </c>
      <c r="C1178" s="198" t="s">
        <v>23</v>
      </c>
      <c r="D1178" s="198" t="s">
        <v>1128</v>
      </c>
      <c r="E1178" s="198" t="s">
        <v>5000</v>
      </c>
      <c r="F1178" s="4" t="s">
        <v>2657</v>
      </c>
      <c r="G1178" s="198" t="s">
        <v>2272</v>
      </c>
      <c r="H1178" s="198" t="s">
        <v>522</v>
      </c>
      <c r="I1178" s="198"/>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1">
        <v>0</v>
      </c>
      <c r="Z1178" s="198" t="s">
        <v>2272</v>
      </c>
      <c r="AA1178" s="198" t="s">
        <v>2272</v>
      </c>
      <c r="AB1178" s="198" t="s">
        <v>2272</v>
      </c>
      <c r="AC1178" s="198" t="s">
        <v>2272</v>
      </c>
      <c r="AD1178" s="4" t="s">
        <v>3549</v>
      </c>
      <c r="AE1178" s="198"/>
    </row>
    <row r="1179" spans="1:31" ht="29">
      <c r="A1179" s="198" t="s">
        <v>3527</v>
      </c>
      <c r="B1179" s="198" t="s">
        <v>3555</v>
      </c>
      <c r="C1179" s="198" t="s">
        <v>23</v>
      </c>
      <c r="D1179" s="198" t="s">
        <v>24</v>
      </c>
      <c r="E1179" s="198" t="s">
        <v>5000</v>
      </c>
      <c r="F1179" s="4" t="s">
        <v>2657</v>
      </c>
      <c r="G1179" s="198" t="s">
        <v>2272</v>
      </c>
      <c r="H1179" s="198" t="s">
        <v>521</v>
      </c>
      <c r="I1179" s="198">
        <v>1998</v>
      </c>
      <c r="J1179" s="198" t="s">
        <v>2272</v>
      </c>
      <c r="K1179" s="198" t="s">
        <v>2272</v>
      </c>
      <c r="L1179" s="198" t="s">
        <v>2272</v>
      </c>
      <c r="M1179" s="198" t="s">
        <v>2272</v>
      </c>
      <c r="N1179" s="198" t="s">
        <v>2272</v>
      </c>
      <c r="O1179" s="198" t="s">
        <v>2272</v>
      </c>
      <c r="P1179" s="198" t="s">
        <v>2272</v>
      </c>
      <c r="Q1179" s="198" t="s">
        <v>2272</v>
      </c>
      <c r="R1179" s="198" t="s">
        <v>2272</v>
      </c>
      <c r="S1179" s="198" t="s">
        <v>2272</v>
      </c>
      <c r="T1179" s="198" t="s">
        <v>2272</v>
      </c>
      <c r="U1179" s="198" t="s">
        <v>2272</v>
      </c>
      <c r="V1179" s="198" t="s">
        <v>2272</v>
      </c>
      <c r="W1179" s="198" t="s">
        <v>2272</v>
      </c>
      <c r="X1179" s="198" t="s">
        <v>2272</v>
      </c>
      <c r="Y1179" s="198" t="s">
        <v>2272</v>
      </c>
      <c r="Z1179" s="198" t="s">
        <v>2272</v>
      </c>
      <c r="AA1179" s="198" t="s">
        <v>67</v>
      </c>
      <c r="AB1179" s="198" t="s">
        <v>67</v>
      </c>
      <c r="AC1179" s="198" t="s">
        <v>2272</v>
      </c>
      <c r="AD1179" s="198" t="s">
        <v>3563</v>
      </c>
      <c r="AE1179" s="198"/>
    </row>
    <row r="1180" spans="1:31" ht="38" customHeight="1">
      <c r="A1180" s="198" t="s">
        <v>3527</v>
      </c>
      <c r="B1180" s="198" t="s">
        <v>3556</v>
      </c>
      <c r="C1180" s="198" t="s">
        <v>30</v>
      </c>
      <c r="D1180" s="198" t="s">
        <v>2272</v>
      </c>
      <c r="E1180" s="198" t="s">
        <v>2647</v>
      </c>
      <c r="F1180" s="4" t="s">
        <v>2272</v>
      </c>
      <c r="G1180" s="198" t="s">
        <v>2272</v>
      </c>
      <c r="H1180" s="198" t="s">
        <v>521</v>
      </c>
      <c r="I1180" s="198">
        <v>1999</v>
      </c>
      <c r="J1180" s="198" t="s">
        <v>2272</v>
      </c>
      <c r="K1180" s="198" t="s">
        <v>2272</v>
      </c>
      <c r="L1180" s="198" t="s">
        <v>2272</v>
      </c>
      <c r="M1180" s="198" t="s">
        <v>2272</v>
      </c>
      <c r="N1180" s="198" t="s">
        <v>2272</v>
      </c>
      <c r="O1180" s="198" t="s">
        <v>2272</v>
      </c>
      <c r="P1180" s="198" t="s">
        <v>2272</v>
      </c>
      <c r="Q1180" s="198" t="s">
        <v>2272</v>
      </c>
      <c r="R1180" s="198" t="s">
        <v>2272</v>
      </c>
      <c r="S1180" s="198" t="s">
        <v>2272</v>
      </c>
      <c r="T1180" s="198" t="s">
        <v>2272</v>
      </c>
      <c r="U1180" s="198" t="s">
        <v>2272</v>
      </c>
      <c r="V1180" s="198" t="s">
        <v>2272</v>
      </c>
      <c r="W1180" s="198" t="s">
        <v>2272</v>
      </c>
      <c r="X1180" s="198" t="s">
        <v>2272</v>
      </c>
      <c r="Y1180" s="198" t="s">
        <v>2272</v>
      </c>
      <c r="Z1180" s="198" t="s">
        <v>2272</v>
      </c>
      <c r="AA1180" s="198" t="s">
        <v>423</v>
      </c>
      <c r="AB1180" s="198" t="s">
        <v>423</v>
      </c>
      <c r="AC1180" s="198" t="s">
        <v>2272</v>
      </c>
      <c r="AD1180" s="4" t="s">
        <v>3564</v>
      </c>
      <c r="AE1180" s="198"/>
    </row>
    <row r="1181" spans="1:31" ht="37" customHeight="1">
      <c r="A1181" s="198" t="s">
        <v>3527</v>
      </c>
      <c r="B1181" s="198" t="s">
        <v>3557</v>
      </c>
      <c r="C1181" s="198" t="s">
        <v>2453</v>
      </c>
      <c r="D1181" s="198" t="s">
        <v>2989</v>
      </c>
      <c r="E1181" s="198" t="s">
        <v>5000</v>
      </c>
      <c r="F1181" s="4" t="s">
        <v>2657</v>
      </c>
      <c r="G1181" s="198" t="s">
        <v>2272</v>
      </c>
      <c r="H1181" s="198" t="s">
        <v>521</v>
      </c>
      <c r="I1181" s="198">
        <v>2000</v>
      </c>
      <c r="J1181" s="198" t="s">
        <v>2272</v>
      </c>
      <c r="K1181" s="198" t="s">
        <v>2272</v>
      </c>
      <c r="L1181" s="198" t="s">
        <v>2272</v>
      </c>
      <c r="M1181" s="198" t="s">
        <v>2272</v>
      </c>
      <c r="N1181" s="198" t="s">
        <v>2272</v>
      </c>
      <c r="O1181" s="198" t="s">
        <v>2272</v>
      </c>
      <c r="P1181" s="198" t="s">
        <v>2272</v>
      </c>
      <c r="Q1181" s="198" t="s">
        <v>2272</v>
      </c>
      <c r="R1181" s="198" t="s">
        <v>2272</v>
      </c>
      <c r="S1181" s="198" t="s">
        <v>2272</v>
      </c>
      <c r="T1181" s="198" t="s">
        <v>2272</v>
      </c>
      <c r="U1181" s="198" t="s">
        <v>2272</v>
      </c>
      <c r="V1181" s="198" t="s">
        <v>2272</v>
      </c>
      <c r="W1181" s="198" t="s">
        <v>2272</v>
      </c>
      <c r="X1181" s="198" t="s">
        <v>2272</v>
      </c>
      <c r="Y1181" s="198" t="s">
        <v>2272</v>
      </c>
      <c r="Z1181" s="198" t="s">
        <v>2272</v>
      </c>
      <c r="AA1181" s="198" t="s">
        <v>403</v>
      </c>
      <c r="AB1181" s="198" t="s">
        <v>403</v>
      </c>
      <c r="AC1181" s="198" t="s">
        <v>2272</v>
      </c>
      <c r="AD1181" s="198" t="s">
        <v>3565</v>
      </c>
      <c r="AE1181" s="198"/>
    </row>
    <row r="1182" spans="1:31" ht="37" customHeight="1">
      <c r="A1182" s="198" t="s">
        <v>3527</v>
      </c>
      <c r="B1182" s="198" t="s">
        <v>3558</v>
      </c>
      <c r="C1182" s="198" t="s">
        <v>23</v>
      </c>
      <c r="D1182" s="198" t="s">
        <v>2272</v>
      </c>
      <c r="E1182" s="198" t="s">
        <v>5000</v>
      </c>
      <c r="F1182" s="4" t="s">
        <v>2657</v>
      </c>
      <c r="G1182" s="198" t="s">
        <v>2272</v>
      </c>
      <c r="H1182" s="198" t="s">
        <v>521</v>
      </c>
      <c r="I1182" s="198">
        <v>2000</v>
      </c>
      <c r="J1182" s="198" t="s">
        <v>2272</v>
      </c>
      <c r="K1182" s="198" t="s">
        <v>2272</v>
      </c>
      <c r="L1182" s="198" t="s">
        <v>2272</v>
      </c>
      <c r="M1182" s="198" t="s">
        <v>2272</v>
      </c>
      <c r="N1182" s="198" t="s">
        <v>2272</v>
      </c>
      <c r="O1182" s="198" t="s">
        <v>2272</v>
      </c>
      <c r="P1182" s="198" t="s">
        <v>2272</v>
      </c>
      <c r="Q1182" s="198" t="s">
        <v>2272</v>
      </c>
      <c r="R1182" s="198" t="s">
        <v>2272</v>
      </c>
      <c r="S1182" s="198" t="s">
        <v>2272</v>
      </c>
      <c r="T1182" s="198" t="s">
        <v>2272</v>
      </c>
      <c r="U1182" s="198" t="s">
        <v>2272</v>
      </c>
      <c r="V1182" s="198" t="s">
        <v>2272</v>
      </c>
      <c r="W1182" s="198" t="s">
        <v>2272</v>
      </c>
      <c r="X1182" s="198" t="s">
        <v>2272</v>
      </c>
      <c r="Y1182" s="198" t="s">
        <v>2272</v>
      </c>
      <c r="Z1182" s="198" t="s">
        <v>2272</v>
      </c>
      <c r="AA1182" s="198" t="s">
        <v>403</v>
      </c>
      <c r="AB1182" s="198" t="s">
        <v>403</v>
      </c>
      <c r="AC1182" s="198" t="s">
        <v>2272</v>
      </c>
      <c r="AD1182" s="198" t="s">
        <v>3566</v>
      </c>
      <c r="AE1182" s="198"/>
    </row>
    <row r="1183" spans="1:31" ht="37" customHeight="1">
      <c r="A1183" s="198" t="s">
        <v>3527</v>
      </c>
      <c r="B1183" s="198" t="s">
        <v>3559</v>
      </c>
      <c r="C1183" s="198" t="s">
        <v>2453</v>
      </c>
      <c r="D1183" s="198" t="s">
        <v>2989</v>
      </c>
      <c r="E1183" s="198" t="s">
        <v>5000</v>
      </c>
      <c r="F1183" s="4" t="s">
        <v>2657</v>
      </c>
      <c r="G1183" s="198" t="s">
        <v>2272</v>
      </c>
      <c r="H1183" s="198" t="s">
        <v>521</v>
      </c>
      <c r="I1183" s="198">
        <v>2003</v>
      </c>
      <c r="J1183" s="198" t="s">
        <v>2272</v>
      </c>
      <c r="K1183" s="198" t="s">
        <v>2272</v>
      </c>
      <c r="L1183" s="198" t="s">
        <v>2272</v>
      </c>
      <c r="M1183" s="198" t="s">
        <v>2272</v>
      </c>
      <c r="N1183" s="198" t="s">
        <v>2272</v>
      </c>
      <c r="O1183" s="198" t="s">
        <v>2272</v>
      </c>
      <c r="P1183" s="198" t="s">
        <v>2272</v>
      </c>
      <c r="Q1183" s="198" t="s">
        <v>2272</v>
      </c>
      <c r="R1183" s="198" t="s">
        <v>2272</v>
      </c>
      <c r="S1183" s="198" t="s">
        <v>2272</v>
      </c>
      <c r="T1183" s="198" t="s">
        <v>2272</v>
      </c>
      <c r="U1183" s="198" t="s">
        <v>2272</v>
      </c>
      <c r="V1183" s="198" t="s">
        <v>2272</v>
      </c>
      <c r="W1183" s="198" t="s">
        <v>2272</v>
      </c>
      <c r="X1183" s="198" t="s">
        <v>2272</v>
      </c>
      <c r="Y1183" s="198" t="s">
        <v>2272</v>
      </c>
      <c r="Z1183" s="198" t="s">
        <v>2272</v>
      </c>
      <c r="AA1183" s="198" t="s">
        <v>33</v>
      </c>
      <c r="AB1183" s="198" t="s">
        <v>33</v>
      </c>
      <c r="AC1183" s="198" t="s">
        <v>2272</v>
      </c>
      <c r="AD1183" s="198" t="s">
        <v>3565</v>
      </c>
      <c r="AE1183" s="198"/>
    </row>
    <row r="1184" spans="1:31" ht="37" customHeight="1">
      <c r="A1184" s="198" t="s">
        <v>3527</v>
      </c>
      <c r="B1184" s="198" t="s">
        <v>3560</v>
      </c>
      <c r="C1184" s="198" t="s">
        <v>30</v>
      </c>
      <c r="D1184" s="198" t="s">
        <v>2272</v>
      </c>
      <c r="E1184" s="198" t="s">
        <v>2647</v>
      </c>
      <c r="F1184" s="4" t="s">
        <v>2657</v>
      </c>
      <c r="G1184" s="198" t="s">
        <v>2272</v>
      </c>
      <c r="H1184" s="198" t="s">
        <v>521</v>
      </c>
      <c r="I1184" s="198">
        <v>2003</v>
      </c>
      <c r="J1184" s="198" t="s">
        <v>2272</v>
      </c>
      <c r="K1184" s="198" t="s">
        <v>2272</v>
      </c>
      <c r="L1184" s="198" t="s">
        <v>2272</v>
      </c>
      <c r="M1184" s="198" t="s">
        <v>2272</v>
      </c>
      <c r="N1184" s="198" t="s">
        <v>2272</v>
      </c>
      <c r="O1184" s="198" t="s">
        <v>2272</v>
      </c>
      <c r="P1184" s="198" t="s">
        <v>2272</v>
      </c>
      <c r="Q1184" s="198" t="s">
        <v>2272</v>
      </c>
      <c r="R1184" s="198" t="s">
        <v>2272</v>
      </c>
      <c r="S1184" s="198" t="s">
        <v>2272</v>
      </c>
      <c r="T1184" s="198" t="s">
        <v>2272</v>
      </c>
      <c r="U1184" s="198" t="s">
        <v>2272</v>
      </c>
      <c r="V1184" s="198" t="s">
        <v>2272</v>
      </c>
      <c r="W1184" s="198" t="s">
        <v>2272</v>
      </c>
      <c r="X1184" s="198" t="s">
        <v>2272</v>
      </c>
      <c r="Y1184" s="198" t="s">
        <v>2272</v>
      </c>
      <c r="Z1184" s="198" t="s">
        <v>2272</v>
      </c>
      <c r="AA1184" s="198" t="s">
        <v>423</v>
      </c>
      <c r="AB1184" s="198" t="s">
        <v>423</v>
      </c>
      <c r="AC1184" s="198" t="s">
        <v>2272</v>
      </c>
      <c r="AD1184" s="198" t="s">
        <v>3567</v>
      </c>
      <c r="AE1184" s="198"/>
    </row>
    <row r="1185" spans="1:31" ht="37" customHeight="1">
      <c r="A1185" s="198" t="s">
        <v>3527</v>
      </c>
      <c r="B1185" s="198" t="s">
        <v>3561</v>
      </c>
      <c r="C1185" s="198" t="s">
        <v>2453</v>
      </c>
      <c r="D1185" s="198" t="s">
        <v>3471</v>
      </c>
      <c r="E1185" s="198" t="s">
        <v>114</v>
      </c>
      <c r="F1185" s="4" t="s">
        <v>2657</v>
      </c>
      <c r="G1185" s="198" t="s">
        <v>2272</v>
      </c>
      <c r="H1185" s="198" t="s">
        <v>521</v>
      </c>
      <c r="I1185" s="198">
        <v>2004</v>
      </c>
      <c r="J1185" s="198" t="s">
        <v>2272</v>
      </c>
      <c r="K1185" s="198" t="s">
        <v>2272</v>
      </c>
      <c r="L1185" s="198" t="s">
        <v>2272</v>
      </c>
      <c r="M1185" s="198" t="s">
        <v>2272</v>
      </c>
      <c r="N1185" s="198" t="s">
        <v>2272</v>
      </c>
      <c r="O1185" s="198" t="s">
        <v>2272</v>
      </c>
      <c r="P1185" s="198" t="s">
        <v>2272</v>
      </c>
      <c r="Q1185" s="198" t="s">
        <v>2272</v>
      </c>
      <c r="R1185" s="198" t="s">
        <v>2272</v>
      </c>
      <c r="S1185" s="198" t="s">
        <v>2272</v>
      </c>
      <c r="T1185" s="198" t="s">
        <v>2272</v>
      </c>
      <c r="U1185" s="198" t="s">
        <v>2272</v>
      </c>
      <c r="V1185" s="198" t="s">
        <v>2272</v>
      </c>
      <c r="W1185" s="198" t="s">
        <v>2272</v>
      </c>
      <c r="X1185" s="198" t="s">
        <v>2272</v>
      </c>
      <c r="Y1185" s="198" t="s">
        <v>2272</v>
      </c>
      <c r="Z1185" s="198" t="s">
        <v>2272</v>
      </c>
      <c r="AA1185" s="198" t="s">
        <v>402</v>
      </c>
      <c r="AB1185" s="198" t="s">
        <v>402</v>
      </c>
      <c r="AC1185" s="198" t="s">
        <v>2272</v>
      </c>
      <c r="AD1185" s="198" t="s">
        <v>3471</v>
      </c>
      <c r="AE1185" s="198"/>
    </row>
    <row r="1186" spans="1:31" ht="37" customHeight="1">
      <c r="A1186" s="198" t="s">
        <v>3527</v>
      </c>
      <c r="B1186" s="198" t="s">
        <v>3562</v>
      </c>
      <c r="C1186" s="198" t="s">
        <v>2453</v>
      </c>
      <c r="D1186" s="198" t="s">
        <v>3471</v>
      </c>
      <c r="E1186" s="198" t="s">
        <v>114</v>
      </c>
      <c r="F1186" s="4" t="s">
        <v>2657</v>
      </c>
      <c r="G1186" s="198" t="s">
        <v>2272</v>
      </c>
      <c r="H1186" s="198" t="s">
        <v>521</v>
      </c>
      <c r="I1186" s="198">
        <v>2005</v>
      </c>
      <c r="J1186" s="198" t="s">
        <v>2272</v>
      </c>
      <c r="K1186" s="198" t="s">
        <v>2272</v>
      </c>
      <c r="L1186" s="198" t="s">
        <v>2272</v>
      </c>
      <c r="M1186" s="198" t="s">
        <v>2272</v>
      </c>
      <c r="N1186" s="198" t="s">
        <v>2272</v>
      </c>
      <c r="O1186" s="198" t="s">
        <v>2272</v>
      </c>
      <c r="P1186" s="198" t="s">
        <v>2272</v>
      </c>
      <c r="Q1186" s="198" t="s">
        <v>2272</v>
      </c>
      <c r="R1186" s="198" t="s">
        <v>2272</v>
      </c>
      <c r="S1186" s="198" t="s">
        <v>2272</v>
      </c>
      <c r="T1186" s="198" t="s">
        <v>2272</v>
      </c>
      <c r="U1186" s="198" t="s">
        <v>2272</v>
      </c>
      <c r="V1186" s="198" t="s">
        <v>2272</v>
      </c>
      <c r="W1186" s="198" t="s">
        <v>2272</v>
      </c>
      <c r="X1186" s="198" t="s">
        <v>2272</v>
      </c>
      <c r="Y1186" s="198" t="s">
        <v>2272</v>
      </c>
      <c r="Z1186" s="198" t="s">
        <v>2272</v>
      </c>
      <c r="AA1186" s="198" t="s">
        <v>397</v>
      </c>
      <c r="AB1186" s="198" t="s">
        <v>397</v>
      </c>
      <c r="AC1186" s="198" t="s">
        <v>2272</v>
      </c>
      <c r="AD1186" s="198" t="s">
        <v>3471</v>
      </c>
      <c r="AE1186" s="198"/>
    </row>
    <row r="1187" spans="1:31" ht="30" customHeight="1">
      <c r="A1187" s="198" t="s">
        <v>3581</v>
      </c>
      <c r="B1187" s="198" t="s">
        <v>3594</v>
      </c>
      <c r="C1187" s="198" t="s">
        <v>23</v>
      </c>
      <c r="D1187" s="198" t="s">
        <v>26</v>
      </c>
      <c r="E1187" s="198" t="s">
        <v>128</v>
      </c>
      <c r="F1187" s="4" t="s">
        <v>159</v>
      </c>
      <c r="G1187" s="198" t="s">
        <v>2272</v>
      </c>
      <c r="H1187" s="198" t="s">
        <v>521</v>
      </c>
      <c r="I1187" s="198"/>
      <c r="J1187" s="198" t="s">
        <v>2272</v>
      </c>
      <c r="K1187" s="198" t="s">
        <v>2272</v>
      </c>
      <c r="L1187" s="198" t="s">
        <v>2272</v>
      </c>
      <c r="M1187" s="198" t="s">
        <v>2272</v>
      </c>
      <c r="N1187" s="198" t="s">
        <v>2272</v>
      </c>
      <c r="O1187" s="198" t="s">
        <v>2272</v>
      </c>
      <c r="P1187" s="198" t="s">
        <v>2272</v>
      </c>
      <c r="Q1187" s="198" t="s">
        <v>2272</v>
      </c>
      <c r="R1187" s="198" t="s">
        <v>2272</v>
      </c>
      <c r="S1187" s="198" t="s">
        <v>2272</v>
      </c>
      <c r="T1187" s="198" t="s">
        <v>2272</v>
      </c>
      <c r="U1187" s="198" t="s">
        <v>2272</v>
      </c>
      <c r="V1187" s="198" t="s">
        <v>2272</v>
      </c>
      <c r="W1187" s="198" t="s">
        <v>2272</v>
      </c>
      <c r="X1187" s="198" t="s">
        <v>2272</v>
      </c>
      <c r="Y1187" s="198" t="s">
        <v>2272</v>
      </c>
      <c r="Z1187" s="198" t="s">
        <v>2272</v>
      </c>
      <c r="AA1187" s="198" t="s">
        <v>2272</v>
      </c>
      <c r="AB1187" s="198" t="s">
        <v>2272</v>
      </c>
      <c r="AC1187" s="198" t="s">
        <v>2272</v>
      </c>
      <c r="AD1187" s="4" t="s">
        <v>3604</v>
      </c>
      <c r="AE1187" s="198"/>
    </row>
    <row r="1188" spans="1:31" ht="30" customHeight="1">
      <c r="A1188" s="198" t="s">
        <v>3584</v>
      </c>
      <c r="B1188" s="198" t="s">
        <v>3595</v>
      </c>
      <c r="C1188" s="198" t="s">
        <v>23</v>
      </c>
      <c r="D1188" s="198" t="s">
        <v>26</v>
      </c>
      <c r="E1188" s="198" t="s">
        <v>128</v>
      </c>
      <c r="F1188" s="4" t="s">
        <v>159</v>
      </c>
      <c r="G1188" s="198" t="s">
        <v>2272</v>
      </c>
      <c r="H1188" s="198" t="s">
        <v>521</v>
      </c>
      <c r="I1188" s="198"/>
      <c r="J1188" s="198" t="s">
        <v>2272</v>
      </c>
      <c r="K1188" s="198" t="s">
        <v>2272</v>
      </c>
      <c r="L1188" s="198" t="s">
        <v>2272</v>
      </c>
      <c r="M1188" s="198" t="s">
        <v>2272</v>
      </c>
      <c r="N1188" s="198" t="s">
        <v>2272</v>
      </c>
      <c r="O1188" s="198" t="s">
        <v>2272</v>
      </c>
      <c r="P1188" s="198" t="s">
        <v>2272</v>
      </c>
      <c r="Q1188" s="198" t="s">
        <v>2272</v>
      </c>
      <c r="R1188" s="198" t="s">
        <v>2272</v>
      </c>
      <c r="S1188" s="198" t="s">
        <v>2272</v>
      </c>
      <c r="T1188" s="198" t="s">
        <v>2272</v>
      </c>
      <c r="U1188" s="198" t="s">
        <v>2272</v>
      </c>
      <c r="V1188" s="198" t="s">
        <v>2272</v>
      </c>
      <c r="W1188" s="198" t="s">
        <v>2272</v>
      </c>
      <c r="X1188" s="198" t="s">
        <v>2272</v>
      </c>
      <c r="Y1188" s="198" t="s">
        <v>2272</v>
      </c>
      <c r="Z1188" s="198" t="s">
        <v>2272</v>
      </c>
      <c r="AA1188" s="198" t="s">
        <v>2272</v>
      </c>
      <c r="AB1188" s="198" t="s">
        <v>2272</v>
      </c>
      <c r="AC1188" s="198" t="s">
        <v>2272</v>
      </c>
      <c r="AD1188" s="4" t="s">
        <v>3605</v>
      </c>
      <c r="AE1188" s="198"/>
    </row>
    <row r="1189" spans="1:31" ht="30" customHeight="1">
      <c r="A1189" s="198" t="s">
        <v>3585</v>
      </c>
      <c r="B1189" s="198" t="s">
        <v>3596</v>
      </c>
      <c r="C1189" s="198" t="s">
        <v>23</v>
      </c>
      <c r="D1189" s="198" t="s">
        <v>26</v>
      </c>
      <c r="E1189" s="198" t="s">
        <v>128</v>
      </c>
      <c r="F1189" s="4" t="s">
        <v>159</v>
      </c>
      <c r="G1189" s="198" t="s">
        <v>2272</v>
      </c>
      <c r="H1189" s="198" t="s">
        <v>521</v>
      </c>
      <c r="I1189" s="198"/>
      <c r="J1189" s="198" t="s">
        <v>2272</v>
      </c>
      <c r="K1189" s="198" t="s">
        <v>2272</v>
      </c>
      <c r="L1189" s="198" t="s">
        <v>2272</v>
      </c>
      <c r="M1189" s="198" t="s">
        <v>2272</v>
      </c>
      <c r="N1189" s="198" t="s">
        <v>2272</v>
      </c>
      <c r="O1189" s="198" t="s">
        <v>2272</v>
      </c>
      <c r="P1189" s="198" t="s">
        <v>2272</v>
      </c>
      <c r="Q1189" s="198" t="s">
        <v>2272</v>
      </c>
      <c r="R1189" s="198" t="s">
        <v>2272</v>
      </c>
      <c r="S1189" s="198" t="s">
        <v>2272</v>
      </c>
      <c r="T1189" s="198" t="s">
        <v>2272</v>
      </c>
      <c r="U1189" s="198" t="s">
        <v>2272</v>
      </c>
      <c r="V1189" s="198" t="s">
        <v>2272</v>
      </c>
      <c r="W1189" s="198" t="s">
        <v>2272</v>
      </c>
      <c r="X1189" s="198" t="s">
        <v>2272</v>
      </c>
      <c r="Y1189" s="198" t="s">
        <v>2272</v>
      </c>
      <c r="Z1189" s="198" t="s">
        <v>2272</v>
      </c>
      <c r="AA1189" s="198" t="s">
        <v>2272</v>
      </c>
      <c r="AB1189" s="198" t="s">
        <v>2272</v>
      </c>
      <c r="AC1189" s="198" t="s">
        <v>2272</v>
      </c>
      <c r="AD1189" s="4" t="s">
        <v>3606</v>
      </c>
      <c r="AE1189" s="198"/>
    </row>
    <row r="1190" spans="1:31" ht="30" customHeight="1">
      <c r="A1190" s="198" t="s">
        <v>3586</v>
      </c>
      <c r="B1190" s="198" t="s">
        <v>3597</v>
      </c>
      <c r="C1190" s="198" t="s">
        <v>23</v>
      </c>
      <c r="D1190" s="198" t="s">
        <v>26</v>
      </c>
      <c r="E1190" s="198" t="s">
        <v>128</v>
      </c>
      <c r="F1190" s="4" t="s">
        <v>159</v>
      </c>
      <c r="G1190" s="198" t="s">
        <v>2272</v>
      </c>
      <c r="H1190" s="198" t="s">
        <v>521</v>
      </c>
      <c r="I1190" s="198"/>
      <c r="J1190" s="198" t="s">
        <v>2272</v>
      </c>
      <c r="K1190" s="198" t="s">
        <v>2272</v>
      </c>
      <c r="L1190" s="198" t="s">
        <v>2272</v>
      </c>
      <c r="M1190" s="198" t="s">
        <v>2272</v>
      </c>
      <c r="N1190" s="198" t="s">
        <v>2272</v>
      </c>
      <c r="O1190" s="198" t="s">
        <v>2272</v>
      </c>
      <c r="P1190" s="198" t="s">
        <v>2272</v>
      </c>
      <c r="Q1190" s="198" t="s">
        <v>2272</v>
      </c>
      <c r="R1190" s="198" t="s">
        <v>2272</v>
      </c>
      <c r="S1190" s="198" t="s">
        <v>2272</v>
      </c>
      <c r="T1190" s="198" t="s">
        <v>2272</v>
      </c>
      <c r="U1190" s="198" t="s">
        <v>2272</v>
      </c>
      <c r="V1190" s="198" t="s">
        <v>2272</v>
      </c>
      <c r="W1190" s="198" t="s">
        <v>2272</v>
      </c>
      <c r="X1190" s="198" t="s">
        <v>2272</v>
      </c>
      <c r="Y1190" s="198" t="s">
        <v>2272</v>
      </c>
      <c r="Z1190" s="198" t="s">
        <v>2272</v>
      </c>
      <c r="AA1190" s="198" t="s">
        <v>2272</v>
      </c>
      <c r="AB1190" s="198" t="s">
        <v>2272</v>
      </c>
      <c r="AC1190" s="198" t="s">
        <v>2272</v>
      </c>
      <c r="AD1190" s="4" t="s">
        <v>3606</v>
      </c>
      <c r="AE1190" s="198"/>
    </row>
    <row r="1191" spans="1:31" ht="30" customHeight="1">
      <c r="A1191" s="198" t="s">
        <v>3587</v>
      </c>
      <c r="B1191" s="198" t="s">
        <v>3598</v>
      </c>
      <c r="C1191" s="198" t="s">
        <v>23</v>
      </c>
      <c r="D1191" s="198" t="s">
        <v>26</v>
      </c>
      <c r="E1191" s="198" t="s">
        <v>128</v>
      </c>
      <c r="F1191" s="4" t="s">
        <v>159</v>
      </c>
      <c r="G1191" s="198" t="s">
        <v>2272</v>
      </c>
      <c r="H1191" s="198" t="s">
        <v>522</v>
      </c>
      <c r="I1191" s="198"/>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1">
        <v>0</v>
      </c>
      <c r="Z1191" s="198" t="s">
        <v>2272</v>
      </c>
      <c r="AA1191" s="198" t="s">
        <v>2272</v>
      </c>
      <c r="AB1191" s="198" t="s">
        <v>2272</v>
      </c>
      <c r="AC1191" s="198" t="s">
        <v>2272</v>
      </c>
      <c r="AD1191" s="198"/>
      <c r="AE1191" s="198"/>
    </row>
    <row r="1192" spans="1:31" ht="36" customHeight="1">
      <c r="A1192" s="198" t="s">
        <v>3581</v>
      </c>
      <c r="B1192" s="198" t="s">
        <v>3599</v>
      </c>
      <c r="C1192" s="198" t="s">
        <v>23</v>
      </c>
      <c r="D1192" s="198" t="s">
        <v>2654</v>
      </c>
      <c r="E1192" s="198" t="s">
        <v>128</v>
      </c>
      <c r="F1192" s="4" t="s">
        <v>27</v>
      </c>
      <c r="G1192" s="198" t="s">
        <v>2272</v>
      </c>
      <c r="H1192" s="198" t="s">
        <v>521</v>
      </c>
      <c r="I1192" s="198"/>
      <c r="J1192" s="198" t="s">
        <v>2272</v>
      </c>
      <c r="K1192" s="198" t="s">
        <v>2272</v>
      </c>
      <c r="L1192" s="198" t="s">
        <v>2272</v>
      </c>
      <c r="M1192" s="198" t="s">
        <v>2272</v>
      </c>
      <c r="N1192" s="198" t="s">
        <v>2272</v>
      </c>
      <c r="O1192" s="198" t="s">
        <v>2272</v>
      </c>
      <c r="P1192" s="198" t="s">
        <v>2272</v>
      </c>
      <c r="Q1192" s="198" t="s">
        <v>2272</v>
      </c>
      <c r="R1192" s="198" t="s">
        <v>2272</v>
      </c>
      <c r="S1192" s="198" t="s">
        <v>2272</v>
      </c>
      <c r="T1192" s="198" t="s">
        <v>2272</v>
      </c>
      <c r="U1192" s="198" t="s">
        <v>2272</v>
      </c>
      <c r="V1192" s="198" t="s">
        <v>2272</v>
      </c>
      <c r="W1192" s="198" t="s">
        <v>2272</v>
      </c>
      <c r="X1192" s="198" t="s">
        <v>2272</v>
      </c>
      <c r="Y1192" s="198" t="s">
        <v>2272</v>
      </c>
      <c r="Z1192" s="198" t="s">
        <v>2272</v>
      </c>
      <c r="AA1192" s="198" t="s">
        <v>2272</v>
      </c>
      <c r="AB1192" s="198" t="s">
        <v>2272</v>
      </c>
      <c r="AC1192" s="198" t="s">
        <v>2272</v>
      </c>
      <c r="AD1192" s="4" t="s">
        <v>3607</v>
      </c>
      <c r="AE1192" s="198"/>
    </row>
    <row r="1193" spans="1:31" ht="36" customHeight="1">
      <c r="A1193" s="198" t="s">
        <v>3584</v>
      </c>
      <c r="B1193" s="198" t="s">
        <v>3600</v>
      </c>
      <c r="C1193" s="198" t="s">
        <v>23</v>
      </c>
      <c r="D1193" s="198" t="s">
        <v>2654</v>
      </c>
      <c r="E1193" s="198" t="s">
        <v>128</v>
      </c>
      <c r="F1193" s="4" t="s">
        <v>27</v>
      </c>
      <c r="G1193" s="198" t="s">
        <v>2272</v>
      </c>
      <c r="H1193" s="198" t="s">
        <v>521</v>
      </c>
      <c r="I1193" s="198"/>
      <c r="J1193" s="198" t="s">
        <v>2272</v>
      </c>
      <c r="K1193" s="198" t="s">
        <v>2272</v>
      </c>
      <c r="L1193" s="198" t="s">
        <v>2272</v>
      </c>
      <c r="M1193" s="198" t="s">
        <v>2272</v>
      </c>
      <c r="N1193" s="198" t="s">
        <v>2272</v>
      </c>
      <c r="O1193" s="198" t="s">
        <v>2272</v>
      </c>
      <c r="P1193" s="198" t="s">
        <v>2272</v>
      </c>
      <c r="Q1193" s="198" t="s">
        <v>2272</v>
      </c>
      <c r="R1193" s="198" t="s">
        <v>2272</v>
      </c>
      <c r="S1193" s="198" t="s">
        <v>2272</v>
      </c>
      <c r="T1193" s="198" t="s">
        <v>2272</v>
      </c>
      <c r="U1193" s="198" t="s">
        <v>2272</v>
      </c>
      <c r="V1193" s="198" t="s">
        <v>2272</v>
      </c>
      <c r="W1193" s="198" t="s">
        <v>2272</v>
      </c>
      <c r="X1193" s="198" t="s">
        <v>2272</v>
      </c>
      <c r="Y1193" s="198" t="s">
        <v>2272</v>
      </c>
      <c r="Z1193" s="198" t="s">
        <v>2272</v>
      </c>
      <c r="AA1193" s="198" t="s">
        <v>2272</v>
      </c>
      <c r="AB1193" s="198" t="s">
        <v>2272</v>
      </c>
      <c r="AC1193" s="198" t="s">
        <v>2272</v>
      </c>
      <c r="AD1193" s="4" t="s">
        <v>3607</v>
      </c>
      <c r="AE1193" s="198"/>
    </row>
    <row r="1194" spans="1:31" ht="36" customHeight="1">
      <c r="A1194" s="198" t="s">
        <v>3585</v>
      </c>
      <c r="B1194" s="198" t="s">
        <v>3601</v>
      </c>
      <c r="C1194" s="198" t="s">
        <v>23</v>
      </c>
      <c r="D1194" s="198" t="s">
        <v>2654</v>
      </c>
      <c r="E1194" s="198" t="s">
        <v>128</v>
      </c>
      <c r="F1194" s="4" t="s">
        <v>27</v>
      </c>
      <c r="G1194" s="198" t="s">
        <v>2272</v>
      </c>
      <c r="H1194" s="198" t="s">
        <v>521</v>
      </c>
      <c r="I1194" s="198"/>
      <c r="J1194" s="198" t="s">
        <v>2272</v>
      </c>
      <c r="K1194" s="198" t="s">
        <v>2272</v>
      </c>
      <c r="L1194" s="198" t="s">
        <v>2272</v>
      </c>
      <c r="M1194" s="198" t="s">
        <v>2272</v>
      </c>
      <c r="N1194" s="198" t="s">
        <v>2272</v>
      </c>
      <c r="O1194" s="198" t="s">
        <v>2272</v>
      </c>
      <c r="P1194" s="198" t="s">
        <v>2272</v>
      </c>
      <c r="Q1194" s="198" t="s">
        <v>2272</v>
      </c>
      <c r="R1194" s="198" t="s">
        <v>2272</v>
      </c>
      <c r="S1194" s="198" t="s">
        <v>2272</v>
      </c>
      <c r="T1194" s="198" t="s">
        <v>2272</v>
      </c>
      <c r="U1194" s="198" t="s">
        <v>2272</v>
      </c>
      <c r="V1194" s="198" t="s">
        <v>2272</v>
      </c>
      <c r="W1194" s="198" t="s">
        <v>2272</v>
      </c>
      <c r="X1194" s="198" t="s">
        <v>2272</v>
      </c>
      <c r="Y1194" s="198" t="s">
        <v>2272</v>
      </c>
      <c r="Z1194" s="198" t="s">
        <v>2272</v>
      </c>
      <c r="AA1194" s="198" t="s">
        <v>2272</v>
      </c>
      <c r="AB1194" s="198" t="s">
        <v>2272</v>
      </c>
      <c r="AC1194" s="198" t="s">
        <v>2272</v>
      </c>
      <c r="AD1194" s="4" t="s">
        <v>3607</v>
      </c>
      <c r="AE1194" s="198"/>
    </row>
    <row r="1195" spans="1:31" ht="36" customHeight="1">
      <c r="A1195" s="198" t="s">
        <v>3586</v>
      </c>
      <c r="B1195" s="198" t="s">
        <v>3602</v>
      </c>
      <c r="C1195" s="198" t="s">
        <v>23</v>
      </c>
      <c r="D1195" s="198" t="s">
        <v>2654</v>
      </c>
      <c r="E1195" s="198" t="s">
        <v>128</v>
      </c>
      <c r="F1195" s="4" t="s">
        <v>27</v>
      </c>
      <c r="G1195" s="198" t="s">
        <v>2272</v>
      </c>
      <c r="H1195" s="198" t="s">
        <v>521</v>
      </c>
      <c r="I1195" s="198"/>
      <c r="J1195" s="198" t="s">
        <v>2272</v>
      </c>
      <c r="K1195" s="198" t="s">
        <v>2272</v>
      </c>
      <c r="L1195" s="198" t="s">
        <v>2272</v>
      </c>
      <c r="M1195" s="198" t="s">
        <v>2272</v>
      </c>
      <c r="N1195" s="198" t="s">
        <v>2272</v>
      </c>
      <c r="O1195" s="198" t="s">
        <v>2272</v>
      </c>
      <c r="P1195" s="198" t="s">
        <v>2272</v>
      </c>
      <c r="Q1195" s="198" t="s">
        <v>2272</v>
      </c>
      <c r="R1195" s="198" t="s">
        <v>2272</v>
      </c>
      <c r="S1195" s="198" t="s">
        <v>2272</v>
      </c>
      <c r="T1195" s="198" t="s">
        <v>2272</v>
      </c>
      <c r="U1195" s="198" t="s">
        <v>2272</v>
      </c>
      <c r="V1195" s="198" t="s">
        <v>2272</v>
      </c>
      <c r="W1195" s="198" t="s">
        <v>2272</v>
      </c>
      <c r="X1195" s="198" t="s">
        <v>2272</v>
      </c>
      <c r="Y1195" s="198" t="s">
        <v>2272</v>
      </c>
      <c r="Z1195" s="198" t="s">
        <v>2272</v>
      </c>
      <c r="AA1195" s="198" t="s">
        <v>2272</v>
      </c>
      <c r="AB1195" s="198" t="s">
        <v>2272</v>
      </c>
      <c r="AC1195" s="198" t="s">
        <v>2272</v>
      </c>
      <c r="AD1195" s="4" t="s">
        <v>3607</v>
      </c>
      <c r="AE1195" s="198"/>
    </row>
    <row r="1196" spans="1:31" ht="36" customHeight="1">
      <c r="A1196" s="198" t="s">
        <v>3587</v>
      </c>
      <c r="B1196" s="198" t="s">
        <v>3603</v>
      </c>
      <c r="C1196" s="198" t="s">
        <v>23</v>
      </c>
      <c r="D1196" s="198" t="s">
        <v>2654</v>
      </c>
      <c r="E1196" s="198" t="s">
        <v>128</v>
      </c>
      <c r="F1196" s="4" t="s">
        <v>27</v>
      </c>
      <c r="G1196" s="198" t="s">
        <v>2272</v>
      </c>
      <c r="H1196" s="198" t="s">
        <v>521</v>
      </c>
      <c r="I1196" s="198"/>
      <c r="J1196" s="198" t="s">
        <v>2272</v>
      </c>
      <c r="K1196" s="198" t="s">
        <v>2272</v>
      </c>
      <c r="L1196" s="198" t="s">
        <v>2272</v>
      </c>
      <c r="M1196" s="198" t="s">
        <v>2272</v>
      </c>
      <c r="N1196" s="198" t="s">
        <v>2272</v>
      </c>
      <c r="O1196" s="198" t="s">
        <v>2272</v>
      </c>
      <c r="P1196" s="198" t="s">
        <v>2272</v>
      </c>
      <c r="Q1196" s="198" t="s">
        <v>2272</v>
      </c>
      <c r="R1196" s="198" t="s">
        <v>2272</v>
      </c>
      <c r="S1196" s="198" t="s">
        <v>2272</v>
      </c>
      <c r="T1196" s="198" t="s">
        <v>2272</v>
      </c>
      <c r="U1196" s="198" t="s">
        <v>2272</v>
      </c>
      <c r="V1196" s="198" t="s">
        <v>2272</v>
      </c>
      <c r="W1196" s="198" t="s">
        <v>2272</v>
      </c>
      <c r="X1196" s="198" t="s">
        <v>2272</v>
      </c>
      <c r="Y1196" s="198" t="s">
        <v>2272</v>
      </c>
      <c r="Z1196" s="198" t="s">
        <v>2272</v>
      </c>
      <c r="AA1196" s="198" t="s">
        <v>2272</v>
      </c>
      <c r="AB1196" s="198" t="s">
        <v>2272</v>
      </c>
      <c r="AC1196" s="198" t="s">
        <v>2272</v>
      </c>
      <c r="AD1196" s="4" t="s">
        <v>3607</v>
      </c>
      <c r="AE1196" s="198"/>
    </row>
    <row r="1197" spans="1:31" ht="41" customHeight="1">
      <c r="A1197" s="198" t="s">
        <v>3609</v>
      </c>
      <c r="B1197" s="198" t="s">
        <v>3613</v>
      </c>
      <c r="C1197" s="198" t="s">
        <v>23</v>
      </c>
      <c r="D1197" s="198" t="s">
        <v>2799</v>
      </c>
      <c r="E1197" s="198" t="s">
        <v>5000</v>
      </c>
      <c r="F1197" s="4" t="s">
        <v>2272</v>
      </c>
      <c r="G1197" s="198" t="s">
        <v>2272</v>
      </c>
      <c r="H1197" s="198" t="s">
        <v>522</v>
      </c>
      <c r="I1197" s="198"/>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1">
        <v>0</v>
      </c>
      <c r="Z1197" s="198" t="s">
        <v>2272</v>
      </c>
      <c r="AA1197" s="198" t="s">
        <v>2272</v>
      </c>
      <c r="AB1197" s="198" t="s">
        <v>2272</v>
      </c>
      <c r="AC1197" s="198" t="s">
        <v>2272</v>
      </c>
      <c r="AD1197" s="198"/>
      <c r="AE1197" s="4" t="s">
        <v>3615</v>
      </c>
    </row>
    <row r="1198" spans="1:31" ht="43" customHeight="1">
      <c r="A1198" s="198" t="s">
        <v>3609</v>
      </c>
      <c r="B1198" s="198" t="s">
        <v>3614</v>
      </c>
      <c r="C1198" s="198" t="s">
        <v>23</v>
      </c>
      <c r="D1198" s="198" t="s">
        <v>24</v>
      </c>
      <c r="E1198" s="198" t="s">
        <v>5000</v>
      </c>
      <c r="F1198" s="4" t="s">
        <v>2272</v>
      </c>
      <c r="G1198" s="198" t="s">
        <v>2272</v>
      </c>
      <c r="H1198" s="198" t="s">
        <v>522</v>
      </c>
      <c r="I1198" s="198"/>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1">
        <v>0</v>
      </c>
      <c r="Z1198" s="198" t="s">
        <v>2272</v>
      </c>
      <c r="AA1198" s="198" t="s">
        <v>2272</v>
      </c>
      <c r="AB1198" s="198" t="s">
        <v>2272</v>
      </c>
      <c r="AC1198" s="198" t="s">
        <v>2272</v>
      </c>
      <c r="AD1198" s="198"/>
      <c r="AE1198" s="4" t="s">
        <v>3615</v>
      </c>
    </row>
    <row r="1199" spans="1:31" ht="40" customHeight="1">
      <c r="A1199" s="198" t="s">
        <v>3609</v>
      </c>
      <c r="B1199" s="198" t="s">
        <v>3617</v>
      </c>
      <c r="C1199" s="198" t="s">
        <v>23</v>
      </c>
      <c r="D1199" s="198" t="s">
        <v>2799</v>
      </c>
      <c r="E1199" s="198" t="s">
        <v>44</v>
      </c>
      <c r="F1199" s="4" t="s">
        <v>2272</v>
      </c>
      <c r="G1199" s="198" t="s">
        <v>2272</v>
      </c>
      <c r="H1199" s="198" t="s">
        <v>522</v>
      </c>
      <c r="I1199" s="198"/>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1">
        <v>0</v>
      </c>
      <c r="Z1199" s="198" t="s">
        <v>2272</v>
      </c>
      <c r="AA1199" s="198" t="s">
        <v>2272</v>
      </c>
      <c r="AB1199" s="198" t="s">
        <v>2272</v>
      </c>
      <c r="AC1199" s="198" t="s">
        <v>2272</v>
      </c>
      <c r="AD1199" s="198"/>
      <c r="AE1199" s="4" t="s">
        <v>3615</v>
      </c>
    </row>
    <row r="1200" spans="1:31" ht="41" customHeight="1">
      <c r="A1200" s="198" t="s">
        <v>3609</v>
      </c>
      <c r="B1200" s="198" t="s">
        <v>3618</v>
      </c>
      <c r="C1200" s="198" t="s">
        <v>23</v>
      </c>
      <c r="D1200" s="198" t="s">
        <v>24</v>
      </c>
      <c r="E1200" s="198" t="s">
        <v>44</v>
      </c>
      <c r="F1200" s="4" t="s">
        <v>2272</v>
      </c>
      <c r="G1200" s="198" t="s">
        <v>2272</v>
      </c>
      <c r="H1200" s="198" t="s">
        <v>522</v>
      </c>
      <c r="I1200" s="198"/>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1">
        <v>0</v>
      </c>
      <c r="Z1200" s="198" t="s">
        <v>2272</v>
      </c>
      <c r="AA1200" s="198" t="s">
        <v>2272</v>
      </c>
      <c r="AB1200" s="198" t="s">
        <v>2272</v>
      </c>
      <c r="AC1200" s="198" t="s">
        <v>2272</v>
      </c>
      <c r="AD1200" s="198"/>
      <c r="AE1200" s="4" t="s">
        <v>3615</v>
      </c>
    </row>
    <row r="1201" spans="1:31" ht="28" customHeight="1">
      <c r="A1201" s="198" t="s">
        <v>3620</v>
      </c>
      <c r="B1201" s="198" t="s">
        <v>3630</v>
      </c>
      <c r="C1201" s="198" t="s">
        <v>23</v>
      </c>
      <c r="D1201" s="198" t="s">
        <v>26</v>
      </c>
      <c r="E1201" s="198" t="s">
        <v>128</v>
      </c>
      <c r="F1201" s="4" t="s">
        <v>2272</v>
      </c>
      <c r="G1201" s="198" t="s">
        <v>2272</v>
      </c>
      <c r="H1201" s="198" t="s">
        <v>521</v>
      </c>
      <c r="I1201" s="198"/>
      <c r="J1201" s="198" t="s">
        <v>2272</v>
      </c>
      <c r="K1201" s="198" t="s">
        <v>2272</v>
      </c>
      <c r="L1201" s="198" t="s">
        <v>2272</v>
      </c>
      <c r="M1201" s="198" t="s">
        <v>2272</v>
      </c>
      <c r="N1201" s="198" t="s">
        <v>2272</v>
      </c>
      <c r="O1201" s="198" t="s">
        <v>2272</v>
      </c>
      <c r="P1201" s="198" t="s">
        <v>2272</v>
      </c>
      <c r="Q1201" s="198" t="s">
        <v>2272</v>
      </c>
      <c r="R1201" s="198" t="s">
        <v>2272</v>
      </c>
      <c r="S1201" s="198" t="s">
        <v>2272</v>
      </c>
      <c r="T1201" s="198" t="s">
        <v>2272</v>
      </c>
      <c r="U1201" s="198" t="s">
        <v>2272</v>
      </c>
      <c r="V1201" s="198" t="s">
        <v>2272</v>
      </c>
      <c r="W1201" s="198" t="s">
        <v>2272</v>
      </c>
      <c r="X1201" s="198" t="s">
        <v>2272</v>
      </c>
      <c r="Y1201" s="198" t="s">
        <v>2272</v>
      </c>
      <c r="Z1201" s="198" t="s">
        <v>2272</v>
      </c>
      <c r="AA1201" s="198" t="s">
        <v>2272</v>
      </c>
      <c r="AB1201" s="198" t="s">
        <v>2272</v>
      </c>
      <c r="AC1201" s="198" t="s">
        <v>2272</v>
      </c>
      <c r="AD1201" s="198"/>
      <c r="AE1201" s="198"/>
    </row>
    <row r="1202" spans="1:31" ht="28" customHeight="1">
      <c r="A1202" s="198" t="s">
        <v>3621</v>
      </c>
      <c r="B1202" s="198" t="s">
        <v>3631</v>
      </c>
      <c r="C1202" s="198" t="s">
        <v>23</v>
      </c>
      <c r="D1202" s="198" t="s">
        <v>26</v>
      </c>
      <c r="E1202" s="198" t="s">
        <v>128</v>
      </c>
      <c r="F1202" s="4" t="s">
        <v>2272</v>
      </c>
      <c r="G1202" s="198" t="s">
        <v>2272</v>
      </c>
      <c r="H1202" s="198" t="s">
        <v>521</v>
      </c>
      <c r="I1202" s="198"/>
      <c r="J1202" s="198" t="s">
        <v>2272</v>
      </c>
      <c r="K1202" s="198" t="s">
        <v>2272</v>
      </c>
      <c r="L1202" s="198" t="s">
        <v>2272</v>
      </c>
      <c r="M1202" s="198" t="s">
        <v>2272</v>
      </c>
      <c r="N1202" s="198" t="s">
        <v>2272</v>
      </c>
      <c r="O1202" s="198" t="s">
        <v>2272</v>
      </c>
      <c r="P1202" s="198" t="s">
        <v>2272</v>
      </c>
      <c r="Q1202" s="198" t="s">
        <v>2272</v>
      </c>
      <c r="R1202" s="198" t="s">
        <v>2272</v>
      </c>
      <c r="S1202" s="198" t="s">
        <v>2272</v>
      </c>
      <c r="T1202" s="198" t="s">
        <v>2272</v>
      </c>
      <c r="U1202" s="198" t="s">
        <v>2272</v>
      </c>
      <c r="V1202" s="198" t="s">
        <v>2272</v>
      </c>
      <c r="W1202" s="198" t="s">
        <v>2272</v>
      </c>
      <c r="X1202" s="198" t="s">
        <v>2272</v>
      </c>
      <c r="Y1202" s="198" t="s">
        <v>2272</v>
      </c>
      <c r="Z1202" s="198" t="s">
        <v>2272</v>
      </c>
      <c r="AA1202" s="198" t="s">
        <v>2272</v>
      </c>
      <c r="AB1202" s="198" t="s">
        <v>2272</v>
      </c>
      <c r="AC1202" s="198" t="s">
        <v>2272</v>
      </c>
      <c r="AD1202" s="198"/>
      <c r="AE1202" s="198"/>
    </row>
    <row r="1203" spans="1:31" ht="28" customHeight="1">
      <c r="A1203" s="198" t="s">
        <v>3624</v>
      </c>
      <c r="B1203" s="198" t="s">
        <v>3632</v>
      </c>
      <c r="C1203" s="198" t="s">
        <v>23</v>
      </c>
      <c r="D1203" s="198" t="s">
        <v>26</v>
      </c>
      <c r="E1203" s="198" t="s">
        <v>128</v>
      </c>
      <c r="F1203" s="4" t="s">
        <v>2272</v>
      </c>
      <c r="G1203" s="198" t="s">
        <v>2272</v>
      </c>
      <c r="H1203" s="198" t="s">
        <v>521</v>
      </c>
      <c r="I1203" s="198"/>
      <c r="J1203" s="198" t="s">
        <v>2272</v>
      </c>
      <c r="K1203" s="198" t="s">
        <v>2272</v>
      </c>
      <c r="L1203" s="198" t="s">
        <v>2272</v>
      </c>
      <c r="M1203" s="198" t="s">
        <v>2272</v>
      </c>
      <c r="N1203" s="198" t="s">
        <v>2272</v>
      </c>
      <c r="O1203" s="198" t="s">
        <v>2272</v>
      </c>
      <c r="P1203" s="198" t="s">
        <v>2272</v>
      </c>
      <c r="Q1203" s="198" t="s">
        <v>2272</v>
      </c>
      <c r="R1203" s="198" t="s">
        <v>2272</v>
      </c>
      <c r="S1203" s="198" t="s">
        <v>2272</v>
      </c>
      <c r="T1203" s="198" t="s">
        <v>2272</v>
      </c>
      <c r="U1203" s="198" t="s">
        <v>2272</v>
      </c>
      <c r="V1203" s="198" t="s">
        <v>2272</v>
      </c>
      <c r="W1203" s="198" t="s">
        <v>2272</v>
      </c>
      <c r="X1203" s="198" t="s">
        <v>2272</v>
      </c>
      <c r="Y1203" s="198" t="s">
        <v>2272</v>
      </c>
      <c r="Z1203" s="198" t="s">
        <v>2272</v>
      </c>
      <c r="AA1203" s="198" t="s">
        <v>2272</v>
      </c>
      <c r="AB1203" s="198" t="s">
        <v>2272</v>
      </c>
      <c r="AC1203" s="198" t="s">
        <v>2272</v>
      </c>
      <c r="AD1203" s="198"/>
      <c r="AE1203" s="198"/>
    </row>
    <row r="1204" spans="1:31" ht="27" customHeight="1">
      <c r="A1204" s="198" t="s">
        <v>3625</v>
      </c>
      <c r="B1204" s="198" t="s">
        <v>3633</v>
      </c>
      <c r="C1204" s="198" t="s">
        <v>23</v>
      </c>
      <c r="D1204" s="198" t="s">
        <v>26</v>
      </c>
      <c r="E1204" s="198" t="s">
        <v>128</v>
      </c>
      <c r="F1204" s="4" t="s">
        <v>2272</v>
      </c>
      <c r="G1204" s="198" t="s">
        <v>2272</v>
      </c>
      <c r="H1204" s="198" t="s">
        <v>521</v>
      </c>
      <c r="I1204" s="198">
        <v>2017</v>
      </c>
      <c r="J1204" s="198" t="s">
        <v>2272</v>
      </c>
      <c r="K1204" s="198" t="s">
        <v>2272</v>
      </c>
      <c r="L1204" s="198" t="s">
        <v>2272</v>
      </c>
      <c r="M1204" s="198" t="s">
        <v>2272</v>
      </c>
      <c r="N1204" s="198" t="s">
        <v>2272</v>
      </c>
      <c r="O1204" s="198" t="s">
        <v>2272</v>
      </c>
      <c r="P1204" s="198" t="s">
        <v>2272</v>
      </c>
      <c r="Q1204" s="198" t="s">
        <v>2272</v>
      </c>
      <c r="R1204" s="198" t="s">
        <v>2272</v>
      </c>
      <c r="S1204" s="198" t="s">
        <v>2272</v>
      </c>
      <c r="T1204" s="198" t="s">
        <v>2272</v>
      </c>
      <c r="U1204" s="198" t="s">
        <v>2272</v>
      </c>
      <c r="V1204" s="198" t="s">
        <v>2272</v>
      </c>
      <c r="W1204" s="198" t="s">
        <v>2272</v>
      </c>
      <c r="X1204" s="198" t="s">
        <v>2272</v>
      </c>
      <c r="Y1204" s="198" t="s">
        <v>2272</v>
      </c>
      <c r="Z1204" s="198" t="s">
        <v>2272</v>
      </c>
      <c r="AA1204" s="198" t="s">
        <v>2272</v>
      </c>
      <c r="AB1204" s="198" t="s">
        <v>2272</v>
      </c>
      <c r="AC1204" s="198" t="s">
        <v>2272</v>
      </c>
      <c r="AD1204" s="198"/>
      <c r="AE1204" s="198"/>
    </row>
    <row r="1205" spans="1:31" ht="24.5" customHeight="1">
      <c r="A1205" s="198" t="s">
        <v>3620</v>
      </c>
      <c r="B1205" s="198" t="s">
        <v>3634</v>
      </c>
      <c r="C1205" s="198" t="s">
        <v>23</v>
      </c>
      <c r="D1205" s="198" t="s">
        <v>142</v>
      </c>
      <c r="E1205" s="198" t="s">
        <v>135</v>
      </c>
      <c r="F1205" s="4" t="s">
        <v>2272</v>
      </c>
      <c r="G1205" s="198" t="s">
        <v>2272</v>
      </c>
      <c r="H1205" s="198" t="s">
        <v>521</v>
      </c>
      <c r="I1205" s="198"/>
      <c r="J1205" s="198" t="s">
        <v>2272</v>
      </c>
      <c r="K1205" s="198" t="s">
        <v>2272</v>
      </c>
      <c r="L1205" s="198" t="s">
        <v>2272</v>
      </c>
      <c r="M1205" s="198" t="s">
        <v>2272</v>
      </c>
      <c r="N1205" s="198" t="s">
        <v>2272</v>
      </c>
      <c r="O1205" s="198" t="s">
        <v>2272</v>
      </c>
      <c r="P1205" s="198" t="s">
        <v>2272</v>
      </c>
      <c r="Q1205" s="198" t="s">
        <v>2272</v>
      </c>
      <c r="R1205" s="198" t="s">
        <v>2272</v>
      </c>
      <c r="S1205" s="198" t="s">
        <v>2272</v>
      </c>
      <c r="T1205" s="198" t="s">
        <v>2272</v>
      </c>
      <c r="U1205" s="198" t="s">
        <v>2272</v>
      </c>
      <c r="V1205" s="198" t="s">
        <v>2272</v>
      </c>
      <c r="W1205" s="198" t="s">
        <v>2272</v>
      </c>
      <c r="X1205" s="198" t="s">
        <v>2272</v>
      </c>
      <c r="Y1205" s="198" t="s">
        <v>2272</v>
      </c>
      <c r="Z1205" s="198" t="s">
        <v>2272</v>
      </c>
      <c r="AA1205" s="198" t="s">
        <v>2272</v>
      </c>
      <c r="AB1205" s="198" t="s">
        <v>2272</v>
      </c>
      <c r="AC1205" s="198" t="s">
        <v>2272</v>
      </c>
      <c r="AD1205" s="198"/>
      <c r="AE1205" s="198"/>
    </row>
    <row r="1206" spans="1:31" ht="24.5" customHeight="1">
      <c r="A1206" s="198" t="s">
        <v>3621</v>
      </c>
      <c r="B1206" s="198" t="s">
        <v>3635</v>
      </c>
      <c r="C1206" s="198" t="s">
        <v>23</v>
      </c>
      <c r="D1206" s="198" t="s">
        <v>142</v>
      </c>
      <c r="E1206" s="198" t="s">
        <v>135</v>
      </c>
      <c r="F1206" s="4" t="s">
        <v>2272</v>
      </c>
      <c r="G1206" s="198" t="s">
        <v>2272</v>
      </c>
      <c r="H1206" s="198" t="s">
        <v>521</v>
      </c>
      <c r="I1206" s="198"/>
      <c r="J1206" s="198" t="s">
        <v>2272</v>
      </c>
      <c r="K1206" s="198" t="s">
        <v>2272</v>
      </c>
      <c r="L1206" s="198" t="s">
        <v>2272</v>
      </c>
      <c r="M1206" s="198" t="s">
        <v>2272</v>
      </c>
      <c r="N1206" s="198" t="s">
        <v>2272</v>
      </c>
      <c r="O1206" s="198" t="s">
        <v>2272</v>
      </c>
      <c r="P1206" s="198" t="s">
        <v>2272</v>
      </c>
      <c r="Q1206" s="198" t="s">
        <v>2272</v>
      </c>
      <c r="R1206" s="198" t="s">
        <v>2272</v>
      </c>
      <c r="S1206" s="198" t="s">
        <v>2272</v>
      </c>
      <c r="T1206" s="198" t="s">
        <v>2272</v>
      </c>
      <c r="U1206" s="198" t="s">
        <v>2272</v>
      </c>
      <c r="V1206" s="198" t="s">
        <v>2272</v>
      </c>
      <c r="W1206" s="198" t="s">
        <v>2272</v>
      </c>
      <c r="X1206" s="198" t="s">
        <v>2272</v>
      </c>
      <c r="Y1206" s="198" t="s">
        <v>2272</v>
      </c>
      <c r="Z1206" s="198" t="s">
        <v>2272</v>
      </c>
      <c r="AA1206" s="198" t="s">
        <v>2272</v>
      </c>
      <c r="AB1206" s="198" t="s">
        <v>2272</v>
      </c>
      <c r="AC1206" s="198" t="s">
        <v>2272</v>
      </c>
      <c r="AD1206" s="198"/>
      <c r="AE1206" s="198"/>
    </row>
    <row r="1207" spans="1:31" ht="24.5" customHeight="1">
      <c r="A1207" s="198" t="s">
        <v>3624</v>
      </c>
      <c r="B1207" s="198" t="s">
        <v>3636</v>
      </c>
      <c r="C1207" s="198" t="s">
        <v>23</v>
      </c>
      <c r="D1207" s="198" t="s">
        <v>142</v>
      </c>
      <c r="E1207" s="198" t="s">
        <v>135</v>
      </c>
      <c r="F1207" s="4" t="s">
        <v>2272</v>
      </c>
      <c r="G1207" s="198" t="s">
        <v>2272</v>
      </c>
      <c r="H1207" s="198" t="s">
        <v>521</v>
      </c>
      <c r="I1207" s="198"/>
      <c r="J1207" s="198" t="s">
        <v>2272</v>
      </c>
      <c r="K1207" s="198" t="s">
        <v>2272</v>
      </c>
      <c r="L1207" s="198" t="s">
        <v>2272</v>
      </c>
      <c r="M1207" s="198" t="s">
        <v>2272</v>
      </c>
      <c r="N1207" s="198" t="s">
        <v>2272</v>
      </c>
      <c r="O1207" s="198" t="s">
        <v>2272</v>
      </c>
      <c r="P1207" s="198" t="s">
        <v>2272</v>
      </c>
      <c r="Q1207" s="198" t="s">
        <v>2272</v>
      </c>
      <c r="R1207" s="198" t="s">
        <v>2272</v>
      </c>
      <c r="S1207" s="198" t="s">
        <v>2272</v>
      </c>
      <c r="T1207" s="198" t="s">
        <v>2272</v>
      </c>
      <c r="U1207" s="198" t="s">
        <v>2272</v>
      </c>
      <c r="V1207" s="198" t="s">
        <v>2272</v>
      </c>
      <c r="W1207" s="198" t="s">
        <v>2272</v>
      </c>
      <c r="X1207" s="198" t="s">
        <v>2272</v>
      </c>
      <c r="Y1207" s="198" t="s">
        <v>2272</v>
      </c>
      <c r="Z1207" s="198" t="s">
        <v>2272</v>
      </c>
      <c r="AA1207" s="198" t="s">
        <v>2272</v>
      </c>
      <c r="AB1207" s="198" t="s">
        <v>2272</v>
      </c>
      <c r="AC1207" s="198" t="s">
        <v>2272</v>
      </c>
      <c r="AD1207" s="198"/>
      <c r="AE1207" s="198"/>
    </row>
    <row r="1208" spans="1:31" ht="66" customHeight="1">
      <c r="A1208" s="198" t="s">
        <v>3659</v>
      </c>
      <c r="B1208" s="198" t="s">
        <v>3664</v>
      </c>
      <c r="C1208" s="198" t="s">
        <v>23</v>
      </c>
      <c r="D1208" s="198" t="s">
        <v>26</v>
      </c>
      <c r="E1208" s="4" t="s">
        <v>395</v>
      </c>
      <c r="F1208" s="4" t="s">
        <v>27</v>
      </c>
      <c r="G1208" s="198" t="s">
        <v>27</v>
      </c>
      <c r="H1208" s="198" t="s">
        <v>521</v>
      </c>
      <c r="I1208" s="198"/>
      <c r="J1208" s="198" t="s">
        <v>2272</v>
      </c>
      <c r="K1208" s="198" t="s">
        <v>2272</v>
      </c>
      <c r="L1208" s="198" t="s">
        <v>2272</v>
      </c>
      <c r="M1208" s="198" t="s">
        <v>2272</v>
      </c>
      <c r="N1208" s="198" t="s">
        <v>2272</v>
      </c>
      <c r="O1208" s="198" t="s">
        <v>2272</v>
      </c>
      <c r="P1208" s="198" t="s">
        <v>2272</v>
      </c>
      <c r="Q1208" s="198" t="s">
        <v>2272</v>
      </c>
      <c r="R1208" s="198" t="s">
        <v>2272</v>
      </c>
      <c r="S1208" s="198" t="s">
        <v>2272</v>
      </c>
      <c r="T1208" s="198" t="s">
        <v>2272</v>
      </c>
      <c r="U1208" s="198" t="s">
        <v>2272</v>
      </c>
      <c r="V1208" s="198" t="s">
        <v>2272</v>
      </c>
      <c r="W1208" s="198" t="s">
        <v>2272</v>
      </c>
      <c r="X1208" s="198" t="s">
        <v>2272</v>
      </c>
      <c r="Y1208" s="198" t="s">
        <v>2272</v>
      </c>
      <c r="Z1208" s="198" t="s">
        <v>2272</v>
      </c>
      <c r="AA1208" s="198" t="s">
        <v>403</v>
      </c>
      <c r="AB1208" s="198" t="s">
        <v>67</v>
      </c>
      <c r="AC1208" s="198" t="s">
        <v>63</v>
      </c>
      <c r="AD1208" s="198"/>
      <c r="AE1208" s="198"/>
    </row>
    <row r="1209" spans="1:31" ht="66" customHeight="1">
      <c r="A1209" s="198" t="s">
        <v>3659</v>
      </c>
      <c r="B1209" s="198" t="s">
        <v>3665</v>
      </c>
      <c r="C1209" s="198" t="s">
        <v>2453</v>
      </c>
      <c r="D1209" s="198" t="s">
        <v>2227</v>
      </c>
      <c r="E1209" s="4" t="s">
        <v>395</v>
      </c>
      <c r="F1209" s="4" t="s">
        <v>2272</v>
      </c>
      <c r="G1209" s="198" t="s">
        <v>2272</v>
      </c>
      <c r="H1209" s="198" t="s">
        <v>521</v>
      </c>
      <c r="I1209" s="198"/>
      <c r="J1209" s="198" t="s">
        <v>2272</v>
      </c>
      <c r="K1209" s="198" t="s">
        <v>2272</v>
      </c>
      <c r="L1209" s="198" t="s">
        <v>2272</v>
      </c>
      <c r="M1209" s="198" t="s">
        <v>2272</v>
      </c>
      <c r="N1209" s="198" t="s">
        <v>2272</v>
      </c>
      <c r="O1209" s="198" t="s">
        <v>2272</v>
      </c>
      <c r="P1209" s="198" t="s">
        <v>2272</v>
      </c>
      <c r="Q1209" s="198" t="s">
        <v>2272</v>
      </c>
      <c r="R1209" s="198" t="s">
        <v>2272</v>
      </c>
      <c r="S1209" s="198" t="s">
        <v>2272</v>
      </c>
      <c r="T1209" s="198" t="s">
        <v>2272</v>
      </c>
      <c r="U1209" s="198" t="s">
        <v>2272</v>
      </c>
      <c r="V1209" s="198" t="s">
        <v>2272</v>
      </c>
      <c r="W1209" s="198" t="s">
        <v>2272</v>
      </c>
      <c r="X1209" s="198" t="s">
        <v>2272</v>
      </c>
      <c r="Y1209" s="198" t="s">
        <v>2272</v>
      </c>
      <c r="Z1209" s="198" t="s">
        <v>2272</v>
      </c>
      <c r="AA1209" s="198" t="s">
        <v>403</v>
      </c>
      <c r="AB1209" s="198" t="s">
        <v>67</v>
      </c>
      <c r="AC1209" s="198" t="s">
        <v>63</v>
      </c>
      <c r="AD1209" s="198"/>
      <c r="AE1209" s="198"/>
    </row>
    <row r="1210" spans="1:31" ht="66" customHeight="1">
      <c r="A1210" s="198" t="s">
        <v>3659</v>
      </c>
      <c r="B1210" s="198" t="s">
        <v>3666</v>
      </c>
      <c r="C1210" s="198" t="s">
        <v>2453</v>
      </c>
      <c r="D1210" s="198" t="s">
        <v>2227</v>
      </c>
      <c r="E1210" s="4" t="s">
        <v>394</v>
      </c>
      <c r="F1210" s="4" t="s">
        <v>2272</v>
      </c>
      <c r="G1210" s="198" t="s">
        <v>2272</v>
      </c>
      <c r="H1210" s="198" t="s">
        <v>521</v>
      </c>
      <c r="I1210" s="198"/>
      <c r="J1210" s="198" t="s">
        <v>2272</v>
      </c>
      <c r="K1210" s="198" t="s">
        <v>2272</v>
      </c>
      <c r="L1210" s="198" t="s">
        <v>2272</v>
      </c>
      <c r="M1210" s="198" t="s">
        <v>2272</v>
      </c>
      <c r="N1210" s="198" t="s">
        <v>2272</v>
      </c>
      <c r="O1210" s="198" t="s">
        <v>2272</v>
      </c>
      <c r="P1210" s="198" t="s">
        <v>2272</v>
      </c>
      <c r="Q1210" s="198" t="s">
        <v>2272</v>
      </c>
      <c r="R1210" s="198" t="s">
        <v>2272</v>
      </c>
      <c r="S1210" s="198" t="s">
        <v>2272</v>
      </c>
      <c r="T1210" s="198" t="s">
        <v>2272</v>
      </c>
      <c r="U1210" s="198" t="s">
        <v>2272</v>
      </c>
      <c r="V1210" s="198" t="s">
        <v>2272</v>
      </c>
      <c r="W1210" s="198" t="s">
        <v>2272</v>
      </c>
      <c r="X1210" s="198" t="s">
        <v>2272</v>
      </c>
      <c r="Y1210" s="198" t="s">
        <v>2272</v>
      </c>
      <c r="Z1210" s="198" t="s">
        <v>2272</v>
      </c>
      <c r="AA1210" s="198" t="s">
        <v>403</v>
      </c>
      <c r="AB1210" s="198" t="s">
        <v>67</v>
      </c>
      <c r="AC1210" s="198" t="s">
        <v>63</v>
      </c>
      <c r="AD1210" s="198"/>
      <c r="AE1210" s="198"/>
    </row>
    <row r="1211" spans="1:31" ht="97" customHeight="1">
      <c r="A1211" s="198" t="s">
        <v>3659</v>
      </c>
      <c r="B1211" s="198" t="s">
        <v>3667</v>
      </c>
      <c r="C1211" s="198" t="s">
        <v>2653</v>
      </c>
      <c r="D1211" s="198" t="s">
        <v>1102</v>
      </c>
      <c r="E1211" s="4" t="s">
        <v>395</v>
      </c>
      <c r="F1211" s="4" t="s">
        <v>2272</v>
      </c>
      <c r="G1211" s="198" t="s">
        <v>2272</v>
      </c>
      <c r="H1211" s="198" t="s">
        <v>521</v>
      </c>
      <c r="I1211" s="198">
        <v>2009</v>
      </c>
      <c r="J1211" s="198" t="s">
        <v>2272</v>
      </c>
      <c r="K1211" s="198" t="s">
        <v>2272</v>
      </c>
      <c r="L1211" s="198" t="s">
        <v>2272</v>
      </c>
      <c r="M1211" s="198" t="s">
        <v>2272</v>
      </c>
      <c r="N1211" s="198" t="s">
        <v>2272</v>
      </c>
      <c r="O1211" s="198" t="s">
        <v>2272</v>
      </c>
      <c r="P1211" s="198" t="s">
        <v>2272</v>
      </c>
      <c r="Q1211" s="198" t="s">
        <v>2272</v>
      </c>
      <c r="R1211" s="198" t="s">
        <v>2272</v>
      </c>
      <c r="S1211" s="198" t="s">
        <v>2272</v>
      </c>
      <c r="T1211" s="198" t="s">
        <v>2272</v>
      </c>
      <c r="U1211" s="198" t="s">
        <v>2272</v>
      </c>
      <c r="V1211" s="198" t="s">
        <v>2272</v>
      </c>
      <c r="W1211" s="198" t="s">
        <v>2272</v>
      </c>
      <c r="X1211" s="198" t="s">
        <v>2272</v>
      </c>
      <c r="Y1211" s="198" t="s">
        <v>2272</v>
      </c>
      <c r="Z1211" s="198" t="s">
        <v>2272</v>
      </c>
      <c r="AA1211" s="198" t="s">
        <v>403</v>
      </c>
      <c r="AB1211" s="198" t="s">
        <v>67</v>
      </c>
      <c r="AC1211" s="198" t="s">
        <v>63</v>
      </c>
      <c r="AD1211" s="4" t="s">
        <v>3687</v>
      </c>
      <c r="AE1211" s="4" t="s">
        <v>3685</v>
      </c>
    </row>
    <row r="1212" spans="1:31" ht="97" customHeight="1">
      <c r="A1212" s="198" t="s">
        <v>3659</v>
      </c>
      <c r="B1212" s="198" t="s">
        <v>3669</v>
      </c>
      <c r="C1212" s="198" t="s">
        <v>2653</v>
      </c>
      <c r="D1212" s="198" t="s">
        <v>2227</v>
      </c>
      <c r="E1212" s="4" t="s">
        <v>394</v>
      </c>
      <c r="F1212" s="4" t="s">
        <v>2272</v>
      </c>
      <c r="G1212" s="198" t="s">
        <v>2272</v>
      </c>
      <c r="H1212" s="198" t="s">
        <v>521</v>
      </c>
      <c r="I1212" s="198">
        <v>2009</v>
      </c>
      <c r="J1212" s="198" t="s">
        <v>2272</v>
      </c>
      <c r="K1212" s="198" t="s">
        <v>2272</v>
      </c>
      <c r="L1212" s="198" t="s">
        <v>2272</v>
      </c>
      <c r="M1212" s="198" t="s">
        <v>2272</v>
      </c>
      <c r="N1212" s="198" t="s">
        <v>2272</v>
      </c>
      <c r="O1212" s="198" t="s">
        <v>2272</v>
      </c>
      <c r="P1212" s="198" t="s">
        <v>2272</v>
      </c>
      <c r="Q1212" s="198" t="s">
        <v>2272</v>
      </c>
      <c r="R1212" s="198" t="s">
        <v>2272</v>
      </c>
      <c r="S1212" s="198" t="s">
        <v>2272</v>
      </c>
      <c r="T1212" s="198" t="s">
        <v>2272</v>
      </c>
      <c r="U1212" s="198" t="s">
        <v>2272</v>
      </c>
      <c r="V1212" s="198" t="s">
        <v>2272</v>
      </c>
      <c r="W1212" s="198" t="s">
        <v>2272</v>
      </c>
      <c r="X1212" s="198" t="s">
        <v>2272</v>
      </c>
      <c r="Y1212" s="198" t="s">
        <v>2272</v>
      </c>
      <c r="Z1212" s="198" t="s">
        <v>2272</v>
      </c>
      <c r="AA1212" s="198" t="s">
        <v>403</v>
      </c>
      <c r="AB1212" s="198" t="s">
        <v>67</v>
      </c>
      <c r="AC1212" s="198" t="s">
        <v>63</v>
      </c>
      <c r="AD1212" s="4" t="s">
        <v>3684</v>
      </c>
      <c r="AE1212" s="4" t="s">
        <v>3686</v>
      </c>
    </row>
    <row r="1213" spans="1:31" ht="97" customHeight="1">
      <c r="A1213" s="198" t="s">
        <v>3659</v>
      </c>
      <c r="B1213" s="198" t="s">
        <v>3671</v>
      </c>
      <c r="C1213" s="198" t="s">
        <v>2653</v>
      </c>
      <c r="D1213" s="198" t="s">
        <v>1102</v>
      </c>
      <c r="E1213" s="4" t="s">
        <v>395</v>
      </c>
      <c r="F1213" s="4" t="s">
        <v>2272</v>
      </c>
      <c r="G1213" s="198" t="s">
        <v>2272</v>
      </c>
      <c r="H1213" s="198" t="s">
        <v>521</v>
      </c>
      <c r="I1213" s="198">
        <v>2010</v>
      </c>
      <c r="J1213" s="198" t="s">
        <v>2272</v>
      </c>
      <c r="K1213" s="198" t="s">
        <v>2272</v>
      </c>
      <c r="L1213" s="198" t="s">
        <v>2272</v>
      </c>
      <c r="M1213" s="198" t="s">
        <v>2272</v>
      </c>
      <c r="N1213" s="198" t="s">
        <v>2272</v>
      </c>
      <c r="O1213" s="198" t="s">
        <v>2272</v>
      </c>
      <c r="P1213" s="198" t="s">
        <v>2272</v>
      </c>
      <c r="Q1213" s="198" t="s">
        <v>2272</v>
      </c>
      <c r="R1213" s="198" t="s">
        <v>2272</v>
      </c>
      <c r="S1213" s="198" t="s">
        <v>2272</v>
      </c>
      <c r="T1213" s="198" t="s">
        <v>2272</v>
      </c>
      <c r="U1213" s="198" t="s">
        <v>2272</v>
      </c>
      <c r="V1213" s="198" t="s">
        <v>2272</v>
      </c>
      <c r="W1213" s="198" t="s">
        <v>2272</v>
      </c>
      <c r="X1213" s="198" t="s">
        <v>2272</v>
      </c>
      <c r="Y1213" s="198" t="s">
        <v>2272</v>
      </c>
      <c r="Z1213" s="198" t="s">
        <v>2272</v>
      </c>
      <c r="AA1213" s="198" t="s">
        <v>403</v>
      </c>
      <c r="AB1213" s="198" t="s">
        <v>67</v>
      </c>
      <c r="AC1213" s="198" t="s">
        <v>63</v>
      </c>
      <c r="AD1213" s="4" t="s">
        <v>3687</v>
      </c>
      <c r="AE1213" s="4" t="s">
        <v>3685</v>
      </c>
    </row>
    <row r="1214" spans="1:31" ht="97" customHeight="1">
      <c r="A1214" s="198" t="s">
        <v>3659</v>
      </c>
      <c r="B1214" s="198" t="s">
        <v>3672</v>
      </c>
      <c r="C1214" s="198" t="s">
        <v>2653</v>
      </c>
      <c r="D1214" s="198" t="s">
        <v>2227</v>
      </c>
      <c r="E1214" s="4" t="s">
        <v>394</v>
      </c>
      <c r="F1214" s="4" t="s">
        <v>2272</v>
      </c>
      <c r="G1214" s="198" t="s">
        <v>2272</v>
      </c>
      <c r="H1214" s="198" t="s">
        <v>521</v>
      </c>
      <c r="I1214" s="198">
        <v>2010</v>
      </c>
      <c r="J1214" s="198" t="s">
        <v>2272</v>
      </c>
      <c r="K1214" s="198" t="s">
        <v>2272</v>
      </c>
      <c r="L1214" s="198" t="s">
        <v>2272</v>
      </c>
      <c r="M1214" s="198" t="s">
        <v>2272</v>
      </c>
      <c r="N1214" s="198" t="s">
        <v>2272</v>
      </c>
      <c r="O1214" s="198" t="s">
        <v>2272</v>
      </c>
      <c r="P1214" s="198" t="s">
        <v>2272</v>
      </c>
      <c r="Q1214" s="198" t="s">
        <v>2272</v>
      </c>
      <c r="R1214" s="198" t="s">
        <v>2272</v>
      </c>
      <c r="S1214" s="198" t="s">
        <v>2272</v>
      </c>
      <c r="T1214" s="198" t="s">
        <v>2272</v>
      </c>
      <c r="U1214" s="198" t="s">
        <v>2272</v>
      </c>
      <c r="V1214" s="198" t="s">
        <v>2272</v>
      </c>
      <c r="W1214" s="198" t="s">
        <v>2272</v>
      </c>
      <c r="X1214" s="198" t="s">
        <v>2272</v>
      </c>
      <c r="Y1214" s="198" t="s">
        <v>2272</v>
      </c>
      <c r="Z1214" s="198" t="s">
        <v>2272</v>
      </c>
      <c r="AA1214" s="198" t="s">
        <v>403</v>
      </c>
      <c r="AB1214" s="198" t="s">
        <v>67</v>
      </c>
      <c r="AC1214" s="198" t="s">
        <v>63</v>
      </c>
      <c r="AD1214" s="4" t="s">
        <v>3684</v>
      </c>
      <c r="AE1214" s="4" t="s">
        <v>3686</v>
      </c>
    </row>
    <row r="1215" spans="1:31" ht="97" customHeight="1">
      <c r="A1215" s="198" t="s">
        <v>3659</v>
      </c>
      <c r="B1215" s="198" t="s">
        <v>3673</v>
      </c>
      <c r="C1215" s="198" t="s">
        <v>2653</v>
      </c>
      <c r="D1215" s="198" t="s">
        <v>1102</v>
      </c>
      <c r="E1215" s="4" t="s">
        <v>395</v>
      </c>
      <c r="F1215" s="4" t="s">
        <v>2272</v>
      </c>
      <c r="G1215" s="198" t="s">
        <v>2272</v>
      </c>
      <c r="H1215" s="198" t="s">
        <v>521</v>
      </c>
      <c r="I1215" s="198">
        <v>2011</v>
      </c>
      <c r="J1215" s="198" t="s">
        <v>2272</v>
      </c>
      <c r="K1215" s="198" t="s">
        <v>2272</v>
      </c>
      <c r="L1215" s="198" t="s">
        <v>2272</v>
      </c>
      <c r="M1215" s="198" t="s">
        <v>2272</v>
      </c>
      <c r="N1215" s="198" t="s">
        <v>2272</v>
      </c>
      <c r="O1215" s="198" t="s">
        <v>2272</v>
      </c>
      <c r="P1215" s="198" t="s">
        <v>2272</v>
      </c>
      <c r="Q1215" s="198" t="s">
        <v>2272</v>
      </c>
      <c r="R1215" s="198" t="s">
        <v>2272</v>
      </c>
      <c r="S1215" s="198" t="s">
        <v>2272</v>
      </c>
      <c r="T1215" s="198" t="s">
        <v>2272</v>
      </c>
      <c r="U1215" s="198" t="s">
        <v>2272</v>
      </c>
      <c r="V1215" s="198" t="s">
        <v>2272</v>
      </c>
      <c r="W1215" s="198" t="s">
        <v>2272</v>
      </c>
      <c r="X1215" s="198" t="s">
        <v>2272</v>
      </c>
      <c r="Y1215" s="198" t="s">
        <v>2272</v>
      </c>
      <c r="Z1215" s="198" t="s">
        <v>2272</v>
      </c>
      <c r="AA1215" s="198" t="s">
        <v>403</v>
      </c>
      <c r="AB1215" s="198" t="s">
        <v>67</v>
      </c>
      <c r="AC1215" s="198" t="s">
        <v>63</v>
      </c>
      <c r="AD1215" s="4" t="s">
        <v>3687</v>
      </c>
      <c r="AE1215" s="4" t="s">
        <v>3685</v>
      </c>
    </row>
    <row r="1216" spans="1:31" ht="97" customHeight="1">
      <c r="A1216" s="198" t="s">
        <v>3659</v>
      </c>
      <c r="B1216" s="198" t="s">
        <v>3674</v>
      </c>
      <c r="C1216" s="198" t="s">
        <v>2653</v>
      </c>
      <c r="D1216" s="198" t="s">
        <v>2227</v>
      </c>
      <c r="E1216" s="4" t="s">
        <v>394</v>
      </c>
      <c r="F1216" s="4" t="s">
        <v>2272</v>
      </c>
      <c r="G1216" s="198" t="s">
        <v>2272</v>
      </c>
      <c r="H1216" s="198" t="s">
        <v>521</v>
      </c>
      <c r="I1216" s="198">
        <v>2011</v>
      </c>
      <c r="J1216" s="198" t="s">
        <v>2272</v>
      </c>
      <c r="K1216" s="198" t="s">
        <v>2272</v>
      </c>
      <c r="L1216" s="198" t="s">
        <v>2272</v>
      </c>
      <c r="M1216" s="198" t="s">
        <v>2272</v>
      </c>
      <c r="N1216" s="198" t="s">
        <v>2272</v>
      </c>
      <c r="O1216" s="198" t="s">
        <v>2272</v>
      </c>
      <c r="P1216" s="198" t="s">
        <v>2272</v>
      </c>
      <c r="Q1216" s="198" t="s">
        <v>2272</v>
      </c>
      <c r="R1216" s="198" t="s">
        <v>2272</v>
      </c>
      <c r="S1216" s="198" t="s">
        <v>2272</v>
      </c>
      <c r="T1216" s="198" t="s">
        <v>2272</v>
      </c>
      <c r="U1216" s="198" t="s">
        <v>2272</v>
      </c>
      <c r="V1216" s="198" t="s">
        <v>2272</v>
      </c>
      <c r="W1216" s="198" t="s">
        <v>2272</v>
      </c>
      <c r="X1216" s="198" t="s">
        <v>2272</v>
      </c>
      <c r="Y1216" s="198" t="s">
        <v>2272</v>
      </c>
      <c r="Z1216" s="198" t="s">
        <v>2272</v>
      </c>
      <c r="AA1216" s="198" t="s">
        <v>403</v>
      </c>
      <c r="AB1216" s="198" t="s">
        <v>67</v>
      </c>
      <c r="AC1216" s="198" t="s">
        <v>63</v>
      </c>
      <c r="AD1216" s="4" t="s">
        <v>3684</v>
      </c>
      <c r="AE1216" s="4" t="s">
        <v>3686</v>
      </c>
    </row>
    <row r="1217" spans="1:31" ht="97" customHeight="1">
      <c r="A1217" s="198" t="s">
        <v>3659</v>
      </c>
      <c r="B1217" s="198" t="s">
        <v>3677</v>
      </c>
      <c r="C1217" s="198" t="s">
        <v>2653</v>
      </c>
      <c r="D1217" s="198" t="s">
        <v>1102</v>
      </c>
      <c r="E1217" s="4" t="s">
        <v>395</v>
      </c>
      <c r="F1217" s="4" t="s">
        <v>2272</v>
      </c>
      <c r="G1217" s="198" t="s">
        <v>2272</v>
      </c>
      <c r="H1217" s="198" t="s">
        <v>521</v>
      </c>
      <c r="I1217" s="198">
        <v>2012</v>
      </c>
      <c r="J1217" s="198" t="s">
        <v>2272</v>
      </c>
      <c r="K1217" s="198" t="s">
        <v>2272</v>
      </c>
      <c r="L1217" s="198" t="s">
        <v>2272</v>
      </c>
      <c r="M1217" s="198" t="s">
        <v>2272</v>
      </c>
      <c r="N1217" s="198" t="s">
        <v>2272</v>
      </c>
      <c r="O1217" s="198" t="s">
        <v>2272</v>
      </c>
      <c r="P1217" s="198" t="s">
        <v>2272</v>
      </c>
      <c r="Q1217" s="198" t="s">
        <v>2272</v>
      </c>
      <c r="R1217" s="198" t="s">
        <v>2272</v>
      </c>
      <c r="S1217" s="198" t="s">
        <v>2272</v>
      </c>
      <c r="T1217" s="198" t="s">
        <v>2272</v>
      </c>
      <c r="U1217" s="198" t="s">
        <v>2272</v>
      </c>
      <c r="V1217" s="198" t="s">
        <v>2272</v>
      </c>
      <c r="W1217" s="198" t="s">
        <v>2272</v>
      </c>
      <c r="X1217" s="198" t="s">
        <v>2272</v>
      </c>
      <c r="Y1217" s="198" t="s">
        <v>2272</v>
      </c>
      <c r="Z1217" s="198" t="s">
        <v>2272</v>
      </c>
      <c r="AA1217" s="198" t="s">
        <v>403</v>
      </c>
      <c r="AB1217" s="198" t="s">
        <v>67</v>
      </c>
      <c r="AC1217" s="198" t="s">
        <v>63</v>
      </c>
      <c r="AD1217" s="4" t="s">
        <v>3687</v>
      </c>
      <c r="AE1217" s="4" t="s">
        <v>3685</v>
      </c>
    </row>
    <row r="1218" spans="1:31" ht="97" customHeight="1">
      <c r="A1218" s="198" t="s">
        <v>3659</v>
      </c>
      <c r="B1218" s="198" t="s">
        <v>3678</v>
      </c>
      <c r="C1218" s="198" t="s">
        <v>2653</v>
      </c>
      <c r="D1218" s="198" t="s">
        <v>2227</v>
      </c>
      <c r="E1218" s="4" t="s">
        <v>394</v>
      </c>
      <c r="F1218" s="4" t="s">
        <v>2272</v>
      </c>
      <c r="G1218" s="198" t="s">
        <v>2272</v>
      </c>
      <c r="H1218" s="198" t="s">
        <v>521</v>
      </c>
      <c r="I1218" s="198">
        <v>2012</v>
      </c>
      <c r="J1218" s="198" t="s">
        <v>2272</v>
      </c>
      <c r="K1218" s="198" t="s">
        <v>2272</v>
      </c>
      <c r="L1218" s="198" t="s">
        <v>2272</v>
      </c>
      <c r="M1218" s="198" t="s">
        <v>2272</v>
      </c>
      <c r="N1218" s="198" t="s">
        <v>2272</v>
      </c>
      <c r="O1218" s="198" t="s">
        <v>2272</v>
      </c>
      <c r="P1218" s="198" t="s">
        <v>2272</v>
      </c>
      <c r="Q1218" s="198" t="s">
        <v>2272</v>
      </c>
      <c r="R1218" s="198" t="s">
        <v>2272</v>
      </c>
      <c r="S1218" s="198" t="s">
        <v>2272</v>
      </c>
      <c r="T1218" s="198" t="s">
        <v>2272</v>
      </c>
      <c r="U1218" s="198" t="s">
        <v>2272</v>
      </c>
      <c r="V1218" s="198" t="s">
        <v>2272</v>
      </c>
      <c r="W1218" s="198" t="s">
        <v>2272</v>
      </c>
      <c r="X1218" s="198" t="s">
        <v>2272</v>
      </c>
      <c r="Y1218" s="198" t="s">
        <v>2272</v>
      </c>
      <c r="Z1218" s="198" t="s">
        <v>2272</v>
      </c>
      <c r="AA1218" s="198" t="s">
        <v>403</v>
      </c>
      <c r="AB1218" s="198" t="s">
        <v>67</v>
      </c>
      <c r="AC1218" s="198" t="s">
        <v>63</v>
      </c>
      <c r="AD1218" s="4" t="s">
        <v>3684</v>
      </c>
      <c r="AE1218" s="4" t="s">
        <v>3686</v>
      </c>
    </row>
    <row r="1219" spans="1:31" ht="89.5" customHeight="1">
      <c r="A1219" s="198" t="s">
        <v>3659</v>
      </c>
      <c r="B1219" s="198" t="s">
        <v>3679</v>
      </c>
      <c r="C1219" s="198" t="s">
        <v>23</v>
      </c>
      <c r="D1219" s="198" t="s">
        <v>2342</v>
      </c>
      <c r="E1219" s="198" t="s">
        <v>2272</v>
      </c>
      <c r="F1219" s="4" t="s">
        <v>2658</v>
      </c>
      <c r="G1219" s="198" t="s">
        <v>2272</v>
      </c>
      <c r="H1219" s="198" t="s">
        <v>521</v>
      </c>
      <c r="I1219" s="198"/>
      <c r="J1219" s="198" t="s">
        <v>2272</v>
      </c>
      <c r="K1219" s="198" t="s">
        <v>2272</v>
      </c>
      <c r="L1219" s="198" t="s">
        <v>2272</v>
      </c>
      <c r="M1219" s="198" t="s">
        <v>2272</v>
      </c>
      <c r="N1219" s="198" t="s">
        <v>2272</v>
      </c>
      <c r="O1219" s="198" t="s">
        <v>2272</v>
      </c>
      <c r="P1219" s="198" t="s">
        <v>2272</v>
      </c>
      <c r="Q1219" s="198" t="s">
        <v>2272</v>
      </c>
      <c r="R1219" s="198" t="s">
        <v>2272</v>
      </c>
      <c r="S1219" s="198" t="s">
        <v>2272</v>
      </c>
      <c r="T1219" s="198" t="s">
        <v>2272</v>
      </c>
      <c r="U1219" s="198" t="s">
        <v>2272</v>
      </c>
      <c r="V1219" s="198" t="s">
        <v>2272</v>
      </c>
      <c r="W1219" s="198" t="s">
        <v>2272</v>
      </c>
      <c r="X1219" s="198" t="s">
        <v>2272</v>
      </c>
      <c r="Y1219" s="198" t="s">
        <v>2272</v>
      </c>
      <c r="Z1219" s="198" t="s">
        <v>2272</v>
      </c>
      <c r="AA1219" s="198" t="s">
        <v>33</v>
      </c>
      <c r="AB1219" s="198" t="s">
        <v>34</v>
      </c>
      <c r="AC1219" s="198" t="s">
        <v>63</v>
      </c>
      <c r="AD1219" s="4" t="s">
        <v>3670</v>
      </c>
      <c r="AE1219" s="198"/>
    </row>
    <row r="1220" spans="1:31" ht="89.5" customHeight="1">
      <c r="A1220" s="198" t="s">
        <v>3659</v>
      </c>
      <c r="B1220" s="198" t="s">
        <v>3680</v>
      </c>
      <c r="C1220" s="198" t="s">
        <v>23</v>
      </c>
      <c r="D1220" s="198" t="s">
        <v>24</v>
      </c>
      <c r="E1220" s="198" t="s">
        <v>44</v>
      </c>
      <c r="F1220" s="4" t="s">
        <v>28</v>
      </c>
      <c r="G1220" s="198" t="s">
        <v>2272</v>
      </c>
      <c r="H1220" s="198" t="s">
        <v>521</v>
      </c>
      <c r="I1220" s="198"/>
      <c r="J1220" s="198" t="s">
        <v>2272</v>
      </c>
      <c r="K1220" s="198" t="s">
        <v>2272</v>
      </c>
      <c r="L1220" s="198" t="s">
        <v>2272</v>
      </c>
      <c r="M1220" s="198" t="s">
        <v>2272</v>
      </c>
      <c r="N1220" s="198" t="s">
        <v>2272</v>
      </c>
      <c r="O1220" s="198" t="s">
        <v>2272</v>
      </c>
      <c r="P1220" s="198" t="s">
        <v>2272</v>
      </c>
      <c r="Q1220" s="198" t="s">
        <v>2272</v>
      </c>
      <c r="R1220" s="198" t="s">
        <v>2272</v>
      </c>
      <c r="S1220" s="198" t="s">
        <v>2272</v>
      </c>
      <c r="T1220" s="198" t="s">
        <v>2272</v>
      </c>
      <c r="U1220" s="198" t="s">
        <v>2272</v>
      </c>
      <c r="V1220" s="198" t="s">
        <v>2272</v>
      </c>
      <c r="W1220" s="198" t="s">
        <v>2272</v>
      </c>
      <c r="X1220" s="198" t="s">
        <v>2272</v>
      </c>
      <c r="Y1220" s="198" t="s">
        <v>2272</v>
      </c>
      <c r="Z1220" s="198" t="s">
        <v>2272</v>
      </c>
      <c r="AA1220" s="198" t="s">
        <v>33</v>
      </c>
      <c r="AB1220" s="198" t="s">
        <v>34</v>
      </c>
      <c r="AC1220" s="198" t="s">
        <v>63</v>
      </c>
      <c r="AD1220" s="198"/>
      <c r="AE1220" s="198"/>
    </row>
    <row r="1221" spans="1:31" ht="89.5" customHeight="1">
      <c r="A1221" s="198" t="s">
        <v>3659</v>
      </c>
      <c r="B1221" s="198" t="s">
        <v>3681</v>
      </c>
      <c r="C1221" s="198" t="s">
        <v>23</v>
      </c>
      <c r="D1221" s="198" t="s">
        <v>1238</v>
      </c>
      <c r="E1221" s="198" t="s">
        <v>2272</v>
      </c>
      <c r="F1221" s="4" t="s">
        <v>2272</v>
      </c>
      <c r="G1221" s="198" t="s">
        <v>2272</v>
      </c>
      <c r="H1221" s="198" t="s">
        <v>521</v>
      </c>
      <c r="I1221" s="198"/>
      <c r="J1221" s="198" t="s">
        <v>2272</v>
      </c>
      <c r="K1221" s="198" t="s">
        <v>2272</v>
      </c>
      <c r="L1221" s="198" t="s">
        <v>2272</v>
      </c>
      <c r="M1221" s="198" t="s">
        <v>2272</v>
      </c>
      <c r="N1221" s="198" t="s">
        <v>2272</v>
      </c>
      <c r="O1221" s="198" t="s">
        <v>2272</v>
      </c>
      <c r="P1221" s="198" t="s">
        <v>2272</v>
      </c>
      <c r="Q1221" s="198" t="s">
        <v>2272</v>
      </c>
      <c r="R1221" s="198" t="s">
        <v>2272</v>
      </c>
      <c r="S1221" s="198" t="s">
        <v>2272</v>
      </c>
      <c r="T1221" s="198" t="s">
        <v>2272</v>
      </c>
      <c r="U1221" s="198" t="s">
        <v>2272</v>
      </c>
      <c r="V1221" s="198" t="s">
        <v>2272</v>
      </c>
      <c r="W1221" s="198" t="s">
        <v>2272</v>
      </c>
      <c r="X1221" s="198" t="s">
        <v>2272</v>
      </c>
      <c r="Y1221" s="198" t="s">
        <v>2272</v>
      </c>
      <c r="Z1221" s="198" t="s">
        <v>2272</v>
      </c>
      <c r="AA1221" s="198" t="s">
        <v>33</v>
      </c>
      <c r="AB1221" s="198" t="s">
        <v>34</v>
      </c>
      <c r="AC1221" s="198" t="s">
        <v>63</v>
      </c>
      <c r="AD1221" s="198"/>
      <c r="AE1221" s="198"/>
    </row>
    <row r="1222" spans="1:31" ht="89.5" customHeight="1">
      <c r="A1222" s="198" t="s">
        <v>3659</v>
      </c>
      <c r="B1222" s="198" t="s">
        <v>3682</v>
      </c>
      <c r="C1222" s="198" t="s">
        <v>2453</v>
      </c>
      <c r="D1222" s="198" t="s">
        <v>2989</v>
      </c>
      <c r="E1222" s="198" t="s">
        <v>2647</v>
      </c>
      <c r="F1222" s="4" t="s">
        <v>2272</v>
      </c>
      <c r="G1222" s="198" t="s">
        <v>2272</v>
      </c>
      <c r="H1222" s="198" t="s">
        <v>521</v>
      </c>
      <c r="I1222" s="198"/>
      <c r="J1222" s="198" t="s">
        <v>2272</v>
      </c>
      <c r="K1222" s="198" t="s">
        <v>2272</v>
      </c>
      <c r="L1222" s="198" t="s">
        <v>2272</v>
      </c>
      <c r="M1222" s="198" t="s">
        <v>2272</v>
      </c>
      <c r="N1222" s="198" t="s">
        <v>2272</v>
      </c>
      <c r="O1222" s="198" t="s">
        <v>2272</v>
      </c>
      <c r="P1222" s="198" t="s">
        <v>2272</v>
      </c>
      <c r="Q1222" s="198" t="s">
        <v>2272</v>
      </c>
      <c r="R1222" s="198" t="s">
        <v>2272</v>
      </c>
      <c r="S1222" s="198" t="s">
        <v>2272</v>
      </c>
      <c r="T1222" s="198" t="s">
        <v>2272</v>
      </c>
      <c r="U1222" s="198" t="s">
        <v>2272</v>
      </c>
      <c r="V1222" s="198" t="s">
        <v>2272</v>
      </c>
      <c r="W1222" s="198" t="s">
        <v>2272</v>
      </c>
      <c r="X1222" s="198" t="s">
        <v>2272</v>
      </c>
      <c r="Y1222" s="198" t="s">
        <v>2272</v>
      </c>
      <c r="Z1222" s="198" t="s">
        <v>2272</v>
      </c>
      <c r="AA1222" s="198" t="s">
        <v>33</v>
      </c>
      <c r="AB1222" s="198" t="s">
        <v>34</v>
      </c>
      <c r="AC1222" s="198" t="s">
        <v>63</v>
      </c>
      <c r="AD1222" s="198" t="s">
        <v>3675</v>
      </c>
      <c r="AE1222" s="198"/>
    </row>
    <row r="1223" spans="1:31" ht="89.5" customHeight="1">
      <c r="A1223" s="198" t="s">
        <v>3659</v>
      </c>
      <c r="B1223" s="198" t="s">
        <v>3683</v>
      </c>
      <c r="C1223" s="198" t="s">
        <v>30</v>
      </c>
      <c r="D1223" s="198" t="s">
        <v>2272</v>
      </c>
      <c r="E1223" s="198" t="s">
        <v>2648</v>
      </c>
      <c r="F1223" s="4" t="s">
        <v>2272</v>
      </c>
      <c r="G1223" s="198" t="s">
        <v>2272</v>
      </c>
      <c r="H1223" s="198" t="s">
        <v>521</v>
      </c>
      <c r="I1223" s="198"/>
      <c r="J1223" s="198" t="s">
        <v>2272</v>
      </c>
      <c r="K1223" s="198" t="s">
        <v>2272</v>
      </c>
      <c r="L1223" s="198" t="s">
        <v>2272</v>
      </c>
      <c r="M1223" s="198" t="s">
        <v>2272</v>
      </c>
      <c r="N1223" s="198" t="s">
        <v>2272</v>
      </c>
      <c r="O1223" s="198" t="s">
        <v>2272</v>
      </c>
      <c r="P1223" s="198" t="s">
        <v>2272</v>
      </c>
      <c r="Q1223" s="198" t="s">
        <v>2272</v>
      </c>
      <c r="R1223" s="198" t="s">
        <v>2272</v>
      </c>
      <c r="S1223" s="198" t="s">
        <v>2272</v>
      </c>
      <c r="T1223" s="198" t="s">
        <v>2272</v>
      </c>
      <c r="U1223" s="198" t="s">
        <v>2272</v>
      </c>
      <c r="V1223" s="198" t="s">
        <v>2272</v>
      </c>
      <c r="W1223" s="198" t="s">
        <v>2272</v>
      </c>
      <c r="X1223" s="198" t="s">
        <v>2272</v>
      </c>
      <c r="Y1223" s="198" t="s">
        <v>2272</v>
      </c>
      <c r="Z1223" s="198" t="s">
        <v>2272</v>
      </c>
      <c r="AA1223" s="198" t="s">
        <v>33</v>
      </c>
      <c r="AB1223" s="198" t="s">
        <v>34</v>
      </c>
      <c r="AC1223" s="198" t="s">
        <v>63</v>
      </c>
      <c r="AD1223" s="4" t="s">
        <v>3676</v>
      </c>
      <c r="AE1223" s="198"/>
    </row>
    <row r="1224" spans="1:31" ht="109.5" customHeight="1">
      <c r="A1224" s="198" t="s">
        <v>3661</v>
      </c>
      <c r="B1224" s="198" t="s">
        <v>3662</v>
      </c>
      <c r="C1224" s="198" t="s">
        <v>23</v>
      </c>
      <c r="D1224" s="198" t="s">
        <v>26</v>
      </c>
      <c r="E1224" s="198" t="s">
        <v>82</v>
      </c>
      <c r="F1224" s="4" t="s">
        <v>27</v>
      </c>
      <c r="G1224" s="198" t="s">
        <v>2272</v>
      </c>
      <c r="H1224" s="198" t="s">
        <v>522</v>
      </c>
      <c r="I1224" s="198"/>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1">
        <v>0</v>
      </c>
      <c r="Z1224" s="198" t="s">
        <v>2272</v>
      </c>
      <c r="AA1224" s="198" t="s">
        <v>2272</v>
      </c>
      <c r="AB1224" s="198" t="s">
        <v>2272</v>
      </c>
      <c r="AC1224" s="198" t="s">
        <v>2272</v>
      </c>
      <c r="AD1224" s="4" t="s">
        <v>3663</v>
      </c>
      <c r="AE1224" s="198"/>
    </row>
    <row r="1225" spans="1:31" ht="42.5" customHeight="1">
      <c r="A1225" s="198" t="s">
        <v>3695</v>
      </c>
      <c r="B1225" s="198" t="s">
        <v>3706</v>
      </c>
      <c r="C1225" s="198" t="s">
        <v>1102</v>
      </c>
      <c r="D1225" s="198" t="s">
        <v>1102</v>
      </c>
      <c r="E1225" s="198" t="s">
        <v>1102</v>
      </c>
      <c r="F1225" s="4" t="s">
        <v>2272</v>
      </c>
      <c r="G1225" s="198" t="s">
        <v>73</v>
      </c>
      <c r="H1225" s="198" t="s">
        <v>522</v>
      </c>
      <c r="I1225" s="198"/>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1">
        <v>0</v>
      </c>
      <c r="Z1225" s="198" t="s">
        <v>2272</v>
      </c>
      <c r="AA1225" s="198" t="s">
        <v>2272</v>
      </c>
      <c r="AB1225" s="198" t="s">
        <v>2272</v>
      </c>
      <c r="AC1225" s="198" t="s">
        <v>2272</v>
      </c>
      <c r="AD1225" s="4" t="s">
        <v>3702</v>
      </c>
      <c r="AE1225" s="198"/>
    </row>
    <row r="1226" spans="1:31" ht="42.5" customHeight="1">
      <c r="A1226" s="198" t="s">
        <v>3695</v>
      </c>
      <c r="B1226" s="198" t="s">
        <v>3704</v>
      </c>
      <c r="C1226" s="198" t="s">
        <v>1102</v>
      </c>
      <c r="D1226" s="198" t="s">
        <v>1102</v>
      </c>
      <c r="E1226" s="198" t="s">
        <v>1102</v>
      </c>
      <c r="F1226" s="4" t="s">
        <v>2272</v>
      </c>
      <c r="G1226" s="198" t="s">
        <v>54</v>
      </c>
      <c r="H1226" s="198" t="s">
        <v>521</v>
      </c>
      <c r="I1226" s="198"/>
      <c r="J1226" s="198" t="s">
        <v>2272</v>
      </c>
      <c r="K1226" s="198" t="s">
        <v>2272</v>
      </c>
      <c r="L1226" s="198" t="s">
        <v>2272</v>
      </c>
      <c r="M1226" s="198" t="s">
        <v>2272</v>
      </c>
      <c r="N1226" s="198" t="s">
        <v>2272</v>
      </c>
      <c r="O1226" s="198" t="s">
        <v>2272</v>
      </c>
      <c r="P1226" s="198" t="s">
        <v>2272</v>
      </c>
      <c r="Q1226" s="198" t="s">
        <v>2272</v>
      </c>
      <c r="R1226" s="198" t="s">
        <v>2272</v>
      </c>
      <c r="S1226" s="198" t="s">
        <v>2272</v>
      </c>
      <c r="T1226" s="198" t="s">
        <v>2272</v>
      </c>
      <c r="U1226" s="198" t="s">
        <v>2272</v>
      </c>
      <c r="V1226" s="198" t="s">
        <v>2272</v>
      </c>
      <c r="W1226" s="198" t="s">
        <v>2272</v>
      </c>
      <c r="X1226" s="198" t="s">
        <v>2272</v>
      </c>
      <c r="Y1226" s="198" t="s">
        <v>2272</v>
      </c>
      <c r="Z1226" s="198" t="s">
        <v>2272</v>
      </c>
      <c r="AA1226" s="198" t="s">
        <v>2272</v>
      </c>
      <c r="AB1226" s="198" t="s">
        <v>2272</v>
      </c>
      <c r="AC1226" s="198" t="s">
        <v>2272</v>
      </c>
      <c r="AD1226" s="4" t="s">
        <v>3703</v>
      </c>
      <c r="AE1226" s="198"/>
    </row>
    <row r="1227" spans="1:31" ht="41" customHeight="1">
      <c r="A1227" s="198" t="s">
        <v>3695</v>
      </c>
      <c r="B1227" s="198" t="s">
        <v>3707</v>
      </c>
      <c r="C1227" s="198" t="s">
        <v>1102</v>
      </c>
      <c r="D1227" s="198" t="s">
        <v>2272</v>
      </c>
      <c r="E1227" s="198" t="s">
        <v>1102</v>
      </c>
      <c r="F1227" s="4" t="s">
        <v>2272</v>
      </c>
      <c r="G1227" s="198" t="s">
        <v>2658</v>
      </c>
      <c r="H1227" s="198" t="s">
        <v>522</v>
      </c>
      <c r="I1227" s="198"/>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1">
        <v>0</v>
      </c>
      <c r="Z1227" s="198" t="s">
        <v>2272</v>
      </c>
      <c r="AA1227" s="198" t="s">
        <v>2272</v>
      </c>
      <c r="AB1227" s="198" t="s">
        <v>2272</v>
      </c>
      <c r="AC1227" s="198" t="s">
        <v>2272</v>
      </c>
      <c r="AD1227" s="4" t="s">
        <v>3702</v>
      </c>
      <c r="AE1227" s="198"/>
    </row>
    <row r="1228" spans="1:31" ht="42.5" customHeight="1">
      <c r="A1228" s="198" t="s">
        <v>3696</v>
      </c>
      <c r="B1228" s="198" t="s">
        <v>3705</v>
      </c>
      <c r="C1228" s="198" t="s">
        <v>1102</v>
      </c>
      <c r="D1228" s="198" t="s">
        <v>2272</v>
      </c>
      <c r="E1228" s="198" t="s">
        <v>1102</v>
      </c>
      <c r="F1228" s="4" t="s">
        <v>2272</v>
      </c>
      <c r="G1228" s="198" t="s">
        <v>2272</v>
      </c>
      <c r="H1228" s="198" t="s">
        <v>521</v>
      </c>
      <c r="I1228" s="198"/>
      <c r="J1228" s="198" t="s">
        <v>2272</v>
      </c>
      <c r="K1228" s="198" t="s">
        <v>2272</v>
      </c>
      <c r="L1228" s="198" t="s">
        <v>2272</v>
      </c>
      <c r="M1228" s="198" t="s">
        <v>2272</v>
      </c>
      <c r="N1228" s="198" t="s">
        <v>2272</v>
      </c>
      <c r="O1228" s="198" t="s">
        <v>2272</v>
      </c>
      <c r="P1228" s="198" t="s">
        <v>2272</v>
      </c>
      <c r="Q1228" s="198" t="s">
        <v>2272</v>
      </c>
      <c r="R1228" s="198" t="s">
        <v>2272</v>
      </c>
      <c r="S1228" s="198" t="s">
        <v>2272</v>
      </c>
      <c r="T1228" s="198" t="s">
        <v>2272</v>
      </c>
      <c r="U1228" s="198" t="s">
        <v>2272</v>
      </c>
      <c r="V1228" s="198" t="s">
        <v>2272</v>
      </c>
      <c r="W1228" s="198" t="s">
        <v>2272</v>
      </c>
      <c r="X1228" s="198" t="s">
        <v>2272</v>
      </c>
      <c r="Y1228" s="198" t="s">
        <v>2272</v>
      </c>
      <c r="Z1228" s="198" t="s">
        <v>2272</v>
      </c>
      <c r="AA1228" s="198" t="s">
        <v>2272</v>
      </c>
      <c r="AB1228" s="198" t="s">
        <v>2272</v>
      </c>
      <c r="AC1228" s="198" t="s">
        <v>2272</v>
      </c>
      <c r="AD1228" s="4" t="s">
        <v>3703</v>
      </c>
      <c r="AE1228" s="198"/>
    </row>
    <row r="1229" spans="1:31" ht="32" customHeight="1">
      <c r="A1229" s="198" t="s">
        <v>3711</v>
      </c>
      <c r="B1229" s="198" t="s">
        <v>3715</v>
      </c>
      <c r="C1229" s="198" t="s">
        <v>23</v>
      </c>
      <c r="D1229" s="198" t="s">
        <v>1238</v>
      </c>
      <c r="E1229" s="198" t="s">
        <v>114</v>
      </c>
      <c r="F1229" s="4" t="s">
        <v>2657</v>
      </c>
      <c r="G1229" s="198" t="s">
        <v>2272</v>
      </c>
      <c r="H1229" s="198" t="s">
        <v>521</v>
      </c>
      <c r="I1229" s="198"/>
      <c r="J1229" s="198" t="s">
        <v>2272</v>
      </c>
      <c r="K1229" s="198" t="s">
        <v>2272</v>
      </c>
      <c r="L1229" s="198" t="s">
        <v>2272</v>
      </c>
      <c r="M1229" s="198" t="s">
        <v>2272</v>
      </c>
      <c r="N1229" s="198" t="s">
        <v>2272</v>
      </c>
      <c r="O1229" s="198" t="s">
        <v>2272</v>
      </c>
      <c r="P1229" s="198" t="s">
        <v>2272</v>
      </c>
      <c r="Q1229" s="198" t="s">
        <v>2272</v>
      </c>
      <c r="R1229" s="198" t="s">
        <v>2272</v>
      </c>
      <c r="S1229" s="198" t="s">
        <v>2272</v>
      </c>
      <c r="T1229" s="198" t="s">
        <v>2272</v>
      </c>
      <c r="U1229" s="198" t="s">
        <v>2272</v>
      </c>
      <c r="V1229" s="198" t="s">
        <v>2272</v>
      </c>
      <c r="W1229" s="198" t="s">
        <v>2272</v>
      </c>
      <c r="X1229" s="198" t="s">
        <v>2272</v>
      </c>
      <c r="Y1229" s="198" t="s">
        <v>2272</v>
      </c>
      <c r="Z1229" s="198" t="s">
        <v>2272</v>
      </c>
      <c r="AA1229" s="198" t="s">
        <v>37</v>
      </c>
      <c r="AB1229" s="198" t="s">
        <v>33</v>
      </c>
      <c r="AC1229" s="198" t="s">
        <v>63</v>
      </c>
      <c r="AD1229" s="158"/>
      <c r="AE1229" s="198"/>
    </row>
    <row r="1230" spans="1:31" ht="31" customHeight="1">
      <c r="A1230" s="198" t="s">
        <v>3711</v>
      </c>
      <c r="B1230" s="198" t="s">
        <v>3716</v>
      </c>
      <c r="C1230" s="198" t="s">
        <v>23</v>
      </c>
      <c r="D1230" s="198" t="s">
        <v>404</v>
      </c>
      <c r="E1230" s="198" t="s">
        <v>128</v>
      </c>
      <c r="F1230" s="4" t="s">
        <v>2272</v>
      </c>
      <c r="G1230" s="198" t="s">
        <v>2272</v>
      </c>
      <c r="H1230" s="198" t="s">
        <v>521</v>
      </c>
      <c r="I1230" s="198"/>
      <c r="J1230" s="198" t="s">
        <v>2272</v>
      </c>
      <c r="K1230" s="198" t="s">
        <v>2272</v>
      </c>
      <c r="L1230" s="198" t="s">
        <v>2272</v>
      </c>
      <c r="M1230" s="198" t="s">
        <v>2272</v>
      </c>
      <c r="N1230" s="198" t="s">
        <v>2272</v>
      </c>
      <c r="O1230" s="198" t="s">
        <v>2272</v>
      </c>
      <c r="P1230" s="198" t="s">
        <v>2272</v>
      </c>
      <c r="Q1230" s="198" t="s">
        <v>2272</v>
      </c>
      <c r="R1230" s="198" t="s">
        <v>2272</v>
      </c>
      <c r="S1230" s="198" t="s">
        <v>2272</v>
      </c>
      <c r="T1230" s="198" t="s">
        <v>2272</v>
      </c>
      <c r="U1230" s="198" t="s">
        <v>2272</v>
      </c>
      <c r="V1230" s="198" t="s">
        <v>2272</v>
      </c>
      <c r="W1230" s="198" t="s">
        <v>2272</v>
      </c>
      <c r="X1230" s="198" t="s">
        <v>2272</v>
      </c>
      <c r="Y1230" s="198" t="s">
        <v>2272</v>
      </c>
      <c r="Z1230" s="198" t="s">
        <v>2272</v>
      </c>
      <c r="AA1230" s="198" t="s">
        <v>37</v>
      </c>
      <c r="AB1230" s="198" t="s">
        <v>67</v>
      </c>
      <c r="AC1230" s="198" t="s">
        <v>63</v>
      </c>
      <c r="AD1230" s="158"/>
      <c r="AE1230" s="198"/>
    </row>
    <row r="1231" spans="1:31" ht="33.5" customHeight="1">
      <c r="A1231" s="198" t="s">
        <v>3711</v>
      </c>
      <c r="B1231" s="198" t="s">
        <v>3717</v>
      </c>
      <c r="C1231" s="198" t="s">
        <v>23</v>
      </c>
      <c r="D1231" s="198" t="s">
        <v>404</v>
      </c>
      <c r="E1231" s="198" t="s">
        <v>114</v>
      </c>
      <c r="F1231" s="4" t="s">
        <v>2272</v>
      </c>
      <c r="G1231" s="198" t="s">
        <v>2272</v>
      </c>
      <c r="H1231" s="198" t="s">
        <v>521</v>
      </c>
      <c r="I1231" s="198"/>
      <c r="J1231" s="198" t="s">
        <v>2272</v>
      </c>
      <c r="K1231" s="198" t="s">
        <v>2272</v>
      </c>
      <c r="L1231" s="198" t="s">
        <v>2272</v>
      </c>
      <c r="M1231" s="198" t="s">
        <v>2272</v>
      </c>
      <c r="N1231" s="198" t="s">
        <v>2272</v>
      </c>
      <c r="O1231" s="198" t="s">
        <v>2272</v>
      </c>
      <c r="P1231" s="198" t="s">
        <v>2272</v>
      </c>
      <c r="Q1231" s="198" t="s">
        <v>2272</v>
      </c>
      <c r="R1231" s="198" t="s">
        <v>2272</v>
      </c>
      <c r="S1231" s="198" t="s">
        <v>2272</v>
      </c>
      <c r="T1231" s="198" t="s">
        <v>2272</v>
      </c>
      <c r="U1231" s="198" t="s">
        <v>2272</v>
      </c>
      <c r="V1231" s="198" t="s">
        <v>2272</v>
      </c>
      <c r="W1231" s="198" t="s">
        <v>2272</v>
      </c>
      <c r="X1231" s="198" t="s">
        <v>2272</v>
      </c>
      <c r="Y1231" s="198" t="s">
        <v>2272</v>
      </c>
      <c r="Z1231" s="198" t="s">
        <v>2272</v>
      </c>
      <c r="AA1231" s="198" t="s">
        <v>37</v>
      </c>
      <c r="AB1231" s="198" t="s">
        <v>67</v>
      </c>
      <c r="AC1231" s="198" t="s">
        <v>63</v>
      </c>
      <c r="AD1231" s="158"/>
      <c r="AE1231" s="198"/>
    </row>
    <row r="1232" spans="1:31" ht="32.5" customHeight="1">
      <c r="A1232" s="198" t="s">
        <v>3711</v>
      </c>
      <c r="B1232" s="198" t="s">
        <v>3718</v>
      </c>
      <c r="C1232" s="198" t="s">
        <v>23</v>
      </c>
      <c r="D1232" s="198" t="s">
        <v>26</v>
      </c>
      <c r="E1232" s="198" t="s">
        <v>128</v>
      </c>
      <c r="F1232" s="4" t="s">
        <v>27</v>
      </c>
      <c r="G1232" s="198" t="s">
        <v>2272</v>
      </c>
      <c r="H1232" s="198" t="s">
        <v>521</v>
      </c>
      <c r="I1232" s="198"/>
      <c r="J1232" s="198" t="s">
        <v>2272</v>
      </c>
      <c r="K1232" s="198" t="s">
        <v>2272</v>
      </c>
      <c r="L1232" s="198" t="s">
        <v>2272</v>
      </c>
      <c r="M1232" s="198" t="s">
        <v>2272</v>
      </c>
      <c r="N1232" s="198" t="s">
        <v>2272</v>
      </c>
      <c r="O1232" s="198" t="s">
        <v>2272</v>
      </c>
      <c r="P1232" s="198" t="s">
        <v>2272</v>
      </c>
      <c r="Q1232" s="198" t="s">
        <v>2272</v>
      </c>
      <c r="R1232" s="198" t="s">
        <v>2272</v>
      </c>
      <c r="S1232" s="198" t="s">
        <v>2272</v>
      </c>
      <c r="T1232" s="198" t="s">
        <v>2272</v>
      </c>
      <c r="U1232" s="198" t="s">
        <v>2272</v>
      </c>
      <c r="V1232" s="198" t="s">
        <v>2272</v>
      </c>
      <c r="W1232" s="198" t="s">
        <v>2272</v>
      </c>
      <c r="X1232" s="198" t="s">
        <v>2272</v>
      </c>
      <c r="Y1232" s="198" t="s">
        <v>2272</v>
      </c>
      <c r="Z1232" s="198" t="s">
        <v>2272</v>
      </c>
      <c r="AA1232" s="198" t="s">
        <v>403</v>
      </c>
      <c r="AB1232" s="198" t="s">
        <v>67</v>
      </c>
      <c r="AC1232" s="198" t="s">
        <v>63</v>
      </c>
      <c r="AD1232" s="158"/>
      <c r="AE1232" s="198"/>
    </row>
    <row r="1233" spans="1:31" ht="32.5" customHeight="1">
      <c r="A1233" s="198" t="s">
        <v>3711</v>
      </c>
      <c r="B1233" s="198" t="s">
        <v>3719</v>
      </c>
      <c r="C1233" s="198" t="s">
        <v>23</v>
      </c>
      <c r="D1233" s="198" t="s">
        <v>1241</v>
      </c>
      <c r="E1233" s="198" t="s">
        <v>114</v>
      </c>
      <c r="F1233" s="4" t="s">
        <v>2657</v>
      </c>
      <c r="G1233" s="198" t="s">
        <v>2272</v>
      </c>
      <c r="H1233" s="198" t="s">
        <v>521</v>
      </c>
      <c r="I1233" s="198"/>
      <c r="J1233" s="198" t="s">
        <v>2272</v>
      </c>
      <c r="K1233" s="198" t="s">
        <v>2272</v>
      </c>
      <c r="L1233" s="198" t="s">
        <v>2272</v>
      </c>
      <c r="M1233" s="198" t="s">
        <v>2272</v>
      </c>
      <c r="N1233" s="198" t="s">
        <v>2272</v>
      </c>
      <c r="O1233" s="198" t="s">
        <v>2272</v>
      </c>
      <c r="P1233" s="198" t="s">
        <v>2272</v>
      </c>
      <c r="Q1233" s="198" t="s">
        <v>2272</v>
      </c>
      <c r="R1233" s="198" t="s">
        <v>2272</v>
      </c>
      <c r="S1233" s="198" t="s">
        <v>2272</v>
      </c>
      <c r="T1233" s="198" t="s">
        <v>2272</v>
      </c>
      <c r="U1233" s="198" t="s">
        <v>2272</v>
      </c>
      <c r="V1233" s="198" t="s">
        <v>2272</v>
      </c>
      <c r="W1233" s="198" t="s">
        <v>2272</v>
      </c>
      <c r="X1233" s="198" t="s">
        <v>2272</v>
      </c>
      <c r="Y1233" s="198" t="s">
        <v>2272</v>
      </c>
      <c r="Z1233" s="198" t="s">
        <v>2272</v>
      </c>
      <c r="AA1233" s="198" t="s">
        <v>37</v>
      </c>
      <c r="AB1233" s="198" t="s">
        <v>67</v>
      </c>
      <c r="AC1233" s="198" t="s">
        <v>63</v>
      </c>
      <c r="AD1233" s="158"/>
      <c r="AE1233" s="198"/>
    </row>
    <row r="1234" spans="1:31" ht="32" customHeight="1">
      <c r="A1234" s="198" t="s">
        <v>3711</v>
      </c>
      <c r="B1234" s="198" t="s">
        <v>3720</v>
      </c>
      <c r="C1234" s="198" t="s">
        <v>23</v>
      </c>
      <c r="D1234" s="198" t="s">
        <v>3475</v>
      </c>
      <c r="E1234" s="198" t="s">
        <v>114</v>
      </c>
      <c r="F1234" s="4" t="s">
        <v>2657</v>
      </c>
      <c r="G1234" s="198" t="s">
        <v>2272</v>
      </c>
      <c r="H1234" s="198" t="s">
        <v>521</v>
      </c>
      <c r="I1234" s="198"/>
      <c r="J1234" s="198" t="s">
        <v>2272</v>
      </c>
      <c r="K1234" s="198" t="s">
        <v>2272</v>
      </c>
      <c r="L1234" s="198" t="s">
        <v>2272</v>
      </c>
      <c r="M1234" s="198" t="s">
        <v>2272</v>
      </c>
      <c r="N1234" s="198" t="s">
        <v>2272</v>
      </c>
      <c r="O1234" s="198" t="s">
        <v>2272</v>
      </c>
      <c r="P1234" s="198" t="s">
        <v>2272</v>
      </c>
      <c r="Q1234" s="198" t="s">
        <v>2272</v>
      </c>
      <c r="R1234" s="198" t="s">
        <v>2272</v>
      </c>
      <c r="S1234" s="198" t="s">
        <v>2272</v>
      </c>
      <c r="T1234" s="198" t="s">
        <v>2272</v>
      </c>
      <c r="U1234" s="198" t="s">
        <v>2272</v>
      </c>
      <c r="V1234" s="198" t="s">
        <v>2272</v>
      </c>
      <c r="W1234" s="198" t="s">
        <v>2272</v>
      </c>
      <c r="X1234" s="198" t="s">
        <v>2272</v>
      </c>
      <c r="Y1234" s="198" t="s">
        <v>2272</v>
      </c>
      <c r="Z1234" s="198" t="s">
        <v>2272</v>
      </c>
      <c r="AA1234" s="198" t="s">
        <v>84</v>
      </c>
      <c r="AB1234" s="198" t="s">
        <v>423</v>
      </c>
      <c r="AC1234" s="198" t="s">
        <v>63</v>
      </c>
      <c r="AD1234" s="158"/>
      <c r="AE1234" s="198"/>
    </row>
    <row r="1235" spans="1:31" ht="35" customHeight="1">
      <c r="A1235" s="198" t="s">
        <v>3711</v>
      </c>
      <c r="B1235" s="198" t="s">
        <v>3721</v>
      </c>
      <c r="C1235" s="198" t="s">
        <v>23</v>
      </c>
      <c r="D1235" s="198" t="s">
        <v>24</v>
      </c>
      <c r="E1235" s="198" t="s">
        <v>5000</v>
      </c>
      <c r="F1235" s="4" t="s">
        <v>54</v>
      </c>
      <c r="G1235" s="198" t="s">
        <v>2272</v>
      </c>
      <c r="H1235" s="198" t="s">
        <v>521</v>
      </c>
      <c r="I1235" s="198"/>
      <c r="J1235" s="198" t="s">
        <v>2272</v>
      </c>
      <c r="K1235" s="198" t="s">
        <v>2272</v>
      </c>
      <c r="L1235" s="198" t="s">
        <v>2272</v>
      </c>
      <c r="M1235" s="198" t="s">
        <v>2272</v>
      </c>
      <c r="N1235" s="198" t="s">
        <v>2272</v>
      </c>
      <c r="O1235" s="198" t="s">
        <v>2272</v>
      </c>
      <c r="P1235" s="198" t="s">
        <v>2272</v>
      </c>
      <c r="Q1235" s="198" t="s">
        <v>2272</v>
      </c>
      <c r="R1235" s="198" t="s">
        <v>2272</v>
      </c>
      <c r="S1235" s="198" t="s">
        <v>2272</v>
      </c>
      <c r="T1235" s="198" t="s">
        <v>2272</v>
      </c>
      <c r="U1235" s="198" t="s">
        <v>2272</v>
      </c>
      <c r="V1235" s="198" t="s">
        <v>2272</v>
      </c>
      <c r="W1235" s="198" t="s">
        <v>2272</v>
      </c>
      <c r="X1235" s="198" t="s">
        <v>2272</v>
      </c>
      <c r="Y1235" s="198" t="s">
        <v>2272</v>
      </c>
      <c r="Z1235" s="198" t="s">
        <v>2272</v>
      </c>
      <c r="AA1235" s="198" t="s">
        <v>33</v>
      </c>
      <c r="AB1235" s="198" t="s">
        <v>423</v>
      </c>
      <c r="AC1235" s="198" t="s">
        <v>63</v>
      </c>
      <c r="AD1235" s="158"/>
      <c r="AE1235" s="198"/>
    </row>
    <row r="1236" spans="1:31" ht="33.5" customHeight="1">
      <c r="A1236" s="198" t="s">
        <v>3711</v>
      </c>
      <c r="B1236" s="198" t="s">
        <v>3722</v>
      </c>
      <c r="C1236" s="198" t="s">
        <v>23</v>
      </c>
      <c r="D1236" s="198" t="s">
        <v>25</v>
      </c>
      <c r="E1236" s="198" t="s">
        <v>5000</v>
      </c>
      <c r="F1236" s="4" t="s">
        <v>2272</v>
      </c>
      <c r="G1236" s="198" t="s">
        <v>2272</v>
      </c>
      <c r="H1236" s="198" t="s">
        <v>521</v>
      </c>
      <c r="I1236" s="198"/>
      <c r="J1236" s="198" t="s">
        <v>2272</v>
      </c>
      <c r="K1236" s="198" t="s">
        <v>2272</v>
      </c>
      <c r="L1236" s="198" t="s">
        <v>2272</v>
      </c>
      <c r="M1236" s="198" t="s">
        <v>2272</v>
      </c>
      <c r="N1236" s="198" t="s">
        <v>2272</v>
      </c>
      <c r="O1236" s="198" t="s">
        <v>2272</v>
      </c>
      <c r="P1236" s="198" t="s">
        <v>2272</v>
      </c>
      <c r="Q1236" s="198" t="s">
        <v>2272</v>
      </c>
      <c r="R1236" s="198" t="s">
        <v>2272</v>
      </c>
      <c r="S1236" s="198" t="s">
        <v>2272</v>
      </c>
      <c r="T1236" s="198" t="s">
        <v>2272</v>
      </c>
      <c r="U1236" s="198" t="s">
        <v>2272</v>
      </c>
      <c r="V1236" s="198" t="s">
        <v>2272</v>
      </c>
      <c r="W1236" s="198" t="s">
        <v>2272</v>
      </c>
      <c r="X1236" s="198" t="s">
        <v>2272</v>
      </c>
      <c r="Y1236" s="198" t="s">
        <v>2272</v>
      </c>
      <c r="Z1236" s="198" t="s">
        <v>2272</v>
      </c>
      <c r="AA1236" s="198" t="s">
        <v>37</v>
      </c>
      <c r="AB1236" s="198" t="s">
        <v>67</v>
      </c>
      <c r="AC1236" s="198" t="s">
        <v>63</v>
      </c>
      <c r="AD1236" s="158"/>
      <c r="AE1236" s="198"/>
    </row>
    <row r="1237" spans="1:31" ht="34.5" customHeight="1">
      <c r="A1237" s="198" t="s">
        <v>3711</v>
      </c>
      <c r="B1237" s="198" t="s">
        <v>3723</v>
      </c>
      <c r="C1237" s="198" t="s">
        <v>23</v>
      </c>
      <c r="D1237" s="198" t="s">
        <v>2337</v>
      </c>
      <c r="E1237" s="198" t="s">
        <v>114</v>
      </c>
      <c r="F1237" s="4" t="s">
        <v>2657</v>
      </c>
      <c r="G1237" s="198" t="s">
        <v>2272</v>
      </c>
      <c r="H1237" s="198" t="s">
        <v>521</v>
      </c>
      <c r="I1237" s="198"/>
      <c r="J1237" s="198" t="s">
        <v>2272</v>
      </c>
      <c r="K1237" s="198" t="s">
        <v>2272</v>
      </c>
      <c r="L1237" s="198" t="s">
        <v>2272</v>
      </c>
      <c r="M1237" s="198" t="s">
        <v>2272</v>
      </c>
      <c r="N1237" s="198" t="s">
        <v>2272</v>
      </c>
      <c r="O1237" s="198" t="s">
        <v>2272</v>
      </c>
      <c r="P1237" s="198" t="s">
        <v>2272</v>
      </c>
      <c r="Q1237" s="198" t="s">
        <v>2272</v>
      </c>
      <c r="R1237" s="198" t="s">
        <v>2272</v>
      </c>
      <c r="S1237" s="198" t="s">
        <v>2272</v>
      </c>
      <c r="T1237" s="198" t="s">
        <v>2272</v>
      </c>
      <c r="U1237" s="198" t="s">
        <v>2272</v>
      </c>
      <c r="V1237" s="198" t="s">
        <v>2272</v>
      </c>
      <c r="W1237" s="198" t="s">
        <v>2272</v>
      </c>
      <c r="X1237" s="198" t="s">
        <v>2272</v>
      </c>
      <c r="Y1237" s="198" t="s">
        <v>2272</v>
      </c>
      <c r="Z1237" s="198" t="s">
        <v>2272</v>
      </c>
      <c r="AA1237" s="198" t="s">
        <v>37</v>
      </c>
      <c r="AB1237" s="198" t="s">
        <v>67</v>
      </c>
      <c r="AC1237" s="198" t="s">
        <v>63</v>
      </c>
      <c r="AD1237" s="158"/>
      <c r="AE1237" s="198"/>
    </row>
    <row r="1238" spans="1:31" ht="39" customHeight="1">
      <c r="A1238" s="198" t="s">
        <v>3711</v>
      </c>
      <c r="B1238" s="198" t="s">
        <v>3726</v>
      </c>
      <c r="C1238" s="198" t="s">
        <v>1102</v>
      </c>
      <c r="D1238" s="198" t="s">
        <v>1102</v>
      </c>
      <c r="E1238" s="198" t="s">
        <v>1102</v>
      </c>
      <c r="F1238" s="4" t="s">
        <v>1102</v>
      </c>
      <c r="G1238" s="198" t="s">
        <v>2272</v>
      </c>
      <c r="H1238" s="198" t="s">
        <v>521</v>
      </c>
      <c r="I1238" s="198">
        <v>2000</v>
      </c>
      <c r="J1238" s="198" t="s">
        <v>2272</v>
      </c>
      <c r="K1238" s="198" t="s">
        <v>2272</v>
      </c>
      <c r="L1238" s="198" t="s">
        <v>2272</v>
      </c>
      <c r="M1238" s="198" t="s">
        <v>2272</v>
      </c>
      <c r="N1238" s="198" t="s">
        <v>2272</v>
      </c>
      <c r="O1238" s="198" t="s">
        <v>2272</v>
      </c>
      <c r="P1238" s="198" t="s">
        <v>2272</v>
      </c>
      <c r="Q1238" s="198" t="s">
        <v>2272</v>
      </c>
      <c r="R1238" s="198" t="s">
        <v>2272</v>
      </c>
      <c r="S1238" s="198" t="s">
        <v>2272</v>
      </c>
      <c r="T1238" s="198" t="s">
        <v>2272</v>
      </c>
      <c r="U1238" s="198" t="s">
        <v>2272</v>
      </c>
      <c r="V1238" s="198" t="s">
        <v>2272</v>
      </c>
      <c r="W1238" s="198" t="s">
        <v>2272</v>
      </c>
      <c r="X1238" s="198" t="s">
        <v>2272</v>
      </c>
      <c r="Y1238" s="198" t="s">
        <v>2272</v>
      </c>
      <c r="Z1238" s="198" t="s">
        <v>2272</v>
      </c>
      <c r="AA1238" s="198" t="s">
        <v>37</v>
      </c>
      <c r="AB1238" s="198" t="s">
        <v>67</v>
      </c>
      <c r="AC1238" s="198" t="s">
        <v>75</v>
      </c>
      <c r="AD1238" s="4" t="s">
        <v>3728</v>
      </c>
      <c r="AE1238" s="198"/>
    </row>
    <row r="1239" spans="1:31" ht="38" customHeight="1">
      <c r="A1239" s="198" t="s">
        <v>3711</v>
      </c>
      <c r="B1239" s="198" t="s">
        <v>3727</v>
      </c>
      <c r="C1239" s="198" t="s">
        <v>1102</v>
      </c>
      <c r="D1239" s="198" t="s">
        <v>1102</v>
      </c>
      <c r="E1239" s="198" t="s">
        <v>1102</v>
      </c>
      <c r="F1239" s="4" t="s">
        <v>1102</v>
      </c>
      <c r="G1239" s="198" t="s">
        <v>2272</v>
      </c>
      <c r="H1239" s="198" t="s">
        <v>521</v>
      </c>
      <c r="I1239" s="198">
        <v>2006</v>
      </c>
      <c r="J1239" s="198" t="s">
        <v>2272</v>
      </c>
      <c r="K1239" s="198" t="s">
        <v>2272</v>
      </c>
      <c r="L1239" s="198" t="s">
        <v>2272</v>
      </c>
      <c r="M1239" s="198" t="s">
        <v>2272</v>
      </c>
      <c r="N1239" s="198" t="s">
        <v>2272</v>
      </c>
      <c r="O1239" s="198" t="s">
        <v>2272</v>
      </c>
      <c r="P1239" s="198" t="s">
        <v>2272</v>
      </c>
      <c r="Q1239" s="198" t="s">
        <v>2272</v>
      </c>
      <c r="R1239" s="198" t="s">
        <v>2272</v>
      </c>
      <c r="S1239" s="198" t="s">
        <v>2272</v>
      </c>
      <c r="T1239" s="198" t="s">
        <v>2272</v>
      </c>
      <c r="U1239" s="198" t="s">
        <v>2272</v>
      </c>
      <c r="V1239" s="198" t="s">
        <v>2272</v>
      </c>
      <c r="W1239" s="198" t="s">
        <v>2272</v>
      </c>
      <c r="X1239" s="198" t="s">
        <v>2272</v>
      </c>
      <c r="Y1239" s="198" t="s">
        <v>2272</v>
      </c>
      <c r="Z1239" s="198" t="s">
        <v>2272</v>
      </c>
      <c r="AA1239" s="198" t="s">
        <v>37</v>
      </c>
      <c r="AB1239" s="198" t="s">
        <v>67</v>
      </c>
      <c r="AC1239" s="198" t="s">
        <v>2650</v>
      </c>
      <c r="AD1239" s="198" t="s">
        <v>3729</v>
      </c>
      <c r="AE1239" s="198"/>
    </row>
    <row r="1240" spans="1:31" ht="35" customHeight="1">
      <c r="A1240" s="198" t="s">
        <v>3732</v>
      </c>
      <c r="B1240" s="198" t="s">
        <v>3735</v>
      </c>
      <c r="C1240" s="198" t="s">
        <v>23</v>
      </c>
      <c r="D1240" s="198" t="s">
        <v>2799</v>
      </c>
      <c r="E1240" s="198" t="s">
        <v>5000</v>
      </c>
      <c r="F1240" s="4" t="s">
        <v>2657</v>
      </c>
      <c r="G1240" s="4" t="s">
        <v>2657</v>
      </c>
      <c r="H1240" s="198" t="s">
        <v>521</v>
      </c>
      <c r="I1240" s="198"/>
      <c r="J1240" s="158" t="s">
        <v>2272</v>
      </c>
      <c r="K1240" s="158" t="s">
        <v>2272</v>
      </c>
      <c r="L1240" s="21">
        <v>0.5</v>
      </c>
      <c r="M1240" s="21">
        <v>0.5</v>
      </c>
      <c r="N1240" s="198" t="s">
        <v>2272</v>
      </c>
      <c r="O1240" s="198" t="s">
        <v>2272</v>
      </c>
      <c r="P1240" s="198" t="s">
        <v>2272</v>
      </c>
      <c r="Q1240" s="198" t="s">
        <v>2272</v>
      </c>
      <c r="R1240" s="198" t="s">
        <v>2272</v>
      </c>
      <c r="S1240" s="198" t="s">
        <v>2272</v>
      </c>
      <c r="T1240" s="198" t="s">
        <v>2272</v>
      </c>
      <c r="U1240" s="198" t="s">
        <v>2272</v>
      </c>
      <c r="V1240" s="198" t="s">
        <v>2272</v>
      </c>
      <c r="W1240" s="198" t="s">
        <v>2272</v>
      </c>
      <c r="X1240" s="198" t="s">
        <v>2272</v>
      </c>
      <c r="Y1240" s="198" t="s">
        <v>2272</v>
      </c>
      <c r="Z1240" s="198" t="s">
        <v>2272</v>
      </c>
      <c r="AA1240" s="198" t="s">
        <v>67</v>
      </c>
      <c r="AB1240" s="198" t="s">
        <v>186</v>
      </c>
      <c r="AC1240" s="198" t="s">
        <v>75</v>
      </c>
      <c r="AD1240" s="4"/>
      <c r="AE1240" s="198"/>
    </row>
    <row r="1241" spans="1:31" ht="41" customHeight="1">
      <c r="A1241" s="198" t="s">
        <v>3732</v>
      </c>
      <c r="B1241" s="198" t="s">
        <v>3736</v>
      </c>
      <c r="C1241" s="198" t="s">
        <v>23</v>
      </c>
      <c r="D1241" s="198" t="s">
        <v>25</v>
      </c>
      <c r="E1241" s="198" t="s">
        <v>5000</v>
      </c>
      <c r="F1241" s="4" t="s">
        <v>2657</v>
      </c>
      <c r="G1241" s="4" t="s">
        <v>2657</v>
      </c>
      <c r="H1241" s="198" t="s">
        <v>521</v>
      </c>
      <c r="I1241" s="198"/>
      <c r="J1241" s="158" t="s">
        <v>2272</v>
      </c>
      <c r="K1241" s="158" t="s">
        <v>2272</v>
      </c>
      <c r="L1241" s="21">
        <v>0.5</v>
      </c>
      <c r="M1241" s="21">
        <v>0.5</v>
      </c>
      <c r="N1241" s="198" t="s">
        <v>2272</v>
      </c>
      <c r="O1241" s="198" t="s">
        <v>2272</v>
      </c>
      <c r="P1241" s="198" t="s">
        <v>2272</v>
      </c>
      <c r="Q1241" s="198" t="s">
        <v>2272</v>
      </c>
      <c r="R1241" s="198" t="s">
        <v>2272</v>
      </c>
      <c r="S1241" s="198" t="s">
        <v>2272</v>
      </c>
      <c r="T1241" s="198" t="s">
        <v>2272</v>
      </c>
      <c r="U1241" s="198" t="s">
        <v>2272</v>
      </c>
      <c r="V1241" s="198" t="s">
        <v>2272</v>
      </c>
      <c r="W1241" s="198" t="s">
        <v>2272</v>
      </c>
      <c r="X1241" s="198" t="s">
        <v>2272</v>
      </c>
      <c r="Y1241" s="198" t="s">
        <v>2272</v>
      </c>
      <c r="Z1241" s="198" t="s">
        <v>2272</v>
      </c>
      <c r="AA1241" s="198" t="s">
        <v>67</v>
      </c>
      <c r="AB1241" s="198" t="s">
        <v>186</v>
      </c>
      <c r="AC1241" s="198" t="s">
        <v>75</v>
      </c>
      <c r="AD1241" s="4" t="s">
        <v>3740</v>
      </c>
      <c r="AE1241" s="198"/>
    </row>
    <row r="1242" spans="1:31" ht="88" customHeight="1">
      <c r="A1242" s="198" t="s">
        <v>3732</v>
      </c>
      <c r="B1242" s="198" t="s">
        <v>3737</v>
      </c>
      <c r="C1242" s="198" t="s">
        <v>23</v>
      </c>
      <c r="D1242" s="198" t="s">
        <v>1102</v>
      </c>
      <c r="E1242" s="198" t="s">
        <v>5000</v>
      </c>
      <c r="F1242" s="4" t="s">
        <v>2657</v>
      </c>
      <c r="G1242" s="4" t="s">
        <v>2657</v>
      </c>
      <c r="H1242" s="198" t="s">
        <v>521</v>
      </c>
      <c r="I1242" s="198"/>
      <c r="J1242" s="158" t="s">
        <v>2272</v>
      </c>
      <c r="K1242" s="158" t="s">
        <v>2272</v>
      </c>
      <c r="L1242" s="21">
        <v>0.5</v>
      </c>
      <c r="M1242" s="21">
        <v>0.5</v>
      </c>
      <c r="N1242" s="198" t="s">
        <v>2272</v>
      </c>
      <c r="O1242" s="198" t="s">
        <v>2272</v>
      </c>
      <c r="P1242" s="198" t="s">
        <v>2272</v>
      </c>
      <c r="Q1242" s="198" t="s">
        <v>2272</v>
      </c>
      <c r="R1242" s="198" t="s">
        <v>2272</v>
      </c>
      <c r="S1242" s="198" t="s">
        <v>2272</v>
      </c>
      <c r="T1242" s="198" t="s">
        <v>2272</v>
      </c>
      <c r="U1242" s="198" t="s">
        <v>2272</v>
      </c>
      <c r="V1242" s="198" t="s">
        <v>2272</v>
      </c>
      <c r="W1242" s="198" t="s">
        <v>2272</v>
      </c>
      <c r="X1242" s="198" t="s">
        <v>2272</v>
      </c>
      <c r="Y1242" s="198" t="s">
        <v>2272</v>
      </c>
      <c r="Z1242" s="14">
        <v>10.199999999999999</v>
      </c>
      <c r="AA1242" s="198" t="s">
        <v>67</v>
      </c>
      <c r="AB1242" s="198" t="s">
        <v>186</v>
      </c>
      <c r="AC1242" s="198" t="s">
        <v>75</v>
      </c>
      <c r="AD1242" s="4" t="s">
        <v>3739</v>
      </c>
      <c r="AE1242" s="4" t="s">
        <v>4999</v>
      </c>
    </row>
    <row r="1243" spans="1:31" ht="59" customHeight="1">
      <c r="A1243" s="198" t="s">
        <v>3732</v>
      </c>
      <c r="B1243" s="198" t="s">
        <v>3738</v>
      </c>
      <c r="C1243" s="198" t="s">
        <v>23</v>
      </c>
      <c r="D1243" s="198" t="s">
        <v>1102</v>
      </c>
      <c r="E1243" s="198" t="s">
        <v>5000</v>
      </c>
      <c r="F1243" s="4" t="s">
        <v>54</v>
      </c>
      <c r="G1243" s="4" t="s">
        <v>54</v>
      </c>
      <c r="H1243" s="198" t="s">
        <v>522</v>
      </c>
      <c r="I1243" s="198"/>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1">
        <v>0</v>
      </c>
      <c r="Z1243" s="198" t="s">
        <v>2272</v>
      </c>
      <c r="AA1243" s="198" t="s">
        <v>2272</v>
      </c>
      <c r="AB1243" s="198" t="s">
        <v>2272</v>
      </c>
      <c r="AC1243" s="198" t="s">
        <v>2272</v>
      </c>
      <c r="AD1243" s="4" t="s">
        <v>3741</v>
      </c>
      <c r="AE1243" s="198"/>
    </row>
    <row r="1244" spans="1:31" ht="46.5" customHeight="1">
      <c r="A1244" s="198" t="s">
        <v>3732</v>
      </c>
      <c r="B1244" s="198" t="s">
        <v>4998</v>
      </c>
      <c r="C1244" s="198" t="s">
        <v>2651</v>
      </c>
      <c r="D1244" s="198" t="s">
        <v>2272</v>
      </c>
      <c r="E1244" s="198" t="s">
        <v>2272</v>
      </c>
      <c r="F1244" s="4" t="s">
        <v>2272</v>
      </c>
      <c r="G1244" s="198" t="s">
        <v>2272</v>
      </c>
      <c r="H1244" s="198" t="s">
        <v>522</v>
      </c>
      <c r="I1244" s="198"/>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1">
        <v>0</v>
      </c>
      <c r="Z1244" s="198" t="s">
        <v>2272</v>
      </c>
      <c r="AA1244" s="198" t="s">
        <v>2272</v>
      </c>
      <c r="AB1244" s="198" t="s">
        <v>2272</v>
      </c>
      <c r="AC1244" s="198" t="s">
        <v>2272</v>
      </c>
      <c r="AD1244" s="4" t="s">
        <v>3742</v>
      </c>
      <c r="AE1244" s="198"/>
    </row>
    <row r="1245" spans="1:31" ht="167" customHeight="1">
      <c r="A1245" s="198" t="s">
        <v>3747</v>
      </c>
      <c r="B1245" s="198" t="s">
        <v>3750</v>
      </c>
      <c r="C1245" s="198" t="s">
        <v>23</v>
      </c>
      <c r="D1245" s="198" t="s">
        <v>24</v>
      </c>
      <c r="E1245" s="198" t="s">
        <v>5000</v>
      </c>
      <c r="F1245" s="4" t="s">
        <v>2657</v>
      </c>
      <c r="G1245" s="198" t="s">
        <v>2272</v>
      </c>
      <c r="H1245" s="198" t="s">
        <v>522</v>
      </c>
      <c r="I1245" s="198"/>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198" t="s">
        <v>2272</v>
      </c>
      <c r="AA1245" s="198" t="s">
        <v>2272</v>
      </c>
      <c r="AB1245" s="198" t="s">
        <v>2272</v>
      </c>
      <c r="AC1245" s="198" t="s">
        <v>2272</v>
      </c>
      <c r="AD1245" s="4" t="s">
        <v>3755</v>
      </c>
      <c r="AE1245" s="198"/>
    </row>
    <row r="1246" spans="1:31" ht="67.5" customHeight="1">
      <c r="A1246" s="198" t="s">
        <v>3747</v>
      </c>
      <c r="B1246" s="198" t="s">
        <v>3751</v>
      </c>
      <c r="C1246" s="198" t="s">
        <v>23</v>
      </c>
      <c r="D1246" s="198" t="s">
        <v>141</v>
      </c>
      <c r="E1246" s="198" t="s">
        <v>5000</v>
      </c>
      <c r="F1246" s="4" t="s">
        <v>73</v>
      </c>
      <c r="G1246" s="198" t="s">
        <v>2272</v>
      </c>
      <c r="H1246" s="198" t="s">
        <v>522</v>
      </c>
      <c r="I1246" s="198"/>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198" t="s">
        <v>2272</v>
      </c>
      <c r="AA1246" s="198" t="s">
        <v>2272</v>
      </c>
      <c r="AB1246" s="198" t="s">
        <v>2272</v>
      </c>
      <c r="AC1246" s="198" t="s">
        <v>2272</v>
      </c>
      <c r="AD1246" s="4" t="s">
        <v>3756</v>
      </c>
      <c r="AE1246" s="198"/>
    </row>
    <row r="1247" spans="1:31" ht="67.5" customHeight="1">
      <c r="A1247" s="198" t="s">
        <v>3747</v>
      </c>
      <c r="B1247" s="198" t="s">
        <v>3752</v>
      </c>
      <c r="C1247" s="198" t="s">
        <v>23</v>
      </c>
      <c r="D1247" s="198" t="s">
        <v>24</v>
      </c>
      <c r="E1247" s="198" t="s">
        <v>5000</v>
      </c>
      <c r="F1247" s="4" t="s">
        <v>28</v>
      </c>
      <c r="G1247" s="198" t="s">
        <v>2272</v>
      </c>
      <c r="H1247" s="198" t="s">
        <v>522</v>
      </c>
      <c r="I1247" s="198"/>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198" t="s">
        <v>2272</v>
      </c>
      <c r="AA1247" s="198" t="s">
        <v>2272</v>
      </c>
      <c r="AB1247" s="198" t="s">
        <v>2272</v>
      </c>
      <c r="AC1247" s="198" t="s">
        <v>2272</v>
      </c>
      <c r="AD1247" s="4" t="s">
        <v>3756</v>
      </c>
      <c r="AE1247" s="198"/>
    </row>
    <row r="1248" spans="1:31" ht="110.5" customHeight="1">
      <c r="A1248" s="198" t="s">
        <v>3753</v>
      </c>
      <c r="B1248" s="198" t="s">
        <v>3757</v>
      </c>
      <c r="C1248" s="198" t="s">
        <v>23</v>
      </c>
      <c r="D1248" s="198" t="s">
        <v>24</v>
      </c>
      <c r="E1248" s="198" t="s">
        <v>5000</v>
      </c>
      <c r="F1248" s="4" t="s">
        <v>2657</v>
      </c>
      <c r="G1248" s="198" t="s">
        <v>2272</v>
      </c>
      <c r="H1248" s="198" t="s">
        <v>522</v>
      </c>
      <c r="I1248" s="198"/>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198" t="s">
        <v>2272</v>
      </c>
      <c r="AA1248" s="198" t="s">
        <v>2272</v>
      </c>
      <c r="AB1248" s="198" t="s">
        <v>2272</v>
      </c>
      <c r="AC1248" s="198" t="s">
        <v>2272</v>
      </c>
      <c r="AD1248" s="4" t="s">
        <v>3762</v>
      </c>
      <c r="AE1248" s="198"/>
    </row>
    <row r="1249" spans="1:31" ht="109.5" customHeight="1">
      <c r="A1249" s="198" t="s">
        <v>3753</v>
      </c>
      <c r="B1249" s="198" t="s">
        <v>3758</v>
      </c>
      <c r="C1249" s="198" t="s">
        <v>23</v>
      </c>
      <c r="D1249" s="198" t="s">
        <v>141</v>
      </c>
      <c r="E1249" s="198" t="s">
        <v>5000</v>
      </c>
      <c r="F1249" s="4" t="s">
        <v>73</v>
      </c>
      <c r="G1249" s="198" t="s">
        <v>2272</v>
      </c>
      <c r="H1249" s="198" t="s">
        <v>522</v>
      </c>
      <c r="I1249" s="198"/>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198" t="s">
        <v>2272</v>
      </c>
      <c r="AA1249" s="198" t="s">
        <v>2272</v>
      </c>
      <c r="AB1249" s="198" t="s">
        <v>2272</v>
      </c>
      <c r="AC1249" s="198" t="s">
        <v>2272</v>
      </c>
      <c r="AD1249" s="4" t="s">
        <v>3762</v>
      </c>
      <c r="AE1249" s="198"/>
    </row>
    <row r="1250" spans="1:31" ht="105.5" customHeight="1">
      <c r="A1250" s="198" t="s">
        <v>3753</v>
      </c>
      <c r="B1250" s="198" t="s">
        <v>3759</v>
      </c>
      <c r="C1250" s="198" t="s">
        <v>23</v>
      </c>
      <c r="D1250" s="198" t="s">
        <v>24</v>
      </c>
      <c r="E1250" s="198" t="s">
        <v>5000</v>
      </c>
      <c r="F1250" s="4" t="s">
        <v>28</v>
      </c>
      <c r="G1250" s="198" t="s">
        <v>2272</v>
      </c>
      <c r="H1250" s="198" t="s">
        <v>522</v>
      </c>
      <c r="I1250" s="198"/>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198" t="s">
        <v>2272</v>
      </c>
      <c r="AA1250" s="198" t="s">
        <v>2272</v>
      </c>
      <c r="AB1250" s="198" t="s">
        <v>2272</v>
      </c>
      <c r="AC1250" s="198" t="s">
        <v>2272</v>
      </c>
      <c r="AD1250" s="4" t="s">
        <v>3762</v>
      </c>
      <c r="AE1250" s="198"/>
    </row>
    <row r="1251" spans="1:31" ht="54.5" customHeight="1">
      <c r="A1251" s="198" t="s">
        <v>3753</v>
      </c>
      <c r="B1251" s="198" t="s">
        <v>3760</v>
      </c>
      <c r="C1251" s="198" t="s">
        <v>23</v>
      </c>
      <c r="D1251" s="198" t="s">
        <v>26</v>
      </c>
      <c r="E1251" s="198" t="s">
        <v>128</v>
      </c>
      <c r="F1251" s="4" t="s">
        <v>73</v>
      </c>
      <c r="G1251" s="198" t="s">
        <v>2272</v>
      </c>
      <c r="H1251" s="198" t="s">
        <v>521</v>
      </c>
      <c r="I1251" s="198"/>
      <c r="J1251" s="198" t="s">
        <v>2272</v>
      </c>
      <c r="K1251" s="198" t="s">
        <v>2272</v>
      </c>
      <c r="L1251" s="198" t="s">
        <v>2272</v>
      </c>
      <c r="M1251" s="198" t="s">
        <v>2272</v>
      </c>
      <c r="N1251" s="198" t="s">
        <v>2272</v>
      </c>
      <c r="O1251" s="198" t="s">
        <v>2272</v>
      </c>
      <c r="P1251" s="198" t="s">
        <v>2272</v>
      </c>
      <c r="Q1251" s="198" t="s">
        <v>2272</v>
      </c>
      <c r="R1251" s="198" t="s">
        <v>2272</v>
      </c>
      <c r="S1251" s="198" t="s">
        <v>2272</v>
      </c>
      <c r="T1251" s="198" t="s">
        <v>2272</v>
      </c>
      <c r="U1251" s="198" t="s">
        <v>2272</v>
      </c>
      <c r="V1251" s="198" t="s">
        <v>2272</v>
      </c>
      <c r="W1251" s="198" t="s">
        <v>2272</v>
      </c>
      <c r="X1251" s="198" t="s">
        <v>2272</v>
      </c>
      <c r="Y1251" s="198" t="s">
        <v>2272</v>
      </c>
      <c r="Z1251" s="198" t="s">
        <v>2272</v>
      </c>
      <c r="AA1251" s="198" t="s">
        <v>2272</v>
      </c>
      <c r="AB1251" s="198" t="s">
        <v>2272</v>
      </c>
      <c r="AC1251" s="198" t="s">
        <v>2272</v>
      </c>
      <c r="AD1251" s="198"/>
      <c r="AE1251" s="198"/>
    </row>
    <row r="1252" spans="1:31" ht="47" customHeight="1">
      <c r="A1252" s="198" t="s">
        <v>3753</v>
      </c>
      <c r="B1252" s="198" t="s">
        <v>3761</v>
      </c>
      <c r="C1252" s="198" t="s">
        <v>23</v>
      </c>
      <c r="D1252" s="198" t="s">
        <v>26</v>
      </c>
      <c r="E1252" s="198" t="s">
        <v>128</v>
      </c>
      <c r="F1252" s="4" t="s">
        <v>159</v>
      </c>
      <c r="G1252" s="198" t="s">
        <v>2272</v>
      </c>
      <c r="H1252" s="198" t="s">
        <v>521</v>
      </c>
      <c r="I1252" s="198"/>
      <c r="J1252" s="198" t="s">
        <v>2272</v>
      </c>
      <c r="K1252" s="198" t="s">
        <v>2272</v>
      </c>
      <c r="L1252" s="198" t="s">
        <v>2272</v>
      </c>
      <c r="M1252" s="198" t="s">
        <v>2272</v>
      </c>
      <c r="N1252" s="198" t="s">
        <v>2272</v>
      </c>
      <c r="O1252" s="198" t="s">
        <v>2272</v>
      </c>
      <c r="P1252" s="198" t="s">
        <v>2272</v>
      </c>
      <c r="Q1252" s="198" t="s">
        <v>2272</v>
      </c>
      <c r="R1252" s="198" t="s">
        <v>2272</v>
      </c>
      <c r="S1252" s="198" t="s">
        <v>2272</v>
      </c>
      <c r="T1252" s="198" t="s">
        <v>2272</v>
      </c>
      <c r="U1252" s="198" t="s">
        <v>2272</v>
      </c>
      <c r="V1252" s="198" t="s">
        <v>2272</v>
      </c>
      <c r="W1252" s="198" t="s">
        <v>2272</v>
      </c>
      <c r="X1252" s="198" t="s">
        <v>2272</v>
      </c>
      <c r="Y1252" s="198" t="s">
        <v>2272</v>
      </c>
      <c r="Z1252" s="198" t="s">
        <v>2272</v>
      </c>
      <c r="AA1252" s="198" t="s">
        <v>2272</v>
      </c>
      <c r="AB1252" s="198" t="s">
        <v>2272</v>
      </c>
      <c r="AC1252" s="198" t="s">
        <v>2272</v>
      </c>
      <c r="AD1252" s="198"/>
      <c r="AE1252" s="198"/>
    </row>
    <row r="1253" spans="1:31" ht="51" customHeight="1">
      <c r="A1253" s="198" t="s">
        <v>3764</v>
      </c>
      <c r="B1253" s="198" t="s">
        <v>3769</v>
      </c>
      <c r="C1253" s="198" t="s">
        <v>23</v>
      </c>
      <c r="D1253" s="198" t="s">
        <v>24</v>
      </c>
      <c r="E1253" s="198" t="s">
        <v>44</v>
      </c>
      <c r="F1253" s="4" t="s">
        <v>28</v>
      </c>
      <c r="G1253" s="198" t="s">
        <v>2272</v>
      </c>
      <c r="H1253" s="198" t="s">
        <v>521</v>
      </c>
      <c r="I1253" s="198"/>
      <c r="J1253" s="198" t="s">
        <v>2272</v>
      </c>
      <c r="K1253" s="198" t="s">
        <v>2272</v>
      </c>
      <c r="L1253" s="198" t="s">
        <v>2272</v>
      </c>
      <c r="M1253" s="198" t="s">
        <v>2272</v>
      </c>
      <c r="N1253" s="198" t="s">
        <v>2272</v>
      </c>
      <c r="O1253" s="198" t="s">
        <v>2272</v>
      </c>
      <c r="P1253" s="198" t="s">
        <v>2272</v>
      </c>
      <c r="Q1253" s="198" t="s">
        <v>2272</v>
      </c>
      <c r="R1253" s="198" t="s">
        <v>2272</v>
      </c>
      <c r="S1253" s="198" t="s">
        <v>2272</v>
      </c>
      <c r="T1253" s="198" t="s">
        <v>2272</v>
      </c>
      <c r="U1253" s="198" t="s">
        <v>2272</v>
      </c>
      <c r="V1253" s="198" t="s">
        <v>2272</v>
      </c>
      <c r="W1253" s="198" t="s">
        <v>2272</v>
      </c>
      <c r="X1253" s="198" t="s">
        <v>2272</v>
      </c>
      <c r="Y1253" s="198" t="s">
        <v>2272</v>
      </c>
      <c r="Z1253" s="198" t="s">
        <v>2272</v>
      </c>
      <c r="AA1253" s="198" t="s">
        <v>2272</v>
      </c>
      <c r="AB1253" s="198" t="s">
        <v>2272</v>
      </c>
      <c r="AC1253" s="198" t="s">
        <v>2272</v>
      </c>
      <c r="AD1253" s="4"/>
      <c r="AE1253" s="4" t="s">
        <v>3772</v>
      </c>
    </row>
    <row r="1254" spans="1:31" ht="42" customHeight="1">
      <c r="A1254" s="198" t="s">
        <v>3764</v>
      </c>
      <c r="B1254" s="198" t="s">
        <v>3770</v>
      </c>
      <c r="C1254" s="198" t="s">
        <v>23</v>
      </c>
      <c r="D1254" s="198" t="s">
        <v>1241</v>
      </c>
      <c r="E1254" s="198" t="s">
        <v>114</v>
      </c>
      <c r="F1254" s="4" t="s">
        <v>54</v>
      </c>
      <c r="G1254" s="198" t="s">
        <v>2272</v>
      </c>
      <c r="H1254" s="198" t="s">
        <v>521</v>
      </c>
      <c r="I1254" s="198"/>
      <c r="J1254" s="198" t="s">
        <v>2272</v>
      </c>
      <c r="K1254" s="198" t="s">
        <v>2272</v>
      </c>
      <c r="L1254" s="198" t="s">
        <v>2272</v>
      </c>
      <c r="M1254" s="198" t="s">
        <v>2272</v>
      </c>
      <c r="N1254" s="198" t="s">
        <v>2272</v>
      </c>
      <c r="O1254" s="198" t="s">
        <v>2272</v>
      </c>
      <c r="P1254" s="198" t="s">
        <v>2272</v>
      </c>
      <c r="Q1254" s="198" t="s">
        <v>2272</v>
      </c>
      <c r="R1254" s="198" t="s">
        <v>2272</v>
      </c>
      <c r="S1254" s="198" t="s">
        <v>2272</v>
      </c>
      <c r="T1254" s="198" t="s">
        <v>2272</v>
      </c>
      <c r="U1254" s="198" t="s">
        <v>2272</v>
      </c>
      <c r="V1254" s="198" t="s">
        <v>2272</v>
      </c>
      <c r="W1254" s="198" t="s">
        <v>2272</v>
      </c>
      <c r="X1254" s="198" t="s">
        <v>2272</v>
      </c>
      <c r="Y1254" s="198" t="s">
        <v>2272</v>
      </c>
      <c r="Z1254" s="198" t="s">
        <v>2272</v>
      </c>
      <c r="AA1254" s="198" t="s">
        <v>2272</v>
      </c>
      <c r="AB1254" s="198" t="s">
        <v>2272</v>
      </c>
      <c r="AC1254" s="198" t="s">
        <v>2272</v>
      </c>
      <c r="AD1254" s="4" t="s">
        <v>3773</v>
      </c>
      <c r="AE1254" s="198"/>
    </row>
    <row r="1255" spans="1:31" ht="55.5" customHeight="1">
      <c r="A1255" s="198" t="s">
        <v>3764</v>
      </c>
      <c r="B1255" s="198" t="s">
        <v>3771</v>
      </c>
      <c r="C1255" s="198" t="s">
        <v>23</v>
      </c>
      <c r="D1255" s="198" t="s">
        <v>142</v>
      </c>
      <c r="E1255" s="198" t="s">
        <v>135</v>
      </c>
      <c r="F1255" s="4" t="s">
        <v>54</v>
      </c>
      <c r="G1255" s="198" t="s">
        <v>2272</v>
      </c>
      <c r="H1255" s="198" t="s">
        <v>521</v>
      </c>
      <c r="I1255" s="198"/>
      <c r="J1255" s="198" t="s">
        <v>2272</v>
      </c>
      <c r="K1255" s="198" t="s">
        <v>2272</v>
      </c>
      <c r="L1255" s="198" t="s">
        <v>2272</v>
      </c>
      <c r="M1255" s="198" t="s">
        <v>2272</v>
      </c>
      <c r="N1255" s="198" t="s">
        <v>2272</v>
      </c>
      <c r="O1255" s="198" t="s">
        <v>2272</v>
      </c>
      <c r="P1255" s="198" t="s">
        <v>2272</v>
      </c>
      <c r="Q1255" s="198" t="s">
        <v>2272</v>
      </c>
      <c r="R1255" s="198" t="s">
        <v>2272</v>
      </c>
      <c r="S1255" s="198" t="s">
        <v>2272</v>
      </c>
      <c r="T1255" s="198" t="s">
        <v>2272</v>
      </c>
      <c r="U1255" s="198" t="s">
        <v>2272</v>
      </c>
      <c r="V1255" s="198" t="s">
        <v>2272</v>
      </c>
      <c r="W1255" s="198" t="s">
        <v>2272</v>
      </c>
      <c r="X1255" s="198" t="s">
        <v>2272</v>
      </c>
      <c r="Y1255" s="198" t="s">
        <v>2272</v>
      </c>
      <c r="Z1255" s="198" t="s">
        <v>2272</v>
      </c>
      <c r="AA1255" s="198" t="s">
        <v>2272</v>
      </c>
      <c r="AB1255" s="198" t="s">
        <v>2272</v>
      </c>
      <c r="AC1255" s="198" t="s">
        <v>2272</v>
      </c>
      <c r="AD1255" s="4" t="s">
        <v>3774</v>
      </c>
      <c r="AE1255" s="198"/>
    </row>
    <row r="1256" spans="1:31" ht="40.5" customHeight="1">
      <c r="A1256" s="198" t="s">
        <v>3778</v>
      </c>
      <c r="B1256" s="198" t="s">
        <v>3781</v>
      </c>
      <c r="C1256" s="198" t="s">
        <v>23</v>
      </c>
      <c r="D1256" s="198" t="s">
        <v>24</v>
      </c>
      <c r="E1256" s="198" t="s">
        <v>44</v>
      </c>
      <c r="F1256" s="4" t="s">
        <v>28</v>
      </c>
      <c r="G1256" s="198" t="s">
        <v>2272</v>
      </c>
      <c r="H1256" s="198" t="s">
        <v>521</v>
      </c>
      <c r="I1256" s="198"/>
      <c r="J1256" s="198" t="s">
        <v>2272</v>
      </c>
      <c r="K1256" s="198" t="s">
        <v>2272</v>
      </c>
      <c r="L1256" s="198" t="s">
        <v>2272</v>
      </c>
      <c r="M1256" s="198" t="s">
        <v>2272</v>
      </c>
      <c r="N1256" s="198" t="s">
        <v>2272</v>
      </c>
      <c r="O1256" s="198" t="s">
        <v>2272</v>
      </c>
      <c r="P1256" s="198" t="s">
        <v>2272</v>
      </c>
      <c r="Q1256" s="198" t="s">
        <v>2272</v>
      </c>
      <c r="R1256" s="198" t="s">
        <v>2272</v>
      </c>
      <c r="S1256" s="198" t="s">
        <v>2272</v>
      </c>
      <c r="T1256" s="198" t="s">
        <v>2272</v>
      </c>
      <c r="U1256" s="198" t="s">
        <v>2272</v>
      </c>
      <c r="V1256" s="198" t="s">
        <v>2272</v>
      </c>
      <c r="W1256" s="198" t="s">
        <v>2272</v>
      </c>
      <c r="X1256" s="198" t="s">
        <v>2272</v>
      </c>
      <c r="Y1256" s="198" t="s">
        <v>2272</v>
      </c>
      <c r="Z1256" s="198" t="s">
        <v>2272</v>
      </c>
      <c r="AA1256" s="198" t="s">
        <v>397</v>
      </c>
      <c r="AB1256" s="198" t="s">
        <v>125</v>
      </c>
      <c r="AC1256" s="198" t="s">
        <v>2308</v>
      </c>
      <c r="AD1256" s="4" t="s">
        <v>3782</v>
      </c>
      <c r="AE1256" s="198"/>
    </row>
    <row r="1257" spans="1:31" ht="40" customHeight="1">
      <c r="A1257" s="198" t="s">
        <v>3778</v>
      </c>
      <c r="B1257" s="198" t="s">
        <v>3783</v>
      </c>
      <c r="C1257" s="198" t="s">
        <v>23</v>
      </c>
      <c r="D1257" s="198" t="s">
        <v>26</v>
      </c>
      <c r="E1257" s="198" t="s">
        <v>128</v>
      </c>
      <c r="F1257" s="4" t="s">
        <v>2272</v>
      </c>
      <c r="G1257" s="198" t="s">
        <v>2272</v>
      </c>
      <c r="H1257" s="198" t="s">
        <v>521</v>
      </c>
      <c r="I1257" s="198"/>
      <c r="J1257" s="198" t="s">
        <v>2272</v>
      </c>
      <c r="K1257" s="198" t="s">
        <v>2272</v>
      </c>
      <c r="L1257" s="198" t="s">
        <v>2272</v>
      </c>
      <c r="M1257" s="198" t="s">
        <v>2272</v>
      </c>
      <c r="N1257" s="198" t="s">
        <v>2272</v>
      </c>
      <c r="O1257" s="198" t="s">
        <v>2272</v>
      </c>
      <c r="P1257" s="198" t="s">
        <v>2272</v>
      </c>
      <c r="Q1257" s="198" t="s">
        <v>2272</v>
      </c>
      <c r="R1257" s="198" t="s">
        <v>2272</v>
      </c>
      <c r="S1257" s="198" t="s">
        <v>2272</v>
      </c>
      <c r="T1257" s="198" t="s">
        <v>2272</v>
      </c>
      <c r="U1257" s="198" t="s">
        <v>2272</v>
      </c>
      <c r="V1257" s="198" t="s">
        <v>2272</v>
      </c>
      <c r="W1257" s="198" t="s">
        <v>2272</v>
      </c>
      <c r="X1257" s="198" t="s">
        <v>2272</v>
      </c>
      <c r="Y1257" s="198" t="s">
        <v>2272</v>
      </c>
      <c r="Z1257" s="198" t="s">
        <v>2272</v>
      </c>
      <c r="AA1257" s="198" t="s">
        <v>2272</v>
      </c>
      <c r="AB1257" s="198" t="s">
        <v>2272</v>
      </c>
      <c r="AC1257" s="198" t="s">
        <v>2272</v>
      </c>
      <c r="AD1257" s="4"/>
      <c r="AE1257" s="198"/>
    </row>
    <row r="1258" spans="1:31" ht="40" customHeight="1">
      <c r="A1258" s="198" t="s">
        <v>3778</v>
      </c>
      <c r="B1258" s="198" t="s">
        <v>3784</v>
      </c>
      <c r="C1258" s="198" t="s">
        <v>23</v>
      </c>
      <c r="D1258" s="198" t="s">
        <v>1238</v>
      </c>
      <c r="E1258" s="198" t="s">
        <v>1102</v>
      </c>
      <c r="F1258" s="4" t="s">
        <v>54</v>
      </c>
      <c r="G1258" s="198" t="s">
        <v>2272</v>
      </c>
      <c r="H1258" s="198" t="s">
        <v>521</v>
      </c>
      <c r="I1258" s="198"/>
      <c r="J1258" s="198" t="s">
        <v>2272</v>
      </c>
      <c r="K1258" s="198" t="s">
        <v>2272</v>
      </c>
      <c r="L1258" s="198" t="s">
        <v>2272</v>
      </c>
      <c r="M1258" s="198" t="s">
        <v>2272</v>
      </c>
      <c r="N1258" s="198" t="s">
        <v>2272</v>
      </c>
      <c r="O1258" s="198" t="s">
        <v>2272</v>
      </c>
      <c r="P1258" s="198" t="s">
        <v>2272</v>
      </c>
      <c r="Q1258" s="198" t="s">
        <v>2272</v>
      </c>
      <c r="R1258" s="198" t="s">
        <v>2272</v>
      </c>
      <c r="S1258" s="198" t="s">
        <v>2272</v>
      </c>
      <c r="T1258" s="198" t="s">
        <v>2272</v>
      </c>
      <c r="U1258" s="198" t="s">
        <v>2272</v>
      </c>
      <c r="V1258" s="198" t="s">
        <v>2272</v>
      </c>
      <c r="W1258" s="198" t="s">
        <v>2272</v>
      </c>
      <c r="X1258" s="198" t="s">
        <v>2272</v>
      </c>
      <c r="Y1258" s="198" t="s">
        <v>2272</v>
      </c>
      <c r="Z1258" s="198" t="s">
        <v>2272</v>
      </c>
      <c r="AA1258" s="198" t="s">
        <v>2272</v>
      </c>
      <c r="AB1258" s="198" t="s">
        <v>2272</v>
      </c>
      <c r="AC1258" s="198" t="s">
        <v>2272</v>
      </c>
      <c r="AD1258" s="4"/>
      <c r="AE1258" s="198"/>
    </row>
    <row r="1259" spans="1:31" ht="43" customHeight="1">
      <c r="A1259" s="198" t="s">
        <v>3778</v>
      </c>
      <c r="B1259" s="198" t="s">
        <v>3785</v>
      </c>
      <c r="C1259" s="198" t="s">
        <v>23</v>
      </c>
      <c r="D1259" s="198" t="s">
        <v>25</v>
      </c>
      <c r="E1259" s="198" t="s">
        <v>44</v>
      </c>
      <c r="F1259" s="4" t="s">
        <v>28</v>
      </c>
      <c r="G1259" s="198" t="s">
        <v>2272</v>
      </c>
      <c r="H1259" s="198" t="s">
        <v>521</v>
      </c>
      <c r="I1259" s="198"/>
      <c r="J1259" s="198" t="s">
        <v>2272</v>
      </c>
      <c r="K1259" s="198" t="s">
        <v>2272</v>
      </c>
      <c r="L1259" s="198" t="s">
        <v>2272</v>
      </c>
      <c r="M1259" s="198" t="s">
        <v>2272</v>
      </c>
      <c r="N1259" s="198" t="s">
        <v>2272</v>
      </c>
      <c r="O1259" s="198" t="s">
        <v>2272</v>
      </c>
      <c r="P1259" s="198" t="s">
        <v>2272</v>
      </c>
      <c r="Q1259" s="198" t="s">
        <v>2272</v>
      </c>
      <c r="R1259" s="198" t="s">
        <v>2272</v>
      </c>
      <c r="S1259" s="198" t="s">
        <v>2272</v>
      </c>
      <c r="T1259" s="198" t="s">
        <v>2272</v>
      </c>
      <c r="U1259" s="198" t="s">
        <v>2272</v>
      </c>
      <c r="V1259" s="198" t="s">
        <v>2272</v>
      </c>
      <c r="W1259" s="198" t="s">
        <v>2272</v>
      </c>
      <c r="X1259" s="198" t="s">
        <v>2272</v>
      </c>
      <c r="Y1259" s="198" t="s">
        <v>2272</v>
      </c>
      <c r="Z1259" s="198" t="s">
        <v>2272</v>
      </c>
      <c r="AA1259" s="198" t="s">
        <v>33</v>
      </c>
      <c r="AB1259" s="198" t="s">
        <v>403</v>
      </c>
      <c r="AC1259" s="198" t="s">
        <v>63</v>
      </c>
      <c r="AD1259" s="4" t="s">
        <v>3786</v>
      </c>
      <c r="AE1259" s="198"/>
    </row>
    <row r="1260" spans="1:31" ht="38" customHeight="1">
      <c r="A1260" s="198" t="s">
        <v>3778</v>
      </c>
      <c r="B1260" s="198" t="s">
        <v>3788</v>
      </c>
      <c r="C1260" s="198" t="s">
        <v>23</v>
      </c>
      <c r="D1260" s="198" t="s">
        <v>1241</v>
      </c>
      <c r="E1260" s="198" t="s">
        <v>114</v>
      </c>
      <c r="F1260" s="4" t="s">
        <v>54</v>
      </c>
      <c r="G1260" s="198" t="s">
        <v>2272</v>
      </c>
      <c r="H1260" s="198" t="s">
        <v>521</v>
      </c>
      <c r="I1260" s="198"/>
      <c r="J1260" s="198" t="s">
        <v>2272</v>
      </c>
      <c r="K1260" s="198" t="s">
        <v>2272</v>
      </c>
      <c r="L1260" s="198" t="s">
        <v>2272</v>
      </c>
      <c r="M1260" s="198" t="s">
        <v>2272</v>
      </c>
      <c r="N1260" s="198" t="s">
        <v>2272</v>
      </c>
      <c r="O1260" s="198" t="s">
        <v>2272</v>
      </c>
      <c r="P1260" s="198" t="s">
        <v>2272</v>
      </c>
      <c r="Q1260" s="198" t="s">
        <v>2272</v>
      </c>
      <c r="R1260" s="198" t="s">
        <v>2272</v>
      </c>
      <c r="S1260" s="198" t="s">
        <v>2272</v>
      </c>
      <c r="T1260" s="198" t="s">
        <v>2272</v>
      </c>
      <c r="U1260" s="198" t="s">
        <v>2272</v>
      </c>
      <c r="V1260" s="198" t="s">
        <v>2272</v>
      </c>
      <c r="W1260" s="198" t="s">
        <v>2272</v>
      </c>
      <c r="X1260" s="198" t="s">
        <v>2272</v>
      </c>
      <c r="Y1260" s="198" t="s">
        <v>2272</v>
      </c>
      <c r="Z1260" s="198" t="s">
        <v>2272</v>
      </c>
      <c r="AA1260" s="198" t="s">
        <v>2272</v>
      </c>
      <c r="AB1260" s="198" t="s">
        <v>2272</v>
      </c>
      <c r="AC1260" s="198" t="s">
        <v>2272</v>
      </c>
      <c r="AD1260" s="4" t="s">
        <v>3773</v>
      </c>
      <c r="AE1260" s="198"/>
    </row>
    <row r="1261" spans="1:31" ht="54.5" customHeight="1">
      <c r="A1261" s="198" t="s">
        <v>3778</v>
      </c>
      <c r="B1261" s="198" t="s">
        <v>3789</v>
      </c>
      <c r="C1261" s="198" t="s">
        <v>23</v>
      </c>
      <c r="D1261" s="198" t="s">
        <v>142</v>
      </c>
      <c r="E1261" s="198" t="s">
        <v>135</v>
      </c>
      <c r="F1261" s="4" t="s">
        <v>54</v>
      </c>
      <c r="G1261" s="198" t="s">
        <v>2272</v>
      </c>
      <c r="H1261" s="198" t="s">
        <v>521</v>
      </c>
      <c r="I1261" s="198"/>
      <c r="J1261" s="198" t="s">
        <v>2272</v>
      </c>
      <c r="K1261" s="198" t="s">
        <v>2272</v>
      </c>
      <c r="L1261" s="198" t="s">
        <v>2272</v>
      </c>
      <c r="M1261" s="198" t="s">
        <v>2272</v>
      </c>
      <c r="N1261" s="198" t="s">
        <v>2272</v>
      </c>
      <c r="O1261" s="198" t="s">
        <v>2272</v>
      </c>
      <c r="P1261" s="198" t="s">
        <v>2272</v>
      </c>
      <c r="Q1261" s="198" t="s">
        <v>2272</v>
      </c>
      <c r="R1261" s="198" t="s">
        <v>2272</v>
      </c>
      <c r="S1261" s="198" t="s">
        <v>2272</v>
      </c>
      <c r="T1261" s="198" t="s">
        <v>2272</v>
      </c>
      <c r="U1261" s="198" t="s">
        <v>2272</v>
      </c>
      <c r="V1261" s="198" t="s">
        <v>2272</v>
      </c>
      <c r="W1261" s="198" t="s">
        <v>2272</v>
      </c>
      <c r="X1261" s="198" t="s">
        <v>2272</v>
      </c>
      <c r="Y1261" s="198" t="s">
        <v>2272</v>
      </c>
      <c r="Z1261" s="198" t="s">
        <v>2272</v>
      </c>
      <c r="AA1261" s="198" t="s">
        <v>2272</v>
      </c>
      <c r="AB1261" s="198" t="s">
        <v>2272</v>
      </c>
      <c r="AC1261" s="198" t="s">
        <v>2272</v>
      </c>
      <c r="AD1261" s="4" t="s">
        <v>3774</v>
      </c>
      <c r="AE1261" s="198"/>
    </row>
    <row r="1262" spans="1:31" ht="73" customHeight="1">
      <c r="A1262" s="198" t="s">
        <v>3792</v>
      </c>
      <c r="B1262" s="198" t="s">
        <v>3796</v>
      </c>
      <c r="C1262" s="198" t="s">
        <v>23</v>
      </c>
      <c r="D1262" s="198" t="s">
        <v>1238</v>
      </c>
      <c r="E1262" s="198" t="s">
        <v>1102</v>
      </c>
      <c r="F1262" s="4" t="s">
        <v>2657</v>
      </c>
      <c r="G1262" s="198" t="s">
        <v>2272</v>
      </c>
      <c r="H1262" s="198" t="s">
        <v>521</v>
      </c>
      <c r="I1262" s="198"/>
      <c r="J1262" s="198" t="s">
        <v>2272</v>
      </c>
      <c r="K1262" s="198" t="s">
        <v>2272</v>
      </c>
      <c r="L1262" s="198" t="s">
        <v>2272</v>
      </c>
      <c r="M1262" s="198" t="s">
        <v>2272</v>
      </c>
      <c r="N1262" s="198" t="s">
        <v>2272</v>
      </c>
      <c r="O1262" s="198" t="s">
        <v>2272</v>
      </c>
      <c r="P1262" s="198" t="s">
        <v>2272</v>
      </c>
      <c r="Q1262" s="198" t="s">
        <v>2272</v>
      </c>
      <c r="R1262" s="198" t="s">
        <v>2272</v>
      </c>
      <c r="S1262" s="198" t="s">
        <v>2272</v>
      </c>
      <c r="T1262" s="198" t="s">
        <v>2272</v>
      </c>
      <c r="U1262" s="198" t="s">
        <v>2272</v>
      </c>
      <c r="V1262" s="198" t="s">
        <v>2272</v>
      </c>
      <c r="W1262" s="198" t="s">
        <v>2272</v>
      </c>
      <c r="X1262" s="198" t="s">
        <v>2272</v>
      </c>
      <c r="Y1262" s="198" t="s">
        <v>2272</v>
      </c>
      <c r="Z1262" s="198" t="s">
        <v>2272</v>
      </c>
      <c r="AA1262" s="198" t="s">
        <v>67</v>
      </c>
      <c r="AB1262" s="198" t="s">
        <v>34</v>
      </c>
      <c r="AC1262" s="198" t="s">
        <v>63</v>
      </c>
      <c r="AD1262" s="4" t="s">
        <v>3809</v>
      </c>
      <c r="AE1262" s="198"/>
    </row>
    <row r="1263" spans="1:31" ht="67.5" customHeight="1">
      <c r="A1263" s="198" t="s">
        <v>3792</v>
      </c>
      <c r="B1263" s="198" t="s">
        <v>3797</v>
      </c>
      <c r="C1263" s="198" t="s">
        <v>23</v>
      </c>
      <c r="D1263" s="198" t="s">
        <v>26</v>
      </c>
      <c r="E1263" s="198" t="s">
        <v>128</v>
      </c>
      <c r="F1263" s="4" t="s">
        <v>159</v>
      </c>
      <c r="G1263" s="198" t="s">
        <v>2272</v>
      </c>
      <c r="H1263" s="198" t="s">
        <v>521</v>
      </c>
      <c r="I1263" s="198"/>
      <c r="J1263" s="198" t="s">
        <v>2272</v>
      </c>
      <c r="K1263" s="198" t="s">
        <v>2272</v>
      </c>
      <c r="L1263" s="198" t="s">
        <v>2272</v>
      </c>
      <c r="M1263" s="198" t="s">
        <v>2272</v>
      </c>
      <c r="N1263" s="198" t="s">
        <v>2272</v>
      </c>
      <c r="O1263" s="198" t="s">
        <v>2272</v>
      </c>
      <c r="P1263" s="198" t="s">
        <v>2272</v>
      </c>
      <c r="Q1263" s="198" t="s">
        <v>2272</v>
      </c>
      <c r="R1263" s="198" t="s">
        <v>2272</v>
      </c>
      <c r="S1263" s="198" t="s">
        <v>2272</v>
      </c>
      <c r="T1263" s="198" t="s">
        <v>2272</v>
      </c>
      <c r="U1263" s="198" t="s">
        <v>2272</v>
      </c>
      <c r="V1263" s="198" t="s">
        <v>2272</v>
      </c>
      <c r="W1263" s="198" t="s">
        <v>2272</v>
      </c>
      <c r="X1263" s="198" t="s">
        <v>2272</v>
      </c>
      <c r="Y1263" s="198" t="s">
        <v>2272</v>
      </c>
      <c r="Z1263" s="198" t="s">
        <v>2272</v>
      </c>
      <c r="AA1263" s="198" t="s">
        <v>125</v>
      </c>
      <c r="AB1263" s="198" t="s">
        <v>397</v>
      </c>
      <c r="AC1263" s="198" t="s">
        <v>63</v>
      </c>
      <c r="AD1263" s="4" t="s">
        <v>3803</v>
      </c>
      <c r="AE1263" s="4"/>
    </row>
    <row r="1264" spans="1:31" ht="62" customHeight="1">
      <c r="A1264" s="4" t="s">
        <v>3792</v>
      </c>
      <c r="B1264" s="198" t="s">
        <v>3799</v>
      </c>
      <c r="C1264" s="4" t="s">
        <v>23</v>
      </c>
      <c r="D1264" s="4" t="s">
        <v>26</v>
      </c>
      <c r="E1264" s="4" t="s">
        <v>128</v>
      </c>
      <c r="F1264" s="4" t="s">
        <v>27</v>
      </c>
      <c r="G1264" s="198" t="s">
        <v>2272</v>
      </c>
      <c r="H1264" s="198" t="s">
        <v>521</v>
      </c>
      <c r="I1264" s="198"/>
      <c r="J1264" s="198" t="s">
        <v>2272</v>
      </c>
      <c r="K1264" s="198" t="s">
        <v>2272</v>
      </c>
      <c r="L1264" s="198" t="s">
        <v>2272</v>
      </c>
      <c r="M1264" s="198" t="s">
        <v>2272</v>
      </c>
      <c r="N1264" s="198" t="s">
        <v>2272</v>
      </c>
      <c r="O1264" s="198" t="s">
        <v>2272</v>
      </c>
      <c r="P1264" s="198" t="s">
        <v>2272</v>
      </c>
      <c r="Q1264" s="198" t="s">
        <v>2272</v>
      </c>
      <c r="R1264" s="198" t="s">
        <v>2272</v>
      </c>
      <c r="S1264" s="198" t="s">
        <v>2272</v>
      </c>
      <c r="T1264" s="198" t="s">
        <v>2272</v>
      </c>
      <c r="U1264" s="198" t="s">
        <v>2272</v>
      </c>
      <c r="V1264" s="198" t="s">
        <v>2272</v>
      </c>
      <c r="W1264" s="198" t="s">
        <v>2272</v>
      </c>
      <c r="X1264" s="198" t="s">
        <v>2272</v>
      </c>
      <c r="Y1264" s="198" t="s">
        <v>2272</v>
      </c>
      <c r="Z1264" s="198" t="s">
        <v>2272</v>
      </c>
      <c r="AA1264" s="198" t="s">
        <v>37</v>
      </c>
      <c r="AB1264" s="198" t="s">
        <v>84</v>
      </c>
      <c r="AC1264" s="198" t="s">
        <v>63</v>
      </c>
      <c r="AD1264" s="4" t="s">
        <v>3808</v>
      </c>
      <c r="AE1264" s="198"/>
    </row>
    <row r="1265" spans="1:31" ht="46.5" customHeight="1">
      <c r="A1265" s="4" t="s">
        <v>3792</v>
      </c>
      <c r="B1265" s="198" t="s">
        <v>3800</v>
      </c>
      <c r="C1265" s="4" t="s">
        <v>23</v>
      </c>
      <c r="D1265" s="4" t="s">
        <v>24</v>
      </c>
      <c r="E1265" s="4" t="s">
        <v>44</v>
      </c>
      <c r="F1265" s="4" t="s">
        <v>2657</v>
      </c>
      <c r="G1265" s="198" t="s">
        <v>2272</v>
      </c>
      <c r="H1265" s="198" t="s">
        <v>521</v>
      </c>
      <c r="I1265" s="198"/>
      <c r="J1265" s="198" t="s">
        <v>2272</v>
      </c>
      <c r="K1265" s="198" t="s">
        <v>2272</v>
      </c>
      <c r="L1265" s="198" t="s">
        <v>2272</v>
      </c>
      <c r="M1265" s="198" t="s">
        <v>2272</v>
      </c>
      <c r="N1265" s="198" t="s">
        <v>2272</v>
      </c>
      <c r="O1265" s="198" t="s">
        <v>2272</v>
      </c>
      <c r="P1265" s="198" t="s">
        <v>2272</v>
      </c>
      <c r="Q1265" s="198" t="s">
        <v>2272</v>
      </c>
      <c r="R1265" s="198" t="s">
        <v>2272</v>
      </c>
      <c r="S1265" s="198" t="s">
        <v>2272</v>
      </c>
      <c r="T1265" s="198" t="s">
        <v>2272</v>
      </c>
      <c r="U1265" s="198" t="s">
        <v>2272</v>
      </c>
      <c r="V1265" s="198" t="s">
        <v>2272</v>
      </c>
      <c r="W1265" s="198" t="s">
        <v>2272</v>
      </c>
      <c r="X1265" s="198" t="s">
        <v>2272</v>
      </c>
      <c r="Y1265" s="198" t="s">
        <v>2272</v>
      </c>
      <c r="Z1265" s="198" t="s">
        <v>2272</v>
      </c>
      <c r="AA1265" s="198" t="s">
        <v>2272</v>
      </c>
      <c r="AB1265" s="198" t="s">
        <v>2272</v>
      </c>
      <c r="AC1265" s="198" t="s">
        <v>2272</v>
      </c>
      <c r="AD1265" s="198"/>
      <c r="AE1265" s="198"/>
    </row>
    <row r="1266" spans="1:31" ht="47.5" customHeight="1">
      <c r="A1266" s="4" t="s">
        <v>3792</v>
      </c>
      <c r="B1266" s="198" t="s">
        <v>3801</v>
      </c>
      <c r="C1266" s="4" t="s">
        <v>23</v>
      </c>
      <c r="D1266" s="4" t="s">
        <v>1241</v>
      </c>
      <c r="E1266" s="4" t="s">
        <v>114</v>
      </c>
      <c r="F1266" s="4" t="s">
        <v>2657</v>
      </c>
      <c r="G1266" s="198" t="s">
        <v>2272</v>
      </c>
      <c r="H1266" s="198" t="s">
        <v>521</v>
      </c>
      <c r="I1266" s="198"/>
      <c r="J1266" s="198" t="s">
        <v>2272</v>
      </c>
      <c r="K1266" s="198" t="s">
        <v>2272</v>
      </c>
      <c r="L1266" s="198" t="s">
        <v>2272</v>
      </c>
      <c r="M1266" s="198" t="s">
        <v>2272</v>
      </c>
      <c r="N1266" s="198" t="s">
        <v>2272</v>
      </c>
      <c r="O1266" s="198" t="s">
        <v>2272</v>
      </c>
      <c r="P1266" s="198" t="s">
        <v>2272</v>
      </c>
      <c r="Q1266" s="198" t="s">
        <v>2272</v>
      </c>
      <c r="R1266" s="198" t="s">
        <v>2272</v>
      </c>
      <c r="S1266" s="198" t="s">
        <v>2272</v>
      </c>
      <c r="T1266" s="198" t="s">
        <v>2272</v>
      </c>
      <c r="U1266" s="198" t="s">
        <v>2272</v>
      </c>
      <c r="V1266" s="198" t="s">
        <v>2272</v>
      </c>
      <c r="W1266" s="198" t="s">
        <v>2272</v>
      </c>
      <c r="X1266" s="198" t="s">
        <v>2272</v>
      </c>
      <c r="Y1266" s="198" t="s">
        <v>2272</v>
      </c>
      <c r="Z1266" s="198" t="s">
        <v>2272</v>
      </c>
      <c r="AA1266" s="198" t="s">
        <v>2272</v>
      </c>
      <c r="AB1266" s="198" t="s">
        <v>2272</v>
      </c>
      <c r="AC1266" s="198" t="s">
        <v>2272</v>
      </c>
      <c r="AD1266" s="198"/>
      <c r="AE1266" s="198"/>
    </row>
    <row r="1267" spans="1:31" ht="41.5" customHeight="1">
      <c r="A1267" s="4" t="s">
        <v>3792</v>
      </c>
      <c r="B1267" s="198" t="s">
        <v>3804</v>
      </c>
      <c r="C1267" s="198" t="s">
        <v>2653</v>
      </c>
      <c r="D1267" s="198" t="s">
        <v>2272</v>
      </c>
      <c r="E1267" s="198" t="s">
        <v>2272</v>
      </c>
      <c r="F1267" s="4" t="s">
        <v>73</v>
      </c>
      <c r="G1267" s="198" t="s">
        <v>73</v>
      </c>
      <c r="H1267" s="198" t="s">
        <v>521</v>
      </c>
      <c r="I1267" s="198"/>
      <c r="J1267" s="198" t="s">
        <v>2272</v>
      </c>
      <c r="K1267" s="198" t="s">
        <v>2272</v>
      </c>
      <c r="L1267" s="198" t="s">
        <v>2272</v>
      </c>
      <c r="M1267" s="198" t="s">
        <v>2272</v>
      </c>
      <c r="N1267" s="198" t="s">
        <v>2272</v>
      </c>
      <c r="O1267" s="198" t="s">
        <v>2272</v>
      </c>
      <c r="P1267" s="198" t="s">
        <v>2272</v>
      </c>
      <c r="Q1267" s="198" t="s">
        <v>2272</v>
      </c>
      <c r="R1267" s="198" t="s">
        <v>2272</v>
      </c>
      <c r="S1267" s="198" t="s">
        <v>2272</v>
      </c>
      <c r="T1267" s="198" t="s">
        <v>2272</v>
      </c>
      <c r="U1267" s="198" t="s">
        <v>2272</v>
      </c>
      <c r="V1267" s="198" t="s">
        <v>2272</v>
      </c>
      <c r="W1267" s="198" t="s">
        <v>2272</v>
      </c>
      <c r="X1267" s="198" t="s">
        <v>2272</v>
      </c>
      <c r="Y1267" s="198" t="s">
        <v>2272</v>
      </c>
      <c r="Z1267" s="198" t="s">
        <v>2272</v>
      </c>
      <c r="AA1267" s="198" t="s">
        <v>67</v>
      </c>
      <c r="AB1267" s="198" t="s">
        <v>37</v>
      </c>
      <c r="AC1267" s="198" t="s">
        <v>75</v>
      </c>
      <c r="AD1267" s="198"/>
      <c r="AE1267" s="4" t="s">
        <v>3802</v>
      </c>
    </row>
    <row r="1268" spans="1:31" ht="37" customHeight="1">
      <c r="A1268" s="4" t="s">
        <v>3811</v>
      </c>
      <c r="B1268" s="198" t="s">
        <v>3813</v>
      </c>
      <c r="C1268" s="198" t="s">
        <v>23</v>
      </c>
      <c r="D1268" s="198" t="s">
        <v>1238</v>
      </c>
      <c r="E1268" s="198" t="s">
        <v>1102</v>
      </c>
      <c r="F1268" s="4" t="s">
        <v>2657</v>
      </c>
      <c r="G1268" s="198" t="s">
        <v>2272</v>
      </c>
      <c r="H1268" s="198" t="s">
        <v>521</v>
      </c>
      <c r="I1268" s="198"/>
      <c r="J1268" s="198" t="s">
        <v>2272</v>
      </c>
      <c r="K1268" s="198" t="s">
        <v>2272</v>
      </c>
      <c r="L1268" s="198" t="s">
        <v>2272</v>
      </c>
      <c r="M1268" s="198" t="s">
        <v>2272</v>
      </c>
      <c r="N1268" s="198" t="s">
        <v>2272</v>
      </c>
      <c r="O1268" s="198" t="s">
        <v>2272</v>
      </c>
      <c r="P1268" s="198" t="s">
        <v>2272</v>
      </c>
      <c r="Q1268" s="198" t="s">
        <v>2272</v>
      </c>
      <c r="R1268" s="198" t="s">
        <v>2272</v>
      </c>
      <c r="S1268" s="198" t="s">
        <v>2272</v>
      </c>
      <c r="T1268" s="198" t="s">
        <v>2272</v>
      </c>
      <c r="U1268" s="198" t="s">
        <v>2272</v>
      </c>
      <c r="V1268" s="198" t="s">
        <v>2272</v>
      </c>
      <c r="W1268" s="198" t="s">
        <v>2272</v>
      </c>
      <c r="X1268" s="198" t="s">
        <v>2272</v>
      </c>
      <c r="Y1268" s="198" t="s">
        <v>2272</v>
      </c>
      <c r="Z1268" s="198" t="s">
        <v>2272</v>
      </c>
      <c r="AA1268" s="198" t="s">
        <v>67</v>
      </c>
      <c r="AB1268" s="198" t="s">
        <v>125</v>
      </c>
      <c r="AC1268" s="198" t="s">
        <v>63</v>
      </c>
      <c r="AD1268" s="198"/>
      <c r="AE1268" s="198"/>
    </row>
    <row r="1269" spans="1:31" ht="37" customHeight="1">
      <c r="A1269" s="4" t="s">
        <v>3811</v>
      </c>
      <c r="B1269" s="198" t="s">
        <v>3814</v>
      </c>
      <c r="C1269" s="4" t="s">
        <v>23</v>
      </c>
      <c r="D1269" s="4" t="s">
        <v>24</v>
      </c>
      <c r="E1269" s="4" t="s">
        <v>44</v>
      </c>
      <c r="F1269" s="4" t="s">
        <v>2657</v>
      </c>
      <c r="G1269" s="198" t="s">
        <v>2272</v>
      </c>
      <c r="H1269" s="198" t="s">
        <v>521</v>
      </c>
      <c r="I1269" s="198"/>
      <c r="J1269" s="198" t="s">
        <v>2272</v>
      </c>
      <c r="K1269" s="198" t="s">
        <v>2272</v>
      </c>
      <c r="L1269" s="198" t="s">
        <v>2272</v>
      </c>
      <c r="M1269" s="198" t="s">
        <v>2272</v>
      </c>
      <c r="N1269" s="198" t="s">
        <v>2272</v>
      </c>
      <c r="O1269" s="198" t="s">
        <v>2272</v>
      </c>
      <c r="P1269" s="198" t="s">
        <v>2272</v>
      </c>
      <c r="Q1269" s="198" t="s">
        <v>2272</v>
      </c>
      <c r="R1269" s="198" t="s">
        <v>2272</v>
      </c>
      <c r="S1269" s="198" t="s">
        <v>2272</v>
      </c>
      <c r="T1269" s="198" t="s">
        <v>2272</v>
      </c>
      <c r="U1269" s="198" t="s">
        <v>2272</v>
      </c>
      <c r="V1269" s="198" t="s">
        <v>2272</v>
      </c>
      <c r="W1269" s="198" t="s">
        <v>2272</v>
      </c>
      <c r="X1269" s="198" t="s">
        <v>2272</v>
      </c>
      <c r="Y1269" s="198" t="s">
        <v>2272</v>
      </c>
      <c r="Z1269" s="198" t="s">
        <v>2272</v>
      </c>
      <c r="AA1269" s="198" t="s">
        <v>67</v>
      </c>
      <c r="AB1269" s="198" t="s">
        <v>125</v>
      </c>
      <c r="AC1269" s="198" t="s">
        <v>63</v>
      </c>
      <c r="AD1269" s="198"/>
      <c r="AE1269" s="198"/>
    </row>
    <row r="1270" spans="1:31" ht="37" customHeight="1">
      <c r="A1270" s="4" t="s">
        <v>3811</v>
      </c>
      <c r="B1270" s="198" t="s">
        <v>3815</v>
      </c>
      <c r="C1270" s="4" t="s">
        <v>23</v>
      </c>
      <c r="D1270" s="4" t="s">
        <v>25</v>
      </c>
      <c r="E1270" s="4" t="s">
        <v>1102</v>
      </c>
      <c r="F1270" s="4" t="s">
        <v>2657</v>
      </c>
      <c r="G1270" s="198" t="s">
        <v>2272</v>
      </c>
      <c r="H1270" s="198" t="s">
        <v>521</v>
      </c>
      <c r="I1270" s="198"/>
      <c r="J1270" s="198" t="s">
        <v>2272</v>
      </c>
      <c r="K1270" s="198" t="s">
        <v>2272</v>
      </c>
      <c r="L1270" s="198" t="s">
        <v>2272</v>
      </c>
      <c r="M1270" s="198" t="s">
        <v>2272</v>
      </c>
      <c r="N1270" s="198" t="s">
        <v>2272</v>
      </c>
      <c r="O1270" s="198" t="s">
        <v>2272</v>
      </c>
      <c r="P1270" s="198" t="s">
        <v>2272</v>
      </c>
      <c r="Q1270" s="198" t="s">
        <v>2272</v>
      </c>
      <c r="R1270" s="198" t="s">
        <v>2272</v>
      </c>
      <c r="S1270" s="198" t="s">
        <v>2272</v>
      </c>
      <c r="T1270" s="198" t="s">
        <v>2272</v>
      </c>
      <c r="U1270" s="198" t="s">
        <v>2272</v>
      </c>
      <c r="V1270" s="198" t="s">
        <v>2272</v>
      </c>
      <c r="W1270" s="198" t="s">
        <v>2272</v>
      </c>
      <c r="X1270" s="198" t="s">
        <v>2272</v>
      </c>
      <c r="Y1270" s="198" t="s">
        <v>2272</v>
      </c>
      <c r="Z1270" s="198" t="s">
        <v>2272</v>
      </c>
      <c r="AA1270" s="198" t="s">
        <v>67</v>
      </c>
      <c r="AB1270" s="198" t="s">
        <v>125</v>
      </c>
      <c r="AC1270" s="198" t="s">
        <v>63</v>
      </c>
      <c r="AD1270" s="198"/>
      <c r="AE1270" s="198"/>
    </row>
    <row r="1271" spans="1:31" ht="37" customHeight="1">
      <c r="A1271" s="4" t="s">
        <v>3811</v>
      </c>
      <c r="B1271" s="198" t="s">
        <v>3816</v>
      </c>
      <c r="C1271" s="4" t="s">
        <v>23</v>
      </c>
      <c r="D1271" s="4" t="s">
        <v>1241</v>
      </c>
      <c r="E1271" s="4" t="s">
        <v>114</v>
      </c>
      <c r="F1271" s="4" t="s">
        <v>2657</v>
      </c>
      <c r="G1271" s="198" t="s">
        <v>2272</v>
      </c>
      <c r="H1271" s="198" t="s">
        <v>521</v>
      </c>
      <c r="I1271" s="198"/>
      <c r="J1271" s="198" t="s">
        <v>2272</v>
      </c>
      <c r="K1271" s="198" t="s">
        <v>2272</v>
      </c>
      <c r="L1271" s="198" t="s">
        <v>2272</v>
      </c>
      <c r="M1271" s="198" t="s">
        <v>2272</v>
      </c>
      <c r="N1271" s="198" t="s">
        <v>2272</v>
      </c>
      <c r="O1271" s="198" t="s">
        <v>2272</v>
      </c>
      <c r="P1271" s="198" t="s">
        <v>2272</v>
      </c>
      <c r="Q1271" s="198" t="s">
        <v>2272</v>
      </c>
      <c r="R1271" s="198" t="s">
        <v>2272</v>
      </c>
      <c r="S1271" s="198" t="s">
        <v>2272</v>
      </c>
      <c r="T1271" s="198" t="s">
        <v>2272</v>
      </c>
      <c r="U1271" s="198" t="s">
        <v>2272</v>
      </c>
      <c r="V1271" s="198" t="s">
        <v>2272</v>
      </c>
      <c r="W1271" s="198" t="s">
        <v>2272</v>
      </c>
      <c r="X1271" s="198" t="s">
        <v>2272</v>
      </c>
      <c r="Y1271" s="198" t="s">
        <v>2272</v>
      </c>
      <c r="Z1271" s="198" t="s">
        <v>2272</v>
      </c>
      <c r="AA1271" s="198" t="s">
        <v>67</v>
      </c>
      <c r="AB1271" s="198" t="s">
        <v>125</v>
      </c>
      <c r="AC1271" s="198" t="s">
        <v>63</v>
      </c>
      <c r="AD1271" s="198"/>
      <c r="AE1271" s="198"/>
    </row>
    <row r="1272" spans="1:31" ht="32.5" customHeight="1">
      <c r="A1272" s="4" t="s">
        <v>3811</v>
      </c>
      <c r="B1272" s="198" t="s">
        <v>3817</v>
      </c>
      <c r="C1272" s="198" t="s">
        <v>23</v>
      </c>
      <c r="D1272" s="198" t="s">
        <v>26</v>
      </c>
      <c r="E1272" s="198" t="s">
        <v>128</v>
      </c>
      <c r="F1272" s="4" t="s">
        <v>159</v>
      </c>
      <c r="G1272" s="198" t="s">
        <v>2272</v>
      </c>
      <c r="H1272" s="198" t="s">
        <v>521</v>
      </c>
      <c r="I1272" s="198"/>
      <c r="J1272" s="198" t="s">
        <v>2272</v>
      </c>
      <c r="K1272" s="198" t="s">
        <v>2272</v>
      </c>
      <c r="L1272" s="198" t="s">
        <v>2272</v>
      </c>
      <c r="M1272" s="198" t="s">
        <v>2272</v>
      </c>
      <c r="N1272" s="198" t="s">
        <v>2272</v>
      </c>
      <c r="O1272" s="198" t="s">
        <v>2272</v>
      </c>
      <c r="P1272" s="198" t="s">
        <v>2272</v>
      </c>
      <c r="Q1272" s="198" t="s">
        <v>2272</v>
      </c>
      <c r="R1272" s="198" t="s">
        <v>2272</v>
      </c>
      <c r="S1272" s="198" t="s">
        <v>2272</v>
      </c>
      <c r="T1272" s="198" t="s">
        <v>2272</v>
      </c>
      <c r="U1272" s="198" t="s">
        <v>2272</v>
      </c>
      <c r="V1272" s="198" t="s">
        <v>2272</v>
      </c>
      <c r="W1272" s="198" t="s">
        <v>2272</v>
      </c>
      <c r="X1272" s="198" t="s">
        <v>2272</v>
      </c>
      <c r="Y1272" s="198" t="s">
        <v>2272</v>
      </c>
      <c r="Z1272" s="198" t="s">
        <v>2272</v>
      </c>
      <c r="AA1272" s="198" t="s">
        <v>125</v>
      </c>
      <c r="AB1272" s="198" t="s">
        <v>397</v>
      </c>
      <c r="AC1272" s="198" t="s">
        <v>63</v>
      </c>
      <c r="AD1272" s="198"/>
      <c r="AE1272" s="198"/>
    </row>
    <row r="1273" spans="1:31" ht="33.5" customHeight="1">
      <c r="A1273" s="4" t="s">
        <v>3811</v>
      </c>
      <c r="B1273" s="198" t="s">
        <v>3818</v>
      </c>
      <c r="C1273" s="4" t="s">
        <v>23</v>
      </c>
      <c r="D1273" s="4" t="s">
        <v>1238</v>
      </c>
      <c r="E1273" s="4" t="s">
        <v>128</v>
      </c>
      <c r="F1273" s="4" t="s">
        <v>159</v>
      </c>
      <c r="G1273" s="198" t="s">
        <v>2272</v>
      </c>
      <c r="H1273" s="198" t="s">
        <v>521</v>
      </c>
      <c r="I1273" s="198"/>
      <c r="J1273" s="198" t="s">
        <v>2272</v>
      </c>
      <c r="K1273" s="198" t="s">
        <v>2272</v>
      </c>
      <c r="L1273" s="198" t="s">
        <v>2272</v>
      </c>
      <c r="M1273" s="198" t="s">
        <v>2272</v>
      </c>
      <c r="N1273" s="198" t="s">
        <v>2272</v>
      </c>
      <c r="O1273" s="198" t="s">
        <v>2272</v>
      </c>
      <c r="P1273" s="198" t="s">
        <v>2272</v>
      </c>
      <c r="Q1273" s="198" t="s">
        <v>2272</v>
      </c>
      <c r="R1273" s="198" t="s">
        <v>2272</v>
      </c>
      <c r="S1273" s="198" t="s">
        <v>2272</v>
      </c>
      <c r="T1273" s="198" t="s">
        <v>2272</v>
      </c>
      <c r="U1273" s="198" t="s">
        <v>2272</v>
      </c>
      <c r="V1273" s="198" t="s">
        <v>2272</v>
      </c>
      <c r="W1273" s="198" t="s">
        <v>2272</v>
      </c>
      <c r="X1273" s="198" t="s">
        <v>2272</v>
      </c>
      <c r="Y1273" s="198" t="s">
        <v>2272</v>
      </c>
      <c r="Z1273" s="198" t="s">
        <v>2272</v>
      </c>
      <c r="AA1273" s="198" t="s">
        <v>125</v>
      </c>
      <c r="AB1273" s="198" t="s">
        <v>397</v>
      </c>
      <c r="AC1273" s="198" t="s">
        <v>63</v>
      </c>
      <c r="AD1273" s="198"/>
      <c r="AE1273" s="198"/>
    </row>
    <row r="1274" spans="1:31" ht="38" customHeight="1">
      <c r="A1274" s="4" t="s">
        <v>3811</v>
      </c>
      <c r="B1274" s="198" t="s">
        <v>3819</v>
      </c>
      <c r="C1274" s="198" t="s">
        <v>23</v>
      </c>
      <c r="D1274" s="198" t="s">
        <v>60</v>
      </c>
      <c r="E1274" s="198" t="s">
        <v>114</v>
      </c>
      <c r="F1274" s="4" t="s">
        <v>73</v>
      </c>
      <c r="G1274" s="198" t="s">
        <v>73</v>
      </c>
      <c r="H1274" s="198" t="s">
        <v>521</v>
      </c>
      <c r="I1274" s="198"/>
      <c r="J1274" s="198" t="s">
        <v>2272</v>
      </c>
      <c r="K1274" s="198" t="s">
        <v>2272</v>
      </c>
      <c r="L1274" s="198" t="s">
        <v>2272</v>
      </c>
      <c r="M1274" s="198" t="s">
        <v>2272</v>
      </c>
      <c r="N1274" s="198" t="s">
        <v>2272</v>
      </c>
      <c r="O1274" s="198" t="s">
        <v>2272</v>
      </c>
      <c r="P1274" s="198" t="s">
        <v>2272</v>
      </c>
      <c r="Q1274" s="198" t="s">
        <v>2272</v>
      </c>
      <c r="R1274" s="198" t="s">
        <v>2272</v>
      </c>
      <c r="S1274" s="198" t="s">
        <v>2272</v>
      </c>
      <c r="T1274" s="198" t="s">
        <v>2272</v>
      </c>
      <c r="U1274" s="198" t="s">
        <v>2272</v>
      </c>
      <c r="V1274" s="198" t="s">
        <v>2272</v>
      </c>
      <c r="W1274" s="198" t="s">
        <v>2272</v>
      </c>
      <c r="X1274" s="198" t="s">
        <v>2272</v>
      </c>
      <c r="Y1274" s="198" t="s">
        <v>2272</v>
      </c>
      <c r="Z1274" s="198" t="s">
        <v>2272</v>
      </c>
      <c r="AA1274" s="198" t="s">
        <v>397</v>
      </c>
      <c r="AB1274" s="198" t="s">
        <v>37</v>
      </c>
      <c r="AC1274" s="198" t="s">
        <v>63</v>
      </c>
      <c r="AD1274" s="198"/>
      <c r="AE1274" s="198"/>
    </row>
    <row r="1275" spans="1:31" ht="42" customHeight="1">
      <c r="A1275" s="4" t="s">
        <v>3811</v>
      </c>
      <c r="B1275" s="198" t="s">
        <v>3821</v>
      </c>
      <c r="C1275" s="198" t="s">
        <v>30</v>
      </c>
      <c r="D1275" s="198" t="s">
        <v>2272</v>
      </c>
      <c r="E1275" s="198" t="s">
        <v>1102</v>
      </c>
      <c r="F1275" s="4" t="s">
        <v>2272</v>
      </c>
      <c r="G1275" s="198" t="s">
        <v>73</v>
      </c>
      <c r="H1275" s="198" t="s">
        <v>521</v>
      </c>
      <c r="I1275" s="198"/>
      <c r="J1275" s="198" t="s">
        <v>2272</v>
      </c>
      <c r="K1275" s="198" t="s">
        <v>2272</v>
      </c>
      <c r="L1275" s="198" t="s">
        <v>2272</v>
      </c>
      <c r="M1275" s="198" t="s">
        <v>2272</v>
      </c>
      <c r="N1275" s="198" t="s">
        <v>2272</v>
      </c>
      <c r="O1275" s="198" t="s">
        <v>2272</v>
      </c>
      <c r="P1275" s="198" t="s">
        <v>2272</v>
      </c>
      <c r="Q1275" s="198" t="s">
        <v>2272</v>
      </c>
      <c r="R1275" s="198" t="s">
        <v>2272</v>
      </c>
      <c r="S1275" s="198" t="s">
        <v>2272</v>
      </c>
      <c r="T1275" s="198" t="s">
        <v>2272</v>
      </c>
      <c r="U1275" s="198" t="s">
        <v>2272</v>
      </c>
      <c r="V1275" s="198" t="s">
        <v>2272</v>
      </c>
      <c r="W1275" s="198" t="s">
        <v>2272</v>
      </c>
      <c r="X1275" s="198" t="s">
        <v>2272</v>
      </c>
      <c r="Y1275" s="198" t="s">
        <v>2272</v>
      </c>
      <c r="Z1275" s="198" t="s">
        <v>2272</v>
      </c>
      <c r="AA1275" s="198" t="s">
        <v>397</v>
      </c>
      <c r="AB1275" s="198" t="s">
        <v>37</v>
      </c>
      <c r="AC1275" s="198" t="s">
        <v>63</v>
      </c>
      <c r="AD1275" s="198"/>
      <c r="AE1275" s="198"/>
    </row>
    <row r="1276" spans="1:31" ht="41" customHeight="1">
      <c r="A1276" s="4" t="s">
        <v>3811</v>
      </c>
      <c r="B1276" s="198" t="s">
        <v>3822</v>
      </c>
      <c r="C1276" s="198" t="s">
        <v>23</v>
      </c>
      <c r="D1276" s="198" t="s">
        <v>26</v>
      </c>
      <c r="E1276" s="198" t="s">
        <v>128</v>
      </c>
      <c r="F1276" s="4" t="s">
        <v>73</v>
      </c>
      <c r="G1276" s="198" t="s">
        <v>2272</v>
      </c>
      <c r="H1276" s="198" t="s">
        <v>521</v>
      </c>
      <c r="I1276" s="198"/>
      <c r="J1276" s="198" t="s">
        <v>2272</v>
      </c>
      <c r="K1276" s="198" t="s">
        <v>2272</v>
      </c>
      <c r="L1276" s="198" t="s">
        <v>2272</v>
      </c>
      <c r="M1276" s="198" t="s">
        <v>2272</v>
      </c>
      <c r="N1276" s="198" t="s">
        <v>2272</v>
      </c>
      <c r="O1276" s="198" t="s">
        <v>2272</v>
      </c>
      <c r="P1276" s="198" t="s">
        <v>2272</v>
      </c>
      <c r="Q1276" s="198" t="s">
        <v>2272</v>
      </c>
      <c r="R1276" s="198" t="s">
        <v>2272</v>
      </c>
      <c r="S1276" s="198" t="s">
        <v>2272</v>
      </c>
      <c r="T1276" s="198" t="s">
        <v>2272</v>
      </c>
      <c r="U1276" s="198" t="s">
        <v>2272</v>
      </c>
      <c r="V1276" s="198" t="s">
        <v>2272</v>
      </c>
      <c r="W1276" s="198" t="s">
        <v>2272</v>
      </c>
      <c r="X1276" s="198" t="s">
        <v>2272</v>
      </c>
      <c r="Y1276" s="198" t="s">
        <v>2272</v>
      </c>
      <c r="Z1276" s="198" t="s">
        <v>2272</v>
      </c>
      <c r="AA1276" s="198" t="s">
        <v>186</v>
      </c>
      <c r="AB1276" s="198" t="s">
        <v>37</v>
      </c>
      <c r="AC1276" s="198" t="s">
        <v>63</v>
      </c>
      <c r="AD1276" s="198"/>
      <c r="AE1276" s="198"/>
    </row>
    <row r="1277" spans="1:31" ht="43.5" customHeight="1">
      <c r="A1277" s="4" t="s">
        <v>3827</v>
      </c>
      <c r="B1277" s="198" t="s">
        <v>3833</v>
      </c>
      <c r="C1277" s="198" t="s">
        <v>23</v>
      </c>
      <c r="D1277" s="198" t="s">
        <v>3471</v>
      </c>
      <c r="E1277" s="198" t="s">
        <v>114</v>
      </c>
      <c r="F1277" s="4" t="s">
        <v>2657</v>
      </c>
      <c r="G1277" s="198" t="s">
        <v>2272</v>
      </c>
      <c r="H1277" s="198" t="s">
        <v>522</v>
      </c>
      <c r="I1277" s="198"/>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198" t="s">
        <v>2272</v>
      </c>
      <c r="AA1277" s="198" t="s">
        <v>2272</v>
      </c>
      <c r="AB1277" s="198" t="s">
        <v>2272</v>
      </c>
      <c r="AC1277" s="198" t="s">
        <v>2272</v>
      </c>
      <c r="AD1277" s="198"/>
      <c r="AE1277" s="198"/>
    </row>
    <row r="1278" spans="1:31" ht="63.5" customHeight="1">
      <c r="A1278" s="4" t="s">
        <v>3836</v>
      </c>
      <c r="B1278" s="198" t="s">
        <v>3840</v>
      </c>
      <c r="C1278" s="198" t="s">
        <v>23</v>
      </c>
      <c r="D1278" s="198" t="s">
        <v>2799</v>
      </c>
      <c r="E1278" s="198" t="s">
        <v>5000</v>
      </c>
      <c r="F1278" s="4" t="s">
        <v>2657</v>
      </c>
      <c r="G1278" s="4" t="s">
        <v>2657</v>
      </c>
      <c r="H1278" s="198" t="s">
        <v>521</v>
      </c>
      <c r="I1278" s="198"/>
      <c r="J1278" s="198" t="s">
        <v>2272</v>
      </c>
      <c r="K1278" s="198" t="s">
        <v>2272</v>
      </c>
      <c r="L1278" s="198" t="s">
        <v>2272</v>
      </c>
      <c r="M1278" s="198" t="s">
        <v>2272</v>
      </c>
      <c r="N1278" s="198" t="s">
        <v>2272</v>
      </c>
      <c r="O1278" s="198" t="s">
        <v>2272</v>
      </c>
      <c r="P1278" s="198" t="s">
        <v>2272</v>
      </c>
      <c r="Q1278" s="198" t="s">
        <v>2272</v>
      </c>
      <c r="R1278" s="198" t="s">
        <v>2272</v>
      </c>
      <c r="S1278" s="198" t="s">
        <v>2272</v>
      </c>
      <c r="T1278" s="198" t="s">
        <v>2272</v>
      </c>
      <c r="U1278" s="198" t="s">
        <v>2272</v>
      </c>
      <c r="V1278" s="198" t="s">
        <v>2272</v>
      </c>
      <c r="W1278" s="198" t="s">
        <v>2272</v>
      </c>
      <c r="X1278" s="198" t="s">
        <v>2272</v>
      </c>
      <c r="Y1278" s="198" t="s">
        <v>2272</v>
      </c>
      <c r="Z1278" s="198" t="s">
        <v>2272</v>
      </c>
      <c r="AA1278" s="198" t="s">
        <v>2272</v>
      </c>
      <c r="AB1278" s="198" t="s">
        <v>2272</v>
      </c>
      <c r="AC1278" s="198" t="s">
        <v>2272</v>
      </c>
      <c r="AD1278" s="198"/>
      <c r="AE1278" s="4" t="s">
        <v>3841</v>
      </c>
    </row>
    <row r="1279" spans="1:31" ht="59.5" customHeight="1">
      <c r="A1279" s="4" t="s">
        <v>3836</v>
      </c>
      <c r="B1279" s="198" t="s">
        <v>3842</v>
      </c>
      <c r="C1279" s="198" t="s">
        <v>2651</v>
      </c>
      <c r="D1279" s="198" t="s">
        <v>2272</v>
      </c>
      <c r="E1279" s="198" t="s">
        <v>2272</v>
      </c>
      <c r="F1279" s="4" t="s">
        <v>2272</v>
      </c>
      <c r="G1279" s="198" t="s">
        <v>2272</v>
      </c>
      <c r="H1279" s="198" t="s">
        <v>522</v>
      </c>
      <c r="I1279" s="198"/>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1">
        <v>0</v>
      </c>
      <c r="AA1279" s="198" t="s">
        <v>2272</v>
      </c>
      <c r="AB1279" s="198" t="s">
        <v>2272</v>
      </c>
      <c r="AC1279" s="198" t="s">
        <v>2272</v>
      </c>
      <c r="AD1279" s="198"/>
      <c r="AE1279" s="4" t="s">
        <v>3843</v>
      </c>
    </row>
    <row r="1280" spans="1:31" ht="101" customHeight="1">
      <c r="A1280" s="4" t="s">
        <v>3845</v>
      </c>
      <c r="B1280" s="198" t="s">
        <v>3852</v>
      </c>
      <c r="C1280" s="198" t="s">
        <v>23</v>
      </c>
      <c r="D1280" s="198" t="s">
        <v>24</v>
      </c>
      <c r="E1280" s="198" t="s">
        <v>2272</v>
      </c>
      <c r="F1280" s="4" t="s">
        <v>54</v>
      </c>
      <c r="G1280" s="198" t="s">
        <v>2272</v>
      </c>
      <c r="H1280" s="198" t="s">
        <v>522</v>
      </c>
      <c r="I1280" s="198"/>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1">
        <v>0</v>
      </c>
      <c r="Z1280" s="198" t="s">
        <v>2272</v>
      </c>
      <c r="AA1280" s="198" t="s">
        <v>2272</v>
      </c>
      <c r="AB1280" s="198" t="s">
        <v>2272</v>
      </c>
      <c r="AC1280" s="198" t="s">
        <v>2272</v>
      </c>
      <c r="AD1280" s="4" t="s">
        <v>3853</v>
      </c>
      <c r="AE1280" s="4" t="s">
        <v>3894</v>
      </c>
    </row>
    <row r="1281" spans="1:31" ht="52.5" customHeight="1">
      <c r="A1281" s="4" t="s">
        <v>3856</v>
      </c>
      <c r="B1281" s="198" t="s">
        <v>3860</v>
      </c>
      <c r="C1281" s="198" t="s">
        <v>1102</v>
      </c>
      <c r="D1281" s="198" t="s">
        <v>1102</v>
      </c>
      <c r="E1281" s="198" t="s">
        <v>114</v>
      </c>
      <c r="F1281" s="4" t="s">
        <v>2272</v>
      </c>
      <c r="G1281" s="198" t="s">
        <v>2272</v>
      </c>
      <c r="H1281" s="198" t="s">
        <v>521</v>
      </c>
      <c r="I1281" s="198">
        <v>1992</v>
      </c>
      <c r="J1281" s="198" t="s">
        <v>2272</v>
      </c>
      <c r="K1281" s="198" t="s">
        <v>2272</v>
      </c>
      <c r="L1281" s="198" t="s">
        <v>2272</v>
      </c>
      <c r="M1281" s="198" t="s">
        <v>2272</v>
      </c>
      <c r="N1281" s="198" t="s">
        <v>2272</v>
      </c>
      <c r="O1281" s="198" t="s">
        <v>2272</v>
      </c>
      <c r="P1281" s="198" t="s">
        <v>2272</v>
      </c>
      <c r="Q1281" s="198" t="s">
        <v>2272</v>
      </c>
      <c r="R1281" s="198" t="s">
        <v>2272</v>
      </c>
      <c r="S1281" s="198" t="s">
        <v>2272</v>
      </c>
      <c r="T1281" s="198" t="s">
        <v>2272</v>
      </c>
      <c r="U1281" s="198" t="s">
        <v>2272</v>
      </c>
      <c r="V1281" s="198" t="s">
        <v>2272</v>
      </c>
      <c r="W1281" s="198" t="s">
        <v>2272</v>
      </c>
      <c r="X1281" s="198" t="s">
        <v>2272</v>
      </c>
      <c r="Y1281" s="198" t="s">
        <v>2272</v>
      </c>
      <c r="Z1281" s="198" t="s">
        <v>2272</v>
      </c>
      <c r="AA1281" s="198" t="s">
        <v>397</v>
      </c>
      <c r="AB1281" s="198" t="s">
        <v>84</v>
      </c>
      <c r="AC1281" s="198" t="s">
        <v>2272</v>
      </c>
      <c r="AD1281" s="4" t="s">
        <v>3861</v>
      </c>
      <c r="AE1281" s="4" t="s">
        <v>3873</v>
      </c>
    </row>
    <row r="1282" spans="1:31" ht="52.5" customHeight="1">
      <c r="A1282" s="4" t="s">
        <v>3856</v>
      </c>
      <c r="B1282" s="198" t="s">
        <v>3862</v>
      </c>
      <c r="C1282" s="198" t="s">
        <v>1102</v>
      </c>
      <c r="D1282" s="198" t="s">
        <v>1102</v>
      </c>
      <c r="E1282" s="198" t="s">
        <v>114</v>
      </c>
      <c r="F1282" s="4" t="s">
        <v>2272</v>
      </c>
      <c r="G1282" s="198" t="s">
        <v>2272</v>
      </c>
      <c r="H1282" s="198" t="s">
        <v>521</v>
      </c>
      <c r="I1282" s="198">
        <v>1993</v>
      </c>
      <c r="J1282" s="198" t="s">
        <v>2272</v>
      </c>
      <c r="K1282" s="198" t="s">
        <v>2272</v>
      </c>
      <c r="L1282" s="198" t="s">
        <v>2272</v>
      </c>
      <c r="M1282" s="198" t="s">
        <v>2272</v>
      </c>
      <c r="N1282" s="198" t="s">
        <v>2272</v>
      </c>
      <c r="O1282" s="198" t="s">
        <v>2272</v>
      </c>
      <c r="P1282" s="198" t="s">
        <v>2272</v>
      </c>
      <c r="Q1282" s="198" t="s">
        <v>2272</v>
      </c>
      <c r="R1282" s="198" t="s">
        <v>2272</v>
      </c>
      <c r="S1282" s="198" t="s">
        <v>2272</v>
      </c>
      <c r="T1282" s="198" t="s">
        <v>2272</v>
      </c>
      <c r="U1282" s="198" t="s">
        <v>2272</v>
      </c>
      <c r="V1282" s="198" t="s">
        <v>2272</v>
      </c>
      <c r="W1282" s="198" t="s">
        <v>2272</v>
      </c>
      <c r="X1282" s="198" t="s">
        <v>2272</v>
      </c>
      <c r="Y1282" s="198" t="s">
        <v>2272</v>
      </c>
      <c r="Z1282" s="198" t="s">
        <v>2272</v>
      </c>
      <c r="AA1282" s="198" t="s">
        <v>397</v>
      </c>
      <c r="AB1282" s="198" t="s">
        <v>84</v>
      </c>
      <c r="AC1282" s="198" t="s">
        <v>2272</v>
      </c>
      <c r="AD1282" s="4" t="s">
        <v>3861</v>
      </c>
      <c r="AE1282" s="4" t="s">
        <v>3873</v>
      </c>
    </row>
    <row r="1283" spans="1:31" ht="52.5" customHeight="1">
      <c r="A1283" s="4" t="s">
        <v>3856</v>
      </c>
      <c r="B1283" s="198" t="s">
        <v>3863</v>
      </c>
      <c r="C1283" s="198" t="s">
        <v>1102</v>
      </c>
      <c r="D1283" s="198" t="s">
        <v>1102</v>
      </c>
      <c r="E1283" s="198" t="s">
        <v>114</v>
      </c>
      <c r="F1283" s="4" t="s">
        <v>2272</v>
      </c>
      <c r="G1283" s="198" t="s">
        <v>2272</v>
      </c>
      <c r="H1283" s="198" t="s">
        <v>521</v>
      </c>
      <c r="I1283" s="198">
        <v>1994</v>
      </c>
      <c r="J1283" s="198" t="s">
        <v>2272</v>
      </c>
      <c r="K1283" s="198" t="s">
        <v>2272</v>
      </c>
      <c r="L1283" s="198" t="s">
        <v>2272</v>
      </c>
      <c r="M1283" s="198" t="s">
        <v>2272</v>
      </c>
      <c r="N1283" s="198" t="s">
        <v>2272</v>
      </c>
      <c r="O1283" s="198" t="s">
        <v>2272</v>
      </c>
      <c r="P1283" s="198" t="s">
        <v>2272</v>
      </c>
      <c r="Q1283" s="198" t="s">
        <v>2272</v>
      </c>
      <c r="R1283" s="198" t="s">
        <v>2272</v>
      </c>
      <c r="S1283" s="198" t="s">
        <v>2272</v>
      </c>
      <c r="T1283" s="198" t="s">
        <v>2272</v>
      </c>
      <c r="U1283" s="198" t="s">
        <v>2272</v>
      </c>
      <c r="V1283" s="198" t="s">
        <v>2272</v>
      </c>
      <c r="W1283" s="198" t="s">
        <v>2272</v>
      </c>
      <c r="X1283" s="198" t="s">
        <v>2272</v>
      </c>
      <c r="Y1283" s="198" t="s">
        <v>2272</v>
      </c>
      <c r="Z1283" s="198" t="s">
        <v>2272</v>
      </c>
      <c r="AA1283" s="198" t="s">
        <v>397</v>
      </c>
      <c r="AB1283" s="198" t="s">
        <v>84</v>
      </c>
      <c r="AC1283" s="198" t="s">
        <v>2272</v>
      </c>
      <c r="AD1283" s="4" t="s">
        <v>3861</v>
      </c>
      <c r="AE1283" s="4" t="s">
        <v>3873</v>
      </c>
    </row>
    <row r="1284" spans="1:31" ht="52.5" customHeight="1">
      <c r="A1284" s="4" t="s">
        <v>3856</v>
      </c>
      <c r="B1284" s="198" t="s">
        <v>3864</v>
      </c>
      <c r="C1284" s="198" t="s">
        <v>1102</v>
      </c>
      <c r="D1284" s="198" t="s">
        <v>1102</v>
      </c>
      <c r="E1284" s="198" t="s">
        <v>114</v>
      </c>
      <c r="F1284" s="4" t="s">
        <v>2272</v>
      </c>
      <c r="G1284" s="198" t="s">
        <v>2272</v>
      </c>
      <c r="H1284" s="198" t="s">
        <v>521</v>
      </c>
      <c r="I1284" s="198">
        <v>1995</v>
      </c>
      <c r="J1284" s="198" t="s">
        <v>2272</v>
      </c>
      <c r="K1284" s="198" t="s">
        <v>2272</v>
      </c>
      <c r="L1284" s="198" t="s">
        <v>2272</v>
      </c>
      <c r="M1284" s="198" t="s">
        <v>2272</v>
      </c>
      <c r="N1284" s="198" t="s">
        <v>2272</v>
      </c>
      <c r="O1284" s="198" t="s">
        <v>2272</v>
      </c>
      <c r="P1284" s="198" t="s">
        <v>2272</v>
      </c>
      <c r="Q1284" s="198" t="s">
        <v>2272</v>
      </c>
      <c r="R1284" s="198" t="s">
        <v>2272</v>
      </c>
      <c r="S1284" s="198" t="s">
        <v>2272</v>
      </c>
      <c r="T1284" s="198" t="s">
        <v>2272</v>
      </c>
      <c r="U1284" s="198" t="s">
        <v>2272</v>
      </c>
      <c r="V1284" s="198" t="s">
        <v>2272</v>
      </c>
      <c r="W1284" s="198" t="s">
        <v>2272</v>
      </c>
      <c r="X1284" s="198" t="s">
        <v>2272</v>
      </c>
      <c r="Y1284" s="198" t="s">
        <v>2272</v>
      </c>
      <c r="Z1284" s="198" t="s">
        <v>2272</v>
      </c>
      <c r="AA1284" s="198" t="s">
        <v>397</v>
      </c>
      <c r="AB1284" s="198" t="s">
        <v>84</v>
      </c>
      <c r="AC1284" s="198" t="s">
        <v>2272</v>
      </c>
      <c r="AD1284" s="4" t="s">
        <v>3861</v>
      </c>
      <c r="AE1284" s="4" t="s">
        <v>3873</v>
      </c>
    </row>
    <row r="1285" spans="1:31" ht="52.5" customHeight="1">
      <c r="A1285" s="4" t="s">
        <v>3856</v>
      </c>
      <c r="B1285" s="198" t="s">
        <v>3865</v>
      </c>
      <c r="C1285" s="198" t="s">
        <v>1102</v>
      </c>
      <c r="D1285" s="198" t="s">
        <v>1102</v>
      </c>
      <c r="E1285" s="198" t="s">
        <v>114</v>
      </c>
      <c r="F1285" s="4" t="s">
        <v>2272</v>
      </c>
      <c r="G1285" s="198" t="s">
        <v>2272</v>
      </c>
      <c r="H1285" s="198" t="s">
        <v>521</v>
      </c>
      <c r="I1285" s="198">
        <v>1996</v>
      </c>
      <c r="J1285" s="198" t="s">
        <v>2272</v>
      </c>
      <c r="K1285" s="198" t="s">
        <v>2272</v>
      </c>
      <c r="L1285" s="198" t="s">
        <v>2272</v>
      </c>
      <c r="M1285" s="198" t="s">
        <v>2272</v>
      </c>
      <c r="N1285" s="198" t="s">
        <v>2272</v>
      </c>
      <c r="O1285" s="198" t="s">
        <v>2272</v>
      </c>
      <c r="P1285" s="198" t="s">
        <v>2272</v>
      </c>
      <c r="Q1285" s="198" t="s">
        <v>2272</v>
      </c>
      <c r="R1285" s="198" t="s">
        <v>2272</v>
      </c>
      <c r="S1285" s="198" t="s">
        <v>2272</v>
      </c>
      <c r="T1285" s="198" t="s">
        <v>2272</v>
      </c>
      <c r="U1285" s="198" t="s">
        <v>2272</v>
      </c>
      <c r="V1285" s="198" t="s">
        <v>2272</v>
      </c>
      <c r="W1285" s="198" t="s">
        <v>2272</v>
      </c>
      <c r="X1285" s="198" t="s">
        <v>2272</v>
      </c>
      <c r="Y1285" s="198" t="s">
        <v>2272</v>
      </c>
      <c r="Z1285" s="198" t="s">
        <v>2272</v>
      </c>
      <c r="AA1285" s="198" t="s">
        <v>397</v>
      </c>
      <c r="AB1285" s="198" t="s">
        <v>84</v>
      </c>
      <c r="AC1285" s="198" t="s">
        <v>2272</v>
      </c>
      <c r="AD1285" s="4" t="s">
        <v>3861</v>
      </c>
      <c r="AE1285" s="4" t="s">
        <v>3873</v>
      </c>
    </row>
    <row r="1286" spans="1:31" ht="52.5" customHeight="1">
      <c r="A1286" s="4" t="s">
        <v>3856</v>
      </c>
      <c r="B1286" s="198" t="s">
        <v>3866</v>
      </c>
      <c r="C1286" s="198" t="s">
        <v>1102</v>
      </c>
      <c r="D1286" s="198" t="s">
        <v>1102</v>
      </c>
      <c r="E1286" s="198" t="s">
        <v>114</v>
      </c>
      <c r="F1286" s="4" t="s">
        <v>2272</v>
      </c>
      <c r="G1286" s="198" t="s">
        <v>2272</v>
      </c>
      <c r="H1286" s="198" t="s">
        <v>521</v>
      </c>
      <c r="I1286" s="198">
        <v>1997</v>
      </c>
      <c r="J1286" s="198" t="s">
        <v>2272</v>
      </c>
      <c r="K1286" s="198" t="s">
        <v>2272</v>
      </c>
      <c r="L1286" s="198" t="s">
        <v>2272</v>
      </c>
      <c r="M1286" s="198" t="s">
        <v>2272</v>
      </c>
      <c r="N1286" s="198" t="s">
        <v>2272</v>
      </c>
      <c r="O1286" s="198" t="s">
        <v>2272</v>
      </c>
      <c r="P1286" s="198" t="s">
        <v>2272</v>
      </c>
      <c r="Q1286" s="198" t="s">
        <v>2272</v>
      </c>
      <c r="R1286" s="198" t="s">
        <v>2272</v>
      </c>
      <c r="S1286" s="198" t="s">
        <v>2272</v>
      </c>
      <c r="T1286" s="198" t="s">
        <v>2272</v>
      </c>
      <c r="U1286" s="198" t="s">
        <v>2272</v>
      </c>
      <c r="V1286" s="198" t="s">
        <v>2272</v>
      </c>
      <c r="W1286" s="198" t="s">
        <v>2272</v>
      </c>
      <c r="X1286" s="198" t="s">
        <v>2272</v>
      </c>
      <c r="Y1286" s="198" t="s">
        <v>2272</v>
      </c>
      <c r="Z1286" s="198" t="s">
        <v>2272</v>
      </c>
      <c r="AA1286" s="198" t="s">
        <v>397</v>
      </c>
      <c r="AB1286" s="198" t="s">
        <v>84</v>
      </c>
      <c r="AC1286" s="198" t="s">
        <v>2272</v>
      </c>
      <c r="AD1286" s="4" t="s">
        <v>3861</v>
      </c>
      <c r="AE1286" s="4" t="s">
        <v>3873</v>
      </c>
    </row>
    <row r="1287" spans="1:31" ht="52.5" customHeight="1">
      <c r="A1287" s="4" t="s">
        <v>3856</v>
      </c>
      <c r="B1287" s="198" t="s">
        <v>3867</v>
      </c>
      <c r="C1287" s="198" t="s">
        <v>1102</v>
      </c>
      <c r="D1287" s="198" t="s">
        <v>1102</v>
      </c>
      <c r="E1287" s="198" t="s">
        <v>114</v>
      </c>
      <c r="F1287" s="4" t="s">
        <v>2272</v>
      </c>
      <c r="G1287" s="198" t="s">
        <v>2272</v>
      </c>
      <c r="H1287" s="198" t="s">
        <v>521</v>
      </c>
      <c r="I1287" s="198">
        <v>1998</v>
      </c>
      <c r="J1287" s="198" t="s">
        <v>2272</v>
      </c>
      <c r="K1287" s="198" t="s">
        <v>2272</v>
      </c>
      <c r="L1287" s="198" t="s">
        <v>2272</v>
      </c>
      <c r="M1287" s="198" t="s">
        <v>2272</v>
      </c>
      <c r="N1287" s="198" t="s">
        <v>2272</v>
      </c>
      <c r="O1287" s="198" t="s">
        <v>2272</v>
      </c>
      <c r="P1287" s="198" t="s">
        <v>2272</v>
      </c>
      <c r="Q1287" s="198" t="s">
        <v>2272</v>
      </c>
      <c r="R1287" s="198" t="s">
        <v>2272</v>
      </c>
      <c r="S1287" s="198" t="s">
        <v>2272</v>
      </c>
      <c r="T1287" s="198" t="s">
        <v>2272</v>
      </c>
      <c r="U1287" s="198" t="s">
        <v>2272</v>
      </c>
      <c r="V1287" s="198" t="s">
        <v>2272</v>
      </c>
      <c r="W1287" s="198" t="s">
        <v>2272</v>
      </c>
      <c r="X1287" s="198" t="s">
        <v>2272</v>
      </c>
      <c r="Y1287" s="198" t="s">
        <v>2272</v>
      </c>
      <c r="Z1287" s="198" t="s">
        <v>2272</v>
      </c>
      <c r="AA1287" s="198" t="s">
        <v>397</v>
      </c>
      <c r="AB1287" s="198" t="s">
        <v>84</v>
      </c>
      <c r="AC1287" s="198" t="s">
        <v>2272</v>
      </c>
      <c r="AD1287" s="4" t="s">
        <v>3861</v>
      </c>
      <c r="AE1287" s="4" t="s">
        <v>3873</v>
      </c>
    </row>
    <row r="1288" spans="1:31" ht="52.5" customHeight="1">
      <c r="A1288" s="4" t="s">
        <v>3856</v>
      </c>
      <c r="B1288" s="198" t="s">
        <v>3868</v>
      </c>
      <c r="C1288" s="198" t="s">
        <v>1102</v>
      </c>
      <c r="D1288" s="198" t="s">
        <v>1102</v>
      </c>
      <c r="E1288" s="198" t="s">
        <v>114</v>
      </c>
      <c r="F1288" s="4" t="s">
        <v>2272</v>
      </c>
      <c r="G1288" s="198" t="s">
        <v>2272</v>
      </c>
      <c r="H1288" s="198" t="s">
        <v>521</v>
      </c>
      <c r="I1288" s="198">
        <v>1999</v>
      </c>
      <c r="J1288" s="198" t="s">
        <v>2272</v>
      </c>
      <c r="K1288" s="198" t="s">
        <v>2272</v>
      </c>
      <c r="L1288" s="198" t="s">
        <v>2272</v>
      </c>
      <c r="M1288" s="198" t="s">
        <v>2272</v>
      </c>
      <c r="N1288" s="198" t="s">
        <v>2272</v>
      </c>
      <c r="O1288" s="198" t="s">
        <v>2272</v>
      </c>
      <c r="P1288" s="198" t="s">
        <v>2272</v>
      </c>
      <c r="Q1288" s="198" t="s">
        <v>2272</v>
      </c>
      <c r="R1288" s="198" t="s">
        <v>2272</v>
      </c>
      <c r="S1288" s="198" t="s">
        <v>2272</v>
      </c>
      <c r="T1288" s="198" t="s">
        <v>2272</v>
      </c>
      <c r="U1288" s="198" t="s">
        <v>2272</v>
      </c>
      <c r="V1288" s="198" t="s">
        <v>2272</v>
      </c>
      <c r="W1288" s="198" t="s">
        <v>2272</v>
      </c>
      <c r="X1288" s="198" t="s">
        <v>2272</v>
      </c>
      <c r="Y1288" s="198" t="s">
        <v>2272</v>
      </c>
      <c r="Z1288" s="198" t="s">
        <v>2272</v>
      </c>
      <c r="AA1288" s="198" t="s">
        <v>397</v>
      </c>
      <c r="AB1288" s="198" t="s">
        <v>84</v>
      </c>
      <c r="AC1288" s="198" t="s">
        <v>2272</v>
      </c>
      <c r="AD1288" s="4" t="s">
        <v>3861</v>
      </c>
      <c r="AE1288" s="4" t="s">
        <v>3873</v>
      </c>
    </row>
    <row r="1289" spans="1:31" ht="52.5" customHeight="1">
      <c r="A1289" s="4" t="s">
        <v>3856</v>
      </c>
      <c r="B1289" s="198" t="s">
        <v>3869</v>
      </c>
      <c r="C1289" s="198" t="s">
        <v>1102</v>
      </c>
      <c r="D1289" s="198" t="s">
        <v>1102</v>
      </c>
      <c r="E1289" s="198" t="s">
        <v>114</v>
      </c>
      <c r="F1289" s="4" t="s">
        <v>2272</v>
      </c>
      <c r="G1289" s="198" t="s">
        <v>2272</v>
      </c>
      <c r="H1289" s="198" t="s">
        <v>521</v>
      </c>
      <c r="I1289" s="198">
        <v>2000</v>
      </c>
      <c r="J1289" s="198" t="s">
        <v>2272</v>
      </c>
      <c r="K1289" s="198" t="s">
        <v>2272</v>
      </c>
      <c r="L1289" s="198" t="s">
        <v>2272</v>
      </c>
      <c r="M1289" s="198" t="s">
        <v>2272</v>
      </c>
      <c r="N1289" s="198" t="s">
        <v>2272</v>
      </c>
      <c r="O1289" s="198" t="s">
        <v>2272</v>
      </c>
      <c r="P1289" s="198" t="s">
        <v>2272</v>
      </c>
      <c r="Q1289" s="198" t="s">
        <v>2272</v>
      </c>
      <c r="R1289" s="198" t="s">
        <v>2272</v>
      </c>
      <c r="S1289" s="198" t="s">
        <v>2272</v>
      </c>
      <c r="T1289" s="198" t="s">
        <v>2272</v>
      </c>
      <c r="U1289" s="198" t="s">
        <v>2272</v>
      </c>
      <c r="V1289" s="198" t="s">
        <v>2272</v>
      </c>
      <c r="W1289" s="198" t="s">
        <v>2272</v>
      </c>
      <c r="X1289" s="198" t="s">
        <v>2272</v>
      </c>
      <c r="Y1289" s="198" t="s">
        <v>2272</v>
      </c>
      <c r="Z1289" s="198" t="s">
        <v>2272</v>
      </c>
      <c r="AA1289" s="198" t="s">
        <v>397</v>
      </c>
      <c r="AB1289" s="198" t="s">
        <v>84</v>
      </c>
      <c r="AC1289" s="198" t="s">
        <v>2272</v>
      </c>
      <c r="AD1289" s="4" t="s">
        <v>3861</v>
      </c>
      <c r="AE1289" s="4" t="s">
        <v>3873</v>
      </c>
    </row>
    <row r="1290" spans="1:31" ht="52.5" customHeight="1">
      <c r="A1290" s="4" t="s">
        <v>3856</v>
      </c>
      <c r="B1290" s="198" t="s">
        <v>3870</v>
      </c>
      <c r="C1290" s="198" t="s">
        <v>1102</v>
      </c>
      <c r="D1290" s="198" t="s">
        <v>1102</v>
      </c>
      <c r="E1290" s="198" t="s">
        <v>114</v>
      </c>
      <c r="F1290" s="4" t="s">
        <v>2272</v>
      </c>
      <c r="G1290" s="198" t="s">
        <v>2272</v>
      </c>
      <c r="H1290" s="198" t="s">
        <v>521</v>
      </c>
      <c r="I1290" s="198">
        <v>2001</v>
      </c>
      <c r="J1290" s="198" t="s">
        <v>2272</v>
      </c>
      <c r="K1290" s="198" t="s">
        <v>2272</v>
      </c>
      <c r="L1290" s="198" t="s">
        <v>2272</v>
      </c>
      <c r="M1290" s="198" t="s">
        <v>2272</v>
      </c>
      <c r="N1290" s="198" t="s">
        <v>2272</v>
      </c>
      <c r="O1290" s="198" t="s">
        <v>2272</v>
      </c>
      <c r="P1290" s="198" t="s">
        <v>2272</v>
      </c>
      <c r="Q1290" s="198" t="s">
        <v>2272</v>
      </c>
      <c r="R1290" s="198" t="s">
        <v>2272</v>
      </c>
      <c r="S1290" s="198" t="s">
        <v>2272</v>
      </c>
      <c r="T1290" s="198" t="s">
        <v>2272</v>
      </c>
      <c r="U1290" s="198" t="s">
        <v>2272</v>
      </c>
      <c r="V1290" s="198" t="s">
        <v>2272</v>
      </c>
      <c r="W1290" s="198" t="s">
        <v>2272</v>
      </c>
      <c r="X1290" s="198" t="s">
        <v>2272</v>
      </c>
      <c r="Y1290" s="198" t="s">
        <v>2272</v>
      </c>
      <c r="Z1290" s="198" t="s">
        <v>2272</v>
      </c>
      <c r="AA1290" s="198" t="s">
        <v>397</v>
      </c>
      <c r="AB1290" s="198" t="s">
        <v>84</v>
      </c>
      <c r="AC1290" s="198" t="s">
        <v>2272</v>
      </c>
      <c r="AD1290" s="4" t="s">
        <v>3861</v>
      </c>
      <c r="AE1290" s="4" t="s">
        <v>3873</v>
      </c>
    </row>
    <row r="1291" spans="1:31" ht="52.5" customHeight="1">
      <c r="A1291" s="4" t="s">
        <v>3856</v>
      </c>
      <c r="B1291" s="198" t="s">
        <v>3871</v>
      </c>
      <c r="C1291" s="198" t="s">
        <v>1102</v>
      </c>
      <c r="D1291" s="198" t="s">
        <v>1102</v>
      </c>
      <c r="E1291" s="198" t="s">
        <v>114</v>
      </c>
      <c r="F1291" s="4" t="s">
        <v>2272</v>
      </c>
      <c r="G1291" s="198" t="s">
        <v>2272</v>
      </c>
      <c r="H1291" s="198" t="s">
        <v>521</v>
      </c>
      <c r="I1291" s="198">
        <v>2002</v>
      </c>
      <c r="J1291" s="198" t="s">
        <v>2272</v>
      </c>
      <c r="K1291" s="198" t="s">
        <v>2272</v>
      </c>
      <c r="L1291" s="198" t="s">
        <v>2272</v>
      </c>
      <c r="M1291" s="198" t="s">
        <v>2272</v>
      </c>
      <c r="N1291" s="198" t="s">
        <v>2272</v>
      </c>
      <c r="O1291" s="198" t="s">
        <v>2272</v>
      </c>
      <c r="P1291" s="198" t="s">
        <v>2272</v>
      </c>
      <c r="Q1291" s="198" t="s">
        <v>2272</v>
      </c>
      <c r="R1291" s="198" t="s">
        <v>2272</v>
      </c>
      <c r="S1291" s="198" t="s">
        <v>2272</v>
      </c>
      <c r="T1291" s="198" t="s">
        <v>2272</v>
      </c>
      <c r="U1291" s="198" t="s">
        <v>2272</v>
      </c>
      <c r="V1291" s="198" t="s">
        <v>2272</v>
      </c>
      <c r="W1291" s="198" t="s">
        <v>2272</v>
      </c>
      <c r="X1291" s="198" t="s">
        <v>2272</v>
      </c>
      <c r="Y1291" s="198" t="s">
        <v>2272</v>
      </c>
      <c r="Z1291" s="198" t="s">
        <v>2272</v>
      </c>
      <c r="AA1291" s="198" t="s">
        <v>397</v>
      </c>
      <c r="AB1291" s="198" t="s">
        <v>84</v>
      </c>
      <c r="AC1291" s="198" t="s">
        <v>2272</v>
      </c>
      <c r="AD1291" s="4" t="s">
        <v>3861</v>
      </c>
      <c r="AE1291" s="4" t="s">
        <v>3873</v>
      </c>
    </row>
    <row r="1292" spans="1:31" ht="52.5" customHeight="1">
      <c r="A1292" s="4" t="s">
        <v>3856</v>
      </c>
      <c r="B1292" s="198" t="s">
        <v>3872</v>
      </c>
      <c r="C1292" s="198" t="s">
        <v>1102</v>
      </c>
      <c r="D1292" s="198" t="s">
        <v>1102</v>
      </c>
      <c r="E1292" s="198" t="s">
        <v>114</v>
      </c>
      <c r="F1292" s="4" t="s">
        <v>2272</v>
      </c>
      <c r="G1292" s="198" t="s">
        <v>2272</v>
      </c>
      <c r="H1292" s="198" t="s">
        <v>521</v>
      </c>
      <c r="I1292" s="198">
        <v>2003</v>
      </c>
      <c r="J1292" s="198" t="s">
        <v>2272</v>
      </c>
      <c r="K1292" s="198" t="s">
        <v>2272</v>
      </c>
      <c r="L1292" s="198" t="s">
        <v>2272</v>
      </c>
      <c r="M1292" s="198" t="s">
        <v>2272</v>
      </c>
      <c r="N1292" s="198" t="s">
        <v>2272</v>
      </c>
      <c r="O1292" s="198" t="s">
        <v>2272</v>
      </c>
      <c r="P1292" s="198" t="s">
        <v>2272</v>
      </c>
      <c r="Q1292" s="198" t="s">
        <v>2272</v>
      </c>
      <c r="R1292" s="198" t="s">
        <v>2272</v>
      </c>
      <c r="S1292" s="198" t="s">
        <v>2272</v>
      </c>
      <c r="T1292" s="198" t="s">
        <v>2272</v>
      </c>
      <c r="U1292" s="198" t="s">
        <v>2272</v>
      </c>
      <c r="V1292" s="198" t="s">
        <v>2272</v>
      </c>
      <c r="W1292" s="198" t="s">
        <v>2272</v>
      </c>
      <c r="X1292" s="198" t="s">
        <v>2272</v>
      </c>
      <c r="Y1292" s="198" t="s">
        <v>2272</v>
      </c>
      <c r="Z1292" s="198" t="s">
        <v>2272</v>
      </c>
      <c r="AA1292" s="198" t="s">
        <v>397</v>
      </c>
      <c r="AB1292" s="198" t="s">
        <v>84</v>
      </c>
      <c r="AC1292" s="198" t="s">
        <v>2272</v>
      </c>
      <c r="AD1292" s="4" t="s">
        <v>3861</v>
      </c>
      <c r="AE1292" s="4" t="s">
        <v>3873</v>
      </c>
    </row>
    <row r="1293" spans="1:31" ht="41.5" customHeight="1">
      <c r="A1293" s="4" t="s">
        <v>3856</v>
      </c>
      <c r="B1293" s="198" t="s">
        <v>3874</v>
      </c>
      <c r="C1293" s="198" t="s">
        <v>23</v>
      </c>
      <c r="D1293" s="198" t="s">
        <v>1241</v>
      </c>
      <c r="E1293" s="198" t="s">
        <v>114</v>
      </c>
      <c r="F1293" s="4" t="s">
        <v>2657</v>
      </c>
      <c r="G1293" s="4" t="s">
        <v>2657</v>
      </c>
      <c r="H1293" s="198" t="s">
        <v>521</v>
      </c>
      <c r="I1293" s="198"/>
      <c r="J1293" s="198" t="s">
        <v>2272</v>
      </c>
      <c r="K1293" s="198" t="s">
        <v>2272</v>
      </c>
      <c r="L1293" s="198" t="s">
        <v>2272</v>
      </c>
      <c r="M1293" s="198" t="s">
        <v>2272</v>
      </c>
      <c r="N1293" s="198" t="s">
        <v>2272</v>
      </c>
      <c r="O1293" s="198" t="s">
        <v>2272</v>
      </c>
      <c r="P1293" s="198" t="s">
        <v>2272</v>
      </c>
      <c r="Q1293" s="198" t="s">
        <v>2272</v>
      </c>
      <c r="R1293" s="198" t="s">
        <v>2272</v>
      </c>
      <c r="S1293" s="198" t="s">
        <v>2272</v>
      </c>
      <c r="T1293" s="198" t="s">
        <v>2272</v>
      </c>
      <c r="U1293" s="198" t="s">
        <v>2272</v>
      </c>
      <c r="V1293" s="198" t="s">
        <v>2272</v>
      </c>
      <c r="W1293" s="198" t="s">
        <v>2272</v>
      </c>
      <c r="X1293" s="198" t="s">
        <v>2272</v>
      </c>
      <c r="Y1293" s="198" t="s">
        <v>2272</v>
      </c>
      <c r="Z1293" s="198" t="s">
        <v>2272</v>
      </c>
      <c r="AA1293" s="198" t="s">
        <v>2272</v>
      </c>
      <c r="AB1293" s="198" t="s">
        <v>2272</v>
      </c>
      <c r="AC1293" s="198" t="s">
        <v>2272</v>
      </c>
      <c r="AD1293" s="4" t="s">
        <v>3881</v>
      </c>
      <c r="AE1293" s="198"/>
    </row>
    <row r="1294" spans="1:31" ht="39" customHeight="1">
      <c r="A1294" s="4" t="s">
        <v>3856</v>
      </c>
      <c r="B1294" s="198" t="s">
        <v>3875</v>
      </c>
      <c r="C1294" s="198" t="s">
        <v>23</v>
      </c>
      <c r="D1294" s="198" t="s">
        <v>2301</v>
      </c>
      <c r="E1294" s="198" t="s">
        <v>114</v>
      </c>
      <c r="F1294" s="4" t="s">
        <v>2657</v>
      </c>
      <c r="G1294" s="4" t="s">
        <v>2657</v>
      </c>
      <c r="H1294" s="198" t="s">
        <v>521</v>
      </c>
      <c r="I1294" s="198"/>
      <c r="J1294" s="198" t="s">
        <v>2272</v>
      </c>
      <c r="K1294" s="198" t="s">
        <v>2272</v>
      </c>
      <c r="L1294" s="198" t="s">
        <v>2272</v>
      </c>
      <c r="M1294" s="198" t="s">
        <v>2272</v>
      </c>
      <c r="N1294" s="198" t="s">
        <v>2272</v>
      </c>
      <c r="O1294" s="198" t="s">
        <v>2272</v>
      </c>
      <c r="P1294" s="198" t="s">
        <v>2272</v>
      </c>
      <c r="Q1294" s="198" t="s">
        <v>2272</v>
      </c>
      <c r="R1294" s="198" t="s">
        <v>2272</v>
      </c>
      <c r="S1294" s="198" t="s">
        <v>2272</v>
      </c>
      <c r="T1294" s="198" t="s">
        <v>2272</v>
      </c>
      <c r="U1294" s="198" t="s">
        <v>2272</v>
      </c>
      <c r="V1294" s="198" t="s">
        <v>2272</v>
      </c>
      <c r="W1294" s="198" t="s">
        <v>2272</v>
      </c>
      <c r="X1294" s="198" t="s">
        <v>2272</v>
      </c>
      <c r="Y1294" s="198" t="s">
        <v>2272</v>
      </c>
      <c r="Z1294" s="198" t="s">
        <v>2272</v>
      </c>
      <c r="AA1294" s="198" t="s">
        <v>2272</v>
      </c>
      <c r="AB1294" s="198" t="s">
        <v>2272</v>
      </c>
      <c r="AC1294" s="198" t="s">
        <v>2272</v>
      </c>
      <c r="AD1294" s="198"/>
      <c r="AE1294" s="198"/>
    </row>
    <row r="1295" spans="1:31" ht="33.5" customHeight="1">
      <c r="A1295" s="4" t="s">
        <v>3856</v>
      </c>
      <c r="B1295" s="198" t="s">
        <v>3876</v>
      </c>
      <c r="C1295" s="198" t="s">
        <v>23</v>
      </c>
      <c r="D1295" s="198" t="s">
        <v>2337</v>
      </c>
      <c r="E1295" s="198" t="s">
        <v>114</v>
      </c>
      <c r="F1295" s="4" t="s">
        <v>2657</v>
      </c>
      <c r="G1295" s="4" t="s">
        <v>2657</v>
      </c>
      <c r="H1295" s="198" t="s">
        <v>521</v>
      </c>
      <c r="I1295" s="198"/>
      <c r="J1295" s="198" t="s">
        <v>2272</v>
      </c>
      <c r="K1295" s="198" t="s">
        <v>2272</v>
      </c>
      <c r="L1295" s="198" t="s">
        <v>2272</v>
      </c>
      <c r="M1295" s="198" t="s">
        <v>2272</v>
      </c>
      <c r="N1295" s="198" t="s">
        <v>2272</v>
      </c>
      <c r="O1295" s="198" t="s">
        <v>2272</v>
      </c>
      <c r="P1295" s="198" t="s">
        <v>2272</v>
      </c>
      <c r="Q1295" s="198" t="s">
        <v>2272</v>
      </c>
      <c r="R1295" s="198" t="s">
        <v>2272</v>
      </c>
      <c r="S1295" s="198" t="s">
        <v>2272</v>
      </c>
      <c r="T1295" s="198" t="s">
        <v>2272</v>
      </c>
      <c r="U1295" s="198" t="s">
        <v>2272</v>
      </c>
      <c r="V1295" s="198" t="s">
        <v>2272</v>
      </c>
      <c r="W1295" s="198" t="s">
        <v>2272</v>
      </c>
      <c r="X1295" s="198" t="s">
        <v>2272</v>
      </c>
      <c r="Y1295" s="198" t="s">
        <v>2272</v>
      </c>
      <c r="Z1295" s="198" t="s">
        <v>2272</v>
      </c>
      <c r="AA1295" s="198" t="s">
        <v>2272</v>
      </c>
      <c r="AB1295" s="198" t="s">
        <v>2272</v>
      </c>
      <c r="AC1295" s="198" t="s">
        <v>2272</v>
      </c>
      <c r="AD1295" s="198"/>
      <c r="AE1295" s="198"/>
    </row>
    <row r="1296" spans="1:31" ht="33.5" customHeight="1">
      <c r="A1296" s="4" t="s">
        <v>3856</v>
      </c>
      <c r="B1296" s="198" t="s">
        <v>3877</v>
      </c>
      <c r="C1296" s="198" t="s">
        <v>23</v>
      </c>
      <c r="D1296" s="198" t="s">
        <v>25</v>
      </c>
      <c r="E1296" s="198" t="s">
        <v>114</v>
      </c>
      <c r="F1296" s="4" t="s">
        <v>2657</v>
      </c>
      <c r="G1296" s="4" t="s">
        <v>2657</v>
      </c>
      <c r="H1296" s="198" t="s">
        <v>521</v>
      </c>
      <c r="I1296" s="198"/>
      <c r="J1296" s="198" t="s">
        <v>2272</v>
      </c>
      <c r="K1296" s="198" t="s">
        <v>2272</v>
      </c>
      <c r="L1296" s="198" t="s">
        <v>2272</v>
      </c>
      <c r="M1296" s="198" t="s">
        <v>2272</v>
      </c>
      <c r="N1296" s="198" t="s">
        <v>2272</v>
      </c>
      <c r="O1296" s="198" t="s">
        <v>2272</v>
      </c>
      <c r="P1296" s="198" t="s">
        <v>2272</v>
      </c>
      <c r="Q1296" s="198" t="s">
        <v>2272</v>
      </c>
      <c r="R1296" s="198" t="s">
        <v>2272</v>
      </c>
      <c r="S1296" s="198" t="s">
        <v>2272</v>
      </c>
      <c r="T1296" s="198" t="s">
        <v>2272</v>
      </c>
      <c r="U1296" s="198" t="s">
        <v>2272</v>
      </c>
      <c r="V1296" s="198" t="s">
        <v>2272</v>
      </c>
      <c r="W1296" s="198" t="s">
        <v>2272</v>
      </c>
      <c r="X1296" s="198" t="s">
        <v>2272</v>
      </c>
      <c r="Y1296" s="198" t="s">
        <v>2272</v>
      </c>
      <c r="Z1296" s="198" t="s">
        <v>2272</v>
      </c>
      <c r="AA1296" s="198" t="s">
        <v>2272</v>
      </c>
      <c r="AB1296" s="198" t="s">
        <v>2272</v>
      </c>
      <c r="AC1296" s="198" t="s">
        <v>2272</v>
      </c>
      <c r="AD1296" s="198"/>
      <c r="AE1296" s="198"/>
    </row>
    <row r="1297" spans="1:31" ht="37" customHeight="1">
      <c r="A1297" s="4" t="s">
        <v>3856</v>
      </c>
      <c r="B1297" s="198" t="s">
        <v>3878</v>
      </c>
      <c r="C1297" s="198" t="s">
        <v>23</v>
      </c>
      <c r="D1297" s="198" t="s">
        <v>1238</v>
      </c>
      <c r="E1297" s="198" t="s">
        <v>114</v>
      </c>
      <c r="F1297" s="4" t="s">
        <v>2657</v>
      </c>
      <c r="G1297" s="4" t="s">
        <v>2657</v>
      </c>
      <c r="H1297" s="198" t="s">
        <v>521</v>
      </c>
      <c r="I1297" s="198"/>
      <c r="J1297" s="198" t="s">
        <v>2272</v>
      </c>
      <c r="K1297" s="198" t="s">
        <v>2272</v>
      </c>
      <c r="L1297" s="198" t="s">
        <v>2272</v>
      </c>
      <c r="M1297" s="68">
        <v>0.04</v>
      </c>
      <c r="N1297" s="68">
        <v>0.25</v>
      </c>
      <c r="O1297" s="198" t="s">
        <v>2272</v>
      </c>
      <c r="P1297" s="198" t="s">
        <v>2272</v>
      </c>
      <c r="Q1297" s="198" t="s">
        <v>2272</v>
      </c>
      <c r="R1297" s="198" t="s">
        <v>2272</v>
      </c>
      <c r="S1297" s="198" t="s">
        <v>2272</v>
      </c>
      <c r="T1297" s="198" t="s">
        <v>2272</v>
      </c>
      <c r="U1297" s="198" t="s">
        <v>2272</v>
      </c>
      <c r="V1297" s="198" t="s">
        <v>2272</v>
      </c>
      <c r="W1297" s="198" t="s">
        <v>2272</v>
      </c>
      <c r="X1297" s="198" t="s">
        <v>2272</v>
      </c>
      <c r="Y1297" s="198" t="s">
        <v>2272</v>
      </c>
      <c r="Z1297" s="198" t="s">
        <v>2272</v>
      </c>
      <c r="AA1297" s="198" t="s">
        <v>2272</v>
      </c>
      <c r="AB1297" s="198" t="s">
        <v>2272</v>
      </c>
      <c r="AC1297" s="198" t="s">
        <v>2272</v>
      </c>
      <c r="AD1297" s="8" t="s">
        <v>3880</v>
      </c>
      <c r="AE1297" s="198"/>
    </row>
    <row r="1298" spans="1:31" ht="43" customHeight="1">
      <c r="A1298" s="4" t="s">
        <v>3856</v>
      </c>
      <c r="B1298" s="198" t="s">
        <v>3878</v>
      </c>
      <c r="C1298" s="198" t="s">
        <v>23</v>
      </c>
      <c r="D1298" s="198" t="s">
        <v>26</v>
      </c>
      <c r="E1298" s="198" t="s">
        <v>128</v>
      </c>
      <c r="F1298" s="4" t="s">
        <v>2657</v>
      </c>
      <c r="G1298" s="4" t="s">
        <v>2657</v>
      </c>
      <c r="H1298" s="198" t="s">
        <v>521</v>
      </c>
      <c r="I1298" s="198"/>
      <c r="J1298" s="198" t="s">
        <v>2272</v>
      </c>
      <c r="K1298" s="198" t="s">
        <v>2272</v>
      </c>
      <c r="L1298" s="198" t="s">
        <v>2272</v>
      </c>
      <c r="M1298" s="198" t="s">
        <v>2272</v>
      </c>
      <c r="N1298" s="198" t="s">
        <v>2272</v>
      </c>
      <c r="O1298" s="198" t="s">
        <v>2272</v>
      </c>
      <c r="P1298" s="198" t="s">
        <v>2272</v>
      </c>
      <c r="Q1298" s="198" t="s">
        <v>2272</v>
      </c>
      <c r="R1298" s="198" t="s">
        <v>2272</v>
      </c>
      <c r="S1298" s="198" t="s">
        <v>2272</v>
      </c>
      <c r="T1298" s="198" t="s">
        <v>2272</v>
      </c>
      <c r="U1298" s="198" t="s">
        <v>2272</v>
      </c>
      <c r="V1298" s="198" t="s">
        <v>2272</v>
      </c>
      <c r="W1298" s="198" t="s">
        <v>2272</v>
      </c>
      <c r="X1298" s="198" t="s">
        <v>2272</v>
      </c>
      <c r="Y1298" s="198" t="s">
        <v>2272</v>
      </c>
      <c r="Z1298" s="198" t="s">
        <v>2272</v>
      </c>
      <c r="AA1298" s="198" t="s">
        <v>2272</v>
      </c>
      <c r="AB1298" s="198" t="s">
        <v>2272</v>
      </c>
      <c r="AC1298" s="198" t="s">
        <v>2272</v>
      </c>
      <c r="AD1298" s="198"/>
      <c r="AE1298" s="198"/>
    </row>
    <row r="1299" spans="1:31" ht="42" customHeight="1">
      <c r="A1299" s="4" t="s">
        <v>3856</v>
      </c>
      <c r="B1299" s="198" t="s">
        <v>3879</v>
      </c>
      <c r="C1299" s="198" t="s">
        <v>2453</v>
      </c>
      <c r="D1299" s="198" t="s">
        <v>2272</v>
      </c>
      <c r="E1299" s="198" t="s">
        <v>114</v>
      </c>
      <c r="F1299" s="4" t="s">
        <v>2657</v>
      </c>
      <c r="G1299" s="198" t="s">
        <v>73</v>
      </c>
      <c r="H1299" s="198" t="s">
        <v>521</v>
      </c>
      <c r="I1299" s="198"/>
      <c r="J1299" s="198" t="s">
        <v>2272</v>
      </c>
      <c r="K1299" s="198" t="s">
        <v>2272</v>
      </c>
      <c r="L1299" s="198" t="s">
        <v>2272</v>
      </c>
      <c r="M1299" s="198" t="s">
        <v>2272</v>
      </c>
      <c r="N1299" s="198" t="s">
        <v>2272</v>
      </c>
      <c r="O1299" s="198" t="s">
        <v>2272</v>
      </c>
      <c r="P1299" s="198" t="s">
        <v>2272</v>
      </c>
      <c r="Q1299" s="198" t="s">
        <v>2272</v>
      </c>
      <c r="R1299" s="198" t="s">
        <v>2272</v>
      </c>
      <c r="S1299" s="198" t="s">
        <v>2272</v>
      </c>
      <c r="T1299" s="198" t="s">
        <v>2272</v>
      </c>
      <c r="U1299" s="198" t="s">
        <v>2272</v>
      </c>
      <c r="V1299" s="198" t="s">
        <v>2272</v>
      </c>
      <c r="W1299" s="198" t="s">
        <v>2272</v>
      </c>
      <c r="X1299" s="198" t="s">
        <v>2272</v>
      </c>
      <c r="Y1299" s="198" t="s">
        <v>2272</v>
      </c>
      <c r="Z1299" s="198" t="s">
        <v>2272</v>
      </c>
      <c r="AA1299" s="198" t="s">
        <v>2272</v>
      </c>
      <c r="AB1299" s="198" t="s">
        <v>2272</v>
      </c>
      <c r="AC1299" s="198" t="s">
        <v>2272</v>
      </c>
      <c r="AD1299" s="198"/>
      <c r="AE1299" s="198"/>
    </row>
    <row r="1300" spans="1:31" ht="35.5" customHeight="1">
      <c r="A1300" s="4" t="s">
        <v>3887</v>
      </c>
      <c r="B1300" s="198" t="s">
        <v>3892</v>
      </c>
      <c r="C1300" s="198" t="s">
        <v>23</v>
      </c>
      <c r="D1300" s="198" t="s">
        <v>2799</v>
      </c>
      <c r="E1300" s="198" t="s">
        <v>5000</v>
      </c>
      <c r="F1300" s="4" t="s">
        <v>2272</v>
      </c>
      <c r="G1300" s="198" t="s">
        <v>2272</v>
      </c>
      <c r="H1300" s="198" t="s">
        <v>521</v>
      </c>
      <c r="I1300" s="198"/>
      <c r="J1300" s="198" t="s">
        <v>2272</v>
      </c>
      <c r="K1300" s="198" t="s">
        <v>2272</v>
      </c>
      <c r="L1300" s="198" t="s">
        <v>2272</v>
      </c>
      <c r="M1300" s="198" t="s">
        <v>2272</v>
      </c>
      <c r="N1300" s="198" t="s">
        <v>2272</v>
      </c>
      <c r="O1300" s="198" t="s">
        <v>2272</v>
      </c>
      <c r="P1300" s="198" t="s">
        <v>2272</v>
      </c>
      <c r="Q1300" s="198" t="s">
        <v>2272</v>
      </c>
      <c r="R1300" s="198" t="s">
        <v>2272</v>
      </c>
      <c r="S1300" s="198" t="s">
        <v>2272</v>
      </c>
      <c r="T1300" s="198" t="s">
        <v>2272</v>
      </c>
      <c r="U1300" s="198" t="s">
        <v>2272</v>
      </c>
      <c r="V1300" s="198" t="s">
        <v>2272</v>
      </c>
      <c r="W1300" s="198" t="s">
        <v>2272</v>
      </c>
      <c r="X1300" s="198" t="s">
        <v>2272</v>
      </c>
      <c r="Y1300" s="198" t="s">
        <v>2272</v>
      </c>
      <c r="Z1300" s="198" t="s">
        <v>2272</v>
      </c>
      <c r="AA1300" s="198" t="s">
        <v>186</v>
      </c>
      <c r="AB1300" s="198" t="s">
        <v>37</v>
      </c>
      <c r="AC1300" s="198" t="s">
        <v>2272</v>
      </c>
      <c r="AD1300" s="198"/>
      <c r="AE1300" s="198"/>
    </row>
    <row r="1301" spans="1:31" ht="37" customHeight="1">
      <c r="A1301" s="4" t="s">
        <v>3888</v>
      </c>
      <c r="B1301" s="198" t="s">
        <v>3893</v>
      </c>
      <c r="C1301" s="198" t="s">
        <v>23</v>
      </c>
      <c r="D1301" s="198" t="s">
        <v>2799</v>
      </c>
      <c r="E1301" s="198" t="s">
        <v>5000</v>
      </c>
      <c r="F1301" s="4" t="s">
        <v>2272</v>
      </c>
      <c r="G1301" s="198" t="s">
        <v>2272</v>
      </c>
      <c r="H1301" s="198" t="s">
        <v>521</v>
      </c>
      <c r="I1301" s="198"/>
      <c r="J1301" s="198" t="s">
        <v>2272</v>
      </c>
      <c r="K1301" s="198" t="s">
        <v>2272</v>
      </c>
      <c r="L1301" s="198" t="s">
        <v>2272</v>
      </c>
      <c r="M1301" s="198" t="s">
        <v>2272</v>
      </c>
      <c r="N1301" s="198" t="s">
        <v>2272</v>
      </c>
      <c r="O1301" s="198" t="s">
        <v>2272</v>
      </c>
      <c r="P1301" s="198" t="s">
        <v>2272</v>
      </c>
      <c r="Q1301" s="198" t="s">
        <v>2272</v>
      </c>
      <c r="R1301" s="198" t="s">
        <v>2272</v>
      </c>
      <c r="S1301" s="198" t="s">
        <v>2272</v>
      </c>
      <c r="T1301" s="198" t="s">
        <v>2272</v>
      </c>
      <c r="U1301" s="198" t="s">
        <v>2272</v>
      </c>
      <c r="V1301" s="198" t="s">
        <v>2272</v>
      </c>
      <c r="W1301" s="198" t="s">
        <v>2272</v>
      </c>
      <c r="X1301" s="198" t="s">
        <v>2272</v>
      </c>
      <c r="Y1301" s="198" t="s">
        <v>2272</v>
      </c>
      <c r="Z1301" s="198" t="s">
        <v>2272</v>
      </c>
      <c r="AA1301" s="198" t="s">
        <v>186</v>
      </c>
      <c r="AB1301" s="198" t="s">
        <v>37</v>
      </c>
      <c r="AC1301" s="198" t="s">
        <v>2272</v>
      </c>
      <c r="AD1301" s="198"/>
      <c r="AE1301" s="198"/>
    </row>
    <row r="1302" spans="1:31" ht="39" customHeight="1">
      <c r="A1302" s="4" t="s">
        <v>3896</v>
      </c>
      <c r="B1302" s="198" t="s">
        <v>3909</v>
      </c>
      <c r="C1302" s="198" t="s">
        <v>23</v>
      </c>
      <c r="D1302" s="198" t="s">
        <v>25</v>
      </c>
      <c r="E1302" s="198" t="s">
        <v>5000</v>
      </c>
      <c r="F1302" s="4" t="s">
        <v>2272</v>
      </c>
      <c r="G1302" s="198" t="s">
        <v>2272</v>
      </c>
      <c r="H1302" s="198" t="s">
        <v>521</v>
      </c>
      <c r="I1302" s="198"/>
      <c r="J1302" s="198" t="s">
        <v>2272</v>
      </c>
      <c r="K1302" s="198" t="s">
        <v>2272</v>
      </c>
      <c r="L1302" s="198" t="s">
        <v>2272</v>
      </c>
      <c r="M1302" s="198" t="s">
        <v>2272</v>
      </c>
      <c r="N1302" s="198" t="s">
        <v>2272</v>
      </c>
      <c r="O1302" s="198" t="s">
        <v>2272</v>
      </c>
      <c r="P1302" s="198" t="s">
        <v>2272</v>
      </c>
      <c r="Q1302" s="198" t="s">
        <v>2272</v>
      </c>
      <c r="R1302" s="198" t="s">
        <v>2272</v>
      </c>
      <c r="S1302" s="198" t="s">
        <v>2272</v>
      </c>
      <c r="T1302" s="198" t="s">
        <v>2272</v>
      </c>
      <c r="U1302" s="198" t="s">
        <v>2272</v>
      </c>
      <c r="V1302" s="198" t="s">
        <v>2272</v>
      </c>
      <c r="W1302" s="198" t="s">
        <v>2272</v>
      </c>
      <c r="X1302" s="198" t="s">
        <v>2272</v>
      </c>
      <c r="Y1302" s="198" t="s">
        <v>2272</v>
      </c>
      <c r="Z1302" s="198" t="s">
        <v>2272</v>
      </c>
      <c r="AA1302" s="198" t="s">
        <v>34</v>
      </c>
      <c r="AB1302" s="198" t="s">
        <v>33</v>
      </c>
      <c r="AC1302" s="198" t="s">
        <v>2272</v>
      </c>
      <c r="AD1302" s="198"/>
      <c r="AE1302" s="4" t="s">
        <v>3910</v>
      </c>
    </row>
    <row r="1303" spans="1:31" ht="39" customHeight="1">
      <c r="A1303" s="4" t="s">
        <v>3902</v>
      </c>
      <c r="B1303" s="4" t="s">
        <v>3911</v>
      </c>
      <c r="C1303" s="198" t="s">
        <v>23</v>
      </c>
      <c r="D1303" s="198" t="s">
        <v>25</v>
      </c>
      <c r="E1303" s="198" t="s">
        <v>5000</v>
      </c>
      <c r="F1303" s="4" t="s">
        <v>2272</v>
      </c>
      <c r="G1303" s="198" t="s">
        <v>2272</v>
      </c>
      <c r="H1303" s="198" t="s">
        <v>521</v>
      </c>
      <c r="I1303" s="198"/>
      <c r="J1303" s="198" t="s">
        <v>2272</v>
      </c>
      <c r="K1303" s="198" t="s">
        <v>2272</v>
      </c>
      <c r="L1303" s="198" t="s">
        <v>2272</v>
      </c>
      <c r="M1303" s="198" t="s">
        <v>2272</v>
      </c>
      <c r="N1303" s="198" t="s">
        <v>2272</v>
      </c>
      <c r="O1303" s="198" t="s">
        <v>2272</v>
      </c>
      <c r="P1303" s="198" t="s">
        <v>2272</v>
      </c>
      <c r="Q1303" s="198" t="s">
        <v>2272</v>
      </c>
      <c r="R1303" s="198" t="s">
        <v>2272</v>
      </c>
      <c r="S1303" s="198" t="s">
        <v>2272</v>
      </c>
      <c r="T1303" s="198" t="s">
        <v>2272</v>
      </c>
      <c r="U1303" s="198" t="s">
        <v>2272</v>
      </c>
      <c r="V1303" s="198" t="s">
        <v>2272</v>
      </c>
      <c r="W1303" s="198" t="s">
        <v>2272</v>
      </c>
      <c r="X1303" s="198" t="s">
        <v>2272</v>
      </c>
      <c r="Y1303" s="198" t="s">
        <v>2272</v>
      </c>
      <c r="Z1303" s="198" t="s">
        <v>2272</v>
      </c>
      <c r="AA1303" s="198" t="s">
        <v>34</v>
      </c>
      <c r="AB1303" s="198" t="s">
        <v>33</v>
      </c>
      <c r="AC1303" s="198" t="s">
        <v>2272</v>
      </c>
      <c r="AD1303" s="198"/>
      <c r="AE1303" s="4" t="s">
        <v>3910</v>
      </c>
    </row>
    <row r="1304" spans="1:31" ht="38" customHeight="1">
      <c r="A1304" s="4" t="s">
        <v>3904</v>
      </c>
      <c r="B1304" s="4" t="s">
        <v>3912</v>
      </c>
      <c r="C1304" s="198" t="s">
        <v>23</v>
      </c>
      <c r="D1304" s="198" t="s">
        <v>25</v>
      </c>
      <c r="E1304" s="198" t="s">
        <v>5000</v>
      </c>
      <c r="F1304" s="4" t="s">
        <v>2272</v>
      </c>
      <c r="G1304" s="198" t="s">
        <v>2272</v>
      </c>
      <c r="H1304" s="198" t="s">
        <v>521</v>
      </c>
      <c r="I1304" s="198"/>
      <c r="J1304" s="198" t="s">
        <v>2272</v>
      </c>
      <c r="K1304" s="198" t="s">
        <v>2272</v>
      </c>
      <c r="L1304" s="198" t="s">
        <v>2272</v>
      </c>
      <c r="M1304" s="198" t="s">
        <v>2272</v>
      </c>
      <c r="N1304" s="198" t="s">
        <v>2272</v>
      </c>
      <c r="O1304" s="198" t="s">
        <v>2272</v>
      </c>
      <c r="P1304" s="198" t="s">
        <v>2272</v>
      </c>
      <c r="Q1304" s="198" t="s">
        <v>2272</v>
      </c>
      <c r="R1304" s="198" t="s">
        <v>2272</v>
      </c>
      <c r="S1304" s="198" t="s">
        <v>2272</v>
      </c>
      <c r="T1304" s="198" t="s">
        <v>2272</v>
      </c>
      <c r="U1304" s="198" t="s">
        <v>2272</v>
      </c>
      <c r="V1304" s="198" t="s">
        <v>2272</v>
      </c>
      <c r="W1304" s="198" t="s">
        <v>2272</v>
      </c>
      <c r="X1304" s="198" t="s">
        <v>2272</v>
      </c>
      <c r="Y1304" s="198" t="s">
        <v>2272</v>
      </c>
      <c r="Z1304" s="198" t="s">
        <v>2272</v>
      </c>
      <c r="AA1304" s="198" t="s">
        <v>34</v>
      </c>
      <c r="AB1304" s="198" t="s">
        <v>33</v>
      </c>
      <c r="AC1304" s="198" t="s">
        <v>2272</v>
      </c>
      <c r="AD1304" s="198"/>
      <c r="AE1304" s="4" t="s">
        <v>3910</v>
      </c>
    </row>
    <row r="1305" spans="1:31" ht="36.5" customHeight="1">
      <c r="A1305" s="4" t="s">
        <v>3903</v>
      </c>
      <c r="B1305" s="4" t="s">
        <v>3913</v>
      </c>
      <c r="C1305" s="198" t="s">
        <v>23</v>
      </c>
      <c r="D1305" s="198" t="s">
        <v>25</v>
      </c>
      <c r="E1305" s="198" t="s">
        <v>5000</v>
      </c>
      <c r="F1305" s="4" t="s">
        <v>2272</v>
      </c>
      <c r="G1305" s="198" t="s">
        <v>2272</v>
      </c>
      <c r="H1305" s="198" t="s">
        <v>521</v>
      </c>
      <c r="I1305" s="198"/>
      <c r="J1305" s="198" t="s">
        <v>2272</v>
      </c>
      <c r="K1305" s="198" t="s">
        <v>2272</v>
      </c>
      <c r="L1305" s="198" t="s">
        <v>2272</v>
      </c>
      <c r="M1305" s="198" t="s">
        <v>2272</v>
      </c>
      <c r="N1305" s="198" t="s">
        <v>2272</v>
      </c>
      <c r="O1305" s="198" t="s">
        <v>2272</v>
      </c>
      <c r="P1305" s="198" t="s">
        <v>2272</v>
      </c>
      <c r="Q1305" s="198" t="s">
        <v>2272</v>
      </c>
      <c r="R1305" s="198" t="s">
        <v>2272</v>
      </c>
      <c r="S1305" s="198" t="s">
        <v>2272</v>
      </c>
      <c r="T1305" s="198" t="s">
        <v>2272</v>
      </c>
      <c r="U1305" s="198" t="s">
        <v>2272</v>
      </c>
      <c r="V1305" s="198" t="s">
        <v>2272</v>
      </c>
      <c r="W1305" s="198" t="s">
        <v>2272</v>
      </c>
      <c r="X1305" s="198" t="s">
        <v>2272</v>
      </c>
      <c r="Y1305" s="198" t="s">
        <v>2272</v>
      </c>
      <c r="Z1305" s="198" t="s">
        <v>2272</v>
      </c>
      <c r="AA1305" s="198" t="s">
        <v>34</v>
      </c>
      <c r="AB1305" s="198" t="s">
        <v>33</v>
      </c>
      <c r="AC1305" s="198" t="s">
        <v>2272</v>
      </c>
      <c r="AD1305" s="198"/>
      <c r="AE1305" s="4" t="s">
        <v>3910</v>
      </c>
    </row>
    <row r="1306" spans="1:31" ht="35.5" customHeight="1">
      <c r="A1306" s="4" t="s">
        <v>3905</v>
      </c>
      <c r="B1306" s="4" t="s">
        <v>3914</v>
      </c>
      <c r="C1306" s="198" t="s">
        <v>23</v>
      </c>
      <c r="D1306" s="198" t="s">
        <v>25</v>
      </c>
      <c r="E1306" s="198" t="s">
        <v>5000</v>
      </c>
      <c r="F1306" s="4" t="s">
        <v>2272</v>
      </c>
      <c r="G1306" s="198" t="s">
        <v>2272</v>
      </c>
      <c r="H1306" s="198" t="s">
        <v>521</v>
      </c>
      <c r="I1306" s="198"/>
      <c r="J1306" s="198" t="s">
        <v>2272</v>
      </c>
      <c r="K1306" s="198" t="s">
        <v>2272</v>
      </c>
      <c r="L1306" s="198" t="s">
        <v>2272</v>
      </c>
      <c r="M1306" s="198" t="s">
        <v>2272</v>
      </c>
      <c r="N1306" s="198" t="s">
        <v>2272</v>
      </c>
      <c r="O1306" s="198" t="s">
        <v>2272</v>
      </c>
      <c r="P1306" s="198" t="s">
        <v>2272</v>
      </c>
      <c r="Q1306" s="198" t="s">
        <v>2272</v>
      </c>
      <c r="R1306" s="198" t="s">
        <v>2272</v>
      </c>
      <c r="S1306" s="198" t="s">
        <v>2272</v>
      </c>
      <c r="T1306" s="198" t="s">
        <v>2272</v>
      </c>
      <c r="U1306" s="198" t="s">
        <v>2272</v>
      </c>
      <c r="V1306" s="198" t="s">
        <v>2272</v>
      </c>
      <c r="W1306" s="198" t="s">
        <v>2272</v>
      </c>
      <c r="X1306" s="198" t="s">
        <v>2272</v>
      </c>
      <c r="Y1306" s="198" t="s">
        <v>2272</v>
      </c>
      <c r="Z1306" s="198" t="s">
        <v>2272</v>
      </c>
      <c r="AA1306" s="198" t="s">
        <v>34</v>
      </c>
      <c r="AB1306" s="198" t="s">
        <v>33</v>
      </c>
      <c r="AC1306" s="198" t="s">
        <v>2272</v>
      </c>
      <c r="AD1306" s="198"/>
      <c r="AE1306" s="4" t="s">
        <v>3910</v>
      </c>
    </row>
    <row r="1307" spans="1:31" ht="41" customHeight="1">
      <c r="A1307" s="4" t="s">
        <v>3906</v>
      </c>
      <c r="B1307" s="4" t="s">
        <v>3915</v>
      </c>
      <c r="C1307" s="198" t="s">
        <v>23</v>
      </c>
      <c r="D1307" s="198" t="s">
        <v>25</v>
      </c>
      <c r="E1307" s="198" t="s">
        <v>5000</v>
      </c>
      <c r="F1307" s="4" t="s">
        <v>2272</v>
      </c>
      <c r="G1307" s="198" t="s">
        <v>2272</v>
      </c>
      <c r="H1307" s="198" t="s">
        <v>521</v>
      </c>
      <c r="I1307" s="198"/>
      <c r="J1307" s="198" t="s">
        <v>2272</v>
      </c>
      <c r="K1307" s="198" t="s">
        <v>2272</v>
      </c>
      <c r="L1307" s="198" t="s">
        <v>2272</v>
      </c>
      <c r="M1307" s="198" t="s">
        <v>2272</v>
      </c>
      <c r="N1307" s="198" t="s">
        <v>2272</v>
      </c>
      <c r="O1307" s="198" t="s">
        <v>2272</v>
      </c>
      <c r="P1307" s="198" t="s">
        <v>2272</v>
      </c>
      <c r="Q1307" s="198" t="s">
        <v>2272</v>
      </c>
      <c r="R1307" s="198" t="s">
        <v>2272</v>
      </c>
      <c r="S1307" s="198" t="s">
        <v>2272</v>
      </c>
      <c r="T1307" s="198" t="s">
        <v>2272</v>
      </c>
      <c r="U1307" s="198" t="s">
        <v>2272</v>
      </c>
      <c r="V1307" s="198" t="s">
        <v>2272</v>
      </c>
      <c r="W1307" s="198" t="s">
        <v>2272</v>
      </c>
      <c r="X1307" s="198" t="s">
        <v>2272</v>
      </c>
      <c r="Y1307" s="198" t="s">
        <v>2272</v>
      </c>
      <c r="Z1307" s="198" t="s">
        <v>2272</v>
      </c>
      <c r="AA1307" s="198" t="s">
        <v>34</v>
      </c>
      <c r="AB1307" s="198" t="s">
        <v>33</v>
      </c>
      <c r="AC1307" s="198" t="s">
        <v>2272</v>
      </c>
      <c r="AD1307" s="198"/>
      <c r="AE1307" s="4" t="s">
        <v>3910</v>
      </c>
    </row>
    <row r="1308" spans="1:31" ht="46" customHeight="1">
      <c r="A1308" s="4" t="s">
        <v>3917</v>
      </c>
      <c r="B1308" s="4" t="s">
        <v>3951</v>
      </c>
      <c r="C1308" s="198" t="s">
        <v>23</v>
      </c>
      <c r="D1308" s="198" t="s">
        <v>24</v>
      </c>
      <c r="E1308" s="198" t="s">
        <v>5000</v>
      </c>
      <c r="F1308" s="4" t="s">
        <v>2657</v>
      </c>
      <c r="G1308" s="198" t="s">
        <v>2272</v>
      </c>
      <c r="H1308" s="198" t="s">
        <v>521</v>
      </c>
      <c r="I1308" s="198"/>
      <c r="J1308" s="198" t="s">
        <v>2272</v>
      </c>
      <c r="K1308" s="198" t="s">
        <v>2272</v>
      </c>
      <c r="L1308" s="198" t="s">
        <v>2272</v>
      </c>
      <c r="M1308" s="198" t="s">
        <v>2272</v>
      </c>
      <c r="N1308" s="198" t="s">
        <v>2272</v>
      </c>
      <c r="O1308" s="198" t="s">
        <v>2272</v>
      </c>
      <c r="P1308" s="198" t="s">
        <v>2272</v>
      </c>
      <c r="Q1308" s="198" t="s">
        <v>2272</v>
      </c>
      <c r="R1308" s="198" t="s">
        <v>2272</v>
      </c>
      <c r="S1308" s="198" t="s">
        <v>2272</v>
      </c>
      <c r="T1308" s="198" t="s">
        <v>2272</v>
      </c>
      <c r="U1308" s="198" t="s">
        <v>2272</v>
      </c>
      <c r="V1308" s="198" t="s">
        <v>2272</v>
      </c>
      <c r="W1308" s="198" t="s">
        <v>2272</v>
      </c>
      <c r="X1308" s="198" t="s">
        <v>2272</v>
      </c>
      <c r="Y1308" s="198" t="s">
        <v>2272</v>
      </c>
      <c r="Z1308" s="198" t="s">
        <v>2272</v>
      </c>
      <c r="AA1308" s="198" t="s">
        <v>2272</v>
      </c>
      <c r="AB1308" s="198" t="s">
        <v>2272</v>
      </c>
      <c r="AC1308" s="198" t="s">
        <v>2272</v>
      </c>
      <c r="AD1308" s="4" t="s">
        <v>4378</v>
      </c>
      <c r="AE1308" s="4" t="s">
        <v>3955</v>
      </c>
    </row>
    <row r="1309" spans="1:31" ht="46" customHeight="1">
      <c r="A1309" s="4" t="s">
        <v>3918</v>
      </c>
      <c r="B1309" s="4" t="s">
        <v>3952</v>
      </c>
      <c r="C1309" s="198" t="s">
        <v>23</v>
      </c>
      <c r="D1309" s="198" t="s">
        <v>24</v>
      </c>
      <c r="E1309" s="198" t="s">
        <v>5000</v>
      </c>
      <c r="F1309" s="4" t="s">
        <v>2657</v>
      </c>
      <c r="G1309" s="198" t="s">
        <v>2272</v>
      </c>
      <c r="H1309" s="198" t="s">
        <v>521</v>
      </c>
      <c r="I1309" s="198"/>
      <c r="J1309" s="198" t="s">
        <v>2272</v>
      </c>
      <c r="K1309" s="198" t="s">
        <v>2272</v>
      </c>
      <c r="L1309" s="198" t="s">
        <v>2272</v>
      </c>
      <c r="M1309" s="198" t="s">
        <v>2272</v>
      </c>
      <c r="N1309" s="198" t="s">
        <v>2272</v>
      </c>
      <c r="O1309" s="198" t="s">
        <v>2272</v>
      </c>
      <c r="P1309" s="198" t="s">
        <v>2272</v>
      </c>
      <c r="Q1309" s="198" t="s">
        <v>2272</v>
      </c>
      <c r="R1309" s="198" t="s">
        <v>2272</v>
      </c>
      <c r="S1309" s="198" t="s">
        <v>2272</v>
      </c>
      <c r="T1309" s="198" t="s">
        <v>2272</v>
      </c>
      <c r="U1309" s="198" t="s">
        <v>2272</v>
      </c>
      <c r="V1309" s="198" t="s">
        <v>2272</v>
      </c>
      <c r="W1309" s="198" t="s">
        <v>2272</v>
      </c>
      <c r="X1309" s="198" t="s">
        <v>2272</v>
      </c>
      <c r="Y1309" s="198" t="s">
        <v>2272</v>
      </c>
      <c r="Z1309" s="198" t="s">
        <v>2272</v>
      </c>
      <c r="AA1309" s="198" t="s">
        <v>2272</v>
      </c>
      <c r="AB1309" s="198" t="s">
        <v>2272</v>
      </c>
      <c r="AC1309" s="198" t="s">
        <v>2272</v>
      </c>
      <c r="AD1309" s="4" t="s">
        <v>4378</v>
      </c>
      <c r="AE1309" s="4" t="s">
        <v>3955</v>
      </c>
    </row>
    <row r="1310" spans="1:31" ht="46" customHeight="1">
      <c r="A1310" s="4" t="s">
        <v>3920</v>
      </c>
      <c r="B1310" s="4" t="s">
        <v>3953</v>
      </c>
      <c r="C1310" s="198" t="s">
        <v>23</v>
      </c>
      <c r="D1310" s="198" t="s">
        <v>24</v>
      </c>
      <c r="E1310" s="198" t="s">
        <v>5000</v>
      </c>
      <c r="F1310" s="4" t="s">
        <v>2657</v>
      </c>
      <c r="G1310" s="198" t="s">
        <v>2272</v>
      </c>
      <c r="H1310" s="198" t="s">
        <v>521</v>
      </c>
      <c r="I1310" s="198"/>
      <c r="J1310" s="198" t="s">
        <v>2272</v>
      </c>
      <c r="K1310" s="198" t="s">
        <v>2272</v>
      </c>
      <c r="L1310" s="198" t="s">
        <v>2272</v>
      </c>
      <c r="M1310" s="198" t="s">
        <v>2272</v>
      </c>
      <c r="N1310" s="198" t="s">
        <v>2272</v>
      </c>
      <c r="O1310" s="198" t="s">
        <v>2272</v>
      </c>
      <c r="P1310" s="198" t="s">
        <v>2272</v>
      </c>
      <c r="Q1310" s="198" t="s">
        <v>2272</v>
      </c>
      <c r="R1310" s="198" t="s">
        <v>2272</v>
      </c>
      <c r="S1310" s="198" t="s">
        <v>2272</v>
      </c>
      <c r="T1310" s="198" t="s">
        <v>2272</v>
      </c>
      <c r="U1310" s="198" t="s">
        <v>2272</v>
      </c>
      <c r="V1310" s="198" t="s">
        <v>2272</v>
      </c>
      <c r="W1310" s="198" t="s">
        <v>2272</v>
      </c>
      <c r="X1310" s="198" t="s">
        <v>2272</v>
      </c>
      <c r="Y1310" s="198" t="s">
        <v>2272</v>
      </c>
      <c r="Z1310" s="198" t="s">
        <v>2272</v>
      </c>
      <c r="AA1310" s="198" t="s">
        <v>2272</v>
      </c>
      <c r="AB1310" s="198" t="s">
        <v>2272</v>
      </c>
      <c r="AC1310" s="198" t="s">
        <v>2272</v>
      </c>
      <c r="AD1310" s="4" t="s">
        <v>4378</v>
      </c>
      <c r="AE1310" s="4" t="s">
        <v>3955</v>
      </c>
    </row>
    <row r="1311" spans="1:31" ht="46" customHeight="1">
      <c r="A1311" s="4" t="s">
        <v>3921</v>
      </c>
      <c r="B1311" s="4" t="s">
        <v>3954</v>
      </c>
      <c r="C1311" s="198" t="s">
        <v>23</v>
      </c>
      <c r="D1311" s="198" t="s">
        <v>24</v>
      </c>
      <c r="E1311" s="198" t="s">
        <v>5000</v>
      </c>
      <c r="F1311" s="4" t="s">
        <v>2657</v>
      </c>
      <c r="G1311" s="198" t="s">
        <v>2272</v>
      </c>
      <c r="H1311" s="198" t="s">
        <v>521</v>
      </c>
      <c r="I1311" s="198"/>
      <c r="J1311" s="198" t="s">
        <v>2272</v>
      </c>
      <c r="K1311" s="198" t="s">
        <v>2272</v>
      </c>
      <c r="L1311" s="198" t="s">
        <v>2272</v>
      </c>
      <c r="M1311" s="198" t="s">
        <v>2272</v>
      </c>
      <c r="N1311" s="198" t="s">
        <v>2272</v>
      </c>
      <c r="O1311" s="198" t="s">
        <v>2272</v>
      </c>
      <c r="P1311" s="198" t="s">
        <v>2272</v>
      </c>
      <c r="Q1311" s="198" t="s">
        <v>2272</v>
      </c>
      <c r="R1311" s="198" t="s">
        <v>2272</v>
      </c>
      <c r="S1311" s="198" t="s">
        <v>2272</v>
      </c>
      <c r="T1311" s="198" t="s">
        <v>2272</v>
      </c>
      <c r="U1311" s="198" t="s">
        <v>2272</v>
      </c>
      <c r="V1311" s="198" t="s">
        <v>2272</v>
      </c>
      <c r="W1311" s="198" t="s">
        <v>2272</v>
      </c>
      <c r="X1311" s="198" t="s">
        <v>2272</v>
      </c>
      <c r="Y1311" s="198" t="s">
        <v>2272</v>
      </c>
      <c r="Z1311" s="198" t="s">
        <v>2272</v>
      </c>
      <c r="AA1311" s="198" t="s">
        <v>2272</v>
      </c>
      <c r="AB1311" s="198" t="s">
        <v>2272</v>
      </c>
      <c r="AC1311" s="198" t="s">
        <v>2272</v>
      </c>
      <c r="AD1311" s="4" t="s">
        <v>4378</v>
      </c>
      <c r="AE1311" s="4" t="s">
        <v>3955</v>
      </c>
    </row>
    <row r="1312" spans="1:31" ht="46" customHeight="1">
      <c r="A1312" s="198" t="s">
        <v>3925</v>
      </c>
      <c r="B1312" s="198" t="s">
        <v>3942</v>
      </c>
      <c r="C1312" s="198" t="s">
        <v>23</v>
      </c>
      <c r="D1312" s="198" t="s">
        <v>24</v>
      </c>
      <c r="E1312" s="198" t="s">
        <v>5000</v>
      </c>
      <c r="F1312" s="4" t="s">
        <v>2657</v>
      </c>
      <c r="G1312" s="198" t="s">
        <v>2272</v>
      </c>
      <c r="H1312" s="198" t="s">
        <v>521</v>
      </c>
      <c r="I1312" s="198"/>
      <c r="J1312" s="198" t="s">
        <v>2272</v>
      </c>
      <c r="K1312" s="198" t="s">
        <v>2272</v>
      </c>
      <c r="L1312" s="198" t="s">
        <v>2272</v>
      </c>
      <c r="M1312" s="198" t="s">
        <v>2272</v>
      </c>
      <c r="N1312" s="198" t="s">
        <v>2272</v>
      </c>
      <c r="O1312" s="198" t="s">
        <v>2272</v>
      </c>
      <c r="P1312" s="198" t="s">
        <v>2272</v>
      </c>
      <c r="Q1312" s="198" t="s">
        <v>2272</v>
      </c>
      <c r="R1312" s="198" t="s">
        <v>2272</v>
      </c>
      <c r="S1312" s="198" t="s">
        <v>2272</v>
      </c>
      <c r="T1312" s="198" t="s">
        <v>2272</v>
      </c>
      <c r="U1312" s="198" t="s">
        <v>2272</v>
      </c>
      <c r="V1312" s="198" t="s">
        <v>2272</v>
      </c>
      <c r="W1312" s="198" t="s">
        <v>2272</v>
      </c>
      <c r="X1312" s="198" t="s">
        <v>2272</v>
      </c>
      <c r="Y1312" s="198" t="s">
        <v>2272</v>
      </c>
      <c r="Z1312" s="198" t="s">
        <v>2272</v>
      </c>
      <c r="AA1312" s="198" t="s">
        <v>2272</v>
      </c>
      <c r="AB1312" s="198" t="s">
        <v>2272</v>
      </c>
      <c r="AC1312" s="198" t="s">
        <v>2272</v>
      </c>
      <c r="AD1312" s="4" t="s">
        <v>4379</v>
      </c>
      <c r="AE1312" s="4" t="s">
        <v>3955</v>
      </c>
    </row>
    <row r="1313" spans="1:31" ht="46" customHeight="1">
      <c r="A1313" s="198" t="s">
        <v>3926</v>
      </c>
      <c r="B1313" s="198" t="s">
        <v>3943</v>
      </c>
      <c r="C1313" s="198" t="s">
        <v>23</v>
      </c>
      <c r="D1313" s="198" t="s">
        <v>24</v>
      </c>
      <c r="E1313" s="198" t="s">
        <v>5000</v>
      </c>
      <c r="F1313" s="4" t="s">
        <v>2657</v>
      </c>
      <c r="G1313" s="198" t="s">
        <v>2272</v>
      </c>
      <c r="H1313" s="198" t="s">
        <v>521</v>
      </c>
      <c r="I1313" s="198"/>
      <c r="J1313" s="198" t="s">
        <v>2272</v>
      </c>
      <c r="K1313" s="198" t="s">
        <v>2272</v>
      </c>
      <c r="L1313" s="198" t="s">
        <v>2272</v>
      </c>
      <c r="M1313" s="198" t="s">
        <v>2272</v>
      </c>
      <c r="N1313" s="198" t="s">
        <v>2272</v>
      </c>
      <c r="O1313" s="198" t="s">
        <v>2272</v>
      </c>
      <c r="P1313" s="198" t="s">
        <v>2272</v>
      </c>
      <c r="Q1313" s="198" t="s">
        <v>2272</v>
      </c>
      <c r="R1313" s="198" t="s">
        <v>2272</v>
      </c>
      <c r="S1313" s="198" t="s">
        <v>2272</v>
      </c>
      <c r="T1313" s="198" t="s">
        <v>2272</v>
      </c>
      <c r="U1313" s="198" t="s">
        <v>2272</v>
      </c>
      <c r="V1313" s="198" t="s">
        <v>2272</v>
      </c>
      <c r="W1313" s="198" t="s">
        <v>2272</v>
      </c>
      <c r="X1313" s="198" t="s">
        <v>2272</v>
      </c>
      <c r="Y1313" s="198" t="s">
        <v>2272</v>
      </c>
      <c r="Z1313" s="198" t="s">
        <v>2272</v>
      </c>
      <c r="AA1313" s="198" t="s">
        <v>2272</v>
      </c>
      <c r="AB1313" s="198" t="s">
        <v>2272</v>
      </c>
      <c r="AC1313" s="198" t="s">
        <v>2272</v>
      </c>
      <c r="AD1313" s="4" t="s">
        <v>4379</v>
      </c>
      <c r="AE1313" s="4" t="s">
        <v>3955</v>
      </c>
    </row>
    <row r="1314" spans="1:31" ht="46" customHeight="1">
      <c r="A1314" s="198" t="s">
        <v>3927</v>
      </c>
      <c r="B1314" s="198" t="s">
        <v>3944</v>
      </c>
      <c r="C1314" s="198" t="s">
        <v>23</v>
      </c>
      <c r="D1314" s="198" t="s">
        <v>24</v>
      </c>
      <c r="E1314" s="198" t="s">
        <v>5000</v>
      </c>
      <c r="F1314" s="4" t="s">
        <v>2657</v>
      </c>
      <c r="G1314" s="198" t="s">
        <v>2272</v>
      </c>
      <c r="H1314" s="198" t="s">
        <v>521</v>
      </c>
      <c r="I1314" s="198"/>
      <c r="J1314" s="198" t="s">
        <v>2272</v>
      </c>
      <c r="K1314" s="198" t="s">
        <v>2272</v>
      </c>
      <c r="L1314" s="198" t="s">
        <v>2272</v>
      </c>
      <c r="M1314" s="198" t="s">
        <v>2272</v>
      </c>
      <c r="N1314" s="198" t="s">
        <v>2272</v>
      </c>
      <c r="O1314" s="198" t="s">
        <v>2272</v>
      </c>
      <c r="P1314" s="198" t="s">
        <v>2272</v>
      </c>
      <c r="Q1314" s="198" t="s">
        <v>2272</v>
      </c>
      <c r="R1314" s="198" t="s">
        <v>2272</v>
      </c>
      <c r="S1314" s="198" t="s">
        <v>2272</v>
      </c>
      <c r="T1314" s="198" t="s">
        <v>2272</v>
      </c>
      <c r="U1314" s="198" t="s">
        <v>2272</v>
      </c>
      <c r="V1314" s="198" t="s">
        <v>2272</v>
      </c>
      <c r="W1314" s="198" t="s">
        <v>2272</v>
      </c>
      <c r="X1314" s="198" t="s">
        <v>2272</v>
      </c>
      <c r="Y1314" s="198" t="s">
        <v>2272</v>
      </c>
      <c r="Z1314" s="198" t="s">
        <v>2272</v>
      </c>
      <c r="AA1314" s="198" t="s">
        <v>2272</v>
      </c>
      <c r="AB1314" s="198" t="s">
        <v>2272</v>
      </c>
      <c r="AC1314" s="198" t="s">
        <v>2272</v>
      </c>
      <c r="AD1314" s="4" t="s">
        <v>4380</v>
      </c>
      <c r="AE1314" s="4" t="s">
        <v>3955</v>
      </c>
    </row>
    <row r="1315" spans="1:31" ht="46" customHeight="1">
      <c r="A1315" s="4" t="s">
        <v>3917</v>
      </c>
      <c r="B1315" s="4" t="s">
        <v>3956</v>
      </c>
      <c r="C1315" s="198" t="s">
        <v>2453</v>
      </c>
      <c r="D1315" s="198" t="s">
        <v>24</v>
      </c>
      <c r="E1315" s="198" t="s">
        <v>5000</v>
      </c>
      <c r="F1315" s="4" t="s">
        <v>2657</v>
      </c>
      <c r="G1315" s="198" t="s">
        <v>2272</v>
      </c>
      <c r="H1315" s="198" t="s">
        <v>521</v>
      </c>
      <c r="I1315" s="198"/>
      <c r="J1315" s="198" t="s">
        <v>2272</v>
      </c>
      <c r="K1315" s="198" t="s">
        <v>2272</v>
      </c>
      <c r="L1315" s="198" t="s">
        <v>2272</v>
      </c>
      <c r="M1315" s="198" t="s">
        <v>2272</v>
      </c>
      <c r="N1315" s="198" t="s">
        <v>2272</v>
      </c>
      <c r="O1315" s="198" t="s">
        <v>2272</v>
      </c>
      <c r="P1315" s="198" t="s">
        <v>2272</v>
      </c>
      <c r="Q1315" s="198" t="s">
        <v>2272</v>
      </c>
      <c r="R1315" s="198" t="s">
        <v>2272</v>
      </c>
      <c r="S1315" s="198" t="s">
        <v>2272</v>
      </c>
      <c r="T1315" s="198" t="s">
        <v>2272</v>
      </c>
      <c r="U1315" s="198" t="s">
        <v>2272</v>
      </c>
      <c r="V1315" s="198" t="s">
        <v>2272</v>
      </c>
      <c r="W1315" s="198" t="s">
        <v>2272</v>
      </c>
      <c r="X1315" s="198" t="s">
        <v>2272</v>
      </c>
      <c r="Y1315" s="198" t="s">
        <v>2272</v>
      </c>
      <c r="Z1315" s="198" t="s">
        <v>2272</v>
      </c>
      <c r="AA1315" s="198" t="s">
        <v>2272</v>
      </c>
      <c r="AB1315" s="198" t="s">
        <v>2272</v>
      </c>
      <c r="AC1315" s="198" t="s">
        <v>2272</v>
      </c>
      <c r="AD1315" s="4" t="s">
        <v>4378</v>
      </c>
      <c r="AE1315" s="4" t="s">
        <v>3955</v>
      </c>
    </row>
    <row r="1316" spans="1:31" ht="46" customHeight="1">
      <c r="A1316" s="4" t="s">
        <v>3918</v>
      </c>
      <c r="B1316" s="4" t="s">
        <v>3957</v>
      </c>
      <c r="C1316" s="198" t="s">
        <v>2453</v>
      </c>
      <c r="D1316" s="198" t="s">
        <v>24</v>
      </c>
      <c r="E1316" s="198" t="s">
        <v>5000</v>
      </c>
      <c r="F1316" s="4" t="s">
        <v>2657</v>
      </c>
      <c r="G1316" s="198" t="s">
        <v>2272</v>
      </c>
      <c r="H1316" s="198" t="s">
        <v>521</v>
      </c>
      <c r="I1316" s="198"/>
      <c r="J1316" s="198" t="s">
        <v>2272</v>
      </c>
      <c r="K1316" s="198" t="s">
        <v>2272</v>
      </c>
      <c r="L1316" s="198" t="s">
        <v>2272</v>
      </c>
      <c r="M1316" s="198" t="s">
        <v>2272</v>
      </c>
      <c r="N1316" s="198" t="s">
        <v>2272</v>
      </c>
      <c r="O1316" s="198" t="s">
        <v>2272</v>
      </c>
      <c r="P1316" s="198" t="s">
        <v>2272</v>
      </c>
      <c r="Q1316" s="198" t="s">
        <v>2272</v>
      </c>
      <c r="R1316" s="198" t="s">
        <v>2272</v>
      </c>
      <c r="S1316" s="198" t="s">
        <v>2272</v>
      </c>
      <c r="T1316" s="198" t="s">
        <v>2272</v>
      </c>
      <c r="U1316" s="198" t="s">
        <v>2272</v>
      </c>
      <c r="V1316" s="198" t="s">
        <v>2272</v>
      </c>
      <c r="W1316" s="198" t="s">
        <v>2272</v>
      </c>
      <c r="X1316" s="198" t="s">
        <v>2272</v>
      </c>
      <c r="Y1316" s="198" t="s">
        <v>2272</v>
      </c>
      <c r="Z1316" s="198" t="s">
        <v>2272</v>
      </c>
      <c r="AA1316" s="198" t="s">
        <v>2272</v>
      </c>
      <c r="AB1316" s="198" t="s">
        <v>2272</v>
      </c>
      <c r="AC1316" s="198" t="s">
        <v>2272</v>
      </c>
      <c r="AD1316" s="4" t="s">
        <v>4378</v>
      </c>
      <c r="AE1316" s="4" t="s">
        <v>3955</v>
      </c>
    </row>
    <row r="1317" spans="1:31" ht="46" customHeight="1">
      <c r="A1317" s="4" t="s">
        <v>3920</v>
      </c>
      <c r="B1317" s="4" t="s">
        <v>3958</v>
      </c>
      <c r="C1317" s="198" t="s">
        <v>2453</v>
      </c>
      <c r="D1317" s="198" t="s">
        <v>24</v>
      </c>
      <c r="E1317" s="198" t="s">
        <v>5000</v>
      </c>
      <c r="F1317" s="4" t="s">
        <v>2657</v>
      </c>
      <c r="G1317" s="198" t="s">
        <v>2272</v>
      </c>
      <c r="H1317" s="198" t="s">
        <v>521</v>
      </c>
      <c r="I1317" s="198"/>
      <c r="J1317" s="198" t="s">
        <v>2272</v>
      </c>
      <c r="K1317" s="198" t="s">
        <v>2272</v>
      </c>
      <c r="L1317" s="198" t="s">
        <v>2272</v>
      </c>
      <c r="M1317" s="198" t="s">
        <v>2272</v>
      </c>
      <c r="N1317" s="198" t="s">
        <v>2272</v>
      </c>
      <c r="O1317" s="198" t="s">
        <v>2272</v>
      </c>
      <c r="P1317" s="198" t="s">
        <v>2272</v>
      </c>
      <c r="Q1317" s="198" t="s">
        <v>2272</v>
      </c>
      <c r="R1317" s="198" t="s">
        <v>2272</v>
      </c>
      <c r="S1317" s="198" t="s">
        <v>2272</v>
      </c>
      <c r="T1317" s="198" t="s">
        <v>2272</v>
      </c>
      <c r="U1317" s="198" t="s">
        <v>2272</v>
      </c>
      <c r="V1317" s="198" t="s">
        <v>2272</v>
      </c>
      <c r="W1317" s="198" t="s">
        <v>2272</v>
      </c>
      <c r="X1317" s="198" t="s">
        <v>2272</v>
      </c>
      <c r="Y1317" s="198" t="s">
        <v>2272</v>
      </c>
      <c r="Z1317" s="198" t="s">
        <v>2272</v>
      </c>
      <c r="AA1317" s="198" t="s">
        <v>2272</v>
      </c>
      <c r="AB1317" s="198" t="s">
        <v>2272</v>
      </c>
      <c r="AC1317" s="198" t="s">
        <v>2272</v>
      </c>
      <c r="AD1317" s="4" t="s">
        <v>4378</v>
      </c>
      <c r="AE1317" s="4" t="s">
        <v>3955</v>
      </c>
    </row>
    <row r="1318" spans="1:31" ht="46" customHeight="1">
      <c r="A1318" s="4" t="s">
        <v>3921</v>
      </c>
      <c r="B1318" s="4" t="s">
        <v>3959</v>
      </c>
      <c r="C1318" s="198" t="s">
        <v>2453</v>
      </c>
      <c r="D1318" s="198" t="s">
        <v>24</v>
      </c>
      <c r="E1318" s="198" t="s">
        <v>5000</v>
      </c>
      <c r="F1318" s="4" t="s">
        <v>2657</v>
      </c>
      <c r="G1318" s="198" t="s">
        <v>2272</v>
      </c>
      <c r="H1318" s="198" t="s">
        <v>521</v>
      </c>
      <c r="I1318" s="198"/>
      <c r="J1318" s="198" t="s">
        <v>2272</v>
      </c>
      <c r="K1318" s="198" t="s">
        <v>2272</v>
      </c>
      <c r="L1318" s="198" t="s">
        <v>2272</v>
      </c>
      <c r="M1318" s="198" t="s">
        <v>2272</v>
      </c>
      <c r="N1318" s="198" t="s">
        <v>2272</v>
      </c>
      <c r="O1318" s="198" t="s">
        <v>2272</v>
      </c>
      <c r="P1318" s="198" t="s">
        <v>2272</v>
      </c>
      <c r="Q1318" s="198" t="s">
        <v>2272</v>
      </c>
      <c r="R1318" s="198" t="s">
        <v>2272</v>
      </c>
      <c r="S1318" s="198" t="s">
        <v>2272</v>
      </c>
      <c r="T1318" s="198" t="s">
        <v>2272</v>
      </c>
      <c r="U1318" s="198" t="s">
        <v>2272</v>
      </c>
      <c r="V1318" s="198" t="s">
        <v>2272</v>
      </c>
      <c r="W1318" s="198" t="s">
        <v>2272</v>
      </c>
      <c r="X1318" s="198" t="s">
        <v>2272</v>
      </c>
      <c r="Y1318" s="198" t="s">
        <v>2272</v>
      </c>
      <c r="Z1318" s="198" t="s">
        <v>2272</v>
      </c>
      <c r="AA1318" s="198" t="s">
        <v>2272</v>
      </c>
      <c r="AB1318" s="198" t="s">
        <v>2272</v>
      </c>
      <c r="AC1318" s="198" t="s">
        <v>2272</v>
      </c>
      <c r="AD1318" s="4" t="s">
        <v>4381</v>
      </c>
      <c r="AE1318" s="4" t="s">
        <v>3955</v>
      </c>
    </row>
    <row r="1319" spans="1:31" ht="46" customHeight="1">
      <c r="A1319" s="198" t="s">
        <v>3925</v>
      </c>
      <c r="B1319" s="198" t="s">
        <v>3945</v>
      </c>
      <c r="C1319" s="198" t="s">
        <v>2453</v>
      </c>
      <c r="D1319" s="198" t="s">
        <v>24</v>
      </c>
      <c r="E1319" s="198" t="s">
        <v>5000</v>
      </c>
      <c r="F1319" s="4" t="s">
        <v>2657</v>
      </c>
      <c r="G1319" s="198" t="s">
        <v>2272</v>
      </c>
      <c r="H1319" s="198" t="s">
        <v>521</v>
      </c>
      <c r="I1319" s="198"/>
      <c r="J1319" s="198" t="s">
        <v>2272</v>
      </c>
      <c r="K1319" s="198" t="s">
        <v>2272</v>
      </c>
      <c r="L1319" s="198" t="s">
        <v>2272</v>
      </c>
      <c r="M1319" s="198" t="s">
        <v>2272</v>
      </c>
      <c r="N1319" s="198" t="s">
        <v>2272</v>
      </c>
      <c r="O1319" s="198" t="s">
        <v>2272</v>
      </c>
      <c r="P1319" s="198" t="s">
        <v>2272</v>
      </c>
      <c r="Q1319" s="198" t="s">
        <v>2272</v>
      </c>
      <c r="R1319" s="198" t="s">
        <v>2272</v>
      </c>
      <c r="S1319" s="198" t="s">
        <v>2272</v>
      </c>
      <c r="T1319" s="198" t="s">
        <v>2272</v>
      </c>
      <c r="U1319" s="198" t="s">
        <v>2272</v>
      </c>
      <c r="V1319" s="198" t="s">
        <v>2272</v>
      </c>
      <c r="W1319" s="198" t="s">
        <v>2272</v>
      </c>
      <c r="X1319" s="198" t="s">
        <v>2272</v>
      </c>
      <c r="Y1319" s="198" t="s">
        <v>2272</v>
      </c>
      <c r="Z1319" s="198" t="s">
        <v>2272</v>
      </c>
      <c r="AA1319" s="198" t="s">
        <v>2272</v>
      </c>
      <c r="AB1319" s="198" t="s">
        <v>2272</v>
      </c>
      <c r="AC1319" s="198" t="s">
        <v>2272</v>
      </c>
      <c r="AD1319" s="4" t="s">
        <v>4379</v>
      </c>
      <c r="AE1319" s="4" t="s">
        <v>3955</v>
      </c>
    </row>
    <row r="1320" spans="1:31" ht="46" customHeight="1">
      <c r="A1320" s="198" t="s">
        <v>3926</v>
      </c>
      <c r="B1320" s="198" t="s">
        <v>3946</v>
      </c>
      <c r="C1320" s="198" t="s">
        <v>2453</v>
      </c>
      <c r="D1320" s="198" t="s">
        <v>24</v>
      </c>
      <c r="E1320" s="198" t="s">
        <v>5000</v>
      </c>
      <c r="F1320" s="4" t="s">
        <v>2657</v>
      </c>
      <c r="G1320" s="198" t="s">
        <v>2272</v>
      </c>
      <c r="H1320" s="198" t="s">
        <v>521</v>
      </c>
      <c r="I1320" s="198"/>
      <c r="J1320" s="198" t="s">
        <v>2272</v>
      </c>
      <c r="K1320" s="198" t="s">
        <v>2272</v>
      </c>
      <c r="L1320" s="198" t="s">
        <v>2272</v>
      </c>
      <c r="M1320" s="198" t="s">
        <v>2272</v>
      </c>
      <c r="N1320" s="198" t="s">
        <v>2272</v>
      </c>
      <c r="O1320" s="198" t="s">
        <v>2272</v>
      </c>
      <c r="P1320" s="198" t="s">
        <v>2272</v>
      </c>
      <c r="Q1320" s="198" t="s">
        <v>2272</v>
      </c>
      <c r="R1320" s="198" t="s">
        <v>2272</v>
      </c>
      <c r="S1320" s="198" t="s">
        <v>2272</v>
      </c>
      <c r="T1320" s="198" t="s">
        <v>2272</v>
      </c>
      <c r="U1320" s="198" t="s">
        <v>2272</v>
      </c>
      <c r="V1320" s="198" t="s">
        <v>2272</v>
      </c>
      <c r="W1320" s="198" t="s">
        <v>2272</v>
      </c>
      <c r="X1320" s="198" t="s">
        <v>2272</v>
      </c>
      <c r="Y1320" s="198" t="s">
        <v>2272</v>
      </c>
      <c r="Z1320" s="198" t="s">
        <v>2272</v>
      </c>
      <c r="AA1320" s="198" t="s">
        <v>2272</v>
      </c>
      <c r="AB1320" s="198" t="s">
        <v>2272</v>
      </c>
      <c r="AC1320" s="198" t="s">
        <v>2272</v>
      </c>
      <c r="AD1320" s="4" t="s">
        <v>4379</v>
      </c>
      <c r="AE1320" s="4" t="s">
        <v>3955</v>
      </c>
    </row>
    <row r="1321" spans="1:31" ht="46" customHeight="1">
      <c r="A1321" s="198" t="s">
        <v>3927</v>
      </c>
      <c r="B1321" s="198" t="s">
        <v>3947</v>
      </c>
      <c r="C1321" s="198" t="s">
        <v>2453</v>
      </c>
      <c r="D1321" s="198" t="s">
        <v>24</v>
      </c>
      <c r="E1321" s="198" t="s">
        <v>5000</v>
      </c>
      <c r="F1321" s="4" t="s">
        <v>2657</v>
      </c>
      <c r="G1321" s="198" t="s">
        <v>2272</v>
      </c>
      <c r="H1321" s="198" t="s">
        <v>521</v>
      </c>
      <c r="I1321" s="198"/>
      <c r="J1321" s="198" t="s">
        <v>2272</v>
      </c>
      <c r="K1321" s="198" t="s">
        <v>2272</v>
      </c>
      <c r="L1321" s="198" t="s">
        <v>2272</v>
      </c>
      <c r="M1321" s="198" t="s">
        <v>2272</v>
      </c>
      <c r="N1321" s="198" t="s">
        <v>2272</v>
      </c>
      <c r="O1321" s="198" t="s">
        <v>2272</v>
      </c>
      <c r="P1321" s="198" t="s">
        <v>2272</v>
      </c>
      <c r="Q1321" s="198" t="s">
        <v>2272</v>
      </c>
      <c r="R1321" s="198" t="s">
        <v>2272</v>
      </c>
      <c r="S1321" s="198" t="s">
        <v>2272</v>
      </c>
      <c r="T1321" s="198" t="s">
        <v>2272</v>
      </c>
      <c r="U1321" s="198" t="s">
        <v>2272</v>
      </c>
      <c r="V1321" s="198" t="s">
        <v>2272</v>
      </c>
      <c r="W1321" s="198" t="s">
        <v>2272</v>
      </c>
      <c r="X1321" s="198" t="s">
        <v>2272</v>
      </c>
      <c r="Y1321" s="198" t="s">
        <v>2272</v>
      </c>
      <c r="Z1321" s="198" t="s">
        <v>2272</v>
      </c>
      <c r="AA1321" s="198" t="s">
        <v>2272</v>
      </c>
      <c r="AB1321" s="198" t="s">
        <v>2272</v>
      </c>
      <c r="AC1321" s="198" t="s">
        <v>2272</v>
      </c>
      <c r="AD1321" s="4" t="s">
        <v>4380</v>
      </c>
      <c r="AE1321" s="4" t="s">
        <v>3955</v>
      </c>
    </row>
    <row r="1322" spans="1:31" ht="32" customHeight="1">
      <c r="A1322" s="198" t="s">
        <v>3962</v>
      </c>
      <c r="B1322" s="198" t="s">
        <v>3970</v>
      </c>
      <c r="C1322" s="198" t="s">
        <v>23</v>
      </c>
      <c r="D1322" s="198" t="s">
        <v>25</v>
      </c>
      <c r="E1322" s="198" t="s">
        <v>5000</v>
      </c>
      <c r="F1322" s="4" t="s">
        <v>2657</v>
      </c>
      <c r="G1322" s="198" t="s">
        <v>2272</v>
      </c>
      <c r="H1322" s="198" t="s">
        <v>521</v>
      </c>
      <c r="I1322" s="198"/>
      <c r="J1322" s="198" t="s">
        <v>2272</v>
      </c>
      <c r="K1322" s="198" t="s">
        <v>2272</v>
      </c>
      <c r="L1322" s="198" t="s">
        <v>2272</v>
      </c>
      <c r="M1322" s="198" t="s">
        <v>2272</v>
      </c>
      <c r="N1322" s="198" t="s">
        <v>2272</v>
      </c>
      <c r="O1322" s="198" t="s">
        <v>2272</v>
      </c>
      <c r="P1322" s="198" t="s">
        <v>2272</v>
      </c>
      <c r="Q1322" s="198" t="s">
        <v>2272</v>
      </c>
      <c r="R1322" s="198" t="s">
        <v>2272</v>
      </c>
      <c r="S1322" s="198" t="s">
        <v>2272</v>
      </c>
      <c r="T1322" s="198" t="s">
        <v>2272</v>
      </c>
      <c r="U1322" s="198" t="s">
        <v>2272</v>
      </c>
      <c r="V1322" s="198" t="s">
        <v>2272</v>
      </c>
      <c r="W1322" s="198" t="s">
        <v>2272</v>
      </c>
      <c r="X1322" s="198" t="s">
        <v>2272</v>
      </c>
      <c r="Y1322" s="198" t="s">
        <v>2272</v>
      </c>
      <c r="Z1322" s="198" t="s">
        <v>2272</v>
      </c>
      <c r="AA1322" s="198" t="s">
        <v>2272</v>
      </c>
      <c r="AB1322" s="198" t="s">
        <v>2272</v>
      </c>
      <c r="AC1322" s="198" t="s">
        <v>2272</v>
      </c>
      <c r="AD1322" s="198" t="s">
        <v>3974</v>
      </c>
      <c r="AE1322" s="198"/>
    </row>
    <row r="1323" spans="1:31" ht="37" customHeight="1">
      <c r="A1323" s="198" t="s">
        <v>3962</v>
      </c>
      <c r="B1323" s="198" t="s">
        <v>3972</v>
      </c>
      <c r="C1323" s="198" t="s">
        <v>23</v>
      </c>
      <c r="D1323" s="198" t="s">
        <v>25</v>
      </c>
      <c r="E1323" s="198" t="s">
        <v>44</v>
      </c>
      <c r="F1323" s="4" t="s">
        <v>2657</v>
      </c>
      <c r="G1323" s="198" t="s">
        <v>2272</v>
      </c>
      <c r="H1323" s="198" t="s">
        <v>521</v>
      </c>
      <c r="I1323" s="198"/>
      <c r="J1323" s="198" t="s">
        <v>2272</v>
      </c>
      <c r="K1323" s="198" t="s">
        <v>2272</v>
      </c>
      <c r="L1323" s="198" t="s">
        <v>2272</v>
      </c>
      <c r="M1323" s="198" t="s">
        <v>2272</v>
      </c>
      <c r="N1323" s="198" t="s">
        <v>2272</v>
      </c>
      <c r="O1323" s="198" t="s">
        <v>2272</v>
      </c>
      <c r="P1323" s="198" t="s">
        <v>2272</v>
      </c>
      <c r="Q1323" s="198" t="s">
        <v>2272</v>
      </c>
      <c r="R1323" s="198" t="s">
        <v>2272</v>
      </c>
      <c r="S1323" s="198" t="s">
        <v>2272</v>
      </c>
      <c r="T1323" s="198" t="s">
        <v>2272</v>
      </c>
      <c r="U1323" s="198" t="s">
        <v>2272</v>
      </c>
      <c r="V1323" s="198" t="s">
        <v>2272</v>
      </c>
      <c r="W1323" s="198" t="s">
        <v>2272</v>
      </c>
      <c r="X1323" s="198" t="s">
        <v>2272</v>
      </c>
      <c r="Y1323" s="198" t="s">
        <v>2272</v>
      </c>
      <c r="Z1323" s="198" t="s">
        <v>2272</v>
      </c>
      <c r="AA1323" s="198" t="s">
        <v>2272</v>
      </c>
      <c r="AB1323" s="198" t="s">
        <v>2272</v>
      </c>
      <c r="AC1323" s="198" t="s">
        <v>2272</v>
      </c>
      <c r="AD1323" s="198" t="s">
        <v>3974</v>
      </c>
      <c r="AE1323" s="198"/>
    </row>
    <row r="1324" spans="1:31" ht="32" customHeight="1">
      <c r="A1324" s="198" t="s">
        <v>3962</v>
      </c>
      <c r="B1324" s="198" t="s">
        <v>3976</v>
      </c>
      <c r="C1324" s="198" t="s">
        <v>23</v>
      </c>
      <c r="D1324" s="198" t="s">
        <v>25</v>
      </c>
      <c r="E1324" s="198" t="s">
        <v>5000</v>
      </c>
      <c r="F1324" s="4" t="s">
        <v>73</v>
      </c>
      <c r="G1324" s="198" t="s">
        <v>2272</v>
      </c>
      <c r="H1324" s="198" t="s">
        <v>521</v>
      </c>
      <c r="I1324" s="198"/>
      <c r="J1324" s="198" t="s">
        <v>2272</v>
      </c>
      <c r="K1324" s="198" t="s">
        <v>2272</v>
      </c>
      <c r="L1324" s="198" t="s">
        <v>2272</v>
      </c>
      <c r="M1324" s="198" t="s">
        <v>2272</v>
      </c>
      <c r="N1324" s="198" t="s">
        <v>2272</v>
      </c>
      <c r="O1324" s="198" t="s">
        <v>2272</v>
      </c>
      <c r="P1324" s="198" t="s">
        <v>2272</v>
      </c>
      <c r="Q1324" s="198" t="s">
        <v>2272</v>
      </c>
      <c r="R1324" s="198" t="s">
        <v>2272</v>
      </c>
      <c r="S1324" s="198" t="s">
        <v>2272</v>
      </c>
      <c r="T1324" s="198" t="s">
        <v>2272</v>
      </c>
      <c r="U1324" s="198" t="s">
        <v>2272</v>
      </c>
      <c r="V1324" s="198" t="s">
        <v>2272</v>
      </c>
      <c r="W1324" s="198" t="s">
        <v>2272</v>
      </c>
      <c r="X1324" s="198" t="s">
        <v>2272</v>
      </c>
      <c r="Y1324" s="198" t="s">
        <v>2272</v>
      </c>
      <c r="Z1324" s="198" t="s">
        <v>2272</v>
      </c>
      <c r="AA1324" s="198" t="s">
        <v>2272</v>
      </c>
      <c r="AB1324" s="198" t="s">
        <v>2272</v>
      </c>
      <c r="AC1324" s="198" t="s">
        <v>2272</v>
      </c>
      <c r="AD1324" s="198" t="s">
        <v>3974</v>
      </c>
      <c r="AE1324" s="198"/>
    </row>
    <row r="1325" spans="1:31" ht="31" customHeight="1">
      <c r="A1325" s="198" t="s">
        <v>3962</v>
      </c>
      <c r="B1325" s="198" t="s">
        <v>3977</v>
      </c>
      <c r="C1325" s="198" t="s">
        <v>23</v>
      </c>
      <c r="D1325" s="198" t="s">
        <v>25</v>
      </c>
      <c r="E1325" s="198" t="s">
        <v>44</v>
      </c>
      <c r="F1325" s="4" t="s">
        <v>73</v>
      </c>
      <c r="G1325" s="198" t="s">
        <v>2272</v>
      </c>
      <c r="H1325" s="198" t="s">
        <v>521</v>
      </c>
      <c r="I1325" s="198"/>
      <c r="J1325" s="198" t="s">
        <v>2272</v>
      </c>
      <c r="K1325" s="198" t="s">
        <v>2272</v>
      </c>
      <c r="L1325" s="198" t="s">
        <v>2272</v>
      </c>
      <c r="M1325" s="198" t="s">
        <v>2272</v>
      </c>
      <c r="N1325" s="198" t="s">
        <v>2272</v>
      </c>
      <c r="O1325" s="198" t="s">
        <v>2272</v>
      </c>
      <c r="P1325" s="198" t="s">
        <v>2272</v>
      </c>
      <c r="Q1325" s="198" t="s">
        <v>2272</v>
      </c>
      <c r="R1325" s="198" t="s">
        <v>2272</v>
      </c>
      <c r="S1325" s="198" t="s">
        <v>2272</v>
      </c>
      <c r="T1325" s="198" t="s">
        <v>2272</v>
      </c>
      <c r="U1325" s="198" t="s">
        <v>2272</v>
      </c>
      <c r="V1325" s="198" t="s">
        <v>2272</v>
      </c>
      <c r="W1325" s="198" t="s">
        <v>2272</v>
      </c>
      <c r="X1325" s="198" t="s">
        <v>2272</v>
      </c>
      <c r="Y1325" s="198" t="s">
        <v>2272</v>
      </c>
      <c r="Z1325" s="198" t="s">
        <v>2272</v>
      </c>
      <c r="AA1325" s="198" t="s">
        <v>2272</v>
      </c>
      <c r="AB1325" s="198" t="s">
        <v>2272</v>
      </c>
      <c r="AC1325" s="198" t="s">
        <v>2272</v>
      </c>
      <c r="AD1325" s="198" t="s">
        <v>3974</v>
      </c>
      <c r="AE1325" s="198"/>
    </row>
    <row r="1326" spans="1:31" ht="37" customHeight="1">
      <c r="A1326" s="198" t="s">
        <v>3967</v>
      </c>
      <c r="B1326" s="198" t="s">
        <v>3971</v>
      </c>
      <c r="C1326" s="198" t="s">
        <v>23</v>
      </c>
      <c r="D1326" s="198" t="s">
        <v>25</v>
      </c>
      <c r="E1326" s="198" t="s">
        <v>5000</v>
      </c>
      <c r="F1326" s="4" t="s">
        <v>2657</v>
      </c>
      <c r="G1326" s="198" t="s">
        <v>2272</v>
      </c>
      <c r="H1326" s="198" t="s">
        <v>522</v>
      </c>
      <c r="I1326" s="198"/>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1">
        <v>0</v>
      </c>
      <c r="Z1326" s="198" t="s">
        <v>2272</v>
      </c>
      <c r="AA1326" s="198" t="s">
        <v>2272</v>
      </c>
      <c r="AB1326" s="198" t="s">
        <v>2272</v>
      </c>
      <c r="AC1326" s="198" t="s">
        <v>2272</v>
      </c>
      <c r="AD1326" s="4" t="s">
        <v>3975</v>
      </c>
      <c r="AE1326" s="198"/>
    </row>
    <row r="1327" spans="1:31" ht="37" customHeight="1">
      <c r="A1327" s="198" t="s">
        <v>3967</v>
      </c>
      <c r="B1327" s="198" t="s">
        <v>3973</v>
      </c>
      <c r="C1327" s="198" t="s">
        <v>23</v>
      </c>
      <c r="D1327" s="198" t="s">
        <v>25</v>
      </c>
      <c r="E1327" s="198" t="s">
        <v>44</v>
      </c>
      <c r="F1327" s="4" t="s">
        <v>2657</v>
      </c>
      <c r="G1327" s="198" t="s">
        <v>2272</v>
      </c>
      <c r="H1327" s="198" t="s">
        <v>522</v>
      </c>
      <c r="I1327" s="198"/>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1">
        <v>0</v>
      </c>
      <c r="Z1327" s="198" t="s">
        <v>2272</v>
      </c>
      <c r="AA1327" s="198" t="s">
        <v>2272</v>
      </c>
      <c r="AB1327" s="198" t="s">
        <v>2272</v>
      </c>
      <c r="AC1327" s="198" t="s">
        <v>2272</v>
      </c>
      <c r="AD1327" s="4" t="s">
        <v>3975</v>
      </c>
      <c r="AE1327" s="198"/>
    </row>
    <row r="1328" spans="1:31" ht="37" customHeight="1">
      <c r="A1328" s="198" t="s">
        <v>3967</v>
      </c>
      <c r="B1328" s="198" t="s">
        <v>3978</v>
      </c>
      <c r="C1328" s="198" t="s">
        <v>23</v>
      </c>
      <c r="D1328" s="198" t="s">
        <v>25</v>
      </c>
      <c r="E1328" s="198" t="s">
        <v>5000</v>
      </c>
      <c r="F1328" s="4" t="s">
        <v>73</v>
      </c>
      <c r="G1328" s="198" t="s">
        <v>2272</v>
      </c>
      <c r="H1328" s="198" t="s">
        <v>522</v>
      </c>
      <c r="I1328" s="198"/>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1">
        <v>0</v>
      </c>
      <c r="Z1328" s="198" t="s">
        <v>2272</v>
      </c>
      <c r="AA1328" s="198" t="s">
        <v>2272</v>
      </c>
      <c r="AB1328" s="198" t="s">
        <v>2272</v>
      </c>
      <c r="AC1328" s="198" t="s">
        <v>2272</v>
      </c>
      <c r="AD1328" s="4" t="s">
        <v>3975</v>
      </c>
      <c r="AE1328" s="198"/>
    </row>
    <row r="1329" spans="1:31" ht="37" customHeight="1">
      <c r="A1329" s="198" t="s">
        <v>3967</v>
      </c>
      <c r="B1329" s="198" t="s">
        <v>3979</v>
      </c>
      <c r="C1329" s="198" t="s">
        <v>23</v>
      </c>
      <c r="D1329" s="198" t="s">
        <v>25</v>
      </c>
      <c r="E1329" s="198" t="s">
        <v>44</v>
      </c>
      <c r="F1329" s="4" t="s">
        <v>73</v>
      </c>
      <c r="G1329" s="198" t="s">
        <v>2272</v>
      </c>
      <c r="H1329" s="198" t="s">
        <v>522</v>
      </c>
      <c r="I1329" s="198"/>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1">
        <v>0</v>
      </c>
      <c r="Z1329" s="198" t="s">
        <v>2272</v>
      </c>
      <c r="AA1329" s="198" t="s">
        <v>2272</v>
      </c>
      <c r="AB1329" s="198" t="s">
        <v>2272</v>
      </c>
      <c r="AC1329" s="198" t="s">
        <v>2272</v>
      </c>
      <c r="AD1329" s="4" t="s">
        <v>3975</v>
      </c>
      <c r="AE1329" s="198"/>
    </row>
    <row r="1330" spans="1:31" ht="35.5" customHeight="1">
      <c r="A1330" s="198" t="s">
        <v>3967</v>
      </c>
      <c r="B1330" s="198" t="s">
        <v>3980</v>
      </c>
      <c r="C1330" s="198" t="s">
        <v>23</v>
      </c>
      <c r="D1330" s="198" t="s">
        <v>3471</v>
      </c>
      <c r="E1330" s="198" t="s">
        <v>114</v>
      </c>
      <c r="F1330" s="4" t="s">
        <v>2657</v>
      </c>
      <c r="G1330" s="198" t="s">
        <v>2272</v>
      </c>
      <c r="H1330" s="198" t="s">
        <v>521</v>
      </c>
      <c r="I1330" s="198"/>
      <c r="J1330" s="198" t="s">
        <v>2272</v>
      </c>
      <c r="K1330" s="198" t="s">
        <v>2272</v>
      </c>
      <c r="L1330" s="198" t="s">
        <v>2272</v>
      </c>
      <c r="M1330" s="198" t="s">
        <v>2272</v>
      </c>
      <c r="N1330" s="198" t="s">
        <v>2272</v>
      </c>
      <c r="O1330" s="198" t="s">
        <v>2272</v>
      </c>
      <c r="P1330" s="198" t="s">
        <v>2272</v>
      </c>
      <c r="Q1330" s="198" t="s">
        <v>2272</v>
      </c>
      <c r="R1330" s="198" t="s">
        <v>2272</v>
      </c>
      <c r="S1330" s="198" t="s">
        <v>2272</v>
      </c>
      <c r="T1330" s="198" t="s">
        <v>2272</v>
      </c>
      <c r="U1330" s="198" t="s">
        <v>2272</v>
      </c>
      <c r="V1330" s="198" t="s">
        <v>2272</v>
      </c>
      <c r="W1330" s="198" t="s">
        <v>2272</v>
      </c>
      <c r="X1330" s="198" t="s">
        <v>2272</v>
      </c>
      <c r="Y1330" s="198" t="s">
        <v>2272</v>
      </c>
      <c r="Z1330" s="198" t="s">
        <v>2272</v>
      </c>
      <c r="AA1330" s="198" t="s">
        <v>2272</v>
      </c>
      <c r="AB1330" s="198" t="s">
        <v>2272</v>
      </c>
      <c r="AC1330" s="198" t="s">
        <v>2272</v>
      </c>
      <c r="AD1330" s="198"/>
      <c r="AE1330" s="198"/>
    </row>
    <row r="1331" spans="1:31" ht="47.5" customHeight="1">
      <c r="A1331" s="198" t="s">
        <v>3984</v>
      </c>
      <c r="B1331" s="198" t="s">
        <v>3992</v>
      </c>
      <c r="C1331" s="198" t="s">
        <v>23</v>
      </c>
      <c r="D1331" s="198" t="s">
        <v>24</v>
      </c>
      <c r="E1331" s="198" t="s">
        <v>5000</v>
      </c>
      <c r="F1331" s="4" t="s">
        <v>28</v>
      </c>
      <c r="G1331" s="198" t="s">
        <v>2272</v>
      </c>
      <c r="H1331" s="198" t="s">
        <v>521</v>
      </c>
      <c r="I1331" s="198"/>
      <c r="J1331" s="198" t="s">
        <v>2272</v>
      </c>
      <c r="K1331" s="198" t="s">
        <v>2272</v>
      </c>
      <c r="L1331" s="198" t="s">
        <v>2272</v>
      </c>
      <c r="M1331" s="198" t="s">
        <v>2272</v>
      </c>
      <c r="N1331" s="198" t="s">
        <v>2272</v>
      </c>
      <c r="O1331" s="198" t="s">
        <v>2272</v>
      </c>
      <c r="P1331" s="198" t="s">
        <v>2272</v>
      </c>
      <c r="Q1331" s="198" t="s">
        <v>2272</v>
      </c>
      <c r="R1331" s="198" t="s">
        <v>2272</v>
      </c>
      <c r="S1331" s="198" t="s">
        <v>2272</v>
      </c>
      <c r="T1331" s="198" t="s">
        <v>2272</v>
      </c>
      <c r="U1331" s="198" t="s">
        <v>2272</v>
      </c>
      <c r="V1331" s="198" t="s">
        <v>2272</v>
      </c>
      <c r="W1331" s="198" t="s">
        <v>2272</v>
      </c>
      <c r="X1331" s="198" t="s">
        <v>2272</v>
      </c>
      <c r="Y1331" s="198" t="s">
        <v>2272</v>
      </c>
      <c r="Z1331" s="198" t="s">
        <v>2272</v>
      </c>
      <c r="AA1331" s="198" t="s">
        <v>2272</v>
      </c>
      <c r="AB1331" s="198" t="s">
        <v>2272</v>
      </c>
      <c r="AC1331" s="198" t="s">
        <v>2272</v>
      </c>
      <c r="AD1331" s="198" t="s">
        <v>4005</v>
      </c>
      <c r="AE1331" s="198"/>
    </row>
    <row r="1332" spans="1:31" ht="46" customHeight="1">
      <c r="A1332" s="198" t="s">
        <v>3984</v>
      </c>
      <c r="B1332" s="198" t="s">
        <v>3996</v>
      </c>
      <c r="C1332" s="198" t="s">
        <v>23</v>
      </c>
      <c r="D1332" s="198" t="s">
        <v>2799</v>
      </c>
      <c r="E1332" s="198" t="s">
        <v>5000</v>
      </c>
      <c r="F1332" s="4" t="s">
        <v>2657</v>
      </c>
      <c r="G1332" s="198" t="s">
        <v>2272</v>
      </c>
      <c r="H1332" s="198" t="s">
        <v>521</v>
      </c>
      <c r="I1332" s="198"/>
      <c r="J1332" s="198" t="s">
        <v>2272</v>
      </c>
      <c r="K1332" s="198" t="s">
        <v>2272</v>
      </c>
      <c r="L1332" s="198" t="s">
        <v>2272</v>
      </c>
      <c r="M1332" s="198" t="s">
        <v>2272</v>
      </c>
      <c r="N1332" s="198" t="s">
        <v>2272</v>
      </c>
      <c r="O1332" s="198" t="s">
        <v>2272</v>
      </c>
      <c r="P1332" s="198" t="s">
        <v>2272</v>
      </c>
      <c r="Q1332" s="198" t="s">
        <v>2272</v>
      </c>
      <c r="R1332" s="198" t="s">
        <v>2272</v>
      </c>
      <c r="S1332" s="198" t="s">
        <v>2272</v>
      </c>
      <c r="T1332" s="198" t="s">
        <v>2272</v>
      </c>
      <c r="U1332" s="198" t="s">
        <v>2272</v>
      </c>
      <c r="V1332" s="198" t="s">
        <v>2272</v>
      </c>
      <c r="W1332" s="198" t="s">
        <v>2272</v>
      </c>
      <c r="X1332" s="198" t="s">
        <v>2272</v>
      </c>
      <c r="Y1332" s="198" t="s">
        <v>2272</v>
      </c>
      <c r="Z1332" s="198" t="s">
        <v>2272</v>
      </c>
      <c r="AA1332" s="198" t="s">
        <v>2272</v>
      </c>
      <c r="AB1332" s="198" t="s">
        <v>2272</v>
      </c>
      <c r="AC1332" s="198" t="s">
        <v>2272</v>
      </c>
      <c r="AD1332" s="198" t="s">
        <v>4006</v>
      </c>
      <c r="AE1332" s="198"/>
    </row>
    <row r="1333" spans="1:31" ht="53.5" customHeight="1">
      <c r="A1333" s="198" t="s">
        <v>3985</v>
      </c>
      <c r="B1333" s="198" t="s">
        <v>3999</v>
      </c>
      <c r="C1333" s="198" t="s">
        <v>23</v>
      </c>
      <c r="D1333" s="198" t="s">
        <v>24</v>
      </c>
      <c r="E1333" s="4" t="s">
        <v>3849</v>
      </c>
      <c r="F1333" s="4" t="s">
        <v>28</v>
      </c>
      <c r="G1333" s="198" t="s">
        <v>2272</v>
      </c>
      <c r="H1333" s="198" t="s">
        <v>521</v>
      </c>
      <c r="I1333" s="198"/>
      <c r="J1333" s="198" t="s">
        <v>2272</v>
      </c>
      <c r="K1333" s="198" t="s">
        <v>2272</v>
      </c>
      <c r="L1333" s="198" t="s">
        <v>2272</v>
      </c>
      <c r="M1333" s="198" t="s">
        <v>2272</v>
      </c>
      <c r="N1333" s="198" t="s">
        <v>2272</v>
      </c>
      <c r="O1333" s="198" t="s">
        <v>2272</v>
      </c>
      <c r="P1333" s="198" t="s">
        <v>2272</v>
      </c>
      <c r="Q1333" s="198" t="s">
        <v>2272</v>
      </c>
      <c r="R1333" s="198" t="s">
        <v>2272</v>
      </c>
      <c r="S1333" s="198" t="s">
        <v>2272</v>
      </c>
      <c r="T1333" s="198" t="s">
        <v>2272</v>
      </c>
      <c r="U1333" s="198" t="s">
        <v>2272</v>
      </c>
      <c r="V1333" s="198" t="s">
        <v>2272</v>
      </c>
      <c r="W1333" s="198" t="s">
        <v>2272</v>
      </c>
      <c r="X1333" s="198" t="s">
        <v>2272</v>
      </c>
      <c r="Y1333" s="198" t="s">
        <v>2272</v>
      </c>
      <c r="Z1333" s="198" t="s">
        <v>2272</v>
      </c>
      <c r="AA1333" s="198" t="s">
        <v>2272</v>
      </c>
      <c r="AB1333" s="198" t="s">
        <v>2272</v>
      </c>
      <c r="AC1333" s="198" t="s">
        <v>2272</v>
      </c>
      <c r="AD1333" s="198" t="s">
        <v>4005</v>
      </c>
      <c r="AE1333" s="198"/>
    </row>
    <row r="1334" spans="1:31" ht="55.5" customHeight="1">
      <c r="A1334" s="198" t="s">
        <v>3985</v>
      </c>
      <c r="B1334" s="198" t="s">
        <v>4000</v>
      </c>
      <c r="C1334" s="198" t="s">
        <v>23</v>
      </c>
      <c r="D1334" s="198" t="s">
        <v>2799</v>
      </c>
      <c r="E1334" s="4" t="s">
        <v>3849</v>
      </c>
      <c r="F1334" s="4" t="s">
        <v>2657</v>
      </c>
      <c r="G1334" s="198" t="s">
        <v>2272</v>
      </c>
      <c r="H1334" s="198" t="s">
        <v>521</v>
      </c>
      <c r="I1334" s="198"/>
      <c r="J1334" s="198" t="s">
        <v>2272</v>
      </c>
      <c r="K1334" s="198" t="s">
        <v>2272</v>
      </c>
      <c r="L1334" s="198" t="s">
        <v>2272</v>
      </c>
      <c r="M1334" s="198" t="s">
        <v>2272</v>
      </c>
      <c r="N1334" s="198" t="s">
        <v>2272</v>
      </c>
      <c r="O1334" s="198" t="s">
        <v>2272</v>
      </c>
      <c r="P1334" s="198" t="s">
        <v>2272</v>
      </c>
      <c r="Q1334" s="198" t="s">
        <v>2272</v>
      </c>
      <c r="R1334" s="198" t="s">
        <v>2272</v>
      </c>
      <c r="S1334" s="198" t="s">
        <v>2272</v>
      </c>
      <c r="T1334" s="198" t="s">
        <v>2272</v>
      </c>
      <c r="U1334" s="198" t="s">
        <v>2272</v>
      </c>
      <c r="V1334" s="198" t="s">
        <v>2272</v>
      </c>
      <c r="W1334" s="198" t="s">
        <v>2272</v>
      </c>
      <c r="X1334" s="198" t="s">
        <v>2272</v>
      </c>
      <c r="Y1334" s="198" t="s">
        <v>2272</v>
      </c>
      <c r="Z1334" s="198" t="s">
        <v>2272</v>
      </c>
      <c r="AA1334" s="198" t="s">
        <v>2272</v>
      </c>
      <c r="AB1334" s="198" t="s">
        <v>2272</v>
      </c>
      <c r="AC1334" s="198" t="s">
        <v>2272</v>
      </c>
      <c r="AD1334" s="198" t="s">
        <v>4006</v>
      </c>
      <c r="AE1334" s="198"/>
    </row>
    <row r="1335" spans="1:31" ht="49.5" customHeight="1">
      <c r="A1335" s="198" t="s">
        <v>3985</v>
      </c>
      <c r="B1335" s="198" t="s">
        <v>3993</v>
      </c>
      <c r="C1335" s="198" t="s">
        <v>23</v>
      </c>
      <c r="D1335" s="198" t="s">
        <v>24</v>
      </c>
      <c r="E1335" s="198" t="s">
        <v>5000</v>
      </c>
      <c r="F1335" s="4" t="s">
        <v>28</v>
      </c>
      <c r="G1335" s="198" t="s">
        <v>2272</v>
      </c>
      <c r="H1335" s="198" t="s">
        <v>521</v>
      </c>
      <c r="I1335" s="198"/>
      <c r="J1335" s="198" t="s">
        <v>2272</v>
      </c>
      <c r="K1335" s="198" t="s">
        <v>2272</v>
      </c>
      <c r="L1335" s="198" t="s">
        <v>2272</v>
      </c>
      <c r="M1335" s="198" t="s">
        <v>2272</v>
      </c>
      <c r="N1335" s="198" t="s">
        <v>2272</v>
      </c>
      <c r="O1335" s="198" t="s">
        <v>2272</v>
      </c>
      <c r="P1335" s="198" t="s">
        <v>2272</v>
      </c>
      <c r="Q1335" s="198" t="s">
        <v>2272</v>
      </c>
      <c r="R1335" s="198" t="s">
        <v>2272</v>
      </c>
      <c r="S1335" s="198" t="s">
        <v>2272</v>
      </c>
      <c r="T1335" s="198" t="s">
        <v>2272</v>
      </c>
      <c r="U1335" s="198" t="s">
        <v>2272</v>
      </c>
      <c r="V1335" s="198" t="s">
        <v>2272</v>
      </c>
      <c r="W1335" s="198" t="s">
        <v>2272</v>
      </c>
      <c r="X1335" s="198" t="s">
        <v>2272</v>
      </c>
      <c r="Y1335" s="198" t="s">
        <v>2272</v>
      </c>
      <c r="Z1335" s="198" t="s">
        <v>2272</v>
      </c>
      <c r="AA1335" s="198" t="s">
        <v>2272</v>
      </c>
      <c r="AB1335" s="198" t="s">
        <v>2272</v>
      </c>
      <c r="AC1335" s="198" t="s">
        <v>2272</v>
      </c>
      <c r="AD1335" s="198" t="s">
        <v>4007</v>
      </c>
      <c r="AE1335" s="198"/>
    </row>
    <row r="1336" spans="1:31" ht="53" customHeight="1">
      <c r="A1336" s="198" t="s">
        <v>3985</v>
      </c>
      <c r="B1336" s="198" t="s">
        <v>3997</v>
      </c>
      <c r="C1336" s="198" t="s">
        <v>23</v>
      </c>
      <c r="D1336" s="198" t="s">
        <v>2799</v>
      </c>
      <c r="E1336" s="198" t="s">
        <v>5000</v>
      </c>
      <c r="F1336" s="4" t="s">
        <v>2657</v>
      </c>
      <c r="G1336" s="198" t="s">
        <v>2272</v>
      </c>
      <c r="H1336" s="198" t="s">
        <v>521</v>
      </c>
      <c r="I1336" s="198"/>
      <c r="J1336" s="198" t="s">
        <v>2272</v>
      </c>
      <c r="K1336" s="198" t="s">
        <v>2272</v>
      </c>
      <c r="L1336" s="198" t="s">
        <v>2272</v>
      </c>
      <c r="M1336" s="198" t="s">
        <v>2272</v>
      </c>
      <c r="N1336" s="198" t="s">
        <v>2272</v>
      </c>
      <c r="O1336" s="198" t="s">
        <v>2272</v>
      </c>
      <c r="P1336" s="198" t="s">
        <v>2272</v>
      </c>
      <c r="Q1336" s="198" t="s">
        <v>2272</v>
      </c>
      <c r="R1336" s="198" t="s">
        <v>2272</v>
      </c>
      <c r="S1336" s="198" t="s">
        <v>2272</v>
      </c>
      <c r="T1336" s="198" t="s">
        <v>2272</v>
      </c>
      <c r="U1336" s="198" t="s">
        <v>2272</v>
      </c>
      <c r="V1336" s="198" t="s">
        <v>2272</v>
      </c>
      <c r="W1336" s="198" t="s">
        <v>2272</v>
      </c>
      <c r="X1336" s="198" t="s">
        <v>2272</v>
      </c>
      <c r="Y1336" s="198" t="s">
        <v>2272</v>
      </c>
      <c r="Z1336" s="198" t="s">
        <v>2272</v>
      </c>
      <c r="AA1336" s="198" t="s">
        <v>2272</v>
      </c>
      <c r="AB1336" s="198" t="s">
        <v>2272</v>
      </c>
      <c r="AC1336" s="198" t="s">
        <v>2272</v>
      </c>
      <c r="AD1336" s="198" t="s">
        <v>4009</v>
      </c>
      <c r="AE1336" s="198"/>
    </row>
    <row r="1337" spans="1:31" ht="50.5" customHeight="1">
      <c r="A1337" s="198" t="s">
        <v>3985</v>
      </c>
      <c r="B1337" s="198" t="s">
        <v>4001</v>
      </c>
      <c r="C1337" s="198" t="s">
        <v>23</v>
      </c>
      <c r="D1337" s="198" t="s">
        <v>24</v>
      </c>
      <c r="E1337" s="4" t="s">
        <v>3849</v>
      </c>
      <c r="F1337" s="4" t="s">
        <v>28</v>
      </c>
      <c r="G1337" s="198" t="s">
        <v>2272</v>
      </c>
      <c r="H1337" s="198" t="s">
        <v>521</v>
      </c>
      <c r="I1337" s="198"/>
      <c r="J1337" s="198" t="s">
        <v>2272</v>
      </c>
      <c r="K1337" s="198" t="s">
        <v>2272</v>
      </c>
      <c r="L1337" s="198" t="s">
        <v>2272</v>
      </c>
      <c r="M1337" s="198" t="s">
        <v>2272</v>
      </c>
      <c r="N1337" s="198" t="s">
        <v>2272</v>
      </c>
      <c r="O1337" s="198" t="s">
        <v>2272</v>
      </c>
      <c r="P1337" s="198" t="s">
        <v>2272</v>
      </c>
      <c r="Q1337" s="198" t="s">
        <v>2272</v>
      </c>
      <c r="R1337" s="198" t="s">
        <v>2272</v>
      </c>
      <c r="S1337" s="198" t="s">
        <v>2272</v>
      </c>
      <c r="T1337" s="198" t="s">
        <v>2272</v>
      </c>
      <c r="U1337" s="198" t="s">
        <v>2272</v>
      </c>
      <c r="V1337" s="198" t="s">
        <v>2272</v>
      </c>
      <c r="W1337" s="198" t="s">
        <v>2272</v>
      </c>
      <c r="X1337" s="198" t="s">
        <v>2272</v>
      </c>
      <c r="Y1337" s="198" t="s">
        <v>2272</v>
      </c>
      <c r="Z1337" s="198" t="s">
        <v>2272</v>
      </c>
      <c r="AA1337" s="198" t="s">
        <v>2272</v>
      </c>
      <c r="AB1337" s="198" t="s">
        <v>2272</v>
      </c>
      <c r="AC1337" s="198" t="s">
        <v>2272</v>
      </c>
      <c r="AD1337" s="198" t="s">
        <v>4007</v>
      </c>
      <c r="AE1337" s="198"/>
    </row>
    <row r="1338" spans="1:31" ht="47" customHeight="1">
      <c r="A1338" s="198" t="s">
        <v>3985</v>
      </c>
      <c r="B1338" s="198" t="s">
        <v>4002</v>
      </c>
      <c r="C1338" s="198" t="s">
        <v>23</v>
      </c>
      <c r="D1338" s="198" t="s">
        <v>2799</v>
      </c>
      <c r="E1338" s="4" t="s">
        <v>3849</v>
      </c>
      <c r="F1338" s="4" t="s">
        <v>2657</v>
      </c>
      <c r="G1338" s="198" t="s">
        <v>2272</v>
      </c>
      <c r="H1338" s="198" t="s">
        <v>521</v>
      </c>
      <c r="I1338" s="198"/>
      <c r="J1338" s="198" t="s">
        <v>2272</v>
      </c>
      <c r="K1338" s="198" t="s">
        <v>2272</v>
      </c>
      <c r="L1338" s="198" t="s">
        <v>2272</v>
      </c>
      <c r="M1338" s="198" t="s">
        <v>2272</v>
      </c>
      <c r="N1338" s="198" t="s">
        <v>2272</v>
      </c>
      <c r="O1338" s="198" t="s">
        <v>2272</v>
      </c>
      <c r="P1338" s="198" t="s">
        <v>2272</v>
      </c>
      <c r="Q1338" s="198" t="s">
        <v>2272</v>
      </c>
      <c r="R1338" s="198" t="s">
        <v>2272</v>
      </c>
      <c r="S1338" s="198" t="s">
        <v>2272</v>
      </c>
      <c r="T1338" s="198" t="s">
        <v>2272</v>
      </c>
      <c r="U1338" s="198" t="s">
        <v>2272</v>
      </c>
      <c r="V1338" s="198" t="s">
        <v>2272</v>
      </c>
      <c r="W1338" s="198" t="s">
        <v>2272</v>
      </c>
      <c r="X1338" s="198" t="s">
        <v>2272</v>
      </c>
      <c r="Y1338" s="198" t="s">
        <v>2272</v>
      </c>
      <c r="Z1338" s="198" t="s">
        <v>2272</v>
      </c>
      <c r="AA1338" s="198" t="s">
        <v>2272</v>
      </c>
      <c r="AB1338" s="198" t="s">
        <v>2272</v>
      </c>
      <c r="AC1338" s="198" t="s">
        <v>2272</v>
      </c>
      <c r="AD1338" s="198" t="s">
        <v>4009</v>
      </c>
      <c r="AE1338" s="198"/>
    </row>
    <row r="1339" spans="1:31" ht="50" customHeight="1">
      <c r="A1339" s="198" t="s">
        <v>3990</v>
      </c>
      <c r="B1339" s="198" t="s">
        <v>3994</v>
      </c>
      <c r="C1339" s="198" t="s">
        <v>23</v>
      </c>
      <c r="D1339" s="198" t="s">
        <v>24</v>
      </c>
      <c r="E1339" s="198" t="s">
        <v>5000</v>
      </c>
      <c r="F1339" s="4" t="s">
        <v>28</v>
      </c>
      <c r="G1339" s="198" t="s">
        <v>2272</v>
      </c>
      <c r="H1339" s="198" t="s">
        <v>521</v>
      </c>
      <c r="I1339" s="198"/>
      <c r="J1339" s="198" t="s">
        <v>2272</v>
      </c>
      <c r="K1339" s="198" t="s">
        <v>2272</v>
      </c>
      <c r="L1339" s="198" t="s">
        <v>2272</v>
      </c>
      <c r="M1339" s="198" t="s">
        <v>2272</v>
      </c>
      <c r="N1339" s="198" t="s">
        <v>2272</v>
      </c>
      <c r="O1339" s="198" t="s">
        <v>2272</v>
      </c>
      <c r="P1339" s="198" t="s">
        <v>2272</v>
      </c>
      <c r="Q1339" s="198" t="s">
        <v>2272</v>
      </c>
      <c r="R1339" s="198" t="s">
        <v>2272</v>
      </c>
      <c r="S1339" s="198" t="s">
        <v>2272</v>
      </c>
      <c r="T1339" s="198" t="s">
        <v>2272</v>
      </c>
      <c r="U1339" s="198" t="s">
        <v>2272</v>
      </c>
      <c r="V1339" s="198" t="s">
        <v>2272</v>
      </c>
      <c r="W1339" s="198" t="s">
        <v>2272</v>
      </c>
      <c r="X1339" s="198" t="s">
        <v>2272</v>
      </c>
      <c r="Y1339" s="198" t="s">
        <v>2272</v>
      </c>
      <c r="Z1339" s="198" t="s">
        <v>2272</v>
      </c>
      <c r="AA1339" s="198" t="s">
        <v>2272</v>
      </c>
      <c r="AB1339" s="198" t="s">
        <v>2272</v>
      </c>
      <c r="AC1339" s="198" t="s">
        <v>2272</v>
      </c>
      <c r="AD1339" s="198" t="s">
        <v>4008</v>
      </c>
      <c r="AE1339" s="198"/>
    </row>
    <row r="1340" spans="1:31" ht="51.5" customHeight="1">
      <c r="A1340" s="198" t="s">
        <v>3990</v>
      </c>
      <c r="B1340" s="198" t="s">
        <v>3998</v>
      </c>
      <c r="C1340" s="198" t="s">
        <v>23</v>
      </c>
      <c r="D1340" s="198" t="s">
        <v>2799</v>
      </c>
      <c r="E1340" s="198" t="s">
        <v>5000</v>
      </c>
      <c r="F1340" s="4" t="s">
        <v>2657</v>
      </c>
      <c r="G1340" s="198" t="s">
        <v>2272</v>
      </c>
      <c r="H1340" s="198" t="s">
        <v>521</v>
      </c>
      <c r="I1340" s="198"/>
      <c r="J1340" s="198" t="s">
        <v>2272</v>
      </c>
      <c r="K1340" s="198" t="s">
        <v>2272</v>
      </c>
      <c r="L1340" s="198" t="s">
        <v>2272</v>
      </c>
      <c r="M1340" s="198" t="s">
        <v>2272</v>
      </c>
      <c r="N1340" s="198" t="s">
        <v>2272</v>
      </c>
      <c r="O1340" s="198" t="s">
        <v>2272</v>
      </c>
      <c r="P1340" s="198" t="s">
        <v>2272</v>
      </c>
      <c r="Q1340" s="198" t="s">
        <v>2272</v>
      </c>
      <c r="R1340" s="198" t="s">
        <v>2272</v>
      </c>
      <c r="S1340" s="198" t="s">
        <v>2272</v>
      </c>
      <c r="T1340" s="198" t="s">
        <v>2272</v>
      </c>
      <c r="U1340" s="198" t="s">
        <v>2272</v>
      </c>
      <c r="V1340" s="198" t="s">
        <v>2272</v>
      </c>
      <c r="W1340" s="198" t="s">
        <v>2272</v>
      </c>
      <c r="X1340" s="198" t="s">
        <v>2272</v>
      </c>
      <c r="Y1340" s="198" t="s">
        <v>2272</v>
      </c>
      <c r="Z1340" s="198" t="s">
        <v>2272</v>
      </c>
      <c r="AA1340" s="198" t="s">
        <v>2272</v>
      </c>
      <c r="AB1340" s="198" t="s">
        <v>2272</v>
      </c>
      <c r="AC1340" s="198" t="s">
        <v>2272</v>
      </c>
      <c r="AD1340" s="198" t="s">
        <v>4009</v>
      </c>
      <c r="AE1340" s="198"/>
    </row>
    <row r="1341" spans="1:31" ht="52.5" customHeight="1">
      <c r="A1341" s="198" t="s">
        <v>3990</v>
      </c>
      <c r="B1341" s="198" t="s">
        <v>4003</v>
      </c>
      <c r="C1341" s="198" t="s">
        <v>23</v>
      </c>
      <c r="D1341" s="198" t="s">
        <v>24</v>
      </c>
      <c r="E1341" s="4" t="s">
        <v>3849</v>
      </c>
      <c r="F1341" s="4" t="s">
        <v>28</v>
      </c>
      <c r="G1341" s="198" t="s">
        <v>2272</v>
      </c>
      <c r="H1341" s="198" t="s">
        <v>521</v>
      </c>
      <c r="I1341" s="198"/>
      <c r="J1341" s="198" t="s">
        <v>2272</v>
      </c>
      <c r="K1341" s="198" t="s">
        <v>2272</v>
      </c>
      <c r="L1341" s="198" t="s">
        <v>2272</v>
      </c>
      <c r="M1341" s="198" t="s">
        <v>2272</v>
      </c>
      <c r="N1341" s="198" t="s">
        <v>2272</v>
      </c>
      <c r="O1341" s="198" t="s">
        <v>2272</v>
      </c>
      <c r="P1341" s="198" t="s">
        <v>2272</v>
      </c>
      <c r="Q1341" s="198" t="s">
        <v>2272</v>
      </c>
      <c r="R1341" s="198" t="s">
        <v>2272</v>
      </c>
      <c r="S1341" s="198" t="s">
        <v>2272</v>
      </c>
      <c r="T1341" s="198" t="s">
        <v>2272</v>
      </c>
      <c r="U1341" s="198" t="s">
        <v>2272</v>
      </c>
      <c r="V1341" s="198" t="s">
        <v>2272</v>
      </c>
      <c r="W1341" s="198" t="s">
        <v>2272</v>
      </c>
      <c r="X1341" s="198" t="s">
        <v>2272</v>
      </c>
      <c r="Y1341" s="198" t="s">
        <v>2272</v>
      </c>
      <c r="Z1341" s="198" t="s">
        <v>2272</v>
      </c>
      <c r="AA1341" s="198" t="s">
        <v>2272</v>
      </c>
      <c r="AB1341" s="198" t="s">
        <v>2272</v>
      </c>
      <c r="AC1341" s="198" t="s">
        <v>2272</v>
      </c>
      <c r="AD1341" s="198" t="s">
        <v>4008</v>
      </c>
      <c r="AE1341" s="198"/>
    </row>
    <row r="1342" spans="1:31" ht="47.5" customHeight="1">
      <c r="A1342" s="198" t="s">
        <v>3990</v>
      </c>
      <c r="B1342" s="198" t="s">
        <v>4004</v>
      </c>
      <c r="C1342" s="198" t="s">
        <v>23</v>
      </c>
      <c r="D1342" s="198" t="s">
        <v>2799</v>
      </c>
      <c r="E1342" s="4" t="s">
        <v>3849</v>
      </c>
      <c r="F1342" s="4" t="s">
        <v>2657</v>
      </c>
      <c r="G1342" s="198" t="s">
        <v>2272</v>
      </c>
      <c r="H1342" s="198" t="s">
        <v>521</v>
      </c>
      <c r="I1342" s="198"/>
      <c r="J1342" s="198" t="s">
        <v>2272</v>
      </c>
      <c r="K1342" s="198" t="s">
        <v>2272</v>
      </c>
      <c r="L1342" s="198" t="s">
        <v>2272</v>
      </c>
      <c r="M1342" s="198" t="s">
        <v>2272</v>
      </c>
      <c r="N1342" s="198" t="s">
        <v>2272</v>
      </c>
      <c r="O1342" s="198" t="s">
        <v>2272</v>
      </c>
      <c r="P1342" s="198" t="s">
        <v>2272</v>
      </c>
      <c r="Q1342" s="198" t="s">
        <v>2272</v>
      </c>
      <c r="R1342" s="198" t="s">
        <v>2272</v>
      </c>
      <c r="S1342" s="198" t="s">
        <v>2272</v>
      </c>
      <c r="T1342" s="198" t="s">
        <v>2272</v>
      </c>
      <c r="U1342" s="198" t="s">
        <v>2272</v>
      </c>
      <c r="V1342" s="198" t="s">
        <v>2272</v>
      </c>
      <c r="W1342" s="198" t="s">
        <v>2272</v>
      </c>
      <c r="X1342" s="198" t="s">
        <v>2272</v>
      </c>
      <c r="Y1342" s="198" t="s">
        <v>2272</v>
      </c>
      <c r="Z1342" s="198" t="s">
        <v>2272</v>
      </c>
      <c r="AA1342" s="198" t="s">
        <v>2272</v>
      </c>
      <c r="AB1342" s="198" t="s">
        <v>2272</v>
      </c>
      <c r="AC1342" s="198" t="s">
        <v>2272</v>
      </c>
      <c r="AD1342" s="198" t="s">
        <v>4009</v>
      </c>
      <c r="AE1342" s="198"/>
    </row>
    <row r="1343" spans="1:31" ht="30" customHeight="1">
      <c r="A1343" s="198" t="s">
        <v>4010</v>
      </c>
      <c r="B1343" s="198" t="s">
        <v>4015</v>
      </c>
      <c r="C1343" s="198" t="s">
        <v>23</v>
      </c>
      <c r="D1343" s="198" t="s">
        <v>2799</v>
      </c>
      <c r="E1343" s="198" t="s">
        <v>5000</v>
      </c>
      <c r="F1343" s="4" t="s">
        <v>2657</v>
      </c>
      <c r="G1343" s="198" t="s">
        <v>2272</v>
      </c>
      <c r="H1343" s="198" t="s">
        <v>521</v>
      </c>
      <c r="I1343" s="198"/>
      <c r="J1343" s="198" t="s">
        <v>2272</v>
      </c>
      <c r="K1343" s="198" t="s">
        <v>2272</v>
      </c>
      <c r="L1343" s="198" t="s">
        <v>2272</v>
      </c>
      <c r="M1343" s="198" t="s">
        <v>2272</v>
      </c>
      <c r="N1343" s="198" t="s">
        <v>2272</v>
      </c>
      <c r="O1343" s="198" t="s">
        <v>2272</v>
      </c>
      <c r="P1343" s="198" t="s">
        <v>2272</v>
      </c>
      <c r="Q1343" s="198" t="s">
        <v>2272</v>
      </c>
      <c r="R1343" s="198" t="s">
        <v>2272</v>
      </c>
      <c r="S1343" s="198" t="s">
        <v>2272</v>
      </c>
      <c r="T1343" s="198" t="s">
        <v>2272</v>
      </c>
      <c r="U1343" s="198" t="s">
        <v>2272</v>
      </c>
      <c r="V1343" s="198" t="s">
        <v>2272</v>
      </c>
      <c r="W1343" s="198" t="s">
        <v>2272</v>
      </c>
      <c r="X1343" s="198" t="s">
        <v>2272</v>
      </c>
      <c r="Y1343" s="198" t="s">
        <v>2272</v>
      </c>
      <c r="Z1343" s="198" t="s">
        <v>2272</v>
      </c>
      <c r="AA1343" s="198" t="s">
        <v>34</v>
      </c>
      <c r="AB1343" s="198" t="s">
        <v>37</v>
      </c>
      <c r="AC1343" s="198" t="s">
        <v>2272</v>
      </c>
      <c r="AD1343" s="198"/>
      <c r="AE1343" s="198"/>
    </row>
    <row r="1344" spans="1:31" ht="33.5" customHeight="1">
      <c r="A1344" s="198" t="s">
        <v>4010</v>
      </c>
      <c r="B1344" s="198" t="s">
        <v>4016</v>
      </c>
      <c r="C1344" s="198" t="s">
        <v>23</v>
      </c>
      <c r="D1344" s="198" t="s">
        <v>24</v>
      </c>
      <c r="E1344" s="198" t="s">
        <v>5000</v>
      </c>
      <c r="F1344" s="4" t="s">
        <v>28</v>
      </c>
      <c r="G1344" s="198" t="s">
        <v>2272</v>
      </c>
      <c r="H1344" s="198" t="s">
        <v>521</v>
      </c>
      <c r="I1344" s="198"/>
      <c r="J1344" s="198" t="s">
        <v>2272</v>
      </c>
      <c r="K1344" s="198" t="s">
        <v>2272</v>
      </c>
      <c r="L1344" s="198" t="s">
        <v>2272</v>
      </c>
      <c r="M1344" s="198" t="s">
        <v>2272</v>
      </c>
      <c r="N1344" s="198" t="s">
        <v>2272</v>
      </c>
      <c r="O1344" s="198" t="s">
        <v>2272</v>
      </c>
      <c r="P1344" s="198" t="s">
        <v>2272</v>
      </c>
      <c r="Q1344" s="198" t="s">
        <v>2272</v>
      </c>
      <c r="R1344" s="198" t="s">
        <v>2272</v>
      </c>
      <c r="S1344" s="198" t="s">
        <v>2272</v>
      </c>
      <c r="T1344" s="198" t="s">
        <v>2272</v>
      </c>
      <c r="U1344" s="198" t="s">
        <v>2272</v>
      </c>
      <c r="V1344" s="198" t="s">
        <v>2272</v>
      </c>
      <c r="W1344" s="198" t="s">
        <v>2272</v>
      </c>
      <c r="X1344" s="198" t="s">
        <v>2272</v>
      </c>
      <c r="Y1344" s="198" t="s">
        <v>2272</v>
      </c>
      <c r="Z1344" s="198" t="s">
        <v>2272</v>
      </c>
      <c r="AA1344" s="198" t="s">
        <v>34</v>
      </c>
      <c r="AB1344" s="198" t="s">
        <v>37</v>
      </c>
      <c r="AC1344" s="198" t="s">
        <v>2272</v>
      </c>
      <c r="AD1344" s="198"/>
      <c r="AE1344" s="198"/>
    </row>
    <row r="1345" spans="1:31" ht="30" customHeight="1">
      <c r="A1345" s="198" t="s">
        <v>4010</v>
      </c>
      <c r="B1345" s="198" t="s">
        <v>4017</v>
      </c>
      <c r="C1345" s="198" t="s">
        <v>2453</v>
      </c>
      <c r="D1345" s="198" t="s">
        <v>2272</v>
      </c>
      <c r="E1345" s="198" t="s">
        <v>5000</v>
      </c>
      <c r="F1345" s="4" t="s">
        <v>2272</v>
      </c>
      <c r="G1345" s="198" t="s">
        <v>73</v>
      </c>
      <c r="H1345" s="198" t="s">
        <v>521</v>
      </c>
      <c r="I1345" s="198"/>
      <c r="J1345" s="198" t="s">
        <v>2272</v>
      </c>
      <c r="K1345" s="198" t="s">
        <v>2272</v>
      </c>
      <c r="L1345" s="198" t="s">
        <v>2272</v>
      </c>
      <c r="M1345" s="198" t="s">
        <v>2272</v>
      </c>
      <c r="N1345" s="198" t="s">
        <v>2272</v>
      </c>
      <c r="O1345" s="198" t="s">
        <v>2272</v>
      </c>
      <c r="P1345" s="198" t="s">
        <v>2272</v>
      </c>
      <c r="Q1345" s="198" t="s">
        <v>2272</v>
      </c>
      <c r="R1345" s="198" t="s">
        <v>2272</v>
      </c>
      <c r="S1345" s="198" t="s">
        <v>2272</v>
      </c>
      <c r="T1345" s="198" t="s">
        <v>2272</v>
      </c>
      <c r="U1345" s="198" t="s">
        <v>2272</v>
      </c>
      <c r="V1345" s="198" t="s">
        <v>2272</v>
      </c>
      <c r="W1345" s="198" t="s">
        <v>2272</v>
      </c>
      <c r="X1345" s="198" t="s">
        <v>2272</v>
      </c>
      <c r="Y1345" s="198" t="s">
        <v>2272</v>
      </c>
      <c r="Z1345" s="198" t="s">
        <v>2272</v>
      </c>
      <c r="AA1345" s="198" t="s">
        <v>34</v>
      </c>
      <c r="AB1345" s="198" t="s">
        <v>37</v>
      </c>
      <c r="AC1345" s="198" t="s">
        <v>2272</v>
      </c>
      <c r="AD1345" s="198"/>
      <c r="AE1345" s="198"/>
    </row>
    <row r="1346" spans="1:31" ht="44.5" customHeight="1">
      <c r="A1346" s="198" t="s">
        <v>4010</v>
      </c>
      <c r="B1346" s="198" t="s">
        <v>4018</v>
      </c>
      <c r="C1346" s="198" t="s">
        <v>23</v>
      </c>
      <c r="D1346" s="198" t="s">
        <v>2799</v>
      </c>
      <c r="E1346" s="198" t="s">
        <v>44</v>
      </c>
      <c r="F1346" s="4" t="s">
        <v>2657</v>
      </c>
      <c r="G1346" s="198" t="s">
        <v>2272</v>
      </c>
      <c r="H1346" s="198" t="s">
        <v>521</v>
      </c>
      <c r="I1346" s="198"/>
      <c r="J1346" s="198" t="s">
        <v>2272</v>
      </c>
      <c r="K1346" s="198" t="s">
        <v>2272</v>
      </c>
      <c r="L1346" s="198" t="s">
        <v>2272</v>
      </c>
      <c r="M1346" s="198" t="s">
        <v>2272</v>
      </c>
      <c r="N1346" s="198" t="s">
        <v>2272</v>
      </c>
      <c r="O1346" s="198" t="s">
        <v>2272</v>
      </c>
      <c r="P1346" s="198" t="s">
        <v>2272</v>
      </c>
      <c r="Q1346" s="198" t="s">
        <v>2272</v>
      </c>
      <c r="R1346" s="198" t="s">
        <v>2272</v>
      </c>
      <c r="S1346" s="198" t="s">
        <v>2272</v>
      </c>
      <c r="T1346" s="198" t="s">
        <v>2272</v>
      </c>
      <c r="U1346" s="198" t="s">
        <v>2272</v>
      </c>
      <c r="V1346" s="198" t="s">
        <v>2272</v>
      </c>
      <c r="W1346" s="198" t="s">
        <v>2272</v>
      </c>
      <c r="X1346" s="198" t="s">
        <v>2272</v>
      </c>
      <c r="Y1346" s="198" t="s">
        <v>2272</v>
      </c>
      <c r="Z1346" s="198" t="s">
        <v>2272</v>
      </c>
      <c r="AA1346" s="198" t="s">
        <v>2272</v>
      </c>
      <c r="AB1346" s="198" t="s">
        <v>2272</v>
      </c>
      <c r="AC1346" s="198" t="s">
        <v>2272</v>
      </c>
      <c r="AD1346" s="198"/>
      <c r="AE1346" s="198"/>
    </row>
    <row r="1347" spans="1:31" ht="36.5" customHeight="1">
      <c r="A1347" s="198" t="s">
        <v>4010</v>
      </c>
      <c r="B1347" s="198" t="s">
        <v>4019</v>
      </c>
      <c r="C1347" s="198" t="s">
        <v>23</v>
      </c>
      <c r="D1347" s="198" t="s">
        <v>24</v>
      </c>
      <c r="E1347" s="198" t="s">
        <v>44</v>
      </c>
      <c r="F1347" s="4" t="s">
        <v>28</v>
      </c>
      <c r="G1347" s="198" t="s">
        <v>2272</v>
      </c>
      <c r="H1347" s="198" t="s">
        <v>521</v>
      </c>
      <c r="I1347" s="198"/>
      <c r="J1347" s="198" t="s">
        <v>2272</v>
      </c>
      <c r="K1347" s="198" t="s">
        <v>2272</v>
      </c>
      <c r="L1347" s="198" t="s">
        <v>2272</v>
      </c>
      <c r="M1347" s="198" t="s">
        <v>2272</v>
      </c>
      <c r="N1347" s="198" t="s">
        <v>2272</v>
      </c>
      <c r="O1347" s="198" t="s">
        <v>2272</v>
      </c>
      <c r="P1347" s="198" t="s">
        <v>2272</v>
      </c>
      <c r="Q1347" s="198" t="s">
        <v>2272</v>
      </c>
      <c r="R1347" s="198" t="s">
        <v>2272</v>
      </c>
      <c r="S1347" s="198" t="s">
        <v>2272</v>
      </c>
      <c r="T1347" s="198" t="s">
        <v>2272</v>
      </c>
      <c r="U1347" s="198" t="s">
        <v>2272</v>
      </c>
      <c r="V1347" s="198" t="s">
        <v>2272</v>
      </c>
      <c r="W1347" s="198" t="s">
        <v>2272</v>
      </c>
      <c r="X1347" s="198" t="s">
        <v>2272</v>
      </c>
      <c r="Y1347" s="198" t="s">
        <v>2272</v>
      </c>
      <c r="Z1347" s="198" t="s">
        <v>2272</v>
      </c>
      <c r="AA1347" s="198" t="s">
        <v>2272</v>
      </c>
      <c r="AB1347" s="198" t="s">
        <v>2272</v>
      </c>
      <c r="AC1347" s="198" t="s">
        <v>2272</v>
      </c>
      <c r="AD1347" s="198"/>
      <c r="AE1347" s="198"/>
    </row>
    <row r="1348" spans="1:31" ht="33.5" customHeight="1">
      <c r="A1348" s="198" t="s">
        <v>4010</v>
      </c>
      <c r="B1348" s="198" t="s">
        <v>4020</v>
      </c>
      <c r="C1348" s="198" t="s">
        <v>23</v>
      </c>
      <c r="D1348" s="198" t="s">
        <v>2272</v>
      </c>
      <c r="E1348" s="198" t="s">
        <v>44</v>
      </c>
      <c r="F1348" s="4" t="s">
        <v>73</v>
      </c>
      <c r="G1348" s="198" t="s">
        <v>73</v>
      </c>
      <c r="H1348" s="198" t="s">
        <v>521</v>
      </c>
      <c r="I1348" s="198"/>
      <c r="J1348" s="198" t="s">
        <v>2272</v>
      </c>
      <c r="K1348" s="198" t="s">
        <v>2272</v>
      </c>
      <c r="L1348" s="198" t="s">
        <v>2272</v>
      </c>
      <c r="M1348" s="198" t="s">
        <v>2272</v>
      </c>
      <c r="N1348" s="198" t="s">
        <v>2272</v>
      </c>
      <c r="O1348" s="198" t="s">
        <v>2272</v>
      </c>
      <c r="P1348" s="198" t="s">
        <v>2272</v>
      </c>
      <c r="Q1348" s="198" t="s">
        <v>2272</v>
      </c>
      <c r="R1348" s="198" t="s">
        <v>2272</v>
      </c>
      <c r="S1348" s="198" t="s">
        <v>2272</v>
      </c>
      <c r="T1348" s="198" t="s">
        <v>2272</v>
      </c>
      <c r="U1348" s="198" t="s">
        <v>2272</v>
      </c>
      <c r="V1348" s="198" t="s">
        <v>2272</v>
      </c>
      <c r="W1348" s="198" t="s">
        <v>2272</v>
      </c>
      <c r="X1348" s="198" t="s">
        <v>2272</v>
      </c>
      <c r="Y1348" s="198" t="s">
        <v>2272</v>
      </c>
      <c r="Z1348" s="198" t="s">
        <v>2272</v>
      </c>
      <c r="AA1348" s="198" t="s">
        <v>2272</v>
      </c>
      <c r="AB1348" s="198" t="s">
        <v>2272</v>
      </c>
      <c r="AC1348" s="198" t="s">
        <v>2272</v>
      </c>
      <c r="AD1348" s="198"/>
      <c r="AE1348" s="198"/>
    </row>
    <row r="1349" spans="1:31" ht="33" customHeight="1">
      <c r="A1349" s="198" t="s">
        <v>4010</v>
      </c>
      <c r="B1349" s="198" t="s">
        <v>4021</v>
      </c>
      <c r="C1349" s="198" t="s">
        <v>23</v>
      </c>
      <c r="D1349" s="198" t="s">
        <v>141</v>
      </c>
      <c r="E1349" s="4" t="s">
        <v>395</v>
      </c>
      <c r="F1349" s="4" t="s">
        <v>73</v>
      </c>
      <c r="G1349" s="198" t="s">
        <v>73</v>
      </c>
      <c r="H1349" s="198" t="s">
        <v>521</v>
      </c>
      <c r="I1349" s="198"/>
      <c r="J1349" s="198" t="s">
        <v>2272</v>
      </c>
      <c r="K1349" s="198" t="s">
        <v>2272</v>
      </c>
      <c r="L1349" s="198" t="s">
        <v>2272</v>
      </c>
      <c r="M1349" s="198" t="s">
        <v>2272</v>
      </c>
      <c r="N1349" s="198" t="s">
        <v>2272</v>
      </c>
      <c r="O1349" s="198" t="s">
        <v>2272</v>
      </c>
      <c r="P1349" s="198" t="s">
        <v>2272</v>
      </c>
      <c r="Q1349" s="198" t="s">
        <v>2272</v>
      </c>
      <c r="R1349" s="198" t="s">
        <v>2272</v>
      </c>
      <c r="S1349" s="198" t="s">
        <v>2272</v>
      </c>
      <c r="T1349" s="198" t="s">
        <v>2272</v>
      </c>
      <c r="U1349" s="198" t="s">
        <v>2272</v>
      </c>
      <c r="V1349" s="198" t="s">
        <v>2272</v>
      </c>
      <c r="W1349" s="198" t="s">
        <v>2272</v>
      </c>
      <c r="X1349" s="198" t="s">
        <v>2272</v>
      </c>
      <c r="Y1349" s="198" t="s">
        <v>2272</v>
      </c>
      <c r="Z1349" s="198" t="s">
        <v>2272</v>
      </c>
      <c r="AA1349" s="198" t="s">
        <v>2272</v>
      </c>
      <c r="AB1349" s="198" t="s">
        <v>2272</v>
      </c>
      <c r="AC1349" s="198" t="s">
        <v>2272</v>
      </c>
      <c r="AD1349" s="198"/>
      <c r="AE1349" s="198"/>
    </row>
    <row r="1350" spans="1:31" ht="56.5" customHeight="1">
      <c r="A1350" s="198" t="s">
        <v>4023</v>
      </c>
      <c r="B1350" s="198" t="s">
        <v>4034</v>
      </c>
      <c r="C1350" s="198" t="s">
        <v>23</v>
      </c>
      <c r="D1350" s="198" t="s">
        <v>2799</v>
      </c>
      <c r="E1350" s="198" t="s">
        <v>5000</v>
      </c>
      <c r="F1350" s="4" t="s">
        <v>54</v>
      </c>
      <c r="G1350" s="198" t="s">
        <v>2272</v>
      </c>
      <c r="H1350" s="198" t="s">
        <v>522</v>
      </c>
      <c r="I1350" s="198"/>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1">
        <v>0</v>
      </c>
      <c r="Z1350" s="198" t="s">
        <v>2272</v>
      </c>
      <c r="AA1350" s="198" t="s">
        <v>2272</v>
      </c>
      <c r="AB1350" s="198" t="s">
        <v>2272</v>
      </c>
      <c r="AC1350" s="198" t="s">
        <v>2272</v>
      </c>
      <c r="AD1350" s="4" t="s">
        <v>4042</v>
      </c>
      <c r="AE1350" s="198"/>
    </row>
    <row r="1351" spans="1:31" ht="56.5" customHeight="1">
      <c r="A1351" s="198" t="s">
        <v>4024</v>
      </c>
      <c r="B1351" s="198" t="s">
        <v>4035</v>
      </c>
      <c r="C1351" s="198" t="s">
        <v>23</v>
      </c>
      <c r="D1351" s="198" t="s">
        <v>2799</v>
      </c>
      <c r="E1351" s="198" t="s">
        <v>5000</v>
      </c>
      <c r="F1351" s="4" t="s">
        <v>54</v>
      </c>
      <c r="G1351" s="198" t="s">
        <v>2272</v>
      </c>
      <c r="H1351" s="198" t="s">
        <v>522</v>
      </c>
      <c r="I1351" s="198"/>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1">
        <v>0</v>
      </c>
      <c r="Z1351" s="198" t="s">
        <v>2272</v>
      </c>
      <c r="AA1351" s="198" t="s">
        <v>2272</v>
      </c>
      <c r="AB1351" s="198" t="s">
        <v>2272</v>
      </c>
      <c r="AC1351" s="198" t="s">
        <v>2272</v>
      </c>
      <c r="AD1351" s="4" t="s">
        <v>4042</v>
      </c>
      <c r="AE1351" s="198"/>
    </row>
    <row r="1352" spans="1:31" ht="56.5" customHeight="1">
      <c r="A1352" s="198" t="s">
        <v>4025</v>
      </c>
      <c r="B1352" s="198" t="s">
        <v>4036</v>
      </c>
      <c r="C1352" s="198" t="s">
        <v>23</v>
      </c>
      <c r="D1352" s="198" t="s">
        <v>2799</v>
      </c>
      <c r="E1352" s="198" t="s">
        <v>5000</v>
      </c>
      <c r="F1352" s="4" t="s">
        <v>54</v>
      </c>
      <c r="G1352" s="198" t="s">
        <v>2272</v>
      </c>
      <c r="H1352" s="198" t="s">
        <v>522</v>
      </c>
      <c r="I1352" s="198"/>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1">
        <v>0</v>
      </c>
      <c r="Z1352" s="198" t="s">
        <v>2272</v>
      </c>
      <c r="AA1352" s="198" t="s">
        <v>2272</v>
      </c>
      <c r="AB1352" s="198" t="s">
        <v>2272</v>
      </c>
      <c r="AC1352" s="198" t="s">
        <v>2272</v>
      </c>
      <c r="AD1352" s="4" t="s">
        <v>4042</v>
      </c>
      <c r="AE1352" s="198"/>
    </row>
    <row r="1353" spans="1:31" ht="56.5" customHeight="1">
      <c r="A1353" s="198" t="s">
        <v>4026</v>
      </c>
      <c r="B1353" s="198" t="s">
        <v>4037</v>
      </c>
      <c r="C1353" s="198" t="s">
        <v>23</v>
      </c>
      <c r="D1353" s="198" t="s">
        <v>2799</v>
      </c>
      <c r="E1353" s="198" t="s">
        <v>5000</v>
      </c>
      <c r="F1353" s="4" t="s">
        <v>54</v>
      </c>
      <c r="G1353" s="198" t="s">
        <v>2272</v>
      </c>
      <c r="H1353" s="198" t="s">
        <v>522</v>
      </c>
      <c r="I1353" s="198"/>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1">
        <v>0</v>
      </c>
      <c r="Z1353" s="198" t="s">
        <v>2272</v>
      </c>
      <c r="AA1353" s="198" t="s">
        <v>2272</v>
      </c>
      <c r="AB1353" s="198" t="s">
        <v>2272</v>
      </c>
      <c r="AC1353" s="198" t="s">
        <v>2272</v>
      </c>
      <c r="AD1353" s="4" t="s">
        <v>4042</v>
      </c>
      <c r="AE1353" s="198"/>
    </row>
    <row r="1354" spans="1:31" ht="56.5" customHeight="1">
      <c r="A1354" s="198" t="s">
        <v>4023</v>
      </c>
      <c r="B1354" s="198" t="s">
        <v>4038</v>
      </c>
      <c r="C1354" s="198" t="s">
        <v>23</v>
      </c>
      <c r="D1354" s="198" t="s">
        <v>2799</v>
      </c>
      <c r="E1354" s="198" t="s">
        <v>5000</v>
      </c>
      <c r="F1354" s="4" t="s">
        <v>2657</v>
      </c>
      <c r="G1354" s="198" t="s">
        <v>2272</v>
      </c>
      <c r="H1354" s="198" t="s">
        <v>522</v>
      </c>
      <c r="I1354" s="198"/>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1">
        <v>0</v>
      </c>
      <c r="Z1354" s="198" t="s">
        <v>2272</v>
      </c>
      <c r="AA1354" s="198" t="s">
        <v>2272</v>
      </c>
      <c r="AB1354" s="198" t="s">
        <v>2272</v>
      </c>
      <c r="AC1354" s="198" t="s">
        <v>2272</v>
      </c>
      <c r="AD1354" s="4" t="s">
        <v>4042</v>
      </c>
      <c r="AE1354" s="198"/>
    </row>
    <row r="1355" spans="1:31" ht="56.5" customHeight="1">
      <c r="A1355" s="198" t="s">
        <v>4024</v>
      </c>
      <c r="B1355" s="198" t="s">
        <v>4039</v>
      </c>
      <c r="C1355" s="198" t="s">
        <v>23</v>
      </c>
      <c r="D1355" s="198" t="s">
        <v>2799</v>
      </c>
      <c r="E1355" s="198" t="s">
        <v>5000</v>
      </c>
      <c r="F1355" s="4" t="s">
        <v>2657</v>
      </c>
      <c r="G1355" s="198" t="s">
        <v>2272</v>
      </c>
      <c r="H1355" s="198" t="s">
        <v>522</v>
      </c>
      <c r="I1355" s="198"/>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1">
        <v>0</v>
      </c>
      <c r="Z1355" s="198" t="s">
        <v>2272</v>
      </c>
      <c r="AA1355" s="198" t="s">
        <v>2272</v>
      </c>
      <c r="AB1355" s="198" t="s">
        <v>2272</v>
      </c>
      <c r="AC1355" s="198" t="s">
        <v>2272</v>
      </c>
      <c r="AD1355" s="4" t="s">
        <v>4042</v>
      </c>
      <c r="AE1355" s="198"/>
    </row>
    <row r="1356" spans="1:31" ht="56.5" customHeight="1">
      <c r="A1356" s="198" t="s">
        <v>4025</v>
      </c>
      <c r="B1356" s="198" t="s">
        <v>4040</v>
      </c>
      <c r="C1356" s="198" t="s">
        <v>23</v>
      </c>
      <c r="D1356" s="198" t="s">
        <v>2799</v>
      </c>
      <c r="E1356" s="198" t="s">
        <v>5000</v>
      </c>
      <c r="F1356" s="4" t="s">
        <v>2657</v>
      </c>
      <c r="G1356" s="198" t="s">
        <v>2272</v>
      </c>
      <c r="H1356" s="198" t="s">
        <v>522</v>
      </c>
      <c r="I1356" s="198"/>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1">
        <v>0</v>
      </c>
      <c r="Z1356" s="198" t="s">
        <v>2272</v>
      </c>
      <c r="AA1356" s="198" t="s">
        <v>2272</v>
      </c>
      <c r="AB1356" s="198" t="s">
        <v>2272</v>
      </c>
      <c r="AC1356" s="198" t="s">
        <v>2272</v>
      </c>
      <c r="AD1356" s="4" t="s">
        <v>4042</v>
      </c>
      <c r="AE1356" s="198"/>
    </row>
    <row r="1357" spans="1:31" ht="56.5" customHeight="1">
      <c r="A1357" s="198" t="s">
        <v>4026</v>
      </c>
      <c r="B1357" s="198" t="s">
        <v>4041</v>
      </c>
      <c r="C1357" s="198" t="s">
        <v>23</v>
      </c>
      <c r="D1357" s="198" t="s">
        <v>2799</v>
      </c>
      <c r="E1357" s="198" t="s">
        <v>5000</v>
      </c>
      <c r="F1357" s="4" t="s">
        <v>2657</v>
      </c>
      <c r="G1357" s="198" t="s">
        <v>2272</v>
      </c>
      <c r="H1357" s="198" t="s">
        <v>522</v>
      </c>
      <c r="I1357" s="198"/>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1">
        <v>0</v>
      </c>
      <c r="Z1357" s="198" t="s">
        <v>2272</v>
      </c>
      <c r="AA1357" s="198" t="s">
        <v>2272</v>
      </c>
      <c r="AB1357" s="198" t="s">
        <v>2272</v>
      </c>
      <c r="AC1357" s="198" t="s">
        <v>2272</v>
      </c>
      <c r="AD1357" s="4" t="s">
        <v>4042</v>
      </c>
      <c r="AE1357" s="198"/>
    </row>
    <row r="1358" spans="1:31" ht="29.5" customHeight="1">
      <c r="A1358" s="198" t="s">
        <v>4043</v>
      </c>
      <c r="B1358" s="198" t="s">
        <v>4044</v>
      </c>
      <c r="C1358" s="198" t="s">
        <v>2653</v>
      </c>
      <c r="D1358" s="198" t="s">
        <v>2272</v>
      </c>
      <c r="E1358" s="198" t="s">
        <v>2272</v>
      </c>
      <c r="F1358" s="4" t="s">
        <v>2272</v>
      </c>
      <c r="G1358" s="4" t="s">
        <v>73</v>
      </c>
      <c r="H1358" s="4" t="s">
        <v>521</v>
      </c>
      <c r="I1358" s="198">
        <v>2007</v>
      </c>
      <c r="J1358" s="198" t="s">
        <v>2272</v>
      </c>
      <c r="K1358" s="198" t="s">
        <v>2272</v>
      </c>
      <c r="L1358" s="198" t="s">
        <v>2272</v>
      </c>
      <c r="M1358" s="198" t="s">
        <v>2272</v>
      </c>
      <c r="N1358" s="198" t="s">
        <v>2272</v>
      </c>
      <c r="O1358" s="198" t="s">
        <v>2272</v>
      </c>
      <c r="P1358" s="198" t="s">
        <v>2272</v>
      </c>
      <c r="Q1358" s="198" t="s">
        <v>2272</v>
      </c>
      <c r="R1358" s="198" t="s">
        <v>2272</v>
      </c>
      <c r="S1358" s="198" t="s">
        <v>2272</v>
      </c>
      <c r="T1358" s="198" t="s">
        <v>2272</v>
      </c>
      <c r="U1358" s="198" t="s">
        <v>2272</v>
      </c>
      <c r="V1358" s="198" t="s">
        <v>2272</v>
      </c>
      <c r="W1358" s="198" t="s">
        <v>2272</v>
      </c>
      <c r="X1358" s="198" t="s">
        <v>2272</v>
      </c>
      <c r="Y1358" s="198" t="s">
        <v>2272</v>
      </c>
      <c r="Z1358" s="198" t="s">
        <v>2272</v>
      </c>
      <c r="AA1358" s="198" t="s">
        <v>2272</v>
      </c>
      <c r="AB1358" s="198" t="s">
        <v>2272</v>
      </c>
      <c r="AC1358" s="198" t="s">
        <v>2272</v>
      </c>
      <c r="AD1358" s="198" t="s">
        <v>4066</v>
      </c>
      <c r="AE1358" s="198"/>
    </row>
    <row r="1359" spans="1:31" ht="29.5" customHeight="1">
      <c r="A1359" s="198" t="s">
        <v>4058</v>
      </c>
      <c r="B1359" s="198" t="s">
        <v>4061</v>
      </c>
      <c r="C1359" s="198" t="s">
        <v>2653</v>
      </c>
      <c r="D1359" s="198" t="s">
        <v>2272</v>
      </c>
      <c r="E1359" s="198" t="s">
        <v>2272</v>
      </c>
      <c r="F1359" s="4" t="s">
        <v>2272</v>
      </c>
      <c r="G1359" s="4" t="s">
        <v>73</v>
      </c>
      <c r="H1359" s="4" t="s">
        <v>521</v>
      </c>
      <c r="I1359" s="198">
        <v>2007</v>
      </c>
      <c r="J1359" s="198" t="s">
        <v>2272</v>
      </c>
      <c r="K1359" s="198" t="s">
        <v>2272</v>
      </c>
      <c r="L1359" s="198" t="s">
        <v>2272</v>
      </c>
      <c r="M1359" s="198" t="s">
        <v>2272</v>
      </c>
      <c r="N1359" s="198" t="s">
        <v>2272</v>
      </c>
      <c r="O1359" s="198" t="s">
        <v>2272</v>
      </c>
      <c r="P1359" s="198" t="s">
        <v>2272</v>
      </c>
      <c r="Q1359" s="198" t="s">
        <v>2272</v>
      </c>
      <c r="R1359" s="198" t="s">
        <v>2272</v>
      </c>
      <c r="S1359" s="198" t="s">
        <v>2272</v>
      </c>
      <c r="T1359" s="198" t="s">
        <v>2272</v>
      </c>
      <c r="U1359" s="198" t="s">
        <v>2272</v>
      </c>
      <c r="V1359" s="198" t="s">
        <v>2272</v>
      </c>
      <c r="W1359" s="198" t="s">
        <v>2272</v>
      </c>
      <c r="X1359" s="198" t="s">
        <v>2272</v>
      </c>
      <c r="Y1359" s="198" t="s">
        <v>2272</v>
      </c>
      <c r="Z1359" s="198" t="s">
        <v>2272</v>
      </c>
      <c r="AA1359" s="198" t="s">
        <v>2272</v>
      </c>
      <c r="AB1359" s="198" t="s">
        <v>2272</v>
      </c>
      <c r="AC1359" s="198" t="s">
        <v>2272</v>
      </c>
      <c r="AD1359" s="198" t="s">
        <v>4066</v>
      </c>
      <c r="AE1359" s="198"/>
    </row>
    <row r="1360" spans="1:31" ht="29.5" customHeight="1">
      <c r="A1360" s="198" t="s">
        <v>4043</v>
      </c>
      <c r="B1360" s="198" t="s">
        <v>4062</v>
      </c>
      <c r="C1360" s="198" t="s">
        <v>2653</v>
      </c>
      <c r="D1360" s="198" t="s">
        <v>2272</v>
      </c>
      <c r="E1360" s="198" t="s">
        <v>2272</v>
      </c>
      <c r="F1360" s="4" t="s">
        <v>2272</v>
      </c>
      <c r="G1360" s="4" t="s">
        <v>27</v>
      </c>
      <c r="H1360" s="4" t="s">
        <v>521</v>
      </c>
      <c r="I1360" s="198">
        <v>2007</v>
      </c>
      <c r="J1360" s="198" t="s">
        <v>2272</v>
      </c>
      <c r="K1360" s="198" t="s">
        <v>2272</v>
      </c>
      <c r="L1360" s="198" t="s">
        <v>2272</v>
      </c>
      <c r="M1360" s="198" t="s">
        <v>2272</v>
      </c>
      <c r="N1360" s="198" t="s">
        <v>2272</v>
      </c>
      <c r="O1360" s="198" t="s">
        <v>2272</v>
      </c>
      <c r="P1360" s="198" t="s">
        <v>2272</v>
      </c>
      <c r="Q1360" s="198" t="s">
        <v>2272</v>
      </c>
      <c r="R1360" s="198" t="s">
        <v>2272</v>
      </c>
      <c r="S1360" s="198" t="s">
        <v>2272</v>
      </c>
      <c r="T1360" s="198" t="s">
        <v>2272</v>
      </c>
      <c r="U1360" s="198" t="s">
        <v>2272</v>
      </c>
      <c r="V1360" s="198" t="s">
        <v>2272</v>
      </c>
      <c r="W1360" s="198" t="s">
        <v>2272</v>
      </c>
      <c r="X1360" s="198" t="s">
        <v>2272</v>
      </c>
      <c r="Y1360" s="198" t="s">
        <v>2272</v>
      </c>
      <c r="Z1360" s="198" t="s">
        <v>2272</v>
      </c>
      <c r="AA1360" s="198" t="s">
        <v>2272</v>
      </c>
      <c r="AB1360" s="198" t="s">
        <v>2272</v>
      </c>
      <c r="AC1360" s="198" t="s">
        <v>2272</v>
      </c>
      <c r="AD1360" s="198" t="s">
        <v>4066</v>
      </c>
      <c r="AE1360" s="198"/>
    </row>
    <row r="1361" spans="1:31" ht="29.5" customHeight="1">
      <c r="A1361" s="198" t="s">
        <v>4058</v>
      </c>
      <c r="B1361" s="198" t="s">
        <v>4063</v>
      </c>
      <c r="C1361" s="198" t="s">
        <v>2653</v>
      </c>
      <c r="D1361" s="198" t="s">
        <v>2272</v>
      </c>
      <c r="E1361" s="198" t="s">
        <v>2272</v>
      </c>
      <c r="F1361" s="4" t="s">
        <v>2272</v>
      </c>
      <c r="G1361" s="4" t="s">
        <v>27</v>
      </c>
      <c r="H1361" s="4" t="s">
        <v>521</v>
      </c>
      <c r="I1361" s="198">
        <v>2007</v>
      </c>
      <c r="J1361" s="198" t="s">
        <v>2272</v>
      </c>
      <c r="K1361" s="198" t="s">
        <v>2272</v>
      </c>
      <c r="L1361" s="198" t="s">
        <v>2272</v>
      </c>
      <c r="M1361" s="198" t="s">
        <v>2272</v>
      </c>
      <c r="N1361" s="198" t="s">
        <v>2272</v>
      </c>
      <c r="O1361" s="198" t="s">
        <v>2272</v>
      </c>
      <c r="P1361" s="198" t="s">
        <v>2272</v>
      </c>
      <c r="Q1361" s="198" t="s">
        <v>2272</v>
      </c>
      <c r="R1361" s="198" t="s">
        <v>2272</v>
      </c>
      <c r="S1361" s="198" t="s">
        <v>2272</v>
      </c>
      <c r="T1361" s="198" t="s">
        <v>2272</v>
      </c>
      <c r="U1361" s="198" t="s">
        <v>2272</v>
      </c>
      <c r="V1361" s="198" t="s">
        <v>2272</v>
      </c>
      <c r="W1361" s="198" t="s">
        <v>2272</v>
      </c>
      <c r="X1361" s="198" t="s">
        <v>2272</v>
      </c>
      <c r="Y1361" s="198" t="s">
        <v>2272</v>
      </c>
      <c r="Z1361" s="198" t="s">
        <v>2272</v>
      </c>
      <c r="AA1361" s="198" t="s">
        <v>2272</v>
      </c>
      <c r="AB1361" s="198" t="s">
        <v>2272</v>
      </c>
      <c r="AC1361" s="198" t="s">
        <v>2272</v>
      </c>
      <c r="AD1361" s="198" t="s">
        <v>4066</v>
      </c>
      <c r="AE1361" s="198"/>
    </row>
    <row r="1362" spans="1:31" ht="29.5" customHeight="1">
      <c r="A1362" s="198" t="s">
        <v>4043</v>
      </c>
      <c r="B1362" s="198" t="s">
        <v>4064</v>
      </c>
      <c r="C1362" s="198" t="s">
        <v>2653</v>
      </c>
      <c r="D1362" s="198" t="s">
        <v>2272</v>
      </c>
      <c r="E1362" s="198" t="s">
        <v>2272</v>
      </c>
      <c r="F1362" s="4" t="s">
        <v>2272</v>
      </c>
      <c r="G1362" s="4" t="s">
        <v>2657</v>
      </c>
      <c r="H1362" s="4" t="s">
        <v>521</v>
      </c>
      <c r="I1362" s="198">
        <v>2007</v>
      </c>
      <c r="J1362" s="198" t="s">
        <v>2272</v>
      </c>
      <c r="K1362" s="198" t="s">
        <v>2272</v>
      </c>
      <c r="L1362" s="198" t="s">
        <v>2272</v>
      </c>
      <c r="M1362" s="198" t="s">
        <v>2272</v>
      </c>
      <c r="N1362" s="198" t="s">
        <v>2272</v>
      </c>
      <c r="O1362" s="198" t="s">
        <v>2272</v>
      </c>
      <c r="P1362" s="198" t="s">
        <v>2272</v>
      </c>
      <c r="Q1362" s="198" t="s">
        <v>2272</v>
      </c>
      <c r="R1362" s="198" t="s">
        <v>2272</v>
      </c>
      <c r="S1362" s="198" t="s">
        <v>2272</v>
      </c>
      <c r="T1362" s="198" t="s">
        <v>2272</v>
      </c>
      <c r="U1362" s="198" t="s">
        <v>2272</v>
      </c>
      <c r="V1362" s="198" t="s">
        <v>2272</v>
      </c>
      <c r="W1362" s="198" t="s">
        <v>2272</v>
      </c>
      <c r="X1362" s="198" t="s">
        <v>2272</v>
      </c>
      <c r="Y1362" s="198" t="s">
        <v>2272</v>
      </c>
      <c r="Z1362" s="198" t="s">
        <v>2272</v>
      </c>
      <c r="AA1362" s="198" t="s">
        <v>2272</v>
      </c>
      <c r="AB1362" s="198" t="s">
        <v>2272</v>
      </c>
      <c r="AC1362" s="198" t="s">
        <v>2272</v>
      </c>
      <c r="AD1362" s="198" t="s">
        <v>4066</v>
      </c>
      <c r="AE1362" s="198"/>
    </row>
    <row r="1363" spans="1:31" ht="29.5" customHeight="1">
      <c r="A1363" s="198" t="s">
        <v>4058</v>
      </c>
      <c r="B1363" s="198" t="s">
        <v>4065</v>
      </c>
      <c r="C1363" s="198" t="s">
        <v>2653</v>
      </c>
      <c r="D1363" s="198" t="s">
        <v>2272</v>
      </c>
      <c r="E1363" s="198" t="s">
        <v>2272</v>
      </c>
      <c r="F1363" s="4" t="s">
        <v>2272</v>
      </c>
      <c r="G1363" s="4" t="s">
        <v>2657</v>
      </c>
      <c r="H1363" s="4" t="s">
        <v>521</v>
      </c>
      <c r="I1363" s="198">
        <v>2007</v>
      </c>
      <c r="J1363" s="198" t="s">
        <v>2272</v>
      </c>
      <c r="K1363" s="198" t="s">
        <v>2272</v>
      </c>
      <c r="L1363" s="198" t="s">
        <v>2272</v>
      </c>
      <c r="M1363" s="198" t="s">
        <v>2272</v>
      </c>
      <c r="N1363" s="198" t="s">
        <v>2272</v>
      </c>
      <c r="O1363" s="198" t="s">
        <v>2272</v>
      </c>
      <c r="P1363" s="198" t="s">
        <v>2272</v>
      </c>
      <c r="Q1363" s="198" t="s">
        <v>2272</v>
      </c>
      <c r="R1363" s="198" t="s">
        <v>2272</v>
      </c>
      <c r="S1363" s="198" t="s">
        <v>2272</v>
      </c>
      <c r="T1363" s="198" t="s">
        <v>2272</v>
      </c>
      <c r="U1363" s="198" t="s">
        <v>2272</v>
      </c>
      <c r="V1363" s="198" t="s">
        <v>2272</v>
      </c>
      <c r="W1363" s="198" t="s">
        <v>2272</v>
      </c>
      <c r="X1363" s="198" t="s">
        <v>2272</v>
      </c>
      <c r="Y1363" s="198" t="s">
        <v>2272</v>
      </c>
      <c r="Z1363" s="198" t="s">
        <v>2272</v>
      </c>
      <c r="AA1363" s="198" t="s">
        <v>2272</v>
      </c>
      <c r="AB1363" s="198" t="s">
        <v>2272</v>
      </c>
      <c r="AC1363" s="198" t="s">
        <v>2272</v>
      </c>
      <c r="AD1363" s="198" t="s">
        <v>4066</v>
      </c>
      <c r="AE1363" s="198"/>
    </row>
    <row r="1364" spans="1:31" ht="31" customHeight="1">
      <c r="A1364" s="198" t="s">
        <v>4081</v>
      </c>
      <c r="B1364" s="198" t="s">
        <v>4085</v>
      </c>
      <c r="C1364" s="198" t="s">
        <v>23</v>
      </c>
      <c r="D1364" s="198" t="s">
        <v>2799</v>
      </c>
      <c r="E1364" s="198" t="s">
        <v>5000</v>
      </c>
      <c r="F1364" s="4" t="s">
        <v>54</v>
      </c>
      <c r="G1364" s="198" t="s">
        <v>2272</v>
      </c>
      <c r="H1364" s="198" t="s">
        <v>522</v>
      </c>
      <c r="I1364" s="198"/>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1">
        <v>0</v>
      </c>
      <c r="Z1364" s="198" t="s">
        <v>2272</v>
      </c>
      <c r="AA1364" s="198" t="s">
        <v>2272</v>
      </c>
      <c r="AB1364" s="198" t="s">
        <v>2272</v>
      </c>
      <c r="AC1364" s="198" t="s">
        <v>2272</v>
      </c>
      <c r="AD1364" s="198"/>
      <c r="AE1364" s="198"/>
    </row>
    <row r="1365" spans="1:31" ht="32.5" customHeight="1">
      <c r="A1365" s="198" t="s">
        <v>4081</v>
      </c>
      <c r="B1365" s="198" t="s">
        <v>4086</v>
      </c>
      <c r="C1365" s="198" t="s">
        <v>23</v>
      </c>
      <c r="D1365" s="198" t="s">
        <v>2799</v>
      </c>
      <c r="E1365" s="198" t="s">
        <v>5000</v>
      </c>
      <c r="F1365" s="4" t="s">
        <v>73</v>
      </c>
      <c r="G1365" s="198" t="s">
        <v>2272</v>
      </c>
      <c r="H1365" s="198" t="s">
        <v>522</v>
      </c>
      <c r="I1365" s="198"/>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198" t="s">
        <v>2272</v>
      </c>
      <c r="AA1365" s="198" t="s">
        <v>2272</v>
      </c>
      <c r="AB1365" s="198" t="s">
        <v>2272</v>
      </c>
      <c r="AC1365" s="198" t="s">
        <v>2272</v>
      </c>
      <c r="AD1365" s="198"/>
      <c r="AE1365" s="198"/>
    </row>
    <row r="1366" spans="1:31" ht="31.5" customHeight="1">
      <c r="A1366" s="198" t="s">
        <v>4081</v>
      </c>
      <c r="B1366" s="198" t="s">
        <v>4087</v>
      </c>
      <c r="C1366" s="198" t="s">
        <v>23</v>
      </c>
      <c r="D1366" s="198" t="s">
        <v>2799</v>
      </c>
      <c r="E1366" s="198" t="s">
        <v>5000</v>
      </c>
      <c r="F1366" s="4" t="s">
        <v>2657</v>
      </c>
      <c r="G1366" s="198" t="s">
        <v>2272</v>
      </c>
      <c r="H1366" s="198" t="s">
        <v>522</v>
      </c>
      <c r="I1366" s="198"/>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1">
        <v>0</v>
      </c>
      <c r="Z1366" s="198" t="s">
        <v>2272</v>
      </c>
      <c r="AA1366" s="198" t="s">
        <v>2272</v>
      </c>
      <c r="AB1366" s="198" t="s">
        <v>2272</v>
      </c>
      <c r="AC1366" s="198" t="s">
        <v>2272</v>
      </c>
      <c r="AD1366" s="198"/>
      <c r="AE1366" s="198"/>
    </row>
    <row r="1367" spans="1:31" ht="35.5" customHeight="1">
      <c r="A1367" s="198" t="s">
        <v>4081</v>
      </c>
      <c r="B1367" s="198" t="s">
        <v>4088</v>
      </c>
      <c r="C1367" s="198" t="s">
        <v>30</v>
      </c>
      <c r="D1367" s="198" t="s">
        <v>2272</v>
      </c>
      <c r="E1367" s="198" t="s">
        <v>2272</v>
      </c>
      <c r="F1367" s="4" t="s">
        <v>2272</v>
      </c>
      <c r="G1367" s="198" t="s">
        <v>73</v>
      </c>
      <c r="H1367" s="198" t="s">
        <v>521</v>
      </c>
      <c r="I1367" s="198"/>
      <c r="J1367" s="198" t="s">
        <v>2272</v>
      </c>
      <c r="K1367" s="198" t="s">
        <v>2272</v>
      </c>
      <c r="L1367" s="198" t="s">
        <v>2272</v>
      </c>
      <c r="M1367" s="198" t="s">
        <v>2272</v>
      </c>
      <c r="N1367" s="198" t="s">
        <v>2272</v>
      </c>
      <c r="O1367" s="198" t="s">
        <v>2272</v>
      </c>
      <c r="P1367" s="198" t="s">
        <v>2272</v>
      </c>
      <c r="Q1367" s="198" t="s">
        <v>2272</v>
      </c>
      <c r="R1367" s="198" t="s">
        <v>2272</v>
      </c>
      <c r="S1367" s="198" t="s">
        <v>2272</v>
      </c>
      <c r="T1367" s="198" t="s">
        <v>2272</v>
      </c>
      <c r="U1367" s="198" t="s">
        <v>2272</v>
      </c>
      <c r="V1367" s="198" t="s">
        <v>2272</v>
      </c>
      <c r="W1367" s="198" t="s">
        <v>2272</v>
      </c>
      <c r="X1367" s="198" t="s">
        <v>2272</v>
      </c>
      <c r="Y1367" s="198" t="s">
        <v>2272</v>
      </c>
      <c r="Z1367" s="21">
        <v>18</v>
      </c>
      <c r="AA1367" s="198" t="s">
        <v>187</v>
      </c>
      <c r="AB1367" s="198" t="s">
        <v>33</v>
      </c>
      <c r="AC1367" s="198" t="s">
        <v>2272</v>
      </c>
      <c r="AD1367" s="198"/>
      <c r="AE1367" s="198"/>
    </row>
    <row r="1368" spans="1:31" ht="35.5" customHeight="1">
      <c r="A1368" s="198" t="s">
        <v>4081</v>
      </c>
      <c r="B1368" s="198" t="s">
        <v>4089</v>
      </c>
      <c r="C1368" s="198" t="s">
        <v>30</v>
      </c>
      <c r="D1368" s="198" t="s">
        <v>2272</v>
      </c>
      <c r="E1368" s="198" t="s">
        <v>2272</v>
      </c>
      <c r="F1368" s="4" t="s">
        <v>2272</v>
      </c>
      <c r="G1368" s="198" t="s">
        <v>73</v>
      </c>
      <c r="H1368" s="198" t="s">
        <v>521</v>
      </c>
      <c r="I1368" s="198">
        <v>1994</v>
      </c>
      <c r="J1368" s="198" t="s">
        <v>2272</v>
      </c>
      <c r="K1368" s="198" t="s">
        <v>2272</v>
      </c>
      <c r="L1368" s="198" t="s">
        <v>2272</v>
      </c>
      <c r="M1368" s="198" t="s">
        <v>2272</v>
      </c>
      <c r="N1368" s="198" t="s">
        <v>2272</v>
      </c>
      <c r="O1368" s="198" t="s">
        <v>2272</v>
      </c>
      <c r="P1368" s="198" t="s">
        <v>2272</v>
      </c>
      <c r="Q1368" s="198" t="s">
        <v>2272</v>
      </c>
      <c r="R1368" s="198" t="s">
        <v>2272</v>
      </c>
      <c r="S1368" s="198" t="s">
        <v>2272</v>
      </c>
      <c r="T1368" s="198" t="s">
        <v>2272</v>
      </c>
      <c r="U1368" s="198" t="s">
        <v>2272</v>
      </c>
      <c r="V1368" s="198" t="s">
        <v>2272</v>
      </c>
      <c r="W1368" s="198" t="s">
        <v>2272</v>
      </c>
      <c r="X1368" s="198" t="s">
        <v>2272</v>
      </c>
      <c r="Y1368" s="198" t="s">
        <v>2272</v>
      </c>
      <c r="Z1368" s="198" t="s">
        <v>2272</v>
      </c>
      <c r="AA1368" s="198" t="s">
        <v>187</v>
      </c>
      <c r="AB1368" s="198" t="s">
        <v>33</v>
      </c>
      <c r="AC1368" s="198" t="s">
        <v>2272</v>
      </c>
      <c r="AD1368" s="198"/>
      <c r="AE1368" s="198"/>
    </row>
    <row r="1369" spans="1:31" ht="40" customHeight="1">
      <c r="A1369" s="198" t="s">
        <v>4081</v>
      </c>
      <c r="B1369" s="198" t="s">
        <v>4090</v>
      </c>
      <c r="C1369" s="198" t="s">
        <v>30</v>
      </c>
      <c r="D1369" s="198" t="s">
        <v>2272</v>
      </c>
      <c r="E1369" s="198" t="s">
        <v>2272</v>
      </c>
      <c r="F1369" s="4" t="s">
        <v>2272</v>
      </c>
      <c r="G1369" s="198" t="s">
        <v>73</v>
      </c>
      <c r="H1369" s="198" t="s">
        <v>521</v>
      </c>
      <c r="I1369" s="198">
        <v>1996</v>
      </c>
      <c r="J1369" s="198" t="s">
        <v>2272</v>
      </c>
      <c r="K1369" s="198" t="s">
        <v>2272</v>
      </c>
      <c r="L1369" s="198" t="s">
        <v>2272</v>
      </c>
      <c r="M1369" s="198" t="s">
        <v>2272</v>
      </c>
      <c r="N1369" s="198" t="s">
        <v>2272</v>
      </c>
      <c r="O1369" s="198" t="s">
        <v>2272</v>
      </c>
      <c r="P1369" s="198" t="s">
        <v>2272</v>
      </c>
      <c r="Q1369" s="198" t="s">
        <v>2272</v>
      </c>
      <c r="R1369" s="198" t="s">
        <v>2272</v>
      </c>
      <c r="S1369" s="198" t="s">
        <v>2272</v>
      </c>
      <c r="T1369" s="198" t="s">
        <v>2272</v>
      </c>
      <c r="U1369" s="198" t="s">
        <v>2272</v>
      </c>
      <c r="V1369" s="198" t="s">
        <v>2272</v>
      </c>
      <c r="W1369" s="198" t="s">
        <v>2272</v>
      </c>
      <c r="X1369" s="198" t="s">
        <v>2272</v>
      </c>
      <c r="Y1369" s="198" t="s">
        <v>2272</v>
      </c>
      <c r="Z1369" s="198" t="s">
        <v>2272</v>
      </c>
      <c r="AA1369" s="198" t="s">
        <v>187</v>
      </c>
      <c r="AB1369" s="198" t="s">
        <v>33</v>
      </c>
      <c r="AC1369" s="198" t="s">
        <v>2272</v>
      </c>
      <c r="AD1369" s="198"/>
      <c r="AE1369" s="198"/>
    </row>
    <row r="1370" spans="1:31" ht="40" customHeight="1">
      <c r="A1370" s="198" t="s">
        <v>4081</v>
      </c>
      <c r="B1370" s="198" t="s">
        <v>4091</v>
      </c>
      <c r="C1370" s="198" t="s">
        <v>30</v>
      </c>
      <c r="D1370" s="198" t="s">
        <v>2272</v>
      </c>
      <c r="E1370" s="198" t="s">
        <v>2272</v>
      </c>
      <c r="F1370" s="4" t="s">
        <v>2272</v>
      </c>
      <c r="G1370" s="198" t="s">
        <v>73</v>
      </c>
      <c r="H1370" s="198" t="s">
        <v>521</v>
      </c>
      <c r="I1370" s="198">
        <v>1997</v>
      </c>
      <c r="J1370" s="198" t="s">
        <v>2272</v>
      </c>
      <c r="K1370" s="198" t="s">
        <v>2272</v>
      </c>
      <c r="L1370" s="198" t="s">
        <v>2272</v>
      </c>
      <c r="M1370" s="198" t="s">
        <v>2272</v>
      </c>
      <c r="N1370" s="198" t="s">
        <v>2272</v>
      </c>
      <c r="O1370" s="198" t="s">
        <v>2272</v>
      </c>
      <c r="P1370" s="198" t="s">
        <v>2272</v>
      </c>
      <c r="Q1370" s="198" t="s">
        <v>2272</v>
      </c>
      <c r="R1370" s="198" t="s">
        <v>2272</v>
      </c>
      <c r="S1370" s="198" t="s">
        <v>2272</v>
      </c>
      <c r="T1370" s="198" t="s">
        <v>2272</v>
      </c>
      <c r="U1370" s="198" t="s">
        <v>2272</v>
      </c>
      <c r="V1370" s="198" t="s">
        <v>2272</v>
      </c>
      <c r="W1370" s="198" t="s">
        <v>2272</v>
      </c>
      <c r="X1370" s="198" t="s">
        <v>2272</v>
      </c>
      <c r="Y1370" s="198" t="s">
        <v>2272</v>
      </c>
      <c r="Z1370" s="198" t="s">
        <v>2272</v>
      </c>
      <c r="AA1370" s="198" t="s">
        <v>187</v>
      </c>
      <c r="AB1370" s="198" t="s">
        <v>33</v>
      </c>
      <c r="AC1370" s="198" t="s">
        <v>2272</v>
      </c>
      <c r="AD1370" s="198"/>
      <c r="AE1370" s="198"/>
    </row>
    <row r="1371" spans="1:31" ht="40" customHeight="1">
      <c r="A1371" s="198" t="s">
        <v>4081</v>
      </c>
      <c r="B1371" s="198" t="s">
        <v>4092</v>
      </c>
      <c r="C1371" s="198" t="s">
        <v>30</v>
      </c>
      <c r="D1371" s="198" t="s">
        <v>2272</v>
      </c>
      <c r="E1371" s="198" t="s">
        <v>2272</v>
      </c>
      <c r="F1371" s="4" t="s">
        <v>2272</v>
      </c>
      <c r="G1371" s="198" t="s">
        <v>73</v>
      </c>
      <c r="H1371" s="198" t="s">
        <v>521</v>
      </c>
      <c r="I1371" s="198">
        <v>2007</v>
      </c>
      <c r="J1371" s="198" t="s">
        <v>2272</v>
      </c>
      <c r="K1371" s="198" t="s">
        <v>2272</v>
      </c>
      <c r="L1371" s="198" t="s">
        <v>2272</v>
      </c>
      <c r="M1371" s="198" t="s">
        <v>2272</v>
      </c>
      <c r="N1371" s="198" t="s">
        <v>2272</v>
      </c>
      <c r="O1371" s="198" t="s">
        <v>2272</v>
      </c>
      <c r="P1371" s="198" t="s">
        <v>2272</v>
      </c>
      <c r="Q1371" s="198" t="s">
        <v>2272</v>
      </c>
      <c r="R1371" s="198" t="s">
        <v>2272</v>
      </c>
      <c r="S1371" s="198" t="s">
        <v>2272</v>
      </c>
      <c r="T1371" s="198" t="s">
        <v>2272</v>
      </c>
      <c r="U1371" s="198" t="s">
        <v>2272</v>
      </c>
      <c r="V1371" s="198" t="s">
        <v>2272</v>
      </c>
      <c r="W1371" s="198" t="s">
        <v>2272</v>
      </c>
      <c r="X1371" s="198" t="s">
        <v>2272</v>
      </c>
      <c r="Y1371" s="198" t="s">
        <v>2272</v>
      </c>
      <c r="Z1371" s="198" t="s">
        <v>2272</v>
      </c>
      <c r="AA1371" s="198" t="s">
        <v>187</v>
      </c>
      <c r="AB1371" s="198" t="s">
        <v>33</v>
      </c>
      <c r="AC1371" s="198" t="s">
        <v>2272</v>
      </c>
      <c r="AD1371" s="198"/>
      <c r="AE1371" s="198"/>
    </row>
    <row r="1372" spans="1:31" ht="36.5" customHeight="1">
      <c r="A1372" s="198" t="s">
        <v>4081</v>
      </c>
      <c r="B1372" s="198" t="s">
        <v>4093</v>
      </c>
      <c r="C1372" s="198" t="s">
        <v>2651</v>
      </c>
      <c r="D1372" s="198" t="s">
        <v>2272</v>
      </c>
      <c r="E1372" s="198" t="s">
        <v>2272</v>
      </c>
      <c r="F1372" s="4" t="s">
        <v>2272</v>
      </c>
      <c r="G1372" s="198" t="s">
        <v>73</v>
      </c>
      <c r="H1372" s="198" t="s">
        <v>522</v>
      </c>
      <c r="I1372" s="198"/>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1">
        <v>0</v>
      </c>
      <c r="Z1372" s="198" t="s">
        <v>2272</v>
      </c>
      <c r="AA1372" s="198" t="s">
        <v>187</v>
      </c>
      <c r="AB1372" s="198" t="s">
        <v>33</v>
      </c>
      <c r="AC1372" s="198" t="s">
        <v>2272</v>
      </c>
      <c r="AD1372" s="4" t="s">
        <v>4094</v>
      </c>
      <c r="AE1372" s="198"/>
    </row>
    <row r="1373" spans="1:31" ht="39" customHeight="1">
      <c r="A1373" s="198" t="s">
        <v>4103</v>
      </c>
      <c r="B1373" s="198" t="s">
        <v>4113</v>
      </c>
      <c r="C1373" s="198" t="s">
        <v>23</v>
      </c>
      <c r="D1373" s="198" t="s">
        <v>24</v>
      </c>
      <c r="E1373" s="198" t="s">
        <v>5000</v>
      </c>
      <c r="F1373" s="4" t="s">
        <v>54</v>
      </c>
      <c r="G1373" s="198" t="s">
        <v>2272</v>
      </c>
      <c r="H1373" s="198" t="s">
        <v>521</v>
      </c>
      <c r="I1373" s="198"/>
      <c r="J1373" s="198" t="s">
        <v>2272</v>
      </c>
      <c r="K1373" s="198" t="s">
        <v>2272</v>
      </c>
      <c r="L1373" s="198" t="s">
        <v>2272</v>
      </c>
      <c r="M1373" s="198" t="s">
        <v>2272</v>
      </c>
      <c r="N1373" s="198" t="s">
        <v>2272</v>
      </c>
      <c r="O1373" s="198" t="s">
        <v>2272</v>
      </c>
      <c r="P1373" s="198" t="s">
        <v>2272</v>
      </c>
      <c r="Q1373" s="198" t="s">
        <v>2272</v>
      </c>
      <c r="R1373" s="198" t="s">
        <v>2272</v>
      </c>
      <c r="S1373" s="198" t="s">
        <v>2272</v>
      </c>
      <c r="T1373" s="198" t="s">
        <v>2272</v>
      </c>
      <c r="U1373" s="198" t="s">
        <v>2272</v>
      </c>
      <c r="V1373" s="198" t="s">
        <v>2272</v>
      </c>
      <c r="W1373" s="198" t="s">
        <v>2272</v>
      </c>
      <c r="X1373" s="198" t="s">
        <v>2272</v>
      </c>
      <c r="Y1373" s="198" t="s">
        <v>2272</v>
      </c>
      <c r="Z1373" s="198" t="s">
        <v>2272</v>
      </c>
      <c r="AA1373" s="198" t="s">
        <v>2272</v>
      </c>
      <c r="AB1373" s="198" t="s">
        <v>2272</v>
      </c>
      <c r="AC1373" s="198" t="s">
        <v>2272</v>
      </c>
      <c r="AD1373" s="198"/>
      <c r="AE1373" s="198"/>
    </row>
    <row r="1374" spans="1:31" ht="39" customHeight="1">
      <c r="A1374" s="198" t="s">
        <v>4103</v>
      </c>
      <c r="B1374" s="198" t="s">
        <v>4114</v>
      </c>
      <c r="C1374" s="198" t="s">
        <v>23</v>
      </c>
      <c r="D1374" s="198" t="s">
        <v>24</v>
      </c>
      <c r="E1374" s="198" t="s">
        <v>44</v>
      </c>
      <c r="F1374" s="4" t="s">
        <v>54</v>
      </c>
      <c r="G1374" s="198" t="s">
        <v>2272</v>
      </c>
      <c r="H1374" s="198" t="s">
        <v>521</v>
      </c>
      <c r="I1374" s="198"/>
      <c r="J1374" s="198" t="s">
        <v>2272</v>
      </c>
      <c r="K1374" s="198" t="s">
        <v>2272</v>
      </c>
      <c r="L1374" s="198" t="s">
        <v>2272</v>
      </c>
      <c r="M1374" s="198" t="s">
        <v>2272</v>
      </c>
      <c r="N1374" s="198" t="s">
        <v>2272</v>
      </c>
      <c r="O1374" s="198" t="s">
        <v>2272</v>
      </c>
      <c r="P1374" s="198" t="s">
        <v>2272</v>
      </c>
      <c r="Q1374" s="198" t="s">
        <v>2272</v>
      </c>
      <c r="R1374" s="198" t="s">
        <v>2272</v>
      </c>
      <c r="S1374" s="198" t="s">
        <v>2272</v>
      </c>
      <c r="T1374" s="198" t="s">
        <v>2272</v>
      </c>
      <c r="U1374" s="198" t="s">
        <v>2272</v>
      </c>
      <c r="V1374" s="198" t="s">
        <v>2272</v>
      </c>
      <c r="W1374" s="198" t="s">
        <v>2272</v>
      </c>
      <c r="X1374" s="198" t="s">
        <v>2272</v>
      </c>
      <c r="Y1374" s="198" t="s">
        <v>2272</v>
      </c>
      <c r="Z1374" s="198" t="s">
        <v>2272</v>
      </c>
      <c r="AA1374" s="198" t="s">
        <v>2272</v>
      </c>
      <c r="AB1374" s="198" t="s">
        <v>2272</v>
      </c>
      <c r="AC1374" s="198" t="s">
        <v>2272</v>
      </c>
      <c r="AD1374" s="198"/>
      <c r="AE1374" s="198"/>
    </row>
    <row r="1375" spans="1:31" ht="36" customHeight="1">
      <c r="A1375" s="198" t="s">
        <v>4104</v>
      </c>
      <c r="B1375" s="198" t="s">
        <v>4115</v>
      </c>
      <c r="C1375" s="198" t="s">
        <v>23</v>
      </c>
      <c r="D1375" s="198" t="s">
        <v>24</v>
      </c>
      <c r="E1375" s="198" t="s">
        <v>5000</v>
      </c>
      <c r="F1375" s="4" t="s">
        <v>54</v>
      </c>
      <c r="G1375" s="198" t="s">
        <v>2272</v>
      </c>
      <c r="H1375" s="198" t="s">
        <v>521</v>
      </c>
      <c r="I1375" s="198"/>
      <c r="J1375" s="198" t="s">
        <v>2272</v>
      </c>
      <c r="K1375" s="198" t="s">
        <v>2272</v>
      </c>
      <c r="L1375" s="198" t="s">
        <v>2272</v>
      </c>
      <c r="M1375" s="198" t="s">
        <v>2272</v>
      </c>
      <c r="N1375" s="198" t="s">
        <v>2272</v>
      </c>
      <c r="O1375" s="198" t="s">
        <v>2272</v>
      </c>
      <c r="P1375" s="198" t="s">
        <v>2272</v>
      </c>
      <c r="Q1375" s="198" t="s">
        <v>2272</v>
      </c>
      <c r="R1375" s="198" t="s">
        <v>2272</v>
      </c>
      <c r="S1375" s="198" t="s">
        <v>2272</v>
      </c>
      <c r="T1375" s="198" t="s">
        <v>2272</v>
      </c>
      <c r="U1375" s="198" t="s">
        <v>2272</v>
      </c>
      <c r="V1375" s="198" t="s">
        <v>2272</v>
      </c>
      <c r="W1375" s="198" t="s">
        <v>2272</v>
      </c>
      <c r="X1375" s="198" t="s">
        <v>2272</v>
      </c>
      <c r="Y1375" s="198" t="s">
        <v>2272</v>
      </c>
      <c r="Z1375" s="198" t="s">
        <v>2272</v>
      </c>
      <c r="AA1375" s="198" t="s">
        <v>423</v>
      </c>
      <c r="AB1375" s="198" t="s">
        <v>34</v>
      </c>
      <c r="AC1375" s="198" t="s">
        <v>63</v>
      </c>
      <c r="AD1375" s="198" t="s">
        <v>4112</v>
      </c>
      <c r="AE1375" s="198"/>
    </row>
    <row r="1376" spans="1:31" ht="36.5" customHeight="1">
      <c r="A1376" s="198" t="s">
        <v>4104</v>
      </c>
      <c r="B1376" s="198" t="s">
        <v>4116</v>
      </c>
      <c r="C1376" s="198" t="s">
        <v>23</v>
      </c>
      <c r="D1376" s="198" t="s">
        <v>24</v>
      </c>
      <c r="E1376" s="198" t="s">
        <v>44</v>
      </c>
      <c r="F1376" s="4" t="s">
        <v>54</v>
      </c>
      <c r="G1376" s="198" t="s">
        <v>2272</v>
      </c>
      <c r="H1376" s="198" t="s">
        <v>521</v>
      </c>
      <c r="I1376" s="198"/>
      <c r="J1376" s="198" t="s">
        <v>2272</v>
      </c>
      <c r="K1376" s="198" t="s">
        <v>2272</v>
      </c>
      <c r="L1376" s="198" t="s">
        <v>2272</v>
      </c>
      <c r="M1376" s="198" t="s">
        <v>2272</v>
      </c>
      <c r="N1376" s="198" t="s">
        <v>2272</v>
      </c>
      <c r="O1376" s="198" t="s">
        <v>2272</v>
      </c>
      <c r="P1376" s="198" t="s">
        <v>2272</v>
      </c>
      <c r="Q1376" s="198" t="s">
        <v>2272</v>
      </c>
      <c r="R1376" s="198" t="s">
        <v>2272</v>
      </c>
      <c r="S1376" s="198" t="s">
        <v>2272</v>
      </c>
      <c r="T1376" s="198" t="s">
        <v>2272</v>
      </c>
      <c r="U1376" s="198" t="s">
        <v>2272</v>
      </c>
      <c r="V1376" s="198" t="s">
        <v>2272</v>
      </c>
      <c r="W1376" s="198" t="s">
        <v>2272</v>
      </c>
      <c r="X1376" s="198" t="s">
        <v>2272</v>
      </c>
      <c r="Y1376" s="198" t="s">
        <v>2272</v>
      </c>
      <c r="Z1376" s="198" t="s">
        <v>2272</v>
      </c>
      <c r="AA1376" s="198" t="s">
        <v>423</v>
      </c>
      <c r="AB1376" s="198" t="s">
        <v>34</v>
      </c>
      <c r="AC1376" s="198" t="s">
        <v>63</v>
      </c>
      <c r="AD1376" s="198" t="s">
        <v>4112</v>
      </c>
      <c r="AE1376" s="198"/>
    </row>
    <row r="1377" spans="1:31" ht="73.5" customHeight="1">
      <c r="A1377" s="198" t="s">
        <v>4124</v>
      </c>
      <c r="B1377" s="198" t="s">
        <v>4128</v>
      </c>
      <c r="C1377" s="198" t="s">
        <v>23</v>
      </c>
      <c r="D1377" s="198" t="s">
        <v>2799</v>
      </c>
      <c r="E1377" s="198" t="s">
        <v>5000</v>
      </c>
      <c r="F1377" s="4" t="s">
        <v>2657</v>
      </c>
      <c r="G1377" s="198" t="s">
        <v>2272</v>
      </c>
      <c r="H1377" s="198" t="s">
        <v>521</v>
      </c>
      <c r="I1377" s="198"/>
      <c r="J1377" s="198" t="s">
        <v>2272</v>
      </c>
      <c r="K1377" s="198" t="s">
        <v>2272</v>
      </c>
      <c r="L1377" s="198" t="s">
        <v>2272</v>
      </c>
      <c r="M1377" s="198" t="s">
        <v>2272</v>
      </c>
      <c r="N1377" s="198" t="s">
        <v>2272</v>
      </c>
      <c r="O1377" s="198" t="s">
        <v>2272</v>
      </c>
      <c r="P1377" s="198" t="s">
        <v>2272</v>
      </c>
      <c r="Q1377" s="198" t="s">
        <v>2272</v>
      </c>
      <c r="R1377" s="198" t="s">
        <v>2272</v>
      </c>
      <c r="S1377" s="198" t="s">
        <v>2272</v>
      </c>
      <c r="T1377" s="198" t="s">
        <v>2272</v>
      </c>
      <c r="U1377" s="198" t="s">
        <v>2272</v>
      </c>
      <c r="V1377" s="198" t="s">
        <v>2272</v>
      </c>
      <c r="W1377" s="198" t="s">
        <v>2272</v>
      </c>
      <c r="X1377" s="198" t="s">
        <v>2272</v>
      </c>
      <c r="Y1377" s="198" t="s">
        <v>2272</v>
      </c>
      <c r="Z1377" s="198" t="s">
        <v>2272</v>
      </c>
      <c r="AA1377" s="198" t="s">
        <v>2272</v>
      </c>
      <c r="AB1377" s="198" t="s">
        <v>2272</v>
      </c>
      <c r="AC1377" s="198" t="s">
        <v>2272</v>
      </c>
      <c r="AD1377" s="4" t="s">
        <v>4130</v>
      </c>
      <c r="AE1377" s="198"/>
    </row>
    <row r="1378" spans="1:31" ht="98.5" customHeight="1">
      <c r="A1378" s="198" t="s">
        <v>4124</v>
      </c>
      <c r="B1378" s="198" t="s">
        <v>4129</v>
      </c>
      <c r="C1378" s="198" t="s">
        <v>23</v>
      </c>
      <c r="D1378" s="198" t="s">
        <v>2799</v>
      </c>
      <c r="E1378" s="198" t="s">
        <v>44</v>
      </c>
      <c r="F1378" s="4" t="s">
        <v>2657</v>
      </c>
      <c r="G1378" s="198" t="s">
        <v>2272</v>
      </c>
      <c r="H1378" s="198" t="s">
        <v>521</v>
      </c>
      <c r="I1378" s="198"/>
      <c r="J1378" s="198" t="s">
        <v>2272</v>
      </c>
      <c r="K1378" s="198" t="s">
        <v>2272</v>
      </c>
      <c r="L1378" s="198" t="s">
        <v>2272</v>
      </c>
      <c r="M1378" s="198" t="s">
        <v>2272</v>
      </c>
      <c r="N1378" s="198" t="s">
        <v>2272</v>
      </c>
      <c r="O1378" s="198" t="s">
        <v>2272</v>
      </c>
      <c r="P1378" s="198" t="s">
        <v>2272</v>
      </c>
      <c r="Q1378" s="198" t="s">
        <v>2272</v>
      </c>
      <c r="R1378" s="198" t="s">
        <v>2272</v>
      </c>
      <c r="S1378" s="198" t="s">
        <v>2272</v>
      </c>
      <c r="T1378" s="198" t="s">
        <v>2272</v>
      </c>
      <c r="U1378" s="198" t="s">
        <v>2272</v>
      </c>
      <c r="V1378" s="198" t="s">
        <v>2272</v>
      </c>
      <c r="W1378" s="198" t="s">
        <v>2272</v>
      </c>
      <c r="X1378" s="198" t="s">
        <v>2272</v>
      </c>
      <c r="Y1378" s="198" t="s">
        <v>2272</v>
      </c>
      <c r="Z1378" s="198" t="s">
        <v>2272</v>
      </c>
      <c r="AA1378" s="198" t="s">
        <v>2272</v>
      </c>
      <c r="AB1378" s="198" t="s">
        <v>2272</v>
      </c>
      <c r="AC1378" s="198" t="s">
        <v>2272</v>
      </c>
      <c r="AD1378" s="4" t="s">
        <v>4130</v>
      </c>
      <c r="AE1378" s="198"/>
    </row>
    <row r="1379" spans="1:31" ht="40" customHeight="1">
      <c r="A1379" s="198" t="s">
        <v>4133</v>
      </c>
      <c r="B1379" s="198" t="s">
        <v>4138</v>
      </c>
      <c r="C1379" s="198" t="s">
        <v>23</v>
      </c>
      <c r="D1379" s="198" t="s">
        <v>141</v>
      </c>
      <c r="E1379" s="198" t="s">
        <v>5000</v>
      </c>
      <c r="F1379" s="4" t="s">
        <v>73</v>
      </c>
      <c r="G1379" s="198" t="s">
        <v>2272</v>
      </c>
      <c r="H1379" s="198" t="s">
        <v>521</v>
      </c>
      <c r="I1379" s="198"/>
      <c r="J1379" s="198" t="s">
        <v>2272</v>
      </c>
      <c r="K1379" s="198" t="s">
        <v>2272</v>
      </c>
      <c r="L1379" s="198" t="s">
        <v>2272</v>
      </c>
      <c r="M1379" s="198" t="s">
        <v>2272</v>
      </c>
      <c r="N1379" s="198" t="s">
        <v>2272</v>
      </c>
      <c r="O1379" s="198" t="s">
        <v>2272</v>
      </c>
      <c r="P1379" s="198" t="s">
        <v>2272</v>
      </c>
      <c r="Q1379" s="198" t="s">
        <v>2272</v>
      </c>
      <c r="R1379" s="198" t="s">
        <v>2272</v>
      </c>
      <c r="S1379" s="198" t="s">
        <v>2272</v>
      </c>
      <c r="T1379" s="198" t="s">
        <v>2272</v>
      </c>
      <c r="U1379" s="198" t="s">
        <v>2272</v>
      </c>
      <c r="V1379" s="198" t="s">
        <v>2272</v>
      </c>
      <c r="W1379" s="198" t="s">
        <v>2272</v>
      </c>
      <c r="X1379" s="198" t="s">
        <v>2272</v>
      </c>
      <c r="Y1379" s="198" t="s">
        <v>2272</v>
      </c>
      <c r="Z1379" s="198" t="s">
        <v>2272</v>
      </c>
      <c r="AA1379" s="198" t="s">
        <v>2272</v>
      </c>
      <c r="AB1379" s="198" t="s">
        <v>2272</v>
      </c>
      <c r="AC1379" s="198" t="s">
        <v>2272</v>
      </c>
      <c r="AD1379" s="4" t="s">
        <v>4140</v>
      </c>
      <c r="AE1379" s="198"/>
    </row>
    <row r="1380" spans="1:31" ht="40" customHeight="1">
      <c r="A1380" s="198" t="s">
        <v>4133</v>
      </c>
      <c r="B1380" s="198" t="s">
        <v>4139</v>
      </c>
      <c r="C1380" s="198" t="s">
        <v>23</v>
      </c>
      <c r="D1380" s="198" t="s">
        <v>141</v>
      </c>
      <c r="E1380" s="198" t="s">
        <v>44</v>
      </c>
      <c r="F1380" s="4" t="s">
        <v>73</v>
      </c>
      <c r="G1380" s="198" t="s">
        <v>2272</v>
      </c>
      <c r="H1380" s="198" t="s">
        <v>521</v>
      </c>
      <c r="I1380" s="198"/>
      <c r="J1380" s="198" t="s">
        <v>2272</v>
      </c>
      <c r="K1380" s="198" t="s">
        <v>2272</v>
      </c>
      <c r="L1380" s="198" t="s">
        <v>2272</v>
      </c>
      <c r="M1380" s="198" t="s">
        <v>2272</v>
      </c>
      <c r="N1380" s="198" t="s">
        <v>2272</v>
      </c>
      <c r="O1380" s="198" t="s">
        <v>2272</v>
      </c>
      <c r="P1380" s="198" t="s">
        <v>2272</v>
      </c>
      <c r="Q1380" s="198" t="s">
        <v>2272</v>
      </c>
      <c r="R1380" s="198" t="s">
        <v>2272</v>
      </c>
      <c r="S1380" s="198" t="s">
        <v>2272</v>
      </c>
      <c r="T1380" s="198" t="s">
        <v>2272</v>
      </c>
      <c r="U1380" s="198" t="s">
        <v>2272</v>
      </c>
      <c r="V1380" s="198" t="s">
        <v>2272</v>
      </c>
      <c r="W1380" s="198" t="s">
        <v>2272</v>
      </c>
      <c r="X1380" s="198" t="s">
        <v>2272</v>
      </c>
      <c r="Y1380" s="198" t="s">
        <v>2272</v>
      </c>
      <c r="Z1380" s="198" t="s">
        <v>2272</v>
      </c>
      <c r="AA1380" s="198" t="s">
        <v>2272</v>
      </c>
      <c r="AB1380" s="198" t="s">
        <v>2272</v>
      </c>
      <c r="AC1380" s="198" t="s">
        <v>2272</v>
      </c>
      <c r="AD1380" s="4" t="s">
        <v>4140</v>
      </c>
      <c r="AE1380" s="198"/>
    </row>
    <row r="1381" spans="1:31" ht="47.5" customHeight="1">
      <c r="A1381" s="198" t="s">
        <v>4141</v>
      </c>
      <c r="B1381" s="198" t="s">
        <v>4149</v>
      </c>
      <c r="C1381" s="198" t="s">
        <v>23</v>
      </c>
      <c r="D1381" s="198" t="s">
        <v>26</v>
      </c>
      <c r="E1381" s="4" t="s">
        <v>3849</v>
      </c>
      <c r="F1381" s="4" t="s">
        <v>2657</v>
      </c>
      <c r="G1381" s="198" t="s">
        <v>2272</v>
      </c>
      <c r="H1381" s="198" t="s">
        <v>521</v>
      </c>
      <c r="I1381" s="198"/>
      <c r="J1381" s="198" t="s">
        <v>2272</v>
      </c>
      <c r="K1381" s="198" t="s">
        <v>2272</v>
      </c>
      <c r="L1381" s="198" t="s">
        <v>2272</v>
      </c>
      <c r="M1381" s="198" t="s">
        <v>2272</v>
      </c>
      <c r="N1381" s="198" t="s">
        <v>2272</v>
      </c>
      <c r="O1381" s="198" t="s">
        <v>2272</v>
      </c>
      <c r="P1381" s="198" t="s">
        <v>2272</v>
      </c>
      <c r="Q1381" s="198" t="s">
        <v>2272</v>
      </c>
      <c r="R1381" s="198" t="s">
        <v>2272</v>
      </c>
      <c r="S1381" s="198" t="s">
        <v>2272</v>
      </c>
      <c r="T1381" s="198" t="s">
        <v>2272</v>
      </c>
      <c r="U1381" s="198" t="s">
        <v>2272</v>
      </c>
      <c r="V1381" s="198" t="s">
        <v>2272</v>
      </c>
      <c r="W1381" s="198" t="s">
        <v>2272</v>
      </c>
      <c r="X1381" s="198" t="s">
        <v>2272</v>
      </c>
      <c r="Y1381" s="198" t="s">
        <v>2272</v>
      </c>
      <c r="Z1381" s="198" t="s">
        <v>2272</v>
      </c>
      <c r="AA1381" s="198" t="s">
        <v>403</v>
      </c>
      <c r="AB1381" s="198" t="s">
        <v>67</v>
      </c>
      <c r="AC1381" s="198" t="s">
        <v>63</v>
      </c>
      <c r="AD1381" s="4" t="s">
        <v>4180</v>
      </c>
      <c r="AE1381" s="198"/>
    </row>
    <row r="1382" spans="1:31" ht="49.5" customHeight="1">
      <c r="A1382" s="198" t="s">
        <v>4141</v>
      </c>
      <c r="B1382" s="198" t="s">
        <v>4150</v>
      </c>
      <c r="C1382" s="198" t="s">
        <v>23</v>
      </c>
      <c r="D1382" s="198" t="s">
        <v>24</v>
      </c>
      <c r="E1382" s="4" t="s">
        <v>3849</v>
      </c>
      <c r="F1382" s="4" t="s">
        <v>2657</v>
      </c>
      <c r="G1382" s="198" t="s">
        <v>2272</v>
      </c>
      <c r="H1382" s="198" t="s">
        <v>521</v>
      </c>
      <c r="I1382" s="198"/>
      <c r="J1382" s="198" t="s">
        <v>2272</v>
      </c>
      <c r="K1382" s="198" t="s">
        <v>2272</v>
      </c>
      <c r="L1382" s="198" t="s">
        <v>2272</v>
      </c>
      <c r="M1382" s="198" t="s">
        <v>2272</v>
      </c>
      <c r="N1382" s="198" t="s">
        <v>2272</v>
      </c>
      <c r="O1382" s="198" t="s">
        <v>2272</v>
      </c>
      <c r="P1382" s="198" t="s">
        <v>2272</v>
      </c>
      <c r="Q1382" s="198" t="s">
        <v>2272</v>
      </c>
      <c r="R1382" s="198" t="s">
        <v>2272</v>
      </c>
      <c r="S1382" s="198" t="s">
        <v>2272</v>
      </c>
      <c r="T1382" s="198" t="s">
        <v>2272</v>
      </c>
      <c r="U1382" s="198" t="s">
        <v>2272</v>
      </c>
      <c r="V1382" s="198" t="s">
        <v>2272</v>
      </c>
      <c r="W1382" s="198" t="s">
        <v>2272</v>
      </c>
      <c r="X1382" s="198" t="s">
        <v>2272</v>
      </c>
      <c r="Y1382" s="198" t="s">
        <v>2272</v>
      </c>
      <c r="Z1382" s="198" t="s">
        <v>2272</v>
      </c>
      <c r="AA1382" s="198" t="s">
        <v>84</v>
      </c>
      <c r="AB1382" s="198" t="s">
        <v>423</v>
      </c>
      <c r="AC1382" s="198" t="s">
        <v>75</v>
      </c>
      <c r="AD1382" s="4" t="s">
        <v>4180</v>
      </c>
      <c r="AE1382" s="198"/>
    </row>
    <row r="1383" spans="1:31" ht="52.5" customHeight="1">
      <c r="A1383" s="198" t="s">
        <v>4141</v>
      </c>
      <c r="B1383" s="198" t="s">
        <v>4151</v>
      </c>
      <c r="C1383" s="198" t="s">
        <v>23</v>
      </c>
      <c r="D1383" s="198" t="s">
        <v>25</v>
      </c>
      <c r="E1383" s="4" t="s">
        <v>3849</v>
      </c>
      <c r="F1383" s="4" t="s">
        <v>2657</v>
      </c>
      <c r="G1383" s="198" t="s">
        <v>2272</v>
      </c>
      <c r="H1383" s="198" t="s">
        <v>521</v>
      </c>
      <c r="I1383" s="198"/>
      <c r="J1383" s="198" t="s">
        <v>2272</v>
      </c>
      <c r="K1383" s="198" t="s">
        <v>2272</v>
      </c>
      <c r="L1383" s="198" t="s">
        <v>2272</v>
      </c>
      <c r="M1383" s="198" t="s">
        <v>2272</v>
      </c>
      <c r="N1383" s="198" t="s">
        <v>2272</v>
      </c>
      <c r="O1383" s="198" t="s">
        <v>2272</v>
      </c>
      <c r="P1383" s="198" t="s">
        <v>2272</v>
      </c>
      <c r="Q1383" s="198" t="s">
        <v>2272</v>
      </c>
      <c r="R1383" s="198" t="s">
        <v>2272</v>
      </c>
      <c r="S1383" s="198" t="s">
        <v>2272</v>
      </c>
      <c r="T1383" s="198" t="s">
        <v>2272</v>
      </c>
      <c r="U1383" s="198" t="s">
        <v>2272</v>
      </c>
      <c r="V1383" s="198" t="s">
        <v>2272</v>
      </c>
      <c r="W1383" s="198" t="s">
        <v>2272</v>
      </c>
      <c r="X1383" s="198" t="s">
        <v>2272</v>
      </c>
      <c r="Y1383" s="198" t="s">
        <v>2272</v>
      </c>
      <c r="Z1383" s="198" t="s">
        <v>2272</v>
      </c>
      <c r="AA1383" s="198" t="s">
        <v>84</v>
      </c>
      <c r="AB1383" s="198" t="s">
        <v>67</v>
      </c>
      <c r="AC1383" s="198" t="s">
        <v>63</v>
      </c>
      <c r="AD1383" s="4" t="s">
        <v>4184</v>
      </c>
      <c r="AE1383" s="198"/>
    </row>
    <row r="1384" spans="1:31" ht="52.5" customHeight="1">
      <c r="A1384" s="198" t="s">
        <v>4141</v>
      </c>
      <c r="B1384" s="198" t="s">
        <v>4152</v>
      </c>
      <c r="C1384" s="198" t="s">
        <v>23</v>
      </c>
      <c r="D1384" s="198" t="s">
        <v>2654</v>
      </c>
      <c r="E1384" s="4" t="s">
        <v>3849</v>
      </c>
      <c r="F1384" s="4" t="s">
        <v>27</v>
      </c>
      <c r="G1384" s="198" t="s">
        <v>2272</v>
      </c>
      <c r="H1384" s="198" t="s">
        <v>521</v>
      </c>
      <c r="I1384" s="198"/>
      <c r="J1384" s="198" t="s">
        <v>2272</v>
      </c>
      <c r="K1384" s="198" t="s">
        <v>2272</v>
      </c>
      <c r="L1384" s="198" t="s">
        <v>2272</v>
      </c>
      <c r="M1384" s="198" t="s">
        <v>2272</v>
      </c>
      <c r="N1384" s="198" t="s">
        <v>2272</v>
      </c>
      <c r="O1384" s="198" t="s">
        <v>2272</v>
      </c>
      <c r="P1384" s="198" t="s">
        <v>2272</v>
      </c>
      <c r="Q1384" s="198" t="s">
        <v>2272</v>
      </c>
      <c r="R1384" s="198" t="s">
        <v>2272</v>
      </c>
      <c r="S1384" s="198" t="s">
        <v>2272</v>
      </c>
      <c r="T1384" s="198" t="s">
        <v>2272</v>
      </c>
      <c r="U1384" s="198" t="s">
        <v>2272</v>
      </c>
      <c r="V1384" s="198" t="s">
        <v>2272</v>
      </c>
      <c r="W1384" s="198" t="s">
        <v>2272</v>
      </c>
      <c r="X1384" s="198" t="s">
        <v>2272</v>
      </c>
      <c r="Y1384" s="198" t="s">
        <v>2272</v>
      </c>
      <c r="Z1384" s="198" t="s">
        <v>2272</v>
      </c>
      <c r="AA1384" s="198" t="s">
        <v>423</v>
      </c>
      <c r="AB1384" s="198" t="s">
        <v>67</v>
      </c>
      <c r="AC1384" s="198" t="s">
        <v>63</v>
      </c>
      <c r="AD1384" s="4" t="s">
        <v>4180</v>
      </c>
      <c r="AE1384" s="198"/>
    </row>
    <row r="1385" spans="1:31" ht="58.5" customHeight="1">
      <c r="A1385" s="198" t="s">
        <v>4141</v>
      </c>
      <c r="B1385" s="198" t="s">
        <v>4153</v>
      </c>
      <c r="C1385" s="198" t="s">
        <v>23</v>
      </c>
      <c r="D1385" s="198" t="s">
        <v>141</v>
      </c>
      <c r="E1385" s="4" t="s">
        <v>3849</v>
      </c>
      <c r="F1385" s="4" t="s">
        <v>73</v>
      </c>
      <c r="G1385" s="198" t="s">
        <v>2272</v>
      </c>
      <c r="H1385" s="198" t="s">
        <v>521</v>
      </c>
      <c r="I1385" s="198"/>
      <c r="J1385" s="198" t="s">
        <v>2272</v>
      </c>
      <c r="K1385" s="198" t="s">
        <v>2272</v>
      </c>
      <c r="L1385" s="198" t="s">
        <v>2272</v>
      </c>
      <c r="M1385" s="198" t="s">
        <v>2272</v>
      </c>
      <c r="N1385" s="198" t="s">
        <v>2272</v>
      </c>
      <c r="O1385" s="198" t="s">
        <v>2272</v>
      </c>
      <c r="P1385" s="198" t="s">
        <v>2272</v>
      </c>
      <c r="Q1385" s="198" t="s">
        <v>2272</v>
      </c>
      <c r="R1385" s="198" t="s">
        <v>2272</v>
      </c>
      <c r="S1385" s="198" t="s">
        <v>2272</v>
      </c>
      <c r="T1385" s="198" t="s">
        <v>2272</v>
      </c>
      <c r="U1385" s="198" t="s">
        <v>2272</v>
      </c>
      <c r="V1385" s="198" t="s">
        <v>2272</v>
      </c>
      <c r="W1385" s="198" t="s">
        <v>2272</v>
      </c>
      <c r="X1385" s="198" t="s">
        <v>2272</v>
      </c>
      <c r="Y1385" s="198" t="s">
        <v>2272</v>
      </c>
      <c r="Z1385" s="198" t="s">
        <v>2272</v>
      </c>
      <c r="AA1385" s="198" t="s">
        <v>402</v>
      </c>
      <c r="AB1385" s="198" t="s">
        <v>67</v>
      </c>
      <c r="AC1385" s="198" t="s">
        <v>63</v>
      </c>
      <c r="AD1385" s="4" t="s">
        <v>4185</v>
      </c>
      <c r="AE1385" s="198"/>
    </row>
    <row r="1386" spans="1:31" ht="53.5" customHeight="1">
      <c r="A1386" s="198" t="s">
        <v>4141</v>
      </c>
      <c r="B1386" s="198" t="s">
        <v>4154</v>
      </c>
      <c r="C1386" s="198" t="s">
        <v>23</v>
      </c>
      <c r="D1386" s="198" t="s">
        <v>1241</v>
      </c>
      <c r="E1386" s="4" t="s">
        <v>3849</v>
      </c>
      <c r="F1386" s="4" t="s">
        <v>2657</v>
      </c>
      <c r="G1386" s="198" t="s">
        <v>2272</v>
      </c>
      <c r="H1386" s="198" t="s">
        <v>521</v>
      </c>
      <c r="I1386" s="198"/>
      <c r="J1386" s="198" t="s">
        <v>2272</v>
      </c>
      <c r="K1386" s="198" t="s">
        <v>2272</v>
      </c>
      <c r="L1386" s="198" t="s">
        <v>2272</v>
      </c>
      <c r="M1386" s="198" t="s">
        <v>2272</v>
      </c>
      <c r="N1386" s="198" t="s">
        <v>2272</v>
      </c>
      <c r="O1386" s="198" t="s">
        <v>2272</v>
      </c>
      <c r="P1386" s="198" t="s">
        <v>2272</v>
      </c>
      <c r="Q1386" s="198" t="s">
        <v>2272</v>
      </c>
      <c r="R1386" s="198" t="s">
        <v>2272</v>
      </c>
      <c r="S1386" s="198" t="s">
        <v>2272</v>
      </c>
      <c r="T1386" s="198" t="s">
        <v>2272</v>
      </c>
      <c r="U1386" s="198" t="s">
        <v>2272</v>
      </c>
      <c r="V1386" s="198" t="s">
        <v>2272</v>
      </c>
      <c r="W1386" s="198" t="s">
        <v>2272</v>
      </c>
      <c r="X1386" s="198" t="s">
        <v>2272</v>
      </c>
      <c r="Y1386" s="198" t="s">
        <v>2272</v>
      </c>
      <c r="Z1386" s="198" t="s">
        <v>2272</v>
      </c>
      <c r="AA1386" s="198" t="s">
        <v>402</v>
      </c>
      <c r="AB1386" s="198" t="s">
        <v>67</v>
      </c>
      <c r="AC1386" s="198" t="s">
        <v>75</v>
      </c>
      <c r="AD1386" s="4" t="s">
        <v>4186</v>
      </c>
      <c r="AE1386" s="198"/>
    </row>
    <row r="1387" spans="1:31" ht="53.5" customHeight="1">
      <c r="A1387" s="198" t="s">
        <v>4141</v>
      </c>
      <c r="B1387" s="198" t="s">
        <v>4155</v>
      </c>
      <c r="C1387" s="198" t="s">
        <v>23</v>
      </c>
      <c r="D1387" s="198" t="s">
        <v>3471</v>
      </c>
      <c r="E1387" s="4" t="s">
        <v>860</v>
      </c>
      <c r="F1387" s="4" t="s">
        <v>2657</v>
      </c>
      <c r="G1387" s="198" t="s">
        <v>2272</v>
      </c>
      <c r="H1387" s="198" t="s">
        <v>521</v>
      </c>
      <c r="I1387" s="198"/>
      <c r="J1387" s="198" t="s">
        <v>2272</v>
      </c>
      <c r="K1387" s="198" t="s">
        <v>2272</v>
      </c>
      <c r="L1387" s="198" t="s">
        <v>2272</v>
      </c>
      <c r="M1387" s="198" t="s">
        <v>2272</v>
      </c>
      <c r="N1387" s="198" t="s">
        <v>2272</v>
      </c>
      <c r="O1387" s="198" t="s">
        <v>2272</v>
      </c>
      <c r="P1387" s="198" t="s">
        <v>2272</v>
      </c>
      <c r="Q1387" s="198" t="s">
        <v>2272</v>
      </c>
      <c r="R1387" s="198" t="s">
        <v>2272</v>
      </c>
      <c r="S1387" s="198" t="s">
        <v>2272</v>
      </c>
      <c r="T1387" s="198" t="s">
        <v>2272</v>
      </c>
      <c r="U1387" s="198" t="s">
        <v>2272</v>
      </c>
      <c r="V1387" s="198" t="s">
        <v>2272</v>
      </c>
      <c r="W1387" s="198" t="s">
        <v>2272</v>
      </c>
      <c r="X1387" s="198" t="s">
        <v>2272</v>
      </c>
      <c r="Y1387" s="198" t="s">
        <v>2272</v>
      </c>
      <c r="Z1387" s="198" t="s">
        <v>2272</v>
      </c>
      <c r="AA1387" s="198" t="s">
        <v>33</v>
      </c>
      <c r="AB1387" s="198" t="s">
        <v>423</v>
      </c>
      <c r="AC1387" s="198" t="s">
        <v>63</v>
      </c>
      <c r="AD1387" s="4" t="s">
        <v>4180</v>
      </c>
      <c r="AE1387" s="198"/>
    </row>
    <row r="1388" spans="1:31" ht="41.5" customHeight="1">
      <c r="A1388" s="198" t="s">
        <v>4141</v>
      </c>
      <c r="B1388" s="198" t="s">
        <v>4156</v>
      </c>
      <c r="C1388" s="198" t="s">
        <v>2453</v>
      </c>
      <c r="D1388" s="198" t="s">
        <v>3471</v>
      </c>
      <c r="E1388" s="4" t="s">
        <v>860</v>
      </c>
      <c r="F1388" s="4" t="s">
        <v>2657</v>
      </c>
      <c r="G1388" s="198" t="s">
        <v>2272</v>
      </c>
      <c r="H1388" s="198" t="s">
        <v>521</v>
      </c>
      <c r="I1388" s="198"/>
      <c r="J1388" s="198" t="s">
        <v>2272</v>
      </c>
      <c r="K1388" s="198" t="s">
        <v>2272</v>
      </c>
      <c r="L1388" s="198" t="s">
        <v>2272</v>
      </c>
      <c r="M1388" s="198" t="s">
        <v>2272</v>
      </c>
      <c r="N1388" s="198" t="s">
        <v>2272</v>
      </c>
      <c r="O1388" s="198" t="s">
        <v>2272</v>
      </c>
      <c r="P1388" s="198" t="s">
        <v>2272</v>
      </c>
      <c r="Q1388" s="198" t="s">
        <v>2272</v>
      </c>
      <c r="R1388" s="198" t="s">
        <v>2272</v>
      </c>
      <c r="S1388" s="198" t="s">
        <v>2272</v>
      </c>
      <c r="T1388" s="198" t="s">
        <v>2272</v>
      </c>
      <c r="U1388" s="198" t="s">
        <v>2272</v>
      </c>
      <c r="V1388" s="198" t="s">
        <v>2272</v>
      </c>
      <c r="W1388" s="198" t="s">
        <v>2272</v>
      </c>
      <c r="X1388" s="198" t="s">
        <v>2272</v>
      </c>
      <c r="Y1388" s="198" t="s">
        <v>2272</v>
      </c>
      <c r="Z1388" s="198" t="s">
        <v>2272</v>
      </c>
      <c r="AA1388" s="198" t="s">
        <v>33</v>
      </c>
      <c r="AB1388" s="198" t="s">
        <v>423</v>
      </c>
      <c r="AC1388" s="198" t="s">
        <v>63</v>
      </c>
      <c r="AD1388" s="198"/>
      <c r="AE1388" s="198"/>
    </row>
    <row r="1389" spans="1:31" ht="41.5" customHeight="1">
      <c r="A1389" s="198" t="s">
        <v>4141</v>
      </c>
      <c r="B1389" s="198" t="s">
        <v>4158</v>
      </c>
      <c r="C1389" s="198" t="s">
        <v>23</v>
      </c>
      <c r="D1389" s="198" t="s">
        <v>4157</v>
      </c>
      <c r="E1389" s="4" t="s">
        <v>860</v>
      </c>
      <c r="F1389" s="4" t="s">
        <v>2657</v>
      </c>
      <c r="G1389" s="198" t="s">
        <v>2272</v>
      </c>
      <c r="H1389" s="198" t="s">
        <v>521</v>
      </c>
      <c r="I1389" s="198"/>
      <c r="J1389" s="198" t="s">
        <v>2272</v>
      </c>
      <c r="K1389" s="198" t="s">
        <v>2272</v>
      </c>
      <c r="L1389" s="198" t="s">
        <v>2272</v>
      </c>
      <c r="M1389" s="198" t="s">
        <v>2272</v>
      </c>
      <c r="N1389" s="198" t="s">
        <v>2272</v>
      </c>
      <c r="O1389" s="198" t="s">
        <v>2272</v>
      </c>
      <c r="P1389" s="198" t="s">
        <v>2272</v>
      </c>
      <c r="Q1389" s="198" t="s">
        <v>2272</v>
      </c>
      <c r="R1389" s="198" t="s">
        <v>2272</v>
      </c>
      <c r="S1389" s="198" t="s">
        <v>2272</v>
      </c>
      <c r="T1389" s="198" t="s">
        <v>2272</v>
      </c>
      <c r="U1389" s="198" t="s">
        <v>2272</v>
      </c>
      <c r="V1389" s="198" t="s">
        <v>2272</v>
      </c>
      <c r="W1389" s="198" t="s">
        <v>2272</v>
      </c>
      <c r="X1389" s="198" t="s">
        <v>2272</v>
      </c>
      <c r="Y1389" s="198" t="s">
        <v>2272</v>
      </c>
      <c r="Z1389" s="198" t="s">
        <v>2272</v>
      </c>
      <c r="AA1389" s="198" t="s">
        <v>33</v>
      </c>
      <c r="AB1389" s="198" t="s">
        <v>67</v>
      </c>
      <c r="AC1389" s="198" t="s">
        <v>75</v>
      </c>
      <c r="AD1389" s="4" t="s">
        <v>4184</v>
      </c>
      <c r="AE1389" s="198"/>
    </row>
    <row r="1390" spans="1:31" ht="53" customHeight="1">
      <c r="A1390" s="198" t="s">
        <v>4141</v>
      </c>
      <c r="B1390" s="198" t="s">
        <v>4161</v>
      </c>
      <c r="C1390" s="198" t="s">
        <v>23</v>
      </c>
      <c r="D1390" s="198" t="s">
        <v>2337</v>
      </c>
      <c r="E1390" s="4" t="s">
        <v>3849</v>
      </c>
      <c r="F1390" s="4" t="s">
        <v>2657</v>
      </c>
      <c r="G1390" s="198" t="s">
        <v>2272</v>
      </c>
      <c r="H1390" s="198" t="s">
        <v>521</v>
      </c>
      <c r="I1390" s="198"/>
      <c r="J1390" s="198" t="s">
        <v>2272</v>
      </c>
      <c r="K1390" s="198" t="s">
        <v>2272</v>
      </c>
      <c r="L1390" s="198" t="s">
        <v>2272</v>
      </c>
      <c r="M1390" s="198" t="s">
        <v>2272</v>
      </c>
      <c r="N1390" s="198" t="s">
        <v>2272</v>
      </c>
      <c r="O1390" s="198" t="s">
        <v>2272</v>
      </c>
      <c r="P1390" s="198" t="s">
        <v>2272</v>
      </c>
      <c r="Q1390" s="198" t="s">
        <v>2272</v>
      </c>
      <c r="R1390" s="198" t="s">
        <v>2272</v>
      </c>
      <c r="S1390" s="198" t="s">
        <v>2272</v>
      </c>
      <c r="T1390" s="198" t="s">
        <v>2272</v>
      </c>
      <c r="U1390" s="198" t="s">
        <v>2272</v>
      </c>
      <c r="V1390" s="198" t="s">
        <v>2272</v>
      </c>
      <c r="W1390" s="198" t="s">
        <v>2272</v>
      </c>
      <c r="X1390" s="198" t="s">
        <v>2272</v>
      </c>
      <c r="Y1390" s="198" t="s">
        <v>2272</v>
      </c>
      <c r="Z1390" s="198" t="s">
        <v>2272</v>
      </c>
      <c r="AA1390" s="198" t="s">
        <v>84</v>
      </c>
      <c r="AB1390" s="198" t="s">
        <v>67</v>
      </c>
      <c r="AC1390" s="198" t="s">
        <v>63</v>
      </c>
      <c r="AD1390" s="4" t="s">
        <v>4188</v>
      </c>
      <c r="AE1390" s="198"/>
    </row>
    <row r="1391" spans="1:31" ht="40.5" customHeight="1">
      <c r="A1391" s="198" t="s">
        <v>4141</v>
      </c>
      <c r="B1391" s="198" t="s">
        <v>4172</v>
      </c>
      <c r="C1391" s="198" t="s">
        <v>23</v>
      </c>
      <c r="D1391" s="198" t="s">
        <v>3475</v>
      </c>
      <c r="E1391" s="4" t="s">
        <v>860</v>
      </c>
      <c r="F1391" s="4" t="s">
        <v>73</v>
      </c>
      <c r="G1391" s="198" t="s">
        <v>2272</v>
      </c>
      <c r="H1391" s="198" t="s">
        <v>521</v>
      </c>
      <c r="I1391" s="198"/>
      <c r="J1391" s="198" t="s">
        <v>2272</v>
      </c>
      <c r="K1391" s="198" t="s">
        <v>2272</v>
      </c>
      <c r="L1391" s="198" t="s">
        <v>2272</v>
      </c>
      <c r="M1391" s="198" t="s">
        <v>2272</v>
      </c>
      <c r="N1391" s="198" t="s">
        <v>2272</v>
      </c>
      <c r="O1391" s="198" t="s">
        <v>2272</v>
      </c>
      <c r="P1391" s="198" t="s">
        <v>2272</v>
      </c>
      <c r="Q1391" s="198" t="s">
        <v>2272</v>
      </c>
      <c r="R1391" s="198" t="s">
        <v>2272</v>
      </c>
      <c r="S1391" s="198" t="s">
        <v>2272</v>
      </c>
      <c r="T1391" s="198" t="s">
        <v>2272</v>
      </c>
      <c r="U1391" s="198" t="s">
        <v>2272</v>
      </c>
      <c r="V1391" s="198" t="s">
        <v>2272</v>
      </c>
      <c r="W1391" s="198" t="s">
        <v>2272</v>
      </c>
      <c r="X1391" s="198" t="s">
        <v>2272</v>
      </c>
      <c r="Y1391" s="198" t="s">
        <v>2272</v>
      </c>
      <c r="Z1391" s="198" t="s">
        <v>2272</v>
      </c>
      <c r="AA1391" s="198" t="s">
        <v>84</v>
      </c>
      <c r="AB1391" s="198" t="s">
        <v>33</v>
      </c>
      <c r="AC1391" s="198" t="s">
        <v>63</v>
      </c>
      <c r="AD1391" s="4" t="s">
        <v>4187</v>
      </c>
      <c r="AE1391" s="198"/>
    </row>
    <row r="1392" spans="1:31" ht="59" customHeight="1">
      <c r="A1392" s="198" t="s">
        <v>4141</v>
      </c>
      <c r="B1392" s="198" t="s">
        <v>4175</v>
      </c>
      <c r="C1392" s="198" t="s">
        <v>23</v>
      </c>
      <c r="D1392" s="198" t="s">
        <v>2342</v>
      </c>
      <c r="E1392" s="4" t="s">
        <v>3849</v>
      </c>
      <c r="F1392" s="4" t="s">
        <v>73</v>
      </c>
      <c r="G1392" s="198" t="s">
        <v>2272</v>
      </c>
      <c r="H1392" s="198" t="s">
        <v>521</v>
      </c>
      <c r="I1392" s="198"/>
      <c r="J1392" s="198" t="s">
        <v>2272</v>
      </c>
      <c r="K1392" s="198" t="s">
        <v>2272</v>
      </c>
      <c r="L1392" s="198" t="s">
        <v>2272</v>
      </c>
      <c r="M1392" s="198" t="s">
        <v>2272</v>
      </c>
      <c r="N1392" s="198" t="s">
        <v>2272</v>
      </c>
      <c r="O1392" s="198" t="s">
        <v>2272</v>
      </c>
      <c r="P1392" s="198" t="s">
        <v>2272</v>
      </c>
      <c r="Q1392" s="198" t="s">
        <v>2272</v>
      </c>
      <c r="R1392" s="198" t="s">
        <v>2272</v>
      </c>
      <c r="S1392" s="198" t="s">
        <v>2272</v>
      </c>
      <c r="T1392" s="198" t="s">
        <v>2272</v>
      </c>
      <c r="U1392" s="198" t="s">
        <v>2272</v>
      </c>
      <c r="V1392" s="198" t="s">
        <v>2272</v>
      </c>
      <c r="W1392" s="198" t="s">
        <v>2272</v>
      </c>
      <c r="X1392" s="198" t="s">
        <v>2272</v>
      </c>
      <c r="Y1392" s="198" t="s">
        <v>2272</v>
      </c>
      <c r="Z1392" s="198" t="s">
        <v>2272</v>
      </c>
      <c r="AA1392" s="198" t="s">
        <v>2272</v>
      </c>
      <c r="AB1392" s="198" t="s">
        <v>2272</v>
      </c>
      <c r="AC1392" s="198" t="s">
        <v>2272</v>
      </c>
      <c r="AD1392" s="4" t="s">
        <v>4183</v>
      </c>
      <c r="AE1392" s="198"/>
    </row>
    <row r="1393" spans="1:31" ht="53" customHeight="1">
      <c r="A1393" s="198" t="s">
        <v>4141</v>
      </c>
      <c r="B1393" s="198" t="s">
        <v>4178</v>
      </c>
      <c r="C1393" s="198" t="s">
        <v>2453</v>
      </c>
      <c r="D1393" s="198" t="s">
        <v>2989</v>
      </c>
      <c r="E1393" s="4" t="s">
        <v>3849</v>
      </c>
      <c r="F1393" s="4" t="s">
        <v>2272</v>
      </c>
      <c r="G1393" s="198" t="s">
        <v>2272</v>
      </c>
      <c r="H1393" s="198" t="s">
        <v>521</v>
      </c>
      <c r="I1393" s="198"/>
      <c r="J1393" s="198" t="s">
        <v>2272</v>
      </c>
      <c r="K1393" s="198" t="s">
        <v>2272</v>
      </c>
      <c r="L1393" s="198" t="s">
        <v>2272</v>
      </c>
      <c r="M1393" s="198" t="s">
        <v>2272</v>
      </c>
      <c r="N1393" s="198" t="s">
        <v>2272</v>
      </c>
      <c r="O1393" s="198" t="s">
        <v>2272</v>
      </c>
      <c r="P1393" s="198" t="s">
        <v>2272</v>
      </c>
      <c r="Q1393" s="198" t="s">
        <v>2272</v>
      </c>
      <c r="R1393" s="198" t="s">
        <v>2272</v>
      </c>
      <c r="S1393" s="198" t="s">
        <v>2272</v>
      </c>
      <c r="T1393" s="198" t="s">
        <v>2272</v>
      </c>
      <c r="U1393" s="198" t="s">
        <v>2272</v>
      </c>
      <c r="V1393" s="198" t="s">
        <v>2272</v>
      </c>
      <c r="W1393" s="198" t="s">
        <v>2272</v>
      </c>
      <c r="X1393" s="198" t="s">
        <v>2272</v>
      </c>
      <c r="Y1393" s="198" t="s">
        <v>2272</v>
      </c>
      <c r="Z1393" s="198" t="s">
        <v>2272</v>
      </c>
      <c r="AA1393" s="198" t="s">
        <v>397</v>
      </c>
      <c r="AB1393" s="198" t="s">
        <v>125</v>
      </c>
      <c r="AC1393" s="198" t="s">
        <v>2308</v>
      </c>
      <c r="AD1393" s="4" t="s">
        <v>4181</v>
      </c>
      <c r="AE1393" s="198"/>
    </row>
    <row r="1394" spans="1:31" ht="51" customHeight="1">
      <c r="A1394" s="198" t="s">
        <v>4141</v>
      </c>
      <c r="B1394" s="198" t="s">
        <v>4179</v>
      </c>
      <c r="C1394" s="198" t="s">
        <v>2453</v>
      </c>
      <c r="D1394" s="198" t="s">
        <v>2989</v>
      </c>
      <c r="E1394" s="4" t="s">
        <v>860</v>
      </c>
      <c r="F1394" s="4" t="s">
        <v>2272</v>
      </c>
      <c r="G1394" s="198" t="s">
        <v>2272</v>
      </c>
      <c r="H1394" s="198" t="s">
        <v>521</v>
      </c>
      <c r="I1394" s="198"/>
      <c r="J1394" s="198" t="s">
        <v>2272</v>
      </c>
      <c r="K1394" s="198" t="s">
        <v>2272</v>
      </c>
      <c r="L1394" s="198" t="s">
        <v>2272</v>
      </c>
      <c r="M1394" s="198" t="s">
        <v>2272</v>
      </c>
      <c r="N1394" s="198" t="s">
        <v>2272</v>
      </c>
      <c r="O1394" s="198" t="s">
        <v>2272</v>
      </c>
      <c r="P1394" s="198" t="s">
        <v>2272</v>
      </c>
      <c r="Q1394" s="198" t="s">
        <v>2272</v>
      </c>
      <c r="R1394" s="198" t="s">
        <v>2272</v>
      </c>
      <c r="S1394" s="198" t="s">
        <v>2272</v>
      </c>
      <c r="T1394" s="198" t="s">
        <v>2272</v>
      </c>
      <c r="U1394" s="198" t="s">
        <v>2272</v>
      </c>
      <c r="V1394" s="198" t="s">
        <v>2272</v>
      </c>
      <c r="W1394" s="198" t="s">
        <v>2272</v>
      </c>
      <c r="X1394" s="198" t="s">
        <v>2272</v>
      </c>
      <c r="Y1394" s="198" t="s">
        <v>2272</v>
      </c>
      <c r="Z1394" s="198" t="s">
        <v>2272</v>
      </c>
      <c r="AA1394" s="198" t="s">
        <v>397</v>
      </c>
      <c r="AB1394" s="198" t="s">
        <v>125</v>
      </c>
      <c r="AC1394" s="198" t="s">
        <v>2308</v>
      </c>
      <c r="AD1394" s="4" t="s">
        <v>4181</v>
      </c>
      <c r="AE1394" s="198"/>
    </row>
    <row r="1395" spans="1:31" ht="40" customHeight="1">
      <c r="A1395" s="198" t="s">
        <v>4142</v>
      </c>
      <c r="B1395" s="198" t="s">
        <v>4159</v>
      </c>
      <c r="C1395" s="198" t="s">
        <v>23</v>
      </c>
      <c r="D1395" s="198" t="s">
        <v>24</v>
      </c>
      <c r="E1395" s="4" t="s">
        <v>5000</v>
      </c>
      <c r="F1395" s="4" t="s">
        <v>2657</v>
      </c>
      <c r="G1395" s="198" t="s">
        <v>2272</v>
      </c>
      <c r="H1395" s="198" t="s">
        <v>521</v>
      </c>
      <c r="I1395" s="198"/>
      <c r="J1395" s="198" t="s">
        <v>2272</v>
      </c>
      <c r="K1395" s="198" t="s">
        <v>2272</v>
      </c>
      <c r="L1395" s="198" t="s">
        <v>2272</v>
      </c>
      <c r="M1395" s="198" t="s">
        <v>2272</v>
      </c>
      <c r="N1395" s="198" t="s">
        <v>2272</v>
      </c>
      <c r="O1395" s="198" t="s">
        <v>2272</v>
      </c>
      <c r="P1395" s="198" t="s">
        <v>2272</v>
      </c>
      <c r="Q1395" s="198" t="s">
        <v>2272</v>
      </c>
      <c r="R1395" s="198" t="s">
        <v>2272</v>
      </c>
      <c r="S1395" s="198" t="s">
        <v>2272</v>
      </c>
      <c r="T1395" s="198" t="s">
        <v>2272</v>
      </c>
      <c r="U1395" s="198" t="s">
        <v>2272</v>
      </c>
      <c r="V1395" s="198" t="s">
        <v>2272</v>
      </c>
      <c r="W1395" s="198" t="s">
        <v>2272</v>
      </c>
      <c r="X1395" s="198" t="s">
        <v>2272</v>
      </c>
      <c r="Y1395" s="198" t="s">
        <v>2272</v>
      </c>
      <c r="Z1395" s="198" t="s">
        <v>2272</v>
      </c>
      <c r="AA1395" s="198" t="s">
        <v>402</v>
      </c>
      <c r="AB1395" s="198" t="s">
        <v>423</v>
      </c>
      <c r="AC1395" s="198" t="s">
        <v>63</v>
      </c>
      <c r="AD1395" s="4" t="s">
        <v>4180</v>
      </c>
      <c r="AE1395" s="198"/>
    </row>
    <row r="1396" spans="1:31" ht="40" customHeight="1">
      <c r="A1396" s="198" t="s">
        <v>4142</v>
      </c>
      <c r="B1396" s="198" t="s">
        <v>4160</v>
      </c>
      <c r="C1396" s="198" t="s">
        <v>23</v>
      </c>
      <c r="D1396" s="198" t="s">
        <v>24</v>
      </c>
      <c r="E1396" s="198" t="s">
        <v>44</v>
      </c>
      <c r="F1396" s="4" t="s">
        <v>2657</v>
      </c>
      <c r="G1396" s="198" t="s">
        <v>2272</v>
      </c>
      <c r="H1396" s="198" t="s">
        <v>521</v>
      </c>
      <c r="I1396" s="198"/>
      <c r="J1396" s="198" t="s">
        <v>2272</v>
      </c>
      <c r="K1396" s="198" t="s">
        <v>2272</v>
      </c>
      <c r="L1396" s="198" t="s">
        <v>2272</v>
      </c>
      <c r="M1396" s="198" t="s">
        <v>2272</v>
      </c>
      <c r="N1396" s="198" t="s">
        <v>2272</v>
      </c>
      <c r="O1396" s="198" t="s">
        <v>2272</v>
      </c>
      <c r="P1396" s="198" t="s">
        <v>2272</v>
      </c>
      <c r="Q1396" s="198" t="s">
        <v>2272</v>
      </c>
      <c r="R1396" s="198" t="s">
        <v>2272</v>
      </c>
      <c r="S1396" s="198" t="s">
        <v>2272</v>
      </c>
      <c r="T1396" s="198" t="s">
        <v>2272</v>
      </c>
      <c r="U1396" s="198" t="s">
        <v>2272</v>
      </c>
      <c r="V1396" s="198" t="s">
        <v>2272</v>
      </c>
      <c r="W1396" s="198" t="s">
        <v>2272</v>
      </c>
      <c r="X1396" s="198" t="s">
        <v>2272</v>
      </c>
      <c r="Y1396" s="198" t="s">
        <v>2272</v>
      </c>
      <c r="Z1396" s="198" t="s">
        <v>2272</v>
      </c>
      <c r="AA1396" s="198" t="s">
        <v>402</v>
      </c>
      <c r="AB1396" s="198" t="s">
        <v>423</v>
      </c>
      <c r="AC1396" s="198" t="s">
        <v>63</v>
      </c>
      <c r="AD1396" s="4" t="s">
        <v>4180</v>
      </c>
      <c r="AE1396" s="198"/>
    </row>
    <row r="1397" spans="1:31" ht="40" customHeight="1">
      <c r="A1397" s="198" t="s">
        <v>4142</v>
      </c>
      <c r="B1397" s="198" t="s">
        <v>4162</v>
      </c>
      <c r="C1397" s="198" t="s">
        <v>23</v>
      </c>
      <c r="D1397" s="198" t="s">
        <v>25</v>
      </c>
      <c r="E1397" s="4" t="s">
        <v>5000</v>
      </c>
      <c r="F1397" s="4" t="s">
        <v>2657</v>
      </c>
      <c r="G1397" s="198" t="s">
        <v>2272</v>
      </c>
      <c r="H1397" s="198" t="s">
        <v>521</v>
      </c>
      <c r="I1397" s="198"/>
      <c r="J1397" s="198" t="s">
        <v>2272</v>
      </c>
      <c r="K1397" s="198" t="s">
        <v>2272</v>
      </c>
      <c r="L1397" s="198" t="s">
        <v>2272</v>
      </c>
      <c r="M1397" s="198" t="s">
        <v>2272</v>
      </c>
      <c r="N1397" s="198" t="s">
        <v>2272</v>
      </c>
      <c r="O1397" s="198" t="s">
        <v>2272</v>
      </c>
      <c r="P1397" s="198" t="s">
        <v>2272</v>
      </c>
      <c r="Q1397" s="198" t="s">
        <v>2272</v>
      </c>
      <c r="R1397" s="198" t="s">
        <v>2272</v>
      </c>
      <c r="S1397" s="198" t="s">
        <v>2272</v>
      </c>
      <c r="T1397" s="198" t="s">
        <v>2272</v>
      </c>
      <c r="U1397" s="198" t="s">
        <v>2272</v>
      </c>
      <c r="V1397" s="198" t="s">
        <v>2272</v>
      </c>
      <c r="W1397" s="198" t="s">
        <v>2272</v>
      </c>
      <c r="X1397" s="198" t="s">
        <v>2272</v>
      </c>
      <c r="Y1397" s="198" t="s">
        <v>2272</v>
      </c>
      <c r="Z1397" s="198" t="s">
        <v>2272</v>
      </c>
      <c r="AA1397" s="198" t="s">
        <v>84</v>
      </c>
      <c r="AB1397" s="198" t="s">
        <v>67</v>
      </c>
      <c r="AC1397" s="198" t="s">
        <v>63</v>
      </c>
      <c r="AD1397" s="4" t="s">
        <v>4180</v>
      </c>
      <c r="AE1397" s="198"/>
    </row>
    <row r="1398" spans="1:31" ht="40" customHeight="1">
      <c r="A1398" s="198" t="s">
        <v>4142</v>
      </c>
      <c r="B1398" s="198" t="s">
        <v>4163</v>
      </c>
      <c r="C1398" s="198" t="s">
        <v>23</v>
      </c>
      <c r="D1398" s="198" t="s">
        <v>25</v>
      </c>
      <c r="E1398" s="198" t="s">
        <v>44</v>
      </c>
      <c r="F1398" s="4" t="s">
        <v>2657</v>
      </c>
      <c r="G1398" s="198" t="s">
        <v>2272</v>
      </c>
      <c r="H1398" s="198" t="s">
        <v>521</v>
      </c>
      <c r="I1398" s="198"/>
      <c r="J1398" s="198" t="s">
        <v>2272</v>
      </c>
      <c r="K1398" s="198" t="s">
        <v>2272</v>
      </c>
      <c r="L1398" s="198" t="s">
        <v>2272</v>
      </c>
      <c r="M1398" s="198" t="s">
        <v>2272</v>
      </c>
      <c r="N1398" s="198" t="s">
        <v>2272</v>
      </c>
      <c r="O1398" s="198" t="s">
        <v>2272</v>
      </c>
      <c r="P1398" s="198" t="s">
        <v>2272</v>
      </c>
      <c r="Q1398" s="198" t="s">
        <v>2272</v>
      </c>
      <c r="R1398" s="198" t="s">
        <v>2272</v>
      </c>
      <c r="S1398" s="198" t="s">
        <v>2272</v>
      </c>
      <c r="T1398" s="198" t="s">
        <v>2272</v>
      </c>
      <c r="U1398" s="198" t="s">
        <v>2272</v>
      </c>
      <c r="V1398" s="198" t="s">
        <v>2272</v>
      </c>
      <c r="W1398" s="198" t="s">
        <v>2272</v>
      </c>
      <c r="X1398" s="198" t="s">
        <v>2272</v>
      </c>
      <c r="Y1398" s="198" t="s">
        <v>2272</v>
      </c>
      <c r="Z1398" s="198" t="s">
        <v>2272</v>
      </c>
      <c r="AA1398" s="198" t="s">
        <v>84</v>
      </c>
      <c r="AB1398" s="198" t="s">
        <v>67</v>
      </c>
      <c r="AC1398" s="198" t="s">
        <v>63</v>
      </c>
      <c r="AD1398" s="4" t="s">
        <v>4180</v>
      </c>
      <c r="AE1398" s="198"/>
    </row>
    <row r="1399" spans="1:31" ht="51" customHeight="1">
      <c r="A1399" s="198" t="s">
        <v>4142</v>
      </c>
      <c r="B1399" s="198" t="s">
        <v>4164</v>
      </c>
      <c r="C1399" s="198" t="s">
        <v>23</v>
      </c>
      <c r="D1399" s="198" t="s">
        <v>3475</v>
      </c>
      <c r="E1399" s="4" t="s">
        <v>5000</v>
      </c>
      <c r="F1399" s="4" t="s">
        <v>73</v>
      </c>
      <c r="G1399" s="198" t="s">
        <v>2272</v>
      </c>
      <c r="H1399" s="198" t="s">
        <v>521</v>
      </c>
      <c r="I1399" s="198"/>
      <c r="J1399" s="198" t="s">
        <v>2272</v>
      </c>
      <c r="K1399" s="198" t="s">
        <v>2272</v>
      </c>
      <c r="L1399" s="198" t="s">
        <v>2272</v>
      </c>
      <c r="M1399" s="198" t="s">
        <v>2272</v>
      </c>
      <c r="N1399" s="198" t="s">
        <v>2272</v>
      </c>
      <c r="O1399" s="198" t="s">
        <v>2272</v>
      </c>
      <c r="P1399" s="198" t="s">
        <v>2272</v>
      </c>
      <c r="Q1399" s="198" t="s">
        <v>2272</v>
      </c>
      <c r="R1399" s="198" t="s">
        <v>2272</v>
      </c>
      <c r="S1399" s="198" t="s">
        <v>2272</v>
      </c>
      <c r="T1399" s="198" t="s">
        <v>2272</v>
      </c>
      <c r="U1399" s="198" t="s">
        <v>2272</v>
      </c>
      <c r="V1399" s="198" t="s">
        <v>2272</v>
      </c>
      <c r="W1399" s="198" t="s">
        <v>2272</v>
      </c>
      <c r="X1399" s="198" t="s">
        <v>2272</v>
      </c>
      <c r="Y1399" s="198" t="s">
        <v>2272</v>
      </c>
      <c r="Z1399" s="198" t="s">
        <v>2272</v>
      </c>
      <c r="AA1399" s="198" t="s">
        <v>84</v>
      </c>
      <c r="AB1399" s="198" t="s">
        <v>402</v>
      </c>
      <c r="AC1399" s="198" t="s">
        <v>63</v>
      </c>
      <c r="AD1399" s="4" t="s">
        <v>4189</v>
      </c>
      <c r="AE1399" s="198"/>
    </row>
    <row r="1400" spans="1:31" ht="52" customHeight="1">
      <c r="A1400" s="198" t="s">
        <v>4142</v>
      </c>
      <c r="B1400" s="198" t="s">
        <v>4165</v>
      </c>
      <c r="C1400" s="198" t="s">
        <v>23</v>
      </c>
      <c r="D1400" s="198" t="s">
        <v>3475</v>
      </c>
      <c r="E1400" s="198" t="s">
        <v>44</v>
      </c>
      <c r="F1400" s="4" t="s">
        <v>73</v>
      </c>
      <c r="G1400" s="198" t="s">
        <v>2272</v>
      </c>
      <c r="H1400" s="198" t="s">
        <v>521</v>
      </c>
      <c r="I1400" s="198"/>
      <c r="J1400" s="198" t="s">
        <v>2272</v>
      </c>
      <c r="K1400" s="198" t="s">
        <v>2272</v>
      </c>
      <c r="L1400" s="198" t="s">
        <v>2272</v>
      </c>
      <c r="M1400" s="198" t="s">
        <v>2272</v>
      </c>
      <c r="N1400" s="198" t="s">
        <v>2272</v>
      </c>
      <c r="O1400" s="198" t="s">
        <v>2272</v>
      </c>
      <c r="P1400" s="198" t="s">
        <v>2272</v>
      </c>
      <c r="Q1400" s="198" t="s">
        <v>2272</v>
      </c>
      <c r="R1400" s="198" t="s">
        <v>2272</v>
      </c>
      <c r="S1400" s="198" t="s">
        <v>2272</v>
      </c>
      <c r="T1400" s="198" t="s">
        <v>2272</v>
      </c>
      <c r="U1400" s="198" t="s">
        <v>2272</v>
      </c>
      <c r="V1400" s="198" t="s">
        <v>2272</v>
      </c>
      <c r="W1400" s="198" t="s">
        <v>2272</v>
      </c>
      <c r="X1400" s="198" t="s">
        <v>2272</v>
      </c>
      <c r="Y1400" s="198" t="s">
        <v>2272</v>
      </c>
      <c r="Z1400" s="198" t="s">
        <v>2272</v>
      </c>
      <c r="AA1400" s="198" t="s">
        <v>84</v>
      </c>
      <c r="AB1400" s="198" t="s">
        <v>402</v>
      </c>
      <c r="AC1400" s="198" t="s">
        <v>63</v>
      </c>
      <c r="AD1400" s="4" t="s">
        <v>4189</v>
      </c>
      <c r="AE1400" s="198"/>
    </row>
    <row r="1401" spans="1:31" ht="40" customHeight="1">
      <c r="A1401" s="198" t="s">
        <v>4142</v>
      </c>
      <c r="B1401" s="198" t="s">
        <v>4166</v>
      </c>
      <c r="C1401" s="198" t="s">
        <v>23</v>
      </c>
      <c r="D1401" s="198" t="s">
        <v>4157</v>
      </c>
      <c r="E1401" s="4" t="s">
        <v>5000</v>
      </c>
      <c r="F1401" s="4" t="s">
        <v>73</v>
      </c>
      <c r="G1401" s="198" t="s">
        <v>2272</v>
      </c>
      <c r="H1401" s="198" t="s">
        <v>521</v>
      </c>
      <c r="I1401" s="198"/>
      <c r="J1401" s="198" t="s">
        <v>2272</v>
      </c>
      <c r="K1401" s="198" t="s">
        <v>2272</v>
      </c>
      <c r="L1401" s="198" t="s">
        <v>2272</v>
      </c>
      <c r="M1401" s="198" t="s">
        <v>2272</v>
      </c>
      <c r="N1401" s="198" t="s">
        <v>2272</v>
      </c>
      <c r="O1401" s="198" t="s">
        <v>2272</v>
      </c>
      <c r="P1401" s="198" t="s">
        <v>2272</v>
      </c>
      <c r="Q1401" s="198" t="s">
        <v>2272</v>
      </c>
      <c r="R1401" s="198" t="s">
        <v>2272</v>
      </c>
      <c r="S1401" s="198" t="s">
        <v>2272</v>
      </c>
      <c r="T1401" s="198" t="s">
        <v>2272</v>
      </c>
      <c r="U1401" s="198" t="s">
        <v>2272</v>
      </c>
      <c r="V1401" s="198" t="s">
        <v>2272</v>
      </c>
      <c r="W1401" s="198" t="s">
        <v>2272</v>
      </c>
      <c r="X1401" s="198" t="s">
        <v>2272</v>
      </c>
      <c r="Y1401" s="198" t="s">
        <v>2272</v>
      </c>
      <c r="Z1401" s="198" t="s">
        <v>2272</v>
      </c>
      <c r="AA1401" s="198" t="s">
        <v>423</v>
      </c>
      <c r="AB1401" s="198" t="s">
        <v>67</v>
      </c>
      <c r="AC1401" s="198" t="s">
        <v>63</v>
      </c>
      <c r="AD1401" s="4" t="s">
        <v>4190</v>
      </c>
      <c r="AE1401" s="198"/>
    </row>
    <row r="1402" spans="1:31" ht="40" customHeight="1">
      <c r="A1402" s="198" t="s">
        <v>4142</v>
      </c>
      <c r="B1402" s="198" t="s">
        <v>4167</v>
      </c>
      <c r="C1402" s="198" t="s">
        <v>23</v>
      </c>
      <c r="D1402" s="198" t="s">
        <v>4157</v>
      </c>
      <c r="E1402" s="198" t="s">
        <v>44</v>
      </c>
      <c r="F1402" s="4" t="s">
        <v>73</v>
      </c>
      <c r="G1402" s="198" t="s">
        <v>2272</v>
      </c>
      <c r="H1402" s="198" t="s">
        <v>521</v>
      </c>
      <c r="I1402" s="198"/>
      <c r="J1402" s="198" t="s">
        <v>2272</v>
      </c>
      <c r="K1402" s="198" t="s">
        <v>2272</v>
      </c>
      <c r="L1402" s="198" t="s">
        <v>2272</v>
      </c>
      <c r="M1402" s="198" t="s">
        <v>2272</v>
      </c>
      <c r="N1402" s="198" t="s">
        <v>2272</v>
      </c>
      <c r="O1402" s="198" t="s">
        <v>2272</v>
      </c>
      <c r="P1402" s="198" t="s">
        <v>2272</v>
      </c>
      <c r="Q1402" s="198" t="s">
        <v>2272</v>
      </c>
      <c r="R1402" s="198" t="s">
        <v>2272</v>
      </c>
      <c r="S1402" s="198" t="s">
        <v>2272</v>
      </c>
      <c r="T1402" s="198" t="s">
        <v>2272</v>
      </c>
      <c r="U1402" s="198" t="s">
        <v>2272</v>
      </c>
      <c r="V1402" s="198" t="s">
        <v>2272</v>
      </c>
      <c r="W1402" s="198" t="s">
        <v>2272</v>
      </c>
      <c r="X1402" s="198" t="s">
        <v>2272</v>
      </c>
      <c r="Y1402" s="198" t="s">
        <v>2272</v>
      </c>
      <c r="Z1402" s="198" t="s">
        <v>2272</v>
      </c>
      <c r="AA1402" s="198" t="s">
        <v>423</v>
      </c>
      <c r="AB1402" s="198" t="s">
        <v>67</v>
      </c>
      <c r="AC1402" s="198" t="s">
        <v>63</v>
      </c>
      <c r="AD1402" s="4" t="s">
        <v>4190</v>
      </c>
      <c r="AE1402" s="198"/>
    </row>
    <row r="1403" spans="1:31" ht="40" customHeight="1">
      <c r="A1403" s="198" t="s">
        <v>4142</v>
      </c>
      <c r="B1403" s="198" t="s">
        <v>4168</v>
      </c>
      <c r="C1403" s="198" t="s">
        <v>23</v>
      </c>
      <c r="D1403" s="198" t="s">
        <v>2337</v>
      </c>
      <c r="E1403" s="4" t="s">
        <v>5000</v>
      </c>
      <c r="F1403" s="4" t="s">
        <v>2657</v>
      </c>
      <c r="G1403" s="198" t="s">
        <v>2272</v>
      </c>
      <c r="H1403" s="198" t="s">
        <v>521</v>
      </c>
      <c r="I1403" s="198"/>
      <c r="J1403" s="198" t="s">
        <v>2272</v>
      </c>
      <c r="K1403" s="198" t="s">
        <v>2272</v>
      </c>
      <c r="L1403" s="198" t="s">
        <v>2272</v>
      </c>
      <c r="M1403" s="198" t="s">
        <v>2272</v>
      </c>
      <c r="N1403" s="198" t="s">
        <v>2272</v>
      </c>
      <c r="O1403" s="198" t="s">
        <v>2272</v>
      </c>
      <c r="P1403" s="198" t="s">
        <v>2272</v>
      </c>
      <c r="Q1403" s="198" t="s">
        <v>2272</v>
      </c>
      <c r="R1403" s="198" t="s">
        <v>2272</v>
      </c>
      <c r="S1403" s="198" t="s">
        <v>2272</v>
      </c>
      <c r="T1403" s="198" t="s">
        <v>2272</v>
      </c>
      <c r="U1403" s="198" t="s">
        <v>2272</v>
      </c>
      <c r="V1403" s="198" t="s">
        <v>2272</v>
      </c>
      <c r="W1403" s="198" t="s">
        <v>2272</v>
      </c>
      <c r="X1403" s="198" t="s">
        <v>2272</v>
      </c>
      <c r="Y1403" s="198" t="s">
        <v>2272</v>
      </c>
      <c r="Z1403" s="198" t="s">
        <v>2272</v>
      </c>
      <c r="AA1403" s="198" t="s">
        <v>84</v>
      </c>
      <c r="AB1403" s="198" t="s">
        <v>67</v>
      </c>
      <c r="AC1403" s="198" t="s">
        <v>63</v>
      </c>
      <c r="AD1403" s="4" t="s">
        <v>4182</v>
      </c>
      <c r="AE1403" s="198"/>
    </row>
    <row r="1404" spans="1:31" ht="40" customHeight="1">
      <c r="A1404" s="198" t="s">
        <v>4142</v>
      </c>
      <c r="B1404" s="198" t="s">
        <v>4169</v>
      </c>
      <c r="C1404" s="198" t="s">
        <v>23</v>
      </c>
      <c r="D1404" s="198" t="s">
        <v>2337</v>
      </c>
      <c r="E1404" s="198" t="s">
        <v>44</v>
      </c>
      <c r="F1404" s="4" t="s">
        <v>2657</v>
      </c>
      <c r="G1404" s="198" t="s">
        <v>2272</v>
      </c>
      <c r="H1404" s="198" t="s">
        <v>521</v>
      </c>
      <c r="I1404" s="198"/>
      <c r="J1404" s="198" t="s">
        <v>2272</v>
      </c>
      <c r="K1404" s="198" t="s">
        <v>2272</v>
      </c>
      <c r="L1404" s="198" t="s">
        <v>2272</v>
      </c>
      <c r="M1404" s="198" t="s">
        <v>2272</v>
      </c>
      <c r="N1404" s="198" t="s">
        <v>2272</v>
      </c>
      <c r="O1404" s="198" t="s">
        <v>2272</v>
      </c>
      <c r="P1404" s="198" t="s">
        <v>2272</v>
      </c>
      <c r="Q1404" s="198" t="s">
        <v>2272</v>
      </c>
      <c r="R1404" s="198" t="s">
        <v>2272</v>
      </c>
      <c r="S1404" s="198" t="s">
        <v>2272</v>
      </c>
      <c r="T1404" s="198" t="s">
        <v>2272</v>
      </c>
      <c r="U1404" s="198" t="s">
        <v>2272</v>
      </c>
      <c r="V1404" s="198" t="s">
        <v>2272</v>
      </c>
      <c r="W1404" s="198" t="s">
        <v>2272</v>
      </c>
      <c r="X1404" s="198" t="s">
        <v>2272</v>
      </c>
      <c r="Y1404" s="198" t="s">
        <v>2272</v>
      </c>
      <c r="Z1404" s="198" t="s">
        <v>2272</v>
      </c>
      <c r="AA1404" s="198" t="s">
        <v>84</v>
      </c>
      <c r="AB1404" s="198" t="s">
        <v>67</v>
      </c>
      <c r="AC1404" s="198" t="s">
        <v>63</v>
      </c>
      <c r="AD1404" s="4" t="s">
        <v>4182</v>
      </c>
      <c r="AE1404" s="198"/>
    </row>
    <row r="1405" spans="1:31" ht="46.5" customHeight="1">
      <c r="A1405" s="198" t="s">
        <v>4142</v>
      </c>
      <c r="B1405" s="198" t="s">
        <v>4176</v>
      </c>
      <c r="C1405" s="198" t="s">
        <v>2453</v>
      </c>
      <c r="D1405" s="198" t="s">
        <v>2989</v>
      </c>
      <c r="E1405" s="198" t="s">
        <v>5000</v>
      </c>
      <c r="F1405" s="4" t="s">
        <v>2272</v>
      </c>
      <c r="G1405" s="198" t="s">
        <v>2272</v>
      </c>
      <c r="H1405" s="198" t="s">
        <v>521</v>
      </c>
      <c r="I1405" s="198"/>
      <c r="J1405" s="198" t="s">
        <v>2272</v>
      </c>
      <c r="K1405" s="198" t="s">
        <v>2272</v>
      </c>
      <c r="L1405" s="198" t="s">
        <v>2272</v>
      </c>
      <c r="M1405" s="198" t="s">
        <v>2272</v>
      </c>
      <c r="N1405" s="198" t="s">
        <v>2272</v>
      </c>
      <c r="O1405" s="198" t="s">
        <v>2272</v>
      </c>
      <c r="P1405" s="198" t="s">
        <v>2272</v>
      </c>
      <c r="Q1405" s="198" t="s">
        <v>2272</v>
      </c>
      <c r="R1405" s="198" t="s">
        <v>2272</v>
      </c>
      <c r="S1405" s="198" t="s">
        <v>2272</v>
      </c>
      <c r="T1405" s="198" t="s">
        <v>2272</v>
      </c>
      <c r="U1405" s="198" t="s">
        <v>2272</v>
      </c>
      <c r="V1405" s="198" t="s">
        <v>2272</v>
      </c>
      <c r="W1405" s="198" t="s">
        <v>2272</v>
      </c>
      <c r="X1405" s="198" t="s">
        <v>2272</v>
      </c>
      <c r="Y1405" s="198" t="s">
        <v>2272</v>
      </c>
      <c r="Z1405" s="198" t="s">
        <v>2272</v>
      </c>
      <c r="AA1405" s="198" t="s">
        <v>397</v>
      </c>
      <c r="AB1405" s="198" t="s">
        <v>125</v>
      </c>
      <c r="AC1405" s="198" t="s">
        <v>2308</v>
      </c>
      <c r="AD1405" s="4" t="s">
        <v>4181</v>
      </c>
      <c r="AE1405" s="198"/>
    </row>
    <row r="1406" spans="1:31" ht="41" customHeight="1">
      <c r="A1406" s="198" t="s">
        <v>4142</v>
      </c>
      <c r="B1406" s="198" t="s">
        <v>4177</v>
      </c>
      <c r="C1406" s="198" t="s">
        <v>2453</v>
      </c>
      <c r="D1406" s="198" t="s">
        <v>2989</v>
      </c>
      <c r="E1406" s="198" t="s">
        <v>44</v>
      </c>
      <c r="F1406" s="4" t="s">
        <v>2272</v>
      </c>
      <c r="G1406" s="198" t="s">
        <v>2272</v>
      </c>
      <c r="H1406" s="198" t="s">
        <v>521</v>
      </c>
      <c r="I1406" s="198"/>
      <c r="J1406" s="198" t="s">
        <v>2272</v>
      </c>
      <c r="K1406" s="198" t="s">
        <v>2272</v>
      </c>
      <c r="L1406" s="198" t="s">
        <v>2272</v>
      </c>
      <c r="M1406" s="198" t="s">
        <v>2272</v>
      </c>
      <c r="N1406" s="198" t="s">
        <v>2272</v>
      </c>
      <c r="O1406" s="198" t="s">
        <v>2272</v>
      </c>
      <c r="P1406" s="198" t="s">
        <v>2272</v>
      </c>
      <c r="Q1406" s="198" t="s">
        <v>2272</v>
      </c>
      <c r="R1406" s="198" t="s">
        <v>2272</v>
      </c>
      <c r="S1406" s="198" t="s">
        <v>2272</v>
      </c>
      <c r="T1406" s="198" t="s">
        <v>2272</v>
      </c>
      <c r="U1406" s="198" t="s">
        <v>2272</v>
      </c>
      <c r="V1406" s="198" t="s">
        <v>2272</v>
      </c>
      <c r="W1406" s="198" t="s">
        <v>2272</v>
      </c>
      <c r="X1406" s="198" t="s">
        <v>2272</v>
      </c>
      <c r="Y1406" s="198" t="s">
        <v>2272</v>
      </c>
      <c r="Z1406" s="198" t="s">
        <v>2272</v>
      </c>
      <c r="AA1406" s="198" t="s">
        <v>397</v>
      </c>
      <c r="AB1406" s="198" t="s">
        <v>125</v>
      </c>
      <c r="AC1406" s="198" t="s">
        <v>2308</v>
      </c>
      <c r="AD1406" s="4" t="s">
        <v>4181</v>
      </c>
      <c r="AE1406" s="198"/>
    </row>
    <row r="1407" spans="1:31" ht="42" customHeight="1">
      <c r="A1407" s="198" t="s">
        <v>4192</v>
      </c>
      <c r="B1407" s="198" t="s">
        <v>4195</v>
      </c>
      <c r="C1407" s="198" t="s">
        <v>23</v>
      </c>
      <c r="D1407" s="198" t="s">
        <v>24</v>
      </c>
      <c r="E1407" s="198" t="s">
        <v>82</v>
      </c>
      <c r="F1407" s="4" t="s">
        <v>54</v>
      </c>
      <c r="G1407" s="198" t="s">
        <v>2272</v>
      </c>
      <c r="H1407" s="198" t="s">
        <v>522</v>
      </c>
      <c r="I1407" s="198"/>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21">
        <v>0</v>
      </c>
      <c r="Z1407" s="198" t="s">
        <v>2272</v>
      </c>
      <c r="AA1407" s="198" t="s">
        <v>2272</v>
      </c>
      <c r="AB1407" s="198" t="s">
        <v>2272</v>
      </c>
      <c r="AC1407" s="198" t="s">
        <v>2272</v>
      </c>
      <c r="AD1407" s="4" t="s">
        <v>4197</v>
      </c>
      <c r="AE1407" s="198"/>
    </row>
    <row r="1408" spans="1:31" ht="43.5" customHeight="1">
      <c r="A1408" s="198" t="s">
        <v>4192</v>
      </c>
      <c r="B1408" s="198" t="s">
        <v>4196</v>
      </c>
      <c r="C1408" s="198" t="s">
        <v>23</v>
      </c>
      <c r="D1408" s="198" t="s">
        <v>24</v>
      </c>
      <c r="E1408" s="198" t="s">
        <v>44</v>
      </c>
      <c r="F1408" s="4" t="s">
        <v>54</v>
      </c>
      <c r="G1408" s="198" t="s">
        <v>54</v>
      </c>
      <c r="H1408" s="198" t="s">
        <v>521</v>
      </c>
      <c r="I1408" s="198"/>
      <c r="J1408" s="198" t="s">
        <v>2272</v>
      </c>
      <c r="K1408" s="198" t="s">
        <v>2272</v>
      </c>
      <c r="L1408" s="198" t="s">
        <v>2272</v>
      </c>
      <c r="M1408" s="198" t="s">
        <v>2272</v>
      </c>
      <c r="N1408" s="198" t="s">
        <v>2272</v>
      </c>
      <c r="O1408" s="198" t="s">
        <v>2272</v>
      </c>
      <c r="P1408" s="198" t="s">
        <v>2272</v>
      </c>
      <c r="Q1408" s="198" t="s">
        <v>2272</v>
      </c>
      <c r="R1408" s="198" t="s">
        <v>2272</v>
      </c>
      <c r="S1408" s="198" t="s">
        <v>2272</v>
      </c>
      <c r="T1408" s="198" t="s">
        <v>2272</v>
      </c>
      <c r="U1408" s="198" t="s">
        <v>2272</v>
      </c>
      <c r="V1408" s="198" t="s">
        <v>2272</v>
      </c>
      <c r="W1408" s="198" t="s">
        <v>2272</v>
      </c>
      <c r="X1408" s="198" t="s">
        <v>2272</v>
      </c>
      <c r="Y1408" s="198" t="s">
        <v>2272</v>
      </c>
      <c r="Z1408" s="198" t="s">
        <v>2272</v>
      </c>
      <c r="AA1408" s="198" t="s">
        <v>2272</v>
      </c>
      <c r="AB1408" s="198" t="s">
        <v>2272</v>
      </c>
      <c r="AC1408" s="198" t="s">
        <v>2272</v>
      </c>
      <c r="AD1408" s="4" t="s">
        <v>4198</v>
      </c>
      <c r="AE1408" s="198"/>
    </row>
    <row r="1409" spans="1:31" ht="35.5" customHeight="1">
      <c r="A1409" s="198" t="s">
        <v>4192</v>
      </c>
      <c r="B1409" s="198" t="s">
        <v>4199</v>
      </c>
      <c r="C1409" s="198" t="s">
        <v>1102</v>
      </c>
      <c r="D1409" s="198" t="s">
        <v>2272</v>
      </c>
      <c r="E1409" s="198" t="s">
        <v>44</v>
      </c>
      <c r="F1409" s="4" t="s">
        <v>2272</v>
      </c>
      <c r="G1409" s="198" t="s">
        <v>54</v>
      </c>
      <c r="H1409" s="198" t="s">
        <v>521</v>
      </c>
      <c r="I1409" s="198">
        <v>2002</v>
      </c>
      <c r="J1409" s="198" t="s">
        <v>2272</v>
      </c>
      <c r="K1409" s="198" t="s">
        <v>2272</v>
      </c>
      <c r="L1409" s="198" t="s">
        <v>2272</v>
      </c>
      <c r="M1409" s="198" t="s">
        <v>2272</v>
      </c>
      <c r="N1409" s="198" t="s">
        <v>2272</v>
      </c>
      <c r="O1409" s="198" t="s">
        <v>2272</v>
      </c>
      <c r="P1409" s="198" t="s">
        <v>2272</v>
      </c>
      <c r="Q1409" s="198" t="s">
        <v>2272</v>
      </c>
      <c r="R1409" s="198" t="s">
        <v>2272</v>
      </c>
      <c r="S1409" s="198" t="s">
        <v>2272</v>
      </c>
      <c r="T1409" s="198" t="s">
        <v>2272</v>
      </c>
      <c r="U1409" s="198" t="s">
        <v>2272</v>
      </c>
      <c r="V1409" s="198" t="s">
        <v>2272</v>
      </c>
      <c r="W1409" s="21">
        <f>100*(6626+6432)/(191976*'Land use'!$O$698/100)</f>
        <v>11.081067890384245</v>
      </c>
      <c r="X1409" s="198" t="s">
        <v>2272</v>
      </c>
      <c r="Y1409" s="21">
        <f>100*(6626+6432)/191976</f>
        <v>6.8018919031545613</v>
      </c>
      <c r="Z1409" s="198" t="s">
        <v>2272</v>
      </c>
      <c r="AA1409" s="198" t="s">
        <v>2272</v>
      </c>
      <c r="AB1409" s="198" t="s">
        <v>2272</v>
      </c>
      <c r="AC1409" s="198" t="s">
        <v>2272</v>
      </c>
      <c r="AD1409" s="198"/>
      <c r="AE1409" s="198"/>
    </row>
    <row r="1410" spans="1:31" ht="35.5" customHeight="1">
      <c r="A1410" s="198" t="s">
        <v>4192</v>
      </c>
      <c r="B1410" s="198" t="s">
        <v>4200</v>
      </c>
      <c r="C1410" s="198" t="s">
        <v>1102</v>
      </c>
      <c r="D1410" s="198" t="s">
        <v>2272</v>
      </c>
      <c r="E1410" s="198" t="s">
        <v>44</v>
      </c>
      <c r="F1410" s="4" t="s">
        <v>2272</v>
      </c>
      <c r="G1410" s="198" t="s">
        <v>54</v>
      </c>
      <c r="H1410" s="198" t="s">
        <v>521</v>
      </c>
      <c r="I1410" s="198">
        <v>2005</v>
      </c>
      <c r="J1410" s="198" t="s">
        <v>2272</v>
      </c>
      <c r="K1410" s="198" t="s">
        <v>2272</v>
      </c>
      <c r="L1410" s="198" t="s">
        <v>2272</v>
      </c>
      <c r="M1410" s="198" t="s">
        <v>2272</v>
      </c>
      <c r="N1410" s="198" t="s">
        <v>2272</v>
      </c>
      <c r="O1410" s="198" t="s">
        <v>2272</v>
      </c>
      <c r="P1410" s="198" t="s">
        <v>2272</v>
      </c>
      <c r="Q1410" s="198" t="s">
        <v>2272</v>
      </c>
      <c r="R1410" s="198" t="s">
        <v>2272</v>
      </c>
      <c r="S1410" s="198" t="s">
        <v>2272</v>
      </c>
      <c r="T1410" s="198" t="s">
        <v>2272</v>
      </c>
      <c r="U1410" s="198" t="s">
        <v>2272</v>
      </c>
      <c r="V1410" s="198" t="s">
        <v>2272</v>
      </c>
      <c r="W1410" s="21">
        <f>100 * (4283+1392+6432) / (191976*'Land use'!$O$698/100)</f>
        <v>10.27404571518472</v>
      </c>
      <c r="X1410" s="198" t="s">
        <v>2272</v>
      </c>
      <c r="Y1410" s="21">
        <f>100 * (4283+1392+6432) / 191976</f>
        <v>6.3065174813518352</v>
      </c>
      <c r="Z1410" s="198" t="s">
        <v>2272</v>
      </c>
      <c r="AA1410" s="198" t="s">
        <v>2272</v>
      </c>
      <c r="AB1410" s="198" t="s">
        <v>2272</v>
      </c>
      <c r="AC1410" s="198" t="s">
        <v>2272</v>
      </c>
      <c r="AD1410" s="198"/>
      <c r="AE1410" s="198"/>
    </row>
    <row r="1411" spans="1:31" ht="92.5" customHeight="1">
      <c r="A1411" s="198" t="s">
        <v>4205</v>
      </c>
      <c r="B1411" s="198" t="s">
        <v>4209</v>
      </c>
      <c r="C1411" s="198" t="s">
        <v>23</v>
      </c>
      <c r="D1411" s="198" t="s">
        <v>2799</v>
      </c>
      <c r="E1411" s="198" t="s">
        <v>44</v>
      </c>
      <c r="F1411" s="4" t="s">
        <v>2657</v>
      </c>
      <c r="G1411" s="198" t="s">
        <v>2272</v>
      </c>
      <c r="H1411" s="198" t="s">
        <v>521</v>
      </c>
      <c r="I1411" s="198"/>
      <c r="J1411" s="198" t="s">
        <v>2272</v>
      </c>
      <c r="K1411" s="198" t="s">
        <v>2272</v>
      </c>
      <c r="L1411" s="198" t="s">
        <v>2272</v>
      </c>
      <c r="M1411" s="198" t="s">
        <v>2272</v>
      </c>
      <c r="N1411" s="198" t="s">
        <v>2272</v>
      </c>
      <c r="O1411" s="198" t="s">
        <v>2272</v>
      </c>
      <c r="P1411" s="198" t="s">
        <v>2272</v>
      </c>
      <c r="Q1411" s="198" t="s">
        <v>2272</v>
      </c>
      <c r="R1411" s="198" t="s">
        <v>2272</v>
      </c>
      <c r="S1411" s="198" t="s">
        <v>2272</v>
      </c>
      <c r="T1411" s="198" t="s">
        <v>2272</v>
      </c>
      <c r="U1411" s="198" t="s">
        <v>2272</v>
      </c>
      <c r="V1411" s="198" t="s">
        <v>2272</v>
      </c>
      <c r="W1411" s="198" t="s">
        <v>2272</v>
      </c>
      <c r="X1411" s="198" t="s">
        <v>2272</v>
      </c>
      <c r="Y1411" s="198" t="s">
        <v>2272</v>
      </c>
      <c r="Z1411" s="198" t="s">
        <v>2272</v>
      </c>
      <c r="AA1411" s="198" t="s">
        <v>2272</v>
      </c>
      <c r="AB1411" s="198" t="s">
        <v>2272</v>
      </c>
      <c r="AC1411" s="198" t="s">
        <v>2272</v>
      </c>
      <c r="AD1411" s="4" t="s">
        <v>4210</v>
      </c>
      <c r="AE1411" s="198"/>
    </row>
    <row r="1412" spans="1:31" ht="41" customHeight="1">
      <c r="A1412" s="198" t="s">
        <v>4215</v>
      </c>
      <c r="B1412" s="198" t="s">
        <v>4219</v>
      </c>
      <c r="C1412" s="198" t="s">
        <v>23</v>
      </c>
      <c r="D1412" s="198" t="s">
        <v>1238</v>
      </c>
      <c r="E1412" s="198" t="s">
        <v>135</v>
      </c>
      <c r="F1412" s="4" t="s">
        <v>2657</v>
      </c>
      <c r="G1412" s="198" t="s">
        <v>2272</v>
      </c>
      <c r="H1412" s="198" t="s">
        <v>521</v>
      </c>
      <c r="I1412" s="198"/>
      <c r="J1412" s="198" t="s">
        <v>2272</v>
      </c>
      <c r="K1412" s="198" t="s">
        <v>2272</v>
      </c>
      <c r="L1412" s="198" t="s">
        <v>2272</v>
      </c>
      <c r="M1412" s="198" t="s">
        <v>2272</v>
      </c>
      <c r="N1412" s="198" t="s">
        <v>2272</v>
      </c>
      <c r="O1412" s="198" t="s">
        <v>2272</v>
      </c>
      <c r="P1412" s="198" t="s">
        <v>2272</v>
      </c>
      <c r="Q1412" s="198" t="s">
        <v>2272</v>
      </c>
      <c r="R1412" s="198" t="s">
        <v>2272</v>
      </c>
      <c r="S1412" s="198" t="s">
        <v>2272</v>
      </c>
      <c r="T1412" s="198" t="s">
        <v>2272</v>
      </c>
      <c r="U1412" s="198" t="s">
        <v>2272</v>
      </c>
      <c r="V1412" s="198" t="s">
        <v>2272</v>
      </c>
      <c r="W1412" s="198" t="s">
        <v>2272</v>
      </c>
      <c r="X1412" s="198" t="s">
        <v>2272</v>
      </c>
      <c r="Y1412" s="198" t="s">
        <v>2272</v>
      </c>
      <c r="Z1412" s="198" t="s">
        <v>2272</v>
      </c>
      <c r="AA1412" s="198" t="s">
        <v>84</v>
      </c>
      <c r="AB1412" s="198" t="s">
        <v>402</v>
      </c>
      <c r="AC1412" s="198" t="s">
        <v>2650</v>
      </c>
      <c r="AD1412" s="4" t="s">
        <v>4222</v>
      </c>
      <c r="AE1412" s="198"/>
    </row>
    <row r="1413" spans="1:31" ht="42" customHeight="1">
      <c r="A1413" s="198" t="s">
        <v>4215</v>
      </c>
      <c r="B1413" s="198" t="s">
        <v>4220</v>
      </c>
      <c r="C1413" s="198" t="s">
        <v>23</v>
      </c>
      <c r="D1413" s="198" t="s">
        <v>1241</v>
      </c>
      <c r="E1413" s="198" t="s">
        <v>2647</v>
      </c>
      <c r="F1413" s="4" t="s">
        <v>2657</v>
      </c>
      <c r="G1413" s="198" t="s">
        <v>2272</v>
      </c>
      <c r="H1413" s="198" t="s">
        <v>521</v>
      </c>
      <c r="I1413" s="198"/>
      <c r="J1413" s="198" t="s">
        <v>2272</v>
      </c>
      <c r="K1413" s="198" t="s">
        <v>2272</v>
      </c>
      <c r="L1413" s="198" t="s">
        <v>2272</v>
      </c>
      <c r="M1413" s="198" t="s">
        <v>2272</v>
      </c>
      <c r="N1413" s="198" t="s">
        <v>2272</v>
      </c>
      <c r="O1413" s="198" t="s">
        <v>2272</v>
      </c>
      <c r="P1413" s="198" t="s">
        <v>2272</v>
      </c>
      <c r="Q1413" s="198" t="s">
        <v>2272</v>
      </c>
      <c r="R1413" s="198" t="s">
        <v>2272</v>
      </c>
      <c r="S1413" s="198" t="s">
        <v>2272</v>
      </c>
      <c r="T1413" s="198" t="s">
        <v>2272</v>
      </c>
      <c r="U1413" s="198" t="s">
        <v>2272</v>
      </c>
      <c r="V1413" s="198" t="s">
        <v>2272</v>
      </c>
      <c r="W1413" s="198" t="s">
        <v>2272</v>
      </c>
      <c r="X1413" s="198" t="s">
        <v>2272</v>
      </c>
      <c r="Y1413" s="198" t="s">
        <v>2272</v>
      </c>
      <c r="Z1413" s="198" t="s">
        <v>2272</v>
      </c>
      <c r="AA1413" s="198" t="s">
        <v>84</v>
      </c>
      <c r="AB1413" s="198" t="s">
        <v>402</v>
      </c>
      <c r="AC1413" s="198" t="s">
        <v>2650</v>
      </c>
      <c r="AD1413" s="4" t="s">
        <v>4221</v>
      </c>
      <c r="AE1413" s="198"/>
    </row>
    <row r="1414" spans="1:31" ht="44.5" customHeight="1">
      <c r="A1414" s="198" t="s">
        <v>4215</v>
      </c>
      <c r="B1414" s="198" t="s">
        <v>4223</v>
      </c>
      <c r="C1414" s="198" t="s">
        <v>2453</v>
      </c>
      <c r="D1414" s="198" t="s">
        <v>1241</v>
      </c>
      <c r="E1414" s="198" t="s">
        <v>114</v>
      </c>
      <c r="F1414" s="4" t="s">
        <v>73</v>
      </c>
      <c r="G1414" s="198" t="s">
        <v>2272</v>
      </c>
      <c r="H1414" s="198" t="s">
        <v>521</v>
      </c>
      <c r="I1414" s="198"/>
      <c r="J1414" s="198" t="s">
        <v>2272</v>
      </c>
      <c r="K1414" s="198" t="s">
        <v>2272</v>
      </c>
      <c r="L1414" s="198" t="s">
        <v>2272</v>
      </c>
      <c r="M1414" s="198" t="s">
        <v>2272</v>
      </c>
      <c r="N1414" s="198" t="s">
        <v>2272</v>
      </c>
      <c r="O1414" s="198" t="s">
        <v>2272</v>
      </c>
      <c r="P1414" s="198" t="s">
        <v>2272</v>
      </c>
      <c r="Q1414" s="198" t="s">
        <v>2272</v>
      </c>
      <c r="R1414" s="198" t="s">
        <v>2272</v>
      </c>
      <c r="S1414" s="198" t="s">
        <v>2272</v>
      </c>
      <c r="T1414" s="198" t="s">
        <v>2272</v>
      </c>
      <c r="U1414" s="198" t="s">
        <v>2272</v>
      </c>
      <c r="V1414" s="198" t="s">
        <v>2272</v>
      </c>
      <c r="W1414" s="198" t="s">
        <v>2272</v>
      </c>
      <c r="X1414" s="198" t="s">
        <v>2272</v>
      </c>
      <c r="Y1414" s="198" t="s">
        <v>2272</v>
      </c>
      <c r="Z1414" s="198" t="s">
        <v>2272</v>
      </c>
      <c r="AA1414" s="198" t="s">
        <v>403</v>
      </c>
      <c r="AB1414" s="198" t="s">
        <v>67</v>
      </c>
      <c r="AC1414" s="198" t="s">
        <v>75</v>
      </c>
      <c r="AD1414" s="4" t="s">
        <v>4225</v>
      </c>
      <c r="AE1414" s="198"/>
    </row>
    <row r="1415" spans="1:31" ht="45.5" customHeight="1">
      <c r="A1415" s="198" t="s">
        <v>4215</v>
      </c>
      <c r="B1415" s="198" t="s">
        <v>4224</v>
      </c>
      <c r="C1415" s="198" t="s">
        <v>2453</v>
      </c>
      <c r="D1415" s="198" t="s">
        <v>2272</v>
      </c>
      <c r="E1415" s="198" t="s">
        <v>2272</v>
      </c>
      <c r="F1415" s="4" t="s">
        <v>2657</v>
      </c>
      <c r="G1415" s="198" t="s">
        <v>2272</v>
      </c>
      <c r="H1415" s="198" t="s">
        <v>521</v>
      </c>
      <c r="I1415" s="198"/>
      <c r="J1415" s="198" t="s">
        <v>2272</v>
      </c>
      <c r="K1415" s="198" t="s">
        <v>2272</v>
      </c>
      <c r="L1415" s="198" t="s">
        <v>2272</v>
      </c>
      <c r="M1415" s="198" t="s">
        <v>2272</v>
      </c>
      <c r="N1415" s="198" t="s">
        <v>2272</v>
      </c>
      <c r="O1415" s="198" t="s">
        <v>2272</v>
      </c>
      <c r="P1415" s="198" t="s">
        <v>2272</v>
      </c>
      <c r="Q1415" s="198" t="s">
        <v>2272</v>
      </c>
      <c r="R1415" s="198" t="s">
        <v>2272</v>
      </c>
      <c r="S1415" s="198" t="s">
        <v>2272</v>
      </c>
      <c r="T1415" s="198" t="s">
        <v>2272</v>
      </c>
      <c r="U1415" s="198" t="s">
        <v>2272</v>
      </c>
      <c r="V1415" s="198" t="s">
        <v>2272</v>
      </c>
      <c r="W1415" s="198" t="s">
        <v>2272</v>
      </c>
      <c r="X1415" s="198" t="s">
        <v>2272</v>
      </c>
      <c r="Y1415" s="198" t="s">
        <v>2272</v>
      </c>
      <c r="Z1415" s="198" t="s">
        <v>2272</v>
      </c>
      <c r="AA1415" s="198" t="s">
        <v>403</v>
      </c>
      <c r="AB1415" s="198" t="s">
        <v>67</v>
      </c>
      <c r="AC1415" s="198" t="s">
        <v>75</v>
      </c>
      <c r="AD1415" s="4" t="s">
        <v>4226</v>
      </c>
      <c r="AE1415" s="198"/>
    </row>
    <row r="1416" spans="1:31" ht="69.5" customHeight="1">
      <c r="A1416" s="198" t="s">
        <v>4216</v>
      </c>
      <c r="B1416" s="198" t="s">
        <v>4227</v>
      </c>
      <c r="C1416" s="198" t="s">
        <v>23</v>
      </c>
      <c r="D1416" s="198" t="s">
        <v>1238</v>
      </c>
      <c r="E1416" s="4" t="s">
        <v>3849</v>
      </c>
      <c r="F1416" s="4" t="s">
        <v>2657</v>
      </c>
      <c r="G1416" s="198" t="s">
        <v>2272</v>
      </c>
      <c r="H1416" s="198" t="s">
        <v>521</v>
      </c>
      <c r="I1416" s="198"/>
      <c r="J1416" s="198" t="s">
        <v>2272</v>
      </c>
      <c r="K1416" s="198" t="s">
        <v>2272</v>
      </c>
      <c r="L1416" s="198" t="s">
        <v>2272</v>
      </c>
      <c r="M1416" s="198" t="s">
        <v>2272</v>
      </c>
      <c r="N1416" s="198" t="s">
        <v>2272</v>
      </c>
      <c r="O1416" s="198" t="s">
        <v>2272</v>
      </c>
      <c r="P1416" s="198" t="s">
        <v>2272</v>
      </c>
      <c r="Q1416" s="198" t="s">
        <v>2272</v>
      </c>
      <c r="R1416" s="198" t="s">
        <v>2272</v>
      </c>
      <c r="S1416" s="198" t="s">
        <v>2272</v>
      </c>
      <c r="T1416" s="198" t="s">
        <v>2272</v>
      </c>
      <c r="U1416" s="198" t="s">
        <v>2272</v>
      </c>
      <c r="V1416" s="198" t="s">
        <v>2272</v>
      </c>
      <c r="W1416" s="198" t="s">
        <v>2272</v>
      </c>
      <c r="X1416" s="198" t="s">
        <v>2272</v>
      </c>
      <c r="Y1416" s="198" t="s">
        <v>2272</v>
      </c>
      <c r="Z1416" s="198" t="s">
        <v>2272</v>
      </c>
      <c r="AA1416" s="198" t="s">
        <v>84</v>
      </c>
      <c r="AB1416" s="198" t="s">
        <v>403</v>
      </c>
      <c r="AC1416" s="198" t="s">
        <v>63</v>
      </c>
      <c r="AD1416" s="4" t="s">
        <v>4243</v>
      </c>
      <c r="AE1416" s="4" t="s">
        <v>4244</v>
      </c>
    </row>
    <row r="1417" spans="1:31" ht="41" customHeight="1">
      <c r="A1417" s="198" t="s">
        <v>4216</v>
      </c>
      <c r="B1417" s="198" t="s">
        <v>4228</v>
      </c>
      <c r="C1417" s="198" t="s">
        <v>23</v>
      </c>
      <c r="D1417" s="198" t="s">
        <v>26</v>
      </c>
      <c r="E1417" s="198" t="s">
        <v>128</v>
      </c>
      <c r="F1417" s="4" t="s">
        <v>2657</v>
      </c>
      <c r="G1417" s="198" t="s">
        <v>2272</v>
      </c>
      <c r="H1417" s="198" t="s">
        <v>521</v>
      </c>
      <c r="I1417" s="198"/>
      <c r="J1417" s="198" t="s">
        <v>2272</v>
      </c>
      <c r="K1417" s="198" t="s">
        <v>2272</v>
      </c>
      <c r="L1417" s="21">
        <v>1E-3</v>
      </c>
      <c r="M1417" s="198" t="s">
        <v>2272</v>
      </c>
      <c r="N1417" s="21">
        <v>4.0000000000000001E-3</v>
      </c>
      <c r="O1417" s="198" t="s">
        <v>2272</v>
      </c>
      <c r="P1417" s="198" t="s">
        <v>2272</v>
      </c>
      <c r="Q1417" s="198" t="s">
        <v>2272</v>
      </c>
      <c r="R1417" s="198" t="s">
        <v>2272</v>
      </c>
      <c r="S1417" s="198" t="s">
        <v>2272</v>
      </c>
      <c r="T1417" s="198" t="s">
        <v>2272</v>
      </c>
      <c r="U1417" s="198" t="s">
        <v>2272</v>
      </c>
      <c r="V1417" s="198" t="s">
        <v>2272</v>
      </c>
      <c r="W1417" s="198" t="s">
        <v>2272</v>
      </c>
      <c r="X1417" s="198" t="s">
        <v>2272</v>
      </c>
      <c r="Y1417" s="198" t="s">
        <v>2272</v>
      </c>
      <c r="Z1417" s="198" t="s">
        <v>2272</v>
      </c>
      <c r="AA1417" s="198" t="s">
        <v>67</v>
      </c>
      <c r="AB1417" s="198" t="s">
        <v>34</v>
      </c>
      <c r="AC1417" s="198" t="s">
        <v>63</v>
      </c>
      <c r="AD1417" s="4" t="s">
        <v>4236</v>
      </c>
      <c r="AE1417" s="198"/>
    </row>
    <row r="1418" spans="1:31" ht="37" customHeight="1">
      <c r="A1418" s="198" t="s">
        <v>4216</v>
      </c>
      <c r="B1418" s="198" t="s">
        <v>4229</v>
      </c>
      <c r="C1418" s="198" t="s">
        <v>23</v>
      </c>
      <c r="D1418" s="198" t="s">
        <v>3475</v>
      </c>
      <c r="E1418" s="198" t="s">
        <v>114</v>
      </c>
      <c r="F1418" s="4" t="s">
        <v>2657</v>
      </c>
      <c r="G1418" s="198" t="s">
        <v>2272</v>
      </c>
      <c r="H1418" s="198" t="s">
        <v>521</v>
      </c>
      <c r="I1418" s="198"/>
      <c r="J1418" s="198" t="s">
        <v>2272</v>
      </c>
      <c r="K1418" s="198" t="s">
        <v>2272</v>
      </c>
      <c r="L1418" s="198" t="s">
        <v>2272</v>
      </c>
      <c r="M1418" s="198" t="s">
        <v>2272</v>
      </c>
      <c r="N1418" s="198" t="s">
        <v>2272</v>
      </c>
      <c r="O1418" s="198" t="s">
        <v>2272</v>
      </c>
      <c r="P1418" s="198" t="s">
        <v>2272</v>
      </c>
      <c r="Q1418" s="198" t="s">
        <v>2272</v>
      </c>
      <c r="R1418" s="198" t="s">
        <v>2272</v>
      </c>
      <c r="S1418" s="198" t="s">
        <v>2272</v>
      </c>
      <c r="T1418" s="198" t="s">
        <v>2272</v>
      </c>
      <c r="U1418" s="198" t="s">
        <v>2272</v>
      </c>
      <c r="V1418" s="198" t="s">
        <v>2272</v>
      </c>
      <c r="W1418" s="198" t="s">
        <v>2272</v>
      </c>
      <c r="X1418" s="198" t="s">
        <v>2272</v>
      </c>
      <c r="Y1418" s="198" t="s">
        <v>2272</v>
      </c>
      <c r="Z1418" s="198" t="s">
        <v>2272</v>
      </c>
      <c r="AA1418" s="198" t="s">
        <v>33</v>
      </c>
      <c r="AB1418" s="198" t="s">
        <v>423</v>
      </c>
      <c r="AC1418" s="198" t="s">
        <v>63</v>
      </c>
      <c r="AD1418" s="4" t="s">
        <v>4231</v>
      </c>
      <c r="AE1418" s="198"/>
    </row>
    <row r="1419" spans="1:31" ht="38" customHeight="1">
      <c r="A1419" s="198" t="s">
        <v>4216</v>
      </c>
      <c r="B1419" s="198" t="s">
        <v>4232</v>
      </c>
      <c r="C1419" s="198" t="s">
        <v>23</v>
      </c>
      <c r="D1419" s="198" t="s">
        <v>3475</v>
      </c>
      <c r="E1419" s="198" t="s">
        <v>114</v>
      </c>
      <c r="F1419" s="4" t="s">
        <v>2657</v>
      </c>
      <c r="G1419" s="198" t="s">
        <v>2272</v>
      </c>
      <c r="H1419" s="198" t="s">
        <v>521</v>
      </c>
      <c r="I1419" s="198"/>
      <c r="J1419" s="198" t="s">
        <v>2272</v>
      </c>
      <c r="K1419" s="198" t="s">
        <v>2272</v>
      </c>
      <c r="L1419" s="198" t="s">
        <v>2272</v>
      </c>
      <c r="M1419" s="198" t="s">
        <v>2272</v>
      </c>
      <c r="N1419" s="198" t="s">
        <v>2272</v>
      </c>
      <c r="O1419" s="198" t="s">
        <v>2272</v>
      </c>
      <c r="P1419" s="198" t="s">
        <v>2272</v>
      </c>
      <c r="Q1419" s="198" t="s">
        <v>2272</v>
      </c>
      <c r="R1419" s="198" t="s">
        <v>2272</v>
      </c>
      <c r="S1419" s="198" t="s">
        <v>2272</v>
      </c>
      <c r="T1419" s="198" t="s">
        <v>2272</v>
      </c>
      <c r="U1419" s="198" t="s">
        <v>2272</v>
      </c>
      <c r="V1419" s="198" t="s">
        <v>2272</v>
      </c>
      <c r="W1419" s="198" t="s">
        <v>2272</v>
      </c>
      <c r="X1419" s="198" t="s">
        <v>2272</v>
      </c>
      <c r="Y1419" s="198" t="s">
        <v>2272</v>
      </c>
      <c r="Z1419" s="198" t="s">
        <v>2272</v>
      </c>
      <c r="AA1419" s="198" t="s">
        <v>403</v>
      </c>
      <c r="AB1419" s="198" t="s">
        <v>423</v>
      </c>
      <c r="AC1419" s="198" t="s">
        <v>63</v>
      </c>
      <c r="AD1419" s="4" t="s">
        <v>4235</v>
      </c>
      <c r="AE1419" s="198"/>
    </row>
    <row r="1420" spans="1:31" ht="34.5" customHeight="1">
      <c r="A1420" s="198" t="s">
        <v>4216</v>
      </c>
      <c r="B1420" s="198" t="s">
        <v>4233</v>
      </c>
      <c r="C1420" s="198" t="s">
        <v>23</v>
      </c>
      <c r="D1420" s="198" t="s">
        <v>3471</v>
      </c>
      <c r="E1420" s="198" t="s">
        <v>860</v>
      </c>
      <c r="F1420" s="4" t="s">
        <v>2657</v>
      </c>
      <c r="G1420" s="198" t="s">
        <v>2272</v>
      </c>
      <c r="H1420" s="198" t="s">
        <v>521</v>
      </c>
      <c r="I1420" s="198"/>
      <c r="J1420" s="198" t="s">
        <v>2272</v>
      </c>
      <c r="K1420" s="198" t="s">
        <v>2272</v>
      </c>
      <c r="L1420" s="198" t="s">
        <v>2272</v>
      </c>
      <c r="M1420" s="198" t="s">
        <v>2272</v>
      </c>
      <c r="N1420" s="198" t="s">
        <v>2272</v>
      </c>
      <c r="O1420" s="198" t="s">
        <v>2272</v>
      </c>
      <c r="P1420" s="198" t="s">
        <v>2272</v>
      </c>
      <c r="Q1420" s="198" t="s">
        <v>2272</v>
      </c>
      <c r="R1420" s="198" t="s">
        <v>2272</v>
      </c>
      <c r="S1420" s="198" t="s">
        <v>2272</v>
      </c>
      <c r="T1420" s="198" t="s">
        <v>2272</v>
      </c>
      <c r="U1420" s="198" t="s">
        <v>2272</v>
      </c>
      <c r="V1420" s="198" t="s">
        <v>2272</v>
      </c>
      <c r="W1420" s="198" t="s">
        <v>2272</v>
      </c>
      <c r="X1420" s="198" t="s">
        <v>2272</v>
      </c>
      <c r="Y1420" s="198" t="s">
        <v>2272</v>
      </c>
      <c r="Z1420" s="198" t="s">
        <v>2272</v>
      </c>
      <c r="AA1420" s="198" t="s">
        <v>186</v>
      </c>
      <c r="AB1420" s="198" t="s">
        <v>34</v>
      </c>
      <c r="AC1420" s="198" t="s">
        <v>63</v>
      </c>
      <c r="AD1420" s="198" t="s">
        <v>4238</v>
      </c>
      <c r="AE1420" s="198"/>
    </row>
    <row r="1421" spans="1:31" ht="39" customHeight="1">
      <c r="A1421" s="198" t="s">
        <v>4216</v>
      </c>
      <c r="B1421" s="198" t="s">
        <v>4234</v>
      </c>
      <c r="C1421" s="198" t="s">
        <v>23</v>
      </c>
      <c r="D1421" s="198" t="s">
        <v>25</v>
      </c>
      <c r="E1421" s="198" t="s">
        <v>2272</v>
      </c>
      <c r="F1421" s="4" t="s">
        <v>2657</v>
      </c>
      <c r="G1421" s="198" t="s">
        <v>2272</v>
      </c>
      <c r="H1421" s="198" t="s">
        <v>521</v>
      </c>
      <c r="I1421" s="198"/>
      <c r="J1421" s="198" t="s">
        <v>2272</v>
      </c>
      <c r="K1421" s="198" t="s">
        <v>2272</v>
      </c>
      <c r="L1421" s="198" t="s">
        <v>2272</v>
      </c>
      <c r="M1421" s="198" t="s">
        <v>2272</v>
      </c>
      <c r="N1421" s="198" t="s">
        <v>2272</v>
      </c>
      <c r="O1421" s="198" t="s">
        <v>2272</v>
      </c>
      <c r="P1421" s="198" t="s">
        <v>2272</v>
      </c>
      <c r="Q1421" s="198" t="s">
        <v>2272</v>
      </c>
      <c r="R1421" s="198" t="s">
        <v>2272</v>
      </c>
      <c r="S1421" s="198" t="s">
        <v>2272</v>
      </c>
      <c r="T1421" s="198" t="s">
        <v>2272</v>
      </c>
      <c r="U1421" s="198" t="s">
        <v>2272</v>
      </c>
      <c r="V1421" s="198" t="s">
        <v>2272</v>
      </c>
      <c r="W1421" s="198" t="s">
        <v>2272</v>
      </c>
      <c r="X1421" s="198" t="s">
        <v>2272</v>
      </c>
      <c r="Y1421" s="198" t="s">
        <v>2272</v>
      </c>
      <c r="Z1421" s="198" t="s">
        <v>2272</v>
      </c>
      <c r="AA1421" s="198" t="s">
        <v>403</v>
      </c>
      <c r="AB1421" s="198" t="s">
        <v>67</v>
      </c>
      <c r="AC1421" s="198" t="s">
        <v>63</v>
      </c>
      <c r="AD1421" s="4" t="s">
        <v>4237</v>
      </c>
      <c r="AE1421" s="198"/>
    </row>
    <row r="1422" spans="1:31" ht="40" customHeight="1">
      <c r="A1422" s="198" t="s">
        <v>4216</v>
      </c>
      <c r="B1422" s="198" t="s">
        <v>4239</v>
      </c>
      <c r="C1422" s="198" t="s">
        <v>23</v>
      </c>
      <c r="D1422" s="198" t="s">
        <v>1241</v>
      </c>
      <c r="E1422" s="198" t="s">
        <v>114</v>
      </c>
      <c r="F1422" s="4" t="s">
        <v>2657</v>
      </c>
      <c r="G1422" s="198" t="s">
        <v>2272</v>
      </c>
      <c r="H1422" s="198" t="s">
        <v>521</v>
      </c>
      <c r="I1422" s="198"/>
      <c r="J1422" s="198" t="s">
        <v>2272</v>
      </c>
      <c r="K1422" s="198" t="s">
        <v>2272</v>
      </c>
      <c r="L1422" s="198" t="s">
        <v>2272</v>
      </c>
      <c r="M1422" s="198" t="s">
        <v>2272</v>
      </c>
      <c r="N1422" s="198" t="s">
        <v>2272</v>
      </c>
      <c r="O1422" s="198" t="s">
        <v>2272</v>
      </c>
      <c r="P1422" s="198" t="s">
        <v>2272</v>
      </c>
      <c r="Q1422" s="198" t="s">
        <v>2272</v>
      </c>
      <c r="R1422" s="198" t="s">
        <v>2272</v>
      </c>
      <c r="S1422" s="198" t="s">
        <v>2272</v>
      </c>
      <c r="T1422" s="198" t="s">
        <v>2272</v>
      </c>
      <c r="U1422" s="198" t="s">
        <v>2272</v>
      </c>
      <c r="V1422" s="198" t="s">
        <v>2272</v>
      </c>
      <c r="W1422" s="198" t="s">
        <v>2272</v>
      </c>
      <c r="X1422" s="198" t="s">
        <v>2272</v>
      </c>
      <c r="Y1422" s="198" t="s">
        <v>2272</v>
      </c>
      <c r="Z1422" s="198" t="s">
        <v>2272</v>
      </c>
      <c r="AA1422" s="198" t="s">
        <v>186</v>
      </c>
      <c r="AB1422" s="198" t="s">
        <v>34</v>
      </c>
      <c r="AC1422" s="198" t="s">
        <v>63</v>
      </c>
      <c r="AD1422" s="198" t="s">
        <v>4240</v>
      </c>
      <c r="AE1422" s="198"/>
    </row>
    <row r="1423" spans="1:31" ht="50.5" customHeight="1">
      <c r="A1423" s="198" t="s">
        <v>4216</v>
      </c>
      <c r="B1423" s="198" t="s">
        <v>4241</v>
      </c>
      <c r="C1423" s="198" t="s">
        <v>23</v>
      </c>
      <c r="D1423" s="198" t="s">
        <v>24</v>
      </c>
      <c r="E1423" s="4" t="s">
        <v>3849</v>
      </c>
      <c r="F1423" s="4" t="s">
        <v>2657</v>
      </c>
      <c r="G1423" s="198" t="s">
        <v>2272</v>
      </c>
      <c r="H1423" s="198" t="s">
        <v>521</v>
      </c>
      <c r="I1423" s="198"/>
      <c r="J1423" s="198" t="s">
        <v>2272</v>
      </c>
      <c r="K1423" s="198" t="s">
        <v>2272</v>
      </c>
      <c r="L1423" s="198" t="s">
        <v>2272</v>
      </c>
      <c r="M1423" s="198" t="s">
        <v>2272</v>
      </c>
      <c r="N1423" s="198" t="s">
        <v>2272</v>
      </c>
      <c r="O1423" s="198" t="s">
        <v>2272</v>
      </c>
      <c r="P1423" s="198" t="s">
        <v>2272</v>
      </c>
      <c r="Q1423" s="198" t="s">
        <v>2272</v>
      </c>
      <c r="R1423" s="198" t="s">
        <v>2272</v>
      </c>
      <c r="S1423" s="198" t="s">
        <v>2272</v>
      </c>
      <c r="T1423" s="198" t="s">
        <v>2272</v>
      </c>
      <c r="U1423" s="198" t="s">
        <v>2272</v>
      </c>
      <c r="V1423" s="198" t="s">
        <v>2272</v>
      </c>
      <c r="W1423" s="198" t="s">
        <v>2272</v>
      </c>
      <c r="X1423" s="198" t="s">
        <v>2272</v>
      </c>
      <c r="Y1423" s="198" t="s">
        <v>2272</v>
      </c>
      <c r="Z1423" s="198" t="s">
        <v>2272</v>
      </c>
      <c r="AA1423" s="198" t="s">
        <v>2272</v>
      </c>
      <c r="AB1423" s="198" t="s">
        <v>2272</v>
      </c>
      <c r="AC1423" s="198" t="s">
        <v>2272</v>
      </c>
      <c r="AD1423" s="198" t="s">
        <v>4242</v>
      </c>
      <c r="AE1423" s="198"/>
    </row>
    <row r="1424" spans="1:31" ht="54.5" customHeight="1">
      <c r="A1424" s="198" t="s">
        <v>4251</v>
      </c>
      <c r="B1424" s="198" t="s">
        <v>4258</v>
      </c>
      <c r="C1424" s="198" t="s">
        <v>23</v>
      </c>
      <c r="D1424" s="198" t="s">
        <v>24</v>
      </c>
      <c r="E1424" s="4" t="s">
        <v>3849</v>
      </c>
      <c r="F1424" s="4" t="s">
        <v>2657</v>
      </c>
      <c r="G1424" s="198" t="s">
        <v>2272</v>
      </c>
      <c r="H1424" s="198" t="s">
        <v>521</v>
      </c>
      <c r="I1424" s="198"/>
      <c r="J1424" s="198" t="s">
        <v>2272</v>
      </c>
      <c r="K1424" s="198" t="s">
        <v>2272</v>
      </c>
      <c r="L1424" s="198" t="s">
        <v>2272</v>
      </c>
      <c r="M1424" s="198" t="s">
        <v>2272</v>
      </c>
      <c r="N1424" s="198" t="s">
        <v>2272</v>
      </c>
      <c r="O1424" s="198" t="s">
        <v>2272</v>
      </c>
      <c r="P1424" s="198" t="s">
        <v>2272</v>
      </c>
      <c r="Q1424" s="198" t="s">
        <v>2272</v>
      </c>
      <c r="R1424" s="198" t="s">
        <v>2272</v>
      </c>
      <c r="S1424" s="198" t="s">
        <v>2272</v>
      </c>
      <c r="T1424" s="198" t="s">
        <v>2272</v>
      </c>
      <c r="U1424" s="198" t="s">
        <v>2272</v>
      </c>
      <c r="V1424" s="198" t="s">
        <v>2272</v>
      </c>
      <c r="W1424" s="198" t="s">
        <v>2272</v>
      </c>
      <c r="X1424" s="198" t="s">
        <v>2272</v>
      </c>
      <c r="Y1424" s="198" t="s">
        <v>2272</v>
      </c>
      <c r="Z1424" s="198" t="s">
        <v>2272</v>
      </c>
      <c r="AA1424" s="198" t="s">
        <v>2272</v>
      </c>
      <c r="AB1424" s="198" t="s">
        <v>2272</v>
      </c>
      <c r="AC1424" s="198" t="s">
        <v>2272</v>
      </c>
      <c r="AD1424" s="198" t="s">
        <v>4268</v>
      </c>
      <c r="AE1424" s="4" t="s">
        <v>4274</v>
      </c>
    </row>
    <row r="1425" spans="1:31" ht="60" customHeight="1">
      <c r="A1425" s="198" t="s">
        <v>4251</v>
      </c>
      <c r="B1425" s="198" t="s">
        <v>4259</v>
      </c>
      <c r="C1425" s="198" t="s">
        <v>2453</v>
      </c>
      <c r="D1425" s="198" t="s">
        <v>24</v>
      </c>
      <c r="E1425" s="4" t="s">
        <v>3849</v>
      </c>
      <c r="F1425" s="4" t="s">
        <v>73</v>
      </c>
      <c r="G1425" s="198" t="s">
        <v>2272</v>
      </c>
      <c r="H1425" s="198" t="s">
        <v>521</v>
      </c>
      <c r="I1425" s="198"/>
      <c r="J1425" s="198" t="s">
        <v>2272</v>
      </c>
      <c r="K1425" s="198" t="s">
        <v>2272</v>
      </c>
      <c r="L1425" s="198" t="s">
        <v>2272</v>
      </c>
      <c r="M1425" s="198" t="s">
        <v>2272</v>
      </c>
      <c r="N1425" s="198" t="s">
        <v>2272</v>
      </c>
      <c r="O1425" s="198" t="s">
        <v>2272</v>
      </c>
      <c r="P1425" s="198" t="s">
        <v>2272</v>
      </c>
      <c r="Q1425" s="198" t="s">
        <v>2272</v>
      </c>
      <c r="R1425" s="198" t="s">
        <v>2272</v>
      </c>
      <c r="S1425" s="198" t="s">
        <v>2272</v>
      </c>
      <c r="T1425" s="198" t="s">
        <v>2272</v>
      </c>
      <c r="U1425" s="198" t="s">
        <v>2272</v>
      </c>
      <c r="V1425" s="198" t="s">
        <v>2272</v>
      </c>
      <c r="W1425" s="198" t="s">
        <v>2272</v>
      </c>
      <c r="X1425" s="198" t="s">
        <v>2272</v>
      </c>
      <c r="Y1425" s="198" t="s">
        <v>2272</v>
      </c>
      <c r="Z1425" s="198" t="s">
        <v>2272</v>
      </c>
      <c r="AA1425" s="198" t="s">
        <v>2272</v>
      </c>
      <c r="AB1425" s="198" t="s">
        <v>2272</v>
      </c>
      <c r="AC1425" s="198" t="s">
        <v>2272</v>
      </c>
      <c r="AD1425" s="198" t="s">
        <v>2272</v>
      </c>
      <c r="AE1425" s="4" t="s">
        <v>4274</v>
      </c>
    </row>
    <row r="1426" spans="1:31" ht="54.5" customHeight="1">
      <c r="A1426" s="198" t="s">
        <v>4251</v>
      </c>
      <c r="B1426" s="198" t="s">
        <v>4260</v>
      </c>
      <c r="C1426" s="198" t="s">
        <v>23</v>
      </c>
      <c r="D1426" s="198" t="s">
        <v>2989</v>
      </c>
      <c r="E1426" s="4" t="s">
        <v>1102</v>
      </c>
      <c r="F1426" s="4" t="s">
        <v>2272</v>
      </c>
      <c r="G1426" s="198" t="s">
        <v>2272</v>
      </c>
      <c r="H1426" s="198" t="s">
        <v>521</v>
      </c>
      <c r="I1426" s="198"/>
      <c r="J1426" s="198" t="s">
        <v>2272</v>
      </c>
      <c r="K1426" s="198" t="s">
        <v>2272</v>
      </c>
      <c r="L1426" s="198" t="s">
        <v>2272</v>
      </c>
      <c r="M1426" s="198" t="s">
        <v>2272</v>
      </c>
      <c r="N1426" s="198" t="s">
        <v>2272</v>
      </c>
      <c r="O1426" s="198" t="s">
        <v>2272</v>
      </c>
      <c r="P1426" s="198" t="s">
        <v>2272</v>
      </c>
      <c r="Q1426" s="198" t="s">
        <v>2272</v>
      </c>
      <c r="R1426" s="198" t="s">
        <v>2272</v>
      </c>
      <c r="S1426" s="198" t="s">
        <v>2272</v>
      </c>
      <c r="T1426" s="198" t="s">
        <v>2272</v>
      </c>
      <c r="U1426" s="198" t="s">
        <v>2272</v>
      </c>
      <c r="V1426" s="198" t="s">
        <v>2272</v>
      </c>
      <c r="W1426" s="198" t="s">
        <v>2272</v>
      </c>
      <c r="X1426" s="198" t="s">
        <v>2272</v>
      </c>
      <c r="Y1426" s="198" t="s">
        <v>2272</v>
      </c>
      <c r="Z1426" s="198" t="s">
        <v>2272</v>
      </c>
      <c r="AA1426" s="198" t="s">
        <v>2272</v>
      </c>
      <c r="AB1426" s="198" t="s">
        <v>2272</v>
      </c>
      <c r="AC1426" s="198" t="s">
        <v>2272</v>
      </c>
      <c r="AD1426" s="198" t="s">
        <v>4273</v>
      </c>
      <c r="AE1426" s="4" t="s">
        <v>4274</v>
      </c>
    </row>
    <row r="1427" spans="1:31" ht="48" customHeight="1">
      <c r="A1427" s="198" t="s">
        <v>4251</v>
      </c>
      <c r="B1427" s="198" t="s">
        <v>4261</v>
      </c>
      <c r="C1427" s="198" t="s">
        <v>2453</v>
      </c>
      <c r="D1427" s="198" t="s">
        <v>2989</v>
      </c>
      <c r="E1427" s="4" t="s">
        <v>1102</v>
      </c>
      <c r="F1427" s="4" t="s">
        <v>2272</v>
      </c>
      <c r="G1427" s="198" t="s">
        <v>2272</v>
      </c>
      <c r="H1427" s="198" t="s">
        <v>521</v>
      </c>
      <c r="I1427" s="198"/>
      <c r="J1427" s="198" t="s">
        <v>2272</v>
      </c>
      <c r="K1427" s="198" t="s">
        <v>2272</v>
      </c>
      <c r="L1427" s="198" t="s">
        <v>2272</v>
      </c>
      <c r="M1427" s="198" t="s">
        <v>2272</v>
      </c>
      <c r="N1427" s="198" t="s">
        <v>2272</v>
      </c>
      <c r="O1427" s="198" t="s">
        <v>2272</v>
      </c>
      <c r="P1427" s="198" t="s">
        <v>2272</v>
      </c>
      <c r="Q1427" s="198" t="s">
        <v>2272</v>
      </c>
      <c r="R1427" s="198" t="s">
        <v>2272</v>
      </c>
      <c r="S1427" s="198" t="s">
        <v>2272</v>
      </c>
      <c r="T1427" s="198" t="s">
        <v>2272</v>
      </c>
      <c r="U1427" s="198" t="s">
        <v>2272</v>
      </c>
      <c r="V1427" s="198" t="s">
        <v>2272</v>
      </c>
      <c r="W1427" s="198" t="s">
        <v>2272</v>
      </c>
      <c r="X1427" s="198" t="s">
        <v>2272</v>
      </c>
      <c r="Y1427" s="198" t="s">
        <v>2272</v>
      </c>
      <c r="Z1427" s="198" t="s">
        <v>2272</v>
      </c>
      <c r="AA1427" s="198" t="s">
        <v>2272</v>
      </c>
      <c r="AB1427" s="198" t="s">
        <v>2272</v>
      </c>
      <c r="AC1427" s="198" t="s">
        <v>2272</v>
      </c>
      <c r="AD1427" s="198" t="s">
        <v>2272</v>
      </c>
      <c r="AE1427" s="4" t="s">
        <v>4274</v>
      </c>
    </row>
    <row r="1428" spans="1:31" ht="42" customHeight="1">
      <c r="A1428" s="198" t="s">
        <v>4251</v>
      </c>
      <c r="B1428" s="198" t="s">
        <v>4262</v>
      </c>
      <c r="C1428" s="198" t="s">
        <v>30</v>
      </c>
      <c r="D1428" s="198" t="s">
        <v>29</v>
      </c>
      <c r="E1428" s="198" t="s">
        <v>1102</v>
      </c>
      <c r="F1428" s="4" t="s">
        <v>2272</v>
      </c>
      <c r="G1428" s="198" t="s">
        <v>2272</v>
      </c>
      <c r="H1428" s="198" t="s">
        <v>521</v>
      </c>
      <c r="I1428" s="198"/>
      <c r="J1428" s="198" t="s">
        <v>2272</v>
      </c>
      <c r="K1428" s="198" t="s">
        <v>2272</v>
      </c>
      <c r="L1428" s="198" t="s">
        <v>2272</v>
      </c>
      <c r="M1428" s="198" t="s">
        <v>2272</v>
      </c>
      <c r="N1428" s="198" t="s">
        <v>2272</v>
      </c>
      <c r="O1428" s="198" t="s">
        <v>2272</v>
      </c>
      <c r="P1428" s="198" t="s">
        <v>2272</v>
      </c>
      <c r="Q1428" s="198" t="s">
        <v>2272</v>
      </c>
      <c r="R1428" s="198" t="s">
        <v>2272</v>
      </c>
      <c r="S1428" s="198" t="s">
        <v>2272</v>
      </c>
      <c r="T1428" s="198" t="s">
        <v>2272</v>
      </c>
      <c r="U1428" s="198" t="s">
        <v>2272</v>
      </c>
      <c r="V1428" s="198" t="s">
        <v>2272</v>
      </c>
      <c r="W1428" s="198" t="s">
        <v>2272</v>
      </c>
      <c r="X1428" s="198" t="s">
        <v>2272</v>
      </c>
      <c r="Y1428" s="198" t="s">
        <v>2272</v>
      </c>
      <c r="Z1428" s="198" t="s">
        <v>2272</v>
      </c>
      <c r="AA1428" s="198" t="s">
        <v>2272</v>
      </c>
      <c r="AB1428" s="198" t="s">
        <v>2272</v>
      </c>
      <c r="AC1428" s="198" t="s">
        <v>2272</v>
      </c>
      <c r="AD1428" s="4" t="s">
        <v>4270</v>
      </c>
      <c r="AE1428" s="4" t="s">
        <v>4274</v>
      </c>
    </row>
    <row r="1429" spans="1:31" ht="48" customHeight="1">
      <c r="A1429" s="198" t="s">
        <v>4251</v>
      </c>
      <c r="B1429" s="198" t="s">
        <v>4263</v>
      </c>
      <c r="C1429" s="198" t="s">
        <v>30</v>
      </c>
      <c r="D1429" s="198" t="s">
        <v>29</v>
      </c>
      <c r="E1429" s="198" t="s">
        <v>2647</v>
      </c>
      <c r="F1429" s="4" t="s">
        <v>2272</v>
      </c>
      <c r="G1429" s="198" t="s">
        <v>2272</v>
      </c>
      <c r="H1429" s="198" t="s">
        <v>521</v>
      </c>
      <c r="I1429" s="198"/>
      <c r="J1429" s="198" t="s">
        <v>2272</v>
      </c>
      <c r="K1429" s="198" t="s">
        <v>2272</v>
      </c>
      <c r="L1429" s="198" t="s">
        <v>2272</v>
      </c>
      <c r="M1429" s="198" t="s">
        <v>2272</v>
      </c>
      <c r="N1429" s="198" t="s">
        <v>2272</v>
      </c>
      <c r="O1429" s="198" t="s">
        <v>2272</v>
      </c>
      <c r="P1429" s="198" t="s">
        <v>2272</v>
      </c>
      <c r="Q1429" s="198" t="s">
        <v>2272</v>
      </c>
      <c r="R1429" s="198" t="s">
        <v>2272</v>
      </c>
      <c r="S1429" s="198" t="s">
        <v>2272</v>
      </c>
      <c r="T1429" s="198" t="s">
        <v>2272</v>
      </c>
      <c r="U1429" s="198" t="s">
        <v>2272</v>
      </c>
      <c r="V1429" s="198" t="s">
        <v>2272</v>
      </c>
      <c r="W1429" s="198" t="s">
        <v>2272</v>
      </c>
      <c r="X1429" s="198" t="s">
        <v>2272</v>
      </c>
      <c r="Y1429" s="198" t="s">
        <v>2272</v>
      </c>
      <c r="Z1429" s="198" t="s">
        <v>2272</v>
      </c>
      <c r="AA1429" s="198" t="s">
        <v>2272</v>
      </c>
      <c r="AB1429" s="198" t="s">
        <v>2272</v>
      </c>
      <c r="AC1429" s="198" t="s">
        <v>2272</v>
      </c>
      <c r="AD1429" s="4" t="s">
        <v>4269</v>
      </c>
      <c r="AE1429" s="4" t="s">
        <v>4274</v>
      </c>
    </row>
    <row r="1430" spans="1:31" ht="60" customHeight="1">
      <c r="A1430" s="198" t="s">
        <v>4251</v>
      </c>
      <c r="B1430" s="198" t="s">
        <v>4264</v>
      </c>
      <c r="C1430" s="198" t="s">
        <v>23</v>
      </c>
      <c r="D1430" s="198" t="s">
        <v>2227</v>
      </c>
      <c r="E1430" s="4" t="s">
        <v>3849</v>
      </c>
      <c r="F1430" s="4" t="s">
        <v>2272</v>
      </c>
      <c r="G1430" s="198" t="s">
        <v>2272</v>
      </c>
      <c r="H1430" s="198" t="s">
        <v>521</v>
      </c>
      <c r="I1430" s="198"/>
      <c r="J1430" s="198" t="s">
        <v>2272</v>
      </c>
      <c r="K1430" s="198" t="s">
        <v>2272</v>
      </c>
      <c r="L1430" s="198" t="s">
        <v>2272</v>
      </c>
      <c r="M1430" s="198" t="s">
        <v>2272</v>
      </c>
      <c r="N1430" s="198" t="s">
        <v>2272</v>
      </c>
      <c r="O1430" s="198" t="s">
        <v>2272</v>
      </c>
      <c r="P1430" s="198" t="s">
        <v>2272</v>
      </c>
      <c r="Q1430" s="198" t="s">
        <v>2272</v>
      </c>
      <c r="R1430" s="198" t="s">
        <v>2272</v>
      </c>
      <c r="S1430" s="198" t="s">
        <v>2272</v>
      </c>
      <c r="T1430" s="198" t="s">
        <v>2272</v>
      </c>
      <c r="U1430" s="198" t="s">
        <v>2272</v>
      </c>
      <c r="V1430" s="198" t="s">
        <v>2272</v>
      </c>
      <c r="W1430" s="198" t="s">
        <v>2272</v>
      </c>
      <c r="X1430" s="198" t="s">
        <v>2272</v>
      </c>
      <c r="Y1430" s="198" t="s">
        <v>2272</v>
      </c>
      <c r="Z1430" s="198" t="s">
        <v>2272</v>
      </c>
      <c r="AA1430" s="198" t="s">
        <v>2272</v>
      </c>
      <c r="AB1430" s="198" t="s">
        <v>2272</v>
      </c>
      <c r="AC1430" s="198" t="s">
        <v>2272</v>
      </c>
      <c r="AD1430" s="198" t="s">
        <v>4271</v>
      </c>
      <c r="AE1430" s="4" t="s">
        <v>4274</v>
      </c>
    </row>
    <row r="1431" spans="1:31" ht="54.5" customHeight="1">
      <c r="A1431" s="198" t="s">
        <v>4251</v>
      </c>
      <c r="B1431" s="198" t="s">
        <v>4265</v>
      </c>
      <c r="C1431" s="198" t="s">
        <v>23</v>
      </c>
      <c r="D1431" s="198" t="s">
        <v>2654</v>
      </c>
      <c r="E1431" s="4" t="s">
        <v>3849</v>
      </c>
      <c r="F1431" s="4" t="s">
        <v>2272</v>
      </c>
      <c r="G1431" s="198" t="s">
        <v>2272</v>
      </c>
      <c r="H1431" s="198" t="s">
        <v>521</v>
      </c>
      <c r="I1431" s="198"/>
      <c r="J1431" s="198" t="s">
        <v>2272</v>
      </c>
      <c r="K1431" s="198" t="s">
        <v>2272</v>
      </c>
      <c r="L1431" s="198" t="s">
        <v>2272</v>
      </c>
      <c r="M1431" s="198" t="s">
        <v>2272</v>
      </c>
      <c r="N1431" s="198" t="s">
        <v>2272</v>
      </c>
      <c r="O1431" s="198" t="s">
        <v>2272</v>
      </c>
      <c r="P1431" s="198" t="s">
        <v>2272</v>
      </c>
      <c r="Q1431" s="198" t="s">
        <v>2272</v>
      </c>
      <c r="R1431" s="198" t="s">
        <v>2272</v>
      </c>
      <c r="S1431" s="198" t="s">
        <v>2272</v>
      </c>
      <c r="T1431" s="198" t="s">
        <v>2272</v>
      </c>
      <c r="U1431" s="198" t="s">
        <v>2272</v>
      </c>
      <c r="V1431" s="198" t="s">
        <v>2272</v>
      </c>
      <c r="W1431" s="198" t="s">
        <v>2272</v>
      </c>
      <c r="X1431" s="198" t="s">
        <v>2272</v>
      </c>
      <c r="Y1431" s="198" t="s">
        <v>2272</v>
      </c>
      <c r="Z1431" s="198" t="s">
        <v>2272</v>
      </c>
      <c r="AA1431" s="198" t="s">
        <v>2272</v>
      </c>
      <c r="AB1431" s="198" t="s">
        <v>2272</v>
      </c>
      <c r="AC1431" s="198" t="s">
        <v>2272</v>
      </c>
      <c r="AD1431" s="198" t="s">
        <v>4272</v>
      </c>
      <c r="AE1431" s="4" t="s">
        <v>4274</v>
      </c>
    </row>
    <row r="1432" spans="1:31" ht="50" customHeight="1">
      <c r="A1432" s="198" t="s">
        <v>4251</v>
      </c>
      <c r="B1432" s="198" t="s">
        <v>4266</v>
      </c>
      <c r="C1432" s="198" t="s">
        <v>23</v>
      </c>
      <c r="D1432" s="198" t="s">
        <v>2342</v>
      </c>
      <c r="E1432" s="4" t="s">
        <v>2272</v>
      </c>
      <c r="F1432" s="4" t="s">
        <v>2272</v>
      </c>
      <c r="G1432" s="198" t="s">
        <v>2272</v>
      </c>
      <c r="H1432" s="198" t="s">
        <v>521</v>
      </c>
      <c r="I1432" s="198"/>
      <c r="J1432" s="198" t="s">
        <v>2272</v>
      </c>
      <c r="K1432" s="198" t="s">
        <v>2272</v>
      </c>
      <c r="L1432" s="198" t="s">
        <v>2272</v>
      </c>
      <c r="M1432" s="198" t="s">
        <v>2272</v>
      </c>
      <c r="N1432" s="198" t="s">
        <v>2272</v>
      </c>
      <c r="O1432" s="198" t="s">
        <v>2272</v>
      </c>
      <c r="P1432" s="198" t="s">
        <v>2272</v>
      </c>
      <c r="Q1432" s="198" t="s">
        <v>2272</v>
      </c>
      <c r="R1432" s="198" t="s">
        <v>2272</v>
      </c>
      <c r="S1432" s="198" t="s">
        <v>2272</v>
      </c>
      <c r="T1432" s="198" t="s">
        <v>2272</v>
      </c>
      <c r="U1432" s="198" t="s">
        <v>2272</v>
      </c>
      <c r="V1432" s="198" t="s">
        <v>2272</v>
      </c>
      <c r="W1432" s="198" t="s">
        <v>2272</v>
      </c>
      <c r="X1432" s="198" t="s">
        <v>2272</v>
      </c>
      <c r="Y1432" s="198" t="s">
        <v>2272</v>
      </c>
      <c r="Z1432" s="198" t="s">
        <v>2272</v>
      </c>
      <c r="AA1432" s="198" t="s">
        <v>2272</v>
      </c>
      <c r="AB1432" s="198" t="s">
        <v>2272</v>
      </c>
      <c r="AC1432" s="198" t="s">
        <v>2272</v>
      </c>
      <c r="AD1432" s="164" t="s">
        <v>4275</v>
      </c>
      <c r="AE1432" s="4" t="s">
        <v>4274</v>
      </c>
    </row>
    <row r="1433" spans="1:31" ht="27" customHeight="1">
      <c r="A1433" s="198" t="s">
        <v>4252</v>
      </c>
      <c r="B1433" s="198" t="s">
        <v>4276</v>
      </c>
      <c r="C1433" s="198" t="s">
        <v>23</v>
      </c>
      <c r="D1433" s="198" t="s">
        <v>24</v>
      </c>
      <c r="E1433" s="4" t="s">
        <v>3849</v>
      </c>
      <c r="F1433" s="4" t="s">
        <v>2657</v>
      </c>
      <c r="G1433" s="198" t="s">
        <v>2272</v>
      </c>
      <c r="H1433" s="198" t="s">
        <v>521</v>
      </c>
      <c r="I1433" s="198"/>
      <c r="J1433" s="198" t="s">
        <v>2272</v>
      </c>
      <c r="K1433" s="198" t="s">
        <v>2272</v>
      </c>
      <c r="L1433" s="198" t="s">
        <v>2272</v>
      </c>
      <c r="M1433" s="198" t="s">
        <v>2272</v>
      </c>
      <c r="N1433" s="198" t="s">
        <v>2272</v>
      </c>
      <c r="O1433" s="198" t="s">
        <v>2272</v>
      </c>
      <c r="P1433" s="198" t="s">
        <v>2272</v>
      </c>
      <c r="Q1433" s="198" t="s">
        <v>2272</v>
      </c>
      <c r="R1433" s="198" t="s">
        <v>2272</v>
      </c>
      <c r="S1433" s="198" t="s">
        <v>2272</v>
      </c>
      <c r="T1433" s="198" t="s">
        <v>2272</v>
      </c>
      <c r="U1433" s="198" t="s">
        <v>2272</v>
      </c>
      <c r="V1433" s="198" t="s">
        <v>2272</v>
      </c>
      <c r="W1433" s="198" t="s">
        <v>2272</v>
      </c>
      <c r="X1433" s="198" t="s">
        <v>2272</v>
      </c>
      <c r="Y1433" s="198" t="s">
        <v>2272</v>
      </c>
      <c r="Z1433" s="198" t="s">
        <v>2272</v>
      </c>
      <c r="AA1433" s="198" t="s">
        <v>2272</v>
      </c>
      <c r="AB1433" s="198" t="s">
        <v>2272</v>
      </c>
      <c r="AC1433" s="198" t="s">
        <v>2272</v>
      </c>
      <c r="AD1433" s="198" t="s">
        <v>4268</v>
      </c>
      <c r="AE1433" s="4" t="s">
        <v>4274</v>
      </c>
    </row>
    <row r="1434" spans="1:31" ht="29">
      <c r="A1434" s="198" t="s">
        <v>4252</v>
      </c>
      <c r="B1434" s="198" t="s">
        <v>4277</v>
      </c>
      <c r="C1434" s="198" t="s">
        <v>2453</v>
      </c>
      <c r="D1434" s="198" t="s">
        <v>24</v>
      </c>
      <c r="E1434" s="4" t="s">
        <v>3849</v>
      </c>
      <c r="F1434" s="4" t="s">
        <v>73</v>
      </c>
      <c r="G1434" s="198" t="s">
        <v>2272</v>
      </c>
      <c r="H1434" s="198" t="s">
        <v>521</v>
      </c>
      <c r="I1434" s="198"/>
      <c r="J1434" s="198" t="s">
        <v>2272</v>
      </c>
      <c r="K1434" s="198" t="s">
        <v>2272</v>
      </c>
      <c r="L1434" s="198" t="s">
        <v>2272</v>
      </c>
      <c r="M1434" s="198" t="s">
        <v>2272</v>
      </c>
      <c r="N1434" s="198" t="s">
        <v>2272</v>
      </c>
      <c r="O1434" s="198" t="s">
        <v>2272</v>
      </c>
      <c r="P1434" s="198" t="s">
        <v>2272</v>
      </c>
      <c r="Q1434" s="198" t="s">
        <v>2272</v>
      </c>
      <c r="R1434" s="198" t="s">
        <v>2272</v>
      </c>
      <c r="S1434" s="198" t="s">
        <v>2272</v>
      </c>
      <c r="T1434" s="198" t="s">
        <v>2272</v>
      </c>
      <c r="U1434" s="198" t="s">
        <v>2272</v>
      </c>
      <c r="V1434" s="198" t="s">
        <v>2272</v>
      </c>
      <c r="W1434" s="198" t="s">
        <v>2272</v>
      </c>
      <c r="X1434" s="198" t="s">
        <v>2272</v>
      </c>
      <c r="Y1434" s="198" t="s">
        <v>2272</v>
      </c>
      <c r="Z1434" s="198" t="s">
        <v>2272</v>
      </c>
      <c r="AA1434" s="198" t="s">
        <v>2272</v>
      </c>
      <c r="AB1434" s="198" t="s">
        <v>2272</v>
      </c>
      <c r="AC1434" s="198" t="s">
        <v>2272</v>
      </c>
      <c r="AD1434" s="198" t="s">
        <v>2272</v>
      </c>
      <c r="AE1434" s="4" t="s">
        <v>4274</v>
      </c>
    </row>
    <row r="1435" spans="1:31" ht="29">
      <c r="A1435" s="198" t="s">
        <v>4252</v>
      </c>
      <c r="B1435" s="198" t="s">
        <v>4278</v>
      </c>
      <c r="C1435" s="198" t="s">
        <v>23</v>
      </c>
      <c r="D1435" s="198" t="s">
        <v>2989</v>
      </c>
      <c r="E1435" s="4" t="s">
        <v>1102</v>
      </c>
      <c r="F1435" s="4" t="s">
        <v>2272</v>
      </c>
      <c r="G1435" s="198" t="s">
        <v>2272</v>
      </c>
      <c r="H1435" s="198" t="s">
        <v>521</v>
      </c>
      <c r="I1435" s="198"/>
      <c r="J1435" s="198" t="s">
        <v>2272</v>
      </c>
      <c r="K1435" s="198" t="s">
        <v>2272</v>
      </c>
      <c r="L1435" s="198" t="s">
        <v>2272</v>
      </c>
      <c r="M1435" s="198" t="s">
        <v>2272</v>
      </c>
      <c r="N1435" s="198" t="s">
        <v>2272</v>
      </c>
      <c r="O1435" s="198" t="s">
        <v>2272</v>
      </c>
      <c r="P1435" s="198" t="s">
        <v>2272</v>
      </c>
      <c r="Q1435" s="198" t="s">
        <v>2272</v>
      </c>
      <c r="R1435" s="198" t="s">
        <v>2272</v>
      </c>
      <c r="S1435" s="198" t="s">
        <v>2272</v>
      </c>
      <c r="T1435" s="198" t="s">
        <v>2272</v>
      </c>
      <c r="U1435" s="198" t="s">
        <v>2272</v>
      </c>
      <c r="V1435" s="198" t="s">
        <v>2272</v>
      </c>
      <c r="W1435" s="198" t="s">
        <v>2272</v>
      </c>
      <c r="X1435" s="198" t="s">
        <v>2272</v>
      </c>
      <c r="Y1435" s="198" t="s">
        <v>2272</v>
      </c>
      <c r="Z1435" s="198" t="s">
        <v>2272</v>
      </c>
      <c r="AA1435" s="198" t="s">
        <v>2272</v>
      </c>
      <c r="AB1435" s="198" t="s">
        <v>2272</v>
      </c>
      <c r="AC1435" s="198" t="s">
        <v>2272</v>
      </c>
      <c r="AD1435" s="198" t="s">
        <v>4273</v>
      </c>
      <c r="AE1435" s="4" t="s">
        <v>4274</v>
      </c>
    </row>
    <row r="1436" spans="1:31" ht="29">
      <c r="A1436" s="198" t="s">
        <v>4252</v>
      </c>
      <c r="B1436" s="198" t="s">
        <v>4279</v>
      </c>
      <c r="C1436" s="198" t="s">
        <v>2453</v>
      </c>
      <c r="D1436" s="198" t="s">
        <v>2989</v>
      </c>
      <c r="E1436" s="4" t="s">
        <v>1102</v>
      </c>
      <c r="F1436" s="4" t="s">
        <v>2272</v>
      </c>
      <c r="G1436" s="198" t="s">
        <v>2272</v>
      </c>
      <c r="H1436" s="198" t="s">
        <v>521</v>
      </c>
      <c r="I1436" s="198"/>
      <c r="J1436" s="198" t="s">
        <v>2272</v>
      </c>
      <c r="K1436" s="198" t="s">
        <v>2272</v>
      </c>
      <c r="L1436" s="198" t="s">
        <v>2272</v>
      </c>
      <c r="M1436" s="198" t="s">
        <v>2272</v>
      </c>
      <c r="N1436" s="198" t="s">
        <v>2272</v>
      </c>
      <c r="O1436" s="198" t="s">
        <v>2272</v>
      </c>
      <c r="P1436" s="198" t="s">
        <v>2272</v>
      </c>
      <c r="Q1436" s="198" t="s">
        <v>2272</v>
      </c>
      <c r="R1436" s="198" t="s">
        <v>2272</v>
      </c>
      <c r="S1436" s="198" t="s">
        <v>2272</v>
      </c>
      <c r="T1436" s="198" t="s">
        <v>2272</v>
      </c>
      <c r="U1436" s="198" t="s">
        <v>2272</v>
      </c>
      <c r="V1436" s="198" t="s">
        <v>2272</v>
      </c>
      <c r="W1436" s="198" t="s">
        <v>2272</v>
      </c>
      <c r="X1436" s="198" t="s">
        <v>2272</v>
      </c>
      <c r="Y1436" s="198" t="s">
        <v>2272</v>
      </c>
      <c r="Z1436" s="198" t="s">
        <v>2272</v>
      </c>
      <c r="AA1436" s="198" t="s">
        <v>2272</v>
      </c>
      <c r="AB1436" s="198" t="s">
        <v>2272</v>
      </c>
      <c r="AC1436" s="198" t="s">
        <v>2272</v>
      </c>
      <c r="AD1436" s="198" t="s">
        <v>2272</v>
      </c>
      <c r="AE1436" s="4" t="s">
        <v>4274</v>
      </c>
    </row>
    <row r="1437" spans="1:31" ht="29">
      <c r="A1437" s="198" t="s">
        <v>4252</v>
      </c>
      <c r="B1437" s="198" t="s">
        <v>4280</v>
      </c>
      <c r="C1437" s="198" t="s">
        <v>30</v>
      </c>
      <c r="D1437" s="198" t="s">
        <v>29</v>
      </c>
      <c r="E1437" s="198" t="s">
        <v>1102</v>
      </c>
      <c r="F1437" s="4" t="s">
        <v>2272</v>
      </c>
      <c r="G1437" s="198" t="s">
        <v>2272</v>
      </c>
      <c r="H1437" s="198" t="s">
        <v>521</v>
      </c>
      <c r="I1437" s="198"/>
      <c r="J1437" s="198" t="s">
        <v>2272</v>
      </c>
      <c r="K1437" s="198" t="s">
        <v>2272</v>
      </c>
      <c r="L1437" s="198" t="s">
        <v>2272</v>
      </c>
      <c r="M1437" s="198" t="s">
        <v>2272</v>
      </c>
      <c r="N1437" s="198" t="s">
        <v>2272</v>
      </c>
      <c r="O1437" s="198" t="s">
        <v>2272</v>
      </c>
      <c r="P1437" s="198" t="s">
        <v>2272</v>
      </c>
      <c r="Q1437" s="198" t="s">
        <v>2272</v>
      </c>
      <c r="R1437" s="198" t="s">
        <v>2272</v>
      </c>
      <c r="S1437" s="198" t="s">
        <v>2272</v>
      </c>
      <c r="T1437" s="198" t="s">
        <v>2272</v>
      </c>
      <c r="U1437" s="198" t="s">
        <v>2272</v>
      </c>
      <c r="V1437" s="198" t="s">
        <v>2272</v>
      </c>
      <c r="W1437" s="198" t="s">
        <v>2272</v>
      </c>
      <c r="X1437" s="198" t="s">
        <v>2272</v>
      </c>
      <c r="Y1437" s="198" t="s">
        <v>2272</v>
      </c>
      <c r="Z1437" s="198" t="s">
        <v>2272</v>
      </c>
      <c r="AA1437" s="198" t="s">
        <v>2272</v>
      </c>
      <c r="AB1437" s="198" t="s">
        <v>2272</v>
      </c>
      <c r="AC1437" s="198" t="s">
        <v>2272</v>
      </c>
      <c r="AD1437" s="4" t="s">
        <v>4270</v>
      </c>
      <c r="AE1437" s="4" t="s">
        <v>4274</v>
      </c>
    </row>
    <row r="1438" spans="1:31" ht="29">
      <c r="A1438" s="198" t="s">
        <v>4252</v>
      </c>
      <c r="B1438" s="198" t="s">
        <v>4281</v>
      </c>
      <c r="C1438" s="198" t="s">
        <v>30</v>
      </c>
      <c r="D1438" s="198" t="s">
        <v>29</v>
      </c>
      <c r="E1438" s="198" t="s">
        <v>2647</v>
      </c>
      <c r="F1438" s="4" t="s">
        <v>2272</v>
      </c>
      <c r="G1438" s="198" t="s">
        <v>2272</v>
      </c>
      <c r="H1438" s="198" t="s">
        <v>521</v>
      </c>
      <c r="I1438" s="198"/>
      <c r="J1438" s="198" t="s">
        <v>2272</v>
      </c>
      <c r="K1438" s="198" t="s">
        <v>2272</v>
      </c>
      <c r="L1438" s="198" t="s">
        <v>2272</v>
      </c>
      <c r="M1438" s="198" t="s">
        <v>2272</v>
      </c>
      <c r="N1438" s="198" t="s">
        <v>2272</v>
      </c>
      <c r="O1438" s="198" t="s">
        <v>2272</v>
      </c>
      <c r="P1438" s="198" t="s">
        <v>2272</v>
      </c>
      <c r="Q1438" s="198" t="s">
        <v>2272</v>
      </c>
      <c r="R1438" s="198" t="s">
        <v>2272</v>
      </c>
      <c r="S1438" s="198" t="s">
        <v>2272</v>
      </c>
      <c r="T1438" s="198" t="s">
        <v>2272</v>
      </c>
      <c r="U1438" s="198" t="s">
        <v>2272</v>
      </c>
      <c r="V1438" s="198" t="s">
        <v>2272</v>
      </c>
      <c r="W1438" s="198" t="s">
        <v>2272</v>
      </c>
      <c r="X1438" s="198" t="s">
        <v>2272</v>
      </c>
      <c r="Y1438" s="198" t="s">
        <v>2272</v>
      </c>
      <c r="Z1438" s="198" t="s">
        <v>2272</v>
      </c>
      <c r="AA1438" s="198" t="s">
        <v>2272</v>
      </c>
      <c r="AB1438" s="198" t="s">
        <v>2272</v>
      </c>
      <c r="AC1438" s="198" t="s">
        <v>2272</v>
      </c>
      <c r="AD1438" s="4" t="s">
        <v>4269</v>
      </c>
      <c r="AE1438" s="4" t="s">
        <v>4274</v>
      </c>
    </row>
    <row r="1439" spans="1:31" ht="29">
      <c r="A1439" s="198" t="s">
        <v>4252</v>
      </c>
      <c r="B1439" s="198" t="s">
        <v>4282</v>
      </c>
      <c r="C1439" s="198" t="s">
        <v>23</v>
      </c>
      <c r="D1439" s="198" t="s">
        <v>2227</v>
      </c>
      <c r="E1439" s="4" t="s">
        <v>3849</v>
      </c>
      <c r="F1439" s="4" t="s">
        <v>2272</v>
      </c>
      <c r="G1439" s="198" t="s">
        <v>2272</v>
      </c>
      <c r="H1439" s="198" t="s">
        <v>521</v>
      </c>
      <c r="I1439" s="198"/>
      <c r="J1439" s="198" t="s">
        <v>2272</v>
      </c>
      <c r="K1439" s="198" t="s">
        <v>2272</v>
      </c>
      <c r="L1439" s="198" t="s">
        <v>2272</v>
      </c>
      <c r="M1439" s="198" t="s">
        <v>2272</v>
      </c>
      <c r="N1439" s="198" t="s">
        <v>2272</v>
      </c>
      <c r="O1439" s="198" t="s">
        <v>2272</v>
      </c>
      <c r="P1439" s="198" t="s">
        <v>2272</v>
      </c>
      <c r="Q1439" s="198" t="s">
        <v>2272</v>
      </c>
      <c r="R1439" s="198" t="s">
        <v>2272</v>
      </c>
      <c r="S1439" s="198" t="s">
        <v>2272</v>
      </c>
      <c r="T1439" s="198" t="s">
        <v>2272</v>
      </c>
      <c r="U1439" s="198" t="s">
        <v>2272</v>
      </c>
      <c r="V1439" s="198" t="s">
        <v>2272</v>
      </c>
      <c r="W1439" s="198" t="s">
        <v>2272</v>
      </c>
      <c r="X1439" s="198" t="s">
        <v>2272</v>
      </c>
      <c r="Y1439" s="198" t="s">
        <v>2272</v>
      </c>
      <c r="Z1439" s="198" t="s">
        <v>2272</v>
      </c>
      <c r="AA1439" s="198" t="s">
        <v>2272</v>
      </c>
      <c r="AB1439" s="198" t="s">
        <v>2272</v>
      </c>
      <c r="AC1439" s="198" t="s">
        <v>2272</v>
      </c>
      <c r="AD1439" s="198" t="s">
        <v>4271</v>
      </c>
      <c r="AE1439" s="4" t="s">
        <v>4274</v>
      </c>
    </row>
    <row r="1440" spans="1:31" ht="45.5" customHeight="1">
      <c r="A1440" s="198" t="s">
        <v>4252</v>
      </c>
      <c r="B1440" s="198" t="s">
        <v>4283</v>
      </c>
      <c r="C1440" s="198" t="s">
        <v>23</v>
      </c>
      <c r="D1440" s="198" t="s">
        <v>2654</v>
      </c>
      <c r="E1440" s="4" t="s">
        <v>3849</v>
      </c>
      <c r="F1440" s="4" t="s">
        <v>2272</v>
      </c>
      <c r="G1440" s="198" t="s">
        <v>2272</v>
      </c>
      <c r="H1440" s="198" t="s">
        <v>521</v>
      </c>
      <c r="I1440" s="198"/>
      <c r="J1440" s="198" t="s">
        <v>2272</v>
      </c>
      <c r="K1440" s="198" t="s">
        <v>2272</v>
      </c>
      <c r="L1440" s="198" t="s">
        <v>2272</v>
      </c>
      <c r="M1440" s="198" t="s">
        <v>2272</v>
      </c>
      <c r="N1440" s="198" t="s">
        <v>2272</v>
      </c>
      <c r="O1440" s="198" t="s">
        <v>2272</v>
      </c>
      <c r="P1440" s="198" t="s">
        <v>2272</v>
      </c>
      <c r="Q1440" s="198" t="s">
        <v>2272</v>
      </c>
      <c r="R1440" s="198" t="s">
        <v>2272</v>
      </c>
      <c r="S1440" s="198" t="s">
        <v>2272</v>
      </c>
      <c r="T1440" s="198" t="s">
        <v>2272</v>
      </c>
      <c r="U1440" s="198" t="s">
        <v>2272</v>
      </c>
      <c r="V1440" s="198" t="s">
        <v>2272</v>
      </c>
      <c r="W1440" s="198" t="s">
        <v>2272</v>
      </c>
      <c r="X1440" s="198" t="s">
        <v>2272</v>
      </c>
      <c r="Y1440" s="198" t="s">
        <v>2272</v>
      </c>
      <c r="Z1440" s="198" t="s">
        <v>2272</v>
      </c>
      <c r="AA1440" s="198" t="s">
        <v>2272</v>
      </c>
      <c r="AB1440" s="198" t="s">
        <v>2272</v>
      </c>
      <c r="AC1440" s="198" t="s">
        <v>2272</v>
      </c>
      <c r="AD1440" s="198" t="s">
        <v>4272</v>
      </c>
      <c r="AE1440" s="4" t="s">
        <v>4274</v>
      </c>
    </row>
    <row r="1441" spans="1:31" ht="43.5">
      <c r="A1441" s="198" t="s">
        <v>4252</v>
      </c>
      <c r="B1441" s="198" t="s">
        <v>4284</v>
      </c>
      <c r="C1441" s="198" t="s">
        <v>23</v>
      </c>
      <c r="D1441" s="198" t="s">
        <v>2342</v>
      </c>
      <c r="E1441" s="4" t="s">
        <v>2272</v>
      </c>
      <c r="F1441" s="4" t="s">
        <v>2272</v>
      </c>
      <c r="G1441" s="198" t="s">
        <v>2272</v>
      </c>
      <c r="H1441" s="198" t="s">
        <v>521</v>
      </c>
      <c r="I1441" s="198"/>
      <c r="J1441" s="198" t="s">
        <v>2272</v>
      </c>
      <c r="K1441" s="198" t="s">
        <v>2272</v>
      </c>
      <c r="L1441" s="198" t="s">
        <v>2272</v>
      </c>
      <c r="M1441" s="198" t="s">
        <v>2272</v>
      </c>
      <c r="N1441" s="198" t="s">
        <v>2272</v>
      </c>
      <c r="O1441" s="198" t="s">
        <v>2272</v>
      </c>
      <c r="P1441" s="198" t="s">
        <v>2272</v>
      </c>
      <c r="Q1441" s="198" t="s">
        <v>2272</v>
      </c>
      <c r="R1441" s="198" t="s">
        <v>2272</v>
      </c>
      <c r="S1441" s="198" t="s">
        <v>2272</v>
      </c>
      <c r="T1441" s="198" t="s">
        <v>2272</v>
      </c>
      <c r="U1441" s="198" t="s">
        <v>2272</v>
      </c>
      <c r="V1441" s="198" t="s">
        <v>2272</v>
      </c>
      <c r="W1441" s="198" t="s">
        <v>2272</v>
      </c>
      <c r="X1441" s="198" t="s">
        <v>2272</v>
      </c>
      <c r="Y1441" s="198" t="s">
        <v>2272</v>
      </c>
      <c r="Z1441" s="198" t="s">
        <v>2272</v>
      </c>
      <c r="AA1441" s="198" t="s">
        <v>2272</v>
      </c>
      <c r="AB1441" s="198" t="s">
        <v>2272</v>
      </c>
      <c r="AC1441" s="198" t="s">
        <v>2272</v>
      </c>
      <c r="AD1441" s="164" t="s">
        <v>4275</v>
      </c>
      <c r="AE1441" s="4" t="s">
        <v>4274</v>
      </c>
    </row>
    <row r="1442" spans="1:31" ht="54.5" customHeight="1">
      <c r="A1442" s="198" t="s">
        <v>4060</v>
      </c>
      <c r="B1442" s="198" t="s">
        <v>4285</v>
      </c>
      <c r="C1442" s="198" t="s">
        <v>23</v>
      </c>
      <c r="D1442" s="198" t="s">
        <v>24</v>
      </c>
      <c r="E1442" s="4" t="s">
        <v>3849</v>
      </c>
      <c r="F1442" s="4" t="s">
        <v>2657</v>
      </c>
      <c r="G1442" s="198" t="s">
        <v>2272</v>
      </c>
      <c r="H1442" s="198" t="s">
        <v>521</v>
      </c>
      <c r="I1442" s="198"/>
      <c r="J1442" s="198" t="s">
        <v>2272</v>
      </c>
      <c r="K1442" s="198" t="s">
        <v>2272</v>
      </c>
      <c r="L1442" s="198" t="s">
        <v>2272</v>
      </c>
      <c r="M1442" s="198" t="s">
        <v>2272</v>
      </c>
      <c r="N1442" s="198" t="s">
        <v>2272</v>
      </c>
      <c r="O1442" s="198" t="s">
        <v>2272</v>
      </c>
      <c r="P1442" s="198" t="s">
        <v>2272</v>
      </c>
      <c r="Q1442" s="198" t="s">
        <v>2272</v>
      </c>
      <c r="R1442" s="198" t="s">
        <v>2272</v>
      </c>
      <c r="S1442" s="198" t="s">
        <v>2272</v>
      </c>
      <c r="T1442" s="198" t="s">
        <v>2272</v>
      </c>
      <c r="U1442" s="198" t="s">
        <v>2272</v>
      </c>
      <c r="V1442" s="198" t="s">
        <v>2272</v>
      </c>
      <c r="W1442" s="198" t="s">
        <v>2272</v>
      </c>
      <c r="X1442" s="198" t="s">
        <v>2272</v>
      </c>
      <c r="Y1442" s="198" t="s">
        <v>2272</v>
      </c>
      <c r="Z1442" s="198" t="s">
        <v>2272</v>
      </c>
      <c r="AA1442" s="198" t="s">
        <v>2272</v>
      </c>
      <c r="AB1442" s="198" t="s">
        <v>2272</v>
      </c>
      <c r="AC1442" s="198" t="s">
        <v>2272</v>
      </c>
      <c r="AD1442" s="198" t="s">
        <v>4268</v>
      </c>
      <c r="AE1442" s="4" t="s">
        <v>4274</v>
      </c>
    </row>
    <row r="1443" spans="1:31" ht="52.5" customHeight="1">
      <c r="A1443" s="198" t="s">
        <v>4060</v>
      </c>
      <c r="B1443" s="198" t="s">
        <v>4286</v>
      </c>
      <c r="C1443" s="198" t="s">
        <v>2453</v>
      </c>
      <c r="D1443" s="198" t="s">
        <v>24</v>
      </c>
      <c r="E1443" s="4" t="s">
        <v>3849</v>
      </c>
      <c r="F1443" s="4" t="s">
        <v>73</v>
      </c>
      <c r="G1443" s="198" t="s">
        <v>2272</v>
      </c>
      <c r="H1443" s="198" t="s">
        <v>521</v>
      </c>
      <c r="I1443" s="198"/>
      <c r="J1443" s="198" t="s">
        <v>2272</v>
      </c>
      <c r="K1443" s="198" t="s">
        <v>2272</v>
      </c>
      <c r="L1443" s="198" t="s">
        <v>2272</v>
      </c>
      <c r="M1443" s="198" t="s">
        <v>2272</v>
      </c>
      <c r="N1443" s="198" t="s">
        <v>2272</v>
      </c>
      <c r="O1443" s="198" t="s">
        <v>2272</v>
      </c>
      <c r="P1443" s="198" t="s">
        <v>2272</v>
      </c>
      <c r="Q1443" s="198" t="s">
        <v>2272</v>
      </c>
      <c r="R1443" s="198" t="s">
        <v>2272</v>
      </c>
      <c r="S1443" s="198" t="s">
        <v>2272</v>
      </c>
      <c r="T1443" s="198" t="s">
        <v>2272</v>
      </c>
      <c r="U1443" s="198" t="s">
        <v>2272</v>
      </c>
      <c r="V1443" s="198" t="s">
        <v>2272</v>
      </c>
      <c r="W1443" s="198" t="s">
        <v>2272</v>
      </c>
      <c r="X1443" s="198" t="s">
        <v>2272</v>
      </c>
      <c r="Y1443" s="198" t="s">
        <v>2272</v>
      </c>
      <c r="Z1443" s="198" t="s">
        <v>2272</v>
      </c>
      <c r="AA1443" s="198" t="s">
        <v>2272</v>
      </c>
      <c r="AB1443" s="198" t="s">
        <v>2272</v>
      </c>
      <c r="AC1443" s="198" t="s">
        <v>2272</v>
      </c>
      <c r="AD1443" s="198" t="s">
        <v>2272</v>
      </c>
      <c r="AE1443" s="4" t="s">
        <v>4274</v>
      </c>
    </row>
    <row r="1444" spans="1:31" ht="29">
      <c r="A1444" s="198" t="s">
        <v>4060</v>
      </c>
      <c r="B1444" s="198" t="s">
        <v>4287</v>
      </c>
      <c r="C1444" s="198" t="s">
        <v>23</v>
      </c>
      <c r="D1444" s="198" t="s">
        <v>2989</v>
      </c>
      <c r="E1444" s="4" t="s">
        <v>1102</v>
      </c>
      <c r="F1444" s="4" t="s">
        <v>2272</v>
      </c>
      <c r="G1444" s="198" t="s">
        <v>2272</v>
      </c>
      <c r="H1444" s="198" t="s">
        <v>521</v>
      </c>
      <c r="I1444" s="198"/>
      <c r="J1444" s="198" t="s">
        <v>2272</v>
      </c>
      <c r="K1444" s="198" t="s">
        <v>2272</v>
      </c>
      <c r="L1444" s="198" t="s">
        <v>2272</v>
      </c>
      <c r="M1444" s="198" t="s">
        <v>2272</v>
      </c>
      <c r="N1444" s="198" t="s">
        <v>2272</v>
      </c>
      <c r="O1444" s="198" t="s">
        <v>2272</v>
      </c>
      <c r="P1444" s="198" t="s">
        <v>2272</v>
      </c>
      <c r="Q1444" s="198" t="s">
        <v>2272</v>
      </c>
      <c r="R1444" s="198" t="s">
        <v>2272</v>
      </c>
      <c r="S1444" s="198" t="s">
        <v>2272</v>
      </c>
      <c r="T1444" s="198" t="s">
        <v>2272</v>
      </c>
      <c r="U1444" s="198" t="s">
        <v>2272</v>
      </c>
      <c r="V1444" s="198" t="s">
        <v>2272</v>
      </c>
      <c r="W1444" s="198" t="s">
        <v>2272</v>
      </c>
      <c r="X1444" s="198" t="s">
        <v>2272</v>
      </c>
      <c r="Y1444" s="198" t="s">
        <v>2272</v>
      </c>
      <c r="Z1444" s="198" t="s">
        <v>2272</v>
      </c>
      <c r="AA1444" s="198" t="s">
        <v>2272</v>
      </c>
      <c r="AB1444" s="198" t="s">
        <v>2272</v>
      </c>
      <c r="AC1444" s="198" t="s">
        <v>2272</v>
      </c>
      <c r="AD1444" s="198" t="s">
        <v>4273</v>
      </c>
      <c r="AE1444" s="4" t="s">
        <v>4274</v>
      </c>
    </row>
    <row r="1445" spans="1:31" ht="29">
      <c r="A1445" s="198" t="s">
        <v>4060</v>
      </c>
      <c r="B1445" s="198" t="s">
        <v>4288</v>
      </c>
      <c r="C1445" s="198" t="s">
        <v>2453</v>
      </c>
      <c r="D1445" s="198" t="s">
        <v>2989</v>
      </c>
      <c r="E1445" s="4" t="s">
        <v>1102</v>
      </c>
      <c r="F1445" s="4" t="s">
        <v>2272</v>
      </c>
      <c r="G1445" s="198" t="s">
        <v>2272</v>
      </c>
      <c r="H1445" s="198" t="s">
        <v>521</v>
      </c>
      <c r="I1445" s="198"/>
      <c r="J1445" s="198" t="s">
        <v>2272</v>
      </c>
      <c r="K1445" s="198" t="s">
        <v>2272</v>
      </c>
      <c r="L1445" s="198" t="s">
        <v>2272</v>
      </c>
      <c r="M1445" s="198" t="s">
        <v>2272</v>
      </c>
      <c r="N1445" s="198" t="s">
        <v>2272</v>
      </c>
      <c r="O1445" s="198" t="s">
        <v>2272</v>
      </c>
      <c r="P1445" s="198" t="s">
        <v>2272</v>
      </c>
      <c r="Q1445" s="198" t="s">
        <v>2272</v>
      </c>
      <c r="R1445" s="198" t="s">
        <v>2272</v>
      </c>
      <c r="S1445" s="198" t="s">
        <v>2272</v>
      </c>
      <c r="T1445" s="198" t="s">
        <v>2272</v>
      </c>
      <c r="U1445" s="198" t="s">
        <v>2272</v>
      </c>
      <c r="V1445" s="198" t="s">
        <v>2272</v>
      </c>
      <c r="W1445" s="198" t="s">
        <v>2272</v>
      </c>
      <c r="X1445" s="198" t="s">
        <v>2272</v>
      </c>
      <c r="Y1445" s="198" t="s">
        <v>2272</v>
      </c>
      <c r="Z1445" s="198" t="s">
        <v>2272</v>
      </c>
      <c r="AA1445" s="198" t="s">
        <v>2272</v>
      </c>
      <c r="AB1445" s="198" t="s">
        <v>2272</v>
      </c>
      <c r="AC1445" s="198" t="s">
        <v>2272</v>
      </c>
      <c r="AD1445" s="198" t="s">
        <v>2272</v>
      </c>
      <c r="AE1445" s="4" t="s">
        <v>4274</v>
      </c>
    </row>
    <row r="1446" spans="1:31" ht="29">
      <c r="A1446" s="198" t="s">
        <v>4060</v>
      </c>
      <c r="B1446" s="198" t="s">
        <v>4289</v>
      </c>
      <c r="C1446" s="198" t="s">
        <v>30</v>
      </c>
      <c r="D1446" s="198" t="s">
        <v>29</v>
      </c>
      <c r="E1446" s="198" t="s">
        <v>1102</v>
      </c>
      <c r="F1446" s="4" t="s">
        <v>2272</v>
      </c>
      <c r="G1446" s="198" t="s">
        <v>2272</v>
      </c>
      <c r="H1446" s="198" t="s">
        <v>521</v>
      </c>
      <c r="I1446" s="198"/>
      <c r="J1446" s="198" t="s">
        <v>2272</v>
      </c>
      <c r="K1446" s="198" t="s">
        <v>2272</v>
      </c>
      <c r="L1446" s="198" t="s">
        <v>2272</v>
      </c>
      <c r="M1446" s="198" t="s">
        <v>2272</v>
      </c>
      <c r="N1446" s="198" t="s">
        <v>2272</v>
      </c>
      <c r="O1446" s="198" t="s">
        <v>2272</v>
      </c>
      <c r="P1446" s="198" t="s">
        <v>2272</v>
      </c>
      <c r="Q1446" s="198" t="s">
        <v>2272</v>
      </c>
      <c r="R1446" s="198" t="s">
        <v>2272</v>
      </c>
      <c r="S1446" s="198" t="s">
        <v>2272</v>
      </c>
      <c r="T1446" s="198" t="s">
        <v>2272</v>
      </c>
      <c r="U1446" s="198" t="s">
        <v>2272</v>
      </c>
      <c r="V1446" s="198" t="s">
        <v>2272</v>
      </c>
      <c r="W1446" s="198" t="s">
        <v>2272</v>
      </c>
      <c r="X1446" s="198" t="s">
        <v>2272</v>
      </c>
      <c r="Y1446" s="198" t="s">
        <v>2272</v>
      </c>
      <c r="Z1446" s="198" t="s">
        <v>2272</v>
      </c>
      <c r="AA1446" s="198" t="s">
        <v>2272</v>
      </c>
      <c r="AB1446" s="198" t="s">
        <v>2272</v>
      </c>
      <c r="AC1446" s="198" t="s">
        <v>2272</v>
      </c>
      <c r="AD1446" s="4" t="s">
        <v>4270</v>
      </c>
      <c r="AE1446" s="4" t="s">
        <v>4274</v>
      </c>
    </row>
    <row r="1447" spans="1:31" ht="29">
      <c r="A1447" s="198" t="s">
        <v>4060</v>
      </c>
      <c r="B1447" s="198" t="s">
        <v>4290</v>
      </c>
      <c r="C1447" s="198" t="s">
        <v>30</v>
      </c>
      <c r="D1447" s="198" t="s">
        <v>29</v>
      </c>
      <c r="E1447" s="198" t="s">
        <v>2647</v>
      </c>
      <c r="F1447" s="4" t="s">
        <v>2272</v>
      </c>
      <c r="G1447" s="198" t="s">
        <v>2272</v>
      </c>
      <c r="H1447" s="198" t="s">
        <v>521</v>
      </c>
      <c r="I1447" s="198"/>
      <c r="J1447" s="198" t="s">
        <v>2272</v>
      </c>
      <c r="K1447" s="198" t="s">
        <v>2272</v>
      </c>
      <c r="L1447" s="198" t="s">
        <v>2272</v>
      </c>
      <c r="M1447" s="198" t="s">
        <v>2272</v>
      </c>
      <c r="N1447" s="198" t="s">
        <v>2272</v>
      </c>
      <c r="O1447" s="198" t="s">
        <v>2272</v>
      </c>
      <c r="P1447" s="198" t="s">
        <v>2272</v>
      </c>
      <c r="Q1447" s="198" t="s">
        <v>2272</v>
      </c>
      <c r="R1447" s="198" t="s">
        <v>2272</v>
      </c>
      <c r="S1447" s="198" t="s">
        <v>2272</v>
      </c>
      <c r="T1447" s="198" t="s">
        <v>2272</v>
      </c>
      <c r="U1447" s="198" t="s">
        <v>2272</v>
      </c>
      <c r="V1447" s="198" t="s">
        <v>2272</v>
      </c>
      <c r="W1447" s="198" t="s">
        <v>2272</v>
      </c>
      <c r="X1447" s="198" t="s">
        <v>2272</v>
      </c>
      <c r="Y1447" s="198" t="s">
        <v>2272</v>
      </c>
      <c r="Z1447" s="198" t="s">
        <v>2272</v>
      </c>
      <c r="AA1447" s="198" t="s">
        <v>2272</v>
      </c>
      <c r="AB1447" s="198" t="s">
        <v>2272</v>
      </c>
      <c r="AC1447" s="198" t="s">
        <v>2272</v>
      </c>
      <c r="AD1447" s="4" t="s">
        <v>4269</v>
      </c>
      <c r="AE1447" s="4" t="s">
        <v>4274</v>
      </c>
    </row>
    <row r="1448" spans="1:31" ht="60" customHeight="1">
      <c r="A1448" s="198" t="s">
        <v>4060</v>
      </c>
      <c r="B1448" s="198" t="s">
        <v>4291</v>
      </c>
      <c r="C1448" s="198" t="s">
        <v>23</v>
      </c>
      <c r="D1448" s="198" t="s">
        <v>2227</v>
      </c>
      <c r="E1448" s="4" t="s">
        <v>3849</v>
      </c>
      <c r="F1448" s="4" t="s">
        <v>2272</v>
      </c>
      <c r="G1448" s="198" t="s">
        <v>2272</v>
      </c>
      <c r="H1448" s="198" t="s">
        <v>521</v>
      </c>
      <c r="I1448" s="198"/>
      <c r="J1448" s="198" t="s">
        <v>2272</v>
      </c>
      <c r="K1448" s="198" t="s">
        <v>2272</v>
      </c>
      <c r="L1448" s="198" t="s">
        <v>2272</v>
      </c>
      <c r="M1448" s="198" t="s">
        <v>2272</v>
      </c>
      <c r="N1448" s="198" t="s">
        <v>2272</v>
      </c>
      <c r="O1448" s="198" t="s">
        <v>2272</v>
      </c>
      <c r="P1448" s="198" t="s">
        <v>2272</v>
      </c>
      <c r="Q1448" s="198" t="s">
        <v>2272</v>
      </c>
      <c r="R1448" s="198" t="s">
        <v>2272</v>
      </c>
      <c r="S1448" s="198" t="s">
        <v>2272</v>
      </c>
      <c r="T1448" s="198" t="s">
        <v>2272</v>
      </c>
      <c r="U1448" s="198" t="s">
        <v>2272</v>
      </c>
      <c r="V1448" s="198" t="s">
        <v>2272</v>
      </c>
      <c r="W1448" s="198" t="s">
        <v>2272</v>
      </c>
      <c r="X1448" s="198" t="s">
        <v>2272</v>
      </c>
      <c r="Y1448" s="198" t="s">
        <v>2272</v>
      </c>
      <c r="Z1448" s="198" t="s">
        <v>2272</v>
      </c>
      <c r="AA1448" s="198" t="s">
        <v>2272</v>
      </c>
      <c r="AB1448" s="198" t="s">
        <v>2272</v>
      </c>
      <c r="AC1448" s="198" t="s">
        <v>2272</v>
      </c>
      <c r="AD1448" s="198" t="s">
        <v>4271</v>
      </c>
      <c r="AE1448" s="4" t="s">
        <v>4274</v>
      </c>
    </row>
    <row r="1449" spans="1:31" ht="60.5" customHeight="1">
      <c r="A1449" s="198" t="s">
        <v>4060</v>
      </c>
      <c r="B1449" s="198" t="s">
        <v>4292</v>
      </c>
      <c r="C1449" s="198" t="s">
        <v>23</v>
      </c>
      <c r="D1449" s="198" t="s">
        <v>2654</v>
      </c>
      <c r="E1449" s="4" t="s">
        <v>3849</v>
      </c>
      <c r="F1449" s="4" t="s">
        <v>2272</v>
      </c>
      <c r="G1449" s="198" t="s">
        <v>2272</v>
      </c>
      <c r="H1449" s="198" t="s">
        <v>521</v>
      </c>
      <c r="I1449" s="198"/>
      <c r="J1449" s="198" t="s">
        <v>2272</v>
      </c>
      <c r="K1449" s="198" t="s">
        <v>2272</v>
      </c>
      <c r="L1449" s="198" t="s">
        <v>2272</v>
      </c>
      <c r="M1449" s="198" t="s">
        <v>2272</v>
      </c>
      <c r="N1449" s="198" t="s">
        <v>2272</v>
      </c>
      <c r="O1449" s="198" t="s">
        <v>2272</v>
      </c>
      <c r="P1449" s="198" t="s">
        <v>2272</v>
      </c>
      <c r="Q1449" s="198" t="s">
        <v>2272</v>
      </c>
      <c r="R1449" s="198" t="s">
        <v>2272</v>
      </c>
      <c r="S1449" s="198" t="s">
        <v>2272</v>
      </c>
      <c r="T1449" s="198" t="s">
        <v>2272</v>
      </c>
      <c r="U1449" s="198" t="s">
        <v>2272</v>
      </c>
      <c r="V1449" s="198" t="s">
        <v>2272</v>
      </c>
      <c r="W1449" s="198" t="s">
        <v>2272</v>
      </c>
      <c r="X1449" s="198" t="s">
        <v>2272</v>
      </c>
      <c r="Y1449" s="198" t="s">
        <v>2272</v>
      </c>
      <c r="Z1449" s="198" t="s">
        <v>2272</v>
      </c>
      <c r="AA1449" s="198" t="s">
        <v>2272</v>
      </c>
      <c r="AB1449" s="198" t="s">
        <v>2272</v>
      </c>
      <c r="AC1449" s="198" t="s">
        <v>2272</v>
      </c>
      <c r="AD1449" s="198" t="s">
        <v>4272</v>
      </c>
      <c r="AE1449" s="4" t="s">
        <v>4274</v>
      </c>
    </row>
    <row r="1450" spans="1:31" ht="43.5">
      <c r="A1450" s="198" t="s">
        <v>4060</v>
      </c>
      <c r="B1450" s="198" t="s">
        <v>4293</v>
      </c>
      <c r="C1450" s="198" t="s">
        <v>23</v>
      </c>
      <c r="D1450" s="198" t="s">
        <v>2342</v>
      </c>
      <c r="E1450" s="4" t="s">
        <v>2272</v>
      </c>
      <c r="F1450" s="4" t="s">
        <v>2272</v>
      </c>
      <c r="G1450" s="198" t="s">
        <v>2272</v>
      </c>
      <c r="H1450" s="198" t="s">
        <v>521</v>
      </c>
      <c r="I1450" s="198"/>
      <c r="J1450" s="198" t="s">
        <v>2272</v>
      </c>
      <c r="K1450" s="198" t="s">
        <v>2272</v>
      </c>
      <c r="L1450" s="198" t="s">
        <v>2272</v>
      </c>
      <c r="M1450" s="198" t="s">
        <v>2272</v>
      </c>
      <c r="N1450" s="198" t="s">
        <v>2272</v>
      </c>
      <c r="O1450" s="198" t="s">
        <v>2272</v>
      </c>
      <c r="P1450" s="198" t="s">
        <v>2272</v>
      </c>
      <c r="Q1450" s="198" t="s">
        <v>2272</v>
      </c>
      <c r="R1450" s="198" t="s">
        <v>2272</v>
      </c>
      <c r="S1450" s="198" t="s">
        <v>2272</v>
      </c>
      <c r="T1450" s="198" t="s">
        <v>2272</v>
      </c>
      <c r="U1450" s="198" t="s">
        <v>2272</v>
      </c>
      <c r="V1450" s="198" t="s">
        <v>2272</v>
      </c>
      <c r="W1450" s="198" t="s">
        <v>2272</v>
      </c>
      <c r="X1450" s="198" t="s">
        <v>2272</v>
      </c>
      <c r="Y1450" s="198" t="s">
        <v>2272</v>
      </c>
      <c r="Z1450" s="198" t="s">
        <v>2272</v>
      </c>
      <c r="AA1450" s="198" t="s">
        <v>2272</v>
      </c>
      <c r="AB1450" s="198" t="s">
        <v>2272</v>
      </c>
      <c r="AC1450" s="198" t="s">
        <v>2272</v>
      </c>
      <c r="AD1450" s="164" t="s">
        <v>4275</v>
      </c>
      <c r="AE1450" s="4" t="s">
        <v>4274</v>
      </c>
    </row>
    <row r="1451" spans="1:31" ht="48.5" customHeight="1">
      <c r="A1451" s="198" t="s">
        <v>4251</v>
      </c>
      <c r="B1451" s="198" t="s">
        <v>4267</v>
      </c>
      <c r="C1451" s="198" t="s">
        <v>23</v>
      </c>
      <c r="D1451" s="198" t="s">
        <v>2272</v>
      </c>
      <c r="E1451" s="198" t="s">
        <v>2272</v>
      </c>
      <c r="F1451" s="4" t="s">
        <v>2272</v>
      </c>
      <c r="G1451" s="198" t="s">
        <v>73</v>
      </c>
      <c r="H1451" s="198" t="s">
        <v>521</v>
      </c>
      <c r="I1451" s="198"/>
      <c r="J1451" s="198" t="s">
        <v>2272</v>
      </c>
      <c r="K1451" s="198" t="s">
        <v>2272</v>
      </c>
      <c r="L1451" s="198" t="s">
        <v>2272</v>
      </c>
      <c r="M1451" s="198" t="s">
        <v>2272</v>
      </c>
      <c r="N1451" s="198" t="s">
        <v>2272</v>
      </c>
      <c r="O1451" s="198" t="s">
        <v>2272</v>
      </c>
      <c r="P1451" s="198" t="s">
        <v>2272</v>
      </c>
      <c r="Q1451" s="198" t="s">
        <v>2272</v>
      </c>
      <c r="R1451" s="198" t="s">
        <v>2272</v>
      </c>
      <c r="S1451" s="198" t="s">
        <v>2272</v>
      </c>
      <c r="T1451" s="198" t="s">
        <v>2272</v>
      </c>
      <c r="U1451" s="198" t="s">
        <v>2272</v>
      </c>
      <c r="V1451" s="198" t="s">
        <v>2272</v>
      </c>
      <c r="W1451" s="198" t="s">
        <v>2272</v>
      </c>
      <c r="X1451" s="198" t="s">
        <v>2272</v>
      </c>
      <c r="Y1451" s="198" t="s">
        <v>2272</v>
      </c>
      <c r="Z1451" s="198" t="s">
        <v>2272</v>
      </c>
      <c r="AA1451" s="198" t="s">
        <v>2272</v>
      </c>
      <c r="AB1451" s="198" t="s">
        <v>2272</v>
      </c>
      <c r="AC1451" s="198" t="s">
        <v>2272</v>
      </c>
      <c r="AD1451" s="4" t="s">
        <v>4297</v>
      </c>
      <c r="AE1451" s="4" t="s">
        <v>4298</v>
      </c>
    </row>
    <row r="1452" spans="1:31" ht="48.5" customHeight="1">
      <c r="A1452" s="198" t="s">
        <v>4251</v>
      </c>
      <c r="B1452" s="198" t="s">
        <v>4294</v>
      </c>
      <c r="C1452" s="198" t="s">
        <v>2651</v>
      </c>
      <c r="D1452" s="198" t="s">
        <v>2272</v>
      </c>
      <c r="E1452" s="198" t="s">
        <v>2272</v>
      </c>
      <c r="F1452" s="4" t="s">
        <v>2272</v>
      </c>
      <c r="G1452" s="198" t="s">
        <v>73</v>
      </c>
      <c r="H1452" s="198" t="s">
        <v>521</v>
      </c>
      <c r="I1452" s="198"/>
      <c r="J1452" s="198" t="s">
        <v>2272</v>
      </c>
      <c r="K1452" s="198" t="s">
        <v>2272</v>
      </c>
      <c r="L1452" s="198" t="s">
        <v>2272</v>
      </c>
      <c r="M1452" s="198" t="s">
        <v>2272</v>
      </c>
      <c r="N1452" s="198" t="s">
        <v>2272</v>
      </c>
      <c r="O1452" s="198" t="s">
        <v>2272</v>
      </c>
      <c r="P1452" s="198" t="s">
        <v>2272</v>
      </c>
      <c r="Q1452" s="198" t="s">
        <v>2272</v>
      </c>
      <c r="R1452" s="198" t="s">
        <v>2272</v>
      </c>
      <c r="S1452" s="198" t="s">
        <v>2272</v>
      </c>
      <c r="T1452" s="198" t="s">
        <v>2272</v>
      </c>
      <c r="U1452" s="198" t="s">
        <v>2272</v>
      </c>
      <c r="V1452" s="198" t="s">
        <v>2272</v>
      </c>
      <c r="W1452" s="198" t="s">
        <v>2272</v>
      </c>
      <c r="X1452" s="198" t="s">
        <v>2272</v>
      </c>
      <c r="Y1452" s="198" t="s">
        <v>2272</v>
      </c>
      <c r="Z1452" s="198" t="s">
        <v>2272</v>
      </c>
      <c r="AA1452" s="198" t="s">
        <v>2272</v>
      </c>
      <c r="AB1452" s="198" t="s">
        <v>2272</v>
      </c>
      <c r="AC1452" s="198" t="s">
        <v>2272</v>
      </c>
      <c r="AD1452" s="4" t="s">
        <v>4297</v>
      </c>
      <c r="AE1452" s="4" t="s">
        <v>4298</v>
      </c>
    </row>
    <row r="1453" spans="1:31" ht="48.5" customHeight="1">
      <c r="A1453" s="198" t="s">
        <v>4251</v>
      </c>
      <c r="B1453" s="198" t="s">
        <v>4295</v>
      </c>
      <c r="C1453" s="198" t="s">
        <v>2453</v>
      </c>
      <c r="D1453" s="198" t="s">
        <v>2272</v>
      </c>
      <c r="E1453" s="198" t="s">
        <v>2272</v>
      </c>
      <c r="F1453" s="4" t="s">
        <v>2272</v>
      </c>
      <c r="G1453" s="198" t="s">
        <v>73</v>
      </c>
      <c r="H1453" s="198" t="s">
        <v>521</v>
      </c>
      <c r="I1453" s="198"/>
      <c r="J1453" s="198" t="s">
        <v>2272</v>
      </c>
      <c r="K1453" s="198" t="s">
        <v>2272</v>
      </c>
      <c r="L1453" s="198" t="s">
        <v>2272</v>
      </c>
      <c r="M1453" s="198" t="s">
        <v>2272</v>
      </c>
      <c r="N1453" s="198" t="s">
        <v>2272</v>
      </c>
      <c r="O1453" s="198" t="s">
        <v>2272</v>
      </c>
      <c r="P1453" s="198" t="s">
        <v>2272</v>
      </c>
      <c r="Q1453" s="198" t="s">
        <v>2272</v>
      </c>
      <c r="R1453" s="198" t="s">
        <v>2272</v>
      </c>
      <c r="S1453" s="198" t="s">
        <v>2272</v>
      </c>
      <c r="T1453" s="198" t="s">
        <v>2272</v>
      </c>
      <c r="U1453" s="198" t="s">
        <v>2272</v>
      </c>
      <c r="V1453" s="198" t="s">
        <v>2272</v>
      </c>
      <c r="W1453" s="198" t="s">
        <v>2272</v>
      </c>
      <c r="X1453" s="198" t="s">
        <v>2272</v>
      </c>
      <c r="Y1453" s="198" t="s">
        <v>2272</v>
      </c>
      <c r="Z1453" s="198" t="s">
        <v>2272</v>
      </c>
      <c r="AA1453" s="198" t="s">
        <v>2272</v>
      </c>
      <c r="AB1453" s="198" t="s">
        <v>2272</v>
      </c>
      <c r="AC1453" s="198" t="s">
        <v>2272</v>
      </c>
      <c r="AD1453" s="4" t="s">
        <v>4297</v>
      </c>
      <c r="AE1453" s="4" t="s">
        <v>4298</v>
      </c>
    </row>
    <row r="1454" spans="1:31" ht="48.5" customHeight="1">
      <c r="A1454" s="198" t="s">
        <v>4251</v>
      </c>
      <c r="B1454" s="198" t="s">
        <v>4296</v>
      </c>
      <c r="C1454" s="198" t="s">
        <v>30</v>
      </c>
      <c r="D1454" s="198" t="s">
        <v>29</v>
      </c>
      <c r="E1454" s="198" t="s">
        <v>2272</v>
      </c>
      <c r="F1454" s="4" t="s">
        <v>2272</v>
      </c>
      <c r="G1454" s="198" t="s">
        <v>73</v>
      </c>
      <c r="H1454" s="198" t="s">
        <v>521</v>
      </c>
      <c r="I1454" s="198"/>
      <c r="J1454" s="198" t="s">
        <v>2272</v>
      </c>
      <c r="K1454" s="198" t="s">
        <v>2272</v>
      </c>
      <c r="L1454" s="198" t="s">
        <v>2272</v>
      </c>
      <c r="M1454" s="198" t="s">
        <v>2272</v>
      </c>
      <c r="N1454" s="198" t="s">
        <v>2272</v>
      </c>
      <c r="O1454" s="198" t="s">
        <v>2272</v>
      </c>
      <c r="P1454" s="198" t="s">
        <v>2272</v>
      </c>
      <c r="Q1454" s="198" t="s">
        <v>2272</v>
      </c>
      <c r="R1454" s="198" t="s">
        <v>2272</v>
      </c>
      <c r="S1454" s="198" t="s">
        <v>2272</v>
      </c>
      <c r="T1454" s="198" t="s">
        <v>2272</v>
      </c>
      <c r="U1454" s="198" t="s">
        <v>2272</v>
      </c>
      <c r="V1454" s="198" t="s">
        <v>2272</v>
      </c>
      <c r="W1454" s="198" t="s">
        <v>2272</v>
      </c>
      <c r="X1454" s="198" t="s">
        <v>2272</v>
      </c>
      <c r="Y1454" s="198" t="s">
        <v>2272</v>
      </c>
      <c r="Z1454" s="198" t="s">
        <v>2272</v>
      </c>
      <c r="AA1454" s="198" t="s">
        <v>2272</v>
      </c>
      <c r="AB1454" s="198" t="s">
        <v>2272</v>
      </c>
      <c r="AC1454" s="198" t="s">
        <v>2272</v>
      </c>
      <c r="AD1454" s="4" t="s">
        <v>4297</v>
      </c>
      <c r="AE1454" s="4" t="s">
        <v>4298</v>
      </c>
    </row>
    <row r="1455" spans="1:31" ht="48.5" customHeight="1">
      <c r="A1455" s="198" t="s">
        <v>4251</v>
      </c>
      <c r="B1455" s="198" t="s">
        <v>5038</v>
      </c>
      <c r="C1455" s="198" t="s">
        <v>1102</v>
      </c>
      <c r="D1455" s="198" t="s">
        <v>1102</v>
      </c>
      <c r="E1455" s="198" t="s">
        <v>2272</v>
      </c>
      <c r="F1455" s="4" t="s">
        <v>2272</v>
      </c>
      <c r="G1455" s="198" t="s">
        <v>73</v>
      </c>
      <c r="H1455" s="198" t="s">
        <v>521</v>
      </c>
      <c r="I1455" s="198"/>
      <c r="J1455" s="198" t="s">
        <v>2272</v>
      </c>
      <c r="K1455" s="198" t="s">
        <v>2272</v>
      </c>
      <c r="L1455" s="198" t="s">
        <v>2272</v>
      </c>
      <c r="M1455" s="198" t="s">
        <v>2272</v>
      </c>
      <c r="N1455" s="198" t="s">
        <v>2272</v>
      </c>
      <c r="O1455" s="198" t="s">
        <v>2272</v>
      </c>
      <c r="P1455" s="198" t="s">
        <v>2272</v>
      </c>
      <c r="Q1455" s="21">
        <f>286/(182)</f>
        <v>1.5714285714285714</v>
      </c>
      <c r="R1455" s="198" t="s">
        <v>2272</v>
      </c>
      <c r="S1455" s="198" t="s">
        <v>2272</v>
      </c>
      <c r="T1455" s="198" t="s">
        <v>2272</v>
      </c>
      <c r="U1455" s="198" t="s">
        <v>2272</v>
      </c>
      <c r="V1455" s="198" t="s">
        <v>2272</v>
      </c>
      <c r="W1455" s="198">
        <v>3.06</v>
      </c>
      <c r="X1455" s="198" t="s">
        <v>2272</v>
      </c>
      <c r="Y1455" s="21">
        <f>286/57.84</f>
        <v>4.9446749654218527</v>
      </c>
      <c r="Z1455" s="198" t="s">
        <v>2272</v>
      </c>
      <c r="AA1455" s="198" t="s">
        <v>2272</v>
      </c>
      <c r="AB1455" s="198" t="s">
        <v>2272</v>
      </c>
      <c r="AC1455" s="198" t="s">
        <v>2272</v>
      </c>
      <c r="AD1455" s="4" t="s">
        <v>4297</v>
      </c>
      <c r="AE1455" s="4"/>
    </row>
    <row r="1456" spans="1:31" ht="29">
      <c r="A1456" s="198" t="s">
        <v>4252</v>
      </c>
      <c r="B1456" s="198" t="s">
        <v>4299</v>
      </c>
      <c r="C1456" s="198" t="s">
        <v>23</v>
      </c>
      <c r="D1456" s="198" t="s">
        <v>2272</v>
      </c>
      <c r="E1456" s="198" t="s">
        <v>2272</v>
      </c>
      <c r="F1456" s="4" t="s">
        <v>2272</v>
      </c>
      <c r="G1456" s="198" t="s">
        <v>73</v>
      </c>
      <c r="H1456" s="198" t="s">
        <v>521</v>
      </c>
      <c r="I1456" s="198"/>
      <c r="J1456" s="198" t="s">
        <v>2272</v>
      </c>
      <c r="K1456" s="198" t="s">
        <v>2272</v>
      </c>
      <c r="L1456" s="198" t="s">
        <v>2272</v>
      </c>
      <c r="M1456" s="198" t="s">
        <v>2272</v>
      </c>
      <c r="N1456" s="198" t="s">
        <v>2272</v>
      </c>
      <c r="O1456" s="198" t="s">
        <v>2272</v>
      </c>
      <c r="P1456" s="198" t="s">
        <v>2272</v>
      </c>
      <c r="Q1456" s="198" t="s">
        <v>2272</v>
      </c>
      <c r="R1456" s="198" t="s">
        <v>2272</v>
      </c>
      <c r="S1456" s="198" t="s">
        <v>2272</v>
      </c>
      <c r="T1456" s="198" t="s">
        <v>2272</v>
      </c>
      <c r="U1456" s="198" t="s">
        <v>2272</v>
      </c>
      <c r="V1456" s="198" t="s">
        <v>2272</v>
      </c>
      <c r="W1456" s="198" t="s">
        <v>2272</v>
      </c>
      <c r="X1456" s="198" t="s">
        <v>2272</v>
      </c>
      <c r="Y1456" s="21" t="s">
        <v>2272</v>
      </c>
      <c r="Z1456" s="198" t="s">
        <v>2272</v>
      </c>
      <c r="AA1456" s="198" t="s">
        <v>2272</v>
      </c>
      <c r="AB1456" s="198" t="s">
        <v>2272</v>
      </c>
      <c r="AC1456" s="198" t="s">
        <v>2272</v>
      </c>
      <c r="AD1456" s="4" t="s">
        <v>4297</v>
      </c>
      <c r="AE1456" s="4" t="s">
        <v>4298</v>
      </c>
    </row>
    <row r="1457" spans="1:31" ht="29">
      <c r="A1457" s="198" t="s">
        <v>4252</v>
      </c>
      <c r="B1457" s="198" t="s">
        <v>4300</v>
      </c>
      <c r="C1457" s="198" t="s">
        <v>2651</v>
      </c>
      <c r="D1457" s="198" t="s">
        <v>2272</v>
      </c>
      <c r="E1457" s="198" t="s">
        <v>2272</v>
      </c>
      <c r="F1457" s="4" t="s">
        <v>2272</v>
      </c>
      <c r="G1457" s="198" t="s">
        <v>73</v>
      </c>
      <c r="H1457" s="198" t="s">
        <v>521</v>
      </c>
      <c r="I1457" s="198"/>
      <c r="J1457" s="198" t="s">
        <v>2272</v>
      </c>
      <c r="K1457" s="198" t="s">
        <v>2272</v>
      </c>
      <c r="L1457" s="198" t="s">
        <v>2272</v>
      </c>
      <c r="M1457" s="198" t="s">
        <v>2272</v>
      </c>
      <c r="N1457" s="198" t="s">
        <v>2272</v>
      </c>
      <c r="O1457" s="198" t="s">
        <v>2272</v>
      </c>
      <c r="P1457" s="198" t="s">
        <v>2272</v>
      </c>
      <c r="Q1457" s="198" t="s">
        <v>2272</v>
      </c>
      <c r="R1457" s="198" t="s">
        <v>2272</v>
      </c>
      <c r="S1457" s="198" t="s">
        <v>2272</v>
      </c>
      <c r="T1457" s="198" t="s">
        <v>2272</v>
      </c>
      <c r="U1457" s="198" t="s">
        <v>2272</v>
      </c>
      <c r="V1457" s="198" t="s">
        <v>2272</v>
      </c>
      <c r="W1457" s="198" t="s">
        <v>2272</v>
      </c>
      <c r="X1457" s="198" t="s">
        <v>2272</v>
      </c>
      <c r="Y1457" s="21" t="s">
        <v>2272</v>
      </c>
      <c r="Z1457" s="198" t="s">
        <v>2272</v>
      </c>
      <c r="AA1457" s="198" t="s">
        <v>2272</v>
      </c>
      <c r="AB1457" s="198" t="s">
        <v>2272</v>
      </c>
      <c r="AC1457" s="198" t="s">
        <v>2272</v>
      </c>
      <c r="AD1457" s="4" t="s">
        <v>4297</v>
      </c>
      <c r="AE1457" s="4" t="s">
        <v>4298</v>
      </c>
    </row>
    <row r="1458" spans="1:31" ht="29">
      <c r="A1458" s="198" t="s">
        <v>4252</v>
      </c>
      <c r="B1458" s="198" t="s">
        <v>4301</v>
      </c>
      <c r="C1458" s="198" t="s">
        <v>2453</v>
      </c>
      <c r="D1458" s="198" t="s">
        <v>2272</v>
      </c>
      <c r="E1458" s="198" t="s">
        <v>2272</v>
      </c>
      <c r="F1458" s="4" t="s">
        <v>2272</v>
      </c>
      <c r="G1458" s="198" t="s">
        <v>73</v>
      </c>
      <c r="H1458" s="198" t="s">
        <v>521</v>
      </c>
      <c r="I1458" s="198"/>
      <c r="J1458" s="198" t="s">
        <v>2272</v>
      </c>
      <c r="K1458" s="198" t="s">
        <v>2272</v>
      </c>
      <c r="L1458" s="198" t="s">
        <v>2272</v>
      </c>
      <c r="M1458" s="198" t="s">
        <v>2272</v>
      </c>
      <c r="N1458" s="198" t="s">
        <v>2272</v>
      </c>
      <c r="O1458" s="198" t="s">
        <v>2272</v>
      </c>
      <c r="P1458" s="198" t="s">
        <v>2272</v>
      </c>
      <c r="Q1458" s="198" t="s">
        <v>2272</v>
      </c>
      <c r="R1458" s="198" t="s">
        <v>2272</v>
      </c>
      <c r="S1458" s="198" t="s">
        <v>2272</v>
      </c>
      <c r="T1458" s="198" t="s">
        <v>2272</v>
      </c>
      <c r="U1458" s="198" t="s">
        <v>2272</v>
      </c>
      <c r="V1458" s="198" t="s">
        <v>2272</v>
      </c>
      <c r="W1458" s="198" t="s">
        <v>2272</v>
      </c>
      <c r="X1458" s="198" t="s">
        <v>2272</v>
      </c>
      <c r="Y1458" s="21" t="s">
        <v>2272</v>
      </c>
      <c r="Z1458" s="198" t="s">
        <v>2272</v>
      </c>
      <c r="AA1458" s="198" t="s">
        <v>2272</v>
      </c>
      <c r="AB1458" s="198" t="s">
        <v>2272</v>
      </c>
      <c r="AC1458" s="198" t="s">
        <v>2272</v>
      </c>
      <c r="AD1458" s="4" t="s">
        <v>4297</v>
      </c>
      <c r="AE1458" s="4" t="s">
        <v>4298</v>
      </c>
    </row>
    <row r="1459" spans="1:31" ht="42" customHeight="1">
      <c r="A1459" s="198" t="s">
        <v>4252</v>
      </c>
      <c r="B1459" s="198" t="s">
        <v>4302</v>
      </c>
      <c r="C1459" s="198" t="s">
        <v>30</v>
      </c>
      <c r="D1459" s="198" t="s">
        <v>29</v>
      </c>
      <c r="E1459" s="198" t="s">
        <v>2272</v>
      </c>
      <c r="F1459" s="4" t="s">
        <v>2272</v>
      </c>
      <c r="G1459" s="198" t="s">
        <v>73</v>
      </c>
      <c r="H1459" s="198" t="s">
        <v>521</v>
      </c>
      <c r="I1459" s="198"/>
      <c r="J1459" s="198" t="s">
        <v>2272</v>
      </c>
      <c r="K1459" s="198" t="s">
        <v>2272</v>
      </c>
      <c r="L1459" s="198" t="s">
        <v>2272</v>
      </c>
      <c r="M1459" s="198" t="s">
        <v>2272</v>
      </c>
      <c r="N1459" s="198" t="s">
        <v>2272</v>
      </c>
      <c r="O1459" s="198" t="s">
        <v>2272</v>
      </c>
      <c r="P1459" s="198" t="s">
        <v>2272</v>
      </c>
      <c r="Q1459" s="198" t="s">
        <v>2272</v>
      </c>
      <c r="R1459" s="198" t="s">
        <v>2272</v>
      </c>
      <c r="S1459" s="198" t="s">
        <v>2272</v>
      </c>
      <c r="T1459" s="198" t="s">
        <v>2272</v>
      </c>
      <c r="U1459" s="198" t="s">
        <v>2272</v>
      </c>
      <c r="V1459" s="198" t="s">
        <v>2272</v>
      </c>
      <c r="W1459" s="198" t="s">
        <v>2272</v>
      </c>
      <c r="X1459" s="198" t="s">
        <v>2272</v>
      </c>
      <c r="Y1459" s="21" t="s">
        <v>2272</v>
      </c>
      <c r="Z1459" s="198" t="s">
        <v>2272</v>
      </c>
      <c r="AA1459" s="198" t="s">
        <v>2272</v>
      </c>
      <c r="AB1459" s="198" t="s">
        <v>2272</v>
      </c>
      <c r="AC1459" s="198" t="s">
        <v>2272</v>
      </c>
      <c r="AD1459" s="4" t="s">
        <v>4297</v>
      </c>
      <c r="AE1459" s="4" t="s">
        <v>4298</v>
      </c>
    </row>
    <row r="1460" spans="1:31" ht="42" customHeight="1">
      <c r="A1460" s="198" t="s">
        <v>4252</v>
      </c>
      <c r="B1460" s="198" t="s">
        <v>5040</v>
      </c>
      <c r="C1460" s="198" t="s">
        <v>1102</v>
      </c>
      <c r="D1460" s="198" t="s">
        <v>1102</v>
      </c>
      <c r="E1460" s="198" t="s">
        <v>2272</v>
      </c>
      <c r="F1460" s="4" t="s">
        <v>2272</v>
      </c>
      <c r="G1460" s="198" t="s">
        <v>73</v>
      </c>
      <c r="H1460" s="198" t="s">
        <v>521</v>
      </c>
      <c r="I1460" s="198"/>
      <c r="J1460" s="198" t="s">
        <v>2272</v>
      </c>
      <c r="K1460" s="198" t="s">
        <v>2272</v>
      </c>
      <c r="L1460" s="198" t="s">
        <v>2272</v>
      </c>
      <c r="M1460" s="198" t="s">
        <v>2272</v>
      </c>
      <c r="N1460" s="198" t="s">
        <v>2272</v>
      </c>
      <c r="O1460" s="198" t="s">
        <v>2272</v>
      </c>
      <c r="P1460" s="198" t="s">
        <v>2272</v>
      </c>
      <c r="Q1460" s="21">
        <f>143/(78)</f>
        <v>1.8333333333333333</v>
      </c>
      <c r="R1460" s="198" t="s">
        <v>2272</v>
      </c>
      <c r="S1460" s="198" t="s">
        <v>2272</v>
      </c>
      <c r="T1460" s="198" t="s">
        <v>2272</v>
      </c>
      <c r="U1460" s="198" t="s">
        <v>2272</v>
      </c>
      <c r="V1460" s="198" t="s">
        <v>2272</v>
      </c>
      <c r="W1460" s="198">
        <v>2.13</v>
      </c>
      <c r="X1460" s="198" t="s">
        <v>2272</v>
      </c>
      <c r="Y1460" s="21">
        <f>143/56.77</f>
        <v>2.5189360577769948</v>
      </c>
      <c r="Z1460" s="198" t="s">
        <v>2272</v>
      </c>
      <c r="AA1460" s="198" t="s">
        <v>2272</v>
      </c>
      <c r="AB1460" s="198" t="s">
        <v>2272</v>
      </c>
      <c r="AC1460" s="198" t="s">
        <v>2272</v>
      </c>
      <c r="AD1460" s="4" t="s">
        <v>4297</v>
      </c>
      <c r="AE1460" s="4"/>
    </row>
    <row r="1461" spans="1:31" ht="29">
      <c r="A1461" s="198" t="s">
        <v>4060</v>
      </c>
      <c r="B1461" s="198" t="s">
        <v>4303</v>
      </c>
      <c r="C1461" s="198" t="s">
        <v>23</v>
      </c>
      <c r="D1461" s="198" t="s">
        <v>2272</v>
      </c>
      <c r="E1461" s="198" t="s">
        <v>2272</v>
      </c>
      <c r="F1461" s="4" t="s">
        <v>2272</v>
      </c>
      <c r="G1461" s="198" t="s">
        <v>73</v>
      </c>
      <c r="H1461" s="198" t="s">
        <v>521</v>
      </c>
      <c r="I1461" s="198"/>
      <c r="J1461" s="198" t="s">
        <v>2272</v>
      </c>
      <c r="K1461" s="198" t="s">
        <v>2272</v>
      </c>
      <c r="L1461" s="198" t="s">
        <v>2272</v>
      </c>
      <c r="M1461" s="198" t="s">
        <v>2272</v>
      </c>
      <c r="N1461" s="198" t="s">
        <v>2272</v>
      </c>
      <c r="O1461" s="198" t="s">
        <v>2272</v>
      </c>
      <c r="P1461" s="198" t="s">
        <v>2272</v>
      </c>
      <c r="Q1461" s="198" t="s">
        <v>2272</v>
      </c>
      <c r="R1461" s="198" t="s">
        <v>2272</v>
      </c>
      <c r="S1461" s="198" t="s">
        <v>2272</v>
      </c>
      <c r="T1461" s="198" t="s">
        <v>2272</v>
      </c>
      <c r="U1461" s="198" t="s">
        <v>2272</v>
      </c>
      <c r="V1461" s="198" t="s">
        <v>2272</v>
      </c>
      <c r="W1461" s="198" t="s">
        <v>2272</v>
      </c>
      <c r="X1461" s="198" t="s">
        <v>2272</v>
      </c>
      <c r="Y1461" s="21" t="s">
        <v>2272</v>
      </c>
      <c r="Z1461" s="198" t="s">
        <v>2272</v>
      </c>
      <c r="AA1461" s="198" t="s">
        <v>2272</v>
      </c>
      <c r="AB1461" s="198" t="s">
        <v>2272</v>
      </c>
      <c r="AC1461" s="198" t="s">
        <v>2272</v>
      </c>
      <c r="AD1461" s="4" t="s">
        <v>4297</v>
      </c>
      <c r="AE1461" s="4" t="s">
        <v>4298</v>
      </c>
    </row>
    <row r="1462" spans="1:31" ht="29">
      <c r="A1462" s="198" t="s">
        <v>4060</v>
      </c>
      <c r="B1462" s="198" t="s">
        <v>4304</v>
      </c>
      <c r="C1462" s="198" t="s">
        <v>2651</v>
      </c>
      <c r="D1462" s="198" t="s">
        <v>2272</v>
      </c>
      <c r="E1462" s="198" t="s">
        <v>2272</v>
      </c>
      <c r="F1462" s="4" t="s">
        <v>2272</v>
      </c>
      <c r="G1462" s="198" t="s">
        <v>73</v>
      </c>
      <c r="H1462" s="198" t="s">
        <v>521</v>
      </c>
      <c r="I1462" s="198"/>
      <c r="J1462" s="198" t="s">
        <v>2272</v>
      </c>
      <c r="K1462" s="198" t="s">
        <v>2272</v>
      </c>
      <c r="L1462" s="198" t="s">
        <v>2272</v>
      </c>
      <c r="M1462" s="198" t="s">
        <v>2272</v>
      </c>
      <c r="N1462" s="198" t="s">
        <v>2272</v>
      </c>
      <c r="O1462" s="198" t="s">
        <v>2272</v>
      </c>
      <c r="P1462" s="198" t="s">
        <v>2272</v>
      </c>
      <c r="Q1462" s="198" t="s">
        <v>2272</v>
      </c>
      <c r="R1462" s="198" t="s">
        <v>2272</v>
      </c>
      <c r="S1462" s="198" t="s">
        <v>2272</v>
      </c>
      <c r="T1462" s="198" t="s">
        <v>2272</v>
      </c>
      <c r="U1462" s="198" t="s">
        <v>2272</v>
      </c>
      <c r="V1462" s="198" t="s">
        <v>2272</v>
      </c>
      <c r="W1462" s="198" t="s">
        <v>2272</v>
      </c>
      <c r="X1462" s="198" t="s">
        <v>2272</v>
      </c>
      <c r="Y1462" s="21" t="s">
        <v>2272</v>
      </c>
      <c r="Z1462" s="198" t="s">
        <v>2272</v>
      </c>
      <c r="AA1462" s="198" t="s">
        <v>2272</v>
      </c>
      <c r="AB1462" s="198" t="s">
        <v>2272</v>
      </c>
      <c r="AC1462" s="198" t="s">
        <v>2272</v>
      </c>
      <c r="AD1462" s="4" t="s">
        <v>4297</v>
      </c>
      <c r="AE1462" s="4" t="s">
        <v>4298</v>
      </c>
    </row>
    <row r="1463" spans="1:31" ht="29">
      <c r="A1463" s="198" t="s">
        <v>4060</v>
      </c>
      <c r="B1463" s="198" t="s">
        <v>4305</v>
      </c>
      <c r="C1463" s="198" t="s">
        <v>2453</v>
      </c>
      <c r="D1463" s="198" t="s">
        <v>2272</v>
      </c>
      <c r="E1463" s="198" t="s">
        <v>2272</v>
      </c>
      <c r="F1463" s="4" t="s">
        <v>2272</v>
      </c>
      <c r="G1463" s="198" t="s">
        <v>73</v>
      </c>
      <c r="H1463" s="198" t="s">
        <v>521</v>
      </c>
      <c r="I1463" s="198"/>
      <c r="J1463" s="198" t="s">
        <v>2272</v>
      </c>
      <c r="K1463" s="198" t="s">
        <v>2272</v>
      </c>
      <c r="L1463" s="198" t="s">
        <v>2272</v>
      </c>
      <c r="M1463" s="198" t="s">
        <v>2272</v>
      </c>
      <c r="N1463" s="198" t="s">
        <v>2272</v>
      </c>
      <c r="O1463" s="198" t="s">
        <v>2272</v>
      </c>
      <c r="P1463" s="198" t="s">
        <v>2272</v>
      </c>
      <c r="Q1463" s="198" t="s">
        <v>2272</v>
      </c>
      <c r="R1463" s="198" t="s">
        <v>2272</v>
      </c>
      <c r="S1463" s="198" t="s">
        <v>2272</v>
      </c>
      <c r="T1463" s="198" t="s">
        <v>2272</v>
      </c>
      <c r="U1463" s="198" t="s">
        <v>2272</v>
      </c>
      <c r="V1463" s="198" t="s">
        <v>2272</v>
      </c>
      <c r="W1463" s="198" t="s">
        <v>2272</v>
      </c>
      <c r="X1463" s="198" t="s">
        <v>2272</v>
      </c>
      <c r="Y1463" s="21" t="s">
        <v>2272</v>
      </c>
      <c r="Z1463" s="198" t="s">
        <v>2272</v>
      </c>
      <c r="AA1463" s="198" t="s">
        <v>2272</v>
      </c>
      <c r="AB1463" s="198" t="s">
        <v>2272</v>
      </c>
      <c r="AC1463" s="198" t="s">
        <v>2272</v>
      </c>
      <c r="AD1463" s="4" t="s">
        <v>4297</v>
      </c>
      <c r="AE1463" s="4" t="s">
        <v>4298</v>
      </c>
    </row>
    <row r="1464" spans="1:31" ht="37" customHeight="1">
      <c r="A1464" s="198" t="s">
        <v>4060</v>
      </c>
      <c r="B1464" s="198" t="s">
        <v>4306</v>
      </c>
      <c r="C1464" s="198" t="s">
        <v>30</v>
      </c>
      <c r="D1464" s="198" t="s">
        <v>29</v>
      </c>
      <c r="E1464" s="198" t="s">
        <v>2272</v>
      </c>
      <c r="F1464" s="4" t="s">
        <v>2272</v>
      </c>
      <c r="G1464" s="198" t="s">
        <v>73</v>
      </c>
      <c r="H1464" s="198" t="s">
        <v>521</v>
      </c>
      <c r="I1464" s="198"/>
      <c r="J1464" s="198" t="s">
        <v>2272</v>
      </c>
      <c r="K1464" s="198" t="s">
        <v>2272</v>
      </c>
      <c r="L1464" s="198" t="s">
        <v>2272</v>
      </c>
      <c r="M1464" s="198" t="s">
        <v>2272</v>
      </c>
      <c r="N1464" s="198" t="s">
        <v>2272</v>
      </c>
      <c r="O1464" s="198" t="s">
        <v>2272</v>
      </c>
      <c r="P1464" s="198" t="s">
        <v>2272</v>
      </c>
      <c r="Q1464" s="198" t="s">
        <v>2272</v>
      </c>
      <c r="R1464" s="198" t="s">
        <v>2272</v>
      </c>
      <c r="S1464" s="198" t="s">
        <v>2272</v>
      </c>
      <c r="T1464" s="198" t="s">
        <v>2272</v>
      </c>
      <c r="U1464" s="198" t="s">
        <v>2272</v>
      </c>
      <c r="V1464" s="198" t="s">
        <v>2272</v>
      </c>
      <c r="W1464" s="198" t="s">
        <v>2272</v>
      </c>
      <c r="X1464" s="198" t="s">
        <v>2272</v>
      </c>
      <c r="Y1464" s="21" t="s">
        <v>2272</v>
      </c>
      <c r="Z1464" s="198" t="s">
        <v>2272</v>
      </c>
      <c r="AA1464" s="198" t="s">
        <v>2272</v>
      </c>
      <c r="AB1464" s="198" t="s">
        <v>2272</v>
      </c>
      <c r="AC1464" s="198" t="s">
        <v>2272</v>
      </c>
      <c r="AD1464" s="4" t="s">
        <v>4297</v>
      </c>
      <c r="AE1464" s="4" t="s">
        <v>4298</v>
      </c>
    </row>
    <row r="1465" spans="1:31" ht="37" customHeight="1">
      <c r="A1465" s="198" t="s">
        <v>4060</v>
      </c>
      <c r="B1465" s="198" t="s">
        <v>5039</v>
      </c>
      <c r="C1465" s="198" t="s">
        <v>1102</v>
      </c>
      <c r="D1465" s="198" t="s">
        <v>1102</v>
      </c>
      <c r="E1465" s="198" t="s">
        <v>2272</v>
      </c>
      <c r="F1465" s="4" t="s">
        <v>2272</v>
      </c>
      <c r="G1465" s="198" t="s">
        <v>73</v>
      </c>
      <c r="H1465" s="198" t="s">
        <v>521</v>
      </c>
      <c r="I1465" s="198"/>
      <c r="J1465" s="198" t="s">
        <v>2272</v>
      </c>
      <c r="K1465" s="198" t="s">
        <v>2272</v>
      </c>
      <c r="L1465" s="198" t="s">
        <v>2272</v>
      </c>
      <c r="M1465" s="198" t="s">
        <v>2272</v>
      </c>
      <c r="N1465" s="198" t="s">
        <v>2272</v>
      </c>
      <c r="O1465" s="198" t="s">
        <v>2272</v>
      </c>
      <c r="P1465" s="198" t="s">
        <v>2272</v>
      </c>
      <c r="Q1465" s="21">
        <f>104/(208)</f>
        <v>0.5</v>
      </c>
      <c r="R1465" s="198" t="s">
        <v>2272</v>
      </c>
      <c r="S1465" s="198" t="s">
        <v>2272</v>
      </c>
      <c r="T1465" s="198" t="s">
        <v>2272</v>
      </c>
      <c r="U1465" s="198" t="s">
        <v>2272</v>
      </c>
      <c r="V1465" s="198" t="s">
        <v>2272</v>
      </c>
      <c r="W1465" s="198">
        <v>0.83</v>
      </c>
      <c r="X1465" s="198" t="s">
        <v>2272</v>
      </c>
      <c r="Y1465" s="21">
        <f>104/89</f>
        <v>1.1685393258426966</v>
      </c>
      <c r="Z1465" s="198" t="s">
        <v>2272</v>
      </c>
      <c r="AA1465" s="198" t="s">
        <v>2272</v>
      </c>
      <c r="AB1465" s="198" t="s">
        <v>2272</v>
      </c>
      <c r="AC1465" s="198" t="s">
        <v>2272</v>
      </c>
      <c r="AD1465" s="4" t="s">
        <v>4297</v>
      </c>
      <c r="AE1465" s="4"/>
    </row>
    <row r="1466" spans="1:31" ht="33" customHeight="1">
      <c r="A1466" s="198" t="s">
        <v>4355</v>
      </c>
      <c r="B1466" s="198" t="s">
        <v>4358</v>
      </c>
      <c r="C1466" s="198" t="s">
        <v>23</v>
      </c>
      <c r="D1466" s="198" t="s">
        <v>26</v>
      </c>
      <c r="E1466" s="198" t="s">
        <v>128</v>
      </c>
      <c r="F1466" s="4" t="s">
        <v>2272</v>
      </c>
      <c r="G1466" s="198" t="s">
        <v>2272</v>
      </c>
      <c r="H1466" s="198" t="s">
        <v>521</v>
      </c>
      <c r="I1466" s="198"/>
      <c r="J1466" s="198" t="s">
        <v>2272</v>
      </c>
      <c r="K1466" s="198" t="s">
        <v>2272</v>
      </c>
      <c r="L1466" s="198" t="s">
        <v>2272</v>
      </c>
      <c r="M1466" s="198" t="s">
        <v>2272</v>
      </c>
      <c r="N1466" s="198" t="s">
        <v>2272</v>
      </c>
      <c r="O1466" s="198" t="s">
        <v>2272</v>
      </c>
      <c r="P1466" s="198" t="s">
        <v>2272</v>
      </c>
      <c r="Q1466" s="198" t="s">
        <v>2272</v>
      </c>
      <c r="R1466" s="198" t="s">
        <v>2272</v>
      </c>
      <c r="S1466" s="198" t="s">
        <v>2272</v>
      </c>
      <c r="T1466" s="198" t="s">
        <v>2272</v>
      </c>
      <c r="U1466" s="198" t="s">
        <v>2272</v>
      </c>
      <c r="V1466" s="198" t="s">
        <v>2272</v>
      </c>
      <c r="W1466" s="198" t="s">
        <v>2272</v>
      </c>
      <c r="X1466" s="198" t="s">
        <v>2272</v>
      </c>
      <c r="Y1466" s="198" t="s">
        <v>2272</v>
      </c>
      <c r="Z1466" s="198" t="s">
        <v>2272</v>
      </c>
      <c r="AA1466" s="198" t="s">
        <v>2272</v>
      </c>
      <c r="AB1466" s="198" t="s">
        <v>2272</v>
      </c>
      <c r="AC1466" s="198" t="s">
        <v>2272</v>
      </c>
      <c r="AD1466" s="4"/>
      <c r="AE1466" s="198"/>
    </row>
    <row r="1467" spans="1:31" ht="29" customHeight="1">
      <c r="A1467" s="198" t="s">
        <v>4355</v>
      </c>
      <c r="B1467" s="198" t="s">
        <v>4359</v>
      </c>
      <c r="C1467" s="198" t="s">
        <v>23</v>
      </c>
      <c r="D1467" s="198" t="s">
        <v>24</v>
      </c>
      <c r="E1467" s="198" t="s">
        <v>5000</v>
      </c>
      <c r="F1467" s="4" t="s">
        <v>2272</v>
      </c>
      <c r="G1467" s="198" t="s">
        <v>2272</v>
      </c>
      <c r="H1467" s="198" t="s">
        <v>521</v>
      </c>
      <c r="I1467" s="198"/>
      <c r="J1467" s="198" t="s">
        <v>2272</v>
      </c>
      <c r="K1467" s="198" t="s">
        <v>2272</v>
      </c>
      <c r="L1467" s="198" t="s">
        <v>2272</v>
      </c>
      <c r="M1467" s="198" t="s">
        <v>2272</v>
      </c>
      <c r="N1467" s="198" t="s">
        <v>2272</v>
      </c>
      <c r="O1467" s="198" t="s">
        <v>2272</v>
      </c>
      <c r="P1467" s="198" t="s">
        <v>2272</v>
      </c>
      <c r="Q1467" s="198" t="s">
        <v>2272</v>
      </c>
      <c r="R1467" s="198" t="s">
        <v>2272</v>
      </c>
      <c r="S1467" s="198" t="s">
        <v>2272</v>
      </c>
      <c r="T1467" s="198" t="s">
        <v>2272</v>
      </c>
      <c r="U1467" s="198" t="s">
        <v>2272</v>
      </c>
      <c r="V1467" s="198" t="s">
        <v>2272</v>
      </c>
      <c r="W1467" s="198" t="s">
        <v>2272</v>
      </c>
      <c r="X1467" s="198" t="s">
        <v>2272</v>
      </c>
      <c r="Y1467" s="198" t="s">
        <v>2272</v>
      </c>
      <c r="Z1467" s="198" t="s">
        <v>2272</v>
      </c>
      <c r="AA1467" s="198" t="s">
        <v>2272</v>
      </c>
      <c r="AB1467" s="198" t="s">
        <v>2272</v>
      </c>
      <c r="AC1467" s="198" t="s">
        <v>2272</v>
      </c>
      <c r="AD1467" s="198"/>
      <c r="AE1467" s="198"/>
    </row>
    <row r="1468" spans="1:31" ht="36.5" customHeight="1">
      <c r="A1468" s="198" t="s">
        <v>4355</v>
      </c>
      <c r="B1468" s="198" t="s">
        <v>4360</v>
      </c>
      <c r="C1468" s="198" t="s">
        <v>23</v>
      </c>
      <c r="D1468" s="198" t="s">
        <v>24</v>
      </c>
      <c r="E1468" s="198" t="s">
        <v>44</v>
      </c>
      <c r="F1468" s="4" t="s">
        <v>2272</v>
      </c>
      <c r="G1468" s="198" t="s">
        <v>2272</v>
      </c>
      <c r="H1468" s="198" t="s">
        <v>521</v>
      </c>
      <c r="I1468" s="198"/>
      <c r="J1468" s="198" t="s">
        <v>2272</v>
      </c>
      <c r="K1468" s="198" t="s">
        <v>2272</v>
      </c>
      <c r="L1468" s="198" t="s">
        <v>2272</v>
      </c>
      <c r="M1468" s="198" t="s">
        <v>2272</v>
      </c>
      <c r="N1468" s="198" t="s">
        <v>2272</v>
      </c>
      <c r="O1468" s="198" t="s">
        <v>2272</v>
      </c>
      <c r="P1468" s="198" t="s">
        <v>2272</v>
      </c>
      <c r="Q1468" s="198" t="s">
        <v>2272</v>
      </c>
      <c r="R1468" s="198" t="s">
        <v>2272</v>
      </c>
      <c r="S1468" s="198" t="s">
        <v>2272</v>
      </c>
      <c r="T1468" s="198" t="s">
        <v>2272</v>
      </c>
      <c r="U1468" s="198" t="s">
        <v>2272</v>
      </c>
      <c r="V1468" s="198" t="s">
        <v>2272</v>
      </c>
      <c r="W1468" s="198" t="s">
        <v>2272</v>
      </c>
      <c r="X1468" s="198" t="s">
        <v>2272</v>
      </c>
      <c r="Y1468" s="198" t="s">
        <v>2272</v>
      </c>
      <c r="Z1468" s="198" t="s">
        <v>2272</v>
      </c>
      <c r="AA1468" s="198" t="s">
        <v>2272</v>
      </c>
      <c r="AB1468" s="198" t="s">
        <v>2272</v>
      </c>
      <c r="AC1468" s="198" t="s">
        <v>2272</v>
      </c>
      <c r="AD1468" s="198"/>
      <c r="AE1468" s="198"/>
    </row>
    <row r="1469" spans="1:31" ht="34.5" customHeight="1">
      <c r="A1469" s="198" t="s">
        <v>4357</v>
      </c>
      <c r="B1469" s="198" t="s">
        <v>4361</v>
      </c>
      <c r="C1469" s="198" t="s">
        <v>23</v>
      </c>
      <c r="D1469" s="198" t="s">
        <v>1238</v>
      </c>
      <c r="E1469" s="198" t="s">
        <v>135</v>
      </c>
      <c r="F1469" s="4" t="s">
        <v>73</v>
      </c>
      <c r="G1469" s="198" t="s">
        <v>2272</v>
      </c>
      <c r="H1469" s="198" t="s">
        <v>522</v>
      </c>
      <c r="I1469" s="198"/>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1">
        <v>0</v>
      </c>
      <c r="Z1469" s="198" t="s">
        <v>2272</v>
      </c>
      <c r="AA1469" s="198" t="s">
        <v>2272</v>
      </c>
      <c r="AB1469" s="198" t="s">
        <v>2272</v>
      </c>
      <c r="AC1469" s="198" t="s">
        <v>2272</v>
      </c>
      <c r="AD1469" s="198" t="s">
        <v>4370</v>
      </c>
      <c r="AE1469" s="198"/>
    </row>
    <row r="1470" spans="1:31" ht="34.5" customHeight="1">
      <c r="A1470" s="198" t="s">
        <v>4357</v>
      </c>
      <c r="B1470" s="198" t="s">
        <v>4362</v>
      </c>
      <c r="C1470" s="198" t="s">
        <v>23</v>
      </c>
      <c r="D1470" s="198" t="s">
        <v>24</v>
      </c>
      <c r="E1470" s="198" t="s">
        <v>44</v>
      </c>
      <c r="F1470" s="4" t="s">
        <v>73</v>
      </c>
      <c r="G1470" s="198" t="s">
        <v>2272</v>
      </c>
      <c r="H1470" s="198" t="s">
        <v>521</v>
      </c>
      <c r="I1470" s="198"/>
      <c r="J1470" s="198" t="s">
        <v>2272</v>
      </c>
      <c r="K1470" s="198" t="s">
        <v>2272</v>
      </c>
      <c r="L1470" s="198" t="s">
        <v>2272</v>
      </c>
      <c r="M1470" s="198" t="s">
        <v>2272</v>
      </c>
      <c r="N1470" s="198" t="s">
        <v>2272</v>
      </c>
      <c r="O1470" s="198" t="s">
        <v>2272</v>
      </c>
      <c r="P1470" s="198" t="s">
        <v>2272</v>
      </c>
      <c r="Q1470" s="198" t="s">
        <v>2272</v>
      </c>
      <c r="R1470" s="198" t="s">
        <v>2272</v>
      </c>
      <c r="S1470" s="198" t="s">
        <v>2272</v>
      </c>
      <c r="T1470" s="198" t="s">
        <v>2272</v>
      </c>
      <c r="U1470" s="198" t="s">
        <v>2272</v>
      </c>
      <c r="V1470" s="198" t="s">
        <v>2272</v>
      </c>
      <c r="W1470" s="198" t="s">
        <v>2272</v>
      </c>
      <c r="X1470" s="198" t="s">
        <v>2272</v>
      </c>
      <c r="Y1470" s="198" t="s">
        <v>2272</v>
      </c>
      <c r="Z1470" s="198" t="s">
        <v>2272</v>
      </c>
      <c r="AA1470" s="198" t="s">
        <v>2272</v>
      </c>
      <c r="AB1470" s="198" t="s">
        <v>2272</v>
      </c>
      <c r="AC1470" s="198" t="s">
        <v>2272</v>
      </c>
      <c r="AD1470" s="198" t="s">
        <v>4365</v>
      </c>
      <c r="AE1470" s="198"/>
    </row>
    <row r="1471" spans="1:31" ht="34.5" customHeight="1">
      <c r="A1471" s="198" t="s">
        <v>4357</v>
      </c>
      <c r="B1471" s="198" t="s">
        <v>4363</v>
      </c>
      <c r="C1471" s="198" t="s">
        <v>23</v>
      </c>
      <c r="D1471" s="198" t="s">
        <v>24</v>
      </c>
      <c r="E1471" s="198" t="s">
        <v>44</v>
      </c>
      <c r="F1471" s="4" t="s">
        <v>54</v>
      </c>
      <c r="G1471" s="198" t="s">
        <v>2272</v>
      </c>
      <c r="H1471" s="198" t="s">
        <v>521</v>
      </c>
      <c r="I1471" s="198"/>
      <c r="J1471" s="198" t="s">
        <v>2272</v>
      </c>
      <c r="K1471" s="198" t="s">
        <v>2272</v>
      </c>
      <c r="L1471" s="198" t="s">
        <v>2272</v>
      </c>
      <c r="M1471" s="198" t="s">
        <v>2272</v>
      </c>
      <c r="N1471" s="198" t="s">
        <v>2272</v>
      </c>
      <c r="O1471" s="198" t="s">
        <v>2272</v>
      </c>
      <c r="P1471" s="198" t="s">
        <v>2272</v>
      </c>
      <c r="Q1471" s="198" t="s">
        <v>2272</v>
      </c>
      <c r="R1471" s="198" t="s">
        <v>2272</v>
      </c>
      <c r="S1471" s="198" t="s">
        <v>2272</v>
      </c>
      <c r="T1471" s="198" t="s">
        <v>2272</v>
      </c>
      <c r="U1471" s="198" t="s">
        <v>2272</v>
      </c>
      <c r="V1471" s="198" t="s">
        <v>2272</v>
      </c>
      <c r="W1471" s="198" t="s">
        <v>2272</v>
      </c>
      <c r="X1471" s="198" t="s">
        <v>2272</v>
      </c>
      <c r="Y1471" s="198" t="s">
        <v>2272</v>
      </c>
      <c r="Z1471" s="198" t="s">
        <v>2272</v>
      </c>
      <c r="AA1471" s="198" t="s">
        <v>2272</v>
      </c>
      <c r="AB1471" s="198" t="s">
        <v>2272</v>
      </c>
      <c r="AC1471" s="198" t="s">
        <v>2272</v>
      </c>
      <c r="AD1471" s="198"/>
      <c r="AE1471" s="198"/>
    </row>
    <row r="1472" spans="1:31" ht="40" customHeight="1">
      <c r="A1472" s="198" t="s">
        <v>4357</v>
      </c>
      <c r="B1472" s="198" t="s">
        <v>4364</v>
      </c>
      <c r="C1472" s="198" t="s">
        <v>23</v>
      </c>
      <c r="D1472" s="198" t="s">
        <v>2342</v>
      </c>
      <c r="E1472" s="198" t="s">
        <v>44</v>
      </c>
      <c r="F1472" s="4" t="s">
        <v>2272</v>
      </c>
      <c r="G1472" s="198" t="s">
        <v>2272</v>
      </c>
      <c r="H1472" s="198" t="s">
        <v>521</v>
      </c>
      <c r="I1472" s="198"/>
      <c r="J1472" s="198" t="s">
        <v>2272</v>
      </c>
      <c r="K1472" s="198" t="s">
        <v>2272</v>
      </c>
      <c r="L1472" s="198" t="s">
        <v>2272</v>
      </c>
      <c r="M1472" s="198" t="s">
        <v>2272</v>
      </c>
      <c r="N1472" s="198" t="s">
        <v>2272</v>
      </c>
      <c r="O1472" s="198" t="s">
        <v>2272</v>
      </c>
      <c r="P1472" s="198" t="s">
        <v>2272</v>
      </c>
      <c r="Q1472" s="198" t="s">
        <v>2272</v>
      </c>
      <c r="R1472" s="198" t="s">
        <v>2272</v>
      </c>
      <c r="S1472" s="198" t="s">
        <v>2272</v>
      </c>
      <c r="T1472" s="198" t="s">
        <v>2272</v>
      </c>
      <c r="U1472" s="198" t="s">
        <v>2272</v>
      </c>
      <c r="V1472" s="198" t="s">
        <v>2272</v>
      </c>
      <c r="W1472" s="198" t="s">
        <v>2272</v>
      </c>
      <c r="X1472" s="198" t="s">
        <v>2272</v>
      </c>
      <c r="Y1472" s="198" t="s">
        <v>2272</v>
      </c>
      <c r="Z1472" s="198" t="s">
        <v>2272</v>
      </c>
      <c r="AA1472" s="198" t="s">
        <v>2272</v>
      </c>
      <c r="AB1472" s="198" t="s">
        <v>2272</v>
      </c>
      <c r="AC1472" s="198" t="s">
        <v>2272</v>
      </c>
      <c r="AD1472" s="198"/>
      <c r="AE1472" s="198"/>
    </row>
    <row r="1473" spans="1:31" ht="39" customHeight="1">
      <c r="A1473" s="198" t="s">
        <v>4357</v>
      </c>
      <c r="B1473" s="198" t="s">
        <v>4366</v>
      </c>
      <c r="C1473" s="198" t="s">
        <v>2651</v>
      </c>
      <c r="D1473" s="198" t="s">
        <v>2272</v>
      </c>
      <c r="E1473" s="198" t="s">
        <v>2272</v>
      </c>
      <c r="F1473" s="4" t="s">
        <v>2272</v>
      </c>
      <c r="G1473" s="198" t="s">
        <v>2272</v>
      </c>
      <c r="H1473" s="198" t="s">
        <v>521</v>
      </c>
      <c r="I1473" s="198"/>
      <c r="J1473" s="198" t="s">
        <v>2272</v>
      </c>
      <c r="K1473" s="198" t="s">
        <v>2272</v>
      </c>
      <c r="L1473" s="198" t="s">
        <v>2272</v>
      </c>
      <c r="M1473" s="198" t="s">
        <v>2272</v>
      </c>
      <c r="N1473" s="198" t="s">
        <v>2272</v>
      </c>
      <c r="O1473" s="198" t="s">
        <v>2272</v>
      </c>
      <c r="P1473" s="198" t="s">
        <v>2272</v>
      </c>
      <c r="Q1473" s="198" t="s">
        <v>2272</v>
      </c>
      <c r="R1473" s="198" t="s">
        <v>2272</v>
      </c>
      <c r="S1473" s="198" t="s">
        <v>2272</v>
      </c>
      <c r="T1473" s="198" t="s">
        <v>2272</v>
      </c>
      <c r="U1473" s="198" t="s">
        <v>2272</v>
      </c>
      <c r="V1473" s="198" t="s">
        <v>2272</v>
      </c>
      <c r="W1473" s="198" t="s">
        <v>2272</v>
      </c>
      <c r="X1473" s="198" t="s">
        <v>2272</v>
      </c>
      <c r="Y1473" s="198" t="s">
        <v>2272</v>
      </c>
      <c r="Z1473" s="198" t="s">
        <v>2272</v>
      </c>
      <c r="AA1473" s="198" t="s">
        <v>2272</v>
      </c>
      <c r="AB1473" s="198" t="s">
        <v>2272</v>
      </c>
      <c r="AC1473" s="198" t="s">
        <v>2272</v>
      </c>
      <c r="AD1473" s="198"/>
      <c r="AE1473" s="198"/>
    </row>
    <row r="1474" spans="1:31" ht="64.5" customHeight="1">
      <c r="A1474" s="198" t="s">
        <v>4357</v>
      </c>
      <c r="B1474" s="198" t="s">
        <v>4367</v>
      </c>
      <c r="C1474" s="198" t="s">
        <v>2653</v>
      </c>
      <c r="D1474" s="198" t="s">
        <v>2272</v>
      </c>
      <c r="E1474" s="198" t="s">
        <v>2272</v>
      </c>
      <c r="F1474" s="4" t="s">
        <v>2272</v>
      </c>
      <c r="G1474" s="198" t="s">
        <v>73</v>
      </c>
      <c r="H1474" s="198" t="s">
        <v>521</v>
      </c>
      <c r="I1474" s="198"/>
      <c r="J1474" s="198" t="s">
        <v>2272</v>
      </c>
      <c r="K1474" s="198" t="s">
        <v>2272</v>
      </c>
      <c r="L1474" s="198" t="s">
        <v>2272</v>
      </c>
      <c r="M1474" s="198" t="s">
        <v>2272</v>
      </c>
      <c r="N1474" s="198" t="s">
        <v>2272</v>
      </c>
      <c r="O1474" s="198" t="s">
        <v>2272</v>
      </c>
      <c r="P1474" s="198" t="s">
        <v>2272</v>
      </c>
      <c r="Q1474" s="198" t="s">
        <v>2272</v>
      </c>
      <c r="R1474" s="198" t="s">
        <v>2272</v>
      </c>
      <c r="S1474" s="198" t="s">
        <v>2272</v>
      </c>
      <c r="T1474" s="198" t="s">
        <v>2272</v>
      </c>
      <c r="U1474" s="21">
        <f>3840-1390</f>
        <v>2450</v>
      </c>
      <c r="V1474" s="198" t="s">
        <v>2272</v>
      </c>
      <c r="W1474" s="198" t="s">
        <v>2272</v>
      </c>
      <c r="X1474" s="198" t="s">
        <v>2272</v>
      </c>
      <c r="Y1474" s="198" t="s">
        <v>2272</v>
      </c>
      <c r="Z1474" s="198" t="s">
        <v>2272</v>
      </c>
      <c r="AA1474" s="198" t="s">
        <v>2272</v>
      </c>
      <c r="AB1474" s="198" t="s">
        <v>2272</v>
      </c>
      <c r="AC1474" s="198" t="s">
        <v>2272</v>
      </c>
      <c r="AD1474" s="198"/>
      <c r="AE1474" s="198"/>
    </row>
    <row r="1475" spans="1:31" ht="67" customHeight="1">
      <c r="A1475" s="198" t="s">
        <v>4357</v>
      </c>
      <c r="B1475" s="198" t="s">
        <v>4371</v>
      </c>
      <c r="C1475" s="198" t="s">
        <v>2453</v>
      </c>
      <c r="D1475" s="198" t="s">
        <v>24</v>
      </c>
      <c r="E1475" s="198" t="s">
        <v>82</v>
      </c>
      <c r="F1475" s="4" t="s">
        <v>2272</v>
      </c>
      <c r="G1475" s="198" t="s">
        <v>73</v>
      </c>
      <c r="H1475" s="198" t="s">
        <v>521</v>
      </c>
      <c r="I1475" s="198"/>
      <c r="J1475" s="198" t="s">
        <v>2272</v>
      </c>
      <c r="K1475" s="198" t="s">
        <v>2272</v>
      </c>
      <c r="L1475" s="198" t="s">
        <v>2272</v>
      </c>
      <c r="M1475" s="198" t="s">
        <v>2272</v>
      </c>
      <c r="N1475" s="198" t="s">
        <v>2272</v>
      </c>
      <c r="O1475" s="198" t="s">
        <v>2272</v>
      </c>
      <c r="P1475" s="198" t="s">
        <v>2272</v>
      </c>
      <c r="Q1475" s="198" t="s">
        <v>2272</v>
      </c>
      <c r="R1475" s="198" t="s">
        <v>2272</v>
      </c>
      <c r="S1475" s="198" t="s">
        <v>2272</v>
      </c>
      <c r="T1475" s="198" t="s">
        <v>2272</v>
      </c>
      <c r="U1475" s="21">
        <v>1390</v>
      </c>
      <c r="V1475" s="198" t="s">
        <v>2272</v>
      </c>
      <c r="W1475" s="198" t="s">
        <v>2272</v>
      </c>
      <c r="X1475" s="198" t="s">
        <v>2272</v>
      </c>
      <c r="Y1475" s="198" t="s">
        <v>2272</v>
      </c>
      <c r="Z1475" s="198" t="s">
        <v>2272</v>
      </c>
      <c r="AA1475" s="198" t="s">
        <v>2272</v>
      </c>
      <c r="AB1475" s="198" t="s">
        <v>2272</v>
      </c>
      <c r="AC1475" s="198" t="s">
        <v>2272</v>
      </c>
      <c r="AD1475" s="4" t="s">
        <v>4369</v>
      </c>
      <c r="AE1475" s="198"/>
    </row>
    <row r="1476" spans="1:31" ht="49" customHeight="1">
      <c r="A1476" s="198" t="s">
        <v>4382</v>
      </c>
      <c r="B1476" s="198" t="s">
        <v>4400</v>
      </c>
      <c r="C1476" s="198" t="s">
        <v>23</v>
      </c>
      <c r="D1476" s="198" t="s">
        <v>26</v>
      </c>
      <c r="E1476" s="198" t="s">
        <v>128</v>
      </c>
      <c r="F1476" s="4" t="s">
        <v>2272</v>
      </c>
      <c r="G1476" s="198" t="s">
        <v>73</v>
      </c>
      <c r="H1476" s="198" t="s">
        <v>521</v>
      </c>
      <c r="I1476" s="198"/>
      <c r="J1476" s="198" t="s">
        <v>2272</v>
      </c>
      <c r="K1476" s="198" t="s">
        <v>2272</v>
      </c>
      <c r="L1476" s="198" t="s">
        <v>2272</v>
      </c>
      <c r="M1476" s="198" t="s">
        <v>2272</v>
      </c>
      <c r="N1476" s="198" t="s">
        <v>2272</v>
      </c>
      <c r="O1476" s="198" t="s">
        <v>2272</v>
      </c>
      <c r="P1476" s="198" t="s">
        <v>2272</v>
      </c>
      <c r="Q1476" s="198" t="s">
        <v>2272</v>
      </c>
      <c r="R1476" s="198" t="s">
        <v>2272</v>
      </c>
      <c r="S1476" s="198" t="s">
        <v>2272</v>
      </c>
      <c r="T1476" s="198" t="s">
        <v>2272</v>
      </c>
      <c r="U1476" s="198" t="s">
        <v>2272</v>
      </c>
      <c r="V1476" s="198" t="s">
        <v>2272</v>
      </c>
      <c r="W1476" s="198" t="s">
        <v>2272</v>
      </c>
      <c r="X1476" s="198" t="s">
        <v>2272</v>
      </c>
      <c r="Y1476" s="198" t="s">
        <v>2272</v>
      </c>
      <c r="Z1476" s="198" t="s">
        <v>2272</v>
      </c>
      <c r="AA1476" s="198" t="s">
        <v>397</v>
      </c>
      <c r="AB1476" s="198" t="s">
        <v>37</v>
      </c>
      <c r="AC1476" s="198" t="s">
        <v>2650</v>
      </c>
      <c r="AD1476" s="198"/>
      <c r="AE1476" s="4" t="s">
        <v>4402</v>
      </c>
    </row>
    <row r="1477" spans="1:31" ht="45.5" customHeight="1">
      <c r="A1477" s="198" t="s">
        <v>4382</v>
      </c>
      <c r="B1477" s="198" t="s">
        <v>4408</v>
      </c>
      <c r="C1477" s="198" t="s">
        <v>23</v>
      </c>
      <c r="D1477" s="198" t="s">
        <v>26</v>
      </c>
      <c r="E1477" s="198" t="s">
        <v>128</v>
      </c>
      <c r="F1477" s="4" t="s">
        <v>2272</v>
      </c>
      <c r="G1477" s="4" t="s">
        <v>159</v>
      </c>
      <c r="H1477" s="198" t="s">
        <v>521</v>
      </c>
      <c r="I1477" s="198"/>
      <c r="J1477" s="198" t="s">
        <v>2272</v>
      </c>
      <c r="K1477" s="198" t="s">
        <v>2272</v>
      </c>
      <c r="L1477" s="198" t="s">
        <v>2272</v>
      </c>
      <c r="M1477" s="198" t="s">
        <v>2272</v>
      </c>
      <c r="N1477" s="198" t="s">
        <v>2272</v>
      </c>
      <c r="O1477" s="198" t="s">
        <v>2272</v>
      </c>
      <c r="P1477" s="198" t="s">
        <v>2272</v>
      </c>
      <c r="Q1477" s="198" t="s">
        <v>2272</v>
      </c>
      <c r="R1477" s="198" t="s">
        <v>2272</v>
      </c>
      <c r="S1477" s="198" t="s">
        <v>2272</v>
      </c>
      <c r="T1477" s="198" t="s">
        <v>2272</v>
      </c>
      <c r="U1477" s="198" t="s">
        <v>2272</v>
      </c>
      <c r="V1477" s="198" t="s">
        <v>2272</v>
      </c>
      <c r="W1477" s="198" t="s">
        <v>2272</v>
      </c>
      <c r="X1477" s="198" t="s">
        <v>2272</v>
      </c>
      <c r="Y1477" s="198" t="s">
        <v>2272</v>
      </c>
      <c r="Z1477" s="198" t="s">
        <v>2272</v>
      </c>
      <c r="AA1477" s="198" t="s">
        <v>397</v>
      </c>
      <c r="AB1477" s="198" t="s">
        <v>37</v>
      </c>
      <c r="AC1477" s="198" t="s">
        <v>2650</v>
      </c>
      <c r="AD1477" s="198"/>
      <c r="AE1477" s="4" t="s">
        <v>4402</v>
      </c>
    </row>
    <row r="1478" spans="1:31" ht="49.5" customHeight="1">
      <c r="A1478" s="198" t="s">
        <v>4384</v>
      </c>
      <c r="B1478" s="198" t="s">
        <v>4401</v>
      </c>
      <c r="C1478" s="198" t="s">
        <v>23</v>
      </c>
      <c r="D1478" s="198" t="s">
        <v>2227</v>
      </c>
      <c r="E1478" s="4" t="s">
        <v>395</v>
      </c>
      <c r="F1478" s="4" t="s">
        <v>2272</v>
      </c>
      <c r="G1478" s="198" t="s">
        <v>73</v>
      </c>
      <c r="H1478" s="198" t="s">
        <v>521</v>
      </c>
      <c r="I1478" s="198"/>
      <c r="J1478" s="198" t="s">
        <v>2272</v>
      </c>
      <c r="K1478" s="198" t="s">
        <v>2272</v>
      </c>
      <c r="L1478" s="198" t="s">
        <v>2272</v>
      </c>
      <c r="M1478" s="198" t="s">
        <v>2272</v>
      </c>
      <c r="N1478" s="198" t="s">
        <v>2272</v>
      </c>
      <c r="O1478" s="198" t="s">
        <v>2272</v>
      </c>
      <c r="P1478" s="198" t="s">
        <v>2272</v>
      </c>
      <c r="Q1478" s="198" t="s">
        <v>2272</v>
      </c>
      <c r="R1478" s="198" t="s">
        <v>2272</v>
      </c>
      <c r="S1478" s="198" t="s">
        <v>2272</v>
      </c>
      <c r="T1478" s="198" t="s">
        <v>2272</v>
      </c>
      <c r="U1478" s="198" t="s">
        <v>2272</v>
      </c>
      <c r="V1478" s="198" t="s">
        <v>2272</v>
      </c>
      <c r="W1478" s="198" t="s">
        <v>2272</v>
      </c>
      <c r="X1478" s="198" t="s">
        <v>2272</v>
      </c>
      <c r="Y1478" s="198" t="s">
        <v>2272</v>
      </c>
      <c r="Z1478" s="198" t="s">
        <v>2272</v>
      </c>
      <c r="AA1478" s="198" t="s">
        <v>2272</v>
      </c>
      <c r="AB1478" s="198" t="s">
        <v>2272</v>
      </c>
      <c r="AC1478" s="198" t="s">
        <v>2272</v>
      </c>
      <c r="AD1478" s="4" t="s">
        <v>4410</v>
      </c>
      <c r="AE1478" s="4" t="s">
        <v>4402</v>
      </c>
    </row>
    <row r="1479" spans="1:31" ht="43.5" customHeight="1">
      <c r="A1479" s="198" t="s">
        <v>4384</v>
      </c>
      <c r="B1479" s="198" t="s">
        <v>4409</v>
      </c>
      <c r="C1479" s="198" t="s">
        <v>23</v>
      </c>
      <c r="D1479" s="198" t="s">
        <v>2227</v>
      </c>
      <c r="E1479" s="4" t="s">
        <v>395</v>
      </c>
      <c r="F1479" s="4" t="s">
        <v>2272</v>
      </c>
      <c r="G1479" s="4" t="s">
        <v>2657</v>
      </c>
      <c r="H1479" s="198" t="s">
        <v>521</v>
      </c>
      <c r="I1479" s="198"/>
      <c r="J1479" s="198" t="s">
        <v>2272</v>
      </c>
      <c r="K1479" s="198" t="s">
        <v>2272</v>
      </c>
      <c r="L1479" s="198" t="s">
        <v>2272</v>
      </c>
      <c r="M1479" s="198" t="s">
        <v>2272</v>
      </c>
      <c r="N1479" s="198" t="s">
        <v>2272</v>
      </c>
      <c r="O1479" s="198" t="s">
        <v>2272</v>
      </c>
      <c r="P1479" s="198" t="s">
        <v>2272</v>
      </c>
      <c r="Q1479" s="198" t="s">
        <v>2272</v>
      </c>
      <c r="R1479" s="198" t="s">
        <v>2272</v>
      </c>
      <c r="S1479" s="198" t="s">
        <v>2272</v>
      </c>
      <c r="T1479" s="198" t="s">
        <v>2272</v>
      </c>
      <c r="U1479" s="198" t="s">
        <v>2272</v>
      </c>
      <c r="V1479" s="198" t="s">
        <v>2272</v>
      </c>
      <c r="W1479" s="198" t="s">
        <v>2272</v>
      </c>
      <c r="X1479" s="198" t="s">
        <v>2272</v>
      </c>
      <c r="Y1479" s="198" t="s">
        <v>2272</v>
      </c>
      <c r="Z1479" s="198" t="s">
        <v>2272</v>
      </c>
      <c r="AA1479" s="198" t="s">
        <v>2272</v>
      </c>
      <c r="AB1479" s="198" t="s">
        <v>2272</v>
      </c>
      <c r="AC1479" s="198" t="s">
        <v>2272</v>
      </c>
      <c r="AD1479" s="4" t="s">
        <v>4410</v>
      </c>
      <c r="AE1479" s="4" t="s">
        <v>4402</v>
      </c>
    </row>
    <row r="1480" spans="1:31" ht="48" customHeight="1">
      <c r="A1480" s="198" t="s">
        <v>4385</v>
      </c>
      <c r="B1480" s="198" t="s">
        <v>4411</v>
      </c>
      <c r="C1480" s="198" t="s">
        <v>23</v>
      </c>
      <c r="D1480" s="198" t="s">
        <v>2227</v>
      </c>
      <c r="E1480" s="4" t="s">
        <v>395</v>
      </c>
      <c r="F1480" s="4" t="s">
        <v>2272</v>
      </c>
      <c r="G1480" s="198" t="s">
        <v>73</v>
      </c>
      <c r="H1480" s="198" t="s">
        <v>521</v>
      </c>
      <c r="I1480" s="198"/>
      <c r="J1480" s="198" t="s">
        <v>2272</v>
      </c>
      <c r="K1480" s="198" t="s">
        <v>2272</v>
      </c>
      <c r="L1480" s="198" t="s">
        <v>2272</v>
      </c>
      <c r="M1480" s="198" t="s">
        <v>2272</v>
      </c>
      <c r="N1480" s="198" t="s">
        <v>2272</v>
      </c>
      <c r="O1480" s="198" t="s">
        <v>2272</v>
      </c>
      <c r="P1480" s="198" t="s">
        <v>2272</v>
      </c>
      <c r="Q1480" s="198" t="s">
        <v>2272</v>
      </c>
      <c r="R1480" s="198" t="s">
        <v>2272</v>
      </c>
      <c r="S1480" s="198" t="s">
        <v>2272</v>
      </c>
      <c r="T1480" s="198" t="s">
        <v>2272</v>
      </c>
      <c r="U1480" s="198" t="s">
        <v>2272</v>
      </c>
      <c r="V1480" s="198" t="s">
        <v>2272</v>
      </c>
      <c r="W1480" s="198" t="s">
        <v>2272</v>
      </c>
      <c r="X1480" s="198" t="s">
        <v>2272</v>
      </c>
      <c r="Y1480" s="198" t="s">
        <v>2272</v>
      </c>
      <c r="Z1480" s="198" t="s">
        <v>2272</v>
      </c>
      <c r="AA1480" s="198" t="s">
        <v>2272</v>
      </c>
      <c r="AB1480" s="198" t="s">
        <v>2272</v>
      </c>
      <c r="AC1480" s="198" t="s">
        <v>2272</v>
      </c>
      <c r="AD1480" s="4" t="s">
        <v>4410</v>
      </c>
      <c r="AE1480" s="4" t="s">
        <v>4402</v>
      </c>
    </row>
    <row r="1481" spans="1:31" ht="50.5" customHeight="1">
      <c r="A1481" s="198" t="s">
        <v>4385</v>
      </c>
      <c r="B1481" s="198" t="s">
        <v>4412</v>
      </c>
      <c r="C1481" s="198" t="s">
        <v>23</v>
      </c>
      <c r="D1481" s="198" t="s">
        <v>2227</v>
      </c>
      <c r="E1481" s="4" t="s">
        <v>395</v>
      </c>
      <c r="F1481" s="4" t="s">
        <v>2272</v>
      </c>
      <c r="G1481" s="4" t="s">
        <v>2657</v>
      </c>
      <c r="H1481" s="198" t="s">
        <v>521</v>
      </c>
      <c r="I1481" s="198"/>
      <c r="J1481" s="198" t="s">
        <v>2272</v>
      </c>
      <c r="K1481" s="198" t="s">
        <v>2272</v>
      </c>
      <c r="L1481" s="198" t="s">
        <v>2272</v>
      </c>
      <c r="M1481" s="198" t="s">
        <v>2272</v>
      </c>
      <c r="N1481" s="198" t="s">
        <v>2272</v>
      </c>
      <c r="O1481" s="198" t="s">
        <v>2272</v>
      </c>
      <c r="P1481" s="198" t="s">
        <v>2272</v>
      </c>
      <c r="Q1481" s="198" t="s">
        <v>2272</v>
      </c>
      <c r="R1481" s="198" t="s">
        <v>2272</v>
      </c>
      <c r="S1481" s="198" t="s">
        <v>2272</v>
      </c>
      <c r="T1481" s="198" t="s">
        <v>2272</v>
      </c>
      <c r="U1481" s="198" t="s">
        <v>2272</v>
      </c>
      <c r="V1481" s="198" t="s">
        <v>2272</v>
      </c>
      <c r="W1481" s="198" t="s">
        <v>2272</v>
      </c>
      <c r="X1481" s="198" t="s">
        <v>2272</v>
      </c>
      <c r="Y1481" s="198" t="s">
        <v>2272</v>
      </c>
      <c r="Z1481" s="198" t="s">
        <v>2272</v>
      </c>
      <c r="AA1481" s="198" t="s">
        <v>2272</v>
      </c>
      <c r="AB1481" s="198" t="s">
        <v>2272</v>
      </c>
      <c r="AC1481" s="198" t="s">
        <v>2272</v>
      </c>
      <c r="AD1481" s="4" t="s">
        <v>4410</v>
      </c>
      <c r="AE1481" s="4" t="s">
        <v>4402</v>
      </c>
    </row>
    <row r="1482" spans="1:31" ht="43.5" customHeight="1">
      <c r="A1482" s="198" t="s">
        <v>4386</v>
      </c>
      <c r="B1482" s="198" t="s">
        <v>4390</v>
      </c>
      <c r="C1482" s="198" t="s">
        <v>23</v>
      </c>
      <c r="D1482" s="198" t="s">
        <v>24</v>
      </c>
      <c r="E1482" s="198" t="s">
        <v>44</v>
      </c>
      <c r="F1482" s="4" t="s">
        <v>2657</v>
      </c>
      <c r="G1482" s="198" t="s">
        <v>2272</v>
      </c>
      <c r="H1482" s="198" t="s">
        <v>521</v>
      </c>
      <c r="I1482" s="198"/>
      <c r="J1482" s="198" t="s">
        <v>2272</v>
      </c>
      <c r="K1482" s="198" t="s">
        <v>2272</v>
      </c>
      <c r="L1482" s="198" t="s">
        <v>2272</v>
      </c>
      <c r="M1482" s="198" t="s">
        <v>2272</v>
      </c>
      <c r="N1482" s="198" t="s">
        <v>2272</v>
      </c>
      <c r="O1482" s="198" t="s">
        <v>2272</v>
      </c>
      <c r="P1482" s="198" t="s">
        <v>2272</v>
      </c>
      <c r="Q1482" s="198" t="s">
        <v>2272</v>
      </c>
      <c r="R1482" s="198" t="s">
        <v>2272</v>
      </c>
      <c r="S1482" s="198" t="s">
        <v>2272</v>
      </c>
      <c r="T1482" s="198" t="s">
        <v>2272</v>
      </c>
      <c r="U1482" s="198" t="s">
        <v>2272</v>
      </c>
      <c r="V1482" s="198" t="s">
        <v>2272</v>
      </c>
      <c r="W1482" s="198" t="s">
        <v>2272</v>
      </c>
      <c r="X1482" s="198" t="s">
        <v>2272</v>
      </c>
      <c r="Y1482" s="198" t="s">
        <v>2272</v>
      </c>
      <c r="Z1482" s="198" t="s">
        <v>2272</v>
      </c>
      <c r="AA1482" s="198" t="s">
        <v>34</v>
      </c>
      <c r="AB1482" s="198" t="s">
        <v>187</v>
      </c>
      <c r="AC1482" s="198" t="s">
        <v>63</v>
      </c>
      <c r="AD1482" s="4" t="s">
        <v>4399</v>
      </c>
      <c r="AE1482" s="4" t="s">
        <v>4402</v>
      </c>
    </row>
    <row r="1483" spans="1:31" ht="48" customHeight="1">
      <c r="A1483" s="198" t="s">
        <v>4386</v>
      </c>
      <c r="B1483" s="198" t="s">
        <v>4391</v>
      </c>
      <c r="C1483" s="198" t="s">
        <v>23</v>
      </c>
      <c r="D1483" s="198" t="s">
        <v>26</v>
      </c>
      <c r="E1483" s="198" t="s">
        <v>128</v>
      </c>
      <c r="F1483" s="4" t="s">
        <v>159</v>
      </c>
      <c r="G1483" s="198" t="s">
        <v>2272</v>
      </c>
      <c r="H1483" s="198" t="s">
        <v>521</v>
      </c>
      <c r="I1483" s="198"/>
      <c r="J1483" s="198" t="s">
        <v>2272</v>
      </c>
      <c r="K1483" s="198" t="s">
        <v>2272</v>
      </c>
      <c r="L1483" s="198" t="s">
        <v>2272</v>
      </c>
      <c r="M1483" s="198" t="s">
        <v>2272</v>
      </c>
      <c r="N1483" s="198" t="s">
        <v>2272</v>
      </c>
      <c r="O1483" s="198" t="s">
        <v>2272</v>
      </c>
      <c r="P1483" s="198" t="s">
        <v>2272</v>
      </c>
      <c r="Q1483" s="198" t="s">
        <v>2272</v>
      </c>
      <c r="R1483" s="198" t="s">
        <v>2272</v>
      </c>
      <c r="S1483" s="198" t="s">
        <v>2272</v>
      </c>
      <c r="T1483" s="198" t="s">
        <v>2272</v>
      </c>
      <c r="U1483" s="198" t="s">
        <v>2272</v>
      </c>
      <c r="V1483" s="198" t="s">
        <v>2272</v>
      </c>
      <c r="W1483" s="198" t="s">
        <v>2272</v>
      </c>
      <c r="X1483" s="198" t="s">
        <v>2272</v>
      </c>
      <c r="Y1483" s="198" t="s">
        <v>2272</v>
      </c>
      <c r="Z1483" s="198" t="s">
        <v>2272</v>
      </c>
      <c r="AA1483" s="198" t="s">
        <v>187</v>
      </c>
      <c r="AB1483" s="198" t="s">
        <v>84</v>
      </c>
      <c r="AC1483" s="198" t="s">
        <v>75</v>
      </c>
      <c r="AD1483" s="198"/>
      <c r="AE1483" s="4" t="s">
        <v>4402</v>
      </c>
    </row>
    <row r="1484" spans="1:31" ht="52.5" customHeight="1">
      <c r="A1484" s="198" t="s">
        <v>4386</v>
      </c>
      <c r="B1484" s="198" t="s">
        <v>4395</v>
      </c>
      <c r="C1484" s="198" t="s">
        <v>23</v>
      </c>
      <c r="D1484" s="198" t="s">
        <v>2227</v>
      </c>
      <c r="E1484" s="4" t="s">
        <v>394</v>
      </c>
      <c r="F1484" s="4" t="s">
        <v>73</v>
      </c>
      <c r="G1484" s="198" t="s">
        <v>2272</v>
      </c>
      <c r="H1484" s="198" t="s">
        <v>521</v>
      </c>
      <c r="I1484" s="198"/>
      <c r="J1484" s="198" t="s">
        <v>2272</v>
      </c>
      <c r="K1484" s="198" t="s">
        <v>2272</v>
      </c>
      <c r="L1484" s="198" t="s">
        <v>2272</v>
      </c>
      <c r="M1484" s="198" t="s">
        <v>2272</v>
      </c>
      <c r="N1484" s="198" t="s">
        <v>2272</v>
      </c>
      <c r="O1484" s="198" t="s">
        <v>2272</v>
      </c>
      <c r="P1484" s="198" t="s">
        <v>2272</v>
      </c>
      <c r="Q1484" s="198" t="s">
        <v>2272</v>
      </c>
      <c r="R1484" s="198" t="s">
        <v>2272</v>
      </c>
      <c r="S1484" s="198" t="s">
        <v>2272</v>
      </c>
      <c r="T1484" s="198" t="s">
        <v>2272</v>
      </c>
      <c r="U1484" s="198" t="s">
        <v>2272</v>
      </c>
      <c r="V1484" s="198" t="s">
        <v>2272</v>
      </c>
      <c r="W1484" s="198" t="s">
        <v>2272</v>
      </c>
      <c r="X1484" s="198" t="s">
        <v>2272</v>
      </c>
      <c r="Y1484" s="198" t="s">
        <v>2272</v>
      </c>
      <c r="Z1484" s="198" t="s">
        <v>2272</v>
      </c>
      <c r="AA1484" s="198" t="s">
        <v>187</v>
      </c>
      <c r="AB1484" s="198" t="s">
        <v>84</v>
      </c>
      <c r="AC1484" s="198" t="s">
        <v>75</v>
      </c>
      <c r="AD1484" s="4" t="s">
        <v>4399</v>
      </c>
      <c r="AE1484" s="4" t="s">
        <v>4402</v>
      </c>
    </row>
    <row r="1485" spans="1:31" ht="57" customHeight="1">
      <c r="A1485" s="198" t="s">
        <v>4387</v>
      </c>
      <c r="B1485" s="198" t="s">
        <v>4396</v>
      </c>
      <c r="C1485" s="198" t="s">
        <v>23</v>
      </c>
      <c r="D1485" s="198" t="s">
        <v>24</v>
      </c>
      <c r="E1485" s="198" t="s">
        <v>44</v>
      </c>
      <c r="F1485" s="4" t="s">
        <v>2657</v>
      </c>
      <c r="G1485" s="198" t="s">
        <v>2272</v>
      </c>
      <c r="H1485" s="198" t="s">
        <v>521</v>
      </c>
      <c r="I1485" s="198"/>
      <c r="J1485" s="198" t="s">
        <v>2272</v>
      </c>
      <c r="K1485" s="198" t="s">
        <v>2272</v>
      </c>
      <c r="L1485" s="198" t="s">
        <v>2272</v>
      </c>
      <c r="M1485" s="198" t="s">
        <v>2272</v>
      </c>
      <c r="N1485" s="198" t="s">
        <v>2272</v>
      </c>
      <c r="O1485" s="198" t="s">
        <v>2272</v>
      </c>
      <c r="P1485" s="198" t="s">
        <v>2272</v>
      </c>
      <c r="Q1485" s="198" t="s">
        <v>2272</v>
      </c>
      <c r="R1485" s="198" t="s">
        <v>2272</v>
      </c>
      <c r="S1485" s="198" t="s">
        <v>2272</v>
      </c>
      <c r="T1485" s="198" t="s">
        <v>2272</v>
      </c>
      <c r="U1485" s="198" t="s">
        <v>2272</v>
      </c>
      <c r="V1485" s="198" t="s">
        <v>2272</v>
      </c>
      <c r="W1485" s="198" t="s">
        <v>2272</v>
      </c>
      <c r="X1485" s="198" t="s">
        <v>2272</v>
      </c>
      <c r="Y1485" s="198" t="s">
        <v>2272</v>
      </c>
      <c r="Z1485" s="198" t="s">
        <v>2272</v>
      </c>
      <c r="AA1485" s="198" t="s">
        <v>34</v>
      </c>
      <c r="AB1485" s="198" t="s">
        <v>186</v>
      </c>
      <c r="AC1485" s="198" t="s">
        <v>63</v>
      </c>
      <c r="AD1485" s="4" t="s">
        <v>4399</v>
      </c>
      <c r="AE1485" s="4" t="s">
        <v>4402</v>
      </c>
    </row>
    <row r="1486" spans="1:31" ht="53.5" customHeight="1">
      <c r="A1486" s="198" t="s">
        <v>4387</v>
      </c>
      <c r="B1486" s="198" t="s">
        <v>4397</v>
      </c>
      <c r="C1486" s="198" t="s">
        <v>23</v>
      </c>
      <c r="D1486" s="198" t="s">
        <v>26</v>
      </c>
      <c r="E1486" s="198" t="s">
        <v>128</v>
      </c>
      <c r="F1486" s="4" t="s">
        <v>159</v>
      </c>
      <c r="G1486" s="198" t="s">
        <v>2272</v>
      </c>
      <c r="H1486" s="198" t="s">
        <v>521</v>
      </c>
      <c r="I1486" s="198"/>
      <c r="J1486" s="198" t="s">
        <v>2272</v>
      </c>
      <c r="K1486" s="198" t="s">
        <v>2272</v>
      </c>
      <c r="L1486" s="198" t="s">
        <v>2272</v>
      </c>
      <c r="M1486" s="198" t="s">
        <v>2272</v>
      </c>
      <c r="N1486" s="198" t="s">
        <v>2272</v>
      </c>
      <c r="O1486" s="198" t="s">
        <v>2272</v>
      </c>
      <c r="P1486" s="198" t="s">
        <v>2272</v>
      </c>
      <c r="Q1486" s="198" t="s">
        <v>2272</v>
      </c>
      <c r="R1486" s="198" t="s">
        <v>2272</v>
      </c>
      <c r="S1486" s="198" t="s">
        <v>2272</v>
      </c>
      <c r="T1486" s="198" t="s">
        <v>2272</v>
      </c>
      <c r="U1486" s="198" t="s">
        <v>2272</v>
      </c>
      <c r="V1486" s="198" t="s">
        <v>2272</v>
      </c>
      <c r="W1486" s="198" t="s">
        <v>2272</v>
      </c>
      <c r="X1486" s="198" t="s">
        <v>2272</v>
      </c>
      <c r="Y1486" s="198" t="s">
        <v>2272</v>
      </c>
      <c r="Z1486" s="198" t="s">
        <v>2272</v>
      </c>
      <c r="AA1486" s="198" t="s">
        <v>187</v>
      </c>
      <c r="AB1486" s="198" t="s">
        <v>37</v>
      </c>
      <c r="AC1486" s="198" t="s">
        <v>63</v>
      </c>
      <c r="AD1486" s="198"/>
      <c r="AE1486" s="4" t="s">
        <v>4402</v>
      </c>
    </row>
    <row r="1487" spans="1:31" ht="47" customHeight="1">
      <c r="A1487" s="198" t="s">
        <v>4388</v>
      </c>
      <c r="B1487" s="198" t="s">
        <v>4398</v>
      </c>
      <c r="C1487" s="198" t="s">
        <v>23</v>
      </c>
      <c r="D1487" s="198" t="s">
        <v>24</v>
      </c>
      <c r="E1487" s="198" t="s">
        <v>5000</v>
      </c>
      <c r="F1487" s="4" t="s">
        <v>2657</v>
      </c>
      <c r="G1487" s="198" t="s">
        <v>2272</v>
      </c>
      <c r="H1487" s="198" t="s">
        <v>521</v>
      </c>
      <c r="I1487" s="198"/>
      <c r="J1487" s="198" t="s">
        <v>2272</v>
      </c>
      <c r="K1487" s="198" t="s">
        <v>2272</v>
      </c>
      <c r="L1487" s="198" t="s">
        <v>2272</v>
      </c>
      <c r="M1487" s="198" t="s">
        <v>2272</v>
      </c>
      <c r="N1487" s="198" t="s">
        <v>2272</v>
      </c>
      <c r="O1487" s="198" t="s">
        <v>2272</v>
      </c>
      <c r="P1487" s="198" t="s">
        <v>2272</v>
      </c>
      <c r="Q1487" s="198" t="s">
        <v>2272</v>
      </c>
      <c r="R1487" s="198" t="s">
        <v>2272</v>
      </c>
      <c r="S1487" s="198" t="s">
        <v>2272</v>
      </c>
      <c r="T1487" s="198" t="s">
        <v>2272</v>
      </c>
      <c r="U1487" s="198" t="s">
        <v>2272</v>
      </c>
      <c r="V1487" s="198" t="s">
        <v>2272</v>
      </c>
      <c r="W1487" s="198" t="s">
        <v>2272</v>
      </c>
      <c r="X1487" s="198" t="s">
        <v>2272</v>
      </c>
      <c r="Y1487" s="198" t="s">
        <v>2272</v>
      </c>
      <c r="Z1487" s="198" t="s">
        <v>2272</v>
      </c>
      <c r="AA1487" s="198" t="s">
        <v>34</v>
      </c>
      <c r="AB1487" s="198" t="s">
        <v>186</v>
      </c>
      <c r="AC1487" s="198" t="s">
        <v>63</v>
      </c>
      <c r="AD1487" s="4" t="s">
        <v>4399</v>
      </c>
      <c r="AE1487" s="4" t="s">
        <v>4402</v>
      </c>
    </row>
    <row r="1488" spans="1:31" ht="44.5" customHeight="1">
      <c r="A1488" s="198" t="s">
        <v>4388</v>
      </c>
      <c r="B1488" s="198" t="s">
        <v>4404</v>
      </c>
      <c r="C1488" s="198" t="s">
        <v>23</v>
      </c>
      <c r="D1488" s="198" t="s">
        <v>26</v>
      </c>
      <c r="E1488" s="198" t="s">
        <v>128</v>
      </c>
      <c r="F1488" s="4" t="s">
        <v>159</v>
      </c>
      <c r="G1488" s="198" t="s">
        <v>2272</v>
      </c>
      <c r="H1488" s="198" t="s">
        <v>521</v>
      </c>
      <c r="I1488" s="198"/>
      <c r="J1488" s="198" t="s">
        <v>2272</v>
      </c>
      <c r="K1488" s="198" t="s">
        <v>2272</v>
      </c>
      <c r="L1488" s="198" t="s">
        <v>2272</v>
      </c>
      <c r="M1488" s="198" t="s">
        <v>2272</v>
      </c>
      <c r="N1488" s="198" t="s">
        <v>2272</v>
      </c>
      <c r="O1488" s="198" t="s">
        <v>2272</v>
      </c>
      <c r="P1488" s="198" t="s">
        <v>2272</v>
      </c>
      <c r="Q1488" s="198" t="s">
        <v>2272</v>
      </c>
      <c r="R1488" s="198" t="s">
        <v>2272</v>
      </c>
      <c r="S1488" s="198" t="s">
        <v>2272</v>
      </c>
      <c r="T1488" s="198" t="s">
        <v>2272</v>
      </c>
      <c r="U1488" s="198" t="s">
        <v>2272</v>
      </c>
      <c r="V1488" s="198" t="s">
        <v>2272</v>
      </c>
      <c r="W1488" s="198" t="s">
        <v>2272</v>
      </c>
      <c r="X1488" s="198" t="s">
        <v>2272</v>
      </c>
      <c r="Y1488" s="198" t="s">
        <v>2272</v>
      </c>
      <c r="Z1488" s="198" t="s">
        <v>2272</v>
      </c>
      <c r="AA1488" s="198" t="s">
        <v>187</v>
      </c>
      <c r="AB1488" s="198" t="s">
        <v>37</v>
      </c>
      <c r="AC1488" s="198" t="s">
        <v>63</v>
      </c>
      <c r="AD1488" s="198"/>
      <c r="AE1488" s="4" t="s">
        <v>4402</v>
      </c>
    </row>
    <row r="1489" spans="1:31" ht="56.5" customHeight="1">
      <c r="A1489" s="198" t="s">
        <v>4413</v>
      </c>
      <c r="B1489" s="198" t="s">
        <v>4423</v>
      </c>
      <c r="C1489" s="198" t="s">
        <v>23</v>
      </c>
      <c r="D1489" s="198" t="s">
        <v>1102</v>
      </c>
      <c r="E1489" s="198" t="s">
        <v>5000</v>
      </c>
      <c r="F1489" s="4" t="s">
        <v>2657</v>
      </c>
      <c r="G1489" s="198" t="s">
        <v>2272</v>
      </c>
      <c r="H1489" s="198" t="s">
        <v>522</v>
      </c>
      <c r="I1489" s="198"/>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1">
        <v>0</v>
      </c>
      <c r="Z1489" s="198" t="s">
        <v>2272</v>
      </c>
      <c r="AA1489" s="198" t="s">
        <v>2272</v>
      </c>
      <c r="AB1489" s="198" t="s">
        <v>2272</v>
      </c>
      <c r="AC1489" s="198" t="s">
        <v>2272</v>
      </c>
      <c r="AD1489" s="4" t="s">
        <v>4425</v>
      </c>
      <c r="AE1489" s="198"/>
    </row>
    <row r="1490" spans="1:31" ht="57" customHeight="1">
      <c r="A1490" s="198" t="s">
        <v>4416</v>
      </c>
      <c r="B1490" s="198" t="s">
        <v>4424</v>
      </c>
      <c r="C1490" s="198" t="s">
        <v>23</v>
      </c>
      <c r="D1490" s="198" t="s">
        <v>1102</v>
      </c>
      <c r="E1490" s="198" t="s">
        <v>1102</v>
      </c>
      <c r="F1490" s="4" t="s">
        <v>73</v>
      </c>
      <c r="G1490" s="198" t="s">
        <v>2272</v>
      </c>
      <c r="H1490" s="198" t="s">
        <v>522</v>
      </c>
      <c r="I1490" s="198"/>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1">
        <v>0</v>
      </c>
      <c r="Z1490" s="198" t="s">
        <v>2272</v>
      </c>
      <c r="AA1490" s="198" t="s">
        <v>2272</v>
      </c>
      <c r="AB1490" s="198" t="s">
        <v>2272</v>
      </c>
      <c r="AC1490" s="198" t="s">
        <v>2272</v>
      </c>
      <c r="AD1490" s="4" t="s">
        <v>4426</v>
      </c>
      <c r="AE1490" s="198"/>
    </row>
    <row r="1491" spans="1:31" ht="50.5" customHeight="1">
      <c r="A1491" s="198" t="s">
        <v>4416</v>
      </c>
      <c r="B1491" s="198" t="s">
        <v>4428</v>
      </c>
      <c r="C1491" s="198" t="s">
        <v>23</v>
      </c>
      <c r="D1491" s="198" t="s">
        <v>1238</v>
      </c>
      <c r="E1491" s="198" t="s">
        <v>135</v>
      </c>
      <c r="F1491" s="4" t="s">
        <v>73</v>
      </c>
      <c r="G1491" s="198" t="s">
        <v>2272</v>
      </c>
      <c r="H1491" s="198" t="s">
        <v>522</v>
      </c>
      <c r="I1491" s="198"/>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1">
        <v>0</v>
      </c>
      <c r="Z1491" s="198" t="s">
        <v>2272</v>
      </c>
      <c r="AA1491" s="198" t="s">
        <v>2272</v>
      </c>
      <c r="AB1491" s="198" t="s">
        <v>2272</v>
      </c>
      <c r="AC1491" s="198" t="s">
        <v>2272</v>
      </c>
      <c r="AD1491" s="4" t="s">
        <v>4429</v>
      </c>
      <c r="AE1491" s="198"/>
    </row>
    <row r="1492" spans="1:31" ht="40" customHeight="1">
      <c r="A1492" s="198" t="s">
        <v>4431</v>
      </c>
      <c r="B1492" s="198" t="s">
        <v>4433</v>
      </c>
      <c r="C1492" s="198" t="s">
        <v>23</v>
      </c>
      <c r="D1492" s="198" t="s">
        <v>24</v>
      </c>
      <c r="E1492" s="198" t="s">
        <v>44</v>
      </c>
      <c r="F1492" s="4" t="s">
        <v>73</v>
      </c>
      <c r="G1492" s="198" t="s">
        <v>2272</v>
      </c>
      <c r="H1492" s="198" t="s">
        <v>522</v>
      </c>
      <c r="I1492" s="198"/>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1">
        <v>0</v>
      </c>
      <c r="Z1492" s="198" t="s">
        <v>2272</v>
      </c>
      <c r="AA1492" s="198" t="s">
        <v>2272</v>
      </c>
      <c r="AB1492" s="198" t="s">
        <v>2272</v>
      </c>
      <c r="AC1492" s="198" t="s">
        <v>2272</v>
      </c>
      <c r="AD1492" s="4" t="s">
        <v>4440</v>
      </c>
      <c r="AE1492" s="198"/>
    </row>
    <row r="1493" spans="1:31" ht="40" customHeight="1">
      <c r="A1493" s="198" t="s">
        <v>4435</v>
      </c>
      <c r="B1493" s="198" t="s">
        <v>4436</v>
      </c>
      <c r="C1493" s="198" t="s">
        <v>23</v>
      </c>
      <c r="D1493" s="198" t="s">
        <v>24</v>
      </c>
      <c r="E1493" s="198" t="s">
        <v>5000</v>
      </c>
      <c r="F1493" s="4" t="s">
        <v>73</v>
      </c>
      <c r="G1493" s="198" t="s">
        <v>2272</v>
      </c>
      <c r="H1493" s="198" t="s">
        <v>522</v>
      </c>
      <c r="I1493" s="198"/>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1">
        <v>0</v>
      </c>
      <c r="Z1493" s="198" t="s">
        <v>2272</v>
      </c>
      <c r="AA1493" s="198" t="s">
        <v>2272</v>
      </c>
      <c r="AB1493" s="198" t="s">
        <v>2272</v>
      </c>
      <c r="AC1493" s="198" t="s">
        <v>2272</v>
      </c>
      <c r="AD1493" s="4" t="s">
        <v>4440</v>
      </c>
      <c r="AE1493" s="198"/>
    </row>
    <row r="1494" spans="1:31" ht="40" customHeight="1">
      <c r="A1494" s="198" t="s">
        <v>4431</v>
      </c>
      <c r="B1494" s="198" t="s">
        <v>4434</v>
      </c>
      <c r="C1494" s="198" t="s">
        <v>23</v>
      </c>
      <c r="D1494" s="198" t="s">
        <v>24</v>
      </c>
      <c r="E1494" s="198" t="s">
        <v>44</v>
      </c>
      <c r="F1494" s="4" t="s">
        <v>2657</v>
      </c>
      <c r="G1494" s="198" t="s">
        <v>2272</v>
      </c>
      <c r="H1494" s="198" t="s">
        <v>522</v>
      </c>
      <c r="I1494" s="198"/>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1">
        <v>0</v>
      </c>
      <c r="Z1494" s="198" t="s">
        <v>2272</v>
      </c>
      <c r="AA1494" s="198" t="s">
        <v>2272</v>
      </c>
      <c r="AB1494" s="198" t="s">
        <v>2272</v>
      </c>
      <c r="AC1494" s="198" t="s">
        <v>2272</v>
      </c>
      <c r="AD1494" s="4" t="s">
        <v>4440</v>
      </c>
      <c r="AE1494" s="198"/>
    </row>
    <row r="1495" spans="1:31" ht="40" customHeight="1">
      <c r="A1495" s="198" t="s">
        <v>4435</v>
      </c>
      <c r="B1495" s="198" t="s">
        <v>4437</v>
      </c>
      <c r="C1495" s="198" t="s">
        <v>23</v>
      </c>
      <c r="D1495" s="198" t="s">
        <v>24</v>
      </c>
      <c r="E1495" s="198" t="s">
        <v>5000</v>
      </c>
      <c r="F1495" s="4" t="s">
        <v>2657</v>
      </c>
      <c r="G1495" s="198" t="s">
        <v>2272</v>
      </c>
      <c r="H1495" s="198" t="s">
        <v>522</v>
      </c>
      <c r="I1495" s="198"/>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1">
        <v>0</v>
      </c>
      <c r="Z1495" s="198" t="s">
        <v>2272</v>
      </c>
      <c r="AA1495" s="198" t="s">
        <v>2272</v>
      </c>
      <c r="AB1495" s="198" t="s">
        <v>2272</v>
      </c>
      <c r="AC1495" s="198" t="s">
        <v>2272</v>
      </c>
      <c r="AD1495" s="4" t="s">
        <v>4440</v>
      </c>
      <c r="AE1495" s="198"/>
    </row>
    <row r="1496" spans="1:31" ht="54.5" customHeight="1">
      <c r="A1496" s="198" t="s">
        <v>4431</v>
      </c>
      <c r="B1496" s="198" t="s">
        <v>4438</v>
      </c>
      <c r="C1496" s="198" t="s">
        <v>1102</v>
      </c>
      <c r="D1496" s="198" t="s">
        <v>1102</v>
      </c>
      <c r="E1496" s="198" t="s">
        <v>1102</v>
      </c>
      <c r="F1496" s="4" t="s">
        <v>2272</v>
      </c>
      <c r="G1496" s="4" t="s">
        <v>2657</v>
      </c>
      <c r="H1496" s="198" t="s">
        <v>522</v>
      </c>
      <c r="I1496" s="198"/>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1">
        <v>0</v>
      </c>
      <c r="Z1496" s="198" t="s">
        <v>2272</v>
      </c>
      <c r="AA1496" s="198" t="s">
        <v>2272</v>
      </c>
      <c r="AB1496" s="198" t="s">
        <v>2272</v>
      </c>
      <c r="AC1496" s="198" t="s">
        <v>2272</v>
      </c>
      <c r="AD1496" s="4" t="s">
        <v>4441</v>
      </c>
      <c r="AE1496" s="198"/>
    </row>
    <row r="1497" spans="1:31" ht="54.5" customHeight="1">
      <c r="A1497" s="198" t="s">
        <v>4435</v>
      </c>
      <c r="B1497" s="198" t="s">
        <v>4439</v>
      </c>
      <c r="C1497" s="198" t="s">
        <v>1102</v>
      </c>
      <c r="D1497" s="198" t="s">
        <v>1102</v>
      </c>
      <c r="E1497" s="198" t="s">
        <v>1102</v>
      </c>
      <c r="F1497" s="4" t="s">
        <v>2272</v>
      </c>
      <c r="G1497" s="4" t="s">
        <v>2657</v>
      </c>
      <c r="H1497" s="198" t="s">
        <v>522</v>
      </c>
      <c r="I1497" s="198"/>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1">
        <v>0</v>
      </c>
      <c r="Z1497" s="198" t="s">
        <v>2272</v>
      </c>
      <c r="AA1497" s="198" t="s">
        <v>2272</v>
      </c>
      <c r="AB1497" s="198" t="s">
        <v>2272</v>
      </c>
      <c r="AC1497" s="198" t="s">
        <v>2272</v>
      </c>
      <c r="AD1497" s="4" t="s">
        <v>4441</v>
      </c>
      <c r="AE1497" s="198"/>
    </row>
    <row r="1498" spans="1:31" ht="40.5" customHeight="1">
      <c r="A1498" s="198" t="s">
        <v>4443</v>
      </c>
      <c r="B1498" s="198" t="s">
        <v>4452</v>
      </c>
      <c r="C1498" s="198" t="s">
        <v>23</v>
      </c>
      <c r="D1498" s="198" t="s">
        <v>26</v>
      </c>
      <c r="E1498" s="198" t="s">
        <v>128</v>
      </c>
      <c r="F1498" s="4" t="s">
        <v>159</v>
      </c>
      <c r="G1498" s="198" t="s">
        <v>2272</v>
      </c>
      <c r="H1498" s="198" t="s">
        <v>521</v>
      </c>
      <c r="I1498" s="198"/>
      <c r="J1498" s="4" t="s">
        <v>2272</v>
      </c>
      <c r="K1498" s="4" t="s">
        <v>2272</v>
      </c>
      <c r="L1498" s="4" t="s">
        <v>2272</v>
      </c>
      <c r="M1498" s="4" t="s">
        <v>2272</v>
      </c>
      <c r="N1498" s="4" t="s">
        <v>2272</v>
      </c>
      <c r="O1498" s="4" t="s">
        <v>2272</v>
      </c>
      <c r="P1498" s="4" t="s">
        <v>2272</v>
      </c>
      <c r="Q1498" s="4" t="s">
        <v>2272</v>
      </c>
      <c r="R1498" s="4" t="s">
        <v>2272</v>
      </c>
      <c r="S1498" s="4" t="s">
        <v>2272</v>
      </c>
      <c r="T1498" s="4" t="s">
        <v>2272</v>
      </c>
      <c r="U1498" s="4" t="s">
        <v>2272</v>
      </c>
      <c r="V1498" s="4" t="s">
        <v>2272</v>
      </c>
      <c r="W1498" s="4" t="s">
        <v>2272</v>
      </c>
      <c r="X1498" s="4" t="s">
        <v>2272</v>
      </c>
      <c r="Y1498" s="4" t="s">
        <v>2272</v>
      </c>
      <c r="Z1498" s="4" t="s">
        <v>2272</v>
      </c>
      <c r="AA1498" s="4" t="s">
        <v>2272</v>
      </c>
      <c r="AB1498" s="4" t="s">
        <v>2272</v>
      </c>
      <c r="AC1498" s="198" t="s">
        <v>2272</v>
      </c>
      <c r="AD1498" s="198"/>
      <c r="AE1498" s="4" t="s">
        <v>4454</v>
      </c>
    </row>
    <row r="1499" spans="1:31" ht="43.5" customHeight="1">
      <c r="A1499" s="198" t="s">
        <v>4443</v>
      </c>
      <c r="B1499" s="198" t="s">
        <v>4453</v>
      </c>
      <c r="C1499" s="198" t="s">
        <v>23</v>
      </c>
      <c r="D1499" s="198" t="s">
        <v>1128</v>
      </c>
      <c r="E1499" s="198" t="s">
        <v>128</v>
      </c>
      <c r="F1499" s="4" t="s">
        <v>27</v>
      </c>
      <c r="G1499" s="198" t="s">
        <v>2272</v>
      </c>
      <c r="H1499" s="198" t="s">
        <v>521</v>
      </c>
      <c r="I1499" s="198"/>
      <c r="J1499" s="4" t="s">
        <v>2272</v>
      </c>
      <c r="K1499" s="4" t="s">
        <v>2272</v>
      </c>
      <c r="L1499" s="4" t="s">
        <v>2272</v>
      </c>
      <c r="M1499" s="4" t="s">
        <v>2272</v>
      </c>
      <c r="N1499" s="4" t="s">
        <v>2272</v>
      </c>
      <c r="O1499" s="4" t="s">
        <v>2272</v>
      </c>
      <c r="P1499" s="4" t="s">
        <v>2272</v>
      </c>
      <c r="Q1499" s="4" t="s">
        <v>2272</v>
      </c>
      <c r="R1499" s="4" t="s">
        <v>2272</v>
      </c>
      <c r="S1499" s="4" t="s">
        <v>2272</v>
      </c>
      <c r="T1499" s="4" t="s">
        <v>2272</v>
      </c>
      <c r="U1499" s="4" t="s">
        <v>2272</v>
      </c>
      <c r="V1499" s="4" t="s">
        <v>2272</v>
      </c>
      <c r="W1499" s="4" t="s">
        <v>2272</v>
      </c>
      <c r="X1499" s="4" t="s">
        <v>2272</v>
      </c>
      <c r="Y1499" s="4" t="s">
        <v>2272</v>
      </c>
      <c r="Z1499" s="21">
        <v>0.3</v>
      </c>
      <c r="AA1499" s="4" t="s">
        <v>2272</v>
      </c>
      <c r="AB1499" s="4" t="s">
        <v>2272</v>
      </c>
      <c r="AC1499" s="197" t="s">
        <v>63</v>
      </c>
      <c r="AD1499" s="4" t="s">
        <v>4458</v>
      </c>
      <c r="AE1499" s="198"/>
    </row>
    <row r="1500" spans="1:31" ht="42" customHeight="1">
      <c r="A1500" s="198" t="s">
        <v>4446</v>
      </c>
      <c r="B1500" s="198" t="s">
        <v>4455</v>
      </c>
      <c r="C1500" s="198" t="s">
        <v>23</v>
      </c>
      <c r="D1500" s="198" t="s">
        <v>26</v>
      </c>
      <c r="E1500" s="198" t="s">
        <v>128</v>
      </c>
      <c r="F1500" s="4" t="s">
        <v>159</v>
      </c>
      <c r="G1500" s="198" t="s">
        <v>2272</v>
      </c>
      <c r="H1500" s="198" t="s">
        <v>521</v>
      </c>
      <c r="I1500" s="198"/>
      <c r="J1500" s="4" t="s">
        <v>2272</v>
      </c>
      <c r="K1500" s="4" t="s">
        <v>2272</v>
      </c>
      <c r="L1500" s="4" t="s">
        <v>2272</v>
      </c>
      <c r="M1500" s="4" t="s">
        <v>2272</v>
      </c>
      <c r="N1500" s="4" t="s">
        <v>2272</v>
      </c>
      <c r="O1500" s="4" t="s">
        <v>2272</v>
      </c>
      <c r="P1500" s="4" t="s">
        <v>2272</v>
      </c>
      <c r="Q1500" s="4" t="s">
        <v>2272</v>
      </c>
      <c r="R1500" s="4" t="s">
        <v>2272</v>
      </c>
      <c r="S1500" s="4" t="s">
        <v>2272</v>
      </c>
      <c r="T1500" s="4" t="s">
        <v>2272</v>
      </c>
      <c r="U1500" s="4" t="s">
        <v>2272</v>
      </c>
      <c r="V1500" s="4" t="s">
        <v>2272</v>
      </c>
      <c r="W1500" s="4" t="s">
        <v>2272</v>
      </c>
      <c r="X1500" s="4" t="s">
        <v>2272</v>
      </c>
      <c r="Y1500" s="4" t="s">
        <v>2272</v>
      </c>
      <c r="Z1500" s="4" t="s">
        <v>2272</v>
      </c>
      <c r="AA1500" s="4" t="s">
        <v>2272</v>
      </c>
      <c r="AB1500" s="4" t="s">
        <v>2272</v>
      </c>
      <c r="AC1500" s="198" t="s">
        <v>2272</v>
      </c>
      <c r="AD1500" s="198"/>
      <c r="AE1500" s="4" t="s">
        <v>4457</v>
      </c>
    </row>
    <row r="1501" spans="1:31" ht="44.5" customHeight="1">
      <c r="A1501" s="198" t="s">
        <v>4446</v>
      </c>
      <c r="B1501" s="198" t="s">
        <v>4456</v>
      </c>
      <c r="C1501" s="198" t="s">
        <v>23</v>
      </c>
      <c r="D1501" s="198" t="s">
        <v>2654</v>
      </c>
      <c r="E1501" s="198" t="s">
        <v>128</v>
      </c>
      <c r="F1501" s="4" t="s">
        <v>27</v>
      </c>
      <c r="G1501" s="198" t="s">
        <v>2272</v>
      </c>
      <c r="H1501" s="198" t="s">
        <v>521</v>
      </c>
      <c r="I1501" s="198"/>
      <c r="J1501" s="4" t="s">
        <v>2272</v>
      </c>
      <c r="K1501" s="4" t="s">
        <v>2272</v>
      </c>
      <c r="L1501" s="4" t="s">
        <v>2272</v>
      </c>
      <c r="M1501" s="4" t="s">
        <v>2272</v>
      </c>
      <c r="N1501" s="4" t="s">
        <v>2272</v>
      </c>
      <c r="O1501" s="4" t="s">
        <v>2272</v>
      </c>
      <c r="P1501" s="4" t="s">
        <v>2272</v>
      </c>
      <c r="Q1501" s="4" t="s">
        <v>2272</v>
      </c>
      <c r="R1501" s="4" t="s">
        <v>2272</v>
      </c>
      <c r="S1501" s="4" t="s">
        <v>2272</v>
      </c>
      <c r="T1501" s="4" t="s">
        <v>2272</v>
      </c>
      <c r="U1501" s="4" t="s">
        <v>2272</v>
      </c>
      <c r="V1501" s="4" t="s">
        <v>2272</v>
      </c>
      <c r="W1501" s="4" t="s">
        <v>2272</v>
      </c>
      <c r="X1501" s="4" t="s">
        <v>2272</v>
      </c>
      <c r="Y1501" s="4" t="s">
        <v>2272</v>
      </c>
      <c r="Z1501" s="21">
        <v>1</v>
      </c>
      <c r="AA1501" s="4" t="s">
        <v>2272</v>
      </c>
      <c r="AB1501" s="4" t="s">
        <v>2272</v>
      </c>
      <c r="AC1501" s="197" t="s">
        <v>63</v>
      </c>
      <c r="AD1501" s="198" t="s">
        <v>4461</v>
      </c>
      <c r="AE1501" s="198"/>
    </row>
    <row r="1502" spans="1:31" ht="41" customHeight="1">
      <c r="A1502" s="198" t="s">
        <v>4446</v>
      </c>
      <c r="B1502" s="198" t="s">
        <v>4459</v>
      </c>
      <c r="C1502" s="198" t="s">
        <v>23</v>
      </c>
      <c r="D1502" s="198" t="s">
        <v>1128</v>
      </c>
      <c r="E1502" s="198" t="s">
        <v>128</v>
      </c>
      <c r="F1502" s="4" t="s">
        <v>27</v>
      </c>
      <c r="G1502" s="198" t="s">
        <v>2272</v>
      </c>
      <c r="H1502" s="198" t="s">
        <v>522</v>
      </c>
      <c r="I1502" s="198"/>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1">
        <v>0</v>
      </c>
      <c r="Z1502" s="198" t="s">
        <v>2272</v>
      </c>
      <c r="AA1502" s="198" t="s">
        <v>2272</v>
      </c>
      <c r="AB1502" s="198" t="s">
        <v>2272</v>
      </c>
      <c r="AC1502" s="198" t="s">
        <v>2272</v>
      </c>
      <c r="AD1502" s="4" t="s">
        <v>4460</v>
      </c>
      <c r="AE1502" s="198"/>
    </row>
    <row r="1503" spans="1:31" ht="43.5" customHeight="1">
      <c r="A1503" s="198" t="s">
        <v>4448</v>
      </c>
      <c r="B1503" s="198" t="s">
        <v>4462</v>
      </c>
      <c r="C1503" s="198" t="s">
        <v>23</v>
      </c>
      <c r="D1503" s="198" t="s">
        <v>26</v>
      </c>
      <c r="E1503" s="198" t="s">
        <v>128</v>
      </c>
      <c r="F1503" s="4" t="s">
        <v>159</v>
      </c>
      <c r="G1503" s="198" t="s">
        <v>2272</v>
      </c>
      <c r="H1503" s="198" t="s">
        <v>521</v>
      </c>
      <c r="I1503" s="198"/>
      <c r="J1503" s="4" t="s">
        <v>2272</v>
      </c>
      <c r="K1503" s="4" t="s">
        <v>2272</v>
      </c>
      <c r="L1503" s="4" t="s">
        <v>2272</v>
      </c>
      <c r="M1503" s="4" t="s">
        <v>2272</v>
      </c>
      <c r="N1503" s="4" t="s">
        <v>2272</v>
      </c>
      <c r="O1503" s="4" t="s">
        <v>2272</v>
      </c>
      <c r="P1503" s="4" t="s">
        <v>2272</v>
      </c>
      <c r="Q1503" s="4" t="s">
        <v>2272</v>
      </c>
      <c r="R1503" s="21">
        <v>1</v>
      </c>
      <c r="S1503" s="4" t="s">
        <v>2272</v>
      </c>
      <c r="T1503" s="4" t="s">
        <v>2272</v>
      </c>
      <c r="U1503" s="4" t="s">
        <v>2272</v>
      </c>
      <c r="V1503" s="4" t="s">
        <v>2272</v>
      </c>
      <c r="W1503" s="4" t="s">
        <v>2272</v>
      </c>
      <c r="X1503" s="4" t="s">
        <v>2272</v>
      </c>
      <c r="Y1503" s="4" t="s">
        <v>2272</v>
      </c>
      <c r="Z1503" s="4" t="s">
        <v>2272</v>
      </c>
      <c r="AA1503" s="4" t="s">
        <v>2272</v>
      </c>
      <c r="AB1503" s="4" t="s">
        <v>2272</v>
      </c>
      <c r="AC1503" s="4" t="s">
        <v>2272</v>
      </c>
      <c r="AD1503" s="198"/>
      <c r="AE1503" s="198" t="s">
        <v>4464</v>
      </c>
    </row>
    <row r="1504" spans="1:31" ht="45.5" customHeight="1">
      <c r="A1504" s="198" t="s">
        <v>4468</v>
      </c>
      <c r="B1504" s="198" t="s">
        <v>4470</v>
      </c>
      <c r="C1504" s="198" t="s">
        <v>23</v>
      </c>
      <c r="D1504" s="198" t="s">
        <v>2799</v>
      </c>
      <c r="E1504" s="198" t="s">
        <v>5000</v>
      </c>
      <c r="F1504" s="4" t="s">
        <v>2657</v>
      </c>
      <c r="G1504" s="198" t="s">
        <v>2272</v>
      </c>
      <c r="H1504" s="198" t="s">
        <v>521</v>
      </c>
      <c r="I1504" s="198"/>
      <c r="J1504" s="4" t="s">
        <v>2272</v>
      </c>
      <c r="K1504" s="4" t="s">
        <v>2272</v>
      </c>
      <c r="L1504" s="4" t="s">
        <v>2272</v>
      </c>
      <c r="M1504" s="4" t="s">
        <v>2272</v>
      </c>
      <c r="N1504" s="4" t="s">
        <v>2272</v>
      </c>
      <c r="O1504" s="4" t="s">
        <v>2272</v>
      </c>
      <c r="P1504" s="4" t="s">
        <v>2272</v>
      </c>
      <c r="Q1504" s="4" t="s">
        <v>2272</v>
      </c>
      <c r="R1504" s="21">
        <v>2</v>
      </c>
      <c r="S1504" s="4" t="s">
        <v>2272</v>
      </c>
      <c r="T1504" s="4" t="s">
        <v>2272</v>
      </c>
      <c r="U1504" s="4" t="s">
        <v>2272</v>
      </c>
      <c r="V1504" s="4" t="s">
        <v>2272</v>
      </c>
      <c r="W1504" s="4" t="s">
        <v>2272</v>
      </c>
      <c r="X1504" s="4" t="s">
        <v>2272</v>
      </c>
      <c r="Y1504" s="4" t="s">
        <v>2272</v>
      </c>
      <c r="Z1504" s="4" t="s">
        <v>2272</v>
      </c>
      <c r="AA1504" s="4" t="s">
        <v>2272</v>
      </c>
      <c r="AB1504" s="4" t="s">
        <v>2272</v>
      </c>
      <c r="AC1504" s="4" t="s">
        <v>2272</v>
      </c>
      <c r="AD1504" s="198"/>
      <c r="AE1504" s="198"/>
    </row>
    <row r="1505" spans="1:31" ht="60" customHeight="1">
      <c r="A1505" s="35" t="s">
        <v>4468</v>
      </c>
      <c r="B1505" s="35" t="s">
        <v>4471</v>
      </c>
      <c r="C1505" s="35" t="s">
        <v>23</v>
      </c>
      <c r="D1505" s="35" t="s">
        <v>2227</v>
      </c>
      <c r="E1505" s="35" t="s">
        <v>5000</v>
      </c>
      <c r="F1505" s="163" t="s">
        <v>2657</v>
      </c>
      <c r="G1505" s="198" t="s">
        <v>2272</v>
      </c>
      <c r="H1505" s="198" t="s">
        <v>521</v>
      </c>
      <c r="I1505" s="35"/>
      <c r="J1505" s="4" t="s">
        <v>2272</v>
      </c>
      <c r="K1505" s="4" t="s">
        <v>2272</v>
      </c>
      <c r="L1505" s="4" t="s">
        <v>2272</v>
      </c>
      <c r="M1505" s="4" t="s">
        <v>2272</v>
      </c>
      <c r="N1505" s="4" t="s">
        <v>2272</v>
      </c>
      <c r="O1505" s="4" t="s">
        <v>2272</v>
      </c>
      <c r="P1505" s="4" t="s">
        <v>2272</v>
      </c>
      <c r="Q1505" s="4" t="s">
        <v>2272</v>
      </c>
      <c r="R1505" s="21">
        <v>3</v>
      </c>
      <c r="S1505" s="4" t="s">
        <v>2272</v>
      </c>
      <c r="T1505" s="4" t="s">
        <v>2272</v>
      </c>
      <c r="U1505" s="4" t="s">
        <v>2272</v>
      </c>
      <c r="V1505" s="4" t="s">
        <v>2272</v>
      </c>
      <c r="W1505" s="4" t="s">
        <v>2272</v>
      </c>
      <c r="X1505" s="4" t="s">
        <v>2272</v>
      </c>
      <c r="Y1505" s="4" t="s">
        <v>2272</v>
      </c>
      <c r="Z1505" s="4" t="s">
        <v>2272</v>
      </c>
      <c r="AA1505" s="4" t="s">
        <v>2272</v>
      </c>
      <c r="AB1505" s="4" t="s">
        <v>2272</v>
      </c>
      <c r="AC1505" s="4" t="s">
        <v>2272</v>
      </c>
      <c r="AD1505" s="168" t="s">
        <v>4475</v>
      </c>
      <c r="AE1505" s="35"/>
    </row>
    <row r="1506" spans="1:31" ht="57.5" customHeight="1">
      <c r="A1506" s="198" t="s">
        <v>4468</v>
      </c>
      <c r="B1506" s="198" t="s">
        <v>4472</v>
      </c>
      <c r="C1506" s="198" t="s">
        <v>23</v>
      </c>
      <c r="D1506" s="198" t="s">
        <v>2337</v>
      </c>
      <c r="E1506" s="198" t="s">
        <v>5000</v>
      </c>
      <c r="F1506" s="4" t="s">
        <v>2657</v>
      </c>
      <c r="G1506" s="198" t="s">
        <v>2272</v>
      </c>
      <c r="H1506" s="198" t="s">
        <v>521</v>
      </c>
      <c r="I1506" s="198"/>
      <c r="J1506" s="4" t="s">
        <v>2272</v>
      </c>
      <c r="K1506" s="4" t="s">
        <v>2272</v>
      </c>
      <c r="L1506" s="4" t="s">
        <v>2272</v>
      </c>
      <c r="M1506" s="4" t="s">
        <v>2272</v>
      </c>
      <c r="N1506" s="4" t="s">
        <v>2272</v>
      </c>
      <c r="O1506" s="4" t="s">
        <v>2272</v>
      </c>
      <c r="P1506" s="4" t="s">
        <v>2272</v>
      </c>
      <c r="Q1506" s="4" t="s">
        <v>2272</v>
      </c>
      <c r="R1506" s="21">
        <v>4</v>
      </c>
      <c r="S1506" s="4" t="s">
        <v>2272</v>
      </c>
      <c r="T1506" s="4" t="s">
        <v>2272</v>
      </c>
      <c r="U1506" s="4" t="s">
        <v>2272</v>
      </c>
      <c r="V1506" s="4" t="s">
        <v>2272</v>
      </c>
      <c r="W1506" s="4" t="s">
        <v>2272</v>
      </c>
      <c r="X1506" s="4" t="s">
        <v>2272</v>
      </c>
      <c r="Y1506" s="4" t="s">
        <v>2272</v>
      </c>
      <c r="Z1506" s="4" t="s">
        <v>2272</v>
      </c>
      <c r="AA1506" s="4" t="s">
        <v>2272</v>
      </c>
      <c r="AB1506" s="4" t="s">
        <v>2272</v>
      </c>
      <c r="AC1506" s="4" t="s">
        <v>2272</v>
      </c>
      <c r="AD1506" s="108" t="s">
        <v>4475</v>
      </c>
      <c r="AE1506" s="198"/>
    </row>
    <row r="1507" spans="1:31" ht="52.5" customHeight="1">
      <c r="A1507" s="198" t="s">
        <v>4468</v>
      </c>
      <c r="B1507" s="198" t="s">
        <v>4473</v>
      </c>
      <c r="C1507" s="198" t="s">
        <v>23</v>
      </c>
      <c r="D1507" s="198" t="s">
        <v>2227</v>
      </c>
      <c r="E1507" s="198" t="s">
        <v>5000</v>
      </c>
      <c r="F1507" s="4" t="s">
        <v>73</v>
      </c>
      <c r="G1507" s="198" t="s">
        <v>2272</v>
      </c>
      <c r="H1507" s="198" t="s">
        <v>521</v>
      </c>
      <c r="I1507" s="198"/>
      <c r="J1507" s="4" t="s">
        <v>2272</v>
      </c>
      <c r="K1507" s="4" t="s">
        <v>2272</v>
      </c>
      <c r="L1507" s="4" t="s">
        <v>2272</v>
      </c>
      <c r="M1507" s="4" t="s">
        <v>2272</v>
      </c>
      <c r="N1507" s="4" t="s">
        <v>2272</v>
      </c>
      <c r="O1507" s="4" t="s">
        <v>2272</v>
      </c>
      <c r="P1507" s="4" t="s">
        <v>2272</v>
      </c>
      <c r="Q1507" s="4" t="s">
        <v>2272</v>
      </c>
      <c r="R1507" s="21">
        <v>5</v>
      </c>
      <c r="S1507" s="4" t="s">
        <v>2272</v>
      </c>
      <c r="T1507" s="4" t="s">
        <v>2272</v>
      </c>
      <c r="U1507" s="4" t="s">
        <v>2272</v>
      </c>
      <c r="V1507" s="4" t="s">
        <v>2272</v>
      </c>
      <c r="W1507" s="4" t="s">
        <v>2272</v>
      </c>
      <c r="X1507" s="4" t="s">
        <v>2272</v>
      </c>
      <c r="Y1507" s="4" t="s">
        <v>2272</v>
      </c>
      <c r="Z1507" s="4" t="s">
        <v>2272</v>
      </c>
      <c r="AA1507" s="4" t="s">
        <v>2272</v>
      </c>
      <c r="AB1507" s="4" t="s">
        <v>2272</v>
      </c>
      <c r="AC1507" s="4" t="s">
        <v>2272</v>
      </c>
      <c r="AD1507" s="108" t="s">
        <v>4475</v>
      </c>
      <c r="AE1507" s="198"/>
    </row>
    <row r="1508" spans="1:31" ht="60" customHeight="1">
      <c r="A1508" s="198" t="s">
        <v>4468</v>
      </c>
      <c r="B1508" s="198" t="s">
        <v>4474</v>
      </c>
      <c r="C1508" s="198" t="s">
        <v>23</v>
      </c>
      <c r="D1508" s="198" t="s">
        <v>2337</v>
      </c>
      <c r="E1508" s="198" t="s">
        <v>5000</v>
      </c>
      <c r="F1508" s="4" t="s">
        <v>73</v>
      </c>
      <c r="G1508" s="198" t="s">
        <v>2272</v>
      </c>
      <c r="H1508" s="198" t="s">
        <v>521</v>
      </c>
      <c r="I1508" s="198"/>
      <c r="J1508" s="4" t="s">
        <v>2272</v>
      </c>
      <c r="K1508" s="4" t="s">
        <v>2272</v>
      </c>
      <c r="L1508" s="4" t="s">
        <v>2272</v>
      </c>
      <c r="M1508" s="4" t="s">
        <v>2272</v>
      </c>
      <c r="N1508" s="4" t="s">
        <v>2272</v>
      </c>
      <c r="O1508" s="4" t="s">
        <v>2272</v>
      </c>
      <c r="P1508" s="4" t="s">
        <v>2272</v>
      </c>
      <c r="Q1508" s="4" t="s">
        <v>2272</v>
      </c>
      <c r="R1508" s="21">
        <v>6</v>
      </c>
      <c r="S1508" s="4" t="s">
        <v>2272</v>
      </c>
      <c r="T1508" s="4" t="s">
        <v>2272</v>
      </c>
      <c r="U1508" s="4" t="s">
        <v>2272</v>
      </c>
      <c r="V1508" s="4" t="s">
        <v>2272</v>
      </c>
      <c r="W1508" s="4" t="s">
        <v>2272</v>
      </c>
      <c r="X1508" s="4" t="s">
        <v>2272</v>
      </c>
      <c r="Y1508" s="4" t="s">
        <v>2272</v>
      </c>
      <c r="Z1508" s="4" t="s">
        <v>2272</v>
      </c>
      <c r="AA1508" s="4" t="s">
        <v>2272</v>
      </c>
      <c r="AB1508" s="4" t="s">
        <v>2272</v>
      </c>
      <c r="AC1508" s="4" t="s">
        <v>2272</v>
      </c>
      <c r="AD1508" s="108" t="s">
        <v>4475</v>
      </c>
      <c r="AE1508" s="198"/>
    </row>
    <row r="1509" spans="1:31" ht="46.5" customHeight="1">
      <c r="A1509" s="198" t="s">
        <v>4468</v>
      </c>
      <c r="B1509" s="198" t="s">
        <v>4476</v>
      </c>
      <c r="C1509" s="198" t="s">
        <v>2453</v>
      </c>
      <c r="D1509" s="198" t="s">
        <v>1102</v>
      </c>
      <c r="E1509" s="198" t="s">
        <v>5000</v>
      </c>
      <c r="F1509" s="4" t="s">
        <v>2272</v>
      </c>
      <c r="G1509" s="198" t="s">
        <v>73</v>
      </c>
      <c r="H1509" s="198" t="s">
        <v>521</v>
      </c>
      <c r="I1509" s="198"/>
      <c r="J1509" s="4" t="s">
        <v>2272</v>
      </c>
      <c r="K1509" s="4" t="s">
        <v>2272</v>
      </c>
      <c r="L1509" s="4" t="s">
        <v>2272</v>
      </c>
      <c r="M1509" s="4" t="s">
        <v>2272</v>
      </c>
      <c r="N1509" s="4" t="s">
        <v>2272</v>
      </c>
      <c r="O1509" s="4" t="s">
        <v>2272</v>
      </c>
      <c r="P1509" s="4" t="s">
        <v>2272</v>
      </c>
      <c r="Q1509" s="4" t="s">
        <v>2272</v>
      </c>
      <c r="R1509" s="4" t="s">
        <v>2272</v>
      </c>
      <c r="S1509" s="4" t="s">
        <v>2272</v>
      </c>
      <c r="T1509" s="4" t="s">
        <v>2272</v>
      </c>
      <c r="U1509" s="4" t="s">
        <v>2272</v>
      </c>
      <c r="V1509" s="4" t="s">
        <v>2272</v>
      </c>
      <c r="W1509" s="4" t="s">
        <v>2272</v>
      </c>
      <c r="X1509" s="4" t="s">
        <v>2272</v>
      </c>
      <c r="Y1509" s="4" t="s">
        <v>2272</v>
      </c>
      <c r="Z1509" s="4" t="s">
        <v>2272</v>
      </c>
      <c r="AA1509" s="4" t="s">
        <v>2272</v>
      </c>
      <c r="AB1509" s="4" t="s">
        <v>2272</v>
      </c>
      <c r="AC1509" s="4" t="s">
        <v>2272</v>
      </c>
      <c r="AD1509" s="198"/>
      <c r="AE1509" s="4" t="s">
        <v>4478</v>
      </c>
    </row>
    <row r="1510" spans="1:31" ht="45.5" customHeight="1">
      <c r="A1510" s="198" t="s">
        <v>4468</v>
      </c>
      <c r="B1510" s="198" t="s">
        <v>4477</v>
      </c>
      <c r="C1510" s="198" t="s">
        <v>2653</v>
      </c>
      <c r="D1510" s="198" t="s">
        <v>2272</v>
      </c>
      <c r="E1510" s="198" t="s">
        <v>2272</v>
      </c>
      <c r="F1510" s="4" t="s">
        <v>2272</v>
      </c>
      <c r="G1510" s="198" t="s">
        <v>73</v>
      </c>
      <c r="H1510" s="198" t="s">
        <v>521</v>
      </c>
      <c r="I1510" s="198"/>
      <c r="J1510" s="4" t="s">
        <v>2272</v>
      </c>
      <c r="K1510" s="4" t="s">
        <v>2272</v>
      </c>
      <c r="L1510" s="4" t="s">
        <v>2272</v>
      </c>
      <c r="M1510" s="4" t="s">
        <v>2272</v>
      </c>
      <c r="N1510" s="4" t="s">
        <v>2272</v>
      </c>
      <c r="O1510" s="4" t="s">
        <v>2272</v>
      </c>
      <c r="P1510" s="4" t="s">
        <v>2272</v>
      </c>
      <c r="Q1510" s="4" t="s">
        <v>2272</v>
      </c>
      <c r="R1510" s="4" t="s">
        <v>2272</v>
      </c>
      <c r="S1510" s="4" t="s">
        <v>2272</v>
      </c>
      <c r="T1510" s="4" t="s">
        <v>2272</v>
      </c>
      <c r="U1510" s="21">
        <v>40</v>
      </c>
      <c r="V1510" s="4" t="s">
        <v>2272</v>
      </c>
      <c r="W1510" s="4" t="s">
        <v>2272</v>
      </c>
      <c r="X1510" s="4" t="s">
        <v>2272</v>
      </c>
      <c r="Y1510" s="4" t="s">
        <v>2272</v>
      </c>
      <c r="Z1510" s="4" t="s">
        <v>2272</v>
      </c>
      <c r="AA1510" s="198" t="s">
        <v>37</v>
      </c>
      <c r="AB1510" s="198" t="s">
        <v>37</v>
      </c>
      <c r="AC1510" s="198" t="s">
        <v>2272</v>
      </c>
      <c r="AD1510" s="198"/>
      <c r="AE1510" s="198"/>
    </row>
    <row r="1511" spans="1:31" ht="57" customHeight="1">
      <c r="A1511" s="198" t="s">
        <v>4480</v>
      </c>
      <c r="B1511" s="198" t="s">
        <v>4485</v>
      </c>
      <c r="C1511" s="198" t="s">
        <v>23</v>
      </c>
      <c r="D1511" s="198" t="s">
        <v>25</v>
      </c>
      <c r="E1511" s="198" t="s">
        <v>5000</v>
      </c>
      <c r="F1511" s="4" t="s">
        <v>73</v>
      </c>
      <c r="G1511" s="198" t="s">
        <v>73</v>
      </c>
      <c r="H1511" s="198" t="s">
        <v>521</v>
      </c>
      <c r="I1511" s="198"/>
      <c r="J1511" s="4" t="s">
        <v>2272</v>
      </c>
      <c r="K1511" s="4" t="s">
        <v>2272</v>
      </c>
      <c r="L1511" s="4" t="s">
        <v>2272</v>
      </c>
      <c r="M1511" s="4" t="s">
        <v>2272</v>
      </c>
      <c r="N1511" s="4" t="s">
        <v>2272</v>
      </c>
      <c r="O1511" s="4" t="s">
        <v>2272</v>
      </c>
      <c r="P1511" s="4" t="s">
        <v>2272</v>
      </c>
      <c r="Q1511" s="4" t="s">
        <v>2272</v>
      </c>
      <c r="R1511" s="4" t="s">
        <v>2272</v>
      </c>
      <c r="S1511" s="4" t="s">
        <v>2272</v>
      </c>
      <c r="T1511" s="4" t="s">
        <v>2272</v>
      </c>
      <c r="U1511" s="4" t="s">
        <v>2272</v>
      </c>
      <c r="V1511" s="4" t="s">
        <v>2272</v>
      </c>
      <c r="W1511" s="4" t="s">
        <v>2272</v>
      </c>
      <c r="X1511" s="4" t="s">
        <v>2272</v>
      </c>
      <c r="Y1511" s="4" t="s">
        <v>2272</v>
      </c>
      <c r="Z1511" s="4" t="s">
        <v>2272</v>
      </c>
      <c r="AA1511" s="4" t="s">
        <v>2272</v>
      </c>
      <c r="AB1511" s="4" t="s">
        <v>2272</v>
      </c>
      <c r="AC1511" s="4" t="s">
        <v>2272</v>
      </c>
      <c r="AD1511" s="4" t="s">
        <v>4489</v>
      </c>
      <c r="AE1511" s="198"/>
    </row>
    <row r="1512" spans="1:31" ht="51.5" customHeight="1">
      <c r="A1512" s="198" t="s">
        <v>4480</v>
      </c>
      <c r="B1512" s="198" t="s">
        <v>4486</v>
      </c>
      <c r="C1512" s="198" t="s">
        <v>23</v>
      </c>
      <c r="D1512" s="198" t="s">
        <v>141</v>
      </c>
      <c r="E1512" s="198" t="s">
        <v>5000</v>
      </c>
      <c r="F1512" s="4" t="s">
        <v>73</v>
      </c>
      <c r="G1512" s="198" t="s">
        <v>73</v>
      </c>
      <c r="H1512" s="198" t="s">
        <v>521</v>
      </c>
      <c r="I1512" s="198"/>
      <c r="J1512" s="4" t="s">
        <v>2272</v>
      </c>
      <c r="K1512" s="4" t="s">
        <v>2272</v>
      </c>
      <c r="L1512" s="4" t="s">
        <v>2272</v>
      </c>
      <c r="M1512" s="4" t="s">
        <v>2272</v>
      </c>
      <c r="N1512" s="4" t="s">
        <v>2272</v>
      </c>
      <c r="O1512" s="4" t="s">
        <v>2272</v>
      </c>
      <c r="P1512" s="4" t="s">
        <v>2272</v>
      </c>
      <c r="Q1512" s="4" t="s">
        <v>2272</v>
      </c>
      <c r="R1512" s="4" t="s">
        <v>2272</v>
      </c>
      <c r="S1512" s="4" t="s">
        <v>2272</v>
      </c>
      <c r="T1512" s="4" t="s">
        <v>2272</v>
      </c>
      <c r="U1512" s="4" t="s">
        <v>2272</v>
      </c>
      <c r="V1512" s="4" t="s">
        <v>2272</v>
      </c>
      <c r="W1512" s="4" t="s">
        <v>2272</v>
      </c>
      <c r="X1512" s="4" t="s">
        <v>2272</v>
      </c>
      <c r="Y1512" s="4" t="s">
        <v>2272</v>
      </c>
      <c r="Z1512" s="4" t="s">
        <v>2272</v>
      </c>
      <c r="AA1512" s="4" t="s">
        <v>2272</v>
      </c>
      <c r="AB1512" s="4" t="s">
        <v>2272</v>
      </c>
      <c r="AC1512" s="4" t="s">
        <v>2272</v>
      </c>
      <c r="AD1512" s="4" t="s">
        <v>4489</v>
      </c>
      <c r="AE1512" s="198"/>
    </row>
    <row r="1513" spans="1:31" ht="47" customHeight="1">
      <c r="A1513" s="198" t="s">
        <v>4482</v>
      </c>
      <c r="B1513" s="198" t="s">
        <v>4487</v>
      </c>
      <c r="C1513" s="198" t="s">
        <v>23</v>
      </c>
      <c r="D1513" s="198" t="s">
        <v>25</v>
      </c>
      <c r="E1513" s="198" t="s">
        <v>5000</v>
      </c>
      <c r="F1513" s="4" t="s">
        <v>2657</v>
      </c>
      <c r="G1513" s="198" t="s">
        <v>2272</v>
      </c>
      <c r="H1513" s="198" t="s">
        <v>521</v>
      </c>
      <c r="I1513" s="198"/>
      <c r="J1513" s="4" t="s">
        <v>2272</v>
      </c>
      <c r="K1513" s="4" t="s">
        <v>2272</v>
      </c>
      <c r="L1513" s="4" t="s">
        <v>2272</v>
      </c>
      <c r="M1513" s="4" t="s">
        <v>2272</v>
      </c>
      <c r="N1513" s="4" t="s">
        <v>2272</v>
      </c>
      <c r="O1513" s="4" t="s">
        <v>2272</v>
      </c>
      <c r="P1513" s="4" t="s">
        <v>2272</v>
      </c>
      <c r="Q1513" s="4" t="s">
        <v>2272</v>
      </c>
      <c r="R1513" s="4" t="s">
        <v>2272</v>
      </c>
      <c r="S1513" s="4" t="s">
        <v>2272</v>
      </c>
      <c r="T1513" s="4" t="s">
        <v>2272</v>
      </c>
      <c r="U1513" s="4" t="s">
        <v>2272</v>
      </c>
      <c r="V1513" s="4" t="s">
        <v>2272</v>
      </c>
      <c r="W1513" s="4" t="s">
        <v>2272</v>
      </c>
      <c r="X1513" s="4" t="s">
        <v>2272</v>
      </c>
      <c r="Y1513" s="4" t="s">
        <v>2272</v>
      </c>
      <c r="Z1513" s="4" t="s">
        <v>2272</v>
      </c>
      <c r="AA1513" s="4" t="s">
        <v>2272</v>
      </c>
      <c r="AB1513" s="4" t="s">
        <v>2272</v>
      </c>
      <c r="AC1513" s="4" t="s">
        <v>2272</v>
      </c>
      <c r="AD1513" s="4" t="s">
        <v>4489</v>
      </c>
      <c r="AE1513" s="198"/>
    </row>
    <row r="1514" spans="1:31" ht="57.5" customHeight="1">
      <c r="A1514" s="198" t="s">
        <v>4482</v>
      </c>
      <c r="B1514" s="198" t="s">
        <v>4488</v>
      </c>
      <c r="C1514" s="198" t="s">
        <v>23</v>
      </c>
      <c r="D1514" s="198" t="s">
        <v>24</v>
      </c>
      <c r="E1514" s="198" t="s">
        <v>5000</v>
      </c>
      <c r="F1514" s="4" t="s">
        <v>54</v>
      </c>
      <c r="G1514" s="198" t="s">
        <v>2272</v>
      </c>
      <c r="H1514" s="198" t="s">
        <v>521</v>
      </c>
      <c r="I1514" s="198"/>
      <c r="J1514" s="4" t="s">
        <v>2272</v>
      </c>
      <c r="K1514" s="4" t="s">
        <v>2272</v>
      </c>
      <c r="L1514" s="4" t="s">
        <v>2272</v>
      </c>
      <c r="M1514" s="4" t="s">
        <v>2272</v>
      </c>
      <c r="N1514" s="4" t="s">
        <v>2272</v>
      </c>
      <c r="O1514" s="4" t="s">
        <v>2272</v>
      </c>
      <c r="P1514" s="4" t="s">
        <v>2272</v>
      </c>
      <c r="Q1514" s="4" t="s">
        <v>2272</v>
      </c>
      <c r="R1514" s="4" t="s">
        <v>2272</v>
      </c>
      <c r="S1514" s="4" t="s">
        <v>2272</v>
      </c>
      <c r="T1514" s="4" t="s">
        <v>2272</v>
      </c>
      <c r="U1514" s="4" t="s">
        <v>2272</v>
      </c>
      <c r="V1514" s="4" t="s">
        <v>2272</v>
      </c>
      <c r="W1514" s="4" t="s">
        <v>2272</v>
      </c>
      <c r="X1514" s="4" t="s">
        <v>2272</v>
      </c>
      <c r="Y1514" s="4" t="s">
        <v>2272</v>
      </c>
      <c r="Z1514" s="4" t="s">
        <v>2272</v>
      </c>
      <c r="AA1514" s="4" t="s">
        <v>2272</v>
      </c>
      <c r="AB1514" s="4" t="s">
        <v>2272</v>
      </c>
      <c r="AC1514" s="4" t="s">
        <v>2272</v>
      </c>
      <c r="AD1514" s="4" t="s">
        <v>4490</v>
      </c>
      <c r="AE1514" s="198"/>
    </row>
    <row r="1515" spans="1:31" ht="47" customHeight="1">
      <c r="A1515" s="4" t="s">
        <v>4483</v>
      </c>
      <c r="B1515" s="4" t="s">
        <v>4491</v>
      </c>
      <c r="C1515" s="4" t="s">
        <v>23</v>
      </c>
      <c r="D1515" s="4" t="s">
        <v>2989</v>
      </c>
      <c r="E1515" s="4" t="s">
        <v>5000</v>
      </c>
      <c r="F1515" s="4" t="s">
        <v>2272</v>
      </c>
      <c r="G1515" s="198" t="s">
        <v>2272</v>
      </c>
      <c r="H1515" s="198" t="s">
        <v>521</v>
      </c>
      <c r="I1515" s="4"/>
      <c r="J1515" s="4" t="s">
        <v>2272</v>
      </c>
      <c r="K1515" s="4" t="s">
        <v>2272</v>
      </c>
      <c r="L1515" s="4" t="s">
        <v>2272</v>
      </c>
      <c r="M1515" s="4" t="s">
        <v>2272</v>
      </c>
      <c r="N1515" s="4" t="s">
        <v>2272</v>
      </c>
      <c r="O1515" s="4" t="s">
        <v>2272</v>
      </c>
      <c r="P1515" s="4" t="s">
        <v>2272</v>
      </c>
      <c r="Q1515" s="4" t="s">
        <v>2272</v>
      </c>
      <c r="R1515" s="4" t="s">
        <v>2272</v>
      </c>
      <c r="S1515" s="4" t="s">
        <v>2272</v>
      </c>
      <c r="T1515" s="4" t="s">
        <v>2272</v>
      </c>
      <c r="U1515" s="4" t="s">
        <v>2272</v>
      </c>
      <c r="V1515" s="4" t="s">
        <v>2272</v>
      </c>
      <c r="W1515" s="4" t="s">
        <v>2272</v>
      </c>
      <c r="X1515" s="4" t="s">
        <v>2272</v>
      </c>
      <c r="Y1515" s="4" t="s">
        <v>2272</v>
      </c>
      <c r="Z1515" s="4" t="s">
        <v>2272</v>
      </c>
      <c r="AA1515" s="4" t="s">
        <v>2272</v>
      </c>
      <c r="AB1515" s="4" t="s">
        <v>2272</v>
      </c>
      <c r="AC1515" s="4" t="s">
        <v>2272</v>
      </c>
      <c r="AD1515" s="4" t="s">
        <v>4493</v>
      </c>
      <c r="AE1515" s="4"/>
    </row>
    <row r="1516" spans="1:31" ht="49.5" customHeight="1">
      <c r="A1516" s="4" t="s">
        <v>4484</v>
      </c>
      <c r="B1516" s="4" t="s">
        <v>4492</v>
      </c>
      <c r="C1516" s="4" t="s">
        <v>23</v>
      </c>
      <c r="D1516" s="4" t="s">
        <v>2989</v>
      </c>
      <c r="E1516" s="4" t="s">
        <v>5000</v>
      </c>
      <c r="F1516" s="4" t="s">
        <v>2272</v>
      </c>
      <c r="G1516" s="198" t="s">
        <v>2272</v>
      </c>
      <c r="H1516" s="198" t="s">
        <v>521</v>
      </c>
      <c r="I1516" s="4"/>
      <c r="J1516" s="4" t="s">
        <v>2272</v>
      </c>
      <c r="K1516" s="4" t="s">
        <v>2272</v>
      </c>
      <c r="L1516" s="4" t="s">
        <v>2272</v>
      </c>
      <c r="M1516" s="4" t="s">
        <v>2272</v>
      </c>
      <c r="N1516" s="4" t="s">
        <v>2272</v>
      </c>
      <c r="O1516" s="4" t="s">
        <v>2272</v>
      </c>
      <c r="P1516" s="4" t="s">
        <v>2272</v>
      </c>
      <c r="Q1516" s="4" t="s">
        <v>2272</v>
      </c>
      <c r="R1516" s="4" t="s">
        <v>2272</v>
      </c>
      <c r="S1516" s="4" t="s">
        <v>2272</v>
      </c>
      <c r="T1516" s="4" t="s">
        <v>2272</v>
      </c>
      <c r="U1516" s="4" t="s">
        <v>2272</v>
      </c>
      <c r="V1516" s="4" t="s">
        <v>2272</v>
      </c>
      <c r="W1516" s="4" t="s">
        <v>2272</v>
      </c>
      <c r="X1516" s="4" t="s">
        <v>2272</v>
      </c>
      <c r="Y1516" s="4" t="s">
        <v>2272</v>
      </c>
      <c r="Z1516" s="4" t="s">
        <v>2272</v>
      </c>
      <c r="AA1516" s="4" t="s">
        <v>2272</v>
      </c>
      <c r="AB1516" s="4" t="s">
        <v>2272</v>
      </c>
      <c r="AC1516" s="4" t="s">
        <v>2272</v>
      </c>
      <c r="AD1516" s="4" t="s">
        <v>4493</v>
      </c>
      <c r="AE1516" s="4"/>
    </row>
    <row r="1517" spans="1:31" ht="39" customHeight="1">
      <c r="A1517" s="198" t="s">
        <v>4497</v>
      </c>
      <c r="B1517" s="198" t="s">
        <v>4503</v>
      </c>
      <c r="C1517" s="198" t="s">
        <v>1102</v>
      </c>
      <c r="D1517" s="198" t="s">
        <v>1102</v>
      </c>
      <c r="E1517" s="198" t="s">
        <v>1102</v>
      </c>
      <c r="F1517" s="4" t="s">
        <v>1102</v>
      </c>
      <c r="G1517" s="198" t="s">
        <v>2272</v>
      </c>
      <c r="H1517" s="198" t="s">
        <v>522</v>
      </c>
      <c r="I1517" s="198"/>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21">
        <v>0</v>
      </c>
      <c r="Z1517" s="4" t="s">
        <v>2272</v>
      </c>
      <c r="AA1517" s="4" t="s">
        <v>2272</v>
      </c>
      <c r="AB1517" s="4" t="s">
        <v>2272</v>
      </c>
      <c r="AC1517" s="4" t="s">
        <v>2272</v>
      </c>
      <c r="AD1517" s="198" t="s">
        <v>4504</v>
      </c>
      <c r="AE1517" s="198"/>
    </row>
    <row r="1518" spans="1:31" ht="34.5" customHeight="1">
      <c r="A1518" s="198" t="s">
        <v>4501</v>
      </c>
      <c r="B1518" s="198" t="s">
        <v>4507</v>
      </c>
      <c r="C1518" s="198" t="s">
        <v>23</v>
      </c>
      <c r="D1518" s="198" t="s">
        <v>1102</v>
      </c>
      <c r="E1518" s="198" t="s">
        <v>2642</v>
      </c>
      <c r="F1518" s="4" t="s">
        <v>1102</v>
      </c>
      <c r="G1518" s="198" t="s">
        <v>2272</v>
      </c>
      <c r="H1518" s="198" t="s">
        <v>522</v>
      </c>
      <c r="I1518" s="198"/>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21">
        <v>0</v>
      </c>
      <c r="Z1518" s="4" t="s">
        <v>2272</v>
      </c>
      <c r="AA1518" s="4" t="s">
        <v>2272</v>
      </c>
      <c r="AB1518" s="4" t="s">
        <v>2272</v>
      </c>
      <c r="AC1518" s="4" t="s">
        <v>2272</v>
      </c>
      <c r="AD1518" s="198" t="s">
        <v>4506</v>
      </c>
      <c r="AE1518" s="198"/>
    </row>
    <row r="1519" spans="1:31" ht="41" customHeight="1">
      <c r="A1519" s="198" t="s">
        <v>4501</v>
      </c>
      <c r="B1519" s="198" t="s">
        <v>4508</v>
      </c>
      <c r="C1519" s="198" t="s">
        <v>23</v>
      </c>
      <c r="D1519" s="198" t="s">
        <v>1102</v>
      </c>
      <c r="E1519" s="198" t="s">
        <v>44</v>
      </c>
      <c r="F1519" s="4" t="s">
        <v>1102</v>
      </c>
      <c r="G1519" s="198" t="s">
        <v>2272</v>
      </c>
      <c r="H1519" s="198" t="s">
        <v>522</v>
      </c>
      <c r="I1519" s="198"/>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21">
        <v>0</v>
      </c>
      <c r="Z1519" s="4" t="s">
        <v>2272</v>
      </c>
      <c r="AA1519" s="4" t="s">
        <v>2272</v>
      </c>
      <c r="AB1519" s="4" t="s">
        <v>2272</v>
      </c>
      <c r="AC1519" s="4" t="s">
        <v>2272</v>
      </c>
      <c r="AD1519" s="198" t="s">
        <v>4506</v>
      </c>
      <c r="AE1519" s="198"/>
    </row>
    <row r="1520" spans="1:31" ht="45.5" customHeight="1">
      <c r="A1520" s="198" t="s">
        <v>4513</v>
      </c>
      <c r="B1520" s="198" t="s">
        <v>4523</v>
      </c>
      <c r="C1520" s="198" t="s">
        <v>1102</v>
      </c>
      <c r="D1520" s="198" t="s">
        <v>1102</v>
      </c>
      <c r="E1520" s="198" t="s">
        <v>1102</v>
      </c>
      <c r="F1520" s="4" t="s">
        <v>1102</v>
      </c>
      <c r="G1520" s="198" t="s">
        <v>2272</v>
      </c>
      <c r="H1520" s="198" t="s">
        <v>521</v>
      </c>
      <c r="I1520" s="198"/>
      <c r="J1520" s="4" t="s">
        <v>2272</v>
      </c>
      <c r="K1520" s="4" t="s">
        <v>2272</v>
      </c>
      <c r="L1520" s="4" t="s">
        <v>2272</v>
      </c>
      <c r="M1520" s="4" t="s">
        <v>2272</v>
      </c>
      <c r="N1520" s="4" t="s">
        <v>2272</v>
      </c>
      <c r="O1520" s="4" t="s">
        <v>2272</v>
      </c>
      <c r="P1520" s="4" t="s">
        <v>2272</v>
      </c>
      <c r="Q1520" s="4" t="s">
        <v>2272</v>
      </c>
      <c r="R1520" s="4" t="s">
        <v>2272</v>
      </c>
      <c r="S1520" s="4" t="s">
        <v>2272</v>
      </c>
      <c r="T1520" s="4" t="s">
        <v>2272</v>
      </c>
      <c r="U1520" s="4" t="s">
        <v>2272</v>
      </c>
      <c r="V1520" s="4" t="s">
        <v>2272</v>
      </c>
      <c r="W1520" s="4" t="s">
        <v>2272</v>
      </c>
      <c r="X1520" s="4" t="s">
        <v>2272</v>
      </c>
      <c r="Y1520" s="4" t="s">
        <v>2272</v>
      </c>
      <c r="Z1520" s="21">
        <v>2</v>
      </c>
      <c r="AA1520" s="4" t="s">
        <v>2272</v>
      </c>
      <c r="AB1520" s="4" t="s">
        <v>2272</v>
      </c>
      <c r="AC1520" s="4" t="s">
        <v>2272</v>
      </c>
      <c r="AD1520" s="4" t="s">
        <v>4533</v>
      </c>
      <c r="AE1520" s="198" t="s">
        <v>4532</v>
      </c>
    </row>
    <row r="1521" spans="1:31" ht="41" customHeight="1">
      <c r="A1521" s="198" t="s">
        <v>4514</v>
      </c>
      <c r="B1521" s="198" t="s">
        <v>4524</v>
      </c>
      <c r="C1521" s="198" t="s">
        <v>1102</v>
      </c>
      <c r="D1521" s="198" t="s">
        <v>1102</v>
      </c>
      <c r="E1521" s="198" t="s">
        <v>1102</v>
      </c>
      <c r="F1521" s="4" t="s">
        <v>1102</v>
      </c>
      <c r="G1521" s="198" t="s">
        <v>2272</v>
      </c>
      <c r="H1521" s="198" t="s">
        <v>521</v>
      </c>
      <c r="I1521" s="198">
        <v>1967</v>
      </c>
      <c r="J1521" s="4" t="s">
        <v>2272</v>
      </c>
      <c r="K1521" s="4" t="s">
        <v>2272</v>
      </c>
      <c r="L1521" s="4" t="s">
        <v>2272</v>
      </c>
      <c r="M1521" s="4" t="s">
        <v>2272</v>
      </c>
      <c r="N1521" s="4" t="s">
        <v>2272</v>
      </c>
      <c r="O1521" s="4" t="s">
        <v>2272</v>
      </c>
      <c r="P1521" s="4" t="s">
        <v>2272</v>
      </c>
      <c r="Q1521" s="4" t="s">
        <v>2272</v>
      </c>
      <c r="R1521" s="4" t="s">
        <v>2272</v>
      </c>
      <c r="S1521" s="4" t="s">
        <v>2272</v>
      </c>
      <c r="T1521" s="4" t="s">
        <v>2272</v>
      </c>
      <c r="U1521" s="4" t="s">
        <v>2272</v>
      </c>
      <c r="V1521" s="4" t="s">
        <v>2272</v>
      </c>
      <c r="W1521" s="4" t="s">
        <v>2272</v>
      </c>
      <c r="X1521" s="4" t="s">
        <v>2272</v>
      </c>
      <c r="Y1521" s="4" t="s">
        <v>2272</v>
      </c>
      <c r="Z1521" s="21">
        <v>3</v>
      </c>
      <c r="AA1521" s="4" t="s">
        <v>2272</v>
      </c>
      <c r="AB1521" s="4" t="s">
        <v>2272</v>
      </c>
      <c r="AC1521" s="4" t="s">
        <v>2272</v>
      </c>
      <c r="AD1521" s="198"/>
      <c r="AE1521" s="198"/>
    </row>
    <row r="1522" spans="1:31" ht="41" customHeight="1">
      <c r="A1522" s="198" t="s">
        <v>4515</v>
      </c>
      <c r="B1522" s="198" t="s">
        <v>4525</v>
      </c>
      <c r="C1522" s="198" t="s">
        <v>1102</v>
      </c>
      <c r="D1522" s="198" t="s">
        <v>1102</v>
      </c>
      <c r="E1522" s="198" t="s">
        <v>1102</v>
      </c>
      <c r="F1522" s="4" t="s">
        <v>1102</v>
      </c>
      <c r="G1522" s="198" t="s">
        <v>2272</v>
      </c>
      <c r="H1522" s="198" t="s">
        <v>521</v>
      </c>
      <c r="I1522" s="198">
        <v>1967</v>
      </c>
      <c r="J1522" s="4" t="s">
        <v>2272</v>
      </c>
      <c r="K1522" s="4" t="s">
        <v>2272</v>
      </c>
      <c r="L1522" s="4" t="s">
        <v>2272</v>
      </c>
      <c r="M1522" s="4" t="s">
        <v>2272</v>
      </c>
      <c r="N1522" s="4" t="s">
        <v>2272</v>
      </c>
      <c r="O1522" s="4" t="s">
        <v>2272</v>
      </c>
      <c r="P1522" s="4" t="s">
        <v>2272</v>
      </c>
      <c r="Q1522" s="4" t="s">
        <v>2272</v>
      </c>
      <c r="R1522" s="4" t="s">
        <v>2272</v>
      </c>
      <c r="S1522" s="4" t="s">
        <v>2272</v>
      </c>
      <c r="T1522" s="4" t="s">
        <v>2272</v>
      </c>
      <c r="U1522" s="4" t="s">
        <v>2272</v>
      </c>
      <c r="V1522" s="4" t="s">
        <v>2272</v>
      </c>
      <c r="W1522" s="4" t="s">
        <v>2272</v>
      </c>
      <c r="X1522" s="4" t="s">
        <v>2272</v>
      </c>
      <c r="Y1522" s="4" t="s">
        <v>2272</v>
      </c>
      <c r="Z1522" s="21">
        <v>3</v>
      </c>
      <c r="AA1522" s="4" t="s">
        <v>2272</v>
      </c>
      <c r="AB1522" s="4" t="s">
        <v>2272</v>
      </c>
      <c r="AC1522" s="4" t="s">
        <v>2272</v>
      </c>
      <c r="AD1522" s="198"/>
      <c r="AE1522" s="198"/>
    </row>
    <row r="1523" spans="1:31" ht="41" customHeight="1">
      <c r="A1523" s="198" t="s">
        <v>4516</v>
      </c>
      <c r="B1523" s="198" t="s">
        <v>4526</v>
      </c>
      <c r="C1523" s="198" t="s">
        <v>1102</v>
      </c>
      <c r="D1523" s="198" t="s">
        <v>1102</v>
      </c>
      <c r="E1523" s="198" t="s">
        <v>1102</v>
      </c>
      <c r="F1523" s="4" t="s">
        <v>1102</v>
      </c>
      <c r="G1523" s="198" t="s">
        <v>2272</v>
      </c>
      <c r="H1523" s="198" t="s">
        <v>521</v>
      </c>
      <c r="I1523" s="198">
        <v>1967</v>
      </c>
      <c r="J1523" s="4" t="s">
        <v>2272</v>
      </c>
      <c r="K1523" s="4" t="s">
        <v>2272</v>
      </c>
      <c r="L1523" s="4" t="s">
        <v>2272</v>
      </c>
      <c r="M1523" s="4" t="s">
        <v>2272</v>
      </c>
      <c r="N1523" s="4" t="s">
        <v>2272</v>
      </c>
      <c r="O1523" s="4" t="s">
        <v>2272</v>
      </c>
      <c r="P1523" s="4" t="s">
        <v>2272</v>
      </c>
      <c r="Q1523" s="4" t="s">
        <v>2272</v>
      </c>
      <c r="R1523" s="4" t="s">
        <v>2272</v>
      </c>
      <c r="S1523" s="4" t="s">
        <v>2272</v>
      </c>
      <c r="T1523" s="4" t="s">
        <v>2272</v>
      </c>
      <c r="U1523" s="4" t="s">
        <v>2272</v>
      </c>
      <c r="V1523" s="4" t="s">
        <v>2272</v>
      </c>
      <c r="W1523" s="4" t="s">
        <v>2272</v>
      </c>
      <c r="X1523" s="4" t="s">
        <v>2272</v>
      </c>
      <c r="Y1523" s="4" t="s">
        <v>2272</v>
      </c>
      <c r="Z1523" s="21">
        <v>3</v>
      </c>
      <c r="AA1523" s="4" t="s">
        <v>2272</v>
      </c>
      <c r="AB1523" s="4" t="s">
        <v>2272</v>
      </c>
      <c r="AC1523" s="4" t="s">
        <v>2272</v>
      </c>
      <c r="AD1523" s="198"/>
      <c r="AE1523" s="198"/>
    </row>
    <row r="1524" spans="1:31" ht="41" customHeight="1">
      <c r="A1524" s="198" t="s">
        <v>4517</v>
      </c>
      <c r="B1524" s="198" t="s">
        <v>4527</v>
      </c>
      <c r="C1524" s="198" t="s">
        <v>1102</v>
      </c>
      <c r="D1524" s="198" t="s">
        <v>1102</v>
      </c>
      <c r="E1524" s="198" t="s">
        <v>1102</v>
      </c>
      <c r="F1524" s="4" t="s">
        <v>1102</v>
      </c>
      <c r="G1524" s="198" t="s">
        <v>2272</v>
      </c>
      <c r="H1524" s="198" t="s">
        <v>521</v>
      </c>
      <c r="I1524" s="198">
        <v>1967</v>
      </c>
      <c r="J1524" s="4" t="s">
        <v>2272</v>
      </c>
      <c r="K1524" s="4" t="s">
        <v>2272</v>
      </c>
      <c r="L1524" s="4" t="s">
        <v>2272</v>
      </c>
      <c r="M1524" s="4" t="s">
        <v>2272</v>
      </c>
      <c r="N1524" s="4" t="s">
        <v>2272</v>
      </c>
      <c r="O1524" s="4" t="s">
        <v>2272</v>
      </c>
      <c r="P1524" s="4" t="s">
        <v>2272</v>
      </c>
      <c r="Q1524" s="4" t="s">
        <v>2272</v>
      </c>
      <c r="R1524" s="4" t="s">
        <v>2272</v>
      </c>
      <c r="S1524" s="4" t="s">
        <v>2272</v>
      </c>
      <c r="T1524" s="4" t="s">
        <v>2272</v>
      </c>
      <c r="U1524" s="4" t="s">
        <v>2272</v>
      </c>
      <c r="V1524" s="4" t="s">
        <v>2272</v>
      </c>
      <c r="W1524" s="4" t="s">
        <v>2272</v>
      </c>
      <c r="X1524" s="4" t="s">
        <v>2272</v>
      </c>
      <c r="Y1524" s="4" t="s">
        <v>2272</v>
      </c>
      <c r="Z1524" s="21">
        <v>3</v>
      </c>
      <c r="AA1524" s="4" t="s">
        <v>2272</v>
      </c>
      <c r="AB1524" s="4" t="s">
        <v>2272</v>
      </c>
      <c r="AC1524" s="4" t="s">
        <v>2272</v>
      </c>
      <c r="AD1524" s="198"/>
      <c r="AE1524" s="198"/>
    </row>
    <row r="1525" spans="1:31" ht="50" customHeight="1">
      <c r="A1525" s="198" t="s">
        <v>4514</v>
      </c>
      <c r="B1525" s="198" t="s">
        <v>4528</v>
      </c>
      <c r="C1525" s="198" t="s">
        <v>1102</v>
      </c>
      <c r="D1525" s="198" t="s">
        <v>1102</v>
      </c>
      <c r="E1525" s="198" t="s">
        <v>1102</v>
      </c>
      <c r="F1525" s="4" t="s">
        <v>1102</v>
      </c>
      <c r="G1525" s="198" t="s">
        <v>2272</v>
      </c>
      <c r="H1525" s="198" t="s">
        <v>521</v>
      </c>
      <c r="I1525" s="198">
        <v>1973</v>
      </c>
      <c r="J1525" s="4" t="s">
        <v>2272</v>
      </c>
      <c r="K1525" s="4" t="s">
        <v>2272</v>
      </c>
      <c r="L1525" s="4" t="s">
        <v>2272</v>
      </c>
      <c r="M1525" s="4" t="s">
        <v>2272</v>
      </c>
      <c r="N1525" s="4" t="s">
        <v>2272</v>
      </c>
      <c r="O1525" s="4" t="s">
        <v>2272</v>
      </c>
      <c r="P1525" s="4" t="s">
        <v>2272</v>
      </c>
      <c r="Q1525" s="4" t="s">
        <v>2272</v>
      </c>
      <c r="R1525" s="4" t="s">
        <v>2272</v>
      </c>
      <c r="S1525" s="4" t="s">
        <v>2272</v>
      </c>
      <c r="T1525" s="4" t="s">
        <v>2272</v>
      </c>
      <c r="U1525" s="4" t="s">
        <v>2272</v>
      </c>
      <c r="V1525" s="4" t="s">
        <v>2272</v>
      </c>
      <c r="W1525" s="4" t="s">
        <v>2272</v>
      </c>
      <c r="X1525" s="4" t="s">
        <v>2272</v>
      </c>
      <c r="Y1525" s="4" t="s">
        <v>2272</v>
      </c>
      <c r="Z1525" s="4" t="s">
        <v>2272</v>
      </c>
      <c r="AA1525" s="4" t="s">
        <v>2272</v>
      </c>
      <c r="AB1525" s="4" t="s">
        <v>2272</v>
      </c>
      <c r="AC1525" s="4" t="s">
        <v>2272</v>
      </c>
      <c r="AD1525" s="4" t="s">
        <v>4534</v>
      </c>
      <c r="AE1525" s="198"/>
    </row>
    <row r="1526" spans="1:31" ht="50" customHeight="1">
      <c r="A1526" s="198" t="s">
        <v>4515</v>
      </c>
      <c r="B1526" s="198" t="s">
        <v>4529</v>
      </c>
      <c r="C1526" s="198" t="s">
        <v>1102</v>
      </c>
      <c r="D1526" s="198" t="s">
        <v>1102</v>
      </c>
      <c r="E1526" s="198" t="s">
        <v>1102</v>
      </c>
      <c r="F1526" s="4" t="s">
        <v>1102</v>
      </c>
      <c r="G1526" s="198" t="s">
        <v>2272</v>
      </c>
      <c r="H1526" s="198" t="s">
        <v>521</v>
      </c>
      <c r="I1526" s="198">
        <v>1973</v>
      </c>
      <c r="J1526" s="4" t="s">
        <v>2272</v>
      </c>
      <c r="K1526" s="4" t="s">
        <v>2272</v>
      </c>
      <c r="L1526" s="4" t="s">
        <v>2272</v>
      </c>
      <c r="M1526" s="4" t="s">
        <v>2272</v>
      </c>
      <c r="N1526" s="4" t="s">
        <v>2272</v>
      </c>
      <c r="O1526" s="4" t="s">
        <v>2272</v>
      </c>
      <c r="P1526" s="4" t="s">
        <v>2272</v>
      </c>
      <c r="Q1526" s="4" t="s">
        <v>2272</v>
      </c>
      <c r="R1526" s="4" t="s">
        <v>2272</v>
      </c>
      <c r="S1526" s="4" t="s">
        <v>2272</v>
      </c>
      <c r="T1526" s="4" t="s">
        <v>2272</v>
      </c>
      <c r="U1526" s="4" t="s">
        <v>2272</v>
      </c>
      <c r="V1526" s="4" t="s">
        <v>2272</v>
      </c>
      <c r="W1526" s="4" t="s">
        <v>2272</v>
      </c>
      <c r="X1526" s="4" t="s">
        <v>2272</v>
      </c>
      <c r="Y1526" s="4" t="s">
        <v>2272</v>
      </c>
      <c r="Z1526" s="4" t="s">
        <v>2272</v>
      </c>
      <c r="AA1526" s="4" t="s">
        <v>2272</v>
      </c>
      <c r="AB1526" s="4" t="s">
        <v>2272</v>
      </c>
      <c r="AC1526" s="4" t="s">
        <v>2272</v>
      </c>
      <c r="AD1526" s="4" t="s">
        <v>4534</v>
      </c>
      <c r="AE1526" s="198"/>
    </row>
    <row r="1527" spans="1:31" ht="50" customHeight="1">
      <c r="A1527" s="198" t="s">
        <v>4516</v>
      </c>
      <c r="B1527" s="198" t="s">
        <v>4530</v>
      </c>
      <c r="C1527" s="198" t="s">
        <v>1102</v>
      </c>
      <c r="D1527" s="198" t="s">
        <v>1102</v>
      </c>
      <c r="E1527" s="198" t="s">
        <v>1102</v>
      </c>
      <c r="F1527" s="4" t="s">
        <v>1102</v>
      </c>
      <c r="G1527" s="198" t="s">
        <v>2272</v>
      </c>
      <c r="H1527" s="198" t="s">
        <v>521</v>
      </c>
      <c r="I1527" s="198">
        <v>1973</v>
      </c>
      <c r="J1527" s="4" t="s">
        <v>2272</v>
      </c>
      <c r="K1527" s="4" t="s">
        <v>2272</v>
      </c>
      <c r="L1527" s="4" t="s">
        <v>2272</v>
      </c>
      <c r="M1527" s="4" t="s">
        <v>2272</v>
      </c>
      <c r="N1527" s="4" t="s">
        <v>2272</v>
      </c>
      <c r="O1527" s="4" t="s">
        <v>2272</v>
      </c>
      <c r="P1527" s="4" t="s">
        <v>2272</v>
      </c>
      <c r="Q1527" s="4" t="s">
        <v>2272</v>
      </c>
      <c r="R1527" s="4" t="s">
        <v>2272</v>
      </c>
      <c r="S1527" s="4" t="s">
        <v>2272</v>
      </c>
      <c r="T1527" s="4" t="s">
        <v>2272</v>
      </c>
      <c r="U1527" s="4" t="s">
        <v>2272</v>
      </c>
      <c r="V1527" s="4" t="s">
        <v>2272</v>
      </c>
      <c r="W1527" s="4" t="s">
        <v>2272</v>
      </c>
      <c r="X1527" s="4" t="s">
        <v>2272</v>
      </c>
      <c r="Y1527" s="4" t="s">
        <v>2272</v>
      </c>
      <c r="Z1527" s="4" t="s">
        <v>2272</v>
      </c>
      <c r="AA1527" s="4" t="s">
        <v>2272</v>
      </c>
      <c r="AB1527" s="4" t="s">
        <v>2272</v>
      </c>
      <c r="AC1527" s="4" t="s">
        <v>2272</v>
      </c>
      <c r="AD1527" s="4" t="s">
        <v>4534</v>
      </c>
      <c r="AE1527" s="198"/>
    </row>
    <row r="1528" spans="1:31" ht="50" customHeight="1">
      <c r="A1528" s="198" t="s">
        <v>4517</v>
      </c>
      <c r="B1528" s="198" t="s">
        <v>4531</v>
      </c>
      <c r="C1528" s="198" t="s">
        <v>1102</v>
      </c>
      <c r="D1528" s="198" t="s">
        <v>1102</v>
      </c>
      <c r="E1528" s="198" t="s">
        <v>1102</v>
      </c>
      <c r="F1528" s="4" t="s">
        <v>1102</v>
      </c>
      <c r="G1528" s="198" t="s">
        <v>2272</v>
      </c>
      <c r="H1528" s="198" t="s">
        <v>522</v>
      </c>
      <c r="I1528" s="198">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21">
        <v>0</v>
      </c>
      <c r="Z1528" s="4" t="s">
        <v>2272</v>
      </c>
      <c r="AA1528" s="4" t="s">
        <v>2272</v>
      </c>
      <c r="AB1528" s="4" t="s">
        <v>2272</v>
      </c>
      <c r="AC1528" s="4" t="s">
        <v>2272</v>
      </c>
      <c r="AD1528" s="4" t="s">
        <v>4535</v>
      </c>
      <c r="AE1528" s="198"/>
    </row>
    <row r="1529" spans="1:31" ht="42" customHeight="1">
      <c r="A1529" s="198" t="s">
        <v>4538</v>
      </c>
      <c r="B1529" s="198" t="s">
        <v>4544</v>
      </c>
      <c r="C1529" s="198" t="s">
        <v>23</v>
      </c>
      <c r="D1529" s="198" t="s">
        <v>24</v>
      </c>
      <c r="E1529" s="198" t="s">
        <v>5000</v>
      </c>
      <c r="F1529" s="4" t="s">
        <v>2657</v>
      </c>
      <c r="G1529" s="198" t="s">
        <v>2272</v>
      </c>
      <c r="H1529" s="198" t="s">
        <v>521</v>
      </c>
      <c r="I1529" s="198"/>
      <c r="J1529" s="4" t="s">
        <v>2272</v>
      </c>
      <c r="K1529" s="4" t="s">
        <v>2272</v>
      </c>
      <c r="L1529" s="4" t="s">
        <v>2272</v>
      </c>
      <c r="M1529" s="4" t="s">
        <v>2272</v>
      </c>
      <c r="N1529" s="4" t="s">
        <v>2272</v>
      </c>
      <c r="O1529" s="4" t="s">
        <v>2272</v>
      </c>
      <c r="P1529" s="4" t="s">
        <v>2272</v>
      </c>
      <c r="Q1529" s="4" t="s">
        <v>2272</v>
      </c>
      <c r="R1529" s="4" t="s">
        <v>2272</v>
      </c>
      <c r="S1529" s="4" t="s">
        <v>2272</v>
      </c>
      <c r="T1529" s="4" t="s">
        <v>2272</v>
      </c>
      <c r="U1529" s="4" t="s">
        <v>2272</v>
      </c>
      <c r="V1529" s="4" t="s">
        <v>2272</v>
      </c>
      <c r="W1529" s="4" t="s">
        <v>2272</v>
      </c>
      <c r="X1529" s="4" t="s">
        <v>2272</v>
      </c>
      <c r="Y1529" s="4" t="s">
        <v>2272</v>
      </c>
      <c r="Z1529" s="4" t="s">
        <v>2272</v>
      </c>
      <c r="AA1529" s="4" t="s">
        <v>2272</v>
      </c>
      <c r="AB1529" s="4" t="s">
        <v>2272</v>
      </c>
      <c r="AC1529" s="4" t="s">
        <v>2272</v>
      </c>
      <c r="AD1529" s="198"/>
      <c r="AE1529" s="198"/>
    </row>
    <row r="1530" spans="1:31" ht="42" customHeight="1">
      <c r="A1530" s="198" t="s">
        <v>4538</v>
      </c>
      <c r="B1530" s="198" t="s">
        <v>4545</v>
      </c>
      <c r="C1530" s="198" t="s">
        <v>23</v>
      </c>
      <c r="D1530" s="198" t="s">
        <v>1128</v>
      </c>
      <c r="E1530" s="198" t="s">
        <v>128</v>
      </c>
      <c r="F1530" s="4" t="s">
        <v>2657</v>
      </c>
      <c r="G1530" s="198" t="s">
        <v>2272</v>
      </c>
      <c r="H1530" s="198" t="s">
        <v>521</v>
      </c>
      <c r="I1530" s="198"/>
      <c r="J1530" s="4" t="s">
        <v>2272</v>
      </c>
      <c r="K1530" s="4" t="s">
        <v>2272</v>
      </c>
      <c r="L1530" s="4" t="s">
        <v>2272</v>
      </c>
      <c r="M1530" s="4" t="s">
        <v>2272</v>
      </c>
      <c r="N1530" s="4" t="s">
        <v>2272</v>
      </c>
      <c r="O1530" s="4" t="s">
        <v>2272</v>
      </c>
      <c r="P1530" s="4" t="s">
        <v>2272</v>
      </c>
      <c r="Q1530" s="4" t="s">
        <v>2272</v>
      </c>
      <c r="R1530" s="4" t="s">
        <v>2272</v>
      </c>
      <c r="S1530" s="4" t="s">
        <v>2272</v>
      </c>
      <c r="T1530" s="4" t="s">
        <v>2272</v>
      </c>
      <c r="U1530" s="4" t="s">
        <v>2272</v>
      </c>
      <c r="V1530" s="4" t="s">
        <v>2272</v>
      </c>
      <c r="W1530" s="4" t="s">
        <v>2272</v>
      </c>
      <c r="X1530" s="4" t="s">
        <v>2272</v>
      </c>
      <c r="Y1530" s="4" t="s">
        <v>2272</v>
      </c>
      <c r="Z1530" s="4" t="s">
        <v>2272</v>
      </c>
      <c r="AA1530" s="4" t="s">
        <v>2272</v>
      </c>
      <c r="AB1530" s="4" t="s">
        <v>2272</v>
      </c>
      <c r="AC1530" s="4" t="s">
        <v>2272</v>
      </c>
      <c r="AD1530" s="198"/>
      <c r="AE1530" s="198"/>
    </row>
    <row r="1531" spans="1:31" ht="42" customHeight="1">
      <c r="A1531" s="198" t="s">
        <v>4538</v>
      </c>
      <c r="B1531" s="198" t="s">
        <v>4546</v>
      </c>
      <c r="C1531" s="198" t="s">
        <v>23</v>
      </c>
      <c r="D1531" s="198" t="s">
        <v>1128</v>
      </c>
      <c r="E1531" s="198" t="s">
        <v>5000</v>
      </c>
      <c r="F1531" s="4" t="s">
        <v>2657</v>
      </c>
      <c r="G1531" s="198" t="s">
        <v>2272</v>
      </c>
      <c r="H1531" s="198" t="s">
        <v>521</v>
      </c>
      <c r="I1531" s="198"/>
      <c r="J1531" s="4" t="s">
        <v>2272</v>
      </c>
      <c r="K1531" s="4" t="s">
        <v>2272</v>
      </c>
      <c r="L1531" s="4" t="s">
        <v>2272</v>
      </c>
      <c r="M1531" s="4" t="s">
        <v>2272</v>
      </c>
      <c r="N1531" s="4" t="s">
        <v>2272</v>
      </c>
      <c r="O1531" s="4" t="s">
        <v>2272</v>
      </c>
      <c r="P1531" s="4" t="s">
        <v>2272</v>
      </c>
      <c r="Q1531" s="4" t="s">
        <v>2272</v>
      </c>
      <c r="R1531" s="4" t="s">
        <v>2272</v>
      </c>
      <c r="S1531" s="4" t="s">
        <v>2272</v>
      </c>
      <c r="T1531" s="4" t="s">
        <v>2272</v>
      </c>
      <c r="U1531" s="4" t="s">
        <v>2272</v>
      </c>
      <c r="V1531" s="4" t="s">
        <v>2272</v>
      </c>
      <c r="W1531" s="4" t="s">
        <v>2272</v>
      </c>
      <c r="X1531" s="4" t="s">
        <v>2272</v>
      </c>
      <c r="Y1531" s="4" t="s">
        <v>2272</v>
      </c>
      <c r="Z1531" s="4" t="s">
        <v>2272</v>
      </c>
      <c r="AA1531" s="4" t="s">
        <v>2272</v>
      </c>
      <c r="AB1531" s="4" t="s">
        <v>2272</v>
      </c>
      <c r="AC1531" s="4" t="s">
        <v>2272</v>
      </c>
      <c r="AD1531" s="198"/>
      <c r="AE1531" s="198"/>
    </row>
    <row r="1532" spans="1:31" ht="42" customHeight="1">
      <c r="A1532" s="198" t="s">
        <v>4538</v>
      </c>
      <c r="B1532" s="198" t="s">
        <v>4547</v>
      </c>
      <c r="C1532" s="198" t="s">
        <v>23</v>
      </c>
      <c r="D1532" s="198" t="s">
        <v>1128</v>
      </c>
      <c r="E1532" s="198" t="s">
        <v>114</v>
      </c>
      <c r="F1532" s="4" t="s">
        <v>2657</v>
      </c>
      <c r="G1532" s="198" t="s">
        <v>2272</v>
      </c>
      <c r="H1532" s="198" t="s">
        <v>521</v>
      </c>
      <c r="I1532" s="198"/>
      <c r="J1532" s="4" t="s">
        <v>2272</v>
      </c>
      <c r="K1532" s="4" t="s">
        <v>2272</v>
      </c>
      <c r="L1532" s="4" t="s">
        <v>2272</v>
      </c>
      <c r="M1532" s="4" t="s">
        <v>2272</v>
      </c>
      <c r="N1532" s="4" t="s">
        <v>2272</v>
      </c>
      <c r="O1532" s="4" t="s">
        <v>2272</v>
      </c>
      <c r="P1532" s="4" t="s">
        <v>2272</v>
      </c>
      <c r="Q1532" s="4" t="s">
        <v>2272</v>
      </c>
      <c r="R1532" s="4" t="s">
        <v>2272</v>
      </c>
      <c r="S1532" s="4" t="s">
        <v>2272</v>
      </c>
      <c r="T1532" s="4" t="s">
        <v>2272</v>
      </c>
      <c r="U1532" s="4" t="s">
        <v>2272</v>
      </c>
      <c r="V1532" s="4" t="s">
        <v>2272</v>
      </c>
      <c r="W1532" s="4" t="s">
        <v>2272</v>
      </c>
      <c r="X1532" s="4" t="s">
        <v>2272</v>
      </c>
      <c r="Y1532" s="4" t="s">
        <v>2272</v>
      </c>
      <c r="Z1532" s="4" t="s">
        <v>2272</v>
      </c>
      <c r="AA1532" s="4" t="s">
        <v>2272</v>
      </c>
      <c r="AB1532" s="4" t="s">
        <v>2272</v>
      </c>
      <c r="AC1532" s="4" t="s">
        <v>2272</v>
      </c>
      <c r="AD1532" s="198"/>
      <c r="AE1532" s="198"/>
    </row>
    <row r="1533" spans="1:31" ht="42" customHeight="1">
      <c r="A1533" s="198" t="s">
        <v>4538</v>
      </c>
      <c r="B1533" s="198" t="s">
        <v>4548</v>
      </c>
      <c r="C1533" s="198" t="s">
        <v>23</v>
      </c>
      <c r="D1533" s="198" t="s">
        <v>2301</v>
      </c>
      <c r="E1533" s="198" t="s">
        <v>5000</v>
      </c>
      <c r="F1533" s="4" t="s">
        <v>2657</v>
      </c>
      <c r="G1533" s="198" t="s">
        <v>2272</v>
      </c>
      <c r="H1533" s="198" t="s">
        <v>521</v>
      </c>
      <c r="I1533" s="198"/>
      <c r="J1533" s="4" t="s">
        <v>2272</v>
      </c>
      <c r="K1533" s="4" t="s">
        <v>2272</v>
      </c>
      <c r="L1533" s="4" t="s">
        <v>2272</v>
      </c>
      <c r="M1533" s="4" t="s">
        <v>2272</v>
      </c>
      <c r="N1533" s="4" t="s">
        <v>2272</v>
      </c>
      <c r="O1533" s="4" t="s">
        <v>2272</v>
      </c>
      <c r="P1533" s="4" t="s">
        <v>2272</v>
      </c>
      <c r="Q1533" s="4" t="s">
        <v>2272</v>
      </c>
      <c r="R1533" s="4" t="s">
        <v>2272</v>
      </c>
      <c r="S1533" s="4" t="s">
        <v>2272</v>
      </c>
      <c r="T1533" s="4" t="s">
        <v>2272</v>
      </c>
      <c r="U1533" s="4" t="s">
        <v>2272</v>
      </c>
      <c r="V1533" s="4" t="s">
        <v>2272</v>
      </c>
      <c r="W1533" s="4" t="s">
        <v>2272</v>
      </c>
      <c r="X1533" s="4" t="s">
        <v>2272</v>
      </c>
      <c r="Y1533" s="4" t="s">
        <v>2272</v>
      </c>
      <c r="Z1533" s="4" t="s">
        <v>2272</v>
      </c>
      <c r="AA1533" s="4" t="s">
        <v>2272</v>
      </c>
      <c r="AB1533" s="4" t="s">
        <v>2272</v>
      </c>
      <c r="AC1533" s="4" t="s">
        <v>2272</v>
      </c>
      <c r="AD1533" s="198"/>
      <c r="AE1533" s="198"/>
    </row>
    <row r="1534" spans="1:31" ht="42" customHeight="1">
      <c r="A1534" s="198" t="s">
        <v>4538</v>
      </c>
      <c r="B1534" s="198" t="s">
        <v>4549</v>
      </c>
      <c r="C1534" s="198" t="s">
        <v>23</v>
      </c>
      <c r="D1534" s="198" t="s">
        <v>2337</v>
      </c>
      <c r="E1534" s="198" t="s">
        <v>114</v>
      </c>
      <c r="F1534" s="4" t="s">
        <v>2657</v>
      </c>
      <c r="G1534" s="198" t="s">
        <v>2272</v>
      </c>
      <c r="H1534" s="198" t="s">
        <v>521</v>
      </c>
      <c r="I1534" s="198"/>
      <c r="J1534" s="4" t="s">
        <v>2272</v>
      </c>
      <c r="K1534" s="4" t="s">
        <v>2272</v>
      </c>
      <c r="L1534" s="4" t="s">
        <v>2272</v>
      </c>
      <c r="M1534" s="4" t="s">
        <v>2272</v>
      </c>
      <c r="N1534" s="4" t="s">
        <v>2272</v>
      </c>
      <c r="O1534" s="4" t="s">
        <v>2272</v>
      </c>
      <c r="P1534" s="4" t="s">
        <v>2272</v>
      </c>
      <c r="Q1534" s="4" t="s">
        <v>2272</v>
      </c>
      <c r="R1534" s="4" t="s">
        <v>2272</v>
      </c>
      <c r="S1534" s="4" t="s">
        <v>2272</v>
      </c>
      <c r="T1534" s="4" t="s">
        <v>2272</v>
      </c>
      <c r="U1534" s="4" t="s">
        <v>2272</v>
      </c>
      <c r="V1534" s="4" t="s">
        <v>2272</v>
      </c>
      <c r="W1534" s="4" t="s">
        <v>2272</v>
      </c>
      <c r="X1534" s="4" t="s">
        <v>2272</v>
      </c>
      <c r="Y1534" s="4" t="s">
        <v>2272</v>
      </c>
      <c r="Z1534" s="4" t="s">
        <v>2272</v>
      </c>
      <c r="AA1534" s="4" t="s">
        <v>2272</v>
      </c>
      <c r="AB1534" s="4" t="s">
        <v>2272</v>
      </c>
      <c r="AC1534" s="4" t="s">
        <v>2272</v>
      </c>
      <c r="AD1534" s="198"/>
      <c r="AE1534" s="198"/>
    </row>
    <row r="1535" spans="1:31" ht="42" customHeight="1">
      <c r="A1535" s="198" t="s">
        <v>4538</v>
      </c>
      <c r="B1535" s="198" t="s">
        <v>4550</v>
      </c>
      <c r="C1535" s="198" t="s">
        <v>23</v>
      </c>
      <c r="D1535" s="198" t="s">
        <v>26</v>
      </c>
      <c r="E1535" s="198" t="s">
        <v>128</v>
      </c>
      <c r="F1535" s="4" t="s">
        <v>2657</v>
      </c>
      <c r="G1535" s="198" t="s">
        <v>2272</v>
      </c>
      <c r="H1535" s="198" t="s">
        <v>521</v>
      </c>
      <c r="I1535" s="198"/>
      <c r="J1535" s="4" t="s">
        <v>2272</v>
      </c>
      <c r="K1535" s="4" t="s">
        <v>2272</v>
      </c>
      <c r="L1535" s="4" t="s">
        <v>2272</v>
      </c>
      <c r="M1535" s="4" t="s">
        <v>2272</v>
      </c>
      <c r="N1535" s="4" t="s">
        <v>2272</v>
      </c>
      <c r="O1535" s="4" t="s">
        <v>2272</v>
      </c>
      <c r="P1535" s="4" t="s">
        <v>2272</v>
      </c>
      <c r="Q1535" s="4" t="s">
        <v>2272</v>
      </c>
      <c r="R1535" s="4" t="s">
        <v>2272</v>
      </c>
      <c r="S1535" s="4" t="s">
        <v>2272</v>
      </c>
      <c r="T1535" s="4" t="s">
        <v>2272</v>
      </c>
      <c r="U1535" s="4" t="s">
        <v>2272</v>
      </c>
      <c r="V1535" s="4" t="s">
        <v>2272</v>
      </c>
      <c r="W1535" s="4" t="s">
        <v>2272</v>
      </c>
      <c r="X1535" s="4" t="s">
        <v>2272</v>
      </c>
      <c r="Y1535" s="4" t="s">
        <v>2272</v>
      </c>
      <c r="Z1535" s="4" t="s">
        <v>2272</v>
      </c>
      <c r="AA1535" s="4" t="s">
        <v>2272</v>
      </c>
      <c r="AB1535" s="4" t="s">
        <v>2272</v>
      </c>
      <c r="AC1535" s="4" t="s">
        <v>2272</v>
      </c>
      <c r="AD1535" s="198"/>
      <c r="AE1535" s="198"/>
    </row>
    <row r="1536" spans="1:31" ht="42" customHeight="1">
      <c r="A1536" s="198" t="s">
        <v>4538</v>
      </c>
      <c r="B1536" s="198" t="s">
        <v>4551</v>
      </c>
      <c r="C1536" s="198" t="s">
        <v>23</v>
      </c>
      <c r="D1536" s="198" t="s">
        <v>2227</v>
      </c>
      <c r="E1536" s="198" t="s">
        <v>128</v>
      </c>
      <c r="F1536" s="4" t="s">
        <v>2657</v>
      </c>
      <c r="G1536" s="198" t="s">
        <v>2272</v>
      </c>
      <c r="H1536" s="198" t="s">
        <v>521</v>
      </c>
      <c r="I1536" s="198"/>
      <c r="J1536" s="4" t="s">
        <v>2272</v>
      </c>
      <c r="K1536" s="4" t="s">
        <v>2272</v>
      </c>
      <c r="L1536" s="4" t="s">
        <v>2272</v>
      </c>
      <c r="M1536" s="4" t="s">
        <v>2272</v>
      </c>
      <c r="N1536" s="4" t="s">
        <v>2272</v>
      </c>
      <c r="O1536" s="4" t="s">
        <v>2272</v>
      </c>
      <c r="P1536" s="4" t="s">
        <v>2272</v>
      </c>
      <c r="Q1536" s="4" t="s">
        <v>2272</v>
      </c>
      <c r="R1536" s="4" t="s">
        <v>2272</v>
      </c>
      <c r="S1536" s="4" t="s">
        <v>2272</v>
      </c>
      <c r="T1536" s="4" t="s">
        <v>2272</v>
      </c>
      <c r="U1536" s="4" t="s">
        <v>2272</v>
      </c>
      <c r="V1536" s="4" t="s">
        <v>2272</v>
      </c>
      <c r="W1536" s="4" t="s">
        <v>2272</v>
      </c>
      <c r="X1536" s="4" t="s">
        <v>2272</v>
      </c>
      <c r="Y1536" s="4" t="s">
        <v>2272</v>
      </c>
      <c r="Z1536" s="4" t="s">
        <v>2272</v>
      </c>
      <c r="AA1536" s="4" t="s">
        <v>2272</v>
      </c>
      <c r="AB1536" s="4" t="s">
        <v>2272</v>
      </c>
      <c r="AC1536" s="4" t="s">
        <v>2272</v>
      </c>
      <c r="AD1536" s="198"/>
      <c r="AE1536" s="198"/>
    </row>
    <row r="1537" spans="1:31" ht="42" customHeight="1">
      <c r="A1537" s="198" t="s">
        <v>4538</v>
      </c>
      <c r="B1537" s="198" t="s">
        <v>4552</v>
      </c>
      <c r="C1537" s="198" t="s">
        <v>23</v>
      </c>
      <c r="D1537" s="198" t="s">
        <v>3475</v>
      </c>
      <c r="E1537" s="198" t="s">
        <v>114</v>
      </c>
      <c r="F1537" s="4" t="s">
        <v>2657</v>
      </c>
      <c r="G1537" s="198" t="s">
        <v>2272</v>
      </c>
      <c r="H1537" s="198" t="s">
        <v>521</v>
      </c>
      <c r="I1537" s="198"/>
      <c r="J1537" s="4" t="s">
        <v>2272</v>
      </c>
      <c r="K1537" s="4" t="s">
        <v>2272</v>
      </c>
      <c r="L1537" s="4" t="s">
        <v>2272</v>
      </c>
      <c r="M1537" s="4" t="s">
        <v>2272</v>
      </c>
      <c r="N1537" s="4" t="s">
        <v>2272</v>
      </c>
      <c r="O1537" s="4" t="s">
        <v>2272</v>
      </c>
      <c r="P1537" s="4" t="s">
        <v>2272</v>
      </c>
      <c r="Q1537" s="4" t="s">
        <v>2272</v>
      </c>
      <c r="R1537" s="4" t="s">
        <v>2272</v>
      </c>
      <c r="S1537" s="4" t="s">
        <v>2272</v>
      </c>
      <c r="T1537" s="4" t="s">
        <v>2272</v>
      </c>
      <c r="U1537" s="4" t="s">
        <v>2272</v>
      </c>
      <c r="V1537" s="4" t="s">
        <v>2272</v>
      </c>
      <c r="W1537" s="4" t="s">
        <v>2272</v>
      </c>
      <c r="X1537" s="4" t="s">
        <v>2272</v>
      </c>
      <c r="Y1537" s="4" t="s">
        <v>2272</v>
      </c>
      <c r="Z1537" s="4" t="s">
        <v>2272</v>
      </c>
      <c r="AA1537" s="4" t="s">
        <v>2272</v>
      </c>
      <c r="AB1537" s="4" t="s">
        <v>2272</v>
      </c>
      <c r="AC1537" s="4" t="s">
        <v>2272</v>
      </c>
      <c r="AD1537" s="4" t="s">
        <v>4554</v>
      </c>
      <c r="AE1537" s="198"/>
    </row>
    <row r="1538" spans="1:31" ht="45" customHeight="1">
      <c r="A1538" s="198" t="s">
        <v>4538</v>
      </c>
      <c r="B1538" s="198" t="s">
        <v>4553</v>
      </c>
      <c r="C1538" s="198" t="s">
        <v>23</v>
      </c>
      <c r="D1538" s="198" t="s">
        <v>25</v>
      </c>
      <c r="E1538" s="198" t="s">
        <v>5000</v>
      </c>
      <c r="F1538" s="4" t="s">
        <v>2657</v>
      </c>
      <c r="G1538" s="198" t="s">
        <v>2272</v>
      </c>
      <c r="H1538" s="198" t="s">
        <v>521</v>
      </c>
      <c r="I1538" s="198"/>
      <c r="J1538" s="4" t="s">
        <v>2272</v>
      </c>
      <c r="K1538" s="4" t="s">
        <v>2272</v>
      </c>
      <c r="L1538" s="4" t="s">
        <v>2272</v>
      </c>
      <c r="M1538" s="4" t="s">
        <v>2272</v>
      </c>
      <c r="N1538" s="4" t="s">
        <v>2272</v>
      </c>
      <c r="O1538" s="4" t="s">
        <v>2272</v>
      </c>
      <c r="P1538" s="4" t="s">
        <v>2272</v>
      </c>
      <c r="Q1538" s="4" t="s">
        <v>2272</v>
      </c>
      <c r="R1538" s="4" t="s">
        <v>2272</v>
      </c>
      <c r="S1538" s="4" t="s">
        <v>2272</v>
      </c>
      <c r="T1538" s="4" t="s">
        <v>2272</v>
      </c>
      <c r="U1538" s="4" t="s">
        <v>2272</v>
      </c>
      <c r="V1538" s="4" t="s">
        <v>2272</v>
      </c>
      <c r="W1538" s="4" t="s">
        <v>2272</v>
      </c>
      <c r="X1538" s="4" t="s">
        <v>2272</v>
      </c>
      <c r="Y1538" s="4" t="s">
        <v>2272</v>
      </c>
      <c r="Z1538" s="4" t="s">
        <v>2272</v>
      </c>
      <c r="AA1538" s="4" t="s">
        <v>2272</v>
      </c>
      <c r="AB1538" s="4" t="s">
        <v>2272</v>
      </c>
      <c r="AC1538" s="4" t="s">
        <v>2272</v>
      </c>
      <c r="AD1538" s="198"/>
      <c r="AE1538" s="198"/>
    </row>
    <row r="1539" spans="1:31" ht="64.5" customHeight="1">
      <c r="A1539" s="198" t="s">
        <v>4538</v>
      </c>
      <c r="B1539" s="198" t="s">
        <v>4574</v>
      </c>
      <c r="C1539" s="198" t="s">
        <v>23</v>
      </c>
      <c r="D1539" s="198" t="s">
        <v>1102</v>
      </c>
      <c r="E1539" s="198" t="s">
        <v>5000</v>
      </c>
      <c r="F1539" s="4" t="s">
        <v>2657</v>
      </c>
      <c r="G1539" s="198" t="s">
        <v>2272</v>
      </c>
      <c r="H1539" s="198" t="s">
        <v>521</v>
      </c>
      <c r="I1539" s="198"/>
      <c r="J1539" s="4" t="s">
        <v>2272</v>
      </c>
      <c r="K1539" s="4" t="s">
        <v>2272</v>
      </c>
      <c r="L1539" s="4" t="s">
        <v>2272</v>
      </c>
      <c r="M1539" s="4" t="s">
        <v>2272</v>
      </c>
      <c r="N1539" s="4" t="s">
        <v>2272</v>
      </c>
      <c r="O1539" s="4" t="s">
        <v>2272</v>
      </c>
      <c r="P1539" s="4" t="s">
        <v>2272</v>
      </c>
      <c r="Q1539" s="4" t="s">
        <v>2272</v>
      </c>
      <c r="R1539" s="4" t="s">
        <v>2272</v>
      </c>
      <c r="S1539" s="4" t="s">
        <v>2272</v>
      </c>
      <c r="T1539" s="4" t="s">
        <v>2272</v>
      </c>
      <c r="U1539" s="4" t="s">
        <v>2272</v>
      </c>
      <c r="V1539" s="4" t="s">
        <v>2272</v>
      </c>
      <c r="W1539" s="4" t="s">
        <v>2272</v>
      </c>
      <c r="X1539" s="4" t="s">
        <v>2272</v>
      </c>
      <c r="Y1539" s="4" t="s">
        <v>2272</v>
      </c>
      <c r="Z1539" s="4" t="s">
        <v>2272</v>
      </c>
      <c r="AA1539" s="198" t="s">
        <v>37</v>
      </c>
      <c r="AB1539" s="198" t="s">
        <v>423</v>
      </c>
      <c r="AC1539" s="198" t="s">
        <v>75</v>
      </c>
      <c r="AD1539" s="4" t="s">
        <v>4575</v>
      </c>
      <c r="AE1539" s="198"/>
    </row>
    <row r="1540" spans="1:31" ht="29">
      <c r="A1540" s="198" t="s">
        <v>4541</v>
      </c>
      <c r="B1540" s="198" t="s">
        <v>4555</v>
      </c>
      <c r="C1540" s="198" t="s">
        <v>23</v>
      </c>
      <c r="D1540" s="198" t="s">
        <v>24</v>
      </c>
      <c r="E1540" s="198" t="s">
        <v>5000</v>
      </c>
      <c r="F1540" s="4" t="s">
        <v>2657</v>
      </c>
      <c r="G1540" s="198" t="s">
        <v>2272</v>
      </c>
      <c r="H1540" s="198" t="s">
        <v>521</v>
      </c>
      <c r="I1540" s="198"/>
      <c r="J1540" s="4" t="s">
        <v>2272</v>
      </c>
      <c r="K1540" s="4" t="s">
        <v>2272</v>
      </c>
      <c r="L1540" s="4" t="s">
        <v>2272</v>
      </c>
      <c r="M1540" s="4" t="s">
        <v>2272</v>
      </c>
      <c r="N1540" s="4" t="s">
        <v>2272</v>
      </c>
      <c r="O1540" s="4" t="s">
        <v>2272</v>
      </c>
      <c r="P1540" s="4" t="s">
        <v>2272</v>
      </c>
      <c r="Q1540" s="4" t="s">
        <v>2272</v>
      </c>
      <c r="R1540" s="4" t="s">
        <v>2272</v>
      </c>
      <c r="S1540" s="4" t="s">
        <v>2272</v>
      </c>
      <c r="T1540" s="4" t="s">
        <v>2272</v>
      </c>
      <c r="U1540" s="4" t="s">
        <v>2272</v>
      </c>
      <c r="V1540" s="4" t="s">
        <v>2272</v>
      </c>
      <c r="W1540" s="4" t="s">
        <v>2272</v>
      </c>
      <c r="X1540" s="4" t="s">
        <v>2272</v>
      </c>
      <c r="Y1540" s="4" t="s">
        <v>2272</v>
      </c>
      <c r="Z1540" s="4" t="s">
        <v>2272</v>
      </c>
      <c r="AA1540" s="4" t="s">
        <v>2272</v>
      </c>
      <c r="AB1540" s="4" t="s">
        <v>2272</v>
      </c>
      <c r="AC1540" s="4" t="s">
        <v>2272</v>
      </c>
      <c r="AD1540" s="198"/>
      <c r="AE1540" s="198"/>
    </row>
    <row r="1541" spans="1:31" ht="29">
      <c r="A1541" s="198" t="s">
        <v>4541</v>
      </c>
      <c r="B1541" s="198" t="s">
        <v>4556</v>
      </c>
      <c r="C1541" s="198" t="s">
        <v>23</v>
      </c>
      <c r="D1541" s="198" t="s">
        <v>1128</v>
      </c>
      <c r="E1541" s="198" t="s">
        <v>128</v>
      </c>
      <c r="F1541" s="4" t="s">
        <v>2657</v>
      </c>
      <c r="G1541" s="198" t="s">
        <v>2272</v>
      </c>
      <c r="H1541" s="198" t="s">
        <v>521</v>
      </c>
      <c r="I1541" s="198"/>
      <c r="J1541" s="4" t="s">
        <v>2272</v>
      </c>
      <c r="K1541" s="4" t="s">
        <v>2272</v>
      </c>
      <c r="L1541" s="4" t="s">
        <v>2272</v>
      </c>
      <c r="M1541" s="4" t="s">
        <v>2272</v>
      </c>
      <c r="N1541" s="4" t="s">
        <v>2272</v>
      </c>
      <c r="O1541" s="4" t="s">
        <v>2272</v>
      </c>
      <c r="P1541" s="4" t="s">
        <v>2272</v>
      </c>
      <c r="Q1541" s="4" t="s">
        <v>2272</v>
      </c>
      <c r="R1541" s="4" t="s">
        <v>2272</v>
      </c>
      <c r="S1541" s="4" t="s">
        <v>2272</v>
      </c>
      <c r="T1541" s="4" t="s">
        <v>2272</v>
      </c>
      <c r="U1541" s="4" t="s">
        <v>2272</v>
      </c>
      <c r="V1541" s="4" t="s">
        <v>2272</v>
      </c>
      <c r="W1541" s="4" t="s">
        <v>2272</v>
      </c>
      <c r="X1541" s="4" t="s">
        <v>2272</v>
      </c>
      <c r="Y1541" s="4" t="s">
        <v>2272</v>
      </c>
      <c r="Z1541" s="4" t="s">
        <v>2272</v>
      </c>
      <c r="AA1541" s="4" t="s">
        <v>2272</v>
      </c>
      <c r="AB1541" s="4" t="s">
        <v>2272</v>
      </c>
      <c r="AC1541" s="4" t="s">
        <v>2272</v>
      </c>
      <c r="AD1541" s="198"/>
      <c r="AE1541" s="198"/>
    </row>
    <row r="1542" spans="1:31" ht="29">
      <c r="A1542" s="198" t="s">
        <v>4541</v>
      </c>
      <c r="B1542" s="198" t="s">
        <v>4557</v>
      </c>
      <c r="C1542" s="198" t="s">
        <v>23</v>
      </c>
      <c r="D1542" s="198" t="s">
        <v>1128</v>
      </c>
      <c r="E1542" s="198" t="s">
        <v>5000</v>
      </c>
      <c r="F1542" s="4" t="s">
        <v>2657</v>
      </c>
      <c r="G1542" s="198" t="s">
        <v>2272</v>
      </c>
      <c r="H1542" s="198" t="s">
        <v>521</v>
      </c>
      <c r="I1542" s="198"/>
      <c r="J1542" s="4" t="s">
        <v>2272</v>
      </c>
      <c r="K1542" s="4" t="s">
        <v>2272</v>
      </c>
      <c r="L1542" s="4" t="s">
        <v>2272</v>
      </c>
      <c r="M1542" s="4" t="s">
        <v>2272</v>
      </c>
      <c r="N1542" s="4" t="s">
        <v>2272</v>
      </c>
      <c r="O1542" s="4" t="s">
        <v>2272</v>
      </c>
      <c r="P1542" s="4" t="s">
        <v>2272</v>
      </c>
      <c r="Q1542" s="4" t="s">
        <v>2272</v>
      </c>
      <c r="R1542" s="4" t="s">
        <v>2272</v>
      </c>
      <c r="S1542" s="4" t="s">
        <v>2272</v>
      </c>
      <c r="T1542" s="4" t="s">
        <v>2272</v>
      </c>
      <c r="U1542" s="4" t="s">
        <v>2272</v>
      </c>
      <c r="V1542" s="4" t="s">
        <v>2272</v>
      </c>
      <c r="W1542" s="4" t="s">
        <v>2272</v>
      </c>
      <c r="X1542" s="4" t="s">
        <v>2272</v>
      </c>
      <c r="Y1542" s="4" t="s">
        <v>2272</v>
      </c>
      <c r="Z1542" s="4" t="s">
        <v>2272</v>
      </c>
      <c r="AA1542" s="4" t="s">
        <v>2272</v>
      </c>
      <c r="AB1542" s="4" t="s">
        <v>2272</v>
      </c>
      <c r="AC1542" s="4" t="s">
        <v>2272</v>
      </c>
      <c r="AD1542" s="198"/>
      <c r="AE1542" s="198"/>
    </row>
    <row r="1543" spans="1:31" ht="29">
      <c r="A1543" s="198" t="s">
        <v>4541</v>
      </c>
      <c r="B1543" s="198" t="s">
        <v>4558</v>
      </c>
      <c r="C1543" s="198" t="s">
        <v>23</v>
      </c>
      <c r="D1543" s="198" t="s">
        <v>1128</v>
      </c>
      <c r="E1543" s="198" t="s">
        <v>114</v>
      </c>
      <c r="F1543" s="4" t="s">
        <v>2657</v>
      </c>
      <c r="G1543" s="198" t="s">
        <v>2272</v>
      </c>
      <c r="H1543" s="198" t="s">
        <v>521</v>
      </c>
      <c r="I1543" s="198"/>
      <c r="J1543" s="4" t="s">
        <v>2272</v>
      </c>
      <c r="K1543" s="4" t="s">
        <v>2272</v>
      </c>
      <c r="L1543" s="4" t="s">
        <v>2272</v>
      </c>
      <c r="M1543" s="4" t="s">
        <v>2272</v>
      </c>
      <c r="N1543" s="4" t="s">
        <v>2272</v>
      </c>
      <c r="O1543" s="4" t="s">
        <v>2272</v>
      </c>
      <c r="P1543" s="4" t="s">
        <v>2272</v>
      </c>
      <c r="Q1543" s="4" t="s">
        <v>2272</v>
      </c>
      <c r="R1543" s="4" t="s">
        <v>2272</v>
      </c>
      <c r="S1543" s="4" t="s">
        <v>2272</v>
      </c>
      <c r="T1543" s="4" t="s">
        <v>2272</v>
      </c>
      <c r="U1543" s="4" t="s">
        <v>2272</v>
      </c>
      <c r="V1543" s="4" t="s">
        <v>2272</v>
      </c>
      <c r="W1543" s="4" t="s">
        <v>2272</v>
      </c>
      <c r="X1543" s="4" t="s">
        <v>2272</v>
      </c>
      <c r="Y1543" s="4" t="s">
        <v>2272</v>
      </c>
      <c r="Z1543" s="4" t="s">
        <v>2272</v>
      </c>
      <c r="AA1543" s="4" t="s">
        <v>2272</v>
      </c>
      <c r="AB1543" s="4" t="s">
        <v>2272</v>
      </c>
      <c r="AC1543" s="4" t="s">
        <v>2272</v>
      </c>
      <c r="AD1543" s="198"/>
      <c r="AE1543" s="198"/>
    </row>
    <row r="1544" spans="1:31" ht="29">
      <c r="A1544" s="198" t="s">
        <v>4541</v>
      </c>
      <c r="B1544" s="198" t="s">
        <v>4559</v>
      </c>
      <c r="C1544" s="198" t="s">
        <v>23</v>
      </c>
      <c r="D1544" s="198" t="s">
        <v>2301</v>
      </c>
      <c r="E1544" s="198" t="s">
        <v>5000</v>
      </c>
      <c r="F1544" s="4" t="s">
        <v>2657</v>
      </c>
      <c r="G1544" s="198" t="s">
        <v>2272</v>
      </c>
      <c r="H1544" s="198" t="s">
        <v>521</v>
      </c>
      <c r="I1544" s="198"/>
      <c r="J1544" s="4" t="s">
        <v>2272</v>
      </c>
      <c r="K1544" s="4" t="s">
        <v>2272</v>
      </c>
      <c r="L1544" s="4" t="s">
        <v>2272</v>
      </c>
      <c r="M1544" s="4" t="s">
        <v>2272</v>
      </c>
      <c r="N1544" s="4" t="s">
        <v>2272</v>
      </c>
      <c r="O1544" s="4" t="s">
        <v>2272</v>
      </c>
      <c r="P1544" s="4" t="s">
        <v>2272</v>
      </c>
      <c r="Q1544" s="4" t="s">
        <v>2272</v>
      </c>
      <c r="R1544" s="4" t="s">
        <v>2272</v>
      </c>
      <c r="S1544" s="4" t="s">
        <v>2272</v>
      </c>
      <c r="T1544" s="4" t="s">
        <v>2272</v>
      </c>
      <c r="U1544" s="4" t="s">
        <v>2272</v>
      </c>
      <c r="V1544" s="4" t="s">
        <v>2272</v>
      </c>
      <c r="W1544" s="4" t="s">
        <v>2272</v>
      </c>
      <c r="X1544" s="4" t="s">
        <v>2272</v>
      </c>
      <c r="Y1544" s="4" t="s">
        <v>2272</v>
      </c>
      <c r="Z1544" s="4" t="s">
        <v>2272</v>
      </c>
      <c r="AA1544" s="4" t="s">
        <v>2272</v>
      </c>
      <c r="AB1544" s="4" t="s">
        <v>2272</v>
      </c>
      <c r="AC1544" s="4" t="s">
        <v>2272</v>
      </c>
      <c r="AD1544" s="198"/>
      <c r="AE1544" s="198"/>
    </row>
    <row r="1545" spans="1:31" ht="29">
      <c r="A1545" s="198" t="s">
        <v>4541</v>
      </c>
      <c r="B1545" s="198" t="s">
        <v>4560</v>
      </c>
      <c r="C1545" s="198" t="s">
        <v>23</v>
      </c>
      <c r="D1545" s="198" t="s">
        <v>2337</v>
      </c>
      <c r="E1545" s="198" t="s">
        <v>114</v>
      </c>
      <c r="F1545" s="4" t="s">
        <v>2657</v>
      </c>
      <c r="G1545" s="198" t="s">
        <v>2272</v>
      </c>
      <c r="H1545" s="198" t="s">
        <v>521</v>
      </c>
      <c r="I1545" s="198"/>
      <c r="J1545" s="4" t="s">
        <v>2272</v>
      </c>
      <c r="K1545" s="4" t="s">
        <v>2272</v>
      </c>
      <c r="L1545" s="4" t="s">
        <v>2272</v>
      </c>
      <c r="M1545" s="4" t="s">
        <v>2272</v>
      </c>
      <c r="N1545" s="4" t="s">
        <v>2272</v>
      </c>
      <c r="O1545" s="4" t="s">
        <v>2272</v>
      </c>
      <c r="P1545" s="4" t="s">
        <v>2272</v>
      </c>
      <c r="Q1545" s="4" t="s">
        <v>2272</v>
      </c>
      <c r="R1545" s="4" t="s">
        <v>2272</v>
      </c>
      <c r="S1545" s="4" t="s">
        <v>2272</v>
      </c>
      <c r="T1545" s="4" t="s">
        <v>2272</v>
      </c>
      <c r="U1545" s="4" t="s">
        <v>2272</v>
      </c>
      <c r="V1545" s="4" t="s">
        <v>2272</v>
      </c>
      <c r="W1545" s="4" t="s">
        <v>2272</v>
      </c>
      <c r="X1545" s="4" t="s">
        <v>2272</v>
      </c>
      <c r="Y1545" s="4" t="s">
        <v>2272</v>
      </c>
      <c r="Z1545" s="4" t="s">
        <v>2272</v>
      </c>
      <c r="AA1545" s="4" t="s">
        <v>2272</v>
      </c>
      <c r="AB1545" s="4" t="s">
        <v>2272</v>
      </c>
      <c r="AC1545" s="4" t="s">
        <v>2272</v>
      </c>
      <c r="AD1545" s="198"/>
      <c r="AE1545" s="198"/>
    </row>
    <row r="1546" spans="1:31" ht="29">
      <c r="A1546" s="198" t="s">
        <v>4541</v>
      </c>
      <c r="B1546" s="198" t="s">
        <v>4561</v>
      </c>
      <c r="C1546" s="198" t="s">
        <v>23</v>
      </c>
      <c r="D1546" s="198" t="s">
        <v>26</v>
      </c>
      <c r="E1546" s="198" t="s">
        <v>128</v>
      </c>
      <c r="F1546" s="4" t="s">
        <v>2657</v>
      </c>
      <c r="G1546" s="198" t="s">
        <v>2272</v>
      </c>
      <c r="H1546" s="198" t="s">
        <v>521</v>
      </c>
      <c r="I1546" s="198"/>
      <c r="J1546" s="4" t="s">
        <v>2272</v>
      </c>
      <c r="K1546" s="4" t="s">
        <v>2272</v>
      </c>
      <c r="L1546" s="4" t="s">
        <v>2272</v>
      </c>
      <c r="M1546" s="4" t="s">
        <v>2272</v>
      </c>
      <c r="N1546" s="4" t="s">
        <v>2272</v>
      </c>
      <c r="O1546" s="4" t="s">
        <v>2272</v>
      </c>
      <c r="P1546" s="4" t="s">
        <v>2272</v>
      </c>
      <c r="Q1546" s="4" t="s">
        <v>2272</v>
      </c>
      <c r="R1546" s="4" t="s">
        <v>2272</v>
      </c>
      <c r="S1546" s="4" t="s">
        <v>2272</v>
      </c>
      <c r="T1546" s="4" t="s">
        <v>2272</v>
      </c>
      <c r="U1546" s="4" t="s">
        <v>2272</v>
      </c>
      <c r="V1546" s="4" t="s">
        <v>2272</v>
      </c>
      <c r="W1546" s="4" t="s">
        <v>2272</v>
      </c>
      <c r="X1546" s="4" t="s">
        <v>2272</v>
      </c>
      <c r="Y1546" s="4" t="s">
        <v>2272</v>
      </c>
      <c r="Z1546" s="4" t="s">
        <v>2272</v>
      </c>
      <c r="AA1546" s="4" t="s">
        <v>2272</v>
      </c>
      <c r="AB1546" s="4" t="s">
        <v>2272</v>
      </c>
      <c r="AC1546" s="4" t="s">
        <v>2272</v>
      </c>
      <c r="AD1546" s="198"/>
      <c r="AE1546" s="198"/>
    </row>
    <row r="1547" spans="1:31" ht="29">
      <c r="A1547" s="198" t="s">
        <v>4541</v>
      </c>
      <c r="B1547" s="198" t="s">
        <v>4562</v>
      </c>
      <c r="C1547" s="198" t="s">
        <v>23</v>
      </c>
      <c r="D1547" s="198" t="s">
        <v>2227</v>
      </c>
      <c r="E1547" s="198" t="s">
        <v>128</v>
      </c>
      <c r="F1547" s="4" t="s">
        <v>2657</v>
      </c>
      <c r="G1547" s="198" t="s">
        <v>2272</v>
      </c>
      <c r="H1547" s="198" t="s">
        <v>521</v>
      </c>
      <c r="I1547" s="198"/>
      <c r="J1547" s="4" t="s">
        <v>2272</v>
      </c>
      <c r="K1547" s="4" t="s">
        <v>2272</v>
      </c>
      <c r="L1547" s="4" t="s">
        <v>2272</v>
      </c>
      <c r="M1547" s="4" t="s">
        <v>2272</v>
      </c>
      <c r="N1547" s="4" t="s">
        <v>2272</v>
      </c>
      <c r="O1547" s="4" t="s">
        <v>2272</v>
      </c>
      <c r="P1547" s="4" t="s">
        <v>2272</v>
      </c>
      <c r="Q1547" s="4" t="s">
        <v>2272</v>
      </c>
      <c r="R1547" s="4" t="s">
        <v>2272</v>
      </c>
      <c r="S1547" s="4" t="s">
        <v>2272</v>
      </c>
      <c r="T1547" s="4" t="s">
        <v>2272</v>
      </c>
      <c r="U1547" s="4" t="s">
        <v>2272</v>
      </c>
      <c r="V1547" s="4" t="s">
        <v>2272</v>
      </c>
      <c r="W1547" s="4" t="s">
        <v>2272</v>
      </c>
      <c r="X1547" s="4" t="s">
        <v>2272</v>
      </c>
      <c r="Y1547" s="4" t="s">
        <v>2272</v>
      </c>
      <c r="Z1547" s="4" t="s">
        <v>2272</v>
      </c>
      <c r="AA1547" s="4" t="s">
        <v>2272</v>
      </c>
      <c r="AB1547" s="4" t="s">
        <v>2272</v>
      </c>
      <c r="AC1547" s="4" t="s">
        <v>2272</v>
      </c>
      <c r="AD1547" s="4" t="s">
        <v>4554</v>
      </c>
      <c r="AE1547" s="198"/>
    </row>
    <row r="1548" spans="1:31" ht="29">
      <c r="A1548" s="198" t="s">
        <v>4541</v>
      </c>
      <c r="B1548" s="198" t="s">
        <v>4563</v>
      </c>
      <c r="C1548" s="198" t="s">
        <v>23</v>
      </c>
      <c r="D1548" s="198" t="s">
        <v>3475</v>
      </c>
      <c r="E1548" s="198" t="s">
        <v>114</v>
      </c>
      <c r="F1548" s="4" t="s">
        <v>2657</v>
      </c>
      <c r="G1548" s="198" t="s">
        <v>2272</v>
      </c>
      <c r="H1548" s="198" t="s">
        <v>521</v>
      </c>
      <c r="I1548" s="198"/>
      <c r="J1548" s="4" t="s">
        <v>2272</v>
      </c>
      <c r="K1548" s="4" t="s">
        <v>2272</v>
      </c>
      <c r="L1548" s="4" t="s">
        <v>2272</v>
      </c>
      <c r="M1548" s="4" t="s">
        <v>2272</v>
      </c>
      <c r="N1548" s="4" t="s">
        <v>2272</v>
      </c>
      <c r="O1548" s="4" t="s">
        <v>2272</v>
      </c>
      <c r="P1548" s="4" t="s">
        <v>2272</v>
      </c>
      <c r="Q1548" s="4" t="s">
        <v>2272</v>
      </c>
      <c r="R1548" s="4" t="s">
        <v>2272</v>
      </c>
      <c r="S1548" s="4" t="s">
        <v>2272</v>
      </c>
      <c r="T1548" s="4" t="s">
        <v>2272</v>
      </c>
      <c r="U1548" s="4" t="s">
        <v>2272</v>
      </c>
      <c r="V1548" s="4" t="s">
        <v>2272</v>
      </c>
      <c r="W1548" s="4" t="s">
        <v>2272</v>
      </c>
      <c r="X1548" s="4" t="s">
        <v>2272</v>
      </c>
      <c r="Y1548" s="4" t="s">
        <v>2272</v>
      </c>
      <c r="Z1548" s="4" t="s">
        <v>2272</v>
      </c>
      <c r="AA1548" s="4" t="s">
        <v>2272</v>
      </c>
      <c r="AB1548" s="4" t="s">
        <v>2272</v>
      </c>
      <c r="AC1548" s="4" t="s">
        <v>2272</v>
      </c>
      <c r="AD1548" s="198"/>
      <c r="AE1548" s="198"/>
    </row>
    <row r="1549" spans="1:31" ht="46.5" customHeight="1">
      <c r="A1549" s="198" t="s">
        <v>4541</v>
      </c>
      <c r="B1549" s="198" t="s">
        <v>4564</v>
      </c>
      <c r="C1549" s="198" t="s">
        <v>23</v>
      </c>
      <c r="D1549" s="198" t="s">
        <v>25</v>
      </c>
      <c r="E1549" s="198" t="s">
        <v>5000</v>
      </c>
      <c r="F1549" s="4" t="s">
        <v>2657</v>
      </c>
      <c r="G1549" s="198" t="s">
        <v>2272</v>
      </c>
      <c r="H1549" s="198" t="s">
        <v>521</v>
      </c>
      <c r="I1549" s="198"/>
      <c r="J1549" s="4" t="s">
        <v>2272</v>
      </c>
      <c r="K1549" s="4" t="s">
        <v>2272</v>
      </c>
      <c r="L1549" s="4" t="s">
        <v>2272</v>
      </c>
      <c r="M1549" s="4" t="s">
        <v>2272</v>
      </c>
      <c r="N1549" s="4" t="s">
        <v>2272</v>
      </c>
      <c r="O1549" s="4" t="s">
        <v>2272</v>
      </c>
      <c r="P1549" s="4" t="s">
        <v>2272</v>
      </c>
      <c r="Q1549" s="4" t="s">
        <v>2272</v>
      </c>
      <c r="R1549" s="4" t="s">
        <v>2272</v>
      </c>
      <c r="S1549" s="4" t="s">
        <v>2272</v>
      </c>
      <c r="T1549" s="4" t="s">
        <v>2272</v>
      </c>
      <c r="U1549" s="4" t="s">
        <v>2272</v>
      </c>
      <c r="V1549" s="4" t="s">
        <v>2272</v>
      </c>
      <c r="W1549" s="4" t="s">
        <v>2272</v>
      </c>
      <c r="X1549" s="4" t="s">
        <v>2272</v>
      </c>
      <c r="Y1549" s="4" t="s">
        <v>2272</v>
      </c>
      <c r="Z1549" s="4" t="s">
        <v>2272</v>
      </c>
      <c r="AA1549" s="4" t="s">
        <v>2272</v>
      </c>
      <c r="AB1549" s="4" t="s">
        <v>2272</v>
      </c>
      <c r="AC1549" s="4" t="s">
        <v>2272</v>
      </c>
      <c r="AD1549" s="198"/>
      <c r="AE1549" s="198"/>
    </row>
    <row r="1550" spans="1:31" ht="60" customHeight="1">
      <c r="A1550" s="198" t="s">
        <v>4541</v>
      </c>
      <c r="B1550" s="198" t="s">
        <v>4573</v>
      </c>
      <c r="C1550" s="198" t="s">
        <v>23</v>
      </c>
      <c r="D1550" s="198" t="s">
        <v>1102</v>
      </c>
      <c r="E1550" s="198" t="s">
        <v>5000</v>
      </c>
      <c r="F1550" s="4" t="s">
        <v>2657</v>
      </c>
      <c r="G1550" s="198" t="s">
        <v>2272</v>
      </c>
      <c r="H1550" s="198" t="s">
        <v>521</v>
      </c>
      <c r="I1550" s="198"/>
      <c r="J1550" s="4" t="s">
        <v>2272</v>
      </c>
      <c r="K1550" s="4" t="s">
        <v>2272</v>
      </c>
      <c r="L1550" s="4" t="s">
        <v>2272</v>
      </c>
      <c r="M1550" s="4" t="s">
        <v>2272</v>
      </c>
      <c r="N1550" s="4" t="s">
        <v>2272</v>
      </c>
      <c r="O1550" s="4" t="s">
        <v>2272</v>
      </c>
      <c r="P1550" s="4" t="s">
        <v>2272</v>
      </c>
      <c r="Q1550" s="4" t="s">
        <v>2272</v>
      </c>
      <c r="R1550" s="4" t="s">
        <v>2272</v>
      </c>
      <c r="S1550" s="4" t="s">
        <v>2272</v>
      </c>
      <c r="T1550" s="4" t="s">
        <v>2272</v>
      </c>
      <c r="U1550" s="4" t="s">
        <v>2272</v>
      </c>
      <c r="V1550" s="4" t="s">
        <v>2272</v>
      </c>
      <c r="W1550" s="4" t="s">
        <v>2272</v>
      </c>
      <c r="X1550" s="4" t="s">
        <v>2272</v>
      </c>
      <c r="Y1550" s="4" t="s">
        <v>2272</v>
      </c>
      <c r="Z1550" s="4" t="s">
        <v>2272</v>
      </c>
      <c r="AA1550" s="198" t="s">
        <v>37</v>
      </c>
      <c r="AB1550" s="198" t="s">
        <v>423</v>
      </c>
      <c r="AC1550" s="198" t="s">
        <v>75</v>
      </c>
      <c r="AD1550" s="4" t="s">
        <v>4575</v>
      </c>
      <c r="AE1550" s="198"/>
    </row>
    <row r="1551" spans="1:31" ht="49" customHeight="1">
      <c r="A1551" s="198" t="s">
        <v>4566</v>
      </c>
      <c r="B1551" s="198" t="s">
        <v>4569</v>
      </c>
      <c r="C1551" s="198" t="s">
        <v>23</v>
      </c>
      <c r="D1551" s="198" t="s">
        <v>142</v>
      </c>
      <c r="E1551" s="198" t="s">
        <v>135</v>
      </c>
      <c r="F1551" s="4" t="s">
        <v>2657</v>
      </c>
      <c r="G1551" s="198" t="s">
        <v>2272</v>
      </c>
      <c r="H1551" s="198" t="s">
        <v>521</v>
      </c>
      <c r="I1551" s="198"/>
      <c r="J1551" s="4" t="s">
        <v>2272</v>
      </c>
      <c r="K1551" s="4" t="s">
        <v>2272</v>
      </c>
      <c r="L1551" s="4" t="s">
        <v>2272</v>
      </c>
      <c r="M1551" s="4" t="s">
        <v>2272</v>
      </c>
      <c r="N1551" s="4" t="s">
        <v>2272</v>
      </c>
      <c r="O1551" s="4" t="s">
        <v>2272</v>
      </c>
      <c r="P1551" s="4" t="s">
        <v>2272</v>
      </c>
      <c r="Q1551" s="4" t="s">
        <v>2272</v>
      </c>
      <c r="R1551" s="4" t="s">
        <v>2272</v>
      </c>
      <c r="S1551" s="4" t="s">
        <v>2272</v>
      </c>
      <c r="T1551" s="4" t="s">
        <v>2272</v>
      </c>
      <c r="U1551" s="4" t="s">
        <v>2272</v>
      </c>
      <c r="V1551" s="4" t="s">
        <v>2272</v>
      </c>
      <c r="W1551" s="4" t="s">
        <v>2272</v>
      </c>
      <c r="X1551" s="4" t="s">
        <v>2272</v>
      </c>
      <c r="Y1551" s="4" t="s">
        <v>2272</v>
      </c>
      <c r="Z1551" s="4" t="s">
        <v>2272</v>
      </c>
      <c r="AA1551" s="4" t="s">
        <v>2272</v>
      </c>
      <c r="AB1551" s="4" t="s">
        <v>2272</v>
      </c>
      <c r="AC1551" s="4" t="s">
        <v>2272</v>
      </c>
      <c r="AD1551" s="4"/>
      <c r="AE1551" s="198"/>
    </row>
    <row r="1552" spans="1:31" ht="41" customHeight="1">
      <c r="A1552" s="198" t="s">
        <v>4566</v>
      </c>
      <c r="B1552" s="198" t="s">
        <v>4570</v>
      </c>
      <c r="C1552" s="198" t="s">
        <v>23</v>
      </c>
      <c r="D1552" s="198" t="s">
        <v>1241</v>
      </c>
      <c r="E1552" s="198" t="s">
        <v>2647</v>
      </c>
      <c r="F1552" s="4" t="s">
        <v>2657</v>
      </c>
      <c r="G1552" s="198" t="s">
        <v>2272</v>
      </c>
      <c r="H1552" s="198" t="s">
        <v>521</v>
      </c>
      <c r="I1552" s="198"/>
      <c r="J1552" s="4" t="s">
        <v>2272</v>
      </c>
      <c r="K1552" s="4" t="s">
        <v>2272</v>
      </c>
      <c r="L1552" s="4" t="s">
        <v>2272</v>
      </c>
      <c r="M1552" s="4" t="s">
        <v>2272</v>
      </c>
      <c r="N1552" s="4" t="s">
        <v>2272</v>
      </c>
      <c r="O1552" s="4" t="s">
        <v>2272</v>
      </c>
      <c r="P1552" s="4" t="s">
        <v>2272</v>
      </c>
      <c r="Q1552" s="4" t="s">
        <v>2272</v>
      </c>
      <c r="R1552" s="4" t="s">
        <v>2272</v>
      </c>
      <c r="S1552" s="4" t="s">
        <v>2272</v>
      </c>
      <c r="T1552" s="4" t="s">
        <v>2272</v>
      </c>
      <c r="U1552" s="4" t="s">
        <v>2272</v>
      </c>
      <c r="V1552" s="4" t="s">
        <v>2272</v>
      </c>
      <c r="W1552" s="4" t="s">
        <v>2272</v>
      </c>
      <c r="X1552" s="4" t="s">
        <v>2272</v>
      </c>
      <c r="Y1552" s="4" t="s">
        <v>2272</v>
      </c>
      <c r="Z1552" s="4" t="s">
        <v>2272</v>
      </c>
      <c r="AA1552" s="4" t="s">
        <v>2272</v>
      </c>
      <c r="AB1552" s="4" t="s">
        <v>2272</v>
      </c>
      <c r="AC1552" s="4" t="s">
        <v>2272</v>
      </c>
      <c r="AD1552" s="198"/>
      <c r="AE1552" s="198"/>
    </row>
    <row r="1553" spans="1:31" ht="48.5" customHeight="1">
      <c r="A1553" s="198" t="s">
        <v>4566</v>
      </c>
      <c r="B1553" s="198" t="s">
        <v>4571</v>
      </c>
      <c r="C1553" s="198" t="s">
        <v>23</v>
      </c>
      <c r="D1553" s="198" t="s">
        <v>1102</v>
      </c>
      <c r="E1553" s="198" t="s">
        <v>1102</v>
      </c>
      <c r="F1553" s="4" t="s">
        <v>2657</v>
      </c>
      <c r="G1553" s="198" t="s">
        <v>2272</v>
      </c>
      <c r="H1553" s="198" t="s">
        <v>521</v>
      </c>
      <c r="I1553" s="198"/>
      <c r="J1553" s="4" t="s">
        <v>2272</v>
      </c>
      <c r="K1553" s="4" t="s">
        <v>2272</v>
      </c>
      <c r="L1553" s="4" t="s">
        <v>2272</v>
      </c>
      <c r="M1553" s="4" t="s">
        <v>2272</v>
      </c>
      <c r="N1553" s="4" t="s">
        <v>2272</v>
      </c>
      <c r="O1553" s="4" t="s">
        <v>2272</v>
      </c>
      <c r="P1553" s="4" t="s">
        <v>2272</v>
      </c>
      <c r="Q1553" s="4" t="s">
        <v>2272</v>
      </c>
      <c r="R1553" s="4" t="s">
        <v>2272</v>
      </c>
      <c r="S1553" s="4" t="s">
        <v>2272</v>
      </c>
      <c r="T1553" s="4" t="s">
        <v>2272</v>
      </c>
      <c r="U1553" s="4" t="s">
        <v>2272</v>
      </c>
      <c r="V1553" s="4" t="s">
        <v>2272</v>
      </c>
      <c r="W1553" s="4" t="s">
        <v>2272</v>
      </c>
      <c r="X1553" s="4" t="s">
        <v>2272</v>
      </c>
      <c r="Y1553" s="4" t="s">
        <v>2272</v>
      </c>
      <c r="Z1553" s="4" t="s">
        <v>2272</v>
      </c>
      <c r="AA1553" s="4" t="s">
        <v>2272</v>
      </c>
      <c r="AB1553" s="4" t="s">
        <v>2272</v>
      </c>
      <c r="AC1553" s="4" t="s">
        <v>2272</v>
      </c>
      <c r="AD1553" s="4" t="s">
        <v>4572</v>
      </c>
      <c r="AE1553" s="198"/>
    </row>
    <row r="1554" spans="1:31" ht="40.5" customHeight="1">
      <c r="A1554" s="198" t="s">
        <v>4577</v>
      </c>
      <c r="B1554" s="35" t="s">
        <v>4578</v>
      </c>
      <c r="C1554" s="35" t="s">
        <v>23</v>
      </c>
      <c r="D1554" s="35" t="s">
        <v>25</v>
      </c>
      <c r="E1554" s="197" t="s">
        <v>5000</v>
      </c>
      <c r="F1554" s="4" t="s">
        <v>2657</v>
      </c>
      <c r="G1554" s="198" t="s">
        <v>2272</v>
      </c>
      <c r="H1554" s="198" t="s">
        <v>521</v>
      </c>
      <c r="I1554" s="35"/>
      <c r="J1554" s="4" t="s">
        <v>2272</v>
      </c>
      <c r="K1554" s="4" t="s">
        <v>2272</v>
      </c>
      <c r="L1554" s="4" t="s">
        <v>2272</v>
      </c>
      <c r="M1554" s="4" t="s">
        <v>2272</v>
      </c>
      <c r="N1554" s="4" t="s">
        <v>2272</v>
      </c>
      <c r="O1554" s="4" t="s">
        <v>2272</v>
      </c>
      <c r="P1554" s="4" t="s">
        <v>2272</v>
      </c>
      <c r="Q1554" s="4" t="s">
        <v>2272</v>
      </c>
      <c r="R1554" s="4" t="s">
        <v>2272</v>
      </c>
      <c r="S1554" s="4" t="s">
        <v>2272</v>
      </c>
      <c r="T1554" s="4" t="s">
        <v>2272</v>
      </c>
      <c r="U1554" s="4" t="s">
        <v>2272</v>
      </c>
      <c r="V1554" s="4" t="s">
        <v>2272</v>
      </c>
      <c r="W1554" s="4" t="s">
        <v>2272</v>
      </c>
      <c r="X1554" s="4" t="s">
        <v>2272</v>
      </c>
      <c r="Y1554" s="4" t="s">
        <v>2272</v>
      </c>
      <c r="Z1554" s="4" t="s">
        <v>2272</v>
      </c>
      <c r="AA1554" s="4" t="s">
        <v>2272</v>
      </c>
      <c r="AB1554" s="4" t="s">
        <v>2272</v>
      </c>
      <c r="AC1554" s="4" t="s">
        <v>2272</v>
      </c>
      <c r="AD1554" s="35"/>
      <c r="AE1554" s="35"/>
    </row>
    <row r="1555" spans="1:31" ht="42.5" customHeight="1">
      <c r="A1555" s="198" t="s">
        <v>4577</v>
      </c>
      <c r="B1555" s="198" t="s">
        <v>4579</v>
      </c>
      <c r="C1555" s="198" t="s">
        <v>23</v>
      </c>
      <c r="D1555" s="198" t="s">
        <v>1102</v>
      </c>
      <c r="E1555" s="198" t="s">
        <v>5000</v>
      </c>
      <c r="F1555" s="4" t="s">
        <v>2657</v>
      </c>
      <c r="G1555" s="198" t="s">
        <v>2272</v>
      </c>
      <c r="H1555" s="198" t="s">
        <v>521</v>
      </c>
      <c r="I1555" s="198"/>
      <c r="J1555" s="4" t="s">
        <v>2272</v>
      </c>
      <c r="K1555" s="4" t="s">
        <v>2272</v>
      </c>
      <c r="L1555" s="4" t="s">
        <v>2272</v>
      </c>
      <c r="M1555" s="4" t="s">
        <v>2272</v>
      </c>
      <c r="N1555" s="4" t="s">
        <v>2272</v>
      </c>
      <c r="O1555" s="4" t="s">
        <v>2272</v>
      </c>
      <c r="P1555" s="4" t="s">
        <v>2272</v>
      </c>
      <c r="Q1555" s="4" t="s">
        <v>2272</v>
      </c>
      <c r="R1555" s="4" t="s">
        <v>2272</v>
      </c>
      <c r="S1555" s="4" t="s">
        <v>2272</v>
      </c>
      <c r="T1555" s="4" t="s">
        <v>2272</v>
      </c>
      <c r="U1555" s="4" t="s">
        <v>2272</v>
      </c>
      <c r="V1555" s="4" t="s">
        <v>2272</v>
      </c>
      <c r="W1555" s="4" t="s">
        <v>2272</v>
      </c>
      <c r="X1555" s="4" t="s">
        <v>2272</v>
      </c>
      <c r="Y1555" s="4" t="s">
        <v>2272</v>
      </c>
      <c r="Z1555" s="4" t="s">
        <v>2272</v>
      </c>
      <c r="AA1555" s="4" t="s">
        <v>2272</v>
      </c>
      <c r="AB1555" s="4" t="s">
        <v>2272</v>
      </c>
      <c r="AC1555" s="4" t="s">
        <v>2272</v>
      </c>
      <c r="AD1555" s="198"/>
      <c r="AE1555" s="198"/>
    </row>
    <row r="1556" spans="1:31" ht="33.5" customHeight="1">
      <c r="A1556" s="198" t="s">
        <v>4580</v>
      </c>
      <c r="B1556" s="198" t="s">
        <v>4584</v>
      </c>
      <c r="C1556" s="198" t="s">
        <v>23</v>
      </c>
      <c r="D1556" s="198" t="s">
        <v>1238</v>
      </c>
      <c r="E1556" s="198" t="s">
        <v>135</v>
      </c>
      <c r="F1556" s="4" t="s">
        <v>2657</v>
      </c>
      <c r="G1556" s="198" t="s">
        <v>2272</v>
      </c>
      <c r="H1556" s="198" t="s">
        <v>521</v>
      </c>
      <c r="I1556" s="198"/>
      <c r="J1556" s="4" t="s">
        <v>2272</v>
      </c>
      <c r="K1556" s="4" t="s">
        <v>2272</v>
      </c>
      <c r="L1556" s="4" t="s">
        <v>2272</v>
      </c>
      <c r="M1556" s="4" t="s">
        <v>2272</v>
      </c>
      <c r="N1556" s="4" t="s">
        <v>2272</v>
      </c>
      <c r="O1556" s="4" t="s">
        <v>2272</v>
      </c>
      <c r="P1556" s="4" t="s">
        <v>2272</v>
      </c>
      <c r="Q1556" s="4" t="s">
        <v>2272</v>
      </c>
      <c r="R1556" s="4" t="s">
        <v>2272</v>
      </c>
      <c r="S1556" s="4" t="s">
        <v>2272</v>
      </c>
      <c r="T1556" s="4" t="s">
        <v>2272</v>
      </c>
      <c r="U1556" s="4" t="s">
        <v>2272</v>
      </c>
      <c r="V1556" s="4" t="s">
        <v>2272</v>
      </c>
      <c r="W1556" s="4" t="s">
        <v>2272</v>
      </c>
      <c r="X1556" s="4" t="s">
        <v>2272</v>
      </c>
      <c r="Y1556" s="4" t="s">
        <v>2272</v>
      </c>
      <c r="Z1556" s="4" t="s">
        <v>2272</v>
      </c>
      <c r="AA1556" s="4" t="s">
        <v>2272</v>
      </c>
      <c r="AB1556" s="4" t="s">
        <v>2272</v>
      </c>
      <c r="AC1556" s="4" t="s">
        <v>2272</v>
      </c>
      <c r="AD1556" s="198" t="s">
        <v>4588</v>
      </c>
      <c r="AE1556" s="198"/>
    </row>
    <row r="1557" spans="1:31" ht="33.5" customHeight="1">
      <c r="A1557" s="198" t="s">
        <v>4581</v>
      </c>
      <c r="B1557" s="198" t="s">
        <v>4585</v>
      </c>
      <c r="C1557" s="198" t="s">
        <v>23</v>
      </c>
      <c r="D1557" s="198" t="s">
        <v>1238</v>
      </c>
      <c r="E1557" s="198" t="s">
        <v>135</v>
      </c>
      <c r="F1557" s="4" t="s">
        <v>2657</v>
      </c>
      <c r="G1557" s="198" t="s">
        <v>2272</v>
      </c>
      <c r="H1557" s="198" t="s">
        <v>521</v>
      </c>
      <c r="I1557" s="198"/>
      <c r="J1557" s="4" t="s">
        <v>2272</v>
      </c>
      <c r="K1557" s="4" t="s">
        <v>2272</v>
      </c>
      <c r="L1557" s="4" t="s">
        <v>2272</v>
      </c>
      <c r="M1557" s="4" t="s">
        <v>2272</v>
      </c>
      <c r="N1557" s="4" t="s">
        <v>2272</v>
      </c>
      <c r="O1557" s="4" t="s">
        <v>2272</v>
      </c>
      <c r="P1557" s="4" t="s">
        <v>2272</v>
      </c>
      <c r="Q1557" s="4" t="s">
        <v>2272</v>
      </c>
      <c r="R1557" s="4" t="s">
        <v>2272</v>
      </c>
      <c r="S1557" s="4" t="s">
        <v>2272</v>
      </c>
      <c r="T1557" s="4" t="s">
        <v>2272</v>
      </c>
      <c r="U1557" s="4" t="s">
        <v>2272</v>
      </c>
      <c r="V1557" s="4" t="s">
        <v>2272</v>
      </c>
      <c r="W1557" s="4" t="s">
        <v>2272</v>
      </c>
      <c r="X1557" s="4" t="s">
        <v>2272</v>
      </c>
      <c r="Y1557" s="4" t="s">
        <v>2272</v>
      </c>
      <c r="Z1557" s="4" t="s">
        <v>2272</v>
      </c>
      <c r="AA1557" s="4" t="s">
        <v>2272</v>
      </c>
      <c r="AB1557" s="4" t="s">
        <v>2272</v>
      </c>
      <c r="AC1557" s="4" t="s">
        <v>2272</v>
      </c>
      <c r="AD1557" s="198" t="s">
        <v>4588</v>
      </c>
      <c r="AE1557" s="198"/>
    </row>
    <row r="1558" spans="1:31" ht="29">
      <c r="A1558" s="198" t="s">
        <v>4580</v>
      </c>
      <c r="B1558" s="198" t="s">
        <v>4586</v>
      </c>
      <c r="C1558" s="198" t="s">
        <v>23</v>
      </c>
      <c r="D1558" s="198" t="s">
        <v>142</v>
      </c>
      <c r="E1558" s="198" t="s">
        <v>135</v>
      </c>
      <c r="F1558" s="4" t="s">
        <v>2657</v>
      </c>
      <c r="G1558" s="198" t="s">
        <v>2272</v>
      </c>
      <c r="H1558" s="198" t="s">
        <v>521</v>
      </c>
      <c r="I1558" s="198"/>
      <c r="J1558" s="4" t="s">
        <v>2272</v>
      </c>
      <c r="K1558" s="4" t="s">
        <v>2272</v>
      </c>
      <c r="L1558" s="4" t="s">
        <v>2272</v>
      </c>
      <c r="M1558" s="4" t="s">
        <v>2272</v>
      </c>
      <c r="N1558" s="4" t="s">
        <v>2272</v>
      </c>
      <c r="O1558" s="4" t="s">
        <v>2272</v>
      </c>
      <c r="P1558" s="4" t="s">
        <v>2272</v>
      </c>
      <c r="Q1558" s="4" t="s">
        <v>2272</v>
      </c>
      <c r="R1558" s="4" t="s">
        <v>2272</v>
      </c>
      <c r="S1558" s="4" t="s">
        <v>2272</v>
      </c>
      <c r="T1558" s="4" t="s">
        <v>2272</v>
      </c>
      <c r="U1558" s="4" t="s">
        <v>2272</v>
      </c>
      <c r="V1558" s="4" t="s">
        <v>2272</v>
      </c>
      <c r="W1558" s="4" t="s">
        <v>2272</v>
      </c>
      <c r="X1558" s="4" t="s">
        <v>2272</v>
      </c>
      <c r="Y1558" s="4" t="s">
        <v>2272</v>
      </c>
      <c r="Z1558" s="4" t="s">
        <v>2272</v>
      </c>
      <c r="AA1558" s="4" t="s">
        <v>2272</v>
      </c>
      <c r="AB1558" s="4" t="s">
        <v>2272</v>
      </c>
      <c r="AC1558" s="4" t="s">
        <v>2272</v>
      </c>
      <c r="AD1558" s="198" t="s">
        <v>4588</v>
      </c>
      <c r="AE1558" s="198"/>
    </row>
    <row r="1559" spans="1:31" ht="31" customHeight="1">
      <c r="A1559" s="198" t="s">
        <v>4581</v>
      </c>
      <c r="B1559" s="198" t="s">
        <v>4587</v>
      </c>
      <c r="C1559" s="198" t="s">
        <v>23</v>
      </c>
      <c r="D1559" s="198" t="s">
        <v>142</v>
      </c>
      <c r="E1559" s="198" t="s">
        <v>135</v>
      </c>
      <c r="F1559" s="4" t="s">
        <v>2657</v>
      </c>
      <c r="G1559" s="198" t="s">
        <v>2272</v>
      </c>
      <c r="H1559" s="198" t="s">
        <v>521</v>
      </c>
      <c r="I1559" s="198"/>
      <c r="J1559" s="4" t="s">
        <v>2272</v>
      </c>
      <c r="K1559" s="4" t="s">
        <v>2272</v>
      </c>
      <c r="L1559" s="4" t="s">
        <v>2272</v>
      </c>
      <c r="M1559" s="4" t="s">
        <v>2272</v>
      </c>
      <c r="N1559" s="4" t="s">
        <v>2272</v>
      </c>
      <c r="O1559" s="4" t="s">
        <v>2272</v>
      </c>
      <c r="P1559" s="4" t="s">
        <v>2272</v>
      </c>
      <c r="Q1559" s="4" t="s">
        <v>2272</v>
      </c>
      <c r="R1559" s="4" t="s">
        <v>2272</v>
      </c>
      <c r="S1559" s="4" t="s">
        <v>2272</v>
      </c>
      <c r="T1559" s="4" t="s">
        <v>2272</v>
      </c>
      <c r="U1559" s="4" t="s">
        <v>2272</v>
      </c>
      <c r="V1559" s="4" t="s">
        <v>2272</v>
      </c>
      <c r="W1559" s="4" t="s">
        <v>2272</v>
      </c>
      <c r="X1559" s="4" t="s">
        <v>2272</v>
      </c>
      <c r="Y1559" s="4" t="s">
        <v>2272</v>
      </c>
      <c r="Z1559" s="4" t="s">
        <v>2272</v>
      </c>
      <c r="AA1559" s="4" t="s">
        <v>2272</v>
      </c>
      <c r="AB1559" s="4" t="s">
        <v>2272</v>
      </c>
      <c r="AC1559" s="4" t="s">
        <v>2272</v>
      </c>
      <c r="AD1559" s="198" t="s">
        <v>4588</v>
      </c>
      <c r="AE1559" s="198"/>
    </row>
    <row r="1560" spans="1:31" ht="49.5" customHeight="1">
      <c r="A1560" s="4" t="s">
        <v>4592</v>
      </c>
      <c r="B1560" s="4" t="s">
        <v>4601</v>
      </c>
      <c r="C1560" s="4" t="s">
        <v>2651</v>
      </c>
      <c r="D1560" s="4" t="s">
        <v>1238</v>
      </c>
      <c r="E1560" s="4" t="s">
        <v>135</v>
      </c>
      <c r="F1560" s="4" t="s">
        <v>2657</v>
      </c>
      <c r="G1560" s="4" t="s">
        <v>2657</v>
      </c>
      <c r="H1560" s="4" t="s">
        <v>521</v>
      </c>
      <c r="I1560" s="198"/>
      <c r="J1560" s="4" t="s">
        <v>2272</v>
      </c>
      <c r="K1560" s="4" t="s">
        <v>2272</v>
      </c>
      <c r="L1560" s="4" t="s">
        <v>2272</v>
      </c>
      <c r="M1560" s="4" t="s">
        <v>2272</v>
      </c>
      <c r="N1560" s="4" t="s">
        <v>2272</v>
      </c>
      <c r="O1560" s="4" t="s">
        <v>2272</v>
      </c>
      <c r="P1560" s="4" t="s">
        <v>2272</v>
      </c>
      <c r="Q1560" s="4" t="s">
        <v>2272</v>
      </c>
      <c r="R1560" s="4" t="s">
        <v>2272</v>
      </c>
      <c r="S1560" s="4" t="s">
        <v>2272</v>
      </c>
      <c r="T1560" s="4" t="s">
        <v>2272</v>
      </c>
      <c r="U1560" s="4" t="s">
        <v>2272</v>
      </c>
      <c r="V1560" s="4" t="s">
        <v>2272</v>
      </c>
      <c r="W1560" s="4" t="s">
        <v>2272</v>
      </c>
      <c r="X1560" s="21">
        <v>12</v>
      </c>
      <c r="Y1560" s="4" t="s">
        <v>2272</v>
      </c>
      <c r="Z1560" s="14">
        <v>7.4</v>
      </c>
      <c r="AA1560" s="198" t="s">
        <v>423</v>
      </c>
      <c r="AB1560" s="198" t="s">
        <v>67</v>
      </c>
      <c r="AC1560" s="198" t="s">
        <v>63</v>
      </c>
      <c r="AD1560" s="4" t="s">
        <v>4602</v>
      </c>
      <c r="AE1560" s="4" t="s">
        <v>4605</v>
      </c>
    </row>
    <row r="1561" spans="1:31" ht="56.5" customHeight="1">
      <c r="A1561" s="4" t="s">
        <v>4592</v>
      </c>
      <c r="B1561" s="4" t="s">
        <v>4603</v>
      </c>
      <c r="C1561" s="198" t="s">
        <v>23</v>
      </c>
      <c r="D1561" s="198" t="s">
        <v>1102</v>
      </c>
      <c r="E1561" s="4" t="s">
        <v>135</v>
      </c>
      <c r="F1561" s="4" t="s">
        <v>2657</v>
      </c>
      <c r="G1561" s="4" t="s">
        <v>2657</v>
      </c>
      <c r="H1561" s="4" t="s">
        <v>522</v>
      </c>
      <c r="I1561" s="198"/>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21">
        <v>0</v>
      </c>
      <c r="Z1561" s="4" t="s">
        <v>2272</v>
      </c>
      <c r="AA1561" s="4" t="s">
        <v>2272</v>
      </c>
      <c r="AB1561" s="4" t="s">
        <v>2272</v>
      </c>
      <c r="AC1561" s="4" t="s">
        <v>2272</v>
      </c>
      <c r="AD1561" s="4" t="s">
        <v>4604</v>
      </c>
      <c r="AE1561" s="198"/>
    </row>
    <row r="1562" spans="1:31" ht="38" customHeight="1">
      <c r="A1562" s="198" t="s">
        <v>4596</v>
      </c>
      <c r="B1562" s="198" t="s">
        <v>4606</v>
      </c>
      <c r="C1562" s="198" t="s">
        <v>23</v>
      </c>
      <c r="D1562" s="198" t="s">
        <v>142</v>
      </c>
      <c r="E1562" s="4" t="s">
        <v>135</v>
      </c>
      <c r="F1562" s="4" t="s">
        <v>2657</v>
      </c>
      <c r="G1562" s="4" t="s">
        <v>2657</v>
      </c>
      <c r="H1562" s="4" t="s">
        <v>521</v>
      </c>
      <c r="I1562" s="198"/>
      <c r="J1562" s="4" t="s">
        <v>2272</v>
      </c>
      <c r="K1562" s="4" t="s">
        <v>2272</v>
      </c>
      <c r="L1562" s="4" t="s">
        <v>2272</v>
      </c>
      <c r="M1562" s="4" t="s">
        <v>2272</v>
      </c>
      <c r="N1562" s="4" t="s">
        <v>2272</v>
      </c>
      <c r="O1562" s="4" t="s">
        <v>2272</v>
      </c>
      <c r="P1562" s="4" t="s">
        <v>2272</v>
      </c>
      <c r="Q1562" s="4" t="s">
        <v>2272</v>
      </c>
      <c r="R1562" s="4" t="s">
        <v>2272</v>
      </c>
      <c r="S1562" s="4" t="s">
        <v>2272</v>
      </c>
      <c r="T1562" s="4" t="s">
        <v>2272</v>
      </c>
      <c r="U1562" s="4" t="s">
        <v>2272</v>
      </c>
      <c r="V1562" s="4" t="s">
        <v>2272</v>
      </c>
      <c r="W1562" s="4" t="s">
        <v>2272</v>
      </c>
      <c r="X1562" s="4" t="s">
        <v>2272</v>
      </c>
      <c r="Y1562" s="4" t="s">
        <v>2272</v>
      </c>
      <c r="Z1562" s="4" t="s">
        <v>2272</v>
      </c>
      <c r="AA1562" s="4" t="s">
        <v>2272</v>
      </c>
      <c r="AB1562" s="4" t="s">
        <v>2272</v>
      </c>
      <c r="AC1562" s="4" t="s">
        <v>2272</v>
      </c>
      <c r="AD1562" s="198" t="s">
        <v>4588</v>
      </c>
      <c r="AE1562" s="198"/>
    </row>
    <row r="1563" spans="1:31" ht="32.5" customHeight="1">
      <c r="A1563" s="198" t="s">
        <v>4597</v>
      </c>
      <c r="B1563" s="198" t="s">
        <v>4607</v>
      </c>
      <c r="C1563" s="198" t="s">
        <v>23</v>
      </c>
      <c r="D1563" s="198" t="s">
        <v>142</v>
      </c>
      <c r="E1563" s="4" t="s">
        <v>135</v>
      </c>
      <c r="F1563" s="4" t="s">
        <v>2657</v>
      </c>
      <c r="G1563" s="4" t="s">
        <v>2657</v>
      </c>
      <c r="H1563" s="4" t="s">
        <v>521</v>
      </c>
      <c r="I1563" s="198"/>
      <c r="J1563" s="4" t="s">
        <v>2272</v>
      </c>
      <c r="K1563" s="4" t="s">
        <v>2272</v>
      </c>
      <c r="L1563" s="4" t="s">
        <v>2272</v>
      </c>
      <c r="M1563" s="4" t="s">
        <v>2272</v>
      </c>
      <c r="N1563" s="4" t="s">
        <v>2272</v>
      </c>
      <c r="O1563" s="4" t="s">
        <v>2272</v>
      </c>
      <c r="P1563" s="4" t="s">
        <v>2272</v>
      </c>
      <c r="Q1563" s="4" t="s">
        <v>2272</v>
      </c>
      <c r="R1563" s="4" t="s">
        <v>2272</v>
      </c>
      <c r="S1563" s="4" t="s">
        <v>2272</v>
      </c>
      <c r="T1563" s="4" t="s">
        <v>2272</v>
      </c>
      <c r="U1563" s="4" t="s">
        <v>2272</v>
      </c>
      <c r="V1563" s="4" t="s">
        <v>2272</v>
      </c>
      <c r="W1563" s="4" t="s">
        <v>2272</v>
      </c>
      <c r="X1563" s="4" t="s">
        <v>2272</v>
      </c>
      <c r="Y1563" s="4" t="s">
        <v>2272</v>
      </c>
      <c r="Z1563" s="4" t="s">
        <v>2272</v>
      </c>
      <c r="AA1563" s="4" t="s">
        <v>2272</v>
      </c>
      <c r="AB1563" s="4" t="s">
        <v>2272</v>
      </c>
      <c r="AC1563" s="4" t="s">
        <v>2272</v>
      </c>
      <c r="AD1563" s="198" t="s">
        <v>4588</v>
      </c>
      <c r="AE1563" s="198"/>
    </row>
    <row r="1564" spans="1:31" ht="68" customHeight="1">
      <c r="A1564" s="198" t="s">
        <v>4598</v>
      </c>
      <c r="B1564" s="198" t="s">
        <v>4608</v>
      </c>
      <c r="C1564" s="198" t="s">
        <v>23</v>
      </c>
      <c r="D1564" s="198" t="s">
        <v>142</v>
      </c>
      <c r="E1564" s="4" t="s">
        <v>135</v>
      </c>
      <c r="F1564" s="4" t="s">
        <v>2657</v>
      </c>
      <c r="G1564" s="4" t="s">
        <v>2657</v>
      </c>
      <c r="H1564" s="4" t="s">
        <v>521</v>
      </c>
      <c r="I1564" s="198"/>
      <c r="J1564" s="4" t="s">
        <v>2272</v>
      </c>
      <c r="K1564" s="4" t="s">
        <v>2272</v>
      </c>
      <c r="L1564" s="4" t="s">
        <v>2272</v>
      </c>
      <c r="M1564" s="4" t="s">
        <v>2272</v>
      </c>
      <c r="N1564" s="4" t="s">
        <v>2272</v>
      </c>
      <c r="O1564" s="4" t="s">
        <v>2272</v>
      </c>
      <c r="P1564" s="4" t="s">
        <v>2272</v>
      </c>
      <c r="Q1564" s="4" t="s">
        <v>2272</v>
      </c>
      <c r="R1564" s="4" t="s">
        <v>2272</v>
      </c>
      <c r="S1564" s="4" t="s">
        <v>2272</v>
      </c>
      <c r="T1564" s="4" t="s">
        <v>2272</v>
      </c>
      <c r="U1564" s="4" t="s">
        <v>2272</v>
      </c>
      <c r="V1564" s="4" t="s">
        <v>2272</v>
      </c>
      <c r="W1564" s="4" t="s">
        <v>2272</v>
      </c>
      <c r="X1564" s="4" t="s">
        <v>2272</v>
      </c>
      <c r="Y1564" s="4" t="s">
        <v>2272</v>
      </c>
      <c r="Z1564" s="4" t="s">
        <v>2272</v>
      </c>
      <c r="AA1564" s="198" t="s">
        <v>37</v>
      </c>
      <c r="AB1564" s="198" t="s">
        <v>34</v>
      </c>
      <c r="AC1564" s="198" t="s">
        <v>63</v>
      </c>
      <c r="AD1564" s="198" t="s">
        <v>4588</v>
      </c>
      <c r="AE1564" s="4" t="s">
        <v>4609</v>
      </c>
    </row>
    <row r="1565" spans="1:31" ht="66.5" customHeight="1">
      <c r="A1565" s="198" t="s">
        <v>4615</v>
      </c>
      <c r="B1565" s="198" t="s">
        <v>4624</v>
      </c>
      <c r="C1565" s="198" t="s">
        <v>23</v>
      </c>
      <c r="D1565" s="198" t="s">
        <v>2799</v>
      </c>
      <c r="E1565" s="198" t="s">
        <v>2642</v>
      </c>
      <c r="F1565" s="4" t="s">
        <v>2657</v>
      </c>
      <c r="G1565" s="198" t="s">
        <v>2272</v>
      </c>
      <c r="H1565" s="4" t="s">
        <v>522</v>
      </c>
      <c r="I1565" s="198"/>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21">
        <v>0</v>
      </c>
      <c r="Z1565" s="4" t="s">
        <v>2272</v>
      </c>
      <c r="AA1565" s="4" t="s">
        <v>2272</v>
      </c>
      <c r="AB1565" s="4" t="s">
        <v>2272</v>
      </c>
      <c r="AC1565" s="4" t="s">
        <v>2272</v>
      </c>
      <c r="AD1565" s="4" t="s">
        <v>4631</v>
      </c>
      <c r="AE1565" s="198"/>
    </row>
    <row r="1566" spans="1:31" ht="66.5" customHeight="1">
      <c r="A1566" s="198" t="s">
        <v>4615</v>
      </c>
      <c r="B1566" s="198" t="s">
        <v>4627</v>
      </c>
      <c r="C1566" s="198" t="s">
        <v>23</v>
      </c>
      <c r="D1566" s="198" t="s">
        <v>24</v>
      </c>
      <c r="E1566" s="198" t="s">
        <v>2642</v>
      </c>
      <c r="F1566" s="4" t="s">
        <v>2657</v>
      </c>
      <c r="G1566" s="198" t="s">
        <v>2272</v>
      </c>
      <c r="H1566" s="4" t="s">
        <v>522</v>
      </c>
      <c r="I1566" s="198"/>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21">
        <v>0</v>
      </c>
      <c r="Z1566" s="4" t="s">
        <v>2272</v>
      </c>
      <c r="AA1566" s="4" t="s">
        <v>2272</v>
      </c>
      <c r="AB1566" s="4" t="s">
        <v>2272</v>
      </c>
      <c r="AC1566" s="4" t="s">
        <v>2272</v>
      </c>
      <c r="AD1566" s="4" t="s">
        <v>4631</v>
      </c>
      <c r="AE1566" s="198"/>
    </row>
    <row r="1567" spans="1:31" ht="71" customHeight="1">
      <c r="A1567" s="198" t="s">
        <v>4615</v>
      </c>
      <c r="B1567" s="198" t="s">
        <v>4632</v>
      </c>
      <c r="C1567" s="198" t="s">
        <v>23</v>
      </c>
      <c r="D1567" s="198" t="s">
        <v>2799</v>
      </c>
      <c r="E1567" s="198" t="s">
        <v>5000</v>
      </c>
      <c r="F1567" s="4" t="s">
        <v>2657</v>
      </c>
      <c r="G1567" s="198" t="s">
        <v>2272</v>
      </c>
      <c r="H1567" s="4" t="s">
        <v>522</v>
      </c>
      <c r="I1567" s="198"/>
      <c r="J1567" s="172">
        <v>0</v>
      </c>
      <c r="K1567" s="172">
        <v>0</v>
      </c>
      <c r="L1567" s="21">
        <v>0</v>
      </c>
      <c r="M1567" s="21">
        <v>0</v>
      </c>
      <c r="N1567" s="21">
        <v>0</v>
      </c>
      <c r="O1567" s="21">
        <v>0</v>
      </c>
      <c r="P1567" s="21">
        <v>0</v>
      </c>
      <c r="Q1567" s="21">
        <v>0</v>
      </c>
      <c r="R1567" s="21">
        <v>0</v>
      </c>
      <c r="S1567" s="21">
        <v>0</v>
      </c>
      <c r="T1567" s="21">
        <v>0</v>
      </c>
      <c r="U1567" s="21">
        <v>0</v>
      </c>
      <c r="V1567" s="21">
        <v>0</v>
      </c>
      <c r="W1567" s="21">
        <v>0</v>
      </c>
      <c r="X1567" s="21">
        <v>0</v>
      </c>
      <c r="Y1567" s="21">
        <v>0</v>
      </c>
      <c r="Z1567" s="4" t="s">
        <v>2272</v>
      </c>
      <c r="AA1567" s="4" t="s">
        <v>2272</v>
      </c>
      <c r="AB1567" s="4" t="s">
        <v>2272</v>
      </c>
      <c r="AC1567" s="4" t="s">
        <v>2272</v>
      </c>
      <c r="AD1567" s="4" t="s">
        <v>4634</v>
      </c>
      <c r="AE1567" s="198"/>
    </row>
    <row r="1568" spans="1:31" ht="63.5" customHeight="1">
      <c r="A1568" s="198" t="s">
        <v>4638</v>
      </c>
      <c r="B1568" s="198" t="s">
        <v>4645</v>
      </c>
      <c r="C1568" s="198" t="s">
        <v>23</v>
      </c>
      <c r="D1568" s="198" t="s">
        <v>1238</v>
      </c>
      <c r="E1568" s="198" t="s">
        <v>2644</v>
      </c>
      <c r="F1568" s="4" t="s">
        <v>73</v>
      </c>
      <c r="G1568" s="198" t="s">
        <v>2272</v>
      </c>
      <c r="H1568" s="4" t="s">
        <v>522</v>
      </c>
      <c r="I1568" s="173"/>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21">
        <v>0</v>
      </c>
      <c r="Z1568" s="4" t="s">
        <v>2272</v>
      </c>
      <c r="AA1568" s="4" t="s">
        <v>2272</v>
      </c>
      <c r="AB1568" s="4" t="s">
        <v>2272</v>
      </c>
      <c r="AC1568" s="4" t="s">
        <v>2272</v>
      </c>
      <c r="AD1568" s="4" t="s">
        <v>4651</v>
      </c>
      <c r="AE1568" s="198"/>
    </row>
    <row r="1569" spans="1:31" ht="51" customHeight="1">
      <c r="A1569" s="198" t="s">
        <v>4638</v>
      </c>
      <c r="B1569" s="198" t="s">
        <v>4647</v>
      </c>
      <c r="C1569" s="198" t="s">
        <v>23</v>
      </c>
      <c r="D1569" s="198" t="s">
        <v>2989</v>
      </c>
      <c r="E1569" s="198" t="s">
        <v>5000</v>
      </c>
      <c r="F1569" s="4" t="s">
        <v>2272</v>
      </c>
      <c r="G1569" s="198" t="s">
        <v>2272</v>
      </c>
      <c r="H1569" s="198" t="s">
        <v>521</v>
      </c>
      <c r="I1569" s="173"/>
      <c r="J1569" s="4" t="s">
        <v>2272</v>
      </c>
      <c r="K1569" s="4" t="s">
        <v>2272</v>
      </c>
      <c r="L1569" s="4" t="s">
        <v>2272</v>
      </c>
      <c r="M1569" s="4" t="s">
        <v>2272</v>
      </c>
      <c r="N1569" s="4" t="s">
        <v>2272</v>
      </c>
      <c r="O1569" s="4" t="s">
        <v>2272</v>
      </c>
      <c r="P1569" s="4" t="s">
        <v>2272</v>
      </c>
      <c r="Q1569" s="4" t="s">
        <v>2272</v>
      </c>
      <c r="R1569" s="4" t="s">
        <v>2272</v>
      </c>
      <c r="S1569" s="4" t="s">
        <v>2272</v>
      </c>
      <c r="T1569" s="4" t="s">
        <v>2272</v>
      </c>
      <c r="U1569" s="4" t="s">
        <v>2272</v>
      </c>
      <c r="V1569" s="4" t="s">
        <v>2272</v>
      </c>
      <c r="W1569" s="4" t="s">
        <v>2272</v>
      </c>
      <c r="X1569" s="4" t="s">
        <v>2272</v>
      </c>
      <c r="Y1569" s="4" t="s">
        <v>2272</v>
      </c>
      <c r="Z1569" s="4" t="s">
        <v>2272</v>
      </c>
      <c r="AA1569" s="4" t="s">
        <v>2272</v>
      </c>
      <c r="AB1569" s="4" t="s">
        <v>2272</v>
      </c>
      <c r="AC1569" s="4" t="s">
        <v>2272</v>
      </c>
      <c r="AD1569" s="4" t="s">
        <v>4650</v>
      </c>
      <c r="AE1569" s="198"/>
    </row>
    <row r="1570" spans="1:31" ht="68" customHeight="1">
      <c r="A1570" s="198" t="s">
        <v>4639</v>
      </c>
      <c r="B1570" s="198" t="s">
        <v>4648</v>
      </c>
      <c r="C1570" s="198" t="s">
        <v>23</v>
      </c>
      <c r="D1570" s="198" t="s">
        <v>1238</v>
      </c>
      <c r="E1570" s="198" t="s">
        <v>2644</v>
      </c>
      <c r="F1570" s="4" t="s">
        <v>73</v>
      </c>
      <c r="G1570" s="198" t="s">
        <v>2272</v>
      </c>
      <c r="H1570" s="4" t="s">
        <v>522</v>
      </c>
      <c r="I1570" s="173"/>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21">
        <v>0</v>
      </c>
      <c r="Z1570" s="4" t="s">
        <v>2272</v>
      </c>
      <c r="AA1570" s="4" t="s">
        <v>2272</v>
      </c>
      <c r="AB1570" s="4" t="s">
        <v>2272</v>
      </c>
      <c r="AC1570" s="4" t="s">
        <v>2272</v>
      </c>
      <c r="AD1570" s="4" t="s">
        <v>4651</v>
      </c>
      <c r="AE1570" s="198"/>
    </row>
    <row r="1571" spans="1:31" ht="42.5" customHeight="1">
      <c r="A1571" s="198" t="s">
        <v>4656</v>
      </c>
      <c r="B1571" s="198" t="s">
        <v>4659</v>
      </c>
      <c r="C1571" s="198" t="s">
        <v>23</v>
      </c>
      <c r="D1571" s="198" t="s">
        <v>24</v>
      </c>
      <c r="E1571" s="198" t="s">
        <v>5000</v>
      </c>
      <c r="F1571" s="4" t="s">
        <v>2657</v>
      </c>
      <c r="G1571" s="198" t="s">
        <v>2272</v>
      </c>
      <c r="H1571" s="198" t="s">
        <v>521</v>
      </c>
      <c r="I1571" s="198">
        <v>1970</v>
      </c>
      <c r="J1571" s="4" t="s">
        <v>2272</v>
      </c>
      <c r="K1571" s="4" t="s">
        <v>2272</v>
      </c>
      <c r="L1571" s="4" t="s">
        <v>2272</v>
      </c>
      <c r="M1571" s="4" t="s">
        <v>2272</v>
      </c>
      <c r="N1571" s="4" t="s">
        <v>2272</v>
      </c>
      <c r="O1571" s="4" t="s">
        <v>2272</v>
      </c>
      <c r="P1571" s="4" t="s">
        <v>2272</v>
      </c>
      <c r="Q1571" s="4" t="s">
        <v>2272</v>
      </c>
      <c r="R1571" s="4" t="s">
        <v>2272</v>
      </c>
      <c r="S1571" s="4" t="s">
        <v>2272</v>
      </c>
      <c r="T1571" s="4" t="s">
        <v>2272</v>
      </c>
      <c r="U1571" s="4" t="s">
        <v>2272</v>
      </c>
      <c r="V1571" s="4" t="s">
        <v>2272</v>
      </c>
      <c r="W1571" s="4" t="s">
        <v>2272</v>
      </c>
      <c r="X1571" s="4" t="s">
        <v>2272</v>
      </c>
      <c r="Y1571" s="4" t="s">
        <v>2272</v>
      </c>
      <c r="Z1571" s="21">
        <v>1</v>
      </c>
      <c r="AA1571" s="4" t="s">
        <v>2272</v>
      </c>
      <c r="AB1571" s="4" t="s">
        <v>2272</v>
      </c>
      <c r="AC1571" s="198" t="s">
        <v>2272</v>
      </c>
      <c r="AD1571" s="198" t="s">
        <v>4661</v>
      </c>
      <c r="AE1571" s="198"/>
    </row>
    <row r="1572" spans="1:31" ht="56" customHeight="1">
      <c r="A1572" s="198" t="s">
        <v>4656</v>
      </c>
      <c r="B1572" s="198" t="s">
        <v>4660</v>
      </c>
      <c r="C1572" s="198" t="s">
        <v>23</v>
      </c>
      <c r="D1572" s="198" t="s">
        <v>2799</v>
      </c>
      <c r="E1572" s="198" t="s">
        <v>5000</v>
      </c>
      <c r="F1572" s="4" t="s">
        <v>2657</v>
      </c>
      <c r="G1572" s="198" t="s">
        <v>2272</v>
      </c>
      <c r="H1572" s="4" t="s">
        <v>522</v>
      </c>
      <c r="I1572" s="198"/>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21">
        <v>0</v>
      </c>
      <c r="Z1572" s="4" t="s">
        <v>2272</v>
      </c>
      <c r="AA1572" s="4" t="s">
        <v>2272</v>
      </c>
      <c r="AB1572" s="4" t="s">
        <v>2272</v>
      </c>
      <c r="AC1572" s="4" t="s">
        <v>2272</v>
      </c>
      <c r="AD1572" s="4" t="s">
        <v>4662</v>
      </c>
      <c r="AE1572" s="198"/>
    </row>
    <row r="1573" spans="1:31" ht="42.5" customHeight="1">
      <c r="A1573" s="198" t="s">
        <v>4656</v>
      </c>
      <c r="B1573" s="198" t="s">
        <v>4663</v>
      </c>
      <c r="C1573" s="198" t="s">
        <v>23</v>
      </c>
      <c r="D1573" s="198" t="s">
        <v>25</v>
      </c>
      <c r="E1573" s="198" t="s">
        <v>5000</v>
      </c>
      <c r="F1573" s="4" t="s">
        <v>2657</v>
      </c>
      <c r="G1573" s="198" t="s">
        <v>2272</v>
      </c>
      <c r="H1573" s="198" t="s">
        <v>521</v>
      </c>
      <c r="I1573" s="198"/>
      <c r="J1573" s="4" t="s">
        <v>2272</v>
      </c>
      <c r="K1573" s="4" t="s">
        <v>2272</v>
      </c>
      <c r="L1573" s="4" t="s">
        <v>2272</v>
      </c>
      <c r="M1573" s="4" t="s">
        <v>2272</v>
      </c>
      <c r="N1573" s="4" t="s">
        <v>2272</v>
      </c>
      <c r="O1573" s="4" t="s">
        <v>2272</v>
      </c>
      <c r="P1573" s="4" t="s">
        <v>2272</v>
      </c>
      <c r="Q1573" s="4" t="s">
        <v>2272</v>
      </c>
      <c r="R1573" s="4" t="s">
        <v>2272</v>
      </c>
      <c r="S1573" s="4" t="s">
        <v>2272</v>
      </c>
      <c r="T1573" s="4" t="s">
        <v>2272</v>
      </c>
      <c r="U1573" s="4" t="s">
        <v>2272</v>
      </c>
      <c r="V1573" s="4" t="s">
        <v>2272</v>
      </c>
      <c r="W1573" s="4" t="s">
        <v>2272</v>
      </c>
      <c r="X1573" s="4" t="s">
        <v>2272</v>
      </c>
      <c r="Y1573" s="4" t="s">
        <v>2272</v>
      </c>
      <c r="Z1573" s="4" t="s">
        <v>2272</v>
      </c>
      <c r="AA1573" s="4" t="s">
        <v>2272</v>
      </c>
      <c r="AB1573" s="4" t="s">
        <v>2272</v>
      </c>
      <c r="AC1573" s="4" t="s">
        <v>2272</v>
      </c>
      <c r="AD1573" s="198" t="s">
        <v>4664</v>
      </c>
      <c r="AE1573" s="198"/>
    </row>
    <row r="1574" spans="1:31" ht="39" customHeight="1">
      <c r="A1574" s="198" t="s">
        <v>4666</v>
      </c>
      <c r="B1574" s="198" t="s">
        <v>4679</v>
      </c>
      <c r="C1574" s="198" t="s">
        <v>23</v>
      </c>
      <c r="D1574" s="198" t="s">
        <v>26</v>
      </c>
      <c r="E1574" s="198" t="s">
        <v>82</v>
      </c>
      <c r="F1574" s="4" t="s">
        <v>27</v>
      </c>
      <c r="G1574" s="198" t="s">
        <v>2272</v>
      </c>
      <c r="H1574" s="4" t="s">
        <v>522</v>
      </c>
      <c r="I1574" s="198"/>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21">
        <v>0</v>
      </c>
      <c r="Z1574" s="4" t="s">
        <v>2272</v>
      </c>
      <c r="AA1574" s="4" t="s">
        <v>2272</v>
      </c>
      <c r="AB1574" s="4" t="s">
        <v>2272</v>
      </c>
      <c r="AC1574" s="4" t="s">
        <v>2272</v>
      </c>
      <c r="AD1574" s="4" t="s">
        <v>4683</v>
      </c>
      <c r="AE1574" s="198"/>
    </row>
    <row r="1575" spans="1:31" ht="37.5" customHeight="1">
      <c r="A1575" s="198" t="s">
        <v>4667</v>
      </c>
      <c r="B1575" s="198" t="s">
        <v>4680</v>
      </c>
      <c r="C1575" s="198" t="s">
        <v>23</v>
      </c>
      <c r="D1575" s="198" t="s">
        <v>26</v>
      </c>
      <c r="E1575" s="198" t="s">
        <v>82</v>
      </c>
      <c r="F1575" s="4" t="s">
        <v>27</v>
      </c>
      <c r="G1575" s="198" t="s">
        <v>2272</v>
      </c>
      <c r="H1575" s="4" t="s">
        <v>522</v>
      </c>
      <c r="I1575" s="198"/>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21">
        <v>0</v>
      </c>
      <c r="Z1575" s="4" t="s">
        <v>2272</v>
      </c>
      <c r="AA1575" s="4" t="s">
        <v>2272</v>
      </c>
      <c r="AB1575" s="4" t="s">
        <v>2272</v>
      </c>
      <c r="AC1575" s="4" t="s">
        <v>2272</v>
      </c>
      <c r="AD1575" s="4" t="s">
        <v>4683</v>
      </c>
      <c r="AE1575" s="198"/>
    </row>
    <row r="1576" spans="1:31" ht="37.5" customHeight="1">
      <c r="A1576" s="198" t="s">
        <v>4668</v>
      </c>
      <c r="B1576" s="198" t="s">
        <v>4681</v>
      </c>
      <c r="C1576" s="198" t="s">
        <v>23</v>
      </c>
      <c r="D1576" s="198" t="s">
        <v>26</v>
      </c>
      <c r="E1576" s="198" t="s">
        <v>82</v>
      </c>
      <c r="F1576" s="4" t="s">
        <v>27</v>
      </c>
      <c r="G1576" s="198" t="s">
        <v>2272</v>
      </c>
      <c r="H1576" s="4" t="s">
        <v>522</v>
      </c>
      <c r="I1576" s="198"/>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21">
        <v>0</v>
      </c>
      <c r="Z1576" s="4" t="s">
        <v>2272</v>
      </c>
      <c r="AA1576" s="4" t="s">
        <v>2272</v>
      </c>
      <c r="AB1576" s="4" t="s">
        <v>2272</v>
      </c>
      <c r="AC1576" s="4" t="s">
        <v>2272</v>
      </c>
      <c r="AD1576" s="4" t="s">
        <v>4683</v>
      </c>
      <c r="AE1576" s="198"/>
    </row>
    <row r="1577" spans="1:31" ht="36.5" customHeight="1">
      <c r="A1577" s="198" t="s">
        <v>4669</v>
      </c>
      <c r="B1577" s="198" t="s">
        <v>4682</v>
      </c>
      <c r="C1577" s="198" t="s">
        <v>23</v>
      </c>
      <c r="D1577" s="198" t="s">
        <v>26</v>
      </c>
      <c r="E1577" s="198" t="s">
        <v>82</v>
      </c>
      <c r="F1577" s="4" t="s">
        <v>27</v>
      </c>
      <c r="G1577" s="198" t="s">
        <v>2272</v>
      </c>
      <c r="H1577" s="4" t="s">
        <v>522</v>
      </c>
      <c r="I1577" s="198"/>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21">
        <v>0</v>
      </c>
      <c r="Z1577" s="4" t="s">
        <v>2272</v>
      </c>
      <c r="AA1577" s="4" t="s">
        <v>2272</v>
      </c>
      <c r="AB1577" s="4" t="s">
        <v>2272</v>
      </c>
      <c r="AC1577" s="4" t="s">
        <v>2272</v>
      </c>
      <c r="AD1577" s="4" t="s">
        <v>4683</v>
      </c>
      <c r="AE1577" s="198"/>
    </row>
    <row r="1578" spans="1:31" ht="49" customHeight="1">
      <c r="A1578" s="198" t="s">
        <v>4666</v>
      </c>
      <c r="B1578" s="198" t="s">
        <v>4684</v>
      </c>
      <c r="C1578" s="198" t="s">
        <v>23</v>
      </c>
      <c r="D1578" s="198" t="s">
        <v>26</v>
      </c>
      <c r="E1578" s="4" t="s">
        <v>3849</v>
      </c>
      <c r="F1578" s="4" t="s">
        <v>27</v>
      </c>
      <c r="G1578" s="198" t="s">
        <v>2272</v>
      </c>
      <c r="H1578" s="4" t="s">
        <v>522</v>
      </c>
      <c r="I1578" s="198"/>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21">
        <v>0</v>
      </c>
      <c r="Z1578" s="4" t="s">
        <v>2272</v>
      </c>
      <c r="AA1578" s="4" t="s">
        <v>2272</v>
      </c>
      <c r="AB1578" s="4" t="s">
        <v>2272</v>
      </c>
      <c r="AC1578" s="4" t="s">
        <v>2272</v>
      </c>
      <c r="AD1578" s="4" t="s">
        <v>4688</v>
      </c>
      <c r="AE1578" s="198"/>
    </row>
    <row r="1579" spans="1:31" ht="49" customHeight="1">
      <c r="A1579" s="198" t="s">
        <v>4667</v>
      </c>
      <c r="B1579" s="198" t="s">
        <v>4685</v>
      </c>
      <c r="C1579" s="198" t="s">
        <v>23</v>
      </c>
      <c r="D1579" s="198" t="s">
        <v>26</v>
      </c>
      <c r="E1579" s="4" t="s">
        <v>3849</v>
      </c>
      <c r="F1579" s="4" t="s">
        <v>27</v>
      </c>
      <c r="G1579" s="198" t="s">
        <v>2272</v>
      </c>
      <c r="H1579" s="4" t="s">
        <v>522</v>
      </c>
      <c r="I1579" s="198"/>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21">
        <v>0</v>
      </c>
      <c r="Z1579" s="4" t="s">
        <v>2272</v>
      </c>
      <c r="AA1579" s="4" t="s">
        <v>2272</v>
      </c>
      <c r="AB1579" s="4" t="s">
        <v>2272</v>
      </c>
      <c r="AC1579" s="4" t="s">
        <v>2272</v>
      </c>
      <c r="AD1579" s="4" t="s">
        <v>4688</v>
      </c>
      <c r="AE1579" s="198"/>
    </row>
    <row r="1580" spans="1:31" ht="49" customHeight="1">
      <c r="A1580" s="198" t="s">
        <v>4668</v>
      </c>
      <c r="B1580" s="198" t="s">
        <v>4686</v>
      </c>
      <c r="C1580" s="198" t="s">
        <v>23</v>
      </c>
      <c r="D1580" s="198" t="s">
        <v>26</v>
      </c>
      <c r="E1580" s="4" t="s">
        <v>3849</v>
      </c>
      <c r="F1580" s="4" t="s">
        <v>27</v>
      </c>
      <c r="G1580" s="198" t="s">
        <v>2272</v>
      </c>
      <c r="H1580" s="4" t="s">
        <v>522</v>
      </c>
      <c r="I1580" s="198"/>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21">
        <v>0</v>
      </c>
      <c r="Z1580" s="4" t="s">
        <v>2272</v>
      </c>
      <c r="AA1580" s="4" t="s">
        <v>2272</v>
      </c>
      <c r="AB1580" s="4" t="s">
        <v>2272</v>
      </c>
      <c r="AC1580" s="4" t="s">
        <v>2272</v>
      </c>
      <c r="AD1580" s="4" t="s">
        <v>4688</v>
      </c>
      <c r="AE1580" s="198"/>
    </row>
    <row r="1581" spans="1:31" ht="49" customHeight="1">
      <c r="A1581" s="198" t="s">
        <v>4669</v>
      </c>
      <c r="B1581" s="198" t="s">
        <v>4687</v>
      </c>
      <c r="C1581" s="198" t="s">
        <v>23</v>
      </c>
      <c r="D1581" s="198" t="s">
        <v>26</v>
      </c>
      <c r="E1581" s="4" t="s">
        <v>3849</v>
      </c>
      <c r="F1581" s="4" t="s">
        <v>27</v>
      </c>
      <c r="G1581" s="198" t="s">
        <v>2272</v>
      </c>
      <c r="H1581" s="4" t="s">
        <v>522</v>
      </c>
      <c r="I1581" s="198"/>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21">
        <v>0</v>
      </c>
      <c r="Z1581" s="4" t="s">
        <v>2272</v>
      </c>
      <c r="AA1581" s="4" t="s">
        <v>2272</v>
      </c>
      <c r="AB1581" s="4" t="s">
        <v>2272</v>
      </c>
      <c r="AC1581" s="4" t="s">
        <v>2272</v>
      </c>
      <c r="AD1581" s="4" t="s">
        <v>4688</v>
      </c>
      <c r="AE1581" s="198"/>
    </row>
    <row r="1582" spans="1:31" ht="38" customHeight="1">
      <c r="A1582" s="198" t="s">
        <v>4690</v>
      </c>
      <c r="B1582" s="198" t="s">
        <v>4697</v>
      </c>
      <c r="C1582" s="198" t="s">
        <v>23</v>
      </c>
      <c r="D1582" s="198" t="s">
        <v>1241</v>
      </c>
      <c r="E1582" s="198" t="s">
        <v>5000</v>
      </c>
      <c r="F1582" s="4" t="s">
        <v>2657</v>
      </c>
      <c r="G1582" s="198" t="s">
        <v>2272</v>
      </c>
      <c r="H1582" s="4" t="s">
        <v>522</v>
      </c>
      <c r="I1582" s="198"/>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21">
        <v>0</v>
      </c>
      <c r="Z1582" s="4" t="s">
        <v>2272</v>
      </c>
      <c r="AA1582" s="4" t="s">
        <v>2272</v>
      </c>
      <c r="AB1582" s="4" t="s">
        <v>2272</v>
      </c>
      <c r="AC1582" s="4" t="s">
        <v>2272</v>
      </c>
      <c r="AD1582" s="4" t="s">
        <v>4701</v>
      </c>
      <c r="AE1582" s="198"/>
    </row>
    <row r="1583" spans="1:31" ht="38" customHeight="1">
      <c r="A1583" s="198" t="s">
        <v>4691</v>
      </c>
      <c r="B1583" s="198" t="s">
        <v>4698</v>
      </c>
      <c r="C1583" s="198" t="s">
        <v>23</v>
      </c>
      <c r="D1583" s="198" t="s">
        <v>1241</v>
      </c>
      <c r="E1583" s="198" t="s">
        <v>5000</v>
      </c>
      <c r="F1583" s="4" t="s">
        <v>2657</v>
      </c>
      <c r="G1583" s="198" t="s">
        <v>2272</v>
      </c>
      <c r="H1583" s="4" t="s">
        <v>522</v>
      </c>
      <c r="I1583" s="198"/>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21">
        <v>0</v>
      </c>
      <c r="Z1583" s="4" t="s">
        <v>2272</v>
      </c>
      <c r="AA1583" s="4" t="s">
        <v>2272</v>
      </c>
      <c r="AB1583" s="4" t="s">
        <v>2272</v>
      </c>
      <c r="AC1583" s="4" t="s">
        <v>2272</v>
      </c>
      <c r="AD1583" s="4" t="s">
        <v>4701</v>
      </c>
      <c r="AE1583" s="198"/>
    </row>
    <row r="1584" spans="1:31" ht="38" customHeight="1">
      <c r="A1584" s="198" t="s">
        <v>4692</v>
      </c>
      <c r="B1584" s="198" t="s">
        <v>4699</v>
      </c>
      <c r="C1584" s="198" t="s">
        <v>23</v>
      </c>
      <c r="D1584" s="198" t="s">
        <v>1241</v>
      </c>
      <c r="E1584" s="198" t="s">
        <v>5000</v>
      </c>
      <c r="F1584" s="4" t="s">
        <v>2657</v>
      </c>
      <c r="G1584" s="198" t="s">
        <v>2272</v>
      </c>
      <c r="H1584" s="4" t="s">
        <v>522</v>
      </c>
      <c r="I1584" s="198"/>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21">
        <v>0</v>
      </c>
      <c r="Z1584" s="4" t="s">
        <v>2272</v>
      </c>
      <c r="AA1584" s="4" t="s">
        <v>2272</v>
      </c>
      <c r="AB1584" s="4" t="s">
        <v>2272</v>
      </c>
      <c r="AC1584" s="4" t="s">
        <v>2272</v>
      </c>
      <c r="AD1584" s="4" t="s">
        <v>4701</v>
      </c>
      <c r="AE1584" s="198"/>
    </row>
    <row r="1585" spans="1:31" ht="54.5" customHeight="1">
      <c r="A1585" s="198" t="s">
        <v>4690</v>
      </c>
      <c r="B1585" s="198" t="s">
        <v>4702</v>
      </c>
      <c r="C1585" s="198" t="s">
        <v>23</v>
      </c>
      <c r="D1585" s="198" t="s">
        <v>2227</v>
      </c>
      <c r="E1585" s="4" t="s">
        <v>395</v>
      </c>
      <c r="F1585" s="4" t="s">
        <v>2657</v>
      </c>
      <c r="G1585" s="198" t="s">
        <v>2272</v>
      </c>
      <c r="H1585" s="198" t="s">
        <v>521</v>
      </c>
      <c r="I1585" s="198"/>
      <c r="J1585" s="4" t="s">
        <v>2272</v>
      </c>
      <c r="K1585" s="4" t="s">
        <v>2272</v>
      </c>
      <c r="L1585" s="4" t="s">
        <v>2272</v>
      </c>
      <c r="M1585" s="4" t="s">
        <v>2272</v>
      </c>
      <c r="N1585" s="4" t="s">
        <v>2272</v>
      </c>
      <c r="O1585" s="4" t="s">
        <v>2272</v>
      </c>
      <c r="P1585" s="4" t="s">
        <v>2272</v>
      </c>
      <c r="Q1585" s="4" t="s">
        <v>2272</v>
      </c>
      <c r="R1585" s="4" t="s">
        <v>2272</v>
      </c>
      <c r="S1585" s="4" t="s">
        <v>2272</v>
      </c>
      <c r="T1585" s="4" t="s">
        <v>2272</v>
      </c>
      <c r="U1585" s="4" t="s">
        <v>2272</v>
      </c>
      <c r="V1585" s="4" t="s">
        <v>2272</v>
      </c>
      <c r="W1585" s="4" t="s">
        <v>2272</v>
      </c>
      <c r="X1585" s="4" t="s">
        <v>2272</v>
      </c>
      <c r="Y1585" s="4" t="s">
        <v>2272</v>
      </c>
      <c r="Z1585" s="4" t="s">
        <v>2272</v>
      </c>
      <c r="AA1585" s="4" t="s">
        <v>2272</v>
      </c>
      <c r="AB1585" s="4" t="s">
        <v>2272</v>
      </c>
      <c r="AC1585" s="4" t="s">
        <v>2272</v>
      </c>
      <c r="AD1585" s="4" t="s">
        <v>4708</v>
      </c>
      <c r="AE1585" s="198"/>
    </row>
    <row r="1586" spans="1:31" ht="54.5" customHeight="1">
      <c r="A1586" s="198" t="s">
        <v>4691</v>
      </c>
      <c r="B1586" s="198" t="s">
        <v>4703</v>
      </c>
      <c r="C1586" s="198" t="s">
        <v>23</v>
      </c>
      <c r="D1586" s="198" t="s">
        <v>2227</v>
      </c>
      <c r="E1586" s="4" t="s">
        <v>395</v>
      </c>
      <c r="F1586" s="4" t="s">
        <v>2657</v>
      </c>
      <c r="G1586" s="198" t="s">
        <v>2272</v>
      </c>
      <c r="H1586" s="198" t="s">
        <v>521</v>
      </c>
      <c r="I1586" s="198"/>
      <c r="J1586" s="4" t="s">
        <v>2272</v>
      </c>
      <c r="K1586" s="4" t="s">
        <v>2272</v>
      </c>
      <c r="L1586" s="4" t="s">
        <v>2272</v>
      </c>
      <c r="M1586" s="4" t="s">
        <v>2272</v>
      </c>
      <c r="N1586" s="4" t="s">
        <v>2272</v>
      </c>
      <c r="O1586" s="4" t="s">
        <v>2272</v>
      </c>
      <c r="P1586" s="4" t="s">
        <v>2272</v>
      </c>
      <c r="Q1586" s="4" t="s">
        <v>2272</v>
      </c>
      <c r="R1586" s="4" t="s">
        <v>2272</v>
      </c>
      <c r="S1586" s="4" t="s">
        <v>2272</v>
      </c>
      <c r="T1586" s="4" t="s">
        <v>2272</v>
      </c>
      <c r="U1586" s="4" t="s">
        <v>2272</v>
      </c>
      <c r="V1586" s="4" t="s">
        <v>2272</v>
      </c>
      <c r="W1586" s="4" t="s">
        <v>2272</v>
      </c>
      <c r="X1586" s="4" t="s">
        <v>2272</v>
      </c>
      <c r="Y1586" s="4" t="s">
        <v>2272</v>
      </c>
      <c r="Z1586" s="4" t="s">
        <v>2272</v>
      </c>
      <c r="AA1586" s="4" t="s">
        <v>2272</v>
      </c>
      <c r="AB1586" s="4" t="s">
        <v>2272</v>
      </c>
      <c r="AC1586" s="4" t="s">
        <v>2272</v>
      </c>
      <c r="AD1586" s="4" t="s">
        <v>4708</v>
      </c>
      <c r="AE1586" s="198"/>
    </row>
    <row r="1587" spans="1:31" ht="54.5" customHeight="1">
      <c r="A1587" s="198" t="s">
        <v>4692</v>
      </c>
      <c r="B1587" s="198" t="s">
        <v>4704</v>
      </c>
      <c r="C1587" s="198" t="s">
        <v>23</v>
      </c>
      <c r="D1587" s="198" t="s">
        <v>2227</v>
      </c>
      <c r="E1587" s="4" t="s">
        <v>395</v>
      </c>
      <c r="F1587" s="4" t="s">
        <v>2657</v>
      </c>
      <c r="G1587" s="198" t="s">
        <v>2272</v>
      </c>
      <c r="H1587" s="198" t="s">
        <v>521</v>
      </c>
      <c r="I1587" s="198"/>
      <c r="J1587" s="4" t="s">
        <v>2272</v>
      </c>
      <c r="K1587" s="4" t="s">
        <v>2272</v>
      </c>
      <c r="L1587" s="4" t="s">
        <v>2272</v>
      </c>
      <c r="M1587" s="4" t="s">
        <v>2272</v>
      </c>
      <c r="N1587" s="4" t="s">
        <v>2272</v>
      </c>
      <c r="O1587" s="4" t="s">
        <v>2272</v>
      </c>
      <c r="P1587" s="4" t="s">
        <v>2272</v>
      </c>
      <c r="Q1587" s="4" t="s">
        <v>2272</v>
      </c>
      <c r="R1587" s="4" t="s">
        <v>2272</v>
      </c>
      <c r="S1587" s="4" t="s">
        <v>2272</v>
      </c>
      <c r="T1587" s="4" t="s">
        <v>2272</v>
      </c>
      <c r="U1587" s="4" t="s">
        <v>2272</v>
      </c>
      <c r="V1587" s="4" t="s">
        <v>2272</v>
      </c>
      <c r="W1587" s="4" t="s">
        <v>2272</v>
      </c>
      <c r="X1587" s="4" t="s">
        <v>2272</v>
      </c>
      <c r="Y1587" s="4" t="s">
        <v>2272</v>
      </c>
      <c r="Z1587" s="4" t="s">
        <v>2272</v>
      </c>
      <c r="AA1587" s="4" t="s">
        <v>2272</v>
      </c>
      <c r="AB1587" s="4" t="s">
        <v>2272</v>
      </c>
      <c r="AC1587" s="4" t="s">
        <v>2272</v>
      </c>
      <c r="AD1587" s="4" t="s">
        <v>4708</v>
      </c>
      <c r="AE1587" s="198"/>
    </row>
    <row r="1588" spans="1:31" ht="54.5" customHeight="1">
      <c r="A1588" s="198" t="s">
        <v>4690</v>
      </c>
      <c r="B1588" s="198" t="s">
        <v>4705</v>
      </c>
      <c r="C1588" s="198" t="s">
        <v>23</v>
      </c>
      <c r="D1588" s="198" t="s">
        <v>2342</v>
      </c>
      <c r="E1588" s="4" t="s">
        <v>395</v>
      </c>
      <c r="F1588" s="4" t="s">
        <v>28</v>
      </c>
      <c r="G1588" s="198" t="s">
        <v>2272</v>
      </c>
      <c r="H1588" s="198" t="s">
        <v>521</v>
      </c>
      <c r="I1588" s="198"/>
      <c r="J1588" s="4" t="s">
        <v>2272</v>
      </c>
      <c r="K1588" s="4" t="s">
        <v>2272</v>
      </c>
      <c r="L1588" s="4" t="s">
        <v>2272</v>
      </c>
      <c r="M1588" s="4" t="s">
        <v>2272</v>
      </c>
      <c r="N1588" s="4" t="s">
        <v>2272</v>
      </c>
      <c r="O1588" s="4" t="s">
        <v>2272</v>
      </c>
      <c r="P1588" s="4" t="s">
        <v>2272</v>
      </c>
      <c r="Q1588" s="4" t="s">
        <v>2272</v>
      </c>
      <c r="R1588" s="4" t="s">
        <v>2272</v>
      </c>
      <c r="S1588" s="4" t="s">
        <v>2272</v>
      </c>
      <c r="T1588" s="4" t="s">
        <v>2272</v>
      </c>
      <c r="U1588" s="4" t="s">
        <v>2272</v>
      </c>
      <c r="V1588" s="4" t="s">
        <v>2272</v>
      </c>
      <c r="W1588" s="4" t="s">
        <v>2272</v>
      </c>
      <c r="X1588" s="4" t="s">
        <v>2272</v>
      </c>
      <c r="Y1588" s="4" t="s">
        <v>2272</v>
      </c>
      <c r="Z1588" s="4" t="s">
        <v>2272</v>
      </c>
      <c r="AA1588" s="4" t="s">
        <v>2272</v>
      </c>
      <c r="AB1588" s="4" t="s">
        <v>2272</v>
      </c>
      <c r="AC1588" s="4" t="s">
        <v>2272</v>
      </c>
      <c r="AD1588" s="4" t="s">
        <v>4708</v>
      </c>
      <c r="AE1588" s="198"/>
    </row>
    <row r="1589" spans="1:31" ht="54.5" customHeight="1">
      <c r="A1589" s="198" t="s">
        <v>4691</v>
      </c>
      <c r="B1589" s="198" t="s">
        <v>4706</v>
      </c>
      <c r="C1589" s="198" t="s">
        <v>23</v>
      </c>
      <c r="D1589" s="198" t="s">
        <v>2342</v>
      </c>
      <c r="E1589" s="4" t="s">
        <v>395</v>
      </c>
      <c r="F1589" s="4" t="s">
        <v>28</v>
      </c>
      <c r="G1589" s="198" t="s">
        <v>2272</v>
      </c>
      <c r="H1589" s="198" t="s">
        <v>521</v>
      </c>
      <c r="I1589" s="198"/>
      <c r="J1589" s="4" t="s">
        <v>2272</v>
      </c>
      <c r="K1589" s="4" t="s">
        <v>2272</v>
      </c>
      <c r="L1589" s="4" t="s">
        <v>2272</v>
      </c>
      <c r="M1589" s="4" t="s">
        <v>2272</v>
      </c>
      <c r="N1589" s="4" t="s">
        <v>2272</v>
      </c>
      <c r="O1589" s="4" t="s">
        <v>2272</v>
      </c>
      <c r="P1589" s="4" t="s">
        <v>2272</v>
      </c>
      <c r="Q1589" s="4" t="s">
        <v>2272</v>
      </c>
      <c r="R1589" s="4" t="s">
        <v>2272</v>
      </c>
      <c r="S1589" s="4" t="s">
        <v>2272</v>
      </c>
      <c r="T1589" s="4" t="s">
        <v>2272</v>
      </c>
      <c r="U1589" s="4" t="s">
        <v>2272</v>
      </c>
      <c r="V1589" s="4" t="s">
        <v>2272</v>
      </c>
      <c r="W1589" s="4" t="s">
        <v>2272</v>
      </c>
      <c r="X1589" s="4" t="s">
        <v>2272</v>
      </c>
      <c r="Y1589" s="4" t="s">
        <v>2272</v>
      </c>
      <c r="Z1589" s="4" t="s">
        <v>2272</v>
      </c>
      <c r="AA1589" s="4" t="s">
        <v>2272</v>
      </c>
      <c r="AB1589" s="4" t="s">
        <v>2272</v>
      </c>
      <c r="AC1589" s="4" t="s">
        <v>2272</v>
      </c>
      <c r="AD1589" s="4" t="s">
        <v>4708</v>
      </c>
      <c r="AE1589" s="198"/>
    </row>
    <row r="1590" spans="1:31" ht="54.5" customHeight="1">
      <c r="A1590" s="198" t="s">
        <v>4692</v>
      </c>
      <c r="B1590" s="198" t="s">
        <v>4707</v>
      </c>
      <c r="C1590" s="198" t="s">
        <v>23</v>
      </c>
      <c r="D1590" s="198" t="s">
        <v>2342</v>
      </c>
      <c r="E1590" s="4" t="s">
        <v>395</v>
      </c>
      <c r="F1590" s="4" t="s">
        <v>28</v>
      </c>
      <c r="G1590" s="198" t="s">
        <v>2272</v>
      </c>
      <c r="H1590" s="198" t="s">
        <v>521</v>
      </c>
      <c r="I1590" s="198"/>
      <c r="J1590" s="4" t="s">
        <v>2272</v>
      </c>
      <c r="K1590" s="4" t="s">
        <v>2272</v>
      </c>
      <c r="L1590" s="4" t="s">
        <v>2272</v>
      </c>
      <c r="M1590" s="4" t="s">
        <v>2272</v>
      </c>
      <c r="N1590" s="4" t="s">
        <v>2272</v>
      </c>
      <c r="O1590" s="4" t="s">
        <v>2272</v>
      </c>
      <c r="P1590" s="4" t="s">
        <v>2272</v>
      </c>
      <c r="Q1590" s="4" t="s">
        <v>2272</v>
      </c>
      <c r="R1590" s="4" t="s">
        <v>2272</v>
      </c>
      <c r="S1590" s="4" t="s">
        <v>2272</v>
      </c>
      <c r="T1590" s="4" t="s">
        <v>2272</v>
      </c>
      <c r="U1590" s="4" t="s">
        <v>2272</v>
      </c>
      <c r="V1590" s="4" t="s">
        <v>2272</v>
      </c>
      <c r="W1590" s="4" t="s">
        <v>2272</v>
      </c>
      <c r="X1590" s="4" t="s">
        <v>2272</v>
      </c>
      <c r="Y1590" s="4" t="s">
        <v>2272</v>
      </c>
      <c r="Z1590" s="4" t="s">
        <v>2272</v>
      </c>
      <c r="AA1590" s="4" t="s">
        <v>2272</v>
      </c>
      <c r="AB1590" s="4" t="s">
        <v>2272</v>
      </c>
      <c r="AC1590" s="4" t="s">
        <v>2272</v>
      </c>
      <c r="AD1590" s="4" t="s">
        <v>4708</v>
      </c>
      <c r="AE1590" s="198"/>
    </row>
    <row r="1591" spans="1:31" ht="57.5" customHeight="1">
      <c r="A1591" s="198" t="s">
        <v>4711</v>
      </c>
      <c r="B1591" s="198" t="s">
        <v>4719</v>
      </c>
      <c r="C1591" s="198" t="s">
        <v>23</v>
      </c>
      <c r="D1591" s="198" t="s">
        <v>2342</v>
      </c>
      <c r="E1591" s="198" t="s">
        <v>82</v>
      </c>
      <c r="F1591" s="4" t="s">
        <v>28</v>
      </c>
      <c r="G1591" s="198" t="s">
        <v>2272</v>
      </c>
      <c r="H1591" s="198" t="s">
        <v>521</v>
      </c>
      <c r="I1591" s="198"/>
      <c r="J1591" s="4" t="s">
        <v>2272</v>
      </c>
      <c r="K1591" s="4" t="s">
        <v>2272</v>
      </c>
      <c r="L1591" s="4" t="s">
        <v>2272</v>
      </c>
      <c r="M1591" s="4" t="s">
        <v>2272</v>
      </c>
      <c r="N1591" s="4" t="s">
        <v>2272</v>
      </c>
      <c r="O1591" s="4" t="s">
        <v>2272</v>
      </c>
      <c r="P1591" s="4" t="s">
        <v>2272</v>
      </c>
      <c r="Q1591" s="4" t="s">
        <v>2272</v>
      </c>
      <c r="R1591" s="4" t="s">
        <v>2272</v>
      </c>
      <c r="S1591" s="4" t="s">
        <v>2272</v>
      </c>
      <c r="T1591" s="4" t="s">
        <v>2272</v>
      </c>
      <c r="U1591" s="4" t="s">
        <v>2272</v>
      </c>
      <c r="V1591" s="4" t="s">
        <v>2272</v>
      </c>
      <c r="W1591" s="4" t="s">
        <v>2272</v>
      </c>
      <c r="X1591" s="4" t="s">
        <v>2272</v>
      </c>
      <c r="Y1591" s="4" t="s">
        <v>2272</v>
      </c>
      <c r="Z1591" s="4" t="s">
        <v>2272</v>
      </c>
      <c r="AA1591" s="198" t="s">
        <v>402</v>
      </c>
      <c r="AB1591" s="198" t="s">
        <v>67</v>
      </c>
      <c r="AC1591" s="198" t="s">
        <v>63</v>
      </c>
      <c r="AD1591" s="4" t="s">
        <v>4720</v>
      </c>
      <c r="AE1591" s="198"/>
    </row>
    <row r="1592" spans="1:31" ht="57.5" customHeight="1">
      <c r="A1592" s="198" t="s">
        <v>4711</v>
      </c>
      <c r="B1592" s="198" t="s">
        <v>4721</v>
      </c>
      <c r="C1592" s="198" t="s">
        <v>23</v>
      </c>
      <c r="D1592" s="198" t="s">
        <v>1102</v>
      </c>
      <c r="E1592" s="198" t="s">
        <v>2642</v>
      </c>
      <c r="F1592" s="4" t="s">
        <v>27</v>
      </c>
      <c r="G1592" s="198" t="s">
        <v>2272</v>
      </c>
      <c r="H1592" s="198" t="s">
        <v>522</v>
      </c>
      <c r="I1592" s="198"/>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21">
        <v>0</v>
      </c>
      <c r="Z1592" s="4" t="s">
        <v>2272</v>
      </c>
      <c r="AA1592" s="4" t="s">
        <v>2272</v>
      </c>
      <c r="AB1592" s="4" t="s">
        <v>2272</v>
      </c>
      <c r="AC1592" s="4" t="s">
        <v>2272</v>
      </c>
      <c r="AD1592" s="4"/>
      <c r="AE1592" s="198"/>
    </row>
    <row r="1593" spans="1:31" ht="54.5" customHeight="1">
      <c r="A1593" s="198" t="s">
        <v>4711</v>
      </c>
      <c r="B1593" s="198" t="s">
        <v>4722</v>
      </c>
      <c r="C1593" s="198" t="s">
        <v>2651</v>
      </c>
      <c r="D1593" s="198" t="s">
        <v>2272</v>
      </c>
      <c r="E1593" s="198" t="s">
        <v>2272</v>
      </c>
      <c r="F1593" s="4" t="s">
        <v>2272</v>
      </c>
      <c r="G1593" s="4" t="s">
        <v>2657</v>
      </c>
      <c r="H1593" s="198" t="s">
        <v>521</v>
      </c>
      <c r="I1593" s="198"/>
      <c r="J1593" s="4" t="s">
        <v>2272</v>
      </c>
      <c r="K1593" s="4" t="s">
        <v>2272</v>
      </c>
      <c r="L1593" s="4" t="s">
        <v>2272</v>
      </c>
      <c r="M1593" s="4" t="s">
        <v>2272</v>
      </c>
      <c r="N1593" s="4" t="s">
        <v>2272</v>
      </c>
      <c r="O1593" s="4" t="s">
        <v>2272</v>
      </c>
      <c r="P1593" s="4" t="s">
        <v>2272</v>
      </c>
      <c r="Q1593" s="4" t="s">
        <v>2272</v>
      </c>
      <c r="R1593" s="4" t="s">
        <v>2272</v>
      </c>
      <c r="S1593" s="4" t="s">
        <v>2272</v>
      </c>
      <c r="T1593" s="4" t="s">
        <v>2272</v>
      </c>
      <c r="U1593" s="4" t="s">
        <v>2272</v>
      </c>
      <c r="V1593" s="4" t="s">
        <v>2272</v>
      </c>
      <c r="W1593" s="4" t="s">
        <v>2272</v>
      </c>
      <c r="X1593" s="4" t="s">
        <v>2272</v>
      </c>
      <c r="Y1593" s="4" t="s">
        <v>2272</v>
      </c>
      <c r="Z1593" s="4" t="s">
        <v>2272</v>
      </c>
      <c r="AA1593" s="4" t="s">
        <v>2272</v>
      </c>
      <c r="AB1593" s="4" t="s">
        <v>2272</v>
      </c>
      <c r="AC1593" s="4" t="s">
        <v>2272</v>
      </c>
      <c r="AD1593" s="198"/>
      <c r="AE1593" s="198"/>
    </row>
    <row r="1594" spans="1:31" ht="54.5" customHeight="1">
      <c r="A1594" s="198" t="s">
        <v>4711</v>
      </c>
      <c r="B1594" s="198" t="s">
        <v>4723</v>
      </c>
      <c r="C1594" s="198" t="s">
        <v>2651</v>
      </c>
      <c r="D1594" s="198" t="s">
        <v>2272</v>
      </c>
      <c r="E1594" s="198" t="s">
        <v>2272</v>
      </c>
      <c r="F1594" s="4" t="s">
        <v>2272</v>
      </c>
      <c r="G1594" s="198" t="s">
        <v>27</v>
      </c>
      <c r="H1594" s="198" t="s">
        <v>522</v>
      </c>
      <c r="I1594" s="198"/>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21">
        <v>0</v>
      </c>
      <c r="Z1594" s="4" t="s">
        <v>2272</v>
      </c>
      <c r="AA1594" s="4" t="s">
        <v>2272</v>
      </c>
      <c r="AB1594" s="4" t="s">
        <v>2272</v>
      </c>
      <c r="AC1594" s="4" t="s">
        <v>2272</v>
      </c>
      <c r="AD1594" s="4" t="s">
        <v>4724</v>
      </c>
      <c r="AE1594" s="198"/>
    </row>
    <row r="1595" spans="1:31" ht="52.5" customHeight="1">
      <c r="A1595" s="198" t="s">
        <v>4711</v>
      </c>
      <c r="B1595" s="198" t="s">
        <v>4770</v>
      </c>
      <c r="C1595" s="198" t="s">
        <v>23</v>
      </c>
      <c r="D1595" s="198" t="s">
        <v>2799</v>
      </c>
      <c r="E1595" s="198" t="s">
        <v>5000</v>
      </c>
      <c r="F1595" s="4" t="s">
        <v>2657</v>
      </c>
      <c r="G1595" s="198" t="s">
        <v>2272</v>
      </c>
      <c r="H1595" s="198" t="s">
        <v>521</v>
      </c>
      <c r="I1595" s="198"/>
      <c r="J1595" s="4" t="s">
        <v>2272</v>
      </c>
      <c r="K1595" s="4" t="s">
        <v>2272</v>
      </c>
      <c r="L1595" s="4" t="s">
        <v>2272</v>
      </c>
      <c r="M1595" s="4" t="s">
        <v>2272</v>
      </c>
      <c r="N1595" s="4" t="s">
        <v>2272</v>
      </c>
      <c r="O1595" s="4" t="s">
        <v>2272</v>
      </c>
      <c r="P1595" s="4" t="s">
        <v>2272</v>
      </c>
      <c r="Q1595" s="4" t="s">
        <v>2272</v>
      </c>
      <c r="R1595" s="4" t="s">
        <v>2272</v>
      </c>
      <c r="S1595" s="4" t="s">
        <v>2272</v>
      </c>
      <c r="T1595" s="4" t="s">
        <v>2272</v>
      </c>
      <c r="U1595" s="4" t="s">
        <v>2272</v>
      </c>
      <c r="V1595" s="4" t="s">
        <v>2272</v>
      </c>
      <c r="W1595" s="4" t="s">
        <v>2272</v>
      </c>
      <c r="X1595" s="4" t="s">
        <v>2272</v>
      </c>
      <c r="Y1595" s="4" t="s">
        <v>2272</v>
      </c>
      <c r="Z1595" s="4" t="s">
        <v>2272</v>
      </c>
      <c r="AA1595" s="4" t="s">
        <v>2272</v>
      </c>
      <c r="AB1595" s="4" t="s">
        <v>2272</v>
      </c>
      <c r="AC1595" s="4" t="s">
        <v>2272</v>
      </c>
      <c r="AD1595" s="4" t="s">
        <v>4727</v>
      </c>
      <c r="AE1595" s="198"/>
    </row>
    <row r="1596" spans="1:31" ht="54.5" customHeight="1">
      <c r="A1596" s="198" t="s">
        <v>4737</v>
      </c>
      <c r="B1596" s="198" t="s">
        <v>4744</v>
      </c>
      <c r="C1596" s="198" t="s">
        <v>2651</v>
      </c>
      <c r="D1596" s="198" t="s">
        <v>2272</v>
      </c>
      <c r="E1596" s="198" t="s">
        <v>2272</v>
      </c>
      <c r="F1596" s="4" t="s">
        <v>2272</v>
      </c>
      <c r="G1596" s="199" t="s">
        <v>2657</v>
      </c>
      <c r="H1596" s="198" t="s">
        <v>521</v>
      </c>
      <c r="I1596" s="198">
        <v>1937</v>
      </c>
      <c r="J1596" s="4" t="s">
        <v>2272</v>
      </c>
      <c r="K1596" s="4" t="s">
        <v>2272</v>
      </c>
      <c r="L1596" s="4" t="s">
        <v>2272</v>
      </c>
      <c r="M1596" s="4" t="s">
        <v>2272</v>
      </c>
      <c r="N1596" s="4" t="s">
        <v>2272</v>
      </c>
      <c r="O1596" s="4" t="s">
        <v>2272</v>
      </c>
      <c r="P1596" s="4" t="s">
        <v>2272</v>
      </c>
      <c r="Q1596" s="4" t="s">
        <v>2272</v>
      </c>
      <c r="R1596" s="4" t="s">
        <v>2272</v>
      </c>
      <c r="S1596" s="4" t="s">
        <v>2272</v>
      </c>
      <c r="T1596" s="4" t="s">
        <v>2272</v>
      </c>
      <c r="U1596" s="4" t="s">
        <v>2272</v>
      </c>
      <c r="V1596" s="4" t="s">
        <v>2272</v>
      </c>
      <c r="W1596" s="4" t="s">
        <v>2272</v>
      </c>
      <c r="X1596" s="4" t="s">
        <v>2272</v>
      </c>
      <c r="Y1596" s="4" t="s">
        <v>2272</v>
      </c>
      <c r="Z1596" s="4" t="s">
        <v>2272</v>
      </c>
      <c r="AA1596" s="4" t="s">
        <v>2272</v>
      </c>
      <c r="AB1596" s="4" t="s">
        <v>2272</v>
      </c>
      <c r="AC1596" s="4" t="s">
        <v>2272</v>
      </c>
      <c r="AD1596" s="4" t="s">
        <v>4746</v>
      </c>
      <c r="AE1596" s="198"/>
    </row>
    <row r="1597" spans="1:31" ht="55.5" customHeight="1">
      <c r="A1597" s="35" t="s">
        <v>4737</v>
      </c>
      <c r="B1597" s="35" t="s">
        <v>4745</v>
      </c>
      <c r="C1597" s="35" t="s">
        <v>23</v>
      </c>
      <c r="D1597" s="35" t="s">
        <v>142</v>
      </c>
      <c r="E1597" s="198" t="s">
        <v>135</v>
      </c>
      <c r="F1597" s="163" t="s">
        <v>2657</v>
      </c>
      <c r="G1597" s="163" t="s">
        <v>2272</v>
      </c>
      <c r="H1597" s="35" t="s">
        <v>522</v>
      </c>
      <c r="I1597" s="198">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2272</v>
      </c>
      <c r="AA1597" s="4" t="s">
        <v>2272</v>
      </c>
      <c r="AB1597" s="4" t="s">
        <v>2272</v>
      </c>
      <c r="AC1597" s="4" t="s">
        <v>2272</v>
      </c>
      <c r="AD1597" s="35"/>
      <c r="AE1597" s="163"/>
    </row>
    <row r="1598" spans="1:31" ht="43.5" customHeight="1">
      <c r="A1598" s="198" t="s">
        <v>4737</v>
      </c>
      <c r="B1598" s="198" t="s">
        <v>4747</v>
      </c>
      <c r="C1598" s="198" t="s">
        <v>23</v>
      </c>
      <c r="D1598" s="198" t="s">
        <v>2272</v>
      </c>
      <c r="E1598" s="198" t="s">
        <v>1102</v>
      </c>
      <c r="F1598" s="4" t="s">
        <v>2657</v>
      </c>
      <c r="G1598" s="163" t="s">
        <v>2272</v>
      </c>
      <c r="H1598" s="198" t="s">
        <v>521</v>
      </c>
      <c r="I1598" s="198">
        <v>1990</v>
      </c>
      <c r="J1598" s="4" t="s">
        <v>2272</v>
      </c>
      <c r="K1598" s="4" t="s">
        <v>2272</v>
      </c>
      <c r="L1598" s="4" t="s">
        <v>2272</v>
      </c>
      <c r="M1598" s="4" t="s">
        <v>2272</v>
      </c>
      <c r="N1598" s="4" t="s">
        <v>2272</v>
      </c>
      <c r="O1598" s="4" t="s">
        <v>2272</v>
      </c>
      <c r="P1598" s="4" t="s">
        <v>2272</v>
      </c>
      <c r="Q1598" s="4" t="s">
        <v>2272</v>
      </c>
      <c r="R1598" s="4" t="s">
        <v>2272</v>
      </c>
      <c r="S1598" s="4" t="s">
        <v>2272</v>
      </c>
      <c r="T1598" s="4" t="s">
        <v>2272</v>
      </c>
      <c r="U1598" s="4" t="s">
        <v>2272</v>
      </c>
      <c r="V1598" s="4" t="s">
        <v>2272</v>
      </c>
      <c r="W1598" s="4" t="s">
        <v>2272</v>
      </c>
      <c r="X1598" s="4" t="s">
        <v>2272</v>
      </c>
      <c r="Y1598" s="4" t="s">
        <v>2272</v>
      </c>
      <c r="Z1598" s="4" t="s">
        <v>2272</v>
      </c>
      <c r="AA1598" s="198" t="s">
        <v>37</v>
      </c>
      <c r="AB1598" s="198" t="s">
        <v>403</v>
      </c>
      <c r="AC1598" s="198" t="s">
        <v>75</v>
      </c>
      <c r="AD1598" s="4" t="s">
        <v>4757</v>
      </c>
      <c r="AE1598" s="163" t="s">
        <v>4748</v>
      </c>
    </row>
    <row r="1599" spans="1:31" ht="43.5" customHeight="1">
      <c r="A1599" s="198" t="s">
        <v>4742</v>
      </c>
      <c r="B1599" s="198" t="s">
        <v>4749</v>
      </c>
      <c r="C1599" s="198" t="s">
        <v>23</v>
      </c>
      <c r="D1599" s="198" t="s">
        <v>2272</v>
      </c>
      <c r="E1599" s="198" t="s">
        <v>5000</v>
      </c>
      <c r="F1599" s="4" t="s">
        <v>2657</v>
      </c>
      <c r="G1599" s="163" t="s">
        <v>2272</v>
      </c>
      <c r="H1599" s="198" t="s">
        <v>521</v>
      </c>
      <c r="I1599" s="198">
        <v>1990</v>
      </c>
      <c r="J1599" s="4" t="s">
        <v>2272</v>
      </c>
      <c r="K1599" s="4" t="s">
        <v>2272</v>
      </c>
      <c r="L1599" s="4" t="s">
        <v>2272</v>
      </c>
      <c r="M1599" s="4" t="s">
        <v>2272</v>
      </c>
      <c r="N1599" s="4" t="s">
        <v>2272</v>
      </c>
      <c r="O1599" s="4" t="s">
        <v>2272</v>
      </c>
      <c r="P1599" s="4" t="s">
        <v>2272</v>
      </c>
      <c r="Q1599" s="4" t="s">
        <v>2272</v>
      </c>
      <c r="R1599" s="4" t="s">
        <v>2272</v>
      </c>
      <c r="S1599" s="4" t="s">
        <v>2272</v>
      </c>
      <c r="T1599" s="4" t="s">
        <v>2272</v>
      </c>
      <c r="U1599" s="4" t="s">
        <v>2272</v>
      </c>
      <c r="V1599" s="4" t="s">
        <v>2272</v>
      </c>
      <c r="W1599" s="4" t="s">
        <v>2272</v>
      </c>
      <c r="X1599" s="4" t="s">
        <v>2272</v>
      </c>
      <c r="Y1599" s="4" t="s">
        <v>2272</v>
      </c>
      <c r="Z1599" s="4" t="s">
        <v>2272</v>
      </c>
      <c r="AA1599" s="198" t="s">
        <v>37</v>
      </c>
      <c r="AB1599" s="198" t="s">
        <v>403</v>
      </c>
      <c r="AC1599" s="198" t="s">
        <v>75</v>
      </c>
      <c r="AD1599" s="4" t="s">
        <v>4757</v>
      </c>
      <c r="AE1599" s="163" t="s">
        <v>4748</v>
      </c>
    </row>
    <row r="1600" spans="1:31" ht="43.5" customHeight="1">
      <c r="A1600" s="198" t="s">
        <v>4742</v>
      </c>
      <c r="B1600" s="198" t="s">
        <v>4751</v>
      </c>
      <c r="C1600" s="198" t="s">
        <v>23</v>
      </c>
      <c r="D1600" s="198" t="s">
        <v>2272</v>
      </c>
      <c r="E1600" s="198" t="s">
        <v>5000</v>
      </c>
      <c r="F1600" s="4" t="s">
        <v>2657</v>
      </c>
      <c r="G1600" s="163" t="s">
        <v>2272</v>
      </c>
      <c r="H1600" s="198" t="s">
        <v>521</v>
      </c>
      <c r="I1600" s="198">
        <v>1990</v>
      </c>
      <c r="J1600" s="4" t="s">
        <v>2272</v>
      </c>
      <c r="K1600" s="4" t="s">
        <v>2272</v>
      </c>
      <c r="L1600" s="4" t="s">
        <v>2272</v>
      </c>
      <c r="M1600" s="4" t="s">
        <v>2272</v>
      </c>
      <c r="N1600" s="4" t="s">
        <v>2272</v>
      </c>
      <c r="O1600" s="4" t="s">
        <v>2272</v>
      </c>
      <c r="P1600" s="4" t="s">
        <v>2272</v>
      </c>
      <c r="Q1600" s="4" t="s">
        <v>2272</v>
      </c>
      <c r="R1600" s="4" t="s">
        <v>2272</v>
      </c>
      <c r="S1600" s="4" t="s">
        <v>2272</v>
      </c>
      <c r="T1600" s="4" t="s">
        <v>2272</v>
      </c>
      <c r="U1600" s="4" t="s">
        <v>2272</v>
      </c>
      <c r="V1600" s="4" t="s">
        <v>2272</v>
      </c>
      <c r="W1600" s="4" t="s">
        <v>2272</v>
      </c>
      <c r="X1600" s="4" t="s">
        <v>2272</v>
      </c>
      <c r="Y1600" s="4" t="s">
        <v>2272</v>
      </c>
      <c r="Z1600" s="4" t="s">
        <v>2272</v>
      </c>
      <c r="AA1600" s="198" t="s">
        <v>37</v>
      </c>
      <c r="AB1600" s="198" t="s">
        <v>403</v>
      </c>
      <c r="AC1600" s="198" t="s">
        <v>75</v>
      </c>
      <c r="AD1600" s="4" t="s">
        <v>4757</v>
      </c>
      <c r="AE1600" s="163" t="s">
        <v>4748</v>
      </c>
    </row>
    <row r="1601" spans="1:31" ht="43.5" customHeight="1">
      <c r="A1601" s="198" t="s">
        <v>4742</v>
      </c>
      <c r="B1601" s="198" t="s">
        <v>4752</v>
      </c>
      <c r="C1601" s="198" t="s">
        <v>23</v>
      </c>
      <c r="D1601" s="198" t="s">
        <v>2272</v>
      </c>
      <c r="E1601" s="198" t="s">
        <v>44</v>
      </c>
      <c r="F1601" s="4" t="s">
        <v>2657</v>
      </c>
      <c r="G1601" s="163" t="s">
        <v>2272</v>
      </c>
      <c r="H1601" s="198" t="s">
        <v>521</v>
      </c>
      <c r="I1601" s="198">
        <v>1990</v>
      </c>
      <c r="J1601" s="4" t="s">
        <v>2272</v>
      </c>
      <c r="K1601" s="4" t="s">
        <v>2272</v>
      </c>
      <c r="L1601" s="4" t="s">
        <v>2272</v>
      </c>
      <c r="M1601" s="4" t="s">
        <v>2272</v>
      </c>
      <c r="N1601" s="4" t="s">
        <v>2272</v>
      </c>
      <c r="O1601" s="4" t="s">
        <v>2272</v>
      </c>
      <c r="P1601" s="4" t="s">
        <v>2272</v>
      </c>
      <c r="Q1601" s="4" t="s">
        <v>2272</v>
      </c>
      <c r="R1601" s="4" t="s">
        <v>2272</v>
      </c>
      <c r="S1601" s="4" t="s">
        <v>2272</v>
      </c>
      <c r="T1601" s="4" t="s">
        <v>2272</v>
      </c>
      <c r="U1601" s="4" t="s">
        <v>2272</v>
      </c>
      <c r="V1601" s="4" t="s">
        <v>2272</v>
      </c>
      <c r="W1601" s="4" t="s">
        <v>2272</v>
      </c>
      <c r="X1601" s="4" t="s">
        <v>2272</v>
      </c>
      <c r="Y1601" s="4" t="s">
        <v>2272</v>
      </c>
      <c r="Z1601" s="4" t="s">
        <v>2272</v>
      </c>
      <c r="AA1601" s="198" t="s">
        <v>37</v>
      </c>
      <c r="AB1601" s="198" t="s">
        <v>403</v>
      </c>
      <c r="AC1601" s="198" t="s">
        <v>75</v>
      </c>
      <c r="AD1601" s="4" t="s">
        <v>4757</v>
      </c>
      <c r="AE1601" s="163" t="s">
        <v>4748</v>
      </c>
    </row>
    <row r="1602" spans="1:31" ht="43.5" customHeight="1">
      <c r="A1602" s="198" t="s">
        <v>4742</v>
      </c>
      <c r="B1602" s="198" t="s">
        <v>4753</v>
      </c>
      <c r="C1602" s="198" t="s">
        <v>23</v>
      </c>
      <c r="D1602" s="198" t="s">
        <v>2272</v>
      </c>
      <c r="E1602" s="198" t="s">
        <v>128</v>
      </c>
      <c r="F1602" s="4" t="s">
        <v>2657</v>
      </c>
      <c r="G1602" s="163" t="s">
        <v>2272</v>
      </c>
      <c r="H1602" s="198" t="s">
        <v>521</v>
      </c>
      <c r="I1602" s="198">
        <v>1990</v>
      </c>
      <c r="J1602" s="4" t="s">
        <v>2272</v>
      </c>
      <c r="K1602" s="4" t="s">
        <v>2272</v>
      </c>
      <c r="L1602" s="4" t="s">
        <v>2272</v>
      </c>
      <c r="M1602" s="4" t="s">
        <v>2272</v>
      </c>
      <c r="N1602" s="4" t="s">
        <v>2272</v>
      </c>
      <c r="O1602" s="4" t="s">
        <v>2272</v>
      </c>
      <c r="P1602" s="4" t="s">
        <v>2272</v>
      </c>
      <c r="Q1602" s="4" t="s">
        <v>2272</v>
      </c>
      <c r="R1602" s="4" t="s">
        <v>2272</v>
      </c>
      <c r="S1602" s="4" t="s">
        <v>2272</v>
      </c>
      <c r="T1602" s="4" t="s">
        <v>2272</v>
      </c>
      <c r="U1602" s="4" t="s">
        <v>2272</v>
      </c>
      <c r="V1602" s="4" t="s">
        <v>2272</v>
      </c>
      <c r="W1602" s="4" t="s">
        <v>2272</v>
      </c>
      <c r="X1602" s="4" t="s">
        <v>2272</v>
      </c>
      <c r="Y1602" s="4" t="s">
        <v>2272</v>
      </c>
      <c r="Z1602" s="4" t="s">
        <v>2272</v>
      </c>
      <c r="AA1602" s="198" t="s">
        <v>37</v>
      </c>
      <c r="AB1602" s="198" t="s">
        <v>403</v>
      </c>
      <c r="AC1602" s="198" t="s">
        <v>75</v>
      </c>
      <c r="AD1602" s="4" t="s">
        <v>4757</v>
      </c>
      <c r="AE1602" s="163" t="s">
        <v>4748</v>
      </c>
    </row>
    <row r="1603" spans="1:31" ht="43.5" customHeight="1">
      <c r="A1603" s="198" t="s">
        <v>4743</v>
      </c>
      <c r="B1603" s="198" t="s">
        <v>4750</v>
      </c>
      <c r="C1603" s="198" t="s">
        <v>23</v>
      </c>
      <c r="D1603" s="198" t="s">
        <v>24</v>
      </c>
      <c r="E1603" s="198" t="s">
        <v>44</v>
      </c>
      <c r="F1603" s="4" t="s">
        <v>2657</v>
      </c>
      <c r="G1603" s="163" t="s">
        <v>2272</v>
      </c>
      <c r="H1603" s="198" t="s">
        <v>522</v>
      </c>
      <c r="I1603" s="198">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2272</v>
      </c>
      <c r="AA1603" s="4" t="s">
        <v>2272</v>
      </c>
      <c r="AB1603" s="4" t="s">
        <v>2272</v>
      </c>
      <c r="AC1603" s="4" t="s">
        <v>2272</v>
      </c>
      <c r="AD1603" s="198"/>
      <c r="AE1603" s="198"/>
    </row>
    <row r="1604" spans="1:31" ht="43.5" customHeight="1">
      <c r="A1604" s="198" t="s">
        <v>4743</v>
      </c>
      <c r="B1604" s="198" t="s">
        <v>4754</v>
      </c>
      <c r="C1604" s="198" t="s">
        <v>23</v>
      </c>
      <c r="D1604" s="198" t="s">
        <v>24</v>
      </c>
      <c r="E1604" s="198" t="s">
        <v>44</v>
      </c>
      <c r="F1604" s="4" t="s">
        <v>2657</v>
      </c>
      <c r="G1604" s="163" t="s">
        <v>2272</v>
      </c>
      <c r="H1604" s="198" t="s">
        <v>521</v>
      </c>
      <c r="I1604" s="198">
        <v>1990</v>
      </c>
      <c r="J1604" s="4" t="s">
        <v>2272</v>
      </c>
      <c r="K1604" s="4" t="s">
        <v>2272</v>
      </c>
      <c r="L1604" s="4" t="s">
        <v>2272</v>
      </c>
      <c r="M1604" s="4" t="s">
        <v>2272</v>
      </c>
      <c r="N1604" s="4" t="s">
        <v>2272</v>
      </c>
      <c r="O1604" s="4" t="s">
        <v>2272</v>
      </c>
      <c r="P1604" s="4" t="s">
        <v>2272</v>
      </c>
      <c r="Q1604" s="4" t="s">
        <v>2272</v>
      </c>
      <c r="R1604" s="4" t="s">
        <v>2272</v>
      </c>
      <c r="S1604" s="4" t="s">
        <v>2272</v>
      </c>
      <c r="T1604" s="4" t="s">
        <v>2272</v>
      </c>
      <c r="U1604" s="4" t="s">
        <v>2272</v>
      </c>
      <c r="V1604" s="4" t="s">
        <v>2272</v>
      </c>
      <c r="W1604" s="4" t="s">
        <v>2272</v>
      </c>
      <c r="X1604" s="4" t="s">
        <v>2272</v>
      </c>
      <c r="Y1604" s="4" t="s">
        <v>2272</v>
      </c>
      <c r="Z1604" s="4" t="s">
        <v>2272</v>
      </c>
      <c r="AA1604" s="198" t="s">
        <v>37</v>
      </c>
      <c r="AB1604" s="198" t="s">
        <v>403</v>
      </c>
      <c r="AC1604" s="198" t="s">
        <v>2272</v>
      </c>
      <c r="AD1604" s="198"/>
      <c r="AE1604" s="163" t="s">
        <v>4748</v>
      </c>
    </row>
    <row r="1605" spans="1:31" ht="43.5" customHeight="1">
      <c r="A1605" s="198" t="s">
        <v>4743</v>
      </c>
      <c r="B1605" s="198" t="s">
        <v>4755</v>
      </c>
      <c r="C1605" s="198" t="s">
        <v>23</v>
      </c>
      <c r="D1605" s="198" t="s">
        <v>24</v>
      </c>
      <c r="E1605" s="198" t="s">
        <v>2642</v>
      </c>
      <c r="F1605" s="4" t="s">
        <v>2657</v>
      </c>
      <c r="G1605" s="163" t="s">
        <v>2272</v>
      </c>
      <c r="H1605" s="198" t="s">
        <v>522</v>
      </c>
      <c r="I1605" s="198">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2272</v>
      </c>
      <c r="AA1605" s="4" t="s">
        <v>2272</v>
      </c>
      <c r="AB1605" s="4" t="s">
        <v>2272</v>
      </c>
      <c r="AC1605" s="4" t="s">
        <v>2272</v>
      </c>
      <c r="AD1605" s="198"/>
      <c r="AE1605" s="198"/>
    </row>
    <row r="1606" spans="1:31" ht="39" customHeight="1">
      <c r="A1606" s="198" t="s">
        <v>4743</v>
      </c>
      <c r="B1606" s="198" t="s">
        <v>4756</v>
      </c>
      <c r="C1606" s="198" t="s">
        <v>23</v>
      </c>
      <c r="D1606" s="198" t="s">
        <v>24</v>
      </c>
      <c r="E1606" s="198" t="s">
        <v>2642</v>
      </c>
      <c r="F1606" s="4" t="s">
        <v>2657</v>
      </c>
      <c r="G1606" s="4" t="s">
        <v>2272</v>
      </c>
      <c r="H1606" s="198" t="s">
        <v>521</v>
      </c>
      <c r="I1606" s="198">
        <v>1990</v>
      </c>
      <c r="J1606" s="4" t="s">
        <v>2272</v>
      </c>
      <c r="K1606" s="4" t="s">
        <v>2272</v>
      </c>
      <c r="L1606" s="4" t="s">
        <v>2272</v>
      </c>
      <c r="M1606" s="4" t="s">
        <v>2272</v>
      </c>
      <c r="N1606" s="4" t="s">
        <v>2272</v>
      </c>
      <c r="O1606" s="4" t="s">
        <v>2272</v>
      </c>
      <c r="P1606" s="4" t="s">
        <v>2272</v>
      </c>
      <c r="Q1606" s="4" t="s">
        <v>2272</v>
      </c>
      <c r="R1606" s="4" t="s">
        <v>2272</v>
      </c>
      <c r="S1606" s="4" t="s">
        <v>2272</v>
      </c>
      <c r="T1606" s="4" t="s">
        <v>2272</v>
      </c>
      <c r="U1606" s="4" t="s">
        <v>2272</v>
      </c>
      <c r="V1606" s="4" t="s">
        <v>2272</v>
      </c>
      <c r="W1606" s="4" t="s">
        <v>2272</v>
      </c>
      <c r="X1606" s="4" t="s">
        <v>2272</v>
      </c>
      <c r="Y1606" s="4" t="s">
        <v>2272</v>
      </c>
      <c r="Z1606" s="4" t="s">
        <v>2272</v>
      </c>
      <c r="AA1606" s="198" t="s">
        <v>37</v>
      </c>
      <c r="AB1606" s="198" t="s">
        <v>403</v>
      </c>
      <c r="AC1606" s="198" t="s">
        <v>2272</v>
      </c>
      <c r="AD1606" s="198"/>
      <c r="AE1606" s="4" t="s">
        <v>4748</v>
      </c>
    </row>
    <row r="1607" spans="1:31" ht="40" customHeight="1">
      <c r="A1607" s="198" t="s">
        <v>4768</v>
      </c>
      <c r="B1607" s="198" t="s">
        <v>4769</v>
      </c>
      <c r="C1607" s="198" t="s">
        <v>1102</v>
      </c>
      <c r="D1607" s="198" t="s">
        <v>1102</v>
      </c>
      <c r="E1607" s="198" t="s">
        <v>1102</v>
      </c>
      <c r="F1607" s="4" t="s">
        <v>2272</v>
      </c>
      <c r="G1607" s="4" t="s">
        <v>2657</v>
      </c>
      <c r="H1607" s="198" t="s">
        <v>521</v>
      </c>
      <c r="I1607" s="198"/>
      <c r="J1607" s="4" t="s">
        <v>2272</v>
      </c>
      <c r="K1607" s="4" t="s">
        <v>2272</v>
      </c>
      <c r="L1607" s="4" t="s">
        <v>2272</v>
      </c>
      <c r="M1607" s="4" t="s">
        <v>2272</v>
      </c>
      <c r="N1607" s="4" t="s">
        <v>2272</v>
      </c>
      <c r="O1607" s="4" t="s">
        <v>2272</v>
      </c>
      <c r="P1607" s="4" t="s">
        <v>2272</v>
      </c>
      <c r="Q1607" s="4" t="s">
        <v>2272</v>
      </c>
      <c r="R1607" s="4" t="s">
        <v>2272</v>
      </c>
      <c r="S1607" s="4" t="s">
        <v>2272</v>
      </c>
      <c r="T1607" s="4" t="s">
        <v>2272</v>
      </c>
      <c r="U1607" s="4" t="s">
        <v>2272</v>
      </c>
      <c r="V1607" s="4" t="s">
        <v>2272</v>
      </c>
      <c r="W1607" s="4" t="s">
        <v>2272</v>
      </c>
      <c r="X1607" s="4" t="s">
        <v>2272</v>
      </c>
      <c r="Y1607" s="4" t="s">
        <v>2272</v>
      </c>
      <c r="Z1607" s="4" t="s">
        <v>2272</v>
      </c>
      <c r="AA1607" s="4" t="s">
        <v>2272</v>
      </c>
      <c r="AB1607" s="4" t="s">
        <v>2272</v>
      </c>
      <c r="AC1607" s="4" t="s">
        <v>2272</v>
      </c>
      <c r="AD1607" s="198"/>
      <c r="AE1607" s="198"/>
    </row>
    <row r="1608" spans="1:31" ht="67.5" customHeight="1">
      <c r="A1608" s="198" t="s">
        <v>4772</v>
      </c>
      <c r="B1608" s="198" t="s">
        <v>4778</v>
      </c>
      <c r="C1608" s="198" t="s">
        <v>23</v>
      </c>
      <c r="D1608" s="198" t="s">
        <v>2799</v>
      </c>
      <c r="E1608" s="198" t="s">
        <v>5000</v>
      </c>
      <c r="F1608" s="4" t="s">
        <v>2657</v>
      </c>
      <c r="G1608" s="4" t="s">
        <v>2657</v>
      </c>
      <c r="H1608" s="198" t="s">
        <v>522</v>
      </c>
      <c r="I1608" s="198"/>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2272</v>
      </c>
      <c r="AA1608" s="4" t="s">
        <v>2272</v>
      </c>
      <c r="AB1608" s="4" t="s">
        <v>2272</v>
      </c>
      <c r="AC1608" s="4" t="s">
        <v>2272</v>
      </c>
      <c r="AD1608" s="4" t="s">
        <v>4784</v>
      </c>
      <c r="AE1608" s="198"/>
    </row>
    <row r="1609" spans="1:31" ht="44.5" customHeight="1">
      <c r="A1609" s="198" t="s">
        <v>4776</v>
      </c>
      <c r="B1609" s="198" t="s">
        <v>4779</v>
      </c>
      <c r="C1609" s="198" t="s">
        <v>23</v>
      </c>
      <c r="D1609" s="198" t="s">
        <v>2799</v>
      </c>
      <c r="E1609" s="198" t="s">
        <v>5000</v>
      </c>
      <c r="F1609" s="4" t="s">
        <v>2657</v>
      </c>
      <c r="G1609" s="4" t="s">
        <v>2657</v>
      </c>
      <c r="H1609" s="198" t="s">
        <v>521</v>
      </c>
      <c r="I1609" s="198"/>
      <c r="J1609" s="4" t="s">
        <v>2272</v>
      </c>
      <c r="K1609" s="4" t="s">
        <v>2272</v>
      </c>
      <c r="L1609" s="4" t="s">
        <v>2272</v>
      </c>
      <c r="M1609" s="4" t="s">
        <v>2272</v>
      </c>
      <c r="N1609" s="4" t="s">
        <v>2272</v>
      </c>
      <c r="O1609" s="4" t="s">
        <v>2272</v>
      </c>
      <c r="P1609" s="4" t="s">
        <v>2272</v>
      </c>
      <c r="Q1609" s="4" t="s">
        <v>2272</v>
      </c>
      <c r="R1609" s="4" t="s">
        <v>2272</v>
      </c>
      <c r="S1609" s="4" t="s">
        <v>2272</v>
      </c>
      <c r="T1609" s="4" t="s">
        <v>2272</v>
      </c>
      <c r="U1609" s="4" t="s">
        <v>2272</v>
      </c>
      <c r="V1609" s="4" t="s">
        <v>2272</v>
      </c>
      <c r="W1609" s="4" t="s">
        <v>2272</v>
      </c>
      <c r="X1609" s="4" t="s">
        <v>2272</v>
      </c>
      <c r="Y1609" s="4" t="s">
        <v>2272</v>
      </c>
      <c r="Z1609" s="4" t="s">
        <v>2272</v>
      </c>
      <c r="AA1609" s="4" t="s">
        <v>2272</v>
      </c>
      <c r="AB1609" s="4" t="s">
        <v>2272</v>
      </c>
      <c r="AC1609" s="4" t="s">
        <v>2272</v>
      </c>
      <c r="AD1609" s="198"/>
      <c r="AE1609" s="198"/>
    </row>
    <row r="1610" spans="1:31" ht="32.5" customHeight="1">
      <c r="A1610" s="198" t="s">
        <v>4786</v>
      </c>
      <c r="B1610" s="198" t="s">
        <v>4789</v>
      </c>
      <c r="C1610" s="198" t="s">
        <v>23</v>
      </c>
      <c r="D1610" s="198" t="s">
        <v>2799</v>
      </c>
      <c r="E1610" s="198" t="s">
        <v>5000</v>
      </c>
      <c r="F1610" s="4" t="s">
        <v>2657</v>
      </c>
      <c r="G1610" s="4" t="s">
        <v>2272</v>
      </c>
      <c r="H1610" s="198" t="s">
        <v>521</v>
      </c>
      <c r="I1610" s="198"/>
      <c r="J1610" s="4" t="s">
        <v>2272</v>
      </c>
      <c r="K1610" s="4" t="s">
        <v>2272</v>
      </c>
      <c r="L1610" s="4" t="s">
        <v>2272</v>
      </c>
      <c r="M1610" s="4" t="s">
        <v>2272</v>
      </c>
      <c r="N1610" s="4" t="s">
        <v>2272</v>
      </c>
      <c r="O1610" s="4" t="s">
        <v>2272</v>
      </c>
      <c r="P1610" s="4" t="s">
        <v>2272</v>
      </c>
      <c r="Q1610" s="4" t="s">
        <v>2272</v>
      </c>
      <c r="R1610" s="4" t="s">
        <v>2272</v>
      </c>
      <c r="S1610" s="4" t="s">
        <v>2272</v>
      </c>
      <c r="T1610" s="4" t="s">
        <v>2272</v>
      </c>
      <c r="U1610" s="4" t="s">
        <v>2272</v>
      </c>
      <c r="V1610" s="4" t="s">
        <v>2272</v>
      </c>
      <c r="W1610" s="4" t="s">
        <v>2272</v>
      </c>
      <c r="X1610" s="4" t="s">
        <v>2272</v>
      </c>
      <c r="Y1610" s="4" t="s">
        <v>2272</v>
      </c>
      <c r="Z1610" s="4" t="s">
        <v>2272</v>
      </c>
      <c r="AA1610" s="4" t="s">
        <v>2272</v>
      </c>
      <c r="AB1610" s="4" t="s">
        <v>2272</v>
      </c>
      <c r="AC1610" s="4" t="s">
        <v>2272</v>
      </c>
      <c r="AD1610" s="198"/>
      <c r="AE1610" s="198"/>
    </row>
    <row r="1611" spans="1:31" ht="32.5" customHeight="1">
      <c r="A1611" s="198" t="s">
        <v>4788</v>
      </c>
      <c r="B1611" s="198" t="s">
        <v>4790</v>
      </c>
      <c r="C1611" s="198" t="s">
        <v>23</v>
      </c>
      <c r="D1611" s="198" t="s">
        <v>1102</v>
      </c>
      <c r="E1611" s="198" t="s">
        <v>128</v>
      </c>
      <c r="F1611" s="4" t="s">
        <v>2272</v>
      </c>
      <c r="G1611" s="4" t="s">
        <v>2272</v>
      </c>
      <c r="H1611" s="198" t="s">
        <v>521</v>
      </c>
      <c r="I1611" s="198"/>
      <c r="J1611" s="4" t="s">
        <v>2272</v>
      </c>
      <c r="K1611" s="4" t="s">
        <v>2272</v>
      </c>
      <c r="L1611" s="4" t="s">
        <v>2272</v>
      </c>
      <c r="M1611" s="4" t="s">
        <v>2272</v>
      </c>
      <c r="N1611" s="4" t="s">
        <v>2272</v>
      </c>
      <c r="O1611" s="4" t="s">
        <v>2272</v>
      </c>
      <c r="P1611" s="4" t="s">
        <v>2272</v>
      </c>
      <c r="Q1611" s="4" t="s">
        <v>2272</v>
      </c>
      <c r="R1611" s="4" t="s">
        <v>2272</v>
      </c>
      <c r="S1611" s="4" t="s">
        <v>2272</v>
      </c>
      <c r="T1611" s="4" t="s">
        <v>2272</v>
      </c>
      <c r="U1611" s="4" t="s">
        <v>2272</v>
      </c>
      <c r="V1611" s="4" t="s">
        <v>2272</v>
      </c>
      <c r="W1611" s="4" t="s">
        <v>2272</v>
      </c>
      <c r="X1611" s="4" t="s">
        <v>2272</v>
      </c>
      <c r="Y1611" s="4" t="s">
        <v>2272</v>
      </c>
      <c r="Z1611" s="4" t="s">
        <v>2272</v>
      </c>
      <c r="AA1611" s="4" t="s">
        <v>2272</v>
      </c>
      <c r="AB1611" s="4" t="s">
        <v>2272</v>
      </c>
      <c r="AC1611" s="4" t="s">
        <v>2272</v>
      </c>
      <c r="AD1611" s="198"/>
      <c r="AE1611" s="198"/>
    </row>
    <row r="1612" spans="1:31" ht="54.5" customHeight="1">
      <c r="A1612" s="198" t="s">
        <v>4788</v>
      </c>
      <c r="B1612" s="198" t="s">
        <v>4791</v>
      </c>
      <c r="C1612" s="198" t="s">
        <v>23</v>
      </c>
      <c r="D1612" s="198" t="s">
        <v>2799</v>
      </c>
      <c r="E1612" s="198" t="s">
        <v>5000</v>
      </c>
      <c r="F1612" s="4" t="s">
        <v>73</v>
      </c>
      <c r="G1612" s="4" t="s">
        <v>2272</v>
      </c>
      <c r="H1612" s="198" t="s">
        <v>522</v>
      </c>
      <c r="I1612" s="198"/>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2272</v>
      </c>
      <c r="AA1612" s="4" t="s">
        <v>2272</v>
      </c>
      <c r="AB1612" s="4" t="s">
        <v>2272</v>
      </c>
      <c r="AC1612" s="4" t="s">
        <v>2272</v>
      </c>
      <c r="AD1612" s="4" t="s">
        <v>4780</v>
      </c>
      <c r="AE1612" s="198"/>
    </row>
    <row r="1613" spans="1:31" ht="46.5" customHeight="1">
      <c r="A1613" s="198" t="s">
        <v>4794</v>
      </c>
      <c r="B1613" s="198" t="s">
        <v>4808</v>
      </c>
      <c r="C1613" s="198" t="s">
        <v>23</v>
      </c>
      <c r="D1613" s="198" t="s">
        <v>2799</v>
      </c>
      <c r="E1613" s="198" t="s">
        <v>5000</v>
      </c>
      <c r="F1613" s="4" t="s">
        <v>73</v>
      </c>
      <c r="G1613" s="4" t="s">
        <v>2272</v>
      </c>
      <c r="H1613" s="198" t="s">
        <v>522</v>
      </c>
      <c r="I1613" s="198"/>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2272</v>
      </c>
      <c r="AA1613" s="4" t="s">
        <v>2272</v>
      </c>
      <c r="AB1613" s="4" t="s">
        <v>2272</v>
      </c>
      <c r="AC1613" s="4" t="s">
        <v>2272</v>
      </c>
      <c r="AD1613" s="4" t="s">
        <v>4818</v>
      </c>
      <c r="AE1613" s="198"/>
    </row>
    <row r="1614" spans="1:31" ht="46.5" customHeight="1">
      <c r="A1614" s="198" t="s">
        <v>4797</v>
      </c>
      <c r="B1614" s="198" t="s">
        <v>4809</v>
      </c>
      <c r="C1614" s="198" t="s">
        <v>23</v>
      </c>
      <c r="D1614" s="198" t="s">
        <v>2799</v>
      </c>
      <c r="E1614" s="198" t="s">
        <v>5000</v>
      </c>
      <c r="F1614" s="4" t="s">
        <v>73</v>
      </c>
      <c r="G1614" s="4" t="s">
        <v>2272</v>
      </c>
      <c r="H1614" s="198" t="s">
        <v>522</v>
      </c>
      <c r="I1614" s="198"/>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2272</v>
      </c>
      <c r="AA1614" s="4" t="s">
        <v>2272</v>
      </c>
      <c r="AB1614" s="4" t="s">
        <v>2272</v>
      </c>
      <c r="AC1614" s="4" t="s">
        <v>2272</v>
      </c>
      <c r="AD1614" s="4" t="s">
        <v>4818</v>
      </c>
      <c r="AE1614" s="198"/>
    </row>
    <row r="1615" spans="1:31" ht="46.5" customHeight="1">
      <c r="A1615" s="198" t="s">
        <v>4798</v>
      </c>
      <c r="B1615" s="198" t="s">
        <v>4810</v>
      </c>
      <c r="C1615" s="198" t="s">
        <v>23</v>
      </c>
      <c r="D1615" s="198" t="s">
        <v>2799</v>
      </c>
      <c r="E1615" s="198" t="s">
        <v>5000</v>
      </c>
      <c r="F1615" s="4" t="s">
        <v>73</v>
      </c>
      <c r="G1615" s="4" t="s">
        <v>2272</v>
      </c>
      <c r="H1615" s="198" t="s">
        <v>522</v>
      </c>
      <c r="I1615" s="198"/>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2272</v>
      </c>
      <c r="AA1615" s="4" t="s">
        <v>2272</v>
      </c>
      <c r="AB1615" s="4" t="s">
        <v>2272</v>
      </c>
      <c r="AC1615" s="4" t="s">
        <v>2272</v>
      </c>
      <c r="AD1615" s="4" t="s">
        <v>4818</v>
      </c>
      <c r="AE1615" s="198"/>
    </row>
    <row r="1616" spans="1:31" ht="46.5" customHeight="1">
      <c r="A1616" s="198" t="s">
        <v>4799</v>
      </c>
      <c r="B1616" s="198" t="s">
        <v>4811</v>
      </c>
      <c r="C1616" s="198" t="s">
        <v>23</v>
      </c>
      <c r="D1616" s="198" t="s">
        <v>2799</v>
      </c>
      <c r="E1616" s="198" t="s">
        <v>5000</v>
      </c>
      <c r="F1616" s="4" t="s">
        <v>73</v>
      </c>
      <c r="G1616" s="4" t="s">
        <v>2272</v>
      </c>
      <c r="H1616" s="198" t="s">
        <v>522</v>
      </c>
      <c r="I1616" s="198"/>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2272</v>
      </c>
      <c r="AA1616" s="4" t="s">
        <v>2272</v>
      </c>
      <c r="AB1616" s="4" t="s">
        <v>2272</v>
      </c>
      <c r="AC1616" s="4" t="s">
        <v>2272</v>
      </c>
      <c r="AD1616" s="4" t="s">
        <v>4818</v>
      </c>
      <c r="AE1616" s="198"/>
    </row>
    <row r="1617" spans="1:31" ht="46.5" customHeight="1">
      <c r="A1617" s="198" t="s">
        <v>4800</v>
      </c>
      <c r="B1617" s="198" t="s">
        <v>4812</v>
      </c>
      <c r="C1617" s="198" t="s">
        <v>23</v>
      </c>
      <c r="D1617" s="198" t="s">
        <v>2799</v>
      </c>
      <c r="E1617" s="198" t="s">
        <v>5000</v>
      </c>
      <c r="F1617" s="4" t="s">
        <v>73</v>
      </c>
      <c r="G1617" s="4" t="s">
        <v>2272</v>
      </c>
      <c r="H1617" s="198" t="s">
        <v>522</v>
      </c>
      <c r="I1617" s="198"/>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2272</v>
      </c>
      <c r="AA1617" s="4" t="s">
        <v>2272</v>
      </c>
      <c r="AB1617" s="4" t="s">
        <v>2272</v>
      </c>
      <c r="AC1617" s="4" t="s">
        <v>2272</v>
      </c>
      <c r="AD1617" s="4" t="s">
        <v>4818</v>
      </c>
      <c r="AE1617" s="198"/>
    </row>
    <row r="1618" spans="1:31" ht="46.5" customHeight="1">
      <c r="A1618" s="198" t="s">
        <v>4794</v>
      </c>
      <c r="B1618" s="198" t="s">
        <v>4813</v>
      </c>
      <c r="C1618" s="198" t="s">
        <v>23</v>
      </c>
      <c r="D1618" s="198" t="s">
        <v>2227</v>
      </c>
      <c r="E1618" s="198" t="s">
        <v>5000</v>
      </c>
      <c r="F1618" s="4" t="s">
        <v>73</v>
      </c>
      <c r="G1618" s="4" t="s">
        <v>2272</v>
      </c>
      <c r="H1618" s="198" t="s">
        <v>522</v>
      </c>
      <c r="I1618" s="198"/>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2272</v>
      </c>
      <c r="AA1618" s="4" t="s">
        <v>2272</v>
      </c>
      <c r="AB1618" s="4" t="s">
        <v>2272</v>
      </c>
      <c r="AC1618" s="4" t="s">
        <v>2272</v>
      </c>
      <c r="AD1618" s="4" t="s">
        <v>4818</v>
      </c>
      <c r="AE1618" s="198"/>
    </row>
    <row r="1619" spans="1:31" ht="46.5" customHeight="1">
      <c r="A1619" s="198" t="s">
        <v>4797</v>
      </c>
      <c r="B1619" s="198" t="s">
        <v>4814</v>
      </c>
      <c r="C1619" s="198" t="s">
        <v>23</v>
      </c>
      <c r="D1619" s="198" t="s">
        <v>2227</v>
      </c>
      <c r="E1619" s="198" t="s">
        <v>5000</v>
      </c>
      <c r="F1619" s="4" t="s">
        <v>73</v>
      </c>
      <c r="G1619" s="4" t="s">
        <v>2272</v>
      </c>
      <c r="H1619" s="198" t="s">
        <v>522</v>
      </c>
      <c r="I1619" s="198"/>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2272</v>
      </c>
      <c r="AA1619" s="4" t="s">
        <v>2272</v>
      </c>
      <c r="AB1619" s="4" t="s">
        <v>2272</v>
      </c>
      <c r="AC1619" s="4" t="s">
        <v>2272</v>
      </c>
      <c r="AD1619" s="4" t="s">
        <v>4818</v>
      </c>
      <c r="AE1619" s="198"/>
    </row>
    <row r="1620" spans="1:31" ht="46.5" customHeight="1">
      <c r="A1620" s="198" t="s">
        <v>4798</v>
      </c>
      <c r="B1620" s="198" t="s">
        <v>4815</v>
      </c>
      <c r="C1620" s="198" t="s">
        <v>23</v>
      </c>
      <c r="D1620" s="198" t="s">
        <v>2227</v>
      </c>
      <c r="E1620" s="198" t="s">
        <v>5000</v>
      </c>
      <c r="F1620" s="4" t="s">
        <v>73</v>
      </c>
      <c r="G1620" s="4" t="s">
        <v>2272</v>
      </c>
      <c r="H1620" s="198" t="s">
        <v>522</v>
      </c>
      <c r="I1620" s="198"/>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2272</v>
      </c>
      <c r="AA1620" s="4" t="s">
        <v>2272</v>
      </c>
      <c r="AB1620" s="4" t="s">
        <v>2272</v>
      </c>
      <c r="AC1620" s="4" t="s">
        <v>2272</v>
      </c>
      <c r="AD1620" s="4" t="s">
        <v>4818</v>
      </c>
      <c r="AE1620" s="198"/>
    </row>
    <row r="1621" spans="1:31" ht="46.5" customHeight="1">
      <c r="A1621" s="198" t="s">
        <v>4799</v>
      </c>
      <c r="B1621" s="198" t="s">
        <v>4816</v>
      </c>
      <c r="C1621" s="198" t="s">
        <v>23</v>
      </c>
      <c r="D1621" s="198" t="s">
        <v>2227</v>
      </c>
      <c r="E1621" s="198" t="s">
        <v>5000</v>
      </c>
      <c r="F1621" s="4" t="s">
        <v>73</v>
      </c>
      <c r="G1621" s="4" t="s">
        <v>2272</v>
      </c>
      <c r="H1621" s="198" t="s">
        <v>522</v>
      </c>
      <c r="I1621" s="198"/>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2272</v>
      </c>
      <c r="AA1621" s="4" t="s">
        <v>2272</v>
      </c>
      <c r="AB1621" s="4" t="s">
        <v>2272</v>
      </c>
      <c r="AC1621" s="4" t="s">
        <v>2272</v>
      </c>
      <c r="AD1621" s="4" t="s">
        <v>4818</v>
      </c>
      <c r="AE1621" s="198"/>
    </row>
    <row r="1622" spans="1:31" ht="46.5" customHeight="1">
      <c r="A1622" s="198" t="s">
        <v>4800</v>
      </c>
      <c r="B1622" s="198" t="s">
        <v>4817</v>
      </c>
      <c r="C1622" s="198" t="s">
        <v>23</v>
      </c>
      <c r="D1622" s="198" t="s">
        <v>2227</v>
      </c>
      <c r="E1622" s="198" t="s">
        <v>5000</v>
      </c>
      <c r="F1622" s="4" t="s">
        <v>73</v>
      </c>
      <c r="G1622" s="4" t="s">
        <v>2272</v>
      </c>
      <c r="H1622" s="198" t="s">
        <v>522</v>
      </c>
      <c r="I1622" s="198"/>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2272</v>
      </c>
      <c r="AA1622" s="4" t="s">
        <v>2272</v>
      </c>
      <c r="AB1622" s="4" t="s">
        <v>2272</v>
      </c>
      <c r="AC1622" s="4" t="s">
        <v>2272</v>
      </c>
      <c r="AD1622" s="4" t="s">
        <v>4818</v>
      </c>
      <c r="AE1622" s="198"/>
    </row>
    <row r="1623" spans="1:31" ht="38.5" customHeight="1">
      <c r="A1623" s="198" t="s">
        <v>4797</v>
      </c>
      <c r="B1623" s="198" t="s">
        <v>4819</v>
      </c>
      <c r="C1623" s="198" t="s">
        <v>30</v>
      </c>
      <c r="D1623" s="198" t="s">
        <v>29</v>
      </c>
      <c r="E1623" s="198" t="s">
        <v>2272</v>
      </c>
      <c r="F1623" s="4" t="s">
        <v>73</v>
      </c>
      <c r="G1623" s="4" t="s">
        <v>2272</v>
      </c>
      <c r="H1623" s="198" t="s">
        <v>521</v>
      </c>
      <c r="I1623" s="198"/>
      <c r="J1623" s="4" t="s">
        <v>2272</v>
      </c>
      <c r="K1623" s="4" t="s">
        <v>2272</v>
      </c>
      <c r="L1623" s="4" t="s">
        <v>2272</v>
      </c>
      <c r="M1623" s="4" t="s">
        <v>2272</v>
      </c>
      <c r="N1623" s="4" t="s">
        <v>2272</v>
      </c>
      <c r="O1623" s="4" t="s">
        <v>2272</v>
      </c>
      <c r="P1623" s="4" t="s">
        <v>2272</v>
      </c>
      <c r="Q1623" s="4" t="s">
        <v>2272</v>
      </c>
      <c r="R1623" s="4" t="s">
        <v>2272</v>
      </c>
      <c r="S1623" s="4" t="s">
        <v>2272</v>
      </c>
      <c r="T1623" s="4" t="s">
        <v>2272</v>
      </c>
      <c r="U1623" s="4" t="s">
        <v>2272</v>
      </c>
      <c r="V1623" s="4" t="s">
        <v>2272</v>
      </c>
      <c r="W1623" s="4" t="s">
        <v>2272</v>
      </c>
      <c r="X1623" s="4" t="s">
        <v>2272</v>
      </c>
      <c r="Y1623" s="4" t="s">
        <v>2272</v>
      </c>
      <c r="Z1623" s="4" t="s">
        <v>2272</v>
      </c>
      <c r="AA1623" s="4" t="s">
        <v>2272</v>
      </c>
      <c r="AB1623" s="4" t="s">
        <v>2272</v>
      </c>
      <c r="AC1623" s="4" t="s">
        <v>2272</v>
      </c>
      <c r="AD1623" s="198" t="s">
        <v>4823</v>
      </c>
      <c r="AE1623" s="198"/>
    </row>
    <row r="1624" spans="1:31" ht="38.5" customHeight="1">
      <c r="A1624" s="198" t="s">
        <v>4798</v>
      </c>
      <c r="B1624" s="198" t="s">
        <v>4820</v>
      </c>
      <c r="C1624" s="198" t="s">
        <v>30</v>
      </c>
      <c r="D1624" s="198" t="s">
        <v>29</v>
      </c>
      <c r="E1624" s="198" t="s">
        <v>2272</v>
      </c>
      <c r="F1624" s="4" t="s">
        <v>73</v>
      </c>
      <c r="G1624" s="4" t="s">
        <v>2272</v>
      </c>
      <c r="H1624" s="198" t="s">
        <v>521</v>
      </c>
      <c r="I1624" s="198"/>
      <c r="J1624" s="4" t="s">
        <v>2272</v>
      </c>
      <c r="K1624" s="4" t="s">
        <v>2272</v>
      </c>
      <c r="L1624" s="4" t="s">
        <v>2272</v>
      </c>
      <c r="M1624" s="4" t="s">
        <v>2272</v>
      </c>
      <c r="N1624" s="4" t="s">
        <v>2272</v>
      </c>
      <c r="O1624" s="4" t="s">
        <v>2272</v>
      </c>
      <c r="P1624" s="4" t="s">
        <v>2272</v>
      </c>
      <c r="Q1624" s="4" t="s">
        <v>2272</v>
      </c>
      <c r="R1624" s="4" t="s">
        <v>2272</v>
      </c>
      <c r="S1624" s="4" t="s">
        <v>2272</v>
      </c>
      <c r="T1624" s="4" t="s">
        <v>2272</v>
      </c>
      <c r="U1624" s="4" t="s">
        <v>2272</v>
      </c>
      <c r="V1624" s="4" t="s">
        <v>2272</v>
      </c>
      <c r="W1624" s="4" t="s">
        <v>2272</v>
      </c>
      <c r="X1624" s="4" t="s">
        <v>2272</v>
      </c>
      <c r="Y1624" s="4" t="s">
        <v>2272</v>
      </c>
      <c r="Z1624" s="4" t="s">
        <v>2272</v>
      </c>
      <c r="AA1624" s="4" t="s">
        <v>2272</v>
      </c>
      <c r="AB1624" s="4" t="s">
        <v>2272</v>
      </c>
      <c r="AC1624" s="4" t="s">
        <v>2272</v>
      </c>
      <c r="AD1624" s="198" t="s">
        <v>4823</v>
      </c>
      <c r="AE1624" s="198"/>
    </row>
    <row r="1625" spans="1:31" ht="38.5" customHeight="1">
      <c r="A1625" s="198" t="s">
        <v>4799</v>
      </c>
      <c r="B1625" s="198" t="s">
        <v>4821</v>
      </c>
      <c r="C1625" s="198" t="s">
        <v>30</v>
      </c>
      <c r="D1625" s="198" t="s">
        <v>29</v>
      </c>
      <c r="E1625" s="198" t="s">
        <v>2272</v>
      </c>
      <c r="F1625" s="4" t="s">
        <v>73</v>
      </c>
      <c r="G1625" s="4" t="s">
        <v>2272</v>
      </c>
      <c r="H1625" s="198" t="s">
        <v>521</v>
      </c>
      <c r="I1625" s="198"/>
      <c r="J1625" s="4" t="s">
        <v>2272</v>
      </c>
      <c r="K1625" s="4" t="s">
        <v>2272</v>
      </c>
      <c r="L1625" s="4" t="s">
        <v>2272</v>
      </c>
      <c r="M1625" s="4" t="s">
        <v>2272</v>
      </c>
      <c r="N1625" s="4" t="s">
        <v>2272</v>
      </c>
      <c r="O1625" s="4" t="s">
        <v>2272</v>
      </c>
      <c r="P1625" s="4" t="s">
        <v>2272</v>
      </c>
      <c r="Q1625" s="4" t="s">
        <v>2272</v>
      </c>
      <c r="R1625" s="4" t="s">
        <v>2272</v>
      </c>
      <c r="S1625" s="4" t="s">
        <v>2272</v>
      </c>
      <c r="T1625" s="4" t="s">
        <v>2272</v>
      </c>
      <c r="U1625" s="4" t="s">
        <v>2272</v>
      </c>
      <c r="V1625" s="4" t="s">
        <v>2272</v>
      </c>
      <c r="W1625" s="4" t="s">
        <v>2272</v>
      </c>
      <c r="X1625" s="4" t="s">
        <v>2272</v>
      </c>
      <c r="Y1625" s="4" t="s">
        <v>2272</v>
      </c>
      <c r="Z1625" s="4" t="s">
        <v>2272</v>
      </c>
      <c r="AA1625" s="4" t="s">
        <v>2272</v>
      </c>
      <c r="AB1625" s="4" t="s">
        <v>2272</v>
      </c>
      <c r="AC1625" s="4" t="s">
        <v>2272</v>
      </c>
      <c r="AD1625" s="198" t="s">
        <v>4823</v>
      </c>
      <c r="AE1625" s="198"/>
    </row>
    <row r="1626" spans="1:31" ht="38.5" customHeight="1">
      <c r="A1626" s="198" t="s">
        <v>4800</v>
      </c>
      <c r="B1626" s="198" t="s">
        <v>4822</v>
      </c>
      <c r="C1626" s="198" t="s">
        <v>30</v>
      </c>
      <c r="D1626" s="198" t="s">
        <v>29</v>
      </c>
      <c r="E1626" s="198" t="s">
        <v>2272</v>
      </c>
      <c r="F1626" s="4" t="s">
        <v>73</v>
      </c>
      <c r="G1626" s="4" t="s">
        <v>2272</v>
      </c>
      <c r="H1626" s="198" t="s">
        <v>521</v>
      </c>
      <c r="I1626" s="198"/>
      <c r="J1626" s="4" t="s">
        <v>2272</v>
      </c>
      <c r="K1626" s="4" t="s">
        <v>2272</v>
      </c>
      <c r="L1626" s="4" t="s">
        <v>2272</v>
      </c>
      <c r="M1626" s="4" t="s">
        <v>2272</v>
      </c>
      <c r="N1626" s="4" t="s">
        <v>2272</v>
      </c>
      <c r="O1626" s="4" t="s">
        <v>2272</v>
      </c>
      <c r="P1626" s="4" t="s">
        <v>2272</v>
      </c>
      <c r="Q1626" s="4" t="s">
        <v>2272</v>
      </c>
      <c r="R1626" s="4" t="s">
        <v>2272</v>
      </c>
      <c r="S1626" s="4" t="s">
        <v>2272</v>
      </c>
      <c r="T1626" s="4" t="s">
        <v>2272</v>
      </c>
      <c r="U1626" s="4" t="s">
        <v>2272</v>
      </c>
      <c r="V1626" s="4" t="s">
        <v>2272</v>
      </c>
      <c r="W1626" s="4" t="s">
        <v>2272</v>
      </c>
      <c r="X1626" s="4" t="s">
        <v>2272</v>
      </c>
      <c r="Y1626" s="4" t="s">
        <v>2272</v>
      </c>
      <c r="Z1626" s="4" t="s">
        <v>2272</v>
      </c>
      <c r="AA1626" s="4" t="s">
        <v>2272</v>
      </c>
      <c r="AB1626" s="4" t="s">
        <v>2272</v>
      </c>
      <c r="AC1626" s="4" t="s">
        <v>2272</v>
      </c>
      <c r="AD1626" s="198" t="s">
        <v>4823</v>
      </c>
      <c r="AE1626" s="198"/>
    </row>
    <row r="1627" spans="1:31" ht="40" customHeight="1">
      <c r="A1627" s="198" t="s">
        <v>4798</v>
      </c>
      <c r="B1627" s="198" t="s">
        <v>4824</v>
      </c>
      <c r="C1627" s="198" t="s">
        <v>23</v>
      </c>
      <c r="D1627" s="198" t="s">
        <v>1238</v>
      </c>
      <c r="E1627" s="198" t="s">
        <v>2644</v>
      </c>
      <c r="F1627" s="4" t="s">
        <v>73</v>
      </c>
      <c r="G1627" s="4" t="s">
        <v>2272</v>
      </c>
      <c r="H1627" s="198" t="s">
        <v>522</v>
      </c>
      <c r="I1627" s="198"/>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2272</v>
      </c>
      <c r="AA1627" s="4" t="s">
        <v>2272</v>
      </c>
      <c r="AB1627" s="4" t="s">
        <v>2272</v>
      </c>
      <c r="AC1627" s="4" t="s">
        <v>2272</v>
      </c>
      <c r="AD1627" s="4" t="s">
        <v>4827</v>
      </c>
      <c r="AE1627" s="198"/>
    </row>
    <row r="1628" spans="1:31" ht="40" customHeight="1">
      <c r="A1628" s="198" t="s">
        <v>4799</v>
      </c>
      <c r="B1628" s="198" t="s">
        <v>4825</v>
      </c>
      <c r="C1628" s="198" t="s">
        <v>23</v>
      </c>
      <c r="D1628" s="198" t="s">
        <v>1238</v>
      </c>
      <c r="E1628" s="198" t="s">
        <v>2644</v>
      </c>
      <c r="F1628" s="4" t="s">
        <v>73</v>
      </c>
      <c r="G1628" s="4" t="s">
        <v>2272</v>
      </c>
      <c r="H1628" s="198" t="s">
        <v>522</v>
      </c>
      <c r="I1628" s="198"/>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2272</v>
      </c>
      <c r="AA1628" s="4" t="s">
        <v>2272</v>
      </c>
      <c r="AB1628" s="4" t="s">
        <v>2272</v>
      </c>
      <c r="AC1628" s="4" t="s">
        <v>2272</v>
      </c>
      <c r="AD1628" s="4" t="s">
        <v>4827</v>
      </c>
      <c r="AE1628" s="198"/>
    </row>
    <row r="1629" spans="1:31" ht="40" customHeight="1">
      <c r="A1629" s="198" t="s">
        <v>4800</v>
      </c>
      <c r="B1629" s="198" t="s">
        <v>4826</v>
      </c>
      <c r="C1629" s="198" t="s">
        <v>23</v>
      </c>
      <c r="D1629" s="198" t="s">
        <v>1238</v>
      </c>
      <c r="E1629" s="198" t="s">
        <v>2644</v>
      </c>
      <c r="F1629" s="4" t="s">
        <v>73</v>
      </c>
      <c r="G1629" s="4" t="s">
        <v>2272</v>
      </c>
      <c r="H1629" s="198" t="s">
        <v>522</v>
      </c>
      <c r="I1629" s="198"/>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2272</v>
      </c>
      <c r="AA1629" s="4" t="s">
        <v>2272</v>
      </c>
      <c r="AB1629" s="4" t="s">
        <v>2272</v>
      </c>
      <c r="AC1629" s="4" t="s">
        <v>2272</v>
      </c>
      <c r="AD1629" s="4" t="s">
        <v>4827</v>
      </c>
      <c r="AE1629" s="198"/>
    </row>
    <row r="1630" spans="1:31" ht="40.5" customHeight="1">
      <c r="A1630" s="198" t="s">
        <v>4794</v>
      </c>
      <c r="B1630" s="198" t="s">
        <v>6094</v>
      </c>
      <c r="C1630" s="198" t="s">
        <v>1102</v>
      </c>
      <c r="D1630" s="198" t="s">
        <v>2272</v>
      </c>
      <c r="E1630" s="198" t="s">
        <v>2272</v>
      </c>
      <c r="F1630" s="4" t="s">
        <v>2272</v>
      </c>
      <c r="G1630" s="198" t="s">
        <v>73</v>
      </c>
      <c r="H1630" s="198" t="s">
        <v>521</v>
      </c>
      <c r="I1630" s="198"/>
      <c r="J1630" s="4" t="s">
        <v>2272</v>
      </c>
      <c r="K1630" s="4" t="s">
        <v>2272</v>
      </c>
      <c r="L1630" s="4" t="s">
        <v>2272</v>
      </c>
      <c r="M1630" s="4" t="s">
        <v>2272</v>
      </c>
      <c r="N1630" s="4" t="s">
        <v>2272</v>
      </c>
      <c r="O1630" s="4" t="s">
        <v>2272</v>
      </c>
      <c r="P1630" s="4" t="s">
        <v>2272</v>
      </c>
      <c r="Q1630" s="4" t="s">
        <v>2272</v>
      </c>
      <c r="R1630" s="4" t="s">
        <v>2272</v>
      </c>
      <c r="S1630" s="4" t="s">
        <v>2272</v>
      </c>
      <c r="T1630" s="4" t="s">
        <v>2272</v>
      </c>
      <c r="U1630" s="4" t="s">
        <v>2272</v>
      </c>
      <c r="V1630" s="4" t="s">
        <v>2272</v>
      </c>
      <c r="W1630" s="4" t="s">
        <v>2272</v>
      </c>
      <c r="X1630" s="4" t="s">
        <v>2272</v>
      </c>
      <c r="Y1630" s="4" t="s">
        <v>2272</v>
      </c>
      <c r="Z1630" s="4" t="s">
        <v>2272</v>
      </c>
      <c r="AA1630" s="4" t="s">
        <v>2272</v>
      </c>
      <c r="AB1630" s="4" t="s">
        <v>2272</v>
      </c>
      <c r="AC1630" s="4" t="s">
        <v>2272</v>
      </c>
      <c r="AD1630" s="4"/>
      <c r="AE1630" s="4" t="s">
        <v>4830</v>
      </c>
    </row>
    <row r="1631" spans="1:31" ht="40.5" customHeight="1">
      <c r="A1631" s="198" t="s">
        <v>4797</v>
      </c>
      <c r="B1631" s="198" t="s">
        <v>6095</v>
      </c>
      <c r="C1631" s="198" t="s">
        <v>1102</v>
      </c>
      <c r="D1631" s="198" t="s">
        <v>2272</v>
      </c>
      <c r="E1631" s="198" t="s">
        <v>2272</v>
      </c>
      <c r="F1631" s="4" t="s">
        <v>2272</v>
      </c>
      <c r="G1631" s="198" t="s">
        <v>73</v>
      </c>
      <c r="H1631" s="198" t="s">
        <v>521</v>
      </c>
      <c r="I1631" s="198"/>
      <c r="J1631" s="4" t="s">
        <v>2272</v>
      </c>
      <c r="K1631" s="4" t="s">
        <v>2272</v>
      </c>
      <c r="L1631" s="4" t="s">
        <v>2272</v>
      </c>
      <c r="M1631" s="4" t="s">
        <v>2272</v>
      </c>
      <c r="N1631" s="4" t="s">
        <v>2272</v>
      </c>
      <c r="O1631" s="4" t="s">
        <v>2272</v>
      </c>
      <c r="P1631" s="4" t="s">
        <v>2272</v>
      </c>
      <c r="Q1631" s="4" t="s">
        <v>2272</v>
      </c>
      <c r="R1631" s="4" t="s">
        <v>2272</v>
      </c>
      <c r="S1631" s="4" t="s">
        <v>2272</v>
      </c>
      <c r="T1631" s="4" t="s">
        <v>2272</v>
      </c>
      <c r="U1631" s="4" t="s">
        <v>2272</v>
      </c>
      <c r="V1631" s="4" t="s">
        <v>2272</v>
      </c>
      <c r="W1631" s="4" t="s">
        <v>2272</v>
      </c>
      <c r="X1631" s="4" t="s">
        <v>2272</v>
      </c>
      <c r="Y1631" s="4" t="s">
        <v>2272</v>
      </c>
      <c r="Z1631" s="4" t="s">
        <v>2272</v>
      </c>
      <c r="AA1631" s="4" t="s">
        <v>2272</v>
      </c>
      <c r="AB1631" s="4" t="s">
        <v>2272</v>
      </c>
      <c r="AC1631" s="4" t="s">
        <v>2272</v>
      </c>
      <c r="AD1631" s="4"/>
      <c r="AE1631" s="4" t="s">
        <v>4830</v>
      </c>
    </row>
    <row r="1632" spans="1:31" ht="40.5" customHeight="1">
      <c r="A1632" s="198" t="s">
        <v>4798</v>
      </c>
      <c r="B1632" s="198" t="s">
        <v>6096</v>
      </c>
      <c r="C1632" s="198" t="s">
        <v>1102</v>
      </c>
      <c r="D1632" s="198" t="s">
        <v>2272</v>
      </c>
      <c r="E1632" s="198" t="s">
        <v>2272</v>
      </c>
      <c r="F1632" s="4" t="s">
        <v>2272</v>
      </c>
      <c r="G1632" s="198" t="s">
        <v>73</v>
      </c>
      <c r="H1632" s="198" t="s">
        <v>521</v>
      </c>
      <c r="I1632" s="198"/>
      <c r="J1632" s="4" t="s">
        <v>2272</v>
      </c>
      <c r="K1632" s="4" t="s">
        <v>2272</v>
      </c>
      <c r="L1632" s="4" t="s">
        <v>2272</v>
      </c>
      <c r="M1632" s="4" t="s">
        <v>2272</v>
      </c>
      <c r="N1632" s="4" t="s">
        <v>2272</v>
      </c>
      <c r="O1632" s="4" t="s">
        <v>2272</v>
      </c>
      <c r="P1632" s="4" t="s">
        <v>2272</v>
      </c>
      <c r="Q1632" s="4" t="s">
        <v>2272</v>
      </c>
      <c r="R1632" s="4" t="s">
        <v>2272</v>
      </c>
      <c r="S1632" s="4" t="s">
        <v>2272</v>
      </c>
      <c r="T1632" s="4" t="s">
        <v>2272</v>
      </c>
      <c r="U1632" s="4" t="s">
        <v>2272</v>
      </c>
      <c r="V1632" s="4" t="s">
        <v>2272</v>
      </c>
      <c r="W1632" s="4" t="s">
        <v>2272</v>
      </c>
      <c r="X1632" s="4" t="s">
        <v>2272</v>
      </c>
      <c r="Y1632" s="4" t="s">
        <v>2272</v>
      </c>
      <c r="Z1632" s="21">
        <v>21</v>
      </c>
      <c r="AA1632" s="4" t="s">
        <v>2272</v>
      </c>
      <c r="AB1632" s="4" t="s">
        <v>2272</v>
      </c>
      <c r="AC1632" s="4" t="s">
        <v>2272</v>
      </c>
      <c r="AD1632" s="198"/>
      <c r="AE1632" s="198"/>
    </row>
    <row r="1633" spans="1:31" ht="40.5" customHeight="1">
      <c r="A1633" s="198" t="s">
        <v>4799</v>
      </c>
      <c r="B1633" s="198" t="s">
        <v>6097</v>
      </c>
      <c r="C1633" s="198" t="s">
        <v>1102</v>
      </c>
      <c r="D1633" s="198" t="s">
        <v>2272</v>
      </c>
      <c r="E1633" s="198" t="s">
        <v>2272</v>
      </c>
      <c r="F1633" s="4" t="s">
        <v>2272</v>
      </c>
      <c r="G1633" s="198" t="s">
        <v>73</v>
      </c>
      <c r="H1633" s="198" t="s">
        <v>521</v>
      </c>
      <c r="I1633" s="198"/>
      <c r="J1633" s="4" t="s">
        <v>2272</v>
      </c>
      <c r="K1633" s="4" t="s">
        <v>2272</v>
      </c>
      <c r="L1633" s="4" t="s">
        <v>2272</v>
      </c>
      <c r="M1633" s="4" t="s">
        <v>2272</v>
      </c>
      <c r="N1633" s="4" t="s">
        <v>2272</v>
      </c>
      <c r="O1633" s="4" t="s">
        <v>2272</v>
      </c>
      <c r="P1633" s="4" t="s">
        <v>2272</v>
      </c>
      <c r="Q1633" s="4" t="s">
        <v>2272</v>
      </c>
      <c r="R1633" s="4" t="s">
        <v>2272</v>
      </c>
      <c r="S1633" s="4" t="s">
        <v>2272</v>
      </c>
      <c r="T1633" s="4" t="s">
        <v>2272</v>
      </c>
      <c r="U1633" s="4" t="s">
        <v>2272</v>
      </c>
      <c r="V1633" s="4" t="s">
        <v>2272</v>
      </c>
      <c r="W1633" s="4" t="s">
        <v>2272</v>
      </c>
      <c r="X1633" s="4" t="s">
        <v>2272</v>
      </c>
      <c r="Y1633" s="4" t="s">
        <v>2272</v>
      </c>
      <c r="Z1633" s="21">
        <v>13</v>
      </c>
      <c r="AA1633" s="4" t="s">
        <v>2272</v>
      </c>
      <c r="AB1633" s="4" t="s">
        <v>2272</v>
      </c>
      <c r="AC1633" s="4" t="s">
        <v>2272</v>
      </c>
      <c r="AD1633" s="198"/>
      <c r="AE1633" s="198"/>
    </row>
    <row r="1634" spans="1:31" ht="40.5" customHeight="1">
      <c r="A1634" s="198" t="s">
        <v>4800</v>
      </c>
      <c r="B1634" s="198" t="s">
        <v>6098</v>
      </c>
      <c r="C1634" s="198" t="s">
        <v>1102</v>
      </c>
      <c r="D1634" s="198" t="s">
        <v>2272</v>
      </c>
      <c r="E1634" s="198" t="s">
        <v>2272</v>
      </c>
      <c r="F1634" s="4" t="s">
        <v>2272</v>
      </c>
      <c r="G1634" s="198" t="s">
        <v>73</v>
      </c>
      <c r="H1634" s="198" t="s">
        <v>521</v>
      </c>
      <c r="I1634" s="198"/>
      <c r="J1634" s="4" t="s">
        <v>2272</v>
      </c>
      <c r="K1634" s="4" t="s">
        <v>2272</v>
      </c>
      <c r="L1634" s="4" t="s">
        <v>2272</v>
      </c>
      <c r="M1634" s="4" t="s">
        <v>2272</v>
      </c>
      <c r="N1634" s="4" t="s">
        <v>2272</v>
      </c>
      <c r="O1634" s="4" t="s">
        <v>2272</v>
      </c>
      <c r="P1634" s="4" t="s">
        <v>2272</v>
      </c>
      <c r="Q1634" s="4" t="s">
        <v>2272</v>
      </c>
      <c r="R1634" s="4" t="s">
        <v>2272</v>
      </c>
      <c r="S1634" s="4" t="s">
        <v>2272</v>
      </c>
      <c r="T1634" s="4" t="s">
        <v>2272</v>
      </c>
      <c r="U1634" s="4" t="s">
        <v>2272</v>
      </c>
      <c r="V1634" s="4" t="s">
        <v>2272</v>
      </c>
      <c r="W1634" s="4" t="s">
        <v>2272</v>
      </c>
      <c r="X1634" s="4" t="s">
        <v>2272</v>
      </c>
      <c r="Y1634" s="4" t="s">
        <v>2272</v>
      </c>
      <c r="Z1634" s="21">
        <v>13</v>
      </c>
      <c r="AA1634" s="4" t="s">
        <v>2272</v>
      </c>
      <c r="AB1634" s="4" t="s">
        <v>2272</v>
      </c>
      <c r="AC1634" s="4" t="s">
        <v>2272</v>
      </c>
      <c r="AD1634" s="198"/>
      <c r="AE1634" s="198"/>
    </row>
    <row r="1635" spans="1:31" ht="45.5" customHeight="1">
      <c r="A1635" s="198" t="s">
        <v>4843</v>
      </c>
      <c r="B1635" s="198" t="s">
        <v>4894</v>
      </c>
      <c r="C1635" s="198" t="s">
        <v>23</v>
      </c>
      <c r="D1635" s="198" t="s">
        <v>2272</v>
      </c>
      <c r="E1635" s="198" t="s">
        <v>44</v>
      </c>
      <c r="F1635" s="4" t="s">
        <v>2272</v>
      </c>
      <c r="G1635" s="4" t="s">
        <v>2657</v>
      </c>
      <c r="H1635" s="198" t="s">
        <v>521</v>
      </c>
      <c r="I1635" s="198"/>
      <c r="J1635" s="4" t="s">
        <v>2272</v>
      </c>
      <c r="K1635" s="71">
        <f>0.0180265</f>
        <v>1.8026500000000001E-2</v>
      </c>
      <c r="L1635" s="4" t="s">
        <v>2272</v>
      </c>
      <c r="M1635" s="4" t="s">
        <v>2272</v>
      </c>
      <c r="N1635" s="4" t="s">
        <v>2272</v>
      </c>
      <c r="O1635" s="4" t="s">
        <v>2272</v>
      </c>
      <c r="P1635" s="4" t="s">
        <v>2272</v>
      </c>
      <c r="Q1635" s="4" t="s">
        <v>2272</v>
      </c>
      <c r="R1635" s="4" t="s">
        <v>2272</v>
      </c>
      <c r="S1635" s="4" t="s">
        <v>2272</v>
      </c>
      <c r="T1635" s="4" t="s">
        <v>2272</v>
      </c>
      <c r="U1635" s="4" t="s">
        <v>2272</v>
      </c>
      <c r="V1635" s="4" t="s">
        <v>2272</v>
      </c>
      <c r="W1635" s="4" t="s">
        <v>2272</v>
      </c>
      <c r="X1635" s="4" t="s">
        <v>2272</v>
      </c>
      <c r="Y1635" s="4" t="s">
        <v>2272</v>
      </c>
      <c r="Z1635" s="4" t="s">
        <v>2272</v>
      </c>
      <c r="AA1635" s="4" t="s">
        <v>2272</v>
      </c>
      <c r="AB1635" s="4" t="s">
        <v>2272</v>
      </c>
      <c r="AC1635" s="4" t="s">
        <v>2272</v>
      </c>
      <c r="AD1635" s="198"/>
      <c r="AE1635" s="198"/>
    </row>
    <row r="1636" spans="1:31" ht="45.5" customHeight="1">
      <c r="A1636" s="198" t="s">
        <v>4845</v>
      </c>
      <c r="B1636" s="198" t="s">
        <v>4895</v>
      </c>
      <c r="C1636" s="198" t="s">
        <v>23</v>
      </c>
      <c r="D1636" s="198" t="s">
        <v>2272</v>
      </c>
      <c r="E1636" s="198" t="s">
        <v>44</v>
      </c>
      <c r="F1636" s="4" t="s">
        <v>2272</v>
      </c>
      <c r="G1636" s="4" t="s">
        <v>2657</v>
      </c>
      <c r="H1636" s="198" t="s">
        <v>521</v>
      </c>
      <c r="I1636" s="198"/>
      <c r="J1636" s="4" t="s">
        <v>2272</v>
      </c>
      <c r="K1636" s="4" t="s">
        <v>2272</v>
      </c>
      <c r="L1636" s="4" t="s">
        <v>2272</v>
      </c>
      <c r="M1636" s="4" t="s">
        <v>2272</v>
      </c>
      <c r="N1636" s="4" t="s">
        <v>2272</v>
      </c>
      <c r="O1636" s="4" t="s">
        <v>2272</v>
      </c>
      <c r="P1636" s="4" t="s">
        <v>2272</v>
      </c>
      <c r="Q1636" s="4" t="s">
        <v>2272</v>
      </c>
      <c r="R1636" s="4" t="s">
        <v>2272</v>
      </c>
      <c r="S1636" s="4" t="s">
        <v>2272</v>
      </c>
      <c r="T1636" s="4" t="s">
        <v>2272</v>
      </c>
      <c r="U1636" s="4" t="s">
        <v>2272</v>
      </c>
      <c r="V1636" s="4" t="s">
        <v>2272</v>
      </c>
      <c r="W1636" s="4" t="s">
        <v>2272</v>
      </c>
      <c r="X1636" s="4" t="s">
        <v>2272</v>
      </c>
      <c r="Y1636" s="4" t="s">
        <v>2272</v>
      </c>
      <c r="Z1636" s="4" t="s">
        <v>2272</v>
      </c>
      <c r="AA1636" s="4" t="s">
        <v>2272</v>
      </c>
      <c r="AB1636" s="4" t="s">
        <v>2272</v>
      </c>
      <c r="AC1636" s="4" t="s">
        <v>2272</v>
      </c>
      <c r="AD1636" s="198"/>
      <c r="AE1636" s="198"/>
    </row>
    <row r="1637" spans="1:31" ht="45.5" customHeight="1">
      <c r="A1637" s="198" t="s">
        <v>4846</v>
      </c>
      <c r="B1637" s="198" t="s">
        <v>4896</v>
      </c>
      <c r="C1637" s="198" t="s">
        <v>23</v>
      </c>
      <c r="D1637" s="198" t="s">
        <v>2272</v>
      </c>
      <c r="E1637" s="198" t="s">
        <v>44</v>
      </c>
      <c r="F1637" s="4" t="s">
        <v>2272</v>
      </c>
      <c r="G1637" s="4" t="s">
        <v>2657</v>
      </c>
      <c r="H1637" s="198" t="s">
        <v>521</v>
      </c>
      <c r="I1637" s="198"/>
      <c r="J1637" s="4" t="s">
        <v>2272</v>
      </c>
      <c r="K1637" s="4" t="s">
        <v>2272</v>
      </c>
      <c r="L1637" s="4" t="s">
        <v>2272</v>
      </c>
      <c r="M1637" s="4" t="s">
        <v>2272</v>
      </c>
      <c r="N1637" s="4" t="s">
        <v>2272</v>
      </c>
      <c r="O1637" s="4" t="s">
        <v>2272</v>
      </c>
      <c r="P1637" s="4" t="s">
        <v>2272</v>
      </c>
      <c r="Q1637" s="4" t="s">
        <v>2272</v>
      </c>
      <c r="R1637" s="4" t="s">
        <v>2272</v>
      </c>
      <c r="S1637" s="4" t="s">
        <v>2272</v>
      </c>
      <c r="T1637" s="4" t="s">
        <v>2272</v>
      </c>
      <c r="U1637" s="4" t="s">
        <v>2272</v>
      </c>
      <c r="V1637" s="4" t="s">
        <v>2272</v>
      </c>
      <c r="W1637" s="4" t="s">
        <v>2272</v>
      </c>
      <c r="X1637" s="4" t="s">
        <v>2272</v>
      </c>
      <c r="Y1637" s="4" t="s">
        <v>2272</v>
      </c>
      <c r="Z1637" s="4" t="s">
        <v>2272</v>
      </c>
      <c r="AA1637" s="4" t="s">
        <v>2272</v>
      </c>
      <c r="AB1637" s="4" t="s">
        <v>2272</v>
      </c>
      <c r="AC1637" s="4" t="s">
        <v>2272</v>
      </c>
      <c r="AD1637" s="198"/>
      <c r="AE1637" s="198"/>
    </row>
    <row r="1638" spans="1:31" ht="45.5" customHeight="1">
      <c r="A1638" s="198" t="s">
        <v>4847</v>
      </c>
      <c r="B1638" s="198" t="s">
        <v>4897</v>
      </c>
      <c r="C1638" s="198" t="s">
        <v>23</v>
      </c>
      <c r="D1638" s="198" t="s">
        <v>2272</v>
      </c>
      <c r="E1638" s="198" t="s">
        <v>44</v>
      </c>
      <c r="F1638" s="4" t="s">
        <v>2272</v>
      </c>
      <c r="G1638" s="4" t="s">
        <v>2657</v>
      </c>
      <c r="H1638" s="198" t="s">
        <v>521</v>
      </c>
      <c r="I1638" s="198"/>
      <c r="J1638" s="4" t="s">
        <v>2272</v>
      </c>
      <c r="K1638" s="4" t="s">
        <v>2272</v>
      </c>
      <c r="L1638" s="4" t="s">
        <v>2272</v>
      </c>
      <c r="M1638" s="4" t="s">
        <v>2272</v>
      </c>
      <c r="N1638" s="4" t="s">
        <v>2272</v>
      </c>
      <c r="O1638" s="4" t="s">
        <v>2272</v>
      </c>
      <c r="P1638" s="4" t="s">
        <v>2272</v>
      </c>
      <c r="Q1638" s="4" t="s">
        <v>2272</v>
      </c>
      <c r="R1638" s="4" t="s">
        <v>2272</v>
      </c>
      <c r="S1638" s="4" t="s">
        <v>2272</v>
      </c>
      <c r="T1638" s="4" t="s">
        <v>2272</v>
      </c>
      <c r="U1638" s="4" t="s">
        <v>2272</v>
      </c>
      <c r="V1638" s="4" t="s">
        <v>2272</v>
      </c>
      <c r="W1638" s="4" t="s">
        <v>2272</v>
      </c>
      <c r="X1638" s="4" t="s">
        <v>2272</v>
      </c>
      <c r="Y1638" s="4" t="s">
        <v>2272</v>
      </c>
      <c r="Z1638" s="4" t="s">
        <v>2272</v>
      </c>
      <c r="AA1638" s="4" t="s">
        <v>2272</v>
      </c>
      <c r="AB1638" s="4" t="s">
        <v>2272</v>
      </c>
      <c r="AC1638" s="4" t="s">
        <v>2272</v>
      </c>
      <c r="AD1638" s="198"/>
      <c r="AE1638" s="198"/>
    </row>
    <row r="1639" spans="1:31" ht="45.5" customHeight="1">
      <c r="A1639" s="198" t="s">
        <v>4848</v>
      </c>
      <c r="B1639" s="198" t="s">
        <v>4898</v>
      </c>
      <c r="C1639" s="198" t="s">
        <v>23</v>
      </c>
      <c r="D1639" s="198" t="s">
        <v>2272</v>
      </c>
      <c r="E1639" s="198" t="s">
        <v>44</v>
      </c>
      <c r="F1639" s="4" t="s">
        <v>2272</v>
      </c>
      <c r="G1639" s="4" t="s">
        <v>2657</v>
      </c>
      <c r="H1639" s="198" t="s">
        <v>521</v>
      </c>
      <c r="I1639" s="198"/>
      <c r="J1639" s="4" t="s">
        <v>2272</v>
      </c>
      <c r="K1639" s="4" t="s">
        <v>2272</v>
      </c>
      <c r="L1639" s="4" t="s">
        <v>2272</v>
      </c>
      <c r="M1639" s="4" t="s">
        <v>2272</v>
      </c>
      <c r="N1639" s="4" t="s">
        <v>2272</v>
      </c>
      <c r="O1639" s="4" t="s">
        <v>2272</v>
      </c>
      <c r="P1639" s="4" t="s">
        <v>2272</v>
      </c>
      <c r="Q1639" s="4" t="s">
        <v>2272</v>
      </c>
      <c r="R1639" s="4" t="s">
        <v>2272</v>
      </c>
      <c r="S1639" s="4" t="s">
        <v>2272</v>
      </c>
      <c r="T1639" s="4" t="s">
        <v>2272</v>
      </c>
      <c r="U1639" s="4" t="s">
        <v>2272</v>
      </c>
      <c r="V1639" s="4" t="s">
        <v>2272</v>
      </c>
      <c r="W1639" s="4" t="s">
        <v>2272</v>
      </c>
      <c r="X1639" s="4" t="s">
        <v>2272</v>
      </c>
      <c r="Y1639" s="4" t="s">
        <v>2272</v>
      </c>
      <c r="Z1639" s="4" t="s">
        <v>2272</v>
      </c>
      <c r="AA1639" s="4" t="s">
        <v>2272</v>
      </c>
      <c r="AB1639" s="4" t="s">
        <v>2272</v>
      </c>
      <c r="AC1639" s="4" t="s">
        <v>2272</v>
      </c>
      <c r="AD1639" s="198"/>
      <c r="AE1639" s="198"/>
    </row>
    <row r="1640" spans="1:31" ht="45.5" customHeight="1">
      <c r="A1640" s="198" t="s">
        <v>4849</v>
      </c>
      <c r="B1640" s="198" t="s">
        <v>4899</v>
      </c>
      <c r="C1640" s="198" t="s">
        <v>23</v>
      </c>
      <c r="D1640" s="198" t="s">
        <v>2272</v>
      </c>
      <c r="E1640" s="198" t="s">
        <v>44</v>
      </c>
      <c r="F1640" s="4" t="s">
        <v>2272</v>
      </c>
      <c r="G1640" s="4" t="s">
        <v>2657</v>
      </c>
      <c r="H1640" s="198" t="s">
        <v>521</v>
      </c>
      <c r="I1640" s="198"/>
      <c r="J1640" s="4" t="s">
        <v>2272</v>
      </c>
      <c r="K1640" s="4" t="s">
        <v>2272</v>
      </c>
      <c r="L1640" s="4" t="s">
        <v>2272</v>
      </c>
      <c r="M1640" s="4" t="s">
        <v>2272</v>
      </c>
      <c r="N1640" s="4" t="s">
        <v>2272</v>
      </c>
      <c r="O1640" s="4" t="s">
        <v>2272</v>
      </c>
      <c r="P1640" s="4" t="s">
        <v>2272</v>
      </c>
      <c r="Q1640" s="4" t="s">
        <v>2272</v>
      </c>
      <c r="R1640" s="4" t="s">
        <v>2272</v>
      </c>
      <c r="S1640" s="4" t="s">
        <v>2272</v>
      </c>
      <c r="T1640" s="4" t="s">
        <v>2272</v>
      </c>
      <c r="U1640" s="4" t="s">
        <v>2272</v>
      </c>
      <c r="V1640" s="4" t="s">
        <v>2272</v>
      </c>
      <c r="W1640" s="4" t="s">
        <v>2272</v>
      </c>
      <c r="X1640" s="4" t="s">
        <v>2272</v>
      </c>
      <c r="Y1640" s="4" t="s">
        <v>2272</v>
      </c>
      <c r="Z1640" s="4" t="s">
        <v>2272</v>
      </c>
      <c r="AA1640" s="4" t="s">
        <v>2272</v>
      </c>
      <c r="AB1640" s="4" t="s">
        <v>2272</v>
      </c>
      <c r="AC1640" s="4" t="s">
        <v>2272</v>
      </c>
      <c r="AD1640" s="198"/>
      <c r="AE1640" s="198"/>
    </row>
    <row r="1641" spans="1:31" ht="45.5" customHeight="1">
      <c r="A1641" s="198" t="s">
        <v>4850</v>
      </c>
      <c r="B1641" s="198" t="s">
        <v>4900</v>
      </c>
      <c r="C1641" s="198" t="s">
        <v>23</v>
      </c>
      <c r="D1641" s="198" t="s">
        <v>2272</v>
      </c>
      <c r="E1641" s="198" t="s">
        <v>44</v>
      </c>
      <c r="F1641" s="4" t="s">
        <v>2272</v>
      </c>
      <c r="G1641" s="4" t="s">
        <v>2657</v>
      </c>
      <c r="H1641" s="198" t="s">
        <v>521</v>
      </c>
      <c r="I1641" s="198"/>
      <c r="J1641" s="4" t="s">
        <v>2272</v>
      </c>
      <c r="K1641" s="4" t="s">
        <v>2272</v>
      </c>
      <c r="L1641" s="4" t="s">
        <v>2272</v>
      </c>
      <c r="M1641" s="4" t="s">
        <v>2272</v>
      </c>
      <c r="N1641" s="4" t="s">
        <v>2272</v>
      </c>
      <c r="O1641" s="4" t="s">
        <v>2272</v>
      </c>
      <c r="P1641" s="4" t="s">
        <v>2272</v>
      </c>
      <c r="Q1641" s="4" t="s">
        <v>2272</v>
      </c>
      <c r="R1641" s="4" t="s">
        <v>2272</v>
      </c>
      <c r="S1641" s="4" t="s">
        <v>2272</v>
      </c>
      <c r="T1641" s="4" t="s">
        <v>2272</v>
      </c>
      <c r="U1641" s="4" t="s">
        <v>2272</v>
      </c>
      <c r="V1641" s="4" t="s">
        <v>2272</v>
      </c>
      <c r="W1641" s="4" t="s">
        <v>2272</v>
      </c>
      <c r="X1641" s="4" t="s">
        <v>2272</v>
      </c>
      <c r="Y1641" s="4" t="s">
        <v>2272</v>
      </c>
      <c r="Z1641" s="4" t="s">
        <v>2272</v>
      </c>
      <c r="AA1641" s="4" t="s">
        <v>2272</v>
      </c>
      <c r="AB1641" s="4" t="s">
        <v>2272</v>
      </c>
      <c r="AC1641" s="4" t="s">
        <v>2272</v>
      </c>
      <c r="AD1641" s="198"/>
      <c r="AE1641" s="198"/>
    </row>
    <row r="1642" spans="1:31" ht="45.5" customHeight="1">
      <c r="A1642" s="198" t="s">
        <v>4851</v>
      </c>
      <c r="B1642" s="198" t="s">
        <v>4901</v>
      </c>
      <c r="C1642" s="198" t="s">
        <v>23</v>
      </c>
      <c r="D1642" s="198" t="s">
        <v>2272</v>
      </c>
      <c r="E1642" s="198" t="s">
        <v>44</v>
      </c>
      <c r="F1642" s="4" t="s">
        <v>2272</v>
      </c>
      <c r="G1642" s="4" t="s">
        <v>2657</v>
      </c>
      <c r="H1642" s="198" t="s">
        <v>521</v>
      </c>
      <c r="I1642" s="198"/>
      <c r="J1642" s="4" t="s">
        <v>2272</v>
      </c>
      <c r="K1642" s="4" t="s">
        <v>2272</v>
      </c>
      <c r="L1642" s="4" t="s">
        <v>2272</v>
      </c>
      <c r="M1642" s="4" t="s">
        <v>2272</v>
      </c>
      <c r="N1642" s="4" t="s">
        <v>2272</v>
      </c>
      <c r="O1642" s="4" t="s">
        <v>2272</v>
      </c>
      <c r="P1642" s="4" t="s">
        <v>2272</v>
      </c>
      <c r="Q1642" s="4" t="s">
        <v>2272</v>
      </c>
      <c r="R1642" s="4" t="s">
        <v>2272</v>
      </c>
      <c r="S1642" s="4" t="s">
        <v>2272</v>
      </c>
      <c r="T1642" s="4" t="s">
        <v>2272</v>
      </c>
      <c r="U1642" s="4" t="s">
        <v>2272</v>
      </c>
      <c r="V1642" s="4" t="s">
        <v>2272</v>
      </c>
      <c r="W1642" s="4" t="s">
        <v>2272</v>
      </c>
      <c r="X1642" s="4" t="s">
        <v>2272</v>
      </c>
      <c r="Y1642" s="4" t="s">
        <v>2272</v>
      </c>
      <c r="Z1642" s="4" t="s">
        <v>2272</v>
      </c>
      <c r="AA1642" s="4" t="s">
        <v>2272</v>
      </c>
      <c r="AB1642" s="4" t="s">
        <v>2272</v>
      </c>
      <c r="AC1642" s="4" t="s">
        <v>2272</v>
      </c>
      <c r="AD1642" s="198"/>
      <c r="AE1642" s="198"/>
    </row>
    <row r="1643" spans="1:31" ht="45.5" customHeight="1">
      <c r="A1643" s="198" t="s">
        <v>4852</v>
      </c>
      <c r="B1643" s="198" t="s">
        <v>4902</v>
      </c>
      <c r="C1643" s="198" t="s">
        <v>23</v>
      </c>
      <c r="D1643" s="198" t="s">
        <v>2272</v>
      </c>
      <c r="E1643" s="198" t="s">
        <v>44</v>
      </c>
      <c r="F1643" s="4" t="s">
        <v>2272</v>
      </c>
      <c r="G1643" s="4" t="s">
        <v>2657</v>
      </c>
      <c r="H1643" s="198" t="s">
        <v>521</v>
      </c>
      <c r="I1643" s="198"/>
      <c r="J1643" s="4" t="s">
        <v>2272</v>
      </c>
      <c r="K1643" s="4" t="s">
        <v>2272</v>
      </c>
      <c r="L1643" s="4" t="s">
        <v>2272</v>
      </c>
      <c r="M1643" s="4" t="s">
        <v>2272</v>
      </c>
      <c r="N1643" s="4" t="s">
        <v>2272</v>
      </c>
      <c r="O1643" s="4" t="s">
        <v>2272</v>
      </c>
      <c r="P1643" s="4" t="s">
        <v>2272</v>
      </c>
      <c r="Q1643" s="4" t="s">
        <v>2272</v>
      </c>
      <c r="R1643" s="4" t="s">
        <v>2272</v>
      </c>
      <c r="S1643" s="4" t="s">
        <v>2272</v>
      </c>
      <c r="T1643" s="4" t="s">
        <v>2272</v>
      </c>
      <c r="U1643" s="4" t="s">
        <v>2272</v>
      </c>
      <c r="V1643" s="4" t="s">
        <v>2272</v>
      </c>
      <c r="W1643" s="4" t="s">
        <v>2272</v>
      </c>
      <c r="X1643" s="4" t="s">
        <v>2272</v>
      </c>
      <c r="Y1643" s="4" t="s">
        <v>2272</v>
      </c>
      <c r="Z1643" s="4" t="s">
        <v>2272</v>
      </c>
      <c r="AA1643" s="4" t="s">
        <v>2272</v>
      </c>
      <c r="AB1643" s="4" t="s">
        <v>2272</v>
      </c>
      <c r="AC1643" s="4" t="s">
        <v>2272</v>
      </c>
      <c r="AD1643" s="198"/>
      <c r="AE1643" s="198"/>
    </row>
    <row r="1644" spans="1:31" ht="45.5" customHeight="1">
      <c r="A1644" s="198" t="s">
        <v>4853</v>
      </c>
      <c r="B1644" s="198" t="s">
        <v>4903</v>
      </c>
      <c r="C1644" s="198" t="s">
        <v>23</v>
      </c>
      <c r="D1644" s="198" t="s">
        <v>2272</v>
      </c>
      <c r="E1644" s="198" t="s">
        <v>44</v>
      </c>
      <c r="F1644" s="4" t="s">
        <v>2272</v>
      </c>
      <c r="G1644" s="4" t="s">
        <v>2657</v>
      </c>
      <c r="H1644" s="198" t="s">
        <v>521</v>
      </c>
      <c r="I1644" s="198"/>
      <c r="J1644" s="4" t="s">
        <v>2272</v>
      </c>
      <c r="K1644" s="4" t="s">
        <v>2272</v>
      </c>
      <c r="L1644" s="4" t="s">
        <v>2272</v>
      </c>
      <c r="M1644" s="4" t="s">
        <v>2272</v>
      </c>
      <c r="N1644" s="4" t="s">
        <v>2272</v>
      </c>
      <c r="O1644" s="4" t="s">
        <v>2272</v>
      </c>
      <c r="P1644" s="4" t="s">
        <v>2272</v>
      </c>
      <c r="Q1644" s="4" t="s">
        <v>2272</v>
      </c>
      <c r="R1644" s="4" t="s">
        <v>2272</v>
      </c>
      <c r="S1644" s="4" t="s">
        <v>2272</v>
      </c>
      <c r="T1644" s="4" t="s">
        <v>2272</v>
      </c>
      <c r="U1644" s="4" t="s">
        <v>2272</v>
      </c>
      <c r="V1644" s="4" t="s">
        <v>2272</v>
      </c>
      <c r="W1644" s="4" t="s">
        <v>2272</v>
      </c>
      <c r="X1644" s="4" t="s">
        <v>2272</v>
      </c>
      <c r="Y1644" s="4" t="s">
        <v>2272</v>
      </c>
      <c r="Z1644" s="4" t="s">
        <v>2272</v>
      </c>
      <c r="AA1644" s="4" t="s">
        <v>2272</v>
      </c>
      <c r="AB1644" s="4" t="s">
        <v>2272</v>
      </c>
      <c r="AC1644" s="4" t="s">
        <v>2272</v>
      </c>
      <c r="AD1644" s="198"/>
      <c r="AE1644" s="198"/>
    </row>
    <row r="1645" spans="1:31" ht="45.5" customHeight="1">
      <c r="A1645" s="198" t="s">
        <v>4854</v>
      </c>
      <c r="B1645" s="198" t="s">
        <v>4904</v>
      </c>
      <c r="C1645" s="198" t="s">
        <v>23</v>
      </c>
      <c r="D1645" s="198" t="s">
        <v>2272</v>
      </c>
      <c r="E1645" s="198" t="s">
        <v>44</v>
      </c>
      <c r="F1645" s="4" t="s">
        <v>2272</v>
      </c>
      <c r="G1645" s="4" t="s">
        <v>2657</v>
      </c>
      <c r="H1645" s="198" t="s">
        <v>521</v>
      </c>
      <c r="I1645" s="198"/>
      <c r="J1645" s="4" t="s">
        <v>2272</v>
      </c>
      <c r="K1645" s="4" t="s">
        <v>2272</v>
      </c>
      <c r="L1645" s="4" t="s">
        <v>2272</v>
      </c>
      <c r="M1645" s="4" t="s">
        <v>2272</v>
      </c>
      <c r="N1645" s="4" t="s">
        <v>2272</v>
      </c>
      <c r="O1645" s="4" t="s">
        <v>2272</v>
      </c>
      <c r="P1645" s="4" t="s">
        <v>2272</v>
      </c>
      <c r="Q1645" s="4" t="s">
        <v>2272</v>
      </c>
      <c r="R1645" s="4" t="s">
        <v>2272</v>
      </c>
      <c r="S1645" s="4" t="s">
        <v>2272</v>
      </c>
      <c r="T1645" s="4" t="s">
        <v>2272</v>
      </c>
      <c r="U1645" s="4" t="s">
        <v>2272</v>
      </c>
      <c r="V1645" s="4" t="s">
        <v>2272</v>
      </c>
      <c r="W1645" s="4" t="s">
        <v>2272</v>
      </c>
      <c r="X1645" s="4" t="s">
        <v>2272</v>
      </c>
      <c r="Y1645" s="4" t="s">
        <v>2272</v>
      </c>
      <c r="Z1645" s="4" t="s">
        <v>2272</v>
      </c>
      <c r="AA1645" s="4" t="s">
        <v>2272</v>
      </c>
      <c r="AB1645" s="4" t="s">
        <v>2272</v>
      </c>
      <c r="AC1645" s="4" t="s">
        <v>2272</v>
      </c>
      <c r="AD1645" s="198"/>
      <c r="AE1645" s="198"/>
    </row>
    <row r="1646" spans="1:31" ht="45.5" customHeight="1">
      <c r="A1646" s="198" t="s">
        <v>4855</v>
      </c>
      <c r="B1646" s="198" t="s">
        <v>4905</v>
      </c>
      <c r="C1646" s="198" t="s">
        <v>23</v>
      </c>
      <c r="D1646" s="198" t="s">
        <v>2272</v>
      </c>
      <c r="E1646" s="198" t="s">
        <v>44</v>
      </c>
      <c r="F1646" s="4" t="s">
        <v>2272</v>
      </c>
      <c r="G1646" s="4" t="s">
        <v>2657</v>
      </c>
      <c r="H1646" s="198" t="s">
        <v>521</v>
      </c>
      <c r="I1646" s="198"/>
      <c r="J1646" s="4" t="s">
        <v>2272</v>
      </c>
      <c r="K1646" s="4" t="s">
        <v>2272</v>
      </c>
      <c r="L1646" s="4" t="s">
        <v>2272</v>
      </c>
      <c r="M1646" s="4" t="s">
        <v>2272</v>
      </c>
      <c r="N1646" s="4" t="s">
        <v>2272</v>
      </c>
      <c r="O1646" s="4" t="s">
        <v>2272</v>
      </c>
      <c r="P1646" s="4" t="s">
        <v>2272</v>
      </c>
      <c r="Q1646" s="4" t="s">
        <v>2272</v>
      </c>
      <c r="R1646" s="4" t="s">
        <v>2272</v>
      </c>
      <c r="S1646" s="4" t="s">
        <v>2272</v>
      </c>
      <c r="T1646" s="4" t="s">
        <v>2272</v>
      </c>
      <c r="U1646" s="4" t="s">
        <v>2272</v>
      </c>
      <c r="V1646" s="4" t="s">
        <v>2272</v>
      </c>
      <c r="W1646" s="4" t="s">
        <v>2272</v>
      </c>
      <c r="X1646" s="4" t="s">
        <v>2272</v>
      </c>
      <c r="Y1646" s="4" t="s">
        <v>2272</v>
      </c>
      <c r="Z1646" s="4" t="s">
        <v>2272</v>
      </c>
      <c r="AA1646" s="4" t="s">
        <v>2272</v>
      </c>
      <c r="AB1646" s="4" t="s">
        <v>2272</v>
      </c>
      <c r="AC1646" s="4" t="s">
        <v>2272</v>
      </c>
      <c r="AD1646" s="198"/>
      <c r="AE1646" s="198"/>
    </row>
    <row r="1647" spans="1:31" ht="45.5" customHeight="1">
      <c r="A1647" s="198" t="s">
        <v>4856</v>
      </c>
      <c r="B1647" s="198" t="s">
        <v>4906</v>
      </c>
      <c r="C1647" s="198" t="s">
        <v>23</v>
      </c>
      <c r="D1647" s="198" t="s">
        <v>2272</v>
      </c>
      <c r="E1647" s="198" t="s">
        <v>44</v>
      </c>
      <c r="F1647" s="4" t="s">
        <v>2272</v>
      </c>
      <c r="G1647" s="4" t="s">
        <v>2657</v>
      </c>
      <c r="H1647" s="198" t="s">
        <v>521</v>
      </c>
      <c r="I1647" s="198"/>
      <c r="J1647" s="4" t="s">
        <v>2272</v>
      </c>
      <c r="K1647" s="4" t="s">
        <v>2272</v>
      </c>
      <c r="L1647" s="4" t="s">
        <v>2272</v>
      </c>
      <c r="M1647" s="4" t="s">
        <v>2272</v>
      </c>
      <c r="N1647" s="4" t="s">
        <v>2272</v>
      </c>
      <c r="O1647" s="4" t="s">
        <v>2272</v>
      </c>
      <c r="P1647" s="4" t="s">
        <v>2272</v>
      </c>
      <c r="Q1647" s="4" t="s">
        <v>2272</v>
      </c>
      <c r="R1647" s="4" t="s">
        <v>2272</v>
      </c>
      <c r="S1647" s="4" t="s">
        <v>2272</v>
      </c>
      <c r="T1647" s="4" t="s">
        <v>2272</v>
      </c>
      <c r="U1647" s="4" t="s">
        <v>2272</v>
      </c>
      <c r="V1647" s="4" t="s">
        <v>2272</v>
      </c>
      <c r="W1647" s="4" t="s">
        <v>2272</v>
      </c>
      <c r="X1647" s="4" t="s">
        <v>2272</v>
      </c>
      <c r="Y1647" s="4" t="s">
        <v>2272</v>
      </c>
      <c r="Z1647" s="4" t="s">
        <v>2272</v>
      </c>
      <c r="AA1647" s="4" t="s">
        <v>2272</v>
      </c>
      <c r="AB1647" s="4" t="s">
        <v>2272</v>
      </c>
      <c r="AC1647" s="4" t="s">
        <v>2272</v>
      </c>
      <c r="AD1647" s="198"/>
      <c r="AE1647" s="198"/>
    </row>
    <row r="1648" spans="1:31" ht="45.5" customHeight="1">
      <c r="A1648" s="198" t="s">
        <v>4857</v>
      </c>
      <c r="B1648" s="198" t="s">
        <v>4907</v>
      </c>
      <c r="C1648" s="198" t="s">
        <v>23</v>
      </c>
      <c r="D1648" s="198" t="s">
        <v>2272</v>
      </c>
      <c r="E1648" s="198" t="s">
        <v>44</v>
      </c>
      <c r="F1648" s="4" t="s">
        <v>2272</v>
      </c>
      <c r="G1648" s="4" t="s">
        <v>2657</v>
      </c>
      <c r="H1648" s="198" t="s">
        <v>521</v>
      </c>
      <c r="I1648" s="198"/>
      <c r="J1648" s="4" t="s">
        <v>2272</v>
      </c>
      <c r="K1648" s="4" t="s">
        <v>2272</v>
      </c>
      <c r="L1648" s="4" t="s">
        <v>2272</v>
      </c>
      <c r="M1648" s="4" t="s">
        <v>2272</v>
      </c>
      <c r="N1648" s="4" t="s">
        <v>2272</v>
      </c>
      <c r="O1648" s="4" t="s">
        <v>2272</v>
      </c>
      <c r="P1648" s="4" t="s">
        <v>2272</v>
      </c>
      <c r="Q1648" s="4" t="s">
        <v>2272</v>
      </c>
      <c r="R1648" s="4" t="s">
        <v>2272</v>
      </c>
      <c r="S1648" s="4" t="s">
        <v>2272</v>
      </c>
      <c r="T1648" s="4" t="s">
        <v>2272</v>
      </c>
      <c r="U1648" s="4" t="s">
        <v>2272</v>
      </c>
      <c r="V1648" s="4" t="s">
        <v>2272</v>
      </c>
      <c r="W1648" s="4" t="s">
        <v>2272</v>
      </c>
      <c r="X1648" s="4" t="s">
        <v>2272</v>
      </c>
      <c r="Y1648" s="4" t="s">
        <v>2272</v>
      </c>
      <c r="Z1648" s="4" t="s">
        <v>2272</v>
      </c>
      <c r="AA1648" s="4" t="s">
        <v>2272</v>
      </c>
      <c r="AB1648" s="4" t="s">
        <v>2272</v>
      </c>
      <c r="AC1648" s="4" t="s">
        <v>2272</v>
      </c>
      <c r="AD1648" s="198"/>
      <c r="AE1648" s="198"/>
    </row>
    <row r="1649" spans="1:31" ht="45.5" customHeight="1">
      <c r="A1649" s="198" t="s">
        <v>4858</v>
      </c>
      <c r="B1649" s="198" t="s">
        <v>4908</v>
      </c>
      <c r="C1649" s="198" t="s">
        <v>23</v>
      </c>
      <c r="D1649" s="198" t="s">
        <v>2272</v>
      </c>
      <c r="E1649" s="198" t="s">
        <v>44</v>
      </c>
      <c r="F1649" s="4" t="s">
        <v>2272</v>
      </c>
      <c r="G1649" s="4" t="s">
        <v>2657</v>
      </c>
      <c r="H1649" s="198" t="s">
        <v>522</v>
      </c>
      <c r="I1649" s="198"/>
      <c r="J1649" s="21">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21">
        <v>0</v>
      </c>
      <c r="Z1649" s="4" t="s">
        <v>2272</v>
      </c>
      <c r="AA1649" s="4" t="s">
        <v>2272</v>
      </c>
      <c r="AB1649" s="4" t="s">
        <v>2272</v>
      </c>
      <c r="AC1649" s="4" t="s">
        <v>2272</v>
      </c>
      <c r="AD1649" s="198"/>
      <c r="AE1649" s="198"/>
    </row>
    <row r="1650" spans="1:31" ht="45.5" customHeight="1">
      <c r="A1650" s="198" t="s">
        <v>4859</v>
      </c>
      <c r="B1650" s="198" t="s">
        <v>4909</v>
      </c>
      <c r="C1650" s="198" t="s">
        <v>23</v>
      </c>
      <c r="D1650" s="198" t="s">
        <v>2272</v>
      </c>
      <c r="E1650" s="198" t="s">
        <v>44</v>
      </c>
      <c r="F1650" s="4" t="s">
        <v>2272</v>
      </c>
      <c r="G1650" s="4" t="s">
        <v>2657</v>
      </c>
      <c r="H1650" s="198" t="s">
        <v>521</v>
      </c>
      <c r="I1650" s="198"/>
      <c r="J1650" s="4" t="s">
        <v>2272</v>
      </c>
      <c r="K1650" s="4" t="s">
        <v>2272</v>
      </c>
      <c r="L1650" s="4" t="s">
        <v>2272</v>
      </c>
      <c r="M1650" s="4" t="s">
        <v>2272</v>
      </c>
      <c r="N1650" s="4" t="s">
        <v>2272</v>
      </c>
      <c r="O1650" s="4" t="s">
        <v>2272</v>
      </c>
      <c r="P1650" s="4" t="s">
        <v>2272</v>
      </c>
      <c r="Q1650" s="4" t="s">
        <v>2272</v>
      </c>
      <c r="R1650" s="4" t="s">
        <v>2272</v>
      </c>
      <c r="S1650" s="4" t="s">
        <v>2272</v>
      </c>
      <c r="T1650" s="4" t="s">
        <v>2272</v>
      </c>
      <c r="U1650" s="4" t="s">
        <v>2272</v>
      </c>
      <c r="V1650" s="4" t="s">
        <v>2272</v>
      </c>
      <c r="W1650" s="4" t="s">
        <v>2272</v>
      </c>
      <c r="X1650" s="4" t="s">
        <v>2272</v>
      </c>
      <c r="Y1650" s="4" t="s">
        <v>2272</v>
      </c>
      <c r="Z1650" s="4" t="s">
        <v>2272</v>
      </c>
      <c r="AA1650" s="4" t="s">
        <v>2272</v>
      </c>
      <c r="AB1650" s="4" t="s">
        <v>2272</v>
      </c>
      <c r="AC1650" s="4" t="s">
        <v>2272</v>
      </c>
      <c r="AD1650" s="198"/>
      <c r="AE1650" s="198"/>
    </row>
    <row r="1651" spans="1:31" ht="45.5" customHeight="1">
      <c r="A1651" s="198" t="s">
        <v>4860</v>
      </c>
      <c r="B1651" s="198" t="s">
        <v>4910</v>
      </c>
      <c r="C1651" s="198" t="s">
        <v>23</v>
      </c>
      <c r="D1651" s="198" t="s">
        <v>2272</v>
      </c>
      <c r="E1651" s="198" t="s">
        <v>44</v>
      </c>
      <c r="F1651" s="4" t="s">
        <v>2272</v>
      </c>
      <c r="G1651" s="4" t="s">
        <v>2657</v>
      </c>
      <c r="H1651" s="198" t="s">
        <v>521</v>
      </c>
      <c r="I1651" s="198"/>
      <c r="J1651" s="4" t="s">
        <v>2272</v>
      </c>
      <c r="K1651" s="4" t="s">
        <v>2272</v>
      </c>
      <c r="L1651" s="4" t="s">
        <v>2272</v>
      </c>
      <c r="M1651" s="4" t="s">
        <v>2272</v>
      </c>
      <c r="N1651" s="4" t="s">
        <v>2272</v>
      </c>
      <c r="O1651" s="4" t="s">
        <v>2272</v>
      </c>
      <c r="P1651" s="4" t="s">
        <v>2272</v>
      </c>
      <c r="Q1651" s="4" t="s">
        <v>2272</v>
      </c>
      <c r="R1651" s="4" t="s">
        <v>2272</v>
      </c>
      <c r="S1651" s="4" t="s">
        <v>2272</v>
      </c>
      <c r="T1651" s="4" t="s">
        <v>2272</v>
      </c>
      <c r="U1651" s="4" t="s">
        <v>2272</v>
      </c>
      <c r="V1651" s="4" t="s">
        <v>2272</v>
      </c>
      <c r="W1651" s="4" t="s">
        <v>2272</v>
      </c>
      <c r="X1651" s="4" t="s">
        <v>2272</v>
      </c>
      <c r="Y1651" s="4" t="s">
        <v>2272</v>
      </c>
      <c r="Z1651" s="4" t="s">
        <v>2272</v>
      </c>
      <c r="AA1651" s="4" t="s">
        <v>2272</v>
      </c>
      <c r="AB1651" s="4" t="s">
        <v>2272</v>
      </c>
      <c r="AC1651" s="4" t="s">
        <v>2272</v>
      </c>
      <c r="AD1651" s="198"/>
      <c r="AE1651" s="198"/>
    </row>
    <row r="1652" spans="1:31" ht="45.5" customHeight="1">
      <c r="A1652" s="198" t="s">
        <v>4861</v>
      </c>
      <c r="B1652" s="198" t="s">
        <v>4911</v>
      </c>
      <c r="C1652" s="198" t="s">
        <v>23</v>
      </c>
      <c r="D1652" s="198" t="s">
        <v>2272</v>
      </c>
      <c r="E1652" s="198" t="s">
        <v>44</v>
      </c>
      <c r="F1652" s="4" t="s">
        <v>2272</v>
      </c>
      <c r="G1652" s="4" t="s">
        <v>2657</v>
      </c>
      <c r="H1652" s="198" t="s">
        <v>521</v>
      </c>
      <c r="I1652" s="198"/>
      <c r="J1652" s="4" t="s">
        <v>2272</v>
      </c>
      <c r="K1652" s="4" t="s">
        <v>2272</v>
      </c>
      <c r="L1652" s="4" t="s">
        <v>2272</v>
      </c>
      <c r="M1652" s="4" t="s">
        <v>2272</v>
      </c>
      <c r="N1652" s="4" t="s">
        <v>2272</v>
      </c>
      <c r="O1652" s="4" t="s">
        <v>2272</v>
      </c>
      <c r="P1652" s="4" t="s">
        <v>2272</v>
      </c>
      <c r="Q1652" s="4" t="s">
        <v>2272</v>
      </c>
      <c r="R1652" s="4" t="s">
        <v>2272</v>
      </c>
      <c r="S1652" s="4" t="s">
        <v>2272</v>
      </c>
      <c r="T1652" s="4" t="s">
        <v>2272</v>
      </c>
      <c r="U1652" s="4" t="s">
        <v>2272</v>
      </c>
      <c r="V1652" s="4" t="s">
        <v>2272</v>
      </c>
      <c r="W1652" s="4" t="s">
        <v>2272</v>
      </c>
      <c r="X1652" s="4" t="s">
        <v>2272</v>
      </c>
      <c r="Y1652" s="4" t="s">
        <v>2272</v>
      </c>
      <c r="Z1652" s="4" t="s">
        <v>2272</v>
      </c>
      <c r="AA1652" s="4" t="s">
        <v>2272</v>
      </c>
      <c r="AB1652" s="4" t="s">
        <v>2272</v>
      </c>
      <c r="AC1652" s="4" t="s">
        <v>2272</v>
      </c>
      <c r="AD1652" s="198"/>
      <c r="AE1652" s="198"/>
    </row>
    <row r="1653" spans="1:31" ht="45.5" customHeight="1">
      <c r="A1653" s="198" t="s">
        <v>4862</v>
      </c>
      <c r="B1653" s="198" t="s">
        <v>4912</v>
      </c>
      <c r="C1653" s="198" t="s">
        <v>23</v>
      </c>
      <c r="D1653" s="198" t="s">
        <v>2272</v>
      </c>
      <c r="E1653" s="198" t="s">
        <v>44</v>
      </c>
      <c r="F1653" s="4" t="s">
        <v>2272</v>
      </c>
      <c r="G1653" s="4" t="s">
        <v>2657</v>
      </c>
      <c r="H1653" s="198" t="s">
        <v>521</v>
      </c>
      <c r="I1653" s="198"/>
      <c r="J1653" s="4" t="s">
        <v>2272</v>
      </c>
      <c r="K1653" s="4" t="s">
        <v>2272</v>
      </c>
      <c r="L1653" s="4" t="s">
        <v>2272</v>
      </c>
      <c r="M1653" s="4" t="s">
        <v>2272</v>
      </c>
      <c r="N1653" s="4" t="s">
        <v>2272</v>
      </c>
      <c r="O1653" s="4" t="s">
        <v>2272</v>
      </c>
      <c r="P1653" s="4" t="s">
        <v>2272</v>
      </c>
      <c r="Q1653" s="4" t="s">
        <v>2272</v>
      </c>
      <c r="R1653" s="4" t="s">
        <v>2272</v>
      </c>
      <c r="S1653" s="4" t="s">
        <v>2272</v>
      </c>
      <c r="T1653" s="4" t="s">
        <v>2272</v>
      </c>
      <c r="U1653" s="4" t="s">
        <v>2272</v>
      </c>
      <c r="V1653" s="4" t="s">
        <v>2272</v>
      </c>
      <c r="W1653" s="4" t="s">
        <v>2272</v>
      </c>
      <c r="X1653" s="4" t="s">
        <v>2272</v>
      </c>
      <c r="Y1653" s="4" t="s">
        <v>2272</v>
      </c>
      <c r="Z1653" s="4" t="s">
        <v>2272</v>
      </c>
      <c r="AA1653" s="4" t="s">
        <v>2272</v>
      </c>
      <c r="AB1653" s="4" t="s">
        <v>2272</v>
      </c>
      <c r="AC1653" s="4" t="s">
        <v>2272</v>
      </c>
      <c r="AD1653" s="198"/>
      <c r="AE1653" s="198"/>
    </row>
    <row r="1654" spans="1:31" ht="45.5" customHeight="1">
      <c r="A1654" s="198" t="s">
        <v>4863</v>
      </c>
      <c r="B1654" s="198" t="s">
        <v>4913</v>
      </c>
      <c r="C1654" s="198" t="s">
        <v>23</v>
      </c>
      <c r="D1654" s="198" t="s">
        <v>2272</v>
      </c>
      <c r="E1654" s="198" t="s">
        <v>44</v>
      </c>
      <c r="F1654" s="4" t="s">
        <v>2272</v>
      </c>
      <c r="G1654" s="4" t="s">
        <v>2657</v>
      </c>
      <c r="H1654" s="198" t="s">
        <v>521</v>
      </c>
      <c r="I1654" s="198"/>
      <c r="J1654" s="4" t="s">
        <v>2272</v>
      </c>
      <c r="K1654" s="4" t="s">
        <v>2272</v>
      </c>
      <c r="L1654" s="4" t="s">
        <v>2272</v>
      </c>
      <c r="M1654" s="4" t="s">
        <v>2272</v>
      </c>
      <c r="N1654" s="4" t="s">
        <v>2272</v>
      </c>
      <c r="O1654" s="4" t="s">
        <v>2272</v>
      </c>
      <c r="P1654" s="4" t="s">
        <v>2272</v>
      </c>
      <c r="Q1654" s="4" t="s">
        <v>2272</v>
      </c>
      <c r="R1654" s="4" t="s">
        <v>2272</v>
      </c>
      <c r="S1654" s="4" t="s">
        <v>2272</v>
      </c>
      <c r="T1654" s="4" t="s">
        <v>2272</v>
      </c>
      <c r="U1654" s="4" t="s">
        <v>2272</v>
      </c>
      <c r="V1654" s="4" t="s">
        <v>2272</v>
      </c>
      <c r="W1654" s="4" t="s">
        <v>2272</v>
      </c>
      <c r="X1654" s="4" t="s">
        <v>2272</v>
      </c>
      <c r="Y1654" s="4" t="s">
        <v>2272</v>
      </c>
      <c r="Z1654" s="4" t="s">
        <v>2272</v>
      </c>
      <c r="AA1654" s="4" t="s">
        <v>2272</v>
      </c>
      <c r="AB1654" s="4" t="s">
        <v>2272</v>
      </c>
      <c r="AC1654" s="4" t="s">
        <v>2272</v>
      </c>
      <c r="AD1654" s="198"/>
      <c r="AE1654" s="198"/>
    </row>
    <row r="1655" spans="1:31" ht="45.5" customHeight="1">
      <c r="A1655" s="198" t="s">
        <v>4864</v>
      </c>
      <c r="B1655" s="198" t="s">
        <v>4914</v>
      </c>
      <c r="C1655" s="198" t="s">
        <v>23</v>
      </c>
      <c r="D1655" s="198" t="s">
        <v>2272</v>
      </c>
      <c r="E1655" s="198" t="s">
        <v>44</v>
      </c>
      <c r="F1655" s="4" t="s">
        <v>2272</v>
      </c>
      <c r="G1655" s="4" t="s">
        <v>2657</v>
      </c>
      <c r="H1655" s="198" t="s">
        <v>521</v>
      </c>
      <c r="I1655" s="198"/>
      <c r="J1655" s="4" t="s">
        <v>2272</v>
      </c>
      <c r="K1655" s="4" t="s">
        <v>2272</v>
      </c>
      <c r="L1655" s="4" t="s">
        <v>2272</v>
      </c>
      <c r="M1655" s="4" t="s">
        <v>2272</v>
      </c>
      <c r="N1655" s="4" t="s">
        <v>2272</v>
      </c>
      <c r="O1655" s="4" t="s">
        <v>2272</v>
      </c>
      <c r="P1655" s="4" t="s">
        <v>2272</v>
      </c>
      <c r="Q1655" s="4" t="s">
        <v>2272</v>
      </c>
      <c r="R1655" s="4" t="s">
        <v>2272</v>
      </c>
      <c r="S1655" s="4" t="s">
        <v>2272</v>
      </c>
      <c r="T1655" s="4" t="s">
        <v>2272</v>
      </c>
      <c r="U1655" s="4" t="s">
        <v>2272</v>
      </c>
      <c r="V1655" s="4" t="s">
        <v>2272</v>
      </c>
      <c r="W1655" s="4" t="s">
        <v>2272</v>
      </c>
      <c r="X1655" s="4" t="s">
        <v>2272</v>
      </c>
      <c r="Y1655" s="4" t="s">
        <v>2272</v>
      </c>
      <c r="Z1655" s="4" t="s">
        <v>2272</v>
      </c>
      <c r="AA1655" s="4" t="s">
        <v>2272</v>
      </c>
      <c r="AB1655" s="4" t="s">
        <v>2272</v>
      </c>
      <c r="AC1655" s="4" t="s">
        <v>2272</v>
      </c>
      <c r="AD1655" s="198"/>
      <c r="AE1655" s="198"/>
    </row>
    <row r="1656" spans="1:31" ht="45.5" customHeight="1">
      <c r="A1656" s="198" t="s">
        <v>4865</v>
      </c>
      <c r="B1656" s="198" t="s">
        <v>4915</v>
      </c>
      <c r="C1656" s="198" t="s">
        <v>23</v>
      </c>
      <c r="D1656" s="198" t="s">
        <v>2272</v>
      </c>
      <c r="E1656" s="198" t="s">
        <v>44</v>
      </c>
      <c r="F1656" s="4" t="s">
        <v>2272</v>
      </c>
      <c r="G1656" s="4" t="s">
        <v>2657</v>
      </c>
      <c r="H1656" s="198" t="s">
        <v>521</v>
      </c>
      <c r="I1656" s="198"/>
      <c r="J1656" s="4" t="s">
        <v>2272</v>
      </c>
      <c r="K1656" s="4" t="s">
        <v>2272</v>
      </c>
      <c r="L1656" s="4" t="s">
        <v>2272</v>
      </c>
      <c r="M1656" s="4" t="s">
        <v>2272</v>
      </c>
      <c r="N1656" s="4" t="s">
        <v>2272</v>
      </c>
      <c r="O1656" s="4" t="s">
        <v>2272</v>
      </c>
      <c r="P1656" s="4" t="s">
        <v>2272</v>
      </c>
      <c r="Q1656" s="4" t="s">
        <v>2272</v>
      </c>
      <c r="R1656" s="4" t="s">
        <v>2272</v>
      </c>
      <c r="S1656" s="4" t="s">
        <v>2272</v>
      </c>
      <c r="T1656" s="4" t="s">
        <v>2272</v>
      </c>
      <c r="U1656" s="4" t="s">
        <v>2272</v>
      </c>
      <c r="V1656" s="4" t="s">
        <v>2272</v>
      </c>
      <c r="W1656" s="4" t="s">
        <v>2272</v>
      </c>
      <c r="X1656" s="4" t="s">
        <v>2272</v>
      </c>
      <c r="Y1656" s="4" t="s">
        <v>2272</v>
      </c>
      <c r="Z1656" s="4" t="s">
        <v>2272</v>
      </c>
      <c r="AA1656" s="4" t="s">
        <v>2272</v>
      </c>
      <c r="AB1656" s="4" t="s">
        <v>2272</v>
      </c>
      <c r="AC1656" s="4" t="s">
        <v>2272</v>
      </c>
      <c r="AD1656" s="198"/>
      <c r="AE1656" s="198"/>
    </row>
    <row r="1657" spans="1:31" ht="45.5" customHeight="1">
      <c r="A1657" s="198" t="s">
        <v>4866</v>
      </c>
      <c r="B1657" s="198" t="s">
        <v>4916</v>
      </c>
      <c r="C1657" s="198" t="s">
        <v>23</v>
      </c>
      <c r="D1657" s="198" t="s">
        <v>2272</v>
      </c>
      <c r="E1657" s="198" t="s">
        <v>44</v>
      </c>
      <c r="F1657" s="4" t="s">
        <v>2272</v>
      </c>
      <c r="G1657" s="4" t="s">
        <v>2657</v>
      </c>
      <c r="H1657" s="198" t="s">
        <v>521</v>
      </c>
      <c r="I1657" s="198"/>
      <c r="J1657" s="4" t="s">
        <v>2272</v>
      </c>
      <c r="K1657" s="4" t="s">
        <v>2272</v>
      </c>
      <c r="L1657" s="4" t="s">
        <v>2272</v>
      </c>
      <c r="M1657" s="4" t="s">
        <v>2272</v>
      </c>
      <c r="N1657" s="4" t="s">
        <v>2272</v>
      </c>
      <c r="O1657" s="4" t="s">
        <v>2272</v>
      </c>
      <c r="P1657" s="4" t="s">
        <v>2272</v>
      </c>
      <c r="Q1657" s="4" t="s">
        <v>2272</v>
      </c>
      <c r="R1657" s="4" t="s">
        <v>2272</v>
      </c>
      <c r="S1657" s="4" t="s">
        <v>2272</v>
      </c>
      <c r="T1657" s="4" t="s">
        <v>2272</v>
      </c>
      <c r="U1657" s="4" t="s">
        <v>2272</v>
      </c>
      <c r="V1657" s="4" t="s">
        <v>2272</v>
      </c>
      <c r="W1657" s="4" t="s">
        <v>2272</v>
      </c>
      <c r="X1657" s="4" t="s">
        <v>2272</v>
      </c>
      <c r="Y1657" s="4" t="s">
        <v>2272</v>
      </c>
      <c r="Z1657" s="4" t="s">
        <v>2272</v>
      </c>
      <c r="AA1657" s="4" t="s">
        <v>2272</v>
      </c>
      <c r="AB1657" s="4" t="s">
        <v>2272</v>
      </c>
      <c r="AC1657" s="4" t="s">
        <v>2272</v>
      </c>
      <c r="AD1657" s="198"/>
      <c r="AE1657" s="198"/>
    </row>
    <row r="1658" spans="1:31" ht="45.5" customHeight="1">
      <c r="A1658" s="198" t="s">
        <v>4867</v>
      </c>
      <c r="B1658" s="198" t="s">
        <v>4917</v>
      </c>
      <c r="C1658" s="198" t="s">
        <v>23</v>
      </c>
      <c r="D1658" s="198" t="s">
        <v>2272</v>
      </c>
      <c r="E1658" s="198" t="s">
        <v>44</v>
      </c>
      <c r="F1658" s="4" t="s">
        <v>2272</v>
      </c>
      <c r="G1658" s="4" t="s">
        <v>2657</v>
      </c>
      <c r="H1658" s="198" t="s">
        <v>521</v>
      </c>
      <c r="I1658" s="198"/>
      <c r="J1658" s="4" t="s">
        <v>2272</v>
      </c>
      <c r="K1658" s="4" t="s">
        <v>2272</v>
      </c>
      <c r="L1658" s="4" t="s">
        <v>2272</v>
      </c>
      <c r="M1658" s="4" t="s">
        <v>2272</v>
      </c>
      <c r="N1658" s="4" t="s">
        <v>2272</v>
      </c>
      <c r="O1658" s="4" t="s">
        <v>2272</v>
      </c>
      <c r="P1658" s="4" t="s">
        <v>2272</v>
      </c>
      <c r="Q1658" s="4" t="s">
        <v>2272</v>
      </c>
      <c r="R1658" s="4" t="s">
        <v>2272</v>
      </c>
      <c r="S1658" s="4" t="s">
        <v>2272</v>
      </c>
      <c r="T1658" s="4" t="s">
        <v>2272</v>
      </c>
      <c r="U1658" s="4" t="s">
        <v>2272</v>
      </c>
      <c r="V1658" s="4" t="s">
        <v>2272</v>
      </c>
      <c r="W1658" s="4" t="s">
        <v>2272</v>
      </c>
      <c r="X1658" s="4" t="s">
        <v>2272</v>
      </c>
      <c r="Y1658" s="4" t="s">
        <v>2272</v>
      </c>
      <c r="Z1658" s="4" t="s">
        <v>2272</v>
      </c>
      <c r="AA1658" s="4" t="s">
        <v>2272</v>
      </c>
      <c r="AB1658" s="4" t="s">
        <v>2272</v>
      </c>
      <c r="AC1658" s="4" t="s">
        <v>2272</v>
      </c>
      <c r="AD1658" s="198"/>
      <c r="AE1658" s="198"/>
    </row>
    <row r="1659" spans="1:31" ht="45.5" customHeight="1">
      <c r="A1659" s="198" t="s">
        <v>4868</v>
      </c>
      <c r="B1659" s="198" t="s">
        <v>4918</v>
      </c>
      <c r="C1659" s="198" t="s">
        <v>23</v>
      </c>
      <c r="D1659" s="198" t="s">
        <v>2272</v>
      </c>
      <c r="E1659" s="198" t="s">
        <v>44</v>
      </c>
      <c r="F1659" s="4" t="s">
        <v>2272</v>
      </c>
      <c r="G1659" s="4" t="s">
        <v>2657</v>
      </c>
      <c r="H1659" s="198" t="s">
        <v>521</v>
      </c>
      <c r="I1659" s="198"/>
      <c r="J1659" s="4" t="s">
        <v>2272</v>
      </c>
      <c r="K1659" s="4" t="s">
        <v>2272</v>
      </c>
      <c r="L1659" s="4" t="s">
        <v>2272</v>
      </c>
      <c r="M1659" s="4" t="s">
        <v>2272</v>
      </c>
      <c r="N1659" s="4" t="s">
        <v>2272</v>
      </c>
      <c r="O1659" s="4" t="s">
        <v>2272</v>
      </c>
      <c r="P1659" s="4" t="s">
        <v>2272</v>
      </c>
      <c r="Q1659" s="4" t="s">
        <v>2272</v>
      </c>
      <c r="R1659" s="4" t="s">
        <v>2272</v>
      </c>
      <c r="S1659" s="4" t="s">
        <v>2272</v>
      </c>
      <c r="T1659" s="4" t="s">
        <v>2272</v>
      </c>
      <c r="U1659" s="4" t="s">
        <v>2272</v>
      </c>
      <c r="V1659" s="4" t="s">
        <v>2272</v>
      </c>
      <c r="W1659" s="4" t="s">
        <v>2272</v>
      </c>
      <c r="X1659" s="4" t="s">
        <v>2272</v>
      </c>
      <c r="Y1659" s="4" t="s">
        <v>2272</v>
      </c>
      <c r="Z1659" s="4" t="s">
        <v>2272</v>
      </c>
      <c r="AA1659" s="4" t="s">
        <v>2272</v>
      </c>
      <c r="AB1659" s="4" t="s">
        <v>2272</v>
      </c>
      <c r="AC1659" s="4" t="s">
        <v>2272</v>
      </c>
      <c r="AD1659" s="198"/>
      <c r="AE1659" s="198"/>
    </row>
    <row r="1660" spans="1:31" ht="39" customHeight="1">
      <c r="A1660" s="198" t="s">
        <v>4934</v>
      </c>
      <c r="B1660" s="198" t="s">
        <v>4939</v>
      </c>
      <c r="C1660" s="198" t="s">
        <v>1102</v>
      </c>
      <c r="D1660" s="198" t="s">
        <v>1102</v>
      </c>
      <c r="E1660" s="198" t="s">
        <v>1102</v>
      </c>
      <c r="F1660" s="4" t="s">
        <v>1102</v>
      </c>
      <c r="G1660" s="198" t="s">
        <v>2272</v>
      </c>
      <c r="H1660" s="198" t="s">
        <v>521</v>
      </c>
      <c r="I1660" s="198"/>
      <c r="J1660" s="4" t="s">
        <v>2272</v>
      </c>
      <c r="K1660" s="21">
        <f>(13377)/5/'Record info'!$K$810</f>
        <v>0.11403270608383284</v>
      </c>
      <c r="L1660" s="4" t="s">
        <v>2272</v>
      </c>
      <c r="M1660" s="21">
        <v>0.01</v>
      </c>
      <c r="N1660" s="4" t="s">
        <v>2272</v>
      </c>
      <c r="O1660" s="21">
        <v>1815</v>
      </c>
      <c r="P1660" s="4" t="s">
        <v>2272</v>
      </c>
      <c r="Q1660" s="21">
        <f>U1660/13377</f>
        <v>1.3276519398968378</v>
      </c>
      <c r="R1660" s="4" t="s">
        <v>2272</v>
      </c>
      <c r="S1660" s="4" t="s">
        <v>2272</v>
      </c>
      <c r="T1660" s="4" t="s">
        <v>2272</v>
      </c>
      <c r="U1660" s="21">
        <f>88800/5</f>
        <v>17760</v>
      </c>
      <c r="V1660" s="4" t="s">
        <v>2272</v>
      </c>
      <c r="W1660" s="4" t="s">
        <v>2272</v>
      </c>
      <c r="X1660" s="4" t="s">
        <v>2272</v>
      </c>
      <c r="Y1660" s="21">
        <f>U1660/'Record info'!K810</f>
        <v>0.75697871721943311</v>
      </c>
      <c r="Z1660" s="4" t="s">
        <v>2272</v>
      </c>
      <c r="AA1660" s="198" t="s">
        <v>33</v>
      </c>
      <c r="AB1660" s="198" t="s">
        <v>67</v>
      </c>
      <c r="AC1660" s="198" t="s">
        <v>2650</v>
      </c>
      <c r="AD1660" s="198"/>
      <c r="AE1660" s="198" t="s">
        <v>4943</v>
      </c>
    </row>
    <row r="1661" spans="1:31" ht="52" customHeight="1">
      <c r="A1661" s="198" t="s">
        <v>4934</v>
      </c>
      <c r="B1661" s="198" t="s">
        <v>4940</v>
      </c>
      <c r="C1661" s="198" t="s">
        <v>1102</v>
      </c>
      <c r="D1661" s="198" t="s">
        <v>2272</v>
      </c>
      <c r="E1661" s="4" t="s">
        <v>394</v>
      </c>
      <c r="F1661" s="4" t="s">
        <v>27</v>
      </c>
      <c r="G1661" s="198" t="s">
        <v>27</v>
      </c>
      <c r="H1661" s="198" t="s">
        <v>521</v>
      </c>
      <c r="I1661" s="198"/>
      <c r="J1661" s="4" t="s">
        <v>2272</v>
      </c>
      <c r="K1661" s="4" t="s">
        <v>2272</v>
      </c>
      <c r="L1661" s="4" t="s">
        <v>2272</v>
      </c>
      <c r="M1661" s="4" t="s">
        <v>2272</v>
      </c>
      <c r="N1661" s="4" t="s">
        <v>2272</v>
      </c>
      <c r="O1661" s="4" t="s">
        <v>2272</v>
      </c>
      <c r="P1661" s="4" t="s">
        <v>2272</v>
      </c>
      <c r="Q1661" s="4" t="s">
        <v>2272</v>
      </c>
      <c r="R1661" s="4" t="s">
        <v>2272</v>
      </c>
      <c r="S1661" s="4" t="s">
        <v>2272</v>
      </c>
      <c r="T1661" s="4" t="s">
        <v>2272</v>
      </c>
      <c r="U1661" s="4" t="s">
        <v>2272</v>
      </c>
      <c r="V1661" s="4" t="s">
        <v>2272</v>
      </c>
      <c r="W1661" s="4" t="s">
        <v>2272</v>
      </c>
      <c r="X1661" s="4" t="s">
        <v>2272</v>
      </c>
      <c r="Y1661" s="4" t="s">
        <v>2272</v>
      </c>
      <c r="Z1661" s="4" t="s">
        <v>2272</v>
      </c>
      <c r="AA1661" s="198" t="s">
        <v>33</v>
      </c>
      <c r="AB1661" s="198" t="s">
        <v>67</v>
      </c>
      <c r="AC1661" s="198" t="s">
        <v>2650</v>
      </c>
      <c r="AD1661" s="4" t="s">
        <v>4941</v>
      </c>
      <c r="AE1661" s="4" t="s">
        <v>4950</v>
      </c>
    </row>
    <row r="1662" spans="1:31" ht="52" customHeight="1">
      <c r="A1662" s="198" t="s">
        <v>4934</v>
      </c>
      <c r="B1662" s="198" t="s">
        <v>4942</v>
      </c>
      <c r="C1662" s="198" t="s">
        <v>23</v>
      </c>
      <c r="D1662" s="198" t="s">
        <v>2654</v>
      </c>
      <c r="E1662" s="4" t="s">
        <v>394</v>
      </c>
      <c r="F1662" s="4" t="s">
        <v>27</v>
      </c>
      <c r="G1662" s="198" t="s">
        <v>2272</v>
      </c>
      <c r="H1662" s="198" t="s">
        <v>521</v>
      </c>
      <c r="I1662" s="198"/>
      <c r="J1662" s="4" t="s">
        <v>2272</v>
      </c>
      <c r="K1662" s="4" t="s">
        <v>2272</v>
      </c>
      <c r="L1662" s="4" t="s">
        <v>2272</v>
      </c>
      <c r="M1662" s="4" t="s">
        <v>2272</v>
      </c>
      <c r="N1662" s="4" t="s">
        <v>2272</v>
      </c>
      <c r="O1662" s="4" t="s">
        <v>2272</v>
      </c>
      <c r="P1662" s="4" t="s">
        <v>2272</v>
      </c>
      <c r="Q1662" s="4" t="s">
        <v>2272</v>
      </c>
      <c r="R1662" s="4" t="s">
        <v>2272</v>
      </c>
      <c r="S1662" s="4" t="s">
        <v>2272</v>
      </c>
      <c r="T1662" s="4" t="s">
        <v>2272</v>
      </c>
      <c r="U1662" s="4" t="s">
        <v>2272</v>
      </c>
      <c r="V1662" s="4" t="s">
        <v>2272</v>
      </c>
      <c r="W1662" s="4" t="s">
        <v>2272</v>
      </c>
      <c r="X1662" s="4" t="s">
        <v>2272</v>
      </c>
      <c r="Y1662" s="4" t="s">
        <v>2272</v>
      </c>
      <c r="Z1662" s="4" t="s">
        <v>2272</v>
      </c>
      <c r="AA1662" s="198" t="s">
        <v>33</v>
      </c>
      <c r="AB1662" s="198" t="s">
        <v>67</v>
      </c>
      <c r="AC1662" s="198" t="s">
        <v>2650</v>
      </c>
      <c r="AD1662" s="4" t="s">
        <v>4941</v>
      </c>
      <c r="AE1662" s="4" t="s">
        <v>4950</v>
      </c>
    </row>
    <row r="1663" spans="1:31" ht="62" customHeight="1">
      <c r="A1663" s="198" t="s">
        <v>4934</v>
      </c>
      <c r="B1663" s="198" t="s">
        <v>4944</v>
      </c>
      <c r="C1663" s="198" t="s">
        <v>1102</v>
      </c>
      <c r="D1663" s="198" t="s">
        <v>1102</v>
      </c>
      <c r="E1663" s="4" t="s">
        <v>2645</v>
      </c>
      <c r="F1663" s="4" t="s">
        <v>2272</v>
      </c>
      <c r="G1663" s="198" t="s">
        <v>27</v>
      </c>
      <c r="H1663" s="198" t="s">
        <v>521</v>
      </c>
      <c r="I1663" s="198"/>
      <c r="J1663" s="4" t="s">
        <v>2272</v>
      </c>
      <c r="K1663" s="4" t="s">
        <v>2272</v>
      </c>
      <c r="L1663" s="4" t="s">
        <v>2272</v>
      </c>
      <c r="M1663" s="4" t="s">
        <v>2272</v>
      </c>
      <c r="N1663" s="4" t="s">
        <v>2272</v>
      </c>
      <c r="O1663" s="4" t="s">
        <v>2272</v>
      </c>
      <c r="P1663" s="4" t="s">
        <v>2272</v>
      </c>
      <c r="Q1663" s="4" t="s">
        <v>2272</v>
      </c>
      <c r="R1663" s="4" t="s">
        <v>2272</v>
      </c>
      <c r="S1663" s="4" t="s">
        <v>2272</v>
      </c>
      <c r="T1663" s="4" t="s">
        <v>2272</v>
      </c>
      <c r="U1663" s="4" t="s">
        <v>2272</v>
      </c>
      <c r="V1663" s="4" t="s">
        <v>2272</v>
      </c>
      <c r="W1663" s="4" t="s">
        <v>2272</v>
      </c>
      <c r="X1663" s="4" t="s">
        <v>2272</v>
      </c>
      <c r="Y1663" s="4" t="s">
        <v>2272</v>
      </c>
      <c r="Z1663" s="4" t="s">
        <v>2272</v>
      </c>
      <c r="AA1663" s="198" t="s">
        <v>33</v>
      </c>
      <c r="AB1663" s="198" t="s">
        <v>67</v>
      </c>
      <c r="AC1663" s="198" t="s">
        <v>2650</v>
      </c>
      <c r="AD1663" s="4"/>
      <c r="AE1663" s="4" t="s">
        <v>4951</v>
      </c>
    </row>
    <row r="1664" spans="1:31" ht="52" customHeight="1">
      <c r="A1664" s="198" t="s">
        <v>4934</v>
      </c>
      <c r="B1664" s="198" t="s">
        <v>4945</v>
      </c>
      <c r="C1664" s="198" t="s">
        <v>1102</v>
      </c>
      <c r="D1664" s="198" t="s">
        <v>1102</v>
      </c>
      <c r="E1664" s="4" t="s">
        <v>44</v>
      </c>
      <c r="F1664" s="4" t="s">
        <v>2272</v>
      </c>
      <c r="G1664" s="198" t="s">
        <v>28</v>
      </c>
      <c r="H1664" s="198" t="s">
        <v>521</v>
      </c>
      <c r="I1664" s="198"/>
      <c r="J1664" s="4" t="s">
        <v>2272</v>
      </c>
      <c r="K1664" s="4" t="s">
        <v>2272</v>
      </c>
      <c r="L1664" s="4" t="s">
        <v>2272</v>
      </c>
      <c r="M1664" s="4" t="s">
        <v>2272</v>
      </c>
      <c r="N1664" s="4" t="s">
        <v>2272</v>
      </c>
      <c r="O1664" s="4" t="s">
        <v>2272</v>
      </c>
      <c r="P1664" s="4" t="s">
        <v>2272</v>
      </c>
      <c r="Q1664" s="4" t="s">
        <v>2272</v>
      </c>
      <c r="R1664" s="4" t="s">
        <v>2272</v>
      </c>
      <c r="S1664" s="4" t="s">
        <v>2272</v>
      </c>
      <c r="T1664" s="4" t="s">
        <v>2272</v>
      </c>
      <c r="U1664" s="4" t="s">
        <v>2272</v>
      </c>
      <c r="V1664" s="4" t="s">
        <v>2272</v>
      </c>
      <c r="W1664" s="4" t="s">
        <v>2272</v>
      </c>
      <c r="X1664" s="4" t="s">
        <v>2272</v>
      </c>
      <c r="Y1664" s="4" t="s">
        <v>2272</v>
      </c>
      <c r="Z1664" s="4" t="s">
        <v>2272</v>
      </c>
      <c r="AA1664" s="198" t="s">
        <v>33</v>
      </c>
      <c r="AB1664" s="198" t="s">
        <v>67</v>
      </c>
      <c r="AC1664" s="198" t="s">
        <v>2650</v>
      </c>
      <c r="AD1664" s="4"/>
      <c r="AE1664" s="4" t="s">
        <v>4950</v>
      </c>
    </row>
    <row r="1665" spans="1:31" ht="42.5" customHeight="1">
      <c r="A1665" s="198" t="s">
        <v>4934</v>
      </c>
      <c r="B1665" s="198" t="s">
        <v>4948</v>
      </c>
      <c r="C1665" s="198" t="s">
        <v>1102</v>
      </c>
      <c r="D1665" s="198" t="s">
        <v>1102</v>
      </c>
      <c r="E1665" s="198" t="s">
        <v>2272</v>
      </c>
      <c r="F1665" s="4" t="s">
        <v>2272</v>
      </c>
      <c r="G1665" s="198" t="s">
        <v>73</v>
      </c>
      <c r="H1665" s="198" t="s">
        <v>521</v>
      </c>
      <c r="I1665" s="198"/>
      <c r="J1665" s="21">
        <f>862/5/3880</f>
        <v>4.4432989690721653E-2</v>
      </c>
      <c r="K1665" s="21">
        <f>(862)/5/'Record info'!$K$810</f>
        <v>7.3481492594949472E-3</v>
      </c>
      <c r="L1665" s="4" t="s">
        <v>2272</v>
      </c>
      <c r="M1665" s="4" t="s">
        <v>2272</v>
      </c>
      <c r="N1665" s="4" t="s">
        <v>2272</v>
      </c>
      <c r="O1665" s="4" t="s">
        <v>2272</v>
      </c>
      <c r="P1665" s="4" t="s">
        <v>2272</v>
      </c>
      <c r="Q1665" s="21">
        <v>7.03</v>
      </c>
      <c r="R1665" s="4" t="s">
        <v>2272</v>
      </c>
      <c r="S1665" s="4" t="s">
        <v>2272</v>
      </c>
      <c r="T1665" s="4" t="s">
        <v>2272</v>
      </c>
      <c r="U1665" s="21">
        <f>862*7.03/5</f>
        <v>1211.9720000000002</v>
      </c>
      <c r="V1665" s="4" t="s">
        <v>2272</v>
      </c>
      <c r="W1665" s="21">
        <f>100*U1665/387960.4</f>
        <v>0.3123958012209494</v>
      </c>
      <c r="X1665" s="4" t="s">
        <v>2272</v>
      </c>
      <c r="Y1665" s="71">
        <f>U1665/'Record info'!K$810</f>
        <v>5.1657489294249487E-2</v>
      </c>
      <c r="Z1665" s="4" t="s">
        <v>2272</v>
      </c>
      <c r="AA1665" s="198" t="s">
        <v>33</v>
      </c>
      <c r="AB1665" s="198" t="s">
        <v>67</v>
      </c>
      <c r="AC1665" s="198" t="s">
        <v>2650</v>
      </c>
      <c r="AD1665" s="198"/>
      <c r="AE1665" s="4" t="s">
        <v>4947</v>
      </c>
    </row>
    <row r="1666" spans="1:31" ht="45.5" customHeight="1">
      <c r="A1666" s="198" t="s">
        <v>4934</v>
      </c>
      <c r="B1666" s="198" t="s">
        <v>4949</v>
      </c>
      <c r="C1666" s="198" t="s">
        <v>1102</v>
      </c>
      <c r="D1666" s="198" t="s">
        <v>1102</v>
      </c>
      <c r="E1666" s="198" t="s">
        <v>2272</v>
      </c>
      <c r="F1666" s="4" t="s">
        <v>2272</v>
      </c>
      <c r="G1666" s="4" t="s">
        <v>2657</v>
      </c>
      <c r="H1666" s="198" t="s">
        <v>521</v>
      </c>
      <c r="I1666" s="198"/>
      <c r="J1666" s="21">
        <f>1947/5/6825</f>
        <v>5.7054945054945051E-2</v>
      </c>
      <c r="K1666" s="21">
        <f>(1947)/5/'Record info'!$K$810</f>
        <v>1.6597269847142299E-2</v>
      </c>
      <c r="L1666" s="4" t="s">
        <v>2272</v>
      </c>
      <c r="M1666" s="4" t="s">
        <v>2272</v>
      </c>
      <c r="N1666" s="4" t="s">
        <v>2272</v>
      </c>
      <c r="O1666" s="4" t="s">
        <v>2272</v>
      </c>
      <c r="P1666" s="4" t="s">
        <v>2272</v>
      </c>
      <c r="Q1666" s="21">
        <v>9.1999999999999993</v>
      </c>
      <c r="R1666" s="4" t="s">
        <v>2272</v>
      </c>
      <c r="S1666" s="4" t="s">
        <v>2272</v>
      </c>
      <c r="T1666" s="4" t="s">
        <v>2272</v>
      </c>
      <c r="U1666" s="21">
        <f>1947*9.2/5</f>
        <v>3582.4799999999996</v>
      </c>
      <c r="V1666" s="4" t="s">
        <v>2272</v>
      </c>
      <c r="W1666" s="21">
        <f>100*U1666/682507.76</f>
        <v>0.52489952641710613</v>
      </c>
      <c r="X1666" s="4" t="s">
        <v>2272</v>
      </c>
      <c r="Y1666" s="71">
        <f>U1666/'Record info'!K$810</f>
        <v>0.15269488259370914</v>
      </c>
      <c r="Z1666" s="4" t="s">
        <v>2272</v>
      </c>
      <c r="AA1666" s="198" t="s">
        <v>33</v>
      </c>
      <c r="AB1666" s="198" t="s">
        <v>67</v>
      </c>
      <c r="AC1666" s="198" t="s">
        <v>2650</v>
      </c>
      <c r="AD1666" s="198"/>
      <c r="AE1666" s="4" t="s">
        <v>4947</v>
      </c>
    </row>
    <row r="1667" spans="1:31" ht="51.5" customHeight="1">
      <c r="A1667" s="198" t="s">
        <v>4955</v>
      </c>
      <c r="B1667" s="198" t="s">
        <v>4958</v>
      </c>
      <c r="C1667" s="198" t="s">
        <v>23</v>
      </c>
      <c r="D1667" s="198" t="s">
        <v>3471</v>
      </c>
      <c r="E1667" s="198" t="s">
        <v>860</v>
      </c>
      <c r="F1667" s="4" t="s">
        <v>73</v>
      </c>
      <c r="G1667" s="198" t="s">
        <v>2272</v>
      </c>
      <c r="H1667" s="198" t="s">
        <v>521</v>
      </c>
      <c r="I1667" s="198"/>
      <c r="J1667" s="4" t="s">
        <v>2272</v>
      </c>
      <c r="K1667" s="4" t="s">
        <v>2272</v>
      </c>
      <c r="L1667" s="4" t="s">
        <v>2272</v>
      </c>
      <c r="M1667" s="4" t="s">
        <v>2272</v>
      </c>
      <c r="N1667" s="4" t="s">
        <v>2272</v>
      </c>
      <c r="O1667" s="4" t="s">
        <v>2272</v>
      </c>
      <c r="P1667" s="4" t="s">
        <v>2272</v>
      </c>
      <c r="Q1667" s="4" t="s">
        <v>2272</v>
      </c>
      <c r="R1667" s="4" t="s">
        <v>2272</v>
      </c>
      <c r="S1667" s="4" t="s">
        <v>2272</v>
      </c>
      <c r="T1667" s="4" t="s">
        <v>2272</v>
      </c>
      <c r="U1667" s="4" t="s">
        <v>2272</v>
      </c>
      <c r="V1667" s="4" t="s">
        <v>2272</v>
      </c>
      <c r="W1667" s="4" t="s">
        <v>2272</v>
      </c>
      <c r="X1667" s="4" t="s">
        <v>2272</v>
      </c>
      <c r="Y1667" s="4" t="s">
        <v>2272</v>
      </c>
      <c r="Z1667" s="4" t="s">
        <v>2272</v>
      </c>
      <c r="AA1667" s="4" t="s">
        <v>2272</v>
      </c>
      <c r="AB1667" s="4" t="s">
        <v>2272</v>
      </c>
      <c r="AC1667" s="4" t="s">
        <v>2272</v>
      </c>
      <c r="AD1667" s="198"/>
      <c r="AE1667" s="198"/>
    </row>
    <row r="1668" spans="1:31" ht="84.5" customHeight="1">
      <c r="A1668" s="198" t="s">
        <v>4959</v>
      </c>
      <c r="B1668" s="198" t="s">
        <v>4961</v>
      </c>
      <c r="C1668" s="198" t="s">
        <v>23</v>
      </c>
      <c r="D1668" s="198" t="s">
        <v>24</v>
      </c>
      <c r="E1668" s="198" t="s">
        <v>5000</v>
      </c>
      <c r="F1668" s="4" t="s">
        <v>2657</v>
      </c>
      <c r="G1668" s="198" t="s">
        <v>2272</v>
      </c>
      <c r="H1668" s="198" t="s">
        <v>522</v>
      </c>
      <c r="I1668" s="198"/>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21">
        <v>0</v>
      </c>
      <c r="Z1668" s="4" t="s">
        <v>2272</v>
      </c>
      <c r="AA1668" s="4" t="s">
        <v>2272</v>
      </c>
      <c r="AB1668" s="4" t="s">
        <v>2272</v>
      </c>
      <c r="AC1668" s="4" t="s">
        <v>2272</v>
      </c>
      <c r="AD1668" s="4" t="s">
        <v>4962</v>
      </c>
      <c r="AE1668" s="198"/>
    </row>
    <row r="1669" spans="1:31" ht="47.5" customHeight="1">
      <c r="A1669" s="198" t="s">
        <v>4972</v>
      </c>
      <c r="B1669" s="198" t="s">
        <v>4978</v>
      </c>
      <c r="C1669" s="198" t="s">
        <v>23</v>
      </c>
      <c r="D1669" s="198" t="s">
        <v>24</v>
      </c>
      <c r="E1669" s="198" t="s">
        <v>5000</v>
      </c>
      <c r="F1669" s="4" t="s">
        <v>2657</v>
      </c>
      <c r="G1669" s="198" t="s">
        <v>2272</v>
      </c>
      <c r="H1669" s="198" t="s">
        <v>521</v>
      </c>
      <c r="I1669" s="198">
        <v>1976</v>
      </c>
      <c r="J1669" s="4" t="s">
        <v>2272</v>
      </c>
      <c r="K1669" s="4" t="s">
        <v>2272</v>
      </c>
      <c r="L1669" s="4" t="s">
        <v>2272</v>
      </c>
      <c r="M1669" s="4" t="s">
        <v>2272</v>
      </c>
      <c r="N1669" s="4" t="s">
        <v>2272</v>
      </c>
      <c r="O1669" s="4" t="s">
        <v>2272</v>
      </c>
      <c r="P1669" s="4" t="s">
        <v>2272</v>
      </c>
      <c r="Q1669" s="4" t="s">
        <v>2272</v>
      </c>
      <c r="R1669" s="4" t="s">
        <v>2272</v>
      </c>
      <c r="S1669" s="4" t="s">
        <v>2272</v>
      </c>
      <c r="T1669" s="4" t="s">
        <v>2272</v>
      </c>
      <c r="U1669" s="4" t="s">
        <v>2272</v>
      </c>
      <c r="V1669" s="4" t="s">
        <v>2272</v>
      </c>
      <c r="W1669" s="4" t="s">
        <v>2272</v>
      </c>
      <c r="X1669" s="4" t="s">
        <v>2272</v>
      </c>
      <c r="Y1669" s="4" t="s">
        <v>2272</v>
      </c>
      <c r="Z1669" s="4" t="s">
        <v>2272</v>
      </c>
      <c r="AA1669" s="4" t="s">
        <v>2272</v>
      </c>
      <c r="AB1669" s="4" t="s">
        <v>2272</v>
      </c>
      <c r="AC1669" s="4" t="s">
        <v>2272</v>
      </c>
      <c r="AD1669" s="198"/>
      <c r="AE1669" s="198"/>
    </row>
    <row r="1670" spans="1:31" ht="47.5" customHeight="1">
      <c r="A1670" s="198" t="s">
        <v>4972</v>
      </c>
      <c r="B1670" s="198" t="s">
        <v>4979</v>
      </c>
      <c r="C1670" s="198" t="s">
        <v>23</v>
      </c>
      <c r="D1670" s="198" t="s">
        <v>25</v>
      </c>
      <c r="E1670" s="198" t="s">
        <v>5000</v>
      </c>
      <c r="F1670" s="4" t="s">
        <v>2657</v>
      </c>
      <c r="G1670" s="198" t="s">
        <v>2272</v>
      </c>
      <c r="H1670" s="198" t="s">
        <v>521</v>
      </c>
      <c r="I1670" s="198">
        <v>1976</v>
      </c>
      <c r="J1670" s="4" t="s">
        <v>2272</v>
      </c>
      <c r="K1670" s="4" t="s">
        <v>2272</v>
      </c>
      <c r="L1670" s="4" t="s">
        <v>2272</v>
      </c>
      <c r="M1670" s="4" t="s">
        <v>2272</v>
      </c>
      <c r="N1670" s="4" t="s">
        <v>2272</v>
      </c>
      <c r="O1670" s="4" t="s">
        <v>2272</v>
      </c>
      <c r="P1670" s="4" t="s">
        <v>2272</v>
      </c>
      <c r="Q1670" s="4" t="s">
        <v>2272</v>
      </c>
      <c r="R1670" s="4" t="s">
        <v>2272</v>
      </c>
      <c r="S1670" s="4" t="s">
        <v>2272</v>
      </c>
      <c r="T1670" s="4" t="s">
        <v>2272</v>
      </c>
      <c r="U1670" s="4" t="s">
        <v>2272</v>
      </c>
      <c r="V1670" s="4" t="s">
        <v>2272</v>
      </c>
      <c r="W1670" s="4" t="s">
        <v>2272</v>
      </c>
      <c r="X1670" s="4" t="s">
        <v>2272</v>
      </c>
      <c r="Y1670" s="4" t="s">
        <v>2272</v>
      </c>
      <c r="Z1670" s="4" t="s">
        <v>2272</v>
      </c>
      <c r="AA1670" s="198" t="s">
        <v>37</v>
      </c>
      <c r="AB1670" s="198" t="s">
        <v>67</v>
      </c>
      <c r="AC1670" s="4" t="s">
        <v>2272</v>
      </c>
      <c r="AD1670" s="198"/>
      <c r="AE1670" s="198"/>
    </row>
    <row r="1671" spans="1:31" ht="47.5" customHeight="1">
      <c r="A1671" s="198" t="s">
        <v>4972</v>
      </c>
      <c r="B1671" s="198" t="s">
        <v>4980</v>
      </c>
      <c r="C1671" s="198" t="s">
        <v>23</v>
      </c>
      <c r="D1671" s="198" t="s">
        <v>1241</v>
      </c>
      <c r="E1671" s="198" t="s">
        <v>114</v>
      </c>
      <c r="F1671" s="4" t="s">
        <v>2657</v>
      </c>
      <c r="G1671" s="198" t="s">
        <v>2272</v>
      </c>
      <c r="H1671" s="198" t="s">
        <v>521</v>
      </c>
      <c r="I1671" s="198">
        <v>1976</v>
      </c>
      <c r="J1671" s="4" t="s">
        <v>2272</v>
      </c>
      <c r="K1671" s="4" t="s">
        <v>2272</v>
      </c>
      <c r="L1671" s="4" t="s">
        <v>2272</v>
      </c>
      <c r="M1671" s="4" t="s">
        <v>2272</v>
      </c>
      <c r="N1671" s="4" t="s">
        <v>2272</v>
      </c>
      <c r="O1671" s="4" t="s">
        <v>2272</v>
      </c>
      <c r="P1671" s="4" t="s">
        <v>2272</v>
      </c>
      <c r="Q1671" s="4" t="s">
        <v>2272</v>
      </c>
      <c r="R1671" s="4" t="s">
        <v>2272</v>
      </c>
      <c r="S1671" s="4" t="s">
        <v>2272</v>
      </c>
      <c r="T1671" s="4" t="s">
        <v>2272</v>
      </c>
      <c r="U1671" s="4" t="s">
        <v>2272</v>
      </c>
      <c r="V1671" s="4" t="s">
        <v>2272</v>
      </c>
      <c r="W1671" s="4" t="s">
        <v>2272</v>
      </c>
      <c r="X1671" s="4" t="s">
        <v>2272</v>
      </c>
      <c r="Y1671" s="4" t="s">
        <v>2272</v>
      </c>
      <c r="Z1671" s="4" t="s">
        <v>2272</v>
      </c>
      <c r="AA1671" s="4" t="s">
        <v>2272</v>
      </c>
      <c r="AB1671" s="4" t="s">
        <v>2272</v>
      </c>
      <c r="AC1671" s="4" t="s">
        <v>2272</v>
      </c>
      <c r="AD1671" s="198"/>
      <c r="AE1671" s="198"/>
    </row>
    <row r="1672" spans="1:31" ht="47.5" customHeight="1">
      <c r="A1672" s="198" t="s">
        <v>4972</v>
      </c>
      <c r="B1672" s="198" t="s">
        <v>4981</v>
      </c>
      <c r="C1672" s="198" t="s">
        <v>23</v>
      </c>
      <c r="D1672" s="198" t="s">
        <v>24</v>
      </c>
      <c r="E1672" s="198" t="s">
        <v>5000</v>
      </c>
      <c r="F1672" s="4" t="s">
        <v>2657</v>
      </c>
      <c r="G1672" s="198" t="s">
        <v>2272</v>
      </c>
      <c r="H1672" s="198" t="s">
        <v>522</v>
      </c>
      <c r="I1672" s="198">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21">
        <v>0</v>
      </c>
      <c r="Z1672" s="4" t="s">
        <v>2272</v>
      </c>
      <c r="AA1672" s="4" t="s">
        <v>2272</v>
      </c>
      <c r="AB1672" s="4" t="s">
        <v>2272</v>
      </c>
      <c r="AC1672" s="4" t="s">
        <v>2272</v>
      </c>
      <c r="AD1672" s="198"/>
      <c r="AE1672" s="198"/>
    </row>
    <row r="1673" spans="1:31" ht="47.5" customHeight="1">
      <c r="A1673" s="198" t="s">
        <v>4972</v>
      </c>
      <c r="B1673" s="198" t="s">
        <v>4982</v>
      </c>
      <c r="C1673" s="198" t="s">
        <v>23</v>
      </c>
      <c r="D1673" s="198" t="s">
        <v>25</v>
      </c>
      <c r="E1673" s="198" t="s">
        <v>5000</v>
      </c>
      <c r="F1673" s="4" t="s">
        <v>2657</v>
      </c>
      <c r="G1673" s="198" t="s">
        <v>2272</v>
      </c>
      <c r="H1673" s="198" t="s">
        <v>522</v>
      </c>
      <c r="I1673" s="198">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21">
        <v>0</v>
      </c>
      <c r="Z1673" s="4" t="s">
        <v>2272</v>
      </c>
      <c r="AA1673" s="4" t="s">
        <v>2272</v>
      </c>
      <c r="AB1673" s="4" t="s">
        <v>2272</v>
      </c>
      <c r="AC1673" s="4" t="s">
        <v>2272</v>
      </c>
      <c r="AD1673" s="198"/>
      <c r="AE1673" s="198"/>
    </row>
    <row r="1674" spans="1:31" ht="47.5" customHeight="1">
      <c r="A1674" s="198" t="s">
        <v>4972</v>
      </c>
      <c r="B1674" s="198" t="s">
        <v>4983</v>
      </c>
      <c r="C1674" s="198" t="s">
        <v>23</v>
      </c>
      <c r="D1674" s="198" t="s">
        <v>1241</v>
      </c>
      <c r="E1674" s="198" t="s">
        <v>114</v>
      </c>
      <c r="F1674" s="4" t="s">
        <v>2657</v>
      </c>
      <c r="G1674" s="198" t="s">
        <v>2272</v>
      </c>
      <c r="H1674" s="198" t="s">
        <v>522</v>
      </c>
      <c r="I1674" s="198">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21">
        <v>0</v>
      </c>
      <c r="Z1674" s="4" t="s">
        <v>2272</v>
      </c>
      <c r="AA1674" s="4" t="s">
        <v>2272</v>
      </c>
      <c r="AB1674" s="4" t="s">
        <v>2272</v>
      </c>
      <c r="AC1674" s="4" t="s">
        <v>2272</v>
      </c>
      <c r="AD1674" s="198"/>
      <c r="AE1674" s="198"/>
    </row>
    <row r="1675" spans="1:31" ht="38" customHeight="1">
      <c r="A1675" s="198" t="s">
        <v>4972</v>
      </c>
      <c r="B1675" s="198" t="s">
        <v>4984</v>
      </c>
      <c r="C1675" s="198" t="s">
        <v>23</v>
      </c>
      <c r="D1675" s="198" t="s">
        <v>2272</v>
      </c>
      <c r="E1675" s="198" t="s">
        <v>5000</v>
      </c>
      <c r="F1675" s="4" t="s">
        <v>2657</v>
      </c>
      <c r="G1675" s="198" t="s">
        <v>2272</v>
      </c>
      <c r="H1675" s="198" t="s">
        <v>521</v>
      </c>
      <c r="I1675" s="198">
        <v>2004</v>
      </c>
      <c r="J1675" s="4" t="s">
        <v>2272</v>
      </c>
      <c r="K1675" s="4" t="s">
        <v>2272</v>
      </c>
      <c r="L1675" s="4" t="s">
        <v>2272</v>
      </c>
      <c r="M1675" s="4" t="s">
        <v>2272</v>
      </c>
      <c r="N1675" s="4" t="s">
        <v>2272</v>
      </c>
      <c r="O1675" s="4" t="s">
        <v>2272</v>
      </c>
      <c r="P1675" s="4" t="s">
        <v>2272</v>
      </c>
      <c r="Q1675" s="4" t="s">
        <v>2272</v>
      </c>
      <c r="R1675" s="4" t="s">
        <v>2272</v>
      </c>
      <c r="S1675" s="4" t="s">
        <v>2272</v>
      </c>
      <c r="T1675" s="4" t="s">
        <v>2272</v>
      </c>
      <c r="U1675" s="4" t="s">
        <v>2272</v>
      </c>
      <c r="V1675" s="4" t="s">
        <v>2272</v>
      </c>
      <c r="W1675" s="4" t="s">
        <v>2272</v>
      </c>
      <c r="X1675" s="4" t="s">
        <v>2272</v>
      </c>
      <c r="Y1675" s="4" t="s">
        <v>2272</v>
      </c>
      <c r="Z1675" s="4" t="s">
        <v>2272</v>
      </c>
      <c r="AA1675" s="198" t="s">
        <v>37</v>
      </c>
      <c r="AB1675" s="198" t="s">
        <v>67</v>
      </c>
      <c r="AC1675" s="4" t="s">
        <v>2272</v>
      </c>
      <c r="AD1675" s="4" t="s">
        <v>4986</v>
      </c>
      <c r="AE1675" s="198"/>
    </row>
    <row r="1676" spans="1:31" ht="37" customHeight="1">
      <c r="A1676" s="198" t="s">
        <v>4972</v>
      </c>
      <c r="B1676" s="198" t="s">
        <v>4985</v>
      </c>
      <c r="C1676" s="198" t="s">
        <v>23</v>
      </c>
      <c r="D1676" s="198" t="s">
        <v>2272</v>
      </c>
      <c r="E1676" s="198" t="s">
        <v>114</v>
      </c>
      <c r="F1676" s="4" t="s">
        <v>2657</v>
      </c>
      <c r="G1676" s="198" t="s">
        <v>2272</v>
      </c>
      <c r="H1676" s="198" t="s">
        <v>521</v>
      </c>
      <c r="I1676" s="198">
        <v>2004</v>
      </c>
      <c r="J1676" s="4" t="s">
        <v>2272</v>
      </c>
      <c r="K1676" s="4" t="s">
        <v>2272</v>
      </c>
      <c r="L1676" s="4" t="s">
        <v>2272</v>
      </c>
      <c r="M1676" s="4" t="s">
        <v>2272</v>
      </c>
      <c r="N1676" s="4" t="s">
        <v>2272</v>
      </c>
      <c r="O1676" s="4" t="s">
        <v>2272</v>
      </c>
      <c r="P1676" s="4" t="s">
        <v>2272</v>
      </c>
      <c r="Q1676" s="4" t="s">
        <v>2272</v>
      </c>
      <c r="R1676" s="4" t="s">
        <v>2272</v>
      </c>
      <c r="S1676" s="4" t="s">
        <v>2272</v>
      </c>
      <c r="T1676" s="4" t="s">
        <v>2272</v>
      </c>
      <c r="U1676" s="4" t="s">
        <v>2272</v>
      </c>
      <c r="V1676" s="4" t="s">
        <v>2272</v>
      </c>
      <c r="W1676" s="4" t="s">
        <v>2272</v>
      </c>
      <c r="X1676" s="4" t="s">
        <v>2272</v>
      </c>
      <c r="Y1676" s="4" t="s">
        <v>2272</v>
      </c>
      <c r="Z1676" s="4" t="s">
        <v>2272</v>
      </c>
      <c r="AA1676" s="198" t="s">
        <v>37</v>
      </c>
      <c r="AB1676" s="198" t="s">
        <v>67</v>
      </c>
      <c r="AC1676" s="4" t="s">
        <v>2272</v>
      </c>
      <c r="AD1676" s="4" t="s">
        <v>4986</v>
      </c>
      <c r="AE1676" s="198"/>
    </row>
    <row r="1677" spans="1:31" ht="46" customHeight="1">
      <c r="A1677" s="198" t="s">
        <v>4989</v>
      </c>
      <c r="B1677" s="198" t="s">
        <v>4993</v>
      </c>
      <c r="C1677" s="198" t="s">
        <v>23</v>
      </c>
      <c r="D1677" s="198" t="s">
        <v>24</v>
      </c>
      <c r="E1677" s="198" t="s">
        <v>5000</v>
      </c>
      <c r="F1677" s="4" t="s">
        <v>2657</v>
      </c>
      <c r="G1677" s="198" t="s">
        <v>2272</v>
      </c>
      <c r="H1677" s="198" t="s">
        <v>521</v>
      </c>
      <c r="I1677" s="198"/>
      <c r="J1677" s="4" t="s">
        <v>2272</v>
      </c>
      <c r="K1677" s="4" t="s">
        <v>2272</v>
      </c>
      <c r="L1677" s="4" t="s">
        <v>2272</v>
      </c>
      <c r="M1677" s="4" t="s">
        <v>2272</v>
      </c>
      <c r="N1677" s="4" t="s">
        <v>2272</v>
      </c>
      <c r="O1677" s="4" t="s">
        <v>2272</v>
      </c>
      <c r="P1677" s="4" t="s">
        <v>2272</v>
      </c>
      <c r="Q1677" s="4" t="s">
        <v>2272</v>
      </c>
      <c r="R1677" s="4" t="s">
        <v>2272</v>
      </c>
      <c r="S1677" s="4" t="s">
        <v>2272</v>
      </c>
      <c r="T1677" s="4" t="s">
        <v>2272</v>
      </c>
      <c r="U1677" s="4" t="s">
        <v>2272</v>
      </c>
      <c r="V1677" s="4" t="s">
        <v>2272</v>
      </c>
      <c r="W1677" s="4" t="s">
        <v>2272</v>
      </c>
      <c r="X1677" s="4" t="s">
        <v>2272</v>
      </c>
      <c r="Y1677" s="4" t="s">
        <v>2272</v>
      </c>
      <c r="Z1677" s="4" t="s">
        <v>2272</v>
      </c>
      <c r="AA1677" s="4" t="s">
        <v>2272</v>
      </c>
      <c r="AB1677" s="4" t="s">
        <v>2272</v>
      </c>
      <c r="AC1677" s="4" t="s">
        <v>2272</v>
      </c>
      <c r="AD1677" s="198"/>
      <c r="AE1677" s="198"/>
    </row>
    <row r="1678" spans="1:31" ht="46" customHeight="1">
      <c r="A1678" s="198" t="s">
        <v>4989</v>
      </c>
      <c r="B1678" s="198" t="s">
        <v>4994</v>
      </c>
      <c r="C1678" s="198" t="s">
        <v>23</v>
      </c>
      <c r="D1678" s="198" t="s">
        <v>1241</v>
      </c>
      <c r="E1678" s="198" t="s">
        <v>114</v>
      </c>
      <c r="F1678" s="4" t="s">
        <v>2657</v>
      </c>
      <c r="G1678" s="198" t="s">
        <v>2272</v>
      </c>
      <c r="H1678" s="198" t="s">
        <v>521</v>
      </c>
      <c r="I1678" s="198"/>
      <c r="J1678" s="4" t="s">
        <v>2272</v>
      </c>
      <c r="K1678" s="4" t="s">
        <v>2272</v>
      </c>
      <c r="L1678" s="4" t="s">
        <v>2272</v>
      </c>
      <c r="M1678" s="4" t="s">
        <v>2272</v>
      </c>
      <c r="N1678" s="4" t="s">
        <v>2272</v>
      </c>
      <c r="O1678" s="4" t="s">
        <v>2272</v>
      </c>
      <c r="P1678" s="4" t="s">
        <v>2272</v>
      </c>
      <c r="Q1678" s="4" t="s">
        <v>2272</v>
      </c>
      <c r="R1678" s="4" t="s">
        <v>2272</v>
      </c>
      <c r="S1678" s="4" t="s">
        <v>2272</v>
      </c>
      <c r="T1678" s="4" t="s">
        <v>2272</v>
      </c>
      <c r="U1678" s="4" t="s">
        <v>2272</v>
      </c>
      <c r="V1678" s="4" t="s">
        <v>2272</v>
      </c>
      <c r="W1678" s="4" t="s">
        <v>2272</v>
      </c>
      <c r="X1678" s="4" t="s">
        <v>2272</v>
      </c>
      <c r="Y1678" s="4" t="s">
        <v>2272</v>
      </c>
      <c r="Z1678" s="4" t="s">
        <v>2272</v>
      </c>
      <c r="AA1678" s="4" t="s">
        <v>2272</v>
      </c>
      <c r="AB1678" s="4" t="s">
        <v>2272</v>
      </c>
      <c r="AC1678" s="4" t="s">
        <v>2272</v>
      </c>
      <c r="AD1678" s="198"/>
      <c r="AE1678" s="198"/>
    </row>
    <row r="1679" spans="1:31" ht="46" customHeight="1">
      <c r="A1679" s="198" t="s">
        <v>4989</v>
      </c>
      <c r="B1679" s="198" t="s">
        <v>4995</v>
      </c>
      <c r="C1679" s="198" t="s">
        <v>23</v>
      </c>
      <c r="D1679" s="198" t="s">
        <v>1128</v>
      </c>
      <c r="E1679" s="198" t="s">
        <v>5000</v>
      </c>
      <c r="F1679" s="4" t="s">
        <v>2657</v>
      </c>
      <c r="G1679" s="198" t="s">
        <v>2272</v>
      </c>
      <c r="H1679" s="198" t="s">
        <v>521</v>
      </c>
      <c r="I1679" s="198"/>
      <c r="J1679" s="4" t="s">
        <v>2272</v>
      </c>
      <c r="K1679" s="4" t="s">
        <v>2272</v>
      </c>
      <c r="L1679" s="4" t="s">
        <v>2272</v>
      </c>
      <c r="M1679" s="4" t="s">
        <v>2272</v>
      </c>
      <c r="N1679" s="4" t="s">
        <v>2272</v>
      </c>
      <c r="O1679" s="4" t="s">
        <v>2272</v>
      </c>
      <c r="P1679" s="4" t="s">
        <v>2272</v>
      </c>
      <c r="Q1679" s="4" t="s">
        <v>2272</v>
      </c>
      <c r="R1679" s="4" t="s">
        <v>2272</v>
      </c>
      <c r="S1679" s="4" t="s">
        <v>2272</v>
      </c>
      <c r="T1679" s="4" t="s">
        <v>2272</v>
      </c>
      <c r="U1679" s="4" t="s">
        <v>2272</v>
      </c>
      <c r="V1679" s="4" t="s">
        <v>2272</v>
      </c>
      <c r="W1679" s="4" t="s">
        <v>2272</v>
      </c>
      <c r="X1679" s="4" t="s">
        <v>2272</v>
      </c>
      <c r="Y1679" s="4" t="s">
        <v>2272</v>
      </c>
      <c r="Z1679" s="4" t="s">
        <v>2272</v>
      </c>
      <c r="AA1679" s="4" t="s">
        <v>2272</v>
      </c>
      <c r="AB1679" s="4" t="s">
        <v>2272</v>
      </c>
      <c r="AC1679" s="4" t="s">
        <v>2272</v>
      </c>
      <c r="AD1679" s="198" t="s">
        <v>4997</v>
      </c>
      <c r="AE1679" s="198"/>
    </row>
    <row r="1680" spans="1:31" ht="46" customHeight="1">
      <c r="A1680" s="198" t="s">
        <v>4989</v>
      </c>
      <c r="B1680" s="198" t="s">
        <v>4996</v>
      </c>
      <c r="C1680" s="198" t="s">
        <v>23</v>
      </c>
      <c r="D1680" s="198" t="s">
        <v>1128</v>
      </c>
      <c r="E1680" s="198" t="s">
        <v>114</v>
      </c>
      <c r="F1680" s="4" t="s">
        <v>2657</v>
      </c>
      <c r="G1680" s="198" t="s">
        <v>2272</v>
      </c>
      <c r="H1680" s="198" t="s">
        <v>521</v>
      </c>
      <c r="I1680" s="198"/>
      <c r="J1680" s="4" t="s">
        <v>2272</v>
      </c>
      <c r="K1680" s="4" t="s">
        <v>2272</v>
      </c>
      <c r="L1680" s="4" t="s">
        <v>2272</v>
      </c>
      <c r="M1680" s="4" t="s">
        <v>2272</v>
      </c>
      <c r="N1680" s="4" t="s">
        <v>2272</v>
      </c>
      <c r="O1680" s="4" t="s">
        <v>2272</v>
      </c>
      <c r="P1680" s="4" t="s">
        <v>2272</v>
      </c>
      <c r="Q1680" s="4" t="s">
        <v>2272</v>
      </c>
      <c r="R1680" s="4" t="s">
        <v>2272</v>
      </c>
      <c r="S1680" s="4" t="s">
        <v>2272</v>
      </c>
      <c r="T1680" s="4" t="s">
        <v>2272</v>
      </c>
      <c r="U1680" s="4" t="s">
        <v>2272</v>
      </c>
      <c r="V1680" s="4" t="s">
        <v>2272</v>
      </c>
      <c r="W1680" s="4" t="s">
        <v>2272</v>
      </c>
      <c r="X1680" s="4" t="s">
        <v>2272</v>
      </c>
      <c r="Y1680" s="4" t="s">
        <v>2272</v>
      </c>
      <c r="Z1680" s="4" t="s">
        <v>2272</v>
      </c>
      <c r="AA1680" s="4" t="s">
        <v>2272</v>
      </c>
      <c r="AB1680" s="4" t="s">
        <v>2272</v>
      </c>
      <c r="AC1680" s="4" t="s">
        <v>2272</v>
      </c>
      <c r="AD1680" s="198" t="s">
        <v>4997</v>
      </c>
      <c r="AE1680" s="198"/>
    </row>
    <row r="1681" spans="1:31" ht="51" customHeight="1">
      <c r="A1681" s="198" t="s">
        <v>5082</v>
      </c>
      <c r="B1681" s="198" t="s">
        <v>5088</v>
      </c>
      <c r="C1681" s="198" t="s">
        <v>23</v>
      </c>
      <c r="D1681" s="198" t="s">
        <v>24</v>
      </c>
      <c r="E1681" s="198" t="s">
        <v>5000</v>
      </c>
      <c r="F1681" s="4" t="s">
        <v>73</v>
      </c>
      <c r="G1681" s="198" t="s">
        <v>2272</v>
      </c>
      <c r="H1681" s="198" t="s">
        <v>522</v>
      </c>
      <c r="I1681" s="198"/>
      <c r="J1681" s="198">
        <v>0</v>
      </c>
      <c r="K1681" s="198">
        <v>0</v>
      </c>
      <c r="L1681" s="198">
        <v>0</v>
      </c>
      <c r="M1681" s="198">
        <v>0</v>
      </c>
      <c r="N1681" s="198">
        <v>0</v>
      </c>
      <c r="O1681" s="198">
        <v>0</v>
      </c>
      <c r="P1681" s="198">
        <v>0</v>
      </c>
      <c r="Q1681" s="198">
        <v>0</v>
      </c>
      <c r="R1681" s="198">
        <v>0</v>
      </c>
      <c r="S1681" s="198">
        <v>0</v>
      </c>
      <c r="T1681" s="198">
        <v>0</v>
      </c>
      <c r="U1681" s="198">
        <v>0</v>
      </c>
      <c r="V1681" s="198">
        <v>0</v>
      </c>
      <c r="W1681" s="198">
        <v>0</v>
      </c>
      <c r="X1681" s="198">
        <v>0</v>
      </c>
      <c r="Y1681" s="198">
        <v>0</v>
      </c>
      <c r="Z1681" s="4" t="s">
        <v>2272</v>
      </c>
      <c r="AA1681" s="4" t="s">
        <v>2272</v>
      </c>
      <c r="AB1681" s="4" t="s">
        <v>2272</v>
      </c>
      <c r="AC1681" s="4" t="s">
        <v>2272</v>
      </c>
      <c r="AD1681" s="4" t="s">
        <v>5092</v>
      </c>
      <c r="AE1681" s="198"/>
    </row>
    <row r="1682" spans="1:31" ht="53.5" customHeight="1">
      <c r="A1682" s="198" t="s">
        <v>5082</v>
      </c>
      <c r="B1682" s="198" t="s">
        <v>5089</v>
      </c>
      <c r="C1682" s="198" t="s">
        <v>23</v>
      </c>
      <c r="D1682" s="198" t="s">
        <v>60</v>
      </c>
      <c r="E1682" s="198" t="s">
        <v>5000</v>
      </c>
      <c r="F1682" s="4" t="s">
        <v>73</v>
      </c>
      <c r="G1682" s="198" t="s">
        <v>2272</v>
      </c>
      <c r="H1682" s="198" t="s">
        <v>522</v>
      </c>
      <c r="I1682" s="198"/>
      <c r="J1682" s="198">
        <v>0</v>
      </c>
      <c r="K1682" s="198">
        <v>0</v>
      </c>
      <c r="L1682" s="198">
        <v>0</v>
      </c>
      <c r="M1682" s="198">
        <v>0</v>
      </c>
      <c r="N1682" s="198">
        <v>0</v>
      </c>
      <c r="O1682" s="198">
        <v>0</v>
      </c>
      <c r="P1682" s="198">
        <v>0</v>
      </c>
      <c r="Q1682" s="198">
        <v>0</v>
      </c>
      <c r="R1682" s="198">
        <v>0</v>
      </c>
      <c r="S1682" s="198">
        <v>0</v>
      </c>
      <c r="T1682" s="198">
        <v>0</v>
      </c>
      <c r="U1682" s="198">
        <v>0</v>
      </c>
      <c r="V1682" s="198">
        <v>0</v>
      </c>
      <c r="W1682" s="198">
        <v>0</v>
      </c>
      <c r="X1682" s="198">
        <v>0</v>
      </c>
      <c r="Y1682" s="198">
        <v>0</v>
      </c>
      <c r="Z1682" s="4" t="s">
        <v>2272</v>
      </c>
      <c r="AA1682" s="4" t="s">
        <v>2272</v>
      </c>
      <c r="AB1682" s="4" t="s">
        <v>2272</v>
      </c>
      <c r="AC1682" s="4" t="s">
        <v>2272</v>
      </c>
      <c r="AD1682" s="4" t="s">
        <v>5092</v>
      </c>
      <c r="AE1682" s="198"/>
    </row>
    <row r="1683" spans="1:31" ht="42" customHeight="1">
      <c r="A1683" s="198" t="s">
        <v>5082</v>
      </c>
      <c r="B1683" s="198" t="s">
        <v>5090</v>
      </c>
      <c r="C1683" s="198" t="s">
        <v>23</v>
      </c>
      <c r="D1683" s="198" t="s">
        <v>142</v>
      </c>
      <c r="E1683" s="198" t="s">
        <v>135</v>
      </c>
      <c r="F1683" s="4" t="s">
        <v>73</v>
      </c>
      <c r="G1683" s="198" t="s">
        <v>2272</v>
      </c>
      <c r="H1683" s="198" t="s">
        <v>521</v>
      </c>
      <c r="I1683" s="198"/>
      <c r="J1683" s="4" t="s">
        <v>2272</v>
      </c>
      <c r="K1683" s="4" t="s">
        <v>2272</v>
      </c>
      <c r="L1683" s="4" t="s">
        <v>2272</v>
      </c>
      <c r="M1683" s="4" t="s">
        <v>2272</v>
      </c>
      <c r="N1683" s="4" t="s">
        <v>2272</v>
      </c>
      <c r="O1683" s="4" t="s">
        <v>2272</v>
      </c>
      <c r="P1683" s="4" t="s">
        <v>2272</v>
      </c>
      <c r="Q1683" s="4" t="s">
        <v>2272</v>
      </c>
      <c r="R1683" s="4" t="s">
        <v>2272</v>
      </c>
      <c r="S1683" s="4" t="s">
        <v>2272</v>
      </c>
      <c r="T1683" s="4" t="s">
        <v>2272</v>
      </c>
      <c r="U1683" s="4" t="s">
        <v>2272</v>
      </c>
      <c r="V1683" s="4" t="s">
        <v>2272</v>
      </c>
      <c r="W1683" s="4" t="s">
        <v>2272</v>
      </c>
      <c r="X1683" s="4" t="s">
        <v>2272</v>
      </c>
      <c r="Y1683" s="4" t="s">
        <v>2272</v>
      </c>
      <c r="Z1683" s="4" t="s">
        <v>2272</v>
      </c>
      <c r="AA1683" s="4" t="s">
        <v>2272</v>
      </c>
      <c r="AB1683" s="4" t="s">
        <v>2272</v>
      </c>
      <c r="AC1683" s="4" t="s">
        <v>2272</v>
      </c>
      <c r="AD1683" s="4" t="s">
        <v>5091</v>
      </c>
      <c r="AE1683" s="198"/>
    </row>
    <row r="1684" spans="1:31" ht="39" customHeight="1">
      <c r="A1684" s="198" t="s">
        <v>5094</v>
      </c>
      <c r="B1684" s="198" t="s">
        <v>5100</v>
      </c>
      <c r="C1684" s="198" t="s">
        <v>23</v>
      </c>
      <c r="D1684" s="198" t="s">
        <v>2799</v>
      </c>
      <c r="E1684" s="198" t="s">
        <v>5000</v>
      </c>
      <c r="F1684" s="4" t="s">
        <v>2657</v>
      </c>
      <c r="G1684" s="198" t="s">
        <v>2272</v>
      </c>
      <c r="H1684" s="198" t="s">
        <v>521</v>
      </c>
      <c r="I1684" s="198"/>
      <c r="J1684" s="4" t="s">
        <v>2272</v>
      </c>
      <c r="K1684" s="4" t="s">
        <v>2272</v>
      </c>
      <c r="L1684" s="4" t="s">
        <v>2272</v>
      </c>
      <c r="M1684" s="4" t="s">
        <v>2272</v>
      </c>
      <c r="N1684" s="4" t="s">
        <v>2272</v>
      </c>
      <c r="O1684" s="4" t="s">
        <v>2272</v>
      </c>
      <c r="P1684" s="4" t="s">
        <v>2272</v>
      </c>
      <c r="Q1684" s="4" t="s">
        <v>2272</v>
      </c>
      <c r="R1684" s="4" t="s">
        <v>2272</v>
      </c>
      <c r="S1684" s="4" t="s">
        <v>2272</v>
      </c>
      <c r="T1684" s="4" t="s">
        <v>2272</v>
      </c>
      <c r="U1684" s="4" t="s">
        <v>2272</v>
      </c>
      <c r="V1684" s="4" t="s">
        <v>2272</v>
      </c>
      <c r="W1684" s="4" t="s">
        <v>2272</v>
      </c>
      <c r="X1684" s="4" t="s">
        <v>2272</v>
      </c>
      <c r="Y1684" s="4" t="s">
        <v>2272</v>
      </c>
      <c r="Z1684" s="4" t="s">
        <v>2272</v>
      </c>
      <c r="AA1684" s="4" t="s">
        <v>2272</v>
      </c>
      <c r="AB1684" s="4" t="s">
        <v>2272</v>
      </c>
      <c r="AC1684" s="4" t="s">
        <v>2272</v>
      </c>
      <c r="AD1684" s="198"/>
      <c r="AE1684" s="198"/>
    </row>
    <row r="1685" spans="1:31" ht="97" customHeight="1">
      <c r="A1685" s="198" t="s">
        <v>5103</v>
      </c>
      <c r="B1685" s="198" t="s">
        <v>5105</v>
      </c>
      <c r="C1685" s="198" t="s">
        <v>23</v>
      </c>
      <c r="D1685" s="198" t="s">
        <v>25</v>
      </c>
      <c r="E1685" s="198" t="s">
        <v>5000</v>
      </c>
      <c r="F1685" s="4" t="s">
        <v>2657</v>
      </c>
      <c r="G1685" s="198" t="s">
        <v>2272</v>
      </c>
      <c r="H1685" s="198" t="s">
        <v>521</v>
      </c>
      <c r="I1685" s="198"/>
      <c r="J1685" s="4" t="s">
        <v>2272</v>
      </c>
      <c r="K1685" s="4" t="s">
        <v>2272</v>
      </c>
      <c r="L1685" s="4" t="s">
        <v>2272</v>
      </c>
      <c r="M1685" s="4" t="s">
        <v>2272</v>
      </c>
      <c r="N1685" s="4" t="s">
        <v>2272</v>
      </c>
      <c r="O1685" s="4" t="s">
        <v>2272</v>
      </c>
      <c r="P1685" s="4" t="s">
        <v>2272</v>
      </c>
      <c r="Q1685" s="4" t="s">
        <v>2272</v>
      </c>
      <c r="R1685" s="4" t="s">
        <v>2272</v>
      </c>
      <c r="S1685" s="4" t="s">
        <v>2272</v>
      </c>
      <c r="T1685" s="4" t="s">
        <v>2272</v>
      </c>
      <c r="U1685" s="4" t="s">
        <v>2272</v>
      </c>
      <c r="V1685" s="4" t="s">
        <v>2272</v>
      </c>
      <c r="W1685" s="4" t="s">
        <v>2272</v>
      </c>
      <c r="X1685" s="4" t="s">
        <v>2272</v>
      </c>
      <c r="Y1685" s="4" t="s">
        <v>2272</v>
      </c>
      <c r="Z1685" s="4" t="s">
        <v>2272</v>
      </c>
      <c r="AA1685" s="4" t="s">
        <v>2272</v>
      </c>
      <c r="AB1685" s="4" t="s">
        <v>2272</v>
      </c>
      <c r="AC1685" s="4" t="s">
        <v>2272</v>
      </c>
      <c r="AD1685" s="4" t="s">
        <v>5107</v>
      </c>
      <c r="AE1685" s="198"/>
    </row>
    <row r="1686" spans="1:31" ht="51" customHeight="1">
      <c r="A1686" s="198" t="s">
        <v>5103</v>
      </c>
      <c r="B1686" s="198" t="s">
        <v>5106</v>
      </c>
      <c r="C1686" s="198" t="s">
        <v>23</v>
      </c>
      <c r="D1686" s="198" t="s">
        <v>25</v>
      </c>
      <c r="E1686" s="198" t="s">
        <v>44</v>
      </c>
      <c r="F1686" s="4" t="s">
        <v>2657</v>
      </c>
      <c r="G1686" s="198" t="s">
        <v>2272</v>
      </c>
      <c r="H1686" s="198" t="s">
        <v>521</v>
      </c>
      <c r="I1686" s="198"/>
      <c r="J1686" s="4" t="s">
        <v>2272</v>
      </c>
      <c r="K1686" s="4" t="s">
        <v>2272</v>
      </c>
      <c r="L1686" s="4" t="s">
        <v>2272</v>
      </c>
      <c r="M1686" s="4" t="s">
        <v>2272</v>
      </c>
      <c r="N1686" s="4" t="s">
        <v>2272</v>
      </c>
      <c r="O1686" s="4" t="s">
        <v>2272</v>
      </c>
      <c r="P1686" s="4" t="s">
        <v>2272</v>
      </c>
      <c r="Q1686" s="4" t="s">
        <v>2272</v>
      </c>
      <c r="R1686" s="4" t="s">
        <v>2272</v>
      </c>
      <c r="S1686" s="4" t="s">
        <v>2272</v>
      </c>
      <c r="T1686" s="4" t="s">
        <v>2272</v>
      </c>
      <c r="U1686" s="4" t="s">
        <v>2272</v>
      </c>
      <c r="V1686" s="4" t="s">
        <v>2272</v>
      </c>
      <c r="W1686" s="4" t="s">
        <v>2272</v>
      </c>
      <c r="X1686" s="4" t="s">
        <v>2272</v>
      </c>
      <c r="Y1686" s="4" t="s">
        <v>2272</v>
      </c>
      <c r="Z1686" s="4" t="s">
        <v>2272</v>
      </c>
      <c r="AA1686" s="4" t="s">
        <v>2272</v>
      </c>
      <c r="AB1686" s="4" t="s">
        <v>2272</v>
      </c>
      <c r="AC1686" s="4" t="s">
        <v>2272</v>
      </c>
      <c r="AD1686" s="4" t="s">
        <v>5108</v>
      </c>
      <c r="AE1686" s="198"/>
    </row>
    <row r="1687" spans="1:31" ht="32" customHeight="1">
      <c r="A1687" s="5" t="s">
        <v>5111</v>
      </c>
      <c r="B1687" s="198" t="s">
        <v>5115</v>
      </c>
      <c r="C1687" s="198" t="s">
        <v>23</v>
      </c>
      <c r="D1687" s="198" t="s">
        <v>2799</v>
      </c>
      <c r="E1687" s="198" t="s">
        <v>5000</v>
      </c>
      <c r="F1687" s="4" t="s">
        <v>2657</v>
      </c>
      <c r="G1687" s="198" t="s">
        <v>2272</v>
      </c>
      <c r="H1687" s="198" t="s">
        <v>521</v>
      </c>
      <c r="I1687" s="198"/>
      <c r="J1687" s="4" t="s">
        <v>2272</v>
      </c>
      <c r="K1687" s="4" t="s">
        <v>2272</v>
      </c>
      <c r="L1687" s="4" t="s">
        <v>2272</v>
      </c>
      <c r="M1687" s="4" t="s">
        <v>2272</v>
      </c>
      <c r="N1687" s="4" t="s">
        <v>2272</v>
      </c>
      <c r="O1687" s="4" t="s">
        <v>2272</v>
      </c>
      <c r="P1687" s="4" t="s">
        <v>2272</v>
      </c>
      <c r="Q1687" s="4" t="s">
        <v>2272</v>
      </c>
      <c r="R1687" s="4" t="s">
        <v>2272</v>
      </c>
      <c r="S1687" s="4" t="s">
        <v>2272</v>
      </c>
      <c r="T1687" s="4" t="s">
        <v>2272</v>
      </c>
      <c r="U1687" s="4" t="s">
        <v>2272</v>
      </c>
      <c r="V1687" s="4" t="s">
        <v>2272</v>
      </c>
      <c r="W1687" s="4" t="s">
        <v>2272</v>
      </c>
      <c r="X1687" s="4" t="s">
        <v>2272</v>
      </c>
      <c r="Y1687" s="4" t="s">
        <v>2272</v>
      </c>
      <c r="Z1687" s="4" t="s">
        <v>2272</v>
      </c>
      <c r="AA1687" s="4" t="s">
        <v>2272</v>
      </c>
      <c r="AB1687" s="4" t="s">
        <v>2272</v>
      </c>
      <c r="AC1687" s="4" t="s">
        <v>2272</v>
      </c>
      <c r="AD1687" s="198"/>
      <c r="AE1687" s="198"/>
    </row>
    <row r="1688" spans="1:31" ht="33.5" customHeight="1">
      <c r="A1688" s="198" t="s">
        <v>5117</v>
      </c>
      <c r="B1688" s="198" t="s">
        <v>5134</v>
      </c>
      <c r="C1688" s="198" t="s">
        <v>23</v>
      </c>
      <c r="D1688" s="198" t="s">
        <v>1238</v>
      </c>
      <c r="E1688" s="198" t="s">
        <v>135</v>
      </c>
      <c r="F1688" s="4" t="s">
        <v>2657</v>
      </c>
      <c r="G1688" s="4" t="s">
        <v>2657</v>
      </c>
      <c r="H1688" s="198" t="s">
        <v>522</v>
      </c>
      <c r="I1688" s="198"/>
      <c r="J1688" s="198">
        <v>0</v>
      </c>
      <c r="K1688" s="198">
        <v>0</v>
      </c>
      <c r="L1688" s="198">
        <v>0</v>
      </c>
      <c r="M1688" s="198">
        <v>0</v>
      </c>
      <c r="N1688" s="198">
        <v>0</v>
      </c>
      <c r="O1688" s="198">
        <v>0</v>
      </c>
      <c r="P1688" s="198">
        <v>0</v>
      </c>
      <c r="Q1688" s="198">
        <v>0</v>
      </c>
      <c r="R1688" s="198">
        <v>0</v>
      </c>
      <c r="S1688" s="198">
        <v>0</v>
      </c>
      <c r="T1688" s="198">
        <v>0</v>
      </c>
      <c r="U1688" s="198">
        <v>0</v>
      </c>
      <c r="V1688" s="198">
        <v>0</v>
      </c>
      <c r="W1688" s="198">
        <v>0</v>
      </c>
      <c r="X1688" s="198">
        <v>0</v>
      </c>
      <c r="Y1688" s="198">
        <v>0</v>
      </c>
      <c r="Z1688" s="4" t="s">
        <v>2272</v>
      </c>
      <c r="AA1688" s="4" t="s">
        <v>2272</v>
      </c>
      <c r="AB1688" s="4" t="s">
        <v>2272</v>
      </c>
      <c r="AC1688" s="4" t="s">
        <v>2272</v>
      </c>
      <c r="AD1688" s="198"/>
      <c r="AE1688" s="198"/>
    </row>
    <row r="1689" spans="1:31" ht="33.5" customHeight="1">
      <c r="A1689" s="198" t="s">
        <v>5118</v>
      </c>
      <c r="B1689" s="198" t="s">
        <v>5135</v>
      </c>
      <c r="C1689" s="198" t="s">
        <v>23</v>
      </c>
      <c r="D1689" s="198" t="s">
        <v>1238</v>
      </c>
      <c r="E1689" s="198" t="s">
        <v>135</v>
      </c>
      <c r="F1689" s="4" t="s">
        <v>2657</v>
      </c>
      <c r="G1689" s="4" t="s">
        <v>2657</v>
      </c>
      <c r="H1689" s="198" t="s">
        <v>522</v>
      </c>
      <c r="I1689" s="198"/>
      <c r="J1689" s="198">
        <v>0</v>
      </c>
      <c r="K1689" s="198">
        <v>0</v>
      </c>
      <c r="L1689" s="198">
        <v>0</v>
      </c>
      <c r="M1689" s="198">
        <v>0</v>
      </c>
      <c r="N1689" s="198">
        <v>0</v>
      </c>
      <c r="O1689" s="198">
        <v>0</v>
      </c>
      <c r="P1689" s="198">
        <v>0</v>
      </c>
      <c r="Q1689" s="198">
        <v>0</v>
      </c>
      <c r="R1689" s="198">
        <v>0</v>
      </c>
      <c r="S1689" s="198">
        <v>0</v>
      </c>
      <c r="T1689" s="198">
        <v>0</v>
      </c>
      <c r="U1689" s="198">
        <v>0</v>
      </c>
      <c r="V1689" s="198">
        <v>0</v>
      </c>
      <c r="W1689" s="198">
        <v>0</v>
      </c>
      <c r="X1689" s="198">
        <v>0</v>
      </c>
      <c r="Y1689" s="198">
        <v>0</v>
      </c>
      <c r="Z1689" s="4" t="s">
        <v>2272</v>
      </c>
      <c r="AA1689" s="4" t="s">
        <v>2272</v>
      </c>
      <c r="AB1689" s="4" t="s">
        <v>2272</v>
      </c>
      <c r="AC1689" s="4" t="s">
        <v>2272</v>
      </c>
      <c r="AD1689" s="198"/>
      <c r="AE1689" s="198"/>
    </row>
    <row r="1690" spans="1:31" ht="33.5" customHeight="1">
      <c r="A1690" s="198" t="s">
        <v>5119</v>
      </c>
      <c r="B1690" s="198" t="s">
        <v>5136</v>
      </c>
      <c r="C1690" s="198" t="s">
        <v>23</v>
      </c>
      <c r="D1690" s="198" t="s">
        <v>1238</v>
      </c>
      <c r="E1690" s="198" t="s">
        <v>135</v>
      </c>
      <c r="F1690" s="4" t="s">
        <v>2657</v>
      </c>
      <c r="G1690" s="4" t="s">
        <v>2657</v>
      </c>
      <c r="H1690" s="198" t="s">
        <v>522</v>
      </c>
      <c r="I1690" s="198"/>
      <c r="J1690" s="198">
        <v>0</v>
      </c>
      <c r="K1690" s="198">
        <v>0</v>
      </c>
      <c r="L1690" s="198">
        <v>0</v>
      </c>
      <c r="M1690" s="198">
        <v>0</v>
      </c>
      <c r="N1690" s="198">
        <v>0</v>
      </c>
      <c r="O1690" s="198">
        <v>0</v>
      </c>
      <c r="P1690" s="198">
        <v>0</v>
      </c>
      <c r="Q1690" s="198">
        <v>0</v>
      </c>
      <c r="R1690" s="198">
        <v>0</v>
      </c>
      <c r="S1690" s="198">
        <v>0</v>
      </c>
      <c r="T1690" s="198">
        <v>0</v>
      </c>
      <c r="U1690" s="198">
        <v>0</v>
      </c>
      <c r="V1690" s="198">
        <v>0</v>
      </c>
      <c r="W1690" s="198">
        <v>0</v>
      </c>
      <c r="X1690" s="198">
        <v>0</v>
      </c>
      <c r="Y1690" s="198">
        <v>0</v>
      </c>
      <c r="Z1690" s="4" t="s">
        <v>2272</v>
      </c>
      <c r="AA1690" s="4" t="s">
        <v>2272</v>
      </c>
      <c r="AB1690" s="4" t="s">
        <v>2272</v>
      </c>
      <c r="AC1690" s="4" t="s">
        <v>2272</v>
      </c>
      <c r="AD1690" s="198"/>
      <c r="AE1690" s="198"/>
    </row>
    <row r="1691" spans="1:31" ht="33.5" customHeight="1">
      <c r="A1691" s="198" t="s">
        <v>5120</v>
      </c>
      <c r="B1691" s="198" t="s">
        <v>5137</v>
      </c>
      <c r="C1691" s="198" t="s">
        <v>23</v>
      </c>
      <c r="D1691" s="198" t="s">
        <v>1238</v>
      </c>
      <c r="E1691" s="198" t="s">
        <v>135</v>
      </c>
      <c r="F1691" s="4" t="s">
        <v>2657</v>
      </c>
      <c r="G1691" s="4" t="s">
        <v>2657</v>
      </c>
      <c r="H1691" s="198" t="s">
        <v>522</v>
      </c>
      <c r="I1691" s="198"/>
      <c r="J1691" s="198">
        <v>0</v>
      </c>
      <c r="K1691" s="198">
        <v>0</v>
      </c>
      <c r="L1691" s="198">
        <v>0</v>
      </c>
      <c r="M1691" s="198">
        <v>0</v>
      </c>
      <c r="N1691" s="198">
        <v>0</v>
      </c>
      <c r="O1691" s="198">
        <v>0</v>
      </c>
      <c r="P1691" s="198">
        <v>0</v>
      </c>
      <c r="Q1691" s="198">
        <v>0</v>
      </c>
      <c r="R1691" s="198">
        <v>0</v>
      </c>
      <c r="S1691" s="198">
        <v>0</v>
      </c>
      <c r="T1691" s="198">
        <v>0</v>
      </c>
      <c r="U1691" s="198">
        <v>0</v>
      </c>
      <c r="V1691" s="198">
        <v>0</v>
      </c>
      <c r="W1691" s="198">
        <v>0</v>
      </c>
      <c r="X1691" s="198">
        <v>0</v>
      </c>
      <c r="Y1691" s="198">
        <v>0</v>
      </c>
      <c r="Z1691" s="4" t="s">
        <v>2272</v>
      </c>
      <c r="AA1691" s="4" t="s">
        <v>2272</v>
      </c>
      <c r="AB1691" s="4" t="s">
        <v>2272</v>
      </c>
      <c r="AC1691" s="4" t="s">
        <v>2272</v>
      </c>
      <c r="AD1691" s="198"/>
      <c r="AE1691" s="198"/>
    </row>
    <row r="1692" spans="1:31" ht="33.5" customHeight="1">
      <c r="A1692" s="198" t="s">
        <v>5121</v>
      </c>
      <c r="B1692" s="198" t="s">
        <v>5138</v>
      </c>
      <c r="C1692" s="198" t="s">
        <v>23</v>
      </c>
      <c r="D1692" s="198" t="s">
        <v>1238</v>
      </c>
      <c r="E1692" s="198" t="s">
        <v>135</v>
      </c>
      <c r="F1692" s="4" t="s">
        <v>2657</v>
      </c>
      <c r="G1692" s="4" t="s">
        <v>2657</v>
      </c>
      <c r="H1692" s="198" t="s">
        <v>522</v>
      </c>
      <c r="I1692" s="198"/>
      <c r="J1692" s="198">
        <v>0</v>
      </c>
      <c r="K1692" s="198">
        <v>0</v>
      </c>
      <c r="L1692" s="198">
        <v>0</v>
      </c>
      <c r="M1692" s="198">
        <v>0</v>
      </c>
      <c r="N1692" s="198">
        <v>0</v>
      </c>
      <c r="O1692" s="198">
        <v>0</v>
      </c>
      <c r="P1692" s="198">
        <v>0</v>
      </c>
      <c r="Q1692" s="198">
        <v>0</v>
      </c>
      <c r="R1692" s="198">
        <v>0</v>
      </c>
      <c r="S1692" s="198">
        <v>0</v>
      </c>
      <c r="T1692" s="198">
        <v>0</v>
      </c>
      <c r="U1692" s="198">
        <v>0</v>
      </c>
      <c r="V1692" s="198">
        <v>0</v>
      </c>
      <c r="W1692" s="198">
        <v>0</v>
      </c>
      <c r="X1692" s="198">
        <v>0</v>
      </c>
      <c r="Y1692" s="198">
        <v>0</v>
      </c>
      <c r="Z1692" s="4" t="s">
        <v>2272</v>
      </c>
      <c r="AA1692" s="4" t="s">
        <v>2272</v>
      </c>
      <c r="AB1692" s="4" t="s">
        <v>2272</v>
      </c>
      <c r="AC1692" s="4" t="s">
        <v>2272</v>
      </c>
      <c r="AD1692" s="198"/>
      <c r="AE1692" s="198"/>
    </row>
    <row r="1693" spans="1:31" ht="91" customHeight="1">
      <c r="A1693" s="198" t="s">
        <v>5122</v>
      </c>
      <c r="B1693" s="198" t="s">
        <v>5139</v>
      </c>
      <c r="C1693" s="198" t="s">
        <v>23</v>
      </c>
      <c r="D1693" s="198" t="s">
        <v>1238</v>
      </c>
      <c r="E1693" s="198" t="s">
        <v>135</v>
      </c>
      <c r="F1693" s="4" t="s">
        <v>2657</v>
      </c>
      <c r="G1693" s="4" t="s">
        <v>2657</v>
      </c>
      <c r="H1693" s="198" t="s">
        <v>521</v>
      </c>
      <c r="I1693" s="198"/>
      <c r="J1693" s="4" t="s">
        <v>2272</v>
      </c>
      <c r="K1693" s="4" t="s">
        <v>2272</v>
      </c>
      <c r="L1693" s="4" t="s">
        <v>2272</v>
      </c>
      <c r="M1693" s="4" t="s">
        <v>2272</v>
      </c>
      <c r="N1693" s="4" t="s">
        <v>2272</v>
      </c>
      <c r="O1693" s="4" t="s">
        <v>2272</v>
      </c>
      <c r="P1693" s="4" t="s">
        <v>2272</v>
      </c>
      <c r="Q1693" s="4" t="s">
        <v>2272</v>
      </c>
      <c r="R1693" s="4" t="s">
        <v>2272</v>
      </c>
      <c r="S1693" s="4" t="s">
        <v>2272</v>
      </c>
      <c r="T1693" s="4" t="s">
        <v>2272</v>
      </c>
      <c r="U1693" s="4" t="s">
        <v>2272</v>
      </c>
      <c r="V1693" s="4" t="s">
        <v>2272</v>
      </c>
      <c r="W1693" s="4" t="s">
        <v>2272</v>
      </c>
      <c r="X1693" s="4" t="s">
        <v>2272</v>
      </c>
      <c r="Y1693" s="21">
        <v>29</v>
      </c>
      <c r="Z1693" s="21"/>
      <c r="AA1693" s="198" t="s">
        <v>84</v>
      </c>
      <c r="AB1693" s="198" t="s">
        <v>33</v>
      </c>
      <c r="AC1693" s="198" t="s">
        <v>2650</v>
      </c>
      <c r="AD1693" s="198" t="s">
        <v>5159</v>
      </c>
      <c r="AE1693" s="4" t="s">
        <v>5178</v>
      </c>
    </row>
    <row r="1694" spans="1:31" ht="91" customHeight="1">
      <c r="A1694" s="198" t="s">
        <v>5123</v>
      </c>
      <c r="B1694" s="198" t="s">
        <v>5140</v>
      </c>
      <c r="C1694" s="198" t="s">
        <v>23</v>
      </c>
      <c r="D1694" s="198" t="s">
        <v>1238</v>
      </c>
      <c r="E1694" s="198" t="s">
        <v>135</v>
      </c>
      <c r="F1694" s="4" t="s">
        <v>2657</v>
      </c>
      <c r="G1694" s="4" t="s">
        <v>2657</v>
      </c>
      <c r="H1694" s="198" t="s">
        <v>521</v>
      </c>
      <c r="I1694" s="198"/>
      <c r="J1694" s="4" t="s">
        <v>2272</v>
      </c>
      <c r="K1694" s="4" t="s">
        <v>2272</v>
      </c>
      <c r="L1694" s="4" t="s">
        <v>2272</v>
      </c>
      <c r="M1694" s="4" t="s">
        <v>2272</v>
      </c>
      <c r="N1694" s="4" t="s">
        <v>2272</v>
      </c>
      <c r="O1694" s="4" t="s">
        <v>2272</v>
      </c>
      <c r="P1694" s="4" t="s">
        <v>2272</v>
      </c>
      <c r="Q1694" s="4" t="s">
        <v>2272</v>
      </c>
      <c r="R1694" s="4" t="s">
        <v>2272</v>
      </c>
      <c r="S1694" s="4" t="s">
        <v>2272</v>
      </c>
      <c r="T1694" s="4" t="s">
        <v>2272</v>
      </c>
      <c r="U1694" s="4" t="s">
        <v>2272</v>
      </c>
      <c r="V1694" s="4" t="s">
        <v>2272</v>
      </c>
      <c r="W1694" s="4" t="s">
        <v>2272</v>
      </c>
      <c r="X1694" s="4" t="s">
        <v>2272</v>
      </c>
      <c r="Y1694" s="21">
        <v>30</v>
      </c>
      <c r="Z1694" s="21"/>
      <c r="AA1694" s="198" t="s">
        <v>84</v>
      </c>
      <c r="AB1694" s="198" t="s">
        <v>33</v>
      </c>
      <c r="AC1694" s="198" t="s">
        <v>2650</v>
      </c>
      <c r="AD1694" s="198" t="s">
        <v>5159</v>
      </c>
      <c r="AE1694" s="4" t="s">
        <v>5178</v>
      </c>
    </row>
    <row r="1695" spans="1:31" ht="91" customHeight="1">
      <c r="A1695" s="198" t="s">
        <v>5124</v>
      </c>
      <c r="B1695" s="198" t="s">
        <v>5141</v>
      </c>
      <c r="C1695" s="198" t="s">
        <v>23</v>
      </c>
      <c r="D1695" s="198" t="s">
        <v>1238</v>
      </c>
      <c r="E1695" s="198" t="s">
        <v>135</v>
      </c>
      <c r="F1695" s="4" t="s">
        <v>2657</v>
      </c>
      <c r="G1695" s="4" t="s">
        <v>2657</v>
      </c>
      <c r="H1695" s="198" t="s">
        <v>521</v>
      </c>
      <c r="I1695" s="198"/>
      <c r="J1695" s="4" t="s">
        <v>2272</v>
      </c>
      <c r="K1695" s="4" t="s">
        <v>2272</v>
      </c>
      <c r="L1695" s="4" t="s">
        <v>2272</v>
      </c>
      <c r="M1695" s="4" t="s">
        <v>2272</v>
      </c>
      <c r="N1695" s="4" t="s">
        <v>2272</v>
      </c>
      <c r="O1695" s="4" t="s">
        <v>2272</v>
      </c>
      <c r="P1695" s="4" t="s">
        <v>2272</v>
      </c>
      <c r="Q1695" s="4" t="s">
        <v>2272</v>
      </c>
      <c r="R1695" s="4" t="s">
        <v>2272</v>
      </c>
      <c r="S1695" s="4" t="s">
        <v>2272</v>
      </c>
      <c r="T1695" s="4" t="s">
        <v>2272</v>
      </c>
      <c r="U1695" s="4" t="s">
        <v>2272</v>
      </c>
      <c r="V1695" s="4" t="s">
        <v>2272</v>
      </c>
      <c r="W1695" s="4" t="s">
        <v>2272</v>
      </c>
      <c r="X1695" s="4" t="s">
        <v>2272</v>
      </c>
      <c r="Y1695" s="21">
        <v>13</v>
      </c>
      <c r="Z1695" s="21"/>
      <c r="AA1695" s="198" t="s">
        <v>84</v>
      </c>
      <c r="AB1695" s="198" t="s">
        <v>33</v>
      </c>
      <c r="AC1695" s="198" t="s">
        <v>2650</v>
      </c>
      <c r="AD1695" s="198" t="s">
        <v>5159</v>
      </c>
      <c r="AE1695" s="4" t="s">
        <v>5178</v>
      </c>
    </row>
    <row r="1696" spans="1:31" ht="91" customHeight="1">
      <c r="A1696" s="198" t="s">
        <v>5125</v>
      </c>
      <c r="B1696" s="198" t="s">
        <v>5142</v>
      </c>
      <c r="C1696" s="198" t="s">
        <v>23</v>
      </c>
      <c r="D1696" s="198" t="s">
        <v>1238</v>
      </c>
      <c r="E1696" s="198" t="s">
        <v>135</v>
      </c>
      <c r="F1696" s="4" t="s">
        <v>2657</v>
      </c>
      <c r="G1696" s="4" t="s">
        <v>2657</v>
      </c>
      <c r="H1696" s="198" t="s">
        <v>521</v>
      </c>
      <c r="I1696" s="198"/>
      <c r="J1696" s="4" t="s">
        <v>2272</v>
      </c>
      <c r="K1696" s="4" t="s">
        <v>2272</v>
      </c>
      <c r="L1696" s="4" t="s">
        <v>2272</v>
      </c>
      <c r="M1696" s="4" t="s">
        <v>2272</v>
      </c>
      <c r="N1696" s="4" t="s">
        <v>2272</v>
      </c>
      <c r="O1696" s="4" t="s">
        <v>2272</v>
      </c>
      <c r="P1696" s="4" t="s">
        <v>2272</v>
      </c>
      <c r="Q1696" s="4" t="s">
        <v>2272</v>
      </c>
      <c r="R1696" s="4" t="s">
        <v>2272</v>
      </c>
      <c r="S1696" s="4" t="s">
        <v>2272</v>
      </c>
      <c r="T1696" s="4" t="s">
        <v>2272</v>
      </c>
      <c r="U1696" s="4" t="s">
        <v>2272</v>
      </c>
      <c r="V1696" s="4" t="s">
        <v>2272</v>
      </c>
      <c r="W1696" s="4" t="s">
        <v>2272</v>
      </c>
      <c r="X1696" s="4" t="s">
        <v>2272</v>
      </c>
      <c r="Y1696" s="21">
        <v>12</v>
      </c>
      <c r="Z1696" s="21"/>
      <c r="AA1696" s="198" t="s">
        <v>84</v>
      </c>
      <c r="AB1696" s="198" t="s">
        <v>33</v>
      </c>
      <c r="AC1696" s="198" t="s">
        <v>2650</v>
      </c>
      <c r="AD1696" s="198" t="s">
        <v>5159</v>
      </c>
      <c r="AE1696" s="4" t="s">
        <v>5178</v>
      </c>
    </row>
    <row r="1697" spans="1:31" ht="91" customHeight="1">
      <c r="A1697" s="198" t="s">
        <v>5126</v>
      </c>
      <c r="B1697" s="198" t="s">
        <v>5143</v>
      </c>
      <c r="C1697" s="198" t="s">
        <v>23</v>
      </c>
      <c r="D1697" s="198" t="s">
        <v>1238</v>
      </c>
      <c r="E1697" s="198" t="s">
        <v>135</v>
      </c>
      <c r="F1697" s="4" t="s">
        <v>2657</v>
      </c>
      <c r="G1697" s="4" t="s">
        <v>2657</v>
      </c>
      <c r="H1697" s="198" t="s">
        <v>521</v>
      </c>
      <c r="I1697" s="198"/>
      <c r="J1697" s="4" t="s">
        <v>2272</v>
      </c>
      <c r="K1697" s="4" t="s">
        <v>2272</v>
      </c>
      <c r="L1697" s="4" t="s">
        <v>2272</v>
      </c>
      <c r="M1697" s="4" t="s">
        <v>2272</v>
      </c>
      <c r="N1697" s="4" t="s">
        <v>2272</v>
      </c>
      <c r="O1697" s="4" t="s">
        <v>2272</v>
      </c>
      <c r="P1697" s="4" t="s">
        <v>2272</v>
      </c>
      <c r="Q1697" s="4" t="s">
        <v>2272</v>
      </c>
      <c r="R1697" s="4" t="s">
        <v>2272</v>
      </c>
      <c r="S1697" s="4" t="s">
        <v>2272</v>
      </c>
      <c r="T1697" s="4" t="s">
        <v>2272</v>
      </c>
      <c r="U1697" s="4" t="s">
        <v>2272</v>
      </c>
      <c r="V1697" s="4" t="s">
        <v>2272</v>
      </c>
      <c r="W1697" s="4" t="s">
        <v>2272</v>
      </c>
      <c r="X1697" s="4" t="s">
        <v>2272</v>
      </c>
      <c r="Y1697" s="21">
        <v>8</v>
      </c>
      <c r="Z1697" s="21"/>
      <c r="AA1697" s="198" t="s">
        <v>84</v>
      </c>
      <c r="AB1697" s="198" t="s">
        <v>33</v>
      </c>
      <c r="AC1697" s="198" t="s">
        <v>2650</v>
      </c>
      <c r="AD1697" s="198" t="s">
        <v>5159</v>
      </c>
      <c r="AE1697" s="4" t="s">
        <v>5178</v>
      </c>
    </row>
    <row r="1698" spans="1:31" ht="39" customHeight="1">
      <c r="A1698" s="198" t="s">
        <v>5117</v>
      </c>
      <c r="B1698" s="198" t="s">
        <v>5160</v>
      </c>
      <c r="C1698" s="198" t="s">
        <v>1102</v>
      </c>
      <c r="D1698" s="198" t="s">
        <v>1102</v>
      </c>
      <c r="E1698" s="198" t="s">
        <v>1102</v>
      </c>
      <c r="F1698" s="198" t="s">
        <v>2272</v>
      </c>
      <c r="G1698" s="4" t="s">
        <v>2657</v>
      </c>
      <c r="H1698" s="198" t="s">
        <v>521</v>
      </c>
      <c r="I1698" s="198"/>
      <c r="J1698" s="4" t="s">
        <v>2272</v>
      </c>
      <c r="K1698" s="4" t="s">
        <v>2272</v>
      </c>
      <c r="L1698" s="4" t="s">
        <v>2272</v>
      </c>
      <c r="M1698" s="4" t="s">
        <v>2272</v>
      </c>
      <c r="N1698" s="4" t="s">
        <v>2272</v>
      </c>
      <c r="O1698" s="4" t="s">
        <v>2272</v>
      </c>
      <c r="P1698" s="4" t="s">
        <v>2272</v>
      </c>
      <c r="Q1698" s="4" t="s">
        <v>2272</v>
      </c>
      <c r="R1698" s="4" t="s">
        <v>2272</v>
      </c>
      <c r="S1698" s="4" t="s">
        <v>2272</v>
      </c>
      <c r="T1698" s="4" t="s">
        <v>2272</v>
      </c>
      <c r="U1698" s="4" t="s">
        <v>2272</v>
      </c>
      <c r="V1698" s="4" t="s">
        <v>2272</v>
      </c>
      <c r="W1698" s="4" t="s">
        <v>2272</v>
      </c>
      <c r="X1698" s="4" t="s">
        <v>2272</v>
      </c>
      <c r="Y1698" s="21">
        <v>7</v>
      </c>
      <c r="Z1698" s="21"/>
      <c r="AA1698" s="198" t="s">
        <v>84</v>
      </c>
      <c r="AB1698" s="198" t="s">
        <v>33</v>
      </c>
      <c r="AC1698" s="198" t="s">
        <v>2272</v>
      </c>
      <c r="AD1698" s="198"/>
      <c r="AE1698" s="198"/>
    </row>
    <row r="1699" spans="1:31" ht="39" customHeight="1">
      <c r="A1699" s="198" t="s">
        <v>5118</v>
      </c>
      <c r="B1699" s="198" t="s">
        <v>5161</v>
      </c>
      <c r="C1699" s="198" t="s">
        <v>1102</v>
      </c>
      <c r="D1699" s="198" t="s">
        <v>1102</v>
      </c>
      <c r="E1699" s="198" t="s">
        <v>1102</v>
      </c>
      <c r="F1699" s="198" t="s">
        <v>2272</v>
      </c>
      <c r="G1699" s="4" t="s">
        <v>2657</v>
      </c>
      <c r="H1699" s="198" t="s">
        <v>521</v>
      </c>
      <c r="I1699" s="198"/>
      <c r="J1699" s="4" t="s">
        <v>2272</v>
      </c>
      <c r="K1699" s="4" t="s">
        <v>2272</v>
      </c>
      <c r="L1699" s="4" t="s">
        <v>2272</v>
      </c>
      <c r="M1699" s="4" t="s">
        <v>2272</v>
      </c>
      <c r="N1699" s="4" t="s">
        <v>2272</v>
      </c>
      <c r="O1699" s="4" t="s">
        <v>2272</v>
      </c>
      <c r="P1699" s="4" t="s">
        <v>2272</v>
      </c>
      <c r="Q1699" s="4" t="s">
        <v>2272</v>
      </c>
      <c r="R1699" s="4" t="s">
        <v>2272</v>
      </c>
      <c r="S1699" s="4" t="s">
        <v>2272</v>
      </c>
      <c r="T1699" s="4" t="s">
        <v>2272</v>
      </c>
      <c r="U1699" s="4" t="s">
        <v>2272</v>
      </c>
      <c r="V1699" s="4" t="s">
        <v>2272</v>
      </c>
      <c r="W1699" s="4" t="s">
        <v>2272</v>
      </c>
      <c r="X1699" s="4" t="s">
        <v>2272</v>
      </c>
      <c r="Y1699" s="21">
        <v>9</v>
      </c>
      <c r="Z1699" s="21"/>
      <c r="AA1699" s="198" t="s">
        <v>84</v>
      </c>
      <c r="AB1699" s="198" t="s">
        <v>33</v>
      </c>
      <c r="AC1699" s="198" t="s">
        <v>2272</v>
      </c>
      <c r="AD1699" s="198"/>
      <c r="AE1699" s="198"/>
    </row>
    <row r="1700" spans="1:31" ht="39" customHeight="1">
      <c r="A1700" s="198" t="s">
        <v>5119</v>
      </c>
      <c r="B1700" s="198" t="s">
        <v>5162</v>
      </c>
      <c r="C1700" s="198" t="s">
        <v>1102</v>
      </c>
      <c r="D1700" s="198" t="s">
        <v>1102</v>
      </c>
      <c r="E1700" s="198" t="s">
        <v>1102</v>
      </c>
      <c r="F1700" s="198" t="s">
        <v>2272</v>
      </c>
      <c r="G1700" s="4" t="s">
        <v>2657</v>
      </c>
      <c r="H1700" s="198" t="s">
        <v>521</v>
      </c>
      <c r="I1700" s="198"/>
      <c r="J1700" s="4" t="s">
        <v>2272</v>
      </c>
      <c r="K1700" s="4" t="s">
        <v>2272</v>
      </c>
      <c r="L1700" s="4" t="s">
        <v>2272</v>
      </c>
      <c r="M1700" s="4" t="s">
        <v>2272</v>
      </c>
      <c r="N1700" s="4" t="s">
        <v>2272</v>
      </c>
      <c r="O1700" s="4" t="s">
        <v>2272</v>
      </c>
      <c r="P1700" s="4" t="s">
        <v>2272</v>
      </c>
      <c r="Q1700" s="4" t="s">
        <v>2272</v>
      </c>
      <c r="R1700" s="4" t="s">
        <v>2272</v>
      </c>
      <c r="S1700" s="4" t="s">
        <v>2272</v>
      </c>
      <c r="T1700" s="4" t="s">
        <v>2272</v>
      </c>
      <c r="U1700" s="4" t="s">
        <v>2272</v>
      </c>
      <c r="V1700" s="4" t="s">
        <v>2272</v>
      </c>
      <c r="W1700" s="4" t="s">
        <v>2272</v>
      </c>
      <c r="X1700" s="4" t="s">
        <v>2272</v>
      </c>
      <c r="Y1700" s="21">
        <v>1</v>
      </c>
      <c r="Z1700" s="21"/>
      <c r="AA1700" s="198" t="s">
        <v>84</v>
      </c>
      <c r="AB1700" s="198" t="s">
        <v>33</v>
      </c>
      <c r="AC1700" s="198" t="s">
        <v>2272</v>
      </c>
      <c r="AD1700" s="198"/>
      <c r="AE1700" s="198"/>
    </row>
    <row r="1701" spans="1:31" ht="39" customHeight="1">
      <c r="A1701" s="198" t="s">
        <v>5120</v>
      </c>
      <c r="B1701" s="198" t="s">
        <v>5163</v>
      </c>
      <c r="C1701" s="198" t="s">
        <v>1102</v>
      </c>
      <c r="D1701" s="198" t="s">
        <v>1102</v>
      </c>
      <c r="E1701" s="198" t="s">
        <v>1102</v>
      </c>
      <c r="F1701" s="198" t="s">
        <v>2272</v>
      </c>
      <c r="G1701" s="4" t="s">
        <v>2657</v>
      </c>
      <c r="H1701" s="198" t="s">
        <v>521</v>
      </c>
      <c r="I1701" s="198"/>
      <c r="J1701" s="4" t="s">
        <v>2272</v>
      </c>
      <c r="K1701" s="4" t="s">
        <v>2272</v>
      </c>
      <c r="L1701" s="4" t="s">
        <v>2272</v>
      </c>
      <c r="M1701" s="4" t="s">
        <v>2272</v>
      </c>
      <c r="N1701" s="4" t="s">
        <v>2272</v>
      </c>
      <c r="O1701" s="4" t="s">
        <v>2272</v>
      </c>
      <c r="P1701" s="4" t="s">
        <v>2272</v>
      </c>
      <c r="Q1701" s="4" t="s">
        <v>2272</v>
      </c>
      <c r="R1701" s="4" t="s">
        <v>2272</v>
      </c>
      <c r="S1701" s="4" t="s">
        <v>2272</v>
      </c>
      <c r="T1701" s="4" t="s">
        <v>2272</v>
      </c>
      <c r="U1701" s="4" t="s">
        <v>2272</v>
      </c>
      <c r="V1701" s="4" t="s">
        <v>2272</v>
      </c>
      <c r="W1701" s="4" t="s">
        <v>2272</v>
      </c>
      <c r="X1701" s="4" t="s">
        <v>2272</v>
      </c>
      <c r="Y1701" s="21">
        <v>2</v>
      </c>
      <c r="Z1701" s="21"/>
      <c r="AA1701" s="198" t="s">
        <v>84</v>
      </c>
      <c r="AB1701" s="198" t="s">
        <v>33</v>
      </c>
      <c r="AC1701" s="198" t="s">
        <v>2272</v>
      </c>
      <c r="AD1701" s="198"/>
      <c r="AE1701" s="198"/>
    </row>
    <row r="1702" spans="1:31" ht="39" customHeight="1">
      <c r="A1702" s="198" t="s">
        <v>5121</v>
      </c>
      <c r="B1702" s="198" t="s">
        <v>5164</v>
      </c>
      <c r="C1702" s="198" t="s">
        <v>1102</v>
      </c>
      <c r="D1702" s="198" t="s">
        <v>1102</v>
      </c>
      <c r="E1702" s="198" t="s">
        <v>1102</v>
      </c>
      <c r="F1702" s="198" t="s">
        <v>2272</v>
      </c>
      <c r="G1702" s="4" t="s">
        <v>2657</v>
      </c>
      <c r="H1702" s="198" t="s">
        <v>521</v>
      </c>
      <c r="I1702" s="198"/>
      <c r="J1702" s="4" t="s">
        <v>2272</v>
      </c>
      <c r="K1702" s="4" t="s">
        <v>2272</v>
      </c>
      <c r="L1702" s="4" t="s">
        <v>2272</v>
      </c>
      <c r="M1702" s="4" t="s">
        <v>2272</v>
      </c>
      <c r="N1702" s="4" t="s">
        <v>2272</v>
      </c>
      <c r="O1702" s="4" t="s">
        <v>2272</v>
      </c>
      <c r="P1702" s="4" t="s">
        <v>2272</v>
      </c>
      <c r="Q1702" s="4" t="s">
        <v>2272</v>
      </c>
      <c r="R1702" s="4" t="s">
        <v>2272</v>
      </c>
      <c r="S1702" s="4" t="s">
        <v>2272</v>
      </c>
      <c r="T1702" s="4" t="s">
        <v>2272</v>
      </c>
      <c r="U1702" s="4" t="s">
        <v>2272</v>
      </c>
      <c r="V1702" s="4" t="s">
        <v>2272</v>
      </c>
      <c r="W1702" s="4" t="s">
        <v>2272</v>
      </c>
      <c r="X1702" s="4" t="s">
        <v>2272</v>
      </c>
      <c r="Y1702" s="21">
        <v>8</v>
      </c>
      <c r="Z1702" s="21"/>
      <c r="AA1702" s="198" t="s">
        <v>84</v>
      </c>
      <c r="AB1702" s="198" t="s">
        <v>33</v>
      </c>
      <c r="AC1702" s="198" t="s">
        <v>2272</v>
      </c>
      <c r="AD1702" s="198"/>
      <c r="AE1702" s="198"/>
    </row>
    <row r="1703" spans="1:31" ht="39" customHeight="1">
      <c r="A1703" s="198" t="s">
        <v>5122</v>
      </c>
      <c r="B1703" s="198" t="s">
        <v>5144</v>
      </c>
      <c r="C1703" s="198" t="s">
        <v>1102</v>
      </c>
      <c r="D1703" s="198" t="s">
        <v>1102</v>
      </c>
      <c r="E1703" s="198" t="s">
        <v>1102</v>
      </c>
      <c r="F1703" s="198" t="s">
        <v>2272</v>
      </c>
      <c r="G1703" s="4" t="s">
        <v>2657</v>
      </c>
      <c r="H1703" s="198" t="s">
        <v>521</v>
      </c>
      <c r="I1703" s="198"/>
      <c r="J1703" s="4" t="s">
        <v>2272</v>
      </c>
      <c r="K1703" s="4" t="s">
        <v>2272</v>
      </c>
      <c r="L1703" s="4" t="s">
        <v>2272</v>
      </c>
      <c r="M1703" s="4" t="s">
        <v>2272</v>
      </c>
      <c r="N1703" s="4" t="s">
        <v>2272</v>
      </c>
      <c r="O1703" s="4" t="s">
        <v>2272</v>
      </c>
      <c r="P1703" s="4" t="s">
        <v>2272</v>
      </c>
      <c r="Q1703" s="4" t="s">
        <v>2272</v>
      </c>
      <c r="R1703" s="4" t="s">
        <v>2272</v>
      </c>
      <c r="S1703" s="4" t="s">
        <v>2272</v>
      </c>
      <c r="T1703" s="4" t="s">
        <v>2272</v>
      </c>
      <c r="U1703" s="4" t="s">
        <v>2272</v>
      </c>
      <c r="V1703" s="4" t="s">
        <v>2272</v>
      </c>
      <c r="W1703" s="4" t="s">
        <v>2272</v>
      </c>
      <c r="X1703" s="4" t="s">
        <v>2272</v>
      </c>
      <c r="Y1703" s="21">
        <v>2</v>
      </c>
      <c r="Z1703" s="4" t="s">
        <v>2272</v>
      </c>
      <c r="AA1703" s="198" t="s">
        <v>402</v>
      </c>
      <c r="AB1703" s="198" t="s">
        <v>67</v>
      </c>
      <c r="AC1703" s="198" t="s">
        <v>2272</v>
      </c>
      <c r="AD1703" s="198"/>
      <c r="AE1703" s="198"/>
    </row>
    <row r="1704" spans="1:31" ht="39" customHeight="1">
      <c r="A1704" s="198" t="s">
        <v>5123</v>
      </c>
      <c r="B1704" s="198" t="s">
        <v>5145</v>
      </c>
      <c r="C1704" s="198" t="s">
        <v>1102</v>
      </c>
      <c r="D1704" s="198" t="s">
        <v>1102</v>
      </c>
      <c r="E1704" s="198" t="s">
        <v>1102</v>
      </c>
      <c r="F1704" s="198" t="s">
        <v>2272</v>
      </c>
      <c r="G1704" s="4" t="s">
        <v>2657</v>
      </c>
      <c r="H1704" s="198" t="s">
        <v>521</v>
      </c>
      <c r="I1704" s="198"/>
      <c r="J1704" s="4" t="s">
        <v>2272</v>
      </c>
      <c r="K1704" s="4" t="s">
        <v>2272</v>
      </c>
      <c r="L1704" s="4" t="s">
        <v>2272</v>
      </c>
      <c r="M1704" s="4" t="s">
        <v>2272</v>
      </c>
      <c r="N1704" s="4" t="s">
        <v>2272</v>
      </c>
      <c r="O1704" s="4" t="s">
        <v>2272</v>
      </c>
      <c r="P1704" s="4" t="s">
        <v>2272</v>
      </c>
      <c r="Q1704" s="4" t="s">
        <v>2272</v>
      </c>
      <c r="R1704" s="4" t="s">
        <v>2272</v>
      </c>
      <c r="S1704" s="4" t="s">
        <v>2272</v>
      </c>
      <c r="T1704" s="4" t="s">
        <v>2272</v>
      </c>
      <c r="U1704" s="4" t="s">
        <v>2272</v>
      </c>
      <c r="V1704" s="4" t="s">
        <v>2272</v>
      </c>
      <c r="W1704" s="4" t="s">
        <v>2272</v>
      </c>
      <c r="X1704" s="4" t="s">
        <v>2272</v>
      </c>
      <c r="Y1704" s="21">
        <v>7</v>
      </c>
      <c r="Z1704" s="4" t="s">
        <v>2272</v>
      </c>
      <c r="AA1704" s="198" t="s">
        <v>402</v>
      </c>
      <c r="AB1704" s="198" t="s">
        <v>67</v>
      </c>
      <c r="AC1704" s="198" t="s">
        <v>2272</v>
      </c>
      <c r="AD1704" s="198"/>
      <c r="AE1704" s="198"/>
    </row>
    <row r="1705" spans="1:31" ht="39" customHeight="1">
      <c r="A1705" s="198" t="s">
        <v>5124</v>
      </c>
      <c r="B1705" s="198" t="s">
        <v>5146</v>
      </c>
      <c r="C1705" s="198" t="s">
        <v>1102</v>
      </c>
      <c r="D1705" s="198" t="s">
        <v>1102</v>
      </c>
      <c r="E1705" s="198" t="s">
        <v>1102</v>
      </c>
      <c r="F1705" s="198" t="s">
        <v>2272</v>
      </c>
      <c r="G1705" s="4" t="s">
        <v>2657</v>
      </c>
      <c r="H1705" s="198" t="s">
        <v>521</v>
      </c>
      <c r="I1705" s="198"/>
      <c r="J1705" s="4" t="s">
        <v>2272</v>
      </c>
      <c r="K1705" s="4" t="s">
        <v>2272</v>
      </c>
      <c r="L1705" s="4" t="s">
        <v>2272</v>
      </c>
      <c r="M1705" s="4" t="s">
        <v>2272</v>
      </c>
      <c r="N1705" s="4" t="s">
        <v>2272</v>
      </c>
      <c r="O1705" s="4" t="s">
        <v>2272</v>
      </c>
      <c r="P1705" s="4" t="s">
        <v>2272</v>
      </c>
      <c r="Q1705" s="4" t="s">
        <v>2272</v>
      </c>
      <c r="R1705" s="4" t="s">
        <v>2272</v>
      </c>
      <c r="S1705" s="4" t="s">
        <v>2272</v>
      </c>
      <c r="T1705" s="4" t="s">
        <v>2272</v>
      </c>
      <c r="U1705" s="4" t="s">
        <v>2272</v>
      </c>
      <c r="V1705" s="4" t="s">
        <v>2272</v>
      </c>
      <c r="W1705" s="4" t="s">
        <v>2272</v>
      </c>
      <c r="X1705" s="4" t="s">
        <v>2272</v>
      </c>
      <c r="Y1705" s="21">
        <v>9</v>
      </c>
      <c r="Z1705" s="4" t="s">
        <v>2272</v>
      </c>
      <c r="AA1705" s="198" t="s">
        <v>402</v>
      </c>
      <c r="AB1705" s="198" t="s">
        <v>67</v>
      </c>
      <c r="AC1705" s="198" t="s">
        <v>2272</v>
      </c>
      <c r="AD1705" s="198"/>
      <c r="AE1705" s="198"/>
    </row>
    <row r="1706" spans="1:31" ht="39" customHeight="1">
      <c r="A1706" s="198" t="s">
        <v>5125</v>
      </c>
      <c r="B1706" s="198" t="s">
        <v>5147</v>
      </c>
      <c r="C1706" s="198" t="s">
        <v>1102</v>
      </c>
      <c r="D1706" s="198" t="s">
        <v>1102</v>
      </c>
      <c r="E1706" s="198" t="s">
        <v>1102</v>
      </c>
      <c r="F1706" s="198" t="s">
        <v>2272</v>
      </c>
      <c r="G1706" s="4" t="s">
        <v>2657</v>
      </c>
      <c r="H1706" s="198" t="s">
        <v>521</v>
      </c>
      <c r="I1706" s="198"/>
      <c r="J1706" s="4" t="s">
        <v>2272</v>
      </c>
      <c r="K1706" s="4" t="s">
        <v>2272</v>
      </c>
      <c r="L1706" s="4" t="s">
        <v>2272</v>
      </c>
      <c r="M1706" s="4" t="s">
        <v>2272</v>
      </c>
      <c r="N1706" s="4" t="s">
        <v>2272</v>
      </c>
      <c r="O1706" s="4" t="s">
        <v>2272</v>
      </c>
      <c r="P1706" s="4" t="s">
        <v>2272</v>
      </c>
      <c r="Q1706" s="4" t="s">
        <v>2272</v>
      </c>
      <c r="R1706" s="4" t="s">
        <v>2272</v>
      </c>
      <c r="S1706" s="4" t="s">
        <v>2272</v>
      </c>
      <c r="T1706" s="4" t="s">
        <v>2272</v>
      </c>
      <c r="U1706" s="4" t="s">
        <v>2272</v>
      </c>
      <c r="V1706" s="4" t="s">
        <v>2272</v>
      </c>
      <c r="W1706" s="4" t="s">
        <v>2272</v>
      </c>
      <c r="X1706" s="4" t="s">
        <v>2272</v>
      </c>
      <c r="Y1706" s="21">
        <v>1</v>
      </c>
      <c r="Z1706" s="4" t="s">
        <v>2272</v>
      </c>
      <c r="AA1706" s="198" t="s">
        <v>402</v>
      </c>
      <c r="AB1706" s="198" t="s">
        <v>67</v>
      </c>
      <c r="AC1706" s="198" t="s">
        <v>2272</v>
      </c>
      <c r="AD1706" s="198"/>
      <c r="AE1706" s="198"/>
    </row>
    <row r="1707" spans="1:31" ht="39" customHeight="1">
      <c r="A1707" s="198" t="s">
        <v>5126</v>
      </c>
      <c r="B1707" s="198" t="s">
        <v>5148</v>
      </c>
      <c r="C1707" s="198" t="s">
        <v>1102</v>
      </c>
      <c r="D1707" s="198" t="s">
        <v>1102</v>
      </c>
      <c r="E1707" s="198" t="s">
        <v>1102</v>
      </c>
      <c r="F1707" s="198" t="s">
        <v>2272</v>
      </c>
      <c r="G1707" s="4" t="s">
        <v>2657</v>
      </c>
      <c r="H1707" s="198" t="s">
        <v>521</v>
      </c>
      <c r="I1707" s="198"/>
      <c r="J1707" s="4" t="s">
        <v>2272</v>
      </c>
      <c r="K1707" s="4" t="s">
        <v>2272</v>
      </c>
      <c r="L1707" s="4" t="s">
        <v>2272</v>
      </c>
      <c r="M1707" s="4" t="s">
        <v>2272</v>
      </c>
      <c r="N1707" s="4" t="s">
        <v>2272</v>
      </c>
      <c r="O1707" s="4" t="s">
        <v>2272</v>
      </c>
      <c r="P1707" s="4" t="s">
        <v>2272</v>
      </c>
      <c r="Q1707" s="4" t="s">
        <v>2272</v>
      </c>
      <c r="R1707" s="4" t="s">
        <v>2272</v>
      </c>
      <c r="S1707" s="4" t="s">
        <v>2272</v>
      </c>
      <c r="T1707" s="4" t="s">
        <v>2272</v>
      </c>
      <c r="U1707" s="4" t="s">
        <v>2272</v>
      </c>
      <c r="V1707" s="4" t="s">
        <v>2272</v>
      </c>
      <c r="W1707" s="4" t="s">
        <v>2272</v>
      </c>
      <c r="X1707" s="4" t="s">
        <v>2272</v>
      </c>
      <c r="Y1707" s="21">
        <v>1</v>
      </c>
      <c r="Z1707" s="4" t="s">
        <v>2272</v>
      </c>
      <c r="AA1707" s="198" t="s">
        <v>402</v>
      </c>
      <c r="AB1707" s="198" t="s">
        <v>67</v>
      </c>
      <c r="AC1707" s="198" t="s">
        <v>2272</v>
      </c>
      <c r="AD1707" s="198"/>
      <c r="AE1707" s="198"/>
    </row>
    <row r="1708" spans="1:31" ht="42" customHeight="1">
      <c r="A1708" s="198" t="s">
        <v>5117</v>
      </c>
      <c r="B1708" s="198" t="s">
        <v>5165</v>
      </c>
      <c r="C1708" s="198" t="s">
        <v>1102</v>
      </c>
      <c r="D1708" s="198" t="s">
        <v>1102</v>
      </c>
      <c r="E1708" s="198" t="s">
        <v>1102</v>
      </c>
      <c r="F1708" s="198" t="s">
        <v>2272</v>
      </c>
      <c r="G1708" s="4" t="s">
        <v>2657</v>
      </c>
      <c r="H1708" s="198" t="s">
        <v>521</v>
      </c>
      <c r="I1708" s="198"/>
      <c r="J1708" s="4" t="s">
        <v>2272</v>
      </c>
      <c r="K1708" s="4" t="s">
        <v>2272</v>
      </c>
      <c r="L1708" s="4" t="s">
        <v>2272</v>
      </c>
      <c r="M1708" s="4" t="s">
        <v>2272</v>
      </c>
      <c r="N1708" s="4" t="s">
        <v>2272</v>
      </c>
      <c r="O1708" s="4" t="s">
        <v>2272</v>
      </c>
      <c r="P1708" s="4" t="s">
        <v>2272</v>
      </c>
      <c r="Q1708" s="4" t="s">
        <v>2272</v>
      </c>
      <c r="R1708" s="4" t="s">
        <v>2272</v>
      </c>
      <c r="S1708" s="4" t="s">
        <v>2272</v>
      </c>
      <c r="T1708" s="4" t="s">
        <v>2272</v>
      </c>
      <c r="U1708" s="4" t="s">
        <v>2272</v>
      </c>
      <c r="V1708" s="4" t="s">
        <v>2272</v>
      </c>
      <c r="W1708" s="4" t="s">
        <v>2272</v>
      </c>
      <c r="X1708" s="4" t="s">
        <v>2272</v>
      </c>
      <c r="Y1708" s="21">
        <v>47</v>
      </c>
      <c r="Z1708" s="4" t="s">
        <v>2272</v>
      </c>
      <c r="AA1708" s="198" t="s">
        <v>402</v>
      </c>
      <c r="AB1708" s="198" t="s">
        <v>67</v>
      </c>
      <c r="AC1708" s="198" t="s">
        <v>2272</v>
      </c>
      <c r="AD1708" s="198"/>
      <c r="AE1708" s="198"/>
    </row>
    <row r="1709" spans="1:31" ht="42" customHeight="1">
      <c r="A1709" s="198" t="s">
        <v>5118</v>
      </c>
      <c r="B1709" s="198" t="s">
        <v>5166</v>
      </c>
      <c r="C1709" s="198" t="s">
        <v>1102</v>
      </c>
      <c r="D1709" s="198" t="s">
        <v>1102</v>
      </c>
      <c r="E1709" s="198" t="s">
        <v>1102</v>
      </c>
      <c r="F1709" s="198" t="s">
        <v>2272</v>
      </c>
      <c r="G1709" s="4" t="s">
        <v>2657</v>
      </c>
      <c r="H1709" s="198" t="s">
        <v>521</v>
      </c>
      <c r="I1709" s="198"/>
      <c r="J1709" s="4" t="s">
        <v>2272</v>
      </c>
      <c r="K1709" s="4" t="s">
        <v>2272</v>
      </c>
      <c r="L1709" s="4" t="s">
        <v>2272</v>
      </c>
      <c r="M1709" s="4" t="s">
        <v>2272</v>
      </c>
      <c r="N1709" s="4" t="s">
        <v>2272</v>
      </c>
      <c r="O1709" s="4" t="s">
        <v>2272</v>
      </c>
      <c r="P1709" s="4" t="s">
        <v>2272</v>
      </c>
      <c r="Q1709" s="4" t="s">
        <v>2272</v>
      </c>
      <c r="R1709" s="4" t="s">
        <v>2272</v>
      </c>
      <c r="S1709" s="4" t="s">
        <v>2272</v>
      </c>
      <c r="T1709" s="4" t="s">
        <v>2272</v>
      </c>
      <c r="U1709" s="4" t="s">
        <v>2272</v>
      </c>
      <c r="V1709" s="4" t="s">
        <v>2272</v>
      </c>
      <c r="W1709" s="4" t="s">
        <v>2272</v>
      </c>
      <c r="X1709" s="4" t="s">
        <v>2272</v>
      </c>
      <c r="Y1709" s="21">
        <v>35</v>
      </c>
      <c r="Z1709" s="4" t="s">
        <v>2272</v>
      </c>
      <c r="AA1709" s="198" t="s">
        <v>402</v>
      </c>
      <c r="AB1709" s="198" t="s">
        <v>67</v>
      </c>
      <c r="AC1709" s="198" t="s">
        <v>2272</v>
      </c>
      <c r="AD1709" s="198"/>
      <c r="AE1709" s="198"/>
    </row>
    <row r="1710" spans="1:31" ht="42" customHeight="1">
      <c r="A1710" s="198" t="s">
        <v>5119</v>
      </c>
      <c r="B1710" s="198" t="s">
        <v>5167</v>
      </c>
      <c r="C1710" s="198" t="s">
        <v>1102</v>
      </c>
      <c r="D1710" s="198" t="s">
        <v>1102</v>
      </c>
      <c r="E1710" s="198" t="s">
        <v>1102</v>
      </c>
      <c r="F1710" s="198" t="s">
        <v>2272</v>
      </c>
      <c r="G1710" s="4" t="s">
        <v>2657</v>
      </c>
      <c r="H1710" s="198" t="s">
        <v>521</v>
      </c>
      <c r="I1710" s="198"/>
      <c r="J1710" s="4" t="s">
        <v>2272</v>
      </c>
      <c r="K1710" s="4" t="s">
        <v>2272</v>
      </c>
      <c r="L1710" s="4" t="s">
        <v>2272</v>
      </c>
      <c r="M1710" s="4" t="s">
        <v>2272</v>
      </c>
      <c r="N1710" s="4" t="s">
        <v>2272</v>
      </c>
      <c r="O1710" s="4" t="s">
        <v>2272</v>
      </c>
      <c r="P1710" s="4" t="s">
        <v>2272</v>
      </c>
      <c r="Q1710" s="4" t="s">
        <v>2272</v>
      </c>
      <c r="R1710" s="4" t="s">
        <v>2272</v>
      </c>
      <c r="S1710" s="4" t="s">
        <v>2272</v>
      </c>
      <c r="T1710" s="4" t="s">
        <v>2272</v>
      </c>
      <c r="U1710" s="4" t="s">
        <v>2272</v>
      </c>
      <c r="V1710" s="4" t="s">
        <v>2272</v>
      </c>
      <c r="W1710" s="4" t="s">
        <v>2272</v>
      </c>
      <c r="X1710" s="4" t="s">
        <v>2272</v>
      </c>
      <c r="Y1710" s="21">
        <v>42</v>
      </c>
      <c r="Z1710" s="4" t="s">
        <v>2272</v>
      </c>
      <c r="AA1710" s="198" t="s">
        <v>402</v>
      </c>
      <c r="AB1710" s="198" t="s">
        <v>67</v>
      </c>
      <c r="AC1710" s="198" t="s">
        <v>2272</v>
      </c>
      <c r="AD1710" s="198"/>
      <c r="AE1710" s="198"/>
    </row>
    <row r="1711" spans="1:31" ht="42" customHeight="1">
      <c r="A1711" s="198" t="s">
        <v>5120</v>
      </c>
      <c r="B1711" s="198" t="s">
        <v>5168</v>
      </c>
      <c r="C1711" s="198" t="s">
        <v>1102</v>
      </c>
      <c r="D1711" s="198" t="s">
        <v>1102</v>
      </c>
      <c r="E1711" s="198" t="s">
        <v>1102</v>
      </c>
      <c r="F1711" s="198" t="s">
        <v>2272</v>
      </c>
      <c r="G1711" s="4" t="s">
        <v>2657</v>
      </c>
      <c r="H1711" s="198" t="s">
        <v>521</v>
      </c>
      <c r="I1711" s="198"/>
      <c r="J1711" s="4" t="s">
        <v>2272</v>
      </c>
      <c r="K1711" s="4" t="s">
        <v>2272</v>
      </c>
      <c r="L1711" s="4" t="s">
        <v>2272</v>
      </c>
      <c r="M1711" s="4" t="s">
        <v>2272</v>
      </c>
      <c r="N1711" s="4" t="s">
        <v>2272</v>
      </c>
      <c r="O1711" s="4" t="s">
        <v>2272</v>
      </c>
      <c r="P1711" s="4" t="s">
        <v>2272</v>
      </c>
      <c r="Q1711" s="4" t="s">
        <v>2272</v>
      </c>
      <c r="R1711" s="4" t="s">
        <v>2272</v>
      </c>
      <c r="S1711" s="4" t="s">
        <v>2272</v>
      </c>
      <c r="T1711" s="4" t="s">
        <v>2272</v>
      </c>
      <c r="U1711" s="4" t="s">
        <v>2272</v>
      </c>
      <c r="V1711" s="4" t="s">
        <v>2272</v>
      </c>
      <c r="W1711" s="4" t="s">
        <v>2272</v>
      </c>
      <c r="X1711" s="4" t="s">
        <v>2272</v>
      </c>
      <c r="Y1711" s="21">
        <v>37</v>
      </c>
      <c r="Z1711" s="4" t="s">
        <v>2272</v>
      </c>
      <c r="AA1711" s="198" t="s">
        <v>402</v>
      </c>
      <c r="AB1711" s="198" t="s">
        <v>67</v>
      </c>
      <c r="AC1711" s="198" t="s">
        <v>2272</v>
      </c>
      <c r="AD1711" s="198"/>
      <c r="AE1711" s="198"/>
    </row>
    <row r="1712" spans="1:31" ht="42" customHeight="1">
      <c r="A1712" s="198" t="s">
        <v>5121</v>
      </c>
      <c r="B1712" s="198" t="s">
        <v>5169</v>
      </c>
      <c r="C1712" s="198" t="s">
        <v>1102</v>
      </c>
      <c r="D1712" s="198" t="s">
        <v>1102</v>
      </c>
      <c r="E1712" s="198" t="s">
        <v>1102</v>
      </c>
      <c r="F1712" s="198" t="s">
        <v>2272</v>
      </c>
      <c r="G1712" s="4" t="s">
        <v>2657</v>
      </c>
      <c r="H1712" s="198" t="s">
        <v>521</v>
      </c>
      <c r="I1712" s="198"/>
      <c r="J1712" s="4" t="s">
        <v>2272</v>
      </c>
      <c r="K1712" s="4" t="s">
        <v>2272</v>
      </c>
      <c r="L1712" s="4" t="s">
        <v>2272</v>
      </c>
      <c r="M1712" s="4" t="s">
        <v>2272</v>
      </c>
      <c r="N1712" s="4" t="s">
        <v>2272</v>
      </c>
      <c r="O1712" s="4" t="s">
        <v>2272</v>
      </c>
      <c r="P1712" s="4" t="s">
        <v>2272</v>
      </c>
      <c r="Q1712" s="4" t="s">
        <v>2272</v>
      </c>
      <c r="R1712" s="4" t="s">
        <v>2272</v>
      </c>
      <c r="S1712" s="4" t="s">
        <v>2272</v>
      </c>
      <c r="T1712" s="4" t="s">
        <v>2272</v>
      </c>
      <c r="U1712" s="4" t="s">
        <v>2272</v>
      </c>
      <c r="V1712" s="4" t="s">
        <v>2272</v>
      </c>
      <c r="W1712" s="4" t="s">
        <v>2272</v>
      </c>
      <c r="X1712" s="4" t="s">
        <v>2272</v>
      </c>
      <c r="Y1712" s="21">
        <v>25</v>
      </c>
      <c r="Z1712" s="4" t="s">
        <v>2272</v>
      </c>
      <c r="AA1712" s="198" t="s">
        <v>402</v>
      </c>
      <c r="AB1712" s="198" t="s">
        <v>67</v>
      </c>
      <c r="AC1712" s="198" t="s">
        <v>2272</v>
      </c>
      <c r="AD1712" s="198"/>
      <c r="AE1712" s="198"/>
    </row>
    <row r="1713" spans="1:31" ht="42" customHeight="1">
      <c r="A1713" s="198" t="s">
        <v>5122</v>
      </c>
      <c r="B1713" s="198" t="s">
        <v>5152</v>
      </c>
      <c r="C1713" s="198" t="s">
        <v>2453</v>
      </c>
      <c r="D1713" s="198" t="s">
        <v>1238</v>
      </c>
      <c r="E1713" s="198" t="s">
        <v>135</v>
      </c>
      <c r="F1713" s="4" t="s">
        <v>2657</v>
      </c>
      <c r="G1713" s="4" t="s">
        <v>2657</v>
      </c>
      <c r="H1713" s="198" t="s">
        <v>521</v>
      </c>
      <c r="I1713" s="198">
        <v>2017</v>
      </c>
      <c r="J1713" s="4" t="s">
        <v>2272</v>
      </c>
      <c r="K1713" s="4" t="s">
        <v>2272</v>
      </c>
      <c r="L1713" s="4" t="s">
        <v>2272</v>
      </c>
      <c r="M1713" s="4" t="s">
        <v>2272</v>
      </c>
      <c r="N1713" s="4" t="s">
        <v>2272</v>
      </c>
      <c r="O1713" s="4" t="s">
        <v>2272</v>
      </c>
      <c r="P1713" s="4" t="s">
        <v>2272</v>
      </c>
      <c r="Q1713" s="4" t="s">
        <v>2272</v>
      </c>
      <c r="R1713" s="4" t="s">
        <v>2272</v>
      </c>
      <c r="S1713" s="4" t="s">
        <v>2272</v>
      </c>
      <c r="T1713" s="4" t="s">
        <v>2272</v>
      </c>
      <c r="U1713" s="4" t="s">
        <v>2272</v>
      </c>
      <c r="V1713" s="4" t="s">
        <v>2272</v>
      </c>
      <c r="W1713" s="4" t="s">
        <v>2272</v>
      </c>
      <c r="X1713" s="4" t="s">
        <v>2272</v>
      </c>
      <c r="Y1713" s="4" t="s">
        <v>2272</v>
      </c>
      <c r="Z1713" s="4" t="s">
        <v>2272</v>
      </c>
      <c r="AA1713" s="198" t="s">
        <v>403</v>
      </c>
      <c r="AB1713" s="198" t="s">
        <v>34</v>
      </c>
      <c r="AC1713" s="198" t="s">
        <v>2272</v>
      </c>
      <c r="AD1713" s="198" t="s">
        <v>5179</v>
      </c>
      <c r="AE1713" s="198"/>
    </row>
    <row r="1714" spans="1:31" ht="42" customHeight="1">
      <c r="A1714" s="198" t="s">
        <v>5123</v>
      </c>
      <c r="B1714" s="198" t="s">
        <v>5153</v>
      </c>
      <c r="C1714" s="198" t="s">
        <v>2453</v>
      </c>
      <c r="D1714" s="198" t="s">
        <v>1238</v>
      </c>
      <c r="E1714" s="198" t="s">
        <v>135</v>
      </c>
      <c r="F1714" s="4" t="s">
        <v>2657</v>
      </c>
      <c r="G1714" s="4" t="s">
        <v>2657</v>
      </c>
      <c r="H1714" s="198" t="s">
        <v>521</v>
      </c>
      <c r="I1714" s="198">
        <v>2017</v>
      </c>
      <c r="J1714" s="4" t="s">
        <v>2272</v>
      </c>
      <c r="K1714" s="4" t="s">
        <v>2272</v>
      </c>
      <c r="L1714" s="4" t="s">
        <v>2272</v>
      </c>
      <c r="M1714" s="4" t="s">
        <v>2272</v>
      </c>
      <c r="N1714" s="4" t="s">
        <v>2272</v>
      </c>
      <c r="O1714" s="4" t="s">
        <v>2272</v>
      </c>
      <c r="P1714" s="4" t="s">
        <v>2272</v>
      </c>
      <c r="Q1714" s="4" t="s">
        <v>2272</v>
      </c>
      <c r="R1714" s="4" t="s">
        <v>2272</v>
      </c>
      <c r="S1714" s="4" t="s">
        <v>2272</v>
      </c>
      <c r="T1714" s="4" t="s">
        <v>2272</v>
      </c>
      <c r="U1714" s="4" t="s">
        <v>2272</v>
      </c>
      <c r="V1714" s="4" t="s">
        <v>2272</v>
      </c>
      <c r="W1714" s="4" t="s">
        <v>2272</v>
      </c>
      <c r="X1714" s="4" t="s">
        <v>2272</v>
      </c>
      <c r="Y1714" s="4" t="s">
        <v>2272</v>
      </c>
      <c r="Z1714" s="4" t="s">
        <v>2272</v>
      </c>
      <c r="AA1714" s="198" t="s">
        <v>403</v>
      </c>
      <c r="AB1714" s="198" t="s">
        <v>34</v>
      </c>
      <c r="AC1714" s="198" t="s">
        <v>2272</v>
      </c>
      <c r="AD1714" s="198" t="s">
        <v>5179</v>
      </c>
      <c r="AE1714" s="198"/>
    </row>
    <row r="1715" spans="1:31" ht="42" customHeight="1">
      <c r="A1715" s="198" t="s">
        <v>5122</v>
      </c>
      <c r="B1715" s="198" t="s">
        <v>5170</v>
      </c>
      <c r="C1715" s="198" t="s">
        <v>30</v>
      </c>
      <c r="D1715" s="198" t="s">
        <v>29</v>
      </c>
      <c r="E1715" s="198" t="s">
        <v>2647</v>
      </c>
      <c r="F1715" s="198" t="s">
        <v>2272</v>
      </c>
      <c r="G1715" s="4" t="s">
        <v>2657</v>
      </c>
      <c r="H1715" s="198" t="s">
        <v>521</v>
      </c>
      <c r="I1715" s="198">
        <v>2017</v>
      </c>
      <c r="J1715" s="4" t="s">
        <v>2272</v>
      </c>
      <c r="K1715" s="4" t="s">
        <v>2272</v>
      </c>
      <c r="L1715" s="4" t="s">
        <v>2272</v>
      </c>
      <c r="M1715" s="4" t="s">
        <v>2272</v>
      </c>
      <c r="N1715" s="4" t="s">
        <v>2272</v>
      </c>
      <c r="O1715" s="4" t="s">
        <v>2272</v>
      </c>
      <c r="P1715" s="4" t="s">
        <v>2272</v>
      </c>
      <c r="Q1715" s="4" t="s">
        <v>2272</v>
      </c>
      <c r="R1715" s="4" t="s">
        <v>2272</v>
      </c>
      <c r="S1715" s="4" t="s">
        <v>2272</v>
      </c>
      <c r="T1715" s="4" t="s">
        <v>2272</v>
      </c>
      <c r="U1715" s="4" t="s">
        <v>2272</v>
      </c>
      <c r="V1715" s="4" t="s">
        <v>2272</v>
      </c>
      <c r="W1715" s="4" t="s">
        <v>2272</v>
      </c>
      <c r="X1715" s="4" t="s">
        <v>2272</v>
      </c>
      <c r="Y1715" s="4" t="s">
        <v>2272</v>
      </c>
      <c r="Z1715" s="4" t="s">
        <v>2272</v>
      </c>
      <c r="AA1715" s="198" t="s">
        <v>403</v>
      </c>
      <c r="AB1715" s="198" t="s">
        <v>34</v>
      </c>
      <c r="AC1715" s="198" t="s">
        <v>2272</v>
      </c>
      <c r="AD1715" s="198" t="s">
        <v>5179</v>
      </c>
      <c r="AE1715" s="198"/>
    </row>
    <row r="1716" spans="1:31" ht="42" customHeight="1">
      <c r="A1716" s="198" t="s">
        <v>5123</v>
      </c>
      <c r="B1716" s="198" t="s">
        <v>5171</v>
      </c>
      <c r="C1716" s="198" t="s">
        <v>30</v>
      </c>
      <c r="D1716" s="198" t="s">
        <v>29</v>
      </c>
      <c r="E1716" s="198" t="s">
        <v>2647</v>
      </c>
      <c r="F1716" s="198" t="s">
        <v>2272</v>
      </c>
      <c r="G1716" s="4" t="s">
        <v>2657</v>
      </c>
      <c r="H1716" s="198" t="s">
        <v>521</v>
      </c>
      <c r="I1716" s="198">
        <v>2017</v>
      </c>
      <c r="J1716" s="4" t="s">
        <v>2272</v>
      </c>
      <c r="K1716" s="4" t="s">
        <v>2272</v>
      </c>
      <c r="L1716" s="4" t="s">
        <v>2272</v>
      </c>
      <c r="M1716" s="4" t="s">
        <v>2272</v>
      </c>
      <c r="N1716" s="4" t="s">
        <v>2272</v>
      </c>
      <c r="O1716" s="4" t="s">
        <v>2272</v>
      </c>
      <c r="P1716" s="4" t="s">
        <v>2272</v>
      </c>
      <c r="Q1716" s="4" t="s">
        <v>2272</v>
      </c>
      <c r="R1716" s="4" t="s">
        <v>2272</v>
      </c>
      <c r="S1716" s="4" t="s">
        <v>2272</v>
      </c>
      <c r="T1716" s="4" t="s">
        <v>2272</v>
      </c>
      <c r="U1716" s="4" t="s">
        <v>2272</v>
      </c>
      <c r="V1716" s="4" t="s">
        <v>2272</v>
      </c>
      <c r="W1716" s="4" t="s">
        <v>2272</v>
      </c>
      <c r="X1716" s="4" t="s">
        <v>2272</v>
      </c>
      <c r="Y1716" s="4" t="s">
        <v>2272</v>
      </c>
      <c r="Z1716" s="4" t="s">
        <v>2272</v>
      </c>
      <c r="AA1716" s="198" t="s">
        <v>403</v>
      </c>
      <c r="AB1716" s="198" t="s">
        <v>34</v>
      </c>
      <c r="AC1716" s="198" t="s">
        <v>2272</v>
      </c>
      <c r="AD1716" s="198" t="s">
        <v>5179</v>
      </c>
      <c r="AE1716" s="198"/>
    </row>
    <row r="1717" spans="1:31" ht="42" customHeight="1">
      <c r="A1717" s="198" t="s">
        <v>5122</v>
      </c>
      <c r="B1717" s="198" t="s">
        <v>5172</v>
      </c>
      <c r="C1717" s="198" t="s">
        <v>30</v>
      </c>
      <c r="D1717" s="198" t="s">
        <v>29</v>
      </c>
      <c r="E1717" s="198" t="s">
        <v>2648</v>
      </c>
      <c r="F1717" s="198" t="s">
        <v>2272</v>
      </c>
      <c r="G1717" s="4" t="s">
        <v>2657</v>
      </c>
      <c r="H1717" s="198" t="s">
        <v>521</v>
      </c>
      <c r="I1717" s="198">
        <v>2017</v>
      </c>
      <c r="J1717" s="4" t="s">
        <v>2272</v>
      </c>
      <c r="K1717" s="4" t="s">
        <v>2272</v>
      </c>
      <c r="L1717" s="4" t="s">
        <v>2272</v>
      </c>
      <c r="M1717" s="4" t="s">
        <v>2272</v>
      </c>
      <c r="N1717" s="4" t="s">
        <v>2272</v>
      </c>
      <c r="O1717" s="4" t="s">
        <v>2272</v>
      </c>
      <c r="P1717" s="4" t="s">
        <v>2272</v>
      </c>
      <c r="Q1717" s="4" t="s">
        <v>2272</v>
      </c>
      <c r="R1717" s="4" t="s">
        <v>2272</v>
      </c>
      <c r="S1717" s="4" t="s">
        <v>2272</v>
      </c>
      <c r="T1717" s="4" t="s">
        <v>2272</v>
      </c>
      <c r="U1717" s="4" t="s">
        <v>2272</v>
      </c>
      <c r="V1717" s="4" t="s">
        <v>2272</v>
      </c>
      <c r="W1717" s="4" t="s">
        <v>2272</v>
      </c>
      <c r="X1717" s="4" t="s">
        <v>2272</v>
      </c>
      <c r="Y1717" s="4" t="s">
        <v>2272</v>
      </c>
      <c r="Z1717" s="4" t="s">
        <v>2272</v>
      </c>
      <c r="AA1717" s="198" t="s">
        <v>403</v>
      </c>
      <c r="AB1717" s="198" t="s">
        <v>34</v>
      </c>
      <c r="AC1717" s="198" t="s">
        <v>2272</v>
      </c>
      <c r="AD1717" s="198" t="s">
        <v>5179</v>
      </c>
      <c r="AE1717" s="198"/>
    </row>
    <row r="1718" spans="1:31" ht="42" customHeight="1">
      <c r="A1718" s="198" t="s">
        <v>5123</v>
      </c>
      <c r="B1718" s="198" t="s">
        <v>5173</v>
      </c>
      <c r="C1718" s="198" t="s">
        <v>30</v>
      </c>
      <c r="D1718" s="198" t="s">
        <v>29</v>
      </c>
      <c r="E1718" s="198" t="s">
        <v>2648</v>
      </c>
      <c r="F1718" s="198" t="s">
        <v>2272</v>
      </c>
      <c r="G1718" s="4" t="s">
        <v>2657</v>
      </c>
      <c r="H1718" s="198" t="s">
        <v>521</v>
      </c>
      <c r="I1718" s="198">
        <v>2017</v>
      </c>
      <c r="J1718" s="4" t="s">
        <v>2272</v>
      </c>
      <c r="K1718" s="4" t="s">
        <v>2272</v>
      </c>
      <c r="L1718" s="4" t="s">
        <v>2272</v>
      </c>
      <c r="M1718" s="4" t="s">
        <v>2272</v>
      </c>
      <c r="N1718" s="4" t="s">
        <v>2272</v>
      </c>
      <c r="O1718" s="4" t="s">
        <v>2272</v>
      </c>
      <c r="P1718" s="4" t="s">
        <v>2272</v>
      </c>
      <c r="Q1718" s="4" t="s">
        <v>2272</v>
      </c>
      <c r="R1718" s="4" t="s">
        <v>2272</v>
      </c>
      <c r="S1718" s="4" t="s">
        <v>2272</v>
      </c>
      <c r="T1718" s="4" t="s">
        <v>2272</v>
      </c>
      <c r="U1718" s="4" t="s">
        <v>2272</v>
      </c>
      <c r="V1718" s="4" t="s">
        <v>2272</v>
      </c>
      <c r="W1718" s="4" t="s">
        <v>2272</v>
      </c>
      <c r="X1718" s="4" t="s">
        <v>2272</v>
      </c>
      <c r="Y1718" s="4" t="s">
        <v>2272</v>
      </c>
      <c r="Z1718" s="4" t="s">
        <v>2272</v>
      </c>
      <c r="AA1718" s="198" t="s">
        <v>403</v>
      </c>
      <c r="AB1718" s="198" t="s">
        <v>34</v>
      </c>
      <c r="AC1718" s="198" t="s">
        <v>2272</v>
      </c>
      <c r="AD1718" s="198" t="s">
        <v>5179</v>
      </c>
      <c r="AE1718" s="198"/>
    </row>
    <row r="1719" spans="1:31" ht="42" customHeight="1">
      <c r="A1719" s="198" t="s">
        <v>5122</v>
      </c>
      <c r="B1719" s="198" t="s">
        <v>5174</v>
      </c>
      <c r="C1719" s="198" t="s">
        <v>23</v>
      </c>
      <c r="D1719" s="198" t="s">
        <v>1241</v>
      </c>
      <c r="E1719" s="198" t="s">
        <v>114</v>
      </c>
      <c r="F1719" s="198" t="s">
        <v>2272</v>
      </c>
      <c r="G1719" s="4" t="s">
        <v>2657</v>
      </c>
      <c r="H1719" s="198" t="s">
        <v>521</v>
      </c>
      <c r="I1719" s="198">
        <v>2017</v>
      </c>
      <c r="J1719" s="4" t="s">
        <v>2272</v>
      </c>
      <c r="K1719" s="4" t="s">
        <v>2272</v>
      </c>
      <c r="L1719" s="4" t="s">
        <v>2272</v>
      </c>
      <c r="M1719" s="4" t="s">
        <v>2272</v>
      </c>
      <c r="N1719" s="4" t="s">
        <v>2272</v>
      </c>
      <c r="O1719" s="4" t="s">
        <v>2272</v>
      </c>
      <c r="P1719" s="4" t="s">
        <v>2272</v>
      </c>
      <c r="Q1719" s="4" t="s">
        <v>2272</v>
      </c>
      <c r="R1719" s="4" t="s">
        <v>2272</v>
      </c>
      <c r="S1719" s="4" t="s">
        <v>2272</v>
      </c>
      <c r="T1719" s="4" t="s">
        <v>2272</v>
      </c>
      <c r="U1719" s="4" t="s">
        <v>2272</v>
      </c>
      <c r="V1719" s="4" t="s">
        <v>2272</v>
      </c>
      <c r="W1719" s="4" t="s">
        <v>2272</v>
      </c>
      <c r="X1719" s="4" t="s">
        <v>2272</v>
      </c>
      <c r="Y1719" s="4" t="s">
        <v>2272</v>
      </c>
      <c r="Z1719" s="4" t="s">
        <v>2272</v>
      </c>
      <c r="AA1719" s="198" t="s">
        <v>403</v>
      </c>
      <c r="AB1719" s="198" t="s">
        <v>34</v>
      </c>
      <c r="AC1719" s="198" t="s">
        <v>2272</v>
      </c>
      <c r="AD1719" s="198" t="s">
        <v>5179</v>
      </c>
      <c r="AE1719" s="198"/>
    </row>
    <row r="1720" spans="1:31" ht="38.5" customHeight="1">
      <c r="A1720" s="198" t="s">
        <v>5123</v>
      </c>
      <c r="B1720" s="198" t="s">
        <v>5175</v>
      </c>
      <c r="C1720" s="198" t="s">
        <v>23</v>
      </c>
      <c r="D1720" s="198" t="s">
        <v>1241</v>
      </c>
      <c r="E1720" s="198" t="s">
        <v>114</v>
      </c>
      <c r="F1720" s="198" t="s">
        <v>2272</v>
      </c>
      <c r="G1720" s="4" t="s">
        <v>2657</v>
      </c>
      <c r="H1720" s="198" t="s">
        <v>521</v>
      </c>
      <c r="I1720" s="198">
        <v>2017</v>
      </c>
      <c r="J1720" s="4" t="s">
        <v>2272</v>
      </c>
      <c r="K1720" s="4" t="s">
        <v>2272</v>
      </c>
      <c r="L1720" s="4" t="s">
        <v>2272</v>
      </c>
      <c r="M1720" s="4" t="s">
        <v>2272</v>
      </c>
      <c r="N1720" s="4" t="s">
        <v>2272</v>
      </c>
      <c r="O1720" s="4" t="s">
        <v>2272</v>
      </c>
      <c r="P1720" s="4" t="s">
        <v>2272</v>
      </c>
      <c r="Q1720" s="4" t="s">
        <v>2272</v>
      </c>
      <c r="R1720" s="4" t="s">
        <v>2272</v>
      </c>
      <c r="S1720" s="4" t="s">
        <v>2272</v>
      </c>
      <c r="T1720" s="4" t="s">
        <v>2272</v>
      </c>
      <c r="U1720" s="4" t="s">
        <v>2272</v>
      </c>
      <c r="V1720" s="4" t="s">
        <v>2272</v>
      </c>
      <c r="W1720" s="4" t="s">
        <v>2272</v>
      </c>
      <c r="X1720" s="4" t="s">
        <v>2272</v>
      </c>
      <c r="Y1720" s="4" t="s">
        <v>2272</v>
      </c>
      <c r="Z1720" s="4" t="s">
        <v>2272</v>
      </c>
      <c r="AA1720" s="198" t="s">
        <v>403</v>
      </c>
      <c r="AB1720" s="198" t="s">
        <v>34</v>
      </c>
      <c r="AC1720" s="198" t="s">
        <v>2272</v>
      </c>
      <c r="AD1720" s="198" t="s">
        <v>5179</v>
      </c>
      <c r="AE1720" s="198"/>
    </row>
    <row r="1721" spans="1:31" ht="33.5" customHeight="1">
      <c r="A1721" s="198" t="s">
        <v>5122</v>
      </c>
      <c r="B1721" s="198" t="s">
        <v>5176</v>
      </c>
      <c r="C1721" s="198" t="s">
        <v>2651</v>
      </c>
      <c r="D1721" s="198" t="s">
        <v>2272</v>
      </c>
      <c r="E1721" s="198" t="s">
        <v>2272</v>
      </c>
      <c r="F1721" s="198" t="s">
        <v>2272</v>
      </c>
      <c r="G1721" s="4" t="s">
        <v>2657</v>
      </c>
      <c r="H1721" s="198" t="s">
        <v>521</v>
      </c>
      <c r="I1721" s="198">
        <v>2017</v>
      </c>
      <c r="J1721" s="4" t="s">
        <v>2272</v>
      </c>
      <c r="K1721" s="4" t="s">
        <v>2272</v>
      </c>
      <c r="L1721" s="4" t="s">
        <v>2272</v>
      </c>
      <c r="M1721" s="4" t="s">
        <v>2272</v>
      </c>
      <c r="N1721" s="4" t="s">
        <v>2272</v>
      </c>
      <c r="O1721" s="4" t="s">
        <v>2272</v>
      </c>
      <c r="P1721" s="4" t="s">
        <v>2272</v>
      </c>
      <c r="Q1721" s="4" t="s">
        <v>2272</v>
      </c>
      <c r="R1721" s="4" t="s">
        <v>2272</v>
      </c>
      <c r="S1721" s="4" t="s">
        <v>2272</v>
      </c>
      <c r="T1721" s="4" t="s">
        <v>2272</v>
      </c>
      <c r="U1721" s="4" t="s">
        <v>2272</v>
      </c>
      <c r="V1721" s="4" t="s">
        <v>2272</v>
      </c>
      <c r="W1721" s="4" t="s">
        <v>2272</v>
      </c>
      <c r="X1721" s="4" t="s">
        <v>2272</v>
      </c>
      <c r="Y1721" s="4" t="s">
        <v>2272</v>
      </c>
      <c r="Z1721" s="4" t="s">
        <v>2272</v>
      </c>
      <c r="AA1721" s="198" t="s">
        <v>403</v>
      </c>
      <c r="AB1721" s="198" t="s">
        <v>34</v>
      </c>
      <c r="AC1721" s="198" t="s">
        <v>2272</v>
      </c>
      <c r="AD1721" s="198" t="s">
        <v>5179</v>
      </c>
      <c r="AE1721" s="198"/>
    </row>
    <row r="1722" spans="1:31" ht="33.5" customHeight="1">
      <c r="A1722" s="198" t="s">
        <v>5123</v>
      </c>
      <c r="B1722" s="198" t="s">
        <v>5177</v>
      </c>
      <c r="C1722" s="198" t="s">
        <v>2651</v>
      </c>
      <c r="D1722" s="198" t="s">
        <v>2272</v>
      </c>
      <c r="E1722" s="198" t="s">
        <v>2272</v>
      </c>
      <c r="F1722" s="198" t="s">
        <v>2272</v>
      </c>
      <c r="G1722" s="4" t="s">
        <v>2657</v>
      </c>
      <c r="H1722" s="198" t="s">
        <v>521</v>
      </c>
      <c r="I1722" s="198">
        <v>2017</v>
      </c>
      <c r="J1722" s="4" t="s">
        <v>2272</v>
      </c>
      <c r="K1722" s="4" t="s">
        <v>2272</v>
      </c>
      <c r="L1722" s="4" t="s">
        <v>2272</v>
      </c>
      <c r="M1722" s="4" t="s">
        <v>2272</v>
      </c>
      <c r="N1722" s="4" t="s">
        <v>2272</v>
      </c>
      <c r="O1722" s="4" t="s">
        <v>2272</v>
      </c>
      <c r="P1722" s="4" t="s">
        <v>2272</v>
      </c>
      <c r="Q1722" s="4" t="s">
        <v>2272</v>
      </c>
      <c r="R1722" s="4" t="s">
        <v>2272</v>
      </c>
      <c r="S1722" s="4" t="s">
        <v>2272</v>
      </c>
      <c r="T1722" s="4" t="s">
        <v>2272</v>
      </c>
      <c r="U1722" s="4" t="s">
        <v>2272</v>
      </c>
      <c r="V1722" s="4" t="s">
        <v>2272</v>
      </c>
      <c r="W1722" s="4" t="s">
        <v>2272</v>
      </c>
      <c r="X1722" s="4" t="s">
        <v>2272</v>
      </c>
      <c r="Y1722" s="4" t="s">
        <v>2272</v>
      </c>
      <c r="Z1722" s="4" t="s">
        <v>2272</v>
      </c>
      <c r="AA1722" s="198" t="s">
        <v>403</v>
      </c>
      <c r="AB1722" s="198" t="s">
        <v>34</v>
      </c>
      <c r="AC1722" s="198" t="s">
        <v>2272</v>
      </c>
      <c r="AD1722" s="198" t="s">
        <v>5179</v>
      </c>
      <c r="AE1722" s="198"/>
    </row>
    <row r="1723" spans="1:31" ht="38" customHeight="1">
      <c r="A1723" s="4" t="s">
        <v>5184</v>
      </c>
      <c r="B1723" s="4" t="s">
        <v>5187</v>
      </c>
      <c r="C1723" s="4" t="s">
        <v>23</v>
      </c>
      <c r="D1723" s="4" t="s">
        <v>2227</v>
      </c>
      <c r="E1723" s="4" t="s">
        <v>394</v>
      </c>
      <c r="F1723" s="4" t="s">
        <v>73</v>
      </c>
      <c r="G1723" s="198" t="s">
        <v>2272</v>
      </c>
      <c r="H1723" s="198" t="s">
        <v>521</v>
      </c>
      <c r="I1723" s="4"/>
      <c r="J1723" s="198" t="s">
        <v>2272</v>
      </c>
      <c r="K1723" s="198" t="s">
        <v>2272</v>
      </c>
      <c r="L1723" s="198" t="s">
        <v>2272</v>
      </c>
      <c r="M1723" s="198" t="s">
        <v>2272</v>
      </c>
      <c r="N1723" s="198" t="s">
        <v>2272</v>
      </c>
      <c r="O1723" s="198" t="s">
        <v>2272</v>
      </c>
      <c r="P1723" s="198" t="s">
        <v>2272</v>
      </c>
      <c r="Q1723" s="198" t="s">
        <v>2272</v>
      </c>
      <c r="R1723" s="198" t="s">
        <v>2272</v>
      </c>
      <c r="S1723" s="198" t="s">
        <v>2272</v>
      </c>
      <c r="T1723" s="198" t="s">
        <v>2272</v>
      </c>
      <c r="U1723" s="198" t="s">
        <v>2272</v>
      </c>
      <c r="V1723" s="198" t="s">
        <v>2272</v>
      </c>
      <c r="W1723" s="198" t="s">
        <v>2272</v>
      </c>
      <c r="X1723" s="198" t="s">
        <v>2272</v>
      </c>
      <c r="Y1723" s="198" t="s">
        <v>2272</v>
      </c>
      <c r="Z1723" s="198" t="s">
        <v>2272</v>
      </c>
      <c r="AA1723" s="198" t="s">
        <v>2272</v>
      </c>
      <c r="AB1723" s="198" t="s">
        <v>2272</v>
      </c>
      <c r="AC1723" s="198" t="s">
        <v>2272</v>
      </c>
      <c r="AD1723" s="4"/>
      <c r="AE1723" s="4"/>
    </row>
    <row r="1724" spans="1:31" ht="38" customHeight="1">
      <c r="A1724" s="4" t="s">
        <v>5184</v>
      </c>
      <c r="B1724" s="4" t="s">
        <v>5189</v>
      </c>
      <c r="C1724" s="4" t="s">
        <v>23</v>
      </c>
      <c r="D1724" s="4" t="s">
        <v>4157</v>
      </c>
      <c r="E1724" s="4" t="s">
        <v>860</v>
      </c>
      <c r="F1724" s="4" t="s">
        <v>73</v>
      </c>
      <c r="G1724" s="198" t="s">
        <v>2272</v>
      </c>
      <c r="H1724" s="198" t="s">
        <v>521</v>
      </c>
      <c r="I1724" s="4"/>
      <c r="J1724" s="198" t="s">
        <v>2272</v>
      </c>
      <c r="K1724" s="198" t="s">
        <v>2272</v>
      </c>
      <c r="L1724" s="198" t="s">
        <v>2272</v>
      </c>
      <c r="M1724" s="198" t="s">
        <v>2272</v>
      </c>
      <c r="N1724" s="198" t="s">
        <v>2272</v>
      </c>
      <c r="O1724" s="198" t="s">
        <v>2272</v>
      </c>
      <c r="P1724" s="198" t="s">
        <v>2272</v>
      </c>
      <c r="Q1724" s="198" t="s">
        <v>2272</v>
      </c>
      <c r="R1724" s="198" t="s">
        <v>2272</v>
      </c>
      <c r="S1724" s="198" t="s">
        <v>2272</v>
      </c>
      <c r="T1724" s="198" t="s">
        <v>2272</v>
      </c>
      <c r="U1724" s="198" t="s">
        <v>2272</v>
      </c>
      <c r="V1724" s="198" t="s">
        <v>2272</v>
      </c>
      <c r="W1724" s="198" t="s">
        <v>2272</v>
      </c>
      <c r="X1724" s="198" t="s">
        <v>2272</v>
      </c>
      <c r="Y1724" s="198" t="s">
        <v>2272</v>
      </c>
      <c r="Z1724" s="198" t="s">
        <v>2272</v>
      </c>
      <c r="AA1724" s="198" t="s">
        <v>2272</v>
      </c>
      <c r="AB1724" s="198" t="s">
        <v>2272</v>
      </c>
      <c r="AC1724" s="198" t="s">
        <v>2272</v>
      </c>
      <c r="AD1724" s="4"/>
      <c r="AE1724" s="4"/>
    </row>
    <row r="1725" spans="1:31" ht="33.5" customHeight="1">
      <c r="A1725" s="4" t="s">
        <v>5184</v>
      </c>
      <c r="B1725" s="4" t="s">
        <v>5190</v>
      </c>
      <c r="C1725" s="4" t="s">
        <v>23</v>
      </c>
      <c r="D1725" s="4" t="s">
        <v>3471</v>
      </c>
      <c r="E1725" s="4" t="s">
        <v>860</v>
      </c>
      <c r="F1725" s="4" t="s">
        <v>73</v>
      </c>
      <c r="G1725" s="198" t="s">
        <v>2272</v>
      </c>
      <c r="H1725" s="198" t="s">
        <v>521</v>
      </c>
      <c r="I1725" s="4"/>
      <c r="J1725" s="198" t="s">
        <v>2272</v>
      </c>
      <c r="K1725" s="198" t="s">
        <v>2272</v>
      </c>
      <c r="L1725" s="198" t="s">
        <v>2272</v>
      </c>
      <c r="M1725" s="198" t="s">
        <v>2272</v>
      </c>
      <c r="N1725" s="198" t="s">
        <v>2272</v>
      </c>
      <c r="O1725" s="198" t="s">
        <v>2272</v>
      </c>
      <c r="P1725" s="198" t="s">
        <v>2272</v>
      </c>
      <c r="Q1725" s="198" t="s">
        <v>2272</v>
      </c>
      <c r="R1725" s="198" t="s">
        <v>2272</v>
      </c>
      <c r="S1725" s="198" t="s">
        <v>2272</v>
      </c>
      <c r="T1725" s="198" t="s">
        <v>2272</v>
      </c>
      <c r="U1725" s="198" t="s">
        <v>2272</v>
      </c>
      <c r="V1725" s="198" t="s">
        <v>2272</v>
      </c>
      <c r="W1725" s="198" t="s">
        <v>2272</v>
      </c>
      <c r="X1725" s="198" t="s">
        <v>2272</v>
      </c>
      <c r="Y1725" s="198" t="s">
        <v>2272</v>
      </c>
      <c r="Z1725" s="198" t="s">
        <v>2272</v>
      </c>
      <c r="AA1725" s="198" t="s">
        <v>2272</v>
      </c>
      <c r="AB1725" s="198" t="s">
        <v>2272</v>
      </c>
      <c r="AC1725" s="198" t="s">
        <v>2272</v>
      </c>
      <c r="AD1725" s="4"/>
      <c r="AE1725" s="4"/>
    </row>
    <row r="1726" spans="1:31" ht="36.5" customHeight="1">
      <c r="A1726" s="4" t="s">
        <v>5184</v>
      </c>
      <c r="B1726" s="4" t="s">
        <v>5191</v>
      </c>
      <c r="C1726" s="4" t="s">
        <v>23</v>
      </c>
      <c r="D1726" s="198" t="s">
        <v>26</v>
      </c>
      <c r="E1726" s="198" t="s">
        <v>128</v>
      </c>
      <c r="F1726" s="4" t="s">
        <v>158</v>
      </c>
      <c r="G1726" s="198" t="s">
        <v>2272</v>
      </c>
      <c r="H1726" s="198" t="s">
        <v>521</v>
      </c>
      <c r="I1726" s="198"/>
      <c r="J1726" s="198" t="s">
        <v>2272</v>
      </c>
      <c r="K1726" s="198" t="s">
        <v>2272</v>
      </c>
      <c r="L1726" s="198" t="s">
        <v>2272</v>
      </c>
      <c r="M1726" s="198" t="s">
        <v>2272</v>
      </c>
      <c r="N1726" s="198" t="s">
        <v>2272</v>
      </c>
      <c r="O1726" s="198" t="s">
        <v>2272</v>
      </c>
      <c r="P1726" s="198" t="s">
        <v>2272</v>
      </c>
      <c r="Q1726" s="198" t="s">
        <v>2272</v>
      </c>
      <c r="R1726" s="198" t="s">
        <v>2272</v>
      </c>
      <c r="S1726" s="198" t="s">
        <v>2272</v>
      </c>
      <c r="T1726" s="198" t="s">
        <v>2272</v>
      </c>
      <c r="U1726" s="198" t="s">
        <v>2272</v>
      </c>
      <c r="V1726" s="198" t="s">
        <v>2272</v>
      </c>
      <c r="W1726" s="198" t="s">
        <v>2272</v>
      </c>
      <c r="X1726" s="198" t="s">
        <v>2272</v>
      </c>
      <c r="Y1726" s="198" t="s">
        <v>2272</v>
      </c>
      <c r="Z1726" s="198" t="s">
        <v>2272</v>
      </c>
      <c r="AA1726" s="198" t="s">
        <v>2272</v>
      </c>
      <c r="AB1726" s="198" t="s">
        <v>2272</v>
      </c>
      <c r="AC1726" s="198" t="s">
        <v>2272</v>
      </c>
      <c r="AD1726" s="4" t="s">
        <v>5196</v>
      </c>
      <c r="AE1726" s="198"/>
    </row>
    <row r="1727" spans="1:31" ht="36.5" customHeight="1">
      <c r="A1727" s="4" t="s">
        <v>5184</v>
      </c>
      <c r="B1727" s="4" t="s">
        <v>5192</v>
      </c>
      <c r="C1727" s="4" t="s">
        <v>23</v>
      </c>
      <c r="D1727" s="198" t="s">
        <v>1241</v>
      </c>
      <c r="E1727" s="4" t="s">
        <v>860</v>
      </c>
      <c r="F1727" s="4" t="s">
        <v>73</v>
      </c>
      <c r="G1727" s="198" t="s">
        <v>2272</v>
      </c>
      <c r="H1727" s="198" t="s">
        <v>521</v>
      </c>
      <c r="I1727" s="198"/>
      <c r="J1727" s="198" t="s">
        <v>2272</v>
      </c>
      <c r="K1727" s="198" t="s">
        <v>2272</v>
      </c>
      <c r="L1727" s="198" t="s">
        <v>2272</v>
      </c>
      <c r="M1727" s="198" t="s">
        <v>2272</v>
      </c>
      <c r="N1727" s="198" t="s">
        <v>2272</v>
      </c>
      <c r="O1727" s="198" t="s">
        <v>2272</v>
      </c>
      <c r="P1727" s="198" t="s">
        <v>2272</v>
      </c>
      <c r="Q1727" s="198" t="s">
        <v>2272</v>
      </c>
      <c r="R1727" s="198" t="s">
        <v>2272</v>
      </c>
      <c r="S1727" s="198" t="s">
        <v>2272</v>
      </c>
      <c r="T1727" s="198" t="s">
        <v>2272</v>
      </c>
      <c r="U1727" s="198" t="s">
        <v>2272</v>
      </c>
      <c r="V1727" s="198" t="s">
        <v>2272</v>
      </c>
      <c r="W1727" s="198" t="s">
        <v>2272</v>
      </c>
      <c r="X1727" s="198" t="s">
        <v>2272</v>
      </c>
      <c r="Y1727" s="198" t="s">
        <v>2272</v>
      </c>
      <c r="Z1727" s="198" t="s">
        <v>2272</v>
      </c>
      <c r="AA1727" s="198" t="s">
        <v>2272</v>
      </c>
      <c r="AB1727" s="198" t="s">
        <v>2272</v>
      </c>
      <c r="AC1727" s="198" t="s">
        <v>2272</v>
      </c>
      <c r="AD1727" s="4" t="s">
        <v>5196</v>
      </c>
      <c r="AE1727" s="198"/>
    </row>
    <row r="1728" spans="1:31" ht="36.5" customHeight="1">
      <c r="A1728" s="4" t="s">
        <v>5184</v>
      </c>
      <c r="B1728" s="4" t="s">
        <v>5193</v>
      </c>
      <c r="C1728" s="4" t="s">
        <v>23</v>
      </c>
      <c r="D1728" s="198" t="s">
        <v>2301</v>
      </c>
      <c r="E1728" s="4" t="s">
        <v>860</v>
      </c>
      <c r="F1728" s="4" t="s">
        <v>73</v>
      </c>
      <c r="G1728" s="198" t="s">
        <v>2272</v>
      </c>
      <c r="H1728" s="198" t="s">
        <v>521</v>
      </c>
      <c r="I1728" s="198"/>
      <c r="J1728" s="198" t="s">
        <v>2272</v>
      </c>
      <c r="K1728" s="198" t="s">
        <v>2272</v>
      </c>
      <c r="L1728" s="198" t="s">
        <v>2272</v>
      </c>
      <c r="M1728" s="198" t="s">
        <v>2272</v>
      </c>
      <c r="N1728" s="198" t="s">
        <v>2272</v>
      </c>
      <c r="O1728" s="198" t="s">
        <v>2272</v>
      </c>
      <c r="P1728" s="198" t="s">
        <v>2272</v>
      </c>
      <c r="Q1728" s="198" t="s">
        <v>2272</v>
      </c>
      <c r="R1728" s="198" t="s">
        <v>2272</v>
      </c>
      <c r="S1728" s="198" t="s">
        <v>2272</v>
      </c>
      <c r="T1728" s="198" t="s">
        <v>2272</v>
      </c>
      <c r="U1728" s="198" t="s">
        <v>2272</v>
      </c>
      <c r="V1728" s="198" t="s">
        <v>2272</v>
      </c>
      <c r="W1728" s="198" t="s">
        <v>2272</v>
      </c>
      <c r="X1728" s="198" t="s">
        <v>2272</v>
      </c>
      <c r="Y1728" s="198" t="s">
        <v>2272</v>
      </c>
      <c r="Z1728" s="198" t="s">
        <v>2272</v>
      </c>
      <c r="AA1728" s="198" t="s">
        <v>2272</v>
      </c>
      <c r="AB1728" s="198" t="s">
        <v>2272</v>
      </c>
      <c r="AC1728" s="198" t="s">
        <v>2272</v>
      </c>
      <c r="AD1728" s="4" t="s">
        <v>5196</v>
      </c>
      <c r="AE1728" s="198"/>
    </row>
    <row r="1729" spans="1:31" ht="40" customHeight="1">
      <c r="A1729" s="4" t="s">
        <v>5184</v>
      </c>
      <c r="B1729" s="4" t="s">
        <v>5194</v>
      </c>
      <c r="C1729" s="4" t="s">
        <v>23</v>
      </c>
      <c r="D1729" s="198" t="s">
        <v>3475</v>
      </c>
      <c r="E1729" s="4" t="s">
        <v>860</v>
      </c>
      <c r="F1729" s="4" t="s">
        <v>73</v>
      </c>
      <c r="G1729" s="198" t="s">
        <v>2272</v>
      </c>
      <c r="H1729" s="198" t="s">
        <v>521</v>
      </c>
      <c r="I1729" s="198"/>
      <c r="J1729" s="198" t="s">
        <v>2272</v>
      </c>
      <c r="K1729" s="198" t="s">
        <v>2272</v>
      </c>
      <c r="L1729" s="198" t="s">
        <v>2272</v>
      </c>
      <c r="M1729" s="198" t="s">
        <v>2272</v>
      </c>
      <c r="N1729" s="198" t="s">
        <v>2272</v>
      </c>
      <c r="O1729" s="198" t="s">
        <v>2272</v>
      </c>
      <c r="P1729" s="198" t="s">
        <v>2272</v>
      </c>
      <c r="Q1729" s="198" t="s">
        <v>2272</v>
      </c>
      <c r="R1729" s="198" t="s">
        <v>2272</v>
      </c>
      <c r="S1729" s="198" t="s">
        <v>2272</v>
      </c>
      <c r="T1729" s="198" t="s">
        <v>2272</v>
      </c>
      <c r="U1729" s="198" t="s">
        <v>2272</v>
      </c>
      <c r="V1729" s="198" t="s">
        <v>2272</v>
      </c>
      <c r="W1729" s="198" t="s">
        <v>2272</v>
      </c>
      <c r="X1729" s="198" t="s">
        <v>2272</v>
      </c>
      <c r="Y1729" s="198" t="s">
        <v>2272</v>
      </c>
      <c r="Z1729" s="198" t="s">
        <v>2272</v>
      </c>
      <c r="AA1729" s="198" t="s">
        <v>2272</v>
      </c>
      <c r="AB1729" s="198" t="s">
        <v>2272</v>
      </c>
      <c r="AC1729" s="198" t="s">
        <v>2272</v>
      </c>
      <c r="AD1729" s="4" t="s">
        <v>5196</v>
      </c>
      <c r="AE1729" s="198"/>
    </row>
    <row r="1730" spans="1:31" ht="34.5" customHeight="1">
      <c r="A1730" s="4" t="s">
        <v>5184</v>
      </c>
      <c r="B1730" s="4" t="s">
        <v>5195</v>
      </c>
      <c r="C1730" s="4" t="s">
        <v>23</v>
      </c>
      <c r="D1730" s="198" t="s">
        <v>2337</v>
      </c>
      <c r="E1730" s="4" t="s">
        <v>860</v>
      </c>
      <c r="F1730" s="4" t="s">
        <v>73</v>
      </c>
      <c r="G1730" s="198" t="s">
        <v>2272</v>
      </c>
      <c r="H1730" s="198" t="s">
        <v>521</v>
      </c>
      <c r="I1730" s="198"/>
      <c r="J1730" s="198" t="s">
        <v>2272</v>
      </c>
      <c r="K1730" s="198" t="s">
        <v>2272</v>
      </c>
      <c r="L1730" s="198" t="s">
        <v>2272</v>
      </c>
      <c r="M1730" s="198" t="s">
        <v>2272</v>
      </c>
      <c r="N1730" s="198" t="s">
        <v>2272</v>
      </c>
      <c r="O1730" s="198" t="s">
        <v>2272</v>
      </c>
      <c r="P1730" s="198" t="s">
        <v>2272</v>
      </c>
      <c r="Q1730" s="198" t="s">
        <v>2272</v>
      </c>
      <c r="R1730" s="198" t="s">
        <v>2272</v>
      </c>
      <c r="S1730" s="198" t="s">
        <v>2272</v>
      </c>
      <c r="T1730" s="198" t="s">
        <v>2272</v>
      </c>
      <c r="U1730" s="198" t="s">
        <v>2272</v>
      </c>
      <c r="V1730" s="198" t="s">
        <v>2272</v>
      </c>
      <c r="W1730" s="198" t="s">
        <v>2272</v>
      </c>
      <c r="X1730" s="198" t="s">
        <v>2272</v>
      </c>
      <c r="Y1730" s="198" t="s">
        <v>2272</v>
      </c>
      <c r="Z1730" s="198" t="s">
        <v>2272</v>
      </c>
      <c r="AA1730" s="198" t="s">
        <v>2272</v>
      </c>
      <c r="AB1730" s="198" t="s">
        <v>2272</v>
      </c>
      <c r="AC1730" s="198" t="s">
        <v>2272</v>
      </c>
      <c r="AD1730" s="4" t="s">
        <v>5197</v>
      </c>
      <c r="AE1730" s="198"/>
    </row>
    <row r="1731" spans="1:31" ht="94.5" customHeight="1">
      <c r="A1731" s="4" t="s">
        <v>5184</v>
      </c>
      <c r="B1731" s="4" t="s">
        <v>5198</v>
      </c>
      <c r="C1731" s="198" t="s">
        <v>2653</v>
      </c>
      <c r="D1731" s="198" t="s">
        <v>1102</v>
      </c>
      <c r="E1731" s="198" t="s">
        <v>1102</v>
      </c>
      <c r="F1731" s="198" t="s">
        <v>2272</v>
      </c>
      <c r="G1731" s="198" t="s">
        <v>2272</v>
      </c>
      <c r="H1731" s="198" t="s">
        <v>521</v>
      </c>
      <c r="I1731" s="198"/>
      <c r="J1731" s="198" t="s">
        <v>2272</v>
      </c>
      <c r="K1731" s="198" t="s">
        <v>2272</v>
      </c>
      <c r="L1731" s="198" t="s">
        <v>2272</v>
      </c>
      <c r="M1731" s="198" t="s">
        <v>2272</v>
      </c>
      <c r="N1731" s="198" t="s">
        <v>2272</v>
      </c>
      <c r="O1731" s="198" t="s">
        <v>2272</v>
      </c>
      <c r="P1731" s="198" t="s">
        <v>2272</v>
      </c>
      <c r="Q1731" s="198" t="s">
        <v>2272</v>
      </c>
      <c r="R1731" s="198" t="s">
        <v>2272</v>
      </c>
      <c r="S1731" s="198" t="s">
        <v>2272</v>
      </c>
      <c r="T1731" s="198" t="s">
        <v>2272</v>
      </c>
      <c r="U1731" s="198" t="s">
        <v>2272</v>
      </c>
      <c r="V1731" s="198" t="s">
        <v>2272</v>
      </c>
      <c r="W1731" s="198" t="s">
        <v>2272</v>
      </c>
      <c r="X1731" s="198" t="s">
        <v>2272</v>
      </c>
      <c r="Y1731" s="198" t="s">
        <v>2272</v>
      </c>
      <c r="Z1731" s="198" t="s">
        <v>2272</v>
      </c>
      <c r="AA1731" s="198" t="s">
        <v>2272</v>
      </c>
      <c r="AB1731" s="198" t="s">
        <v>2272</v>
      </c>
      <c r="AC1731" s="198" t="s">
        <v>2272</v>
      </c>
      <c r="AD1731" s="198"/>
      <c r="AE1731" s="4" t="s">
        <v>5199</v>
      </c>
    </row>
    <row r="1732" spans="1:31" ht="53.5" customHeight="1">
      <c r="A1732" s="4" t="s">
        <v>5203</v>
      </c>
      <c r="B1732" s="4" t="s">
        <v>5210</v>
      </c>
      <c r="C1732" s="4" t="s">
        <v>23</v>
      </c>
      <c r="D1732" s="198" t="s">
        <v>142</v>
      </c>
      <c r="E1732" s="198" t="s">
        <v>135</v>
      </c>
      <c r="F1732" s="4" t="s">
        <v>54</v>
      </c>
      <c r="G1732" s="198" t="s">
        <v>54</v>
      </c>
      <c r="H1732" s="198" t="s">
        <v>521</v>
      </c>
      <c r="I1732" s="198"/>
      <c r="J1732" s="198" t="s">
        <v>2272</v>
      </c>
      <c r="K1732" s="198" t="s">
        <v>2272</v>
      </c>
      <c r="L1732" s="198" t="s">
        <v>2272</v>
      </c>
      <c r="M1732" s="198" t="s">
        <v>2272</v>
      </c>
      <c r="N1732" s="198" t="s">
        <v>2272</v>
      </c>
      <c r="O1732" s="198" t="s">
        <v>2272</v>
      </c>
      <c r="P1732" s="198" t="s">
        <v>2272</v>
      </c>
      <c r="Q1732" s="198" t="s">
        <v>2272</v>
      </c>
      <c r="R1732" s="198" t="s">
        <v>2272</v>
      </c>
      <c r="S1732" s="198" t="s">
        <v>2272</v>
      </c>
      <c r="T1732" s="198" t="s">
        <v>2272</v>
      </c>
      <c r="U1732" s="198" t="s">
        <v>2272</v>
      </c>
      <c r="V1732" s="198" t="s">
        <v>2272</v>
      </c>
      <c r="W1732" s="198" t="s">
        <v>2272</v>
      </c>
      <c r="X1732" s="198" t="s">
        <v>2272</v>
      </c>
      <c r="Y1732" s="198" t="s">
        <v>2272</v>
      </c>
      <c r="Z1732" s="198" t="s">
        <v>2272</v>
      </c>
      <c r="AA1732" s="198" t="s">
        <v>37</v>
      </c>
      <c r="AB1732" s="198" t="s">
        <v>84</v>
      </c>
      <c r="AC1732" s="198" t="s">
        <v>2272</v>
      </c>
      <c r="AD1732" s="4" t="s">
        <v>5212</v>
      </c>
      <c r="AE1732" s="198"/>
    </row>
    <row r="1733" spans="1:31" ht="62.5" customHeight="1">
      <c r="A1733" s="4" t="s">
        <v>5203</v>
      </c>
      <c r="B1733" s="4" t="s">
        <v>5211</v>
      </c>
      <c r="C1733" s="4" t="s">
        <v>23</v>
      </c>
      <c r="D1733" s="198" t="s">
        <v>404</v>
      </c>
      <c r="E1733" s="198" t="s">
        <v>135</v>
      </c>
      <c r="F1733" s="4" t="s">
        <v>54</v>
      </c>
      <c r="G1733" s="198" t="s">
        <v>54</v>
      </c>
      <c r="H1733" s="198" t="s">
        <v>521</v>
      </c>
      <c r="I1733" s="198"/>
      <c r="J1733" s="198" t="s">
        <v>2272</v>
      </c>
      <c r="K1733" s="198" t="s">
        <v>2272</v>
      </c>
      <c r="L1733" s="198" t="s">
        <v>2272</v>
      </c>
      <c r="M1733" s="198" t="s">
        <v>2272</v>
      </c>
      <c r="N1733" s="198" t="s">
        <v>2272</v>
      </c>
      <c r="O1733" s="198" t="s">
        <v>2272</v>
      </c>
      <c r="P1733" s="198" t="s">
        <v>2272</v>
      </c>
      <c r="Q1733" s="198" t="s">
        <v>2272</v>
      </c>
      <c r="R1733" s="198" t="s">
        <v>2272</v>
      </c>
      <c r="S1733" s="198" t="s">
        <v>2272</v>
      </c>
      <c r="T1733" s="198" t="s">
        <v>2272</v>
      </c>
      <c r="U1733" s="198" t="s">
        <v>2272</v>
      </c>
      <c r="V1733" s="198" t="s">
        <v>2272</v>
      </c>
      <c r="W1733" s="198" t="s">
        <v>2272</v>
      </c>
      <c r="X1733" s="198" t="s">
        <v>2272</v>
      </c>
      <c r="Y1733" s="198" t="s">
        <v>2272</v>
      </c>
      <c r="Z1733" s="198" t="s">
        <v>2272</v>
      </c>
      <c r="AA1733" s="198" t="s">
        <v>37</v>
      </c>
      <c r="AB1733" s="198" t="s">
        <v>84</v>
      </c>
      <c r="AC1733" s="198" t="s">
        <v>2272</v>
      </c>
      <c r="AD1733" s="4" t="s">
        <v>5212</v>
      </c>
      <c r="AE1733" s="198"/>
    </row>
    <row r="1734" spans="1:31" ht="50" customHeight="1">
      <c r="A1734" s="4" t="s">
        <v>5217</v>
      </c>
      <c r="B1734" s="4" t="s">
        <v>5221</v>
      </c>
      <c r="C1734" s="4" t="s">
        <v>23</v>
      </c>
      <c r="D1734" s="198" t="s">
        <v>24</v>
      </c>
      <c r="E1734" s="198" t="s">
        <v>5000</v>
      </c>
      <c r="F1734" s="4" t="s">
        <v>54</v>
      </c>
      <c r="G1734" s="198" t="s">
        <v>2272</v>
      </c>
      <c r="H1734" s="198" t="s">
        <v>521</v>
      </c>
      <c r="I1734" s="198"/>
      <c r="J1734" s="198" t="s">
        <v>2272</v>
      </c>
      <c r="K1734" s="198" t="s">
        <v>2272</v>
      </c>
      <c r="L1734" s="198" t="s">
        <v>2272</v>
      </c>
      <c r="M1734" s="198" t="s">
        <v>2272</v>
      </c>
      <c r="N1734" s="198" t="s">
        <v>2272</v>
      </c>
      <c r="O1734" s="198" t="s">
        <v>2272</v>
      </c>
      <c r="P1734" s="198" t="s">
        <v>2272</v>
      </c>
      <c r="Q1734" s="198" t="s">
        <v>2272</v>
      </c>
      <c r="R1734" s="198" t="s">
        <v>2272</v>
      </c>
      <c r="S1734" s="198" t="s">
        <v>2272</v>
      </c>
      <c r="T1734" s="198" t="s">
        <v>2272</v>
      </c>
      <c r="U1734" s="198" t="s">
        <v>2272</v>
      </c>
      <c r="V1734" s="198" t="s">
        <v>2272</v>
      </c>
      <c r="W1734" s="198" t="s">
        <v>2272</v>
      </c>
      <c r="X1734" s="198" t="s">
        <v>2272</v>
      </c>
      <c r="Y1734" s="198" t="s">
        <v>2272</v>
      </c>
      <c r="Z1734" s="198" t="s">
        <v>2272</v>
      </c>
      <c r="AA1734" s="198" t="s">
        <v>2272</v>
      </c>
      <c r="AB1734" s="198" t="s">
        <v>2272</v>
      </c>
      <c r="AC1734" s="198" t="s">
        <v>2272</v>
      </c>
      <c r="AD1734" s="198"/>
      <c r="AE1734" s="198"/>
    </row>
    <row r="1735" spans="1:31" ht="50" customHeight="1">
      <c r="A1735" s="4" t="s">
        <v>5217</v>
      </c>
      <c r="B1735" s="4" t="s">
        <v>5222</v>
      </c>
      <c r="C1735" s="4" t="s">
        <v>23</v>
      </c>
      <c r="D1735" s="198" t="s">
        <v>2227</v>
      </c>
      <c r="E1735" s="4" t="s">
        <v>395</v>
      </c>
      <c r="F1735" s="4" t="s">
        <v>2657</v>
      </c>
      <c r="G1735" s="198" t="s">
        <v>2272</v>
      </c>
      <c r="H1735" s="198" t="s">
        <v>521</v>
      </c>
      <c r="I1735" s="198"/>
      <c r="J1735" s="198" t="s">
        <v>2272</v>
      </c>
      <c r="K1735" s="198" t="s">
        <v>2272</v>
      </c>
      <c r="L1735" s="198" t="s">
        <v>2272</v>
      </c>
      <c r="M1735" s="198" t="s">
        <v>2272</v>
      </c>
      <c r="N1735" s="198" t="s">
        <v>2272</v>
      </c>
      <c r="O1735" s="198" t="s">
        <v>2272</v>
      </c>
      <c r="P1735" s="198" t="s">
        <v>2272</v>
      </c>
      <c r="Q1735" s="198" t="s">
        <v>2272</v>
      </c>
      <c r="R1735" s="198" t="s">
        <v>2272</v>
      </c>
      <c r="S1735" s="198" t="s">
        <v>2272</v>
      </c>
      <c r="T1735" s="198" t="s">
        <v>2272</v>
      </c>
      <c r="U1735" s="198" t="s">
        <v>2272</v>
      </c>
      <c r="V1735" s="198" t="s">
        <v>2272</v>
      </c>
      <c r="W1735" s="198" t="s">
        <v>2272</v>
      </c>
      <c r="X1735" s="198" t="s">
        <v>2272</v>
      </c>
      <c r="Y1735" s="198" t="s">
        <v>2272</v>
      </c>
      <c r="Z1735" s="198" t="s">
        <v>2272</v>
      </c>
      <c r="AA1735" s="198" t="s">
        <v>2272</v>
      </c>
      <c r="AB1735" s="198" t="s">
        <v>2272</v>
      </c>
      <c r="AC1735" s="198" t="s">
        <v>2272</v>
      </c>
      <c r="AD1735" s="198"/>
      <c r="AE1735" s="198"/>
    </row>
    <row r="1736" spans="1:31" ht="50" customHeight="1">
      <c r="A1736" s="4" t="s">
        <v>5217</v>
      </c>
      <c r="B1736" s="4" t="s">
        <v>5223</v>
      </c>
      <c r="C1736" s="4" t="s">
        <v>23</v>
      </c>
      <c r="D1736" s="198" t="s">
        <v>1241</v>
      </c>
      <c r="E1736" s="198" t="s">
        <v>114</v>
      </c>
      <c r="F1736" s="4" t="s">
        <v>54</v>
      </c>
      <c r="G1736" s="198" t="s">
        <v>2272</v>
      </c>
      <c r="H1736" s="198" t="s">
        <v>521</v>
      </c>
      <c r="I1736" s="198"/>
      <c r="J1736" s="198" t="s">
        <v>2272</v>
      </c>
      <c r="K1736" s="198" t="s">
        <v>2272</v>
      </c>
      <c r="L1736" s="198" t="s">
        <v>2272</v>
      </c>
      <c r="M1736" s="198" t="s">
        <v>2272</v>
      </c>
      <c r="N1736" s="198" t="s">
        <v>2272</v>
      </c>
      <c r="O1736" s="198" t="s">
        <v>2272</v>
      </c>
      <c r="P1736" s="198" t="s">
        <v>2272</v>
      </c>
      <c r="Q1736" s="198" t="s">
        <v>2272</v>
      </c>
      <c r="R1736" s="198" t="s">
        <v>2272</v>
      </c>
      <c r="S1736" s="198" t="s">
        <v>2272</v>
      </c>
      <c r="T1736" s="198" t="s">
        <v>2272</v>
      </c>
      <c r="U1736" s="198" t="s">
        <v>2272</v>
      </c>
      <c r="V1736" s="198" t="s">
        <v>2272</v>
      </c>
      <c r="W1736" s="198" t="s">
        <v>2272</v>
      </c>
      <c r="X1736" s="198" t="s">
        <v>2272</v>
      </c>
      <c r="Y1736" s="198" t="s">
        <v>2272</v>
      </c>
      <c r="Z1736" s="198" t="s">
        <v>2272</v>
      </c>
      <c r="AA1736" s="198" t="s">
        <v>2272</v>
      </c>
      <c r="AB1736" s="198" t="s">
        <v>2272</v>
      </c>
      <c r="AC1736" s="198" t="s">
        <v>2272</v>
      </c>
      <c r="AD1736" s="198"/>
      <c r="AE1736" s="198"/>
    </row>
    <row r="1737" spans="1:31" ht="50" customHeight="1">
      <c r="A1737" s="4" t="s">
        <v>5217</v>
      </c>
      <c r="B1737" s="4" t="s">
        <v>5224</v>
      </c>
      <c r="C1737" s="4" t="s">
        <v>23</v>
      </c>
      <c r="D1737" s="198" t="s">
        <v>3475</v>
      </c>
      <c r="E1737" s="198" t="s">
        <v>114</v>
      </c>
      <c r="F1737" s="4" t="s">
        <v>73</v>
      </c>
      <c r="G1737" s="198" t="s">
        <v>2272</v>
      </c>
      <c r="H1737" s="198" t="s">
        <v>521</v>
      </c>
      <c r="I1737" s="198"/>
      <c r="J1737" s="198" t="s">
        <v>2272</v>
      </c>
      <c r="K1737" s="198" t="s">
        <v>2272</v>
      </c>
      <c r="L1737" s="198" t="s">
        <v>2272</v>
      </c>
      <c r="M1737" s="198" t="s">
        <v>2272</v>
      </c>
      <c r="N1737" s="198" t="s">
        <v>2272</v>
      </c>
      <c r="O1737" s="198" t="s">
        <v>2272</v>
      </c>
      <c r="P1737" s="198" t="s">
        <v>2272</v>
      </c>
      <c r="Q1737" s="198" t="s">
        <v>2272</v>
      </c>
      <c r="R1737" s="198" t="s">
        <v>2272</v>
      </c>
      <c r="S1737" s="198" t="s">
        <v>2272</v>
      </c>
      <c r="T1737" s="198" t="s">
        <v>2272</v>
      </c>
      <c r="U1737" s="198" t="s">
        <v>2272</v>
      </c>
      <c r="V1737" s="198" t="s">
        <v>2272</v>
      </c>
      <c r="W1737" s="198" t="s">
        <v>2272</v>
      </c>
      <c r="X1737" s="198" t="s">
        <v>2272</v>
      </c>
      <c r="Y1737" s="198" t="s">
        <v>2272</v>
      </c>
      <c r="Z1737" s="198" t="s">
        <v>2272</v>
      </c>
      <c r="AA1737" s="198" t="s">
        <v>2272</v>
      </c>
      <c r="AB1737" s="198" t="s">
        <v>2272</v>
      </c>
      <c r="AC1737" s="198" t="s">
        <v>2272</v>
      </c>
      <c r="AD1737" s="198"/>
      <c r="AE1737" s="198"/>
    </row>
    <row r="1738" spans="1:31" ht="50" customHeight="1">
      <c r="A1738" s="4" t="s">
        <v>5217</v>
      </c>
      <c r="B1738" s="4" t="s">
        <v>5225</v>
      </c>
      <c r="C1738" s="4" t="s">
        <v>23</v>
      </c>
      <c r="D1738" s="198" t="s">
        <v>4157</v>
      </c>
      <c r="E1738" s="198" t="s">
        <v>860</v>
      </c>
      <c r="F1738" s="4" t="s">
        <v>73</v>
      </c>
      <c r="G1738" s="198" t="s">
        <v>2272</v>
      </c>
      <c r="H1738" s="198" t="s">
        <v>521</v>
      </c>
      <c r="I1738" s="198"/>
      <c r="J1738" s="198" t="s">
        <v>2272</v>
      </c>
      <c r="K1738" s="198" t="s">
        <v>2272</v>
      </c>
      <c r="L1738" s="198" t="s">
        <v>2272</v>
      </c>
      <c r="M1738" s="198" t="s">
        <v>2272</v>
      </c>
      <c r="N1738" s="198" t="s">
        <v>2272</v>
      </c>
      <c r="O1738" s="198" t="s">
        <v>2272</v>
      </c>
      <c r="P1738" s="198" t="s">
        <v>2272</v>
      </c>
      <c r="Q1738" s="198" t="s">
        <v>2272</v>
      </c>
      <c r="R1738" s="198" t="s">
        <v>2272</v>
      </c>
      <c r="S1738" s="198" t="s">
        <v>2272</v>
      </c>
      <c r="T1738" s="198" t="s">
        <v>2272</v>
      </c>
      <c r="U1738" s="198" t="s">
        <v>2272</v>
      </c>
      <c r="V1738" s="198" t="s">
        <v>2272</v>
      </c>
      <c r="W1738" s="198" t="s">
        <v>2272</v>
      </c>
      <c r="X1738" s="198" t="s">
        <v>2272</v>
      </c>
      <c r="Y1738" s="198" t="s">
        <v>2272</v>
      </c>
      <c r="Z1738" s="198" t="s">
        <v>2272</v>
      </c>
      <c r="AA1738" s="198" t="s">
        <v>2272</v>
      </c>
      <c r="AB1738" s="198" t="s">
        <v>2272</v>
      </c>
      <c r="AC1738" s="198" t="s">
        <v>2272</v>
      </c>
      <c r="AD1738" s="198"/>
      <c r="AE1738" s="198"/>
    </row>
    <row r="1739" spans="1:31" ht="45.5" customHeight="1">
      <c r="A1739" s="198" t="s">
        <v>5228</v>
      </c>
      <c r="B1739" s="198" t="s">
        <v>5245</v>
      </c>
      <c r="C1739" s="4" t="s">
        <v>23</v>
      </c>
      <c r="D1739" s="198" t="s">
        <v>24</v>
      </c>
      <c r="E1739" s="198" t="s">
        <v>5000</v>
      </c>
      <c r="F1739" s="4" t="s">
        <v>73</v>
      </c>
      <c r="G1739" s="4" t="s">
        <v>73</v>
      </c>
      <c r="H1739" s="198" t="s">
        <v>521</v>
      </c>
      <c r="I1739" s="198"/>
      <c r="J1739" s="198" t="s">
        <v>2272</v>
      </c>
      <c r="K1739" s="198" t="s">
        <v>2272</v>
      </c>
      <c r="L1739" s="198" t="s">
        <v>2272</v>
      </c>
      <c r="M1739" s="198" t="s">
        <v>2272</v>
      </c>
      <c r="N1739" s="198" t="s">
        <v>2272</v>
      </c>
      <c r="O1739" s="198" t="s">
        <v>2272</v>
      </c>
      <c r="P1739" s="198" t="s">
        <v>2272</v>
      </c>
      <c r="Q1739" s="198" t="s">
        <v>2272</v>
      </c>
      <c r="R1739" s="198" t="s">
        <v>2272</v>
      </c>
      <c r="S1739" s="198" t="s">
        <v>2272</v>
      </c>
      <c r="T1739" s="198" t="s">
        <v>2272</v>
      </c>
      <c r="U1739" s="198" t="s">
        <v>2272</v>
      </c>
      <c r="V1739" s="198" t="s">
        <v>2272</v>
      </c>
      <c r="W1739" s="198" t="s">
        <v>2272</v>
      </c>
      <c r="X1739" s="198" t="s">
        <v>2272</v>
      </c>
      <c r="Y1739" s="198" t="s">
        <v>2272</v>
      </c>
      <c r="Z1739" s="198" t="s">
        <v>2272</v>
      </c>
      <c r="AA1739" s="198" t="s">
        <v>2272</v>
      </c>
      <c r="AB1739" s="198" t="s">
        <v>2272</v>
      </c>
      <c r="AC1739" s="198" t="s">
        <v>2272</v>
      </c>
      <c r="AD1739" s="198"/>
      <c r="AE1739" s="4" t="s">
        <v>5330</v>
      </c>
    </row>
    <row r="1740" spans="1:31" ht="45.5" customHeight="1">
      <c r="A1740" s="198" t="s">
        <v>5228</v>
      </c>
      <c r="B1740" s="198" t="s">
        <v>5246</v>
      </c>
      <c r="C1740" s="4" t="s">
        <v>23</v>
      </c>
      <c r="D1740" s="198" t="s">
        <v>3475</v>
      </c>
      <c r="E1740" s="198" t="s">
        <v>114</v>
      </c>
      <c r="F1740" s="4" t="s">
        <v>73</v>
      </c>
      <c r="G1740" s="4" t="s">
        <v>73</v>
      </c>
      <c r="H1740" s="198" t="s">
        <v>521</v>
      </c>
      <c r="I1740" s="198"/>
      <c r="J1740" s="198" t="s">
        <v>2272</v>
      </c>
      <c r="K1740" s="198" t="s">
        <v>2272</v>
      </c>
      <c r="L1740" s="198" t="s">
        <v>2272</v>
      </c>
      <c r="M1740" s="198" t="s">
        <v>2272</v>
      </c>
      <c r="N1740" s="198" t="s">
        <v>2272</v>
      </c>
      <c r="O1740" s="198" t="s">
        <v>2272</v>
      </c>
      <c r="P1740" s="198" t="s">
        <v>2272</v>
      </c>
      <c r="Q1740" s="198" t="s">
        <v>2272</v>
      </c>
      <c r="R1740" s="198" t="s">
        <v>2272</v>
      </c>
      <c r="S1740" s="198" t="s">
        <v>2272</v>
      </c>
      <c r="T1740" s="198" t="s">
        <v>2272</v>
      </c>
      <c r="U1740" s="198" t="s">
        <v>2272</v>
      </c>
      <c r="V1740" s="198" t="s">
        <v>2272</v>
      </c>
      <c r="W1740" s="198" t="s">
        <v>2272</v>
      </c>
      <c r="X1740" s="198" t="s">
        <v>2272</v>
      </c>
      <c r="Y1740" s="198" t="s">
        <v>2272</v>
      </c>
      <c r="Z1740" s="198" t="s">
        <v>2272</v>
      </c>
      <c r="AA1740" s="198" t="s">
        <v>2272</v>
      </c>
      <c r="AB1740" s="198" t="s">
        <v>2272</v>
      </c>
      <c r="AC1740" s="198" t="s">
        <v>2272</v>
      </c>
      <c r="AD1740" s="198"/>
      <c r="AE1740" s="198"/>
    </row>
    <row r="1741" spans="1:31" ht="45.5" customHeight="1">
      <c r="A1741" s="198" t="s">
        <v>5228</v>
      </c>
      <c r="B1741" s="198" t="s">
        <v>5247</v>
      </c>
      <c r="C1741" s="4" t="s">
        <v>23</v>
      </c>
      <c r="D1741" s="198" t="s">
        <v>1241</v>
      </c>
      <c r="E1741" s="198" t="s">
        <v>114</v>
      </c>
      <c r="F1741" s="4" t="s">
        <v>73</v>
      </c>
      <c r="G1741" s="4" t="s">
        <v>73</v>
      </c>
      <c r="H1741" s="198" t="s">
        <v>521</v>
      </c>
      <c r="I1741" s="198"/>
      <c r="J1741" s="198" t="s">
        <v>2272</v>
      </c>
      <c r="K1741" s="198" t="s">
        <v>2272</v>
      </c>
      <c r="L1741" s="198" t="s">
        <v>2272</v>
      </c>
      <c r="M1741" s="198" t="s">
        <v>2272</v>
      </c>
      <c r="N1741" s="198" t="s">
        <v>2272</v>
      </c>
      <c r="O1741" s="198" t="s">
        <v>2272</v>
      </c>
      <c r="P1741" s="198" t="s">
        <v>2272</v>
      </c>
      <c r="Q1741" s="198" t="s">
        <v>2272</v>
      </c>
      <c r="R1741" s="198" t="s">
        <v>2272</v>
      </c>
      <c r="S1741" s="198" t="s">
        <v>2272</v>
      </c>
      <c r="T1741" s="198" t="s">
        <v>2272</v>
      </c>
      <c r="U1741" s="198" t="s">
        <v>2272</v>
      </c>
      <c r="V1741" s="198" t="s">
        <v>2272</v>
      </c>
      <c r="W1741" s="198" t="s">
        <v>2272</v>
      </c>
      <c r="X1741" s="198" t="s">
        <v>2272</v>
      </c>
      <c r="Y1741" s="198" t="s">
        <v>2272</v>
      </c>
      <c r="Z1741" s="198" t="s">
        <v>2272</v>
      </c>
      <c r="AA1741" s="198" t="s">
        <v>2272</v>
      </c>
      <c r="AB1741" s="198" t="s">
        <v>2272</v>
      </c>
      <c r="AC1741" s="198" t="s">
        <v>2272</v>
      </c>
      <c r="AD1741" s="198"/>
      <c r="AE1741" s="198"/>
    </row>
    <row r="1742" spans="1:31" ht="45.5" customHeight="1">
      <c r="A1742" s="198" t="s">
        <v>5228</v>
      </c>
      <c r="B1742" s="198" t="s">
        <v>5248</v>
      </c>
      <c r="C1742" s="4" t="s">
        <v>23</v>
      </c>
      <c r="D1742" s="198" t="s">
        <v>4157</v>
      </c>
      <c r="E1742" s="198" t="s">
        <v>860</v>
      </c>
      <c r="F1742" s="4" t="s">
        <v>73</v>
      </c>
      <c r="G1742" s="4" t="s">
        <v>73</v>
      </c>
      <c r="H1742" s="198" t="s">
        <v>521</v>
      </c>
      <c r="I1742" s="198"/>
      <c r="J1742" s="198" t="s">
        <v>2272</v>
      </c>
      <c r="K1742" s="198" t="s">
        <v>2272</v>
      </c>
      <c r="L1742" s="198" t="s">
        <v>2272</v>
      </c>
      <c r="M1742" s="198" t="s">
        <v>2272</v>
      </c>
      <c r="N1742" s="198" t="s">
        <v>2272</v>
      </c>
      <c r="O1742" s="198" t="s">
        <v>2272</v>
      </c>
      <c r="P1742" s="198" t="s">
        <v>2272</v>
      </c>
      <c r="Q1742" s="198" t="s">
        <v>2272</v>
      </c>
      <c r="R1742" s="198" t="s">
        <v>2272</v>
      </c>
      <c r="S1742" s="198" t="s">
        <v>2272</v>
      </c>
      <c r="T1742" s="198" t="s">
        <v>2272</v>
      </c>
      <c r="U1742" s="198" t="s">
        <v>2272</v>
      </c>
      <c r="V1742" s="198" t="s">
        <v>2272</v>
      </c>
      <c r="W1742" s="198" t="s">
        <v>2272</v>
      </c>
      <c r="X1742" s="198" t="s">
        <v>2272</v>
      </c>
      <c r="Y1742" s="198" t="s">
        <v>2272</v>
      </c>
      <c r="Z1742" s="198" t="s">
        <v>2272</v>
      </c>
      <c r="AA1742" s="198" t="s">
        <v>2272</v>
      </c>
      <c r="AB1742" s="198" t="s">
        <v>2272</v>
      </c>
      <c r="AC1742" s="198" t="s">
        <v>2272</v>
      </c>
      <c r="AD1742" s="198"/>
      <c r="AE1742" s="198"/>
    </row>
    <row r="1743" spans="1:31" ht="45.5" customHeight="1">
      <c r="A1743" s="198" t="s">
        <v>5228</v>
      </c>
      <c r="B1743" s="198" t="s">
        <v>5249</v>
      </c>
      <c r="C1743" s="4" t="s">
        <v>23</v>
      </c>
      <c r="D1743" s="198" t="s">
        <v>2342</v>
      </c>
      <c r="E1743" s="198" t="s">
        <v>2272</v>
      </c>
      <c r="F1743" s="4" t="s">
        <v>2272</v>
      </c>
      <c r="G1743" s="4" t="s">
        <v>73</v>
      </c>
      <c r="H1743" s="198" t="s">
        <v>521</v>
      </c>
      <c r="I1743" s="198"/>
      <c r="J1743" s="198" t="s">
        <v>2272</v>
      </c>
      <c r="K1743" s="198" t="s">
        <v>2272</v>
      </c>
      <c r="L1743" s="198" t="s">
        <v>2272</v>
      </c>
      <c r="M1743" s="198" t="s">
        <v>2272</v>
      </c>
      <c r="N1743" s="198" t="s">
        <v>2272</v>
      </c>
      <c r="O1743" s="198" t="s">
        <v>2272</v>
      </c>
      <c r="P1743" s="198" t="s">
        <v>2272</v>
      </c>
      <c r="Q1743" s="198" t="s">
        <v>2272</v>
      </c>
      <c r="R1743" s="198" t="s">
        <v>2272</v>
      </c>
      <c r="S1743" s="198" t="s">
        <v>2272</v>
      </c>
      <c r="T1743" s="198" t="s">
        <v>2272</v>
      </c>
      <c r="U1743" s="198" t="s">
        <v>2272</v>
      </c>
      <c r="V1743" s="198" t="s">
        <v>2272</v>
      </c>
      <c r="W1743" s="198" t="s">
        <v>2272</v>
      </c>
      <c r="X1743" s="198" t="s">
        <v>2272</v>
      </c>
      <c r="Y1743" s="198" t="s">
        <v>2272</v>
      </c>
      <c r="Z1743" s="198" t="s">
        <v>2272</v>
      </c>
      <c r="AA1743" s="198" t="s">
        <v>2272</v>
      </c>
      <c r="AB1743" s="198" t="s">
        <v>2272</v>
      </c>
      <c r="AC1743" s="198" t="s">
        <v>2272</v>
      </c>
      <c r="AD1743" s="198"/>
      <c r="AE1743" s="198"/>
    </row>
    <row r="1744" spans="1:31" ht="45.5" customHeight="1">
      <c r="A1744" s="198" t="s">
        <v>5228</v>
      </c>
      <c r="B1744" s="198" t="s">
        <v>5250</v>
      </c>
      <c r="C1744" s="4" t="s">
        <v>23</v>
      </c>
      <c r="D1744" s="198" t="s">
        <v>26</v>
      </c>
      <c r="E1744" s="198" t="s">
        <v>128</v>
      </c>
      <c r="F1744" s="4" t="s">
        <v>73</v>
      </c>
      <c r="G1744" s="198" t="s">
        <v>2272</v>
      </c>
      <c r="H1744" s="198" t="s">
        <v>521</v>
      </c>
      <c r="I1744" s="198"/>
      <c r="J1744" s="198" t="s">
        <v>2272</v>
      </c>
      <c r="K1744" s="198" t="s">
        <v>2272</v>
      </c>
      <c r="L1744" s="198" t="s">
        <v>2272</v>
      </c>
      <c r="M1744" s="198" t="s">
        <v>2272</v>
      </c>
      <c r="N1744" s="198" t="s">
        <v>2272</v>
      </c>
      <c r="O1744" s="198" t="s">
        <v>2272</v>
      </c>
      <c r="P1744" s="198" t="s">
        <v>2272</v>
      </c>
      <c r="Q1744" s="198" t="s">
        <v>2272</v>
      </c>
      <c r="R1744" s="198" t="s">
        <v>2272</v>
      </c>
      <c r="S1744" s="198" t="s">
        <v>2272</v>
      </c>
      <c r="T1744" s="198" t="s">
        <v>2272</v>
      </c>
      <c r="U1744" s="198" t="s">
        <v>2272</v>
      </c>
      <c r="V1744" s="198" t="s">
        <v>2272</v>
      </c>
      <c r="W1744" s="198" t="s">
        <v>2272</v>
      </c>
      <c r="X1744" s="198" t="s">
        <v>2272</v>
      </c>
      <c r="Y1744" s="198" t="s">
        <v>2272</v>
      </c>
      <c r="Z1744" s="198" t="s">
        <v>2272</v>
      </c>
      <c r="AA1744" s="198" t="s">
        <v>2272</v>
      </c>
      <c r="AB1744" s="198" t="s">
        <v>2272</v>
      </c>
      <c r="AC1744" s="198" t="s">
        <v>2272</v>
      </c>
      <c r="AD1744" s="198"/>
      <c r="AE1744" s="198"/>
    </row>
    <row r="1745" spans="1:31" ht="45.5" customHeight="1">
      <c r="A1745" s="198" t="s">
        <v>5228</v>
      </c>
      <c r="B1745" s="198" t="s">
        <v>5251</v>
      </c>
      <c r="C1745" s="198" t="s">
        <v>2453</v>
      </c>
      <c r="D1745" s="198" t="s">
        <v>3471</v>
      </c>
      <c r="E1745" s="198" t="s">
        <v>2272</v>
      </c>
      <c r="F1745" s="4" t="s">
        <v>2272</v>
      </c>
      <c r="G1745" s="4" t="s">
        <v>73</v>
      </c>
      <c r="H1745" s="198" t="s">
        <v>521</v>
      </c>
      <c r="I1745" s="198"/>
      <c r="J1745" s="198" t="s">
        <v>2272</v>
      </c>
      <c r="K1745" s="198" t="s">
        <v>2272</v>
      </c>
      <c r="L1745" s="198" t="s">
        <v>2272</v>
      </c>
      <c r="M1745" s="198" t="s">
        <v>2272</v>
      </c>
      <c r="N1745" s="198" t="s">
        <v>2272</v>
      </c>
      <c r="O1745" s="198" t="s">
        <v>2272</v>
      </c>
      <c r="P1745" s="198" t="s">
        <v>2272</v>
      </c>
      <c r="Q1745" s="198" t="s">
        <v>2272</v>
      </c>
      <c r="R1745" s="198" t="s">
        <v>2272</v>
      </c>
      <c r="S1745" s="198" t="s">
        <v>2272</v>
      </c>
      <c r="T1745" s="198" t="s">
        <v>2272</v>
      </c>
      <c r="U1745" s="198" t="s">
        <v>2272</v>
      </c>
      <c r="V1745" s="198" t="s">
        <v>2272</v>
      </c>
      <c r="W1745" s="198" t="s">
        <v>2272</v>
      </c>
      <c r="X1745" s="198" t="s">
        <v>2272</v>
      </c>
      <c r="Y1745" s="198" t="s">
        <v>2272</v>
      </c>
      <c r="Z1745" s="198" t="s">
        <v>2272</v>
      </c>
      <c r="AA1745" s="198" t="s">
        <v>2272</v>
      </c>
      <c r="AB1745" s="198" t="s">
        <v>2272</v>
      </c>
      <c r="AC1745" s="198" t="s">
        <v>2272</v>
      </c>
      <c r="AD1745" s="198"/>
      <c r="AE1745" s="198"/>
    </row>
    <row r="1746" spans="1:31" ht="45.5" customHeight="1">
      <c r="A1746" s="198" t="s">
        <v>5228</v>
      </c>
      <c r="B1746" s="198" t="s">
        <v>5252</v>
      </c>
      <c r="C1746" s="198" t="s">
        <v>30</v>
      </c>
      <c r="D1746" s="198" t="s">
        <v>2272</v>
      </c>
      <c r="E1746" s="198" t="s">
        <v>1102</v>
      </c>
      <c r="F1746" s="4" t="s">
        <v>2272</v>
      </c>
      <c r="G1746" s="4" t="s">
        <v>73</v>
      </c>
      <c r="H1746" s="198" t="s">
        <v>521</v>
      </c>
      <c r="I1746" s="198"/>
      <c r="J1746" s="198" t="s">
        <v>2272</v>
      </c>
      <c r="K1746" s="198" t="s">
        <v>2272</v>
      </c>
      <c r="L1746" s="198" t="s">
        <v>2272</v>
      </c>
      <c r="M1746" s="198" t="s">
        <v>2272</v>
      </c>
      <c r="N1746" s="198" t="s">
        <v>2272</v>
      </c>
      <c r="O1746" s="198" t="s">
        <v>2272</v>
      </c>
      <c r="P1746" s="198" t="s">
        <v>2272</v>
      </c>
      <c r="Q1746" s="198" t="s">
        <v>2272</v>
      </c>
      <c r="R1746" s="198" t="s">
        <v>2272</v>
      </c>
      <c r="S1746" s="198" t="s">
        <v>2272</v>
      </c>
      <c r="T1746" s="198" t="s">
        <v>2272</v>
      </c>
      <c r="U1746" s="198" t="s">
        <v>2272</v>
      </c>
      <c r="V1746" s="198" t="s">
        <v>2272</v>
      </c>
      <c r="W1746" s="198" t="s">
        <v>2272</v>
      </c>
      <c r="X1746" s="198" t="s">
        <v>2272</v>
      </c>
      <c r="Y1746" s="198" t="s">
        <v>2272</v>
      </c>
      <c r="Z1746" s="198" t="s">
        <v>2272</v>
      </c>
      <c r="AA1746" s="198" t="s">
        <v>2272</v>
      </c>
      <c r="AB1746" s="198" t="s">
        <v>2272</v>
      </c>
      <c r="AC1746" s="198" t="s">
        <v>2272</v>
      </c>
      <c r="AD1746" s="198"/>
      <c r="AE1746" s="198"/>
    </row>
    <row r="1747" spans="1:31" ht="45.5" customHeight="1">
      <c r="A1747" s="198" t="s">
        <v>5228</v>
      </c>
      <c r="B1747" s="198" t="s">
        <v>5253</v>
      </c>
      <c r="C1747" s="198" t="s">
        <v>2453</v>
      </c>
      <c r="D1747" s="198" t="s">
        <v>404</v>
      </c>
      <c r="E1747" s="198" t="s">
        <v>1102</v>
      </c>
      <c r="F1747" s="4" t="s">
        <v>2272</v>
      </c>
      <c r="G1747" s="4" t="s">
        <v>73</v>
      </c>
      <c r="H1747" s="198" t="s">
        <v>521</v>
      </c>
      <c r="I1747" s="198"/>
      <c r="J1747" s="198" t="s">
        <v>2272</v>
      </c>
      <c r="K1747" s="198" t="s">
        <v>2272</v>
      </c>
      <c r="L1747" s="198" t="s">
        <v>2272</v>
      </c>
      <c r="M1747" s="198" t="s">
        <v>2272</v>
      </c>
      <c r="N1747" s="198" t="s">
        <v>2272</v>
      </c>
      <c r="O1747" s="198" t="s">
        <v>2272</v>
      </c>
      <c r="P1747" s="198" t="s">
        <v>2272</v>
      </c>
      <c r="Q1747" s="198" t="s">
        <v>2272</v>
      </c>
      <c r="R1747" s="198" t="s">
        <v>2272</v>
      </c>
      <c r="S1747" s="198" t="s">
        <v>2272</v>
      </c>
      <c r="T1747" s="198" t="s">
        <v>2272</v>
      </c>
      <c r="U1747" s="198" t="s">
        <v>2272</v>
      </c>
      <c r="V1747" s="198" t="s">
        <v>2272</v>
      </c>
      <c r="W1747" s="198" t="s">
        <v>2272</v>
      </c>
      <c r="X1747" s="198" t="s">
        <v>2272</v>
      </c>
      <c r="Y1747" s="198" t="s">
        <v>2272</v>
      </c>
      <c r="Z1747" s="198" t="s">
        <v>2272</v>
      </c>
      <c r="AA1747" s="198" t="s">
        <v>2272</v>
      </c>
      <c r="AB1747" s="198" t="s">
        <v>2272</v>
      </c>
      <c r="AC1747" s="198" t="s">
        <v>2272</v>
      </c>
      <c r="AD1747" s="198"/>
      <c r="AE1747" s="198"/>
    </row>
    <row r="1748" spans="1:31" ht="45.5" customHeight="1">
      <c r="A1748" s="198" t="s">
        <v>5228</v>
      </c>
      <c r="B1748" s="198" t="s">
        <v>5254</v>
      </c>
      <c r="C1748" s="198" t="s">
        <v>2453</v>
      </c>
      <c r="D1748" s="198" t="s">
        <v>2989</v>
      </c>
      <c r="E1748" s="198" t="s">
        <v>1102</v>
      </c>
      <c r="F1748" s="4" t="s">
        <v>2272</v>
      </c>
      <c r="G1748" s="4" t="s">
        <v>73</v>
      </c>
      <c r="H1748" s="198" t="s">
        <v>521</v>
      </c>
      <c r="I1748" s="198"/>
      <c r="J1748" s="198" t="s">
        <v>2272</v>
      </c>
      <c r="K1748" s="198" t="s">
        <v>2272</v>
      </c>
      <c r="L1748" s="198" t="s">
        <v>2272</v>
      </c>
      <c r="M1748" s="198" t="s">
        <v>2272</v>
      </c>
      <c r="N1748" s="198" t="s">
        <v>2272</v>
      </c>
      <c r="O1748" s="198" t="s">
        <v>2272</v>
      </c>
      <c r="P1748" s="198" t="s">
        <v>2272</v>
      </c>
      <c r="Q1748" s="198" t="s">
        <v>2272</v>
      </c>
      <c r="R1748" s="198" t="s">
        <v>2272</v>
      </c>
      <c r="S1748" s="198" t="s">
        <v>2272</v>
      </c>
      <c r="T1748" s="198" t="s">
        <v>2272</v>
      </c>
      <c r="U1748" s="198" t="s">
        <v>2272</v>
      </c>
      <c r="V1748" s="198" t="s">
        <v>2272</v>
      </c>
      <c r="W1748" s="198" t="s">
        <v>2272</v>
      </c>
      <c r="X1748" s="198" t="s">
        <v>2272</v>
      </c>
      <c r="Y1748" s="198" t="s">
        <v>2272</v>
      </c>
      <c r="Z1748" s="198" t="s">
        <v>2272</v>
      </c>
      <c r="AA1748" s="198" t="s">
        <v>2272</v>
      </c>
      <c r="AB1748" s="198" t="s">
        <v>2272</v>
      </c>
      <c r="AC1748" s="198" t="s">
        <v>2272</v>
      </c>
      <c r="AD1748" s="198"/>
      <c r="AE1748" s="198"/>
    </row>
    <row r="1749" spans="1:31" ht="45.5" customHeight="1">
      <c r="A1749" s="198" t="s">
        <v>5230</v>
      </c>
      <c r="B1749" s="198" t="s">
        <v>5257</v>
      </c>
      <c r="C1749" s="4" t="s">
        <v>23</v>
      </c>
      <c r="D1749" s="198" t="s">
        <v>24</v>
      </c>
      <c r="E1749" s="198" t="s">
        <v>5000</v>
      </c>
      <c r="F1749" s="4" t="s">
        <v>73</v>
      </c>
      <c r="G1749" s="4" t="s">
        <v>73</v>
      </c>
      <c r="H1749" s="198" t="s">
        <v>521</v>
      </c>
      <c r="I1749" s="198"/>
      <c r="J1749" s="198" t="s">
        <v>2272</v>
      </c>
      <c r="K1749" s="198" t="s">
        <v>2272</v>
      </c>
      <c r="L1749" s="198" t="s">
        <v>2272</v>
      </c>
      <c r="M1749" s="198" t="s">
        <v>2272</v>
      </c>
      <c r="N1749" s="198" t="s">
        <v>2272</v>
      </c>
      <c r="O1749" s="198" t="s">
        <v>2272</v>
      </c>
      <c r="P1749" s="198" t="s">
        <v>2272</v>
      </c>
      <c r="Q1749" s="198" t="s">
        <v>2272</v>
      </c>
      <c r="R1749" s="198" t="s">
        <v>2272</v>
      </c>
      <c r="S1749" s="198" t="s">
        <v>2272</v>
      </c>
      <c r="T1749" s="198" t="s">
        <v>2272</v>
      </c>
      <c r="U1749" s="198" t="s">
        <v>2272</v>
      </c>
      <c r="V1749" s="198" t="s">
        <v>2272</v>
      </c>
      <c r="W1749" s="198" t="s">
        <v>2272</v>
      </c>
      <c r="X1749" s="198" t="s">
        <v>2272</v>
      </c>
      <c r="Y1749" s="198" t="s">
        <v>2272</v>
      </c>
      <c r="Z1749" s="198" t="s">
        <v>2272</v>
      </c>
      <c r="AA1749" s="198" t="s">
        <v>2272</v>
      </c>
      <c r="AB1749" s="198" t="s">
        <v>2272</v>
      </c>
      <c r="AC1749" s="198" t="s">
        <v>2272</v>
      </c>
      <c r="AD1749" s="198"/>
      <c r="AE1749" s="4" t="s">
        <v>5330</v>
      </c>
    </row>
    <row r="1750" spans="1:31" ht="45.5" customHeight="1">
      <c r="A1750" s="198" t="s">
        <v>5230</v>
      </c>
      <c r="B1750" s="198" t="s">
        <v>5258</v>
      </c>
      <c r="C1750" s="4" t="s">
        <v>23</v>
      </c>
      <c r="D1750" s="198" t="s">
        <v>3475</v>
      </c>
      <c r="E1750" s="198" t="s">
        <v>114</v>
      </c>
      <c r="F1750" s="4" t="s">
        <v>73</v>
      </c>
      <c r="G1750" s="4" t="s">
        <v>73</v>
      </c>
      <c r="H1750" s="198" t="s">
        <v>521</v>
      </c>
      <c r="I1750" s="198"/>
      <c r="J1750" s="198" t="s">
        <v>2272</v>
      </c>
      <c r="K1750" s="198" t="s">
        <v>2272</v>
      </c>
      <c r="L1750" s="198" t="s">
        <v>2272</v>
      </c>
      <c r="M1750" s="198" t="s">
        <v>2272</v>
      </c>
      <c r="N1750" s="198" t="s">
        <v>2272</v>
      </c>
      <c r="O1750" s="198" t="s">
        <v>2272</v>
      </c>
      <c r="P1750" s="198" t="s">
        <v>2272</v>
      </c>
      <c r="Q1750" s="198" t="s">
        <v>2272</v>
      </c>
      <c r="R1750" s="198" t="s">
        <v>2272</v>
      </c>
      <c r="S1750" s="198" t="s">
        <v>2272</v>
      </c>
      <c r="T1750" s="198" t="s">
        <v>2272</v>
      </c>
      <c r="U1750" s="198" t="s">
        <v>2272</v>
      </c>
      <c r="V1750" s="198" t="s">
        <v>2272</v>
      </c>
      <c r="W1750" s="198" t="s">
        <v>2272</v>
      </c>
      <c r="X1750" s="198" t="s">
        <v>2272</v>
      </c>
      <c r="Y1750" s="198" t="s">
        <v>2272</v>
      </c>
      <c r="Z1750" s="198" t="s">
        <v>2272</v>
      </c>
      <c r="AA1750" s="198" t="s">
        <v>2272</v>
      </c>
      <c r="AB1750" s="198" t="s">
        <v>2272</v>
      </c>
      <c r="AC1750" s="198" t="s">
        <v>2272</v>
      </c>
      <c r="AD1750" s="198"/>
      <c r="AE1750" s="198"/>
    </row>
    <row r="1751" spans="1:31" ht="45.5" customHeight="1">
      <c r="A1751" s="198" t="s">
        <v>5230</v>
      </c>
      <c r="B1751" s="198" t="s">
        <v>5259</v>
      </c>
      <c r="C1751" s="4" t="s">
        <v>23</v>
      </c>
      <c r="D1751" s="198" t="s">
        <v>1241</v>
      </c>
      <c r="E1751" s="198" t="s">
        <v>114</v>
      </c>
      <c r="F1751" s="4" t="s">
        <v>73</v>
      </c>
      <c r="G1751" s="4" t="s">
        <v>73</v>
      </c>
      <c r="H1751" s="198" t="s">
        <v>521</v>
      </c>
      <c r="I1751" s="198"/>
      <c r="J1751" s="198" t="s">
        <v>2272</v>
      </c>
      <c r="K1751" s="198" t="s">
        <v>2272</v>
      </c>
      <c r="L1751" s="198" t="s">
        <v>2272</v>
      </c>
      <c r="M1751" s="198" t="s">
        <v>2272</v>
      </c>
      <c r="N1751" s="198" t="s">
        <v>2272</v>
      </c>
      <c r="O1751" s="198" t="s">
        <v>2272</v>
      </c>
      <c r="P1751" s="198" t="s">
        <v>2272</v>
      </c>
      <c r="Q1751" s="198" t="s">
        <v>2272</v>
      </c>
      <c r="R1751" s="198" t="s">
        <v>2272</v>
      </c>
      <c r="S1751" s="198" t="s">
        <v>2272</v>
      </c>
      <c r="T1751" s="198" t="s">
        <v>2272</v>
      </c>
      <c r="U1751" s="198" t="s">
        <v>2272</v>
      </c>
      <c r="V1751" s="198" t="s">
        <v>2272</v>
      </c>
      <c r="W1751" s="198" t="s">
        <v>2272</v>
      </c>
      <c r="X1751" s="198" t="s">
        <v>2272</v>
      </c>
      <c r="Y1751" s="198" t="s">
        <v>2272</v>
      </c>
      <c r="Z1751" s="198" t="s">
        <v>2272</v>
      </c>
      <c r="AA1751" s="198" t="s">
        <v>2272</v>
      </c>
      <c r="AB1751" s="198" t="s">
        <v>2272</v>
      </c>
      <c r="AC1751" s="198" t="s">
        <v>2272</v>
      </c>
      <c r="AD1751" s="198"/>
      <c r="AE1751" s="198"/>
    </row>
    <row r="1752" spans="1:31" ht="45.5" customHeight="1">
      <c r="A1752" s="198" t="s">
        <v>5230</v>
      </c>
      <c r="B1752" s="198" t="s">
        <v>5260</v>
      </c>
      <c r="C1752" s="4" t="s">
        <v>23</v>
      </c>
      <c r="D1752" s="198" t="s">
        <v>4157</v>
      </c>
      <c r="E1752" s="198" t="s">
        <v>860</v>
      </c>
      <c r="F1752" s="4" t="s">
        <v>73</v>
      </c>
      <c r="G1752" s="4" t="s">
        <v>73</v>
      </c>
      <c r="H1752" s="198" t="s">
        <v>521</v>
      </c>
      <c r="I1752" s="198"/>
      <c r="J1752" s="198" t="s">
        <v>2272</v>
      </c>
      <c r="K1752" s="198" t="s">
        <v>2272</v>
      </c>
      <c r="L1752" s="198" t="s">
        <v>2272</v>
      </c>
      <c r="M1752" s="198" t="s">
        <v>2272</v>
      </c>
      <c r="N1752" s="198" t="s">
        <v>2272</v>
      </c>
      <c r="O1752" s="198" t="s">
        <v>2272</v>
      </c>
      <c r="P1752" s="198" t="s">
        <v>2272</v>
      </c>
      <c r="Q1752" s="198" t="s">
        <v>2272</v>
      </c>
      <c r="R1752" s="198" t="s">
        <v>2272</v>
      </c>
      <c r="S1752" s="198" t="s">
        <v>2272</v>
      </c>
      <c r="T1752" s="198" t="s">
        <v>2272</v>
      </c>
      <c r="U1752" s="198" t="s">
        <v>2272</v>
      </c>
      <c r="V1752" s="198" t="s">
        <v>2272</v>
      </c>
      <c r="W1752" s="198" t="s">
        <v>2272</v>
      </c>
      <c r="X1752" s="198" t="s">
        <v>2272</v>
      </c>
      <c r="Y1752" s="198" t="s">
        <v>2272</v>
      </c>
      <c r="Z1752" s="198" t="s">
        <v>2272</v>
      </c>
      <c r="AA1752" s="198" t="s">
        <v>2272</v>
      </c>
      <c r="AB1752" s="198" t="s">
        <v>2272</v>
      </c>
      <c r="AC1752" s="198" t="s">
        <v>2272</v>
      </c>
      <c r="AD1752" s="198"/>
      <c r="AE1752" s="198"/>
    </row>
    <row r="1753" spans="1:31" ht="45.5" customHeight="1">
      <c r="A1753" s="198" t="s">
        <v>5230</v>
      </c>
      <c r="B1753" s="198" t="s">
        <v>5261</v>
      </c>
      <c r="C1753" s="4" t="s">
        <v>23</v>
      </c>
      <c r="D1753" s="198" t="s">
        <v>2342</v>
      </c>
      <c r="E1753" s="198" t="s">
        <v>2272</v>
      </c>
      <c r="F1753" s="4" t="s">
        <v>2272</v>
      </c>
      <c r="G1753" s="4" t="s">
        <v>73</v>
      </c>
      <c r="H1753" s="198" t="s">
        <v>521</v>
      </c>
      <c r="I1753" s="198"/>
      <c r="J1753" s="198" t="s">
        <v>2272</v>
      </c>
      <c r="K1753" s="198" t="s">
        <v>2272</v>
      </c>
      <c r="L1753" s="198" t="s">
        <v>2272</v>
      </c>
      <c r="M1753" s="198" t="s">
        <v>2272</v>
      </c>
      <c r="N1753" s="198" t="s">
        <v>2272</v>
      </c>
      <c r="O1753" s="198" t="s">
        <v>2272</v>
      </c>
      <c r="P1753" s="198" t="s">
        <v>2272</v>
      </c>
      <c r="Q1753" s="198" t="s">
        <v>2272</v>
      </c>
      <c r="R1753" s="198" t="s">
        <v>2272</v>
      </c>
      <c r="S1753" s="198" t="s">
        <v>2272</v>
      </c>
      <c r="T1753" s="198" t="s">
        <v>2272</v>
      </c>
      <c r="U1753" s="198" t="s">
        <v>2272</v>
      </c>
      <c r="V1753" s="198" t="s">
        <v>2272</v>
      </c>
      <c r="W1753" s="198" t="s">
        <v>2272</v>
      </c>
      <c r="X1753" s="198" t="s">
        <v>2272</v>
      </c>
      <c r="Y1753" s="198" t="s">
        <v>2272</v>
      </c>
      <c r="Z1753" s="198" t="s">
        <v>2272</v>
      </c>
      <c r="AA1753" s="198" t="s">
        <v>2272</v>
      </c>
      <c r="AB1753" s="198" t="s">
        <v>2272</v>
      </c>
      <c r="AC1753" s="198" t="s">
        <v>2272</v>
      </c>
      <c r="AD1753" s="198"/>
      <c r="AE1753" s="198"/>
    </row>
    <row r="1754" spans="1:31" ht="45.5" customHeight="1">
      <c r="A1754" s="198" t="s">
        <v>5230</v>
      </c>
      <c r="B1754" s="198" t="s">
        <v>5262</v>
      </c>
      <c r="C1754" s="4" t="s">
        <v>23</v>
      </c>
      <c r="D1754" s="198" t="s">
        <v>26</v>
      </c>
      <c r="E1754" s="198" t="s">
        <v>128</v>
      </c>
      <c r="F1754" s="4" t="s">
        <v>73</v>
      </c>
      <c r="G1754" s="198" t="s">
        <v>2272</v>
      </c>
      <c r="H1754" s="198" t="s">
        <v>521</v>
      </c>
      <c r="I1754" s="198"/>
      <c r="J1754" s="198" t="s">
        <v>2272</v>
      </c>
      <c r="K1754" s="198" t="s">
        <v>2272</v>
      </c>
      <c r="L1754" s="198" t="s">
        <v>2272</v>
      </c>
      <c r="M1754" s="198" t="s">
        <v>2272</v>
      </c>
      <c r="N1754" s="198" t="s">
        <v>2272</v>
      </c>
      <c r="O1754" s="198" t="s">
        <v>2272</v>
      </c>
      <c r="P1754" s="198" t="s">
        <v>2272</v>
      </c>
      <c r="Q1754" s="198" t="s">
        <v>2272</v>
      </c>
      <c r="R1754" s="198" t="s">
        <v>2272</v>
      </c>
      <c r="S1754" s="198" t="s">
        <v>2272</v>
      </c>
      <c r="T1754" s="198" t="s">
        <v>2272</v>
      </c>
      <c r="U1754" s="198" t="s">
        <v>2272</v>
      </c>
      <c r="V1754" s="198" t="s">
        <v>2272</v>
      </c>
      <c r="W1754" s="198" t="s">
        <v>2272</v>
      </c>
      <c r="X1754" s="198" t="s">
        <v>2272</v>
      </c>
      <c r="Y1754" s="198" t="s">
        <v>2272</v>
      </c>
      <c r="Z1754" s="198" t="s">
        <v>2272</v>
      </c>
      <c r="AA1754" s="198" t="s">
        <v>2272</v>
      </c>
      <c r="AB1754" s="198" t="s">
        <v>2272</v>
      </c>
      <c r="AC1754" s="198" t="s">
        <v>2272</v>
      </c>
      <c r="AD1754" s="198"/>
      <c r="AE1754" s="198"/>
    </row>
    <row r="1755" spans="1:31" ht="45.5" customHeight="1">
      <c r="A1755" s="198" t="s">
        <v>5230</v>
      </c>
      <c r="B1755" s="198" t="s">
        <v>5263</v>
      </c>
      <c r="C1755" s="198" t="s">
        <v>2453</v>
      </c>
      <c r="D1755" s="198" t="s">
        <v>3471</v>
      </c>
      <c r="E1755" s="198" t="s">
        <v>2272</v>
      </c>
      <c r="F1755" s="4" t="s">
        <v>2272</v>
      </c>
      <c r="G1755" s="4" t="s">
        <v>73</v>
      </c>
      <c r="H1755" s="198" t="s">
        <v>521</v>
      </c>
      <c r="I1755" s="198"/>
      <c r="J1755" s="198" t="s">
        <v>2272</v>
      </c>
      <c r="K1755" s="198" t="s">
        <v>2272</v>
      </c>
      <c r="L1755" s="198" t="s">
        <v>2272</v>
      </c>
      <c r="M1755" s="198" t="s">
        <v>2272</v>
      </c>
      <c r="N1755" s="198" t="s">
        <v>2272</v>
      </c>
      <c r="O1755" s="198" t="s">
        <v>2272</v>
      </c>
      <c r="P1755" s="198" t="s">
        <v>2272</v>
      </c>
      <c r="Q1755" s="198" t="s">
        <v>2272</v>
      </c>
      <c r="R1755" s="198" t="s">
        <v>2272</v>
      </c>
      <c r="S1755" s="198" t="s">
        <v>2272</v>
      </c>
      <c r="T1755" s="198" t="s">
        <v>2272</v>
      </c>
      <c r="U1755" s="198" t="s">
        <v>2272</v>
      </c>
      <c r="V1755" s="198" t="s">
        <v>2272</v>
      </c>
      <c r="W1755" s="198" t="s">
        <v>2272</v>
      </c>
      <c r="X1755" s="198" t="s">
        <v>2272</v>
      </c>
      <c r="Y1755" s="198" t="s">
        <v>2272</v>
      </c>
      <c r="Z1755" s="198" t="s">
        <v>2272</v>
      </c>
      <c r="AA1755" s="198" t="s">
        <v>2272</v>
      </c>
      <c r="AB1755" s="198" t="s">
        <v>2272</v>
      </c>
      <c r="AC1755" s="198" t="s">
        <v>2272</v>
      </c>
      <c r="AD1755" s="198"/>
      <c r="AE1755" s="198"/>
    </row>
    <row r="1756" spans="1:31" ht="45.5" customHeight="1">
      <c r="A1756" s="198" t="s">
        <v>5230</v>
      </c>
      <c r="B1756" s="198" t="s">
        <v>5264</v>
      </c>
      <c r="C1756" s="198" t="s">
        <v>30</v>
      </c>
      <c r="D1756" s="198" t="s">
        <v>2272</v>
      </c>
      <c r="E1756" s="198" t="s">
        <v>1102</v>
      </c>
      <c r="F1756" s="4" t="s">
        <v>2272</v>
      </c>
      <c r="G1756" s="4" t="s">
        <v>73</v>
      </c>
      <c r="H1756" s="198" t="s">
        <v>521</v>
      </c>
      <c r="I1756" s="198"/>
      <c r="J1756" s="198" t="s">
        <v>2272</v>
      </c>
      <c r="K1756" s="198" t="s">
        <v>2272</v>
      </c>
      <c r="L1756" s="198" t="s">
        <v>2272</v>
      </c>
      <c r="M1756" s="198" t="s">
        <v>2272</v>
      </c>
      <c r="N1756" s="198" t="s">
        <v>2272</v>
      </c>
      <c r="O1756" s="198" t="s">
        <v>2272</v>
      </c>
      <c r="P1756" s="198" t="s">
        <v>2272</v>
      </c>
      <c r="Q1756" s="198" t="s">
        <v>2272</v>
      </c>
      <c r="R1756" s="198" t="s">
        <v>2272</v>
      </c>
      <c r="S1756" s="198" t="s">
        <v>2272</v>
      </c>
      <c r="T1756" s="198" t="s">
        <v>2272</v>
      </c>
      <c r="U1756" s="198" t="s">
        <v>2272</v>
      </c>
      <c r="V1756" s="198" t="s">
        <v>2272</v>
      </c>
      <c r="W1756" s="198" t="s">
        <v>2272</v>
      </c>
      <c r="X1756" s="198" t="s">
        <v>2272</v>
      </c>
      <c r="Y1756" s="198" t="s">
        <v>2272</v>
      </c>
      <c r="Z1756" s="198" t="s">
        <v>2272</v>
      </c>
      <c r="AA1756" s="198" t="s">
        <v>2272</v>
      </c>
      <c r="AB1756" s="198" t="s">
        <v>2272</v>
      </c>
      <c r="AC1756" s="198" t="s">
        <v>2272</v>
      </c>
      <c r="AD1756" s="198"/>
      <c r="AE1756" s="198"/>
    </row>
    <row r="1757" spans="1:31" ht="45.5" customHeight="1">
      <c r="A1757" s="198" t="s">
        <v>5230</v>
      </c>
      <c r="B1757" s="198" t="s">
        <v>5265</v>
      </c>
      <c r="C1757" s="198" t="s">
        <v>2453</v>
      </c>
      <c r="D1757" s="198" t="s">
        <v>404</v>
      </c>
      <c r="E1757" s="198" t="s">
        <v>1102</v>
      </c>
      <c r="F1757" s="4" t="s">
        <v>2272</v>
      </c>
      <c r="G1757" s="4" t="s">
        <v>73</v>
      </c>
      <c r="H1757" s="198" t="s">
        <v>521</v>
      </c>
      <c r="I1757" s="198"/>
      <c r="J1757" s="198" t="s">
        <v>2272</v>
      </c>
      <c r="K1757" s="198" t="s">
        <v>2272</v>
      </c>
      <c r="L1757" s="198" t="s">
        <v>2272</v>
      </c>
      <c r="M1757" s="198" t="s">
        <v>2272</v>
      </c>
      <c r="N1757" s="198" t="s">
        <v>2272</v>
      </c>
      <c r="O1757" s="198" t="s">
        <v>2272</v>
      </c>
      <c r="P1757" s="198" t="s">
        <v>2272</v>
      </c>
      <c r="Q1757" s="198" t="s">
        <v>2272</v>
      </c>
      <c r="R1757" s="198" t="s">
        <v>2272</v>
      </c>
      <c r="S1757" s="198" t="s">
        <v>2272</v>
      </c>
      <c r="T1757" s="198" t="s">
        <v>2272</v>
      </c>
      <c r="U1757" s="198" t="s">
        <v>2272</v>
      </c>
      <c r="V1757" s="198" t="s">
        <v>2272</v>
      </c>
      <c r="W1757" s="198" t="s">
        <v>2272</v>
      </c>
      <c r="X1757" s="198" t="s">
        <v>2272</v>
      </c>
      <c r="Y1757" s="198" t="s">
        <v>2272</v>
      </c>
      <c r="Z1757" s="198" t="s">
        <v>2272</v>
      </c>
      <c r="AA1757" s="198" t="s">
        <v>2272</v>
      </c>
      <c r="AB1757" s="198" t="s">
        <v>2272</v>
      </c>
      <c r="AC1757" s="198" t="s">
        <v>2272</v>
      </c>
      <c r="AD1757" s="198"/>
      <c r="AE1757" s="198"/>
    </row>
    <row r="1758" spans="1:31" ht="45.5" customHeight="1">
      <c r="A1758" s="198" t="s">
        <v>5230</v>
      </c>
      <c r="B1758" s="198" t="s">
        <v>5266</v>
      </c>
      <c r="C1758" s="198" t="s">
        <v>2453</v>
      </c>
      <c r="D1758" s="198" t="s">
        <v>2989</v>
      </c>
      <c r="E1758" s="198" t="s">
        <v>1102</v>
      </c>
      <c r="F1758" s="4" t="s">
        <v>2272</v>
      </c>
      <c r="G1758" s="4" t="s">
        <v>73</v>
      </c>
      <c r="H1758" s="198" t="s">
        <v>521</v>
      </c>
      <c r="I1758" s="198"/>
      <c r="J1758" s="198" t="s">
        <v>2272</v>
      </c>
      <c r="K1758" s="198" t="s">
        <v>2272</v>
      </c>
      <c r="L1758" s="198" t="s">
        <v>2272</v>
      </c>
      <c r="M1758" s="198" t="s">
        <v>2272</v>
      </c>
      <c r="N1758" s="198" t="s">
        <v>2272</v>
      </c>
      <c r="O1758" s="198" t="s">
        <v>2272</v>
      </c>
      <c r="P1758" s="198" t="s">
        <v>2272</v>
      </c>
      <c r="Q1758" s="198" t="s">
        <v>2272</v>
      </c>
      <c r="R1758" s="198" t="s">
        <v>2272</v>
      </c>
      <c r="S1758" s="198" t="s">
        <v>2272</v>
      </c>
      <c r="T1758" s="198" t="s">
        <v>2272</v>
      </c>
      <c r="U1758" s="198" t="s">
        <v>2272</v>
      </c>
      <c r="V1758" s="198" t="s">
        <v>2272</v>
      </c>
      <c r="W1758" s="198" t="s">
        <v>2272</v>
      </c>
      <c r="X1758" s="198" t="s">
        <v>2272</v>
      </c>
      <c r="Y1758" s="198" t="s">
        <v>2272</v>
      </c>
      <c r="Z1758" s="198" t="s">
        <v>2272</v>
      </c>
      <c r="AA1758" s="198" t="s">
        <v>2272</v>
      </c>
      <c r="AB1758" s="198" t="s">
        <v>2272</v>
      </c>
      <c r="AC1758" s="198" t="s">
        <v>2272</v>
      </c>
      <c r="AD1758" s="198"/>
      <c r="AE1758" s="198"/>
    </row>
    <row r="1759" spans="1:31" ht="45.5" customHeight="1">
      <c r="A1759" s="198" t="s">
        <v>5231</v>
      </c>
      <c r="B1759" s="198" t="s">
        <v>5267</v>
      </c>
      <c r="C1759" s="4" t="s">
        <v>23</v>
      </c>
      <c r="D1759" s="198" t="s">
        <v>24</v>
      </c>
      <c r="E1759" s="198" t="s">
        <v>5000</v>
      </c>
      <c r="F1759" s="4" t="s">
        <v>73</v>
      </c>
      <c r="G1759" s="4" t="s">
        <v>73</v>
      </c>
      <c r="H1759" s="198" t="s">
        <v>521</v>
      </c>
      <c r="I1759" s="198"/>
      <c r="J1759" s="198" t="s">
        <v>2272</v>
      </c>
      <c r="K1759" s="198" t="s">
        <v>2272</v>
      </c>
      <c r="L1759" s="198" t="s">
        <v>2272</v>
      </c>
      <c r="M1759" s="198" t="s">
        <v>2272</v>
      </c>
      <c r="N1759" s="198" t="s">
        <v>2272</v>
      </c>
      <c r="O1759" s="198" t="s">
        <v>2272</v>
      </c>
      <c r="P1759" s="198" t="s">
        <v>2272</v>
      </c>
      <c r="Q1759" s="198" t="s">
        <v>2272</v>
      </c>
      <c r="R1759" s="198" t="s">
        <v>2272</v>
      </c>
      <c r="S1759" s="198" t="s">
        <v>2272</v>
      </c>
      <c r="T1759" s="198" t="s">
        <v>2272</v>
      </c>
      <c r="U1759" s="198" t="s">
        <v>2272</v>
      </c>
      <c r="V1759" s="198" t="s">
        <v>2272</v>
      </c>
      <c r="W1759" s="198" t="s">
        <v>2272</v>
      </c>
      <c r="X1759" s="198" t="s">
        <v>2272</v>
      </c>
      <c r="Y1759" s="198" t="s">
        <v>2272</v>
      </c>
      <c r="Z1759" s="198" t="s">
        <v>2272</v>
      </c>
      <c r="AA1759" s="198" t="s">
        <v>2272</v>
      </c>
      <c r="AB1759" s="198" t="s">
        <v>2272</v>
      </c>
      <c r="AC1759" s="198" t="s">
        <v>2272</v>
      </c>
      <c r="AD1759" s="198"/>
      <c r="AE1759" s="4" t="s">
        <v>5330</v>
      </c>
    </row>
    <row r="1760" spans="1:31" ht="45.5" customHeight="1">
      <c r="A1760" s="198" t="s">
        <v>5231</v>
      </c>
      <c r="B1760" s="198" t="s">
        <v>5268</v>
      </c>
      <c r="C1760" s="4" t="s">
        <v>23</v>
      </c>
      <c r="D1760" s="198" t="s">
        <v>3475</v>
      </c>
      <c r="E1760" s="198" t="s">
        <v>114</v>
      </c>
      <c r="F1760" s="4" t="s">
        <v>73</v>
      </c>
      <c r="G1760" s="4" t="s">
        <v>73</v>
      </c>
      <c r="H1760" s="198" t="s">
        <v>521</v>
      </c>
      <c r="I1760" s="198"/>
      <c r="J1760" s="198" t="s">
        <v>2272</v>
      </c>
      <c r="K1760" s="198" t="s">
        <v>2272</v>
      </c>
      <c r="L1760" s="198" t="s">
        <v>2272</v>
      </c>
      <c r="M1760" s="198" t="s">
        <v>2272</v>
      </c>
      <c r="N1760" s="198" t="s">
        <v>2272</v>
      </c>
      <c r="O1760" s="198" t="s">
        <v>2272</v>
      </c>
      <c r="P1760" s="198" t="s">
        <v>2272</v>
      </c>
      <c r="Q1760" s="198" t="s">
        <v>2272</v>
      </c>
      <c r="R1760" s="198" t="s">
        <v>2272</v>
      </c>
      <c r="S1760" s="198" t="s">
        <v>2272</v>
      </c>
      <c r="T1760" s="198" t="s">
        <v>2272</v>
      </c>
      <c r="U1760" s="198" t="s">
        <v>2272</v>
      </c>
      <c r="V1760" s="198" t="s">
        <v>2272</v>
      </c>
      <c r="W1760" s="198" t="s">
        <v>2272</v>
      </c>
      <c r="X1760" s="198" t="s">
        <v>2272</v>
      </c>
      <c r="Y1760" s="198" t="s">
        <v>2272</v>
      </c>
      <c r="Z1760" s="198" t="s">
        <v>2272</v>
      </c>
      <c r="AA1760" s="198" t="s">
        <v>2272</v>
      </c>
      <c r="AB1760" s="198" t="s">
        <v>2272</v>
      </c>
      <c r="AC1760" s="198" t="s">
        <v>2272</v>
      </c>
      <c r="AD1760" s="198"/>
      <c r="AE1760" s="198"/>
    </row>
    <row r="1761" spans="1:31" ht="45.5" customHeight="1">
      <c r="A1761" s="198" t="s">
        <v>5231</v>
      </c>
      <c r="B1761" s="198" t="s">
        <v>5269</v>
      </c>
      <c r="C1761" s="4" t="s">
        <v>23</v>
      </c>
      <c r="D1761" s="198" t="s">
        <v>1241</v>
      </c>
      <c r="E1761" s="198" t="s">
        <v>114</v>
      </c>
      <c r="F1761" s="4" t="s">
        <v>73</v>
      </c>
      <c r="G1761" s="4" t="s">
        <v>73</v>
      </c>
      <c r="H1761" s="198" t="s">
        <v>521</v>
      </c>
      <c r="I1761" s="198"/>
      <c r="J1761" s="198" t="s">
        <v>2272</v>
      </c>
      <c r="K1761" s="198" t="s">
        <v>2272</v>
      </c>
      <c r="L1761" s="198" t="s">
        <v>2272</v>
      </c>
      <c r="M1761" s="198" t="s">
        <v>2272</v>
      </c>
      <c r="N1761" s="198" t="s">
        <v>2272</v>
      </c>
      <c r="O1761" s="198" t="s">
        <v>2272</v>
      </c>
      <c r="P1761" s="198" t="s">
        <v>2272</v>
      </c>
      <c r="Q1761" s="198" t="s">
        <v>2272</v>
      </c>
      <c r="R1761" s="198" t="s">
        <v>2272</v>
      </c>
      <c r="S1761" s="198" t="s">
        <v>2272</v>
      </c>
      <c r="T1761" s="198" t="s">
        <v>2272</v>
      </c>
      <c r="U1761" s="198" t="s">
        <v>2272</v>
      </c>
      <c r="V1761" s="198" t="s">
        <v>2272</v>
      </c>
      <c r="W1761" s="198" t="s">
        <v>2272</v>
      </c>
      <c r="X1761" s="198" t="s">
        <v>2272</v>
      </c>
      <c r="Y1761" s="198" t="s">
        <v>2272</v>
      </c>
      <c r="Z1761" s="198" t="s">
        <v>2272</v>
      </c>
      <c r="AA1761" s="198" t="s">
        <v>2272</v>
      </c>
      <c r="AB1761" s="198" t="s">
        <v>2272</v>
      </c>
      <c r="AC1761" s="198" t="s">
        <v>2272</v>
      </c>
      <c r="AD1761" s="198"/>
      <c r="AE1761" s="198"/>
    </row>
    <row r="1762" spans="1:31" ht="45.5" customHeight="1">
      <c r="A1762" s="198" t="s">
        <v>5231</v>
      </c>
      <c r="B1762" s="198" t="s">
        <v>5270</v>
      </c>
      <c r="C1762" s="4" t="s">
        <v>23</v>
      </c>
      <c r="D1762" s="198" t="s">
        <v>4157</v>
      </c>
      <c r="E1762" s="198" t="s">
        <v>860</v>
      </c>
      <c r="F1762" s="4" t="s">
        <v>73</v>
      </c>
      <c r="G1762" s="4" t="s">
        <v>73</v>
      </c>
      <c r="H1762" s="198" t="s">
        <v>521</v>
      </c>
      <c r="I1762" s="198"/>
      <c r="J1762" s="198" t="s">
        <v>2272</v>
      </c>
      <c r="K1762" s="198" t="s">
        <v>2272</v>
      </c>
      <c r="L1762" s="198" t="s">
        <v>2272</v>
      </c>
      <c r="M1762" s="198" t="s">
        <v>2272</v>
      </c>
      <c r="N1762" s="198" t="s">
        <v>2272</v>
      </c>
      <c r="O1762" s="198" t="s">
        <v>2272</v>
      </c>
      <c r="P1762" s="198" t="s">
        <v>2272</v>
      </c>
      <c r="Q1762" s="198" t="s">
        <v>2272</v>
      </c>
      <c r="R1762" s="198" t="s">
        <v>2272</v>
      </c>
      <c r="S1762" s="198" t="s">
        <v>2272</v>
      </c>
      <c r="T1762" s="198" t="s">
        <v>2272</v>
      </c>
      <c r="U1762" s="198" t="s">
        <v>2272</v>
      </c>
      <c r="V1762" s="198" t="s">
        <v>2272</v>
      </c>
      <c r="W1762" s="198" t="s">
        <v>2272</v>
      </c>
      <c r="X1762" s="198" t="s">
        <v>2272</v>
      </c>
      <c r="Y1762" s="198" t="s">
        <v>2272</v>
      </c>
      <c r="Z1762" s="198" t="s">
        <v>2272</v>
      </c>
      <c r="AA1762" s="198" t="s">
        <v>2272</v>
      </c>
      <c r="AB1762" s="198" t="s">
        <v>2272</v>
      </c>
      <c r="AC1762" s="198" t="s">
        <v>2272</v>
      </c>
      <c r="AD1762" s="198"/>
      <c r="AE1762" s="198"/>
    </row>
    <row r="1763" spans="1:31" ht="45.5" customHeight="1">
      <c r="A1763" s="198" t="s">
        <v>5231</v>
      </c>
      <c r="B1763" s="198" t="s">
        <v>5271</v>
      </c>
      <c r="C1763" s="4" t="s">
        <v>23</v>
      </c>
      <c r="D1763" s="198" t="s">
        <v>2342</v>
      </c>
      <c r="E1763" s="198" t="s">
        <v>2272</v>
      </c>
      <c r="F1763" s="4" t="s">
        <v>2272</v>
      </c>
      <c r="G1763" s="4" t="s">
        <v>73</v>
      </c>
      <c r="H1763" s="198" t="s">
        <v>521</v>
      </c>
      <c r="I1763" s="198"/>
      <c r="J1763" s="198" t="s">
        <v>2272</v>
      </c>
      <c r="K1763" s="198" t="s">
        <v>2272</v>
      </c>
      <c r="L1763" s="198" t="s">
        <v>2272</v>
      </c>
      <c r="M1763" s="198" t="s">
        <v>2272</v>
      </c>
      <c r="N1763" s="198" t="s">
        <v>2272</v>
      </c>
      <c r="O1763" s="198" t="s">
        <v>2272</v>
      </c>
      <c r="P1763" s="198" t="s">
        <v>2272</v>
      </c>
      <c r="Q1763" s="198" t="s">
        <v>2272</v>
      </c>
      <c r="R1763" s="198" t="s">
        <v>2272</v>
      </c>
      <c r="S1763" s="198" t="s">
        <v>2272</v>
      </c>
      <c r="T1763" s="198" t="s">
        <v>2272</v>
      </c>
      <c r="U1763" s="198" t="s">
        <v>2272</v>
      </c>
      <c r="V1763" s="198" t="s">
        <v>2272</v>
      </c>
      <c r="W1763" s="198" t="s">
        <v>2272</v>
      </c>
      <c r="X1763" s="198" t="s">
        <v>2272</v>
      </c>
      <c r="Y1763" s="198" t="s">
        <v>2272</v>
      </c>
      <c r="Z1763" s="198" t="s">
        <v>2272</v>
      </c>
      <c r="AA1763" s="198" t="s">
        <v>2272</v>
      </c>
      <c r="AB1763" s="198" t="s">
        <v>2272</v>
      </c>
      <c r="AC1763" s="198" t="s">
        <v>2272</v>
      </c>
      <c r="AD1763" s="198"/>
      <c r="AE1763" s="198"/>
    </row>
    <row r="1764" spans="1:31" ht="45.5" customHeight="1">
      <c r="A1764" s="198" t="s">
        <v>5231</v>
      </c>
      <c r="B1764" s="198" t="s">
        <v>5272</v>
      </c>
      <c r="C1764" s="4" t="s">
        <v>23</v>
      </c>
      <c r="D1764" s="198" t="s">
        <v>26</v>
      </c>
      <c r="E1764" s="198" t="s">
        <v>128</v>
      </c>
      <c r="F1764" s="4" t="s">
        <v>73</v>
      </c>
      <c r="G1764" s="198" t="s">
        <v>2272</v>
      </c>
      <c r="H1764" s="198" t="s">
        <v>521</v>
      </c>
      <c r="I1764" s="198"/>
      <c r="J1764" s="198" t="s">
        <v>2272</v>
      </c>
      <c r="K1764" s="198" t="s">
        <v>2272</v>
      </c>
      <c r="L1764" s="198" t="s">
        <v>2272</v>
      </c>
      <c r="M1764" s="198" t="s">
        <v>2272</v>
      </c>
      <c r="N1764" s="198" t="s">
        <v>2272</v>
      </c>
      <c r="O1764" s="198" t="s">
        <v>2272</v>
      </c>
      <c r="P1764" s="198" t="s">
        <v>2272</v>
      </c>
      <c r="Q1764" s="198" t="s">
        <v>2272</v>
      </c>
      <c r="R1764" s="198" t="s">
        <v>2272</v>
      </c>
      <c r="S1764" s="198" t="s">
        <v>2272</v>
      </c>
      <c r="T1764" s="198" t="s">
        <v>2272</v>
      </c>
      <c r="U1764" s="198" t="s">
        <v>2272</v>
      </c>
      <c r="V1764" s="198" t="s">
        <v>2272</v>
      </c>
      <c r="W1764" s="198" t="s">
        <v>2272</v>
      </c>
      <c r="X1764" s="198" t="s">
        <v>2272</v>
      </c>
      <c r="Y1764" s="198" t="s">
        <v>2272</v>
      </c>
      <c r="Z1764" s="198" t="s">
        <v>2272</v>
      </c>
      <c r="AA1764" s="198" t="s">
        <v>2272</v>
      </c>
      <c r="AB1764" s="198" t="s">
        <v>2272</v>
      </c>
      <c r="AC1764" s="198" t="s">
        <v>2272</v>
      </c>
      <c r="AD1764" s="198"/>
      <c r="AE1764" s="198"/>
    </row>
    <row r="1765" spans="1:31" ht="45.5" customHeight="1">
      <c r="A1765" s="198" t="s">
        <v>5231</v>
      </c>
      <c r="B1765" s="198" t="s">
        <v>5273</v>
      </c>
      <c r="C1765" s="198" t="s">
        <v>2453</v>
      </c>
      <c r="D1765" s="198" t="s">
        <v>3471</v>
      </c>
      <c r="E1765" s="198" t="s">
        <v>2272</v>
      </c>
      <c r="F1765" s="4" t="s">
        <v>2272</v>
      </c>
      <c r="G1765" s="4" t="s">
        <v>73</v>
      </c>
      <c r="H1765" s="198" t="s">
        <v>521</v>
      </c>
      <c r="I1765" s="198"/>
      <c r="J1765" s="198" t="s">
        <v>2272</v>
      </c>
      <c r="K1765" s="198" t="s">
        <v>2272</v>
      </c>
      <c r="L1765" s="198" t="s">
        <v>2272</v>
      </c>
      <c r="M1765" s="198" t="s">
        <v>2272</v>
      </c>
      <c r="N1765" s="198" t="s">
        <v>2272</v>
      </c>
      <c r="O1765" s="198" t="s">
        <v>2272</v>
      </c>
      <c r="P1765" s="198" t="s">
        <v>2272</v>
      </c>
      <c r="Q1765" s="198" t="s">
        <v>2272</v>
      </c>
      <c r="R1765" s="198" t="s">
        <v>2272</v>
      </c>
      <c r="S1765" s="198" t="s">
        <v>2272</v>
      </c>
      <c r="T1765" s="198" t="s">
        <v>2272</v>
      </c>
      <c r="U1765" s="198" t="s">
        <v>2272</v>
      </c>
      <c r="V1765" s="198" t="s">
        <v>2272</v>
      </c>
      <c r="W1765" s="198" t="s">
        <v>2272</v>
      </c>
      <c r="X1765" s="198" t="s">
        <v>2272</v>
      </c>
      <c r="Y1765" s="198" t="s">
        <v>2272</v>
      </c>
      <c r="Z1765" s="198" t="s">
        <v>2272</v>
      </c>
      <c r="AA1765" s="198" t="s">
        <v>2272</v>
      </c>
      <c r="AB1765" s="198" t="s">
        <v>2272</v>
      </c>
      <c r="AC1765" s="198" t="s">
        <v>2272</v>
      </c>
      <c r="AD1765" s="198"/>
      <c r="AE1765" s="198"/>
    </row>
    <row r="1766" spans="1:31" ht="45.5" customHeight="1">
      <c r="A1766" s="198" t="s">
        <v>5231</v>
      </c>
      <c r="B1766" s="198" t="s">
        <v>5274</v>
      </c>
      <c r="C1766" s="198" t="s">
        <v>30</v>
      </c>
      <c r="D1766" s="198" t="s">
        <v>2272</v>
      </c>
      <c r="E1766" s="198" t="s">
        <v>1102</v>
      </c>
      <c r="F1766" s="4" t="s">
        <v>2272</v>
      </c>
      <c r="G1766" s="4" t="s">
        <v>73</v>
      </c>
      <c r="H1766" s="198" t="s">
        <v>521</v>
      </c>
      <c r="I1766" s="198"/>
      <c r="J1766" s="198" t="s">
        <v>2272</v>
      </c>
      <c r="K1766" s="198" t="s">
        <v>2272</v>
      </c>
      <c r="L1766" s="198" t="s">
        <v>2272</v>
      </c>
      <c r="M1766" s="198" t="s">
        <v>2272</v>
      </c>
      <c r="N1766" s="198" t="s">
        <v>2272</v>
      </c>
      <c r="O1766" s="198" t="s">
        <v>2272</v>
      </c>
      <c r="P1766" s="198" t="s">
        <v>2272</v>
      </c>
      <c r="Q1766" s="198" t="s">
        <v>2272</v>
      </c>
      <c r="R1766" s="198" t="s">
        <v>2272</v>
      </c>
      <c r="S1766" s="198" t="s">
        <v>2272</v>
      </c>
      <c r="T1766" s="198" t="s">
        <v>2272</v>
      </c>
      <c r="U1766" s="198" t="s">
        <v>2272</v>
      </c>
      <c r="V1766" s="198" t="s">
        <v>2272</v>
      </c>
      <c r="W1766" s="198" t="s">
        <v>2272</v>
      </c>
      <c r="X1766" s="198" t="s">
        <v>2272</v>
      </c>
      <c r="Y1766" s="198" t="s">
        <v>2272</v>
      </c>
      <c r="Z1766" s="198" t="s">
        <v>2272</v>
      </c>
      <c r="AA1766" s="198" t="s">
        <v>2272</v>
      </c>
      <c r="AB1766" s="198" t="s">
        <v>2272</v>
      </c>
      <c r="AC1766" s="198" t="s">
        <v>2272</v>
      </c>
      <c r="AD1766" s="198"/>
      <c r="AE1766" s="198"/>
    </row>
    <row r="1767" spans="1:31" ht="45.5" customHeight="1">
      <c r="A1767" s="198" t="s">
        <v>5231</v>
      </c>
      <c r="B1767" s="198" t="s">
        <v>5275</v>
      </c>
      <c r="C1767" s="198" t="s">
        <v>2453</v>
      </c>
      <c r="D1767" s="198" t="s">
        <v>404</v>
      </c>
      <c r="E1767" s="198" t="s">
        <v>1102</v>
      </c>
      <c r="F1767" s="4" t="s">
        <v>2272</v>
      </c>
      <c r="G1767" s="4" t="s">
        <v>73</v>
      </c>
      <c r="H1767" s="198" t="s">
        <v>521</v>
      </c>
      <c r="I1767" s="198"/>
      <c r="J1767" s="198" t="s">
        <v>2272</v>
      </c>
      <c r="K1767" s="198" t="s">
        <v>2272</v>
      </c>
      <c r="L1767" s="198" t="s">
        <v>2272</v>
      </c>
      <c r="M1767" s="198" t="s">
        <v>2272</v>
      </c>
      <c r="N1767" s="198" t="s">
        <v>2272</v>
      </c>
      <c r="O1767" s="198" t="s">
        <v>2272</v>
      </c>
      <c r="P1767" s="198" t="s">
        <v>2272</v>
      </c>
      <c r="Q1767" s="198" t="s">
        <v>2272</v>
      </c>
      <c r="R1767" s="198" t="s">
        <v>2272</v>
      </c>
      <c r="S1767" s="198" t="s">
        <v>2272</v>
      </c>
      <c r="T1767" s="198" t="s">
        <v>2272</v>
      </c>
      <c r="U1767" s="198" t="s">
        <v>2272</v>
      </c>
      <c r="V1767" s="198" t="s">
        <v>2272</v>
      </c>
      <c r="W1767" s="198" t="s">
        <v>2272</v>
      </c>
      <c r="X1767" s="198" t="s">
        <v>2272</v>
      </c>
      <c r="Y1767" s="198" t="s">
        <v>2272</v>
      </c>
      <c r="Z1767" s="198" t="s">
        <v>2272</v>
      </c>
      <c r="AA1767" s="198" t="s">
        <v>2272</v>
      </c>
      <c r="AB1767" s="198" t="s">
        <v>2272</v>
      </c>
      <c r="AC1767" s="198" t="s">
        <v>2272</v>
      </c>
      <c r="AD1767" s="198"/>
      <c r="AE1767" s="198"/>
    </row>
    <row r="1768" spans="1:31" ht="45.5" customHeight="1">
      <c r="A1768" s="198" t="s">
        <v>5231</v>
      </c>
      <c r="B1768" s="198" t="s">
        <v>5276</v>
      </c>
      <c r="C1768" s="198" t="s">
        <v>2453</v>
      </c>
      <c r="D1768" s="198" t="s">
        <v>2989</v>
      </c>
      <c r="E1768" s="198" t="s">
        <v>1102</v>
      </c>
      <c r="F1768" s="4" t="s">
        <v>2272</v>
      </c>
      <c r="G1768" s="4" t="s">
        <v>73</v>
      </c>
      <c r="H1768" s="198" t="s">
        <v>521</v>
      </c>
      <c r="I1768" s="198"/>
      <c r="J1768" s="198" t="s">
        <v>2272</v>
      </c>
      <c r="K1768" s="198" t="s">
        <v>2272</v>
      </c>
      <c r="L1768" s="198" t="s">
        <v>2272</v>
      </c>
      <c r="M1768" s="198" t="s">
        <v>2272</v>
      </c>
      <c r="N1768" s="198" t="s">
        <v>2272</v>
      </c>
      <c r="O1768" s="198" t="s">
        <v>2272</v>
      </c>
      <c r="P1768" s="198" t="s">
        <v>2272</v>
      </c>
      <c r="Q1768" s="198" t="s">
        <v>2272</v>
      </c>
      <c r="R1768" s="198" t="s">
        <v>2272</v>
      </c>
      <c r="S1768" s="198" t="s">
        <v>2272</v>
      </c>
      <c r="T1768" s="198" t="s">
        <v>2272</v>
      </c>
      <c r="U1768" s="198" t="s">
        <v>2272</v>
      </c>
      <c r="V1768" s="198" t="s">
        <v>2272</v>
      </c>
      <c r="W1768" s="198" t="s">
        <v>2272</v>
      </c>
      <c r="X1768" s="198" t="s">
        <v>2272</v>
      </c>
      <c r="Y1768" s="198" t="s">
        <v>2272</v>
      </c>
      <c r="Z1768" s="198" t="s">
        <v>2272</v>
      </c>
      <c r="AA1768" s="198" t="s">
        <v>2272</v>
      </c>
      <c r="AB1768" s="198" t="s">
        <v>2272</v>
      </c>
      <c r="AC1768" s="198" t="s">
        <v>2272</v>
      </c>
      <c r="AD1768" s="198"/>
      <c r="AE1768" s="198"/>
    </row>
    <row r="1769" spans="1:31" ht="45.5" customHeight="1">
      <c r="A1769" s="198" t="s">
        <v>5232</v>
      </c>
      <c r="B1769" s="198" t="s">
        <v>5277</v>
      </c>
      <c r="C1769" s="4" t="s">
        <v>23</v>
      </c>
      <c r="D1769" s="198" t="s">
        <v>24</v>
      </c>
      <c r="E1769" s="198" t="s">
        <v>5000</v>
      </c>
      <c r="F1769" s="4" t="s">
        <v>73</v>
      </c>
      <c r="G1769" s="4" t="s">
        <v>73</v>
      </c>
      <c r="H1769" s="198" t="s">
        <v>521</v>
      </c>
      <c r="I1769" s="198"/>
      <c r="J1769" s="198" t="s">
        <v>2272</v>
      </c>
      <c r="K1769" s="198" t="s">
        <v>2272</v>
      </c>
      <c r="L1769" s="198" t="s">
        <v>2272</v>
      </c>
      <c r="M1769" s="198" t="s">
        <v>2272</v>
      </c>
      <c r="N1769" s="198" t="s">
        <v>2272</v>
      </c>
      <c r="O1769" s="198" t="s">
        <v>2272</v>
      </c>
      <c r="P1769" s="198" t="s">
        <v>2272</v>
      </c>
      <c r="Q1769" s="198" t="s">
        <v>2272</v>
      </c>
      <c r="R1769" s="198" t="s">
        <v>2272</v>
      </c>
      <c r="S1769" s="198" t="s">
        <v>2272</v>
      </c>
      <c r="T1769" s="198" t="s">
        <v>2272</v>
      </c>
      <c r="U1769" s="198" t="s">
        <v>2272</v>
      </c>
      <c r="V1769" s="198" t="s">
        <v>2272</v>
      </c>
      <c r="W1769" s="198" t="s">
        <v>2272</v>
      </c>
      <c r="X1769" s="198" t="s">
        <v>2272</v>
      </c>
      <c r="Y1769" s="198" t="s">
        <v>2272</v>
      </c>
      <c r="Z1769" s="198" t="s">
        <v>2272</v>
      </c>
      <c r="AA1769" s="198" t="s">
        <v>2272</v>
      </c>
      <c r="AB1769" s="198" t="s">
        <v>2272</v>
      </c>
      <c r="AC1769" s="198" t="s">
        <v>2272</v>
      </c>
      <c r="AD1769" s="198"/>
      <c r="AE1769" s="4" t="s">
        <v>5330</v>
      </c>
    </row>
    <row r="1770" spans="1:31" ht="45.5" customHeight="1">
      <c r="A1770" s="198" t="s">
        <v>5232</v>
      </c>
      <c r="B1770" s="198" t="s">
        <v>5278</v>
      </c>
      <c r="C1770" s="4" t="s">
        <v>23</v>
      </c>
      <c r="D1770" s="198" t="s">
        <v>3475</v>
      </c>
      <c r="E1770" s="198" t="s">
        <v>114</v>
      </c>
      <c r="F1770" s="4" t="s">
        <v>73</v>
      </c>
      <c r="G1770" s="4" t="s">
        <v>73</v>
      </c>
      <c r="H1770" s="198" t="s">
        <v>521</v>
      </c>
      <c r="I1770" s="198"/>
      <c r="J1770" s="198" t="s">
        <v>2272</v>
      </c>
      <c r="K1770" s="198" t="s">
        <v>2272</v>
      </c>
      <c r="L1770" s="198" t="s">
        <v>2272</v>
      </c>
      <c r="M1770" s="198" t="s">
        <v>2272</v>
      </c>
      <c r="N1770" s="198" t="s">
        <v>2272</v>
      </c>
      <c r="O1770" s="198" t="s">
        <v>2272</v>
      </c>
      <c r="P1770" s="198" t="s">
        <v>2272</v>
      </c>
      <c r="Q1770" s="198" t="s">
        <v>2272</v>
      </c>
      <c r="R1770" s="198" t="s">
        <v>2272</v>
      </c>
      <c r="S1770" s="198" t="s">
        <v>2272</v>
      </c>
      <c r="T1770" s="198" t="s">
        <v>2272</v>
      </c>
      <c r="U1770" s="198" t="s">
        <v>2272</v>
      </c>
      <c r="V1770" s="198" t="s">
        <v>2272</v>
      </c>
      <c r="W1770" s="198" t="s">
        <v>2272</v>
      </c>
      <c r="X1770" s="198" t="s">
        <v>2272</v>
      </c>
      <c r="Y1770" s="198" t="s">
        <v>2272</v>
      </c>
      <c r="Z1770" s="198" t="s">
        <v>2272</v>
      </c>
      <c r="AA1770" s="198" t="s">
        <v>2272</v>
      </c>
      <c r="AB1770" s="198" t="s">
        <v>2272</v>
      </c>
      <c r="AC1770" s="198" t="s">
        <v>2272</v>
      </c>
      <c r="AD1770" s="198"/>
      <c r="AE1770" s="198"/>
    </row>
    <row r="1771" spans="1:31" ht="45.5" customHeight="1">
      <c r="A1771" s="198" t="s">
        <v>5232</v>
      </c>
      <c r="B1771" s="198" t="s">
        <v>5279</v>
      </c>
      <c r="C1771" s="4" t="s">
        <v>23</v>
      </c>
      <c r="D1771" s="198" t="s">
        <v>1241</v>
      </c>
      <c r="E1771" s="198" t="s">
        <v>114</v>
      </c>
      <c r="F1771" s="4" t="s">
        <v>73</v>
      </c>
      <c r="G1771" s="4" t="s">
        <v>73</v>
      </c>
      <c r="H1771" s="198" t="s">
        <v>521</v>
      </c>
      <c r="I1771" s="198"/>
      <c r="J1771" s="198" t="s">
        <v>2272</v>
      </c>
      <c r="K1771" s="198" t="s">
        <v>2272</v>
      </c>
      <c r="L1771" s="198" t="s">
        <v>2272</v>
      </c>
      <c r="M1771" s="198" t="s">
        <v>2272</v>
      </c>
      <c r="N1771" s="198" t="s">
        <v>2272</v>
      </c>
      <c r="O1771" s="198" t="s">
        <v>2272</v>
      </c>
      <c r="P1771" s="198" t="s">
        <v>2272</v>
      </c>
      <c r="Q1771" s="198" t="s">
        <v>2272</v>
      </c>
      <c r="R1771" s="198" t="s">
        <v>2272</v>
      </c>
      <c r="S1771" s="198" t="s">
        <v>2272</v>
      </c>
      <c r="T1771" s="198" t="s">
        <v>2272</v>
      </c>
      <c r="U1771" s="198" t="s">
        <v>2272</v>
      </c>
      <c r="V1771" s="198" t="s">
        <v>2272</v>
      </c>
      <c r="W1771" s="198" t="s">
        <v>2272</v>
      </c>
      <c r="X1771" s="198" t="s">
        <v>2272</v>
      </c>
      <c r="Y1771" s="198" t="s">
        <v>2272</v>
      </c>
      <c r="Z1771" s="198" t="s">
        <v>2272</v>
      </c>
      <c r="AA1771" s="198" t="s">
        <v>2272</v>
      </c>
      <c r="AB1771" s="198" t="s">
        <v>2272</v>
      </c>
      <c r="AC1771" s="198" t="s">
        <v>2272</v>
      </c>
      <c r="AD1771" s="198"/>
      <c r="AE1771" s="198"/>
    </row>
    <row r="1772" spans="1:31" ht="45.5" customHeight="1">
      <c r="A1772" s="198" t="s">
        <v>5232</v>
      </c>
      <c r="B1772" s="198" t="s">
        <v>5280</v>
      </c>
      <c r="C1772" s="4" t="s">
        <v>23</v>
      </c>
      <c r="D1772" s="198" t="s">
        <v>4157</v>
      </c>
      <c r="E1772" s="198" t="s">
        <v>860</v>
      </c>
      <c r="F1772" s="4" t="s">
        <v>73</v>
      </c>
      <c r="G1772" s="4" t="s">
        <v>73</v>
      </c>
      <c r="H1772" s="198" t="s">
        <v>521</v>
      </c>
      <c r="I1772" s="198"/>
      <c r="J1772" s="198" t="s">
        <v>2272</v>
      </c>
      <c r="K1772" s="198" t="s">
        <v>2272</v>
      </c>
      <c r="L1772" s="198" t="s">
        <v>2272</v>
      </c>
      <c r="M1772" s="198" t="s">
        <v>2272</v>
      </c>
      <c r="N1772" s="198" t="s">
        <v>2272</v>
      </c>
      <c r="O1772" s="198" t="s">
        <v>2272</v>
      </c>
      <c r="P1772" s="198" t="s">
        <v>2272</v>
      </c>
      <c r="Q1772" s="198" t="s">
        <v>2272</v>
      </c>
      <c r="R1772" s="198" t="s">
        <v>2272</v>
      </c>
      <c r="S1772" s="198" t="s">
        <v>2272</v>
      </c>
      <c r="T1772" s="198" t="s">
        <v>2272</v>
      </c>
      <c r="U1772" s="198" t="s">
        <v>2272</v>
      </c>
      <c r="V1772" s="198" t="s">
        <v>2272</v>
      </c>
      <c r="W1772" s="198" t="s">
        <v>2272</v>
      </c>
      <c r="X1772" s="198" t="s">
        <v>2272</v>
      </c>
      <c r="Y1772" s="198" t="s">
        <v>2272</v>
      </c>
      <c r="Z1772" s="198" t="s">
        <v>2272</v>
      </c>
      <c r="AA1772" s="198" t="s">
        <v>2272</v>
      </c>
      <c r="AB1772" s="198" t="s">
        <v>2272</v>
      </c>
      <c r="AC1772" s="198" t="s">
        <v>2272</v>
      </c>
      <c r="AD1772" s="198"/>
      <c r="AE1772" s="198"/>
    </row>
    <row r="1773" spans="1:31" ht="45.5" customHeight="1">
      <c r="A1773" s="198" t="s">
        <v>5232</v>
      </c>
      <c r="B1773" s="198" t="s">
        <v>5281</v>
      </c>
      <c r="C1773" s="4" t="s">
        <v>23</v>
      </c>
      <c r="D1773" s="198" t="s">
        <v>2342</v>
      </c>
      <c r="E1773" s="198" t="s">
        <v>2272</v>
      </c>
      <c r="F1773" s="4" t="s">
        <v>2272</v>
      </c>
      <c r="G1773" s="4" t="s">
        <v>73</v>
      </c>
      <c r="H1773" s="198" t="s">
        <v>521</v>
      </c>
      <c r="I1773" s="198"/>
      <c r="J1773" s="198" t="s">
        <v>2272</v>
      </c>
      <c r="K1773" s="198" t="s">
        <v>2272</v>
      </c>
      <c r="L1773" s="198" t="s">
        <v>2272</v>
      </c>
      <c r="M1773" s="198" t="s">
        <v>2272</v>
      </c>
      <c r="N1773" s="198" t="s">
        <v>2272</v>
      </c>
      <c r="O1773" s="198" t="s">
        <v>2272</v>
      </c>
      <c r="P1773" s="198" t="s">
        <v>2272</v>
      </c>
      <c r="Q1773" s="198" t="s">
        <v>2272</v>
      </c>
      <c r="R1773" s="198" t="s">
        <v>2272</v>
      </c>
      <c r="S1773" s="198" t="s">
        <v>2272</v>
      </c>
      <c r="T1773" s="198" t="s">
        <v>2272</v>
      </c>
      <c r="U1773" s="198" t="s">
        <v>2272</v>
      </c>
      <c r="V1773" s="198" t="s">
        <v>2272</v>
      </c>
      <c r="W1773" s="198" t="s">
        <v>2272</v>
      </c>
      <c r="X1773" s="198" t="s">
        <v>2272</v>
      </c>
      <c r="Y1773" s="198" t="s">
        <v>2272</v>
      </c>
      <c r="Z1773" s="198" t="s">
        <v>2272</v>
      </c>
      <c r="AA1773" s="198" t="s">
        <v>2272</v>
      </c>
      <c r="AB1773" s="198" t="s">
        <v>2272</v>
      </c>
      <c r="AC1773" s="198" t="s">
        <v>2272</v>
      </c>
      <c r="AD1773" s="198"/>
      <c r="AE1773" s="198"/>
    </row>
    <row r="1774" spans="1:31" ht="45.5" customHeight="1">
      <c r="A1774" s="198" t="s">
        <v>5232</v>
      </c>
      <c r="B1774" s="198" t="s">
        <v>5282</v>
      </c>
      <c r="C1774" s="4" t="s">
        <v>23</v>
      </c>
      <c r="D1774" s="198" t="s">
        <v>26</v>
      </c>
      <c r="E1774" s="198" t="s">
        <v>128</v>
      </c>
      <c r="F1774" s="4" t="s">
        <v>73</v>
      </c>
      <c r="G1774" s="198" t="s">
        <v>2272</v>
      </c>
      <c r="H1774" s="198" t="s">
        <v>521</v>
      </c>
      <c r="I1774" s="198"/>
      <c r="J1774" s="198" t="s">
        <v>2272</v>
      </c>
      <c r="K1774" s="198" t="s">
        <v>2272</v>
      </c>
      <c r="L1774" s="198" t="s">
        <v>2272</v>
      </c>
      <c r="M1774" s="198" t="s">
        <v>2272</v>
      </c>
      <c r="N1774" s="198" t="s">
        <v>2272</v>
      </c>
      <c r="O1774" s="198" t="s">
        <v>2272</v>
      </c>
      <c r="P1774" s="198" t="s">
        <v>2272</v>
      </c>
      <c r="Q1774" s="198" t="s">
        <v>2272</v>
      </c>
      <c r="R1774" s="198" t="s">
        <v>2272</v>
      </c>
      <c r="S1774" s="198" t="s">
        <v>2272</v>
      </c>
      <c r="T1774" s="198" t="s">
        <v>2272</v>
      </c>
      <c r="U1774" s="198" t="s">
        <v>2272</v>
      </c>
      <c r="V1774" s="198" t="s">
        <v>2272</v>
      </c>
      <c r="W1774" s="198" t="s">
        <v>2272</v>
      </c>
      <c r="X1774" s="198" t="s">
        <v>2272</v>
      </c>
      <c r="Y1774" s="198" t="s">
        <v>2272</v>
      </c>
      <c r="Z1774" s="198" t="s">
        <v>2272</v>
      </c>
      <c r="AA1774" s="198" t="s">
        <v>2272</v>
      </c>
      <c r="AB1774" s="198" t="s">
        <v>2272</v>
      </c>
      <c r="AC1774" s="198" t="s">
        <v>2272</v>
      </c>
      <c r="AD1774" s="198"/>
      <c r="AE1774" s="198"/>
    </row>
    <row r="1775" spans="1:31" ht="45.5" customHeight="1">
      <c r="A1775" s="198" t="s">
        <v>5232</v>
      </c>
      <c r="B1775" s="198" t="s">
        <v>5283</v>
      </c>
      <c r="C1775" s="198" t="s">
        <v>2453</v>
      </c>
      <c r="D1775" s="198" t="s">
        <v>3471</v>
      </c>
      <c r="E1775" s="198" t="s">
        <v>2272</v>
      </c>
      <c r="F1775" s="4" t="s">
        <v>2272</v>
      </c>
      <c r="G1775" s="4" t="s">
        <v>73</v>
      </c>
      <c r="H1775" s="198" t="s">
        <v>521</v>
      </c>
      <c r="I1775" s="198"/>
      <c r="J1775" s="198" t="s">
        <v>2272</v>
      </c>
      <c r="K1775" s="198" t="s">
        <v>2272</v>
      </c>
      <c r="L1775" s="198" t="s">
        <v>2272</v>
      </c>
      <c r="M1775" s="198" t="s">
        <v>2272</v>
      </c>
      <c r="N1775" s="198" t="s">
        <v>2272</v>
      </c>
      <c r="O1775" s="198" t="s">
        <v>2272</v>
      </c>
      <c r="P1775" s="198" t="s">
        <v>2272</v>
      </c>
      <c r="Q1775" s="198" t="s">
        <v>2272</v>
      </c>
      <c r="R1775" s="198" t="s">
        <v>2272</v>
      </c>
      <c r="S1775" s="198" t="s">
        <v>2272</v>
      </c>
      <c r="T1775" s="198" t="s">
        <v>2272</v>
      </c>
      <c r="U1775" s="198" t="s">
        <v>2272</v>
      </c>
      <c r="V1775" s="198" t="s">
        <v>2272</v>
      </c>
      <c r="W1775" s="198" t="s">
        <v>2272</v>
      </c>
      <c r="X1775" s="198" t="s">
        <v>2272</v>
      </c>
      <c r="Y1775" s="198" t="s">
        <v>2272</v>
      </c>
      <c r="Z1775" s="198" t="s">
        <v>2272</v>
      </c>
      <c r="AA1775" s="198" t="s">
        <v>2272</v>
      </c>
      <c r="AB1775" s="198" t="s">
        <v>2272</v>
      </c>
      <c r="AC1775" s="198" t="s">
        <v>2272</v>
      </c>
      <c r="AD1775" s="198"/>
      <c r="AE1775" s="198"/>
    </row>
    <row r="1776" spans="1:31" ht="45.5" customHeight="1">
      <c r="A1776" s="198" t="s">
        <v>5232</v>
      </c>
      <c r="B1776" s="198" t="s">
        <v>5284</v>
      </c>
      <c r="C1776" s="198" t="s">
        <v>30</v>
      </c>
      <c r="D1776" s="198" t="s">
        <v>2272</v>
      </c>
      <c r="E1776" s="198" t="s">
        <v>1102</v>
      </c>
      <c r="F1776" s="4" t="s">
        <v>2272</v>
      </c>
      <c r="G1776" s="4" t="s">
        <v>73</v>
      </c>
      <c r="H1776" s="198" t="s">
        <v>521</v>
      </c>
      <c r="I1776" s="198"/>
      <c r="J1776" s="198" t="s">
        <v>2272</v>
      </c>
      <c r="K1776" s="198" t="s">
        <v>2272</v>
      </c>
      <c r="L1776" s="198" t="s">
        <v>2272</v>
      </c>
      <c r="M1776" s="198" t="s">
        <v>2272</v>
      </c>
      <c r="N1776" s="198" t="s">
        <v>2272</v>
      </c>
      <c r="O1776" s="198" t="s">
        <v>2272</v>
      </c>
      <c r="P1776" s="198" t="s">
        <v>2272</v>
      </c>
      <c r="Q1776" s="198" t="s">
        <v>2272</v>
      </c>
      <c r="R1776" s="198" t="s">
        <v>2272</v>
      </c>
      <c r="S1776" s="198" t="s">
        <v>2272</v>
      </c>
      <c r="T1776" s="198" t="s">
        <v>2272</v>
      </c>
      <c r="U1776" s="198" t="s">
        <v>2272</v>
      </c>
      <c r="V1776" s="198" t="s">
        <v>2272</v>
      </c>
      <c r="W1776" s="198" t="s">
        <v>2272</v>
      </c>
      <c r="X1776" s="198" t="s">
        <v>2272</v>
      </c>
      <c r="Y1776" s="198" t="s">
        <v>2272</v>
      </c>
      <c r="Z1776" s="198" t="s">
        <v>2272</v>
      </c>
      <c r="AA1776" s="198" t="s">
        <v>2272</v>
      </c>
      <c r="AB1776" s="198" t="s">
        <v>2272</v>
      </c>
      <c r="AC1776" s="198" t="s">
        <v>2272</v>
      </c>
      <c r="AD1776" s="198"/>
      <c r="AE1776" s="198"/>
    </row>
    <row r="1777" spans="1:31" ht="45.5" customHeight="1">
      <c r="A1777" s="198" t="s">
        <v>5232</v>
      </c>
      <c r="B1777" s="198" t="s">
        <v>5285</v>
      </c>
      <c r="C1777" s="198" t="s">
        <v>2453</v>
      </c>
      <c r="D1777" s="198" t="s">
        <v>404</v>
      </c>
      <c r="E1777" s="198" t="s">
        <v>1102</v>
      </c>
      <c r="F1777" s="4" t="s">
        <v>2272</v>
      </c>
      <c r="G1777" s="4" t="s">
        <v>73</v>
      </c>
      <c r="H1777" s="198" t="s">
        <v>521</v>
      </c>
      <c r="I1777" s="198"/>
      <c r="J1777" s="198" t="s">
        <v>2272</v>
      </c>
      <c r="K1777" s="198" t="s">
        <v>2272</v>
      </c>
      <c r="L1777" s="198" t="s">
        <v>2272</v>
      </c>
      <c r="M1777" s="198" t="s">
        <v>2272</v>
      </c>
      <c r="N1777" s="198" t="s">
        <v>2272</v>
      </c>
      <c r="O1777" s="198" t="s">
        <v>2272</v>
      </c>
      <c r="P1777" s="198" t="s">
        <v>2272</v>
      </c>
      <c r="Q1777" s="198" t="s">
        <v>2272</v>
      </c>
      <c r="R1777" s="198" t="s">
        <v>2272</v>
      </c>
      <c r="S1777" s="198" t="s">
        <v>2272</v>
      </c>
      <c r="T1777" s="198" t="s">
        <v>2272</v>
      </c>
      <c r="U1777" s="198" t="s">
        <v>2272</v>
      </c>
      <c r="V1777" s="198" t="s">
        <v>2272</v>
      </c>
      <c r="W1777" s="198" t="s">
        <v>2272</v>
      </c>
      <c r="X1777" s="198" t="s">
        <v>2272</v>
      </c>
      <c r="Y1777" s="198" t="s">
        <v>2272</v>
      </c>
      <c r="Z1777" s="198" t="s">
        <v>2272</v>
      </c>
      <c r="AA1777" s="198" t="s">
        <v>2272</v>
      </c>
      <c r="AB1777" s="198" t="s">
        <v>2272</v>
      </c>
      <c r="AC1777" s="198" t="s">
        <v>2272</v>
      </c>
      <c r="AD1777" s="198"/>
      <c r="AE1777" s="198"/>
    </row>
    <row r="1778" spans="1:31" ht="45.5" customHeight="1">
      <c r="A1778" s="198" t="s">
        <v>5232</v>
      </c>
      <c r="B1778" s="198" t="s">
        <v>5286</v>
      </c>
      <c r="C1778" s="198" t="s">
        <v>2453</v>
      </c>
      <c r="D1778" s="198" t="s">
        <v>2989</v>
      </c>
      <c r="E1778" s="198" t="s">
        <v>1102</v>
      </c>
      <c r="F1778" s="4" t="s">
        <v>2272</v>
      </c>
      <c r="G1778" s="4" t="s">
        <v>73</v>
      </c>
      <c r="H1778" s="198" t="s">
        <v>521</v>
      </c>
      <c r="I1778" s="198"/>
      <c r="J1778" s="198" t="s">
        <v>2272</v>
      </c>
      <c r="K1778" s="198" t="s">
        <v>2272</v>
      </c>
      <c r="L1778" s="198" t="s">
        <v>2272</v>
      </c>
      <c r="M1778" s="198" t="s">
        <v>2272</v>
      </c>
      <c r="N1778" s="198" t="s">
        <v>2272</v>
      </c>
      <c r="O1778" s="198" t="s">
        <v>2272</v>
      </c>
      <c r="P1778" s="198" t="s">
        <v>2272</v>
      </c>
      <c r="Q1778" s="198" t="s">
        <v>2272</v>
      </c>
      <c r="R1778" s="198" t="s">
        <v>2272</v>
      </c>
      <c r="S1778" s="198" t="s">
        <v>2272</v>
      </c>
      <c r="T1778" s="198" t="s">
        <v>2272</v>
      </c>
      <c r="U1778" s="198" t="s">
        <v>2272</v>
      </c>
      <c r="V1778" s="198" t="s">
        <v>2272</v>
      </c>
      <c r="W1778" s="198" t="s">
        <v>2272</v>
      </c>
      <c r="X1778" s="198" t="s">
        <v>2272</v>
      </c>
      <c r="Y1778" s="198" t="s">
        <v>2272</v>
      </c>
      <c r="Z1778" s="198" t="s">
        <v>2272</v>
      </c>
      <c r="AA1778" s="198" t="s">
        <v>2272</v>
      </c>
      <c r="AB1778" s="198" t="s">
        <v>2272</v>
      </c>
      <c r="AC1778" s="198" t="s">
        <v>2272</v>
      </c>
      <c r="AD1778" s="198"/>
      <c r="AE1778" s="198"/>
    </row>
    <row r="1779" spans="1:31" ht="45.5" customHeight="1">
      <c r="A1779" s="198" t="s">
        <v>5233</v>
      </c>
      <c r="B1779" s="198" t="s">
        <v>5287</v>
      </c>
      <c r="C1779" s="4" t="s">
        <v>23</v>
      </c>
      <c r="D1779" s="198" t="s">
        <v>24</v>
      </c>
      <c r="E1779" s="198" t="s">
        <v>5000</v>
      </c>
      <c r="F1779" s="4" t="s">
        <v>73</v>
      </c>
      <c r="G1779" s="4" t="s">
        <v>73</v>
      </c>
      <c r="H1779" s="198" t="s">
        <v>521</v>
      </c>
      <c r="I1779" s="198"/>
      <c r="J1779" s="198" t="s">
        <v>2272</v>
      </c>
      <c r="K1779" s="198" t="s">
        <v>2272</v>
      </c>
      <c r="L1779" s="198" t="s">
        <v>2272</v>
      </c>
      <c r="M1779" s="198" t="s">
        <v>2272</v>
      </c>
      <c r="N1779" s="198" t="s">
        <v>2272</v>
      </c>
      <c r="O1779" s="198" t="s">
        <v>2272</v>
      </c>
      <c r="P1779" s="198" t="s">
        <v>2272</v>
      </c>
      <c r="Q1779" s="198" t="s">
        <v>2272</v>
      </c>
      <c r="R1779" s="198" t="s">
        <v>2272</v>
      </c>
      <c r="S1779" s="198" t="s">
        <v>2272</v>
      </c>
      <c r="T1779" s="198" t="s">
        <v>2272</v>
      </c>
      <c r="U1779" s="198" t="s">
        <v>2272</v>
      </c>
      <c r="V1779" s="198" t="s">
        <v>2272</v>
      </c>
      <c r="W1779" s="198" t="s">
        <v>2272</v>
      </c>
      <c r="X1779" s="198" t="s">
        <v>2272</v>
      </c>
      <c r="Y1779" s="198" t="s">
        <v>2272</v>
      </c>
      <c r="Z1779" s="198" t="s">
        <v>2272</v>
      </c>
      <c r="AA1779" s="198" t="s">
        <v>2272</v>
      </c>
      <c r="AB1779" s="198" t="s">
        <v>2272</v>
      </c>
      <c r="AC1779" s="198" t="s">
        <v>2272</v>
      </c>
      <c r="AD1779" s="198"/>
      <c r="AE1779" s="4" t="s">
        <v>5330</v>
      </c>
    </row>
    <row r="1780" spans="1:31" ht="45.5" customHeight="1">
      <c r="A1780" s="198" t="s">
        <v>5233</v>
      </c>
      <c r="B1780" s="198" t="s">
        <v>5288</v>
      </c>
      <c r="C1780" s="4" t="s">
        <v>23</v>
      </c>
      <c r="D1780" s="198" t="s">
        <v>3475</v>
      </c>
      <c r="E1780" s="198" t="s">
        <v>114</v>
      </c>
      <c r="F1780" s="4" t="s">
        <v>73</v>
      </c>
      <c r="G1780" s="4" t="s">
        <v>73</v>
      </c>
      <c r="H1780" s="198" t="s">
        <v>521</v>
      </c>
      <c r="I1780" s="198"/>
      <c r="J1780" s="198" t="s">
        <v>2272</v>
      </c>
      <c r="K1780" s="198" t="s">
        <v>2272</v>
      </c>
      <c r="L1780" s="198" t="s">
        <v>2272</v>
      </c>
      <c r="M1780" s="198" t="s">
        <v>2272</v>
      </c>
      <c r="N1780" s="198" t="s">
        <v>2272</v>
      </c>
      <c r="O1780" s="198" t="s">
        <v>2272</v>
      </c>
      <c r="P1780" s="198" t="s">
        <v>2272</v>
      </c>
      <c r="Q1780" s="198" t="s">
        <v>2272</v>
      </c>
      <c r="R1780" s="198" t="s">
        <v>2272</v>
      </c>
      <c r="S1780" s="198" t="s">
        <v>2272</v>
      </c>
      <c r="T1780" s="198" t="s">
        <v>2272</v>
      </c>
      <c r="U1780" s="198" t="s">
        <v>2272</v>
      </c>
      <c r="V1780" s="198" t="s">
        <v>2272</v>
      </c>
      <c r="W1780" s="198" t="s">
        <v>2272</v>
      </c>
      <c r="X1780" s="198" t="s">
        <v>2272</v>
      </c>
      <c r="Y1780" s="198" t="s">
        <v>2272</v>
      </c>
      <c r="Z1780" s="198" t="s">
        <v>2272</v>
      </c>
      <c r="AA1780" s="198" t="s">
        <v>2272</v>
      </c>
      <c r="AB1780" s="198" t="s">
        <v>2272</v>
      </c>
      <c r="AC1780" s="198" t="s">
        <v>2272</v>
      </c>
      <c r="AD1780" s="198"/>
      <c r="AE1780" s="198"/>
    </row>
    <row r="1781" spans="1:31" ht="45.5" customHeight="1">
      <c r="A1781" s="198" t="s">
        <v>5233</v>
      </c>
      <c r="B1781" s="198" t="s">
        <v>5289</v>
      </c>
      <c r="C1781" s="4" t="s">
        <v>23</v>
      </c>
      <c r="D1781" s="198" t="s">
        <v>1241</v>
      </c>
      <c r="E1781" s="198" t="s">
        <v>114</v>
      </c>
      <c r="F1781" s="4" t="s">
        <v>73</v>
      </c>
      <c r="G1781" s="4" t="s">
        <v>73</v>
      </c>
      <c r="H1781" s="198" t="s">
        <v>521</v>
      </c>
      <c r="I1781" s="198"/>
      <c r="J1781" s="198" t="s">
        <v>2272</v>
      </c>
      <c r="K1781" s="198" t="s">
        <v>2272</v>
      </c>
      <c r="L1781" s="198" t="s">
        <v>2272</v>
      </c>
      <c r="M1781" s="198" t="s">
        <v>2272</v>
      </c>
      <c r="N1781" s="198" t="s">
        <v>2272</v>
      </c>
      <c r="O1781" s="198" t="s">
        <v>2272</v>
      </c>
      <c r="P1781" s="198" t="s">
        <v>2272</v>
      </c>
      <c r="Q1781" s="198" t="s">
        <v>2272</v>
      </c>
      <c r="R1781" s="198" t="s">
        <v>2272</v>
      </c>
      <c r="S1781" s="198" t="s">
        <v>2272</v>
      </c>
      <c r="T1781" s="198" t="s">
        <v>2272</v>
      </c>
      <c r="U1781" s="198" t="s">
        <v>2272</v>
      </c>
      <c r="V1781" s="198" t="s">
        <v>2272</v>
      </c>
      <c r="W1781" s="198" t="s">
        <v>2272</v>
      </c>
      <c r="X1781" s="198" t="s">
        <v>2272</v>
      </c>
      <c r="Y1781" s="198" t="s">
        <v>2272</v>
      </c>
      <c r="Z1781" s="198" t="s">
        <v>2272</v>
      </c>
      <c r="AA1781" s="198" t="s">
        <v>2272</v>
      </c>
      <c r="AB1781" s="198" t="s">
        <v>2272</v>
      </c>
      <c r="AC1781" s="198" t="s">
        <v>2272</v>
      </c>
      <c r="AD1781" s="198"/>
      <c r="AE1781" s="198"/>
    </row>
    <row r="1782" spans="1:31" ht="45.5" customHeight="1">
      <c r="A1782" s="198" t="s">
        <v>5233</v>
      </c>
      <c r="B1782" s="198" t="s">
        <v>5290</v>
      </c>
      <c r="C1782" s="4" t="s">
        <v>23</v>
      </c>
      <c r="D1782" s="198" t="s">
        <v>4157</v>
      </c>
      <c r="E1782" s="198" t="s">
        <v>860</v>
      </c>
      <c r="F1782" s="4" t="s">
        <v>73</v>
      </c>
      <c r="G1782" s="4" t="s">
        <v>73</v>
      </c>
      <c r="H1782" s="198" t="s">
        <v>521</v>
      </c>
      <c r="I1782" s="198"/>
      <c r="J1782" s="198" t="s">
        <v>2272</v>
      </c>
      <c r="K1782" s="198" t="s">
        <v>2272</v>
      </c>
      <c r="L1782" s="198" t="s">
        <v>2272</v>
      </c>
      <c r="M1782" s="198" t="s">
        <v>2272</v>
      </c>
      <c r="N1782" s="198" t="s">
        <v>2272</v>
      </c>
      <c r="O1782" s="198" t="s">
        <v>2272</v>
      </c>
      <c r="P1782" s="198" t="s">
        <v>2272</v>
      </c>
      <c r="Q1782" s="198" t="s">
        <v>2272</v>
      </c>
      <c r="R1782" s="198" t="s">
        <v>2272</v>
      </c>
      <c r="S1782" s="198" t="s">
        <v>2272</v>
      </c>
      <c r="T1782" s="198" t="s">
        <v>2272</v>
      </c>
      <c r="U1782" s="198" t="s">
        <v>2272</v>
      </c>
      <c r="V1782" s="198" t="s">
        <v>2272</v>
      </c>
      <c r="W1782" s="198" t="s">
        <v>2272</v>
      </c>
      <c r="X1782" s="198" t="s">
        <v>2272</v>
      </c>
      <c r="Y1782" s="198" t="s">
        <v>2272</v>
      </c>
      <c r="Z1782" s="198" t="s">
        <v>2272</v>
      </c>
      <c r="AA1782" s="198" t="s">
        <v>2272</v>
      </c>
      <c r="AB1782" s="198" t="s">
        <v>2272</v>
      </c>
      <c r="AC1782" s="198" t="s">
        <v>2272</v>
      </c>
      <c r="AD1782" s="198"/>
      <c r="AE1782" s="198"/>
    </row>
    <row r="1783" spans="1:31" ht="45.5" customHeight="1">
      <c r="A1783" s="198" t="s">
        <v>5233</v>
      </c>
      <c r="B1783" s="198" t="s">
        <v>5291</v>
      </c>
      <c r="C1783" s="4" t="s">
        <v>23</v>
      </c>
      <c r="D1783" s="198" t="s">
        <v>2342</v>
      </c>
      <c r="E1783" s="198" t="s">
        <v>2272</v>
      </c>
      <c r="F1783" s="4" t="s">
        <v>2272</v>
      </c>
      <c r="G1783" s="4" t="s">
        <v>73</v>
      </c>
      <c r="H1783" s="198" t="s">
        <v>521</v>
      </c>
      <c r="I1783" s="198"/>
      <c r="J1783" s="198" t="s">
        <v>2272</v>
      </c>
      <c r="K1783" s="198" t="s">
        <v>2272</v>
      </c>
      <c r="L1783" s="198" t="s">
        <v>2272</v>
      </c>
      <c r="M1783" s="198" t="s">
        <v>2272</v>
      </c>
      <c r="N1783" s="198" t="s">
        <v>2272</v>
      </c>
      <c r="O1783" s="198" t="s">
        <v>2272</v>
      </c>
      <c r="P1783" s="198" t="s">
        <v>2272</v>
      </c>
      <c r="Q1783" s="198" t="s">
        <v>2272</v>
      </c>
      <c r="R1783" s="198" t="s">
        <v>2272</v>
      </c>
      <c r="S1783" s="198" t="s">
        <v>2272</v>
      </c>
      <c r="T1783" s="198" t="s">
        <v>2272</v>
      </c>
      <c r="U1783" s="198" t="s">
        <v>2272</v>
      </c>
      <c r="V1783" s="198" t="s">
        <v>2272</v>
      </c>
      <c r="W1783" s="198" t="s">
        <v>2272</v>
      </c>
      <c r="X1783" s="198" t="s">
        <v>2272</v>
      </c>
      <c r="Y1783" s="198" t="s">
        <v>2272</v>
      </c>
      <c r="Z1783" s="198" t="s">
        <v>2272</v>
      </c>
      <c r="AA1783" s="198" t="s">
        <v>2272</v>
      </c>
      <c r="AB1783" s="198" t="s">
        <v>2272</v>
      </c>
      <c r="AC1783" s="198" t="s">
        <v>2272</v>
      </c>
      <c r="AD1783" s="198"/>
      <c r="AE1783" s="198"/>
    </row>
    <row r="1784" spans="1:31" ht="45.5" customHeight="1">
      <c r="A1784" s="198" t="s">
        <v>5233</v>
      </c>
      <c r="B1784" s="198" t="s">
        <v>5292</v>
      </c>
      <c r="C1784" s="4" t="s">
        <v>23</v>
      </c>
      <c r="D1784" s="198" t="s">
        <v>26</v>
      </c>
      <c r="E1784" s="198" t="s">
        <v>128</v>
      </c>
      <c r="F1784" s="4" t="s">
        <v>73</v>
      </c>
      <c r="G1784" s="198" t="s">
        <v>2272</v>
      </c>
      <c r="H1784" s="198" t="s">
        <v>521</v>
      </c>
      <c r="I1784" s="198"/>
      <c r="J1784" s="198" t="s">
        <v>2272</v>
      </c>
      <c r="K1784" s="198" t="s">
        <v>2272</v>
      </c>
      <c r="L1784" s="198" t="s">
        <v>2272</v>
      </c>
      <c r="M1784" s="198" t="s">
        <v>2272</v>
      </c>
      <c r="N1784" s="198" t="s">
        <v>2272</v>
      </c>
      <c r="O1784" s="198" t="s">
        <v>2272</v>
      </c>
      <c r="P1784" s="198" t="s">
        <v>2272</v>
      </c>
      <c r="Q1784" s="198" t="s">
        <v>2272</v>
      </c>
      <c r="R1784" s="198" t="s">
        <v>2272</v>
      </c>
      <c r="S1784" s="198" t="s">
        <v>2272</v>
      </c>
      <c r="T1784" s="198" t="s">
        <v>2272</v>
      </c>
      <c r="U1784" s="198" t="s">
        <v>2272</v>
      </c>
      <c r="V1784" s="198" t="s">
        <v>2272</v>
      </c>
      <c r="W1784" s="198" t="s">
        <v>2272</v>
      </c>
      <c r="X1784" s="198" t="s">
        <v>2272</v>
      </c>
      <c r="Y1784" s="198" t="s">
        <v>2272</v>
      </c>
      <c r="Z1784" s="198" t="s">
        <v>2272</v>
      </c>
      <c r="AA1784" s="198" t="s">
        <v>2272</v>
      </c>
      <c r="AB1784" s="198" t="s">
        <v>2272</v>
      </c>
      <c r="AC1784" s="198" t="s">
        <v>2272</v>
      </c>
      <c r="AD1784" s="198"/>
      <c r="AE1784" s="198"/>
    </row>
    <row r="1785" spans="1:31" ht="45.5" customHeight="1">
      <c r="A1785" s="198" t="s">
        <v>5233</v>
      </c>
      <c r="B1785" s="198" t="s">
        <v>5293</v>
      </c>
      <c r="C1785" s="198" t="s">
        <v>2453</v>
      </c>
      <c r="D1785" s="198" t="s">
        <v>3471</v>
      </c>
      <c r="E1785" s="198" t="s">
        <v>2272</v>
      </c>
      <c r="F1785" s="4" t="s">
        <v>2272</v>
      </c>
      <c r="G1785" s="4" t="s">
        <v>73</v>
      </c>
      <c r="H1785" s="198" t="s">
        <v>521</v>
      </c>
      <c r="I1785" s="198"/>
      <c r="J1785" s="198" t="s">
        <v>2272</v>
      </c>
      <c r="K1785" s="198" t="s">
        <v>2272</v>
      </c>
      <c r="L1785" s="198" t="s">
        <v>2272</v>
      </c>
      <c r="M1785" s="198" t="s">
        <v>2272</v>
      </c>
      <c r="N1785" s="198" t="s">
        <v>2272</v>
      </c>
      <c r="O1785" s="198" t="s">
        <v>2272</v>
      </c>
      <c r="P1785" s="198" t="s">
        <v>2272</v>
      </c>
      <c r="Q1785" s="198" t="s">
        <v>2272</v>
      </c>
      <c r="R1785" s="198" t="s">
        <v>2272</v>
      </c>
      <c r="S1785" s="198" t="s">
        <v>2272</v>
      </c>
      <c r="T1785" s="198" t="s">
        <v>2272</v>
      </c>
      <c r="U1785" s="198" t="s">
        <v>2272</v>
      </c>
      <c r="V1785" s="198" t="s">
        <v>2272</v>
      </c>
      <c r="W1785" s="198" t="s">
        <v>2272</v>
      </c>
      <c r="X1785" s="198" t="s">
        <v>2272</v>
      </c>
      <c r="Y1785" s="198" t="s">
        <v>2272</v>
      </c>
      <c r="Z1785" s="198" t="s">
        <v>2272</v>
      </c>
      <c r="AA1785" s="198" t="s">
        <v>2272</v>
      </c>
      <c r="AB1785" s="198" t="s">
        <v>2272</v>
      </c>
      <c r="AC1785" s="198" t="s">
        <v>2272</v>
      </c>
      <c r="AD1785" s="198"/>
      <c r="AE1785" s="198"/>
    </row>
    <row r="1786" spans="1:31" ht="45.5" customHeight="1">
      <c r="A1786" s="198" t="s">
        <v>5233</v>
      </c>
      <c r="B1786" s="198" t="s">
        <v>5294</v>
      </c>
      <c r="C1786" s="198" t="s">
        <v>30</v>
      </c>
      <c r="D1786" s="198" t="s">
        <v>2272</v>
      </c>
      <c r="E1786" s="198" t="s">
        <v>1102</v>
      </c>
      <c r="F1786" s="4" t="s">
        <v>2272</v>
      </c>
      <c r="G1786" s="4" t="s">
        <v>73</v>
      </c>
      <c r="H1786" s="198" t="s">
        <v>521</v>
      </c>
      <c r="I1786" s="198"/>
      <c r="J1786" s="198" t="s">
        <v>2272</v>
      </c>
      <c r="K1786" s="198" t="s">
        <v>2272</v>
      </c>
      <c r="L1786" s="198" t="s">
        <v>2272</v>
      </c>
      <c r="M1786" s="198" t="s">
        <v>2272</v>
      </c>
      <c r="N1786" s="198" t="s">
        <v>2272</v>
      </c>
      <c r="O1786" s="198" t="s">
        <v>2272</v>
      </c>
      <c r="P1786" s="198" t="s">
        <v>2272</v>
      </c>
      <c r="Q1786" s="198" t="s">
        <v>2272</v>
      </c>
      <c r="R1786" s="198" t="s">
        <v>2272</v>
      </c>
      <c r="S1786" s="198" t="s">
        <v>2272</v>
      </c>
      <c r="T1786" s="198" t="s">
        <v>2272</v>
      </c>
      <c r="U1786" s="198" t="s">
        <v>2272</v>
      </c>
      <c r="V1786" s="198" t="s">
        <v>2272</v>
      </c>
      <c r="W1786" s="198" t="s">
        <v>2272</v>
      </c>
      <c r="X1786" s="198" t="s">
        <v>2272</v>
      </c>
      <c r="Y1786" s="198" t="s">
        <v>2272</v>
      </c>
      <c r="Z1786" s="198" t="s">
        <v>2272</v>
      </c>
      <c r="AA1786" s="198" t="s">
        <v>2272</v>
      </c>
      <c r="AB1786" s="198" t="s">
        <v>2272</v>
      </c>
      <c r="AC1786" s="198" t="s">
        <v>2272</v>
      </c>
      <c r="AD1786" s="198"/>
      <c r="AE1786" s="198"/>
    </row>
    <row r="1787" spans="1:31" ht="45.5" customHeight="1">
      <c r="A1787" s="198" t="s">
        <v>5233</v>
      </c>
      <c r="B1787" s="198" t="s">
        <v>5295</v>
      </c>
      <c r="C1787" s="198" t="s">
        <v>2453</v>
      </c>
      <c r="D1787" s="198" t="s">
        <v>404</v>
      </c>
      <c r="E1787" s="198" t="s">
        <v>1102</v>
      </c>
      <c r="F1787" s="4" t="s">
        <v>2272</v>
      </c>
      <c r="G1787" s="4" t="s">
        <v>73</v>
      </c>
      <c r="H1787" s="198" t="s">
        <v>521</v>
      </c>
      <c r="I1787" s="198"/>
      <c r="J1787" s="198" t="s">
        <v>2272</v>
      </c>
      <c r="K1787" s="198" t="s">
        <v>2272</v>
      </c>
      <c r="L1787" s="198" t="s">
        <v>2272</v>
      </c>
      <c r="M1787" s="198" t="s">
        <v>2272</v>
      </c>
      <c r="N1787" s="198" t="s">
        <v>2272</v>
      </c>
      <c r="O1787" s="198" t="s">
        <v>2272</v>
      </c>
      <c r="P1787" s="198" t="s">
        <v>2272</v>
      </c>
      <c r="Q1787" s="198" t="s">
        <v>2272</v>
      </c>
      <c r="R1787" s="198" t="s">
        <v>2272</v>
      </c>
      <c r="S1787" s="198" t="s">
        <v>2272</v>
      </c>
      <c r="T1787" s="198" t="s">
        <v>2272</v>
      </c>
      <c r="U1787" s="198" t="s">
        <v>2272</v>
      </c>
      <c r="V1787" s="198" t="s">
        <v>2272</v>
      </c>
      <c r="W1787" s="198" t="s">
        <v>2272</v>
      </c>
      <c r="X1787" s="198" t="s">
        <v>2272</v>
      </c>
      <c r="Y1787" s="198" t="s">
        <v>2272</v>
      </c>
      <c r="Z1787" s="198" t="s">
        <v>2272</v>
      </c>
      <c r="AA1787" s="198" t="s">
        <v>2272</v>
      </c>
      <c r="AB1787" s="198" t="s">
        <v>2272</v>
      </c>
      <c r="AC1787" s="198" t="s">
        <v>2272</v>
      </c>
      <c r="AD1787" s="198"/>
      <c r="AE1787" s="198"/>
    </row>
    <row r="1788" spans="1:31" ht="45.5" customHeight="1">
      <c r="A1788" s="198" t="s">
        <v>5233</v>
      </c>
      <c r="B1788" s="198" t="s">
        <v>5296</v>
      </c>
      <c r="C1788" s="198" t="s">
        <v>2453</v>
      </c>
      <c r="D1788" s="198" t="s">
        <v>2989</v>
      </c>
      <c r="E1788" s="198" t="s">
        <v>1102</v>
      </c>
      <c r="F1788" s="4" t="s">
        <v>2272</v>
      </c>
      <c r="G1788" s="4" t="s">
        <v>73</v>
      </c>
      <c r="H1788" s="198" t="s">
        <v>521</v>
      </c>
      <c r="I1788" s="198"/>
      <c r="J1788" s="198" t="s">
        <v>2272</v>
      </c>
      <c r="K1788" s="198" t="s">
        <v>2272</v>
      </c>
      <c r="L1788" s="198" t="s">
        <v>2272</v>
      </c>
      <c r="M1788" s="198" t="s">
        <v>2272</v>
      </c>
      <c r="N1788" s="198" t="s">
        <v>2272</v>
      </c>
      <c r="O1788" s="198" t="s">
        <v>2272</v>
      </c>
      <c r="P1788" s="198" t="s">
        <v>2272</v>
      </c>
      <c r="Q1788" s="198" t="s">
        <v>2272</v>
      </c>
      <c r="R1788" s="198" t="s">
        <v>2272</v>
      </c>
      <c r="S1788" s="198" t="s">
        <v>2272</v>
      </c>
      <c r="T1788" s="198" t="s">
        <v>2272</v>
      </c>
      <c r="U1788" s="198" t="s">
        <v>2272</v>
      </c>
      <c r="V1788" s="198" t="s">
        <v>2272</v>
      </c>
      <c r="W1788" s="198" t="s">
        <v>2272</v>
      </c>
      <c r="X1788" s="198" t="s">
        <v>2272</v>
      </c>
      <c r="Y1788" s="198" t="s">
        <v>2272</v>
      </c>
      <c r="Z1788" s="198" t="s">
        <v>2272</v>
      </c>
      <c r="AA1788" s="198" t="s">
        <v>2272</v>
      </c>
      <c r="AB1788" s="198" t="s">
        <v>2272</v>
      </c>
      <c r="AC1788" s="198" t="s">
        <v>2272</v>
      </c>
      <c r="AD1788" s="198"/>
      <c r="AE1788" s="198"/>
    </row>
    <row r="1789" spans="1:31" ht="45.5" customHeight="1">
      <c r="A1789" s="198" t="s">
        <v>5234</v>
      </c>
      <c r="B1789" s="198" t="s">
        <v>5297</v>
      </c>
      <c r="C1789" s="4" t="s">
        <v>23</v>
      </c>
      <c r="D1789" s="198" t="s">
        <v>24</v>
      </c>
      <c r="E1789" s="198" t="s">
        <v>5000</v>
      </c>
      <c r="F1789" s="4" t="s">
        <v>73</v>
      </c>
      <c r="G1789" s="4" t="s">
        <v>73</v>
      </c>
      <c r="H1789" s="198" t="s">
        <v>521</v>
      </c>
      <c r="I1789" s="198"/>
      <c r="J1789" s="198" t="s">
        <v>2272</v>
      </c>
      <c r="K1789" s="198" t="s">
        <v>2272</v>
      </c>
      <c r="L1789" s="198" t="s">
        <v>2272</v>
      </c>
      <c r="M1789" s="198" t="s">
        <v>2272</v>
      </c>
      <c r="N1789" s="198" t="s">
        <v>2272</v>
      </c>
      <c r="O1789" s="198" t="s">
        <v>2272</v>
      </c>
      <c r="P1789" s="198" t="s">
        <v>2272</v>
      </c>
      <c r="Q1789" s="198" t="s">
        <v>2272</v>
      </c>
      <c r="R1789" s="198" t="s">
        <v>2272</v>
      </c>
      <c r="S1789" s="198" t="s">
        <v>2272</v>
      </c>
      <c r="T1789" s="198" t="s">
        <v>2272</v>
      </c>
      <c r="U1789" s="198" t="s">
        <v>2272</v>
      </c>
      <c r="V1789" s="198" t="s">
        <v>2272</v>
      </c>
      <c r="W1789" s="198" t="s">
        <v>2272</v>
      </c>
      <c r="X1789" s="198" t="s">
        <v>2272</v>
      </c>
      <c r="Y1789" s="198" t="s">
        <v>2272</v>
      </c>
      <c r="Z1789" s="198" t="s">
        <v>2272</v>
      </c>
      <c r="AA1789" s="198" t="s">
        <v>2272</v>
      </c>
      <c r="AB1789" s="198" t="s">
        <v>2272</v>
      </c>
      <c r="AC1789" s="198" t="s">
        <v>2272</v>
      </c>
      <c r="AD1789" s="198"/>
      <c r="AE1789" s="4" t="s">
        <v>5330</v>
      </c>
    </row>
    <row r="1790" spans="1:31" ht="45.5" customHeight="1">
      <c r="A1790" s="198" t="s">
        <v>5234</v>
      </c>
      <c r="B1790" s="198" t="s">
        <v>5298</v>
      </c>
      <c r="C1790" s="4" t="s">
        <v>23</v>
      </c>
      <c r="D1790" s="198" t="s">
        <v>3475</v>
      </c>
      <c r="E1790" s="198" t="s">
        <v>114</v>
      </c>
      <c r="F1790" s="4" t="s">
        <v>73</v>
      </c>
      <c r="G1790" s="4" t="s">
        <v>73</v>
      </c>
      <c r="H1790" s="198" t="s">
        <v>521</v>
      </c>
      <c r="I1790" s="198"/>
      <c r="J1790" s="198" t="s">
        <v>2272</v>
      </c>
      <c r="K1790" s="198" t="s">
        <v>2272</v>
      </c>
      <c r="L1790" s="198" t="s">
        <v>2272</v>
      </c>
      <c r="M1790" s="198" t="s">
        <v>2272</v>
      </c>
      <c r="N1790" s="198" t="s">
        <v>2272</v>
      </c>
      <c r="O1790" s="198" t="s">
        <v>2272</v>
      </c>
      <c r="P1790" s="198" t="s">
        <v>2272</v>
      </c>
      <c r="Q1790" s="198" t="s">
        <v>2272</v>
      </c>
      <c r="R1790" s="198" t="s">
        <v>2272</v>
      </c>
      <c r="S1790" s="198" t="s">
        <v>2272</v>
      </c>
      <c r="T1790" s="198" t="s">
        <v>2272</v>
      </c>
      <c r="U1790" s="198" t="s">
        <v>2272</v>
      </c>
      <c r="V1790" s="198" t="s">
        <v>2272</v>
      </c>
      <c r="W1790" s="198" t="s">
        <v>2272</v>
      </c>
      <c r="X1790" s="198" t="s">
        <v>2272</v>
      </c>
      <c r="Y1790" s="198" t="s">
        <v>2272</v>
      </c>
      <c r="Z1790" s="198" t="s">
        <v>2272</v>
      </c>
      <c r="AA1790" s="198" t="s">
        <v>2272</v>
      </c>
      <c r="AB1790" s="198" t="s">
        <v>2272</v>
      </c>
      <c r="AC1790" s="198" t="s">
        <v>2272</v>
      </c>
      <c r="AD1790" s="198"/>
      <c r="AE1790" s="198"/>
    </row>
    <row r="1791" spans="1:31" ht="45.5" customHeight="1">
      <c r="A1791" s="198" t="s">
        <v>5234</v>
      </c>
      <c r="B1791" s="198" t="s">
        <v>5299</v>
      </c>
      <c r="C1791" s="4" t="s">
        <v>23</v>
      </c>
      <c r="D1791" s="198" t="s">
        <v>1241</v>
      </c>
      <c r="E1791" s="198" t="s">
        <v>114</v>
      </c>
      <c r="F1791" s="4" t="s">
        <v>73</v>
      </c>
      <c r="G1791" s="4" t="s">
        <v>73</v>
      </c>
      <c r="H1791" s="198" t="s">
        <v>521</v>
      </c>
      <c r="I1791" s="198"/>
      <c r="J1791" s="198" t="s">
        <v>2272</v>
      </c>
      <c r="K1791" s="198" t="s">
        <v>2272</v>
      </c>
      <c r="L1791" s="198" t="s">
        <v>2272</v>
      </c>
      <c r="M1791" s="198" t="s">
        <v>2272</v>
      </c>
      <c r="N1791" s="198" t="s">
        <v>2272</v>
      </c>
      <c r="O1791" s="198" t="s">
        <v>2272</v>
      </c>
      <c r="P1791" s="198" t="s">
        <v>2272</v>
      </c>
      <c r="Q1791" s="198" t="s">
        <v>2272</v>
      </c>
      <c r="R1791" s="198" t="s">
        <v>2272</v>
      </c>
      <c r="S1791" s="198" t="s">
        <v>2272</v>
      </c>
      <c r="T1791" s="198" t="s">
        <v>2272</v>
      </c>
      <c r="U1791" s="198" t="s">
        <v>2272</v>
      </c>
      <c r="V1791" s="198" t="s">
        <v>2272</v>
      </c>
      <c r="W1791" s="198" t="s">
        <v>2272</v>
      </c>
      <c r="X1791" s="198" t="s">
        <v>2272</v>
      </c>
      <c r="Y1791" s="198" t="s">
        <v>2272</v>
      </c>
      <c r="Z1791" s="198" t="s">
        <v>2272</v>
      </c>
      <c r="AA1791" s="198" t="s">
        <v>2272</v>
      </c>
      <c r="AB1791" s="198" t="s">
        <v>2272</v>
      </c>
      <c r="AC1791" s="198" t="s">
        <v>2272</v>
      </c>
      <c r="AD1791" s="198"/>
      <c r="AE1791" s="198"/>
    </row>
    <row r="1792" spans="1:31" ht="45.5" customHeight="1">
      <c r="A1792" s="198" t="s">
        <v>5234</v>
      </c>
      <c r="B1792" s="198" t="s">
        <v>5300</v>
      </c>
      <c r="C1792" s="4" t="s">
        <v>23</v>
      </c>
      <c r="D1792" s="198" t="s">
        <v>4157</v>
      </c>
      <c r="E1792" s="198" t="s">
        <v>860</v>
      </c>
      <c r="F1792" s="4" t="s">
        <v>73</v>
      </c>
      <c r="G1792" s="4" t="s">
        <v>73</v>
      </c>
      <c r="H1792" s="198" t="s">
        <v>521</v>
      </c>
      <c r="I1792" s="198"/>
      <c r="J1792" s="198" t="s">
        <v>2272</v>
      </c>
      <c r="K1792" s="198" t="s">
        <v>2272</v>
      </c>
      <c r="L1792" s="198" t="s">
        <v>2272</v>
      </c>
      <c r="M1792" s="198" t="s">
        <v>2272</v>
      </c>
      <c r="N1792" s="198" t="s">
        <v>2272</v>
      </c>
      <c r="O1792" s="198" t="s">
        <v>2272</v>
      </c>
      <c r="P1792" s="198" t="s">
        <v>2272</v>
      </c>
      <c r="Q1792" s="198" t="s">
        <v>2272</v>
      </c>
      <c r="R1792" s="198" t="s">
        <v>2272</v>
      </c>
      <c r="S1792" s="198" t="s">
        <v>2272</v>
      </c>
      <c r="T1792" s="198" t="s">
        <v>2272</v>
      </c>
      <c r="U1792" s="198" t="s">
        <v>2272</v>
      </c>
      <c r="V1792" s="198" t="s">
        <v>2272</v>
      </c>
      <c r="W1792" s="198" t="s">
        <v>2272</v>
      </c>
      <c r="X1792" s="198" t="s">
        <v>2272</v>
      </c>
      <c r="Y1792" s="198" t="s">
        <v>2272</v>
      </c>
      <c r="Z1792" s="198" t="s">
        <v>2272</v>
      </c>
      <c r="AA1792" s="198" t="s">
        <v>2272</v>
      </c>
      <c r="AB1792" s="198" t="s">
        <v>2272</v>
      </c>
      <c r="AC1792" s="198" t="s">
        <v>2272</v>
      </c>
      <c r="AD1792" s="198"/>
      <c r="AE1792" s="198"/>
    </row>
    <row r="1793" spans="1:31" ht="45.5" customHeight="1">
      <c r="A1793" s="198" t="s">
        <v>5234</v>
      </c>
      <c r="B1793" s="198" t="s">
        <v>5301</v>
      </c>
      <c r="C1793" s="4" t="s">
        <v>23</v>
      </c>
      <c r="D1793" s="198" t="s">
        <v>2342</v>
      </c>
      <c r="E1793" s="198" t="s">
        <v>2272</v>
      </c>
      <c r="F1793" s="4" t="s">
        <v>2272</v>
      </c>
      <c r="G1793" s="4" t="s">
        <v>73</v>
      </c>
      <c r="H1793" s="198" t="s">
        <v>521</v>
      </c>
      <c r="I1793" s="198"/>
      <c r="J1793" s="198" t="s">
        <v>2272</v>
      </c>
      <c r="K1793" s="198" t="s">
        <v>2272</v>
      </c>
      <c r="L1793" s="198" t="s">
        <v>2272</v>
      </c>
      <c r="M1793" s="198" t="s">
        <v>2272</v>
      </c>
      <c r="N1793" s="198" t="s">
        <v>2272</v>
      </c>
      <c r="O1793" s="198" t="s">
        <v>2272</v>
      </c>
      <c r="P1793" s="198" t="s">
        <v>2272</v>
      </c>
      <c r="Q1793" s="198" t="s">
        <v>2272</v>
      </c>
      <c r="R1793" s="198" t="s">
        <v>2272</v>
      </c>
      <c r="S1793" s="198" t="s">
        <v>2272</v>
      </c>
      <c r="T1793" s="198" t="s">
        <v>2272</v>
      </c>
      <c r="U1793" s="198" t="s">
        <v>2272</v>
      </c>
      <c r="V1793" s="198" t="s">
        <v>2272</v>
      </c>
      <c r="W1793" s="198" t="s">
        <v>2272</v>
      </c>
      <c r="X1793" s="198" t="s">
        <v>2272</v>
      </c>
      <c r="Y1793" s="198" t="s">
        <v>2272</v>
      </c>
      <c r="Z1793" s="198" t="s">
        <v>2272</v>
      </c>
      <c r="AA1793" s="198" t="s">
        <v>2272</v>
      </c>
      <c r="AB1793" s="198" t="s">
        <v>2272</v>
      </c>
      <c r="AC1793" s="198" t="s">
        <v>2272</v>
      </c>
      <c r="AD1793" s="198"/>
      <c r="AE1793" s="198"/>
    </row>
    <row r="1794" spans="1:31" ht="45.5" customHeight="1">
      <c r="A1794" s="198" t="s">
        <v>5234</v>
      </c>
      <c r="B1794" s="198" t="s">
        <v>5302</v>
      </c>
      <c r="C1794" s="4" t="s">
        <v>23</v>
      </c>
      <c r="D1794" s="198" t="s">
        <v>26</v>
      </c>
      <c r="E1794" s="198" t="s">
        <v>128</v>
      </c>
      <c r="F1794" s="4" t="s">
        <v>73</v>
      </c>
      <c r="G1794" s="198" t="s">
        <v>2272</v>
      </c>
      <c r="H1794" s="198" t="s">
        <v>521</v>
      </c>
      <c r="I1794" s="198"/>
      <c r="J1794" s="198" t="s">
        <v>2272</v>
      </c>
      <c r="K1794" s="198" t="s">
        <v>2272</v>
      </c>
      <c r="L1794" s="198" t="s">
        <v>2272</v>
      </c>
      <c r="M1794" s="198" t="s">
        <v>2272</v>
      </c>
      <c r="N1794" s="198" t="s">
        <v>2272</v>
      </c>
      <c r="O1794" s="198" t="s">
        <v>2272</v>
      </c>
      <c r="P1794" s="198" t="s">
        <v>2272</v>
      </c>
      <c r="Q1794" s="198" t="s">
        <v>2272</v>
      </c>
      <c r="R1794" s="198" t="s">
        <v>2272</v>
      </c>
      <c r="S1794" s="198" t="s">
        <v>2272</v>
      </c>
      <c r="T1794" s="198" t="s">
        <v>2272</v>
      </c>
      <c r="U1794" s="198" t="s">
        <v>2272</v>
      </c>
      <c r="V1794" s="198" t="s">
        <v>2272</v>
      </c>
      <c r="W1794" s="198" t="s">
        <v>2272</v>
      </c>
      <c r="X1794" s="198" t="s">
        <v>2272</v>
      </c>
      <c r="Y1794" s="198" t="s">
        <v>2272</v>
      </c>
      <c r="Z1794" s="198" t="s">
        <v>2272</v>
      </c>
      <c r="AA1794" s="198" t="s">
        <v>2272</v>
      </c>
      <c r="AB1794" s="198" t="s">
        <v>2272</v>
      </c>
      <c r="AC1794" s="198" t="s">
        <v>2272</v>
      </c>
      <c r="AD1794" s="198"/>
      <c r="AE1794" s="198"/>
    </row>
    <row r="1795" spans="1:31" ht="45.5" customHeight="1">
      <c r="A1795" s="198" t="s">
        <v>5234</v>
      </c>
      <c r="B1795" s="198" t="s">
        <v>5303</v>
      </c>
      <c r="C1795" s="198" t="s">
        <v>2453</v>
      </c>
      <c r="D1795" s="198" t="s">
        <v>3471</v>
      </c>
      <c r="E1795" s="198" t="s">
        <v>2272</v>
      </c>
      <c r="F1795" s="4" t="s">
        <v>2272</v>
      </c>
      <c r="G1795" s="4" t="s">
        <v>73</v>
      </c>
      <c r="H1795" s="198" t="s">
        <v>521</v>
      </c>
      <c r="I1795" s="198"/>
      <c r="J1795" s="198" t="s">
        <v>2272</v>
      </c>
      <c r="K1795" s="198" t="s">
        <v>2272</v>
      </c>
      <c r="L1795" s="198" t="s">
        <v>2272</v>
      </c>
      <c r="M1795" s="198" t="s">
        <v>2272</v>
      </c>
      <c r="N1795" s="198" t="s">
        <v>2272</v>
      </c>
      <c r="O1795" s="198" t="s">
        <v>2272</v>
      </c>
      <c r="P1795" s="198" t="s">
        <v>2272</v>
      </c>
      <c r="Q1795" s="198" t="s">
        <v>2272</v>
      </c>
      <c r="R1795" s="198" t="s">
        <v>2272</v>
      </c>
      <c r="S1795" s="198" t="s">
        <v>2272</v>
      </c>
      <c r="T1795" s="198" t="s">
        <v>2272</v>
      </c>
      <c r="U1795" s="198" t="s">
        <v>2272</v>
      </c>
      <c r="V1795" s="198" t="s">
        <v>2272</v>
      </c>
      <c r="W1795" s="198" t="s">
        <v>2272</v>
      </c>
      <c r="X1795" s="198" t="s">
        <v>2272</v>
      </c>
      <c r="Y1795" s="198" t="s">
        <v>2272</v>
      </c>
      <c r="Z1795" s="198" t="s">
        <v>2272</v>
      </c>
      <c r="AA1795" s="198" t="s">
        <v>2272</v>
      </c>
      <c r="AB1795" s="198" t="s">
        <v>2272</v>
      </c>
      <c r="AC1795" s="198" t="s">
        <v>2272</v>
      </c>
      <c r="AD1795" s="198"/>
      <c r="AE1795" s="198"/>
    </row>
    <row r="1796" spans="1:31" ht="45.5" customHeight="1">
      <c r="A1796" s="198" t="s">
        <v>5234</v>
      </c>
      <c r="B1796" s="198" t="s">
        <v>5304</v>
      </c>
      <c r="C1796" s="198" t="s">
        <v>30</v>
      </c>
      <c r="D1796" s="198" t="s">
        <v>2272</v>
      </c>
      <c r="E1796" s="198" t="s">
        <v>1102</v>
      </c>
      <c r="F1796" s="4" t="s">
        <v>2272</v>
      </c>
      <c r="G1796" s="4" t="s">
        <v>73</v>
      </c>
      <c r="H1796" s="198" t="s">
        <v>521</v>
      </c>
      <c r="I1796" s="198"/>
      <c r="J1796" s="198" t="s">
        <v>2272</v>
      </c>
      <c r="K1796" s="198" t="s">
        <v>2272</v>
      </c>
      <c r="L1796" s="198" t="s">
        <v>2272</v>
      </c>
      <c r="M1796" s="198" t="s">
        <v>2272</v>
      </c>
      <c r="N1796" s="198" t="s">
        <v>2272</v>
      </c>
      <c r="O1796" s="198" t="s">
        <v>2272</v>
      </c>
      <c r="P1796" s="198" t="s">
        <v>2272</v>
      </c>
      <c r="Q1796" s="198" t="s">
        <v>2272</v>
      </c>
      <c r="R1796" s="198" t="s">
        <v>2272</v>
      </c>
      <c r="S1796" s="198" t="s">
        <v>2272</v>
      </c>
      <c r="T1796" s="198" t="s">
        <v>2272</v>
      </c>
      <c r="U1796" s="198" t="s">
        <v>2272</v>
      </c>
      <c r="V1796" s="198" t="s">
        <v>2272</v>
      </c>
      <c r="W1796" s="198" t="s">
        <v>2272</v>
      </c>
      <c r="X1796" s="198" t="s">
        <v>2272</v>
      </c>
      <c r="Y1796" s="198" t="s">
        <v>2272</v>
      </c>
      <c r="Z1796" s="198" t="s">
        <v>2272</v>
      </c>
      <c r="AA1796" s="198" t="s">
        <v>2272</v>
      </c>
      <c r="AB1796" s="198" t="s">
        <v>2272</v>
      </c>
      <c r="AC1796" s="198" t="s">
        <v>2272</v>
      </c>
      <c r="AD1796" s="198"/>
      <c r="AE1796" s="198"/>
    </row>
    <row r="1797" spans="1:31" ht="45.5" customHeight="1">
      <c r="A1797" s="198" t="s">
        <v>5234</v>
      </c>
      <c r="B1797" s="198" t="s">
        <v>5305</v>
      </c>
      <c r="C1797" s="198" t="s">
        <v>2453</v>
      </c>
      <c r="D1797" s="198" t="s">
        <v>404</v>
      </c>
      <c r="E1797" s="198" t="s">
        <v>1102</v>
      </c>
      <c r="F1797" s="4" t="s">
        <v>2272</v>
      </c>
      <c r="G1797" s="4" t="s">
        <v>73</v>
      </c>
      <c r="H1797" s="198" t="s">
        <v>521</v>
      </c>
      <c r="I1797" s="198"/>
      <c r="J1797" s="198" t="s">
        <v>2272</v>
      </c>
      <c r="K1797" s="198" t="s">
        <v>2272</v>
      </c>
      <c r="L1797" s="198" t="s">
        <v>2272</v>
      </c>
      <c r="M1797" s="198" t="s">
        <v>2272</v>
      </c>
      <c r="N1797" s="198" t="s">
        <v>2272</v>
      </c>
      <c r="O1797" s="198" t="s">
        <v>2272</v>
      </c>
      <c r="P1797" s="198" t="s">
        <v>2272</v>
      </c>
      <c r="Q1797" s="198" t="s">
        <v>2272</v>
      </c>
      <c r="R1797" s="198" t="s">
        <v>2272</v>
      </c>
      <c r="S1797" s="198" t="s">
        <v>2272</v>
      </c>
      <c r="T1797" s="198" t="s">
        <v>2272</v>
      </c>
      <c r="U1797" s="198" t="s">
        <v>2272</v>
      </c>
      <c r="V1797" s="198" t="s">
        <v>2272</v>
      </c>
      <c r="W1797" s="198" t="s">
        <v>2272</v>
      </c>
      <c r="X1797" s="198" t="s">
        <v>2272</v>
      </c>
      <c r="Y1797" s="198" t="s">
        <v>2272</v>
      </c>
      <c r="Z1797" s="198" t="s">
        <v>2272</v>
      </c>
      <c r="AA1797" s="198" t="s">
        <v>2272</v>
      </c>
      <c r="AB1797" s="198" t="s">
        <v>2272</v>
      </c>
      <c r="AC1797" s="198" t="s">
        <v>2272</v>
      </c>
      <c r="AD1797" s="198"/>
      <c r="AE1797" s="198"/>
    </row>
    <row r="1798" spans="1:31" ht="45.5" customHeight="1">
      <c r="A1798" s="198" t="s">
        <v>5234</v>
      </c>
      <c r="B1798" s="198" t="s">
        <v>5306</v>
      </c>
      <c r="C1798" s="198" t="s">
        <v>2453</v>
      </c>
      <c r="D1798" s="198" t="s">
        <v>2989</v>
      </c>
      <c r="E1798" s="198" t="s">
        <v>1102</v>
      </c>
      <c r="F1798" s="4" t="s">
        <v>2272</v>
      </c>
      <c r="G1798" s="4" t="s">
        <v>73</v>
      </c>
      <c r="H1798" s="198" t="s">
        <v>521</v>
      </c>
      <c r="I1798" s="198"/>
      <c r="J1798" s="198" t="s">
        <v>2272</v>
      </c>
      <c r="K1798" s="198" t="s">
        <v>2272</v>
      </c>
      <c r="L1798" s="198" t="s">
        <v>2272</v>
      </c>
      <c r="M1798" s="198" t="s">
        <v>2272</v>
      </c>
      <c r="N1798" s="198" t="s">
        <v>2272</v>
      </c>
      <c r="O1798" s="198" t="s">
        <v>2272</v>
      </c>
      <c r="P1798" s="198" t="s">
        <v>2272</v>
      </c>
      <c r="Q1798" s="198" t="s">
        <v>2272</v>
      </c>
      <c r="R1798" s="198" t="s">
        <v>2272</v>
      </c>
      <c r="S1798" s="198" t="s">
        <v>2272</v>
      </c>
      <c r="T1798" s="198" t="s">
        <v>2272</v>
      </c>
      <c r="U1798" s="198" t="s">
        <v>2272</v>
      </c>
      <c r="V1798" s="198" t="s">
        <v>2272</v>
      </c>
      <c r="W1798" s="198" t="s">
        <v>2272</v>
      </c>
      <c r="X1798" s="198" t="s">
        <v>2272</v>
      </c>
      <c r="Y1798" s="198" t="s">
        <v>2272</v>
      </c>
      <c r="Z1798" s="198" t="s">
        <v>2272</v>
      </c>
      <c r="AA1798" s="198" t="s">
        <v>2272</v>
      </c>
      <c r="AB1798" s="198" t="s">
        <v>2272</v>
      </c>
      <c r="AC1798" s="198" t="s">
        <v>2272</v>
      </c>
      <c r="AD1798" s="198"/>
      <c r="AE1798" s="198"/>
    </row>
    <row r="1799" spans="1:31" ht="45.5" customHeight="1">
      <c r="A1799" s="198" t="s">
        <v>5235</v>
      </c>
      <c r="B1799" s="198" t="s">
        <v>5307</v>
      </c>
      <c r="C1799" s="4" t="s">
        <v>23</v>
      </c>
      <c r="D1799" s="198" t="s">
        <v>24</v>
      </c>
      <c r="E1799" s="198" t="s">
        <v>5000</v>
      </c>
      <c r="F1799" s="4" t="s">
        <v>73</v>
      </c>
      <c r="G1799" s="4" t="s">
        <v>73</v>
      </c>
      <c r="H1799" s="198" t="s">
        <v>521</v>
      </c>
      <c r="I1799" s="198"/>
      <c r="J1799" s="198" t="s">
        <v>2272</v>
      </c>
      <c r="K1799" s="198" t="s">
        <v>2272</v>
      </c>
      <c r="L1799" s="198" t="s">
        <v>2272</v>
      </c>
      <c r="M1799" s="198" t="s">
        <v>2272</v>
      </c>
      <c r="N1799" s="198" t="s">
        <v>2272</v>
      </c>
      <c r="O1799" s="198" t="s">
        <v>2272</v>
      </c>
      <c r="P1799" s="198" t="s">
        <v>2272</v>
      </c>
      <c r="Q1799" s="198" t="s">
        <v>2272</v>
      </c>
      <c r="R1799" s="198" t="s">
        <v>2272</v>
      </c>
      <c r="S1799" s="198" t="s">
        <v>2272</v>
      </c>
      <c r="T1799" s="198" t="s">
        <v>2272</v>
      </c>
      <c r="U1799" s="198" t="s">
        <v>2272</v>
      </c>
      <c r="V1799" s="198" t="s">
        <v>2272</v>
      </c>
      <c r="W1799" s="198" t="s">
        <v>2272</v>
      </c>
      <c r="X1799" s="198" t="s">
        <v>2272</v>
      </c>
      <c r="Y1799" s="198" t="s">
        <v>2272</v>
      </c>
      <c r="Z1799" s="198" t="s">
        <v>2272</v>
      </c>
      <c r="AA1799" s="198" t="s">
        <v>2272</v>
      </c>
      <c r="AB1799" s="198" t="s">
        <v>2272</v>
      </c>
      <c r="AC1799" s="198" t="s">
        <v>2272</v>
      </c>
      <c r="AD1799" s="198"/>
      <c r="AE1799" s="4" t="s">
        <v>5330</v>
      </c>
    </row>
    <row r="1800" spans="1:31" ht="45.5" customHeight="1">
      <c r="A1800" s="198" t="s">
        <v>5235</v>
      </c>
      <c r="B1800" s="198" t="s">
        <v>5308</v>
      </c>
      <c r="C1800" s="4" t="s">
        <v>23</v>
      </c>
      <c r="D1800" s="198" t="s">
        <v>3475</v>
      </c>
      <c r="E1800" s="198" t="s">
        <v>114</v>
      </c>
      <c r="F1800" s="4" t="s">
        <v>73</v>
      </c>
      <c r="G1800" s="4" t="s">
        <v>73</v>
      </c>
      <c r="H1800" s="198" t="s">
        <v>521</v>
      </c>
      <c r="I1800" s="198"/>
      <c r="J1800" s="198" t="s">
        <v>2272</v>
      </c>
      <c r="K1800" s="198" t="s">
        <v>2272</v>
      </c>
      <c r="L1800" s="198" t="s">
        <v>2272</v>
      </c>
      <c r="M1800" s="198" t="s">
        <v>2272</v>
      </c>
      <c r="N1800" s="198" t="s">
        <v>2272</v>
      </c>
      <c r="O1800" s="198" t="s">
        <v>2272</v>
      </c>
      <c r="P1800" s="198" t="s">
        <v>2272</v>
      </c>
      <c r="Q1800" s="198" t="s">
        <v>2272</v>
      </c>
      <c r="R1800" s="198" t="s">
        <v>2272</v>
      </c>
      <c r="S1800" s="198" t="s">
        <v>2272</v>
      </c>
      <c r="T1800" s="198" t="s">
        <v>2272</v>
      </c>
      <c r="U1800" s="198" t="s">
        <v>2272</v>
      </c>
      <c r="V1800" s="198" t="s">
        <v>2272</v>
      </c>
      <c r="W1800" s="198" t="s">
        <v>2272</v>
      </c>
      <c r="X1800" s="198" t="s">
        <v>2272</v>
      </c>
      <c r="Y1800" s="198" t="s">
        <v>2272</v>
      </c>
      <c r="Z1800" s="198" t="s">
        <v>2272</v>
      </c>
      <c r="AA1800" s="198" t="s">
        <v>2272</v>
      </c>
      <c r="AB1800" s="198" t="s">
        <v>2272</v>
      </c>
      <c r="AC1800" s="198" t="s">
        <v>2272</v>
      </c>
      <c r="AD1800" s="198"/>
      <c r="AE1800" s="198"/>
    </row>
    <row r="1801" spans="1:31" ht="45.5" customHeight="1">
      <c r="A1801" s="198" t="s">
        <v>5235</v>
      </c>
      <c r="B1801" s="198" t="s">
        <v>5309</v>
      </c>
      <c r="C1801" s="4" t="s">
        <v>23</v>
      </c>
      <c r="D1801" s="198" t="s">
        <v>1241</v>
      </c>
      <c r="E1801" s="198" t="s">
        <v>114</v>
      </c>
      <c r="F1801" s="4" t="s">
        <v>73</v>
      </c>
      <c r="G1801" s="4" t="s">
        <v>73</v>
      </c>
      <c r="H1801" s="198" t="s">
        <v>521</v>
      </c>
      <c r="I1801" s="198"/>
      <c r="J1801" s="198" t="s">
        <v>2272</v>
      </c>
      <c r="K1801" s="198" t="s">
        <v>2272</v>
      </c>
      <c r="L1801" s="198" t="s">
        <v>2272</v>
      </c>
      <c r="M1801" s="198" t="s">
        <v>2272</v>
      </c>
      <c r="N1801" s="198" t="s">
        <v>2272</v>
      </c>
      <c r="O1801" s="198" t="s">
        <v>2272</v>
      </c>
      <c r="P1801" s="198" t="s">
        <v>2272</v>
      </c>
      <c r="Q1801" s="198" t="s">
        <v>2272</v>
      </c>
      <c r="R1801" s="198" t="s">
        <v>2272</v>
      </c>
      <c r="S1801" s="198" t="s">
        <v>2272</v>
      </c>
      <c r="T1801" s="198" t="s">
        <v>2272</v>
      </c>
      <c r="U1801" s="198" t="s">
        <v>2272</v>
      </c>
      <c r="V1801" s="198" t="s">
        <v>2272</v>
      </c>
      <c r="W1801" s="198" t="s">
        <v>2272</v>
      </c>
      <c r="X1801" s="198" t="s">
        <v>2272</v>
      </c>
      <c r="Y1801" s="198" t="s">
        <v>2272</v>
      </c>
      <c r="Z1801" s="198" t="s">
        <v>2272</v>
      </c>
      <c r="AA1801" s="198" t="s">
        <v>2272</v>
      </c>
      <c r="AB1801" s="198" t="s">
        <v>2272</v>
      </c>
      <c r="AC1801" s="198" t="s">
        <v>2272</v>
      </c>
      <c r="AD1801" s="198"/>
      <c r="AE1801" s="198"/>
    </row>
    <row r="1802" spans="1:31" ht="45.5" customHeight="1">
      <c r="A1802" s="198" t="s">
        <v>5235</v>
      </c>
      <c r="B1802" s="198" t="s">
        <v>5310</v>
      </c>
      <c r="C1802" s="4" t="s">
        <v>23</v>
      </c>
      <c r="D1802" s="198" t="s">
        <v>4157</v>
      </c>
      <c r="E1802" s="198" t="s">
        <v>860</v>
      </c>
      <c r="F1802" s="4" t="s">
        <v>73</v>
      </c>
      <c r="G1802" s="4" t="s">
        <v>73</v>
      </c>
      <c r="H1802" s="198" t="s">
        <v>521</v>
      </c>
      <c r="I1802" s="198"/>
      <c r="J1802" s="198" t="s">
        <v>2272</v>
      </c>
      <c r="K1802" s="198" t="s">
        <v>2272</v>
      </c>
      <c r="L1802" s="198" t="s">
        <v>2272</v>
      </c>
      <c r="M1802" s="198" t="s">
        <v>2272</v>
      </c>
      <c r="N1802" s="198" t="s">
        <v>2272</v>
      </c>
      <c r="O1802" s="198" t="s">
        <v>2272</v>
      </c>
      <c r="P1802" s="198" t="s">
        <v>2272</v>
      </c>
      <c r="Q1802" s="198" t="s">
        <v>2272</v>
      </c>
      <c r="R1802" s="198" t="s">
        <v>2272</v>
      </c>
      <c r="S1802" s="198" t="s">
        <v>2272</v>
      </c>
      <c r="T1802" s="198" t="s">
        <v>2272</v>
      </c>
      <c r="U1802" s="198" t="s">
        <v>2272</v>
      </c>
      <c r="V1802" s="198" t="s">
        <v>2272</v>
      </c>
      <c r="W1802" s="198" t="s">
        <v>2272</v>
      </c>
      <c r="X1802" s="198" t="s">
        <v>2272</v>
      </c>
      <c r="Y1802" s="198" t="s">
        <v>2272</v>
      </c>
      <c r="Z1802" s="198" t="s">
        <v>2272</v>
      </c>
      <c r="AA1802" s="198" t="s">
        <v>2272</v>
      </c>
      <c r="AB1802" s="198" t="s">
        <v>2272</v>
      </c>
      <c r="AC1802" s="198" t="s">
        <v>2272</v>
      </c>
      <c r="AD1802" s="198"/>
      <c r="AE1802" s="198"/>
    </row>
    <row r="1803" spans="1:31" ht="45.5" customHeight="1">
      <c r="A1803" s="198" t="s">
        <v>5235</v>
      </c>
      <c r="B1803" s="198" t="s">
        <v>5311</v>
      </c>
      <c r="C1803" s="4" t="s">
        <v>23</v>
      </c>
      <c r="D1803" s="198" t="s">
        <v>2342</v>
      </c>
      <c r="E1803" s="198" t="s">
        <v>2272</v>
      </c>
      <c r="F1803" s="4" t="s">
        <v>2272</v>
      </c>
      <c r="G1803" s="4" t="s">
        <v>73</v>
      </c>
      <c r="H1803" s="198" t="s">
        <v>521</v>
      </c>
      <c r="I1803" s="198"/>
      <c r="J1803" s="198" t="s">
        <v>2272</v>
      </c>
      <c r="K1803" s="198" t="s">
        <v>2272</v>
      </c>
      <c r="L1803" s="198" t="s">
        <v>2272</v>
      </c>
      <c r="M1803" s="198" t="s">
        <v>2272</v>
      </c>
      <c r="N1803" s="198" t="s">
        <v>2272</v>
      </c>
      <c r="O1803" s="198" t="s">
        <v>2272</v>
      </c>
      <c r="P1803" s="198" t="s">
        <v>2272</v>
      </c>
      <c r="Q1803" s="198" t="s">
        <v>2272</v>
      </c>
      <c r="R1803" s="198" t="s">
        <v>2272</v>
      </c>
      <c r="S1803" s="198" t="s">
        <v>2272</v>
      </c>
      <c r="T1803" s="198" t="s">
        <v>2272</v>
      </c>
      <c r="U1803" s="198" t="s">
        <v>2272</v>
      </c>
      <c r="V1803" s="198" t="s">
        <v>2272</v>
      </c>
      <c r="W1803" s="198" t="s">
        <v>2272</v>
      </c>
      <c r="X1803" s="198" t="s">
        <v>2272</v>
      </c>
      <c r="Y1803" s="198" t="s">
        <v>2272</v>
      </c>
      <c r="Z1803" s="198" t="s">
        <v>2272</v>
      </c>
      <c r="AA1803" s="198" t="s">
        <v>2272</v>
      </c>
      <c r="AB1803" s="198" t="s">
        <v>2272</v>
      </c>
      <c r="AC1803" s="198" t="s">
        <v>2272</v>
      </c>
      <c r="AD1803" s="198"/>
      <c r="AE1803" s="198"/>
    </row>
    <row r="1804" spans="1:31" ht="45.5" customHeight="1">
      <c r="A1804" s="198" t="s">
        <v>5235</v>
      </c>
      <c r="B1804" s="198" t="s">
        <v>5312</v>
      </c>
      <c r="C1804" s="4" t="s">
        <v>23</v>
      </c>
      <c r="D1804" s="198" t="s">
        <v>26</v>
      </c>
      <c r="E1804" s="198" t="s">
        <v>128</v>
      </c>
      <c r="F1804" s="4" t="s">
        <v>73</v>
      </c>
      <c r="G1804" s="198" t="s">
        <v>2272</v>
      </c>
      <c r="H1804" s="198" t="s">
        <v>521</v>
      </c>
      <c r="I1804" s="198"/>
      <c r="J1804" s="198" t="s">
        <v>2272</v>
      </c>
      <c r="K1804" s="198" t="s">
        <v>2272</v>
      </c>
      <c r="L1804" s="198" t="s">
        <v>2272</v>
      </c>
      <c r="M1804" s="198" t="s">
        <v>2272</v>
      </c>
      <c r="N1804" s="198" t="s">
        <v>2272</v>
      </c>
      <c r="O1804" s="198" t="s">
        <v>2272</v>
      </c>
      <c r="P1804" s="198" t="s">
        <v>2272</v>
      </c>
      <c r="Q1804" s="198" t="s">
        <v>2272</v>
      </c>
      <c r="R1804" s="198" t="s">
        <v>2272</v>
      </c>
      <c r="S1804" s="198" t="s">
        <v>2272</v>
      </c>
      <c r="T1804" s="198" t="s">
        <v>2272</v>
      </c>
      <c r="U1804" s="198" t="s">
        <v>2272</v>
      </c>
      <c r="V1804" s="198" t="s">
        <v>2272</v>
      </c>
      <c r="W1804" s="198" t="s">
        <v>2272</v>
      </c>
      <c r="X1804" s="198" t="s">
        <v>2272</v>
      </c>
      <c r="Y1804" s="198" t="s">
        <v>2272</v>
      </c>
      <c r="Z1804" s="198" t="s">
        <v>2272</v>
      </c>
      <c r="AA1804" s="198" t="s">
        <v>2272</v>
      </c>
      <c r="AB1804" s="198" t="s">
        <v>2272</v>
      </c>
      <c r="AC1804" s="198" t="s">
        <v>2272</v>
      </c>
      <c r="AD1804" s="198"/>
      <c r="AE1804" s="198"/>
    </row>
    <row r="1805" spans="1:31" ht="45.5" customHeight="1">
      <c r="A1805" s="198" t="s">
        <v>5235</v>
      </c>
      <c r="B1805" s="198" t="s">
        <v>5313</v>
      </c>
      <c r="C1805" s="198" t="s">
        <v>2453</v>
      </c>
      <c r="D1805" s="198" t="s">
        <v>3471</v>
      </c>
      <c r="E1805" s="198" t="s">
        <v>2272</v>
      </c>
      <c r="F1805" s="4" t="s">
        <v>2272</v>
      </c>
      <c r="G1805" s="4" t="s">
        <v>73</v>
      </c>
      <c r="H1805" s="198" t="s">
        <v>521</v>
      </c>
      <c r="I1805" s="198"/>
      <c r="J1805" s="198" t="s">
        <v>2272</v>
      </c>
      <c r="K1805" s="198" t="s">
        <v>2272</v>
      </c>
      <c r="L1805" s="198" t="s">
        <v>2272</v>
      </c>
      <c r="M1805" s="198" t="s">
        <v>2272</v>
      </c>
      <c r="N1805" s="198" t="s">
        <v>2272</v>
      </c>
      <c r="O1805" s="198" t="s">
        <v>2272</v>
      </c>
      <c r="P1805" s="198" t="s">
        <v>2272</v>
      </c>
      <c r="Q1805" s="198" t="s">
        <v>2272</v>
      </c>
      <c r="R1805" s="198" t="s">
        <v>2272</v>
      </c>
      <c r="S1805" s="198" t="s">
        <v>2272</v>
      </c>
      <c r="T1805" s="198" t="s">
        <v>2272</v>
      </c>
      <c r="U1805" s="198" t="s">
        <v>2272</v>
      </c>
      <c r="V1805" s="198" t="s">
        <v>2272</v>
      </c>
      <c r="W1805" s="198" t="s">
        <v>2272</v>
      </c>
      <c r="X1805" s="198" t="s">
        <v>2272</v>
      </c>
      <c r="Y1805" s="198" t="s">
        <v>2272</v>
      </c>
      <c r="Z1805" s="198" t="s">
        <v>2272</v>
      </c>
      <c r="AA1805" s="198" t="s">
        <v>2272</v>
      </c>
      <c r="AB1805" s="198" t="s">
        <v>2272</v>
      </c>
      <c r="AC1805" s="198" t="s">
        <v>2272</v>
      </c>
      <c r="AD1805" s="198"/>
      <c r="AE1805" s="198"/>
    </row>
    <row r="1806" spans="1:31" ht="45.5" customHeight="1">
      <c r="A1806" s="198" t="s">
        <v>5235</v>
      </c>
      <c r="B1806" s="198" t="s">
        <v>5314</v>
      </c>
      <c r="C1806" s="198" t="s">
        <v>30</v>
      </c>
      <c r="D1806" s="198" t="s">
        <v>2272</v>
      </c>
      <c r="E1806" s="198" t="s">
        <v>1102</v>
      </c>
      <c r="F1806" s="4" t="s">
        <v>2272</v>
      </c>
      <c r="G1806" s="4" t="s">
        <v>73</v>
      </c>
      <c r="H1806" s="198" t="s">
        <v>521</v>
      </c>
      <c r="I1806" s="198"/>
      <c r="J1806" s="198" t="s">
        <v>2272</v>
      </c>
      <c r="K1806" s="198" t="s">
        <v>2272</v>
      </c>
      <c r="L1806" s="198" t="s">
        <v>2272</v>
      </c>
      <c r="M1806" s="198" t="s">
        <v>2272</v>
      </c>
      <c r="N1806" s="198" t="s">
        <v>2272</v>
      </c>
      <c r="O1806" s="198" t="s">
        <v>2272</v>
      </c>
      <c r="P1806" s="198" t="s">
        <v>2272</v>
      </c>
      <c r="Q1806" s="198" t="s">
        <v>2272</v>
      </c>
      <c r="R1806" s="198" t="s">
        <v>2272</v>
      </c>
      <c r="S1806" s="198" t="s">
        <v>2272</v>
      </c>
      <c r="T1806" s="198" t="s">
        <v>2272</v>
      </c>
      <c r="U1806" s="198" t="s">
        <v>2272</v>
      </c>
      <c r="V1806" s="198" t="s">
        <v>2272</v>
      </c>
      <c r="W1806" s="198" t="s">
        <v>2272</v>
      </c>
      <c r="X1806" s="198" t="s">
        <v>2272</v>
      </c>
      <c r="Y1806" s="198" t="s">
        <v>2272</v>
      </c>
      <c r="Z1806" s="198" t="s">
        <v>2272</v>
      </c>
      <c r="AA1806" s="198" t="s">
        <v>2272</v>
      </c>
      <c r="AB1806" s="198" t="s">
        <v>2272</v>
      </c>
      <c r="AC1806" s="198" t="s">
        <v>2272</v>
      </c>
      <c r="AD1806" s="198"/>
      <c r="AE1806" s="198"/>
    </row>
    <row r="1807" spans="1:31" ht="45.5" customHeight="1">
      <c r="A1807" s="198" t="s">
        <v>5235</v>
      </c>
      <c r="B1807" s="198" t="s">
        <v>5315</v>
      </c>
      <c r="C1807" s="198" t="s">
        <v>2453</v>
      </c>
      <c r="D1807" s="198" t="s">
        <v>404</v>
      </c>
      <c r="E1807" s="198" t="s">
        <v>1102</v>
      </c>
      <c r="F1807" s="4" t="s">
        <v>2272</v>
      </c>
      <c r="G1807" s="4" t="s">
        <v>73</v>
      </c>
      <c r="H1807" s="198" t="s">
        <v>521</v>
      </c>
      <c r="I1807" s="198"/>
      <c r="J1807" s="198" t="s">
        <v>2272</v>
      </c>
      <c r="K1807" s="198" t="s">
        <v>2272</v>
      </c>
      <c r="L1807" s="198" t="s">
        <v>2272</v>
      </c>
      <c r="M1807" s="198" t="s">
        <v>2272</v>
      </c>
      <c r="N1807" s="198" t="s">
        <v>2272</v>
      </c>
      <c r="O1807" s="198" t="s">
        <v>2272</v>
      </c>
      <c r="P1807" s="198" t="s">
        <v>2272</v>
      </c>
      <c r="Q1807" s="198" t="s">
        <v>2272</v>
      </c>
      <c r="R1807" s="198" t="s">
        <v>2272</v>
      </c>
      <c r="S1807" s="198" t="s">
        <v>2272</v>
      </c>
      <c r="T1807" s="198" t="s">
        <v>2272</v>
      </c>
      <c r="U1807" s="198" t="s">
        <v>2272</v>
      </c>
      <c r="V1807" s="198" t="s">
        <v>2272</v>
      </c>
      <c r="W1807" s="198" t="s">
        <v>2272</v>
      </c>
      <c r="X1807" s="198" t="s">
        <v>2272</v>
      </c>
      <c r="Y1807" s="198" t="s">
        <v>2272</v>
      </c>
      <c r="Z1807" s="198" t="s">
        <v>2272</v>
      </c>
      <c r="AA1807" s="198" t="s">
        <v>2272</v>
      </c>
      <c r="AB1807" s="198" t="s">
        <v>2272</v>
      </c>
      <c r="AC1807" s="198" t="s">
        <v>2272</v>
      </c>
      <c r="AD1807" s="198"/>
      <c r="AE1807" s="198"/>
    </row>
    <row r="1808" spans="1:31" ht="45.5" customHeight="1">
      <c r="A1808" s="198" t="s">
        <v>5235</v>
      </c>
      <c r="B1808" s="198" t="s">
        <v>5316</v>
      </c>
      <c r="C1808" s="198" t="s">
        <v>2453</v>
      </c>
      <c r="D1808" s="198" t="s">
        <v>2989</v>
      </c>
      <c r="E1808" s="198" t="s">
        <v>1102</v>
      </c>
      <c r="F1808" s="4" t="s">
        <v>2272</v>
      </c>
      <c r="G1808" s="4" t="s">
        <v>73</v>
      </c>
      <c r="H1808" s="198" t="s">
        <v>521</v>
      </c>
      <c r="I1808" s="198"/>
      <c r="J1808" s="198" t="s">
        <v>2272</v>
      </c>
      <c r="K1808" s="198" t="s">
        <v>2272</v>
      </c>
      <c r="L1808" s="198" t="s">
        <v>2272</v>
      </c>
      <c r="M1808" s="198" t="s">
        <v>2272</v>
      </c>
      <c r="N1808" s="198" t="s">
        <v>2272</v>
      </c>
      <c r="O1808" s="198" t="s">
        <v>2272</v>
      </c>
      <c r="P1808" s="198" t="s">
        <v>2272</v>
      </c>
      <c r="Q1808" s="198" t="s">
        <v>2272</v>
      </c>
      <c r="R1808" s="198" t="s">
        <v>2272</v>
      </c>
      <c r="S1808" s="198" t="s">
        <v>2272</v>
      </c>
      <c r="T1808" s="198" t="s">
        <v>2272</v>
      </c>
      <c r="U1808" s="198" t="s">
        <v>2272</v>
      </c>
      <c r="V1808" s="198" t="s">
        <v>2272</v>
      </c>
      <c r="W1808" s="198" t="s">
        <v>2272</v>
      </c>
      <c r="X1808" s="198" t="s">
        <v>2272</v>
      </c>
      <c r="Y1808" s="198" t="s">
        <v>2272</v>
      </c>
      <c r="Z1808" s="198" t="s">
        <v>2272</v>
      </c>
      <c r="AA1808" s="198" t="s">
        <v>2272</v>
      </c>
      <c r="AB1808" s="198" t="s">
        <v>2272</v>
      </c>
      <c r="AC1808" s="198" t="s">
        <v>2272</v>
      </c>
      <c r="AD1808" s="198"/>
      <c r="AE1808" s="198"/>
    </row>
    <row r="1809" spans="1:31" ht="45.5" customHeight="1">
      <c r="A1809" s="198" t="s">
        <v>5228</v>
      </c>
      <c r="B1809" s="198" t="s">
        <v>5255</v>
      </c>
      <c r="C1809" s="198" t="s">
        <v>1102</v>
      </c>
      <c r="D1809" s="198" t="s">
        <v>2272</v>
      </c>
      <c r="E1809" s="198" t="s">
        <v>1102</v>
      </c>
      <c r="F1809" s="4" t="s">
        <v>2272</v>
      </c>
      <c r="G1809" s="4" t="s">
        <v>73</v>
      </c>
      <c r="H1809" s="198" t="s">
        <v>521</v>
      </c>
      <c r="I1809" s="198">
        <v>2003</v>
      </c>
      <c r="J1809" s="198" t="s">
        <v>2272</v>
      </c>
      <c r="K1809" s="198" t="s">
        <v>2272</v>
      </c>
      <c r="L1809" s="198" t="s">
        <v>2272</v>
      </c>
      <c r="M1809" s="198" t="s">
        <v>2272</v>
      </c>
      <c r="N1809" s="198" t="s">
        <v>2272</v>
      </c>
      <c r="O1809" s="198" t="s">
        <v>2272</v>
      </c>
      <c r="P1809" s="198" t="s">
        <v>2272</v>
      </c>
      <c r="Q1809" s="198" t="s">
        <v>2272</v>
      </c>
      <c r="R1809" s="198" t="s">
        <v>2272</v>
      </c>
      <c r="S1809" s="198" t="s">
        <v>2272</v>
      </c>
      <c r="T1809" s="198" t="s">
        <v>2272</v>
      </c>
      <c r="U1809" s="21">
        <v>279</v>
      </c>
      <c r="V1809" s="198" t="s">
        <v>2272</v>
      </c>
      <c r="W1809" s="21">
        <v>17</v>
      </c>
      <c r="X1809" s="198" t="s">
        <v>2272</v>
      </c>
      <c r="Y1809" s="198" t="s">
        <v>2272</v>
      </c>
      <c r="Z1809" s="198" t="s">
        <v>2272</v>
      </c>
      <c r="AA1809" s="198" t="s">
        <v>397</v>
      </c>
      <c r="AB1809" s="198" t="s">
        <v>84</v>
      </c>
      <c r="AC1809" s="198" t="s">
        <v>75</v>
      </c>
      <c r="AD1809" s="198"/>
      <c r="AE1809" s="198" t="s">
        <v>5329</v>
      </c>
    </row>
    <row r="1810" spans="1:31" ht="45.5" customHeight="1">
      <c r="A1810" s="198" t="s">
        <v>5228</v>
      </c>
      <c r="B1810" s="198" t="s">
        <v>5256</v>
      </c>
      <c r="C1810" s="198" t="s">
        <v>1102</v>
      </c>
      <c r="D1810" s="198" t="s">
        <v>2272</v>
      </c>
      <c r="E1810" s="198" t="s">
        <v>1102</v>
      </c>
      <c r="F1810" s="4" t="s">
        <v>2272</v>
      </c>
      <c r="G1810" s="4" t="s">
        <v>73</v>
      </c>
      <c r="H1810" s="198" t="s">
        <v>521</v>
      </c>
      <c r="I1810" s="198">
        <v>2004</v>
      </c>
      <c r="J1810" s="198" t="s">
        <v>2272</v>
      </c>
      <c r="K1810" s="198" t="s">
        <v>2272</v>
      </c>
      <c r="L1810" s="198" t="s">
        <v>2272</v>
      </c>
      <c r="M1810" s="198" t="s">
        <v>2272</v>
      </c>
      <c r="N1810" s="198" t="s">
        <v>2272</v>
      </c>
      <c r="O1810" s="198" t="s">
        <v>2272</v>
      </c>
      <c r="P1810" s="198" t="s">
        <v>2272</v>
      </c>
      <c r="Q1810" s="198" t="s">
        <v>2272</v>
      </c>
      <c r="R1810" s="198" t="s">
        <v>2272</v>
      </c>
      <c r="S1810" s="198" t="s">
        <v>2272</v>
      </c>
      <c r="T1810" s="198" t="s">
        <v>2272</v>
      </c>
      <c r="U1810" s="21">
        <v>199</v>
      </c>
      <c r="V1810" s="198" t="s">
        <v>2272</v>
      </c>
      <c r="W1810" s="21">
        <v>12</v>
      </c>
      <c r="X1810" s="198" t="s">
        <v>2272</v>
      </c>
      <c r="Y1810" s="198" t="s">
        <v>2272</v>
      </c>
      <c r="Z1810" s="198" t="s">
        <v>2272</v>
      </c>
      <c r="AA1810" s="198" t="s">
        <v>397</v>
      </c>
      <c r="AB1810" s="198" t="s">
        <v>84</v>
      </c>
      <c r="AC1810" s="198" t="s">
        <v>75</v>
      </c>
      <c r="AD1810" s="198"/>
      <c r="AE1810" s="198" t="s">
        <v>5329</v>
      </c>
    </row>
    <row r="1811" spans="1:31" ht="45.5" customHeight="1">
      <c r="A1811" s="198" t="s">
        <v>5230</v>
      </c>
      <c r="B1811" s="198" t="s">
        <v>5317</v>
      </c>
      <c r="C1811" s="198" t="s">
        <v>1102</v>
      </c>
      <c r="D1811" s="198" t="s">
        <v>2272</v>
      </c>
      <c r="E1811" s="198" t="s">
        <v>1102</v>
      </c>
      <c r="F1811" s="4" t="s">
        <v>2272</v>
      </c>
      <c r="G1811" s="4" t="s">
        <v>73</v>
      </c>
      <c r="H1811" s="198" t="s">
        <v>521</v>
      </c>
      <c r="I1811" s="198">
        <v>2003</v>
      </c>
      <c r="J1811" s="198" t="s">
        <v>2272</v>
      </c>
      <c r="K1811" s="198" t="s">
        <v>2272</v>
      </c>
      <c r="L1811" s="198" t="s">
        <v>2272</v>
      </c>
      <c r="M1811" s="198" t="s">
        <v>2272</v>
      </c>
      <c r="N1811" s="198" t="s">
        <v>2272</v>
      </c>
      <c r="O1811" s="198" t="s">
        <v>2272</v>
      </c>
      <c r="P1811" s="198" t="s">
        <v>2272</v>
      </c>
      <c r="Q1811" s="198" t="s">
        <v>2272</v>
      </c>
      <c r="R1811" s="198" t="s">
        <v>2272</v>
      </c>
      <c r="S1811" s="198" t="s">
        <v>2272</v>
      </c>
      <c r="T1811" s="198" t="s">
        <v>2272</v>
      </c>
      <c r="U1811" s="198" t="s">
        <v>2272</v>
      </c>
      <c r="V1811" s="198" t="s">
        <v>2272</v>
      </c>
      <c r="W1811" s="198" t="s">
        <v>2272</v>
      </c>
      <c r="X1811" s="198" t="s">
        <v>2272</v>
      </c>
      <c r="Y1811" s="198" t="s">
        <v>2272</v>
      </c>
      <c r="Z1811" s="198" t="s">
        <v>2272</v>
      </c>
      <c r="AA1811" s="198" t="s">
        <v>397</v>
      </c>
      <c r="AB1811" s="198" t="s">
        <v>84</v>
      </c>
      <c r="AC1811" s="198" t="s">
        <v>75</v>
      </c>
      <c r="AD1811" s="198"/>
      <c r="AE1811" s="198" t="s">
        <v>5329</v>
      </c>
    </row>
    <row r="1812" spans="1:31" ht="45.5" customHeight="1">
      <c r="A1812" s="198" t="s">
        <v>5230</v>
      </c>
      <c r="B1812" s="198" t="s">
        <v>5318</v>
      </c>
      <c r="C1812" s="198" t="s">
        <v>1102</v>
      </c>
      <c r="D1812" s="198" t="s">
        <v>2272</v>
      </c>
      <c r="E1812" s="198" t="s">
        <v>1102</v>
      </c>
      <c r="F1812" s="4" t="s">
        <v>2272</v>
      </c>
      <c r="G1812" s="4" t="s">
        <v>73</v>
      </c>
      <c r="H1812" s="198" t="s">
        <v>521</v>
      </c>
      <c r="I1812" s="198">
        <v>2004</v>
      </c>
      <c r="J1812" s="198" t="s">
        <v>2272</v>
      </c>
      <c r="K1812" s="198" t="s">
        <v>2272</v>
      </c>
      <c r="L1812" s="198" t="s">
        <v>2272</v>
      </c>
      <c r="M1812" s="198" t="s">
        <v>2272</v>
      </c>
      <c r="N1812" s="198" t="s">
        <v>2272</v>
      </c>
      <c r="O1812" s="198" t="s">
        <v>2272</v>
      </c>
      <c r="P1812" s="198" t="s">
        <v>2272</v>
      </c>
      <c r="Q1812" s="198" t="s">
        <v>2272</v>
      </c>
      <c r="R1812" s="198" t="s">
        <v>2272</v>
      </c>
      <c r="S1812" s="198" t="s">
        <v>2272</v>
      </c>
      <c r="T1812" s="198" t="s">
        <v>2272</v>
      </c>
      <c r="U1812" s="198" t="s">
        <v>2272</v>
      </c>
      <c r="V1812" s="198" t="s">
        <v>2272</v>
      </c>
      <c r="W1812" s="198" t="s">
        <v>2272</v>
      </c>
      <c r="X1812" s="198" t="s">
        <v>2272</v>
      </c>
      <c r="Y1812" s="198" t="s">
        <v>2272</v>
      </c>
      <c r="Z1812" s="198" t="s">
        <v>2272</v>
      </c>
      <c r="AA1812" s="198" t="s">
        <v>397</v>
      </c>
      <c r="AB1812" s="198" t="s">
        <v>84</v>
      </c>
      <c r="AC1812" s="198" t="s">
        <v>75</v>
      </c>
      <c r="AD1812" s="198"/>
      <c r="AE1812" s="198" t="s">
        <v>5329</v>
      </c>
    </row>
    <row r="1813" spans="1:31" ht="45.5" customHeight="1">
      <c r="A1813" s="198" t="s">
        <v>5231</v>
      </c>
      <c r="B1813" s="198" t="s">
        <v>5319</v>
      </c>
      <c r="C1813" s="198" t="s">
        <v>1102</v>
      </c>
      <c r="D1813" s="198" t="s">
        <v>2272</v>
      </c>
      <c r="E1813" s="198" t="s">
        <v>1102</v>
      </c>
      <c r="F1813" s="4" t="s">
        <v>2272</v>
      </c>
      <c r="G1813" s="4" t="s">
        <v>73</v>
      </c>
      <c r="H1813" s="198" t="s">
        <v>521</v>
      </c>
      <c r="I1813" s="198">
        <v>2003</v>
      </c>
      <c r="J1813" s="198" t="s">
        <v>2272</v>
      </c>
      <c r="K1813" s="198" t="s">
        <v>2272</v>
      </c>
      <c r="L1813" s="198" t="s">
        <v>2272</v>
      </c>
      <c r="M1813" s="198" t="s">
        <v>2272</v>
      </c>
      <c r="N1813" s="198" t="s">
        <v>2272</v>
      </c>
      <c r="O1813" s="198" t="s">
        <v>2272</v>
      </c>
      <c r="P1813" s="198" t="s">
        <v>2272</v>
      </c>
      <c r="Q1813" s="198" t="s">
        <v>2272</v>
      </c>
      <c r="R1813" s="198" t="s">
        <v>2272</v>
      </c>
      <c r="S1813" s="198" t="s">
        <v>2272</v>
      </c>
      <c r="T1813" s="198" t="s">
        <v>2272</v>
      </c>
      <c r="U1813" s="21">
        <v>30</v>
      </c>
      <c r="V1813" s="198" t="s">
        <v>2272</v>
      </c>
      <c r="W1813" s="21">
        <v>2</v>
      </c>
      <c r="X1813" s="198" t="s">
        <v>2272</v>
      </c>
      <c r="Y1813" s="198" t="s">
        <v>2272</v>
      </c>
      <c r="Z1813" s="198" t="s">
        <v>2272</v>
      </c>
      <c r="AA1813" s="198" t="s">
        <v>397</v>
      </c>
      <c r="AB1813" s="198" t="s">
        <v>84</v>
      </c>
      <c r="AC1813" s="198" t="s">
        <v>75</v>
      </c>
      <c r="AD1813" s="198"/>
      <c r="AE1813" s="198" t="s">
        <v>5329</v>
      </c>
    </row>
    <row r="1814" spans="1:31" ht="45.5" customHeight="1">
      <c r="A1814" s="198" t="s">
        <v>5231</v>
      </c>
      <c r="B1814" s="198" t="s">
        <v>5320</v>
      </c>
      <c r="C1814" s="198" t="s">
        <v>1102</v>
      </c>
      <c r="D1814" s="198" t="s">
        <v>2272</v>
      </c>
      <c r="E1814" s="198" t="s">
        <v>1102</v>
      </c>
      <c r="F1814" s="4" t="s">
        <v>2272</v>
      </c>
      <c r="G1814" s="4" t="s">
        <v>73</v>
      </c>
      <c r="H1814" s="198" t="s">
        <v>521</v>
      </c>
      <c r="I1814" s="198">
        <v>2004</v>
      </c>
      <c r="J1814" s="198" t="s">
        <v>2272</v>
      </c>
      <c r="K1814" s="198" t="s">
        <v>2272</v>
      </c>
      <c r="L1814" s="198" t="s">
        <v>2272</v>
      </c>
      <c r="M1814" s="198" t="s">
        <v>2272</v>
      </c>
      <c r="N1814" s="198" t="s">
        <v>2272</v>
      </c>
      <c r="O1814" s="198" t="s">
        <v>2272</v>
      </c>
      <c r="P1814" s="198" t="s">
        <v>2272</v>
      </c>
      <c r="Q1814" s="198" t="s">
        <v>2272</v>
      </c>
      <c r="R1814" s="198" t="s">
        <v>2272</v>
      </c>
      <c r="S1814" s="198" t="s">
        <v>2272</v>
      </c>
      <c r="T1814" s="198" t="s">
        <v>2272</v>
      </c>
      <c r="U1814" s="21">
        <v>30</v>
      </c>
      <c r="V1814" s="198" t="s">
        <v>2272</v>
      </c>
      <c r="W1814" s="21">
        <v>2</v>
      </c>
      <c r="X1814" s="198" t="s">
        <v>2272</v>
      </c>
      <c r="Y1814" s="198" t="s">
        <v>2272</v>
      </c>
      <c r="Z1814" s="198" t="s">
        <v>2272</v>
      </c>
      <c r="AA1814" s="198" t="s">
        <v>397</v>
      </c>
      <c r="AB1814" s="198" t="s">
        <v>84</v>
      </c>
      <c r="AC1814" s="198" t="s">
        <v>75</v>
      </c>
      <c r="AD1814" s="198"/>
      <c r="AE1814" s="198" t="s">
        <v>5329</v>
      </c>
    </row>
    <row r="1815" spans="1:31" ht="45.5" customHeight="1">
      <c r="A1815" s="198" t="s">
        <v>5232</v>
      </c>
      <c r="B1815" s="198" t="s">
        <v>5321</v>
      </c>
      <c r="C1815" s="198" t="s">
        <v>1102</v>
      </c>
      <c r="D1815" s="198" t="s">
        <v>2272</v>
      </c>
      <c r="E1815" s="198" t="s">
        <v>1102</v>
      </c>
      <c r="F1815" s="4" t="s">
        <v>2272</v>
      </c>
      <c r="G1815" s="4" t="s">
        <v>73</v>
      </c>
      <c r="H1815" s="198" t="s">
        <v>521</v>
      </c>
      <c r="I1815" s="198">
        <v>2003</v>
      </c>
      <c r="J1815" s="198" t="s">
        <v>2272</v>
      </c>
      <c r="K1815" s="198" t="s">
        <v>2272</v>
      </c>
      <c r="L1815" s="198" t="s">
        <v>2272</v>
      </c>
      <c r="M1815" s="198" t="s">
        <v>2272</v>
      </c>
      <c r="N1815" s="198" t="s">
        <v>2272</v>
      </c>
      <c r="O1815" s="198" t="s">
        <v>2272</v>
      </c>
      <c r="P1815" s="198" t="s">
        <v>2272</v>
      </c>
      <c r="Q1815" s="198" t="s">
        <v>2272</v>
      </c>
      <c r="R1815" s="198" t="s">
        <v>2272</v>
      </c>
      <c r="S1815" s="198" t="s">
        <v>2272</v>
      </c>
      <c r="T1815" s="198" t="s">
        <v>2272</v>
      </c>
      <c r="U1815" s="21">
        <v>195</v>
      </c>
      <c r="V1815" s="198" t="s">
        <v>2272</v>
      </c>
      <c r="W1815" s="21">
        <v>7</v>
      </c>
      <c r="X1815" s="198" t="s">
        <v>2272</v>
      </c>
      <c r="Y1815" s="198" t="s">
        <v>2272</v>
      </c>
      <c r="Z1815" s="198" t="s">
        <v>2272</v>
      </c>
      <c r="AA1815" s="198" t="s">
        <v>397</v>
      </c>
      <c r="AB1815" s="198" t="s">
        <v>84</v>
      </c>
      <c r="AC1815" s="198" t="s">
        <v>75</v>
      </c>
      <c r="AD1815" s="198"/>
      <c r="AE1815" s="198" t="s">
        <v>5329</v>
      </c>
    </row>
    <row r="1816" spans="1:31" ht="45.5" customHeight="1">
      <c r="A1816" s="198" t="s">
        <v>5232</v>
      </c>
      <c r="B1816" s="198" t="s">
        <v>5322</v>
      </c>
      <c r="C1816" s="198" t="s">
        <v>1102</v>
      </c>
      <c r="D1816" s="198" t="s">
        <v>2272</v>
      </c>
      <c r="E1816" s="198" t="s">
        <v>1102</v>
      </c>
      <c r="F1816" s="4" t="s">
        <v>2272</v>
      </c>
      <c r="G1816" s="4" t="s">
        <v>73</v>
      </c>
      <c r="H1816" s="198" t="s">
        <v>521</v>
      </c>
      <c r="I1816" s="198">
        <v>2004</v>
      </c>
      <c r="J1816" s="198" t="s">
        <v>2272</v>
      </c>
      <c r="K1816" s="198" t="s">
        <v>2272</v>
      </c>
      <c r="L1816" s="198" t="s">
        <v>2272</v>
      </c>
      <c r="M1816" s="198" t="s">
        <v>2272</v>
      </c>
      <c r="N1816" s="198" t="s">
        <v>2272</v>
      </c>
      <c r="O1816" s="198" t="s">
        <v>2272</v>
      </c>
      <c r="P1816" s="198" t="s">
        <v>2272</v>
      </c>
      <c r="Q1816" s="198" t="s">
        <v>2272</v>
      </c>
      <c r="R1816" s="198" t="s">
        <v>2272</v>
      </c>
      <c r="S1816" s="198" t="s">
        <v>2272</v>
      </c>
      <c r="T1816" s="198" t="s">
        <v>2272</v>
      </c>
      <c r="U1816" s="21">
        <v>800</v>
      </c>
      <c r="V1816" s="198" t="s">
        <v>2272</v>
      </c>
      <c r="W1816" s="21">
        <v>30</v>
      </c>
      <c r="X1816" s="198" t="s">
        <v>2272</v>
      </c>
      <c r="Y1816" s="198" t="s">
        <v>2272</v>
      </c>
      <c r="Z1816" s="198" t="s">
        <v>2272</v>
      </c>
      <c r="AA1816" s="198" t="s">
        <v>397</v>
      </c>
      <c r="AB1816" s="198" t="s">
        <v>84</v>
      </c>
      <c r="AC1816" s="198" t="s">
        <v>75</v>
      </c>
      <c r="AD1816" s="198"/>
      <c r="AE1816" s="198" t="s">
        <v>5329</v>
      </c>
    </row>
    <row r="1817" spans="1:31" ht="45.5" customHeight="1">
      <c r="A1817" s="198" t="s">
        <v>5233</v>
      </c>
      <c r="B1817" s="198" t="s">
        <v>5323</v>
      </c>
      <c r="C1817" s="198" t="s">
        <v>1102</v>
      </c>
      <c r="D1817" s="198" t="s">
        <v>2272</v>
      </c>
      <c r="E1817" s="198" t="s">
        <v>1102</v>
      </c>
      <c r="F1817" s="4" t="s">
        <v>2272</v>
      </c>
      <c r="G1817" s="4" t="s">
        <v>73</v>
      </c>
      <c r="H1817" s="198" t="s">
        <v>521</v>
      </c>
      <c r="I1817" s="198">
        <v>2003</v>
      </c>
      <c r="J1817" s="198" t="s">
        <v>2272</v>
      </c>
      <c r="K1817" s="198" t="s">
        <v>2272</v>
      </c>
      <c r="L1817" s="198" t="s">
        <v>2272</v>
      </c>
      <c r="M1817" s="198" t="s">
        <v>2272</v>
      </c>
      <c r="N1817" s="198" t="s">
        <v>2272</v>
      </c>
      <c r="O1817" s="198" t="s">
        <v>2272</v>
      </c>
      <c r="P1817" s="198" t="s">
        <v>2272</v>
      </c>
      <c r="Q1817" s="198" t="s">
        <v>2272</v>
      </c>
      <c r="R1817" s="198" t="s">
        <v>2272</v>
      </c>
      <c r="S1817" s="198" t="s">
        <v>2272</v>
      </c>
      <c r="T1817" s="198" t="s">
        <v>2272</v>
      </c>
      <c r="U1817" s="21">
        <v>75</v>
      </c>
      <c r="V1817" s="198" t="s">
        <v>2272</v>
      </c>
      <c r="W1817" s="21">
        <v>8</v>
      </c>
      <c r="X1817" s="198" t="s">
        <v>2272</v>
      </c>
      <c r="Y1817" s="198" t="s">
        <v>2272</v>
      </c>
      <c r="Z1817" s="198" t="s">
        <v>2272</v>
      </c>
      <c r="AA1817" s="198" t="s">
        <v>397</v>
      </c>
      <c r="AB1817" s="198" t="s">
        <v>84</v>
      </c>
      <c r="AC1817" s="198" t="s">
        <v>75</v>
      </c>
      <c r="AD1817" s="198"/>
      <c r="AE1817" s="198" t="s">
        <v>5329</v>
      </c>
    </row>
    <row r="1818" spans="1:31" ht="45.5" customHeight="1">
      <c r="A1818" s="198" t="s">
        <v>5233</v>
      </c>
      <c r="B1818" s="198" t="s">
        <v>5324</v>
      </c>
      <c r="C1818" s="198" t="s">
        <v>1102</v>
      </c>
      <c r="D1818" s="198" t="s">
        <v>2272</v>
      </c>
      <c r="E1818" s="198" t="s">
        <v>1102</v>
      </c>
      <c r="F1818" s="4" t="s">
        <v>2272</v>
      </c>
      <c r="G1818" s="4" t="s">
        <v>73</v>
      </c>
      <c r="H1818" s="198" t="s">
        <v>521</v>
      </c>
      <c r="I1818" s="198">
        <v>2004</v>
      </c>
      <c r="J1818" s="198" t="s">
        <v>2272</v>
      </c>
      <c r="K1818" s="198" t="s">
        <v>2272</v>
      </c>
      <c r="L1818" s="198" t="s">
        <v>2272</v>
      </c>
      <c r="M1818" s="198" t="s">
        <v>2272</v>
      </c>
      <c r="N1818" s="198" t="s">
        <v>2272</v>
      </c>
      <c r="O1818" s="198" t="s">
        <v>2272</v>
      </c>
      <c r="P1818" s="198" t="s">
        <v>2272</v>
      </c>
      <c r="Q1818" s="198" t="s">
        <v>2272</v>
      </c>
      <c r="R1818" s="198" t="s">
        <v>2272</v>
      </c>
      <c r="S1818" s="198" t="s">
        <v>2272</v>
      </c>
      <c r="T1818" s="198" t="s">
        <v>2272</v>
      </c>
      <c r="U1818" s="21">
        <v>135</v>
      </c>
      <c r="V1818" s="198" t="s">
        <v>2272</v>
      </c>
      <c r="W1818" s="21">
        <v>15</v>
      </c>
      <c r="X1818" s="198" t="s">
        <v>2272</v>
      </c>
      <c r="Y1818" s="198" t="s">
        <v>2272</v>
      </c>
      <c r="Z1818" s="198" t="s">
        <v>2272</v>
      </c>
      <c r="AA1818" s="198" t="s">
        <v>397</v>
      </c>
      <c r="AB1818" s="198" t="s">
        <v>84</v>
      </c>
      <c r="AC1818" s="198" t="s">
        <v>75</v>
      </c>
      <c r="AD1818" s="198"/>
      <c r="AE1818" s="198" t="s">
        <v>5329</v>
      </c>
    </row>
    <row r="1819" spans="1:31" ht="45.5" customHeight="1">
      <c r="A1819" s="198" t="s">
        <v>5234</v>
      </c>
      <c r="B1819" s="198" t="s">
        <v>5325</v>
      </c>
      <c r="C1819" s="198" t="s">
        <v>1102</v>
      </c>
      <c r="D1819" s="198" t="s">
        <v>2272</v>
      </c>
      <c r="E1819" s="198" t="s">
        <v>1102</v>
      </c>
      <c r="F1819" s="4" t="s">
        <v>2272</v>
      </c>
      <c r="G1819" s="4" t="s">
        <v>73</v>
      </c>
      <c r="H1819" s="198" t="s">
        <v>521</v>
      </c>
      <c r="I1819" s="198">
        <v>2003</v>
      </c>
      <c r="J1819" s="198" t="s">
        <v>2272</v>
      </c>
      <c r="K1819" s="198" t="s">
        <v>2272</v>
      </c>
      <c r="L1819" s="198" t="s">
        <v>2272</v>
      </c>
      <c r="M1819" s="198" t="s">
        <v>2272</v>
      </c>
      <c r="N1819" s="198" t="s">
        <v>2272</v>
      </c>
      <c r="O1819" s="198" t="s">
        <v>2272</v>
      </c>
      <c r="P1819" s="198" t="s">
        <v>2272</v>
      </c>
      <c r="Q1819" s="198" t="s">
        <v>2272</v>
      </c>
      <c r="R1819" s="198" t="s">
        <v>2272</v>
      </c>
      <c r="S1819" s="198" t="s">
        <v>2272</v>
      </c>
      <c r="T1819" s="198" t="s">
        <v>2272</v>
      </c>
      <c r="U1819" s="21">
        <v>924</v>
      </c>
      <c r="V1819" s="198" t="s">
        <v>2272</v>
      </c>
      <c r="W1819" s="21">
        <v>19</v>
      </c>
      <c r="X1819" s="198" t="s">
        <v>2272</v>
      </c>
      <c r="Y1819" s="198" t="s">
        <v>2272</v>
      </c>
      <c r="Z1819" s="198" t="s">
        <v>2272</v>
      </c>
      <c r="AA1819" s="198" t="s">
        <v>397</v>
      </c>
      <c r="AB1819" s="198" t="s">
        <v>84</v>
      </c>
      <c r="AC1819" s="198" t="s">
        <v>75</v>
      </c>
      <c r="AD1819" s="198"/>
      <c r="AE1819" s="198" t="s">
        <v>5329</v>
      </c>
    </row>
    <row r="1820" spans="1:31" ht="45.5" customHeight="1">
      <c r="A1820" s="198" t="s">
        <v>5234</v>
      </c>
      <c r="B1820" s="198" t="s">
        <v>5326</v>
      </c>
      <c r="C1820" s="198" t="s">
        <v>1102</v>
      </c>
      <c r="D1820" s="198" t="s">
        <v>2272</v>
      </c>
      <c r="E1820" s="198" t="s">
        <v>1102</v>
      </c>
      <c r="F1820" s="4" t="s">
        <v>2272</v>
      </c>
      <c r="G1820" s="4" t="s">
        <v>73</v>
      </c>
      <c r="H1820" s="198" t="s">
        <v>521</v>
      </c>
      <c r="I1820" s="198">
        <v>2004</v>
      </c>
      <c r="J1820" s="198" t="s">
        <v>2272</v>
      </c>
      <c r="K1820" s="198" t="s">
        <v>2272</v>
      </c>
      <c r="L1820" s="198" t="s">
        <v>2272</v>
      </c>
      <c r="M1820" s="198" t="s">
        <v>2272</v>
      </c>
      <c r="N1820" s="198" t="s">
        <v>2272</v>
      </c>
      <c r="O1820" s="198" t="s">
        <v>2272</v>
      </c>
      <c r="P1820" s="198" t="s">
        <v>2272</v>
      </c>
      <c r="Q1820" s="198" t="s">
        <v>2272</v>
      </c>
      <c r="R1820" s="198" t="s">
        <v>2272</v>
      </c>
      <c r="S1820" s="198" t="s">
        <v>2272</v>
      </c>
      <c r="T1820" s="198" t="s">
        <v>2272</v>
      </c>
      <c r="U1820" s="21">
        <v>1644</v>
      </c>
      <c r="V1820" s="198" t="s">
        <v>2272</v>
      </c>
      <c r="W1820" s="21">
        <v>34</v>
      </c>
      <c r="X1820" s="198" t="s">
        <v>2272</v>
      </c>
      <c r="Y1820" s="198" t="s">
        <v>2272</v>
      </c>
      <c r="Z1820" s="198" t="s">
        <v>2272</v>
      </c>
      <c r="AA1820" s="198" t="s">
        <v>397</v>
      </c>
      <c r="AB1820" s="198" t="s">
        <v>84</v>
      </c>
      <c r="AC1820" s="198" t="s">
        <v>75</v>
      </c>
      <c r="AD1820" s="198"/>
      <c r="AE1820" s="198" t="s">
        <v>5329</v>
      </c>
    </row>
    <row r="1821" spans="1:31" ht="45.5" customHeight="1">
      <c r="A1821" s="198" t="s">
        <v>5235</v>
      </c>
      <c r="B1821" s="198" t="s">
        <v>5327</v>
      </c>
      <c r="C1821" s="198" t="s">
        <v>1102</v>
      </c>
      <c r="D1821" s="198" t="s">
        <v>2272</v>
      </c>
      <c r="E1821" s="198" t="s">
        <v>1102</v>
      </c>
      <c r="F1821" s="4" t="s">
        <v>2272</v>
      </c>
      <c r="G1821" s="4" t="s">
        <v>73</v>
      </c>
      <c r="H1821" s="198" t="s">
        <v>521</v>
      </c>
      <c r="I1821" s="198">
        <v>2003</v>
      </c>
      <c r="J1821" s="198" t="s">
        <v>2272</v>
      </c>
      <c r="K1821" s="198" t="s">
        <v>2272</v>
      </c>
      <c r="L1821" s="198" t="s">
        <v>2272</v>
      </c>
      <c r="M1821" s="198" t="s">
        <v>2272</v>
      </c>
      <c r="N1821" s="198" t="s">
        <v>2272</v>
      </c>
      <c r="O1821" s="198" t="s">
        <v>2272</v>
      </c>
      <c r="P1821" s="198" t="s">
        <v>2272</v>
      </c>
      <c r="Q1821" s="198" t="s">
        <v>2272</v>
      </c>
      <c r="R1821" s="198" t="s">
        <v>2272</v>
      </c>
      <c r="S1821" s="198" t="s">
        <v>2272</v>
      </c>
      <c r="T1821" s="198" t="s">
        <v>2272</v>
      </c>
      <c r="U1821" s="21">
        <v>130</v>
      </c>
      <c r="V1821" s="198" t="s">
        <v>2272</v>
      </c>
      <c r="W1821" s="21">
        <v>16</v>
      </c>
      <c r="X1821" s="198" t="s">
        <v>2272</v>
      </c>
      <c r="Y1821" s="198" t="s">
        <v>2272</v>
      </c>
      <c r="Z1821" s="198" t="s">
        <v>2272</v>
      </c>
      <c r="AA1821" s="198" t="s">
        <v>397</v>
      </c>
      <c r="AB1821" s="198" t="s">
        <v>84</v>
      </c>
      <c r="AC1821" s="198" t="s">
        <v>75</v>
      </c>
      <c r="AD1821" s="198"/>
      <c r="AE1821" s="198" t="s">
        <v>5329</v>
      </c>
    </row>
    <row r="1822" spans="1:31" ht="45.5" customHeight="1">
      <c r="A1822" s="198" t="s">
        <v>5235</v>
      </c>
      <c r="B1822" s="198" t="s">
        <v>5328</v>
      </c>
      <c r="C1822" s="198" t="s">
        <v>1102</v>
      </c>
      <c r="D1822" s="198" t="s">
        <v>2272</v>
      </c>
      <c r="E1822" s="198" t="s">
        <v>1102</v>
      </c>
      <c r="F1822" s="4" t="s">
        <v>2272</v>
      </c>
      <c r="G1822" s="4" t="s">
        <v>73</v>
      </c>
      <c r="H1822" s="198" t="s">
        <v>521</v>
      </c>
      <c r="I1822" s="198">
        <v>2004</v>
      </c>
      <c r="J1822" s="198" t="s">
        <v>2272</v>
      </c>
      <c r="K1822" s="198" t="s">
        <v>2272</v>
      </c>
      <c r="L1822" s="198" t="s">
        <v>2272</v>
      </c>
      <c r="M1822" s="198" t="s">
        <v>2272</v>
      </c>
      <c r="N1822" s="198" t="s">
        <v>2272</v>
      </c>
      <c r="O1822" s="198" t="s">
        <v>2272</v>
      </c>
      <c r="P1822" s="198" t="s">
        <v>2272</v>
      </c>
      <c r="Q1822" s="198" t="s">
        <v>2272</v>
      </c>
      <c r="R1822" s="198" t="s">
        <v>2272</v>
      </c>
      <c r="S1822" s="198" t="s">
        <v>2272</v>
      </c>
      <c r="T1822" s="198" t="s">
        <v>2272</v>
      </c>
      <c r="U1822" s="21">
        <v>46</v>
      </c>
      <c r="V1822" s="198" t="s">
        <v>2272</v>
      </c>
      <c r="W1822" s="21">
        <v>6</v>
      </c>
      <c r="X1822" s="198" t="s">
        <v>2272</v>
      </c>
      <c r="Y1822" s="198" t="s">
        <v>2272</v>
      </c>
      <c r="Z1822" s="198" t="s">
        <v>2272</v>
      </c>
      <c r="AA1822" s="198" t="s">
        <v>397</v>
      </c>
      <c r="AB1822" s="198" t="s">
        <v>84</v>
      </c>
      <c r="AC1822" s="198" t="s">
        <v>75</v>
      </c>
      <c r="AD1822" s="198"/>
      <c r="AE1822" s="198" t="s">
        <v>5329</v>
      </c>
    </row>
    <row r="1823" spans="1:31" ht="44.5" customHeight="1">
      <c r="A1823" s="198" t="s">
        <v>5331</v>
      </c>
      <c r="B1823" s="198" t="s">
        <v>5340</v>
      </c>
      <c r="C1823" s="198" t="s">
        <v>23</v>
      </c>
      <c r="D1823" s="198" t="s">
        <v>26</v>
      </c>
      <c r="E1823" s="198" t="s">
        <v>128</v>
      </c>
      <c r="F1823" s="4" t="s">
        <v>73</v>
      </c>
      <c r="G1823" s="4" t="s">
        <v>2272</v>
      </c>
      <c r="H1823" s="198" t="s">
        <v>521</v>
      </c>
      <c r="I1823" s="198"/>
      <c r="J1823" s="4" t="s">
        <v>2272</v>
      </c>
      <c r="K1823" s="4" t="s">
        <v>2272</v>
      </c>
      <c r="L1823" s="4" t="s">
        <v>2272</v>
      </c>
      <c r="M1823" s="4" t="s">
        <v>2272</v>
      </c>
      <c r="N1823" s="4" t="s">
        <v>2272</v>
      </c>
      <c r="O1823" s="4" t="s">
        <v>2272</v>
      </c>
      <c r="P1823" s="4" t="s">
        <v>2272</v>
      </c>
      <c r="Q1823" s="4" t="s">
        <v>2272</v>
      </c>
      <c r="R1823" s="4" t="s">
        <v>2272</v>
      </c>
      <c r="S1823" s="4" t="s">
        <v>2272</v>
      </c>
      <c r="T1823" s="4" t="s">
        <v>2272</v>
      </c>
      <c r="U1823" s="4" t="s">
        <v>2272</v>
      </c>
      <c r="V1823" s="4" t="s">
        <v>2272</v>
      </c>
      <c r="W1823" s="4" t="s">
        <v>2272</v>
      </c>
      <c r="X1823" s="4" t="s">
        <v>2272</v>
      </c>
      <c r="Y1823" s="4" t="s">
        <v>2272</v>
      </c>
      <c r="Z1823" s="4" t="s">
        <v>2272</v>
      </c>
      <c r="AA1823" s="4" t="s">
        <v>2272</v>
      </c>
      <c r="AB1823" s="4" t="s">
        <v>2272</v>
      </c>
      <c r="AC1823" s="4" t="s">
        <v>2272</v>
      </c>
      <c r="AD1823" s="198"/>
      <c r="AE1823" s="198"/>
    </row>
    <row r="1824" spans="1:31" ht="44.5" customHeight="1">
      <c r="A1824" s="198" t="s">
        <v>5331</v>
      </c>
      <c r="B1824" s="198" t="s">
        <v>5341</v>
      </c>
      <c r="C1824" s="198" t="s">
        <v>23</v>
      </c>
      <c r="D1824" s="198" t="s">
        <v>2227</v>
      </c>
      <c r="E1824" s="198" t="s">
        <v>128</v>
      </c>
      <c r="F1824" s="4" t="s">
        <v>73</v>
      </c>
      <c r="G1824" s="4" t="s">
        <v>2272</v>
      </c>
      <c r="H1824" s="198" t="s">
        <v>521</v>
      </c>
      <c r="I1824" s="198"/>
      <c r="J1824" s="4" t="s">
        <v>2272</v>
      </c>
      <c r="K1824" s="4" t="s">
        <v>2272</v>
      </c>
      <c r="L1824" s="4" t="s">
        <v>2272</v>
      </c>
      <c r="M1824" s="4" t="s">
        <v>2272</v>
      </c>
      <c r="N1824" s="4" t="s">
        <v>2272</v>
      </c>
      <c r="O1824" s="4" t="s">
        <v>2272</v>
      </c>
      <c r="P1824" s="4" t="s">
        <v>2272</v>
      </c>
      <c r="Q1824" s="4" t="s">
        <v>2272</v>
      </c>
      <c r="R1824" s="4" t="s">
        <v>2272</v>
      </c>
      <c r="S1824" s="4" t="s">
        <v>2272</v>
      </c>
      <c r="T1824" s="4" t="s">
        <v>2272</v>
      </c>
      <c r="U1824" s="4" t="s">
        <v>2272</v>
      </c>
      <c r="V1824" s="4" t="s">
        <v>2272</v>
      </c>
      <c r="W1824" s="4" t="s">
        <v>2272</v>
      </c>
      <c r="X1824" s="4" t="s">
        <v>2272</v>
      </c>
      <c r="Y1824" s="4" t="s">
        <v>2272</v>
      </c>
      <c r="Z1824" s="4" t="s">
        <v>2272</v>
      </c>
      <c r="AA1824" s="4" t="s">
        <v>2272</v>
      </c>
      <c r="AB1824" s="4" t="s">
        <v>2272</v>
      </c>
      <c r="AC1824" s="4" t="s">
        <v>2272</v>
      </c>
      <c r="AD1824" s="198"/>
      <c r="AE1824" s="198"/>
    </row>
    <row r="1825" spans="1:31" ht="44.5" customHeight="1">
      <c r="A1825" s="198" t="s">
        <v>5331</v>
      </c>
      <c r="B1825" s="198" t="s">
        <v>5342</v>
      </c>
      <c r="C1825" s="198" t="s">
        <v>23</v>
      </c>
      <c r="D1825" s="198" t="s">
        <v>2227</v>
      </c>
      <c r="E1825" s="4" t="s">
        <v>394</v>
      </c>
      <c r="F1825" s="4" t="s">
        <v>73</v>
      </c>
      <c r="G1825" s="4" t="s">
        <v>2272</v>
      </c>
      <c r="H1825" s="198" t="s">
        <v>521</v>
      </c>
      <c r="I1825" s="198"/>
      <c r="J1825" s="4" t="s">
        <v>2272</v>
      </c>
      <c r="K1825" s="4" t="s">
        <v>2272</v>
      </c>
      <c r="L1825" s="4" t="s">
        <v>2272</v>
      </c>
      <c r="M1825" s="4" t="s">
        <v>2272</v>
      </c>
      <c r="N1825" s="4" t="s">
        <v>2272</v>
      </c>
      <c r="O1825" s="4" t="s">
        <v>2272</v>
      </c>
      <c r="P1825" s="4" t="s">
        <v>2272</v>
      </c>
      <c r="Q1825" s="4" t="s">
        <v>2272</v>
      </c>
      <c r="R1825" s="4" t="s">
        <v>2272</v>
      </c>
      <c r="S1825" s="4" t="s">
        <v>2272</v>
      </c>
      <c r="T1825" s="4" t="s">
        <v>2272</v>
      </c>
      <c r="U1825" s="4" t="s">
        <v>2272</v>
      </c>
      <c r="V1825" s="4" t="s">
        <v>2272</v>
      </c>
      <c r="W1825" s="4" t="s">
        <v>2272</v>
      </c>
      <c r="X1825" s="4" t="s">
        <v>2272</v>
      </c>
      <c r="Y1825" s="4" t="s">
        <v>2272</v>
      </c>
      <c r="Z1825" s="4" t="s">
        <v>2272</v>
      </c>
      <c r="AA1825" s="4" t="s">
        <v>2272</v>
      </c>
      <c r="AB1825" s="4" t="s">
        <v>2272</v>
      </c>
      <c r="AC1825" s="4" t="s">
        <v>2272</v>
      </c>
      <c r="AD1825" s="198"/>
      <c r="AE1825" s="198"/>
    </row>
    <row r="1826" spans="1:31" ht="44.5" customHeight="1">
      <c r="A1826" s="198" t="s">
        <v>5332</v>
      </c>
      <c r="B1826" s="198" t="s">
        <v>5343</v>
      </c>
      <c r="C1826" s="198" t="s">
        <v>23</v>
      </c>
      <c r="D1826" s="198" t="s">
        <v>26</v>
      </c>
      <c r="E1826" s="198" t="s">
        <v>128</v>
      </c>
      <c r="F1826" s="4" t="s">
        <v>73</v>
      </c>
      <c r="G1826" s="4" t="s">
        <v>2272</v>
      </c>
      <c r="H1826" s="198" t="s">
        <v>522</v>
      </c>
      <c r="I1826" s="198"/>
      <c r="J1826" s="198">
        <v>0</v>
      </c>
      <c r="K1826" s="198">
        <v>0</v>
      </c>
      <c r="L1826" s="198">
        <v>0</v>
      </c>
      <c r="M1826" s="198">
        <v>0</v>
      </c>
      <c r="N1826" s="198">
        <v>0</v>
      </c>
      <c r="O1826" s="198">
        <v>0</v>
      </c>
      <c r="P1826" s="198">
        <v>0</v>
      </c>
      <c r="Q1826" s="198">
        <v>0</v>
      </c>
      <c r="R1826" s="198">
        <v>0</v>
      </c>
      <c r="S1826" s="198">
        <v>0</v>
      </c>
      <c r="T1826" s="198">
        <v>0</v>
      </c>
      <c r="U1826" s="198">
        <v>0</v>
      </c>
      <c r="V1826" s="198">
        <v>0</v>
      </c>
      <c r="W1826" s="198">
        <v>0</v>
      </c>
      <c r="X1826" s="198">
        <v>0</v>
      </c>
      <c r="Y1826" s="198">
        <v>0</v>
      </c>
      <c r="Z1826" s="4" t="s">
        <v>2272</v>
      </c>
      <c r="AA1826" s="4" t="s">
        <v>2272</v>
      </c>
      <c r="AB1826" s="4" t="s">
        <v>2272</v>
      </c>
      <c r="AC1826" s="4" t="s">
        <v>2272</v>
      </c>
      <c r="AD1826" s="4" t="s">
        <v>5346</v>
      </c>
      <c r="AE1826" s="198"/>
    </row>
    <row r="1827" spans="1:31" ht="44.5" customHeight="1">
      <c r="A1827" s="198" t="s">
        <v>5332</v>
      </c>
      <c r="B1827" s="198" t="s">
        <v>5344</v>
      </c>
      <c r="C1827" s="198" t="s">
        <v>23</v>
      </c>
      <c r="D1827" s="198" t="s">
        <v>2227</v>
      </c>
      <c r="E1827" s="198" t="s">
        <v>128</v>
      </c>
      <c r="F1827" s="4" t="s">
        <v>73</v>
      </c>
      <c r="G1827" s="4" t="s">
        <v>2272</v>
      </c>
      <c r="H1827" s="198" t="s">
        <v>522</v>
      </c>
      <c r="I1827" s="198"/>
      <c r="J1827" s="198">
        <v>0</v>
      </c>
      <c r="K1827" s="198">
        <v>0</v>
      </c>
      <c r="L1827" s="198">
        <v>0</v>
      </c>
      <c r="M1827" s="198">
        <v>0</v>
      </c>
      <c r="N1827" s="198">
        <v>0</v>
      </c>
      <c r="O1827" s="198">
        <v>0</v>
      </c>
      <c r="P1827" s="198">
        <v>0</v>
      </c>
      <c r="Q1827" s="198">
        <v>0</v>
      </c>
      <c r="R1827" s="198">
        <v>0</v>
      </c>
      <c r="S1827" s="198">
        <v>0</v>
      </c>
      <c r="T1827" s="198">
        <v>0</v>
      </c>
      <c r="U1827" s="198">
        <v>0</v>
      </c>
      <c r="V1827" s="198">
        <v>0</v>
      </c>
      <c r="W1827" s="198">
        <v>0</v>
      </c>
      <c r="X1827" s="198">
        <v>0</v>
      </c>
      <c r="Y1827" s="198">
        <v>0</v>
      </c>
      <c r="Z1827" s="4" t="s">
        <v>2272</v>
      </c>
      <c r="AA1827" s="4" t="s">
        <v>2272</v>
      </c>
      <c r="AB1827" s="4" t="s">
        <v>2272</v>
      </c>
      <c r="AC1827" s="4" t="s">
        <v>2272</v>
      </c>
      <c r="AD1827" s="4" t="s">
        <v>5346</v>
      </c>
      <c r="AE1827" s="198"/>
    </row>
    <row r="1828" spans="1:31" ht="44.5" customHeight="1">
      <c r="A1828" s="198" t="s">
        <v>5332</v>
      </c>
      <c r="B1828" s="198" t="s">
        <v>5345</v>
      </c>
      <c r="C1828" s="198" t="s">
        <v>23</v>
      </c>
      <c r="D1828" s="198" t="s">
        <v>2227</v>
      </c>
      <c r="E1828" s="4" t="s">
        <v>394</v>
      </c>
      <c r="F1828" s="4" t="s">
        <v>73</v>
      </c>
      <c r="G1828" s="4" t="s">
        <v>2272</v>
      </c>
      <c r="H1828" s="198" t="s">
        <v>522</v>
      </c>
      <c r="I1828" s="198"/>
      <c r="J1828" s="198">
        <v>0</v>
      </c>
      <c r="K1828" s="198">
        <v>0</v>
      </c>
      <c r="L1828" s="198">
        <v>0</v>
      </c>
      <c r="M1828" s="198">
        <v>0</v>
      </c>
      <c r="N1828" s="198">
        <v>0</v>
      </c>
      <c r="O1828" s="198">
        <v>0</v>
      </c>
      <c r="P1828" s="198">
        <v>0</v>
      </c>
      <c r="Q1828" s="198">
        <v>0</v>
      </c>
      <c r="R1828" s="198">
        <v>0</v>
      </c>
      <c r="S1828" s="198">
        <v>0</v>
      </c>
      <c r="T1828" s="198">
        <v>0</v>
      </c>
      <c r="U1828" s="198">
        <v>0</v>
      </c>
      <c r="V1828" s="198">
        <v>0</v>
      </c>
      <c r="W1828" s="198">
        <v>0</v>
      </c>
      <c r="X1828" s="198">
        <v>0</v>
      </c>
      <c r="Y1828" s="198">
        <v>0</v>
      </c>
      <c r="Z1828" s="4" t="s">
        <v>2272</v>
      </c>
      <c r="AA1828" s="4" t="s">
        <v>2272</v>
      </c>
      <c r="AB1828" s="4" t="s">
        <v>2272</v>
      </c>
      <c r="AC1828" s="4" t="s">
        <v>2272</v>
      </c>
      <c r="AD1828" s="4" t="s">
        <v>5346</v>
      </c>
      <c r="AE1828" s="198"/>
    </row>
    <row r="1829" spans="1:31" ht="29" customHeight="1">
      <c r="A1829" s="198" t="s">
        <v>5333</v>
      </c>
      <c r="B1829" s="198" t="s">
        <v>5347</v>
      </c>
      <c r="C1829" s="198" t="s">
        <v>23</v>
      </c>
      <c r="D1829" s="198" t="s">
        <v>26</v>
      </c>
      <c r="E1829" s="198" t="s">
        <v>128</v>
      </c>
      <c r="F1829" s="4" t="s">
        <v>73</v>
      </c>
      <c r="G1829" s="4" t="s">
        <v>2272</v>
      </c>
      <c r="H1829" s="198" t="s">
        <v>521</v>
      </c>
      <c r="I1829" s="198"/>
      <c r="J1829" s="4" t="s">
        <v>2272</v>
      </c>
      <c r="K1829" s="4" t="s">
        <v>2272</v>
      </c>
      <c r="L1829" s="4" t="s">
        <v>2272</v>
      </c>
      <c r="M1829" s="4" t="s">
        <v>2272</v>
      </c>
      <c r="N1829" s="4" t="s">
        <v>2272</v>
      </c>
      <c r="O1829" s="4" t="s">
        <v>2272</v>
      </c>
      <c r="P1829" s="4" t="s">
        <v>2272</v>
      </c>
      <c r="Q1829" s="4" t="s">
        <v>2272</v>
      </c>
      <c r="R1829" s="4" t="s">
        <v>2272</v>
      </c>
      <c r="S1829" s="4" t="s">
        <v>2272</v>
      </c>
      <c r="T1829" s="4" t="s">
        <v>2272</v>
      </c>
      <c r="U1829" s="4" t="s">
        <v>2272</v>
      </c>
      <c r="V1829" s="4" t="s">
        <v>2272</v>
      </c>
      <c r="W1829" s="4" t="s">
        <v>2272</v>
      </c>
      <c r="X1829" s="4" t="s">
        <v>2272</v>
      </c>
      <c r="Y1829" s="4" t="s">
        <v>2272</v>
      </c>
      <c r="Z1829" s="4" t="s">
        <v>2272</v>
      </c>
      <c r="AA1829" s="4" t="s">
        <v>2272</v>
      </c>
      <c r="AB1829" s="4" t="s">
        <v>2272</v>
      </c>
      <c r="AC1829" s="4" t="s">
        <v>2272</v>
      </c>
      <c r="AD1829" s="198"/>
      <c r="AE1829" s="198"/>
    </row>
    <row r="1830" spans="1:31" ht="28" customHeight="1">
      <c r="A1830" s="198" t="s">
        <v>5333</v>
      </c>
      <c r="B1830" s="198" t="s">
        <v>5348</v>
      </c>
      <c r="C1830" s="198" t="s">
        <v>23</v>
      </c>
      <c r="D1830" s="198" t="s">
        <v>2227</v>
      </c>
      <c r="E1830" s="198" t="s">
        <v>128</v>
      </c>
      <c r="F1830" s="4" t="s">
        <v>73</v>
      </c>
      <c r="G1830" s="4" t="s">
        <v>2272</v>
      </c>
      <c r="H1830" s="198" t="s">
        <v>521</v>
      </c>
      <c r="I1830" s="198"/>
      <c r="J1830" s="4" t="s">
        <v>2272</v>
      </c>
      <c r="K1830" s="4" t="s">
        <v>2272</v>
      </c>
      <c r="L1830" s="4" t="s">
        <v>2272</v>
      </c>
      <c r="M1830" s="4" t="s">
        <v>2272</v>
      </c>
      <c r="N1830" s="4" t="s">
        <v>2272</v>
      </c>
      <c r="O1830" s="4" t="s">
        <v>2272</v>
      </c>
      <c r="P1830" s="4" t="s">
        <v>2272</v>
      </c>
      <c r="Q1830" s="4" t="s">
        <v>2272</v>
      </c>
      <c r="R1830" s="4" t="s">
        <v>2272</v>
      </c>
      <c r="S1830" s="4" t="s">
        <v>2272</v>
      </c>
      <c r="T1830" s="4" t="s">
        <v>2272</v>
      </c>
      <c r="U1830" s="4" t="s">
        <v>2272</v>
      </c>
      <c r="V1830" s="4" t="s">
        <v>2272</v>
      </c>
      <c r="W1830" s="4" t="s">
        <v>2272</v>
      </c>
      <c r="X1830" s="4" t="s">
        <v>2272</v>
      </c>
      <c r="Y1830" s="4" t="s">
        <v>2272</v>
      </c>
      <c r="Z1830" s="4" t="s">
        <v>2272</v>
      </c>
      <c r="AA1830" s="4" t="s">
        <v>2272</v>
      </c>
      <c r="AB1830" s="4" t="s">
        <v>2272</v>
      </c>
      <c r="AC1830" s="4" t="s">
        <v>2272</v>
      </c>
      <c r="AD1830" s="198"/>
      <c r="AE1830" s="198"/>
    </row>
    <row r="1831" spans="1:31" ht="29">
      <c r="A1831" s="198" t="s">
        <v>5333</v>
      </c>
      <c r="B1831" s="198" t="s">
        <v>5349</v>
      </c>
      <c r="C1831" s="198" t="s">
        <v>23</v>
      </c>
      <c r="D1831" s="198" t="s">
        <v>2227</v>
      </c>
      <c r="E1831" s="4" t="s">
        <v>394</v>
      </c>
      <c r="F1831" s="4" t="s">
        <v>73</v>
      </c>
      <c r="G1831" s="4" t="s">
        <v>2272</v>
      </c>
      <c r="H1831" s="198" t="s">
        <v>521</v>
      </c>
      <c r="I1831" s="198"/>
      <c r="J1831" s="4" t="s">
        <v>2272</v>
      </c>
      <c r="K1831" s="4" t="s">
        <v>2272</v>
      </c>
      <c r="L1831" s="4" t="s">
        <v>2272</v>
      </c>
      <c r="M1831" s="4" t="s">
        <v>2272</v>
      </c>
      <c r="N1831" s="4" t="s">
        <v>2272</v>
      </c>
      <c r="O1831" s="4" t="s">
        <v>2272</v>
      </c>
      <c r="P1831" s="4" t="s">
        <v>2272</v>
      </c>
      <c r="Q1831" s="4" t="s">
        <v>2272</v>
      </c>
      <c r="R1831" s="4" t="s">
        <v>2272</v>
      </c>
      <c r="S1831" s="4" t="s">
        <v>2272</v>
      </c>
      <c r="T1831" s="4" t="s">
        <v>2272</v>
      </c>
      <c r="U1831" s="4" t="s">
        <v>2272</v>
      </c>
      <c r="V1831" s="4" t="s">
        <v>2272</v>
      </c>
      <c r="W1831" s="4" t="s">
        <v>2272</v>
      </c>
      <c r="X1831" s="4" t="s">
        <v>2272</v>
      </c>
      <c r="Y1831" s="4" t="s">
        <v>2272</v>
      </c>
      <c r="Z1831" s="4" t="s">
        <v>2272</v>
      </c>
      <c r="AA1831" s="4" t="s">
        <v>2272</v>
      </c>
      <c r="AB1831" s="4" t="s">
        <v>2272</v>
      </c>
      <c r="AC1831" s="4" t="s">
        <v>2272</v>
      </c>
      <c r="AD1831" s="198"/>
      <c r="AE1831" s="198"/>
    </row>
    <row r="1832" spans="1:31" ht="30" customHeight="1">
      <c r="A1832" s="198" t="s">
        <v>5355</v>
      </c>
      <c r="B1832" s="198" t="s">
        <v>5359</v>
      </c>
      <c r="C1832" s="198" t="s">
        <v>23</v>
      </c>
      <c r="D1832" s="49" t="s">
        <v>1241</v>
      </c>
      <c r="E1832" s="198" t="s">
        <v>114</v>
      </c>
      <c r="F1832" s="4" t="s">
        <v>2657</v>
      </c>
      <c r="G1832" s="4" t="s">
        <v>2272</v>
      </c>
      <c r="H1832" s="198" t="s">
        <v>521</v>
      </c>
      <c r="I1832" s="198"/>
      <c r="J1832" s="4" t="s">
        <v>2272</v>
      </c>
      <c r="K1832" s="4" t="s">
        <v>2272</v>
      </c>
      <c r="L1832" s="4" t="s">
        <v>2272</v>
      </c>
      <c r="M1832" s="4" t="s">
        <v>2272</v>
      </c>
      <c r="N1832" s="4" t="s">
        <v>2272</v>
      </c>
      <c r="O1832" s="4" t="s">
        <v>2272</v>
      </c>
      <c r="P1832" s="4" t="s">
        <v>2272</v>
      </c>
      <c r="Q1832" s="4" t="s">
        <v>2272</v>
      </c>
      <c r="R1832" s="4" t="s">
        <v>2272</v>
      </c>
      <c r="S1832" s="4" t="s">
        <v>2272</v>
      </c>
      <c r="T1832" s="4" t="s">
        <v>2272</v>
      </c>
      <c r="U1832" s="4" t="s">
        <v>2272</v>
      </c>
      <c r="V1832" s="4" t="s">
        <v>2272</v>
      </c>
      <c r="W1832" s="4" t="s">
        <v>2272</v>
      </c>
      <c r="X1832" s="4" t="s">
        <v>2272</v>
      </c>
      <c r="Y1832" s="4" t="s">
        <v>2272</v>
      </c>
      <c r="Z1832" s="4" t="s">
        <v>2272</v>
      </c>
      <c r="AA1832" s="4" t="s">
        <v>2272</v>
      </c>
      <c r="AB1832" s="4" t="s">
        <v>2272</v>
      </c>
      <c r="AC1832" s="4" t="s">
        <v>2272</v>
      </c>
      <c r="AD1832" s="198"/>
      <c r="AE1832" s="198"/>
    </row>
    <row r="1833" spans="1:31" ht="34.5" customHeight="1">
      <c r="A1833" s="198" t="s">
        <v>5355</v>
      </c>
      <c r="B1833" s="198" t="s">
        <v>5360</v>
      </c>
      <c r="C1833" s="198" t="s">
        <v>23</v>
      </c>
      <c r="D1833" s="49" t="s">
        <v>26</v>
      </c>
      <c r="E1833" s="198" t="s">
        <v>128</v>
      </c>
      <c r="F1833" s="4" t="s">
        <v>158</v>
      </c>
      <c r="G1833" s="4" t="s">
        <v>2272</v>
      </c>
      <c r="H1833" s="198" t="s">
        <v>521</v>
      </c>
      <c r="I1833" s="198"/>
      <c r="J1833" s="4" t="s">
        <v>2272</v>
      </c>
      <c r="K1833" s="4" t="s">
        <v>2272</v>
      </c>
      <c r="L1833" s="4" t="s">
        <v>2272</v>
      </c>
      <c r="M1833" s="4" t="s">
        <v>2272</v>
      </c>
      <c r="N1833" s="4" t="s">
        <v>2272</v>
      </c>
      <c r="O1833" s="4" t="s">
        <v>2272</v>
      </c>
      <c r="P1833" s="4" t="s">
        <v>2272</v>
      </c>
      <c r="Q1833" s="4" t="s">
        <v>2272</v>
      </c>
      <c r="R1833" s="4" t="s">
        <v>2272</v>
      </c>
      <c r="S1833" s="4" t="s">
        <v>2272</v>
      </c>
      <c r="T1833" s="4" t="s">
        <v>2272</v>
      </c>
      <c r="U1833" s="4" t="s">
        <v>2272</v>
      </c>
      <c r="V1833" s="4" t="s">
        <v>2272</v>
      </c>
      <c r="W1833" s="4" t="s">
        <v>2272</v>
      </c>
      <c r="X1833" s="4" t="s">
        <v>2272</v>
      </c>
      <c r="Y1833" s="4" t="s">
        <v>2272</v>
      </c>
      <c r="Z1833" s="4" t="s">
        <v>2272</v>
      </c>
      <c r="AA1833" s="4" t="s">
        <v>2272</v>
      </c>
      <c r="AB1833" s="4" t="s">
        <v>2272</v>
      </c>
      <c r="AC1833" s="4" t="s">
        <v>2272</v>
      </c>
      <c r="AD1833" s="198"/>
      <c r="AE1833" s="198"/>
    </row>
    <row r="1834" spans="1:31" ht="28" customHeight="1">
      <c r="A1834" s="198" t="s">
        <v>5364</v>
      </c>
      <c r="B1834" s="198" t="s">
        <v>5368</v>
      </c>
      <c r="C1834" s="198" t="s">
        <v>23</v>
      </c>
      <c r="D1834" s="198" t="s">
        <v>1238</v>
      </c>
      <c r="E1834" s="198" t="s">
        <v>114</v>
      </c>
      <c r="F1834" s="4" t="s">
        <v>73</v>
      </c>
      <c r="G1834" s="4" t="s">
        <v>2272</v>
      </c>
      <c r="H1834" s="198" t="s">
        <v>521</v>
      </c>
      <c r="I1834" s="198"/>
      <c r="J1834" s="4" t="s">
        <v>2272</v>
      </c>
      <c r="K1834" s="4" t="s">
        <v>2272</v>
      </c>
      <c r="L1834" s="4" t="s">
        <v>2272</v>
      </c>
      <c r="M1834" s="4" t="s">
        <v>2272</v>
      </c>
      <c r="N1834" s="4" t="s">
        <v>2272</v>
      </c>
      <c r="O1834" s="4" t="s">
        <v>2272</v>
      </c>
      <c r="P1834" s="4" t="s">
        <v>2272</v>
      </c>
      <c r="Q1834" s="4" t="s">
        <v>2272</v>
      </c>
      <c r="R1834" s="4" t="s">
        <v>2272</v>
      </c>
      <c r="S1834" s="4" t="s">
        <v>2272</v>
      </c>
      <c r="T1834" s="4" t="s">
        <v>2272</v>
      </c>
      <c r="U1834" s="4" t="s">
        <v>2272</v>
      </c>
      <c r="V1834" s="4" t="s">
        <v>2272</v>
      </c>
      <c r="W1834" s="4" t="s">
        <v>2272</v>
      </c>
      <c r="X1834" s="4" t="s">
        <v>2272</v>
      </c>
      <c r="Y1834" s="4" t="s">
        <v>2272</v>
      </c>
      <c r="Z1834" s="4" t="s">
        <v>2272</v>
      </c>
      <c r="AA1834" s="198" t="s">
        <v>187</v>
      </c>
      <c r="AB1834" s="198" t="s">
        <v>403</v>
      </c>
      <c r="AC1834" s="198" t="s">
        <v>2650</v>
      </c>
      <c r="AD1834" s="198"/>
      <c r="AE1834" s="198"/>
    </row>
    <row r="1835" spans="1:31" ht="30" customHeight="1">
      <c r="A1835" s="198" t="s">
        <v>5364</v>
      </c>
      <c r="B1835" s="198" t="s">
        <v>5369</v>
      </c>
      <c r="C1835" s="198" t="s">
        <v>23</v>
      </c>
      <c r="D1835" s="198" t="s">
        <v>24</v>
      </c>
      <c r="E1835" s="198" t="s">
        <v>44</v>
      </c>
      <c r="F1835" s="4" t="s">
        <v>54</v>
      </c>
      <c r="G1835" s="4" t="s">
        <v>2272</v>
      </c>
      <c r="H1835" s="198" t="s">
        <v>521</v>
      </c>
      <c r="I1835" s="198"/>
      <c r="J1835" s="4" t="s">
        <v>2272</v>
      </c>
      <c r="K1835" s="4" t="s">
        <v>2272</v>
      </c>
      <c r="L1835" s="4" t="s">
        <v>2272</v>
      </c>
      <c r="M1835" s="4" t="s">
        <v>2272</v>
      </c>
      <c r="N1835" s="4" t="s">
        <v>2272</v>
      </c>
      <c r="O1835" s="4" t="s">
        <v>2272</v>
      </c>
      <c r="P1835" s="4" t="s">
        <v>2272</v>
      </c>
      <c r="Q1835" s="4" t="s">
        <v>2272</v>
      </c>
      <c r="R1835" s="4" t="s">
        <v>2272</v>
      </c>
      <c r="S1835" s="4" t="s">
        <v>2272</v>
      </c>
      <c r="T1835" s="4" t="s">
        <v>2272</v>
      </c>
      <c r="U1835" s="4" t="s">
        <v>2272</v>
      </c>
      <c r="V1835" s="4" t="s">
        <v>2272</v>
      </c>
      <c r="W1835" s="4" t="s">
        <v>2272</v>
      </c>
      <c r="X1835" s="4" t="s">
        <v>2272</v>
      </c>
      <c r="Y1835" s="4" t="s">
        <v>2272</v>
      </c>
      <c r="Z1835" s="4" t="s">
        <v>2272</v>
      </c>
      <c r="AA1835" s="198" t="s">
        <v>187</v>
      </c>
      <c r="AB1835" s="198" t="s">
        <v>37</v>
      </c>
      <c r="AC1835" s="198" t="s">
        <v>2272</v>
      </c>
      <c r="AD1835" s="4" t="s">
        <v>5371</v>
      </c>
      <c r="AE1835" s="198"/>
    </row>
    <row r="1836" spans="1:31" ht="28" customHeight="1">
      <c r="A1836" s="198" t="s">
        <v>5364</v>
      </c>
      <c r="B1836" s="198" t="s">
        <v>5370</v>
      </c>
      <c r="C1836" s="198" t="s">
        <v>23</v>
      </c>
      <c r="D1836" s="198" t="s">
        <v>3475</v>
      </c>
      <c r="E1836" s="198" t="s">
        <v>114</v>
      </c>
      <c r="F1836" s="4" t="s">
        <v>73</v>
      </c>
      <c r="G1836" s="4" t="s">
        <v>2272</v>
      </c>
      <c r="H1836" s="198" t="s">
        <v>521</v>
      </c>
      <c r="I1836" s="198"/>
      <c r="J1836" s="4" t="s">
        <v>2272</v>
      </c>
      <c r="K1836" s="4" t="s">
        <v>2272</v>
      </c>
      <c r="L1836" s="4" t="s">
        <v>2272</v>
      </c>
      <c r="M1836" s="4" t="s">
        <v>2272</v>
      </c>
      <c r="N1836" s="4" t="s">
        <v>2272</v>
      </c>
      <c r="O1836" s="4" t="s">
        <v>2272</v>
      </c>
      <c r="P1836" s="4" t="s">
        <v>2272</v>
      </c>
      <c r="Q1836" s="4" t="s">
        <v>2272</v>
      </c>
      <c r="R1836" s="4" t="s">
        <v>2272</v>
      </c>
      <c r="S1836" s="4" t="s">
        <v>2272</v>
      </c>
      <c r="T1836" s="4" t="s">
        <v>2272</v>
      </c>
      <c r="U1836" s="4" t="s">
        <v>2272</v>
      </c>
      <c r="V1836" s="4" t="s">
        <v>2272</v>
      </c>
      <c r="W1836" s="4" t="s">
        <v>2272</v>
      </c>
      <c r="X1836" s="4" t="s">
        <v>2272</v>
      </c>
      <c r="Y1836" s="4" t="s">
        <v>2272</v>
      </c>
      <c r="Z1836" s="4" t="s">
        <v>2272</v>
      </c>
      <c r="AA1836" s="198" t="s">
        <v>187</v>
      </c>
      <c r="AB1836" s="198" t="s">
        <v>403</v>
      </c>
      <c r="AC1836" s="198" t="s">
        <v>2650</v>
      </c>
      <c r="AD1836" s="198"/>
      <c r="AE1836" s="198"/>
    </row>
    <row r="1837" spans="1:31" ht="51.5" customHeight="1">
      <c r="A1837" s="198" t="s">
        <v>5379</v>
      </c>
      <c r="B1837" s="198" t="s">
        <v>5382</v>
      </c>
      <c r="C1837" s="198" t="s">
        <v>23</v>
      </c>
      <c r="D1837" s="198" t="s">
        <v>1238</v>
      </c>
      <c r="E1837" s="198" t="s">
        <v>135</v>
      </c>
      <c r="F1837" s="4" t="s">
        <v>2657</v>
      </c>
      <c r="G1837" s="4" t="s">
        <v>2272</v>
      </c>
      <c r="H1837" s="198" t="s">
        <v>521</v>
      </c>
      <c r="I1837" s="198"/>
      <c r="J1837" s="4" t="s">
        <v>2272</v>
      </c>
      <c r="K1837" s="4" t="s">
        <v>2272</v>
      </c>
      <c r="L1837" s="4" t="s">
        <v>2272</v>
      </c>
      <c r="M1837" s="4" t="s">
        <v>2272</v>
      </c>
      <c r="N1837" s="4" t="s">
        <v>2272</v>
      </c>
      <c r="O1837" s="4" t="s">
        <v>2272</v>
      </c>
      <c r="P1837" s="21">
        <v>351</v>
      </c>
      <c r="Q1837" s="21">
        <v>685</v>
      </c>
      <c r="R1837" s="4" t="s">
        <v>2272</v>
      </c>
      <c r="S1837" s="4" t="s">
        <v>2272</v>
      </c>
      <c r="T1837" s="4" t="s">
        <v>2272</v>
      </c>
      <c r="U1837" s="4" t="s">
        <v>2272</v>
      </c>
      <c r="V1837" s="4" t="s">
        <v>2272</v>
      </c>
      <c r="W1837" s="4" t="s">
        <v>2272</v>
      </c>
      <c r="X1837" s="4" t="s">
        <v>2272</v>
      </c>
      <c r="Y1837" s="4" t="s">
        <v>2272</v>
      </c>
      <c r="Z1837" s="4" t="s">
        <v>2272</v>
      </c>
      <c r="AA1837" s="198" t="s">
        <v>403</v>
      </c>
      <c r="AB1837" s="198" t="s">
        <v>67</v>
      </c>
      <c r="AC1837" s="4" t="s">
        <v>2272</v>
      </c>
      <c r="AD1837" s="4" t="s">
        <v>5390</v>
      </c>
      <c r="AE1837" s="4" t="s">
        <v>5386</v>
      </c>
    </row>
    <row r="1838" spans="1:31" ht="50.5" customHeight="1">
      <c r="A1838" s="198" t="s">
        <v>5379</v>
      </c>
      <c r="B1838" s="198" t="s">
        <v>5383</v>
      </c>
      <c r="C1838" s="198" t="s">
        <v>23</v>
      </c>
      <c r="D1838" s="198" t="s">
        <v>1238</v>
      </c>
      <c r="E1838" s="198" t="s">
        <v>114</v>
      </c>
      <c r="F1838" s="4" t="s">
        <v>2657</v>
      </c>
      <c r="G1838" s="4" t="s">
        <v>2272</v>
      </c>
      <c r="H1838" s="198" t="s">
        <v>521</v>
      </c>
      <c r="I1838" s="198"/>
      <c r="J1838" s="4" t="s">
        <v>2272</v>
      </c>
      <c r="K1838" s="4" t="s">
        <v>2272</v>
      </c>
      <c r="L1838" s="4" t="s">
        <v>2272</v>
      </c>
      <c r="M1838" s="4" t="s">
        <v>2272</v>
      </c>
      <c r="N1838" s="4" t="s">
        <v>2272</v>
      </c>
      <c r="O1838" s="4" t="s">
        <v>2272</v>
      </c>
      <c r="P1838" s="21">
        <v>4</v>
      </c>
      <c r="Q1838" s="21">
        <v>4</v>
      </c>
      <c r="R1838" s="4" t="s">
        <v>2272</v>
      </c>
      <c r="S1838" s="4" t="s">
        <v>2272</v>
      </c>
      <c r="T1838" s="4" t="s">
        <v>2272</v>
      </c>
      <c r="U1838" s="4" t="s">
        <v>2272</v>
      </c>
      <c r="V1838" s="4" t="s">
        <v>2272</v>
      </c>
      <c r="W1838" s="4" t="s">
        <v>2272</v>
      </c>
      <c r="X1838" s="4" t="s">
        <v>2272</v>
      </c>
      <c r="Y1838" s="4" t="s">
        <v>2272</v>
      </c>
      <c r="Z1838" s="4" t="s">
        <v>2272</v>
      </c>
      <c r="AA1838" s="198" t="s">
        <v>403</v>
      </c>
      <c r="AB1838" s="198" t="s">
        <v>67</v>
      </c>
      <c r="AC1838" s="198" t="s">
        <v>2650</v>
      </c>
      <c r="AD1838" s="4" t="s">
        <v>5391</v>
      </c>
      <c r="AE1838" s="4" t="s">
        <v>5385</v>
      </c>
    </row>
    <row r="1839" spans="1:31" ht="59" customHeight="1">
      <c r="A1839" s="198" t="s">
        <v>5379</v>
      </c>
      <c r="B1839" s="198" t="s">
        <v>5384</v>
      </c>
      <c r="C1839" s="198" t="s">
        <v>2453</v>
      </c>
      <c r="D1839" s="198" t="s">
        <v>1238</v>
      </c>
      <c r="E1839" s="198" t="s">
        <v>135</v>
      </c>
      <c r="F1839" s="4" t="s">
        <v>2657</v>
      </c>
      <c r="G1839" s="4" t="s">
        <v>2272</v>
      </c>
      <c r="H1839" s="198" t="s">
        <v>521</v>
      </c>
      <c r="I1839" s="198"/>
      <c r="J1839" s="4" t="s">
        <v>2272</v>
      </c>
      <c r="K1839" s="4" t="s">
        <v>2272</v>
      </c>
      <c r="L1839" s="4" t="s">
        <v>2272</v>
      </c>
      <c r="M1839" s="4" t="s">
        <v>2272</v>
      </c>
      <c r="N1839" s="4" t="s">
        <v>2272</v>
      </c>
      <c r="O1839" s="4" t="s">
        <v>2272</v>
      </c>
      <c r="P1839" s="4" t="s">
        <v>2272</v>
      </c>
      <c r="Q1839" s="21">
        <f>Q1837-P1837</f>
        <v>334</v>
      </c>
      <c r="R1839" s="4" t="s">
        <v>2272</v>
      </c>
      <c r="S1839" s="4" t="s">
        <v>2272</v>
      </c>
      <c r="T1839" s="4" t="s">
        <v>2272</v>
      </c>
      <c r="U1839" s="4" t="s">
        <v>2272</v>
      </c>
      <c r="V1839" s="4" t="s">
        <v>2272</v>
      </c>
      <c r="W1839" s="4" t="s">
        <v>2272</v>
      </c>
      <c r="X1839" s="4" t="s">
        <v>2272</v>
      </c>
      <c r="Y1839" s="4" t="s">
        <v>2272</v>
      </c>
      <c r="Z1839" s="4" t="s">
        <v>2272</v>
      </c>
      <c r="AA1839" s="198" t="s">
        <v>403</v>
      </c>
      <c r="AB1839" s="198" t="s">
        <v>67</v>
      </c>
      <c r="AC1839" s="4" t="s">
        <v>2272</v>
      </c>
      <c r="AD1839" s="4"/>
      <c r="AE1839" s="198"/>
    </row>
    <row r="1840" spans="1:31" ht="37" customHeight="1">
      <c r="A1840" s="198" t="s">
        <v>5397</v>
      </c>
      <c r="B1840" s="198" t="s">
        <v>5401</v>
      </c>
      <c r="C1840" s="198" t="s">
        <v>23</v>
      </c>
      <c r="D1840" s="198" t="s">
        <v>1238</v>
      </c>
      <c r="E1840" s="198" t="s">
        <v>114</v>
      </c>
      <c r="F1840" s="4" t="s">
        <v>2657</v>
      </c>
      <c r="G1840" s="4" t="s">
        <v>2272</v>
      </c>
      <c r="H1840" s="198" t="s">
        <v>521</v>
      </c>
      <c r="I1840" s="198"/>
      <c r="J1840" s="4" t="s">
        <v>2272</v>
      </c>
      <c r="K1840" s="4" t="s">
        <v>2272</v>
      </c>
      <c r="L1840" s="4" t="s">
        <v>2272</v>
      </c>
      <c r="M1840" s="4" t="s">
        <v>2272</v>
      </c>
      <c r="N1840" s="4" t="s">
        <v>2272</v>
      </c>
      <c r="O1840" s="4" t="s">
        <v>2272</v>
      </c>
      <c r="P1840" s="4" t="s">
        <v>2272</v>
      </c>
      <c r="Q1840" s="4" t="s">
        <v>2272</v>
      </c>
      <c r="R1840" s="4" t="s">
        <v>2272</v>
      </c>
      <c r="S1840" s="4" t="s">
        <v>2272</v>
      </c>
      <c r="T1840" s="4" t="s">
        <v>2272</v>
      </c>
      <c r="U1840" s="4" t="s">
        <v>2272</v>
      </c>
      <c r="V1840" s="4" t="s">
        <v>2272</v>
      </c>
      <c r="W1840" s="4" t="s">
        <v>2272</v>
      </c>
      <c r="X1840" s="4" t="s">
        <v>2272</v>
      </c>
      <c r="Y1840" s="4" t="s">
        <v>2272</v>
      </c>
      <c r="Z1840" s="4" t="s">
        <v>2272</v>
      </c>
      <c r="AA1840" s="198" t="s">
        <v>37</v>
      </c>
      <c r="AB1840" s="198" t="s">
        <v>67</v>
      </c>
      <c r="AC1840" s="4" t="s">
        <v>2272</v>
      </c>
      <c r="AD1840" s="198"/>
      <c r="AE1840" s="198"/>
    </row>
    <row r="1841" spans="1:31" ht="29">
      <c r="A1841" s="198" t="s">
        <v>5397</v>
      </c>
      <c r="B1841" s="198" t="s">
        <v>5402</v>
      </c>
      <c r="C1841" s="198" t="s">
        <v>23</v>
      </c>
      <c r="D1841" s="198" t="s">
        <v>1241</v>
      </c>
      <c r="E1841" s="198" t="s">
        <v>114</v>
      </c>
      <c r="F1841" s="4" t="s">
        <v>2657</v>
      </c>
      <c r="G1841" s="4" t="s">
        <v>2272</v>
      </c>
      <c r="H1841" s="198" t="s">
        <v>521</v>
      </c>
      <c r="I1841" s="198"/>
      <c r="J1841" s="4" t="s">
        <v>2272</v>
      </c>
      <c r="K1841" s="4" t="s">
        <v>2272</v>
      </c>
      <c r="L1841" s="4" t="s">
        <v>2272</v>
      </c>
      <c r="M1841" s="4" t="s">
        <v>2272</v>
      </c>
      <c r="N1841" s="4" t="s">
        <v>2272</v>
      </c>
      <c r="O1841" s="4" t="s">
        <v>2272</v>
      </c>
      <c r="P1841" s="4" t="s">
        <v>2272</v>
      </c>
      <c r="Q1841" s="4" t="s">
        <v>2272</v>
      </c>
      <c r="R1841" s="4" t="s">
        <v>2272</v>
      </c>
      <c r="S1841" s="4" t="s">
        <v>2272</v>
      </c>
      <c r="T1841" s="4" t="s">
        <v>2272</v>
      </c>
      <c r="U1841" s="4" t="s">
        <v>2272</v>
      </c>
      <c r="V1841" s="4" t="s">
        <v>2272</v>
      </c>
      <c r="W1841" s="4" t="s">
        <v>2272</v>
      </c>
      <c r="X1841" s="4" t="s">
        <v>2272</v>
      </c>
      <c r="Y1841" s="4" t="s">
        <v>2272</v>
      </c>
      <c r="Z1841" s="4" t="s">
        <v>2272</v>
      </c>
      <c r="AA1841" s="198" t="s">
        <v>37</v>
      </c>
      <c r="AB1841" s="198" t="s">
        <v>67</v>
      </c>
      <c r="AC1841" s="4" t="s">
        <v>2272</v>
      </c>
      <c r="AD1841" s="198"/>
      <c r="AE1841" s="198"/>
    </row>
    <row r="1842" spans="1:31" ht="29">
      <c r="A1842" s="198" t="s">
        <v>5397</v>
      </c>
      <c r="B1842" s="198" t="s">
        <v>5403</v>
      </c>
      <c r="C1842" s="198" t="s">
        <v>23</v>
      </c>
      <c r="D1842" s="198" t="s">
        <v>2272</v>
      </c>
      <c r="E1842" s="198" t="s">
        <v>114</v>
      </c>
      <c r="F1842" s="4" t="s">
        <v>2657</v>
      </c>
      <c r="G1842" s="4" t="s">
        <v>2272</v>
      </c>
      <c r="H1842" s="198" t="s">
        <v>521</v>
      </c>
      <c r="I1842" s="198"/>
      <c r="J1842" s="4" t="s">
        <v>2272</v>
      </c>
      <c r="K1842" s="4" t="s">
        <v>2272</v>
      </c>
      <c r="L1842" s="4" t="s">
        <v>2272</v>
      </c>
      <c r="M1842" s="4" t="s">
        <v>2272</v>
      </c>
      <c r="N1842" s="4" t="s">
        <v>2272</v>
      </c>
      <c r="O1842" s="4" t="s">
        <v>2272</v>
      </c>
      <c r="P1842" s="4" t="s">
        <v>2272</v>
      </c>
      <c r="Q1842" s="4" t="s">
        <v>2272</v>
      </c>
      <c r="R1842" s="4" t="s">
        <v>2272</v>
      </c>
      <c r="S1842" s="4" t="s">
        <v>2272</v>
      </c>
      <c r="T1842" s="4" t="s">
        <v>2272</v>
      </c>
      <c r="U1842" s="4" t="s">
        <v>2272</v>
      </c>
      <c r="V1842" s="4" t="s">
        <v>2272</v>
      </c>
      <c r="W1842" s="4" t="s">
        <v>2272</v>
      </c>
      <c r="X1842" s="4" t="s">
        <v>2272</v>
      </c>
      <c r="Y1842" s="4" t="s">
        <v>2272</v>
      </c>
      <c r="Z1842" s="4" t="s">
        <v>2272</v>
      </c>
      <c r="AA1842" s="198" t="s">
        <v>37</v>
      </c>
      <c r="AB1842" s="198" t="s">
        <v>67</v>
      </c>
      <c r="AC1842" s="4" t="s">
        <v>2272</v>
      </c>
      <c r="AD1842" s="198"/>
      <c r="AE1842" s="198"/>
    </row>
    <row r="1843" spans="1:31" ht="37" customHeight="1">
      <c r="A1843" s="198" t="s">
        <v>5397</v>
      </c>
      <c r="B1843" s="198" t="s">
        <v>5404</v>
      </c>
      <c r="C1843" s="198" t="s">
        <v>23</v>
      </c>
      <c r="D1843" s="198" t="s">
        <v>24</v>
      </c>
      <c r="E1843" s="198" t="s">
        <v>2642</v>
      </c>
      <c r="F1843" s="4" t="s">
        <v>28</v>
      </c>
      <c r="G1843" s="4" t="s">
        <v>2272</v>
      </c>
      <c r="H1843" s="198" t="s">
        <v>521</v>
      </c>
      <c r="I1843" s="198"/>
      <c r="J1843" s="4" t="s">
        <v>2272</v>
      </c>
      <c r="K1843" s="4" t="s">
        <v>2272</v>
      </c>
      <c r="L1843" s="4" t="s">
        <v>2272</v>
      </c>
      <c r="M1843" s="4" t="s">
        <v>2272</v>
      </c>
      <c r="N1843" s="4" t="s">
        <v>2272</v>
      </c>
      <c r="O1843" s="4" t="s">
        <v>2272</v>
      </c>
      <c r="P1843" s="4" t="s">
        <v>2272</v>
      </c>
      <c r="Q1843" s="4" t="s">
        <v>2272</v>
      </c>
      <c r="R1843" s="4" t="s">
        <v>2272</v>
      </c>
      <c r="S1843" s="4" t="s">
        <v>2272</v>
      </c>
      <c r="T1843" s="4" t="s">
        <v>2272</v>
      </c>
      <c r="U1843" s="4" t="s">
        <v>2272</v>
      </c>
      <c r="V1843" s="4" t="s">
        <v>2272</v>
      </c>
      <c r="W1843" s="4" t="s">
        <v>2272</v>
      </c>
      <c r="X1843" s="4" t="s">
        <v>2272</v>
      </c>
      <c r="Y1843" s="4" t="s">
        <v>2272</v>
      </c>
      <c r="Z1843" s="4" t="s">
        <v>2272</v>
      </c>
      <c r="AA1843" s="198" t="s">
        <v>37</v>
      </c>
      <c r="AB1843" s="198" t="s">
        <v>67</v>
      </c>
      <c r="AC1843" s="4" t="s">
        <v>2272</v>
      </c>
      <c r="AD1843" s="198"/>
      <c r="AE1843" s="198"/>
    </row>
    <row r="1844" spans="1:31" ht="37" customHeight="1">
      <c r="A1844" s="198" t="s">
        <v>5397</v>
      </c>
      <c r="B1844" s="198" t="s">
        <v>5405</v>
      </c>
      <c r="C1844" s="198" t="s">
        <v>23</v>
      </c>
      <c r="D1844" s="198" t="s">
        <v>1238</v>
      </c>
      <c r="E1844" s="198" t="s">
        <v>2642</v>
      </c>
      <c r="F1844" s="4" t="s">
        <v>28</v>
      </c>
      <c r="G1844" s="4" t="s">
        <v>2272</v>
      </c>
      <c r="H1844" s="198" t="s">
        <v>521</v>
      </c>
      <c r="I1844" s="198"/>
      <c r="J1844" s="4" t="s">
        <v>2272</v>
      </c>
      <c r="K1844" s="4" t="s">
        <v>2272</v>
      </c>
      <c r="L1844" s="4" t="s">
        <v>2272</v>
      </c>
      <c r="M1844" s="4" t="s">
        <v>2272</v>
      </c>
      <c r="N1844" s="4" t="s">
        <v>2272</v>
      </c>
      <c r="O1844" s="4" t="s">
        <v>2272</v>
      </c>
      <c r="P1844" s="4" t="s">
        <v>2272</v>
      </c>
      <c r="Q1844" s="4" t="s">
        <v>2272</v>
      </c>
      <c r="R1844" s="4" t="s">
        <v>2272</v>
      </c>
      <c r="S1844" s="4" t="s">
        <v>2272</v>
      </c>
      <c r="T1844" s="4" t="s">
        <v>2272</v>
      </c>
      <c r="U1844" s="4" t="s">
        <v>2272</v>
      </c>
      <c r="V1844" s="4" t="s">
        <v>2272</v>
      </c>
      <c r="W1844" s="4" t="s">
        <v>2272</v>
      </c>
      <c r="X1844" s="4" t="s">
        <v>2272</v>
      </c>
      <c r="Y1844" s="4" t="s">
        <v>2272</v>
      </c>
      <c r="Z1844" s="4" t="s">
        <v>2272</v>
      </c>
      <c r="AA1844" s="198" t="s">
        <v>37</v>
      </c>
      <c r="AB1844" s="198" t="s">
        <v>67</v>
      </c>
      <c r="AC1844" s="4" t="s">
        <v>2272</v>
      </c>
      <c r="AD1844" s="198"/>
      <c r="AE1844" s="198"/>
    </row>
    <row r="1845" spans="1:31" ht="28" customHeight="1">
      <c r="A1845" s="198" t="s">
        <v>5408</v>
      </c>
      <c r="B1845" s="198" t="s">
        <v>5410</v>
      </c>
      <c r="C1845" s="198" t="s">
        <v>23</v>
      </c>
      <c r="D1845" s="198" t="s">
        <v>1238</v>
      </c>
      <c r="E1845" s="198" t="s">
        <v>135</v>
      </c>
      <c r="F1845" s="4" t="s">
        <v>73</v>
      </c>
      <c r="G1845" s="4" t="s">
        <v>2272</v>
      </c>
      <c r="H1845" s="198" t="s">
        <v>521</v>
      </c>
      <c r="I1845" s="198"/>
      <c r="J1845" s="4" t="s">
        <v>2272</v>
      </c>
      <c r="K1845" s="4" t="s">
        <v>2272</v>
      </c>
      <c r="L1845" s="4" t="s">
        <v>2272</v>
      </c>
      <c r="M1845" s="4" t="s">
        <v>2272</v>
      </c>
      <c r="N1845" s="4" t="s">
        <v>2272</v>
      </c>
      <c r="O1845" s="4" t="s">
        <v>2272</v>
      </c>
      <c r="P1845" s="4" t="s">
        <v>2272</v>
      </c>
      <c r="Q1845" s="4" t="s">
        <v>2272</v>
      </c>
      <c r="R1845" s="4" t="s">
        <v>2272</v>
      </c>
      <c r="S1845" s="4" t="s">
        <v>2272</v>
      </c>
      <c r="T1845" s="4" t="s">
        <v>2272</v>
      </c>
      <c r="U1845" s="4" t="s">
        <v>2272</v>
      </c>
      <c r="V1845" s="4" t="s">
        <v>2272</v>
      </c>
      <c r="W1845" s="4" t="s">
        <v>2272</v>
      </c>
      <c r="X1845" s="4" t="s">
        <v>2272</v>
      </c>
      <c r="Y1845" s="4" t="s">
        <v>2272</v>
      </c>
      <c r="Z1845" s="4" t="s">
        <v>2272</v>
      </c>
      <c r="AA1845" s="4" t="s">
        <v>2272</v>
      </c>
      <c r="AB1845" s="4" t="s">
        <v>2272</v>
      </c>
      <c r="AC1845" s="4" t="s">
        <v>2272</v>
      </c>
      <c r="AD1845" s="198"/>
      <c r="AE1845" s="198"/>
    </row>
    <row r="1846" spans="1:31" ht="32" customHeight="1">
      <c r="A1846" s="198" t="s">
        <v>5408</v>
      </c>
      <c r="B1846" s="198" t="s">
        <v>5411</v>
      </c>
      <c r="C1846" s="198" t="s">
        <v>23</v>
      </c>
      <c r="D1846" s="198" t="s">
        <v>3475</v>
      </c>
      <c r="E1846" s="198" t="s">
        <v>114</v>
      </c>
      <c r="F1846" s="4" t="s">
        <v>54</v>
      </c>
      <c r="G1846" s="4" t="s">
        <v>2272</v>
      </c>
      <c r="H1846" s="198" t="s">
        <v>521</v>
      </c>
      <c r="I1846" s="198"/>
      <c r="J1846" s="4" t="s">
        <v>2272</v>
      </c>
      <c r="K1846" s="4" t="s">
        <v>2272</v>
      </c>
      <c r="L1846" s="4" t="s">
        <v>2272</v>
      </c>
      <c r="M1846" s="4" t="s">
        <v>2272</v>
      </c>
      <c r="N1846" s="4" t="s">
        <v>2272</v>
      </c>
      <c r="O1846" s="4" t="s">
        <v>2272</v>
      </c>
      <c r="P1846" s="4" t="s">
        <v>2272</v>
      </c>
      <c r="Q1846" s="4" t="s">
        <v>2272</v>
      </c>
      <c r="R1846" s="4" t="s">
        <v>2272</v>
      </c>
      <c r="S1846" s="4" t="s">
        <v>2272</v>
      </c>
      <c r="T1846" s="4" t="s">
        <v>2272</v>
      </c>
      <c r="U1846" s="4" t="s">
        <v>2272</v>
      </c>
      <c r="V1846" s="4" t="s">
        <v>2272</v>
      </c>
      <c r="W1846" s="4" t="s">
        <v>2272</v>
      </c>
      <c r="X1846" s="4" t="s">
        <v>2272</v>
      </c>
      <c r="Y1846" s="4" t="s">
        <v>2272</v>
      </c>
      <c r="Z1846" s="4" t="s">
        <v>2272</v>
      </c>
      <c r="AA1846" s="4" t="s">
        <v>2272</v>
      </c>
      <c r="AB1846" s="4" t="s">
        <v>2272</v>
      </c>
      <c r="AC1846" s="4" t="s">
        <v>2272</v>
      </c>
      <c r="AD1846" s="4" t="s">
        <v>5412</v>
      </c>
      <c r="AE1846" s="198"/>
    </row>
    <row r="1847" spans="1:31" ht="37" customHeight="1">
      <c r="A1847" s="198" t="s">
        <v>5415</v>
      </c>
      <c r="B1847" s="198" t="s">
        <v>5417</v>
      </c>
      <c r="C1847" s="198" t="s">
        <v>23</v>
      </c>
      <c r="D1847" s="198" t="s">
        <v>1238</v>
      </c>
      <c r="E1847" s="198" t="s">
        <v>135</v>
      </c>
      <c r="F1847" s="4" t="s">
        <v>2657</v>
      </c>
      <c r="G1847" s="4" t="s">
        <v>2272</v>
      </c>
      <c r="H1847" s="198" t="s">
        <v>521</v>
      </c>
      <c r="I1847" s="198"/>
      <c r="J1847" s="4" t="s">
        <v>2272</v>
      </c>
      <c r="K1847" s="4" t="s">
        <v>2272</v>
      </c>
      <c r="L1847" s="4" t="s">
        <v>2272</v>
      </c>
      <c r="M1847" s="4" t="s">
        <v>2272</v>
      </c>
      <c r="N1847" s="4" t="s">
        <v>2272</v>
      </c>
      <c r="O1847" s="4" t="s">
        <v>2272</v>
      </c>
      <c r="P1847" s="4" t="s">
        <v>2272</v>
      </c>
      <c r="Q1847" s="4" t="s">
        <v>2272</v>
      </c>
      <c r="R1847" s="4" t="s">
        <v>2272</v>
      </c>
      <c r="S1847" s="4" t="s">
        <v>2272</v>
      </c>
      <c r="T1847" s="4" t="s">
        <v>2272</v>
      </c>
      <c r="U1847" s="4" t="s">
        <v>2272</v>
      </c>
      <c r="V1847" s="4" t="s">
        <v>2272</v>
      </c>
      <c r="W1847" s="4" t="s">
        <v>2272</v>
      </c>
      <c r="X1847" s="4" t="s">
        <v>2272</v>
      </c>
      <c r="Y1847" s="4" t="s">
        <v>2272</v>
      </c>
      <c r="Z1847" s="4" t="s">
        <v>2272</v>
      </c>
      <c r="AA1847" s="198" t="s">
        <v>37</v>
      </c>
      <c r="AB1847" s="198" t="s">
        <v>402</v>
      </c>
      <c r="AC1847" s="198" t="s">
        <v>2650</v>
      </c>
      <c r="AD1847" s="198"/>
      <c r="AE1847" s="198"/>
    </row>
    <row r="1848" spans="1:31" ht="35.5" customHeight="1">
      <c r="A1848" s="198" t="s">
        <v>5415</v>
      </c>
      <c r="B1848" s="198" t="s">
        <v>5418</v>
      </c>
      <c r="C1848" s="198" t="s">
        <v>23</v>
      </c>
      <c r="D1848" s="198" t="s">
        <v>1238</v>
      </c>
      <c r="E1848" s="198" t="s">
        <v>114</v>
      </c>
      <c r="F1848" s="4" t="s">
        <v>2657</v>
      </c>
      <c r="G1848" s="4" t="s">
        <v>2272</v>
      </c>
      <c r="H1848" s="198" t="s">
        <v>521</v>
      </c>
      <c r="I1848" s="198"/>
      <c r="J1848" s="4" t="s">
        <v>2272</v>
      </c>
      <c r="K1848" s="4" t="s">
        <v>2272</v>
      </c>
      <c r="L1848" s="4" t="s">
        <v>2272</v>
      </c>
      <c r="M1848" s="4" t="s">
        <v>2272</v>
      </c>
      <c r="N1848" s="4" t="s">
        <v>2272</v>
      </c>
      <c r="O1848" s="4" t="s">
        <v>2272</v>
      </c>
      <c r="P1848" s="4" t="s">
        <v>2272</v>
      </c>
      <c r="Q1848" s="4" t="s">
        <v>2272</v>
      </c>
      <c r="R1848" s="4" t="s">
        <v>2272</v>
      </c>
      <c r="S1848" s="4" t="s">
        <v>2272</v>
      </c>
      <c r="T1848" s="4" t="s">
        <v>2272</v>
      </c>
      <c r="U1848" s="4" t="s">
        <v>2272</v>
      </c>
      <c r="V1848" s="4" t="s">
        <v>2272</v>
      </c>
      <c r="W1848" s="4" t="s">
        <v>2272</v>
      </c>
      <c r="X1848" s="4" t="s">
        <v>2272</v>
      </c>
      <c r="Y1848" s="4" t="s">
        <v>2272</v>
      </c>
      <c r="Z1848" s="4" t="s">
        <v>2272</v>
      </c>
      <c r="AA1848" s="198" t="s">
        <v>37</v>
      </c>
      <c r="AB1848" s="198" t="s">
        <v>402</v>
      </c>
      <c r="AC1848" s="198" t="s">
        <v>2650</v>
      </c>
      <c r="AD1848" s="198"/>
      <c r="AE1848" s="198"/>
    </row>
    <row r="1849" spans="1:31" ht="45.5" customHeight="1">
      <c r="A1849" s="198" t="s">
        <v>5421</v>
      </c>
      <c r="B1849" s="198" t="s">
        <v>5424</v>
      </c>
      <c r="C1849" s="198" t="s">
        <v>23</v>
      </c>
      <c r="D1849" s="198" t="s">
        <v>1238</v>
      </c>
      <c r="E1849" s="198" t="s">
        <v>135</v>
      </c>
      <c r="F1849" s="4" t="s">
        <v>73</v>
      </c>
      <c r="G1849" s="4" t="s">
        <v>2272</v>
      </c>
      <c r="H1849" s="198" t="s">
        <v>522</v>
      </c>
      <c r="I1849" s="198">
        <v>2016</v>
      </c>
      <c r="J1849" s="21">
        <v>0</v>
      </c>
      <c r="K1849" s="21">
        <v>0</v>
      </c>
      <c r="L1849" s="21">
        <v>0</v>
      </c>
      <c r="M1849" s="21">
        <v>0</v>
      </c>
      <c r="N1849" s="21">
        <v>0</v>
      </c>
      <c r="O1849" s="21">
        <v>0</v>
      </c>
      <c r="P1849" s="21">
        <v>0</v>
      </c>
      <c r="Q1849" s="21">
        <v>0</v>
      </c>
      <c r="R1849" s="21">
        <v>0</v>
      </c>
      <c r="S1849" s="21">
        <v>0</v>
      </c>
      <c r="T1849" s="21">
        <v>0</v>
      </c>
      <c r="U1849" s="21"/>
      <c r="V1849" s="21">
        <v>0</v>
      </c>
      <c r="W1849" s="21">
        <v>0</v>
      </c>
      <c r="X1849" s="21">
        <v>0</v>
      </c>
      <c r="Y1849" s="21">
        <v>0</v>
      </c>
      <c r="Z1849" s="4" t="s">
        <v>2272</v>
      </c>
      <c r="AA1849" s="4" t="s">
        <v>2272</v>
      </c>
      <c r="AB1849" s="4" t="s">
        <v>2272</v>
      </c>
      <c r="AC1849" s="4" t="s">
        <v>2272</v>
      </c>
      <c r="AD1849" s="4" t="s">
        <v>5429</v>
      </c>
      <c r="AE1849" s="198"/>
    </row>
    <row r="1850" spans="1:31" ht="45.5" customHeight="1">
      <c r="A1850" s="198" t="s">
        <v>5421</v>
      </c>
      <c r="B1850" s="198" t="s">
        <v>5425</v>
      </c>
      <c r="C1850" s="198" t="s">
        <v>23</v>
      </c>
      <c r="D1850" s="198" t="s">
        <v>1238</v>
      </c>
      <c r="E1850" s="198" t="s">
        <v>114</v>
      </c>
      <c r="F1850" s="4" t="s">
        <v>73</v>
      </c>
      <c r="G1850" s="4" t="s">
        <v>2272</v>
      </c>
      <c r="H1850" s="198" t="s">
        <v>522</v>
      </c>
      <c r="I1850" s="198">
        <v>2016</v>
      </c>
      <c r="J1850" s="21">
        <v>0</v>
      </c>
      <c r="K1850" s="21">
        <v>0</v>
      </c>
      <c r="L1850" s="21">
        <v>0</v>
      </c>
      <c r="M1850" s="21">
        <v>0</v>
      </c>
      <c r="N1850" s="21">
        <v>0</v>
      </c>
      <c r="O1850" s="21">
        <v>0</v>
      </c>
      <c r="P1850" s="21">
        <v>0</v>
      </c>
      <c r="Q1850" s="21">
        <v>0</v>
      </c>
      <c r="R1850" s="21">
        <v>0</v>
      </c>
      <c r="S1850" s="21">
        <v>0</v>
      </c>
      <c r="T1850" s="21">
        <v>0</v>
      </c>
      <c r="U1850" s="21"/>
      <c r="V1850" s="21">
        <v>0</v>
      </c>
      <c r="W1850" s="21">
        <v>0</v>
      </c>
      <c r="X1850" s="21">
        <v>0</v>
      </c>
      <c r="Y1850" s="21">
        <v>0</v>
      </c>
      <c r="Z1850" s="4" t="s">
        <v>2272</v>
      </c>
      <c r="AA1850" s="4" t="s">
        <v>2272</v>
      </c>
      <c r="AB1850" s="4" t="s">
        <v>2272</v>
      </c>
      <c r="AC1850" s="4" t="s">
        <v>2272</v>
      </c>
      <c r="AD1850" s="4" t="s">
        <v>5429</v>
      </c>
      <c r="AE1850" s="198"/>
    </row>
    <row r="1851" spans="1:31" ht="45.5" customHeight="1">
      <c r="A1851" s="198" t="s">
        <v>5421</v>
      </c>
      <c r="B1851" s="198" t="s">
        <v>5426</v>
      </c>
      <c r="C1851" s="198" t="s">
        <v>2651</v>
      </c>
      <c r="D1851" s="198" t="s">
        <v>2272</v>
      </c>
      <c r="E1851" s="198" t="s">
        <v>2272</v>
      </c>
      <c r="F1851" s="4" t="s">
        <v>2272</v>
      </c>
      <c r="G1851" s="198" t="s">
        <v>73</v>
      </c>
      <c r="H1851" s="198" t="s">
        <v>521</v>
      </c>
      <c r="I1851" s="198">
        <v>2016</v>
      </c>
      <c r="J1851" s="4" t="s">
        <v>2272</v>
      </c>
      <c r="K1851" s="4" t="s">
        <v>2272</v>
      </c>
      <c r="L1851" s="4" t="s">
        <v>2272</v>
      </c>
      <c r="M1851" s="4" t="s">
        <v>2272</v>
      </c>
      <c r="N1851" s="4" t="s">
        <v>2272</v>
      </c>
      <c r="O1851" s="4" t="s">
        <v>2272</v>
      </c>
      <c r="P1851" s="4" t="s">
        <v>2272</v>
      </c>
      <c r="Q1851" s="4" t="s">
        <v>2272</v>
      </c>
      <c r="R1851" s="4" t="s">
        <v>2272</v>
      </c>
      <c r="S1851" s="4" t="s">
        <v>2272</v>
      </c>
      <c r="T1851" s="4" t="s">
        <v>2272</v>
      </c>
      <c r="U1851" s="21">
        <v>1140</v>
      </c>
      <c r="V1851" s="4" t="s">
        <v>2272</v>
      </c>
      <c r="W1851" s="4" t="s">
        <v>2272</v>
      </c>
      <c r="X1851" s="4" t="s">
        <v>2272</v>
      </c>
      <c r="Y1851" s="4" t="s">
        <v>2272</v>
      </c>
      <c r="Z1851" s="4" t="s">
        <v>2272</v>
      </c>
      <c r="AA1851" s="198" t="s">
        <v>403</v>
      </c>
      <c r="AB1851" s="4" t="s">
        <v>2272</v>
      </c>
      <c r="AC1851" s="4" t="s">
        <v>2272</v>
      </c>
      <c r="AD1851" s="4" t="s">
        <v>5430</v>
      </c>
      <c r="AE1851" s="198"/>
    </row>
    <row r="1852" spans="1:31" ht="45.5" customHeight="1">
      <c r="A1852" s="5" t="s">
        <v>5421</v>
      </c>
      <c r="B1852" s="5" t="s">
        <v>5427</v>
      </c>
      <c r="C1852" s="198" t="s">
        <v>23</v>
      </c>
      <c r="D1852" s="198" t="s">
        <v>1238</v>
      </c>
      <c r="E1852" s="198" t="s">
        <v>135</v>
      </c>
      <c r="F1852" s="4" t="s">
        <v>73</v>
      </c>
      <c r="G1852" s="4" t="s">
        <v>2272</v>
      </c>
      <c r="H1852" s="198" t="s">
        <v>521</v>
      </c>
      <c r="I1852" s="198">
        <v>2017</v>
      </c>
      <c r="J1852" s="4" t="s">
        <v>2272</v>
      </c>
      <c r="K1852" s="4" t="s">
        <v>2272</v>
      </c>
      <c r="L1852" s="4" t="s">
        <v>2272</v>
      </c>
      <c r="M1852" s="4" t="s">
        <v>2272</v>
      </c>
      <c r="N1852" s="4" t="s">
        <v>2272</v>
      </c>
      <c r="O1852" s="4" t="s">
        <v>2272</v>
      </c>
      <c r="P1852" s="4" t="s">
        <v>2272</v>
      </c>
      <c r="Q1852" s="4" t="s">
        <v>2272</v>
      </c>
      <c r="R1852" s="4" t="s">
        <v>2272</v>
      </c>
      <c r="S1852" s="4" t="s">
        <v>2272</v>
      </c>
      <c r="T1852" s="4" t="s">
        <v>2272</v>
      </c>
      <c r="U1852" s="4" t="s">
        <v>2272</v>
      </c>
      <c r="V1852" s="4" t="s">
        <v>2272</v>
      </c>
      <c r="W1852" s="4" t="s">
        <v>2272</v>
      </c>
      <c r="X1852" s="4" t="s">
        <v>2272</v>
      </c>
      <c r="Y1852" s="4" t="s">
        <v>2272</v>
      </c>
      <c r="Z1852" s="4" t="s">
        <v>2272</v>
      </c>
      <c r="AA1852" s="4" t="s">
        <v>2272</v>
      </c>
      <c r="AB1852" s="4" t="s">
        <v>2272</v>
      </c>
      <c r="AC1852" s="4" t="s">
        <v>2272</v>
      </c>
      <c r="AD1852" s="4" t="s">
        <v>5429</v>
      </c>
      <c r="AE1852" s="198"/>
    </row>
    <row r="1853" spans="1:31" ht="45.5" customHeight="1">
      <c r="A1853" s="198" t="s">
        <v>5421</v>
      </c>
      <c r="B1853" s="198" t="s">
        <v>5428</v>
      </c>
      <c r="C1853" s="198" t="s">
        <v>23</v>
      </c>
      <c r="D1853" s="198" t="s">
        <v>1238</v>
      </c>
      <c r="E1853" s="198" t="s">
        <v>114</v>
      </c>
      <c r="F1853" s="4" t="s">
        <v>73</v>
      </c>
      <c r="G1853" s="4" t="s">
        <v>2272</v>
      </c>
      <c r="H1853" s="198" t="s">
        <v>521</v>
      </c>
      <c r="I1853" s="198">
        <v>2017</v>
      </c>
      <c r="J1853" s="4" t="s">
        <v>2272</v>
      </c>
      <c r="K1853" s="4" t="s">
        <v>2272</v>
      </c>
      <c r="L1853" s="4" t="s">
        <v>2272</v>
      </c>
      <c r="M1853" s="4" t="s">
        <v>2272</v>
      </c>
      <c r="N1853" s="4" t="s">
        <v>2272</v>
      </c>
      <c r="O1853" s="4" t="s">
        <v>2272</v>
      </c>
      <c r="P1853" s="4" t="s">
        <v>2272</v>
      </c>
      <c r="Q1853" s="4" t="s">
        <v>2272</v>
      </c>
      <c r="R1853" s="4" t="s">
        <v>2272</v>
      </c>
      <c r="S1853" s="4" t="s">
        <v>2272</v>
      </c>
      <c r="T1853" s="4" t="s">
        <v>2272</v>
      </c>
      <c r="U1853" s="4" t="s">
        <v>2272</v>
      </c>
      <c r="V1853" s="4" t="s">
        <v>2272</v>
      </c>
      <c r="W1853" s="4" t="s">
        <v>2272</v>
      </c>
      <c r="X1853" s="4" t="s">
        <v>2272</v>
      </c>
      <c r="Y1853" s="4" t="s">
        <v>2272</v>
      </c>
      <c r="Z1853" s="4" t="s">
        <v>2272</v>
      </c>
      <c r="AA1853" s="4" t="s">
        <v>2272</v>
      </c>
      <c r="AB1853" s="4" t="s">
        <v>2272</v>
      </c>
      <c r="AC1853" s="4" t="s">
        <v>2272</v>
      </c>
      <c r="AD1853" s="4" t="s">
        <v>5429</v>
      </c>
      <c r="AE1853" s="198"/>
    </row>
    <row r="1854" spans="1:31" ht="47" customHeight="1">
      <c r="A1854" s="198" t="s">
        <v>5434</v>
      </c>
      <c r="B1854" s="198" t="s">
        <v>5450</v>
      </c>
      <c r="C1854" s="198" t="s">
        <v>23</v>
      </c>
      <c r="D1854" s="198" t="s">
        <v>26</v>
      </c>
      <c r="E1854" s="198" t="s">
        <v>128</v>
      </c>
      <c r="F1854" s="4" t="s">
        <v>158</v>
      </c>
      <c r="G1854" s="4" t="s">
        <v>2272</v>
      </c>
      <c r="H1854" s="198" t="s">
        <v>521</v>
      </c>
      <c r="I1854" s="198"/>
      <c r="J1854" s="4" t="s">
        <v>2272</v>
      </c>
      <c r="K1854" s="4" t="s">
        <v>2272</v>
      </c>
      <c r="L1854" s="4" t="s">
        <v>2272</v>
      </c>
      <c r="M1854" s="4" t="s">
        <v>2272</v>
      </c>
      <c r="N1854" s="4" t="s">
        <v>2272</v>
      </c>
      <c r="O1854" s="4" t="s">
        <v>2272</v>
      </c>
      <c r="P1854" s="4" t="s">
        <v>2272</v>
      </c>
      <c r="Q1854" s="4" t="s">
        <v>2272</v>
      </c>
      <c r="R1854" s="4" t="s">
        <v>2272</v>
      </c>
      <c r="S1854" s="4" t="s">
        <v>2272</v>
      </c>
      <c r="T1854" s="4" t="s">
        <v>2272</v>
      </c>
      <c r="U1854" s="4" t="s">
        <v>2272</v>
      </c>
      <c r="V1854" s="4" t="s">
        <v>2272</v>
      </c>
      <c r="W1854" s="4" t="s">
        <v>2272</v>
      </c>
      <c r="X1854" s="4" t="s">
        <v>2272</v>
      </c>
      <c r="Y1854" s="4" t="s">
        <v>2272</v>
      </c>
      <c r="Z1854" s="4" t="s">
        <v>2272</v>
      </c>
      <c r="AA1854" s="198" t="s">
        <v>84</v>
      </c>
      <c r="AB1854" s="198" t="s">
        <v>84</v>
      </c>
      <c r="AC1854" s="4" t="s">
        <v>2272</v>
      </c>
      <c r="AD1854" s="198"/>
      <c r="AE1854" s="4"/>
    </row>
    <row r="1855" spans="1:31" ht="40" customHeight="1">
      <c r="A1855" s="198" t="s">
        <v>5434</v>
      </c>
      <c r="B1855" s="198" t="s">
        <v>5451</v>
      </c>
      <c r="C1855" s="198" t="s">
        <v>23</v>
      </c>
      <c r="D1855" s="198" t="s">
        <v>26</v>
      </c>
      <c r="E1855" s="198" t="s">
        <v>128</v>
      </c>
      <c r="F1855" s="4" t="s">
        <v>27</v>
      </c>
      <c r="G1855" s="4" t="s">
        <v>2272</v>
      </c>
      <c r="H1855" s="198" t="s">
        <v>521</v>
      </c>
      <c r="I1855" s="198"/>
      <c r="J1855" s="4" t="s">
        <v>2272</v>
      </c>
      <c r="K1855" s="4" t="s">
        <v>2272</v>
      </c>
      <c r="L1855" s="4" t="s">
        <v>2272</v>
      </c>
      <c r="M1855" s="4" t="s">
        <v>2272</v>
      </c>
      <c r="N1855" s="4" t="s">
        <v>2272</v>
      </c>
      <c r="O1855" s="4" t="s">
        <v>2272</v>
      </c>
      <c r="P1855" s="4" t="s">
        <v>2272</v>
      </c>
      <c r="Q1855" s="4" t="s">
        <v>2272</v>
      </c>
      <c r="R1855" s="4" t="s">
        <v>2272</v>
      </c>
      <c r="S1855" s="4" t="s">
        <v>2272</v>
      </c>
      <c r="T1855" s="4" t="s">
        <v>2272</v>
      </c>
      <c r="U1855" s="4" t="s">
        <v>2272</v>
      </c>
      <c r="V1855" s="4" t="s">
        <v>2272</v>
      </c>
      <c r="W1855" s="4" t="s">
        <v>2272</v>
      </c>
      <c r="X1855" s="4" t="s">
        <v>2272</v>
      </c>
      <c r="Y1855" s="4" t="s">
        <v>2272</v>
      </c>
      <c r="Z1855" s="21">
        <v>1</v>
      </c>
      <c r="AA1855" s="198" t="s">
        <v>84</v>
      </c>
      <c r="AB1855" s="198" t="s">
        <v>84</v>
      </c>
      <c r="AC1855" s="4" t="s">
        <v>2272</v>
      </c>
      <c r="AD1855" s="198"/>
      <c r="AE1855" s="198"/>
    </row>
    <row r="1856" spans="1:31" ht="40" customHeight="1">
      <c r="A1856" s="198" t="s">
        <v>5434</v>
      </c>
      <c r="B1856" s="198" t="s">
        <v>5452</v>
      </c>
      <c r="C1856" s="198" t="s">
        <v>23</v>
      </c>
      <c r="D1856" s="198" t="s">
        <v>2654</v>
      </c>
      <c r="E1856" s="198" t="s">
        <v>128</v>
      </c>
      <c r="F1856" s="4" t="s">
        <v>27</v>
      </c>
      <c r="G1856" s="4" t="s">
        <v>2272</v>
      </c>
      <c r="H1856" s="198" t="s">
        <v>521</v>
      </c>
      <c r="I1856" s="198"/>
      <c r="J1856" s="4" t="s">
        <v>2272</v>
      </c>
      <c r="K1856" s="4" t="s">
        <v>2272</v>
      </c>
      <c r="L1856" s="4" t="s">
        <v>2272</v>
      </c>
      <c r="M1856" s="4" t="s">
        <v>2272</v>
      </c>
      <c r="N1856" s="4" t="s">
        <v>2272</v>
      </c>
      <c r="O1856" s="4" t="s">
        <v>2272</v>
      </c>
      <c r="P1856" s="4" t="s">
        <v>2272</v>
      </c>
      <c r="Q1856" s="4" t="s">
        <v>2272</v>
      </c>
      <c r="R1856" s="4" t="s">
        <v>2272</v>
      </c>
      <c r="S1856" s="4" t="s">
        <v>2272</v>
      </c>
      <c r="T1856" s="4" t="s">
        <v>2272</v>
      </c>
      <c r="U1856" s="4" t="s">
        <v>2272</v>
      </c>
      <c r="V1856" s="4" t="s">
        <v>2272</v>
      </c>
      <c r="W1856" s="4" t="s">
        <v>2272</v>
      </c>
      <c r="X1856" s="4" t="s">
        <v>2272</v>
      </c>
      <c r="Y1856" s="4" t="s">
        <v>2272</v>
      </c>
      <c r="Z1856" s="21">
        <v>1</v>
      </c>
      <c r="AA1856" s="198" t="s">
        <v>34</v>
      </c>
      <c r="AB1856" s="198" t="s">
        <v>125</v>
      </c>
      <c r="AC1856" s="198" t="s">
        <v>2650</v>
      </c>
      <c r="AD1856" s="198" t="s">
        <v>5454</v>
      </c>
      <c r="AE1856" s="198"/>
    </row>
    <row r="1857" spans="1:31" ht="38.5" customHeight="1">
      <c r="A1857" s="198" t="s">
        <v>5434</v>
      </c>
      <c r="B1857" s="198" t="s">
        <v>5455</v>
      </c>
      <c r="C1857" s="198" t="s">
        <v>23</v>
      </c>
      <c r="D1857" s="198" t="s">
        <v>26</v>
      </c>
      <c r="E1857" s="4" t="s">
        <v>395</v>
      </c>
      <c r="F1857" s="4" t="s">
        <v>27</v>
      </c>
      <c r="G1857" s="4" t="s">
        <v>2272</v>
      </c>
      <c r="H1857" s="198" t="s">
        <v>521</v>
      </c>
      <c r="I1857" s="198"/>
      <c r="J1857" s="4" t="s">
        <v>2272</v>
      </c>
      <c r="K1857" s="4" t="s">
        <v>2272</v>
      </c>
      <c r="L1857" s="4" t="s">
        <v>2272</v>
      </c>
      <c r="M1857" s="4" t="s">
        <v>2272</v>
      </c>
      <c r="N1857" s="4" t="s">
        <v>2272</v>
      </c>
      <c r="O1857" s="4" t="s">
        <v>2272</v>
      </c>
      <c r="P1857" s="4" t="s">
        <v>2272</v>
      </c>
      <c r="Q1857" s="4" t="s">
        <v>2272</v>
      </c>
      <c r="R1857" s="4" t="s">
        <v>2272</v>
      </c>
      <c r="S1857" s="4" t="s">
        <v>2272</v>
      </c>
      <c r="T1857" s="4" t="s">
        <v>2272</v>
      </c>
      <c r="U1857" s="4" t="s">
        <v>2272</v>
      </c>
      <c r="V1857" s="4" t="s">
        <v>2272</v>
      </c>
      <c r="W1857" s="4" t="s">
        <v>2272</v>
      </c>
      <c r="X1857" s="4" t="s">
        <v>2272</v>
      </c>
      <c r="Y1857" s="4" t="s">
        <v>2272</v>
      </c>
      <c r="Z1857" s="21">
        <v>0.5</v>
      </c>
      <c r="AA1857" s="198" t="s">
        <v>187</v>
      </c>
      <c r="AB1857" s="198" t="s">
        <v>84</v>
      </c>
      <c r="AC1857" s="198" t="s">
        <v>63</v>
      </c>
      <c r="AD1857" s="4" t="s">
        <v>5453</v>
      </c>
      <c r="AE1857" s="198"/>
    </row>
    <row r="1858" spans="1:31" ht="35.5" customHeight="1">
      <c r="A1858" s="198" t="s">
        <v>5434</v>
      </c>
      <c r="B1858" s="198" t="s">
        <v>5456</v>
      </c>
      <c r="C1858" s="198" t="s">
        <v>23</v>
      </c>
      <c r="D1858" s="198" t="s">
        <v>24</v>
      </c>
      <c r="E1858" s="198" t="s">
        <v>5000</v>
      </c>
      <c r="F1858" s="4" t="s">
        <v>2657</v>
      </c>
      <c r="G1858" s="4" t="s">
        <v>2272</v>
      </c>
      <c r="H1858" s="198" t="s">
        <v>521</v>
      </c>
      <c r="I1858" s="198"/>
      <c r="J1858" s="4" t="s">
        <v>2272</v>
      </c>
      <c r="K1858" s="4" t="s">
        <v>2272</v>
      </c>
      <c r="L1858" s="4" t="s">
        <v>2272</v>
      </c>
      <c r="M1858" s="4" t="s">
        <v>2272</v>
      </c>
      <c r="N1858" s="4" t="s">
        <v>2272</v>
      </c>
      <c r="O1858" s="4" t="s">
        <v>2272</v>
      </c>
      <c r="P1858" s="4" t="s">
        <v>2272</v>
      </c>
      <c r="Q1858" s="4" t="s">
        <v>2272</v>
      </c>
      <c r="R1858" s="4" t="s">
        <v>2272</v>
      </c>
      <c r="S1858" s="4" t="s">
        <v>2272</v>
      </c>
      <c r="T1858" s="4" t="s">
        <v>2272</v>
      </c>
      <c r="U1858" s="4" t="s">
        <v>2272</v>
      </c>
      <c r="V1858" s="4" t="s">
        <v>2272</v>
      </c>
      <c r="W1858" s="4" t="s">
        <v>2272</v>
      </c>
      <c r="X1858" s="4" t="s">
        <v>2272</v>
      </c>
      <c r="Y1858" s="4" t="s">
        <v>2272</v>
      </c>
      <c r="Z1858" s="4" t="s">
        <v>2272</v>
      </c>
      <c r="AA1858" s="198" t="s">
        <v>37</v>
      </c>
      <c r="AB1858" s="198" t="s">
        <v>84</v>
      </c>
      <c r="AC1858" s="4" t="s">
        <v>2272</v>
      </c>
      <c r="AD1858" s="198" t="s">
        <v>5454</v>
      </c>
      <c r="AE1858" s="198"/>
    </row>
    <row r="1859" spans="1:31" ht="37" customHeight="1">
      <c r="A1859" s="198" t="s">
        <v>5434</v>
      </c>
      <c r="B1859" s="198" t="s">
        <v>5458</v>
      </c>
      <c r="C1859" s="198" t="s">
        <v>23</v>
      </c>
      <c r="D1859" s="198" t="s">
        <v>2337</v>
      </c>
      <c r="E1859" s="198" t="s">
        <v>114</v>
      </c>
      <c r="F1859" s="4" t="s">
        <v>2657</v>
      </c>
      <c r="G1859" s="4" t="s">
        <v>2272</v>
      </c>
      <c r="H1859" s="198" t="s">
        <v>521</v>
      </c>
      <c r="I1859" s="198"/>
      <c r="J1859" s="4" t="s">
        <v>2272</v>
      </c>
      <c r="K1859" s="4" t="s">
        <v>2272</v>
      </c>
      <c r="L1859" s="4" t="s">
        <v>2272</v>
      </c>
      <c r="M1859" s="4" t="s">
        <v>2272</v>
      </c>
      <c r="N1859" s="4" t="s">
        <v>2272</v>
      </c>
      <c r="O1859" s="4" t="s">
        <v>2272</v>
      </c>
      <c r="P1859" s="4" t="s">
        <v>2272</v>
      </c>
      <c r="Q1859" s="4" t="s">
        <v>2272</v>
      </c>
      <c r="R1859" s="4" t="s">
        <v>2272</v>
      </c>
      <c r="S1859" s="4" t="s">
        <v>2272</v>
      </c>
      <c r="T1859" s="4" t="s">
        <v>2272</v>
      </c>
      <c r="U1859" s="4" t="s">
        <v>2272</v>
      </c>
      <c r="V1859" s="4" t="s">
        <v>2272</v>
      </c>
      <c r="W1859" s="4" t="s">
        <v>2272</v>
      </c>
      <c r="X1859" s="4" t="s">
        <v>2272</v>
      </c>
      <c r="Y1859" s="4" t="s">
        <v>2272</v>
      </c>
      <c r="Z1859" s="4" t="s">
        <v>2272</v>
      </c>
      <c r="AA1859" s="198" t="s">
        <v>2272</v>
      </c>
      <c r="AB1859" s="198" t="s">
        <v>2272</v>
      </c>
      <c r="AC1859" s="198" t="s">
        <v>2272</v>
      </c>
      <c r="AD1859" s="198"/>
      <c r="AE1859" s="198"/>
    </row>
    <row r="1860" spans="1:31" ht="37" customHeight="1">
      <c r="A1860" s="198" t="s">
        <v>5434</v>
      </c>
      <c r="B1860" s="198" t="s">
        <v>5459</v>
      </c>
      <c r="C1860" s="198" t="s">
        <v>23</v>
      </c>
      <c r="D1860" s="198" t="s">
        <v>1241</v>
      </c>
      <c r="E1860" s="198" t="s">
        <v>114</v>
      </c>
      <c r="F1860" s="4" t="s">
        <v>2657</v>
      </c>
      <c r="G1860" s="4" t="s">
        <v>2272</v>
      </c>
      <c r="H1860" s="198" t="s">
        <v>521</v>
      </c>
      <c r="I1860" s="198"/>
      <c r="J1860" s="4" t="s">
        <v>2272</v>
      </c>
      <c r="K1860" s="4" t="s">
        <v>2272</v>
      </c>
      <c r="L1860" s="4" t="s">
        <v>2272</v>
      </c>
      <c r="M1860" s="4" t="s">
        <v>2272</v>
      </c>
      <c r="N1860" s="4" t="s">
        <v>2272</v>
      </c>
      <c r="O1860" s="4" t="s">
        <v>2272</v>
      </c>
      <c r="P1860" s="4" t="s">
        <v>2272</v>
      </c>
      <c r="Q1860" s="4" t="s">
        <v>2272</v>
      </c>
      <c r="R1860" s="4" t="s">
        <v>2272</v>
      </c>
      <c r="S1860" s="4" t="s">
        <v>2272</v>
      </c>
      <c r="T1860" s="4" t="s">
        <v>2272</v>
      </c>
      <c r="U1860" s="4" t="s">
        <v>2272</v>
      </c>
      <c r="V1860" s="4" t="s">
        <v>2272</v>
      </c>
      <c r="W1860" s="4" t="s">
        <v>2272</v>
      </c>
      <c r="X1860" s="4" t="s">
        <v>2272</v>
      </c>
      <c r="Y1860" s="4" t="s">
        <v>2272</v>
      </c>
      <c r="Z1860" s="4" t="s">
        <v>2272</v>
      </c>
      <c r="AA1860" s="198" t="s">
        <v>2272</v>
      </c>
      <c r="AB1860" s="198" t="s">
        <v>2272</v>
      </c>
      <c r="AC1860" s="4" t="s">
        <v>2272</v>
      </c>
      <c r="AD1860" s="198"/>
      <c r="AE1860" s="198"/>
    </row>
    <row r="1861" spans="1:31" ht="32.5" customHeight="1">
      <c r="A1861" s="198" t="s">
        <v>5434</v>
      </c>
      <c r="B1861" s="198" t="s">
        <v>5460</v>
      </c>
      <c r="C1861" s="198" t="s">
        <v>23</v>
      </c>
      <c r="D1861" s="198" t="s">
        <v>3475</v>
      </c>
      <c r="E1861" s="198" t="s">
        <v>114</v>
      </c>
      <c r="F1861" s="4" t="s">
        <v>2657</v>
      </c>
      <c r="G1861" s="4" t="s">
        <v>2272</v>
      </c>
      <c r="H1861" s="198" t="s">
        <v>521</v>
      </c>
      <c r="I1861" s="198"/>
      <c r="J1861" s="4" t="s">
        <v>2272</v>
      </c>
      <c r="K1861" s="4" t="s">
        <v>2272</v>
      </c>
      <c r="L1861" s="4" t="s">
        <v>2272</v>
      </c>
      <c r="M1861" s="4" t="s">
        <v>2272</v>
      </c>
      <c r="N1861" s="4" t="s">
        <v>2272</v>
      </c>
      <c r="O1861" s="4" t="s">
        <v>2272</v>
      </c>
      <c r="P1861" s="4" t="s">
        <v>2272</v>
      </c>
      <c r="Q1861" s="4" t="s">
        <v>2272</v>
      </c>
      <c r="R1861" s="4" t="s">
        <v>2272</v>
      </c>
      <c r="S1861" s="4" t="s">
        <v>2272</v>
      </c>
      <c r="T1861" s="4" t="s">
        <v>2272</v>
      </c>
      <c r="U1861" s="4" t="s">
        <v>2272</v>
      </c>
      <c r="V1861" s="4" t="s">
        <v>2272</v>
      </c>
      <c r="W1861" s="4" t="s">
        <v>2272</v>
      </c>
      <c r="X1861" s="4" t="s">
        <v>2272</v>
      </c>
      <c r="Y1861" s="4" t="s">
        <v>2272</v>
      </c>
      <c r="Z1861" s="4" t="s">
        <v>2272</v>
      </c>
      <c r="AA1861" s="198" t="s">
        <v>2272</v>
      </c>
      <c r="AB1861" s="198" t="s">
        <v>2272</v>
      </c>
      <c r="AC1861" s="198" t="s">
        <v>2272</v>
      </c>
      <c r="AD1861" s="198"/>
      <c r="AE1861" s="198"/>
    </row>
    <row r="1862" spans="1:31" ht="32.5" customHeight="1">
      <c r="A1862" s="198" t="s">
        <v>5434</v>
      </c>
      <c r="B1862" s="198" t="s">
        <v>5461</v>
      </c>
      <c r="C1862" s="198" t="s">
        <v>23</v>
      </c>
      <c r="D1862" s="198" t="s">
        <v>25</v>
      </c>
      <c r="E1862" s="198" t="s">
        <v>5000</v>
      </c>
      <c r="F1862" s="4" t="s">
        <v>2657</v>
      </c>
      <c r="G1862" s="4" t="s">
        <v>2272</v>
      </c>
      <c r="H1862" s="198" t="s">
        <v>521</v>
      </c>
      <c r="I1862" s="198"/>
      <c r="J1862" s="4" t="s">
        <v>2272</v>
      </c>
      <c r="K1862" s="4" t="s">
        <v>2272</v>
      </c>
      <c r="L1862" s="4" t="s">
        <v>2272</v>
      </c>
      <c r="M1862" s="4" t="s">
        <v>2272</v>
      </c>
      <c r="N1862" s="4" t="s">
        <v>2272</v>
      </c>
      <c r="O1862" s="4" t="s">
        <v>2272</v>
      </c>
      <c r="P1862" s="4" t="s">
        <v>2272</v>
      </c>
      <c r="Q1862" s="4" t="s">
        <v>2272</v>
      </c>
      <c r="R1862" s="4" t="s">
        <v>2272</v>
      </c>
      <c r="S1862" s="4" t="s">
        <v>2272</v>
      </c>
      <c r="T1862" s="4" t="s">
        <v>2272</v>
      </c>
      <c r="U1862" s="4" t="s">
        <v>2272</v>
      </c>
      <c r="V1862" s="4" t="s">
        <v>2272</v>
      </c>
      <c r="W1862" s="4" t="s">
        <v>2272</v>
      </c>
      <c r="X1862" s="4" t="s">
        <v>2272</v>
      </c>
      <c r="Y1862" s="4" t="s">
        <v>2272</v>
      </c>
      <c r="Z1862" s="4" t="s">
        <v>2272</v>
      </c>
      <c r="AA1862" s="4" t="s">
        <v>2272</v>
      </c>
      <c r="AB1862" s="4" t="s">
        <v>2272</v>
      </c>
      <c r="AC1862" s="4" t="s">
        <v>2272</v>
      </c>
      <c r="AD1862" s="198"/>
      <c r="AE1862" s="198"/>
    </row>
    <row r="1863" spans="1:31" ht="30" customHeight="1">
      <c r="A1863" s="198" t="s">
        <v>5434</v>
      </c>
      <c r="B1863" s="198" t="s">
        <v>5462</v>
      </c>
      <c r="C1863" s="198" t="s">
        <v>2453</v>
      </c>
      <c r="D1863" s="198" t="s">
        <v>26</v>
      </c>
      <c r="E1863" s="198" t="s">
        <v>128</v>
      </c>
      <c r="F1863" s="4" t="s">
        <v>158</v>
      </c>
      <c r="G1863" s="4" t="s">
        <v>2272</v>
      </c>
      <c r="H1863" s="198" t="s">
        <v>521</v>
      </c>
      <c r="I1863" s="198"/>
      <c r="J1863" s="4" t="s">
        <v>2272</v>
      </c>
      <c r="K1863" s="4" t="s">
        <v>2272</v>
      </c>
      <c r="L1863" s="4" t="s">
        <v>2272</v>
      </c>
      <c r="M1863" s="4" t="s">
        <v>2272</v>
      </c>
      <c r="N1863" s="4" t="s">
        <v>2272</v>
      </c>
      <c r="O1863" s="4" t="s">
        <v>2272</v>
      </c>
      <c r="P1863" s="4" t="s">
        <v>2272</v>
      </c>
      <c r="Q1863" s="4" t="s">
        <v>2272</v>
      </c>
      <c r="R1863" s="4" t="s">
        <v>2272</v>
      </c>
      <c r="S1863" s="4" t="s">
        <v>2272</v>
      </c>
      <c r="T1863" s="4" t="s">
        <v>2272</v>
      </c>
      <c r="U1863" s="4" t="s">
        <v>2272</v>
      </c>
      <c r="V1863" s="4" t="s">
        <v>2272</v>
      </c>
      <c r="W1863" s="4" t="s">
        <v>2272</v>
      </c>
      <c r="X1863" s="4" t="s">
        <v>2272</v>
      </c>
      <c r="Y1863" s="4" t="s">
        <v>2272</v>
      </c>
      <c r="Z1863" s="4" t="s">
        <v>2272</v>
      </c>
      <c r="AA1863" s="198" t="s">
        <v>84</v>
      </c>
      <c r="AB1863" s="198" t="s">
        <v>84</v>
      </c>
      <c r="AC1863" s="4" t="s">
        <v>2272</v>
      </c>
      <c r="AD1863" s="198"/>
      <c r="AE1863" s="198"/>
    </row>
    <row r="1864" spans="1:31" ht="30" customHeight="1">
      <c r="A1864" s="198" t="s">
        <v>5434</v>
      </c>
      <c r="B1864" s="198" t="s">
        <v>5463</v>
      </c>
      <c r="C1864" s="198" t="s">
        <v>2453</v>
      </c>
      <c r="D1864" s="198" t="s">
        <v>26</v>
      </c>
      <c r="E1864" s="198" t="s">
        <v>128</v>
      </c>
      <c r="F1864" s="4" t="s">
        <v>27</v>
      </c>
      <c r="G1864" s="4" t="s">
        <v>2272</v>
      </c>
      <c r="H1864" s="198" t="s">
        <v>521</v>
      </c>
      <c r="I1864" s="198"/>
      <c r="J1864" s="4" t="s">
        <v>2272</v>
      </c>
      <c r="K1864" s="4" t="s">
        <v>2272</v>
      </c>
      <c r="L1864" s="4" t="s">
        <v>2272</v>
      </c>
      <c r="M1864" s="4" t="s">
        <v>2272</v>
      </c>
      <c r="N1864" s="4" t="s">
        <v>2272</v>
      </c>
      <c r="O1864" s="4" t="s">
        <v>2272</v>
      </c>
      <c r="P1864" s="4" t="s">
        <v>2272</v>
      </c>
      <c r="Q1864" s="4" t="s">
        <v>2272</v>
      </c>
      <c r="R1864" s="4" t="s">
        <v>2272</v>
      </c>
      <c r="S1864" s="4" t="s">
        <v>2272</v>
      </c>
      <c r="T1864" s="4" t="s">
        <v>2272</v>
      </c>
      <c r="U1864" s="4" t="s">
        <v>2272</v>
      </c>
      <c r="V1864" s="4" t="s">
        <v>2272</v>
      </c>
      <c r="W1864" s="4" t="s">
        <v>2272</v>
      </c>
      <c r="X1864" s="4" t="s">
        <v>2272</v>
      </c>
      <c r="Y1864" s="4" t="s">
        <v>2272</v>
      </c>
      <c r="Z1864" s="4" t="s">
        <v>2272</v>
      </c>
      <c r="AA1864" s="198" t="s">
        <v>84</v>
      </c>
      <c r="AB1864" s="198" t="s">
        <v>84</v>
      </c>
      <c r="AC1864" s="4" t="s">
        <v>2272</v>
      </c>
      <c r="AD1864" s="198"/>
      <c r="AE1864" s="198"/>
    </row>
    <row r="1865" spans="1:31" ht="30" customHeight="1">
      <c r="A1865" s="198" t="s">
        <v>5434</v>
      </c>
      <c r="B1865" s="198" t="s">
        <v>5464</v>
      </c>
      <c r="C1865" s="198" t="s">
        <v>2453</v>
      </c>
      <c r="D1865" s="198" t="s">
        <v>2654</v>
      </c>
      <c r="E1865" s="198" t="s">
        <v>128</v>
      </c>
      <c r="F1865" s="4" t="s">
        <v>27</v>
      </c>
      <c r="G1865" s="4" t="s">
        <v>2272</v>
      </c>
      <c r="H1865" s="198" t="s">
        <v>521</v>
      </c>
      <c r="I1865" s="198"/>
      <c r="J1865" s="4" t="s">
        <v>2272</v>
      </c>
      <c r="K1865" s="4" t="s">
        <v>2272</v>
      </c>
      <c r="L1865" s="4" t="s">
        <v>2272</v>
      </c>
      <c r="M1865" s="4" t="s">
        <v>2272</v>
      </c>
      <c r="N1865" s="4" t="s">
        <v>2272</v>
      </c>
      <c r="O1865" s="4" t="s">
        <v>2272</v>
      </c>
      <c r="P1865" s="4" t="s">
        <v>2272</v>
      </c>
      <c r="Q1865" s="4" t="s">
        <v>2272</v>
      </c>
      <c r="R1865" s="4" t="s">
        <v>2272</v>
      </c>
      <c r="S1865" s="4" t="s">
        <v>2272</v>
      </c>
      <c r="T1865" s="4" t="s">
        <v>2272</v>
      </c>
      <c r="U1865" s="4" t="s">
        <v>2272</v>
      </c>
      <c r="V1865" s="4" t="s">
        <v>2272</v>
      </c>
      <c r="W1865" s="4" t="s">
        <v>2272</v>
      </c>
      <c r="X1865" s="4" t="s">
        <v>2272</v>
      </c>
      <c r="Y1865" s="4" t="s">
        <v>2272</v>
      </c>
      <c r="Z1865" s="4" t="s">
        <v>2272</v>
      </c>
      <c r="AA1865" s="198" t="s">
        <v>34</v>
      </c>
      <c r="AB1865" s="198" t="s">
        <v>125</v>
      </c>
      <c r="AC1865" s="198" t="s">
        <v>2650</v>
      </c>
      <c r="AD1865" s="198" t="s">
        <v>5454</v>
      </c>
      <c r="AE1865" s="198"/>
    </row>
    <row r="1866" spans="1:31" ht="41" customHeight="1">
      <c r="A1866" s="198" t="s">
        <v>5434</v>
      </c>
      <c r="B1866" s="198" t="s">
        <v>5465</v>
      </c>
      <c r="C1866" s="198" t="s">
        <v>2453</v>
      </c>
      <c r="D1866" s="198" t="s">
        <v>2654</v>
      </c>
      <c r="E1866" s="198" t="s">
        <v>128</v>
      </c>
      <c r="F1866" s="4" t="s">
        <v>2657</v>
      </c>
      <c r="G1866" s="4" t="s">
        <v>2272</v>
      </c>
      <c r="H1866" s="198" t="s">
        <v>521</v>
      </c>
      <c r="I1866" s="198"/>
      <c r="J1866" s="4" t="s">
        <v>2272</v>
      </c>
      <c r="K1866" s="4" t="s">
        <v>2272</v>
      </c>
      <c r="L1866" s="4" t="s">
        <v>2272</v>
      </c>
      <c r="M1866" s="4" t="s">
        <v>2272</v>
      </c>
      <c r="N1866" s="4" t="s">
        <v>2272</v>
      </c>
      <c r="O1866" s="4" t="s">
        <v>2272</v>
      </c>
      <c r="P1866" s="4" t="s">
        <v>2272</v>
      </c>
      <c r="Q1866" s="4" t="s">
        <v>2272</v>
      </c>
      <c r="R1866" s="4" t="s">
        <v>2272</v>
      </c>
      <c r="S1866" s="4" t="s">
        <v>2272</v>
      </c>
      <c r="T1866" s="4" t="s">
        <v>2272</v>
      </c>
      <c r="U1866" s="4" t="s">
        <v>2272</v>
      </c>
      <c r="V1866" s="4" t="s">
        <v>2272</v>
      </c>
      <c r="W1866" s="4" t="s">
        <v>2272</v>
      </c>
      <c r="X1866" s="4" t="s">
        <v>2272</v>
      </c>
      <c r="Y1866" s="4" t="s">
        <v>2272</v>
      </c>
      <c r="Z1866" s="4" t="s">
        <v>2272</v>
      </c>
      <c r="AA1866" s="4" t="s">
        <v>2272</v>
      </c>
      <c r="AB1866" s="4" t="s">
        <v>2272</v>
      </c>
      <c r="AC1866" s="4" t="s">
        <v>2272</v>
      </c>
      <c r="AD1866" s="198"/>
      <c r="AE1866" s="198"/>
    </row>
    <row r="1867" spans="1:31" ht="36.5" customHeight="1">
      <c r="A1867" s="198" t="s">
        <v>5434</v>
      </c>
      <c r="B1867" s="198" t="s">
        <v>5466</v>
      </c>
      <c r="C1867" s="198" t="s">
        <v>23</v>
      </c>
      <c r="D1867" s="198" t="s">
        <v>2227</v>
      </c>
      <c r="E1867" s="4" t="s">
        <v>394</v>
      </c>
      <c r="F1867" s="4" t="s">
        <v>27</v>
      </c>
      <c r="G1867" s="4" t="s">
        <v>2272</v>
      </c>
      <c r="H1867" s="198" t="s">
        <v>521</v>
      </c>
      <c r="I1867" s="198"/>
      <c r="J1867" s="4" t="s">
        <v>2272</v>
      </c>
      <c r="K1867" s="4" t="s">
        <v>2272</v>
      </c>
      <c r="L1867" s="4" t="s">
        <v>2272</v>
      </c>
      <c r="M1867" s="4" t="s">
        <v>2272</v>
      </c>
      <c r="N1867" s="4" t="s">
        <v>2272</v>
      </c>
      <c r="O1867" s="4" t="s">
        <v>2272</v>
      </c>
      <c r="P1867" s="4" t="s">
        <v>2272</v>
      </c>
      <c r="Q1867" s="4" t="s">
        <v>2272</v>
      </c>
      <c r="R1867" s="4" t="s">
        <v>2272</v>
      </c>
      <c r="S1867" s="4" t="s">
        <v>2272</v>
      </c>
      <c r="T1867" s="4" t="s">
        <v>2272</v>
      </c>
      <c r="U1867" s="4" t="s">
        <v>2272</v>
      </c>
      <c r="V1867" s="4" t="s">
        <v>2272</v>
      </c>
      <c r="W1867" s="4" t="s">
        <v>2272</v>
      </c>
      <c r="X1867" s="4" t="s">
        <v>2272</v>
      </c>
      <c r="Y1867" s="4" t="s">
        <v>2272</v>
      </c>
      <c r="Z1867" s="4" t="s">
        <v>2272</v>
      </c>
      <c r="AA1867" s="4" t="s">
        <v>2272</v>
      </c>
      <c r="AB1867" s="4" t="s">
        <v>2272</v>
      </c>
      <c r="AC1867" s="4" t="s">
        <v>2272</v>
      </c>
      <c r="AD1867" s="198" t="s">
        <v>5469</v>
      </c>
      <c r="AE1867" s="198"/>
    </row>
    <row r="1868" spans="1:31" ht="29" customHeight="1">
      <c r="A1868" s="198" t="s">
        <v>5434</v>
      </c>
      <c r="B1868" s="198" t="s">
        <v>5467</v>
      </c>
      <c r="C1868" s="198" t="s">
        <v>23</v>
      </c>
      <c r="D1868" s="198" t="s">
        <v>1128</v>
      </c>
      <c r="E1868" s="4" t="s">
        <v>394</v>
      </c>
      <c r="F1868" s="4" t="s">
        <v>27</v>
      </c>
      <c r="G1868" s="4" t="s">
        <v>2272</v>
      </c>
      <c r="H1868" s="198" t="s">
        <v>521</v>
      </c>
      <c r="I1868" s="198"/>
      <c r="J1868" s="4" t="s">
        <v>2272</v>
      </c>
      <c r="K1868" s="4" t="s">
        <v>2272</v>
      </c>
      <c r="L1868" s="4" t="s">
        <v>2272</v>
      </c>
      <c r="M1868" s="4" t="s">
        <v>2272</v>
      </c>
      <c r="N1868" s="4" t="s">
        <v>2272</v>
      </c>
      <c r="O1868" s="4" t="s">
        <v>2272</v>
      </c>
      <c r="P1868" s="4" t="s">
        <v>2272</v>
      </c>
      <c r="Q1868" s="4" t="s">
        <v>2272</v>
      </c>
      <c r="R1868" s="4" t="s">
        <v>2272</v>
      </c>
      <c r="S1868" s="4" t="s">
        <v>2272</v>
      </c>
      <c r="T1868" s="4" t="s">
        <v>2272</v>
      </c>
      <c r="U1868" s="4" t="s">
        <v>2272</v>
      </c>
      <c r="V1868" s="4" t="s">
        <v>2272</v>
      </c>
      <c r="W1868" s="4" t="s">
        <v>2272</v>
      </c>
      <c r="X1868" s="4" t="s">
        <v>2272</v>
      </c>
      <c r="Y1868" s="4" t="s">
        <v>2272</v>
      </c>
      <c r="Z1868" s="4" t="s">
        <v>2272</v>
      </c>
      <c r="AA1868" s="198" t="s">
        <v>187</v>
      </c>
      <c r="AB1868" s="198" t="s">
        <v>37</v>
      </c>
      <c r="AC1868" s="4" t="s">
        <v>2272</v>
      </c>
      <c r="AD1868" s="198" t="s">
        <v>5468</v>
      </c>
      <c r="AE1868" s="198"/>
    </row>
    <row r="1869" spans="1:31" ht="30" customHeight="1">
      <c r="A1869" s="198" t="s">
        <v>5434</v>
      </c>
      <c r="B1869" s="198" t="s">
        <v>5474</v>
      </c>
      <c r="C1869" s="198" t="s">
        <v>23</v>
      </c>
      <c r="D1869" s="198" t="s">
        <v>2342</v>
      </c>
      <c r="E1869" s="198" t="s">
        <v>128</v>
      </c>
      <c r="F1869" s="4" t="s">
        <v>27</v>
      </c>
      <c r="G1869" s="4" t="s">
        <v>2272</v>
      </c>
      <c r="H1869" s="198" t="s">
        <v>521</v>
      </c>
      <c r="I1869" s="198"/>
      <c r="J1869" s="4" t="s">
        <v>2272</v>
      </c>
      <c r="K1869" s="4" t="s">
        <v>2272</v>
      </c>
      <c r="L1869" s="4" t="s">
        <v>2272</v>
      </c>
      <c r="M1869" s="4" t="s">
        <v>2272</v>
      </c>
      <c r="N1869" s="4" t="s">
        <v>2272</v>
      </c>
      <c r="O1869" s="4" t="s">
        <v>2272</v>
      </c>
      <c r="P1869" s="4" t="s">
        <v>2272</v>
      </c>
      <c r="Q1869" s="4" t="s">
        <v>2272</v>
      </c>
      <c r="R1869" s="4" t="s">
        <v>2272</v>
      </c>
      <c r="S1869" s="4" t="s">
        <v>2272</v>
      </c>
      <c r="T1869" s="4" t="s">
        <v>2272</v>
      </c>
      <c r="U1869" s="4" t="s">
        <v>2272</v>
      </c>
      <c r="V1869" s="4" t="s">
        <v>2272</v>
      </c>
      <c r="W1869" s="4" t="s">
        <v>2272</v>
      </c>
      <c r="X1869" s="4" t="s">
        <v>2272</v>
      </c>
      <c r="Y1869" s="4" t="s">
        <v>2272</v>
      </c>
      <c r="Z1869" s="4" t="s">
        <v>2272</v>
      </c>
      <c r="AA1869" s="4" t="s">
        <v>2272</v>
      </c>
      <c r="AB1869" s="4" t="s">
        <v>2272</v>
      </c>
      <c r="AC1869" s="4" t="s">
        <v>2272</v>
      </c>
      <c r="AD1869" s="198"/>
      <c r="AE1869" s="198"/>
    </row>
    <row r="1870" spans="1:31" ht="35.5" customHeight="1">
      <c r="A1870" s="198" t="s">
        <v>5434</v>
      </c>
      <c r="B1870" s="198" t="s">
        <v>5475</v>
      </c>
      <c r="C1870" s="198" t="s">
        <v>23</v>
      </c>
      <c r="D1870" s="198" t="s">
        <v>1241</v>
      </c>
      <c r="E1870" s="198" t="s">
        <v>2647</v>
      </c>
      <c r="F1870" s="4" t="s">
        <v>2657</v>
      </c>
      <c r="G1870" s="4" t="s">
        <v>2272</v>
      </c>
      <c r="H1870" s="198" t="s">
        <v>521</v>
      </c>
      <c r="I1870" s="198"/>
      <c r="J1870" s="4" t="s">
        <v>2272</v>
      </c>
      <c r="K1870" s="4" t="s">
        <v>2272</v>
      </c>
      <c r="L1870" s="4" t="s">
        <v>2272</v>
      </c>
      <c r="M1870" s="4" t="s">
        <v>2272</v>
      </c>
      <c r="N1870" s="4" t="s">
        <v>2272</v>
      </c>
      <c r="O1870" s="4" t="s">
        <v>2272</v>
      </c>
      <c r="P1870" s="4" t="s">
        <v>2272</v>
      </c>
      <c r="Q1870" s="4" t="s">
        <v>2272</v>
      </c>
      <c r="R1870" s="4" t="s">
        <v>2272</v>
      </c>
      <c r="S1870" s="4" t="s">
        <v>2272</v>
      </c>
      <c r="T1870" s="4" t="s">
        <v>2272</v>
      </c>
      <c r="U1870" s="4" t="s">
        <v>2272</v>
      </c>
      <c r="V1870" s="4" t="s">
        <v>2272</v>
      </c>
      <c r="W1870" s="4" t="s">
        <v>2272</v>
      </c>
      <c r="X1870" s="4" t="s">
        <v>2272</v>
      </c>
      <c r="Y1870" s="4" t="s">
        <v>2272</v>
      </c>
      <c r="Z1870" s="4" t="s">
        <v>2272</v>
      </c>
      <c r="AA1870" s="4" t="s">
        <v>2272</v>
      </c>
      <c r="AB1870" s="4" t="s">
        <v>2272</v>
      </c>
      <c r="AC1870" s="4" t="s">
        <v>2272</v>
      </c>
      <c r="AD1870" s="198"/>
      <c r="AE1870" s="198"/>
    </row>
    <row r="1871" spans="1:31" ht="35.5" customHeight="1">
      <c r="A1871" s="198" t="s">
        <v>5434</v>
      </c>
      <c r="B1871" s="198" t="s">
        <v>5476</v>
      </c>
      <c r="C1871" s="198" t="s">
        <v>23</v>
      </c>
      <c r="D1871" s="198" t="s">
        <v>2337</v>
      </c>
      <c r="E1871" s="198" t="s">
        <v>2647</v>
      </c>
      <c r="F1871" s="4" t="s">
        <v>2657</v>
      </c>
      <c r="G1871" s="4" t="s">
        <v>2272</v>
      </c>
      <c r="H1871" s="198" t="s">
        <v>521</v>
      </c>
      <c r="I1871" s="198"/>
      <c r="J1871" s="4" t="s">
        <v>2272</v>
      </c>
      <c r="K1871" s="4" t="s">
        <v>2272</v>
      </c>
      <c r="L1871" s="4" t="s">
        <v>2272</v>
      </c>
      <c r="M1871" s="4" t="s">
        <v>2272</v>
      </c>
      <c r="N1871" s="4" t="s">
        <v>2272</v>
      </c>
      <c r="O1871" s="4" t="s">
        <v>2272</v>
      </c>
      <c r="P1871" s="4" t="s">
        <v>2272</v>
      </c>
      <c r="Q1871" s="4" t="s">
        <v>2272</v>
      </c>
      <c r="R1871" s="4" t="s">
        <v>2272</v>
      </c>
      <c r="S1871" s="4" t="s">
        <v>2272</v>
      </c>
      <c r="T1871" s="4" t="s">
        <v>2272</v>
      </c>
      <c r="U1871" s="4" t="s">
        <v>2272</v>
      </c>
      <c r="V1871" s="4" t="s">
        <v>2272</v>
      </c>
      <c r="W1871" s="4" t="s">
        <v>2272</v>
      </c>
      <c r="X1871" s="4" t="s">
        <v>2272</v>
      </c>
      <c r="Y1871" s="4" t="s">
        <v>2272</v>
      </c>
      <c r="Z1871" s="4" t="s">
        <v>2272</v>
      </c>
      <c r="AA1871" s="4" t="s">
        <v>2272</v>
      </c>
      <c r="AB1871" s="4" t="s">
        <v>2272</v>
      </c>
      <c r="AC1871" s="4" t="s">
        <v>2272</v>
      </c>
      <c r="AD1871" s="198"/>
      <c r="AE1871" s="198"/>
    </row>
    <row r="1872" spans="1:31" ht="46" customHeight="1">
      <c r="A1872" s="198" t="s">
        <v>5434</v>
      </c>
      <c r="B1872" s="198" t="s">
        <v>5497</v>
      </c>
      <c r="C1872" s="198" t="s">
        <v>23</v>
      </c>
      <c r="D1872" s="198" t="s">
        <v>4157</v>
      </c>
      <c r="E1872" s="198" t="s">
        <v>2644</v>
      </c>
      <c r="F1872" s="4" t="s">
        <v>73</v>
      </c>
      <c r="G1872" s="4" t="s">
        <v>2272</v>
      </c>
      <c r="H1872" s="198" t="s">
        <v>521</v>
      </c>
      <c r="I1872" s="198"/>
      <c r="J1872" s="4" t="s">
        <v>2272</v>
      </c>
      <c r="K1872" s="4" t="s">
        <v>2272</v>
      </c>
      <c r="L1872" s="4" t="s">
        <v>2272</v>
      </c>
      <c r="M1872" s="4" t="s">
        <v>2272</v>
      </c>
      <c r="N1872" s="4" t="s">
        <v>2272</v>
      </c>
      <c r="O1872" s="4" t="s">
        <v>2272</v>
      </c>
      <c r="P1872" s="4" t="s">
        <v>2272</v>
      </c>
      <c r="Q1872" s="4" t="s">
        <v>2272</v>
      </c>
      <c r="R1872" s="4" t="s">
        <v>2272</v>
      </c>
      <c r="S1872" s="4" t="s">
        <v>2272</v>
      </c>
      <c r="T1872" s="4" t="s">
        <v>2272</v>
      </c>
      <c r="U1872" s="4" t="s">
        <v>2272</v>
      </c>
      <c r="V1872" s="4" t="s">
        <v>2272</v>
      </c>
      <c r="W1872" s="4" t="s">
        <v>2272</v>
      </c>
      <c r="X1872" s="4" t="s">
        <v>2272</v>
      </c>
      <c r="Y1872" s="4" t="s">
        <v>2272</v>
      </c>
      <c r="Z1872" s="4" t="s">
        <v>2272</v>
      </c>
      <c r="AA1872" s="4" t="s">
        <v>2272</v>
      </c>
      <c r="AB1872" s="4" t="s">
        <v>2272</v>
      </c>
      <c r="AC1872" s="4" t="s">
        <v>2272</v>
      </c>
      <c r="AD1872" s="198"/>
      <c r="AE1872" s="198"/>
    </row>
    <row r="1873" spans="1:31" ht="34.5" customHeight="1">
      <c r="A1873" s="198" t="s">
        <v>5437</v>
      </c>
      <c r="B1873" s="198" t="s">
        <v>5477</v>
      </c>
      <c r="C1873" s="198" t="s">
        <v>23</v>
      </c>
      <c r="D1873" s="198" t="s">
        <v>26</v>
      </c>
      <c r="E1873" s="198" t="s">
        <v>128</v>
      </c>
      <c r="F1873" s="4" t="s">
        <v>158</v>
      </c>
      <c r="G1873" s="4" t="s">
        <v>2272</v>
      </c>
      <c r="H1873" s="198" t="s">
        <v>521</v>
      </c>
      <c r="I1873" s="198"/>
      <c r="J1873" s="4" t="s">
        <v>2272</v>
      </c>
      <c r="K1873" s="4" t="s">
        <v>2272</v>
      </c>
      <c r="L1873" s="4" t="s">
        <v>2272</v>
      </c>
      <c r="M1873" s="4" t="s">
        <v>2272</v>
      </c>
      <c r="N1873" s="4" t="s">
        <v>2272</v>
      </c>
      <c r="O1873" s="4" t="s">
        <v>2272</v>
      </c>
      <c r="P1873" s="4" t="s">
        <v>2272</v>
      </c>
      <c r="Q1873" s="4" t="s">
        <v>2272</v>
      </c>
      <c r="R1873" s="4" t="s">
        <v>2272</v>
      </c>
      <c r="S1873" s="4" t="s">
        <v>2272</v>
      </c>
      <c r="T1873" s="4" t="s">
        <v>2272</v>
      </c>
      <c r="U1873" s="4" t="s">
        <v>2272</v>
      </c>
      <c r="V1873" s="4" t="s">
        <v>2272</v>
      </c>
      <c r="W1873" s="4" t="s">
        <v>2272</v>
      </c>
      <c r="X1873" s="4" t="s">
        <v>2272</v>
      </c>
      <c r="Y1873" s="4" t="s">
        <v>2272</v>
      </c>
      <c r="Z1873" s="4" t="s">
        <v>2272</v>
      </c>
      <c r="AA1873" s="198" t="s">
        <v>84</v>
      </c>
      <c r="AB1873" s="198" t="s">
        <v>84</v>
      </c>
      <c r="AC1873" s="4" t="s">
        <v>2272</v>
      </c>
      <c r="AD1873" s="198"/>
      <c r="AE1873" s="198"/>
    </row>
    <row r="1874" spans="1:31" ht="29">
      <c r="A1874" s="198" t="s">
        <v>5437</v>
      </c>
      <c r="B1874" s="198" t="s">
        <v>5478</v>
      </c>
      <c r="C1874" s="198" t="s">
        <v>23</v>
      </c>
      <c r="D1874" s="198" t="s">
        <v>24</v>
      </c>
      <c r="E1874" s="198" t="s">
        <v>5000</v>
      </c>
      <c r="F1874" s="4" t="s">
        <v>2657</v>
      </c>
      <c r="G1874" s="4" t="s">
        <v>2272</v>
      </c>
      <c r="H1874" s="198" t="s">
        <v>521</v>
      </c>
      <c r="I1874" s="198"/>
      <c r="J1874" s="4" t="s">
        <v>2272</v>
      </c>
      <c r="K1874" s="4" t="s">
        <v>2272</v>
      </c>
      <c r="L1874" s="4" t="s">
        <v>2272</v>
      </c>
      <c r="M1874" s="4" t="s">
        <v>2272</v>
      </c>
      <c r="N1874" s="4" t="s">
        <v>2272</v>
      </c>
      <c r="O1874" s="4" t="s">
        <v>2272</v>
      </c>
      <c r="P1874" s="4" t="s">
        <v>2272</v>
      </c>
      <c r="Q1874" s="4" t="s">
        <v>2272</v>
      </c>
      <c r="R1874" s="4" t="s">
        <v>2272</v>
      </c>
      <c r="S1874" s="4" t="s">
        <v>2272</v>
      </c>
      <c r="T1874" s="4" t="s">
        <v>2272</v>
      </c>
      <c r="U1874" s="4" t="s">
        <v>2272</v>
      </c>
      <c r="V1874" s="4" t="s">
        <v>2272</v>
      </c>
      <c r="W1874" s="4" t="s">
        <v>2272</v>
      </c>
      <c r="X1874" s="4" t="s">
        <v>2272</v>
      </c>
      <c r="Y1874" s="4" t="s">
        <v>2272</v>
      </c>
      <c r="Z1874" s="4" t="s">
        <v>2272</v>
      </c>
      <c r="AA1874" s="198" t="s">
        <v>84</v>
      </c>
      <c r="AB1874" s="198" t="s">
        <v>84</v>
      </c>
      <c r="AC1874" s="4" t="s">
        <v>2272</v>
      </c>
      <c r="AD1874" s="198"/>
      <c r="AE1874" s="198"/>
    </row>
    <row r="1875" spans="1:31" ht="29">
      <c r="A1875" s="198" t="s">
        <v>5437</v>
      </c>
      <c r="B1875" s="198" t="s">
        <v>5479</v>
      </c>
      <c r="C1875" s="198" t="s">
        <v>23</v>
      </c>
      <c r="D1875" s="198" t="s">
        <v>2337</v>
      </c>
      <c r="E1875" s="198" t="s">
        <v>114</v>
      </c>
      <c r="F1875" s="4" t="s">
        <v>2657</v>
      </c>
      <c r="G1875" s="4" t="s">
        <v>2272</v>
      </c>
      <c r="H1875" s="198" t="s">
        <v>521</v>
      </c>
      <c r="I1875" s="198"/>
      <c r="J1875" s="4" t="s">
        <v>2272</v>
      </c>
      <c r="K1875" s="4" t="s">
        <v>2272</v>
      </c>
      <c r="L1875" s="4" t="s">
        <v>2272</v>
      </c>
      <c r="M1875" s="4" t="s">
        <v>2272</v>
      </c>
      <c r="N1875" s="4" t="s">
        <v>2272</v>
      </c>
      <c r="O1875" s="4" t="s">
        <v>2272</v>
      </c>
      <c r="P1875" s="4" t="s">
        <v>2272</v>
      </c>
      <c r="Q1875" s="4" t="s">
        <v>2272</v>
      </c>
      <c r="R1875" s="4" t="s">
        <v>2272</v>
      </c>
      <c r="S1875" s="4" t="s">
        <v>2272</v>
      </c>
      <c r="T1875" s="4" t="s">
        <v>2272</v>
      </c>
      <c r="U1875" s="4" t="s">
        <v>2272</v>
      </c>
      <c r="V1875" s="4" t="s">
        <v>2272</v>
      </c>
      <c r="W1875" s="4" t="s">
        <v>2272</v>
      </c>
      <c r="X1875" s="4" t="s">
        <v>2272</v>
      </c>
      <c r="Y1875" s="4" t="s">
        <v>2272</v>
      </c>
      <c r="Z1875" s="4" t="s">
        <v>2272</v>
      </c>
      <c r="AA1875" s="198" t="s">
        <v>2272</v>
      </c>
      <c r="AB1875" s="198" t="s">
        <v>2272</v>
      </c>
      <c r="AC1875" s="4" t="s">
        <v>2272</v>
      </c>
      <c r="AD1875" s="198"/>
      <c r="AE1875" s="198"/>
    </row>
    <row r="1876" spans="1:31" ht="29">
      <c r="A1876" s="198" t="s">
        <v>5437</v>
      </c>
      <c r="B1876" s="198" t="s">
        <v>5480</v>
      </c>
      <c r="C1876" s="198" t="s">
        <v>23</v>
      </c>
      <c r="D1876" s="198" t="s">
        <v>1241</v>
      </c>
      <c r="E1876" s="198" t="s">
        <v>114</v>
      </c>
      <c r="F1876" s="4" t="s">
        <v>2657</v>
      </c>
      <c r="G1876" s="4" t="s">
        <v>2272</v>
      </c>
      <c r="H1876" s="198" t="s">
        <v>521</v>
      </c>
      <c r="I1876" s="198"/>
      <c r="J1876" s="4" t="s">
        <v>2272</v>
      </c>
      <c r="K1876" s="4" t="s">
        <v>2272</v>
      </c>
      <c r="L1876" s="4" t="s">
        <v>2272</v>
      </c>
      <c r="M1876" s="4" t="s">
        <v>2272</v>
      </c>
      <c r="N1876" s="4" t="s">
        <v>2272</v>
      </c>
      <c r="O1876" s="4" t="s">
        <v>2272</v>
      </c>
      <c r="P1876" s="4" t="s">
        <v>2272</v>
      </c>
      <c r="Q1876" s="4" t="s">
        <v>2272</v>
      </c>
      <c r="R1876" s="4" t="s">
        <v>2272</v>
      </c>
      <c r="S1876" s="4" t="s">
        <v>2272</v>
      </c>
      <c r="T1876" s="4" t="s">
        <v>2272</v>
      </c>
      <c r="U1876" s="4" t="s">
        <v>2272</v>
      </c>
      <c r="V1876" s="4" t="s">
        <v>2272</v>
      </c>
      <c r="W1876" s="4" t="s">
        <v>2272</v>
      </c>
      <c r="X1876" s="4" t="s">
        <v>2272</v>
      </c>
      <c r="Y1876" s="4" t="s">
        <v>2272</v>
      </c>
      <c r="Z1876" s="4" t="s">
        <v>2272</v>
      </c>
      <c r="AA1876" s="198" t="s">
        <v>187</v>
      </c>
      <c r="AB1876" s="198" t="s">
        <v>84</v>
      </c>
      <c r="AC1876" s="4" t="s">
        <v>2272</v>
      </c>
      <c r="AD1876" s="198"/>
      <c r="AE1876" s="198"/>
    </row>
    <row r="1877" spans="1:31" ht="29">
      <c r="A1877" s="198" t="s">
        <v>5437</v>
      </c>
      <c r="B1877" s="198" t="s">
        <v>5481</v>
      </c>
      <c r="C1877" s="198" t="s">
        <v>23</v>
      </c>
      <c r="D1877" s="198" t="s">
        <v>3475</v>
      </c>
      <c r="E1877" s="198" t="s">
        <v>114</v>
      </c>
      <c r="F1877" s="4" t="s">
        <v>2657</v>
      </c>
      <c r="G1877" s="4" t="s">
        <v>2272</v>
      </c>
      <c r="H1877" s="198" t="s">
        <v>521</v>
      </c>
      <c r="I1877" s="198"/>
      <c r="J1877" s="4" t="s">
        <v>2272</v>
      </c>
      <c r="K1877" s="4" t="s">
        <v>2272</v>
      </c>
      <c r="L1877" s="4" t="s">
        <v>2272</v>
      </c>
      <c r="M1877" s="4" t="s">
        <v>2272</v>
      </c>
      <c r="N1877" s="4" t="s">
        <v>2272</v>
      </c>
      <c r="O1877" s="4" t="s">
        <v>2272</v>
      </c>
      <c r="P1877" s="4" t="s">
        <v>2272</v>
      </c>
      <c r="Q1877" s="4" t="s">
        <v>2272</v>
      </c>
      <c r="R1877" s="4" t="s">
        <v>2272</v>
      </c>
      <c r="S1877" s="4" t="s">
        <v>2272</v>
      </c>
      <c r="T1877" s="4" t="s">
        <v>2272</v>
      </c>
      <c r="U1877" s="4" t="s">
        <v>2272</v>
      </c>
      <c r="V1877" s="4" t="s">
        <v>2272</v>
      </c>
      <c r="W1877" s="4" t="s">
        <v>2272</v>
      </c>
      <c r="X1877" s="4" t="s">
        <v>2272</v>
      </c>
      <c r="Y1877" s="4" t="s">
        <v>2272</v>
      </c>
      <c r="Z1877" s="4" t="s">
        <v>2272</v>
      </c>
      <c r="AA1877" s="198" t="s">
        <v>186</v>
      </c>
      <c r="AB1877" s="198" t="s">
        <v>187</v>
      </c>
      <c r="AC1877" s="4" t="s">
        <v>2272</v>
      </c>
      <c r="AD1877" s="198"/>
      <c r="AE1877" s="198"/>
    </row>
    <row r="1878" spans="1:31" ht="29">
      <c r="A1878" s="198" t="s">
        <v>5437</v>
      </c>
      <c r="B1878" s="198" t="s">
        <v>5482</v>
      </c>
      <c r="C1878" s="198" t="s">
        <v>23</v>
      </c>
      <c r="D1878" s="198" t="s">
        <v>25</v>
      </c>
      <c r="E1878" s="198" t="s">
        <v>5000</v>
      </c>
      <c r="F1878" s="4" t="s">
        <v>2657</v>
      </c>
      <c r="G1878" s="4" t="s">
        <v>2272</v>
      </c>
      <c r="H1878" s="198" t="s">
        <v>521</v>
      </c>
      <c r="I1878" s="198"/>
      <c r="J1878" s="4" t="s">
        <v>2272</v>
      </c>
      <c r="K1878" s="4" t="s">
        <v>2272</v>
      </c>
      <c r="L1878" s="4" t="s">
        <v>2272</v>
      </c>
      <c r="M1878" s="4" t="s">
        <v>2272</v>
      </c>
      <c r="N1878" s="4" t="s">
        <v>2272</v>
      </c>
      <c r="O1878" s="4" t="s">
        <v>2272</v>
      </c>
      <c r="P1878" s="4" t="s">
        <v>2272</v>
      </c>
      <c r="Q1878" s="4" t="s">
        <v>2272</v>
      </c>
      <c r="R1878" s="4" t="s">
        <v>2272</v>
      </c>
      <c r="S1878" s="4" t="s">
        <v>2272</v>
      </c>
      <c r="T1878" s="4" t="s">
        <v>2272</v>
      </c>
      <c r="U1878" s="4" t="s">
        <v>2272</v>
      </c>
      <c r="V1878" s="4" t="s">
        <v>2272</v>
      </c>
      <c r="W1878" s="4" t="s">
        <v>2272</v>
      </c>
      <c r="X1878" s="4" t="s">
        <v>2272</v>
      </c>
      <c r="Y1878" s="4" t="s">
        <v>2272</v>
      </c>
      <c r="Z1878" s="4" t="s">
        <v>2272</v>
      </c>
      <c r="AA1878" s="4" t="s">
        <v>2272</v>
      </c>
      <c r="AB1878" s="4" t="s">
        <v>2272</v>
      </c>
      <c r="AC1878" s="4" t="s">
        <v>2272</v>
      </c>
      <c r="AD1878" s="198"/>
      <c r="AE1878" s="198"/>
    </row>
    <row r="1879" spans="1:31" ht="34" customHeight="1">
      <c r="A1879" s="198" t="s">
        <v>5437</v>
      </c>
      <c r="B1879" s="198" t="s">
        <v>5483</v>
      </c>
      <c r="C1879" s="198" t="s">
        <v>2453</v>
      </c>
      <c r="D1879" s="198" t="s">
        <v>26</v>
      </c>
      <c r="E1879" s="198" t="s">
        <v>128</v>
      </c>
      <c r="F1879" s="4" t="s">
        <v>158</v>
      </c>
      <c r="G1879" s="4" t="s">
        <v>2272</v>
      </c>
      <c r="H1879" s="198" t="s">
        <v>521</v>
      </c>
      <c r="I1879" s="198"/>
      <c r="J1879" s="4" t="s">
        <v>2272</v>
      </c>
      <c r="K1879" s="4" t="s">
        <v>2272</v>
      </c>
      <c r="L1879" s="4" t="s">
        <v>2272</v>
      </c>
      <c r="M1879" s="4" t="s">
        <v>2272</v>
      </c>
      <c r="N1879" s="4" t="s">
        <v>2272</v>
      </c>
      <c r="O1879" s="4" t="s">
        <v>2272</v>
      </c>
      <c r="P1879" s="4" t="s">
        <v>2272</v>
      </c>
      <c r="Q1879" s="4" t="s">
        <v>2272</v>
      </c>
      <c r="R1879" s="4" t="s">
        <v>2272</v>
      </c>
      <c r="S1879" s="4" t="s">
        <v>2272</v>
      </c>
      <c r="T1879" s="4" t="s">
        <v>2272</v>
      </c>
      <c r="U1879" s="4" t="s">
        <v>2272</v>
      </c>
      <c r="V1879" s="4" t="s">
        <v>2272</v>
      </c>
      <c r="W1879" s="4" t="s">
        <v>2272</v>
      </c>
      <c r="X1879" s="4" t="s">
        <v>2272</v>
      </c>
      <c r="Y1879" s="4" t="s">
        <v>2272</v>
      </c>
      <c r="Z1879" s="4" t="s">
        <v>2272</v>
      </c>
      <c r="AA1879" s="198" t="s">
        <v>84</v>
      </c>
      <c r="AB1879" s="198" t="s">
        <v>84</v>
      </c>
      <c r="AC1879" s="4" t="s">
        <v>2272</v>
      </c>
      <c r="AD1879" s="198"/>
      <c r="AE1879" s="198"/>
    </row>
    <row r="1880" spans="1:31" ht="29">
      <c r="A1880" s="198" t="s">
        <v>5437</v>
      </c>
      <c r="B1880" s="198" t="s">
        <v>5484</v>
      </c>
      <c r="C1880" s="198" t="s">
        <v>23</v>
      </c>
      <c r="D1880" s="198" t="s">
        <v>2227</v>
      </c>
      <c r="E1880" s="4" t="s">
        <v>394</v>
      </c>
      <c r="F1880" s="4" t="s">
        <v>27</v>
      </c>
      <c r="G1880" s="4" t="s">
        <v>2272</v>
      </c>
      <c r="H1880" s="198" t="s">
        <v>521</v>
      </c>
      <c r="I1880" s="198"/>
      <c r="J1880" s="4" t="s">
        <v>2272</v>
      </c>
      <c r="K1880" s="4" t="s">
        <v>2272</v>
      </c>
      <c r="L1880" s="4" t="s">
        <v>2272</v>
      </c>
      <c r="M1880" s="4" t="s">
        <v>2272</v>
      </c>
      <c r="N1880" s="4" t="s">
        <v>2272</v>
      </c>
      <c r="O1880" s="4" t="s">
        <v>2272</v>
      </c>
      <c r="P1880" s="4" t="s">
        <v>2272</v>
      </c>
      <c r="Q1880" s="4" t="s">
        <v>2272</v>
      </c>
      <c r="R1880" s="4" t="s">
        <v>2272</v>
      </c>
      <c r="S1880" s="4" t="s">
        <v>2272</v>
      </c>
      <c r="T1880" s="4" t="s">
        <v>2272</v>
      </c>
      <c r="U1880" s="4" t="s">
        <v>2272</v>
      </c>
      <c r="V1880" s="4" t="s">
        <v>2272</v>
      </c>
      <c r="W1880" s="4" t="s">
        <v>2272</v>
      </c>
      <c r="X1880" s="4" t="s">
        <v>2272</v>
      </c>
      <c r="Y1880" s="4" t="s">
        <v>2272</v>
      </c>
      <c r="Z1880" s="4" t="s">
        <v>2272</v>
      </c>
      <c r="AA1880" s="4" t="s">
        <v>2272</v>
      </c>
      <c r="AB1880" s="4" t="s">
        <v>2272</v>
      </c>
      <c r="AC1880" s="4" t="s">
        <v>2272</v>
      </c>
      <c r="AD1880" s="198"/>
      <c r="AE1880" s="198"/>
    </row>
    <row r="1881" spans="1:31" ht="29">
      <c r="A1881" s="198" t="s">
        <v>5437</v>
      </c>
      <c r="B1881" s="198" t="s">
        <v>5485</v>
      </c>
      <c r="C1881" s="198" t="s">
        <v>23</v>
      </c>
      <c r="D1881" s="198" t="s">
        <v>1128</v>
      </c>
      <c r="E1881" s="4" t="s">
        <v>394</v>
      </c>
      <c r="F1881" s="4" t="s">
        <v>27</v>
      </c>
      <c r="G1881" s="4" t="s">
        <v>2272</v>
      </c>
      <c r="H1881" s="198" t="s">
        <v>521</v>
      </c>
      <c r="I1881" s="198"/>
      <c r="J1881" s="4" t="s">
        <v>2272</v>
      </c>
      <c r="K1881" s="4" t="s">
        <v>2272</v>
      </c>
      <c r="L1881" s="4" t="s">
        <v>2272</v>
      </c>
      <c r="M1881" s="4" t="s">
        <v>2272</v>
      </c>
      <c r="N1881" s="4" t="s">
        <v>2272</v>
      </c>
      <c r="O1881" s="4" t="s">
        <v>2272</v>
      </c>
      <c r="P1881" s="4" t="s">
        <v>2272</v>
      </c>
      <c r="Q1881" s="4" t="s">
        <v>2272</v>
      </c>
      <c r="R1881" s="4" t="s">
        <v>2272</v>
      </c>
      <c r="S1881" s="4" t="s">
        <v>2272</v>
      </c>
      <c r="T1881" s="4" t="s">
        <v>2272</v>
      </c>
      <c r="U1881" s="4" t="s">
        <v>2272</v>
      </c>
      <c r="V1881" s="4" t="s">
        <v>2272</v>
      </c>
      <c r="W1881" s="4" t="s">
        <v>2272</v>
      </c>
      <c r="X1881" s="4" t="s">
        <v>2272</v>
      </c>
      <c r="Y1881" s="4" t="s">
        <v>2272</v>
      </c>
      <c r="Z1881" s="4" t="s">
        <v>2272</v>
      </c>
      <c r="AA1881" s="198" t="s">
        <v>187</v>
      </c>
      <c r="AB1881" s="198" t="s">
        <v>37</v>
      </c>
      <c r="AC1881" s="4" t="s">
        <v>2272</v>
      </c>
      <c r="AD1881" s="198"/>
      <c r="AE1881" s="198"/>
    </row>
    <row r="1882" spans="1:31" ht="33.5" customHeight="1">
      <c r="A1882" s="198" t="s">
        <v>5437</v>
      </c>
      <c r="B1882" s="198" t="s">
        <v>5486</v>
      </c>
      <c r="C1882" s="198" t="s">
        <v>23</v>
      </c>
      <c r="D1882" s="198" t="s">
        <v>2342</v>
      </c>
      <c r="E1882" s="198" t="s">
        <v>128</v>
      </c>
      <c r="F1882" s="4" t="s">
        <v>27</v>
      </c>
      <c r="G1882" s="4" t="s">
        <v>2272</v>
      </c>
      <c r="H1882" s="198" t="s">
        <v>521</v>
      </c>
      <c r="I1882" s="198"/>
      <c r="J1882" s="4" t="s">
        <v>2272</v>
      </c>
      <c r="K1882" s="4" t="s">
        <v>2272</v>
      </c>
      <c r="L1882" s="4" t="s">
        <v>2272</v>
      </c>
      <c r="M1882" s="4" t="s">
        <v>2272</v>
      </c>
      <c r="N1882" s="4" t="s">
        <v>2272</v>
      </c>
      <c r="O1882" s="4" t="s">
        <v>2272</v>
      </c>
      <c r="P1882" s="4" t="s">
        <v>2272</v>
      </c>
      <c r="Q1882" s="4" t="s">
        <v>2272</v>
      </c>
      <c r="R1882" s="4" t="s">
        <v>2272</v>
      </c>
      <c r="S1882" s="4" t="s">
        <v>2272</v>
      </c>
      <c r="T1882" s="4" t="s">
        <v>2272</v>
      </c>
      <c r="U1882" s="4" t="s">
        <v>2272</v>
      </c>
      <c r="V1882" s="4" t="s">
        <v>2272</v>
      </c>
      <c r="W1882" s="4" t="s">
        <v>2272</v>
      </c>
      <c r="X1882" s="4" t="s">
        <v>2272</v>
      </c>
      <c r="Y1882" s="4" t="s">
        <v>2272</v>
      </c>
      <c r="Z1882" s="4" t="s">
        <v>2272</v>
      </c>
      <c r="AA1882" s="4" t="s">
        <v>2272</v>
      </c>
      <c r="AB1882" s="4" t="s">
        <v>2272</v>
      </c>
      <c r="AC1882" s="4" t="s">
        <v>2272</v>
      </c>
      <c r="AD1882" s="198"/>
      <c r="AE1882" s="198"/>
    </row>
    <row r="1883" spans="1:31" ht="29">
      <c r="A1883" s="198" t="s">
        <v>5437</v>
      </c>
      <c r="B1883" s="198" t="s">
        <v>5487</v>
      </c>
      <c r="C1883" s="198" t="s">
        <v>23</v>
      </c>
      <c r="D1883" s="198" t="s">
        <v>1241</v>
      </c>
      <c r="E1883" s="198" t="s">
        <v>2647</v>
      </c>
      <c r="F1883" s="4" t="s">
        <v>2657</v>
      </c>
      <c r="G1883" s="4" t="s">
        <v>2272</v>
      </c>
      <c r="H1883" s="198" t="s">
        <v>521</v>
      </c>
      <c r="I1883" s="198"/>
      <c r="J1883" s="4" t="s">
        <v>2272</v>
      </c>
      <c r="K1883" s="4" t="s">
        <v>2272</v>
      </c>
      <c r="L1883" s="4" t="s">
        <v>2272</v>
      </c>
      <c r="M1883" s="4" t="s">
        <v>2272</v>
      </c>
      <c r="N1883" s="4" t="s">
        <v>2272</v>
      </c>
      <c r="O1883" s="4" t="s">
        <v>2272</v>
      </c>
      <c r="P1883" s="4" t="s">
        <v>2272</v>
      </c>
      <c r="Q1883" s="4" t="s">
        <v>2272</v>
      </c>
      <c r="R1883" s="4" t="s">
        <v>2272</v>
      </c>
      <c r="S1883" s="4" t="s">
        <v>2272</v>
      </c>
      <c r="T1883" s="4" t="s">
        <v>2272</v>
      </c>
      <c r="U1883" s="4" t="s">
        <v>2272</v>
      </c>
      <c r="V1883" s="4" t="s">
        <v>2272</v>
      </c>
      <c r="W1883" s="4" t="s">
        <v>2272</v>
      </c>
      <c r="X1883" s="4" t="s">
        <v>2272</v>
      </c>
      <c r="Y1883" s="4" t="s">
        <v>2272</v>
      </c>
      <c r="Z1883" s="4" t="s">
        <v>2272</v>
      </c>
      <c r="AA1883" s="4" t="s">
        <v>2272</v>
      </c>
      <c r="AB1883" s="4" t="s">
        <v>2272</v>
      </c>
      <c r="AC1883" s="4" t="s">
        <v>2272</v>
      </c>
      <c r="AD1883" s="198"/>
      <c r="AE1883" s="198"/>
    </row>
    <row r="1884" spans="1:31" ht="29">
      <c r="A1884" s="198" t="s">
        <v>5437</v>
      </c>
      <c r="B1884" s="198" t="s">
        <v>5488</v>
      </c>
      <c r="C1884" s="198" t="s">
        <v>23</v>
      </c>
      <c r="D1884" s="198" t="s">
        <v>2337</v>
      </c>
      <c r="E1884" s="198" t="s">
        <v>2647</v>
      </c>
      <c r="F1884" s="4" t="s">
        <v>2657</v>
      </c>
      <c r="G1884" s="4" t="s">
        <v>2272</v>
      </c>
      <c r="H1884" s="198" t="s">
        <v>521</v>
      </c>
      <c r="I1884" s="198"/>
      <c r="J1884" s="4" t="s">
        <v>2272</v>
      </c>
      <c r="K1884" s="4" t="s">
        <v>2272</v>
      </c>
      <c r="L1884" s="4" t="s">
        <v>2272</v>
      </c>
      <c r="M1884" s="4" t="s">
        <v>2272</v>
      </c>
      <c r="N1884" s="4" t="s">
        <v>2272</v>
      </c>
      <c r="O1884" s="4" t="s">
        <v>2272</v>
      </c>
      <c r="P1884" s="4" t="s">
        <v>2272</v>
      </c>
      <c r="Q1884" s="4" t="s">
        <v>2272</v>
      </c>
      <c r="R1884" s="4" t="s">
        <v>2272</v>
      </c>
      <c r="S1884" s="4" t="s">
        <v>2272</v>
      </c>
      <c r="T1884" s="4" t="s">
        <v>2272</v>
      </c>
      <c r="U1884" s="4" t="s">
        <v>2272</v>
      </c>
      <c r="V1884" s="4" t="s">
        <v>2272</v>
      </c>
      <c r="W1884" s="4" t="s">
        <v>2272</v>
      </c>
      <c r="X1884" s="4" t="s">
        <v>2272</v>
      </c>
      <c r="Y1884" s="4" t="s">
        <v>2272</v>
      </c>
      <c r="Z1884" s="4" t="s">
        <v>2272</v>
      </c>
      <c r="AA1884" s="4" t="s">
        <v>2272</v>
      </c>
      <c r="AB1884" s="4" t="s">
        <v>2272</v>
      </c>
      <c r="AC1884" s="4" t="s">
        <v>2272</v>
      </c>
      <c r="AD1884" s="198"/>
      <c r="AE1884" s="198"/>
    </row>
    <row r="1885" spans="1:31" ht="33.5" customHeight="1">
      <c r="A1885" s="198" t="s">
        <v>5437</v>
      </c>
      <c r="B1885" s="198" t="s">
        <v>5498</v>
      </c>
      <c r="C1885" s="198" t="s">
        <v>23</v>
      </c>
      <c r="D1885" s="198" t="s">
        <v>4157</v>
      </c>
      <c r="E1885" s="198" t="s">
        <v>2644</v>
      </c>
      <c r="F1885" s="4" t="s">
        <v>73</v>
      </c>
      <c r="G1885" s="4" t="s">
        <v>2272</v>
      </c>
      <c r="H1885" s="198" t="s">
        <v>521</v>
      </c>
      <c r="I1885" s="198"/>
      <c r="J1885" s="4" t="s">
        <v>2272</v>
      </c>
      <c r="K1885" s="4" t="s">
        <v>2272</v>
      </c>
      <c r="L1885" s="4" t="s">
        <v>2272</v>
      </c>
      <c r="M1885" s="4" t="s">
        <v>2272</v>
      </c>
      <c r="N1885" s="4" t="s">
        <v>2272</v>
      </c>
      <c r="O1885" s="4" t="s">
        <v>2272</v>
      </c>
      <c r="P1885" s="4" t="s">
        <v>2272</v>
      </c>
      <c r="Q1885" s="4" t="s">
        <v>2272</v>
      </c>
      <c r="R1885" s="4" t="s">
        <v>2272</v>
      </c>
      <c r="S1885" s="4" t="s">
        <v>2272</v>
      </c>
      <c r="T1885" s="4" t="s">
        <v>2272</v>
      </c>
      <c r="U1885" s="4" t="s">
        <v>2272</v>
      </c>
      <c r="V1885" s="4" t="s">
        <v>2272</v>
      </c>
      <c r="W1885" s="4" t="s">
        <v>2272</v>
      </c>
      <c r="X1885" s="4" t="s">
        <v>2272</v>
      </c>
      <c r="Y1885" s="4" t="s">
        <v>2272</v>
      </c>
      <c r="Z1885" s="4" t="s">
        <v>2272</v>
      </c>
      <c r="AA1885" s="4" t="s">
        <v>2272</v>
      </c>
      <c r="AB1885" s="4" t="s">
        <v>2272</v>
      </c>
      <c r="AC1885" s="4" t="s">
        <v>2272</v>
      </c>
      <c r="AD1885" s="198"/>
      <c r="AE1885" s="198"/>
    </row>
    <row r="1886" spans="1:31" ht="38.5" customHeight="1">
      <c r="A1886" s="198" t="s">
        <v>5438</v>
      </c>
      <c r="B1886" s="198" t="s">
        <v>5489</v>
      </c>
      <c r="C1886" s="198" t="s">
        <v>23</v>
      </c>
      <c r="D1886" s="198" t="s">
        <v>26</v>
      </c>
      <c r="E1886" s="198" t="s">
        <v>128</v>
      </c>
      <c r="F1886" s="4" t="s">
        <v>158</v>
      </c>
      <c r="G1886" s="4" t="s">
        <v>2272</v>
      </c>
      <c r="H1886" s="198" t="s">
        <v>521</v>
      </c>
      <c r="I1886" s="198"/>
      <c r="J1886" s="4" t="s">
        <v>2272</v>
      </c>
      <c r="K1886" s="4" t="s">
        <v>2272</v>
      </c>
      <c r="L1886" s="4" t="s">
        <v>2272</v>
      </c>
      <c r="M1886" s="4" t="s">
        <v>2272</v>
      </c>
      <c r="N1886" s="4" t="s">
        <v>2272</v>
      </c>
      <c r="O1886" s="4" t="s">
        <v>2272</v>
      </c>
      <c r="P1886" s="4" t="s">
        <v>2272</v>
      </c>
      <c r="Q1886" s="4" t="s">
        <v>2272</v>
      </c>
      <c r="R1886" s="4" t="s">
        <v>2272</v>
      </c>
      <c r="S1886" s="4" t="s">
        <v>2272</v>
      </c>
      <c r="T1886" s="4" t="s">
        <v>2272</v>
      </c>
      <c r="U1886" s="4" t="s">
        <v>2272</v>
      </c>
      <c r="V1886" s="4" t="s">
        <v>2272</v>
      </c>
      <c r="W1886" s="4" t="s">
        <v>2272</v>
      </c>
      <c r="X1886" s="4" t="s">
        <v>2272</v>
      </c>
      <c r="Y1886" s="4" t="s">
        <v>2272</v>
      </c>
      <c r="Z1886" s="4" t="s">
        <v>2272</v>
      </c>
      <c r="AA1886" s="198" t="s">
        <v>84</v>
      </c>
      <c r="AB1886" s="198" t="s">
        <v>84</v>
      </c>
      <c r="AC1886" s="4" t="s">
        <v>2272</v>
      </c>
      <c r="AD1886" s="198"/>
      <c r="AE1886" s="198"/>
    </row>
    <row r="1887" spans="1:31" ht="38.5" customHeight="1">
      <c r="A1887" s="198" t="s">
        <v>5438</v>
      </c>
      <c r="B1887" s="198" t="s">
        <v>5490</v>
      </c>
      <c r="C1887" s="198" t="s">
        <v>23</v>
      </c>
      <c r="D1887" s="198" t="s">
        <v>24</v>
      </c>
      <c r="E1887" s="198" t="s">
        <v>5000</v>
      </c>
      <c r="F1887" s="4" t="s">
        <v>54</v>
      </c>
      <c r="G1887" s="4" t="s">
        <v>2272</v>
      </c>
      <c r="H1887" s="198" t="s">
        <v>521</v>
      </c>
      <c r="I1887" s="198"/>
      <c r="J1887" s="4" t="s">
        <v>2272</v>
      </c>
      <c r="K1887" s="4" t="s">
        <v>2272</v>
      </c>
      <c r="L1887" s="4" t="s">
        <v>2272</v>
      </c>
      <c r="M1887" s="4" t="s">
        <v>2272</v>
      </c>
      <c r="N1887" s="4" t="s">
        <v>2272</v>
      </c>
      <c r="O1887" s="4" t="s">
        <v>2272</v>
      </c>
      <c r="P1887" s="4" t="s">
        <v>2272</v>
      </c>
      <c r="Q1887" s="4" t="s">
        <v>2272</v>
      </c>
      <c r="R1887" s="4" t="s">
        <v>2272</v>
      </c>
      <c r="S1887" s="4" t="s">
        <v>2272</v>
      </c>
      <c r="T1887" s="4" t="s">
        <v>2272</v>
      </c>
      <c r="U1887" s="4" t="s">
        <v>2272</v>
      </c>
      <c r="V1887" s="4" t="s">
        <v>2272</v>
      </c>
      <c r="W1887" s="4" t="s">
        <v>2272</v>
      </c>
      <c r="X1887" s="4" t="s">
        <v>2272</v>
      </c>
      <c r="Y1887" s="4" t="s">
        <v>2272</v>
      </c>
      <c r="Z1887" s="4" t="s">
        <v>2272</v>
      </c>
      <c r="AA1887" s="198" t="s">
        <v>2272</v>
      </c>
      <c r="AB1887" s="198" t="s">
        <v>2272</v>
      </c>
      <c r="AC1887" s="4" t="s">
        <v>2272</v>
      </c>
      <c r="AD1887" s="198"/>
      <c r="AE1887" s="198"/>
    </row>
    <row r="1888" spans="1:31" ht="38.5" customHeight="1">
      <c r="A1888" s="198" t="s">
        <v>5438</v>
      </c>
      <c r="B1888" s="198" t="s">
        <v>5491</v>
      </c>
      <c r="C1888" s="198" t="s">
        <v>23</v>
      </c>
      <c r="D1888" s="198" t="s">
        <v>3475</v>
      </c>
      <c r="E1888" s="198" t="s">
        <v>114</v>
      </c>
      <c r="F1888" s="4" t="s">
        <v>54</v>
      </c>
      <c r="G1888" s="4" t="s">
        <v>2272</v>
      </c>
      <c r="H1888" s="198" t="s">
        <v>521</v>
      </c>
      <c r="I1888" s="198"/>
      <c r="J1888" s="4" t="s">
        <v>2272</v>
      </c>
      <c r="K1888" s="4" t="s">
        <v>2272</v>
      </c>
      <c r="L1888" s="4" t="s">
        <v>2272</v>
      </c>
      <c r="M1888" s="4" t="s">
        <v>2272</v>
      </c>
      <c r="N1888" s="4" t="s">
        <v>2272</v>
      </c>
      <c r="O1888" s="4" t="s">
        <v>2272</v>
      </c>
      <c r="P1888" s="4" t="s">
        <v>2272</v>
      </c>
      <c r="Q1888" s="4" t="s">
        <v>2272</v>
      </c>
      <c r="R1888" s="4" t="s">
        <v>2272</v>
      </c>
      <c r="S1888" s="4" t="s">
        <v>2272</v>
      </c>
      <c r="T1888" s="4" t="s">
        <v>2272</v>
      </c>
      <c r="U1888" s="4" t="s">
        <v>2272</v>
      </c>
      <c r="V1888" s="4" t="s">
        <v>2272</v>
      </c>
      <c r="W1888" s="4" t="s">
        <v>2272</v>
      </c>
      <c r="X1888" s="4" t="s">
        <v>2272</v>
      </c>
      <c r="Y1888" s="4" t="s">
        <v>2272</v>
      </c>
      <c r="Z1888" s="4" t="s">
        <v>2272</v>
      </c>
      <c r="AA1888" s="198" t="s">
        <v>2272</v>
      </c>
      <c r="AB1888" s="198" t="s">
        <v>2272</v>
      </c>
      <c r="AC1888" s="4" t="s">
        <v>2272</v>
      </c>
      <c r="AD1888" s="198"/>
      <c r="AE1888" s="198"/>
    </row>
    <row r="1889" spans="1:31" ht="38.5" customHeight="1">
      <c r="A1889" s="198" t="s">
        <v>5438</v>
      </c>
      <c r="B1889" s="198" t="s">
        <v>5492</v>
      </c>
      <c r="C1889" s="198" t="s">
        <v>23</v>
      </c>
      <c r="D1889" s="198" t="s">
        <v>1241</v>
      </c>
      <c r="E1889" s="198" t="s">
        <v>114</v>
      </c>
      <c r="F1889" s="4" t="s">
        <v>54</v>
      </c>
      <c r="G1889" s="4" t="s">
        <v>2272</v>
      </c>
      <c r="H1889" s="198" t="s">
        <v>521</v>
      </c>
      <c r="I1889" s="198"/>
      <c r="J1889" s="4" t="s">
        <v>2272</v>
      </c>
      <c r="K1889" s="4" t="s">
        <v>2272</v>
      </c>
      <c r="L1889" s="4" t="s">
        <v>2272</v>
      </c>
      <c r="M1889" s="4" t="s">
        <v>2272</v>
      </c>
      <c r="N1889" s="4" t="s">
        <v>2272</v>
      </c>
      <c r="O1889" s="4" t="s">
        <v>2272</v>
      </c>
      <c r="P1889" s="4" t="s">
        <v>2272</v>
      </c>
      <c r="Q1889" s="4" t="s">
        <v>2272</v>
      </c>
      <c r="R1889" s="4" t="s">
        <v>2272</v>
      </c>
      <c r="S1889" s="4" t="s">
        <v>2272</v>
      </c>
      <c r="T1889" s="4" t="s">
        <v>2272</v>
      </c>
      <c r="U1889" s="4" t="s">
        <v>2272</v>
      </c>
      <c r="V1889" s="4" t="s">
        <v>2272</v>
      </c>
      <c r="W1889" s="4" t="s">
        <v>2272</v>
      </c>
      <c r="X1889" s="4" t="s">
        <v>2272</v>
      </c>
      <c r="Y1889" s="4" t="s">
        <v>2272</v>
      </c>
      <c r="Z1889" s="4" t="s">
        <v>2272</v>
      </c>
      <c r="AA1889" s="4" t="s">
        <v>2272</v>
      </c>
      <c r="AB1889" s="4" t="s">
        <v>2272</v>
      </c>
      <c r="AC1889" s="4" t="s">
        <v>2272</v>
      </c>
      <c r="AD1889" s="198"/>
      <c r="AE1889" s="198"/>
    </row>
    <row r="1890" spans="1:31" ht="38.5" customHeight="1">
      <c r="A1890" s="198" t="s">
        <v>5438</v>
      </c>
      <c r="B1890" s="198" t="s">
        <v>5493</v>
      </c>
      <c r="C1890" s="198" t="s">
        <v>23</v>
      </c>
      <c r="D1890" s="198" t="s">
        <v>2227</v>
      </c>
      <c r="E1890" s="4" t="s">
        <v>394</v>
      </c>
      <c r="F1890" s="4" t="s">
        <v>27</v>
      </c>
      <c r="G1890" s="4" t="s">
        <v>2272</v>
      </c>
      <c r="H1890" s="198" t="s">
        <v>521</v>
      </c>
      <c r="I1890" s="198"/>
      <c r="J1890" s="4" t="s">
        <v>2272</v>
      </c>
      <c r="K1890" s="4" t="s">
        <v>2272</v>
      </c>
      <c r="L1890" s="4" t="s">
        <v>2272</v>
      </c>
      <c r="M1890" s="4" t="s">
        <v>2272</v>
      </c>
      <c r="N1890" s="4" t="s">
        <v>2272</v>
      </c>
      <c r="O1890" s="4" t="s">
        <v>2272</v>
      </c>
      <c r="P1890" s="4" t="s">
        <v>2272</v>
      </c>
      <c r="Q1890" s="4" t="s">
        <v>2272</v>
      </c>
      <c r="R1890" s="4" t="s">
        <v>2272</v>
      </c>
      <c r="S1890" s="4" t="s">
        <v>2272</v>
      </c>
      <c r="T1890" s="4" t="s">
        <v>2272</v>
      </c>
      <c r="U1890" s="4" t="s">
        <v>2272</v>
      </c>
      <c r="V1890" s="4" t="s">
        <v>2272</v>
      </c>
      <c r="W1890" s="4" t="s">
        <v>2272</v>
      </c>
      <c r="X1890" s="4" t="s">
        <v>2272</v>
      </c>
      <c r="Y1890" s="4" t="s">
        <v>2272</v>
      </c>
      <c r="Z1890" s="4" t="s">
        <v>2272</v>
      </c>
      <c r="AA1890" s="198" t="s">
        <v>2272</v>
      </c>
      <c r="AB1890" s="198" t="s">
        <v>2272</v>
      </c>
      <c r="AC1890" s="4" t="s">
        <v>2272</v>
      </c>
      <c r="AD1890" s="198"/>
      <c r="AE1890" s="198"/>
    </row>
    <row r="1891" spans="1:31" ht="38.5" customHeight="1">
      <c r="A1891" s="198" t="s">
        <v>5438</v>
      </c>
      <c r="B1891" s="198" t="s">
        <v>5494</v>
      </c>
      <c r="C1891" s="198" t="s">
        <v>23</v>
      </c>
      <c r="D1891" s="198" t="s">
        <v>1128</v>
      </c>
      <c r="E1891" s="4" t="s">
        <v>394</v>
      </c>
      <c r="F1891" s="4" t="s">
        <v>27</v>
      </c>
      <c r="G1891" s="4" t="s">
        <v>2272</v>
      </c>
      <c r="H1891" s="198" t="s">
        <v>521</v>
      </c>
      <c r="I1891" s="198"/>
      <c r="J1891" s="4" t="s">
        <v>2272</v>
      </c>
      <c r="K1891" s="4" t="s">
        <v>2272</v>
      </c>
      <c r="L1891" s="4" t="s">
        <v>2272</v>
      </c>
      <c r="M1891" s="4" t="s">
        <v>2272</v>
      </c>
      <c r="N1891" s="4" t="s">
        <v>2272</v>
      </c>
      <c r="O1891" s="4" t="s">
        <v>2272</v>
      </c>
      <c r="P1891" s="4" t="s">
        <v>2272</v>
      </c>
      <c r="Q1891" s="4" t="s">
        <v>2272</v>
      </c>
      <c r="R1891" s="4" t="s">
        <v>2272</v>
      </c>
      <c r="S1891" s="4" t="s">
        <v>2272</v>
      </c>
      <c r="T1891" s="4" t="s">
        <v>2272</v>
      </c>
      <c r="U1891" s="4" t="s">
        <v>2272</v>
      </c>
      <c r="V1891" s="4" t="s">
        <v>2272</v>
      </c>
      <c r="W1891" s="4" t="s">
        <v>2272</v>
      </c>
      <c r="X1891" s="4" t="s">
        <v>2272</v>
      </c>
      <c r="Y1891" s="4" t="s">
        <v>2272</v>
      </c>
      <c r="Z1891" s="4" t="s">
        <v>2272</v>
      </c>
      <c r="AA1891" s="198" t="s">
        <v>84</v>
      </c>
      <c r="AB1891" s="198" t="s">
        <v>84</v>
      </c>
      <c r="AC1891" s="4" t="s">
        <v>2272</v>
      </c>
      <c r="AD1891" s="198"/>
      <c r="AE1891" s="198"/>
    </row>
    <row r="1892" spans="1:31" ht="38.5" customHeight="1">
      <c r="A1892" s="198" t="s">
        <v>5438</v>
      </c>
      <c r="B1892" s="198" t="s">
        <v>5495</v>
      </c>
      <c r="C1892" s="198" t="s">
        <v>23</v>
      </c>
      <c r="D1892" s="198" t="s">
        <v>1241</v>
      </c>
      <c r="E1892" s="198" t="s">
        <v>2647</v>
      </c>
      <c r="F1892" s="4" t="s">
        <v>2657</v>
      </c>
      <c r="G1892" s="4" t="s">
        <v>2272</v>
      </c>
      <c r="H1892" s="198" t="s">
        <v>521</v>
      </c>
      <c r="I1892" s="198"/>
      <c r="J1892" s="4" t="s">
        <v>2272</v>
      </c>
      <c r="K1892" s="4" t="s">
        <v>2272</v>
      </c>
      <c r="L1892" s="4" t="s">
        <v>2272</v>
      </c>
      <c r="M1892" s="4" t="s">
        <v>2272</v>
      </c>
      <c r="N1892" s="4" t="s">
        <v>2272</v>
      </c>
      <c r="O1892" s="4" t="s">
        <v>2272</v>
      </c>
      <c r="P1892" s="4" t="s">
        <v>2272</v>
      </c>
      <c r="Q1892" s="4" t="s">
        <v>2272</v>
      </c>
      <c r="R1892" s="4" t="s">
        <v>2272</v>
      </c>
      <c r="S1892" s="4" t="s">
        <v>2272</v>
      </c>
      <c r="T1892" s="4" t="s">
        <v>2272</v>
      </c>
      <c r="U1892" s="4" t="s">
        <v>2272</v>
      </c>
      <c r="V1892" s="4" t="s">
        <v>2272</v>
      </c>
      <c r="W1892" s="4" t="s">
        <v>2272</v>
      </c>
      <c r="X1892" s="4" t="s">
        <v>2272</v>
      </c>
      <c r="Y1892" s="4" t="s">
        <v>2272</v>
      </c>
      <c r="Z1892" s="4" t="s">
        <v>2272</v>
      </c>
      <c r="AA1892" s="4" t="s">
        <v>2272</v>
      </c>
      <c r="AB1892" s="4" t="s">
        <v>2272</v>
      </c>
      <c r="AC1892" s="4" t="s">
        <v>2272</v>
      </c>
      <c r="AD1892" s="198"/>
      <c r="AE1892" s="198"/>
    </row>
    <row r="1893" spans="1:31" ht="38.5" customHeight="1">
      <c r="A1893" s="198" t="s">
        <v>5438</v>
      </c>
      <c r="B1893" s="198" t="s">
        <v>5496</v>
      </c>
      <c r="C1893" s="198" t="s">
        <v>23</v>
      </c>
      <c r="D1893" s="198" t="s">
        <v>2337</v>
      </c>
      <c r="E1893" s="198" t="s">
        <v>2647</v>
      </c>
      <c r="F1893" s="4" t="s">
        <v>2657</v>
      </c>
      <c r="G1893" s="4" t="s">
        <v>2272</v>
      </c>
      <c r="H1893" s="198" t="s">
        <v>521</v>
      </c>
      <c r="I1893" s="198"/>
      <c r="J1893" s="4" t="s">
        <v>2272</v>
      </c>
      <c r="K1893" s="4" t="s">
        <v>2272</v>
      </c>
      <c r="L1893" s="4" t="s">
        <v>2272</v>
      </c>
      <c r="M1893" s="4" t="s">
        <v>2272</v>
      </c>
      <c r="N1893" s="4" t="s">
        <v>2272</v>
      </c>
      <c r="O1893" s="4" t="s">
        <v>2272</v>
      </c>
      <c r="P1893" s="4" t="s">
        <v>2272</v>
      </c>
      <c r="Q1893" s="4" t="s">
        <v>2272</v>
      </c>
      <c r="R1893" s="4" t="s">
        <v>2272</v>
      </c>
      <c r="S1893" s="4" t="s">
        <v>2272</v>
      </c>
      <c r="T1893" s="4" t="s">
        <v>2272</v>
      </c>
      <c r="U1893" s="4" t="s">
        <v>2272</v>
      </c>
      <c r="V1893" s="4" t="s">
        <v>2272</v>
      </c>
      <c r="W1893" s="4" t="s">
        <v>2272</v>
      </c>
      <c r="X1893" s="4" t="s">
        <v>2272</v>
      </c>
      <c r="Y1893" s="4" t="s">
        <v>2272</v>
      </c>
      <c r="Z1893" s="4" t="s">
        <v>2272</v>
      </c>
      <c r="AA1893" s="4" t="s">
        <v>2272</v>
      </c>
      <c r="AB1893" s="4" t="s">
        <v>2272</v>
      </c>
      <c r="AC1893" s="4" t="s">
        <v>2272</v>
      </c>
      <c r="AD1893" s="198"/>
      <c r="AE1893" s="198"/>
    </row>
    <row r="1894" spans="1:31" ht="38.5" customHeight="1">
      <c r="A1894" s="198" t="s">
        <v>5438</v>
      </c>
      <c r="B1894" s="198" t="s">
        <v>5499</v>
      </c>
      <c r="C1894" s="198" t="s">
        <v>23</v>
      </c>
      <c r="D1894" s="198" t="s">
        <v>4157</v>
      </c>
      <c r="E1894" s="198" t="s">
        <v>2644</v>
      </c>
      <c r="F1894" s="4" t="s">
        <v>73</v>
      </c>
      <c r="G1894" s="4" t="s">
        <v>2272</v>
      </c>
      <c r="H1894" s="198" t="s">
        <v>521</v>
      </c>
      <c r="I1894" s="198"/>
      <c r="J1894" s="4" t="s">
        <v>2272</v>
      </c>
      <c r="K1894" s="4" t="s">
        <v>2272</v>
      </c>
      <c r="L1894" s="4" t="s">
        <v>2272</v>
      </c>
      <c r="M1894" s="4" t="s">
        <v>2272</v>
      </c>
      <c r="N1894" s="4" t="s">
        <v>2272</v>
      </c>
      <c r="O1894" s="4" t="s">
        <v>2272</v>
      </c>
      <c r="P1894" s="4" t="s">
        <v>2272</v>
      </c>
      <c r="Q1894" s="4" t="s">
        <v>2272</v>
      </c>
      <c r="R1894" s="4" t="s">
        <v>2272</v>
      </c>
      <c r="S1894" s="4" t="s">
        <v>2272</v>
      </c>
      <c r="T1894" s="4" t="s">
        <v>2272</v>
      </c>
      <c r="U1894" s="4" t="s">
        <v>2272</v>
      </c>
      <c r="V1894" s="4" t="s">
        <v>2272</v>
      </c>
      <c r="W1894" s="4" t="s">
        <v>2272</v>
      </c>
      <c r="X1894" s="4" t="s">
        <v>2272</v>
      </c>
      <c r="Y1894" s="4" t="s">
        <v>2272</v>
      </c>
      <c r="Z1894" s="4" t="s">
        <v>2272</v>
      </c>
      <c r="AA1894" s="4" t="s">
        <v>2272</v>
      </c>
      <c r="AB1894" s="4" t="s">
        <v>2272</v>
      </c>
      <c r="AC1894" s="4" t="s">
        <v>2272</v>
      </c>
      <c r="AD1894" s="198"/>
      <c r="AE1894" s="198"/>
    </row>
    <row r="1895" spans="1:31" ht="38" customHeight="1">
      <c r="A1895" s="198" t="s">
        <v>5440</v>
      </c>
      <c r="B1895" s="198" t="s">
        <v>5501</v>
      </c>
      <c r="C1895" s="198" t="s">
        <v>23</v>
      </c>
      <c r="D1895" s="198" t="s">
        <v>26</v>
      </c>
      <c r="E1895" s="198" t="s">
        <v>128</v>
      </c>
      <c r="F1895" s="4" t="s">
        <v>158</v>
      </c>
      <c r="G1895" s="4" t="s">
        <v>2272</v>
      </c>
      <c r="H1895" s="198" t="s">
        <v>521</v>
      </c>
      <c r="I1895" s="198"/>
      <c r="J1895" s="4" t="s">
        <v>2272</v>
      </c>
      <c r="K1895" s="4" t="s">
        <v>2272</v>
      </c>
      <c r="L1895" s="4" t="s">
        <v>2272</v>
      </c>
      <c r="M1895" s="4" t="s">
        <v>2272</v>
      </c>
      <c r="N1895" s="4" t="s">
        <v>2272</v>
      </c>
      <c r="O1895" s="4" t="s">
        <v>2272</v>
      </c>
      <c r="P1895" s="4" t="s">
        <v>2272</v>
      </c>
      <c r="Q1895" s="4" t="s">
        <v>2272</v>
      </c>
      <c r="R1895" s="4" t="s">
        <v>2272</v>
      </c>
      <c r="S1895" s="4" t="s">
        <v>2272</v>
      </c>
      <c r="T1895" s="4" t="s">
        <v>2272</v>
      </c>
      <c r="U1895" s="4" t="s">
        <v>2272</v>
      </c>
      <c r="V1895" s="4" t="s">
        <v>2272</v>
      </c>
      <c r="W1895" s="4" t="s">
        <v>2272</v>
      </c>
      <c r="X1895" s="4" t="s">
        <v>2272</v>
      </c>
      <c r="Y1895" s="4" t="s">
        <v>2272</v>
      </c>
      <c r="Z1895" s="21">
        <v>6</v>
      </c>
      <c r="AA1895" s="198" t="s">
        <v>84</v>
      </c>
      <c r="AB1895" s="198" t="s">
        <v>84</v>
      </c>
      <c r="AC1895" s="4" t="s">
        <v>2272</v>
      </c>
      <c r="AD1895" s="198"/>
      <c r="AE1895" s="198"/>
    </row>
    <row r="1896" spans="1:31" ht="29">
      <c r="A1896" s="198" t="s">
        <v>5440</v>
      </c>
      <c r="B1896" s="198" t="s">
        <v>5502</v>
      </c>
      <c r="C1896" s="198" t="s">
        <v>23</v>
      </c>
      <c r="D1896" s="198" t="s">
        <v>24</v>
      </c>
      <c r="E1896" s="198" t="s">
        <v>5000</v>
      </c>
      <c r="F1896" s="4" t="s">
        <v>2657</v>
      </c>
      <c r="G1896" s="4" t="s">
        <v>2272</v>
      </c>
      <c r="H1896" s="198" t="s">
        <v>521</v>
      </c>
      <c r="I1896" s="198"/>
      <c r="J1896" s="4" t="s">
        <v>2272</v>
      </c>
      <c r="K1896" s="4" t="s">
        <v>2272</v>
      </c>
      <c r="L1896" s="4" t="s">
        <v>2272</v>
      </c>
      <c r="M1896" s="4" t="s">
        <v>2272</v>
      </c>
      <c r="N1896" s="4" t="s">
        <v>2272</v>
      </c>
      <c r="O1896" s="4" t="s">
        <v>2272</v>
      </c>
      <c r="P1896" s="4" t="s">
        <v>2272</v>
      </c>
      <c r="Q1896" s="4" t="s">
        <v>2272</v>
      </c>
      <c r="R1896" s="4" t="s">
        <v>2272</v>
      </c>
      <c r="S1896" s="4" t="s">
        <v>2272</v>
      </c>
      <c r="T1896" s="4" t="s">
        <v>2272</v>
      </c>
      <c r="U1896" s="4" t="s">
        <v>2272</v>
      </c>
      <c r="V1896" s="4" t="s">
        <v>2272</v>
      </c>
      <c r="W1896" s="4" t="s">
        <v>2272</v>
      </c>
      <c r="X1896" s="4" t="s">
        <v>2272</v>
      </c>
      <c r="Y1896" s="4" t="s">
        <v>2272</v>
      </c>
      <c r="Z1896" s="4" t="s">
        <v>2272</v>
      </c>
      <c r="AA1896" s="4" t="s">
        <v>2272</v>
      </c>
      <c r="AB1896" s="4" t="s">
        <v>2272</v>
      </c>
      <c r="AC1896" s="4" t="s">
        <v>2272</v>
      </c>
      <c r="AD1896" s="5"/>
      <c r="AE1896" s="5"/>
    </row>
    <row r="1897" spans="1:31" ht="29">
      <c r="A1897" s="198" t="s">
        <v>5440</v>
      </c>
      <c r="B1897" s="198" t="s">
        <v>5503</v>
      </c>
      <c r="C1897" s="198" t="s">
        <v>23</v>
      </c>
      <c r="D1897" s="198" t="s">
        <v>3475</v>
      </c>
      <c r="E1897" s="198" t="s">
        <v>114</v>
      </c>
      <c r="F1897" s="4" t="s">
        <v>2657</v>
      </c>
      <c r="G1897" s="4" t="s">
        <v>2272</v>
      </c>
      <c r="H1897" s="198" t="s">
        <v>521</v>
      </c>
      <c r="I1897" s="198"/>
      <c r="J1897" s="4" t="s">
        <v>2272</v>
      </c>
      <c r="K1897" s="4" t="s">
        <v>2272</v>
      </c>
      <c r="L1897" s="4" t="s">
        <v>2272</v>
      </c>
      <c r="M1897" s="4" t="s">
        <v>2272</v>
      </c>
      <c r="N1897" s="4" t="s">
        <v>2272</v>
      </c>
      <c r="O1897" s="4" t="s">
        <v>2272</v>
      </c>
      <c r="P1897" s="4" t="s">
        <v>2272</v>
      </c>
      <c r="Q1897" s="4" t="s">
        <v>2272</v>
      </c>
      <c r="R1897" s="4" t="s">
        <v>2272</v>
      </c>
      <c r="S1897" s="4" t="s">
        <v>2272</v>
      </c>
      <c r="T1897" s="4" t="s">
        <v>2272</v>
      </c>
      <c r="U1897" s="4" t="s">
        <v>2272</v>
      </c>
      <c r="V1897" s="4" t="s">
        <v>2272</v>
      </c>
      <c r="W1897" s="4" t="s">
        <v>2272</v>
      </c>
      <c r="X1897" s="4" t="s">
        <v>2272</v>
      </c>
      <c r="Y1897" s="4" t="s">
        <v>2272</v>
      </c>
      <c r="Z1897" s="4" t="s">
        <v>2272</v>
      </c>
      <c r="AA1897" s="198" t="s">
        <v>186</v>
      </c>
      <c r="AB1897" s="198" t="s">
        <v>187</v>
      </c>
      <c r="AC1897" s="4" t="s">
        <v>2272</v>
      </c>
      <c r="AD1897" s="198"/>
      <c r="AE1897" s="198"/>
    </row>
    <row r="1898" spans="1:31" ht="29">
      <c r="A1898" s="198" t="s">
        <v>5440</v>
      </c>
      <c r="B1898" s="198" t="s">
        <v>5504</v>
      </c>
      <c r="C1898" s="198" t="s">
        <v>23</v>
      </c>
      <c r="D1898" s="198" t="s">
        <v>1241</v>
      </c>
      <c r="E1898" s="198" t="s">
        <v>114</v>
      </c>
      <c r="F1898" s="4" t="s">
        <v>2657</v>
      </c>
      <c r="G1898" s="4" t="s">
        <v>2272</v>
      </c>
      <c r="H1898" s="198" t="s">
        <v>521</v>
      </c>
      <c r="I1898" s="198"/>
      <c r="J1898" s="4" t="s">
        <v>2272</v>
      </c>
      <c r="K1898" s="4" t="s">
        <v>2272</v>
      </c>
      <c r="L1898" s="4" t="s">
        <v>2272</v>
      </c>
      <c r="M1898" s="4" t="s">
        <v>2272</v>
      </c>
      <c r="N1898" s="4" t="s">
        <v>2272</v>
      </c>
      <c r="O1898" s="4" t="s">
        <v>2272</v>
      </c>
      <c r="P1898" s="4" t="s">
        <v>2272</v>
      </c>
      <c r="Q1898" s="4" t="s">
        <v>2272</v>
      </c>
      <c r="R1898" s="4" t="s">
        <v>2272</v>
      </c>
      <c r="S1898" s="4" t="s">
        <v>2272</v>
      </c>
      <c r="T1898" s="4" t="s">
        <v>2272</v>
      </c>
      <c r="U1898" s="4" t="s">
        <v>2272</v>
      </c>
      <c r="V1898" s="4" t="s">
        <v>2272</v>
      </c>
      <c r="W1898" s="4" t="s">
        <v>2272</v>
      </c>
      <c r="X1898" s="4" t="s">
        <v>2272</v>
      </c>
      <c r="Y1898" s="4" t="s">
        <v>2272</v>
      </c>
      <c r="Z1898" s="4" t="s">
        <v>2272</v>
      </c>
      <c r="AA1898" s="198" t="s">
        <v>187</v>
      </c>
      <c r="AB1898" s="198" t="s">
        <v>84</v>
      </c>
      <c r="AC1898" s="4" t="s">
        <v>2272</v>
      </c>
      <c r="AD1898" s="198"/>
      <c r="AE1898" s="198"/>
    </row>
    <row r="1899" spans="1:31" ht="30" customHeight="1">
      <c r="A1899" s="198" t="s">
        <v>5440</v>
      </c>
      <c r="B1899" s="198" t="s">
        <v>5505</v>
      </c>
      <c r="C1899" s="198" t="s">
        <v>2453</v>
      </c>
      <c r="D1899" s="198" t="s">
        <v>26</v>
      </c>
      <c r="E1899" s="198" t="s">
        <v>128</v>
      </c>
      <c r="F1899" s="4" t="s">
        <v>158</v>
      </c>
      <c r="G1899" s="4" t="s">
        <v>2272</v>
      </c>
      <c r="H1899" s="198" t="s">
        <v>521</v>
      </c>
      <c r="I1899" s="198"/>
      <c r="J1899" s="4" t="s">
        <v>2272</v>
      </c>
      <c r="K1899" s="4" t="s">
        <v>2272</v>
      </c>
      <c r="L1899" s="4" t="s">
        <v>2272</v>
      </c>
      <c r="M1899" s="4" t="s">
        <v>2272</v>
      </c>
      <c r="N1899" s="4" t="s">
        <v>2272</v>
      </c>
      <c r="O1899" s="4" t="s">
        <v>2272</v>
      </c>
      <c r="P1899" s="4" t="s">
        <v>2272</v>
      </c>
      <c r="Q1899" s="4" t="s">
        <v>2272</v>
      </c>
      <c r="R1899" s="4" t="s">
        <v>2272</v>
      </c>
      <c r="S1899" s="4" t="s">
        <v>2272</v>
      </c>
      <c r="T1899" s="4" t="s">
        <v>2272</v>
      </c>
      <c r="U1899" s="4" t="s">
        <v>2272</v>
      </c>
      <c r="V1899" s="4" t="s">
        <v>2272</v>
      </c>
      <c r="W1899" s="4" t="s">
        <v>2272</v>
      </c>
      <c r="X1899" s="4" t="s">
        <v>2272</v>
      </c>
      <c r="Y1899" s="4" t="s">
        <v>2272</v>
      </c>
      <c r="Z1899" s="4" t="s">
        <v>2272</v>
      </c>
      <c r="AA1899" s="198" t="s">
        <v>84</v>
      </c>
      <c r="AB1899" s="198" t="s">
        <v>84</v>
      </c>
      <c r="AC1899" s="4" t="s">
        <v>2272</v>
      </c>
      <c r="AD1899" s="198"/>
      <c r="AE1899" s="198"/>
    </row>
    <row r="1900" spans="1:31" ht="30" customHeight="1">
      <c r="A1900" s="198" t="s">
        <v>5440</v>
      </c>
      <c r="B1900" s="198" t="s">
        <v>5506</v>
      </c>
      <c r="C1900" s="198" t="s">
        <v>23</v>
      </c>
      <c r="D1900" s="198" t="s">
        <v>2227</v>
      </c>
      <c r="E1900" s="4" t="s">
        <v>394</v>
      </c>
      <c r="F1900" s="4" t="s">
        <v>27</v>
      </c>
      <c r="G1900" s="4" t="s">
        <v>2272</v>
      </c>
      <c r="H1900" s="198" t="s">
        <v>521</v>
      </c>
      <c r="I1900" s="198"/>
      <c r="J1900" s="4" t="s">
        <v>2272</v>
      </c>
      <c r="K1900" s="4" t="s">
        <v>2272</v>
      </c>
      <c r="L1900" s="4" t="s">
        <v>2272</v>
      </c>
      <c r="M1900" s="4" t="s">
        <v>2272</v>
      </c>
      <c r="N1900" s="4" t="s">
        <v>2272</v>
      </c>
      <c r="O1900" s="4" t="s">
        <v>2272</v>
      </c>
      <c r="P1900" s="4" t="s">
        <v>2272</v>
      </c>
      <c r="Q1900" s="4" t="s">
        <v>2272</v>
      </c>
      <c r="R1900" s="4" t="s">
        <v>2272</v>
      </c>
      <c r="S1900" s="4" t="s">
        <v>2272</v>
      </c>
      <c r="T1900" s="4" t="s">
        <v>2272</v>
      </c>
      <c r="U1900" s="4" t="s">
        <v>2272</v>
      </c>
      <c r="V1900" s="4" t="s">
        <v>2272</v>
      </c>
      <c r="W1900" s="4" t="s">
        <v>2272</v>
      </c>
      <c r="X1900" s="4" t="s">
        <v>2272</v>
      </c>
      <c r="Y1900" s="4" t="s">
        <v>2272</v>
      </c>
      <c r="Z1900" s="4" t="s">
        <v>2272</v>
      </c>
      <c r="AA1900" s="4" t="s">
        <v>2272</v>
      </c>
      <c r="AB1900" s="4" t="s">
        <v>2272</v>
      </c>
      <c r="AC1900" s="4" t="s">
        <v>2272</v>
      </c>
      <c r="AD1900" s="198"/>
      <c r="AE1900" s="198"/>
    </row>
    <row r="1901" spans="1:31" ht="29">
      <c r="A1901" s="198" t="s">
        <v>5440</v>
      </c>
      <c r="B1901" s="198" t="s">
        <v>5507</v>
      </c>
      <c r="C1901" s="198" t="s">
        <v>23</v>
      </c>
      <c r="D1901" s="198" t="s">
        <v>1128</v>
      </c>
      <c r="E1901" s="4" t="s">
        <v>394</v>
      </c>
      <c r="F1901" s="4" t="s">
        <v>27</v>
      </c>
      <c r="G1901" s="4" t="s">
        <v>2272</v>
      </c>
      <c r="H1901" s="198" t="s">
        <v>521</v>
      </c>
      <c r="I1901" s="198"/>
      <c r="J1901" s="4" t="s">
        <v>2272</v>
      </c>
      <c r="K1901" s="4" t="s">
        <v>2272</v>
      </c>
      <c r="L1901" s="4" t="s">
        <v>2272</v>
      </c>
      <c r="M1901" s="4" t="s">
        <v>2272</v>
      </c>
      <c r="N1901" s="4" t="s">
        <v>2272</v>
      </c>
      <c r="O1901" s="4" t="s">
        <v>2272</v>
      </c>
      <c r="P1901" s="4" t="s">
        <v>2272</v>
      </c>
      <c r="Q1901" s="4" t="s">
        <v>2272</v>
      </c>
      <c r="R1901" s="4" t="s">
        <v>2272</v>
      </c>
      <c r="S1901" s="4" t="s">
        <v>2272</v>
      </c>
      <c r="T1901" s="4" t="s">
        <v>2272</v>
      </c>
      <c r="U1901" s="4" t="s">
        <v>2272</v>
      </c>
      <c r="V1901" s="4" t="s">
        <v>2272</v>
      </c>
      <c r="W1901" s="4" t="s">
        <v>2272</v>
      </c>
      <c r="X1901" s="4" t="s">
        <v>2272</v>
      </c>
      <c r="Y1901" s="4" t="s">
        <v>2272</v>
      </c>
      <c r="Z1901" s="4" t="s">
        <v>2272</v>
      </c>
      <c r="AA1901" s="4" t="s">
        <v>2272</v>
      </c>
      <c r="AB1901" s="4" t="s">
        <v>2272</v>
      </c>
      <c r="AC1901" s="4" t="s">
        <v>2272</v>
      </c>
      <c r="AD1901" s="198"/>
      <c r="AE1901" s="198"/>
    </row>
    <row r="1902" spans="1:31" ht="29">
      <c r="A1902" s="198" t="s">
        <v>5440</v>
      </c>
      <c r="B1902" s="198" t="s">
        <v>5508</v>
      </c>
      <c r="C1902" s="198" t="s">
        <v>23</v>
      </c>
      <c r="D1902" s="198" t="s">
        <v>1241</v>
      </c>
      <c r="E1902" s="198" t="s">
        <v>2647</v>
      </c>
      <c r="F1902" s="4" t="s">
        <v>2657</v>
      </c>
      <c r="G1902" s="4" t="s">
        <v>2272</v>
      </c>
      <c r="H1902" s="198" t="s">
        <v>521</v>
      </c>
      <c r="I1902" s="198"/>
      <c r="J1902" s="4" t="s">
        <v>2272</v>
      </c>
      <c r="K1902" s="4" t="s">
        <v>2272</v>
      </c>
      <c r="L1902" s="4" t="s">
        <v>2272</v>
      </c>
      <c r="M1902" s="4" t="s">
        <v>2272</v>
      </c>
      <c r="N1902" s="4" t="s">
        <v>2272</v>
      </c>
      <c r="O1902" s="4" t="s">
        <v>2272</v>
      </c>
      <c r="P1902" s="4" t="s">
        <v>2272</v>
      </c>
      <c r="Q1902" s="4" t="s">
        <v>2272</v>
      </c>
      <c r="R1902" s="4" t="s">
        <v>2272</v>
      </c>
      <c r="S1902" s="4" t="s">
        <v>2272</v>
      </c>
      <c r="T1902" s="4" t="s">
        <v>2272</v>
      </c>
      <c r="U1902" s="4" t="s">
        <v>2272</v>
      </c>
      <c r="V1902" s="4" t="s">
        <v>2272</v>
      </c>
      <c r="W1902" s="4" t="s">
        <v>2272</v>
      </c>
      <c r="X1902" s="4" t="s">
        <v>2272</v>
      </c>
      <c r="Y1902" s="4" t="s">
        <v>2272</v>
      </c>
      <c r="Z1902" s="4" t="s">
        <v>2272</v>
      </c>
      <c r="AA1902" s="4" t="s">
        <v>2272</v>
      </c>
      <c r="AB1902" s="4" t="s">
        <v>2272</v>
      </c>
      <c r="AC1902" s="4" t="s">
        <v>2272</v>
      </c>
      <c r="AD1902" s="198"/>
      <c r="AE1902" s="198"/>
    </row>
    <row r="1903" spans="1:31" ht="29">
      <c r="A1903" s="198" t="s">
        <v>5440</v>
      </c>
      <c r="B1903" s="198" t="s">
        <v>5509</v>
      </c>
      <c r="C1903" s="198" t="s">
        <v>23</v>
      </c>
      <c r="D1903" s="198" t="s">
        <v>2337</v>
      </c>
      <c r="E1903" s="198" t="s">
        <v>2647</v>
      </c>
      <c r="F1903" s="4" t="s">
        <v>2657</v>
      </c>
      <c r="G1903" s="4" t="s">
        <v>2272</v>
      </c>
      <c r="H1903" s="198" t="s">
        <v>521</v>
      </c>
      <c r="I1903" s="198"/>
      <c r="J1903" s="4" t="s">
        <v>2272</v>
      </c>
      <c r="K1903" s="4" t="s">
        <v>2272</v>
      </c>
      <c r="L1903" s="4" t="s">
        <v>2272</v>
      </c>
      <c r="M1903" s="4" t="s">
        <v>2272</v>
      </c>
      <c r="N1903" s="4" t="s">
        <v>2272</v>
      </c>
      <c r="O1903" s="4" t="s">
        <v>2272</v>
      </c>
      <c r="P1903" s="4" t="s">
        <v>2272</v>
      </c>
      <c r="Q1903" s="4" t="s">
        <v>2272</v>
      </c>
      <c r="R1903" s="4" t="s">
        <v>2272</v>
      </c>
      <c r="S1903" s="4" t="s">
        <v>2272</v>
      </c>
      <c r="T1903" s="4" t="s">
        <v>2272</v>
      </c>
      <c r="U1903" s="4" t="s">
        <v>2272</v>
      </c>
      <c r="V1903" s="4" t="s">
        <v>2272</v>
      </c>
      <c r="W1903" s="4" t="s">
        <v>2272</v>
      </c>
      <c r="X1903" s="4" t="s">
        <v>2272</v>
      </c>
      <c r="Y1903" s="4" t="s">
        <v>2272</v>
      </c>
      <c r="Z1903" s="4" t="s">
        <v>2272</v>
      </c>
      <c r="AA1903" s="4" t="s">
        <v>2272</v>
      </c>
      <c r="AB1903" s="4" t="s">
        <v>2272</v>
      </c>
      <c r="AC1903" s="4" t="s">
        <v>2272</v>
      </c>
      <c r="AD1903" s="198"/>
      <c r="AE1903" s="198"/>
    </row>
    <row r="1904" spans="1:31" ht="42" customHeight="1">
      <c r="A1904" s="198" t="s">
        <v>5440</v>
      </c>
      <c r="B1904" s="198" t="s">
        <v>5510</v>
      </c>
      <c r="C1904" s="198" t="s">
        <v>23</v>
      </c>
      <c r="D1904" s="198" t="s">
        <v>4157</v>
      </c>
      <c r="E1904" s="198" t="s">
        <v>2644</v>
      </c>
      <c r="F1904" s="4" t="s">
        <v>73</v>
      </c>
      <c r="G1904" s="4" t="s">
        <v>2272</v>
      </c>
      <c r="H1904" s="198" t="s">
        <v>521</v>
      </c>
      <c r="I1904" s="198"/>
      <c r="J1904" s="4" t="s">
        <v>2272</v>
      </c>
      <c r="K1904" s="4" t="s">
        <v>2272</v>
      </c>
      <c r="L1904" s="4" t="s">
        <v>2272</v>
      </c>
      <c r="M1904" s="4" t="s">
        <v>2272</v>
      </c>
      <c r="N1904" s="4" t="s">
        <v>2272</v>
      </c>
      <c r="O1904" s="4" t="s">
        <v>2272</v>
      </c>
      <c r="P1904" s="4" t="s">
        <v>2272</v>
      </c>
      <c r="Q1904" s="4" t="s">
        <v>2272</v>
      </c>
      <c r="R1904" s="4" t="s">
        <v>2272</v>
      </c>
      <c r="S1904" s="4" t="s">
        <v>2272</v>
      </c>
      <c r="T1904" s="4" t="s">
        <v>2272</v>
      </c>
      <c r="U1904" s="4" t="s">
        <v>2272</v>
      </c>
      <c r="V1904" s="4" t="s">
        <v>2272</v>
      </c>
      <c r="W1904" s="4" t="s">
        <v>2272</v>
      </c>
      <c r="X1904" s="4" t="s">
        <v>2272</v>
      </c>
      <c r="Y1904" s="4" t="s">
        <v>2272</v>
      </c>
      <c r="Z1904" s="4" t="s">
        <v>2272</v>
      </c>
      <c r="AA1904" s="4" t="s">
        <v>2272</v>
      </c>
      <c r="AB1904" s="4" t="s">
        <v>2272</v>
      </c>
      <c r="AC1904" s="4" t="s">
        <v>2272</v>
      </c>
      <c r="AD1904" s="198"/>
      <c r="AE1904" s="198"/>
    </row>
    <row r="1905" spans="1:31" ht="50" customHeight="1">
      <c r="A1905" s="198" t="s">
        <v>5439</v>
      </c>
      <c r="B1905" s="198" t="s">
        <v>5511</v>
      </c>
      <c r="C1905" s="198" t="s">
        <v>23</v>
      </c>
      <c r="D1905" s="198" t="s">
        <v>26</v>
      </c>
      <c r="E1905" s="198" t="s">
        <v>128</v>
      </c>
      <c r="F1905" s="4" t="s">
        <v>158</v>
      </c>
      <c r="G1905" s="4" t="s">
        <v>2272</v>
      </c>
      <c r="H1905" s="198" t="s">
        <v>521</v>
      </c>
      <c r="I1905" s="198"/>
      <c r="J1905" s="4" t="s">
        <v>2272</v>
      </c>
      <c r="K1905" s="4" t="s">
        <v>2272</v>
      </c>
      <c r="L1905" s="4" t="s">
        <v>2272</v>
      </c>
      <c r="M1905" s="4" t="s">
        <v>2272</v>
      </c>
      <c r="N1905" s="4" t="s">
        <v>2272</v>
      </c>
      <c r="O1905" s="4" t="s">
        <v>2272</v>
      </c>
      <c r="P1905" s="4" t="s">
        <v>2272</v>
      </c>
      <c r="Q1905" s="4" t="s">
        <v>2272</v>
      </c>
      <c r="R1905" s="4" t="s">
        <v>2272</v>
      </c>
      <c r="S1905" s="4" t="s">
        <v>2272</v>
      </c>
      <c r="T1905" s="4" t="s">
        <v>2272</v>
      </c>
      <c r="U1905" s="4" t="s">
        <v>2272</v>
      </c>
      <c r="V1905" s="4" t="s">
        <v>2272</v>
      </c>
      <c r="W1905" s="4" t="s">
        <v>2272</v>
      </c>
      <c r="X1905" s="4" t="s">
        <v>2272</v>
      </c>
      <c r="Y1905" s="4" t="s">
        <v>2272</v>
      </c>
      <c r="Z1905" s="14">
        <v>6</v>
      </c>
      <c r="AA1905" s="198" t="s">
        <v>84</v>
      </c>
      <c r="AB1905" s="198" t="s">
        <v>84</v>
      </c>
      <c r="AC1905" s="4" t="s">
        <v>2272</v>
      </c>
      <c r="AD1905" s="198"/>
      <c r="AE1905" s="198"/>
    </row>
    <row r="1906" spans="1:31" ht="50" customHeight="1">
      <c r="A1906" s="198" t="s">
        <v>5439</v>
      </c>
      <c r="B1906" s="198" t="s">
        <v>5512</v>
      </c>
      <c r="C1906" s="198" t="s">
        <v>23</v>
      </c>
      <c r="D1906" s="198" t="s">
        <v>24</v>
      </c>
      <c r="E1906" s="198" t="s">
        <v>5000</v>
      </c>
      <c r="F1906" s="4" t="s">
        <v>54</v>
      </c>
      <c r="G1906" s="4" t="s">
        <v>2272</v>
      </c>
      <c r="H1906" s="198" t="s">
        <v>521</v>
      </c>
      <c r="I1906" s="198"/>
      <c r="J1906" s="4" t="s">
        <v>2272</v>
      </c>
      <c r="K1906" s="4" t="s">
        <v>2272</v>
      </c>
      <c r="L1906" s="4" t="s">
        <v>2272</v>
      </c>
      <c r="M1906" s="4" t="s">
        <v>2272</v>
      </c>
      <c r="N1906" s="4" t="s">
        <v>2272</v>
      </c>
      <c r="O1906" s="4" t="s">
        <v>2272</v>
      </c>
      <c r="P1906" s="4" t="s">
        <v>2272</v>
      </c>
      <c r="Q1906" s="4" t="s">
        <v>2272</v>
      </c>
      <c r="R1906" s="4" t="s">
        <v>2272</v>
      </c>
      <c r="S1906" s="4" t="s">
        <v>2272</v>
      </c>
      <c r="T1906" s="4" t="s">
        <v>2272</v>
      </c>
      <c r="U1906" s="4" t="s">
        <v>2272</v>
      </c>
      <c r="V1906" s="4" t="s">
        <v>2272</v>
      </c>
      <c r="W1906" s="4" t="s">
        <v>2272</v>
      </c>
      <c r="X1906" s="4" t="s">
        <v>2272</v>
      </c>
      <c r="Y1906" s="4" t="s">
        <v>2272</v>
      </c>
      <c r="Z1906" s="4" t="s">
        <v>2272</v>
      </c>
      <c r="AA1906" s="4" t="s">
        <v>2272</v>
      </c>
      <c r="AB1906" s="4" t="s">
        <v>2272</v>
      </c>
      <c r="AC1906" s="4" t="s">
        <v>2272</v>
      </c>
      <c r="AD1906" s="198"/>
      <c r="AE1906" s="198"/>
    </row>
    <row r="1907" spans="1:31" ht="50" customHeight="1">
      <c r="A1907" s="198" t="s">
        <v>5439</v>
      </c>
      <c r="B1907" s="198" t="s">
        <v>5513</v>
      </c>
      <c r="C1907" s="198" t="s">
        <v>23</v>
      </c>
      <c r="D1907" s="198" t="s">
        <v>3475</v>
      </c>
      <c r="E1907" s="198" t="s">
        <v>114</v>
      </c>
      <c r="F1907" s="4" t="s">
        <v>54</v>
      </c>
      <c r="G1907" s="4" t="s">
        <v>2272</v>
      </c>
      <c r="H1907" s="198" t="s">
        <v>521</v>
      </c>
      <c r="I1907" s="198"/>
      <c r="J1907" s="4" t="s">
        <v>2272</v>
      </c>
      <c r="K1907" s="4" t="s">
        <v>2272</v>
      </c>
      <c r="L1907" s="4" t="s">
        <v>2272</v>
      </c>
      <c r="M1907" s="4" t="s">
        <v>2272</v>
      </c>
      <c r="N1907" s="4" t="s">
        <v>2272</v>
      </c>
      <c r="O1907" s="4" t="s">
        <v>2272</v>
      </c>
      <c r="P1907" s="4" t="s">
        <v>2272</v>
      </c>
      <c r="Q1907" s="4" t="s">
        <v>2272</v>
      </c>
      <c r="R1907" s="4" t="s">
        <v>2272</v>
      </c>
      <c r="S1907" s="4" t="s">
        <v>2272</v>
      </c>
      <c r="T1907" s="4" t="s">
        <v>2272</v>
      </c>
      <c r="U1907" s="4" t="s">
        <v>2272</v>
      </c>
      <c r="V1907" s="4" t="s">
        <v>2272</v>
      </c>
      <c r="W1907" s="4" t="s">
        <v>2272</v>
      </c>
      <c r="X1907" s="4" t="s">
        <v>2272</v>
      </c>
      <c r="Y1907" s="4" t="s">
        <v>2272</v>
      </c>
      <c r="Z1907" s="4" t="s">
        <v>2272</v>
      </c>
      <c r="AA1907" s="4" t="s">
        <v>2272</v>
      </c>
      <c r="AB1907" s="4" t="s">
        <v>2272</v>
      </c>
      <c r="AC1907" s="4" t="s">
        <v>2272</v>
      </c>
      <c r="AD1907" s="198"/>
      <c r="AE1907" s="198"/>
    </row>
    <row r="1908" spans="1:31" ht="50" customHeight="1">
      <c r="A1908" s="198" t="s">
        <v>5439</v>
      </c>
      <c r="B1908" s="198" t="s">
        <v>5514</v>
      </c>
      <c r="C1908" s="198" t="s">
        <v>23</v>
      </c>
      <c r="D1908" s="198" t="s">
        <v>1241</v>
      </c>
      <c r="E1908" s="198" t="s">
        <v>114</v>
      </c>
      <c r="F1908" s="4" t="s">
        <v>54</v>
      </c>
      <c r="G1908" s="4" t="s">
        <v>2272</v>
      </c>
      <c r="H1908" s="198" t="s">
        <v>521</v>
      </c>
      <c r="I1908" s="198"/>
      <c r="J1908" s="4" t="s">
        <v>2272</v>
      </c>
      <c r="K1908" s="4" t="s">
        <v>2272</v>
      </c>
      <c r="L1908" s="4" t="s">
        <v>2272</v>
      </c>
      <c r="M1908" s="4" t="s">
        <v>2272</v>
      </c>
      <c r="N1908" s="4" t="s">
        <v>2272</v>
      </c>
      <c r="O1908" s="4" t="s">
        <v>2272</v>
      </c>
      <c r="P1908" s="4" t="s">
        <v>2272</v>
      </c>
      <c r="Q1908" s="4" t="s">
        <v>2272</v>
      </c>
      <c r="R1908" s="4" t="s">
        <v>2272</v>
      </c>
      <c r="S1908" s="4" t="s">
        <v>2272</v>
      </c>
      <c r="T1908" s="4" t="s">
        <v>2272</v>
      </c>
      <c r="U1908" s="4" t="s">
        <v>2272</v>
      </c>
      <c r="V1908" s="4" t="s">
        <v>2272</v>
      </c>
      <c r="W1908" s="4" t="s">
        <v>2272</v>
      </c>
      <c r="X1908" s="4" t="s">
        <v>2272</v>
      </c>
      <c r="Y1908" s="4" t="s">
        <v>2272</v>
      </c>
      <c r="Z1908" s="4" t="s">
        <v>2272</v>
      </c>
      <c r="AA1908" s="4" t="s">
        <v>2272</v>
      </c>
      <c r="AB1908" s="4" t="s">
        <v>2272</v>
      </c>
      <c r="AC1908" s="4" t="s">
        <v>2272</v>
      </c>
      <c r="AD1908" s="198"/>
      <c r="AE1908" s="198"/>
    </row>
    <row r="1909" spans="1:31" ht="50" customHeight="1">
      <c r="A1909" s="198" t="s">
        <v>5439</v>
      </c>
      <c r="B1909" s="198" t="s">
        <v>5515</v>
      </c>
      <c r="C1909" s="198" t="s">
        <v>23</v>
      </c>
      <c r="D1909" s="198" t="s">
        <v>2227</v>
      </c>
      <c r="E1909" s="4" t="s">
        <v>394</v>
      </c>
      <c r="F1909" s="4" t="s">
        <v>27</v>
      </c>
      <c r="G1909" s="4" t="s">
        <v>2272</v>
      </c>
      <c r="H1909" s="198" t="s">
        <v>521</v>
      </c>
      <c r="I1909" s="198"/>
      <c r="J1909" s="4" t="s">
        <v>2272</v>
      </c>
      <c r="K1909" s="4" t="s">
        <v>2272</v>
      </c>
      <c r="L1909" s="4" t="s">
        <v>2272</v>
      </c>
      <c r="M1909" s="4" t="s">
        <v>2272</v>
      </c>
      <c r="N1909" s="4" t="s">
        <v>2272</v>
      </c>
      <c r="O1909" s="4" t="s">
        <v>2272</v>
      </c>
      <c r="P1909" s="4" t="s">
        <v>2272</v>
      </c>
      <c r="Q1909" s="4" t="s">
        <v>2272</v>
      </c>
      <c r="R1909" s="4" t="s">
        <v>2272</v>
      </c>
      <c r="S1909" s="4" t="s">
        <v>2272</v>
      </c>
      <c r="T1909" s="4" t="s">
        <v>2272</v>
      </c>
      <c r="U1909" s="4" t="s">
        <v>2272</v>
      </c>
      <c r="V1909" s="4" t="s">
        <v>2272</v>
      </c>
      <c r="W1909" s="4" t="s">
        <v>2272</v>
      </c>
      <c r="X1909" s="4" t="s">
        <v>2272</v>
      </c>
      <c r="Y1909" s="4" t="s">
        <v>2272</v>
      </c>
      <c r="Z1909" s="4" t="s">
        <v>2272</v>
      </c>
      <c r="AA1909" s="4" t="s">
        <v>2272</v>
      </c>
      <c r="AB1909" s="4" t="s">
        <v>2272</v>
      </c>
      <c r="AC1909" s="4" t="s">
        <v>2272</v>
      </c>
      <c r="AD1909" s="198"/>
      <c r="AE1909" s="198"/>
    </row>
    <row r="1910" spans="1:31" ht="50" customHeight="1">
      <c r="A1910" s="198" t="s">
        <v>5439</v>
      </c>
      <c r="B1910" s="198" t="s">
        <v>5516</v>
      </c>
      <c r="C1910" s="198" t="s">
        <v>23</v>
      </c>
      <c r="D1910" s="198" t="s">
        <v>1128</v>
      </c>
      <c r="E1910" s="4" t="s">
        <v>394</v>
      </c>
      <c r="F1910" s="4" t="s">
        <v>27</v>
      </c>
      <c r="G1910" s="4" t="s">
        <v>2272</v>
      </c>
      <c r="H1910" s="198" t="s">
        <v>521</v>
      </c>
      <c r="I1910" s="198"/>
      <c r="J1910" s="4" t="s">
        <v>2272</v>
      </c>
      <c r="K1910" s="4" t="s">
        <v>2272</v>
      </c>
      <c r="L1910" s="4" t="s">
        <v>2272</v>
      </c>
      <c r="M1910" s="4" t="s">
        <v>2272</v>
      </c>
      <c r="N1910" s="4" t="s">
        <v>2272</v>
      </c>
      <c r="O1910" s="4" t="s">
        <v>2272</v>
      </c>
      <c r="P1910" s="4" t="s">
        <v>2272</v>
      </c>
      <c r="Q1910" s="4" t="s">
        <v>2272</v>
      </c>
      <c r="R1910" s="4" t="s">
        <v>2272</v>
      </c>
      <c r="S1910" s="4" t="s">
        <v>2272</v>
      </c>
      <c r="T1910" s="4" t="s">
        <v>2272</v>
      </c>
      <c r="U1910" s="4" t="s">
        <v>2272</v>
      </c>
      <c r="V1910" s="4" t="s">
        <v>2272</v>
      </c>
      <c r="W1910" s="4" t="s">
        <v>2272</v>
      </c>
      <c r="X1910" s="4" t="s">
        <v>2272</v>
      </c>
      <c r="Y1910" s="4" t="s">
        <v>2272</v>
      </c>
      <c r="Z1910" s="4" t="s">
        <v>2272</v>
      </c>
      <c r="AA1910" s="4" t="s">
        <v>2272</v>
      </c>
      <c r="AB1910" s="4" t="s">
        <v>2272</v>
      </c>
      <c r="AC1910" s="4" t="s">
        <v>2272</v>
      </c>
      <c r="AD1910" s="198"/>
      <c r="AE1910" s="198"/>
    </row>
    <row r="1911" spans="1:31" ht="50" customHeight="1">
      <c r="A1911" s="198" t="s">
        <v>5439</v>
      </c>
      <c r="B1911" s="198" t="s">
        <v>5517</v>
      </c>
      <c r="C1911" s="198" t="s">
        <v>23</v>
      </c>
      <c r="D1911" s="198" t="s">
        <v>1241</v>
      </c>
      <c r="E1911" s="198" t="s">
        <v>2647</v>
      </c>
      <c r="F1911" s="4" t="s">
        <v>2657</v>
      </c>
      <c r="G1911" s="4" t="s">
        <v>2272</v>
      </c>
      <c r="H1911" s="198" t="s">
        <v>521</v>
      </c>
      <c r="I1911" s="198"/>
      <c r="J1911" s="4" t="s">
        <v>2272</v>
      </c>
      <c r="K1911" s="4" t="s">
        <v>2272</v>
      </c>
      <c r="L1911" s="4" t="s">
        <v>2272</v>
      </c>
      <c r="M1911" s="4" t="s">
        <v>2272</v>
      </c>
      <c r="N1911" s="4" t="s">
        <v>2272</v>
      </c>
      <c r="O1911" s="4" t="s">
        <v>2272</v>
      </c>
      <c r="P1911" s="4" t="s">
        <v>2272</v>
      </c>
      <c r="Q1911" s="4" t="s">
        <v>2272</v>
      </c>
      <c r="R1911" s="4" t="s">
        <v>2272</v>
      </c>
      <c r="S1911" s="4" t="s">
        <v>2272</v>
      </c>
      <c r="T1911" s="4" t="s">
        <v>2272</v>
      </c>
      <c r="U1911" s="4" t="s">
        <v>2272</v>
      </c>
      <c r="V1911" s="4" t="s">
        <v>2272</v>
      </c>
      <c r="W1911" s="4" t="s">
        <v>2272</v>
      </c>
      <c r="X1911" s="4" t="s">
        <v>2272</v>
      </c>
      <c r="Y1911" s="4" t="s">
        <v>2272</v>
      </c>
      <c r="Z1911" s="4" t="s">
        <v>2272</v>
      </c>
      <c r="AA1911" s="4" t="s">
        <v>2272</v>
      </c>
      <c r="AB1911" s="4" t="s">
        <v>2272</v>
      </c>
      <c r="AC1911" s="4" t="s">
        <v>2272</v>
      </c>
      <c r="AD1911" s="198"/>
      <c r="AE1911" s="198"/>
    </row>
    <row r="1912" spans="1:31" ht="50" customHeight="1">
      <c r="A1912" s="198" t="s">
        <v>5439</v>
      </c>
      <c r="B1912" s="198" t="s">
        <v>5518</v>
      </c>
      <c r="C1912" s="198" t="s">
        <v>23</v>
      </c>
      <c r="D1912" s="198" t="s">
        <v>2337</v>
      </c>
      <c r="E1912" s="198" t="s">
        <v>2647</v>
      </c>
      <c r="F1912" s="4" t="s">
        <v>2657</v>
      </c>
      <c r="G1912" s="4" t="s">
        <v>2272</v>
      </c>
      <c r="H1912" s="198" t="s">
        <v>521</v>
      </c>
      <c r="I1912" s="198"/>
      <c r="J1912" s="4" t="s">
        <v>2272</v>
      </c>
      <c r="K1912" s="4" t="s">
        <v>2272</v>
      </c>
      <c r="L1912" s="4" t="s">
        <v>2272</v>
      </c>
      <c r="M1912" s="4" t="s">
        <v>2272</v>
      </c>
      <c r="N1912" s="4" t="s">
        <v>2272</v>
      </c>
      <c r="O1912" s="4" t="s">
        <v>2272</v>
      </c>
      <c r="P1912" s="4" t="s">
        <v>2272</v>
      </c>
      <c r="Q1912" s="4" t="s">
        <v>2272</v>
      </c>
      <c r="R1912" s="4" t="s">
        <v>2272</v>
      </c>
      <c r="S1912" s="4" t="s">
        <v>2272</v>
      </c>
      <c r="T1912" s="4" t="s">
        <v>2272</v>
      </c>
      <c r="U1912" s="4" t="s">
        <v>2272</v>
      </c>
      <c r="V1912" s="4" t="s">
        <v>2272</v>
      </c>
      <c r="W1912" s="4" t="s">
        <v>2272</v>
      </c>
      <c r="X1912" s="4" t="s">
        <v>2272</v>
      </c>
      <c r="Y1912" s="4" t="s">
        <v>2272</v>
      </c>
      <c r="Z1912" s="4" t="s">
        <v>2272</v>
      </c>
      <c r="AA1912" s="4" t="s">
        <v>2272</v>
      </c>
      <c r="AB1912" s="4" t="s">
        <v>2272</v>
      </c>
      <c r="AC1912" s="4" t="s">
        <v>2272</v>
      </c>
      <c r="AD1912" s="198"/>
      <c r="AE1912" s="198"/>
    </row>
    <row r="1913" spans="1:31" ht="50" customHeight="1">
      <c r="A1913" s="198" t="s">
        <v>5439</v>
      </c>
      <c r="B1913" s="198" t="s">
        <v>5519</v>
      </c>
      <c r="C1913" s="198" t="s">
        <v>23</v>
      </c>
      <c r="D1913" s="198" t="s">
        <v>4157</v>
      </c>
      <c r="E1913" s="198" t="s">
        <v>2644</v>
      </c>
      <c r="F1913" s="4" t="s">
        <v>73</v>
      </c>
      <c r="G1913" s="4" t="s">
        <v>2272</v>
      </c>
      <c r="H1913" s="198" t="s">
        <v>521</v>
      </c>
      <c r="I1913" s="198"/>
      <c r="J1913" s="4" t="s">
        <v>2272</v>
      </c>
      <c r="K1913" s="4" t="s">
        <v>2272</v>
      </c>
      <c r="L1913" s="4" t="s">
        <v>2272</v>
      </c>
      <c r="M1913" s="4" t="s">
        <v>2272</v>
      </c>
      <c r="N1913" s="4" t="s">
        <v>2272</v>
      </c>
      <c r="O1913" s="4" t="s">
        <v>2272</v>
      </c>
      <c r="P1913" s="4" t="s">
        <v>2272</v>
      </c>
      <c r="Q1913" s="4" t="s">
        <v>2272</v>
      </c>
      <c r="R1913" s="4" t="s">
        <v>2272</v>
      </c>
      <c r="S1913" s="4" t="s">
        <v>2272</v>
      </c>
      <c r="T1913" s="4" t="s">
        <v>2272</v>
      </c>
      <c r="U1913" s="4" t="s">
        <v>2272</v>
      </c>
      <c r="V1913" s="4" t="s">
        <v>2272</v>
      </c>
      <c r="W1913" s="4" t="s">
        <v>2272</v>
      </c>
      <c r="X1913" s="4" t="s">
        <v>2272</v>
      </c>
      <c r="Y1913" s="4" t="s">
        <v>2272</v>
      </c>
      <c r="Z1913" s="4" t="s">
        <v>2272</v>
      </c>
      <c r="AA1913" s="4" t="s">
        <v>2272</v>
      </c>
      <c r="AB1913" s="4" t="s">
        <v>2272</v>
      </c>
      <c r="AC1913" s="4" t="s">
        <v>2272</v>
      </c>
      <c r="AD1913" s="198"/>
      <c r="AE1913" s="198"/>
    </row>
    <row r="1914" spans="1:31" ht="36.5" customHeight="1">
      <c r="A1914" s="198" t="s">
        <v>5521</v>
      </c>
      <c r="B1914" s="198" t="s">
        <v>5545</v>
      </c>
      <c r="C1914" s="198" t="s">
        <v>23</v>
      </c>
      <c r="D1914" s="198" t="s">
        <v>26</v>
      </c>
      <c r="E1914" s="198" t="s">
        <v>128</v>
      </c>
      <c r="F1914" s="4" t="s">
        <v>158</v>
      </c>
      <c r="G1914" s="4" t="s">
        <v>2272</v>
      </c>
      <c r="H1914" s="198" t="s">
        <v>521</v>
      </c>
      <c r="I1914" s="198"/>
      <c r="J1914" s="4" t="s">
        <v>2272</v>
      </c>
      <c r="K1914" s="4" t="s">
        <v>2272</v>
      </c>
      <c r="L1914" s="4" t="s">
        <v>2272</v>
      </c>
      <c r="M1914" s="4" t="s">
        <v>2272</v>
      </c>
      <c r="N1914" s="4" t="s">
        <v>2272</v>
      </c>
      <c r="O1914" s="4" t="s">
        <v>2272</v>
      </c>
      <c r="P1914" s="4" t="s">
        <v>2272</v>
      </c>
      <c r="Q1914" s="4" t="s">
        <v>2272</v>
      </c>
      <c r="R1914" s="4" t="s">
        <v>2272</v>
      </c>
      <c r="S1914" s="4" t="s">
        <v>2272</v>
      </c>
      <c r="T1914" s="4" t="s">
        <v>2272</v>
      </c>
      <c r="U1914" s="4" t="s">
        <v>2272</v>
      </c>
      <c r="V1914" s="4" t="s">
        <v>2272</v>
      </c>
      <c r="W1914" s="4" t="s">
        <v>2272</v>
      </c>
      <c r="X1914" s="4" t="s">
        <v>2272</v>
      </c>
      <c r="Y1914" s="4" t="s">
        <v>2272</v>
      </c>
      <c r="Z1914" s="4" t="s">
        <v>2272</v>
      </c>
      <c r="AA1914" s="4" t="s">
        <v>2272</v>
      </c>
      <c r="AB1914" s="4" t="s">
        <v>2272</v>
      </c>
      <c r="AC1914" s="4" t="s">
        <v>2272</v>
      </c>
      <c r="AD1914" s="198"/>
      <c r="AE1914" s="198"/>
    </row>
    <row r="1915" spans="1:31" ht="36.5" customHeight="1">
      <c r="A1915" s="198" t="s">
        <v>5533</v>
      </c>
      <c r="B1915" s="198" t="s">
        <v>5546</v>
      </c>
      <c r="C1915" s="198" t="s">
        <v>23</v>
      </c>
      <c r="D1915" s="198" t="s">
        <v>26</v>
      </c>
      <c r="E1915" s="198" t="s">
        <v>128</v>
      </c>
      <c r="F1915" s="4" t="s">
        <v>158</v>
      </c>
      <c r="G1915" s="4" t="s">
        <v>2272</v>
      </c>
      <c r="H1915" s="198" t="s">
        <v>521</v>
      </c>
      <c r="I1915" s="198"/>
      <c r="J1915" s="4" t="s">
        <v>2272</v>
      </c>
      <c r="K1915" s="4" t="s">
        <v>2272</v>
      </c>
      <c r="L1915" s="4" t="s">
        <v>2272</v>
      </c>
      <c r="M1915" s="4" t="s">
        <v>2272</v>
      </c>
      <c r="N1915" s="4" t="s">
        <v>2272</v>
      </c>
      <c r="O1915" s="4" t="s">
        <v>2272</v>
      </c>
      <c r="P1915" s="4" t="s">
        <v>2272</v>
      </c>
      <c r="Q1915" s="4" t="s">
        <v>2272</v>
      </c>
      <c r="R1915" s="4" t="s">
        <v>2272</v>
      </c>
      <c r="S1915" s="4" t="s">
        <v>2272</v>
      </c>
      <c r="T1915" s="4" t="s">
        <v>2272</v>
      </c>
      <c r="U1915" s="4" t="s">
        <v>2272</v>
      </c>
      <c r="V1915" s="4" t="s">
        <v>2272</v>
      </c>
      <c r="W1915" s="4" t="s">
        <v>2272</v>
      </c>
      <c r="X1915" s="4" t="s">
        <v>2272</v>
      </c>
      <c r="Y1915" s="4" t="s">
        <v>2272</v>
      </c>
      <c r="Z1915" s="4" t="s">
        <v>2272</v>
      </c>
      <c r="AA1915" s="4" t="s">
        <v>2272</v>
      </c>
      <c r="AB1915" s="4" t="s">
        <v>2272</v>
      </c>
      <c r="AC1915" s="4" t="s">
        <v>2272</v>
      </c>
      <c r="AD1915" s="198"/>
      <c r="AE1915" s="198"/>
    </row>
    <row r="1916" spans="1:31" ht="36.5" customHeight="1">
      <c r="A1916" s="198" t="s">
        <v>5534</v>
      </c>
      <c r="B1916" s="198" t="s">
        <v>5547</v>
      </c>
      <c r="C1916" s="198" t="s">
        <v>23</v>
      </c>
      <c r="D1916" s="198" t="s">
        <v>26</v>
      </c>
      <c r="E1916" s="198" t="s">
        <v>128</v>
      </c>
      <c r="F1916" s="4" t="s">
        <v>158</v>
      </c>
      <c r="G1916" s="4" t="s">
        <v>2272</v>
      </c>
      <c r="H1916" s="198" t="s">
        <v>521</v>
      </c>
      <c r="I1916" s="198"/>
      <c r="J1916" s="4" t="s">
        <v>2272</v>
      </c>
      <c r="K1916" s="4" t="s">
        <v>2272</v>
      </c>
      <c r="L1916" s="4" t="s">
        <v>2272</v>
      </c>
      <c r="M1916" s="4" t="s">
        <v>2272</v>
      </c>
      <c r="N1916" s="4" t="s">
        <v>2272</v>
      </c>
      <c r="O1916" s="4" t="s">
        <v>2272</v>
      </c>
      <c r="P1916" s="4" t="s">
        <v>2272</v>
      </c>
      <c r="Q1916" s="4" t="s">
        <v>2272</v>
      </c>
      <c r="R1916" s="4" t="s">
        <v>2272</v>
      </c>
      <c r="S1916" s="4" t="s">
        <v>2272</v>
      </c>
      <c r="T1916" s="4" t="s">
        <v>2272</v>
      </c>
      <c r="U1916" s="4" t="s">
        <v>2272</v>
      </c>
      <c r="V1916" s="4" t="s">
        <v>2272</v>
      </c>
      <c r="W1916" s="4" t="s">
        <v>2272</v>
      </c>
      <c r="X1916" s="4" t="s">
        <v>2272</v>
      </c>
      <c r="Y1916" s="4" t="s">
        <v>2272</v>
      </c>
      <c r="Z1916" s="4" t="s">
        <v>2272</v>
      </c>
      <c r="AA1916" s="4" t="s">
        <v>2272</v>
      </c>
      <c r="AB1916" s="4" t="s">
        <v>2272</v>
      </c>
      <c r="AC1916" s="4" t="s">
        <v>2272</v>
      </c>
      <c r="AD1916" s="198"/>
      <c r="AE1916" s="198"/>
    </row>
    <row r="1917" spans="1:31" ht="36.5" customHeight="1">
      <c r="A1917" s="198" t="s">
        <v>5535</v>
      </c>
      <c r="B1917" s="198" t="s">
        <v>5548</v>
      </c>
      <c r="C1917" s="198" t="s">
        <v>23</v>
      </c>
      <c r="D1917" s="198" t="s">
        <v>26</v>
      </c>
      <c r="E1917" s="198" t="s">
        <v>128</v>
      </c>
      <c r="F1917" s="4" t="s">
        <v>158</v>
      </c>
      <c r="G1917" s="4" t="s">
        <v>2272</v>
      </c>
      <c r="H1917" s="198" t="s">
        <v>521</v>
      </c>
      <c r="I1917" s="198"/>
      <c r="J1917" s="4" t="s">
        <v>2272</v>
      </c>
      <c r="K1917" s="4" t="s">
        <v>2272</v>
      </c>
      <c r="L1917" s="4" t="s">
        <v>2272</v>
      </c>
      <c r="M1917" s="4" t="s">
        <v>2272</v>
      </c>
      <c r="N1917" s="4" t="s">
        <v>2272</v>
      </c>
      <c r="O1917" s="4" t="s">
        <v>2272</v>
      </c>
      <c r="P1917" s="4" t="s">
        <v>2272</v>
      </c>
      <c r="Q1917" s="4" t="s">
        <v>2272</v>
      </c>
      <c r="R1917" s="4" t="s">
        <v>2272</v>
      </c>
      <c r="S1917" s="4" t="s">
        <v>2272</v>
      </c>
      <c r="T1917" s="4" t="s">
        <v>2272</v>
      </c>
      <c r="U1917" s="4" t="s">
        <v>2272</v>
      </c>
      <c r="V1917" s="4" t="s">
        <v>2272</v>
      </c>
      <c r="W1917" s="4" t="s">
        <v>2272</v>
      </c>
      <c r="X1917" s="4" t="s">
        <v>2272</v>
      </c>
      <c r="Y1917" s="4" t="s">
        <v>2272</v>
      </c>
      <c r="Z1917" s="4" t="s">
        <v>2272</v>
      </c>
      <c r="AA1917" s="4" t="s">
        <v>2272</v>
      </c>
      <c r="AB1917" s="4" t="s">
        <v>2272</v>
      </c>
      <c r="AC1917" s="4" t="s">
        <v>2272</v>
      </c>
      <c r="AD1917" s="198"/>
      <c r="AE1917" s="198"/>
    </row>
    <row r="1918" spans="1:31" ht="36.5" customHeight="1">
      <c r="A1918" s="198" t="s">
        <v>5536</v>
      </c>
      <c r="B1918" s="198" t="s">
        <v>5549</v>
      </c>
      <c r="C1918" s="198" t="s">
        <v>23</v>
      </c>
      <c r="D1918" s="198" t="s">
        <v>26</v>
      </c>
      <c r="E1918" s="198" t="s">
        <v>128</v>
      </c>
      <c r="F1918" s="4" t="s">
        <v>158</v>
      </c>
      <c r="G1918" s="4" t="s">
        <v>2272</v>
      </c>
      <c r="H1918" s="198" t="s">
        <v>521</v>
      </c>
      <c r="I1918" s="198"/>
      <c r="J1918" s="4" t="s">
        <v>2272</v>
      </c>
      <c r="K1918" s="4" t="s">
        <v>2272</v>
      </c>
      <c r="L1918" s="4" t="s">
        <v>2272</v>
      </c>
      <c r="M1918" s="4" t="s">
        <v>2272</v>
      </c>
      <c r="N1918" s="4" t="s">
        <v>2272</v>
      </c>
      <c r="O1918" s="4" t="s">
        <v>2272</v>
      </c>
      <c r="P1918" s="4" t="s">
        <v>2272</v>
      </c>
      <c r="Q1918" s="4" t="s">
        <v>2272</v>
      </c>
      <c r="R1918" s="4" t="s">
        <v>2272</v>
      </c>
      <c r="S1918" s="4" t="s">
        <v>2272</v>
      </c>
      <c r="T1918" s="4" t="s">
        <v>2272</v>
      </c>
      <c r="U1918" s="4" t="s">
        <v>2272</v>
      </c>
      <c r="V1918" s="4" t="s">
        <v>2272</v>
      </c>
      <c r="W1918" s="4" t="s">
        <v>2272</v>
      </c>
      <c r="X1918" s="4" t="s">
        <v>2272</v>
      </c>
      <c r="Y1918" s="4" t="s">
        <v>2272</v>
      </c>
      <c r="Z1918" s="4" t="s">
        <v>2272</v>
      </c>
      <c r="AA1918" s="4" t="s">
        <v>2272</v>
      </c>
      <c r="AB1918" s="4" t="s">
        <v>2272</v>
      </c>
      <c r="AC1918" s="4" t="s">
        <v>2272</v>
      </c>
      <c r="AD1918" s="198"/>
      <c r="AE1918" s="198"/>
    </row>
    <row r="1919" spans="1:31" ht="36.5" customHeight="1">
      <c r="A1919" s="198" t="s">
        <v>5537</v>
      </c>
      <c r="B1919" s="198" t="s">
        <v>5550</v>
      </c>
      <c r="C1919" s="198" t="s">
        <v>23</v>
      </c>
      <c r="D1919" s="198" t="s">
        <v>26</v>
      </c>
      <c r="E1919" s="198" t="s">
        <v>128</v>
      </c>
      <c r="F1919" s="4" t="s">
        <v>158</v>
      </c>
      <c r="G1919" s="4" t="s">
        <v>2272</v>
      </c>
      <c r="H1919" s="198" t="s">
        <v>521</v>
      </c>
      <c r="I1919" s="198"/>
      <c r="J1919" s="4" t="s">
        <v>2272</v>
      </c>
      <c r="K1919" s="4" t="s">
        <v>2272</v>
      </c>
      <c r="L1919" s="4" t="s">
        <v>2272</v>
      </c>
      <c r="M1919" s="4" t="s">
        <v>2272</v>
      </c>
      <c r="N1919" s="4" t="s">
        <v>2272</v>
      </c>
      <c r="O1919" s="4" t="s">
        <v>2272</v>
      </c>
      <c r="P1919" s="4" t="s">
        <v>2272</v>
      </c>
      <c r="Q1919" s="4" t="s">
        <v>2272</v>
      </c>
      <c r="R1919" s="4" t="s">
        <v>2272</v>
      </c>
      <c r="S1919" s="4" t="s">
        <v>2272</v>
      </c>
      <c r="T1919" s="4" t="s">
        <v>2272</v>
      </c>
      <c r="U1919" s="4" t="s">
        <v>2272</v>
      </c>
      <c r="V1919" s="4" t="s">
        <v>2272</v>
      </c>
      <c r="W1919" s="4" t="s">
        <v>2272</v>
      </c>
      <c r="X1919" s="4" t="s">
        <v>2272</v>
      </c>
      <c r="Y1919" s="4" t="s">
        <v>2272</v>
      </c>
      <c r="Z1919" s="4" t="s">
        <v>2272</v>
      </c>
      <c r="AA1919" s="4" t="s">
        <v>2272</v>
      </c>
      <c r="AB1919" s="4" t="s">
        <v>2272</v>
      </c>
      <c r="AC1919" s="4" t="s">
        <v>2272</v>
      </c>
      <c r="AD1919" s="198"/>
      <c r="AE1919" s="198"/>
    </row>
    <row r="1920" spans="1:31" ht="36.5" customHeight="1">
      <c r="A1920" s="198" t="s">
        <v>5541</v>
      </c>
      <c r="B1920" s="198" t="s">
        <v>5551</v>
      </c>
      <c r="C1920" s="198" t="s">
        <v>23</v>
      </c>
      <c r="D1920" s="198" t="s">
        <v>26</v>
      </c>
      <c r="E1920" s="198" t="s">
        <v>128</v>
      </c>
      <c r="F1920" s="4" t="s">
        <v>158</v>
      </c>
      <c r="G1920" s="4" t="s">
        <v>2272</v>
      </c>
      <c r="H1920" s="198" t="s">
        <v>521</v>
      </c>
      <c r="I1920" s="198"/>
      <c r="J1920" s="4" t="s">
        <v>2272</v>
      </c>
      <c r="K1920" s="4" t="s">
        <v>2272</v>
      </c>
      <c r="L1920" s="4" t="s">
        <v>2272</v>
      </c>
      <c r="M1920" s="4" t="s">
        <v>2272</v>
      </c>
      <c r="N1920" s="4" t="s">
        <v>2272</v>
      </c>
      <c r="O1920" s="4" t="s">
        <v>2272</v>
      </c>
      <c r="P1920" s="4" t="s">
        <v>2272</v>
      </c>
      <c r="Q1920" s="4" t="s">
        <v>2272</v>
      </c>
      <c r="R1920" s="4" t="s">
        <v>2272</v>
      </c>
      <c r="S1920" s="4" t="s">
        <v>2272</v>
      </c>
      <c r="T1920" s="4" t="s">
        <v>2272</v>
      </c>
      <c r="U1920" s="4" t="s">
        <v>2272</v>
      </c>
      <c r="V1920" s="4" t="s">
        <v>2272</v>
      </c>
      <c r="W1920" s="4" t="s">
        <v>2272</v>
      </c>
      <c r="X1920" s="4" t="s">
        <v>2272</v>
      </c>
      <c r="Y1920" s="4" t="s">
        <v>2272</v>
      </c>
      <c r="Z1920" s="4" t="s">
        <v>2272</v>
      </c>
      <c r="AA1920" s="4" t="s">
        <v>2272</v>
      </c>
      <c r="AB1920" s="4" t="s">
        <v>2272</v>
      </c>
      <c r="AC1920" s="4" t="s">
        <v>2272</v>
      </c>
      <c r="AD1920" s="198"/>
      <c r="AE1920" s="198"/>
    </row>
    <row r="1921" spans="1:31" ht="36.5" customHeight="1">
      <c r="A1921" s="198" t="s">
        <v>5542</v>
      </c>
      <c r="B1921" s="198" t="s">
        <v>5552</v>
      </c>
      <c r="C1921" s="198" t="s">
        <v>23</v>
      </c>
      <c r="D1921" s="198" t="s">
        <v>26</v>
      </c>
      <c r="E1921" s="198" t="s">
        <v>128</v>
      </c>
      <c r="F1921" s="4" t="s">
        <v>158</v>
      </c>
      <c r="G1921" s="4" t="s">
        <v>2272</v>
      </c>
      <c r="H1921" s="198" t="s">
        <v>521</v>
      </c>
      <c r="I1921" s="198"/>
      <c r="J1921" s="4" t="s">
        <v>2272</v>
      </c>
      <c r="K1921" s="4" t="s">
        <v>2272</v>
      </c>
      <c r="L1921" s="4" t="s">
        <v>2272</v>
      </c>
      <c r="M1921" s="4" t="s">
        <v>2272</v>
      </c>
      <c r="N1921" s="4" t="s">
        <v>2272</v>
      </c>
      <c r="O1921" s="4" t="s">
        <v>2272</v>
      </c>
      <c r="P1921" s="4" t="s">
        <v>2272</v>
      </c>
      <c r="Q1921" s="4" t="s">
        <v>2272</v>
      </c>
      <c r="R1921" s="4" t="s">
        <v>2272</v>
      </c>
      <c r="S1921" s="4" t="s">
        <v>2272</v>
      </c>
      <c r="T1921" s="4" t="s">
        <v>2272</v>
      </c>
      <c r="U1921" s="4" t="s">
        <v>2272</v>
      </c>
      <c r="V1921" s="4" t="s">
        <v>2272</v>
      </c>
      <c r="W1921" s="4" t="s">
        <v>2272</v>
      </c>
      <c r="X1921" s="4" t="s">
        <v>2272</v>
      </c>
      <c r="Y1921" s="4" t="s">
        <v>2272</v>
      </c>
      <c r="Z1921" s="4" t="s">
        <v>2272</v>
      </c>
      <c r="AA1921" s="4" t="s">
        <v>2272</v>
      </c>
      <c r="AB1921" s="4" t="s">
        <v>2272</v>
      </c>
      <c r="AC1921" s="4" t="s">
        <v>2272</v>
      </c>
      <c r="AD1921" s="198"/>
      <c r="AE1921" s="198"/>
    </row>
    <row r="1922" spans="1:31" ht="29" customHeight="1">
      <c r="A1922" s="198" t="s">
        <v>5521</v>
      </c>
      <c r="B1922" s="198" t="s">
        <v>5553</v>
      </c>
      <c r="C1922" s="198" t="s">
        <v>23</v>
      </c>
      <c r="D1922" s="198" t="s">
        <v>26</v>
      </c>
      <c r="E1922" s="4" t="s">
        <v>395</v>
      </c>
      <c r="F1922" s="4" t="s">
        <v>2272</v>
      </c>
      <c r="G1922" s="4" t="s">
        <v>2272</v>
      </c>
      <c r="H1922" s="198" t="s">
        <v>522</v>
      </c>
      <c r="I1922" s="198"/>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21">
        <v>0</v>
      </c>
      <c r="Z1922" s="4" t="s">
        <v>2272</v>
      </c>
      <c r="AA1922" s="4" t="s">
        <v>2272</v>
      </c>
      <c r="AB1922" s="4" t="s">
        <v>2272</v>
      </c>
      <c r="AC1922" s="4" t="s">
        <v>2272</v>
      </c>
      <c r="AD1922" s="4" t="s">
        <v>5569</v>
      </c>
      <c r="AE1922" s="198"/>
    </row>
    <row r="1923" spans="1:31" ht="29" customHeight="1">
      <c r="A1923" s="198" t="s">
        <v>5533</v>
      </c>
      <c r="B1923" s="198" t="s">
        <v>5554</v>
      </c>
      <c r="C1923" s="198" t="s">
        <v>23</v>
      </c>
      <c r="D1923" s="198" t="s">
        <v>26</v>
      </c>
      <c r="E1923" s="4" t="s">
        <v>395</v>
      </c>
      <c r="F1923" s="4" t="s">
        <v>2272</v>
      </c>
      <c r="G1923" s="4" t="s">
        <v>2272</v>
      </c>
      <c r="H1923" s="198" t="s">
        <v>522</v>
      </c>
      <c r="I1923" s="198"/>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21">
        <v>0</v>
      </c>
      <c r="Z1923" s="4" t="s">
        <v>2272</v>
      </c>
      <c r="AA1923" s="4" t="s">
        <v>2272</v>
      </c>
      <c r="AB1923" s="4" t="s">
        <v>2272</v>
      </c>
      <c r="AC1923" s="4" t="s">
        <v>2272</v>
      </c>
      <c r="AD1923" s="4" t="s">
        <v>5569</v>
      </c>
      <c r="AE1923" s="198"/>
    </row>
    <row r="1924" spans="1:31" ht="29" customHeight="1">
      <c r="A1924" s="198" t="s">
        <v>5534</v>
      </c>
      <c r="B1924" s="198" t="s">
        <v>5555</v>
      </c>
      <c r="C1924" s="198" t="s">
        <v>23</v>
      </c>
      <c r="D1924" s="198" t="s">
        <v>26</v>
      </c>
      <c r="E1924" s="4" t="s">
        <v>395</v>
      </c>
      <c r="F1924" s="4" t="s">
        <v>2272</v>
      </c>
      <c r="G1924" s="4" t="s">
        <v>2272</v>
      </c>
      <c r="H1924" s="198" t="s">
        <v>522</v>
      </c>
      <c r="I1924" s="198"/>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21">
        <v>0</v>
      </c>
      <c r="Z1924" s="4" t="s">
        <v>2272</v>
      </c>
      <c r="AA1924" s="4" t="s">
        <v>2272</v>
      </c>
      <c r="AB1924" s="4" t="s">
        <v>2272</v>
      </c>
      <c r="AC1924" s="4" t="s">
        <v>2272</v>
      </c>
      <c r="AD1924" s="4" t="s">
        <v>5569</v>
      </c>
      <c r="AE1924" s="198"/>
    </row>
    <row r="1925" spans="1:31" ht="29" customHeight="1">
      <c r="A1925" s="198" t="s">
        <v>5535</v>
      </c>
      <c r="B1925" s="198" t="s">
        <v>5556</v>
      </c>
      <c r="C1925" s="198" t="s">
        <v>23</v>
      </c>
      <c r="D1925" s="198" t="s">
        <v>26</v>
      </c>
      <c r="E1925" s="4" t="s">
        <v>395</v>
      </c>
      <c r="F1925" s="4" t="s">
        <v>2272</v>
      </c>
      <c r="G1925" s="4" t="s">
        <v>2272</v>
      </c>
      <c r="H1925" s="198" t="s">
        <v>522</v>
      </c>
      <c r="I1925" s="198"/>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21">
        <v>0</v>
      </c>
      <c r="Z1925" s="4" t="s">
        <v>2272</v>
      </c>
      <c r="AA1925" s="4" t="s">
        <v>2272</v>
      </c>
      <c r="AB1925" s="4" t="s">
        <v>2272</v>
      </c>
      <c r="AC1925" s="4" t="s">
        <v>2272</v>
      </c>
      <c r="AD1925" s="4" t="s">
        <v>5569</v>
      </c>
      <c r="AE1925" s="198"/>
    </row>
    <row r="1926" spans="1:31" ht="29" customHeight="1">
      <c r="A1926" s="198" t="s">
        <v>5536</v>
      </c>
      <c r="B1926" s="198" t="s">
        <v>5557</v>
      </c>
      <c r="C1926" s="198" t="s">
        <v>23</v>
      </c>
      <c r="D1926" s="198" t="s">
        <v>26</v>
      </c>
      <c r="E1926" s="4" t="s">
        <v>395</v>
      </c>
      <c r="F1926" s="4" t="s">
        <v>2272</v>
      </c>
      <c r="G1926" s="4" t="s">
        <v>2272</v>
      </c>
      <c r="H1926" s="198" t="s">
        <v>522</v>
      </c>
      <c r="I1926" s="198"/>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21">
        <v>0</v>
      </c>
      <c r="Z1926" s="4" t="s">
        <v>2272</v>
      </c>
      <c r="AA1926" s="4" t="s">
        <v>2272</v>
      </c>
      <c r="AB1926" s="4" t="s">
        <v>2272</v>
      </c>
      <c r="AC1926" s="4" t="s">
        <v>2272</v>
      </c>
      <c r="AD1926" s="4" t="s">
        <v>5569</v>
      </c>
      <c r="AE1926" s="198"/>
    </row>
    <row r="1927" spans="1:31" ht="29" customHeight="1">
      <c r="A1927" s="198" t="s">
        <v>5537</v>
      </c>
      <c r="B1927" s="198" t="s">
        <v>5558</v>
      </c>
      <c r="C1927" s="198" t="s">
        <v>23</v>
      </c>
      <c r="D1927" s="198" t="s">
        <v>26</v>
      </c>
      <c r="E1927" s="4" t="s">
        <v>395</v>
      </c>
      <c r="F1927" s="4" t="s">
        <v>2272</v>
      </c>
      <c r="G1927" s="4" t="s">
        <v>2272</v>
      </c>
      <c r="H1927" s="198" t="s">
        <v>522</v>
      </c>
      <c r="I1927" s="198"/>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21">
        <v>0</v>
      </c>
      <c r="Z1927" s="4" t="s">
        <v>2272</v>
      </c>
      <c r="AA1927" s="4" t="s">
        <v>2272</v>
      </c>
      <c r="AB1927" s="4" t="s">
        <v>2272</v>
      </c>
      <c r="AC1927" s="4" t="s">
        <v>2272</v>
      </c>
      <c r="AD1927" s="4" t="s">
        <v>5569</v>
      </c>
      <c r="AE1927" s="198"/>
    </row>
    <row r="1928" spans="1:31" ht="29" customHeight="1">
      <c r="A1928" s="198" t="s">
        <v>5541</v>
      </c>
      <c r="B1928" s="198" t="s">
        <v>5559</v>
      </c>
      <c r="C1928" s="198" t="s">
        <v>23</v>
      </c>
      <c r="D1928" s="198" t="s">
        <v>26</v>
      </c>
      <c r="E1928" s="4" t="s">
        <v>395</v>
      </c>
      <c r="F1928" s="4" t="s">
        <v>2272</v>
      </c>
      <c r="G1928" s="4" t="s">
        <v>2272</v>
      </c>
      <c r="H1928" s="198" t="s">
        <v>522</v>
      </c>
      <c r="I1928" s="198"/>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21">
        <v>0</v>
      </c>
      <c r="Z1928" s="4" t="s">
        <v>2272</v>
      </c>
      <c r="AA1928" s="4" t="s">
        <v>2272</v>
      </c>
      <c r="AB1928" s="4" t="s">
        <v>2272</v>
      </c>
      <c r="AC1928" s="4" t="s">
        <v>2272</v>
      </c>
      <c r="AD1928" s="4" t="s">
        <v>5569</v>
      </c>
      <c r="AE1928" s="198"/>
    </row>
    <row r="1929" spans="1:31" ht="29" customHeight="1">
      <c r="A1929" s="198" t="s">
        <v>5542</v>
      </c>
      <c r="B1929" s="198" t="s">
        <v>5560</v>
      </c>
      <c r="C1929" s="198" t="s">
        <v>23</v>
      </c>
      <c r="D1929" s="198" t="s">
        <v>26</v>
      </c>
      <c r="E1929" s="4" t="s">
        <v>395</v>
      </c>
      <c r="F1929" s="4" t="s">
        <v>2272</v>
      </c>
      <c r="G1929" s="4" t="s">
        <v>2272</v>
      </c>
      <c r="H1929" s="198" t="s">
        <v>522</v>
      </c>
      <c r="I1929" s="198"/>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21">
        <v>0</v>
      </c>
      <c r="Z1929" s="4" t="s">
        <v>2272</v>
      </c>
      <c r="AA1929" s="4" t="s">
        <v>2272</v>
      </c>
      <c r="AB1929" s="4" t="s">
        <v>2272</v>
      </c>
      <c r="AC1929" s="4" t="s">
        <v>2272</v>
      </c>
      <c r="AD1929" s="4" t="s">
        <v>5569</v>
      </c>
      <c r="AE1929" s="198"/>
    </row>
    <row r="1930" spans="1:31" ht="29" customHeight="1">
      <c r="A1930" s="198" t="s">
        <v>5521</v>
      </c>
      <c r="B1930" s="198" t="s">
        <v>5561</v>
      </c>
      <c r="C1930" s="198" t="s">
        <v>23</v>
      </c>
      <c r="D1930" s="198" t="s">
        <v>26</v>
      </c>
      <c r="E1930" s="4" t="s">
        <v>394</v>
      </c>
      <c r="F1930" s="4" t="s">
        <v>2272</v>
      </c>
      <c r="G1930" s="4" t="s">
        <v>2272</v>
      </c>
      <c r="H1930" s="198" t="s">
        <v>522</v>
      </c>
      <c r="I1930" s="198"/>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21">
        <v>0</v>
      </c>
      <c r="Z1930" s="4" t="s">
        <v>2272</v>
      </c>
      <c r="AA1930" s="4" t="s">
        <v>2272</v>
      </c>
      <c r="AB1930" s="4" t="s">
        <v>2272</v>
      </c>
      <c r="AC1930" s="4" t="s">
        <v>2272</v>
      </c>
      <c r="AD1930" s="4" t="s">
        <v>5569</v>
      </c>
      <c r="AE1930" s="198"/>
    </row>
    <row r="1931" spans="1:31" ht="29" customHeight="1">
      <c r="A1931" s="198" t="s">
        <v>5533</v>
      </c>
      <c r="B1931" s="198" t="s">
        <v>5562</v>
      </c>
      <c r="C1931" s="198" t="s">
        <v>23</v>
      </c>
      <c r="D1931" s="198" t="s">
        <v>26</v>
      </c>
      <c r="E1931" s="4" t="s">
        <v>394</v>
      </c>
      <c r="F1931" s="4" t="s">
        <v>2272</v>
      </c>
      <c r="G1931" s="4" t="s">
        <v>2272</v>
      </c>
      <c r="H1931" s="198" t="s">
        <v>522</v>
      </c>
      <c r="I1931" s="198"/>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21">
        <v>0</v>
      </c>
      <c r="Z1931" s="4" t="s">
        <v>2272</v>
      </c>
      <c r="AA1931" s="4" t="s">
        <v>2272</v>
      </c>
      <c r="AB1931" s="4" t="s">
        <v>2272</v>
      </c>
      <c r="AC1931" s="4" t="s">
        <v>2272</v>
      </c>
      <c r="AD1931" s="4" t="s">
        <v>5569</v>
      </c>
      <c r="AE1931" s="198"/>
    </row>
    <row r="1932" spans="1:31" ht="29" customHeight="1">
      <c r="A1932" s="198" t="s">
        <v>5534</v>
      </c>
      <c r="B1932" s="198" t="s">
        <v>5563</v>
      </c>
      <c r="C1932" s="198" t="s">
        <v>23</v>
      </c>
      <c r="D1932" s="198" t="s">
        <v>26</v>
      </c>
      <c r="E1932" s="4" t="s">
        <v>394</v>
      </c>
      <c r="F1932" s="4" t="s">
        <v>2272</v>
      </c>
      <c r="G1932" s="4" t="s">
        <v>2272</v>
      </c>
      <c r="H1932" s="198" t="s">
        <v>522</v>
      </c>
      <c r="I1932" s="198"/>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21">
        <v>0</v>
      </c>
      <c r="Z1932" s="4" t="s">
        <v>2272</v>
      </c>
      <c r="AA1932" s="4" t="s">
        <v>2272</v>
      </c>
      <c r="AB1932" s="4" t="s">
        <v>2272</v>
      </c>
      <c r="AC1932" s="4" t="s">
        <v>2272</v>
      </c>
      <c r="AD1932" s="4" t="s">
        <v>5569</v>
      </c>
      <c r="AE1932" s="198"/>
    </row>
    <row r="1933" spans="1:31" ht="29" customHeight="1">
      <c r="A1933" s="198" t="s">
        <v>5535</v>
      </c>
      <c r="B1933" s="198" t="s">
        <v>5564</v>
      </c>
      <c r="C1933" s="198" t="s">
        <v>23</v>
      </c>
      <c r="D1933" s="198" t="s">
        <v>26</v>
      </c>
      <c r="E1933" s="4" t="s">
        <v>394</v>
      </c>
      <c r="F1933" s="4" t="s">
        <v>2272</v>
      </c>
      <c r="G1933" s="4" t="s">
        <v>2272</v>
      </c>
      <c r="H1933" s="198" t="s">
        <v>522</v>
      </c>
      <c r="I1933" s="198"/>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21">
        <v>0</v>
      </c>
      <c r="Z1933" s="4" t="s">
        <v>2272</v>
      </c>
      <c r="AA1933" s="4" t="s">
        <v>2272</v>
      </c>
      <c r="AB1933" s="4" t="s">
        <v>2272</v>
      </c>
      <c r="AC1933" s="4" t="s">
        <v>2272</v>
      </c>
      <c r="AD1933" s="4" t="s">
        <v>5569</v>
      </c>
      <c r="AE1933" s="198"/>
    </row>
    <row r="1934" spans="1:31" ht="29" customHeight="1">
      <c r="A1934" s="198" t="s">
        <v>5536</v>
      </c>
      <c r="B1934" s="198" t="s">
        <v>5565</v>
      </c>
      <c r="C1934" s="198" t="s">
        <v>23</v>
      </c>
      <c r="D1934" s="198" t="s">
        <v>26</v>
      </c>
      <c r="E1934" s="4" t="s">
        <v>394</v>
      </c>
      <c r="F1934" s="4" t="s">
        <v>2272</v>
      </c>
      <c r="G1934" s="4" t="s">
        <v>2272</v>
      </c>
      <c r="H1934" s="198" t="s">
        <v>522</v>
      </c>
      <c r="I1934" s="198"/>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21">
        <v>0</v>
      </c>
      <c r="Z1934" s="4" t="s">
        <v>2272</v>
      </c>
      <c r="AA1934" s="4" t="s">
        <v>2272</v>
      </c>
      <c r="AB1934" s="4" t="s">
        <v>2272</v>
      </c>
      <c r="AC1934" s="4" t="s">
        <v>2272</v>
      </c>
      <c r="AD1934" s="4" t="s">
        <v>5569</v>
      </c>
      <c r="AE1934" s="198"/>
    </row>
    <row r="1935" spans="1:31" ht="29" customHeight="1">
      <c r="A1935" s="198" t="s">
        <v>5537</v>
      </c>
      <c r="B1935" s="198" t="s">
        <v>5566</v>
      </c>
      <c r="C1935" s="198" t="s">
        <v>23</v>
      </c>
      <c r="D1935" s="198" t="s">
        <v>26</v>
      </c>
      <c r="E1935" s="4" t="s">
        <v>394</v>
      </c>
      <c r="F1935" s="4" t="s">
        <v>2272</v>
      </c>
      <c r="G1935" s="4" t="s">
        <v>2272</v>
      </c>
      <c r="H1935" s="198" t="s">
        <v>522</v>
      </c>
      <c r="I1935" s="198"/>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21">
        <v>0</v>
      </c>
      <c r="Z1935" s="4" t="s">
        <v>2272</v>
      </c>
      <c r="AA1935" s="4" t="s">
        <v>2272</v>
      </c>
      <c r="AB1935" s="4" t="s">
        <v>2272</v>
      </c>
      <c r="AC1935" s="4" t="s">
        <v>2272</v>
      </c>
      <c r="AD1935" s="4" t="s">
        <v>5569</v>
      </c>
      <c r="AE1935" s="198"/>
    </row>
    <row r="1936" spans="1:31" ht="29" customHeight="1">
      <c r="A1936" s="198" t="s">
        <v>5541</v>
      </c>
      <c r="B1936" s="198" t="s">
        <v>5567</v>
      </c>
      <c r="C1936" s="198" t="s">
        <v>23</v>
      </c>
      <c r="D1936" s="198" t="s">
        <v>26</v>
      </c>
      <c r="E1936" s="4" t="s">
        <v>394</v>
      </c>
      <c r="F1936" s="4" t="s">
        <v>2272</v>
      </c>
      <c r="G1936" s="4" t="s">
        <v>2272</v>
      </c>
      <c r="H1936" s="198" t="s">
        <v>522</v>
      </c>
      <c r="I1936" s="198"/>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21">
        <v>0</v>
      </c>
      <c r="Z1936" s="4" t="s">
        <v>2272</v>
      </c>
      <c r="AA1936" s="4" t="s">
        <v>2272</v>
      </c>
      <c r="AB1936" s="4" t="s">
        <v>2272</v>
      </c>
      <c r="AC1936" s="4" t="s">
        <v>2272</v>
      </c>
      <c r="AD1936" s="4" t="s">
        <v>5569</v>
      </c>
      <c r="AE1936" s="198"/>
    </row>
    <row r="1937" spans="1:31" ht="29" customHeight="1">
      <c r="A1937" s="198" t="s">
        <v>5542</v>
      </c>
      <c r="B1937" s="198" t="s">
        <v>5568</v>
      </c>
      <c r="C1937" s="198" t="s">
        <v>23</v>
      </c>
      <c r="D1937" s="198" t="s">
        <v>26</v>
      </c>
      <c r="E1937" s="4" t="s">
        <v>394</v>
      </c>
      <c r="F1937" s="4" t="s">
        <v>2272</v>
      </c>
      <c r="G1937" s="4" t="s">
        <v>2272</v>
      </c>
      <c r="H1937" s="198" t="s">
        <v>522</v>
      </c>
      <c r="I1937" s="198"/>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21">
        <v>0</v>
      </c>
      <c r="Z1937" s="4" t="s">
        <v>2272</v>
      </c>
      <c r="AA1937" s="4" t="s">
        <v>2272</v>
      </c>
      <c r="AB1937" s="4" t="s">
        <v>2272</v>
      </c>
      <c r="AC1937" s="4" t="s">
        <v>2272</v>
      </c>
      <c r="AD1937" s="4" t="s">
        <v>5569</v>
      </c>
      <c r="AE1937" s="198"/>
    </row>
    <row r="1938" spans="1:31" ht="28" customHeight="1">
      <c r="A1938" s="198" t="s">
        <v>5572</v>
      </c>
      <c r="B1938" s="198" t="s">
        <v>5576</v>
      </c>
      <c r="C1938" s="198" t="s">
        <v>23</v>
      </c>
      <c r="D1938" s="198" t="s">
        <v>1238</v>
      </c>
      <c r="E1938" s="4" t="s">
        <v>395</v>
      </c>
      <c r="F1938" s="4" t="s">
        <v>2272</v>
      </c>
      <c r="G1938" s="4" t="s">
        <v>2272</v>
      </c>
      <c r="H1938" s="198" t="s">
        <v>521</v>
      </c>
      <c r="I1938" s="198"/>
      <c r="J1938" s="4" t="s">
        <v>2272</v>
      </c>
      <c r="K1938" s="4" t="s">
        <v>2272</v>
      </c>
      <c r="L1938" s="4" t="s">
        <v>2272</v>
      </c>
      <c r="M1938" s="4" t="s">
        <v>2272</v>
      </c>
      <c r="N1938" s="4" t="s">
        <v>2272</v>
      </c>
      <c r="O1938" s="4" t="s">
        <v>2272</v>
      </c>
      <c r="P1938" s="4" t="s">
        <v>2272</v>
      </c>
      <c r="Q1938" s="4" t="s">
        <v>2272</v>
      </c>
      <c r="R1938" s="4" t="s">
        <v>2272</v>
      </c>
      <c r="S1938" s="4" t="s">
        <v>2272</v>
      </c>
      <c r="T1938" s="4" t="s">
        <v>2272</v>
      </c>
      <c r="U1938" s="4" t="s">
        <v>2272</v>
      </c>
      <c r="V1938" s="4" t="s">
        <v>2272</v>
      </c>
      <c r="W1938" s="4" t="s">
        <v>2272</v>
      </c>
      <c r="X1938" s="4" t="s">
        <v>2272</v>
      </c>
      <c r="Y1938" s="4" t="s">
        <v>2272</v>
      </c>
      <c r="Z1938" s="4" t="s">
        <v>2272</v>
      </c>
      <c r="AA1938" s="4" t="s">
        <v>2272</v>
      </c>
      <c r="AB1938" s="4" t="s">
        <v>2272</v>
      </c>
      <c r="AC1938" s="4" t="s">
        <v>2272</v>
      </c>
      <c r="AD1938" s="198"/>
      <c r="AE1938" s="198"/>
    </row>
    <row r="1939" spans="1:31" ht="35.5" customHeight="1">
      <c r="A1939" s="198" t="s">
        <v>5572</v>
      </c>
      <c r="B1939" s="198" t="s">
        <v>5577</v>
      </c>
      <c r="C1939" s="198" t="s">
        <v>23</v>
      </c>
      <c r="D1939" s="198" t="s">
        <v>1238</v>
      </c>
      <c r="E1939" s="4" t="s">
        <v>2646</v>
      </c>
      <c r="F1939" s="4" t="s">
        <v>2272</v>
      </c>
      <c r="G1939" s="4" t="s">
        <v>2272</v>
      </c>
      <c r="H1939" s="198" t="s">
        <v>521</v>
      </c>
      <c r="I1939" s="198"/>
      <c r="J1939" s="4" t="s">
        <v>2272</v>
      </c>
      <c r="K1939" s="4" t="s">
        <v>2272</v>
      </c>
      <c r="L1939" s="4" t="s">
        <v>2272</v>
      </c>
      <c r="M1939" s="4" t="s">
        <v>2272</v>
      </c>
      <c r="N1939" s="4" t="s">
        <v>2272</v>
      </c>
      <c r="O1939" s="4" t="s">
        <v>2272</v>
      </c>
      <c r="P1939" s="4" t="s">
        <v>2272</v>
      </c>
      <c r="Q1939" s="4" t="s">
        <v>2272</v>
      </c>
      <c r="R1939" s="4" t="s">
        <v>2272</v>
      </c>
      <c r="S1939" s="4" t="s">
        <v>2272</v>
      </c>
      <c r="T1939" s="4" t="s">
        <v>2272</v>
      </c>
      <c r="U1939" s="4" t="s">
        <v>2272</v>
      </c>
      <c r="V1939" s="4" t="s">
        <v>2272</v>
      </c>
      <c r="W1939" s="4" t="s">
        <v>2272</v>
      </c>
      <c r="X1939" s="4" t="s">
        <v>2272</v>
      </c>
      <c r="Y1939" s="4" t="s">
        <v>2272</v>
      </c>
      <c r="Z1939" s="4" t="s">
        <v>2272</v>
      </c>
      <c r="AA1939" s="4" t="s">
        <v>2272</v>
      </c>
      <c r="AB1939" s="4" t="s">
        <v>2272</v>
      </c>
      <c r="AC1939" s="4" t="s">
        <v>2272</v>
      </c>
      <c r="AD1939" s="198"/>
      <c r="AE1939" s="198"/>
    </row>
    <row r="1940" spans="1:31" ht="28" customHeight="1">
      <c r="A1940" s="198" t="s">
        <v>5584</v>
      </c>
      <c r="B1940" s="198" t="s">
        <v>5587</v>
      </c>
      <c r="C1940" s="198" t="s">
        <v>23</v>
      </c>
      <c r="D1940" s="198" t="s">
        <v>26</v>
      </c>
      <c r="E1940" s="198" t="s">
        <v>128</v>
      </c>
      <c r="F1940" s="4" t="s">
        <v>73</v>
      </c>
      <c r="G1940" s="4" t="s">
        <v>2272</v>
      </c>
      <c r="H1940" s="198" t="s">
        <v>521</v>
      </c>
      <c r="I1940" s="198"/>
      <c r="J1940" s="4" t="s">
        <v>2272</v>
      </c>
      <c r="K1940" s="4" t="s">
        <v>2272</v>
      </c>
      <c r="L1940" s="4" t="s">
        <v>2272</v>
      </c>
      <c r="M1940" s="4" t="s">
        <v>2272</v>
      </c>
      <c r="N1940" s="4" t="s">
        <v>2272</v>
      </c>
      <c r="O1940" s="4" t="s">
        <v>2272</v>
      </c>
      <c r="P1940" s="4" t="s">
        <v>2272</v>
      </c>
      <c r="Q1940" s="4" t="s">
        <v>2272</v>
      </c>
      <c r="R1940" s="4" t="s">
        <v>2272</v>
      </c>
      <c r="S1940" s="4" t="s">
        <v>2272</v>
      </c>
      <c r="T1940" s="4" t="s">
        <v>2272</v>
      </c>
      <c r="U1940" s="4" t="s">
        <v>2272</v>
      </c>
      <c r="V1940" s="4" t="s">
        <v>2272</v>
      </c>
      <c r="W1940" s="4" t="s">
        <v>2272</v>
      </c>
      <c r="X1940" s="4" t="s">
        <v>2272</v>
      </c>
      <c r="Y1940" s="4" t="s">
        <v>2272</v>
      </c>
      <c r="Z1940" s="4" t="s">
        <v>2272</v>
      </c>
      <c r="AA1940" s="4" t="s">
        <v>2272</v>
      </c>
      <c r="AB1940" s="4" t="s">
        <v>2272</v>
      </c>
      <c r="AC1940" s="4" t="s">
        <v>2272</v>
      </c>
      <c r="AD1940" s="198"/>
      <c r="AE1940" s="198"/>
    </row>
    <row r="1941" spans="1:31" ht="31" customHeight="1">
      <c r="A1941" s="198" t="s">
        <v>5584</v>
      </c>
      <c r="B1941" s="198" t="s">
        <v>5588</v>
      </c>
      <c r="C1941" s="198" t="s">
        <v>23</v>
      </c>
      <c r="D1941" s="198" t="s">
        <v>2227</v>
      </c>
      <c r="E1941" s="198" t="s">
        <v>82</v>
      </c>
      <c r="F1941" s="4" t="s">
        <v>73</v>
      </c>
      <c r="G1941" s="4" t="s">
        <v>2272</v>
      </c>
      <c r="H1941" s="198" t="s">
        <v>521</v>
      </c>
      <c r="I1941" s="198"/>
      <c r="J1941" s="4" t="s">
        <v>2272</v>
      </c>
      <c r="K1941" s="4" t="s">
        <v>2272</v>
      </c>
      <c r="L1941" s="4" t="s">
        <v>2272</v>
      </c>
      <c r="M1941" s="4" t="s">
        <v>2272</v>
      </c>
      <c r="N1941" s="4" t="s">
        <v>2272</v>
      </c>
      <c r="O1941" s="4" t="s">
        <v>2272</v>
      </c>
      <c r="P1941" s="4" t="s">
        <v>2272</v>
      </c>
      <c r="Q1941" s="4" t="s">
        <v>2272</v>
      </c>
      <c r="R1941" s="4" t="s">
        <v>2272</v>
      </c>
      <c r="S1941" s="4" t="s">
        <v>2272</v>
      </c>
      <c r="T1941" s="4" t="s">
        <v>2272</v>
      </c>
      <c r="U1941" s="4" t="s">
        <v>2272</v>
      </c>
      <c r="V1941" s="4" t="s">
        <v>2272</v>
      </c>
      <c r="W1941" s="4" t="s">
        <v>2272</v>
      </c>
      <c r="X1941" s="4" t="s">
        <v>2272</v>
      </c>
      <c r="Y1941" s="4" t="s">
        <v>2272</v>
      </c>
      <c r="Z1941" s="4" t="s">
        <v>2272</v>
      </c>
      <c r="AA1941" s="4" t="s">
        <v>2272</v>
      </c>
      <c r="AB1941" s="4" t="s">
        <v>2272</v>
      </c>
      <c r="AC1941" s="4" t="s">
        <v>2272</v>
      </c>
      <c r="AD1941" s="198"/>
      <c r="AE1941" s="198"/>
    </row>
    <row r="1942" spans="1:31" ht="30" customHeight="1">
      <c r="A1942" s="198" t="s">
        <v>5593</v>
      </c>
      <c r="B1942" s="198" t="s">
        <v>5597</v>
      </c>
      <c r="C1942" s="198" t="s">
        <v>23</v>
      </c>
      <c r="D1942" s="198" t="s">
        <v>26</v>
      </c>
      <c r="E1942" s="198" t="s">
        <v>128</v>
      </c>
      <c r="F1942" s="4" t="s">
        <v>158</v>
      </c>
      <c r="G1942" s="4" t="s">
        <v>2272</v>
      </c>
      <c r="H1942" s="198" t="s">
        <v>521</v>
      </c>
      <c r="I1942" s="198"/>
      <c r="J1942" s="4" t="s">
        <v>2272</v>
      </c>
      <c r="K1942" s="4" t="s">
        <v>2272</v>
      </c>
      <c r="L1942" s="4" t="s">
        <v>2272</v>
      </c>
      <c r="M1942" s="4" t="s">
        <v>2272</v>
      </c>
      <c r="N1942" s="4" t="s">
        <v>2272</v>
      </c>
      <c r="O1942" s="4" t="s">
        <v>2272</v>
      </c>
      <c r="P1942" s="4" t="s">
        <v>2272</v>
      </c>
      <c r="Q1942" s="4" t="s">
        <v>2272</v>
      </c>
      <c r="R1942" s="4" t="s">
        <v>2272</v>
      </c>
      <c r="S1942" s="4" t="s">
        <v>2272</v>
      </c>
      <c r="T1942" s="4" t="s">
        <v>2272</v>
      </c>
      <c r="U1942" s="4" t="s">
        <v>2272</v>
      </c>
      <c r="V1942" s="4" t="s">
        <v>2272</v>
      </c>
      <c r="W1942" s="4" t="s">
        <v>2272</v>
      </c>
      <c r="X1942" s="4" t="s">
        <v>2272</v>
      </c>
      <c r="Y1942" s="4" t="s">
        <v>2272</v>
      </c>
      <c r="Z1942" s="4" t="s">
        <v>2272</v>
      </c>
      <c r="AA1942" s="4" t="s">
        <v>2272</v>
      </c>
      <c r="AB1942" s="4" t="s">
        <v>2272</v>
      </c>
      <c r="AC1942" s="4" t="s">
        <v>2272</v>
      </c>
      <c r="AD1942" s="198"/>
      <c r="AE1942" s="198"/>
    </row>
    <row r="1943" spans="1:31" ht="30" customHeight="1">
      <c r="A1943" s="198" t="s">
        <v>5594</v>
      </c>
      <c r="B1943" s="198" t="s">
        <v>5598</v>
      </c>
      <c r="C1943" s="198" t="s">
        <v>23</v>
      </c>
      <c r="D1943" s="198" t="s">
        <v>26</v>
      </c>
      <c r="E1943" s="198" t="s">
        <v>128</v>
      </c>
      <c r="F1943" s="4" t="s">
        <v>158</v>
      </c>
      <c r="G1943" s="4" t="s">
        <v>2272</v>
      </c>
      <c r="H1943" s="198" t="s">
        <v>521</v>
      </c>
      <c r="I1943" s="198"/>
      <c r="J1943" s="4" t="s">
        <v>2272</v>
      </c>
      <c r="K1943" s="4" t="s">
        <v>2272</v>
      </c>
      <c r="L1943" s="4" t="s">
        <v>2272</v>
      </c>
      <c r="M1943" s="4" t="s">
        <v>2272</v>
      </c>
      <c r="N1943" s="4" t="s">
        <v>2272</v>
      </c>
      <c r="O1943" s="4" t="s">
        <v>2272</v>
      </c>
      <c r="P1943" s="4" t="s">
        <v>2272</v>
      </c>
      <c r="Q1943" s="4" t="s">
        <v>2272</v>
      </c>
      <c r="R1943" s="4" t="s">
        <v>2272</v>
      </c>
      <c r="S1943" s="4" t="s">
        <v>2272</v>
      </c>
      <c r="T1943" s="4" t="s">
        <v>2272</v>
      </c>
      <c r="U1943" s="4" t="s">
        <v>2272</v>
      </c>
      <c r="V1943" s="4" t="s">
        <v>2272</v>
      </c>
      <c r="W1943" s="4" t="s">
        <v>2272</v>
      </c>
      <c r="X1943" s="4" t="s">
        <v>2272</v>
      </c>
      <c r="Y1943" s="4" t="s">
        <v>2272</v>
      </c>
      <c r="Z1943" s="4" t="s">
        <v>2272</v>
      </c>
      <c r="AA1943" s="4" t="s">
        <v>2272</v>
      </c>
      <c r="AB1943" s="4" t="s">
        <v>2272</v>
      </c>
      <c r="AC1943" s="4" t="s">
        <v>2272</v>
      </c>
      <c r="AD1943" s="198"/>
      <c r="AE1943" s="198"/>
    </row>
    <row r="1944" spans="1:31" ht="30" customHeight="1">
      <c r="A1944" s="198" t="s">
        <v>5593</v>
      </c>
      <c r="B1944" s="198" t="s">
        <v>5599</v>
      </c>
      <c r="C1944" s="198" t="s">
        <v>23</v>
      </c>
      <c r="D1944" s="198" t="s">
        <v>26</v>
      </c>
      <c r="E1944" s="198" t="s">
        <v>128</v>
      </c>
      <c r="F1944" s="4" t="s">
        <v>73</v>
      </c>
      <c r="G1944" s="4" t="s">
        <v>2272</v>
      </c>
      <c r="H1944" s="198" t="s">
        <v>521</v>
      </c>
      <c r="I1944" s="198"/>
      <c r="J1944" s="4" t="s">
        <v>2272</v>
      </c>
      <c r="K1944" s="4" t="s">
        <v>2272</v>
      </c>
      <c r="L1944" s="4" t="s">
        <v>2272</v>
      </c>
      <c r="M1944" s="4" t="s">
        <v>2272</v>
      </c>
      <c r="N1944" s="4" t="s">
        <v>2272</v>
      </c>
      <c r="O1944" s="4" t="s">
        <v>2272</v>
      </c>
      <c r="P1944" s="4" t="s">
        <v>2272</v>
      </c>
      <c r="Q1944" s="4" t="s">
        <v>2272</v>
      </c>
      <c r="R1944" s="4" t="s">
        <v>2272</v>
      </c>
      <c r="S1944" s="4" t="s">
        <v>2272</v>
      </c>
      <c r="T1944" s="4" t="s">
        <v>2272</v>
      </c>
      <c r="U1944" s="4" t="s">
        <v>2272</v>
      </c>
      <c r="V1944" s="4" t="s">
        <v>2272</v>
      </c>
      <c r="W1944" s="4" t="s">
        <v>2272</v>
      </c>
      <c r="X1944" s="4" t="s">
        <v>2272</v>
      </c>
      <c r="Y1944" s="4" t="s">
        <v>2272</v>
      </c>
      <c r="Z1944" s="4" t="s">
        <v>2272</v>
      </c>
      <c r="AA1944" s="4" t="s">
        <v>2272</v>
      </c>
      <c r="AB1944" s="4" t="s">
        <v>2272</v>
      </c>
      <c r="AC1944" s="4" t="s">
        <v>2272</v>
      </c>
      <c r="AD1944" s="198"/>
      <c r="AE1944" s="198"/>
    </row>
    <row r="1945" spans="1:31" ht="30" customHeight="1">
      <c r="A1945" s="198" t="s">
        <v>5594</v>
      </c>
      <c r="B1945" s="198" t="s">
        <v>5600</v>
      </c>
      <c r="C1945" s="198" t="s">
        <v>23</v>
      </c>
      <c r="D1945" s="198" t="s">
        <v>26</v>
      </c>
      <c r="E1945" s="198" t="s">
        <v>128</v>
      </c>
      <c r="F1945" s="4" t="s">
        <v>73</v>
      </c>
      <c r="G1945" s="4" t="s">
        <v>2272</v>
      </c>
      <c r="H1945" s="198" t="s">
        <v>521</v>
      </c>
      <c r="I1945" s="198"/>
      <c r="J1945" s="4" t="s">
        <v>2272</v>
      </c>
      <c r="K1945" s="4" t="s">
        <v>2272</v>
      </c>
      <c r="L1945" s="4" t="s">
        <v>2272</v>
      </c>
      <c r="M1945" s="4" t="s">
        <v>2272</v>
      </c>
      <c r="N1945" s="4" t="s">
        <v>2272</v>
      </c>
      <c r="O1945" s="4" t="s">
        <v>2272</v>
      </c>
      <c r="P1945" s="4" t="s">
        <v>2272</v>
      </c>
      <c r="Q1945" s="4" t="s">
        <v>2272</v>
      </c>
      <c r="R1945" s="4" t="s">
        <v>2272</v>
      </c>
      <c r="S1945" s="4" t="s">
        <v>2272</v>
      </c>
      <c r="T1945" s="4" t="s">
        <v>2272</v>
      </c>
      <c r="U1945" s="4" t="s">
        <v>2272</v>
      </c>
      <c r="V1945" s="4" t="s">
        <v>2272</v>
      </c>
      <c r="W1945" s="4" t="s">
        <v>2272</v>
      </c>
      <c r="X1945" s="4" t="s">
        <v>2272</v>
      </c>
      <c r="Y1945" s="4" t="s">
        <v>2272</v>
      </c>
      <c r="Z1945" s="4" t="s">
        <v>2272</v>
      </c>
      <c r="AA1945" s="4" t="s">
        <v>2272</v>
      </c>
      <c r="AB1945" s="4" t="s">
        <v>2272</v>
      </c>
      <c r="AC1945" s="4" t="s">
        <v>2272</v>
      </c>
      <c r="AD1945" s="198"/>
      <c r="AE1945" s="198"/>
    </row>
    <row r="1946" spans="1:31" ht="25.5" customHeight="1">
      <c r="A1946" s="198" t="s">
        <v>5593</v>
      </c>
      <c r="B1946" s="198" t="s">
        <v>5601</v>
      </c>
      <c r="C1946" s="198" t="s">
        <v>23</v>
      </c>
      <c r="D1946" s="198" t="s">
        <v>24</v>
      </c>
      <c r="E1946" s="198" t="s">
        <v>44</v>
      </c>
      <c r="F1946" s="4" t="s">
        <v>28</v>
      </c>
      <c r="G1946" s="4" t="s">
        <v>28</v>
      </c>
      <c r="H1946" s="198" t="s">
        <v>521</v>
      </c>
      <c r="I1946" s="198"/>
      <c r="J1946" s="4" t="s">
        <v>2272</v>
      </c>
      <c r="K1946" s="4" t="s">
        <v>2272</v>
      </c>
      <c r="L1946" s="4" t="s">
        <v>2272</v>
      </c>
      <c r="M1946" s="4" t="s">
        <v>2272</v>
      </c>
      <c r="N1946" s="4" t="s">
        <v>2272</v>
      </c>
      <c r="O1946" s="4" t="s">
        <v>2272</v>
      </c>
      <c r="P1946" s="4" t="s">
        <v>2272</v>
      </c>
      <c r="Q1946" s="4" t="s">
        <v>2272</v>
      </c>
      <c r="R1946" s="4" t="s">
        <v>2272</v>
      </c>
      <c r="S1946" s="4" t="s">
        <v>2272</v>
      </c>
      <c r="T1946" s="4" t="s">
        <v>2272</v>
      </c>
      <c r="U1946" s="4" t="s">
        <v>2272</v>
      </c>
      <c r="V1946" s="4" t="s">
        <v>2272</v>
      </c>
      <c r="W1946" s="4" t="s">
        <v>2272</v>
      </c>
      <c r="X1946" s="4" t="s">
        <v>2272</v>
      </c>
      <c r="Y1946" s="4" t="s">
        <v>2272</v>
      </c>
      <c r="Z1946" s="4" t="s">
        <v>2272</v>
      </c>
      <c r="AA1946" s="4" t="s">
        <v>2272</v>
      </c>
      <c r="AB1946" s="4" t="s">
        <v>2272</v>
      </c>
      <c r="AC1946" s="4" t="s">
        <v>2272</v>
      </c>
      <c r="AD1946" s="198"/>
      <c r="AE1946" s="198"/>
    </row>
    <row r="1947" spans="1:31" ht="25.5" customHeight="1">
      <c r="A1947" s="198" t="s">
        <v>5594</v>
      </c>
      <c r="B1947" s="198" t="s">
        <v>5602</v>
      </c>
      <c r="C1947" s="198" t="s">
        <v>23</v>
      </c>
      <c r="D1947" s="198" t="s">
        <v>24</v>
      </c>
      <c r="E1947" s="198" t="s">
        <v>44</v>
      </c>
      <c r="F1947" s="4" t="s">
        <v>28</v>
      </c>
      <c r="G1947" s="4" t="s">
        <v>28</v>
      </c>
      <c r="H1947" s="198" t="s">
        <v>521</v>
      </c>
      <c r="I1947" s="198"/>
      <c r="J1947" s="4" t="s">
        <v>2272</v>
      </c>
      <c r="K1947" s="4" t="s">
        <v>2272</v>
      </c>
      <c r="L1947" s="4" t="s">
        <v>2272</v>
      </c>
      <c r="M1947" s="4" t="s">
        <v>2272</v>
      </c>
      <c r="N1947" s="4" t="s">
        <v>2272</v>
      </c>
      <c r="O1947" s="4" t="s">
        <v>2272</v>
      </c>
      <c r="P1947" s="4" t="s">
        <v>2272</v>
      </c>
      <c r="Q1947" s="4" t="s">
        <v>2272</v>
      </c>
      <c r="R1947" s="4" t="s">
        <v>2272</v>
      </c>
      <c r="S1947" s="4" t="s">
        <v>2272</v>
      </c>
      <c r="T1947" s="4" t="s">
        <v>2272</v>
      </c>
      <c r="U1947" s="4" t="s">
        <v>2272</v>
      </c>
      <c r="V1947" s="4" t="s">
        <v>2272</v>
      </c>
      <c r="W1947" s="4" t="s">
        <v>2272</v>
      </c>
      <c r="X1947" s="4" t="s">
        <v>2272</v>
      </c>
      <c r="Y1947" s="4" t="s">
        <v>2272</v>
      </c>
      <c r="Z1947" s="4" t="s">
        <v>2272</v>
      </c>
      <c r="AA1947" s="4" t="s">
        <v>2272</v>
      </c>
      <c r="AB1947" s="4" t="s">
        <v>2272</v>
      </c>
      <c r="AC1947" s="4" t="s">
        <v>2272</v>
      </c>
      <c r="AD1947" s="198"/>
      <c r="AE1947" s="198"/>
    </row>
    <row r="1948" spans="1:31" ht="25.5" customHeight="1">
      <c r="A1948" s="198" t="s">
        <v>5593</v>
      </c>
      <c r="B1948" s="198" t="s">
        <v>5603</v>
      </c>
      <c r="C1948" s="198" t="s">
        <v>2453</v>
      </c>
      <c r="D1948" s="198" t="s">
        <v>141</v>
      </c>
      <c r="E1948" s="198" t="s">
        <v>44</v>
      </c>
      <c r="F1948" s="4" t="s">
        <v>28</v>
      </c>
      <c r="G1948" s="4" t="s">
        <v>2272</v>
      </c>
      <c r="H1948" s="198" t="s">
        <v>521</v>
      </c>
      <c r="I1948" s="198"/>
      <c r="J1948" s="4" t="s">
        <v>2272</v>
      </c>
      <c r="K1948" s="4" t="s">
        <v>2272</v>
      </c>
      <c r="L1948" s="4" t="s">
        <v>2272</v>
      </c>
      <c r="M1948" s="4" t="s">
        <v>2272</v>
      </c>
      <c r="N1948" s="4" t="s">
        <v>2272</v>
      </c>
      <c r="O1948" s="4" t="s">
        <v>2272</v>
      </c>
      <c r="P1948" s="4" t="s">
        <v>2272</v>
      </c>
      <c r="Q1948" s="4" t="s">
        <v>2272</v>
      </c>
      <c r="R1948" s="4" t="s">
        <v>2272</v>
      </c>
      <c r="S1948" s="4" t="s">
        <v>2272</v>
      </c>
      <c r="T1948" s="4" t="s">
        <v>2272</v>
      </c>
      <c r="U1948" s="4" t="s">
        <v>2272</v>
      </c>
      <c r="V1948" s="4" t="s">
        <v>2272</v>
      </c>
      <c r="W1948" s="4" t="s">
        <v>2272</v>
      </c>
      <c r="X1948" s="4" t="s">
        <v>2272</v>
      </c>
      <c r="Y1948" s="4" t="s">
        <v>2272</v>
      </c>
      <c r="Z1948" s="4" t="s">
        <v>2272</v>
      </c>
      <c r="AA1948" s="4" t="s">
        <v>2272</v>
      </c>
      <c r="AB1948" s="4" t="s">
        <v>2272</v>
      </c>
      <c r="AC1948" s="4" t="s">
        <v>2272</v>
      </c>
      <c r="AD1948" s="198"/>
      <c r="AE1948" s="198"/>
    </row>
    <row r="1949" spans="1:31" ht="32.5" customHeight="1">
      <c r="A1949" s="198" t="s">
        <v>5594</v>
      </c>
      <c r="B1949" s="198" t="s">
        <v>5604</v>
      </c>
      <c r="C1949" s="198" t="s">
        <v>2453</v>
      </c>
      <c r="D1949" s="198" t="s">
        <v>141</v>
      </c>
      <c r="E1949" s="198" t="s">
        <v>44</v>
      </c>
      <c r="F1949" s="4" t="s">
        <v>28</v>
      </c>
      <c r="G1949" s="4" t="s">
        <v>2272</v>
      </c>
      <c r="H1949" s="198" t="s">
        <v>521</v>
      </c>
      <c r="I1949" s="198"/>
      <c r="J1949" s="4" t="s">
        <v>2272</v>
      </c>
      <c r="K1949" s="4" t="s">
        <v>2272</v>
      </c>
      <c r="L1949" s="4" t="s">
        <v>2272</v>
      </c>
      <c r="M1949" s="4" t="s">
        <v>2272</v>
      </c>
      <c r="N1949" s="4" t="s">
        <v>2272</v>
      </c>
      <c r="O1949" s="4" t="s">
        <v>2272</v>
      </c>
      <c r="P1949" s="4" t="s">
        <v>2272</v>
      </c>
      <c r="Q1949" s="4" t="s">
        <v>2272</v>
      </c>
      <c r="R1949" s="4" t="s">
        <v>2272</v>
      </c>
      <c r="S1949" s="4" t="s">
        <v>2272</v>
      </c>
      <c r="T1949" s="4" t="s">
        <v>2272</v>
      </c>
      <c r="U1949" s="4" t="s">
        <v>2272</v>
      </c>
      <c r="V1949" s="4" t="s">
        <v>2272</v>
      </c>
      <c r="W1949" s="4" t="s">
        <v>2272</v>
      </c>
      <c r="X1949" s="4" t="s">
        <v>2272</v>
      </c>
      <c r="Y1949" s="4" t="s">
        <v>2272</v>
      </c>
      <c r="Z1949" s="4" t="s">
        <v>2272</v>
      </c>
      <c r="AA1949" s="4" t="s">
        <v>2272</v>
      </c>
      <c r="AB1949" s="4" t="s">
        <v>2272</v>
      </c>
      <c r="AC1949" s="4" t="s">
        <v>2272</v>
      </c>
      <c r="AD1949" s="198"/>
      <c r="AE1949" s="198"/>
    </row>
    <row r="1950" spans="1:31" ht="93.5" customHeight="1">
      <c r="A1950" s="198" t="s">
        <v>5593</v>
      </c>
      <c r="B1950" s="198" t="s">
        <v>5605</v>
      </c>
      <c r="C1950" s="198" t="s">
        <v>2453</v>
      </c>
      <c r="D1950" s="198" t="s">
        <v>2272</v>
      </c>
      <c r="E1950" s="198" t="s">
        <v>44</v>
      </c>
      <c r="F1950" s="4" t="s">
        <v>28</v>
      </c>
      <c r="G1950" s="4" t="s">
        <v>2272</v>
      </c>
      <c r="H1950" s="198" t="s">
        <v>521</v>
      </c>
      <c r="I1950" s="198"/>
      <c r="J1950" s="4" t="s">
        <v>2272</v>
      </c>
      <c r="K1950" s="4" t="s">
        <v>2272</v>
      </c>
      <c r="L1950" s="4" t="s">
        <v>2272</v>
      </c>
      <c r="M1950" s="4" t="s">
        <v>2272</v>
      </c>
      <c r="N1950" s="4" t="s">
        <v>2272</v>
      </c>
      <c r="O1950" s="4" t="s">
        <v>2272</v>
      </c>
      <c r="P1950" s="4" t="s">
        <v>2272</v>
      </c>
      <c r="Q1950" s="4" t="s">
        <v>2272</v>
      </c>
      <c r="R1950" s="4" t="s">
        <v>2272</v>
      </c>
      <c r="S1950" s="4" t="s">
        <v>2272</v>
      </c>
      <c r="T1950" s="4" t="s">
        <v>2272</v>
      </c>
      <c r="U1950" s="4" t="s">
        <v>2272</v>
      </c>
      <c r="V1950" s="4" t="s">
        <v>2272</v>
      </c>
      <c r="W1950" s="4" t="s">
        <v>2272</v>
      </c>
      <c r="X1950" s="4" t="s">
        <v>2272</v>
      </c>
      <c r="Y1950" s="4" t="s">
        <v>2272</v>
      </c>
      <c r="Z1950" s="4" t="s">
        <v>2272</v>
      </c>
      <c r="AA1950" s="4" t="s">
        <v>2272</v>
      </c>
      <c r="AB1950" s="4" t="s">
        <v>2272</v>
      </c>
      <c r="AC1950" s="4" t="s">
        <v>2272</v>
      </c>
      <c r="AD1950" s="4" t="s">
        <v>5608</v>
      </c>
      <c r="AE1950" s="4" t="s">
        <v>5607</v>
      </c>
    </row>
    <row r="1951" spans="1:31" ht="93.5" customHeight="1">
      <c r="A1951" s="198" t="s">
        <v>5594</v>
      </c>
      <c r="B1951" s="198" t="s">
        <v>5606</v>
      </c>
      <c r="C1951" s="198" t="s">
        <v>2453</v>
      </c>
      <c r="D1951" s="198" t="s">
        <v>2272</v>
      </c>
      <c r="E1951" s="198" t="s">
        <v>44</v>
      </c>
      <c r="F1951" s="4" t="s">
        <v>28</v>
      </c>
      <c r="G1951" s="4" t="s">
        <v>2272</v>
      </c>
      <c r="H1951" s="198" t="s">
        <v>521</v>
      </c>
      <c r="I1951" s="198"/>
      <c r="J1951" s="4" t="s">
        <v>2272</v>
      </c>
      <c r="K1951" s="4" t="s">
        <v>2272</v>
      </c>
      <c r="L1951" s="4" t="s">
        <v>2272</v>
      </c>
      <c r="M1951" s="4" t="s">
        <v>2272</v>
      </c>
      <c r="N1951" s="4" t="s">
        <v>2272</v>
      </c>
      <c r="O1951" s="4" t="s">
        <v>2272</v>
      </c>
      <c r="P1951" s="4" t="s">
        <v>2272</v>
      </c>
      <c r="Q1951" s="4" t="s">
        <v>2272</v>
      </c>
      <c r="R1951" s="4" t="s">
        <v>2272</v>
      </c>
      <c r="S1951" s="4" t="s">
        <v>2272</v>
      </c>
      <c r="T1951" s="4" t="s">
        <v>2272</v>
      </c>
      <c r="U1951" s="4" t="s">
        <v>2272</v>
      </c>
      <c r="V1951" s="4" t="s">
        <v>2272</v>
      </c>
      <c r="W1951" s="4" t="s">
        <v>2272</v>
      </c>
      <c r="X1951" s="4" t="s">
        <v>2272</v>
      </c>
      <c r="Y1951" s="4" t="s">
        <v>2272</v>
      </c>
      <c r="Z1951" s="4" t="s">
        <v>2272</v>
      </c>
      <c r="AA1951" s="4" t="s">
        <v>2272</v>
      </c>
      <c r="AB1951" s="4" t="s">
        <v>2272</v>
      </c>
      <c r="AC1951" s="4" t="s">
        <v>2272</v>
      </c>
      <c r="AD1951" s="4" t="s">
        <v>5608</v>
      </c>
      <c r="AE1951" s="4" t="s">
        <v>5607</v>
      </c>
    </row>
    <row r="1952" spans="1:31" ht="31" customHeight="1">
      <c r="A1952" s="198" t="s">
        <v>5594</v>
      </c>
      <c r="B1952" s="198" t="s">
        <v>5612</v>
      </c>
      <c r="C1952" s="198" t="s">
        <v>30</v>
      </c>
      <c r="D1952" s="198" t="s">
        <v>29</v>
      </c>
      <c r="E1952" s="198" t="s">
        <v>2272</v>
      </c>
      <c r="F1952" s="198" t="s">
        <v>2272</v>
      </c>
      <c r="G1952" s="198" t="s">
        <v>2272</v>
      </c>
      <c r="H1952" s="198" t="s">
        <v>521</v>
      </c>
      <c r="I1952" s="198"/>
      <c r="J1952" s="4" t="s">
        <v>2272</v>
      </c>
      <c r="K1952" s="4" t="s">
        <v>2272</v>
      </c>
      <c r="L1952" s="4" t="s">
        <v>2272</v>
      </c>
      <c r="M1952" s="4" t="s">
        <v>2272</v>
      </c>
      <c r="N1952" s="4" t="s">
        <v>2272</v>
      </c>
      <c r="O1952" s="4" t="s">
        <v>2272</v>
      </c>
      <c r="P1952" s="4" t="s">
        <v>2272</v>
      </c>
      <c r="Q1952" s="4" t="s">
        <v>2272</v>
      </c>
      <c r="R1952" s="4" t="s">
        <v>2272</v>
      </c>
      <c r="S1952" s="4" t="s">
        <v>2272</v>
      </c>
      <c r="T1952" s="4" t="s">
        <v>2272</v>
      </c>
      <c r="U1952" s="4" t="s">
        <v>2272</v>
      </c>
      <c r="V1952" s="4" t="s">
        <v>2272</v>
      </c>
      <c r="W1952" s="4" t="s">
        <v>2272</v>
      </c>
      <c r="X1952" s="4" t="s">
        <v>2272</v>
      </c>
      <c r="Y1952" s="4" t="s">
        <v>2272</v>
      </c>
      <c r="Z1952" s="4" t="s">
        <v>2272</v>
      </c>
      <c r="AA1952" s="4" t="s">
        <v>2272</v>
      </c>
      <c r="AB1952" s="4" t="s">
        <v>2272</v>
      </c>
      <c r="AC1952" s="4" t="s">
        <v>2272</v>
      </c>
      <c r="AD1952" s="198"/>
      <c r="AE1952" s="198"/>
    </row>
    <row r="1953" spans="1:31" ht="31" customHeight="1">
      <c r="A1953" s="198" t="s">
        <v>5594</v>
      </c>
      <c r="B1953" s="198" t="s">
        <v>5613</v>
      </c>
      <c r="C1953" s="198" t="s">
        <v>23</v>
      </c>
      <c r="D1953" s="198" t="s">
        <v>2342</v>
      </c>
      <c r="E1953" s="198" t="s">
        <v>2272</v>
      </c>
      <c r="F1953" s="198" t="s">
        <v>2272</v>
      </c>
      <c r="G1953" s="198" t="s">
        <v>2272</v>
      </c>
      <c r="H1953" s="198" t="s">
        <v>521</v>
      </c>
      <c r="I1953" s="198"/>
      <c r="J1953" s="4" t="s">
        <v>2272</v>
      </c>
      <c r="K1953" s="4" t="s">
        <v>2272</v>
      </c>
      <c r="L1953" s="4" t="s">
        <v>2272</v>
      </c>
      <c r="M1953" s="4" t="s">
        <v>2272</v>
      </c>
      <c r="N1953" s="4" t="s">
        <v>2272</v>
      </c>
      <c r="O1953" s="4" t="s">
        <v>2272</v>
      </c>
      <c r="P1953" s="4" t="s">
        <v>2272</v>
      </c>
      <c r="Q1953" s="4" t="s">
        <v>2272</v>
      </c>
      <c r="R1953" s="4" t="s">
        <v>2272</v>
      </c>
      <c r="S1953" s="4" t="s">
        <v>2272</v>
      </c>
      <c r="T1953" s="4" t="s">
        <v>2272</v>
      </c>
      <c r="U1953" s="4" t="s">
        <v>2272</v>
      </c>
      <c r="V1953" s="4" t="s">
        <v>2272</v>
      </c>
      <c r="W1953" s="4" t="s">
        <v>2272</v>
      </c>
      <c r="X1953" s="4" t="s">
        <v>2272</v>
      </c>
      <c r="Y1953" s="4" t="s">
        <v>2272</v>
      </c>
      <c r="Z1953" s="4" t="s">
        <v>2272</v>
      </c>
      <c r="AA1953" s="4" t="s">
        <v>2272</v>
      </c>
      <c r="AB1953" s="4" t="s">
        <v>2272</v>
      </c>
      <c r="AC1953" s="4" t="s">
        <v>2272</v>
      </c>
      <c r="AD1953" s="198"/>
      <c r="AE1953" s="198"/>
    </row>
    <row r="1954" spans="1:31" ht="31" customHeight="1">
      <c r="A1954" s="198" t="s">
        <v>5594</v>
      </c>
      <c r="B1954" s="198" t="s">
        <v>5614</v>
      </c>
      <c r="C1954" s="198" t="s">
        <v>23</v>
      </c>
      <c r="D1954" s="198" t="s">
        <v>2989</v>
      </c>
      <c r="E1954" s="198" t="s">
        <v>2272</v>
      </c>
      <c r="F1954" s="198" t="s">
        <v>2272</v>
      </c>
      <c r="G1954" s="198" t="s">
        <v>2272</v>
      </c>
      <c r="H1954" s="198" t="s">
        <v>521</v>
      </c>
      <c r="I1954" s="198"/>
      <c r="J1954" s="4" t="s">
        <v>2272</v>
      </c>
      <c r="K1954" s="4" t="s">
        <v>2272</v>
      </c>
      <c r="L1954" s="4" t="s">
        <v>2272</v>
      </c>
      <c r="M1954" s="4" t="s">
        <v>2272</v>
      </c>
      <c r="N1954" s="4" t="s">
        <v>2272</v>
      </c>
      <c r="O1954" s="4" t="s">
        <v>2272</v>
      </c>
      <c r="P1954" s="4" t="s">
        <v>2272</v>
      </c>
      <c r="Q1954" s="4" t="s">
        <v>2272</v>
      </c>
      <c r="R1954" s="4" t="s">
        <v>2272</v>
      </c>
      <c r="S1954" s="4" t="s">
        <v>2272</v>
      </c>
      <c r="T1954" s="4" t="s">
        <v>2272</v>
      </c>
      <c r="U1954" s="4" t="s">
        <v>2272</v>
      </c>
      <c r="V1954" s="4" t="s">
        <v>2272</v>
      </c>
      <c r="W1954" s="4" t="s">
        <v>2272</v>
      </c>
      <c r="X1954" s="4" t="s">
        <v>2272</v>
      </c>
      <c r="Y1954" s="4" t="s">
        <v>2272</v>
      </c>
      <c r="Z1954" s="4" t="s">
        <v>2272</v>
      </c>
      <c r="AA1954" s="4" t="s">
        <v>2272</v>
      </c>
      <c r="AB1954" s="4" t="s">
        <v>2272</v>
      </c>
      <c r="AC1954" s="4" t="s">
        <v>2272</v>
      </c>
      <c r="AD1954" s="198"/>
      <c r="AE1954" s="198"/>
    </row>
    <row r="1955" spans="1:31" ht="39" customHeight="1">
      <c r="A1955" s="198" t="s">
        <v>5619</v>
      </c>
      <c r="B1955" s="198" t="s">
        <v>5626</v>
      </c>
      <c r="C1955" s="198" t="s">
        <v>23</v>
      </c>
      <c r="D1955" s="198" t="s">
        <v>26</v>
      </c>
      <c r="E1955" s="198" t="s">
        <v>128</v>
      </c>
      <c r="F1955" s="4" t="s">
        <v>158</v>
      </c>
      <c r="G1955" s="198" t="s">
        <v>2272</v>
      </c>
      <c r="H1955" s="198" t="s">
        <v>521</v>
      </c>
      <c r="I1955" s="198"/>
      <c r="J1955" s="4" t="s">
        <v>2272</v>
      </c>
      <c r="K1955" s="4" t="s">
        <v>2272</v>
      </c>
      <c r="L1955" s="4" t="s">
        <v>2272</v>
      </c>
      <c r="M1955" s="4" t="s">
        <v>2272</v>
      </c>
      <c r="N1955" s="4" t="s">
        <v>2272</v>
      </c>
      <c r="O1955" s="4" t="s">
        <v>2272</v>
      </c>
      <c r="P1955" s="4" t="s">
        <v>2272</v>
      </c>
      <c r="Q1955" s="4" t="s">
        <v>2272</v>
      </c>
      <c r="R1955" s="4" t="s">
        <v>2272</v>
      </c>
      <c r="S1955" s="4" t="s">
        <v>2272</v>
      </c>
      <c r="T1955" s="4" t="s">
        <v>2272</v>
      </c>
      <c r="U1955" s="4" t="s">
        <v>2272</v>
      </c>
      <c r="V1955" s="4" t="s">
        <v>2272</v>
      </c>
      <c r="W1955" s="4" t="s">
        <v>2272</v>
      </c>
      <c r="X1955" s="4" t="s">
        <v>2272</v>
      </c>
      <c r="Y1955" s="4" t="s">
        <v>2272</v>
      </c>
      <c r="Z1955" s="4" t="s">
        <v>2272</v>
      </c>
      <c r="AA1955" s="4" t="s">
        <v>2272</v>
      </c>
      <c r="AB1955" s="4" t="s">
        <v>2272</v>
      </c>
      <c r="AC1955" s="4" t="s">
        <v>2272</v>
      </c>
      <c r="AD1955" s="198" t="s">
        <v>5638</v>
      </c>
      <c r="AE1955" s="198"/>
    </row>
    <row r="1956" spans="1:31" ht="39" customHeight="1">
      <c r="A1956" s="198" t="s">
        <v>5623</v>
      </c>
      <c r="B1956" s="198" t="s">
        <v>5627</v>
      </c>
      <c r="C1956" s="198" t="s">
        <v>23</v>
      </c>
      <c r="D1956" s="198" t="s">
        <v>26</v>
      </c>
      <c r="E1956" s="198" t="s">
        <v>128</v>
      </c>
      <c r="F1956" s="4" t="s">
        <v>158</v>
      </c>
      <c r="G1956" s="198" t="s">
        <v>2272</v>
      </c>
      <c r="H1956" s="198" t="s">
        <v>521</v>
      </c>
      <c r="I1956" s="198"/>
      <c r="J1956" s="4" t="s">
        <v>2272</v>
      </c>
      <c r="K1956" s="4" t="s">
        <v>2272</v>
      </c>
      <c r="L1956" s="4" t="s">
        <v>2272</v>
      </c>
      <c r="M1956" s="4" t="s">
        <v>2272</v>
      </c>
      <c r="N1956" s="4" t="s">
        <v>2272</v>
      </c>
      <c r="O1956" s="4" t="s">
        <v>2272</v>
      </c>
      <c r="P1956" s="4" t="s">
        <v>2272</v>
      </c>
      <c r="Q1956" s="4" t="s">
        <v>2272</v>
      </c>
      <c r="R1956" s="4" t="s">
        <v>2272</v>
      </c>
      <c r="S1956" s="4" t="s">
        <v>2272</v>
      </c>
      <c r="T1956" s="4" t="s">
        <v>2272</v>
      </c>
      <c r="U1956" s="4" t="s">
        <v>2272</v>
      </c>
      <c r="V1956" s="4" t="s">
        <v>2272</v>
      </c>
      <c r="W1956" s="4" t="s">
        <v>2272</v>
      </c>
      <c r="X1956" s="4" t="s">
        <v>2272</v>
      </c>
      <c r="Y1956" s="4" t="s">
        <v>2272</v>
      </c>
      <c r="Z1956" s="4" t="s">
        <v>2272</v>
      </c>
      <c r="AA1956" s="4" t="s">
        <v>2272</v>
      </c>
      <c r="AB1956" s="4" t="s">
        <v>2272</v>
      </c>
      <c r="AC1956" s="4" t="s">
        <v>2272</v>
      </c>
      <c r="AD1956" s="198" t="s">
        <v>5638</v>
      </c>
      <c r="AE1956" s="198"/>
    </row>
    <row r="1957" spans="1:31" ht="39" customHeight="1">
      <c r="A1957" s="198" t="s">
        <v>5624</v>
      </c>
      <c r="B1957" s="198" t="s">
        <v>5628</v>
      </c>
      <c r="C1957" s="198" t="s">
        <v>23</v>
      </c>
      <c r="D1957" s="198" t="s">
        <v>26</v>
      </c>
      <c r="E1957" s="198" t="s">
        <v>128</v>
      </c>
      <c r="F1957" s="4" t="s">
        <v>158</v>
      </c>
      <c r="G1957" s="198" t="s">
        <v>2272</v>
      </c>
      <c r="H1957" s="198" t="s">
        <v>521</v>
      </c>
      <c r="I1957" s="198"/>
      <c r="J1957" s="4" t="s">
        <v>2272</v>
      </c>
      <c r="K1957" s="4" t="s">
        <v>2272</v>
      </c>
      <c r="L1957" s="4" t="s">
        <v>2272</v>
      </c>
      <c r="M1957" s="4" t="s">
        <v>2272</v>
      </c>
      <c r="N1957" s="4" t="s">
        <v>2272</v>
      </c>
      <c r="O1957" s="4" t="s">
        <v>2272</v>
      </c>
      <c r="P1957" s="4" t="s">
        <v>2272</v>
      </c>
      <c r="Q1957" s="4" t="s">
        <v>2272</v>
      </c>
      <c r="R1957" s="4" t="s">
        <v>2272</v>
      </c>
      <c r="S1957" s="4" t="s">
        <v>2272</v>
      </c>
      <c r="T1957" s="4" t="s">
        <v>2272</v>
      </c>
      <c r="U1957" s="4" t="s">
        <v>2272</v>
      </c>
      <c r="V1957" s="4" t="s">
        <v>2272</v>
      </c>
      <c r="W1957" s="4" t="s">
        <v>2272</v>
      </c>
      <c r="X1957" s="4" t="s">
        <v>2272</v>
      </c>
      <c r="Y1957" s="4" t="s">
        <v>2272</v>
      </c>
      <c r="Z1957" s="4" t="s">
        <v>2272</v>
      </c>
      <c r="AA1957" s="4" t="s">
        <v>2272</v>
      </c>
      <c r="AB1957" s="4" t="s">
        <v>2272</v>
      </c>
      <c r="AC1957" s="4" t="s">
        <v>2272</v>
      </c>
      <c r="AD1957" s="198" t="s">
        <v>5638</v>
      </c>
      <c r="AE1957" s="198"/>
    </row>
    <row r="1958" spans="1:31" ht="39" customHeight="1">
      <c r="A1958" s="198" t="s">
        <v>5625</v>
      </c>
      <c r="B1958" s="198" t="s">
        <v>5629</v>
      </c>
      <c r="C1958" s="198" t="s">
        <v>23</v>
      </c>
      <c r="D1958" s="198" t="s">
        <v>26</v>
      </c>
      <c r="E1958" s="198" t="s">
        <v>128</v>
      </c>
      <c r="F1958" s="4" t="s">
        <v>158</v>
      </c>
      <c r="G1958" s="198" t="s">
        <v>2272</v>
      </c>
      <c r="H1958" s="198" t="s">
        <v>521</v>
      </c>
      <c r="I1958" s="198"/>
      <c r="J1958" s="4" t="s">
        <v>2272</v>
      </c>
      <c r="K1958" s="4" t="s">
        <v>2272</v>
      </c>
      <c r="L1958" s="4" t="s">
        <v>2272</v>
      </c>
      <c r="M1958" s="4" t="s">
        <v>2272</v>
      </c>
      <c r="N1958" s="4" t="s">
        <v>2272</v>
      </c>
      <c r="O1958" s="4" t="s">
        <v>2272</v>
      </c>
      <c r="P1958" s="4" t="s">
        <v>2272</v>
      </c>
      <c r="Q1958" s="4" t="s">
        <v>2272</v>
      </c>
      <c r="R1958" s="4" t="s">
        <v>2272</v>
      </c>
      <c r="S1958" s="4" t="s">
        <v>2272</v>
      </c>
      <c r="T1958" s="4" t="s">
        <v>2272</v>
      </c>
      <c r="U1958" s="4" t="s">
        <v>2272</v>
      </c>
      <c r="V1958" s="4" t="s">
        <v>2272</v>
      </c>
      <c r="W1958" s="4" t="s">
        <v>2272</v>
      </c>
      <c r="X1958" s="4" t="s">
        <v>2272</v>
      </c>
      <c r="Y1958" s="4" t="s">
        <v>2272</v>
      </c>
      <c r="Z1958" s="4" t="s">
        <v>2272</v>
      </c>
      <c r="AA1958" s="4" t="s">
        <v>2272</v>
      </c>
      <c r="AB1958" s="4" t="s">
        <v>2272</v>
      </c>
      <c r="AC1958" s="4" t="s">
        <v>2272</v>
      </c>
      <c r="AD1958" s="198" t="s">
        <v>5638</v>
      </c>
      <c r="AE1958" s="198"/>
    </row>
    <row r="1959" spans="1:31" ht="39" customHeight="1">
      <c r="A1959" s="198" t="s">
        <v>5619</v>
      </c>
      <c r="B1959" s="198" t="s">
        <v>5630</v>
      </c>
      <c r="C1959" s="198" t="s">
        <v>23</v>
      </c>
      <c r="D1959" s="198" t="s">
        <v>24</v>
      </c>
      <c r="E1959" s="198" t="s">
        <v>44</v>
      </c>
      <c r="F1959" s="4" t="s">
        <v>28</v>
      </c>
      <c r="G1959" s="198" t="s">
        <v>2272</v>
      </c>
      <c r="H1959" s="198" t="s">
        <v>521</v>
      </c>
      <c r="I1959" s="198"/>
      <c r="J1959" s="4" t="s">
        <v>2272</v>
      </c>
      <c r="K1959" s="4" t="s">
        <v>2272</v>
      </c>
      <c r="L1959" s="4" t="s">
        <v>2272</v>
      </c>
      <c r="M1959" s="4" t="s">
        <v>2272</v>
      </c>
      <c r="N1959" s="4" t="s">
        <v>2272</v>
      </c>
      <c r="O1959" s="4" t="s">
        <v>2272</v>
      </c>
      <c r="P1959" s="4" t="s">
        <v>2272</v>
      </c>
      <c r="Q1959" s="4" t="s">
        <v>2272</v>
      </c>
      <c r="R1959" s="4" t="s">
        <v>2272</v>
      </c>
      <c r="S1959" s="4" t="s">
        <v>2272</v>
      </c>
      <c r="T1959" s="4" t="s">
        <v>2272</v>
      </c>
      <c r="U1959" s="4" t="s">
        <v>2272</v>
      </c>
      <c r="V1959" s="4" t="s">
        <v>2272</v>
      </c>
      <c r="W1959" s="4" t="s">
        <v>2272</v>
      </c>
      <c r="X1959" s="4" t="s">
        <v>2272</v>
      </c>
      <c r="Y1959" s="4" t="s">
        <v>2272</v>
      </c>
      <c r="Z1959" s="4" t="s">
        <v>2272</v>
      </c>
      <c r="AA1959" s="4" t="s">
        <v>2272</v>
      </c>
      <c r="AB1959" s="4" t="s">
        <v>2272</v>
      </c>
      <c r="AC1959" s="4" t="s">
        <v>2272</v>
      </c>
      <c r="AD1959" s="198" t="s">
        <v>5639</v>
      </c>
      <c r="AE1959" s="198"/>
    </row>
    <row r="1960" spans="1:31" ht="39" customHeight="1">
      <c r="A1960" s="198" t="s">
        <v>5623</v>
      </c>
      <c r="B1960" s="198" t="s">
        <v>5631</v>
      </c>
      <c r="C1960" s="198" t="s">
        <v>23</v>
      </c>
      <c r="D1960" s="198" t="s">
        <v>24</v>
      </c>
      <c r="E1960" s="198" t="s">
        <v>44</v>
      </c>
      <c r="F1960" s="4" t="s">
        <v>28</v>
      </c>
      <c r="G1960" s="198" t="s">
        <v>2272</v>
      </c>
      <c r="H1960" s="198" t="s">
        <v>521</v>
      </c>
      <c r="I1960" s="198"/>
      <c r="J1960" s="4" t="s">
        <v>2272</v>
      </c>
      <c r="K1960" s="4" t="s">
        <v>2272</v>
      </c>
      <c r="L1960" s="4" t="s">
        <v>2272</v>
      </c>
      <c r="M1960" s="4" t="s">
        <v>2272</v>
      </c>
      <c r="N1960" s="4" t="s">
        <v>2272</v>
      </c>
      <c r="O1960" s="4" t="s">
        <v>2272</v>
      </c>
      <c r="P1960" s="4" t="s">
        <v>2272</v>
      </c>
      <c r="Q1960" s="4" t="s">
        <v>2272</v>
      </c>
      <c r="R1960" s="4" t="s">
        <v>2272</v>
      </c>
      <c r="S1960" s="4" t="s">
        <v>2272</v>
      </c>
      <c r="T1960" s="4" t="s">
        <v>2272</v>
      </c>
      <c r="U1960" s="4" t="s">
        <v>2272</v>
      </c>
      <c r="V1960" s="4" t="s">
        <v>2272</v>
      </c>
      <c r="W1960" s="4" t="s">
        <v>2272</v>
      </c>
      <c r="X1960" s="4" t="s">
        <v>2272</v>
      </c>
      <c r="Y1960" s="4" t="s">
        <v>2272</v>
      </c>
      <c r="Z1960" s="4" t="s">
        <v>2272</v>
      </c>
      <c r="AA1960" s="4" t="s">
        <v>2272</v>
      </c>
      <c r="AB1960" s="4" t="s">
        <v>2272</v>
      </c>
      <c r="AC1960" s="4" t="s">
        <v>2272</v>
      </c>
      <c r="AD1960" s="198" t="s">
        <v>5639</v>
      </c>
      <c r="AE1960" s="198"/>
    </row>
    <row r="1961" spans="1:31" ht="39" customHeight="1">
      <c r="A1961" s="198" t="s">
        <v>5624</v>
      </c>
      <c r="B1961" s="198" t="s">
        <v>5632</v>
      </c>
      <c r="C1961" s="198" t="s">
        <v>23</v>
      </c>
      <c r="D1961" s="198" t="s">
        <v>24</v>
      </c>
      <c r="E1961" s="198" t="s">
        <v>44</v>
      </c>
      <c r="F1961" s="4" t="s">
        <v>28</v>
      </c>
      <c r="G1961" s="198" t="s">
        <v>2272</v>
      </c>
      <c r="H1961" s="198" t="s">
        <v>521</v>
      </c>
      <c r="I1961" s="198"/>
      <c r="J1961" s="4" t="s">
        <v>2272</v>
      </c>
      <c r="K1961" s="4" t="s">
        <v>2272</v>
      </c>
      <c r="L1961" s="4" t="s">
        <v>2272</v>
      </c>
      <c r="M1961" s="4" t="s">
        <v>2272</v>
      </c>
      <c r="N1961" s="4" t="s">
        <v>2272</v>
      </c>
      <c r="O1961" s="4" t="s">
        <v>2272</v>
      </c>
      <c r="P1961" s="4" t="s">
        <v>2272</v>
      </c>
      <c r="Q1961" s="4" t="s">
        <v>2272</v>
      </c>
      <c r="R1961" s="4" t="s">
        <v>2272</v>
      </c>
      <c r="S1961" s="4" t="s">
        <v>2272</v>
      </c>
      <c r="T1961" s="4" t="s">
        <v>2272</v>
      </c>
      <c r="U1961" s="4" t="s">
        <v>2272</v>
      </c>
      <c r="V1961" s="4" t="s">
        <v>2272</v>
      </c>
      <c r="W1961" s="4" t="s">
        <v>2272</v>
      </c>
      <c r="X1961" s="4" t="s">
        <v>2272</v>
      </c>
      <c r="Y1961" s="4" t="s">
        <v>2272</v>
      </c>
      <c r="Z1961" s="4" t="s">
        <v>2272</v>
      </c>
      <c r="AA1961" s="4" t="s">
        <v>2272</v>
      </c>
      <c r="AB1961" s="4" t="s">
        <v>2272</v>
      </c>
      <c r="AC1961" s="4" t="s">
        <v>2272</v>
      </c>
      <c r="AD1961" s="198" t="s">
        <v>5639</v>
      </c>
      <c r="AE1961" s="198"/>
    </row>
    <row r="1962" spans="1:31" ht="39" customHeight="1">
      <c r="A1962" s="198" t="s">
        <v>5625</v>
      </c>
      <c r="B1962" s="198" t="s">
        <v>5633</v>
      </c>
      <c r="C1962" s="198" t="s">
        <v>23</v>
      </c>
      <c r="D1962" s="198" t="s">
        <v>24</v>
      </c>
      <c r="E1962" s="198" t="s">
        <v>44</v>
      </c>
      <c r="F1962" s="4" t="s">
        <v>28</v>
      </c>
      <c r="G1962" s="198" t="s">
        <v>2272</v>
      </c>
      <c r="H1962" s="198" t="s">
        <v>521</v>
      </c>
      <c r="I1962" s="198"/>
      <c r="J1962" s="4" t="s">
        <v>2272</v>
      </c>
      <c r="K1962" s="4" t="s">
        <v>2272</v>
      </c>
      <c r="L1962" s="4" t="s">
        <v>2272</v>
      </c>
      <c r="M1962" s="4" t="s">
        <v>2272</v>
      </c>
      <c r="N1962" s="4" t="s">
        <v>2272</v>
      </c>
      <c r="O1962" s="4" t="s">
        <v>2272</v>
      </c>
      <c r="P1962" s="4" t="s">
        <v>2272</v>
      </c>
      <c r="Q1962" s="4" t="s">
        <v>2272</v>
      </c>
      <c r="R1962" s="4" t="s">
        <v>2272</v>
      </c>
      <c r="S1962" s="4" t="s">
        <v>2272</v>
      </c>
      <c r="T1962" s="4" t="s">
        <v>2272</v>
      </c>
      <c r="U1962" s="4" t="s">
        <v>2272</v>
      </c>
      <c r="V1962" s="4" t="s">
        <v>2272</v>
      </c>
      <c r="W1962" s="4" t="s">
        <v>2272</v>
      </c>
      <c r="X1962" s="4" t="s">
        <v>2272</v>
      </c>
      <c r="Y1962" s="4" t="s">
        <v>2272</v>
      </c>
      <c r="Z1962" s="4" t="s">
        <v>2272</v>
      </c>
      <c r="AA1962" s="4" t="s">
        <v>2272</v>
      </c>
      <c r="AB1962" s="4" t="s">
        <v>2272</v>
      </c>
      <c r="AC1962" s="4" t="s">
        <v>2272</v>
      </c>
      <c r="AD1962" s="198" t="s">
        <v>5639</v>
      </c>
      <c r="AE1962" s="198"/>
    </row>
    <row r="1963" spans="1:31" ht="84.5" customHeight="1">
      <c r="A1963" s="198" t="s">
        <v>5619</v>
      </c>
      <c r="B1963" s="198" t="s">
        <v>5634</v>
      </c>
      <c r="C1963" s="198" t="s">
        <v>2453</v>
      </c>
      <c r="D1963" s="198" t="s">
        <v>2272</v>
      </c>
      <c r="E1963" s="198" t="s">
        <v>2272</v>
      </c>
      <c r="F1963" s="198" t="s">
        <v>2272</v>
      </c>
      <c r="G1963" s="198" t="s">
        <v>2272</v>
      </c>
      <c r="H1963" s="198" t="s">
        <v>521</v>
      </c>
      <c r="I1963" s="198"/>
      <c r="J1963" s="4" t="s">
        <v>2272</v>
      </c>
      <c r="K1963" s="4" t="s">
        <v>2272</v>
      </c>
      <c r="L1963" s="4" t="s">
        <v>2272</v>
      </c>
      <c r="M1963" s="4" t="s">
        <v>2272</v>
      </c>
      <c r="N1963" s="4" t="s">
        <v>2272</v>
      </c>
      <c r="O1963" s="4" t="s">
        <v>2272</v>
      </c>
      <c r="P1963" s="4" t="s">
        <v>2272</v>
      </c>
      <c r="Q1963" s="4" t="s">
        <v>2272</v>
      </c>
      <c r="R1963" s="4" t="s">
        <v>2272</v>
      </c>
      <c r="S1963" s="4" t="s">
        <v>2272</v>
      </c>
      <c r="T1963" s="4" t="s">
        <v>2272</v>
      </c>
      <c r="U1963" s="4" t="s">
        <v>2272</v>
      </c>
      <c r="V1963" s="4" t="s">
        <v>2272</v>
      </c>
      <c r="W1963" s="4" t="s">
        <v>2272</v>
      </c>
      <c r="X1963" s="4" t="s">
        <v>2272</v>
      </c>
      <c r="Y1963" s="4" t="s">
        <v>2272</v>
      </c>
      <c r="Z1963" s="4" t="s">
        <v>2272</v>
      </c>
      <c r="AA1963" s="4" t="s">
        <v>2272</v>
      </c>
      <c r="AB1963" s="4" t="s">
        <v>2272</v>
      </c>
      <c r="AC1963" s="4" t="s">
        <v>2272</v>
      </c>
      <c r="AD1963" s="4" t="s">
        <v>5640</v>
      </c>
      <c r="AE1963" s="4" t="s">
        <v>5641</v>
      </c>
    </row>
    <row r="1964" spans="1:31" ht="84.5" customHeight="1">
      <c r="A1964" s="198" t="s">
        <v>5623</v>
      </c>
      <c r="B1964" s="198" t="s">
        <v>5635</v>
      </c>
      <c r="C1964" s="198" t="s">
        <v>2453</v>
      </c>
      <c r="D1964" s="198" t="s">
        <v>2272</v>
      </c>
      <c r="E1964" s="198" t="s">
        <v>2272</v>
      </c>
      <c r="F1964" s="198" t="s">
        <v>2272</v>
      </c>
      <c r="G1964" s="198" t="s">
        <v>2272</v>
      </c>
      <c r="H1964" s="198" t="s">
        <v>521</v>
      </c>
      <c r="I1964" s="198"/>
      <c r="J1964" s="4" t="s">
        <v>2272</v>
      </c>
      <c r="K1964" s="4" t="s">
        <v>2272</v>
      </c>
      <c r="L1964" s="4" t="s">
        <v>2272</v>
      </c>
      <c r="M1964" s="4" t="s">
        <v>2272</v>
      </c>
      <c r="N1964" s="4" t="s">
        <v>2272</v>
      </c>
      <c r="O1964" s="4" t="s">
        <v>2272</v>
      </c>
      <c r="P1964" s="4" t="s">
        <v>2272</v>
      </c>
      <c r="Q1964" s="4" t="s">
        <v>2272</v>
      </c>
      <c r="R1964" s="4" t="s">
        <v>2272</v>
      </c>
      <c r="S1964" s="4" t="s">
        <v>2272</v>
      </c>
      <c r="T1964" s="4" t="s">
        <v>2272</v>
      </c>
      <c r="U1964" s="4" t="s">
        <v>2272</v>
      </c>
      <c r="V1964" s="4" t="s">
        <v>2272</v>
      </c>
      <c r="W1964" s="4" t="s">
        <v>2272</v>
      </c>
      <c r="X1964" s="4" t="s">
        <v>2272</v>
      </c>
      <c r="Y1964" s="4" t="s">
        <v>2272</v>
      </c>
      <c r="Z1964" s="4" t="s">
        <v>2272</v>
      </c>
      <c r="AA1964" s="4" t="s">
        <v>2272</v>
      </c>
      <c r="AB1964" s="4" t="s">
        <v>2272</v>
      </c>
      <c r="AC1964" s="4" t="s">
        <v>2272</v>
      </c>
      <c r="AD1964" s="4" t="s">
        <v>5640</v>
      </c>
      <c r="AE1964" s="4" t="s">
        <v>5641</v>
      </c>
    </row>
    <row r="1965" spans="1:31" ht="84.5" customHeight="1">
      <c r="A1965" s="198" t="s">
        <v>5624</v>
      </c>
      <c r="B1965" s="198" t="s">
        <v>5636</v>
      </c>
      <c r="C1965" s="198" t="s">
        <v>2453</v>
      </c>
      <c r="D1965" s="198" t="s">
        <v>2272</v>
      </c>
      <c r="E1965" s="198" t="s">
        <v>2272</v>
      </c>
      <c r="F1965" s="198" t="s">
        <v>2272</v>
      </c>
      <c r="G1965" s="198" t="s">
        <v>2272</v>
      </c>
      <c r="H1965" s="198" t="s">
        <v>521</v>
      </c>
      <c r="I1965" s="198"/>
      <c r="J1965" s="4" t="s">
        <v>2272</v>
      </c>
      <c r="K1965" s="4" t="s">
        <v>2272</v>
      </c>
      <c r="L1965" s="4" t="s">
        <v>2272</v>
      </c>
      <c r="M1965" s="4" t="s">
        <v>2272</v>
      </c>
      <c r="N1965" s="4" t="s">
        <v>2272</v>
      </c>
      <c r="O1965" s="4" t="s">
        <v>2272</v>
      </c>
      <c r="P1965" s="4" t="s">
        <v>2272</v>
      </c>
      <c r="Q1965" s="4" t="s">
        <v>2272</v>
      </c>
      <c r="R1965" s="4" t="s">
        <v>2272</v>
      </c>
      <c r="S1965" s="4" t="s">
        <v>2272</v>
      </c>
      <c r="T1965" s="4" t="s">
        <v>2272</v>
      </c>
      <c r="U1965" s="4" t="s">
        <v>2272</v>
      </c>
      <c r="V1965" s="4" t="s">
        <v>2272</v>
      </c>
      <c r="W1965" s="4" t="s">
        <v>2272</v>
      </c>
      <c r="X1965" s="4" t="s">
        <v>2272</v>
      </c>
      <c r="Y1965" s="4" t="s">
        <v>2272</v>
      </c>
      <c r="Z1965" s="4" t="s">
        <v>2272</v>
      </c>
      <c r="AA1965" s="4" t="s">
        <v>2272</v>
      </c>
      <c r="AB1965" s="4" t="s">
        <v>2272</v>
      </c>
      <c r="AC1965" s="4" t="s">
        <v>2272</v>
      </c>
      <c r="AD1965" s="4" t="s">
        <v>5640</v>
      </c>
      <c r="AE1965" s="4" t="s">
        <v>5641</v>
      </c>
    </row>
    <row r="1966" spans="1:31" ht="84.5" customHeight="1">
      <c r="A1966" s="198" t="s">
        <v>5625</v>
      </c>
      <c r="B1966" s="198" t="s">
        <v>5637</v>
      </c>
      <c r="C1966" s="198" t="s">
        <v>2453</v>
      </c>
      <c r="D1966" s="198" t="s">
        <v>2272</v>
      </c>
      <c r="E1966" s="198" t="s">
        <v>2272</v>
      </c>
      <c r="F1966" s="198" t="s">
        <v>2272</v>
      </c>
      <c r="G1966" s="198" t="s">
        <v>2272</v>
      </c>
      <c r="H1966" s="198" t="s">
        <v>521</v>
      </c>
      <c r="I1966" s="198"/>
      <c r="J1966" s="4" t="s">
        <v>2272</v>
      </c>
      <c r="K1966" s="4" t="s">
        <v>2272</v>
      </c>
      <c r="L1966" s="4" t="s">
        <v>2272</v>
      </c>
      <c r="M1966" s="4" t="s">
        <v>2272</v>
      </c>
      <c r="N1966" s="4" t="s">
        <v>2272</v>
      </c>
      <c r="O1966" s="4" t="s">
        <v>2272</v>
      </c>
      <c r="P1966" s="4" t="s">
        <v>2272</v>
      </c>
      <c r="Q1966" s="4" t="s">
        <v>2272</v>
      </c>
      <c r="R1966" s="4" t="s">
        <v>2272</v>
      </c>
      <c r="S1966" s="4" t="s">
        <v>2272</v>
      </c>
      <c r="T1966" s="4" t="s">
        <v>2272</v>
      </c>
      <c r="U1966" s="4" t="s">
        <v>2272</v>
      </c>
      <c r="V1966" s="4" t="s">
        <v>2272</v>
      </c>
      <c r="W1966" s="4" t="s">
        <v>2272</v>
      </c>
      <c r="X1966" s="4" t="s">
        <v>2272</v>
      </c>
      <c r="Y1966" s="4" t="s">
        <v>2272</v>
      </c>
      <c r="Z1966" s="4" t="s">
        <v>2272</v>
      </c>
      <c r="AA1966" s="4" t="s">
        <v>2272</v>
      </c>
      <c r="AB1966" s="4" t="s">
        <v>2272</v>
      </c>
      <c r="AC1966" s="4" t="s">
        <v>2272</v>
      </c>
      <c r="AD1966" s="4" t="s">
        <v>5640</v>
      </c>
      <c r="AE1966" s="4" t="s">
        <v>5641</v>
      </c>
    </row>
    <row r="1967" spans="1:31" ht="54.5" customHeight="1">
      <c r="A1967" s="4" t="s">
        <v>5643</v>
      </c>
      <c r="B1967" s="4" t="s">
        <v>5646</v>
      </c>
      <c r="C1967" s="4" t="s">
        <v>23</v>
      </c>
      <c r="D1967" s="4" t="s">
        <v>2227</v>
      </c>
      <c r="E1967" s="4" t="s">
        <v>128</v>
      </c>
      <c r="F1967" s="4" t="s">
        <v>73</v>
      </c>
      <c r="G1967" s="198" t="s">
        <v>2272</v>
      </c>
      <c r="H1967" s="198" t="s">
        <v>521</v>
      </c>
      <c r="I1967" s="198"/>
      <c r="J1967" s="4" t="s">
        <v>2272</v>
      </c>
      <c r="K1967" s="4" t="s">
        <v>2272</v>
      </c>
      <c r="L1967" s="4" t="s">
        <v>2272</v>
      </c>
      <c r="M1967" s="4" t="s">
        <v>2272</v>
      </c>
      <c r="N1967" s="4" t="s">
        <v>2272</v>
      </c>
      <c r="O1967" s="4" t="s">
        <v>2272</v>
      </c>
      <c r="P1967" s="4" t="s">
        <v>2272</v>
      </c>
      <c r="Q1967" s="4" t="s">
        <v>2272</v>
      </c>
      <c r="R1967" s="4" t="s">
        <v>2272</v>
      </c>
      <c r="S1967" s="4" t="s">
        <v>2272</v>
      </c>
      <c r="T1967" s="4" t="s">
        <v>2272</v>
      </c>
      <c r="U1967" s="4" t="s">
        <v>2272</v>
      </c>
      <c r="V1967" s="4" t="s">
        <v>2272</v>
      </c>
      <c r="W1967" s="4" t="s">
        <v>2272</v>
      </c>
      <c r="X1967" s="4" t="s">
        <v>2272</v>
      </c>
      <c r="Y1967" s="4" t="s">
        <v>2272</v>
      </c>
      <c r="Z1967" s="4" t="s">
        <v>2272</v>
      </c>
      <c r="AA1967" s="4" t="s">
        <v>2272</v>
      </c>
      <c r="AB1967" s="4" t="s">
        <v>2272</v>
      </c>
      <c r="AC1967" s="4" t="s">
        <v>2272</v>
      </c>
      <c r="AD1967" s="198"/>
      <c r="AE1967" s="4"/>
    </row>
    <row r="1968" spans="1:31" ht="54.5" customHeight="1">
      <c r="A1968" s="4" t="s">
        <v>5643</v>
      </c>
      <c r="B1968" s="4" t="s">
        <v>5647</v>
      </c>
      <c r="C1968" s="4" t="s">
        <v>23</v>
      </c>
      <c r="D1968" s="4" t="s">
        <v>2227</v>
      </c>
      <c r="E1968" s="4" t="s">
        <v>394</v>
      </c>
      <c r="F1968" s="4" t="s">
        <v>73</v>
      </c>
      <c r="G1968" s="198" t="s">
        <v>2272</v>
      </c>
      <c r="H1968" s="198" t="s">
        <v>521</v>
      </c>
      <c r="I1968" s="198"/>
      <c r="J1968" s="4" t="s">
        <v>2272</v>
      </c>
      <c r="K1968" s="4" t="s">
        <v>2272</v>
      </c>
      <c r="L1968" s="4" t="s">
        <v>2272</v>
      </c>
      <c r="M1968" s="4" t="s">
        <v>2272</v>
      </c>
      <c r="N1968" s="4" t="s">
        <v>2272</v>
      </c>
      <c r="O1968" s="4" t="s">
        <v>2272</v>
      </c>
      <c r="P1968" s="4" t="s">
        <v>2272</v>
      </c>
      <c r="Q1968" s="4" t="s">
        <v>2272</v>
      </c>
      <c r="R1968" s="4" t="s">
        <v>2272</v>
      </c>
      <c r="S1968" s="4" t="s">
        <v>2272</v>
      </c>
      <c r="T1968" s="4" t="s">
        <v>2272</v>
      </c>
      <c r="U1968" s="4" t="s">
        <v>2272</v>
      </c>
      <c r="V1968" s="4" t="s">
        <v>2272</v>
      </c>
      <c r="W1968" s="4" t="s">
        <v>2272</v>
      </c>
      <c r="X1968" s="4" t="s">
        <v>2272</v>
      </c>
      <c r="Y1968" s="4" t="s">
        <v>2272</v>
      </c>
      <c r="Z1968" s="4" t="s">
        <v>2272</v>
      </c>
      <c r="AA1968" s="4" t="s">
        <v>2272</v>
      </c>
      <c r="AB1968" s="4" t="s">
        <v>2272</v>
      </c>
      <c r="AC1968" s="4" t="s">
        <v>2272</v>
      </c>
      <c r="AD1968" s="198"/>
      <c r="AE1968" s="198"/>
    </row>
    <row r="1969" spans="1:31" ht="54.5" customHeight="1">
      <c r="A1969" s="4" t="s">
        <v>5643</v>
      </c>
      <c r="B1969" s="4" t="s">
        <v>5648</v>
      </c>
      <c r="C1969" s="4" t="s">
        <v>23</v>
      </c>
      <c r="D1969" s="4" t="s">
        <v>2227</v>
      </c>
      <c r="E1969" s="4" t="s">
        <v>2642</v>
      </c>
      <c r="F1969" s="4" t="s">
        <v>73</v>
      </c>
      <c r="G1969" s="198" t="s">
        <v>2272</v>
      </c>
      <c r="H1969" s="198" t="s">
        <v>521</v>
      </c>
      <c r="I1969" s="198"/>
      <c r="J1969" s="4" t="s">
        <v>2272</v>
      </c>
      <c r="K1969" s="4" t="s">
        <v>2272</v>
      </c>
      <c r="L1969" s="4" t="s">
        <v>2272</v>
      </c>
      <c r="M1969" s="4" t="s">
        <v>2272</v>
      </c>
      <c r="N1969" s="4" t="s">
        <v>2272</v>
      </c>
      <c r="O1969" s="4" t="s">
        <v>2272</v>
      </c>
      <c r="P1969" s="4" t="s">
        <v>2272</v>
      </c>
      <c r="Q1969" s="4" t="s">
        <v>2272</v>
      </c>
      <c r="R1969" s="4" t="s">
        <v>2272</v>
      </c>
      <c r="S1969" s="4" t="s">
        <v>2272</v>
      </c>
      <c r="T1969" s="4" t="s">
        <v>2272</v>
      </c>
      <c r="U1969" s="4" t="s">
        <v>2272</v>
      </c>
      <c r="V1969" s="4" t="s">
        <v>2272</v>
      </c>
      <c r="W1969" s="4" t="s">
        <v>2272</v>
      </c>
      <c r="X1969" s="4" t="s">
        <v>2272</v>
      </c>
      <c r="Y1969" s="4" t="s">
        <v>2272</v>
      </c>
      <c r="Z1969" s="4" t="s">
        <v>2272</v>
      </c>
      <c r="AA1969" s="4" t="s">
        <v>2272</v>
      </c>
      <c r="AB1969" s="4" t="s">
        <v>2272</v>
      </c>
      <c r="AC1969" s="4" t="s">
        <v>2272</v>
      </c>
      <c r="AD1969" s="198"/>
      <c r="AE1969" s="198"/>
    </row>
    <row r="1970" spans="1:31" ht="54.5" customHeight="1">
      <c r="A1970" s="4" t="s">
        <v>5643</v>
      </c>
      <c r="B1970" s="4" t="s">
        <v>5649</v>
      </c>
      <c r="C1970" s="4" t="s">
        <v>23</v>
      </c>
      <c r="D1970" s="4" t="s">
        <v>2342</v>
      </c>
      <c r="E1970" s="4" t="s">
        <v>394</v>
      </c>
      <c r="F1970" s="4" t="s">
        <v>73</v>
      </c>
      <c r="G1970" s="198" t="s">
        <v>2272</v>
      </c>
      <c r="H1970" s="198" t="s">
        <v>521</v>
      </c>
      <c r="I1970" s="198"/>
      <c r="J1970" s="4" t="s">
        <v>2272</v>
      </c>
      <c r="K1970" s="4" t="s">
        <v>2272</v>
      </c>
      <c r="L1970" s="4" t="s">
        <v>2272</v>
      </c>
      <c r="M1970" s="4" t="s">
        <v>2272</v>
      </c>
      <c r="N1970" s="4" t="s">
        <v>2272</v>
      </c>
      <c r="O1970" s="4" t="s">
        <v>2272</v>
      </c>
      <c r="P1970" s="4" t="s">
        <v>2272</v>
      </c>
      <c r="Q1970" s="4" t="s">
        <v>2272</v>
      </c>
      <c r="R1970" s="4" t="s">
        <v>2272</v>
      </c>
      <c r="S1970" s="4" t="s">
        <v>2272</v>
      </c>
      <c r="T1970" s="4" t="s">
        <v>2272</v>
      </c>
      <c r="U1970" s="4" t="s">
        <v>2272</v>
      </c>
      <c r="V1970" s="4" t="s">
        <v>2272</v>
      </c>
      <c r="W1970" s="4" t="s">
        <v>2272</v>
      </c>
      <c r="X1970" s="4" t="s">
        <v>2272</v>
      </c>
      <c r="Y1970" s="4" t="s">
        <v>2272</v>
      </c>
      <c r="Z1970" s="4" t="s">
        <v>2272</v>
      </c>
      <c r="AA1970" s="4" t="s">
        <v>2272</v>
      </c>
      <c r="AB1970" s="4" t="s">
        <v>2272</v>
      </c>
      <c r="AC1970" s="4" t="s">
        <v>2272</v>
      </c>
      <c r="AD1970" s="198"/>
      <c r="AE1970" s="198"/>
    </row>
    <row r="1971" spans="1:31" ht="54.5" customHeight="1">
      <c r="A1971" s="4" t="s">
        <v>5643</v>
      </c>
      <c r="B1971" s="4" t="s">
        <v>5650</v>
      </c>
      <c r="C1971" s="4" t="s">
        <v>23</v>
      </c>
      <c r="D1971" s="4" t="s">
        <v>2342</v>
      </c>
      <c r="E1971" s="4" t="s">
        <v>2642</v>
      </c>
      <c r="F1971" s="4" t="s">
        <v>73</v>
      </c>
      <c r="G1971" s="198" t="s">
        <v>2272</v>
      </c>
      <c r="H1971" s="198" t="s">
        <v>521</v>
      </c>
      <c r="I1971" s="198"/>
      <c r="J1971" s="4" t="s">
        <v>2272</v>
      </c>
      <c r="K1971" s="4" t="s">
        <v>2272</v>
      </c>
      <c r="L1971" s="4" t="s">
        <v>2272</v>
      </c>
      <c r="M1971" s="4" t="s">
        <v>2272</v>
      </c>
      <c r="N1971" s="4" t="s">
        <v>2272</v>
      </c>
      <c r="O1971" s="4" t="s">
        <v>2272</v>
      </c>
      <c r="P1971" s="4" t="s">
        <v>2272</v>
      </c>
      <c r="Q1971" s="4" t="s">
        <v>2272</v>
      </c>
      <c r="R1971" s="4" t="s">
        <v>2272</v>
      </c>
      <c r="S1971" s="4" t="s">
        <v>2272</v>
      </c>
      <c r="T1971" s="4" t="s">
        <v>2272</v>
      </c>
      <c r="U1971" s="4" t="s">
        <v>2272</v>
      </c>
      <c r="V1971" s="4" t="s">
        <v>2272</v>
      </c>
      <c r="W1971" s="4" t="s">
        <v>2272</v>
      </c>
      <c r="X1971" s="4" t="s">
        <v>2272</v>
      </c>
      <c r="Y1971" s="4" t="s">
        <v>2272</v>
      </c>
      <c r="Z1971" s="4" t="s">
        <v>2272</v>
      </c>
      <c r="AA1971" s="4" t="s">
        <v>2272</v>
      </c>
      <c r="AB1971" s="4" t="s">
        <v>2272</v>
      </c>
      <c r="AC1971" s="4" t="s">
        <v>2272</v>
      </c>
      <c r="AD1971" s="198"/>
      <c r="AE1971" s="198"/>
    </row>
    <row r="1972" spans="1:31" ht="33.5" customHeight="1">
      <c r="A1972" s="4" t="s">
        <v>5655</v>
      </c>
      <c r="B1972" s="4" t="s">
        <v>5658</v>
      </c>
      <c r="C1972" s="198" t="s">
        <v>23</v>
      </c>
      <c r="D1972" s="198" t="s">
        <v>404</v>
      </c>
      <c r="E1972" s="198" t="s">
        <v>135</v>
      </c>
      <c r="F1972" s="4" t="s">
        <v>2657</v>
      </c>
      <c r="G1972" s="4" t="s">
        <v>2272</v>
      </c>
      <c r="H1972" s="198" t="s">
        <v>522</v>
      </c>
      <c r="I1972" s="198">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21">
        <v>0</v>
      </c>
      <c r="Z1972" s="4" t="s">
        <v>2272</v>
      </c>
      <c r="AA1972" s="4" t="s">
        <v>2272</v>
      </c>
      <c r="AB1972" s="4" t="s">
        <v>2272</v>
      </c>
      <c r="AC1972" s="4" t="s">
        <v>2272</v>
      </c>
      <c r="AD1972" s="4" t="s">
        <v>5666</v>
      </c>
      <c r="AE1972" s="198"/>
    </row>
    <row r="1973" spans="1:31" ht="33.5" customHeight="1">
      <c r="A1973" s="4" t="s">
        <v>5655</v>
      </c>
      <c r="B1973" s="4" t="s">
        <v>5659</v>
      </c>
      <c r="C1973" s="198" t="s">
        <v>23</v>
      </c>
      <c r="D1973" s="198" t="s">
        <v>1238</v>
      </c>
      <c r="E1973" s="198" t="s">
        <v>135</v>
      </c>
      <c r="F1973" s="4" t="s">
        <v>2657</v>
      </c>
      <c r="G1973" s="4" t="s">
        <v>2272</v>
      </c>
      <c r="H1973" s="198" t="s">
        <v>522</v>
      </c>
      <c r="I1973" s="198">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21">
        <v>0</v>
      </c>
      <c r="Z1973" s="4" t="s">
        <v>2272</v>
      </c>
      <c r="AA1973" s="4" t="s">
        <v>2272</v>
      </c>
      <c r="AB1973" s="4" t="s">
        <v>2272</v>
      </c>
      <c r="AC1973" s="4" t="s">
        <v>2272</v>
      </c>
      <c r="AD1973" s="4" t="s">
        <v>5666</v>
      </c>
      <c r="AE1973" s="198"/>
    </row>
    <row r="1974" spans="1:31" ht="33.5" customHeight="1">
      <c r="A1974" s="4" t="s">
        <v>5655</v>
      </c>
      <c r="B1974" s="4" t="s">
        <v>5660</v>
      </c>
      <c r="C1974" s="198" t="s">
        <v>23</v>
      </c>
      <c r="D1974" s="198" t="s">
        <v>404</v>
      </c>
      <c r="E1974" s="198" t="s">
        <v>135</v>
      </c>
      <c r="F1974" s="4" t="s">
        <v>2657</v>
      </c>
      <c r="G1974" s="4" t="s">
        <v>2272</v>
      </c>
      <c r="H1974" s="198" t="s">
        <v>522</v>
      </c>
      <c r="I1974" s="198">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21">
        <v>0</v>
      </c>
      <c r="Z1974" s="4" t="s">
        <v>2272</v>
      </c>
      <c r="AA1974" s="4" t="s">
        <v>2272</v>
      </c>
      <c r="AB1974" s="4" t="s">
        <v>2272</v>
      </c>
      <c r="AC1974" s="4" t="s">
        <v>2272</v>
      </c>
      <c r="AD1974" s="4" t="s">
        <v>5666</v>
      </c>
      <c r="AE1974" s="198"/>
    </row>
    <row r="1975" spans="1:31" ht="33.5" customHeight="1">
      <c r="A1975" s="4" t="s">
        <v>5655</v>
      </c>
      <c r="B1975" s="4" t="s">
        <v>5661</v>
      </c>
      <c r="C1975" s="198" t="s">
        <v>23</v>
      </c>
      <c r="D1975" s="198" t="s">
        <v>1238</v>
      </c>
      <c r="E1975" s="198" t="s">
        <v>135</v>
      </c>
      <c r="F1975" s="4" t="s">
        <v>2657</v>
      </c>
      <c r="G1975" s="4" t="s">
        <v>2272</v>
      </c>
      <c r="H1975" s="198" t="s">
        <v>522</v>
      </c>
      <c r="I1975" s="198">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21">
        <v>0</v>
      </c>
      <c r="Z1975" s="4" t="s">
        <v>2272</v>
      </c>
      <c r="AA1975" s="4" t="s">
        <v>2272</v>
      </c>
      <c r="AB1975" s="4" t="s">
        <v>2272</v>
      </c>
      <c r="AC1975" s="4" t="s">
        <v>2272</v>
      </c>
      <c r="AD1975" s="4" t="s">
        <v>5666</v>
      </c>
      <c r="AE1975" s="198"/>
    </row>
    <row r="1976" spans="1:31" ht="30" customHeight="1">
      <c r="A1976" s="4" t="s">
        <v>5655</v>
      </c>
      <c r="B1976" s="4" t="s">
        <v>5662</v>
      </c>
      <c r="C1976" s="198" t="s">
        <v>23</v>
      </c>
      <c r="D1976" s="198" t="s">
        <v>404</v>
      </c>
      <c r="E1976" s="198" t="s">
        <v>114</v>
      </c>
      <c r="F1976" s="4" t="s">
        <v>2657</v>
      </c>
      <c r="G1976" s="198" t="s">
        <v>2272</v>
      </c>
      <c r="H1976" s="198" t="s">
        <v>521</v>
      </c>
      <c r="I1976" s="198">
        <v>2017</v>
      </c>
      <c r="J1976" s="4" t="s">
        <v>2272</v>
      </c>
      <c r="K1976" s="4" t="s">
        <v>2272</v>
      </c>
      <c r="L1976" s="4" t="s">
        <v>2272</v>
      </c>
      <c r="M1976" s="4" t="s">
        <v>2272</v>
      </c>
      <c r="N1976" s="4" t="s">
        <v>2272</v>
      </c>
      <c r="O1976" s="4" t="s">
        <v>2272</v>
      </c>
      <c r="P1976" s="4" t="s">
        <v>2272</v>
      </c>
      <c r="Q1976" s="4" t="s">
        <v>2272</v>
      </c>
      <c r="R1976" s="4" t="s">
        <v>2272</v>
      </c>
      <c r="S1976" s="4" t="s">
        <v>2272</v>
      </c>
      <c r="T1976" s="4" t="s">
        <v>2272</v>
      </c>
      <c r="U1976" s="4" t="s">
        <v>2272</v>
      </c>
      <c r="V1976" s="4" t="s">
        <v>2272</v>
      </c>
      <c r="W1976" s="4" t="s">
        <v>2272</v>
      </c>
      <c r="X1976" s="4" t="s">
        <v>2272</v>
      </c>
      <c r="Y1976" s="4" t="s">
        <v>2272</v>
      </c>
      <c r="Z1976" s="4" t="s">
        <v>2272</v>
      </c>
      <c r="AA1976" s="4" t="s">
        <v>2272</v>
      </c>
      <c r="AB1976" s="4" t="s">
        <v>2272</v>
      </c>
      <c r="AC1976" s="4" t="s">
        <v>2272</v>
      </c>
      <c r="AD1976" s="4" t="s">
        <v>5667</v>
      </c>
      <c r="AE1976" s="198"/>
    </row>
    <row r="1977" spans="1:31" ht="30" customHeight="1">
      <c r="A1977" s="4" t="s">
        <v>5655</v>
      </c>
      <c r="B1977" s="4" t="s">
        <v>5663</v>
      </c>
      <c r="C1977" s="198" t="s">
        <v>23</v>
      </c>
      <c r="D1977" s="198" t="s">
        <v>1238</v>
      </c>
      <c r="E1977" s="198" t="s">
        <v>114</v>
      </c>
      <c r="F1977" s="4" t="s">
        <v>2657</v>
      </c>
      <c r="G1977" s="198" t="s">
        <v>2272</v>
      </c>
      <c r="H1977" s="198" t="s">
        <v>521</v>
      </c>
      <c r="I1977" s="198">
        <v>2017</v>
      </c>
      <c r="J1977" s="4" t="s">
        <v>2272</v>
      </c>
      <c r="K1977" s="4" t="s">
        <v>2272</v>
      </c>
      <c r="L1977" s="4" t="s">
        <v>2272</v>
      </c>
      <c r="M1977" s="4" t="s">
        <v>2272</v>
      </c>
      <c r="N1977" s="4" t="s">
        <v>2272</v>
      </c>
      <c r="O1977" s="4" t="s">
        <v>2272</v>
      </c>
      <c r="P1977" s="4" t="s">
        <v>2272</v>
      </c>
      <c r="Q1977" s="4" t="s">
        <v>2272</v>
      </c>
      <c r="R1977" s="4" t="s">
        <v>2272</v>
      </c>
      <c r="S1977" s="4" t="s">
        <v>2272</v>
      </c>
      <c r="T1977" s="4" t="s">
        <v>2272</v>
      </c>
      <c r="U1977" s="4" t="s">
        <v>2272</v>
      </c>
      <c r="V1977" s="4" t="s">
        <v>2272</v>
      </c>
      <c r="W1977" s="4" t="s">
        <v>2272</v>
      </c>
      <c r="X1977" s="4" t="s">
        <v>2272</v>
      </c>
      <c r="Y1977" s="4" t="s">
        <v>2272</v>
      </c>
      <c r="Z1977" s="4" t="s">
        <v>2272</v>
      </c>
      <c r="AA1977" s="4" t="s">
        <v>2272</v>
      </c>
      <c r="AB1977" s="4" t="s">
        <v>2272</v>
      </c>
      <c r="AC1977" s="4" t="s">
        <v>2272</v>
      </c>
      <c r="AD1977" s="4" t="s">
        <v>5667</v>
      </c>
      <c r="AE1977" s="198"/>
    </row>
    <row r="1978" spans="1:31" ht="30" customHeight="1">
      <c r="A1978" s="4" t="s">
        <v>5655</v>
      </c>
      <c r="B1978" s="4" t="s">
        <v>5664</v>
      </c>
      <c r="C1978" s="198" t="s">
        <v>23</v>
      </c>
      <c r="D1978" s="198" t="s">
        <v>404</v>
      </c>
      <c r="E1978" s="198" t="s">
        <v>114</v>
      </c>
      <c r="F1978" s="4" t="s">
        <v>2657</v>
      </c>
      <c r="G1978" s="198" t="s">
        <v>2272</v>
      </c>
      <c r="H1978" s="198" t="s">
        <v>521</v>
      </c>
      <c r="I1978" s="198">
        <v>2017</v>
      </c>
      <c r="J1978" s="4" t="s">
        <v>2272</v>
      </c>
      <c r="K1978" s="4" t="s">
        <v>2272</v>
      </c>
      <c r="L1978" s="4" t="s">
        <v>2272</v>
      </c>
      <c r="M1978" s="4" t="s">
        <v>2272</v>
      </c>
      <c r="N1978" s="4" t="s">
        <v>2272</v>
      </c>
      <c r="O1978" s="4" t="s">
        <v>2272</v>
      </c>
      <c r="P1978" s="4" t="s">
        <v>2272</v>
      </c>
      <c r="Q1978" s="4" t="s">
        <v>2272</v>
      </c>
      <c r="R1978" s="4" t="s">
        <v>2272</v>
      </c>
      <c r="S1978" s="4" t="s">
        <v>2272</v>
      </c>
      <c r="T1978" s="4" t="s">
        <v>2272</v>
      </c>
      <c r="U1978" s="4" t="s">
        <v>2272</v>
      </c>
      <c r="V1978" s="4" t="s">
        <v>2272</v>
      </c>
      <c r="W1978" s="4" t="s">
        <v>2272</v>
      </c>
      <c r="X1978" s="4" t="s">
        <v>2272</v>
      </c>
      <c r="Y1978" s="4" t="s">
        <v>2272</v>
      </c>
      <c r="Z1978" s="4" t="s">
        <v>2272</v>
      </c>
      <c r="AA1978" s="4" t="s">
        <v>2272</v>
      </c>
      <c r="AB1978" s="4" t="s">
        <v>2272</v>
      </c>
      <c r="AC1978" s="4" t="s">
        <v>2272</v>
      </c>
      <c r="AD1978" s="4" t="s">
        <v>5667</v>
      </c>
      <c r="AE1978" s="198"/>
    </row>
    <row r="1979" spans="1:31" ht="30" customHeight="1">
      <c r="A1979" s="4" t="s">
        <v>5655</v>
      </c>
      <c r="B1979" s="4" t="s">
        <v>5665</v>
      </c>
      <c r="C1979" s="198" t="s">
        <v>23</v>
      </c>
      <c r="D1979" s="198" t="s">
        <v>1238</v>
      </c>
      <c r="E1979" s="198" t="s">
        <v>114</v>
      </c>
      <c r="F1979" s="4" t="s">
        <v>2657</v>
      </c>
      <c r="G1979" s="198" t="s">
        <v>2272</v>
      </c>
      <c r="H1979" s="198" t="s">
        <v>521</v>
      </c>
      <c r="I1979" s="198">
        <v>2017</v>
      </c>
      <c r="J1979" s="4" t="s">
        <v>2272</v>
      </c>
      <c r="K1979" s="4" t="s">
        <v>2272</v>
      </c>
      <c r="L1979" s="4" t="s">
        <v>2272</v>
      </c>
      <c r="M1979" s="4" t="s">
        <v>2272</v>
      </c>
      <c r="N1979" s="4" t="s">
        <v>2272</v>
      </c>
      <c r="O1979" s="4" t="s">
        <v>2272</v>
      </c>
      <c r="P1979" s="4" t="s">
        <v>2272</v>
      </c>
      <c r="Q1979" s="4" t="s">
        <v>2272</v>
      </c>
      <c r="R1979" s="4" t="s">
        <v>2272</v>
      </c>
      <c r="S1979" s="4" t="s">
        <v>2272</v>
      </c>
      <c r="T1979" s="4" t="s">
        <v>2272</v>
      </c>
      <c r="U1979" s="4" t="s">
        <v>2272</v>
      </c>
      <c r="V1979" s="4" t="s">
        <v>2272</v>
      </c>
      <c r="W1979" s="4" t="s">
        <v>2272</v>
      </c>
      <c r="X1979" s="4" t="s">
        <v>2272</v>
      </c>
      <c r="Y1979" s="4" t="s">
        <v>2272</v>
      </c>
      <c r="Z1979" s="4" t="s">
        <v>2272</v>
      </c>
      <c r="AA1979" s="4" t="s">
        <v>2272</v>
      </c>
      <c r="AB1979" s="4" t="s">
        <v>2272</v>
      </c>
      <c r="AC1979" s="4" t="s">
        <v>2272</v>
      </c>
      <c r="AD1979" s="4" t="s">
        <v>5667</v>
      </c>
      <c r="AE1979" s="198"/>
    </row>
    <row r="1980" spans="1:31" ht="30" customHeight="1">
      <c r="A1980" s="4" t="s">
        <v>5670</v>
      </c>
      <c r="B1980" s="4" t="s">
        <v>5673</v>
      </c>
      <c r="C1980" s="198" t="s">
        <v>23</v>
      </c>
      <c r="D1980" s="198" t="s">
        <v>1238</v>
      </c>
      <c r="E1980" s="198" t="s">
        <v>135</v>
      </c>
      <c r="F1980" s="4" t="s">
        <v>73</v>
      </c>
      <c r="G1980" s="198" t="s">
        <v>2272</v>
      </c>
      <c r="H1980" s="198" t="s">
        <v>521</v>
      </c>
      <c r="I1980" s="198"/>
      <c r="J1980" s="4" t="s">
        <v>2272</v>
      </c>
      <c r="K1980" s="4" t="s">
        <v>2272</v>
      </c>
      <c r="L1980" s="4" t="s">
        <v>2272</v>
      </c>
      <c r="M1980" s="4" t="s">
        <v>2272</v>
      </c>
      <c r="N1980" s="4" t="s">
        <v>2272</v>
      </c>
      <c r="O1980" s="4" t="s">
        <v>2272</v>
      </c>
      <c r="P1980" s="4" t="s">
        <v>2272</v>
      </c>
      <c r="Q1980" s="4" t="s">
        <v>2272</v>
      </c>
      <c r="R1980" s="4" t="s">
        <v>2272</v>
      </c>
      <c r="S1980" s="4" t="s">
        <v>2272</v>
      </c>
      <c r="T1980" s="4" t="s">
        <v>2272</v>
      </c>
      <c r="U1980" s="4" t="s">
        <v>2272</v>
      </c>
      <c r="V1980" s="4" t="s">
        <v>2272</v>
      </c>
      <c r="W1980" s="4" t="s">
        <v>2272</v>
      </c>
      <c r="X1980" s="4" t="s">
        <v>2272</v>
      </c>
      <c r="Y1980" s="4" t="s">
        <v>2272</v>
      </c>
      <c r="Z1980" s="4" t="s">
        <v>2272</v>
      </c>
      <c r="AA1980" s="4" t="s">
        <v>2272</v>
      </c>
      <c r="AB1980" s="4" t="s">
        <v>2272</v>
      </c>
      <c r="AC1980" s="4" t="s">
        <v>2272</v>
      </c>
      <c r="AD1980" s="198"/>
      <c r="AE1980" s="198"/>
    </row>
    <row r="1981" spans="1:31" ht="32.5" customHeight="1">
      <c r="A1981" s="4" t="s">
        <v>5670</v>
      </c>
      <c r="B1981" s="4" t="s">
        <v>5674</v>
      </c>
      <c r="C1981" s="198" t="s">
        <v>23</v>
      </c>
      <c r="D1981" s="198" t="s">
        <v>1238</v>
      </c>
      <c r="E1981" s="198" t="s">
        <v>2644</v>
      </c>
      <c r="F1981" s="4" t="s">
        <v>73</v>
      </c>
      <c r="G1981" s="198" t="s">
        <v>2272</v>
      </c>
      <c r="H1981" s="198" t="s">
        <v>521</v>
      </c>
      <c r="I1981" s="198"/>
      <c r="J1981" s="4" t="s">
        <v>2272</v>
      </c>
      <c r="K1981" s="4" t="s">
        <v>2272</v>
      </c>
      <c r="L1981" s="4" t="s">
        <v>2272</v>
      </c>
      <c r="M1981" s="4" t="s">
        <v>2272</v>
      </c>
      <c r="N1981" s="4" t="s">
        <v>2272</v>
      </c>
      <c r="O1981" s="4" t="s">
        <v>2272</v>
      </c>
      <c r="P1981" s="4" t="s">
        <v>2272</v>
      </c>
      <c r="Q1981" s="4" t="s">
        <v>2272</v>
      </c>
      <c r="R1981" s="4" t="s">
        <v>2272</v>
      </c>
      <c r="S1981" s="4" t="s">
        <v>2272</v>
      </c>
      <c r="T1981" s="4" t="s">
        <v>2272</v>
      </c>
      <c r="U1981" s="4" t="s">
        <v>2272</v>
      </c>
      <c r="V1981" s="4" t="s">
        <v>2272</v>
      </c>
      <c r="W1981" s="4" t="s">
        <v>2272</v>
      </c>
      <c r="X1981" s="4" t="s">
        <v>2272</v>
      </c>
      <c r="Y1981" s="4" t="s">
        <v>2272</v>
      </c>
      <c r="Z1981" s="4" t="s">
        <v>2272</v>
      </c>
      <c r="AA1981" s="4" t="s">
        <v>2272</v>
      </c>
      <c r="AB1981" s="4" t="s">
        <v>2272</v>
      </c>
      <c r="AC1981" s="4" t="s">
        <v>2272</v>
      </c>
      <c r="AD1981" s="198"/>
      <c r="AE1981" s="198"/>
    </row>
    <row r="1982" spans="1:31" ht="35.5" customHeight="1">
      <c r="A1982" s="4" t="s">
        <v>5670</v>
      </c>
      <c r="B1982" s="4" t="s">
        <v>5675</v>
      </c>
      <c r="C1982" s="198" t="s">
        <v>23</v>
      </c>
      <c r="D1982" s="198" t="s">
        <v>3475</v>
      </c>
      <c r="E1982" s="198" t="s">
        <v>114</v>
      </c>
      <c r="F1982" s="4" t="s">
        <v>73</v>
      </c>
      <c r="G1982" s="198" t="s">
        <v>2272</v>
      </c>
      <c r="H1982" s="198" t="s">
        <v>521</v>
      </c>
      <c r="I1982" s="198"/>
      <c r="J1982" s="4" t="s">
        <v>2272</v>
      </c>
      <c r="K1982" s="4" t="s">
        <v>2272</v>
      </c>
      <c r="L1982" s="4" t="s">
        <v>2272</v>
      </c>
      <c r="M1982" s="4" t="s">
        <v>2272</v>
      </c>
      <c r="N1982" s="4" t="s">
        <v>2272</v>
      </c>
      <c r="O1982" s="4" t="s">
        <v>2272</v>
      </c>
      <c r="P1982" s="4" t="s">
        <v>2272</v>
      </c>
      <c r="Q1982" s="4" t="s">
        <v>2272</v>
      </c>
      <c r="R1982" s="4" t="s">
        <v>2272</v>
      </c>
      <c r="S1982" s="4" t="s">
        <v>2272</v>
      </c>
      <c r="T1982" s="4" t="s">
        <v>2272</v>
      </c>
      <c r="U1982" s="4" t="s">
        <v>2272</v>
      </c>
      <c r="V1982" s="4" t="s">
        <v>2272</v>
      </c>
      <c r="W1982" s="4" t="s">
        <v>2272</v>
      </c>
      <c r="X1982" s="4" t="s">
        <v>2272</v>
      </c>
      <c r="Y1982" s="4" t="s">
        <v>2272</v>
      </c>
      <c r="Z1982" s="4" t="s">
        <v>2272</v>
      </c>
      <c r="AA1982" s="4" t="s">
        <v>2272</v>
      </c>
      <c r="AB1982" s="4" t="s">
        <v>2272</v>
      </c>
      <c r="AC1982" s="4" t="s">
        <v>2272</v>
      </c>
      <c r="AD1982" s="198"/>
      <c r="AE1982" s="198"/>
    </row>
    <row r="1983" spans="1:31" ht="37" customHeight="1">
      <c r="A1983" s="4" t="s">
        <v>5678</v>
      </c>
      <c r="B1983" s="4" t="s">
        <v>5680</v>
      </c>
      <c r="C1983" s="198" t="s">
        <v>23</v>
      </c>
      <c r="D1983" s="198" t="s">
        <v>1238</v>
      </c>
      <c r="E1983" s="198" t="s">
        <v>135</v>
      </c>
      <c r="F1983" s="4" t="s">
        <v>73</v>
      </c>
      <c r="G1983" s="198" t="s">
        <v>2272</v>
      </c>
      <c r="H1983" s="198" t="s">
        <v>521</v>
      </c>
      <c r="I1983" s="198"/>
      <c r="J1983" s="4" t="s">
        <v>2272</v>
      </c>
      <c r="K1983" s="4" t="s">
        <v>2272</v>
      </c>
      <c r="L1983" s="4" t="s">
        <v>2272</v>
      </c>
      <c r="M1983" s="4" t="s">
        <v>2272</v>
      </c>
      <c r="N1983" s="4" t="s">
        <v>2272</v>
      </c>
      <c r="O1983" s="4" t="s">
        <v>2272</v>
      </c>
      <c r="P1983" s="4" t="s">
        <v>2272</v>
      </c>
      <c r="Q1983" s="4" t="s">
        <v>2272</v>
      </c>
      <c r="R1983" s="4" t="s">
        <v>2272</v>
      </c>
      <c r="S1983" s="4" t="s">
        <v>2272</v>
      </c>
      <c r="T1983" s="4" t="s">
        <v>2272</v>
      </c>
      <c r="U1983" s="4" t="s">
        <v>2272</v>
      </c>
      <c r="V1983" s="4" t="s">
        <v>2272</v>
      </c>
      <c r="W1983" s="4" t="s">
        <v>2272</v>
      </c>
      <c r="X1983" s="4" t="s">
        <v>2272</v>
      </c>
      <c r="Y1983" s="4" t="s">
        <v>2272</v>
      </c>
      <c r="Z1983" s="4" t="s">
        <v>2272</v>
      </c>
      <c r="AA1983" s="4" t="s">
        <v>2272</v>
      </c>
      <c r="AB1983" s="4" t="s">
        <v>2272</v>
      </c>
      <c r="AC1983" s="4" t="s">
        <v>2272</v>
      </c>
      <c r="AD1983" s="198"/>
      <c r="AE1983" s="198"/>
    </row>
    <row r="1984" spans="1:31" ht="35.5" customHeight="1">
      <c r="A1984" s="4" t="s">
        <v>5678</v>
      </c>
      <c r="B1984" s="4" t="s">
        <v>5681</v>
      </c>
      <c r="C1984" s="198" t="s">
        <v>23</v>
      </c>
      <c r="D1984" s="198" t="s">
        <v>404</v>
      </c>
      <c r="E1984" s="198" t="s">
        <v>114</v>
      </c>
      <c r="F1984" s="4" t="s">
        <v>73</v>
      </c>
      <c r="G1984" s="198" t="s">
        <v>2272</v>
      </c>
      <c r="H1984" s="198" t="s">
        <v>521</v>
      </c>
      <c r="I1984" s="198"/>
      <c r="J1984" s="4" t="s">
        <v>2272</v>
      </c>
      <c r="K1984" s="4" t="s">
        <v>2272</v>
      </c>
      <c r="L1984" s="4" t="s">
        <v>2272</v>
      </c>
      <c r="M1984" s="4" t="s">
        <v>2272</v>
      </c>
      <c r="N1984" s="4" t="s">
        <v>2272</v>
      </c>
      <c r="O1984" s="4" t="s">
        <v>2272</v>
      </c>
      <c r="P1984" s="4" t="s">
        <v>2272</v>
      </c>
      <c r="Q1984" s="4" t="s">
        <v>2272</v>
      </c>
      <c r="R1984" s="4" t="s">
        <v>2272</v>
      </c>
      <c r="S1984" s="4" t="s">
        <v>2272</v>
      </c>
      <c r="T1984" s="4" t="s">
        <v>2272</v>
      </c>
      <c r="U1984" s="4" t="s">
        <v>2272</v>
      </c>
      <c r="V1984" s="4" t="s">
        <v>2272</v>
      </c>
      <c r="W1984" s="4" t="s">
        <v>2272</v>
      </c>
      <c r="X1984" s="4" t="s">
        <v>2272</v>
      </c>
      <c r="Y1984" s="4" t="s">
        <v>2272</v>
      </c>
      <c r="Z1984" s="4" t="s">
        <v>2272</v>
      </c>
      <c r="AA1984" s="4" t="s">
        <v>2272</v>
      </c>
      <c r="AB1984" s="4" t="s">
        <v>2272</v>
      </c>
      <c r="AC1984" s="4" t="s">
        <v>2272</v>
      </c>
      <c r="AD1984" s="198"/>
      <c r="AE1984" s="198"/>
    </row>
    <row r="1985" spans="1:31" ht="34" customHeight="1">
      <c r="A1985" s="4" t="s">
        <v>5678</v>
      </c>
      <c r="B1985" s="4" t="s">
        <v>5682</v>
      </c>
      <c r="C1985" s="198" t="s">
        <v>23</v>
      </c>
      <c r="D1985" s="198" t="s">
        <v>3475</v>
      </c>
      <c r="E1985" s="198" t="s">
        <v>114</v>
      </c>
      <c r="F1985" s="4" t="s">
        <v>73</v>
      </c>
      <c r="G1985" s="198" t="s">
        <v>2272</v>
      </c>
      <c r="H1985" s="198" t="s">
        <v>521</v>
      </c>
      <c r="I1985" s="198"/>
      <c r="J1985" s="4" t="s">
        <v>2272</v>
      </c>
      <c r="K1985" s="4" t="s">
        <v>2272</v>
      </c>
      <c r="L1985" s="4" t="s">
        <v>2272</v>
      </c>
      <c r="M1985" s="4" t="s">
        <v>2272</v>
      </c>
      <c r="N1985" s="4" t="s">
        <v>2272</v>
      </c>
      <c r="O1985" s="4" t="s">
        <v>2272</v>
      </c>
      <c r="P1985" s="4" t="s">
        <v>2272</v>
      </c>
      <c r="Q1985" s="4" t="s">
        <v>2272</v>
      </c>
      <c r="R1985" s="4" t="s">
        <v>2272</v>
      </c>
      <c r="S1985" s="4" t="s">
        <v>2272</v>
      </c>
      <c r="T1985" s="4" t="s">
        <v>2272</v>
      </c>
      <c r="U1985" s="4" t="s">
        <v>2272</v>
      </c>
      <c r="V1985" s="4" t="s">
        <v>2272</v>
      </c>
      <c r="W1985" s="4" t="s">
        <v>2272</v>
      </c>
      <c r="X1985" s="4" t="s">
        <v>2272</v>
      </c>
      <c r="Y1985" s="4" t="s">
        <v>2272</v>
      </c>
      <c r="Z1985" s="4" t="s">
        <v>2272</v>
      </c>
      <c r="AA1985" s="4" t="s">
        <v>2272</v>
      </c>
      <c r="AB1985" s="4" t="s">
        <v>2272</v>
      </c>
      <c r="AC1985" s="4" t="s">
        <v>2272</v>
      </c>
      <c r="AD1985" s="198"/>
      <c r="AE1985" s="198"/>
    </row>
    <row r="1986" spans="1:31" ht="30" customHeight="1">
      <c r="A1986" s="198" t="s">
        <v>5687</v>
      </c>
      <c r="B1986" s="4" t="s">
        <v>5692</v>
      </c>
      <c r="C1986" s="198" t="s">
        <v>23</v>
      </c>
      <c r="D1986" s="198" t="s">
        <v>26</v>
      </c>
      <c r="E1986" s="198" t="s">
        <v>128</v>
      </c>
      <c r="F1986" s="4" t="s">
        <v>73</v>
      </c>
      <c r="G1986" s="198" t="s">
        <v>2272</v>
      </c>
      <c r="H1986" s="198" t="s">
        <v>521</v>
      </c>
      <c r="I1986" s="198"/>
      <c r="J1986" s="4" t="s">
        <v>2272</v>
      </c>
      <c r="K1986" s="4" t="s">
        <v>2272</v>
      </c>
      <c r="L1986" s="4" t="s">
        <v>2272</v>
      </c>
      <c r="M1986" s="4" t="s">
        <v>2272</v>
      </c>
      <c r="N1986" s="4" t="s">
        <v>2272</v>
      </c>
      <c r="O1986" s="4" t="s">
        <v>2272</v>
      </c>
      <c r="P1986" s="4" t="s">
        <v>2272</v>
      </c>
      <c r="Q1986" s="4" t="s">
        <v>2272</v>
      </c>
      <c r="R1986" s="4" t="s">
        <v>2272</v>
      </c>
      <c r="S1986" s="4" t="s">
        <v>2272</v>
      </c>
      <c r="T1986" s="4" t="s">
        <v>2272</v>
      </c>
      <c r="U1986" s="4" t="s">
        <v>2272</v>
      </c>
      <c r="V1986" s="4" t="s">
        <v>2272</v>
      </c>
      <c r="W1986" s="4" t="s">
        <v>2272</v>
      </c>
      <c r="X1986" s="4" t="s">
        <v>2272</v>
      </c>
      <c r="Y1986" s="4" t="s">
        <v>2272</v>
      </c>
      <c r="Z1986" s="4" t="s">
        <v>2272</v>
      </c>
      <c r="AA1986" s="198" t="s">
        <v>34</v>
      </c>
      <c r="AB1986" s="198" t="s">
        <v>125</v>
      </c>
      <c r="AC1986" s="4" t="s">
        <v>2272</v>
      </c>
      <c r="AD1986" s="4" t="s">
        <v>5697</v>
      </c>
      <c r="AE1986" s="198"/>
    </row>
    <row r="1987" spans="1:31" ht="27" customHeight="1">
      <c r="A1987" s="198" t="s">
        <v>5687</v>
      </c>
      <c r="B1987" s="4" t="s">
        <v>5693</v>
      </c>
      <c r="C1987" s="198" t="s">
        <v>23</v>
      </c>
      <c r="D1987" s="198" t="s">
        <v>24</v>
      </c>
      <c r="E1987" s="198" t="s">
        <v>44</v>
      </c>
      <c r="F1987" s="4" t="s">
        <v>54</v>
      </c>
      <c r="G1987" s="198" t="s">
        <v>2272</v>
      </c>
      <c r="H1987" s="198" t="s">
        <v>521</v>
      </c>
      <c r="I1987" s="198"/>
      <c r="J1987" s="4" t="s">
        <v>2272</v>
      </c>
      <c r="K1987" s="4" t="s">
        <v>2272</v>
      </c>
      <c r="L1987" s="4" t="s">
        <v>2272</v>
      </c>
      <c r="M1987" s="4" t="s">
        <v>2272</v>
      </c>
      <c r="N1987" s="4" t="s">
        <v>2272</v>
      </c>
      <c r="O1987" s="4" t="s">
        <v>2272</v>
      </c>
      <c r="P1987" s="4" t="s">
        <v>2272</v>
      </c>
      <c r="Q1987" s="4" t="s">
        <v>2272</v>
      </c>
      <c r="R1987" s="4" t="s">
        <v>2272</v>
      </c>
      <c r="S1987" s="4" t="s">
        <v>2272</v>
      </c>
      <c r="T1987" s="4" t="s">
        <v>2272</v>
      </c>
      <c r="U1987" s="4" t="s">
        <v>2272</v>
      </c>
      <c r="V1987" s="4" t="s">
        <v>2272</v>
      </c>
      <c r="W1987" s="4" t="s">
        <v>2272</v>
      </c>
      <c r="X1987" s="4" t="s">
        <v>2272</v>
      </c>
      <c r="Y1987" s="4" t="s">
        <v>2272</v>
      </c>
      <c r="Z1987" s="4" t="s">
        <v>2272</v>
      </c>
      <c r="AA1987" s="198" t="s">
        <v>33</v>
      </c>
      <c r="AB1987" s="198" t="s">
        <v>402</v>
      </c>
      <c r="AC1987" s="198" t="s">
        <v>2650</v>
      </c>
      <c r="AD1987" s="198" t="s">
        <v>5696</v>
      </c>
      <c r="AE1987" s="198"/>
    </row>
    <row r="1988" spans="1:31" ht="27" customHeight="1">
      <c r="A1988" s="198" t="s">
        <v>5687</v>
      </c>
      <c r="B1988" s="4" t="s">
        <v>5694</v>
      </c>
      <c r="C1988" s="198" t="s">
        <v>23</v>
      </c>
      <c r="D1988" s="198" t="s">
        <v>24</v>
      </c>
      <c r="E1988" s="198" t="s">
        <v>44</v>
      </c>
      <c r="F1988" s="4" t="s">
        <v>28</v>
      </c>
      <c r="G1988" s="198" t="s">
        <v>2272</v>
      </c>
      <c r="H1988" s="198" t="s">
        <v>521</v>
      </c>
      <c r="I1988" s="198"/>
      <c r="J1988" s="4" t="s">
        <v>2272</v>
      </c>
      <c r="K1988" s="4" t="s">
        <v>2272</v>
      </c>
      <c r="L1988" s="4" t="s">
        <v>2272</v>
      </c>
      <c r="M1988" s="4" t="s">
        <v>2272</v>
      </c>
      <c r="N1988" s="4" t="s">
        <v>2272</v>
      </c>
      <c r="O1988" s="4" t="s">
        <v>2272</v>
      </c>
      <c r="P1988" s="4" t="s">
        <v>2272</v>
      </c>
      <c r="Q1988" s="4" t="s">
        <v>2272</v>
      </c>
      <c r="R1988" s="4" t="s">
        <v>2272</v>
      </c>
      <c r="S1988" s="4" t="s">
        <v>2272</v>
      </c>
      <c r="T1988" s="4" t="s">
        <v>2272</v>
      </c>
      <c r="U1988" s="4" t="s">
        <v>2272</v>
      </c>
      <c r="V1988" s="4" t="s">
        <v>2272</v>
      </c>
      <c r="W1988" s="4" t="s">
        <v>2272</v>
      </c>
      <c r="X1988" s="4" t="s">
        <v>2272</v>
      </c>
      <c r="Y1988" s="4" t="s">
        <v>2272</v>
      </c>
      <c r="Z1988" s="4" t="s">
        <v>2272</v>
      </c>
      <c r="AA1988" s="198" t="s">
        <v>33</v>
      </c>
      <c r="AB1988" s="198" t="s">
        <v>402</v>
      </c>
      <c r="AC1988" s="198" t="s">
        <v>2650</v>
      </c>
      <c r="AD1988" s="198" t="s">
        <v>5696</v>
      </c>
      <c r="AE1988" s="198"/>
    </row>
    <row r="1989" spans="1:31" ht="31.5" customHeight="1">
      <c r="A1989" s="198" t="s">
        <v>5687</v>
      </c>
      <c r="B1989" s="4" t="s">
        <v>5694</v>
      </c>
      <c r="C1989" s="198" t="s">
        <v>23</v>
      </c>
      <c r="D1989" s="198" t="s">
        <v>141</v>
      </c>
      <c r="E1989" s="198" t="s">
        <v>44</v>
      </c>
      <c r="F1989" s="4" t="s">
        <v>73</v>
      </c>
      <c r="G1989" s="198" t="s">
        <v>2272</v>
      </c>
      <c r="H1989" s="198" t="s">
        <v>521</v>
      </c>
      <c r="I1989" s="198"/>
      <c r="J1989" s="4" t="s">
        <v>2272</v>
      </c>
      <c r="K1989" s="4" t="s">
        <v>2272</v>
      </c>
      <c r="L1989" s="4" t="s">
        <v>2272</v>
      </c>
      <c r="M1989" s="4" t="s">
        <v>2272</v>
      </c>
      <c r="N1989" s="4" t="s">
        <v>2272</v>
      </c>
      <c r="O1989" s="4" t="s">
        <v>2272</v>
      </c>
      <c r="P1989" s="4" t="s">
        <v>2272</v>
      </c>
      <c r="Q1989" s="4" t="s">
        <v>2272</v>
      </c>
      <c r="R1989" s="4" t="s">
        <v>2272</v>
      </c>
      <c r="S1989" s="4" t="s">
        <v>2272</v>
      </c>
      <c r="T1989" s="4" t="s">
        <v>2272</v>
      </c>
      <c r="U1989" s="4" t="s">
        <v>2272</v>
      </c>
      <c r="V1989" s="4" t="s">
        <v>2272</v>
      </c>
      <c r="W1989" s="4" t="s">
        <v>2272</v>
      </c>
      <c r="X1989" s="4" t="s">
        <v>2272</v>
      </c>
      <c r="Y1989" s="4" t="s">
        <v>2272</v>
      </c>
      <c r="Z1989" s="4" t="s">
        <v>2272</v>
      </c>
      <c r="AA1989" s="4" t="s">
        <v>2272</v>
      </c>
      <c r="AB1989" s="4" t="s">
        <v>2272</v>
      </c>
      <c r="AC1989" s="4" t="s">
        <v>2272</v>
      </c>
      <c r="AD1989" s="198"/>
      <c r="AE1989" s="198"/>
    </row>
    <row r="1990" spans="1:31" ht="30" customHeight="1">
      <c r="A1990" s="198" t="s">
        <v>5687</v>
      </c>
      <c r="B1990" s="4" t="s">
        <v>5695</v>
      </c>
      <c r="C1990" s="198" t="s">
        <v>23</v>
      </c>
      <c r="D1990" s="198" t="s">
        <v>141</v>
      </c>
      <c r="E1990" s="198" t="s">
        <v>2642</v>
      </c>
      <c r="F1990" s="4" t="s">
        <v>73</v>
      </c>
      <c r="G1990" s="198" t="s">
        <v>2272</v>
      </c>
      <c r="H1990" s="198" t="s">
        <v>522</v>
      </c>
      <c r="I1990" s="198"/>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21">
        <v>0</v>
      </c>
      <c r="Z1990" s="4" t="s">
        <v>2272</v>
      </c>
      <c r="AA1990" s="4" t="s">
        <v>2272</v>
      </c>
      <c r="AB1990" s="4" t="s">
        <v>2272</v>
      </c>
      <c r="AC1990" s="4" t="s">
        <v>2272</v>
      </c>
      <c r="AD1990" s="198"/>
      <c r="AE1990" s="198"/>
    </row>
    <row r="1991" spans="1:31" ht="36" customHeight="1">
      <c r="A1991" s="198" t="s">
        <v>5687</v>
      </c>
      <c r="B1991" s="4" t="s">
        <v>5700</v>
      </c>
      <c r="C1991" s="198" t="s">
        <v>2453</v>
      </c>
      <c r="D1991" s="198" t="s">
        <v>26</v>
      </c>
      <c r="E1991" s="198" t="s">
        <v>128</v>
      </c>
      <c r="F1991" s="4" t="s">
        <v>73</v>
      </c>
      <c r="G1991" s="198" t="s">
        <v>2272</v>
      </c>
      <c r="H1991" s="198" t="s">
        <v>521</v>
      </c>
      <c r="I1991" s="198"/>
      <c r="J1991" s="4" t="s">
        <v>2272</v>
      </c>
      <c r="K1991" s="4" t="s">
        <v>2272</v>
      </c>
      <c r="L1991" s="4" t="s">
        <v>2272</v>
      </c>
      <c r="M1991" s="4" t="s">
        <v>2272</v>
      </c>
      <c r="N1991" s="4" t="s">
        <v>2272</v>
      </c>
      <c r="O1991" s="4" t="s">
        <v>2272</v>
      </c>
      <c r="P1991" s="4" t="s">
        <v>2272</v>
      </c>
      <c r="Q1991" s="4" t="s">
        <v>2272</v>
      </c>
      <c r="R1991" s="4" t="s">
        <v>2272</v>
      </c>
      <c r="S1991" s="4" t="s">
        <v>2272</v>
      </c>
      <c r="T1991" s="4" t="s">
        <v>2272</v>
      </c>
      <c r="U1991" s="4" t="s">
        <v>2272</v>
      </c>
      <c r="V1991" s="4" t="s">
        <v>2272</v>
      </c>
      <c r="W1991" s="4" t="s">
        <v>2272</v>
      </c>
      <c r="X1991" s="4" t="s">
        <v>2272</v>
      </c>
      <c r="Y1991" s="4" t="s">
        <v>2272</v>
      </c>
      <c r="Z1991" s="4" t="s">
        <v>2272</v>
      </c>
      <c r="AA1991" s="4" t="s">
        <v>2272</v>
      </c>
      <c r="AB1991" s="4" t="s">
        <v>2272</v>
      </c>
      <c r="AC1991" s="4" t="s">
        <v>2272</v>
      </c>
      <c r="AD1991" s="198"/>
      <c r="AE1991" s="198"/>
    </row>
    <row r="1992" spans="1:31" ht="23.5" customHeight="1">
      <c r="A1992" s="198" t="s">
        <v>5687</v>
      </c>
      <c r="B1992" s="4" t="s">
        <v>5701</v>
      </c>
      <c r="C1992" s="198" t="s">
        <v>2453</v>
      </c>
      <c r="D1992" s="198" t="s">
        <v>24</v>
      </c>
      <c r="E1992" s="198" t="s">
        <v>44</v>
      </c>
      <c r="F1992" s="4" t="s">
        <v>54</v>
      </c>
      <c r="G1992" s="198" t="s">
        <v>2272</v>
      </c>
      <c r="H1992" s="198" t="s">
        <v>521</v>
      </c>
      <c r="I1992" s="198"/>
      <c r="J1992" s="4" t="s">
        <v>2272</v>
      </c>
      <c r="K1992" s="4" t="s">
        <v>2272</v>
      </c>
      <c r="L1992" s="4" t="s">
        <v>2272</v>
      </c>
      <c r="M1992" s="4" t="s">
        <v>2272</v>
      </c>
      <c r="N1992" s="4" t="s">
        <v>2272</v>
      </c>
      <c r="O1992" s="4" t="s">
        <v>2272</v>
      </c>
      <c r="P1992" s="4" t="s">
        <v>2272</v>
      </c>
      <c r="Q1992" s="4" t="s">
        <v>2272</v>
      </c>
      <c r="R1992" s="4" t="s">
        <v>2272</v>
      </c>
      <c r="S1992" s="4" t="s">
        <v>2272</v>
      </c>
      <c r="T1992" s="4" t="s">
        <v>2272</v>
      </c>
      <c r="U1992" s="4" t="s">
        <v>2272</v>
      </c>
      <c r="V1992" s="4" t="s">
        <v>2272</v>
      </c>
      <c r="W1992" s="4" t="s">
        <v>2272</v>
      </c>
      <c r="X1992" s="4" t="s">
        <v>2272</v>
      </c>
      <c r="Y1992" s="4" t="s">
        <v>2272</v>
      </c>
      <c r="Z1992" s="4" t="s">
        <v>2272</v>
      </c>
      <c r="AA1992" s="4" t="s">
        <v>2272</v>
      </c>
      <c r="AB1992" s="4" t="s">
        <v>2272</v>
      </c>
      <c r="AC1992" s="4" t="s">
        <v>2272</v>
      </c>
      <c r="AD1992" s="198"/>
      <c r="AE1992" s="198"/>
    </row>
    <row r="1993" spans="1:31" ht="33.5" customHeight="1">
      <c r="A1993" s="198" t="s">
        <v>5687</v>
      </c>
      <c r="B1993" s="4" t="s">
        <v>5702</v>
      </c>
      <c r="C1993" s="198" t="s">
        <v>2453</v>
      </c>
      <c r="D1993" s="198" t="s">
        <v>24</v>
      </c>
      <c r="E1993" s="198" t="s">
        <v>44</v>
      </c>
      <c r="F1993" s="4" t="s">
        <v>28</v>
      </c>
      <c r="G1993" s="198" t="s">
        <v>2272</v>
      </c>
      <c r="H1993" s="198" t="s">
        <v>521</v>
      </c>
      <c r="I1993" s="198"/>
      <c r="J1993" s="4" t="s">
        <v>2272</v>
      </c>
      <c r="K1993" s="4" t="s">
        <v>2272</v>
      </c>
      <c r="L1993" s="4" t="s">
        <v>2272</v>
      </c>
      <c r="M1993" s="4" t="s">
        <v>2272</v>
      </c>
      <c r="N1993" s="4" t="s">
        <v>2272</v>
      </c>
      <c r="O1993" s="4" t="s">
        <v>2272</v>
      </c>
      <c r="P1993" s="4" t="s">
        <v>2272</v>
      </c>
      <c r="Q1993" s="4" t="s">
        <v>2272</v>
      </c>
      <c r="R1993" s="4" t="s">
        <v>2272</v>
      </c>
      <c r="S1993" s="4" t="s">
        <v>2272</v>
      </c>
      <c r="T1993" s="4" t="s">
        <v>2272</v>
      </c>
      <c r="U1993" s="4" t="s">
        <v>2272</v>
      </c>
      <c r="V1993" s="4" t="s">
        <v>2272</v>
      </c>
      <c r="W1993" s="4" t="s">
        <v>2272</v>
      </c>
      <c r="X1993" s="4" t="s">
        <v>2272</v>
      </c>
      <c r="Y1993" s="4" t="s">
        <v>2272</v>
      </c>
      <c r="Z1993" s="4" t="s">
        <v>2272</v>
      </c>
      <c r="AA1993" s="4" t="s">
        <v>2272</v>
      </c>
      <c r="AB1993" s="4" t="s">
        <v>2272</v>
      </c>
      <c r="AC1993" s="4" t="s">
        <v>2272</v>
      </c>
      <c r="AD1993" s="198"/>
      <c r="AE1993" s="198"/>
    </row>
    <row r="1994" spans="1:31" ht="33.5" customHeight="1">
      <c r="A1994" s="198" t="s">
        <v>5687</v>
      </c>
      <c r="B1994" s="4" t="s">
        <v>5703</v>
      </c>
      <c r="C1994" s="198" t="s">
        <v>23</v>
      </c>
      <c r="D1994" s="198" t="s">
        <v>1241</v>
      </c>
      <c r="E1994" s="198" t="s">
        <v>114</v>
      </c>
      <c r="F1994" s="4" t="s">
        <v>2272</v>
      </c>
      <c r="G1994" s="198" t="s">
        <v>2272</v>
      </c>
      <c r="H1994" s="198" t="s">
        <v>521</v>
      </c>
      <c r="I1994" s="198"/>
      <c r="J1994" s="4" t="s">
        <v>2272</v>
      </c>
      <c r="K1994" s="4" t="s">
        <v>2272</v>
      </c>
      <c r="L1994" s="4" t="s">
        <v>2272</v>
      </c>
      <c r="M1994" s="4" t="s">
        <v>2272</v>
      </c>
      <c r="N1994" s="4" t="s">
        <v>2272</v>
      </c>
      <c r="O1994" s="4" t="s">
        <v>2272</v>
      </c>
      <c r="P1994" s="4" t="s">
        <v>2272</v>
      </c>
      <c r="Q1994" s="4" t="s">
        <v>2272</v>
      </c>
      <c r="R1994" s="4" t="s">
        <v>2272</v>
      </c>
      <c r="S1994" s="4" t="s">
        <v>2272</v>
      </c>
      <c r="T1994" s="4" t="s">
        <v>2272</v>
      </c>
      <c r="U1994" s="4" t="s">
        <v>2272</v>
      </c>
      <c r="V1994" s="4" t="s">
        <v>2272</v>
      </c>
      <c r="W1994" s="4" t="s">
        <v>2272</v>
      </c>
      <c r="X1994" s="4" t="s">
        <v>2272</v>
      </c>
      <c r="Y1994" s="4" t="s">
        <v>2272</v>
      </c>
      <c r="Z1994" s="4" t="s">
        <v>2272</v>
      </c>
      <c r="AA1994" s="4" t="s">
        <v>2272</v>
      </c>
      <c r="AB1994" s="4" t="s">
        <v>2272</v>
      </c>
      <c r="AC1994" s="4" t="s">
        <v>2272</v>
      </c>
      <c r="AD1994" s="198"/>
      <c r="AE1994" s="198"/>
    </row>
    <row r="1995" spans="1:31" ht="24.5" customHeight="1">
      <c r="A1995" s="198" t="s">
        <v>5709</v>
      </c>
      <c r="B1995" s="198" t="s">
        <v>5711</v>
      </c>
      <c r="C1995" s="198" t="s">
        <v>23</v>
      </c>
      <c r="D1995" s="198" t="s">
        <v>26</v>
      </c>
      <c r="E1995" s="198" t="s">
        <v>128</v>
      </c>
      <c r="F1995" s="4" t="s">
        <v>73</v>
      </c>
      <c r="G1995" s="198" t="s">
        <v>2272</v>
      </c>
      <c r="H1995" s="198" t="s">
        <v>522</v>
      </c>
      <c r="I1995" s="198"/>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21">
        <v>0</v>
      </c>
      <c r="Z1995" s="4" t="s">
        <v>2272</v>
      </c>
      <c r="AA1995" s="4" t="s">
        <v>2272</v>
      </c>
      <c r="AB1995" s="4" t="s">
        <v>2272</v>
      </c>
      <c r="AC1995" s="4" t="s">
        <v>2272</v>
      </c>
      <c r="AD1995" s="198"/>
      <c r="AE1995" s="198"/>
    </row>
    <row r="1996" spans="1:31" ht="24.5" customHeight="1">
      <c r="A1996" s="198" t="s">
        <v>5709</v>
      </c>
      <c r="B1996" s="198" t="s">
        <v>5712</v>
      </c>
      <c r="C1996" s="198" t="s">
        <v>23</v>
      </c>
      <c r="D1996" s="198" t="s">
        <v>24</v>
      </c>
      <c r="E1996" s="198" t="s">
        <v>44</v>
      </c>
      <c r="F1996" s="4" t="s">
        <v>73</v>
      </c>
      <c r="G1996" s="198" t="s">
        <v>2272</v>
      </c>
      <c r="H1996" s="198" t="s">
        <v>522</v>
      </c>
      <c r="I1996" s="198"/>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21">
        <v>0</v>
      </c>
      <c r="Z1996" s="4" t="s">
        <v>2272</v>
      </c>
      <c r="AA1996" s="4" t="s">
        <v>2272</v>
      </c>
      <c r="AB1996" s="4" t="s">
        <v>2272</v>
      </c>
      <c r="AC1996" s="4" t="s">
        <v>2272</v>
      </c>
      <c r="AD1996" s="198"/>
      <c r="AE1996" s="198"/>
    </row>
    <row r="1997" spans="1:31" ht="24.5" customHeight="1">
      <c r="A1997" s="198" t="s">
        <v>5709</v>
      </c>
      <c r="B1997" s="198" t="s">
        <v>5713</v>
      </c>
      <c r="C1997" s="198" t="s">
        <v>23</v>
      </c>
      <c r="D1997" s="198" t="s">
        <v>3475</v>
      </c>
      <c r="E1997" s="198" t="s">
        <v>114</v>
      </c>
      <c r="F1997" s="4" t="s">
        <v>73</v>
      </c>
      <c r="G1997" s="198" t="s">
        <v>2272</v>
      </c>
      <c r="H1997" s="198" t="s">
        <v>522</v>
      </c>
      <c r="I1997" s="198"/>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21">
        <v>0</v>
      </c>
      <c r="Z1997" s="4" t="s">
        <v>2272</v>
      </c>
      <c r="AA1997" s="4" t="s">
        <v>2272</v>
      </c>
      <c r="AB1997" s="4" t="s">
        <v>2272</v>
      </c>
      <c r="AC1997" s="4" t="s">
        <v>2272</v>
      </c>
      <c r="AD1997" s="198"/>
      <c r="AE1997" s="198"/>
    </row>
    <row r="1998" spans="1:31" ht="32" customHeight="1">
      <c r="A1998" s="35" t="s">
        <v>5709</v>
      </c>
      <c r="B1998" s="35" t="s">
        <v>5715</v>
      </c>
      <c r="C1998" s="35" t="s">
        <v>23</v>
      </c>
      <c r="D1998" s="197" t="s">
        <v>1102</v>
      </c>
      <c r="E1998" s="197" t="s">
        <v>135</v>
      </c>
      <c r="F1998" s="163" t="s">
        <v>73</v>
      </c>
      <c r="G1998" s="35" t="s">
        <v>2272</v>
      </c>
      <c r="H1998" s="35" t="s">
        <v>522</v>
      </c>
      <c r="I1998" s="35"/>
      <c r="J1998" s="69">
        <v>0</v>
      </c>
      <c r="K1998" s="69">
        <v>0</v>
      </c>
      <c r="L1998" s="69">
        <v>0</v>
      </c>
      <c r="M1998" s="69">
        <v>0</v>
      </c>
      <c r="N1998" s="69">
        <v>0</v>
      </c>
      <c r="O1998" s="69">
        <v>0</v>
      </c>
      <c r="P1998" s="69">
        <v>0</v>
      </c>
      <c r="Q1998" s="69">
        <v>0</v>
      </c>
      <c r="R1998" s="69">
        <v>0</v>
      </c>
      <c r="S1998" s="69">
        <v>0</v>
      </c>
      <c r="T1998" s="69">
        <v>0</v>
      </c>
      <c r="U1998" s="69">
        <v>0</v>
      </c>
      <c r="V1998" s="69">
        <v>0</v>
      </c>
      <c r="W1998" s="69">
        <v>0</v>
      </c>
      <c r="X1998" s="69">
        <v>0</v>
      </c>
      <c r="Y1998" s="69">
        <v>0</v>
      </c>
      <c r="Z1998" s="163" t="s">
        <v>2272</v>
      </c>
      <c r="AA1998" s="163" t="s">
        <v>2272</v>
      </c>
      <c r="AB1998" s="163" t="s">
        <v>2272</v>
      </c>
      <c r="AC1998" s="163" t="s">
        <v>2272</v>
      </c>
      <c r="AD1998" s="35"/>
      <c r="AE1998" s="35"/>
    </row>
    <row r="1999" spans="1:31" ht="68" customHeight="1">
      <c r="A1999" s="198" t="s">
        <v>5717</v>
      </c>
      <c r="B1999" s="198" t="s">
        <v>5726</v>
      </c>
      <c r="C1999" s="198" t="s">
        <v>23</v>
      </c>
      <c r="D1999" s="198" t="s">
        <v>25</v>
      </c>
      <c r="E1999" s="4" t="s">
        <v>394</v>
      </c>
      <c r="F1999" s="4" t="s">
        <v>27</v>
      </c>
      <c r="G1999" s="198" t="s">
        <v>2272</v>
      </c>
      <c r="H1999" s="198" t="s">
        <v>521</v>
      </c>
      <c r="I1999" s="198"/>
      <c r="J1999" s="4" t="s">
        <v>2272</v>
      </c>
      <c r="K1999" s="4" t="s">
        <v>2272</v>
      </c>
      <c r="L1999" s="4" t="s">
        <v>2272</v>
      </c>
      <c r="M1999" s="4" t="s">
        <v>2272</v>
      </c>
      <c r="N1999" s="4" t="s">
        <v>2272</v>
      </c>
      <c r="O1999" s="4" t="s">
        <v>2272</v>
      </c>
      <c r="P1999" s="4" t="s">
        <v>2272</v>
      </c>
      <c r="Q1999" s="4" t="s">
        <v>2272</v>
      </c>
      <c r="R1999" s="4" t="s">
        <v>2272</v>
      </c>
      <c r="S1999" s="4" t="s">
        <v>2272</v>
      </c>
      <c r="T1999" s="4" t="s">
        <v>2272</v>
      </c>
      <c r="U1999" s="4" t="s">
        <v>2272</v>
      </c>
      <c r="V1999" s="4" t="s">
        <v>2272</v>
      </c>
      <c r="W1999" s="4" t="s">
        <v>2272</v>
      </c>
      <c r="X1999" s="4" t="s">
        <v>2272</v>
      </c>
      <c r="Y1999" s="4" t="s">
        <v>2272</v>
      </c>
      <c r="Z1999" s="4" t="s">
        <v>2272</v>
      </c>
      <c r="AA1999" s="4" t="s">
        <v>2272</v>
      </c>
      <c r="AB1999" s="4" t="s">
        <v>2272</v>
      </c>
      <c r="AC1999" s="4" t="s">
        <v>2272</v>
      </c>
      <c r="AD1999" s="4" t="s">
        <v>5727</v>
      </c>
      <c r="AE1999" s="198"/>
    </row>
    <row r="2000" spans="1:31" ht="58">
      <c r="A2000" s="4" t="s">
        <v>5720</v>
      </c>
      <c r="B2000" s="198" t="s">
        <v>5729</v>
      </c>
      <c r="C2000" s="198" t="s">
        <v>23</v>
      </c>
      <c r="D2000" s="198" t="s">
        <v>25</v>
      </c>
      <c r="E2000" s="4" t="s">
        <v>394</v>
      </c>
      <c r="F2000" s="4" t="s">
        <v>27</v>
      </c>
      <c r="G2000" s="198" t="s">
        <v>2272</v>
      </c>
      <c r="H2000" s="198" t="s">
        <v>521</v>
      </c>
      <c r="I2000" s="198"/>
      <c r="J2000" s="4" t="s">
        <v>2272</v>
      </c>
      <c r="K2000" s="4" t="s">
        <v>2272</v>
      </c>
      <c r="L2000" s="4" t="s">
        <v>2272</v>
      </c>
      <c r="M2000" s="4" t="s">
        <v>2272</v>
      </c>
      <c r="N2000" s="4" t="s">
        <v>2272</v>
      </c>
      <c r="O2000" s="4" t="s">
        <v>2272</v>
      </c>
      <c r="P2000" s="4" t="s">
        <v>2272</v>
      </c>
      <c r="Q2000" s="4" t="s">
        <v>2272</v>
      </c>
      <c r="R2000" s="4" t="s">
        <v>2272</v>
      </c>
      <c r="S2000" s="4" t="s">
        <v>2272</v>
      </c>
      <c r="T2000" s="4" t="s">
        <v>2272</v>
      </c>
      <c r="U2000" s="4" t="s">
        <v>2272</v>
      </c>
      <c r="V2000" s="4" t="s">
        <v>2272</v>
      </c>
      <c r="W2000" s="4" t="s">
        <v>2272</v>
      </c>
      <c r="X2000" s="4" t="s">
        <v>2272</v>
      </c>
      <c r="Y2000" s="4" t="s">
        <v>2272</v>
      </c>
      <c r="Z2000" s="4" t="s">
        <v>2272</v>
      </c>
      <c r="AA2000" s="4" t="s">
        <v>2272</v>
      </c>
      <c r="AB2000" s="4" t="s">
        <v>2272</v>
      </c>
      <c r="AC2000" s="4" t="s">
        <v>2272</v>
      </c>
      <c r="AD2000" s="4" t="s">
        <v>5727</v>
      </c>
      <c r="AE2000" s="198"/>
    </row>
    <row r="2001" spans="1:31" ht="58">
      <c r="A2001" s="4" t="s">
        <v>5721</v>
      </c>
      <c r="B2001" s="198" t="s">
        <v>5730</v>
      </c>
      <c r="C2001" s="198" t="s">
        <v>23</v>
      </c>
      <c r="D2001" s="198" t="s">
        <v>25</v>
      </c>
      <c r="E2001" s="4" t="s">
        <v>394</v>
      </c>
      <c r="F2001" s="4" t="s">
        <v>27</v>
      </c>
      <c r="G2001" s="198" t="s">
        <v>2272</v>
      </c>
      <c r="H2001" s="198" t="s">
        <v>521</v>
      </c>
      <c r="I2001" s="198"/>
      <c r="J2001" s="4" t="s">
        <v>2272</v>
      </c>
      <c r="K2001" s="4" t="s">
        <v>2272</v>
      </c>
      <c r="L2001" s="4" t="s">
        <v>2272</v>
      </c>
      <c r="M2001" s="4" t="s">
        <v>2272</v>
      </c>
      <c r="N2001" s="4" t="s">
        <v>2272</v>
      </c>
      <c r="O2001" s="4" t="s">
        <v>2272</v>
      </c>
      <c r="P2001" s="4" t="s">
        <v>2272</v>
      </c>
      <c r="Q2001" s="4" t="s">
        <v>2272</v>
      </c>
      <c r="R2001" s="4" t="s">
        <v>2272</v>
      </c>
      <c r="S2001" s="4" t="s">
        <v>2272</v>
      </c>
      <c r="T2001" s="4" t="s">
        <v>2272</v>
      </c>
      <c r="U2001" s="4" t="s">
        <v>2272</v>
      </c>
      <c r="V2001" s="4" t="s">
        <v>2272</v>
      </c>
      <c r="W2001" s="4" t="s">
        <v>2272</v>
      </c>
      <c r="X2001" s="4" t="s">
        <v>2272</v>
      </c>
      <c r="Y2001" s="4" t="s">
        <v>2272</v>
      </c>
      <c r="Z2001" s="4" t="s">
        <v>2272</v>
      </c>
      <c r="AA2001" s="4" t="s">
        <v>2272</v>
      </c>
      <c r="AB2001" s="4" t="s">
        <v>2272</v>
      </c>
      <c r="AC2001" s="4" t="s">
        <v>2272</v>
      </c>
      <c r="AD2001" s="4" t="s">
        <v>5727</v>
      </c>
      <c r="AE2001" s="198"/>
    </row>
    <row r="2002" spans="1:31" ht="58">
      <c r="A2002" s="4" t="s">
        <v>5722</v>
      </c>
      <c r="B2002" s="198" t="s">
        <v>5731</v>
      </c>
      <c r="C2002" s="198" t="s">
        <v>23</v>
      </c>
      <c r="D2002" s="198" t="s">
        <v>25</v>
      </c>
      <c r="E2002" s="4" t="s">
        <v>394</v>
      </c>
      <c r="F2002" s="4" t="s">
        <v>27</v>
      </c>
      <c r="G2002" s="198" t="s">
        <v>2272</v>
      </c>
      <c r="H2002" s="198" t="s">
        <v>521</v>
      </c>
      <c r="I2002" s="198"/>
      <c r="J2002" s="4" t="s">
        <v>2272</v>
      </c>
      <c r="K2002" s="4" t="s">
        <v>2272</v>
      </c>
      <c r="L2002" s="4" t="s">
        <v>2272</v>
      </c>
      <c r="M2002" s="4" t="s">
        <v>2272</v>
      </c>
      <c r="N2002" s="4" t="s">
        <v>2272</v>
      </c>
      <c r="O2002" s="4" t="s">
        <v>2272</v>
      </c>
      <c r="P2002" s="4" t="s">
        <v>2272</v>
      </c>
      <c r="Q2002" s="4" t="s">
        <v>2272</v>
      </c>
      <c r="R2002" s="4" t="s">
        <v>2272</v>
      </c>
      <c r="S2002" s="4" t="s">
        <v>2272</v>
      </c>
      <c r="T2002" s="4" t="s">
        <v>2272</v>
      </c>
      <c r="U2002" s="4" t="s">
        <v>2272</v>
      </c>
      <c r="V2002" s="4" t="s">
        <v>2272</v>
      </c>
      <c r="W2002" s="4" t="s">
        <v>2272</v>
      </c>
      <c r="X2002" s="4" t="s">
        <v>2272</v>
      </c>
      <c r="Y2002" s="4" t="s">
        <v>2272</v>
      </c>
      <c r="Z2002" s="4" t="s">
        <v>2272</v>
      </c>
      <c r="AA2002" s="4" t="s">
        <v>2272</v>
      </c>
      <c r="AB2002" s="4" t="s">
        <v>2272</v>
      </c>
      <c r="AC2002" s="4" t="s">
        <v>2272</v>
      </c>
      <c r="AD2002" s="4" t="s">
        <v>5727</v>
      </c>
      <c r="AE2002" s="198"/>
    </row>
    <row r="2003" spans="1:31" ht="33.5" customHeight="1">
      <c r="A2003" s="4" t="s">
        <v>5733</v>
      </c>
      <c r="B2003" s="4" t="s">
        <v>5740</v>
      </c>
      <c r="C2003" s="198" t="s">
        <v>1102</v>
      </c>
      <c r="D2003" s="198" t="s">
        <v>1102</v>
      </c>
      <c r="E2003" s="198" t="s">
        <v>1102</v>
      </c>
      <c r="F2003" s="198" t="s">
        <v>1102</v>
      </c>
      <c r="G2003" s="198" t="s">
        <v>73</v>
      </c>
      <c r="H2003" s="198" t="s">
        <v>521</v>
      </c>
      <c r="I2003" s="198"/>
      <c r="J2003" s="4" t="s">
        <v>2272</v>
      </c>
      <c r="K2003" s="4" t="s">
        <v>2272</v>
      </c>
      <c r="L2003" s="4" t="s">
        <v>2272</v>
      </c>
      <c r="M2003" s="4" t="s">
        <v>2272</v>
      </c>
      <c r="N2003" s="4" t="s">
        <v>2272</v>
      </c>
      <c r="O2003" s="4" t="s">
        <v>2272</v>
      </c>
      <c r="P2003" s="4" t="s">
        <v>2272</v>
      </c>
      <c r="Q2003" s="4" t="s">
        <v>2272</v>
      </c>
      <c r="R2003" s="4" t="s">
        <v>2272</v>
      </c>
      <c r="S2003" s="4" t="s">
        <v>2272</v>
      </c>
      <c r="T2003" s="4" t="s">
        <v>2272</v>
      </c>
      <c r="U2003" s="4" t="s">
        <v>2272</v>
      </c>
      <c r="V2003" s="4" t="s">
        <v>2272</v>
      </c>
      <c r="W2003" s="21">
        <v>3.19</v>
      </c>
      <c r="X2003" s="4" t="s">
        <v>2272</v>
      </c>
      <c r="Y2003" s="4" t="s">
        <v>2272</v>
      </c>
      <c r="Z2003" s="4" t="s">
        <v>2272</v>
      </c>
      <c r="AA2003" s="4" t="s">
        <v>2272</v>
      </c>
      <c r="AB2003" s="4" t="s">
        <v>2272</v>
      </c>
      <c r="AC2003" s="4" t="s">
        <v>2272</v>
      </c>
      <c r="AD2003" s="198"/>
      <c r="AE2003" s="198"/>
    </row>
    <row r="2004" spans="1:31" ht="33.5" customHeight="1">
      <c r="A2004" s="4" t="s">
        <v>5737</v>
      </c>
      <c r="B2004" s="4" t="s">
        <v>5741</v>
      </c>
      <c r="C2004" s="198" t="s">
        <v>1102</v>
      </c>
      <c r="D2004" s="198" t="s">
        <v>1102</v>
      </c>
      <c r="E2004" s="198" t="s">
        <v>1102</v>
      </c>
      <c r="F2004" s="198" t="s">
        <v>1102</v>
      </c>
      <c r="G2004" s="198" t="s">
        <v>73</v>
      </c>
      <c r="H2004" s="198" t="s">
        <v>521</v>
      </c>
      <c r="I2004" s="198"/>
      <c r="J2004" s="4" t="s">
        <v>2272</v>
      </c>
      <c r="K2004" s="4" t="s">
        <v>2272</v>
      </c>
      <c r="L2004" s="4" t="s">
        <v>2272</v>
      </c>
      <c r="M2004" s="4" t="s">
        <v>2272</v>
      </c>
      <c r="N2004" s="4" t="s">
        <v>2272</v>
      </c>
      <c r="O2004" s="4" t="s">
        <v>2272</v>
      </c>
      <c r="P2004" s="4" t="s">
        <v>2272</v>
      </c>
      <c r="Q2004" s="4" t="s">
        <v>2272</v>
      </c>
      <c r="R2004" s="4" t="s">
        <v>2272</v>
      </c>
      <c r="S2004" s="4" t="s">
        <v>2272</v>
      </c>
      <c r="T2004" s="4" t="s">
        <v>2272</v>
      </c>
      <c r="U2004" s="4" t="s">
        <v>2272</v>
      </c>
      <c r="V2004" s="4" t="s">
        <v>2272</v>
      </c>
      <c r="W2004" s="21">
        <v>10.69</v>
      </c>
      <c r="X2004" s="4" t="s">
        <v>2272</v>
      </c>
      <c r="Y2004" s="4" t="s">
        <v>2272</v>
      </c>
      <c r="Z2004" s="4" t="s">
        <v>2272</v>
      </c>
      <c r="AA2004" s="4" t="s">
        <v>2272</v>
      </c>
      <c r="AB2004" s="4" t="s">
        <v>2272</v>
      </c>
      <c r="AC2004" s="4" t="s">
        <v>2272</v>
      </c>
      <c r="AD2004" s="198"/>
      <c r="AE2004" s="198"/>
    </row>
    <row r="2005" spans="1:31" ht="33.5" customHeight="1">
      <c r="A2005" s="4" t="s">
        <v>5738</v>
      </c>
      <c r="B2005" s="4" t="s">
        <v>5742</v>
      </c>
      <c r="C2005" s="198" t="s">
        <v>1102</v>
      </c>
      <c r="D2005" s="198" t="s">
        <v>1102</v>
      </c>
      <c r="E2005" s="198" t="s">
        <v>1102</v>
      </c>
      <c r="F2005" s="198" t="s">
        <v>1102</v>
      </c>
      <c r="G2005" s="198" t="s">
        <v>73</v>
      </c>
      <c r="H2005" s="198" t="s">
        <v>521</v>
      </c>
      <c r="I2005" s="198"/>
      <c r="J2005" s="4" t="s">
        <v>2272</v>
      </c>
      <c r="K2005" s="4" t="s">
        <v>2272</v>
      </c>
      <c r="L2005" s="4" t="s">
        <v>2272</v>
      </c>
      <c r="M2005" s="4" t="s">
        <v>2272</v>
      </c>
      <c r="N2005" s="4" t="s">
        <v>2272</v>
      </c>
      <c r="O2005" s="4" t="s">
        <v>2272</v>
      </c>
      <c r="P2005" s="4" t="s">
        <v>2272</v>
      </c>
      <c r="Q2005" s="4" t="s">
        <v>2272</v>
      </c>
      <c r="R2005" s="4" t="s">
        <v>2272</v>
      </c>
      <c r="S2005" s="4" t="s">
        <v>2272</v>
      </c>
      <c r="T2005" s="4" t="s">
        <v>2272</v>
      </c>
      <c r="U2005" s="4" t="s">
        <v>2272</v>
      </c>
      <c r="V2005" s="4" t="s">
        <v>2272</v>
      </c>
      <c r="W2005" s="21">
        <v>1.08</v>
      </c>
      <c r="X2005" s="4" t="s">
        <v>2272</v>
      </c>
      <c r="Y2005" s="4" t="s">
        <v>2272</v>
      </c>
      <c r="Z2005" s="4" t="s">
        <v>2272</v>
      </c>
      <c r="AA2005" s="4" t="s">
        <v>2272</v>
      </c>
      <c r="AB2005" s="4" t="s">
        <v>2272</v>
      </c>
      <c r="AC2005" s="4" t="s">
        <v>2272</v>
      </c>
      <c r="AD2005" s="198"/>
      <c r="AE2005" s="198"/>
    </row>
    <row r="2006" spans="1:31" ht="36.5" customHeight="1">
      <c r="A2006" s="4" t="s">
        <v>5733</v>
      </c>
      <c r="B2006" s="4" t="s">
        <v>5744</v>
      </c>
      <c r="C2006" s="198" t="s">
        <v>23</v>
      </c>
      <c r="D2006" s="198" t="s">
        <v>1238</v>
      </c>
      <c r="E2006" s="4" t="s">
        <v>395</v>
      </c>
      <c r="F2006" s="4" t="s">
        <v>73</v>
      </c>
      <c r="G2006" s="198" t="s">
        <v>2272</v>
      </c>
      <c r="H2006" s="198" t="s">
        <v>521</v>
      </c>
      <c r="I2006" s="198"/>
      <c r="J2006" s="4" t="s">
        <v>2272</v>
      </c>
      <c r="K2006" s="4" t="s">
        <v>2272</v>
      </c>
      <c r="L2006" s="4" t="s">
        <v>2272</v>
      </c>
      <c r="M2006" s="4" t="s">
        <v>2272</v>
      </c>
      <c r="N2006" s="4" t="s">
        <v>2272</v>
      </c>
      <c r="O2006" s="4" t="s">
        <v>2272</v>
      </c>
      <c r="P2006" s="4" t="s">
        <v>2272</v>
      </c>
      <c r="Q2006" s="4" t="s">
        <v>2272</v>
      </c>
      <c r="R2006" s="4" t="s">
        <v>2272</v>
      </c>
      <c r="S2006" s="4" t="s">
        <v>2272</v>
      </c>
      <c r="T2006" s="4" t="s">
        <v>2272</v>
      </c>
      <c r="U2006" s="4" t="s">
        <v>2272</v>
      </c>
      <c r="V2006" s="4" t="s">
        <v>2272</v>
      </c>
      <c r="W2006" s="4" t="s">
        <v>2272</v>
      </c>
      <c r="X2006" s="4" t="s">
        <v>2272</v>
      </c>
      <c r="Y2006" s="4" t="s">
        <v>2272</v>
      </c>
      <c r="Z2006" s="4" t="s">
        <v>2272</v>
      </c>
      <c r="AA2006" s="4" t="s">
        <v>2272</v>
      </c>
      <c r="AB2006" s="4" t="s">
        <v>2272</v>
      </c>
      <c r="AC2006" s="4" t="s">
        <v>2272</v>
      </c>
      <c r="AD2006" s="198"/>
      <c r="AE2006" s="198"/>
    </row>
    <row r="2007" spans="1:31" ht="36.5" customHeight="1">
      <c r="A2007" s="4" t="s">
        <v>5737</v>
      </c>
      <c r="B2007" s="4" t="s">
        <v>5745</v>
      </c>
      <c r="C2007" s="198" t="s">
        <v>23</v>
      </c>
      <c r="D2007" s="198" t="s">
        <v>1238</v>
      </c>
      <c r="E2007" s="4" t="s">
        <v>395</v>
      </c>
      <c r="F2007" s="4" t="s">
        <v>73</v>
      </c>
      <c r="G2007" s="198" t="s">
        <v>2272</v>
      </c>
      <c r="H2007" s="198" t="s">
        <v>521</v>
      </c>
      <c r="I2007" s="198"/>
      <c r="J2007" s="4" t="s">
        <v>2272</v>
      </c>
      <c r="K2007" s="4" t="s">
        <v>2272</v>
      </c>
      <c r="L2007" s="4" t="s">
        <v>2272</v>
      </c>
      <c r="M2007" s="4" t="s">
        <v>2272</v>
      </c>
      <c r="N2007" s="4" t="s">
        <v>2272</v>
      </c>
      <c r="O2007" s="4" t="s">
        <v>2272</v>
      </c>
      <c r="P2007" s="4" t="s">
        <v>2272</v>
      </c>
      <c r="Q2007" s="4" t="s">
        <v>2272</v>
      </c>
      <c r="R2007" s="4" t="s">
        <v>2272</v>
      </c>
      <c r="S2007" s="4" t="s">
        <v>2272</v>
      </c>
      <c r="T2007" s="4" t="s">
        <v>2272</v>
      </c>
      <c r="U2007" s="4" t="s">
        <v>2272</v>
      </c>
      <c r="V2007" s="4" t="s">
        <v>2272</v>
      </c>
      <c r="W2007" s="4" t="s">
        <v>2272</v>
      </c>
      <c r="X2007" s="4" t="s">
        <v>2272</v>
      </c>
      <c r="Y2007" s="4" t="s">
        <v>2272</v>
      </c>
      <c r="Z2007" s="4" t="s">
        <v>2272</v>
      </c>
      <c r="AA2007" s="4" t="s">
        <v>2272</v>
      </c>
      <c r="AB2007" s="4" t="s">
        <v>2272</v>
      </c>
      <c r="AC2007" s="4" t="s">
        <v>2272</v>
      </c>
      <c r="AD2007" s="198"/>
      <c r="AE2007" s="198"/>
    </row>
    <row r="2008" spans="1:31" ht="36.5" customHeight="1">
      <c r="A2008" s="4" t="s">
        <v>5738</v>
      </c>
      <c r="B2008" s="4" t="s">
        <v>5746</v>
      </c>
      <c r="C2008" s="198" t="s">
        <v>23</v>
      </c>
      <c r="D2008" s="198" t="s">
        <v>1238</v>
      </c>
      <c r="E2008" s="4" t="s">
        <v>395</v>
      </c>
      <c r="F2008" s="4" t="s">
        <v>73</v>
      </c>
      <c r="G2008" s="198" t="s">
        <v>2272</v>
      </c>
      <c r="H2008" s="198" t="s">
        <v>521</v>
      </c>
      <c r="I2008" s="198"/>
      <c r="J2008" s="4" t="s">
        <v>2272</v>
      </c>
      <c r="K2008" s="4" t="s">
        <v>2272</v>
      </c>
      <c r="L2008" s="4" t="s">
        <v>2272</v>
      </c>
      <c r="M2008" s="4" t="s">
        <v>2272</v>
      </c>
      <c r="N2008" s="4" t="s">
        <v>2272</v>
      </c>
      <c r="O2008" s="4" t="s">
        <v>2272</v>
      </c>
      <c r="P2008" s="4" t="s">
        <v>2272</v>
      </c>
      <c r="Q2008" s="4" t="s">
        <v>2272</v>
      </c>
      <c r="R2008" s="4" t="s">
        <v>2272</v>
      </c>
      <c r="S2008" s="4" t="s">
        <v>2272</v>
      </c>
      <c r="T2008" s="4" t="s">
        <v>2272</v>
      </c>
      <c r="U2008" s="4" t="s">
        <v>2272</v>
      </c>
      <c r="V2008" s="4" t="s">
        <v>2272</v>
      </c>
      <c r="W2008" s="4" t="s">
        <v>2272</v>
      </c>
      <c r="X2008" s="4" t="s">
        <v>2272</v>
      </c>
      <c r="Y2008" s="4" t="s">
        <v>2272</v>
      </c>
      <c r="Z2008" s="4" t="s">
        <v>2272</v>
      </c>
      <c r="AA2008" s="4" t="s">
        <v>2272</v>
      </c>
      <c r="AB2008" s="4" t="s">
        <v>2272</v>
      </c>
      <c r="AC2008" s="4" t="s">
        <v>2272</v>
      </c>
      <c r="AD2008" s="198"/>
      <c r="AE2008" s="198"/>
    </row>
    <row r="2009" spans="1:31" ht="65.5" customHeight="1">
      <c r="A2009" s="4" t="s">
        <v>5733</v>
      </c>
      <c r="B2009" s="4" t="s">
        <v>5749</v>
      </c>
      <c r="C2009" s="198" t="s">
        <v>23</v>
      </c>
      <c r="D2009" s="198" t="s">
        <v>2654</v>
      </c>
      <c r="E2009" s="4" t="s">
        <v>395</v>
      </c>
      <c r="F2009" s="4" t="s">
        <v>27</v>
      </c>
      <c r="G2009" s="198" t="s">
        <v>2272</v>
      </c>
      <c r="H2009" s="198" t="s">
        <v>521</v>
      </c>
      <c r="I2009" s="198"/>
      <c r="J2009" s="4" t="s">
        <v>2272</v>
      </c>
      <c r="K2009" s="4" t="s">
        <v>2272</v>
      </c>
      <c r="L2009" s="4" t="s">
        <v>2272</v>
      </c>
      <c r="M2009" s="4" t="s">
        <v>2272</v>
      </c>
      <c r="N2009" s="4" t="s">
        <v>2272</v>
      </c>
      <c r="O2009" s="4" t="s">
        <v>2272</v>
      </c>
      <c r="P2009" s="4" t="s">
        <v>2272</v>
      </c>
      <c r="Q2009" s="4" t="s">
        <v>2272</v>
      </c>
      <c r="R2009" s="4" t="s">
        <v>2272</v>
      </c>
      <c r="S2009" s="4" t="s">
        <v>2272</v>
      </c>
      <c r="T2009" s="4" t="s">
        <v>2272</v>
      </c>
      <c r="U2009" s="4" t="s">
        <v>2272</v>
      </c>
      <c r="V2009" s="4" t="s">
        <v>2272</v>
      </c>
      <c r="W2009" s="4" t="s">
        <v>2272</v>
      </c>
      <c r="X2009" s="4" t="s">
        <v>2272</v>
      </c>
      <c r="Y2009" s="4" t="s">
        <v>2272</v>
      </c>
      <c r="Z2009" s="4" t="s">
        <v>2272</v>
      </c>
      <c r="AA2009" s="4" t="s">
        <v>2272</v>
      </c>
      <c r="AB2009" s="4" t="s">
        <v>2272</v>
      </c>
      <c r="AC2009" s="4" t="s">
        <v>2272</v>
      </c>
      <c r="AD2009" s="198"/>
      <c r="AE2009" s="4" t="s">
        <v>5757</v>
      </c>
    </row>
    <row r="2010" spans="1:31" ht="65.5" customHeight="1">
      <c r="A2010" s="4" t="s">
        <v>5737</v>
      </c>
      <c r="B2010" s="4" t="s">
        <v>5750</v>
      </c>
      <c r="C2010" s="198" t="s">
        <v>23</v>
      </c>
      <c r="D2010" s="198" t="s">
        <v>2654</v>
      </c>
      <c r="E2010" s="4" t="s">
        <v>395</v>
      </c>
      <c r="F2010" s="4" t="s">
        <v>27</v>
      </c>
      <c r="G2010" s="198" t="s">
        <v>2272</v>
      </c>
      <c r="H2010" s="198" t="s">
        <v>521</v>
      </c>
      <c r="I2010" s="198"/>
      <c r="J2010" s="4" t="s">
        <v>2272</v>
      </c>
      <c r="K2010" s="4" t="s">
        <v>2272</v>
      </c>
      <c r="L2010" s="4" t="s">
        <v>2272</v>
      </c>
      <c r="M2010" s="4" t="s">
        <v>2272</v>
      </c>
      <c r="N2010" s="4" t="s">
        <v>2272</v>
      </c>
      <c r="O2010" s="4" t="s">
        <v>2272</v>
      </c>
      <c r="P2010" s="4" t="s">
        <v>2272</v>
      </c>
      <c r="Q2010" s="4" t="s">
        <v>2272</v>
      </c>
      <c r="R2010" s="4" t="s">
        <v>2272</v>
      </c>
      <c r="S2010" s="4" t="s">
        <v>2272</v>
      </c>
      <c r="T2010" s="4" t="s">
        <v>2272</v>
      </c>
      <c r="U2010" s="4" t="s">
        <v>2272</v>
      </c>
      <c r="V2010" s="4" t="s">
        <v>2272</v>
      </c>
      <c r="W2010" s="4" t="s">
        <v>2272</v>
      </c>
      <c r="X2010" s="4" t="s">
        <v>2272</v>
      </c>
      <c r="Y2010" s="4" t="s">
        <v>2272</v>
      </c>
      <c r="Z2010" s="4" t="s">
        <v>2272</v>
      </c>
      <c r="AA2010" s="4" t="s">
        <v>2272</v>
      </c>
      <c r="AB2010" s="4" t="s">
        <v>2272</v>
      </c>
      <c r="AC2010" s="4" t="s">
        <v>2272</v>
      </c>
      <c r="AD2010" s="198"/>
      <c r="AE2010" s="4" t="s">
        <v>5757</v>
      </c>
    </row>
    <row r="2011" spans="1:31" ht="65.5" customHeight="1">
      <c r="A2011" s="4" t="s">
        <v>5738</v>
      </c>
      <c r="B2011" s="4" t="s">
        <v>5751</v>
      </c>
      <c r="C2011" s="198" t="s">
        <v>23</v>
      </c>
      <c r="D2011" s="198" t="s">
        <v>2654</v>
      </c>
      <c r="E2011" s="4" t="s">
        <v>395</v>
      </c>
      <c r="F2011" s="4" t="s">
        <v>27</v>
      </c>
      <c r="G2011" s="198" t="s">
        <v>2272</v>
      </c>
      <c r="H2011" s="198" t="s">
        <v>521</v>
      </c>
      <c r="I2011" s="198"/>
      <c r="J2011" s="4" t="s">
        <v>2272</v>
      </c>
      <c r="K2011" s="4" t="s">
        <v>2272</v>
      </c>
      <c r="L2011" s="4" t="s">
        <v>2272</v>
      </c>
      <c r="M2011" s="4" t="s">
        <v>2272</v>
      </c>
      <c r="N2011" s="4" t="s">
        <v>2272</v>
      </c>
      <c r="O2011" s="4" t="s">
        <v>2272</v>
      </c>
      <c r="P2011" s="4" t="s">
        <v>2272</v>
      </c>
      <c r="Q2011" s="4" t="s">
        <v>2272</v>
      </c>
      <c r="R2011" s="4" t="s">
        <v>2272</v>
      </c>
      <c r="S2011" s="4" t="s">
        <v>2272</v>
      </c>
      <c r="T2011" s="4" t="s">
        <v>2272</v>
      </c>
      <c r="U2011" s="4" t="s">
        <v>2272</v>
      </c>
      <c r="V2011" s="4" t="s">
        <v>2272</v>
      </c>
      <c r="W2011" s="4" t="s">
        <v>2272</v>
      </c>
      <c r="X2011" s="4" t="s">
        <v>2272</v>
      </c>
      <c r="Y2011" s="4" t="s">
        <v>2272</v>
      </c>
      <c r="Z2011" s="4" t="s">
        <v>2272</v>
      </c>
      <c r="AA2011" s="4" t="s">
        <v>2272</v>
      </c>
      <c r="AB2011" s="4" t="s">
        <v>2272</v>
      </c>
      <c r="AC2011" s="4" t="s">
        <v>2272</v>
      </c>
      <c r="AD2011" s="198"/>
      <c r="AE2011" s="4" t="s">
        <v>5757</v>
      </c>
    </row>
    <row r="2012" spans="1:31" ht="31.5" customHeight="1">
      <c r="A2012" s="4" t="s">
        <v>5733</v>
      </c>
      <c r="B2012" s="4" t="s">
        <v>5754</v>
      </c>
      <c r="C2012" s="198" t="s">
        <v>23</v>
      </c>
      <c r="D2012" s="198" t="s">
        <v>2989</v>
      </c>
      <c r="E2012" s="198" t="s">
        <v>2272</v>
      </c>
      <c r="F2012" s="4" t="s">
        <v>2272</v>
      </c>
      <c r="G2012" s="198" t="s">
        <v>2272</v>
      </c>
      <c r="H2012" s="198" t="s">
        <v>521</v>
      </c>
      <c r="I2012" s="198"/>
      <c r="J2012" s="4" t="s">
        <v>2272</v>
      </c>
      <c r="K2012" s="4" t="s">
        <v>2272</v>
      </c>
      <c r="L2012" s="4" t="s">
        <v>2272</v>
      </c>
      <c r="M2012" s="4" t="s">
        <v>2272</v>
      </c>
      <c r="N2012" s="4" t="s">
        <v>2272</v>
      </c>
      <c r="O2012" s="4" t="s">
        <v>2272</v>
      </c>
      <c r="P2012" s="4" t="s">
        <v>2272</v>
      </c>
      <c r="Q2012" s="4" t="s">
        <v>2272</v>
      </c>
      <c r="R2012" s="4" t="s">
        <v>2272</v>
      </c>
      <c r="S2012" s="4" t="s">
        <v>2272</v>
      </c>
      <c r="T2012" s="4" t="s">
        <v>2272</v>
      </c>
      <c r="U2012" s="4" t="s">
        <v>2272</v>
      </c>
      <c r="V2012" s="4" t="s">
        <v>2272</v>
      </c>
      <c r="W2012" s="4" t="s">
        <v>2272</v>
      </c>
      <c r="X2012" s="4" t="s">
        <v>2272</v>
      </c>
      <c r="Y2012" s="4" t="s">
        <v>2272</v>
      </c>
      <c r="Z2012" s="4" t="s">
        <v>2272</v>
      </c>
      <c r="AA2012" s="4" t="s">
        <v>2272</v>
      </c>
      <c r="AB2012" s="4" t="s">
        <v>2272</v>
      </c>
      <c r="AC2012" s="4" t="s">
        <v>2272</v>
      </c>
      <c r="AD2012" s="198" t="s">
        <v>5764</v>
      </c>
      <c r="AE2012" s="198"/>
    </row>
    <row r="2013" spans="1:31" ht="31.5" customHeight="1">
      <c r="A2013" s="4" t="s">
        <v>5737</v>
      </c>
      <c r="B2013" s="4" t="s">
        <v>5755</v>
      </c>
      <c r="C2013" s="198" t="s">
        <v>23</v>
      </c>
      <c r="D2013" s="198" t="s">
        <v>2989</v>
      </c>
      <c r="E2013" s="198" t="s">
        <v>2272</v>
      </c>
      <c r="F2013" s="4" t="s">
        <v>2272</v>
      </c>
      <c r="G2013" s="198" t="s">
        <v>2272</v>
      </c>
      <c r="H2013" s="198" t="s">
        <v>521</v>
      </c>
      <c r="I2013" s="198"/>
      <c r="J2013" s="4" t="s">
        <v>2272</v>
      </c>
      <c r="K2013" s="4" t="s">
        <v>2272</v>
      </c>
      <c r="L2013" s="4" t="s">
        <v>2272</v>
      </c>
      <c r="M2013" s="4" t="s">
        <v>2272</v>
      </c>
      <c r="N2013" s="4" t="s">
        <v>2272</v>
      </c>
      <c r="O2013" s="4" t="s">
        <v>2272</v>
      </c>
      <c r="P2013" s="4" t="s">
        <v>2272</v>
      </c>
      <c r="Q2013" s="4" t="s">
        <v>2272</v>
      </c>
      <c r="R2013" s="4" t="s">
        <v>2272</v>
      </c>
      <c r="S2013" s="4" t="s">
        <v>2272</v>
      </c>
      <c r="T2013" s="4" t="s">
        <v>2272</v>
      </c>
      <c r="U2013" s="4" t="s">
        <v>2272</v>
      </c>
      <c r="V2013" s="4" t="s">
        <v>2272</v>
      </c>
      <c r="W2013" s="4" t="s">
        <v>2272</v>
      </c>
      <c r="X2013" s="4" t="s">
        <v>2272</v>
      </c>
      <c r="Y2013" s="4" t="s">
        <v>2272</v>
      </c>
      <c r="Z2013" s="4" t="s">
        <v>2272</v>
      </c>
      <c r="AA2013" s="4" t="s">
        <v>2272</v>
      </c>
      <c r="AB2013" s="4" t="s">
        <v>2272</v>
      </c>
      <c r="AC2013" s="4" t="s">
        <v>2272</v>
      </c>
      <c r="AD2013" s="198" t="s">
        <v>5764</v>
      </c>
      <c r="AE2013" s="198"/>
    </row>
    <row r="2014" spans="1:31" ht="31.5" customHeight="1">
      <c r="A2014" s="4" t="s">
        <v>5738</v>
      </c>
      <c r="B2014" s="4" t="s">
        <v>5756</v>
      </c>
      <c r="C2014" s="198" t="s">
        <v>23</v>
      </c>
      <c r="D2014" s="198" t="s">
        <v>2989</v>
      </c>
      <c r="E2014" s="198" t="s">
        <v>2272</v>
      </c>
      <c r="F2014" s="4" t="s">
        <v>2272</v>
      </c>
      <c r="G2014" s="198" t="s">
        <v>2272</v>
      </c>
      <c r="H2014" s="198" t="s">
        <v>521</v>
      </c>
      <c r="I2014" s="198"/>
      <c r="J2014" s="4" t="s">
        <v>2272</v>
      </c>
      <c r="K2014" s="4" t="s">
        <v>2272</v>
      </c>
      <c r="L2014" s="4" t="s">
        <v>2272</v>
      </c>
      <c r="M2014" s="4" t="s">
        <v>2272</v>
      </c>
      <c r="N2014" s="4" t="s">
        <v>2272</v>
      </c>
      <c r="O2014" s="4" t="s">
        <v>2272</v>
      </c>
      <c r="P2014" s="4" t="s">
        <v>2272</v>
      </c>
      <c r="Q2014" s="4" t="s">
        <v>2272</v>
      </c>
      <c r="R2014" s="4" t="s">
        <v>2272</v>
      </c>
      <c r="S2014" s="4" t="s">
        <v>2272</v>
      </c>
      <c r="T2014" s="4" t="s">
        <v>2272</v>
      </c>
      <c r="U2014" s="4" t="s">
        <v>2272</v>
      </c>
      <c r="V2014" s="4" t="s">
        <v>2272</v>
      </c>
      <c r="W2014" s="4" t="s">
        <v>2272</v>
      </c>
      <c r="X2014" s="4" t="s">
        <v>2272</v>
      </c>
      <c r="Y2014" s="4" t="s">
        <v>2272</v>
      </c>
      <c r="Z2014" s="4" t="s">
        <v>2272</v>
      </c>
      <c r="AA2014" s="4" t="s">
        <v>2272</v>
      </c>
      <c r="AB2014" s="4" t="s">
        <v>2272</v>
      </c>
      <c r="AC2014" s="4" t="s">
        <v>2272</v>
      </c>
      <c r="AD2014" s="198" t="s">
        <v>5764</v>
      </c>
      <c r="AE2014" s="198"/>
    </row>
    <row r="2015" spans="1:31" ht="29">
      <c r="A2015" s="4" t="s">
        <v>5733</v>
      </c>
      <c r="B2015" s="4" t="s">
        <v>5758</v>
      </c>
      <c r="C2015" s="198" t="s">
        <v>23</v>
      </c>
      <c r="D2015" s="198" t="s">
        <v>2799</v>
      </c>
      <c r="E2015" s="198" t="s">
        <v>44</v>
      </c>
      <c r="F2015" s="4" t="s">
        <v>2657</v>
      </c>
      <c r="G2015" s="198" t="s">
        <v>2272</v>
      </c>
      <c r="H2015" s="198" t="s">
        <v>521</v>
      </c>
      <c r="I2015" s="198"/>
      <c r="J2015" s="4" t="s">
        <v>2272</v>
      </c>
      <c r="K2015" s="4" t="s">
        <v>2272</v>
      </c>
      <c r="L2015" s="4" t="s">
        <v>2272</v>
      </c>
      <c r="M2015" s="4" t="s">
        <v>2272</v>
      </c>
      <c r="N2015" s="4" t="s">
        <v>2272</v>
      </c>
      <c r="O2015" s="4" t="s">
        <v>2272</v>
      </c>
      <c r="P2015" s="4" t="s">
        <v>2272</v>
      </c>
      <c r="Q2015" s="4" t="s">
        <v>2272</v>
      </c>
      <c r="R2015" s="4" t="s">
        <v>2272</v>
      </c>
      <c r="S2015" s="4" t="s">
        <v>2272</v>
      </c>
      <c r="T2015" s="4" t="s">
        <v>2272</v>
      </c>
      <c r="U2015" s="4" t="s">
        <v>2272</v>
      </c>
      <c r="V2015" s="4" t="s">
        <v>2272</v>
      </c>
      <c r="W2015" s="4" t="s">
        <v>2272</v>
      </c>
      <c r="X2015" s="4" t="s">
        <v>2272</v>
      </c>
      <c r="Y2015" s="4" t="s">
        <v>2272</v>
      </c>
      <c r="Z2015" s="4" t="s">
        <v>2272</v>
      </c>
      <c r="AA2015" s="4" t="s">
        <v>2272</v>
      </c>
      <c r="AB2015" s="4" t="s">
        <v>2272</v>
      </c>
      <c r="AC2015" s="4" t="s">
        <v>2272</v>
      </c>
      <c r="AD2015" s="198"/>
      <c r="AE2015" s="198"/>
    </row>
    <row r="2016" spans="1:31" ht="29">
      <c r="A2016" s="4" t="s">
        <v>5737</v>
      </c>
      <c r="B2016" s="4" t="s">
        <v>5759</v>
      </c>
      <c r="C2016" s="198" t="s">
        <v>23</v>
      </c>
      <c r="D2016" s="198" t="s">
        <v>2799</v>
      </c>
      <c r="E2016" s="198" t="s">
        <v>44</v>
      </c>
      <c r="F2016" s="4" t="s">
        <v>2657</v>
      </c>
      <c r="G2016" s="198" t="s">
        <v>2272</v>
      </c>
      <c r="H2016" s="198" t="s">
        <v>521</v>
      </c>
      <c r="I2016" s="198"/>
      <c r="J2016" s="4" t="s">
        <v>2272</v>
      </c>
      <c r="K2016" s="4" t="s">
        <v>2272</v>
      </c>
      <c r="L2016" s="4" t="s">
        <v>2272</v>
      </c>
      <c r="M2016" s="4" t="s">
        <v>2272</v>
      </c>
      <c r="N2016" s="4" t="s">
        <v>2272</v>
      </c>
      <c r="O2016" s="4" t="s">
        <v>2272</v>
      </c>
      <c r="P2016" s="4" t="s">
        <v>2272</v>
      </c>
      <c r="Q2016" s="4" t="s">
        <v>2272</v>
      </c>
      <c r="R2016" s="4" t="s">
        <v>2272</v>
      </c>
      <c r="S2016" s="4" t="s">
        <v>2272</v>
      </c>
      <c r="T2016" s="4" t="s">
        <v>2272</v>
      </c>
      <c r="U2016" s="4" t="s">
        <v>2272</v>
      </c>
      <c r="V2016" s="4" t="s">
        <v>2272</v>
      </c>
      <c r="W2016" s="4" t="s">
        <v>2272</v>
      </c>
      <c r="X2016" s="4" t="s">
        <v>2272</v>
      </c>
      <c r="Y2016" s="4" t="s">
        <v>2272</v>
      </c>
      <c r="Z2016" s="4" t="s">
        <v>2272</v>
      </c>
      <c r="AA2016" s="4" t="s">
        <v>2272</v>
      </c>
      <c r="AB2016" s="4" t="s">
        <v>2272</v>
      </c>
      <c r="AC2016" s="4" t="s">
        <v>2272</v>
      </c>
      <c r="AD2016" s="198"/>
      <c r="AE2016" s="198"/>
    </row>
    <row r="2017" spans="1:31" ht="29">
      <c r="A2017" s="4" t="s">
        <v>5738</v>
      </c>
      <c r="B2017" s="4" t="s">
        <v>5760</v>
      </c>
      <c r="C2017" s="198" t="s">
        <v>23</v>
      </c>
      <c r="D2017" s="198" t="s">
        <v>2799</v>
      </c>
      <c r="E2017" s="198" t="s">
        <v>44</v>
      </c>
      <c r="F2017" s="4" t="s">
        <v>2657</v>
      </c>
      <c r="G2017" s="198" t="s">
        <v>2272</v>
      </c>
      <c r="H2017" s="198" t="s">
        <v>521</v>
      </c>
      <c r="I2017" s="198"/>
      <c r="J2017" s="4" t="s">
        <v>2272</v>
      </c>
      <c r="K2017" s="4" t="s">
        <v>2272</v>
      </c>
      <c r="L2017" s="4" t="s">
        <v>2272</v>
      </c>
      <c r="M2017" s="4" t="s">
        <v>2272</v>
      </c>
      <c r="N2017" s="4" t="s">
        <v>2272</v>
      </c>
      <c r="O2017" s="4" t="s">
        <v>2272</v>
      </c>
      <c r="P2017" s="4" t="s">
        <v>2272</v>
      </c>
      <c r="Q2017" s="4" t="s">
        <v>2272</v>
      </c>
      <c r="R2017" s="4" t="s">
        <v>2272</v>
      </c>
      <c r="S2017" s="4" t="s">
        <v>2272</v>
      </c>
      <c r="T2017" s="4" t="s">
        <v>2272</v>
      </c>
      <c r="U2017" s="4" t="s">
        <v>2272</v>
      </c>
      <c r="V2017" s="4" t="s">
        <v>2272</v>
      </c>
      <c r="W2017" s="4" t="s">
        <v>2272</v>
      </c>
      <c r="X2017" s="4" t="s">
        <v>2272</v>
      </c>
      <c r="Y2017" s="4" t="s">
        <v>2272</v>
      </c>
      <c r="Z2017" s="4" t="s">
        <v>2272</v>
      </c>
      <c r="AA2017" s="4" t="s">
        <v>2272</v>
      </c>
      <c r="AB2017" s="4" t="s">
        <v>2272</v>
      </c>
      <c r="AC2017" s="4" t="s">
        <v>2272</v>
      </c>
      <c r="AD2017" s="198"/>
      <c r="AE2017" s="198"/>
    </row>
    <row r="2018" spans="1:31" ht="29" customHeight="1">
      <c r="A2018" s="4" t="s">
        <v>5733</v>
      </c>
      <c r="B2018" s="4" t="s">
        <v>5761</v>
      </c>
      <c r="C2018" s="198" t="s">
        <v>23</v>
      </c>
      <c r="D2018" s="197" t="s">
        <v>3475</v>
      </c>
      <c r="E2018" s="198" t="s">
        <v>2272</v>
      </c>
      <c r="F2018" s="4" t="s">
        <v>73</v>
      </c>
      <c r="G2018" s="198" t="s">
        <v>2272</v>
      </c>
      <c r="H2018" s="198" t="s">
        <v>521</v>
      </c>
      <c r="I2018" s="198"/>
      <c r="J2018" s="4" t="s">
        <v>2272</v>
      </c>
      <c r="K2018" s="4" t="s">
        <v>2272</v>
      </c>
      <c r="L2018" s="4" t="s">
        <v>2272</v>
      </c>
      <c r="M2018" s="4" t="s">
        <v>2272</v>
      </c>
      <c r="N2018" s="4" t="s">
        <v>2272</v>
      </c>
      <c r="O2018" s="4" t="s">
        <v>2272</v>
      </c>
      <c r="P2018" s="4" t="s">
        <v>2272</v>
      </c>
      <c r="Q2018" s="4" t="s">
        <v>2272</v>
      </c>
      <c r="R2018" s="4" t="s">
        <v>2272</v>
      </c>
      <c r="S2018" s="4" t="s">
        <v>2272</v>
      </c>
      <c r="T2018" s="4" t="s">
        <v>2272</v>
      </c>
      <c r="U2018" s="4" t="s">
        <v>2272</v>
      </c>
      <c r="V2018" s="4" t="s">
        <v>2272</v>
      </c>
      <c r="W2018" s="4" t="s">
        <v>2272</v>
      </c>
      <c r="X2018" s="4" t="s">
        <v>2272</v>
      </c>
      <c r="Y2018" s="4" t="s">
        <v>2272</v>
      </c>
      <c r="Z2018" s="4" t="s">
        <v>2272</v>
      </c>
      <c r="AA2018" s="4" t="s">
        <v>2272</v>
      </c>
      <c r="AB2018" s="4" t="s">
        <v>2272</v>
      </c>
      <c r="AC2018" s="4" t="s">
        <v>2272</v>
      </c>
      <c r="AD2018" s="198"/>
      <c r="AE2018" s="198"/>
    </row>
    <row r="2019" spans="1:31" ht="29" customHeight="1">
      <c r="A2019" s="4" t="s">
        <v>5737</v>
      </c>
      <c r="B2019" s="4" t="s">
        <v>5762</v>
      </c>
      <c r="C2019" s="198" t="s">
        <v>23</v>
      </c>
      <c r="D2019" s="197" t="s">
        <v>3475</v>
      </c>
      <c r="E2019" s="198" t="s">
        <v>2272</v>
      </c>
      <c r="F2019" s="4" t="s">
        <v>73</v>
      </c>
      <c r="G2019" s="198" t="s">
        <v>2272</v>
      </c>
      <c r="H2019" s="198" t="s">
        <v>521</v>
      </c>
      <c r="I2019" s="198"/>
      <c r="J2019" s="4" t="s">
        <v>2272</v>
      </c>
      <c r="K2019" s="4" t="s">
        <v>2272</v>
      </c>
      <c r="L2019" s="4" t="s">
        <v>2272</v>
      </c>
      <c r="M2019" s="4" t="s">
        <v>2272</v>
      </c>
      <c r="N2019" s="4" t="s">
        <v>2272</v>
      </c>
      <c r="O2019" s="4" t="s">
        <v>2272</v>
      </c>
      <c r="P2019" s="4" t="s">
        <v>2272</v>
      </c>
      <c r="Q2019" s="4" t="s">
        <v>2272</v>
      </c>
      <c r="R2019" s="4" t="s">
        <v>2272</v>
      </c>
      <c r="S2019" s="4" t="s">
        <v>2272</v>
      </c>
      <c r="T2019" s="4" t="s">
        <v>2272</v>
      </c>
      <c r="U2019" s="4" t="s">
        <v>2272</v>
      </c>
      <c r="V2019" s="4" t="s">
        <v>2272</v>
      </c>
      <c r="W2019" s="4" t="s">
        <v>2272</v>
      </c>
      <c r="X2019" s="4" t="s">
        <v>2272</v>
      </c>
      <c r="Y2019" s="4" t="s">
        <v>2272</v>
      </c>
      <c r="Z2019" s="4" t="s">
        <v>2272</v>
      </c>
      <c r="AA2019" s="4" t="s">
        <v>2272</v>
      </c>
      <c r="AB2019" s="4" t="s">
        <v>2272</v>
      </c>
      <c r="AC2019" s="4" t="s">
        <v>2272</v>
      </c>
      <c r="AD2019" s="198"/>
      <c r="AE2019" s="198"/>
    </row>
    <row r="2020" spans="1:31" ht="29" customHeight="1">
      <c r="A2020" s="163" t="s">
        <v>5738</v>
      </c>
      <c r="B2020" s="4" t="s">
        <v>5763</v>
      </c>
      <c r="C2020" s="35" t="s">
        <v>23</v>
      </c>
      <c r="D2020" s="197" t="s">
        <v>3475</v>
      </c>
      <c r="E2020" s="35" t="s">
        <v>2272</v>
      </c>
      <c r="F2020" s="4" t="s">
        <v>73</v>
      </c>
      <c r="G2020" s="198" t="s">
        <v>2272</v>
      </c>
      <c r="H2020" s="198" t="s">
        <v>521</v>
      </c>
      <c r="I2020" s="198"/>
      <c r="J2020" s="4" t="s">
        <v>2272</v>
      </c>
      <c r="K2020" s="4" t="s">
        <v>2272</v>
      </c>
      <c r="L2020" s="4" t="s">
        <v>2272</v>
      </c>
      <c r="M2020" s="4" t="s">
        <v>2272</v>
      </c>
      <c r="N2020" s="4" t="s">
        <v>2272</v>
      </c>
      <c r="O2020" s="4" t="s">
        <v>2272</v>
      </c>
      <c r="P2020" s="4" t="s">
        <v>2272</v>
      </c>
      <c r="Q2020" s="4" t="s">
        <v>2272</v>
      </c>
      <c r="R2020" s="4" t="s">
        <v>2272</v>
      </c>
      <c r="S2020" s="4" t="s">
        <v>2272</v>
      </c>
      <c r="T2020" s="4" t="s">
        <v>2272</v>
      </c>
      <c r="U2020" s="4" t="s">
        <v>2272</v>
      </c>
      <c r="V2020" s="4" t="s">
        <v>2272</v>
      </c>
      <c r="W2020" s="4" t="s">
        <v>2272</v>
      </c>
      <c r="X2020" s="4" t="s">
        <v>2272</v>
      </c>
      <c r="Y2020" s="4" t="s">
        <v>2272</v>
      </c>
      <c r="Z2020" s="4" t="s">
        <v>2272</v>
      </c>
      <c r="AA2020" s="4" t="s">
        <v>2272</v>
      </c>
      <c r="AB2020" s="4" t="s">
        <v>2272</v>
      </c>
      <c r="AC2020" s="4" t="s">
        <v>2272</v>
      </c>
      <c r="AD2020" s="198"/>
      <c r="AE2020" s="198"/>
    </row>
    <row r="2021" spans="1:31" ht="25.5" customHeight="1">
      <c r="A2021" s="4" t="s">
        <v>5733</v>
      </c>
      <c r="B2021" s="4" t="s">
        <v>5765</v>
      </c>
      <c r="C2021" s="198" t="s">
        <v>23</v>
      </c>
      <c r="D2021" s="198" t="s">
        <v>141</v>
      </c>
      <c r="E2021" s="198" t="s">
        <v>44</v>
      </c>
      <c r="F2021" s="4" t="s">
        <v>73</v>
      </c>
      <c r="G2021" s="198" t="s">
        <v>2272</v>
      </c>
      <c r="H2021" s="198" t="s">
        <v>521</v>
      </c>
      <c r="I2021" s="198"/>
      <c r="J2021" s="4" t="s">
        <v>2272</v>
      </c>
      <c r="K2021" s="4" t="s">
        <v>2272</v>
      </c>
      <c r="L2021" s="4" t="s">
        <v>2272</v>
      </c>
      <c r="M2021" s="4" t="s">
        <v>2272</v>
      </c>
      <c r="N2021" s="4" t="s">
        <v>2272</v>
      </c>
      <c r="O2021" s="4" t="s">
        <v>2272</v>
      </c>
      <c r="P2021" s="4" t="s">
        <v>2272</v>
      </c>
      <c r="Q2021" s="4" t="s">
        <v>2272</v>
      </c>
      <c r="R2021" s="4" t="s">
        <v>2272</v>
      </c>
      <c r="S2021" s="4" t="s">
        <v>2272</v>
      </c>
      <c r="T2021" s="4" t="s">
        <v>2272</v>
      </c>
      <c r="U2021" s="4" t="s">
        <v>2272</v>
      </c>
      <c r="V2021" s="4" t="s">
        <v>2272</v>
      </c>
      <c r="W2021" s="4" t="s">
        <v>2272</v>
      </c>
      <c r="X2021" s="4" t="s">
        <v>2272</v>
      </c>
      <c r="Y2021" s="4" t="s">
        <v>2272</v>
      </c>
      <c r="Z2021" s="4" t="s">
        <v>2272</v>
      </c>
      <c r="AA2021" s="4" t="s">
        <v>2272</v>
      </c>
      <c r="AB2021" s="4" t="s">
        <v>2272</v>
      </c>
      <c r="AC2021" s="4" t="s">
        <v>2272</v>
      </c>
      <c r="AD2021" s="198"/>
      <c r="AE2021" s="198"/>
    </row>
    <row r="2022" spans="1:31" ht="25.5" customHeight="1">
      <c r="A2022" s="4" t="s">
        <v>5737</v>
      </c>
      <c r="B2022" s="4" t="s">
        <v>5766</v>
      </c>
      <c r="C2022" s="198" t="s">
        <v>23</v>
      </c>
      <c r="D2022" s="198" t="s">
        <v>141</v>
      </c>
      <c r="E2022" s="198" t="s">
        <v>44</v>
      </c>
      <c r="F2022" s="4" t="s">
        <v>73</v>
      </c>
      <c r="G2022" s="198" t="s">
        <v>2272</v>
      </c>
      <c r="H2022" s="198" t="s">
        <v>521</v>
      </c>
      <c r="I2022" s="198"/>
      <c r="J2022" s="4" t="s">
        <v>2272</v>
      </c>
      <c r="K2022" s="4" t="s">
        <v>2272</v>
      </c>
      <c r="L2022" s="4" t="s">
        <v>2272</v>
      </c>
      <c r="M2022" s="4" t="s">
        <v>2272</v>
      </c>
      <c r="N2022" s="4" t="s">
        <v>2272</v>
      </c>
      <c r="O2022" s="4" t="s">
        <v>2272</v>
      </c>
      <c r="P2022" s="4" t="s">
        <v>2272</v>
      </c>
      <c r="Q2022" s="4" t="s">
        <v>2272</v>
      </c>
      <c r="R2022" s="4" t="s">
        <v>2272</v>
      </c>
      <c r="S2022" s="4" t="s">
        <v>2272</v>
      </c>
      <c r="T2022" s="4" t="s">
        <v>2272</v>
      </c>
      <c r="U2022" s="4" t="s">
        <v>2272</v>
      </c>
      <c r="V2022" s="4" t="s">
        <v>2272</v>
      </c>
      <c r="W2022" s="4" t="s">
        <v>2272</v>
      </c>
      <c r="X2022" s="4" t="s">
        <v>2272</v>
      </c>
      <c r="Y2022" s="4" t="s">
        <v>2272</v>
      </c>
      <c r="Z2022" s="4" t="s">
        <v>2272</v>
      </c>
      <c r="AA2022" s="4" t="s">
        <v>2272</v>
      </c>
      <c r="AB2022" s="4" t="s">
        <v>2272</v>
      </c>
      <c r="AC2022" s="4" t="s">
        <v>2272</v>
      </c>
      <c r="AD2022" s="198"/>
      <c r="AE2022" s="198"/>
    </row>
    <row r="2023" spans="1:31" ht="25.5" customHeight="1">
      <c r="A2023" s="4" t="s">
        <v>5738</v>
      </c>
      <c r="B2023" s="4" t="s">
        <v>5767</v>
      </c>
      <c r="C2023" s="198" t="s">
        <v>23</v>
      </c>
      <c r="D2023" s="198" t="s">
        <v>141</v>
      </c>
      <c r="E2023" s="198" t="s">
        <v>44</v>
      </c>
      <c r="F2023" s="4" t="s">
        <v>73</v>
      </c>
      <c r="G2023" s="198" t="s">
        <v>2272</v>
      </c>
      <c r="H2023" s="198" t="s">
        <v>521</v>
      </c>
      <c r="I2023" s="198"/>
      <c r="J2023" s="4" t="s">
        <v>2272</v>
      </c>
      <c r="K2023" s="4" t="s">
        <v>2272</v>
      </c>
      <c r="L2023" s="4" t="s">
        <v>2272</v>
      </c>
      <c r="M2023" s="4" t="s">
        <v>2272</v>
      </c>
      <c r="N2023" s="4" t="s">
        <v>2272</v>
      </c>
      <c r="O2023" s="4" t="s">
        <v>2272</v>
      </c>
      <c r="P2023" s="4" t="s">
        <v>2272</v>
      </c>
      <c r="Q2023" s="4" t="s">
        <v>2272</v>
      </c>
      <c r="R2023" s="4" t="s">
        <v>2272</v>
      </c>
      <c r="S2023" s="4" t="s">
        <v>2272</v>
      </c>
      <c r="T2023" s="4" t="s">
        <v>2272</v>
      </c>
      <c r="U2023" s="4" t="s">
        <v>2272</v>
      </c>
      <c r="V2023" s="4" t="s">
        <v>2272</v>
      </c>
      <c r="W2023" s="4" t="s">
        <v>2272</v>
      </c>
      <c r="X2023" s="4" t="s">
        <v>2272</v>
      </c>
      <c r="Y2023" s="4" t="s">
        <v>2272</v>
      </c>
      <c r="Z2023" s="4" t="s">
        <v>2272</v>
      </c>
      <c r="AA2023" s="4" t="s">
        <v>2272</v>
      </c>
      <c r="AB2023" s="4" t="s">
        <v>2272</v>
      </c>
      <c r="AC2023" s="4" t="s">
        <v>2272</v>
      </c>
      <c r="AD2023" s="198"/>
      <c r="AE2023" s="198"/>
    </row>
    <row r="2024" spans="1:31" ht="29">
      <c r="A2024" s="4" t="s">
        <v>5733</v>
      </c>
      <c r="B2024" s="4" t="s">
        <v>5768</v>
      </c>
      <c r="C2024" s="198" t="s">
        <v>23</v>
      </c>
      <c r="D2024" s="198" t="s">
        <v>141</v>
      </c>
      <c r="E2024" s="4" t="s">
        <v>395</v>
      </c>
      <c r="F2024" s="4" t="s">
        <v>73</v>
      </c>
      <c r="G2024" s="198" t="s">
        <v>2272</v>
      </c>
      <c r="H2024" s="198" t="s">
        <v>521</v>
      </c>
      <c r="I2024" s="198"/>
      <c r="J2024" s="4" t="s">
        <v>2272</v>
      </c>
      <c r="K2024" s="4" t="s">
        <v>2272</v>
      </c>
      <c r="L2024" s="4" t="s">
        <v>2272</v>
      </c>
      <c r="M2024" s="4" t="s">
        <v>2272</v>
      </c>
      <c r="N2024" s="4" t="s">
        <v>2272</v>
      </c>
      <c r="O2024" s="4" t="s">
        <v>2272</v>
      </c>
      <c r="P2024" s="4" t="s">
        <v>2272</v>
      </c>
      <c r="Q2024" s="4" t="s">
        <v>2272</v>
      </c>
      <c r="R2024" s="4" t="s">
        <v>2272</v>
      </c>
      <c r="S2024" s="4" t="s">
        <v>2272</v>
      </c>
      <c r="T2024" s="4" t="s">
        <v>2272</v>
      </c>
      <c r="U2024" s="4" t="s">
        <v>2272</v>
      </c>
      <c r="V2024" s="4" t="s">
        <v>2272</v>
      </c>
      <c r="W2024" s="4" t="s">
        <v>2272</v>
      </c>
      <c r="X2024" s="4" t="s">
        <v>2272</v>
      </c>
      <c r="Y2024" s="4" t="s">
        <v>2272</v>
      </c>
      <c r="Z2024" s="4" t="s">
        <v>2272</v>
      </c>
      <c r="AA2024" s="4" t="s">
        <v>2272</v>
      </c>
      <c r="AB2024" s="4" t="s">
        <v>2272</v>
      </c>
      <c r="AC2024" s="4" t="s">
        <v>2272</v>
      </c>
      <c r="AD2024" s="198"/>
      <c r="AE2024" s="198"/>
    </row>
    <row r="2025" spans="1:31" ht="29">
      <c r="A2025" s="4" t="s">
        <v>5737</v>
      </c>
      <c r="B2025" s="4" t="s">
        <v>5769</v>
      </c>
      <c r="C2025" s="198" t="s">
        <v>23</v>
      </c>
      <c r="D2025" s="198" t="s">
        <v>141</v>
      </c>
      <c r="E2025" s="4" t="s">
        <v>395</v>
      </c>
      <c r="F2025" s="4" t="s">
        <v>73</v>
      </c>
      <c r="G2025" s="198" t="s">
        <v>2272</v>
      </c>
      <c r="H2025" s="198" t="s">
        <v>521</v>
      </c>
      <c r="I2025" s="198"/>
      <c r="J2025" s="4" t="s">
        <v>2272</v>
      </c>
      <c r="K2025" s="4" t="s">
        <v>2272</v>
      </c>
      <c r="L2025" s="4" t="s">
        <v>2272</v>
      </c>
      <c r="M2025" s="4" t="s">
        <v>2272</v>
      </c>
      <c r="N2025" s="4" t="s">
        <v>2272</v>
      </c>
      <c r="O2025" s="4" t="s">
        <v>2272</v>
      </c>
      <c r="P2025" s="4" t="s">
        <v>2272</v>
      </c>
      <c r="Q2025" s="4" t="s">
        <v>2272</v>
      </c>
      <c r="R2025" s="4" t="s">
        <v>2272</v>
      </c>
      <c r="S2025" s="4" t="s">
        <v>2272</v>
      </c>
      <c r="T2025" s="4" t="s">
        <v>2272</v>
      </c>
      <c r="U2025" s="4" t="s">
        <v>2272</v>
      </c>
      <c r="V2025" s="4" t="s">
        <v>2272</v>
      </c>
      <c r="W2025" s="4" t="s">
        <v>2272</v>
      </c>
      <c r="X2025" s="4" t="s">
        <v>2272</v>
      </c>
      <c r="Y2025" s="4" t="s">
        <v>2272</v>
      </c>
      <c r="Z2025" s="4" t="s">
        <v>2272</v>
      </c>
      <c r="AA2025" s="4" t="s">
        <v>2272</v>
      </c>
      <c r="AB2025" s="4" t="s">
        <v>2272</v>
      </c>
      <c r="AC2025" s="4" t="s">
        <v>2272</v>
      </c>
      <c r="AD2025" s="198"/>
      <c r="AE2025" s="198"/>
    </row>
    <row r="2026" spans="1:31" ht="29">
      <c r="A2026" s="4" t="s">
        <v>5738</v>
      </c>
      <c r="B2026" s="4" t="s">
        <v>5770</v>
      </c>
      <c r="C2026" s="198" t="s">
        <v>23</v>
      </c>
      <c r="D2026" s="198" t="s">
        <v>141</v>
      </c>
      <c r="E2026" s="4" t="s">
        <v>395</v>
      </c>
      <c r="F2026" s="4" t="s">
        <v>73</v>
      </c>
      <c r="G2026" s="198" t="s">
        <v>2272</v>
      </c>
      <c r="H2026" s="198" t="s">
        <v>521</v>
      </c>
      <c r="I2026" s="198"/>
      <c r="J2026" s="4" t="s">
        <v>2272</v>
      </c>
      <c r="K2026" s="4" t="s">
        <v>2272</v>
      </c>
      <c r="L2026" s="4" t="s">
        <v>2272</v>
      </c>
      <c r="M2026" s="4" t="s">
        <v>2272</v>
      </c>
      <c r="N2026" s="4" t="s">
        <v>2272</v>
      </c>
      <c r="O2026" s="4" t="s">
        <v>2272</v>
      </c>
      <c r="P2026" s="4" t="s">
        <v>2272</v>
      </c>
      <c r="Q2026" s="4" t="s">
        <v>2272</v>
      </c>
      <c r="R2026" s="4" t="s">
        <v>2272</v>
      </c>
      <c r="S2026" s="4" t="s">
        <v>2272</v>
      </c>
      <c r="T2026" s="4" t="s">
        <v>2272</v>
      </c>
      <c r="U2026" s="4" t="s">
        <v>2272</v>
      </c>
      <c r="V2026" s="4" t="s">
        <v>2272</v>
      </c>
      <c r="W2026" s="4" t="s">
        <v>2272</v>
      </c>
      <c r="X2026" s="4" t="s">
        <v>2272</v>
      </c>
      <c r="Y2026" s="4" t="s">
        <v>2272</v>
      </c>
      <c r="Z2026" s="4" t="s">
        <v>2272</v>
      </c>
      <c r="AA2026" s="4" t="s">
        <v>2272</v>
      </c>
      <c r="AB2026" s="4" t="s">
        <v>2272</v>
      </c>
      <c r="AC2026" s="4" t="s">
        <v>2272</v>
      </c>
      <c r="AD2026" s="198"/>
      <c r="AE2026" s="198"/>
    </row>
    <row r="2027" spans="1:31" ht="29" customHeight="1">
      <c r="A2027" s="4" t="s">
        <v>5773</v>
      </c>
      <c r="B2027" s="4" t="s">
        <v>5783</v>
      </c>
      <c r="C2027" s="198" t="s">
        <v>23</v>
      </c>
      <c r="D2027" s="198" t="s">
        <v>1238</v>
      </c>
      <c r="E2027" s="198" t="s">
        <v>1102</v>
      </c>
      <c r="F2027" s="4" t="s">
        <v>73</v>
      </c>
      <c r="G2027" s="198" t="s">
        <v>2272</v>
      </c>
      <c r="H2027" s="198" t="s">
        <v>522</v>
      </c>
      <c r="I2027" s="198">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21">
        <v>0</v>
      </c>
      <c r="Y2027" s="4" t="s">
        <v>2272</v>
      </c>
      <c r="Z2027" s="4" t="s">
        <v>2272</v>
      </c>
      <c r="AA2027" s="4" t="s">
        <v>2272</v>
      </c>
      <c r="AB2027" s="4" t="s">
        <v>2272</v>
      </c>
      <c r="AC2027" s="4" t="s">
        <v>2272</v>
      </c>
      <c r="AD2027" s="198"/>
      <c r="AE2027" s="198"/>
    </row>
    <row r="2028" spans="1:31" ht="29" customHeight="1">
      <c r="A2028" s="4" t="s">
        <v>5773</v>
      </c>
      <c r="B2028" s="4" t="s">
        <v>5784</v>
      </c>
      <c r="C2028" s="198" t="s">
        <v>23</v>
      </c>
      <c r="D2028" s="198" t="s">
        <v>1238</v>
      </c>
      <c r="E2028" s="198" t="s">
        <v>1102</v>
      </c>
      <c r="F2028" s="4" t="s">
        <v>73</v>
      </c>
      <c r="G2028" s="198" t="s">
        <v>2272</v>
      </c>
      <c r="H2028" s="198" t="s">
        <v>522</v>
      </c>
      <c r="I2028" s="198">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21">
        <v>0</v>
      </c>
      <c r="Y2028" s="4" t="s">
        <v>2272</v>
      </c>
      <c r="Z2028" s="4" t="s">
        <v>2272</v>
      </c>
      <c r="AA2028" s="4" t="s">
        <v>2272</v>
      </c>
      <c r="AB2028" s="4" t="s">
        <v>2272</v>
      </c>
      <c r="AC2028" s="4" t="s">
        <v>2272</v>
      </c>
      <c r="AD2028" s="198"/>
      <c r="AE2028" s="198"/>
    </row>
    <row r="2029" spans="1:31" ht="42.5" customHeight="1">
      <c r="A2029" s="4" t="s">
        <v>5774</v>
      </c>
      <c r="B2029" s="4" t="s">
        <v>5777</v>
      </c>
      <c r="C2029" s="198" t="s">
        <v>23</v>
      </c>
      <c r="D2029" s="198" t="s">
        <v>1241</v>
      </c>
      <c r="E2029" s="198" t="s">
        <v>114</v>
      </c>
      <c r="F2029" s="4" t="s">
        <v>73</v>
      </c>
      <c r="G2029" s="198" t="s">
        <v>2272</v>
      </c>
      <c r="H2029" s="198" t="s">
        <v>521</v>
      </c>
      <c r="I2029" s="198">
        <v>1950</v>
      </c>
      <c r="J2029" s="4" t="s">
        <v>2272</v>
      </c>
      <c r="K2029" s="4" t="s">
        <v>2272</v>
      </c>
      <c r="L2029" s="4" t="s">
        <v>2272</v>
      </c>
      <c r="M2029" s="4" t="s">
        <v>2272</v>
      </c>
      <c r="N2029" s="4" t="s">
        <v>2272</v>
      </c>
      <c r="O2029" s="4" t="s">
        <v>2272</v>
      </c>
      <c r="P2029" s="4" t="s">
        <v>2272</v>
      </c>
      <c r="Q2029" s="4" t="s">
        <v>2272</v>
      </c>
      <c r="R2029" s="4" t="s">
        <v>2272</v>
      </c>
      <c r="S2029" s="4" t="s">
        <v>2272</v>
      </c>
      <c r="T2029" s="4" t="s">
        <v>2272</v>
      </c>
      <c r="U2029" s="4" t="s">
        <v>2272</v>
      </c>
      <c r="V2029" s="4" t="s">
        <v>2272</v>
      </c>
      <c r="W2029" s="4" t="s">
        <v>2272</v>
      </c>
      <c r="X2029" s="4" t="s">
        <v>2272</v>
      </c>
      <c r="Y2029" s="4" t="s">
        <v>2272</v>
      </c>
      <c r="Z2029" s="4" t="s">
        <v>2272</v>
      </c>
      <c r="AA2029" s="4" t="s">
        <v>2272</v>
      </c>
      <c r="AB2029" s="4" t="s">
        <v>2272</v>
      </c>
      <c r="AC2029" s="4" t="s">
        <v>2272</v>
      </c>
      <c r="AD2029" s="198"/>
      <c r="AE2029" s="198"/>
    </row>
    <row r="2030" spans="1:31" ht="55.5" customHeight="1">
      <c r="A2030" s="4" t="s">
        <v>5774</v>
      </c>
      <c r="B2030" s="4" t="s">
        <v>5778</v>
      </c>
      <c r="C2030" s="198" t="s">
        <v>23</v>
      </c>
      <c r="D2030" s="198" t="s">
        <v>1241</v>
      </c>
      <c r="E2030" s="198" t="s">
        <v>114</v>
      </c>
      <c r="F2030" s="4" t="s">
        <v>73</v>
      </c>
      <c r="G2030" s="198" t="s">
        <v>2272</v>
      </c>
      <c r="H2030" s="198" t="s">
        <v>522</v>
      </c>
      <c r="I2030" s="198">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21">
        <v>0</v>
      </c>
      <c r="Y2030" s="4" t="s">
        <v>2272</v>
      </c>
      <c r="Z2030" s="4" t="s">
        <v>2272</v>
      </c>
      <c r="AA2030" s="4" t="s">
        <v>2272</v>
      </c>
      <c r="AB2030" s="4" t="s">
        <v>2272</v>
      </c>
      <c r="AC2030" s="4" t="s">
        <v>2272</v>
      </c>
      <c r="AD2030" s="4" t="s">
        <v>5789</v>
      </c>
      <c r="AE2030" s="198"/>
    </row>
    <row r="2031" spans="1:31" ht="55.5" customHeight="1">
      <c r="A2031" s="4" t="s">
        <v>5774</v>
      </c>
      <c r="B2031" s="4" t="s">
        <v>5779</v>
      </c>
      <c r="C2031" s="198" t="s">
        <v>23</v>
      </c>
      <c r="D2031" s="198" t="s">
        <v>1241</v>
      </c>
      <c r="E2031" s="198" t="s">
        <v>114</v>
      </c>
      <c r="F2031" s="4" t="s">
        <v>73</v>
      </c>
      <c r="G2031" s="198" t="s">
        <v>2272</v>
      </c>
      <c r="H2031" s="198" t="s">
        <v>522</v>
      </c>
      <c r="I2031" s="198">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21">
        <v>0</v>
      </c>
      <c r="Y2031" s="4" t="s">
        <v>2272</v>
      </c>
      <c r="Z2031" s="4" t="s">
        <v>2272</v>
      </c>
      <c r="AA2031" s="4" t="s">
        <v>2272</v>
      </c>
      <c r="AB2031" s="4" t="s">
        <v>2272</v>
      </c>
      <c r="AC2031" s="4" t="s">
        <v>2272</v>
      </c>
      <c r="AD2031" s="4" t="s">
        <v>5789</v>
      </c>
      <c r="AE2031" s="198"/>
    </row>
    <row r="2032" spans="1:31" ht="55.5" customHeight="1">
      <c r="A2032" s="4" t="s">
        <v>5774</v>
      </c>
      <c r="B2032" s="4" t="s">
        <v>5780</v>
      </c>
      <c r="C2032" s="198" t="s">
        <v>23</v>
      </c>
      <c r="D2032" s="198" t="s">
        <v>1238</v>
      </c>
      <c r="E2032" s="198" t="s">
        <v>114</v>
      </c>
      <c r="F2032" s="4" t="s">
        <v>73</v>
      </c>
      <c r="G2032" s="198" t="s">
        <v>2272</v>
      </c>
      <c r="H2032" s="198" t="s">
        <v>521</v>
      </c>
      <c r="I2032" s="198">
        <v>1950</v>
      </c>
      <c r="J2032" s="4" t="s">
        <v>2272</v>
      </c>
      <c r="K2032" s="4" t="s">
        <v>2272</v>
      </c>
      <c r="L2032" s="4" t="s">
        <v>2272</v>
      </c>
      <c r="M2032" s="4" t="s">
        <v>2272</v>
      </c>
      <c r="N2032" s="4" t="s">
        <v>2272</v>
      </c>
      <c r="O2032" s="4" t="s">
        <v>2272</v>
      </c>
      <c r="P2032" s="4" t="s">
        <v>2272</v>
      </c>
      <c r="Q2032" s="4" t="s">
        <v>2272</v>
      </c>
      <c r="R2032" s="4" t="s">
        <v>2272</v>
      </c>
      <c r="S2032" s="4" t="s">
        <v>2272</v>
      </c>
      <c r="T2032" s="4" t="s">
        <v>2272</v>
      </c>
      <c r="U2032" s="4" t="s">
        <v>2272</v>
      </c>
      <c r="V2032" s="4" t="s">
        <v>2272</v>
      </c>
      <c r="W2032" s="4" t="s">
        <v>2272</v>
      </c>
      <c r="X2032" s="4" t="s">
        <v>2272</v>
      </c>
      <c r="Y2032" s="4" t="s">
        <v>2272</v>
      </c>
      <c r="Z2032" s="4" t="s">
        <v>2272</v>
      </c>
      <c r="AA2032" s="4" t="s">
        <v>2272</v>
      </c>
      <c r="AB2032" s="4" t="s">
        <v>2272</v>
      </c>
      <c r="AC2032" s="4" t="s">
        <v>2272</v>
      </c>
      <c r="AD2032" s="4"/>
      <c r="AE2032" s="198"/>
    </row>
    <row r="2033" spans="1:31" ht="55.5" customHeight="1">
      <c r="A2033" s="4" t="s">
        <v>5774</v>
      </c>
      <c r="B2033" s="4" t="s">
        <v>5781</v>
      </c>
      <c r="C2033" s="198" t="s">
        <v>23</v>
      </c>
      <c r="D2033" s="198" t="s">
        <v>1238</v>
      </c>
      <c r="E2033" s="198" t="s">
        <v>114</v>
      </c>
      <c r="F2033" s="4" t="s">
        <v>73</v>
      </c>
      <c r="G2033" s="198" t="s">
        <v>2272</v>
      </c>
      <c r="H2033" s="198" t="s">
        <v>522</v>
      </c>
      <c r="I2033" s="198">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21">
        <v>0</v>
      </c>
      <c r="Y2033" s="4" t="s">
        <v>2272</v>
      </c>
      <c r="Z2033" s="4" t="s">
        <v>2272</v>
      </c>
      <c r="AA2033" s="4" t="s">
        <v>2272</v>
      </c>
      <c r="AB2033" s="4" t="s">
        <v>2272</v>
      </c>
      <c r="AC2033" s="4" t="s">
        <v>2272</v>
      </c>
      <c r="AD2033" s="4" t="s">
        <v>5789</v>
      </c>
      <c r="AE2033" s="198"/>
    </row>
    <row r="2034" spans="1:31" ht="55.5" customHeight="1">
      <c r="A2034" s="4" t="s">
        <v>5774</v>
      </c>
      <c r="B2034" s="4" t="s">
        <v>5782</v>
      </c>
      <c r="C2034" s="198" t="s">
        <v>23</v>
      </c>
      <c r="D2034" s="198" t="s">
        <v>1238</v>
      </c>
      <c r="E2034" s="198" t="s">
        <v>114</v>
      </c>
      <c r="F2034" s="4" t="s">
        <v>73</v>
      </c>
      <c r="G2034" s="198" t="s">
        <v>2272</v>
      </c>
      <c r="H2034" s="198" t="s">
        <v>522</v>
      </c>
      <c r="I2034" s="198">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21">
        <v>0</v>
      </c>
      <c r="Y2034" s="4" t="s">
        <v>2272</v>
      </c>
      <c r="Z2034" s="4" t="s">
        <v>2272</v>
      </c>
      <c r="AA2034" s="4" t="s">
        <v>2272</v>
      </c>
      <c r="AB2034" s="4" t="s">
        <v>2272</v>
      </c>
      <c r="AC2034" s="4" t="s">
        <v>2272</v>
      </c>
      <c r="AD2034" s="4" t="s">
        <v>5789</v>
      </c>
      <c r="AE2034" s="198"/>
    </row>
    <row r="2035" spans="1:31" ht="34.5" customHeight="1">
      <c r="A2035" s="4" t="s">
        <v>5791</v>
      </c>
      <c r="B2035" s="4" t="s">
        <v>5796</v>
      </c>
      <c r="C2035" s="198" t="s">
        <v>23</v>
      </c>
      <c r="D2035" s="198" t="s">
        <v>2654</v>
      </c>
      <c r="E2035" s="4" t="s">
        <v>394</v>
      </c>
      <c r="F2035" s="4" t="s">
        <v>27</v>
      </c>
      <c r="G2035" s="198" t="s">
        <v>2272</v>
      </c>
      <c r="H2035" s="198" t="s">
        <v>521</v>
      </c>
      <c r="I2035" s="198"/>
      <c r="J2035" s="4" t="s">
        <v>2272</v>
      </c>
      <c r="K2035" s="4" t="s">
        <v>2272</v>
      </c>
      <c r="L2035" s="4" t="s">
        <v>2272</v>
      </c>
      <c r="M2035" s="4" t="s">
        <v>2272</v>
      </c>
      <c r="N2035" s="4" t="s">
        <v>2272</v>
      </c>
      <c r="O2035" s="4" t="s">
        <v>2272</v>
      </c>
      <c r="P2035" s="4" t="s">
        <v>2272</v>
      </c>
      <c r="Q2035" s="4" t="s">
        <v>2272</v>
      </c>
      <c r="R2035" s="4" t="s">
        <v>2272</v>
      </c>
      <c r="S2035" s="4" t="s">
        <v>2272</v>
      </c>
      <c r="T2035" s="4" t="s">
        <v>2272</v>
      </c>
      <c r="U2035" s="4" t="s">
        <v>2272</v>
      </c>
      <c r="V2035" s="4" t="s">
        <v>2272</v>
      </c>
      <c r="W2035" s="4" t="s">
        <v>2272</v>
      </c>
      <c r="X2035" s="4" t="s">
        <v>2272</v>
      </c>
      <c r="Y2035" s="4" t="s">
        <v>2272</v>
      </c>
      <c r="Z2035" s="4" t="s">
        <v>2272</v>
      </c>
      <c r="AA2035" s="4" t="s">
        <v>2272</v>
      </c>
      <c r="AB2035" s="4" t="s">
        <v>2272</v>
      </c>
      <c r="AC2035" s="4" t="s">
        <v>2272</v>
      </c>
      <c r="AD2035" s="198"/>
      <c r="AE2035" s="198"/>
    </row>
    <row r="2036" spans="1:31" ht="29">
      <c r="A2036" s="4" t="s">
        <v>5791</v>
      </c>
      <c r="B2036" s="4" t="s">
        <v>5797</v>
      </c>
      <c r="C2036" s="198" t="s">
        <v>23</v>
      </c>
      <c r="D2036" s="198" t="s">
        <v>2989</v>
      </c>
      <c r="E2036" s="4" t="s">
        <v>394</v>
      </c>
      <c r="F2036" s="4" t="s">
        <v>2272</v>
      </c>
      <c r="G2036" s="198" t="s">
        <v>2272</v>
      </c>
      <c r="H2036" s="198" t="s">
        <v>521</v>
      </c>
      <c r="I2036" s="198"/>
      <c r="J2036" s="4" t="s">
        <v>2272</v>
      </c>
      <c r="K2036" s="4" t="s">
        <v>2272</v>
      </c>
      <c r="L2036" s="4" t="s">
        <v>2272</v>
      </c>
      <c r="M2036" s="4" t="s">
        <v>2272</v>
      </c>
      <c r="N2036" s="4" t="s">
        <v>2272</v>
      </c>
      <c r="O2036" s="4" t="s">
        <v>2272</v>
      </c>
      <c r="P2036" s="4" t="s">
        <v>2272</v>
      </c>
      <c r="Q2036" s="4" t="s">
        <v>2272</v>
      </c>
      <c r="R2036" s="4" t="s">
        <v>2272</v>
      </c>
      <c r="S2036" s="4" t="s">
        <v>2272</v>
      </c>
      <c r="T2036" s="4" t="s">
        <v>2272</v>
      </c>
      <c r="U2036" s="4" t="s">
        <v>2272</v>
      </c>
      <c r="V2036" s="4" t="s">
        <v>2272</v>
      </c>
      <c r="W2036" s="4" t="s">
        <v>2272</v>
      </c>
      <c r="X2036" s="4" t="s">
        <v>2272</v>
      </c>
      <c r="Y2036" s="4" t="s">
        <v>2272</v>
      </c>
      <c r="Z2036" s="4" t="s">
        <v>2272</v>
      </c>
      <c r="AA2036" s="4" t="s">
        <v>2272</v>
      </c>
      <c r="AB2036" s="4" t="s">
        <v>2272</v>
      </c>
      <c r="AC2036" s="4" t="s">
        <v>2272</v>
      </c>
      <c r="AD2036" s="198"/>
      <c r="AE2036" s="198"/>
    </row>
    <row r="2037" spans="1:31" ht="36.5" customHeight="1">
      <c r="A2037" s="4" t="s">
        <v>5791</v>
      </c>
      <c r="B2037" s="4" t="s">
        <v>5798</v>
      </c>
      <c r="C2037" s="198" t="s">
        <v>23</v>
      </c>
      <c r="D2037" s="198" t="s">
        <v>1128</v>
      </c>
      <c r="E2037" s="4" t="s">
        <v>394</v>
      </c>
      <c r="F2037" s="4" t="s">
        <v>27</v>
      </c>
      <c r="G2037" s="198" t="s">
        <v>2272</v>
      </c>
      <c r="H2037" s="198" t="s">
        <v>521</v>
      </c>
      <c r="I2037" s="198"/>
      <c r="J2037" s="4" t="s">
        <v>2272</v>
      </c>
      <c r="K2037" s="4" t="s">
        <v>2272</v>
      </c>
      <c r="L2037" s="4" t="s">
        <v>2272</v>
      </c>
      <c r="M2037" s="4" t="s">
        <v>2272</v>
      </c>
      <c r="N2037" s="4" t="s">
        <v>2272</v>
      </c>
      <c r="O2037" s="4" t="s">
        <v>2272</v>
      </c>
      <c r="P2037" s="4" t="s">
        <v>2272</v>
      </c>
      <c r="Q2037" s="4" t="s">
        <v>2272</v>
      </c>
      <c r="R2037" s="4" t="s">
        <v>2272</v>
      </c>
      <c r="S2037" s="4" t="s">
        <v>2272</v>
      </c>
      <c r="T2037" s="4" t="s">
        <v>2272</v>
      </c>
      <c r="U2037" s="4" t="s">
        <v>2272</v>
      </c>
      <c r="V2037" s="4" t="s">
        <v>2272</v>
      </c>
      <c r="W2037" s="4" t="s">
        <v>2272</v>
      </c>
      <c r="X2037" s="4" t="s">
        <v>2272</v>
      </c>
      <c r="Y2037" s="4" t="s">
        <v>2272</v>
      </c>
      <c r="Z2037" s="4" t="s">
        <v>2272</v>
      </c>
      <c r="AA2037" s="4" t="s">
        <v>2272</v>
      </c>
      <c r="AB2037" s="4" t="s">
        <v>2272</v>
      </c>
      <c r="AC2037" s="4" t="s">
        <v>2272</v>
      </c>
      <c r="AD2037" s="198"/>
      <c r="AE2037" s="198"/>
    </row>
    <row r="2038" spans="1:31" ht="36.5" customHeight="1">
      <c r="A2038" s="4" t="s">
        <v>5791</v>
      </c>
      <c r="B2038" s="4" t="s">
        <v>5799</v>
      </c>
      <c r="C2038" s="198" t="s">
        <v>23</v>
      </c>
      <c r="D2038" s="198" t="s">
        <v>1238</v>
      </c>
      <c r="E2038" s="4" t="s">
        <v>394</v>
      </c>
      <c r="F2038" s="4" t="s">
        <v>2657</v>
      </c>
      <c r="G2038" s="198" t="s">
        <v>2272</v>
      </c>
      <c r="H2038" s="198" t="s">
        <v>521</v>
      </c>
      <c r="I2038" s="198"/>
      <c r="J2038" s="4" t="s">
        <v>2272</v>
      </c>
      <c r="K2038" s="4" t="s">
        <v>2272</v>
      </c>
      <c r="L2038" s="4" t="s">
        <v>2272</v>
      </c>
      <c r="M2038" s="4" t="s">
        <v>2272</v>
      </c>
      <c r="N2038" s="4" t="s">
        <v>2272</v>
      </c>
      <c r="O2038" s="4" t="s">
        <v>2272</v>
      </c>
      <c r="P2038" s="4" t="s">
        <v>2272</v>
      </c>
      <c r="Q2038" s="4" t="s">
        <v>2272</v>
      </c>
      <c r="R2038" s="4" t="s">
        <v>2272</v>
      </c>
      <c r="S2038" s="4" t="s">
        <v>2272</v>
      </c>
      <c r="T2038" s="4" t="s">
        <v>2272</v>
      </c>
      <c r="U2038" s="4" t="s">
        <v>2272</v>
      </c>
      <c r="V2038" s="4" t="s">
        <v>2272</v>
      </c>
      <c r="W2038" s="4" t="s">
        <v>2272</v>
      </c>
      <c r="X2038" s="4" t="s">
        <v>2272</v>
      </c>
      <c r="Y2038" s="4" t="s">
        <v>2272</v>
      </c>
      <c r="Z2038" s="4" t="s">
        <v>2272</v>
      </c>
      <c r="AA2038" s="4" t="s">
        <v>2272</v>
      </c>
      <c r="AB2038" s="4" t="s">
        <v>2272</v>
      </c>
      <c r="AC2038" s="4" t="s">
        <v>2272</v>
      </c>
      <c r="AD2038" s="198"/>
      <c r="AE2038" s="198"/>
    </row>
    <row r="2039" spans="1:31" ht="32" customHeight="1">
      <c r="A2039" s="4" t="s">
        <v>5791</v>
      </c>
      <c r="B2039" s="4" t="s">
        <v>5800</v>
      </c>
      <c r="C2039" s="198" t="s">
        <v>23</v>
      </c>
      <c r="D2039" s="198" t="s">
        <v>2342</v>
      </c>
      <c r="E2039" s="4" t="s">
        <v>2272</v>
      </c>
      <c r="F2039" s="4" t="s">
        <v>2272</v>
      </c>
      <c r="G2039" s="198" t="s">
        <v>2272</v>
      </c>
      <c r="H2039" s="198" t="s">
        <v>521</v>
      </c>
      <c r="I2039" s="198"/>
      <c r="J2039" s="4" t="s">
        <v>2272</v>
      </c>
      <c r="K2039" s="4" t="s">
        <v>2272</v>
      </c>
      <c r="L2039" s="4" t="s">
        <v>2272</v>
      </c>
      <c r="M2039" s="4" t="s">
        <v>2272</v>
      </c>
      <c r="N2039" s="4" t="s">
        <v>2272</v>
      </c>
      <c r="O2039" s="4" t="s">
        <v>2272</v>
      </c>
      <c r="P2039" s="4" t="s">
        <v>2272</v>
      </c>
      <c r="Q2039" s="4" t="s">
        <v>2272</v>
      </c>
      <c r="R2039" s="4" t="s">
        <v>2272</v>
      </c>
      <c r="S2039" s="4" t="s">
        <v>2272</v>
      </c>
      <c r="T2039" s="4" t="s">
        <v>2272</v>
      </c>
      <c r="U2039" s="4" t="s">
        <v>2272</v>
      </c>
      <c r="V2039" s="4" t="s">
        <v>2272</v>
      </c>
      <c r="W2039" s="4" t="s">
        <v>2272</v>
      </c>
      <c r="X2039" s="4" t="s">
        <v>2272</v>
      </c>
      <c r="Y2039" s="4" t="s">
        <v>2272</v>
      </c>
      <c r="Z2039" s="4" t="s">
        <v>2272</v>
      </c>
      <c r="AA2039" s="4" t="s">
        <v>2272</v>
      </c>
      <c r="AB2039" s="4" t="s">
        <v>2272</v>
      </c>
      <c r="AC2039" s="4" t="s">
        <v>2272</v>
      </c>
      <c r="AD2039" s="198"/>
      <c r="AE2039" s="198"/>
    </row>
    <row r="2040" spans="1:31" ht="30" customHeight="1">
      <c r="A2040" s="4" t="s">
        <v>5791</v>
      </c>
      <c r="B2040" s="4" t="s">
        <v>5801</v>
      </c>
      <c r="C2040" s="198" t="s">
        <v>2453</v>
      </c>
      <c r="D2040" s="198" t="s">
        <v>2989</v>
      </c>
      <c r="E2040" s="4" t="s">
        <v>2647</v>
      </c>
      <c r="F2040" s="4" t="s">
        <v>2272</v>
      </c>
      <c r="G2040" s="198" t="s">
        <v>2272</v>
      </c>
      <c r="H2040" s="198" t="s">
        <v>521</v>
      </c>
      <c r="I2040" s="198"/>
      <c r="J2040" s="4" t="s">
        <v>2272</v>
      </c>
      <c r="K2040" s="4" t="s">
        <v>2272</v>
      </c>
      <c r="L2040" s="4" t="s">
        <v>2272</v>
      </c>
      <c r="M2040" s="4" t="s">
        <v>2272</v>
      </c>
      <c r="N2040" s="4" t="s">
        <v>2272</v>
      </c>
      <c r="O2040" s="4" t="s">
        <v>2272</v>
      </c>
      <c r="P2040" s="4" t="s">
        <v>2272</v>
      </c>
      <c r="Q2040" s="4" t="s">
        <v>2272</v>
      </c>
      <c r="R2040" s="4" t="s">
        <v>2272</v>
      </c>
      <c r="S2040" s="4" t="s">
        <v>2272</v>
      </c>
      <c r="T2040" s="4" t="s">
        <v>2272</v>
      </c>
      <c r="U2040" s="4" t="s">
        <v>2272</v>
      </c>
      <c r="V2040" s="4" t="s">
        <v>2272</v>
      </c>
      <c r="W2040" s="4" t="s">
        <v>2272</v>
      </c>
      <c r="X2040" s="4" t="s">
        <v>2272</v>
      </c>
      <c r="Y2040" s="4" t="s">
        <v>2272</v>
      </c>
      <c r="Z2040" s="4" t="s">
        <v>2272</v>
      </c>
      <c r="AA2040" s="4" t="s">
        <v>2272</v>
      </c>
      <c r="AB2040" s="4" t="s">
        <v>2272</v>
      </c>
      <c r="AC2040" s="4" t="s">
        <v>2272</v>
      </c>
      <c r="AD2040" s="198"/>
      <c r="AE2040" s="198"/>
    </row>
    <row r="2041" spans="1:31" ht="64.5" customHeight="1">
      <c r="A2041" s="4" t="s">
        <v>5791</v>
      </c>
      <c r="B2041" s="4" t="s">
        <v>5802</v>
      </c>
      <c r="C2041" s="198" t="s">
        <v>1102</v>
      </c>
      <c r="D2041" s="198" t="s">
        <v>1102</v>
      </c>
      <c r="E2041" s="4" t="s">
        <v>1102</v>
      </c>
      <c r="F2041" s="4" t="s">
        <v>2272</v>
      </c>
      <c r="G2041" s="198" t="s">
        <v>2272</v>
      </c>
      <c r="H2041" s="198" t="s">
        <v>521</v>
      </c>
      <c r="I2041" s="198"/>
      <c r="J2041" s="4" t="s">
        <v>2272</v>
      </c>
      <c r="K2041" s="4" t="s">
        <v>2272</v>
      </c>
      <c r="L2041" s="4" t="s">
        <v>2272</v>
      </c>
      <c r="M2041" s="4" t="s">
        <v>2272</v>
      </c>
      <c r="N2041" s="4" t="s">
        <v>2272</v>
      </c>
      <c r="O2041" s="4">
        <v>5600</v>
      </c>
      <c r="P2041" s="4" t="s">
        <v>2272</v>
      </c>
      <c r="Q2041" s="4" t="s">
        <v>2272</v>
      </c>
      <c r="R2041" s="4" t="s">
        <v>2272</v>
      </c>
      <c r="S2041" s="4" t="s">
        <v>2272</v>
      </c>
      <c r="T2041" s="4" t="s">
        <v>2272</v>
      </c>
      <c r="U2041" s="4">
        <v>6578</v>
      </c>
      <c r="V2041" s="4" t="s">
        <v>2272</v>
      </c>
      <c r="W2041" s="4" t="s">
        <v>2272</v>
      </c>
      <c r="X2041" s="4" t="s">
        <v>2272</v>
      </c>
      <c r="Y2041" s="4" t="s">
        <v>2272</v>
      </c>
      <c r="Z2041" s="4" t="s">
        <v>2272</v>
      </c>
      <c r="AA2041" s="4" t="s">
        <v>2272</v>
      </c>
      <c r="AB2041" s="4" t="s">
        <v>2272</v>
      </c>
      <c r="AC2041" s="4" t="s">
        <v>2272</v>
      </c>
      <c r="AD2041" s="198"/>
      <c r="AE2041" s="4" t="s">
        <v>5803</v>
      </c>
    </row>
    <row r="2042" spans="1:31" ht="30" customHeight="1">
      <c r="A2042" s="4" t="s">
        <v>5810</v>
      </c>
      <c r="B2042" s="4" t="s">
        <v>5814</v>
      </c>
      <c r="C2042" s="198" t="s">
        <v>23</v>
      </c>
      <c r="D2042" s="198" t="s">
        <v>26</v>
      </c>
      <c r="E2042" s="198" t="s">
        <v>128</v>
      </c>
      <c r="F2042" s="4" t="s">
        <v>158</v>
      </c>
      <c r="G2042" s="198" t="s">
        <v>2272</v>
      </c>
      <c r="H2042" s="198" t="s">
        <v>521</v>
      </c>
      <c r="I2042" s="198"/>
      <c r="J2042" s="4" t="s">
        <v>2272</v>
      </c>
      <c r="K2042" s="4" t="s">
        <v>2272</v>
      </c>
      <c r="L2042" s="4" t="s">
        <v>2272</v>
      </c>
      <c r="M2042" s="4" t="s">
        <v>2272</v>
      </c>
      <c r="N2042" s="4" t="s">
        <v>2272</v>
      </c>
      <c r="O2042" s="4" t="s">
        <v>2272</v>
      </c>
      <c r="P2042" s="4" t="s">
        <v>2272</v>
      </c>
      <c r="Q2042" s="4" t="s">
        <v>2272</v>
      </c>
      <c r="R2042" s="4" t="s">
        <v>2272</v>
      </c>
      <c r="S2042" s="4" t="s">
        <v>2272</v>
      </c>
      <c r="T2042" s="4" t="s">
        <v>2272</v>
      </c>
      <c r="U2042" s="4" t="s">
        <v>2272</v>
      </c>
      <c r="V2042" s="4" t="s">
        <v>2272</v>
      </c>
      <c r="W2042" s="4" t="s">
        <v>2272</v>
      </c>
      <c r="X2042" s="4" t="s">
        <v>2272</v>
      </c>
      <c r="Y2042" s="4" t="s">
        <v>2272</v>
      </c>
      <c r="Z2042" s="4" t="s">
        <v>2272</v>
      </c>
      <c r="AA2042" s="4" t="s">
        <v>2272</v>
      </c>
      <c r="AB2042" s="4" t="s">
        <v>2272</v>
      </c>
      <c r="AC2042" s="4" t="s">
        <v>2272</v>
      </c>
      <c r="AD2042" s="198"/>
      <c r="AE2042" s="198"/>
    </row>
    <row r="2043" spans="1:31" ht="31" customHeight="1">
      <c r="A2043" s="4" t="s">
        <v>5810</v>
      </c>
      <c r="B2043" s="4" t="s">
        <v>5815</v>
      </c>
      <c r="C2043" s="198" t="s">
        <v>23</v>
      </c>
      <c r="D2043" s="198" t="s">
        <v>26</v>
      </c>
      <c r="E2043" s="4" t="s">
        <v>394</v>
      </c>
      <c r="F2043" s="4" t="s">
        <v>158</v>
      </c>
      <c r="G2043" s="198" t="s">
        <v>2272</v>
      </c>
      <c r="H2043" s="198" t="s">
        <v>522</v>
      </c>
      <c r="I2043" s="198"/>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21">
        <v>0</v>
      </c>
      <c r="Z2043" s="4" t="s">
        <v>2272</v>
      </c>
      <c r="AA2043" s="4" t="s">
        <v>2272</v>
      </c>
      <c r="AB2043" s="4" t="s">
        <v>2272</v>
      </c>
      <c r="AC2043" s="4" t="s">
        <v>2272</v>
      </c>
      <c r="AD2043" s="198"/>
      <c r="AE2043" s="198"/>
    </row>
    <row r="2044" spans="1:31" ht="33.5" customHeight="1">
      <c r="A2044" s="4" t="s">
        <v>5810</v>
      </c>
      <c r="B2044" s="4" t="s">
        <v>5816</v>
      </c>
      <c r="C2044" s="198" t="s">
        <v>23</v>
      </c>
      <c r="D2044" s="198" t="s">
        <v>2227</v>
      </c>
      <c r="E2044" s="4" t="s">
        <v>394</v>
      </c>
      <c r="F2044" s="4" t="s">
        <v>158</v>
      </c>
      <c r="G2044" s="198" t="s">
        <v>2272</v>
      </c>
      <c r="H2044" s="198" t="s">
        <v>521</v>
      </c>
      <c r="I2044" s="198"/>
      <c r="J2044" s="4" t="s">
        <v>2272</v>
      </c>
      <c r="K2044" s="4" t="s">
        <v>2272</v>
      </c>
      <c r="L2044" s="4" t="s">
        <v>2272</v>
      </c>
      <c r="M2044" s="4" t="s">
        <v>2272</v>
      </c>
      <c r="N2044" s="4" t="s">
        <v>2272</v>
      </c>
      <c r="O2044" s="4" t="s">
        <v>2272</v>
      </c>
      <c r="P2044" s="4" t="s">
        <v>2272</v>
      </c>
      <c r="Q2044" s="4" t="s">
        <v>2272</v>
      </c>
      <c r="R2044" s="4" t="s">
        <v>2272</v>
      </c>
      <c r="S2044" s="4" t="s">
        <v>2272</v>
      </c>
      <c r="T2044" s="4" t="s">
        <v>2272</v>
      </c>
      <c r="U2044" s="4" t="s">
        <v>2272</v>
      </c>
      <c r="V2044" s="4" t="s">
        <v>2272</v>
      </c>
      <c r="W2044" s="4" t="s">
        <v>2272</v>
      </c>
      <c r="X2044" s="4" t="s">
        <v>2272</v>
      </c>
      <c r="Y2044" s="4" t="s">
        <v>2272</v>
      </c>
      <c r="Z2044" s="4" t="s">
        <v>2272</v>
      </c>
      <c r="AA2044" s="4" t="s">
        <v>2272</v>
      </c>
      <c r="AB2044" s="4" t="s">
        <v>2272</v>
      </c>
      <c r="AC2044" s="4" t="s">
        <v>2272</v>
      </c>
      <c r="AD2044" s="198"/>
      <c r="AE2044" s="198"/>
    </row>
    <row r="2045" spans="1:31" ht="36.5" customHeight="1">
      <c r="A2045" s="4" t="s">
        <v>5811</v>
      </c>
      <c r="B2045" s="4" t="s">
        <v>5817</v>
      </c>
      <c r="C2045" s="198" t="s">
        <v>23</v>
      </c>
      <c r="D2045" s="198" t="s">
        <v>26</v>
      </c>
      <c r="E2045" s="198" t="s">
        <v>128</v>
      </c>
      <c r="F2045" s="4" t="s">
        <v>158</v>
      </c>
      <c r="G2045" s="198" t="s">
        <v>2272</v>
      </c>
      <c r="H2045" s="198" t="s">
        <v>521</v>
      </c>
      <c r="I2045" s="198"/>
      <c r="J2045" s="4" t="s">
        <v>2272</v>
      </c>
      <c r="K2045" s="4" t="s">
        <v>2272</v>
      </c>
      <c r="L2045" s="4" t="s">
        <v>2272</v>
      </c>
      <c r="M2045" s="4" t="s">
        <v>2272</v>
      </c>
      <c r="N2045" s="4" t="s">
        <v>2272</v>
      </c>
      <c r="O2045" s="4" t="s">
        <v>2272</v>
      </c>
      <c r="P2045" s="4" t="s">
        <v>2272</v>
      </c>
      <c r="Q2045" s="4" t="s">
        <v>2272</v>
      </c>
      <c r="R2045" s="4" t="s">
        <v>2272</v>
      </c>
      <c r="S2045" s="4" t="s">
        <v>2272</v>
      </c>
      <c r="T2045" s="4" t="s">
        <v>2272</v>
      </c>
      <c r="U2045" s="4" t="s">
        <v>2272</v>
      </c>
      <c r="V2045" s="4" t="s">
        <v>2272</v>
      </c>
      <c r="W2045" s="4" t="s">
        <v>2272</v>
      </c>
      <c r="X2045" s="4" t="s">
        <v>2272</v>
      </c>
      <c r="Y2045" s="4" t="s">
        <v>2272</v>
      </c>
      <c r="Z2045" s="4" t="s">
        <v>2272</v>
      </c>
      <c r="AA2045" s="4" t="s">
        <v>2272</v>
      </c>
      <c r="AB2045" s="4" t="s">
        <v>2272</v>
      </c>
      <c r="AC2045" s="4" t="s">
        <v>2272</v>
      </c>
      <c r="AD2045" s="198"/>
      <c r="AE2045" s="198"/>
    </row>
    <row r="2046" spans="1:31" ht="36.5" customHeight="1">
      <c r="A2046" s="4" t="s">
        <v>5811</v>
      </c>
      <c r="B2046" s="4" t="s">
        <v>5818</v>
      </c>
      <c r="C2046" s="198" t="s">
        <v>23</v>
      </c>
      <c r="D2046" s="198" t="s">
        <v>26</v>
      </c>
      <c r="E2046" s="4" t="s">
        <v>394</v>
      </c>
      <c r="F2046" s="4" t="s">
        <v>158</v>
      </c>
      <c r="G2046" s="198" t="s">
        <v>2272</v>
      </c>
      <c r="H2046" s="198" t="s">
        <v>522</v>
      </c>
      <c r="I2046" s="198"/>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21">
        <v>0</v>
      </c>
      <c r="Z2046" s="4" t="s">
        <v>2272</v>
      </c>
      <c r="AA2046" s="4" t="s">
        <v>2272</v>
      </c>
      <c r="AB2046" s="4" t="s">
        <v>2272</v>
      </c>
      <c r="AC2046" s="4" t="s">
        <v>2272</v>
      </c>
      <c r="AD2046" s="198"/>
      <c r="AE2046" s="198"/>
    </row>
    <row r="2047" spans="1:31" ht="36.5" customHeight="1">
      <c r="A2047" s="4" t="s">
        <v>5811</v>
      </c>
      <c r="B2047" s="4" t="s">
        <v>5819</v>
      </c>
      <c r="C2047" s="198" t="s">
        <v>23</v>
      </c>
      <c r="D2047" s="198" t="s">
        <v>2227</v>
      </c>
      <c r="E2047" s="4" t="s">
        <v>394</v>
      </c>
      <c r="F2047" s="4" t="s">
        <v>158</v>
      </c>
      <c r="G2047" s="198" t="s">
        <v>2272</v>
      </c>
      <c r="H2047" s="198" t="s">
        <v>521</v>
      </c>
      <c r="I2047" s="198"/>
      <c r="J2047" s="4" t="s">
        <v>2272</v>
      </c>
      <c r="K2047" s="4" t="s">
        <v>2272</v>
      </c>
      <c r="L2047" s="4" t="s">
        <v>2272</v>
      </c>
      <c r="M2047" s="4" t="s">
        <v>2272</v>
      </c>
      <c r="N2047" s="4" t="s">
        <v>2272</v>
      </c>
      <c r="O2047" s="4" t="s">
        <v>2272</v>
      </c>
      <c r="P2047" s="4" t="s">
        <v>2272</v>
      </c>
      <c r="Q2047" s="4" t="s">
        <v>2272</v>
      </c>
      <c r="R2047" s="4" t="s">
        <v>2272</v>
      </c>
      <c r="S2047" s="4" t="s">
        <v>2272</v>
      </c>
      <c r="T2047" s="4" t="s">
        <v>2272</v>
      </c>
      <c r="U2047" s="4" t="s">
        <v>2272</v>
      </c>
      <c r="V2047" s="4" t="s">
        <v>2272</v>
      </c>
      <c r="W2047" s="4" t="s">
        <v>2272</v>
      </c>
      <c r="X2047" s="4" t="s">
        <v>2272</v>
      </c>
      <c r="Y2047" s="4" t="s">
        <v>2272</v>
      </c>
      <c r="Z2047" s="4" t="s">
        <v>2272</v>
      </c>
      <c r="AA2047" s="4" t="s">
        <v>2272</v>
      </c>
      <c r="AB2047" s="4" t="s">
        <v>2272</v>
      </c>
      <c r="AC2047" s="4" t="s">
        <v>2272</v>
      </c>
      <c r="AD2047" s="198"/>
      <c r="AE2047" s="198"/>
    </row>
    <row r="2048" spans="1:31" ht="63.5" customHeight="1">
      <c r="A2048" s="4" t="s">
        <v>5822</v>
      </c>
      <c r="B2048" s="4" t="s">
        <v>5826</v>
      </c>
      <c r="C2048" s="198" t="s">
        <v>23</v>
      </c>
      <c r="D2048" s="198" t="s">
        <v>26</v>
      </c>
      <c r="E2048" s="198" t="s">
        <v>128</v>
      </c>
      <c r="F2048" s="4" t="s">
        <v>27</v>
      </c>
      <c r="G2048" s="198" t="s">
        <v>27</v>
      </c>
      <c r="H2048" s="198" t="s">
        <v>521</v>
      </c>
      <c r="I2048" s="198"/>
      <c r="J2048" s="4" t="s">
        <v>2272</v>
      </c>
      <c r="K2048" s="4" t="s">
        <v>2272</v>
      </c>
      <c r="L2048" s="4" t="s">
        <v>2272</v>
      </c>
      <c r="M2048" s="4" t="s">
        <v>2272</v>
      </c>
      <c r="N2048" s="4" t="s">
        <v>2272</v>
      </c>
      <c r="O2048" s="4" t="s">
        <v>2272</v>
      </c>
      <c r="P2048" s="4" t="s">
        <v>2272</v>
      </c>
      <c r="Q2048" s="4" t="s">
        <v>2272</v>
      </c>
      <c r="R2048" s="4" t="s">
        <v>2272</v>
      </c>
      <c r="S2048" s="4" t="s">
        <v>2272</v>
      </c>
      <c r="T2048" s="4" t="s">
        <v>2272</v>
      </c>
      <c r="U2048" s="4" t="s">
        <v>2272</v>
      </c>
      <c r="V2048" s="4" t="s">
        <v>2272</v>
      </c>
      <c r="W2048" s="4" t="s">
        <v>2272</v>
      </c>
      <c r="X2048" s="4" t="s">
        <v>2272</v>
      </c>
      <c r="Y2048" s="4" t="s">
        <v>2272</v>
      </c>
      <c r="Z2048" s="4" t="s">
        <v>2272</v>
      </c>
      <c r="AA2048" s="4" t="s">
        <v>2272</v>
      </c>
      <c r="AB2048" s="4" t="s">
        <v>2272</v>
      </c>
      <c r="AC2048" s="4" t="s">
        <v>2272</v>
      </c>
      <c r="AD2048" s="4" t="s">
        <v>5828</v>
      </c>
      <c r="AE2048" s="198"/>
    </row>
    <row r="2049" spans="1:31" ht="56.5" customHeight="1">
      <c r="A2049" s="4" t="s">
        <v>5822</v>
      </c>
      <c r="B2049" s="4" t="s">
        <v>5827</v>
      </c>
      <c r="C2049" s="198" t="s">
        <v>23</v>
      </c>
      <c r="D2049" s="198" t="s">
        <v>26</v>
      </c>
      <c r="E2049" s="198" t="s">
        <v>128</v>
      </c>
      <c r="F2049" s="4" t="s">
        <v>158</v>
      </c>
      <c r="G2049" s="198" t="s">
        <v>27</v>
      </c>
      <c r="H2049" s="198" t="s">
        <v>522</v>
      </c>
      <c r="I2049" s="198"/>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21">
        <v>0</v>
      </c>
      <c r="Z2049" s="4" t="s">
        <v>2272</v>
      </c>
      <c r="AA2049" s="4" t="s">
        <v>2272</v>
      </c>
      <c r="AB2049" s="4" t="s">
        <v>2272</v>
      </c>
      <c r="AC2049" s="4" t="s">
        <v>2272</v>
      </c>
      <c r="AD2049" s="4" t="s">
        <v>5829</v>
      </c>
      <c r="AE2049" s="198"/>
    </row>
    <row r="2050" spans="1:31" ht="41" customHeight="1">
      <c r="A2050" s="4" t="s">
        <v>5831</v>
      </c>
      <c r="B2050" s="4" t="s">
        <v>5836</v>
      </c>
      <c r="C2050" s="198" t="s">
        <v>23</v>
      </c>
      <c r="D2050" s="198" t="s">
        <v>24</v>
      </c>
      <c r="E2050" s="198" t="s">
        <v>44</v>
      </c>
      <c r="F2050" s="4" t="s">
        <v>2657</v>
      </c>
      <c r="G2050" s="198" t="s">
        <v>2272</v>
      </c>
      <c r="H2050" s="198" t="s">
        <v>521</v>
      </c>
      <c r="I2050" s="173"/>
      <c r="J2050" s="4" t="s">
        <v>2272</v>
      </c>
      <c r="K2050" s="4" t="s">
        <v>2272</v>
      </c>
      <c r="L2050" s="4" t="s">
        <v>2272</v>
      </c>
      <c r="M2050" s="4" t="s">
        <v>2272</v>
      </c>
      <c r="N2050" s="4" t="s">
        <v>2272</v>
      </c>
      <c r="O2050" s="4" t="s">
        <v>2272</v>
      </c>
      <c r="P2050" s="4" t="s">
        <v>2272</v>
      </c>
      <c r="Q2050" s="4" t="s">
        <v>2272</v>
      </c>
      <c r="R2050" s="4" t="s">
        <v>2272</v>
      </c>
      <c r="S2050" s="4" t="s">
        <v>2272</v>
      </c>
      <c r="T2050" s="4" t="s">
        <v>2272</v>
      </c>
      <c r="U2050" s="4" t="s">
        <v>2272</v>
      </c>
      <c r="V2050" s="4" t="s">
        <v>2272</v>
      </c>
      <c r="W2050" s="4" t="s">
        <v>2272</v>
      </c>
      <c r="X2050" s="4" t="s">
        <v>2272</v>
      </c>
      <c r="Y2050" s="4" t="s">
        <v>2272</v>
      </c>
      <c r="Z2050" s="4" t="s">
        <v>2272</v>
      </c>
      <c r="AA2050" s="198" t="s">
        <v>397</v>
      </c>
      <c r="AB2050" s="198" t="s">
        <v>187</v>
      </c>
      <c r="AC2050" s="4" t="s">
        <v>2272</v>
      </c>
      <c r="AD2050" s="198"/>
      <c r="AE2050" s="198"/>
    </row>
    <row r="2051" spans="1:31" ht="29" customHeight="1">
      <c r="A2051" s="198" t="s">
        <v>5838</v>
      </c>
      <c r="B2051" s="198" t="s">
        <v>5844</v>
      </c>
      <c r="C2051" s="198" t="s">
        <v>23</v>
      </c>
      <c r="D2051" s="198" t="s">
        <v>1241</v>
      </c>
      <c r="E2051" s="198" t="s">
        <v>114</v>
      </c>
      <c r="F2051" s="4" t="s">
        <v>2657</v>
      </c>
      <c r="G2051" s="4" t="s">
        <v>2657</v>
      </c>
      <c r="H2051" s="198" t="s">
        <v>521</v>
      </c>
      <c r="I2051" s="173"/>
      <c r="J2051" s="4" t="s">
        <v>2272</v>
      </c>
      <c r="K2051" s="4" t="s">
        <v>2272</v>
      </c>
      <c r="L2051" s="4" t="s">
        <v>2272</v>
      </c>
      <c r="M2051" s="4" t="s">
        <v>2272</v>
      </c>
      <c r="N2051" s="4" t="s">
        <v>2272</v>
      </c>
      <c r="O2051" s="4" t="s">
        <v>2272</v>
      </c>
      <c r="P2051" s="4" t="s">
        <v>2272</v>
      </c>
      <c r="Q2051" s="4" t="s">
        <v>2272</v>
      </c>
      <c r="R2051" s="4" t="s">
        <v>2272</v>
      </c>
      <c r="S2051" s="4" t="s">
        <v>2272</v>
      </c>
      <c r="T2051" s="4" t="s">
        <v>2272</v>
      </c>
      <c r="U2051" s="4" t="s">
        <v>2272</v>
      </c>
      <c r="V2051" s="4" t="s">
        <v>2272</v>
      </c>
      <c r="W2051" s="4" t="s">
        <v>2272</v>
      </c>
      <c r="X2051" s="4" t="s">
        <v>2272</v>
      </c>
      <c r="Y2051" s="4" t="s">
        <v>2272</v>
      </c>
      <c r="Z2051" s="4" t="s">
        <v>2272</v>
      </c>
      <c r="AA2051" s="198" t="s">
        <v>397</v>
      </c>
      <c r="AB2051" s="198" t="s">
        <v>187</v>
      </c>
      <c r="AC2051" s="4" t="s">
        <v>2272</v>
      </c>
      <c r="AD2051" s="198"/>
      <c r="AE2051" s="198"/>
    </row>
    <row r="2052" spans="1:31" ht="33.5" customHeight="1">
      <c r="A2052" s="198" t="s">
        <v>5838</v>
      </c>
      <c r="B2052" s="198" t="s">
        <v>5845</v>
      </c>
      <c r="C2052" s="198" t="s">
        <v>23</v>
      </c>
      <c r="D2052" s="198" t="s">
        <v>24</v>
      </c>
      <c r="E2052" s="198" t="s">
        <v>5000</v>
      </c>
      <c r="F2052" s="4" t="s">
        <v>2657</v>
      </c>
      <c r="G2052" s="4" t="s">
        <v>2657</v>
      </c>
      <c r="H2052" s="198" t="s">
        <v>521</v>
      </c>
      <c r="I2052" s="173"/>
      <c r="J2052" s="4" t="s">
        <v>2272</v>
      </c>
      <c r="K2052" s="4" t="s">
        <v>2272</v>
      </c>
      <c r="L2052" s="4" t="s">
        <v>2272</v>
      </c>
      <c r="M2052" s="4" t="s">
        <v>2272</v>
      </c>
      <c r="N2052" s="4" t="s">
        <v>2272</v>
      </c>
      <c r="O2052" s="4" t="s">
        <v>2272</v>
      </c>
      <c r="P2052" s="4" t="s">
        <v>2272</v>
      </c>
      <c r="Q2052" s="4" t="s">
        <v>2272</v>
      </c>
      <c r="R2052" s="4" t="s">
        <v>2272</v>
      </c>
      <c r="S2052" s="4" t="s">
        <v>2272</v>
      </c>
      <c r="T2052" s="4" t="s">
        <v>2272</v>
      </c>
      <c r="U2052" s="4" t="s">
        <v>2272</v>
      </c>
      <c r="V2052" s="4" t="s">
        <v>2272</v>
      </c>
      <c r="W2052" s="4" t="s">
        <v>2272</v>
      </c>
      <c r="X2052" s="4" t="s">
        <v>2272</v>
      </c>
      <c r="Y2052" s="4" t="s">
        <v>2272</v>
      </c>
      <c r="Z2052" s="4" t="s">
        <v>2272</v>
      </c>
      <c r="AA2052" s="198" t="s">
        <v>397</v>
      </c>
      <c r="AB2052" s="198" t="s">
        <v>187</v>
      </c>
      <c r="AC2052" s="4" t="s">
        <v>2272</v>
      </c>
      <c r="AD2052" s="198"/>
      <c r="AE2052" s="198"/>
    </row>
    <row r="2053" spans="1:31" ht="44.5" customHeight="1">
      <c r="A2053" s="198" t="s">
        <v>5838</v>
      </c>
      <c r="B2053" s="198" t="s">
        <v>5846</v>
      </c>
      <c r="C2053" s="198" t="s">
        <v>1102</v>
      </c>
      <c r="D2053" s="198" t="s">
        <v>1102</v>
      </c>
      <c r="E2053" s="198" t="s">
        <v>1102</v>
      </c>
      <c r="F2053" s="4" t="s">
        <v>2272</v>
      </c>
      <c r="G2053" s="4" t="s">
        <v>2657</v>
      </c>
      <c r="H2053" s="198" t="s">
        <v>521</v>
      </c>
      <c r="I2053" s="198"/>
      <c r="J2053" s="4" t="s">
        <v>2272</v>
      </c>
      <c r="K2053" s="4" t="s">
        <v>2272</v>
      </c>
      <c r="L2053" s="4" t="s">
        <v>2272</v>
      </c>
      <c r="M2053" s="4" t="s">
        <v>2272</v>
      </c>
      <c r="N2053" s="4" t="s">
        <v>2272</v>
      </c>
      <c r="O2053" s="21">
        <f>100*100</f>
        <v>10000</v>
      </c>
      <c r="P2053" s="4" t="s">
        <v>2272</v>
      </c>
      <c r="Q2053" s="4" t="s">
        <v>2272</v>
      </c>
      <c r="R2053" s="4" t="s">
        <v>2272</v>
      </c>
      <c r="S2053" s="4" t="s">
        <v>2272</v>
      </c>
      <c r="T2053" s="4" t="s">
        <v>2272</v>
      </c>
      <c r="U2053" s="4" t="s">
        <v>2272</v>
      </c>
      <c r="V2053" s="4" t="s">
        <v>2272</v>
      </c>
      <c r="W2053" s="4" t="s">
        <v>2272</v>
      </c>
      <c r="X2053" s="4" t="s">
        <v>2272</v>
      </c>
      <c r="Y2053" s="4" t="s">
        <v>2272</v>
      </c>
      <c r="Z2053" s="4" t="s">
        <v>2272</v>
      </c>
      <c r="AA2053" s="198" t="s">
        <v>397</v>
      </c>
      <c r="AB2053" s="198" t="s">
        <v>187</v>
      </c>
      <c r="AC2053" s="4" t="s">
        <v>2272</v>
      </c>
      <c r="AD2053" s="198"/>
      <c r="AE2053" s="198" t="s">
        <v>5847</v>
      </c>
    </row>
    <row r="2054" spans="1:31" ht="35.5" customHeight="1">
      <c r="A2054" s="198" t="s">
        <v>5843</v>
      </c>
      <c r="B2054" s="198" t="s">
        <v>5850</v>
      </c>
      <c r="C2054" s="198" t="s">
        <v>23</v>
      </c>
      <c r="D2054" s="198" t="s">
        <v>24</v>
      </c>
      <c r="E2054" s="198" t="s">
        <v>5000</v>
      </c>
      <c r="F2054" s="4" t="s">
        <v>2657</v>
      </c>
      <c r="G2054" s="4" t="s">
        <v>2272</v>
      </c>
      <c r="H2054" s="198" t="s">
        <v>521</v>
      </c>
      <c r="I2054" s="198"/>
      <c r="J2054" s="181" t="s">
        <v>2272</v>
      </c>
      <c r="K2054" s="181" t="s">
        <v>2272</v>
      </c>
      <c r="L2054" s="181" t="s">
        <v>2272</v>
      </c>
      <c r="M2054" s="181" t="s">
        <v>2272</v>
      </c>
      <c r="N2054" s="181" t="s">
        <v>2272</v>
      </c>
      <c r="O2054" s="181" t="s">
        <v>2272</v>
      </c>
      <c r="P2054" s="181" t="s">
        <v>2272</v>
      </c>
      <c r="Q2054" s="181" t="s">
        <v>2272</v>
      </c>
      <c r="R2054" s="181" t="s">
        <v>2272</v>
      </c>
      <c r="S2054" s="181" t="s">
        <v>2272</v>
      </c>
      <c r="T2054" s="181" t="s">
        <v>2272</v>
      </c>
      <c r="U2054" s="181" t="s">
        <v>2272</v>
      </c>
      <c r="V2054" s="181" t="s">
        <v>2272</v>
      </c>
      <c r="W2054" s="181" t="s">
        <v>2272</v>
      </c>
      <c r="X2054" s="181" t="s">
        <v>2272</v>
      </c>
      <c r="Y2054" s="181" t="s">
        <v>2272</v>
      </c>
      <c r="Z2054" s="181" t="s">
        <v>2272</v>
      </c>
      <c r="AA2054" s="198" t="s">
        <v>397</v>
      </c>
      <c r="AB2054" s="198" t="s">
        <v>187</v>
      </c>
      <c r="AC2054" s="4" t="s">
        <v>2272</v>
      </c>
      <c r="AD2054" s="198"/>
      <c r="AE2054" s="198"/>
    </row>
    <row r="2055" spans="1:31" ht="29" customHeight="1">
      <c r="A2055" s="198" t="s">
        <v>5843</v>
      </c>
      <c r="B2055" s="198" t="s">
        <v>5851</v>
      </c>
      <c r="C2055" s="198" t="s">
        <v>2453</v>
      </c>
      <c r="D2055" s="198" t="s">
        <v>24</v>
      </c>
      <c r="E2055" s="198" t="s">
        <v>5000</v>
      </c>
      <c r="F2055" s="4" t="s">
        <v>2657</v>
      </c>
      <c r="G2055" s="4" t="s">
        <v>2272</v>
      </c>
      <c r="H2055" s="198" t="s">
        <v>521</v>
      </c>
      <c r="I2055" s="198"/>
      <c r="J2055" s="181" t="s">
        <v>2272</v>
      </c>
      <c r="K2055" s="181" t="s">
        <v>2272</v>
      </c>
      <c r="L2055" s="181" t="s">
        <v>2272</v>
      </c>
      <c r="M2055" s="181" t="s">
        <v>2272</v>
      </c>
      <c r="N2055" s="181" t="s">
        <v>2272</v>
      </c>
      <c r="O2055" s="181" t="s">
        <v>2272</v>
      </c>
      <c r="P2055" s="181" t="s">
        <v>2272</v>
      </c>
      <c r="Q2055" s="181" t="s">
        <v>2272</v>
      </c>
      <c r="R2055" s="181" t="s">
        <v>2272</v>
      </c>
      <c r="S2055" s="181" t="s">
        <v>2272</v>
      </c>
      <c r="T2055" s="181" t="s">
        <v>2272</v>
      </c>
      <c r="U2055" s="181" t="s">
        <v>2272</v>
      </c>
      <c r="V2055" s="181" t="s">
        <v>2272</v>
      </c>
      <c r="W2055" s="181" t="s">
        <v>2272</v>
      </c>
      <c r="X2055" s="181" t="s">
        <v>2272</v>
      </c>
      <c r="Y2055" s="181" t="s">
        <v>2272</v>
      </c>
      <c r="Z2055" s="181" t="s">
        <v>2272</v>
      </c>
      <c r="AA2055" s="198" t="s">
        <v>397</v>
      </c>
      <c r="AB2055" s="198" t="s">
        <v>187</v>
      </c>
      <c r="AC2055" s="4" t="s">
        <v>2272</v>
      </c>
      <c r="AD2055" s="198"/>
      <c r="AE2055" s="198"/>
    </row>
    <row r="2056" spans="1:31" ht="43" customHeight="1">
      <c r="A2056" s="198" t="s">
        <v>5843</v>
      </c>
      <c r="B2056" s="198" t="s">
        <v>5852</v>
      </c>
      <c r="C2056" s="198" t="s">
        <v>2651</v>
      </c>
      <c r="D2056" s="198" t="s">
        <v>2272</v>
      </c>
      <c r="E2056" s="198" t="s">
        <v>2272</v>
      </c>
      <c r="F2056" s="198" t="s">
        <v>2272</v>
      </c>
      <c r="G2056" s="4" t="s">
        <v>2657</v>
      </c>
      <c r="H2056" s="198" t="s">
        <v>522</v>
      </c>
      <c r="I2056" s="198"/>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21">
        <v>0</v>
      </c>
      <c r="Z2056" s="181" t="s">
        <v>2272</v>
      </c>
      <c r="AA2056" s="198" t="s">
        <v>397</v>
      </c>
      <c r="AB2056" s="198" t="s">
        <v>187</v>
      </c>
      <c r="AC2056" s="4" t="s">
        <v>2272</v>
      </c>
      <c r="AD2056" s="198"/>
      <c r="AE2056" s="198"/>
    </row>
    <row r="2057" spans="1:31" ht="66.5" customHeight="1">
      <c r="A2057" s="4" t="s">
        <v>5843</v>
      </c>
      <c r="B2057" s="4" t="s">
        <v>5857</v>
      </c>
      <c r="C2057" s="4" t="s">
        <v>1102</v>
      </c>
      <c r="D2057" s="4" t="s">
        <v>1102</v>
      </c>
      <c r="E2057" s="4" t="s">
        <v>1102</v>
      </c>
      <c r="F2057" s="4" t="s">
        <v>2272</v>
      </c>
      <c r="G2057" s="4" t="s">
        <v>2657</v>
      </c>
      <c r="H2057" s="4" t="s">
        <v>521</v>
      </c>
      <c r="I2057" s="198">
        <v>1997</v>
      </c>
      <c r="J2057" s="181" t="s">
        <v>2272</v>
      </c>
      <c r="K2057" s="181" t="s">
        <v>2272</v>
      </c>
      <c r="L2057" s="181" t="s">
        <v>2272</v>
      </c>
      <c r="M2057" s="181" t="s">
        <v>2272</v>
      </c>
      <c r="N2057" s="181" t="s">
        <v>2272</v>
      </c>
      <c r="O2057" s="181" t="s">
        <v>2272</v>
      </c>
      <c r="P2057" s="181" t="s">
        <v>2272</v>
      </c>
      <c r="Q2057" s="181" t="s">
        <v>2272</v>
      </c>
      <c r="R2057" s="181" t="s">
        <v>2272</v>
      </c>
      <c r="S2057" s="181" t="s">
        <v>2272</v>
      </c>
      <c r="T2057" s="181" t="s">
        <v>2272</v>
      </c>
      <c r="U2057" s="21">
        <f>34.6*100</f>
        <v>3460</v>
      </c>
      <c r="V2057" s="181" t="s">
        <v>2272</v>
      </c>
      <c r="W2057" s="181" t="s">
        <v>2272</v>
      </c>
      <c r="X2057" s="181" t="s">
        <v>2272</v>
      </c>
      <c r="Y2057" s="21">
        <f>U2057/'Record info'!K897</f>
        <v>77.40492170022371</v>
      </c>
      <c r="Z2057" s="181" t="s">
        <v>2272</v>
      </c>
      <c r="AA2057" s="198" t="s">
        <v>397</v>
      </c>
      <c r="AB2057" s="198" t="s">
        <v>187</v>
      </c>
      <c r="AC2057" s="4" t="s">
        <v>2272</v>
      </c>
      <c r="AE2057" s="4" t="s">
        <v>5859</v>
      </c>
    </row>
    <row r="2058" spans="1:31" ht="66.5" customHeight="1">
      <c r="A2058" s="4" t="s">
        <v>5843</v>
      </c>
      <c r="B2058" s="4" t="s">
        <v>5858</v>
      </c>
      <c r="C2058" s="4" t="s">
        <v>1102</v>
      </c>
      <c r="D2058" s="4" t="s">
        <v>1102</v>
      </c>
      <c r="E2058" s="4" t="s">
        <v>1102</v>
      </c>
      <c r="F2058" s="4" t="s">
        <v>2272</v>
      </c>
      <c r="G2058" s="4" t="s">
        <v>2657</v>
      </c>
      <c r="H2058" s="4" t="s">
        <v>521</v>
      </c>
      <c r="I2058" s="198"/>
      <c r="J2058" s="181" t="s">
        <v>2272</v>
      </c>
      <c r="K2058" s="181" t="s">
        <v>2272</v>
      </c>
      <c r="L2058" s="181" t="s">
        <v>2272</v>
      </c>
      <c r="M2058" s="181" t="s">
        <v>2272</v>
      </c>
      <c r="N2058" s="181" t="s">
        <v>2272</v>
      </c>
      <c r="O2058" s="181" t="s">
        <v>2272</v>
      </c>
      <c r="P2058" s="181" t="s">
        <v>2272</v>
      </c>
      <c r="Q2058" s="181" t="s">
        <v>2272</v>
      </c>
      <c r="R2058" s="181" t="s">
        <v>2272</v>
      </c>
      <c r="S2058" s="181" t="s">
        <v>2272</v>
      </c>
      <c r="T2058" s="181" t="s">
        <v>2272</v>
      </c>
      <c r="U2058" s="181" t="s">
        <v>2272</v>
      </c>
      <c r="V2058" s="181" t="s">
        <v>2272</v>
      </c>
      <c r="W2058" s="181" t="s">
        <v>2272</v>
      </c>
      <c r="X2058" s="181" t="s">
        <v>2272</v>
      </c>
      <c r="Y2058" s="181" t="s">
        <v>2272</v>
      </c>
      <c r="Z2058" s="181" t="s">
        <v>2272</v>
      </c>
      <c r="AA2058" s="198" t="s">
        <v>397</v>
      </c>
      <c r="AB2058" s="198" t="s">
        <v>187</v>
      </c>
      <c r="AC2058" s="4" t="s">
        <v>2272</v>
      </c>
      <c r="AD2058" s="4"/>
      <c r="AE2058" s="4" t="s">
        <v>5860</v>
      </c>
    </row>
    <row r="2059" spans="1:31" ht="38" customHeight="1">
      <c r="A2059" s="198" t="s">
        <v>5848</v>
      </c>
      <c r="B2059" s="198" t="s">
        <v>5865</v>
      </c>
      <c r="C2059" s="198" t="s">
        <v>23</v>
      </c>
      <c r="D2059" s="198" t="s">
        <v>24</v>
      </c>
      <c r="E2059" s="198" t="s">
        <v>5000</v>
      </c>
      <c r="F2059" s="4" t="s">
        <v>2657</v>
      </c>
      <c r="G2059" s="4" t="s">
        <v>2272</v>
      </c>
      <c r="H2059" s="4" t="s">
        <v>521</v>
      </c>
      <c r="I2059" s="198"/>
      <c r="J2059" s="4" t="s">
        <v>2272</v>
      </c>
      <c r="K2059" s="4" t="s">
        <v>2272</v>
      </c>
      <c r="L2059" s="4" t="s">
        <v>2272</v>
      </c>
      <c r="M2059" s="4" t="s">
        <v>2272</v>
      </c>
      <c r="N2059" s="4" t="s">
        <v>2272</v>
      </c>
      <c r="O2059" s="4" t="s">
        <v>2272</v>
      </c>
      <c r="P2059" s="4" t="s">
        <v>2272</v>
      </c>
      <c r="Q2059" s="4" t="s">
        <v>2272</v>
      </c>
      <c r="R2059" s="4" t="s">
        <v>2272</v>
      </c>
      <c r="S2059" s="4" t="s">
        <v>2272</v>
      </c>
      <c r="T2059" s="4" t="s">
        <v>2272</v>
      </c>
      <c r="U2059" s="4" t="s">
        <v>2272</v>
      </c>
      <c r="V2059" s="4" t="s">
        <v>2272</v>
      </c>
      <c r="W2059" s="4" t="s">
        <v>2272</v>
      </c>
      <c r="X2059" s="4" t="s">
        <v>2272</v>
      </c>
      <c r="Y2059" s="4" t="s">
        <v>2272</v>
      </c>
      <c r="Z2059" s="4" t="s">
        <v>2272</v>
      </c>
      <c r="AA2059" s="4" t="s">
        <v>2272</v>
      </c>
      <c r="AB2059" s="4" t="s">
        <v>2272</v>
      </c>
      <c r="AC2059" s="4" t="s">
        <v>2272</v>
      </c>
      <c r="AD2059" s="198"/>
      <c r="AE2059" s="198"/>
    </row>
    <row r="2060" spans="1:31" ht="38" customHeight="1">
      <c r="A2060" s="198" t="s">
        <v>5848</v>
      </c>
      <c r="B2060" s="198" t="s">
        <v>5866</v>
      </c>
      <c r="C2060" s="198" t="s">
        <v>23</v>
      </c>
      <c r="D2060" s="198" t="s">
        <v>26</v>
      </c>
      <c r="E2060" s="198" t="s">
        <v>128</v>
      </c>
      <c r="F2060" s="4" t="s">
        <v>158</v>
      </c>
      <c r="G2060" s="4" t="s">
        <v>2272</v>
      </c>
      <c r="H2060" s="4" t="s">
        <v>521</v>
      </c>
      <c r="I2060" s="198"/>
      <c r="J2060" s="4" t="s">
        <v>2272</v>
      </c>
      <c r="K2060" s="4" t="s">
        <v>2272</v>
      </c>
      <c r="L2060" s="4" t="s">
        <v>2272</v>
      </c>
      <c r="M2060" s="4" t="s">
        <v>2272</v>
      </c>
      <c r="N2060" s="4" t="s">
        <v>2272</v>
      </c>
      <c r="O2060" s="4" t="s">
        <v>2272</v>
      </c>
      <c r="P2060" s="4" t="s">
        <v>2272</v>
      </c>
      <c r="Q2060" s="4" t="s">
        <v>2272</v>
      </c>
      <c r="R2060" s="4" t="s">
        <v>2272</v>
      </c>
      <c r="S2060" s="4" t="s">
        <v>2272</v>
      </c>
      <c r="T2060" s="4" t="s">
        <v>2272</v>
      </c>
      <c r="U2060" s="4" t="s">
        <v>2272</v>
      </c>
      <c r="V2060" s="4" t="s">
        <v>2272</v>
      </c>
      <c r="W2060" s="4" t="s">
        <v>2272</v>
      </c>
      <c r="X2060" s="4" t="s">
        <v>2272</v>
      </c>
      <c r="Y2060" s="4" t="s">
        <v>2272</v>
      </c>
      <c r="Z2060" s="4" t="s">
        <v>2272</v>
      </c>
      <c r="AA2060" s="4" t="s">
        <v>2272</v>
      </c>
      <c r="AB2060" s="4" t="s">
        <v>2272</v>
      </c>
      <c r="AC2060" s="4" t="s">
        <v>2272</v>
      </c>
      <c r="AD2060" s="198"/>
      <c r="AE2060" s="198"/>
    </row>
    <row r="2061" spans="1:31" ht="38" customHeight="1">
      <c r="A2061" s="198" t="s">
        <v>5853</v>
      </c>
      <c r="B2061" s="198" t="s">
        <v>5867</v>
      </c>
      <c r="C2061" s="198" t="s">
        <v>23</v>
      </c>
      <c r="D2061" s="198" t="s">
        <v>24</v>
      </c>
      <c r="E2061" s="198" t="s">
        <v>5000</v>
      </c>
      <c r="F2061" s="4" t="s">
        <v>2657</v>
      </c>
      <c r="G2061" s="4" t="s">
        <v>2272</v>
      </c>
      <c r="H2061" s="4" t="s">
        <v>521</v>
      </c>
      <c r="I2061" s="198"/>
      <c r="J2061" s="4" t="s">
        <v>2272</v>
      </c>
      <c r="K2061" s="4" t="s">
        <v>2272</v>
      </c>
      <c r="L2061" s="4" t="s">
        <v>2272</v>
      </c>
      <c r="M2061" s="4" t="s">
        <v>2272</v>
      </c>
      <c r="N2061" s="4" t="s">
        <v>2272</v>
      </c>
      <c r="O2061" s="4" t="s">
        <v>2272</v>
      </c>
      <c r="P2061" s="4" t="s">
        <v>2272</v>
      </c>
      <c r="Q2061" s="4" t="s">
        <v>2272</v>
      </c>
      <c r="R2061" s="4" t="s">
        <v>2272</v>
      </c>
      <c r="S2061" s="4" t="s">
        <v>2272</v>
      </c>
      <c r="T2061" s="4" t="s">
        <v>2272</v>
      </c>
      <c r="U2061" s="4" t="s">
        <v>2272</v>
      </c>
      <c r="V2061" s="4" t="s">
        <v>2272</v>
      </c>
      <c r="W2061" s="4" t="s">
        <v>2272</v>
      </c>
      <c r="X2061" s="4" t="s">
        <v>2272</v>
      </c>
      <c r="Y2061" s="4" t="s">
        <v>2272</v>
      </c>
      <c r="Z2061" s="4" t="s">
        <v>2272</v>
      </c>
      <c r="AA2061" s="4" t="s">
        <v>2272</v>
      </c>
      <c r="AB2061" s="4" t="s">
        <v>2272</v>
      </c>
      <c r="AC2061" s="4" t="s">
        <v>2272</v>
      </c>
      <c r="AD2061" s="198"/>
      <c r="AE2061" s="198"/>
    </row>
    <row r="2062" spans="1:31" ht="38" customHeight="1">
      <c r="A2062" s="198" t="s">
        <v>5854</v>
      </c>
      <c r="B2062" s="198" t="s">
        <v>5868</v>
      </c>
      <c r="C2062" s="198" t="s">
        <v>23</v>
      </c>
      <c r="D2062" s="198" t="s">
        <v>1241</v>
      </c>
      <c r="E2062" s="198" t="s">
        <v>114</v>
      </c>
      <c r="F2062" s="4" t="s">
        <v>2657</v>
      </c>
      <c r="G2062" s="4" t="s">
        <v>2272</v>
      </c>
      <c r="H2062" s="4" t="s">
        <v>521</v>
      </c>
      <c r="I2062" s="198"/>
      <c r="J2062" s="4" t="s">
        <v>2272</v>
      </c>
      <c r="K2062" s="4" t="s">
        <v>2272</v>
      </c>
      <c r="L2062" s="4" t="s">
        <v>2272</v>
      </c>
      <c r="M2062" s="4" t="s">
        <v>2272</v>
      </c>
      <c r="N2062" s="4" t="s">
        <v>2272</v>
      </c>
      <c r="O2062" s="4" t="s">
        <v>2272</v>
      </c>
      <c r="P2062" s="4" t="s">
        <v>2272</v>
      </c>
      <c r="Q2062" s="4" t="s">
        <v>2272</v>
      </c>
      <c r="R2062" s="4" t="s">
        <v>2272</v>
      </c>
      <c r="S2062" s="4" t="s">
        <v>2272</v>
      </c>
      <c r="T2062" s="4" t="s">
        <v>2272</v>
      </c>
      <c r="U2062" s="4" t="s">
        <v>2272</v>
      </c>
      <c r="V2062" s="4" t="s">
        <v>2272</v>
      </c>
      <c r="W2062" s="4" t="s">
        <v>2272</v>
      </c>
      <c r="X2062" s="4" t="s">
        <v>2272</v>
      </c>
      <c r="Y2062" s="4" t="s">
        <v>2272</v>
      </c>
      <c r="Z2062" s="4" t="s">
        <v>2272</v>
      </c>
      <c r="AA2062" s="4" t="s">
        <v>2272</v>
      </c>
      <c r="AB2062" s="4" t="s">
        <v>2272</v>
      </c>
      <c r="AC2062" s="4" t="s">
        <v>2272</v>
      </c>
      <c r="AD2062" s="198"/>
      <c r="AE2062" s="198"/>
    </row>
    <row r="2063" spans="1:31" ht="35.5" customHeight="1">
      <c r="A2063" s="198" t="s">
        <v>5856</v>
      </c>
      <c r="B2063" s="198" t="s">
        <v>5878</v>
      </c>
      <c r="C2063" s="198" t="s">
        <v>23</v>
      </c>
      <c r="D2063" s="198" t="s">
        <v>2227</v>
      </c>
      <c r="E2063" s="198" t="s">
        <v>44</v>
      </c>
      <c r="F2063" s="4" t="s">
        <v>2657</v>
      </c>
      <c r="G2063" s="4" t="s">
        <v>2272</v>
      </c>
      <c r="H2063" s="4" t="s">
        <v>521</v>
      </c>
      <c r="I2063" s="198"/>
      <c r="J2063" s="4" t="s">
        <v>2272</v>
      </c>
      <c r="K2063" s="4" t="s">
        <v>2272</v>
      </c>
      <c r="L2063" s="4" t="s">
        <v>2272</v>
      </c>
      <c r="M2063" s="4" t="s">
        <v>2272</v>
      </c>
      <c r="N2063" s="4" t="s">
        <v>2272</v>
      </c>
      <c r="O2063" s="4" t="s">
        <v>2272</v>
      </c>
      <c r="P2063" s="4" t="s">
        <v>2272</v>
      </c>
      <c r="Q2063" s="4" t="s">
        <v>2272</v>
      </c>
      <c r="R2063" s="4" t="s">
        <v>2272</v>
      </c>
      <c r="S2063" s="4" t="s">
        <v>2272</v>
      </c>
      <c r="T2063" s="4" t="s">
        <v>2272</v>
      </c>
      <c r="U2063" s="4" t="s">
        <v>2272</v>
      </c>
      <c r="V2063" s="4" t="s">
        <v>2272</v>
      </c>
      <c r="W2063" s="4" t="s">
        <v>2272</v>
      </c>
      <c r="X2063" s="4" t="s">
        <v>2272</v>
      </c>
      <c r="Y2063" s="4" t="s">
        <v>2272</v>
      </c>
      <c r="Z2063" s="4" t="s">
        <v>2272</v>
      </c>
      <c r="AA2063" s="4" t="s">
        <v>2272</v>
      </c>
      <c r="AB2063" s="4" t="s">
        <v>2272</v>
      </c>
      <c r="AC2063" s="4" t="s">
        <v>2272</v>
      </c>
      <c r="AD2063" s="198"/>
      <c r="AE2063" s="198"/>
    </row>
    <row r="2064" spans="1:31" ht="35.5" customHeight="1">
      <c r="A2064" s="198" t="s">
        <v>5856</v>
      </c>
      <c r="B2064" s="198" t="s">
        <v>5879</v>
      </c>
      <c r="C2064" s="198" t="s">
        <v>23</v>
      </c>
      <c r="D2064" s="198" t="s">
        <v>2989</v>
      </c>
      <c r="E2064" s="198" t="s">
        <v>2648</v>
      </c>
      <c r="F2064" s="4" t="s">
        <v>2272</v>
      </c>
      <c r="G2064" s="4" t="s">
        <v>2272</v>
      </c>
      <c r="H2064" s="4" t="s">
        <v>521</v>
      </c>
      <c r="I2064" s="198"/>
      <c r="J2064" s="4" t="s">
        <v>2272</v>
      </c>
      <c r="K2064" s="4" t="s">
        <v>2272</v>
      </c>
      <c r="L2064" s="4" t="s">
        <v>2272</v>
      </c>
      <c r="M2064" s="4" t="s">
        <v>2272</v>
      </c>
      <c r="N2064" s="4" t="s">
        <v>2272</v>
      </c>
      <c r="O2064" s="4" t="s">
        <v>2272</v>
      </c>
      <c r="P2064" s="4" t="s">
        <v>2272</v>
      </c>
      <c r="Q2064" s="4" t="s">
        <v>2272</v>
      </c>
      <c r="R2064" s="4" t="s">
        <v>2272</v>
      </c>
      <c r="S2064" s="4" t="s">
        <v>2272</v>
      </c>
      <c r="T2064" s="4" t="s">
        <v>2272</v>
      </c>
      <c r="U2064" s="4" t="s">
        <v>2272</v>
      </c>
      <c r="V2064" s="4" t="s">
        <v>2272</v>
      </c>
      <c r="W2064" s="4" t="s">
        <v>2272</v>
      </c>
      <c r="X2064" s="4" t="s">
        <v>2272</v>
      </c>
      <c r="Y2064" s="4" t="s">
        <v>2272</v>
      </c>
      <c r="Z2064" s="4" t="s">
        <v>2272</v>
      </c>
      <c r="AA2064" s="4" t="s">
        <v>2272</v>
      </c>
      <c r="AB2064" s="4" t="s">
        <v>2272</v>
      </c>
      <c r="AC2064" s="4" t="s">
        <v>2272</v>
      </c>
      <c r="AD2064" s="198"/>
      <c r="AE2064" s="198"/>
    </row>
    <row r="2065" spans="1:31" ht="35.5" customHeight="1">
      <c r="A2065" s="198" t="s">
        <v>5856</v>
      </c>
      <c r="B2065" s="198" t="s">
        <v>5880</v>
      </c>
      <c r="C2065" s="198" t="s">
        <v>2453</v>
      </c>
      <c r="D2065" s="198" t="s">
        <v>2989</v>
      </c>
      <c r="E2065" s="198" t="s">
        <v>2648</v>
      </c>
      <c r="F2065" s="4" t="s">
        <v>2272</v>
      </c>
      <c r="G2065" s="4" t="s">
        <v>2272</v>
      </c>
      <c r="H2065" s="4" t="s">
        <v>521</v>
      </c>
      <c r="I2065" s="198"/>
      <c r="J2065" s="4" t="s">
        <v>2272</v>
      </c>
      <c r="K2065" s="4" t="s">
        <v>2272</v>
      </c>
      <c r="L2065" s="4" t="s">
        <v>2272</v>
      </c>
      <c r="M2065" s="4" t="s">
        <v>2272</v>
      </c>
      <c r="N2065" s="4" t="s">
        <v>2272</v>
      </c>
      <c r="O2065" s="4" t="s">
        <v>2272</v>
      </c>
      <c r="P2065" s="4" t="s">
        <v>2272</v>
      </c>
      <c r="Q2065" s="4" t="s">
        <v>2272</v>
      </c>
      <c r="R2065" s="4" t="s">
        <v>2272</v>
      </c>
      <c r="S2065" s="4" t="s">
        <v>2272</v>
      </c>
      <c r="T2065" s="4" t="s">
        <v>2272</v>
      </c>
      <c r="U2065" s="4" t="s">
        <v>2272</v>
      </c>
      <c r="V2065" s="4" t="s">
        <v>2272</v>
      </c>
      <c r="W2065" s="4" t="s">
        <v>2272</v>
      </c>
      <c r="X2065" s="4" t="s">
        <v>2272</v>
      </c>
      <c r="Y2065" s="4" t="s">
        <v>2272</v>
      </c>
      <c r="Z2065" s="4" t="s">
        <v>2272</v>
      </c>
      <c r="AA2065" s="4" t="s">
        <v>2272</v>
      </c>
      <c r="AB2065" s="4" t="s">
        <v>2272</v>
      </c>
      <c r="AC2065" s="4" t="s">
        <v>2272</v>
      </c>
      <c r="AD2065" s="198"/>
      <c r="AE2065" s="198"/>
    </row>
    <row r="2066" spans="1:31" ht="35.5" customHeight="1">
      <c r="A2066" s="198" t="s">
        <v>5856</v>
      </c>
      <c r="B2066" s="198" t="s">
        <v>5881</v>
      </c>
      <c r="C2066" s="198" t="s">
        <v>23</v>
      </c>
      <c r="D2066" s="198" t="s">
        <v>2989</v>
      </c>
      <c r="E2066" s="198" t="s">
        <v>44</v>
      </c>
      <c r="F2066" s="4" t="s">
        <v>2272</v>
      </c>
      <c r="G2066" s="4" t="s">
        <v>2272</v>
      </c>
      <c r="H2066" s="4" t="s">
        <v>521</v>
      </c>
      <c r="I2066" s="198"/>
      <c r="J2066" s="4" t="s">
        <v>2272</v>
      </c>
      <c r="K2066" s="4" t="s">
        <v>2272</v>
      </c>
      <c r="L2066" s="4" t="s">
        <v>2272</v>
      </c>
      <c r="M2066" s="4" t="s">
        <v>2272</v>
      </c>
      <c r="N2066" s="4" t="s">
        <v>2272</v>
      </c>
      <c r="O2066" s="4" t="s">
        <v>2272</v>
      </c>
      <c r="P2066" s="4" t="s">
        <v>2272</v>
      </c>
      <c r="Q2066" s="4" t="s">
        <v>2272</v>
      </c>
      <c r="R2066" s="4" t="s">
        <v>2272</v>
      </c>
      <c r="S2066" s="4" t="s">
        <v>2272</v>
      </c>
      <c r="T2066" s="4" t="s">
        <v>2272</v>
      </c>
      <c r="U2066" s="4" t="s">
        <v>2272</v>
      </c>
      <c r="V2066" s="4" t="s">
        <v>2272</v>
      </c>
      <c r="W2066" s="4" t="s">
        <v>2272</v>
      </c>
      <c r="X2066" s="4" t="s">
        <v>2272</v>
      </c>
      <c r="Y2066" s="4" t="s">
        <v>2272</v>
      </c>
      <c r="Z2066" s="4" t="s">
        <v>2272</v>
      </c>
      <c r="AA2066" s="4" t="s">
        <v>2272</v>
      </c>
      <c r="AB2066" s="4" t="s">
        <v>2272</v>
      </c>
      <c r="AC2066" s="4" t="s">
        <v>2272</v>
      </c>
      <c r="AD2066" s="198"/>
      <c r="AE2066" s="198"/>
    </row>
    <row r="2067" spans="1:31" ht="35.5" customHeight="1">
      <c r="A2067" s="198" t="s">
        <v>5856</v>
      </c>
      <c r="B2067" s="198" t="s">
        <v>5882</v>
      </c>
      <c r="C2067" s="198" t="s">
        <v>2453</v>
      </c>
      <c r="D2067" s="198" t="s">
        <v>2989</v>
      </c>
      <c r="E2067" s="198" t="s">
        <v>44</v>
      </c>
      <c r="F2067" s="4" t="s">
        <v>2272</v>
      </c>
      <c r="G2067" s="4" t="s">
        <v>2272</v>
      </c>
      <c r="H2067" s="4" t="s">
        <v>521</v>
      </c>
      <c r="I2067" s="198"/>
      <c r="J2067" s="4" t="s">
        <v>2272</v>
      </c>
      <c r="K2067" s="4" t="s">
        <v>2272</v>
      </c>
      <c r="L2067" s="4" t="s">
        <v>2272</v>
      </c>
      <c r="M2067" s="4" t="s">
        <v>2272</v>
      </c>
      <c r="N2067" s="4" t="s">
        <v>2272</v>
      </c>
      <c r="O2067" s="4" t="s">
        <v>2272</v>
      </c>
      <c r="P2067" s="4" t="s">
        <v>2272</v>
      </c>
      <c r="Q2067" s="4" t="s">
        <v>2272</v>
      </c>
      <c r="R2067" s="4" t="s">
        <v>2272</v>
      </c>
      <c r="S2067" s="4" t="s">
        <v>2272</v>
      </c>
      <c r="T2067" s="4" t="s">
        <v>2272</v>
      </c>
      <c r="U2067" s="4" t="s">
        <v>2272</v>
      </c>
      <c r="V2067" s="4" t="s">
        <v>2272</v>
      </c>
      <c r="W2067" s="4" t="s">
        <v>2272</v>
      </c>
      <c r="X2067" s="4" t="s">
        <v>2272</v>
      </c>
      <c r="Y2067" s="4" t="s">
        <v>2272</v>
      </c>
      <c r="Z2067" s="4" t="s">
        <v>2272</v>
      </c>
      <c r="AA2067" s="4" t="s">
        <v>2272</v>
      </c>
      <c r="AB2067" s="4" t="s">
        <v>2272</v>
      </c>
      <c r="AC2067" s="4" t="s">
        <v>2272</v>
      </c>
      <c r="AD2067" s="198"/>
      <c r="AE2067" s="198"/>
    </row>
    <row r="2068" spans="1:31" ht="35.5" customHeight="1">
      <c r="A2068" s="198" t="s">
        <v>5856</v>
      </c>
      <c r="B2068" s="198" t="s">
        <v>5883</v>
      </c>
      <c r="C2068" s="198" t="s">
        <v>23</v>
      </c>
      <c r="D2068" s="198" t="s">
        <v>404</v>
      </c>
      <c r="E2068" s="198" t="s">
        <v>44</v>
      </c>
      <c r="F2068" s="4" t="s">
        <v>2272</v>
      </c>
      <c r="G2068" s="4" t="s">
        <v>2272</v>
      </c>
      <c r="H2068" s="4" t="s">
        <v>521</v>
      </c>
      <c r="I2068" s="198"/>
      <c r="J2068" s="4" t="s">
        <v>2272</v>
      </c>
      <c r="K2068" s="4" t="s">
        <v>2272</v>
      </c>
      <c r="L2068" s="4" t="s">
        <v>2272</v>
      </c>
      <c r="M2068" s="4" t="s">
        <v>2272</v>
      </c>
      <c r="N2068" s="4" t="s">
        <v>2272</v>
      </c>
      <c r="O2068" s="4" t="s">
        <v>2272</v>
      </c>
      <c r="P2068" s="4" t="s">
        <v>2272</v>
      </c>
      <c r="Q2068" s="4" t="s">
        <v>2272</v>
      </c>
      <c r="R2068" s="4" t="s">
        <v>2272</v>
      </c>
      <c r="S2068" s="4" t="s">
        <v>2272</v>
      </c>
      <c r="T2068" s="4" t="s">
        <v>2272</v>
      </c>
      <c r="U2068" s="4" t="s">
        <v>2272</v>
      </c>
      <c r="V2068" s="4" t="s">
        <v>2272</v>
      </c>
      <c r="W2068" s="4" t="s">
        <v>2272</v>
      </c>
      <c r="X2068" s="4" t="s">
        <v>2272</v>
      </c>
      <c r="Y2068" s="4" t="s">
        <v>2272</v>
      </c>
      <c r="Z2068" s="4" t="s">
        <v>2272</v>
      </c>
      <c r="AA2068" s="4" t="s">
        <v>2272</v>
      </c>
      <c r="AB2068" s="4" t="s">
        <v>2272</v>
      </c>
      <c r="AC2068" s="4" t="s">
        <v>2272</v>
      </c>
      <c r="AD2068" s="198"/>
      <c r="AE2068" s="198"/>
    </row>
    <row r="2069" spans="1:31" ht="35.5" customHeight="1">
      <c r="A2069" s="198" t="s">
        <v>5856</v>
      </c>
      <c r="B2069" s="198" t="s">
        <v>5884</v>
      </c>
      <c r="C2069" s="198" t="s">
        <v>2453</v>
      </c>
      <c r="D2069" s="198" t="s">
        <v>2989</v>
      </c>
      <c r="E2069" s="198" t="s">
        <v>2647</v>
      </c>
      <c r="F2069" s="4" t="s">
        <v>2272</v>
      </c>
      <c r="G2069" s="4" t="s">
        <v>2272</v>
      </c>
      <c r="H2069" s="4" t="s">
        <v>521</v>
      </c>
      <c r="I2069" s="198"/>
      <c r="J2069" s="4" t="s">
        <v>2272</v>
      </c>
      <c r="K2069" s="4" t="s">
        <v>2272</v>
      </c>
      <c r="L2069" s="4" t="s">
        <v>2272</v>
      </c>
      <c r="M2069" s="4" t="s">
        <v>2272</v>
      </c>
      <c r="N2069" s="4" t="s">
        <v>2272</v>
      </c>
      <c r="O2069" s="4" t="s">
        <v>2272</v>
      </c>
      <c r="P2069" s="4" t="s">
        <v>2272</v>
      </c>
      <c r="Q2069" s="4" t="s">
        <v>2272</v>
      </c>
      <c r="R2069" s="4" t="s">
        <v>2272</v>
      </c>
      <c r="S2069" s="4" t="s">
        <v>2272</v>
      </c>
      <c r="T2069" s="4" t="s">
        <v>2272</v>
      </c>
      <c r="U2069" s="4" t="s">
        <v>2272</v>
      </c>
      <c r="V2069" s="4" t="s">
        <v>2272</v>
      </c>
      <c r="W2069" s="4" t="s">
        <v>2272</v>
      </c>
      <c r="X2069" s="4" t="s">
        <v>2272</v>
      </c>
      <c r="Y2069" s="4" t="s">
        <v>2272</v>
      </c>
      <c r="Z2069" s="4" t="s">
        <v>2272</v>
      </c>
      <c r="AA2069" s="4" t="s">
        <v>2272</v>
      </c>
      <c r="AB2069" s="4" t="s">
        <v>2272</v>
      </c>
      <c r="AC2069" s="4" t="s">
        <v>2272</v>
      </c>
      <c r="AD2069" s="198"/>
      <c r="AE2069" s="198"/>
    </row>
    <row r="2070" spans="1:31" ht="39" customHeight="1">
      <c r="A2070" s="198" t="s">
        <v>5873</v>
      </c>
      <c r="B2070" s="198" t="s">
        <v>5875</v>
      </c>
      <c r="C2070" s="198" t="s">
        <v>2453</v>
      </c>
      <c r="D2070" s="198" t="s">
        <v>2272</v>
      </c>
      <c r="E2070" s="198" t="s">
        <v>1102</v>
      </c>
      <c r="F2070" s="4" t="s">
        <v>2272</v>
      </c>
      <c r="G2070" s="4" t="s">
        <v>2272</v>
      </c>
      <c r="H2070" s="4" t="s">
        <v>521</v>
      </c>
      <c r="I2070" s="198"/>
      <c r="J2070" s="4" t="s">
        <v>2272</v>
      </c>
      <c r="K2070" s="4" t="s">
        <v>2272</v>
      </c>
      <c r="L2070" s="4" t="s">
        <v>2272</v>
      </c>
      <c r="M2070" s="4" t="s">
        <v>2272</v>
      </c>
      <c r="N2070" s="4" t="s">
        <v>2272</v>
      </c>
      <c r="O2070" s="4" t="s">
        <v>2272</v>
      </c>
      <c r="P2070" s="4" t="s">
        <v>2272</v>
      </c>
      <c r="Q2070" s="4" t="s">
        <v>2272</v>
      </c>
      <c r="R2070" s="4" t="s">
        <v>2272</v>
      </c>
      <c r="S2070" s="4" t="s">
        <v>2272</v>
      </c>
      <c r="T2070" s="4" t="s">
        <v>2272</v>
      </c>
      <c r="U2070" s="4" t="s">
        <v>2272</v>
      </c>
      <c r="V2070" s="4" t="s">
        <v>2272</v>
      </c>
      <c r="W2070" s="4" t="s">
        <v>2272</v>
      </c>
      <c r="X2070" s="4" t="s">
        <v>2272</v>
      </c>
      <c r="Y2070" s="4" t="s">
        <v>2272</v>
      </c>
      <c r="Z2070" s="4" t="s">
        <v>2272</v>
      </c>
      <c r="AA2070" s="4" t="s">
        <v>2272</v>
      </c>
      <c r="AB2070" s="4" t="s">
        <v>2272</v>
      </c>
      <c r="AC2070" s="4" t="s">
        <v>2272</v>
      </c>
      <c r="AD2070" s="198" t="s">
        <v>5877</v>
      </c>
      <c r="AE2070" s="198"/>
    </row>
    <row r="2071" spans="1:31" ht="32.5" customHeight="1">
      <c r="A2071" s="198" t="s">
        <v>5873</v>
      </c>
      <c r="B2071" s="198" t="s">
        <v>5876</v>
      </c>
      <c r="C2071" s="198" t="s">
        <v>23</v>
      </c>
      <c r="D2071" s="198" t="s">
        <v>2342</v>
      </c>
      <c r="E2071" s="198" t="s">
        <v>2272</v>
      </c>
      <c r="F2071" s="4" t="s">
        <v>2272</v>
      </c>
      <c r="G2071" s="4" t="s">
        <v>2272</v>
      </c>
      <c r="H2071" s="4" t="s">
        <v>521</v>
      </c>
      <c r="I2071" s="198"/>
      <c r="J2071" s="4" t="s">
        <v>2272</v>
      </c>
      <c r="K2071" s="4" t="s">
        <v>2272</v>
      </c>
      <c r="L2071" s="4" t="s">
        <v>2272</v>
      </c>
      <c r="M2071" s="4" t="s">
        <v>2272</v>
      </c>
      <c r="N2071" s="4" t="s">
        <v>2272</v>
      </c>
      <c r="O2071" s="4" t="s">
        <v>2272</v>
      </c>
      <c r="P2071" s="4" t="s">
        <v>2272</v>
      </c>
      <c r="Q2071" s="4" t="s">
        <v>2272</v>
      </c>
      <c r="R2071" s="4" t="s">
        <v>2272</v>
      </c>
      <c r="S2071" s="4" t="s">
        <v>2272</v>
      </c>
      <c r="T2071" s="4" t="s">
        <v>2272</v>
      </c>
      <c r="U2071" s="4" t="s">
        <v>2272</v>
      </c>
      <c r="V2071" s="4" t="s">
        <v>2272</v>
      </c>
      <c r="W2071" s="4" t="s">
        <v>2272</v>
      </c>
      <c r="X2071" s="4" t="s">
        <v>2272</v>
      </c>
      <c r="Y2071" s="4" t="s">
        <v>2272</v>
      </c>
      <c r="Z2071" s="4" t="s">
        <v>2272</v>
      </c>
      <c r="AA2071" s="4" t="s">
        <v>2272</v>
      </c>
      <c r="AB2071" s="4" t="s">
        <v>2272</v>
      </c>
      <c r="AC2071" s="4" t="s">
        <v>2272</v>
      </c>
      <c r="AD2071" s="198" t="s">
        <v>5877</v>
      </c>
      <c r="AE2071" s="198"/>
    </row>
    <row r="2072" spans="1:31" ht="30" customHeight="1">
      <c r="A2072" s="198" t="s">
        <v>5869</v>
      </c>
      <c r="B2072" s="198" t="s">
        <v>5894</v>
      </c>
      <c r="C2072" s="198" t="s">
        <v>23</v>
      </c>
      <c r="D2072" s="198" t="s">
        <v>142</v>
      </c>
      <c r="E2072" s="198" t="s">
        <v>2642</v>
      </c>
      <c r="F2072" s="4" t="s">
        <v>54</v>
      </c>
      <c r="G2072" s="4" t="s">
        <v>2272</v>
      </c>
      <c r="H2072" s="4" t="s">
        <v>522</v>
      </c>
      <c r="I2072" s="198"/>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21">
        <v>0</v>
      </c>
      <c r="Z2072" s="4" t="s">
        <v>2272</v>
      </c>
      <c r="AA2072" s="4" t="s">
        <v>2272</v>
      </c>
      <c r="AB2072" s="4" t="s">
        <v>2272</v>
      </c>
      <c r="AC2072" s="4" t="s">
        <v>2272</v>
      </c>
      <c r="AD2072" s="198"/>
      <c r="AE2072" s="198"/>
    </row>
    <row r="2073" spans="1:31" ht="30" customHeight="1">
      <c r="A2073" s="198" t="s">
        <v>5869</v>
      </c>
      <c r="B2073" s="198" t="s">
        <v>5895</v>
      </c>
      <c r="C2073" s="198" t="s">
        <v>23</v>
      </c>
      <c r="D2073" s="198" t="s">
        <v>142</v>
      </c>
      <c r="E2073" s="198" t="s">
        <v>2647</v>
      </c>
      <c r="F2073" s="4" t="s">
        <v>54</v>
      </c>
      <c r="G2073" s="4" t="s">
        <v>2272</v>
      </c>
      <c r="H2073" s="4" t="s">
        <v>522</v>
      </c>
      <c r="I2073" s="198"/>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21">
        <v>0</v>
      </c>
      <c r="Z2073" s="4" t="s">
        <v>2272</v>
      </c>
      <c r="AA2073" s="4" t="s">
        <v>2272</v>
      </c>
      <c r="AB2073" s="4" t="s">
        <v>2272</v>
      </c>
      <c r="AC2073" s="4" t="s">
        <v>2272</v>
      </c>
      <c r="AD2073" s="198"/>
      <c r="AE2073" s="198"/>
    </row>
    <row r="2074" spans="1:31" ht="30" customHeight="1">
      <c r="A2074" s="198" t="s">
        <v>5869</v>
      </c>
      <c r="B2074" s="198" t="s">
        <v>5896</v>
      </c>
      <c r="C2074" s="198" t="s">
        <v>23</v>
      </c>
      <c r="D2074" s="198" t="s">
        <v>24</v>
      </c>
      <c r="E2074" s="198" t="s">
        <v>2642</v>
      </c>
      <c r="F2074" s="4" t="s">
        <v>54</v>
      </c>
      <c r="G2074" s="4" t="s">
        <v>2272</v>
      </c>
      <c r="H2074" s="4" t="s">
        <v>522</v>
      </c>
      <c r="I2074" s="198"/>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21">
        <v>0</v>
      </c>
      <c r="Z2074" s="4" t="s">
        <v>2272</v>
      </c>
      <c r="AA2074" s="4" t="s">
        <v>2272</v>
      </c>
      <c r="AB2074" s="4" t="s">
        <v>2272</v>
      </c>
      <c r="AC2074" s="4" t="s">
        <v>2272</v>
      </c>
      <c r="AD2074" s="198"/>
      <c r="AE2074" s="198"/>
    </row>
    <row r="2075" spans="1:31" ht="35.5" customHeight="1">
      <c r="A2075" s="198" t="s">
        <v>5869</v>
      </c>
      <c r="B2075" s="198" t="s">
        <v>5897</v>
      </c>
      <c r="C2075" s="198" t="s">
        <v>23</v>
      </c>
      <c r="D2075" s="198" t="s">
        <v>142</v>
      </c>
      <c r="E2075" s="198" t="s">
        <v>135</v>
      </c>
      <c r="F2075" s="4" t="s">
        <v>54</v>
      </c>
      <c r="G2075" s="4" t="s">
        <v>2272</v>
      </c>
      <c r="H2075" s="198" t="s">
        <v>521</v>
      </c>
      <c r="I2075" s="198"/>
      <c r="J2075" s="6" t="s">
        <v>2272</v>
      </c>
      <c r="K2075" s="6" t="s">
        <v>2272</v>
      </c>
      <c r="L2075" s="6" t="s">
        <v>2272</v>
      </c>
      <c r="M2075" s="6" t="s">
        <v>2272</v>
      </c>
      <c r="N2075" s="6" t="s">
        <v>2272</v>
      </c>
      <c r="O2075" s="6" t="s">
        <v>2272</v>
      </c>
      <c r="P2075" s="6" t="s">
        <v>2272</v>
      </c>
      <c r="Q2075" s="6" t="s">
        <v>2272</v>
      </c>
      <c r="R2075" s="6" t="s">
        <v>2272</v>
      </c>
      <c r="S2075" s="6" t="s">
        <v>2272</v>
      </c>
      <c r="T2075" s="6" t="s">
        <v>2272</v>
      </c>
      <c r="U2075" s="6" t="s">
        <v>2272</v>
      </c>
      <c r="V2075" s="6" t="s">
        <v>2272</v>
      </c>
      <c r="W2075" s="6" t="s">
        <v>2272</v>
      </c>
      <c r="X2075" s="6" t="s">
        <v>2272</v>
      </c>
      <c r="Y2075" s="6" t="s">
        <v>2272</v>
      </c>
      <c r="Z2075" s="4" t="s">
        <v>2272</v>
      </c>
      <c r="AA2075" s="4" t="s">
        <v>2272</v>
      </c>
      <c r="AB2075" s="4" t="s">
        <v>2272</v>
      </c>
      <c r="AC2075" s="4" t="s">
        <v>2272</v>
      </c>
      <c r="AD2075" s="198"/>
      <c r="AE2075" s="198"/>
    </row>
    <row r="2076" spans="1:31" ht="36.5" customHeight="1">
      <c r="A2076" s="198" t="s">
        <v>5893</v>
      </c>
      <c r="B2076" s="198" t="s">
        <v>5902</v>
      </c>
      <c r="C2076" s="198" t="s">
        <v>23</v>
      </c>
      <c r="D2076" s="198" t="s">
        <v>2799</v>
      </c>
      <c r="E2076" s="198" t="s">
        <v>2647</v>
      </c>
      <c r="F2076" s="4" t="s">
        <v>54</v>
      </c>
      <c r="G2076" s="4" t="s">
        <v>2272</v>
      </c>
      <c r="H2076" s="198" t="s">
        <v>521</v>
      </c>
      <c r="I2076" s="198"/>
      <c r="J2076" s="4" t="s">
        <v>2272</v>
      </c>
      <c r="K2076" s="4" t="s">
        <v>2272</v>
      </c>
      <c r="L2076" s="4" t="s">
        <v>2272</v>
      </c>
      <c r="M2076" s="4" t="s">
        <v>2272</v>
      </c>
      <c r="N2076" s="4" t="s">
        <v>2272</v>
      </c>
      <c r="O2076" s="4" t="s">
        <v>2272</v>
      </c>
      <c r="P2076" s="4" t="s">
        <v>2272</v>
      </c>
      <c r="Q2076" s="4" t="s">
        <v>2272</v>
      </c>
      <c r="R2076" s="4" t="s">
        <v>2272</v>
      </c>
      <c r="S2076" s="4" t="s">
        <v>2272</v>
      </c>
      <c r="T2076" s="4" t="s">
        <v>2272</v>
      </c>
      <c r="U2076" s="4" t="s">
        <v>2272</v>
      </c>
      <c r="V2076" s="4" t="s">
        <v>2272</v>
      </c>
      <c r="W2076" s="4" t="s">
        <v>2272</v>
      </c>
      <c r="X2076" s="4" t="s">
        <v>2272</v>
      </c>
      <c r="Y2076" s="4" t="s">
        <v>2272</v>
      </c>
      <c r="Z2076" s="4" t="s">
        <v>2272</v>
      </c>
      <c r="AA2076" s="4" t="s">
        <v>2272</v>
      </c>
      <c r="AB2076" s="4" t="s">
        <v>2272</v>
      </c>
      <c r="AC2076" s="4" t="s">
        <v>2272</v>
      </c>
      <c r="AD2076" s="4" t="s">
        <v>5905</v>
      </c>
      <c r="AE2076" s="198"/>
    </row>
    <row r="2077" spans="1:31" ht="36.5" customHeight="1">
      <c r="A2077" s="198" t="s">
        <v>5893</v>
      </c>
      <c r="B2077" s="198" t="s">
        <v>5904</v>
      </c>
      <c r="C2077" s="198" t="s">
        <v>23</v>
      </c>
      <c r="D2077" s="198" t="s">
        <v>2799</v>
      </c>
      <c r="E2077" s="198" t="s">
        <v>2642</v>
      </c>
      <c r="F2077" s="4" t="s">
        <v>54</v>
      </c>
      <c r="G2077" s="4" t="s">
        <v>2272</v>
      </c>
      <c r="H2077" s="198" t="s">
        <v>521</v>
      </c>
      <c r="I2077" s="198"/>
      <c r="J2077" s="4" t="s">
        <v>2272</v>
      </c>
      <c r="K2077" s="4" t="s">
        <v>2272</v>
      </c>
      <c r="L2077" s="4" t="s">
        <v>2272</v>
      </c>
      <c r="M2077" s="4" t="s">
        <v>2272</v>
      </c>
      <c r="N2077" s="4" t="s">
        <v>2272</v>
      </c>
      <c r="O2077" s="4" t="s">
        <v>2272</v>
      </c>
      <c r="P2077" s="4" t="s">
        <v>2272</v>
      </c>
      <c r="Q2077" s="4" t="s">
        <v>2272</v>
      </c>
      <c r="R2077" s="4" t="s">
        <v>2272</v>
      </c>
      <c r="S2077" s="4" t="s">
        <v>2272</v>
      </c>
      <c r="T2077" s="4" t="s">
        <v>2272</v>
      </c>
      <c r="U2077" s="4" t="s">
        <v>2272</v>
      </c>
      <c r="V2077" s="4" t="s">
        <v>2272</v>
      </c>
      <c r="W2077" s="4" t="s">
        <v>2272</v>
      </c>
      <c r="X2077" s="4" t="s">
        <v>2272</v>
      </c>
      <c r="Y2077" s="4" t="s">
        <v>2272</v>
      </c>
      <c r="Z2077" s="4" t="s">
        <v>2272</v>
      </c>
      <c r="AA2077" s="4" t="s">
        <v>2272</v>
      </c>
      <c r="AB2077" s="4" t="s">
        <v>2272</v>
      </c>
      <c r="AC2077" s="4" t="s">
        <v>2272</v>
      </c>
      <c r="AD2077" s="4" t="s">
        <v>5905</v>
      </c>
      <c r="AE2077" s="198"/>
    </row>
    <row r="2078" spans="1:31" ht="33.5" customHeight="1">
      <c r="A2078" s="198" t="s">
        <v>5903</v>
      </c>
      <c r="B2078" s="198" t="s">
        <v>5906</v>
      </c>
      <c r="C2078" s="198" t="s">
        <v>30</v>
      </c>
      <c r="D2078" s="198" t="s">
        <v>29</v>
      </c>
      <c r="E2078" s="198" t="s">
        <v>2272</v>
      </c>
      <c r="F2078" s="198" t="s">
        <v>2272</v>
      </c>
      <c r="G2078" s="198" t="s">
        <v>2272</v>
      </c>
      <c r="H2078" s="198" t="s">
        <v>521</v>
      </c>
      <c r="I2078" s="198"/>
      <c r="J2078" s="4" t="s">
        <v>2272</v>
      </c>
      <c r="K2078" s="4" t="s">
        <v>2272</v>
      </c>
      <c r="L2078" s="4" t="s">
        <v>2272</v>
      </c>
      <c r="M2078" s="4" t="s">
        <v>2272</v>
      </c>
      <c r="N2078" s="4" t="s">
        <v>2272</v>
      </c>
      <c r="O2078" s="4" t="s">
        <v>2272</v>
      </c>
      <c r="P2078" s="4" t="s">
        <v>2272</v>
      </c>
      <c r="Q2078" s="4" t="s">
        <v>2272</v>
      </c>
      <c r="R2078" s="4" t="s">
        <v>2272</v>
      </c>
      <c r="S2078" s="4" t="s">
        <v>2272</v>
      </c>
      <c r="T2078" s="4" t="s">
        <v>2272</v>
      </c>
      <c r="U2078" s="4" t="s">
        <v>2272</v>
      </c>
      <c r="V2078" s="4" t="s">
        <v>2272</v>
      </c>
      <c r="W2078" s="4" t="s">
        <v>2272</v>
      </c>
      <c r="X2078" s="4" t="s">
        <v>2272</v>
      </c>
      <c r="Y2078" s="4" t="s">
        <v>2272</v>
      </c>
      <c r="Z2078" s="4" t="s">
        <v>2272</v>
      </c>
      <c r="AA2078" s="4" t="s">
        <v>2272</v>
      </c>
      <c r="AB2078" s="4" t="s">
        <v>2272</v>
      </c>
      <c r="AC2078" s="4" t="s">
        <v>2272</v>
      </c>
      <c r="AD2078" s="198"/>
      <c r="AE2078" s="198"/>
    </row>
    <row r="2079" spans="1:31" ht="31.5" customHeight="1">
      <c r="A2079" s="198" t="s">
        <v>5903</v>
      </c>
      <c r="B2079" s="198" t="s">
        <v>5907</v>
      </c>
      <c r="C2079" s="198" t="s">
        <v>23</v>
      </c>
      <c r="D2079" s="198" t="s">
        <v>2342</v>
      </c>
      <c r="E2079" s="198" t="s">
        <v>5000</v>
      </c>
      <c r="F2079" s="198" t="s">
        <v>2272</v>
      </c>
      <c r="G2079" s="198" t="s">
        <v>2272</v>
      </c>
      <c r="H2079" s="198" t="s">
        <v>521</v>
      </c>
      <c r="I2079" s="198"/>
      <c r="J2079" s="4" t="s">
        <v>2272</v>
      </c>
      <c r="K2079" s="4" t="s">
        <v>2272</v>
      </c>
      <c r="L2079" s="4" t="s">
        <v>2272</v>
      </c>
      <c r="M2079" s="4" t="s">
        <v>2272</v>
      </c>
      <c r="N2079" s="4" t="s">
        <v>2272</v>
      </c>
      <c r="O2079" s="4" t="s">
        <v>2272</v>
      </c>
      <c r="P2079" s="4" t="s">
        <v>2272</v>
      </c>
      <c r="Q2079" s="4" t="s">
        <v>2272</v>
      </c>
      <c r="R2079" s="4" t="s">
        <v>2272</v>
      </c>
      <c r="S2079" s="4" t="s">
        <v>2272</v>
      </c>
      <c r="T2079" s="4" t="s">
        <v>2272</v>
      </c>
      <c r="U2079" s="4" t="s">
        <v>2272</v>
      </c>
      <c r="V2079" s="4" t="s">
        <v>2272</v>
      </c>
      <c r="W2079" s="4" t="s">
        <v>2272</v>
      </c>
      <c r="X2079" s="4" t="s">
        <v>2272</v>
      </c>
      <c r="Y2079" s="4" t="s">
        <v>2272</v>
      </c>
      <c r="Z2079" s="4" t="s">
        <v>2272</v>
      </c>
      <c r="AA2079" s="4" t="s">
        <v>2272</v>
      </c>
      <c r="AB2079" s="4" t="s">
        <v>2272</v>
      </c>
      <c r="AC2079" s="4" t="s">
        <v>2272</v>
      </c>
      <c r="AD2079" s="198"/>
      <c r="AE2079" s="198"/>
    </row>
    <row r="2080" spans="1:31" ht="36.5" customHeight="1">
      <c r="A2080" s="198" t="s">
        <v>5903</v>
      </c>
      <c r="B2080" s="198" t="s">
        <v>5908</v>
      </c>
      <c r="C2080" s="198" t="s">
        <v>23</v>
      </c>
      <c r="D2080" s="198" t="s">
        <v>2342</v>
      </c>
      <c r="E2080" s="198" t="s">
        <v>114</v>
      </c>
      <c r="F2080" s="198" t="s">
        <v>2272</v>
      </c>
      <c r="G2080" s="198" t="s">
        <v>2272</v>
      </c>
      <c r="H2080" s="198" t="s">
        <v>521</v>
      </c>
      <c r="I2080" s="198"/>
      <c r="J2080" s="4" t="s">
        <v>2272</v>
      </c>
      <c r="K2080" s="4" t="s">
        <v>2272</v>
      </c>
      <c r="L2080" s="4" t="s">
        <v>2272</v>
      </c>
      <c r="M2080" s="4" t="s">
        <v>2272</v>
      </c>
      <c r="N2080" s="4" t="s">
        <v>2272</v>
      </c>
      <c r="O2080" s="4" t="s">
        <v>2272</v>
      </c>
      <c r="P2080" s="4" t="s">
        <v>2272</v>
      </c>
      <c r="Q2080" s="4" t="s">
        <v>2272</v>
      </c>
      <c r="R2080" s="4" t="s">
        <v>2272</v>
      </c>
      <c r="S2080" s="4" t="s">
        <v>2272</v>
      </c>
      <c r="T2080" s="4" t="s">
        <v>2272</v>
      </c>
      <c r="U2080" s="4" t="s">
        <v>2272</v>
      </c>
      <c r="V2080" s="4" t="s">
        <v>2272</v>
      </c>
      <c r="W2080" s="4" t="s">
        <v>2272</v>
      </c>
      <c r="X2080" s="4" t="s">
        <v>2272</v>
      </c>
      <c r="Y2080" s="4" t="s">
        <v>2272</v>
      </c>
      <c r="Z2080" s="4" t="s">
        <v>2272</v>
      </c>
      <c r="AA2080" s="4" t="s">
        <v>2272</v>
      </c>
      <c r="AB2080" s="4" t="s">
        <v>2272</v>
      </c>
      <c r="AC2080" s="4" t="s">
        <v>2272</v>
      </c>
      <c r="AD2080" s="198"/>
      <c r="AE2080" s="198"/>
    </row>
    <row r="2081" spans="1:31" ht="28" customHeight="1">
      <c r="A2081" s="198" t="s">
        <v>5903</v>
      </c>
      <c r="B2081" s="198" t="s">
        <v>5909</v>
      </c>
      <c r="C2081" s="198" t="s">
        <v>23</v>
      </c>
      <c r="D2081" s="198" t="s">
        <v>3475</v>
      </c>
      <c r="E2081" s="198" t="s">
        <v>114</v>
      </c>
      <c r="F2081" s="198" t="s">
        <v>2272</v>
      </c>
      <c r="G2081" s="198" t="s">
        <v>2272</v>
      </c>
      <c r="H2081" s="198" t="s">
        <v>521</v>
      </c>
      <c r="I2081" s="198"/>
      <c r="J2081" s="4" t="s">
        <v>2272</v>
      </c>
      <c r="K2081" s="4" t="s">
        <v>2272</v>
      </c>
      <c r="L2081" s="4" t="s">
        <v>2272</v>
      </c>
      <c r="M2081" s="4" t="s">
        <v>2272</v>
      </c>
      <c r="N2081" s="4" t="s">
        <v>2272</v>
      </c>
      <c r="O2081" s="4" t="s">
        <v>2272</v>
      </c>
      <c r="P2081" s="4" t="s">
        <v>2272</v>
      </c>
      <c r="Q2081" s="4" t="s">
        <v>2272</v>
      </c>
      <c r="R2081" s="4" t="s">
        <v>2272</v>
      </c>
      <c r="S2081" s="4" t="s">
        <v>2272</v>
      </c>
      <c r="T2081" s="4" t="s">
        <v>2272</v>
      </c>
      <c r="U2081" s="4" t="s">
        <v>2272</v>
      </c>
      <c r="V2081" s="4" t="s">
        <v>2272</v>
      </c>
      <c r="W2081" s="4" t="s">
        <v>2272</v>
      </c>
      <c r="X2081" s="4" t="s">
        <v>2272</v>
      </c>
      <c r="Y2081" s="4" t="s">
        <v>2272</v>
      </c>
      <c r="Z2081" s="4" t="s">
        <v>2272</v>
      </c>
      <c r="AA2081" s="4" t="s">
        <v>2272</v>
      </c>
      <c r="AB2081" s="4" t="s">
        <v>2272</v>
      </c>
      <c r="AC2081" s="4" t="s">
        <v>2272</v>
      </c>
      <c r="AD2081" s="198"/>
      <c r="AE2081" s="198"/>
    </row>
    <row r="2082" spans="1:31" ht="29" customHeight="1">
      <c r="A2082" s="198" t="s">
        <v>5903</v>
      </c>
      <c r="B2082" s="198" t="s">
        <v>5910</v>
      </c>
      <c r="C2082" s="198" t="s">
        <v>23</v>
      </c>
      <c r="D2082" s="198" t="s">
        <v>1241</v>
      </c>
      <c r="E2082" s="198" t="s">
        <v>114</v>
      </c>
      <c r="F2082" s="198" t="s">
        <v>2272</v>
      </c>
      <c r="G2082" s="198" t="s">
        <v>2272</v>
      </c>
      <c r="H2082" s="198" t="s">
        <v>521</v>
      </c>
      <c r="I2082" s="198"/>
      <c r="J2082" s="4" t="s">
        <v>2272</v>
      </c>
      <c r="K2082" s="4" t="s">
        <v>2272</v>
      </c>
      <c r="L2082" s="4" t="s">
        <v>2272</v>
      </c>
      <c r="M2082" s="4" t="s">
        <v>2272</v>
      </c>
      <c r="N2082" s="4" t="s">
        <v>2272</v>
      </c>
      <c r="O2082" s="4" t="s">
        <v>2272</v>
      </c>
      <c r="P2082" s="4" t="s">
        <v>2272</v>
      </c>
      <c r="Q2082" s="4" t="s">
        <v>2272</v>
      </c>
      <c r="R2082" s="4" t="s">
        <v>2272</v>
      </c>
      <c r="S2082" s="4" t="s">
        <v>2272</v>
      </c>
      <c r="T2082" s="4" t="s">
        <v>2272</v>
      </c>
      <c r="U2082" s="4" t="s">
        <v>2272</v>
      </c>
      <c r="V2082" s="4" t="s">
        <v>2272</v>
      </c>
      <c r="W2082" s="4" t="s">
        <v>2272</v>
      </c>
      <c r="X2082" s="4" t="s">
        <v>2272</v>
      </c>
      <c r="Y2082" s="4" t="s">
        <v>2272</v>
      </c>
      <c r="Z2082" s="4" t="s">
        <v>2272</v>
      </c>
      <c r="AA2082" s="4" t="s">
        <v>2272</v>
      </c>
      <c r="AB2082" s="4" t="s">
        <v>2272</v>
      </c>
      <c r="AC2082" s="4" t="s">
        <v>2272</v>
      </c>
      <c r="AD2082" s="198"/>
      <c r="AE2082" s="198"/>
    </row>
    <row r="2083" spans="1:31" ht="32.5" customHeight="1">
      <c r="A2083" s="198" t="s">
        <v>5903</v>
      </c>
      <c r="B2083" s="198" t="s">
        <v>5911</v>
      </c>
      <c r="C2083" s="198" t="s">
        <v>23</v>
      </c>
      <c r="D2083" s="198" t="s">
        <v>24</v>
      </c>
      <c r="E2083" s="198" t="s">
        <v>5000</v>
      </c>
      <c r="F2083" s="198" t="s">
        <v>2272</v>
      </c>
      <c r="G2083" s="198" t="s">
        <v>2272</v>
      </c>
      <c r="H2083" s="198" t="s">
        <v>521</v>
      </c>
      <c r="I2083" s="198"/>
      <c r="J2083" s="4" t="s">
        <v>2272</v>
      </c>
      <c r="K2083" s="4" t="s">
        <v>2272</v>
      </c>
      <c r="L2083" s="4" t="s">
        <v>2272</v>
      </c>
      <c r="M2083" s="4" t="s">
        <v>2272</v>
      </c>
      <c r="N2083" s="4" t="s">
        <v>2272</v>
      </c>
      <c r="O2083" s="4" t="s">
        <v>2272</v>
      </c>
      <c r="P2083" s="4" t="s">
        <v>2272</v>
      </c>
      <c r="Q2083" s="4" t="s">
        <v>2272</v>
      </c>
      <c r="R2083" s="4" t="s">
        <v>2272</v>
      </c>
      <c r="S2083" s="4" t="s">
        <v>2272</v>
      </c>
      <c r="T2083" s="4" t="s">
        <v>2272</v>
      </c>
      <c r="U2083" s="4" t="s">
        <v>2272</v>
      </c>
      <c r="V2083" s="4" t="s">
        <v>2272</v>
      </c>
      <c r="W2083" s="4" t="s">
        <v>2272</v>
      </c>
      <c r="X2083" s="4" t="s">
        <v>2272</v>
      </c>
      <c r="Y2083" s="4" t="s">
        <v>2272</v>
      </c>
      <c r="Z2083" s="4" t="s">
        <v>2272</v>
      </c>
      <c r="AA2083" s="4" t="s">
        <v>2272</v>
      </c>
      <c r="AB2083" s="4" t="s">
        <v>2272</v>
      </c>
      <c r="AC2083" s="4" t="s">
        <v>2272</v>
      </c>
      <c r="AD2083" s="198"/>
      <c r="AE2083" s="198"/>
    </row>
    <row r="2084" spans="1:31" ht="32.5" customHeight="1">
      <c r="A2084" s="198" t="s">
        <v>5903</v>
      </c>
      <c r="B2084" s="198" t="s">
        <v>5912</v>
      </c>
      <c r="C2084" s="198" t="s">
        <v>23</v>
      </c>
      <c r="D2084" s="198" t="s">
        <v>2337</v>
      </c>
      <c r="E2084" s="198" t="s">
        <v>5000</v>
      </c>
      <c r="F2084" s="198" t="s">
        <v>2272</v>
      </c>
      <c r="G2084" s="198" t="s">
        <v>2272</v>
      </c>
      <c r="H2084" s="198" t="s">
        <v>521</v>
      </c>
      <c r="I2084" s="198"/>
      <c r="J2084" s="4" t="s">
        <v>2272</v>
      </c>
      <c r="K2084" s="4" t="s">
        <v>2272</v>
      </c>
      <c r="L2084" s="4" t="s">
        <v>2272</v>
      </c>
      <c r="M2084" s="4" t="s">
        <v>2272</v>
      </c>
      <c r="N2084" s="4" t="s">
        <v>2272</v>
      </c>
      <c r="O2084" s="4" t="s">
        <v>2272</v>
      </c>
      <c r="P2084" s="4" t="s">
        <v>2272</v>
      </c>
      <c r="Q2084" s="4" t="s">
        <v>2272</v>
      </c>
      <c r="R2084" s="4" t="s">
        <v>2272</v>
      </c>
      <c r="S2084" s="4" t="s">
        <v>2272</v>
      </c>
      <c r="T2084" s="4" t="s">
        <v>2272</v>
      </c>
      <c r="U2084" s="4" t="s">
        <v>2272</v>
      </c>
      <c r="V2084" s="4" t="s">
        <v>2272</v>
      </c>
      <c r="W2084" s="4" t="s">
        <v>2272</v>
      </c>
      <c r="X2084" s="4" t="s">
        <v>2272</v>
      </c>
      <c r="Y2084" s="4" t="s">
        <v>2272</v>
      </c>
      <c r="Z2084" s="4" t="s">
        <v>2272</v>
      </c>
      <c r="AA2084" s="4" t="s">
        <v>2272</v>
      </c>
      <c r="AB2084" s="4" t="s">
        <v>2272</v>
      </c>
      <c r="AC2084" s="4" t="s">
        <v>2272</v>
      </c>
      <c r="AD2084" s="198"/>
      <c r="AE2084" s="198"/>
    </row>
    <row r="2085" spans="1:31" ht="40" customHeight="1">
      <c r="A2085" s="198" t="s">
        <v>5903</v>
      </c>
      <c r="B2085" s="198" t="s">
        <v>5913</v>
      </c>
      <c r="C2085" s="198" t="s">
        <v>2453</v>
      </c>
      <c r="D2085" s="198" t="s">
        <v>3471</v>
      </c>
      <c r="E2085" s="198" t="s">
        <v>860</v>
      </c>
      <c r="F2085" s="198" t="s">
        <v>2272</v>
      </c>
      <c r="G2085" s="198" t="s">
        <v>2272</v>
      </c>
      <c r="H2085" s="198" t="s">
        <v>521</v>
      </c>
      <c r="I2085" s="198"/>
      <c r="J2085" s="4" t="s">
        <v>2272</v>
      </c>
      <c r="K2085" s="4" t="s">
        <v>2272</v>
      </c>
      <c r="L2085" s="4" t="s">
        <v>2272</v>
      </c>
      <c r="M2085" s="4" t="s">
        <v>2272</v>
      </c>
      <c r="N2085" s="4" t="s">
        <v>2272</v>
      </c>
      <c r="O2085" s="4" t="s">
        <v>2272</v>
      </c>
      <c r="P2085" s="4" t="s">
        <v>2272</v>
      </c>
      <c r="Q2085" s="4" t="s">
        <v>2272</v>
      </c>
      <c r="R2085" s="4" t="s">
        <v>2272</v>
      </c>
      <c r="S2085" s="4" t="s">
        <v>2272</v>
      </c>
      <c r="T2085" s="4" t="s">
        <v>2272</v>
      </c>
      <c r="U2085" s="4" t="s">
        <v>2272</v>
      </c>
      <c r="V2085" s="4" t="s">
        <v>2272</v>
      </c>
      <c r="W2085" s="4" t="s">
        <v>2272</v>
      </c>
      <c r="X2085" s="4" t="s">
        <v>2272</v>
      </c>
      <c r="Y2085" s="4" t="s">
        <v>2272</v>
      </c>
      <c r="Z2085" s="4" t="s">
        <v>2272</v>
      </c>
      <c r="AA2085" s="4" t="s">
        <v>2272</v>
      </c>
      <c r="AB2085" s="4" t="s">
        <v>2272</v>
      </c>
      <c r="AC2085" s="4" t="s">
        <v>2272</v>
      </c>
      <c r="AD2085" s="198"/>
      <c r="AE2085" s="198"/>
    </row>
    <row r="2086" spans="1:31" ht="39" customHeight="1">
      <c r="A2086" s="198" t="s">
        <v>5903</v>
      </c>
      <c r="B2086" s="198" t="s">
        <v>5914</v>
      </c>
      <c r="C2086" s="198" t="s">
        <v>23</v>
      </c>
      <c r="D2086" s="198" t="s">
        <v>26</v>
      </c>
      <c r="E2086" s="198" t="s">
        <v>128</v>
      </c>
      <c r="F2086" s="198" t="s">
        <v>2272</v>
      </c>
      <c r="G2086" s="198" t="s">
        <v>2272</v>
      </c>
      <c r="H2086" s="198" t="s">
        <v>521</v>
      </c>
      <c r="I2086" s="198"/>
      <c r="J2086" s="4" t="s">
        <v>2272</v>
      </c>
      <c r="K2086" s="4" t="s">
        <v>2272</v>
      </c>
      <c r="L2086" s="4" t="s">
        <v>2272</v>
      </c>
      <c r="M2086" s="4" t="s">
        <v>2272</v>
      </c>
      <c r="N2086" s="4" t="s">
        <v>2272</v>
      </c>
      <c r="O2086" s="4" t="s">
        <v>2272</v>
      </c>
      <c r="P2086" s="4" t="s">
        <v>2272</v>
      </c>
      <c r="Q2086" s="4" t="s">
        <v>2272</v>
      </c>
      <c r="R2086" s="4" t="s">
        <v>2272</v>
      </c>
      <c r="S2086" s="4" t="s">
        <v>2272</v>
      </c>
      <c r="T2086" s="4" t="s">
        <v>2272</v>
      </c>
      <c r="U2086" s="4" t="s">
        <v>2272</v>
      </c>
      <c r="V2086" s="4" t="s">
        <v>2272</v>
      </c>
      <c r="W2086" s="4" t="s">
        <v>2272</v>
      </c>
      <c r="X2086" s="4" t="s">
        <v>2272</v>
      </c>
      <c r="Y2086" s="4" t="s">
        <v>2272</v>
      </c>
      <c r="Z2086" s="4" t="s">
        <v>2272</v>
      </c>
      <c r="AA2086" s="198" t="s">
        <v>397</v>
      </c>
      <c r="AB2086" s="198" t="s">
        <v>187</v>
      </c>
      <c r="AC2086" s="4" t="s">
        <v>2272</v>
      </c>
      <c r="AD2086" s="198"/>
      <c r="AE2086" s="198"/>
    </row>
    <row r="2087" spans="1:31" ht="47.5" customHeight="1">
      <c r="A2087" s="198" t="s">
        <v>5903</v>
      </c>
      <c r="B2087" s="198" t="s">
        <v>5915</v>
      </c>
      <c r="C2087" s="198" t="s">
        <v>2453</v>
      </c>
      <c r="D2087" s="198" t="s">
        <v>2272</v>
      </c>
      <c r="E2087" s="198" t="s">
        <v>2272</v>
      </c>
      <c r="F2087" s="198" t="s">
        <v>2272</v>
      </c>
      <c r="G2087" s="198" t="s">
        <v>2272</v>
      </c>
      <c r="H2087" s="198" t="s">
        <v>521</v>
      </c>
      <c r="I2087" s="198"/>
      <c r="J2087" s="4" t="s">
        <v>2272</v>
      </c>
      <c r="K2087" s="4" t="s">
        <v>2272</v>
      </c>
      <c r="L2087" s="4" t="s">
        <v>2272</v>
      </c>
      <c r="M2087" s="4" t="s">
        <v>2272</v>
      </c>
      <c r="N2087" s="4" t="s">
        <v>2272</v>
      </c>
      <c r="O2087" s="4" t="s">
        <v>2272</v>
      </c>
      <c r="P2087" s="4" t="s">
        <v>2272</v>
      </c>
      <c r="Q2087" s="21">
        <v>237.74</v>
      </c>
      <c r="R2087" s="4" t="s">
        <v>2272</v>
      </c>
      <c r="S2087" s="4" t="s">
        <v>2272</v>
      </c>
      <c r="T2087" s="4" t="s">
        <v>2272</v>
      </c>
      <c r="U2087" s="4" t="s">
        <v>2272</v>
      </c>
      <c r="V2087" s="4" t="s">
        <v>2272</v>
      </c>
      <c r="W2087" s="4" t="s">
        <v>2272</v>
      </c>
      <c r="X2087" s="4" t="s">
        <v>2272</v>
      </c>
      <c r="Y2087" s="4" t="s">
        <v>2272</v>
      </c>
      <c r="Z2087" s="4" t="s">
        <v>2272</v>
      </c>
      <c r="AA2087" s="198" t="s">
        <v>397</v>
      </c>
      <c r="AB2087" s="198" t="s">
        <v>187</v>
      </c>
      <c r="AC2087" s="4" t="s">
        <v>2272</v>
      </c>
      <c r="AD2087" s="198"/>
      <c r="AE2087" s="198"/>
    </row>
    <row r="2088" spans="1:31" ht="47.5" customHeight="1">
      <c r="A2088" s="35" t="s">
        <v>5903</v>
      </c>
      <c r="B2088" s="35" t="s">
        <v>5916</v>
      </c>
      <c r="C2088" s="35" t="s">
        <v>2453</v>
      </c>
      <c r="D2088" s="35" t="s">
        <v>2272</v>
      </c>
      <c r="E2088" s="35" t="s">
        <v>2272</v>
      </c>
      <c r="F2088" s="35" t="s">
        <v>2272</v>
      </c>
      <c r="G2088" s="35" t="s">
        <v>2272</v>
      </c>
      <c r="H2088" s="35" t="s">
        <v>521</v>
      </c>
      <c r="I2088" s="198"/>
      <c r="J2088" s="163" t="s">
        <v>2272</v>
      </c>
      <c r="K2088" s="163" t="s">
        <v>2272</v>
      </c>
      <c r="L2088" s="163" t="s">
        <v>2272</v>
      </c>
      <c r="M2088" s="163" t="s">
        <v>2272</v>
      </c>
      <c r="N2088" s="163" t="s">
        <v>2272</v>
      </c>
      <c r="O2088" s="163" t="s">
        <v>2272</v>
      </c>
      <c r="P2088" s="163" t="s">
        <v>2272</v>
      </c>
      <c r="Q2088" s="21">
        <v>237.74</v>
      </c>
      <c r="R2088" s="163" t="s">
        <v>2272</v>
      </c>
      <c r="S2088" s="163" t="s">
        <v>2272</v>
      </c>
      <c r="T2088" s="163" t="s">
        <v>2272</v>
      </c>
      <c r="U2088" s="163" t="s">
        <v>2272</v>
      </c>
      <c r="V2088" s="163" t="s">
        <v>2272</v>
      </c>
      <c r="W2088" s="163" t="s">
        <v>2272</v>
      </c>
      <c r="X2088" s="163" t="s">
        <v>2272</v>
      </c>
      <c r="Y2088" s="163" t="s">
        <v>2272</v>
      </c>
      <c r="Z2088" s="163" t="s">
        <v>2272</v>
      </c>
      <c r="AA2088" s="35" t="s">
        <v>403</v>
      </c>
      <c r="AB2088" s="35" t="s">
        <v>67</v>
      </c>
      <c r="AC2088" s="163" t="s">
        <v>2272</v>
      </c>
      <c r="AD2088" s="198"/>
      <c r="AE2088" s="198"/>
    </row>
    <row r="2089" spans="1:31" ht="35.5" customHeight="1">
      <c r="A2089" s="198" t="s">
        <v>5903</v>
      </c>
      <c r="B2089" s="198" t="s">
        <v>5917</v>
      </c>
      <c r="C2089" s="198" t="s">
        <v>23</v>
      </c>
      <c r="D2089" s="198" t="s">
        <v>1238</v>
      </c>
      <c r="E2089" s="198" t="s">
        <v>135</v>
      </c>
      <c r="F2089" s="198" t="s">
        <v>2272</v>
      </c>
      <c r="G2089" s="198" t="s">
        <v>2272</v>
      </c>
      <c r="H2089" s="198" t="s">
        <v>522</v>
      </c>
      <c r="I2089" s="198"/>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21">
        <v>0</v>
      </c>
      <c r="Z2089" s="4" t="s">
        <v>2272</v>
      </c>
      <c r="AA2089" s="4" t="s">
        <v>2272</v>
      </c>
      <c r="AB2089" s="4" t="s">
        <v>2272</v>
      </c>
      <c r="AC2089" s="4" t="s">
        <v>2272</v>
      </c>
      <c r="AD2089" s="198"/>
      <c r="AE2089" s="198"/>
    </row>
    <row r="2090" spans="1:31" ht="43" customHeight="1">
      <c r="A2090" s="198" t="s">
        <v>5903</v>
      </c>
      <c r="B2090" s="198" t="s">
        <v>5919</v>
      </c>
      <c r="C2090" s="198" t="s">
        <v>23</v>
      </c>
      <c r="D2090" s="198" t="s">
        <v>142</v>
      </c>
      <c r="E2090" s="198" t="s">
        <v>135</v>
      </c>
      <c r="F2090" s="198" t="s">
        <v>2272</v>
      </c>
      <c r="G2090" s="198" t="s">
        <v>2272</v>
      </c>
      <c r="H2090" s="198" t="s">
        <v>522</v>
      </c>
      <c r="I2090" s="198"/>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21">
        <v>0</v>
      </c>
      <c r="Z2090" s="4" t="s">
        <v>2272</v>
      </c>
      <c r="AA2090" s="4" t="s">
        <v>2272</v>
      </c>
      <c r="AB2090" s="4" t="s">
        <v>2272</v>
      </c>
      <c r="AC2090" s="4" t="s">
        <v>2272</v>
      </c>
      <c r="AD2090" s="198"/>
      <c r="AE2090" s="198"/>
    </row>
    <row r="2091" spans="1:31" ht="36.5" customHeight="1">
      <c r="A2091" s="198" t="s">
        <v>5926</v>
      </c>
      <c r="B2091" s="198" t="s">
        <v>5928</v>
      </c>
      <c r="C2091" s="198" t="s">
        <v>23</v>
      </c>
      <c r="D2091" s="198" t="s">
        <v>1241</v>
      </c>
      <c r="E2091" s="198" t="s">
        <v>114</v>
      </c>
      <c r="F2091" s="4" t="s">
        <v>2657</v>
      </c>
      <c r="G2091" s="198" t="s">
        <v>2272</v>
      </c>
      <c r="H2091" s="198" t="s">
        <v>521</v>
      </c>
      <c r="I2091" s="198"/>
      <c r="J2091" s="4" t="s">
        <v>2272</v>
      </c>
      <c r="K2091" s="4" t="s">
        <v>2272</v>
      </c>
      <c r="L2091" s="4" t="s">
        <v>2272</v>
      </c>
      <c r="M2091" s="4" t="s">
        <v>2272</v>
      </c>
      <c r="N2091" s="4" t="s">
        <v>2272</v>
      </c>
      <c r="O2091" s="4" t="s">
        <v>2272</v>
      </c>
      <c r="P2091" s="4" t="s">
        <v>2272</v>
      </c>
      <c r="Q2091" s="4" t="s">
        <v>2272</v>
      </c>
      <c r="R2091" s="4" t="s">
        <v>2272</v>
      </c>
      <c r="S2091" s="4" t="s">
        <v>2272</v>
      </c>
      <c r="T2091" s="4" t="s">
        <v>2272</v>
      </c>
      <c r="U2091" s="4" t="s">
        <v>2272</v>
      </c>
      <c r="V2091" s="4" t="s">
        <v>2272</v>
      </c>
      <c r="W2091" s="4" t="s">
        <v>2272</v>
      </c>
      <c r="X2091" s="4" t="s">
        <v>2272</v>
      </c>
      <c r="Y2091" s="4" t="s">
        <v>2272</v>
      </c>
      <c r="Z2091" s="4" t="s">
        <v>2272</v>
      </c>
      <c r="AA2091" s="4" t="s">
        <v>2272</v>
      </c>
      <c r="AB2091" s="4" t="s">
        <v>2272</v>
      </c>
      <c r="AC2091" s="4" t="s">
        <v>2272</v>
      </c>
      <c r="AD2091" s="198"/>
      <c r="AE2091" s="198"/>
    </row>
    <row r="2092" spans="1:31" ht="36" customHeight="1">
      <c r="A2092" s="198" t="s">
        <v>5926</v>
      </c>
      <c r="B2092" s="198" t="s">
        <v>5929</v>
      </c>
      <c r="C2092" s="198" t="s">
        <v>23</v>
      </c>
      <c r="D2092" s="198" t="s">
        <v>2337</v>
      </c>
      <c r="E2092" s="198" t="s">
        <v>114</v>
      </c>
      <c r="F2092" s="4" t="s">
        <v>2657</v>
      </c>
      <c r="G2092" s="198" t="s">
        <v>2272</v>
      </c>
      <c r="H2092" s="198" t="s">
        <v>521</v>
      </c>
      <c r="I2092" s="198"/>
      <c r="J2092" s="4" t="s">
        <v>2272</v>
      </c>
      <c r="K2092" s="4" t="s">
        <v>2272</v>
      </c>
      <c r="L2092" s="4" t="s">
        <v>2272</v>
      </c>
      <c r="M2092" s="4" t="s">
        <v>2272</v>
      </c>
      <c r="N2092" s="4" t="s">
        <v>2272</v>
      </c>
      <c r="O2092" s="4" t="s">
        <v>2272</v>
      </c>
      <c r="P2092" s="4" t="s">
        <v>2272</v>
      </c>
      <c r="Q2092" s="4" t="s">
        <v>2272</v>
      </c>
      <c r="R2092" s="4" t="s">
        <v>2272</v>
      </c>
      <c r="S2092" s="4" t="s">
        <v>2272</v>
      </c>
      <c r="T2092" s="4" t="s">
        <v>2272</v>
      </c>
      <c r="U2092" s="4" t="s">
        <v>2272</v>
      </c>
      <c r="V2092" s="4" t="s">
        <v>2272</v>
      </c>
      <c r="W2092" s="4" t="s">
        <v>2272</v>
      </c>
      <c r="X2092" s="4" t="s">
        <v>2272</v>
      </c>
      <c r="Y2092" s="4" t="s">
        <v>2272</v>
      </c>
      <c r="Z2092" s="4" t="s">
        <v>2272</v>
      </c>
      <c r="AA2092" s="4" t="s">
        <v>2272</v>
      </c>
      <c r="AB2092" s="4" t="s">
        <v>2272</v>
      </c>
      <c r="AC2092" s="4" t="s">
        <v>2272</v>
      </c>
      <c r="AD2092" s="198"/>
      <c r="AE2092" s="198"/>
    </row>
    <row r="2093" spans="1:31" ht="32" customHeight="1">
      <c r="A2093" s="198" t="s">
        <v>5926</v>
      </c>
      <c r="B2093" s="198" t="s">
        <v>5930</v>
      </c>
      <c r="C2093" s="198" t="s">
        <v>23</v>
      </c>
      <c r="D2093" s="198" t="s">
        <v>1238</v>
      </c>
      <c r="E2093" s="198" t="s">
        <v>114</v>
      </c>
      <c r="F2093" s="4" t="s">
        <v>2657</v>
      </c>
      <c r="G2093" s="198" t="s">
        <v>2272</v>
      </c>
      <c r="H2093" s="198" t="s">
        <v>521</v>
      </c>
      <c r="I2093" s="198"/>
      <c r="J2093" s="4" t="s">
        <v>2272</v>
      </c>
      <c r="K2093" s="4" t="s">
        <v>2272</v>
      </c>
      <c r="L2093" s="4" t="s">
        <v>2272</v>
      </c>
      <c r="M2093" s="4" t="s">
        <v>2272</v>
      </c>
      <c r="N2093" s="4" t="s">
        <v>2272</v>
      </c>
      <c r="O2093" s="4" t="s">
        <v>2272</v>
      </c>
      <c r="P2093" s="4" t="s">
        <v>2272</v>
      </c>
      <c r="Q2093" s="4" t="s">
        <v>2272</v>
      </c>
      <c r="R2093" s="4" t="s">
        <v>2272</v>
      </c>
      <c r="S2093" s="4" t="s">
        <v>2272</v>
      </c>
      <c r="T2093" s="4" t="s">
        <v>2272</v>
      </c>
      <c r="U2093" s="4" t="s">
        <v>2272</v>
      </c>
      <c r="V2093" s="4" t="s">
        <v>2272</v>
      </c>
      <c r="W2093" s="4" t="s">
        <v>2272</v>
      </c>
      <c r="X2093" s="4" t="s">
        <v>2272</v>
      </c>
      <c r="Y2093" s="4" t="s">
        <v>2272</v>
      </c>
      <c r="Z2093" s="4" t="s">
        <v>2272</v>
      </c>
      <c r="AA2093" s="4" t="s">
        <v>2272</v>
      </c>
      <c r="AB2093" s="4" t="s">
        <v>2272</v>
      </c>
      <c r="AC2093" s="4" t="s">
        <v>2272</v>
      </c>
      <c r="AD2093" s="198"/>
      <c r="AE2093" s="198"/>
    </row>
    <row r="2094" spans="1:31" ht="30.5" customHeight="1">
      <c r="A2094" s="198" t="s">
        <v>5926</v>
      </c>
      <c r="B2094" s="198" t="s">
        <v>5931</v>
      </c>
      <c r="C2094" s="198" t="s">
        <v>23</v>
      </c>
      <c r="D2094" s="198" t="s">
        <v>404</v>
      </c>
      <c r="E2094" s="198" t="s">
        <v>114</v>
      </c>
      <c r="F2094" s="4" t="s">
        <v>2657</v>
      </c>
      <c r="G2094" s="198" t="s">
        <v>2272</v>
      </c>
      <c r="H2094" s="198" t="s">
        <v>521</v>
      </c>
      <c r="I2094" s="198"/>
      <c r="J2094" s="4" t="s">
        <v>2272</v>
      </c>
      <c r="K2094" s="4" t="s">
        <v>2272</v>
      </c>
      <c r="L2094" s="4" t="s">
        <v>2272</v>
      </c>
      <c r="M2094" s="4" t="s">
        <v>2272</v>
      </c>
      <c r="N2094" s="4" t="s">
        <v>2272</v>
      </c>
      <c r="O2094" s="4" t="s">
        <v>2272</v>
      </c>
      <c r="P2094" s="4" t="s">
        <v>2272</v>
      </c>
      <c r="Q2094" s="4" t="s">
        <v>2272</v>
      </c>
      <c r="R2094" s="4" t="s">
        <v>2272</v>
      </c>
      <c r="S2094" s="4" t="s">
        <v>2272</v>
      </c>
      <c r="T2094" s="4" t="s">
        <v>2272</v>
      </c>
      <c r="U2094" s="4" t="s">
        <v>2272</v>
      </c>
      <c r="V2094" s="4" t="s">
        <v>2272</v>
      </c>
      <c r="W2094" s="4" t="s">
        <v>2272</v>
      </c>
      <c r="X2094" s="4" t="s">
        <v>2272</v>
      </c>
      <c r="Y2094" s="4" t="s">
        <v>2272</v>
      </c>
      <c r="Z2094" s="4" t="s">
        <v>2272</v>
      </c>
      <c r="AA2094" s="4" t="s">
        <v>2272</v>
      </c>
      <c r="AB2094" s="4" t="s">
        <v>2272</v>
      </c>
      <c r="AC2094" s="4" t="s">
        <v>2272</v>
      </c>
      <c r="AD2094" s="198"/>
      <c r="AE2094" s="198"/>
    </row>
    <row r="2095" spans="1:31" ht="31" customHeight="1">
      <c r="A2095" s="198" t="s">
        <v>5926</v>
      </c>
      <c r="B2095" s="198" t="s">
        <v>5932</v>
      </c>
      <c r="C2095" s="198" t="s">
        <v>23</v>
      </c>
      <c r="D2095" s="198" t="s">
        <v>142</v>
      </c>
      <c r="E2095" s="198" t="s">
        <v>114</v>
      </c>
      <c r="F2095" s="4" t="s">
        <v>2657</v>
      </c>
      <c r="G2095" s="198" t="s">
        <v>2272</v>
      </c>
      <c r="H2095" s="198" t="s">
        <v>521</v>
      </c>
      <c r="I2095" s="198"/>
      <c r="J2095" s="4" t="s">
        <v>2272</v>
      </c>
      <c r="K2095" s="4" t="s">
        <v>2272</v>
      </c>
      <c r="L2095" s="4" t="s">
        <v>2272</v>
      </c>
      <c r="M2095" s="4" t="s">
        <v>2272</v>
      </c>
      <c r="N2095" s="4" t="s">
        <v>2272</v>
      </c>
      <c r="O2095" s="4" t="s">
        <v>2272</v>
      </c>
      <c r="P2095" s="4" t="s">
        <v>2272</v>
      </c>
      <c r="Q2095" s="4" t="s">
        <v>2272</v>
      </c>
      <c r="R2095" s="4" t="s">
        <v>2272</v>
      </c>
      <c r="S2095" s="4" t="s">
        <v>2272</v>
      </c>
      <c r="T2095" s="4" t="s">
        <v>2272</v>
      </c>
      <c r="U2095" s="4" t="s">
        <v>2272</v>
      </c>
      <c r="V2095" s="4" t="s">
        <v>2272</v>
      </c>
      <c r="W2095" s="4" t="s">
        <v>2272</v>
      </c>
      <c r="X2095" s="4" t="s">
        <v>2272</v>
      </c>
      <c r="Y2095" s="4" t="s">
        <v>2272</v>
      </c>
      <c r="Z2095" s="4" t="s">
        <v>2272</v>
      </c>
      <c r="AA2095" s="4" t="s">
        <v>2272</v>
      </c>
      <c r="AB2095" s="4" t="s">
        <v>2272</v>
      </c>
      <c r="AC2095" s="4" t="s">
        <v>2272</v>
      </c>
      <c r="AD2095" s="198"/>
      <c r="AE2095" s="198"/>
    </row>
    <row r="2096" spans="1:31" ht="29">
      <c r="A2096" s="198" t="s">
        <v>5926</v>
      </c>
      <c r="B2096" s="198" t="s">
        <v>5939</v>
      </c>
      <c r="C2096" s="198" t="s">
        <v>23</v>
      </c>
      <c r="D2096" s="198" t="s">
        <v>2342</v>
      </c>
      <c r="E2096" s="198" t="s">
        <v>114</v>
      </c>
      <c r="F2096" s="4" t="s">
        <v>2657</v>
      </c>
      <c r="G2096" s="198" t="s">
        <v>2272</v>
      </c>
      <c r="H2096" s="198" t="s">
        <v>521</v>
      </c>
      <c r="I2096" s="198"/>
      <c r="J2096" s="4" t="s">
        <v>2272</v>
      </c>
      <c r="K2096" s="4" t="s">
        <v>2272</v>
      </c>
      <c r="L2096" s="4" t="s">
        <v>2272</v>
      </c>
      <c r="M2096" s="4" t="s">
        <v>2272</v>
      </c>
      <c r="N2096" s="4" t="s">
        <v>2272</v>
      </c>
      <c r="O2096" s="4" t="s">
        <v>2272</v>
      </c>
      <c r="P2096" s="4" t="s">
        <v>2272</v>
      </c>
      <c r="Q2096" s="4" t="s">
        <v>2272</v>
      </c>
      <c r="R2096" s="4" t="s">
        <v>2272</v>
      </c>
      <c r="S2096" s="4" t="s">
        <v>2272</v>
      </c>
      <c r="T2096" s="4" t="s">
        <v>2272</v>
      </c>
      <c r="U2096" s="4" t="s">
        <v>2272</v>
      </c>
      <c r="V2096" s="4" t="s">
        <v>2272</v>
      </c>
      <c r="W2096" s="4" t="s">
        <v>2272</v>
      </c>
      <c r="X2096" s="4" t="s">
        <v>2272</v>
      </c>
      <c r="Y2096" s="4" t="s">
        <v>2272</v>
      </c>
      <c r="Z2096" s="4" t="s">
        <v>2272</v>
      </c>
      <c r="AA2096" s="4" t="s">
        <v>2272</v>
      </c>
      <c r="AB2096" s="4" t="s">
        <v>2272</v>
      </c>
      <c r="AC2096" s="4" t="s">
        <v>2272</v>
      </c>
      <c r="AD2096" s="198"/>
      <c r="AE2096" s="198"/>
    </row>
    <row r="2097" spans="1:31" ht="29">
      <c r="A2097" s="198" t="s">
        <v>5926</v>
      </c>
      <c r="B2097" s="198" t="s">
        <v>5940</v>
      </c>
      <c r="C2097" s="198" t="s">
        <v>23</v>
      </c>
      <c r="D2097" s="198" t="s">
        <v>26</v>
      </c>
      <c r="E2097" s="198" t="s">
        <v>128</v>
      </c>
      <c r="F2097" s="4" t="s">
        <v>2657</v>
      </c>
      <c r="G2097" s="198" t="s">
        <v>2272</v>
      </c>
      <c r="H2097" s="198" t="s">
        <v>521</v>
      </c>
      <c r="I2097" s="198"/>
      <c r="J2097" s="4" t="s">
        <v>2272</v>
      </c>
      <c r="K2097" s="4" t="s">
        <v>2272</v>
      </c>
      <c r="L2097" s="4" t="s">
        <v>2272</v>
      </c>
      <c r="M2097" s="4" t="s">
        <v>2272</v>
      </c>
      <c r="N2097" s="4" t="s">
        <v>2272</v>
      </c>
      <c r="O2097" s="4" t="s">
        <v>2272</v>
      </c>
      <c r="P2097" s="4" t="s">
        <v>2272</v>
      </c>
      <c r="Q2097" s="4" t="s">
        <v>2272</v>
      </c>
      <c r="R2097" s="4" t="s">
        <v>2272</v>
      </c>
      <c r="S2097" s="4" t="s">
        <v>2272</v>
      </c>
      <c r="T2097" s="4" t="s">
        <v>2272</v>
      </c>
      <c r="U2097" s="4" t="s">
        <v>2272</v>
      </c>
      <c r="V2097" s="4" t="s">
        <v>2272</v>
      </c>
      <c r="W2097" s="4" t="s">
        <v>2272</v>
      </c>
      <c r="X2097" s="4" t="s">
        <v>2272</v>
      </c>
      <c r="Y2097" s="4" t="s">
        <v>2272</v>
      </c>
      <c r="Z2097" s="4" t="s">
        <v>2272</v>
      </c>
      <c r="AA2097" s="4" t="s">
        <v>2272</v>
      </c>
      <c r="AB2097" s="4" t="s">
        <v>2272</v>
      </c>
      <c r="AC2097" s="4" t="s">
        <v>2272</v>
      </c>
      <c r="AD2097" s="198"/>
      <c r="AE2097" s="198"/>
    </row>
    <row r="2098" spans="1:31" ht="30" customHeight="1">
      <c r="A2098" s="198" t="s">
        <v>5942</v>
      </c>
      <c r="B2098" s="198" t="s">
        <v>5947</v>
      </c>
      <c r="C2098" s="198" t="s">
        <v>23</v>
      </c>
      <c r="D2098" s="198" t="s">
        <v>2342</v>
      </c>
      <c r="E2098" s="198" t="s">
        <v>128</v>
      </c>
      <c r="F2098" s="4" t="s">
        <v>27</v>
      </c>
      <c r="G2098" s="198" t="s">
        <v>2272</v>
      </c>
      <c r="H2098" s="198" t="s">
        <v>521</v>
      </c>
      <c r="I2098" s="198">
        <v>2011</v>
      </c>
      <c r="J2098" s="4" t="s">
        <v>2272</v>
      </c>
      <c r="K2098" s="4" t="s">
        <v>2272</v>
      </c>
      <c r="L2098" s="4" t="s">
        <v>2272</v>
      </c>
      <c r="M2098" s="4" t="s">
        <v>2272</v>
      </c>
      <c r="N2098" s="4" t="s">
        <v>2272</v>
      </c>
      <c r="O2098" s="4" t="s">
        <v>2272</v>
      </c>
      <c r="P2098" s="4" t="s">
        <v>2272</v>
      </c>
      <c r="Q2098" s="4" t="s">
        <v>2272</v>
      </c>
      <c r="R2098" s="4" t="s">
        <v>2272</v>
      </c>
      <c r="S2098" s="4" t="s">
        <v>2272</v>
      </c>
      <c r="T2098" s="4" t="s">
        <v>2272</v>
      </c>
      <c r="U2098" s="4" t="s">
        <v>2272</v>
      </c>
      <c r="V2098" s="4" t="s">
        <v>2272</v>
      </c>
      <c r="W2098" s="4" t="s">
        <v>2272</v>
      </c>
      <c r="X2098" s="4" t="s">
        <v>2272</v>
      </c>
      <c r="Y2098" s="4" t="s">
        <v>2272</v>
      </c>
      <c r="Z2098" s="4" t="s">
        <v>2272</v>
      </c>
      <c r="AA2098" s="4" t="s">
        <v>2272</v>
      </c>
      <c r="AB2098" s="4" t="s">
        <v>2272</v>
      </c>
      <c r="AC2098" s="4" t="s">
        <v>2272</v>
      </c>
      <c r="AD2098" s="198"/>
      <c r="AE2098" s="198"/>
    </row>
    <row r="2099" spans="1:31" ht="31" customHeight="1">
      <c r="A2099" s="198" t="s">
        <v>5949</v>
      </c>
      <c r="B2099" s="198" t="s">
        <v>5950</v>
      </c>
      <c r="C2099" s="198" t="s">
        <v>23</v>
      </c>
      <c r="D2099" s="198" t="s">
        <v>142</v>
      </c>
      <c r="E2099" s="198" t="s">
        <v>135</v>
      </c>
      <c r="F2099" s="4" t="s">
        <v>73</v>
      </c>
      <c r="G2099" s="198" t="s">
        <v>2272</v>
      </c>
      <c r="H2099" s="198" t="s">
        <v>521</v>
      </c>
      <c r="I2099" s="198"/>
      <c r="J2099" s="4" t="s">
        <v>2272</v>
      </c>
      <c r="K2099" s="4" t="s">
        <v>2272</v>
      </c>
      <c r="L2099" s="4" t="s">
        <v>2272</v>
      </c>
      <c r="M2099" s="4" t="s">
        <v>2272</v>
      </c>
      <c r="N2099" s="4" t="s">
        <v>2272</v>
      </c>
      <c r="O2099" s="4" t="s">
        <v>2272</v>
      </c>
      <c r="P2099" s="4" t="s">
        <v>2272</v>
      </c>
      <c r="Q2099" s="4" t="s">
        <v>2272</v>
      </c>
      <c r="R2099" s="4" t="s">
        <v>2272</v>
      </c>
      <c r="S2099" s="4" t="s">
        <v>2272</v>
      </c>
      <c r="T2099" s="4" t="s">
        <v>2272</v>
      </c>
      <c r="U2099" s="4" t="s">
        <v>2272</v>
      </c>
      <c r="V2099" s="4" t="s">
        <v>2272</v>
      </c>
      <c r="W2099" s="4" t="s">
        <v>2272</v>
      </c>
      <c r="X2099" s="4" t="s">
        <v>2272</v>
      </c>
      <c r="Y2099" s="4" t="s">
        <v>2272</v>
      </c>
      <c r="Z2099" s="4" t="s">
        <v>2272</v>
      </c>
      <c r="AA2099" s="4" t="s">
        <v>2272</v>
      </c>
      <c r="AB2099" s="4" t="s">
        <v>2272</v>
      </c>
      <c r="AC2099" s="4" t="s">
        <v>2272</v>
      </c>
      <c r="AD2099" s="4" t="s">
        <v>5955</v>
      </c>
      <c r="AE2099" s="198"/>
    </row>
    <row r="2100" spans="1:31" ht="31" customHeight="1">
      <c r="A2100" s="198" t="s">
        <v>5949</v>
      </c>
      <c r="B2100" s="198" t="s">
        <v>5953</v>
      </c>
      <c r="C2100" s="198" t="s">
        <v>23</v>
      </c>
      <c r="D2100" s="198" t="s">
        <v>142</v>
      </c>
      <c r="E2100" s="198" t="s">
        <v>114</v>
      </c>
      <c r="F2100" s="4" t="s">
        <v>73</v>
      </c>
      <c r="G2100" s="198" t="s">
        <v>2272</v>
      </c>
      <c r="H2100" s="198" t="s">
        <v>521</v>
      </c>
      <c r="I2100" s="198"/>
      <c r="J2100" s="4" t="s">
        <v>2272</v>
      </c>
      <c r="K2100" s="4" t="s">
        <v>2272</v>
      </c>
      <c r="L2100" s="4" t="s">
        <v>2272</v>
      </c>
      <c r="M2100" s="4" t="s">
        <v>2272</v>
      </c>
      <c r="N2100" s="4" t="s">
        <v>2272</v>
      </c>
      <c r="O2100" s="4" t="s">
        <v>2272</v>
      </c>
      <c r="P2100" s="4" t="s">
        <v>2272</v>
      </c>
      <c r="Q2100" s="4" t="s">
        <v>2272</v>
      </c>
      <c r="R2100" s="4" t="s">
        <v>2272</v>
      </c>
      <c r="S2100" s="4" t="s">
        <v>2272</v>
      </c>
      <c r="T2100" s="4" t="s">
        <v>2272</v>
      </c>
      <c r="U2100" s="4" t="s">
        <v>2272</v>
      </c>
      <c r="V2100" s="4" t="s">
        <v>2272</v>
      </c>
      <c r="W2100" s="4" t="s">
        <v>2272</v>
      </c>
      <c r="X2100" s="4" t="s">
        <v>2272</v>
      </c>
      <c r="Y2100" s="4" t="s">
        <v>2272</v>
      </c>
      <c r="Z2100" s="4" t="s">
        <v>2272</v>
      </c>
      <c r="AA2100" s="4" t="s">
        <v>2272</v>
      </c>
      <c r="AB2100" s="4" t="s">
        <v>2272</v>
      </c>
      <c r="AC2100" s="4" t="s">
        <v>2272</v>
      </c>
      <c r="AD2100" s="4" t="s">
        <v>5955</v>
      </c>
      <c r="AE2100" s="198"/>
    </row>
    <row r="2101" spans="1:31" ht="31" customHeight="1">
      <c r="A2101" s="198" t="s">
        <v>5949</v>
      </c>
      <c r="B2101" s="198" t="s">
        <v>5954</v>
      </c>
      <c r="C2101" s="198" t="s">
        <v>23</v>
      </c>
      <c r="D2101" s="198" t="s">
        <v>3475</v>
      </c>
      <c r="E2101" s="198" t="s">
        <v>114</v>
      </c>
      <c r="F2101" s="4" t="s">
        <v>73</v>
      </c>
      <c r="G2101" s="198" t="s">
        <v>2272</v>
      </c>
      <c r="H2101" s="198" t="s">
        <v>521</v>
      </c>
      <c r="I2101" s="198"/>
      <c r="J2101" s="4" t="s">
        <v>2272</v>
      </c>
      <c r="K2101" s="4" t="s">
        <v>2272</v>
      </c>
      <c r="L2101" s="4" t="s">
        <v>2272</v>
      </c>
      <c r="M2101" s="4" t="s">
        <v>2272</v>
      </c>
      <c r="N2101" s="4" t="s">
        <v>2272</v>
      </c>
      <c r="O2101" s="4" t="s">
        <v>2272</v>
      </c>
      <c r="P2101" s="4" t="s">
        <v>2272</v>
      </c>
      <c r="Q2101" s="4" t="s">
        <v>2272</v>
      </c>
      <c r="R2101" s="4" t="s">
        <v>2272</v>
      </c>
      <c r="S2101" s="4" t="s">
        <v>2272</v>
      </c>
      <c r="T2101" s="4" t="s">
        <v>2272</v>
      </c>
      <c r="U2101" s="4" t="s">
        <v>2272</v>
      </c>
      <c r="V2101" s="4" t="s">
        <v>2272</v>
      </c>
      <c r="W2101" s="4" t="s">
        <v>2272</v>
      </c>
      <c r="X2101" s="4" t="s">
        <v>2272</v>
      </c>
      <c r="Y2101" s="4" t="s">
        <v>2272</v>
      </c>
      <c r="Z2101" s="4" t="s">
        <v>2272</v>
      </c>
      <c r="AA2101" s="4" t="s">
        <v>2272</v>
      </c>
      <c r="AB2101" s="4" t="s">
        <v>2272</v>
      </c>
      <c r="AC2101" s="4" t="s">
        <v>2272</v>
      </c>
      <c r="AD2101" s="4" t="s">
        <v>5955</v>
      </c>
      <c r="AE2101" s="198"/>
    </row>
    <row r="2102" spans="1:31" ht="35.5" customHeight="1">
      <c r="A2102" s="198" t="s">
        <v>5962</v>
      </c>
      <c r="B2102" s="198" t="s">
        <v>5964</v>
      </c>
      <c r="C2102" s="198" t="s">
        <v>23</v>
      </c>
      <c r="D2102" s="198" t="s">
        <v>141</v>
      </c>
      <c r="E2102" s="198" t="s">
        <v>82</v>
      </c>
      <c r="F2102" s="4" t="s">
        <v>73</v>
      </c>
      <c r="G2102" s="198" t="s">
        <v>2272</v>
      </c>
      <c r="H2102" s="198" t="s">
        <v>521</v>
      </c>
      <c r="I2102" s="198"/>
      <c r="J2102" s="4" t="s">
        <v>2272</v>
      </c>
      <c r="K2102" s="4" t="s">
        <v>2272</v>
      </c>
      <c r="L2102" s="4" t="s">
        <v>2272</v>
      </c>
      <c r="M2102" s="4" t="s">
        <v>2272</v>
      </c>
      <c r="N2102" s="4" t="s">
        <v>2272</v>
      </c>
      <c r="O2102" s="4" t="s">
        <v>2272</v>
      </c>
      <c r="P2102" s="4" t="s">
        <v>2272</v>
      </c>
      <c r="Q2102" s="4" t="s">
        <v>2272</v>
      </c>
      <c r="R2102" s="4" t="s">
        <v>2272</v>
      </c>
      <c r="S2102" s="4" t="s">
        <v>2272</v>
      </c>
      <c r="T2102" s="4" t="s">
        <v>2272</v>
      </c>
      <c r="U2102" s="4" t="s">
        <v>2272</v>
      </c>
      <c r="V2102" s="4" t="s">
        <v>2272</v>
      </c>
      <c r="W2102" s="4" t="s">
        <v>2272</v>
      </c>
      <c r="X2102" s="4" t="s">
        <v>2272</v>
      </c>
      <c r="Y2102" s="4" t="s">
        <v>2272</v>
      </c>
      <c r="Z2102" s="4" t="s">
        <v>2272</v>
      </c>
      <c r="AA2102" s="4" t="s">
        <v>2272</v>
      </c>
      <c r="AB2102" s="4" t="s">
        <v>2272</v>
      </c>
      <c r="AC2102" s="4" t="s">
        <v>2272</v>
      </c>
      <c r="AD2102" s="198"/>
      <c r="AE2102" s="198"/>
    </row>
    <row r="2103" spans="1:31" ht="34.5" customHeight="1">
      <c r="A2103" s="198" t="s">
        <v>5962</v>
      </c>
      <c r="B2103" s="198" t="s">
        <v>5965</v>
      </c>
      <c r="C2103" s="198" t="s">
        <v>23</v>
      </c>
      <c r="D2103" s="198" t="s">
        <v>141</v>
      </c>
      <c r="E2103" s="4" t="s">
        <v>394</v>
      </c>
      <c r="F2103" s="4" t="s">
        <v>73</v>
      </c>
      <c r="G2103" s="198" t="s">
        <v>2272</v>
      </c>
      <c r="H2103" s="198" t="s">
        <v>521</v>
      </c>
      <c r="I2103" s="198"/>
      <c r="J2103" s="4" t="s">
        <v>2272</v>
      </c>
      <c r="K2103" s="4" t="s">
        <v>2272</v>
      </c>
      <c r="L2103" s="4" t="s">
        <v>2272</v>
      </c>
      <c r="M2103" s="4" t="s">
        <v>2272</v>
      </c>
      <c r="N2103" s="4" t="s">
        <v>2272</v>
      </c>
      <c r="O2103" s="4" t="s">
        <v>2272</v>
      </c>
      <c r="P2103" s="4" t="s">
        <v>2272</v>
      </c>
      <c r="Q2103" s="4" t="s">
        <v>2272</v>
      </c>
      <c r="R2103" s="4" t="s">
        <v>2272</v>
      </c>
      <c r="S2103" s="4" t="s">
        <v>2272</v>
      </c>
      <c r="T2103" s="4" t="s">
        <v>2272</v>
      </c>
      <c r="U2103" s="4" t="s">
        <v>2272</v>
      </c>
      <c r="V2103" s="4" t="s">
        <v>2272</v>
      </c>
      <c r="W2103" s="4" t="s">
        <v>2272</v>
      </c>
      <c r="X2103" s="4" t="s">
        <v>2272</v>
      </c>
      <c r="Y2103" s="4" t="s">
        <v>2272</v>
      </c>
      <c r="Z2103" s="4" t="s">
        <v>2272</v>
      </c>
      <c r="AA2103" s="4" t="s">
        <v>2272</v>
      </c>
      <c r="AB2103" s="4" t="s">
        <v>2272</v>
      </c>
      <c r="AC2103" s="4" t="s">
        <v>2272</v>
      </c>
      <c r="AD2103" s="198"/>
      <c r="AE2103" s="198"/>
    </row>
    <row r="2104" spans="1:31" ht="44" customHeight="1">
      <c r="A2104" s="198" t="s">
        <v>5962</v>
      </c>
      <c r="B2104" s="198" t="s">
        <v>5966</v>
      </c>
      <c r="C2104" s="198" t="s">
        <v>23</v>
      </c>
      <c r="D2104" s="198" t="s">
        <v>141</v>
      </c>
      <c r="E2104" s="198" t="s">
        <v>128</v>
      </c>
      <c r="F2104" s="4" t="s">
        <v>73</v>
      </c>
      <c r="G2104" s="198" t="s">
        <v>2272</v>
      </c>
      <c r="H2104" s="198" t="s">
        <v>521</v>
      </c>
      <c r="I2104" s="198"/>
      <c r="J2104" s="4" t="s">
        <v>2272</v>
      </c>
      <c r="K2104" s="4" t="s">
        <v>2272</v>
      </c>
      <c r="L2104" s="4" t="s">
        <v>2272</v>
      </c>
      <c r="M2104" s="4" t="s">
        <v>2272</v>
      </c>
      <c r="N2104" s="4" t="s">
        <v>2272</v>
      </c>
      <c r="O2104" s="4" t="s">
        <v>2272</v>
      </c>
      <c r="P2104" s="4" t="s">
        <v>2272</v>
      </c>
      <c r="Q2104" s="4" t="s">
        <v>2272</v>
      </c>
      <c r="R2104" s="4" t="s">
        <v>2272</v>
      </c>
      <c r="S2104" s="4" t="s">
        <v>2272</v>
      </c>
      <c r="T2104" s="4" t="s">
        <v>2272</v>
      </c>
      <c r="U2104" s="4" t="s">
        <v>2272</v>
      </c>
      <c r="V2104" s="4" t="s">
        <v>2272</v>
      </c>
      <c r="W2104" s="4" t="s">
        <v>2272</v>
      </c>
      <c r="X2104" s="4" t="s">
        <v>2272</v>
      </c>
      <c r="Y2104" s="4" t="s">
        <v>2272</v>
      </c>
      <c r="Z2104" s="4" t="s">
        <v>2272</v>
      </c>
      <c r="AA2104" s="4" t="s">
        <v>2272</v>
      </c>
      <c r="AB2104" s="4" t="s">
        <v>2272</v>
      </c>
      <c r="AC2104" s="4" t="s">
        <v>2272</v>
      </c>
      <c r="AD2104" s="198"/>
      <c r="AE2104" s="198"/>
    </row>
    <row r="2105" spans="1:31" ht="36.5" customHeight="1">
      <c r="A2105" s="198" t="s">
        <v>5962</v>
      </c>
      <c r="B2105" s="198" t="s">
        <v>5967</v>
      </c>
      <c r="C2105" s="198" t="s">
        <v>23</v>
      </c>
      <c r="D2105" s="198" t="s">
        <v>2342</v>
      </c>
      <c r="E2105" s="198" t="s">
        <v>128</v>
      </c>
      <c r="F2105" s="4" t="s">
        <v>27</v>
      </c>
      <c r="G2105" s="198" t="s">
        <v>2272</v>
      </c>
      <c r="H2105" s="198" t="s">
        <v>521</v>
      </c>
      <c r="I2105" s="198"/>
      <c r="J2105" s="4" t="s">
        <v>2272</v>
      </c>
      <c r="K2105" s="4" t="s">
        <v>2272</v>
      </c>
      <c r="L2105" s="4" t="s">
        <v>2272</v>
      </c>
      <c r="M2105" s="4" t="s">
        <v>2272</v>
      </c>
      <c r="N2105" s="4" t="s">
        <v>2272</v>
      </c>
      <c r="O2105" s="4" t="s">
        <v>2272</v>
      </c>
      <c r="P2105" s="4" t="s">
        <v>2272</v>
      </c>
      <c r="Q2105" s="4" t="s">
        <v>2272</v>
      </c>
      <c r="R2105" s="4" t="s">
        <v>2272</v>
      </c>
      <c r="S2105" s="4" t="s">
        <v>2272</v>
      </c>
      <c r="T2105" s="4" t="s">
        <v>2272</v>
      </c>
      <c r="U2105" s="4" t="s">
        <v>2272</v>
      </c>
      <c r="V2105" s="4" t="s">
        <v>2272</v>
      </c>
      <c r="W2105" s="4" t="s">
        <v>2272</v>
      </c>
      <c r="X2105" s="4" t="s">
        <v>2272</v>
      </c>
      <c r="Y2105" s="4" t="s">
        <v>2272</v>
      </c>
      <c r="Z2105" s="4" t="s">
        <v>2272</v>
      </c>
      <c r="AA2105" s="4" t="s">
        <v>2272</v>
      </c>
      <c r="AB2105" s="4" t="s">
        <v>2272</v>
      </c>
      <c r="AC2105" s="4" t="s">
        <v>2272</v>
      </c>
      <c r="AD2105" s="198"/>
      <c r="AE2105" s="198"/>
    </row>
    <row r="2106" spans="1:31" ht="36.5" customHeight="1">
      <c r="A2106" s="198" t="s">
        <v>5962</v>
      </c>
      <c r="B2106" s="198" t="s">
        <v>5968</v>
      </c>
      <c r="C2106" s="198" t="s">
        <v>23</v>
      </c>
      <c r="D2106" s="198" t="s">
        <v>2342</v>
      </c>
      <c r="E2106" s="4" t="s">
        <v>394</v>
      </c>
      <c r="F2106" s="4" t="s">
        <v>27</v>
      </c>
      <c r="G2106" s="198" t="s">
        <v>2272</v>
      </c>
      <c r="H2106" s="198" t="s">
        <v>521</v>
      </c>
      <c r="I2106" s="198"/>
      <c r="J2106" s="4" t="s">
        <v>2272</v>
      </c>
      <c r="K2106" s="4" t="s">
        <v>2272</v>
      </c>
      <c r="L2106" s="4" t="s">
        <v>2272</v>
      </c>
      <c r="M2106" s="4" t="s">
        <v>2272</v>
      </c>
      <c r="N2106" s="4" t="s">
        <v>2272</v>
      </c>
      <c r="O2106" s="4" t="s">
        <v>2272</v>
      </c>
      <c r="P2106" s="4" t="s">
        <v>2272</v>
      </c>
      <c r="Q2106" s="4" t="s">
        <v>2272</v>
      </c>
      <c r="R2106" s="4" t="s">
        <v>2272</v>
      </c>
      <c r="S2106" s="4" t="s">
        <v>2272</v>
      </c>
      <c r="T2106" s="4" t="s">
        <v>2272</v>
      </c>
      <c r="U2106" s="4" t="s">
        <v>2272</v>
      </c>
      <c r="V2106" s="4" t="s">
        <v>2272</v>
      </c>
      <c r="W2106" s="4" t="s">
        <v>2272</v>
      </c>
      <c r="X2106" s="4" t="s">
        <v>2272</v>
      </c>
      <c r="Y2106" s="4" t="s">
        <v>2272</v>
      </c>
      <c r="Z2106" s="4" t="s">
        <v>2272</v>
      </c>
      <c r="AA2106" s="4" t="s">
        <v>2272</v>
      </c>
      <c r="AB2106" s="4" t="s">
        <v>2272</v>
      </c>
      <c r="AC2106" s="4" t="s">
        <v>2272</v>
      </c>
      <c r="AD2106" s="198"/>
      <c r="AE2106" s="198"/>
    </row>
    <row r="2107" spans="1:31" ht="67" customHeight="1">
      <c r="A2107" s="198" t="s">
        <v>5975</v>
      </c>
      <c r="B2107" s="198" t="s">
        <v>5980</v>
      </c>
      <c r="C2107" s="198" t="s">
        <v>23</v>
      </c>
      <c r="D2107" s="198" t="s">
        <v>26</v>
      </c>
      <c r="E2107" s="198" t="s">
        <v>128</v>
      </c>
      <c r="F2107" s="4" t="s">
        <v>158</v>
      </c>
      <c r="G2107" s="198" t="s">
        <v>2272</v>
      </c>
      <c r="H2107" s="198" t="s">
        <v>521</v>
      </c>
      <c r="I2107" s="198"/>
      <c r="J2107" s="4" t="s">
        <v>2272</v>
      </c>
      <c r="K2107" s="4" t="s">
        <v>2272</v>
      </c>
      <c r="L2107" s="4" t="s">
        <v>2272</v>
      </c>
      <c r="M2107" s="4" t="s">
        <v>2272</v>
      </c>
      <c r="N2107" s="4" t="s">
        <v>2272</v>
      </c>
      <c r="O2107" s="4" t="s">
        <v>2272</v>
      </c>
      <c r="P2107" s="4" t="s">
        <v>2272</v>
      </c>
      <c r="Q2107" s="4" t="s">
        <v>2272</v>
      </c>
      <c r="R2107" s="4" t="s">
        <v>2272</v>
      </c>
      <c r="S2107" s="4" t="s">
        <v>2272</v>
      </c>
      <c r="T2107" s="4" t="s">
        <v>2272</v>
      </c>
      <c r="U2107" s="4" t="s">
        <v>2272</v>
      </c>
      <c r="V2107" s="4" t="s">
        <v>2272</v>
      </c>
      <c r="W2107" s="4" t="s">
        <v>2272</v>
      </c>
      <c r="X2107" s="4" t="s">
        <v>2272</v>
      </c>
      <c r="Y2107" s="4" t="s">
        <v>2272</v>
      </c>
      <c r="Z2107" s="4" t="s">
        <v>2272</v>
      </c>
      <c r="AA2107" s="198" t="s">
        <v>403</v>
      </c>
      <c r="AB2107" s="198" t="s">
        <v>403</v>
      </c>
      <c r="AC2107" s="198" t="s">
        <v>2650</v>
      </c>
      <c r="AD2107" s="4" t="s">
        <v>5983</v>
      </c>
      <c r="AE2107" s="198"/>
    </row>
    <row r="2108" spans="1:31" ht="67" customHeight="1">
      <c r="A2108" s="198" t="s">
        <v>5975</v>
      </c>
      <c r="B2108" s="198" t="s">
        <v>5981</v>
      </c>
      <c r="C2108" s="198" t="s">
        <v>23</v>
      </c>
      <c r="D2108" s="198" t="s">
        <v>26</v>
      </c>
      <c r="E2108" s="198" t="s">
        <v>2647</v>
      </c>
      <c r="F2108" s="4" t="s">
        <v>158</v>
      </c>
      <c r="G2108" s="198" t="s">
        <v>2272</v>
      </c>
      <c r="H2108" s="198" t="s">
        <v>521</v>
      </c>
      <c r="I2108" s="198"/>
      <c r="J2108" s="4" t="s">
        <v>2272</v>
      </c>
      <c r="K2108" s="4" t="s">
        <v>2272</v>
      </c>
      <c r="L2108" s="4" t="s">
        <v>2272</v>
      </c>
      <c r="M2108" s="4" t="s">
        <v>2272</v>
      </c>
      <c r="N2108" s="4" t="s">
        <v>2272</v>
      </c>
      <c r="O2108" s="4" t="s">
        <v>2272</v>
      </c>
      <c r="P2108" s="4" t="s">
        <v>2272</v>
      </c>
      <c r="Q2108" s="4" t="s">
        <v>2272</v>
      </c>
      <c r="R2108" s="4" t="s">
        <v>2272</v>
      </c>
      <c r="S2108" s="4" t="s">
        <v>2272</v>
      </c>
      <c r="T2108" s="4" t="s">
        <v>2272</v>
      </c>
      <c r="U2108" s="4" t="s">
        <v>2272</v>
      </c>
      <c r="V2108" s="4" t="s">
        <v>2272</v>
      </c>
      <c r="W2108" s="4" t="s">
        <v>2272</v>
      </c>
      <c r="X2108" s="4" t="s">
        <v>2272</v>
      </c>
      <c r="Y2108" s="4" t="s">
        <v>2272</v>
      </c>
      <c r="Z2108" s="4" t="s">
        <v>2272</v>
      </c>
      <c r="AA2108" s="198" t="s">
        <v>403</v>
      </c>
      <c r="AB2108" s="198" t="s">
        <v>403</v>
      </c>
      <c r="AC2108" s="198" t="s">
        <v>2650</v>
      </c>
      <c r="AD2108" s="4" t="s">
        <v>5984</v>
      </c>
      <c r="AE2108" s="198"/>
    </row>
    <row r="2109" spans="1:31" ht="52" customHeight="1">
      <c r="A2109" s="198" t="s">
        <v>5987</v>
      </c>
      <c r="B2109" s="198" t="s">
        <v>5994</v>
      </c>
      <c r="C2109" s="198" t="s">
        <v>23</v>
      </c>
      <c r="D2109" s="198" t="s">
        <v>1102</v>
      </c>
      <c r="E2109" s="198" t="s">
        <v>114</v>
      </c>
      <c r="F2109" s="4" t="s">
        <v>2657</v>
      </c>
      <c r="G2109" s="4" t="s">
        <v>2657</v>
      </c>
      <c r="H2109" s="198" t="s">
        <v>521</v>
      </c>
      <c r="I2109" s="198"/>
      <c r="J2109" s="4" t="s">
        <v>2272</v>
      </c>
      <c r="K2109" s="4" t="s">
        <v>2272</v>
      </c>
      <c r="L2109" s="4" t="s">
        <v>2272</v>
      </c>
      <c r="M2109" s="21">
        <v>0.1</v>
      </c>
      <c r="N2109" s="4" t="s">
        <v>2272</v>
      </c>
      <c r="O2109" s="4" t="s">
        <v>2272</v>
      </c>
      <c r="P2109" s="4" t="s">
        <v>2272</v>
      </c>
      <c r="Q2109" s="21">
        <v>326</v>
      </c>
      <c r="R2109" s="4" t="s">
        <v>2272</v>
      </c>
      <c r="S2109" s="21">
        <v>4.0999999999999996</v>
      </c>
      <c r="T2109" s="4" t="s">
        <v>2272</v>
      </c>
      <c r="U2109" s="4" t="s">
        <v>2272</v>
      </c>
      <c r="V2109" s="4" t="s">
        <v>2272</v>
      </c>
      <c r="W2109" s="4" t="s">
        <v>2272</v>
      </c>
      <c r="X2109" s="4" t="s">
        <v>2272</v>
      </c>
      <c r="Y2109" s="21">
        <v>4.2</v>
      </c>
      <c r="Z2109" s="4" t="s">
        <v>2272</v>
      </c>
      <c r="AA2109" s="198" t="s">
        <v>34</v>
      </c>
      <c r="AB2109" s="198" t="s">
        <v>84</v>
      </c>
      <c r="AC2109" s="198" t="s">
        <v>2272</v>
      </c>
      <c r="AD2109" s="198"/>
      <c r="AE2109" s="4" t="s">
        <v>11597</v>
      </c>
    </row>
    <row r="2110" spans="1:31" ht="43.5" customHeight="1">
      <c r="A2110" s="198" t="s">
        <v>5987</v>
      </c>
      <c r="B2110" s="198" t="s">
        <v>5995</v>
      </c>
      <c r="C2110" s="198" t="s">
        <v>23</v>
      </c>
      <c r="D2110" s="198" t="s">
        <v>1102</v>
      </c>
      <c r="E2110" s="198" t="s">
        <v>114</v>
      </c>
      <c r="F2110" s="4" t="s">
        <v>2657</v>
      </c>
      <c r="G2110" s="4" t="s">
        <v>2657</v>
      </c>
      <c r="H2110" s="198" t="s">
        <v>521</v>
      </c>
      <c r="I2110" s="198"/>
      <c r="J2110" s="4" t="s">
        <v>2272</v>
      </c>
      <c r="K2110" s="4" t="s">
        <v>2272</v>
      </c>
      <c r="L2110" s="4" t="s">
        <v>2272</v>
      </c>
      <c r="M2110" s="21">
        <v>0.1</v>
      </c>
      <c r="N2110" s="4" t="s">
        <v>2272</v>
      </c>
      <c r="O2110" s="4" t="s">
        <v>2272</v>
      </c>
      <c r="P2110" s="4" t="s">
        <v>2272</v>
      </c>
      <c r="Q2110" s="21">
        <v>109</v>
      </c>
      <c r="R2110" s="4" t="s">
        <v>2272</v>
      </c>
      <c r="S2110" s="21">
        <v>3.3</v>
      </c>
      <c r="T2110" s="4" t="s">
        <v>2272</v>
      </c>
      <c r="U2110" s="4" t="s">
        <v>2272</v>
      </c>
      <c r="V2110" s="4" t="s">
        <v>2272</v>
      </c>
      <c r="W2110" s="4" t="s">
        <v>2272</v>
      </c>
      <c r="X2110" s="4" t="s">
        <v>2272</v>
      </c>
      <c r="Y2110" s="21">
        <v>4.2</v>
      </c>
      <c r="Z2110" s="4" t="s">
        <v>2272</v>
      </c>
      <c r="AA2110" s="198" t="s">
        <v>33</v>
      </c>
      <c r="AB2110" s="198" t="s">
        <v>67</v>
      </c>
      <c r="AC2110" s="198" t="s">
        <v>2272</v>
      </c>
      <c r="AD2110" s="198"/>
      <c r="AE2110" s="4" t="s">
        <v>11597</v>
      </c>
    </row>
    <row r="2111" spans="1:31" ht="41" customHeight="1">
      <c r="A2111" s="198" t="s">
        <v>5987</v>
      </c>
      <c r="B2111" s="198" t="s">
        <v>5996</v>
      </c>
      <c r="C2111" s="198" t="s">
        <v>2453</v>
      </c>
      <c r="D2111" s="198" t="s">
        <v>1102</v>
      </c>
      <c r="E2111" s="198" t="s">
        <v>114</v>
      </c>
      <c r="F2111" s="4" t="s">
        <v>2657</v>
      </c>
      <c r="G2111" s="4" t="s">
        <v>2657</v>
      </c>
      <c r="H2111" s="198" t="s">
        <v>521</v>
      </c>
      <c r="I2111" s="198"/>
      <c r="J2111" s="4" t="s">
        <v>2272</v>
      </c>
      <c r="K2111" s="4" t="s">
        <v>2272</v>
      </c>
      <c r="L2111" s="4" t="s">
        <v>2272</v>
      </c>
      <c r="M2111" s="4" t="s">
        <v>2272</v>
      </c>
      <c r="N2111" s="4" t="s">
        <v>2272</v>
      </c>
      <c r="O2111" s="4" t="s">
        <v>2272</v>
      </c>
      <c r="P2111" s="4" t="s">
        <v>2272</v>
      </c>
      <c r="Q2111" s="4" t="s">
        <v>2272</v>
      </c>
      <c r="R2111" s="4" t="s">
        <v>2272</v>
      </c>
      <c r="S2111" s="4" t="s">
        <v>2272</v>
      </c>
      <c r="T2111" s="4" t="s">
        <v>2272</v>
      </c>
      <c r="U2111" s="4" t="s">
        <v>2272</v>
      </c>
      <c r="V2111" s="4" t="s">
        <v>2272</v>
      </c>
      <c r="W2111" s="4" t="s">
        <v>2272</v>
      </c>
      <c r="X2111" s="4" t="s">
        <v>2272</v>
      </c>
      <c r="Y2111" s="4" t="s">
        <v>2272</v>
      </c>
      <c r="Z2111" s="4" t="s">
        <v>2272</v>
      </c>
      <c r="AA2111" s="198" t="s">
        <v>2272</v>
      </c>
      <c r="AB2111" s="198" t="s">
        <v>2272</v>
      </c>
      <c r="AC2111" s="198" t="s">
        <v>2272</v>
      </c>
      <c r="AD2111" s="198"/>
      <c r="AE2111" s="198"/>
    </row>
    <row r="2112" spans="1:31" ht="41.5" customHeight="1">
      <c r="A2112" s="198" t="s">
        <v>5991</v>
      </c>
      <c r="B2112" s="198" t="s">
        <v>5998</v>
      </c>
      <c r="C2112" s="198" t="s">
        <v>2651</v>
      </c>
      <c r="D2112" s="198" t="s">
        <v>2272</v>
      </c>
      <c r="E2112" s="198" t="s">
        <v>2272</v>
      </c>
      <c r="F2112" s="198" t="s">
        <v>2272</v>
      </c>
      <c r="G2112" s="4" t="s">
        <v>2657</v>
      </c>
      <c r="H2112" s="198" t="s">
        <v>521</v>
      </c>
      <c r="I2112" s="198"/>
      <c r="J2112" s="4" t="s">
        <v>2272</v>
      </c>
      <c r="K2112" s="4" t="s">
        <v>2272</v>
      </c>
      <c r="L2112" s="4" t="s">
        <v>2272</v>
      </c>
      <c r="M2112" s="4" t="s">
        <v>2272</v>
      </c>
      <c r="N2112" s="4" t="s">
        <v>2272</v>
      </c>
      <c r="O2112" s="4" t="s">
        <v>2272</v>
      </c>
      <c r="P2112" s="4" t="s">
        <v>2272</v>
      </c>
      <c r="Q2112" s="21">
        <v>1910</v>
      </c>
      <c r="R2112" s="198" t="s">
        <v>2272</v>
      </c>
      <c r="S2112" s="21">
        <v>46.9</v>
      </c>
      <c r="T2112" s="198" t="s">
        <v>2272</v>
      </c>
      <c r="U2112" s="198" t="s">
        <v>2272</v>
      </c>
      <c r="V2112" s="198" t="s">
        <v>2272</v>
      </c>
      <c r="W2112" s="198" t="s">
        <v>2272</v>
      </c>
      <c r="X2112" s="198" t="s">
        <v>2272</v>
      </c>
      <c r="Y2112" s="21">
        <v>5.2</v>
      </c>
      <c r="Z2112" s="198" t="s">
        <v>2272</v>
      </c>
      <c r="AA2112" s="198" t="s">
        <v>34</v>
      </c>
      <c r="AB2112" s="198" t="s">
        <v>84</v>
      </c>
      <c r="AC2112" s="198" t="s">
        <v>2272</v>
      </c>
      <c r="AD2112" s="198"/>
      <c r="AE2112" s="4" t="s">
        <v>11598</v>
      </c>
    </row>
    <row r="2113" spans="1:31" ht="47" customHeight="1">
      <c r="A2113" s="35" t="s">
        <v>5991</v>
      </c>
      <c r="B2113" s="35" t="s">
        <v>5999</v>
      </c>
      <c r="C2113" s="35" t="s">
        <v>2651</v>
      </c>
      <c r="D2113" s="35" t="s">
        <v>2272</v>
      </c>
      <c r="E2113" s="35" t="s">
        <v>2272</v>
      </c>
      <c r="F2113" s="35" t="s">
        <v>2272</v>
      </c>
      <c r="G2113" s="163" t="s">
        <v>2657</v>
      </c>
      <c r="H2113" s="35" t="s">
        <v>521</v>
      </c>
      <c r="I2113" s="35"/>
      <c r="J2113" s="163" t="s">
        <v>2272</v>
      </c>
      <c r="K2113" s="163" t="s">
        <v>2272</v>
      </c>
      <c r="L2113" s="163" t="s">
        <v>2272</v>
      </c>
      <c r="M2113" s="163" t="s">
        <v>2272</v>
      </c>
      <c r="N2113" s="163" t="s">
        <v>2272</v>
      </c>
      <c r="O2113" s="163" t="s">
        <v>2272</v>
      </c>
      <c r="P2113" s="163" t="s">
        <v>2272</v>
      </c>
      <c r="Q2113" s="69">
        <v>6255</v>
      </c>
      <c r="R2113" s="35" t="s">
        <v>2272</v>
      </c>
      <c r="S2113" s="69">
        <v>16.899999999999999</v>
      </c>
      <c r="T2113" s="35" t="s">
        <v>2272</v>
      </c>
      <c r="U2113" s="35" t="s">
        <v>2272</v>
      </c>
      <c r="V2113" s="35" t="s">
        <v>2272</v>
      </c>
      <c r="W2113" s="35" t="s">
        <v>2272</v>
      </c>
      <c r="X2113" s="35" t="s">
        <v>2272</v>
      </c>
      <c r="Y2113" s="69">
        <v>5.2</v>
      </c>
      <c r="Z2113" s="35" t="s">
        <v>2272</v>
      </c>
      <c r="AA2113" s="35" t="s">
        <v>33</v>
      </c>
      <c r="AB2113" s="35" t="s">
        <v>67</v>
      </c>
      <c r="AC2113" s="35" t="s">
        <v>2272</v>
      </c>
      <c r="AD2113" s="198"/>
      <c r="AE2113" s="4" t="s">
        <v>11598</v>
      </c>
    </row>
    <row r="2114" spans="1:31" ht="41" customHeight="1">
      <c r="A2114" s="198" t="s">
        <v>5987</v>
      </c>
      <c r="B2114" s="198" t="s">
        <v>5997</v>
      </c>
      <c r="C2114" s="198" t="s">
        <v>23</v>
      </c>
      <c r="D2114" s="198" t="s">
        <v>3475</v>
      </c>
      <c r="E2114" s="198" t="s">
        <v>114</v>
      </c>
      <c r="F2114" s="4" t="s">
        <v>2657</v>
      </c>
      <c r="G2114" s="4" t="s">
        <v>2657</v>
      </c>
      <c r="H2114" s="198" t="s">
        <v>521</v>
      </c>
      <c r="I2114" s="198"/>
      <c r="J2114" s="198" t="s">
        <v>2272</v>
      </c>
      <c r="K2114" s="198" t="s">
        <v>2272</v>
      </c>
      <c r="L2114" s="198" t="s">
        <v>2272</v>
      </c>
      <c r="M2114" s="198" t="s">
        <v>2272</v>
      </c>
      <c r="N2114" s="198" t="s">
        <v>2272</v>
      </c>
      <c r="O2114" s="198" t="s">
        <v>2272</v>
      </c>
      <c r="P2114" s="198" t="s">
        <v>2272</v>
      </c>
      <c r="Q2114" s="198" t="s">
        <v>2272</v>
      </c>
      <c r="R2114" s="198" t="s">
        <v>2272</v>
      </c>
      <c r="S2114" s="198" t="s">
        <v>2272</v>
      </c>
      <c r="T2114" s="198" t="s">
        <v>2272</v>
      </c>
      <c r="U2114" s="198" t="s">
        <v>2272</v>
      </c>
      <c r="V2114" s="198" t="s">
        <v>2272</v>
      </c>
      <c r="W2114" s="198" t="s">
        <v>2272</v>
      </c>
      <c r="X2114" s="198" t="s">
        <v>2272</v>
      </c>
      <c r="Y2114" s="198" t="s">
        <v>2272</v>
      </c>
      <c r="Z2114" s="198" t="s">
        <v>2272</v>
      </c>
      <c r="AA2114" s="198" t="s">
        <v>37</v>
      </c>
      <c r="AB2114" s="198" t="s">
        <v>423</v>
      </c>
      <c r="AC2114" s="198" t="s">
        <v>2272</v>
      </c>
      <c r="AD2114" s="198"/>
      <c r="AE2114" s="198"/>
    </row>
    <row r="2115" spans="1:31" ht="47.5" customHeight="1">
      <c r="A2115" s="198" t="s">
        <v>5987</v>
      </c>
      <c r="B2115" s="198" t="s">
        <v>6001</v>
      </c>
      <c r="C2115" s="198" t="s">
        <v>23</v>
      </c>
      <c r="D2115" s="198" t="s">
        <v>1241</v>
      </c>
      <c r="E2115" s="198" t="s">
        <v>114</v>
      </c>
      <c r="F2115" s="4" t="s">
        <v>2657</v>
      </c>
      <c r="G2115" s="4" t="s">
        <v>2657</v>
      </c>
      <c r="H2115" s="198" t="s">
        <v>521</v>
      </c>
      <c r="I2115" s="198"/>
      <c r="J2115" s="198" t="s">
        <v>2272</v>
      </c>
      <c r="K2115" s="198" t="s">
        <v>2272</v>
      </c>
      <c r="L2115" s="198" t="s">
        <v>2272</v>
      </c>
      <c r="M2115" s="198" t="s">
        <v>2272</v>
      </c>
      <c r="N2115" s="198" t="s">
        <v>2272</v>
      </c>
      <c r="O2115" s="198" t="s">
        <v>2272</v>
      </c>
      <c r="P2115" s="198" t="s">
        <v>2272</v>
      </c>
      <c r="Q2115" s="198" t="s">
        <v>2272</v>
      </c>
      <c r="R2115" s="198" t="s">
        <v>2272</v>
      </c>
      <c r="S2115" s="198" t="s">
        <v>2272</v>
      </c>
      <c r="T2115" s="198" t="s">
        <v>2272</v>
      </c>
      <c r="U2115" s="198" t="s">
        <v>2272</v>
      </c>
      <c r="V2115" s="198" t="s">
        <v>2272</v>
      </c>
      <c r="W2115" s="198" t="s">
        <v>2272</v>
      </c>
      <c r="X2115" s="198" t="s">
        <v>2272</v>
      </c>
      <c r="Y2115" s="198" t="s">
        <v>2272</v>
      </c>
      <c r="Z2115" s="198" t="s">
        <v>2272</v>
      </c>
      <c r="AA2115" s="198" t="s">
        <v>37</v>
      </c>
      <c r="AB2115" s="198" t="s">
        <v>423</v>
      </c>
      <c r="AC2115" s="198" t="s">
        <v>2272</v>
      </c>
      <c r="AD2115" s="198"/>
      <c r="AE2115" s="198"/>
    </row>
    <row r="2116" spans="1:31" ht="32.5" customHeight="1">
      <c r="A2116" s="198" t="s">
        <v>5993</v>
      </c>
      <c r="B2116" s="198" t="s">
        <v>6005</v>
      </c>
      <c r="C2116" s="198" t="s">
        <v>23</v>
      </c>
      <c r="D2116" s="198" t="s">
        <v>26</v>
      </c>
      <c r="E2116" s="198" t="s">
        <v>128</v>
      </c>
      <c r="F2116" s="4" t="s">
        <v>158</v>
      </c>
      <c r="G2116" s="198" t="s">
        <v>2272</v>
      </c>
      <c r="H2116" s="198" t="s">
        <v>521</v>
      </c>
      <c r="I2116" s="198"/>
      <c r="J2116" s="198" t="s">
        <v>2272</v>
      </c>
      <c r="K2116" s="198" t="s">
        <v>2272</v>
      </c>
      <c r="L2116" s="198" t="s">
        <v>2272</v>
      </c>
      <c r="M2116" s="198" t="s">
        <v>2272</v>
      </c>
      <c r="N2116" s="198" t="s">
        <v>2272</v>
      </c>
      <c r="O2116" s="198" t="s">
        <v>2272</v>
      </c>
      <c r="P2116" s="198" t="s">
        <v>2272</v>
      </c>
      <c r="Q2116" s="198" t="s">
        <v>2272</v>
      </c>
      <c r="R2116" s="198" t="s">
        <v>2272</v>
      </c>
      <c r="S2116" s="198" t="s">
        <v>2272</v>
      </c>
      <c r="T2116" s="198" t="s">
        <v>2272</v>
      </c>
      <c r="U2116" s="198" t="s">
        <v>2272</v>
      </c>
      <c r="V2116" s="198" t="s">
        <v>2272</v>
      </c>
      <c r="W2116" s="198" t="s">
        <v>2272</v>
      </c>
      <c r="X2116" s="198" t="s">
        <v>2272</v>
      </c>
      <c r="Y2116" s="198" t="s">
        <v>2272</v>
      </c>
      <c r="Z2116" s="198" t="s">
        <v>2272</v>
      </c>
      <c r="AA2116" s="198" t="s">
        <v>2272</v>
      </c>
      <c r="AB2116" s="198" t="s">
        <v>2272</v>
      </c>
      <c r="AC2116" s="198" t="s">
        <v>2272</v>
      </c>
      <c r="AD2116" s="198"/>
      <c r="AE2116" s="198"/>
    </row>
    <row r="2117" spans="1:31" ht="32.5" customHeight="1">
      <c r="A2117" s="198" t="s">
        <v>5993</v>
      </c>
      <c r="B2117" s="198" t="s">
        <v>6006</v>
      </c>
      <c r="C2117" s="198" t="s">
        <v>23</v>
      </c>
      <c r="D2117" s="198" t="s">
        <v>24</v>
      </c>
      <c r="E2117" s="198" t="s">
        <v>44</v>
      </c>
      <c r="F2117" s="4" t="s">
        <v>2657</v>
      </c>
      <c r="G2117" s="198" t="s">
        <v>2272</v>
      </c>
      <c r="H2117" s="198" t="s">
        <v>521</v>
      </c>
      <c r="I2117" s="198"/>
      <c r="J2117" s="198" t="s">
        <v>2272</v>
      </c>
      <c r="K2117" s="198" t="s">
        <v>2272</v>
      </c>
      <c r="L2117" s="198" t="s">
        <v>2272</v>
      </c>
      <c r="M2117" s="198" t="s">
        <v>2272</v>
      </c>
      <c r="N2117" s="198" t="s">
        <v>2272</v>
      </c>
      <c r="O2117" s="198" t="s">
        <v>2272</v>
      </c>
      <c r="P2117" s="198" t="s">
        <v>2272</v>
      </c>
      <c r="Q2117" s="198" t="s">
        <v>2272</v>
      </c>
      <c r="R2117" s="198" t="s">
        <v>2272</v>
      </c>
      <c r="S2117" s="198" t="s">
        <v>2272</v>
      </c>
      <c r="T2117" s="198" t="s">
        <v>2272</v>
      </c>
      <c r="U2117" s="198" t="s">
        <v>2272</v>
      </c>
      <c r="V2117" s="198" t="s">
        <v>2272</v>
      </c>
      <c r="W2117" s="198" t="s">
        <v>2272</v>
      </c>
      <c r="X2117" s="198" t="s">
        <v>2272</v>
      </c>
      <c r="Y2117" s="198" t="s">
        <v>2272</v>
      </c>
      <c r="Z2117" s="198" t="s">
        <v>2272</v>
      </c>
      <c r="AA2117" s="198" t="s">
        <v>2272</v>
      </c>
      <c r="AB2117" s="198" t="s">
        <v>2272</v>
      </c>
      <c r="AC2117" s="198" t="s">
        <v>2272</v>
      </c>
      <c r="AD2117" s="198"/>
      <c r="AE2117" s="198"/>
    </row>
    <row r="2118" spans="1:31" ht="33.5" customHeight="1">
      <c r="A2118" s="198" t="s">
        <v>5993</v>
      </c>
      <c r="B2118" s="198" t="s">
        <v>6007</v>
      </c>
      <c r="C2118" s="198" t="s">
        <v>23</v>
      </c>
      <c r="D2118" s="198" t="s">
        <v>24</v>
      </c>
      <c r="E2118" s="198" t="s">
        <v>44</v>
      </c>
      <c r="F2118" s="4" t="s">
        <v>28</v>
      </c>
      <c r="G2118" s="198" t="s">
        <v>2272</v>
      </c>
      <c r="H2118" s="198" t="s">
        <v>521</v>
      </c>
      <c r="I2118" s="198"/>
      <c r="J2118" s="198" t="s">
        <v>2272</v>
      </c>
      <c r="K2118" s="198" t="s">
        <v>2272</v>
      </c>
      <c r="L2118" s="198" t="s">
        <v>2272</v>
      </c>
      <c r="M2118" s="198" t="s">
        <v>2272</v>
      </c>
      <c r="N2118" s="198" t="s">
        <v>2272</v>
      </c>
      <c r="O2118" s="198" t="s">
        <v>2272</v>
      </c>
      <c r="P2118" s="198" t="s">
        <v>2272</v>
      </c>
      <c r="Q2118" s="198" t="s">
        <v>2272</v>
      </c>
      <c r="R2118" s="198" t="s">
        <v>2272</v>
      </c>
      <c r="S2118" s="198" t="s">
        <v>2272</v>
      </c>
      <c r="T2118" s="198" t="s">
        <v>2272</v>
      </c>
      <c r="U2118" s="198" t="s">
        <v>2272</v>
      </c>
      <c r="V2118" s="198" t="s">
        <v>2272</v>
      </c>
      <c r="W2118" s="198" t="s">
        <v>2272</v>
      </c>
      <c r="X2118" s="198" t="s">
        <v>2272</v>
      </c>
      <c r="Y2118" s="198" t="s">
        <v>2272</v>
      </c>
      <c r="Z2118" s="198" t="s">
        <v>2272</v>
      </c>
      <c r="AA2118" s="198" t="s">
        <v>2272</v>
      </c>
      <c r="AB2118" s="198" t="s">
        <v>2272</v>
      </c>
      <c r="AC2118" s="198" t="s">
        <v>2272</v>
      </c>
      <c r="AD2118" s="198"/>
      <c r="AE2118" s="198"/>
    </row>
    <row r="2119" spans="1:31" ht="41.5" customHeight="1">
      <c r="A2119" s="198" t="s">
        <v>6011</v>
      </c>
      <c r="B2119" s="198" t="s">
        <v>6014</v>
      </c>
      <c r="C2119" s="198" t="s">
        <v>23</v>
      </c>
      <c r="D2119" s="198" t="s">
        <v>3475</v>
      </c>
      <c r="E2119" s="198" t="s">
        <v>114</v>
      </c>
      <c r="F2119" s="4" t="s">
        <v>73</v>
      </c>
      <c r="G2119" s="198" t="s">
        <v>2272</v>
      </c>
      <c r="H2119" s="198" t="s">
        <v>521</v>
      </c>
      <c r="I2119" s="198">
        <v>1995</v>
      </c>
      <c r="J2119" s="198" t="s">
        <v>2272</v>
      </c>
      <c r="K2119" s="198" t="s">
        <v>2272</v>
      </c>
      <c r="L2119" s="198" t="s">
        <v>2272</v>
      </c>
      <c r="M2119" s="198" t="s">
        <v>2272</v>
      </c>
      <c r="N2119" s="198" t="s">
        <v>2272</v>
      </c>
      <c r="O2119" s="198" t="s">
        <v>2272</v>
      </c>
      <c r="P2119" s="198" t="s">
        <v>2272</v>
      </c>
      <c r="Q2119" s="198" t="s">
        <v>2272</v>
      </c>
      <c r="R2119" s="198" t="s">
        <v>2272</v>
      </c>
      <c r="S2119" s="198" t="s">
        <v>2272</v>
      </c>
      <c r="T2119" s="198" t="s">
        <v>2272</v>
      </c>
      <c r="U2119" s="198" t="s">
        <v>2272</v>
      </c>
      <c r="V2119" s="198" t="s">
        <v>2272</v>
      </c>
      <c r="W2119" s="198" t="s">
        <v>2272</v>
      </c>
      <c r="X2119" s="198" t="s">
        <v>2272</v>
      </c>
      <c r="Y2119" s="198" t="s">
        <v>2272</v>
      </c>
      <c r="Z2119" s="198" t="s">
        <v>2272</v>
      </c>
      <c r="AA2119" s="198" t="s">
        <v>2272</v>
      </c>
      <c r="AB2119" s="198" t="s">
        <v>2272</v>
      </c>
      <c r="AC2119" s="198" t="s">
        <v>2272</v>
      </c>
      <c r="AD2119" s="4" t="s">
        <v>6022</v>
      </c>
      <c r="AE2119" s="198"/>
    </row>
    <row r="2120" spans="1:31" ht="41.5" customHeight="1">
      <c r="A2120" s="198" t="s">
        <v>6011</v>
      </c>
      <c r="B2120" s="198" t="s">
        <v>6015</v>
      </c>
      <c r="C2120" s="198" t="s">
        <v>23</v>
      </c>
      <c r="D2120" s="198" t="s">
        <v>142</v>
      </c>
      <c r="E2120" s="198" t="s">
        <v>114</v>
      </c>
      <c r="F2120" s="4" t="s">
        <v>73</v>
      </c>
      <c r="G2120" s="198" t="s">
        <v>2272</v>
      </c>
      <c r="H2120" s="198" t="s">
        <v>521</v>
      </c>
      <c r="I2120" s="198">
        <v>1995</v>
      </c>
      <c r="J2120" s="198" t="s">
        <v>2272</v>
      </c>
      <c r="K2120" s="198" t="s">
        <v>2272</v>
      </c>
      <c r="L2120" s="198" t="s">
        <v>2272</v>
      </c>
      <c r="M2120" s="198" t="s">
        <v>2272</v>
      </c>
      <c r="N2120" s="198" t="s">
        <v>2272</v>
      </c>
      <c r="O2120" s="198" t="s">
        <v>2272</v>
      </c>
      <c r="P2120" s="198" t="s">
        <v>2272</v>
      </c>
      <c r="Q2120" s="198" t="s">
        <v>2272</v>
      </c>
      <c r="R2120" s="198" t="s">
        <v>2272</v>
      </c>
      <c r="S2120" s="198" t="s">
        <v>2272</v>
      </c>
      <c r="T2120" s="198" t="s">
        <v>2272</v>
      </c>
      <c r="U2120" s="198" t="s">
        <v>2272</v>
      </c>
      <c r="V2120" s="198" t="s">
        <v>2272</v>
      </c>
      <c r="W2120" s="198" t="s">
        <v>2272</v>
      </c>
      <c r="X2120" s="198" t="s">
        <v>2272</v>
      </c>
      <c r="Y2120" s="198" t="s">
        <v>2272</v>
      </c>
      <c r="Z2120" s="198" t="s">
        <v>2272</v>
      </c>
      <c r="AA2120" s="198" t="s">
        <v>2272</v>
      </c>
      <c r="AB2120" s="198" t="s">
        <v>2272</v>
      </c>
      <c r="AC2120" s="198" t="s">
        <v>2272</v>
      </c>
      <c r="AD2120" s="4" t="s">
        <v>6022</v>
      </c>
      <c r="AE2120" s="198"/>
    </row>
    <row r="2121" spans="1:31" ht="41.5" customHeight="1">
      <c r="A2121" s="198" t="s">
        <v>6011</v>
      </c>
      <c r="B2121" s="198" t="s">
        <v>6016</v>
      </c>
      <c r="C2121" s="198" t="s">
        <v>23</v>
      </c>
      <c r="D2121" s="198" t="s">
        <v>404</v>
      </c>
      <c r="E2121" s="198" t="s">
        <v>114</v>
      </c>
      <c r="F2121" s="4" t="s">
        <v>73</v>
      </c>
      <c r="G2121" s="198" t="s">
        <v>2272</v>
      </c>
      <c r="H2121" s="198" t="s">
        <v>521</v>
      </c>
      <c r="I2121" s="198">
        <v>1995</v>
      </c>
      <c r="J2121" s="198" t="s">
        <v>2272</v>
      </c>
      <c r="K2121" s="198" t="s">
        <v>2272</v>
      </c>
      <c r="L2121" s="198" t="s">
        <v>2272</v>
      </c>
      <c r="M2121" s="198" t="s">
        <v>2272</v>
      </c>
      <c r="N2121" s="198" t="s">
        <v>2272</v>
      </c>
      <c r="O2121" s="198" t="s">
        <v>2272</v>
      </c>
      <c r="P2121" s="198" t="s">
        <v>2272</v>
      </c>
      <c r="Q2121" s="198" t="s">
        <v>2272</v>
      </c>
      <c r="R2121" s="198" t="s">
        <v>2272</v>
      </c>
      <c r="S2121" s="198" t="s">
        <v>2272</v>
      </c>
      <c r="T2121" s="198" t="s">
        <v>2272</v>
      </c>
      <c r="U2121" s="198" t="s">
        <v>2272</v>
      </c>
      <c r="V2121" s="198" t="s">
        <v>2272</v>
      </c>
      <c r="W2121" s="198" t="s">
        <v>2272</v>
      </c>
      <c r="X2121" s="198" t="s">
        <v>2272</v>
      </c>
      <c r="Y2121" s="198" t="s">
        <v>2272</v>
      </c>
      <c r="Z2121" s="198" t="s">
        <v>2272</v>
      </c>
      <c r="AA2121" s="198" t="s">
        <v>2272</v>
      </c>
      <c r="AB2121" s="198" t="s">
        <v>2272</v>
      </c>
      <c r="AC2121" s="198" t="s">
        <v>2272</v>
      </c>
      <c r="AD2121" s="4" t="s">
        <v>6022</v>
      </c>
      <c r="AE2121" s="198"/>
    </row>
    <row r="2122" spans="1:31" ht="41.5" customHeight="1">
      <c r="A2122" s="198" t="s">
        <v>6011</v>
      </c>
      <c r="B2122" s="198" t="s">
        <v>6017</v>
      </c>
      <c r="C2122" s="198" t="s">
        <v>23</v>
      </c>
      <c r="D2122" s="198" t="s">
        <v>142</v>
      </c>
      <c r="E2122" s="198" t="s">
        <v>135</v>
      </c>
      <c r="F2122" s="4" t="s">
        <v>73</v>
      </c>
      <c r="G2122" s="198" t="s">
        <v>2272</v>
      </c>
      <c r="H2122" s="198" t="s">
        <v>521</v>
      </c>
      <c r="I2122" s="198">
        <v>1995</v>
      </c>
      <c r="J2122" s="198" t="s">
        <v>2272</v>
      </c>
      <c r="K2122" s="198" t="s">
        <v>2272</v>
      </c>
      <c r="L2122" s="198" t="s">
        <v>2272</v>
      </c>
      <c r="M2122" s="198" t="s">
        <v>2272</v>
      </c>
      <c r="N2122" s="198" t="s">
        <v>2272</v>
      </c>
      <c r="O2122" s="198" t="s">
        <v>2272</v>
      </c>
      <c r="P2122" s="198" t="s">
        <v>2272</v>
      </c>
      <c r="Q2122" s="198" t="s">
        <v>2272</v>
      </c>
      <c r="R2122" s="198" t="s">
        <v>2272</v>
      </c>
      <c r="S2122" s="198" t="s">
        <v>2272</v>
      </c>
      <c r="T2122" s="198" t="s">
        <v>2272</v>
      </c>
      <c r="U2122" s="198" t="s">
        <v>2272</v>
      </c>
      <c r="V2122" s="198" t="s">
        <v>2272</v>
      </c>
      <c r="W2122" s="198" t="s">
        <v>2272</v>
      </c>
      <c r="X2122" s="198" t="s">
        <v>2272</v>
      </c>
      <c r="Y2122" s="198" t="s">
        <v>2272</v>
      </c>
      <c r="Z2122" s="198" t="s">
        <v>2272</v>
      </c>
      <c r="AA2122" s="198" t="s">
        <v>2272</v>
      </c>
      <c r="AB2122" s="198" t="s">
        <v>2272</v>
      </c>
      <c r="AC2122" s="198" t="s">
        <v>2272</v>
      </c>
      <c r="AD2122" s="4" t="s">
        <v>6022</v>
      </c>
      <c r="AE2122" s="198"/>
    </row>
    <row r="2123" spans="1:31" ht="41.5" customHeight="1">
      <c r="A2123" s="198" t="s">
        <v>6011</v>
      </c>
      <c r="B2123" s="198" t="s">
        <v>6018</v>
      </c>
      <c r="C2123" s="198" t="s">
        <v>23</v>
      </c>
      <c r="D2123" s="198" t="s">
        <v>3475</v>
      </c>
      <c r="E2123" s="198" t="s">
        <v>114</v>
      </c>
      <c r="F2123" s="4" t="s">
        <v>73</v>
      </c>
      <c r="G2123" s="198" t="s">
        <v>2272</v>
      </c>
      <c r="H2123" s="198" t="s">
        <v>522</v>
      </c>
      <c r="I2123" s="198">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1">
        <v>0</v>
      </c>
      <c r="Z2123" s="198" t="s">
        <v>2272</v>
      </c>
      <c r="AA2123" s="198" t="s">
        <v>2272</v>
      </c>
      <c r="AB2123" s="198" t="s">
        <v>2272</v>
      </c>
      <c r="AC2123" s="198" t="s">
        <v>2272</v>
      </c>
      <c r="AD2123" s="4" t="s">
        <v>6023</v>
      </c>
      <c r="AE2123" s="198"/>
    </row>
    <row r="2124" spans="1:31" ht="41.5" customHeight="1">
      <c r="A2124" s="198" t="s">
        <v>6011</v>
      </c>
      <c r="B2124" s="198" t="s">
        <v>6019</v>
      </c>
      <c r="C2124" s="198" t="s">
        <v>23</v>
      </c>
      <c r="D2124" s="198" t="s">
        <v>142</v>
      </c>
      <c r="E2124" s="198" t="s">
        <v>114</v>
      </c>
      <c r="F2124" s="4" t="s">
        <v>73</v>
      </c>
      <c r="G2124" s="198" t="s">
        <v>2272</v>
      </c>
      <c r="H2124" s="198" t="s">
        <v>522</v>
      </c>
      <c r="I2124" s="198">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21">
        <v>0</v>
      </c>
      <c r="Z2124" s="198" t="s">
        <v>2272</v>
      </c>
      <c r="AA2124" s="198" t="s">
        <v>2272</v>
      </c>
      <c r="AB2124" s="198" t="s">
        <v>2272</v>
      </c>
      <c r="AC2124" s="198" t="s">
        <v>2272</v>
      </c>
      <c r="AD2124" s="4" t="s">
        <v>6023</v>
      </c>
      <c r="AE2124" s="198"/>
    </row>
    <row r="2125" spans="1:31" ht="41.5" customHeight="1">
      <c r="A2125" s="198" t="s">
        <v>6011</v>
      </c>
      <c r="B2125" s="198" t="s">
        <v>6020</v>
      </c>
      <c r="C2125" s="198" t="s">
        <v>23</v>
      </c>
      <c r="D2125" s="198" t="s">
        <v>404</v>
      </c>
      <c r="E2125" s="198" t="s">
        <v>114</v>
      </c>
      <c r="F2125" s="4" t="s">
        <v>73</v>
      </c>
      <c r="G2125" s="198" t="s">
        <v>2272</v>
      </c>
      <c r="H2125" s="198" t="s">
        <v>522</v>
      </c>
      <c r="I2125" s="198">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1">
        <v>0</v>
      </c>
      <c r="Z2125" s="198" t="s">
        <v>2272</v>
      </c>
      <c r="AA2125" s="198" t="s">
        <v>2272</v>
      </c>
      <c r="AB2125" s="198" t="s">
        <v>2272</v>
      </c>
      <c r="AC2125" s="198" t="s">
        <v>2272</v>
      </c>
      <c r="AD2125" s="4" t="s">
        <v>6023</v>
      </c>
      <c r="AE2125" s="198"/>
    </row>
    <row r="2126" spans="1:31" ht="41.5" customHeight="1">
      <c r="A2126" s="198" t="s">
        <v>6011</v>
      </c>
      <c r="B2126" s="198" t="s">
        <v>6021</v>
      </c>
      <c r="C2126" s="198" t="s">
        <v>23</v>
      </c>
      <c r="D2126" s="198" t="s">
        <v>142</v>
      </c>
      <c r="E2126" s="198" t="s">
        <v>135</v>
      </c>
      <c r="F2126" s="4" t="s">
        <v>73</v>
      </c>
      <c r="G2126" s="198" t="s">
        <v>2272</v>
      </c>
      <c r="H2126" s="198" t="s">
        <v>522</v>
      </c>
      <c r="I2126" s="198">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21">
        <v>0</v>
      </c>
      <c r="Z2126" s="198" t="s">
        <v>2272</v>
      </c>
      <c r="AA2126" s="198" t="s">
        <v>2272</v>
      </c>
      <c r="AB2126" s="198" t="s">
        <v>2272</v>
      </c>
      <c r="AC2126" s="198" t="s">
        <v>2272</v>
      </c>
      <c r="AD2126" s="4" t="s">
        <v>6023</v>
      </c>
      <c r="AE2126" s="198"/>
    </row>
    <row r="2127" spans="1:31" ht="38" customHeight="1">
      <c r="A2127" s="198" t="s">
        <v>6025</v>
      </c>
      <c r="B2127" s="198" t="s">
        <v>6028</v>
      </c>
      <c r="C2127" s="198" t="s">
        <v>23</v>
      </c>
      <c r="D2127" s="198" t="s">
        <v>142</v>
      </c>
      <c r="E2127" s="198" t="s">
        <v>135</v>
      </c>
      <c r="F2127" s="4" t="s">
        <v>54</v>
      </c>
      <c r="G2127" s="198" t="s">
        <v>2272</v>
      </c>
      <c r="H2127" s="198" t="s">
        <v>521</v>
      </c>
      <c r="I2127" s="198"/>
      <c r="J2127" s="198" t="s">
        <v>2272</v>
      </c>
      <c r="K2127" s="198" t="s">
        <v>2272</v>
      </c>
      <c r="L2127" s="198" t="s">
        <v>2272</v>
      </c>
      <c r="M2127" s="198" t="s">
        <v>2272</v>
      </c>
      <c r="N2127" s="198" t="s">
        <v>2272</v>
      </c>
      <c r="O2127" s="198" t="s">
        <v>2272</v>
      </c>
      <c r="P2127" s="198" t="s">
        <v>2272</v>
      </c>
      <c r="Q2127" s="198" t="s">
        <v>2272</v>
      </c>
      <c r="R2127" s="198" t="s">
        <v>2272</v>
      </c>
      <c r="S2127" s="198" t="s">
        <v>2272</v>
      </c>
      <c r="T2127" s="198" t="s">
        <v>2272</v>
      </c>
      <c r="U2127" s="198" t="s">
        <v>2272</v>
      </c>
      <c r="V2127" s="198" t="s">
        <v>2272</v>
      </c>
      <c r="W2127" s="198" t="s">
        <v>2272</v>
      </c>
      <c r="X2127" s="198" t="s">
        <v>2272</v>
      </c>
      <c r="Y2127" s="198" t="s">
        <v>2272</v>
      </c>
      <c r="Z2127" s="198" t="s">
        <v>2272</v>
      </c>
      <c r="AA2127" s="198" t="s">
        <v>187</v>
      </c>
      <c r="AB2127" s="198" t="s">
        <v>37</v>
      </c>
      <c r="AC2127" s="198" t="s">
        <v>2272</v>
      </c>
      <c r="AD2127" s="198" t="s">
        <v>6038</v>
      </c>
      <c r="AE2127" s="198"/>
    </row>
    <row r="2128" spans="1:31" ht="38" customHeight="1">
      <c r="A2128" s="198" t="s">
        <v>6025</v>
      </c>
      <c r="B2128" s="198" t="s">
        <v>6029</v>
      </c>
      <c r="C2128" s="198" t="s">
        <v>23</v>
      </c>
      <c r="D2128" s="198" t="s">
        <v>24</v>
      </c>
      <c r="E2128" s="198" t="s">
        <v>44</v>
      </c>
      <c r="F2128" s="4" t="s">
        <v>54</v>
      </c>
      <c r="G2128" s="198" t="s">
        <v>2272</v>
      </c>
      <c r="H2128" s="198" t="s">
        <v>521</v>
      </c>
      <c r="I2128" s="198"/>
      <c r="J2128" s="198" t="s">
        <v>2272</v>
      </c>
      <c r="K2128" s="198" t="s">
        <v>2272</v>
      </c>
      <c r="L2128" s="198" t="s">
        <v>2272</v>
      </c>
      <c r="M2128" s="198" t="s">
        <v>2272</v>
      </c>
      <c r="N2128" s="198" t="s">
        <v>2272</v>
      </c>
      <c r="O2128" s="198" t="s">
        <v>2272</v>
      </c>
      <c r="P2128" s="198" t="s">
        <v>2272</v>
      </c>
      <c r="Q2128" s="198" t="s">
        <v>2272</v>
      </c>
      <c r="R2128" s="198" t="s">
        <v>2272</v>
      </c>
      <c r="S2128" s="198" t="s">
        <v>2272</v>
      </c>
      <c r="T2128" s="198" t="s">
        <v>2272</v>
      </c>
      <c r="U2128" s="198" t="s">
        <v>2272</v>
      </c>
      <c r="V2128" s="198" t="s">
        <v>2272</v>
      </c>
      <c r="W2128" s="198" t="s">
        <v>2272</v>
      </c>
      <c r="X2128" s="198" t="s">
        <v>2272</v>
      </c>
      <c r="Y2128" s="198" t="s">
        <v>2272</v>
      </c>
      <c r="Z2128" s="198" t="s">
        <v>2272</v>
      </c>
      <c r="AA2128" s="198" t="s">
        <v>187</v>
      </c>
      <c r="AB2128" s="198" t="s">
        <v>37</v>
      </c>
      <c r="AC2128" s="198" t="s">
        <v>2272</v>
      </c>
      <c r="AD2128" s="198" t="s">
        <v>6038</v>
      </c>
      <c r="AE2128" s="198"/>
    </row>
    <row r="2129" spans="1:31" ht="38" customHeight="1">
      <c r="A2129" s="198" t="s">
        <v>6025</v>
      </c>
      <c r="B2129" s="198" t="s">
        <v>6030</v>
      </c>
      <c r="C2129" s="198" t="s">
        <v>23</v>
      </c>
      <c r="D2129" s="198" t="s">
        <v>1102</v>
      </c>
      <c r="E2129" s="198" t="s">
        <v>5795</v>
      </c>
      <c r="F2129" s="4" t="s">
        <v>54</v>
      </c>
      <c r="G2129" s="198" t="s">
        <v>2272</v>
      </c>
      <c r="H2129" s="198" t="s">
        <v>522</v>
      </c>
      <c r="I2129" s="198"/>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21">
        <v>0</v>
      </c>
      <c r="Z2129" s="198" t="s">
        <v>2272</v>
      </c>
      <c r="AA2129" s="198" t="s">
        <v>2272</v>
      </c>
      <c r="AB2129" s="198" t="s">
        <v>2272</v>
      </c>
      <c r="AC2129" s="198" t="s">
        <v>2272</v>
      </c>
      <c r="AD2129" s="4"/>
      <c r="AE2129" s="198"/>
    </row>
    <row r="2130" spans="1:31" ht="41.5" customHeight="1">
      <c r="A2130" s="198" t="s">
        <v>6032</v>
      </c>
      <c r="B2130" s="198" t="s">
        <v>6035</v>
      </c>
      <c r="C2130" s="198" t="s">
        <v>23</v>
      </c>
      <c r="D2130" s="198" t="s">
        <v>24</v>
      </c>
      <c r="E2130" s="198" t="s">
        <v>5000</v>
      </c>
      <c r="F2130" s="4" t="s">
        <v>54</v>
      </c>
      <c r="G2130" s="198" t="s">
        <v>2272</v>
      </c>
      <c r="H2130" s="198" t="s">
        <v>521</v>
      </c>
      <c r="I2130" s="198"/>
      <c r="J2130" s="198" t="s">
        <v>2272</v>
      </c>
      <c r="K2130" s="198" t="s">
        <v>2272</v>
      </c>
      <c r="L2130" s="198" t="s">
        <v>2272</v>
      </c>
      <c r="M2130" s="198" t="s">
        <v>2272</v>
      </c>
      <c r="N2130" s="198" t="s">
        <v>2272</v>
      </c>
      <c r="O2130" s="198" t="s">
        <v>2272</v>
      </c>
      <c r="P2130" s="21">
        <v>4.4999999999999998E-2</v>
      </c>
      <c r="Q2130" s="198" t="s">
        <v>2272</v>
      </c>
      <c r="R2130" s="198" t="s">
        <v>2272</v>
      </c>
      <c r="S2130" s="198" t="s">
        <v>2272</v>
      </c>
      <c r="T2130" s="198" t="s">
        <v>2272</v>
      </c>
      <c r="U2130" s="198" t="s">
        <v>2272</v>
      </c>
      <c r="V2130" s="198" t="s">
        <v>2272</v>
      </c>
      <c r="W2130" s="21">
        <v>50</v>
      </c>
      <c r="X2130" s="198" t="s">
        <v>2272</v>
      </c>
      <c r="Y2130" s="198" t="s">
        <v>2272</v>
      </c>
      <c r="Z2130" s="21">
        <v>2</v>
      </c>
      <c r="AA2130" s="198" t="s">
        <v>2272</v>
      </c>
      <c r="AB2130" s="198" t="s">
        <v>2272</v>
      </c>
      <c r="AC2130" s="198" t="s">
        <v>2272</v>
      </c>
      <c r="AD2130" s="4" t="s">
        <v>6040</v>
      </c>
      <c r="AE2130" s="198"/>
    </row>
    <row r="2131" spans="1:31" ht="46" customHeight="1">
      <c r="A2131" s="198" t="s">
        <v>6032</v>
      </c>
      <c r="B2131" s="198" t="s">
        <v>6036</v>
      </c>
      <c r="C2131" s="198" t="s">
        <v>23</v>
      </c>
      <c r="D2131" s="198" t="s">
        <v>24</v>
      </c>
      <c r="E2131" s="4" t="s">
        <v>3850</v>
      </c>
      <c r="F2131" s="4" t="s">
        <v>54</v>
      </c>
      <c r="G2131" s="198" t="s">
        <v>2272</v>
      </c>
      <c r="H2131" s="198" t="s">
        <v>521</v>
      </c>
      <c r="I2131" s="198"/>
      <c r="J2131" s="198" t="s">
        <v>2272</v>
      </c>
      <c r="K2131" s="198" t="s">
        <v>2272</v>
      </c>
      <c r="L2131" s="198" t="s">
        <v>2272</v>
      </c>
      <c r="M2131" s="198" t="s">
        <v>2272</v>
      </c>
      <c r="N2131" s="198" t="s">
        <v>2272</v>
      </c>
      <c r="O2131" s="198" t="s">
        <v>2272</v>
      </c>
      <c r="P2131" s="21">
        <v>0.152</v>
      </c>
      <c r="Q2131" s="198" t="s">
        <v>2272</v>
      </c>
      <c r="R2131" s="198" t="s">
        <v>2272</v>
      </c>
      <c r="S2131" s="198" t="s">
        <v>2272</v>
      </c>
      <c r="T2131" s="198" t="s">
        <v>2272</v>
      </c>
      <c r="U2131" s="198" t="s">
        <v>2272</v>
      </c>
      <c r="V2131" s="198" t="s">
        <v>2272</v>
      </c>
      <c r="W2131" s="21">
        <v>50</v>
      </c>
      <c r="X2131" s="198" t="s">
        <v>2272</v>
      </c>
      <c r="Y2131" s="198" t="s">
        <v>2272</v>
      </c>
      <c r="Z2131" s="21">
        <v>1</v>
      </c>
      <c r="AA2131" s="198" t="s">
        <v>2272</v>
      </c>
      <c r="AB2131" s="198" t="s">
        <v>2272</v>
      </c>
      <c r="AC2131" s="198" t="s">
        <v>2272</v>
      </c>
      <c r="AD2131" s="4" t="s">
        <v>6039</v>
      </c>
      <c r="AE2131" s="198"/>
    </row>
    <row r="2132" spans="1:31" ht="41.5" customHeight="1">
      <c r="A2132" s="198" t="s">
        <v>6032</v>
      </c>
      <c r="B2132" s="198" t="s">
        <v>6037</v>
      </c>
      <c r="C2132" s="198" t="s">
        <v>23</v>
      </c>
      <c r="D2132" s="198" t="s">
        <v>24</v>
      </c>
      <c r="E2132" s="198" t="s">
        <v>5795</v>
      </c>
      <c r="F2132" s="4" t="s">
        <v>54</v>
      </c>
      <c r="G2132" s="198" t="s">
        <v>2272</v>
      </c>
      <c r="H2132" s="198" t="s">
        <v>522</v>
      </c>
      <c r="I2132" s="198"/>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21">
        <v>0</v>
      </c>
      <c r="Z2132" s="198" t="s">
        <v>2272</v>
      </c>
      <c r="AA2132" s="198" t="s">
        <v>2272</v>
      </c>
      <c r="AB2132" s="198" t="s">
        <v>2272</v>
      </c>
      <c r="AC2132" s="198" t="s">
        <v>2272</v>
      </c>
      <c r="AD2132" s="198"/>
      <c r="AE2132" s="198"/>
    </row>
    <row r="2133" spans="1:31" ht="33.5" customHeight="1">
      <c r="A2133" s="198" t="s">
        <v>6041</v>
      </c>
      <c r="B2133" s="198" t="s">
        <v>6045</v>
      </c>
      <c r="C2133" s="198" t="s">
        <v>23</v>
      </c>
      <c r="D2133" s="198" t="s">
        <v>26</v>
      </c>
      <c r="E2133" s="198" t="s">
        <v>128</v>
      </c>
      <c r="F2133" s="4" t="s">
        <v>158</v>
      </c>
      <c r="G2133" s="198" t="s">
        <v>2272</v>
      </c>
      <c r="H2133" s="198" t="s">
        <v>521</v>
      </c>
      <c r="I2133" s="198"/>
      <c r="J2133" s="198" t="s">
        <v>2272</v>
      </c>
      <c r="K2133" s="198" t="s">
        <v>2272</v>
      </c>
      <c r="L2133" s="198" t="s">
        <v>2272</v>
      </c>
      <c r="M2133" s="198" t="s">
        <v>2272</v>
      </c>
      <c r="N2133" s="198" t="s">
        <v>2272</v>
      </c>
      <c r="O2133" s="198" t="s">
        <v>2272</v>
      </c>
      <c r="P2133" s="198" t="s">
        <v>2272</v>
      </c>
      <c r="Q2133" s="198" t="s">
        <v>2272</v>
      </c>
      <c r="R2133" s="198" t="s">
        <v>2272</v>
      </c>
      <c r="S2133" s="198" t="s">
        <v>2272</v>
      </c>
      <c r="T2133" s="198" t="s">
        <v>2272</v>
      </c>
      <c r="U2133" s="198" t="s">
        <v>2272</v>
      </c>
      <c r="V2133" s="198" t="s">
        <v>2272</v>
      </c>
      <c r="W2133" s="198" t="s">
        <v>2272</v>
      </c>
      <c r="X2133" s="198" t="s">
        <v>2272</v>
      </c>
      <c r="Y2133" s="198" t="s">
        <v>2272</v>
      </c>
      <c r="Z2133" s="198" t="s">
        <v>2272</v>
      </c>
      <c r="AA2133" s="198" t="s">
        <v>37</v>
      </c>
      <c r="AB2133" s="198" t="s">
        <v>84</v>
      </c>
      <c r="AC2133" s="198" t="s">
        <v>2272</v>
      </c>
      <c r="AD2133" s="198"/>
      <c r="AE2133" s="198"/>
    </row>
    <row r="2134" spans="1:31" ht="33.5" customHeight="1">
      <c r="A2134" s="198" t="s">
        <v>6041</v>
      </c>
      <c r="B2134" s="198" t="s">
        <v>6046</v>
      </c>
      <c r="C2134" s="198" t="s">
        <v>23</v>
      </c>
      <c r="D2134" s="198" t="s">
        <v>24</v>
      </c>
      <c r="E2134" s="198" t="s">
        <v>44</v>
      </c>
      <c r="F2134" s="4" t="s">
        <v>28</v>
      </c>
      <c r="G2134" s="198" t="s">
        <v>2272</v>
      </c>
      <c r="H2134" s="198" t="s">
        <v>521</v>
      </c>
      <c r="I2134" s="198"/>
      <c r="J2134" s="198" t="s">
        <v>2272</v>
      </c>
      <c r="K2134" s="198" t="s">
        <v>2272</v>
      </c>
      <c r="L2134" s="198" t="s">
        <v>2272</v>
      </c>
      <c r="M2134" s="198" t="s">
        <v>2272</v>
      </c>
      <c r="N2134" s="198" t="s">
        <v>2272</v>
      </c>
      <c r="O2134" s="198" t="s">
        <v>2272</v>
      </c>
      <c r="P2134" s="198" t="s">
        <v>2272</v>
      </c>
      <c r="Q2134" s="198" t="s">
        <v>2272</v>
      </c>
      <c r="R2134" s="198" t="s">
        <v>2272</v>
      </c>
      <c r="S2134" s="198" t="s">
        <v>2272</v>
      </c>
      <c r="T2134" s="198" t="s">
        <v>2272</v>
      </c>
      <c r="U2134" s="198" t="s">
        <v>2272</v>
      </c>
      <c r="V2134" s="198" t="s">
        <v>2272</v>
      </c>
      <c r="W2134" s="198" t="s">
        <v>2272</v>
      </c>
      <c r="X2134" s="198" t="s">
        <v>2272</v>
      </c>
      <c r="Y2134" s="198" t="s">
        <v>2272</v>
      </c>
      <c r="Z2134" s="198" t="s">
        <v>2272</v>
      </c>
      <c r="AA2134" s="198" t="s">
        <v>2272</v>
      </c>
      <c r="AB2134" s="198" t="s">
        <v>2272</v>
      </c>
      <c r="AC2134" s="198" t="s">
        <v>2272</v>
      </c>
      <c r="AD2134" s="198"/>
      <c r="AE2134" s="198"/>
    </row>
    <row r="2135" spans="1:31" ht="57" customHeight="1">
      <c r="A2135" s="198" t="s">
        <v>6041</v>
      </c>
      <c r="B2135" s="198" t="s">
        <v>6049</v>
      </c>
      <c r="C2135" s="198" t="s">
        <v>2453</v>
      </c>
      <c r="D2135" s="198" t="s">
        <v>26</v>
      </c>
      <c r="E2135" s="198" t="s">
        <v>128</v>
      </c>
      <c r="F2135" s="4" t="s">
        <v>158</v>
      </c>
      <c r="G2135" s="198" t="s">
        <v>2272</v>
      </c>
      <c r="H2135" s="198" t="s">
        <v>521</v>
      </c>
      <c r="I2135" s="198"/>
      <c r="J2135" s="198" t="s">
        <v>2272</v>
      </c>
      <c r="K2135" s="198" t="s">
        <v>2272</v>
      </c>
      <c r="L2135" s="198" t="s">
        <v>2272</v>
      </c>
      <c r="M2135" s="198" t="s">
        <v>2272</v>
      </c>
      <c r="N2135" s="198" t="s">
        <v>2272</v>
      </c>
      <c r="O2135" s="198" t="s">
        <v>2272</v>
      </c>
      <c r="P2135" s="198" t="s">
        <v>2272</v>
      </c>
      <c r="Q2135" s="198" t="s">
        <v>2272</v>
      </c>
      <c r="R2135" s="198" t="s">
        <v>2272</v>
      </c>
      <c r="S2135" s="198" t="s">
        <v>2272</v>
      </c>
      <c r="T2135" s="198" t="s">
        <v>2272</v>
      </c>
      <c r="U2135" s="198" t="s">
        <v>2272</v>
      </c>
      <c r="V2135" s="198" t="s">
        <v>2272</v>
      </c>
      <c r="W2135" s="198" t="s">
        <v>2272</v>
      </c>
      <c r="X2135" s="198" t="s">
        <v>2272</v>
      </c>
      <c r="Y2135" s="198" t="s">
        <v>2272</v>
      </c>
      <c r="Z2135" s="198" t="s">
        <v>2272</v>
      </c>
      <c r="AA2135" s="198" t="s">
        <v>37</v>
      </c>
      <c r="AB2135" s="198" t="s">
        <v>84</v>
      </c>
      <c r="AC2135" s="198" t="s">
        <v>2272</v>
      </c>
      <c r="AD2135" s="4" t="s">
        <v>6050</v>
      </c>
      <c r="AE2135" s="198"/>
    </row>
    <row r="2136" spans="1:31" ht="33.5" customHeight="1">
      <c r="A2136" s="198" t="s">
        <v>6055</v>
      </c>
      <c r="B2136" s="198" t="s">
        <v>6059</v>
      </c>
      <c r="C2136" s="198" t="s">
        <v>23</v>
      </c>
      <c r="D2136" s="198" t="s">
        <v>26</v>
      </c>
      <c r="E2136" s="198" t="s">
        <v>128</v>
      </c>
      <c r="F2136" s="4" t="s">
        <v>73</v>
      </c>
      <c r="G2136" s="198" t="s">
        <v>2272</v>
      </c>
      <c r="H2136" s="198" t="s">
        <v>521</v>
      </c>
      <c r="I2136" s="198"/>
      <c r="J2136" s="198" t="s">
        <v>2272</v>
      </c>
      <c r="K2136" s="198" t="s">
        <v>2272</v>
      </c>
      <c r="L2136" s="198" t="s">
        <v>2272</v>
      </c>
      <c r="M2136" s="198" t="s">
        <v>2272</v>
      </c>
      <c r="N2136" s="198" t="s">
        <v>2272</v>
      </c>
      <c r="O2136" s="198" t="s">
        <v>2272</v>
      </c>
      <c r="P2136" s="198" t="s">
        <v>2272</v>
      </c>
      <c r="Q2136" s="198" t="s">
        <v>2272</v>
      </c>
      <c r="R2136" s="198" t="s">
        <v>2272</v>
      </c>
      <c r="S2136" s="198" t="s">
        <v>2272</v>
      </c>
      <c r="T2136" s="198" t="s">
        <v>2272</v>
      </c>
      <c r="U2136" s="198" t="s">
        <v>2272</v>
      </c>
      <c r="V2136" s="198" t="s">
        <v>2272</v>
      </c>
      <c r="W2136" s="198" t="s">
        <v>2272</v>
      </c>
      <c r="X2136" s="198" t="s">
        <v>2272</v>
      </c>
      <c r="Y2136" s="198" t="s">
        <v>2272</v>
      </c>
      <c r="Z2136" s="198" t="s">
        <v>2272</v>
      </c>
      <c r="AA2136" s="198" t="s">
        <v>2272</v>
      </c>
      <c r="AB2136" s="198" t="s">
        <v>2272</v>
      </c>
      <c r="AC2136" s="198" t="s">
        <v>2272</v>
      </c>
      <c r="AD2136" s="198"/>
      <c r="AE2136" s="198"/>
    </row>
    <row r="2137" spans="1:31" ht="33.5" customHeight="1">
      <c r="A2137" s="198" t="s">
        <v>6055</v>
      </c>
      <c r="B2137" s="198" t="s">
        <v>6061</v>
      </c>
      <c r="C2137" s="198" t="s">
        <v>23</v>
      </c>
      <c r="D2137" s="198" t="s">
        <v>141</v>
      </c>
      <c r="E2137" s="198" t="s">
        <v>44</v>
      </c>
      <c r="F2137" s="4" t="s">
        <v>73</v>
      </c>
      <c r="G2137" s="198" t="s">
        <v>2272</v>
      </c>
      <c r="H2137" s="198" t="s">
        <v>521</v>
      </c>
      <c r="I2137" s="198"/>
      <c r="J2137" s="198" t="s">
        <v>2272</v>
      </c>
      <c r="K2137" s="198" t="s">
        <v>2272</v>
      </c>
      <c r="L2137" s="198" t="s">
        <v>2272</v>
      </c>
      <c r="M2137" s="198" t="s">
        <v>2272</v>
      </c>
      <c r="N2137" s="198" t="s">
        <v>2272</v>
      </c>
      <c r="O2137" s="198" t="s">
        <v>2272</v>
      </c>
      <c r="P2137" s="198" t="s">
        <v>2272</v>
      </c>
      <c r="Q2137" s="198" t="s">
        <v>2272</v>
      </c>
      <c r="R2137" s="198" t="s">
        <v>2272</v>
      </c>
      <c r="S2137" s="198" t="s">
        <v>2272</v>
      </c>
      <c r="T2137" s="198" t="s">
        <v>2272</v>
      </c>
      <c r="U2137" s="198" t="s">
        <v>2272</v>
      </c>
      <c r="V2137" s="198" t="s">
        <v>2272</v>
      </c>
      <c r="W2137" s="198" t="s">
        <v>2272</v>
      </c>
      <c r="X2137" s="198" t="s">
        <v>2272</v>
      </c>
      <c r="Y2137" s="198" t="s">
        <v>2272</v>
      </c>
      <c r="Z2137" s="198" t="s">
        <v>2272</v>
      </c>
      <c r="AA2137" s="198" t="s">
        <v>2272</v>
      </c>
      <c r="AB2137" s="198" t="s">
        <v>2272</v>
      </c>
      <c r="AC2137" s="198" t="s">
        <v>2272</v>
      </c>
      <c r="AD2137" s="198"/>
      <c r="AE2137" s="198"/>
    </row>
    <row r="2138" spans="1:31" ht="33.5" customHeight="1">
      <c r="A2138" s="198" t="s">
        <v>6056</v>
      </c>
      <c r="B2138" s="198" t="s">
        <v>6060</v>
      </c>
      <c r="C2138" s="198" t="s">
        <v>23</v>
      </c>
      <c r="D2138" s="198" t="s">
        <v>141</v>
      </c>
      <c r="E2138" s="198" t="s">
        <v>44</v>
      </c>
      <c r="F2138" s="4" t="s">
        <v>73</v>
      </c>
      <c r="G2138" s="198" t="s">
        <v>2272</v>
      </c>
      <c r="H2138" s="198" t="s">
        <v>521</v>
      </c>
      <c r="I2138" s="198"/>
      <c r="J2138" s="198" t="s">
        <v>2272</v>
      </c>
      <c r="K2138" s="198" t="s">
        <v>2272</v>
      </c>
      <c r="L2138" s="198" t="s">
        <v>2272</v>
      </c>
      <c r="M2138" s="198" t="s">
        <v>2272</v>
      </c>
      <c r="N2138" s="198" t="s">
        <v>2272</v>
      </c>
      <c r="O2138" s="198" t="s">
        <v>2272</v>
      </c>
      <c r="P2138" s="198" t="s">
        <v>2272</v>
      </c>
      <c r="Q2138" s="198" t="s">
        <v>2272</v>
      </c>
      <c r="R2138" s="198" t="s">
        <v>2272</v>
      </c>
      <c r="S2138" s="198" t="s">
        <v>2272</v>
      </c>
      <c r="T2138" s="198" t="s">
        <v>2272</v>
      </c>
      <c r="U2138" s="198" t="s">
        <v>2272</v>
      </c>
      <c r="V2138" s="198" t="s">
        <v>2272</v>
      </c>
      <c r="W2138" s="198" t="s">
        <v>2272</v>
      </c>
      <c r="X2138" s="198" t="s">
        <v>2272</v>
      </c>
      <c r="Y2138" s="198" t="s">
        <v>2272</v>
      </c>
      <c r="Z2138" s="198" t="s">
        <v>2272</v>
      </c>
      <c r="AA2138" s="198" t="s">
        <v>2272</v>
      </c>
      <c r="AB2138" s="198" t="s">
        <v>2272</v>
      </c>
      <c r="AC2138" s="198" t="s">
        <v>2272</v>
      </c>
      <c r="AD2138" s="198"/>
      <c r="AE2138" s="198"/>
    </row>
    <row r="2139" spans="1:31" ht="33.5" customHeight="1">
      <c r="A2139" s="198" t="s">
        <v>6055</v>
      </c>
      <c r="B2139" s="198" t="s">
        <v>6063</v>
      </c>
      <c r="C2139" s="198" t="s">
        <v>23</v>
      </c>
      <c r="D2139" s="198" t="s">
        <v>24</v>
      </c>
      <c r="E2139" s="198" t="s">
        <v>44</v>
      </c>
      <c r="F2139" s="4" t="s">
        <v>28</v>
      </c>
      <c r="G2139" s="198" t="s">
        <v>2272</v>
      </c>
      <c r="H2139" s="198" t="s">
        <v>521</v>
      </c>
      <c r="I2139" s="198"/>
      <c r="J2139" s="198" t="s">
        <v>2272</v>
      </c>
      <c r="K2139" s="198" t="s">
        <v>2272</v>
      </c>
      <c r="L2139" s="198" t="s">
        <v>2272</v>
      </c>
      <c r="M2139" s="198" t="s">
        <v>2272</v>
      </c>
      <c r="N2139" s="198" t="s">
        <v>2272</v>
      </c>
      <c r="O2139" s="198" t="s">
        <v>2272</v>
      </c>
      <c r="P2139" s="198" t="s">
        <v>2272</v>
      </c>
      <c r="Q2139" s="198" t="s">
        <v>2272</v>
      </c>
      <c r="R2139" s="198" t="s">
        <v>2272</v>
      </c>
      <c r="S2139" s="198" t="s">
        <v>2272</v>
      </c>
      <c r="T2139" s="198" t="s">
        <v>2272</v>
      </c>
      <c r="U2139" s="198" t="s">
        <v>2272</v>
      </c>
      <c r="V2139" s="198" t="s">
        <v>2272</v>
      </c>
      <c r="W2139" s="198" t="s">
        <v>2272</v>
      </c>
      <c r="X2139" s="198" t="s">
        <v>2272</v>
      </c>
      <c r="Y2139" s="198" t="s">
        <v>2272</v>
      </c>
      <c r="Z2139" s="198" t="s">
        <v>2272</v>
      </c>
      <c r="AA2139" s="198" t="s">
        <v>2272</v>
      </c>
      <c r="AB2139" s="198" t="s">
        <v>2272</v>
      </c>
      <c r="AC2139" s="198" t="s">
        <v>2272</v>
      </c>
      <c r="AD2139" s="198"/>
      <c r="AE2139" s="198"/>
    </row>
    <row r="2140" spans="1:31" ht="33.5" customHeight="1">
      <c r="A2140" s="198" t="s">
        <v>6056</v>
      </c>
      <c r="B2140" s="198" t="s">
        <v>6062</v>
      </c>
      <c r="C2140" s="198" t="s">
        <v>23</v>
      </c>
      <c r="D2140" s="198" t="s">
        <v>24</v>
      </c>
      <c r="E2140" s="198" t="s">
        <v>44</v>
      </c>
      <c r="F2140" s="4" t="s">
        <v>28</v>
      </c>
      <c r="G2140" s="198" t="s">
        <v>2272</v>
      </c>
      <c r="H2140" s="198" t="s">
        <v>521</v>
      </c>
      <c r="I2140" s="198"/>
      <c r="J2140" s="198" t="s">
        <v>2272</v>
      </c>
      <c r="K2140" s="198" t="s">
        <v>2272</v>
      </c>
      <c r="L2140" s="198" t="s">
        <v>2272</v>
      </c>
      <c r="M2140" s="198" t="s">
        <v>2272</v>
      </c>
      <c r="N2140" s="198" t="s">
        <v>2272</v>
      </c>
      <c r="O2140" s="198" t="s">
        <v>2272</v>
      </c>
      <c r="P2140" s="198" t="s">
        <v>2272</v>
      </c>
      <c r="Q2140" s="198" t="s">
        <v>2272</v>
      </c>
      <c r="R2140" s="198" t="s">
        <v>2272</v>
      </c>
      <c r="S2140" s="198" t="s">
        <v>2272</v>
      </c>
      <c r="T2140" s="198" t="s">
        <v>2272</v>
      </c>
      <c r="U2140" s="198" t="s">
        <v>2272</v>
      </c>
      <c r="V2140" s="198" t="s">
        <v>2272</v>
      </c>
      <c r="W2140" s="198" t="s">
        <v>2272</v>
      </c>
      <c r="X2140" s="198" t="s">
        <v>2272</v>
      </c>
      <c r="Y2140" s="198" t="s">
        <v>2272</v>
      </c>
      <c r="Z2140" s="198" t="s">
        <v>2272</v>
      </c>
      <c r="AA2140" s="198" t="s">
        <v>2272</v>
      </c>
      <c r="AB2140" s="198" t="s">
        <v>2272</v>
      </c>
      <c r="AC2140" s="198" t="s">
        <v>2272</v>
      </c>
      <c r="AD2140" s="4" t="s">
        <v>6066</v>
      </c>
      <c r="AE2140" s="198"/>
    </row>
    <row r="2141" spans="1:31" ht="33.5" customHeight="1">
      <c r="A2141" s="198" t="s">
        <v>6056</v>
      </c>
      <c r="B2141" s="198" t="s">
        <v>6064</v>
      </c>
      <c r="C2141" s="198" t="s">
        <v>23</v>
      </c>
      <c r="D2141" s="198" t="s">
        <v>24</v>
      </c>
      <c r="E2141" s="198" t="s">
        <v>2642</v>
      </c>
      <c r="F2141" s="4" t="s">
        <v>28</v>
      </c>
      <c r="G2141" s="198" t="s">
        <v>2272</v>
      </c>
      <c r="H2141" s="198" t="s">
        <v>522</v>
      </c>
      <c r="I2141" s="198"/>
      <c r="J2141" s="198">
        <v>0</v>
      </c>
      <c r="K2141" s="198">
        <v>0</v>
      </c>
      <c r="L2141" s="198">
        <v>0</v>
      </c>
      <c r="M2141" s="198">
        <v>0</v>
      </c>
      <c r="N2141" s="198">
        <v>0</v>
      </c>
      <c r="O2141" s="198">
        <v>0</v>
      </c>
      <c r="P2141" s="198">
        <v>0</v>
      </c>
      <c r="Q2141" s="198">
        <v>0</v>
      </c>
      <c r="R2141" s="198">
        <v>0</v>
      </c>
      <c r="S2141" s="198">
        <v>0</v>
      </c>
      <c r="T2141" s="198">
        <v>0</v>
      </c>
      <c r="U2141" s="198">
        <v>0</v>
      </c>
      <c r="V2141" s="198">
        <v>0</v>
      </c>
      <c r="W2141" s="198">
        <v>0</v>
      </c>
      <c r="X2141" s="198">
        <v>0</v>
      </c>
      <c r="Y2141" s="198">
        <v>0</v>
      </c>
      <c r="Z2141" s="198" t="s">
        <v>2272</v>
      </c>
      <c r="AA2141" s="198" t="s">
        <v>2272</v>
      </c>
      <c r="AB2141" s="198" t="s">
        <v>2272</v>
      </c>
      <c r="AC2141" s="198" t="s">
        <v>2272</v>
      </c>
      <c r="AD2141" s="4" t="s">
        <v>6065</v>
      </c>
      <c r="AE2141" s="198"/>
    </row>
    <row r="2142" spans="1:31" ht="30" customHeight="1">
      <c r="A2142" s="198" t="s">
        <v>6068</v>
      </c>
      <c r="B2142" s="198" t="s">
        <v>6071</v>
      </c>
      <c r="C2142" s="198" t="s">
        <v>23</v>
      </c>
      <c r="D2142" s="198" t="s">
        <v>2799</v>
      </c>
      <c r="E2142" s="198" t="s">
        <v>44</v>
      </c>
      <c r="F2142" s="4" t="s">
        <v>2657</v>
      </c>
      <c r="G2142" s="198" t="s">
        <v>2272</v>
      </c>
      <c r="H2142" s="198" t="s">
        <v>521</v>
      </c>
      <c r="I2142" s="198"/>
      <c r="J2142" s="198" t="s">
        <v>2272</v>
      </c>
      <c r="K2142" s="198" t="s">
        <v>2272</v>
      </c>
      <c r="L2142" s="198" t="s">
        <v>2272</v>
      </c>
      <c r="M2142" s="198" t="s">
        <v>2272</v>
      </c>
      <c r="N2142" s="198" t="s">
        <v>2272</v>
      </c>
      <c r="O2142" s="198" t="s">
        <v>2272</v>
      </c>
      <c r="P2142" s="198" t="s">
        <v>2272</v>
      </c>
      <c r="Q2142" s="198" t="s">
        <v>2272</v>
      </c>
      <c r="R2142" s="198" t="s">
        <v>2272</v>
      </c>
      <c r="S2142" s="198" t="s">
        <v>2272</v>
      </c>
      <c r="T2142" s="198" t="s">
        <v>2272</v>
      </c>
      <c r="U2142" s="198" t="s">
        <v>2272</v>
      </c>
      <c r="V2142" s="198" t="s">
        <v>2272</v>
      </c>
      <c r="W2142" s="198" t="s">
        <v>2272</v>
      </c>
      <c r="X2142" s="198" t="s">
        <v>2272</v>
      </c>
      <c r="Y2142" s="198" t="s">
        <v>2272</v>
      </c>
      <c r="Z2142" s="198" t="s">
        <v>2272</v>
      </c>
      <c r="AA2142" s="198" t="s">
        <v>2272</v>
      </c>
      <c r="AB2142" s="198" t="s">
        <v>2272</v>
      </c>
      <c r="AC2142" s="198" t="s">
        <v>2272</v>
      </c>
      <c r="AD2142" s="198"/>
      <c r="AE2142" s="198"/>
    </row>
    <row r="2143" spans="1:31" ht="29" customHeight="1">
      <c r="A2143" s="198" t="s">
        <v>6068</v>
      </c>
      <c r="B2143" s="198" t="s">
        <v>6072</v>
      </c>
      <c r="C2143" s="198" t="s">
        <v>23</v>
      </c>
      <c r="D2143" s="198" t="s">
        <v>2799</v>
      </c>
      <c r="E2143" s="198" t="s">
        <v>5000</v>
      </c>
      <c r="F2143" s="4" t="s">
        <v>2657</v>
      </c>
      <c r="G2143" s="198" t="s">
        <v>2272</v>
      </c>
      <c r="H2143" s="198" t="s">
        <v>521</v>
      </c>
      <c r="I2143" s="198"/>
      <c r="J2143" s="198" t="s">
        <v>2272</v>
      </c>
      <c r="K2143" s="198" t="s">
        <v>2272</v>
      </c>
      <c r="L2143" s="198" t="s">
        <v>2272</v>
      </c>
      <c r="M2143" s="198" t="s">
        <v>2272</v>
      </c>
      <c r="N2143" s="198" t="s">
        <v>2272</v>
      </c>
      <c r="O2143" s="198" t="s">
        <v>2272</v>
      </c>
      <c r="P2143" s="198" t="s">
        <v>2272</v>
      </c>
      <c r="Q2143" s="198" t="s">
        <v>2272</v>
      </c>
      <c r="R2143" s="198" t="s">
        <v>2272</v>
      </c>
      <c r="S2143" s="198" t="s">
        <v>2272</v>
      </c>
      <c r="T2143" s="198" t="s">
        <v>2272</v>
      </c>
      <c r="U2143" s="198" t="s">
        <v>2272</v>
      </c>
      <c r="V2143" s="198" t="s">
        <v>2272</v>
      </c>
      <c r="W2143" s="198" t="s">
        <v>2272</v>
      </c>
      <c r="X2143" s="198" t="s">
        <v>2272</v>
      </c>
      <c r="Y2143" s="198" t="s">
        <v>2272</v>
      </c>
      <c r="Z2143" s="198" t="s">
        <v>2272</v>
      </c>
      <c r="AA2143" s="198" t="s">
        <v>2272</v>
      </c>
      <c r="AB2143" s="198" t="s">
        <v>2272</v>
      </c>
      <c r="AC2143" s="198" t="s">
        <v>2272</v>
      </c>
      <c r="AD2143" s="198"/>
      <c r="AE2143" s="198"/>
    </row>
    <row r="2144" spans="1:31" ht="33" customHeight="1">
      <c r="A2144" s="198" t="s">
        <v>6068</v>
      </c>
      <c r="B2144" s="198" t="s">
        <v>6073</v>
      </c>
      <c r="C2144" s="198" t="s">
        <v>23</v>
      </c>
      <c r="D2144" s="198" t="s">
        <v>2799</v>
      </c>
      <c r="E2144" s="198" t="s">
        <v>128</v>
      </c>
      <c r="F2144" s="4" t="s">
        <v>2657</v>
      </c>
      <c r="G2144" s="198" t="s">
        <v>2272</v>
      </c>
      <c r="H2144" s="198" t="s">
        <v>521</v>
      </c>
      <c r="I2144" s="198"/>
      <c r="J2144" s="198" t="s">
        <v>2272</v>
      </c>
      <c r="K2144" s="198" t="s">
        <v>2272</v>
      </c>
      <c r="L2144" s="198" t="s">
        <v>2272</v>
      </c>
      <c r="M2144" s="198" t="s">
        <v>2272</v>
      </c>
      <c r="N2144" s="198" t="s">
        <v>2272</v>
      </c>
      <c r="O2144" s="198" t="s">
        <v>2272</v>
      </c>
      <c r="P2144" s="198" t="s">
        <v>2272</v>
      </c>
      <c r="Q2144" s="198" t="s">
        <v>2272</v>
      </c>
      <c r="R2144" s="198" t="s">
        <v>2272</v>
      </c>
      <c r="S2144" s="198" t="s">
        <v>2272</v>
      </c>
      <c r="T2144" s="198" t="s">
        <v>2272</v>
      </c>
      <c r="U2144" s="198" t="s">
        <v>2272</v>
      </c>
      <c r="V2144" s="198" t="s">
        <v>2272</v>
      </c>
      <c r="W2144" s="198" t="s">
        <v>2272</v>
      </c>
      <c r="X2144" s="198" t="s">
        <v>2272</v>
      </c>
      <c r="Y2144" s="198" t="s">
        <v>2272</v>
      </c>
      <c r="Z2144" s="198" t="s">
        <v>2272</v>
      </c>
      <c r="AA2144" s="198" t="s">
        <v>2272</v>
      </c>
      <c r="AB2144" s="198" t="s">
        <v>2272</v>
      </c>
      <c r="AC2144" s="198" t="s">
        <v>2272</v>
      </c>
      <c r="AD2144" s="198"/>
      <c r="AE2144" s="198"/>
    </row>
    <row r="2145" spans="1:31" ht="52.5" customHeight="1">
      <c r="A2145" s="198" t="s">
        <v>6076</v>
      </c>
      <c r="B2145" s="198" t="s">
        <v>6969</v>
      </c>
      <c r="C2145" s="198" t="s">
        <v>23</v>
      </c>
      <c r="D2145" s="198" t="s">
        <v>2799</v>
      </c>
      <c r="E2145" s="198" t="s">
        <v>5000</v>
      </c>
      <c r="F2145" s="4" t="s">
        <v>2657</v>
      </c>
      <c r="G2145" s="198" t="s">
        <v>2272</v>
      </c>
      <c r="H2145" s="198" t="s">
        <v>521</v>
      </c>
      <c r="I2145" s="198"/>
      <c r="J2145" s="198" t="s">
        <v>2272</v>
      </c>
      <c r="K2145" s="198" t="s">
        <v>2272</v>
      </c>
      <c r="L2145" s="198" t="s">
        <v>2272</v>
      </c>
      <c r="M2145" s="198" t="s">
        <v>2272</v>
      </c>
      <c r="N2145" s="198" t="s">
        <v>2272</v>
      </c>
      <c r="O2145" s="198" t="s">
        <v>2272</v>
      </c>
      <c r="P2145" s="198" t="s">
        <v>2272</v>
      </c>
      <c r="Q2145" s="198" t="s">
        <v>2272</v>
      </c>
      <c r="R2145" s="198" t="s">
        <v>2272</v>
      </c>
      <c r="S2145" s="198" t="s">
        <v>2272</v>
      </c>
      <c r="T2145" s="198" t="s">
        <v>2272</v>
      </c>
      <c r="U2145" s="198" t="s">
        <v>2272</v>
      </c>
      <c r="V2145" s="198" t="s">
        <v>2272</v>
      </c>
      <c r="W2145" s="198" t="s">
        <v>2272</v>
      </c>
      <c r="X2145" s="198" t="s">
        <v>2272</v>
      </c>
      <c r="Y2145" s="198" t="s">
        <v>2272</v>
      </c>
      <c r="Z2145" s="198" t="s">
        <v>2272</v>
      </c>
      <c r="AA2145" s="198" t="s">
        <v>67</v>
      </c>
      <c r="AB2145" s="198" t="s">
        <v>186</v>
      </c>
      <c r="AC2145" s="198" t="s">
        <v>2650</v>
      </c>
      <c r="AD2145" s="4" t="s">
        <v>6973</v>
      </c>
      <c r="AE2145" s="4" t="s">
        <v>6976</v>
      </c>
    </row>
    <row r="2146" spans="1:31" ht="52" customHeight="1">
      <c r="A2146" s="198" t="s">
        <v>6076</v>
      </c>
      <c r="B2146" s="198" t="s">
        <v>6970</v>
      </c>
      <c r="C2146" s="198" t="s">
        <v>23</v>
      </c>
      <c r="D2146" s="198" t="s">
        <v>26</v>
      </c>
      <c r="E2146" s="198" t="s">
        <v>128</v>
      </c>
      <c r="F2146" s="4" t="s">
        <v>158</v>
      </c>
      <c r="G2146" s="198" t="s">
        <v>2272</v>
      </c>
      <c r="H2146" s="198" t="s">
        <v>521</v>
      </c>
      <c r="I2146" s="198"/>
      <c r="J2146" s="198" t="s">
        <v>2272</v>
      </c>
      <c r="K2146" s="198" t="s">
        <v>2272</v>
      </c>
      <c r="L2146" s="198" t="s">
        <v>2272</v>
      </c>
      <c r="M2146" s="198" t="s">
        <v>2272</v>
      </c>
      <c r="N2146" s="198" t="s">
        <v>2272</v>
      </c>
      <c r="O2146" s="198" t="s">
        <v>2272</v>
      </c>
      <c r="P2146" s="198" t="s">
        <v>2272</v>
      </c>
      <c r="Q2146" s="198" t="s">
        <v>2272</v>
      </c>
      <c r="R2146" s="198" t="s">
        <v>2272</v>
      </c>
      <c r="S2146" s="198" t="s">
        <v>2272</v>
      </c>
      <c r="T2146" s="198" t="s">
        <v>2272</v>
      </c>
      <c r="U2146" s="198" t="s">
        <v>2272</v>
      </c>
      <c r="V2146" s="198" t="s">
        <v>2272</v>
      </c>
      <c r="W2146" s="198" t="s">
        <v>2272</v>
      </c>
      <c r="X2146" s="198" t="s">
        <v>2272</v>
      </c>
      <c r="Y2146" s="198" t="s">
        <v>2272</v>
      </c>
      <c r="Z2146" s="198" t="s">
        <v>2272</v>
      </c>
      <c r="AA2146" s="198" t="s">
        <v>2272</v>
      </c>
      <c r="AB2146" s="198" t="s">
        <v>2272</v>
      </c>
      <c r="AC2146" s="198" t="s">
        <v>2272</v>
      </c>
      <c r="AD2146" s="4"/>
      <c r="AE2146" s="4" t="s">
        <v>6977</v>
      </c>
    </row>
    <row r="2147" spans="1:31" ht="56.5" customHeight="1">
      <c r="A2147" s="198" t="s">
        <v>6077</v>
      </c>
      <c r="B2147" s="198" t="s">
        <v>6971</v>
      </c>
      <c r="C2147" s="198" t="s">
        <v>23</v>
      </c>
      <c r="D2147" s="198" t="s">
        <v>2799</v>
      </c>
      <c r="E2147" s="198" t="s">
        <v>5000</v>
      </c>
      <c r="F2147" s="4" t="s">
        <v>2657</v>
      </c>
      <c r="G2147" s="198" t="s">
        <v>2272</v>
      </c>
      <c r="H2147" s="198" t="s">
        <v>521</v>
      </c>
      <c r="I2147" s="198"/>
      <c r="J2147" s="198" t="s">
        <v>2272</v>
      </c>
      <c r="K2147" s="198" t="s">
        <v>2272</v>
      </c>
      <c r="L2147" s="198" t="s">
        <v>2272</v>
      </c>
      <c r="M2147" s="198" t="s">
        <v>2272</v>
      </c>
      <c r="N2147" s="198" t="s">
        <v>2272</v>
      </c>
      <c r="O2147" s="198" t="s">
        <v>2272</v>
      </c>
      <c r="P2147" s="198" t="s">
        <v>2272</v>
      </c>
      <c r="Q2147" s="198" t="s">
        <v>2272</v>
      </c>
      <c r="R2147" s="198" t="s">
        <v>2272</v>
      </c>
      <c r="S2147" s="198" t="s">
        <v>2272</v>
      </c>
      <c r="T2147" s="198" t="s">
        <v>2272</v>
      </c>
      <c r="U2147" s="198" t="s">
        <v>2272</v>
      </c>
      <c r="V2147" s="198" t="s">
        <v>2272</v>
      </c>
      <c r="W2147" s="198" t="s">
        <v>2272</v>
      </c>
      <c r="X2147" s="198" t="s">
        <v>2272</v>
      </c>
      <c r="Y2147" s="198" t="s">
        <v>2272</v>
      </c>
      <c r="Z2147" s="198" t="s">
        <v>2272</v>
      </c>
      <c r="AA2147" s="198" t="s">
        <v>67</v>
      </c>
      <c r="AB2147" s="198" t="s">
        <v>186</v>
      </c>
      <c r="AC2147" s="198" t="s">
        <v>2650</v>
      </c>
      <c r="AD2147" s="4" t="s">
        <v>6973</v>
      </c>
      <c r="AE2147" s="4" t="s">
        <v>6976</v>
      </c>
    </row>
    <row r="2148" spans="1:31" ht="54.5" customHeight="1">
      <c r="A2148" s="198" t="s">
        <v>6077</v>
      </c>
      <c r="B2148" s="198" t="s">
        <v>6972</v>
      </c>
      <c r="C2148" s="198" t="s">
        <v>23</v>
      </c>
      <c r="D2148" s="198" t="s">
        <v>26</v>
      </c>
      <c r="E2148" s="198" t="s">
        <v>128</v>
      </c>
      <c r="F2148" s="4" t="s">
        <v>158</v>
      </c>
      <c r="G2148" s="198" t="s">
        <v>2272</v>
      </c>
      <c r="H2148" s="198" t="s">
        <v>521</v>
      </c>
      <c r="I2148" s="198"/>
      <c r="J2148" s="198" t="s">
        <v>2272</v>
      </c>
      <c r="K2148" s="198" t="s">
        <v>2272</v>
      </c>
      <c r="L2148" s="198" t="s">
        <v>2272</v>
      </c>
      <c r="M2148" s="198" t="s">
        <v>2272</v>
      </c>
      <c r="N2148" s="198" t="s">
        <v>2272</v>
      </c>
      <c r="O2148" s="198" t="s">
        <v>2272</v>
      </c>
      <c r="P2148" s="198" t="s">
        <v>2272</v>
      </c>
      <c r="Q2148" s="198" t="s">
        <v>2272</v>
      </c>
      <c r="R2148" s="198" t="s">
        <v>2272</v>
      </c>
      <c r="S2148" s="198" t="s">
        <v>2272</v>
      </c>
      <c r="T2148" s="198" t="s">
        <v>2272</v>
      </c>
      <c r="U2148" s="198" t="s">
        <v>2272</v>
      </c>
      <c r="V2148" s="198" t="s">
        <v>2272</v>
      </c>
      <c r="W2148" s="198" t="s">
        <v>2272</v>
      </c>
      <c r="X2148" s="198" t="s">
        <v>2272</v>
      </c>
      <c r="Y2148" s="198" t="s">
        <v>2272</v>
      </c>
      <c r="Z2148" s="198" t="s">
        <v>2272</v>
      </c>
      <c r="AA2148" s="198" t="s">
        <v>2272</v>
      </c>
      <c r="AB2148" s="198" t="s">
        <v>2272</v>
      </c>
      <c r="AC2148" s="198" t="s">
        <v>2272</v>
      </c>
      <c r="AD2148" s="198"/>
      <c r="AE2148" s="198"/>
    </row>
    <row r="2149" spans="1:31" s="199" customFormat="1" ht="36.5" customHeight="1">
      <c r="A2149" s="4" t="s">
        <v>6141</v>
      </c>
      <c r="B2149" s="4" t="s">
        <v>6183</v>
      </c>
      <c r="C2149" s="4" t="s">
        <v>2651</v>
      </c>
      <c r="D2149" s="4" t="s">
        <v>2272</v>
      </c>
      <c r="E2149" s="4" t="s">
        <v>2272</v>
      </c>
      <c r="F2149" s="4" t="s">
        <v>2272</v>
      </c>
      <c r="G2149" s="4" t="s">
        <v>73</v>
      </c>
      <c r="H2149" s="4" t="s">
        <v>521</v>
      </c>
      <c r="I2149" s="4"/>
      <c r="J2149" s="198" t="s">
        <v>2272</v>
      </c>
      <c r="K2149" s="198" t="s">
        <v>2272</v>
      </c>
      <c r="L2149" s="198" t="s">
        <v>2272</v>
      </c>
      <c r="M2149" s="198" t="s">
        <v>2272</v>
      </c>
      <c r="N2149" s="198" t="s">
        <v>2272</v>
      </c>
      <c r="O2149" s="198" t="s">
        <v>2272</v>
      </c>
      <c r="P2149" s="198" t="s">
        <v>2272</v>
      </c>
      <c r="Q2149" s="198" t="s">
        <v>2272</v>
      </c>
      <c r="R2149" s="198" t="s">
        <v>2272</v>
      </c>
      <c r="S2149" s="198" t="s">
        <v>2272</v>
      </c>
      <c r="T2149" s="198" t="s">
        <v>2272</v>
      </c>
      <c r="U2149" s="198" t="s">
        <v>2272</v>
      </c>
      <c r="V2149" s="198" t="s">
        <v>2272</v>
      </c>
      <c r="W2149" s="198" t="s">
        <v>2272</v>
      </c>
      <c r="X2149" s="198" t="s">
        <v>2272</v>
      </c>
      <c r="Y2149" s="198" t="s">
        <v>2272</v>
      </c>
      <c r="Z2149" s="198" t="s">
        <v>2272</v>
      </c>
      <c r="AA2149" s="4" t="s">
        <v>402</v>
      </c>
      <c r="AB2149" s="4" t="s">
        <v>403</v>
      </c>
      <c r="AC2149" s="4" t="s">
        <v>2272</v>
      </c>
      <c r="AD2149" s="4"/>
      <c r="AE2149" s="4"/>
    </row>
    <row r="2150" spans="1:31" s="199" customFormat="1" ht="36.5" customHeight="1">
      <c r="A2150" s="4" t="s">
        <v>6141</v>
      </c>
      <c r="B2150" s="4" t="s">
        <v>6184</v>
      </c>
      <c r="C2150" s="4" t="s">
        <v>2453</v>
      </c>
      <c r="D2150" s="4" t="s">
        <v>2989</v>
      </c>
      <c r="E2150" s="4" t="s">
        <v>2647</v>
      </c>
      <c r="F2150" s="4" t="s">
        <v>2272</v>
      </c>
      <c r="G2150" s="4" t="s">
        <v>73</v>
      </c>
      <c r="H2150" s="4" t="s">
        <v>521</v>
      </c>
      <c r="I2150" s="4"/>
      <c r="J2150" s="198" t="s">
        <v>2272</v>
      </c>
      <c r="K2150" s="198" t="s">
        <v>2272</v>
      </c>
      <c r="L2150" s="198" t="s">
        <v>2272</v>
      </c>
      <c r="M2150" s="198" t="s">
        <v>2272</v>
      </c>
      <c r="N2150" s="198" t="s">
        <v>2272</v>
      </c>
      <c r="O2150" s="198" t="s">
        <v>2272</v>
      </c>
      <c r="P2150" s="198" t="s">
        <v>2272</v>
      </c>
      <c r="Q2150" s="198" t="s">
        <v>2272</v>
      </c>
      <c r="R2150" s="198" t="s">
        <v>2272</v>
      </c>
      <c r="S2150" s="198" t="s">
        <v>2272</v>
      </c>
      <c r="T2150" s="198" t="s">
        <v>2272</v>
      </c>
      <c r="U2150" s="198" t="s">
        <v>2272</v>
      </c>
      <c r="V2150" s="198" t="s">
        <v>2272</v>
      </c>
      <c r="W2150" s="198" t="s">
        <v>2272</v>
      </c>
      <c r="X2150" s="198" t="s">
        <v>2272</v>
      </c>
      <c r="Y2150" s="198" t="s">
        <v>2272</v>
      </c>
      <c r="Z2150" s="198" t="s">
        <v>2272</v>
      </c>
      <c r="AA2150" s="4" t="s">
        <v>402</v>
      </c>
      <c r="AB2150" s="4" t="s">
        <v>403</v>
      </c>
      <c r="AC2150" s="4" t="s">
        <v>2272</v>
      </c>
      <c r="AD2150" s="4"/>
      <c r="AE2150" s="4"/>
    </row>
    <row r="2151" spans="1:31" s="199" customFormat="1" ht="36.5" customHeight="1">
      <c r="A2151" s="4" t="s">
        <v>6141</v>
      </c>
      <c r="B2151" s="4" t="s">
        <v>6185</v>
      </c>
      <c r="C2151" s="4" t="s">
        <v>23</v>
      </c>
      <c r="D2151" s="4" t="s">
        <v>1238</v>
      </c>
      <c r="E2151" s="4" t="s">
        <v>2644</v>
      </c>
      <c r="F2151" s="4" t="s">
        <v>73</v>
      </c>
      <c r="G2151" s="4" t="s">
        <v>73</v>
      </c>
      <c r="H2151" s="4" t="s">
        <v>521</v>
      </c>
      <c r="I2151" s="4"/>
      <c r="J2151" s="198" t="s">
        <v>2272</v>
      </c>
      <c r="K2151" s="198" t="s">
        <v>2272</v>
      </c>
      <c r="L2151" s="198" t="s">
        <v>2272</v>
      </c>
      <c r="M2151" s="198" t="s">
        <v>2272</v>
      </c>
      <c r="N2151" s="198" t="s">
        <v>2272</v>
      </c>
      <c r="O2151" s="198" t="s">
        <v>2272</v>
      </c>
      <c r="P2151" s="198" t="s">
        <v>2272</v>
      </c>
      <c r="Q2151" s="198" t="s">
        <v>2272</v>
      </c>
      <c r="R2151" s="198" t="s">
        <v>2272</v>
      </c>
      <c r="S2151" s="198" t="s">
        <v>2272</v>
      </c>
      <c r="T2151" s="198" t="s">
        <v>2272</v>
      </c>
      <c r="U2151" s="198" t="s">
        <v>2272</v>
      </c>
      <c r="V2151" s="198" t="s">
        <v>2272</v>
      </c>
      <c r="W2151" s="198" t="s">
        <v>2272</v>
      </c>
      <c r="X2151" s="198" t="s">
        <v>2272</v>
      </c>
      <c r="Y2151" s="198" t="s">
        <v>2272</v>
      </c>
      <c r="Z2151" s="198" t="s">
        <v>2272</v>
      </c>
      <c r="AA2151" s="198" t="s">
        <v>2272</v>
      </c>
      <c r="AB2151" s="198" t="s">
        <v>2272</v>
      </c>
      <c r="AC2151" s="4" t="s">
        <v>2272</v>
      </c>
      <c r="AD2151" s="4"/>
      <c r="AE2151" s="4"/>
    </row>
    <row r="2152" spans="1:31" s="199" customFormat="1" ht="36.5" customHeight="1">
      <c r="A2152" s="4" t="s">
        <v>6141</v>
      </c>
      <c r="B2152" s="4" t="s">
        <v>6186</v>
      </c>
      <c r="C2152" s="4" t="s">
        <v>23</v>
      </c>
      <c r="D2152" s="4" t="s">
        <v>1238</v>
      </c>
      <c r="E2152" s="4" t="s">
        <v>135</v>
      </c>
      <c r="F2152" s="4" t="s">
        <v>73</v>
      </c>
      <c r="G2152" s="4" t="s">
        <v>73</v>
      </c>
      <c r="H2152" s="4" t="s">
        <v>521</v>
      </c>
      <c r="I2152" s="4"/>
      <c r="J2152" s="4" t="s">
        <v>2272</v>
      </c>
      <c r="K2152" s="4" t="s">
        <v>2272</v>
      </c>
      <c r="L2152" s="4" t="s">
        <v>2272</v>
      </c>
      <c r="M2152" s="4" t="s">
        <v>2272</v>
      </c>
      <c r="N2152" s="4" t="s">
        <v>2272</v>
      </c>
      <c r="O2152" s="4" t="s">
        <v>2272</v>
      </c>
      <c r="P2152" s="4" t="s">
        <v>2272</v>
      </c>
      <c r="Q2152" s="4" t="s">
        <v>2272</v>
      </c>
      <c r="R2152" s="4" t="s">
        <v>2272</v>
      </c>
      <c r="S2152" s="4" t="s">
        <v>2272</v>
      </c>
      <c r="T2152" s="4" t="s">
        <v>2272</v>
      </c>
      <c r="U2152" s="4" t="s">
        <v>2272</v>
      </c>
      <c r="V2152" s="4" t="s">
        <v>2272</v>
      </c>
      <c r="W2152" s="4" t="s">
        <v>2272</v>
      </c>
      <c r="X2152" s="4" t="s">
        <v>2272</v>
      </c>
      <c r="Y2152" s="4" t="s">
        <v>2272</v>
      </c>
      <c r="Z2152" s="4" t="s">
        <v>2272</v>
      </c>
      <c r="AA2152" s="198" t="s">
        <v>2272</v>
      </c>
      <c r="AB2152" s="198" t="s">
        <v>2272</v>
      </c>
      <c r="AC2152" s="4" t="s">
        <v>2272</v>
      </c>
      <c r="AD2152" s="4"/>
      <c r="AE2152" s="4"/>
    </row>
    <row r="2153" spans="1:31" s="199" customFormat="1" ht="36.5" customHeight="1">
      <c r="A2153" s="4" t="s">
        <v>6142</v>
      </c>
      <c r="B2153" s="4" t="s">
        <v>6187</v>
      </c>
      <c r="C2153" s="198" t="s">
        <v>30</v>
      </c>
      <c r="D2153" s="4" t="s">
        <v>29</v>
      </c>
      <c r="E2153" s="4" t="s">
        <v>2648</v>
      </c>
      <c r="F2153" s="4" t="s">
        <v>2272</v>
      </c>
      <c r="G2153" s="4" t="s">
        <v>73</v>
      </c>
      <c r="H2153" s="4" t="s">
        <v>521</v>
      </c>
      <c r="I2153" s="4"/>
      <c r="J2153" s="4" t="s">
        <v>2272</v>
      </c>
      <c r="K2153" s="4" t="s">
        <v>2272</v>
      </c>
      <c r="L2153" s="4" t="s">
        <v>2272</v>
      </c>
      <c r="M2153" s="4" t="s">
        <v>2272</v>
      </c>
      <c r="N2153" s="4" t="s">
        <v>2272</v>
      </c>
      <c r="O2153" s="4" t="s">
        <v>2272</v>
      </c>
      <c r="P2153" s="4" t="s">
        <v>2272</v>
      </c>
      <c r="Q2153" s="4" t="s">
        <v>2272</v>
      </c>
      <c r="R2153" s="4" t="s">
        <v>2272</v>
      </c>
      <c r="S2153" s="4" t="s">
        <v>2272</v>
      </c>
      <c r="T2153" s="4" t="s">
        <v>2272</v>
      </c>
      <c r="U2153" s="4" t="s">
        <v>2272</v>
      </c>
      <c r="V2153" s="4" t="s">
        <v>2272</v>
      </c>
      <c r="W2153" s="4" t="s">
        <v>2272</v>
      </c>
      <c r="X2153" s="4" t="s">
        <v>2272</v>
      </c>
      <c r="Y2153" s="4" t="s">
        <v>2272</v>
      </c>
      <c r="Z2153" s="4" t="s">
        <v>2272</v>
      </c>
      <c r="AA2153" s="4" t="s">
        <v>67</v>
      </c>
      <c r="AB2153" s="198" t="s">
        <v>34</v>
      </c>
      <c r="AC2153" s="4" t="s">
        <v>2272</v>
      </c>
      <c r="AD2153" s="4" t="s">
        <v>6182</v>
      </c>
      <c r="AE2153" s="4"/>
    </row>
    <row r="2154" spans="1:31" s="199" customFormat="1" ht="36.5" customHeight="1">
      <c r="A2154" s="4" t="s">
        <v>6142</v>
      </c>
      <c r="B2154" s="4" t="s">
        <v>6188</v>
      </c>
      <c r="C2154" s="198" t="s">
        <v>30</v>
      </c>
      <c r="D2154" s="4" t="s">
        <v>2272</v>
      </c>
      <c r="E2154" s="4" t="s">
        <v>2647</v>
      </c>
      <c r="F2154" s="4" t="s">
        <v>2272</v>
      </c>
      <c r="G2154" s="4" t="s">
        <v>73</v>
      </c>
      <c r="H2154" s="4" t="s">
        <v>521</v>
      </c>
      <c r="I2154" s="4"/>
      <c r="J2154" s="4" t="s">
        <v>2272</v>
      </c>
      <c r="K2154" s="4" t="s">
        <v>2272</v>
      </c>
      <c r="L2154" s="4" t="s">
        <v>2272</v>
      </c>
      <c r="M2154" s="4" t="s">
        <v>2272</v>
      </c>
      <c r="N2154" s="4" t="s">
        <v>2272</v>
      </c>
      <c r="O2154" s="4" t="s">
        <v>2272</v>
      </c>
      <c r="P2154" s="4" t="s">
        <v>2272</v>
      </c>
      <c r="Q2154" s="4" t="s">
        <v>2272</v>
      </c>
      <c r="R2154" s="4" t="s">
        <v>2272</v>
      </c>
      <c r="S2154" s="4" t="s">
        <v>2272</v>
      </c>
      <c r="T2154" s="4" t="s">
        <v>2272</v>
      </c>
      <c r="U2154" s="4" t="s">
        <v>2272</v>
      </c>
      <c r="V2154" s="4" t="s">
        <v>2272</v>
      </c>
      <c r="W2154" s="4" t="s">
        <v>2272</v>
      </c>
      <c r="X2154" s="4" t="s">
        <v>2272</v>
      </c>
      <c r="Y2154" s="4" t="s">
        <v>2272</v>
      </c>
      <c r="Z2154" s="4" t="s">
        <v>2272</v>
      </c>
      <c r="AA2154" s="4" t="s">
        <v>67</v>
      </c>
      <c r="AB2154" s="198" t="s">
        <v>67</v>
      </c>
      <c r="AC2154" s="4" t="s">
        <v>2272</v>
      </c>
      <c r="AD2154" s="4" t="s">
        <v>6182</v>
      </c>
      <c r="AE2154" s="4"/>
    </row>
    <row r="2155" spans="1:31" s="199" customFormat="1" ht="36.5" customHeight="1">
      <c r="A2155" s="4" t="s">
        <v>6142</v>
      </c>
      <c r="B2155" s="4" t="s">
        <v>6189</v>
      </c>
      <c r="C2155" s="4" t="s">
        <v>23</v>
      </c>
      <c r="D2155" s="4" t="s">
        <v>1238</v>
      </c>
      <c r="E2155" s="4" t="s">
        <v>135</v>
      </c>
      <c r="F2155" s="4" t="s">
        <v>73</v>
      </c>
      <c r="G2155" s="4" t="s">
        <v>73</v>
      </c>
      <c r="H2155" s="4" t="s">
        <v>521</v>
      </c>
      <c r="I2155" s="4"/>
      <c r="J2155" s="4" t="s">
        <v>2272</v>
      </c>
      <c r="K2155" s="4" t="s">
        <v>2272</v>
      </c>
      <c r="L2155" s="4" t="s">
        <v>2272</v>
      </c>
      <c r="M2155" s="4" t="s">
        <v>2272</v>
      </c>
      <c r="N2155" s="4" t="s">
        <v>2272</v>
      </c>
      <c r="O2155" s="4" t="s">
        <v>2272</v>
      </c>
      <c r="P2155" s="4" t="s">
        <v>2272</v>
      </c>
      <c r="Q2155" s="4" t="s">
        <v>2272</v>
      </c>
      <c r="R2155" s="4" t="s">
        <v>2272</v>
      </c>
      <c r="S2155" s="4" t="s">
        <v>2272</v>
      </c>
      <c r="T2155" s="4" t="s">
        <v>2272</v>
      </c>
      <c r="U2155" s="4" t="s">
        <v>2272</v>
      </c>
      <c r="V2155" s="4" t="s">
        <v>2272</v>
      </c>
      <c r="W2155" s="4" t="s">
        <v>2272</v>
      </c>
      <c r="X2155" s="4" t="s">
        <v>2272</v>
      </c>
      <c r="Y2155" s="4" t="s">
        <v>2272</v>
      </c>
      <c r="Z2155" s="4" t="s">
        <v>2272</v>
      </c>
      <c r="AA2155" s="4" t="s">
        <v>2272</v>
      </c>
      <c r="AB2155" s="4" t="s">
        <v>2272</v>
      </c>
      <c r="AC2155" s="4" t="s">
        <v>2272</v>
      </c>
      <c r="AD2155" s="4"/>
      <c r="AE2155" s="4"/>
    </row>
    <row r="2156" spans="1:31" s="199" customFormat="1" ht="36.5" customHeight="1">
      <c r="A2156" s="4" t="s">
        <v>6142</v>
      </c>
      <c r="B2156" s="4" t="s">
        <v>6190</v>
      </c>
      <c r="C2156" s="4" t="s">
        <v>23</v>
      </c>
      <c r="D2156" s="4" t="s">
        <v>1238</v>
      </c>
      <c r="E2156" s="4" t="s">
        <v>2644</v>
      </c>
      <c r="F2156" s="4" t="s">
        <v>73</v>
      </c>
      <c r="G2156" s="4" t="s">
        <v>73</v>
      </c>
      <c r="H2156" s="4" t="s">
        <v>521</v>
      </c>
      <c r="I2156" s="4"/>
      <c r="J2156" s="4" t="s">
        <v>2272</v>
      </c>
      <c r="K2156" s="4" t="s">
        <v>2272</v>
      </c>
      <c r="L2156" s="4" t="s">
        <v>2272</v>
      </c>
      <c r="M2156" s="4" t="s">
        <v>2272</v>
      </c>
      <c r="N2156" s="4" t="s">
        <v>2272</v>
      </c>
      <c r="O2156" s="4" t="s">
        <v>2272</v>
      </c>
      <c r="P2156" s="4" t="s">
        <v>2272</v>
      </c>
      <c r="Q2156" s="4" t="s">
        <v>2272</v>
      </c>
      <c r="R2156" s="4" t="s">
        <v>2272</v>
      </c>
      <c r="S2156" s="4" t="s">
        <v>2272</v>
      </c>
      <c r="T2156" s="4" t="s">
        <v>2272</v>
      </c>
      <c r="U2156" s="4" t="s">
        <v>2272</v>
      </c>
      <c r="V2156" s="4" t="s">
        <v>2272</v>
      </c>
      <c r="W2156" s="4" t="s">
        <v>2272</v>
      </c>
      <c r="X2156" s="4" t="s">
        <v>2272</v>
      </c>
      <c r="Y2156" s="4" t="s">
        <v>2272</v>
      </c>
      <c r="Z2156" s="4" t="s">
        <v>2272</v>
      </c>
      <c r="AA2156" s="4" t="s">
        <v>2272</v>
      </c>
      <c r="AB2156" s="4" t="s">
        <v>2272</v>
      </c>
      <c r="AC2156" s="4" t="s">
        <v>2272</v>
      </c>
      <c r="AD2156" s="4"/>
      <c r="AE2156" s="4"/>
    </row>
    <row r="2157" spans="1:31" s="199" customFormat="1" ht="36.5" customHeight="1">
      <c r="A2157" s="4" t="s">
        <v>6629</v>
      </c>
      <c r="B2157" s="4" t="s">
        <v>6636</v>
      </c>
      <c r="C2157" s="4" t="s">
        <v>23</v>
      </c>
      <c r="D2157" s="4" t="s">
        <v>1238</v>
      </c>
      <c r="E2157" s="4" t="s">
        <v>135</v>
      </c>
      <c r="F2157" s="4" t="s">
        <v>73</v>
      </c>
      <c r="G2157" s="4" t="s">
        <v>73</v>
      </c>
      <c r="H2157" s="4" t="s">
        <v>521</v>
      </c>
      <c r="I2157" s="4"/>
      <c r="J2157" s="4" t="s">
        <v>2272</v>
      </c>
      <c r="K2157" s="4" t="s">
        <v>2272</v>
      </c>
      <c r="L2157" s="4" t="s">
        <v>2272</v>
      </c>
      <c r="M2157" s="4" t="s">
        <v>2272</v>
      </c>
      <c r="N2157" s="4" t="s">
        <v>2272</v>
      </c>
      <c r="O2157" s="4" t="s">
        <v>2272</v>
      </c>
      <c r="P2157" s="4" t="s">
        <v>2272</v>
      </c>
      <c r="Q2157" s="4" t="s">
        <v>2272</v>
      </c>
      <c r="R2157" s="4" t="s">
        <v>2272</v>
      </c>
      <c r="S2157" s="4" t="s">
        <v>2272</v>
      </c>
      <c r="T2157" s="4" t="s">
        <v>2272</v>
      </c>
      <c r="U2157" s="4" t="s">
        <v>2272</v>
      </c>
      <c r="V2157" s="4" t="s">
        <v>2272</v>
      </c>
      <c r="W2157" s="4" t="s">
        <v>2272</v>
      </c>
      <c r="X2157" s="4" t="s">
        <v>2272</v>
      </c>
      <c r="Y2157" s="69">
        <f>100*(125000/1000000)/58</f>
        <v>0.21551724137931033</v>
      </c>
      <c r="Z2157" s="4" t="s">
        <v>2272</v>
      </c>
      <c r="AA2157" s="4" t="s">
        <v>2272</v>
      </c>
      <c r="AB2157" s="4" t="s">
        <v>2272</v>
      </c>
      <c r="AC2157" s="4" t="s">
        <v>2272</v>
      </c>
      <c r="AD2157" s="4"/>
      <c r="AE2157" s="4"/>
    </row>
    <row r="2158" spans="1:31" s="199" customFormat="1" ht="36.5" customHeight="1">
      <c r="A2158" s="4" t="s">
        <v>6629</v>
      </c>
      <c r="B2158" s="4" t="s">
        <v>6637</v>
      </c>
      <c r="C2158" s="4" t="s">
        <v>23</v>
      </c>
      <c r="D2158" s="4" t="s">
        <v>1238</v>
      </c>
      <c r="E2158" s="4" t="s">
        <v>2644</v>
      </c>
      <c r="F2158" s="4" t="s">
        <v>73</v>
      </c>
      <c r="G2158" s="4" t="s">
        <v>73</v>
      </c>
      <c r="H2158" s="4" t="s">
        <v>521</v>
      </c>
      <c r="I2158" s="4"/>
      <c r="J2158" s="4" t="s">
        <v>2272</v>
      </c>
      <c r="K2158" s="4" t="s">
        <v>2272</v>
      </c>
      <c r="L2158" s="4" t="s">
        <v>2272</v>
      </c>
      <c r="M2158" s="4" t="s">
        <v>2272</v>
      </c>
      <c r="N2158" s="4" t="s">
        <v>2272</v>
      </c>
      <c r="O2158" s="4" t="s">
        <v>2272</v>
      </c>
      <c r="P2158" s="4" t="s">
        <v>2272</v>
      </c>
      <c r="Q2158" s="4" t="s">
        <v>2272</v>
      </c>
      <c r="R2158" s="4" t="s">
        <v>2272</v>
      </c>
      <c r="S2158" s="4" t="s">
        <v>2272</v>
      </c>
      <c r="T2158" s="4" t="s">
        <v>2272</v>
      </c>
      <c r="U2158" s="4" t="s">
        <v>2272</v>
      </c>
      <c r="V2158" s="4" t="s">
        <v>2272</v>
      </c>
      <c r="W2158" s="4" t="s">
        <v>2272</v>
      </c>
      <c r="X2158" s="4" t="s">
        <v>2272</v>
      </c>
      <c r="Y2158" s="69">
        <f>100*(20000/1000000)/50</f>
        <v>0.04</v>
      </c>
      <c r="Z2158" s="4" t="s">
        <v>2272</v>
      </c>
      <c r="AA2158" s="4" t="s">
        <v>2272</v>
      </c>
      <c r="AB2158" s="4" t="s">
        <v>2272</v>
      </c>
      <c r="AC2158" s="4" t="s">
        <v>2272</v>
      </c>
      <c r="AD2158" s="4"/>
      <c r="AE2158" s="4"/>
    </row>
    <row r="2159" spans="1:31" s="199" customFormat="1" ht="36.5" customHeight="1">
      <c r="A2159" s="4" t="s">
        <v>6630</v>
      </c>
      <c r="B2159" s="4" t="s">
        <v>6638</v>
      </c>
      <c r="C2159" s="4" t="s">
        <v>23</v>
      </c>
      <c r="D2159" s="4" t="s">
        <v>1238</v>
      </c>
      <c r="E2159" s="4" t="s">
        <v>135</v>
      </c>
      <c r="F2159" s="4" t="s">
        <v>73</v>
      </c>
      <c r="G2159" s="4" t="s">
        <v>73</v>
      </c>
      <c r="H2159" s="4" t="s">
        <v>521</v>
      </c>
      <c r="I2159" s="4"/>
      <c r="J2159" s="4" t="s">
        <v>2272</v>
      </c>
      <c r="K2159" s="4" t="s">
        <v>2272</v>
      </c>
      <c r="L2159" s="4" t="s">
        <v>2272</v>
      </c>
      <c r="M2159" s="4" t="s">
        <v>2272</v>
      </c>
      <c r="N2159" s="4" t="s">
        <v>2272</v>
      </c>
      <c r="O2159" s="4" t="s">
        <v>2272</v>
      </c>
      <c r="P2159" s="4" t="s">
        <v>2272</v>
      </c>
      <c r="Q2159" s="4" t="s">
        <v>2272</v>
      </c>
      <c r="R2159" s="4" t="s">
        <v>2272</v>
      </c>
      <c r="S2159" s="4" t="s">
        <v>2272</v>
      </c>
      <c r="T2159" s="4" t="s">
        <v>2272</v>
      </c>
      <c r="U2159" s="4" t="s">
        <v>2272</v>
      </c>
      <c r="V2159" s="4" t="s">
        <v>2272</v>
      </c>
      <c r="W2159" s="4" t="s">
        <v>2272</v>
      </c>
      <c r="X2159" s="4" t="s">
        <v>2272</v>
      </c>
      <c r="Y2159" s="21">
        <f>100*(90000/1000000)/58</f>
        <v>0.15517241379310345</v>
      </c>
      <c r="Z2159" s="4" t="s">
        <v>2272</v>
      </c>
      <c r="AA2159" s="4" t="s">
        <v>2272</v>
      </c>
      <c r="AB2159" s="4" t="s">
        <v>2272</v>
      </c>
      <c r="AC2159" s="4" t="s">
        <v>2272</v>
      </c>
      <c r="AD2159" s="4"/>
      <c r="AE2159" s="4"/>
    </row>
    <row r="2160" spans="1:31" s="199" customFormat="1" ht="36.5" customHeight="1">
      <c r="A2160" s="4" t="s">
        <v>6630</v>
      </c>
      <c r="B2160" s="4" t="s">
        <v>6639</v>
      </c>
      <c r="C2160" s="4" t="s">
        <v>23</v>
      </c>
      <c r="D2160" s="4" t="s">
        <v>1238</v>
      </c>
      <c r="E2160" s="4" t="s">
        <v>2644</v>
      </c>
      <c r="F2160" s="4" t="s">
        <v>73</v>
      </c>
      <c r="G2160" s="4" t="s">
        <v>73</v>
      </c>
      <c r="H2160" s="4" t="s">
        <v>521</v>
      </c>
      <c r="I2160" s="4"/>
      <c r="J2160" s="4" t="s">
        <v>2272</v>
      </c>
      <c r="K2160" s="4" t="s">
        <v>2272</v>
      </c>
      <c r="L2160" s="4" t="s">
        <v>2272</v>
      </c>
      <c r="M2160" s="4" t="s">
        <v>2272</v>
      </c>
      <c r="N2160" s="4" t="s">
        <v>2272</v>
      </c>
      <c r="O2160" s="4" t="s">
        <v>2272</v>
      </c>
      <c r="P2160" s="4" t="s">
        <v>2272</v>
      </c>
      <c r="Q2160" s="4" t="s">
        <v>2272</v>
      </c>
      <c r="R2160" s="4" t="s">
        <v>2272</v>
      </c>
      <c r="S2160" s="4" t="s">
        <v>2272</v>
      </c>
      <c r="T2160" s="4" t="s">
        <v>2272</v>
      </c>
      <c r="U2160" s="4" t="s">
        <v>2272</v>
      </c>
      <c r="V2160" s="4" t="s">
        <v>2272</v>
      </c>
      <c r="W2160" s="4" t="s">
        <v>2272</v>
      </c>
      <c r="X2160" s="4" t="s">
        <v>2272</v>
      </c>
      <c r="Y2160" s="69">
        <f>100*(15000/1000000)/50</f>
        <v>0.03</v>
      </c>
      <c r="Z2160" s="4" t="s">
        <v>2272</v>
      </c>
      <c r="AA2160" s="4" t="s">
        <v>2272</v>
      </c>
      <c r="AB2160" s="4" t="s">
        <v>2272</v>
      </c>
      <c r="AC2160" s="4" t="s">
        <v>2272</v>
      </c>
      <c r="AD2160" s="4"/>
      <c r="AE2160" s="4"/>
    </row>
    <row r="2161" spans="1:31" s="199" customFormat="1" ht="36.5" customHeight="1">
      <c r="A2161" s="4" t="s">
        <v>6631</v>
      </c>
      <c r="B2161" s="4" t="s">
        <v>6640</v>
      </c>
      <c r="C2161" s="4" t="s">
        <v>23</v>
      </c>
      <c r="D2161" s="4" t="s">
        <v>1238</v>
      </c>
      <c r="E2161" s="4" t="s">
        <v>135</v>
      </c>
      <c r="F2161" s="4" t="s">
        <v>73</v>
      </c>
      <c r="G2161" s="4" t="s">
        <v>73</v>
      </c>
      <c r="H2161" s="4" t="s">
        <v>521</v>
      </c>
      <c r="I2161" s="4"/>
      <c r="J2161" s="4" t="s">
        <v>2272</v>
      </c>
      <c r="K2161" s="4" t="s">
        <v>2272</v>
      </c>
      <c r="L2161" s="4" t="s">
        <v>2272</v>
      </c>
      <c r="M2161" s="4" t="s">
        <v>2272</v>
      </c>
      <c r="N2161" s="4" t="s">
        <v>2272</v>
      </c>
      <c r="O2161" s="4" t="s">
        <v>2272</v>
      </c>
      <c r="P2161" s="4" t="s">
        <v>2272</v>
      </c>
      <c r="Q2161" s="4" t="s">
        <v>2272</v>
      </c>
      <c r="R2161" s="4" t="s">
        <v>2272</v>
      </c>
      <c r="S2161" s="4" t="s">
        <v>2272</v>
      </c>
      <c r="T2161" s="4" t="s">
        <v>2272</v>
      </c>
      <c r="U2161" s="4" t="s">
        <v>2272</v>
      </c>
      <c r="V2161" s="4" t="s">
        <v>2272</v>
      </c>
      <c r="W2161" s="4" t="s">
        <v>2272</v>
      </c>
      <c r="X2161" s="4" t="s">
        <v>2272</v>
      </c>
      <c r="Y2161" s="21">
        <f>100*(100000/1000000)/58</f>
        <v>0.17241379310344829</v>
      </c>
      <c r="Z2161" s="4" t="s">
        <v>2272</v>
      </c>
      <c r="AA2161" s="4" t="s">
        <v>2272</v>
      </c>
      <c r="AB2161" s="4" t="s">
        <v>2272</v>
      </c>
      <c r="AC2161" s="4" t="s">
        <v>2272</v>
      </c>
      <c r="AD2161" s="4"/>
      <c r="AE2161" s="4"/>
    </row>
    <row r="2162" spans="1:31" s="199" customFormat="1" ht="36.5" customHeight="1">
      <c r="A2162" s="4" t="s">
        <v>6631</v>
      </c>
      <c r="B2162" s="4" t="s">
        <v>6641</v>
      </c>
      <c r="C2162" s="4" t="s">
        <v>23</v>
      </c>
      <c r="D2162" s="4" t="s">
        <v>1238</v>
      </c>
      <c r="E2162" s="4" t="s">
        <v>2644</v>
      </c>
      <c r="F2162" s="4" t="s">
        <v>73</v>
      </c>
      <c r="G2162" s="4" t="s">
        <v>73</v>
      </c>
      <c r="H2162" s="4" t="s">
        <v>521</v>
      </c>
      <c r="I2162" s="4"/>
      <c r="J2162" s="4" t="s">
        <v>2272</v>
      </c>
      <c r="K2162" s="4" t="s">
        <v>2272</v>
      </c>
      <c r="L2162" s="4" t="s">
        <v>2272</v>
      </c>
      <c r="M2162" s="4" t="s">
        <v>2272</v>
      </c>
      <c r="N2162" s="4" t="s">
        <v>2272</v>
      </c>
      <c r="O2162" s="4" t="s">
        <v>2272</v>
      </c>
      <c r="P2162" s="4" t="s">
        <v>2272</v>
      </c>
      <c r="Q2162" s="4" t="s">
        <v>2272</v>
      </c>
      <c r="R2162" s="4" t="s">
        <v>2272</v>
      </c>
      <c r="S2162" s="4" t="s">
        <v>2272</v>
      </c>
      <c r="T2162" s="4" t="s">
        <v>2272</v>
      </c>
      <c r="U2162" s="4" t="s">
        <v>2272</v>
      </c>
      <c r="V2162" s="4" t="s">
        <v>2272</v>
      </c>
      <c r="W2162" s="4" t="s">
        <v>2272</v>
      </c>
      <c r="X2162" s="4" t="s">
        <v>2272</v>
      </c>
      <c r="Y2162" s="69">
        <f>100*(30000/1000000)/50</f>
        <v>0.06</v>
      </c>
      <c r="Z2162" s="4" t="s">
        <v>2272</v>
      </c>
      <c r="AA2162" s="4" t="s">
        <v>2272</v>
      </c>
      <c r="AB2162" s="4" t="s">
        <v>2272</v>
      </c>
      <c r="AC2162" s="4" t="s">
        <v>2272</v>
      </c>
      <c r="AD2162" s="4"/>
      <c r="AE2162" s="4"/>
    </row>
    <row r="2163" spans="1:31" s="199" customFormat="1" ht="36.5" customHeight="1">
      <c r="A2163" s="4" t="s">
        <v>6143</v>
      </c>
      <c r="B2163" s="4" t="s">
        <v>6191</v>
      </c>
      <c r="C2163" s="198" t="s">
        <v>2653</v>
      </c>
      <c r="D2163" s="198" t="s">
        <v>2272</v>
      </c>
      <c r="E2163" s="198" t="s">
        <v>2272</v>
      </c>
      <c r="F2163" s="4" t="s">
        <v>2272</v>
      </c>
      <c r="G2163" s="4" t="s">
        <v>2657</v>
      </c>
      <c r="H2163" s="4" t="s">
        <v>521</v>
      </c>
      <c r="I2163" s="198">
        <v>2007</v>
      </c>
      <c r="J2163" s="21">
        <f>2812/'Record info'!$K$932/('Land use'!$R$932/100)</f>
        <v>0.23700198756339655</v>
      </c>
      <c r="K2163" s="21">
        <f>2812/'Record info'!$K$932</f>
        <v>0.13049329435240614</v>
      </c>
      <c r="L2163" s="4" t="s">
        <v>2272</v>
      </c>
      <c r="M2163" s="4" t="s">
        <v>2272</v>
      </c>
      <c r="N2163" s="4" t="s">
        <v>2272</v>
      </c>
      <c r="O2163" s="4" t="s">
        <v>2272</v>
      </c>
      <c r="P2163" s="4" t="s">
        <v>2272</v>
      </c>
      <c r="Q2163" s="21">
        <f>U2163/2812</f>
        <v>67.86486486486487</v>
      </c>
      <c r="R2163" s="4" t="s">
        <v>2272</v>
      </c>
      <c r="S2163" s="4" t="s">
        <v>2272</v>
      </c>
      <c r="T2163" s="4" t="s">
        <v>2272</v>
      </c>
      <c r="U2163" s="71">
        <f>190836</f>
        <v>190836</v>
      </c>
      <c r="V2163" s="4" t="s">
        <v>2272</v>
      </c>
      <c r="W2163" s="4" t="s">
        <v>2272</v>
      </c>
      <c r="X2163" s="4" t="s">
        <v>2272</v>
      </c>
      <c r="Y2163" s="71">
        <f>190836/'Record info'!$K$932</f>
        <v>8.855909786997076</v>
      </c>
      <c r="Z2163" s="4" t="s">
        <v>2272</v>
      </c>
      <c r="AA2163" s="4" t="s">
        <v>402</v>
      </c>
      <c r="AB2163" s="4" t="s">
        <v>403</v>
      </c>
      <c r="AC2163" s="4" t="s">
        <v>2272</v>
      </c>
      <c r="AD2163" s="4" t="s">
        <v>11575</v>
      </c>
      <c r="AE2163" s="4" t="s">
        <v>6654</v>
      </c>
    </row>
    <row r="2164" spans="1:31" s="199" customFormat="1" ht="36.5" customHeight="1">
      <c r="A2164" s="4" t="s">
        <v>6143</v>
      </c>
      <c r="B2164" s="4" t="s">
        <v>6647</v>
      </c>
      <c r="C2164" s="198" t="s">
        <v>2653</v>
      </c>
      <c r="D2164" s="198" t="s">
        <v>2272</v>
      </c>
      <c r="E2164" s="198" t="s">
        <v>2272</v>
      </c>
      <c r="F2164" s="4" t="s">
        <v>2272</v>
      </c>
      <c r="G2164" s="4" t="s">
        <v>2657</v>
      </c>
      <c r="H2164" s="4" t="s">
        <v>521</v>
      </c>
      <c r="I2164" s="198">
        <v>2000</v>
      </c>
      <c r="J2164" s="21">
        <f>(15151/7)/'Record info'!$K$932/('Land use'!$R$932/100)</f>
        <v>0.18242314131137075</v>
      </c>
      <c r="K2164" s="21">
        <f>(15151/7)/'Record info'!$K$932</f>
        <v>0.10044218160604072</v>
      </c>
      <c r="L2164" s="4" t="s">
        <v>2272</v>
      </c>
      <c r="M2164" s="4" t="s">
        <v>2272</v>
      </c>
      <c r="N2164" s="4" t="s">
        <v>2272</v>
      </c>
      <c r="O2164" s="4" t="s">
        <v>2272</v>
      </c>
      <c r="P2164" s="4" t="s">
        <v>2272</v>
      </c>
      <c r="Q2164" s="4" t="s">
        <v>2272</v>
      </c>
      <c r="R2164" s="4" t="s">
        <v>2272</v>
      </c>
      <c r="S2164" s="4" t="s">
        <v>2272</v>
      </c>
      <c r="T2164" s="4" t="s">
        <v>2272</v>
      </c>
      <c r="U2164" s="71">
        <f>41366</f>
        <v>41366</v>
      </c>
      <c r="V2164" s="4" t="s">
        <v>2272</v>
      </c>
      <c r="W2164" s="4" t="s">
        <v>2272</v>
      </c>
      <c r="X2164" s="4" t="s">
        <v>2272</v>
      </c>
      <c r="Y2164" s="71">
        <f>41366/'Record info'!$K$932</f>
        <v>1.9196250406051325</v>
      </c>
      <c r="Z2164" s="4" t="s">
        <v>2272</v>
      </c>
      <c r="AA2164" s="4" t="s">
        <v>402</v>
      </c>
      <c r="AB2164" s="4" t="s">
        <v>403</v>
      </c>
      <c r="AC2164" s="4" t="s">
        <v>2272</v>
      </c>
      <c r="AD2164" s="4" t="s">
        <v>11575</v>
      </c>
      <c r="AE2164" s="4" t="s">
        <v>6654</v>
      </c>
    </row>
    <row r="2165" spans="1:31" s="199" customFormat="1" ht="36.5" customHeight="1">
      <c r="A2165" s="4" t="s">
        <v>6143</v>
      </c>
      <c r="B2165" s="4" t="s">
        <v>6648</v>
      </c>
      <c r="C2165" s="198" t="s">
        <v>2653</v>
      </c>
      <c r="D2165" s="198" t="s">
        <v>2272</v>
      </c>
      <c r="E2165" s="198" t="s">
        <v>2272</v>
      </c>
      <c r="F2165" s="4" t="s">
        <v>2272</v>
      </c>
      <c r="G2165" s="4" t="s">
        <v>2657</v>
      </c>
      <c r="H2165" s="4" t="s">
        <v>521</v>
      </c>
      <c r="I2165" s="198">
        <v>2001</v>
      </c>
      <c r="J2165" s="21">
        <f>15151/7/'Record info'!$K$932/('Land use'!$R$932/100)</f>
        <v>0.18242314131137075</v>
      </c>
      <c r="K2165" s="21">
        <f>(15151/7)/'Record info'!$K$932</f>
        <v>0.10044218160604072</v>
      </c>
      <c r="L2165" s="4" t="s">
        <v>2272</v>
      </c>
      <c r="M2165" s="4" t="s">
        <v>2272</v>
      </c>
      <c r="N2165" s="4" t="s">
        <v>2272</v>
      </c>
      <c r="O2165" s="4" t="s">
        <v>2272</v>
      </c>
      <c r="P2165" s="4" t="s">
        <v>2272</v>
      </c>
      <c r="Q2165" s="4" t="s">
        <v>2272</v>
      </c>
      <c r="R2165" s="4" t="s">
        <v>2272</v>
      </c>
      <c r="S2165" s="4" t="s">
        <v>2272</v>
      </c>
      <c r="T2165" s="4" t="s">
        <v>2272</v>
      </c>
      <c r="U2165" s="71">
        <f t="shared" ref="U2165:U2170" si="0">(53950-41366)/6</f>
        <v>2097.3333333333335</v>
      </c>
      <c r="V2165" s="4" t="s">
        <v>2272</v>
      </c>
      <c r="W2165" s="4" t="s">
        <v>2272</v>
      </c>
      <c r="X2165" s="4" t="s">
        <v>2272</v>
      </c>
      <c r="Y2165" s="71">
        <f>13878/'Record info'!$K$932</f>
        <v>0.64402060420437146</v>
      </c>
      <c r="Z2165" s="4" t="s">
        <v>2272</v>
      </c>
      <c r="AA2165" s="4" t="s">
        <v>402</v>
      </c>
      <c r="AB2165" s="4" t="s">
        <v>403</v>
      </c>
      <c r="AC2165" s="4" t="s">
        <v>2272</v>
      </c>
      <c r="AD2165" s="4" t="s">
        <v>11575</v>
      </c>
      <c r="AE2165" s="4"/>
    </row>
    <row r="2166" spans="1:31" s="199" customFormat="1" ht="36.5" customHeight="1">
      <c r="A2166" s="4" t="s">
        <v>6143</v>
      </c>
      <c r="B2166" s="4" t="s">
        <v>6649</v>
      </c>
      <c r="C2166" s="198" t="s">
        <v>2653</v>
      </c>
      <c r="D2166" s="198" t="s">
        <v>2272</v>
      </c>
      <c r="E2166" s="198" t="s">
        <v>2272</v>
      </c>
      <c r="F2166" s="4" t="s">
        <v>2272</v>
      </c>
      <c r="G2166" s="4" t="s">
        <v>2657</v>
      </c>
      <c r="H2166" s="4" t="s">
        <v>521</v>
      </c>
      <c r="I2166" s="198">
        <v>2002</v>
      </c>
      <c r="J2166" s="21">
        <f>15151/7/'Record info'!$K$932/('Land use'!$R$932/100)</f>
        <v>0.18242314131137075</v>
      </c>
      <c r="K2166" s="21">
        <f>(15151/7)/'Record info'!$K$932</f>
        <v>0.10044218160604072</v>
      </c>
      <c r="L2166" s="4" t="s">
        <v>2272</v>
      </c>
      <c r="M2166" s="4" t="s">
        <v>2272</v>
      </c>
      <c r="N2166" s="4" t="s">
        <v>2272</v>
      </c>
      <c r="O2166" s="4" t="s">
        <v>2272</v>
      </c>
      <c r="P2166" s="4" t="s">
        <v>2272</v>
      </c>
      <c r="Q2166" s="4" t="s">
        <v>2272</v>
      </c>
      <c r="R2166" s="4" t="s">
        <v>2272</v>
      </c>
      <c r="S2166" s="4" t="s">
        <v>2272</v>
      </c>
      <c r="T2166" s="4" t="s">
        <v>2272</v>
      </c>
      <c r="U2166" s="71">
        <f t="shared" si="0"/>
        <v>2097.3333333333335</v>
      </c>
      <c r="V2166" s="4" t="s">
        <v>2272</v>
      </c>
      <c r="W2166" s="4" t="s">
        <v>2272</v>
      </c>
      <c r="X2166" s="4" t="s">
        <v>2272</v>
      </c>
      <c r="Y2166" s="71">
        <f>13878/'Record info'!$K$932</f>
        <v>0.64402060420437146</v>
      </c>
      <c r="Z2166" s="4" t="s">
        <v>2272</v>
      </c>
      <c r="AA2166" s="4" t="s">
        <v>402</v>
      </c>
      <c r="AB2166" s="4" t="s">
        <v>403</v>
      </c>
      <c r="AC2166" s="4" t="s">
        <v>2272</v>
      </c>
      <c r="AD2166" s="4" t="s">
        <v>11575</v>
      </c>
      <c r="AE2166" s="4"/>
    </row>
    <row r="2167" spans="1:31" s="199" customFormat="1" ht="36.5" customHeight="1">
      <c r="A2167" s="4" t="s">
        <v>6143</v>
      </c>
      <c r="B2167" s="4" t="s">
        <v>6650</v>
      </c>
      <c r="C2167" s="198" t="s">
        <v>2653</v>
      </c>
      <c r="D2167" s="198" t="s">
        <v>2272</v>
      </c>
      <c r="E2167" s="198" t="s">
        <v>2272</v>
      </c>
      <c r="F2167" s="4" t="s">
        <v>2272</v>
      </c>
      <c r="G2167" s="4" t="s">
        <v>2657</v>
      </c>
      <c r="H2167" s="4" t="s">
        <v>521</v>
      </c>
      <c r="I2167" s="198">
        <v>2003</v>
      </c>
      <c r="J2167" s="21">
        <f>15151/7/'Record info'!$K$932/('Land use'!$R$932/100)</f>
        <v>0.18242314131137075</v>
      </c>
      <c r="K2167" s="21">
        <f>(15151/7)/'Record info'!$K$932</f>
        <v>0.10044218160604072</v>
      </c>
      <c r="L2167" s="4" t="s">
        <v>2272</v>
      </c>
      <c r="M2167" s="4" t="s">
        <v>2272</v>
      </c>
      <c r="N2167" s="4" t="s">
        <v>2272</v>
      </c>
      <c r="O2167" s="4" t="s">
        <v>2272</v>
      </c>
      <c r="P2167" s="4" t="s">
        <v>2272</v>
      </c>
      <c r="Q2167" s="4" t="s">
        <v>2272</v>
      </c>
      <c r="R2167" s="4" t="s">
        <v>2272</v>
      </c>
      <c r="S2167" s="4" t="s">
        <v>2272</v>
      </c>
      <c r="T2167" s="4" t="s">
        <v>2272</v>
      </c>
      <c r="U2167" s="71">
        <f t="shared" si="0"/>
        <v>2097.3333333333335</v>
      </c>
      <c r="V2167" s="4" t="s">
        <v>2272</v>
      </c>
      <c r="W2167" s="4" t="s">
        <v>2272</v>
      </c>
      <c r="X2167" s="4" t="s">
        <v>2272</v>
      </c>
      <c r="Y2167" s="71">
        <f>13878/'Record info'!$K$932</f>
        <v>0.64402060420437146</v>
      </c>
      <c r="Z2167" s="4" t="s">
        <v>2272</v>
      </c>
      <c r="AA2167" s="4" t="s">
        <v>402</v>
      </c>
      <c r="AB2167" s="4" t="s">
        <v>403</v>
      </c>
      <c r="AC2167" s="4" t="s">
        <v>2272</v>
      </c>
      <c r="AD2167" s="4" t="s">
        <v>11575</v>
      </c>
      <c r="AE2167" s="4"/>
    </row>
    <row r="2168" spans="1:31" s="199" customFormat="1" ht="36.5" customHeight="1">
      <c r="A2168" s="4" t="s">
        <v>6143</v>
      </c>
      <c r="B2168" s="4" t="s">
        <v>6651</v>
      </c>
      <c r="C2168" s="198" t="s">
        <v>2653</v>
      </c>
      <c r="D2168" s="198" t="s">
        <v>2272</v>
      </c>
      <c r="E2168" s="198" t="s">
        <v>2272</v>
      </c>
      <c r="F2168" s="4" t="s">
        <v>2272</v>
      </c>
      <c r="G2168" s="4" t="s">
        <v>2657</v>
      </c>
      <c r="H2168" s="4" t="s">
        <v>521</v>
      </c>
      <c r="I2168" s="198">
        <v>2004</v>
      </c>
      <c r="J2168" s="21">
        <f>15151/7/'Record info'!$K$932/('Land use'!$R$932/100)</f>
        <v>0.18242314131137075</v>
      </c>
      <c r="K2168" s="21">
        <f>(15151/7)/'Record info'!$K$932</f>
        <v>0.10044218160604072</v>
      </c>
      <c r="L2168" s="4" t="s">
        <v>2272</v>
      </c>
      <c r="M2168" s="4" t="s">
        <v>2272</v>
      </c>
      <c r="N2168" s="4" t="s">
        <v>2272</v>
      </c>
      <c r="O2168" s="4" t="s">
        <v>2272</v>
      </c>
      <c r="P2168" s="4" t="s">
        <v>2272</v>
      </c>
      <c r="Q2168" s="4" t="s">
        <v>2272</v>
      </c>
      <c r="R2168" s="4" t="s">
        <v>2272</v>
      </c>
      <c r="S2168" s="4" t="s">
        <v>2272</v>
      </c>
      <c r="T2168" s="4" t="s">
        <v>2272</v>
      </c>
      <c r="U2168" s="71">
        <f t="shared" si="0"/>
        <v>2097.3333333333335</v>
      </c>
      <c r="V2168" s="4" t="s">
        <v>2272</v>
      </c>
      <c r="W2168" s="4" t="s">
        <v>2272</v>
      </c>
      <c r="X2168" s="4" t="s">
        <v>2272</v>
      </c>
      <c r="Y2168" s="71">
        <f>13878/'Record info'!$K$932</f>
        <v>0.64402060420437146</v>
      </c>
      <c r="Z2168" s="4" t="s">
        <v>2272</v>
      </c>
      <c r="AA2168" s="4" t="s">
        <v>402</v>
      </c>
      <c r="AB2168" s="4" t="s">
        <v>403</v>
      </c>
      <c r="AC2168" s="4" t="s">
        <v>2272</v>
      </c>
      <c r="AD2168" s="4" t="s">
        <v>11575</v>
      </c>
      <c r="AE2168" s="4"/>
    </row>
    <row r="2169" spans="1:31" s="199" customFormat="1" ht="36.5" customHeight="1">
      <c r="A2169" s="4" t="s">
        <v>6143</v>
      </c>
      <c r="B2169" s="4" t="s">
        <v>6652</v>
      </c>
      <c r="C2169" s="198" t="s">
        <v>2653</v>
      </c>
      <c r="D2169" s="198" t="s">
        <v>2272</v>
      </c>
      <c r="E2169" s="198" t="s">
        <v>2272</v>
      </c>
      <c r="F2169" s="4" t="s">
        <v>2272</v>
      </c>
      <c r="G2169" s="4" t="s">
        <v>2657</v>
      </c>
      <c r="H2169" s="4" t="s">
        <v>521</v>
      </c>
      <c r="I2169" s="198">
        <v>2005</v>
      </c>
      <c r="J2169" s="21">
        <f>15151/7/'Record info'!$K$932/('Land use'!$R$932/100)</f>
        <v>0.18242314131137075</v>
      </c>
      <c r="K2169" s="21">
        <f>(15151/7)/'Record info'!$K$932</f>
        <v>0.10044218160604072</v>
      </c>
      <c r="L2169" s="4" t="s">
        <v>2272</v>
      </c>
      <c r="M2169" s="4" t="s">
        <v>2272</v>
      </c>
      <c r="N2169" s="4" t="s">
        <v>2272</v>
      </c>
      <c r="O2169" s="4" t="s">
        <v>2272</v>
      </c>
      <c r="P2169" s="4" t="s">
        <v>2272</v>
      </c>
      <c r="Q2169" s="4" t="s">
        <v>2272</v>
      </c>
      <c r="R2169" s="4" t="s">
        <v>2272</v>
      </c>
      <c r="S2169" s="4" t="s">
        <v>2272</v>
      </c>
      <c r="T2169" s="4" t="s">
        <v>2272</v>
      </c>
      <c r="U2169" s="71">
        <f t="shared" si="0"/>
        <v>2097.3333333333335</v>
      </c>
      <c r="V2169" s="4" t="s">
        <v>2272</v>
      </c>
      <c r="W2169" s="4" t="s">
        <v>2272</v>
      </c>
      <c r="X2169" s="4" t="s">
        <v>2272</v>
      </c>
      <c r="Y2169" s="71">
        <f>13878/'Record info'!$K$932</f>
        <v>0.64402060420437146</v>
      </c>
      <c r="Z2169" s="4" t="s">
        <v>2272</v>
      </c>
      <c r="AA2169" s="4" t="s">
        <v>402</v>
      </c>
      <c r="AB2169" s="4" t="s">
        <v>403</v>
      </c>
      <c r="AC2169" s="4" t="s">
        <v>2272</v>
      </c>
      <c r="AD2169" s="4" t="s">
        <v>11575</v>
      </c>
      <c r="AE2169" s="4"/>
    </row>
    <row r="2170" spans="1:31" s="199" customFormat="1" ht="36.5" customHeight="1">
      <c r="A2170" s="4" t="s">
        <v>6143</v>
      </c>
      <c r="B2170" s="4" t="s">
        <v>6653</v>
      </c>
      <c r="C2170" s="198" t="s">
        <v>2653</v>
      </c>
      <c r="D2170" s="198" t="s">
        <v>2272</v>
      </c>
      <c r="E2170" s="198" t="s">
        <v>2272</v>
      </c>
      <c r="F2170" s="4" t="s">
        <v>2272</v>
      </c>
      <c r="G2170" s="4" t="s">
        <v>2657</v>
      </c>
      <c r="H2170" s="4" t="s">
        <v>521</v>
      </c>
      <c r="I2170" s="198">
        <v>2006</v>
      </c>
      <c r="J2170" s="21">
        <f>15151/7/'Record info'!$K$932/('Land use'!$R$932/100)</f>
        <v>0.18242314131137075</v>
      </c>
      <c r="K2170" s="21">
        <f>(15151/7)/'Record info'!$K$932</f>
        <v>0.10044218160604072</v>
      </c>
      <c r="L2170" s="4" t="s">
        <v>2272</v>
      </c>
      <c r="M2170" s="4" t="s">
        <v>2272</v>
      </c>
      <c r="N2170" s="4" t="s">
        <v>2272</v>
      </c>
      <c r="O2170" s="4" t="s">
        <v>2272</v>
      </c>
      <c r="P2170" s="4" t="s">
        <v>2272</v>
      </c>
      <c r="Q2170" s="4" t="s">
        <v>2272</v>
      </c>
      <c r="R2170" s="4" t="s">
        <v>2272</v>
      </c>
      <c r="S2170" s="4" t="s">
        <v>2272</v>
      </c>
      <c r="T2170" s="4" t="s">
        <v>2272</v>
      </c>
      <c r="U2170" s="71">
        <f t="shared" si="0"/>
        <v>2097.3333333333335</v>
      </c>
      <c r="V2170" s="4" t="s">
        <v>2272</v>
      </c>
      <c r="W2170" s="4" t="s">
        <v>2272</v>
      </c>
      <c r="X2170" s="4" t="s">
        <v>2272</v>
      </c>
      <c r="Y2170" s="71">
        <f>13878/'Record info'!$K$932</f>
        <v>0.64402060420437146</v>
      </c>
      <c r="Z2170" s="4" t="s">
        <v>2272</v>
      </c>
      <c r="AA2170" s="4" t="s">
        <v>402</v>
      </c>
      <c r="AB2170" s="4" t="s">
        <v>403</v>
      </c>
      <c r="AC2170" s="4" t="s">
        <v>2272</v>
      </c>
      <c r="AD2170" s="4" t="s">
        <v>11575</v>
      </c>
      <c r="AE2170" s="4"/>
    </row>
    <row r="2171" spans="1:31" s="199" customFormat="1" ht="36.5" customHeight="1">
      <c r="A2171" s="4" t="s">
        <v>6144</v>
      </c>
      <c r="B2171" s="4" t="s">
        <v>6192</v>
      </c>
      <c r="C2171" s="198" t="s">
        <v>1102</v>
      </c>
      <c r="D2171" s="198" t="s">
        <v>1102</v>
      </c>
      <c r="E2171" s="198" t="s">
        <v>1102</v>
      </c>
      <c r="F2171" s="4" t="s">
        <v>2272</v>
      </c>
      <c r="G2171" s="4" t="s">
        <v>2272</v>
      </c>
      <c r="H2171" s="4" t="s">
        <v>521</v>
      </c>
      <c r="I2171" s="4">
        <v>2003</v>
      </c>
      <c r="J2171" s="4" t="s">
        <v>2272</v>
      </c>
      <c r="K2171" s="21">
        <f>20854/'Record info'!$K$933</f>
        <v>0.22615277838025419</v>
      </c>
      <c r="L2171" s="4" t="s">
        <v>2272</v>
      </c>
      <c r="M2171" s="4" t="s">
        <v>2272</v>
      </c>
      <c r="N2171" s="4" t="s">
        <v>2272</v>
      </c>
      <c r="O2171" s="4" t="s">
        <v>2272</v>
      </c>
      <c r="P2171" s="4" t="s">
        <v>2272</v>
      </c>
      <c r="Q2171" s="21">
        <f>U2171/20854</f>
        <v>20.228972858923946</v>
      </c>
      <c r="R2171" s="4" t="s">
        <v>2272</v>
      </c>
      <c r="S2171" s="4" t="s">
        <v>2272</v>
      </c>
      <c r="T2171" s="4" t="s">
        <v>2272</v>
      </c>
      <c r="U2171" s="71">
        <v>421855</v>
      </c>
      <c r="V2171" s="4" t="s">
        <v>2272</v>
      </c>
      <c r="W2171" s="4" t="s">
        <v>2272</v>
      </c>
      <c r="X2171" s="4" t="s">
        <v>2272</v>
      </c>
      <c r="Y2171" s="71">
        <f>U2171/'Record info'!$K$933</f>
        <v>4.5748384158244049</v>
      </c>
      <c r="Z2171" s="4" t="s">
        <v>2272</v>
      </c>
      <c r="AA2171" s="4" t="s">
        <v>402</v>
      </c>
      <c r="AB2171" s="4" t="s">
        <v>403</v>
      </c>
      <c r="AC2171" s="198" t="s">
        <v>63</v>
      </c>
      <c r="AD2171" s="4"/>
      <c r="AE2171" s="4" t="s">
        <v>6659</v>
      </c>
    </row>
    <row r="2172" spans="1:31" s="199" customFormat="1" ht="36.5" customHeight="1">
      <c r="A2172" s="4" t="s">
        <v>6144</v>
      </c>
      <c r="B2172" s="4" t="s">
        <v>6193</v>
      </c>
      <c r="C2172" s="198" t="s">
        <v>1102</v>
      </c>
      <c r="D2172" s="198" t="s">
        <v>1102</v>
      </c>
      <c r="E2172" s="198" t="s">
        <v>1102</v>
      </c>
      <c r="F2172" s="4" t="s">
        <v>2272</v>
      </c>
      <c r="G2172" s="4" t="s">
        <v>73</v>
      </c>
      <c r="H2172" s="4" t="s">
        <v>521</v>
      </c>
      <c r="I2172" s="4">
        <v>2003</v>
      </c>
      <c r="J2172" s="4" t="s">
        <v>2272</v>
      </c>
      <c r="K2172" s="4" t="s">
        <v>2272</v>
      </c>
      <c r="L2172" s="4" t="s">
        <v>2272</v>
      </c>
      <c r="M2172" s="4" t="s">
        <v>2272</v>
      </c>
      <c r="N2172" s="4" t="s">
        <v>2272</v>
      </c>
      <c r="O2172" s="4" t="s">
        <v>2272</v>
      </c>
      <c r="P2172" s="4" t="s">
        <v>2272</v>
      </c>
      <c r="Q2172" s="4" t="s">
        <v>2272</v>
      </c>
      <c r="R2172" s="4" t="s">
        <v>2272</v>
      </c>
      <c r="S2172" s="4" t="s">
        <v>2272</v>
      </c>
      <c r="T2172" s="4" t="s">
        <v>2272</v>
      </c>
      <c r="U2172" s="71">
        <v>283836</v>
      </c>
      <c r="V2172" s="4" t="s">
        <v>2272</v>
      </c>
      <c r="W2172" s="71">
        <f>8.6</f>
        <v>8.6</v>
      </c>
      <c r="X2172" s="4" t="s">
        <v>2272</v>
      </c>
      <c r="Y2172" s="71">
        <f>U2172/'Record info'!$K$933</f>
        <v>3.0780809439118553</v>
      </c>
      <c r="Z2172" s="4" t="s">
        <v>2272</v>
      </c>
      <c r="AA2172" s="4" t="s">
        <v>402</v>
      </c>
      <c r="AB2172" s="4" t="s">
        <v>403</v>
      </c>
      <c r="AC2172" s="198" t="s">
        <v>63</v>
      </c>
      <c r="AD2172" s="4"/>
      <c r="AE2172" s="4" t="s">
        <v>6659</v>
      </c>
    </row>
    <row r="2173" spans="1:31" s="199" customFormat="1" ht="36.5" customHeight="1">
      <c r="A2173" s="4" t="s">
        <v>6144</v>
      </c>
      <c r="B2173" s="4" t="s">
        <v>6194</v>
      </c>
      <c r="C2173" s="198" t="s">
        <v>1102</v>
      </c>
      <c r="D2173" s="198" t="s">
        <v>1102</v>
      </c>
      <c r="E2173" s="198" t="s">
        <v>1102</v>
      </c>
      <c r="F2173" s="4" t="s">
        <v>2272</v>
      </c>
      <c r="G2173" s="4" t="s">
        <v>73</v>
      </c>
      <c r="H2173" s="4" t="s">
        <v>521</v>
      </c>
      <c r="I2173" s="4">
        <v>2005</v>
      </c>
      <c r="J2173" s="4" t="s">
        <v>2272</v>
      </c>
      <c r="K2173" s="21">
        <f>35698/'Record info'!$K$933</f>
        <v>0.38712965774519587</v>
      </c>
      <c r="L2173" s="4" t="s">
        <v>2272</v>
      </c>
      <c r="M2173" s="4" t="s">
        <v>2272</v>
      </c>
      <c r="N2173" s="4" t="s">
        <v>2272</v>
      </c>
      <c r="O2173" s="4" t="s">
        <v>2272</v>
      </c>
      <c r="P2173" s="4" t="s">
        <v>2272</v>
      </c>
      <c r="Q2173" s="21">
        <f>U2173/35698</f>
        <v>9.4756568995461929</v>
      </c>
      <c r="R2173" s="4" t="s">
        <v>2272</v>
      </c>
      <c r="S2173" s="4" t="s">
        <v>2272</v>
      </c>
      <c r="T2173" s="4" t="s">
        <v>2272</v>
      </c>
      <c r="U2173" s="71">
        <v>338262</v>
      </c>
      <c r="V2173" s="4" t="s">
        <v>2272</v>
      </c>
      <c r="W2173" s="71">
        <f>100*U2173/(U2172/0.086)</f>
        <v>10.249063543736524</v>
      </c>
      <c r="X2173" s="4" t="s">
        <v>2272</v>
      </c>
      <c r="Y2173" s="71">
        <f>U2173/'Record info'!$K$933</f>
        <v>3.6683078124322215</v>
      </c>
      <c r="Z2173" s="4" t="s">
        <v>2272</v>
      </c>
      <c r="AA2173" s="4" t="s">
        <v>402</v>
      </c>
      <c r="AB2173" s="4" t="s">
        <v>403</v>
      </c>
      <c r="AC2173" s="198" t="s">
        <v>63</v>
      </c>
      <c r="AD2173" s="4"/>
      <c r="AE2173" s="4" t="s">
        <v>6660</v>
      </c>
    </row>
    <row r="2174" spans="1:31" s="199" customFormat="1" ht="36.5" customHeight="1">
      <c r="A2174" s="4" t="s">
        <v>6144</v>
      </c>
      <c r="B2174" s="4" t="s">
        <v>6657</v>
      </c>
      <c r="C2174" s="198" t="s">
        <v>1102</v>
      </c>
      <c r="D2174" s="198" t="s">
        <v>1102</v>
      </c>
      <c r="E2174" s="198" t="s">
        <v>1102</v>
      </c>
      <c r="F2174" s="4" t="s">
        <v>2272</v>
      </c>
      <c r="G2174" s="4" t="s">
        <v>2272</v>
      </c>
      <c r="H2174" s="4" t="s">
        <v>521</v>
      </c>
      <c r="I2174" s="4">
        <v>2002</v>
      </c>
      <c r="J2174" s="4" t="s">
        <v>2272</v>
      </c>
      <c r="K2174" s="21">
        <f>24684/'Record info'!$K$933</f>
        <v>0.26768750271114389</v>
      </c>
      <c r="L2174" s="4" t="s">
        <v>2272</v>
      </c>
      <c r="M2174" s="4" t="s">
        <v>2272</v>
      </c>
      <c r="N2174" s="4" t="s">
        <v>2272</v>
      </c>
      <c r="O2174" s="4" t="s">
        <v>2272</v>
      </c>
      <c r="P2174" s="4" t="s">
        <v>2272</v>
      </c>
      <c r="Q2174" s="21">
        <f>U2174/24684</f>
        <v>5.2665694376924321</v>
      </c>
      <c r="R2174" s="4" t="s">
        <v>2272</v>
      </c>
      <c r="S2174" s="4" t="s">
        <v>2272</v>
      </c>
      <c r="T2174" s="4" t="s">
        <v>2272</v>
      </c>
      <c r="U2174" s="71">
        <v>130000</v>
      </c>
      <c r="V2174" s="4" t="s">
        <v>2272</v>
      </c>
      <c r="W2174" s="4" t="s">
        <v>2272</v>
      </c>
      <c r="X2174" s="4" t="s">
        <v>2272</v>
      </c>
      <c r="Y2174" s="71">
        <f>U2174/'Record info'!$K$933</f>
        <v>1.4097948206307205</v>
      </c>
      <c r="Z2174" s="4" t="s">
        <v>2272</v>
      </c>
      <c r="AA2174" s="4" t="s">
        <v>402</v>
      </c>
      <c r="AB2174" s="4" t="s">
        <v>403</v>
      </c>
      <c r="AC2174" s="198" t="s">
        <v>63</v>
      </c>
      <c r="AD2174" s="4"/>
      <c r="AE2174" s="4" t="s">
        <v>6667</v>
      </c>
    </row>
    <row r="2175" spans="1:31" s="199" customFormat="1" ht="36.5" customHeight="1">
      <c r="A2175" s="4" t="s">
        <v>6144</v>
      </c>
      <c r="B2175" s="4" t="s">
        <v>6658</v>
      </c>
      <c r="C2175" s="198" t="s">
        <v>1102</v>
      </c>
      <c r="D2175" s="198" t="s">
        <v>1102</v>
      </c>
      <c r="E2175" s="198" t="s">
        <v>1102</v>
      </c>
      <c r="F2175" s="4" t="s">
        <v>2272</v>
      </c>
      <c r="G2175" s="4" t="s">
        <v>2272</v>
      </c>
      <c r="H2175" s="4" t="s">
        <v>521</v>
      </c>
      <c r="I2175" s="4">
        <v>2006</v>
      </c>
      <c r="J2175" s="4" t="s">
        <v>2272</v>
      </c>
      <c r="K2175" s="21">
        <f>24684/'Record info'!$K$933</f>
        <v>0.26768750271114389</v>
      </c>
      <c r="L2175" s="4" t="s">
        <v>2272</v>
      </c>
      <c r="M2175" s="4" t="s">
        <v>2272</v>
      </c>
      <c r="N2175" s="4" t="s">
        <v>2272</v>
      </c>
      <c r="O2175" s="4" t="s">
        <v>2272</v>
      </c>
      <c r="P2175" s="4" t="s">
        <v>2272</v>
      </c>
      <c r="Q2175" s="21">
        <f>U2175/24684</f>
        <v>3.038405444822557</v>
      </c>
      <c r="R2175" s="4" t="s">
        <v>2272</v>
      </c>
      <c r="S2175" s="4" t="s">
        <v>2272</v>
      </c>
      <c r="T2175" s="4" t="s">
        <v>2272</v>
      </c>
      <c r="U2175" s="71">
        <v>75000</v>
      </c>
      <c r="V2175" s="4" t="s">
        <v>2272</v>
      </c>
      <c r="W2175" s="4" t="s">
        <v>2272</v>
      </c>
      <c r="X2175" s="4" t="s">
        <v>2272</v>
      </c>
      <c r="Y2175" s="71">
        <f>U2175/'Record info'!$K$933</f>
        <v>0.81334316574849264</v>
      </c>
      <c r="Z2175" s="4" t="s">
        <v>2272</v>
      </c>
      <c r="AA2175" s="4" t="s">
        <v>402</v>
      </c>
      <c r="AB2175" s="4" t="s">
        <v>403</v>
      </c>
      <c r="AC2175" s="198" t="s">
        <v>63</v>
      </c>
      <c r="AD2175" s="4"/>
      <c r="AE2175" s="4" t="s">
        <v>6667</v>
      </c>
    </row>
    <row r="2176" spans="1:31" s="199" customFormat="1" ht="36.5" customHeight="1">
      <c r="A2176" s="4" t="s">
        <v>6144</v>
      </c>
      <c r="B2176" s="4" t="s">
        <v>6661</v>
      </c>
      <c r="C2176" s="198" t="s">
        <v>30</v>
      </c>
      <c r="D2176" s="4" t="s">
        <v>29</v>
      </c>
      <c r="E2176" s="4" t="s">
        <v>2648</v>
      </c>
      <c r="F2176" s="4" t="s">
        <v>2272</v>
      </c>
      <c r="G2176" s="4" t="s">
        <v>2272</v>
      </c>
      <c r="H2176" s="4" t="s">
        <v>521</v>
      </c>
      <c r="I2176" s="4"/>
      <c r="J2176" s="4" t="s">
        <v>2272</v>
      </c>
      <c r="K2176" s="4" t="s">
        <v>2272</v>
      </c>
      <c r="L2176" s="4" t="s">
        <v>2272</v>
      </c>
      <c r="M2176" s="4" t="s">
        <v>2272</v>
      </c>
      <c r="N2176" s="4" t="s">
        <v>2272</v>
      </c>
      <c r="O2176" s="4" t="s">
        <v>2272</v>
      </c>
      <c r="P2176" s="4" t="s">
        <v>2272</v>
      </c>
      <c r="Q2176" s="4" t="s">
        <v>2272</v>
      </c>
      <c r="R2176" s="4" t="s">
        <v>2272</v>
      </c>
      <c r="S2176" s="4" t="s">
        <v>2272</v>
      </c>
      <c r="T2176" s="4" t="s">
        <v>2272</v>
      </c>
      <c r="U2176" s="4" t="s">
        <v>2272</v>
      </c>
      <c r="V2176" s="4" t="s">
        <v>2272</v>
      </c>
      <c r="W2176" s="4" t="s">
        <v>2272</v>
      </c>
      <c r="X2176" s="4" t="s">
        <v>2272</v>
      </c>
      <c r="Y2176" s="4" t="s">
        <v>2272</v>
      </c>
      <c r="Z2176" s="4" t="s">
        <v>2272</v>
      </c>
      <c r="AA2176" s="4" t="s">
        <v>2272</v>
      </c>
      <c r="AB2176" s="4" t="s">
        <v>2272</v>
      </c>
      <c r="AC2176" s="4" t="s">
        <v>2272</v>
      </c>
      <c r="AD2176" s="4"/>
      <c r="AE2176" s="4"/>
    </row>
    <row r="2177" spans="1:31" s="199" customFormat="1" ht="36.5" customHeight="1">
      <c r="A2177" s="4" t="s">
        <v>6145</v>
      </c>
      <c r="B2177" s="4" t="s">
        <v>6195</v>
      </c>
      <c r="C2177" s="4" t="s">
        <v>23</v>
      </c>
      <c r="D2177" s="4" t="s">
        <v>2342</v>
      </c>
      <c r="E2177" s="4" t="s">
        <v>2272</v>
      </c>
      <c r="F2177" s="4" t="s">
        <v>2272</v>
      </c>
      <c r="G2177" s="4" t="s">
        <v>2272</v>
      </c>
      <c r="H2177" s="4" t="s">
        <v>521</v>
      </c>
      <c r="I2177" s="4"/>
      <c r="J2177" s="4" t="s">
        <v>2272</v>
      </c>
      <c r="K2177" s="71">
        <f>0.9*$K2178</f>
        <v>5.7821059038344488E-2</v>
      </c>
      <c r="L2177" s="4" t="s">
        <v>2272</v>
      </c>
      <c r="M2177" s="4" t="s">
        <v>2272</v>
      </c>
      <c r="N2177" s="4" t="s">
        <v>2272</v>
      </c>
      <c r="O2177" s="4" t="s">
        <v>2272</v>
      </c>
      <c r="P2177" s="4" t="s">
        <v>2272</v>
      </c>
      <c r="Q2177" s="21">
        <f>0.9*Q2178</f>
        <v>3.9580514208389719</v>
      </c>
      <c r="R2177" s="4" t="s">
        <v>2272</v>
      </c>
      <c r="S2177" s="4" t="s">
        <v>2272</v>
      </c>
      <c r="T2177" s="4" t="s">
        <v>2272</v>
      </c>
      <c r="U2177" s="71">
        <f>0.9*U2178</f>
        <v>70200</v>
      </c>
      <c r="V2177" s="4" t="s">
        <v>2272</v>
      </c>
      <c r="W2177" s="4" t="s">
        <v>2272</v>
      </c>
      <c r="X2177" s="4" t="s">
        <v>2272</v>
      </c>
      <c r="Y2177" s="71">
        <f>U2177/'Record info'!K934</f>
        <v>2.3737066342057211</v>
      </c>
      <c r="Z2177" s="4" t="s">
        <v>2272</v>
      </c>
      <c r="AA2177" s="4" t="s">
        <v>402</v>
      </c>
      <c r="AB2177" s="4" t="s">
        <v>403</v>
      </c>
      <c r="AC2177" s="198" t="s">
        <v>63</v>
      </c>
      <c r="AD2177" s="4"/>
      <c r="AE2177" s="4"/>
    </row>
    <row r="2178" spans="1:31" s="199" customFormat="1" ht="36.5" customHeight="1">
      <c r="A2178" s="4" t="s">
        <v>6145</v>
      </c>
      <c r="B2178" s="4" t="s">
        <v>6252</v>
      </c>
      <c r="C2178" s="198" t="s">
        <v>1102</v>
      </c>
      <c r="D2178" s="198" t="s">
        <v>1102</v>
      </c>
      <c r="E2178" s="198" t="s">
        <v>1102</v>
      </c>
      <c r="F2178" s="4" t="s">
        <v>2272</v>
      </c>
      <c r="G2178" s="4" t="s">
        <v>2272</v>
      </c>
      <c r="H2178" s="4" t="s">
        <v>521</v>
      </c>
      <c r="I2178" s="4"/>
      <c r="J2178" s="4" t="s">
        <v>2272</v>
      </c>
      <c r="K2178" s="71">
        <f>1900/'Record info'!$K934</f>
        <v>6.4245621153716098E-2</v>
      </c>
      <c r="L2178" s="4" t="s">
        <v>2272</v>
      </c>
      <c r="M2178" s="4" t="s">
        <v>2272</v>
      </c>
      <c r="N2178" s="4" t="s">
        <v>2272</v>
      </c>
      <c r="O2178" s="4" t="s">
        <v>2272</v>
      </c>
      <c r="P2178" s="4" t="s">
        <v>2272</v>
      </c>
      <c r="Q2178" s="21">
        <f>U2178/17736</f>
        <v>4.3978349120433018</v>
      </c>
      <c r="R2178" s="4" t="s">
        <v>2272</v>
      </c>
      <c r="S2178" s="4" t="s">
        <v>2272</v>
      </c>
      <c r="T2178" s="4" t="s">
        <v>2272</v>
      </c>
      <c r="U2178" s="71">
        <v>78000</v>
      </c>
      <c r="V2178" s="4" t="s">
        <v>2272</v>
      </c>
      <c r="W2178" s="4" t="s">
        <v>2272</v>
      </c>
      <c r="X2178" s="4" t="s">
        <v>2272</v>
      </c>
      <c r="Y2178" s="71">
        <f>U2178/'Record info'!K934</f>
        <v>2.6374518157841349</v>
      </c>
      <c r="Z2178" s="4" t="s">
        <v>2272</v>
      </c>
      <c r="AA2178" s="4" t="s">
        <v>402</v>
      </c>
      <c r="AB2178" s="4" t="s">
        <v>403</v>
      </c>
      <c r="AC2178" s="198" t="s">
        <v>63</v>
      </c>
      <c r="AD2178" s="4"/>
      <c r="AE2178" s="4"/>
    </row>
    <row r="2179" spans="1:31" s="199" customFormat="1" ht="36.5" customHeight="1">
      <c r="A2179" s="4" t="s">
        <v>6146</v>
      </c>
      <c r="B2179" s="4" t="s">
        <v>6196</v>
      </c>
      <c r="C2179" s="198" t="s">
        <v>1102</v>
      </c>
      <c r="D2179" s="198" t="s">
        <v>1102</v>
      </c>
      <c r="E2179" s="198" t="s">
        <v>1102</v>
      </c>
      <c r="F2179" s="4" t="s">
        <v>2272</v>
      </c>
      <c r="G2179" s="4" t="s">
        <v>2272</v>
      </c>
      <c r="H2179" s="4" t="s">
        <v>521</v>
      </c>
      <c r="I2179" s="4"/>
      <c r="J2179" s="4" t="s">
        <v>2272</v>
      </c>
      <c r="K2179" s="71">
        <f>17736/'Record info'!$K935</f>
        <v>3.505207612798672E-2</v>
      </c>
      <c r="L2179" s="4" t="s">
        <v>2272</v>
      </c>
      <c r="M2179" s="4" t="s">
        <v>2272</v>
      </c>
      <c r="N2179" s="4" t="s">
        <v>2272</v>
      </c>
      <c r="O2179" s="4" t="s">
        <v>2272</v>
      </c>
      <c r="P2179" s="4" t="s">
        <v>2272</v>
      </c>
      <c r="Q2179" s="21">
        <f>U2179/17736</f>
        <v>6.7001014884979702</v>
      </c>
      <c r="R2179" s="4" t="s">
        <v>2272</v>
      </c>
      <c r="S2179" s="4" t="s">
        <v>2272</v>
      </c>
      <c r="T2179" s="4" t="s">
        <v>2272</v>
      </c>
      <c r="U2179" s="71">
        <v>118833</v>
      </c>
      <c r="V2179" s="4" t="s">
        <v>2272</v>
      </c>
      <c r="W2179" s="4" t="s">
        <v>2272</v>
      </c>
      <c r="X2179" s="4" t="s">
        <v>2272</v>
      </c>
      <c r="Y2179" s="71">
        <f>U2179/'Record info'!K935</f>
        <v>0.23485246744006799</v>
      </c>
      <c r="Z2179" s="4" t="s">
        <v>2272</v>
      </c>
      <c r="AA2179" s="4" t="s">
        <v>2272</v>
      </c>
      <c r="AB2179" s="4" t="s">
        <v>2272</v>
      </c>
      <c r="AC2179" s="4" t="s">
        <v>2272</v>
      </c>
      <c r="AD2179" s="4"/>
      <c r="AE2179" s="4"/>
    </row>
    <row r="2180" spans="1:31" s="199" customFormat="1" ht="36.5" customHeight="1">
      <c r="A2180" s="4" t="s">
        <v>6665</v>
      </c>
      <c r="B2180" s="4" t="s">
        <v>6666</v>
      </c>
      <c r="C2180" s="198" t="s">
        <v>1102</v>
      </c>
      <c r="D2180" s="198" t="s">
        <v>1102</v>
      </c>
      <c r="E2180" s="198" t="s">
        <v>1102</v>
      </c>
      <c r="F2180" s="4" t="s">
        <v>2272</v>
      </c>
      <c r="G2180" s="4" t="s">
        <v>2272</v>
      </c>
      <c r="H2180" s="4" t="s">
        <v>521</v>
      </c>
      <c r="I2180" s="4"/>
      <c r="J2180" s="4" t="s">
        <v>2272</v>
      </c>
      <c r="K2180" s="4" t="s">
        <v>2272</v>
      </c>
      <c r="L2180" s="4" t="s">
        <v>2272</v>
      </c>
      <c r="M2180" s="4" t="s">
        <v>2272</v>
      </c>
      <c r="N2180" s="4" t="s">
        <v>2272</v>
      </c>
      <c r="O2180" s="4" t="s">
        <v>2272</v>
      </c>
      <c r="P2180" s="4" t="s">
        <v>2272</v>
      </c>
      <c r="Q2180" s="4" t="s">
        <v>2272</v>
      </c>
      <c r="R2180" s="4" t="s">
        <v>2272</v>
      </c>
      <c r="S2180" s="4" t="s">
        <v>2272</v>
      </c>
      <c r="T2180" s="4" t="s">
        <v>2272</v>
      </c>
      <c r="U2180" s="4" t="s">
        <v>2272</v>
      </c>
      <c r="V2180" s="4" t="s">
        <v>2272</v>
      </c>
      <c r="W2180" s="4" t="s">
        <v>2272</v>
      </c>
      <c r="X2180" s="4" t="s">
        <v>2272</v>
      </c>
      <c r="Y2180" s="4" t="s">
        <v>2272</v>
      </c>
      <c r="Z2180" s="4" t="s">
        <v>2272</v>
      </c>
      <c r="AA2180" s="4" t="s">
        <v>402</v>
      </c>
      <c r="AB2180" s="4" t="s">
        <v>403</v>
      </c>
      <c r="AC2180" s="4" t="s">
        <v>2272</v>
      </c>
      <c r="AD2180" s="4"/>
      <c r="AE2180" s="4"/>
    </row>
    <row r="2181" spans="1:31" s="199" customFormat="1" ht="36.5" customHeight="1">
      <c r="A2181" s="4" t="s">
        <v>6147</v>
      </c>
      <c r="B2181" s="4" t="s">
        <v>6197</v>
      </c>
      <c r="C2181" s="198" t="s">
        <v>1102</v>
      </c>
      <c r="D2181" s="198" t="s">
        <v>1102</v>
      </c>
      <c r="E2181" s="198" t="s">
        <v>1102</v>
      </c>
      <c r="F2181" s="4" t="s">
        <v>2272</v>
      </c>
      <c r="G2181" s="4" t="s">
        <v>2657</v>
      </c>
      <c r="H2181" s="4" t="s">
        <v>521</v>
      </c>
      <c r="I2181" s="4"/>
      <c r="J2181" s="4" t="s">
        <v>2272</v>
      </c>
      <c r="K2181" s="4" t="s">
        <v>2272</v>
      </c>
      <c r="L2181" s="4" t="s">
        <v>2272</v>
      </c>
      <c r="M2181" s="4" t="s">
        <v>2272</v>
      </c>
      <c r="N2181" s="4" t="s">
        <v>2272</v>
      </c>
      <c r="O2181" s="4" t="s">
        <v>2272</v>
      </c>
      <c r="P2181" s="4" t="s">
        <v>2272</v>
      </c>
      <c r="Q2181" s="4" t="s">
        <v>2272</v>
      </c>
      <c r="R2181" s="4" t="s">
        <v>2272</v>
      </c>
      <c r="S2181" s="4" t="s">
        <v>2272</v>
      </c>
      <c r="T2181" s="4" t="s">
        <v>2272</v>
      </c>
      <c r="U2181" s="4" t="s">
        <v>2272</v>
      </c>
      <c r="V2181" s="4" t="s">
        <v>2272</v>
      </c>
      <c r="W2181" s="4" t="s">
        <v>2272</v>
      </c>
      <c r="X2181" s="4" t="s">
        <v>2272</v>
      </c>
      <c r="Y2181" s="4" t="s">
        <v>2272</v>
      </c>
      <c r="Z2181" s="4" t="s">
        <v>2272</v>
      </c>
      <c r="AA2181" s="4" t="s">
        <v>2272</v>
      </c>
      <c r="AB2181" s="4" t="s">
        <v>2272</v>
      </c>
      <c r="AC2181" s="4" t="s">
        <v>2272</v>
      </c>
      <c r="AD2181" s="4"/>
      <c r="AE2181" s="4"/>
    </row>
    <row r="2182" spans="1:31" s="199" customFormat="1" ht="36.5" customHeight="1">
      <c r="A2182" s="4" t="s">
        <v>6148</v>
      </c>
      <c r="B2182" s="4" t="s">
        <v>6198</v>
      </c>
      <c r="C2182" s="198" t="s">
        <v>1102</v>
      </c>
      <c r="D2182" s="198" t="s">
        <v>1102</v>
      </c>
      <c r="E2182" s="198" t="s">
        <v>1102</v>
      </c>
      <c r="F2182" s="4" t="s">
        <v>2272</v>
      </c>
      <c r="G2182" s="4" t="s">
        <v>2657</v>
      </c>
      <c r="H2182" s="4" t="s">
        <v>521</v>
      </c>
      <c r="I2182" s="4"/>
      <c r="J2182" s="4" t="s">
        <v>2272</v>
      </c>
      <c r="K2182" s="4" t="s">
        <v>2272</v>
      </c>
      <c r="L2182" s="4" t="s">
        <v>2272</v>
      </c>
      <c r="M2182" s="4" t="s">
        <v>2272</v>
      </c>
      <c r="N2182" s="4" t="s">
        <v>2272</v>
      </c>
      <c r="O2182" s="4" t="s">
        <v>2272</v>
      </c>
      <c r="P2182" s="4" t="s">
        <v>2272</v>
      </c>
      <c r="Q2182" s="4" t="s">
        <v>2272</v>
      </c>
      <c r="R2182" s="4" t="s">
        <v>2272</v>
      </c>
      <c r="S2182" s="4" t="s">
        <v>2272</v>
      </c>
      <c r="T2182" s="4" t="s">
        <v>2272</v>
      </c>
      <c r="U2182" s="4" t="s">
        <v>2272</v>
      </c>
      <c r="V2182" s="4" t="s">
        <v>2272</v>
      </c>
      <c r="W2182" s="4" t="s">
        <v>2272</v>
      </c>
      <c r="X2182" s="4" t="s">
        <v>2272</v>
      </c>
      <c r="Y2182" s="4" t="s">
        <v>2272</v>
      </c>
      <c r="Z2182" s="4" t="s">
        <v>2272</v>
      </c>
      <c r="AA2182" s="4" t="s">
        <v>2272</v>
      </c>
      <c r="AB2182" s="4" t="s">
        <v>2272</v>
      </c>
      <c r="AC2182" s="4" t="s">
        <v>2272</v>
      </c>
      <c r="AD2182" s="4"/>
      <c r="AE2182" s="4"/>
    </row>
    <row r="2183" spans="1:31" s="199" customFormat="1" ht="36.5" customHeight="1">
      <c r="A2183" s="4" t="s">
        <v>6149</v>
      </c>
      <c r="B2183" s="4" t="s">
        <v>6199</v>
      </c>
      <c r="C2183" s="198" t="s">
        <v>1102</v>
      </c>
      <c r="D2183" s="198" t="s">
        <v>1102</v>
      </c>
      <c r="E2183" s="198" t="s">
        <v>1102</v>
      </c>
      <c r="F2183" s="4" t="s">
        <v>2272</v>
      </c>
      <c r="G2183" s="4" t="s">
        <v>2657</v>
      </c>
      <c r="H2183" s="4" t="s">
        <v>521</v>
      </c>
      <c r="I2183" s="4"/>
      <c r="J2183" s="4" t="s">
        <v>2272</v>
      </c>
      <c r="K2183" s="4" t="s">
        <v>2272</v>
      </c>
      <c r="L2183" s="4" t="s">
        <v>2272</v>
      </c>
      <c r="M2183" s="4" t="s">
        <v>2272</v>
      </c>
      <c r="N2183" s="4" t="s">
        <v>2272</v>
      </c>
      <c r="O2183" s="4" t="s">
        <v>2272</v>
      </c>
      <c r="P2183" s="4" t="s">
        <v>2272</v>
      </c>
      <c r="Q2183" s="4" t="s">
        <v>2272</v>
      </c>
      <c r="R2183" s="4" t="s">
        <v>2272</v>
      </c>
      <c r="S2183" s="4" t="s">
        <v>2272</v>
      </c>
      <c r="T2183" s="4" t="s">
        <v>2272</v>
      </c>
      <c r="U2183" s="4" t="s">
        <v>2272</v>
      </c>
      <c r="V2183" s="4" t="s">
        <v>2272</v>
      </c>
      <c r="W2183" s="4" t="s">
        <v>2272</v>
      </c>
      <c r="X2183" s="4" t="s">
        <v>2272</v>
      </c>
      <c r="Y2183" s="4" t="s">
        <v>2272</v>
      </c>
      <c r="Z2183" s="4" t="s">
        <v>2272</v>
      </c>
      <c r="AA2183" s="4" t="s">
        <v>2272</v>
      </c>
      <c r="AB2183" s="4" t="s">
        <v>2272</v>
      </c>
      <c r="AC2183" s="4" t="s">
        <v>2272</v>
      </c>
      <c r="AD2183" s="4"/>
      <c r="AE2183" s="4"/>
    </row>
    <row r="2184" spans="1:31" s="199" customFormat="1" ht="36.5" customHeight="1">
      <c r="A2184" s="4" t="s">
        <v>6150</v>
      </c>
      <c r="B2184" s="4" t="s">
        <v>6200</v>
      </c>
      <c r="C2184" s="198" t="s">
        <v>1102</v>
      </c>
      <c r="D2184" s="198" t="s">
        <v>1102</v>
      </c>
      <c r="E2184" s="198" t="s">
        <v>1102</v>
      </c>
      <c r="F2184" s="4" t="s">
        <v>2272</v>
      </c>
      <c r="G2184" s="4" t="s">
        <v>2657</v>
      </c>
      <c r="H2184" s="4" t="s">
        <v>521</v>
      </c>
      <c r="I2184" s="4"/>
      <c r="J2184" s="4" t="s">
        <v>2272</v>
      </c>
      <c r="K2184" s="4" t="s">
        <v>2272</v>
      </c>
      <c r="L2184" s="4" t="s">
        <v>2272</v>
      </c>
      <c r="M2184" s="4" t="s">
        <v>2272</v>
      </c>
      <c r="N2184" s="4" t="s">
        <v>2272</v>
      </c>
      <c r="O2184" s="4" t="s">
        <v>2272</v>
      </c>
      <c r="P2184" s="4" t="s">
        <v>2272</v>
      </c>
      <c r="Q2184" s="4" t="s">
        <v>2272</v>
      </c>
      <c r="R2184" s="4" t="s">
        <v>2272</v>
      </c>
      <c r="S2184" s="4" t="s">
        <v>2272</v>
      </c>
      <c r="T2184" s="4" t="s">
        <v>2272</v>
      </c>
      <c r="U2184" s="4" t="s">
        <v>2272</v>
      </c>
      <c r="V2184" s="4" t="s">
        <v>2272</v>
      </c>
      <c r="W2184" s="4" t="s">
        <v>2272</v>
      </c>
      <c r="X2184" s="4" t="s">
        <v>2272</v>
      </c>
      <c r="Y2184" s="4" t="s">
        <v>2272</v>
      </c>
      <c r="Z2184" s="4" t="s">
        <v>2272</v>
      </c>
      <c r="AA2184" s="4" t="s">
        <v>2272</v>
      </c>
      <c r="AB2184" s="4" t="s">
        <v>2272</v>
      </c>
      <c r="AC2184" s="4" t="s">
        <v>2272</v>
      </c>
      <c r="AD2184" s="4"/>
      <c r="AE2184" s="4"/>
    </row>
    <row r="2185" spans="1:31" s="199" customFormat="1" ht="36.5" customHeight="1">
      <c r="A2185" s="4" t="s">
        <v>6151</v>
      </c>
      <c r="B2185" s="4" t="s">
        <v>6201</v>
      </c>
      <c r="C2185" s="198" t="s">
        <v>1102</v>
      </c>
      <c r="D2185" s="198" t="s">
        <v>1102</v>
      </c>
      <c r="E2185" s="198" t="s">
        <v>1102</v>
      </c>
      <c r="F2185" s="4" t="s">
        <v>2272</v>
      </c>
      <c r="G2185" s="4" t="s">
        <v>2657</v>
      </c>
      <c r="H2185" s="4" t="s">
        <v>521</v>
      </c>
      <c r="I2185" s="4"/>
      <c r="J2185" s="4" t="s">
        <v>2272</v>
      </c>
      <c r="K2185" s="4" t="s">
        <v>2272</v>
      </c>
      <c r="L2185" s="4" t="s">
        <v>2272</v>
      </c>
      <c r="M2185" s="4" t="s">
        <v>2272</v>
      </c>
      <c r="N2185" s="4" t="s">
        <v>2272</v>
      </c>
      <c r="O2185" s="4" t="s">
        <v>2272</v>
      </c>
      <c r="P2185" s="4" t="s">
        <v>2272</v>
      </c>
      <c r="Q2185" s="4" t="s">
        <v>2272</v>
      </c>
      <c r="R2185" s="4" t="s">
        <v>2272</v>
      </c>
      <c r="S2185" s="4" t="s">
        <v>2272</v>
      </c>
      <c r="T2185" s="4" t="s">
        <v>2272</v>
      </c>
      <c r="U2185" s="4" t="s">
        <v>2272</v>
      </c>
      <c r="V2185" s="4" t="s">
        <v>2272</v>
      </c>
      <c r="W2185" s="4" t="s">
        <v>2272</v>
      </c>
      <c r="X2185" s="4" t="s">
        <v>2272</v>
      </c>
      <c r="Y2185" s="4" t="s">
        <v>2272</v>
      </c>
      <c r="Z2185" s="4" t="s">
        <v>2272</v>
      </c>
      <c r="AA2185" s="4" t="s">
        <v>2272</v>
      </c>
      <c r="AB2185" s="4" t="s">
        <v>2272</v>
      </c>
      <c r="AC2185" s="4" t="s">
        <v>2272</v>
      </c>
      <c r="AD2185" s="4"/>
      <c r="AE2185" s="4"/>
    </row>
    <row r="2186" spans="1:31" s="199" customFormat="1" ht="36.5" customHeight="1">
      <c r="A2186" s="4" t="s">
        <v>6152</v>
      </c>
      <c r="B2186" s="4" t="s">
        <v>6202</v>
      </c>
      <c r="C2186" s="198" t="s">
        <v>1102</v>
      </c>
      <c r="D2186" s="198" t="s">
        <v>1102</v>
      </c>
      <c r="E2186" s="198" t="s">
        <v>1102</v>
      </c>
      <c r="F2186" s="4" t="s">
        <v>2272</v>
      </c>
      <c r="G2186" s="4" t="s">
        <v>2657</v>
      </c>
      <c r="H2186" s="4" t="s">
        <v>521</v>
      </c>
      <c r="I2186" s="4"/>
      <c r="J2186" s="4" t="s">
        <v>2272</v>
      </c>
      <c r="K2186" s="4" t="s">
        <v>2272</v>
      </c>
      <c r="L2186" s="4" t="s">
        <v>2272</v>
      </c>
      <c r="M2186" s="4" t="s">
        <v>2272</v>
      </c>
      <c r="N2186" s="4" t="s">
        <v>2272</v>
      </c>
      <c r="O2186" s="4" t="s">
        <v>2272</v>
      </c>
      <c r="P2186" s="4" t="s">
        <v>2272</v>
      </c>
      <c r="Q2186" s="4" t="s">
        <v>2272</v>
      </c>
      <c r="R2186" s="4" t="s">
        <v>2272</v>
      </c>
      <c r="S2186" s="4" t="s">
        <v>2272</v>
      </c>
      <c r="T2186" s="4" t="s">
        <v>2272</v>
      </c>
      <c r="U2186" s="4" t="s">
        <v>2272</v>
      </c>
      <c r="V2186" s="4" t="s">
        <v>2272</v>
      </c>
      <c r="W2186" s="4" t="s">
        <v>2272</v>
      </c>
      <c r="X2186" s="4" t="s">
        <v>2272</v>
      </c>
      <c r="Y2186" s="4" t="s">
        <v>2272</v>
      </c>
      <c r="Z2186" s="4" t="s">
        <v>2272</v>
      </c>
      <c r="AA2186" s="4" t="s">
        <v>2272</v>
      </c>
      <c r="AB2186" s="4" t="s">
        <v>2272</v>
      </c>
      <c r="AC2186" s="4" t="s">
        <v>2272</v>
      </c>
      <c r="AD2186" s="4"/>
      <c r="AE2186" s="4"/>
    </row>
    <row r="2187" spans="1:31" s="199" customFormat="1" ht="36.5" customHeight="1">
      <c r="A2187" s="4" t="s">
        <v>6153</v>
      </c>
      <c r="B2187" s="4" t="s">
        <v>6203</v>
      </c>
      <c r="C2187" s="4" t="s">
        <v>30</v>
      </c>
      <c r="D2187" s="4" t="s">
        <v>29</v>
      </c>
      <c r="E2187" s="4" t="s">
        <v>2648</v>
      </c>
      <c r="F2187" s="4" t="s">
        <v>2272</v>
      </c>
      <c r="G2187" s="4" t="s">
        <v>73</v>
      </c>
      <c r="H2187" s="4" t="s">
        <v>521</v>
      </c>
      <c r="I2187" s="4"/>
      <c r="J2187" s="4" t="s">
        <v>2272</v>
      </c>
      <c r="K2187" s="4" t="s">
        <v>2272</v>
      </c>
      <c r="L2187" s="4" t="s">
        <v>2272</v>
      </c>
      <c r="M2187" s="4" t="s">
        <v>2272</v>
      </c>
      <c r="N2187" s="4" t="s">
        <v>2272</v>
      </c>
      <c r="O2187" s="4" t="s">
        <v>2272</v>
      </c>
      <c r="P2187" s="4" t="s">
        <v>2272</v>
      </c>
      <c r="Q2187" s="71">
        <v>8</v>
      </c>
      <c r="R2187" s="4" t="s">
        <v>2272</v>
      </c>
      <c r="S2187" s="4" t="s">
        <v>2272</v>
      </c>
      <c r="T2187" s="4" t="s">
        <v>2272</v>
      </c>
      <c r="U2187" s="4" t="s">
        <v>2272</v>
      </c>
      <c r="V2187" s="4" t="s">
        <v>2272</v>
      </c>
      <c r="W2187" s="4" t="s">
        <v>2272</v>
      </c>
      <c r="X2187" s="4" t="s">
        <v>2272</v>
      </c>
      <c r="Y2187" s="4" t="s">
        <v>2272</v>
      </c>
      <c r="Z2187" s="4" t="s">
        <v>2272</v>
      </c>
      <c r="AA2187" s="198" t="s">
        <v>186</v>
      </c>
      <c r="AB2187" s="198" t="s">
        <v>187</v>
      </c>
      <c r="AC2187" s="4" t="s">
        <v>2272</v>
      </c>
      <c r="AD2187" s="4"/>
      <c r="AE2187" s="4"/>
    </row>
    <row r="2188" spans="1:31" s="199" customFormat="1" ht="36.5" customHeight="1">
      <c r="A2188" s="4" t="s">
        <v>6153</v>
      </c>
      <c r="B2188" s="4" t="s">
        <v>6672</v>
      </c>
      <c r="C2188" s="4" t="s">
        <v>30</v>
      </c>
      <c r="D2188" s="4" t="s">
        <v>29</v>
      </c>
      <c r="E2188" s="4" t="s">
        <v>2647</v>
      </c>
      <c r="F2188" s="4" t="s">
        <v>2272</v>
      </c>
      <c r="G2188" s="4" t="s">
        <v>73</v>
      </c>
      <c r="H2188" s="4" t="s">
        <v>521</v>
      </c>
      <c r="I2188" s="4"/>
      <c r="J2188" s="4" t="s">
        <v>2272</v>
      </c>
      <c r="K2188" s="4" t="s">
        <v>2272</v>
      </c>
      <c r="L2188" s="4" t="s">
        <v>2272</v>
      </c>
      <c r="M2188" s="4" t="s">
        <v>2272</v>
      </c>
      <c r="N2188" s="4" t="s">
        <v>2272</v>
      </c>
      <c r="O2188" s="4" t="s">
        <v>2272</v>
      </c>
      <c r="P2188" s="4" t="s">
        <v>2272</v>
      </c>
      <c r="Q2188" s="71">
        <v>8</v>
      </c>
      <c r="R2188" s="4" t="s">
        <v>2272</v>
      </c>
      <c r="S2188" s="4" t="s">
        <v>2272</v>
      </c>
      <c r="T2188" s="4" t="s">
        <v>2272</v>
      </c>
      <c r="U2188" s="4" t="s">
        <v>2272</v>
      </c>
      <c r="V2188" s="4" t="s">
        <v>2272</v>
      </c>
      <c r="W2188" s="4" t="s">
        <v>2272</v>
      </c>
      <c r="X2188" s="4" t="s">
        <v>2272</v>
      </c>
      <c r="Y2188" s="4" t="s">
        <v>2272</v>
      </c>
      <c r="Z2188" s="4" t="s">
        <v>2272</v>
      </c>
      <c r="AA2188" s="198" t="s">
        <v>186</v>
      </c>
      <c r="AB2188" s="198" t="s">
        <v>187</v>
      </c>
      <c r="AC2188" s="4" t="s">
        <v>2272</v>
      </c>
      <c r="AD2188" s="4"/>
      <c r="AE2188" s="4"/>
    </row>
    <row r="2189" spans="1:31" s="199" customFormat="1" ht="36.5" customHeight="1">
      <c r="A2189" s="4" t="s">
        <v>6154</v>
      </c>
      <c r="B2189" s="4" t="s">
        <v>6204</v>
      </c>
      <c r="C2189" s="4" t="s">
        <v>23</v>
      </c>
      <c r="D2189" s="4" t="s">
        <v>2342</v>
      </c>
      <c r="E2189" s="4" t="s">
        <v>2644</v>
      </c>
      <c r="F2189" s="4" t="s">
        <v>73</v>
      </c>
      <c r="G2189" s="4" t="s">
        <v>73</v>
      </c>
      <c r="H2189" s="4" t="s">
        <v>521</v>
      </c>
      <c r="I2189" s="4"/>
      <c r="J2189" s="189">
        <f>(2619/(80316.25/100))/18</f>
        <v>0.18115885639581031</v>
      </c>
      <c r="K2189" s="71">
        <f t="shared" ref="K2189:K2197" si="1">J2189*(139152.58/172737.51)</f>
        <v>0.14593658469041557</v>
      </c>
      <c r="L2189" s="4" t="s">
        <v>2272</v>
      </c>
      <c r="M2189" s="4" t="s">
        <v>2272</v>
      </c>
      <c r="N2189" s="4" t="s">
        <v>2272</v>
      </c>
      <c r="O2189" s="4" t="s">
        <v>2272</v>
      </c>
      <c r="P2189" s="4" t="s">
        <v>2272</v>
      </c>
      <c r="Q2189" s="4" t="s">
        <v>2272</v>
      </c>
      <c r="R2189" s="4" t="s">
        <v>2272</v>
      </c>
      <c r="S2189" s="4" t="s">
        <v>2272</v>
      </c>
      <c r="T2189" s="4" t="s">
        <v>2272</v>
      </c>
      <c r="U2189" s="4" t="s">
        <v>2272</v>
      </c>
      <c r="V2189" s="4" t="s">
        <v>2272</v>
      </c>
      <c r="W2189" s="4" t="s">
        <v>2272</v>
      </c>
      <c r="X2189" s="4" t="s">
        <v>2272</v>
      </c>
      <c r="Y2189" s="4" t="s">
        <v>2272</v>
      </c>
      <c r="Z2189" s="4" t="s">
        <v>2272</v>
      </c>
      <c r="AA2189" s="4" t="s">
        <v>2272</v>
      </c>
      <c r="AB2189" s="4" t="s">
        <v>2272</v>
      </c>
      <c r="AC2189" s="4" t="s">
        <v>2272</v>
      </c>
      <c r="AD2189" s="4" t="s">
        <v>6684</v>
      </c>
      <c r="AE2189" s="4"/>
    </row>
    <row r="2190" spans="1:31" s="199" customFormat="1" ht="36.5" customHeight="1">
      <c r="A2190" s="4" t="s">
        <v>6154</v>
      </c>
      <c r="B2190" s="4" t="s">
        <v>6205</v>
      </c>
      <c r="C2190" s="198" t="s">
        <v>2651</v>
      </c>
      <c r="D2190" s="4" t="s">
        <v>2272</v>
      </c>
      <c r="E2190" s="4" t="s">
        <v>2644</v>
      </c>
      <c r="F2190" s="4" t="s">
        <v>73</v>
      </c>
      <c r="G2190" s="4" t="s">
        <v>73</v>
      </c>
      <c r="H2190" s="4" t="s">
        <v>521</v>
      </c>
      <c r="I2190" s="4"/>
      <c r="J2190" s="189">
        <f>(176/(80316.25/100))/18</f>
        <v>1.217409649700749E-2</v>
      </c>
      <c r="K2190" s="71">
        <f t="shared" si="1"/>
        <v>9.8071168024105142E-3</v>
      </c>
      <c r="L2190" s="4" t="s">
        <v>2272</v>
      </c>
      <c r="M2190" s="4" t="s">
        <v>2272</v>
      </c>
      <c r="N2190" s="4" t="s">
        <v>2272</v>
      </c>
      <c r="O2190" s="4" t="s">
        <v>2272</v>
      </c>
      <c r="P2190" s="4" t="s">
        <v>2272</v>
      </c>
      <c r="Q2190" s="4" t="s">
        <v>2272</v>
      </c>
      <c r="R2190" s="4" t="s">
        <v>2272</v>
      </c>
      <c r="S2190" s="4" t="s">
        <v>2272</v>
      </c>
      <c r="T2190" s="4" t="s">
        <v>2272</v>
      </c>
      <c r="U2190" s="4" t="s">
        <v>2272</v>
      </c>
      <c r="V2190" s="4" t="s">
        <v>2272</v>
      </c>
      <c r="W2190" s="4" t="s">
        <v>2272</v>
      </c>
      <c r="X2190" s="4" t="s">
        <v>2272</v>
      </c>
      <c r="Y2190" s="4" t="s">
        <v>2272</v>
      </c>
      <c r="Z2190" s="4" t="s">
        <v>2272</v>
      </c>
      <c r="AA2190" s="4" t="s">
        <v>2272</v>
      </c>
      <c r="AB2190" s="4" t="s">
        <v>2272</v>
      </c>
      <c r="AC2190" s="4" t="s">
        <v>2272</v>
      </c>
      <c r="AD2190" s="4"/>
      <c r="AE2190" s="4"/>
    </row>
    <row r="2191" spans="1:31" s="199" customFormat="1" ht="36.5" customHeight="1">
      <c r="A2191" s="4" t="s">
        <v>6154</v>
      </c>
      <c r="B2191" s="4" t="s">
        <v>6206</v>
      </c>
      <c r="C2191" s="198" t="s">
        <v>2653</v>
      </c>
      <c r="D2191" s="4" t="s">
        <v>2272</v>
      </c>
      <c r="E2191" s="4" t="s">
        <v>2644</v>
      </c>
      <c r="F2191" s="4" t="s">
        <v>73</v>
      </c>
      <c r="G2191" s="4" t="s">
        <v>73</v>
      </c>
      <c r="H2191" s="4" t="s">
        <v>521</v>
      </c>
      <c r="I2191" s="4"/>
      <c r="J2191" s="189">
        <f>((135+91)/(80316.25/100))/18</f>
        <v>1.56326466382028E-2</v>
      </c>
      <c r="K2191" s="71">
        <f t="shared" si="1"/>
        <v>1.2593229530368047E-2</v>
      </c>
      <c r="L2191" s="4" t="s">
        <v>2272</v>
      </c>
      <c r="M2191" s="4" t="s">
        <v>2272</v>
      </c>
      <c r="N2191" s="4" t="s">
        <v>2272</v>
      </c>
      <c r="O2191" s="4" t="s">
        <v>2272</v>
      </c>
      <c r="P2191" s="4" t="s">
        <v>2272</v>
      </c>
      <c r="Q2191" s="4" t="s">
        <v>2272</v>
      </c>
      <c r="R2191" s="4" t="s">
        <v>2272</v>
      </c>
      <c r="S2191" s="4" t="s">
        <v>2272</v>
      </c>
      <c r="T2191" s="4" t="s">
        <v>2272</v>
      </c>
      <c r="U2191" s="4" t="s">
        <v>2272</v>
      </c>
      <c r="V2191" s="4" t="s">
        <v>2272</v>
      </c>
      <c r="W2191" s="4" t="s">
        <v>2272</v>
      </c>
      <c r="X2191" s="4" t="s">
        <v>2272</v>
      </c>
      <c r="Y2191" s="4" t="s">
        <v>2272</v>
      </c>
      <c r="Z2191" s="4" t="s">
        <v>2272</v>
      </c>
      <c r="AA2191" s="4" t="s">
        <v>2272</v>
      </c>
      <c r="AB2191" s="4" t="s">
        <v>2272</v>
      </c>
      <c r="AC2191" s="4" t="s">
        <v>2272</v>
      </c>
      <c r="AD2191" s="4"/>
      <c r="AE2191" s="4"/>
    </row>
    <row r="2192" spans="1:31" s="199" customFormat="1" ht="36.5" customHeight="1">
      <c r="A2192" s="4" t="s">
        <v>6154</v>
      </c>
      <c r="B2192" s="4" t="s">
        <v>6675</v>
      </c>
      <c r="C2192" s="4" t="s">
        <v>23</v>
      </c>
      <c r="D2192" s="4" t="s">
        <v>2342</v>
      </c>
      <c r="E2192" s="198" t="s">
        <v>860</v>
      </c>
      <c r="F2192" s="4" t="s">
        <v>73</v>
      </c>
      <c r="G2192" s="4" t="s">
        <v>73</v>
      </c>
      <c r="H2192" s="4" t="s">
        <v>521</v>
      </c>
      <c r="I2192" s="4"/>
      <c r="J2192" s="71">
        <f>(891/(24046.32/100))/18</f>
        <v>0.20585270428073818</v>
      </c>
      <c r="K2192" s="71">
        <f t="shared" si="1"/>
        <v>0.16582926835428946</v>
      </c>
      <c r="L2192" s="4" t="s">
        <v>2272</v>
      </c>
      <c r="M2192" s="4" t="s">
        <v>2272</v>
      </c>
      <c r="N2192" s="4" t="s">
        <v>2272</v>
      </c>
      <c r="O2192" s="4" t="s">
        <v>2272</v>
      </c>
      <c r="P2192" s="4" t="s">
        <v>2272</v>
      </c>
      <c r="Q2192" s="4" t="s">
        <v>2272</v>
      </c>
      <c r="R2192" s="4" t="s">
        <v>2272</v>
      </c>
      <c r="S2192" s="4" t="s">
        <v>2272</v>
      </c>
      <c r="T2192" s="4" t="s">
        <v>2272</v>
      </c>
      <c r="U2192" s="4" t="s">
        <v>2272</v>
      </c>
      <c r="V2192" s="4" t="s">
        <v>2272</v>
      </c>
      <c r="W2192" s="4" t="s">
        <v>2272</v>
      </c>
      <c r="X2192" s="4" t="s">
        <v>2272</v>
      </c>
      <c r="Y2192" s="4" t="s">
        <v>2272</v>
      </c>
      <c r="Z2192" s="4" t="s">
        <v>2272</v>
      </c>
      <c r="AA2192" s="4" t="s">
        <v>2272</v>
      </c>
      <c r="AB2192" s="4" t="s">
        <v>2272</v>
      </c>
      <c r="AC2192" s="4" t="s">
        <v>2272</v>
      </c>
      <c r="AD2192" s="4" t="s">
        <v>6684</v>
      </c>
      <c r="AE2192" s="4"/>
    </row>
    <row r="2193" spans="1:31" s="199" customFormat="1" ht="36.5" customHeight="1">
      <c r="A2193" s="4" t="s">
        <v>6154</v>
      </c>
      <c r="B2193" s="4" t="s">
        <v>6676</v>
      </c>
      <c r="C2193" s="198" t="s">
        <v>2651</v>
      </c>
      <c r="D2193" s="4" t="s">
        <v>2272</v>
      </c>
      <c r="E2193" s="198" t="s">
        <v>860</v>
      </c>
      <c r="F2193" s="4" t="s">
        <v>73</v>
      </c>
      <c r="G2193" s="4" t="s">
        <v>73</v>
      </c>
      <c r="H2193" s="4" t="s">
        <v>521</v>
      </c>
      <c r="I2193" s="4"/>
      <c r="J2193" s="71">
        <f>(45/(24046.32/100))/18</f>
        <v>1.0396601226299908E-2</v>
      </c>
      <c r="K2193" s="71">
        <f t="shared" si="1"/>
        <v>8.375215573448962E-3</v>
      </c>
      <c r="L2193" s="4" t="s">
        <v>2272</v>
      </c>
      <c r="M2193" s="4" t="s">
        <v>2272</v>
      </c>
      <c r="N2193" s="4" t="s">
        <v>2272</v>
      </c>
      <c r="O2193" s="4" t="s">
        <v>2272</v>
      </c>
      <c r="P2193" s="4" t="s">
        <v>2272</v>
      </c>
      <c r="Q2193" s="4" t="s">
        <v>2272</v>
      </c>
      <c r="R2193" s="4" t="s">
        <v>2272</v>
      </c>
      <c r="S2193" s="4" t="s">
        <v>2272</v>
      </c>
      <c r="T2193" s="4" t="s">
        <v>2272</v>
      </c>
      <c r="U2193" s="4" t="s">
        <v>2272</v>
      </c>
      <c r="V2193" s="4" t="s">
        <v>2272</v>
      </c>
      <c r="W2193" s="4" t="s">
        <v>2272</v>
      </c>
      <c r="X2193" s="4" t="s">
        <v>2272</v>
      </c>
      <c r="Y2193" s="4" t="s">
        <v>2272</v>
      </c>
      <c r="Z2193" s="4" t="s">
        <v>2272</v>
      </c>
      <c r="AA2193" s="4" t="s">
        <v>2272</v>
      </c>
      <c r="AB2193" s="4" t="s">
        <v>2272</v>
      </c>
      <c r="AC2193" s="4" t="s">
        <v>2272</v>
      </c>
      <c r="AD2193" s="4"/>
      <c r="AE2193" s="4"/>
    </row>
    <row r="2194" spans="1:31" s="199" customFormat="1" ht="36.5" customHeight="1">
      <c r="A2194" s="4" t="s">
        <v>6154</v>
      </c>
      <c r="B2194" s="4" t="s">
        <v>6677</v>
      </c>
      <c r="C2194" s="198" t="s">
        <v>2653</v>
      </c>
      <c r="D2194" s="4" t="s">
        <v>2272</v>
      </c>
      <c r="E2194" s="198" t="s">
        <v>860</v>
      </c>
      <c r="F2194" s="4" t="s">
        <v>73</v>
      </c>
      <c r="G2194" s="4" t="s">
        <v>73</v>
      </c>
      <c r="H2194" s="4" t="s">
        <v>521</v>
      </c>
      <c r="I2194" s="4"/>
      <c r="J2194" s="71">
        <f>(51/(24046.32/100))/18</f>
        <v>1.1782814723139896E-2</v>
      </c>
      <c r="K2194" s="71">
        <f t="shared" si="1"/>
        <v>9.4919109832421588E-3</v>
      </c>
      <c r="L2194" s="4" t="s">
        <v>2272</v>
      </c>
      <c r="M2194" s="4" t="s">
        <v>2272</v>
      </c>
      <c r="N2194" s="4" t="s">
        <v>2272</v>
      </c>
      <c r="O2194" s="4" t="s">
        <v>2272</v>
      </c>
      <c r="P2194" s="4" t="s">
        <v>2272</v>
      </c>
      <c r="Q2194" s="4" t="s">
        <v>2272</v>
      </c>
      <c r="R2194" s="4" t="s">
        <v>2272</v>
      </c>
      <c r="S2194" s="4" t="s">
        <v>2272</v>
      </c>
      <c r="T2194" s="4" t="s">
        <v>2272</v>
      </c>
      <c r="U2194" s="4" t="s">
        <v>2272</v>
      </c>
      <c r="V2194" s="4" t="s">
        <v>2272</v>
      </c>
      <c r="W2194" s="4" t="s">
        <v>2272</v>
      </c>
      <c r="X2194" s="4" t="s">
        <v>2272</v>
      </c>
      <c r="Y2194" s="4" t="s">
        <v>2272</v>
      </c>
      <c r="Z2194" s="4" t="s">
        <v>2272</v>
      </c>
      <c r="AA2194" s="4" t="s">
        <v>2272</v>
      </c>
      <c r="AB2194" s="4" t="s">
        <v>2272</v>
      </c>
      <c r="AC2194" s="4" t="s">
        <v>2272</v>
      </c>
      <c r="AD2194" s="4"/>
      <c r="AE2194" s="4"/>
    </row>
    <row r="2195" spans="1:31" s="199" customFormat="1" ht="36.5" customHeight="1">
      <c r="A2195" s="4" t="s">
        <v>6154</v>
      </c>
      <c r="B2195" s="4" t="s">
        <v>6678</v>
      </c>
      <c r="C2195" s="4" t="s">
        <v>23</v>
      </c>
      <c r="D2195" s="4" t="s">
        <v>2342</v>
      </c>
      <c r="E2195" s="198" t="s">
        <v>135</v>
      </c>
      <c r="F2195" s="4" t="s">
        <v>73</v>
      </c>
      <c r="G2195" s="4" t="s">
        <v>73</v>
      </c>
      <c r="H2195" s="4" t="s">
        <v>521</v>
      </c>
      <c r="I2195" s="4"/>
      <c r="J2195" s="71">
        <f>(566/(34790/100))/18</f>
        <v>9.0383571268883134E-2</v>
      </c>
      <c r="K2195" s="71">
        <f t="shared" si="1"/>
        <v>7.281051539806821E-2</v>
      </c>
      <c r="L2195" s="4" t="s">
        <v>2272</v>
      </c>
      <c r="M2195" s="4" t="s">
        <v>2272</v>
      </c>
      <c r="N2195" s="4" t="s">
        <v>2272</v>
      </c>
      <c r="O2195" s="4" t="s">
        <v>2272</v>
      </c>
      <c r="P2195" s="4" t="s">
        <v>2272</v>
      </c>
      <c r="Q2195" s="4" t="s">
        <v>2272</v>
      </c>
      <c r="R2195" s="4" t="s">
        <v>2272</v>
      </c>
      <c r="S2195" s="4" t="s">
        <v>2272</v>
      </c>
      <c r="T2195" s="4" t="s">
        <v>2272</v>
      </c>
      <c r="U2195" s="4" t="s">
        <v>2272</v>
      </c>
      <c r="V2195" s="4" t="s">
        <v>2272</v>
      </c>
      <c r="W2195" s="4" t="s">
        <v>2272</v>
      </c>
      <c r="X2195" s="4" t="s">
        <v>2272</v>
      </c>
      <c r="Y2195" s="4" t="s">
        <v>2272</v>
      </c>
      <c r="Z2195" s="4" t="s">
        <v>2272</v>
      </c>
      <c r="AA2195" s="4" t="s">
        <v>2272</v>
      </c>
      <c r="AB2195" s="4" t="s">
        <v>2272</v>
      </c>
      <c r="AC2195" s="4" t="s">
        <v>2272</v>
      </c>
      <c r="AD2195" s="4" t="s">
        <v>6684</v>
      </c>
      <c r="AE2195" s="4"/>
    </row>
    <row r="2196" spans="1:31" s="199" customFormat="1" ht="36.5" customHeight="1">
      <c r="A2196" s="4" t="s">
        <v>6154</v>
      </c>
      <c r="B2196" s="4" t="s">
        <v>6679</v>
      </c>
      <c r="C2196" s="198" t="s">
        <v>2651</v>
      </c>
      <c r="D2196" s="4" t="s">
        <v>2272</v>
      </c>
      <c r="E2196" s="198" t="s">
        <v>135</v>
      </c>
      <c r="F2196" s="4" t="s">
        <v>73</v>
      </c>
      <c r="G2196" s="4" t="s">
        <v>73</v>
      </c>
      <c r="H2196" s="4" t="s">
        <v>521</v>
      </c>
      <c r="I2196" s="4"/>
      <c r="J2196" s="71">
        <f>(72/(34790/100))/18</f>
        <v>1.1497556769186549E-2</v>
      </c>
      <c r="K2196" s="71">
        <f t="shared" si="1"/>
        <v>9.2621150329698088E-3</v>
      </c>
      <c r="L2196" s="4" t="s">
        <v>2272</v>
      </c>
      <c r="M2196" s="4" t="s">
        <v>2272</v>
      </c>
      <c r="N2196" s="4" t="s">
        <v>2272</v>
      </c>
      <c r="O2196" s="4" t="s">
        <v>2272</v>
      </c>
      <c r="P2196" s="4" t="s">
        <v>2272</v>
      </c>
      <c r="Q2196" s="4" t="s">
        <v>2272</v>
      </c>
      <c r="R2196" s="4" t="s">
        <v>2272</v>
      </c>
      <c r="S2196" s="4" t="s">
        <v>2272</v>
      </c>
      <c r="T2196" s="4" t="s">
        <v>2272</v>
      </c>
      <c r="U2196" s="4" t="s">
        <v>2272</v>
      </c>
      <c r="V2196" s="4" t="s">
        <v>2272</v>
      </c>
      <c r="W2196" s="4" t="s">
        <v>2272</v>
      </c>
      <c r="X2196" s="4" t="s">
        <v>2272</v>
      </c>
      <c r="Y2196" s="4" t="s">
        <v>2272</v>
      </c>
      <c r="Z2196" s="4" t="s">
        <v>2272</v>
      </c>
      <c r="AA2196" s="4" t="s">
        <v>2272</v>
      </c>
      <c r="AB2196" s="4" t="s">
        <v>2272</v>
      </c>
      <c r="AC2196" s="4" t="s">
        <v>2272</v>
      </c>
      <c r="AD2196" s="4"/>
      <c r="AE2196" s="4"/>
    </row>
    <row r="2197" spans="1:31" s="199" customFormat="1" ht="36.5" customHeight="1">
      <c r="A2197" s="4" t="s">
        <v>6154</v>
      </c>
      <c r="B2197" s="4" t="s">
        <v>6680</v>
      </c>
      <c r="C2197" s="198" t="s">
        <v>2653</v>
      </c>
      <c r="D2197" s="4" t="s">
        <v>2272</v>
      </c>
      <c r="E2197" s="198" t="s">
        <v>135</v>
      </c>
      <c r="F2197" s="4" t="s">
        <v>73</v>
      </c>
      <c r="G2197" s="4" t="s">
        <v>73</v>
      </c>
      <c r="H2197" s="4" t="s">
        <v>521</v>
      </c>
      <c r="I2197" s="4"/>
      <c r="J2197" s="71">
        <f>(56/(34790/100))/18</f>
        <v>8.9425441538117587E-3</v>
      </c>
      <c r="K2197" s="71">
        <f t="shared" si="1"/>
        <v>7.2038672478654054E-3</v>
      </c>
      <c r="L2197" s="4" t="s">
        <v>2272</v>
      </c>
      <c r="M2197" s="4" t="s">
        <v>2272</v>
      </c>
      <c r="N2197" s="4" t="s">
        <v>2272</v>
      </c>
      <c r="O2197" s="4" t="s">
        <v>2272</v>
      </c>
      <c r="P2197" s="4" t="s">
        <v>2272</v>
      </c>
      <c r="Q2197" s="4" t="s">
        <v>2272</v>
      </c>
      <c r="R2197" s="4" t="s">
        <v>2272</v>
      </c>
      <c r="S2197" s="4" t="s">
        <v>2272</v>
      </c>
      <c r="T2197" s="4" t="s">
        <v>2272</v>
      </c>
      <c r="U2197" s="4" t="s">
        <v>2272</v>
      </c>
      <c r="V2197" s="4" t="s">
        <v>2272</v>
      </c>
      <c r="W2197" s="4" t="s">
        <v>2272</v>
      </c>
      <c r="X2197" s="4" t="s">
        <v>2272</v>
      </c>
      <c r="Y2197" s="4" t="s">
        <v>2272</v>
      </c>
      <c r="Z2197" s="4" t="s">
        <v>2272</v>
      </c>
      <c r="AA2197" s="4" t="s">
        <v>2272</v>
      </c>
      <c r="AB2197" s="4" t="s">
        <v>2272</v>
      </c>
      <c r="AC2197" s="4" t="s">
        <v>2272</v>
      </c>
      <c r="AD2197" s="4"/>
      <c r="AE2197" s="4"/>
    </row>
    <row r="2198" spans="1:31" s="199" customFormat="1" ht="36.5" customHeight="1">
      <c r="A2198" s="4" t="s">
        <v>6154</v>
      </c>
      <c r="B2198" s="4" t="s">
        <v>6681</v>
      </c>
      <c r="C2198" s="4" t="s">
        <v>23</v>
      </c>
      <c r="D2198" s="4" t="s">
        <v>2342</v>
      </c>
      <c r="E2198" s="4" t="s">
        <v>2272</v>
      </c>
      <c r="F2198" s="4" t="s">
        <v>2272</v>
      </c>
      <c r="G2198" s="4" t="s">
        <v>2272</v>
      </c>
      <c r="H2198" s="4" t="s">
        <v>521</v>
      </c>
      <c r="I2198" s="4"/>
      <c r="J2198" s="4" t="s">
        <v>2272</v>
      </c>
      <c r="K2198" s="71">
        <f>(4153/(172737/100))/18</f>
        <v>0.13356850137620904</v>
      </c>
      <c r="L2198" s="4" t="s">
        <v>2272</v>
      </c>
      <c r="M2198" s="4" t="s">
        <v>2272</v>
      </c>
      <c r="N2198" s="4" t="s">
        <v>2272</v>
      </c>
      <c r="O2198" s="4" t="s">
        <v>2272</v>
      </c>
      <c r="P2198" s="4" t="s">
        <v>2272</v>
      </c>
      <c r="Q2198" s="71">
        <f>U2198/(4764*0.87)</f>
        <v>3.7152590791086402</v>
      </c>
      <c r="R2198" s="4" t="s">
        <v>2272</v>
      </c>
      <c r="S2198" s="4" t="s">
        <v>2272</v>
      </c>
      <c r="T2198" s="4" t="s">
        <v>2272</v>
      </c>
      <c r="U2198" s="71">
        <v>15398.56</v>
      </c>
      <c r="V2198" s="4" t="s">
        <v>2272</v>
      </c>
      <c r="W2198" s="4" t="s">
        <v>2272</v>
      </c>
      <c r="X2198" s="4" t="s">
        <v>2272</v>
      </c>
      <c r="Y2198" s="71">
        <f>100*U2198/172737.51</f>
        <v>8.9144274454344039</v>
      </c>
      <c r="Z2198" s="4" t="s">
        <v>2272</v>
      </c>
      <c r="AA2198" s="4" t="s">
        <v>2272</v>
      </c>
      <c r="AB2198" s="4" t="s">
        <v>2272</v>
      </c>
      <c r="AC2198" s="4" t="s">
        <v>2272</v>
      </c>
      <c r="AD2198" s="4" t="s">
        <v>6684</v>
      </c>
      <c r="AE2198" s="4"/>
    </row>
    <row r="2199" spans="1:31" s="199" customFormat="1" ht="36.5" customHeight="1">
      <c r="A2199" s="4" t="s">
        <v>6154</v>
      </c>
      <c r="B2199" s="4" t="s">
        <v>6682</v>
      </c>
      <c r="C2199" s="198" t="s">
        <v>2651</v>
      </c>
      <c r="D2199" s="4" t="s">
        <v>2272</v>
      </c>
      <c r="E2199" s="4" t="s">
        <v>2272</v>
      </c>
      <c r="F2199" s="4" t="s">
        <v>2272</v>
      </c>
      <c r="G2199" s="4" t="s">
        <v>2272</v>
      </c>
      <c r="H2199" s="4" t="s">
        <v>521</v>
      </c>
      <c r="I2199" s="4"/>
      <c r="J2199" s="4" t="s">
        <v>2272</v>
      </c>
      <c r="K2199" s="71">
        <f>(279/(172737/100))/18</f>
        <v>8.9731788788736631E-3</v>
      </c>
      <c r="L2199" s="4" t="s">
        <v>2272</v>
      </c>
      <c r="M2199" s="4" t="s">
        <v>2272</v>
      </c>
      <c r="N2199" s="4" t="s">
        <v>2272</v>
      </c>
      <c r="O2199" s="4" t="s">
        <v>2272</v>
      </c>
      <c r="P2199" s="4" t="s">
        <v>2272</v>
      </c>
      <c r="Q2199" s="71">
        <f>U2199/(0.0546*4764)</f>
        <v>5.9760916119984131</v>
      </c>
      <c r="R2199" s="4" t="s">
        <v>2272</v>
      </c>
      <c r="S2199" s="4" t="s">
        <v>2272</v>
      </c>
      <c r="T2199" s="4" t="s">
        <v>2272</v>
      </c>
      <c r="U2199" s="71">
        <f>0.0786*19776.94</f>
        <v>1554.467484</v>
      </c>
      <c r="V2199" s="4" t="s">
        <v>2272</v>
      </c>
      <c r="W2199" s="4" t="s">
        <v>2272</v>
      </c>
      <c r="X2199" s="4" t="s">
        <v>2272</v>
      </c>
      <c r="Y2199" s="71">
        <f>100*U2199/172737.51</f>
        <v>0.89990152341549901</v>
      </c>
      <c r="Z2199" s="4" t="s">
        <v>2272</v>
      </c>
      <c r="AA2199" s="4" t="s">
        <v>2272</v>
      </c>
      <c r="AB2199" s="4" t="s">
        <v>2272</v>
      </c>
      <c r="AC2199" s="4" t="s">
        <v>2272</v>
      </c>
      <c r="AD2199" s="4"/>
      <c r="AE2199" s="4"/>
    </row>
    <row r="2200" spans="1:31" s="199" customFormat="1" ht="36.5" customHeight="1">
      <c r="A2200" s="4" t="s">
        <v>6154</v>
      </c>
      <c r="B2200" s="4" t="s">
        <v>6683</v>
      </c>
      <c r="C2200" s="198" t="s">
        <v>2653</v>
      </c>
      <c r="D2200" s="4" t="s">
        <v>2272</v>
      </c>
      <c r="E2200" s="4" t="s">
        <v>2272</v>
      </c>
      <c r="F2200" s="4" t="s">
        <v>2272</v>
      </c>
      <c r="G2200" s="4" t="s">
        <v>2272</v>
      </c>
      <c r="H2200" s="4" t="s">
        <v>521</v>
      </c>
      <c r="I2200" s="4"/>
      <c r="J2200" s="4" t="s">
        <v>2272</v>
      </c>
      <c r="K2200" s="71">
        <f>(332/(172737/100))/18</f>
        <v>1.0677761246545006E-2</v>
      </c>
      <c r="L2200" s="4" t="s">
        <v>2272</v>
      </c>
      <c r="M2200" s="4" t="s">
        <v>2272</v>
      </c>
      <c r="N2200" s="4" t="s">
        <v>2272</v>
      </c>
      <c r="O2200" s="4" t="s">
        <v>2272</v>
      </c>
      <c r="P2200" s="4" t="s">
        <v>2272</v>
      </c>
      <c r="Q2200" s="71">
        <f>U2200/(0.0414*4764)</f>
        <v>4.1513308144416454</v>
      </c>
      <c r="R2200" s="4" t="s">
        <v>2272</v>
      </c>
      <c r="S2200" s="4" t="s">
        <v>2272</v>
      </c>
      <c r="T2200" s="4" t="s">
        <v>2272</v>
      </c>
      <c r="U2200" s="71">
        <f>0.0414*19776.94</f>
        <v>818.76531599999998</v>
      </c>
      <c r="V2200" s="4" t="s">
        <v>2272</v>
      </c>
      <c r="W2200" s="4" t="s">
        <v>2272</v>
      </c>
      <c r="X2200" s="4" t="s">
        <v>2272</v>
      </c>
      <c r="Y2200" s="71">
        <f>100*U2200/172737.51</f>
        <v>0.4739939321806827</v>
      </c>
      <c r="Z2200" s="4" t="s">
        <v>2272</v>
      </c>
      <c r="AA2200" s="4" t="s">
        <v>2272</v>
      </c>
      <c r="AB2200" s="4" t="s">
        <v>2272</v>
      </c>
      <c r="AC2200" s="4" t="s">
        <v>2272</v>
      </c>
      <c r="AD2200" s="4"/>
      <c r="AE2200" s="4"/>
    </row>
    <row r="2201" spans="1:31" s="199" customFormat="1" ht="53.5" customHeight="1">
      <c r="A2201" s="4" t="s">
        <v>6155</v>
      </c>
      <c r="B2201" s="4" t="s">
        <v>6207</v>
      </c>
      <c r="C2201" s="198" t="s">
        <v>1102</v>
      </c>
      <c r="D2201" s="198" t="s">
        <v>1102</v>
      </c>
      <c r="E2201" s="198" t="s">
        <v>1102</v>
      </c>
      <c r="F2201" s="4" t="s">
        <v>2272</v>
      </c>
      <c r="G2201" s="4" t="s">
        <v>2272</v>
      </c>
      <c r="H2201" s="4" t="s">
        <v>521</v>
      </c>
      <c r="I2201" s="4"/>
      <c r="J2201" s="4" t="s">
        <v>2272</v>
      </c>
      <c r="K2201" s="71">
        <f>4000/'Record info'!$K945</f>
        <v>0.13525393927098125</v>
      </c>
      <c r="L2201" s="4" t="s">
        <v>2272</v>
      </c>
      <c r="M2201" s="4" t="s">
        <v>2272</v>
      </c>
      <c r="N2201" s="4" t="s">
        <v>2272</v>
      </c>
      <c r="O2201" s="4" t="s">
        <v>2272</v>
      </c>
      <c r="P2201" s="4" t="s">
        <v>2272</v>
      </c>
      <c r="Q2201" s="71">
        <f>20000/4000</f>
        <v>5</v>
      </c>
      <c r="R2201" s="4" t="s">
        <v>2272</v>
      </c>
      <c r="S2201" s="4" t="s">
        <v>2272</v>
      </c>
      <c r="T2201" s="4" t="s">
        <v>2272</v>
      </c>
      <c r="U2201" s="71">
        <v>20000</v>
      </c>
      <c r="V2201" s="4" t="s">
        <v>2272</v>
      </c>
      <c r="W2201" s="4" t="s">
        <v>2272</v>
      </c>
      <c r="X2201" s="4" t="s">
        <v>2272</v>
      </c>
      <c r="Y2201" s="71">
        <f>20000/'Record info'!K945</f>
        <v>0.6762696963549063</v>
      </c>
      <c r="Z2201" s="4" t="s">
        <v>2272</v>
      </c>
      <c r="AA2201" s="4" t="s">
        <v>2272</v>
      </c>
      <c r="AB2201" s="4" t="s">
        <v>2272</v>
      </c>
      <c r="AC2201" s="4" t="s">
        <v>2272</v>
      </c>
      <c r="AD2201" s="4"/>
      <c r="AE2201" s="4"/>
    </row>
    <row r="2202" spans="1:31" s="199" customFormat="1" ht="48.5" customHeight="1">
      <c r="A2202" s="4" t="s">
        <v>6155</v>
      </c>
      <c r="B2202" s="4" t="s">
        <v>6208</v>
      </c>
      <c r="C2202" s="4" t="s">
        <v>23</v>
      </c>
      <c r="D2202" s="4" t="s">
        <v>1128</v>
      </c>
      <c r="E2202" s="4" t="s">
        <v>2644</v>
      </c>
      <c r="F2202" s="4" t="s">
        <v>2658</v>
      </c>
      <c r="G2202" s="4" t="s">
        <v>2658</v>
      </c>
      <c r="H2202" s="4" t="s">
        <v>521</v>
      </c>
      <c r="I2202" s="4"/>
      <c r="J2202" s="4" t="s">
        <v>2272</v>
      </c>
      <c r="K2202" s="4" t="s">
        <v>2272</v>
      </c>
      <c r="L2202" s="4" t="s">
        <v>2272</v>
      </c>
      <c r="M2202" s="4" t="s">
        <v>2272</v>
      </c>
      <c r="N2202" s="4" t="s">
        <v>2272</v>
      </c>
      <c r="O2202" s="4" t="s">
        <v>2272</v>
      </c>
      <c r="P2202" s="4" t="s">
        <v>2272</v>
      </c>
      <c r="Q2202" s="4" t="s">
        <v>2272</v>
      </c>
      <c r="R2202" s="4" t="s">
        <v>2272</v>
      </c>
      <c r="S2202" s="4" t="s">
        <v>2272</v>
      </c>
      <c r="T2202" s="4" t="s">
        <v>2272</v>
      </c>
      <c r="U2202" s="4" t="s">
        <v>2272</v>
      </c>
      <c r="V2202" s="4" t="s">
        <v>2272</v>
      </c>
      <c r="W2202" s="4" t="s">
        <v>2272</v>
      </c>
      <c r="X2202" s="4" t="s">
        <v>2272</v>
      </c>
      <c r="Y2202" s="4" t="s">
        <v>2272</v>
      </c>
      <c r="Z2202" s="4" t="s">
        <v>2272</v>
      </c>
      <c r="AA2202" s="4" t="s">
        <v>2272</v>
      </c>
      <c r="AB2202" s="4" t="s">
        <v>2272</v>
      </c>
      <c r="AC2202" s="4" t="s">
        <v>2272</v>
      </c>
      <c r="AD2202" s="4"/>
      <c r="AE2202" s="4"/>
    </row>
    <row r="2203" spans="1:31" s="199" customFormat="1" ht="53" customHeight="1">
      <c r="A2203" s="4" t="s">
        <v>6155</v>
      </c>
      <c r="B2203" s="4" t="s">
        <v>6209</v>
      </c>
      <c r="C2203" s="4" t="s">
        <v>23</v>
      </c>
      <c r="D2203" s="198" t="s">
        <v>2654</v>
      </c>
      <c r="E2203" s="4" t="s">
        <v>3850</v>
      </c>
      <c r="F2203" s="4" t="s">
        <v>27</v>
      </c>
      <c r="G2203" s="4" t="s">
        <v>2272</v>
      </c>
      <c r="H2203" s="4" t="s">
        <v>521</v>
      </c>
      <c r="I2203" s="4"/>
      <c r="J2203" s="4" t="s">
        <v>2272</v>
      </c>
      <c r="K2203" s="4" t="s">
        <v>2272</v>
      </c>
      <c r="L2203" s="4" t="s">
        <v>2272</v>
      </c>
      <c r="M2203" s="4" t="s">
        <v>2272</v>
      </c>
      <c r="N2203" s="4" t="s">
        <v>2272</v>
      </c>
      <c r="O2203" s="4" t="s">
        <v>2272</v>
      </c>
      <c r="P2203" s="4" t="s">
        <v>2272</v>
      </c>
      <c r="Q2203" s="4" t="s">
        <v>2272</v>
      </c>
      <c r="R2203" s="4" t="s">
        <v>2272</v>
      </c>
      <c r="S2203" s="4" t="s">
        <v>2272</v>
      </c>
      <c r="T2203" s="4" t="s">
        <v>2272</v>
      </c>
      <c r="U2203" s="4" t="s">
        <v>2272</v>
      </c>
      <c r="V2203" s="4" t="s">
        <v>2272</v>
      </c>
      <c r="W2203" s="4" t="s">
        <v>2272</v>
      </c>
      <c r="X2203" s="4" t="s">
        <v>2272</v>
      </c>
      <c r="Y2203" s="4" t="s">
        <v>2272</v>
      </c>
      <c r="Z2203" s="4" t="s">
        <v>2272</v>
      </c>
      <c r="AA2203" s="4" t="s">
        <v>2272</v>
      </c>
      <c r="AB2203" s="4" t="s">
        <v>2272</v>
      </c>
      <c r="AC2203" s="4" t="s">
        <v>2272</v>
      </c>
      <c r="AD2203" s="4" t="s">
        <v>6690</v>
      </c>
      <c r="AE2203" s="4"/>
    </row>
    <row r="2204" spans="1:31" s="199" customFormat="1" ht="53" customHeight="1">
      <c r="A2204" s="4" t="s">
        <v>6155</v>
      </c>
      <c r="B2204" s="4" t="s">
        <v>6210</v>
      </c>
      <c r="C2204" s="4" t="s">
        <v>23</v>
      </c>
      <c r="D2204" s="4" t="s">
        <v>24</v>
      </c>
      <c r="E2204" s="4" t="s">
        <v>3850</v>
      </c>
      <c r="F2204" s="4" t="s">
        <v>28</v>
      </c>
      <c r="G2204" s="4" t="s">
        <v>2272</v>
      </c>
      <c r="H2204" s="4" t="s">
        <v>521</v>
      </c>
      <c r="I2204" s="4"/>
      <c r="J2204" s="4" t="s">
        <v>2272</v>
      </c>
      <c r="K2204" s="4" t="s">
        <v>2272</v>
      </c>
      <c r="L2204" s="4" t="s">
        <v>2272</v>
      </c>
      <c r="M2204" s="4" t="s">
        <v>2272</v>
      </c>
      <c r="N2204" s="4" t="s">
        <v>2272</v>
      </c>
      <c r="O2204" s="4" t="s">
        <v>2272</v>
      </c>
      <c r="P2204" s="4" t="s">
        <v>2272</v>
      </c>
      <c r="Q2204" s="4" t="s">
        <v>2272</v>
      </c>
      <c r="R2204" s="4" t="s">
        <v>2272</v>
      </c>
      <c r="S2204" s="4" t="s">
        <v>2272</v>
      </c>
      <c r="T2204" s="4" t="s">
        <v>2272</v>
      </c>
      <c r="U2204" s="4" t="s">
        <v>2272</v>
      </c>
      <c r="V2204" s="4" t="s">
        <v>2272</v>
      </c>
      <c r="W2204" s="4" t="s">
        <v>2272</v>
      </c>
      <c r="X2204" s="4" t="s">
        <v>2272</v>
      </c>
      <c r="Y2204" s="4" t="s">
        <v>2272</v>
      </c>
      <c r="Z2204" s="4" t="s">
        <v>2272</v>
      </c>
      <c r="AA2204" s="4" t="s">
        <v>2272</v>
      </c>
      <c r="AB2204" s="4" t="s">
        <v>2272</v>
      </c>
      <c r="AC2204" s="4" t="s">
        <v>2272</v>
      </c>
      <c r="AD2204" s="4" t="s">
        <v>6691</v>
      </c>
      <c r="AE2204" s="4"/>
    </row>
    <row r="2205" spans="1:31" s="199" customFormat="1" ht="57.5" customHeight="1">
      <c r="A2205" s="4" t="s">
        <v>6155</v>
      </c>
      <c r="B2205" s="4" t="s">
        <v>6254</v>
      </c>
      <c r="C2205" s="4" t="s">
        <v>23</v>
      </c>
      <c r="D2205" s="198" t="s">
        <v>2227</v>
      </c>
      <c r="E2205" s="4" t="s">
        <v>3850</v>
      </c>
      <c r="F2205" s="4" t="s">
        <v>2657</v>
      </c>
      <c r="G2205" s="4" t="s">
        <v>2272</v>
      </c>
      <c r="H2205" s="4" t="s">
        <v>521</v>
      </c>
      <c r="I2205" s="4"/>
      <c r="J2205" s="4" t="s">
        <v>2272</v>
      </c>
      <c r="K2205" s="4" t="s">
        <v>2272</v>
      </c>
      <c r="L2205" s="4" t="s">
        <v>2272</v>
      </c>
      <c r="M2205" s="4" t="s">
        <v>2272</v>
      </c>
      <c r="N2205" s="4" t="s">
        <v>2272</v>
      </c>
      <c r="O2205" s="4" t="s">
        <v>2272</v>
      </c>
      <c r="P2205" s="4" t="s">
        <v>2272</v>
      </c>
      <c r="Q2205" s="4" t="s">
        <v>2272</v>
      </c>
      <c r="R2205" s="4" t="s">
        <v>2272</v>
      </c>
      <c r="S2205" s="4" t="s">
        <v>2272</v>
      </c>
      <c r="T2205" s="4" t="s">
        <v>2272</v>
      </c>
      <c r="U2205" s="4" t="s">
        <v>2272</v>
      </c>
      <c r="V2205" s="4" t="s">
        <v>2272</v>
      </c>
      <c r="W2205" s="4" t="s">
        <v>2272</v>
      </c>
      <c r="X2205" s="4" t="s">
        <v>2272</v>
      </c>
      <c r="Y2205" s="4" t="s">
        <v>2272</v>
      </c>
      <c r="Z2205" s="4" t="s">
        <v>2272</v>
      </c>
      <c r="AA2205" s="4" t="s">
        <v>2272</v>
      </c>
      <c r="AB2205" s="4" t="s">
        <v>2272</v>
      </c>
      <c r="AC2205" s="4" t="s">
        <v>2272</v>
      </c>
      <c r="AD2205" s="4" t="s">
        <v>6690</v>
      </c>
      <c r="AE2205" s="4"/>
    </row>
    <row r="2206" spans="1:31" s="199" customFormat="1" ht="52" customHeight="1">
      <c r="A2206" s="4" t="s">
        <v>6155</v>
      </c>
      <c r="B2206" s="4" t="s">
        <v>6255</v>
      </c>
      <c r="C2206" s="4" t="s">
        <v>23</v>
      </c>
      <c r="D2206" s="4" t="s">
        <v>2342</v>
      </c>
      <c r="E2206" s="4" t="s">
        <v>2272</v>
      </c>
      <c r="F2206" s="4" t="s">
        <v>2272</v>
      </c>
      <c r="G2206" s="4" t="s">
        <v>2272</v>
      </c>
      <c r="H2206" s="4" t="s">
        <v>521</v>
      </c>
      <c r="I2206" s="4"/>
      <c r="J2206" s="4" t="s">
        <v>2272</v>
      </c>
      <c r="K2206" s="4" t="s">
        <v>2272</v>
      </c>
      <c r="L2206" s="4" t="s">
        <v>2272</v>
      </c>
      <c r="M2206" s="4" t="s">
        <v>2272</v>
      </c>
      <c r="N2206" s="4" t="s">
        <v>2272</v>
      </c>
      <c r="O2206" s="4" t="s">
        <v>2272</v>
      </c>
      <c r="P2206" s="4" t="s">
        <v>2272</v>
      </c>
      <c r="Q2206" s="4" t="s">
        <v>2272</v>
      </c>
      <c r="R2206" s="4" t="s">
        <v>2272</v>
      </c>
      <c r="S2206" s="4" t="s">
        <v>2272</v>
      </c>
      <c r="T2206" s="4" t="s">
        <v>2272</v>
      </c>
      <c r="U2206" s="4" t="s">
        <v>2272</v>
      </c>
      <c r="V2206" s="4" t="s">
        <v>2272</v>
      </c>
      <c r="W2206" s="4" t="s">
        <v>2272</v>
      </c>
      <c r="X2206" s="4" t="s">
        <v>2272</v>
      </c>
      <c r="Y2206" s="4" t="s">
        <v>2272</v>
      </c>
      <c r="Z2206" s="4" t="s">
        <v>2272</v>
      </c>
      <c r="AA2206" s="4" t="s">
        <v>2272</v>
      </c>
      <c r="AB2206" s="4" t="s">
        <v>2272</v>
      </c>
      <c r="AC2206" s="4" t="s">
        <v>2272</v>
      </c>
      <c r="AD2206" s="4" t="s">
        <v>6692</v>
      </c>
      <c r="AE2206" s="4"/>
    </row>
    <row r="2207" spans="1:31" s="199" customFormat="1" ht="52" customHeight="1">
      <c r="A2207" s="4" t="s">
        <v>6155</v>
      </c>
      <c r="B2207" s="4" t="s">
        <v>6685</v>
      </c>
      <c r="C2207" s="198" t="s">
        <v>2453</v>
      </c>
      <c r="D2207" s="198" t="s">
        <v>2989</v>
      </c>
      <c r="E2207" s="4" t="s">
        <v>2648</v>
      </c>
      <c r="F2207" s="4" t="s">
        <v>2272</v>
      </c>
      <c r="G2207" s="4" t="s">
        <v>2272</v>
      </c>
      <c r="H2207" s="4" t="s">
        <v>521</v>
      </c>
      <c r="I2207" s="4"/>
      <c r="J2207" s="4" t="s">
        <v>2272</v>
      </c>
      <c r="K2207" s="4" t="s">
        <v>2272</v>
      </c>
      <c r="L2207" s="4" t="s">
        <v>2272</v>
      </c>
      <c r="M2207" s="4" t="s">
        <v>2272</v>
      </c>
      <c r="N2207" s="4" t="s">
        <v>2272</v>
      </c>
      <c r="O2207" s="4" t="s">
        <v>2272</v>
      </c>
      <c r="P2207" s="4" t="s">
        <v>2272</v>
      </c>
      <c r="Q2207" s="4" t="s">
        <v>2272</v>
      </c>
      <c r="R2207" s="4" t="s">
        <v>2272</v>
      </c>
      <c r="S2207" s="4" t="s">
        <v>2272</v>
      </c>
      <c r="T2207" s="4" t="s">
        <v>2272</v>
      </c>
      <c r="U2207" s="4" t="s">
        <v>2272</v>
      </c>
      <c r="V2207" s="4" t="s">
        <v>2272</v>
      </c>
      <c r="W2207" s="4" t="s">
        <v>2272</v>
      </c>
      <c r="X2207" s="4" t="s">
        <v>2272</v>
      </c>
      <c r="Y2207" s="4" t="s">
        <v>2272</v>
      </c>
      <c r="Z2207" s="4" t="s">
        <v>2272</v>
      </c>
      <c r="AA2207" s="4" t="s">
        <v>2272</v>
      </c>
      <c r="AB2207" s="4" t="s">
        <v>2272</v>
      </c>
      <c r="AC2207" s="4" t="s">
        <v>2272</v>
      </c>
      <c r="AD2207" s="4" t="s">
        <v>6693</v>
      </c>
      <c r="AE2207" s="4"/>
    </row>
    <row r="2208" spans="1:31" s="199" customFormat="1" ht="55.5" customHeight="1">
      <c r="A2208" s="4" t="s">
        <v>6155</v>
      </c>
      <c r="B2208" s="4" t="s">
        <v>6687</v>
      </c>
      <c r="C2208" s="4" t="s">
        <v>23</v>
      </c>
      <c r="D2208" s="198" t="s">
        <v>1241</v>
      </c>
      <c r="E2208" s="4" t="s">
        <v>3850</v>
      </c>
      <c r="F2208" s="4" t="s">
        <v>2272</v>
      </c>
      <c r="G2208" s="4" t="s">
        <v>2272</v>
      </c>
      <c r="H2208" s="4" t="s">
        <v>521</v>
      </c>
      <c r="I2208" s="4"/>
      <c r="J2208" s="4" t="s">
        <v>2272</v>
      </c>
      <c r="K2208" s="4" t="s">
        <v>2272</v>
      </c>
      <c r="L2208" s="4" t="s">
        <v>2272</v>
      </c>
      <c r="M2208" s="4" t="s">
        <v>2272</v>
      </c>
      <c r="N2208" s="4" t="s">
        <v>2272</v>
      </c>
      <c r="O2208" s="4" t="s">
        <v>2272</v>
      </c>
      <c r="P2208" s="4" t="s">
        <v>2272</v>
      </c>
      <c r="Q2208" s="4" t="s">
        <v>2272</v>
      </c>
      <c r="R2208" s="4" t="s">
        <v>2272</v>
      </c>
      <c r="S2208" s="4" t="s">
        <v>2272</v>
      </c>
      <c r="T2208" s="4" t="s">
        <v>2272</v>
      </c>
      <c r="U2208" s="4" t="s">
        <v>2272</v>
      </c>
      <c r="V2208" s="4" t="s">
        <v>2272</v>
      </c>
      <c r="W2208" s="4" t="s">
        <v>2272</v>
      </c>
      <c r="X2208" s="4" t="s">
        <v>2272</v>
      </c>
      <c r="Y2208" s="4" t="s">
        <v>2272</v>
      </c>
      <c r="Z2208" s="4" t="s">
        <v>2272</v>
      </c>
      <c r="AA2208" s="4" t="s">
        <v>2272</v>
      </c>
      <c r="AB2208" s="4" t="s">
        <v>2272</v>
      </c>
      <c r="AC2208" s="4" t="s">
        <v>2272</v>
      </c>
      <c r="AD2208" s="4" t="s">
        <v>6693</v>
      </c>
      <c r="AE2208" s="4"/>
    </row>
    <row r="2209" spans="1:31" s="199" customFormat="1" ht="52" customHeight="1">
      <c r="A2209" s="4" t="s">
        <v>6155</v>
      </c>
      <c r="B2209" s="4" t="s">
        <v>6688</v>
      </c>
      <c r="C2209" s="198" t="s">
        <v>30</v>
      </c>
      <c r="D2209" s="198" t="s">
        <v>29</v>
      </c>
      <c r="E2209" s="198" t="s">
        <v>2272</v>
      </c>
      <c r="F2209" s="198" t="s">
        <v>2272</v>
      </c>
      <c r="G2209" s="198" t="s">
        <v>2272</v>
      </c>
      <c r="H2209" s="4" t="s">
        <v>521</v>
      </c>
      <c r="I2209" s="4"/>
      <c r="J2209" s="4" t="s">
        <v>2272</v>
      </c>
      <c r="K2209" s="4" t="s">
        <v>2272</v>
      </c>
      <c r="L2209" s="4" t="s">
        <v>2272</v>
      </c>
      <c r="M2209" s="4" t="s">
        <v>2272</v>
      </c>
      <c r="N2209" s="4" t="s">
        <v>2272</v>
      </c>
      <c r="O2209" s="4" t="s">
        <v>2272</v>
      </c>
      <c r="P2209" s="4" t="s">
        <v>2272</v>
      </c>
      <c r="Q2209" s="4" t="s">
        <v>2272</v>
      </c>
      <c r="R2209" s="4" t="s">
        <v>2272</v>
      </c>
      <c r="S2209" s="4" t="s">
        <v>2272</v>
      </c>
      <c r="T2209" s="4" t="s">
        <v>2272</v>
      </c>
      <c r="U2209" s="4" t="s">
        <v>2272</v>
      </c>
      <c r="V2209" s="4" t="s">
        <v>2272</v>
      </c>
      <c r="W2209" s="4" t="s">
        <v>2272</v>
      </c>
      <c r="X2209" s="4" t="s">
        <v>2272</v>
      </c>
      <c r="Y2209" s="4" t="s">
        <v>2272</v>
      </c>
      <c r="Z2209" s="4" t="s">
        <v>2272</v>
      </c>
      <c r="AA2209" s="4" t="s">
        <v>2272</v>
      </c>
      <c r="AB2209" s="4" t="s">
        <v>2272</v>
      </c>
      <c r="AC2209" s="4" t="s">
        <v>2272</v>
      </c>
      <c r="AD2209" s="4" t="s">
        <v>6693</v>
      </c>
      <c r="AE2209" s="4"/>
    </row>
    <row r="2210" spans="1:31" s="199" customFormat="1" ht="52" customHeight="1">
      <c r="A2210" s="4" t="s">
        <v>6155</v>
      </c>
      <c r="B2210" s="4" t="s">
        <v>6689</v>
      </c>
      <c r="C2210" s="198" t="s">
        <v>2651</v>
      </c>
      <c r="D2210" s="198" t="s">
        <v>2272</v>
      </c>
      <c r="E2210" s="198" t="s">
        <v>2272</v>
      </c>
      <c r="F2210" s="198" t="s">
        <v>2272</v>
      </c>
      <c r="G2210" s="198" t="s">
        <v>2272</v>
      </c>
      <c r="H2210" s="4" t="s">
        <v>521</v>
      </c>
      <c r="I2210" s="4"/>
      <c r="J2210" s="4" t="s">
        <v>2272</v>
      </c>
      <c r="K2210" s="4" t="s">
        <v>2272</v>
      </c>
      <c r="L2210" s="4" t="s">
        <v>2272</v>
      </c>
      <c r="M2210" s="4" t="s">
        <v>2272</v>
      </c>
      <c r="N2210" s="4" t="s">
        <v>2272</v>
      </c>
      <c r="O2210" s="4" t="s">
        <v>2272</v>
      </c>
      <c r="P2210" s="4" t="s">
        <v>2272</v>
      </c>
      <c r="Q2210" s="4" t="s">
        <v>2272</v>
      </c>
      <c r="R2210" s="4" t="s">
        <v>2272</v>
      </c>
      <c r="S2210" s="4" t="s">
        <v>2272</v>
      </c>
      <c r="T2210" s="4" t="s">
        <v>2272</v>
      </c>
      <c r="U2210" s="4" t="s">
        <v>2272</v>
      </c>
      <c r="V2210" s="4" t="s">
        <v>2272</v>
      </c>
      <c r="W2210" s="4" t="s">
        <v>2272</v>
      </c>
      <c r="X2210" s="4" t="s">
        <v>2272</v>
      </c>
      <c r="Y2210" s="4" t="s">
        <v>2272</v>
      </c>
      <c r="Z2210" s="4" t="s">
        <v>2272</v>
      </c>
      <c r="AA2210" s="4" t="s">
        <v>2272</v>
      </c>
      <c r="AB2210" s="4" t="s">
        <v>2272</v>
      </c>
      <c r="AC2210" s="4" t="s">
        <v>2272</v>
      </c>
      <c r="AD2210" s="4"/>
      <c r="AE2210" s="4"/>
    </row>
    <row r="2211" spans="1:31" s="199" customFormat="1" ht="36.5" customHeight="1">
      <c r="A2211" s="4" t="s">
        <v>6156</v>
      </c>
      <c r="B2211" s="4" t="s">
        <v>6211</v>
      </c>
      <c r="C2211" s="198" t="s">
        <v>1102</v>
      </c>
      <c r="D2211" s="198" t="s">
        <v>1102</v>
      </c>
      <c r="E2211" s="198" t="s">
        <v>1102</v>
      </c>
      <c r="F2211" s="198" t="s">
        <v>2272</v>
      </c>
      <c r="G2211" s="198" t="s">
        <v>2272</v>
      </c>
      <c r="H2211" s="4" t="s">
        <v>521</v>
      </c>
      <c r="I2211" s="4">
        <v>2003</v>
      </c>
      <c r="J2211" s="4" t="s">
        <v>2272</v>
      </c>
      <c r="K2211" s="4" t="s">
        <v>2272</v>
      </c>
      <c r="L2211" s="4" t="s">
        <v>2272</v>
      </c>
      <c r="M2211" s="4" t="s">
        <v>2272</v>
      </c>
      <c r="N2211" s="4" t="s">
        <v>2272</v>
      </c>
      <c r="O2211" s="4" t="s">
        <v>2272</v>
      </c>
      <c r="P2211" s="4" t="s">
        <v>2272</v>
      </c>
      <c r="Q2211" s="4" t="s">
        <v>2272</v>
      </c>
      <c r="R2211" s="4" t="s">
        <v>2272</v>
      </c>
      <c r="S2211" s="4" t="s">
        <v>2272</v>
      </c>
      <c r="T2211" s="4" t="s">
        <v>2272</v>
      </c>
      <c r="U2211" s="206">
        <v>17000</v>
      </c>
      <c r="V2211" s="4" t="s">
        <v>2272</v>
      </c>
      <c r="W2211" s="4" t="s">
        <v>2272</v>
      </c>
      <c r="X2211" s="4" t="s">
        <v>2272</v>
      </c>
      <c r="Y2211" s="71">
        <f>U2211/'Record info'!K946</f>
        <v>0.70539419087136934</v>
      </c>
      <c r="Z2211" s="4" t="s">
        <v>2272</v>
      </c>
      <c r="AA2211" s="198" t="s">
        <v>84</v>
      </c>
      <c r="AB2211" s="198" t="s">
        <v>403</v>
      </c>
      <c r="AC2211" s="4" t="s">
        <v>2272</v>
      </c>
      <c r="AD2211" s="4"/>
      <c r="AE2211" s="198" t="s">
        <v>6701</v>
      </c>
    </row>
    <row r="2212" spans="1:31" s="199" customFormat="1" ht="36.5" customHeight="1">
      <c r="A2212" s="4" t="s">
        <v>6157</v>
      </c>
      <c r="B2212" s="4" t="s">
        <v>6212</v>
      </c>
      <c r="C2212" s="198" t="s">
        <v>1102</v>
      </c>
      <c r="D2212" s="198" t="s">
        <v>1102</v>
      </c>
      <c r="E2212" s="198" t="s">
        <v>1102</v>
      </c>
      <c r="F2212" s="198" t="s">
        <v>2272</v>
      </c>
      <c r="G2212" s="198" t="s">
        <v>2272</v>
      </c>
      <c r="H2212" s="4" t="s">
        <v>521</v>
      </c>
      <c r="I2212" s="4">
        <v>2003</v>
      </c>
      <c r="J2212" s="4" t="s">
        <v>2272</v>
      </c>
      <c r="K2212" s="4" t="s">
        <v>2272</v>
      </c>
      <c r="L2212" s="4" t="s">
        <v>2272</v>
      </c>
      <c r="M2212" s="4" t="s">
        <v>2272</v>
      </c>
      <c r="N2212" s="4" t="s">
        <v>2272</v>
      </c>
      <c r="O2212" s="4" t="s">
        <v>2272</v>
      </c>
      <c r="P2212" s="4" t="s">
        <v>2272</v>
      </c>
      <c r="Q2212" s="4" t="s">
        <v>2272</v>
      </c>
      <c r="R2212" s="4" t="s">
        <v>2272</v>
      </c>
      <c r="S2212" s="4" t="s">
        <v>2272</v>
      </c>
      <c r="T2212" s="4" t="s">
        <v>2272</v>
      </c>
      <c r="U2212" s="71">
        <v>5000</v>
      </c>
      <c r="V2212" s="4" t="s">
        <v>2272</v>
      </c>
      <c r="W2212" s="4" t="s">
        <v>2272</v>
      </c>
      <c r="X2212" s="4" t="s">
        <v>2272</v>
      </c>
      <c r="Y2212" s="71">
        <f>U2212/'Record info'!K947</f>
        <v>0.57471264367816088</v>
      </c>
      <c r="Z2212" s="4" t="s">
        <v>2272</v>
      </c>
      <c r="AA2212" s="198" t="s">
        <v>84</v>
      </c>
      <c r="AB2212" s="198" t="s">
        <v>403</v>
      </c>
      <c r="AC2212" s="4" t="s">
        <v>2272</v>
      </c>
      <c r="AD2212" s="4"/>
      <c r="AE2212" s="198" t="s">
        <v>6701</v>
      </c>
    </row>
    <row r="2213" spans="1:31" s="199" customFormat="1" ht="36.5" customHeight="1">
      <c r="A2213" s="4" t="s">
        <v>6158</v>
      </c>
      <c r="B2213" s="4" t="s">
        <v>6213</v>
      </c>
      <c r="C2213" s="198" t="s">
        <v>1102</v>
      </c>
      <c r="D2213" s="198" t="s">
        <v>1102</v>
      </c>
      <c r="E2213" s="198" t="s">
        <v>1102</v>
      </c>
      <c r="F2213" s="198" t="s">
        <v>2272</v>
      </c>
      <c r="G2213" s="198" t="s">
        <v>2272</v>
      </c>
      <c r="H2213" s="4" t="s">
        <v>521</v>
      </c>
      <c r="I2213" s="4">
        <v>2003</v>
      </c>
      <c r="J2213" s="4" t="s">
        <v>2272</v>
      </c>
      <c r="K2213" s="4" t="s">
        <v>2272</v>
      </c>
      <c r="L2213" s="4" t="s">
        <v>2272</v>
      </c>
      <c r="M2213" s="4" t="s">
        <v>2272</v>
      </c>
      <c r="N2213" s="4" t="s">
        <v>2272</v>
      </c>
      <c r="O2213" s="4">
        <v>10500</v>
      </c>
      <c r="P2213" s="4" t="s">
        <v>2272</v>
      </c>
      <c r="Q2213" s="4" t="s">
        <v>2272</v>
      </c>
      <c r="R2213" s="4" t="s">
        <v>2272</v>
      </c>
      <c r="S2213" s="4" t="s">
        <v>2272</v>
      </c>
      <c r="T2213" s="4" t="s">
        <v>2272</v>
      </c>
      <c r="U2213" s="71">
        <v>4700</v>
      </c>
      <c r="V2213" s="4" t="s">
        <v>2272</v>
      </c>
      <c r="W2213" s="4" t="s">
        <v>2272</v>
      </c>
      <c r="X2213" s="4" t="s">
        <v>2272</v>
      </c>
      <c r="Y2213" s="71">
        <f>U2213/'Record info'!K948</f>
        <v>0.14641744548286603</v>
      </c>
      <c r="Z2213" s="4" t="s">
        <v>2272</v>
      </c>
      <c r="AA2213" s="198" t="s">
        <v>84</v>
      </c>
      <c r="AB2213" s="198" t="s">
        <v>403</v>
      </c>
      <c r="AC2213" s="4" t="s">
        <v>2272</v>
      </c>
      <c r="AD2213" s="4"/>
      <c r="AE2213" s="198" t="s">
        <v>6701</v>
      </c>
    </row>
    <row r="2214" spans="1:31" s="199" customFormat="1" ht="36.5" customHeight="1">
      <c r="A2214" s="4" t="s">
        <v>6156</v>
      </c>
      <c r="B2214" s="4" t="s">
        <v>6694</v>
      </c>
      <c r="C2214" s="198" t="s">
        <v>1102</v>
      </c>
      <c r="D2214" s="198" t="s">
        <v>1102</v>
      </c>
      <c r="E2214" s="198" t="s">
        <v>1102</v>
      </c>
      <c r="F2214" s="198" t="s">
        <v>2272</v>
      </c>
      <c r="G2214" s="4" t="s">
        <v>73</v>
      </c>
      <c r="H2214" s="4" t="s">
        <v>521</v>
      </c>
      <c r="I2214" s="4"/>
      <c r="J2214" s="4" t="s">
        <v>2272</v>
      </c>
      <c r="K2214" s="4" t="s">
        <v>2272</v>
      </c>
      <c r="L2214" s="4" t="s">
        <v>2272</v>
      </c>
      <c r="M2214" s="4" t="s">
        <v>2272</v>
      </c>
      <c r="N2214" s="4" t="s">
        <v>2272</v>
      </c>
      <c r="O2214" s="4" t="s">
        <v>2272</v>
      </c>
      <c r="P2214" s="4" t="s">
        <v>2272</v>
      </c>
      <c r="Q2214" s="4" t="s">
        <v>2272</v>
      </c>
      <c r="R2214" s="4" t="s">
        <v>2272</v>
      </c>
      <c r="S2214" s="4" t="s">
        <v>2272</v>
      </c>
      <c r="T2214" s="4" t="s">
        <v>2272</v>
      </c>
      <c r="U2214" s="71">
        <v>1200</v>
      </c>
      <c r="V2214" s="4" t="s">
        <v>2272</v>
      </c>
      <c r="W2214" s="71">
        <v>0.87</v>
      </c>
      <c r="X2214" s="4" t="s">
        <v>2272</v>
      </c>
      <c r="Y2214" s="4" t="s">
        <v>2272</v>
      </c>
      <c r="Z2214" s="4" t="s">
        <v>2272</v>
      </c>
      <c r="AA2214" s="198" t="s">
        <v>84</v>
      </c>
      <c r="AB2214" s="198" t="s">
        <v>403</v>
      </c>
      <c r="AC2214" s="4" t="s">
        <v>2272</v>
      </c>
      <c r="AD2214" s="4"/>
      <c r="AE2214" s="4" t="s">
        <v>6697</v>
      </c>
    </row>
    <row r="2215" spans="1:31" s="199" customFormat="1" ht="36.5" customHeight="1">
      <c r="A2215" s="4" t="s">
        <v>6157</v>
      </c>
      <c r="B2215" s="4" t="s">
        <v>6695</v>
      </c>
      <c r="C2215" s="198" t="s">
        <v>1102</v>
      </c>
      <c r="D2215" s="198" t="s">
        <v>1102</v>
      </c>
      <c r="E2215" s="198" t="s">
        <v>1102</v>
      </c>
      <c r="F2215" s="198" t="s">
        <v>2272</v>
      </c>
      <c r="G2215" s="4" t="s">
        <v>73</v>
      </c>
      <c r="H2215" s="4" t="s">
        <v>521</v>
      </c>
      <c r="I2215" s="4"/>
      <c r="J2215" s="4" t="s">
        <v>2272</v>
      </c>
      <c r="K2215" s="4" t="s">
        <v>2272</v>
      </c>
      <c r="L2215" s="4" t="s">
        <v>2272</v>
      </c>
      <c r="M2215" s="4" t="s">
        <v>2272</v>
      </c>
      <c r="N2215" s="4" t="s">
        <v>2272</v>
      </c>
      <c r="O2215" s="4" t="s">
        <v>2272</v>
      </c>
      <c r="P2215" s="4" t="s">
        <v>2272</v>
      </c>
      <c r="Q2215" s="4" t="s">
        <v>2272</v>
      </c>
      <c r="R2215" s="4" t="s">
        <v>2272</v>
      </c>
      <c r="S2215" s="4" t="s">
        <v>2272</v>
      </c>
      <c r="T2215" s="4" t="s">
        <v>2272</v>
      </c>
      <c r="U2215" s="71">
        <v>165</v>
      </c>
      <c r="V2215" s="4" t="s">
        <v>2272</v>
      </c>
      <c r="W2215" s="71">
        <v>0.26</v>
      </c>
      <c r="X2215" s="4" t="s">
        <v>2272</v>
      </c>
      <c r="Y2215" s="4" t="s">
        <v>2272</v>
      </c>
      <c r="Z2215" s="4" t="s">
        <v>2272</v>
      </c>
      <c r="AA2215" s="198" t="s">
        <v>84</v>
      </c>
      <c r="AB2215" s="198" t="s">
        <v>403</v>
      </c>
      <c r="AC2215" s="4" t="s">
        <v>2272</v>
      </c>
      <c r="AD2215" s="4"/>
      <c r="AE2215" s="4" t="s">
        <v>6697</v>
      </c>
    </row>
    <row r="2216" spans="1:31" s="199" customFormat="1" ht="36.5" customHeight="1">
      <c r="A2216" s="4" t="s">
        <v>6158</v>
      </c>
      <c r="B2216" s="4" t="s">
        <v>6696</v>
      </c>
      <c r="C2216" s="198" t="s">
        <v>1102</v>
      </c>
      <c r="D2216" s="198" t="s">
        <v>1102</v>
      </c>
      <c r="E2216" s="198" t="s">
        <v>1102</v>
      </c>
      <c r="F2216" s="198" t="s">
        <v>2272</v>
      </c>
      <c r="G2216" s="4" t="s">
        <v>73</v>
      </c>
      <c r="H2216" s="4" t="s">
        <v>521</v>
      </c>
      <c r="I2216" s="4"/>
      <c r="J2216" s="4" t="s">
        <v>2272</v>
      </c>
      <c r="K2216" s="4" t="s">
        <v>2272</v>
      </c>
      <c r="L2216" s="4" t="s">
        <v>2272</v>
      </c>
      <c r="M2216" s="4" t="s">
        <v>2272</v>
      </c>
      <c r="N2216" s="4" t="s">
        <v>2272</v>
      </c>
      <c r="O2216" s="4" t="s">
        <v>2272</v>
      </c>
      <c r="P2216" s="4" t="s">
        <v>2272</v>
      </c>
      <c r="Q2216" s="4" t="s">
        <v>2272</v>
      </c>
      <c r="R2216" s="4" t="s">
        <v>2272</v>
      </c>
      <c r="S2216" s="4" t="s">
        <v>2272</v>
      </c>
      <c r="T2216" s="4" t="s">
        <v>2272</v>
      </c>
      <c r="U2216" s="71">
        <v>450</v>
      </c>
      <c r="V2216" s="4" t="s">
        <v>2272</v>
      </c>
      <c r="W2216" s="71">
        <v>0.72</v>
      </c>
      <c r="X2216" s="4" t="s">
        <v>2272</v>
      </c>
      <c r="Y2216" s="4" t="s">
        <v>2272</v>
      </c>
      <c r="Z2216" s="4" t="s">
        <v>2272</v>
      </c>
      <c r="AA2216" s="198" t="s">
        <v>84</v>
      </c>
      <c r="AB2216" s="198" t="s">
        <v>403</v>
      </c>
      <c r="AC2216" s="4" t="s">
        <v>2272</v>
      </c>
      <c r="AD2216" s="4"/>
      <c r="AE2216" s="4" t="s">
        <v>6697</v>
      </c>
    </row>
    <row r="2217" spans="1:31" s="199" customFormat="1" ht="36.5" customHeight="1">
      <c r="A2217" s="4" t="s">
        <v>6156</v>
      </c>
      <c r="B2217" s="4" t="s">
        <v>6698</v>
      </c>
      <c r="C2217" s="198" t="s">
        <v>1102</v>
      </c>
      <c r="D2217" s="198" t="s">
        <v>1102</v>
      </c>
      <c r="E2217" s="198" t="s">
        <v>1102</v>
      </c>
      <c r="F2217" s="198" t="s">
        <v>2272</v>
      </c>
      <c r="G2217" s="198" t="s">
        <v>2272</v>
      </c>
      <c r="H2217" s="4" t="s">
        <v>521</v>
      </c>
      <c r="I2217" s="4">
        <v>1990</v>
      </c>
      <c r="J2217" s="4" t="s">
        <v>2272</v>
      </c>
      <c r="K2217" s="4" t="s">
        <v>2272</v>
      </c>
      <c r="L2217" s="4" t="s">
        <v>2272</v>
      </c>
      <c r="M2217" s="4" t="s">
        <v>2272</v>
      </c>
      <c r="N2217" s="4" t="s">
        <v>2272</v>
      </c>
      <c r="O2217" s="4" t="s">
        <v>2272</v>
      </c>
      <c r="P2217" s="4" t="s">
        <v>2272</v>
      </c>
      <c r="Q2217" s="4" t="s">
        <v>2272</v>
      </c>
      <c r="R2217" s="4" t="s">
        <v>2272</v>
      </c>
      <c r="S2217" s="4" t="s">
        <v>2272</v>
      </c>
      <c r="T2217" s="4" t="s">
        <v>2272</v>
      </c>
      <c r="U2217" s="4" t="s">
        <v>2272</v>
      </c>
      <c r="V2217" s="4" t="s">
        <v>2272</v>
      </c>
      <c r="W2217" s="4" t="s">
        <v>2272</v>
      </c>
      <c r="X2217" s="4" t="s">
        <v>2272</v>
      </c>
      <c r="Y2217" s="4" t="s">
        <v>2272</v>
      </c>
      <c r="Z2217" s="4" t="s">
        <v>2272</v>
      </c>
      <c r="AA2217" s="198" t="s">
        <v>84</v>
      </c>
      <c r="AB2217" s="198" t="s">
        <v>403</v>
      </c>
      <c r="AC2217" s="4" t="s">
        <v>2272</v>
      </c>
      <c r="AD2217" s="4"/>
      <c r="AE2217" s="198" t="s">
        <v>6701</v>
      </c>
    </row>
    <row r="2218" spans="1:31" s="199" customFormat="1" ht="36.5" customHeight="1">
      <c r="A2218" s="4" t="s">
        <v>6157</v>
      </c>
      <c r="B2218" s="4" t="s">
        <v>6699</v>
      </c>
      <c r="C2218" s="198" t="s">
        <v>1102</v>
      </c>
      <c r="D2218" s="198" t="s">
        <v>1102</v>
      </c>
      <c r="E2218" s="198" t="s">
        <v>1102</v>
      </c>
      <c r="F2218" s="198" t="s">
        <v>2272</v>
      </c>
      <c r="G2218" s="198" t="s">
        <v>2272</v>
      </c>
      <c r="H2218" s="4" t="s">
        <v>521</v>
      </c>
      <c r="I2218" s="4">
        <v>1990</v>
      </c>
      <c r="J2218" s="4" t="s">
        <v>2272</v>
      </c>
      <c r="K2218" s="4" t="s">
        <v>2272</v>
      </c>
      <c r="L2218" s="4" t="s">
        <v>2272</v>
      </c>
      <c r="M2218" s="4" t="s">
        <v>2272</v>
      </c>
      <c r="N2218" s="4" t="s">
        <v>2272</v>
      </c>
      <c r="O2218" s="4" t="s">
        <v>2272</v>
      </c>
      <c r="P2218" s="4" t="s">
        <v>2272</v>
      </c>
      <c r="Q2218" s="4" t="s">
        <v>2272</v>
      </c>
      <c r="R2218" s="4" t="s">
        <v>2272</v>
      </c>
      <c r="S2218" s="4" t="s">
        <v>2272</v>
      </c>
      <c r="T2218" s="4" t="s">
        <v>2272</v>
      </c>
      <c r="U2218" s="4" t="s">
        <v>2272</v>
      </c>
      <c r="V2218" s="4" t="s">
        <v>2272</v>
      </c>
      <c r="W2218" s="4" t="s">
        <v>2272</v>
      </c>
      <c r="X2218" s="4" t="s">
        <v>2272</v>
      </c>
      <c r="Y2218" s="4" t="s">
        <v>2272</v>
      </c>
      <c r="Z2218" s="4" t="s">
        <v>2272</v>
      </c>
      <c r="AA2218" s="198" t="s">
        <v>84</v>
      </c>
      <c r="AB2218" s="198" t="s">
        <v>403</v>
      </c>
      <c r="AC2218" s="4" t="s">
        <v>2272</v>
      </c>
      <c r="AD2218" s="4"/>
      <c r="AE2218" s="198" t="s">
        <v>6701</v>
      </c>
    </row>
    <row r="2219" spans="1:31" s="199" customFormat="1" ht="36.5" customHeight="1">
      <c r="A2219" s="4" t="s">
        <v>6158</v>
      </c>
      <c r="B2219" s="4" t="s">
        <v>6700</v>
      </c>
      <c r="C2219" s="198" t="s">
        <v>1102</v>
      </c>
      <c r="D2219" s="198" t="s">
        <v>1102</v>
      </c>
      <c r="E2219" s="198" t="s">
        <v>1102</v>
      </c>
      <c r="F2219" s="198" t="s">
        <v>2272</v>
      </c>
      <c r="G2219" s="198" t="s">
        <v>2272</v>
      </c>
      <c r="H2219" s="4" t="s">
        <v>521</v>
      </c>
      <c r="I2219" s="4">
        <v>1990</v>
      </c>
      <c r="J2219" s="4" t="s">
        <v>2272</v>
      </c>
      <c r="K2219" s="4" t="s">
        <v>2272</v>
      </c>
      <c r="L2219" s="4" t="s">
        <v>2272</v>
      </c>
      <c r="M2219" s="4" t="s">
        <v>2272</v>
      </c>
      <c r="N2219" s="4" t="s">
        <v>2272</v>
      </c>
      <c r="O2219" s="4" t="s">
        <v>2272</v>
      </c>
      <c r="P2219" s="4" t="s">
        <v>2272</v>
      </c>
      <c r="Q2219" s="4" t="s">
        <v>2272</v>
      </c>
      <c r="R2219" s="4" t="s">
        <v>2272</v>
      </c>
      <c r="S2219" s="4" t="s">
        <v>2272</v>
      </c>
      <c r="T2219" s="4" t="s">
        <v>2272</v>
      </c>
      <c r="U2219" s="4" t="s">
        <v>2272</v>
      </c>
      <c r="V2219" s="4" t="s">
        <v>2272</v>
      </c>
      <c r="W2219" s="4" t="s">
        <v>2272</v>
      </c>
      <c r="X2219" s="4" t="s">
        <v>2272</v>
      </c>
      <c r="Y2219" s="4" t="s">
        <v>2272</v>
      </c>
      <c r="Z2219" s="4" t="s">
        <v>2272</v>
      </c>
      <c r="AA2219" s="198" t="s">
        <v>84</v>
      </c>
      <c r="AB2219" s="198" t="s">
        <v>403</v>
      </c>
      <c r="AC2219" s="4" t="s">
        <v>2272</v>
      </c>
      <c r="AD2219" s="4"/>
      <c r="AE2219" s="4"/>
    </row>
    <row r="2220" spans="1:31" s="199" customFormat="1" ht="36.5" customHeight="1">
      <c r="A2220" s="4" t="s">
        <v>6159</v>
      </c>
      <c r="B2220" s="4" t="s">
        <v>6214</v>
      </c>
      <c r="C2220" s="198" t="s">
        <v>1102</v>
      </c>
      <c r="D2220" s="198" t="s">
        <v>1102</v>
      </c>
      <c r="E2220" s="198" t="s">
        <v>1102</v>
      </c>
      <c r="F2220" s="198" t="s">
        <v>2272</v>
      </c>
      <c r="G2220" s="198" t="s">
        <v>2272</v>
      </c>
      <c r="H2220" s="4" t="s">
        <v>521</v>
      </c>
      <c r="I2220" s="4"/>
      <c r="J2220" s="4" t="s">
        <v>2272</v>
      </c>
      <c r="K2220" s="4">
        <v>0.38</v>
      </c>
      <c r="L2220" s="4" t="s">
        <v>2272</v>
      </c>
      <c r="M2220" s="4" t="s">
        <v>2272</v>
      </c>
      <c r="N2220" s="4" t="s">
        <v>2272</v>
      </c>
      <c r="O2220" s="4" t="s">
        <v>2272</v>
      </c>
      <c r="P2220" s="4" t="s">
        <v>2272</v>
      </c>
      <c r="Q2220" s="196">
        <f>U2220/14.1</f>
        <v>7.0921985815602842</v>
      </c>
      <c r="R2220" s="4" t="s">
        <v>2272</v>
      </c>
      <c r="S2220" s="4" t="s">
        <v>2272</v>
      </c>
      <c r="T2220" s="4" t="s">
        <v>2272</v>
      </c>
      <c r="U2220" s="4">
        <v>100</v>
      </c>
      <c r="V2220" s="4" t="s">
        <v>2272</v>
      </c>
      <c r="W2220" s="4" t="s">
        <v>2272</v>
      </c>
      <c r="X2220" s="4" t="s">
        <v>2272</v>
      </c>
      <c r="Y2220" s="71">
        <f>100/'Record info'!K949</f>
        <v>2.7048958615093319</v>
      </c>
      <c r="Z2220" s="4" t="s">
        <v>2272</v>
      </c>
      <c r="AA2220" s="198" t="s">
        <v>84</v>
      </c>
      <c r="AB2220" s="198" t="s">
        <v>403</v>
      </c>
      <c r="AC2220" s="4" t="s">
        <v>2272</v>
      </c>
      <c r="AD2220" s="4"/>
      <c r="AE2220" s="4"/>
    </row>
    <row r="2221" spans="1:31" s="199" customFormat="1" ht="36.5" customHeight="1">
      <c r="A2221" s="4" t="s">
        <v>6160</v>
      </c>
      <c r="B2221" s="4" t="s">
        <v>6215</v>
      </c>
      <c r="C2221" s="198" t="s">
        <v>1102</v>
      </c>
      <c r="D2221" s="198" t="s">
        <v>1102</v>
      </c>
      <c r="E2221" s="198" t="s">
        <v>1102</v>
      </c>
      <c r="F2221" s="198" t="s">
        <v>2272</v>
      </c>
      <c r="G2221" s="198" t="s">
        <v>2272</v>
      </c>
      <c r="H2221" s="4" t="s">
        <v>521</v>
      </c>
      <c r="I2221" s="4"/>
      <c r="J2221" s="4" t="s">
        <v>2272</v>
      </c>
      <c r="K2221" s="4" t="s">
        <v>2272</v>
      </c>
      <c r="L2221" s="4" t="s">
        <v>2272</v>
      </c>
      <c r="M2221" s="4" t="s">
        <v>2272</v>
      </c>
      <c r="N2221" s="4" t="s">
        <v>2272</v>
      </c>
      <c r="O2221" s="4" t="s">
        <v>2272</v>
      </c>
      <c r="P2221" s="4" t="s">
        <v>2272</v>
      </c>
      <c r="Q2221" s="4" t="s">
        <v>2272</v>
      </c>
      <c r="R2221" s="4" t="s">
        <v>2272</v>
      </c>
      <c r="S2221" s="4" t="s">
        <v>2272</v>
      </c>
      <c r="T2221" s="4" t="s">
        <v>2272</v>
      </c>
      <c r="U2221" s="4" t="s">
        <v>2272</v>
      </c>
      <c r="V2221" s="4" t="s">
        <v>2272</v>
      </c>
      <c r="W2221" s="4" t="s">
        <v>2272</v>
      </c>
      <c r="X2221" s="4" t="s">
        <v>2272</v>
      </c>
      <c r="Y2221" s="4" t="s">
        <v>2272</v>
      </c>
      <c r="Z2221" s="4" t="s">
        <v>2272</v>
      </c>
      <c r="AA2221" s="4" t="s">
        <v>2272</v>
      </c>
      <c r="AB2221" s="4" t="s">
        <v>2272</v>
      </c>
      <c r="AC2221" s="4" t="s">
        <v>2272</v>
      </c>
      <c r="AD2221" s="4"/>
      <c r="AE2221" s="4"/>
    </row>
    <row r="2222" spans="1:31" s="199" customFormat="1" ht="56.5" customHeight="1">
      <c r="A2222" s="4" t="s">
        <v>6161</v>
      </c>
      <c r="B2222" s="4" t="s">
        <v>6216</v>
      </c>
      <c r="C2222" s="198" t="s">
        <v>2453</v>
      </c>
      <c r="D2222" s="4" t="s">
        <v>2654</v>
      </c>
      <c r="E2222" s="4" t="s">
        <v>3850</v>
      </c>
      <c r="F2222" s="4" t="s">
        <v>27</v>
      </c>
      <c r="G2222" s="4" t="s">
        <v>73</v>
      </c>
      <c r="H2222" s="4" t="s">
        <v>521</v>
      </c>
      <c r="I2222" s="4"/>
      <c r="J2222" s="4" t="s">
        <v>2272</v>
      </c>
      <c r="K2222" s="4" t="s">
        <v>2272</v>
      </c>
      <c r="L2222" s="4" t="s">
        <v>2272</v>
      </c>
      <c r="M2222" s="4" t="s">
        <v>2272</v>
      </c>
      <c r="N2222" s="4" t="s">
        <v>2272</v>
      </c>
      <c r="O2222" s="4" t="s">
        <v>2272</v>
      </c>
      <c r="P2222" s="4" t="s">
        <v>2272</v>
      </c>
      <c r="Q2222" s="4" t="s">
        <v>2272</v>
      </c>
      <c r="R2222" s="4" t="s">
        <v>2272</v>
      </c>
      <c r="S2222" s="4" t="s">
        <v>2272</v>
      </c>
      <c r="T2222" s="4" t="s">
        <v>2272</v>
      </c>
      <c r="U2222" s="4" t="s">
        <v>2272</v>
      </c>
      <c r="V2222" s="4" t="s">
        <v>2272</v>
      </c>
      <c r="W2222" s="4" t="s">
        <v>2272</v>
      </c>
      <c r="X2222" s="4" t="s">
        <v>2272</v>
      </c>
      <c r="Y2222" s="4" t="s">
        <v>2272</v>
      </c>
      <c r="Z2222" s="4" t="s">
        <v>2272</v>
      </c>
      <c r="AA2222" s="4" t="s">
        <v>2272</v>
      </c>
      <c r="AB2222" s="4" t="s">
        <v>2272</v>
      </c>
      <c r="AC2222" s="4" t="s">
        <v>2272</v>
      </c>
      <c r="AD2222" s="4"/>
      <c r="AE2222" s="4"/>
    </row>
    <row r="2223" spans="1:31" s="199" customFormat="1" ht="60" customHeight="1">
      <c r="A2223" s="4" t="s">
        <v>6161</v>
      </c>
      <c r="B2223" s="4" t="s">
        <v>6217</v>
      </c>
      <c r="C2223" s="198" t="s">
        <v>2453</v>
      </c>
      <c r="D2223" s="198" t="s">
        <v>141</v>
      </c>
      <c r="E2223" s="4" t="s">
        <v>3850</v>
      </c>
      <c r="F2223" s="4" t="s">
        <v>27</v>
      </c>
      <c r="G2223" s="4" t="s">
        <v>73</v>
      </c>
      <c r="H2223" s="4" t="s">
        <v>522</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v>0</v>
      </c>
      <c r="Z2223" s="4" t="s">
        <v>2272</v>
      </c>
      <c r="AA2223" s="4" t="s">
        <v>2272</v>
      </c>
      <c r="AB2223" s="4" t="s">
        <v>2272</v>
      </c>
      <c r="AC2223" s="4" t="s">
        <v>2272</v>
      </c>
      <c r="AD2223" s="4"/>
      <c r="AE2223" s="4"/>
    </row>
    <row r="2224" spans="1:31" s="199" customFormat="1" ht="53" customHeight="1">
      <c r="A2224" s="4" t="s">
        <v>6161</v>
      </c>
      <c r="B2224" s="4" t="s">
        <v>6218</v>
      </c>
      <c r="C2224" s="4" t="s">
        <v>23</v>
      </c>
      <c r="D2224" s="4" t="s">
        <v>2654</v>
      </c>
      <c r="E2224" s="4" t="s">
        <v>3850</v>
      </c>
      <c r="F2224" s="4" t="s">
        <v>27</v>
      </c>
      <c r="G2224" s="4" t="s">
        <v>27</v>
      </c>
      <c r="H2224" s="4" t="s">
        <v>521</v>
      </c>
      <c r="I2224" s="4"/>
      <c r="J2224" s="4" t="s">
        <v>2272</v>
      </c>
      <c r="K2224" s="4" t="s">
        <v>2272</v>
      </c>
      <c r="L2224" s="4" t="s">
        <v>2272</v>
      </c>
      <c r="M2224" s="4" t="s">
        <v>2272</v>
      </c>
      <c r="N2224" s="4" t="s">
        <v>2272</v>
      </c>
      <c r="O2224" s="4" t="s">
        <v>2272</v>
      </c>
      <c r="P2224" s="4" t="s">
        <v>2272</v>
      </c>
      <c r="Q2224" s="4" t="s">
        <v>2272</v>
      </c>
      <c r="R2224" s="4" t="s">
        <v>2272</v>
      </c>
      <c r="S2224" s="4" t="s">
        <v>2272</v>
      </c>
      <c r="T2224" s="4" t="s">
        <v>2272</v>
      </c>
      <c r="U2224" s="4" t="s">
        <v>2272</v>
      </c>
      <c r="V2224" s="4" t="s">
        <v>2272</v>
      </c>
      <c r="W2224" s="4" t="s">
        <v>2272</v>
      </c>
      <c r="X2224" s="4" t="s">
        <v>2272</v>
      </c>
      <c r="Y2224" s="4" t="s">
        <v>2272</v>
      </c>
      <c r="Z2224" s="4" t="s">
        <v>2272</v>
      </c>
      <c r="AA2224" s="4" t="s">
        <v>2272</v>
      </c>
      <c r="AB2224" s="4" t="s">
        <v>2272</v>
      </c>
      <c r="AC2224" s="4" t="s">
        <v>2272</v>
      </c>
      <c r="AD2224" s="4"/>
      <c r="AE2224" s="4"/>
    </row>
    <row r="2225" spans="1:31" s="199" customFormat="1" ht="47.5" customHeight="1">
      <c r="A2225" s="4" t="s">
        <v>6161</v>
      </c>
      <c r="B2225" s="4" t="s">
        <v>6219</v>
      </c>
      <c r="C2225" s="4" t="s">
        <v>23</v>
      </c>
      <c r="D2225" s="198" t="s">
        <v>141</v>
      </c>
      <c r="E2225" s="4" t="s">
        <v>3850</v>
      </c>
      <c r="F2225" s="4" t="s">
        <v>27</v>
      </c>
      <c r="G2225" s="4" t="s">
        <v>27</v>
      </c>
      <c r="H2225" s="4" t="s">
        <v>522</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v>0</v>
      </c>
      <c r="Z2225" s="4" t="s">
        <v>2272</v>
      </c>
      <c r="AA2225" s="4" t="s">
        <v>2272</v>
      </c>
      <c r="AB2225" s="4" t="s">
        <v>2272</v>
      </c>
      <c r="AC2225" s="4" t="s">
        <v>2272</v>
      </c>
      <c r="AD2225" s="4"/>
      <c r="AE2225" s="4"/>
    </row>
    <row r="2226" spans="1:31" s="199" customFormat="1" ht="52" customHeight="1">
      <c r="A2226" s="4" t="s">
        <v>6161</v>
      </c>
      <c r="B2226" s="4" t="s">
        <v>6220</v>
      </c>
      <c r="C2226" s="198" t="s">
        <v>2453</v>
      </c>
      <c r="D2226" s="198" t="s">
        <v>24</v>
      </c>
      <c r="E2226" s="4" t="s">
        <v>3850</v>
      </c>
      <c r="F2226" s="4" t="s">
        <v>28</v>
      </c>
      <c r="G2226" s="4" t="s">
        <v>27</v>
      </c>
      <c r="H2226" s="4" t="s">
        <v>521</v>
      </c>
      <c r="I2226" s="4"/>
      <c r="J2226" s="4" t="s">
        <v>2272</v>
      </c>
      <c r="K2226" s="4" t="s">
        <v>2272</v>
      </c>
      <c r="L2226" s="4" t="s">
        <v>2272</v>
      </c>
      <c r="M2226" s="4" t="s">
        <v>2272</v>
      </c>
      <c r="N2226" s="4" t="s">
        <v>2272</v>
      </c>
      <c r="O2226" s="4" t="s">
        <v>2272</v>
      </c>
      <c r="P2226" s="4" t="s">
        <v>2272</v>
      </c>
      <c r="Q2226" s="4" t="s">
        <v>2272</v>
      </c>
      <c r="R2226" s="4" t="s">
        <v>2272</v>
      </c>
      <c r="S2226" s="4" t="s">
        <v>2272</v>
      </c>
      <c r="T2226" s="4" t="s">
        <v>2272</v>
      </c>
      <c r="U2226" s="4" t="s">
        <v>2272</v>
      </c>
      <c r="V2226" s="4" t="s">
        <v>2272</v>
      </c>
      <c r="W2226" s="4" t="s">
        <v>2272</v>
      </c>
      <c r="X2226" s="4" t="s">
        <v>2272</v>
      </c>
      <c r="Y2226" s="4" t="s">
        <v>2272</v>
      </c>
      <c r="Z2226" s="4" t="s">
        <v>2272</v>
      </c>
      <c r="AA2226" s="4" t="s">
        <v>2272</v>
      </c>
      <c r="AB2226" s="4" t="s">
        <v>2272</v>
      </c>
      <c r="AC2226" s="4" t="s">
        <v>2272</v>
      </c>
      <c r="AD2226" s="4"/>
      <c r="AE2226" s="4"/>
    </row>
    <row r="2227" spans="1:31" s="199" customFormat="1" ht="54" customHeight="1">
      <c r="A2227" s="4" t="s">
        <v>6161</v>
      </c>
      <c r="B2227" s="4" t="s">
        <v>6221</v>
      </c>
      <c r="C2227" s="4" t="s">
        <v>23</v>
      </c>
      <c r="D2227" s="198" t="s">
        <v>24</v>
      </c>
      <c r="E2227" s="4" t="s">
        <v>3850</v>
      </c>
      <c r="F2227" s="4" t="s">
        <v>28</v>
      </c>
      <c r="G2227" s="4" t="s">
        <v>27</v>
      </c>
      <c r="H2227" s="4" t="s">
        <v>521</v>
      </c>
      <c r="I2227" s="4"/>
      <c r="J2227" s="4" t="s">
        <v>2272</v>
      </c>
      <c r="K2227" s="4" t="s">
        <v>2272</v>
      </c>
      <c r="L2227" s="4" t="s">
        <v>2272</v>
      </c>
      <c r="M2227" s="4" t="s">
        <v>2272</v>
      </c>
      <c r="N2227" s="4" t="s">
        <v>2272</v>
      </c>
      <c r="O2227" s="4" t="s">
        <v>2272</v>
      </c>
      <c r="P2227" s="4" t="s">
        <v>2272</v>
      </c>
      <c r="Q2227" s="4" t="s">
        <v>2272</v>
      </c>
      <c r="R2227" s="4" t="s">
        <v>2272</v>
      </c>
      <c r="S2227" s="4" t="s">
        <v>2272</v>
      </c>
      <c r="T2227" s="4" t="s">
        <v>2272</v>
      </c>
      <c r="U2227" s="4" t="s">
        <v>2272</v>
      </c>
      <c r="V2227" s="4" t="s">
        <v>2272</v>
      </c>
      <c r="W2227" s="4" t="s">
        <v>2272</v>
      </c>
      <c r="X2227" s="4" t="s">
        <v>2272</v>
      </c>
      <c r="Y2227" s="4" t="s">
        <v>2272</v>
      </c>
      <c r="Z2227" s="4" t="s">
        <v>2272</v>
      </c>
      <c r="AA2227" s="4" t="s">
        <v>2272</v>
      </c>
      <c r="AB2227" s="4" t="s">
        <v>2272</v>
      </c>
      <c r="AC2227" s="4" t="s">
        <v>2272</v>
      </c>
      <c r="AD2227" s="4"/>
      <c r="AE2227" s="4"/>
    </row>
    <row r="2228" spans="1:31" s="199" customFormat="1" ht="45.5" customHeight="1">
      <c r="A2228" s="4" t="s">
        <v>6161</v>
      </c>
      <c r="B2228" s="4" t="s">
        <v>6704</v>
      </c>
      <c r="C2228" s="4" t="s">
        <v>23</v>
      </c>
      <c r="D2228" s="4" t="s">
        <v>2342</v>
      </c>
      <c r="E2228" s="4" t="s">
        <v>3850</v>
      </c>
      <c r="F2228" s="4" t="s">
        <v>2272</v>
      </c>
      <c r="G2228" s="4" t="s">
        <v>2272</v>
      </c>
      <c r="H2228" s="4" t="s">
        <v>521</v>
      </c>
      <c r="I2228" s="4"/>
      <c r="J2228" s="4" t="s">
        <v>2272</v>
      </c>
      <c r="K2228" s="4" t="s">
        <v>2272</v>
      </c>
      <c r="L2228" s="4" t="s">
        <v>2272</v>
      </c>
      <c r="M2228" s="4" t="s">
        <v>2272</v>
      </c>
      <c r="N2228" s="4" t="s">
        <v>2272</v>
      </c>
      <c r="O2228" s="4" t="s">
        <v>2272</v>
      </c>
      <c r="P2228" s="4" t="s">
        <v>2272</v>
      </c>
      <c r="Q2228" s="4" t="s">
        <v>2272</v>
      </c>
      <c r="R2228" s="4" t="s">
        <v>2272</v>
      </c>
      <c r="S2228" s="4" t="s">
        <v>2272</v>
      </c>
      <c r="T2228" s="4" t="s">
        <v>2272</v>
      </c>
      <c r="U2228" s="4" t="s">
        <v>2272</v>
      </c>
      <c r="V2228" s="4" t="s">
        <v>2272</v>
      </c>
      <c r="W2228" s="4" t="s">
        <v>2272</v>
      </c>
      <c r="X2228" s="4" t="s">
        <v>2272</v>
      </c>
      <c r="Y2228" s="4" t="s">
        <v>2272</v>
      </c>
      <c r="Z2228" s="4" t="s">
        <v>2272</v>
      </c>
      <c r="AA2228" s="4" t="s">
        <v>2272</v>
      </c>
      <c r="AB2228" s="4" t="s">
        <v>2272</v>
      </c>
      <c r="AC2228" s="4" t="s">
        <v>2272</v>
      </c>
      <c r="AD2228" s="4"/>
      <c r="AE2228" s="4"/>
    </row>
    <row r="2229" spans="1:31" s="199" customFormat="1" ht="45.5" customHeight="1">
      <c r="A2229" s="4" t="s">
        <v>6162</v>
      </c>
      <c r="B2229" s="4" t="s">
        <v>6222</v>
      </c>
      <c r="C2229" s="198" t="s">
        <v>2453</v>
      </c>
      <c r="D2229" s="4" t="s">
        <v>2654</v>
      </c>
      <c r="E2229" s="4" t="s">
        <v>3850</v>
      </c>
      <c r="F2229" s="4" t="s">
        <v>27</v>
      </c>
      <c r="G2229" s="4" t="s">
        <v>73</v>
      </c>
      <c r="H2229" s="4" t="s">
        <v>521</v>
      </c>
      <c r="I2229" s="4"/>
      <c r="J2229" s="4" t="s">
        <v>2272</v>
      </c>
      <c r="K2229" s="4" t="s">
        <v>2272</v>
      </c>
      <c r="L2229" s="4" t="s">
        <v>2272</v>
      </c>
      <c r="M2229" s="4" t="s">
        <v>2272</v>
      </c>
      <c r="N2229" s="4" t="s">
        <v>2272</v>
      </c>
      <c r="O2229" s="4" t="s">
        <v>2272</v>
      </c>
      <c r="P2229" s="4" t="s">
        <v>2272</v>
      </c>
      <c r="Q2229" s="4" t="s">
        <v>2272</v>
      </c>
      <c r="R2229" s="4" t="s">
        <v>2272</v>
      </c>
      <c r="S2229" s="4" t="s">
        <v>2272</v>
      </c>
      <c r="T2229" s="4" t="s">
        <v>2272</v>
      </c>
      <c r="U2229" s="4" t="s">
        <v>2272</v>
      </c>
      <c r="V2229" s="4" t="s">
        <v>2272</v>
      </c>
      <c r="W2229" s="4" t="s">
        <v>2272</v>
      </c>
      <c r="X2229" s="4" t="s">
        <v>2272</v>
      </c>
      <c r="Y2229" s="4" t="s">
        <v>2272</v>
      </c>
      <c r="Z2229" s="4" t="s">
        <v>2272</v>
      </c>
      <c r="AA2229" s="4" t="s">
        <v>2272</v>
      </c>
      <c r="AB2229" s="4" t="s">
        <v>2272</v>
      </c>
      <c r="AC2229" s="4" t="s">
        <v>2272</v>
      </c>
      <c r="AD2229" s="4"/>
      <c r="AE2229" s="4"/>
    </row>
    <row r="2230" spans="1:31" s="199" customFormat="1" ht="45.5" customHeight="1">
      <c r="A2230" s="4" t="s">
        <v>6162</v>
      </c>
      <c r="B2230" s="4" t="s">
        <v>6705</v>
      </c>
      <c r="C2230" s="198" t="s">
        <v>2453</v>
      </c>
      <c r="D2230" s="198" t="s">
        <v>141</v>
      </c>
      <c r="E2230" s="4" t="s">
        <v>3850</v>
      </c>
      <c r="F2230" s="4" t="s">
        <v>27</v>
      </c>
      <c r="G2230" s="4" t="s">
        <v>73</v>
      </c>
      <c r="H2230" s="4" t="s">
        <v>522</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v>0</v>
      </c>
      <c r="Z2230" s="4" t="s">
        <v>2272</v>
      </c>
      <c r="AA2230" s="4" t="s">
        <v>2272</v>
      </c>
      <c r="AB2230" s="4" t="s">
        <v>2272</v>
      </c>
      <c r="AC2230" s="4" t="s">
        <v>2272</v>
      </c>
      <c r="AD2230" s="4"/>
      <c r="AE2230" s="4"/>
    </row>
    <row r="2231" spans="1:31" s="199" customFormat="1" ht="45.5" customHeight="1">
      <c r="A2231" s="4" t="s">
        <v>6162</v>
      </c>
      <c r="B2231" s="4" t="s">
        <v>6706</v>
      </c>
      <c r="C2231" s="4" t="s">
        <v>23</v>
      </c>
      <c r="D2231" s="4" t="s">
        <v>2654</v>
      </c>
      <c r="E2231" s="4" t="s">
        <v>3850</v>
      </c>
      <c r="F2231" s="4" t="s">
        <v>27</v>
      </c>
      <c r="G2231" s="4" t="s">
        <v>27</v>
      </c>
      <c r="H2231" s="4" t="s">
        <v>521</v>
      </c>
      <c r="I2231" s="4"/>
      <c r="J2231" s="4" t="s">
        <v>2272</v>
      </c>
      <c r="K2231" s="4" t="s">
        <v>2272</v>
      </c>
      <c r="L2231" s="4" t="s">
        <v>2272</v>
      </c>
      <c r="M2231" s="4" t="s">
        <v>2272</v>
      </c>
      <c r="N2231" s="4" t="s">
        <v>2272</v>
      </c>
      <c r="O2231" s="4" t="s">
        <v>2272</v>
      </c>
      <c r="P2231" s="4" t="s">
        <v>2272</v>
      </c>
      <c r="Q2231" s="4" t="s">
        <v>2272</v>
      </c>
      <c r="R2231" s="4" t="s">
        <v>2272</v>
      </c>
      <c r="S2231" s="4" t="s">
        <v>2272</v>
      </c>
      <c r="T2231" s="4" t="s">
        <v>2272</v>
      </c>
      <c r="U2231" s="4" t="s">
        <v>2272</v>
      </c>
      <c r="V2231" s="4" t="s">
        <v>2272</v>
      </c>
      <c r="W2231" s="4" t="s">
        <v>2272</v>
      </c>
      <c r="X2231" s="4" t="s">
        <v>2272</v>
      </c>
      <c r="Y2231" s="4" t="s">
        <v>2272</v>
      </c>
      <c r="Z2231" s="4" t="s">
        <v>2272</v>
      </c>
      <c r="AA2231" s="4" t="s">
        <v>2272</v>
      </c>
      <c r="AB2231" s="4" t="s">
        <v>2272</v>
      </c>
      <c r="AC2231" s="4" t="s">
        <v>2272</v>
      </c>
      <c r="AD2231" s="4"/>
      <c r="AE2231" s="4"/>
    </row>
    <row r="2232" spans="1:31" s="199" customFormat="1" ht="45.5" customHeight="1">
      <c r="A2232" s="4" t="s">
        <v>6162</v>
      </c>
      <c r="B2232" s="4" t="s">
        <v>6707</v>
      </c>
      <c r="C2232" s="4" t="s">
        <v>23</v>
      </c>
      <c r="D2232" s="198" t="s">
        <v>141</v>
      </c>
      <c r="E2232" s="4" t="s">
        <v>3850</v>
      </c>
      <c r="F2232" s="4" t="s">
        <v>27</v>
      </c>
      <c r="G2232" s="4" t="s">
        <v>27</v>
      </c>
      <c r="H2232" s="4" t="s">
        <v>522</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v>0</v>
      </c>
      <c r="Z2232" s="4" t="s">
        <v>2272</v>
      </c>
      <c r="AA2232" s="4" t="s">
        <v>2272</v>
      </c>
      <c r="AB2232" s="4" t="s">
        <v>2272</v>
      </c>
      <c r="AC2232" s="4" t="s">
        <v>2272</v>
      </c>
      <c r="AD2232" s="4"/>
      <c r="AE2232" s="4"/>
    </row>
    <row r="2233" spans="1:31" s="199" customFormat="1" ht="45.5" customHeight="1">
      <c r="A2233" s="4" t="s">
        <v>6162</v>
      </c>
      <c r="B2233" s="4" t="s">
        <v>6708</v>
      </c>
      <c r="C2233" s="198" t="s">
        <v>2453</v>
      </c>
      <c r="D2233" s="198" t="s">
        <v>24</v>
      </c>
      <c r="E2233" s="4" t="s">
        <v>3850</v>
      </c>
      <c r="F2233" s="4" t="s">
        <v>28</v>
      </c>
      <c r="G2233" s="4" t="s">
        <v>27</v>
      </c>
      <c r="H2233" s="4" t="s">
        <v>521</v>
      </c>
      <c r="I2233" s="4"/>
      <c r="J2233" s="4" t="s">
        <v>2272</v>
      </c>
      <c r="K2233" s="4" t="s">
        <v>2272</v>
      </c>
      <c r="L2233" s="4" t="s">
        <v>2272</v>
      </c>
      <c r="M2233" s="4" t="s">
        <v>2272</v>
      </c>
      <c r="N2233" s="4" t="s">
        <v>2272</v>
      </c>
      <c r="O2233" s="4" t="s">
        <v>2272</v>
      </c>
      <c r="P2233" s="4" t="s">
        <v>2272</v>
      </c>
      <c r="Q2233" s="4" t="s">
        <v>2272</v>
      </c>
      <c r="R2233" s="4" t="s">
        <v>2272</v>
      </c>
      <c r="S2233" s="4" t="s">
        <v>2272</v>
      </c>
      <c r="T2233" s="4" t="s">
        <v>2272</v>
      </c>
      <c r="U2233" s="4" t="s">
        <v>2272</v>
      </c>
      <c r="V2233" s="4" t="s">
        <v>2272</v>
      </c>
      <c r="W2233" s="4" t="s">
        <v>2272</v>
      </c>
      <c r="X2233" s="4" t="s">
        <v>2272</v>
      </c>
      <c r="Y2233" s="4" t="s">
        <v>2272</v>
      </c>
      <c r="Z2233" s="4" t="s">
        <v>2272</v>
      </c>
      <c r="AA2233" s="4" t="s">
        <v>2272</v>
      </c>
      <c r="AB2233" s="4" t="s">
        <v>2272</v>
      </c>
      <c r="AC2233" s="4" t="s">
        <v>2272</v>
      </c>
      <c r="AD2233" s="4"/>
      <c r="AE2233" s="4"/>
    </row>
    <row r="2234" spans="1:31" s="199" customFormat="1" ht="45.5" customHeight="1">
      <c r="A2234" s="4" t="s">
        <v>6162</v>
      </c>
      <c r="B2234" s="4" t="s">
        <v>6709</v>
      </c>
      <c r="C2234" s="4" t="s">
        <v>23</v>
      </c>
      <c r="D2234" s="198" t="s">
        <v>24</v>
      </c>
      <c r="E2234" s="4" t="s">
        <v>3850</v>
      </c>
      <c r="F2234" s="4" t="s">
        <v>28</v>
      </c>
      <c r="G2234" s="4" t="s">
        <v>27</v>
      </c>
      <c r="H2234" s="4" t="s">
        <v>521</v>
      </c>
      <c r="I2234" s="4"/>
      <c r="J2234" s="4" t="s">
        <v>2272</v>
      </c>
      <c r="K2234" s="4" t="s">
        <v>2272</v>
      </c>
      <c r="L2234" s="4" t="s">
        <v>2272</v>
      </c>
      <c r="M2234" s="4" t="s">
        <v>2272</v>
      </c>
      <c r="N2234" s="4" t="s">
        <v>2272</v>
      </c>
      <c r="O2234" s="4" t="s">
        <v>2272</v>
      </c>
      <c r="P2234" s="4" t="s">
        <v>2272</v>
      </c>
      <c r="Q2234" s="4" t="s">
        <v>2272</v>
      </c>
      <c r="R2234" s="4" t="s">
        <v>2272</v>
      </c>
      <c r="S2234" s="4" t="s">
        <v>2272</v>
      </c>
      <c r="T2234" s="4" t="s">
        <v>2272</v>
      </c>
      <c r="U2234" s="4" t="s">
        <v>2272</v>
      </c>
      <c r="V2234" s="4" t="s">
        <v>2272</v>
      </c>
      <c r="W2234" s="4" t="s">
        <v>2272</v>
      </c>
      <c r="X2234" s="4" t="s">
        <v>2272</v>
      </c>
      <c r="Y2234" s="4" t="s">
        <v>2272</v>
      </c>
      <c r="Z2234" s="4" t="s">
        <v>2272</v>
      </c>
      <c r="AA2234" s="4" t="s">
        <v>2272</v>
      </c>
      <c r="AB2234" s="4" t="s">
        <v>2272</v>
      </c>
      <c r="AC2234" s="4" t="s">
        <v>2272</v>
      </c>
      <c r="AD2234" s="4"/>
      <c r="AE2234" s="4"/>
    </row>
    <row r="2235" spans="1:31" s="199" customFormat="1" ht="45.5" customHeight="1">
      <c r="A2235" s="4" t="s">
        <v>6162</v>
      </c>
      <c r="B2235" s="4" t="s">
        <v>6710</v>
      </c>
      <c r="C2235" s="4" t="s">
        <v>23</v>
      </c>
      <c r="D2235" s="4" t="s">
        <v>2342</v>
      </c>
      <c r="E2235" s="4" t="s">
        <v>3850</v>
      </c>
      <c r="F2235" s="4" t="s">
        <v>2272</v>
      </c>
      <c r="G2235" s="4" t="s">
        <v>2272</v>
      </c>
      <c r="H2235" s="4" t="s">
        <v>521</v>
      </c>
      <c r="I2235" s="4"/>
      <c r="J2235" s="4" t="s">
        <v>2272</v>
      </c>
      <c r="K2235" s="4" t="s">
        <v>2272</v>
      </c>
      <c r="L2235" s="4" t="s">
        <v>2272</v>
      </c>
      <c r="M2235" s="4" t="s">
        <v>2272</v>
      </c>
      <c r="N2235" s="4" t="s">
        <v>2272</v>
      </c>
      <c r="O2235" s="4" t="s">
        <v>2272</v>
      </c>
      <c r="P2235" s="4" t="s">
        <v>2272</v>
      </c>
      <c r="Q2235" s="4" t="s">
        <v>2272</v>
      </c>
      <c r="R2235" s="4" t="s">
        <v>2272</v>
      </c>
      <c r="S2235" s="4" t="s">
        <v>2272</v>
      </c>
      <c r="T2235" s="4" t="s">
        <v>2272</v>
      </c>
      <c r="U2235" s="4" t="s">
        <v>2272</v>
      </c>
      <c r="V2235" s="4" t="s">
        <v>2272</v>
      </c>
      <c r="W2235" s="4" t="s">
        <v>2272</v>
      </c>
      <c r="X2235" s="4" t="s">
        <v>2272</v>
      </c>
      <c r="Y2235" s="4" t="s">
        <v>2272</v>
      </c>
      <c r="Z2235" s="4" t="s">
        <v>2272</v>
      </c>
      <c r="AA2235" s="4" t="s">
        <v>2272</v>
      </c>
      <c r="AB2235" s="4" t="s">
        <v>2272</v>
      </c>
      <c r="AC2235" s="4" t="s">
        <v>2272</v>
      </c>
      <c r="AD2235" s="4"/>
      <c r="AE2235" s="4"/>
    </row>
    <row r="2236" spans="1:31" s="199" customFormat="1" ht="47.5" customHeight="1">
      <c r="A2236" s="4" t="s">
        <v>6163</v>
      </c>
      <c r="B2236" s="4" t="s">
        <v>6223</v>
      </c>
      <c r="C2236" s="198" t="s">
        <v>2453</v>
      </c>
      <c r="D2236" s="4" t="s">
        <v>2654</v>
      </c>
      <c r="E2236" s="4" t="s">
        <v>3850</v>
      </c>
      <c r="F2236" s="4" t="s">
        <v>27</v>
      </c>
      <c r="G2236" s="4" t="s">
        <v>73</v>
      </c>
      <c r="H2236" s="4" t="s">
        <v>521</v>
      </c>
      <c r="I2236" s="4"/>
      <c r="J2236" s="4" t="s">
        <v>2272</v>
      </c>
      <c r="K2236" s="4" t="s">
        <v>2272</v>
      </c>
      <c r="L2236" s="4" t="s">
        <v>2272</v>
      </c>
      <c r="M2236" s="4" t="s">
        <v>2272</v>
      </c>
      <c r="N2236" s="4" t="s">
        <v>2272</v>
      </c>
      <c r="O2236" s="4" t="s">
        <v>2272</v>
      </c>
      <c r="P2236" s="4" t="s">
        <v>2272</v>
      </c>
      <c r="Q2236" s="4" t="s">
        <v>2272</v>
      </c>
      <c r="R2236" s="4" t="s">
        <v>2272</v>
      </c>
      <c r="S2236" s="4" t="s">
        <v>2272</v>
      </c>
      <c r="T2236" s="4" t="s">
        <v>2272</v>
      </c>
      <c r="U2236" s="4" t="s">
        <v>2272</v>
      </c>
      <c r="V2236" s="4" t="s">
        <v>2272</v>
      </c>
      <c r="W2236" s="4" t="s">
        <v>2272</v>
      </c>
      <c r="X2236" s="4" t="s">
        <v>2272</v>
      </c>
      <c r="Y2236" s="4" t="s">
        <v>2272</v>
      </c>
      <c r="Z2236" s="4" t="s">
        <v>2272</v>
      </c>
      <c r="AA2236" s="4" t="s">
        <v>2272</v>
      </c>
      <c r="AB2236" s="4" t="s">
        <v>2272</v>
      </c>
      <c r="AC2236" s="4" t="s">
        <v>2272</v>
      </c>
      <c r="AD2236" s="4"/>
      <c r="AE2236" s="4"/>
    </row>
    <row r="2237" spans="1:31" s="199" customFormat="1" ht="47.5" customHeight="1">
      <c r="A2237" s="4" t="s">
        <v>6163</v>
      </c>
      <c r="B2237" s="4" t="s">
        <v>6711</v>
      </c>
      <c r="C2237" s="198" t="s">
        <v>2453</v>
      </c>
      <c r="D2237" s="198" t="s">
        <v>141</v>
      </c>
      <c r="E2237" s="4" t="s">
        <v>3850</v>
      </c>
      <c r="F2237" s="4" t="s">
        <v>27</v>
      </c>
      <c r="G2237" s="4" t="s">
        <v>73</v>
      </c>
      <c r="H2237" s="4" t="s">
        <v>522</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v>0</v>
      </c>
      <c r="Z2237" s="4" t="s">
        <v>2272</v>
      </c>
      <c r="AA2237" s="4" t="s">
        <v>2272</v>
      </c>
      <c r="AB2237" s="4" t="s">
        <v>2272</v>
      </c>
      <c r="AC2237" s="4" t="s">
        <v>2272</v>
      </c>
      <c r="AD2237" s="4"/>
      <c r="AE2237" s="4"/>
    </row>
    <row r="2238" spans="1:31" s="199" customFormat="1" ht="47.5" customHeight="1">
      <c r="A2238" s="4" t="s">
        <v>6163</v>
      </c>
      <c r="B2238" s="4" t="s">
        <v>6712</v>
      </c>
      <c r="C2238" s="4" t="s">
        <v>23</v>
      </c>
      <c r="D2238" s="4" t="s">
        <v>2654</v>
      </c>
      <c r="E2238" s="4" t="s">
        <v>3850</v>
      </c>
      <c r="F2238" s="4" t="s">
        <v>27</v>
      </c>
      <c r="G2238" s="4" t="s">
        <v>27</v>
      </c>
      <c r="H2238" s="4" t="s">
        <v>521</v>
      </c>
      <c r="I2238" s="4"/>
      <c r="J2238" s="4" t="s">
        <v>2272</v>
      </c>
      <c r="K2238" s="4" t="s">
        <v>2272</v>
      </c>
      <c r="L2238" s="4" t="s">
        <v>2272</v>
      </c>
      <c r="M2238" s="4" t="s">
        <v>2272</v>
      </c>
      <c r="N2238" s="4" t="s">
        <v>2272</v>
      </c>
      <c r="O2238" s="4" t="s">
        <v>2272</v>
      </c>
      <c r="P2238" s="4" t="s">
        <v>2272</v>
      </c>
      <c r="Q2238" s="4" t="s">
        <v>2272</v>
      </c>
      <c r="R2238" s="4" t="s">
        <v>2272</v>
      </c>
      <c r="S2238" s="4" t="s">
        <v>2272</v>
      </c>
      <c r="T2238" s="4" t="s">
        <v>2272</v>
      </c>
      <c r="U2238" s="4" t="s">
        <v>2272</v>
      </c>
      <c r="V2238" s="4" t="s">
        <v>2272</v>
      </c>
      <c r="W2238" s="4" t="s">
        <v>2272</v>
      </c>
      <c r="X2238" s="4" t="s">
        <v>2272</v>
      </c>
      <c r="Y2238" s="4" t="s">
        <v>2272</v>
      </c>
      <c r="Z2238" s="4" t="s">
        <v>2272</v>
      </c>
      <c r="AA2238" s="4" t="s">
        <v>2272</v>
      </c>
      <c r="AB2238" s="4" t="s">
        <v>2272</v>
      </c>
      <c r="AC2238" s="4" t="s">
        <v>2272</v>
      </c>
      <c r="AD2238" s="4"/>
      <c r="AE2238" s="4"/>
    </row>
    <row r="2239" spans="1:31" s="199" customFormat="1" ht="47.5" customHeight="1">
      <c r="A2239" s="4" t="s">
        <v>6163</v>
      </c>
      <c r="B2239" s="4" t="s">
        <v>6713</v>
      </c>
      <c r="C2239" s="4" t="s">
        <v>23</v>
      </c>
      <c r="D2239" s="198" t="s">
        <v>141</v>
      </c>
      <c r="E2239" s="4" t="s">
        <v>3850</v>
      </c>
      <c r="F2239" s="4" t="s">
        <v>27</v>
      </c>
      <c r="G2239" s="4" t="s">
        <v>27</v>
      </c>
      <c r="H2239" s="4" t="s">
        <v>522</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v>0</v>
      </c>
      <c r="Z2239" s="4" t="s">
        <v>2272</v>
      </c>
      <c r="AA2239" s="4" t="s">
        <v>2272</v>
      </c>
      <c r="AB2239" s="4" t="s">
        <v>2272</v>
      </c>
      <c r="AC2239" s="4" t="s">
        <v>2272</v>
      </c>
      <c r="AD2239" s="4"/>
      <c r="AE2239" s="4"/>
    </row>
    <row r="2240" spans="1:31" s="199" customFormat="1" ht="47.5" customHeight="1">
      <c r="A2240" s="4" t="s">
        <v>6163</v>
      </c>
      <c r="B2240" s="4" t="s">
        <v>6714</v>
      </c>
      <c r="C2240" s="198" t="s">
        <v>2453</v>
      </c>
      <c r="D2240" s="198" t="s">
        <v>24</v>
      </c>
      <c r="E2240" s="4" t="s">
        <v>3850</v>
      </c>
      <c r="F2240" s="4" t="s">
        <v>28</v>
      </c>
      <c r="G2240" s="4" t="s">
        <v>27</v>
      </c>
      <c r="H2240" s="4" t="s">
        <v>521</v>
      </c>
      <c r="I2240" s="4"/>
      <c r="J2240" s="4" t="s">
        <v>2272</v>
      </c>
      <c r="K2240" s="4" t="s">
        <v>2272</v>
      </c>
      <c r="L2240" s="4" t="s">
        <v>2272</v>
      </c>
      <c r="M2240" s="4" t="s">
        <v>2272</v>
      </c>
      <c r="N2240" s="4" t="s">
        <v>2272</v>
      </c>
      <c r="O2240" s="4" t="s">
        <v>2272</v>
      </c>
      <c r="P2240" s="4" t="s">
        <v>2272</v>
      </c>
      <c r="Q2240" s="4" t="s">
        <v>2272</v>
      </c>
      <c r="R2240" s="4" t="s">
        <v>2272</v>
      </c>
      <c r="S2240" s="4" t="s">
        <v>2272</v>
      </c>
      <c r="T2240" s="4" t="s">
        <v>2272</v>
      </c>
      <c r="U2240" s="4" t="s">
        <v>2272</v>
      </c>
      <c r="V2240" s="4" t="s">
        <v>2272</v>
      </c>
      <c r="W2240" s="4" t="s">
        <v>2272</v>
      </c>
      <c r="X2240" s="4" t="s">
        <v>2272</v>
      </c>
      <c r="Y2240" s="4" t="s">
        <v>2272</v>
      </c>
      <c r="Z2240" s="4" t="s">
        <v>2272</v>
      </c>
      <c r="AA2240" s="4" t="s">
        <v>2272</v>
      </c>
      <c r="AB2240" s="4" t="s">
        <v>2272</v>
      </c>
      <c r="AC2240" s="4" t="s">
        <v>2272</v>
      </c>
      <c r="AD2240" s="4"/>
      <c r="AE2240" s="4"/>
    </row>
    <row r="2241" spans="1:31" s="199" customFormat="1" ht="47.5" customHeight="1">
      <c r="A2241" s="4" t="s">
        <v>6163</v>
      </c>
      <c r="B2241" s="4" t="s">
        <v>6715</v>
      </c>
      <c r="C2241" s="4" t="s">
        <v>23</v>
      </c>
      <c r="D2241" s="198" t="s">
        <v>24</v>
      </c>
      <c r="E2241" s="4" t="s">
        <v>3850</v>
      </c>
      <c r="F2241" s="4" t="s">
        <v>28</v>
      </c>
      <c r="G2241" s="4" t="s">
        <v>27</v>
      </c>
      <c r="H2241" s="4" t="s">
        <v>521</v>
      </c>
      <c r="I2241" s="4"/>
      <c r="J2241" s="4" t="s">
        <v>2272</v>
      </c>
      <c r="K2241" s="4" t="s">
        <v>2272</v>
      </c>
      <c r="L2241" s="4" t="s">
        <v>2272</v>
      </c>
      <c r="M2241" s="4" t="s">
        <v>2272</v>
      </c>
      <c r="N2241" s="4" t="s">
        <v>2272</v>
      </c>
      <c r="O2241" s="4" t="s">
        <v>2272</v>
      </c>
      <c r="P2241" s="4" t="s">
        <v>2272</v>
      </c>
      <c r="Q2241" s="4" t="s">
        <v>2272</v>
      </c>
      <c r="R2241" s="4" t="s">
        <v>2272</v>
      </c>
      <c r="S2241" s="4" t="s">
        <v>2272</v>
      </c>
      <c r="T2241" s="4" t="s">
        <v>2272</v>
      </c>
      <c r="U2241" s="4" t="s">
        <v>2272</v>
      </c>
      <c r="V2241" s="4" t="s">
        <v>2272</v>
      </c>
      <c r="W2241" s="4" t="s">
        <v>2272</v>
      </c>
      <c r="X2241" s="4" t="s">
        <v>2272</v>
      </c>
      <c r="Y2241" s="4" t="s">
        <v>2272</v>
      </c>
      <c r="Z2241" s="4" t="s">
        <v>2272</v>
      </c>
      <c r="AA2241" s="4" t="s">
        <v>2272</v>
      </c>
      <c r="AB2241" s="4" t="s">
        <v>2272</v>
      </c>
      <c r="AC2241" s="4" t="s">
        <v>2272</v>
      </c>
      <c r="AD2241" s="4"/>
      <c r="AE2241" s="4"/>
    </row>
    <row r="2242" spans="1:31" s="199" customFormat="1" ht="47.5" customHeight="1">
      <c r="A2242" s="4" t="s">
        <v>6163</v>
      </c>
      <c r="B2242" s="4" t="s">
        <v>6716</v>
      </c>
      <c r="C2242" s="4" t="s">
        <v>23</v>
      </c>
      <c r="D2242" s="4" t="s">
        <v>2342</v>
      </c>
      <c r="E2242" s="4" t="s">
        <v>3850</v>
      </c>
      <c r="F2242" s="4" t="s">
        <v>2272</v>
      </c>
      <c r="G2242" s="4" t="s">
        <v>2272</v>
      </c>
      <c r="H2242" s="4" t="s">
        <v>521</v>
      </c>
      <c r="I2242" s="4"/>
      <c r="J2242" s="4" t="s">
        <v>2272</v>
      </c>
      <c r="K2242" s="4" t="s">
        <v>2272</v>
      </c>
      <c r="L2242" s="4" t="s">
        <v>2272</v>
      </c>
      <c r="M2242" s="4" t="s">
        <v>2272</v>
      </c>
      <c r="N2242" s="4" t="s">
        <v>2272</v>
      </c>
      <c r="O2242" s="4" t="s">
        <v>2272</v>
      </c>
      <c r="P2242" s="4" t="s">
        <v>2272</v>
      </c>
      <c r="Q2242" s="4" t="s">
        <v>2272</v>
      </c>
      <c r="R2242" s="4" t="s">
        <v>2272</v>
      </c>
      <c r="S2242" s="4" t="s">
        <v>2272</v>
      </c>
      <c r="T2242" s="4" t="s">
        <v>2272</v>
      </c>
      <c r="U2242" s="4" t="s">
        <v>2272</v>
      </c>
      <c r="V2242" s="4" t="s">
        <v>2272</v>
      </c>
      <c r="W2242" s="4" t="s">
        <v>2272</v>
      </c>
      <c r="X2242" s="4" t="s">
        <v>2272</v>
      </c>
      <c r="Y2242" s="4" t="s">
        <v>2272</v>
      </c>
      <c r="Z2242" s="4" t="s">
        <v>2272</v>
      </c>
      <c r="AA2242" s="4" t="s">
        <v>2272</v>
      </c>
      <c r="AB2242" s="4" t="s">
        <v>2272</v>
      </c>
      <c r="AC2242" s="4" t="s">
        <v>2272</v>
      </c>
      <c r="AD2242" s="4"/>
      <c r="AE2242" s="4"/>
    </row>
    <row r="2243" spans="1:31" s="199" customFormat="1" ht="47.5" customHeight="1">
      <c r="A2243" s="4" t="s">
        <v>6164</v>
      </c>
      <c r="B2243" s="4" t="s">
        <v>6224</v>
      </c>
      <c r="C2243" s="198" t="s">
        <v>2453</v>
      </c>
      <c r="D2243" s="4" t="s">
        <v>2654</v>
      </c>
      <c r="E2243" s="4" t="s">
        <v>3850</v>
      </c>
      <c r="F2243" s="4" t="s">
        <v>27</v>
      </c>
      <c r="G2243" s="4" t="s">
        <v>73</v>
      </c>
      <c r="H2243" s="4" t="s">
        <v>521</v>
      </c>
      <c r="I2243" s="4"/>
      <c r="J2243" s="4" t="s">
        <v>2272</v>
      </c>
      <c r="K2243" s="4" t="s">
        <v>2272</v>
      </c>
      <c r="L2243" s="4" t="s">
        <v>2272</v>
      </c>
      <c r="M2243" s="4" t="s">
        <v>2272</v>
      </c>
      <c r="N2243" s="4" t="s">
        <v>2272</v>
      </c>
      <c r="O2243" s="4" t="s">
        <v>2272</v>
      </c>
      <c r="P2243" s="4" t="s">
        <v>2272</v>
      </c>
      <c r="Q2243" s="4" t="s">
        <v>2272</v>
      </c>
      <c r="R2243" s="4" t="s">
        <v>2272</v>
      </c>
      <c r="S2243" s="4" t="s">
        <v>2272</v>
      </c>
      <c r="T2243" s="4" t="s">
        <v>2272</v>
      </c>
      <c r="U2243" s="4" t="s">
        <v>2272</v>
      </c>
      <c r="V2243" s="4" t="s">
        <v>2272</v>
      </c>
      <c r="W2243" s="4" t="s">
        <v>2272</v>
      </c>
      <c r="X2243" s="4" t="s">
        <v>2272</v>
      </c>
      <c r="Y2243" s="4" t="s">
        <v>2272</v>
      </c>
      <c r="Z2243" s="4" t="s">
        <v>2272</v>
      </c>
      <c r="AA2243" s="4" t="s">
        <v>2272</v>
      </c>
      <c r="AB2243" s="4" t="s">
        <v>2272</v>
      </c>
      <c r="AC2243" s="4" t="s">
        <v>2272</v>
      </c>
      <c r="AD2243" s="4"/>
      <c r="AE2243" s="4"/>
    </row>
    <row r="2244" spans="1:31" s="199" customFormat="1" ht="47.5" customHeight="1">
      <c r="A2244" s="4" t="s">
        <v>6164</v>
      </c>
      <c r="B2244" s="4" t="s">
        <v>6717</v>
      </c>
      <c r="C2244" s="198" t="s">
        <v>2453</v>
      </c>
      <c r="D2244" s="198" t="s">
        <v>141</v>
      </c>
      <c r="E2244" s="4" t="s">
        <v>3850</v>
      </c>
      <c r="F2244" s="4" t="s">
        <v>27</v>
      </c>
      <c r="G2244" s="4" t="s">
        <v>73</v>
      </c>
      <c r="H2244" s="4" t="s">
        <v>522</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v>0</v>
      </c>
      <c r="Z2244" s="4" t="s">
        <v>2272</v>
      </c>
      <c r="AA2244" s="4" t="s">
        <v>2272</v>
      </c>
      <c r="AB2244" s="4" t="s">
        <v>2272</v>
      </c>
      <c r="AC2244" s="4" t="s">
        <v>2272</v>
      </c>
      <c r="AD2244" s="4"/>
      <c r="AE2244" s="4"/>
    </row>
    <row r="2245" spans="1:31" s="199" customFormat="1" ht="47.5" customHeight="1">
      <c r="A2245" s="4" t="s">
        <v>6164</v>
      </c>
      <c r="B2245" s="4" t="s">
        <v>6718</v>
      </c>
      <c r="C2245" s="4" t="s">
        <v>23</v>
      </c>
      <c r="D2245" s="4" t="s">
        <v>2654</v>
      </c>
      <c r="E2245" s="4" t="s">
        <v>3850</v>
      </c>
      <c r="F2245" s="4" t="s">
        <v>27</v>
      </c>
      <c r="G2245" s="4" t="s">
        <v>27</v>
      </c>
      <c r="H2245" s="4" t="s">
        <v>521</v>
      </c>
      <c r="I2245" s="4"/>
      <c r="J2245" s="4" t="s">
        <v>2272</v>
      </c>
      <c r="K2245" s="4" t="s">
        <v>2272</v>
      </c>
      <c r="L2245" s="4" t="s">
        <v>2272</v>
      </c>
      <c r="M2245" s="4" t="s">
        <v>2272</v>
      </c>
      <c r="N2245" s="4" t="s">
        <v>2272</v>
      </c>
      <c r="O2245" s="4" t="s">
        <v>2272</v>
      </c>
      <c r="P2245" s="4" t="s">
        <v>2272</v>
      </c>
      <c r="Q2245" s="4" t="s">
        <v>2272</v>
      </c>
      <c r="R2245" s="4" t="s">
        <v>2272</v>
      </c>
      <c r="S2245" s="4" t="s">
        <v>2272</v>
      </c>
      <c r="T2245" s="4" t="s">
        <v>2272</v>
      </c>
      <c r="U2245" s="4" t="s">
        <v>2272</v>
      </c>
      <c r="V2245" s="4" t="s">
        <v>2272</v>
      </c>
      <c r="W2245" s="4" t="s">
        <v>2272</v>
      </c>
      <c r="X2245" s="4" t="s">
        <v>2272</v>
      </c>
      <c r="Y2245" s="4" t="s">
        <v>2272</v>
      </c>
      <c r="Z2245" s="4" t="s">
        <v>2272</v>
      </c>
      <c r="AA2245" s="4" t="s">
        <v>2272</v>
      </c>
      <c r="AB2245" s="4" t="s">
        <v>2272</v>
      </c>
      <c r="AC2245" s="4" t="s">
        <v>2272</v>
      </c>
      <c r="AD2245" s="4"/>
      <c r="AE2245" s="4"/>
    </row>
    <row r="2246" spans="1:31" s="199" customFormat="1" ht="47.5" customHeight="1">
      <c r="A2246" s="4" t="s">
        <v>6164</v>
      </c>
      <c r="B2246" s="4" t="s">
        <v>6719</v>
      </c>
      <c r="C2246" s="4" t="s">
        <v>23</v>
      </c>
      <c r="D2246" s="198" t="s">
        <v>141</v>
      </c>
      <c r="E2246" s="4" t="s">
        <v>3850</v>
      </c>
      <c r="F2246" s="4" t="s">
        <v>27</v>
      </c>
      <c r="G2246" s="4" t="s">
        <v>27</v>
      </c>
      <c r="H2246" s="4" t="s">
        <v>522</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v>0</v>
      </c>
      <c r="Z2246" s="4" t="s">
        <v>2272</v>
      </c>
      <c r="AA2246" s="4" t="s">
        <v>2272</v>
      </c>
      <c r="AB2246" s="4" t="s">
        <v>2272</v>
      </c>
      <c r="AC2246" s="4" t="s">
        <v>2272</v>
      </c>
      <c r="AD2246" s="4"/>
      <c r="AE2246" s="4"/>
    </row>
    <row r="2247" spans="1:31" s="199" customFormat="1" ht="47.5" customHeight="1">
      <c r="A2247" s="4" t="s">
        <v>6164</v>
      </c>
      <c r="B2247" s="4" t="s">
        <v>6720</v>
      </c>
      <c r="C2247" s="198" t="s">
        <v>2453</v>
      </c>
      <c r="D2247" s="198" t="s">
        <v>24</v>
      </c>
      <c r="E2247" s="4" t="s">
        <v>3850</v>
      </c>
      <c r="F2247" s="4" t="s">
        <v>28</v>
      </c>
      <c r="G2247" s="4" t="s">
        <v>27</v>
      </c>
      <c r="H2247" s="4" t="s">
        <v>521</v>
      </c>
      <c r="I2247" s="4"/>
      <c r="J2247" s="4" t="s">
        <v>2272</v>
      </c>
      <c r="K2247" s="4" t="s">
        <v>2272</v>
      </c>
      <c r="L2247" s="4" t="s">
        <v>2272</v>
      </c>
      <c r="M2247" s="4" t="s">
        <v>2272</v>
      </c>
      <c r="N2247" s="4" t="s">
        <v>2272</v>
      </c>
      <c r="O2247" s="4" t="s">
        <v>2272</v>
      </c>
      <c r="P2247" s="4" t="s">
        <v>2272</v>
      </c>
      <c r="Q2247" s="4" t="s">
        <v>2272</v>
      </c>
      <c r="R2247" s="4" t="s">
        <v>2272</v>
      </c>
      <c r="S2247" s="4" t="s">
        <v>2272</v>
      </c>
      <c r="T2247" s="4" t="s">
        <v>2272</v>
      </c>
      <c r="U2247" s="4" t="s">
        <v>2272</v>
      </c>
      <c r="V2247" s="4" t="s">
        <v>2272</v>
      </c>
      <c r="W2247" s="4" t="s">
        <v>2272</v>
      </c>
      <c r="X2247" s="4" t="s">
        <v>2272</v>
      </c>
      <c r="Y2247" s="4" t="s">
        <v>2272</v>
      </c>
      <c r="Z2247" s="4" t="s">
        <v>2272</v>
      </c>
      <c r="AA2247" s="4" t="s">
        <v>2272</v>
      </c>
      <c r="AB2247" s="4" t="s">
        <v>2272</v>
      </c>
      <c r="AC2247" s="4" t="s">
        <v>2272</v>
      </c>
      <c r="AD2247" s="4"/>
      <c r="AE2247" s="4"/>
    </row>
    <row r="2248" spans="1:31" s="199" customFormat="1" ht="46.5" customHeight="1">
      <c r="A2248" s="4" t="s">
        <v>6164</v>
      </c>
      <c r="B2248" s="4" t="s">
        <v>6721</v>
      </c>
      <c r="C2248" s="4" t="s">
        <v>23</v>
      </c>
      <c r="D2248" s="198" t="s">
        <v>24</v>
      </c>
      <c r="E2248" s="4" t="s">
        <v>3850</v>
      </c>
      <c r="F2248" s="4" t="s">
        <v>28</v>
      </c>
      <c r="G2248" s="4" t="s">
        <v>27</v>
      </c>
      <c r="H2248" s="4" t="s">
        <v>521</v>
      </c>
      <c r="I2248" s="4"/>
      <c r="J2248" s="4" t="s">
        <v>2272</v>
      </c>
      <c r="K2248" s="4" t="s">
        <v>2272</v>
      </c>
      <c r="L2248" s="4" t="s">
        <v>2272</v>
      </c>
      <c r="M2248" s="4" t="s">
        <v>2272</v>
      </c>
      <c r="N2248" s="4" t="s">
        <v>2272</v>
      </c>
      <c r="O2248" s="4" t="s">
        <v>2272</v>
      </c>
      <c r="P2248" s="4" t="s">
        <v>2272</v>
      </c>
      <c r="Q2248" s="4" t="s">
        <v>2272</v>
      </c>
      <c r="R2248" s="4" t="s">
        <v>2272</v>
      </c>
      <c r="S2248" s="4" t="s">
        <v>2272</v>
      </c>
      <c r="T2248" s="4" t="s">
        <v>2272</v>
      </c>
      <c r="U2248" s="4" t="s">
        <v>2272</v>
      </c>
      <c r="V2248" s="4" t="s">
        <v>2272</v>
      </c>
      <c r="W2248" s="4" t="s">
        <v>2272</v>
      </c>
      <c r="X2248" s="4" t="s">
        <v>2272</v>
      </c>
      <c r="Y2248" s="4" t="s">
        <v>2272</v>
      </c>
      <c r="Z2248" s="4" t="s">
        <v>2272</v>
      </c>
      <c r="AA2248" s="4" t="s">
        <v>2272</v>
      </c>
      <c r="AB2248" s="4" t="s">
        <v>2272</v>
      </c>
      <c r="AC2248" s="4" t="s">
        <v>2272</v>
      </c>
      <c r="AD2248" s="4"/>
      <c r="AE2248" s="4"/>
    </row>
    <row r="2249" spans="1:31" s="199" customFormat="1" ht="46.5" customHeight="1">
      <c r="A2249" s="4" t="s">
        <v>6164</v>
      </c>
      <c r="B2249" s="4" t="s">
        <v>6722</v>
      </c>
      <c r="C2249" s="4" t="s">
        <v>23</v>
      </c>
      <c r="D2249" s="4" t="s">
        <v>2342</v>
      </c>
      <c r="E2249" s="4" t="s">
        <v>3850</v>
      </c>
      <c r="F2249" s="4" t="s">
        <v>2272</v>
      </c>
      <c r="G2249" s="4" t="s">
        <v>2272</v>
      </c>
      <c r="H2249" s="4" t="s">
        <v>521</v>
      </c>
      <c r="I2249" s="4"/>
      <c r="J2249" s="4" t="s">
        <v>2272</v>
      </c>
      <c r="K2249" s="4" t="s">
        <v>2272</v>
      </c>
      <c r="L2249" s="4" t="s">
        <v>2272</v>
      </c>
      <c r="M2249" s="4" t="s">
        <v>2272</v>
      </c>
      <c r="N2249" s="4" t="s">
        <v>2272</v>
      </c>
      <c r="O2249" s="4" t="s">
        <v>2272</v>
      </c>
      <c r="P2249" s="4" t="s">
        <v>2272</v>
      </c>
      <c r="Q2249" s="4" t="s">
        <v>2272</v>
      </c>
      <c r="R2249" s="4" t="s">
        <v>2272</v>
      </c>
      <c r="S2249" s="4" t="s">
        <v>2272</v>
      </c>
      <c r="T2249" s="4" t="s">
        <v>2272</v>
      </c>
      <c r="U2249" s="4" t="s">
        <v>2272</v>
      </c>
      <c r="V2249" s="4" t="s">
        <v>2272</v>
      </c>
      <c r="W2249" s="4" t="s">
        <v>2272</v>
      </c>
      <c r="X2249" s="4" t="s">
        <v>2272</v>
      </c>
      <c r="Y2249" s="4" t="s">
        <v>2272</v>
      </c>
      <c r="Z2249" s="4" t="s">
        <v>2272</v>
      </c>
      <c r="AA2249" s="4" t="s">
        <v>2272</v>
      </c>
      <c r="AB2249" s="4" t="s">
        <v>2272</v>
      </c>
      <c r="AC2249" s="4" t="s">
        <v>2272</v>
      </c>
      <c r="AD2249" s="4"/>
      <c r="AE2249" s="4"/>
    </row>
    <row r="2250" spans="1:31" s="199" customFormat="1" ht="46.5" customHeight="1">
      <c r="A2250" s="4" t="s">
        <v>6165</v>
      </c>
      <c r="B2250" s="4" t="s">
        <v>6225</v>
      </c>
      <c r="C2250" s="198" t="s">
        <v>2453</v>
      </c>
      <c r="D2250" s="4" t="s">
        <v>2654</v>
      </c>
      <c r="E2250" s="4" t="s">
        <v>3850</v>
      </c>
      <c r="F2250" s="4" t="s">
        <v>27</v>
      </c>
      <c r="G2250" s="4" t="s">
        <v>73</v>
      </c>
      <c r="H2250" s="4" t="s">
        <v>521</v>
      </c>
      <c r="I2250" s="4"/>
      <c r="J2250" s="4" t="s">
        <v>2272</v>
      </c>
      <c r="K2250" s="4" t="s">
        <v>2272</v>
      </c>
      <c r="L2250" s="4" t="s">
        <v>2272</v>
      </c>
      <c r="M2250" s="4" t="s">
        <v>2272</v>
      </c>
      <c r="N2250" s="4" t="s">
        <v>2272</v>
      </c>
      <c r="O2250" s="4" t="s">
        <v>2272</v>
      </c>
      <c r="P2250" s="4" t="s">
        <v>2272</v>
      </c>
      <c r="Q2250" s="4" t="s">
        <v>2272</v>
      </c>
      <c r="R2250" s="4" t="s">
        <v>2272</v>
      </c>
      <c r="S2250" s="4" t="s">
        <v>2272</v>
      </c>
      <c r="T2250" s="4" t="s">
        <v>2272</v>
      </c>
      <c r="U2250" s="4" t="s">
        <v>2272</v>
      </c>
      <c r="V2250" s="4" t="s">
        <v>2272</v>
      </c>
      <c r="W2250" s="4" t="s">
        <v>2272</v>
      </c>
      <c r="X2250" s="4" t="s">
        <v>2272</v>
      </c>
      <c r="Y2250" s="4" t="s">
        <v>2272</v>
      </c>
      <c r="Z2250" s="4" t="s">
        <v>2272</v>
      </c>
      <c r="AA2250" s="4" t="s">
        <v>2272</v>
      </c>
      <c r="AB2250" s="4" t="s">
        <v>2272</v>
      </c>
      <c r="AC2250" s="4" t="s">
        <v>2272</v>
      </c>
      <c r="AD2250" s="4"/>
      <c r="AE2250" s="4"/>
    </row>
    <row r="2251" spans="1:31" s="199" customFormat="1" ht="46.5" customHeight="1">
      <c r="A2251" s="4" t="s">
        <v>6165</v>
      </c>
      <c r="B2251" s="4" t="s">
        <v>6723</v>
      </c>
      <c r="C2251" s="198" t="s">
        <v>2453</v>
      </c>
      <c r="D2251" s="198" t="s">
        <v>141</v>
      </c>
      <c r="E2251" s="4" t="s">
        <v>3850</v>
      </c>
      <c r="F2251" s="4" t="s">
        <v>27</v>
      </c>
      <c r="G2251" s="4" t="s">
        <v>73</v>
      </c>
      <c r="H2251" s="4" t="s">
        <v>522</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v>0</v>
      </c>
      <c r="Z2251" s="4" t="s">
        <v>2272</v>
      </c>
      <c r="AA2251" s="4" t="s">
        <v>2272</v>
      </c>
      <c r="AB2251" s="4" t="s">
        <v>2272</v>
      </c>
      <c r="AC2251" s="4" t="s">
        <v>2272</v>
      </c>
      <c r="AD2251" s="4"/>
      <c r="AE2251" s="4"/>
    </row>
    <row r="2252" spans="1:31" s="199" customFormat="1" ht="46.5" customHeight="1">
      <c r="A2252" s="4" t="s">
        <v>6165</v>
      </c>
      <c r="B2252" s="4" t="s">
        <v>6724</v>
      </c>
      <c r="C2252" s="4" t="s">
        <v>23</v>
      </c>
      <c r="D2252" s="4" t="s">
        <v>2654</v>
      </c>
      <c r="E2252" s="4" t="s">
        <v>3850</v>
      </c>
      <c r="F2252" s="4" t="s">
        <v>27</v>
      </c>
      <c r="G2252" s="4" t="s">
        <v>27</v>
      </c>
      <c r="H2252" s="4" t="s">
        <v>521</v>
      </c>
      <c r="I2252" s="4"/>
      <c r="J2252" s="4" t="s">
        <v>2272</v>
      </c>
      <c r="K2252" s="4" t="s">
        <v>2272</v>
      </c>
      <c r="L2252" s="4" t="s">
        <v>2272</v>
      </c>
      <c r="M2252" s="4" t="s">
        <v>2272</v>
      </c>
      <c r="N2252" s="4" t="s">
        <v>2272</v>
      </c>
      <c r="O2252" s="4" t="s">
        <v>2272</v>
      </c>
      <c r="P2252" s="4" t="s">
        <v>2272</v>
      </c>
      <c r="Q2252" s="4" t="s">
        <v>2272</v>
      </c>
      <c r="R2252" s="4" t="s">
        <v>2272</v>
      </c>
      <c r="S2252" s="4" t="s">
        <v>2272</v>
      </c>
      <c r="T2252" s="4" t="s">
        <v>2272</v>
      </c>
      <c r="U2252" s="4" t="s">
        <v>2272</v>
      </c>
      <c r="V2252" s="4" t="s">
        <v>2272</v>
      </c>
      <c r="W2252" s="4" t="s">
        <v>2272</v>
      </c>
      <c r="X2252" s="4" t="s">
        <v>2272</v>
      </c>
      <c r="Y2252" s="4" t="s">
        <v>2272</v>
      </c>
      <c r="Z2252" s="4" t="s">
        <v>2272</v>
      </c>
      <c r="AA2252" s="4" t="s">
        <v>2272</v>
      </c>
      <c r="AB2252" s="4" t="s">
        <v>2272</v>
      </c>
      <c r="AC2252" s="4" t="s">
        <v>2272</v>
      </c>
      <c r="AD2252" s="4"/>
      <c r="AE2252" s="4"/>
    </row>
    <row r="2253" spans="1:31" s="199" customFormat="1" ht="46.5" customHeight="1">
      <c r="A2253" s="4" t="s">
        <v>6165</v>
      </c>
      <c r="B2253" s="4" t="s">
        <v>6725</v>
      </c>
      <c r="C2253" s="4" t="s">
        <v>23</v>
      </c>
      <c r="D2253" s="198" t="s">
        <v>141</v>
      </c>
      <c r="E2253" s="4" t="s">
        <v>3850</v>
      </c>
      <c r="F2253" s="4" t="s">
        <v>27</v>
      </c>
      <c r="G2253" s="4" t="s">
        <v>27</v>
      </c>
      <c r="H2253" s="4" t="s">
        <v>522</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v>0</v>
      </c>
      <c r="Z2253" s="4" t="s">
        <v>2272</v>
      </c>
      <c r="AA2253" s="4" t="s">
        <v>2272</v>
      </c>
      <c r="AB2253" s="4" t="s">
        <v>2272</v>
      </c>
      <c r="AC2253" s="4" t="s">
        <v>2272</v>
      </c>
      <c r="AD2253" s="4"/>
      <c r="AE2253" s="4"/>
    </row>
    <row r="2254" spans="1:31" s="199" customFormat="1" ht="46.5" customHeight="1">
      <c r="A2254" s="4" t="s">
        <v>6165</v>
      </c>
      <c r="B2254" s="4" t="s">
        <v>6726</v>
      </c>
      <c r="C2254" s="198" t="s">
        <v>2453</v>
      </c>
      <c r="D2254" s="198" t="s">
        <v>24</v>
      </c>
      <c r="E2254" s="4" t="s">
        <v>3850</v>
      </c>
      <c r="F2254" s="4" t="s">
        <v>28</v>
      </c>
      <c r="G2254" s="4" t="s">
        <v>27</v>
      </c>
      <c r="H2254" s="4" t="s">
        <v>521</v>
      </c>
      <c r="I2254" s="4"/>
      <c r="J2254" s="4" t="s">
        <v>2272</v>
      </c>
      <c r="K2254" s="4" t="s">
        <v>2272</v>
      </c>
      <c r="L2254" s="4" t="s">
        <v>2272</v>
      </c>
      <c r="M2254" s="4" t="s">
        <v>2272</v>
      </c>
      <c r="N2254" s="4" t="s">
        <v>2272</v>
      </c>
      <c r="O2254" s="4" t="s">
        <v>2272</v>
      </c>
      <c r="P2254" s="4" t="s">
        <v>2272</v>
      </c>
      <c r="Q2254" s="4" t="s">
        <v>2272</v>
      </c>
      <c r="R2254" s="4" t="s">
        <v>2272</v>
      </c>
      <c r="S2254" s="4" t="s">
        <v>2272</v>
      </c>
      <c r="T2254" s="4" t="s">
        <v>2272</v>
      </c>
      <c r="U2254" s="4" t="s">
        <v>2272</v>
      </c>
      <c r="V2254" s="4" t="s">
        <v>2272</v>
      </c>
      <c r="W2254" s="4" t="s">
        <v>2272</v>
      </c>
      <c r="X2254" s="4" t="s">
        <v>2272</v>
      </c>
      <c r="Y2254" s="4" t="s">
        <v>2272</v>
      </c>
      <c r="Z2254" s="4" t="s">
        <v>2272</v>
      </c>
      <c r="AA2254" s="4" t="s">
        <v>2272</v>
      </c>
      <c r="AB2254" s="4" t="s">
        <v>2272</v>
      </c>
      <c r="AC2254" s="4" t="s">
        <v>2272</v>
      </c>
      <c r="AD2254" s="4"/>
      <c r="AE2254" s="4"/>
    </row>
    <row r="2255" spans="1:31" s="199" customFormat="1" ht="46.5" customHeight="1">
      <c r="A2255" s="4" t="s">
        <v>6165</v>
      </c>
      <c r="B2255" s="4" t="s">
        <v>6727</v>
      </c>
      <c r="C2255" s="4" t="s">
        <v>23</v>
      </c>
      <c r="D2255" s="198" t="s">
        <v>24</v>
      </c>
      <c r="E2255" s="4" t="s">
        <v>3850</v>
      </c>
      <c r="F2255" s="4" t="s">
        <v>28</v>
      </c>
      <c r="G2255" s="4" t="s">
        <v>27</v>
      </c>
      <c r="H2255" s="4" t="s">
        <v>521</v>
      </c>
      <c r="I2255" s="4"/>
      <c r="J2255" s="4" t="s">
        <v>2272</v>
      </c>
      <c r="K2255" s="4" t="s">
        <v>2272</v>
      </c>
      <c r="L2255" s="4" t="s">
        <v>2272</v>
      </c>
      <c r="M2255" s="4" t="s">
        <v>2272</v>
      </c>
      <c r="N2255" s="4" t="s">
        <v>2272</v>
      </c>
      <c r="O2255" s="4" t="s">
        <v>2272</v>
      </c>
      <c r="P2255" s="4" t="s">
        <v>2272</v>
      </c>
      <c r="Q2255" s="4" t="s">
        <v>2272</v>
      </c>
      <c r="R2255" s="4" t="s">
        <v>2272</v>
      </c>
      <c r="S2255" s="4" t="s">
        <v>2272</v>
      </c>
      <c r="T2255" s="4" t="s">
        <v>2272</v>
      </c>
      <c r="U2255" s="4" t="s">
        <v>2272</v>
      </c>
      <c r="V2255" s="4" t="s">
        <v>2272</v>
      </c>
      <c r="W2255" s="4" t="s">
        <v>2272</v>
      </c>
      <c r="X2255" s="4" t="s">
        <v>2272</v>
      </c>
      <c r="Y2255" s="4" t="s">
        <v>2272</v>
      </c>
      <c r="Z2255" s="4" t="s">
        <v>2272</v>
      </c>
      <c r="AA2255" s="4" t="s">
        <v>2272</v>
      </c>
      <c r="AB2255" s="4" t="s">
        <v>2272</v>
      </c>
      <c r="AC2255" s="4" t="s">
        <v>2272</v>
      </c>
      <c r="AD2255" s="4"/>
      <c r="AE2255" s="4"/>
    </row>
    <row r="2256" spans="1:31" s="199" customFormat="1" ht="46.5" customHeight="1">
      <c r="A2256" s="4" t="s">
        <v>6165</v>
      </c>
      <c r="B2256" s="4" t="s">
        <v>6728</v>
      </c>
      <c r="C2256" s="4" t="s">
        <v>23</v>
      </c>
      <c r="D2256" s="4" t="s">
        <v>2342</v>
      </c>
      <c r="E2256" s="4" t="s">
        <v>3850</v>
      </c>
      <c r="F2256" s="4" t="s">
        <v>2272</v>
      </c>
      <c r="G2256" s="4" t="s">
        <v>2272</v>
      </c>
      <c r="H2256" s="4" t="s">
        <v>521</v>
      </c>
      <c r="I2256" s="4"/>
      <c r="J2256" s="4" t="s">
        <v>2272</v>
      </c>
      <c r="K2256" s="4" t="s">
        <v>2272</v>
      </c>
      <c r="L2256" s="4" t="s">
        <v>2272</v>
      </c>
      <c r="M2256" s="4" t="s">
        <v>2272</v>
      </c>
      <c r="N2256" s="4" t="s">
        <v>2272</v>
      </c>
      <c r="O2256" s="4" t="s">
        <v>2272</v>
      </c>
      <c r="P2256" s="4" t="s">
        <v>2272</v>
      </c>
      <c r="Q2256" s="4" t="s">
        <v>2272</v>
      </c>
      <c r="R2256" s="4" t="s">
        <v>2272</v>
      </c>
      <c r="S2256" s="4" t="s">
        <v>2272</v>
      </c>
      <c r="T2256" s="4" t="s">
        <v>2272</v>
      </c>
      <c r="U2256" s="4" t="s">
        <v>2272</v>
      </c>
      <c r="V2256" s="4" t="s">
        <v>2272</v>
      </c>
      <c r="W2256" s="4" t="s">
        <v>2272</v>
      </c>
      <c r="X2256" s="4" t="s">
        <v>2272</v>
      </c>
      <c r="Y2256" s="4" t="s">
        <v>2272</v>
      </c>
      <c r="Z2256" s="4" t="s">
        <v>2272</v>
      </c>
      <c r="AA2256" s="4" t="s">
        <v>2272</v>
      </c>
      <c r="AB2256" s="4" t="s">
        <v>2272</v>
      </c>
      <c r="AC2256" s="4" t="s">
        <v>2272</v>
      </c>
      <c r="AD2256" s="4"/>
      <c r="AE2256" s="4"/>
    </row>
    <row r="2257" spans="1:31" s="199" customFormat="1" ht="46.5" customHeight="1">
      <c r="A2257" s="4" t="s">
        <v>6166</v>
      </c>
      <c r="B2257" s="4" t="s">
        <v>6226</v>
      </c>
      <c r="C2257" s="198" t="s">
        <v>2453</v>
      </c>
      <c r="D2257" s="4" t="s">
        <v>2654</v>
      </c>
      <c r="E2257" s="4" t="s">
        <v>3850</v>
      </c>
      <c r="F2257" s="4" t="s">
        <v>27</v>
      </c>
      <c r="G2257" s="4" t="s">
        <v>73</v>
      </c>
      <c r="H2257" s="4" t="s">
        <v>521</v>
      </c>
      <c r="I2257" s="4"/>
      <c r="J2257" s="4" t="s">
        <v>2272</v>
      </c>
      <c r="K2257" s="4" t="s">
        <v>2272</v>
      </c>
      <c r="L2257" s="4" t="s">
        <v>2272</v>
      </c>
      <c r="M2257" s="4" t="s">
        <v>2272</v>
      </c>
      <c r="N2257" s="4" t="s">
        <v>2272</v>
      </c>
      <c r="O2257" s="4" t="s">
        <v>2272</v>
      </c>
      <c r="P2257" s="4" t="s">
        <v>2272</v>
      </c>
      <c r="Q2257" s="4" t="s">
        <v>2272</v>
      </c>
      <c r="R2257" s="4" t="s">
        <v>2272</v>
      </c>
      <c r="S2257" s="4" t="s">
        <v>2272</v>
      </c>
      <c r="T2257" s="4" t="s">
        <v>2272</v>
      </c>
      <c r="U2257" s="4" t="s">
        <v>2272</v>
      </c>
      <c r="V2257" s="4" t="s">
        <v>2272</v>
      </c>
      <c r="W2257" s="4" t="s">
        <v>2272</v>
      </c>
      <c r="X2257" s="4" t="s">
        <v>2272</v>
      </c>
      <c r="Y2257" s="4" t="s">
        <v>2272</v>
      </c>
      <c r="Z2257" s="4" t="s">
        <v>2272</v>
      </c>
      <c r="AA2257" s="4" t="s">
        <v>2272</v>
      </c>
      <c r="AB2257" s="4" t="s">
        <v>2272</v>
      </c>
      <c r="AC2257" s="4" t="s">
        <v>2272</v>
      </c>
      <c r="AD2257" s="4"/>
      <c r="AE2257" s="4"/>
    </row>
    <row r="2258" spans="1:31" s="199" customFormat="1" ht="46.5" customHeight="1">
      <c r="A2258" s="4" t="s">
        <v>6166</v>
      </c>
      <c r="B2258" s="4" t="s">
        <v>6729</v>
      </c>
      <c r="C2258" s="198" t="s">
        <v>2453</v>
      </c>
      <c r="D2258" s="198" t="s">
        <v>141</v>
      </c>
      <c r="E2258" s="4" t="s">
        <v>3850</v>
      </c>
      <c r="F2258" s="4" t="s">
        <v>27</v>
      </c>
      <c r="G2258" s="4" t="s">
        <v>73</v>
      </c>
      <c r="H2258" s="4" t="s">
        <v>522</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v>0</v>
      </c>
      <c r="Z2258" s="4" t="s">
        <v>2272</v>
      </c>
      <c r="AA2258" s="4" t="s">
        <v>2272</v>
      </c>
      <c r="AB2258" s="4" t="s">
        <v>2272</v>
      </c>
      <c r="AC2258" s="4" t="s">
        <v>2272</v>
      </c>
      <c r="AD2258" s="4"/>
      <c r="AE2258" s="4"/>
    </row>
    <row r="2259" spans="1:31" s="199" customFormat="1" ht="46.5" customHeight="1">
      <c r="A2259" s="4" t="s">
        <v>6166</v>
      </c>
      <c r="B2259" s="4" t="s">
        <v>6730</v>
      </c>
      <c r="C2259" s="4" t="s">
        <v>23</v>
      </c>
      <c r="D2259" s="4" t="s">
        <v>2654</v>
      </c>
      <c r="E2259" s="4" t="s">
        <v>3850</v>
      </c>
      <c r="F2259" s="4" t="s">
        <v>27</v>
      </c>
      <c r="G2259" s="4" t="s">
        <v>27</v>
      </c>
      <c r="H2259" s="4" t="s">
        <v>521</v>
      </c>
      <c r="I2259" s="4"/>
      <c r="J2259" s="4" t="s">
        <v>2272</v>
      </c>
      <c r="K2259" s="4" t="s">
        <v>2272</v>
      </c>
      <c r="L2259" s="4" t="s">
        <v>2272</v>
      </c>
      <c r="M2259" s="4" t="s">
        <v>2272</v>
      </c>
      <c r="N2259" s="4" t="s">
        <v>2272</v>
      </c>
      <c r="O2259" s="4" t="s">
        <v>2272</v>
      </c>
      <c r="P2259" s="4" t="s">
        <v>2272</v>
      </c>
      <c r="Q2259" s="4" t="s">
        <v>2272</v>
      </c>
      <c r="R2259" s="4" t="s">
        <v>2272</v>
      </c>
      <c r="S2259" s="4" t="s">
        <v>2272</v>
      </c>
      <c r="T2259" s="4" t="s">
        <v>2272</v>
      </c>
      <c r="U2259" s="4" t="s">
        <v>2272</v>
      </c>
      <c r="V2259" s="4" t="s">
        <v>2272</v>
      </c>
      <c r="W2259" s="4" t="s">
        <v>2272</v>
      </c>
      <c r="X2259" s="4" t="s">
        <v>2272</v>
      </c>
      <c r="Y2259" s="4" t="s">
        <v>2272</v>
      </c>
      <c r="Z2259" s="4" t="s">
        <v>2272</v>
      </c>
      <c r="AA2259" s="4" t="s">
        <v>2272</v>
      </c>
      <c r="AB2259" s="4" t="s">
        <v>2272</v>
      </c>
      <c r="AC2259" s="4" t="s">
        <v>2272</v>
      </c>
      <c r="AD2259" s="4"/>
      <c r="AE2259" s="4"/>
    </row>
    <row r="2260" spans="1:31" s="199" customFormat="1" ht="46.5" customHeight="1">
      <c r="A2260" s="4" t="s">
        <v>6166</v>
      </c>
      <c r="B2260" s="4" t="s">
        <v>6731</v>
      </c>
      <c r="C2260" s="4" t="s">
        <v>23</v>
      </c>
      <c r="D2260" s="198" t="s">
        <v>141</v>
      </c>
      <c r="E2260" s="4" t="s">
        <v>3850</v>
      </c>
      <c r="F2260" s="4" t="s">
        <v>27</v>
      </c>
      <c r="G2260" s="4" t="s">
        <v>27</v>
      </c>
      <c r="H2260" s="4" t="s">
        <v>522</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v>0</v>
      </c>
      <c r="Z2260" s="4" t="s">
        <v>2272</v>
      </c>
      <c r="AA2260" s="4" t="s">
        <v>2272</v>
      </c>
      <c r="AB2260" s="4" t="s">
        <v>2272</v>
      </c>
      <c r="AC2260" s="4" t="s">
        <v>2272</v>
      </c>
      <c r="AD2260" s="4"/>
      <c r="AE2260" s="4"/>
    </row>
    <row r="2261" spans="1:31" s="199" customFormat="1" ht="46.5" customHeight="1">
      <c r="A2261" s="4" t="s">
        <v>6166</v>
      </c>
      <c r="B2261" s="4" t="s">
        <v>6732</v>
      </c>
      <c r="C2261" s="198" t="s">
        <v>2453</v>
      </c>
      <c r="D2261" s="198" t="s">
        <v>24</v>
      </c>
      <c r="E2261" s="4" t="s">
        <v>3850</v>
      </c>
      <c r="F2261" s="4" t="s">
        <v>28</v>
      </c>
      <c r="G2261" s="4" t="s">
        <v>27</v>
      </c>
      <c r="H2261" s="4" t="s">
        <v>521</v>
      </c>
      <c r="I2261" s="4"/>
      <c r="J2261" s="4" t="s">
        <v>2272</v>
      </c>
      <c r="K2261" s="4" t="s">
        <v>2272</v>
      </c>
      <c r="L2261" s="4" t="s">
        <v>2272</v>
      </c>
      <c r="M2261" s="4" t="s">
        <v>2272</v>
      </c>
      <c r="N2261" s="4" t="s">
        <v>2272</v>
      </c>
      <c r="O2261" s="4" t="s">
        <v>2272</v>
      </c>
      <c r="P2261" s="4" t="s">
        <v>2272</v>
      </c>
      <c r="Q2261" s="4" t="s">
        <v>2272</v>
      </c>
      <c r="R2261" s="4" t="s">
        <v>2272</v>
      </c>
      <c r="S2261" s="4" t="s">
        <v>2272</v>
      </c>
      <c r="T2261" s="4" t="s">
        <v>2272</v>
      </c>
      <c r="U2261" s="4" t="s">
        <v>2272</v>
      </c>
      <c r="V2261" s="4" t="s">
        <v>2272</v>
      </c>
      <c r="W2261" s="4" t="s">
        <v>2272</v>
      </c>
      <c r="X2261" s="4" t="s">
        <v>2272</v>
      </c>
      <c r="Y2261" s="4" t="s">
        <v>2272</v>
      </c>
      <c r="Z2261" s="4" t="s">
        <v>2272</v>
      </c>
      <c r="AA2261" s="4" t="s">
        <v>2272</v>
      </c>
      <c r="AB2261" s="4" t="s">
        <v>2272</v>
      </c>
      <c r="AC2261" s="4" t="s">
        <v>2272</v>
      </c>
      <c r="AD2261" s="4"/>
      <c r="AE2261" s="4"/>
    </row>
    <row r="2262" spans="1:31" s="199" customFormat="1" ht="46.5" customHeight="1">
      <c r="A2262" s="4" t="s">
        <v>6166</v>
      </c>
      <c r="B2262" s="4" t="s">
        <v>6733</v>
      </c>
      <c r="C2262" s="4" t="s">
        <v>23</v>
      </c>
      <c r="D2262" s="198" t="s">
        <v>24</v>
      </c>
      <c r="E2262" s="4" t="s">
        <v>3850</v>
      </c>
      <c r="F2262" s="4" t="s">
        <v>28</v>
      </c>
      <c r="G2262" s="4" t="s">
        <v>27</v>
      </c>
      <c r="H2262" s="4" t="s">
        <v>521</v>
      </c>
      <c r="I2262" s="4"/>
      <c r="J2262" s="4" t="s">
        <v>2272</v>
      </c>
      <c r="K2262" s="4" t="s">
        <v>2272</v>
      </c>
      <c r="L2262" s="4" t="s">
        <v>2272</v>
      </c>
      <c r="M2262" s="4" t="s">
        <v>2272</v>
      </c>
      <c r="N2262" s="4" t="s">
        <v>2272</v>
      </c>
      <c r="O2262" s="4" t="s">
        <v>2272</v>
      </c>
      <c r="P2262" s="4" t="s">
        <v>2272</v>
      </c>
      <c r="Q2262" s="4" t="s">
        <v>2272</v>
      </c>
      <c r="R2262" s="4" t="s">
        <v>2272</v>
      </c>
      <c r="S2262" s="4" t="s">
        <v>2272</v>
      </c>
      <c r="T2262" s="4" t="s">
        <v>2272</v>
      </c>
      <c r="U2262" s="4" t="s">
        <v>2272</v>
      </c>
      <c r="V2262" s="4" t="s">
        <v>2272</v>
      </c>
      <c r="W2262" s="4" t="s">
        <v>2272</v>
      </c>
      <c r="X2262" s="4" t="s">
        <v>2272</v>
      </c>
      <c r="Y2262" s="4" t="s">
        <v>2272</v>
      </c>
      <c r="Z2262" s="4" t="s">
        <v>2272</v>
      </c>
      <c r="AA2262" s="4" t="s">
        <v>2272</v>
      </c>
      <c r="AB2262" s="4" t="s">
        <v>2272</v>
      </c>
      <c r="AC2262" s="4" t="s">
        <v>2272</v>
      </c>
      <c r="AD2262" s="4"/>
      <c r="AE2262" s="4"/>
    </row>
    <row r="2263" spans="1:31" s="199" customFormat="1" ht="46.5" customHeight="1">
      <c r="A2263" s="4" t="s">
        <v>6166</v>
      </c>
      <c r="B2263" s="4" t="s">
        <v>6734</v>
      </c>
      <c r="C2263" s="4" t="s">
        <v>23</v>
      </c>
      <c r="D2263" s="4" t="s">
        <v>2342</v>
      </c>
      <c r="E2263" s="4" t="s">
        <v>3850</v>
      </c>
      <c r="F2263" s="4" t="s">
        <v>2272</v>
      </c>
      <c r="G2263" s="4" t="s">
        <v>2272</v>
      </c>
      <c r="H2263" s="4" t="s">
        <v>521</v>
      </c>
      <c r="I2263" s="4"/>
      <c r="J2263" s="4" t="s">
        <v>2272</v>
      </c>
      <c r="K2263" s="4" t="s">
        <v>2272</v>
      </c>
      <c r="L2263" s="4" t="s">
        <v>2272</v>
      </c>
      <c r="M2263" s="4" t="s">
        <v>2272</v>
      </c>
      <c r="N2263" s="4" t="s">
        <v>2272</v>
      </c>
      <c r="O2263" s="4" t="s">
        <v>2272</v>
      </c>
      <c r="P2263" s="4" t="s">
        <v>2272</v>
      </c>
      <c r="Q2263" s="4" t="s">
        <v>2272</v>
      </c>
      <c r="R2263" s="4" t="s">
        <v>2272</v>
      </c>
      <c r="S2263" s="4" t="s">
        <v>2272</v>
      </c>
      <c r="T2263" s="4" t="s">
        <v>2272</v>
      </c>
      <c r="U2263" s="4" t="s">
        <v>2272</v>
      </c>
      <c r="V2263" s="4" t="s">
        <v>2272</v>
      </c>
      <c r="W2263" s="4" t="s">
        <v>2272</v>
      </c>
      <c r="X2263" s="4" t="s">
        <v>2272</v>
      </c>
      <c r="Y2263" s="4" t="s">
        <v>2272</v>
      </c>
      <c r="Z2263" s="4" t="s">
        <v>2272</v>
      </c>
      <c r="AA2263" s="4" t="s">
        <v>2272</v>
      </c>
      <c r="AB2263" s="4" t="s">
        <v>2272</v>
      </c>
      <c r="AC2263" s="4" t="s">
        <v>2272</v>
      </c>
      <c r="AD2263" s="4"/>
      <c r="AE2263" s="4"/>
    </row>
    <row r="2264" spans="1:31" s="199" customFormat="1" ht="46.5" customHeight="1">
      <c r="A2264" s="4" t="s">
        <v>6167</v>
      </c>
      <c r="B2264" s="4" t="s">
        <v>6227</v>
      </c>
      <c r="C2264" s="198" t="s">
        <v>2453</v>
      </c>
      <c r="D2264" s="4" t="s">
        <v>2654</v>
      </c>
      <c r="E2264" s="4" t="s">
        <v>3850</v>
      </c>
      <c r="F2264" s="4" t="s">
        <v>27</v>
      </c>
      <c r="G2264" s="4" t="s">
        <v>73</v>
      </c>
      <c r="H2264" s="4" t="s">
        <v>521</v>
      </c>
      <c r="I2264" s="4"/>
      <c r="J2264" s="4" t="s">
        <v>2272</v>
      </c>
      <c r="K2264" s="4" t="s">
        <v>2272</v>
      </c>
      <c r="L2264" s="4" t="s">
        <v>2272</v>
      </c>
      <c r="M2264" s="4" t="s">
        <v>2272</v>
      </c>
      <c r="N2264" s="4" t="s">
        <v>2272</v>
      </c>
      <c r="O2264" s="4" t="s">
        <v>2272</v>
      </c>
      <c r="P2264" s="4" t="s">
        <v>2272</v>
      </c>
      <c r="Q2264" s="4" t="s">
        <v>2272</v>
      </c>
      <c r="R2264" s="4" t="s">
        <v>2272</v>
      </c>
      <c r="S2264" s="4" t="s">
        <v>2272</v>
      </c>
      <c r="T2264" s="4" t="s">
        <v>2272</v>
      </c>
      <c r="U2264" s="4" t="s">
        <v>2272</v>
      </c>
      <c r="V2264" s="4" t="s">
        <v>2272</v>
      </c>
      <c r="W2264" s="4" t="s">
        <v>2272</v>
      </c>
      <c r="X2264" s="4" t="s">
        <v>2272</v>
      </c>
      <c r="Y2264" s="4" t="s">
        <v>2272</v>
      </c>
      <c r="Z2264" s="4" t="s">
        <v>2272</v>
      </c>
      <c r="AA2264" s="4" t="s">
        <v>2272</v>
      </c>
      <c r="AB2264" s="4" t="s">
        <v>2272</v>
      </c>
      <c r="AC2264" s="4" t="s">
        <v>2272</v>
      </c>
      <c r="AD2264" s="4"/>
      <c r="AE2264" s="4"/>
    </row>
    <row r="2265" spans="1:31" s="199" customFormat="1" ht="46.5" customHeight="1">
      <c r="A2265" s="4" t="s">
        <v>6167</v>
      </c>
      <c r="B2265" s="4" t="s">
        <v>6735</v>
      </c>
      <c r="C2265" s="198" t="s">
        <v>2453</v>
      </c>
      <c r="D2265" s="198" t="s">
        <v>141</v>
      </c>
      <c r="E2265" s="4" t="s">
        <v>3850</v>
      </c>
      <c r="F2265" s="4" t="s">
        <v>27</v>
      </c>
      <c r="G2265" s="4" t="s">
        <v>73</v>
      </c>
      <c r="H2265" s="4" t="s">
        <v>522</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v>0</v>
      </c>
      <c r="Z2265" s="4" t="s">
        <v>2272</v>
      </c>
      <c r="AA2265" s="4" t="s">
        <v>2272</v>
      </c>
      <c r="AB2265" s="4" t="s">
        <v>2272</v>
      </c>
      <c r="AC2265" s="4" t="s">
        <v>2272</v>
      </c>
      <c r="AD2265" s="4"/>
      <c r="AE2265" s="4"/>
    </row>
    <row r="2266" spans="1:31" s="199" customFormat="1" ht="46.5" customHeight="1">
      <c r="A2266" s="4" t="s">
        <v>6167</v>
      </c>
      <c r="B2266" s="4" t="s">
        <v>6736</v>
      </c>
      <c r="C2266" s="4" t="s">
        <v>23</v>
      </c>
      <c r="D2266" s="4" t="s">
        <v>2654</v>
      </c>
      <c r="E2266" s="4" t="s">
        <v>3850</v>
      </c>
      <c r="F2266" s="4" t="s">
        <v>27</v>
      </c>
      <c r="G2266" s="4" t="s">
        <v>27</v>
      </c>
      <c r="H2266" s="4" t="s">
        <v>521</v>
      </c>
      <c r="I2266" s="4"/>
      <c r="J2266" s="4" t="s">
        <v>2272</v>
      </c>
      <c r="K2266" s="4" t="s">
        <v>2272</v>
      </c>
      <c r="L2266" s="4" t="s">
        <v>2272</v>
      </c>
      <c r="M2266" s="4" t="s">
        <v>2272</v>
      </c>
      <c r="N2266" s="4" t="s">
        <v>2272</v>
      </c>
      <c r="O2266" s="4" t="s">
        <v>2272</v>
      </c>
      <c r="P2266" s="4" t="s">
        <v>2272</v>
      </c>
      <c r="Q2266" s="4" t="s">
        <v>2272</v>
      </c>
      <c r="R2266" s="4" t="s">
        <v>2272</v>
      </c>
      <c r="S2266" s="4" t="s">
        <v>2272</v>
      </c>
      <c r="T2266" s="4" t="s">
        <v>2272</v>
      </c>
      <c r="U2266" s="4" t="s">
        <v>2272</v>
      </c>
      <c r="V2266" s="4" t="s">
        <v>2272</v>
      </c>
      <c r="W2266" s="4" t="s">
        <v>2272</v>
      </c>
      <c r="X2266" s="4" t="s">
        <v>2272</v>
      </c>
      <c r="Y2266" s="4" t="s">
        <v>2272</v>
      </c>
      <c r="Z2266" s="4" t="s">
        <v>2272</v>
      </c>
      <c r="AA2266" s="4" t="s">
        <v>2272</v>
      </c>
      <c r="AB2266" s="4" t="s">
        <v>2272</v>
      </c>
      <c r="AC2266" s="4" t="s">
        <v>2272</v>
      </c>
      <c r="AD2266" s="4"/>
      <c r="AE2266" s="4"/>
    </row>
    <row r="2267" spans="1:31" s="199" customFormat="1" ht="46.5" customHeight="1">
      <c r="A2267" s="4" t="s">
        <v>6167</v>
      </c>
      <c r="B2267" s="4" t="s">
        <v>6737</v>
      </c>
      <c r="C2267" s="4" t="s">
        <v>23</v>
      </c>
      <c r="D2267" s="198" t="s">
        <v>141</v>
      </c>
      <c r="E2267" s="4" t="s">
        <v>3850</v>
      </c>
      <c r="F2267" s="4" t="s">
        <v>27</v>
      </c>
      <c r="G2267" s="4" t="s">
        <v>27</v>
      </c>
      <c r="H2267" s="4" t="s">
        <v>522</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v>0</v>
      </c>
      <c r="Z2267" s="4" t="s">
        <v>2272</v>
      </c>
      <c r="AA2267" s="4" t="s">
        <v>2272</v>
      </c>
      <c r="AB2267" s="4" t="s">
        <v>2272</v>
      </c>
      <c r="AC2267" s="4" t="s">
        <v>2272</v>
      </c>
      <c r="AD2267" s="4"/>
      <c r="AE2267" s="4"/>
    </row>
    <row r="2268" spans="1:31" s="199" customFormat="1" ht="46.5" customHeight="1">
      <c r="A2268" s="4" t="s">
        <v>6167</v>
      </c>
      <c r="B2268" s="4" t="s">
        <v>6738</v>
      </c>
      <c r="C2268" s="198" t="s">
        <v>2453</v>
      </c>
      <c r="D2268" s="198" t="s">
        <v>24</v>
      </c>
      <c r="E2268" s="4" t="s">
        <v>3850</v>
      </c>
      <c r="F2268" s="4" t="s">
        <v>28</v>
      </c>
      <c r="G2268" s="4" t="s">
        <v>27</v>
      </c>
      <c r="H2268" s="4" t="s">
        <v>521</v>
      </c>
      <c r="I2268" s="4"/>
      <c r="J2268" s="4" t="s">
        <v>2272</v>
      </c>
      <c r="K2268" s="4" t="s">
        <v>2272</v>
      </c>
      <c r="L2268" s="4" t="s">
        <v>2272</v>
      </c>
      <c r="M2268" s="4" t="s">
        <v>2272</v>
      </c>
      <c r="N2268" s="4" t="s">
        <v>2272</v>
      </c>
      <c r="O2268" s="4" t="s">
        <v>2272</v>
      </c>
      <c r="P2268" s="4" t="s">
        <v>2272</v>
      </c>
      <c r="Q2268" s="4" t="s">
        <v>2272</v>
      </c>
      <c r="R2268" s="4" t="s">
        <v>2272</v>
      </c>
      <c r="S2268" s="4" t="s">
        <v>2272</v>
      </c>
      <c r="T2268" s="4" t="s">
        <v>2272</v>
      </c>
      <c r="U2268" s="4" t="s">
        <v>2272</v>
      </c>
      <c r="V2268" s="4" t="s">
        <v>2272</v>
      </c>
      <c r="W2268" s="4" t="s">
        <v>2272</v>
      </c>
      <c r="X2268" s="4" t="s">
        <v>2272</v>
      </c>
      <c r="Y2268" s="4" t="s">
        <v>2272</v>
      </c>
      <c r="Z2268" s="4" t="s">
        <v>2272</v>
      </c>
      <c r="AA2268" s="4" t="s">
        <v>2272</v>
      </c>
      <c r="AB2268" s="4" t="s">
        <v>2272</v>
      </c>
      <c r="AC2268" s="4" t="s">
        <v>2272</v>
      </c>
      <c r="AD2268" s="4"/>
      <c r="AE2268" s="4"/>
    </row>
    <row r="2269" spans="1:31" s="199" customFormat="1" ht="46.5" customHeight="1">
      <c r="A2269" s="4" t="s">
        <v>6167</v>
      </c>
      <c r="B2269" s="4" t="s">
        <v>6739</v>
      </c>
      <c r="C2269" s="4" t="s">
        <v>23</v>
      </c>
      <c r="D2269" s="198" t="s">
        <v>24</v>
      </c>
      <c r="E2269" s="4" t="s">
        <v>3850</v>
      </c>
      <c r="F2269" s="4" t="s">
        <v>28</v>
      </c>
      <c r="G2269" s="4" t="s">
        <v>27</v>
      </c>
      <c r="H2269" s="4" t="s">
        <v>521</v>
      </c>
      <c r="I2269" s="4"/>
      <c r="J2269" s="4" t="s">
        <v>2272</v>
      </c>
      <c r="K2269" s="4" t="s">
        <v>2272</v>
      </c>
      <c r="L2269" s="4" t="s">
        <v>2272</v>
      </c>
      <c r="M2269" s="4" t="s">
        <v>2272</v>
      </c>
      <c r="N2269" s="4" t="s">
        <v>2272</v>
      </c>
      <c r="O2269" s="4" t="s">
        <v>2272</v>
      </c>
      <c r="P2269" s="4" t="s">
        <v>2272</v>
      </c>
      <c r="Q2269" s="4" t="s">
        <v>2272</v>
      </c>
      <c r="R2269" s="4" t="s">
        <v>2272</v>
      </c>
      <c r="S2269" s="4" t="s">
        <v>2272</v>
      </c>
      <c r="T2269" s="4" t="s">
        <v>2272</v>
      </c>
      <c r="U2269" s="4" t="s">
        <v>2272</v>
      </c>
      <c r="V2269" s="4" t="s">
        <v>2272</v>
      </c>
      <c r="W2269" s="4" t="s">
        <v>2272</v>
      </c>
      <c r="X2269" s="4" t="s">
        <v>2272</v>
      </c>
      <c r="Y2269" s="4" t="s">
        <v>2272</v>
      </c>
      <c r="Z2269" s="4" t="s">
        <v>2272</v>
      </c>
      <c r="AA2269" s="4" t="s">
        <v>2272</v>
      </c>
      <c r="AB2269" s="4" t="s">
        <v>2272</v>
      </c>
      <c r="AC2269" s="4" t="s">
        <v>2272</v>
      </c>
      <c r="AD2269" s="4"/>
      <c r="AE2269" s="4"/>
    </row>
    <row r="2270" spans="1:31" s="199" customFormat="1" ht="46.5" customHeight="1">
      <c r="A2270" s="4" t="s">
        <v>6167</v>
      </c>
      <c r="B2270" s="4" t="s">
        <v>6740</v>
      </c>
      <c r="C2270" s="4" t="s">
        <v>23</v>
      </c>
      <c r="D2270" s="4" t="s">
        <v>2342</v>
      </c>
      <c r="E2270" s="4" t="s">
        <v>3850</v>
      </c>
      <c r="F2270" s="4" t="s">
        <v>2272</v>
      </c>
      <c r="G2270" s="4" t="s">
        <v>2272</v>
      </c>
      <c r="H2270" s="4" t="s">
        <v>521</v>
      </c>
      <c r="I2270" s="4"/>
      <c r="J2270" s="4" t="s">
        <v>2272</v>
      </c>
      <c r="K2270" s="4" t="s">
        <v>2272</v>
      </c>
      <c r="L2270" s="4" t="s">
        <v>2272</v>
      </c>
      <c r="M2270" s="4" t="s">
        <v>2272</v>
      </c>
      <c r="N2270" s="4" t="s">
        <v>2272</v>
      </c>
      <c r="O2270" s="4" t="s">
        <v>2272</v>
      </c>
      <c r="P2270" s="4" t="s">
        <v>2272</v>
      </c>
      <c r="Q2270" s="4" t="s">
        <v>2272</v>
      </c>
      <c r="R2270" s="4" t="s">
        <v>2272</v>
      </c>
      <c r="S2270" s="4" t="s">
        <v>2272</v>
      </c>
      <c r="T2270" s="4" t="s">
        <v>2272</v>
      </c>
      <c r="U2270" s="4" t="s">
        <v>2272</v>
      </c>
      <c r="V2270" s="4" t="s">
        <v>2272</v>
      </c>
      <c r="W2270" s="4" t="s">
        <v>2272</v>
      </c>
      <c r="X2270" s="4" t="s">
        <v>2272</v>
      </c>
      <c r="Y2270" s="4" t="s">
        <v>2272</v>
      </c>
      <c r="Z2270" s="4" t="s">
        <v>2272</v>
      </c>
      <c r="AA2270" s="4" t="s">
        <v>2272</v>
      </c>
      <c r="AB2270" s="4" t="s">
        <v>2272</v>
      </c>
      <c r="AC2270" s="4" t="s">
        <v>2272</v>
      </c>
      <c r="AD2270" s="4"/>
      <c r="AE2270" s="4"/>
    </row>
    <row r="2271" spans="1:31" s="199" customFormat="1" ht="46.5" customHeight="1">
      <c r="A2271" s="4" t="s">
        <v>6168</v>
      </c>
      <c r="B2271" s="4" t="s">
        <v>6228</v>
      </c>
      <c r="C2271" s="198" t="s">
        <v>2453</v>
      </c>
      <c r="D2271" s="4" t="s">
        <v>2654</v>
      </c>
      <c r="E2271" s="4" t="s">
        <v>3850</v>
      </c>
      <c r="F2271" s="4" t="s">
        <v>27</v>
      </c>
      <c r="G2271" s="4" t="s">
        <v>73</v>
      </c>
      <c r="H2271" s="4" t="s">
        <v>521</v>
      </c>
      <c r="I2271" s="4"/>
      <c r="J2271" s="4" t="s">
        <v>2272</v>
      </c>
      <c r="K2271" s="4" t="s">
        <v>2272</v>
      </c>
      <c r="L2271" s="4" t="s">
        <v>2272</v>
      </c>
      <c r="M2271" s="4" t="s">
        <v>2272</v>
      </c>
      <c r="N2271" s="4" t="s">
        <v>2272</v>
      </c>
      <c r="O2271" s="4" t="s">
        <v>2272</v>
      </c>
      <c r="P2271" s="4" t="s">
        <v>2272</v>
      </c>
      <c r="Q2271" s="4" t="s">
        <v>2272</v>
      </c>
      <c r="R2271" s="4" t="s">
        <v>2272</v>
      </c>
      <c r="S2271" s="4" t="s">
        <v>2272</v>
      </c>
      <c r="T2271" s="4" t="s">
        <v>2272</v>
      </c>
      <c r="U2271" s="4" t="s">
        <v>2272</v>
      </c>
      <c r="V2271" s="4" t="s">
        <v>2272</v>
      </c>
      <c r="W2271" s="4" t="s">
        <v>2272</v>
      </c>
      <c r="X2271" s="4" t="s">
        <v>2272</v>
      </c>
      <c r="Y2271" s="4" t="s">
        <v>2272</v>
      </c>
      <c r="Z2271" s="4" t="s">
        <v>2272</v>
      </c>
      <c r="AA2271" s="4" t="s">
        <v>2272</v>
      </c>
      <c r="AB2271" s="4" t="s">
        <v>2272</v>
      </c>
      <c r="AC2271" s="4" t="s">
        <v>2272</v>
      </c>
      <c r="AD2271" s="4"/>
      <c r="AE2271" s="4"/>
    </row>
    <row r="2272" spans="1:31" s="199" customFormat="1" ht="46.5" customHeight="1">
      <c r="A2272" s="4" t="s">
        <v>6168</v>
      </c>
      <c r="B2272" s="4" t="s">
        <v>6741</v>
      </c>
      <c r="C2272" s="198" t="s">
        <v>2453</v>
      </c>
      <c r="D2272" s="198" t="s">
        <v>141</v>
      </c>
      <c r="E2272" s="4" t="s">
        <v>3850</v>
      </c>
      <c r="F2272" s="4" t="s">
        <v>27</v>
      </c>
      <c r="G2272" s="4" t="s">
        <v>73</v>
      </c>
      <c r="H2272" s="4" t="s">
        <v>522</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v>0</v>
      </c>
      <c r="Z2272" s="4" t="s">
        <v>2272</v>
      </c>
      <c r="AA2272" s="4" t="s">
        <v>2272</v>
      </c>
      <c r="AB2272" s="4" t="s">
        <v>2272</v>
      </c>
      <c r="AC2272" s="4" t="s">
        <v>2272</v>
      </c>
      <c r="AD2272" s="4"/>
      <c r="AE2272" s="4"/>
    </row>
    <row r="2273" spans="1:31" s="199" customFormat="1" ht="46.5" customHeight="1">
      <c r="A2273" s="4" t="s">
        <v>6168</v>
      </c>
      <c r="B2273" s="4" t="s">
        <v>6742</v>
      </c>
      <c r="C2273" s="4" t="s">
        <v>23</v>
      </c>
      <c r="D2273" s="4" t="s">
        <v>2654</v>
      </c>
      <c r="E2273" s="4" t="s">
        <v>3850</v>
      </c>
      <c r="F2273" s="4" t="s">
        <v>27</v>
      </c>
      <c r="G2273" s="4" t="s">
        <v>27</v>
      </c>
      <c r="H2273" s="4" t="s">
        <v>521</v>
      </c>
      <c r="I2273" s="4"/>
      <c r="J2273" s="4" t="s">
        <v>2272</v>
      </c>
      <c r="K2273" s="4" t="s">
        <v>2272</v>
      </c>
      <c r="L2273" s="4" t="s">
        <v>2272</v>
      </c>
      <c r="M2273" s="4" t="s">
        <v>2272</v>
      </c>
      <c r="N2273" s="4" t="s">
        <v>2272</v>
      </c>
      <c r="O2273" s="4" t="s">
        <v>2272</v>
      </c>
      <c r="P2273" s="4" t="s">
        <v>2272</v>
      </c>
      <c r="Q2273" s="4" t="s">
        <v>2272</v>
      </c>
      <c r="R2273" s="4" t="s">
        <v>2272</v>
      </c>
      <c r="S2273" s="4" t="s">
        <v>2272</v>
      </c>
      <c r="T2273" s="4" t="s">
        <v>2272</v>
      </c>
      <c r="U2273" s="4" t="s">
        <v>2272</v>
      </c>
      <c r="V2273" s="4" t="s">
        <v>2272</v>
      </c>
      <c r="W2273" s="4" t="s">
        <v>2272</v>
      </c>
      <c r="X2273" s="4" t="s">
        <v>2272</v>
      </c>
      <c r="Y2273" s="4" t="s">
        <v>2272</v>
      </c>
      <c r="Z2273" s="4" t="s">
        <v>2272</v>
      </c>
      <c r="AA2273" s="4" t="s">
        <v>2272</v>
      </c>
      <c r="AB2273" s="4" t="s">
        <v>2272</v>
      </c>
      <c r="AC2273" s="4" t="s">
        <v>2272</v>
      </c>
      <c r="AD2273" s="4"/>
      <c r="AE2273" s="4"/>
    </row>
    <row r="2274" spans="1:31" s="199" customFormat="1" ht="46.5" customHeight="1">
      <c r="A2274" s="4" t="s">
        <v>6168</v>
      </c>
      <c r="B2274" s="4" t="s">
        <v>6743</v>
      </c>
      <c r="C2274" s="4" t="s">
        <v>23</v>
      </c>
      <c r="D2274" s="198" t="s">
        <v>141</v>
      </c>
      <c r="E2274" s="4" t="s">
        <v>3850</v>
      </c>
      <c r="F2274" s="4" t="s">
        <v>27</v>
      </c>
      <c r="G2274" s="4" t="s">
        <v>27</v>
      </c>
      <c r="H2274" s="4" t="s">
        <v>522</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v>0</v>
      </c>
      <c r="Z2274" s="4" t="s">
        <v>2272</v>
      </c>
      <c r="AA2274" s="4" t="s">
        <v>2272</v>
      </c>
      <c r="AB2274" s="4" t="s">
        <v>2272</v>
      </c>
      <c r="AC2274" s="4" t="s">
        <v>2272</v>
      </c>
      <c r="AD2274" s="4"/>
      <c r="AE2274" s="4"/>
    </row>
    <row r="2275" spans="1:31" s="199" customFormat="1" ht="46.5" customHeight="1">
      <c r="A2275" s="4" t="s">
        <v>6168</v>
      </c>
      <c r="B2275" s="4" t="s">
        <v>6744</v>
      </c>
      <c r="C2275" s="198" t="s">
        <v>2453</v>
      </c>
      <c r="D2275" s="198" t="s">
        <v>24</v>
      </c>
      <c r="E2275" s="4" t="s">
        <v>3850</v>
      </c>
      <c r="F2275" s="4" t="s">
        <v>28</v>
      </c>
      <c r="G2275" s="4" t="s">
        <v>27</v>
      </c>
      <c r="H2275" s="4" t="s">
        <v>521</v>
      </c>
      <c r="I2275" s="4"/>
      <c r="J2275" s="4" t="s">
        <v>2272</v>
      </c>
      <c r="K2275" s="4" t="s">
        <v>2272</v>
      </c>
      <c r="L2275" s="4" t="s">
        <v>2272</v>
      </c>
      <c r="M2275" s="4" t="s">
        <v>2272</v>
      </c>
      <c r="N2275" s="4" t="s">
        <v>2272</v>
      </c>
      <c r="O2275" s="4" t="s">
        <v>2272</v>
      </c>
      <c r="P2275" s="4" t="s">
        <v>2272</v>
      </c>
      <c r="Q2275" s="4" t="s">
        <v>2272</v>
      </c>
      <c r="R2275" s="4" t="s">
        <v>2272</v>
      </c>
      <c r="S2275" s="4" t="s">
        <v>2272</v>
      </c>
      <c r="T2275" s="4" t="s">
        <v>2272</v>
      </c>
      <c r="U2275" s="4" t="s">
        <v>2272</v>
      </c>
      <c r="V2275" s="4" t="s">
        <v>2272</v>
      </c>
      <c r="W2275" s="4" t="s">
        <v>2272</v>
      </c>
      <c r="X2275" s="4" t="s">
        <v>2272</v>
      </c>
      <c r="Y2275" s="4" t="s">
        <v>2272</v>
      </c>
      <c r="Z2275" s="4" t="s">
        <v>2272</v>
      </c>
      <c r="AA2275" s="4" t="s">
        <v>2272</v>
      </c>
      <c r="AB2275" s="4" t="s">
        <v>2272</v>
      </c>
      <c r="AC2275" s="4" t="s">
        <v>2272</v>
      </c>
      <c r="AD2275" s="4"/>
      <c r="AE2275" s="4"/>
    </row>
    <row r="2276" spans="1:31" s="199" customFormat="1" ht="46.5" customHeight="1">
      <c r="A2276" s="4" t="s">
        <v>6168</v>
      </c>
      <c r="B2276" s="4" t="s">
        <v>6745</v>
      </c>
      <c r="C2276" s="4" t="s">
        <v>23</v>
      </c>
      <c r="D2276" s="198" t="s">
        <v>24</v>
      </c>
      <c r="E2276" s="4" t="s">
        <v>3850</v>
      </c>
      <c r="F2276" s="4" t="s">
        <v>28</v>
      </c>
      <c r="G2276" s="4" t="s">
        <v>27</v>
      </c>
      <c r="H2276" s="4" t="s">
        <v>521</v>
      </c>
      <c r="I2276" s="4"/>
      <c r="J2276" s="4" t="s">
        <v>2272</v>
      </c>
      <c r="K2276" s="4" t="s">
        <v>2272</v>
      </c>
      <c r="L2276" s="4" t="s">
        <v>2272</v>
      </c>
      <c r="M2276" s="4" t="s">
        <v>2272</v>
      </c>
      <c r="N2276" s="4" t="s">
        <v>2272</v>
      </c>
      <c r="O2276" s="4" t="s">
        <v>2272</v>
      </c>
      <c r="P2276" s="4" t="s">
        <v>2272</v>
      </c>
      <c r="Q2276" s="4" t="s">
        <v>2272</v>
      </c>
      <c r="R2276" s="4" t="s">
        <v>2272</v>
      </c>
      <c r="S2276" s="4" t="s">
        <v>2272</v>
      </c>
      <c r="T2276" s="4" t="s">
        <v>2272</v>
      </c>
      <c r="U2276" s="4" t="s">
        <v>2272</v>
      </c>
      <c r="V2276" s="4" t="s">
        <v>2272</v>
      </c>
      <c r="W2276" s="4" t="s">
        <v>2272</v>
      </c>
      <c r="X2276" s="4" t="s">
        <v>2272</v>
      </c>
      <c r="Y2276" s="4" t="s">
        <v>2272</v>
      </c>
      <c r="Z2276" s="4" t="s">
        <v>2272</v>
      </c>
      <c r="AA2276" s="4" t="s">
        <v>2272</v>
      </c>
      <c r="AB2276" s="4" t="s">
        <v>2272</v>
      </c>
      <c r="AC2276" s="4" t="s">
        <v>2272</v>
      </c>
      <c r="AD2276" s="4"/>
      <c r="AE2276" s="4"/>
    </row>
    <row r="2277" spans="1:31" s="199" customFormat="1" ht="46.5" customHeight="1">
      <c r="A2277" s="4" t="s">
        <v>6168</v>
      </c>
      <c r="B2277" s="4" t="s">
        <v>6746</v>
      </c>
      <c r="C2277" s="4" t="s">
        <v>23</v>
      </c>
      <c r="D2277" s="4" t="s">
        <v>2342</v>
      </c>
      <c r="E2277" s="4" t="s">
        <v>3850</v>
      </c>
      <c r="F2277" s="4" t="s">
        <v>2272</v>
      </c>
      <c r="G2277" s="4" t="s">
        <v>2272</v>
      </c>
      <c r="H2277" s="4" t="s">
        <v>521</v>
      </c>
      <c r="I2277" s="4"/>
      <c r="J2277" s="4" t="s">
        <v>2272</v>
      </c>
      <c r="K2277" s="4" t="s">
        <v>2272</v>
      </c>
      <c r="L2277" s="4" t="s">
        <v>2272</v>
      </c>
      <c r="M2277" s="4" t="s">
        <v>2272</v>
      </c>
      <c r="N2277" s="4" t="s">
        <v>2272</v>
      </c>
      <c r="O2277" s="4" t="s">
        <v>2272</v>
      </c>
      <c r="P2277" s="4" t="s">
        <v>2272</v>
      </c>
      <c r="Q2277" s="4" t="s">
        <v>2272</v>
      </c>
      <c r="R2277" s="4" t="s">
        <v>2272</v>
      </c>
      <c r="S2277" s="4" t="s">
        <v>2272</v>
      </c>
      <c r="T2277" s="4" t="s">
        <v>2272</v>
      </c>
      <c r="U2277" s="4" t="s">
        <v>2272</v>
      </c>
      <c r="V2277" s="4" t="s">
        <v>2272</v>
      </c>
      <c r="W2277" s="4" t="s">
        <v>2272</v>
      </c>
      <c r="X2277" s="4" t="s">
        <v>2272</v>
      </c>
      <c r="Y2277" s="4" t="s">
        <v>2272</v>
      </c>
      <c r="Z2277" s="4" t="s">
        <v>2272</v>
      </c>
      <c r="AA2277" s="4" t="s">
        <v>2272</v>
      </c>
      <c r="AB2277" s="4" t="s">
        <v>2272</v>
      </c>
      <c r="AC2277" s="4" t="s">
        <v>2272</v>
      </c>
      <c r="AD2277" s="4"/>
      <c r="AE2277" s="4"/>
    </row>
    <row r="2278" spans="1:31" s="199" customFormat="1" ht="46.5" customHeight="1">
      <c r="A2278" s="4" t="s">
        <v>6169</v>
      </c>
      <c r="B2278" s="4" t="s">
        <v>6229</v>
      </c>
      <c r="C2278" s="198" t="s">
        <v>2453</v>
      </c>
      <c r="D2278" s="4" t="s">
        <v>2654</v>
      </c>
      <c r="E2278" s="4" t="s">
        <v>3850</v>
      </c>
      <c r="F2278" s="4" t="s">
        <v>27</v>
      </c>
      <c r="G2278" s="4" t="s">
        <v>73</v>
      </c>
      <c r="H2278" s="4" t="s">
        <v>521</v>
      </c>
      <c r="I2278" s="4"/>
      <c r="J2278" s="4" t="s">
        <v>2272</v>
      </c>
      <c r="K2278" s="4" t="s">
        <v>2272</v>
      </c>
      <c r="L2278" s="4" t="s">
        <v>2272</v>
      </c>
      <c r="M2278" s="4" t="s">
        <v>2272</v>
      </c>
      <c r="N2278" s="4" t="s">
        <v>2272</v>
      </c>
      <c r="O2278" s="4" t="s">
        <v>2272</v>
      </c>
      <c r="P2278" s="4" t="s">
        <v>2272</v>
      </c>
      <c r="Q2278" s="4" t="s">
        <v>2272</v>
      </c>
      <c r="R2278" s="4" t="s">
        <v>2272</v>
      </c>
      <c r="S2278" s="4" t="s">
        <v>2272</v>
      </c>
      <c r="T2278" s="4" t="s">
        <v>2272</v>
      </c>
      <c r="U2278" s="4" t="s">
        <v>2272</v>
      </c>
      <c r="V2278" s="4" t="s">
        <v>2272</v>
      </c>
      <c r="W2278" s="4" t="s">
        <v>2272</v>
      </c>
      <c r="X2278" s="4" t="s">
        <v>2272</v>
      </c>
      <c r="Y2278" s="4" t="s">
        <v>2272</v>
      </c>
      <c r="Z2278" s="4" t="s">
        <v>2272</v>
      </c>
      <c r="AA2278" s="4" t="s">
        <v>2272</v>
      </c>
      <c r="AB2278" s="4" t="s">
        <v>2272</v>
      </c>
      <c r="AC2278" s="4" t="s">
        <v>2272</v>
      </c>
      <c r="AD2278" s="4"/>
      <c r="AE2278" s="4"/>
    </row>
    <row r="2279" spans="1:31" s="199" customFormat="1" ht="46.5" customHeight="1">
      <c r="A2279" s="4" t="s">
        <v>6169</v>
      </c>
      <c r="B2279" s="4" t="s">
        <v>6747</v>
      </c>
      <c r="C2279" s="198" t="s">
        <v>2453</v>
      </c>
      <c r="D2279" s="198" t="s">
        <v>141</v>
      </c>
      <c r="E2279" s="4" t="s">
        <v>3850</v>
      </c>
      <c r="F2279" s="4" t="s">
        <v>27</v>
      </c>
      <c r="G2279" s="4" t="s">
        <v>73</v>
      </c>
      <c r="H2279" s="4" t="s">
        <v>522</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v>0</v>
      </c>
      <c r="Z2279" s="4" t="s">
        <v>2272</v>
      </c>
      <c r="AA2279" s="4" t="s">
        <v>2272</v>
      </c>
      <c r="AB2279" s="4" t="s">
        <v>2272</v>
      </c>
      <c r="AC2279" s="4" t="s">
        <v>2272</v>
      </c>
      <c r="AD2279" s="4"/>
      <c r="AE2279" s="4"/>
    </row>
    <row r="2280" spans="1:31" s="199" customFormat="1" ht="46.5" customHeight="1">
      <c r="A2280" s="4" t="s">
        <v>6169</v>
      </c>
      <c r="B2280" s="4" t="s">
        <v>6748</v>
      </c>
      <c r="C2280" s="4" t="s">
        <v>23</v>
      </c>
      <c r="D2280" s="4" t="s">
        <v>2654</v>
      </c>
      <c r="E2280" s="4" t="s">
        <v>3850</v>
      </c>
      <c r="F2280" s="4" t="s">
        <v>27</v>
      </c>
      <c r="G2280" s="4" t="s">
        <v>27</v>
      </c>
      <c r="H2280" s="4" t="s">
        <v>521</v>
      </c>
      <c r="I2280" s="4"/>
      <c r="J2280" s="4" t="s">
        <v>2272</v>
      </c>
      <c r="K2280" s="4" t="s">
        <v>2272</v>
      </c>
      <c r="L2280" s="4" t="s">
        <v>2272</v>
      </c>
      <c r="M2280" s="4" t="s">
        <v>2272</v>
      </c>
      <c r="N2280" s="4" t="s">
        <v>2272</v>
      </c>
      <c r="O2280" s="4" t="s">
        <v>2272</v>
      </c>
      <c r="P2280" s="4" t="s">
        <v>2272</v>
      </c>
      <c r="Q2280" s="4" t="s">
        <v>2272</v>
      </c>
      <c r="R2280" s="4" t="s">
        <v>2272</v>
      </c>
      <c r="S2280" s="4" t="s">
        <v>2272</v>
      </c>
      <c r="T2280" s="4" t="s">
        <v>2272</v>
      </c>
      <c r="U2280" s="4" t="s">
        <v>2272</v>
      </c>
      <c r="V2280" s="4" t="s">
        <v>2272</v>
      </c>
      <c r="W2280" s="4" t="s">
        <v>2272</v>
      </c>
      <c r="X2280" s="4" t="s">
        <v>2272</v>
      </c>
      <c r="Y2280" s="4" t="s">
        <v>2272</v>
      </c>
      <c r="Z2280" s="4" t="s">
        <v>2272</v>
      </c>
      <c r="AA2280" s="4" t="s">
        <v>2272</v>
      </c>
      <c r="AB2280" s="4" t="s">
        <v>2272</v>
      </c>
      <c r="AC2280" s="4" t="s">
        <v>2272</v>
      </c>
      <c r="AD2280" s="4"/>
      <c r="AE2280" s="4"/>
    </row>
    <row r="2281" spans="1:31" s="199" customFormat="1" ht="46.5" customHeight="1">
      <c r="A2281" s="4" t="s">
        <v>6169</v>
      </c>
      <c r="B2281" s="4" t="s">
        <v>6749</v>
      </c>
      <c r="C2281" s="4" t="s">
        <v>23</v>
      </c>
      <c r="D2281" s="198" t="s">
        <v>141</v>
      </c>
      <c r="E2281" s="4" t="s">
        <v>3850</v>
      </c>
      <c r="F2281" s="4" t="s">
        <v>27</v>
      </c>
      <c r="G2281" s="4" t="s">
        <v>27</v>
      </c>
      <c r="H2281" s="4" t="s">
        <v>522</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v>0</v>
      </c>
      <c r="Z2281" s="4" t="s">
        <v>2272</v>
      </c>
      <c r="AA2281" s="4" t="s">
        <v>2272</v>
      </c>
      <c r="AB2281" s="4" t="s">
        <v>2272</v>
      </c>
      <c r="AC2281" s="4" t="s">
        <v>2272</v>
      </c>
      <c r="AD2281" s="4"/>
      <c r="AE2281" s="4"/>
    </row>
    <row r="2282" spans="1:31" s="199" customFormat="1" ht="46.5" customHeight="1">
      <c r="A2282" s="4" t="s">
        <v>6169</v>
      </c>
      <c r="B2282" s="4" t="s">
        <v>6750</v>
      </c>
      <c r="C2282" s="198" t="s">
        <v>2453</v>
      </c>
      <c r="D2282" s="198" t="s">
        <v>24</v>
      </c>
      <c r="E2282" s="4" t="s">
        <v>3850</v>
      </c>
      <c r="F2282" s="4" t="s">
        <v>28</v>
      </c>
      <c r="G2282" s="4" t="s">
        <v>27</v>
      </c>
      <c r="H2282" s="4" t="s">
        <v>521</v>
      </c>
      <c r="I2282" s="4"/>
      <c r="J2282" s="4" t="s">
        <v>2272</v>
      </c>
      <c r="K2282" s="4" t="s">
        <v>2272</v>
      </c>
      <c r="L2282" s="4" t="s">
        <v>2272</v>
      </c>
      <c r="M2282" s="4" t="s">
        <v>2272</v>
      </c>
      <c r="N2282" s="4" t="s">
        <v>2272</v>
      </c>
      <c r="O2282" s="4" t="s">
        <v>2272</v>
      </c>
      <c r="P2282" s="4" t="s">
        <v>2272</v>
      </c>
      <c r="Q2282" s="4" t="s">
        <v>2272</v>
      </c>
      <c r="R2282" s="4" t="s">
        <v>2272</v>
      </c>
      <c r="S2282" s="4" t="s">
        <v>2272</v>
      </c>
      <c r="T2282" s="4" t="s">
        <v>2272</v>
      </c>
      <c r="U2282" s="4" t="s">
        <v>2272</v>
      </c>
      <c r="V2282" s="4" t="s">
        <v>2272</v>
      </c>
      <c r="W2282" s="4" t="s">
        <v>2272</v>
      </c>
      <c r="X2282" s="4" t="s">
        <v>2272</v>
      </c>
      <c r="Y2282" s="4" t="s">
        <v>2272</v>
      </c>
      <c r="Z2282" s="4" t="s">
        <v>2272</v>
      </c>
      <c r="AA2282" s="4" t="s">
        <v>2272</v>
      </c>
      <c r="AB2282" s="4" t="s">
        <v>2272</v>
      </c>
      <c r="AC2282" s="4" t="s">
        <v>2272</v>
      </c>
      <c r="AD2282" s="4"/>
      <c r="AE2282" s="4"/>
    </row>
    <row r="2283" spans="1:31" s="199" customFormat="1" ht="46.5" customHeight="1">
      <c r="A2283" s="4" t="s">
        <v>6169</v>
      </c>
      <c r="B2283" s="4" t="s">
        <v>6751</v>
      </c>
      <c r="C2283" s="4" t="s">
        <v>23</v>
      </c>
      <c r="D2283" s="198" t="s">
        <v>24</v>
      </c>
      <c r="E2283" s="4" t="s">
        <v>3850</v>
      </c>
      <c r="F2283" s="4" t="s">
        <v>28</v>
      </c>
      <c r="G2283" s="4" t="s">
        <v>27</v>
      </c>
      <c r="H2283" s="4" t="s">
        <v>521</v>
      </c>
      <c r="I2283" s="4"/>
      <c r="J2283" s="4" t="s">
        <v>2272</v>
      </c>
      <c r="K2283" s="4" t="s">
        <v>2272</v>
      </c>
      <c r="L2283" s="4" t="s">
        <v>2272</v>
      </c>
      <c r="M2283" s="4" t="s">
        <v>2272</v>
      </c>
      <c r="N2283" s="4" t="s">
        <v>2272</v>
      </c>
      <c r="O2283" s="4" t="s">
        <v>2272</v>
      </c>
      <c r="P2283" s="4" t="s">
        <v>2272</v>
      </c>
      <c r="Q2283" s="4" t="s">
        <v>2272</v>
      </c>
      <c r="R2283" s="4" t="s">
        <v>2272</v>
      </c>
      <c r="S2283" s="4" t="s">
        <v>2272</v>
      </c>
      <c r="T2283" s="4" t="s">
        <v>2272</v>
      </c>
      <c r="U2283" s="4" t="s">
        <v>2272</v>
      </c>
      <c r="V2283" s="4" t="s">
        <v>2272</v>
      </c>
      <c r="W2283" s="4" t="s">
        <v>2272</v>
      </c>
      <c r="X2283" s="4" t="s">
        <v>2272</v>
      </c>
      <c r="Y2283" s="4" t="s">
        <v>2272</v>
      </c>
      <c r="Z2283" s="4" t="s">
        <v>2272</v>
      </c>
      <c r="AA2283" s="4" t="s">
        <v>2272</v>
      </c>
      <c r="AB2283" s="4" t="s">
        <v>2272</v>
      </c>
      <c r="AC2283" s="4" t="s">
        <v>2272</v>
      </c>
      <c r="AD2283" s="4"/>
      <c r="AE2283" s="4"/>
    </row>
    <row r="2284" spans="1:31" s="199" customFormat="1" ht="49" customHeight="1">
      <c r="A2284" s="4" t="s">
        <v>6169</v>
      </c>
      <c r="B2284" s="4" t="s">
        <v>6752</v>
      </c>
      <c r="C2284" s="4" t="s">
        <v>23</v>
      </c>
      <c r="D2284" s="4" t="s">
        <v>2342</v>
      </c>
      <c r="E2284" s="4" t="s">
        <v>3850</v>
      </c>
      <c r="F2284" s="4" t="s">
        <v>2272</v>
      </c>
      <c r="G2284" s="4" t="s">
        <v>2272</v>
      </c>
      <c r="H2284" s="4" t="s">
        <v>521</v>
      </c>
      <c r="I2284" s="4"/>
      <c r="J2284" s="4" t="s">
        <v>2272</v>
      </c>
      <c r="K2284" s="4" t="s">
        <v>2272</v>
      </c>
      <c r="L2284" s="4" t="s">
        <v>2272</v>
      </c>
      <c r="M2284" s="4" t="s">
        <v>2272</v>
      </c>
      <c r="N2284" s="4" t="s">
        <v>2272</v>
      </c>
      <c r="O2284" s="4" t="s">
        <v>2272</v>
      </c>
      <c r="P2284" s="4" t="s">
        <v>2272</v>
      </c>
      <c r="Q2284" s="4" t="s">
        <v>2272</v>
      </c>
      <c r="R2284" s="4" t="s">
        <v>2272</v>
      </c>
      <c r="S2284" s="4" t="s">
        <v>2272</v>
      </c>
      <c r="T2284" s="4" t="s">
        <v>2272</v>
      </c>
      <c r="U2284" s="4" t="s">
        <v>2272</v>
      </c>
      <c r="V2284" s="4" t="s">
        <v>2272</v>
      </c>
      <c r="W2284" s="4" t="s">
        <v>2272</v>
      </c>
      <c r="X2284" s="4" t="s">
        <v>2272</v>
      </c>
      <c r="Y2284" s="4" t="s">
        <v>2272</v>
      </c>
      <c r="Z2284" s="4" t="s">
        <v>2272</v>
      </c>
      <c r="AA2284" s="4" t="s">
        <v>2272</v>
      </c>
      <c r="AB2284" s="4" t="s">
        <v>2272</v>
      </c>
      <c r="AC2284" s="4" t="s">
        <v>2272</v>
      </c>
      <c r="AD2284" s="4"/>
      <c r="AE2284" s="4"/>
    </row>
    <row r="2285" spans="1:31" s="199" customFormat="1" ht="49" customHeight="1">
      <c r="A2285" s="4" t="s">
        <v>6170</v>
      </c>
      <c r="B2285" s="4" t="s">
        <v>6230</v>
      </c>
      <c r="C2285" s="198" t="s">
        <v>2453</v>
      </c>
      <c r="D2285" s="4" t="s">
        <v>2654</v>
      </c>
      <c r="E2285" s="4" t="s">
        <v>3850</v>
      </c>
      <c r="F2285" s="4" t="s">
        <v>27</v>
      </c>
      <c r="G2285" s="4" t="s">
        <v>73</v>
      </c>
      <c r="H2285" s="4" t="s">
        <v>521</v>
      </c>
      <c r="I2285" s="4"/>
      <c r="J2285" s="4" t="s">
        <v>2272</v>
      </c>
      <c r="K2285" s="4" t="s">
        <v>2272</v>
      </c>
      <c r="L2285" s="4" t="s">
        <v>2272</v>
      </c>
      <c r="M2285" s="4" t="s">
        <v>2272</v>
      </c>
      <c r="N2285" s="4" t="s">
        <v>2272</v>
      </c>
      <c r="O2285" s="4" t="s">
        <v>2272</v>
      </c>
      <c r="P2285" s="4" t="s">
        <v>2272</v>
      </c>
      <c r="Q2285" s="4" t="s">
        <v>2272</v>
      </c>
      <c r="R2285" s="4" t="s">
        <v>2272</v>
      </c>
      <c r="S2285" s="4" t="s">
        <v>2272</v>
      </c>
      <c r="T2285" s="4" t="s">
        <v>2272</v>
      </c>
      <c r="U2285" s="4" t="s">
        <v>2272</v>
      </c>
      <c r="V2285" s="4" t="s">
        <v>2272</v>
      </c>
      <c r="W2285" s="4" t="s">
        <v>2272</v>
      </c>
      <c r="X2285" s="4" t="s">
        <v>2272</v>
      </c>
      <c r="Y2285" s="4" t="s">
        <v>2272</v>
      </c>
      <c r="Z2285" s="4" t="s">
        <v>2272</v>
      </c>
      <c r="AA2285" s="4" t="s">
        <v>2272</v>
      </c>
      <c r="AB2285" s="4" t="s">
        <v>2272</v>
      </c>
      <c r="AC2285" s="4" t="s">
        <v>2272</v>
      </c>
      <c r="AD2285" s="4"/>
      <c r="AE2285" s="4"/>
    </row>
    <row r="2286" spans="1:31" s="199" customFormat="1" ht="49" customHeight="1">
      <c r="A2286" s="4" t="s">
        <v>6170</v>
      </c>
      <c r="B2286" s="4" t="s">
        <v>6753</v>
      </c>
      <c r="C2286" s="198" t="s">
        <v>2453</v>
      </c>
      <c r="D2286" s="198" t="s">
        <v>141</v>
      </c>
      <c r="E2286" s="4" t="s">
        <v>3850</v>
      </c>
      <c r="F2286" s="4" t="s">
        <v>27</v>
      </c>
      <c r="G2286" s="4" t="s">
        <v>73</v>
      </c>
      <c r="H2286" s="4" t="s">
        <v>522</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v>0</v>
      </c>
      <c r="Z2286" s="4" t="s">
        <v>2272</v>
      </c>
      <c r="AA2286" s="4" t="s">
        <v>2272</v>
      </c>
      <c r="AB2286" s="4" t="s">
        <v>2272</v>
      </c>
      <c r="AC2286" s="4" t="s">
        <v>2272</v>
      </c>
      <c r="AD2286" s="4"/>
      <c r="AE2286" s="4"/>
    </row>
    <row r="2287" spans="1:31" s="199" customFormat="1" ht="49" customHeight="1">
      <c r="A2287" s="4" t="s">
        <v>6170</v>
      </c>
      <c r="B2287" s="4" t="s">
        <v>6754</v>
      </c>
      <c r="C2287" s="4" t="s">
        <v>23</v>
      </c>
      <c r="D2287" s="4" t="s">
        <v>2654</v>
      </c>
      <c r="E2287" s="4" t="s">
        <v>3850</v>
      </c>
      <c r="F2287" s="4" t="s">
        <v>27</v>
      </c>
      <c r="G2287" s="4" t="s">
        <v>27</v>
      </c>
      <c r="H2287" s="4" t="s">
        <v>521</v>
      </c>
      <c r="I2287" s="4"/>
      <c r="J2287" s="4" t="s">
        <v>2272</v>
      </c>
      <c r="K2287" s="4" t="s">
        <v>2272</v>
      </c>
      <c r="L2287" s="4" t="s">
        <v>2272</v>
      </c>
      <c r="M2287" s="4" t="s">
        <v>2272</v>
      </c>
      <c r="N2287" s="4" t="s">
        <v>2272</v>
      </c>
      <c r="O2287" s="4" t="s">
        <v>2272</v>
      </c>
      <c r="P2287" s="4" t="s">
        <v>2272</v>
      </c>
      <c r="Q2287" s="4" t="s">
        <v>2272</v>
      </c>
      <c r="R2287" s="4" t="s">
        <v>2272</v>
      </c>
      <c r="S2287" s="4" t="s">
        <v>2272</v>
      </c>
      <c r="T2287" s="4" t="s">
        <v>2272</v>
      </c>
      <c r="U2287" s="4" t="s">
        <v>2272</v>
      </c>
      <c r="V2287" s="4" t="s">
        <v>2272</v>
      </c>
      <c r="W2287" s="4" t="s">
        <v>2272</v>
      </c>
      <c r="X2287" s="4" t="s">
        <v>2272</v>
      </c>
      <c r="Y2287" s="4" t="s">
        <v>2272</v>
      </c>
      <c r="Z2287" s="4" t="s">
        <v>2272</v>
      </c>
      <c r="AA2287" s="4" t="s">
        <v>2272</v>
      </c>
      <c r="AB2287" s="4" t="s">
        <v>2272</v>
      </c>
      <c r="AC2287" s="4" t="s">
        <v>2272</v>
      </c>
      <c r="AD2287" s="4"/>
      <c r="AE2287" s="4"/>
    </row>
    <row r="2288" spans="1:31" s="199" customFormat="1" ht="49" customHeight="1">
      <c r="A2288" s="4" t="s">
        <v>6170</v>
      </c>
      <c r="B2288" s="4" t="s">
        <v>6755</v>
      </c>
      <c r="C2288" s="4" t="s">
        <v>23</v>
      </c>
      <c r="D2288" s="198" t="s">
        <v>141</v>
      </c>
      <c r="E2288" s="4" t="s">
        <v>3850</v>
      </c>
      <c r="F2288" s="4" t="s">
        <v>27</v>
      </c>
      <c r="G2288" s="4" t="s">
        <v>27</v>
      </c>
      <c r="H2288" s="4" t="s">
        <v>522</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v>0</v>
      </c>
      <c r="Z2288" s="4" t="s">
        <v>2272</v>
      </c>
      <c r="AA2288" s="4" t="s">
        <v>2272</v>
      </c>
      <c r="AB2288" s="4" t="s">
        <v>2272</v>
      </c>
      <c r="AC2288" s="4" t="s">
        <v>2272</v>
      </c>
      <c r="AD2288" s="4"/>
      <c r="AE2288" s="4"/>
    </row>
    <row r="2289" spans="1:31" s="199" customFormat="1" ht="49" customHeight="1">
      <c r="A2289" s="4" t="s">
        <v>6170</v>
      </c>
      <c r="B2289" s="4" t="s">
        <v>6756</v>
      </c>
      <c r="C2289" s="198" t="s">
        <v>2453</v>
      </c>
      <c r="D2289" s="198" t="s">
        <v>24</v>
      </c>
      <c r="E2289" s="4" t="s">
        <v>3850</v>
      </c>
      <c r="F2289" s="4" t="s">
        <v>28</v>
      </c>
      <c r="G2289" s="4" t="s">
        <v>27</v>
      </c>
      <c r="H2289" s="4" t="s">
        <v>521</v>
      </c>
      <c r="I2289" s="4"/>
      <c r="J2289" s="4" t="s">
        <v>2272</v>
      </c>
      <c r="K2289" s="4" t="s">
        <v>2272</v>
      </c>
      <c r="L2289" s="4" t="s">
        <v>2272</v>
      </c>
      <c r="M2289" s="4" t="s">
        <v>2272</v>
      </c>
      <c r="N2289" s="4" t="s">
        <v>2272</v>
      </c>
      <c r="O2289" s="4" t="s">
        <v>2272</v>
      </c>
      <c r="P2289" s="4" t="s">
        <v>2272</v>
      </c>
      <c r="Q2289" s="4" t="s">
        <v>2272</v>
      </c>
      <c r="R2289" s="4" t="s">
        <v>2272</v>
      </c>
      <c r="S2289" s="4" t="s">
        <v>2272</v>
      </c>
      <c r="T2289" s="4" t="s">
        <v>2272</v>
      </c>
      <c r="U2289" s="4" t="s">
        <v>2272</v>
      </c>
      <c r="V2289" s="4" t="s">
        <v>2272</v>
      </c>
      <c r="W2289" s="4" t="s">
        <v>2272</v>
      </c>
      <c r="X2289" s="4" t="s">
        <v>2272</v>
      </c>
      <c r="Y2289" s="4" t="s">
        <v>2272</v>
      </c>
      <c r="Z2289" s="4" t="s">
        <v>2272</v>
      </c>
      <c r="AA2289" s="4" t="s">
        <v>2272</v>
      </c>
      <c r="AB2289" s="4" t="s">
        <v>2272</v>
      </c>
      <c r="AC2289" s="4" t="s">
        <v>2272</v>
      </c>
      <c r="AD2289" s="4"/>
      <c r="AE2289" s="4"/>
    </row>
    <row r="2290" spans="1:31" s="199" customFormat="1" ht="49" customHeight="1">
      <c r="A2290" s="4" t="s">
        <v>6170</v>
      </c>
      <c r="B2290" s="4" t="s">
        <v>6757</v>
      </c>
      <c r="C2290" s="4" t="s">
        <v>23</v>
      </c>
      <c r="D2290" s="198" t="s">
        <v>24</v>
      </c>
      <c r="E2290" s="4" t="s">
        <v>3850</v>
      </c>
      <c r="F2290" s="4" t="s">
        <v>28</v>
      </c>
      <c r="G2290" s="4" t="s">
        <v>27</v>
      </c>
      <c r="H2290" s="4" t="s">
        <v>521</v>
      </c>
      <c r="I2290" s="4"/>
      <c r="J2290" s="4" t="s">
        <v>2272</v>
      </c>
      <c r="K2290" s="4" t="s">
        <v>2272</v>
      </c>
      <c r="L2290" s="4" t="s">
        <v>2272</v>
      </c>
      <c r="M2290" s="4" t="s">
        <v>2272</v>
      </c>
      <c r="N2290" s="4" t="s">
        <v>2272</v>
      </c>
      <c r="O2290" s="4" t="s">
        <v>2272</v>
      </c>
      <c r="P2290" s="4" t="s">
        <v>2272</v>
      </c>
      <c r="Q2290" s="4" t="s">
        <v>2272</v>
      </c>
      <c r="R2290" s="4" t="s">
        <v>2272</v>
      </c>
      <c r="S2290" s="4" t="s">
        <v>2272</v>
      </c>
      <c r="T2290" s="4" t="s">
        <v>2272</v>
      </c>
      <c r="U2290" s="4" t="s">
        <v>2272</v>
      </c>
      <c r="V2290" s="4" t="s">
        <v>2272</v>
      </c>
      <c r="W2290" s="4" t="s">
        <v>2272</v>
      </c>
      <c r="X2290" s="4" t="s">
        <v>2272</v>
      </c>
      <c r="Y2290" s="4" t="s">
        <v>2272</v>
      </c>
      <c r="Z2290" s="4" t="s">
        <v>2272</v>
      </c>
      <c r="AA2290" s="4" t="s">
        <v>2272</v>
      </c>
      <c r="AB2290" s="4" t="s">
        <v>2272</v>
      </c>
      <c r="AC2290" s="4" t="s">
        <v>2272</v>
      </c>
      <c r="AD2290" s="4"/>
      <c r="AE2290" s="4"/>
    </row>
    <row r="2291" spans="1:31" s="199" customFormat="1" ht="49" customHeight="1">
      <c r="A2291" s="4" t="s">
        <v>6170</v>
      </c>
      <c r="B2291" s="4" t="s">
        <v>6758</v>
      </c>
      <c r="C2291" s="4" t="s">
        <v>23</v>
      </c>
      <c r="D2291" s="4" t="s">
        <v>2342</v>
      </c>
      <c r="E2291" s="4" t="s">
        <v>3850</v>
      </c>
      <c r="F2291" s="4" t="s">
        <v>2272</v>
      </c>
      <c r="G2291" s="4" t="s">
        <v>2272</v>
      </c>
      <c r="H2291" s="4" t="s">
        <v>521</v>
      </c>
      <c r="I2291" s="4"/>
      <c r="J2291" s="4" t="s">
        <v>2272</v>
      </c>
      <c r="K2291" s="4" t="s">
        <v>2272</v>
      </c>
      <c r="L2291" s="4" t="s">
        <v>2272</v>
      </c>
      <c r="M2291" s="4" t="s">
        <v>2272</v>
      </c>
      <c r="N2291" s="4" t="s">
        <v>2272</v>
      </c>
      <c r="O2291" s="4" t="s">
        <v>2272</v>
      </c>
      <c r="P2291" s="4" t="s">
        <v>2272</v>
      </c>
      <c r="Q2291" s="4" t="s">
        <v>2272</v>
      </c>
      <c r="R2291" s="4" t="s">
        <v>2272</v>
      </c>
      <c r="S2291" s="4" t="s">
        <v>2272</v>
      </c>
      <c r="T2291" s="4" t="s">
        <v>2272</v>
      </c>
      <c r="U2291" s="4" t="s">
        <v>2272</v>
      </c>
      <c r="V2291" s="4" t="s">
        <v>2272</v>
      </c>
      <c r="W2291" s="4" t="s">
        <v>2272</v>
      </c>
      <c r="X2291" s="4" t="s">
        <v>2272</v>
      </c>
      <c r="Y2291" s="4" t="s">
        <v>2272</v>
      </c>
      <c r="Z2291" s="4" t="s">
        <v>2272</v>
      </c>
      <c r="AA2291" s="4" t="s">
        <v>2272</v>
      </c>
      <c r="AB2291" s="4" t="s">
        <v>2272</v>
      </c>
      <c r="AC2291" s="4" t="s">
        <v>2272</v>
      </c>
      <c r="AD2291" s="4"/>
      <c r="AE2291" s="4"/>
    </row>
    <row r="2292" spans="1:31" s="199" customFormat="1" ht="49" customHeight="1">
      <c r="A2292" s="4" t="s">
        <v>6171</v>
      </c>
      <c r="B2292" s="4" t="s">
        <v>6231</v>
      </c>
      <c r="C2292" s="198" t="s">
        <v>2453</v>
      </c>
      <c r="D2292" s="4" t="s">
        <v>2654</v>
      </c>
      <c r="E2292" s="4" t="s">
        <v>3850</v>
      </c>
      <c r="F2292" s="4" t="s">
        <v>27</v>
      </c>
      <c r="G2292" s="4" t="s">
        <v>73</v>
      </c>
      <c r="H2292" s="4" t="s">
        <v>521</v>
      </c>
      <c r="I2292" s="4"/>
      <c r="J2292" s="4" t="s">
        <v>2272</v>
      </c>
      <c r="K2292" s="4" t="s">
        <v>2272</v>
      </c>
      <c r="L2292" s="4" t="s">
        <v>2272</v>
      </c>
      <c r="M2292" s="4" t="s">
        <v>2272</v>
      </c>
      <c r="N2292" s="4" t="s">
        <v>2272</v>
      </c>
      <c r="O2292" s="4" t="s">
        <v>2272</v>
      </c>
      <c r="P2292" s="4" t="s">
        <v>2272</v>
      </c>
      <c r="Q2292" s="4" t="s">
        <v>2272</v>
      </c>
      <c r="R2292" s="4" t="s">
        <v>2272</v>
      </c>
      <c r="S2292" s="4" t="s">
        <v>2272</v>
      </c>
      <c r="T2292" s="4" t="s">
        <v>2272</v>
      </c>
      <c r="U2292" s="4" t="s">
        <v>2272</v>
      </c>
      <c r="V2292" s="4" t="s">
        <v>2272</v>
      </c>
      <c r="W2292" s="4" t="s">
        <v>2272</v>
      </c>
      <c r="X2292" s="4" t="s">
        <v>2272</v>
      </c>
      <c r="Y2292" s="4" t="s">
        <v>2272</v>
      </c>
      <c r="Z2292" s="4" t="s">
        <v>2272</v>
      </c>
      <c r="AA2292" s="4" t="s">
        <v>2272</v>
      </c>
      <c r="AB2292" s="4" t="s">
        <v>2272</v>
      </c>
      <c r="AC2292" s="4" t="s">
        <v>2272</v>
      </c>
      <c r="AD2292" s="4"/>
      <c r="AE2292" s="4"/>
    </row>
    <row r="2293" spans="1:31" s="199" customFormat="1" ht="49" customHeight="1">
      <c r="A2293" s="4" t="s">
        <v>6171</v>
      </c>
      <c r="B2293" s="4" t="s">
        <v>6759</v>
      </c>
      <c r="C2293" s="198" t="s">
        <v>2453</v>
      </c>
      <c r="D2293" s="198" t="s">
        <v>141</v>
      </c>
      <c r="E2293" s="4" t="s">
        <v>3850</v>
      </c>
      <c r="F2293" s="4" t="s">
        <v>27</v>
      </c>
      <c r="G2293" s="4" t="s">
        <v>73</v>
      </c>
      <c r="H2293" s="4" t="s">
        <v>522</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v>0</v>
      </c>
      <c r="Z2293" s="4" t="s">
        <v>2272</v>
      </c>
      <c r="AA2293" s="4" t="s">
        <v>2272</v>
      </c>
      <c r="AB2293" s="4" t="s">
        <v>2272</v>
      </c>
      <c r="AC2293" s="4" t="s">
        <v>2272</v>
      </c>
      <c r="AD2293" s="4"/>
      <c r="AE2293" s="4"/>
    </row>
    <row r="2294" spans="1:31" s="199" customFormat="1" ht="49" customHeight="1">
      <c r="A2294" s="4" t="s">
        <v>6171</v>
      </c>
      <c r="B2294" s="4" t="s">
        <v>6760</v>
      </c>
      <c r="C2294" s="4" t="s">
        <v>23</v>
      </c>
      <c r="D2294" s="4" t="s">
        <v>2654</v>
      </c>
      <c r="E2294" s="4" t="s">
        <v>3850</v>
      </c>
      <c r="F2294" s="4" t="s">
        <v>27</v>
      </c>
      <c r="G2294" s="4" t="s">
        <v>27</v>
      </c>
      <c r="H2294" s="4" t="s">
        <v>521</v>
      </c>
      <c r="I2294" s="4"/>
      <c r="J2294" s="4" t="s">
        <v>2272</v>
      </c>
      <c r="K2294" s="4" t="s">
        <v>2272</v>
      </c>
      <c r="L2294" s="4" t="s">
        <v>2272</v>
      </c>
      <c r="M2294" s="4" t="s">
        <v>2272</v>
      </c>
      <c r="N2294" s="4" t="s">
        <v>2272</v>
      </c>
      <c r="O2294" s="4" t="s">
        <v>2272</v>
      </c>
      <c r="P2294" s="4" t="s">
        <v>2272</v>
      </c>
      <c r="Q2294" s="4" t="s">
        <v>2272</v>
      </c>
      <c r="R2294" s="4" t="s">
        <v>2272</v>
      </c>
      <c r="S2294" s="4" t="s">
        <v>2272</v>
      </c>
      <c r="T2294" s="4" t="s">
        <v>2272</v>
      </c>
      <c r="U2294" s="4" t="s">
        <v>2272</v>
      </c>
      <c r="V2294" s="4" t="s">
        <v>2272</v>
      </c>
      <c r="W2294" s="4" t="s">
        <v>2272</v>
      </c>
      <c r="X2294" s="4" t="s">
        <v>2272</v>
      </c>
      <c r="Y2294" s="4" t="s">
        <v>2272</v>
      </c>
      <c r="Z2294" s="4" t="s">
        <v>2272</v>
      </c>
      <c r="AA2294" s="4" t="s">
        <v>2272</v>
      </c>
      <c r="AB2294" s="4" t="s">
        <v>2272</v>
      </c>
      <c r="AC2294" s="4" t="s">
        <v>2272</v>
      </c>
      <c r="AD2294" s="4"/>
      <c r="AE2294" s="4"/>
    </row>
    <row r="2295" spans="1:31" s="199" customFormat="1" ht="49" customHeight="1">
      <c r="A2295" s="4" t="s">
        <v>6171</v>
      </c>
      <c r="B2295" s="4" t="s">
        <v>6761</v>
      </c>
      <c r="C2295" s="4" t="s">
        <v>23</v>
      </c>
      <c r="D2295" s="198" t="s">
        <v>141</v>
      </c>
      <c r="E2295" s="4" t="s">
        <v>3850</v>
      </c>
      <c r="F2295" s="4" t="s">
        <v>27</v>
      </c>
      <c r="G2295" s="4" t="s">
        <v>27</v>
      </c>
      <c r="H2295" s="4" t="s">
        <v>522</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v>0</v>
      </c>
      <c r="Z2295" s="4" t="s">
        <v>2272</v>
      </c>
      <c r="AA2295" s="4" t="s">
        <v>2272</v>
      </c>
      <c r="AB2295" s="4" t="s">
        <v>2272</v>
      </c>
      <c r="AC2295" s="4" t="s">
        <v>2272</v>
      </c>
      <c r="AD2295" s="4"/>
      <c r="AE2295" s="4"/>
    </row>
    <row r="2296" spans="1:31" s="199" customFormat="1" ht="49" customHeight="1">
      <c r="A2296" s="4" t="s">
        <v>6171</v>
      </c>
      <c r="B2296" s="4" t="s">
        <v>6762</v>
      </c>
      <c r="C2296" s="198" t="s">
        <v>2453</v>
      </c>
      <c r="D2296" s="198" t="s">
        <v>24</v>
      </c>
      <c r="E2296" s="4" t="s">
        <v>3850</v>
      </c>
      <c r="F2296" s="4" t="s">
        <v>28</v>
      </c>
      <c r="G2296" s="4" t="s">
        <v>27</v>
      </c>
      <c r="H2296" s="4" t="s">
        <v>521</v>
      </c>
      <c r="I2296" s="4"/>
      <c r="J2296" s="4" t="s">
        <v>2272</v>
      </c>
      <c r="K2296" s="4" t="s">
        <v>2272</v>
      </c>
      <c r="L2296" s="4" t="s">
        <v>2272</v>
      </c>
      <c r="M2296" s="4" t="s">
        <v>2272</v>
      </c>
      <c r="N2296" s="4" t="s">
        <v>2272</v>
      </c>
      <c r="O2296" s="4" t="s">
        <v>2272</v>
      </c>
      <c r="P2296" s="4" t="s">
        <v>2272</v>
      </c>
      <c r="Q2296" s="4" t="s">
        <v>2272</v>
      </c>
      <c r="R2296" s="4" t="s">
        <v>2272</v>
      </c>
      <c r="S2296" s="4" t="s">
        <v>2272</v>
      </c>
      <c r="T2296" s="4" t="s">
        <v>2272</v>
      </c>
      <c r="U2296" s="4" t="s">
        <v>2272</v>
      </c>
      <c r="V2296" s="4" t="s">
        <v>2272</v>
      </c>
      <c r="W2296" s="4" t="s">
        <v>2272</v>
      </c>
      <c r="X2296" s="4" t="s">
        <v>2272</v>
      </c>
      <c r="Y2296" s="4" t="s">
        <v>2272</v>
      </c>
      <c r="Z2296" s="4" t="s">
        <v>2272</v>
      </c>
      <c r="AA2296" s="4" t="s">
        <v>2272</v>
      </c>
      <c r="AB2296" s="4" t="s">
        <v>2272</v>
      </c>
      <c r="AC2296" s="4" t="s">
        <v>2272</v>
      </c>
      <c r="AD2296" s="4"/>
      <c r="AE2296" s="4"/>
    </row>
    <row r="2297" spans="1:31" s="199" customFormat="1" ht="49" customHeight="1">
      <c r="A2297" s="4" t="s">
        <v>6171</v>
      </c>
      <c r="B2297" s="4" t="s">
        <v>6763</v>
      </c>
      <c r="C2297" s="4" t="s">
        <v>23</v>
      </c>
      <c r="D2297" s="198" t="s">
        <v>24</v>
      </c>
      <c r="E2297" s="4" t="s">
        <v>3850</v>
      </c>
      <c r="F2297" s="4" t="s">
        <v>28</v>
      </c>
      <c r="G2297" s="4" t="s">
        <v>27</v>
      </c>
      <c r="H2297" s="4" t="s">
        <v>521</v>
      </c>
      <c r="I2297" s="4"/>
      <c r="J2297" s="4" t="s">
        <v>2272</v>
      </c>
      <c r="K2297" s="4" t="s">
        <v>2272</v>
      </c>
      <c r="L2297" s="4" t="s">
        <v>2272</v>
      </c>
      <c r="M2297" s="4" t="s">
        <v>2272</v>
      </c>
      <c r="N2297" s="4" t="s">
        <v>2272</v>
      </c>
      <c r="O2297" s="4" t="s">
        <v>2272</v>
      </c>
      <c r="P2297" s="4" t="s">
        <v>2272</v>
      </c>
      <c r="Q2297" s="4" t="s">
        <v>2272</v>
      </c>
      <c r="R2297" s="4" t="s">
        <v>2272</v>
      </c>
      <c r="S2297" s="4" t="s">
        <v>2272</v>
      </c>
      <c r="T2297" s="4" t="s">
        <v>2272</v>
      </c>
      <c r="U2297" s="4" t="s">
        <v>2272</v>
      </c>
      <c r="V2297" s="4" t="s">
        <v>2272</v>
      </c>
      <c r="W2297" s="4" t="s">
        <v>2272</v>
      </c>
      <c r="X2297" s="4" t="s">
        <v>2272</v>
      </c>
      <c r="Y2297" s="4" t="s">
        <v>2272</v>
      </c>
      <c r="Z2297" s="4" t="s">
        <v>2272</v>
      </c>
      <c r="AA2297" s="4" t="s">
        <v>2272</v>
      </c>
      <c r="AB2297" s="4" t="s">
        <v>2272</v>
      </c>
      <c r="AC2297" s="4" t="s">
        <v>2272</v>
      </c>
      <c r="AD2297" s="4"/>
      <c r="AE2297" s="4"/>
    </row>
    <row r="2298" spans="1:31" s="199" customFormat="1" ht="51" customHeight="1">
      <c r="A2298" s="4" t="s">
        <v>6171</v>
      </c>
      <c r="B2298" s="4" t="s">
        <v>6764</v>
      </c>
      <c r="C2298" s="4" t="s">
        <v>23</v>
      </c>
      <c r="D2298" s="4" t="s">
        <v>2342</v>
      </c>
      <c r="E2298" s="4" t="s">
        <v>3850</v>
      </c>
      <c r="F2298" s="4" t="s">
        <v>2272</v>
      </c>
      <c r="G2298" s="4" t="s">
        <v>2272</v>
      </c>
      <c r="H2298" s="4" t="s">
        <v>521</v>
      </c>
      <c r="I2298" s="4"/>
      <c r="J2298" s="4" t="s">
        <v>2272</v>
      </c>
      <c r="K2298" s="4" t="s">
        <v>2272</v>
      </c>
      <c r="L2298" s="4" t="s">
        <v>2272</v>
      </c>
      <c r="M2298" s="4" t="s">
        <v>2272</v>
      </c>
      <c r="N2298" s="4" t="s">
        <v>2272</v>
      </c>
      <c r="O2298" s="4" t="s">
        <v>2272</v>
      </c>
      <c r="P2298" s="4" t="s">
        <v>2272</v>
      </c>
      <c r="Q2298" s="4" t="s">
        <v>2272</v>
      </c>
      <c r="R2298" s="4" t="s">
        <v>2272</v>
      </c>
      <c r="S2298" s="4" t="s">
        <v>2272</v>
      </c>
      <c r="T2298" s="4" t="s">
        <v>2272</v>
      </c>
      <c r="U2298" s="4" t="s">
        <v>2272</v>
      </c>
      <c r="V2298" s="4" t="s">
        <v>2272</v>
      </c>
      <c r="W2298" s="4" t="s">
        <v>2272</v>
      </c>
      <c r="X2298" s="4" t="s">
        <v>2272</v>
      </c>
      <c r="Y2298" s="4" t="s">
        <v>2272</v>
      </c>
      <c r="Z2298" s="4" t="s">
        <v>2272</v>
      </c>
      <c r="AA2298" s="4" t="s">
        <v>2272</v>
      </c>
      <c r="AB2298" s="4" t="s">
        <v>2272</v>
      </c>
      <c r="AC2298" s="4" t="s">
        <v>2272</v>
      </c>
      <c r="AD2298" s="4"/>
      <c r="AE2298" s="4"/>
    </row>
    <row r="2299" spans="1:31" s="199" customFormat="1" ht="46.5" customHeight="1">
      <c r="A2299" s="4" t="s">
        <v>6172</v>
      </c>
      <c r="B2299" s="4" t="s">
        <v>6232</v>
      </c>
      <c r="C2299" s="198" t="s">
        <v>2453</v>
      </c>
      <c r="D2299" s="4" t="s">
        <v>2654</v>
      </c>
      <c r="E2299" s="4" t="s">
        <v>3850</v>
      </c>
      <c r="F2299" s="4" t="s">
        <v>27</v>
      </c>
      <c r="G2299" s="4" t="s">
        <v>73</v>
      </c>
      <c r="H2299" s="4" t="s">
        <v>521</v>
      </c>
      <c r="I2299" s="4"/>
      <c r="J2299" s="4" t="s">
        <v>2272</v>
      </c>
      <c r="K2299" s="4" t="s">
        <v>2272</v>
      </c>
      <c r="L2299" s="4" t="s">
        <v>2272</v>
      </c>
      <c r="M2299" s="4" t="s">
        <v>2272</v>
      </c>
      <c r="N2299" s="4" t="s">
        <v>2272</v>
      </c>
      <c r="O2299" s="4" t="s">
        <v>2272</v>
      </c>
      <c r="P2299" s="4" t="s">
        <v>2272</v>
      </c>
      <c r="Q2299" s="4" t="s">
        <v>2272</v>
      </c>
      <c r="R2299" s="4" t="s">
        <v>2272</v>
      </c>
      <c r="S2299" s="4" t="s">
        <v>2272</v>
      </c>
      <c r="T2299" s="4" t="s">
        <v>2272</v>
      </c>
      <c r="U2299" s="4" t="s">
        <v>2272</v>
      </c>
      <c r="V2299" s="4" t="s">
        <v>2272</v>
      </c>
      <c r="W2299" s="4" t="s">
        <v>2272</v>
      </c>
      <c r="X2299" s="4" t="s">
        <v>2272</v>
      </c>
      <c r="Y2299" s="4" t="s">
        <v>2272</v>
      </c>
      <c r="Z2299" s="4" t="s">
        <v>2272</v>
      </c>
      <c r="AA2299" s="4" t="s">
        <v>2272</v>
      </c>
      <c r="AB2299" s="4" t="s">
        <v>2272</v>
      </c>
      <c r="AC2299" s="4" t="s">
        <v>2272</v>
      </c>
      <c r="AD2299" s="4"/>
      <c r="AE2299" s="4"/>
    </row>
    <row r="2300" spans="1:31" s="199" customFormat="1" ht="46.5" customHeight="1">
      <c r="A2300" s="4" t="s">
        <v>6172</v>
      </c>
      <c r="B2300" s="4" t="s">
        <v>6765</v>
      </c>
      <c r="C2300" s="198" t="s">
        <v>2453</v>
      </c>
      <c r="D2300" s="198" t="s">
        <v>141</v>
      </c>
      <c r="E2300" s="4" t="s">
        <v>3850</v>
      </c>
      <c r="F2300" s="4" t="s">
        <v>27</v>
      </c>
      <c r="G2300" s="4" t="s">
        <v>73</v>
      </c>
      <c r="H2300" s="4" t="s">
        <v>522</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v>0</v>
      </c>
      <c r="Z2300" s="4" t="s">
        <v>2272</v>
      </c>
      <c r="AA2300" s="4" t="s">
        <v>2272</v>
      </c>
      <c r="AB2300" s="4" t="s">
        <v>2272</v>
      </c>
      <c r="AC2300" s="4" t="s">
        <v>2272</v>
      </c>
      <c r="AD2300" s="4"/>
      <c r="AE2300" s="4"/>
    </row>
    <row r="2301" spans="1:31" s="199" customFormat="1" ht="46.5" customHeight="1">
      <c r="A2301" s="4" t="s">
        <v>6172</v>
      </c>
      <c r="B2301" s="4" t="s">
        <v>6766</v>
      </c>
      <c r="C2301" s="4" t="s">
        <v>23</v>
      </c>
      <c r="D2301" s="4" t="s">
        <v>2654</v>
      </c>
      <c r="E2301" s="4" t="s">
        <v>3850</v>
      </c>
      <c r="F2301" s="4" t="s">
        <v>27</v>
      </c>
      <c r="G2301" s="4" t="s">
        <v>27</v>
      </c>
      <c r="H2301" s="4" t="s">
        <v>521</v>
      </c>
      <c r="I2301" s="4"/>
      <c r="J2301" s="4" t="s">
        <v>2272</v>
      </c>
      <c r="K2301" s="4" t="s">
        <v>2272</v>
      </c>
      <c r="L2301" s="4" t="s">
        <v>2272</v>
      </c>
      <c r="M2301" s="4" t="s">
        <v>2272</v>
      </c>
      <c r="N2301" s="4" t="s">
        <v>2272</v>
      </c>
      <c r="O2301" s="4" t="s">
        <v>2272</v>
      </c>
      <c r="P2301" s="4" t="s">
        <v>2272</v>
      </c>
      <c r="Q2301" s="4" t="s">
        <v>2272</v>
      </c>
      <c r="R2301" s="4" t="s">
        <v>2272</v>
      </c>
      <c r="S2301" s="4" t="s">
        <v>2272</v>
      </c>
      <c r="T2301" s="4" t="s">
        <v>2272</v>
      </c>
      <c r="U2301" s="4" t="s">
        <v>2272</v>
      </c>
      <c r="V2301" s="4" t="s">
        <v>2272</v>
      </c>
      <c r="W2301" s="4" t="s">
        <v>2272</v>
      </c>
      <c r="X2301" s="4" t="s">
        <v>2272</v>
      </c>
      <c r="Y2301" s="4" t="s">
        <v>2272</v>
      </c>
      <c r="Z2301" s="4" t="s">
        <v>2272</v>
      </c>
      <c r="AA2301" s="4" t="s">
        <v>2272</v>
      </c>
      <c r="AB2301" s="4" t="s">
        <v>2272</v>
      </c>
      <c r="AC2301" s="4" t="s">
        <v>2272</v>
      </c>
      <c r="AD2301" s="4"/>
      <c r="AE2301" s="4"/>
    </row>
    <row r="2302" spans="1:31" s="199" customFormat="1" ht="46.5" customHeight="1">
      <c r="A2302" s="4" t="s">
        <v>6172</v>
      </c>
      <c r="B2302" s="4" t="s">
        <v>6767</v>
      </c>
      <c r="C2302" s="4" t="s">
        <v>23</v>
      </c>
      <c r="D2302" s="198" t="s">
        <v>141</v>
      </c>
      <c r="E2302" s="4" t="s">
        <v>3850</v>
      </c>
      <c r="F2302" s="4" t="s">
        <v>27</v>
      </c>
      <c r="G2302" s="4" t="s">
        <v>27</v>
      </c>
      <c r="H2302" s="4" t="s">
        <v>522</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v>0</v>
      </c>
      <c r="Z2302" s="4" t="s">
        <v>2272</v>
      </c>
      <c r="AA2302" s="4" t="s">
        <v>2272</v>
      </c>
      <c r="AB2302" s="4" t="s">
        <v>2272</v>
      </c>
      <c r="AC2302" s="4" t="s">
        <v>2272</v>
      </c>
      <c r="AD2302" s="4"/>
      <c r="AE2302" s="4"/>
    </row>
    <row r="2303" spans="1:31" s="199" customFormat="1" ht="46.5" customHeight="1">
      <c r="A2303" s="4" t="s">
        <v>6172</v>
      </c>
      <c r="B2303" s="4" t="s">
        <v>6768</v>
      </c>
      <c r="C2303" s="198" t="s">
        <v>2453</v>
      </c>
      <c r="D2303" s="198" t="s">
        <v>24</v>
      </c>
      <c r="E2303" s="4" t="s">
        <v>3850</v>
      </c>
      <c r="F2303" s="4" t="s">
        <v>28</v>
      </c>
      <c r="G2303" s="4" t="s">
        <v>27</v>
      </c>
      <c r="H2303" s="4" t="s">
        <v>521</v>
      </c>
      <c r="I2303" s="4"/>
      <c r="J2303" s="4" t="s">
        <v>2272</v>
      </c>
      <c r="K2303" s="4" t="s">
        <v>2272</v>
      </c>
      <c r="L2303" s="4" t="s">
        <v>2272</v>
      </c>
      <c r="M2303" s="4" t="s">
        <v>2272</v>
      </c>
      <c r="N2303" s="4" t="s">
        <v>2272</v>
      </c>
      <c r="O2303" s="4" t="s">
        <v>2272</v>
      </c>
      <c r="P2303" s="4" t="s">
        <v>2272</v>
      </c>
      <c r="Q2303" s="4" t="s">
        <v>2272</v>
      </c>
      <c r="R2303" s="4" t="s">
        <v>2272</v>
      </c>
      <c r="S2303" s="4" t="s">
        <v>2272</v>
      </c>
      <c r="T2303" s="4" t="s">
        <v>2272</v>
      </c>
      <c r="U2303" s="4" t="s">
        <v>2272</v>
      </c>
      <c r="V2303" s="4" t="s">
        <v>2272</v>
      </c>
      <c r="W2303" s="4" t="s">
        <v>2272</v>
      </c>
      <c r="X2303" s="4" t="s">
        <v>2272</v>
      </c>
      <c r="Y2303" s="4" t="s">
        <v>2272</v>
      </c>
      <c r="Z2303" s="4" t="s">
        <v>2272</v>
      </c>
      <c r="AA2303" s="4" t="s">
        <v>2272</v>
      </c>
      <c r="AB2303" s="4" t="s">
        <v>2272</v>
      </c>
      <c r="AC2303" s="4" t="s">
        <v>2272</v>
      </c>
      <c r="AD2303" s="4"/>
      <c r="AE2303" s="4"/>
    </row>
    <row r="2304" spans="1:31" s="199" customFormat="1" ht="46.5" customHeight="1">
      <c r="A2304" s="4" t="s">
        <v>6172</v>
      </c>
      <c r="B2304" s="4" t="s">
        <v>6769</v>
      </c>
      <c r="C2304" s="4" t="s">
        <v>23</v>
      </c>
      <c r="D2304" s="198" t="s">
        <v>24</v>
      </c>
      <c r="E2304" s="4" t="s">
        <v>3850</v>
      </c>
      <c r="F2304" s="4" t="s">
        <v>28</v>
      </c>
      <c r="G2304" s="4" t="s">
        <v>27</v>
      </c>
      <c r="H2304" s="4" t="s">
        <v>521</v>
      </c>
      <c r="I2304" s="4"/>
      <c r="J2304" s="4" t="s">
        <v>2272</v>
      </c>
      <c r="K2304" s="4" t="s">
        <v>2272</v>
      </c>
      <c r="L2304" s="4" t="s">
        <v>2272</v>
      </c>
      <c r="M2304" s="4" t="s">
        <v>2272</v>
      </c>
      <c r="N2304" s="4" t="s">
        <v>2272</v>
      </c>
      <c r="O2304" s="4" t="s">
        <v>2272</v>
      </c>
      <c r="P2304" s="4" t="s">
        <v>2272</v>
      </c>
      <c r="Q2304" s="4" t="s">
        <v>2272</v>
      </c>
      <c r="R2304" s="4" t="s">
        <v>2272</v>
      </c>
      <c r="S2304" s="4" t="s">
        <v>2272</v>
      </c>
      <c r="T2304" s="4" t="s">
        <v>2272</v>
      </c>
      <c r="U2304" s="4" t="s">
        <v>2272</v>
      </c>
      <c r="V2304" s="4" t="s">
        <v>2272</v>
      </c>
      <c r="W2304" s="4" t="s">
        <v>2272</v>
      </c>
      <c r="X2304" s="4" t="s">
        <v>2272</v>
      </c>
      <c r="Y2304" s="4" t="s">
        <v>2272</v>
      </c>
      <c r="Z2304" s="4" t="s">
        <v>2272</v>
      </c>
      <c r="AA2304" s="4" t="s">
        <v>2272</v>
      </c>
      <c r="AB2304" s="4" t="s">
        <v>2272</v>
      </c>
      <c r="AC2304" s="4" t="s">
        <v>2272</v>
      </c>
      <c r="AD2304" s="4"/>
      <c r="AE2304" s="4"/>
    </row>
    <row r="2305" spans="1:31" s="199" customFormat="1" ht="46.5" customHeight="1">
      <c r="A2305" s="4" t="s">
        <v>6172</v>
      </c>
      <c r="B2305" s="4" t="s">
        <v>6770</v>
      </c>
      <c r="C2305" s="4" t="s">
        <v>23</v>
      </c>
      <c r="D2305" s="4" t="s">
        <v>2342</v>
      </c>
      <c r="E2305" s="4" t="s">
        <v>3850</v>
      </c>
      <c r="F2305" s="4" t="s">
        <v>2272</v>
      </c>
      <c r="G2305" s="4" t="s">
        <v>2272</v>
      </c>
      <c r="H2305" s="4" t="s">
        <v>521</v>
      </c>
      <c r="I2305" s="4"/>
      <c r="J2305" s="4" t="s">
        <v>2272</v>
      </c>
      <c r="K2305" s="4" t="s">
        <v>2272</v>
      </c>
      <c r="L2305" s="4" t="s">
        <v>2272</v>
      </c>
      <c r="M2305" s="4" t="s">
        <v>2272</v>
      </c>
      <c r="N2305" s="4" t="s">
        <v>2272</v>
      </c>
      <c r="O2305" s="4" t="s">
        <v>2272</v>
      </c>
      <c r="P2305" s="4" t="s">
        <v>2272</v>
      </c>
      <c r="Q2305" s="4" t="s">
        <v>2272</v>
      </c>
      <c r="R2305" s="4" t="s">
        <v>2272</v>
      </c>
      <c r="S2305" s="4" t="s">
        <v>2272</v>
      </c>
      <c r="T2305" s="4" t="s">
        <v>2272</v>
      </c>
      <c r="U2305" s="4" t="s">
        <v>2272</v>
      </c>
      <c r="V2305" s="4" t="s">
        <v>2272</v>
      </c>
      <c r="W2305" s="4" t="s">
        <v>2272</v>
      </c>
      <c r="X2305" s="4" t="s">
        <v>2272</v>
      </c>
      <c r="Y2305" s="4" t="s">
        <v>2272</v>
      </c>
      <c r="Z2305" s="4" t="s">
        <v>2272</v>
      </c>
      <c r="AA2305" s="4" t="s">
        <v>2272</v>
      </c>
      <c r="AB2305" s="4" t="s">
        <v>2272</v>
      </c>
      <c r="AC2305" s="4" t="s">
        <v>2272</v>
      </c>
      <c r="AD2305" s="4"/>
      <c r="AE2305" s="4"/>
    </row>
    <row r="2306" spans="1:31" s="199" customFormat="1" ht="46.5" customHeight="1">
      <c r="A2306" s="4" t="s">
        <v>6173</v>
      </c>
      <c r="B2306" s="4" t="s">
        <v>6233</v>
      </c>
      <c r="C2306" s="4" t="s">
        <v>23</v>
      </c>
      <c r="D2306" s="198" t="s">
        <v>24</v>
      </c>
      <c r="E2306" s="4" t="s">
        <v>395</v>
      </c>
      <c r="F2306" s="4" t="s">
        <v>54</v>
      </c>
      <c r="G2306" s="4" t="s">
        <v>54</v>
      </c>
      <c r="H2306" s="4" t="s">
        <v>521</v>
      </c>
      <c r="I2306" s="4"/>
      <c r="J2306" s="4" t="s">
        <v>2272</v>
      </c>
      <c r="K2306" s="4" t="s">
        <v>2272</v>
      </c>
      <c r="L2306" s="4" t="s">
        <v>2272</v>
      </c>
      <c r="M2306" s="4" t="s">
        <v>2272</v>
      </c>
      <c r="N2306" s="4" t="s">
        <v>2272</v>
      </c>
      <c r="O2306" s="4" t="s">
        <v>2272</v>
      </c>
      <c r="P2306" s="4" t="s">
        <v>2272</v>
      </c>
      <c r="Q2306" s="4" t="s">
        <v>2272</v>
      </c>
      <c r="R2306" s="4" t="s">
        <v>2272</v>
      </c>
      <c r="S2306" s="4" t="s">
        <v>2272</v>
      </c>
      <c r="T2306" s="4" t="s">
        <v>2272</v>
      </c>
      <c r="U2306" s="4" t="s">
        <v>2272</v>
      </c>
      <c r="V2306" s="4" t="s">
        <v>2272</v>
      </c>
      <c r="W2306" s="4" t="s">
        <v>2272</v>
      </c>
      <c r="X2306" s="4" t="s">
        <v>2272</v>
      </c>
      <c r="Y2306" s="4" t="s">
        <v>2272</v>
      </c>
      <c r="Z2306" s="4" t="s">
        <v>2272</v>
      </c>
      <c r="AA2306" s="4" t="s">
        <v>2272</v>
      </c>
      <c r="AB2306" s="4" t="s">
        <v>2272</v>
      </c>
      <c r="AC2306" s="4" t="s">
        <v>2272</v>
      </c>
      <c r="AD2306" s="4"/>
      <c r="AE2306" s="4"/>
    </row>
    <row r="2307" spans="1:31" s="199" customFormat="1" ht="46.5" customHeight="1">
      <c r="A2307" s="4" t="s">
        <v>6173</v>
      </c>
      <c r="B2307" s="4" t="s">
        <v>6256</v>
      </c>
      <c r="C2307" s="4" t="s">
        <v>23</v>
      </c>
      <c r="D2307" s="198" t="s">
        <v>24</v>
      </c>
      <c r="E2307" s="4" t="s">
        <v>5001</v>
      </c>
      <c r="F2307" s="4" t="s">
        <v>54</v>
      </c>
      <c r="G2307" s="4" t="s">
        <v>54</v>
      </c>
      <c r="H2307" s="4" t="s">
        <v>521</v>
      </c>
      <c r="I2307" s="4"/>
      <c r="J2307" s="4" t="s">
        <v>2272</v>
      </c>
      <c r="K2307" s="4" t="s">
        <v>2272</v>
      </c>
      <c r="L2307" s="4" t="s">
        <v>2272</v>
      </c>
      <c r="M2307" s="4" t="s">
        <v>2272</v>
      </c>
      <c r="N2307" s="4" t="s">
        <v>2272</v>
      </c>
      <c r="O2307" s="4" t="s">
        <v>2272</v>
      </c>
      <c r="P2307" s="4" t="s">
        <v>2272</v>
      </c>
      <c r="Q2307" s="4" t="s">
        <v>2272</v>
      </c>
      <c r="R2307" s="4" t="s">
        <v>2272</v>
      </c>
      <c r="S2307" s="4" t="s">
        <v>2272</v>
      </c>
      <c r="T2307" s="4" t="s">
        <v>2272</v>
      </c>
      <c r="U2307" s="4" t="s">
        <v>2272</v>
      </c>
      <c r="V2307" s="4" t="s">
        <v>2272</v>
      </c>
      <c r="W2307" s="4" t="s">
        <v>2272</v>
      </c>
      <c r="X2307" s="4" t="s">
        <v>2272</v>
      </c>
      <c r="Y2307" s="4" t="s">
        <v>2272</v>
      </c>
      <c r="Z2307" s="4" t="s">
        <v>2272</v>
      </c>
      <c r="AA2307" s="4" t="s">
        <v>2272</v>
      </c>
      <c r="AB2307" s="4" t="s">
        <v>2272</v>
      </c>
      <c r="AC2307" s="4" t="s">
        <v>2272</v>
      </c>
      <c r="AD2307" s="4"/>
      <c r="AE2307" s="4"/>
    </row>
    <row r="2308" spans="1:31" s="199" customFormat="1" ht="46.5" customHeight="1">
      <c r="A2308" s="4" t="s">
        <v>6173</v>
      </c>
      <c r="B2308" s="4" t="s">
        <v>6257</v>
      </c>
      <c r="C2308" s="4" t="s">
        <v>23</v>
      </c>
      <c r="D2308" s="198" t="s">
        <v>142</v>
      </c>
      <c r="E2308" s="4" t="s">
        <v>5001</v>
      </c>
      <c r="F2308" s="4" t="s">
        <v>54</v>
      </c>
      <c r="G2308" s="4" t="s">
        <v>54</v>
      </c>
      <c r="H2308" s="4" t="s">
        <v>521</v>
      </c>
      <c r="I2308" s="4"/>
      <c r="J2308" s="4" t="s">
        <v>2272</v>
      </c>
      <c r="K2308" s="4" t="s">
        <v>2272</v>
      </c>
      <c r="L2308" s="4" t="s">
        <v>2272</v>
      </c>
      <c r="M2308" s="4" t="s">
        <v>2272</v>
      </c>
      <c r="N2308" s="4" t="s">
        <v>2272</v>
      </c>
      <c r="O2308" s="4" t="s">
        <v>2272</v>
      </c>
      <c r="P2308" s="4" t="s">
        <v>2272</v>
      </c>
      <c r="Q2308" s="4" t="s">
        <v>2272</v>
      </c>
      <c r="R2308" s="4" t="s">
        <v>2272</v>
      </c>
      <c r="S2308" s="4" t="s">
        <v>2272</v>
      </c>
      <c r="T2308" s="4" t="s">
        <v>2272</v>
      </c>
      <c r="U2308" s="4" t="s">
        <v>2272</v>
      </c>
      <c r="V2308" s="4" t="s">
        <v>2272</v>
      </c>
      <c r="W2308" s="4" t="s">
        <v>2272</v>
      </c>
      <c r="X2308" s="4" t="s">
        <v>2272</v>
      </c>
      <c r="Y2308" s="4" t="s">
        <v>2272</v>
      </c>
      <c r="Z2308" s="4" t="s">
        <v>2272</v>
      </c>
      <c r="AA2308" s="4" t="s">
        <v>2272</v>
      </c>
      <c r="AB2308" s="4" t="s">
        <v>2272</v>
      </c>
      <c r="AC2308" s="4" t="s">
        <v>2272</v>
      </c>
      <c r="AD2308" s="4"/>
      <c r="AE2308" s="4"/>
    </row>
    <row r="2309" spans="1:31" s="199" customFormat="1" ht="54" customHeight="1">
      <c r="A2309" s="4" t="s">
        <v>6175</v>
      </c>
      <c r="B2309" s="4" t="s">
        <v>6236</v>
      </c>
      <c r="C2309" s="4" t="s">
        <v>1102</v>
      </c>
      <c r="D2309" s="4" t="s">
        <v>1102</v>
      </c>
      <c r="E2309" s="4" t="s">
        <v>1102</v>
      </c>
      <c r="F2309" s="4" t="s">
        <v>2272</v>
      </c>
      <c r="G2309" s="4" t="s">
        <v>2272</v>
      </c>
      <c r="H2309" s="4" t="s">
        <v>521</v>
      </c>
      <c r="I2309" s="4"/>
      <c r="J2309" s="4" t="s">
        <v>2272</v>
      </c>
      <c r="K2309" s="71">
        <f>28493/'Record info'!$K988/10</f>
        <v>0.11822821576763484</v>
      </c>
      <c r="L2309" s="4" t="s">
        <v>2272</v>
      </c>
      <c r="M2309" s="4" t="s">
        <v>2272</v>
      </c>
      <c r="N2309" s="4" t="s">
        <v>2272</v>
      </c>
      <c r="O2309" s="4" t="s">
        <v>2272</v>
      </c>
      <c r="P2309" s="4" t="s">
        <v>2272</v>
      </c>
      <c r="Q2309" s="4" t="s">
        <v>2272</v>
      </c>
      <c r="R2309" s="4" t="s">
        <v>2272</v>
      </c>
      <c r="S2309" s="4" t="s">
        <v>2272</v>
      </c>
      <c r="T2309" s="4" t="s">
        <v>2272</v>
      </c>
      <c r="U2309" s="4" t="s">
        <v>2272</v>
      </c>
      <c r="V2309" s="4" t="s">
        <v>2272</v>
      </c>
      <c r="W2309" s="4" t="s">
        <v>2272</v>
      </c>
      <c r="X2309" s="4" t="s">
        <v>2272</v>
      </c>
      <c r="Y2309" s="4" t="s">
        <v>2272</v>
      </c>
      <c r="Z2309" s="4" t="s">
        <v>2272</v>
      </c>
      <c r="AA2309" s="4" t="s">
        <v>2272</v>
      </c>
      <c r="AB2309" s="4" t="s">
        <v>2272</v>
      </c>
      <c r="AC2309" s="4" t="s">
        <v>2272</v>
      </c>
      <c r="AD2309" s="4"/>
      <c r="AE2309" s="4"/>
    </row>
    <row r="2310" spans="1:31" s="199" customFormat="1" ht="48" customHeight="1">
      <c r="A2310" s="4" t="s">
        <v>6175</v>
      </c>
      <c r="B2310" s="4" t="s">
        <v>6237</v>
      </c>
      <c r="C2310" s="4" t="s">
        <v>1102</v>
      </c>
      <c r="D2310" s="4" t="s">
        <v>1102</v>
      </c>
      <c r="E2310" s="4" t="s">
        <v>5795</v>
      </c>
      <c r="F2310" s="4" t="s">
        <v>2272</v>
      </c>
      <c r="G2310" s="4" t="s">
        <v>2272</v>
      </c>
      <c r="H2310" s="4" t="s">
        <v>521</v>
      </c>
      <c r="I2310" s="4"/>
      <c r="J2310" s="4" t="s">
        <v>2272</v>
      </c>
      <c r="K2310" s="71">
        <f>714/882.88/10</f>
        <v>8.0871692642261697E-2</v>
      </c>
      <c r="L2310" s="4" t="s">
        <v>2272</v>
      </c>
      <c r="M2310" s="4" t="s">
        <v>2272</v>
      </c>
      <c r="N2310" s="4" t="s">
        <v>2272</v>
      </c>
      <c r="O2310" s="4" t="s">
        <v>2272</v>
      </c>
      <c r="P2310" s="4" t="s">
        <v>2272</v>
      </c>
      <c r="Q2310" s="4" t="s">
        <v>2272</v>
      </c>
      <c r="R2310" s="4" t="s">
        <v>2272</v>
      </c>
      <c r="S2310" s="4" t="s">
        <v>2272</v>
      </c>
      <c r="T2310" s="4" t="s">
        <v>2272</v>
      </c>
      <c r="U2310" s="4" t="s">
        <v>2272</v>
      </c>
      <c r="V2310" s="4" t="s">
        <v>2272</v>
      </c>
      <c r="W2310" s="4" t="s">
        <v>2272</v>
      </c>
      <c r="X2310" s="4" t="s">
        <v>2272</v>
      </c>
      <c r="Y2310" s="4" t="s">
        <v>2272</v>
      </c>
      <c r="Z2310" s="4" t="s">
        <v>2272</v>
      </c>
      <c r="AA2310" s="4" t="s">
        <v>2272</v>
      </c>
      <c r="AB2310" s="4" t="s">
        <v>2272</v>
      </c>
      <c r="AC2310" s="4" t="s">
        <v>2272</v>
      </c>
      <c r="AD2310" s="4" t="s">
        <v>6779</v>
      </c>
      <c r="AE2310" s="4"/>
    </row>
    <row r="2311" spans="1:31" s="199" customFormat="1" ht="48" customHeight="1">
      <c r="A2311" s="4" t="s">
        <v>6175</v>
      </c>
      <c r="B2311" s="4" t="s">
        <v>6780</v>
      </c>
      <c r="C2311" s="4" t="s">
        <v>23</v>
      </c>
      <c r="D2311" s="4" t="s">
        <v>2272</v>
      </c>
      <c r="E2311" s="4" t="s">
        <v>3850</v>
      </c>
      <c r="F2311" s="4" t="s">
        <v>27</v>
      </c>
      <c r="G2311" s="4" t="s">
        <v>27</v>
      </c>
      <c r="H2311" s="4" t="s">
        <v>521</v>
      </c>
      <c r="I2311" s="4"/>
      <c r="J2311" s="4" t="s">
        <v>2272</v>
      </c>
      <c r="K2311" s="4" t="s">
        <v>2272</v>
      </c>
      <c r="L2311" s="4" t="s">
        <v>2272</v>
      </c>
      <c r="M2311" s="4" t="s">
        <v>2272</v>
      </c>
      <c r="N2311" s="4" t="s">
        <v>2272</v>
      </c>
      <c r="O2311" s="4" t="s">
        <v>2272</v>
      </c>
      <c r="P2311" s="4" t="s">
        <v>2272</v>
      </c>
      <c r="Q2311" s="4" t="s">
        <v>2272</v>
      </c>
      <c r="R2311" s="4" t="s">
        <v>2272</v>
      </c>
      <c r="S2311" s="4" t="s">
        <v>2272</v>
      </c>
      <c r="T2311" s="4" t="s">
        <v>2272</v>
      </c>
      <c r="U2311" s="4" t="s">
        <v>2272</v>
      </c>
      <c r="V2311" s="4" t="s">
        <v>2272</v>
      </c>
      <c r="W2311" s="4" t="s">
        <v>2272</v>
      </c>
      <c r="X2311" s="4" t="s">
        <v>2272</v>
      </c>
      <c r="Y2311" s="4" t="s">
        <v>2272</v>
      </c>
      <c r="Z2311" s="4" t="s">
        <v>2272</v>
      </c>
      <c r="AA2311" s="4" t="s">
        <v>2272</v>
      </c>
      <c r="AB2311" s="4" t="s">
        <v>2272</v>
      </c>
      <c r="AC2311" s="4" t="s">
        <v>2272</v>
      </c>
      <c r="AD2311" s="4" t="s">
        <v>6782</v>
      </c>
      <c r="AE2311" s="4"/>
    </row>
    <row r="2312" spans="1:31" s="199" customFormat="1" ht="48" customHeight="1">
      <c r="A2312" s="4" t="s">
        <v>6175</v>
      </c>
      <c r="B2312" s="4" t="s">
        <v>6781</v>
      </c>
      <c r="C2312" s="4" t="s">
        <v>23</v>
      </c>
      <c r="D2312" s="4" t="s">
        <v>2272</v>
      </c>
      <c r="E2312" s="4" t="s">
        <v>3850</v>
      </c>
      <c r="F2312" s="4" t="s">
        <v>28</v>
      </c>
      <c r="G2312" s="4" t="s">
        <v>28</v>
      </c>
      <c r="H2312" s="4" t="s">
        <v>521</v>
      </c>
      <c r="I2312" s="4"/>
      <c r="J2312" s="4" t="s">
        <v>2272</v>
      </c>
      <c r="K2312" s="4" t="s">
        <v>2272</v>
      </c>
      <c r="L2312" s="4" t="s">
        <v>2272</v>
      </c>
      <c r="M2312" s="4" t="s">
        <v>2272</v>
      </c>
      <c r="N2312" s="4" t="s">
        <v>2272</v>
      </c>
      <c r="O2312" s="4" t="s">
        <v>2272</v>
      </c>
      <c r="P2312" s="4" t="s">
        <v>2272</v>
      </c>
      <c r="Q2312" s="4" t="s">
        <v>2272</v>
      </c>
      <c r="R2312" s="4" t="s">
        <v>2272</v>
      </c>
      <c r="S2312" s="4" t="s">
        <v>2272</v>
      </c>
      <c r="T2312" s="4" t="s">
        <v>2272</v>
      </c>
      <c r="U2312" s="4" t="s">
        <v>2272</v>
      </c>
      <c r="V2312" s="4" t="s">
        <v>2272</v>
      </c>
      <c r="W2312" s="4" t="s">
        <v>2272</v>
      </c>
      <c r="X2312" s="4" t="s">
        <v>2272</v>
      </c>
      <c r="Y2312" s="4" t="s">
        <v>2272</v>
      </c>
      <c r="Z2312" s="4" t="s">
        <v>2272</v>
      </c>
      <c r="AA2312" s="4" t="s">
        <v>2272</v>
      </c>
      <c r="AB2312" s="4" t="s">
        <v>2272</v>
      </c>
      <c r="AC2312" s="4" t="s">
        <v>2272</v>
      </c>
      <c r="AD2312" s="4" t="s">
        <v>6782</v>
      </c>
      <c r="AE2312" s="4"/>
    </row>
    <row r="2313" spans="1:31" s="199" customFormat="1" ht="65.5" customHeight="1">
      <c r="A2313" s="4" t="s">
        <v>6176</v>
      </c>
      <c r="B2313" s="4" t="s">
        <v>6238</v>
      </c>
      <c r="C2313" s="4" t="s">
        <v>1102</v>
      </c>
      <c r="D2313" s="4" t="s">
        <v>2272</v>
      </c>
      <c r="E2313" s="4" t="s">
        <v>2272</v>
      </c>
      <c r="F2313" s="4" t="s">
        <v>2272</v>
      </c>
      <c r="G2313" s="4" t="s">
        <v>2272</v>
      </c>
      <c r="H2313" s="4" t="s">
        <v>521</v>
      </c>
      <c r="I2313" s="4"/>
      <c r="J2313" s="71">
        <f>0.6/8</f>
        <v>7.4999999999999997E-2</v>
      </c>
      <c r="K2313" s="71">
        <f>0.6/8</f>
        <v>7.4999999999999997E-2</v>
      </c>
      <c r="L2313" s="4" t="s">
        <v>2272</v>
      </c>
      <c r="M2313" s="4" t="s">
        <v>2272</v>
      </c>
      <c r="N2313" s="4" t="s">
        <v>2272</v>
      </c>
      <c r="O2313" s="4" t="s">
        <v>2272</v>
      </c>
      <c r="P2313" s="4" t="s">
        <v>2272</v>
      </c>
      <c r="Q2313" s="4" t="s">
        <v>2272</v>
      </c>
      <c r="R2313" s="4" t="s">
        <v>2272</v>
      </c>
      <c r="S2313" s="4" t="s">
        <v>2272</v>
      </c>
      <c r="T2313" s="4" t="s">
        <v>2272</v>
      </c>
      <c r="U2313" s="4" t="s">
        <v>2272</v>
      </c>
      <c r="V2313" s="4" t="s">
        <v>2272</v>
      </c>
      <c r="W2313" s="4" t="s">
        <v>2272</v>
      </c>
      <c r="X2313" s="4" t="s">
        <v>2272</v>
      </c>
      <c r="Y2313" s="4">
        <f>10.3/8</f>
        <v>1.2875000000000001</v>
      </c>
      <c r="Z2313" s="4" t="s">
        <v>2272</v>
      </c>
      <c r="AA2313" s="4" t="s">
        <v>2272</v>
      </c>
      <c r="AB2313" s="4" t="s">
        <v>2272</v>
      </c>
      <c r="AC2313" s="4" t="s">
        <v>2272</v>
      </c>
      <c r="AD2313" s="4"/>
      <c r="AE2313" s="4"/>
    </row>
    <row r="2314" spans="1:31" s="199" customFormat="1" ht="65.5" customHeight="1">
      <c r="A2314" s="4" t="s">
        <v>6176</v>
      </c>
      <c r="B2314" s="4" t="s">
        <v>6783</v>
      </c>
      <c r="C2314" s="198" t="s">
        <v>30</v>
      </c>
      <c r="D2314" s="4" t="s">
        <v>29</v>
      </c>
      <c r="E2314" s="4" t="s">
        <v>2648</v>
      </c>
      <c r="F2314" s="4" t="s">
        <v>2272</v>
      </c>
      <c r="G2314" s="4" t="s">
        <v>2657</v>
      </c>
      <c r="H2314" s="4" t="s">
        <v>521</v>
      </c>
      <c r="I2314" s="4"/>
      <c r="J2314" s="4" t="s">
        <v>2272</v>
      </c>
      <c r="K2314" s="4" t="s">
        <v>2272</v>
      </c>
      <c r="L2314" s="4" t="s">
        <v>2272</v>
      </c>
      <c r="M2314" s="4" t="s">
        <v>2272</v>
      </c>
      <c r="N2314" s="4" t="s">
        <v>2272</v>
      </c>
      <c r="O2314" s="4" t="s">
        <v>2272</v>
      </c>
      <c r="P2314" s="4" t="s">
        <v>2272</v>
      </c>
      <c r="Q2314" s="4" t="s">
        <v>2272</v>
      </c>
      <c r="R2314" s="4" t="s">
        <v>2272</v>
      </c>
      <c r="S2314" s="4" t="s">
        <v>2272</v>
      </c>
      <c r="T2314" s="4" t="s">
        <v>2272</v>
      </c>
      <c r="U2314" s="4" t="s">
        <v>2272</v>
      </c>
      <c r="V2314" s="4" t="s">
        <v>2272</v>
      </c>
      <c r="W2314" s="4" t="s">
        <v>2272</v>
      </c>
      <c r="X2314" s="4" t="s">
        <v>2272</v>
      </c>
      <c r="Y2314" s="4" t="s">
        <v>2272</v>
      </c>
      <c r="Z2314" s="4" t="s">
        <v>2272</v>
      </c>
      <c r="AA2314" s="4" t="s">
        <v>2272</v>
      </c>
      <c r="AB2314" s="4" t="s">
        <v>2272</v>
      </c>
      <c r="AC2314" s="4" t="s">
        <v>2272</v>
      </c>
      <c r="AD2314" s="4"/>
      <c r="AE2314" s="4" t="s">
        <v>6785</v>
      </c>
    </row>
    <row r="2315" spans="1:31" s="199" customFormat="1" ht="65.5" customHeight="1">
      <c r="A2315" s="4" t="s">
        <v>6176</v>
      </c>
      <c r="B2315" s="4" t="s">
        <v>6784</v>
      </c>
      <c r="C2315" s="198" t="s">
        <v>2453</v>
      </c>
      <c r="D2315" s="4" t="s">
        <v>24</v>
      </c>
      <c r="E2315" s="4" t="s">
        <v>3850</v>
      </c>
      <c r="F2315" s="4" t="s">
        <v>28</v>
      </c>
      <c r="G2315" s="4" t="s">
        <v>2272</v>
      </c>
      <c r="H2315" s="4" t="s">
        <v>521</v>
      </c>
      <c r="I2315" s="4"/>
      <c r="J2315" s="4" t="s">
        <v>2272</v>
      </c>
      <c r="K2315" s="4" t="s">
        <v>2272</v>
      </c>
      <c r="L2315" s="4" t="s">
        <v>2272</v>
      </c>
      <c r="M2315" s="4" t="s">
        <v>2272</v>
      </c>
      <c r="N2315" s="4" t="s">
        <v>2272</v>
      </c>
      <c r="O2315" s="4" t="s">
        <v>2272</v>
      </c>
      <c r="P2315" s="4" t="s">
        <v>2272</v>
      </c>
      <c r="Q2315" s="4" t="s">
        <v>2272</v>
      </c>
      <c r="R2315" s="4" t="s">
        <v>2272</v>
      </c>
      <c r="S2315" s="4" t="s">
        <v>2272</v>
      </c>
      <c r="T2315" s="4" t="s">
        <v>2272</v>
      </c>
      <c r="U2315" s="4" t="s">
        <v>2272</v>
      </c>
      <c r="V2315" s="4" t="s">
        <v>2272</v>
      </c>
      <c r="W2315" s="4" t="s">
        <v>2272</v>
      </c>
      <c r="X2315" s="4" t="s">
        <v>2272</v>
      </c>
      <c r="Y2315" s="4" t="s">
        <v>2272</v>
      </c>
      <c r="Z2315" s="4" t="s">
        <v>2272</v>
      </c>
      <c r="AA2315" s="4" t="s">
        <v>2272</v>
      </c>
      <c r="AB2315" s="4" t="s">
        <v>2272</v>
      </c>
      <c r="AC2315" s="4" t="s">
        <v>2272</v>
      </c>
      <c r="AD2315" s="4"/>
      <c r="AE2315" s="4"/>
    </row>
    <row r="2316" spans="1:31" s="199" customFormat="1" ht="65.5" customHeight="1">
      <c r="A2316" s="4" t="s">
        <v>6177</v>
      </c>
      <c r="B2316" s="4" t="s">
        <v>6239</v>
      </c>
      <c r="C2316" s="198" t="s">
        <v>1102</v>
      </c>
      <c r="D2316" s="4" t="s">
        <v>2272</v>
      </c>
      <c r="E2316" s="4" t="s">
        <v>2272</v>
      </c>
      <c r="F2316" s="4" t="s">
        <v>2272</v>
      </c>
      <c r="G2316" s="4" t="s">
        <v>73</v>
      </c>
      <c r="H2316" s="4" t="s">
        <v>521</v>
      </c>
      <c r="I2316" s="4"/>
      <c r="J2316" s="71">
        <f>177365/19/('Record info'!$K990*(2030493/100/'Record info'!K990))</f>
        <v>0.45974056546858322</v>
      </c>
      <c r="K2316" s="71">
        <f>177365/19/SUM('Record info'!$K990)</f>
        <v>0.32069119516300798</v>
      </c>
      <c r="L2316" s="4" t="s">
        <v>2272</v>
      </c>
      <c r="M2316" s="4" t="s">
        <v>2272</v>
      </c>
      <c r="N2316" s="4" t="s">
        <v>2272</v>
      </c>
      <c r="O2316" s="4" t="s">
        <v>2272</v>
      </c>
      <c r="P2316" s="4" t="s">
        <v>2272</v>
      </c>
      <c r="Q2316" s="71">
        <f>797595/177365</f>
        <v>4.4969131452090325</v>
      </c>
      <c r="R2316" s="4" t="s">
        <v>2272</v>
      </c>
      <c r="S2316" s="4" t="s">
        <v>2272</v>
      </c>
      <c r="T2316" s="4" t="s">
        <v>2272</v>
      </c>
      <c r="U2316" s="71">
        <f>797595/19</f>
        <v>41978.684210526313</v>
      </c>
      <c r="V2316" s="4" t="s">
        <v>2272</v>
      </c>
      <c r="W2316" s="71">
        <f>16129/41154*100/19</f>
        <v>2.0627271634400186</v>
      </c>
      <c r="X2316" s="4" t="s">
        <v>2272</v>
      </c>
      <c r="Y2316" s="71">
        <f>797595/'Record info'!K990/19</f>
        <v>1.4421204510813259</v>
      </c>
      <c r="Z2316" s="4" t="s">
        <v>2272</v>
      </c>
      <c r="AA2316" s="4" t="s">
        <v>2272</v>
      </c>
      <c r="AB2316" s="4" t="s">
        <v>2272</v>
      </c>
      <c r="AC2316" s="4" t="s">
        <v>2272</v>
      </c>
      <c r="AD2316" s="4"/>
      <c r="AE2316" s="4"/>
    </row>
    <row r="2317" spans="1:31" s="199" customFormat="1" ht="65.5" customHeight="1">
      <c r="A2317" s="4" t="s">
        <v>6177</v>
      </c>
      <c r="B2317" s="4" t="s">
        <v>6894</v>
      </c>
      <c r="C2317" s="198" t="s">
        <v>23</v>
      </c>
      <c r="D2317" s="4" t="s">
        <v>2272</v>
      </c>
      <c r="E2317" s="4" t="s">
        <v>2272</v>
      </c>
      <c r="F2317" s="4" t="s">
        <v>2272</v>
      </c>
      <c r="G2317" s="4" t="s">
        <v>73</v>
      </c>
      <c r="H2317" s="4" t="s">
        <v>521</v>
      </c>
      <c r="I2317" s="4"/>
      <c r="J2317" s="71">
        <f>J$2316*0.82</f>
        <v>0.37698726368423824</v>
      </c>
      <c r="K2317" s="71">
        <f>K$2316*0.82</f>
        <v>0.26296678003366653</v>
      </c>
      <c r="L2317" s="4" t="s">
        <v>2272</v>
      </c>
      <c r="M2317" s="4" t="s">
        <v>2272</v>
      </c>
      <c r="N2317" s="4" t="s">
        <v>2272</v>
      </c>
      <c r="O2317" s="4" t="s">
        <v>2272</v>
      </c>
      <c r="P2317" s="4" t="s">
        <v>2272</v>
      </c>
      <c r="Q2317" s="4" t="s">
        <v>2272</v>
      </c>
      <c r="R2317" s="4" t="s">
        <v>2272</v>
      </c>
      <c r="S2317" s="4" t="s">
        <v>2272</v>
      </c>
      <c r="T2317" s="4" t="s">
        <v>2272</v>
      </c>
      <c r="U2317" s="4" t="s">
        <v>2272</v>
      </c>
      <c r="V2317" s="4" t="s">
        <v>2272</v>
      </c>
      <c r="W2317" s="4" t="s">
        <v>2272</v>
      </c>
      <c r="X2317" s="4" t="s">
        <v>2272</v>
      </c>
      <c r="Y2317" s="4" t="s">
        <v>2272</v>
      </c>
      <c r="Z2317" s="4" t="s">
        <v>2272</v>
      </c>
      <c r="AA2317" s="4" t="s">
        <v>2272</v>
      </c>
      <c r="AB2317" s="4" t="s">
        <v>2272</v>
      </c>
      <c r="AC2317" s="4" t="s">
        <v>2272</v>
      </c>
      <c r="AD2317" s="4"/>
      <c r="AE2317" s="4"/>
    </row>
    <row r="2318" spans="1:31" s="199" customFormat="1" ht="65.5" customHeight="1">
      <c r="A2318" s="4" t="s">
        <v>6177</v>
      </c>
      <c r="B2318" s="4" t="s">
        <v>6895</v>
      </c>
      <c r="C2318" s="198" t="s">
        <v>30</v>
      </c>
      <c r="D2318" s="4" t="s">
        <v>2272</v>
      </c>
      <c r="E2318" s="4" t="s">
        <v>2272</v>
      </c>
      <c r="F2318" s="4" t="s">
        <v>2272</v>
      </c>
      <c r="G2318" s="4" t="s">
        <v>73</v>
      </c>
      <c r="H2318" s="4" t="s">
        <v>521</v>
      </c>
      <c r="I2318" s="4"/>
      <c r="J2318" s="71">
        <f>J$2316*0.05</f>
        <v>2.2987028273429161E-2</v>
      </c>
      <c r="K2318" s="71">
        <f>K$2316*0.05</f>
        <v>1.60345597581504E-2</v>
      </c>
      <c r="L2318" s="4" t="s">
        <v>2272</v>
      </c>
      <c r="M2318" s="4" t="s">
        <v>2272</v>
      </c>
      <c r="N2318" s="4" t="s">
        <v>2272</v>
      </c>
      <c r="O2318" s="4" t="s">
        <v>2272</v>
      </c>
      <c r="P2318" s="4" t="s">
        <v>2272</v>
      </c>
      <c r="Q2318" s="4" t="s">
        <v>2272</v>
      </c>
      <c r="R2318" s="4" t="s">
        <v>2272</v>
      </c>
      <c r="S2318" s="4" t="s">
        <v>2272</v>
      </c>
      <c r="T2318" s="4" t="s">
        <v>2272</v>
      </c>
      <c r="U2318" s="4" t="s">
        <v>2272</v>
      </c>
      <c r="V2318" s="4" t="s">
        <v>2272</v>
      </c>
      <c r="W2318" s="4" t="s">
        <v>2272</v>
      </c>
      <c r="X2318" s="4" t="s">
        <v>2272</v>
      </c>
      <c r="Y2318" s="4" t="s">
        <v>2272</v>
      </c>
      <c r="Z2318" s="4" t="s">
        <v>2272</v>
      </c>
      <c r="AA2318" s="4" t="s">
        <v>2272</v>
      </c>
      <c r="AB2318" s="4" t="s">
        <v>2272</v>
      </c>
      <c r="AC2318" s="4" t="s">
        <v>2272</v>
      </c>
      <c r="AD2318" s="4"/>
      <c r="AE2318" s="4"/>
    </row>
    <row r="2319" spans="1:31" s="199" customFormat="1" ht="65.5" customHeight="1">
      <c r="A2319" s="4" t="s">
        <v>6177</v>
      </c>
      <c r="B2319" s="4" t="s">
        <v>6896</v>
      </c>
      <c r="C2319" s="198" t="s">
        <v>2653</v>
      </c>
      <c r="D2319" s="4" t="s">
        <v>2272</v>
      </c>
      <c r="E2319" s="4" t="s">
        <v>2272</v>
      </c>
      <c r="F2319" s="4" t="s">
        <v>2272</v>
      </c>
      <c r="G2319" s="4" t="s">
        <v>73</v>
      </c>
      <c r="H2319" s="4" t="s">
        <v>521</v>
      </c>
      <c r="I2319" s="4"/>
      <c r="J2319" s="71">
        <f>J$2316*0.09</f>
        <v>4.137665089217249E-2</v>
      </c>
      <c r="K2319" s="71">
        <f>K$2316*0.09</f>
        <v>2.8862207564670717E-2</v>
      </c>
      <c r="L2319" s="4" t="s">
        <v>2272</v>
      </c>
      <c r="M2319" s="4" t="s">
        <v>2272</v>
      </c>
      <c r="N2319" s="4" t="s">
        <v>2272</v>
      </c>
      <c r="O2319" s="4" t="s">
        <v>2272</v>
      </c>
      <c r="P2319" s="4" t="s">
        <v>2272</v>
      </c>
      <c r="Q2319" s="4" t="s">
        <v>2272</v>
      </c>
      <c r="R2319" s="4" t="s">
        <v>2272</v>
      </c>
      <c r="S2319" s="4" t="s">
        <v>2272</v>
      </c>
      <c r="T2319" s="4" t="s">
        <v>2272</v>
      </c>
      <c r="U2319" s="4" t="s">
        <v>2272</v>
      </c>
      <c r="V2319" s="4" t="s">
        <v>2272</v>
      </c>
      <c r="W2319" s="4" t="s">
        <v>2272</v>
      </c>
      <c r="X2319" s="4" t="s">
        <v>2272</v>
      </c>
      <c r="Y2319" s="4" t="s">
        <v>2272</v>
      </c>
      <c r="Z2319" s="4" t="s">
        <v>2272</v>
      </c>
      <c r="AA2319" s="4" t="s">
        <v>2272</v>
      </c>
      <c r="AB2319" s="4" t="s">
        <v>2272</v>
      </c>
      <c r="AC2319" s="4" t="s">
        <v>2272</v>
      </c>
      <c r="AD2319" s="4"/>
      <c r="AE2319" s="4"/>
    </row>
    <row r="2320" spans="1:31" s="199" customFormat="1" ht="65.5" customHeight="1">
      <c r="A2320" s="4" t="s">
        <v>6177</v>
      </c>
      <c r="B2320" s="4" t="s">
        <v>6897</v>
      </c>
      <c r="C2320" s="198" t="s">
        <v>2651</v>
      </c>
      <c r="D2320" s="4" t="s">
        <v>2272</v>
      </c>
      <c r="E2320" s="4" t="s">
        <v>2272</v>
      </c>
      <c r="F2320" s="4" t="s">
        <v>2272</v>
      </c>
      <c r="G2320" s="4" t="s">
        <v>73</v>
      </c>
      <c r="H2320" s="4" t="s">
        <v>521</v>
      </c>
      <c r="I2320" s="4"/>
      <c r="J2320" s="71">
        <f>J$2316-SUM(J2317:J2319)</f>
        <v>1.8389622618743329E-2</v>
      </c>
      <c r="K2320" s="71">
        <f>K$2316-SUM(K2317:K2319)</f>
        <v>1.2827647806520348E-2</v>
      </c>
      <c r="L2320" s="4" t="s">
        <v>2272</v>
      </c>
      <c r="M2320" s="4" t="s">
        <v>2272</v>
      </c>
      <c r="N2320" s="4" t="s">
        <v>2272</v>
      </c>
      <c r="O2320" s="4" t="s">
        <v>2272</v>
      </c>
      <c r="P2320" s="4" t="s">
        <v>2272</v>
      </c>
      <c r="Q2320" s="4" t="s">
        <v>2272</v>
      </c>
      <c r="R2320" s="4" t="s">
        <v>2272</v>
      </c>
      <c r="S2320" s="4" t="s">
        <v>2272</v>
      </c>
      <c r="T2320" s="4" t="s">
        <v>2272</v>
      </c>
      <c r="U2320" s="4" t="s">
        <v>2272</v>
      </c>
      <c r="V2320" s="4" t="s">
        <v>2272</v>
      </c>
      <c r="W2320" s="4" t="s">
        <v>2272</v>
      </c>
      <c r="X2320" s="4" t="s">
        <v>2272</v>
      </c>
      <c r="Y2320" s="4" t="s">
        <v>2272</v>
      </c>
      <c r="Z2320" s="4" t="s">
        <v>2272</v>
      </c>
      <c r="AA2320" s="4" t="s">
        <v>2272</v>
      </c>
      <c r="AB2320" s="4" t="s">
        <v>2272</v>
      </c>
      <c r="AC2320" s="4" t="s">
        <v>2272</v>
      </c>
      <c r="AD2320" s="4"/>
      <c r="AE2320" s="4"/>
    </row>
    <row r="2321" spans="1:31" s="199" customFormat="1" ht="65.5" customHeight="1">
      <c r="A2321" s="4" t="s">
        <v>6177</v>
      </c>
      <c r="B2321" s="4" t="s">
        <v>6898</v>
      </c>
      <c r="C2321" s="198" t="s">
        <v>2453</v>
      </c>
      <c r="D2321" s="4" t="s">
        <v>24</v>
      </c>
      <c r="E2321" s="4" t="s">
        <v>3850</v>
      </c>
      <c r="F2321" s="4" t="s">
        <v>28</v>
      </c>
      <c r="G2321" s="4" t="s">
        <v>73</v>
      </c>
      <c r="H2321" s="4" t="s">
        <v>521</v>
      </c>
      <c r="I2321" s="4"/>
      <c r="J2321" s="4" t="s">
        <v>2272</v>
      </c>
      <c r="K2321" s="4" t="s">
        <v>2272</v>
      </c>
      <c r="L2321" s="4" t="s">
        <v>2272</v>
      </c>
      <c r="M2321" s="4" t="s">
        <v>2272</v>
      </c>
      <c r="N2321" s="4" t="s">
        <v>2272</v>
      </c>
      <c r="O2321" s="4" t="s">
        <v>2272</v>
      </c>
      <c r="P2321" s="4" t="s">
        <v>2272</v>
      </c>
      <c r="Q2321" s="4" t="s">
        <v>2272</v>
      </c>
      <c r="R2321" s="4" t="s">
        <v>2272</v>
      </c>
      <c r="S2321" s="4" t="s">
        <v>2272</v>
      </c>
      <c r="T2321" s="4" t="s">
        <v>2272</v>
      </c>
      <c r="U2321" s="4" t="s">
        <v>2272</v>
      </c>
      <c r="V2321" s="4" t="s">
        <v>2272</v>
      </c>
      <c r="W2321" s="4" t="s">
        <v>2272</v>
      </c>
      <c r="X2321" s="4" t="s">
        <v>2272</v>
      </c>
      <c r="Y2321" s="4" t="s">
        <v>2272</v>
      </c>
      <c r="Z2321" s="4" t="s">
        <v>2272</v>
      </c>
      <c r="AA2321" s="4" t="s">
        <v>2272</v>
      </c>
      <c r="AB2321" s="4" t="s">
        <v>2272</v>
      </c>
      <c r="AC2321" s="4" t="s">
        <v>2272</v>
      </c>
      <c r="AD2321" s="4"/>
      <c r="AE2321" s="4"/>
    </row>
    <row r="2322" spans="1:31" s="199" customFormat="1" ht="65.5" customHeight="1">
      <c r="A2322" s="4" t="s">
        <v>6177</v>
      </c>
      <c r="B2322" s="4" t="s">
        <v>6899</v>
      </c>
      <c r="C2322" s="198" t="s">
        <v>23</v>
      </c>
      <c r="D2322" s="4" t="s">
        <v>2799</v>
      </c>
      <c r="E2322" s="4" t="s">
        <v>3850</v>
      </c>
      <c r="F2322" s="4" t="s">
        <v>2657</v>
      </c>
      <c r="G2322" s="4" t="s">
        <v>2657</v>
      </c>
      <c r="H2322" s="4" t="s">
        <v>521</v>
      </c>
      <c r="I2322" s="4"/>
      <c r="J2322" s="4" t="s">
        <v>2272</v>
      </c>
      <c r="K2322" s="4" t="s">
        <v>2272</v>
      </c>
      <c r="L2322" s="4" t="s">
        <v>2272</v>
      </c>
      <c r="M2322" s="4" t="s">
        <v>2272</v>
      </c>
      <c r="N2322" s="4" t="s">
        <v>2272</v>
      </c>
      <c r="O2322" s="4" t="s">
        <v>2272</v>
      </c>
      <c r="P2322" s="4" t="s">
        <v>2272</v>
      </c>
      <c r="Q2322" s="4" t="s">
        <v>2272</v>
      </c>
      <c r="R2322" s="4" t="s">
        <v>2272</v>
      </c>
      <c r="S2322" s="4" t="s">
        <v>2272</v>
      </c>
      <c r="T2322" s="4" t="s">
        <v>2272</v>
      </c>
      <c r="U2322" s="4" t="s">
        <v>2272</v>
      </c>
      <c r="V2322" s="4" t="s">
        <v>2272</v>
      </c>
      <c r="W2322" s="4" t="s">
        <v>2272</v>
      </c>
      <c r="X2322" s="4" t="s">
        <v>2272</v>
      </c>
      <c r="Y2322" s="4" t="s">
        <v>2272</v>
      </c>
      <c r="Z2322" s="4" t="s">
        <v>2272</v>
      </c>
      <c r="AA2322" s="4" t="s">
        <v>2272</v>
      </c>
      <c r="AB2322" s="4" t="s">
        <v>2272</v>
      </c>
      <c r="AC2322" s="4" t="s">
        <v>2272</v>
      </c>
      <c r="AD2322" s="4"/>
      <c r="AE2322" s="4"/>
    </row>
    <row r="2323" spans="1:31" s="199" customFormat="1" ht="65.5" customHeight="1">
      <c r="A2323" s="4" t="s">
        <v>6177</v>
      </c>
      <c r="B2323" s="4" t="s">
        <v>6900</v>
      </c>
      <c r="C2323" s="198" t="s">
        <v>2453</v>
      </c>
      <c r="D2323" s="4" t="s">
        <v>2227</v>
      </c>
      <c r="E2323" s="4" t="s">
        <v>2644</v>
      </c>
      <c r="F2323" s="4" t="s">
        <v>2657</v>
      </c>
      <c r="G2323" s="4" t="s">
        <v>73</v>
      </c>
      <c r="H2323" s="4" t="s">
        <v>521</v>
      </c>
      <c r="I2323" s="4"/>
      <c r="J2323" s="4" t="s">
        <v>2272</v>
      </c>
      <c r="K2323" s="4" t="s">
        <v>2272</v>
      </c>
      <c r="L2323" s="4" t="s">
        <v>2272</v>
      </c>
      <c r="M2323" s="4" t="s">
        <v>2272</v>
      </c>
      <c r="N2323" s="4" t="s">
        <v>2272</v>
      </c>
      <c r="O2323" s="4" t="s">
        <v>2272</v>
      </c>
      <c r="P2323" s="4" t="s">
        <v>2272</v>
      </c>
      <c r="Q2323" s="4" t="s">
        <v>2272</v>
      </c>
      <c r="R2323" s="4" t="s">
        <v>2272</v>
      </c>
      <c r="S2323" s="4" t="s">
        <v>2272</v>
      </c>
      <c r="T2323" s="4" t="s">
        <v>2272</v>
      </c>
      <c r="U2323" s="4" t="s">
        <v>2272</v>
      </c>
      <c r="V2323" s="4" t="s">
        <v>2272</v>
      </c>
      <c r="W2323" s="4" t="s">
        <v>2272</v>
      </c>
      <c r="X2323" s="4" t="s">
        <v>2272</v>
      </c>
      <c r="Y2323" s="4" t="s">
        <v>2272</v>
      </c>
      <c r="Z2323" s="4" t="s">
        <v>2272</v>
      </c>
      <c r="AA2323" s="4" t="s">
        <v>2272</v>
      </c>
      <c r="AB2323" s="4" t="s">
        <v>2272</v>
      </c>
      <c r="AC2323" s="4" t="s">
        <v>2272</v>
      </c>
      <c r="AD2323" s="4" t="s">
        <v>6905</v>
      </c>
      <c r="AE2323" s="4"/>
    </row>
    <row r="2324" spans="1:31" s="199" customFormat="1" ht="65.5" customHeight="1">
      <c r="A2324" s="4" t="s">
        <v>6177</v>
      </c>
      <c r="B2324" s="4" t="s">
        <v>6901</v>
      </c>
      <c r="C2324" s="198" t="s">
        <v>23</v>
      </c>
      <c r="D2324" s="4" t="s">
        <v>2227</v>
      </c>
      <c r="E2324" s="4" t="s">
        <v>2644</v>
      </c>
      <c r="F2324" s="4" t="s">
        <v>2657</v>
      </c>
      <c r="G2324" s="4" t="s">
        <v>2657</v>
      </c>
      <c r="H2324" s="4" t="s">
        <v>521</v>
      </c>
      <c r="I2324" s="4"/>
      <c r="J2324" s="4" t="s">
        <v>2272</v>
      </c>
      <c r="K2324" s="4" t="s">
        <v>2272</v>
      </c>
      <c r="L2324" s="4" t="s">
        <v>2272</v>
      </c>
      <c r="M2324" s="4" t="s">
        <v>2272</v>
      </c>
      <c r="N2324" s="4" t="s">
        <v>2272</v>
      </c>
      <c r="O2324" s="4" t="s">
        <v>2272</v>
      </c>
      <c r="P2324" s="4" t="s">
        <v>2272</v>
      </c>
      <c r="Q2324" s="4" t="s">
        <v>2272</v>
      </c>
      <c r="R2324" s="4" t="s">
        <v>2272</v>
      </c>
      <c r="S2324" s="4" t="s">
        <v>2272</v>
      </c>
      <c r="T2324" s="4" t="s">
        <v>2272</v>
      </c>
      <c r="U2324" s="4" t="s">
        <v>2272</v>
      </c>
      <c r="V2324" s="4" t="s">
        <v>2272</v>
      </c>
      <c r="W2324" s="4" t="s">
        <v>2272</v>
      </c>
      <c r="X2324" s="4" t="s">
        <v>2272</v>
      </c>
      <c r="Y2324" s="4" t="s">
        <v>2272</v>
      </c>
      <c r="Z2324" s="4" t="s">
        <v>2272</v>
      </c>
      <c r="AA2324" s="4" t="s">
        <v>2272</v>
      </c>
      <c r="AB2324" s="4" t="s">
        <v>2272</v>
      </c>
      <c r="AC2324" s="4" t="s">
        <v>2272</v>
      </c>
      <c r="AD2324" s="4" t="s">
        <v>6905</v>
      </c>
      <c r="AE2324" s="4"/>
    </row>
    <row r="2325" spans="1:31" s="199" customFormat="1" ht="65.5" customHeight="1">
      <c r="A2325" s="4" t="s">
        <v>6177</v>
      </c>
      <c r="B2325" s="4" t="s">
        <v>6902</v>
      </c>
      <c r="C2325" s="198" t="s">
        <v>2453</v>
      </c>
      <c r="D2325" s="4" t="s">
        <v>2654</v>
      </c>
      <c r="E2325" s="4" t="s">
        <v>3850</v>
      </c>
      <c r="F2325" s="4" t="s">
        <v>27</v>
      </c>
      <c r="G2325" s="4" t="s">
        <v>73</v>
      </c>
      <c r="H2325" s="4" t="s">
        <v>521</v>
      </c>
      <c r="I2325" s="4"/>
      <c r="J2325" s="4" t="s">
        <v>2272</v>
      </c>
      <c r="K2325" s="4" t="s">
        <v>2272</v>
      </c>
      <c r="L2325" s="4" t="s">
        <v>2272</v>
      </c>
      <c r="M2325" s="4" t="s">
        <v>2272</v>
      </c>
      <c r="N2325" s="4" t="s">
        <v>2272</v>
      </c>
      <c r="O2325" s="4" t="s">
        <v>2272</v>
      </c>
      <c r="P2325" s="4" t="s">
        <v>2272</v>
      </c>
      <c r="Q2325" s="4" t="s">
        <v>2272</v>
      </c>
      <c r="R2325" s="4" t="s">
        <v>2272</v>
      </c>
      <c r="S2325" s="4" t="s">
        <v>2272</v>
      </c>
      <c r="T2325" s="4" t="s">
        <v>2272</v>
      </c>
      <c r="U2325" s="4" t="s">
        <v>2272</v>
      </c>
      <c r="V2325" s="4" t="s">
        <v>2272</v>
      </c>
      <c r="W2325" s="4" t="s">
        <v>2272</v>
      </c>
      <c r="X2325" s="4" t="s">
        <v>2272</v>
      </c>
      <c r="Y2325" s="4" t="s">
        <v>2272</v>
      </c>
      <c r="Z2325" s="4" t="s">
        <v>2272</v>
      </c>
      <c r="AA2325" s="4" t="s">
        <v>2272</v>
      </c>
      <c r="AB2325" s="4" t="s">
        <v>2272</v>
      </c>
      <c r="AC2325" s="4" t="s">
        <v>2272</v>
      </c>
      <c r="AE2325" s="4"/>
    </row>
    <row r="2326" spans="1:31" s="199" customFormat="1" ht="65.5" customHeight="1">
      <c r="A2326" s="4" t="s">
        <v>6177</v>
      </c>
      <c r="B2326" s="4" t="s">
        <v>6903</v>
      </c>
      <c r="C2326" s="198" t="s">
        <v>23</v>
      </c>
      <c r="D2326" s="4" t="s">
        <v>2227</v>
      </c>
      <c r="E2326" s="4" t="s">
        <v>3850</v>
      </c>
      <c r="F2326" s="4" t="s">
        <v>2657</v>
      </c>
      <c r="G2326" s="4" t="s">
        <v>2657</v>
      </c>
      <c r="H2326" s="4" t="s">
        <v>521</v>
      </c>
      <c r="I2326" s="4"/>
      <c r="J2326" s="4" t="s">
        <v>2272</v>
      </c>
      <c r="K2326" s="4" t="s">
        <v>2272</v>
      </c>
      <c r="L2326" s="4" t="s">
        <v>2272</v>
      </c>
      <c r="M2326" s="4" t="s">
        <v>2272</v>
      </c>
      <c r="N2326" s="4" t="s">
        <v>2272</v>
      </c>
      <c r="O2326" s="4" t="s">
        <v>2272</v>
      </c>
      <c r="P2326" s="4" t="s">
        <v>2272</v>
      </c>
      <c r="Q2326" s="4" t="s">
        <v>2272</v>
      </c>
      <c r="R2326" s="4" t="s">
        <v>2272</v>
      </c>
      <c r="S2326" s="4" t="s">
        <v>2272</v>
      </c>
      <c r="T2326" s="4" t="s">
        <v>2272</v>
      </c>
      <c r="U2326" s="4" t="s">
        <v>2272</v>
      </c>
      <c r="V2326" s="4" t="s">
        <v>2272</v>
      </c>
      <c r="W2326" s="4" t="s">
        <v>2272</v>
      </c>
      <c r="X2326" s="4" t="s">
        <v>2272</v>
      </c>
      <c r="Y2326" s="4" t="s">
        <v>2272</v>
      </c>
      <c r="Z2326" s="4" t="s">
        <v>2272</v>
      </c>
      <c r="AA2326" s="4" t="s">
        <v>2272</v>
      </c>
      <c r="AB2326" s="4" t="s">
        <v>2272</v>
      </c>
      <c r="AC2326" s="4" t="s">
        <v>2272</v>
      </c>
      <c r="AD2326" s="4"/>
      <c r="AE2326" s="4"/>
    </row>
    <row r="2327" spans="1:31" s="199" customFormat="1" ht="65.5" customHeight="1">
      <c r="A2327" s="4" t="s">
        <v>6177</v>
      </c>
      <c r="B2327" s="4" t="s">
        <v>6916</v>
      </c>
      <c r="C2327" s="198" t="s">
        <v>23</v>
      </c>
      <c r="D2327" s="4" t="s">
        <v>2342</v>
      </c>
      <c r="E2327" s="4" t="s">
        <v>3850</v>
      </c>
      <c r="F2327" s="4" t="s">
        <v>2658</v>
      </c>
      <c r="G2327" s="4" t="s">
        <v>2658</v>
      </c>
      <c r="H2327" s="4" t="s">
        <v>521</v>
      </c>
      <c r="I2327" s="4"/>
      <c r="J2327" s="4" t="s">
        <v>2272</v>
      </c>
      <c r="K2327" s="4" t="s">
        <v>2272</v>
      </c>
      <c r="L2327" s="4" t="s">
        <v>2272</v>
      </c>
      <c r="M2327" s="4" t="s">
        <v>2272</v>
      </c>
      <c r="N2327" s="4" t="s">
        <v>2272</v>
      </c>
      <c r="O2327" s="4" t="s">
        <v>2272</v>
      </c>
      <c r="P2327" s="4" t="s">
        <v>2272</v>
      </c>
      <c r="Q2327" s="4" t="s">
        <v>2272</v>
      </c>
      <c r="R2327" s="4" t="s">
        <v>2272</v>
      </c>
      <c r="S2327" s="4" t="s">
        <v>2272</v>
      </c>
      <c r="T2327" s="4" t="s">
        <v>2272</v>
      </c>
      <c r="U2327" s="4" t="s">
        <v>2272</v>
      </c>
      <c r="V2327" s="4" t="s">
        <v>2272</v>
      </c>
      <c r="W2327" s="4" t="s">
        <v>2272</v>
      </c>
      <c r="X2327" s="4" t="s">
        <v>2272</v>
      </c>
      <c r="Y2327" s="4" t="s">
        <v>2272</v>
      </c>
      <c r="Z2327" s="4" t="s">
        <v>2272</v>
      </c>
      <c r="AA2327" s="4" t="s">
        <v>2272</v>
      </c>
      <c r="AB2327" s="4" t="s">
        <v>2272</v>
      </c>
      <c r="AC2327" s="4" t="s">
        <v>2272</v>
      </c>
      <c r="AD2327" s="4" t="s">
        <v>6904</v>
      </c>
      <c r="AE2327" s="4"/>
    </row>
    <row r="2328" spans="1:31" s="199" customFormat="1" ht="65.5" customHeight="1">
      <c r="A2328" s="4" t="s">
        <v>6177</v>
      </c>
      <c r="B2328" s="4" t="s">
        <v>6917</v>
      </c>
      <c r="C2328" s="198" t="s">
        <v>23</v>
      </c>
      <c r="D2328" s="4" t="s">
        <v>1241</v>
      </c>
      <c r="E2328" s="4" t="s">
        <v>3850</v>
      </c>
      <c r="F2328" s="4" t="s">
        <v>73</v>
      </c>
      <c r="G2328" s="4" t="s">
        <v>73</v>
      </c>
      <c r="H2328" s="4" t="s">
        <v>521</v>
      </c>
      <c r="I2328" s="4"/>
      <c r="J2328" s="4" t="s">
        <v>2272</v>
      </c>
      <c r="K2328" s="4" t="s">
        <v>2272</v>
      </c>
      <c r="L2328" s="4" t="s">
        <v>2272</v>
      </c>
      <c r="M2328" s="4" t="s">
        <v>2272</v>
      </c>
      <c r="N2328" s="4" t="s">
        <v>2272</v>
      </c>
      <c r="O2328" s="4" t="s">
        <v>2272</v>
      </c>
      <c r="P2328" s="4" t="s">
        <v>2272</v>
      </c>
      <c r="Q2328" s="4" t="s">
        <v>2272</v>
      </c>
      <c r="R2328" s="4" t="s">
        <v>2272</v>
      </c>
      <c r="S2328" s="4" t="s">
        <v>2272</v>
      </c>
      <c r="T2328" s="4" t="s">
        <v>2272</v>
      </c>
      <c r="U2328" s="4" t="s">
        <v>2272</v>
      </c>
      <c r="V2328" s="4" t="s">
        <v>2272</v>
      </c>
      <c r="W2328" s="4" t="s">
        <v>2272</v>
      </c>
      <c r="X2328" s="4" t="s">
        <v>2272</v>
      </c>
      <c r="Y2328" s="4" t="s">
        <v>2272</v>
      </c>
      <c r="Z2328" s="4" t="s">
        <v>2272</v>
      </c>
      <c r="AA2328" s="4" t="s">
        <v>2272</v>
      </c>
      <c r="AB2328" s="4" t="s">
        <v>2272</v>
      </c>
      <c r="AC2328" s="4" t="s">
        <v>2272</v>
      </c>
      <c r="AD2328" s="4"/>
      <c r="AE2328" s="4"/>
    </row>
    <row r="2329" spans="1:31" s="199" customFormat="1" ht="50" customHeight="1">
      <c r="A2329" s="4" t="s">
        <v>6178</v>
      </c>
      <c r="B2329" s="4" t="s">
        <v>6240</v>
      </c>
      <c r="C2329" s="4" t="s">
        <v>1102</v>
      </c>
      <c r="D2329" s="4" t="s">
        <v>1102</v>
      </c>
      <c r="E2329" s="4" t="s">
        <v>1102</v>
      </c>
      <c r="F2329" s="4" t="s">
        <v>2272</v>
      </c>
      <c r="G2329" s="4" t="s">
        <v>73</v>
      </c>
      <c r="H2329" s="4" t="s">
        <v>521</v>
      </c>
      <c r="I2329" s="4"/>
      <c r="J2329" s="4" t="s">
        <v>2272</v>
      </c>
      <c r="K2329" s="71">
        <f>31348.8/19/'Record info'!$K$991</f>
        <v>0.49281267685342389</v>
      </c>
      <c r="L2329" s="4" t="s">
        <v>2272</v>
      </c>
      <c r="M2329" s="4" t="s">
        <v>2272</v>
      </c>
      <c r="N2329" s="4" t="s">
        <v>2272</v>
      </c>
      <c r="O2329" s="4" t="s">
        <v>2272</v>
      </c>
      <c r="P2329" s="4" t="s">
        <v>2272</v>
      </c>
      <c r="Q2329" s="71">
        <v>2.8730000000000002</v>
      </c>
      <c r="R2329" s="4" t="s">
        <v>2272</v>
      </c>
      <c r="S2329" s="4" t="s">
        <v>2272</v>
      </c>
      <c r="T2329" s="4" t="s">
        <v>2272</v>
      </c>
      <c r="U2329" s="71">
        <f>90072/19</f>
        <v>4740.6315789473683</v>
      </c>
      <c r="V2329" s="4" t="s">
        <v>2272</v>
      </c>
      <c r="W2329" s="71">
        <f>2502/3594*100/19</f>
        <v>3.6640014058518586</v>
      </c>
      <c r="X2329" s="4" t="s">
        <v>2272</v>
      </c>
      <c r="Y2329" s="4" t="s">
        <v>2272</v>
      </c>
      <c r="Z2329" s="4" t="s">
        <v>2272</v>
      </c>
      <c r="AA2329" s="4" t="s">
        <v>2272</v>
      </c>
      <c r="AB2329" s="4" t="s">
        <v>2272</v>
      </c>
      <c r="AC2329" s="4" t="s">
        <v>2272</v>
      </c>
      <c r="AD2329" s="4" t="s">
        <v>6907</v>
      </c>
      <c r="AE2329" s="4"/>
    </row>
    <row r="2330" spans="1:31" s="199" customFormat="1" ht="53" customHeight="1">
      <c r="A2330" s="4" t="s">
        <v>6178</v>
      </c>
      <c r="B2330" s="4" t="s">
        <v>6908</v>
      </c>
      <c r="C2330" s="198" t="s">
        <v>23</v>
      </c>
      <c r="D2330" s="4" t="s">
        <v>2272</v>
      </c>
      <c r="E2330" s="4" t="s">
        <v>2644</v>
      </c>
      <c r="F2330" s="4" t="s">
        <v>73</v>
      </c>
      <c r="G2330" s="4" t="s">
        <v>73</v>
      </c>
      <c r="H2330" s="4" t="s">
        <v>521</v>
      </c>
      <c r="I2330" s="4"/>
      <c r="J2330" s="4" t="s">
        <v>2272</v>
      </c>
      <c r="K2330" s="71">
        <f>K$2329*(0.741)-K2331-K2334</f>
        <v>0.24503188387096778</v>
      </c>
      <c r="L2330" s="4" t="s">
        <v>2272</v>
      </c>
      <c r="M2330" s="4" t="s">
        <v>2272</v>
      </c>
      <c r="N2330" s="4" t="s">
        <v>2272</v>
      </c>
      <c r="O2330" s="4" t="s">
        <v>2272</v>
      </c>
      <c r="P2330" s="4" t="s">
        <v>2272</v>
      </c>
      <c r="Q2330" s="4" t="s">
        <v>2272</v>
      </c>
      <c r="R2330" s="4" t="s">
        <v>2272</v>
      </c>
      <c r="S2330" s="4" t="s">
        <v>2272</v>
      </c>
      <c r="T2330" s="4" t="s">
        <v>2272</v>
      </c>
      <c r="U2330" s="4" t="s">
        <v>2272</v>
      </c>
      <c r="V2330" s="4" t="s">
        <v>2272</v>
      </c>
      <c r="W2330" s="4" t="s">
        <v>2272</v>
      </c>
      <c r="X2330" s="4" t="s">
        <v>2272</v>
      </c>
      <c r="Y2330" s="4" t="s">
        <v>2272</v>
      </c>
      <c r="Z2330" s="4" t="s">
        <v>2272</v>
      </c>
      <c r="AA2330" s="4" t="s">
        <v>2272</v>
      </c>
      <c r="AB2330" s="4" t="s">
        <v>2272</v>
      </c>
      <c r="AC2330" s="4" t="s">
        <v>2272</v>
      </c>
      <c r="AD2330" s="4"/>
      <c r="AE2330" s="4"/>
    </row>
    <row r="2331" spans="1:31" s="199" customFormat="1" ht="51.5" customHeight="1">
      <c r="A2331" s="4" t="s">
        <v>6178</v>
      </c>
      <c r="B2331" s="4" t="s">
        <v>6909</v>
      </c>
      <c r="C2331" s="198" t="s">
        <v>23</v>
      </c>
      <c r="D2331" s="4" t="s">
        <v>2272</v>
      </c>
      <c r="E2331" s="4" t="s">
        <v>3850</v>
      </c>
      <c r="F2331" s="4" t="s">
        <v>73</v>
      </c>
      <c r="G2331" s="4" t="s">
        <v>73</v>
      </c>
      <c r="H2331" s="4" t="s">
        <v>521</v>
      </c>
      <c r="I2331" s="4"/>
      <c r="J2331" s="4" t="s">
        <v>2272</v>
      </c>
      <c r="K2331" s="71">
        <f>K$2329*0.741*0.15</f>
        <v>5.4776129032258064E-2</v>
      </c>
      <c r="L2331" s="4" t="s">
        <v>2272</v>
      </c>
      <c r="M2331" s="4" t="s">
        <v>2272</v>
      </c>
      <c r="N2331" s="4" t="s">
        <v>2272</v>
      </c>
      <c r="O2331" s="4" t="s">
        <v>2272</v>
      </c>
      <c r="P2331" s="4" t="s">
        <v>2272</v>
      </c>
      <c r="Q2331" s="4" t="s">
        <v>2272</v>
      </c>
      <c r="R2331" s="4" t="s">
        <v>2272</v>
      </c>
      <c r="S2331" s="4" t="s">
        <v>2272</v>
      </c>
      <c r="T2331" s="4" t="s">
        <v>2272</v>
      </c>
      <c r="U2331" s="4" t="s">
        <v>2272</v>
      </c>
      <c r="V2331" s="4" t="s">
        <v>2272</v>
      </c>
      <c r="W2331" s="4" t="s">
        <v>2272</v>
      </c>
      <c r="X2331" s="4" t="s">
        <v>2272</v>
      </c>
      <c r="Y2331" s="4" t="s">
        <v>2272</v>
      </c>
      <c r="Z2331" s="4" t="s">
        <v>2272</v>
      </c>
      <c r="AA2331" s="4" t="s">
        <v>2272</v>
      </c>
      <c r="AB2331" s="4" t="s">
        <v>2272</v>
      </c>
      <c r="AC2331" s="4" t="s">
        <v>2272</v>
      </c>
      <c r="AD2331" s="4"/>
      <c r="AE2331" s="4"/>
    </row>
    <row r="2332" spans="1:31" s="199" customFormat="1" ht="48" customHeight="1">
      <c r="A2332" s="4" t="s">
        <v>6178</v>
      </c>
      <c r="B2332" s="4" t="s">
        <v>6910</v>
      </c>
      <c r="C2332" s="198" t="s">
        <v>2453</v>
      </c>
      <c r="D2332" s="4" t="s">
        <v>2272</v>
      </c>
      <c r="E2332" s="4" t="s">
        <v>3850</v>
      </c>
      <c r="F2332" s="4" t="s">
        <v>2272</v>
      </c>
      <c r="G2332" s="4" t="s">
        <v>73</v>
      </c>
      <c r="H2332" s="4" t="s">
        <v>521</v>
      </c>
      <c r="I2332" s="4"/>
      <c r="J2332" s="4" t="s">
        <v>2272</v>
      </c>
      <c r="K2332" s="71">
        <f>K$2329*0.023/2</f>
        <v>5.6673457838143744E-3</v>
      </c>
      <c r="L2332" s="4" t="s">
        <v>2272</v>
      </c>
      <c r="M2332" s="4" t="s">
        <v>2272</v>
      </c>
      <c r="N2332" s="4" t="s">
        <v>2272</v>
      </c>
      <c r="O2332" s="4" t="s">
        <v>2272</v>
      </c>
      <c r="P2332" s="4" t="s">
        <v>2272</v>
      </c>
      <c r="Q2332" s="4" t="s">
        <v>2272</v>
      </c>
      <c r="R2332" s="4" t="s">
        <v>2272</v>
      </c>
      <c r="S2332" s="4" t="s">
        <v>2272</v>
      </c>
      <c r="T2332" s="4" t="s">
        <v>2272</v>
      </c>
      <c r="U2332" s="4" t="s">
        <v>2272</v>
      </c>
      <c r="V2332" s="4" t="s">
        <v>2272</v>
      </c>
      <c r="W2332" s="4" t="s">
        <v>2272</v>
      </c>
      <c r="X2332" s="4" t="s">
        <v>2272</v>
      </c>
      <c r="Y2332" s="4" t="s">
        <v>2272</v>
      </c>
      <c r="Z2332" s="4" t="s">
        <v>2272</v>
      </c>
      <c r="AA2332" s="4" t="s">
        <v>2272</v>
      </c>
      <c r="AB2332" s="4" t="s">
        <v>2272</v>
      </c>
      <c r="AC2332" s="4" t="s">
        <v>2272</v>
      </c>
      <c r="AD2332" s="4"/>
      <c r="AE2332" s="4"/>
    </row>
    <row r="2333" spans="1:31" s="199" customFormat="1" ht="46.5" customHeight="1">
      <c r="A2333" s="4" t="s">
        <v>6178</v>
      </c>
      <c r="B2333" s="4" t="s">
        <v>6911</v>
      </c>
      <c r="C2333" s="198" t="s">
        <v>2453</v>
      </c>
      <c r="D2333" s="4" t="s">
        <v>2272</v>
      </c>
      <c r="E2333" s="4" t="s">
        <v>2644</v>
      </c>
      <c r="F2333" s="4" t="s">
        <v>2657</v>
      </c>
      <c r="G2333" s="4" t="s">
        <v>73</v>
      </c>
      <c r="H2333" s="4" t="s">
        <v>521</v>
      </c>
      <c r="I2333" s="4"/>
      <c r="J2333" s="4" t="s">
        <v>2272</v>
      </c>
      <c r="K2333" s="71">
        <f>K$2329*0.023/2</f>
        <v>5.6673457838143744E-3</v>
      </c>
      <c r="L2333" s="4" t="s">
        <v>2272</v>
      </c>
      <c r="M2333" s="4" t="s">
        <v>2272</v>
      </c>
      <c r="N2333" s="4" t="s">
        <v>2272</v>
      </c>
      <c r="O2333" s="4" t="s">
        <v>2272</v>
      </c>
      <c r="P2333" s="4" t="s">
        <v>2272</v>
      </c>
      <c r="Q2333" s="4" t="s">
        <v>2272</v>
      </c>
      <c r="R2333" s="4" t="s">
        <v>2272</v>
      </c>
      <c r="S2333" s="4" t="s">
        <v>2272</v>
      </c>
      <c r="T2333" s="4" t="s">
        <v>2272</v>
      </c>
      <c r="U2333" s="4" t="s">
        <v>2272</v>
      </c>
      <c r="V2333" s="4" t="s">
        <v>2272</v>
      </c>
      <c r="W2333" s="4" t="s">
        <v>2272</v>
      </c>
      <c r="X2333" s="4" t="s">
        <v>2272</v>
      </c>
      <c r="Y2333" s="4" t="s">
        <v>2272</v>
      </c>
      <c r="Z2333" s="4" t="s">
        <v>2272</v>
      </c>
      <c r="AA2333" s="4" t="s">
        <v>2272</v>
      </c>
      <c r="AB2333" s="4" t="s">
        <v>2272</v>
      </c>
      <c r="AC2333" s="4" t="s">
        <v>2272</v>
      </c>
      <c r="AD2333" s="4"/>
      <c r="AE2333" s="4"/>
    </row>
    <row r="2334" spans="1:31" s="199" customFormat="1" ht="49" customHeight="1">
      <c r="A2334" s="4" t="s">
        <v>6178</v>
      </c>
      <c r="B2334" s="4" t="s">
        <v>6912</v>
      </c>
      <c r="C2334" s="198" t="s">
        <v>23</v>
      </c>
      <c r="D2334" s="4" t="s">
        <v>2342</v>
      </c>
      <c r="E2334" s="4" t="s">
        <v>3850</v>
      </c>
      <c r="F2334" s="4" t="s">
        <v>2658</v>
      </c>
      <c r="G2334" s="4" t="s">
        <v>2658</v>
      </c>
      <c r="H2334" s="4" t="s">
        <v>521</v>
      </c>
      <c r="I2334" s="4"/>
      <c r="J2334" s="4" t="s">
        <v>2272</v>
      </c>
      <c r="K2334" s="71">
        <f>K$2329*0.179*0.741</f>
        <v>6.5366180645161281E-2</v>
      </c>
      <c r="L2334" s="4" t="s">
        <v>2272</v>
      </c>
      <c r="M2334" s="4" t="s">
        <v>2272</v>
      </c>
      <c r="N2334" s="4" t="s">
        <v>2272</v>
      </c>
      <c r="O2334" s="4" t="s">
        <v>2272</v>
      </c>
      <c r="P2334" s="4" t="s">
        <v>2272</v>
      </c>
      <c r="Q2334" s="4" t="s">
        <v>2272</v>
      </c>
      <c r="R2334" s="4" t="s">
        <v>2272</v>
      </c>
      <c r="S2334" s="4" t="s">
        <v>2272</v>
      </c>
      <c r="T2334" s="4" t="s">
        <v>2272</v>
      </c>
      <c r="U2334" s="4" t="s">
        <v>2272</v>
      </c>
      <c r="V2334" s="4" t="s">
        <v>2272</v>
      </c>
      <c r="W2334" s="4" t="s">
        <v>2272</v>
      </c>
      <c r="X2334" s="4" t="s">
        <v>2272</v>
      </c>
      <c r="Y2334" s="4" t="s">
        <v>2272</v>
      </c>
      <c r="Z2334" s="4" t="s">
        <v>2272</v>
      </c>
      <c r="AA2334" s="4" t="s">
        <v>2272</v>
      </c>
      <c r="AB2334" s="4" t="s">
        <v>2272</v>
      </c>
      <c r="AC2334" s="4" t="s">
        <v>2272</v>
      </c>
      <c r="AD2334" s="4"/>
      <c r="AE2334" s="4"/>
    </row>
    <row r="2335" spans="1:31" s="199" customFormat="1" ht="49" customHeight="1">
      <c r="A2335" s="4" t="s">
        <v>6178</v>
      </c>
      <c r="B2335" s="4" t="s">
        <v>6913</v>
      </c>
      <c r="C2335" s="198" t="s">
        <v>30</v>
      </c>
      <c r="D2335" s="4" t="s">
        <v>29</v>
      </c>
      <c r="E2335" s="4" t="s">
        <v>2272</v>
      </c>
      <c r="F2335" s="4" t="s">
        <v>2272</v>
      </c>
      <c r="G2335" s="4" t="s">
        <v>73</v>
      </c>
      <c r="H2335" s="4" t="s">
        <v>521</v>
      </c>
      <c r="I2335" s="4"/>
      <c r="J2335" s="4" t="s">
        <v>2272</v>
      </c>
      <c r="K2335" s="71">
        <f>K$2329*0.028</f>
        <v>1.3798754951895869E-2</v>
      </c>
      <c r="L2335" s="4" t="s">
        <v>2272</v>
      </c>
      <c r="M2335" s="4" t="s">
        <v>2272</v>
      </c>
      <c r="N2335" s="4" t="s">
        <v>2272</v>
      </c>
      <c r="O2335" s="4" t="s">
        <v>2272</v>
      </c>
      <c r="P2335" s="4" t="s">
        <v>2272</v>
      </c>
      <c r="Q2335" s="4" t="s">
        <v>2272</v>
      </c>
      <c r="R2335" s="4" t="s">
        <v>2272</v>
      </c>
      <c r="S2335" s="4" t="s">
        <v>2272</v>
      </c>
      <c r="T2335" s="4" t="s">
        <v>2272</v>
      </c>
      <c r="U2335" s="4" t="s">
        <v>2272</v>
      </c>
      <c r="V2335" s="4" t="s">
        <v>2272</v>
      </c>
      <c r="W2335" s="4" t="s">
        <v>2272</v>
      </c>
      <c r="X2335" s="4" t="s">
        <v>2272</v>
      </c>
      <c r="Y2335" s="4" t="s">
        <v>2272</v>
      </c>
      <c r="Z2335" s="4" t="s">
        <v>2272</v>
      </c>
      <c r="AA2335" s="4" t="s">
        <v>2272</v>
      </c>
      <c r="AB2335" s="4" t="s">
        <v>2272</v>
      </c>
      <c r="AC2335" s="4" t="s">
        <v>2272</v>
      </c>
      <c r="AD2335" s="4"/>
      <c r="AE2335" s="4"/>
    </row>
    <row r="2336" spans="1:31" s="199" customFormat="1" ht="49" customHeight="1">
      <c r="A2336" s="4" t="s">
        <v>6178</v>
      </c>
      <c r="B2336" s="4" t="s">
        <v>6914</v>
      </c>
      <c r="C2336" s="198" t="s">
        <v>2651</v>
      </c>
      <c r="D2336" s="4" t="s">
        <v>2272</v>
      </c>
      <c r="E2336" s="4" t="s">
        <v>3850</v>
      </c>
      <c r="F2336" s="4" t="s">
        <v>2272</v>
      </c>
      <c r="G2336" s="4" t="s">
        <v>73</v>
      </c>
      <c r="H2336" s="4" t="s">
        <v>521</v>
      </c>
      <c r="I2336" s="4"/>
      <c r="J2336" s="4" t="s">
        <v>2272</v>
      </c>
      <c r="K2336" s="71">
        <f>K$2329*0.002</f>
        <v>9.8562535370684784E-4</v>
      </c>
      <c r="L2336" s="4" t="s">
        <v>2272</v>
      </c>
      <c r="M2336" s="4" t="s">
        <v>2272</v>
      </c>
      <c r="N2336" s="4" t="s">
        <v>2272</v>
      </c>
      <c r="O2336" s="4" t="s">
        <v>2272</v>
      </c>
      <c r="P2336" s="4" t="s">
        <v>2272</v>
      </c>
      <c r="Q2336" s="4" t="s">
        <v>2272</v>
      </c>
      <c r="R2336" s="4" t="s">
        <v>2272</v>
      </c>
      <c r="S2336" s="4" t="s">
        <v>2272</v>
      </c>
      <c r="T2336" s="4" t="s">
        <v>2272</v>
      </c>
      <c r="U2336" s="4" t="s">
        <v>2272</v>
      </c>
      <c r="V2336" s="4" t="s">
        <v>2272</v>
      </c>
      <c r="W2336" s="4" t="s">
        <v>2272</v>
      </c>
      <c r="X2336" s="4" t="s">
        <v>2272</v>
      </c>
      <c r="Y2336" s="4" t="s">
        <v>2272</v>
      </c>
      <c r="Z2336" s="4" t="s">
        <v>2272</v>
      </c>
      <c r="AA2336" s="4" t="s">
        <v>2272</v>
      </c>
      <c r="AB2336" s="4" t="s">
        <v>2272</v>
      </c>
      <c r="AC2336" s="4" t="s">
        <v>2272</v>
      </c>
      <c r="AE2336" s="4"/>
    </row>
    <row r="2337" spans="1:31" s="199" customFormat="1" ht="49" customHeight="1">
      <c r="A2337" s="4" t="s">
        <v>6178</v>
      </c>
      <c r="B2337" s="4" t="s">
        <v>6915</v>
      </c>
      <c r="C2337" s="198" t="s">
        <v>2653</v>
      </c>
      <c r="D2337" s="4" t="s">
        <v>2272</v>
      </c>
      <c r="E2337" s="4" t="s">
        <v>2272</v>
      </c>
      <c r="F2337" s="4" t="s">
        <v>2272</v>
      </c>
      <c r="G2337" s="4" t="s">
        <v>73</v>
      </c>
      <c r="H2337" s="4" t="s">
        <v>521</v>
      </c>
      <c r="I2337" s="4"/>
      <c r="J2337" s="4" t="s">
        <v>2272</v>
      </c>
      <c r="K2337" s="71">
        <f>K2329*0.169</f>
        <v>8.3285342388228642E-2</v>
      </c>
      <c r="L2337" s="4" t="s">
        <v>2272</v>
      </c>
      <c r="M2337" s="4" t="s">
        <v>2272</v>
      </c>
      <c r="N2337" s="4" t="s">
        <v>2272</v>
      </c>
      <c r="O2337" s="4" t="s">
        <v>2272</v>
      </c>
      <c r="P2337" s="4" t="s">
        <v>2272</v>
      </c>
      <c r="Q2337" s="4" t="s">
        <v>2272</v>
      </c>
      <c r="R2337" s="4" t="s">
        <v>2272</v>
      </c>
      <c r="S2337" s="4" t="s">
        <v>2272</v>
      </c>
      <c r="T2337" s="4" t="s">
        <v>2272</v>
      </c>
      <c r="U2337" s="4" t="s">
        <v>2272</v>
      </c>
      <c r="V2337" s="4" t="s">
        <v>2272</v>
      </c>
      <c r="W2337" s="4" t="s">
        <v>2272</v>
      </c>
      <c r="X2337" s="4" t="s">
        <v>2272</v>
      </c>
      <c r="Y2337" s="4" t="s">
        <v>2272</v>
      </c>
      <c r="Z2337" s="4" t="s">
        <v>2272</v>
      </c>
      <c r="AA2337" s="4" t="s">
        <v>2272</v>
      </c>
      <c r="AB2337" s="4" t="s">
        <v>2272</v>
      </c>
      <c r="AC2337" s="4" t="s">
        <v>2272</v>
      </c>
      <c r="AD2337" s="4"/>
      <c r="AE2337" s="4"/>
    </row>
    <row r="2338" spans="1:31" s="199" customFormat="1" ht="49" customHeight="1">
      <c r="A2338" s="4" t="s">
        <v>6179</v>
      </c>
      <c r="B2338" s="4" t="s">
        <v>6241</v>
      </c>
      <c r="C2338" s="4" t="s">
        <v>1102</v>
      </c>
      <c r="D2338" s="4" t="s">
        <v>1102</v>
      </c>
      <c r="E2338" s="4" t="s">
        <v>1102</v>
      </c>
      <c r="F2338" s="4" t="s">
        <v>2272</v>
      </c>
      <c r="G2338" s="4" t="s">
        <v>73</v>
      </c>
      <c r="H2338" s="4" t="s">
        <v>521</v>
      </c>
      <c r="I2338" s="4"/>
      <c r="J2338" s="4" t="s">
        <v>2272</v>
      </c>
      <c r="K2338" s="71">
        <f>29666.6/19/'Record info'!$K$992</f>
        <v>0.45376344086021503</v>
      </c>
      <c r="L2338" s="4" t="s">
        <v>2272</v>
      </c>
      <c r="M2338" s="4" t="s">
        <v>2272</v>
      </c>
      <c r="N2338" s="4" t="s">
        <v>2272</v>
      </c>
      <c r="O2338" s="4" t="s">
        <v>2272</v>
      </c>
      <c r="P2338" s="4" t="s">
        <v>2272</v>
      </c>
      <c r="Q2338" s="71">
        <v>4.4287850000000004</v>
      </c>
      <c r="R2338" s="4" t="s">
        <v>2272</v>
      </c>
      <c r="S2338" s="4" t="s">
        <v>2272</v>
      </c>
      <c r="T2338" s="4" t="s">
        <v>2272</v>
      </c>
      <c r="U2338" s="71">
        <v>131387</v>
      </c>
      <c r="V2338" s="4" t="s">
        <v>2272</v>
      </c>
      <c r="W2338" s="71">
        <f>3551/7577*100/19</f>
        <v>2.4666060029313086</v>
      </c>
      <c r="X2338" s="4" t="s">
        <v>2272</v>
      </c>
      <c r="Y2338" s="4" t="s">
        <v>2272</v>
      </c>
      <c r="Z2338" s="4" t="s">
        <v>2272</v>
      </c>
      <c r="AA2338" s="4" t="s">
        <v>2272</v>
      </c>
      <c r="AB2338" s="4" t="s">
        <v>2272</v>
      </c>
      <c r="AC2338" s="4" t="s">
        <v>2272</v>
      </c>
      <c r="AD2338" s="4"/>
      <c r="AE2338" s="4"/>
    </row>
    <row r="2339" spans="1:31" s="199" customFormat="1" ht="49" customHeight="1">
      <c r="A2339" s="4" t="s">
        <v>6179</v>
      </c>
      <c r="B2339" s="4" t="s">
        <v>6919</v>
      </c>
      <c r="C2339" s="198" t="s">
        <v>23</v>
      </c>
      <c r="D2339" s="4" t="s">
        <v>2272</v>
      </c>
      <c r="E2339" s="4" t="s">
        <v>2644</v>
      </c>
      <c r="F2339" s="4" t="s">
        <v>73</v>
      </c>
      <c r="G2339" s="4" t="s">
        <v>73</v>
      </c>
      <c r="H2339" s="4" t="s">
        <v>521</v>
      </c>
      <c r="I2339" s="4"/>
      <c r="J2339" s="4" t="s">
        <v>2272</v>
      </c>
      <c r="K2339" s="71">
        <f>K2338*(0.881)-K2340-K2343</f>
        <v>0.23227379139784948</v>
      </c>
      <c r="L2339" s="4" t="s">
        <v>2272</v>
      </c>
      <c r="M2339" s="4" t="s">
        <v>2272</v>
      </c>
      <c r="N2339" s="4" t="s">
        <v>2272</v>
      </c>
      <c r="O2339" s="4" t="s">
        <v>2272</v>
      </c>
      <c r="P2339" s="4" t="s">
        <v>2272</v>
      </c>
      <c r="Q2339" s="4" t="s">
        <v>2272</v>
      </c>
      <c r="R2339" s="4" t="s">
        <v>2272</v>
      </c>
      <c r="S2339" s="4" t="s">
        <v>2272</v>
      </c>
      <c r="T2339" s="4" t="s">
        <v>2272</v>
      </c>
      <c r="U2339" s="4" t="s">
        <v>2272</v>
      </c>
      <c r="V2339" s="4" t="s">
        <v>2272</v>
      </c>
      <c r="W2339" s="4" t="s">
        <v>2272</v>
      </c>
      <c r="X2339" s="4" t="s">
        <v>2272</v>
      </c>
      <c r="Y2339" s="4" t="s">
        <v>2272</v>
      </c>
      <c r="Z2339" s="4" t="s">
        <v>2272</v>
      </c>
      <c r="AA2339" s="4" t="s">
        <v>2272</v>
      </c>
      <c r="AB2339" s="4" t="s">
        <v>2272</v>
      </c>
      <c r="AC2339" s="4" t="s">
        <v>2272</v>
      </c>
      <c r="AD2339" s="4"/>
      <c r="AE2339" s="4"/>
    </row>
    <row r="2340" spans="1:31" s="199" customFormat="1" ht="49" customHeight="1">
      <c r="A2340" s="4" t="s">
        <v>6179</v>
      </c>
      <c r="B2340" s="4" t="s">
        <v>6920</v>
      </c>
      <c r="C2340" s="198" t="s">
        <v>23</v>
      </c>
      <c r="D2340" s="4" t="s">
        <v>2272</v>
      </c>
      <c r="E2340" s="4" t="s">
        <v>3850</v>
      </c>
      <c r="F2340" s="4" t="s">
        <v>73</v>
      </c>
      <c r="G2340" s="4" t="s">
        <v>73</v>
      </c>
      <c r="H2340" s="4" t="s">
        <v>521</v>
      </c>
      <c r="I2340" s="4"/>
      <c r="J2340" s="4" t="s">
        <v>2272</v>
      </c>
      <c r="K2340" s="71">
        <f>K2338*0.741*(0.376+0.115)</f>
        <v>0.16509320645161288</v>
      </c>
      <c r="L2340" s="4" t="s">
        <v>2272</v>
      </c>
      <c r="M2340" s="4" t="s">
        <v>2272</v>
      </c>
      <c r="N2340" s="4" t="s">
        <v>2272</v>
      </c>
      <c r="O2340" s="4" t="s">
        <v>2272</v>
      </c>
      <c r="P2340" s="4" t="s">
        <v>2272</v>
      </c>
      <c r="Q2340" s="4" t="s">
        <v>2272</v>
      </c>
      <c r="R2340" s="4" t="s">
        <v>2272</v>
      </c>
      <c r="S2340" s="4" t="s">
        <v>2272</v>
      </c>
      <c r="T2340" s="4" t="s">
        <v>2272</v>
      </c>
      <c r="U2340" s="4" t="s">
        <v>2272</v>
      </c>
      <c r="V2340" s="4" t="s">
        <v>2272</v>
      </c>
      <c r="W2340" s="4" t="s">
        <v>2272</v>
      </c>
      <c r="X2340" s="4" t="s">
        <v>2272</v>
      </c>
      <c r="Y2340" s="4" t="s">
        <v>2272</v>
      </c>
      <c r="Z2340" s="4" t="s">
        <v>2272</v>
      </c>
      <c r="AA2340" s="4" t="s">
        <v>2272</v>
      </c>
      <c r="AB2340" s="4" t="s">
        <v>2272</v>
      </c>
      <c r="AC2340" s="4" t="s">
        <v>2272</v>
      </c>
      <c r="AD2340" s="4"/>
      <c r="AE2340" s="4"/>
    </row>
    <row r="2341" spans="1:31" s="199" customFormat="1" ht="49" customHeight="1">
      <c r="A2341" s="4" t="s">
        <v>6179</v>
      </c>
      <c r="B2341" s="4" t="s">
        <v>6921</v>
      </c>
      <c r="C2341" s="198" t="s">
        <v>2453</v>
      </c>
      <c r="D2341" s="4" t="s">
        <v>2272</v>
      </c>
      <c r="E2341" s="4" t="s">
        <v>3850</v>
      </c>
      <c r="F2341" s="4" t="s">
        <v>2272</v>
      </c>
      <c r="G2341" s="4" t="s">
        <v>73</v>
      </c>
      <c r="H2341" s="4" t="s">
        <v>521</v>
      </c>
      <c r="I2341" s="4"/>
      <c r="J2341" s="4" t="s">
        <v>2272</v>
      </c>
      <c r="K2341" s="71">
        <f>K2338*0.013/2</f>
        <v>2.9494623655913974E-3</v>
      </c>
      <c r="L2341" s="4" t="s">
        <v>2272</v>
      </c>
      <c r="M2341" s="4" t="s">
        <v>2272</v>
      </c>
      <c r="N2341" s="4" t="s">
        <v>2272</v>
      </c>
      <c r="O2341" s="4" t="s">
        <v>2272</v>
      </c>
      <c r="P2341" s="4" t="s">
        <v>2272</v>
      </c>
      <c r="Q2341" s="4" t="s">
        <v>2272</v>
      </c>
      <c r="R2341" s="4" t="s">
        <v>2272</v>
      </c>
      <c r="S2341" s="4" t="s">
        <v>2272</v>
      </c>
      <c r="T2341" s="4" t="s">
        <v>2272</v>
      </c>
      <c r="U2341" s="4" t="s">
        <v>2272</v>
      </c>
      <c r="V2341" s="4" t="s">
        <v>2272</v>
      </c>
      <c r="W2341" s="4" t="s">
        <v>2272</v>
      </c>
      <c r="X2341" s="4" t="s">
        <v>2272</v>
      </c>
      <c r="Y2341" s="4" t="s">
        <v>2272</v>
      </c>
      <c r="Z2341" s="4" t="s">
        <v>2272</v>
      </c>
      <c r="AA2341" s="4" t="s">
        <v>2272</v>
      </c>
      <c r="AB2341" s="4" t="s">
        <v>2272</v>
      </c>
      <c r="AC2341" s="4" t="s">
        <v>2272</v>
      </c>
      <c r="AD2341" s="4"/>
      <c r="AE2341" s="4"/>
    </row>
    <row r="2342" spans="1:31" s="199" customFormat="1" ht="49" customHeight="1">
      <c r="A2342" s="4" t="s">
        <v>6179</v>
      </c>
      <c r="B2342" s="4" t="s">
        <v>6922</v>
      </c>
      <c r="C2342" s="198" t="s">
        <v>2453</v>
      </c>
      <c r="D2342" s="4" t="s">
        <v>2272</v>
      </c>
      <c r="E2342" s="4" t="s">
        <v>2644</v>
      </c>
      <c r="F2342" s="4" t="s">
        <v>2657</v>
      </c>
      <c r="G2342" s="4" t="s">
        <v>73</v>
      </c>
      <c r="H2342" s="4" t="s">
        <v>521</v>
      </c>
      <c r="I2342" s="4"/>
      <c r="J2342" s="4" t="s">
        <v>2272</v>
      </c>
      <c r="K2342" s="71">
        <f>K2338*0.013/2</f>
        <v>2.9494623655913974E-3</v>
      </c>
      <c r="L2342" s="4" t="s">
        <v>2272</v>
      </c>
      <c r="M2342" s="4" t="s">
        <v>2272</v>
      </c>
      <c r="N2342" s="4" t="s">
        <v>2272</v>
      </c>
      <c r="O2342" s="4" t="s">
        <v>2272</v>
      </c>
      <c r="P2342" s="4" t="s">
        <v>2272</v>
      </c>
      <c r="Q2342" s="4" t="s">
        <v>2272</v>
      </c>
      <c r="R2342" s="4" t="s">
        <v>2272</v>
      </c>
      <c r="S2342" s="4" t="s">
        <v>2272</v>
      </c>
      <c r="T2342" s="4" t="s">
        <v>2272</v>
      </c>
      <c r="U2342" s="4" t="s">
        <v>2272</v>
      </c>
      <c r="V2342" s="4" t="s">
        <v>2272</v>
      </c>
      <c r="W2342" s="4" t="s">
        <v>2272</v>
      </c>
      <c r="X2342" s="4" t="s">
        <v>2272</v>
      </c>
      <c r="Y2342" s="4" t="s">
        <v>2272</v>
      </c>
      <c r="Z2342" s="4" t="s">
        <v>2272</v>
      </c>
      <c r="AA2342" s="4" t="s">
        <v>2272</v>
      </c>
      <c r="AB2342" s="4" t="s">
        <v>2272</v>
      </c>
      <c r="AC2342" s="4" t="s">
        <v>2272</v>
      </c>
      <c r="AD2342" s="4"/>
      <c r="AE2342" s="4"/>
    </row>
    <row r="2343" spans="1:31" s="199" customFormat="1" ht="49" customHeight="1">
      <c r="A2343" s="4" t="s">
        <v>6179</v>
      </c>
      <c r="B2343" s="4" t="s">
        <v>6923</v>
      </c>
      <c r="C2343" s="198" t="s">
        <v>23</v>
      </c>
      <c r="D2343" s="4" t="s">
        <v>2342</v>
      </c>
      <c r="E2343" s="4" t="s">
        <v>3850</v>
      </c>
      <c r="F2343" s="4" t="s">
        <v>2658</v>
      </c>
      <c r="G2343" s="4" t="s">
        <v>2658</v>
      </c>
      <c r="H2343" s="4" t="s">
        <v>521</v>
      </c>
      <c r="I2343" s="4"/>
      <c r="J2343" s="4" t="s">
        <v>2272</v>
      </c>
      <c r="K2343" s="71">
        <f>K2338*0.006*0.881</f>
        <v>2.3985935483870967E-3</v>
      </c>
      <c r="L2343" s="4" t="s">
        <v>2272</v>
      </c>
      <c r="M2343" s="4" t="s">
        <v>2272</v>
      </c>
      <c r="N2343" s="4" t="s">
        <v>2272</v>
      </c>
      <c r="O2343" s="4" t="s">
        <v>2272</v>
      </c>
      <c r="P2343" s="4" t="s">
        <v>2272</v>
      </c>
      <c r="Q2343" s="4" t="s">
        <v>2272</v>
      </c>
      <c r="R2343" s="4" t="s">
        <v>2272</v>
      </c>
      <c r="S2343" s="4" t="s">
        <v>2272</v>
      </c>
      <c r="T2343" s="4" t="s">
        <v>2272</v>
      </c>
      <c r="U2343" s="4" t="s">
        <v>2272</v>
      </c>
      <c r="V2343" s="4" t="s">
        <v>2272</v>
      </c>
      <c r="W2343" s="4" t="s">
        <v>2272</v>
      </c>
      <c r="X2343" s="4" t="s">
        <v>2272</v>
      </c>
      <c r="Y2343" s="4" t="s">
        <v>2272</v>
      </c>
      <c r="Z2343" s="4" t="s">
        <v>2272</v>
      </c>
      <c r="AA2343" s="4" t="s">
        <v>2272</v>
      </c>
      <c r="AB2343" s="4" t="s">
        <v>2272</v>
      </c>
      <c r="AC2343" s="4" t="s">
        <v>2272</v>
      </c>
      <c r="AD2343" s="4"/>
      <c r="AE2343" s="4"/>
    </row>
    <row r="2344" spans="1:31" s="199" customFormat="1" ht="49" customHeight="1">
      <c r="A2344" s="4" t="s">
        <v>6179</v>
      </c>
      <c r="B2344" s="4" t="s">
        <v>6924</v>
      </c>
      <c r="C2344" s="198" t="s">
        <v>30</v>
      </c>
      <c r="D2344" s="4" t="s">
        <v>29</v>
      </c>
      <c r="E2344" s="4" t="s">
        <v>2272</v>
      </c>
      <c r="F2344" s="4" t="s">
        <v>2272</v>
      </c>
      <c r="G2344" s="4" t="s">
        <v>73</v>
      </c>
      <c r="H2344" s="4" t="s">
        <v>521</v>
      </c>
      <c r="I2344" s="4"/>
      <c r="J2344" s="4" t="s">
        <v>2272</v>
      </c>
      <c r="K2344" s="71">
        <f>K2338*0.015</f>
        <v>6.8064516129032254E-3</v>
      </c>
      <c r="L2344" s="4" t="s">
        <v>2272</v>
      </c>
      <c r="M2344" s="4" t="s">
        <v>2272</v>
      </c>
      <c r="N2344" s="4" t="s">
        <v>2272</v>
      </c>
      <c r="O2344" s="4" t="s">
        <v>2272</v>
      </c>
      <c r="P2344" s="4" t="s">
        <v>2272</v>
      </c>
      <c r="Q2344" s="4" t="s">
        <v>2272</v>
      </c>
      <c r="R2344" s="4" t="s">
        <v>2272</v>
      </c>
      <c r="S2344" s="4" t="s">
        <v>2272</v>
      </c>
      <c r="T2344" s="4" t="s">
        <v>2272</v>
      </c>
      <c r="U2344" s="4" t="s">
        <v>2272</v>
      </c>
      <c r="V2344" s="4" t="s">
        <v>2272</v>
      </c>
      <c r="W2344" s="4" t="s">
        <v>2272</v>
      </c>
      <c r="X2344" s="4" t="s">
        <v>2272</v>
      </c>
      <c r="Y2344" s="4" t="s">
        <v>2272</v>
      </c>
      <c r="Z2344" s="4" t="s">
        <v>2272</v>
      </c>
      <c r="AA2344" s="4" t="s">
        <v>2272</v>
      </c>
      <c r="AB2344" s="4" t="s">
        <v>2272</v>
      </c>
      <c r="AC2344" s="4" t="s">
        <v>2272</v>
      </c>
      <c r="AD2344" s="4"/>
      <c r="AE2344" s="4"/>
    </row>
    <row r="2345" spans="1:31" s="199" customFormat="1" ht="49" customHeight="1">
      <c r="A2345" s="4" t="s">
        <v>6179</v>
      </c>
      <c r="B2345" s="4" t="s">
        <v>6925</v>
      </c>
      <c r="C2345" s="198" t="s">
        <v>2651</v>
      </c>
      <c r="D2345" s="4" t="s">
        <v>2272</v>
      </c>
      <c r="E2345" s="4" t="s">
        <v>3850</v>
      </c>
      <c r="F2345" s="4" t="s">
        <v>2272</v>
      </c>
      <c r="G2345" s="4" t="s">
        <v>73</v>
      </c>
      <c r="H2345" s="4" t="s">
        <v>521</v>
      </c>
      <c r="I2345" s="4"/>
      <c r="J2345" s="4" t="s">
        <v>2272</v>
      </c>
      <c r="K2345" s="71">
        <f>K2338*0.008</f>
        <v>3.6301075268817201E-3</v>
      </c>
      <c r="L2345" s="4" t="s">
        <v>2272</v>
      </c>
      <c r="M2345" s="4" t="s">
        <v>2272</v>
      </c>
      <c r="N2345" s="4" t="s">
        <v>2272</v>
      </c>
      <c r="O2345" s="4" t="s">
        <v>2272</v>
      </c>
      <c r="P2345" s="4" t="s">
        <v>2272</v>
      </c>
      <c r="Q2345" s="4" t="s">
        <v>2272</v>
      </c>
      <c r="R2345" s="4" t="s">
        <v>2272</v>
      </c>
      <c r="S2345" s="4" t="s">
        <v>2272</v>
      </c>
      <c r="T2345" s="4" t="s">
        <v>2272</v>
      </c>
      <c r="U2345" s="4" t="s">
        <v>2272</v>
      </c>
      <c r="V2345" s="4" t="s">
        <v>2272</v>
      </c>
      <c r="W2345" s="4" t="s">
        <v>2272</v>
      </c>
      <c r="X2345" s="4" t="s">
        <v>2272</v>
      </c>
      <c r="Y2345" s="4" t="s">
        <v>2272</v>
      </c>
      <c r="Z2345" s="4" t="s">
        <v>2272</v>
      </c>
      <c r="AA2345" s="4" t="s">
        <v>2272</v>
      </c>
      <c r="AB2345" s="4" t="s">
        <v>2272</v>
      </c>
      <c r="AC2345" s="4" t="s">
        <v>2272</v>
      </c>
      <c r="AD2345" s="4"/>
      <c r="AE2345" s="4"/>
    </row>
    <row r="2346" spans="1:31" s="199" customFormat="1" ht="49" customHeight="1">
      <c r="A2346" s="4" t="s">
        <v>6179</v>
      </c>
      <c r="B2346" s="4" t="s">
        <v>6926</v>
      </c>
      <c r="C2346" s="198" t="s">
        <v>2653</v>
      </c>
      <c r="D2346" s="4" t="s">
        <v>2272</v>
      </c>
      <c r="E2346" s="4" t="s">
        <v>2272</v>
      </c>
      <c r="F2346" s="4" t="s">
        <v>2272</v>
      </c>
      <c r="G2346" s="4" t="s">
        <v>73</v>
      </c>
      <c r="H2346" s="4" t="s">
        <v>521</v>
      </c>
      <c r="I2346" s="4"/>
      <c r="J2346" s="4" t="s">
        <v>2272</v>
      </c>
      <c r="K2346" s="71">
        <f>K2338*0.072</f>
        <v>3.267096774193548E-2</v>
      </c>
      <c r="L2346" s="4" t="s">
        <v>2272</v>
      </c>
      <c r="M2346" s="4" t="s">
        <v>2272</v>
      </c>
      <c r="N2346" s="4" t="s">
        <v>2272</v>
      </c>
      <c r="O2346" s="4" t="s">
        <v>2272</v>
      </c>
      <c r="P2346" s="4" t="s">
        <v>2272</v>
      </c>
      <c r="Q2346" s="4" t="s">
        <v>2272</v>
      </c>
      <c r="R2346" s="4" t="s">
        <v>2272</v>
      </c>
      <c r="S2346" s="4" t="s">
        <v>2272</v>
      </c>
      <c r="T2346" s="4" t="s">
        <v>2272</v>
      </c>
      <c r="U2346" s="4" t="s">
        <v>2272</v>
      </c>
      <c r="V2346" s="4" t="s">
        <v>2272</v>
      </c>
      <c r="W2346" s="4" t="s">
        <v>2272</v>
      </c>
      <c r="X2346" s="4" t="s">
        <v>2272</v>
      </c>
      <c r="Y2346" s="4" t="s">
        <v>2272</v>
      </c>
      <c r="Z2346" s="4" t="s">
        <v>2272</v>
      </c>
      <c r="AA2346" s="4" t="s">
        <v>2272</v>
      </c>
      <c r="AB2346" s="4" t="s">
        <v>2272</v>
      </c>
      <c r="AC2346" s="4" t="s">
        <v>2272</v>
      </c>
      <c r="AD2346" s="4"/>
      <c r="AE2346" s="4"/>
    </row>
    <row r="2347" spans="1:31" s="199" customFormat="1" ht="49" customHeight="1">
      <c r="A2347" s="4" t="s">
        <v>6891</v>
      </c>
      <c r="B2347" s="4" t="s">
        <v>6927</v>
      </c>
      <c r="C2347" s="4" t="s">
        <v>1102</v>
      </c>
      <c r="D2347" s="4" t="s">
        <v>1102</v>
      </c>
      <c r="E2347" s="4" t="s">
        <v>1102</v>
      </c>
      <c r="F2347" s="4" t="s">
        <v>2272</v>
      </c>
      <c r="G2347" s="4" t="s">
        <v>73</v>
      </c>
      <c r="H2347" s="4" t="s">
        <v>521</v>
      </c>
      <c r="I2347" s="4"/>
      <c r="J2347" s="4" t="s">
        <v>2272</v>
      </c>
      <c r="K2347" s="71">
        <f>52403.2/19/'Record info'!$K$993</f>
        <v>0.32235427277872097</v>
      </c>
      <c r="L2347" s="4" t="s">
        <v>2272</v>
      </c>
      <c r="M2347" s="4" t="s">
        <v>2272</v>
      </c>
      <c r="N2347" s="4" t="s">
        <v>2272</v>
      </c>
      <c r="O2347" s="4" t="s">
        <v>2272</v>
      </c>
      <c r="P2347" s="4" t="s">
        <v>2272</v>
      </c>
      <c r="Q2347" s="71">
        <v>4.4740000000000002</v>
      </c>
      <c r="R2347" s="4" t="s">
        <v>2272</v>
      </c>
      <c r="S2347" s="4" t="s">
        <v>2272</v>
      </c>
      <c r="T2347" s="4" t="s">
        <v>2272</v>
      </c>
      <c r="U2347" s="71">
        <v>248768</v>
      </c>
      <c r="V2347" s="4" t="s">
        <v>2272</v>
      </c>
      <c r="W2347" s="71">
        <f>2704/6261*100/19</f>
        <v>2.2730520599534296</v>
      </c>
      <c r="X2347" s="4" t="s">
        <v>2272</v>
      </c>
      <c r="Y2347" s="4" t="s">
        <v>2272</v>
      </c>
      <c r="Z2347" s="4" t="s">
        <v>2272</v>
      </c>
      <c r="AA2347" s="4" t="s">
        <v>2272</v>
      </c>
      <c r="AB2347" s="4" t="s">
        <v>2272</v>
      </c>
      <c r="AC2347" s="4" t="s">
        <v>2272</v>
      </c>
      <c r="AD2347" s="4"/>
      <c r="AE2347" s="4"/>
    </row>
    <row r="2348" spans="1:31" s="199" customFormat="1" ht="49" customHeight="1">
      <c r="A2348" s="4" t="s">
        <v>6891</v>
      </c>
      <c r="B2348" s="4" t="s">
        <v>6928</v>
      </c>
      <c r="C2348" s="198" t="s">
        <v>23</v>
      </c>
      <c r="D2348" s="4" t="s">
        <v>2272</v>
      </c>
      <c r="E2348" s="4" t="s">
        <v>2644</v>
      </c>
      <c r="F2348" s="4" t="s">
        <v>73</v>
      </c>
      <c r="G2348" s="4" t="s">
        <v>73</v>
      </c>
      <c r="H2348" s="4" t="s">
        <v>521</v>
      </c>
      <c r="I2348" s="4"/>
      <c r="J2348" s="4" t="s">
        <v>2272</v>
      </c>
      <c r="K2348" s="71">
        <f>K2347*(0.764)-K2349-K2352</f>
        <v>0.1977617675155631</v>
      </c>
      <c r="L2348" s="4" t="s">
        <v>2272</v>
      </c>
      <c r="M2348" s="4" t="s">
        <v>2272</v>
      </c>
      <c r="N2348" s="4" t="s">
        <v>2272</v>
      </c>
      <c r="O2348" s="4" t="s">
        <v>2272</v>
      </c>
      <c r="P2348" s="4" t="s">
        <v>2272</v>
      </c>
      <c r="Q2348" s="4" t="s">
        <v>2272</v>
      </c>
      <c r="R2348" s="4" t="s">
        <v>2272</v>
      </c>
      <c r="S2348" s="4" t="s">
        <v>2272</v>
      </c>
      <c r="T2348" s="4" t="s">
        <v>2272</v>
      </c>
      <c r="U2348" s="4" t="s">
        <v>2272</v>
      </c>
      <c r="V2348" s="4" t="s">
        <v>2272</v>
      </c>
      <c r="W2348" s="4" t="s">
        <v>2272</v>
      </c>
      <c r="X2348" s="4" t="s">
        <v>2272</v>
      </c>
      <c r="Y2348" s="4" t="s">
        <v>2272</v>
      </c>
      <c r="Z2348" s="4" t="s">
        <v>2272</v>
      </c>
      <c r="AA2348" s="4" t="s">
        <v>2272</v>
      </c>
      <c r="AB2348" s="4" t="s">
        <v>2272</v>
      </c>
      <c r="AC2348" s="4" t="s">
        <v>2272</v>
      </c>
      <c r="AD2348" s="4"/>
      <c r="AE2348" s="4"/>
    </row>
    <row r="2349" spans="1:31" s="199" customFormat="1" ht="49" customHeight="1">
      <c r="A2349" s="4" t="s">
        <v>6891</v>
      </c>
      <c r="B2349" s="4" t="s">
        <v>6929</v>
      </c>
      <c r="C2349" s="198" t="s">
        <v>23</v>
      </c>
      <c r="D2349" s="4" t="s">
        <v>2272</v>
      </c>
      <c r="E2349" s="4" t="s">
        <v>3850</v>
      </c>
      <c r="F2349" s="4" t="s">
        <v>73</v>
      </c>
      <c r="G2349" s="4" t="s">
        <v>73</v>
      </c>
      <c r="H2349" s="4" t="s">
        <v>521</v>
      </c>
      <c r="I2349" s="4"/>
      <c r="J2349" s="4" t="s">
        <v>2272</v>
      </c>
      <c r="K2349" s="71">
        <f>K2347*0.764*(0.178)</f>
        <v>4.3837602263723824E-2</v>
      </c>
      <c r="L2349" s="4" t="s">
        <v>2272</v>
      </c>
      <c r="M2349" s="4" t="s">
        <v>2272</v>
      </c>
      <c r="N2349" s="4" t="s">
        <v>2272</v>
      </c>
      <c r="O2349" s="4" t="s">
        <v>2272</v>
      </c>
      <c r="P2349" s="4" t="s">
        <v>2272</v>
      </c>
      <c r="Q2349" s="4" t="s">
        <v>2272</v>
      </c>
      <c r="R2349" s="4" t="s">
        <v>2272</v>
      </c>
      <c r="S2349" s="4" t="s">
        <v>2272</v>
      </c>
      <c r="T2349" s="4" t="s">
        <v>2272</v>
      </c>
      <c r="U2349" s="4" t="s">
        <v>2272</v>
      </c>
      <c r="V2349" s="4" t="s">
        <v>2272</v>
      </c>
      <c r="W2349" s="4" t="s">
        <v>2272</v>
      </c>
      <c r="X2349" s="4" t="s">
        <v>2272</v>
      </c>
      <c r="Y2349" s="4" t="s">
        <v>2272</v>
      </c>
      <c r="Z2349" s="4" t="s">
        <v>2272</v>
      </c>
      <c r="AA2349" s="4" t="s">
        <v>2272</v>
      </c>
      <c r="AB2349" s="4" t="s">
        <v>2272</v>
      </c>
      <c r="AC2349" s="4" t="s">
        <v>2272</v>
      </c>
      <c r="AD2349" s="4"/>
      <c r="AE2349" s="4"/>
    </row>
    <row r="2350" spans="1:31" s="199" customFormat="1" ht="49" customHeight="1">
      <c r="A2350" s="4" t="s">
        <v>6891</v>
      </c>
      <c r="B2350" s="4" t="s">
        <v>6930</v>
      </c>
      <c r="C2350" s="198" t="s">
        <v>2453</v>
      </c>
      <c r="D2350" s="4" t="s">
        <v>2272</v>
      </c>
      <c r="E2350" s="4" t="s">
        <v>3850</v>
      </c>
      <c r="F2350" s="4" t="s">
        <v>2272</v>
      </c>
      <c r="G2350" s="4" t="s">
        <v>73</v>
      </c>
      <c r="H2350" s="4" t="s">
        <v>521</v>
      </c>
      <c r="I2350" s="4"/>
      <c r="J2350" s="4" t="s">
        <v>2272</v>
      </c>
      <c r="K2350" s="71">
        <f>K2347*0.036/2</f>
        <v>5.8023769100169773E-3</v>
      </c>
      <c r="L2350" s="4" t="s">
        <v>2272</v>
      </c>
      <c r="M2350" s="4" t="s">
        <v>2272</v>
      </c>
      <c r="N2350" s="4" t="s">
        <v>2272</v>
      </c>
      <c r="O2350" s="4" t="s">
        <v>2272</v>
      </c>
      <c r="P2350" s="4" t="s">
        <v>2272</v>
      </c>
      <c r="Q2350" s="4" t="s">
        <v>2272</v>
      </c>
      <c r="R2350" s="4" t="s">
        <v>2272</v>
      </c>
      <c r="S2350" s="4" t="s">
        <v>2272</v>
      </c>
      <c r="T2350" s="4" t="s">
        <v>2272</v>
      </c>
      <c r="U2350" s="4" t="s">
        <v>2272</v>
      </c>
      <c r="V2350" s="4" t="s">
        <v>2272</v>
      </c>
      <c r="W2350" s="4" t="s">
        <v>2272</v>
      </c>
      <c r="X2350" s="4" t="s">
        <v>2272</v>
      </c>
      <c r="Y2350" s="4" t="s">
        <v>2272</v>
      </c>
      <c r="Z2350" s="4" t="s">
        <v>2272</v>
      </c>
      <c r="AA2350" s="4" t="s">
        <v>2272</v>
      </c>
      <c r="AB2350" s="4" t="s">
        <v>2272</v>
      </c>
      <c r="AC2350" s="4" t="s">
        <v>2272</v>
      </c>
      <c r="AD2350" s="4"/>
      <c r="AE2350" s="4"/>
    </row>
    <row r="2351" spans="1:31" s="199" customFormat="1" ht="49" customHeight="1">
      <c r="A2351" s="4" t="s">
        <v>6891</v>
      </c>
      <c r="B2351" s="4" t="s">
        <v>6931</v>
      </c>
      <c r="C2351" s="198" t="s">
        <v>2453</v>
      </c>
      <c r="D2351" s="4" t="s">
        <v>2272</v>
      </c>
      <c r="E2351" s="4" t="s">
        <v>2644</v>
      </c>
      <c r="F2351" s="4" t="s">
        <v>2657</v>
      </c>
      <c r="G2351" s="4" t="s">
        <v>73</v>
      </c>
      <c r="H2351" s="4" t="s">
        <v>521</v>
      </c>
      <c r="I2351" s="4"/>
      <c r="J2351" s="4" t="s">
        <v>2272</v>
      </c>
      <c r="K2351" s="71">
        <f>K2347*0.036/2</f>
        <v>5.8023769100169773E-3</v>
      </c>
      <c r="L2351" s="4" t="s">
        <v>2272</v>
      </c>
      <c r="M2351" s="4" t="s">
        <v>2272</v>
      </c>
      <c r="N2351" s="4" t="s">
        <v>2272</v>
      </c>
      <c r="O2351" s="4" t="s">
        <v>2272</v>
      </c>
      <c r="P2351" s="4" t="s">
        <v>2272</v>
      </c>
      <c r="Q2351" s="4" t="s">
        <v>2272</v>
      </c>
      <c r="R2351" s="4" t="s">
        <v>2272</v>
      </c>
      <c r="S2351" s="4" t="s">
        <v>2272</v>
      </c>
      <c r="T2351" s="4" t="s">
        <v>2272</v>
      </c>
      <c r="U2351" s="4" t="s">
        <v>2272</v>
      </c>
      <c r="V2351" s="4" t="s">
        <v>2272</v>
      </c>
      <c r="W2351" s="4" t="s">
        <v>2272</v>
      </c>
      <c r="X2351" s="4" t="s">
        <v>2272</v>
      </c>
      <c r="Y2351" s="4" t="s">
        <v>2272</v>
      </c>
      <c r="Z2351" s="4" t="s">
        <v>2272</v>
      </c>
      <c r="AA2351" s="4" t="s">
        <v>2272</v>
      </c>
      <c r="AB2351" s="4" t="s">
        <v>2272</v>
      </c>
      <c r="AC2351" s="4" t="s">
        <v>2272</v>
      </c>
      <c r="AD2351" s="4"/>
      <c r="AE2351" s="4"/>
    </row>
    <row r="2352" spans="1:31" s="199" customFormat="1" ht="49" customHeight="1">
      <c r="A2352" s="4" t="s">
        <v>6891</v>
      </c>
      <c r="B2352" s="4" t="s">
        <v>6932</v>
      </c>
      <c r="C2352" s="198" t="s">
        <v>23</v>
      </c>
      <c r="D2352" s="4" t="s">
        <v>2342</v>
      </c>
      <c r="E2352" s="4" t="s">
        <v>3850</v>
      </c>
      <c r="F2352" s="4" t="s">
        <v>2658</v>
      </c>
      <c r="G2352" s="4" t="s">
        <v>2658</v>
      </c>
      <c r="H2352" s="4" t="s">
        <v>521</v>
      </c>
      <c r="I2352" s="4"/>
      <c r="J2352" s="4" t="s">
        <v>2272</v>
      </c>
      <c r="K2352" s="71">
        <f>K2347*0.019*0.764</f>
        <v>4.6792946236559139E-3</v>
      </c>
      <c r="L2352" s="4" t="s">
        <v>2272</v>
      </c>
      <c r="M2352" s="4" t="s">
        <v>2272</v>
      </c>
      <c r="N2352" s="4" t="s">
        <v>2272</v>
      </c>
      <c r="O2352" s="4" t="s">
        <v>2272</v>
      </c>
      <c r="P2352" s="4" t="s">
        <v>2272</v>
      </c>
      <c r="Q2352" s="4" t="s">
        <v>2272</v>
      </c>
      <c r="R2352" s="4" t="s">
        <v>2272</v>
      </c>
      <c r="S2352" s="4" t="s">
        <v>2272</v>
      </c>
      <c r="T2352" s="4" t="s">
        <v>2272</v>
      </c>
      <c r="U2352" s="4" t="s">
        <v>2272</v>
      </c>
      <c r="V2352" s="4" t="s">
        <v>2272</v>
      </c>
      <c r="W2352" s="4" t="s">
        <v>2272</v>
      </c>
      <c r="X2352" s="4" t="s">
        <v>2272</v>
      </c>
      <c r="Y2352" s="4" t="s">
        <v>2272</v>
      </c>
      <c r="Z2352" s="4" t="s">
        <v>2272</v>
      </c>
      <c r="AA2352" s="4" t="s">
        <v>2272</v>
      </c>
      <c r="AB2352" s="4" t="s">
        <v>2272</v>
      </c>
      <c r="AC2352" s="4" t="s">
        <v>2272</v>
      </c>
      <c r="AD2352" s="4"/>
      <c r="AE2352" s="4"/>
    </row>
    <row r="2353" spans="1:31" s="199" customFormat="1" ht="49" customHeight="1">
      <c r="A2353" s="4" t="s">
        <v>6891</v>
      </c>
      <c r="B2353" s="4" t="s">
        <v>6933</v>
      </c>
      <c r="C2353" s="198" t="s">
        <v>30</v>
      </c>
      <c r="D2353" s="4" t="s">
        <v>29</v>
      </c>
      <c r="E2353" s="4" t="s">
        <v>2272</v>
      </c>
      <c r="F2353" s="4" t="s">
        <v>2272</v>
      </c>
      <c r="G2353" s="4" t="s">
        <v>73</v>
      </c>
      <c r="H2353" s="4" t="s">
        <v>521</v>
      </c>
      <c r="I2353" s="4"/>
      <c r="J2353" s="4" t="s">
        <v>2272</v>
      </c>
      <c r="K2353" s="71">
        <f>K2347*0.031</f>
        <v>9.9929824561403504E-3</v>
      </c>
      <c r="L2353" s="4" t="s">
        <v>2272</v>
      </c>
      <c r="M2353" s="4" t="s">
        <v>2272</v>
      </c>
      <c r="N2353" s="4" t="s">
        <v>2272</v>
      </c>
      <c r="O2353" s="4" t="s">
        <v>2272</v>
      </c>
      <c r="P2353" s="4" t="s">
        <v>2272</v>
      </c>
      <c r="Q2353" s="4" t="s">
        <v>2272</v>
      </c>
      <c r="R2353" s="4" t="s">
        <v>2272</v>
      </c>
      <c r="S2353" s="4" t="s">
        <v>2272</v>
      </c>
      <c r="T2353" s="4" t="s">
        <v>2272</v>
      </c>
      <c r="U2353" s="4" t="s">
        <v>2272</v>
      </c>
      <c r="V2353" s="4" t="s">
        <v>2272</v>
      </c>
      <c r="W2353" s="4" t="s">
        <v>2272</v>
      </c>
      <c r="X2353" s="4" t="s">
        <v>2272</v>
      </c>
      <c r="Y2353" s="4" t="s">
        <v>2272</v>
      </c>
      <c r="Z2353" s="4" t="s">
        <v>2272</v>
      </c>
      <c r="AA2353" s="4" t="s">
        <v>2272</v>
      </c>
      <c r="AB2353" s="4" t="s">
        <v>2272</v>
      </c>
      <c r="AC2353" s="4" t="s">
        <v>2272</v>
      </c>
      <c r="AD2353" s="4"/>
      <c r="AE2353" s="4"/>
    </row>
    <row r="2354" spans="1:31" s="199" customFormat="1" ht="49" customHeight="1">
      <c r="A2354" s="4" t="s">
        <v>6891</v>
      </c>
      <c r="B2354" s="4" t="s">
        <v>6934</v>
      </c>
      <c r="C2354" s="198" t="s">
        <v>2651</v>
      </c>
      <c r="D2354" s="4" t="s">
        <v>2272</v>
      </c>
      <c r="E2354" s="4" t="s">
        <v>3850</v>
      </c>
      <c r="F2354" s="4" t="s">
        <v>2272</v>
      </c>
      <c r="G2354" s="4" t="s">
        <v>73</v>
      </c>
      <c r="H2354" s="4" t="s">
        <v>521</v>
      </c>
      <c r="I2354" s="4"/>
      <c r="J2354" s="4" t="s">
        <v>2272</v>
      </c>
      <c r="K2354" s="71">
        <f>K2347*0.008</f>
        <v>2.5788341822297676E-3</v>
      </c>
      <c r="L2354" s="4" t="s">
        <v>2272</v>
      </c>
      <c r="M2354" s="4" t="s">
        <v>2272</v>
      </c>
      <c r="N2354" s="4" t="s">
        <v>2272</v>
      </c>
      <c r="O2354" s="4" t="s">
        <v>2272</v>
      </c>
      <c r="P2354" s="4" t="s">
        <v>2272</v>
      </c>
      <c r="Q2354" s="4" t="s">
        <v>2272</v>
      </c>
      <c r="R2354" s="4" t="s">
        <v>2272</v>
      </c>
      <c r="S2354" s="4" t="s">
        <v>2272</v>
      </c>
      <c r="T2354" s="4" t="s">
        <v>2272</v>
      </c>
      <c r="U2354" s="4" t="s">
        <v>2272</v>
      </c>
      <c r="V2354" s="4" t="s">
        <v>2272</v>
      </c>
      <c r="W2354" s="4" t="s">
        <v>2272</v>
      </c>
      <c r="X2354" s="4" t="s">
        <v>2272</v>
      </c>
      <c r="Y2354" s="4" t="s">
        <v>2272</v>
      </c>
      <c r="Z2354" s="4" t="s">
        <v>2272</v>
      </c>
      <c r="AA2354" s="4" t="s">
        <v>2272</v>
      </c>
      <c r="AB2354" s="4" t="s">
        <v>2272</v>
      </c>
      <c r="AC2354" s="4" t="s">
        <v>2272</v>
      </c>
      <c r="AD2354" s="4"/>
      <c r="AE2354" s="4"/>
    </row>
    <row r="2355" spans="1:31" s="199" customFormat="1" ht="49" customHeight="1">
      <c r="A2355" s="4" t="s">
        <v>6891</v>
      </c>
      <c r="B2355" s="4" t="s">
        <v>6935</v>
      </c>
      <c r="C2355" s="198" t="s">
        <v>2653</v>
      </c>
      <c r="D2355" s="4" t="s">
        <v>2272</v>
      </c>
      <c r="E2355" s="4" t="s">
        <v>2272</v>
      </c>
      <c r="F2355" s="4" t="s">
        <v>2272</v>
      </c>
      <c r="G2355" s="4" t="s">
        <v>73</v>
      </c>
      <c r="H2355" s="4" t="s">
        <v>521</v>
      </c>
      <c r="I2355" s="4"/>
      <c r="J2355" s="4" t="s">
        <v>2272</v>
      </c>
      <c r="K2355" s="71">
        <f>K2347*0.142</f>
        <v>4.5774306734578371E-2</v>
      </c>
      <c r="L2355" s="4" t="s">
        <v>2272</v>
      </c>
      <c r="M2355" s="4" t="s">
        <v>2272</v>
      </c>
      <c r="N2355" s="4" t="s">
        <v>2272</v>
      </c>
      <c r="O2355" s="4" t="s">
        <v>2272</v>
      </c>
      <c r="P2355" s="4" t="s">
        <v>2272</v>
      </c>
      <c r="Q2355" s="4" t="s">
        <v>2272</v>
      </c>
      <c r="R2355" s="4" t="s">
        <v>2272</v>
      </c>
      <c r="S2355" s="4" t="s">
        <v>2272</v>
      </c>
      <c r="T2355" s="4" t="s">
        <v>2272</v>
      </c>
      <c r="U2355" s="4" t="s">
        <v>2272</v>
      </c>
      <c r="V2355" s="4" t="s">
        <v>2272</v>
      </c>
      <c r="W2355" s="4" t="s">
        <v>2272</v>
      </c>
      <c r="X2355" s="4" t="s">
        <v>2272</v>
      </c>
      <c r="Y2355" s="4" t="s">
        <v>2272</v>
      </c>
      <c r="Z2355" s="4" t="s">
        <v>2272</v>
      </c>
      <c r="AA2355" s="4" t="s">
        <v>2272</v>
      </c>
      <c r="AB2355" s="4" t="s">
        <v>2272</v>
      </c>
      <c r="AC2355" s="4" t="s">
        <v>2272</v>
      </c>
      <c r="AD2355" s="4"/>
      <c r="AE2355" s="4"/>
    </row>
    <row r="2356" spans="1:31" s="199" customFormat="1" ht="49" customHeight="1">
      <c r="A2356" s="4" t="s">
        <v>6892</v>
      </c>
      <c r="B2356" s="4" t="s">
        <v>6936</v>
      </c>
      <c r="C2356" s="4" t="s">
        <v>1102</v>
      </c>
      <c r="D2356" s="4" t="s">
        <v>1102</v>
      </c>
      <c r="E2356" s="4" t="s">
        <v>1102</v>
      </c>
      <c r="F2356" s="4" t="s">
        <v>2272</v>
      </c>
      <c r="G2356" s="4" t="s">
        <v>73</v>
      </c>
      <c r="H2356" s="4" t="s">
        <v>521</v>
      </c>
      <c r="I2356" s="4"/>
      <c r="J2356" s="71">
        <f>43736/19/('Record info'!$K$994*0.7129032)</f>
        <v>0.31563071714913132</v>
      </c>
      <c r="K2356" s="71">
        <f>43736/19/'Record info'!$K$994</f>
        <v>0.22501414827391059</v>
      </c>
      <c r="L2356" s="4" t="s">
        <v>2272</v>
      </c>
      <c r="M2356" s="4" t="s">
        <v>2272</v>
      </c>
      <c r="N2356" s="4" t="s">
        <v>2272</v>
      </c>
      <c r="O2356" s="4" t="s">
        <v>2272</v>
      </c>
      <c r="P2356" s="4" t="s">
        <v>2272</v>
      </c>
      <c r="Q2356" s="71">
        <v>5.3719999999999999</v>
      </c>
      <c r="R2356" s="4" t="s">
        <v>2272</v>
      </c>
      <c r="S2356" s="4" t="s">
        <v>2272</v>
      </c>
      <c r="T2356" s="4" t="s">
        <v>2272</v>
      </c>
      <c r="U2356" s="71">
        <v>234960</v>
      </c>
      <c r="V2356" s="4" t="s">
        <v>2272</v>
      </c>
      <c r="W2356" s="71">
        <f>2136/6630*100/19</f>
        <v>1.6956418194808287</v>
      </c>
      <c r="X2356" s="4" t="s">
        <v>2272</v>
      </c>
      <c r="Y2356" s="4" t="s">
        <v>2272</v>
      </c>
      <c r="Z2356" s="4" t="s">
        <v>2272</v>
      </c>
      <c r="AA2356" s="4" t="s">
        <v>2272</v>
      </c>
      <c r="AB2356" s="4" t="s">
        <v>2272</v>
      </c>
      <c r="AC2356" s="4" t="s">
        <v>2272</v>
      </c>
      <c r="AD2356" s="4"/>
      <c r="AE2356" s="4"/>
    </row>
    <row r="2357" spans="1:31" s="199" customFormat="1" ht="49" customHeight="1">
      <c r="A2357" s="4" t="s">
        <v>6892</v>
      </c>
      <c r="B2357" s="4" t="s">
        <v>6937</v>
      </c>
      <c r="C2357" s="198" t="s">
        <v>23</v>
      </c>
      <c r="D2357" s="4" t="s">
        <v>2272</v>
      </c>
      <c r="E2357" s="4" t="s">
        <v>2644</v>
      </c>
      <c r="F2357" s="4" t="s">
        <v>73</v>
      </c>
      <c r="G2357" s="4" t="s">
        <v>73</v>
      </c>
      <c r="H2357" s="4" t="s">
        <v>521</v>
      </c>
      <c r="I2357" s="4"/>
      <c r="J2357" s="71">
        <f>J2356*(0.705)-J2358-J2361</f>
        <v>0.21361886936653207</v>
      </c>
      <c r="K2357" s="71">
        <f>K2356*(0.705)-K2358-K2361</f>
        <v>0.15228957555178269</v>
      </c>
      <c r="L2357" s="4" t="s">
        <v>2272</v>
      </c>
      <c r="M2357" s="4" t="s">
        <v>2272</v>
      </c>
      <c r="N2357" s="4" t="s">
        <v>2272</v>
      </c>
      <c r="O2357" s="4" t="s">
        <v>2272</v>
      </c>
      <c r="P2357" s="4" t="s">
        <v>2272</v>
      </c>
      <c r="Q2357" s="4" t="s">
        <v>2272</v>
      </c>
      <c r="R2357" s="4" t="s">
        <v>2272</v>
      </c>
      <c r="S2357" s="4" t="s">
        <v>2272</v>
      </c>
      <c r="T2357" s="4" t="s">
        <v>2272</v>
      </c>
      <c r="U2357" s="4" t="s">
        <v>2272</v>
      </c>
      <c r="V2357" s="4" t="s">
        <v>2272</v>
      </c>
      <c r="W2357" s="4" t="s">
        <v>2272</v>
      </c>
      <c r="X2357" s="4" t="s">
        <v>2272</v>
      </c>
      <c r="Y2357" s="4" t="s">
        <v>2272</v>
      </c>
      <c r="Z2357" s="4" t="s">
        <v>2272</v>
      </c>
      <c r="AA2357" s="4" t="s">
        <v>2272</v>
      </c>
      <c r="AB2357" s="4" t="s">
        <v>2272</v>
      </c>
      <c r="AC2357" s="4" t="s">
        <v>2272</v>
      </c>
      <c r="AD2357" s="4"/>
      <c r="AE2357" s="4"/>
    </row>
    <row r="2358" spans="1:31" s="199" customFormat="1" ht="49" customHeight="1">
      <c r="A2358" s="4" t="s">
        <v>6892</v>
      </c>
      <c r="B2358" s="4" t="s">
        <v>6938</v>
      </c>
      <c r="C2358" s="198" t="s">
        <v>23</v>
      </c>
      <c r="D2358" s="4" t="s">
        <v>2272</v>
      </c>
      <c r="E2358" s="4" t="s">
        <v>3850</v>
      </c>
      <c r="F2358" s="4" t="s">
        <v>73</v>
      </c>
      <c r="G2358" s="4" t="s">
        <v>73</v>
      </c>
      <c r="H2358" s="4" t="s">
        <v>521</v>
      </c>
      <c r="I2358" s="4"/>
      <c r="J2358" s="71">
        <f>J2356*0.705*(0.036)</f>
        <v>8.010707601244952E-3</v>
      </c>
      <c r="K2358" s="71">
        <f>K2356*0.705*(0.036)</f>
        <v>5.7108590831918505E-3</v>
      </c>
      <c r="L2358" s="4" t="s">
        <v>2272</v>
      </c>
      <c r="M2358" s="4" t="s">
        <v>2272</v>
      </c>
      <c r="N2358" s="4" t="s">
        <v>2272</v>
      </c>
      <c r="O2358" s="4" t="s">
        <v>2272</v>
      </c>
      <c r="P2358" s="4" t="s">
        <v>2272</v>
      </c>
      <c r="Q2358" s="4" t="s">
        <v>2272</v>
      </c>
      <c r="R2358" s="4" t="s">
        <v>2272</v>
      </c>
      <c r="S2358" s="4" t="s">
        <v>2272</v>
      </c>
      <c r="T2358" s="4" t="s">
        <v>2272</v>
      </c>
      <c r="U2358" s="4" t="s">
        <v>2272</v>
      </c>
      <c r="V2358" s="4" t="s">
        <v>2272</v>
      </c>
      <c r="W2358" s="4" t="s">
        <v>2272</v>
      </c>
      <c r="X2358" s="4" t="s">
        <v>2272</v>
      </c>
      <c r="Y2358" s="4" t="s">
        <v>2272</v>
      </c>
      <c r="Z2358" s="4" t="s">
        <v>2272</v>
      </c>
      <c r="AA2358" s="4" t="s">
        <v>2272</v>
      </c>
      <c r="AB2358" s="4" t="s">
        <v>2272</v>
      </c>
      <c r="AC2358" s="4" t="s">
        <v>2272</v>
      </c>
      <c r="AD2358" s="4"/>
      <c r="AE2358" s="4"/>
    </row>
    <row r="2359" spans="1:31" s="199" customFormat="1" ht="49" customHeight="1">
      <c r="A2359" s="4" t="s">
        <v>6892</v>
      </c>
      <c r="B2359" s="4" t="s">
        <v>6939</v>
      </c>
      <c r="C2359" s="198" t="s">
        <v>2453</v>
      </c>
      <c r="D2359" s="4" t="s">
        <v>2272</v>
      </c>
      <c r="E2359" s="4" t="s">
        <v>3850</v>
      </c>
      <c r="F2359" s="4" t="s">
        <v>2272</v>
      </c>
      <c r="G2359" s="4" t="s">
        <v>73</v>
      </c>
      <c r="H2359" s="4" t="s">
        <v>521</v>
      </c>
      <c r="I2359" s="4"/>
      <c r="J2359" s="71">
        <f>J2356*0.028/2</f>
        <v>4.4188300400878388E-3</v>
      </c>
      <c r="K2359" s="71">
        <f>K2356*0.028/2</f>
        <v>3.1501980758347481E-3</v>
      </c>
      <c r="L2359" s="4" t="s">
        <v>2272</v>
      </c>
      <c r="M2359" s="4" t="s">
        <v>2272</v>
      </c>
      <c r="N2359" s="4" t="s">
        <v>2272</v>
      </c>
      <c r="O2359" s="4" t="s">
        <v>2272</v>
      </c>
      <c r="P2359" s="4" t="s">
        <v>2272</v>
      </c>
      <c r="Q2359" s="4" t="s">
        <v>2272</v>
      </c>
      <c r="R2359" s="4" t="s">
        <v>2272</v>
      </c>
      <c r="S2359" s="4" t="s">
        <v>2272</v>
      </c>
      <c r="T2359" s="4" t="s">
        <v>2272</v>
      </c>
      <c r="U2359" s="4" t="s">
        <v>2272</v>
      </c>
      <c r="V2359" s="4" t="s">
        <v>2272</v>
      </c>
      <c r="W2359" s="4" t="s">
        <v>2272</v>
      </c>
      <c r="X2359" s="4" t="s">
        <v>2272</v>
      </c>
      <c r="Y2359" s="4" t="s">
        <v>2272</v>
      </c>
      <c r="Z2359" s="4" t="s">
        <v>2272</v>
      </c>
      <c r="AA2359" s="4" t="s">
        <v>2272</v>
      </c>
      <c r="AB2359" s="4" t="s">
        <v>2272</v>
      </c>
      <c r="AC2359" s="4" t="s">
        <v>2272</v>
      </c>
      <c r="AD2359" s="4"/>
      <c r="AE2359" s="4"/>
    </row>
    <row r="2360" spans="1:31" s="199" customFormat="1" ht="49" customHeight="1">
      <c r="A2360" s="4" t="s">
        <v>6892</v>
      </c>
      <c r="B2360" s="4" t="s">
        <v>6940</v>
      </c>
      <c r="C2360" s="198" t="s">
        <v>2453</v>
      </c>
      <c r="D2360" s="4" t="s">
        <v>2272</v>
      </c>
      <c r="E2360" s="4" t="s">
        <v>2644</v>
      </c>
      <c r="F2360" s="4" t="s">
        <v>2657</v>
      </c>
      <c r="G2360" s="4" t="s">
        <v>73</v>
      </c>
      <c r="H2360" s="4" t="s">
        <v>521</v>
      </c>
      <c r="I2360" s="4"/>
      <c r="J2360" s="71">
        <f>J2356*0.028/2</f>
        <v>4.4188300400878388E-3</v>
      </c>
      <c r="K2360" s="71">
        <f>K2356*0.028/2</f>
        <v>3.1501980758347481E-3</v>
      </c>
      <c r="L2360" s="4" t="s">
        <v>2272</v>
      </c>
      <c r="M2360" s="4" t="s">
        <v>2272</v>
      </c>
      <c r="N2360" s="4" t="s">
        <v>2272</v>
      </c>
      <c r="O2360" s="4" t="s">
        <v>2272</v>
      </c>
      <c r="P2360" s="4" t="s">
        <v>2272</v>
      </c>
      <c r="Q2360" s="4" t="s">
        <v>2272</v>
      </c>
      <c r="R2360" s="4" t="s">
        <v>2272</v>
      </c>
      <c r="S2360" s="4" t="s">
        <v>2272</v>
      </c>
      <c r="T2360" s="4" t="s">
        <v>2272</v>
      </c>
      <c r="U2360" s="4" t="s">
        <v>2272</v>
      </c>
      <c r="V2360" s="4" t="s">
        <v>2272</v>
      </c>
      <c r="W2360" s="4" t="s">
        <v>2272</v>
      </c>
      <c r="X2360" s="4" t="s">
        <v>2272</v>
      </c>
      <c r="Y2360" s="4" t="s">
        <v>2272</v>
      </c>
      <c r="Z2360" s="4" t="s">
        <v>2272</v>
      </c>
      <c r="AA2360" s="4" t="s">
        <v>2272</v>
      </c>
      <c r="AB2360" s="4" t="s">
        <v>2272</v>
      </c>
      <c r="AC2360" s="4" t="s">
        <v>2272</v>
      </c>
      <c r="AD2360" s="4"/>
      <c r="AE2360" s="4"/>
    </row>
    <row r="2361" spans="1:31" s="199" customFormat="1" ht="49" customHeight="1">
      <c r="A2361" s="4" t="s">
        <v>6892</v>
      </c>
      <c r="B2361" s="4" t="s">
        <v>6941</v>
      </c>
      <c r="C2361" s="198" t="s">
        <v>23</v>
      </c>
      <c r="D2361" s="4" t="s">
        <v>2342</v>
      </c>
      <c r="E2361" s="4" t="s">
        <v>3850</v>
      </c>
      <c r="F2361" s="4" t="s">
        <v>2658</v>
      </c>
      <c r="G2361" s="4" t="s">
        <v>2658</v>
      </c>
      <c r="H2361" s="4" t="s">
        <v>521</v>
      </c>
      <c r="I2361" s="4"/>
      <c r="J2361" s="71">
        <f>J2356*0.004*0.705</f>
        <v>8.9007862236055023E-4</v>
      </c>
      <c r="K2361" s="71">
        <f>K2356*0.004*0.705</f>
        <v>6.3453989813242785E-4</v>
      </c>
      <c r="L2361" s="4" t="s">
        <v>2272</v>
      </c>
      <c r="M2361" s="4" t="s">
        <v>2272</v>
      </c>
      <c r="N2361" s="4" t="s">
        <v>2272</v>
      </c>
      <c r="O2361" s="4" t="s">
        <v>2272</v>
      </c>
      <c r="P2361" s="4" t="s">
        <v>2272</v>
      </c>
      <c r="Q2361" s="4" t="s">
        <v>2272</v>
      </c>
      <c r="R2361" s="4" t="s">
        <v>2272</v>
      </c>
      <c r="S2361" s="4" t="s">
        <v>2272</v>
      </c>
      <c r="T2361" s="4" t="s">
        <v>2272</v>
      </c>
      <c r="U2361" s="4" t="s">
        <v>2272</v>
      </c>
      <c r="V2361" s="4" t="s">
        <v>2272</v>
      </c>
      <c r="W2361" s="4" t="s">
        <v>2272</v>
      </c>
      <c r="X2361" s="4" t="s">
        <v>2272</v>
      </c>
      <c r="Y2361" s="4" t="s">
        <v>2272</v>
      </c>
      <c r="Z2361" s="4" t="s">
        <v>2272</v>
      </c>
      <c r="AA2361" s="4" t="s">
        <v>2272</v>
      </c>
      <c r="AB2361" s="4" t="s">
        <v>2272</v>
      </c>
      <c r="AC2361" s="4" t="s">
        <v>2272</v>
      </c>
      <c r="AD2361" s="4"/>
      <c r="AE2361" s="4"/>
    </row>
    <row r="2362" spans="1:31" s="199" customFormat="1" ht="49" customHeight="1">
      <c r="A2362" s="4" t="s">
        <v>6892</v>
      </c>
      <c r="B2362" s="4" t="s">
        <v>6942</v>
      </c>
      <c r="C2362" s="198" t="s">
        <v>30</v>
      </c>
      <c r="D2362" s="4" t="s">
        <v>29</v>
      </c>
      <c r="E2362" s="4" t="s">
        <v>2272</v>
      </c>
      <c r="F2362" s="4" t="s">
        <v>2272</v>
      </c>
      <c r="G2362" s="4" t="s">
        <v>73</v>
      </c>
      <c r="H2362" s="4" t="s">
        <v>521</v>
      </c>
      <c r="I2362" s="4"/>
      <c r="J2362" s="71">
        <f>J2356*0.028</f>
        <v>8.8376600801756775E-3</v>
      </c>
      <c r="K2362" s="71">
        <f>K2356*0.028</f>
        <v>6.3003961516694962E-3</v>
      </c>
      <c r="L2362" s="4" t="s">
        <v>2272</v>
      </c>
      <c r="M2362" s="4" t="s">
        <v>2272</v>
      </c>
      <c r="N2362" s="4" t="s">
        <v>2272</v>
      </c>
      <c r="O2362" s="4" t="s">
        <v>2272</v>
      </c>
      <c r="P2362" s="4" t="s">
        <v>2272</v>
      </c>
      <c r="Q2362" s="4" t="s">
        <v>2272</v>
      </c>
      <c r="R2362" s="4" t="s">
        <v>2272</v>
      </c>
      <c r="S2362" s="4" t="s">
        <v>2272</v>
      </c>
      <c r="T2362" s="4" t="s">
        <v>2272</v>
      </c>
      <c r="U2362" s="4" t="s">
        <v>2272</v>
      </c>
      <c r="V2362" s="4" t="s">
        <v>2272</v>
      </c>
      <c r="W2362" s="4" t="s">
        <v>2272</v>
      </c>
      <c r="X2362" s="4" t="s">
        <v>2272</v>
      </c>
      <c r="Y2362" s="4" t="s">
        <v>2272</v>
      </c>
      <c r="Z2362" s="4" t="s">
        <v>2272</v>
      </c>
      <c r="AA2362" s="4" t="s">
        <v>2272</v>
      </c>
      <c r="AB2362" s="4" t="s">
        <v>2272</v>
      </c>
      <c r="AC2362" s="4" t="s">
        <v>2272</v>
      </c>
      <c r="AD2362" s="4"/>
      <c r="AE2362" s="4"/>
    </row>
    <row r="2363" spans="1:31" s="199" customFormat="1" ht="49" customHeight="1">
      <c r="A2363" s="4" t="s">
        <v>6892</v>
      </c>
      <c r="B2363" s="4" t="s">
        <v>6943</v>
      </c>
      <c r="C2363" s="198" t="s">
        <v>2651</v>
      </c>
      <c r="D2363" s="4" t="s">
        <v>2272</v>
      </c>
      <c r="E2363" s="4" t="s">
        <v>3850</v>
      </c>
      <c r="F2363" s="4" t="s">
        <v>2272</v>
      </c>
      <c r="G2363" s="4" t="s">
        <v>73</v>
      </c>
      <c r="H2363" s="4" t="s">
        <v>521</v>
      </c>
      <c r="I2363" s="4"/>
      <c r="J2363" s="71">
        <f>J2356*0.022</f>
        <v>6.9438757772808885E-3</v>
      </c>
      <c r="K2363" s="71">
        <f>K2356*0.022</f>
        <v>4.9503112620260326E-3</v>
      </c>
      <c r="L2363" s="4" t="s">
        <v>2272</v>
      </c>
      <c r="M2363" s="4" t="s">
        <v>2272</v>
      </c>
      <c r="N2363" s="4" t="s">
        <v>2272</v>
      </c>
      <c r="O2363" s="4" t="s">
        <v>2272</v>
      </c>
      <c r="P2363" s="4" t="s">
        <v>2272</v>
      </c>
      <c r="Q2363" s="4" t="s">
        <v>2272</v>
      </c>
      <c r="R2363" s="4" t="s">
        <v>2272</v>
      </c>
      <c r="S2363" s="4" t="s">
        <v>2272</v>
      </c>
      <c r="T2363" s="4" t="s">
        <v>2272</v>
      </c>
      <c r="U2363" s="4" t="s">
        <v>2272</v>
      </c>
      <c r="V2363" s="4" t="s">
        <v>2272</v>
      </c>
      <c r="W2363" s="4" t="s">
        <v>2272</v>
      </c>
      <c r="X2363" s="4" t="s">
        <v>2272</v>
      </c>
      <c r="Y2363" s="4" t="s">
        <v>2272</v>
      </c>
      <c r="Z2363" s="4" t="s">
        <v>2272</v>
      </c>
      <c r="AA2363" s="4" t="s">
        <v>2272</v>
      </c>
      <c r="AB2363" s="4" t="s">
        <v>2272</v>
      </c>
      <c r="AC2363" s="4" t="s">
        <v>2272</v>
      </c>
      <c r="AD2363" s="4"/>
      <c r="AE2363" s="4"/>
    </row>
    <row r="2364" spans="1:31" s="199" customFormat="1" ht="49" customHeight="1">
      <c r="A2364" s="4" t="s">
        <v>6892</v>
      </c>
      <c r="B2364" s="4" t="s">
        <v>6944</v>
      </c>
      <c r="C2364" s="198" t="s">
        <v>2653</v>
      </c>
      <c r="D2364" s="4" t="s">
        <v>2272</v>
      </c>
      <c r="E2364" s="4" t="s">
        <v>2272</v>
      </c>
      <c r="F2364" s="4" t="s">
        <v>2272</v>
      </c>
      <c r="G2364" s="4" t="s">
        <v>73</v>
      </c>
      <c r="H2364" s="4" t="s">
        <v>521</v>
      </c>
      <c r="I2364" s="4"/>
      <c r="J2364" s="71">
        <f>J2356*0.199</f>
        <v>6.2810512712677138E-2</v>
      </c>
      <c r="K2364" s="71">
        <f>K2356*0.199</f>
        <v>4.4777815506508209E-2</v>
      </c>
      <c r="L2364" s="4" t="s">
        <v>2272</v>
      </c>
      <c r="M2364" s="4" t="s">
        <v>2272</v>
      </c>
      <c r="N2364" s="4" t="s">
        <v>2272</v>
      </c>
      <c r="O2364" s="4" t="s">
        <v>2272</v>
      </c>
      <c r="P2364" s="4" t="s">
        <v>2272</v>
      </c>
      <c r="Q2364" s="4" t="s">
        <v>2272</v>
      </c>
      <c r="R2364" s="4" t="s">
        <v>2272</v>
      </c>
      <c r="S2364" s="4" t="s">
        <v>2272</v>
      </c>
      <c r="T2364" s="4" t="s">
        <v>2272</v>
      </c>
      <c r="U2364" s="4" t="s">
        <v>2272</v>
      </c>
      <c r="V2364" s="4" t="s">
        <v>2272</v>
      </c>
      <c r="W2364" s="4" t="s">
        <v>2272</v>
      </c>
      <c r="X2364" s="4" t="s">
        <v>2272</v>
      </c>
      <c r="Y2364" s="4" t="s">
        <v>2272</v>
      </c>
      <c r="Z2364" s="4" t="s">
        <v>2272</v>
      </c>
      <c r="AA2364" s="4" t="s">
        <v>2272</v>
      </c>
      <c r="AB2364" s="4" t="s">
        <v>2272</v>
      </c>
      <c r="AC2364" s="4" t="s">
        <v>2272</v>
      </c>
      <c r="AD2364" s="4"/>
      <c r="AE2364" s="4"/>
    </row>
    <row r="2365" spans="1:31" s="199" customFormat="1" ht="49" customHeight="1">
      <c r="A2365" s="4" t="s">
        <v>6893</v>
      </c>
      <c r="B2365" s="4" t="s">
        <v>6945</v>
      </c>
      <c r="C2365" s="4" t="s">
        <v>1102</v>
      </c>
      <c r="D2365" s="4" t="s">
        <v>1102</v>
      </c>
      <c r="E2365" s="4" t="s">
        <v>1102</v>
      </c>
      <c r="F2365" s="4" t="s">
        <v>2272</v>
      </c>
      <c r="G2365" s="4" t="s">
        <v>73</v>
      </c>
      <c r="H2365" s="4" t="s">
        <v>521</v>
      </c>
      <c r="I2365" s="4"/>
      <c r="J2365" s="4" t="s">
        <v>2272</v>
      </c>
      <c r="K2365" s="71">
        <f>17501.5/19/'Record info'!$K$995</f>
        <v>0.58262591963780419</v>
      </c>
      <c r="L2365" s="4" t="s">
        <v>2272</v>
      </c>
      <c r="M2365" s="4" t="s">
        <v>2272</v>
      </c>
      <c r="N2365" s="4" t="s">
        <v>2272</v>
      </c>
      <c r="O2365" s="4" t="s">
        <v>2272</v>
      </c>
      <c r="P2365" s="4" t="s">
        <v>2272</v>
      </c>
      <c r="Q2365" s="71">
        <v>4.2610000000000001</v>
      </c>
      <c r="R2365" s="4" t="s">
        <v>2272</v>
      </c>
      <c r="S2365" s="4" t="s">
        <v>2272</v>
      </c>
      <c r="T2365" s="4" t="s">
        <v>2272</v>
      </c>
      <c r="U2365" s="71">
        <v>74579</v>
      </c>
      <c r="V2365" s="4" t="s">
        <v>2272</v>
      </c>
      <c r="W2365" s="71">
        <f>4387/10871*100/19</f>
        <v>2.1239512173866735</v>
      </c>
      <c r="X2365" s="4" t="s">
        <v>2272</v>
      </c>
      <c r="Y2365" s="4" t="s">
        <v>2272</v>
      </c>
      <c r="Z2365" s="4" t="s">
        <v>2272</v>
      </c>
      <c r="AA2365" s="4" t="s">
        <v>2272</v>
      </c>
      <c r="AB2365" s="4" t="s">
        <v>2272</v>
      </c>
      <c r="AC2365" s="4" t="s">
        <v>2272</v>
      </c>
      <c r="AD2365" s="4"/>
      <c r="AE2365" s="4"/>
    </row>
    <row r="2366" spans="1:31" s="199" customFormat="1" ht="49" customHeight="1">
      <c r="A2366" s="4" t="s">
        <v>6893</v>
      </c>
      <c r="B2366" s="4" t="s">
        <v>6946</v>
      </c>
      <c r="C2366" s="198" t="s">
        <v>23</v>
      </c>
      <c r="D2366" s="4" t="s">
        <v>2272</v>
      </c>
      <c r="E2366" s="4" t="s">
        <v>2644</v>
      </c>
      <c r="F2366" s="4" t="s">
        <v>73</v>
      </c>
      <c r="G2366" s="4" t="s">
        <v>73</v>
      </c>
      <c r="H2366" s="4" t="s">
        <v>521</v>
      </c>
      <c r="I2366" s="4"/>
      <c r="J2366" s="4" t="s">
        <v>2272</v>
      </c>
      <c r="K2366" s="71">
        <f>K2365*(0.86)-K2367-K2370</f>
        <v>0.26205348613469159</v>
      </c>
      <c r="L2366" s="4" t="s">
        <v>2272</v>
      </c>
      <c r="M2366" s="4" t="s">
        <v>2272</v>
      </c>
      <c r="N2366" s="4" t="s">
        <v>2272</v>
      </c>
      <c r="O2366" s="4" t="s">
        <v>2272</v>
      </c>
      <c r="P2366" s="4" t="s">
        <v>2272</v>
      </c>
      <c r="Q2366" s="4" t="s">
        <v>2272</v>
      </c>
      <c r="R2366" s="4" t="s">
        <v>2272</v>
      </c>
      <c r="S2366" s="4" t="s">
        <v>2272</v>
      </c>
      <c r="T2366" s="4" t="s">
        <v>2272</v>
      </c>
      <c r="U2366" s="4" t="s">
        <v>2272</v>
      </c>
      <c r="V2366" s="4" t="s">
        <v>2272</v>
      </c>
      <c r="W2366" s="4" t="s">
        <v>2272</v>
      </c>
      <c r="X2366" s="4" t="s">
        <v>2272</v>
      </c>
      <c r="Y2366" s="4" t="s">
        <v>2272</v>
      </c>
      <c r="Z2366" s="4" t="s">
        <v>2272</v>
      </c>
      <c r="AA2366" s="4" t="s">
        <v>2272</v>
      </c>
      <c r="AB2366" s="4" t="s">
        <v>2272</v>
      </c>
      <c r="AC2366" s="4" t="s">
        <v>2272</v>
      </c>
      <c r="AD2366" s="4"/>
      <c r="AE2366" s="4"/>
    </row>
    <row r="2367" spans="1:31" s="199" customFormat="1" ht="49" customHeight="1">
      <c r="A2367" s="4" t="s">
        <v>6893</v>
      </c>
      <c r="B2367" s="4" t="s">
        <v>6947</v>
      </c>
      <c r="C2367" s="198" t="s">
        <v>23</v>
      </c>
      <c r="D2367" s="4" t="s">
        <v>2272</v>
      </c>
      <c r="E2367" s="4" t="s">
        <v>3850</v>
      </c>
      <c r="F2367" s="4" t="s">
        <v>73</v>
      </c>
      <c r="G2367" s="4" t="s">
        <v>73</v>
      </c>
      <c r="H2367" s="4" t="s">
        <v>521</v>
      </c>
      <c r="I2367" s="4"/>
      <c r="J2367" s="4" t="s">
        <v>2272</v>
      </c>
      <c r="K2367" s="71">
        <f>K2365*0.86*(0.473)</f>
        <v>0.23700057159026597</v>
      </c>
      <c r="L2367" s="4" t="s">
        <v>2272</v>
      </c>
      <c r="M2367" s="4" t="s">
        <v>2272</v>
      </c>
      <c r="N2367" s="4" t="s">
        <v>2272</v>
      </c>
      <c r="O2367" s="4" t="s">
        <v>2272</v>
      </c>
      <c r="P2367" s="4" t="s">
        <v>2272</v>
      </c>
      <c r="Q2367" s="4" t="s">
        <v>2272</v>
      </c>
      <c r="R2367" s="4" t="s">
        <v>2272</v>
      </c>
      <c r="S2367" s="4" t="s">
        <v>2272</v>
      </c>
      <c r="T2367" s="4" t="s">
        <v>2272</v>
      </c>
      <c r="U2367" s="4" t="s">
        <v>2272</v>
      </c>
      <c r="V2367" s="4" t="s">
        <v>2272</v>
      </c>
      <c r="W2367" s="4" t="s">
        <v>2272</v>
      </c>
      <c r="X2367" s="4" t="s">
        <v>2272</v>
      </c>
      <c r="Y2367" s="4" t="s">
        <v>2272</v>
      </c>
      <c r="Z2367" s="4" t="s">
        <v>2272</v>
      </c>
      <c r="AA2367" s="4" t="s">
        <v>2272</v>
      </c>
      <c r="AB2367" s="4" t="s">
        <v>2272</v>
      </c>
      <c r="AC2367" s="4" t="s">
        <v>2272</v>
      </c>
      <c r="AD2367" s="4"/>
      <c r="AE2367" s="4"/>
    </row>
    <row r="2368" spans="1:31" s="199" customFormat="1" ht="49" customHeight="1">
      <c r="A2368" s="4" t="s">
        <v>6893</v>
      </c>
      <c r="B2368" s="4" t="s">
        <v>6948</v>
      </c>
      <c r="C2368" s="198" t="s">
        <v>2453</v>
      </c>
      <c r="D2368" s="4" t="s">
        <v>2272</v>
      </c>
      <c r="E2368" s="4" t="s">
        <v>3850</v>
      </c>
      <c r="F2368" s="4" t="s">
        <v>2272</v>
      </c>
      <c r="G2368" s="4" t="s">
        <v>73</v>
      </c>
      <c r="H2368" s="4" t="s">
        <v>521</v>
      </c>
      <c r="I2368" s="4"/>
      <c r="J2368" s="4" t="s">
        <v>2272</v>
      </c>
      <c r="K2368" s="71">
        <f>K2365*0.028/2</f>
        <v>8.1567628749292589E-3</v>
      </c>
      <c r="L2368" s="4" t="s">
        <v>2272</v>
      </c>
      <c r="M2368" s="4" t="s">
        <v>2272</v>
      </c>
      <c r="N2368" s="4" t="s">
        <v>2272</v>
      </c>
      <c r="O2368" s="4" t="s">
        <v>2272</v>
      </c>
      <c r="P2368" s="4" t="s">
        <v>2272</v>
      </c>
      <c r="Q2368" s="4" t="s">
        <v>2272</v>
      </c>
      <c r="R2368" s="4" t="s">
        <v>2272</v>
      </c>
      <c r="S2368" s="4" t="s">
        <v>2272</v>
      </c>
      <c r="T2368" s="4" t="s">
        <v>2272</v>
      </c>
      <c r="U2368" s="4" t="s">
        <v>2272</v>
      </c>
      <c r="V2368" s="4" t="s">
        <v>2272</v>
      </c>
      <c r="W2368" s="4" t="s">
        <v>2272</v>
      </c>
      <c r="X2368" s="4" t="s">
        <v>2272</v>
      </c>
      <c r="Y2368" s="4" t="s">
        <v>2272</v>
      </c>
      <c r="Z2368" s="4" t="s">
        <v>2272</v>
      </c>
      <c r="AA2368" s="4" t="s">
        <v>2272</v>
      </c>
      <c r="AB2368" s="4" t="s">
        <v>2272</v>
      </c>
      <c r="AC2368" s="4" t="s">
        <v>2272</v>
      </c>
      <c r="AD2368" s="4"/>
      <c r="AE2368" s="4"/>
    </row>
    <row r="2369" spans="1:31" s="199" customFormat="1" ht="49" customHeight="1">
      <c r="A2369" s="4" t="s">
        <v>6893</v>
      </c>
      <c r="B2369" s="4" t="s">
        <v>6949</v>
      </c>
      <c r="C2369" s="198" t="s">
        <v>2453</v>
      </c>
      <c r="D2369" s="4" t="s">
        <v>2272</v>
      </c>
      <c r="E2369" s="4" t="s">
        <v>2644</v>
      </c>
      <c r="F2369" s="4" t="s">
        <v>2657</v>
      </c>
      <c r="G2369" s="4" t="s">
        <v>73</v>
      </c>
      <c r="H2369" s="4" t="s">
        <v>521</v>
      </c>
      <c r="I2369" s="4"/>
      <c r="J2369" s="4" t="s">
        <v>2272</v>
      </c>
      <c r="K2369" s="71">
        <f>K2365*0.028/2</f>
        <v>8.1567628749292589E-3</v>
      </c>
      <c r="L2369" s="4" t="s">
        <v>2272</v>
      </c>
      <c r="M2369" s="4" t="s">
        <v>2272</v>
      </c>
      <c r="N2369" s="4" t="s">
        <v>2272</v>
      </c>
      <c r="O2369" s="4" t="s">
        <v>2272</v>
      </c>
      <c r="P2369" s="4" t="s">
        <v>2272</v>
      </c>
      <c r="Q2369" s="4" t="s">
        <v>2272</v>
      </c>
      <c r="R2369" s="4" t="s">
        <v>2272</v>
      </c>
      <c r="S2369" s="4" t="s">
        <v>2272</v>
      </c>
      <c r="T2369" s="4" t="s">
        <v>2272</v>
      </c>
      <c r="U2369" s="4" t="s">
        <v>2272</v>
      </c>
      <c r="V2369" s="4" t="s">
        <v>2272</v>
      </c>
      <c r="W2369" s="4" t="s">
        <v>2272</v>
      </c>
      <c r="X2369" s="4" t="s">
        <v>2272</v>
      </c>
      <c r="Y2369" s="4" t="s">
        <v>2272</v>
      </c>
      <c r="Z2369" s="4" t="s">
        <v>2272</v>
      </c>
      <c r="AA2369" s="4" t="s">
        <v>2272</v>
      </c>
      <c r="AB2369" s="4" t="s">
        <v>2272</v>
      </c>
      <c r="AC2369" s="4" t="s">
        <v>2272</v>
      </c>
      <c r="AD2369" s="4"/>
      <c r="AE2369" s="4"/>
    </row>
    <row r="2370" spans="1:31" s="199" customFormat="1" ht="49" customHeight="1">
      <c r="A2370" s="4" t="s">
        <v>6893</v>
      </c>
      <c r="B2370" s="4" t="s">
        <v>6950</v>
      </c>
      <c r="C2370" s="198" t="s">
        <v>23</v>
      </c>
      <c r="D2370" s="4" t="s">
        <v>2342</v>
      </c>
      <c r="E2370" s="4" t="s">
        <v>3850</v>
      </c>
      <c r="F2370" s="4" t="s">
        <v>2658</v>
      </c>
      <c r="G2370" s="4" t="s">
        <v>2658</v>
      </c>
      <c r="H2370" s="4" t="s">
        <v>521</v>
      </c>
      <c r="I2370" s="4"/>
      <c r="J2370" s="4" t="s">
        <v>2272</v>
      </c>
      <c r="K2370" s="71">
        <f>K2365*0.004*0.86</f>
        <v>2.0042331635540464E-3</v>
      </c>
      <c r="L2370" s="4" t="s">
        <v>2272</v>
      </c>
      <c r="M2370" s="4" t="s">
        <v>2272</v>
      </c>
      <c r="N2370" s="4" t="s">
        <v>2272</v>
      </c>
      <c r="O2370" s="4" t="s">
        <v>2272</v>
      </c>
      <c r="P2370" s="4" t="s">
        <v>2272</v>
      </c>
      <c r="Q2370" s="4" t="s">
        <v>2272</v>
      </c>
      <c r="R2370" s="4" t="s">
        <v>2272</v>
      </c>
      <c r="S2370" s="4" t="s">
        <v>2272</v>
      </c>
      <c r="T2370" s="4" t="s">
        <v>2272</v>
      </c>
      <c r="U2370" s="4" t="s">
        <v>2272</v>
      </c>
      <c r="V2370" s="4" t="s">
        <v>2272</v>
      </c>
      <c r="W2370" s="4" t="s">
        <v>2272</v>
      </c>
      <c r="X2370" s="4" t="s">
        <v>2272</v>
      </c>
      <c r="Y2370" s="4" t="s">
        <v>2272</v>
      </c>
      <c r="Z2370" s="4" t="s">
        <v>2272</v>
      </c>
      <c r="AA2370" s="4" t="s">
        <v>2272</v>
      </c>
      <c r="AB2370" s="4" t="s">
        <v>2272</v>
      </c>
      <c r="AC2370" s="4" t="s">
        <v>2272</v>
      </c>
      <c r="AD2370" s="4"/>
      <c r="AE2370" s="4"/>
    </row>
    <row r="2371" spans="1:31" s="199" customFormat="1" ht="49" customHeight="1">
      <c r="A2371" s="4" t="s">
        <v>6893</v>
      </c>
      <c r="B2371" s="4" t="s">
        <v>6951</v>
      </c>
      <c r="C2371" s="198" t="s">
        <v>30</v>
      </c>
      <c r="D2371" s="4" t="s">
        <v>29</v>
      </c>
      <c r="E2371" s="4" t="s">
        <v>2272</v>
      </c>
      <c r="F2371" s="4" t="s">
        <v>2272</v>
      </c>
      <c r="G2371" s="4" t="s">
        <v>73</v>
      </c>
      <c r="H2371" s="4" t="s">
        <v>521</v>
      </c>
      <c r="I2371" s="4"/>
      <c r="J2371" s="4" t="s">
        <v>2272</v>
      </c>
      <c r="K2371" s="71">
        <f>K2365*0.022</f>
        <v>1.2817770232031692E-2</v>
      </c>
      <c r="L2371" s="4" t="s">
        <v>2272</v>
      </c>
      <c r="M2371" s="4" t="s">
        <v>2272</v>
      </c>
      <c r="N2371" s="4" t="s">
        <v>2272</v>
      </c>
      <c r="O2371" s="4" t="s">
        <v>2272</v>
      </c>
      <c r="P2371" s="4" t="s">
        <v>2272</v>
      </c>
      <c r="Q2371" s="4" t="s">
        <v>2272</v>
      </c>
      <c r="R2371" s="4" t="s">
        <v>2272</v>
      </c>
      <c r="S2371" s="4" t="s">
        <v>2272</v>
      </c>
      <c r="T2371" s="4" t="s">
        <v>2272</v>
      </c>
      <c r="U2371" s="4" t="s">
        <v>2272</v>
      </c>
      <c r="V2371" s="4" t="s">
        <v>2272</v>
      </c>
      <c r="W2371" s="4" t="s">
        <v>2272</v>
      </c>
      <c r="X2371" s="4" t="s">
        <v>2272</v>
      </c>
      <c r="Y2371" s="4" t="s">
        <v>2272</v>
      </c>
      <c r="Z2371" s="4" t="s">
        <v>2272</v>
      </c>
      <c r="AA2371" s="4" t="s">
        <v>2272</v>
      </c>
      <c r="AB2371" s="4" t="s">
        <v>2272</v>
      </c>
      <c r="AC2371" s="4" t="s">
        <v>2272</v>
      </c>
      <c r="AD2371" s="4"/>
      <c r="AE2371" s="4"/>
    </row>
    <row r="2372" spans="1:31" s="199" customFormat="1" ht="49" customHeight="1">
      <c r="A2372" s="4" t="s">
        <v>6893</v>
      </c>
      <c r="B2372" s="4" t="s">
        <v>6952</v>
      </c>
      <c r="C2372" s="198" t="s">
        <v>2651</v>
      </c>
      <c r="D2372" s="4" t="s">
        <v>2272</v>
      </c>
      <c r="E2372" s="4" t="s">
        <v>3850</v>
      </c>
      <c r="F2372" s="4" t="s">
        <v>2272</v>
      </c>
      <c r="G2372" s="4" t="s">
        <v>73</v>
      </c>
      <c r="H2372" s="4" t="s">
        <v>521</v>
      </c>
      <c r="I2372" s="4"/>
      <c r="J2372" s="4" t="s">
        <v>2272</v>
      </c>
      <c r="K2372" s="71">
        <f>K2365*0.008</f>
        <v>4.6610073571024336E-3</v>
      </c>
      <c r="L2372" s="4" t="s">
        <v>2272</v>
      </c>
      <c r="M2372" s="4" t="s">
        <v>2272</v>
      </c>
      <c r="N2372" s="4" t="s">
        <v>2272</v>
      </c>
      <c r="O2372" s="4" t="s">
        <v>2272</v>
      </c>
      <c r="P2372" s="4" t="s">
        <v>2272</v>
      </c>
      <c r="Q2372" s="4" t="s">
        <v>2272</v>
      </c>
      <c r="R2372" s="4" t="s">
        <v>2272</v>
      </c>
      <c r="S2372" s="4" t="s">
        <v>2272</v>
      </c>
      <c r="T2372" s="4" t="s">
        <v>2272</v>
      </c>
      <c r="U2372" s="4" t="s">
        <v>2272</v>
      </c>
      <c r="V2372" s="4" t="s">
        <v>2272</v>
      </c>
      <c r="W2372" s="4" t="s">
        <v>2272</v>
      </c>
      <c r="X2372" s="4" t="s">
        <v>2272</v>
      </c>
      <c r="Y2372" s="4" t="s">
        <v>2272</v>
      </c>
      <c r="Z2372" s="4" t="s">
        <v>2272</v>
      </c>
      <c r="AA2372" s="4" t="s">
        <v>2272</v>
      </c>
      <c r="AB2372" s="4" t="s">
        <v>2272</v>
      </c>
      <c r="AC2372" s="4" t="s">
        <v>2272</v>
      </c>
      <c r="AD2372" s="4"/>
      <c r="AE2372" s="4"/>
    </row>
    <row r="2373" spans="1:31" s="199" customFormat="1" ht="49" customHeight="1">
      <c r="A2373" s="4" t="s">
        <v>6893</v>
      </c>
      <c r="B2373" s="4" t="s">
        <v>6953</v>
      </c>
      <c r="C2373" s="198" t="s">
        <v>2653</v>
      </c>
      <c r="D2373" s="4" t="s">
        <v>2272</v>
      </c>
      <c r="E2373" s="4" t="s">
        <v>2272</v>
      </c>
      <c r="F2373" s="4" t="s">
        <v>2272</v>
      </c>
      <c r="G2373" s="4" t="s">
        <v>73</v>
      </c>
      <c r="H2373" s="4" t="s">
        <v>521</v>
      </c>
      <c r="I2373" s="4"/>
      <c r="J2373" s="4" t="s">
        <v>2272</v>
      </c>
      <c r="K2373" s="71">
        <f>K2365*0.064</f>
        <v>3.7288058856819468E-2</v>
      </c>
      <c r="L2373" s="4" t="s">
        <v>2272</v>
      </c>
      <c r="M2373" s="4" t="s">
        <v>2272</v>
      </c>
      <c r="N2373" s="4" t="s">
        <v>2272</v>
      </c>
      <c r="O2373" s="4" t="s">
        <v>2272</v>
      </c>
      <c r="P2373" s="4" t="s">
        <v>2272</v>
      </c>
      <c r="Q2373" s="4" t="s">
        <v>2272</v>
      </c>
      <c r="R2373" s="4" t="s">
        <v>2272</v>
      </c>
      <c r="S2373" s="4" t="s">
        <v>2272</v>
      </c>
      <c r="T2373" s="4" t="s">
        <v>2272</v>
      </c>
      <c r="U2373" s="4" t="s">
        <v>2272</v>
      </c>
      <c r="V2373" s="4" t="s">
        <v>2272</v>
      </c>
      <c r="W2373" s="4" t="s">
        <v>2272</v>
      </c>
      <c r="X2373" s="4" t="s">
        <v>2272</v>
      </c>
      <c r="Y2373" s="4" t="s">
        <v>2272</v>
      </c>
      <c r="Z2373" s="4" t="s">
        <v>2272</v>
      </c>
      <c r="AA2373" s="4" t="s">
        <v>2272</v>
      </c>
      <c r="AB2373" s="4" t="s">
        <v>2272</v>
      </c>
      <c r="AC2373" s="4" t="s">
        <v>2272</v>
      </c>
      <c r="AD2373" s="4"/>
      <c r="AE2373" s="4"/>
    </row>
    <row r="2374" spans="1:31" s="199" customFormat="1" ht="49" customHeight="1">
      <c r="A2374" s="4" t="s">
        <v>6918</v>
      </c>
      <c r="B2374" s="4" t="s">
        <v>6954</v>
      </c>
      <c r="C2374" s="4" t="s">
        <v>1102</v>
      </c>
      <c r="D2374" s="4" t="s">
        <v>1102</v>
      </c>
      <c r="E2374" s="4" t="s">
        <v>1102</v>
      </c>
      <c r="F2374" s="4" t="s">
        <v>2272</v>
      </c>
      <c r="G2374" s="4" t="s">
        <v>73</v>
      </c>
      <c r="H2374" s="4" t="s">
        <v>521</v>
      </c>
      <c r="I2374" s="4"/>
      <c r="J2374" s="4" t="s">
        <v>2272</v>
      </c>
      <c r="K2374" s="71">
        <f>2709/19/'Record info'!$K$996</f>
        <v>7.3005093378607805E-2</v>
      </c>
      <c r="L2374" s="4" t="s">
        <v>2272</v>
      </c>
      <c r="M2374" s="4" t="s">
        <v>2272</v>
      </c>
      <c r="N2374" s="4" t="s">
        <v>2272</v>
      </c>
      <c r="O2374" s="4" t="s">
        <v>2272</v>
      </c>
      <c r="P2374" s="4" t="s">
        <v>2272</v>
      </c>
      <c r="Q2374" s="71">
        <v>6.5810000000000004</v>
      </c>
      <c r="R2374" s="4" t="s">
        <v>2272</v>
      </c>
      <c r="S2374" s="4" t="s">
        <v>2272</v>
      </c>
      <c r="T2374" s="4" t="s">
        <v>2272</v>
      </c>
      <c r="U2374" s="71">
        <v>17829</v>
      </c>
      <c r="V2374" s="4" t="s">
        <v>2272</v>
      </c>
      <c r="W2374" s="71">
        <f>849/6221*100/19</f>
        <v>0.71828018849567254</v>
      </c>
      <c r="X2374" s="4" t="s">
        <v>2272</v>
      </c>
      <c r="Y2374" s="4" t="s">
        <v>2272</v>
      </c>
      <c r="Z2374" s="4" t="s">
        <v>2272</v>
      </c>
      <c r="AA2374" s="4" t="s">
        <v>2272</v>
      </c>
      <c r="AB2374" s="4" t="s">
        <v>2272</v>
      </c>
      <c r="AC2374" s="4" t="s">
        <v>2272</v>
      </c>
      <c r="AD2374" s="4"/>
      <c r="AE2374" s="4"/>
    </row>
    <row r="2375" spans="1:31" s="199" customFormat="1" ht="49" customHeight="1">
      <c r="A2375" s="4" t="s">
        <v>6918</v>
      </c>
      <c r="B2375" s="4" t="s">
        <v>6955</v>
      </c>
      <c r="C2375" s="198" t="s">
        <v>23</v>
      </c>
      <c r="D2375" s="4" t="s">
        <v>2272</v>
      </c>
      <c r="E2375" s="4" t="s">
        <v>2644</v>
      </c>
      <c r="F2375" s="4" t="s">
        <v>73</v>
      </c>
      <c r="G2375" s="4" t="s">
        <v>73</v>
      </c>
      <c r="H2375" s="4" t="s">
        <v>521</v>
      </c>
      <c r="I2375" s="4"/>
      <c r="J2375" s="4" t="s">
        <v>2272</v>
      </c>
      <c r="K2375" s="71">
        <f>K2374*(0.458)-K2376-K2379</f>
        <v>3.0427062818336164E-2</v>
      </c>
      <c r="L2375" s="4" t="s">
        <v>2272</v>
      </c>
      <c r="M2375" s="4" t="s">
        <v>2272</v>
      </c>
      <c r="N2375" s="4" t="s">
        <v>2272</v>
      </c>
      <c r="O2375" s="4" t="s">
        <v>2272</v>
      </c>
      <c r="P2375" s="4" t="s">
        <v>2272</v>
      </c>
      <c r="Q2375" s="4" t="s">
        <v>2272</v>
      </c>
      <c r="R2375" s="4" t="s">
        <v>2272</v>
      </c>
      <c r="S2375" s="4" t="s">
        <v>2272</v>
      </c>
      <c r="T2375" s="4" t="s">
        <v>2272</v>
      </c>
      <c r="U2375" s="4" t="s">
        <v>2272</v>
      </c>
      <c r="V2375" s="4" t="s">
        <v>2272</v>
      </c>
      <c r="W2375" s="4" t="s">
        <v>2272</v>
      </c>
      <c r="X2375" s="4" t="s">
        <v>2272</v>
      </c>
      <c r="Y2375" s="4" t="s">
        <v>2272</v>
      </c>
      <c r="Z2375" s="4" t="s">
        <v>2272</v>
      </c>
      <c r="AA2375" s="4" t="s">
        <v>2272</v>
      </c>
      <c r="AB2375" s="4" t="s">
        <v>2272</v>
      </c>
      <c r="AC2375" s="4" t="s">
        <v>2272</v>
      </c>
      <c r="AD2375" s="4"/>
      <c r="AE2375" s="4"/>
    </row>
    <row r="2376" spans="1:31" s="199" customFormat="1" ht="49" customHeight="1">
      <c r="A2376" s="4" t="s">
        <v>6918</v>
      </c>
      <c r="B2376" s="4" t="s">
        <v>6956</v>
      </c>
      <c r="C2376" s="198" t="s">
        <v>23</v>
      </c>
      <c r="D2376" s="4" t="s">
        <v>2272</v>
      </c>
      <c r="E2376" s="4" t="s">
        <v>3850</v>
      </c>
      <c r="F2376" s="4" t="s">
        <v>73</v>
      </c>
      <c r="G2376" s="4" t="s">
        <v>73</v>
      </c>
      <c r="H2376" s="4" t="s">
        <v>521</v>
      </c>
      <c r="I2376" s="4"/>
      <c r="J2376" s="4" t="s">
        <v>2272</v>
      </c>
      <c r="K2376" s="71">
        <f>K2374*0.458*(0.086)</f>
        <v>2.8755246179966044E-3</v>
      </c>
      <c r="L2376" s="4" t="s">
        <v>2272</v>
      </c>
      <c r="M2376" s="4" t="s">
        <v>2272</v>
      </c>
      <c r="N2376" s="4" t="s">
        <v>2272</v>
      </c>
      <c r="O2376" s="4" t="s">
        <v>2272</v>
      </c>
      <c r="P2376" s="4" t="s">
        <v>2272</v>
      </c>
      <c r="Q2376" s="4" t="s">
        <v>2272</v>
      </c>
      <c r="R2376" s="4" t="s">
        <v>2272</v>
      </c>
      <c r="S2376" s="4" t="s">
        <v>2272</v>
      </c>
      <c r="T2376" s="4" t="s">
        <v>2272</v>
      </c>
      <c r="U2376" s="4" t="s">
        <v>2272</v>
      </c>
      <c r="V2376" s="4" t="s">
        <v>2272</v>
      </c>
      <c r="W2376" s="4" t="s">
        <v>2272</v>
      </c>
      <c r="X2376" s="4" t="s">
        <v>2272</v>
      </c>
      <c r="Y2376" s="4" t="s">
        <v>2272</v>
      </c>
      <c r="Z2376" s="4" t="s">
        <v>2272</v>
      </c>
      <c r="AA2376" s="4" t="s">
        <v>2272</v>
      </c>
      <c r="AB2376" s="4" t="s">
        <v>2272</v>
      </c>
      <c r="AC2376" s="4" t="s">
        <v>2272</v>
      </c>
      <c r="AD2376" s="4"/>
      <c r="AE2376" s="4"/>
    </row>
    <row r="2377" spans="1:31" s="199" customFormat="1" ht="49" customHeight="1">
      <c r="A2377" s="4" t="s">
        <v>6918</v>
      </c>
      <c r="B2377" s="4" t="s">
        <v>6957</v>
      </c>
      <c r="C2377" s="198" t="s">
        <v>2453</v>
      </c>
      <c r="D2377" s="4" t="s">
        <v>2272</v>
      </c>
      <c r="E2377" s="4" t="s">
        <v>3850</v>
      </c>
      <c r="F2377" s="4" t="s">
        <v>2272</v>
      </c>
      <c r="G2377" s="4" t="s">
        <v>73</v>
      </c>
      <c r="H2377" s="4" t="s">
        <v>521</v>
      </c>
      <c r="I2377" s="4"/>
      <c r="J2377" s="4" t="s">
        <v>2272</v>
      </c>
      <c r="K2377" s="71">
        <f>K2374*0.167/2</f>
        <v>6.0959252971137523E-3</v>
      </c>
      <c r="L2377" s="4" t="s">
        <v>2272</v>
      </c>
      <c r="M2377" s="4" t="s">
        <v>2272</v>
      </c>
      <c r="N2377" s="4" t="s">
        <v>2272</v>
      </c>
      <c r="O2377" s="4" t="s">
        <v>2272</v>
      </c>
      <c r="P2377" s="4" t="s">
        <v>2272</v>
      </c>
      <c r="Q2377" s="4" t="s">
        <v>2272</v>
      </c>
      <c r="R2377" s="4" t="s">
        <v>2272</v>
      </c>
      <c r="S2377" s="4" t="s">
        <v>2272</v>
      </c>
      <c r="T2377" s="4" t="s">
        <v>2272</v>
      </c>
      <c r="U2377" s="4" t="s">
        <v>2272</v>
      </c>
      <c r="V2377" s="4" t="s">
        <v>2272</v>
      </c>
      <c r="W2377" s="4" t="s">
        <v>2272</v>
      </c>
      <c r="X2377" s="4" t="s">
        <v>2272</v>
      </c>
      <c r="Y2377" s="4" t="s">
        <v>2272</v>
      </c>
      <c r="Z2377" s="4" t="s">
        <v>2272</v>
      </c>
      <c r="AA2377" s="4" t="s">
        <v>2272</v>
      </c>
      <c r="AB2377" s="4" t="s">
        <v>2272</v>
      </c>
      <c r="AC2377" s="4" t="s">
        <v>2272</v>
      </c>
      <c r="AD2377" s="4"/>
      <c r="AE2377" s="4"/>
    </row>
    <row r="2378" spans="1:31" s="199" customFormat="1" ht="49" customHeight="1">
      <c r="A2378" s="4" t="s">
        <v>6918</v>
      </c>
      <c r="B2378" s="4" t="s">
        <v>6958</v>
      </c>
      <c r="C2378" s="198" t="s">
        <v>2453</v>
      </c>
      <c r="D2378" s="4" t="s">
        <v>2272</v>
      </c>
      <c r="E2378" s="4" t="s">
        <v>2644</v>
      </c>
      <c r="F2378" s="4" t="s">
        <v>2657</v>
      </c>
      <c r="G2378" s="4" t="s">
        <v>73</v>
      </c>
      <c r="H2378" s="4" t="s">
        <v>521</v>
      </c>
      <c r="I2378" s="4"/>
      <c r="J2378" s="4" t="s">
        <v>2272</v>
      </c>
      <c r="K2378" s="71">
        <f>K2374*0.167/2</f>
        <v>6.0959252971137523E-3</v>
      </c>
      <c r="L2378" s="4" t="s">
        <v>2272</v>
      </c>
      <c r="M2378" s="4" t="s">
        <v>2272</v>
      </c>
      <c r="N2378" s="4" t="s">
        <v>2272</v>
      </c>
      <c r="O2378" s="4" t="s">
        <v>2272</v>
      </c>
      <c r="P2378" s="4" t="s">
        <v>2272</v>
      </c>
      <c r="Q2378" s="4" t="s">
        <v>2272</v>
      </c>
      <c r="R2378" s="4" t="s">
        <v>2272</v>
      </c>
      <c r="S2378" s="4" t="s">
        <v>2272</v>
      </c>
      <c r="T2378" s="4" t="s">
        <v>2272</v>
      </c>
      <c r="U2378" s="4" t="s">
        <v>2272</v>
      </c>
      <c r="V2378" s="4" t="s">
        <v>2272</v>
      </c>
      <c r="W2378" s="4" t="s">
        <v>2272</v>
      </c>
      <c r="X2378" s="4" t="s">
        <v>2272</v>
      </c>
      <c r="Y2378" s="4" t="s">
        <v>2272</v>
      </c>
      <c r="Z2378" s="4" t="s">
        <v>2272</v>
      </c>
      <c r="AA2378" s="4" t="s">
        <v>2272</v>
      </c>
      <c r="AB2378" s="4" t="s">
        <v>2272</v>
      </c>
      <c r="AC2378" s="4" t="s">
        <v>2272</v>
      </c>
      <c r="AD2378" s="4"/>
      <c r="AE2378" s="4"/>
    </row>
    <row r="2379" spans="1:31" s="199" customFormat="1" ht="49" customHeight="1">
      <c r="A2379" s="4" t="s">
        <v>6918</v>
      </c>
      <c r="B2379" s="4" t="s">
        <v>6959</v>
      </c>
      <c r="C2379" s="198" t="s">
        <v>23</v>
      </c>
      <c r="D2379" s="4" t="s">
        <v>2342</v>
      </c>
      <c r="E2379" s="4" t="s">
        <v>3850</v>
      </c>
      <c r="F2379" s="4" t="s">
        <v>2658</v>
      </c>
      <c r="G2379" s="4" t="s">
        <v>2658</v>
      </c>
      <c r="H2379" s="4" t="s">
        <v>521</v>
      </c>
      <c r="I2379" s="4"/>
      <c r="J2379" s="4" t="s">
        <v>2272</v>
      </c>
      <c r="K2379" s="71">
        <f>K2374*0.004*0.458</f>
        <v>1.337453310696095E-4</v>
      </c>
      <c r="L2379" s="4" t="s">
        <v>2272</v>
      </c>
      <c r="M2379" s="4" t="s">
        <v>2272</v>
      </c>
      <c r="N2379" s="4" t="s">
        <v>2272</v>
      </c>
      <c r="O2379" s="4" t="s">
        <v>2272</v>
      </c>
      <c r="P2379" s="4" t="s">
        <v>2272</v>
      </c>
      <c r="Q2379" s="4" t="s">
        <v>2272</v>
      </c>
      <c r="R2379" s="4" t="s">
        <v>2272</v>
      </c>
      <c r="S2379" s="4" t="s">
        <v>2272</v>
      </c>
      <c r="T2379" s="4" t="s">
        <v>2272</v>
      </c>
      <c r="U2379" s="4" t="s">
        <v>2272</v>
      </c>
      <c r="V2379" s="4" t="s">
        <v>2272</v>
      </c>
      <c r="W2379" s="4" t="s">
        <v>2272</v>
      </c>
      <c r="X2379" s="4" t="s">
        <v>2272</v>
      </c>
      <c r="Y2379" s="4" t="s">
        <v>2272</v>
      </c>
      <c r="Z2379" s="4" t="s">
        <v>2272</v>
      </c>
      <c r="AA2379" s="4" t="s">
        <v>2272</v>
      </c>
      <c r="AB2379" s="4" t="s">
        <v>2272</v>
      </c>
      <c r="AC2379" s="4" t="s">
        <v>2272</v>
      </c>
      <c r="AD2379" s="4"/>
      <c r="AE2379" s="4"/>
    </row>
    <row r="2380" spans="1:31" s="199" customFormat="1" ht="49" customHeight="1">
      <c r="A2380" s="4" t="s">
        <v>6918</v>
      </c>
      <c r="B2380" s="4" t="s">
        <v>6960</v>
      </c>
      <c r="C2380" s="198" t="s">
        <v>30</v>
      </c>
      <c r="D2380" s="4" t="s">
        <v>29</v>
      </c>
      <c r="E2380" s="4" t="s">
        <v>2272</v>
      </c>
      <c r="F2380" s="4" t="s">
        <v>2272</v>
      </c>
      <c r="G2380" s="4" t="s">
        <v>73</v>
      </c>
      <c r="H2380" s="4" t="s">
        <v>521</v>
      </c>
      <c r="I2380" s="4"/>
      <c r="J2380" s="4" t="s">
        <v>2272</v>
      </c>
      <c r="K2380" s="71">
        <f>K2374*0.06</f>
        <v>4.380305602716468E-3</v>
      </c>
      <c r="L2380" s="4" t="s">
        <v>2272</v>
      </c>
      <c r="M2380" s="4" t="s">
        <v>2272</v>
      </c>
      <c r="N2380" s="4" t="s">
        <v>2272</v>
      </c>
      <c r="O2380" s="4" t="s">
        <v>2272</v>
      </c>
      <c r="P2380" s="4" t="s">
        <v>2272</v>
      </c>
      <c r="Q2380" s="4" t="s">
        <v>2272</v>
      </c>
      <c r="R2380" s="4" t="s">
        <v>2272</v>
      </c>
      <c r="S2380" s="4" t="s">
        <v>2272</v>
      </c>
      <c r="T2380" s="4" t="s">
        <v>2272</v>
      </c>
      <c r="U2380" s="4" t="s">
        <v>2272</v>
      </c>
      <c r="V2380" s="4" t="s">
        <v>2272</v>
      </c>
      <c r="W2380" s="4" t="s">
        <v>2272</v>
      </c>
      <c r="X2380" s="4" t="s">
        <v>2272</v>
      </c>
      <c r="Y2380" s="4" t="s">
        <v>2272</v>
      </c>
      <c r="Z2380" s="4" t="s">
        <v>2272</v>
      </c>
      <c r="AA2380" s="4" t="s">
        <v>2272</v>
      </c>
      <c r="AB2380" s="4" t="s">
        <v>2272</v>
      </c>
      <c r="AC2380" s="4" t="s">
        <v>2272</v>
      </c>
      <c r="AD2380" s="4"/>
      <c r="AE2380" s="4"/>
    </row>
    <row r="2381" spans="1:31" s="199" customFormat="1" ht="49" customHeight="1">
      <c r="A2381" s="4" t="s">
        <v>6918</v>
      </c>
      <c r="B2381" s="4" t="s">
        <v>6961</v>
      </c>
      <c r="C2381" s="198" t="s">
        <v>2651</v>
      </c>
      <c r="D2381" s="4" t="s">
        <v>2272</v>
      </c>
      <c r="E2381" s="4" t="s">
        <v>3850</v>
      </c>
      <c r="F2381" s="4" t="s">
        <v>2272</v>
      </c>
      <c r="G2381" s="4" t="s">
        <v>73</v>
      </c>
      <c r="H2381" s="4" t="s">
        <v>521</v>
      </c>
      <c r="I2381" s="4"/>
      <c r="J2381" s="4" t="s">
        <v>2272</v>
      </c>
      <c r="K2381" s="71">
        <f>K2374*0.018</f>
        <v>1.3140916808149403E-3</v>
      </c>
      <c r="L2381" s="4" t="s">
        <v>2272</v>
      </c>
      <c r="M2381" s="4" t="s">
        <v>2272</v>
      </c>
      <c r="N2381" s="4" t="s">
        <v>2272</v>
      </c>
      <c r="O2381" s="4" t="s">
        <v>2272</v>
      </c>
      <c r="P2381" s="4" t="s">
        <v>2272</v>
      </c>
      <c r="Q2381" s="4" t="s">
        <v>2272</v>
      </c>
      <c r="R2381" s="4" t="s">
        <v>2272</v>
      </c>
      <c r="S2381" s="4" t="s">
        <v>2272</v>
      </c>
      <c r="T2381" s="4" t="s">
        <v>2272</v>
      </c>
      <c r="U2381" s="4" t="s">
        <v>2272</v>
      </c>
      <c r="V2381" s="4" t="s">
        <v>2272</v>
      </c>
      <c r="W2381" s="4" t="s">
        <v>2272</v>
      </c>
      <c r="X2381" s="4" t="s">
        <v>2272</v>
      </c>
      <c r="Y2381" s="4" t="s">
        <v>2272</v>
      </c>
      <c r="Z2381" s="4" t="s">
        <v>2272</v>
      </c>
      <c r="AA2381" s="4" t="s">
        <v>2272</v>
      </c>
      <c r="AB2381" s="4" t="s">
        <v>2272</v>
      </c>
      <c r="AC2381" s="4" t="s">
        <v>2272</v>
      </c>
      <c r="AD2381" s="4"/>
      <c r="AE2381" s="4"/>
    </row>
    <row r="2382" spans="1:31" s="199" customFormat="1" ht="49" customHeight="1">
      <c r="A2382" s="4" t="s">
        <v>6918</v>
      </c>
      <c r="B2382" s="4" t="s">
        <v>6962</v>
      </c>
      <c r="C2382" s="198" t="s">
        <v>2653</v>
      </c>
      <c r="D2382" s="4" t="s">
        <v>2272</v>
      </c>
      <c r="E2382" s="4" t="s">
        <v>2272</v>
      </c>
      <c r="F2382" s="4" t="s">
        <v>2272</v>
      </c>
      <c r="G2382" s="4" t="s">
        <v>73</v>
      </c>
      <c r="H2382" s="4" t="s">
        <v>521</v>
      </c>
      <c r="I2382" s="4"/>
      <c r="J2382" s="4" t="s">
        <v>2272</v>
      </c>
      <c r="K2382" s="71">
        <f>K2374*0.268</f>
        <v>1.9565365025466894E-2</v>
      </c>
      <c r="L2382" s="4" t="s">
        <v>2272</v>
      </c>
      <c r="M2382" s="4" t="s">
        <v>2272</v>
      </c>
      <c r="N2382" s="4" t="s">
        <v>2272</v>
      </c>
      <c r="O2382" s="4" t="s">
        <v>2272</v>
      </c>
      <c r="P2382" s="4" t="s">
        <v>2272</v>
      </c>
      <c r="Q2382" s="4" t="s">
        <v>2272</v>
      </c>
      <c r="R2382" s="4" t="s">
        <v>2272</v>
      </c>
      <c r="S2382" s="4" t="s">
        <v>2272</v>
      </c>
      <c r="T2382" s="4" t="s">
        <v>2272</v>
      </c>
      <c r="U2382" s="4" t="s">
        <v>2272</v>
      </c>
      <c r="V2382" s="4" t="s">
        <v>2272</v>
      </c>
      <c r="W2382" s="4" t="s">
        <v>2272</v>
      </c>
      <c r="X2382" s="4" t="s">
        <v>2272</v>
      </c>
      <c r="Y2382" s="4" t="s">
        <v>2272</v>
      </c>
      <c r="Z2382" s="4" t="s">
        <v>2272</v>
      </c>
      <c r="AA2382" s="4" t="s">
        <v>2272</v>
      </c>
      <c r="AB2382" s="4" t="s">
        <v>2272</v>
      </c>
      <c r="AC2382" s="4" t="s">
        <v>2272</v>
      </c>
      <c r="AD2382" s="4"/>
      <c r="AE2382" s="4"/>
    </row>
    <row r="2383" spans="1:31" ht="29">
      <c r="A2383" s="4" t="s">
        <v>6357</v>
      </c>
      <c r="B2383" s="4" t="s">
        <v>6451</v>
      </c>
      <c r="C2383" s="4" t="s">
        <v>23</v>
      </c>
      <c r="D2383" s="4" t="s">
        <v>2654</v>
      </c>
      <c r="E2383" s="4" t="s">
        <v>395</v>
      </c>
      <c r="F2383" s="4" t="s">
        <v>27</v>
      </c>
      <c r="G2383" s="4" t="s">
        <v>2272</v>
      </c>
      <c r="H2383" s="4" t="s">
        <v>521</v>
      </c>
      <c r="I2383" s="4"/>
      <c r="J2383" s="4" t="s">
        <v>2272</v>
      </c>
      <c r="K2383" s="4" t="s">
        <v>2272</v>
      </c>
      <c r="L2383" s="4" t="s">
        <v>2272</v>
      </c>
      <c r="M2383" s="4" t="s">
        <v>2272</v>
      </c>
      <c r="N2383" s="4" t="s">
        <v>2272</v>
      </c>
      <c r="O2383" s="4" t="s">
        <v>2272</v>
      </c>
      <c r="P2383" s="4" t="s">
        <v>2272</v>
      </c>
      <c r="Q2383" s="4" t="s">
        <v>2272</v>
      </c>
      <c r="R2383" s="4" t="s">
        <v>2272</v>
      </c>
      <c r="S2383" s="4" t="s">
        <v>2272</v>
      </c>
      <c r="T2383" s="4" t="s">
        <v>2272</v>
      </c>
      <c r="U2383" s="4" t="s">
        <v>2272</v>
      </c>
      <c r="V2383" s="71">
        <f>100*2/177*((177)/(177+869+94))</f>
        <v>0.17543859649122809</v>
      </c>
      <c r="W2383" s="4" t="s">
        <v>2272</v>
      </c>
      <c r="X2383" s="4" t="s">
        <v>2272</v>
      </c>
      <c r="Y2383" s="4" t="s">
        <v>2272</v>
      </c>
      <c r="Z2383" s="4" t="s">
        <v>2272</v>
      </c>
      <c r="AA2383" s="4" t="s">
        <v>397</v>
      </c>
      <c r="AB2383" s="4" t="s">
        <v>37</v>
      </c>
      <c r="AC2383" s="4" t="s">
        <v>63</v>
      </c>
      <c r="AD2383" s="4" t="s">
        <v>6427</v>
      </c>
      <c r="AE2383" s="4" t="s">
        <v>6428</v>
      </c>
    </row>
    <row r="2384" spans="1:31" ht="29">
      <c r="A2384" s="4" t="s">
        <v>6357</v>
      </c>
      <c r="B2384" s="4" t="s">
        <v>6452</v>
      </c>
      <c r="C2384" s="4" t="s">
        <v>23</v>
      </c>
      <c r="D2384" s="4" t="s">
        <v>2654</v>
      </c>
      <c r="E2384" s="4" t="s">
        <v>394</v>
      </c>
      <c r="F2384" s="4" t="s">
        <v>27</v>
      </c>
      <c r="G2384" s="4" t="s">
        <v>2272</v>
      </c>
      <c r="H2384" s="4" t="s">
        <v>521</v>
      </c>
      <c r="I2384" s="4"/>
      <c r="J2384" s="4" t="s">
        <v>2272</v>
      </c>
      <c r="K2384" s="4" t="s">
        <v>2272</v>
      </c>
      <c r="L2384" s="4" t="s">
        <v>2272</v>
      </c>
      <c r="M2384" s="4" t="s">
        <v>2272</v>
      </c>
      <c r="N2384" s="4" t="s">
        <v>2272</v>
      </c>
      <c r="O2384" s="4" t="s">
        <v>2272</v>
      </c>
      <c r="P2384" s="4" t="s">
        <v>2272</v>
      </c>
      <c r="Q2384" s="4" t="s">
        <v>2272</v>
      </c>
      <c r="R2384" s="4" t="s">
        <v>2272</v>
      </c>
      <c r="S2384" s="4" t="s">
        <v>2272</v>
      </c>
      <c r="T2384" s="4" t="s">
        <v>2272</v>
      </c>
      <c r="U2384" s="4" t="s">
        <v>2272</v>
      </c>
      <c r="V2384" s="71">
        <f>100*(53+657+141*1/9+15*1/9)/(869+94)*((869+94)/(177+869+94))</f>
        <v>63.801169590643269</v>
      </c>
      <c r="W2384" s="4" t="s">
        <v>2272</v>
      </c>
      <c r="X2384" s="4" t="s">
        <v>2272</v>
      </c>
      <c r="Y2384" s="4" t="s">
        <v>2272</v>
      </c>
      <c r="Z2384" s="4" t="s">
        <v>2272</v>
      </c>
      <c r="AA2384" s="4" t="s">
        <v>397</v>
      </c>
      <c r="AB2384" s="4" t="s">
        <v>37</v>
      </c>
      <c r="AC2384" s="4" t="s">
        <v>63</v>
      </c>
      <c r="AD2384" s="4" t="s">
        <v>6427</v>
      </c>
      <c r="AE2384" s="4" t="s">
        <v>6428</v>
      </c>
    </row>
    <row r="2385" spans="1:31" ht="29">
      <c r="A2385" s="4" t="s">
        <v>6358</v>
      </c>
      <c r="B2385" s="4" t="s">
        <v>6453</v>
      </c>
      <c r="C2385" s="4" t="s">
        <v>23</v>
      </c>
      <c r="D2385" s="4" t="s">
        <v>2654</v>
      </c>
      <c r="E2385" s="4" t="s">
        <v>395</v>
      </c>
      <c r="F2385" s="4" t="s">
        <v>27</v>
      </c>
      <c r="G2385" s="4" t="s">
        <v>2272</v>
      </c>
      <c r="H2385" s="4" t="s">
        <v>521</v>
      </c>
      <c r="I2385" s="4"/>
      <c r="J2385" s="4" t="s">
        <v>2272</v>
      </c>
      <c r="K2385" s="4" t="s">
        <v>2272</v>
      </c>
      <c r="L2385" s="4" t="s">
        <v>2272</v>
      </c>
      <c r="M2385" s="4" t="s">
        <v>2272</v>
      </c>
      <c r="N2385" s="4" t="s">
        <v>2272</v>
      </c>
      <c r="O2385" s="4" t="s">
        <v>2272</v>
      </c>
      <c r="P2385" s="4" t="s">
        <v>2272</v>
      </c>
      <c r="Q2385" s="4" t="s">
        <v>2272</v>
      </c>
      <c r="R2385" s="4" t="s">
        <v>2272</v>
      </c>
      <c r="S2385" s="4" t="s">
        <v>2272</v>
      </c>
      <c r="T2385" s="4" t="s">
        <v>2272</v>
      </c>
      <c r="U2385" s="4" t="s">
        <v>2272</v>
      </c>
      <c r="V2385" s="71">
        <f>100*2/177*((177)/(177+869+94))</f>
        <v>0.17543859649122809</v>
      </c>
      <c r="W2385" s="4" t="s">
        <v>2272</v>
      </c>
      <c r="X2385" s="4" t="s">
        <v>2272</v>
      </c>
      <c r="Y2385" s="4" t="s">
        <v>2272</v>
      </c>
      <c r="Z2385" s="4" t="s">
        <v>2272</v>
      </c>
      <c r="AA2385" s="4" t="s">
        <v>397</v>
      </c>
      <c r="AB2385" s="4" t="s">
        <v>37</v>
      </c>
      <c r="AC2385" s="4" t="s">
        <v>63</v>
      </c>
      <c r="AD2385" s="4" t="s">
        <v>6427</v>
      </c>
      <c r="AE2385" s="4" t="s">
        <v>6428</v>
      </c>
    </row>
    <row r="2386" spans="1:31" ht="29">
      <c r="A2386" s="4" t="s">
        <v>6358</v>
      </c>
      <c r="B2386" s="4" t="s">
        <v>6454</v>
      </c>
      <c r="C2386" s="4" t="s">
        <v>23</v>
      </c>
      <c r="D2386" s="4" t="s">
        <v>2654</v>
      </c>
      <c r="E2386" s="4" t="s">
        <v>394</v>
      </c>
      <c r="F2386" s="4" t="s">
        <v>27</v>
      </c>
      <c r="G2386" s="4" t="s">
        <v>2272</v>
      </c>
      <c r="H2386" s="4" t="s">
        <v>521</v>
      </c>
      <c r="I2386" s="4"/>
      <c r="J2386" s="4" t="s">
        <v>2272</v>
      </c>
      <c r="K2386" s="4" t="s">
        <v>2272</v>
      </c>
      <c r="L2386" s="4" t="s">
        <v>2272</v>
      </c>
      <c r="M2386" s="4" t="s">
        <v>2272</v>
      </c>
      <c r="N2386" s="4" t="s">
        <v>2272</v>
      </c>
      <c r="O2386" s="4" t="s">
        <v>2272</v>
      </c>
      <c r="P2386" s="4" t="s">
        <v>2272</v>
      </c>
      <c r="Q2386" s="4" t="s">
        <v>2272</v>
      </c>
      <c r="R2386" s="4" t="s">
        <v>2272</v>
      </c>
      <c r="S2386" s="4" t="s">
        <v>2272</v>
      </c>
      <c r="T2386" s="4" t="s">
        <v>2272</v>
      </c>
      <c r="U2386" s="4" t="s">
        <v>2272</v>
      </c>
      <c r="V2386" s="71">
        <f>100*(53+657+141*1/9+15*1/9)/(869+94)*((869+94)/(177+869+94))</f>
        <v>63.801169590643269</v>
      </c>
      <c r="W2386" s="4" t="s">
        <v>2272</v>
      </c>
      <c r="X2386" s="4" t="s">
        <v>2272</v>
      </c>
      <c r="Y2386" s="4" t="s">
        <v>2272</v>
      </c>
      <c r="Z2386" s="4" t="s">
        <v>2272</v>
      </c>
      <c r="AA2386" s="4" t="s">
        <v>397</v>
      </c>
      <c r="AB2386" s="4" t="s">
        <v>37</v>
      </c>
      <c r="AC2386" s="4" t="s">
        <v>63</v>
      </c>
      <c r="AD2386" s="4" t="s">
        <v>6427</v>
      </c>
      <c r="AE2386" s="4" t="s">
        <v>6428</v>
      </c>
    </row>
    <row r="2387" spans="1:31" ht="29">
      <c r="A2387" s="4" t="s">
        <v>6359</v>
      </c>
      <c r="B2387" s="4" t="s">
        <v>6455</v>
      </c>
      <c r="C2387" s="4" t="s">
        <v>23</v>
      </c>
      <c r="D2387" s="4" t="s">
        <v>2654</v>
      </c>
      <c r="E2387" s="4" t="s">
        <v>395</v>
      </c>
      <c r="F2387" s="4" t="s">
        <v>27</v>
      </c>
      <c r="G2387" s="4" t="s">
        <v>2272</v>
      </c>
      <c r="H2387" s="4" t="s">
        <v>521</v>
      </c>
      <c r="I2387" s="4"/>
      <c r="J2387" s="4" t="s">
        <v>2272</v>
      </c>
      <c r="K2387" s="4" t="s">
        <v>2272</v>
      </c>
      <c r="L2387" s="4" t="s">
        <v>2272</v>
      </c>
      <c r="M2387" s="4" t="s">
        <v>2272</v>
      </c>
      <c r="N2387" s="4" t="s">
        <v>2272</v>
      </c>
      <c r="O2387" s="4" t="s">
        <v>2272</v>
      </c>
      <c r="P2387" s="4" t="s">
        <v>2272</v>
      </c>
      <c r="Q2387" s="4" t="s">
        <v>2272</v>
      </c>
      <c r="R2387" s="4" t="s">
        <v>2272</v>
      </c>
      <c r="S2387" s="4" t="s">
        <v>2272</v>
      </c>
      <c r="T2387" s="4" t="s">
        <v>2272</v>
      </c>
      <c r="U2387" s="4" t="s">
        <v>2272</v>
      </c>
      <c r="V2387" s="71">
        <f>100*2/177*((177)/(177+869+94))</f>
        <v>0.17543859649122809</v>
      </c>
      <c r="W2387" s="4" t="s">
        <v>2272</v>
      </c>
      <c r="X2387" s="4" t="s">
        <v>2272</v>
      </c>
      <c r="Y2387" s="4" t="s">
        <v>2272</v>
      </c>
      <c r="Z2387" s="4" t="s">
        <v>2272</v>
      </c>
      <c r="AA2387" s="4" t="s">
        <v>397</v>
      </c>
      <c r="AB2387" s="4" t="s">
        <v>37</v>
      </c>
      <c r="AC2387" s="4" t="s">
        <v>63</v>
      </c>
      <c r="AD2387" s="4" t="s">
        <v>6427</v>
      </c>
      <c r="AE2387" s="4" t="s">
        <v>6428</v>
      </c>
    </row>
    <row r="2388" spans="1:31" ht="29">
      <c r="A2388" s="4" t="s">
        <v>6359</v>
      </c>
      <c r="B2388" s="4" t="s">
        <v>6456</v>
      </c>
      <c r="C2388" s="4" t="s">
        <v>23</v>
      </c>
      <c r="D2388" s="4" t="s">
        <v>2654</v>
      </c>
      <c r="E2388" s="4" t="s">
        <v>394</v>
      </c>
      <c r="F2388" s="4" t="s">
        <v>27</v>
      </c>
      <c r="G2388" s="4" t="s">
        <v>2272</v>
      </c>
      <c r="H2388" s="4" t="s">
        <v>521</v>
      </c>
      <c r="I2388" s="4"/>
      <c r="J2388" s="4" t="s">
        <v>2272</v>
      </c>
      <c r="K2388" s="4" t="s">
        <v>2272</v>
      </c>
      <c r="L2388" s="4" t="s">
        <v>2272</v>
      </c>
      <c r="M2388" s="4" t="s">
        <v>2272</v>
      </c>
      <c r="N2388" s="4" t="s">
        <v>2272</v>
      </c>
      <c r="O2388" s="4" t="s">
        <v>2272</v>
      </c>
      <c r="P2388" s="4" t="s">
        <v>2272</v>
      </c>
      <c r="Q2388" s="4" t="s">
        <v>2272</v>
      </c>
      <c r="R2388" s="4" t="s">
        <v>2272</v>
      </c>
      <c r="S2388" s="4" t="s">
        <v>2272</v>
      </c>
      <c r="T2388" s="4" t="s">
        <v>2272</v>
      </c>
      <c r="U2388" s="4" t="s">
        <v>2272</v>
      </c>
      <c r="V2388" s="71">
        <f>100*(53+657+141*1/9+15*1/9)/(869+94)*((869+94)/(177+869+94))</f>
        <v>63.801169590643269</v>
      </c>
      <c r="W2388" s="4" t="s">
        <v>2272</v>
      </c>
      <c r="X2388" s="4" t="s">
        <v>2272</v>
      </c>
      <c r="Y2388" s="4" t="s">
        <v>2272</v>
      </c>
      <c r="Z2388" s="4" t="s">
        <v>2272</v>
      </c>
      <c r="AA2388" s="4" t="s">
        <v>397</v>
      </c>
      <c r="AB2388" s="4" t="s">
        <v>37</v>
      </c>
      <c r="AC2388" s="4" t="s">
        <v>63</v>
      </c>
      <c r="AD2388" s="4" t="s">
        <v>6427</v>
      </c>
      <c r="AE2388" s="4" t="s">
        <v>6428</v>
      </c>
    </row>
    <row r="2389" spans="1:31" ht="58">
      <c r="A2389" s="4" t="s">
        <v>6360</v>
      </c>
      <c r="B2389" s="4" t="s">
        <v>6457</v>
      </c>
      <c r="C2389" s="4" t="s">
        <v>23</v>
      </c>
      <c r="D2389" s="4" t="s">
        <v>2654</v>
      </c>
      <c r="E2389" s="4" t="s">
        <v>394</v>
      </c>
      <c r="F2389" s="4" t="s">
        <v>27</v>
      </c>
      <c r="G2389" s="4" t="s">
        <v>2272</v>
      </c>
      <c r="H2389" s="4" t="s">
        <v>521</v>
      </c>
      <c r="I2389" s="4"/>
      <c r="J2389" s="4" t="s">
        <v>2272</v>
      </c>
      <c r="K2389" s="4" t="s">
        <v>2272</v>
      </c>
      <c r="L2389" s="4" t="s">
        <v>2272</v>
      </c>
      <c r="M2389" s="4" t="s">
        <v>2272</v>
      </c>
      <c r="N2389" s="4" t="s">
        <v>2272</v>
      </c>
      <c r="O2389" s="4" t="s">
        <v>2272</v>
      </c>
      <c r="P2389" s="4" t="s">
        <v>2272</v>
      </c>
      <c r="Q2389" s="4" t="s">
        <v>2272</v>
      </c>
      <c r="R2389" s="4" t="s">
        <v>2272</v>
      </c>
      <c r="S2389" s="4" t="s">
        <v>2272</v>
      </c>
      <c r="T2389" s="4" t="s">
        <v>2272</v>
      </c>
      <c r="U2389" s="4" t="s">
        <v>2272</v>
      </c>
      <c r="V2389" s="4" t="s">
        <v>2272</v>
      </c>
      <c r="W2389" s="4" t="s">
        <v>2272</v>
      </c>
      <c r="X2389" s="4" t="s">
        <v>2272</v>
      </c>
      <c r="Y2389" s="4" t="s">
        <v>2272</v>
      </c>
      <c r="Z2389" s="71">
        <v>1</v>
      </c>
      <c r="AA2389" s="4" t="s">
        <v>397</v>
      </c>
      <c r="AB2389" s="4" t="s">
        <v>37</v>
      </c>
      <c r="AC2389" s="4" t="s">
        <v>63</v>
      </c>
      <c r="AD2389" s="4" t="s">
        <v>6429</v>
      </c>
      <c r="AE2389" s="4" t="s">
        <v>6430</v>
      </c>
    </row>
    <row r="2390" spans="1:31" ht="58">
      <c r="A2390" s="4" t="s">
        <v>6360</v>
      </c>
      <c r="B2390" s="4" t="s">
        <v>6458</v>
      </c>
      <c r="C2390" s="4" t="s">
        <v>23</v>
      </c>
      <c r="D2390" s="4" t="s">
        <v>2654</v>
      </c>
      <c r="E2390" s="4" t="s">
        <v>394</v>
      </c>
      <c r="F2390" s="4" t="s">
        <v>27</v>
      </c>
      <c r="G2390" s="4" t="s">
        <v>2272</v>
      </c>
      <c r="H2390" s="4" t="s">
        <v>521</v>
      </c>
      <c r="I2390" s="4"/>
      <c r="J2390" s="4" t="s">
        <v>2272</v>
      </c>
      <c r="K2390" s="4" t="s">
        <v>2272</v>
      </c>
      <c r="L2390" s="4" t="s">
        <v>2272</v>
      </c>
      <c r="M2390" s="4" t="s">
        <v>2272</v>
      </c>
      <c r="N2390" s="4" t="s">
        <v>2272</v>
      </c>
      <c r="O2390" s="4" t="s">
        <v>2272</v>
      </c>
      <c r="P2390" s="4" t="s">
        <v>2272</v>
      </c>
      <c r="Q2390" s="4" t="s">
        <v>2272</v>
      </c>
      <c r="R2390" s="4" t="s">
        <v>2272</v>
      </c>
      <c r="S2390" s="4" t="s">
        <v>2272</v>
      </c>
      <c r="T2390" s="4" t="s">
        <v>2272</v>
      </c>
      <c r="U2390" s="4" t="s">
        <v>2272</v>
      </c>
      <c r="V2390" s="4" t="s">
        <v>2272</v>
      </c>
      <c r="W2390" s="4" t="s">
        <v>2272</v>
      </c>
      <c r="X2390" s="4" t="s">
        <v>2272</v>
      </c>
      <c r="Y2390" s="4" t="s">
        <v>2272</v>
      </c>
      <c r="Z2390" s="71">
        <v>1</v>
      </c>
      <c r="AA2390" s="4" t="s">
        <v>397</v>
      </c>
      <c r="AB2390" s="4" t="s">
        <v>37</v>
      </c>
      <c r="AC2390" s="4" t="s">
        <v>63</v>
      </c>
      <c r="AD2390" s="4" t="s">
        <v>6431</v>
      </c>
      <c r="AE2390" s="4" t="s">
        <v>6430</v>
      </c>
    </row>
    <row r="2391" spans="1:31" ht="58">
      <c r="A2391" s="4" t="s">
        <v>6360</v>
      </c>
      <c r="B2391" s="4" t="s">
        <v>6459</v>
      </c>
      <c r="C2391" s="4" t="s">
        <v>23</v>
      </c>
      <c r="D2391" s="4" t="s">
        <v>2654</v>
      </c>
      <c r="E2391" s="4" t="s">
        <v>394</v>
      </c>
      <c r="F2391" s="4" t="s">
        <v>27</v>
      </c>
      <c r="G2391" s="4" t="s">
        <v>2272</v>
      </c>
      <c r="H2391" s="4" t="s">
        <v>521</v>
      </c>
      <c r="I2391" s="4"/>
      <c r="J2391" s="4" t="s">
        <v>2272</v>
      </c>
      <c r="K2391" s="4" t="s">
        <v>2272</v>
      </c>
      <c r="L2391" s="4" t="s">
        <v>2272</v>
      </c>
      <c r="M2391" s="4" t="s">
        <v>2272</v>
      </c>
      <c r="N2391" s="4" t="s">
        <v>2272</v>
      </c>
      <c r="O2391" s="4" t="s">
        <v>2272</v>
      </c>
      <c r="P2391" s="4" t="s">
        <v>2272</v>
      </c>
      <c r="Q2391" s="4" t="s">
        <v>2272</v>
      </c>
      <c r="R2391" s="4" t="s">
        <v>2272</v>
      </c>
      <c r="S2391" s="4" t="s">
        <v>2272</v>
      </c>
      <c r="T2391" s="4" t="s">
        <v>2272</v>
      </c>
      <c r="U2391" s="4" t="s">
        <v>2272</v>
      </c>
      <c r="V2391" s="4" t="s">
        <v>2272</v>
      </c>
      <c r="W2391" s="4" t="s">
        <v>2272</v>
      </c>
      <c r="X2391" s="4" t="s">
        <v>2272</v>
      </c>
      <c r="Y2391" s="4" t="s">
        <v>2272</v>
      </c>
      <c r="Z2391" s="71">
        <v>1</v>
      </c>
      <c r="AA2391" s="4" t="s">
        <v>2272</v>
      </c>
      <c r="AB2391" s="4" t="s">
        <v>2272</v>
      </c>
      <c r="AC2391" s="4" t="s">
        <v>63</v>
      </c>
      <c r="AD2391" s="4" t="s">
        <v>6432</v>
      </c>
      <c r="AE2391" s="4" t="s">
        <v>6430</v>
      </c>
    </row>
    <row r="2392" spans="1:31" ht="58">
      <c r="A2392" s="4" t="s">
        <v>6360</v>
      </c>
      <c r="B2392" s="4" t="s">
        <v>6460</v>
      </c>
      <c r="C2392" s="4" t="s">
        <v>23</v>
      </c>
      <c r="D2392" s="4" t="s">
        <v>2654</v>
      </c>
      <c r="E2392" s="4" t="s">
        <v>394</v>
      </c>
      <c r="F2392" s="4" t="s">
        <v>27</v>
      </c>
      <c r="G2392" s="4" t="s">
        <v>2272</v>
      </c>
      <c r="H2392" s="4" t="s">
        <v>521</v>
      </c>
      <c r="I2392" s="4"/>
      <c r="J2392" s="4" t="s">
        <v>2272</v>
      </c>
      <c r="K2392" s="4" t="s">
        <v>2272</v>
      </c>
      <c r="L2392" s="4" t="s">
        <v>2272</v>
      </c>
      <c r="M2392" s="4" t="s">
        <v>2272</v>
      </c>
      <c r="N2392" s="4" t="s">
        <v>2272</v>
      </c>
      <c r="O2392" s="4" t="s">
        <v>2272</v>
      </c>
      <c r="P2392" s="4" t="s">
        <v>2272</v>
      </c>
      <c r="Q2392" s="4" t="s">
        <v>2272</v>
      </c>
      <c r="R2392" s="4" t="s">
        <v>2272</v>
      </c>
      <c r="S2392" s="4" t="s">
        <v>2272</v>
      </c>
      <c r="T2392" s="4" t="s">
        <v>2272</v>
      </c>
      <c r="U2392" s="4" t="s">
        <v>2272</v>
      </c>
      <c r="V2392" s="4" t="s">
        <v>2272</v>
      </c>
      <c r="W2392" s="4" t="s">
        <v>2272</v>
      </c>
      <c r="X2392" s="4" t="s">
        <v>2272</v>
      </c>
      <c r="Y2392" s="4" t="s">
        <v>2272</v>
      </c>
      <c r="Z2392" s="71">
        <v>1</v>
      </c>
      <c r="AA2392" s="4" t="s">
        <v>2272</v>
      </c>
      <c r="AB2392" s="4" t="s">
        <v>2272</v>
      </c>
      <c r="AC2392" s="4" t="s">
        <v>63</v>
      </c>
      <c r="AD2392" s="4" t="s">
        <v>6431</v>
      </c>
      <c r="AE2392" s="4" t="s">
        <v>6430</v>
      </c>
    </row>
    <row r="2393" spans="1:31" ht="58">
      <c r="A2393" s="4" t="s">
        <v>6360</v>
      </c>
      <c r="B2393" s="4" t="s">
        <v>6461</v>
      </c>
      <c r="C2393" s="4" t="s">
        <v>23</v>
      </c>
      <c r="D2393" s="4" t="s">
        <v>2654</v>
      </c>
      <c r="E2393" s="4" t="s">
        <v>394</v>
      </c>
      <c r="F2393" s="4" t="s">
        <v>27</v>
      </c>
      <c r="G2393" s="4" t="s">
        <v>2272</v>
      </c>
      <c r="H2393" s="4" t="s">
        <v>521</v>
      </c>
      <c r="I2393" s="4"/>
      <c r="J2393" s="4" t="s">
        <v>2272</v>
      </c>
      <c r="K2393" s="4" t="s">
        <v>2272</v>
      </c>
      <c r="L2393" s="4" t="s">
        <v>2272</v>
      </c>
      <c r="M2393" s="4" t="s">
        <v>2272</v>
      </c>
      <c r="N2393" s="4" t="s">
        <v>2272</v>
      </c>
      <c r="O2393" s="4" t="s">
        <v>2272</v>
      </c>
      <c r="P2393" s="4" t="s">
        <v>2272</v>
      </c>
      <c r="Q2393" s="4" t="s">
        <v>2272</v>
      </c>
      <c r="R2393" s="4" t="s">
        <v>2272</v>
      </c>
      <c r="S2393" s="4" t="s">
        <v>2272</v>
      </c>
      <c r="T2393" s="4" t="s">
        <v>2272</v>
      </c>
      <c r="U2393" s="4" t="s">
        <v>2272</v>
      </c>
      <c r="V2393" s="4" t="s">
        <v>2272</v>
      </c>
      <c r="W2393" s="4" t="s">
        <v>2272</v>
      </c>
      <c r="X2393" s="4" t="s">
        <v>2272</v>
      </c>
      <c r="Y2393" s="4" t="s">
        <v>2272</v>
      </c>
      <c r="Z2393" s="71">
        <v>1</v>
      </c>
      <c r="AA2393" s="4" t="s">
        <v>2272</v>
      </c>
      <c r="AB2393" s="4" t="s">
        <v>2272</v>
      </c>
      <c r="AC2393" s="4" t="s">
        <v>63</v>
      </c>
      <c r="AD2393" s="4" t="s">
        <v>6433</v>
      </c>
      <c r="AE2393" s="4" t="s">
        <v>6430</v>
      </c>
    </row>
    <row r="2394" spans="1:31" ht="58">
      <c r="A2394" s="4" t="s">
        <v>6360</v>
      </c>
      <c r="B2394" s="4" t="s">
        <v>6462</v>
      </c>
      <c r="C2394" s="4" t="s">
        <v>23</v>
      </c>
      <c r="D2394" s="4" t="s">
        <v>2654</v>
      </c>
      <c r="E2394" s="4" t="s">
        <v>394</v>
      </c>
      <c r="F2394" s="4" t="s">
        <v>27</v>
      </c>
      <c r="G2394" s="4" t="s">
        <v>2272</v>
      </c>
      <c r="H2394" s="4" t="s">
        <v>521</v>
      </c>
      <c r="I2394" s="4"/>
      <c r="J2394" s="4" t="s">
        <v>2272</v>
      </c>
      <c r="K2394" s="4" t="s">
        <v>2272</v>
      </c>
      <c r="L2394" s="4" t="s">
        <v>2272</v>
      </c>
      <c r="M2394" s="4" t="s">
        <v>2272</v>
      </c>
      <c r="N2394" s="4" t="s">
        <v>2272</v>
      </c>
      <c r="O2394" s="4" t="s">
        <v>2272</v>
      </c>
      <c r="P2394" s="4" t="s">
        <v>2272</v>
      </c>
      <c r="Q2394" s="4" t="s">
        <v>2272</v>
      </c>
      <c r="R2394" s="4" t="s">
        <v>2272</v>
      </c>
      <c r="S2394" s="4" t="s">
        <v>2272</v>
      </c>
      <c r="T2394" s="4" t="s">
        <v>2272</v>
      </c>
      <c r="U2394" s="4" t="s">
        <v>2272</v>
      </c>
      <c r="V2394" s="4" t="s">
        <v>2272</v>
      </c>
      <c r="W2394" s="4" t="s">
        <v>2272</v>
      </c>
      <c r="X2394" s="4" t="s">
        <v>2272</v>
      </c>
      <c r="Y2394" s="4" t="s">
        <v>2272</v>
      </c>
      <c r="Z2394" s="71">
        <v>1</v>
      </c>
      <c r="AA2394" s="4" t="s">
        <v>2272</v>
      </c>
      <c r="AB2394" s="4" t="s">
        <v>2272</v>
      </c>
      <c r="AC2394" s="4" t="s">
        <v>63</v>
      </c>
      <c r="AD2394" s="4" t="s">
        <v>6431</v>
      </c>
      <c r="AE2394" s="4" t="s">
        <v>6430</v>
      </c>
    </row>
    <row r="2395" spans="1:31" ht="58">
      <c r="A2395" s="4" t="s">
        <v>6360</v>
      </c>
      <c r="B2395" s="4" t="s">
        <v>6463</v>
      </c>
      <c r="C2395" s="4" t="s">
        <v>23</v>
      </c>
      <c r="D2395" s="4" t="s">
        <v>2654</v>
      </c>
      <c r="E2395" s="4" t="s">
        <v>395</v>
      </c>
      <c r="F2395" s="4" t="s">
        <v>27</v>
      </c>
      <c r="G2395" s="4" t="s">
        <v>2272</v>
      </c>
      <c r="H2395" s="4" t="s">
        <v>521</v>
      </c>
      <c r="I2395" s="4"/>
      <c r="J2395" s="4" t="s">
        <v>2272</v>
      </c>
      <c r="K2395" s="4" t="s">
        <v>2272</v>
      </c>
      <c r="L2395" s="4" t="s">
        <v>2272</v>
      </c>
      <c r="M2395" s="4" t="s">
        <v>2272</v>
      </c>
      <c r="N2395" s="4" t="s">
        <v>2272</v>
      </c>
      <c r="O2395" s="4" t="s">
        <v>2272</v>
      </c>
      <c r="P2395" s="4" t="s">
        <v>2272</v>
      </c>
      <c r="Q2395" s="4" t="s">
        <v>2272</v>
      </c>
      <c r="R2395" s="4" t="s">
        <v>2272</v>
      </c>
      <c r="S2395" s="4" t="s">
        <v>2272</v>
      </c>
      <c r="T2395" s="4" t="s">
        <v>2272</v>
      </c>
      <c r="U2395" s="4" t="s">
        <v>2272</v>
      </c>
      <c r="V2395" s="4" t="s">
        <v>2272</v>
      </c>
      <c r="W2395" s="4" t="s">
        <v>2272</v>
      </c>
      <c r="X2395" s="4" t="s">
        <v>2272</v>
      </c>
      <c r="Y2395" s="4" t="s">
        <v>2272</v>
      </c>
      <c r="Z2395" s="71">
        <v>1</v>
      </c>
      <c r="AA2395" s="4" t="s">
        <v>2272</v>
      </c>
      <c r="AB2395" s="4" t="s">
        <v>2272</v>
      </c>
      <c r="AC2395" s="4" t="s">
        <v>63</v>
      </c>
      <c r="AD2395" s="4" t="s">
        <v>6429</v>
      </c>
      <c r="AE2395" s="4" t="s">
        <v>6430</v>
      </c>
    </row>
    <row r="2396" spans="1:31" ht="58">
      <c r="A2396" s="4" t="s">
        <v>6360</v>
      </c>
      <c r="B2396" s="4" t="s">
        <v>6464</v>
      </c>
      <c r="C2396" s="4" t="s">
        <v>23</v>
      </c>
      <c r="D2396" s="4" t="s">
        <v>2654</v>
      </c>
      <c r="E2396" s="4" t="s">
        <v>395</v>
      </c>
      <c r="F2396" s="4" t="s">
        <v>27</v>
      </c>
      <c r="G2396" s="4" t="s">
        <v>2272</v>
      </c>
      <c r="H2396" s="4" t="s">
        <v>521</v>
      </c>
      <c r="I2396" s="4"/>
      <c r="J2396" s="4" t="s">
        <v>2272</v>
      </c>
      <c r="K2396" s="4" t="s">
        <v>2272</v>
      </c>
      <c r="L2396" s="4" t="s">
        <v>2272</v>
      </c>
      <c r="M2396" s="4" t="s">
        <v>2272</v>
      </c>
      <c r="N2396" s="4" t="s">
        <v>2272</v>
      </c>
      <c r="O2396" s="4" t="s">
        <v>2272</v>
      </c>
      <c r="P2396" s="4" t="s">
        <v>2272</v>
      </c>
      <c r="Q2396" s="4" t="s">
        <v>2272</v>
      </c>
      <c r="R2396" s="4" t="s">
        <v>2272</v>
      </c>
      <c r="S2396" s="4" t="s">
        <v>2272</v>
      </c>
      <c r="T2396" s="4" t="s">
        <v>2272</v>
      </c>
      <c r="U2396" s="4" t="s">
        <v>2272</v>
      </c>
      <c r="V2396" s="4" t="s">
        <v>2272</v>
      </c>
      <c r="W2396" s="4" t="s">
        <v>2272</v>
      </c>
      <c r="X2396" s="4" t="s">
        <v>2272</v>
      </c>
      <c r="Y2396" s="4" t="s">
        <v>2272</v>
      </c>
      <c r="Z2396" s="71">
        <v>1</v>
      </c>
      <c r="AA2396" s="4" t="s">
        <v>2272</v>
      </c>
      <c r="AB2396" s="4" t="s">
        <v>2272</v>
      </c>
      <c r="AC2396" s="4" t="s">
        <v>63</v>
      </c>
      <c r="AD2396" s="4" t="s">
        <v>6431</v>
      </c>
      <c r="AE2396" s="4" t="s">
        <v>6430</v>
      </c>
    </row>
    <row r="2397" spans="1:31" ht="58">
      <c r="A2397" s="4" t="s">
        <v>6360</v>
      </c>
      <c r="B2397" s="4" t="s">
        <v>6465</v>
      </c>
      <c r="C2397" s="4" t="s">
        <v>23</v>
      </c>
      <c r="D2397" s="4" t="s">
        <v>2654</v>
      </c>
      <c r="E2397" s="4" t="s">
        <v>395</v>
      </c>
      <c r="F2397" s="4" t="s">
        <v>27</v>
      </c>
      <c r="G2397" s="4" t="s">
        <v>2272</v>
      </c>
      <c r="H2397" s="4" t="s">
        <v>521</v>
      </c>
      <c r="I2397" s="4"/>
      <c r="J2397" s="4" t="s">
        <v>2272</v>
      </c>
      <c r="K2397" s="4" t="s">
        <v>2272</v>
      </c>
      <c r="L2397" s="4" t="s">
        <v>2272</v>
      </c>
      <c r="M2397" s="4" t="s">
        <v>2272</v>
      </c>
      <c r="N2397" s="4" t="s">
        <v>2272</v>
      </c>
      <c r="O2397" s="4" t="s">
        <v>2272</v>
      </c>
      <c r="P2397" s="4" t="s">
        <v>2272</v>
      </c>
      <c r="Q2397" s="4" t="s">
        <v>2272</v>
      </c>
      <c r="R2397" s="4" t="s">
        <v>2272</v>
      </c>
      <c r="S2397" s="4" t="s">
        <v>2272</v>
      </c>
      <c r="T2397" s="4" t="s">
        <v>2272</v>
      </c>
      <c r="U2397" s="4" t="s">
        <v>2272</v>
      </c>
      <c r="V2397" s="4" t="s">
        <v>2272</v>
      </c>
      <c r="W2397" s="4" t="s">
        <v>2272</v>
      </c>
      <c r="X2397" s="4" t="s">
        <v>2272</v>
      </c>
      <c r="Y2397" s="4" t="s">
        <v>2272</v>
      </c>
      <c r="Z2397" s="71">
        <v>1</v>
      </c>
      <c r="AA2397" s="4" t="s">
        <v>2272</v>
      </c>
      <c r="AB2397" s="4" t="s">
        <v>2272</v>
      </c>
      <c r="AC2397" s="4" t="s">
        <v>63</v>
      </c>
      <c r="AD2397" s="4" t="s">
        <v>6432</v>
      </c>
      <c r="AE2397" s="4" t="s">
        <v>6430</v>
      </c>
    </row>
    <row r="2398" spans="1:31" ht="58">
      <c r="A2398" s="4" t="s">
        <v>6360</v>
      </c>
      <c r="B2398" s="4" t="s">
        <v>6466</v>
      </c>
      <c r="C2398" s="4" t="s">
        <v>23</v>
      </c>
      <c r="D2398" s="4" t="s">
        <v>2654</v>
      </c>
      <c r="E2398" s="4" t="s">
        <v>395</v>
      </c>
      <c r="F2398" s="4" t="s">
        <v>27</v>
      </c>
      <c r="G2398" s="4" t="s">
        <v>2272</v>
      </c>
      <c r="H2398" s="4" t="s">
        <v>521</v>
      </c>
      <c r="I2398" s="4"/>
      <c r="J2398" s="4" t="s">
        <v>2272</v>
      </c>
      <c r="K2398" s="4" t="s">
        <v>2272</v>
      </c>
      <c r="L2398" s="4" t="s">
        <v>2272</v>
      </c>
      <c r="M2398" s="4" t="s">
        <v>2272</v>
      </c>
      <c r="N2398" s="4" t="s">
        <v>2272</v>
      </c>
      <c r="O2398" s="4" t="s">
        <v>2272</v>
      </c>
      <c r="P2398" s="4" t="s">
        <v>2272</v>
      </c>
      <c r="Q2398" s="4" t="s">
        <v>2272</v>
      </c>
      <c r="R2398" s="4" t="s">
        <v>2272</v>
      </c>
      <c r="S2398" s="4" t="s">
        <v>2272</v>
      </c>
      <c r="T2398" s="4" t="s">
        <v>2272</v>
      </c>
      <c r="U2398" s="4" t="s">
        <v>2272</v>
      </c>
      <c r="V2398" s="4" t="s">
        <v>2272</v>
      </c>
      <c r="W2398" s="4" t="s">
        <v>2272</v>
      </c>
      <c r="X2398" s="4" t="s">
        <v>2272</v>
      </c>
      <c r="Y2398" s="4" t="s">
        <v>2272</v>
      </c>
      <c r="Z2398" s="71">
        <v>1</v>
      </c>
      <c r="AA2398" s="4" t="s">
        <v>2272</v>
      </c>
      <c r="AB2398" s="4" t="s">
        <v>2272</v>
      </c>
      <c r="AC2398" s="4" t="s">
        <v>63</v>
      </c>
      <c r="AD2398" s="4" t="s">
        <v>6431</v>
      </c>
      <c r="AE2398" s="4" t="s">
        <v>6430</v>
      </c>
    </row>
    <row r="2399" spans="1:31" ht="58">
      <c r="A2399" s="4" t="s">
        <v>6360</v>
      </c>
      <c r="B2399" s="4" t="s">
        <v>6467</v>
      </c>
      <c r="C2399" s="4" t="s">
        <v>23</v>
      </c>
      <c r="D2399" s="4" t="s">
        <v>2654</v>
      </c>
      <c r="E2399" s="4" t="s">
        <v>395</v>
      </c>
      <c r="F2399" s="4" t="s">
        <v>27</v>
      </c>
      <c r="G2399" s="4" t="s">
        <v>2272</v>
      </c>
      <c r="H2399" s="4" t="s">
        <v>521</v>
      </c>
      <c r="I2399" s="4"/>
      <c r="J2399" s="4" t="s">
        <v>2272</v>
      </c>
      <c r="K2399" s="4" t="s">
        <v>2272</v>
      </c>
      <c r="L2399" s="4" t="s">
        <v>2272</v>
      </c>
      <c r="M2399" s="4" t="s">
        <v>2272</v>
      </c>
      <c r="N2399" s="4" t="s">
        <v>2272</v>
      </c>
      <c r="O2399" s="4" t="s">
        <v>2272</v>
      </c>
      <c r="P2399" s="4" t="s">
        <v>2272</v>
      </c>
      <c r="Q2399" s="4" t="s">
        <v>2272</v>
      </c>
      <c r="R2399" s="4" t="s">
        <v>2272</v>
      </c>
      <c r="S2399" s="4" t="s">
        <v>2272</v>
      </c>
      <c r="T2399" s="4" t="s">
        <v>2272</v>
      </c>
      <c r="U2399" s="4" t="s">
        <v>2272</v>
      </c>
      <c r="V2399" s="4" t="s">
        <v>2272</v>
      </c>
      <c r="W2399" s="4" t="s">
        <v>2272</v>
      </c>
      <c r="X2399" s="4" t="s">
        <v>2272</v>
      </c>
      <c r="Y2399" s="4" t="s">
        <v>2272</v>
      </c>
      <c r="Z2399" s="71">
        <v>1</v>
      </c>
      <c r="AA2399" s="4" t="s">
        <v>2272</v>
      </c>
      <c r="AB2399" s="4" t="s">
        <v>2272</v>
      </c>
      <c r="AC2399" s="4" t="s">
        <v>63</v>
      </c>
      <c r="AD2399" s="4" t="s">
        <v>6433</v>
      </c>
      <c r="AE2399" s="4" t="s">
        <v>6430</v>
      </c>
    </row>
    <row r="2400" spans="1:31" ht="58">
      <c r="A2400" s="4" t="s">
        <v>6360</v>
      </c>
      <c r="B2400" s="4" t="s">
        <v>6468</v>
      </c>
      <c r="C2400" s="4" t="s">
        <v>23</v>
      </c>
      <c r="D2400" s="4" t="s">
        <v>2654</v>
      </c>
      <c r="E2400" s="4" t="s">
        <v>395</v>
      </c>
      <c r="F2400" s="4" t="s">
        <v>27</v>
      </c>
      <c r="G2400" s="4" t="s">
        <v>2272</v>
      </c>
      <c r="H2400" s="4" t="s">
        <v>521</v>
      </c>
      <c r="I2400" s="4"/>
      <c r="J2400" s="4" t="s">
        <v>2272</v>
      </c>
      <c r="K2400" s="4" t="s">
        <v>2272</v>
      </c>
      <c r="L2400" s="4" t="s">
        <v>2272</v>
      </c>
      <c r="M2400" s="4" t="s">
        <v>2272</v>
      </c>
      <c r="N2400" s="4" t="s">
        <v>2272</v>
      </c>
      <c r="O2400" s="4" t="s">
        <v>2272</v>
      </c>
      <c r="P2400" s="4" t="s">
        <v>2272</v>
      </c>
      <c r="Q2400" s="4" t="s">
        <v>2272</v>
      </c>
      <c r="R2400" s="4" t="s">
        <v>2272</v>
      </c>
      <c r="S2400" s="4" t="s">
        <v>2272</v>
      </c>
      <c r="T2400" s="4" t="s">
        <v>2272</v>
      </c>
      <c r="U2400" s="4" t="s">
        <v>2272</v>
      </c>
      <c r="V2400" s="4" t="s">
        <v>2272</v>
      </c>
      <c r="W2400" s="4" t="s">
        <v>2272</v>
      </c>
      <c r="X2400" s="4" t="s">
        <v>2272</v>
      </c>
      <c r="Y2400" s="4" t="s">
        <v>2272</v>
      </c>
      <c r="Z2400" s="71">
        <v>1</v>
      </c>
      <c r="AA2400" s="4" t="s">
        <v>2272</v>
      </c>
      <c r="AB2400" s="4" t="s">
        <v>2272</v>
      </c>
      <c r="AC2400" s="4" t="s">
        <v>63</v>
      </c>
      <c r="AD2400" s="4" t="s">
        <v>6431</v>
      </c>
      <c r="AE2400" s="4" t="s">
        <v>6430</v>
      </c>
    </row>
    <row r="2401" spans="1:31" ht="89.5" customHeight="1">
      <c r="A2401" s="4" t="s">
        <v>6320</v>
      </c>
      <c r="B2401" s="4" t="s">
        <v>6469</v>
      </c>
      <c r="C2401" s="4" t="s">
        <v>23</v>
      </c>
      <c r="D2401" s="4" t="s">
        <v>2654</v>
      </c>
      <c r="E2401" s="4" t="s">
        <v>3850</v>
      </c>
      <c r="F2401" s="4" t="s">
        <v>27</v>
      </c>
      <c r="G2401" s="4" t="s">
        <v>2272</v>
      </c>
      <c r="H2401" s="4" t="s">
        <v>521</v>
      </c>
      <c r="I2401" s="4"/>
      <c r="J2401" s="4" t="s">
        <v>2272</v>
      </c>
      <c r="K2401" s="4" t="s">
        <v>2272</v>
      </c>
      <c r="L2401" s="4" t="s">
        <v>2272</v>
      </c>
      <c r="M2401" s="4" t="s">
        <v>2272</v>
      </c>
      <c r="N2401" s="4" t="s">
        <v>2272</v>
      </c>
      <c r="O2401" s="4" t="s">
        <v>2272</v>
      </c>
      <c r="P2401" s="4" t="s">
        <v>2272</v>
      </c>
      <c r="Q2401" s="4" t="s">
        <v>2272</v>
      </c>
      <c r="R2401" s="4" t="s">
        <v>2272</v>
      </c>
      <c r="S2401" s="4" t="s">
        <v>2272</v>
      </c>
      <c r="T2401" s="4" t="s">
        <v>2272</v>
      </c>
      <c r="U2401" s="4" t="s">
        <v>2272</v>
      </c>
      <c r="V2401" s="4" t="s">
        <v>2272</v>
      </c>
      <c r="W2401" s="4" t="s">
        <v>2272</v>
      </c>
      <c r="X2401" s="4" t="s">
        <v>2272</v>
      </c>
      <c r="Y2401" s="4" t="s">
        <v>2272</v>
      </c>
      <c r="Z2401" s="4" t="s">
        <v>2272</v>
      </c>
      <c r="AA2401" s="198" t="s">
        <v>67</v>
      </c>
      <c r="AB2401" s="198" t="s">
        <v>34</v>
      </c>
      <c r="AC2401" s="4" t="s">
        <v>63</v>
      </c>
      <c r="AD2401" s="4" t="s">
        <v>6429</v>
      </c>
      <c r="AE2401" s="4" t="s">
        <v>8367</v>
      </c>
    </row>
    <row r="2402" spans="1:31" ht="96" customHeight="1">
      <c r="A2402" s="4" t="s">
        <v>6320</v>
      </c>
      <c r="B2402" s="4" t="s">
        <v>6470</v>
      </c>
      <c r="C2402" s="4" t="s">
        <v>23</v>
      </c>
      <c r="D2402" s="4" t="s">
        <v>2654</v>
      </c>
      <c r="E2402" s="4" t="s">
        <v>3850</v>
      </c>
      <c r="F2402" s="4" t="s">
        <v>27</v>
      </c>
      <c r="G2402" s="4" t="s">
        <v>2272</v>
      </c>
      <c r="H2402" s="4" t="s">
        <v>521</v>
      </c>
      <c r="I2402" s="4"/>
      <c r="J2402" s="4" t="s">
        <v>2272</v>
      </c>
      <c r="K2402" s="4" t="s">
        <v>2272</v>
      </c>
      <c r="L2402" s="4" t="s">
        <v>2272</v>
      </c>
      <c r="M2402" s="4" t="s">
        <v>2272</v>
      </c>
      <c r="N2402" s="4" t="s">
        <v>2272</v>
      </c>
      <c r="O2402" s="4" t="s">
        <v>2272</v>
      </c>
      <c r="P2402" s="4" t="s">
        <v>2272</v>
      </c>
      <c r="Q2402" s="4" t="s">
        <v>2272</v>
      </c>
      <c r="R2402" s="4" t="s">
        <v>2272</v>
      </c>
      <c r="S2402" s="4" t="s">
        <v>2272</v>
      </c>
      <c r="T2402" s="4" t="s">
        <v>2272</v>
      </c>
      <c r="U2402" s="4" t="s">
        <v>2272</v>
      </c>
      <c r="V2402" s="4" t="s">
        <v>2272</v>
      </c>
      <c r="W2402" s="4" t="s">
        <v>2272</v>
      </c>
      <c r="X2402" s="4" t="s">
        <v>2272</v>
      </c>
      <c r="Y2402" s="4" t="s">
        <v>2272</v>
      </c>
      <c r="Z2402" s="4" t="s">
        <v>2272</v>
      </c>
      <c r="AA2402" s="198" t="s">
        <v>84</v>
      </c>
      <c r="AB2402" s="198" t="s">
        <v>33</v>
      </c>
      <c r="AC2402" s="4" t="s">
        <v>63</v>
      </c>
      <c r="AD2402" s="4" t="s">
        <v>6431</v>
      </c>
      <c r="AE2402" s="4" t="s">
        <v>8367</v>
      </c>
    </row>
    <row r="2403" spans="1:31" ht="87">
      <c r="A2403" s="4" t="s">
        <v>6321</v>
      </c>
      <c r="B2403" s="4" t="s">
        <v>6471</v>
      </c>
      <c r="C2403" s="4" t="s">
        <v>23</v>
      </c>
      <c r="D2403" s="4" t="s">
        <v>2654</v>
      </c>
      <c r="E2403" s="4" t="s">
        <v>3850</v>
      </c>
      <c r="F2403" s="4" t="s">
        <v>27</v>
      </c>
      <c r="G2403" s="4" t="s">
        <v>2272</v>
      </c>
      <c r="H2403" s="4" t="s">
        <v>521</v>
      </c>
      <c r="I2403" s="4"/>
      <c r="J2403" s="4" t="s">
        <v>2272</v>
      </c>
      <c r="K2403" s="4" t="s">
        <v>2272</v>
      </c>
      <c r="L2403" s="4" t="s">
        <v>2272</v>
      </c>
      <c r="M2403" s="4" t="s">
        <v>2272</v>
      </c>
      <c r="N2403" s="4" t="s">
        <v>2272</v>
      </c>
      <c r="O2403" s="4" t="s">
        <v>2272</v>
      </c>
      <c r="P2403" s="4" t="s">
        <v>2272</v>
      </c>
      <c r="Q2403" s="4" t="s">
        <v>2272</v>
      </c>
      <c r="R2403" s="4" t="s">
        <v>2272</v>
      </c>
      <c r="S2403" s="4" t="s">
        <v>2272</v>
      </c>
      <c r="T2403" s="4" t="s">
        <v>2272</v>
      </c>
      <c r="U2403" s="4" t="s">
        <v>2272</v>
      </c>
      <c r="V2403" s="4" t="s">
        <v>2272</v>
      </c>
      <c r="W2403" s="4" t="s">
        <v>2272</v>
      </c>
      <c r="X2403" s="4" t="s">
        <v>2272</v>
      </c>
      <c r="Y2403" s="4" t="s">
        <v>2272</v>
      </c>
      <c r="Z2403" s="4" t="s">
        <v>2272</v>
      </c>
      <c r="AA2403" s="198" t="s">
        <v>67</v>
      </c>
      <c r="AB2403" s="198" t="s">
        <v>34</v>
      </c>
      <c r="AC2403" s="4" t="s">
        <v>63</v>
      </c>
      <c r="AD2403" s="4" t="s">
        <v>6429</v>
      </c>
      <c r="AE2403" s="4" t="s">
        <v>8367</v>
      </c>
    </row>
    <row r="2404" spans="1:31" ht="87">
      <c r="A2404" s="4" t="s">
        <v>6321</v>
      </c>
      <c r="B2404" s="4" t="s">
        <v>6472</v>
      </c>
      <c r="C2404" s="4" t="s">
        <v>23</v>
      </c>
      <c r="D2404" s="4" t="s">
        <v>2654</v>
      </c>
      <c r="E2404" s="4" t="s">
        <v>3850</v>
      </c>
      <c r="F2404" s="4" t="s">
        <v>27</v>
      </c>
      <c r="G2404" s="4" t="s">
        <v>2272</v>
      </c>
      <c r="H2404" s="4" t="s">
        <v>521</v>
      </c>
      <c r="I2404" s="4"/>
      <c r="J2404" s="4" t="s">
        <v>2272</v>
      </c>
      <c r="K2404" s="4" t="s">
        <v>2272</v>
      </c>
      <c r="L2404" s="4" t="s">
        <v>2272</v>
      </c>
      <c r="M2404" s="4" t="s">
        <v>2272</v>
      </c>
      <c r="N2404" s="4" t="s">
        <v>2272</v>
      </c>
      <c r="O2404" s="4" t="s">
        <v>2272</v>
      </c>
      <c r="P2404" s="4" t="s">
        <v>2272</v>
      </c>
      <c r="Q2404" s="4" t="s">
        <v>2272</v>
      </c>
      <c r="R2404" s="4" t="s">
        <v>2272</v>
      </c>
      <c r="S2404" s="4" t="s">
        <v>2272</v>
      </c>
      <c r="T2404" s="4" t="s">
        <v>2272</v>
      </c>
      <c r="U2404" s="4" t="s">
        <v>2272</v>
      </c>
      <c r="V2404" s="4" t="s">
        <v>2272</v>
      </c>
      <c r="W2404" s="4" t="s">
        <v>2272</v>
      </c>
      <c r="X2404" s="4" t="s">
        <v>2272</v>
      </c>
      <c r="Y2404" s="4" t="s">
        <v>2272</v>
      </c>
      <c r="Z2404" s="4" t="s">
        <v>2272</v>
      </c>
      <c r="AA2404" s="198" t="s">
        <v>84</v>
      </c>
      <c r="AB2404" s="198" t="s">
        <v>33</v>
      </c>
      <c r="AC2404" s="4" t="s">
        <v>63</v>
      </c>
      <c r="AD2404" s="4" t="s">
        <v>6431</v>
      </c>
      <c r="AE2404" s="4" t="s">
        <v>8367</v>
      </c>
    </row>
    <row r="2405" spans="1:31" ht="87">
      <c r="A2405" s="4" t="s">
        <v>6322</v>
      </c>
      <c r="B2405" s="4" t="s">
        <v>6473</v>
      </c>
      <c r="C2405" s="4" t="s">
        <v>23</v>
      </c>
      <c r="D2405" s="4" t="s">
        <v>2654</v>
      </c>
      <c r="E2405" s="4" t="s">
        <v>3850</v>
      </c>
      <c r="F2405" s="4" t="s">
        <v>27</v>
      </c>
      <c r="G2405" s="4" t="s">
        <v>2272</v>
      </c>
      <c r="H2405" s="4" t="s">
        <v>521</v>
      </c>
      <c r="I2405" s="4"/>
      <c r="J2405" s="4" t="s">
        <v>2272</v>
      </c>
      <c r="K2405" s="4" t="s">
        <v>2272</v>
      </c>
      <c r="L2405" s="4" t="s">
        <v>2272</v>
      </c>
      <c r="M2405" s="4" t="s">
        <v>2272</v>
      </c>
      <c r="N2405" s="4" t="s">
        <v>2272</v>
      </c>
      <c r="O2405" s="4" t="s">
        <v>2272</v>
      </c>
      <c r="P2405" s="4" t="s">
        <v>2272</v>
      </c>
      <c r="Q2405" s="4" t="s">
        <v>2272</v>
      </c>
      <c r="R2405" s="4" t="s">
        <v>2272</v>
      </c>
      <c r="S2405" s="4" t="s">
        <v>2272</v>
      </c>
      <c r="T2405" s="4" t="s">
        <v>2272</v>
      </c>
      <c r="U2405" s="4" t="s">
        <v>2272</v>
      </c>
      <c r="V2405" s="4" t="s">
        <v>2272</v>
      </c>
      <c r="W2405" s="4" t="s">
        <v>2272</v>
      </c>
      <c r="X2405" s="4" t="s">
        <v>2272</v>
      </c>
      <c r="Y2405" s="4" t="s">
        <v>2272</v>
      </c>
      <c r="Z2405" s="4" t="s">
        <v>2272</v>
      </c>
      <c r="AA2405" s="198" t="s">
        <v>84</v>
      </c>
      <c r="AB2405" s="198" t="s">
        <v>33</v>
      </c>
      <c r="AC2405" s="4" t="s">
        <v>63</v>
      </c>
      <c r="AD2405" s="4" t="s">
        <v>6434</v>
      </c>
      <c r="AE2405" s="4" t="s">
        <v>8367</v>
      </c>
    </row>
    <row r="2406" spans="1:31" ht="53.5" customHeight="1">
      <c r="A2406" s="4" t="s">
        <v>6322</v>
      </c>
      <c r="B2406" s="4" t="s">
        <v>6474</v>
      </c>
      <c r="C2406" s="4" t="s">
        <v>23</v>
      </c>
      <c r="D2406" s="4" t="s">
        <v>2654</v>
      </c>
      <c r="E2406" s="4" t="s">
        <v>3850</v>
      </c>
      <c r="F2406" s="4" t="s">
        <v>27</v>
      </c>
      <c r="G2406" s="4" t="s">
        <v>2272</v>
      </c>
      <c r="H2406" s="4" t="s">
        <v>522</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v>0</v>
      </c>
      <c r="Z2406" s="4" t="s">
        <v>2272</v>
      </c>
      <c r="AA2406" s="198" t="s">
        <v>67</v>
      </c>
      <c r="AB2406" s="198" t="s">
        <v>34</v>
      </c>
      <c r="AC2406" s="4" t="s">
        <v>63</v>
      </c>
      <c r="AD2406" s="4" t="s">
        <v>8368</v>
      </c>
      <c r="AE2406" s="4"/>
    </row>
    <row r="2407" spans="1:31" ht="87">
      <c r="A2407" s="4" t="s">
        <v>6323</v>
      </c>
      <c r="B2407" s="4" t="s">
        <v>6475</v>
      </c>
      <c r="C2407" s="4" t="s">
        <v>23</v>
      </c>
      <c r="D2407" s="4" t="s">
        <v>2654</v>
      </c>
      <c r="E2407" s="4" t="s">
        <v>3850</v>
      </c>
      <c r="F2407" s="4" t="s">
        <v>27</v>
      </c>
      <c r="G2407" s="4" t="s">
        <v>2272</v>
      </c>
      <c r="H2407" s="4" t="s">
        <v>521</v>
      </c>
      <c r="I2407" s="4"/>
      <c r="J2407" s="4" t="s">
        <v>2272</v>
      </c>
      <c r="K2407" s="4" t="s">
        <v>2272</v>
      </c>
      <c r="L2407" s="4" t="s">
        <v>2272</v>
      </c>
      <c r="M2407" s="4" t="s">
        <v>2272</v>
      </c>
      <c r="N2407" s="4" t="s">
        <v>2272</v>
      </c>
      <c r="O2407" s="4" t="s">
        <v>2272</v>
      </c>
      <c r="P2407" s="4" t="s">
        <v>2272</v>
      </c>
      <c r="Q2407" s="4" t="s">
        <v>2272</v>
      </c>
      <c r="R2407" s="4" t="s">
        <v>2272</v>
      </c>
      <c r="S2407" s="4" t="s">
        <v>2272</v>
      </c>
      <c r="T2407" s="4" t="s">
        <v>2272</v>
      </c>
      <c r="U2407" s="4" t="s">
        <v>2272</v>
      </c>
      <c r="V2407" s="4" t="s">
        <v>2272</v>
      </c>
      <c r="W2407" s="4" t="s">
        <v>2272</v>
      </c>
      <c r="X2407" s="4" t="s">
        <v>2272</v>
      </c>
      <c r="Y2407" s="4" t="s">
        <v>2272</v>
      </c>
      <c r="Z2407" s="4" t="s">
        <v>2272</v>
      </c>
      <c r="AA2407" s="198" t="s">
        <v>67</v>
      </c>
      <c r="AB2407" s="198" t="s">
        <v>34</v>
      </c>
      <c r="AC2407" s="4" t="s">
        <v>63</v>
      </c>
      <c r="AD2407" s="4" t="s">
        <v>6435</v>
      </c>
      <c r="AE2407" s="4" t="s">
        <v>8367</v>
      </c>
    </row>
    <row r="2408" spans="1:31" ht="87">
      <c r="A2408" s="4" t="s">
        <v>6323</v>
      </c>
      <c r="B2408" s="4" t="s">
        <v>6476</v>
      </c>
      <c r="C2408" s="4" t="s">
        <v>23</v>
      </c>
      <c r="D2408" s="4" t="s">
        <v>2654</v>
      </c>
      <c r="E2408" s="4" t="s">
        <v>3850</v>
      </c>
      <c r="F2408" s="4" t="s">
        <v>27</v>
      </c>
      <c r="G2408" s="4" t="s">
        <v>2272</v>
      </c>
      <c r="H2408" s="4" t="s">
        <v>521</v>
      </c>
      <c r="I2408" s="4"/>
      <c r="J2408" s="4" t="s">
        <v>2272</v>
      </c>
      <c r="K2408" s="4" t="s">
        <v>2272</v>
      </c>
      <c r="L2408" s="4" t="s">
        <v>2272</v>
      </c>
      <c r="M2408" s="4" t="s">
        <v>2272</v>
      </c>
      <c r="N2408" s="4" t="s">
        <v>2272</v>
      </c>
      <c r="O2408" s="4" t="s">
        <v>2272</v>
      </c>
      <c r="P2408" s="4" t="s">
        <v>2272</v>
      </c>
      <c r="Q2408" s="4" t="s">
        <v>2272</v>
      </c>
      <c r="R2408" s="4" t="s">
        <v>2272</v>
      </c>
      <c r="S2408" s="4" t="s">
        <v>2272</v>
      </c>
      <c r="T2408" s="4" t="s">
        <v>2272</v>
      </c>
      <c r="U2408" s="4" t="s">
        <v>2272</v>
      </c>
      <c r="V2408" s="4" t="s">
        <v>2272</v>
      </c>
      <c r="W2408" s="4" t="s">
        <v>2272</v>
      </c>
      <c r="X2408" s="4" t="s">
        <v>2272</v>
      </c>
      <c r="Y2408" s="4" t="s">
        <v>2272</v>
      </c>
      <c r="Z2408" s="4" t="s">
        <v>2272</v>
      </c>
      <c r="AA2408" s="198" t="s">
        <v>84</v>
      </c>
      <c r="AB2408" s="198" t="s">
        <v>33</v>
      </c>
      <c r="AC2408" s="4" t="s">
        <v>63</v>
      </c>
      <c r="AD2408" s="4" t="s">
        <v>6436</v>
      </c>
      <c r="AE2408" s="4" t="s">
        <v>8367</v>
      </c>
    </row>
    <row r="2409" spans="1:31" ht="29">
      <c r="A2409" s="4" t="s">
        <v>6324</v>
      </c>
      <c r="B2409" s="4" t="s">
        <v>6477</v>
      </c>
      <c r="C2409" s="4" t="s">
        <v>23</v>
      </c>
      <c r="D2409" s="4" t="s">
        <v>2654</v>
      </c>
      <c r="E2409" s="4" t="s">
        <v>3850</v>
      </c>
      <c r="F2409" s="4" t="s">
        <v>27</v>
      </c>
      <c r="G2409" s="4" t="s">
        <v>2272</v>
      </c>
      <c r="H2409" s="4" t="s">
        <v>522</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t="s">
        <v>2272</v>
      </c>
      <c r="AA2409" s="198" t="s">
        <v>67</v>
      </c>
      <c r="AB2409" s="198" t="s">
        <v>34</v>
      </c>
      <c r="AC2409" s="4" t="s">
        <v>63</v>
      </c>
      <c r="AD2409" s="4" t="s">
        <v>6435</v>
      </c>
      <c r="AE2409" s="4"/>
    </row>
    <row r="2410" spans="1:31" ht="29">
      <c r="A2410" s="4" t="s">
        <v>6324</v>
      </c>
      <c r="B2410" s="4" t="s">
        <v>6478</v>
      </c>
      <c r="C2410" s="4" t="s">
        <v>23</v>
      </c>
      <c r="D2410" s="4" t="s">
        <v>2654</v>
      </c>
      <c r="E2410" s="4" t="s">
        <v>3850</v>
      </c>
      <c r="F2410" s="4" t="s">
        <v>27</v>
      </c>
      <c r="G2410" s="4" t="s">
        <v>2272</v>
      </c>
      <c r="H2410" s="4" t="s">
        <v>522</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v>0</v>
      </c>
      <c r="Z2410" s="4" t="s">
        <v>2272</v>
      </c>
      <c r="AA2410" s="198" t="s">
        <v>84</v>
      </c>
      <c r="AB2410" s="198" t="s">
        <v>33</v>
      </c>
      <c r="AC2410" s="4" t="s">
        <v>63</v>
      </c>
      <c r="AD2410" s="4" t="s">
        <v>6436</v>
      </c>
      <c r="AE2410" s="4"/>
    </row>
    <row r="2411" spans="1:31" ht="29">
      <c r="A2411" s="4" t="s">
        <v>6325</v>
      </c>
      <c r="B2411" s="4" t="s">
        <v>6479</v>
      </c>
      <c r="C2411" s="4" t="s">
        <v>23</v>
      </c>
      <c r="D2411" s="4" t="s">
        <v>2654</v>
      </c>
      <c r="E2411" s="4" t="s">
        <v>3850</v>
      </c>
      <c r="F2411" s="4" t="s">
        <v>27</v>
      </c>
      <c r="G2411" s="4" t="s">
        <v>2272</v>
      </c>
      <c r="H2411" s="4" t="s">
        <v>522</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v>0</v>
      </c>
      <c r="Z2411" s="4" t="s">
        <v>2272</v>
      </c>
      <c r="AA2411" s="198" t="s">
        <v>67</v>
      </c>
      <c r="AB2411" s="198" t="s">
        <v>34</v>
      </c>
      <c r="AC2411" s="4" t="s">
        <v>63</v>
      </c>
      <c r="AD2411" s="4" t="s">
        <v>6435</v>
      </c>
      <c r="AE2411" s="4"/>
    </row>
    <row r="2412" spans="1:31" ht="87">
      <c r="A2412" s="4" t="s">
        <v>6325</v>
      </c>
      <c r="B2412" s="4" t="s">
        <v>6480</v>
      </c>
      <c r="C2412" s="4" t="s">
        <v>23</v>
      </c>
      <c r="D2412" s="4" t="s">
        <v>2654</v>
      </c>
      <c r="E2412" s="4" t="s">
        <v>3850</v>
      </c>
      <c r="F2412" s="4" t="s">
        <v>27</v>
      </c>
      <c r="G2412" s="4" t="s">
        <v>2272</v>
      </c>
      <c r="H2412" s="4" t="s">
        <v>521</v>
      </c>
      <c r="I2412" s="4"/>
      <c r="J2412" s="4" t="s">
        <v>2272</v>
      </c>
      <c r="K2412" s="4" t="s">
        <v>2272</v>
      </c>
      <c r="L2412" s="4" t="s">
        <v>2272</v>
      </c>
      <c r="M2412" s="4" t="s">
        <v>2272</v>
      </c>
      <c r="N2412" s="4" t="s">
        <v>2272</v>
      </c>
      <c r="O2412" s="4" t="s">
        <v>2272</v>
      </c>
      <c r="P2412" s="4" t="s">
        <v>2272</v>
      </c>
      <c r="Q2412" s="4" t="s">
        <v>2272</v>
      </c>
      <c r="R2412" s="4" t="s">
        <v>2272</v>
      </c>
      <c r="S2412" s="4" t="s">
        <v>2272</v>
      </c>
      <c r="T2412" s="4" t="s">
        <v>2272</v>
      </c>
      <c r="U2412" s="4" t="s">
        <v>2272</v>
      </c>
      <c r="V2412" s="4" t="s">
        <v>2272</v>
      </c>
      <c r="W2412" s="4" t="s">
        <v>2272</v>
      </c>
      <c r="X2412" s="4" t="s">
        <v>2272</v>
      </c>
      <c r="Y2412" s="4" t="s">
        <v>2272</v>
      </c>
      <c r="Z2412" s="4" t="s">
        <v>2272</v>
      </c>
      <c r="AA2412" s="198" t="s">
        <v>84</v>
      </c>
      <c r="AB2412" s="198" t="s">
        <v>33</v>
      </c>
      <c r="AC2412" s="4" t="s">
        <v>63</v>
      </c>
      <c r="AD2412" s="4" t="s">
        <v>6436</v>
      </c>
      <c r="AE2412" s="4" t="s">
        <v>8367</v>
      </c>
    </row>
    <row r="2413" spans="1:31" ht="42.5" customHeight="1">
      <c r="A2413" s="4" t="s">
        <v>6326</v>
      </c>
      <c r="B2413" s="4" t="s">
        <v>6481</v>
      </c>
      <c r="C2413" s="4" t="s">
        <v>23</v>
      </c>
      <c r="D2413" s="4" t="s">
        <v>2654</v>
      </c>
      <c r="E2413" s="4" t="s">
        <v>3849</v>
      </c>
      <c r="F2413" s="4" t="s">
        <v>27</v>
      </c>
      <c r="G2413" s="4" t="s">
        <v>2272</v>
      </c>
      <c r="H2413" s="4" t="s">
        <v>522</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v>0</v>
      </c>
      <c r="Z2413" s="4" t="s">
        <v>2272</v>
      </c>
      <c r="AA2413" s="198" t="s">
        <v>67</v>
      </c>
      <c r="AB2413" s="198" t="s">
        <v>34</v>
      </c>
      <c r="AC2413" s="4" t="s">
        <v>63</v>
      </c>
      <c r="AD2413" s="4" t="s">
        <v>6437</v>
      </c>
      <c r="AE2413" s="4"/>
    </row>
    <row r="2414" spans="1:31" ht="42.5" customHeight="1">
      <c r="A2414" s="4" t="s">
        <v>6326</v>
      </c>
      <c r="B2414" s="4" t="s">
        <v>6482</v>
      </c>
      <c r="C2414" s="4" t="s">
        <v>23</v>
      </c>
      <c r="D2414" s="4" t="s">
        <v>2654</v>
      </c>
      <c r="E2414" s="4" t="s">
        <v>3849</v>
      </c>
      <c r="F2414" s="4" t="s">
        <v>27</v>
      </c>
      <c r="G2414" s="4" t="s">
        <v>2272</v>
      </c>
      <c r="H2414" s="4" t="s">
        <v>522</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v>0</v>
      </c>
      <c r="Z2414" s="4" t="s">
        <v>2272</v>
      </c>
      <c r="AA2414" s="198" t="s">
        <v>84</v>
      </c>
      <c r="AB2414" s="198" t="s">
        <v>33</v>
      </c>
      <c r="AC2414" s="4" t="s">
        <v>63</v>
      </c>
      <c r="AD2414" s="4" t="s">
        <v>6438</v>
      </c>
      <c r="AE2414" s="4"/>
    </row>
    <row r="2415" spans="1:31" ht="87">
      <c r="A2415" s="4" t="s">
        <v>6327</v>
      </c>
      <c r="B2415" s="4" t="s">
        <v>6483</v>
      </c>
      <c r="C2415" s="4" t="s">
        <v>23</v>
      </c>
      <c r="D2415" s="4" t="s">
        <v>2654</v>
      </c>
      <c r="E2415" s="4" t="s">
        <v>3849</v>
      </c>
      <c r="F2415" s="4" t="s">
        <v>27</v>
      </c>
      <c r="G2415" s="4" t="s">
        <v>2272</v>
      </c>
      <c r="H2415" s="4" t="s">
        <v>521</v>
      </c>
      <c r="I2415" s="4"/>
      <c r="J2415" s="4" t="s">
        <v>2272</v>
      </c>
      <c r="K2415" s="4" t="s">
        <v>2272</v>
      </c>
      <c r="L2415" s="4" t="s">
        <v>2272</v>
      </c>
      <c r="M2415" s="4" t="s">
        <v>2272</v>
      </c>
      <c r="N2415" s="4" t="s">
        <v>2272</v>
      </c>
      <c r="O2415" s="4" t="s">
        <v>2272</v>
      </c>
      <c r="P2415" s="4" t="s">
        <v>2272</v>
      </c>
      <c r="Q2415" s="4" t="s">
        <v>2272</v>
      </c>
      <c r="R2415" s="4" t="s">
        <v>2272</v>
      </c>
      <c r="S2415" s="4" t="s">
        <v>2272</v>
      </c>
      <c r="T2415" s="4" t="s">
        <v>2272</v>
      </c>
      <c r="U2415" s="4" t="s">
        <v>2272</v>
      </c>
      <c r="V2415" s="4" t="s">
        <v>2272</v>
      </c>
      <c r="W2415" s="4" t="s">
        <v>2272</v>
      </c>
      <c r="X2415" s="4" t="s">
        <v>2272</v>
      </c>
      <c r="Y2415" s="4" t="s">
        <v>2272</v>
      </c>
      <c r="Z2415" s="4" t="s">
        <v>2272</v>
      </c>
      <c r="AA2415" s="198" t="s">
        <v>67</v>
      </c>
      <c r="AB2415" s="198" t="s">
        <v>34</v>
      </c>
      <c r="AC2415" s="4" t="s">
        <v>63</v>
      </c>
      <c r="AD2415" s="4" t="s">
        <v>6435</v>
      </c>
      <c r="AE2415" s="4" t="s">
        <v>8367</v>
      </c>
    </row>
    <row r="2416" spans="1:31" ht="87">
      <c r="A2416" s="4" t="s">
        <v>6327</v>
      </c>
      <c r="B2416" s="4" t="s">
        <v>6484</v>
      </c>
      <c r="C2416" s="4" t="s">
        <v>23</v>
      </c>
      <c r="D2416" s="4" t="s">
        <v>2654</v>
      </c>
      <c r="E2416" s="4" t="s">
        <v>3849</v>
      </c>
      <c r="F2416" s="4" t="s">
        <v>27</v>
      </c>
      <c r="G2416" s="4" t="s">
        <v>2272</v>
      </c>
      <c r="H2416" s="4" t="s">
        <v>521</v>
      </c>
      <c r="I2416" s="4"/>
      <c r="J2416" s="4" t="s">
        <v>2272</v>
      </c>
      <c r="K2416" s="4" t="s">
        <v>2272</v>
      </c>
      <c r="L2416" s="4" t="s">
        <v>2272</v>
      </c>
      <c r="M2416" s="4" t="s">
        <v>2272</v>
      </c>
      <c r="N2416" s="4" t="s">
        <v>2272</v>
      </c>
      <c r="O2416" s="4" t="s">
        <v>2272</v>
      </c>
      <c r="P2416" s="4" t="s">
        <v>2272</v>
      </c>
      <c r="Q2416" s="4" t="s">
        <v>2272</v>
      </c>
      <c r="R2416" s="4" t="s">
        <v>2272</v>
      </c>
      <c r="S2416" s="4" t="s">
        <v>2272</v>
      </c>
      <c r="T2416" s="4" t="s">
        <v>2272</v>
      </c>
      <c r="U2416" s="4" t="s">
        <v>2272</v>
      </c>
      <c r="V2416" s="4" t="s">
        <v>2272</v>
      </c>
      <c r="W2416" s="4" t="s">
        <v>2272</v>
      </c>
      <c r="X2416" s="4" t="s">
        <v>2272</v>
      </c>
      <c r="Y2416" s="4" t="s">
        <v>2272</v>
      </c>
      <c r="Z2416" s="4" t="s">
        <v>2272</v>
      </c>
      <c r="AA2416" s="198" t="s">
        <v>84</v>
      </c>
      <c r="AB2416" s="198" t="s">
        <v>33</v>
      </c>
      <c r="AC2416" s="4" t="s">
        <v>63</v>
      </c>
      <c r="AD2416" s="4" t="s">
        <v>6436</v>
      </c>
      <c r="AE2416" s="4" t="s">
        <v>8367</v>
      </c>
    </row>
    <row r="2417" spans="1:31" ht="87">
      <c r="A2417" s="4" t="s">
        <v>6328</v>
      </c>
      <c r="B2417" s="4" t="s">
        <v>6485</v>
      </c>
      <c r="C2417" s="4" t="s">
        <v>23</v>
      </c>
      <c r="D2417" s="4" t="s">
        <v>2654</v>
      </c>
      <c r="E2417" s="4" t="s">
        <v>3849</v>
      </c>
      <c r="F2417" s="4" t="s">
        <v>27</v>
      </c>
      <c r="G2417" s="4" t="s">
        <v>2272</v>
      </c>
      <c r="H2417" s="4" t="s">
        <v>521</v>
      </c>
      <c r="I2417" s="4"/>
      <c r="J2417" s="4" t="s">
        <v>2272</v>
      </c>
      <c r="K2417" s="4" t="s">
        <v>2272</v>
      </c>
      <c r="L2417" s="4" t="s">
        <v>2272</v>
      </c>
      <c r="M2417" s="4" t="s">
        <v>2272</v>
      </c>
      <c r="N2417" s="4" t="s">
        <v>2272</v>
      </c>
      <c r="O2417" s="4" t="s">
        <v>2272</v>
      </c>
      <c r="P2417" s="4" t="s">
        <v>2272</v>
      </c>
      <c r="Q2417" s="4" t="s">
        <v>2272</v>
      </c>
      <c r="R2417" s="4" t="s">
        <v>2272</v>
      </c>
      <c r="S2417" s="4" t="s">
        <v>2272</v>
      </c>
      <c r="T2417" s="4" t="s">
        <v>2272</v>
      </c>
      <c r="U2417" s="4" t="s">
        <v>2272</v>
      </c>
      <c r="V2417" s="4" t="s">
        <v>2272</v>
      </c>
      <c r="W2417" s="4" t="s">
        <v>2272</v>
      </c>
      <c r="X2417" s="4" t="s">
        <v>2272</v>
      </c>
      <c r="Y2417" s="4" t="s">
        <v>2272</v>
      </c>
      <c r="Z2417" s="4" t="s">
        <v>2272</v>
      </c>
      <c r="AA2417" s="198" t="s">
        <v>67</v>
      </c>
      <c r="AB2417" s="198" t="s">
        <v>34</v>
      </c>
      <c r="AC2417" s="4" t="s">
        <v>63</v>
      </c>
      <c r="AD2417" s="4" t="s">
        <v>6439</v>
      </c>
      <c r="AE2417" s="4" t="s">
        <v>8367</v>
      </c>
    </row>
    <row r="2418" spans="1:31" ht="87">
      <c r="A2418" s="4" t="s">
        <v>6328</v>
      </c>
      <c r="B2418" s="4" t="s">
        <v>6486</v>
      </c>
      <c r="C2418" s="4" t="s">
        <v>23</v>
      </c>
      <c r="D2418" s="4" t="s">
        <v>2654</v>
      </c>
      <c r="E2418" s="4" t="s">
        <v>3849</v>
      </c>
      <c r="F2418" s="4" t="s">
        <v>27</v>
      </c>
      <c r="G2418" s="4" t="s">
        <v>2272</v>
      </c>
      <c r="H2418" s="4" t="s">
        <v>521</v>
      </c>
      <c r="I2418" s="4"/>
      <c r="J2418" s="4" t="s">
        <v>2272</v>
      </c>
      <c r="K2418" s="4" t="s">
        <v>2272</v>
      </c>
      <c r="L2418" s="4" t="s">
        <v>2272</v>
      </c>
      <c r="M2418" s="4" t="s">
        <v>2272</v>
      </c>
      <c r="N2418" s="4" t="s">
        <v>2272</v>
      </c>
      <c r="O2418" s="4" t="s">
        <v>2272</v>
      </c>
      <c r="P2418" s="4" t="s">
        <v>2272</v>
      </c>
      <c r="Q2418" s="4" t="s">
        <v>2272</v>
      </c>
      <c r="R2418" s="4" t="s">
        <v>2272</v>
      </c>
      <c r="S2418" s="4" t="s">
        <v>2272</v>
      </c>
      <c r="T2418" s="4" t="s">
        <v>2272</v>
      </c>
      <c r="U2418" s="4" t="s">
        <v>2272</v>
      </c>
      <c r="V2418" s="4" t="s">
        <v>2272</v>
      </c>
      <c r="W2418" s="4" t="s">
        <v>2272</v>
      </c>
      <c r="X2418" s="4" t="s">
        <v>2272</v>
      </c>
      <c r="Y2418" s="4" t="s">
        <v>2272</v>
      </c>
      <c r="Z2418" s="4" t="s">
        <v>2272</v>
      </c>
      <c r="AA2418" s="198" t="s">
        <v>84</v>
      </c>
      <c r="AB2418" s="198" t="s">
        <v>33</v>
      </c>
      <c r="AC2418" s="4" t="s">
        <v>63</v>
      </c>
      <c r="AD2418" s="4" t="s">
        <v>6440</v>
      </c>
      <c r="AE2418" s="4" t="s">
        <v>8367</v>
      </c>
    </row>
    <row r="2419" spans="1:31" ht="87">
      <c r="A2419" s="4" t="s">
        <v>6329</v>
      </c>
      <c r="B2419" s="4" t="s">
        <v>6487</v>
      </c>
      <c r="C2419" s="4" t="s">
        <v>23</v>
      </c>
      <c r="D2419" s="4" t="s">
        <v>2654</v>
      </c>
      <c r="E2419" s="4" t="s">
        <v>3849</v>
      </c>
      <c r="F2419" s="4" t="s">
        <v>27</v>
      </c>
      <c r="G2419" s="4" t="s">
        <v>2272</v>
      </c>
      <c r="H2419" s="4" t="s">
        <v>521</v>
      </c>
      <c r="I2419" s="4"/>
      <c r="J2419" s="4" t="s">
        <v>2272</v>
      </c>
      <c r="K2419" s="4" t="s">
        <v>2272</v>
      </c>
      <c r="L2419" s="4" t="s">
        <v>2272</v>
      </c>
      <c r="M2419" s="4" t="s">
        <v>2272</v>
      </c>
      <c r="N2419" s="4" t="s">
        <v>2272</v>
      </c>
      <c r="O2419" s="4" t="s">
        <v>2272</v>
      </c>
      <c r="P2419" s="4" t="s">
        <v>2272</v>
      </c>
      <c r="Q2419" s="4" t="s">
        <v>2272</v>
      </c>
      <c r="R2419" s="4" t="s">
        <v>2272</v>
      </c>
      <c r="S2419" s="4" t="s">
        <v>2272</v>
      </c>
      <c r="T2419" s="4" t="s">
        <v>2272</v>
      </c>
      <c r="U2419" s="4" t="s">
        <v>2272</v>
      </c>
      <c r="V2419" s="4" t="s">
        <v>2272</v>
      </c>
      <c r="W2419" s="4" t="s">
        <v>2272</v>
      </c>
      <c r="X2419" s="4" t="s">
        <v>2272</v>
      </c>
      <c r="Y2419" s="4" t="s">
        <v>2272</v>
      </c>
      <c r="Z2419" s="4" t="s">
        <v>2272</v>
      </c>
      <c r="AA2419" s="198" t="s">
        <v>67</v>
      </c>
      <c r="AB2419" s="198" t="s">
        <v>34</v>
      </c>
      <c r="AC2419" s="4" t="s">
        <v>63</v>
      </c>
      <c r="AD2419" s="4" t="s">
        <v>6441</v>
      </c>
      <c r="AE2419" s="4" t="s">
        <v>8367</v>
      </c>
    </row>
    <row r="2420" spans="1:31" ht="87">
      <c r="A2420" s="4" t="s">
        <v>6329</v>
      </c>
      <c r="B2420" s="4" t="s">
        <v>6488</v>
      </c>
      <c r="C2420" s="4" t="s">
        <v>23</v>
      </c>
      <c r="D2420" s="4" t="s">
        <v>2654</v>
      </c>
      <c r="E2420" s="4" t="s">
        <v>3849</v>
      </c>
      <c r="F2420" s="4" t="s">
        <v>27</v>
      </c>
      <c r="G2420" s="4" t="s">
        <v>2272</v>
      </c>
      <c r="H2420" s="4" t="s">
        <v>521</v>
      </c>
      <c r="I2420" s="4"/>
      <c r="J2420" s="4" t="s">
        <v>2272</v>
      </c>
      <c r="K2420" s="4" t="s">
        <v>2272</v>
      </c>
      <c r="L2420" s="4" t="s">
        <v>2272</v>
      </c>
      <c r="M2420" s="4" t="s">
        <v>2272</v>
      </c>
      <c r="N2420" s="4" t="s">
        <v>2272</v>
      </c>
      <c r="O2420" s="4" t="s">
        <v>2272</v>
      </c>
      <c r="P2420" s="4" t="s">
        <v>2272</v>
      </c>
      <c r="Q2420" s="4" t="s">
        <v>2272</v>
      </c>
      <c r="R2420" s="4" t="s">
        <v>2272</v>
      </c>
      <c r="S2420" s="4" t="s">
        <v>2272</v>
      </c>
      <c r="T2420" s="4" t="s">
        <v>2272</v>
      </c>
      <c r="U2420" s="4" t="s">
        <v>2272</v>
      </c>
      <c r="V2420" s="4" t="s">
        <v>2272</v>
      </c>
      <c r="W2420" s="4" t="s">
        <v>2272</v>
      </c>
      <c r="X2420" s="4" t="s">
        <v>2272</v>
      </c>
      <c r="Y2420" s="4" t="s">
        <v>2272</v>
      </c>
      <c r="Z2420" s="4" t="s">
        <v>2272</v>
      </c>
      <c r="AA2420" s="198" t="s">
        <v>84</v>
      </c>
      <c r="AB2420" s="198" t="s">
        <v>33</v>
      </c>
      <c r="AC2420" s="4" t="s">
        <v>63</v>
      </c>
      <c r="AD2420" s="4" t="s">
        <v>6441</v>
      </c>
      <c r="AE2420" s="4" t="s">
        <v>8367</v>
      </c>
    </row>
    <row r="2421" spans="1:31" ht="87">
      <c r="A2421" s="4" t="s">
        <v>6330</v>
      </c>
      <c r="B2421" s="4" t="s">
        <v>6489</v>
      </c>
      <c r="C2421" s="4" t="s">
        <v>23</v>
      </c>
      <c r="D2421" s="4" t="s">
        <v>2654</v>
      </c>
      <c r="E2421" s="4" t="s">
        <v>3849</v>
      </c>
      <c r="F2421" s="4" t="s">
        <v>27</v>
      </c>
      <c r="G2421" s="4" t="s">
        <v>2272</v>
      </c>
      <c r="H2421" s="4" t="s">
        <v>521</v>
      </c>
      <c r="I2421" s="4"/>
      <c r="J2421" s="4" t="s">
        <v>2272</v>
      </c>
      <c r="K2421" s="4" t="s">
        <v>2272</v>
      </c>
      <c r="L2421" s="4" t="s">
        <v>2272</v>
      </c>
      <c r="M2421" s="4" t="s">
        <v>2272</v>
      </c>
      <c r="N2421" s="4" t="s">
        <v>2272</v>
      </c>
      <c r="O2421" s="4" t="s">
        <v>2272</v>
      </c>
      <c r="P2421" s="4" t="s">
        <v>2272</v>
      </c>
      <c r="Q2421" s="4" t="s">
        <v>2272</v>
      </c>
      <c r="R2421" s="4" t="s">
        <v>2272</v>
      </c>
      <c r="S2421" s="4" t="s">
        <v>2272</v>
      </c>
      <c r="T2421" s="4" t="s">
        <v>2272</v>
      </c>
      <c r="U2421" s="4" t="s">
        <v>2272</v>
      </c>
      <c r="V2421" s="4" t="s">
        <v>2272</v>
      </c>
      <c r="W2421" s="4" t="s">
        <v>2272</v>
      </c>
      <c r="X2421" s="4" t="s">
        <v>2272</v>
      </c>
      <c r="Y2421" s="4" t="s">
        <v>2272</v>
      </c>
      <c r="Z2421" s="4" t="s">
        <v>2272</v>
      </c>
      <c r="AA2421" s="198" t="s">
        <v>67</v>
      </c>
      <c r="AB2421" s="198" t="s">
        <v>34</v>
      </c>
      <c r="AC2421" s="4" t="s">
        <v>63</v>
      </c>
      <c r="AD2421" s="4" t="s">
        <v>6441</v>
      </c>
      <c r="AE2421" s="4" t="s">
        <v>8367</v>
      </c>
    </row>
    <row r="2422" spans="1:31" ht="87">
      <c r="A2422" s="4" t="s">
        <v>6330</v>
      </c>
      <c r="B2422" s="4" t="s">
        <v>6490</v>
      </c>
      <c r="C2422" s="4" t="s">
        <v>23</v>
      </c>
      <c r="D2422" s="4" t="s">
        <v>2654</v>
      </c>
      <c r="E2422" s="4" t="s">
        <v>3849</v>
      </c>
      <c r="F2422" s="4" t="s">
        <v>27</v>
      </c>
      <c r="G2422" s="4" t="s">
        <v>2272</v>
      </c>
      <c r="H2422" s="4" t="s">
        <v>521</v>
      </c>
      <c r="I2422" s="4"/>
      <c r="J2422" s="4" t="s">
        <v>2272</v>
      </c>
      <c r="K2422" s="4" t="s">
        <v>2272</v>
      </c>
      <c r="L2422" s="4" t="s">
        <v>2272</v>
      </c>
      <c r="M2422" s="4" t="s">
        <v>2272</v>
      </c>
      <c r="N2422" s="4" t="s">
        <v>2272</v>
      </c>
      <c r="O2422" s="4" t="s">
        <v>2272</v>
      </c>
      <c r="P2422" s="4" t="s">
        <v>2272</v>
      </c>
      <c r="Q2422" s="4" t="s">
        <v>2272</v>
      </c>
      <c r="R2422" s="4" t="s">
        <v>2272</v>
      </c>
      <c r="S2422" s="4" t="s">
        <v>2272</v>
      </c>
      <c r="T2422" s="4" t="s">
        <v>2272</v>
      </c>
      <c r="U2422" s="4" t="s">
        <v>2272</v>
      </c>
      <c r="V2422" s="4" t="s">
        <v>2272</v>
      </c>
      <c r="W2422" s="4" t="s">
        <v>2272</v>
      </c>
      <c r="X2422" s="4" t="s">
        <v>2272</v>
      </c>
      <c r="Y2422" s="4" t="s">
        <v>2272</v>
      </c>
      <c r="Z2422" s="4" t="s">
        <v>2272</v>
      </c>
      <c r="AA2422" s="198" t="s">
        <v>84</v>
      </c>
      <c r="AB2422" s="198" t="s">
        <v>33</v>
      </c>
      <c r="AC2422" s="4" t="s">
        <v>63</v>
      </c>
      <c r="AD2422" s="4" t="s">
        <v>6441</v>
      </c>
      <c r="AE2422" s="4" t="s">
        <v>8367</v>
      </c>
    </row>
    <row r="2423" spans="1:31" ht="29">
      <c r="A2423" s="4" t="s">
        <v>6331</v>
      </c>
      <c r="B2423" s="4" t="s">
        <v>6491</v>
      </c>
      <c r="C2423" s="4" t="s">
        <v>23</v>
      </c>
      <c r="D2423" s="4" t="s">
        <v>2654</v>
      </c>
      <c r="E2423" s="4" t="s">
        <v>3849</v>
      </c>
      <c r="F2423" s="4" t="s">
        <v>27</v>
      </c>
      <c r="G2423" s="4" t="s">
        <v>2272</v>
      </c>
      <c r="H2423" s="4" t="s">
        <v>522</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v>0</v>
      </c>
      <c r="Z2423" s="4" t="s">
        <v>2272</v>
      </c>
      <c r="AA2423" s="198" t="s">
        <v>67</v>
      </c>
      <c r="AB2423" s="198" t="s">
        <v>34</v>
      </c>
      <c r="AC2423" s="4" t="s">
        <v>63</v>
      </c>
      <c r="AD2423" s="4" t="s">
        <v>6441</v>
      </c>
      <c r="AE2423" s="4"/>
    </row>
    <row r="2424" spans="1:31" ht="29">
      <c r="A2424" s="4" t="s">
        <v>6331</v>
      </c>
      <c r="B2424" s="4" t="s">
        <v>6492</v>
      </c>
      <c r="C2424" s="4" t="s">
        <v>23</v>
      </c>
      <c r="D2424" s="4" t="s">
        <v>2654</v>
      </c>
      <c r="E2424" s="4" t="s">
        <v>3849</v>
      </c>
      <c r="F2424" s="4" t="s">
        <v>27</v>
      </c>
      <c r="G2424" s="4" t="s">
        <v>2272</v>
      </c>
      <c r="H2424" s="4" t="s">
        <v>522</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v>0</v>
      </c>
      <c r="Z2424" s="4" t="s">
        <v>2272</v>
      </c>
      <c r="AA2424" s="198" t="s">
        <v>84</v>
      </c>
      <c r="AB2424" s="198" t="s">
        <v>33</v>
      </c>
      <c r="AC2424" s="4" t="s">
        <v>63</v>
      </c>
      <c r="AD2424" s="4" t="s">
        <v>6441</v>
      </c>
      <c r="AE2424" s="4"/>
    </row>
    <row r="2425" spans="1:31" ht="29">
      <c r="A2425" s="4" t="s">
        <v>6333</v>
      </c>
      <c r="B2425" s="4" t="s">
        <v>6493</v>
      </c>
      <c r="C2425" s="4" t="s">
        <v>23</v>
      </c>
      <c r="D2425" s="4" t="s">
        <v>2654</v>
      </c>
      <c r="E2425" s="4" t="s">
        <v>394</v>
      </c>
      <c r="F2425" s="4" t="s">
        <v>27</v>
      </c>
      <c r="G2425" s="4" t="s">
        <v>2272</v>
      </c>
      <c r="H2425" s="4" t="s">
        <v>521</v>
      </c>
      <c r="I2425" s="4">
        <v>2008</v>
      </c>
      <c r="J2425" s="4" t="s">
        <v>2272</v>
      </c>
      <c r="K2425" s="4" t="s">
        <v>2272</v>
      </c>
      <c r="L2425" s="4" t="s">
        <v>2272</v>
      </c>
      <c r="M2425" s="4" t="s">
        <v>2272</v>
      </c>
      <c r="N2425" s="4" t="s">
        <v>2272</v>
      </c>
      <c r="O2425" s="4" t="s">
        <v>2272</v>
      </c>
      <c r="P2425" s="4" t="s">
        <v>2272</v>
      </c>
      <c r="Q2425" s="4" t="s">
        <v>2272</v>
      </c>
      <c r="R2425" s="4" t="s">
        <v>2272</v>
      </c>
      <c r="S2425" s="4" t="s">
        <v>2272</v>
      </c>
      <c r="T2425" s="4" t="s">
        <v>2272</v>
      </c>
      <c r="U2425" s="4" t="s">
        <v>2272</v>
      </c>
      <c r="V2425" s="4" t="s">
        <v>2272</v>
      </c>
      <c r="W2425" s="4" t="s">
        <v>2272</v>
      </c>
      <c r="X2425" s="4" t="s">
        <v>2272</v>
      </c>
      <c r="Y2425" s="4" t="s">
        <v>2272</v>
      </c>
      <c r="Z2425" s="4" t="s">
        <v>2272</v>
      </c>
      <c r="AA2425" s="4" t="s">
        <v>2272</v>
      </c>
      <c r="AB2425" s="4" t="s">
        <v>2272</v>
      </c>
      <c r="AC2425" s="4" t="s">
        <v>63</v>
      </c>
      <c r="AD2425" s="4" t="s">
        <v>6442</v>
      </c>
      <c r="AE2425" s="4" t="s">
        <v>8383</v>
      </c>
    </row>
    <row r="2426" spans="1:31" ht="29">
      <c r="A2426" s="4" t="s">
        <v>6333</v>
      </c>
      <c r="B2426" s="4" t="s">
        <v>6494</v>
      </c>
      <c r="C2426" s="4" t="s">
        <v>23</v>
      </c>
      <c r="D2426" s="4" t="s">
        <v>2654</v>
      </c>
      <c r="E2426" s="4" t="s">
        <v>394</v>
      </c>
      <c r="F2426" s="4" t="s">
        <v>27</v>
      </c>
      <c r="G2426" s="4" t="s">
        <v>2272</v>
      </c>
      <c r="H2426" s="4" t="s">
        <v>521</v>
      </c>
      <c r="I2426" s="4">
        <v>2012</v>
      </c>
      <c r="J2426" s="4" t="s">
        <v>2272</v>
      </c>
      <c r="K2426" s="4" t="s">
        <v>2272</v>
      </c>
      <c r="L2426" s="4" t="s">
        <v>2272</v>
      </c>
      <c r="M2426" s="4" t="s">
        <v>2272</v>
      </c>
      <c r="N2426" s="4" t="s">
        <v>2272</v>
      </c>
      <c r="O2426" s="4" t="s">
        <v>2272</v>
      </c>
      <c r="P2426" s="4" t="s">
        <v>2272</v>
      </c>
      <c r="Q2426" s="4" t="s">
        <v>2272</v>
      </c>
      <c r="R2426" s="4" t="s">
        <v>2272</v>
      </c>
      <c r="S2426" s="4" t="s">
        <v>2272</v>
      </c>
      <c r="T2426" s="4" t="s">
        <v>2272</v>
      </c>
      <c r="U2426" s="4" t="s">
        <v>2272</v>
      </c>
      <c r="V2426" s="4" t="s">
        <v>2272</v>
      </c>
      <c r="W2426" s="4" t="s">
        <v>2272</v>
      </c>
      <c r="X2426" s="4" t="s">
        <v>2272</v>
      </c>
      <c r="Y2426" s="4" t="s">
        <v>2272</v>
      </c>
      <c r="Z2426" s="4" t="s">
        <v>2272</v>
      </c>
      <c r="AA2426" s="4" t="s">
        <v>2272</v>
      </c>
      <c r="AB2426" s="4" t="s">
        <v>2272</v>
      </c>
      <c r="AC2426" s="4" t="s">
        <v>63</v>
      </c>
      <c r="AD2426" s="4" t="s">
        <v>6442</v>
      </c>
      <c r="AE2426" s="4" t="s">
        <v>8383</v>
      </c>
    </row>
    <row r="2427" spans="1:31" ht="29">
      <c r="A2427" s="4" t="s">
        <v>6333</v>
      </c>
      <c r="B2427" s="4" t="s">
        <v>6495</v>
      </c>
      <c r="C2427" s="4" t="s">
        <v>23</v>
      </c>
      <c r="D2427" s="4" t="s">
        <v>2654</v>
      </c>
      <c r="E2427" s="4" t="s">
        <v>394</v>
      </c>
      <c r="F2427" s="4" t="s">
        <v>27</v>
      </c>
      <c r="G2427" s="4" t="s">
        <v>2272</v>
      </c>
      <c r="H2427" s="4" t="s">
        <v>522</v>
      </c>
      <c r="I2427" s="4">
        <v>2015</v>
      </c>
      <c r="J2427" s="71">
        <v>0</v>
      </c>
      <c r="K2427" s="71">
        <v>0</v>
      </c>
      <c r="L2427" s="71">
        <v>0</v>
      </c>
      <c r="M2427" s="71">
        <v>0</v>
      </c>
      <c r="N2427" s="71">
        <v>0</v>
      </c>
      <c r="O2427" s="71">
        <v>0</v>
      </c>
      <c r="P2427" s="71">
        <v>0</v>
      </c>
      <c r="Q2427" s="71">
        <v>0</v>
      </c>
      <c r="R2427" s="71">
        <v>0</v>
      </c>
      <c r="S2427" s="71">
        <v>0</v>
      </c>
      <c r="T2427" s="71">
        <v>0</v>
      </c>
      <c r="U2427" s="71">
        <v>0</v>
      </c>
      <c r="V2427" s="71">
        <v>0</v>
      </c>
      <c r="W2427" s="71">
        <v>0</v>
      </c>
      <c r="X2427" s="71">
        <v>0</v>
      </c>
      <c r="Y2427" s="4" t="s">
        <v>2272</v>
      </c>
      <c r="Z2427" s="4" t="s">
        <v>2272</v>
      </c>
      <c r="AA2427" s="4" t="s">
        <v>2272</v>
      </c>
      <c r="AB2427" s="4" t="s">
        <v>2272</v>
      </c>
      <c r="AC2427" s="4" t="s">
        <v>63</v>
      </c>
      <c r="AD2427" s="4" t="s">
        <v>6442</v>
      </c>
      <c r="AE2427" s="4" t="s">
        <v>8383</v>
      </c>
    </row>
    <row r="2428" spans="1:31" ht="29">
      <c r="A2428" s="4" t="s">
        <v>6496</v>
      </c>
      <c r="B2428" s="4" t="s">
        <v>6497</v>
      </c>
      <c r="C2428" s="4" t="s">
        <v>23</v>
      </c>
      <c r="D2428" s="4" t="s">
        <v>2654</v>
      </c>
      <c r="E2428" s="4" t="s">
        <v>394</v>
      </c>
      <c r="F2428" s="4" t="s">
        <v>27</v>
      </c>
      <c r="G2428" s="4" t="s">
        <v>2272</v>
      </c>
      <c r="H2428" s="4" t="s">
        <v>521</v>
      </c>
      <c r="I2428" s="4">
        <v>2008</v>
      </c>
      <c r="J2428" s="4" t="s">
        <v>2272</v>
      </c>
      <c r="K2428" s="4" t="s">
        <v>2272</v>
      </c>
      <c r="L2428" s="4" t="s">
        <v>2272</v>
      </c>
      <c r="M2428" s="4" t="s">
        <v>2272</v>
      </c>
      <c r="N2428" s="4" t="s">
        <v>2272</v>
      </c>
      <c r="O2428" s="4" t="s">
        <v>2272</v>
      </c>
      <c r="P2428" s="4" t="s">
        <v>2272</v>
      </c>
      <c r="Q2428" s="4" t="s">
        <v>2272</v>
      </c>
      <c r="R2428" s="4" t="s">
        <v>2272</v>
      </c>
      <c r="S2428" s="4" t="s">
        <v>2272</v>
      </c>
      <c r="T2428" s="4" t="s">
        <v>2272</v>
      </c>
      <c r="U2428" s="4" t="s">
        <v>2272</v>
      </c>
      <c r="V2428" s="4" t="s">
        <v>2272</v>
      </c>
      <c r="W2428" s="4" t="s">
        <v>2272</v>
      </c>
      <c r="X2428" s="4" t="s">
        <v>2272</v>
      </c>
      <c r="Y2428" s="4" t="s">
        <v>2272</v>
      </c>
      <c r="Z2428" s="4" t="s">
        <v>2272</v>
      </c>
      <c r="AA2428" s="4" t="s">
        <v>2272</v>
      </c>
      <c r="AB2428" s="4" t="s">
        <v>2272</v>
      </c>
      <c r="AC2428" s="4" t="s">
        <v>63</v>
      </c>
      <c r="AD2428" s="4" t="s">
        <v>6442</v>
      </c>
      <c r="AE2428" s="4" t="s">
        <v>8383</v>
      </c>
    </row>
    <row r="2429" spans="1:31" ht="29">
      <c r="A2429" s="4" t="s">
        <v>6496</v>
      </c>
      <c r="B2429" s="4" t="s">
        <v>6498</v>
      </c>
      <c r="C2429" s="4" t="s">
        <v>23</v>
      </c>
      <c r="D2429" s="4" t="s">
        <v>2654</v>
      </c>
      <c r="E2429" s="4" t="s">
        <v>394</v>
      </c>
      <c r="F2429" s="4" t="s">
        <v>27</v>
      </c>
      <c r="G2429" s="4" t="s">
        <v>2272</v>
      </c>
      <c r="H2429" s="4" t="s">
        <v>521</v>
      </c>
      <c r="I2429" s="4">
        <v>2012</v>
      </c>
      <c r="J2429" s="4" t="s">
        <v>2272</v>
      </c>
      <c r="K2429" s="4" t="s">
        <v>2272</v>
      </c>
      <c r="L2429" s="4" t="s">
        <v>2272</v>
      </c>
      <c r="M2429" s="4" t="s">
        <v>2272</v>
      </c>
      <c r="N2429" s="4" t="s">
        <v>2272</v>
      </c>
      <c r="O2429" s="4" t="s">
        <v>2272</v>
      </c>
      <c r="P2429" s="4" t="s">
        <v>2272</v>
      </c>
      <c r="Q2429" s="4" t="s">
        <v>2272</v>
      </c>
      <c r="R2429" s="4" t="s">
        <v>2272</v>
      </c>
      <c r="S2429" s="4" t="s">
        <v>2272</v>
      </c>
      <c r="T2429" s="4" t="s">
        <v>2272</v>
      </c>
      <c r="U2429" s="4" t="s">
        <v>2272</v>
      </c>
      <c r="V2429" s="4" t="s">
        <v>2272</v>
      </c>
      <c r="W2429" s="4" t="s">
        <v>2272</v>
      </c>
      <c r="X2429" s="4" t="s">
        <v>2272</v>
      </c>
      <c r="Y2429" s="4" t="s">
        <v>2272</v>
      </c>
      <c r="Z2429" s="4" t="s">
        <v>2272</v>
      </c>
      <c r="AA2429" s="4" t="s">
        <v>2272</v>
      </c>
      <c r="AB2429" s="4" t="s">
        <v>2272</v>
      </c>
      <c r="AC2429" s="4" t="s">
        <v>63</v>
      </c>
      <c r="AD2429" s="4" t="s">
        <v>6442</v>
      </c>
      <c r="AE2429" s="4" t="s">
        <v>8383</v>
      </c>
    </row>
    <row r="2430" spans="1:31" ht="29">
      <c r="A2430" s="4" t="s">
        <v>6496</v>
      </c>
      <c r="B2430" s="4" t="s">
        <v>6499</v>
      </c>
      <c r="C2430" s="4" t="s">
        <v>23</v>
      </c>
      <c r="D2430" s="4" t="s">
        <v>2654</v>
      </c>
      <c r="E2430" s="4" t="s">
        <v>394</v>
      </c>
      <c r="F2430" s="4" t="s">
        <v>27</v>
      </c>
      <c r="G2430" s="4" t="s">
        <v>2272</v>
      </c>
      <c r="H2430" s="4" t="s">
        <v>522</v>
      </c>
      <c r="I2430" s="4">
        <v>2015</v>
      </c>
      <c r="J2430" s="71">
        <v>0</v>
      </c>
      <c r="K2430" s="71">
        <v>0</v>
      </c>
      <c r="L2430" s="71">
        <v>0</v>
      </c>
      <c r="M2430" s="71">
        <v>0</v>
      </c>
      <c r="N2430" s="71">
        <v>0</v>
      </c>
      <c r="O2430" s="71">
        <v>0</v>
      </c>
      <c r="P2430" s="71">
        <v>0</v>
      </c>
      <c r="Q2430" s="71">
        <v>0</v>
      </c>
      <c r="R2430" s="71">
        <v>0</v>
      </c>
      <c r="S2430" s="71">
        <v>0</v>
      </c>
      <c r="T2430" s="71">
        <v>0</v>
      </c>
      <c r="U2430" s="71">
        <v>0</v>
      </c>
      <c r="V2430" s="71">
        <v>0</v>
      </c>
      <c r="W2430" s="71">
        <v>0</v>
      </c>
      <c r="X2430" s="71">
        <v>0</v>
      </c>
      <c r="Y2430" s="4" t="s">
        <v>2272</v>
      </c>
      <c r="Z2430" s="4" t="s">
        <v>2272</v>
      </c>
      <c r="AA2430" s="4" t="s">
        <v>2272</v>
      </c>
      <c r="AB2430" s="4" t="s">
        <v>2272</v>
      </c>
      <c r="AC2430" s="4" t="s">
        <v>63</v>
      </c>
      <c r="AD2430" s="4" t="s">
        <v>6442</v>
      </c>
      <c r="AE2430" s="4" t="s">
        <v>8383</v>
      </c>
    </row>
    <row r="2431" spans="1:31" ht="29">
      <c r="A2431" s="4" t="s">
        <v>6334</v>
      </c>
      <c r="B2431" s="4" t="s">
        <v>6500</v>
      </c>
      <c r="C2431" s="4" t="s">
        <v>23</v>
      </c>
      <c r="D2431" s="4" t="s">
        <v>2654</v>
      </c>
      <c r="E2431" s="4" t="s">
        <v>394</v>
      </c>
      <c r="F2431" s="4" t="s">
        <v>27</v>
      </c>
      <c r="G2431" s="4" t="s">
        <v>2272</v>
      </c>
      <c r="H2431" s="4" t="s">
        <v>521</v>
      </c>
      <c r="I2431" s="4">
        <v>2008</v>
      </c>
      <c r="J2431" s="4" t="s">
        <v>2272</v>
      </c>
      <c r="K2431" s="4" t="s">
        <v>2272</v>
      </c>
      <c r="L2431" s="4" t="s">
        <v>2272</v>
      </c>
      <c r="M2431" s="4" t="s">
        <v>2272</v>
      </c>
      <c r="N2431" s="4" t="s">
        <v>2272</v>
      </c>
      <c r="O2431" s="4" t="s">
        <v>2272</v>
      </c>
      <c r="P2431" s="4" t="s">
        <v>2272</v>
      </c>
      <c r="Q2431" s="4" t="s">
        <v>2272</v>
      </c>
      <c r="R2431" s="4" t="s">
        <v>2272</v>
      </c>
      <c r="S2431" s="4" t="s">
        <v>2272</v>
      </c>
      <c r="T2431" s="4" t="s">
        <v>2272</v>
      </c>
      <c r="U2431" s="4" t="s">
        <v>2272</v>
      </c>
      <c r="V2431" s="4" t="s">
        <v>2272</v>
      </c>
      <c r="W2431" s="4" t="s">
        <v>2272</v>
      </c>
      <c r="X2431" s="4" t="s">
        <v>2272</v>
      </c>
      <c r="Y2431" s="4" t="s">
        <v>2272</v>
      </c>
      <c r="Z2431" s="4" t="s">
        <v>2272</v>
      </c>
      <c r="AA2431" s="4" t="s">
        <v>2272</v>
      </c>
      <c r="AB2431" s="4" t="s">
        <v>2272</v>
      </c>
      <c r="AC2431" s="4" t="s">
        <v>63</v>
      </c>
      <c r="AD2431" s="4" t="s">
        <v>6442</v>
      </c>
      <c r="AE2431" s="4" t="s">
        <v>8383</v>
      </c>
    </row>
    <row r="2432" spans="1:31" ht="29">
      <c r="A2432" s="4" t="s">
        <v>6334</v>
      </c>
      <c r="B2432" s="4" t="s">
        <v>6501</v>
      </c>
      <c r="C2432" s="4" t="s">
        <v>23</v>
      </c>
      <c r="D2432" s="4" t="s">
        <v>2654</v>
      </c>
      <c r="E2432" s="4" t="s">
        <v>394</v>
      </c>
      <c r="F2432" s="4" t="s">
        <v>27</v>
      </c>
      <c r="G2432" s="4" t="s">
        <v>2272</v>
      </c>
      <c r="H2432" s="4" t="s">
        <v>521</v>
      </c>
      <c r="I2432" s="4">
        <v>2012</v>
      </c>
      <c r="J2432" s="4" t="s">
        <v>2272</v>
      </c>
      <c r="K2432" s="4" t="s">
        <v>2272</v>
      </c>
      <c r="L2432" s="4" t="s">
        <v>2272</v>
      </c>
      <c r="M2432" s="4" t="s">
        <v>2272</v>
      </c>
      <c r="N2432" s="4" t="s">
        <v>2272</v>
      </c>
      <c r="O2432" s="4" t="s">
        <v>2272</v>
      </c>
      <c r="P2432" s="4" t="s">
        <v>2272</v>
      </c>
      <c r="Q2432" s="4" t="s">
        <v>2272</v>
      </c>
      <c r="R2432" s="4" t="s">
        <v>2272</v>
      </c>
      <c r="S2432" s="4" t="s">
        <v>2272</v>
      </c>
      <c r="T2432" s="4" t="s">
        <v>2272</v>
      </c>
      <c r="U2432" s="4" t="s">
        <v>2272</v>
      </c>
      <c r="V2432" s="4" t="s">
        <v>2272</v>
      </c>
      <c r="W2432" s="4" t="s">
        <v>2272</v>
      </c>
      <c r="X2432" s="4" t="s">
        <v>2272</v>
      </c>
      <c r="Y2432" s="4" t="s">
        <v>2272</v>
      </c>
      <c r="Z2432" s="4" t="s">
        <v>2272</v>
      </c>
      <c r="AA2432" s="4" t="s">
        <v>2272</v>
      </c>
      <c r="AB2432" s="4" t="s">
        <v>2272</v>
      </c>
      <c r="AC2432" s="4" t="s">
        <v>63</v>
      </c>
      <c r="AD2432" s="4" t="s">
        <v>6442</v>
      </c>
      <c r="AE2432" s="4" t="s">
        <v>8383</v>
      </c>
    </row>
    <row r="2433" spans="1:31" ht="29">
      <c r="A2433" s="4" t="s">
        <v>6334</v>
      </c>
      <c r="B2433" s="4" t="s">
        <v>6502</v>
      </c>
      <c r="C2433" s="4" t="s">
        <v>23</v>
      </c>
      <c r="D2433" s="4" t="s">
        <v>2654</v>
      </c>
      <c r="E2433" s="4" t="s">
        <v>394</v>
      </c>
      <c r="F2433" s="4" t="s">
        <v>27</v>
      </c>
      <c r="G2433" s="4" t="s">
        <v>2272</v>
      </c>
      <c r="H2433" s="4" t="s">
        <v>522</v>
      </c>
      <c r="I2433" s="4">
        <v>2015</v>
      </c>
      <c r="J2433" s="71">
        <v>0</v>
      </c>
      <c r="K2433" s="71">
        <v>0</v>
      </c>
      <c r="L2433" s="71">
        <v>0</v>
      </c>
      <c r="M2433" s="71">
        <v>0</v>
      </c>
      <c r="N2433" s="71">
        <v>0</v>
      </c>
      <c r="O2433" s="71">
        <v>0</v>
      </c>
      <c r="P2433" s="71">
        <v>0</v>
      </c>
      <c r="Q2433" s="71">
        <v>0</v>
      </c>
      <c r="R2433" s="71">
        <v>0</v>
      </c>
      <c r="S2433" s="71">
        <v>0</v>
      </c>
      <c r="T2433" s="71">
        <v>0</v>
      </c>
      <c r="U2433" s="71">
        <v>0</v>
      </c>
      <c r="V2433" s="71">
        <v>0</v>
      </c>
      <c r="W2433" s="71">
        <v>0</v>
      </c>
      <c r="X2433" s="71">
        <v>0</v>
      </c>
      <c r="Y2433" s="4" t="s">
        <v>2272</v>
      </c>
      <c r="Z2433" s="4" t="s">
        <v>2272</v>
      </c>
      <c r="AA2433" s="4" t="s">
        <v>2272</v>
      </c>
      <c r="AB2433" s="4" t="s">
        <v>2272</v>
      </c>
      <c r="AC2433" s="4" t="s">
        <v>63</v>
      </c>
      <c r="AD2433" s="4" t="s">
        <v>6442</v>
      </c>
      <c r="AE2433" s="4" t="s">
        <v>8383</v>
      </c>
    </row>
    <row r="2434" spans="1:31" ht="29">
      <c r="A2434" s="4" t="s">
        <v>6335</v>
      </c>
      <c r="B2434" s="4" t="s">
        <v>6503</v>
      </c>
      <c r="C2434" s="4" t="s">
        <v>23</v>
      </c>
      <c r="D2434" s="4" t="s">
        <v>2654</v>
      </c>
      <c r="E2434" s="4" t="s">
        <v>394</v>
      </c>
      <c r="F2434" s="4" t="s">
        <v>27</v>
      </c>
      <c r="G2434" s="4" t="s">
        <v>2272</v>
      </c>
      <c r="H2434" s="4" t="s">
        <v>521</v>
      </c>
      <c r="I2434" s="4">
        <v>2008</v>
      </c>
      <c r="J2434" s="4" t="s">
        <v>2272</v>
      </c>
      <c r="K2434" s="4" t="s">
        <v>2272</v>
      </c>
      <c r="L2434" s="4" t="s">
        <v>2272</v>
      </c>
      <c r="M2434" s="4" t="s">
        <v>2272</v>
      </c>
      <c r="N2434" s="4" t="s">
        <v>2272</v>
      </c>
      <c r="O2434" s="4" t="s">
        <v>2272</v>
      </c>
      <c r="P2434" s="4" t="s">
        <v>2272</v>
      </c>
      <c r="Q2434" s="4" t="s">
        <v>2272</v>
      </c>
      <c r="R2434" s="4" t="s">
        <v>2272</v>
      </c>
      <c r="S2434" s="4" t="s">
        <v>2272</v>
      </c>
      <c r="T2434" s="4" t="s">
        <v>2272</v>
      </c>
      <c r="U2434" s="4" t="s">
        <v>2272</v>
      </c>
      <c r="V2434" s="4" t="s">
        <v>2272</v>
      </c>
      <c r="W2434" s="4" t="s">
        <v>2272</v>
      </c>
      <c r="X2434" s="4" t="s">
        <v>2272</v>
      </c>
      <c r="Y2434" s="4" t="s">
        <v>2272</v>
      </c>
      <c r="Z2434" s="4" t="s">
        <v>2272</v>
      </c>
      <c r="AA2434" s="4" t="s">
        <v>2272</v>
      </c>
      <c r="AB2434" s="4" t="s">
        <v>2272</v>
      </c>
      <c r="AC2434" s="4" t="s">
        <v>63</v>
      </c>
      <c r="AD2434" s="4" t="s">
        <v>6442</v>
      </c>
      <c r="AE2434" s="4" t="s">
        <v>8383</v>
      </c>
    </row>
    <row r="2435" spans="1:31" ht="29">
      <c r="A2435" s="4" t="s">
        <v>6335</v>
      </c>
      <c r="B2435" s="4" t="s">
        <v>6504</v>
      </c>
      <c r="C2435" s="4" t="s">
        <v>23</v>
      </c>
      <c r="D2435" s="4" t="s">
        <v>2654</v>
      </c>
      <c r="E2435" s="4" t="s">
        <v>394</v>
      </c>
      <c r="F2435" s="4" t="s">
        <v>27</v>
      </c>
      <c r="G2435" s="4" t="s">
        <v>2272</v>
      </c>
      <c r="H2435" s="4" t="s">
        <v>521</v>
      </c>
      <c r="I2435" s="4">
        <v>2012</v>
      </c>
      <c r="J2435" s="4" t="s">
        <v>2272</v>
      </c>
      <c r="K2435" s="4" t="s">
        <v>2272</v>
      </c>
      <c r="L2435" s="4" t="s">
        <v>2272</v>
      </c>
      <c r="M2435" s="4" t="s">
        <v>2272</v>
      </c>
      <c r="N2435" s="4" t="s">
        <v>2272</v>
      </c>
      <c r="O2435" s="4" t="s">
        <v>2272</v>
      </c>
      <c r="P2435" s="4" t="s">
        <v>2272</v>
      </c>
      <c r="Q2435" s="4" t="s">
        <v>2272</v>
      </c>
      <c r="R2435" s="4" t="s">
        <v>2272</v>
      </c>
      <c r="S2435" s="4" t="s">
        <v>2272</v>
      </c>
      <c r="T2435" s="4" t="s">
        <v>2272</v>
      </c>
      <c r="U2435" s="4" t="s">
        <v>2272</v>
      </c>
      <c r="V2435" s="4" t="s">
        <v>2272</v>
      </c>
      <c r="W2435" s="4" t="s">
        <v>2272</v>
      </c>
      <c r="X2435" s="4" t="s">
        <v>2272</v>
      </c>
      <c r="Y2435" s="4" t="s">
        <v>2272</v>
      </c>
      <c r="Z2435" s="4" t="s">
        <v>2272</v>
      </c>
      <c r="AA2435" s="4" t="s">
        <v>2272</v>
      </c>
      <c r="AB2435" s="4" t="s">
        <v>2272</v>
      </c>
      <c r="AC2435" s="4" t="s">
        <v>63</v>
      </c>
      <c r="AD2435" s="4" t="s">
        <v>6442</v>
      </c>
      <c r="AE2435" s="4" t="s">
        <v>8383</v>
      </c>
    </row>
    <row r="2436" spans="1:31" ht="29">
      <c r="A2436" s="4" t="s">
        <v>6335</v>
      </c>
      <c r="B2436" s="4" t="s">
        <v>6505</v>
      </c>
      <c r="C2436" s="4" t="s">
        <v>23</v>
      </c>
      <c r="D2436" s="4" t="s">
        <v>2654</v>
      </c>
      <c r="E2436" s="4" t="s">
        <v>394</v>
      </c>
      <c r="F2436" s="4" t="s">
        <v>27</v>
      </c>
      <c r="G2436" s="4" t="s">
        <v>2272</v>
      </c>
      <c r="H2436" s="4" t="s">
        <v>522</v>
      </c>
      <c r="I2436" s="4">
        <v>2015</v>
      </c>
      <c r="J2436" s="71">
        <v>0</v>
      </c>
      <c r="K2436" s="71">
        <v>0</v>
      </c>
      <c r="L2436" s="71">
        <v>0</v>
      </c>
      <c r="M2436" s="71">
        <v>0</v>
      </c>
      <c r="N2436" s="71">
        <v>0</v>
      </c>
      <c r="O2436" s="71">
        <v>0</v>
      </c>
      <c r="P2436" s="71">
        <v>0</v>
      </c>
      <c r="Q2436" s="71">
        <v>0</v>
      </c>
      <c r="R2436" s="71">
        <v>0</v>
      </c>
      <c r="S2436" s="71">
        <v>0</v>
      </c>
      <c r="T2436" s="71">
        <v>0</v>
      </c>
      <c r="U2436" s="71">
        <v>0</v>
      </c>
      <c r="V2436" s="71">
        <v>0</v>
      </c>
      <c r="W2436" s="71">
        <v>0</v>
      </c>
      <c r="X2436" s="71">
        <v>0</v>
      </c>
      <c r="Y2436" s="4" t="s">
        <v>2272</v>
      </c>
      <c r="Z2436" s="4" t="s">
        <v>2272</v>
      </c>
      <c r="AA2436" s="4" t="s">
        <v>2272</v>
      </c>
      <c r="AB2436" s="4" t="s">
        <v>2272</v>
      </c>
      <c r="AC2436" s="4" t="s">
        <v>63</v>
      </c>
      <c r="AD2436" s="4" t="s">
        <v>6442</v>
      </c>
      <c r="AE2436" s="4" t="s">
        <v>8383</v>
      </c>
    </row>
    <row r="2437" spans="1:31" ht="29">
      <c r="A2437" s="4" t="s">
        <v>6336</v>
      </c>
      <c r="B2437" s="4" t="s">
        <v>6506</v>
      </c>
      <c r="C2437" s="4" t="s">
        <v>23</v>
      </c>
      <c r="D2437" s="4" t="s">
        <v>2654</v>
      </c>
      <c r="E2437" s="4" t="s">
        <v>394</v>
      </c>
      <c r="F2437" s="4" t="s">
        <v>27</v>
      </c>
      <c r="G2437" s="4" t="s">
        <v>2272</v>
      </c>
      <c r="H2437" s="4" t="s">
        <v>521</v>
      </c>
      <c r="I2437" s="4">
        <v>2008</v>
      </c>
      <c r="J2437" s="4" t="s">
        <v>2272</v>
      </c>
      <c r="K2437" s="4" t="s">
        <v>2272</v>
      </c>
      <c r="L2437" s="4" t="s">
        <v>2272</v>
      </c>
      <c r="M2437" s="4" t="s">
        <v>2272</v>
      </c>
      <c r="N2437" s="4" t="s">
        <v>2272</v>
      </c>
      <c r="O2437" s="4" t="s">
        <v>2272</v>
      </c>
      <c r="P2437" s="4" t="s">
        <v>2272</v>
      </c>
      <c r="Q2437" s="4" t="s">
        <v>2272</v>
      </c>
      <c r="R2437" s="4" t="s">
        <v>2272</v>
      </c>
      <c r="S2437" s="4" t="s">
        <v>2272</v>
      </c>
      <c r="T2437" s="4" t="s">
        <v>2272</v>
      </c>
      <c r="U2437" s="4" t="s">
        <v>2272</v>
      </c>
      <c r="V2437" s="4" t="s">
        <v>2272</v>
      </c>
      <c r="W2437" s="4" t="s">
        <v>2272</v>
      </c>
      <c r="X2437" s="4" t="s">
        <v>2272</v>
      </c>
      <c r="Y2437" s="4" t="s">
        <v>2272</v>
      </c>
      <c r="Z2437" s="4" t="s">
        <v>2272</v>
      </c>
      <c r="AA2437" s="4" t="s">
        <v>2272</v>
      </c>
      <c r="AB2437" s="4" t="s">
        <v>2272</v>
      </c>
      <c r="AC2437" s="4" t="s">
        <v>63</v>
      </c>
      <c r="AD2437" s="4" t="s">
        <v>6442</v>
      </c>
      <c r="AE2437" s="4" t="s">
        <v>8383</v>
      </c>
    </row>
    <row r="2438" spans="1:31" ht="29">
      <c r="A2438" s="4" t="s">
        <v>6336</v>
      </c>
      <c r="B2438" s="4" t="s">
        <v>6507</v>
      </c>
      <c r="C2438" s="4" t="s">
        <v>23</v>
      </c>
      <c r="D2438" s="4" t="s">
        <v>2654</v>
      </c>
      <c r="E2438" s="4" t="s">
        <v>394</v>
      </c>
      <c r="F2438" s="4" t="s">
        <v>27</v>
      </c>
      <c r="G2438" s="4" t="s">
        <v>2272</v>
      </c>
      <c r="H2438" s="4" t="s">
        <v>521</v>
      </c>
      <c r="I2438" s="4">
        <v>2012</v>
      </c>
      <c r="J2438" s="4" t="s">
        <v>2272</v>
      </c>
      <c r="K2438" s="4" t="s">
        <v>2272</v>
      </c>
      <c r="L2438" s="4" t="s">
        <v>2272</v>
      </c>
      <c r="M2438" s="4" t="s">
        <v>2272</v>
      </c>
      <c r="N2438" s="4" t="s">
        <v>2272</v>
      </c>
      <c r="O2438" s="4" t="s">
        <v>2272</v>
      </c>
      <c r="P2438" s="4" t="s">
        <v>2272</v>
      </c>
      <c r="Q2438" s="4" t="s">
        <v>2272</v>
      </c>
      <c r="R2438" s="4" t="s">
        <v>2272</v>
      </c>
      <c r="S2438" s="4" t="s">
        <v>2272</v>
      </c>
      <c r="T2438" s="4" t="s">
        <v>2272</v>
      </c>
      <c r="U2438" s="4" t="s">
        <v>2272</v>
      </c>
      <c r="V2438" s="4" t="s">
        <v>2272</v>
      </c>
      <c r="W2438" s="4" t="s">
        <v>2272</v>
      </c>
      <c r="X2438" s="4" t="s">
        <v>2272</v>
      </c>
      <c r="Y2438" s="4" t="s">
        <v>2272</v>
      </c>
      <c r="Z2438" s="4" t="s">
        <v>2272</v>
      </c>
      <c r="AA2438" s="4" t="s">
        <v>2272</v>
      </c>
      <c r="AB2438" s="4" t="s">
        <v>2272</v>
      </c>
      <c r="AC2438" s="4" t="s">
        <v>63</v>
      </c>
      <c r="AD2438" s="4" t="s">
        <v>6442</v>
      </c>
      <c r="AE2438" s="4" t="s">
        <v>8383</v>
      </c>
    </row>
    <row r="2439" spans="1:31" ht="29">
      <c r="A2439" s="4" t="s">
        <v>6336</v>
      </c>
      <c r="B2439" s="4" t="s">
        <v>6508</v>
      </c>
      <c r="C2439" s="4" t="s">
        <v>23</v>
      </c>
      <c r="D2439" s="4" t="s">
        <v>2654</v>
      </c>
      <c r="E2439" s="4" t="s">
        <v>394</v>
      </c>
      <c r="F2439" s="4" t="s">
        <v>27</v>
      </c>
      <c r="G2439" s="4" t="s">
        <v>2272</v>
      </c>
      <c r="H2439" s="4" t="s">
        <v>522</v>
      </c>
      <c r="I2439" s="4">
        <v>2015</v>
      </c>
      <c r="J2439" s="71">
        <v>0</v>
      </c>
      <c r="K2439" s="71">
        <v>0</v>
      </c>
      <c r="L2439" s="71">
        <v>0</v>
      </c>
      <c r="M2439" s="71">
        <v>0</v>
      </c>
      <c r="N2439" s="71">
        <v>0</v>
      </c>
      <c r="O2439" s="71">
        <v>0</v>
      </c>
      <c r="P2439" s="71">
        <v>0</v>
      </c>
      <c r="Q2439" s="71">
        <v>0</v>
      </c>
      <c r="R2439" s="71">
        <v>0</v>
      </c>
      <c r="S2439" s="71">
        <v>0</v>
      </c>
      <c r="T2439" s="71">
        <v>0</v>
      </c>
      <c r="U2439" s="71">
        <v>0</v>
      </c>
      <c r="V2439" s="71">
        <v>0</v>
      </c>
      <c r="W2439" s="71">
        <v>0</v>
      </c>
      <c r="X2439" s="71">
        <v>0</v>
      </c>
      <c r="Y2439" s="4" t="s">
        <v>2272</v>
      </c>
      <c r="Z2439" s="4" t="s">
        <v>2272</v>
      </c>
      <c r="AA2439" s="4" t="s">
        <v>2272</v>
      </c>
      <c r="AB2439" s="4" t="s">
        <v>2272</v>
      </c>
      <c r="AC2439" s="4" t="s">
        <v>63</v>
      </c>
      <c r="AD2439" s="4" t="s">
        <v>6442</v>
      </c>
      <c r="AE2439" s="4" t="s">
        <v>8383</v>
      </c>
    </row>
    <row r="2440" spans="1:31" ht="29">
      <c r="A2440" s="4" t="s">
        <v>6337</v>
      </c>
      <c r="B2440" s="4" t="s">
        <v>6509</v>
      </c>
      <c r="C2440" s="4" t="s">
        <v>23</v>
      </c>
      <c r="D2440" s="4" t="s">
        <v>2654</v>
      </c>
      <c r="E2440" s="4" t="s">
        <v>394</v>
      </c>
      <c r="F2440" s="4" t="s">
        <v>27</v>
      </c>
      <c r="G2440" s="4" t="s">
        <v>2272</v>
      </c>
      <c r="H2440" s="4" t="s">
        <v>521</v>
      </c>
      <c r="I2440" s="4">
        <v>2008</v>
      </c>
      <c r="J2440" s="4" t="s">
        <v>2272</v>
      </c>
      <c r="K2440" s="4" t="s">
        <v>2272</v>
      </c>
      <c r="L2440" s="4" t="s">
        <v>2272</v>
      </c>
      <c r="M2440" s="4" t="s">
        <v>2272</v>
      </c>
      <c r="N2440" s="4" t="s">
        <v>2272</v>
      </c>
      <c r="O2440" s="4" t="s">
        <v>2272</v>
      </c>
      <c r="P2440" s="4" t="s">
        <v>2272</v>
      </c>
      <c r="Q2440" s="4" t="s">
        <v>2272</v>
      </c>
      <c r="R2440" s="4" t="s">
        <v>2272</v>
      </c>
      <c r="S2440" s="4" t="s">
        <v>2272</v>
      </c>
      <c r="T2440" s="4" t="s">
        <v>2272</v>
      </c>
      <c r="U2440" s="4" t="s">
        <v>2272</v>
      </c>
      <c r="V2440" s="4" t="s">
        <v>2272</v>
      </c>
      <c r="W2440" s="4" t="s">
        <v>2272</v>
      </c>
      <c r="X2440" s="4" t="s">
        <v>2272</v>
      </c>
      <c r="Y2440" s="4" t="s">
        <v>2272</v>
      </c>
      <c r="Z2440" s="4" t="s">
        <v>2272</v>
      </c>
      <c r="AA2440" s="4" t="s">
        <v>2272</v>
      </c>
      <c r="AB2440" s="4" t="s">
        <v>2272</v>
      </c>
      <c r="AC2440" s="4" t="s">
        <v>63</v>
      </c>
      <c r="AD2440" s="4" t="s">
        <v>6442</v>
      </c>
      <c r="AE2440" s="4" t="s">
        <v>8383</v>
      </c>
    </row>
    <row r="2441" spans="1:31" ht="29">
      <c r="A2441" s="4" t="s">
        <v>6337</v>
      </c>
      <c r="B2441" s="4" t="s">
        <v>6510</v>
      </c>
      <c r="C2441" s="4" t="s">
        <v>23</v>
      </c>
      <c r="D2441" s="4" t="s">
        <v>2654</v>
      </c>
      <c r="E2441" s="4" t="s">
        <v>394</v>
      </c>
      <c r="F2441" s="4" t="s">
        <v>27</v>
      </c>
      <c r="G2441" s="4" t="s">
        <v>2272</v>
      </c>
      <c r="H2441" s="4" t="s">
        <v>521</v>
      </c>
      <c r="I2441" s="4">
        <v>2012</v>
      </c>
      <c r="J2441" s="4" t="s">
        <v>2272</v>
      </c>
      <c r="K2441" s="4" t="s">
        <v>2272</v>
      </c>
      <c r="L2441" s="4" t="s">
        <v>2272</v>
      </c>
      <c r="M2441" s="4" t="s">
        <v>2272</v>
      </c>
      <c r="N2441" s="4" t="s">
        <v>2272</v>
      </c>
      <c r="O2441" s="4" t="s">
        <v>2272</v>
      </c>
      <c r="P2441" s="4" t="s">
        <v>2272</v>
      </c>
      <c r="Q2441" s="4" t="s">
        <v>2272</v>
      </c>
      <c r="R2441" s="4" t="s">
        <v>2272</v>
      </c>
      <c r="S2441" s="4" t="s">
        <v>2272</v>
      </c>
      <c r="T2441" s="4" t="s">
        <v>2272</v>
      </c>
      <c r="U2441" s="4" t="s">
        <v>2272</v>
      </c>
      <c r="V2441" s="4" t="s">
        <v>2272</v>
      </c>
      <c r="W2441" s="4" t="s">
        <v>2272</v>
      </c>
      <c r="X2441" s="4" t="s">
        <v>2272</v>
      </c>
      <c r="Y2441" s="4" t="s">
        <v>2272</v>
      </c>
      <c r="Z2441" s="4" t="s">
        <v>2272</v>
      </c>
      <c r="AA2441" s="4" t="s">
        <v>2272</v>
      </c>
      <c r="AB2441" s="4" t="s">
        <v>2272</v>
      </c>
      <c r="AC2441" s="4" t="s">
        <v>63</v>
      </c>
      <c r="AD2441" s="4" t="s">
        <v>6442</v>
      </c>
      <c r="AE2441" s="4" t="s">
        <v>8383</v>
      </c>
    </row>
    <row r="2442" spans="1:31" ht="29">
      <c r="A2442" s="4" t="s">
        <v>6337</v>
      </c>
      <c r="B2442" s="4" t="s">
        <v>6511</v>
      </c>
      <c r="C2442" s="4" t="s">
        <v>23</v>
      </c>
      <c r="D2442" s="4" t="s">
        <v>2654</v>
      </c>
      <c r="E2442" s="4" t="s">
        <v>394</v>
      </c>
      <c r="F2442" s="4" t="s">
        <v>27</v>
      </c>
      <c r="G2442" s="4" t="s">
        <v>2272</v>
      </c>
      <c r="H2442" s="4" t="s">
        <v>522</v>
      </c>
      <c r="I2442" s="4">
        <v>2015</v>
      </c>
      <c r="J2442" s="71">
        <v>0</v>
      </c>
      <c r="K2442" s="71">
        <v>0</v>
      </c>
      <c r="L2442" s="71">
        <v>0</v>
      </c>
      <c r="M2442" s="71">
        <v>0</v>
      </c>
      <c r="N2442" s="71">
        <v>0</v>
      </c>
      <c r="O2442" s="71">
        <v>0</v>
      </c>
      <c r="P2442" s="71">
        <v>0</v>
      </c>
      <c r="Q2442" s="71">
        <v>0</v>
      </c>
      <c r="R2442" s="71">
        <v>0</v>
      </c>
      <c r="S2442" s="71">
        <v>0</v>
      </c>
      <c r="T2442" s="71">
        <v>0</v>
      </c>
      <c r="U2442" s="71">
        <v>0</v>
      </c>
      <c r="V2442" s="71">
        <v>0</v>
      </c>
      <c r="W2442" s="71">
        <v>0</v>
      </c>
      <c r="X2442" s="71">
        <v>0</v>
      </c>
      <c r="Y2442" s="4" t="s">
        <v>2272</v>
      </c>
      <c r="Z2442" s="4" t="s">
        <v>2272</v>
      </c>
      <c r="AA2442" s="4" t="s">
        <v>2272</v>
      </c>
      <c r="AB2442" s="4" t="s">
        <v>2272</v>
      </c>
      <c r="AC2442" s="4" t="s">
        <v>63</v>
      </c>
      <c r="AD2442" s="4" t="s">
        <v>6442</v>
      </c>
      <c r="AE2442" s="4" t="s">
        <v>8383</v>
      </c>
    </row>
    <row r="2443" spans="1:31" ht="29">
      <c r="A2443" s="4" t="s">
        <v>8387</v>
      </c>
      <c r="B2443" s="4" t="s">
        <v>8389</v>
      </c>
      <c r="C2443" s="4" t="s">
        <v>23</v>
      </c>
      <c r="D2443" s="4" t="s">
        <v>2654</v>
      </c>
      <c r="E2443" s="4" t="s">
        <v>3850</v>
      </c>
      <c r="F2443" s="4" t="s">
        <v>27</v>
      </c>
      <c r="G2443" s="4" t="s">
        <v>2272</v>
      </c>
      <c r="H2443" s="4" t="s">
        <v>521</v>
      </c>
      <c r="I2443" s="4"/>
      <c r="J2443" s="4" t="s">
        <v>2272</v>
      </c>
      <c r="K2443" s="4" t="s">
        <v>2272</v>
      </c>
      <c r="L2443" s="4" t="s">
        <v>2272</v>
      </c>
      <c r="M2443" s="4" t="s">
        <v>2272</v>
      </c>
      <c r="N2443" s="4" t="s">
        <v>2272</v>
      </c>
      <c r="O2443" s="4" t="s">
        <v>2272</v>
      </c>
      <c r="P2443" s="4" t="s">
        <v>2272</v>
      </c>
      <c r="Q2443" s="4" t="s">
        <v>2272</v>
      </c>
      <c r="R2443" s="4" t="s">
        <v>2272</v>
      </c>
      <c r="S2443" s="4" t="s">
        <v>2272</v>
      </c>
      <c r="T2443" s="4" t="s">
        <v>2272</v>
      </c>
      <c r="U2443" s="4" t="s">
        <v>2272</v>
      </c>
      <c r="V2443" s="4" t="s">
        <v>2272</v>
      </c>
      <c r="W2443" s="4" t="s">
        <v>2272</v>
      </c>
      <c r="X2443" s="4" t="s">
        <v>2272</v>
      </c>
      <c r="Y2443" s="4" t="s">
        <v>2272</v>
      </c>
      <c r="Z2443" s="4" t="s">
        <v>2272</v>
      </c>
      <c r="AA2443" s="4" t="s">
        <v>2272</v>
      </c>
      <c r="AB2443" s="4" t="s">
        <v>2272</v>
      </c>
      <c r="AC2443" s="4" t="s">
        <v>63</v>
      </c>
      <c r="AD2443" s="4"/>
      <c r="AE2443" s="4"/>
    </row>
    <row r="2444" spans="1:31" ht="29">
      <c r="A2444" s="4" t="s">
        <v>8388</v>
      </c>
      <c r="B2444" s="4" t="s">
        <v>8390</v>
      </c>
      <c r="C2444" s="4" t="s">
        <v>23</v>
      </c>
      <c r="D2444" s="4" t="s">
        <v>2654</v>
      </c>
      <c r="E2444" s="4" t="s">
        <v>3850</v>
      </c>
      <c r="F2444" s="4" t="s">
        <v>27</v>
      </c>
      <c r="G2444" s="4" t="s">
        <v>2272</v>
      </c>
      <c r="H2444" s="4" t="s">
        <v>521</v>
      </c>
      <c r="I2444" s="4"/>
      <c r="J2444" s="4" t="s">
        <v>2272</v>
      </c>
      <c r="K2444" s="4" t="s">
        <v>2272</v>
      </c>
      <c r="L2444" s="4" t="s">
        <v>2272</v>
      </c>
      <c r="M2444" s="4" t="s">
        <v>2272</v>
      </c>
      <c r="N2444" s="4" t="s">
        <v>2272</v>
      </c>
      <c r="O2444" s="4" t="s">
        <v>2272</v>
      </c>
      <c r="P2444" s="4" t="s">
        <v>2272</v>
      </c>
      <c r="Q2444" s="4" t="s">
        <v>2272</v>
      </c>
      <c r="R2444" s="4" t="s">
        <v>2272</v>
      </c>
      <c r="S2444" s="4" t="s">
        <v>2272</v>
      </c>
      <c r="T2444" s="4" t="s">
        <v>2272</v>
      </c>
      <c r="U2444" s="4" t="s">
        <v>2272</v>
      </c>
      <c r="V2444" s="4" t="s">
        <v>2272</v>
      </c>
      <c r="W2444" s="4" t="s">
        <v>2272</v>
      </c>
      <c r="X2444" s="4" t="s">
        <v>2272</v>
      </c>
      <c r="Y2444" s="4" t="s">
        <v>2272</v>
      </c>
      <c r="Z2444" s="4" t="s">
        <v>2272</v>
      </c>
      <c r="AA2444" s="4" t="s">
        <v>2272</v>
      </c>
      <c r="AB2444" s="4" t="s">
        <v>2272</v>
      </c>
      <c r="AC2444" s="4" t="s">
        <v>63</v>
      </c>
      <c r="AD2444" s="4"/>
      <c r="AE2444" s="4"/>
    </row>
    <row r="2445" spans="1:31" ht="29">
      <c r="A2445" s="4" t="s">
        <v>6338</v>
      </c>
      <c r="B2445" s="4" t="s">
        <v>6512</v>
      </c>
      <c r="C2445" s="4" t="s">
        <v>23</v>
      </c>
      <c r="D2445" s="4" t="s">
        <v>2654</v>
      </c>
      <c r="E2445" s="4" t="s">
        <v>3849</v>
      </c>
      <c r="F2445" s="4" t="s">
        <v>27</v>
      </c>
      <c r="G2445" s="4" t="s">
        <v>2272</v>
      </c>
      <c r="H2445" s="4" t="s">
        <v>521</v>
      </c>
      <c r="I2445" s="4"/>
      <c r="J2445" s="4" t="s">
        <v>2272</v>
      </c>
      <c r="K2445" s="4" t="s">
        <v>2272</v>
      </c>
      <c r="L2445" s="4" t="s">
        <v>2272</v>
      </c>
      <c r="M2445" s="4" t="s">
        <v>2272</v>
      </c>
      <c r="N2445" s="4" t="s">
        <v>2272</v>
      </c>
      <c r="O2445" s="4" t="s">
        <v>2272</v>
      </c>
      <c r="P2445" s="4" t="s">
        <v>2272</v>
      </c>
      <c r="Q2445" s="4" t="s">
        <v>2272</v>
      </c>
      <c r="R2445" s="4" t="s">
        <v>2272</v>
      </c>
      <c r="S2445" s="4" t="s">
        <v>2272</v>
      </c>
      <c r="T2445" s="4" t="s">
        <v>2272</v>
      </c>
      <c r="U2445" s="4" t="s">
        <v>2272</v>
      </c>
      <c r="V2445" s="4" t="s">
        <v>2272</v>
      </c>
      <c r="W2445" s="4" t="s">
        <v>2272</v>
      </c>
      <c r="X2445" s="4" t="s">
        <v>2272</v>
      </c>
      <c r="Y2445" s="4" t="s">
        <v>2272</v>
      </c>
      <c r="Z2445" s="4" t="s">
        <v>2272</v>
      </c>
      <c r="AA2445" s="4" t="s">
        <v>403</v>
      </c>
      <c r="AB2445" s="4" t="s">
        <v>84</v>
      </c>
      <c r="AC2445" s="4" t="s">
        <v>63</v>
      </c>
      <c r="AD2445" s="4" t="s">
        <v>6443</v>
      </c>
      <c r="AE2445" s="4"/>
    </row>
    <row r="2446" spans="1:31" ht="29">
      <c r="A2446" s="4" t="s">
        <v>6338</v>
      </c>
      <c r="B2446" s="4" t="s">
        <v>6513</v>
      </c>
      <c r="C2446" s="4" t="s">
        <v>23</v>
      </c>
      <c r="D2446" s="4" t="s">
        <v>2654</v>
      </c>
      <c r="E2446" s="4" t="s">
        <v>3849</v>
      </c>
      <c r="F2446" s="4" t="s">
        <v>27</v>
      </c>
      <c r="G2446" s="4" t="s">
        <v>2272</v>
      </c>
      <c r="H2446" s="4" t="s">
        <v>521</v>
      </c>
      <c r="I2446" s="4"/>
      <c r="J2446" s="4" t="s">
        <v>2272</v>
      </c>
      <c r="K2446" s="4" t="s">
        <v>2272</v>
      </c>
      <c r="L2446" s="4" t="s">
        <v>2272</v>
      </c>
      <c r="M2446" s="4" t="s">
        <v>2272</v>
      </c>
      <c r="N2446" s="4" t="s">
        <v>2272</v>
      </c>
      <c r="O2446" s="4" t="s">
        <v>2272</v>
      </c>
      <c r="P2446" s="4" t="s">
        <v>2272</v>
      </c>
      <c r="Q2446" s="4" t="s">
        <v>2272</v>
      </c>
      <c r="R2446" s="4" t="s">
        <v>2272</v>
      </c>
      <c r="S2446" s="4" t="s">
        <v>2272</v>
      </c>
      <c r="T2446" s="4" t="s">
        <v>2272</v>
      </c>
      <c r="U2446" s="4" t="s">
        <v>2272</v>
      </c>
      <c r="V2446" s="4" t="s">
        <v>2272</v>
      </c>
      <c r="W2446" s="4" t="s">
        <v>2272</v>
      </c>
      <c r="X2446" s="4" t="s">
        <v>2272</v>
      </c>
      <c r="Y2446" s="4" t="s">
        <v>2272</v>
      </c>
      <c r="Z2446" s="4" t="s">
        <v>2272</v>
      </c>
      <c r="AA2446" s="4" t="s">
        <v>403</v>
      </c>
      <c r="AB2446" s="4" t="s">
        <v>84</v>
      </c>
      <c r="AC2446" s="4" t="s">
        <v>63</v>
      </c>
      <c r="AD2446" s="4" t="s">
        <v>6444</v>
      </c>
      <c r="AE2446" s="4"/>
    </row>
    <row r="2447" spans="1:31" ht="29">
      <c r="A2447" s="4" t="s">
        <v>6339</v>
      </c>
      <c r="B2447" s="4" t="s">
        <v>6514</v>
      </c>
      <c r="C2447" s="4" t="s">
        <v>23</v>
      </c>
      <c r="D2447" s="4" t="s">
        <v>2654</v>
      </c>
      <c r="E2447" s="4" t="s">
        <v>3849</v>
      </c>
      <c r="F2447" s="4" t="s">
        <v>27</v>
      </c>
      <c r="G2447" s="4" t="s">
        <v>2272</v>
      </c>
      <c r="H2447" s="4" t="s">
        <v>522</v>
      </c>
      <c r="I2447" s="4"/>
      <c r="J2447" s="71">
        <v>0</v>
      </c>
      <c r="K2447" s="71">
        <v>0</v>
      </c>
      <c r="L2447" s="71">
        <v>0</v>
      </c>
      <c r="M2447" s="71">
        <v>0</v>
      </c>
      <c r="N2447" s="71">
        <v>0</v>
      </c>
      <c r="O2447" s="71">
        <v>0</v>
      </c>
      <c r="P2447" s="71">
        <v>0</v>
      </c>
      <c r="Q2447" s="71">
        <v>0</v>
      </c>
      <c r="R2447" s="71">
        <v>0</v>
      </c>
      <c r="S2447" s="71">
        <v>0</v>
      </c>
      <c r="T2447" s="71">
        <v>0</v>
      </c>
      <c r="U2447" s="71">
        <v>0</v>
      </c>
      <c r="V2447" s="71">
        <v>0</v>
      </c>
      <c r="W2447" s="71">
        <v>0</v>
      </c>
      <c r="X2447" s="71">
        <v>0</v>
      </c>
      <c r="Y2447" s="71">
        <v>0</v>
      </c>
      <c r="Z2447" s="4" t="s">
        <v>2272</v>
      </c>
      <c r="AA2447" s="4" t="s">
        <v>2272</v>
      </c>
      <c r="AB2447" s="4" t="s">
        <v>2272</v>
      </c>
      <c r="AC2447" s="4" t="s">
        <v>2272</v>
      </c>
      <c r="AD2447" s="4" t="s">
        <v>6445</v>
      </c>
      <c r="AE2447" s="4"/>
    </row>
    <row r="2448" spans="1:31" ht="29">
      <c r="A2448" s="4" t="s">
        <v>6339</v>
      </c>
      <c r="B2448" s="4" t="s">
        <v>6515</v>
      </c>
      <c r="C2448" s="4" t="s">
        <v>23</v>
      </c>
      <c r="D2448" s="4" t="s">
        <v>2654</v>
      </c>
      <c r="E2448" s="4" t="s">
        <v>395</v>
      </c>
      <c r="F2448" s="4" t="s">
        <v>27</v>
      </c>
      <c r="G2448" s="4" t="s">
        <v>2272</v>
      </c>
      <c r="H2448" s="4" t="s">
        <v>521</v>
      </c>
      <c r="I2448" s="4"/>
      <c r="J2448" s="4" t="s">
        <v>2272</v>
      </c>
      <c r="K2448" s="4" t="s">
        <v>2272</v>
      </c>
      <c r="L2448" s="4" t="s">
        <v>2272</v>
      </c>
      <c r="M2448" s="4" t="s">
        <v>2272</v>
      </c>
      <c r="N2448" s="4" t="s">
        <v>2272</v>
      </c>
      <c r="O2448" s="4" t="s">
        <v>2272</v>
      </c>
      <c r="P2448" s="4" t="s">
        <v>2272</v>
      </c>
      <c r="Q2448" s="4" t="s">
        <v>2272</v>
      </c>
      <c r="R2448" s="4" t="s">
        <v>2272</v>
      </c>
      <c r="S2448" s="4" t="s">
        <v>2272</v>
      </c>
      <c r="T2448" s="4" t="s">
        <v>2272</v>
      </c>
      <c r="U2448" s="4" t="s">
        <v>2272</v>
      </c>
      <c r="V2448" s="4" t="s">
        <v>2272</v>
      </c>
      <c r="W2448" s="4" t="s">
        <v>2272</v>
      </c>
      <c r="X2448" s="4" t="s">
        <v>2272</v>
      </c>
      <c r="Y2448" s="4" t="s">
        <v>2272</v>
      </c>
      <c r="Z2448" s="4" t="s">
        <v>2272</v>
      </c>
      <c r="AA2448" s="4" t="s">
        <v>403</v>
      </c>
      <c r="AB2448" s="4" t="s">
        <v>84</v>
      </c>
      <c r="AC2448" s="4" t="s">
        <v>63</v>
      </c>
      <c r="AD2448" s="4" t="s">
        <v>6445</v>
      </c>
      <c r="AE2448" s="4"/>
    </row>
    <row r="2449" spans="1:31" ht="29">
      <c r="A2449" s="4" t="s">
        <v>6340</v>
      </c>
      <c r="B2449" s="4" t="s">
        <v>6516</v>
      </c>
      <c r="C2449" s="4" t="s">
        <v>23</v>
      </c>
      <c r="D2449" s="4" t="s">
        <v>2654</v>
      </c>
      <c r="E2449" s="4" t="s">
        <v>395</v>
      </c>
      <c r="F2449" s="4" t="s">
        <v>27</v>
      </c>
      <c r="G2449" s="4" t="s">
        <v>2272</v>
      </c>
      <c r="H2449" s="4" t="s">
        <v>521</v>
      </c>
      <c r="I2449" s="4"/>
      <c r="J2449" s="4" t="s">
        <v>2272</v>
      </c>
      <c r="K2449" s="4" t="s">
        <v>2272</v>
      </c>
      <c r="L2449" s="4" t="s">
        <v>2272</v>
      </c>
      <c r="M2449" s="4" t="s">
        <v>2272</v>
      </c>
      <c r="N2449" s="4" t="s">
        <v>2272</v>
      </c>
      <c r="O2449" s="4" t="s">
        <v>2272</v>
      </c>
      <c r="P2449" s="4" t="s">
        <v>2272</v>
      </c>
      <c r="Q2449" s="4" t="s">
        <v>2272</v>
      </c>
      <c r="R2449" s="4" t="s">
        <v>2272</v>
      </c>
      <c r="S2449" s="4" t="s">
        <v>2272</v>
      </c>
      <c r="T2449" s="4" t="s">
        <v>2272</v>
      </c>
      <c r="U2449" s="4" t="s">
        <v>2272</v>
      </c>
      <c r="V2449" s="4" t="s">
        <v>2272</v>
      </c>
      <c r="W2449" s="4" t="s">
        <v>2272</v>
      </c>
      <c r="X2449" s="219">
        <f>100*1.9/83</f>
        <v>2.2891566265060241</v>
      </c>
      <c r="Y2449" s="4" t="s">
        <v>2272</v>
      </c>
      <c r="Z2449" s="4" t="s">
        <v>2272</v>
      </c>
      <c r="AA2449" s="4" t="s">
        <v>403</v>
      </c>
      <c r="AB2449" s="4" t="s">
        <v>84</v>
      </c>
      <c r="AC2449" s="4" t="s">
        <v>63</v>
      </c>
      <c r="AD2449" s="4" t="s">
        <v>6446</v>
      </c>
      <c r="AE2449" s="4"/>
    </row>
    <row r="2450" spans="1:31" ht="29">
      <c r="A2450" s="4" t="s">
        <v>6341</v>
      </c>
      <c r="B2450" s="4" t="s">
        <v>6517</v>
      </c>
      <c r="C2450" s="4" t="s">
        <v>23</v>
      </c>
      <c r="D2450" s="4" t="s">
        <v>2654</v>
      </c>
      <c r="E2450" s="4" t="s">
        <v>3850</v>
      </c>
      <c r="F2450" s="4" t="s">
        <v>27</v>
      </c>
      <c r="G2450" s="4" t="s">
        <v>2272</v>
      </c>
      <c r="H2450" s="4" t="s">
        <v>521</v>
      </c>
      <c r="I2450" s="4"/>
      <c r="J2450" s="4" t="s">
        <v>2272</v>
      </c>
      <c r="K2450" s="4" t="s">
        <v>2272</v>
      </c>
      <c r="L2450" s="4" t="s">
        <v>2272</v>
      </c>
      <c r="M2450" s="4" t="s">
        <v>2272</v>
      </c>
      <c r="N2450" s="4" t="s">
        <v>2272</v>
      </c>
      <c r="O2450" s="4" t="s">
        <v>2272</v>
      </c>
      <c r="P2450" s="4" t="s">
        <v>2272</v>
      </c>
      <c r="Q2450" s="4" t="s">
        <v>2272</v>
      </c>
      <c r="R2450" s="4" t="s">
        <v>2272</v>
      </c>
      <c r="S2450" s="4" t="s">
        <v>2272</v>
      </c>
      <c r="T2450" s="4" t="s">
        <v>2272</v>
      </c>
      <c r="U2450" s="4" t="s">
        <v>2272</v>
      </c>
      <c r="V2450" s="4" t="s">
        <v>2272</v>
      </c>
      <c r="W2450" s="4" t="s">
        <v>2272</v>
      </c>
      <c r="X2450" s="4" t="s">
        <v>2272</v>
      </c>
      <c r="Y2450" s="4" t="s">
        <v>2272</v>
      </c>
      <c r="Z2450" s="4" t="s">
        <v>2272</v>
      </c>
      <c r="AA2450" s="4" t="s">
        <v>2272</v>
      </c>
      <c r="AB2450" s="4" t="s">
        <v>2272</v>
      </c>
      <c r="AC2450" s="4" t="s">
        <v>63</v>
      </c>
      <c r="AD2450" s="4" t="s">
        <v>6447</v>
      </c>
      <c r="AE2450" s="4"/>
    </row>
    <row r="2451" spans="1:31" ht="29">
      <c r="A2451" s="4" t="s">
        <v>6341</v>
      </c>
      <c r="B2451" s="4" t="s">
        <v>6518</v>
      </c>
      <c r="C2451" s="4" t="s">
        <v>23</v>
      </c>
      <c r="D2451" s="4" t="s">
        <v>2654</v>
      </c>
      <c r="E2451" s="4" t="s">
        <v>3850</v>
      </c>
      <c r="F2451" s="4" t="s">
        <v>27</v>
      </c>
      <c r="G2451" s="4" t="s">
        <v>2272</v>
      </c>
      <c r="H2451" s="4" t="s">
        <v>521</v>
      </c>
      <c r="I2451" s="4"/>
      <c r="J2451" s="4" t="s">
        <v>2272</v>
      </c>
      <c r="K2451" s="4" t="s">
        <v>2272</v>
      </c>
      <c r="L2451" s="4" t="s">
        <v>2272</v>
      </c>
      <c r="M2451" s="4" t="s">
        <v>2272</v>
      </c>
      <c r="N2451" s="4" t="s">
        <v>2272</v>
      </c>
      <c r="O2451" s="4" t="s">
        <v>2272</v>
      </c>
      <c r="P2451" s="4" t="s">
        <v>2272</v>
      </c>
      <c r="Q2451" s="4" t="s">
        <v>2272</v>
      </c>
      <c r="R2451" s="4" t="s">
        <v>2272</v>
      </c>
      <c r="S2451" s="4" t="s">
        <v>2272</v>
      </c>
      <c r="T2451" s="4" t="s">
        <v>2272</v>
      </c>
      <c r="U2451" s="4" t="s">
        <v>2272</v>
      </c>
      <c r="V2451" s="4" t="s">
        <v>2272</v>
      </c>
      <c r="W2451" s="4" t="s">
        <v>2272</v>
      </c>
      <c r="X2451" s="4" t="s">
        <v>2272</v>
      </c>
      <c r="Y2451" s="4" t="s">
        <v>2272</v>
      </c>
      <c r="Z2451" s="4" t="s">
        <v>2272</v>
      </c>
      <c r="AA2451" s="4" t="s">
        <v>2272</v>
      </c>
      <c r="AB2451" s="4" t="s">
        <v>2272</v>
      </c>
      <c r="AC2451" s="4" t="s">
        <v>63</v>
      </c>
      <c r="AD2451" s="4" t="s">
        <v>6448</v>
      </c>
      <c r="AE2451" s="4"/>
    </row>
    <row r="2452" spans="1:31" ht="29">
      <c r="A2452" s="4" t="s">
        <v>6342</v>
      </c>
      <c r="B2452" s="4" t="s">
        <v>6519</v>
      </c>
      <c r="C2452" s="4" t="s">
        <v>23</v>
      </c>
      <c r="D2452" s="4" t="s">
        <v>2654</v>
      </c>
      <c r="E2452" s="4" t="s">
        <v>3850</v>
      </c>
      <c r="F2452" s="4" t="s">
        <v>27</v>
      </c>
      <c r="G2452" s="4" t="s">
        <v>2272</v>
      </c>
      <c r="H2452" s="4" t="s">
        <v>521</v>
      </c>
      <c r="I2452" s="4"/>
      <c r="J2452" s="4" t="s">
        <v>2272</v>
      </c>
      <c r="K2452" s="4" t="s">
        <v>2272</v>
      </c>
      <c r="L2452" s="4" t="s">
        <v>2272</v>
      </c>
      <c r="M2452" s="4" t="s">
        <v>2272</v>
      </c>
      <c r="N2452" s="4" t="s">
        <v>2272</v>
      </c>
      <c r="O2452" s="4" t="s">
        <v>2272</v>
      </c>
      <c r="P2452" s="4" t="s">
        <v>2272</v>
      </c>
      <c r="Q2452" s="4" t="s">
        <v>2272</v>
      </c>
      <c r="R2452" s="4" t="s">
        <v>2272</v>
      </c>
      <c r="S2452" s="4" t="s">
        <v>2272</v>
      </c>
      <c r="T2452" s="4" t="s">
        <v>2272</v>
      </c>
      <c r="U2452" s="4" t="s">
        <v>2272</v>
      </c>
      <c r="V2452" s="4" t="s">
        <v>2272</v>
      </c>
      <c r="W2452" s="4" t="s">
        <v>2272</v>
      </c>
      <c r="X2452" s="4" t="s">
        <v>2272</v>
      </c>
      <c r="Y2452" s="4" t="s">
        <v>2272</v>
      </c>
      <c r="Z2452" s="4" t="s">
        <v>2272</v>
      </c>
      <c r="AA2452" s="4" t="s">
        <v>2272</v>
      </c>
      <c r="AB2452" s="4" t="s">
        <v>2272</v>
      </c>
      <c r="AC2452" s="4" t="s">
        <v>63</v>
      </c>
      <c r="AD2452" s="4" t="s">
        <v>6447</v>
      </c>
      <c r="AE2452" s="4"/>
    </row>
    <row r="2453" spans="1:31" ht="29">
      <c r="A2453" s="4" t="s">
        <v>6342</v>
      </c>
      <c r="B2453" s="4" t="s">
        <v>6520</v>
      </c>
      <c r="C2453" s="4" t="s">
        <v>23</v>
      </c>
      <c r="D2453" s="4" t="s">
        <v>2654</v>
      </c>
      <c r="E2453" s="4" t="s">
        <v>3850</v>
      </c>
      <c r="F2453" s="4" t="s">
        <v>27</v>
      </c>
      <c r="G2453" s="4" t="s">
        <v>2272</v>
      </c>
      <c r="H2453" s="4" t="s">
        <v>521</v>
      </c>
      <c r="I2453" s="4"/>
      <c r="J2453" s="4" t="s">
        <v>2272</v>
      </c>
      <c r="K2453" s="4" t="s">
        <v>2272</v>
      </c>
      <c r="L2453" s="4" t="s">
        <v>2272</v>
      </c>
      <c r="M2453" s="4" t="s">
        <v>2272</v>
      </c>
      <c r="N2453" s="4" t="s">
        <v>2272</v>
      </c>
      <c r="O2453" s="4" t="s">
        <v>2272</v>
      </c>
      <c r="P2453" s="4" t="s">
        <v>2272</v>
      </c>
      <c r="Q2453" s="4" t="s">
        <v>2272</v>
      </c>
      <c r="R2453" s="4" t="s">
        <v>2272</v>
      </c>
      <c r="S2453" s="4" t="s">
        <v>2272</v>
      </c>
      <c r="T2453" s="4" t="s">
        <v>2272</v>
      </c>
      <c r="U2453" s="4" t="s">
        <v>2272</v>
      </c>
      <c r="V2453" s="4" t="s">
        <v>2272</v>
      </c>
      <c r="W2453" s="4" t="s">
        <v>2272</v>
      </c>
      <c r="X2453" s="4" t="s">
        <v>2272</v>
      </c>
      <c r="Y2453" s="4" t="s">
        <v>2272</v>
      </c>
      <c r="Z2453" s="4" t="s">
        <v>2272</v>
      </c>
      <c r="AA2453" s="4" t="s">
        <v>2272</v>
      </c>
      <c r="AB2453" s="4" t="s">
        <v>2272</v>
      </c>
      <c r="AC2453" s="4" t="s">
        <v>63</v>
      </c>
      <c r="AD2453" s="4" t="s">
        <v>6448</v>
      </c>
      <c r="AE2453" s="4"/>
    </row>
    <row r="2454" spans="1:31" ht="29">
      <c r="A2454" s="4" t="s">
        <v>6343</v>
      </c>
      <c r="B2454" s="4" t="s">
        <v>8391</v>
      </c>
      <c r="C2454" s="4" t="s">
        <v>23</v>
      </c>
      <c r="D2454" s="4" t="s">
        <v>2654</v>
      </c>
      <c r="E2454" s="4" t="s">
        <v>3849</v>
      </c>
      <c r="F2454" s="4" t="s">
        <v>27</v>
      </c>
      <c r="G2454" s="4" t="s">
        <v>2272</v>
      </c>
      <c r="H2454" s="4" t="s">
        <v>522</v>
      </c>
      <c r="I2454" s="4"/>
      <c r="J2454" s="71">
        <v>0</v>
      </c>
      <c r="K2454" s="71">
        <v>0</v>
      </c>
      <c r="L2454" s="71">
        <v>0</v>
      </c>
      <c r="M2454" s="71">
        <v>0</v>
      </c>
      <c r="N2454" s="71">
        <v>0</v>
      </c>
      <c r="O2454" s="71">
        <v>0</v>
      </c>
      <c r="P2454" s="71">
        <v>0</v>
      </c>
      <c r="Q2454" s="71">
        <v>0</v>
      </c>
      <c r="R2454" s="71">
        <v>0</v>
      </c>
      <c r="S2454" s="71">
        <v>0</v>
      </c>
      <c r="T2454" s="71">
        <v>0</v>
      </c>
      <c r="U2454" s="71">
        <v>0</v>
      </c>
      <c r="V2454" s="71">
        <v>0</v>
      </c>
      <c r="W2454" s="71">
        <v>0</v>
      </c>
      <c r="X2454" s="71">
        <v>0</v>
      </c>
      <c r="Y2454" s="71">
        <v>0</v>
      </c>
      <c r="Z2454" s="4" t="s">
        <v>2272</v>
      </c>
      <c r="AA2454" s="4" t="s">
        <v>2272</v>
      </c>
      <c r="AB2454" s="4" t="s">
        <v>2272</v>
      </c>
      <c r="AC2454" s="4" t="s">
        <v>2272</v>
      </c>
      <c r="AD2454" s="4" t="s">
        <v>6447</v>
      </c>
      <c r="AE2454" s="4" t="s">
        <v>8393</v>
      </c>
    </row>
    <row r="2455" spans="1:31" ht="29">
      <c r="A2455" s="4" t="s">
        <v>6343</v>
      </c>
      <c r="B2455" s="4" t="s">
        <v>8392</v>
      </c>
      <c r="C2455" s="4" t="s">
        <v>23</v>
      </c>
      <c r="D2455" s="4" t="s">
        <v>2654</v>
      </c>
      <c r="E2455" s="4" t="s">
        <v>3849</v>
      </c>
      <c r="F2455" s="4" t="s">
        <v>27</v>
      </c>
      <c r="G2455" s="4" t="s">
        <v>2272</v>
      </c>
      <c r="H2455" s="4" t="s">
        <v>522</v>
      </c>
      <c r="I2455" s="4"/>
      <c r="J2455" s="71">
        <v>0</v>
      </c>
      <c r="K2455" s="71">
        <v>0</v>
      </c>
      <c r="L2455" s="71">
        <v>0</v>
      </c>
      <c r="M2455" s="71">
        <v>0</v>
      </c>
      <c r="N2455" s="71">
        <v>0</v>
      </c>
      <c r="O2455" s="71">
        <v>0</v>
      </c>
      <c r="P2455" s="71">
        <v>0</v>
      </c>
      <c r="Q2455" s="71">
        <v>0</v>
      </c>
      <c r="R2455" s="71">
        <v>0</v>
      </c>
      <c r="S2455" s="71">
        <v>0</v>
      </c>
      <c r="T2455" s="71">
        <v>0</v>
      </c>
      <c r="U2455" s="71">
        <v>0</v>
      </c>
      <c r="V2455" s="71">
        <v>0</v>
      </c>
      <c r="W2455" s="71">
        <v>0</v>
      </c>
      <c r="X2455" s="71">
        <v>0</v>
      </c>
      <c r="Y2455" s="71">
        <v>0</v>
      </c>
      <c r="Z2455" s="4" t="s">
        <v>2272</v>
      </c>
      <c r="AA2455" s="4" t="s">
        <v>2272</v>
      </c>
      <c r="AB2455" s="4" t="s">
        <v>2272</v>
      </c>
      <c r="AC2455" s="4" t="s">
        <v>2272</v>
      </c>
      <c r="AD2455" s="4" t="s">
        <v>6448</v>
      </c>
      <c r="AE2455" s="4" t="s">
        <v>8393</v>
      </c>
    </row>
    <row r="2456" spans="1:31" ht="32.5" customHeight="1">
      <c r="A2456" s="4" t="s">
        <v>5433</v>
      </c>
      <c r="B2456" s="4" t="s">
        <v>6521</v>
      </c>
      <c r="C2456" s="4" t="s">
        <v>23</v>
      </c>
      <c r="D2456" s="198" t="s">
        <v>26</v>
      </c>
      <c r="E2456" s="198" t="s">
        <v>128</v>
      </c>
      <c r="F2456" s="4" t="s">
        <v>158</v>
      </c>
      <c r="G2456" s="4" t="s">
        <v>158</v>
      </c>
      <c r="H2456" s="198" t="s">
        <v>521</v>
      </c>
      <c r="I2456" s="198"/>
      <c r="J2456" s="4" t="s">
        <v>2272</v>
      </c>
      <c r="K2456" s="4" t="s">
        <v>2272</v>
      </c>
      <c r="L2456" s="4" t="s">
        <v>2272</v>
      </c>
      <c r="M2456" s="4" t="s">
        <v>2272</v>
      </c>
      <c r="N2456" s="4" t="s">
        <v>2272</v>
      </c>
      <c r="O2456" s="4" t="s">
        <v>2272</v>
      </c>
      <c r="P2456" s="4" t="s">
        <v>2272</v>
      </c>
      <c r="Q2456" s="4" t="s">
        <v>2272</v>
      </c>
      <c r="R2456" s="4" t="s">
        <v>2272</v>
      </c>
      <c r="S2456" s="4" t="s">
        <v>2272</v>
      </c>
      <c r="T2456" s="4" t="s">
        <v>2272</v>
      </c>
      <c r="U2456" s="4" t="s">
        <v>2272</v>
      </c>
      <c r="V2456" s="4" t="s">
        <v>2272</v>
      </c>
      <c r="W2456" s="4" t="s">
        <v>2272</v>
      </c>
      <c r="X2456" s="4" t="s">
        <v>2272</v>
      </c>
      <c r="Y2456" s="4" t="s">
        <v>2272</v>
      </c>
      <c r="Z2456" s="4" t="s">
        <v>2272</v>
      </c>
      <c r="AA2456" s="198" t="s">
        <v>34</v>
      </c>
      <c r="AB2456" s="198" t="s">
        <v>397</v>
      </c>
      <c r="AC2456" s="4" t="s">
        <v>2272</v>
      </c>
      <c r="AD2456" s="198"/>
      <c r="AE2456" s="198"/>
    </row>
    <row r="2457" spans="1:31" ht="32.5" customHeight="1">
      <c r="A2457" s="198" t="s">
        <v>11283</v>
      </c>
      <c r="B2457" s="4" t="s">
        <v>11298</v>
      </c>
      <c r="C2457" s="4" t="s">
        <v>23</v>
      </c>
      <c r="D2457" s="198" t="s">
        <v>26</v>
      </c>
      <c r="E2457" s="198" t="s">
        <v>128</v>
      </c>
      <c r="F2457" s="4" t="s">
        <v>158</v>
      </c>
      <c r="G2457" s="4" t="s">
        <v>158</v>
      </c>
      <c r="H2457" s="198" t="s">
        <v>521</v>
      </c>
      <c r="I2457" s="4"/>
      <c r="J2457" s="4" t="s">
        <v>2272</v>
      </c>
      <c r="K2457" s="4" t="s">
        <v>2272</v>
      </c>
      <c r="L2457" s="4" t="s">
        <v>2272</v>
      </c>
      <c r="M2457" s="4" t="s">
        <v>2272</v>
      </c>
      <c r="N2457" s="4" t="s">
        <v>2272</v>
      </c>
      <c r="O2457" s="4" t="s">
        <v>2272</v>
      </c>
      <c r="P2457" s="4" t="s">
        <v>2272</v>
      </c>
      <c r="Q2457" s="4" t="s">
        <v>2272</v>
      </c>
      <c r="R2457" s="4" t="s">
        <v>2272</v>
      </c>
      <c r="S2457" s="4" t="s">
        <v>2272</v>
      </c>
      <c r="T2457" s="4" t="s">
        <v>2272</v>
      </c>
      <c r="U2457" s="4" t="s">
        <v>2272</v>
      </c>
      <c r="V2457" s="4" t="s">
        <v>2272</v>
      </c>
      <c r="W2457" s="4" t="s">
        <v>2272</v>
      </c>
      <c r="X2457" s="4" t="s">
        <v>2272</v>
      </c>
      <c r="Y2457" s="4" t="s">
        <v>2272</v>
      </c>
      <c r="Z2457" s="4" t="s">
        <v>2272</v>
      </c>
      <c r="AA2457" s="198" t="s">
        <v>34</v>
      </c>
      <c r="AB2457" s="198" t="s">
        <v>397</v>
      </c>
      <c r="AC2457" s="4" t="s">
        <v>2272</v>
      </c>
      <c r="AD2457" s="4"/>
      <c r="AE2457" s="4"/>
    </row>
    <row r="2458" spans="1:31" ht="32.5" customHeight="1">
      <c r="A2458" s="198" t="s">
        <v>11284</v>
      </c>
      <c r="B2458" s="4" t="s">
        <v>11299</v>
      </c>
      <c r="C2458" s="4" t="s">
        <v>23</v>
      </c>
      <c r="D2458" s="198" t="s">
        <v>26</v>
      </c>
      <c r="E2458" s="198" t="s">
        <v>128</v>
      </c>
      <c r="F2458" s="4" t="s">
        <v>158</v>
      </c>
      <c r="G2458" s="4" t="s">
        <v>158</v>
      </c>
      <c r="H2458" s="198" t="s">
        <v>521</v>
      </c>
      <c r="I2458" s="4"/>
      <c r="J2458" s="4" t="s">
        <v>2272</v>
      </c>
      <c r="K2458" s="4" t="s">
        <v>2272</v>
      </c>
      <c r="L2458" s="4" t="s">
        <v>2272</v>
      </c>
      <c r="M2458" s="4" t="s">
        <v>2272</v>
      </c>
      <c r="N2458" s="4" t="s">
        <v>2272</v>
      </c>
      <c r="O2458" s="4" t="s">
        <v>2272</v>
      </c>
      <c r="P2458" s="4" t="s">
        <v>2272</v>
      </c>
      <c r="Q2458" s="4" t="s">
        <v>2272</v>
      </c>
      <c r="R2458" s="4" t="s">
        <v>2272</v>
      </c>
      <c r="S2458" s="4" t="s">
        <v>2272</v>
      </c>
      <c r="T2458" s="4" t="s">
        <v>2272</v>
      </c>
      <c r="U2458" s="4" t="s">
        <v>2272</v>
      </c>
      <c r="V2458" s="4" t="s">
        <v>2272</v>
      </c>
      <c r="W2458" s="4" t="s">
        <v>2272</v>
      </c>
      <c r="X2458" s="4" t="s">
        <v>2272</v>
      </c>
      <c r="Y2458" s="4" t="s">
        <v>2272</v>
      </c>
      <c r="Z2458" s="4" t="s">
        <v>2272</v>
      </c>
      <c r="AA2458" s="198" t="s">
        <v>34</v>
      </c>
      <c r="AB2458" s="198" t="s">
        <v>397</v>
      </c>
      <c r="AC2458" s="4" t="s">
        <v>2272</v>
      </c>
      <c r="AD2458" s="4"/>
      <c r="AE2458" s="4"/>
    </row>
    <row r="2459" spans="1:31" ht="32.5" customHeight="1">
      <c r="A2459" s="198" t="s">
        <v>11285</v>
      </c>
      <c r="B2459" s="4" t="s">
        <v>11300</v>
      </c>
      <c r="C2459" s="4" t="s">
        <v>23</v>
      </c>
      <c r="D2459" s="198" t="s">
        <v>26</v>
      </c>
      <c r="E2459" s="198" t="s">
        <v>128</v>
      </c>
      <c r="F2459" s="4" t="s">
        <v>158</v>
      </c>
      <c r="G2459" s="4" t="s">
        <v>158</v>
      </c>
      <c r="H2459" s="198" t="s">
        <v>521</v>
      </c>
      <c r="I2459" s="4"/>
      <c r="J2459" s="4" t="s">
        <v>2272</v>
      </c>
      <c r="K2459" s="4" t="s">
        <v>2272</v>
      </c>
      <c r="L2459" s="4" t="s">
        <v>2272</v>
      </c>
      <c r="M2459" s="4" t="s">
        <v>2272</v>
      </c>
      <c r="N2459" s="4" t="s">
        <v>2272</v>
      </c>
      <c r="O2459" s="4" t="s">
        <v>2272</v>
      </c>
      <c r="P2459" s="4" t="s">
        <v>2272</v>
      </c>
      <c r="Q2459" s="4" t="s">
        <v>2272</v>
      </c>
      <c r="R2459" s="4" t="s">
        <v>2272</v>
      </c>
      <c r="S2459" s="4" t="s">
        <v>2272</v>
      </c>
      <c r="T2459" s="4" t="s">
        <v>2272</v>
      </c>
      <c r="U2459" s="4" t="s">
        <v>2272</v>
      </c>
      <c r="V2459" s="4" t="s">
        <v>2272</v>
      </c>
      <c r="W2459" s="4" t="s">
        <v>2272</v>
      </c>
      <c r="X2459" s="4" t="s">
        <v>2272</v>
      </c>
      <c r="Y2459" s="4" t="s">
        <v>2272</v>
      </c>
      <c r="Z2459" s="4" t="s">
        <v>2272</v>
      </c>
      <c r="AA2459" s="198" t="s">
        <v>34</v>
      </c>
      <c r="AB2459" s="198" t="s">
        <v>397</v>
      </c>
      <c r="AC2459" s="4" t="s">
        <v>2272</v>
      </c>
      <c r="AD2459" s="4"/>
      <c r="AE2459" s="4"/>
    </row>
    <row r="2460" spans="1:31" ht="32.5" customHeight="1">
      <c r="A2460" s="198" t="s">
        <v>11286</v>
      </c>
      <c r="B2460" s="4" t="s">
        <v>11301</v>
      </c>
      <c r="C2460" s="4" t="s">
        <v>23</v>
      </c>
      <c r="D2460" s="198" t="s">
        <v>26</v>
      </c>
      <c r="E2460" s="198" t="s">
        <v>128</v>
      </c>
      <c r="F2460" s="4" t="s">
        <v>158</v>
      </c>
      <c r="G2460" s="4" t="s">
        <v>158</v>
      </c>
      <c r="H2460" s="198" t="s">
        <v>521</v>
      </c>
      <c r="I2460" s="4"/>
      <c r="J2460" s="4" t="s">
        <v>2272</v>
      </c>
      <c r="K2460" s="4" t="s">
        <v>2272</v>
      </c>
      <c r="L2460" s="4" t="s">
        <v>2272</v>
      </c>
      <c r="M2460" s="4" t="s">
        <v>2272</v>
      </c>
      <c r="N2460" s="4" t="s">
        <v>2272</v>
      </c>
      <c r="O2460" s="4" t="s">
        <v>2272</v>
      </c>
      <c r="P2460" s="4" t="s">
        <v>2272</v>
      </c>
      <c r="Q2460" s="4" t="s">
        <v>2272</v>
      </c>
      <c r="R2460" s="4" t="s">
        <v>2272</v>
      </c>
      <c r="S2460" s="4" t="s">
        <v>2272</v>
      </c>
      <c r="T2460" s="4" t="s">
        <v>2272</v>
      </c>
      <c r="U2460" s="4" t="s">
        <v>2272</v>
      </c>
      <c r="V2460" s="4" t="s">
        <v>2272</v>
      </c>
      <c r="W2460" s="4" t="s">
        <v>2272</v>
      </c>
      <c r="X2460" s="4" t="s">
        <v>2272</v>
      </c>
      <c r="Y2460" s="4" t="s">
        <v>2272</v>
      </c>
      <c r="Z2460" s="4" t="s">
        <v>2272</v>
      </c>
      <c r="AA2460" s="198" t="s">
        <v>34</v>
      </c>
      <c r="AB2460" s="198" t="s">
        <v>397</v>
      </c>
      <c r="AC2460" s="4" t="s">
        <v>2272</v>
      </c>
      <c r="AD2460" s="4"/>
      <c r="AE2460" s="4"/>
    </row>
    <row r="2461" spans="1:31" ht="32.5" customHeight="1">
      <c r="A2461" s="198" t="s">
        <v>11287</v>
      </c>
      <c r="B2461" s="4" t="s">
        <v>11302</v>
      </c>
      <c r="C2461" s="4" t="s">
        <v>23</v>
      </c>
      <c r="D2461" s="198" t="s">
        <v>26</v>
      </c>
      <c r="E2461" s="198" t="s">
        <v>128</v>
      </c>
      <c r="F2461" s="4" t="s">
        <v>158</v>
      </c>
      <c r="G2461" s="4" t="s">
        <v>158</v>
      </c>
      <c r="H2461" s="198" t="s">
        <v>521</v>
      </c>
      <c r="I2461" s="4"/>
      <c r="J2461" s="4" t="s">
        <v>2272</v>
      </c>
      <c r="K2461" s="4" t="s">
        <v>2272</v>
      </c>
      <c r="L2461" s="4" t="s">
        <v>2272</v>
      </c>
      <c r="M2461" s="4" t="s">
        <v>2272</v>
      </c>
      <c r="N2461" s="4" t="s">
        <v>2272</v>
      </c>
      <c r="O2461" s="4" t="s">
        <v>2272</v>
      </c>
      <c r="P2461" s="4" t="s">
        <v>2272</v>
      </c>
      <c r="Q2461" s="4" t="s">
        <v>2272</v>
      </c>
      <c r="R2461" s="4" t="s">
        <v>2272</v>
      </c>
      <c r="S2461" s="4" t="s">
        <v>2272</v>
      </c>
      <c r="T2461" s="4" t="s">
        <v>2272</v>
      </c>
      <c r="U2461" s="4" t="s">
        <v>2272</v>
      </c>
      <c r="V2461" s="4" t="s">
        <v>2272</v>
      </c>
      <c r="W2461" s="4" t="s">
        <v>2272</v>
      </c>
      <c r="X2461" s="4" t="s">
        <v>2272</v>
      </c>
      <c r="Y2461" s="4" t="s">
        <v>2272</v>
      </c>
      <c r="Z2461" s="4" t="s">
        <v>2272</v>
      </c>
      <c r="AA2461" s="198" t="s">
        <v>34</v>
      </c>
      <c r="AB2461" s="198" t="s">
        <v>397</v>
      </c>
      <c r="AC2461" s="4" t="s">
        <v>2272</v>
      </c>
      <c r="AD2461" s="4"/>
      <c r="AE2461" s="4"/>
    </row>
    <row r="2462" spans="1:31" ht="32.5" customHeight="1">
      <c r="A2462" s="4" t="s">
        <v>5433</v>
      </c>
      <c r="B2462" s="4" t="s">
        <v>11303</v>
      </c>
      <c r="C2462" s="4" t="s">
        <v>2453</v>
      </c>
      <c r="D2462" s="198" t="s">
        <v>26</v>
      </c>
      <c r="E2462" s="198" t="s">
        <v>128</v>
      </c>
      <c r="F2462" s="4" t="s">
        <v>158</v>
      </c>
      <c r="G2462" s="4" t="s">
        <v>73</v>
      </c>
      <c r="H2462" s="198" t="s">
        <v>521</v>
      </c>
      <c r="I2462" s="4"/>
      <c r="J2462" s="4" t="s">
        <v>2272</v>
      </c>
      <c r="K2462" s="4" t="s">
        <v>2272</v>
      </c>
      <c r="L2462" s="4" t="s">
        <v>2272</v>
      </c>
      <c r="M2462" s="4" t="s">
        <v>2272</v>
      </c>
      <c r="N2462" s="4" t="s">
        <v>2272</v>
      </c>
      <c r="O2462" s="4" t="s">
        <v>2272</v>
      </c>
      <c r="P2462" s="4" t="s">
        <v>2272</v>
      </c>
      <c r="Q2462" s="4" t="s">
        <v>2272</v>
      </c>
      <c r="R2462" s="4" t="s">
        <v>2272</v>
      </c>
      <c r="S2462" s="4" t="s">
        <v>2272</v>
      </c>
      <c r="T2462" s="4" t="s">
        <v>2272</v>
      </c>
      <c r="U2462" s="4" t="s">
        <v>2272</v>
      </c>
      <c r="V2462" s="4" t="s">
        <v>2272</v>
      </c>
      <c r="W2462" s="4" t="s">
        <v>2272</v>
      </c>
      <c r="X2462" s="4" t="s">
        <v>2272</v>
      </c>
      <c r="Y2462" s="4" t="s">
        <v>2272</v>
      </c>
      <c r="Z2462" s="4" t="s">
        <v>2272</v>
      </c>
      <c r="AA2462" s="198" t="s">
        <v>125</v>
      </c>
      <c r="AB2462" s="198" t="s">
        <v>125</v>
      </c>
      <c r="AC2462" s="4" t="s">
        <v>2272</v>
      </c>
      <c r="AD2462" s="4"/>
      <c r="AE2462" s="4"/>
    </row>
    <row r="2463" spans="1:31" ht="32.5" customHeight="1">
      <c r="A2463" s="198" t="s">
        <v>11283</v>
      </c>
      <c r="B2463" s="4" t="s">
        <v>11304</v>
      </c>
      <c r="C2463" s="4" t="s">
        <v>2453</v>
      </c>
      <c r="D2463" s="198" t="s">
        <v>26</v>
      </c>
      <c r="E2463" s="198" t="s">
        <v>128</v>
      </c>
      <c r="F2463" s="4" t="s">
        <v>158</v>
      </c>
      <c r="G2463" s="4" t="s">
        <v>73</v>
      </c>
      <c r="H2463" s="198" t="s">
        <v>521</v>
      </c>
      <c r="I2463" s="4"/>
      <c r="J2463" s="4" t="s">
        <v>2272</v>
      </c>
      <c r="K2463" s="4" t="s">
        <v>2272</v>
      </c>
      <c r="L2463" s="4" t="s">
        <v>2272</v>
      </c>
      <c r="M2463" s="4" t="s">
        <v>2272</v>
      </c>
      <c r="N2463" s="4" t="s">
        <v>2272</v>
      </c>
      <c r="O2463" s="4" t="s">
        <v>2272</v>
      </c>
      <c r="P2463" s="4" t="s">
        <v>2272</v>
      </c>
      <c r="Q2463" s="4" t="s">
        <v>2272</v>
      </c>
      <c r="R2463" s="4" t="s">
        <v>2272</v>
      </c>
      <c r="S2463" s="4" t="s">
        <v>2272</v>
      </c>
      <c r="T2463" s="4" t="s">
        <v>2272</v>
      </c>
      <c r="U2463" s="4" t="s">
        <v>2272</v>
      </c>
      <c r="V2463" s="4" t="s">
        <v>2272</v>
      </c>
      <c r="W2463" s="4" t="s">
        <v>2272</v>
      </c>
      <c r="X2463" s="4" t="s">
        <v>2272</v>
      </c>
      <c r="Y2463" s="4" t="s">
        <v>2272</v>
      </c>
      <c r="Z2463" s="4" t="s">
        <v>2272</v>
      </c>
      <c r="AA2463" s="198" t="s">
        <v>125</v>
      </c>
      <c r="AB2463" s="198" t="s">
        <v>125</v>
      </c>
      <c r="AC2463" s="4" t="s">
        <v>2272</v>
      </c>
      <c r="AD2463" s="4"/>
      <c r="AE2463" s="4"/>
    </row>
    <row r="2464" spans="1:31" ht="32.5" customHeight="1">
      <c r="A2464" s="198" t="s">
        <v>11284</v>
      </c>
      <c r="B2464" s="4" t="s">
        <v>11305</v>
      </c>
      <c r="C2464" s="4" t="s">
        <v>2453</v>
      </c>
      <c r="D2464" s="198" t="s">
        <v>26</v>
      </c>
      <c r="E2464" s="198" t="s">
        <v>128</v>
      </c>
      <c r="F2464" s="4" t="s">
        <v>158</v>
      </c>
      <c r="G2464" s="4" t="s">
        <v>73</v>
      </c>
      <c r="H2464" s="198" t="s">
        <v>521</v>
      </c>
      <c r="I2464" s="4"/>
      <c r="J2464" s="4" t="s">
        <v>2272</v>
      </c>
      <c r="K2464" s="4" t="s">
        <v>2272</v>
      </c>
      <c r="L2464" s="4" t="s">
        <v>2272</v>
      </c>
      <c r="M2464" s="4" t="s">
        <v>2272</v>
      </c>
      <c r="N2464" s="4" t="s">
        <v>2272</v>
      </c>
      <c r="O2464" s="4" t="s">
        <v>2272</v>
      </c>
      <c r="P2464" s="4" t="s">
        <v>2272</v>
      </c>
      <c r="Q2464" s="4" t="s">
        <v>2272</v>
      </c>
      <c r="R2464" s="4" t="s">
        <v>2272</v>
      </c>
      <c r="S2464" s="4" t="s">
        <v>2272</v>
      </c>
      <c r="T2464" s="4" t="s">
        <v>2272</v>
      </c>
      <c r="U2464" s="4" t="s">
        <v>2272</v>
      </c>
      <c r="V2464" s="4" t="s">
        <v>2272</v>
      </c>
      <c r="W2464" s="4" t="s">
        <v>2272</v>
      </c>
      <c r="X2464" s="4" t="s">
        <v>2272</v>
      </c>
      <c r="Y2464" s="4" t="s">
        <v>2272</v>
      </c>
      <c r="Z2464" s="4" t="s">
        <v>2272</v>
      </c>
      <c r="AA2464" s="198" t="s">
        <v>125</v>
      </c>
      <c r="AB2464" s="198" t="s">
        <v>125</v>
      </c>
      <c r="AC2464" s="4" t="s">
        <v>2272</v>
      </c>
      <c r="AD2464" s="4"/>
      <c r="AE2464" s="4"/>
    </row>
    <row r="2465" spans="1:31" ht="32.5" customHeight="1">
      <c r="A2465" s="198" t="s">
        <v>11285</v>
      </c>
      <c r="B2465" s="4" t="s">
        <v>11306</v>
      </c>
      <c r="C2465" s="4" t="s">
        <v>2453</v>
      </c>
      <c r="D2465" s="198" t="s">
        <v>26</v>
      </c>
      <c r="E2465" s="198" t="s">
        <v>128</v>
      </c>
      <c r="F2465" s="4" t="s">
        <v>158</v>
      </c>
      <c r="G2465" s="4" t="s">
        <v>73</v>
      </c>
      <c r="H2465" s="198" t="s">
        <v>521</v>
      </c>
      <c r="I2465" s="4"/>
      <c r="J2465" s="4" t="s">
        <v>2272</v>
      </c>
      <c r="K2465" s="4" t="s">
        <v>2272</v>
      </c>
      <c r="L2465" s="4" t="s">
        <v>2272</v>
      </c>
      <c r="M2465" s="4" t="s">
        <v>2272</v>
      </c>
      <c r="N2465" s="4" t="s">
        <v>2272</v>
      </c>
      <c r="O2465" s="4" t="s">
        <v>2272</v>
      </c>
      <c r="P2465" s="4" t="s">
        <v>2272</v>
      </c>
      <c r="Q2465" s="4" t="s">
        <v>2272</v>
      </c>
      <c r="R2465" s="4" t="s">
        <v>2272</v>
      </c>
      <c r="S2465" s="4" t="s">
        <v>2272</v>
      </c>
      <c r="T2465" s="4" t="s">
        <v>2272</v>
      </c>
      <c r="U2465" s="4" t="s">
        <v>2272</v>
      </c>
      <c r="V2465" s="4" t="s">
        <v>2272</v>
      </c>
      <c r="W2465" s="4" t="s">
        <v>2272</v>
      </c>
      <c r="X2465" s="4" t="s">
        <v>2272</v>
      </c>
      <c r="Y2465" s="4" t="s">
        <v>2272</v>
      </c>
      <c r="Z2465" s="4" t="s">
        <v>2272</v>
      </c>
      <c r="AA2465" s="198" t="s">
        <v>125</v>
      </c>
      <c r="AB2465" s="198" t="s">
        <v>125</v>
      </c>
      <c r="AC2465" s="4" t="s">
        <v>2272</v>
      </c>
      <c r="AD2465" s="4"/>
      <c r="AE2465" s="4"/>
    </row>
    <row r="2466" spans="1:31" ht="32.5" customHeight="1">
      <c r="A2466" s="198" t="s">
        <v>11286</v>
      </c>
      <c r="B2466" s="4" t="s">
        <v>11307</v>
      </c>
      <c r="C2466" s="4" t="s">
        <v>2453</v>
      </c>
      <c r="D2466" s="198" t="s">
        <v>26</v>
      </c>
      <c r="E2466" s="198" t="s">
        <v>128</v>
      </c>
      <c r="F2466" s="4" t="s">
        <v>158</v>
      </c>
      <c r="G2466" s="4" t="s">
        <v>73</v>
      </c>
      <c r="H2466" s="198" t="s">
        <v>521</v>
      </c>
      <c r="I2466" s="4"/>
      <c r="J2466" s="4" t="s">
        <v>2272</v>
      </c>
      <c r="K2466" s="4" t="s">
        <v>2272</v>
      </c>
      <c r="L2466" s="4" t="s">
        <v>2272</v>
      </c>
      <c r="M2466" s="4" t="s">
        <v>2272</v>
      </c>
      <c r="N2466" s="4" t="s">
        <v>2272</v>
      </c>
      <c r="O2466" s="4" t="s">
        <v>2272</v>
      </c>
      <c r="P2466" s="4" t="s">
        <v>2272</v>
      </c>
      <c r="Q2466" s="4" t="s">
        <v>2272</v>
      </c>
      <c r="R2466" s="4" t="s">
        <v>2272</v>
      </c>
      <c r="S2466" s="4" t="s">
        <v>2272</v>
      </c>
      <c r="T2466" s="4" t="s">
        <v>2272</v>
      </c>
      <c r="U2466" s="4" t="s">
        <v>2272</v>
      </c>
      <c r="V2466" s="4" t="s">
        <v>2272</v>
      </c>
      <c r="W2466" s="4" t="s">
        <v>2272</v>
      </c>
      <c r="X2466" s="4" t="s">
        <v>2272</v>
      </c>
      <c r="Y2466" s="4" t="s">
        <v>2272</v>
      </c>
      <c r="Z2466" s="4" t="s">
        <v>2272</v>
      </c>
      <c r="AA2466" s="198" t="s">
        <v>125</v>
      </c>
      <c r="AB2466" s="198" t="s">
        <v>125</v>
      </c>
      <c r="AC2466" s="4" t="s">
        <v>2272</v>
      </c>
      <c r="AD2466" s="4"/>
      <c r="AE2466" s="4"/>
    </row>
    <row r="2467" spans="1:31" ht="32.5" customHeight="1">
      <c r="A2467" s="198" t="s">
        <v>11287</v>
      </c>
      <c r="B2467" s="4" t="s">
        <v>11308</v>
      </c>
      <c r="C2467" s="4" t="s">
        <v>2453</v>
      </c>
      <c r="D2467" s="198" t="s">
        <v>26</v>
      </c>
      <c r="E2467" s="198" t="s">
        <v>128</v>
      </c>
      <c r="F2467" s="4" t="s">
        <v>158</v>
      </c>
      <c r="G2467" s="4" t="s">
        <v>73</v>
      </c>
      <c r="H2467" s="198" t="s">
        <v>521</v>
      </c>
      <c r="I2467" s="4"/>
      <c r="J2467" s="4" t="s">
        <v>2272</v>
      </c>
      <c r="K2467" s="4" t="s">
        <v>2272</v>
      </c>
      <c r="L2467" s="181" t="s">
        <v>2272</v>
      </c>
      <c r="M2467" s="4" t="s">
        <v>2272</v>
      </c>
      <c r="N2467" s="4" t="s">
        <v>2272</v>
      </c>
      <c r="O2467" s="4" t="s">
        <v>2272</v>
      </c>
      <c r="P2467" s="4" t="s">
        <v>2272</v>
      </c>
      <c r="Q2467" s="4" t="s">
        <v>2272</v>
      </c>
      <c r="R2467" s="4" t="s">
        <v>2272</v>
      </c>
      <c r="S2467" s="4" t="s">
        <v>2272</v>
      </c>
      <c r="T2467" s="4" t="s">
        <v>2272</v>
      </c>
      <c r="U2467" s="4" t="s">
        <v>2272</v>
      </c>
      <c r="V2467" s="4" t="s">
        <v>2272</v>
      </c>
      <c r="W2467" s="4" t="s">
        <v>2272</v>
      </c>
      <c r="X2467" s="4" t="s">
        <v>2272</v>
      </c>
      <c r="Y2467" s="4" t="s">
        <v>2272</v>
      </c>
      <c r="Z2467" s="4" t="s">
        <v>2272</v>
      </c>
      <c r="AA2467" s="198" t="s">
        <v>125</v>
      </c>
      <c r="AB2467" s="198" t="s">
        <v>125</v>
      </c>
      <c r="AC2467" s="4" t="s">
        <v>2272</v>
      </c>
      <c r="AD2467" s="4"/>
      <c r="AE2467" s="4"/>
    </row>
    <row r="2468" spans="1:31" ht="32.5" customHeight="1">
      <c r="A2468" s="4" t="s">
        <v>5433</v>
      </c>
      <c r="B2468" s="4" t="s">
        <v>11309</v>
      </c>
      <c r="C2468" s="198" t="s">
        <v>23</v>
      </c>
      <c r="D2468" s="198" t="s">
        <v>1241</v>
      </c>
      <c r="E2468" s="198" t="s">
        <v>114</v>
      </c>
      <c r="F2468" s="4" t="s">
        <v>2657</v>
      </c>
      <c r="G2468" s="4" t="s">
        <v>2657</v>
      </c>
      <c r="H2468" s="198" t="s">
        <v>521</v>
      </c>
      <c r="I2468" s="198"/>
      <c r="J2468" s="4" t="s">
        <v>2272</v>
      </c>
      <c r="K2468" s="4" t="s">
        <v>2272</v>
      </c>
      <c r="L2468" s="4" t="s">
        <v>2272</v>
      </c>
      <c r="M2468" s="4" t="s">
        <v>2272</v>
      </c>
      <c r="N2468" s="4" t="s">
        <v>2272</v>
      </c>
      <c r="O2468" s="4" t="s">
        <v>2272</v>
      </c>
      <c r="P2468" s="4" t="s">
        <v>2272</v>
      </c>
      <c r="Q2468" s="4" t="s">
        <v>2272</v>
      </c>
      <c r="R2468" s="4" t="s">
        <v>2272</v>
      </c>
      <c r="S2468" s="4" t="s">
        <v>2272</v>
      </c>
      <c r="T2468" s="4" t="s">
        <v>2272</v>
      </c>
      <c r="U2468" s="4" t="s">
        <v>2272</v>
      </c>
      <c r="V2468" s="4" t="s">
        <v>2272</v>
      </c>
      <c r="W2468" s="4" t="s">
        <v>2272</v>
      </c>
      <c r="X2468" s="4" t="s">
        <v>2272</v>
      </c>
      <c r="Y2468" s="4" t="s">
        <v>2272</v>
      </c>
      <c r="Z2468" s="4" t="s">
        <v>2272</v>
      </c>
      <c r="AA2468" s="198" t="s">
        <v>34</v>
      </c>
      <c r="AB2468" s="198" t="s">
        <v>37</v>
      </c>
      <c r="AC2468" s="4" t="s">
        <v>2272</v>
      </c>
      <c r="AD2468" s="36" t="s">
        <v>11315</v>
      </c>
      <c r="AE2468" s="198"/>
    </row>
    <row r="2469" spans="1:31" ht="32.5" customHeight="1">
      <c r="A2469" s="198" t="s">
        <v>11283</v>
      </c>
      <c r="B2469" s="4" t="s">
        <v>11310</v>
      </c>
      <c r="C2469" s="198" t="s">
        <v>23</v>
      </c>
      <c r="D2469" s="198" t="s">
        <v>1241</v>
      </c>
      <c r="E2469" s="198" t="s">
        <v>114</v>
      </c>
      <c r="F2469" s="4" t="s">
        <v>2657</v>
      </c>
      <c r="G2469" s="4" t="s">
        <v>2657</v>
      </c>
      <c r="H2469" s="198" t="s">
        <v>522</v>
      </c>
      <c r="I2469" s="4"/>
      <c r="J2469" s="4">
        <v>0</v>
      </c>
      <c r="K2469" s="4">
        <v>0</v>
      </c>
      <c r="L2469" s="4">
        <v>0</v>
      </c>
      <c r="M2469" s="4">
        <v>0</v>
      </c>
      <c r="N2469" s="4">
        <v>0</v>
      </c>
      <c r="O2469" s="4">
        <v>0</v>
      </c>
      <c r="P2469" s="4">
        <v>0</v>
      </c>
      <c r="Q2469" s="4">
        <v>0</v>
      </c>
      <c r="R2469" s="4">
        <v>0</v>
      </c>
      <c r="S2469" s="4">
        <v>0</v>
      </c>
      <c r="T2469" s="4">
        <v>0</v>
      </c>
      <c r="U2469" s="4">
        <v>0</v>
      </c>
      <c r="V2469" s="4">
        <v>0</v>
      </c>
      <c r="W2469" s="4">
        <v>0</v>
      </c>
      <c r="X2469" s="4">
        <v>0</v>
      </c>
      <c r="Y2469" s="4">
        <v>0</v>
      </c>
      <c r="Z2469" s="4" t="s">
        <v>2272</v>
      </c>
      <c r="AA2469" s="198" t="s">
        <v>34</v>
      </c>
      <c r="AB2469" s="198" t="s">
        <v>37</v>
      </c>
      <c r="AC2469" s="4" t="s">
        <v>2272</v>
      </c>
      <c r="AD2469" s="36" t="s">
        <v>11315</v>
      </c>
      <c r="AE2469" s="4"/>
    </row>
    <row r="2470" spans="1:31" ht="32.5" customHeight="1">
      <c r="A2470" s="198" t="s">
        <v>11284</v>
      </c>
      <c r="B2470" s="4" t="s">
        <v>11311</v>
      </c>
      <c r="C2470" s="198" t="s">
        <v>23</v>
      </c>
      <c r="D2470" s="198" t="s">
        <v>1241</v>
      </c>
      <c r="E2470" s="198" t="s">
        <v>114</v>
      </c>
      <c r="F2470" s="4" t="s">
        <v>2657</v>
      </c>
      <c r="G2470" s="4" t="s">
        <v>2657</v>
      </c>
      <c r="H2470" s="198" t="s">
        <v>521</v>
      </c>
      <c r="I2470" s="4"/>
      <c r="J2470" s="4" t="s">
        <v>2272</v>
      </c>
      <c r="K2470" s="4" t="s">
        <v>2272</v>
      </c>
      <c r="L2470" s="4" t="s">
        <v>2272</v>
      </c>
      <c r="M2470" s="4" t="s">
        <v>2272</v>
      </c>
      <c r="N2470" s="4" t="s">
        <v>2272</v>
      </c>
      <c r="O2470" s="4" t="s">
        <v>2272</v>
      </c>
      <c r="P2470" s="4" t="s">
        <v>2272</v>
      </c>
      <c r="Q2470" s="4" t="s">
        <v>2272</v>
      </c>
      <c r="R2470" s="4" t="s">
        <v>2272</v>
      </c>
      <c r="S2470" s="4" t="s">
        <v>2272</v>
      </c>
      <c r="T2470" s="4" t="s">
        <v>2272</v>
      </c>
      <c r="U2470" s="4" t="s">
        <v>2272</v>
      </c>
      <c r="V2470" s="4" t="s">
        <v>2272</v>
      </c>
      <c r="W2470" s="4" t="s">
        <v>2272</v>
      </c>
      <c r="X2470" s="4" t="s">
        <v>2272</v>
      </c>
      <c r="Y2470" s="4" t="s">
        <v>2272</v>
      </c>
      <c r="Z2470" s="4" t="s">
        <v>2272</v>
      </c>
      <c r="AA2470" s="198" t="s">
        <v>34</v>
      </c>
      <c r="AB2470" s="198" t="s">
        <v>37</v>
      </c>
      <c r="AC2470" s="4" t="s">
        <v>2272</v>
      </c>
      <c r="AD2470" s="36" t="s">
        <v>11315</v>
      </c>
      <c r="AE2470" s="4"/>
    </row>
    <row r="2471" spans="1:31" ht="32.5" customHeight="1">
      <c r="A2471" s="198" t="s">
        <v>11285</v>
      </c>
      <c r="B2471" s="4" t="s">
        <v>11312</v>
      </c>
      <c r="C2471" s="198" t="s">
        <v>23</v>
      </c>
      <c r="D2471" s="198" t="s">
        <v>1241</v>
      </c>
      <c r="E2471" s="198" t="s">
        <v>114</v>
      </c>
      <c r="F2471" s="4" t="s">
        <v>2657</v>
      </c>
      <c r="G2471" s="4" t="s">
        <v>2657</v>
      </c>
      <c r="H2471" s="198" t="s">
        <v>521</v>
      </c>
      <c r="I2471" s="4"/>
      <c r="J2471" s="4" t="s">
        <v>2272</v>
      </c>
      <c r="K2471" s="4" t="s">
        <v>2272</v>
      </c>
      <c r="L2471" s="4" t="s">
        <v>2272</v>
      </c>
      <c r="M2471" s="4" t="s">
        <v>2272</v>
      </c>
      <c r="N2471" s="4" t="s">
        <v>2272</v>
      </c>
      <c r="O2471" s="4" t="s">
        <v>2272</v>
      </c>
      <c r="P2471" s="4" t="s">
        <v>2272</v>
      </c>
      <c r="Q2471" s="4" t="s">
        <v>2272</v>
      </c>
      <c r="R2471" s="4" t="s">
        <v>2272</v>
      </c>
      <c r="S2471" s="4" t="s">
        <v>2272</v>
      </c>
      <c r="T2471" s="4" t="s">
        <v>2272</v>
      </c>
      <c r="U2471" s="4" t="s">
        <v>2272</v>
      </c>
      <c r="V2471" s="4" t="s">
        <v>2272</v>
      </c>
      <c r="W2471" s="4" t="s">
        <v>2272</v>
      </c>
      <c r="X2471" s="4" t="s">
        <v>2272</v>
      </c>
      <c r="Y2471" s="4" t="s">
        <v>2272</v>
      </c>
      <c r="Z2471" s="4" t="s">
        <v>2272</v>
      </c>
      <c r="AA2471" s="198" t="s">
        <v>34</v>
      </c>
      <c r="AB2471" s="198" t="s">
        <v>37</v>
      </c>
      <c r="AC2471" s="4" t="s">
        <v>2272</v>
      </c>
      <c r="AD2471" s="36" t="s">
        <v>11315</v>
      </c>
      <c r="AE2471" s="4"/>
    </row>
    <row r="2472" spans="1:31" ht="32.5" customHeight="1">
      <c r="A2472" s="198" t="s">
        <v>11286</v>
      </c>
      <c r="B2472" s="4" t="s">
        <v>11313</v>
      </c>
      <c r="C2472" s="198" t="s">
        <v>23</v>
      </c>
      <c r="D2472" s="198" t="s">
        <v>1241</v>
      </c>
      <c r="E2472" s="198" t="s">
        <v>114</v>
      </c>
      <c r="F2472" s="4" t="s">
        <v>2657</v>
      </c>
      <c r="G2472" s="4" t="s">
        <v>2657</v>
      </c>
      <c r="H2472" s="198" t="s">
        <v>521</v>
      </c>
      <c r="I2472" s="4"/>
      <c r="J2472" s="4" t="s">
        <v>2272</v>
      </c>
      <c r="K2472" s="4" t="s">
        <v>2272</v>
      </c>
      <c r="L2472" s="4" t="s">
        <v>2272</v>
      </c>
      <c r="M2472" s="4" t="s">
        <v>2272</v>
      </c>
      <c r="N2472" s="4" t="s">
        <v>2272</v>
      </c>
      <c r="O2472" s="4" t="s">
        <v>2272</v>
      </c>
      <c r="P2472" s="4" t="s">
        <v>2272</v>
      </c>
      <c r="Q2472" s="4" t="s">
        <v>2272</v>
      </c>
      <c r="R2472" s="4" t="s">
        <v>2272</v>
      </c>
      <c r="S2472" s="4" t="s">
        <v>2272</v>
      </c>
      <c r="T2472" s="4" t="s">
        <v>2272</v>
      </c>
      <c r="U2472" s="4" t="s">
        <v>2272</v>
      </c>
      <c r="V2472" s="4" t="s">
        <v>2272</v>
      </c>
      <c r="W2472" s="4" t="s">
        <v>2272</v>
      </c>
      <c r="X2472" s="4" t="s">
        <v>2272</v>
      </c>
      <c r="Y2472" s="4" t="s">
        <v>2272</v>
      </c>
      <c r="Z2472" s="4" t="s">
        <v>2272</v>
      </c>
      <c r="AA2472" s="198" t="s">
        <v>34</v>
      </c>
      <c r="AB2472" s="198" t="s">
        <v>37</v>
      </c>
      <c r="AC2472" s="4" t="s">
        <v>2272</v>
      </c>
      <c r="AD2472" s="36" t="s">
        <v>11315</v>
      </c>
      <c r="AE2472" s="4"/>
    </row>
    <row r="2473" spans="1:31" ht="32.5" customHeight="1">
      <c r="A2473" s="198" t="s">
        <v>11287</v>
      </c>
      <c r="B2473" s="4" t="s">
        <v>11314</v>
      </c>
      <c r="C2473" s="198" t="s">
        <v>23</v>
      </c>
      <c r="D2473" s="198" t="s">
        <v>1241</v>
      </c>
      <c r="E2473" s="198" t="s">
        <v>114</v>
      </c>
      <c r="F2473" s="4" t="s">
        <v>2657</v>
      </c>
      <c r="G2473" s="4" t="s">
        <v>2657</v>
      </c>
      <c r="H2473" s="198" t="s">
        <v>521</v>
      </c>
      <c r="I2473" s="4"/>
      <c r="J2473" s="4" t="s">
        <v>2272</v>
      </c>
      <c r="K2473" s="4" t="s">
        <v>2272</v>
      </c>
      <c r="L2473" s="4" t="s">
        <v>2272</v>
      </c>
      <c r="M2473" s="4" t="s">
        <v>2272</v>
      </c>
      <c r="N2473" s="4" t="s">
        <v>2272</v>
      </c>
      <c r="O2473" s="4" t="s">
        <v>2272</v>
      </c>
      <c r="P2473" s="4" t="s">
        <v>2272</v>
      </c>
      <c r="Q2473" s="4" t="s">
        <v>2272</v>
      </c>
      <c r="R2473" s="4" t="s">
        <v>2272</v>
      </c>
      <c r="S2473" s="4" t="s">
        <v>2272</v>
      </c>
      <c r="T2473" s="4" t="s">
        <v>2272</v>
      </c>
      <c r="U2473" s="4" t="s">
        <v>2272</v>
      </c>
      <c r="V2473" s="4" t="s">
        <v>2272</v>
      </c>
      <c r="W2473" s="4" t="s">
        <v>2272</v>
      </c>
      <c r="X2473" s="4" t="s">
        <v>2272</v>
      </c>
      <c r="Y2473" s="4" t="s">
        <v>2272</v>
      </c>
      <c r="Z2473" s="4" t="s">
        <v>2272</v>
      </c>
      <c r="AA2473" s="198" t="s">
        <v>34</v>
      </c>
      <c r="AB2473" s="198" t="s">
        <v>37</v>
      </c>
      <c r="AC2473" s="4" t="s">
        <v>2272</v>
      </c>
      <c r="AD2473" s="36" t="s">
        <v>11315</v>
      </c>
      <c r="AE2473" s="4"/>
    </row>
    <row r="2474" spans="1:31" ht="32.5" customHeight="1">
      <c r="A2474" s="4" t="s">
        <v>5433</v>
      </c>
      <c r="B2474" s="4" t="s">
        <v>11316</v>
      </c>
      <c r="C2474" s="198" t="s">
        <v>2453</v>
      </c>
      <c r="D2474" s="198" t="s">
        <v>1241</v>
      </c>
      <c r="E2474" s="198" t="s">
        <v>114</v>
      </c>
      <c r="F2474" s="4" t="s">
        <v>2657</v>
      </c>
      <c r="G2474" s="4" t="s">
        <v>73</v>
      </c>
      <c r="H2474" s="198" t="s">
        <v>521</v>
      </c>
      <c r="I2474" s="4"/>
      <c r="J2474" s="4" t="s">
        <v>2272</v>
      </c>
      <c r="K2474" s="4" t="s">
        <v>2272</v>
      </c>
      <c r="L2474" s="4" t="s">
        <v>2272</v>
      </c>
      <c r="M2474" s="4" t="s">
        <v>2272</v>
      </c>
      <c r="N2474" s="4" t="s">
        <v>2272</v>
      </c>
      <c r="O2474" s="4" t="s">
        <v>2272</v>
      </c>
      <c r="P2474" s="4" t="s">
        <v>2272</v>
      </c>
      <c r="Q2474" s="4" t="s">
        <v>2272</v>
      </c>
      <c r="R2474" s="4" t="s">
        <v>2272</v>
      </c>
      <c r="S2474" s="4" t="s">
        <v>2272</v>
      </c>
      <c r="T2474" s="4" t="s">
        <v>2272</v>
      </c>
      <c r="U2474" s="4" t="s">
        <v>2272</v>
      </c>
      <c r="V2474" s="4" t="s">
        <v>2272</v>
      </c>
      <c r="W2474" s="4" t="s">
        <v>2272</v>
      </c>
      <c r="X2474" s="4" t="s">
        <v>2272</v>
      </c>
      <c r="Y2474" s="4" t="s">
        <v>2272</v>
      </c>
      <c r="Z2474" s="4" t="s">
        <v>2272</v>
      </c>
      <c r="AA2474" s="198" t="s">
        <v>34</v>
      </c>
      <c r="AB2474" s="198" t="s">
        <v>37</v>
      </c>
      <c r="AC2474" s="4" t="s">
        <v>2272</v>
      </c>
      <c r="AD2474" s="36" t="s">
        <v>11315</v>
      </c>
      <c r="AE2474" s="4"/>
    </row>
    <row r="2475" spans="1:31" ht="32.5" customHeight="1">
      <c r="A2475" s="198" t="s">
        <v>11283</v>
      </c>
      <c r="B2475" s="4" t="s">
        <v>11317</v>
      </c>
      <c r="C2475" s="198" t="s">
        <v>2453</v>
      </c>
      <c r="D2475" s="198" t="s">
        <v>1241</v>
      </c>
      <c r="E2475" s="198" t="s">
        <v>114</v>
      </c>
      <c r="F2475" s="4" t="s">
        <v>2657</v>
      </c>
      <c r="G2475" s="4" t="s">
        <v>73</v>
      </c>
      <c r="H2475" s="198" t="s">
        <v>522</v>
      </c>
      <c r="I2475" s="4"/>
      <c r="J2475" s="4">
        <v>0</v>
      </c>
      <c r="K2475" s="4">
        <v>0</v>
      </c>
      <c r="L2475" s="4">
        <v>0</v>
      </c>
      <c r="M2475" s="4">
        <v>0</v>
      </c>
      <c r="N2475" s="4">
        <v>0</v>
      </c>
      <c r="O2475" s="4">
        <v>0</v>
      </c>
      <c r="P2475" s="4">
        <v>0</v>
      </c>
      <c r="Q2475" s="4">
        <v>0</v>
      </c>
      <c r="R2475" s="4">
        <v>0</v>
      </c>
      <c r="S2475" s="4">
        <v>0</v>
      </c>
      <c r="T2475" s="4">
        <v>0</v>
      </c>
      <c r="U2475" s="4">
        <v>0</v>
      </c>
      <c r="V2475" s="4">
        <v>0</v>
      </c>
      <c r="W2475" s="4">
        <v>0</v>
      </c>
      <c r="X2475" s="4">
        <v>0</v>
      </c>
      <c r="Y2475" s="4">
        <v>0</v>
      </c>
      <c r="Z2475" s="4" t="s">
        <v>2272</v>
      </c>
      <c r="AA2475" s="198" t="s">
        <v>34</v>
      </c>
      <c r="AB2475" s="198" t="s">
        <v>37</v>
      </c>
      <c r="AC2475" s="4" t="s">
        <v>2272</v>
      </c>
      <c r="AD2475" s="36" t="s">
        <v>11315</v>
      </c>
      <c r="AE2475" s="4"/>
    </row>
    <row r="2476" spans="1:31" ht="32.5" customHeight="1">
      <c r="A2476" s="198" t="s">
        <v>11284</v>
      </c>
      <c r="B2476" s="4" t="s">
        <v>11318</v>
      </c>
      <c r="C2476" s="198" t="s">
        <v>2453</v>
      </c>
      <c r="D2476" s="198" t="s">
        <v>1241</v>
      </c>
      <c r="E2476" s="198" t="s">
        <v>114</v>
      </c>
      <c r="F2476" s="4" t="s">
        <v>2657</v>
      </c>
      <c r="G2476" s="4" t="s">
        <v>73</v>
      </c>
      <c r="H2476" s="198" t="s">
        <v>521</v>
      </c>
      <c r="I2476" s="4"/>
      <c r="J2476" s="4" t="s">
        <v>2272</v>
      </c>
      <c r="K2476" s="4" t="s">
        <v>2272</v>
      </c>
      <c r="L2476" s="4" t="s">
        <v>2272</v>
      </c>
      <c r="M2476" s="4" t="s">
        <v>2272</v>
      </c>
      <c r="N2476" s="4" t="s">
        <v>2272</v>
      </c>
      <c r="O2476" s="4" t="s">
        <v>2272</v>
      </c>
      <c r="P2476" s="4" t="s">
        <v>2272</v>
      </c>
      <c r="Q2476" s="4" t="s">
        <v>2272</v>
      </c>
      <c r="R2476" s="4" t="s">
        <v>2272</v>
      </c>
      <c r="S2476" s="4" t="s">
        <v>2272</v>
      </c>
      <c r="T2476" s="4" t="s">
        <v>2272</v>
      </c>
      <c r="U2476" s="4" t="s">
        <v>2272</v>
      </c>
      <c r="V2476" s="4" t="s">
        <v>2272</v>
      </c>
      <c r="W2476" s="4" t="s">
        <v>2272</v>
      </c>
      <c r="X2476" s="4" t="s">
        <v>2272</v>
      </c>
      <c r="Y2476" s="4" t="s">
        <v>2272</v>
      </c>
      <c r="Z2476" s="4" t="s">
        <v>2272</v>
      </c>
      <c r="AA2476" s="198" t="s">
        <v>34</v>
      </c>
      <c r="AB2476" s="198" t="s">
        <v>37</v>
      </c>
      <c r="AC2476" s="4" t="s">
        <v>2272</v>
      </c>
      <c r="AD2476" s="36" t="s">
        <v>11315</v>
      </c>
      <c r="AE2476" s="4"/>
    </row>
    <row r="2477" spans="1:31" ht="32.5" customHeight="1">
      <c r="A2477" s="198" t="s">
        <v>11285</v>
      </c>
      <c r="B2477" s="4" t="s">
        <v>11319</v>
      </c>
      <c r="C2477" s="198" t="s">
        <v>2453</v>
      </c>
      <c r="D2477" s="198" t="s">
        <v>1241</v>
      </c>
      <c r="E2477" s="198" t="s">
        <v>114</v>
      </c>
      <c r="F2477" s="4" t="s">
        <v>2657</v>
      </c>
      <c r="G2477" s="4" t="s">
        <v>73</v>
      </c>
      <c r="H2477" s="198" t="s">
        <v>521</v>
      </c>
      <c r="I2477" s="4"/>
      <c r="J2477" s="4" t="s">
        <v>2272</v>
      </c>
      <c r="K2477" s="4" t="s">
        <v>2272</v>
      </c>
      <c r="L2477" s="4" t="s">
        <v>2272</v>
      </c>
      <c r="M2477" s="4" t="s">
        <v>2272</v>
      </c>
      <c r="N2477" s="4" t="s">
        <v>2272</v>
      </c>
      <c r="O2477" s="4" t="s">
        <v>2272</v>
      </c>
      <c r="P2477" s="4" t="s">
        <v>2272</v>
      </c>
      <c r="Q2477" s="4" t="s">
        <v>2272</v>
      </c>
      <c r="R2477" s="4" t="s">
        <v>2272</v>
      </c>
      <c r="S2477" s="4" t="s">
        <v>2272</v>
      </c>
      <c r="T2477" s="4" t="s">
        <v>2272</v>
      </c>
      <c r="U2477" s="4" t="s">
        <v>2272</v>
      </c>
      <c r="V2477" s="4" t="s">
        <v>2272</v>
      </c>
      <c r="W2477" s="4" t="s">
        <v>2272</v>
      </c>
      <c r="X2477" s="4" t="s">
        <v>2272</v>
      </c>
      <c r="Y2477" s="4" t="s">
        <v>2272</v>
      </c>
      <c r="Z2477" s="4" t="s">
        <v>2272</v>
      </c>
      <c r="AA2477" s="198" t="s">
        <v>34</v>
      </c>
      <c r="AB2477" s="198" t="s">
        <v>37</v>
      </c>
      <c r="AC2477" s="4" t="s">
        <v>2272</v>
      </c>
      <c r="AD2477" s="36" t="s">
        <v>11315</v>
      </c>
      <c r="AE2477" s="4"/>
    </row>
    <row r="2478" spans="1:31" ht="32.5" customHeight="1">
      <c r="A2478" s="198" t="s">
        <v>11286</v>
      </c>
      <c r="B2478" s="4" t="s">
        <v>11320</v>
      </c>
      <c r="C2478" s="198" t="s">
        <v>2453</v>
      </c>
      <c r="D2478" s="198" t="s">
        <v>1241</v>
      </c>
      <c r="E2478" s="198" t="s">
        <v>114</v>
      </c>
      <c r="F2478" s="4" t="s">
        <v>2657</v>
      </c>
      <c r="G2478" s="4" t="s">
        <v>73</v>
      </c>
      <c r="H2478" s="198" t="s">
        <v>521</v>
      </c>
      <c r="I2478" s="4"/>
      <c r="J2478" s="4" t="s">
        <v>2272</v>
      </c>
      <c r="K2478" s="4" t="s">
        <v>2272</v>
      </c>
      <c r="L2478" s="4" t="s">
        <v>2272</v>
      </c>
      <c r="M2478" s="4" t="s">
        <v>2272</v>
      </c>
      <c r="N2478" s="4" t="s">
        <v>2272</v>
      </c>
      <c r="O2478" s="4" t="s">
        <v>2272</v>
      </c>
      <c r="P2478" s="4" t="s">
        <v>2272</v>
      </c>
      <c r="Q2478" s="4" t="s">
        <v>2272</v>
      </c>
      <c r="R2478" s="4" t="s">
        <v>2272</v>
      </c>
      <c r="S2478" s="4" t="s">
        <v>2272</v>
      </c>
      <c r="T2478" s="4" t="s">
        <v>2272</v>
      </c>
      <c r="U2478" s="4" t="s">
        <v>2272</v>
      </c>
      <c r="V2478" s="4" t="s">
        <v>2272</v>
      </c>
      <c r="W2478" s="4" t="s">
        <v>2272</v>
      </c>
      <c r="X2478" s="4" t="s">
        <v>2272</v>
      </c>
      <c r="Y2478" s="4" t="s">
        <v>2272</v>
      </c>
      <c r="Z2478" s="4" t="s">
        <v>2272</v>
      </c>
      <c r="AA2478" s="198" t="s">
        <v>34</v>
      </c>
      <c r="AB2478" s="198" t="s">
        <v>37</v>
      </c>
      <c r="AC2478" s="4" t="s">
        <v>2272</v>
      </c>
      <c r="AD2478" s="36" t="s">
        <v>11315</v>
      </c>
      <c r="AE2478" s="4"/>
    </row>
    <row r="2479" spans="1:31" ht="32.5" customHeight="1">
      <c r="A2479" s="198" t="s">
        <v>11287</v>
      </c>
      <c r="B2479" s="4" t="s">
        <v>11321</v>
      </c>
      <c r="C2479" s="198" t="s">
        <v>2453</v>
      </c>
      <c r="D2479" s="198" t="s">
        <v>1241</v>
      </c>
      <c r="E2479" s="198" t="s">
        <v>114</v>
      </c>
      <c r="F2479" s="4" t="s">
        <v>2657</v>
      </c>
      <c r="G2479" s="4" t="s">
        <v>73</v>
      </c>
      <c r="H2479" s="198" t="s">
        <v>521</v>
      </c>
      <c r="I2479" s="4"/>
      <c r="J2479" s="4" t="s">
        <v>2272</v>
      </c>
      <c r="K2479" s="4" t="s">
        <v>2272</v>
      </c>
      <c r="L2479" s="4" t="s">
        <v>2272</v>
      </c>
      <c r="M2479" s="4" t="s">
        <v>2272</v>
      </c>
      <c r="N2479" s="4" t="s">
        <v>2272</v>
      </c>
      <c r="O2479" s="4" t="s">
        <v>2272</v>
      </c>
      <c r="P2479" s="4" t="s">
        <v>2272</v>
      </c>
      <c r="Q2479" s="4" t="s">
        <v>2272</v>
      </c>
      <c r="R2479" s="4" t="s">
        <v>2272</v>
      </c>
      <c r="S2479" s="4" t="s">
        <v>2272</v>
      </c>
      <c r="T2479" s="4" t="s">
        <v>2272</v>
      </c>
      <c r="U2479" s="4" t="s">
        <v>2272</v>
      </c>
      <c r="V2479" s="4" t="s">
        <v>2272</v>
      </c>
      <c r="W2479" s="4" t="s">
        <v>2272</v>
      </c>
      <c r="X2479" s="4" t="s">
        <v>2272</v>
      </c>
      <c r="Y2479" s="4" t="s">
        <v>2272</v>
      </c>
      <c r="Z2479" s="4" t="s">
        <v>2272</v>
      </c>
      <c r="AA2479" s="198" t="s">
        <v>34</v>
      </c>
      <c r="AB2479" s="198" t="s">
        <v>37</v>
      </c>
      <c r="AC2479" s="4" t="s">
        <v>2272</v>
      </c>
      <c r="AD2479" s="36" t="s">
        <v>11315</v>
      </c>
      <c r="AE2479" s="4"/>
    </row>
    <row r="2480" spans="1:31" ht="32.5" customHeight="1">
      <c r="A2480" s="4" t="s">
        <v>5433</v>
      </c>
      <c r="B2480" s="4" t="s">
        <v>11324</v>
      </c>
      <c r="C2480" s="198" t="s">
        <v>30</v>
      </c>
      <c r="D2480" s="198" t="s">
        <v>29</v>
      </c>
      <c r="E2480" s="198" t="s">
        <v>1102</v>
      </c>
      <c r="F2480" s="4" t="s">
        <v>2272</v>
      </c>
      <c r="G2480" s="4" t="s">
        <v>73</v>
      </c>
      <c r="H2480" s="198" t="s">
        <v>521</v>
      </c>
      <c r="I2480" s="4"/>
      <c r="J2480" s="4" t="s">
        <v>2272</v>
      </c>
      <c r="K2480" s="4" t="s">
        <v>2272</v>
      </c>
      <c r="L2480" s="4" t="s">
        <v>2272</v>
      </c>
      <c r="M2480" s="4" t="s">
        <v>2272</v>
      </c>
      <c r="N2480" s="4" t="s">
        <v>2272</v>
      </c>
      <c r="O2480" s="4" t="s">
        <v>2272</v>
      </c>
      <c r="P2480" s="4" t="s">
        <v>2272</v>
      </c>
      <c r="Q2480" s="4" t="s">
        <v>2272</v>
      </c>
      <c r="R2480" s="4" t="s">
        <v>2272</v>
      </c>
      <c r="S2480" s="4" t="s">
        <v>2272</v>
      </c>
      <c r="T2480" s="4" t="s">
        <v>2272</v>
      </c>
      <c r="U2480" s="4" t="s">
        <v>2272</v>
      </c>
      <c r="V2480" s="4" t="s">
        <v>2272</v>
      </c>
      <c r="W2480" s="4" t="s">
        <v>2272</v>
      </c>
      <c r="X2480" s="4" t="s">
        <v>2272</v>
      </c>
      <c r="Y2480" s="4" t="s">
        <v>2272</v>
      </c>
      <c r="Z2480" s="4" t="s">
        <v>2272</v>
      </c>
      <c r="AA2480" s="4" t="s">
        <v>2272</v>
      </c>
      <c r="AB2480" s="4" t="s">
        <v>2272</v>
      </c>
      <c r="AC2480" s="4" t="s">
        <v>2272</v>
      </c>
      <c r="AD2480" s="36"/>
      <c r="AE2480" s="4"/>
    </row>
    <row r="2481" spans="1:31" ht="32.5" customHeight="1">
      <c r="A2481" s="198" t="s">
        <v>11283</v>
      </c>
      <c r="B2481" s="4" t="s">
        <v>11325</v>
      </c>
      <c r="C2481" s="198" t="s">
        <v>30</v>
      </c>
      <c r="D2481" s="198" t="s">
        <v>29</v>
      </c>
      <c r="E2481" s="198" t="s">
        <v>1102</v>
      </c>
      <c r="F2481" s="4" t="s">
        <v>2272</v>
      </c>
      <c r="G2481" s="4" t="s">
        <v>73</v>
      </c>
      <c r="H2481" s="198" t="s">
        <v>521</v>
      </c>
      <c r="I2481" s="4"/>
      <c r="J2481" s="4" t="s">
        <v>2272</v>
      </c>
      <c r="K2481" s="4" t="s">
        <v>2272</v>
      </c>
      <c r="L2481" s="4" t="s">
        <v>2272</v>
      </c>
      <c r="M2481" s="4" t="s">
        <v>2272</v>
      </c>
      <c r="N2481" s="4" t="s">
        <v>2272</v>
      </c>
      <c r="O2481" s="4" t="s">
        <v>2272</v>
      </c>
      <c r="P2481" s="4" t="s">
        <v>2272</v>
      </c>
      <c r="Q2481" s="4" t="s">
        <v>2272</v>
      </c>
      <c r="R2481" s="4" t="s">
        <v>2272</v>
      </c>
      <c r="S2481" s="4" t="s">
        <v>2272</v>
      </c>
      <c r="T2481" s="4" t="s">
        <v>2272</v>
      </c>
      <c r="U2481" s="4" t="s">
        <v>2272</v>
      </c>
      <c r="V2481" s="4" t="s">
        <v>2272</v>
      </c>
      <c r="W2481" s="4" t="s">
        <v>2272</v>
      </c>
      <c r="X2481" s="4" t="s">
        <v>2272</v>
      </c>
      <c r="Y2481" s="4" t="s">
        <v>2272</v>
      </c>
      <c r="Z2481" s="4" t="s">
        <v>2272</v>
      </c>
      <c r="AA2481" s="4" t="s">
        <v>2272</v>
      </c>
      <c r="AB2481" s="4" t="s">
        <v>2272</v>
      </c>
      <c r="AC2481" s="4" t="s">
        <v>2272</v>
      </c>
      <c r="AD2481" s="36"/>
      <c r="AE2481" s="4"/>
    </row>
    <row r="2482" spans="1:31" ht="32.5" customHeight="1">
      <c r="A2482" s="198" t="s">
        <v>11284</v>
      </c>
      <c r="B2482" s="4" t="s">
        <v>11326</v>
      </c>
      <c r="C2482" s="198" t="s">
        <v>30</v>
      </c>
      <c r="D2482" s="198" t="s">
        <v>29</v>
      </c>
      <c r="E2482" s="198" t="s">
        <v>1102</v>
      </c>
      <c r="F2482" s="4" t="s">
        <v>2272</v>
      </c>
      <c r="G2482" s="4" t="s">
        <v>73</v>
      </c>
      <c r="H2482" s="198" t="s">
        <v>521</v>
      </c>
      <c r="I2482" s="4"/>
      <c r="J2482" s="4" t="s">
        <v>2272</v>
      </c>
      <c r="K2482" s="4" t="s">
        <v>2272</v>
      </c>
      <c r="L2482" s="4" t="s">
        <v>2272</v>
      </c>
      <c r="M2482" s="4" t="s">
        <v>2272</v>
      </c>
      <c r="N2482" s="4" t="s">
        <v>2272</v>
      </c>
      <c r="O2482" s="4" t="s">
        <v>2272</v>
      </c>
      <c r="P2482" s="4" t="s">
        <v>2272</v>
      </c>
      <c r="Q2482" s="4" t="s">
        <v>2272</v>
      </c>
      <c r="R2482" s="4" t="s">
        <v>2272</v>
      </c>
      <c r="S2482" s="4" t="s">
        <v>2272</v>
      </c>
      <c r="T2482" s="4" t="s">
        <v>2272</v>
      </c>
      <c r="U2482" s="4" t="s">
        <v>2272</v>
      </c>
      <c r="V2482" s="4" t="s">
        <v>2272</v>
      </c>
      <c r="W2482" s="4" t="s">
        <v>2272</v>
      </c>
      <c r="X2482" s="4" t="s">
        <v>2272</v>
      </c>
      <c r="Y2482" s="4" t="s">
        <v>2272</v>
      </c>
      <c r="Z2482" s="4" t="s">
        <v>2272</v>
      </c>
      <c r="AA2482" s="4" t="s">
        <v>2272</v>
      </c>
      <c r="AB2482" s="4" t="s">
        <v>2272</v>
      </c>
      <c r="AC2482" s="4" t="s">
        <v>2272</v>
      </c>
      <c r="AD2482" s="36"/>
      <c r="AE2482" s="4"/>
    </row>
    <row r="2483" spans="1:31" ht="32.5" customHeight="1">
      <c r="A2483" s="198" t="s">
        <v>11285</v>
      </c>
      <c r="B2483" s="4" t="s">
        <v>11327</v>
      </c>
      <c r="C2483" s="198" t="s">
        <v>30</v>
      </c>
      <c r="D2483" s="198" t="s">
        <v>29</v>
      </c>
      <c r="E2483" s="198" t="s">
        <v>1102</v>
      </c>
      <c r="F2483" s="4" t="s">
        <v>2272</v>
      </c>
      <c r="G2483" s="4" t="s">
        <v>73</v>
      </c>
      <c r="H2483" s="198" t="s">
        <v>521</v>
      </c>
      <c r="I2483" s="4"/>
      <c r="J2483" s="4" t="s">
        <v>2272</v>
      </c>
      <c r="K2483" s="4" t="s">
        <v>2272</v>
      </c>
      <c r="L2483" s="4" t="s">
        <v>2272</v>
      </c>
      <c r="M2483" s="4" t="s">
        <v>2272</v>
      </c>
      <c r="N2483" s="4" t="s">
        <v>2272</v>
      </c>
      <c r="O2483" s="4" t="s">
        <v>2272</v>
      </c>
      <c r="P2483" s="4" t="s">
        <v>2272</v>
      </c>
      <c r="Q2483" s="4" t="s">
        <v>2272</v>
      </c>
      <c r="R2483" s="4" t="s">
        <v>2272</v>
      </c>
      <c r="S2483" s="4" t="s">
        <v>2272</v>
      </c>
      <c r="T2483" s="4" t="s">
        <v>2272</v>
      </c>
      <c r="U2483" s="4" t="s">
        <v>2272</v>
      </c>
      <c r="V2483" s="4" t="s">
        <v>2272</v>
      </c>
      <c r="W2483" s="4" t="s">
        <v>2272</v>
      </c>
      <c r="X2483" s="4" t="s">
        <v>2272</v>
      </c>
      <c r="Y2483" s="4" t="s">
        <v>2272</v>
      </c>
      <c r="Z2483" s="4" t="s">
        <v>2272</v>
      </c>
      <c r="AA2483" s="4" t="s">
        <v>2272</v>
      </c>
      <c r="AB2483" s="4" t="s">
        <v>2272</v>
      </c>
      <c r="AC2483" s="4" t="s">
        <v>2272</v>
      </c>
      <c r="AD2483" s="36"/>
      <c r="AE2483" s="4"/>
    </row>
    <row r="2484" spans="1:31" ht="32.5" customHeight="1">
      <c r="A2484" s="198" t="s">
        <v>11286</v>
      </c>
      <c r="B2484" s="4" t="s">
        <v>11328</v>
      </c>
      <c r="C2484" s="198" t="s">
        <v>30</v>
      </c>
      <c r="D2484" s="198" t="s">
        <v>29</v>
      </c>
      <c r="E2484" s="198" t="s">
        <v>1102</v>
      </c>
      <c r="F2484" s="4" t="s">
        <v>2272</v>
      </c>
      <c r="G2484" s="4" t="s">
        <v>73</v>
      </c>
      <c r="H2484" s="198" t="s">
        <v>521</v>
      </c>
      <c r="I2484" s="4"/>
      <c r="J2484" s="4" t="s">
        <v>2272</v>
      </c>
      <c r="K2484" s="4" t="s">
        <v>2272</v>
      </c>
      <c r="L2484" s="4" t="s">
        <v>2272</v>
      </c>
      <c r="M2484" s="4" t="s">
        <v>2272</v>
      </c>
      <c r="N2484" s="4" t="s">
        <v>2272</v>
      </c>
      <c r="O2484" s="4" t="s">
        <v>2272</v>
      </c>
      <c r="P2484" s="4" t="s">
        <v>2272</v>
      </c>
      <c r="Q2484" s="4" t="s">
        <v>2272</v>
      </c>
      <c r="R2484" s="4" t="s">
        <v>2272</v>
      </c>
      <c r="S2484" s="4" t="s">
        <v>2272</v>
      </c>
      <c r="T2484" s="4" t="s">
        <v>2272</v>
      </c>
      <c r="U2484" s="4" t="s">
        <v>2272</v>
      </c>
      <c r="V2484" s="4" t="s">
        <v>2272</v>
      </c>
      <c r="W2484" s="4" t="s">
        <v>2272</v>
      </c>
      <c r="X2484" s="4" t="s">
        <v>2272</v>
      </c>
      <c r="Y2484" s="4" t="s">
        <v>2272</v>
      </c>
      <c r="Z2484" s="4" t="s">
        <v>2272</v>
      </c>
      <c r="AA2484" s="4" t="s">
        <v>2272</v>
      </c>
      <c r="AB2484" s="4" t="s">
        <v>2272</v>
      </c>
      <c r="AC2484" s="4" t="s">
        <v>2272</v>
      </c>
      <c r="AD2484" s="36"/>
      <c r="AE2484" s="4"/>
    </row>
    <row r="2485" spans="1:31" ht="32.5" customHeight="1">
      <c r="A2485" s="198" t="s">
        <v>11287</v>
      </c>
      <c r="B2485" s="4" t="s">
        <v>11322</v>
      </c>
      <c r="C2485" s="198" t="s">
        <v>30</v>
      </c>
      <c r="D2485" s="198" t="s">
        <v>29</v>
      </c>
      <c r="E2485" s="198" t="s">
        <v>1102</v>
      </c>
      <c r="F2485" s="4" t="s">
        <v>2272</v>
      </c>
      <c r="G2485" s="4" t="s">
        <v>73</v>
      </c>
      <c r="H2485" s="198" t="s">
        <v>521</v>
      </c>
      <c r="I2485" s="4"/>
      <c r="J2485" s="4" t="s">
        <v>2272</v>
      </c>
      <c r="K2485" s="4" t="s">
        <v>2272</v>
      </c>
      <c r="L2485" s="4" t="s">
        <v>2272</v>
      </c>
      <c r="M2485" s="4" t="s">
        <v>2272</v>
      </c>
      <c r="N2485" s="4" t="s">
        <v>2272</v>
      </c>
      <c r="O2485" s="4" t="s">
        <v>2272</v>
      </c>
      <c r="P2485" s="4" t="s">
        <v>2272</v>
      </c>
      <c r="Q2485" s="4" t="s">
        <v>2272</v>
      </c>
      <c r="R2485" s="4" t="s">
        <v>2272</v>
      </c>
      <c r="S2485" s="4" t="s">
        <v>2272</v>
      </c>
      <c r="T2485" s="4" t="s">
        <v>2272</v>
      </c>
      <c r="U2485" s="4" t="s">
        <v>2272</v>
      </c>
      <c r="V2485" s="4" t="s">
        <v>2272</v>
      </c>
      <c r="W2485" s="4" t="s">
        <v>2272</v>
      </c>
      <c r="X2485" s="4" t="s">
        <v>2272</v>
      </c>
      <c r="Y2485" s="4" t="s">
        <v>2272</v>
      </c>
      <c r="Z2485" s="4" t="s">
        <v>2272</v>
      </c>
      <c r="AA2485" s="4" t="s">
        <v>2272</v>
      </c>
      <c r="AB2485" s="4" t="s">
        <v>2272</v>
      </c>
      <c r="AC2485" s="4" t="s">
        <v>2272</v>
      </c>
      <c r="AD2485" s="36"/>
      <c r="AE2485" s="4"/>
    </row>
    <row r="2486" spans="1:31" ht="32.5" customHeight="1">
      <c r="A2486" s="4" t="s">
        <v>5433</v>
      </c>
      <c r="B2486" s="4" t="s">
        <v>11329</v>
      </c>
      <c r="C2486" s="198" t="s">
        <v>23</v>
      </c>
      <c r="D2486" s="198" t="s">
        <v>2342</v>
      </c>
      <c r="E2486" s="4" t="s">
        <v>2272</v>
      </c>
      <c r="F2486" s="4" t="s">
        <v>2272</v>
      </c>
      <c r="G2486" s="4" t="s">
        <v>73</v>
      </c>
      <c r="H2486" s="198" t="s">
        <v>522</v>
      </c>
      <c r="I2486" s="4"/>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t="s">
        <v>2272</v>
      </c>
      <c r="AA2486" s="4" t="s">
        <v>2272</v>
      </c>
      <c r="AB2486" s="4" t="s">
        <v>2272</v>
      </c>
      <c r="AC2486" s="4" t="s">
        <v>2272</v>
      </c>
      <c r="AD2486" s="36"/>
      <c r="AE2486" s="4"/>
    </row>
    <row r="2487" spans="1:31" ht="32.5" customHeight="1">
      <c r="A2487" s="198" t="s">
        <v>11283</v>
      </c>
      <c r="B2487" s="4" t="s">
        <v>11330</v>
      </c>
      <c r="C2487" s="198" t="s">
        <v>23</v>
      </c>
      <c r="D2487" s="198" t="s">
        <v>2342</v>
      </c>
      <c r="E2487" s="4" t="s">
        <v>2272</v>
      </c>
      <c r="F2487" s="4" t="s">
        <v>2272</v>
      </c>
      <c r="G2487" s="4" t="s">
        <v>73</v>
      </c>
      <c r="H2487" s="198" t="s">
        <v>522</v>
      </c>
      <c r="I2487" s="4"/>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t="s">
        <v>2272</v>
      </c>
      <c r="AA2487" s="4" t="s">
        <v>2272</v>
      </c>
      <c r="AB2487" s="4" t="s">
        <v>2272</v>
      </c>
      <c r="AC2487" s="4" t="s">
        <v>2272</v>
      </c>
      <c r="AD2487" s="36"/>
      <c r="AE2487" s="4"/>
    </row>
    <row r="2488" spans="1:31" ht="32.5" customHeight="1">
      <c r="A2488" s="198" t="s">
        <v>11284</v>
      </c>
      <c r="B2488" s="4" t="s">
        <v>11331</v>
      </c>
      <c r="C2488" s="198" t="s">
        <v>23</v>
      </c>
      <c r="D2488" s="198" t="s">
        <v>2342</v>
      </c>
      <c r="E2488" s="4" t="s">
        <v>2272</v>
      </c>
      <c r="F2488" s="4" t="s">
        <v>2272</v>
      </c>
      <c r="G2488" s="4" t="s">
        <v>73</v>
      </c>
      <c r="H2488" s="198" t="s">
        <v>522</v>
      </c>
      <c r="I2488" s="4"/>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v>0</v>
      </c>
      <c r="Z2488" s="4" t="s">
        <v>2272</v>
      </c>
      <c r="AA2488" s="4" t="s">
        <v>2272</v>
      </c>
      <c r="AB2488" s="4" t="s">
        <v>2272</v>
      </c>
      <c r="AC2488" s="4" t="s">
        <v>2272</v>
      </c>
      <c r="AD2488" s="36"/>
      <c r="AE2488" s="4"/>
    </row>
    <row r="2489" spans="1:31" ht="32.5" customHeight="1">
      <c r="A2489" s="198" t="s">
        <v>11285</v>
      </c>
      <c r="B2489" s="4" t="s">
        <v>11332</v>
      </c>
      <c r="C2489" s="198" t="s">
        <v>23</v>
      </c>
      <c r="D2489" s="198" t="s">
        <v>2342</v>
      </c>
      <c r="E2489" s="4" t="s">
        <v>2272</v>
      </c>
      <c r="F2489" s="4" t="s">
        <v>2272</v>
      </c>
      <c r="G2489" s="4" t="s">
        <v>73</v>
      </c>
      <c r="H2489" s="198" t="s">
        <v>521</v>
      </c>
      <c r="I2489" s="4"/>
      <c r="J2489" s="4" t="s">
        <v>2272</v>
      </c>
      <c r="K2489" s="4" t="s">
        <v>2272</v>
      </c>
      <c r="L2489" s="4" t="s">
        <v>2272</v>
      </c>
      <c r="M2489" s="4" t="s">
        <v>2272</v>
      </c>
      <c r="N2489" s="4" t="s">
        <v>2272</v>
      </c>
      <c r="O2489" s="4" t="s">
        <v>2272</v>
      </c>
      <c r="P2489" s="4" t="s">
        <v>2272</v>
      </c>
      <c r="Q2489" s="4" t="s">
        <v>2272</v>
      </c>
      <c r="R2489" s="4" t="s">
        <v>2272</v>
      </c>
      <c r="S2489" s="4" t="s">
        <v>2272</v>
      </c>
      <c r="T2489" s="4" t="s">
        <v>2272</v>
      </c>
      <c r="U2489" s="4" t="s">
        <v>2272</v>
      </c>
      <c r="V2489" s="4" t="s">
        <v>2272</v>
      </c>
      <c r="W2489" s="4" t="s">
        <v>2272</v>
      </c>
      <c r="X2489" s="4" t="s">
        <v>2272</v>
      </c>
      <c r="Y2489" s="4" t="s">
        <v>2272</v>
      </c>
      <c r="Z2489" s="4" t="s">
        <v>2272</v>
      </c>
      <c r="AA2489" s="4" t="s">
        <v>2272</v>
      </c>
      <c r="AB2489" s="4" t="s">
        <v>2272</v>
      </c>
      <c r="AC2489" s="4" t="s">
        <v>2272</v>
      </c>
      <c r="AD2489" s="36"/>
      <c r="AE2489" s="4"/>
    </row>
    <row r="2490" spans="1:31" ht="32.5" customHeight="1">
      <c r="A2490" s="198" t="s">
        <v>11286</v>
      </c>
      <c r="B2490" s="4" t="s">
        <v>11333</v>
      </c>
      <c r="C2490" s="198" t="s">
        <v>23</v>
      </c>
      <c r="D2490" s="198" t="s">
        <v>2342</v>
      </c>
      <c r="E2490" s="4" t="s">
        <v>2272</v>
      </c>
      <c r="F2490" s="4" t="s">
        <v>2272</v>
      </c>
      <c r="G2490" s="4" t="s">
        <v>73</v>
      </c>
      <c r="H2490" s="198" t="s">
        <v>522</v>
      </c>
      <c r="I2490" s="4"/>
      <c r="J2490" s="4">
        <v>0</v>
      </c>
      <c r="K2490" s="4">
        <v>0</v>
      </c>
      <c r="L2490" s="4">
        <v>0</v>
      </c>
      <c r="M2490" s="4">
        <v>0</v>
      </c>
      <c r="N2490" s="4">
        <v>0</v>
      </c>
      <c r="O2490" s="4">
        <v>0</v>
      </c>
      <c r="P2490" s="4">
        <v>0</v>
      </c>
      <c r="Q2490" s="4">
        <v>0</v>
      </c>
      <c r="R2490" s="4">
        <v>0</v>
      </c>
      <c r="S2490" s="4">
        <v>0</v>
      </c>
      <c r="T2490" s="4">
        <v>0</v>
      </c>
      <c r="U2490" s="4">
        <v>0</v>
      </c>
      <c r="V2490" s="4">
        <v>0</v>
      </c>
      <c r="W2490" s="4">
        <v>0</v>
      </c>
      <c r="X2490" s="4">
        <v>0</v>
      </c>
      <c r="Y2490" s="4">
        <v>0</v>
      </c>
      <c r="Z2490" s="4" t="s">
        <v>2272</v>
      </c>
      <c r="AA2490" s="4" t="s">
        <v>2272</v>
      </c>
      <c r="AB2490" s="4" t="s">
        <v>2272</v>
      </c>
      <c r="AC2490" s="4" t="s">
        <v>2272</v>
      </c>
      <c r="AD2490" s="36"/>
      <c r="AE2490" s="4"/>
    </row>
    <row r="2491" spans="1:31" ht="32.5" customHeight="1">
      <c r="A2491" s="198" t="s">
        <v>11287</v>
      </c>
      <c r="B2491" s="4" t="s">
        <v>11323</v>
      </c>
      <c r="C2491" s="198" t="s">
        <v>23</v>
      </c>
      <c r="D2491" s="198" t="s">
        <v>2342</v>
      </c>
      <c r="E2491" s="4" t="s">
        <v>2272</v>
      </c>
      <c r="F2491" s="4" t="s">
        <v>2272</v>
      </c>
      <c r="G2491" s="4" t="s">
        <v>73</v>
      </c>
      <c r="H2491" s="198" t="s">
        <v>522</v>
      </c>
      <c r="I2491" s="4"/>
      <c r="J2491" s="4">
        <v>0</v>
      </c>
      <c r="K2491" s="4">
        <v>0</v>
      </c>
      <c r="L2491" s="4">
        <v>0</v>
      </c>
      <c r="M2491" s="4">
        <v>0</v>
      </c>
      <c r="N2491" s="4">
        <v>0</v>
      </c>
      <c r="O2491" s="4">
        <v>0</v>
      </c>
      <c r="P2491" s="4">
        <v>0</v>
      </c>
      <c r="Q2491" s="4">
        <v>0</v>
      </c>
      <c r="R2491" s="4">
        <v>0</v>
      </c>
      <c r="S2491" s="4">
        <v>0</v>
      </c>
      <c r="T2491" s="4">
        <v>0</v>
      </c>
      <c r="U2491" s="4">
        <v>0</v>
      </c>
      <c r="V2491" s="4">
        <v>0</v>
      </c>
      <c r="W2491" s="4">
        <v>0</v>
      </c>
      <c r="X2491" s="4">
        <v>0</v>
      </c>
      <c r="Y2491" s="4">
        <v>0</v>
      </c>
      <c r="Z2491" s="4" t="s">
        <v>2272</v>
      </c>
      <c r="AA2491" s="4" t="s">
        <v>2272</v>
      </c>
      <c r="AB2491" s="4" t="s">
        <v>2272</v>
      </c>
      <c r="AC2491" s="4" t="s">
        <v>2272</v>
      </c>
      <c r="AD2491" s="36"/>
      <c r="AE2491" s="4"/>
    </row>
    <row r="2492" spans="1:31" ht="32.5" customHeight="1">
      <c r="A2492" s="198" t="s">
        <v>5433</v>
      </c>
      <c r="B2492" s="4" t="s">
        <v>11338</v>
      </c>
      <c r="C2492" s="198" t="s">
        <v>23</v>
      </c>
      <c r="D2492" s="198" t="s">
        <v>26</v>
      </c>
      <c r="E2492" s="4" t="s">
        <v>394</v>
      </c>
      <c r="F2492" s="4" t="s">
        <v>27</v>
      </c>
      <c r="G2492" s="4" t="s">
        <v>27</v>
      </c>
      <c r="H2492" s="198" t="s">
        <v>522</v>
      </c>
      <c r="I2492" s="4"/>
      <c r="J2492" s="4">
        <v>0</v>
      </c>
      <c r="K2492" s="4">
        <v>0</v>
      </c>
      <c r="L2492" s="4">
        <v>0</v>
      </c>
      <c r="M2492" s="4">
        <v>0</v>
      </c>
      <c r="N2492" s="4">
        <v>0</v>
      </c>
      <c r="O2492" s="4">
        <v>0</v>
      </c>
      <c r="P2492" s="4">
        <v>0</v>
      </c>
      <c r="Q2492" s="4">
        <v>0</v>
      </c>
      <c r="R2492" s="4">
        <v>0</v>
      </c>
      <c r="S2492" s="4">
        <v>0</v>
      </c>
      <c r="T2492" s="4">
        <v>0</v>
      </c>
      <c r="U2492" s="4">
        <v>0</v>
      </c>
      <c r="V2492" s="4">
        <v>0</v>
      </c>
      <c r="W2492" s="4">
        <v>0</v>
      </c>
      <c r="X2492" s="4">
        <v>0</v>
      </c>
      <c r="Y2492" s="4">
        <v>0</v>
      </c>
      <c r="Z2492" s="4" t="s">
        <v>2272</v>
      </c>
      <c r="AA2492" s="4" t="s">
        <v>2272</v>
      </c>
      <c r="AB2492" s="4" t="s">
        <v>2272</v>
      </c>
      <c r="AC2492" s="4" t="s">
        <v>2272</v>
      </c>
      <c r="AD2492" s="18" t="s">
        <v>11340</v>
      </c>
      <c r="AE2492" s="4"/>
    </row>
    <row r="2493" spans="1:31" ht="32.5" customHeight="1">
      <c r="A2493" s="198" t="s">
        <v>11286</v>
      </c>
      <c r="B2493" s="4" t="s">
        <v>11339</v>
      </c>
      <c r="C2493" s="198" t="s">
        <v>23</v>
      </c>
      <c r="D2493" s="198" t="s">
        <v>26</v>
      </c>
      <c r="E2493" s="4" t="s">
        <v>394</v>
      </c>
      <c r="F2493" s="4" t="s">
        <v>27</v>
      </c>
      <c r="G2493" s="4" t="s">
        <v>27</v>
      </c>
      <c r="H2493" s="198" t="s">
        <v>522</v>
      </c>
      <c r="I2493" s="4"/>
      <c r="J2493" s="4">
        <v>0</v>
      </c>
      <c r="K2493" s="4">
        <v>0</v>
      </c>
      <c r="L2493" s="4">
        <v>0</v>
      </c>
      <c r="M2493" s="4">
        <v>0</v>
      </c>
      <c r="N2493" s="4">
        <v>0</v>
      </c>
      <c r="O2493" s="4">
        <v>0</v>
      </c>
      <c r="P2493" s="4">
        <v>0</v>
      </c>
      <c r="Q2493" s="4">
        <v>0</v>
      </c>
      <c r="R2493" s="4">
        <v>0</v>
      </c>
      <c r="S2493" s="4">
        <v>0</v>
      </c>
      <c r="T2493" s="4">
        <v>0</v>
      </c>
      <c r="U2493" s="4">
        <v>0</v>
      </c>
      <c r="V2493" s="4">
        <v>0</v>
      </c>
      <c r="W2493" s="4">
        <v>0</v>
      </c>
      <c r="X2493" s="4">
        <v>0</v>
      </c>
      <c r="Y2493" s="4">
        <v>0</v>
      </c>
      <c r="Z2493" s="4" t="s">
        <v>2272</v>
      </c>
      <c r="AA2493" s="4" t="s">
        <v>2272</v>
      </c>
      <c r="AB2493" s="4" t="s">
        <v>2272</v>
      </c>
      <c r="AC2493" s="4" t="s">
        <v>2272</v>
      </c>
      <c r="AD2493" s="18" t="s">
        <v>11340</v>
      </c>
      <c r="AE2493" s="4"/>
    </row>
    <row r="2494" spans="1:31" ht="42.5" customHeight="1">
      <c r="A2494" s="4" t="s">
        <v>6344</v>
      </c>
      <c r="B2494" s="4" t="s">
        <v>6522</v>
      </c>
      <c r="C2494" s="4" t="s">
        <v>23</v>
      </c>
      <c r="D2494" s="4" t="s">
        <v>2654</v>
      </c>
      <c r="E2494" s="4" t="s">
        <v>395</v>
      </c>
      <c r="F2494" s="4" t="s">
        <v>27</v>
      </c>
      <c r="G2494" s="4" t="s">
        <v>2272</v>
      </c>
      <c r="H2494" s="4" t="s">
        <v>521</v>
      </c>
      <c r="I2494" s="4"/>
      <c r="J2494" s="4" t="s">
        <v>2272</v>
      </c>
      <c r="K2494" s="4" t="s">
        <v>2272</v>
      </c>
      <c r="L2494" s="4" t="s">
        <v>2272</v>
      </c>
      <c r="M2494" s="4" t="s">
        <v>2272</v>
      </c>
      <c r="N2494" s="4" t="s">
        <v>2272</v>
      </c>
      <c r="O2494" s="4" t="s">
        <v>2272</v>
      </c>
      <c r="P2494" s="4" t="s">
        <v>2272</v>
      </c>
      <c r="Q2494" s="4" t="s">
        <v>2272</v>
      </c>
      <c r="R2494" s="4" t="s">
        <v>2272</v>
      </c>
      <c r="S2494" s="4" t="s">
        <v>2272</v>
      </c>
      <c r="T2494" s="4" t="s">
        <v>2272</v>
      </c>
      <c r="U2494" s="4" t="s">
        <v>2272</v>
      </c>
      <c r="V2494" s="4" t="s">
        <v>2272</v>
      </c>
      <c r="W2494" s="4" t="s">
        <v>2272</v>
      </c>
      <c r="X2494" s="4" t="s">
        <v>2272</v>
      </c>
      <c r="Y2494" s="4" t="s">
        <v>2272</v>
      </c>
      <c r="Z2494" s="4" t="s">
        <v>2272</v>
      </c>
      <c r="AA2494" s="4" t="s">
        <v>33</v>
      </c>
      <c r="AB2494" s="4" t="s">
        <v>402</v>
      </c>
      <c r="AC2494" s="4" t="s">
        <v>63</v>
      </c>
      <c r="AD2494" s="4" t="s">
        <v>6449</v>
      </c>
      <c r="AE2494" s="4"/>
    </row>
    <row r="2495" spans="1:31" ht="51" customHeight="1">
      <c r="A2495" s="4" t="s">
        <v>6345</v>
      </c>
      <c r="B2495" s="4" t="s">
        <v>6523</v>
      </c>
      <c r="C2495" s="4" t="s">
        <v>23</v>
      </c>
      <c r="D2495" s="4" t="s">
        <v>2654</v>
      </c>
      <c r="E2495" s="4" t="s">
        <v>394</v>
      </c>
      <c r="F2495" s="4" t="s">
        <v>27</v>
      </c>
      <c r="G2495" s="4" t="s">
        <v>2272</v>
      </c>
      <c r="H2495" s="4" t="s">
        <v>521</v>
      </c>
      <c r="I2495" s="4">
        <v>2014</v>
      </c>
      <c r="J2495" s="4" t="s">
        <v>2272</v>
      </c>
      <c r="K2495" s="4" t="s">
        <v>2272</v>
      </c>
      <c r="L2495" s="4" t="s">
        <v>2272</v>
      </c>
      <c r="M2495" s="4" t="s">
        <v>2272</v>
      </c>
      <c r="N2495" s="4" t="s">
        <v>2272</v>
      </c>
      <c r="O2495" s="4" t="s">
        <v>2272</v>
      </c>
      <c r="P2495" s="4" t="s">
        <v>2272</v>
      </c>
      <c r="Q2495" s="4" t="s">
        <v>2272</v>
      </c>
      <c r="R2495" s="4" t="s">
        <v>2272</v>
      </c>
      <c r="S2495" s="4" t="s">
        <v>2272</v>
      </c>
      <c r="T2495" s="4" t="s">
        <v>2272</v>
      </c>
      <c r="U2495" s="4" t="s">
        <v>2272</v>
      </c>
      <c r="V2495" s="4" t="s">
        <v>2272</v>
      </c>
      <c r="W2495" s="4" t="s">
        <v>2272</v>
      </c>
      <c r="X2495" s="4" t="s">
        <v>2272</v>
      </c>
      <c r="Y2495" s="4" t="s">
        <v>2272</v>
      </c>
      <c r="Z2495" s="71">
        <v>1</v>
      </c>
      <c r="AA2495" s="4" t="s">
        <v>397</v>
      </c>
      <c r="AB2495" s="4" t="s">
        <v>33</v>
      </c>
      <c r="AC2495" s="4" t="s">
        <v>2272</v>
      </c>
      <c r="AD2495" s="4" t="s">
        <v>6450</v>
      </c>
      <c r="AE2495" s="4"/>
    </row>
    <row r="2496" spans="1:31" ht="31" customHeight="1">
      <c r="A2496" s="4" t="s">
        <v>6394</v>
      </c>
      <c r="B2496" s="4" t="s">
        <v>6534</v>
      </c>
      <c r="C2496" s="4" t="s">
        <v>23</v>
      </c>
      <c r="D2496" s="4" t="s">
        <v>1238</v>
      </c>
      <c r="E2496" s="4" t="s">
        <v>135</v>
      </c>
      <c r="F2496" s="4" t="s">
        <v>73</v>
      </c>
      <c r="G2496" s="4" t="s">
        <v>73</v>
      </c>
      <c r="H2496" s="4" t="s">
        <v>521</v>
      </c>
      <c r="I2496" s="4"/>
      <c r="J2496" s="215" t="s">
        <v>2272</v>
      </c>
      <c r="K2496" s="215" t="s">
        <v>2272</v>
      </c>
      <c r="L2496" s="215" t="s">
        <v>2272</v>
      </c>
      <c r="M2496" s="215" t="s">
        <v>2272</v>
      </c>
      <c r="N2496" s="215" t="s">
        <v>2272</v>
      </c>
      <c r="O2496" s="215" t="s">
        <v>2272</v>
      </c>
      <c r="P2496" s="215" t="s">
        <v>2272</v>
      </c>
      <c r="Q2496" s="215" t="s">
        <v>2272</v>
      </c>
      <c r="R2496" s="215" t="s">
        <v>2272</v>
      </c>
      <c r="S2496" s="215" t="s">
        <v>2272</v>
      </c>
      <c r="T2496" s="215" t="s">
        <v>2272</v>
      </c>
      <c r="U2496" s="71">
        <v>312500</v>
      </c>
      <c r="V2496" s="215" t="s">
        <v>2272</v>
      </c>
      <c r="W2496" s="71">
        <v>12.5</v>
      </c>
      <c r="X2496" s="215" t="s">
        <v>2272</v>
      </c>
      <c r="Y2496" s="71">
        <v>12.5</v>
      </c>
      <c r="Z2496" s="4" t="s">
        <v>2272</v>
      </c>
      <c r="AA2496" s="4" t="s">
        <v>125</v>
      </c>
      <c r="AB2496" s="4" t="s">
        <v>37</v>
      </c>
      <c r="AC2496" s="4" t="s">
        <v>2272</v>
      </c>
      <c r="AD2496" s="4"/>
      <c r="AE2496" s="4" t="s">
        <v>6526</v>
      </c>
    </row>
    <row r="2497" spans="1:31" ht="31" customHeight="1">
      <c r="A2497" s="4" t="s">
        <v>6394</v>
      </c>
      <c r="B2497" s="4" t="s">
        <v>6535</v>
      </c>
      <c r="C2497" s="4" t="s">
        <v>2652</v>
      </c>
      <c r="D2497" s="4" t="s">
        <v>2272</v>
      </c>
      <c r="E2497" s="4" t="s">
        <v>2272</v>
      </c>
      <c r="F2497" s="4" t="s">
        <v>2272</v>
      </c>
      <c r="G2497" s="4" t="s">
        <v>2272</v>
      </c>
      <c r="H2497" s="4" t="s">
        <v>521</v>
      </c>
      <c r="I2497" s="4"/>
      <c r="J2497" s="215" t="s">
        <v>2272</v>
      </c>
      <c r="K2497" s="215" t="s">
        <v>2272</v>
      </c>
      <c r="L2497" s="215" t="s">
        <v>2272</v>
      </c>
      <c r="M2497" s="215" t="s">
        <v>2272</v>
      </c>
      <c r="N2497" s="215" t="s">
        <v>2272</v>
      </c>
      <c r="O2497" s="215" t="s">
        <v>2272</v>
      </c>
      <c r="P2497" s="215" t="s">
        <v>2272</v>
      </c>
      <c r="Q2497" s="215" t="s">
        <v>2272</v>
      </c>
      <c r="R2497" s="215" t="s">
        <v>2272</v>
      </c>
      <c r="S2497" s="215" t="s">
        <v>2272</v>
      </c>
      <c r="T2497" s="215" t="s">
        <v>2272</v>
      </c>
      <c r="U2497" s="71">
        <v>7140</v>
      </c>
      <c r="V2497" s="215" t="s">
        <v>2272</v>
      </c>
      <c r="W2497" s="71">
        <v>0.3</v>
      </c>
      <c r="X2497" s="215" t="s">
        <v>2272</v>
      </c>
      <c r="Y2497" s="71">
        <v>0.3</v>
      </c>
      <c r="Z2497" s="4" t="s">
        <v>2272</v>
      </c>
      <c r="AA2497" s="4" t="s">
        <v>125</v>
      </c>
      <c r="AB2497" s="4" t="s">
        <v>37</v>
      </c>
      <c r="AC2497" s="4" t="s">
        <v>2272</v>
      </c>
      <c r="AD2497" s="4"/>
      <c r="AE2497" s="4" t="s">
        <v>6527</v>
      </c>
    </row>
    <row r="2498" spans="1:31" ht="31" customHeight="1">
      <c r="A2498" s="4" t="s">
        <v>6395</v>
      </c>
      <c r="B2498" s="4" t="s">
        <v>6536</v>
      </c>
      <c r="C2498" s="4" t="s">
        <v>23</v>
      </c>
      <c r="D2498" s="4" t="s">
        <v>1238</v>
      </c>
      <c r="E2498" s="4" t="s">
        <v>135</v>
      </c>
      <c r="F2498" s="4" t="s">
        <v>73</v>
      </c>
      <c r="G2498" s="4" t="s">
        <v>73</v>
      </c>
      <c r="H2498" s="4" t="s">
        <v>521</v>
      </c>
      <c r="I2498" s="4"/>
      <c r="J2498" s="215" t="s">
        <v>2272</v>
      </c>
      <c r="K2498" s="215" t="s">
        <v>2272</v>
      </c>
      <c r="L2498" s="215" t="s">
        <v>2272</v>
      </c>
      <c r="M2498" s="215" t="s">
        <v>2272</v>
      </c>
      <c r="N2498" s="215" t="s">
        <v>2272</v>
      </c>
      <c r="O2498" s="215" t="s">
        <v>2272</v>
      </c>
      <c r="P2498" s="215" t="s">
        <v>2272</v>
      </c>
      <c r="Q2498" s="215" t="s">
        <v>2272</v>
      </c>
      <c r="R2498" s="215" t="s">
        <v>2272</v>
      </c>
      <c r="S2498" s="215" t="s">
        <v>2272</v>
      </c>
      <c r="T2498" s="71">
        <v>200000</v>
      </c>
      <c r="U2498" s="71">
        <v>165000</v>
      </c>
      <c r="V2498" s="71">
        <v>8</v>
      </c>
      <c r="W2498" s="71">
        <v>6.6</v>
      </c>
      <c r="X2498" s="71">
        <v>8</v>
      </c>
      <c r="Y2498" s="71">
        <v>6.6</v>
      </c>
      <c r="Z2498" s="4" t="s">
        <v>2272</v>
      </c>
      <c r="AA2498" s="4" t="s">
        <v>125</v>
      </c>
      <c r="AB2498" s="4" t="s">
        <v>37</v>
      </c>
      <c r="AC2498" s="4" t="s">
        <v>2272</v>
      </c>
      <c r="AD2498" s="4"/>
      <c r="AE2498" s="4" t="s">
        <v>7850</v>
      </c>
    </row>
    <row r="2499" spans="1:31" ht="31" customHeight="1">
      <c r="A2499" s="4" t="s">
        <v>6395</v>
      </c>
      <c r="B2499" s="4" t="s">
        <v>6537</v>
      </c>
      <c r="C2499" s="4" t="s">
        <v>2652</v>
      </c>
      <c r="D2499" s="4" t="s">
        <v>2272</v>
      </c>
      <c r="E2499" s="4" t="s">
        <v>2272</v>
      </c>
      <c r="F2499" s="4" t="s">
        <v>2272</v>
      </c>
      <c r="G2499" s="4" t="s">
        <v>2272</v>
      </c>
      <c r="H2499" s="4" t="s">
        <v>521</v>
      </c>
      <c r="I2499" s="4"/>
      <c r="J2499" s="215" t="s">
        <v>2272</v>
      </c>
      <c r="K2499" s="215" t="s">
        <v>2272</v>
      </c>
      <c r="L2499" s="215" t="s">
        <v>2272</v>
      </c>
      <c r="M2499" s="215" t="s">
        <v>2272</v>
      </c>
      <c r="N2499" s="215" t="s">
        <v>2272</v>
      </c>
      <c r="O2499" s="215" t="s">
        <v>2272</v>
      </c>
      <c r="P2499" s="215" t="s">
        <v>2272</v>
      </c>
      <c r="Q2499" s="215" t="s">
        <v>2272</v>
      </c>
      <c r="R2499" s="215" t="s">
        <v>2272</v>
      </c>
      <c r="S2499" s="215" t="s">
        <v>2272</v>
      </c>
      <c r="T2499" s="215" t="s">
        <v>2272</v>
      </c>
      <c r="U2499" s="215" t="s">
        <v>2272</v>
      </c>
      <c r="V2499" s="215" t="s">
        <v>2272</v>
      </c>
      <c r="W2499" s="215" t="s">
        <v>2272</v>
      </c>
      <c r="X2499" s="215" t="s">
        <v>2272</v>
      </c>
      <c r="Y2499" s="215" t="s">
        <v>2272</v>
      </c>
      <c r="Z2499" s="215" t="s">
        <v>2272</v>
      </c>
      <c r="AA2499" s="4" t="s">
        <v>125</v>
      </c>
      <c r="AB2499" s="4" t="s">
        <v>37</v>
      </c>
      <c r="AC2499" s="4" t="s">
        <v>2272</v>
      </c>
      <c r="AD2499" s="4"/>
      <c r="AE2499" s="4" t="s">
        <v>6528</v>
      </c>
    </row>
    <row r="2500" spans="1:31" ht="31" customHeight="1">
      <c r="A2500" s="4" t="s">
        <v>6396</v>
      </c>
      <c r="B2500" s="4" t="s">
        <v>6538</v>
      </c>
      <c r="C2500" s="4" t="s">
        <v>23</v>
      </c>
      <c r="D2500" s="4" t="s">
        <v>2272</v>
      </c>
      <c r="E2500" s="4" t="s">
        <v>2648</v>
      </c>
      <c r="F2500" s="4" t="s">
        <v>2272</v>
      </c>
      <c r="G2500" s="4" t="s">
        <v>2272</v>
      </c>
      <c r="H2500" s="4" t="s">
        <v>521</v>
      </c>
      <c r="I2500" s="4"/>
      <c r="J2500" s="215" t="s">
        <v>2272</v>
      </c>
      <c r="K2500" s="71">
        <f>0.44/10</f>
        <v>4.3999999999999997E-2</v>
      </c>
      <c r="L2500" s="21" t="s">
        <v>2272</v>
      </c>
      <c r="M2500" s="215" t="s">
        <v>2272</v>
      </c>
      <c r="N2500" s="215" t="s">
        <v>2272</v>
      </c>
      <c r="O2500" s="215" t="s">
        <v>2272</v>
      </c>
      <c r="P2500" s="215" t="s">
        <v>2272</v>
      </c>
      <c r="Q2500" s="71">
        <f>((Y2500/100)*'Record info'!K1038)/(0.043*'Record info'!K1038)</f>
        <v>3.7209302325581402E-2</v>
      </c>
      <c r="R2500" s="215" t="s">
        <v>2272</v>
      </c>
      <c r="S2500" s="215" t="s">
        <v>2272</v>
      </c>
      <c r="T2500" s="215" t="s">
        <v>2272</v>
      </c>
      <c r="U2500" s="215" t="s">
        <v>2272</v>
      </c>
      <c r="V2500" s="215" t="s">
        <v>2272</v>
      </c>
      <c r="W2500" s="215" t="s">
        <v>2272</v>
      </c>
      <c r="X2500" s="215" t="s">
        <v>2272</v>
      </c>
      <c r="Y2500" s="71">
        <f>1.6/10</f>
        <v>0.16</v>
      </c>
      <c r="Z2500" s="215" t="s">
        <v>2272</v>
      </c>
      <c r="AA2500" s="4" t="s">
        <v>2272</v>
      </c>
      <c r="AB2500" s="4" t="s">
        <v>2272</v>
      </c>
      <c r="AC2500" s="4" t="s">
        <v>2272</v>
      </c>
      <c r="AD2500" s="4"/>
      <c r="AE2500" s="4"/>
    </row>
    <row r="2501" spans="1:31" ht="31" customHeight="1">
      <c r="A2501" s="4" t="s">
        <v>6396</v>
      </c>
      <c r="B2501" s="4" t="s">
        <v>6539</v>
      </c>
      <c r="C2501" s="4" t="s">
        <v>2651</v>
      </c>
      <c r="D2501" s="4" t="s">
        <v>2272</v>
      </c>
      <c r="E2501" s="4" t="s">
        <v>2272</v>
      </c>
      <c r="F2501" s="4" t="s">
        <v>2272</v>
      </c>
      <c r="G2501" s="4" t="s">
        <v>2272</v>
      </c>
      <c r="H2501" s="4" t="s">
        <v>521</v>
      </c>
      <c r="I2501" s="4"/>
      <c r="J2501" s="215" t="s">
        <v>2272</v>
      </c>
      <c r="K2501" s="215">
        <f>K2500*(1-0.992)</f>
        <v>3.5200000000000032E-4</v>
      </c>
      <c r="L2501" s="21" t="s">
        <v>2272</v>
      </c>
      <c r="M2501" s="215" t="s">
        <v>2272</v>
      </c>
      <c r="N2501" s="215" t="s">
        <v>2272</v>
      </c>
      <c r="O2501" s="215" t="s">
        <v>2272</v>
      </c>
      <c r="P2501" s="215" t="s">
        <v>2272</v>
      </c>
      <c r="Q2501" s="215" t="s">
        <v>2272</v>
      </c>
      <c r="R2501" s="215" t="s">
        <v>2272</v>
      </c>
      <c r="S2501" s="215" t="s">
        <v>2272</v>
      </c>
      <c r="T2501" s="215" t="s">
        <v>2272</v>
      </c>
      <c r="U2501" s="215" t="s">
        <v>2272</v>
      </c>
      <c r="V2501" s="215" t="s">
        <v>2272</v>
      </c>
      <c r="W2501" s="215" t="s">
        <v>2272</v>
      </c>
      <c r="X2501" s="215" t="s">
        <v>2272</v>
      </c>
      <c r="Y2501" s="215" t="s">
        <v>2272</v>
      </c>
      <c r="Z2501" s="215" t="s">
        <v>2272</v>
      </c>
      <c r="AA2501" s="4" t="s">
        <v>2272</v>
      </c>
      <c r="AB2501" s="4" t="s">
        <v>2272</v>
      </c>
      <c r="AC2501" s="4" t="s">
        <v>2272</v>
      </c>
      <c r="AD2501" s="4"/>
      <c r="AE2501" s="4" t="s">
        <v>6529</v>
      </c>
    </row>
    <row r="2502" spans="1:31" ht="31" customHeight="1">
      <c r="A2502" s="4" t="s">
        <v>6397</v>
      </c>
      <c r="B2502" s="4" t="s">
        <v>6540</v>
      </c>
      <c r="C2502" s="4" t="s">
        <v>23</v>
      </c>
      <c r="D2502" s="4" t="s">
        <v>2272</v>
      </c>
      <c r="E2502" s="4" t="s">
        <v>2648</v>
      </c>
      <c r="F2502" s="4" t="s">
        <v>2272</v>
      </c>
      <c r="G2502" s="4" t="s">
        <v>2272</v>
      </c>
      <c r="H2502" s="4" t="s">
        <v>521</v>
      </c>
      <c r="I2502" s="4"/>
      <c r="J2502" s="215" t="s">
        <v>2272</v>
      </c>
      <c r="K2502" s="71">
        <v>0.04</v>
      </c>
      <c r="L2502" s="21" t="s">
        <v>2272</v>
      </c>
      <c r="M2502" s="215" t="s">
        <v>2272</v>
      </c>
      <c r="N2502" s="215" t="s">
        <v>2272</v>
      </c>
      <c r="O2502" s="215" t="s">
        <v>2272</v>
      </c>
      <c r="P2502" s="215" t="s">
        <v>2272</v>
      </c>
      <c r="Q2502" s="215" t="s">
        <v>2272</v>
      </c>
      <c r="R2502" s="215" t="s">
        <v>2272</v>
      </c>
      <c r="S2502" s="215" t="s">
        <v>2272</v>
      </c>
      <c r="T2502" s="215" t="s">
        <v>2272</v>
      </c>
      <c r="U2502" s="215" t="s">
        <v>2272</v>
      </c>
      <c r="V2502" s="215" t="s">
        <v>2272</v>
      </c>
      <c r="W2502" s="215" t="s">
        <v>2272</v>
      </c>
      <c r="X2502" s="215" t="s">
        <v>2272</v>
      </c>
      <c r="Y2502" s="215" t="s">
        <v>2272</v>
      </c>
      <c r="Z2502" s="215" t="s">
        <v>2272</v>
      </c>
      <c r="AA2502" s="4" t="s">
        <v>2272</v>
      </c>
      <c r="AB2502" s="4" t="s">
        <v>2272</v>
      </c>
      <c r="AC2502" s="4" t="s">
        <v>2272</v>
      </c>
      <c r="AD2502" s="4"/>
      <c r="AE2502" s="4"/>
    </row>
    <row r="2503" spans="1:31" ht="31" customHeight="1">
      <c r="A2503" s="4" t="s">
        <v>6397</v>
      </c>
      <c r="B2503" s="4" t="s">
        <v>6541</v>
      </c>
      <c r="C2503" s="4" t="s">
        <v>2651</v>
      </c>
      <c r="D2503" s="4" t="s">
        <v>2272</v>
      </c>
      <c r="E2503" s="4" t="s">
        <v>2272</v>
      </c>
      <c r="F2503" s="4" t="s">
        <v>2272</v>
      </c>
      <c r="G2503" s="4" t="s">
        <v>2272</v>
      </c>
      <c r="H2503" s="4" t="s">
        <v>521</v>
      </c>
      <c r="I2503" s="4"/>
      <c r="J2503" s="215" t="s">
        <v>2272</v>
      </c>
      <c r="K2503" s="215"/>
      <c r="L2503" s="21" t="s">
        <v>2272</v>
      </c>
      <c r="M2503" s="215" t="s">
        <v>2272</v>
      </c>
      <c r="N2503" s="215" t="s">
        <v>2272</v>
      </c>
      <c r="O2503" s="215" t="s">
        <v>2272</v>
      </c>
      <c r="P2503" s="215" t="s">
        <v>2272</v>
      </c>
      <c r="Q2503" s="215" t="s">
        <v>2272</v>
      </c>
      <c r="R2503" s="215" t="s">
        <v>2272</v>
      </c>
      <c r="S2503" s="215" t="s">
        <v>2272</v>
      </c>
      <c r="T2503" s="215" t="s">
        <v>2272</v>
      </c>
      <c r="U2503" s="215" t="s">
        <v>2272</v>
      </c>
      <c r="V2503" s="215" t="s">
        <v>2272</v>
      </c>
      <c r="W2503" s="215" t="s">
        <v>2272</v>
      </c>
      <c r="X2503" s="215" t="s">
        <v>2272</v>
      </c>
      <c r="Y2503" s="215" t="s">
        <v>2272</v>
      </c>
      <c r="Z2503" s="215" t="s">
        <v>2272</v>
      </c>
      <c r="AA2503" s="4" t="s">
        <v>2272</v>
      </c>
      <c r="AB2503" s="4" t="s">
        <v>2272</v>
      </c>
      <c r="AC2503" s="4" t="s">
        <v>2272</v>
      </c>
      <c r="AD2503" s="4"/>
      <c r="AE2503" s="4" t="s">
        <v>6530</v>
      </c>
    </row>
    <row r="2504" spans="1:31" ht="31" customHeight="1">
      <c r="A2504" s="4" t="s">
        <v>6401</v>
      </c>
      <c r="B2504" s="4" t="s">
        <v>6542</v>
      </c>
      <c r="C2504" s="4" t="s">
        <v>2653</v>
      </c>
      <c r="D2504" s="4" t="s">
        <v>2272</v>
      </c>
      <c r="E2504" s="4" t="s">
        <v>2644</v>
      </c>
      <c r="F2504" s="4" t="s">
        <v>73</v>
      </c>
      <c r="G2504" s="4" t="s">
        <v>73</v>
      </c>
      <c r="H2504" s="4" t="s">
        <v>521</v>
      </c>
      <c r="I2504" s="4"/>
      <c r="J2504" s="71">
        <f>0.662878787878788/28</f>
        <v>2.3674242424242428E-2</v>
      </c>
      <c r="K2504" s="71">
        <f>0.662878787878788/28</f>
        <v>2.3674242424242428E-2</v>
      </c>
      <c r="L2504" s="21" t="s">
        <v>2272</v>
      </c>
      <c r="M2504" s="215" t="s">
        <v>2272</v>
      </c>
      <c r="N2504" s="215" t="s">
        <v>2272</v>
      </c>
      <c r="O2504" s="215" t="s">
        <v>2272</v>
      </c>
      <c r="P2504" s="215" t="s">
        <v>2272</v>
      </c>
      <c r="Q2504" s="215" t="s">
        <v>2272</v>
      </c>
      <c r="R2504" s="215" t="s">
        <v>2272</v>
      </c>
      <c r="S2504" s="215" t="s">
        <v>2272</v>
      </c>
      <c r="T2504" s="215" t="s">
        <v>2272</v>
      </c>
      <c r="U2504" s="215" t="s">
        <v>2272</v>
      </c>
      <c r="V2504" s="215" t="s">
        <v>2272</v>
      </c>
      <c r="W2504" s="215" t="s">
        <v>2272</v>
      </c>
      <c r="X2504" s="215" t="s">
        <v>2272</v>
      </c>
      <c r="Y2504" s="215" t="s">
        <v>2272</v>
      </c>
      <c r="Z2504" s="71">
        <v>32</v>
      </c>
      <c r="AA2504" s="4" t="s">
        <v>2272</v>
      </c>
      <c r="AB2504" s="4" t="s">
        <v>2272</v>
      </c>
      <c r="AC2504" s="4" t="s">
        <v>2272</v>
      </c>
      <c r="AD2504" s="4"/>
      <c r="AE2504" s="4"/>
    </row>
    <row r="2505" spans="1:31" ht="31" customHeight="1">
      <c r="A2505" s="4" t="s">
        <v>6401</v>
      </c>
      <c r="B2505" s="4" t="s">
        <v>6543</v>
      </c>
      <c r="C2505" s="4" t="s">
        <v>23</v>
      </c>
      <c r="D2505" s="4" t="s">
        <v>1238</v>
      </c>
      <c r="E2505" s="4" t="s">
        <v>2644</v>
      </c>
      <c r="F2505" s="4" t="s">
        <v>73</v>
      </c>
      <c r="G2505" s="4" t="s">
        <v>73</v>
      </c>
      <c r="H2505" s="4" t="s">
        <v>521</v>
      </c>
      <c r="I2505" s="4"/>
      <c r="J2505" s="21" t="s">
        <v>2272</v>
      </c>
      <c r="K2505" s="21" t="s">
        <v>2272</v>
      </c>
      <c r="L2505" s="21" t="s">
        <v>2272</v>
      </c>
      <c r="M2505" s="215" t="s">
        <v>2272</v>
      </c>
      <c r="N2505" s="215" t="s">
        <v>2272</v>
      </c>
      <c r="O2505" s="215" t="s">
        <v>2272</v>
      </c>
      <c r="P2505" s="215" t="s">
        <v>2272</v>
      </c>
      <c r="Q2505" s="215" t="s">
        <v>2272</v>
      </c>
      <c r="R2505" s="215" t="s">
        <v>2272</v>
      </c>
      <c r="S2505" s="215" t="s">
        <v>2272</v>
      </c>
      <c r="T2505" s="215" t="s">
        <v>2272</v>
      </c>
      <c r="U2505" s="215" t="s">
        <v>2272</v>
      </c>
      <c r="V2505" s="215" t="s">
        <v>2272</v>
      </c>
      <c r="W2505" s="215" t="s">
        <v>2272</v>
      </c>
      <c r="X2505" s="215" t="s">
        <v>2272</v>
      </c>
      <c r="Y2505" s="215" t="s">
        <v>2272</v>
      </c>
      <c r="Z2505" s="215" t="s">
        <v>2272</v>
      </c>
      <c r="AA2505" s="4" t="s">
        <v>2272</v>
      </c>
      <c r="AB2505" s="4" t="s">
        <v>2272</v>
      </c>
      <c r="AC2505" s="4" t="s">
        <v>2272</v>
      </c>
      <c r="AD2505" s="4"/>
      <c r="AE2505" s="4"/>
    </row>
    <row r="2506" spans="1:31" ht="31" customHeight="1">
      <c r="A2506" s="4" t="s">
        <v>6402</v>
      </c>
      <c r="B2506" s="4" t="s">
        <v>6544</v>
      </c>
      <c r="C2506" s="4" t="s">
        <v>2653</v>
      </c>
      <c r="D2506" s="4" t="s">
        <v>2272</v>
      </c>
      <c r="E2506" s="4" t="s">
        <v>2644</v>
      </c>
      <c r="F2506" s="4" t="s">
        <v>73</v>
      </c>
      <c r="G2506" s="4" t="s">
        <v>73</v>
      </c>
      <c r="H2506" s="4" t="s">
        <v>521</v>
      </c>
      <c r="I2506" s="4"/>
      <c r="J2506" s="71">
        <f>0.15609756097561/28</f>
        <v>5.5749128919860714E-3</v>
      </c>
      <c r="K2506" s="71">
        <f>0.15609756097561/28</f>
        <v>5.5749128919860714E-3</v>
      </c>
      <c r="L2506" s="21" t="s">
        <v>2272</v>
      </c>
      <c r="M2506" s="215" t="s">
        <v>2272</v>
      </c>
      <c r="N2506" s="215" t="s">
        <v>2272</v>
      </c>
      <c r="O2506" s="215" t="s">
        <v>2272</v>
      </c>
      <c r="P2506" s="215" t="s">
        <v>2272</v>
      </c>
      <c r="Q2506" s="215" t="s">
        <v>2272</v>
      </c>
      <c r="R2506" s="215" t="s">
        <v>2272</v>
      </c>
      <c r="S2506" s="215" t="s">
        <v>2272</v>
      </c>
      <c r="T2506" s="215" t="s">
        <v>2272</v>
      </c>
      <c r="U2506" s="215" t="s">
        <v>2272</v>
      </c>
      <c r="V2506" s="215" t="s">
        <v>2272</v>
      </c>
      <c r="W2506" s="215" t="s">
        <v>2272</v>
      </c>
      <c r="X2506" s="215" t="s">
        <v>2272</v>
      </c>
      <c r="Y2506" s="215" t="s">
        <v>2272</v>
      </c>
      <c r="Z2506" s="71">
        <v>14</v>
      </c>
      <c r="AA2506" s="4" t="s">
        <v>2272</v>
      </c>
      <c r="AB2506" s="4" t="s">
        <v>2272</v>
      </c>
      <c r="AC2506" s="4" t="s">
        <v>2272</v>
      </c>
      <c r="AD2506" s="4"/>
      <c r="AE2506" s="4"/>
    </row>
    <row r="2507" spans="1:31" ht="31" customHeight="1">
      <c r="A2507" s="4" t="s">
        <v>6402</v>
      </c>
      <c r="B2507" s="4" t="s">
        <v>6545</v>
      </c>
      <c r="C2507" s="4" t="s">
        <v>23</v>
      </c>
      <c r="D2507" s="4" t="s">
        <v>1238</v>
      </c>
      <c r="E2507" s="4" t="s">
        <v>2644</v>
      </c>
      <c r="F2507" s="4" t="s">
        <v>73</v>
      </c>
      <c r="G2507" s="4" t="s">
        <v>73</v>
      </c>
      <c r="H2507" s="4" t="s">
        <v>521</v>
      </c>
      <c r="I2507" s="4"/>
      <c r="J2507" s="21" t="s">
        <v>2272</v>
      </c>
      <c r="K2507" s="21" t="s">
        <v>2272</v>
      </c>
      <c r="L2507" s="21" t="s">
        <v>2272</v>
      </c>
      <c r="M2507" s="215" t="s">
        <v>2272</v>
      </c>
      <c r="N2507" s="215" t="s">
        <v>2272</v>
      </c>
      <c r="O2507" s="215" t="s">
        <v>2272</v>
      </c>
      <c r="P2507" s="215" t="s">
        <v>2272</v>
      </c>
      <c r="Q2507" s="215" t="s">
        <v>2272</v>
      </c>
      <c r="R2507" s="215" t="s">
        <v>2272</v>
      </c>
      <c r="S2507" s="215" t="s">
        <v>2272</v>
      </c>
      <c r="T2507" s="215" t="s">
        <v>2272</v>
      </c>
      <c r="U2507" s="215" t="s">
        <v>2272</v>
      </c>
      <c r="V2507" s="215" t="s">
        <v>2272</v>
      </c>
      <c r="W2507" s="215" t="s">
        <v>2272</v>
      </c>
      <c r="X2507" s="215" t="s">
        <v>2272</v>
      </c>
      <c r="Y2507" s="215" t="s">
        <v>2272</v>
      </c>
      <c r="Z2507" s="215" t="s">
        <v>2272</v>
      </c>
      <c r="AA2507" s="4" t="s">
        <v>2272</v>
      </c>
      <c r="AB2507" s="4" t="s">
        <v>2272</v>
      </c>
      <c r="AC2507" s="4" t="s">
        <v>2272</v>
      </c>
      <c r="AD2507" s="4"/>
      <c r="AE2507" s="4"/>
    </row>
    <row r="2508" spans="1:31" ht="31" customHeight="1">
      <c r="A2508" s="4" t="s">
        <v>6403</v>
      </c>
      <c r="B2508" s="4" t="s">
        <v>6546</v>
      </c>
      <c r="C2508" s="4" t="s">
        <v>2653</v>
      </c>
      <c r="D2508" s="4" t="s">
        <v>2272</v>
      </c>
      <c r="E2508" s="4" t="s">
        <v>2644</v>
      </c>
      <c r="F2508" s="4" t="s">
        <v>73</v>
      </c>
      <c r="G2508" s="4" t="s">
        <v>73</v>
      </c>
      <c r="H2508" s="4" t="s">
        <v>521</v>
      </c>
      <c r="I2508" s="4"/>
      <c r="J2508" s="71">
        <f>0.829508196721311/28</f>
        <v>2.9625292740046823E-2</v>
      </c>
      <c r="K2508" s="71">
        <f>0.829508196721311/28</f>
        <v>2.9625292740046823E-2</v>
      </c>
      <c r="L2508" s="21" t="s">
        <v>2272</v>
      </c>
      <c r="M2508" s="215" t="s">
        <v>2272</v>
      </c>
      <c r="N2508" s="215" t="s">
        <v>2272</v>
      </c>
      <c r="O2508" s="215" t="s">
        <v>2272</v>
      </c>
      <c r="P2508" s="215" t="s">
        <v>2272</v>
      </c>
      <c r="Q2508" s="215" t="s">
        <v>2272</v>
      </c>
      <c r="R2508" s="215" t="s">
        <v>2272</v>
      </c>
      <c r="S2508" s="215" t="s">
        <v>2272</v>
      </c>
      <c r="T2508" s="215" t="s">
        <v>2272</v>
      </c>
      <c r="U2508" s="215" t="s">
        <v>2272</v>
      </c>
      <c r="V2508" s="215" t="s">
        <v>2272</v>
      </c>
      <c r="W2508" s="215" t="s">
        <v>2272</v>
      </c>
      <c r="X2508" s="215" t="s">
        <v>2272</v>
      </c>
      <c r="Y2508" s="215" t="s">
        <v>2272</v>
      </c>
      <c r="Z2508" s="71">
        <v>35</v>
      </c>
      <c r="AA2508" s="4" t="s">
        <v>2272</v>
      </c>
      <c r="AB2508" s="4" t="s">
        <v>2272</v>
      </c>
      <c r="AC2508" s="4" t="s">
        <v>2272</v>
      </c>
      <c r="AD2508" s="4"/>
      <c r="AE2508" s="4"/>
    </row>
    <row r="2509" spans="1:31" ht="31" customHeight="1">
      <c r="A2509" s="4" t="s">
        <v>6403</v>
      </c>
      <c r="B2509" s="4" t="s">
        <v>6547</v>
      </c>
      <c r="C2509" s="4" t="s">
        <v>23</v>
      </c>
      <c r="D2509" s="4" t="s">
        <v>1238</v>
      </c>
      <c r="E2509" s="4" t="s">
        <v>2644</v>
      </c>
      <c r="F2509" s="4" t="s">
        <v>73</v>
      </c>
      <c r="G2509" s="4" t="s">
        <v>73</v>
      </c>
      <c r="H2509" s="4" t="s">
        <v>521</v>
      </c>
      <c r="I2509" s="4"/>
      <c r="J2509" s="21" t="s">
        <v>2272</v>
      </c>
      <c r="K2509" s="21" t="s">
        <v>2272</v>
      </c>
      <c r="L2509" s="21" t="s">
        <v>2272</v>
      </c>
      <c r="M2509" s="215" t="s">
        <v>2272</v>
      </c>
      <c r="N2509" s="215" t="s">
        <v>2272</v>
      </c>
      <c r="O2509" s="215" t="s">
        <v>2272</v>
      </c>
      <c r="P2509" s="215" t="s">
        <v>2272</v>
      </c>
      <c r="Q2509" s="215" t="s">
        <v>2272</v>
      </c>
      <c r="R2509" s="215" t="s">
        <v>2272</v>
      </c>
      <c r="S2509" s="215" t="s">
        <v>2272</v>
      </c>
      <c r="T2509" s="215" t="s">
        <v>2272</v>
      </c>
      <c r="U2509" s="215" t="s">
        <v>2272</v>
      </c>
      <c r="V2509" s="215" t="s">
        <v>2272</v>
      </c>
      <c r="W2509" s="215" t="s">
        <v>2272</v>
      </c>
      <c r="X2509" s="215" t="s">
        <v>2272</v>
      </c>
      <c r="Y2509" s="215" t="s">
        <v>2272</v>
      </c>
      <c r="Z2509" s="215" t="s">
        <v>2272</v>
      </c>
      <c r="AA2509" s="4" t="s">
        <v>2272</v>
      </c>
      <c r="AB2509" s="4" t="s">
        <v>2272</v>
      </c>
      <c r="AC2509" s="4" t="s">
        <v>2272</v>
      </c>
      <c r="AD2509" s="4"/>
      <c r="AE2509" s="4"/>
    </row>
    <row r="2510" spans="1:31" ht="31" customHeight="1">
      <c r="A2510" s="4" t="s">
        <v>6404</v>
      </c>
      <c r="B2510" s="4" t="s">
        <v>6548</v>
      </c>
      <c r="C2510" s="4" t="s">
        <v>2653</v>
      </c>
      <c r="D2510" s="4" t="s">
        <v>2272</v>
      </c>
      <c r="E2510" s="4" t="s">
        <v>2644</v>
      </c>
      <c r="F2510" s="4" t="s">
        <v>73</v>
      </c>
      <c r="G2510" s="4" t="s">
        <v>73</v>
      </c>
      <c r="H2510" s="4" t="s">
        <v>521</v>
      </c>
      <c r="I2510" s="4"/>
      <c r="J2510" s="71">
        <f>0.559241706161137/28</f>
        <v>1.9972918077183464E-2</v>
      </c>
      <c r="K2510" s="71">
        <f>0.559241706161137/28</f>
        <v>1.9972918077183464E-2</v>
      </c>
      <c r="L2510" s="21" t="s">
        <v>2272</v>
      </c>
      <c r="M2510" s="215" t="s">
        <v>2272</v>
      </c>
      <c r="N2510" s="215" t="s">
        <v>2272</v>
      </c>
      <c r="O2510" s="215" t="s">
        <v>2272</v>
      </c>
      <c r="P2510" s="215" t="s">
        <v>2272</v>
      </c>
      <c r="Q2510" s="215" t="s">
        <v>2272</v>
      </c>
      <c r="R2510" s="215" t="s">
        <v>2272</v>
      </c>
      <c r="S2510" s="215" t="s">
        <v>2272</v>
      </c>
      <c r="T2510" s="215" t="s">
        <v>2272</v>
      </c>
      <c r="U2510" s="215" t="s">
        <v>2272</v>
      </c>
      <c r="V2510" s="215" t="s">
        <v>2272</v>
      </c>
      <c r="W2510" s="215" t="s">
        <v>2272</v>
      </c>
      <c r="X2510" s="215" t="s">
        <v>2272</v>
      </c>
      <c r="Y2510" s="215" t="s">
        <v>2272</v>
      </c>
      <c r="Z2510" s="71">
        <v>30</v>
      </c>
      <c r="AA2510" s="4" t="s">
        <v>2272</v>
      </c>
      <c r="AB2510" s="4" t="s">
        <v>2272</v>
      </c>
      <c r="AC2510" s="4" t="s">
        <v>2272</v>
      </c>
      <c r="AD2510" s="4"/>
      <c r="AE2510" s="4"/>
    </row>
    <row r="2511" spans="1:31" ht="31" customHeight="1">
      <c r="A2511" s="4" t="s">
        <v>6404</v>
      </c>
      <c r="B2511" s="4" t="s">
        <v>6549</v>
      </c>
      <c r="C2511" s="4" t="s">
        <v>23</v>
      </c>
      <c r="D2511" s="4" t="s">
        <v>1238</v>
      </c>
      <c r="E2511" s="4" t="s">
        <v>2644</v>
      </c>
      <c r="F2511" s="4" t="s">
        <v>73</v>
      </c>
      <c r="G2511" s="4" t="s">
        <v>73</v>
      </c>
      <c r="H2511" s="4" t="s">
        <v>521</v>
      </c>
      <c r="I2511" s="4"/>
      <c r="J2511" s="21" t="s">
        <v>2272</v>
      </c>
      <c r="K2511" s="21" t="s">
        <v>2272</v>
      </c>
      <c r="L2511" s="21" t="s">
        <v>2272</v>
      </c>
      <c r="M2511" s="21" t="s">
        <v>2272</v>
      </c>
      <c r="N2511" s="21" t="s">
        <v>2272</v>
      </c>
      <c r="O2511" s="21" t="s">
        <v>2272</v>
      </c>
      <c r="P2511" s="21" t="s">
        <v>2272</v>
      </c>
      <c r="Q2511" s="21" t="s">
        <v>2272</v>
      </c>
      <c r="R2511" s="21" t="s">
        <v>2272</v>
      </c>
      <c r="S2511" s="21" t="s">
        <v>2272</v>
      </c>
      <c r="T2511" s="21" t="s">
        <v>2272</v>
      </c>
      <c r="U2511" s="21" t="s">
        <v>2272</v>
      </c>
      <c r="V2511" s="21" t="s">
        <v>2272</v>
      </c>
      <c r="W2511" s="21" t="s">
        <v>2272</v>
      </c>
      <c r="X2511" s="21" t="s">
        <v>2272</v>
      </c>
      <c r="Y2511" s="21" t="s">
        <v>2272</v>
      </c>
      <c r="Z2511" s="21" t="s">
        <v>2272</v>
      </c>
      <c r="AA2511" s="4" t="s">
        <v>2272</v>
      </c>
      <c r="AB2511" s="4" t="s">
        <v>2272</v>
      </c>
      <c r="AC2511" s="4" t="s">
        <v>2272</v>
      </c>
      <c r="AD2511" s="4"/>
      <c r="AE2511" s="4"/>
    </row>
    <row r="2512" spans="1:31" ht="31" customHeight="1">
      <c r="A2512" s="4" t="s">
        <v>6405</v>
      </c>
      <c r="B2512" s="4" t="s">
        <v>6550</v>
      </c>
      <c r="C2512" s="4" t="s">
        <v>23</v>
      </c>
      <c r="D2512" s="4" t="s">
        <v>2654</v>
      </c>
      <c r="E2512" s="4" t="s">
        <v>2644</v>
      </c>
      <c r="F2512" s="4" t="s">
        <v>73</v>
      </c>
      <c r="G2512" s="4" t="s">
        <v>73</v>
      </c>
      <c r="H2512" s="4" t="s">
        <v>521</v>
      </c>
      <c r="I2512" s="4"/>
      <c r="J2512" s="21" t="s">
        <v>2272</v>
      </c>
      <c r="K2512" s="21" t="s">
        <v>2272</v>
      </c>
      <c r="L2512" s="21" t="s">
        <v>2272</v>
      </c>
      <c r="M2512" s="21" t="s">
        <v>2272</v>
      </c>
      <c r="N2512" s="21" t="s">
        <v>2272</v>
      </c>
      <c r="O2512" s="21" t="s">
        <v>2272</v>
      </c>
      <c r="P2512" s="21" t="s">
        <v>2272</v>
      </c>
      <c r="Q2512" s="21" t="s">
        <v>2272</v>
      </c>
      <c r="R2512" s="21" t="s">
        <v>2272</v>
      </c>
      <c r="S2512" s="21" t="s">
        <v>2272</v>
      </c>
      <c r="T2512" s="21" t="s">
        <v>2272</v>
      </c>
      <c r="U2512" s="21" t="s">
        <v>2272</v>
      </c>
      <c r="V2512" s="21" t="s">
        <v>2272</v>
      </c>
      <c r="W2512" s="21" t="s">
        <v>2272</v>
      </c>
      <c r="X2512" s="21" t="s">
        <v>2272</v>
      </c>
      <c r="Y2512" s="21" t="s">
        <v>2272</v>
      </c>
      <c r="Z2512" s="21" t="s">
        <v>2272</v>
      </c>
      <c r="AA2512" s="4" t="s">
        <v>2272</v>
      </c>
      <c r="AB2512" s="4" t="s">
        <v>2272</v>
      </c>
      <c r="AC2512" s="4" t="s">
        <v>2272</v>
      </c>
      <c r="AD2512" s="4"/>
      <c r="AE2512" s="4"/>
    </row>
    <row r="2513" spans="1:31" ht="31" customHeight="1">
      <c r="A2513" s="4" t="s">
        <v>6406</v>
      </c>
      <c r="B2513" s="4" t="s">
        <v>6551</v>
      </c>
      <c r="C2513" s="4" t="s">
        <v>23</v>
      </c>
      <c r="D2513" s="4" t="s">
        <v>2654</v>
      </c>
      <c r="E2513" s="4" t="s">
        <v>2644</v>
      </c>
      <c r="F2513" s="4" t="s">
        <v>73</v>
      </c>
      <c r="G2513" s="4" t="s">
        <v>73</v>
      </c>
      <c r="H2513" s="4" t="s">
        <v>521</v>
      </c>
      <c r="I2513" s="4"/>
      <c r="J2513" s="21" t="s">
        <v>2272</v>
      </c>
      <c r="K2513" s="21" t="s">
        <v>2272</v>
      </c>
      <c r="L2513" s="21" t="s">
        <v>2272</v>
      </c>
      <c r="M2513" s="21" t="s">
        <v>2272</v>
      </c>
      <c r="N2513" s="21" t="s">
        <v>2272</v>
      </c>
      <c r="O2513" s="21" t="s">
        <v>2272</v>
      </c>
      <c r="P2513" s="21" t="s">
        <v>2272</v>
      </c>
      <c r="Q2513" s="21" t="s">
        <v>2272</v>
      </c>
      <c r="R2513" s="21" t="s">
        <v>2272</v>
      </c>
      <c r="S2513" s="21" t="s">
        <v>2272</v>
      </c>
      <c r="T2513" s="21" t="s">
        <v>2272</v>
      </c>
      <c r="U2513" s="21" t="s">
        <v>2272</v>
      </c>
      <c r="V2513" s="21" t="s">
        <v>2272</v>
      </c>
      <c r="W2513" s="21" t="s">
        <v>2272</v>
      </c>
      <c r="X2513" s="21" t="s">
        <v>2272</v>
      </c>
      <c r="Y2513" s="21" t="s">
        <v>2272</v>
      </c>
      <c r="Z2513" s="21" t="s">
        <v>2272</v>
      </c>
      <c r="AA2513" s="4" t="s">
        <v>2272</v>
      </c>
      <c r="AB2513" s="4" t="s">
        <v>2272</v>
      </c>
      <c r="AC2513" s="4" t="s">
        <v>2272</v>
      </c>
      <c r="AD2513" s="4"/>
      <c r="AE2513" s="4"/>
    </row>
    <row r="2514" spans="1:31" ht="31" customHeight="1">
      <c r="A2514" s="4" t="s">
        <v>6407</v>
      </c>
      <c r="B2514" s="4" t="s">
        <v>6552</v>
      </c>
      <c r="C2514" s="4" t="s">
        <v>23</v>
      </c>
      <c r="D2514" s="4" t="s">
        <v>2654</v>
      </c>
      <c r="E2514" s="4" t="s">
        <v>2644</v>
      </c>
      <c r="F2514" s="4" t="s">
        <v>73</v>
      </c>
      <c r="G2514" s="4" t="s">
        <v>73</v>
      </c>
      <c r="H2514" s="4" t="s">
        <v>521</v>
      </c>
      <c r="I2514" s="4"/>
      <c r="J2514" s="21" t="s">
        <v>2272</v>
      </c>
      <c r="K2514" s="21" t="s">
        <v>2272</v>
      </c>
      <c r="L2514" s="21" t="s">
        <v>2272</v>
      </c>
      <c r="M2514" s="21" t="s">
        <v>2272</v>
      </c>
      <c r="N2514" s="21" t="s">
        <v>2272</v>
      </c>
      <c r="O2514" s="21" t="s">
        <v>2272</v>
      </c>
      <c r="P2514" s="21" t="s">
        <v>2272</v>
      </c>
      <c r="Q2514" s="21" t="s">
        <v>2272</v>
      </c>
      <c r="R2514" s="21" t="s">
        <v>2272</v>
      </c>
      <c r="S2514" s="21" t="s">
        <v>2272</v>
      </c>
      <c r="T2514" s="21" t="s">
        <v>2272</v>
      </c>
      <c r="U2514" s="21" t="s">
        <v>2272</v>
      </c>
      <c r="V2514" s="21" t="s">
        <v>2272</v>
      </c>
      <c r="W2514" s="21" t="s">
        <v>2272</v>
      </c>
      <c r="X2514" s="21" t="s">
        <v>2272</v>
      </c>
      <c r="Y2514" s="21" t="s">
        <v>2272</v>
      </c>
      <c r="Z2514" s="21" t="s">
        <v>2272</v>
      </c>
      <c r="AA2514" s="4" t="s">
        <v>2272</v>
      </c>
      <c r="AB2514" s="4" t="s">
        <v>2272</v>
      </c>
      <c r="AC2514" s="4" t="s">
        <v>2272</v>
      </c>
      <c r="AD2514" s="4"/>
      <c r="AE2514" s="4"/>
    </row>
    <row r="2515" spans="1:31" ht="31" customHeight="1">
      <c r="A2515" s="4" t="s">
        <v>6407</v>
      </c>
      <c r="B2515" s="4" t="s">
        <v>6590</v>
      </c>
      <c r="C2515" s="4" t="s">
        <v>23</v>
      </c>
      <c r="D2515" s="4" t="s">
        <v>1238</v>
      </c>
      <c r="E2515" s="4" t="s">
        <v>2644</v>
      </c>
      <c r="F2515" s="4" t="s">
        <v>73</v>
      </c>
      <c r="G2515" s="4" t="s">
        <v>73</v>
      </c>
      <c r="H2515" s="4" t="s">
        <v>521</v>
      </c>
      <c r="I2515" s="4"/>
      <c r="J2515" s="21" t="s">
        <v>2272</v>
      </c>
      <c r="K2515" s="21" t="s">
        <v>2272</v>
      </c>
      <c r="L2515" s="21" t="s">
        <v>2272</v>
      </c>
      <c r="M2515" s="21" t="s">
        <v>2272</v>
      </c>
      <c r="N2515" s="21" t="s">
        <v>2272</v>
      </c>
      <c r="O2515" s="21" t="s">
        <v>2272</v>
      </c>
      <c r="P2515" s="21" t="s">
        <v>2272</v>
      </c>
      <c r="Q2515" s="21" t="s">
        <v>2272</v>
      </c>
      <c r="R2515" s="21" t="s">
        <v>2272</v>
      </c>
      <c r="S2515" s="21" t="s">
        <v>2272</v>
      </c>
      <c r="T2515" s="21" t="s">
        <v>2272</v>
      </c>
      <c r="U2515" s="21" t="s">
        <v>2272</v>
      </c>
      <c r="V2515" s="21" t="s">
        <v>2272</v>
      </c>
      <c r="W2515" s="21" t="s">
        <v>2272</v>
      </c>
      <c r="X2515" s="21" t="s">
        <v>2272</v>
      </c>
      <c r="Y2515" s="21" t="s">
        <v>2272</v>
      </c>
      <c r="Z2515" s="21" t="s">
        <v>2272</v>
      </c>
      <c r="AA2515" s="21" t="s">
        <v>2272</v>
      </c>
      <c r="AB2515" s="21" t="s">
        <v>2272</v>
      </c>
      <c r="AC2515" s="21" t="s">
        <v>2272</v>
      </c>
      <c r="AD2515" s="4"/>
      <c r="AE2515" s="4"/>
    </row>
    <row r="2516" spans="1:31" ht="31" customHeight="1">
      <c r="A2516" s="4" t="s">
        <v>6408</v>
      </c>
      <c r="B2516" s="4" t="s">
        <v>6553</v>
      </c>
      <c r="C2516" s="4" t="s">
        <v>23</v>
      </c>
      <c r="D2516" s="4" t="s">
        <v>2654</v>
      </c>
      <c r="E2516" s="4" t="s">
        <v>2644</v>
      </c>
      <c r="F2516" s="4" t="s">
        <v>73</v>
      </c>
      <c r="G2516" s="4" t="s">
        <v>73</v>
      </c>
      <c r="H2516" s="4" t="s">
        <v>521</v>
      </c>
      <c r="I2516" s="4"/>
      <c r="J2516" s="21" t="s">
        <v>2272</v>
      </c>
      <c r="K2516" s="21" t="s">
        <v>2272</v>
      </c>
      <c r="L2516" s="21" t="s">
        <v>2272</v>
      </c>
      <c r="M2516" s="21" t="s">
        <v>2272</v>
      </c>
      <c r="N2516" s="21" t="s">
        <v>2272</v>
      </c>
      <c r="O2516" s="21" t="s">
        <v>2272</v>
      </c>
      <c r="P2516" s="21" t="s">
        <v>2272</v>
      </c>
      <c r="Q2516" s="21" t="s">
        <v>2272</v>
      </c>
      <c r="R2516" s="21" t="s">
        <v>2272</v>
      </c>
      <c r="S2516" s="21" t="s">
        <v>2272</v>
      </c>
      <c r="T2516" s="21" t="s">
        <v>2272</v>
      </c>
      <c r="U2516" s="21" t="s">
        <v>2272</v>
      </c>
      <c r="V2516" s="21" t="s">
        <v>2272</v>
      </c>
      <c r="W2516" s="21" t="s">
        <v>2272</v>
      </c>
      <c r="X2516" s="21" t="s">
        <v>2272</v>
      </c>
      <c r="Y2516" s="21" t="s">
        <v>2272</v>
      </c>
      <c r="Z2516" s="21" t="s">
        <v>2272</v>
      </c>
      <c r="AA2516" s="21" t="s">
        <v>2272</v>
      </c>
      <c r="AB2516" s="21" t="s">
        <v>2272</v>
      </c>
      <c r="AC2516" s="21" t="s">
        <v>2272</v>
      </c>
      <c r="AD2516" s="4"/>
      <c r="AE2516" s="4"/>
    </row>
    <row r="2517" spans="1:31" ht="31" customHeight="1">
      <c r="A2517" s="4" t="s">
        <v>6408</v>
      </c>
      <c r="B2517" s="4" t="s">
        <v>6593</v>
      </c>
      <c r="C2517" s="4" t="s">
        <v>23</v>
      </c>
      <c r="D2517" s="4" t="s">
        <v>1238</v>
      </c>
      <c r="E2517" s="4" t="s">
        <v>2644</v>
      </c>
      <c r="F2517" s="4" t="s">
        <v>73</v>
      </c>
      <c r="G2517" s="4" t="s">
        <v>73</v>
      </c>
      <c r="H2517" s="4" t="s">
        <v>521</v>
      </c>
      <c r="I2517" s="4"/>
      <c r="J2517" s="21" t="s">
        <v>2272</v>
      </c>
      <c r="K2517" s="21" t="s">
        <v>2272</v>
      </c>
      <c r="L2517" s="21" t="s">
        <v>2272</v>
      </c>
      <c r="M2517" s="21" t="s">
        <v>2272</v>
      </c>
      <c r="N2517" s="21" t="s">
        <v>2272</v>
      </c>
      <c r="O2517" s="21" t="s">
        <v>2272</v>
      </c>
      <c r="P2517" s="21" t="s">
        <v>2272</v>
      </c>
      <c r="Q2517" s="21" t="s">
        <v>2272</v>
      </c>
      <c r="R2517" s="21" t="s">
        <v>2272</v>
      </c>
      <c r="S2517" s="21" t="s">
        <v>2272</v>
      </c>
      <c r="T2517" s="21" t="s">
        <v>2272</v>
      </c>
      <c r="U2517" s="21" t="s">
        <v>2272</v>
      </c>
      <c r="V2517" s="21" t="s">
        <v>2272</v>
      </c>
      <c r="W2517" s="21" t="s">
        <v>2272</v>
      </c>
      <c r="X2517" s="21" t="s">
        <v>2272</v>
      </c>
      <c r="Y2517" s="21" t="s">
        <v>2272</v>
      </c>
      <c r="Z2517" s="21" t="s">
        <v>2272</v>
      </c>
      <c r="AA2517" s="21" t="s">
        <v>2272</v>
      </c>
      <c r="AB2517" s="21" t="s">
        <v>2272</v>
      </c>
      <c r="AC2517" s="21" t="s">
        <v>2272</v>
      </c>
      <c r="AD2517" s="4"/>
      <c r="AE2517" s="4"/>
    </row>
    <row r="2518" spans="1:31" ht="31" customHeight="1">
      <c r="A2518" s="4" t="s">
        <v>6409</v>
      </c>
      <c r="B2518" s="4" t="s">
        <v>6554</v>
      </c>
      <c r="C2518" s="4" t="s">
        <v>23</v>
      </c>
      <c r="D2518" s="4" t="s">
        <v>2654</v>
      </c>
      <c r="E2518" s="4" t="s">
        <v>2644</v>
      </c>
      <c r="F2518" s="4" t="s">
        <v>73</v>
      </c>
      <c r="G2518" s="4" t="s">
        <v>73</v>
      </c>
      <c r="H2518" s="4" t="s">
        <v>521</v>
      </c>
      <c r="I2518" s="4"/>
      <c r="J2518" s="21" t="s">
        <v>2272</v>
      </c>
      <c r="K2518" s="21" t="s">
        <v>2272</v>
      </c>
      <c r="L2518" s="21" t="s">
        <v>2272</v>
      </c>
      <c r="M2518" s="21" t="s">
        <v>2272</v>
      </c>
      <c r="N2518" s="21" t="s">
        <v>2272</v>
      </c>
      <c r="O2518" s="21" t="s">
        <v>2272</v>
      </c>
      <c r="P2518" s="21" t="s">
        <v>2272</v>
      </c>
      <c r="Q2518" s="21" t="s">
        <v>2272</v>
      </c>
      <c r="R2518" s="21" t="s">
        <v>2272</v>
      </c>
      <c r="S2518" s="21" t="s">
        <v>2272</v>
      </c>
      <c r="T2518" s="21" t="s">
        <v>2272</v>
      </c>
      <c r="U2518" s="21" t="s">
        <v>2272</v>
      </c>
      <c r="V2518" s="21" t="s">
        <v>2272</v>
      </c>
      <c r="W2518" s="21" t="s">
        <v>2272</v>
      </c>
      <c r="X2518" s="21" t="s">
        <v>2272</v>
      </c>
      <c r="Y2518" s="21" t="s">
        <v>2272</v>
      </c>
      <c r="Z2518" s="21" t="s">
        <v>2272</v>
      </c>
      <c r="AA2518" s="21" t="s">
        <v>2272</v>
      </c>
      <c r="AB2518" s="21" t="s">
        <v>2272</v>
      </c>
      <c r="AC2518" s="21" t="s">
        <v>2272</v>
      </c>
      <c r="AD2518" s="4"/>
      <c r="AE2518" s="4"/>
    </row>
    <row r="2519" spans="1:31" ht="31" customHeight="1">
      <c r="A2519" s="4" t="s">
        <v>6410</v>
      </c>
      <c r="B2519" s="4" t="s">
        <v>6555</v>
      </c>
      <c r="C2519" s="4" t="s">
        <v>23</v>
      </c>
      <c r="D2519" s="4" t="s">
        <v>2654</v>
      </c>
      <c r="E2519" s="4" t="s">
        <v>2644</v>
      </c>
      <c r="F2519" s="4" t="s">
        <v>73</v>
      </c>
      <c r="G2519" s="4" t="s">
        <v>73</v>
      </c>
      <c r="H2519" s="4" t="s">
        <v>521</v>
      </c>
      <c r="I2519" s="4"/>
      <c r="J2519" s="21" t="s">
        <v>2272</v>
      </c>
      <c r="K2519" s="21" t="s">
        <v>2272</v>
      </c>
      <c r="L2519" s="21" t="s">
        <v>2272</v>
      </c>
      <c r="M2519" s="21" t="s">
        <v>2272</v>
      </c>
      <c r="N2519" s="21" t="s">
        <v>2272</v>
      </c>
      <c r="O2519" s="21" t="s">
        <v>2272</v>
      </c>
      <c r="P2519" s="21" t="s">
        <v>2272</v>
      </c>
      <c r="Q2519" s="21" t="s">
        <v>2272</v>
      </c>
      <c r="R2519" s="21" t="s">
        <v>2272</v>
      </c>
      <c r="S2519" s="21" t="s">
        <v>2272</v>
      </c>
      <c r="T2519" s="21" t="s">
        <v>2272</v>
      </c>
      <c r="U2519" s="21" t="s">
        <v>2272</v>
      </c>
      <c r="V2519" s="21" t="s">
        <v>2272</v>
      </c>
      <c r="W2519" s="21" t="s">
        <v>2272</v>
      </c>
      <c r="X2519" s="21" t="s">
        <v>2272</v>
      </c>
      <c r="Y2519" s="21" t="s">
        <v>2272</v>
      </c>
      <c r="Z2519" s="21" t="s">
        <v>2272</v>
      </c>
      <c r="AA2519" s="21" t="s">
        <v>2272</v>
      </c>
      <c r="AB2519" s="21" t="s">
        <v>2272</v>
      </c>
      <c r="AC2519" s="21" t="s">
        <v>2272</v>
      </c>
      <c r="AD2519" s="4"/>
      <c r="AE2519" s="4"/>
    </row>
    <row r="2520" spans="1:31" ht="31" customHeight="1">
      <c r="A2520" s="4" t="s">
        <v>6556</v>
      </c>
      <c r="B2520" s="4" t="s">
        <v>6557</v>
      </c>
      <c r="C2520" s="4" t="s">
        <v>23</v>
      </c>
      <c r="D2520" s="4" t="s">
        <v>2654</v>
      </c>
      <c r="E2520" s="4" t="s">
        <v>2644</v>
      </c>
      <c r="F2520" s="4" t="s">
        <v>73</v>
      </c>
      <c r="G2520" s="4" t="s">
        <v>73</v>
      </c>
      <c r="H2520" s="4" t="s">
        <v>521</v>
      </c>
      <c r="I2520" s="4"/>
      <c r="J2520" s="21" t="s">
        <v>2272</v>
      </c>
      <c r="K2520" s="21" t="s">
        <v>2272</v>
      </c>
      <c r="L2520" s="21" t="s">
        <v>2272</v>
      </c>
      <c r="M2520" s="21" t="s">
        <v>2272</v>
      </c>
      <c r="N2520" s="21" t="s">
        <v>2272</v>
      </c>
      <c r="O2520" s="21" t="s">
        <v>2272</v>
      </c>
      <c r="P2520" s="21" t="s">
        <v>2272</v>
      </c>
      <c r="Q2520" s="21" t="s">
        <v>2272</v>
      </c>
      <c r="R2520" s="21" t="s">
        <v>2272</v>
      </c>
      <c r="S2520" s="21" t="s">
        <v>2272</v>
      </c>
      <c r="T2520" s="21" t="s">
        <v>2272</v>
      </c>
      <c r="U2520" s="21" t="s">
        <v>2272</v>
      </c>
      <c r="V2520" s="21" t="s">
        <v>2272</v>
      </c>
      <c r="W2520" s="21" t="s">
        <v>2272</v>
      </c>
      <c r="X2520" s="21" t="s">
        <v>2272</v>
      </c>
      <c r="Y2520" s="21" t="s">
        <v>2272</v>
      </c>
      <c r="Z2520" s="21" t="s">
        <v>2272</v>
      </c>
      <c r="AA2520" s="21" t="s">
        <v>2272</v>
      </c>
      <c r="AB2520" s="21" t="s">
        <v>2272</v>
      </c>
      <c r="AC2520" s="21" t="s">
        <v>2272</v>
      </c>
      <c r="AD2520" s="4"/>
      <c r="AE2520" s="4"/>
    </row>
    <row r="2521" spans="1:31" ht="31" customHeight="1">
      <c r="A2521" s="4" t="s">
        <v>6556</v>
      </c>
      <c r="B2521" s="4" t="s">
        <v>6598</v>
      </c>
      <c r="C2521" s="4" t="s">
        <v>23</v>
      </c>
      <c r="D2521" s="4" t="s">
        <v>1238</v>
      </c>
      <c r="E2521" s="4" t="s">
        <v>2644</v>
      </c>
      <c r="F2521" s="4" t="s">
        <v>73</v>
      </c>
      <c r="G2521" s="4" t="s">
        <v>73</v>
      </c>
      <c r="H2521" s="4" t="s">
        <v>521</v>
      </c>
      <c r="I2521" s="4"/>
      <c r="J2521" s="21" t="s">
        <v>2272</v>
      </c>
      <c r="K2521" s="21" t="s">
        <v>2272</v>
      </c>
      <c r="L2521" s="21" t="s">
        <v>2272</v>
      </c>
      <c r="M2521" s="21" t="s">
        <v>2272</v>
      </c>
      <c r="N2521" s="21" t="s">
        <v>2272</v>
      </c>
      <c r="O2521" s="21" t="s">
        <v>2272</v>
      </c>
      <c r="P2521" s="21" t="s">
        <v>2272</v>
      </c>
      <c r="Q2521" s="21" t="s">
        <v>2272</v>
      </c>
      <c r="R2521" s="21" t="s">
        <v>2272</v>
      </c>
      <c r="S2521" s="21" t="s">
        <v>2272</v>
      </c>
      <c r="T2521" s="21" t="s">
        <v>2272</v>
      </c>
      <c r="U2521" s="21" t="s">
        <v>2272</v>
      </c>
      <c r="V2521" s="21" t="s">
        <v>2272</v>
      </c>
      <c r="W2521" s="21" t="s">
        <v>2272</v>
      </c>
      <c r="X2521" s="21" t="s">
        <v>2272</v>
      </c>
      <c r="Y2521" s="21" t="s">
        <v>2272</v>
      </c>
      <c r="Z2521" s="21" t="s">
        <v>2272</v>
      </c>
      <c r="AA2521" s="21" t="s">
        <v>2272</v>
      </c>
      <c r="AB2521" s="21" t="s">
        <v>2272</v>
      </c>
      <c r="AC2521" s="21" t="s">
        <v>2272</v>
      </c>
      <c r="AD2521" s="4"/>
      <c r="AE2521" s="4"/>
    </row>
    <row r="2522" spans="1:31" ht="31" customHeight="1">
      <c r="A2522" s="4" t="s">
        <v>6411</v>
      </c>
      <c r="B2522" s="4" t="s">
        <v>6558</v>
      </c>
      <c r="C2522" s="4" t="s">
        <v>23</v>
      </c>
      <c r="D2522" s="4" t="s">
        <v>2654</v>
      </c>
      <c r="E2522" s="4" t="s">
        <v>2644</v>
      </c>
      <c r="F2522" s="4" t="s">
        <v>73</v>
      </c>
      <c r="G2522" s="4" t="s">
        <v>73</v>
      </c>
      <c r="H2522" s="4" t="s">
        <v>521</v>
      </c>
      <c r="I2522" s="4"/>
      <c r="J2522" s="21" t="s">
        <v>2272</v>
      </c>
      <c r="K2522" s="21" t="s">
        <v>2272</v>
      </c>
      <c r="L2522" s="21" t="s">
        <v>2272</v>
      </c>
      <c r="M2522" s="21" t="s">
        <v>2272</v>
      </c>
      <c r="N2522" s="21" t="s">
        <v>2272</v>
      </c>
      <c r="O2522" s="21" t="s">
        <v>2272</v>
      </c>
      <c r="P2522" s="21" t="s">
        <v>2272</v>
      </c>
      <c r="Q2522" s="21" t="s">
        <v>2272</v>
      </c>
      <c r="R2522" s="21" t="s">
        <v>2272</v>
      </c>
      <c r="S2522" s="21" t="s">
        <v>2272</v>
      </c>
      <c r="T2522" s="21" t="s">
        <v>2272</v>
      </c>
      <c r="U2522" s="21" t="s">
        <v>2272</v>
      </c>
      <c r="V2522" s="21" t="s">
        <v>2272</v>
      </c>
      <c r="W2522" s="21" t="s">
        <v>2272</v>
      </c>
      <c r="X2522" s="21" t="s">
        <v>2272</v>
      </c>
      <c r="Y2522" s="21" t="s">
        <v>2272</v>
      </c>
      <c r="Z2522" s="21" t="s">
        <v>2272</v>
      </c>
      <c r="AA2522" s="21" t="s">
        <v>2272</v>
      </c>
      <c r="AB2522" s="21" t="s">
        <v>2272</v>
      </c>
      <c r="AC2522" s="21" t="s">
        <v>2272</v>
      </c>
      <c r="AD2522" s="4"/>
      <c r="AE2522" s="4"/>
    </row>
    <row r="2523" spans="1:31" ht="31" customHeight="1">
      <c r="A2523" s="4" t="s">
        <v>6412</v>
      </c>
      <c r="B2523" s="4" t="s">
        <v>6559</v>
      </c>
      <c r="C2523" s="4" t="s">
        <v>23</v>
      </c>
      <c r="D2523" s="4" t="s">
        <v>2654</v>
      </c>
      <c r="E2523" s="4" t="s">
        <v>2644</v>
      </c>
      <c r="F2523" s="4" t="s">
        <v>73</v>
      </c>
      <c r="G2523" s="4" t="s">
        <v>73</v>
      </c>
      <c r="H2523" s="4" t="s">
        <v>521</v>
      </c>
      <c r="I2523" s="4"/>
      <c r="J2523" s="21" t="s">
        <v>2272</v>
      </c>
      <c r="K2523" s="21" t="s">
        <v>2272</v>
      </c>
      <c r="L2523" s="21" t="s">
        <v>2272</v>
      </c>
      <c r="M2523" s="21" t="s">
        <v>2272</v>
      </c>
      <c r="N2523" s="21" t="s">
        <v>2272</v>
      </c>
      <c r="O2523" s="21" t="s">
        <v>2272</v>
      </c>
      <c r="P2523" s="21" t="s">
        <v>2272</v>
      </c>
      <c r="Q2523" s="21" t="s">
        <v>2272</v>
      </c>
      <c r="R2523" s="21" t="s">
        <v>2272</v>
      </c>
      <c r="S2523" s="21" t="s">
        <v>2272</v>
      </c>
      <c r="T2523" s="21" t="s">
        <v>2272</v>
      </c>
      <c r="U2523" s="21" t="s">
        <v>2272</v>
      </c>
      <c r="V2523" s="21" t="s">
        <v>2272</v>
      </c>
      <c r="W2523" s="21" t="s">
        <v>2272</v>
      </c>
      <c r="X2523" s="21" t="s">
        <v>2272</v>
      </c>
      <c r="Y2523" s="21" t="s">
        <v>2272</v>
      </c>
      <c r="Z2523" s="21" t="s">
        <v>2272</v>
      </c>
      <c r="AA2523" s="21" t="s">
        <v>2272</v>
      </c>
      <c r="AB2523" s="21" t="s">
        <v>2272</v>
      </c>
      <c r="AC2523" s="21" t="s">
        <v>2272</v>
      </c>
      <c r="AD2523" s="4"/>
      <c r="AE2523" s="4"/>
    </row>
    <row r="2524" spans="1:31" ht="31" customHeight="1">
      <c r="A2524" s="4" t="s">
        <v>6413</v>
      </c>
      <c r="B2524" s="4" t="s">
        <v>6560</v>
      </c>
      <c r="C2524" s="4" t="s">
        <v>23</v>
      </c>
      <c r="D2524" s="4" t="s">
        <v>2654</v>
      </c>
      <c r="E2524" s="4" t="s">
        <v>2644</v>
      </c>
      <c r="F2524" s="4" t="s">
        <v>73</v>
      </c>
      <c r="G2524" s="4" t="s">
        <v>73</v>
      </c>
      <c r="H2524" s="4" t="s">
        <v>521</v>
      </c>
      <c r="I2524" s="4"/>
      <c r="J2524" s="21" t="s">
        <v>2272</v>
      </c>
      <c r="K2524" s="21" t="s">
        <v>2272</v>
      </c>
      <c r="L2524" s="21" t="s">
        <v>2272</v>
      </c>
      <c r="M2524" s="21" t="s">
        <v>2272</v>
      </c>
      <c r="N2524" s="21" t="s">
        <v>2272</v>
      </c>
      <c r="O2524" s="21" t="s">
        <v>2272</v>
      </c>
      <c r="P2524" s="21" t="s">
        <v>2272</v>
      </c>
      <c r="Q2524" s="21" t="s">
        <v>2272</v>
      </c>
      <c r="R2524" s="21" t="s">
        <v>2272</v>
      </c>
      <c r="S2524" s="21" t="s">
        <v>2272</v>
      </c>
      <c r="T2524" s="21" t="s">
        <v>2272</v>
      </c>
      <c r="U2524" s="21" t="s">
        <v>2272</v>
      </c>
      <c r="V2524" s="21" t="s">
        <v>2272</v>
      </c>
      <c r="W2524" s="21" t="s">
        <v>2272</v>
      </c>
      <c r="X2524" s="21" t="s">
        <v>2272</v>
      </c>
      <c r="Y2524" s="21" t="s">
        <v>2272</v>
      </c>
      <c r="Z2524" s="21" t="s">
        <v>2272</v>
      </c>
      <c r="AA2524" s="21" t="s">
        <v>2272</v>
      </c>
      <c r="AB2524" s="21" t="s">
        <v>2272</v>
      </c>
      <c r="AC2524" s="21" t="s">
        <v>2272</v>
      </c>
      <c r="AD2524" s="4"/>
      <c r="AE2524" s="4"/>
    </row>
    <row r="2525" spans="1:31" ht="31" customHeight="1">
      <c r="A2525" s="4" t="s">
        <v>6413</v>
      </c>
      <c r="B2525" s="4" t="s">
        <v>6602</v>
      </c>
      <c r="C2525" s="4" t="s">
        <v>23</v>
      </c>
      <c r="D2525" s="4" t="s">
        <v>1238</v>
      </c>
      <c r="E2525" s="4" t="s">
        <v>2644</v>
      </c>
      <c r="F2525" s="4" t="s">
        <v>73</v>
      </c>
      <c r="G2525" s="4" t="s">
        <v>73</v>
      </c>
      <c r="H2525" s="4" t="s">
        <v>521</v>
      </c>
      <c r="I2525" s="4"/>
      <c r="J2525" s="21" t="s">
        <v>2272</v>
      </c>
      <c r="K2525" s="21" t="s">
        <v>2272</v>
      </c>
      <c r="L2525" s="21" t="s">
        <v>2272</v>
      </c>
      <c r="M2525" s="21" t="s">
        <v>2272</v>
      </c>
      <c r="N2525" s="21" t="s">
        <v>2272</v>
      </c>
      <c r="O2525" s="21" t="s">
        <v>2272</v>
      </c>
      <c r="P2525" s="21" t="s">
        <v>2272</v>
      </c>
      <c r="Q2525" s="21" t="s">
        <v>2272</v>
      </c>
      <c r="R2525" s="21" t="s">
        <v>2272</v>
      </c>
      <c r="S2525" s="21" t="s">
        <v>2272</v>
      </c>
      <c r="T2525" s="21" t="s">
        <v>2272</v>
      </c>
      <c r="U2525" s="21" t="s">
        <v>2272</v>
      </c>
      <c r="V2525" s="21" t="s">
        <v>2272</v>
      </c>
      <c r="W2525" s="21" t="s">
        <v>2272</v>
      </c>
      <c r="X2525" s="21" t="s">
        <v>2272</v>
      </c>
      <c r="Y2525" s="21" t="s">
        <v>2272</v>
      </c>
      <c r="Z2525" s="21" t="s">
        <v>2272</v>
      </c>
      <c r="AA2525" s="21" t="s">
        <v>2272</v>
      </c>
      <c r="AB2525" s="21" t="s">
        <v>2272</v>
      </c>
      <c r="AC2525" s="21" t="s">
        <v>2272</v>
      </c>
      <c r="AD2525" s="4"/>
      <c r="AE2525" s="4"/>
    </row>
    <row r="2526" spans="1:31" ht="31" customHeight="1">
      <c r="A2526" s="4" t="s">
        <v>6414</v>
      </c>
      <c r="B2526" s="4" t="s">
        <v>6561</v>
      </c>
      <c r="C2526" s="4" t="s">
        <v>23</v>
      </c>
      <c r="D2526" s="4" t="s">
        <v>2654</v>
      </c>
      <c r="E2526" s="4" t="s">
        <v>2644</v>
      </c>
      <c r="F2526" s="4" t="s">
        <v>73</v>
      </c>
      <c r="G2526" s="4" t="s">
        <v>73</v>
      </c>
      <c r="H2526" s="4" t="s">
        <v>521</v>
      </c>
      <c r="I2526" s="4"/>
      <c r="J2526" s="198" t="s">
        <v>2272</v>
      </c>
      <c r="K2526" s="21" t="s">
        <v>2272</v>
      </c>
      <c r="L2526" s="21" t="s">
        <v>2272</v>
      </c>
      <c r="M2526" s="21" t="s">
        <v>2272</v>
      </c>
      <c r="N2526" s="21" t="s">
        <v>2272</v>
      </c>
      <c r="O2526" s="21" t="s">
        <v>2272</v>
      </c>
      <c r="P2526" s="21" t="s">
        <v>2272</v>
      </c>
      <c r="Q2526" s="21" t="s">
        <v>2272</v>
      </c>
      <c r="R2526" s="21" t="s">
        <v>2272</v>
      </c>
      <c r="S2526" s="21" t="s">
        <v>2272</v>
      </c>
      <c r="T2526" s="21" t="s">
        <v>2272</v>
      </c>
      <c r="U2526" s="21" t="s">
        <v>2272</v>
      </c>
      <c r="V2526" s="21" t="s">
        <v>2272</v>
      </c>
      <c r="W2526" s="21" t="s">
        <v>2272</v>
      </c>
      <c r="X2526" s="21" t="s">
        <v>2272</v>
      </c>
      <c r="Y2526" s="21" t="s">
        <v>2272</v>
      </c>
      <c r="Z2526" s="21" t="s">
        <v>2272</v>
      </c>
      <c r="AA2526" s="21" t="s">
        <v>2272</v>
      </c>
      <c r="AB2526" s="21" t="s">
        <v>2272</v>
      </c>
      <c r="AC2526" s="21" t="s">
        <v>2272</v>
      </c>
      <c r="AD2526" s="4"/>
      <c r="AE2526" s="4"/>
    </row>
    <row r="2527" spans="1:31" ht="31" customHeight="1">
      <c r="A2527" s="4" t="s">
        <v>6414</v>
      </c>
      <c r="B2527" s="4" t="s">
        <v>6604</v>
      </c>
      <c r="C2527" s="4" t="s">
        <v>23</v>
      </c>
      <c r="D2527" s="4" t="s">
        <v>1238</v>
      </c>
      <c r="E2527" s="4" t="s">
        <v>2644</v>
      </c>
      <c r="F2527" s="4" t="s">
        <v>73</v>
      </c>
      <c r="G2527" s="4" t="s">
        <v>73</v>
      </c>
      <c r="H2527" s="4" t="s">
        <v>521</v>
      </c>
      <c r="I2527" s="4"/>
      <c r="J2527" s="198" t="s">
        <v>2272</v>
      </c>
      <c r="K2527" s="21" t="s">
        <v>2272</v>
      </c>
      <c r="L2527" s="21" t="s">
        <v>2272</v>
      </c>
      <c r="M2527" s="21" t="s">
        <v>2272</v>
      </c>
      <c r="N2527" s="21" t="s">
        <v>2272</v>
      </c>
      <c r="O2527" s="21" t="s">
        <v>2272</v>
      </c>
      <c r="P2527" s="21" t="s">
        <v>2272</v>
      </c>
      <c r="Q2527" s="21" t="s">
        <v>2272</v>
      </c>
      <c r="R2527" s="21" t="s">
        <v>2272</v>
      </c>
      <c r="S2527" s="21" t="s">
        <v>2272</v>
      </c>
      <c r="T2527" s="21" t="s">
        <v>2272</v>
      </c>
      <c r="U2527" s="21" t="s">
        <v>2272</v>
      </c>
      <c r="V2527" s="21" t="s">
        <v>2272</v>
      </c>
      <c r="W2527" s="21" t="s">
        <v>2272</v>
      </c>
      <c r="X2527" s="21" t="s">
        <v>2272</v>
      </c>
      <c r="Y2527" s="21" t="s">
        <v>2272</v>
      </c>
      <c r="Z2527" s="21" t="s">
        <v>2272</v>
      </c>
      <c r="AA2527" s="21" t="s">
        <v>2272</v>
      </c>
      <c r="AB2527" s="21" t="s">
        <v>2272</v>
      </c>
      <c r="AC2527" s="21" t="s">
        <v>2272</v>
      </c>
      <c r="AD2527" s="4"/>
      <c r="AE2527" s="4"/>
    </row>
    <row r="2528" spans="1:31" ht="38" customHeight="1">
      <c r="A2528" s="4" t="s">
        <v>6415</v>
      </c>
      <c r="B2528" s="4" t="s">
        <v>6562</v>
      </c>
      <c r="C2528" s="4" t="s">
        <v>2453</v>
      </c>
      <c r="D2528" s="4" t="s">
        <v>2272</v>
      </c>
      <c r="E2528" s="4" t="s">
        <v>2647</v>
      </c>
      <c r="F2528" s="4" t="s">
        <v>73</v>
      </c>
      <c r="G2528" s="4" t="s">
        <v>73</v>
      </c>
      <c r="H2528" s="4" t="s">
        <v>521</v>
      </c>
      <c r="I2528" s="4"/>
      <c r="J2528" s="198" t="s">
        <v>2272</v>
      </c>
      <c r="K2528" s="189">
        <v>1.1627906976744187E-5</v>
      </c>
      <c r="L2528" s="21" t="s">
        <v>2272</v>
      </c>
      <c r="M2528" s="21" t="s">
        <v>2272</v>
      </c>
      <c r="N2528" s="21" t="s">
        <v>2272</v>
      </c>
      <c r="O2528" s="21" t="s">
        <v>2272</v>
      </c>
      <c r="P2528" s="21" t="s">
        <v>2272</v>
      </c>
      <c r="Q2528" s="71">
        <f>U2528/(23/16)</f>
        <v>2268.4310018903593</v>
      </c>
      <c r="R2528" s="21" t="s">
        <v>2272</v>
      </c>
      <c r="S2528" s="21" t="s">
        <v>2272</v>
      </c>
      <c r="T2528" s="21" t="s">
        <v>2272</v>
      </c>
      <c r="U2528" s="71">
        <f>150000/46</f>
        <v>3260.8695652173915</v>
      </c>
      <c r="V2528" s="21" t="s">
        <v>2272</v>
      </c>
      <c r="W2528" s="21" t="s">
        <v>2272</v>
      </c>
      <c r="X2528" s="21" t="s">
        <v>2272</v>
      </c>
      <c r="Y2528" s="71">
        <f>U2528/'Record info'!K$1058</f>
        <v>7.583417593528817E-2</v>
      </c>
      <c r="Z2528" s="21" t="s">
        <v>2272</v>
      </c>
      <c r="AA2528" s="4" t="s">
        <v>187</v>
      </c>
      <c r="AB2528" s="4" t="s">
        <v>67</v>
      </c>
      <c r="AC2528" s="4" t="s">
        <v>2272</v>
      </c>
      <c r="AD2528" s="4" t="s">
        <v>6532</v>
      </c>
      <c r="AE2528" s="4"/>
    </row>
    <row r="2529" spans="1:31" ht="38" customHeight="1">
      <c r="A2529" s="4" t="s">
        <v>6415</v>
      </c>
      <c r="B2529" s="4" t="s">
        <v>6563</v>
      </c>
      <c r="C2529" s="4" t="s">
        <v>2651</v>
      </c>
      <c r="D2529" s="4" t="s">
        <v>2272</v>
      </c>
      <c r="E2529" s="4" t="s">
        <v>135</v>
      </c>
      <c r="F2529" s="4" t="s">
        <v>73</v>
      </c>
      <c r="G2529" s="4" t="s">
        <v>73</v>
      </c>
      <c r="H2529" s="4" t="s">
        <v>521</v>
      </c>
      <c r="I2529" s="4"/>
      <c r="J2529" s="198" t="s">
        <v>2272</v>
      </c>
      <c r="K2529" s="21" t="s">
        <v>2272</v>
      </c>
      <c r="L2529" s="21" t="s">
        <v>2272</v>
      </c>
      <c r="M2529" s="21" t="s">
        <v>2272</v>
      </c>
      <c r="N2529" s="21" t="s">
        <v>2272</v>
      </c>
      <c r="O2529" s="21" t="s">
        <v>2272</v>
      </c>
      <c r="P2529" s="21" t="s">
        <v>2272</v>
      </c>
      <c r="Q2529" s="71">
        <f>U2529/(518/16)</f>
        <v>2283.0283699848915</v>
      </c>
      <c r="R2529" s="21" t="s">
        <v>2272</v>
      </c>
      <c r="S2529" s="21" t="s">
        <v>2272</v>
      </c>
      <c r="T2529" s="21" t="s">
        <v>2272</v>
      </c>
      <c r="U2529" s="71">
        <f>3400000/46</f>
        <v>73913.043478260865</v>
      </c>
      <c r="V2529" s="21" t="s">
        <v>2272</v>
      </c>
      <c r="W2529" s="21" t="s">
        <v>2272</v>
      </c>
      <c r="X2529" s="21" t="s">
        <v>2272</v>
      </c>
      <c r="Y2529" s="71">
        <f>U2529/'Record info'!K$1058</f>
        <v>1.7189079878665317</v>
      </c>
      <c r="Z2529" s="21" t="s">
        <v>2272</v>
      </c>
      <c r="AA2529" s="4" t="s">
        <v>187</v>
      </c>
      <c r="AB2529" s="4" t="s">
        <v>67</v>
      </c>
      <c r="AC2529" s="4" t="s">
        <v>2272</v>
      </c>
      <c r="AD2529" s="4" t="s">
        <v>6532</v>
      </c>
      <c r="AE2529" s="4"/>
    </row>
    <row r="2530" spans="1:31" ht="49" customHeight="1">
      <c r="A2530" s="4" t="s">
        <v>6415</v>
      </c>
      <c r="B2530" s="4" t="s">
        <v>7845</v>
      </c>
      <c r="C2530" s="4" t="s">
        <v>1102</v>
      </c>
      <c r="D2530" s="4" t="s">
        <v>2272</v>
      </c>
      <c r="E2530" s="4" t="s">
        <v>1102</v>
      </c>
      <c r="F2530" s="4" t="s">
        <v>73</v>
      </c>
      <c r="G2530" s="4" t="s">
        <v>73</v>
      </c>
      <c r="H2530" s="4" t="s">
        <v>521</v>
      </c>
      <c r="I2530" s="4"/>
      <c r="J2530" s="198" t="s">
        <v>2272</v>
      </c>
      <c r="K2530" s="21" t="s">
        <v>2272</v>
      </c>
      <c r="L2530" s="198" t="s">
        <v>2272</v>
      </c>
      <c r="M2530" s="198" t="s">
        <v>2272</v>
      </c>
      <c r="N2530" s="198" t="s">
        <v>2272</v>
      </c>
      <c r="O2530" s="198" t="s">
        <v>2272</v>
      </c>
      <c r="P2530" s="198" t="s">
        <v>2272</v>
      </c>
      <c r="Q2530" s="198" t="s">
        <v>2272</v>
      </c>
      <c r="R2530" s="198" t="s">
        <v>2272</v>
      </c>
      <c r="S2530" s="198" t="s">
        <v>2272</v>
      </c>
      <c r="T2530" s="198" t="s">
        <v>2272</v>
      </c>
      <c r="U2530" s="198" t="s">
        <v>2272</v>
      </c>
      <c r="V2530" s="198" t="s">
        <v>2272</v>
      </c>
      <c r="W2530" s="198" t="s">
        <v>2272</v>
      </c>
      <c r="X2530" s="198" t="s">
        <v>2272</v>
      </c>
      <c r="Y2530" s="198" t="s">
        <v>2272</v>
      </c>
      <c r="Z2530" s="198" t="s">
        <v>2272</v>
      </c>
      <c r="AA2530" s="4" t="s">
        <v>187</v>
      </c>
      <c r="AB2530" s="4" t="s">
        <v>67</v>
      </c>
      <c r="AC2530" s="4" t="s">
        <v>2272</v>
      </c>
      <c r="AD2530" s="4" t="s">
        <v>7848</v>
      </c>
      <c r="AE2530" s="4" t="s">
        <v>7847</v>
      </c>
    </row>
    <row r="2531" spans="1:31" ht="38" customHeight="1">
      <c r="A2531" s="4" t="s">
        <v>6416</v>
      </c>
      <c r="B2531" s="4" t="s">
        <v>6606</v>
      </c>
      <c r="C2531" s="4" t="s">
        <v>2453</v>
      </c>
      <c r="D2531" s="4" t="s">
        <v>2272</v>
      </c>
      <c r="E2531" s="4" t="s">
        <v>2644</v>
      </c>
      <c r="F2531" s="4" t="s">
        <v>73</v>
      </c>
      <c r="G2531" s="4" t="s">
        <v>73</v>
      </c>
      <c r="H2531" s="4" t="s">
        <v>521</v>
      </c>
      <c r="I2531" s="4"/>
      <c r="J2531" s="198" t="s">
        <v>2272</v>
      </c>
      <c r="K2531" s="215">
        <v>1.4639515685195377E-4</v>
      </c>
      <c r="L2531" s="198" t="s">
        <v>2272</v>
      </c>
      <c r="M2531" s="198" t="s">
        <v>2272</v>
      </c>
      <c r="N2531" s="198" t="s">
        <v>2272</v>
      </c>
      <c r="O2531" s="198" t="s">
        <v>2272</v>
      </c>
      <c r="P2531" s="198" t="s">
        <v>2272</v>
      </c>
      <c r="Q2531" s="71">
        <f>U2531/(532/46)</f>
        <v>4191.729323308271</v>
      </c>
      <c r="R2531" s="198" t="s">
        <v>2272</v>
      </c>
      <c r="S2531" s="198" t="s">
        <v>2272</v>
      </c>
      <c r="T2531" s="198" t="s">
        <v>2272</v>
      </c>
      <c r="U2531" s="71">
        <f>2230000/46</f>
        <v>48478.260869565216</v>
      </c>
      <c r="V2531" s="198" t="s">
        <v>2272</v>
      </c>
      <c r="W2531" s="198" t="s">
        <v>2272</v>
      </c>
      <c r="X2531" s="198" t="s">
        <v>2272</v>
      </c>
      <c r="Y2531" s="71">
        <f>U2531/'Record info'!K$1059</f>
        <v>0.61364887176664829</v>
      </c>
      <c r="Z2531" s="198" t="s">
        <v>2272</v>
      </c>
      <c r="AA2531" s="4" t="s">
        <v>187</v>
      </c>
      <c r="AB2531" s="4" t="s">
        <v>67</v>
      </c>
      <c r="AC2531" s="4" t="s">
        <v>2272</v>
      </c>
      <c r="AD2531" s="4" t="s">
        <v>6532</v>
      </c>
      <c r="AE2531" s="4"/>
    </row>
    <row r="2532" spans="1:31" ht="38" customHeight="1">
      <c r="A2532" s="4" t="s">
        <v>6416</v>
      </c>
      <c r="B2532" s="4" t="s">
        <v>6607</v>
      </c>
      <c r="C2532" s="4" t="s">
        <v>2651</v>
      </c>
      <c r="D2532" s="4" t="s">
        <v>2272</v>
      </c>
      <c r="E2532" s="4" t="s">
        <v>2644</v>
      </c>
      <c r="F2532" s="4" t="s">
        <v>73</v>
      </c>
      <c r="G2532" s="4" t="s">
        <v>73</v>
      </c>
      <c r="H2532" s="4" t="s">
        <v>521</v>
      </c>
      <c r="I2532" s="4"/>
      <c r="J2532" s="21" t="s">
        <v>2272</v>
      </c>
      <c r="K2532" s="21" t="s">
        <v>2272</v>
      </c>
      <c r="L2532" s="198" t="s">
        <v>2272</v>
      </c>
      <c r="M2532" s="198" t="s">
        <v>2272</v>
      </c>
      <c r="N2532" s="198" t="s">
        <v>2272</v>
      </c>
      <c r="O2532" s="198" t="s">
        <v>2272</v>
      </c>
      <c r="P2532" s="198" t="s">
        <v>2272</v>
      </c>
      <c r="Q2532" s="71">
        <f>U2532/(614/46)</f>
        <v>3257.328990228013</v>
      </c>
      <c r="R2532" s="198" t="s">
        <v>2272</v>
      </c>
      <c r="S2532" s="198" t="s">
        <v>2272</v>
      </c>
      <c r="T2532" s="198" t="s">
        <v>2272</v>
      </c>
      <c r="U2532" s="71">
        <f>2000000/46</f>
        <v>43478.260869565216</v>
      </c>
      <c r="V2532" s="198" t="s">
        <v>2272</v>
      </c>
      <c r="W2532" s="198" t="s">
        <v>2272</v>
      </c>
      <c r="X2532" s="198" t="s">
        <v>2272</v>
      </c>
      <c r="Y2532" s="71">
        <f>U2532/'Record info'!K$1059</f>
        <v>0.55035773252614195</v>
      </c>
      <c r="Z2532" s="198" t="s">
        <v>2272</v>
      </c>
      <c r="AA2532" s="4" t="s">
        <v>187</v>
      </c>
      <c r="AB2532" s="4" t="s">
        <v>67</v>
      </c>
      <c r="AC2532" s="4" t="s">
        <v>2272</v>
      </c>
      <c r="AD2532" s="4" t="s">
        <v>6532</v>
      </c>
      <c r="AE2532" s="4"/>
    </row>
    <row r="2533" spans="1:31" ht="44.5" customHeight="1">
      <c r="A2533" s="4" t="s">
        <v>6416</v>
      </c>
      <c r="B2533" s="4" t="s">
        <v>7846</v>
      </c>
      <c r="C2533" s="4" t="s">
        <v>1102</v>
      </c>
      <c r="D2533" s="4" t="s">
        <v>2272</v>
      </c>
      <c r="E2533" s="4" t="s">
        <v>1102</v>
      </c>
      <c r="F2533" s="4" t="s">
        <v>73</v>
      </c>
      <c r="G2533" s="4" t="s">
        <v>73</v>
      </c>
      <c r="H2533" s="4" t="s">
        <v>521</v>
      </c>
      <c r="I2533" s="198"/>
      <c r="J2533" s="198" t="s">
        <v>2272</v>
      </c>
      <c r="K2533" s="198" t="s">
        <v>2272</v>
      </c>
      <c r="L2533" s="198" t="s">
        <v>2272</v>
      </c>
      <c r="M2533" s="198" t="s">
        <v>2272</v>
      </c>
      <c r="N2533" s="198" t="s">
        <v>2272</v>
      </c>
      <c r="O2533" s="198" t="s">
        <v>2272</v>
      </c>
      <c r="P2533" s="198" t="s">
        <v>2272</v>
      </c>
      <c r="Q2533" s="198" t="s">
        <v>2272</v>
      </c>
      <c r="R2533" s="198" t="s">
        <v>2272</v>
      </c>
      <c r="S2533" s="198" t="s">
        <v>2272</v>
      </c>
      <c r="T2533" s="198" t="s">
        <v>2272</v>
      </c>
      <c r="U2533" s="198" t="s">
        <v>2272</v>
      </c>
      <c r="V2533" s="198" t="s">
        <v>2272</v>
      </c>
      <c r="W2533" s="198" t="s">
        <v>2272</v>
      </c>
      <c r="X2533" s="198" t="s">
        <v>2272</v>
      </c>
      <c r="Y2533" s="198" t="s">
        <v>2272</v>
      </c>
      <c r="Z2533" s="198" t="s">
        <v>2272</v>
      </c>
      <c r="AA2533" s="4" t="s">
        <v>187</v>
      </c>
      <c r="AB2533" s="4" t="s">
        <v>67</v>
      </c>
      <c r="AC2533" s="4" t="s">
        <v>2272</v>
      </c>
      <c r="AD2533" s="4" t="s">
        <v>7848</v>
      </c>
      <c r="AE2533" s="4" t="s">
        <v>7847</v>
      </c>
    </row>
    <row r="2534" spans="1:31" ht="34" customHeight="1">
      <c r="A2534" s="4" t="s">
        <v>6417</v>
      </c>
      <c r="B2534" s="4" t="s">
        <v>6564</v>
      </c>
      <c r="C2534" s="4" t="s">
        <v>1102</v>
      </c>
      <c r="D2534" s="4" t="s">
        <v>2272</v>
      </c>
      <c r="E2534" s="4" t="s">
        <v>2644</v>
      </c>
      <c r="F2534" s="4" t="s">
        <v>73</v>
      </c>
      <c r="G2534" s="4" t="s">
        <v>73</v>
      </c>
      <c r="H2534" s="4" t="s">
        <v>521</v>
      </c>
      <c r="I2534" s="4">
        <v>1989</v>
      </c>
      <c r="J2534" s="198" t="s">
        <v>2272</v>
      </c>
      <c r="K2534" s="198" t="s">
        <v>2272</v>
      </c>
      <c r="L2534" s="198" t="s">
        <v>2272</v>
      </c>
      <c r="M2534" s="198" t="s">
        <v>2272</v>
      </c>
      <c r="N2534" s="198" t="s">
        <v>2272</v>
      </c>
      <c r="O2534" s="198" t="s">
        <v>2272</v>
      </c>
      <c r="P2534" s="198" t="s">
        <v>2272</v>
      </c>
      <c r="Q2534" s="198" t="s">
        <v>2272</v>
      </c>
      <c r="R2534" s="198" t="s">
        <v>2272</v>
      </c>
      <c r="S2534" s="198" t="s">
        <v>2272</v>
      </c>
      <c r="T2534" s="198" t="s">
        <v>2272</v>
      </c>
      <c r="U2534" s="71">
        <v>92285</v>
      </c>
      <c r="V2534" s="198" t="s">
        <v>2272</v>
      </c>
      <c r="W2534" s="198" t="s">
        <v>2272</v>
      </c>
      <c r="X2534" s="198" t="s">
        <v>2272</v>
      </c>
      <c r="Y2534" s="71">
        <v>14.448880538594018</v>
      </c>
      <c r="Z2534" s="198" t="s">
        <v>2272</v>
      </c>
      <c r="AA2534" s="4" t="s">
        <v>2272</v>
      </c>
      <c r="AB2534" s="4" t="s">
        <v>2272</v>
      </c>
      <c r="AC2534" s="4" t="s">
        <v>2272</v>
      </c>
      <c r="AD2534" s="4"/>
      <c r="AE2534" s="4"/>
    </row>
    <row r="2535" spans="1:31" ht="34" customHeight="1">
      <c r="A2535" s="4" t="s">
        <v>6417</v>
      </c>
      <c r="B2535" s="4" t="s">
        <v>6565</v>
      </c>
      <c r="C2535" s="4" t="s">
        <v>1102</v>
      </c>
      <c r="D2535" s="4" t="s">
        <v>2272</v>
      </c>
      <c r="E2535" s="4" t="s">
        <v>2644</v>
      </c>
      <c r="F2535" s="4" t="s">
        <v>73</v>
      </c>
      <c r="G2535" s="4" t="s">
        <v>73</v>
      </c>
      <c r="H2535" s="4" t="s">
        <v>521</v>
      </c>
      <c r="I2535" s="4">
        <v>1990</v>
      </c>
      <c r="J2535" s="198" t="s">
        <v>2272</v>
      </c>
      <c r="K2535" s="198" t="s">
        <v>2272</v>
      </c>
      <c r="L2535" s="198" t="s">
        <v>2272</v>
      </c>
      <c r="M2535" s="198" t="s">
        <v>2272</v>
      </c>
      <c r="N2535" s="198" t="s">
        <v>2272</v>
      </c>
      <c r="O2535" s="198" t="s">
        <v>2272</v>
      </c>
      <c r="P2535" s="198" t="s">
        <v>2272</v>
      </c>
      <c r="Q2535" s="198" t="s">
        <v>2272</v>
      </c>
      <c r="R2535" s="198" t="s">
        <v>2272</v>
      </c>
      <c r="S2535" s="198" t="s">
        <v>2272</v>
      </c>
      <c r="T2535" s="198" t="s">
        <v>2272</v>
      </c>
      <c r="U2535" s="71">
        <v>51141</v>
      </c>
      <c r="V2535" s="198" t="s">
        <v>2272</v>
      </c>
      <c r="W2535" s="198" t="s">
        <v>2272</v>
      </c>
      <c r="X2535" s="198" t="s">
        <v>2272</v>
      </c>
      <c r="Y2535" s="71">
        <v>8.0070455612963833</v>
      </c>
      <c r="Z2535" s="198" t="s">
        <v>2272</v>
      </c>
      <c r="AA2535" s="4" t="s">
        <v>2272</v>
      </c>
      <c r="AB2535" s="4" t="s">
        <v>2272</v>
      </c>
      <c r="AC2535" s="4" t="s">
        <v>2272</v>
      </c>
      <c r="AD2535" s="4"/>
      <c r="AE2535" s="4"/>
    </row>
    <row r="2536" spans="1:31" ht="34" customHeight="1">
      <c r="A2536" s="4" t="s">
        <v>6417</v>
      </c>
      <c r="B2536" s="4" t="s">
        <v>6566</v>
      </c>
      <c r="C2536" s="4" t="s">
        <v>1102</v>
      </c>
      <c r="D2536" s="4" t="s">
        <v>2272</v>
      </c>
      <c r="E2536" s="4" t="s">
        <v>2644</v>
      </c>
      <c r="F2536" s="4" t="s">
        <v>73</v>
      </c>
      <c r="G2536" s="4" t="s">
        <v>73</v>
      </c>
      <c r="H2536" s="4" t="s">
        <v>521</v>
      </c>
      <c r="I2536" s="4">
        <v>1991</v>
      </c>
      <c r="J2536" s="198" t="s">
        <v>2272</v>
      </c>
      <c r="K2536" s="198" t="s">
        <v>2272</v>
      </c>
      <c r="L2536" s="198" t="s">
        <v>2272</v>
      </c>
      <c r="M2536" s="198" t="s">
        <v>2272</v>
      </c>
      <c r="N2536" s="198" t="s">
        <v>2272</v>
      </c>
      <c r="O2536" s="198" t="s">
        <v>2272</v>
      </c>
      <c r="P2536" s="198" t="s">
        <v>2272</v>
      </c>
      <c r="Q2536" s="198" t="s">
        <v>2272</v>
      </c>
      <c r="R2536" s="198" t="s">
        <v>2272</v>
      </c>
      <c r="S2536" s="198" t="s">
        <v>2272</v>
      </c>
      <c r="T2536" s="198" t="s">
        <v>2272</v>
      </c>
      <c r="U2536" s="71">
        <v>42741</v>
      </c>
      <c r="V2536" s="198" t="s">
        <v>2272</v>
      </c>
      <c r="W2536" s="198" t="s">
        <v>2272</v>
      </c>
      <c r="X2536" s="198" t="s">
        <v>2272</v>
      </c>
      <c r="Y2536" s="71">
        <v>6.6918741193048383</v>
      </c>
      <c r="Z2536" s="198" t="s">
        <v>2272</v>
      </c>
      <c r="AA2536" s="4" t="s">
        <v>2272</v>
      </c>
      <c r="AB2536" s="4" t="s">
        <v>2272</v>
      </c>
      <c r="AC2536" s="4" t="s">
        <v>2272</v>
      </c>
      <c r="AD2536" s="4"/>
      <c r="AE2536" s="4"/>
    </row>
    <row r="2537" spans="1:31" ht="34" customHeight="1">
      <c r="A2537" s="4" t="s">
        <v>6418</v>
      </c>
      <c r="B2537" s="4" t="s">
        <v>6567</v>
      </c>
      <c r="C2537" s="4" t="s">
        <v>23</v>
      </c>
      <c r="D2537" s="4" t="s">
        <v>1238</v>
      </c>
      <c r="E2537" s="4" t="s">
        <v>2644</v>
      </c>
      <c r="F2537" s="4" t="s">
        <v>73</v>
      </c>
      <c r="G2537" s="4" t="s">
        <v>73</v>
      </c>
      <c r="H2537" s="4" t="s">
        <v>521</v>
      </c>
      <c r="I2537" s="4"/>
      <c r="J2537" s="198" t="s">
        <v>2272</v>
      </c>
      <c r="K2537" s="71">
        <f>$U2537/$Q2537/'Record info'!$K1061</f>
        <v>1.4983277591973246E-2</v>
      </c>
      <c r="L2537" s="198" t="s">
        <v>2272</v>
      </c>
      <c r="M2537" s="71">
        <v>0.2</v>
      </c>
      <c r="N2537" s="198" t="s">
        <v>2272</v>
      </c>
      <c r="O2537" s="71">
        <v>152</v>
      </c>
      <c r="P2537" s="198" t="s">
        <v>2272</v>
      </c>
      <c r="Q2537" s="71">
        <v>25</v>
      </c>
      <c r="R2537" s="198" t="s">
        <v>2272</v>
      </c>
      <c r="S2537" s="198" t="s">
        <v>2272</v>
      </c>
      <c r="T2537" s="198" t="s">
        <v>2272</v>
      </c>
      <c r="U2537" s="71">
        <f>11200/50</f>
        <v>224</v>
      </c>
      <c r="V2537" s="198" t="s">
        <v>2272</v>
      </c>
      <c r="W2537" s="198" t="s">
        <v>2272</v>
      </c>
      <c r="X2537" s="198" t="s">
        <v>2272</v>
      </c>
      <c r="Y2537" s="71">
        <f>18.7/50</f>
        <v>0.374</v>
      </c>
      <c r="Z2537" s="198" t="s">
        <v>2272</v>
      </c>
      <c r="AA2537" s="4" t="s">
        <v>33</v>
      </c>
      <c r="AB2537" s="4" t="s">
        <v>403</v>
      </c>
      <c r="AC2537" s="4" t="s">
        <v>63</v>
      </c>
      <c r="AD2537" s="4"/>
      <c r="AE2537" s="4" t="s">
        <v>6533</v>
      </c>
    </row>
    <row r="2538" spans="1:31" ht="34" customHeight="1">
      <c r="A2538" s="4" t="s">
        <v>6419</v>
      </c>
      <c r="B2538" s="4" t="s">
        <v>6568</v>
      </c>
      <c r="C2538" s="4" t="s">
        <v>23</v>
      </c>
      <c r="D2538" s="4" t="s">
        <v>1238</v>
      </c>
      <c r="E2538" s="4" t="s">
        <v>2644</v>
      </c>
      <c r="F2538" s="4" t="s">
        <v>73</v>
      </c>
      <c r="G2538" s="4" t="s">
        <v>73</v>
      </c>
      <c r="H2538" s="4" t="s">
        <v>521</v>
      </c>
      <c r="I2538" s="4"/>
      <c r="J2538" s="198" t="s">
        <v>2272</v>
      </c>
      <c r="K2538" s="215">
        <f>466/5/'Record info'!K$1062</f>
        <v>3.0521351847000264E-4</v>
      </c>
      <c r="L2538" s="198" t="s">
        <v>2272</v>
      </c>
      <c r="M2538" s="198" t="s">
        <v>2272</v>
      </c>
      <c r="N2538" s="198" t="s">
        <v>2272</v>
      </c>
      <c r="O2538" s="198" t="s">
        <v>2272</v>
      </c>
      <c r="P2538" s="198" t="s">
        <v>2272</v>
      </c>
      <c r="Q2538" s="71">
        <v>12</v>
      </c>
      <c r="R2538" s="198" t="s">
        <v>2272</v>
      </c>
      <c r="S2538" s="71">
        <v>7.5</v>
      </c>
      <c r="T2538" s="198" t="s">
        <v>2272</v>
      </c>
      <c r="U2538" s="71">
        <v>6141</v>
      </c>
      <c r="V2538" s="198" t="s">
        <v>2272</v>
      </c>
      <c r="W2538" s="198" t="s">
        <v>2272</v>
      </c>
      <c r="X2538" s="198" t="s">
        <v>2272</v>
      </c>
      <c r="Y2538" s="71">
        <f>$U2538/'Record info'!$K1062</f>
        <v>2.0110689022792769E-2</v>
      </c>
      <c r="Z2538" s="198" t="s">
        <v>2272</v>
      </c>
      <c r="AA2538" s="4" t="s">
        <v>2272</v>
      </c>
      <c r="AB2538" s="4" t="s">
        <v>2272</v>
      </c>
      <c r="AC2538" s="4" t="s">
        <v>2272</v>
      </c>
      <c r="AD2538" s="4"/>
      <c r="AE2538" s="4"/>
    </row>
    <row r="2539" spans="1:31" ht="34" customHeight="1">
      <c r="A2539" s="4" t="s">
        <v>6419</v>
      </c>
      <c r="B2539" s="4" t="s">
        <v>6569</v>
      </c>
      <c r="C2539" s="4" t="s">
        <v>2651</v>
      </c>
      <c r="D2539" s="4" t="s">
        <v>2272</v>
      </c>
      <c r="E2539" s="4" t="s">
        <v>2644</v>
      </c>
      <c r="F2539" s="4" t="s">
        <v>73</v>
      </c>
      <c r="G2539" s="4" t="s">
        <v>73</v>
      </c>
      <c r="H2539" s="4" t="s">
        <v>521</v>
      </c>
      <c r="I2539" s="4"/>
      <c r="J2539" s="198" t="s">
        <v>2272</v>
      </c>
      <c r="K2539" s="71">
        <f>900/5/'Record info'!K$1062</f>
        <v>5.8946816871888923E-4</v>
      </c>
      <c r="L2539" s="198" t="s">
        <v>2272</v>
      </c>
      <c r="M2539" s="198" t="s">
        <v>2272</v>
      </c>
      <c r="N2539" s="198" t="s">
        <v>2272</v>
      </c>
      <c r="O2539" s="198" t="s">
        <v>2272</v>
      </c>
      <c r="P2539" s="198" t="s">
        <v>2272</v>
      </c>
      <c r="Q2539" s="71">
        <v>3.5</v>
      </c>
      <c r="R2539" s="198" t="s">
        <v>2272</v>
      </c>
      <c r="S2539" s="71">
        <v>1</v>
      </c>
      <c r="T2539" s="198" t="s">
        <v>2272</v>
      </c>
      <c r="U2539" s="71">
        <v>14301</v>
      </c>
      <c r="V2539" s="198" t="s">
        <v>2272</v>
      </c>
      <c r="W2539" s="198" t="s">
        <v>2272</v>
      </c>
      <c r="X2539" s="198" t="s">
        <v>2272</v>
      </c>
      <c r="Y2539" s="71">
        <f>$U2539/'Record info'!$K1062</f>
        <v>4.6833246004715744E-2</v>
      </c>
      <c r="Z2539" s="198" t="s">
        <v>2272</v>
      </c>
      <c r="AA2539" s="4" t="s">
        <v>2272</v>
      </c>
      <c r="AB2539" s="4" t="s">
        <v>2272</v>
      </c>
      <c r="AC2539" s="4" t="s">
        <v>2272</v>
      </c>
      <c r="AD2539" s="4"/>
      <c r="AE2539" s="4"/>
    </row>
    <row r="2540" spans="1:31" ht="123" customHeight="1">
      <c r="A2540" s="4" t="s">
        <v>6987</v>
      </c>
      <c r="B2540" s="4" t="s">
        <v>6989</v>
      </c>
      <c r="C2540" s="198" t="s">
        <v>23</v>
      </c>
      <c r="D2540" s="198" t="s">
        <v>24</v>
      </c>
      <c r="E2540" s="198" t="s">
        <v>44</v>
      </c>
      <c r="F2540" s="4" t="s">
        <v>28</v>
      </c>
      <c r="G2540" s="4" t="s">
        <v>28</v>
      </c>
      <c r="H2540" s="4" t="s">
        <v>521</v>
      </c>
      <c r="I2540" s="198"/>
      <c r="J2540" s="198" t="s">
        <v>2272</v>
      </c>
      <c r="K2540" s="198" t="s">
        <v>2272</v>
      </c>
      <c r="L2540" s="198" t="s">
        <v>2272</v>
      </c>
      <c r="M2540" s="198" t="s">
        <v>2272</v>
      </c>
      <c r="N2540" s="198" t="s">
        <v>2272</v>
      </c>
      <c r="O2540" s="198" t="s">
        <v>2272</v>
      </c>
      <c r="P2540" s="198" t="s">
        <v>2272</v>
      </c>
      <c r="Q2540" s="198" t="s">
        <v>2272</v>
      </c>
      <c r="R2540" s="198" t="s">
        <v>2272</v>
      </c>
      <c r="S2540" s="198" t="s">
        <v>2272</v>
      </c>
      <c r="T2540" s="198" t="s">
        <v>2272</v>
      </c>
      <c r="U2540" s="198" t="s">
        <v>2272</v>
      </c>
      <c r="V2540" s="198" t="s">
        <v>2272</v>
      </c>
      <c r="W2540" s="198" t="s">
        <v>2272</v>
      </c>
      <c r="X2540" s="198" t="s">
        <v>2272</v>
      </c>
      <c r="Y2540" s="198" t="s">
        <v>2272</v>
      </c>
      <c r="Z2540" s="198" t="s">
        <v>2272</v>
      </c>
      <c r="AA2540" s="198" t="s">
        <v>403</v>
      </c>
      <c r="AB2540" s="198" t="s">
        <v>423</v>
      </c>
      <c r="AC2540" s="4" t="s">
        <v>63</v>
      </c>
      <c r="AD2540" s="198"/>
      <c r="AE2540" s="4" t="s">
        <v>6994</v>
      </c>
    </row>
    <row r="2541" spans="1:31" ht="73" customHeight="1">
      <c r="A2541" s="4" t="s">
        <v>6987</v>
      </c>
      <c r="B2541" s="4" t="s">
        <v>6990</v>
      </c>
      <c r="C2541" s="198" t="s">
        <v>23</v>
      </c>
      <c r="D2541" s="198" t="s">
        <v>24</v>
      </c>
      <c r="E2541" s="198" t="s">
        <v>2642</v>
      </c>
      <c r="F2541" s="4" t="s">
        <v>28</v>
      </c>
      <c r="G2541" s="4" t="s">
        <v>28</v>
      </c>
      <c r="H2541" s="4" t="s">
        <v>521</v>
      </c>
      <c r="I2541" s="198"/>
      <c r="J2541" s="198" t="s">
        <v>2272</v>
      </c>
      <c r="K2541" s="198" t="s">
        <v>2272</v>
      </c>
      <c r="L2541" s="198" t="s">
        <v>2272</v>
      </c>
      <c r="M2541" s="198" t="s">
        <v>2272</v>
      </c>
      <c r="N2541" s="198" t="s">
        <v>2272</v>
      </c>
      <c r="O2541" s="198" t="s">
        <v>2272</v>
      </c>
      <c r="P2541" s="198" t="s">
        <v>2272</v>
      </c>
      <c r="Q2541" s="198" t="s">
        <v>2272</v>
      </c>
      <c r="R2541" s="198" t="s">
        <v>2272</v>
      </c>
      <c r="S2541" s="198" t="s">
        <v>2272</v>
      </c>
      <c r="T2541" s="198" t="s">
        <v>2272</v>
      </c>
      <c r="U2541" s="198" t="s">
        <v>2272</v>
      </c>
      <c r="V2541" s="198" t="s">
        <v>2272</v>
      </c>
      <c r="W2541" s="198" t="s">
        <v>2272</v>
      </c>
      <c r="X2541" s="198" t="s">
        <v>2272</v>
      </c>
      <c r="Y2541" s="198" t="s">
        <v>2272</v>
      </c>
      <c r="Z2541" s="198" t="s">
        <v>2272</v>
      </c>
      <c r="AA2541" s="198" t="s">
        <v>403</v>
      </c>
      <c r="AB2541" s="198" t="s">
        <v>423</v>
      </c>
      <c r="AC2541" s="4" t="s">
        <v>63</v>
      </c>
      <c r="AD2541" s="198"/>
      <c r="AE2541" s="4"/>
    </row>
    <row r="2542" spans="1:31" ht="123" customHeight="1">
      <c r="A2542" s="4" t="s">
        <v>6987</v>
      </c>
      <c r="B2542" s="4" t="s">
        <v>6991</v>
      </c>
      <c r="C2542" s="198" t="s">
        <v>2453</v>
      </c>
      <c r="D2542" s="198" t="s">
        <v>24</v>
      </c>
      <c r="E2542" s="198" t="s">
        <v>44</v>
      </c>
      <c r="F2542" s="4" t="s">
        <v>28</v>
      </c>
      <c r="G2542" s="198" t="s">
        <v>158</v>
      </c>
      <c r="H2542" s="4" t="s">
        <v>521</v>
      </c>
      <c r="I2542" s="198"/>
      <c r="J2542" s="198" t="s">
        <v>2272</v>
      </c>
      <c r="K2542" s="198" t="s">
        <v>2272</v>
      </c>
      <c r="L2542" s="198" t="s">
        <v>2272</v>
      </c>
      <c r="M2542" s="198" t="s">
        <v>2272</v>
      </c>
      <c r="N2542" s="198" t="s">
        <v>2272</v>
      </c>
      <c r="O2542" s="198" t="s">
        <v>2272</v>
      </c>
      <c r="P2542" s="198" t="s">
        <v>2272</v>
      </c>
      <c r="Q2542" s="198" t="s">
        <v>2272</v>
      </c>
      <c r="R2542" s="198" t="s">
        <v>2272</v>
      </c>
      <c r="S2542" s="198" t="s">
        <v>2272</v>
      </c>
      <c r="T2542" s="198" t="s">
        <v>2272</v>
      </c>
      <c r="U2542" s="198" t="s">
        <v>2272</v>
      </c>
      <c r="V2542" s="198" t="s">
        <v>2272</v>
      </c>
      <c r="W2542" s="198" t="s">
        <v>2272</v>
      </c>
      <c r="X2542" s="198" t="s">
        <v>2272</v>
      </c>
      <c r="Y2542" s="198" t="s">
        <v>2272</v>
      </c>
      <c r="Z2542" s="198" t="s">
        <v>2272</v>
      </c>
      <c r="AA2542" s="198" t="s">
        <v>403</v>
      </c>
      <c r="AB2542" s="198" t="s">
        <v>423</v>
      </c>
      <c r="AC2542" s="4" t="s">
        <v>63</v>
      </c>
      <c r="AD2542" s="4" t="s">
        <v>6996</v>
      </c>
      <c r="AE2542" s="4" t="s">
        <v>6995</v>
      </c>
    </row>
    <row r="2543" spans="1:31" ht="71" customHeight="1">
      <c r="A2543" s="4" t="s">
        <v>6987</v>
      </c>
      <c r="B2543" s="4" t="s">
        <v>6992</v>
      </c>
      <c r="C2543" s="198" t="s">
        <v>2453</v>
      </c>
      <c r="D2543" s="198" t="s">
        <v>24</v>
      </c>
      <c r="E2543" s="198" t="s">
        <v>2642</v>
      </c>
      <c r="F2543" s="4" t="s">
        <v>28</v>
      </c>
      <c r="G2543" s="198" t="s">
        <v>158</v>
      </c>
      <c r="H2543" s="4" t="s">
        <v>521</v>
      </c>
      <c r="I2543" s="198"/>
      <c r="J2543" s="198" t="s">
        <v>2272</v>
      </c>
      <c r="K2543" s="198" t="s">
        <v>2272</v>
      </c>
      <c r="L2543" s="198" t="s">
        <v>2272</v>
      </c>
      <c r="M2543" s="198" t="s">
        <v>2272</v>
      </c>
      <c r="N2543" s="198" t="s">
        <v>2272</v>
      </c>
      <c r="O2543" s="198" t="s">
        <v>2272</v>
      </c>
      <c r="P2543" s="198" t="s">
        <v>2272</v>
      </c>
      <c r="Q2543" s="198" t="s">
        <v>2272</v>
      </c>
      <c r="R2543" s="198" t="s">
        <v>2272</v>
      </c>
      <c r="S2543" s="198" t="s">
        <v>2272</v>
      </c>
      <c r="T2543" s="198" t="s">
        <v>2272</v>
      </c>
      <c r="U2543" s="198" t="s">
        <v>2272</v>
      </c>
      <c r="V2543" s="198" t="s">
        <v>2272</v>
      </c>
      <c r="W2543" s="198" t="s">
        <v>2272</v>
      </c>
      <c r="X2543" s="198" t="s">
        <v>2272</v>
      </c>
      <c r="Y2543" s="198" t="s">
        <v>2272</v>
      </c>
      <c r="Z2543" s="198" t="s">
        <v>2272</v>
      </c>
      <c r="AA2543" s="198" t="s">
        <v>403</v>
      </c>
      <c r="AB2543" s="198" t="s">
        <v>423</v>
      </c>
      <c r="AC2543" s="4" t="s">
        <v>63</v>
      </c>
      <c r="AD2543" s="198"/>
      <c r="AE2543" s="198"/>
    </row>
    <row r="2544" spans="1:31" ht="55.5" customHeight="1">
      <c r="A2544" s="4" t="s">
        <v>6998</v>
      </c>
      <c r="B2544" s="4" t="s">
        <v>7002</v>
      </c>
      <c r="C2544" s="198" t="s">
        <v>23</v>
      </c>
      <c r="D2544" s="198" t="s">
        <v>2227</v>
      </c>
      <c r="E2544" s="198" t="s">
        <v>82</v>
      </c>
      <c r="F2544" s="4" t="s">
        <v>2657</v>
      </c>
      <c r="G2544" s="4" t="s">
        <v>2657</v>
      </c>
      <c r="H2544" s="4" t="s">
        <v>521</v>
      </c>
      <c r="I2544" s="198"/>
      <c r="J2544" s="198" t="s">
        <v>2272</v>
      </c>
      <c r="K2544" s="198" t="s">
        <v>2272</v>
      </c>
      <c r="L2544" s="198" t="s">
        <v>2272</v>
      </c>
      <c r="M2544" s="198" t="s">
        <v>2272</v>
      </c>
      <c r="N2544" s="198" t="s">
        <v>2272</v>
      </c>
      <c r="O2544" s="198" t="s">
        <v>2272</v>
      </c>
      <c r="P2544" s="198" t="s">
        <v>2272</v>
      </c>
      <c r="Q2544" s="198" t="s">
        <v>2272</v>
      </c>
      <c r="R2544" s="198" t="s">
        <v>2272</v>
      </c>
      <c r="S2544" s="198" t="s">
        <v>2272</v>
      </c>
      <c r="T2544" s="198" t="s">
        <v>2272</v>
      </c>
      <c r="U2544" s="198" t="s">
        <v>2272</v>
      </c>
      <c r="V2544" s="198" t="s">
        <v>2272</v>
      </c>
      <c r="W2544" s="21">
        <v>34</v>
      </c>
      <c r="X2544" s="198" t="s">
        <v>2272</v>
      </c>
      <c r="Y2544" s="21">
        <f>100*534/'Record info'!K1065</f>
        <v>1.5602629656683711</v>
      </c>
      <c r="Z2544" s="198" t="s">
        <v>2272</v>
      </c>
      <c r="AA2544" s="198" t="s">
        <v>2272</v>
      </c>
      <c r="AB2544" s="198" t="s">
        <v>2272</v>
      </c>
      <c r="AC2544" s="198" t="s">
        <v>2272</v>
      </c>
      <c r="AD2544" s="4" t="s">
        <v>7004</v>
      </c>
      <c r="AE2544" s="198"/>
    </row>
    <row r="2545" spans="1:31" ht="50" customHeight="1">
      <c r="A2545" s="4" t="s">
        <v>6998</v>
      </c>
      <c r="B2545" s="4" t="s">
        <v>7003</v>
      </c>
      <c r="C2545" s="198" t="s">
        <v>23</v>
      </c>
      <c r="D2545" s="198" t="s">
        <v>24</v>
      </c>
      <c r="E2545" s="198" t="s">
        <v>44</v>
      </c>
      <c r="F2545" s="4" t="s">
        <v>28</v>
      </c>
      <c r="G2545" s="198" t="s">
        <v>28</v>
      </c>
      <c r="H2545" s="4" t="s">
        <v>521</v>
      </c>
      <c r="I2545" s="198"/>
      <c r="J2545" s="198" t="s">
        <v>2272</v>
      </c>
      <c r="K2545" s="198" t="s">
        <v>2272</v>
      </c>
      <c r="L2545" s="198" t="s">
        <v>2272</v>
      </c>
      <c r="M2545" s="198" t="s">
        <v>2272</v>
      </c>
      <c r="N2545" s="198" t="s">
        <v>2272</v>
      </c>
      <c r="O2545" s="198" t="s">
        <v>2272</v>
      </c>
      <c r="P2545" s="198" t="s">
        <v>2272</v>
      </c>
      <c r="Q2545" s="198" t="s">
        <v>2272</v>
      </c>
      <c r="R2545" s="198" t="s">
        <v>2272</v>
      </c>
      <c r="S2545" s="198" t="s">
        <v>2272</v>
      </c>
      <c r="T2545" s="198" t="s">
        <v>2272</v>
      </c>
      <c r="U2545" s="198" t="s">
        <v>2272</v>
      </c>
      <c r="V2545" s="198" t="s">
        <v>2272</v>
      </c>
      <c r="W2545" s="198" t="s">
        <v>2272</v>
      </c>
      <c r="X2545" s="198" t="s">
        <v>2272</v>
      </c>
      <c r="Y2545" s="21">
        <f>100*938/'Record info'!K1065</f>
        <v>2.7406866325785244</v>
      </c>
      <c r="Z2545" s="198" t="s">
        <v>2272</v>
      </c>
      <c r="AA2545" s="198" t="s">
        <v>2272</v>
      </c>
      <c r="AB2545" s="198" t="s">
        <v>2272</v>
      </c>
      <c r="AC2545" s="198" t="s">
        <v>2272</v>
      </c>
      <c r="AD2545" s="4" t="s">
        <v>7006</v>
      </c>
      <c r="AE2545" s="198"/>
    </row>
    <row r="2546" spans="1:31" ht="49" customHeight="1">
      <c r="A2546" s="4" t="s">
        <v>6998</v>
      </c>
      <c r="B2546" s="4" t="s">
        <v>7003</v>
      </c>
      <c r="C2546" s="198" t="s">
        <v>2453</v>
      </c>
      <c r="D2546" s="198" t="s">
        <v>24</v>
      </c>
      <c r="E2546" s="198" t="s">
        <v>2642</v>
      </c>
      <c r="F2546" s="4" t="s">
        <v>28</v>
      </c>
      <c r="G2546" s="198" t="s">
        <v>73</v>
      </c>
      <c r="H2546" s="4" t="s">
        <v>521</v>
      </c>
      <c r="I2546" s="198"/>
      <c r="J2546" s="198" t="s">
        <v>2272</v>
      </c>
      <c r="K2546" s="198" t="s">
        <v>2272</v>
      </c>
      <c r="L2546" s="198" t="s">
        <v>2272</v>
      </c>
      <c r="M2546" s="198" t="s">
        <v>2272</v>
      </c>
      <c r="N2546" s="198" t="s">
        <v>2272</v>
      </c>
      <c r="O2546" s="198" t="s">
        <v>2272</v>
      </c>
      <c r="P2546" s="198" t="s">
        <v>2272</v>
      </c>
      <c r="Q2546" s="198" t="s">
        <v>2272</v>
      </c>
      <c r="R2546" s="198" t="s">
        <v>2272</v>
      </c>
      <c r="S2546" s="198" t="s">
        <v>2272</v>
      </c>
      <c r="T2546" s="198" t="s">
        <v>2272</v>
      </c>
      <c r="U2546" s="198" t="s">
        <v>2272</v>
      </c>
      <c r="V2546" s="198" t="s">
        <v>2272</v>
      </c>
      <c r="W2546" s="21">
        <f>100 * 180 / ('Record info'!K1065*'Land use'!R1065/100)</f>
        <v>0.92524000302366016</v>
      </c>
      <c r="X2546" s="198" t="s">
        <v>2272</v>
      </c>
      <c r="Y2546" s="21">
        <f>100 * 180 / 'Record info'!K1065</f>
        <v>0.52593133674214754</v>
      </c>
      <c r="Z2546" s="198" t="s">
        <v>2272</v>
      </c>
      <c r="AA2546" s="198" t="s">
        <v>2272</v>
      </c>
      <c r="AB2546" s="198" t="s">
        <v>2272</v>
      </c>
      <c r="AC2546" s="198" t="s">
        <v>2272</v>
      </c>
      <c r="AD2546" s="4" t="s">
        <v>7005</v>
      </c>
      <c r="AE2546" s="198"/>
    </row>
    <row r="2547" spans="1:31" ht="60.5" customHeight="1">
      <c r="A2547" s="4" t="s">
        <v>7008</v>
      </c>
      <c r="B2547" s="4" t="s">
        <v>7009</v>
      </c>
      <c r="C2547" s="198" t="s">
        <v>23</v>
      </c>
      <c r="D2547" s="198" t="s">
        <v>141</v>
      </c>
      <c r="E2547" s="198" t="s">
        <v>44</v>
      </c>
      <c r="F2547" s="198" t="s">
        <v>73</v>
      </c>
      <c r="G2547" s="198" t="s">
        <v>73</v>
      </c>
      <c r="H2547" s="4" t="s">
        <v>521</v>
      </c>
      <c r="I2547" s="198"/>
      <c r="J2547" s="198" t="s">
        <v>2272</v>
      </c>
      <c r="K2547" s="198" t="s">
        <v>2272</v>
      </c>
      <c r="L2547" s="198" t="s">
        <v>2272</v>
      </c>
      <c r="M2547" s="198" t="s">
        <v>2272</v>
      </c>
      <c r="N2547" s="198" t="s">
        <v>2272</v>
      </c>
      <c r="O2547" s="198" t="s">
        <v>2272</v>
      </c>
      <c r="P2547" s="198" t="s">
        <v>2272</v>
      </c>
      <c r="Q2547" s="14">
        <v>333</v>
      </c>
      <c r="R2547" s="198" t="s">
        <v>2272</v>
      </c>
      <c r="S2547" s="198" t="s">
        <v>2272</v>
      </c>
      <c r="T2547" s="198" t="s">
        <v>2272</v>
      </c>
      <c r="U2547" s="198" t="s">
        <v>2272</v>
      </c>
      <c r="V2547" s="198" t="s">
        <v>2272</v>
      </c>
      <c r="W2547" s="198" t="s">
        <v>2272</v>
      </c>
      <c r="X2547" s="198" t="s">
        <v>2272</v>
      </c>
      <c r="Y2547" s="198" t="s">
        <v>2272</v>
      </c>
      <c r="Z2547" s="198" t="s">
        <v>2272</v>
      </c>
      <c r="AA2547" s="198" t="s">
        <v>2272</v>
      </c>
      <c r="AB2547" s="198" t="s">
        <v>2272</v>
      </c>
      <c r="AC2547" s="198" t="s">
        <v>2272</v>
      </c>
      <c r="AD2547" s="4" t="s">
        <v>7012</v>
      </c>
      <c r="AE2547" s="4" t="s">
        <v>7017</v>
      </c>
    </row>
    <row r="2548" spans="1:31" ht="65.5" customHeight="1">
      <c r="A2548" s="4" t="s">
        <v>7008</v>
      </c>
      <c r="B2548" s="4" t="s">
        <v>7010</v>
      </c>
      <c r="C2548" s="198" t="s">
        <v>23</v>
      </c>
      <c r="D2548" s="198" t="s">
        <v>141</v>
      </c>
      <c r="E2548" s="198" t="s">
        <v>82</v>
      </c>
      <c r="F2548" s="198" t="s">
        <v>73</v>
      </c>
      <c r="G2548" s="198" t="s">
        <v>73</v>
      </c>
      <c r="H2548" s="4" t="s">
        <v>521</v>
      </c>
      <c r="I2548" s="198"/>
      <c r="J2548" s="173" t="s">
        <v>2272</v>
      </c>
      <c r="K2548" s="173" t="s">
        <v>2272</v>
      </c>
      <c r="L2548" s="198" t="s">
        <v>2272</v>
      </c>
      <c r="M2548" s="198" t="s">
        <v>2272</v>
      </c>
      <c r="N2548" s="198" t="s">
        <v>2272</v>
      </c>
      <c r="O2548" s="198" t="s">
        <v>2272</v>
      </c>
      <c r="P2548" s="198" t="s">
        <v>2272</v>
      </c>
      <c r="Q2548" s="198" t="s">
        <v>2272</v>
      </c>
      <c r="R2548" s="198" t="s">
        <v>2272</v>
      </c>
      <c r="S2548" s="198" t="s">
        <v>2272</v>
      </c>
      <c r="T2548" s="198" t="s">
        <v>2272</v>
      </c>
      <c r="U2548" s="198" t="s">
        <v>2272</v>
      </c>
      <c r="V2548" s="198" t="s">
        <v>2272</v>
      </c>
      <c r="W2548" s="198" t="s">
        <v>2272</v>
      </c>
      <c r="X2548" s="198" t="s">
        <v>2272</v>
      </c>
      <c r="Y2548" s="198" t="s">
        <v>2272</v>
      </c>
      <c r="Z2548" s="198" t="s">
        <v>2272</v>
      </c>
      <c r="AA2548" s="198" t="s">
        <v>2272</v>
      </c>
      <c r="AB2548" s="198" t="s">
        <v>2272</v>
      </c>
      <c r="AC2548" s="198" t="s">
        <v>2272</v>
      </c>
      <c r="AD2548" s="4" t="s">
        <v>7012</v>
      </c>
      <c r="AE2548" s="4" t="s">
        <v>7011</v>
      </c>
    </row>
    <row r="2549" spans="1:31" ht="44.5" customHeight="1">
      <c r="A2549" s="4" t="s">
        <v>7014</v>
      </c>
      <c r="B2549" s="4" t="s">
        <v>7019</v>
      </c>
      <c r="C2549" s="198" t="s">
        <v>23</v>
      </c>
      <c r="D2549" s="198" t="s">
        <v>142</v>
      </c>
      <c r="E2549" s="198" t="s">
        <v>135</v>
      </c>
      <c r="F2549" s="4" t="s">
        <v>54</v>
      </c>
      <c r="G2549" s="4" t="s">
        <v>54</v>
      </c>
      <c r="H2549" s="4" t="s">
        <v>521</v>
      </c>
      <c r="I2549" s="198"/>
      <c r="J2549" s="198" t="s">
        <v>2272</v>
      </c>
      <c r="K2549" s="198" t="s">
        <v>2272</v>
      </c>
      <c r="L2549" s="198" t="s">
        <v>2272</v>
      </c>
      <c r="M2549" s="198" t="s">
        <v>2272</v>
      </c>
      <c r="N2549" s="198" t="s">
        <v>2272</v>
      </c>
      <c r="O2549" s="198" t="s">
        <v>2272</v>
      </c>
      <c r="P2549" s="198" t="s">
        <v>2272</v>
      </c>
      <c r="Q2549" s="198" t="s">
        <v>2272</v>
      </c>
      <c r="R2549" s="198" t="s">
        <v>2272</v>
      </c>
      <c r="S2549" s="198" t="s">
        <v>2272</v>
      </c>
      <c r="T2549" s="198" t="s">
        <v>2272</v>
      </c>
      <c r="U2549" s="198" t="s">
        <v>2272</v>
      </c>
      <c r="V2549" s="198" t="s">
        <v>2272</v>
      </c>
      <c r="W2549" s="198" t="s">
        <v>2272</v>
      </c>
      <c r="X2549" s="198" t="s">
        <v>2272</v>
      </c>
      <c r="Y2549" s="198" t="s">
        <v>2272</v>
      </c>
      <c r="Z2549" s="198" t="s">
        <v>2272</v>
      </c>
      <c r="AA2549" s="198" t="s">
        <v>2272</v>
      </c>
      <c r="AB2549" s="198" t="s">
        <v>2272</v>
      </c>
      <c r="AC2549" s="198" t="s">
        <v>2272</v>
      </c>
      <c r="AD2549" s="198"/>
      <c r="AE2549" s="198"/>
    </row>
    <row r="2550" spans="1:31" ht="66.5" customHeight="1">
      <c r="A2550" s="4" t="s">
        <v>7014</v>
      </c>
      <c r="B2550" s="4" t="s">
        <v>7020</v>
      </c>
      <c r="C2550" s="198" t="s">
        <v>23</v>
      </c>
      <c r="D2550" s="198" t="s">
        <v>142</v>
      </c>
      <c r="E2550" s="198" t="s">
        <v>2642</v>
      </c>
      <c r="F2550" s="4" t="s">
        <v>54</v>
      </c>
      <c r="G2550" s="4" t="s">
        <v>54</v>
      </c>
      <c r="H2550" s="4" t="s">
        <v>522</v>
      </c>
      <c r="I2550" s="198"/>
      <c r="J2550" s="21">
        <v>0</v>
      </c>
      <c r="K2550" s="21">
        <v>0</v>
      </c>
      <c r="L2550" s="21">
        <v>0</v>
      </c>
      <c r="M2550" s="21">
        <v>0</v>
      </c>
      <c r="N2550" s="21">
        <v>0</v>
      </c>
      <c r="O2550" s="21">
        <v>0</v>
      </c>
      <c r="P2550" s="21">
        <v>0</v>
      </c>
      <c r="Q2550" s="21">
        <v>0</v>
      </c>
      <c r="R2550" s="21">
        <v>0</v>
      </c>
      <c r="S2550" s="21">
        <v>0</v>
      </c>
      <c r="T2550" s="21">
        <v>0</v>
      </c>
      <c r="U2550" s="21">
        <v>0</v>
      </c>
      <c r="V2550" s="21">
        <v>0</v>
      </c>
      <c r="W2550" s="21">
        <v>0</v>
      </c>
      <c r="X2550" s="21">
        <v>0</v>
      </c>
      <c r="Y2550" s="21">
        <v>0</v>
      </c>
      <c r="Z2550" s="198" t="s">
        <v>2272</v>
      </c>
      <c r="AA2550" s="198" t="s">
        <v>2272</v>
      </c>
      <c r="AB2550" s="198" t="s">
        <v>2272</v>
      </c>
      <c r="AC2550" s="198" t="s">
        <v>2272</v>
      </c>
      <c r="AD2550" s="4" t="s">
        <v>7022</v>
      </c>
      <c r="AE2550" s="198"/>
    </row>
    <row r="2551" spans="1:31" ht="66.5" customHeight="1">
      <c r="A2551" s="4" t="s">
        <v>7014</v>
      </c>
      <c r="B2551" s="4" t="s">
        <v>7021</v>
      </c>
      <c r="C2551" s="198" t="s">
        <v>23</v>
      </c>
      <c r="D2551" s="198" t="s">
        <v>24</v>
      </c>
      <c r="E2551" s="198" t="s">
        <v>2642</v>
      </c>
      <c r="F2551" s="4" t="s">
        <v>54</v>
      </c>
      <c r="G2551" s="4" t="s">
        <v>54</v>
      </c>
      <c r="H2551" s="4" t="s">
        <v>522</v>
      </c>
      <c r="I2551" s="198"/>
      <c r="J2551" s="21">
        <v>0</v>
      </c>
      <c r="K2551" s="21">
        <v>0</v>
      </c>
      <c r="L2551" s="21">
        <v>0</v>
      </c>
      <c r="M2551" s="21">
        <v>0</v>
      </c>
      <c r="N2551" s="21">
        <v>0</v>
      </c>
      <c r="O2551" s="21">
        <v>0</v>
      </c>
      <c r="P2551" s="21">
        <v>0</v>
      </c>
      <c r="Q2551" s="21">
        <v>0</v>
      </c>
      <c r="R2551" s="21">
        <v>0</v>
      </c>
      <c r="S2551" s="21">
        <v>0</v>
      </c>
      <c r="T2551" s="21">
        <v>0</v>
      </c>
      <c r="U2551" s="21">
        <v>0</v>
      </c>
      <c r="V2551" s="21">
        <v>0</v>
      </c>
      <c r="W2551" s="21">
        <v>0</v>
      </c>
      <c r="X2551" s="21">
        <v>0</v>
      </c>
      <c r="Y2551" s="21">
        <v>0</v>
      </c>
      <c r="Z2551" s="198" t="s">
        <v>2272</v>
      </c>
      <c r="AA2551" s="198" t="s">
        <v>2272</v>
      </c>
      <c r="AB2551" s="198" t="s">
        <v>2272</v>
      </c>
      <c r="AC2551" s="198" t="s">
        <v>2272</v>
      </c>
      <c r="AD2551" s="4" t="s">
        <v>7022</v>
      </c>
      <c r="AE2551" s="198"/>
    </row>
    <row r="2552" spans="1:31" ht="47.5" customHeight="1">
      <c r="A2552" s="4" t="s">
        <v>7024</v>
      </c>
      <c r="B2552" s="4" t="s">
        <v>7026</v>
      </c>
      <c r="C2552" s="198" t="s">
        <v>23</v>
      </c>
      <c r="D2552" s="198" t="s">
        <v>24</v>
      </c>
      <c r="E2552" s="198" t="s">
        <v>44</v>
      </c>
      <c r="F2552" s="4" t="s">
        <v>54</v>
      </c>
      <c r="G2552" s="4" t="s">
        <v>54</v>
      </c>
      <c r="H2552" s="198" t="s">
        <v>521</v>
      </c>
      <c r="I2552" s="198"/>
      <c r="J2552" s="198" t="s">
        <v>2272</v>
      </c>
      <c r="K2552" s="198" t="s">
        <v>2272</v>
      </c>
      <c r="L2552" s="198" t="s">
        <v>2272</v>
      </c>
      <c r="M2552" s="198" t="s">
        <v>2272</v>
      </c>
      <c r="N2552" s="198" t="s">
        <v>2272</v>
      </c>
      <c r="O2552" s="198" t="s">
        <v>2272</v>
      </c>
      <c r="P2552" s="198" t="s">
        <v>2272</v>
      </c>
      <c r="Q2552" s="198" t="s">
        <v>2272</v>
      </c>
      <c r="R2552" s="198" t="s">
        <v>2272</v>
      </c>
      <c r="S2552" s="198" t="s">
        <v>2272</v>
      </c>
      <c r="T2552" s="198" t="s">
        <v>2272</v>
      </c>
      <c r="U2552" s="198" t="s">
        <v>2272</v>
      </c>
      <c r="V2552" s="198" t="s">
        <v>2272</v>
      </c>
      <c r="W2552" s="21">
        <f>100*42/200</f>
        <v>21</v>
      </c>
      <c r="X2552" s="198" t="s">
        <v>2272</v>
      </c>
      <c r="Y2552" s="21">
        <f>100*42/200</f>
        <v>21</v>
      </c>
      <c r="Z2552" s="198" t="s">
        <v>2272</v>
      </c>
      <c r="AA2552" s="198" t="s">
        <v>402</v>
      </c>
      <c r="AB2552" s="198" t="s">
        <v>403</v>
      </c>
      <c r="AC2552" s="198" t="s">
        <v>2272</v>
      </c>
      <c r="AD2552" s="198" t="s">
        <v>7027</v>
      </c>
      <c r="AE2552" s="4" t="s">
        <v>7028</v>
      </c>
    </row>
    <row r="2553" spans="1:31" ht="108.5" customHeight="1">
      <c r="A2553" s="4" t="s">
        <v>7030</v>
      </c>
      <c r="B2553" s="4" t="s">
        <v>7033</v>
      </c>
      <c r="C2553" s="198" t="s">
        <v>23</v>
      </c>
      <c r="D2553" s="198" t="s">
        <v>2799</v>
      </c>
      <c r="E2553" s="198" t="s">
        <v>44</v>
      </c>
      <c r="F2553" s="4" t="s">
        <v>2657</v>
      </c>
      <c r="G2553" s="4" t="s">
        <v>2657</v>
      </c>
      <c r="H2553" s="198" t="s">
        <v>521</v>
      </c>
      <c r="I2553" s="198"/>
      <c r="J2553" s="198" t="s">
        <v>2272</v>
      </c>
      <c r="K2553" s="198" t="s">
        <v>2272</v>
      </c>
      <c r="L2553" s="198" t="s">
        <v>2272</v>
      </c>
      <c r="M2553" s="198" t="s">
        <v>2272</v>
      </c>
      <c r="N2553" s="198" t="s">
        <v>2272</v>
      </c>
      <c r="O2553" s="198" t="s">
        <v>2272</v>
      </c>
      <c r="P2553" s="21">
        <v>131</v>
      </c>
      <c r="Q2553" s="21">
        <v>98</v>
      </c>
      <c r="R2553" s="198" t="s">
        <v>2272</v>
      </c>
      <c r="S2553" s="198" t="s">
        <v>2272</v>
      </c>
      <c r="T2553" s="198" t="s">
        <v>2272</v>
      </c>
      <c r="U2553" s="198" t="s">
        <v>2272</v>
      </c>
      <c r="V2553" s="198" t="s">
        <v>2272</v>
      </c>
      <c r="W2553" s="198" t="s">
        <v>2272</v>
      </c>
      <c r="X2553" s="198" t="s">
        <v>2272</v>
      </c>
      <c r="Y2553" s="198" t="s">
        <v>2272</v>
      </c>
      <c r="Z2553" s="198" t="s">
        <v>2272</v>
      </c>
      <c r="AA2553" s="198" t="s">
        <v>2272</v>
      </c>
      <c r="AB2553" s="198" t="s">
        <v>2272</v>
      </c>
      <c r="AC2553" s="198" t="s">
        <v>2272</v>
      </c>
      <c r="AD2553" s="4"/>
      <c r="AE2553" s="4" t="s">
        <v>7034</v>
      </c>
    </row>
    <row r="2554" spans="1:31" ht="58" customHeight="1">
      <c r="A2554" s="4" t="s">
        <v>7037</v>
      </c>
      <c r="B2554" s="4" t="s">
        <v>7040</v>
      </c>
      <c r="C2554" s="198" t="s">
        <v>1102</v>
      </c>
      <c r="D2554" s="198" t="s">
        <v>1102</v>
      </c>
      <c r="E2554" s="198" t="s">
        <v>1102</v>
      </c>
      <c r="F2554" s="198" t="s">
        <v>2272</v>
      </c>
      <c r="G2554" s="4" t="s">
        <v>2657</v>
      </c>
      <c r="H2554" s="198" t="s">
        <v>521</v>
      </c>
      <c r="I2554" s="198"/>
      <c r="J2554" s="198" t="s">
        <v>2272</v>
      </c>
      <c r="K2554" s="198" t="s">
        <v>2272</v>
      </c>
      <c r="L2554" s="198" t="s">
        <v>2272</v>
      </c>
      <c r="M2554" s="198" t="s">
        <v>2272</v>
      </c>
      <c r="N2554" s="198" t="s">
        <v>2272</v>
      </c>
      <c r="O2554" s="198" t="s">
        <v>2272</v>
      </c>
      <c r="P2554" s="198" t="s">
        <v>2272</v>
      </c>
      <c r="Q2554" s="198" t="s">
        <v>2272</v>
      </c>
      <c r="R2554" s="198" t="s">
        <v>2272</v>
      </c>
      <c r="S2554" s="198" t="s">
        <v>2272</v>
      </c>
      <c r="T2554" s="198" t="s">
        <v>2272</v>
      </c>
      <c r="U2554" s="198" t="s">
        <v>2272</v>
      </c>
      <c r="V2554" s="198" t="s">
        <v>2272</v>
      </c>
      <c r="W2554" s="198" t="s">
        <v>2272</v>
      </c>
      <c r="X2554" s="198" t="s">
        <v>2272</v>
      </c>
      <c r="Y2554" s="198" t="s">
        <v>2272</v>
      </c>
      <c r="Z2554" s="198" t="s">
        <v>2272</v>
      </c>
      <c r="AA2554" s="198" t="s">
        <v>37</v>
      </c>
      <c r="AB2554" s="198" t="s">
        <v>423</v>
      </c>
      <c r="AC2554" s="198" t="s">
        <v>75</v>
      </c>
      <c r="AD2554" s="4" t="s">
        <v>7043</v>
      </c>
      <c r="AE2554" s="4" t="s">
        <v>7046</v>
      </c>
    </row>
    <row r="2555" spans="1:31" ht="58" customHeight="1">
      <c r="A2555" s="4" t="s">
        <v>7039</v>
      </c>
      <c r="B2555" s="4" t="s">
        <v>7041</v>
      </c>
      <c r="C2555" s="198" t="s">
        <v>23</v>
      </c>
      <c r="D2555" s="198" t="s">
        <v>24</v>
      </c>
      <c r="E2555" s="198" t="s">
        <v>44</v>
      </c>
      <c r="F2555" s="198" t="s">
        <v>28</v>
      </c>
      <c r="G2555" s="198" t="s">
        <v>28</v>
      </c>
      <c r="H2555" s="198" t="s">
        <v>521</v>
      </c>
      <c r="I2555" s="198"/>
      <c r="J2555" s="198" t="s">
        <v>2272</v>
      </c>
      <c r="K2555" s="198" t="s">
        <v>2272</v>
      </c>
      <c r="L2555" s="198" t="s">
        <v>2272</v>
      </c>
      <c r="M2555" s="198" t="s">
        <v>2272</v>
      </c>
      <c r="N2555" s="198" t="s">
        <v>2272</v>
      </c>
      <c r="O2555" s="198" t="s">
        <v>2272</v>
      </c>
      <c r="P2555" s="198" t="s">
        <v>2272</v>
      </c>
      <c r="Q2555" s="198" t="s">
        <v>2272</v>
      </c>
      <c r="R2555" s="198" t="s">
        <v>2272</v>
      </c>
      <c r="S2555" s="198" t="s">
        <v>2272</v>
      </c>
      <c r="T2555" s="198" t="s">
        <v>2272</v>
      </c>
      <c r="U2555" s="198" t="s">
        <v>2272</v>
      </c>
      <c r="V2555" s="198" t="s">
        <v>2272</v>
      </c>
      <c r="W2555" s="198" t="s">
        <v>2272</v>
      </c>
      <c r="X2555" s="198" t="s">
        <v>2272</v>
      </c>
      <c r="Y2555" s="198" t="s">
        <v>2272</v>
      </c>
      <c r="Z2555" s="198" t="s">
        <v>2272</v>
      </c>
      <c r="AA2555" s="198" t="s">
        <v>37</v>
      </c>
      <c r="AB2555" s="198" t="s">
        <v>423</v>
      </c>
      <c r="AC2555" s="198" t="s">
        <v>2272</v>
      </c>
      <c r="AD2555" s="4" t="s">
        <v>7044</v>
      </c>
      <c r="AE2555" s="4" t="s">
        <v>7047</v>
      </c>
    </row>
    <row r="2556" spans="1:31" ht="58" customHeight="1">
      <c r="A2556" s="4" t="s">
        <v>7039</v>
      </c>
      <c r="B2556" s="4" t="s">
        <v>7042</v>
      </c>
      <c r="C2556" s="198" t="s">
        <v>23</v>
      </c>
      <c r="D2556" s="198" t="s">
        <v>1238</v>
      </c>
      <c r="E2556" s="198" t="s">
        <v>44</v>
      </c>
      <c r="F2556" s="4" t="s">
        <v>2657</v>
      </c>
      <c r="G2556" s="4" t="s">
        <v>2657</v>
      </c>
      <c r="H2556" s="198" t="s">
        <v>521</v>
      </c>
      <c r="I2556" s="198"/>
      <c r="J2556" s="198" t="s">
        <v>2272</v>
      </c>
      <c r="K2556" s="198" t="s">
        <v>2272</v>
      </c>
      <c r="L2556" s="198" t="s">
        <v>2272</v>
      </c>
      <c r="M2556" s="198" t="s">
        <v>2272</v>
      </c>
      <c r="N2556" s="198" t="s">
        <v>2272</v>
      </c>
      <c r="O2556" s="198" t="s">
        <v>2272</v>
      </c>
      <c r="P2556" s="198" t="s">
        <v>2272</v>
      </c>
      <c r="Q2556" s="198" t="s">
        <v>2272</v>
      </c>
      <c r="R2556" s="198" t="s">
        <v>2272</v>
      </c>
      <c r="S2556" s="198" t="s">
        <v>2272</v>
      </c>
      <c r="T2556" s="198" t="s">
        <v>2272</v>
      </c>
      <c r="U2556" s="198" t="s">
        <v>2272</v>
      </c>
      <c r="V2556" s="198" t="s">
        <v>2272</v>
      </c>
      <c r="W2556" s="198" t="s">
        <v>2272</v>
      </c>
      <c r="X2556" s="198" t="s">
        <v>2272</v>
      </c>
      <c r="Y2556" s="198" t="s">
        <v>2272</v>
      </c>
      <c r="Z2556" s="198" t="s">
        <v>2272</v>
      </c>
      <c r="AA2556" s="198" t="s">
        <v>37</v>
      </c>
      <c r="AB2556" s="198" t="s">
        <v>84</v>
      </c>
      <c r="AC2556" s="198" t="s">
        <v>2650</v>
      </c>
      <c r="AD2556" s="4" t="s">
        <v>7045</v>
      </c>
      <c r="AE2556" s="198"/>
    </row>
    <row r="2557" spans="1:31" ht="26.5" customHeight="1">
      <c r="A2557" s="4" t="s">
        <v>7049</v>
      </c>
      <c r="B2557" s="4" t="s">
        <v>7057</v>
      </c>
      <c r="C2557" s="198" t="s">
        <v>23</v>
      </c>
      <c r="D2557" s="198" t="s">
        <v>24</v>
      </c>
      <c r="E2557" s="198" t="s">
        <v>44</v>
      </c>
      <c r="F2557" s="4" t="s">
        <v>54</v>
      </c>
      <c r="G2557" s="4" t="s">
        <v>54</v>
      </c>
      <c r="H2557" s="198" t="s">
        <v>521</v>
      </c>
      <c r="I2557" s="198"/>
      <c r="J2557" s="198" t="s">
        <v>2272</v>
      </c>
      <c r="K2557" s="198" t="s">
        <v>2272</v>
      </c>
      <c r="L2557" s="198" t="s">
        <v>2272</v>
      </c>
      <c r="M2557" s="198" t="s">
        <v>2272</v>
      </c>
      <c r="N2557" s="198" t="s">
        <v>2272</v>
      </c>
      <c r="O2557" s="198" t="s">
        <v>2272</v>
      </c>
      <c r="P2557" s="198" t="s">
        <v>2272</v>
      </c>
      <c r="Q2557" s="198" t="s">
        <v>2272</v>
      </c>
      <c r="R2557" s="198" t="s">
        <v>2272</v>
      </c>
      <c r="S2557" s="198" t="s">
        <v>2272</v>
      </c>
      <c r="T2557" s="198" t="s">
        <v>2272</v>
      </c>
      <c r="U2557" s="198" t="s">
        <v>2272</v>
      </c>
      <c r="V2557" s="198" t="s">
        <v>2272</v>
      </c>
      <c r="W2557" s="198" t="s">
        <v>2272</v>
      </c>
      <c r="X2557" s="198" t="s">
        <v>2272</v>
      </c>
      <c r="Y2557" s="198" t="s">
        <v>2272</v>
      </c>
      <c r="Z2557" s="198" t="s">
        <v>2272</v>
      </c>
      <c r="AA2557" s="198" t="s">
        <v>2272</v>
      </c>
      <c r="AB2557" s="198" t="s">
        <v>2272</v>
      </c>
      <c r="AC2557" s="198" t="s">
        <v>2272</v>
      </c>
      <c r="AD2557" s="198"/>
      <c r="AE2557" s="198"/>
    </row>
    <row r="2558" spans="1:31" ht="26.5" customHeight="1">
      <c r="A2558" s="4" t="s">
        <v>7049</v>
      </c>
      <c r="B2558" s="4" t="s">
        <v>7058</v>
      </c>
      <c r="C2558" s="198" t="s">
        <v>2453</v>
      </c>
      <c r="D2558" s="198" t="s">
        <v>24</v>
      </c>
      <c r="E2558" s="198" t="s">
        <v>44</v>
      </c>
      <c r="F2558" s="4" t="s">
        <v>54</v>
      </c>
      <c r="G2558" s="198" t="s">
        <v>2272</v>
      </c>
      <c r="H2558" s="198" t="s">
        <v>521</v>
      </c>
      <c r="I2558" s="198"/>
      <c r="J2558" s="198" t="s">
        <v>2272</v>
      </c>
      <c r="K2558" s="198" t="s">
        <v>2272</v>
      </c>
      <c r="L2558" s="198" t="s">
        <v>2272</v>
      </c>
      <c r="M2558" s="198" t="s">
        <v>2272</v>
      </c>
      <c r="N2558" s="198" t="s">
        <v>2272</v>
      </c>
      <c r="O2558" s="198" t="s">
        <v>2272</v>
      </c>
      <c r="P2558" s="198" t="s">
        <v>2272</v>
      </c>
      <c r="Q2558" s="198" t="s">
        <v>2272</v>
      </c>
      <c r="R2558" s="198" t="s">
        <v>2272</v>
      </c>
      <c r="S2558" s="198" t="s">
        <v>2272</v>
      </c>
      <c r="T2558" s="198" t="s">
        <v>2272</v>
      </c>
      <c r="U2558" s="198" t="s">
        <v>2272</v>
      </c>
      <c r="V2558" s="198" t="s">
        <v>2272</v>
      </c>
      <c r="W2558" s="198" t="s">
        <v>2272</v>
      </c>
      <c r="X2558" s="198" t="s">
        <v>2272</v>
      </c>
      <c r="Y2558" s="198" t="s">
        <v>2272</v>
      </c>
      <c r="Z2558" s="198" t="s">
        <v>2272</v>
      </c>
      <c r="AA2558" s="198" t="s">
        <v>2272</v>
      </c>
      <c r="AB2558" s="198" t="s">
        <v>2272</v>
      </c>
      <c r="AC2558" s="198" t="s">
        <v>2272</v>
      </c>
      <c r="AD2558" s="198"/>
      <c r="AE2558" s="198"/>
    </row>
    <row r="2559" spans="1:31" ht="26.5" customHeight="1">
      <c r="A2559" s="4" t="s">
        <v>7049</v>
      </c>
      <c r="B2559" s="4" t="s">
        <v>7059</v>
      </c>
      <c r="C2559" s="198" t="s">
        <v>23</v>
      </c>
      <c r="D2559" s="198" t="s">
        <v>26</v>
      </c>
      <c r="E2559" s="198" t="s">
        <v>128</v>
      </c>
      <c r="F2559" s="4" t="s">
        <v>158</v>
      </c>
      <c r="G2559" s="198" t="s">
        <v>2272</v>
      </c>
      <c r="H2559" s="198" t="s">
        <v>521</v>
      </c>
      <c r="I2559" s="198"/>
      <c r="J2559" s="198" t="s">
        <v>2272</v>
      </c>
      <c r="K2559" s="198" t="s">
        <v>2272</v>
      </c>
      <c r="L2559" s="198" t="s">
        <v>2272</v>
      </c>
      <c r="M2559" s="198" t="s">
        <v>2272</v>
      </c>
      <c r="N2559" s="198" t="s">
        <v>2272</v>
      </c>
      <c r="O2559" s="198" t="s">
        <v>2272</v>
      </c>
      <c r="P2559" s="198" t="s">
        <v>2272</v>
      </c>
      <c r="Q2559" s="198" t="s">
        <v>2272</v>
      </c>
      <c r="R2559" s="198" t="s">
        <v>2272</v>
      </c>
      <c r="S2559" s="198" t="s">
        <v>2272</v>
      </c>
      <c r="T2559" s="198" t="s">
        <v>2272</v>
      </c>
      <c r="U2559" s="198" t="s">
        <v>2272</v>
      </c>
      <c r="V2559" s="198" t="s">
        <v>2272</v>
      </c>
      <c r="W2559" s="198" t="s">
        <v>2272</v>
      </c>
      <c r="X2559" s="198" t="s">
        <v>2272</v>
      </c>
      <c r="Y2559" s="198" t="s">
        <v>2272</v>
      </c>
      <c r="Z2559" s="198" t="s">
        <v>2272</v>
      </c>
      <c r="AA2559" s="198" t="s">
        <v>2272</v>
      </c>
      <c r="AB2559" s="198" t="s">
        <v>2272</v>
      </c>
      <c r="AC2559" s="198" t="s">
        <v>2272</v>
      </c>
      <c r="AD2559" s="198"/>
      <c r="AE2559" s="198"/>
    </row>
    <row r="2560" spans="1:31" ht="66" customHeight="1">
      <c r="A2560" s="4" t="s">
        <v>7049</v>
      </c>
      <c r="B2560" s="4" t="s">
        <v>7060</v>
      </c>
      <c r="C2560" s="198" t="s">
        <v>23</v>
      </c>
      <c r="D2560" s="198" t="s">
        <v>2227</v>
      </c>
      <c r="E2560" s="198" t="s">
        <v>82</v>
      </c>
      <c r="F2560" s="4" t="s">
        <v>2657</v>
      </c>
      <c r="G2560" s="4" t="s">
        <v>2657</v>
      </c>
      <c r="H2560" s="198" t="s">
        <v>522</v>
      </c>
      <c r="I2560" s="198"/>
      <c r="J2560" s="21">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1">
        <v>0</v>
      </c>
      <c r="Z2560" s="198" t="s">
        <v>2272</v>
      </c>
      <c r="AA2560" s="198" t="s">
        <v>2272</v>
      </c>
      <c r="AB2560" s="198" t="s">
        <v>2272</v>
      </c>
      <c r="AC2560" s="198" t="s">
        <v>2272</v>
      </c>
      <c r="AD2560" s="4" t="s">
        <v>7061</v>
      </c>
      <c r="AE2560" s="198"/>
    </row>
    <row r="2561" spans="1:31" ht="45.5" customHeight="1">
      <c r="A2561" s="4" t="s">
        <v>7049</v>
      </c>
      <c r="B2561" s="4" t="s">
        <v>7062</v>
      </c>
      <c r="C2561" s="4" t="s">
        <v>23</v>
      </c>
      <c r="D2561" s="4" t="s">
        <v>2342</v>
      </c>
      <c r="E2561" s="4" t="s">
        <v>128</v>
      </c>
      <c r="F2561" s="6" t="s">
        <v>2272</v>
      </c>
      <c r="G2561" s="4" t="s">
        <v>2657</v>
      </c>
      <c r="H2561" s="4" t="s">
        <v>521</v>
      </c>
      <c r="I2561" s="4"/>
      <c r="J2561" s="198" t="s">
        <v>2272</v>
      </c>
      <c r="K2561" s="198" t="s">
        <v>2272</v>
      </c>
      <c r="L2561" s="198" t="s">
        <v>2272</v>
      </c>
      <c r="M2561" s="198" t="s">
        <v>2272</v>
      </c>
      <c r="N2561" s="198" t="s">
        <v>2272</v>
      </c>
      <c r="O2561" s="198" t="s">
        <v>2272</v>
      </c>
      <c r="P2561" s="71">
        <v>3.6</v>
      </c>
      <c r="Q2561" s="198" t="s">
        <v>2272</v>
      </c>
      <c r="R2561" s="198" t="s">
        <v>2272</v>
      </c>
      <c r="S2561" s="198" t="s">
        <v>2272</v>
      </c>
      <c r="T2561" s="198" t="s">
        <v>2272</v>
      </c>
      <c r="U2561" s="198" t="s">
        <v>2272</v>
      </c>
      <c r="V2561" s="198" t="s">
        <v>2272</v>
      </c>
      <c r="W2561" s="198" t="s">
        <v>2272</v>
      </c>
      <c r="X2561" s="198" t="s">
        <v>2272</v>
      </c>
      <c r="Y2561" s="198" t="s">
        <v>2272</v>
      </c>
      <c r="Z2561" s="198" t="s">
        <v>2272</v>
      </c>
      <c r="AA2561" s="198" t="s">
        <v>2272</v>
      </c>
      <c r="AB2561" s="198" t="s">
        <v>2272</v>
      </c>
      <c r="AC2561" s="198" t="s">
        <v>2272</v>
      </c>
      <c r="AD2561" s="4" t="s">
        <v>7064</v>
      </c>
      <c r="AE2561" s="4"/>
    </row>
    <row r="2562" spans="1:31" ht="43.5" customHeight="1">
      <c r="A2562" s="4" t="s">
        <v>7049</v>
      </c>
      <c r="B2562" s="4" t="s">
        <v>7063</v>
      </c>
      <c r="C2562" s="198" t="s">
        <v>23</v>
      </c>
      <c r="D2562" s="198" t="s">
        <v>2342</v>
      </c>
      <c r="E2562" s="198" t="s">
        <v>44</v>
      </c>
      <c r="F2562" s="6" t="s">
        <v>2272</v>
      </c>
      <c r="G2562" s="4" t="s">
        <v>2657</v>
      </c>
      <c r="H2562" s="198" t="s">
        <v>521</v>
      </c>
      <c r="I2562" s="198"/>
      <c r="J2562" s="198" t="s">
        <v>2272</v>
      </c>
      <c r="K2562" s="198" t="s">
        <v>2272</v>
      </c>
      <c r="L2562" s="198" t="s">
        <v>2272</v>
      </c>
      <c r="M2562" s="198" t="s">
        <v>2272</v>
      </c>
      <c r="N2562" s="198" t="s">
        <v>2272</v>
      </c>
      <c r="O2562" s="198" t="s">
        <v>2272</v>
      </c>
      <c r="P2562" s="21">
        <v>3.6</v>
      </c>
      <c r="Q2562" s="198" t="s">
        <v>2272</v>
      </c>
      <c r="R2562" s="198" t="s">
        <v>2272</v>
      </c>
      <c r="S2562" s="198" t="s">
        <v>2272</v>
      </c>
      <c r="T2562" s="198" t="s">
        <v>2272</v>
      </c>
      <c r="U2562" s="198" t="s">
        <v>2272</v>
      </c>
      <c r="V2562" s="198" t="s">
        <v>2272</v>
      </c>
      <c r="W2562" s="198" t="s">
        <v>2272</v>
      </c>
      <c r="X2562" s="198" t="s">
        <v>2272</v>
      </c>
      <c r="Y2562" s="198" t="s">
        <v>2272</v>
      </c>
      <c r="Z2562" s="198" t="s">
        <v>2272</v>
      </c>
      <c r="AA2562" s="198" t="s">
        <v>2272</v>
      </c>
      <c r="AB2562" s="198" t="s">
        <v>2272</v>
      </c>
      <c r="AC2562" s="198" t="s">
        <v>2272</v>
      </c>
      <c r="AD2562" s="4" t="s">
        <v>7064</v>
      </c>
      <c r="AE2562" s="198"/>
    </row>
    <row r="2563" spans="1:31" ht="37.5" customHeight="1">
      <c r="A2563" s="4" t="s">
        <v>7069</v>
      </c>
      <c r="B2563" s="4" t="s">
        <v>7073</v>
      </c>
      <c r="C2563" s="198" t="s">
        <v>23</v>
      </c>
      <c r="D2563" s="198" t="s">
        <v>1238</v>
      </c>
      <c r="E2563" s="4" t="s">
        <v>3204</v>
      </c>
      <c r="F2563" s="4" t="s">
        <v>2657</v>
      </c>
      <c r="G2563" s="4" t="s">
        <v>2657</v>
      </c>
      <c r="H2563" s="198" t="s">
        <v>521</v>
      </c>
      <c r="I2563" s="198"/>
      <c r="J2563" s="198" t="s">
        <v>2272</v>
      </c>
      <c r="K2563" s="198" t="s">
        <v>2272</v>
      </c>
      <c r="L2563" s="198" t="s">
        <v>2272</v>
      </c>
      <c r="M2563" s="198" t="s">
        <v>2272</v>
      </c>
      <c r="N2563" s="198" t="s">
        <v>2272</v>
      </c>
      <c r="O2563" s="198" t="s">
        <v>2272</v>
      </c>
      <c r="P2563" s="198" t="s">
        <v>2272</v>
      </c>
      <c r="Q2563" s="198" t="s">
        <v>2272</v>
      </c>
      <c r="R2563" s="198" t="s">
        <v>2272</v>
      </c>
      <c r="S2563" s="198" t="s">
        <v>2272</v>
      </c>
      <c r="T2563" s="198" t="s">
        <v>2272</v>
      </c>
      <c r="U2563" s="198" t="s">
        <v>2272</v>
      </c>
      <c r="V2563" s="198" t="s">
        <v>2272</v>
      </c>
      <c r="W2563" s="198" t="s">
        <v>2272</v>
      </c>
      <c r="X2563" s="198" t="s">
        <v>2272</v>
      </c>
      <c r="Y2563" s="198" t="s">
        <v>2272</v>
      </c>
      <c r="Z2563" s="198" t="s">
        <v>2272</v>
      </c>
      <c r="AA2563" s="198" t="s">
        <v>34</v>
      </c>
      <c r="AB2563" s="198" t="s">
        <v>34</v>
      </c>
      <c r="AC2563" s="198" t="s">
        <v>2272</v>
      </c>
      <c r="AD2563" s="198"/>
      <c r="AE2563" s="198"/>
    </row>
    <row r="2564" spans="1:31" ht="37.5" customHeight="1">
      <c r="A2564" s="4" t="s">
        <v>7069</v>
      </c>
      <c r="B2564" s="4" t="s">
        <v>7074</v>
      </c>
      <c r="C2564" s="198" t="s">
        <v>23</v>
      </c>
      <c r="D2564" s="198" t="s">
        <v>142</v>
      </c>
      <c r="E2564" s="4" t="s">
        <v>3204</v>
      </c>
      <c r="F2564" s="4" t="s">
        <v>2657</v>
      </c>
      <c r="G2564" s="4" t="s">
        <v>2657</v>
      </c>
      <c r="H2564" s="198" t="s">
        <v>521</v>
      </c>
      <c r="I2564" s="198"/>
      <c r="J2564" s="198" t="s">
        <v>2272</v>
      </c>
      <c r="K2564" s="198" t="s">
        <v>2272</v>
      </c>
      <c r="L2564" s="198" t="s">
        <v>2272</v>
      </c>
      <c r="M2564" s="198" t="s">
        <v>2272</v>
      </c>
      <c r="N2564" s="198" t="s">
        <v>2272</v>
      </c>
      <c r="O2564" s="198" t="s">
        <v>2272</v>
      </c>
      <c r="P2564" s="198" t="s">
        <v>2272</v>
      </c>
      <c r="Q2564" s="198" t="s">
        <v>2272</v>
      </c>
      <c r="R2564" s="198" t="s">
        <v>2272</v>
      </c>
      <c r="S2564" s="198" t="s">
        <v>2272</v>
      </c>
      <c r="T2564" s="198" t="s">
        <v>2272</v>
      </c>
      <c r="U2564" s="198" t="s">
        <v>2272</v>
      </c>
      <c r="V2564" s="198" t="s">
        <v>2272</v>
      </c>
      <c r="W2564" s="198" t="s">
        <v>2272</v>
      </c>
      <c r="X2564" s="198" t="s">
        <v>2272</v>
      </c>
      <c r="Y2564" s="198" t="s">
        <v>2272</v>
      </c>
      <c r="Z2564" s="198" t="s">
        <v>2272</v>
      </c>
      <c r="AA2564" s="198" t="s">
        <v>34</v>
      </c>
      <c r="AB2564" s="198" t="s">
        <v>34</v>
      </c>
      <c r="AC2564" s="198" t="s">
        <v>2272</v>
      </c>
      <c r="AD2564" s="198"/>
      <c r="AE2564" s="198"/>
    </row>
    <row r="2565" spans="1:31" ht="40" customHeight="1">
      <c r="A2565" s="4" t="s">
        <v>7069</v>
      </c>
      <c r="B2565" s="4" t="s">
        <v>7075</v>
      </c>
      <c r="C2565" s="198" t="s">
        <v>23</v>
      </c>
      <c r="D2565" s="198" t="s">
        <v>2799</v>
      </c>
      <c r="E2565" s="198" t="s">
        <v>44</v>
      </c>
      <c r="F2565" s="4" t="s">
        <v>2657</v>
      </c>
      <c r="G2565" s="4" t="s">
        <v>2272</v>
      </c>
      <c r="H2565" s="198" t="s">
        <v>522</v>
      </c>
      <c r="I2565" s="198"/>
      <c r="J2565" s="21">
        <v>0</v>
      </c>
      <c r="K2565" s="21">
        <v>0</v>
      </c>
      <c r="L2565" s="21">
        <v>0</v>
      </c>
      <c r="M2565" s="21">
        <v>0</v>
      </c>
      <c r="N2565" s="21">
        <v>0</v>
      </c>
      <c r="O2565" s="21">
        <v>0</v>
      </c>
      <c r="P2565" s="21">
        <v>0</v>
      </c>
      <c r="Q2565" s="21">
        <v>0</v>
      </c>
      <c r="R2565" s="21">
        <v>0</v>
      </c>
      <c r="S2565" s="21">
        <v>0</v>
      </c>
      <c r="T2565" s="21">
        <v>0</v>
      </c>
      <c r="U2565" s="21">
        <v>0</v>
      </c>
      <c r="V2565" s="21">
        <v>0</v>
      </c>
      <c r="W2565" s="21">
        <v>0</v>
      </c>
      <c r="X2565" s="21">
        <v>0</v>
      </c>
      <c r="Y2565" s="21">
        <v>0</v>
      </c>
      <c r="Z2565" s="198" t="s">
        <v>2272</v>
      </c>
      <c r="AA2565" s="198" t="s">
        <v>2272</v>
      </c>
      <c r="AB2565" s="198" t="s">
        <v>2272</v>
      </c>
      <c r="AC2565" s="198" t="s">
        <v>2272</v>
      </c>
      <c r="AD2565" s="4" t="s">
        <v>7077</v>
      </c>
      <c r="AE2565" s="198"/>
    </row>
    <row r="2566" spans="1:31" ht="40" customHeight="1">
      <c r="A2566" s="4" t="s">
        <v>7069</v>
      </c>
      <c r="B2566" s="4" t="s">
        <v>7076</v>
      </c>
      <c r="C2566" s="198" t="s">
        <v>23</v>
      </c>
      <c r="D2566" s="198" t="s">
        <v>2799</v>
      </c>
      <c r="E2566" s="198" t="s">
        <v>44</v>
      </c>
      <c r="F2566" s="4" t="s">
        <v>2657</v>
      </c>
      <c r="G2566" s="4" t="s">
        <v>2272</v>
      </c>
      <c r="H2566" s="198" t="s">
        <v>521</v>
      </c>
      <c r="I2566" s="198">
        <v>1979</v>
      </c>
      <c r="J2566" s="198" t="s">
        <v>2272</v>
      </c>
      <c r="K2566" s="198" t="s">
        <v>2272</v>
      </c>
      <c r="L2566" s="198" t="s">
        <v>2272</v>
      </c>
      <c r="M2566" s="198" t="s">
        <v>2272</v>
      </c>
      <c r="N2566" s="198" t="s">
        <v>2272</v>
      </c>
      <c r="O2566" s="198" t="s">
        <v>2272</v>
      </c>
      <c r="P2566" s="198" t="s">
        <v>2272</v>
      </c>
      <c r="Q2566" s="198" t="s">
        <v>2272</v>
      </c>
      <c r="R2566" s="198" t="s">
        <v>2272</v>
      </c>
      <c r="S2566" s="198" t="s">
        <v>2272</v>
      </c>
      <c r="T2566" s="198" t="s">
        <v>2272</v>
      </c>
      <c r="U2566" s="198" t="s">
        <v>2272</v>
      </c>
      <c r="V2566" s="198" t="s">
        <v>2272</v>
      </c>
      <c r="W2566" s="198" t="s">
        <v>2272</v>
      </c>
      <c r="X2566" s="198" t="s">
        <v>2272</v>
      </c>
      <c r="Y2566" s="198" t="s">
        <v>2272</v>
      </c>
      <c r="Z2566" s="198" t="s">
        <v>2272</v>
      </c>
      <c r="AA2566" s="198" t="s">
        <v>2272</v>
      </c>
      <c r="AB2566" s="198" t="s">
        <v>2272</v>
      </c>
      <c r="AC2566" s="198" t="s">
        <v>2272</v>
      </c>
      <c r="AD2566" s="198"/>
      <c r="AE2566" s="198"/>
    </row>
    <row r="2567" spans="1:31" ht="35.5" customHeight="1">
      <c r="A2567" s="4" t="s">
        <v>7084</v>
      </c>
      <c r="B2567" s="4" t="s">
        <v>7173</v>
      </c>
      <c r="C2567" s="198" t="s">
        <v>23</v>
      </c>
      <c r="D2567" s="198" t="s">
        <v>2799</v>
      </c>
      <c r="E2567" s="198" t="s">
        <v>44</v>
      </c>
      <c r="F2567" s="4" t="s">
        <v>2657</v>
      </c>
      <c r="G2567" s="4" t="s">
        <v>2272</v>
      </c>
      <c r="H2567" s="198" t="s">
        <v>521</v>
      </c>
      <c r="I2567" s="198"/>
      <c r="J2567" s="198" t="s">
        <v>2272</v>
      </c>
      <c r="K2567" s="198" t="s">
        <v>2272</v>
      </c>
      <c r="L2567" s="198" t="s">
        <v>2272</v>
      </c>
      <c r="M2567" s="198" t="s">
        <v>2272</v>
      </c>
      <c r="N2567" s="198" t="s">
        <v>2272</v>
      </c>
      <c r="O2567" s="198" t="s">
        <v>2272</v>
      </c>
      <c r="P2567" s="198" t="s">
        <v>2272</v>
      </c>
      <c r="Q2567" s="198" t="s">
        <v>2272</v>
      </c>
      <c r="R2567" s="198" t="s">
        <v>2272</v>
      </c>
      <c r="S2567" s="198" t="s">
        <v>2272</v>
      </c>
      <c r="T2567" s="198" t="s">
        <v>2272</v>
      </c>
      <c r="U2567" s="198" t="s">
        <v>2272</v>
      </c>
      <c r="V2567" s="198" t="s">
        <v>2272</v>
      </c>
      <c r="W2567" s="198" t="s">
        <v>2272</v>
      </c>
      <c r="X2567" s="198" t="s">
        <v>2272</v>
      </c>
      <c r="Y2567" s="198" t="s">
        <v>2272</v>
      </c>
      <c r="Z2567" s="198" t="s">
        <v>2272</v>
      </c>
      <c r="AA2567" s="198" t="s">
        <v>2272</v>
      </c>
      <c r="AB2567" s="198" t="s">
        <v>2272</v>
      </c>
      <c r="AC2567" s="198" t="s">
        <v>2272</v>
      </c>
      <c r="AD2567" s="198"/>
      <c r="AE2567" s="198"/>
    </row>
    <row r="2568" spans="1:31" ht="29">
      <c r="A2568" s="4" t="s">
        <v>7109</v>
      </c>
      <c r="B2568" s="4" t="s">
        <v>7178</v>
      </c>
      <c r="C2568" s="198" t="s">
        <v>23</v>
      </c>
      <c r="D2568" s="198" t="s">
        <v>2799</v>
      </c>
      <c r="E2568" s="198" t="s">
        <v>44</v>
      </c>
      <c r="F2568" s="4" t="s">
        <v>2657</v>
      </c>
      <c r="G2568" s="4" t="s">
        <v>2272</v>
      </c>
      <c r="H2568" s="198" t="s">
        <v>521</v>
      </c>
      <c r="I2568" s="198"/>
      <c r="J2568" s="198" t="s">
        <v>2272</v>
      </c>
      <c r="K2568" s="198" t="s">
        <v>2272</v>
      </c>
      <c r="L2568" s="198" t="s">
        <v>2272</v>
      </c>
      <c r="M2568" s="198" t="s">
        <v>2272</v>
      </c>
      <c r="N2568" s="198" t="s">
        <v>2272</v>
      </c>
      <c r="O2568" s="198" t="s">
        <v>2272</v>
      </c>
      <c r="P2568" s="198" t="s">
        <v>2272</v>
      </c>
      <c r="Q2568" s="198" t="s">
        <v>2272</v>
      </c>
      <c r="R2568" s="198" t="s">
        <v>2272</v>
      </c>
      <c r="S2568" s="198" t="s">
        <v>2272</v>
      </c>
      <c r="T2568" s="198" t="s">
        <v>2272</v>
      </c>
      <c r="U2568" s="198" t="s">
        <v>2272</v>
      </c>
      <c r="V2568" s="198" t="s">
        <v>2272</v>
      </c>
      <c r="W2568" s="198" t="s">
        <v>2272</v>
      </c>
      <c r="X2568" s="198" t="s">
        <v>2272</v>
      </c>
      <c r="Y2568" s="198" t="s">
        <v>2272</v>
      </c>
      <c r="Z2568" s="198" t="s">
        <v>2272</v>
      </c>
      <c r="AA2568" s="198" t="s">
        <v>2272</v>
      </c>
      <c r="AB2568" s="198" t="s">
        <v>2272</v>
      </c>
      <c r="AC2568" s="198" t="s">
        <v>2272</v>
      </c>
      <c r="AD2568" s="198"/>
      <c r="AE2568" s="198"/>
    </row>
    <row r="2569" spans="1:31" ht="29">
      <c r="A2569" s="4" t="s">
        <v>7110</v>
      </c>
      <c r="B2569" s="4" t="s">
        <v>7179</v>
      </c>
      <c r="C2569" s="198" t="s">
        <v>23</v>
      </c>
      <c r="D2569" s="198" t="s">
        <v>2799</v>
      </c>
      <c r="E2569" s="198" t="s">
        <v>44</v>
      </c>
      <c r="F2569" s="4" t="s">
        <v>2657</v>
      </c>
      <c r="G2569" s="4" t="s">
        <v>2272</v>
      </c>
      <c r="H2569" s="198" t="s">
        <v>521</v>
      </c>
      <c r="I2569" s="198"/>
      <c r="J2569" s="198" t="s">
        <v>2272</v>
      </c>
      <c r="K2569" s="198" t="s">
        <v>2272</v>
      </c>
      <c r="L2569" s="198" t="s">
        <v>2272</v>
      </c>
      <c r="M2569" s="198" t="s">
        <v>2272</v>
      </c>
      <c r="N2569" s="198" t="s">
        <v>2272</v>
      </c>
      <c r="O2569" s="198" t="s">
        <v>2272</v>
      </c>
      <c r="P2569" s="198" t="s">
        <v>2272</v>
      </c>
      <c r="Q2569" s="198" t="s">
        <v>2272</v>
      </c>
      <c r="R2569" s="198" t="s">
        <v>2272</v>
      </c>
      <c r="S2569" s="198" t="s">
        <v>2272</v>
      </c>
      <c r="T2569" s="198" t="s">
        <v>2272</v>
      </c>
      <c r="U2569" s="198" t="s">
        <v>2272</v>
      </c>
      <c r="V2569" s="198" t="s">
        <v>2272</v>
      </c>
      <c r="W2569" s="198" t="s">
        <v>2272</v>
      </c>
      <c r="X2569" s="198" t="s">
        <v>2272</v>
      </c>
      <c r="Y2569" s="198" t="s">
        <v>2272</v>
      </c>
      <c r="Z2569" s="198" t="s">
        <v>2272</v>
      </c>
      <c r="AA2569" s="198" t="s">
        <v>2272</v>
      </c>
      <c r="AB2569" s="198" t="s">
        <v>2272</v>
      </c>
      <c r="AC2569" s="198" t="s">
        <v>2272</v>
      </c>
      <c r="AD2569" s="198"/>
      <c r="AE2569" s="198"/>
    </row>
    <row r="2570" spans="1:31" ht="29">
      <c r="A2570" s="4" t="s">
        <v>7111</v>
      </c>
      <c r="B2570" s="4" t="s">
        <v>7180</v>
      </c>
      <c r="C2570" s="198" t="s">
        <v>23</v>
      </c>
      <c r="D2570" s="198" t="s">
        <v>2799</v>
      </c>
      <c r="E2570" s="198" t="s">
        <v>44</v>
      </c>
      <c r="F2570" s="4" t="s">
        <v>2657</v>
      </c>
      <c r="G2570" s="4" t="s">
        <v>2272</v>
      </c>
      <c r="H2570" s="198" t="s">
        <v>521</v>
      </c>
      <c r="I2570" s="198"/>
      <c r="J2570" s="198" t="s">
        <v>2272</v>
      </c>
      <c r="K2570" s="198" t="s">
        <v>2272</v>
      </c>
      <c r="L2570" s="198" t="s">
        <v>2272</v>
      </c>
      <c r="M2570" s="198" t="s">
        <v>2272</v>
      </c>
      <c r="N2570" s="198" t="s">
        <v>2272</v>
      </c>
      <c r="O2570" s="198" t="s">
        <v>2272</v>
      </c>
      <c r="P2570" s="198" t="s">
        <v>2272</v>
      </c>
      <c r="Q2570" s="198" t="s">
        <v>2272</v>
      </c>
      <c r="R2570" s="198" t="s">
        <v>2272</v>
      </c>
      <c r="S2570" s="198" t="s">
        <v>2272</v>
      </c>
      <c r="T2570" s="198" t="s">
        <v>2272</v>
      </c>
      <c r="U2570" s="198" t="s">
        <v>2272</v>
      </c>
      <c r="V2570" s="198" t="s">
        <v>2272</v>
      </c>
      <c r="W2570" s="198" t="s">
        <v>2272</v>
      </c>
      <c r="X2570" s="198" t="s">
        <v>2272</v>
      </c>
      <c r="Y2570" s="198" t="s">
        <v>2272</v>
      </c>
      <c r="Z2570" s="198" t="s">
        <v>2272</v>
      </c>
      <c r="AA2570" s="198" t="s">
        <v>2272</v>
      </c>
      <c r="AB2570" s="198" t="s">
        <v>2272</v>
      </c>
      <c r="AC2570" s="198" t="s">
        <v>2272</v>
      </c>
      <c r="AD2570" s="198"/>
      <c r="AE2570" s="198"/>
    </row>
    <row r="2571" spans="1:31" ht="29">
      <c r="A2571" s="4" t="s">
        <v>7112</v>
      </c>
      <c r="B2571" s="4" t="s">
        <v>7181</v>
      </c>
      <c r="C2571" s="198" t="s">
        <v>23</v>
      </c>
      <c r="D2571" s="198" t="s">
        <v>2799</v>
      </c>
      <c r="E2571" s="198" t="s">
        <v>44</v>
      </c>
      <c r="F2571" s="4" t="s">
        <v>2657</v>
      </c>
      <c r="G2571" s="4" t="s">
        <v>2272</v>
      </c>
      <c r="H2571" s="198" t="s">
        <v>521</v>
      </c>
      <c r="I2571" s="198"/>
      <c r="J2571" s="198" t="s">
        <v>2272</v>
      </c>
      <c r="K2571" s="198" t="s">
        <v>2272</v>
      </c>
      <c r="L2571" s="198" t="s">
        <v>2272</v>
      </c>
      <c r="M2571" s="198" t="s">
        <v>2272</v>
      </c>
      <c r="N2571" s="198" t="s">
        <v>2272</v>
      </c>
      <c r="O2571" s="198" t="s">
        <v>2272</v>
      </c>
      <c r="P2571" s="198" t="s">
        <v>2272</v>
      </c>
      <c r="Q2571" s="198" t="s">
        <v>2272</v>
      </c>
      <c r="R2571" s="198" t="s">
        <v>2272</v>
      </c>
      <c r="S2571" s="198" t="s">
        <v>2272</v>
      </c>
      <c r="T2571" s="198" t="s">
        <v>2272</v>
      </c>
      <c r="U2571" s="198" t="s">
        <v>2272</v>
      </c>
      <c r="V2571" s="198" t="s">
        <v>2272</v>
      </c>
      <c r="W2571" s="198" t="s">
        <v>2272</v>
      </c>
      <c r="X2571" s="198" t="s">
        <v>2272</v>
      </c>
      <c r="Y2571" s="198" t="s">
        <v>2272</v>
      </c>
      <c r="Z2571" s="198" t="s">
        <v>2272</v>
      </c>
      <c r="AA2571" s="198" t="s">
        <v>2272</v>
      </c>
      <c r="AB2571" s="198" t="s">
        <v>2272</v>
      </c>
      <c r="AC2571" s="198" t="s">
        <v>2272</v>
      </c>
      <c r="AD2571" s="198"/>
      <c r="AE2571" s="198"/>
    </row>
    <row r="2572" spans="1:31" ht="29">
      <c r="A2572" s="4" t="s">
        <v>7113</v>
      </c>
      <c r="B2572" s="4" t="s">
        <v>7182</v>
      </c>
      <c r="C2572" s="198" t="s">
        <v>23</v>
      </c>
      <c r="D2572" s="198" t="s">
        <v>2799</v>
      </c>
      <c r="E2572" s="198" t="s">
        <v>44</v>
      </c>
      <c r="F2572" s="4" t="s">
        <v>2657</v>
      </c>
      <c r="G2572" s="4" t="s">
        <v>2272</v>
      </c>
      <c r="H2572" s="198" t="s">
        <v>521</v>
      </c>
      <c r="I2572" s="198"/>
      <c r="J2572" s="198" t="s">
        <v>2272</v>
      </c>
      <c r="K2572" s="198" t="s">
        <v>2272</v>
      </c>
      <c r="L2572" s="198" t="s">
        <v>2272</v>
      </c>
      <c r="M2572" s="198" t="s">
        <v>2272</v>
      </c>
      <c r="N2572" s="198" t="s">
        <v>2272</v>
      </c>
      <c r="O2572" s="198" t="s">
        <v>2272</v>
      </c>
      <c r="P2572" s="198" t="s">
        <v>2272</v>
      </c>
      <c r="Q2572" s="198" t="s">
        <v>2272</v>
      </c>
      <c r="R2572" s="198" t="s">
        <v>2272</v>
      </c>
      <c r="S2572" s="198" t="s">
        <v>2272</v>
      </c>
      <c r="T2572" s="198" t="s">
        <v>2272</v>
      </c>
      <c r="U2572" s="198" t="s">
        <v>2272</v>
      </c>
      <c r="V2572" s="198" t="s">
        <v>2272</v>
      </c>
      <c r="W2572" s="198" t="s">
        <v>2272</v>
      </c>
      <c r="X2572" s="198" t="s">
        <v>2272</v>
      </c>
      <c r="Y2572" s="198" t="s">
        <v>2272</v>
      </c>
      <c r="Z2572" s="198" t="s">
        <v>2272</v>
      </c>
      <c r="AA2572" s="198" t="s">
        <v>2272</v>
      </c>
      <c r="AB2572" s="198" t="s">
        <v>2272</v>
      </c>
      <c r="AC2572" s="198" t="s">
        <v>2272</v>
      </c>
      <c r="AD2572" s="198"/>
      <c r="AE2572" s="198"/>
    </row>
    <row r="2573" spans="1:31" ht="29">
      <c r="A2573" s="4" t="s">
        <v>7114</v>
      </c>
      <c r="B2573" s="4" t="s">
        <v>7190</v>
      </c>
      <c r="C2573" s="198" t="s">
        <v>23</v>
      </c>
      <c r="D2573" s="198" t="s">
        <v>2799</v>
      </c>
      <c r="E2573" s="198" t="s">
        <v>44</v>
      </c>
      <c r="F2573" s="4" t="s">
        <v>2657</v>
      </c>
      <c r="G2573" s="4" t="s">
        <v>2272</v>
      </c>
      <c r="H2573" s="198" t="s">
        <v>521</v>
      </c>
      <c r="I2573" s="198"/>
      <c r="J2573" s="198" t="s">
        <v>2272</v>
      </c>
      <c r="K2573" s="198" t="s">
        <v>2272</v>
      </c>
      <c r="L2573" s="198" t="s">
        <v>2272</v>
      </c>
      <c r="M2573" s="198" t="s">
        <v>2272</v>
      </c>
      <c r="N2573" s="198" t="s">
        <v>2272</v>
      </c>
      <c r="O2573" s="198" t="s">
        <v>2272</v>
      </c>
      <c r="P2573" s="198" t="s">
        <v>2272</v>
      </c>
      <c r="Q2573" s="198" t="s">
        <v>2272</v>
      </c>
      <c r="R2573" s="198" t="s">
        <v>2272</v>
      </c>
      <c r="S2573" s="198" t="s">
        <v>2272</v>
      </c>
      <c r="T2573" s="198" t="s">
        <v>2272</v>
      </c>
      <c r="U2573" s="198" t="s">
        <v>2272</v>
      </c>
      <c r="V2573" s="198" t="s">
        <v>2272</v>
      </c>
      <c r="W2573" s="198" t="s">
        <v>2272</v>
      </c>
      <c r="X2573" s="198" t="s">
        <v>2272</v>
      </c>
      <c r="Y2573" s="198" t="s">
        <v>2272</v>
      </c>
      <c r="Z2573" s="198" t="s">
        <v>2272</v>
      </c>
      <c r="AA2573" s="198" t="s">
        <v>2272</v>
      </c>
      <c r="AB2573" s="198" t="s">
        <v>2272</v>
      </c>
      <c r="AC2573" s="198" t="s">
        <v>2272</v>
      </c>
      <c r="AD2573" s="198"/>
      <c r="AE2573" s="198"/>
    </row>
    <row r="2574" spans="1:31" ht="37" customHeight="1">
      <c r="A2574" s="4" t="s">
        <v>7158</v>
      </c>
      <c r="B2574" s="4" t="s">
        <v>7210</v>
      </c>
      <c r="C2574" s="198" t="s">
        <v>23</v>
      </c>
      <c r="D2574" s="198" t="s">
        <v>2799</v>
      </c>
      <c r="E2574" s="198" t="s">
        <v>44</v>
      </c>
      <c r="F2574" s="4" t="s">
        <v>2657</v>
      </c>
      <c r="G2574" s="4" t="s">
        <v>2272</v>
      </c>
      <c r="H2574" s="198" t="s">
        <v>521</v>
      </c>
      <c r="I2574" s="198"/>
      <c r="J2574" s="198" t="s">
        <v>2272</v>
      </c>
      <c r="K2574" s="198" t="s">
        <v>2272</v>
      </c>
      <c r="L2574" s="198" t="s">
        <v>2272</v>
      </c>
      <c r="M2574" s="198" t="s">
        <v>2272</v>
      </c>
      <c r="N2574" s="198" t="s">
        <v>2272</v>
      </c>
      <c r="O2574" s="198" t="s">
        <v>2272</v>
      </c>
      <c r="P2574" s="198" t="s">
        <v>2272</v>
      </c>
      <c r="Q2574" s="198" t="s">
        <v>2272</v>
      </c>
      <c r="R2574" s="198" t="s">
        <v>2272</v>
      </c>
      <c r="S2574" s="198" t="s">
        <v>2272</v>
      </c>
      <c r="T2574" s="198" t="s">
        <v>2272</v>
      </c>
      <c r="U2574" s="198" t="s">
        <v>2272</v>
      </c>
      <c r="V2574" s="198" t="s">
        <v>2272</v>
      </c>
      <c r="W2574" s="198" t="s">
        <v>2272</v>
      </c>
      <c r="X2574" s="198" t="s">
        <v>2272</v>
      </c>
      <c r="Y2574" s="198" t="s">
        <v>2272</v>
      </c>
      <c r="Z2574" s="198" t="s">
        <v>2272</v>
      </c>
      <c r="AA2574" s="198" t="s">
        <v>33</v>
      </c>
      <c r="AB2574" s="198" t="s">
        <v>403</v>
      </c>
      <c r="AC2574" s="198" t="s">
        <v>2272</v>
      </c>
      <c r="AD2574" s="198" t="s">
        <v>7211</v>
      </c>
      <c r="AE2574" s="198"/>
    </row>
    <row r="2575" spans="1:31" ht="37" customHeight="1">
      <c r="A2575" s="4" t="s">
        <v>7158</v>
      </c>
      <c r="B2575" s="4" t="s">
        <v>7212</v>
      </c>
      <c r="C2575" s="198" t="s">
        <v>2453</v>
      </c>
      <c r="D2575" s="198" t="s">
        <v>2799</v>
      </c>
      <c r="E2575" s="198" t="s">
        <v>44</v>
      </c>
      <c r="F2575" s="4" t="s">
        <v>2657</v>
      </c>
      <c r="G2575" s="4" t="s">
        <v>2272</v>
      </c>
      <c r="H2575" s="198" t="s">
        <v>521</v>
      </c>
      <c r="I2575" s="198"/>
      <c r="J2575" s="198" t="s">
        <v>2272</v>
      </c>
      <c r="K2575" s="198" t="s">
        <v>2272</v>
      </c>
      <c r="L2575" s="198" t="s">
        <v>2272</v>
      </c>
      <c r="M2575" s="198" t="s">
        <v>2272</v>
      </c>
      <c r="N2575" s="198" t="s">
        <v>2272</v>
      </c>
      <c r="O2575" s="198" t="s">
        <v>2272</v>
      </c>
      <c r="P2575" s="198" t="s">
        <v>2272</v>
      </c>
      <c r="Q2575" s="198" t="s">
        <v>2272</v>
      </c>
      <c r="R2575" s="198" t="s">
        <v>2272</v>
      </c>
      <c r="S2575" s="198" t="s">
        <v>2272</v>
      </c>
      <c r="T2575" s="198" t="s">
        <v>2272</v>
      </c>
      <c r="U2575" s="198" t="s">
        <v>2272</v>
      </c>
      <c r="V2575" s="198" t="s">
        <v>2272</v>
      </c>
      <c r="W2575" s="198" t="s">
        <v>2272</v>
      </c>
      <c r="X2575" s="198" t="s">
        <v>2272</v>
      </c>
      <c r="Y2575" s="198" t="s">
        <v>2272</v>
      </c>
      <c r="Z2575" s="198" t="s">
        <v>2272</v>
      </c>
      <c r="AA2575" s="198" t="s">
        <v>2272</v>
      </c>
      <c r="AB2575" s="198" t="s">
        <v>2272</v>
      </c>
      <c r="AC2575" s="198" t="s">
        <v>2272</v>
      </c>
      <c r="AD2575" s="198" t="s">
        <v>7214</v>
      </c>
      <c r="AE2575" s="198"/>
    </row>
    <row r="2576" spans="1:31" ht="32.5" customHeight="1">
      <c r="A2576" s="4" t="s">
        <v>7159</v>
      </c>
      <c r="B2576" s="4" t="s">
        <v>7213</v>
      </c>
      <c r="C2576" s="198" t="s">
        <v>23</v>
      </c>
      <c r="D2576" s="198" t="s">
        <v>2799</v>
      </c>
      <c r="E2576" s="198" t="s">
        <v>44</v>
      </c>
      <c r="F2576" s="4" t="s">
        <v>2657</v>
      </c>
      <c r="G2576" s="4" t="s">
        <v>2272</v>
      </c>
      <c r="H2576" s="198" t="s">
        <v>521</v>
      </c>
      <c r="I2576" s="198"/>
      <c r="J2576" s="198" t="s">
        <v>2272</v>
      </c>
      <c r="K2576" s="198" t="s">
        <v>2272</v>
      </c>
      <c r="L2576" s="198" t="s">
        <v>2272</v>
      </c>
      <c r="M2576" s="198" t="s">
        <v>2272</v>
      </c>
      <c r="N2576" s="198" t="s">
        <v>2272</v>
      </c>
      <c r="O2576" s="198" t="s">
        <v>2272</v>
      </c>
      <c r="P2576" s="198" t="s">
        <v>2272</v>
      </c>
      <c r="Q2576" s="198" t="s">
        <v>2272</v>
      </c>
      <c r="R2576" s="198" t="s">
        <v>2272</v>
      </c>
      <c r="S2576" s="198" t="s">
        <v>2272</v>
      </c>
      <c r="T2576" s="198" t="s">
        <v>2272</v>
      </c>
      <c r="U2576" s="198" t="s">
        <v>2272</v>
      </c>
      <c r="V2576" s="198" t="s">
        <v>2272</v>
      </c>
      <c r="W2576" s="198" t="s">
        <v>2272</v>
      </c>
      <c r="X2576" s="198" t="s">
        <v>2272</v>
      </c>
      <c r="Y2576" s="198" t="s">
        <v>2272</v>
      </c>
      <c r="Z2576" s="198" t="s">
        <v>2272</v>
      </c>
      <c r="AA2576" s="198" t="s">
        <v>33</v>
      </c>
      <c r="AB2576" s="198" t="s">
        <v>403</v>
      </c>
      <c r="AC2576" s="198" t="s">
        <v>2272</v>
      </c>
      <c r="AD2576" s="198" t="s">
        <v>7211</v>
      </c>
      <c r="AE2576" s="198"/>
    </row>
    <row r="2577" spans="1:31" ht="35.5" customHeight="1">
      <c r="A2577" s="4" t="s">
        <v>7160</v>
      </c>
      <c r="B2577" s="4" t="s">
        <v>7215</v>
      </c>
      <c r="C2577" s="198" t="s">
        <v>23</v>
      </c>
      <c r="D2577" s="198" t="s">
        <v>2799</v>
      </c>
      <c r="E2577" s="198" t="s">
        <v>44</v>
      </c>
      <c r="F2577" s="4" t="s">
        <v>2657</v>
      </c>
      <c r="G2577" s="4" t="s">
        <v>2272</v>
      </c>
      <c r="H2577" s="198" t="s">
        <v>521</v>
      </c>
      <c r="I2577" s="198"/>
      <c r="J2577" s="198" t="s">
        <v>2272</v>
      </c>
      <c r="K2577" s="198" t="s">
        <v>2272</v>
      </c>
      <c r="L2577" s="198" t="s">
        <v>2272</v>
      </c>
      <c r="M2577" s="198" t="s">
        <v>2272</v>
      </c>
      <c r="N2577" s="198" t="s">
        <v>2272</v>
      </c>
      <c r="O2577" s="198" t="s">
        <v>2272</v>
      </c>
      <c r="P2577" s="198" t="s">
        <v>2272</v>
      </c>
      <c r="Q2577" s="198" t="s">
        <v>2272</v>
      </c>
      <c r="R2577" s="198" t="s">
        <v>2272</v>
      </c>
      <c r="S2577" s="198" t="s">
        <v>2272</v>
      </c>
      <c r="T2577" s="198" t="s">
        <v>2272</v>
      </c>
      <c r="U2577" s="198" t="s">
        <v>2272</v>
      </c>
      <c r="V2577" s="198" t="s">
        <v>2272</v>
      </c>
      <c r="W2577" s="198" t="s">
        <v>2272</v>
      </c>
      <c r="X2577" s="198" t="s">
        <v>2272</v>
      </c>
      <c r="Y2577" s="198" t="s">
        <v>2272</v>
      </c>
      <c r="Z2577" s="198" t="s">
        <v>2272</v>
      </c>
      <c r="AA2577" s="198" t="s">
        <v>33</v>
      </c>
      <c r="AB2577" s="198" t="s">
        <v>403</v>
      </c>
      <c r="AC2577" s="198" t="s">
        <v>2272</v>
      </c>
      <c r="AD2577" s="198" t="s">
        <v>7211</v>
      </c>
      <c r="AE2577" s="198"/>
    </row>
    <row r="2578" spans="1:31" ht="29">
      <c r="A2578" s="4" t="s">
        <v>7161</v>
      </c>
      <c r="B2578" s="4" t="s">
        <v>7217</v>
      </c>
      <c r="C2578" s="198" t="s">
        <v>23</v>
      </c>
      <c r="D2578" s="198" t="s">
        <v>2799</v>
      </c>
      <c r="E2578" s="198" t="s">
        <v>44</v>
      </c>
      <c r="F2578" s="4" t="s">
        <v>2657</v>
      </c>
      <c r="G2578" s="4" t="s">
        <v>2272</v>
      </c>
      <c r="H2578" s="198" t="s">
        <v>521</v>
      </c>
      <c r="I2578" s="198"/>
      <c r="J2578" s="198" t="s">
        <v>2272</v>
      </c>
      <c r="K2578" s="198" t="s">
        <v>2272</v>
      </c>
      <c r="L2578" s="198" t="s">
        <v>2272</v>
      </c>
      <c r="M2578" s="198" t="s">
        <v>2272</v>
      </c>
      <c r="N2578" s="198" t="s">
        <v>2272</v>
      </c>
      <c r="O2578" s="198" t="s">
        <v>2272</v>
      </c>
      <c r="P2578" s="198" t="s">
        <v>2272</v>
      </c>
      <c r="Q2578" s="198" t="s">
        <v>2272</v>
      </c>
      <c r="R2578" s="198" t="s">
        <v>2272</v>
      </c>
      <c r="S2578" s="198" t="s">
        <v>2272</v>
      </c>
      <c r="T2578" s="198" t="s">
        <v>2272</v>
      </c>
      <c r="U2578" s="198" t="s">
        <v>2272</v>
      </c>
      <c r="V2578" s="198" t="s">
        <v>2272</v>
      </c>
      <c r="W2578" s="198" t="s">
        <v>2272</v>
      </c>
      <c r="X2578" s="198" t="s">
        <v>2272</v>
      </c>
      <c r="Y2578" s="198" t="s">
        <v>2272</v>
      </c>
      <c r="Z2578" s="198" t="s">
        <v>2272</v>
      </c>
      <c r="AA2578" s="198" t="s">
        <v>2272</v>
      </c>
      <c r="AB2578" s="198" t="s">
        <v>2272</v>
      </c>
      <c r="AC2578" s="198" t="s">
        <v>2272</v>
      </c>
      <c r="AD2578" s="198"/>
      <c r="AE2578" s="198"/>
    </row>
    <row r="2579" spans="1:31" ht="29">
      <c r="A2579" s="4" t="s">
        <v>7161</v>
      </c>
      <c r="B2579" s="4" t="s">
        <v>7218</v>
      </c>
      <c r="C2579" s="198" t="s">
        <v>23</v>
      </c>
      <c r="D2579" s="198" t="s">
        <v>2799</v>
      </c>
      <c r="E2579" s="198" t="s">
        <v>5000</v>
      </c>
      <c r="F2579" s="4" t="s">
        <v>2657</v>
      </c>
      <c r="G2579" s="4" t="s">
        <v>2272</v>
      </c>
      <c r="H2579" s="198" t="s">
        <v>521</v>
      </c>
      <c r="I2579" s="198"/>
      <c r="J2579" s="198" t="s">
        <v>2272</v>
      </c>
      <c r="K2579" s="198" t="s">
        <v>2272</v>
      </c>
      <c r="L2579" s="198" t="s">
        <v>2272</v>
      </c>
      <c r="M2579" s="198" t="s">
        <v>2272</v>
      </c>
      <c r="N2579" s="198" t="s">
        <v>2272</v>
      </c>
      <c r="O2579" s="198" t="s">
        <v>2272</v>
      </c>
      <c r="P2579" s="198" t="s">
        <v>2272</v>
      </c>
      <c r="Q2579" s="198" t="s">
        <v>2272</v>
      </c>
      <c r="R2579" s="198" t="s">
        <v>2272</v>
      </c>
      <c r="S2579" s="198" t="s">
        <v>2272</v>
      </c>
      <c r="T2579" s="198" t="s">
        <v>2272</v>
      </c>
      <c r="U2579" s="198" t="s">
        <v>2272</v>
      </c>
      <c r="V2579" s="198" t="s">
        <v>2272</v>
      </c>
      <c r="W2579" s="198" t="s">
        <v>2272</v>
      </c>
      <c r="X2579" s="198" t="s">
        <v>2272</v>
      </c>
      <c r="Y2579" s="198" t="s">
        <v>2272</v>
      </c>
      <c r="Z2579" s="198" t="s">
        <v>2272</v>
      </c>
      <c r="AA2579" s="198" t="s">
        <v>2272</v>
      </c>
      <c r="AB2579" s="198" t="s">
        <v>2272</v>
      </c>
      <c r="AC2579" s="198" t="s">
        <v>2272</v>
      </c>
      <c r="AD2579" s="198"/>
      <c r="AE2579" s="198"/>
    </row>
    <row r="2580" spans="1:31" ht="29">
      <c r="A2580" s="4" t="s">
        <v>7219</v>
      </c>
      <c r="B2580" s="4" t="s">
        <v>7220</v>
      </c>
      <c r="C2580" s="198" t="s">
        <v>23</v>
      </c>
      <c r="D2580" s="198" t="s">
        <v>2799</v>
      </c>
      <c r="E2580" s="198" t="s">
        <v>44</v>
      </c>
      <c r="F2580" s="4" t="s">
        <v>2657</v>
      </c>
      <c r="G2580" s="4" t="s">
        <v>2272</v>
      </c>
      <c r="H2580" s="198" t="s">
        <v>521</v>
      </c>
      <c r="I2580" s="198"/>
      <c r="J2580" s="198" t="s">
        <v>2272</v>
      </c>
      <c r="K2580" s="198" t="s">
        <v>2272</v>
      </c>
      <c r="L2580" s="198" t="s">
        <v>2272</v>
      </c>
      <c r="M2580" s="198" t="s">
        <v>2272</v>
      </c>
      <c r="N2580" s="198" t="s">
        <v>2272</v>
      </c>
      <c r="O2580" s="198" t="s">
        <v>2272</v>
      </c>
      <c r="P2580" s="198" t="s">
        <v>2272</v>
      </c>
      <c r="Q2580" s="198" t="s">
        <v>2272</v>
      </c>
      <c r="R2580" s="198" t="s">
        <v>2272</v>
      </c>
      <c r="S2580" s="198" t="s">
        <v>2272</v>
      </c>
      <c r="T2580" s="198" t="s">
        <v>2272</v>
      </c>
      <c r="U2580" s="198" t="s">
        <v>2272</v>
      </c>
      <c r="V2580" s="198" t="s">
        <v>2272</v>
      </c>
      <c r="W2580" s="198" t="s">
        <v>2272</v>
      </c>
      <c r="X2580" s="198" t="s">
        <v>2272</v>
      </c>
      <c r="Y2580" s="198" t="s">
        <v>2272</v>
      </c>
      <c r="Z2580" s="198" t="s">
        <v>2272</v>
      </c>
      <c r="AA2580" s="198" t="s">
        <v>2272</v>
      </c>
      <c r="AB2580" s="198" t="s">
        <v>2272</v>
      </c>
      <c r="AC2580" s="198" t="s">
        <v>2272</v>
      </c>
      <c r="AD2580" s="198"/>
      <c r="AE2580" s="198"/>
    </row>
    <row r="2581" spans="1:31" ht="29">
      <c r="A2581" s="4" t="s">
        <v>7219</v>
      </c>
      <c r="B2581" s="4" t="s">
        <v>7221</v>
      </c>
      <c r="C2581" s="198" t="s">
        <v>23</v>
      </c>
      <c r="D2581" s="198" t="s">
        <v>2799</v>
      </c>
      <c r="E2581" s="198" t="s">
        <v>5000</v>
      </c>
      <c r="F2581" s="4" t="s">
        <v>2657</v>
      </c>
      <c r="G2581" s="4" t="s">
        <v>2272</v>
      </c>
      <c r="H2581" s="198" t="s">
        <v>521</v>
      </c>
      <c r="I2581" s="198"/>
      <c r="J2581" s="198" t="s">
        <v>2272</v>
      </c>
      <c r="K2581" s="198" t="s">
        <v>2272</v>
      </c>
      <c r="L2581" s="198" t="s">
        <v>2272</v>
      </c>
      <c r="M2581" s="198" t="s">
        <v>2272</v>
      </c>
      <c r="N2581" s="198" t="s">
        <v>2272</v>
      </c>
      <c r="O2581" s="198" t="s">
        <v>2272</v>
      </c>
      <c r="P2581" s="198" t="s">
        <v>2272</v>
      </c>
      <c r="Q2581" s="198" t="s">
        <v>2272</v>
      </c>
      <c r="R2581" s="198" t="s">
        <v>2272</v>
      </c>
      <c r="S2581" s="198" t="s">
        <v>2272</v>
      </c>
      <c r="T2581" s="198" t="s">
        <v>2272</v>
      </c>
      <c r="U2581" s="198" t="s">
        <v>2272</v>
      </c>
      <c r="V2581" s="198" t="s">
        <v>2272</v>
      </c>
      <c r="W2581" s="198" t="s">
        <v>2272</v>
      </c>
      <c r="X2581" s="198" t="s">
        <v>2272</v>
      </c>
      <c r="Y2581" s="198" t="s">
        <v>2272</v>
      </c>
      <c r="Z2581" s="198" t="s">
        <v>2272</v>
      </c>
      <c r="AA2581" s="198" t="s">
        <v>2272</v>
      </c>
      <c r="AB2581" s="198" t="s">
        <v>2272</v>
      </c>
      <c r="AC2581" s="198" t="s">
        <v>2272</v>
      </c>
      <c r="AD2581" s="198"/>
      <c r="AE2581" s="198"/>
    </row>
    <row r="2582" spans="1:31" ht="31.5" customHeight="1">
      <c r="A2582" s="4" t="s">
        <v>7223</v>
      </c>
      <c r="B2582" s="4" t="s">
        <v>7230</v>
      </c>
      <c r="C2582" s="198" t="s">
        <v>23</v>
      </c>
      <c r="D2582" s="198" t="s">
        <v>1238</v>
      </c>
      <c r="E2582" s="198" t="s">
        <v>3204</v>
      </c>
      <c r="F2582" s="4" t="s">
        <v>2657</v>
      </c>
      <c r="G2582" s="4" t="s">
        <v>2272</v>
      </c>
      <c r="H2582" s="198" t="s">
        <v>521</v>
      </c>
      <c r="I2582" s="198"/>
      <c r="J2582" s="198" t="s">
        <v>2272</v>
      </c>
      <c r="K2582" s="198" t="s">
        <v>2272</v>
      </c>
      <c r="L2582" s="198" t="s">
        <v>2272</v>
      </c>
      <c r="M2582" s="198" t="s">
        <v>2272</v>
      </c>
      <c r="N2582" s="198" t="s">
        <v>2272</v>
      </c>
      <c r="O2582" s="198" t="s">
        <v>2272</v>
      </c>
      <c r="P2582" s="198" t="s">
        <v>2272</v>
      </c>
      <c r="Q2582" s="198" t="s">
        <v>2272</v>
      </c>
      <c r="R2582" s="198" t="s">
        <v>2272</v>
      </c>
      <c r="S2582" s="198" t="s">
        <v>2272</v>
      </c>
      <c r="T2582" s="198" t="s">
        <v>2272</v>
      </c>
      <c r="U2582" s="14">
        <v>10000</v>
      </c>
      <c r="V2582" s="198" t="s">
        <v>2272</v>
      </c>
      <c r="W2582" s="198" t="s">
        <v>2272</v>
      </c>
      <c r="X2582" s="198" t="s">
        <v>2272</v>
      </c>
      <c r="Y2582" s="14">
        <f>10000/'Record info'!K1115</f>
        <v>6.4794494541387804E-3</v>
      </c>
      <c r="Z2582" s="198" t="s">
        <v>2272</v>
      </c>
      <c r="AA2582" s="198" t="s">
        <v>2272</v>
      </c>
      <c r="AB2582" s="198" t="s">
        <v>2272</v>
      </c>
      <c r="AC2582" s="198" t="s">
        <v>2272</v>
      </c>
      <c r="AD2582" s="4" t="s">
        <v>7239</v>
      </c>
      <c r="AE2582" s="198"/>
    </row>
    <row r="2583" spans="1:31" ht="39" customHeight="1">
      <c r="A2583" s="4" t="s">
        <v>7224</v>
      </c>
      <c r="B2583" s="4" t="s">
        <v>7231</v>
      </c>
      <c r="C2583" s="198" t="s">
        <v>23</v>
      </c>
      <c r="D2583" s="198" t="s">
        <v>1238</v>
      </c>
      <c r="E2583" s="198" t="s">
        <v>3204</v>
      </c>
      <c r="F2583" s="4" t="s">
        <v>2657</v>
      </c>
      <c r="G2583" s="4" t="s">
        <v>2272</v>
      </c>
      <c r="H2583" s="198" t="s">
        <v>522</v>
      </c>
      <c r="I2583" s="198"/>
      <c r="J2583" s="21">
        <v>0</v>
      </c>
      <c r="K2583" s="21">
        <v>0</v>
      </c>
      <c r="L2583" s="21">
        <v>0</v>
      </c>
      <c r="M2583" s="21">
        <v>0</v>
      </c>
      <c r="N2583" s="21">
        <v>0</v>
      </c>
      <c r="O2583" s="21">
        <v>0</v>
      </c>
      <c r="P2583" s="21">
        <v>0</v>
      </c>
      <c r="Q2583" s="21">
        <v>0</v>
      </c>
      <c r="R2583" s="21">
        <v>0</v>
      </c>
      <c r="S2583" s="21">
        <v>0</v>
      </c>
      <c r="T2583" s="21">
        <v>0</v>
      </c>
      <c r="U2583" s="21">
        <v>0</v>
      </c>
      <c r="V2583" s="21">
        <v>0</v>
      </c>
      <c r="W2583" s="21">
        <v>0</v>
      </c>
      <c r="X2583" s="21">
        <v>0</v>
      </c>
      <c r="Y2583" s="21">
        <v>0</v>
      </c>
      <c r="Z2583" s="198" t="s">
        <v>2272</v>
      </c>
      <c r="AA2583" s="198" t="s">
        <v>2272</v>
      </c>
      <c r="AB2583" s="198" t="s">
        <v>2272</v>
      </c>
      <c r="AC2583" s="198" t="s">
        <v>2272</v>
      </c>
      <c r="AD2583" s="4" t="s">
        <v>7239</v>
      </c>
      <c r="AE2583" s="198"/>
    </row>
    <row r="2584" spans="1:31" ht="31.5" customHeight="1">
      <c r="A2584" s="4" t="s">
        <v>7224</v>
      </c>
      <c r="B2584" s="4" t="s">
        <v>7232</v>
      </c>
      <c r="C2584" s="198" t="s">
        <v>23</v>
      </c>
      <c r="D2584" s="198" t="s">
        <v>1238</v>
      </c>
      <c r="E2584" s="198" t="s">
        <v>3204</v>
      </c>
      <c r="F2584" s="4" t="s">
        <v>2657</v>
      </c>
      <c r="G2584" s="4" t="s">
        <v>2272</v>
      </c>
      <c r="H2584" s="198" t="s">
        <v>522</v>
      </c>
      <c r="I2584" s="198"/>
      <c r="J2584" s="21">
        <v>0</v>
      </c>
      <c r="K2584" s="21">
        <v>0</v>
      </c>
      <c r="L2584" s="21">
        <v>0</v>
      </c>
      <c r="M2584" s="21">
        <v>0</v>
      </c>
      <c r="N2584" s="21">
        <v>0</v>
      </c>
      <c r="O2584" s="21">
        <v>0</v>
      </c>
      <c r="P2584" s="21">
        <v>0</v>
      </c>
      <c r="Q2584" s="21">
        <v>0</v>
      </c>
      <c r="R2584" s="21">
        <v>0</v>
      </c>
      <c r="S2584" s="21">
        <v>0</v>
      </c>
      <c r="T2584" s="21">
        <v>0</v>
      </c>
      <c r="U2584" s="21">
        <v>0</v>
      </c>
      <c r="V2584" s="21">
        <v>0</v>
      </c>
      <c r="W2584" s="21">
        <v>0</v>
      </c>
      <c r="X2584" s="21">
        <v>0</v>
      </c>
      <c r="Y2584" s="21">
        <v>0</v>
      </c>
      <c r="Z2584" s="198" t="s">
        <v>2272</v>
      </c>
      <c r="AA2584" s="198" t="s">
        <v>2272</v>
      </c>
      <c r="AB2584" s="198" t="s">
        <v>2272</v>
      </c>
      <c r="AC2584" s="198" t="s">
        <v>2272</v>
      </c>
      <c r="AD2584" s="198"/>
      <c r="AE2584" s="198"/>
    </row>
    <row r="2585" spans="1:31" ht="32.5" customHeight="1">
      <c r="A2585" s="4" t="s">
        <v>7225</v>
      </c>
      <c r="B2585" s="4" t="s">
        <v>7238</v>
      </c>
      <c r="C2585" s="198" t="s">
        <v>23</v>
      </c>
      <c r="D2585" s="198" t="s">
        <v>1238</v>
      </c>
      <c r="E2585" s="198" t="s">
        <v>3204</v>
      </c>
      <c r="F2585" s="4" t="s">
        <v>2657</v>
      </c>
      <c r="G2585" s="4" t="s">
        <v>2272</v>
      </c>
      <c r="H2585" s="198" t="s">
        <v>521</v>
      </c>
      <c r="I2585" s="198"/>
      <c r="J2585" s="198" t="s">
        <v>2272</v>
      </c>
      <c r="K2585" s="198" t="s">
        <v>2272</v>
      </c>
      <c r="L2585" s="198" t="s">
        <v>2272</v>
      </c>
      <c r="M2585" s="198" t="s">
        <v>2272</v>
      </c>
      <c r="N2585" s="198" t="s">
        <v>2272</v>
      </c>
      <c r="O2585" s="198" t="s">
        <v>2272</v>
      </c>
      <c r="P2585" s="198" t="s">
        <v>2272</v>
      </c>
      <c r="Q2585" s="198" t="s">
        <v>2272</v>
      </c>
      <c r="R2585" s="198" t="s">
        <v>2272</v>
      </c>
      <c r="S2585" s="198" t="s">
        <v>2272</v>
      </c>
      <c r="T2585" s="198" t="s">
        <v>2272</v>
      </c>
      <c r="U2585" s="198" t="s">
        <v>2272</v>
      </c>
      <c r="V2585" s="198" t="s">
        <v>2272</v>
      </c>
      <c r="W2585" s="198" t="s">
        <v>2272</v>
      </c>
      <c r="X2585" s="198" t="s">
        <v>2272</v>
      </c>
      <c r="Y2585" s="21">
        <v>0.6</v>
      </c>
      <c r="Z2585" s="198" t="s">
        <v>2272</v>
      </c>
      <c r="AA2585" s="198" t="s">
        <v>2272</v>
      </c>
      <c r="AB2585" s="198" t="s">
        <v>2272</v>
      </c>
      <c r="AC2585" s="198" t="s">
        <v>2272</v>
      </c>
      <c r="AD2585" s="198"/>
      <c r="AE2585" s="198"/>
    </row>
    <row r="2586" spans="1:31" ht="29" customHeight="1">
      <c r="A2586" s="4" t="s">
        <v>7226</v>
      </c>
      <c r="B2586" s="4" t="s">
        <v>7240</v>
      </c>
      <c r="C2586" s="198" t="s">
        <v>23</v>
      </c>
      <c r="D2586" s="198" t="s">
        <v>1238</v>
      </c>
      <c r="E2586" s="198" t="s">
        <v>3204</v>
      </c>
      <c r="F2586" s="4" t="s">
        <v>2657</v>
      </c>
      <c r="G2586" s="4" t="s">
        <v>2272</v>
      </c>
      <c r="H2586" s="198" t="s">
        <v>521</v>
      </c>
      <c r="I2586" s="198"/>
      <c r="J2586" s="198" t="s">
        <v>2272</v>
      </c>
      <c r="K2586" s="198" t="s">
        <v>2272</v>
      </c>
      <c r="L2586" s="198" t="s">
        <v>2272</v>
      </c>
      <c r="M2586" s="198" t="s">
        <v>2272</v>
      </c>
      <c r="N2586" s="198" t="s">
        <v>2272</v>
      </c>
      <c r="O2586" s="198" t="s">
        <v>2272</v>
      </c>
      <c r="P2586" s="198" t="s">
        <v>2272</v>
      </c>
      <c r="Q2586" s="198" t="s">
        <v>2272</v>
      </c>
      <c r="R2586" s="198" t="s">
        <v>2272</v>
      </c>
      <c r="S2586" s="198" t="s">
        <v>2272</v>
      </c>
      <c r="T2586" s="198" t="s">
        <v>2272</v>
      </c>
      <c r="U2586" s="198" t="s">
        <v>2272</v>
      </c>
      <c r="V2586" s="198" t="s">
        <v>2272</v>
      </c>
      <c r="W2586" s="198" t="s">
        <v>2272</v>
      </c>
      <c r="X2586" s="198" t="s">
        <v>2272</v>
      </c>
      <c r="Y2586" s="198" t="s">
        <v>2272</v>
      </c>
      <c r="Z2586" s="198" t="s">
        <v>2272</v>
      </c>
      <c r="AA2586" s="198" t="s">
        <v>2272</v>
      </c>
      <c r="AB2586" s="198" t="s">
        <v>2272</v>
      </c>
      <c r="AC2586" s="198" t="s">
        <v>2272</v>
      </c>
      <c r="AD2586" s="198"/>
      <c r="AE2586" s="198"/>
    </row>
    <row r="2587" spans="1:31" ht="30" customHeight="1">
      <c r="A2587" s="4" t="s">
        <v>7226</v>
      </c>
      <c r="B2587" s="198" t="s">
        <v>7242</v>
      </c>
      <c r="C2587" s="198" t="s">
        <v>23</v>
      </c>
      <c r="D2587" s="198" t="s">
        <v>2799</v>
      </c>
      <c r="E2587" s="198" t="s">
        <v>44</v>
      </c>
      <c r="F2587" s="4" t="s">
        <v>2657</v>
      </c>
      <c r="G2587" s="4" t="s">
        <v>2272</v>
      </c>
      <c r="H2587" s="198" t="s">
        <v>521</v>
      </c>
      <c r="I2587" s="198"/>
      <c r="J2587" s="198" t="s">
        <v>2272</v>
      </c>
      <c r="K2587" s="198" t="s">
        <v>2272</v>
      </c>
      <c r="L2587" s="198" t="s">
        <v>2272</v>
      </c>
      <c r="M2587" s="198" t="s">
        <v>2272</v>
      </c>
      <c r="N2587" s="198" t="s">
        <v>2272</v>
      </c>
      <c r="O2587" s="198" t="s">
        <v>2272</v>
      </c>
      <c r="P2587" s="198" t="s">
        <v>2272</v>
      </c>
      <c r="Q2587" s="198" t="s">
        <v>2272</v>
      </c>
      <c r="R2587" s="198" t="s">
        <v>2272</v>
      </c>
      <c r="S2587" s="198" t="s">
        <v>2272</v>
      </c>
      <c r="T2587" s="21">
        <v>10000</v>
      </c>
      <c r="U2587" s="198" t="s">
        <v>2272</v>
      </c>
      <c r="V2587" s="198" t="s">
        <v>2272</v>
      </c>
      <c r="W2587" s="198" t="s">
        <v>2272</v>
      </c>
      <c r="X2587" s="21">
        <f>T2587/'Record info'!K1118</f>
        <v>1.3080444735120995</v>
      </c>
      <c r="Y2587" s="198" t="s">
        <v>2272</v>
      </c>
      <c r="Z2587" s="198" t="s">
        <v>2272</v>
      </c>
      <c r="AA2587" s="198" t="s">
        <v>2272</v>
      </c>
      <c r="AB2587" s="198" t="s">
        <v>2272</v>
      </c>
      <c r="AC2587" s="198" t="s">
        <v>2272</v>
      </c>
      <c r="AD2587" s="198"/>
      <c r="AE2587" s="198"/>
    </row>
    <row r="2588" spans="1:31" ht="34.5" customHeight="1">
      <c r="A2588" s="4" t="s">
        <v>7226</v>
      </c>
      <c r="B2588" s="4" t="s">
        <v>7243</v>
      </c>
      <c r="C2588" s="198" t="s">
        <v>2453</v>
      </c>
      <c r="D2588" s="198" t="s">
        <v>2799</v>
      </c>
      <c r="E2588" s="198" t="s">
        <v>44</v>
      </c>
      <c r="F2588" s="4" t="s">
        <v>2657</v>
      </c>
      <c r="G2588" s="4" t="s">
        <v>2272</v>
      </c>
      <c r="H2588" s="198" t="s">
        <v>521</v>
      </c>
      <c r="I2588" s="198"/>
      <c r="J2588" s="198" t="s">
        <v>2272</v>
      </c>
      <c r="K2588" s="198" t="s">
        <v>2272</v>
      </c>
      <c r="L2588" s="198" t="s">
        <v>2272</v>
      </c>
      <c r="M2588" s="198" t="s">
        <v>2272</v>
      </c>
      <c r="N2588" s="198" t="s">
        <v>2272</v>
      </c>
      <c r="O2588" s="198" t="s">
        <v>2272</v>
      </c>
      <c r="P2588" s="198" t="s">
        <v>2272</v>
      </c>
      <c r="Q2588" s="198" t="s">
        <v>2272</v>
      </c>
      <c r="R2588" s="198" t="s">
        <v>2272</v>
      </c>
      <c r="S2588" s="198" t="s">
        <v>2272</v>
      </c>
      <c r="T2588" s="198" t="s">
        <v>2272</v>
      </c>
      <c r="U2588" s="198" t="s">
        <v>2272</v>
      </c>
      <c r="V2588" s="198" t="s">
        <v>2272</v>
      </c>
      <c r="W2588" s="198" t="s">
        <v>2272</v>
      </c>
      <c r="X2588" s="198" t="s">
        <v>2272</v>
      </c>
      <c r="Y2588" s="198" t="s">
        <v>2272</v>
      </c>
      <c r="Z2588" s="198" t="s">
        <v>2272</v>
      </c>
      <c r="AA2588" s="198" t="s">
        <v>2272</v>
      </c>
      <c r="AB2588" s="198" t="s">
        <v>2272</v>
      </c>
      <c r="AC2588" s="198" t="s">
        <v>2272</v>
      </c>
      <c r="AD2588" s="198"/>
      <c r="AE2588" s="198"/>
    </row>
    <row r="2589" spans="1:31" ht="28" customHeight="1">
      <c r="A2589" s="4" t="s">
        <v>7227</v>
      </c>
      <c r="B2589" s="4" t="s">
        <v>7241</v>
      </c>
      <c r="C2589" s="198" t="s">
        <v>23</v>
      </c>
      <c r="D2589" s="198" t="s">
        <v>2799</v>
      </c>
      <c r="E2589" s="198" t="s">
        <v>44</v>
      </c>
      <c r="F2589" s="4" t="s">
        <v>2657</v>
      </c>
      <c r="G2589" s="4" t="s">
        <v>2272</v>
      </c>
      <c r="H2589" s="198" t="s">
        <v>521</v>
      </c>
      <c r="I2589" s="198">
        <v>1980</v>
      </c>
      <c r="J2589" s="198" t="s">
        <v>2272</v>
      </c>
      <c r="K2589" s="198" t="s">
        <v>2272</v>
      </c>
      <c r="L2589" s="198" t="s">
        <v>2272</v>
      </c>
      <c r="M2589" s="198" t="s">
        <v>2272</v>
      </c>
      <c r="N2589" s="198" t="s">
        <v>2272</v>
      </c>
      <c r="O2589" s="198" t="s">
        <v>2272</v>
      </c>
      <c r="P2589" s="198" t="s">
        <v>2272</v>
      </c>
      <c r="Q2589" s="198" t="s">
        <v>2272</v>
      </c>
      <c r="R2589" s="198" t="s">
        <v>2272</v>
      </c>
      <c r="S2589" s="198" t="s">
        <v>2272</v>
      </c>
      <c r="T2589" s="198" t="s">
        <v>2272</v>
      </c>
      <c r="U2589" s="198" t="s">
        <v>2272</v>
      </c>
      <c r="V2589" s="198" t="s">
        <v>2272</v>
      </c>
      <c r="W2589" s="198" t="s">
        <v>2272</v>
      </c>
      <c r="X2589" s="198" t="s">
        <v>2272</v>
      </c>
      <c r="Y2589" s="198" t="s">
        <v>2272</v>
      </c>
      <c r="Z2589" s="198" t="s">
        <v>2272</v>
      </c>
      <c r="AA2589" s="198" t="s">
        <v>2272</v>
      </c>
      <c r="AB2589" s="198" t="s">
        <v>2272</v>
      </c>
      <c r="AC2589" s="198" t="s">
        <v>2272</v>
      </c>
      <c r="AD2589" s="198"/>
      <c r="AE2589" s="198"/>
    </row>
    <row r="2590" spans="1:31" ht="28" customHeight="1">
      <c r="A2590" s="4" t="s">
        <v>7227</v>
      </c>
      <c r="B2590" s="4" t="s">
        <v>7248</v>
      </c>
      <c r="C2590" s="198" t="s">
        <v>23</v>
      </c>
      <c r="D2590" s="198" t="s">
        <v>2799</v>
      </c>
      <c r="E2590" s="198" t="s">
        <v>44</v>
      </c>
      <c r="F2590" s="4" t="s">
        <v>2657</v>
      </c>
      <c r="G2590" s="4" t="s">
        <v>2272</v>
      </c>
      <c r="H2590" s="198" t="s">
        <v>521</v>
      </c>
      <c r="I2590" s="198">
        <v>1990</v>
      </c>
      <c r="J2590" s="198" t="s">
        <v>2272</v>
      </c>
      <c r="K2590" s="198" t="s">
        <v>2272</v>
      </c>
      <c r="L2590" s="198" t="s">
        <v>2272</v>
      </c>
      <c r="M2590" s="198" t="s">
        <v>2272</v>
      </c>
      <c r="N2590" s="198" t="s">
        <v>2272</v>
      </c>
      <c r="O2590" s="198" t="s">
        <v>2272</v>
      </c>
      <c r="P2590" s="198" t="s">
        <v>2272</v>
      </c>
      <c r="Q2590" s="198" t="s">
        <v>2272</v>
      </c>
      <c r="R2590" s="198" t="s">
        <v>2272</v>
      </c>
      <c r="S2590" s="198" t="s">
        <v>2272</v>
      </c>
      <c r="T2590" s="198" t="s">
        <v>2272</v>
      </c>
      <c r="U2590" s="198" t="s">
        <v>2272</v>
      </c>
      <c r="V2590" s="198" t="s">
        <v>2272</v>
      </c>
      <c r="W2590" s="198" t="s">
        <v>2272</v>
      </c>
      <c r="X2590" s="198" t="s">
        <v>2272</v>
      </c>
      <c r="Y2590" s="198" t="s">
        <v>2272</v>
      </c>
      <c r="Z2590" s="198" t="s">
        <v>2272</v>
      </c>
      <c r="AA2590" s="198" t="s">
        <v>2272</v>
      </c>
      <c r="AB2590" s="198" t="s">
        <v>2272</v>
      </c>
      <c r="AC2590" s="198" t="s">
        <v>2272</v>
      </c>
      <c r="AD2590" s="198"/>
      <c r="AE2590" s="198"/>
    </row>
    <row r="2591" spans="1:31" ht="28" customHeight="1">
      <c r="A2591" s="4" t="s">
        <v>7227</v>
      </c>
      <c r="B2591" s="4" t="s">
        <v>7249</v>
      </c>
      <c r="C2591" s="198" t="s">
        <v>23</v>
      </c>
      <c r="D2591" s="198" t="s">
        <v>1238</v>
      </c>
      <c r="E2591" s="198" t="s">
        <v>3204</v>
      </c>
      <c r="F2591" s="4" t="s">
        <v>2657</v>
      </c>
      <c r="G2591" s="4" t="s">
        <v>2272</v>
      </c>
      <c r="H2591" s="198" t="s">
        <v>521</v>
      </c>
      <c r="I2591" s="198"/>
      <c r="J2591" s="198" t="s">
        <v>2272</v>
      </c>
      <c r="K2591" s="198" t="s">
        <v>2272</v>
      </c>
      <c r="L2591" s="198" t="s">
        <v>2272</v>
      </c>
      <c r="M2591" s="198" t="s">
        <v>2272</v>
      </c>
      <c r="N2591" s="198" t="s">
        <v>2272</v>
      </c>
      <c r="O2591" s="198" t="s">
        <v>2272</v>
      </c>
      <c r="P2591" s="198" t="s">
        <v>2272</v>
      </c>
      <c r="Q2591" s="198" t="s">
        <v>2272</v>
      </c>
      <c r="R2591" s="198" t="s">
        <v>2272</v>
      </c>
      <c r="S2591" s="198" t="s">
        <v>2272</v>
      </c>
      <c r="T2591" s="198" t="s">
        <v>2272</v>
      </c>
      <c r="U2591" s="198" t="s">
        <v>2272</v>
      </c>
      <c r="V2591" s="198" t="s">
        <v>2272</v>
      </c>
      <c r="W2591" s="198" t="s">
        <v>2272</v>
      </c>
      <c r="X2591" s="198" t="s">
        <v>2272</v>
      </c>
      <c r="Y2591" s="198" t="s">
        <v>2272</v>
      </c>
      <c r="Z2591" s="198" t="s">
        <v>2272</v>
      </c>
      <c r="AA2591" s="198" t="s">
        <v>2272</v>
      </c>
      <c r="AB2591" s="198" t="s">
        <v>2272</v>
      </c>
      <c r="AC2591" s="198" t="s">
        <v>2272</v>
      </c>
      <c r="AD2591" s="198"/>
      <c r="AE2591" s="198"/>
    </row>
    <row r="2592" spans="1:31" ht="36" customHeight="1">
      <c r="A2592" s="4" t="s">
        <v>7257</v>
      </c>
      <c r="B2592" s="4" t="s">
        <v>7284</v>
      </c>
      <c r="C2592" s="198" t="s">
        <v>23</v>
      </c>
      <c r="D2592" s="198" t="s">
        <v>1238</v>
      </c>
      <c r="E2592" s="198" t="s">
        <v>3204</v>
      </c>
      <c r="F2592" s="4" t="s">
        <v>2272</v>
      </c>
      <c r="G2592" s="4" t="s">
        <v>2272</v>
      </c>
      <c r="H2592" s="198" t="s">
        <v>522</v>
      </c>
      <c r="I2592" s="198"/>
      <c r="J2592" s="172">
        <v>0</v>
      </c>
      <c r="K2592" s="172">
        <v>0</v>
      </c>
      <c r="L2592" s="21">
        <v>0</v>
      </c>
      <c r="M2592" s="21">
        <v>0</v>
      </c>
      <c r="N2592" s="21">
        <v>0</v>
      </c>
      <c r="O2592" s="21">
        <v>0</v>
      </c>
      <c r="P2592" s="21">
        <v>0</v>
      </c>
      <c r="Q2592" s="21">
        <v>0</v>
      </c>
      <c r="R2592" s="21">
        <v>0</v>
      </c>
      <c r="S2592" s="21">
        <v>0</v>
      </c>
      <c r="T2592" s="21">
        <v>0</v>
      </c>
      <c r="U2592" s="21">
        <v>0</v>
      </c>
      <c r="V2592" s="21">
        <v>0</v>
      </c>
      <c r="W2592" s="21">
        <v>0</v>
      </c>
      <c r="X2592" s="21">
        <v>0</v>
      </c>
      <c r="Y2592" s="21">
        <v>0</v>
      </c>
      <c r="Z2592" s="198" t="s">
        <v>2272</v>
      </c>
      <c r="AA2592" s="198" t="s">
        <v>2272</v>
      </c>
      <c r="AB2592" s="198" t="s">
        <v>2272</v>
      </c>
      <c r="AC2592" s="198" t="s">
        <v>2272</v>
      </c>
      <c r="AD2592" s="198"/>
      <c r="AE2592" s="198"/>
    </row>
    <row r="2593" spans="1:31" ht="36" customHeight="1">
      <c r="A2593" s="4" t="s">
        <v>7270</v>
      </c>
      <c r="B2593" s="4" t="s">
        <v>7285</v>
      </c>
      <c r="C2593" s="198" t="s">
        <v>23</v>
      </c>
      <c r="D2593" s="198" t="s">
        <v>1238</v>
      </c>
      <c r="E2593" s="198" t="s">
        <v>3204</v>
      </c>
      <c r="F2593" s="4" t="s">
        <v>2272</v>
      </c>
      <c r="G2593" s="4" t="s">
        <v>2272</v>
      </c>
      <c r="H2593" s="198" t="s">
        <v>522</v>
      </c>
      <c r="I2593" s="198"/>
      <c r="J2593" s="172">
        <v>0</v>
      </c>
      <c r="K2593" s="172">
        <v>0</v>
      </c>
      <c r="L2593" s="21">
        <v>0</v>
      </c>
      <c r="M2593" s="21">
        <v>0</v>
      </c>
      <c r="N2593" s="21">
        <v>0</v>
      </c>
      <c r="O2593" s="21">
        <v>0</v>
      </c>
      <c r="P2593" s="21">
        <v>0</v>
      </c>
      <c r="Q2593" s="21">
        <v>0</v>
      </c>
      <c r="R2593" s="21">
        <v>0</v>
      </c>
      <c r="S2593" s="21">
        <v>0</v>
      </c>
      <c r="T2593" s="21">
        <v>0</v>
      </c>
      <c r="U2593" s="21">
        <v>0</v>
      </c>
      <c r="V2593" s="21">
        <v>0</v>
      </c>
      <c r="W2593" s="21">
        <v>0</v>
      </c>
      <c r="X2593" s="21">
        <v>0</v>
      </c>
      <c r="Y2593" s="21">
        <v>0</v>
      </c>
      <c r="Z2593" s="198" t="s">
        <v>2272</v>
      </c>
      <c r="AA2593" s="198" t="s">
        <v>2272</v>
      </c>
      <c r="AB2593" s="198" t="s">
        <v>2272</v>
      </c>
      <c r="AC2593" s="198" t="s">
        <v>2272</v>
      </c>
      <c r="AD2593" s="198"/>
      <c r="AE2593" s="198"/>
    </row>
    <row r="2594" spans="1:31" ht="36" customHeight="1">
      <c r="A2594" s="4" t="s">
        <v>7271</v>
      </c>
      <c r="B2594" s="4" t="s">
        <v>7286</v>
      </c>
      <c r="C2594" s="198" t="s">
        <v>23</v>
      </c>
      <c r="D2594" s="198" t="s">
        <v>1238</v>
      </c>
      <c r="E2594" s="198" t="s">
        <v>3204</v>
      </c>
      <c r="F2594" s="4" t="s">
        <v>2272</v>
      </c>
      <c r="G2594" s="4" t="s">
        <v>2272</v>
      </c>
      <c r="H2594" s="198" t="s">
        <v>522</v>
      </c>
      <c r="I2594" s="198"/>
      <c r="J2594" s="172">
        <v>0</v>
      </c>
      <c r="K2594" s="172">
        <v>0</v>
      </c>
      <c r="L2594" s="21">
        <v>0</v>
      </c>
      <c r="M2594" s="21">
        <v>0</v>
      </c>
      <c r="N2594" s="21">
        <v>0</v>
      </c>
      <c r="O2594" s="21">
        <v>0</v>
      </c>
      <c r="P2594" s="21">
        <v>0</v>
      </c>
      <c r="Q2594" s="21">
        <v>0</v>
      </c>
      <c r="R2594" s="21">
        <v>0</v>
      </c>
      <c r="S2594" s="21">
        <v>0</v>
      </c>
      <c r="T2594" s="21">
        <v>0</v>
      </c>
      <c r="U2594" s="21">
        <v>0</v>
      </c>
      <c r="V2594" s="21">
        <v>0</v>
      </c>
      <c r="W2594" s="21">
        <v>0</v>
      </c>
      <c r="X2594" s="21">
        <v>0</v>
      </c>
      <c r="Y2594" s="21">
        <v>0</v>
      </c>
      <c r="Z2594" s="198" t="s">
        <v>2272</v>
      </c>
      <c r="AA2594" s="198" t="s">
        <v>2272</v>
      </c>
      <c r="AB2594" s="198" t="s">
        <v>2272</v>
      </c>
      <c r="AC2594" s="198" t="s">
        <v>2272</v>
      </c>
      <c r="AD2594" s="198"/>
      <c r="AE2594" s="198"/>
    </row>
    <row r="2595" spans="1:31" ht="36" customHeight="1">
      <c r="A2595" s="4" t="s">
        <v>7272</v>
      </c>
      <c r="B2595" s="4" t="s">
        <v>7287</v>
      </c>
      <c r="C2595" s="198" t="s">
        <v>23</v>
      </c>
      <c r="D2595" s="198" t="s">
        <v>1238</v>
      </c>
      <c r="E2595" s="198" t="s">
        <v>3204</v>
      </c>
      <c r="F2595" s="4" t="s">
        <v>2272</v>
      </c>
      <c r="G2595" s="4" t="s">
        <v>2272</v>
      </c>
      <c r="H2595" s="198" t="s">
        <v>522</v>
      </c>
      <c r="I2595" s="198"/>
      <c r="J2595" s="172">
        <v>0</v>
      </c>
      <c r="K2595" s="172">
        <v>0</v>
      </c>
      <c r="L2595" s="21">
        <v>0</v>
      </c>
      <c r="M2595" s="21">
        <v>0</v>
      </c>
      <c r="N2595" s="21">
        <v>0</v>
      </c>
      <c r="O2595" s="21">
        <v>0</v>
      </c>
      <c r="P2595" s="21">
        <v>0</v>
      </c>
      <c r="Q2595" s="21">
        <v>0</v>
      </c>
      <c r="R2595" s="21">
        <v>0</v>
      </c>
      <c r="S2595" s="21">
        <v>0</v>
      </c>
      <c r="T2595" s="21">
        <v>0</v>
      </c>
      <c r="U2595" s="21">
        <v>0</v>
      </c>
      <c r="V2595" s="21">
        <v>0</v>
      </c>
      <c r="W2595" s="21">
        <v>0</v>
      </c>
      <c r="X2595" s="21">
        <v>0</v>
      </c>
      <c r="Y2595" s="21">
        <v>0</v>
      </c>
      <c r="Z2595" s="198" t="s">
        <v>2272</v>
      </c>
      <c r="AA2595" s="198" t="s">
        <v>2272</v>
      </c>
      <c r="AB2595" s="198" t="s">
        <v>2272</v>
      </c>
      <c r="AC2595" s="198" t="s">
        <v>2272</v>
      </c>
      <c r="AD2595" s="198"/>
      <c r="AE2595" s="198"/>
    </row>
    <row r="2596" spans="1:31" ht="36" customHeight="1">
      <c r="A2596" s="4" t="s">
        <v>7273</v>
      </c>
      <c r="B2596" s="4" t="s">
        <v>7288</v>
      </c>
      <c r="C2596" s="198" t="s">
        <v>23</v>
      </c>
      <c r="D2596" s="198" t="s">
        <v>1238</v>
      </c>
      <c r="E2596" s="198" t="s">
        <v>3204</v>
      </c>
      <c r="F2596" s="4" t="s">
        <v>2272</v>
      </c>
      <c r="G2596" s="4" t="s">
        <v>2272</v>
      </c>
      <c r="H2596" s="198" t="s">
        <v>522</v>
      </c>
      <c r="I2596" s="198"/>
      <c r="J2596" s="172">
        <v>0</v>
      </c>
      <c r="K2596" s="172">
        <v>0</v>
      </c>
      <c r="L2596" s="21">
        <v>0</v>
      </c>
      <c r="M2596" s="21">
        <v>0</v>
      </c>
      <c r="N2596" s="21">
        <v>0</v>
      </c>
      <c r="O2596" s="21">
        <v>0</v>
      </c>
      <c r="P2596" s="21">
        <v>0</v>
      </c>
      <c r="Q2596" s="21">
        <v>0</v>
      </c>
      <c r="R2596" s="21">
        <v>0</v>
      </c>
      <c r="S2596" s="21">
        <v>0</v>
      </c>
      <c r="T2596" s="21">
        <v>0</v>
      </c>
      <c r="U2596" s="21">
        <v>0</v>
      </c>
      <c r="V2596" s="21">
        <v>0</v>
      </c>
      <c r="W2596" s="21">
        <v>0</v>
      </c>
      <c r="X2596" s="21">
        <v>0</v>
      </c>
      <c r="Y2596" s="21">
        <v>0</v>
      </c>
      <c r="Z2596" s="198" t="s">
        <v>2272</v>
      </c>
      <c r="AA2596" s="198" t="s">
        <v>2272</v>
      </c>
      <c r="AB2596" s="198" t="s">
        <v>2272</v>
      </c>
      <c r="AC2596" s="198" t="s">
        <v>2272</v>
      </c>
      <c r="AD2596" s="198"/>
      <c r="AE2596" s="198"/>
    </row>
    <row r="2597" spans="1:31" ht="36" customHeight="1">
      <c r="A2597" s="4" t="s">
        <v>7274</v>
      </c>
      <c r="B2597" s="4" t="s">
        <v>7289</v>
      </c>
      <c r="C2597" s="198" t="s">
        <v>23</v>
      </c>
      <c r="D2597" s="198" t="s">
        <v>1238</v>
      </c>
      <c r="E2597" s="198" t="s">
        <v>3204</v>
      </c>
      <c r="F2597" s="4" t="s">
        <v>2272</v>
      </c>
      <c r="G2597" s="4" t="s">
        <v>2272</v>
      </c>
      <c r="H2597" s="198" t="s">
        <v>522</v>
      </c>
      <c r="I2597" s="198"/>
      <c r="J2597" s="172">
        <v>0</v>
      </c>
      <c r="K2597" s="172">
        <v>0</v>
      </c>
      <c r="L2597" s="21">
        <v>0</v>
      </c>
      <c r="M2597" s="21">
        <v>0</v>
      </c>
      <c r="N2597" s="21">
        <v>0</v>
      </c>
      <c r="O2597" s="21">
        <v>0</v>
      </c>
      <c r="P2597" s="21">
        <v>0</v>
      </c>
      <c r="Q2597" s="21">
        <v>0</v>
      </c>
      <c r="R2597" s="21">
        <v>0</v>
      </c>
      <c r="S2597" s="21">
        <v>0</v>
      </c>
      <c r="T2597" s="21">
        <v>0</v>
      </c>
      <c r="U2597" s="21">
        <v>0</v>
      </c>
      <c r="V2597" s="21">
        <v>0</v>
      </c>
      <c r="W2597" s="21">
        <v>0</v>
      </c>
      <c r="X2597" s="21">
        <v>0</v>
      </c>
      <c r="Y2597" s="21">
        <v>0</v>
      </c>
      <c r="Z2597" s="198" t="s">
        <v>2272</v>
      </c>
      <c r="AA2597" s="198" t="s">
        <v>2272</v>
      </c>
      <c r="AB2597" s="198" t="s">
        <v>2272</v>
      </c>
      <c r="AC2597" s="198" t="s">
        <v>2272</v>
      </c>
      <c r="AD2597" s="198"/>
      <c r="AE2597" s="198"/>
    </row>
    <row r="2598" spans="1:31" ht="36" customHeight="1">
      <c r="A2598" s="4" t="s">
        <v>7275</v>
      </c>
      <c r="B2598" s="4" t="s">
        <v>7290</v>
      </c>
      <c r="C2598" s="198" t="s">
        <v>23</v>
      </c>
      <c r="D2598" s="198" t="s">
        <v>1238</v>
      </c>
      <c r="E2598" s="198" t="s">
        <v>3204</v>
      </c>
      <c r="F2598" s="4" t="s">
        <v>2272</v>
      </c>
      <c r="G2598" s="4" t="s">
        <v>2272</v>
      </c>
      <c r="H2598" s="198" t="s">
        <v>522</v>
      </c>
      <c r="I2598" s="198"/>
      <c r="J2598" s="172">
        <v>0</v>
      </c>
      <c r="K2598" s="172">
        <v>0</v>
      </c>
      <c r="L2598" s="21">
        <v>0</v>
      </c>
      <c r="M2598" s="21">
        <v>0</v>
      </c>
      <c r="N2598" s="21">
        <v>0</v>
      </c>
      <c r="O2598" s="21">
        <v>0</v>
      </c>
      <c r="P2598" s="21">
        <v>0</v>
      </c>
      <c r="Q2598" s="21">
        <v>0</v>
      </c>
      <c r="R2598" s="21">
        <v>0</v>
      </c>
      <c r="S2598" s="21">
        <v>0</v>
      </c>
      <c r="T2598" s="21">
        <v>0</v>
      </c>
      <c r="U2598" s="21">
        <v>0</v>
      </c>
      <c r="V2598" s="21">
        <v>0</v>
      </c>
      <c r="W2598" s="21">
        <v>0</v>
      </c>
      <c r="X2598" s="21">
        <v>0</v>
      </c>
      <c r="Y2598" s="21">
        <v>0</v>
      </c>
      <c r="Z2598" s="198" t="s">
        <v>2272</v>
      </c>
      <c r="AA2598" s="198" t="s">
        <v>2272</v>
      </c>
      <c r="AB2598" s="198" t="s">
        <v>2272</v>
      </c>
      <c r="AC2598" s="198" t="s">
        <v>2272</v>
      </c>
      <c r="AD2598" s="198" t="s">
        <v>7297</v>
      </c>
      <c r="AE2598" s="198"/>
    </row>
    <row r="2599" spans="1:31" ht="36" customHeight="1">
      <c r="A2599" s="4" t="s">
        <v>7276</v>
      </c>
      <c r="B2599" s="4" t="s">
        <v>7291</v>
      </c>
      <c r="C2599" s="198" t="s">
        <v>23</v>
      </c>
      <c r="D2599" s="198" t="s">
        <v>1238</v>
      </c>
      <c r="E2599" s="198" t="s">
        <v>3204</v>
      </c>
      <c r="F2599" s="4" t="s">
        <v>2272</v>
      </c>
      <c r="G2599" s="4" t="s">
        <v>2272</v>
      </c>
      <c r="H2599" s="198" t="s">
        <v>522</v>
      </c>
      <c r="I2599" s="198"/>
      <c r="J2599" s="172">
        <v>0</v>
      </c>
      <c r="K2599" s="172">
        <v>0</v>
      </c>
      <c r="L2599" s="172">
        <v>0</v>
      </c>
      <c r="M2599" s="172">
        <v>0</v>
      </c>
      <c r="N2599" s="172">
        <v>0</v>
      </c>
      <c r="O2599" s="172">
        <v>0</v>
      </c>
      <c r="P2599" s="172">
        <v>0</v>
      </c>
      <c r="Q2599" s="172">
        <v>0</v>
      </c>
      <c r="R2599" s="172">
        <v>0</v>
      </c>
      <c r="S2599" s="172">
        <v>0</v>
      </c>
      <c r="T2599" s="172">
        <v>0</v>
      </c>
      <c r="U2599" s="172">
        <v>0</v>
      </c>
      <c r="V2599" s="172">
        <v>0</v>
      </c>
      <c r="W2599" s="172">
        <v>0</v>
      </c>
      <c r="X2599" s="172">
        <v>0</v>
      </c>
      <c r="Y2599" s="172">
        <v>0</v>
      </c>
      <c r="Z2599" s="198" t="s">
        <v>2272</v>
      </c>
      <c r="AA2599" s="198" t="s">
        <v>2272</v>
      </c>
      <c r="AB2599" s="198" t="s">
        <v>2272</v>
      </c>
      <c r="AC2599" s="198" t="s">
        <v>2272</v>
      </c>
      <c r="AD2599" s="198"/>
      <c r="AE2599" s="198"/>
    </row>
    <row r="2600" spans="1:31" ht="35" customHeight="1">
      <c r="A2600" s="4" t="s">
        <v>7277</v>
      </c>
      <c r="B2600" s="4" t="s">
        <v>7292</v>
      </c>
      <c r="C2600" s="198" t="s">
        <v>23</v>
      </c>
      <c r="D2600" s="198" t="s">
        <v>1238</v>
      </c>
      <c r="E2600" s="198" t="s">
        <v>3204</v>
      </c>
      <c r="F2600" s="4" t="s">
        <v>2272</v>
      </c>
      <c r="G2600" s="4" t="s">
        <v>2272</v>
      </c>
      <c r="H2600" s="198" t="s">
        <v>521</v>
      </c>
      <c r="I2600" s="198">
        <v>2001</v>
      </c>
      <c r="J2600" s="198" t="s">
        <v>2272</v>
      </c>
      <c r="K2600" s="198" t="s">
        <v>2272</v>
      </c>
      <c r="L2600" s="198" t="s">
        <v>2272</v>
      </c>
      <c r="M2600" s="198" t="s">
        <v>2272</v>
      </c>
      <c r="N2600" s="198" t="s">
        <v>2272</v>
      </c>
      <c r="O2600" s="198" t="s">
        <v>2272</v>
      </c>
      <c r="P2600" s="198" t="s">
        <v>2272</v>
      </c>
      <c r="Q2600" s="198" t="s">
        <v>2272</v>
      </c>
      <c r="R2600" s="198" t="s">
        <v>2272</v>
      </c>
      <c r="S2600" s="198" t="s">
        <v>2272</v>
      </c>
      <c r="T2600" s="198" t="s">
        <v>2272</v>
      </c>
      <c r="U2600" s="198">
        <f>3000*0.068</f>
        <v>204.00000000000003</v>
      </c>
      <c r="V2600" s="198" t="s">
        <v>2272</v>
      </c>
      <c r="W2600" s="198" t="s">
        <v>2272</v>
      </c>
      <c r="X2600" s="198" t="s">
        <v>2272</v>
      </c>
      <c r="Y2600" s="21">
        <f>U2600/'Record info'!K$1120</f>
        <v>7.497794766245223E-3</v>
      </c>
      <c r="Z2600" s="198" t="s">
        <v>2272</v>
      </c>
      <c r="AA2600" s="198" t="s">
        <v>34</v>
      </c>
      <c r="AB2600" s="198" t="s">
        <v>37</v>
      </c>
      <c r="AC2600" s="198" t="s">
        <v>63</v>
      </c>
      <c r="AD2600" s="198" t="s">
        <v>7616</v>
      </c>
      <c r="AE2600" s="198"/>
    </row>
    <row r="2601" spans="1:31" ht="35" customHeight="1">
      <c r="A2601" s="4" t="s">
        <v>7278</v>
      </c>
      <c r="B2601" s="4" t="s">
        <v>7293</v>
      </c>
      <c r="C2601" s="198" t="s">
        <v>23</v>
      </c>
      <c r="D2601" s="198" t="s">
        <v>1238</v>
      </c>
      <c r="E2601" s="198" t="s">
        <v>3204</v>
      </c>
      <c r="F2601" s="4" t="s">
        <v>2272</v>
      </c>
      <c r="G2601" s="4" t="s">
        <v>2272</v>
      </c>
      <c r="H2601" s="198" t="s">
        <v>521</v>
      </c>
      <c r="I2601" s="198">
        <v>2001</v>
      </c>
      <c r="J2601" s="198" t="s">
        <v>2272</v>
      </c>
      <c r="K2601" s="198" t="s">
        <v>2272</v>
      </c>
      <c r="L2601" s="198" t="s">
        <v>2272</v>
      </c>
      <c r="M2601" s="198" t="s">
        <v>2272</v>
      </c>
      <c r="N2601" s="198" t="s">
        <v>2272</v>
      </c>
      <c r="O2601" s="198" t="s">
        <v>2272</v>
      </c>
      <c r="P2601" s="198" t="s">
        <v>2272</v>
      </c>
      <c r="Q2601" s="198" t="s">
        <v>2272</v>
      </c>
      <c r="R2601" s="198" t="s">
        <v>2272</v>
      </c>
      <c r="S2601" s="198" t="s">
        <v>2272</v>
      </c>
      <c r="T2601" s="198" t="s">
        <v>2272</v>
      </c>
      <c r="U2601" s="21">
        <f>3000*0.05</f>
        <v>150</v>
      </c>
      <c r="V2601" s="198" t="s">
        <v>2272</v>
      </c>
      <c r="W2601" s="198" t="s">
        <v>2272</v>
      </c>
      <c r="X2601" s="198" t="s">
        <v>2272</v>
      </c>
      <c r="Y2601" s="21">
        <f>U2601/'Record info'!K$1121</f>
        <v>5.0157159098508661E-3</v>
      </c>
      <c r="Z2601" s="198" t="s">
        <v>2272</v>
      </c>
      <c r="AA2601" s="198" t="s">
        <v>34</v>
      </c>
      <c r="AB2601" s="198" t="s">
        <v>37</v>
      </c>
      <c r="AC2601" s="198" t="s">
        <v>63</v>
      </c>
      <c r="AD2601" s="198" t="s">
        <v>7616</v>
      </c>
      <c r="AE2601" s="198"/>
    </row>
    <row r="2602" spans="1:31" ht="35" customHeight="1">
      <c r="A2602" s="4" t="s">
        <v>7279</v>
      </c>
      <c r="B2602" s="4" t="s">
        <v>7294</v>
      </c>
      <c r="C2602" s="198" t="s">
        <v>23</v>
      </c>
      <c r="D2602" s="198" t="s">
        <v>1238</v>
      </c>
      <c r="E2602" s="198" t="s">
        <v>3204</v>
      </c>
      <c r="F2602" s="4" t="s">
        <v>2272</v>
      </c>
      <c r="G2602" s="4" t="s">
        <v>2272</v>
      </c>
      <c r="H2602" s="198" t="s">
        <v>521</v>
      </c>
      <c r="I2602" s="198">
        <v>2001</v>
      </c>
      <c r="J2602" s="198" t="s">
        <v>2272</v>
      </c>
      <c r="K2602" s="198" t="s">
        <v>2272</v>
      </c>
      <c r="L2602" s="198" t="s">
        <v>2272</v>
      </c>
      <c r="M2602" s="198" t="s">
        <v>2272</v>
      </c>
      <c r="N2602" s="198" t="s">
        <v>2272</v>
      </c>
      <c r="O2602" s="198" t="s">
        <v>2272</v>
      </c>
      <c r="P2602" s="198" t="s">
        <v>2272</v>
      </c>
      <c r="Q2602" s="198" t="s">
        <v>2272</v>
      </c>
      <c r="R2602" s="198" t="s">
        <v>2272</v>
      </c>
      <c r="S2602" s="198" t="s">
        <v>2272</v>
      </c>
      <c r="T2602" s="198" t="s">
        <v>2272</v>
      </c>
      <c r="U2602" s="21">
        <f>3000*0.493</f>
        <v>1479</v>
      </c>
      <c r="V2602" s="198" t="s">
        <v>2272</v>
      </c>
      <c r="W2602" s="198" t="s">
        <v>2272</v>
      </c>
      <c r="X2602" s="198" t="s">
        <v>2272</v>
      </c>
      <c r="Y2602" s="21">
        <f>U2602/'Record info'!K$1122</f>
        <v>4.6490428441203283E-2</v>
      </c>
      <c r="Z2602" s="198" t="s">
        <v>2272</v>
      </c>
      <c r="AA2602" s="198" t="s">
        <v>34</v>
      </c>
      <c r="AB2602" s="198" t="s">
        <v>37</v>
      </c>
      <c r="AC2602" s="198" t="s">
        <v>63</v>
      </c>
      <c r="AD2602" s="198" t="s">
        <v>7616</v>
      </c>
      <c r="AE2602" s="198"/>
    </row>
    <row r="2603" spans="1:31" ht="35" customHeight="1">
      <c r="A2603" s="4" t="s">
        <v>7280</v>
      </c>
      <c r="B2603" s="4" t="s">
        <v>7295</v>
      </c>
      <c r="C2603" s="198" t="s">
        <v>23</v>
      </c>
      <c r="D2603" s="198" t="s">
        <v>1238</v>
      </c>
      <c r="E2603" s="198" t="s">
        <v>3204</v>
      </c>
      <c r="F2603" s="4" t="s">
        <v>2272</v>
      </c>
      <c r="G2603" s="4" t="s">
        <v>2272</v>
      </c>
      <c r="H2603" s="198" t="s">
        <v>521</v>
      </c>
      <c r="I2603" s="198">
        <v>2001</v>
      </c>
      <c r="J2603" s="198" t="s">
        <v>2272</v>
      </c>
      <c r="K2603" s="198" t="s">
        <v>2272</v>
      </c>
      <c r="L2603" s="198" t="s">
        <v>2272</v>
      </c>
      <c r="M2603" s="198" t="s">
        <v>2272</v>
      </c>
      <c r="N2603" s="198" t="s">
        <v>2272</v>
      </c>
      <c r="O2603" s="198" t="s">
        <v>2272</v>
      </c>
      <c r="P2603" s="198" t="s">
        <v>2272</v>
      </c>
      <c r="Q2603" s="198" t="s">
        <v>2272</v>
      </c>
      <c r="R2603" s="198" t="s">
        <v>2272</v>
      </c>
      <c r="S2603" s="198" t="s">
        <v>2272</v>
      </c>
      <c r="T2603" s="198" t="s">
        <v>2272</v>
      </c>
      <c r="U2603" s="21">
        <f>3000*0.375</f>
        <v>1125</v>
      </c>
      <c r="V2603" s="198" t="s">
        <v>2272</v>
      </c>
      <c r="W2603" s="198" t="s">
        <v>2272</v>
      </c>
      <c r="X2603" s="198" t="s">
        <v>2272</v>
      </c>
      <c r="Y2603" s="21">
        <f>U2603/'Record info'!K$1123</f>
        <v>9.3656343656343663E-2</v>
      </c>
      <c r="Z2603" s="198" t="s">
        <v>2272</v>
      </c>
      <c r="AA2603" s="198" t="s">
        <v>34</v>
      </c>
      <c r="AB2603" s="198" t="s">
        <v>37</v>
      </c>
      <c r="AC2603" s="198" t="s">
        <v>63</v>
      </c>
      <c r="AD2603" s="198" t="s">
        <v>7616</v>
      </c>
      <c r="AE2603" s="198"/>
    </row>
    <row r="2604" spans="1:31" ht="35" customHeight="1">
      <c r="A2604" s="4" t="s">
        <v>7281</v>
      </c>
      <c r="B2604" s="4" t="s">
        <v>7296</v>
      </c>
      <c r="C2604" s="198" t="s">
        <v>23</v>
      </c>
      <c r="D2604" s="198" t="s">
        <v>1238</v>
      </c>
      <c r="E2604" s="198" t="s">
        <v>3204</v>
      </c>
      <c r="F2604" s="4" t="s">
        <v>2272</v>
      </c>
      <c r="G2604" s="4" t="s">
        <v>2272</v>
      </c>
      <c r="H2604" s="198" t="s">
        <v>521</v>
      </c>
      <c r="I2604" s="198">
        <v>2001</v>
      </c>
      <c r="J2604" s="198" t="s">
        <v>2272</v>
      </c>
      <c r="K2604" s="198" t="s">
        <v>2272</v>
      </c>
      <c r="L2604" s="198" t="s">
        <v>2272</v>
      </c>
      <c r="M2604" s="198" t="s">
        <v>2272</v>
      </c>
      <c r="N2604" s="198" t="s">
        <v>2272</v>
      </c>
      <c r="O2604" s="198" t="s">
        <v>2272</v>
      </c>
      <c r="P2604" s="198" t="s">
        <v>2272</v>
      </c>
      <c r="Q2604" s="198" t="s">
        <v>2272</v>
      </c>
      <c r="R2604" s="198" t="s">
        <v>2272</v>
      </c>
      <c r="S2604" s="198" t="s">
        <v>2272</v>
      </c>
      <c r="T2604" s="198" t="s">
        <v>2272</v>
      </c>
      <c r="U2604" s="21">
        <f>3000*0.058</f>
        <v>174</v>
      </c>
      <c r="V2604" s="198" t="s">
        <v>2272</v>
      </c>
      <c r="W2604" s="198" t="s">
        <v>2272</v>
      </c>
      <c r="X2604" s="198" t="s">
        <v>2272</v>
      </c>
      <c r="Y2604" s="21">
        <f>U2604/'Record info'!K$1124</f>
        <v>3.0296171190778822E-3</v>
      </c>
      <c r="Z2604" s="198" t="s">
        <v>2272</v>
      </c>
      <c r="AA2604" s="198" t="s">
        <v>34</v>
      </c>
      <c r="AB2604" s="198" t="s">
        <v>37</v>
      </c>
      <c r="AC2604" s="198" t="s">
        <v>63</v>
      </c>
      <c r="AD2604" s="198" t="s">
        <v>7616</v>
      </c>
      <c r="AE2604" s="198"/>
    </row>
    <row r="2605" spans="1:31" ht="36.5" customHeight="1">
      <c r="A2605" s="4" t="s">
        <v>7277</v>
      </c>
      <c r="B2605" s="4" t="s">
        <v>7298</v>
      </c>
      <c r="C2605" s="198" t="s">
        <v>23</v>
      </c>
      <c r="D2605" s="198" t="s">
        <v>1238</v>
      </c>
      <c r="E2605" s="198" t="s">
        <v>3204</v>
      </c>
      <c r="F2605" s="4" t="s">
        <v>2272</v>
      </c>
      <c r="G2605" s="4" t="s">
        <v>2272</v>
      </c>
      <c r="H2605" s="198" t="s">
        <v>521</v>
      </c>
      <c r="I2605" s="198">
        <v>2002</v>
      </c>
      <c r="J2605" s="198" t="s">
        <v>2272</v>
      </c>
      <c r="K2605" s="198" t="s">
        <v>2272</v>
      </c>
      <c r="L2605" s="198" t="s">
        <v>2272</v>
      </c>
      <c r="M2605" s="198" t="s">
        <v>2272</v>
      </c>
      <c r="N2605" s="198" t="s">
        <v>2272</v>
      </c>
      <c r="O2605" s="198" t="s">
        <v>2272</v>
      </c>
      <c r="P2605" s="198" t="s">
        <v>2272</v>
      </c>
      <c r="Q2605" s="198" t="s">
        <v>2272</v>
      </c>
      <c r="R2605" s="198" t="s">
        <v>2272</v>
      </c>
      <c r="S2605" s="198" t="s">
        <v>2272</v>
      </c>
      <c r="T2605" s="198" t="s">
        <v>2272</v>
      </c>
      <c r="U2605" s="21">
        <f>5000*0.068</f>
        <v>340</v>
      </c>
      <c r="V2605" s="198" t="s">
        <v>2272</v>
      </c>
      <c r="W2605" s="198" t="s">
        <v>2272</v>
      </c>
      <c r="X2605" s="198" t="s">
        <v>2272</v>
      </c>
      <c r="Y2605" s="21">
        <f>U2605/'Record info'!K$1120</f>
        <v>1.2496324610408704E-2</v>
      </c>
      <c r="Z2605" s="198" t="s">
        <v>2272</v>
      </c>
      <c r="AA2605" s="198" t="s">
        <v>34</v>
      </c>
      <c r="AB2605" s="198" t="s">
        <v>37</v>
      </c>
      <c r="AC2605" s="198" t="s">
        <v>63</v>
      </c>
      <c r="AD2605" s="198" t="s">
        <v>7616</v>
      </c>
      <c r="AE2605" s="198"/>
    </row>
    <row r="2606" spans="1:31" ht="36.5" customHeight="1">
      <c r="A2606" s="4" t="s">
        <v>7278</v>
      </c>
      <c r="B2606" s="4" t="s">
        <v>7299</v>
      </c>
      <c r="C2606" s="198" t="s">
        <v>23</v>
      </c>
      <c r="D2606" s="198" t="s">
        <v>1238</v>
      </c>
      <c r="E2606" s="198" t="s">
        <v>3204</v>
      </c>
      <c r="F2606" s="4" t="s">
        <v>2272</v>
      </c>
      <c r="G2606" s="4" t="s">
        <v>2272</v>
      </c>
      <c r="H2606" s="198" t="s">
        <v>521</v>
      </c>
      <c r="I2606" s="198">
        <v>2002</v>
      </c>
      <c r="J2606" s="198" t="s">
        <v>2272</v>
      </c>
      <c r="K2606" s="198" t="s">
        <v>2272</v>
      </c>
      <c r="L2606" s="198" t="s">
        <v>2272</v>
      </c>
      <c r="M2606" s="198" t="s">
        <v>2272</v>
      </c>
      <c r="N2606" s="198" t="s">
        <v>2272</v>
      </c>
      <c r="O2606" s="198" t="s">
        <v>2272</v>
      </c>
      <c r="P2606" s="198" t="s">
        <v>2272</v>
      </c>
      <c r="Q2606" s="198" t="s">
        <v>2272</v>
      </c>
      <c r="R2606" s="198" t="s">
        <v>2272</v>
      </c>
      <c r="S2606" s="198" t="s">
        <v>2272</v>
      </c>
      <c r="T2606" s="198" t="s">
        <v>2272</v>
      </c>
      <c r="U2606" s="21">
        <f>5000*0.05</f>
        <v>250</v>
      </c>
      <c r="V2606" s="198" t="s">
        <v>2272</v>
      </c>
      <c r="W2606" s="198" t="s">
        <v>2272</v>
      </c>
      <c r="X2606" s="198" t="s">
        <v>2272</v>
      </c>
      <c r="Y2606" s="21">
        <f>U2606/'Record info'!K$1121</f>
        <v>8.3595265164181105E-3</v>
      </c>
      <c r="Z2606" s="198" t="s">
        <v>2272</v>
      </c>
      <c r="AA2606" s="198" t="s">
        <v>34</v>
      </c>
      <c r="AB2606" s="198" t="s">
        <v>37</v>
      </c>
      <c r="AC2606" s="198" t="s">
        <v>63</v>
      </c>
      <c r="AD2606" s="198" t="s">
        <v>7616</v>
      </c>
      <c r="AE2606" s="198"/>
    </row>
    <row r="2607" spans="1:31" ht="36.5" customHeight="1">
      <c r="A2607" s="4" t="s">
        <v>7279</v>
      </c>
      <c r="B2607" s="4" t="s">
        <v>7300</v>
      </c>
      <c r="C2607" s="198" t="s">
        <v>23</v>
      </c>
      <c r="D2607" s="198" t="s">
        <v>1238</v>
      </c>
      <c r="E2607" s="198" t="s">
        <v>3204</v>
      </c>
      <c r="F2607" s="4" t="s">
        <v>2272</v>
      </c>
      <c r="G2607" s="4" t="s">
        <v>2272</v>
      </c>
      <c r="H2607" s="198" t="s">
        <v>521</v>
      </c>
      <c r="I2607" s="198">
        <v>2002</v>
      </c>
      <c r="J2607" s="198" t="s">
        <v>2272</v>
      </c>
      <c r="K2607" s="198" t="s">
        <v>2272</v>
      </c>
      <c r="L2607" s="198" t="s">
        <v>2272</v>
      </c>
      <c r="M2607" s="198" t="s">
        <v>2272</v>
      </c>
      <c r="N2607" s="198" t="s">
        <v>2272</v>
      </c>
      <c r="O2607" s="198" t="s">
        <v>2272</v>
      </c>
      <c r="P2607" s="198" t="s">
        <v>2272</v>
      </c>
      <c r="Q2607" s="198" t="s">
        <v>2272</v>
      </c>
      <c r="R2607" s="198" t="s">
        <v>2272</v>
      </c>
      <c r="S2607" s="198" t="s">
        <v>2272</v>
      </c>
      <c r="T2607" s="198" t="s">
        <v>2272</v>
      </c>
      <c r="U2607" s="21">
        <f>5000*0.493</f>
        <v>2465</v>
      </c>
      <c r="V2607" s="198" t="s">
        <v>2272</v>
      </c>
      <c r="W2607" s="198" t="s">
        <v>2272</v>
      </c>
      <c r="X2607" s="198" t="s">
        <v>2272</v>
      </c>
      <c r="Y2607" s="21">
        <f>U2607/'Record info'!K$1122</f>
        <v>7.7484047402005471E-2</v>
      </c>
      <c r="Z2607" s="198" t="s">
        <v>2272</v>
      </c>
      <c r="AA2607" s="198" t="s">
        <v>34</v>
      </c>
      <c r="AB2607" s="198" t="s">
        <v>37</v>
      </c>
      <c r="AC2607" s="198" t="s">
        <v>63</v>
      </c>
      <c r="AD2607" s="198" t="s">
        <v>7616</v>
      </c>
      <c r="AE2607" s="198"/>
    </row>
    <row r="2608" spans="1:31" ht="36.5" customHeight="1">
      <c r="A2608" s="4" t="s">
        <v>7280</v>
      </c>
      <c r="B2608" s="4" t="s">
        <v>7301</v>
      </c>
      <c r="C2608" s="198" t="s">
        <v>23</v>
      </c>
      <c r="D2608" s="198" t="s">
        <v>1238</v>
      </c>
      <c r="E2608" s="198" t="s">
        <v>3204</v>
      </c>
      <c r="F2608" s="4" t="s">
        <v>2272</v>
      </c>
      <c r="G2608" s="4" t="s">
        <v>2272</v>
      </c>
      <c r="H2608" s="198" t="s">
        <v>521</v>
      </c>
      <c r="I2608" s="198">
        <v>2002</v>
      </c>
      <c r="J2608" s="198" t="s">
        <v>2272</v>
      </c>
      <c r="K2608" s="198" t="s">
        <v>2272</v>
      </c>
      <c r="L2608" s="198" t="s">
        <v>2272</v>
      </c>
      <c r="M2608" s="198" t="s">
        <v>2272</v>
      </c>
      <c r="N2608" s="198" t="s">
        <v>2272</v>
      </c>
      <c r="O2608" s="198" t="s">
        <v>2272</v>
      </c>
      <c r="P2608" s="198" t="s">
        <v>2272</v>
      </c>
      <c r="Q2608" s="198" t="s">
        <v>2272</v>
      </c>
      <c r="R2608" s="198" t="s">
        <v>2272</v>
      </c>
      <c r="S2608" s="198" t="s">
        <v>2272</v>
      </c>
      <c r="T2608" s="198" t="s">
        <v>2272</v>
      </c>
      <c r="U2608" s="21">
        <f>5000*0.375</f>
        <v>1875</v>
      </c>
      <c r="V2608" s="198" t="s">
        <v>2272</v>
      </c>
      <c r="W2608" s="198" t="s">
        <v>2272</v>
      </c>
      <c r="X2608" s="198" t="s">
        <v>2272</v>
      </c>
      <c r="Y2608" s="21">
        <f>U2608/'Record info'!K$1123</f>
        <v>0.15609390609390608</v>
      </c>
      <c r="Z2608" s="198" t="s">
        <v>2272</v>
      </c>
      <c r="AA2608" s="198" t="s">
        <v>34</v>
      </c>
      <c r="AB2608" s="198" t="s">
        <v>37</v>
      </c>
      <c r="AC2608" s="198" t="s">
        <v>63</v>
      </c>
      <c r="AD2608" s="198" t="s">
        <v>7616</v>
      </c>
      <c r="AE2608" s="198"/>
    </row>
    <row r="2609" spans="1:31" ht="36.5" customHeight="1">
      <c r="A2609" s="4" t="s">
        <v>7281</v>
      </c>
      <c r="B2609" s="4" t="s">
        <v>7302</v>
      </c>
      <c r="C2609" s="198" t="s">
        <v>23</v>
      </c>
      <c r="D2609" s="198" t="s">
        <v>1238</v>
      </c>
      <c r="E2609" s="198" t="s">
        <v>3204</v>
      </c>
      <c r="F2609" s="4" t="s">
        <v>2272</v>
      </c>
      <c r="G2609" s="4" t="s">
        <v>2272</v>
      </c>
      <c r="H2609" s="198" t="s">
        <v>521</v>
      </c>
      <c r="I2609" s="198">
        <v>2002</v>
      </c>
      <c r="J2609" s="198" t="s">
        <v>2272</v>
      </c>
      <c r="K2609" s="198" t="s">
        <v>2272</v>
      </c>
      <c r="L2609" s="198" t="s">
        <v>2272</v>
      </c>
      <c r="M2609" s="198" t="s">
        <v>2272</v>
      </c>
      <c r="N2609" s="198" t="s">
        <v>2272</v>
      </c>
      <c r="O2609" s="198" t="s">
        <v>2272</v>
      </c>
      <c r="P2609" s="198" t="s">
        <v>2272</v>
      </c>
      <c r="Q2609" s="198" t="s">
        <v>2272</v>
      </c>
      <c r="R2609" s="198" t="s">
        <v>2272</v>
      </c>
      <c r="S2609" s="198" t="s">
        <v>2272</v>
      </c>
      <c r="T2609" s="198" t="s">
        <v>2272</v>
      </c>
      <c r="U2609" s="21">
        <f>5000*0.058</f>
        <v>290</v>
      </c>
      <c r="V2609" s="198" t="s">
        <v>2272</v>
      </c>
      <c r="W2609" s="198" t="s">
        <v>2272</v>
      </c>
      <c r="X2609" s="198" t="s">
        <v>2272</v>
      </c>
      <c r="Y2609" s="21">
        <f>U2609/'Record info'!K$1124</f>
        <v>5.0493618651298033E-3</v>
      </c>
      <c r="Z2609" s="198" t="s">
        <v>2272</v>
      </c>
      <c r="AA2609" s="198" t="s">
        <v>34</v>
      </c>
      <c r="AB2609" s="198" t="s">
        <v>37</v>
      </c>
      <c r="AC2609" s="198" t="s">
        <v>63</v>
      </c>
      <c r="AD2609" s="198" t="s">
        <v>7616</v>
      </c>
      <c r="AE2609" s="198"/>
    </row>
    <row r="2610" spans="1:31" ht="36.5" customHeight="1">
      <c r="A2610" s="4" t="s">
        <v>7277</v>
      </c>
      <c r="B2610" s="4" t="s">
        <v>7303</v>
      </c>
      <c r="C2610" s="198" t="s">
        <v>23</v>
      </c>
      <c r="D2610" s="198" t="s">
        <v>1238</v>
      </c>
      <c r="E2610" s="198" t="s">
        <v>3204</v>
      </c>
      <c r="F2610" s="4" t="s">
        <v>2272</v>
      </c>
      <c r="G2610" s="4" t="s">
        <v>2272</v>
      </c>
      <c r="H2610" s="198" t="s">
        <v>521</v>
      </c>
      <c r="I2610" s="198">
        <v>2003</v>
      </c>
      <c r="J2610" s="198" t="s">
        <v>2272</v>
      </c>
      <c r="K2610" s="198" t="s">
        <v>2272</v>
      </c>
      <c r="L2610" s="198" t="s">
        <v>2272</v>
      </c>
      <c r="M2610" s="198" t="s">
        <v>2272</v>
      </c>
      <c r="N2610" s="198" t="s">
        <v>2272</v>
      </c>
      <c r="O2610" s="198" t="s">
        <v>2272</v>
      </c>
      <c r="P2610" s="198" t="s">
        <v>2272</v>
      </c>
      <c r="Q2610" s="198" t="s">
        <v>2272</v>
      </c>
      <c r="R2610" s="198" t="s">
        <v>2272</v>
      </c>
      <c r="S2610" s="198" t="s">
        <v>2272</v>
      </c>
      <c r="T2610" s="198" t="s">
        <v>2272</v>
      </c>
      <c r="U2610" s="21">
        <f>4500*0.068</f>
        <v>306</v>
      </c>
      <c r="V2610" s="198" t="s">
        <v>2272</v>
      </c>
      <c r="W2610" s="198" t="s">
        <v>2272</v>
      </c>
      <c r="X2610" s="198" t="s">
        <v>2272</v>
      </c>
      <c r="Y2610" s="21">
        <f>U2610/'Record info'!K$1120</f>
        <v>1.1246692149367833E-2</v>
      </c>
      <c r="Z2610" s="198" t="s">
        <v>2272</v>
      </c>
      <c r="AA2610" s="198" t="s">
        <v>34</v>
      </c>
      <c r="AB2610" s="198" t="s">
        <v>37</v>
      </c>
      <c r="AC2610" s="198" t="s">
        <v>63</v>
      </c>
      <c r="AD2610" s="198" t="s">
        <v>7616</v>
      </c>
      <c r="AE2610" s="198"/>
    </row>
    <row r="2611" spans="1:31" ht="36.5" customHeight="1">
      <c r="A2611" s="4" t="s">
        <v>7278</v>
      </c>
      <c r="B2611" s="4" t="s">
        <v>7304</v>
      </c>
      <c r="C2611" s="198" t="s">
        <v>23</v>
      </c>
      <c r="D2611" s="198" t="s">
        <v>1238</v>
      </c>
      <c r="E2611" s="198" t="s">
        <v>3204</v>
      </c>
      <c r="F2611" s="4" t="s">
        <v>2272</v>
      </c>
      <c r="G2611" s="4" t="s">
        <v>2272</v>
      </c>
      <c r="H2611" s="198" t="s">
        <v>521</v>
      </c>
      <c r="I2611" s="198">
        <v>2003</v>
      </c>
      <c r="J2611" s="198" t="s">
        <v>2272</v>
      </c>
      <c r="K2611" s="198" t="s">
        <v>2272</v>
      </c>
      <c r="L2611" s="198" t="s">
        <v>2272</v>
      </c>
      <c r="M2611" s="198" t="s">
        <v>2272</v>
      </c>
      <c r="N2611" s="198" t="s">
        <v>2272</v>
      </c>
      <c r="O2611" s="198" t="s">
        <v>2272</v>
      </c>
      <c r="P2611" s="198" t="s">
        <v>2272</v>
      </c>
      <c r="Q2611" s="198" t="s">
        <v>2272</v>
      </c>
      <c r="R2611" s="198" t="s">
        <v>2272</v>
      </c>
      <c r="S2611" s="198" t="s">
        <v>2272</v>
      </c>
      <c r="T2611" s="198" t="s">
        <v>2272</v>
      </c>
      <c r="U2611" s="21">
        <f>4500*0.05</f>
        <v>225</v>
      </c>
      <c r="V2611" s="198" t="s">
        <v>2272</v>
      </c>
      <c r="W2611" s="198" t="s">
        <v>2272</v>
      </c>
      <c r="X2611" s="198" t="s">
        <v>2272</v>
      </c>
      <c r="Y2611" s="21">
        <f>U2611/'Record info'!K$1121</f>
        <v>7.5235738647762987E-3</v>
      </c>
      <c r="Z2611" s="198" t="s">
        <v>2272</v>
      </c>
      <c r="AA2611" s="198" t="s">
        <v>34</v>
      </c>
      <c r="AB2611" s="198" t="s">
        <v>37</v>
      </c>
      <c r="AC2611" s="198" t="s">
        <v>63</v>
      </c>
      <c r="AD2611" s="198" t="s">
        <v>7616</v>
      </c>
      <c r="AE2611" s="198"/>
    </row>
    <row r="2612" spans="1:31" ht="36.5" customHeight="1">
      <c r="A2612" s="4" t="s">
        <v>7279</v>
      </c>
      <c r="B2612" s="4" t="s">
        <v>7305</v>
      </c>
      <c r="C2612" s="198" t="s">
        <v>23</v>
      </c>
      <c r="D2612" s="198" t="s">
        <v>1238</v>
      </c>
      <c r="E2612" s="198" t="s">
        <v>3204</v>
      </c>
      <c r="F2612" s="4" t="s">
        <v>2272</v>
      </c>
      <c r="G2612" s="4" t="s">
        <v>2272</v>
      </c>
      <c r="H2612" s="198" t="s">
        <v>521</v>
      </c>
      <c r="I2612" s="198">
        <v>2003</v>
      </c>
      <c r="J2612" s="198" t="s">
        <v>2272</v>
      </c>
      <c r="K2612" s="198" t="s">
        <v>2272</v>
      </c>
      <c r="L2612" s="198" t="s">
        <v>2272</v>
      </c>
      <c r="M2612" s="198" t="s">
        <v>2272</v>
      </c>
      <c r="N2612" s="198" t="s">
        <v>2272</v>
      </c>
      <c r="O2612" s="198" t="s">
        <v>2272</v>
      </c>
      <c r="P2612" s="198" t="s">
        <v>2272</v>
      </c>
      <c r="Q2612" s="198" t="s">
        <v>2272</v>
      </c>
      <c r="R2612" s="198" t="s">
        <v>2272</v>
      </c>
      <c r="S2612" s="198" t="s">
        <v>2272</v>
      </c>
      <c r="T2612" s="198" t="s">
        <v>2272</v>
      </c>
      <c r="U2612" s="21">
        <f>4500*0.493</f>
        <v>2218.5</v>
      </c>
      <c r="V2612" s="198" t="s">
        <v>2272</v>
      </c>
      <c r="W2612" s="198" t="s">
        <v>2272</v>
      </c>
      <c r="X2612" s="198" t="s">
        <v>2272</v>
      </c>
      <c r="Y2612" s="21">
        <f>U2612/'Record info'!K$1122</f>
        <v>6.9735642661804917E-2</v>
      </c>
      <c r="Z2612" s="198" t="s">
        <v>2272</v>
      </c>
      <c r="AA2612" s="198" t="s">
        <v>34</v>
      </c>
      <c r="AB2612" s="198" t="s">
        <v>37</v>
      </c>
      <c r="AC2612" s="198" t="s">
        <v>63</v>
      </c>
      <c r="AD2612" s="198" t="s">
        <v>7616</v>
      </c>
      <c r="AE2612" s="198"/>
    </row>
    <row r="2613" spans="1:31" ht="36.5" customHeight="1">
      <c r="A2613" s="4" t="s">
        <v>7280</v>
      </c>
      <c r="B2613" s="4" t="s">
        <v>7306</v>
      </c>
      <c r="C2613" s="198" t="s">
        <v>23</v>
      </c>
      <c r="D2613" s="198" t="s">
        <v>1238</v>
      </c>
      <c r="E2613" s="198" t="s">
        <v>3204</v>
      </c>
      <c r="F2613" s="4" t="s">
        <v>2272</v>
      </c>
      <c r="G2613" s="4" t="s">
        <v>2272</v>
      </c>
      <c r="H2613" s="198" t="s">
        <v>521</v>
      </c>
      <c r="I2613" s="198">
        <v>2003</v>
      </c>
      <c r="J2613" s="198" t="s">
        <v>2272</v>
      </c>
      <c r="K2613" s="198" t="s">
        <v>2272</v>
      </c>
      <c r="L2613" s="198" t="s">
        <v>2272</v>
      </c>
      <c r="M2613" s="198" t="s">
        <v>2272</v>
      </c>
      <c r="N2613" s="198" t="s">
        <v>2272</v>
      </c>
      <c r="O2613" s="198" t="s">
        <v>2272</v>
      </c>
      <c r="P2613" s="198" t="s">
        <v>2272</v>
      </c>
      <c r="Q2613" s="198" t="s">
        <v>2272</v>
      </c>
      <c r="R2613" s="198" t="s">
        <v>2272</v>
      </c>
      <c r="S2613" s="198" t="s">
        <v>2272</v>
      </c>
      <c r="T2613" s="198" t="s">
        <v>2272</v>
      </c>
      <c r="U2613" s="21">
        <f>4500*0.375</f>
        <v>1687.5</v>
      </c>
      <c r="V2613" s="198" t="s">
        <v>2272</v>
      </c>
      <c r="W2613" s="198" t="s">
        <v>2272</v>
      </c>
      <c r="X2613" s="198" t="s">
        <v>2272</v>
      </c>
      <c r="Y2613" s="21">
        <f>U2613/'Record info'!K$1123</f>
        <v>0.14048451548451549</v>
      </c>
      <c r="Z2613" s="198" t="s">
        <v>2272</v>
      </c>
      <c r="AA2613" s="198" t="s">
        <v>34</v>
      </c>
      <c r="AB2613" s="198" t="s">
        <v>37</v>
      </c>
      <c r="AC2613" s="198" t="s">
        <v>63</v>
      </c>
      <c r="AD2613" s="198" t="s">
        <v>7616</v>
      </c>
      <c r="AE2613" s="198"/>
    </row>
    <row r="2614" spans="1:31" ht="36.5" customHeight="1">
      <c r="A2614" s="4" t="s">
        <v>7281</v>
      </c>
      <c r="B2614" s="4" t="s">
        <v>7307</v>
      </c>
      <c r="C2614" s="198" t="s">
        <v>23</v>
      </c>
      <c r="D2614" s="198" t="s">
        <v>1238</v>
      </c>
      <c r="E2614" s="198" t="s">
        <v>3204</v>
      </c>
      <c r="F2614" s="4" t="s">
        <v>2272</v>
      </c>
      <c r="G2614" s="4" t="s">
        <v>2272</v>
      </c>
      <c r="H2614" s="198" t="s">
        <v>521</v>
      </c>
      <c r="I2614" s="198">
        <v>2003</v>
      </c>
      <c r="J2614" s="198" t="s">
        <v>2272</v>
      </c>
      <c r="K2614" s="198" t="s">
        <v>2272</v>
      </c>
      <c r="L2614" s="198" t="s">
        <v>2272</v>
      </c>
      <c r="M2614" s="198" t="s">
        <v>2272</v>
      </c>
      <c r="N2614" s="198" t="s">
        <v>2272</v>
      </c>
      <c r="O2614" s="198" t="s">
        <v>2272</v>
      </c>
      <c r="P2614" s="198" t="s">
        <v>2272</v>
      </c>
      <c r="Q2614" s="198" t="s">
        <v>2272</v>
      </c>
      <c r="R2614" s="198" t="s">
        <v>2272</v>
      </c>
      <c r="S2614" s="198" t="s">
        <v>2272</v>
      </c>
      <c r="T2614" s="198" t="s">
        <v>2272</v>
      </c>
      <c r="U2614" s="21">
        <f>4500*0.058</f>
        <v>261</v>
      </c>
      <c r="V2614" s="198" t="s">
        <v>2272</v>
      </c>
      <c r="W2614" s="198" t="s">
        <v>2272</v>
      </c>
      <c r="X2614" s="198" t="s">
        <v>2272</v>
      </c>
      <c r="Y2614" s="21">
        <f>U2614/'Record info'!K$1124</f>
        <v>4.5444256786168228E-3</v>
      </c>
      <c r="Z2614" s="198" t="s">
        <v>2272</v>
      </c>
      <c r="AA2614" s="198" t="s">
        <v>34</v>
      </c>
      <c r="AB2614" s="198" t="s">
        <v>37</v>
      </c>
      <c r="AC2614" s="198" t="s">
        <v>63</v>
      </c>
      <c r="AD2614" s="198" t="s">
        <v>7616</v>
      </c>
      <c r="AE2614" s="198"/>
    </row>
    <row r="2615" spans="1:31" ht="32.5" customHeight="1">
      <c r="A2615" s="4" t="s">
        <v>7277</v>
      </c>
      <c r="B2615" s="4" t="s">
        <v>7308</v>
      </c>
      <c r="C2615" s="198" t="s">
        <v>23</v>
      </c>
      <c r="D2615" s="198" t="s">
        <v>1238</v>
      </c>
      <c r="E2615" s="198" t="s">
        <v>3204</v>
      </c>
      <c r="F2615" s="4" t="s">
        <v>2272</v>
      </c>
      <c r="G2615" s="4" t="s">
        <v>2272</v>
      </c>
      <c r="H2615" s="198" t="s">
        <v>521</v>
      </c>
      <c r="I2615" s="198">
        <v>2004</v>
      </c>
      <c r="J2615" s="198" t="s">
        <v>2272</v>
      </c>
      <c r="K2615" s="198" t="s">
        <v>2272</v>
      </c>
      <c r="L2615" s="198" t="s">
        <v>2272</v>
      </c>
      <c r="M2615" s="198" t="s">
        <v>2272</v>
      </c>
      <c r="N2615" s="198" t="s">
        <v>2272</v>
      </c>
      <c r="O2615" s="198" t="s">
        <v>2272</v>
      </c>
      <c r="P2615" s="198" t="s">
        <v>2272</v>
      </c>
      <c r="Q2615" s="198" t="s">
        <v>2272</v>
      </c>
      <c r="R2615" s="198" t="s">
        <v>2272</v>
      </c>
      <c r="S2615" s="198" t="s">
        <v>2272</v>
      </c>
      <c r="T2615" s="198" t="s">
        <v>2272</v>
      </c>
      <c r="U2615" s="21">
        <f>3800*0.068</f>
        <v>258.40000000000003</v>
      </c>
      <c r="V2615" s="198" t="s">
        <v>2272</v>
      </c>
      <c r="W2615" s="198" t="s">
        <v>2272</v>
      </c>
      <c r="X2615" s="198" t="s">
        <v>2272</v>
      </c>
      <c r="Y2615" s="21">
        <f>U2615/'Record info'!K$1120</f>
        <v>9.4972067039106149E-3</v>
      </c>
      <c r="Z2615" s="198" t="s">
        <v>2272</v>
      </c>
      <c r="AA2615" s="198" t="s">
        <v>34</v>
      </c>
      <c r="AB2615" s="198" t="s">
        <v>37</v>
      </c>
      <c r="AC2615" s="198" t="s">
        <v>63</v>
      </c>
      <c r="AD2615" s="198" t="s">
        <v>7616</v>
      </c>
      <c r="AE2615" s="198"/>
    </row>
    <row r="2616" spans="1:31" ht="32.5" customHeight="1">
      <c r="A2616" s="4" t="s">
        <v>7278</v>
      </c>
      <c r="B2616" s="4" t="s">
        <v>7309</v>
      </c>
      <c r="C2616" s="198" t="s">
        <v>23</v>
      </c>
      <c r="D2616" s="198" t="s">
        <v>1238</v>
      </c>
      <c r="E2616" s="198" t="s">
        <v>3204</v>
      </c>
      <c r="F2616" s="4" t="s">
        <v>2272</v>
      </c>
      <c r="G2616" s="4" t="s">
        <v>2272</v>
      </c>
      <c r="H2616" s="198" t="s">
        <v>521</v>
      </c>
      <c r="I2616" s="198">
        <v>2004</v>
      </c>
      <c r="J2616" s="198" t="s">
        <v>2272</v>
      </c>
      <c r="K2616" s="198" t="s">
        <v>2272</v>
      </c>
      <c r="L2616" s="198" t="s">
        <v>2272</v>
      </c>
      <c r="M2616" s="198" t="s">
        <v>2272</v>
      </c>
      <c r="N2616" s="198" t="s">
        <v>2272</v>
      </c>
      <c r="O2616" s="198" t="s">
        <v>2272</v>
      </c>
      <c r="P2616" s="198" t="s">
        <v>2272</v>
      </c>
      <c r="Q2616" s="198" t="s">
        <v>2272</v>
      </c>
      <c r="R2616" s="198" t="s">
        <v>2272</v>
      </c>
      <c r="S2616" s="198" t="s">
        <v>2272</v>
      </c>
      <c r="T2616" s="198" t="s">
        <v>2272</v>
      </c>
      <c r="U2616" s="21">
        <f>3800*0.05</f>
        <v>190</v>
      </c>
      <c r="V2616" s="198" t="s">
        <v>2272</v>
      </c>
      <c r="W2616" s="198" t="s">
        <v>2272</v>
      </c>
      <c r="X2616" s="198" t="s">
        <v>2272</v>
      </c>
      <c r="Y2616" s="21">
        <f>U2616/'Record info'!K$1121</f>
        <v>6.3532401524777635E-3</v>
      </c>
      <c r="Z2616" s="198" t="s">
        <v>2272</v>
      </c>
      <c r="AA2616" s="198" t="s">
        <v>34</v>
      </c>
      <c r="AB2616" s="198" t="s">
        <v>37</v>
      </c>
      <c r="AC2616" s="198" t="s">
        <v>63</v>
      </c>
      <c r="AD2616" s="198" t="s">
        <v>7616</v>
      </c>
      <c r="AE2616" s="198"/>
    </row>
    <row r="2617" spans="1:31" ht="32.5" customHeight="1">
      <c r="A2617" s="4" t="s">
        <v>7279</v>
      </c>
      <c r="B2617" s="4" t="s">
        <v>7310</v>
      </c>
      <c r="C2617" s="198" t="s">
        <v>23</v>
      </c>
      <c r="D2617" s="198" t="s">
        <v>1238</v>
      </c>
      <c r="E2617" s="198" t="s">
        <v>3204</v>
      </c>
      <c r="F2617" s="4" t="s">
        <v>2272</v>
      </c>
      <c r="G2617" s="4" t="s">
        <v>2272</v>
      </c>
      <c r="H2617" s="198" t="s">
        <v>521</v>
      </c>
      <c r="I2617" s="198">
        <v>2004</v>
      </c>
      <c r="J2617" s="198" t="s">
        <v>2272</v>
      </c>
      <c r="K2617" s="198" t="s">
        <v>2272</v>
      </c>
      <c r="L2617" s="198" t="s">
        <v>2272</v>
      </c>
      <c r="M2617" s="198" t="s">
        <v>2272</v>
      </c>
      <c r="N2617" s="198" t="s">
        <v>2272</v>
      </c>
      <c r="O2617" s="198" t="s">
        <v>2272</v>
      </c>
      <c r="P2617" s="198" t="s">
        <v>2272</v>
      </c>
      <c r="Q2617" s="198" t="s">
        <v>2272</v>
      </c>
      <c r="R2617" s="198" t="s">
        <v>2272</v>
      </c>
      <c r="S2617" s="198" t="s">
        <v>2272</v>
      </c>
      <c r="T2617" s="198" t="s">
        <v>2272</v>
      </c>
      <c r="U2617" s="21">
        <f>3800*0.493</f>
        <v>1873.3999999999999</v>
      </c>
      <c r="V2617" s="198" t="s">
        <v>2272</v>
      </c>
      <c r="W2617" s="198" t="s">
        <v>2272</v>
      </c>
      <c r="X2617" s="198" t="s">
        <v>2272</v>
      </c>
      <c r="Y2617" s="21">
        <f>U2617/'Record info'!K$1122</f>
        <v>5.8887876025524151E-2</v>
      </c>
      <c r="Z2617" s="198" t="s">
        <v>2272</v>
      </c>
      <c r="AA2617" s="198" t="s">
        <v>34</v>
      </c>
      <c r="AB2617" s="198" t="s">
        <v>37</v>
      </c>
      <c r="AC2617" s="198" t="s">
        <v>63</v>
      </c>
      <c r="AD2617" s="198" t="s">
        <v>7616</v>
      </c>
      <c r="AE2617" s="198"/>
    </row>
    <row r="2618" spans="1:31" ht="32.5" customHeight="1">
      <c r="A2618" s="4" t="s">
        <v>7280</v>
      </c>
      <c r="B2618" s="4" t="s">
        <v>7311</v>
      </c>
      <c r="C2618" s="198" t="s">
        <v>23</v>
      </c>
      <c r="D2618" s="198" t="s">
        <v>1238</v>
      </c>
      <c r="E2618" s="198" t="s">
        <v>3204</v>
      </c>
      <c r="F2618" s="4" t="s">
        <v>2272</v>
      </c>
      <c r="G2618" s="4" t="s">
        <v>2272</v>
      </c>
      <c r="H2618" s="198" t="s">
        <v>521</v>
      </c>
      <c r="I2618" s="198">
        <v>2004</v>
      </c>
      <c r="J2618" s="198" t="s">
        <v>2272</v>
      </c>
      <c r="K2618" s="198" t="s">
        <v>2272</v>
      </c>
      <c r="L2618" s="198" t="s">
        <v>2272</v>
      </c>
      <c r="M2618" s="198" t="s">
        <v>2272</v>
      </c>
      <c r="N2618" s="198" t="s">
        <v>2272</v>
      </c>
      <c r="O2618" s="198" t="s">
        <v>2272</v>
      </c>
      <c r="P2618" s="198" t="s">
        <v>2272</v>
      </c>
      <c r="Q2618" s="198" t="s">
        <v>2272</v>
      </c>
      <c r="R2618" s="198" t="s">
        <v>2272</v>
      </c>
      <c r="S2618" s="198" t="s">
        <v>2272</v>
      </c>
      <c r="T2618" s="198" t="s">
        <v>2272</v>
      </c>
      <c r="U2618" s="21">
        <f>3800*0.375</f>
        <v>1425</v>
      </c>
      <c r="V2618" s="198" t="s">
        <v>2272</v>
      </c>
      <c r="W2618" s="198" t="s">
        <v>2272</v>
      </c>
      <c r="X2618" s="198" t="s">
        <v>2272</v>
      </c>
      <c r="Y2618" s="21">
        <f>U2618/'Record info'!K$1123</f>
        <v>0.11863136863136862</v>
      </c>
      <c r="Z2618" s="198" t="s">
        <v>2272</v>
      </c>
      <c r="AA2618" s="198" t="s">
        <v>34</v>
      </c>
      <c r="AB2618" s="198" t="s">
        <v>37</v>
      </c>
      <c r="AC2618" s="198" t="s">
        <v>63</v>
      </c>
      <c r="AD2618" s="198" t="s">
        <v>7616</v>
      </c>
      <c r="AE2618" s="198"/>
    </row>
    <row r="2619" spans="1:31" ht="32.5" customHeight="1">
      <c r="A2619" s="4" t="s">
        <v>7281</v>
      </c>
      <c r="B2619" s="4" t="s">
        <v>7312</v>
      </c>
      <c r="C2619" s="198" t="s">
        <v>23</v>
      </c>
      <c r="D2619" s="198" t="s">
        <v>1238</v>
      </c>
      <c r="E2619" s="198" t="s">
        <v>3204</v>
      </c>
      <c r="F2619" s="4" t="s">
        <v>2272</v>
      </c>
      <c r="G2619" s="4" t="s">
        <v>2272</v>
      </c>
      <c r="H2619" s="198" t="s">
        <v>521</v>
      </c>
      <c r="I2619" s="198">
        <v>2004</v>
      </c>
      <c r="J2619" s="198" t="s">
        <v>2272</v>
      </c>
      <c r="K2619" s="198" t="s">
        <v>2272</v>
      </c>
      <c r="L2619" s="198" t="s">
        <v>2272</v>
      </c>
      <c r="M2619" s="198" t="s">
        <v>2272</v>
      </c>
      <c r="N2619" s="198" t="s">
        <v>2272</v>
      </c>
      <c r="O2619" s="198" t="s">
        <v>2272</v>
      </c>
      <c r="P2619" s="198" t="s">
        <v>2272</v>
      </c>
      <c r="Q2619" s="198" t="s">
        <v>2272</v>
      </c>
      <c r="R2619" s="198" t="s">
        <v>2272</v>
      </c>
      <c r="S2619" s="198" t="s">
        <v>2272</v>
      </c>
      <c r="T2619" s="198" t="s">
        <v>2272</v>
      </c>
      <c r="U2619" s="21">
        <f>3800*0.058</f>
        <v>220.4</v>
      </c>
      <c r="V2619" s="198" t="s">
        <v>2272</v>
      </c>
      <c r="W2619" s="198" t="s">
        <v>2272</v>
      </c>
      <c r="X2619" s="198" t="s">
        <v>2272</v>
      </c>
      <c r="Y2619" s="21">
        <f>U2619/'Record info'!K$1124</f>
        <v>3.8375150174986506E-3</v>
      </c>
      <c r="Z2619" s="198" t="s">
        <v>2272</v>
      </c>
      <c r="AA2619" s="198" t="s">
        <v>34</v>
      </c>
      <c r="AB2619" s="198" t="s">
        <v>37</v>
      </c>
      <c r="AC2619" s="198" t="s">
        <v>63</v>
      </c>
      <c r="AD2619" s="198" t="s">
        <v>7616</v>
      </c>
      <c r="AE2619" s="198"/>
    </row>
    <row r="2620" spans="1:31" ht="28" customHeight="1">
      <c r="A2620" s="4" t="s">
        <v>7277</v>
      </c>
      <c r="B2620" s="4" t="s">
        <v>7313</v>
      </c>
      <c r="C2620" s="198" t="s">
        <v>23</v>
      </c>
      <c r="D2620" s="198" t="s">
        <v>1238</v>
      </c>
      <c r="E2620" s="198" t="s">
        <v>3204</v>
      </c>
      <c r="F2620" s="4" t="s">
        <v>2272</v>
      </c>
      <c r="G2620" s="4" t="s">
        <v>2272</v>
      </c>
      <c r="H2620" s="198" t="s">
        <v>521</v>
      </c>
      <c r="I2620" s="198">
        <v>2005</v>
      </c>
      <c r="J2620" s="198" t="s">
        <v>2272</v>
      </c>
      <c r="K2620" s="198" t="s">
        <v>2272</v>
      </c>
      <c r="L2620" s="198" t="s">
        <v>2272</v>
      </c>
      <c r="M2620" s="198" t="s">
        <v>2272</v>
      </c>
      <c r="N2620" s="198" t="s">
        <v>2272</v>
      </c>
      <c r="O2620" s="198" t="s">
        <v>2272</v>
      </c>
      <c r="P2620" s="198" t="s">
        <v>2272</v>
      </c>
      <c r="Q2620" s="198" t="s">
        <v>2272</v>
      </c>
      <c r="R2620" s="198" t="s">
        <v>2272</v>
      </c>
      <c r="S2620" s="198" t="s">
        <v>2272</v>
      </c>
      <c r="T2620" s="198" t="s">
        <v>2272</v>
      </c>
      <c r="U2620" s="21">
        <f>2500*0.068</f>
        <v>170</v>
      </c>
      <c r="V2620" s="198" t="s">
        <v>2272</v>
      </c>
      <c r="W2620" s="198" t="s">
        <v>2272</v>
      </c>
      <c r="X2620" s="198" t="s">
        <v>2272</v>
      </c>
      <c r="Y2620" s="21">
        <f>U2620/'Record info'!K$1120</f>
        <v>6.2481623052043521E-3</v>
      </c>
      <c r="Z2620" s="198" t="s">
        <v>2272</v>
      </c>
      <c r="AA2620" s="198" t="s">
        <v>34</v>
      </c>
      <c r="AB2620" s="198" t="s">
        <v>37</v>
      </c>
      <c r="AC2620" s="198" t="s">
        <v>63</v>
      </c>
      <c r="AD2620" s="198" t="s">
        <v>7616</v>
      </c>
      <c r="AE2620" s="198"/>
    </row>
    <row r="2621" spans="1:31" ht="28" customHeight="1">
      <c r="A2621" s="4" t="s">
        <v>7278</v>
      </c>
      <c r="B2621" s="4" t="s">
        <v>7314</v>
      </c>
      <c r="C2621" s="198" t="s">
        <v>23</v>
      </c>
      <c r="D2621" s="198" t="s">
        <v>1238</v>
      </c>
      <c r="E2621" s="198" t="s">
        <v>3204</v>
      </c>
      <c r="F2621" s="4" t="s">
        <v>2272</v>
      </c>
      <c r="G2621" s="4" t="s">
        <v>2272</v>
      </c>
      <c r="H2621" s="198" t="s">
        <v>521</v>
      </c>
      <c r="I2621" s="198">
        <v>2005</v>
      </c>
      <c r="J2621" s="198" t="s">
        <v>2272</v>
      </c>
      <c r="K2621" s="198" t="s">
        <v>2272</v>
      </c>
      <c r="L2621" s="198" t="s">
        <v>2272</v>
      </c>
      <c r="M2621" s="198" t="s">
        <v>2272</v>
      </c>
      <c r="N2621" s="198" t="s">
        <v>2272</v>
      </c>
      <c r="O2621" s="198" t="s">
        <v>2272</v>
      </c>
      <c r="P2621" s="198" t="s">
        <v>2272</v>
      </c>
      <c r="Q2621" s="198" t="s">
        <v>2272</v>
      </c>
      <c r="R2621" s="198" t="s">
        <v>2272</v>
      </c>
      <c r="S2621" s="198" t="s">
        <v>2272</v>
      </c>
      <c r="T2621" s="198" t="s">
        <v>2272</v>
      </c>
      <c r="U2621" s="21">
        <f>2500*0.05</f>
        <v>125</v>
      </c>
      <c r="V2621" s="198" t="s">
        <v>2272</v>
      </c>
      <c r="W2621" s="198" t="s">
        <v>2272</v>
      </c>
      <c r="X2621" s="198" t="s">
        <v>2272</v>
      </c>
      <c r="Y2621" s="21">
        <f>U2621/'Record info'!K$1121</f>
        <v>4.1797632582090552E-3</v>
      </c>
      <c r="Z2621" s="198" t="s">
        <v>2272</v>
      </c>
      <c r="AA2621" s="198" t="s">
        <v>34</v>
      </c>
      <c r="AB2621" s="198" t="s">
        <v>37</v>
      </c>
      <c r="AC2621" s="198" t="s">
        <v>63</v>
      </c>
      <c r="AD2621" s="198" t="s">
        <v>7616</v>
      </c>
      <c r="AE2621" s="198"/>
    </row>
    <row r="2622" spans="1:31" ht="28" customHeight="1">
      <c r="A2622" s="4" t="s">
        <v>7279</v>
      </c>
      <c r="B2622" s="4" t="s">
        <v>7315</v>
      </c>
      <c r="C2622" s="198" t="s">
        <v>23</v>
      </c>
      <c r="D2622" s="198" t="s">
        <v>1238</v>
      </c>
      <c r="E2622" s="198" t="s">
        <v>3204</v>
      </c>
      <c r="F2622" s="4" t="s">
        <v>2272</v>
      </c>
      <c r="G2622" s="4" t="s">
        <v>2272</v>
      </c>
      <c r="H2622" s="198" t="s">
        <v>521</v>
      </c>
      <c r="I2622" s="198">
        <v>2005</v>
      </c>
      <c r="J2622" s="198" t="s">
        <v>2272</v>
      </c>
      <c r="K2622" s="198" t="s">
        <v>2272</v>
      </c>
      <c r="L2622" s="198" t="s">
        <v>2272</v>
      </c>
      <c r="M2622" s="198" t="s">
        <v>2272</v>
      </c>
      <c r="N2622" s="198" t="s">
        <v>2272</v>
      </c>
      <c r="O2622" s="198" t="s">
        <v>2272</v>
      </c>
      <c r="P2622" s="198" t="s">
        <v>2272</v>
      </c>
      <c r="Q2622" s="198" t="s">
        <v>2272</v>
      </c>
      <c r="R2622" s="198" t="s">
        <v>2272</v>
      </c>
      <c r="S2622" s="198" t="s">
        <v>2272</v>
      </c>
      <c r="T2622" s="198" t="s">
        <v>2272</v>
      </c>
      <c r="U2622" s="21">
        <f>2500*0.493</f>
        <v>1232.5</v>
      </c>
      <c r="V2622" s="198" t="s">
        <v>2272</v>
      </c>
      <c r="W2622" s="198" t="s">
        <v>2272</v>
      </c>
      <c r="X2622" s="198" t="s">
        <v>2272</v>
      </c>
      <c r="Y2622" s="21">
        <f>U2622/'Record info'!K$1122</f>
        <v>3.8742023701002735E-2</v>
      </c>
      <c r="Z2622" s="198" t="s">
        <v>2272</v>
      </c>
      <c r="AA2622" s="198" t="s">
        <v>34</v>
      </c>
      <c r="AB2622" s="198" t="s">
        <v>37</v>
      </c>
      <c r="AC2622" s="198" t="s">
        <v>63</v>
      </c>
      <c r="AD2622" s="198" t="s">
        <v>7616</v>
      </c>
      <c r="AE2622" s="198"/>
    </row>
    <row r="2623" spans="1:31" ht="28" customHeight="1">
      <c r="A2623" s="4" t="s">
        <v>7280</v>
      </c>
      <c r="B2623" s="4" t="s">
        <v>7316</v>
      </c>
      <c r="C2623" s="198" t="s">
        <v>23</v>
      </c>
      <c r="D2623" s="198" t="s">
        <v>1238</v>
      </c>
      <c r="E2623" s="198" t="s">
        <v>3204</v>
      </c>
      <c r="F2623" s="4" t="s">
        <v>2272</v>
      </c>
      <c r="G2623" s="4" t="s">
        <v>2272</v>
      </c>
      <c r="H2623" s="198" t="s">
        <v>521</v>
      </c>
      <c r="I2623" s="198">
        <v>2005</v>
      </c>
      <c r="J2623" s="198" t="s">
        <v>2272</v>
      </c>
      <c r="K2623" s="198" t="s">
        <v>2272</v>
      </c>
      <c r="L2623" s="198" t="s">
        <v>2272</v>
      </c>
      <c r="M2623" s="198" t="s">
        <v>2272</v>
      </c>
      <c r="N2623" s="198" t="s">
        <v>2272</v>
      </c>
      <c r="O2623" s="198" t="s">
        <v>2272</v>
      </c>
      <c r="P2623" s="198" t="s">
        <v>2272</v>
      </c>
      <c r="Q2623" s="198" t="s">
        <v>2272</v>
      </c>
      <c r="R2623" s="198" t="s">
        <v>2272</v>
      </c>
      <c r="S2623" s="198" t="s">
        <v>2272</v>
      </c>
      <c r="T2623" s="198" t="s">
        <v>2272</v>
      </c>
      <c r="U2623" s="21">
        <f>2500*0.375</f>
        <v>937.5</v>
      </c>
      <c r="V2623" s="198" t="s">
        <v>2272</v>
      </c>
      <c r="W2623" s="198" t="s">
        <v>2272</v>
      </c>
      <c r="X2623" s="198" t="s">
        <v>2272</v>
      </c>
      <c r="Y2623" s="21">
        <f>U2623/'Record info'!K$1123</f>
        <v>7.8046953046953041E-2</v>
      </c>
      <c r="Z2623" s="198" t="s">
        <v>2272</v>
      </c>
      <c r="AA2623" s="198" t="s">
        <v>34</v>
      </c>
      <c r="AB2623" s="198" t="s">
        <v>37</v>
      </c>
      <c r="AC2623" s="198" t="s">
        <v>63</v>
      </c>
      <c r="AD2623" s="198" t="s">
        <v>7616</v>
      </c>
      <c r="AE2623" s="198"/>
    </row>
    <row r="2624" spans="1:31" ht="28" customHeight="1">
      <c r="A2624" s="4" t="s">
        <v>7281</v>
      </c>
      <c r="B2624" s="4" t="s">
        <v>7317</v>
      </c>
      <c r="C2624" s="198" t="s">
        <v>23</v>
      </c>
      <c r="D2624" s="198" t="s">
        <v>1238</v>
      </c>
      <c r="E2624" s="198" t="s">
        <v>3204</v>
      </c>
      <c r="F2624" s="4" t="s">
        <v>2272</v>
      </c>
      <c r="G2624" s="4" t="s">
        <v>2272</v>
      </c>
      <c r="H2624" s="198" t="s">
        <v>521</v>
      </c>
      <c r="I2624" s="198">
        <v>2005</v>
      </c>
      <c r="J2624" s="198" t="s">
        <v>2272</v>
      </c>
      <c r="K2624" s="198" t="s">
        <v>2272</v>
      </c>
      <c r="L2624" s="198" t="s">
        <v>2272</v>
      </c>
      <c r="M2624" s="198" t="s">
        <v>2272</v>
      </c>
      <c r="N2624" s="198" t="s">
        <v>2272</v>
      </c>
      <c r="O2624" s="198" t="s">
        <v>2272</v>
      </c>
      <c r="P2624" s="198" t="s">
        <v>2272</v>
      </c>
      <c r="Q2624" s="198" t="s">
        <v>2272</v>
      </c>
      <c r="R2624" s="198" t="s">
        <v>2272</v>
      </c>
      <c r="S2624" s="198" t="s">
        <v>2272</v>
      </c>
      <c r="T2624" s="198" t="s">
        <v>2272</v>
      </c>
      <c r="U2624" s="21">
        <f>2500*0.058</f>
        <v>145</v>
      </c>
      <c r="V2624" s="198" t="s">
        <v>2272</v>
      </c>
      <c r="W2624" s="198" t="s">
        <v>2272</v>
      </c>
      <c r="X2624" s="198" t="s">
        <v>2272</v>
      </c>
      <c r="Y2624" s="21">
        <f>U2624/'Record info'!K$1124</f>
        <v>2.5246809325649017E-3</v>
      </c>
      <c r="Z2624" s="198" t="s">
        <v>2272</v>
      </c>
      <c r="AA2624" s="198" t="s">
        <v>34</v>
      </c>
      <c r="AB2624" s="198" t="s">
        <v>37</v>
      </c>
      <c r="AC2624" s="198" t="s">
        <v>63</v>
      </c>
      <c r="AD2624" s="198" t="s">
        <v>7616</v>
      </c>
      <c r="AE2624" s="198"/>
    </row>
    <row r="2625" spans="1:31" ht="26.5" customHeight="1">
      <c r="A2625" s="4" t="s">
        <v>7277</v>
      </c>
      <c r="B2625" s="4" t="s">
        <v>7318</v>
      </c>
      <c r="C2625" s="198" t="s">
        <v>23</v>
      </c>
      <c r="D2625" s="198" t="s">
        <v>1238</v>
      </c>
      <c r="E2625" s="198" t="s">
        <v>3204</v>
      </c>
      <c r="F2625" s="4" t="s">
        <v>2272</v>
      </c>
      <c r="G2625" s="4" t="s">
        <v>2272</v>
      </c>
      <c r="H2625" s="198" t="s">
        <v>521</v>
      </c>
      <c r="I2625" s="198">
        <v>2006</v>
      </c>
      <c r="J2625" s="198" t="s">
        <v>2272</v>
      </c>
      <c r="K2625" s="198" t="s">
        <v>2272</v>
      </c>
      <c r="L2625" s="198" t="s">
        <v>2272</v>
      </c>
      <c r="M2625" s="198" t="s">
        <v>2272</v>
      </c>
      <c r="N2625" s="198" t="s">
        <v>2272</v>
      </c>
      <c r="O2625" s="198" t="s">
        <v>2272</v>
      </c>
      <c r="P2625" s="198" t="s">
        <v>2272</v>
      </c>
      <c r="Q2625" s="198" t="s">
        <v>2272</v>
      </c>
      <c r="R2625" s="198" t="s">
        <v>2272</v>
      </c>
      <c r="S2625" s="198" t="s">
        <v>2272</v>
      </c>
      <c r="T2625" s="198" t="s">
        <v>2272</v>
      </c>
      <c r="U2625" s="21">
        <f>2250*0.068</f>
        <v>153</v>
      </c>
      <c r="V2625" s="198" t="s">
        <v>2272</v>
      </c>
      <c r="W2625" s="198" t="s">
        <v>2272</v>
      </c>
      <c r="X2625" s="198" t="s">
        <v>2272</v>
      </c>
      <c r="Y2625" s="21">
        <f>U2625/'Record info'!K$1120</f>
        <v>5.6233460746839166E-3</v>
      </c>
      <c r="Z2625" s="198" t="s">
        <v>2272</v>
      </c>
      <c r="AA2625" s="198" t="s">
        <v>34</v>
      </c>
      <c r="AB2625" s="198" t="s">
        <v>37</v>
      </c>
      <c r="AC2625" s="198" t="s">
        <v>63</v>
      </c>
      <c r="AD2625" s="198" t="s">
        <v>7616</v>
      </c>
      <c r="AE2625" s="198"/>
    </row>
    <row r="2626" spans="1:31" ht="26.5" customHeight="1">
      <c r="A2626" s="4" t="s">
        <v>7278</v>
      </c>
      <c r="B2626" s="4" t="s">
        <v>7319</v>
      </c>
      <c r="C2626" s="198" t="s">
        <v>23</v>
      </c>
      <c r="D2626" s="198" t="s">
        <v>1238</v>
      </c>
      <c r="E2626" s="198" t="s">
        <v>3204</v>
      </c>
      <c r="F2626" s="4" t="s">
        <v>2272</v>
      </c>
      <c r="G2626" s="4" t="s">
        <v>2272</v>
      </c>
      <c r="H2626" s="198" t="s">
        <v>521</v>
      </c>
      <c r="I2626" s="198">
        <v>2006</v>
      </c>
      <c r="J2626" s="198" t="s">
        <v>2272</v>
      </c>
      <c r="K2626" s="198" t="s">
        <v>2272</v>
      </c>
      <c r="L2626" s="198" t="s">
        <v>2272</v>
      </c>
      <c r="M2626" s="198" t="s">
        <v>2272</v>
      </c>
      <c r="N2626" s="198" t="s">
        <v>2272</v>
      </c>
      <c r="O2626" s="198" t="s">
        <v>2272</v>
      </c>
      <c r="P2626" s="198" t="s">
        <v>2272</v>
      </c>
      <c r="Q2626" s="198" t="s">
        <v>2272</v>
      </c>
      <c r="R2626" s="198" t="s">
        <v>2272</v>
      </c>
      <c r="S2626" s="198" t="s">
        <v>2272</v>
      </c>
      <c r="T2626" s="198" t="s">
        <v>2272</v>
      </c>
      <c r="U2626" s="21">
        <f>2250*0.05</f>
        <v>112.5</v>
      </c>
      <c r="V2626" s="198" t="s">
        <v>2272</v>
      </c>
      <c r="W2626" s="198" t="s">
        <v>2272</v>
      </c>
      <c r="X2626" s="198" t="s">
        <v>2272</v>
      </c>
      <c r="Y2626" s="21">
        <f>U2626/'Record info'!K$1121</f>
        <v>3.7617869323881494E-3</v>
      </c>
      <c r="Z2626" s="198" t="s">
        <v>2272</v>
      </c>
      <c r="AA2626" s="198" t="s">
        <v>34</v>
      </c>
      <c r="AB2626" s="198" t="s">
        <v>37</v>
      </c>
      <c r="AC2626" s="198" t="s">
        <v>63</v>
      </c>
      <c r="AD2626" s="198" t="s">
        <v>7616</v>
      </c>
      <c r="AE2626" s="198"/>
    </row>
    <row r="2627" spans="1:31" ht="26.5" customHeight="1">
      <c r="A2627" s="4" t="s">
        <v>7279</v>
      </c>
      <c r="B2627" s="4" t="s">
        <v>7320</v>
      </c>
      <c r="C2627" s="198" t="s">
        <v>23</v>
      </c>
      <c r="D2627" s="198" t="s">
        <v>1238</v>
      </c>
      <c r="E2627" s="198" t="s">
        <v>3204</v>
      </c>
      <c r="F2627" s="4" t="s">
        <v>2272</v>
      </c>
      <c r="G2627" s="4" t="s">
        <v>2272</v>
      </c>
      <c r="H2627" s="198" t="s">
        <v>521</v>
      </c>
      <c r="I2627" s="198">
        <v>2006</v>
      </c>
      <c r="J2627" s="198" t="s">
        <v>2272</v>
      </c>
      <c r="K2627" s="198" t="s">
        <v>2272</v>
      </c>
      <c r="L2627" s="198" t="s">
        <v>2272</v>
      </c>
      <c r="M2627" s="198" t="s">
        <v>2272</v>
      </c>
      <c r="N2627" s="198" t="s">
        <v>2272</v>
      </c>
      <c r="O2627" s="198" t="s">
        <v>2272</v>
      </c>
      <c r="P2627" s="198" t="s">
        <v>2272</v>
      </c>
      <c r="Q2627" s="198" t="s">
        <v>2272</v>
      </c>
      <c r="R2627" s="198" t="s">
        <v>2272</v>
      </c>
      <c r="S2627" s="198" t="s">
        <v>2272</v>
      </c>
      <c r="T2627" s="198" t="s">
        <v>2272</v>
      </c>
      <c r="U2627" s="21">
        <f>2250*0.493</f>
        <v>1109.25</v>
      </c>
      <c r="V2627" s="198" t="s">
        <v>2272</v>
      </c>
      <c r="W2627" s="198" t="s">
        <v>2272</v>
      </c>
      <c r="X2627" s="198" t="s">
        <v>2272</v>
      </c>
      <c r="Y2627" s="21">
        <f>U2627/'Record info'!K$1122</f>
        <v>3.4867821330902458E-2</v>
      </c>
      <c r="Z2627" s="198" t="s">
        <v>2272</v>
      </c>
      <c r="AA2627" s="198" t="s">
        <v>34</v>
      </c>
      <c r="AB2627" s="198" t="s">
        <v>37</v>
      </c>
      <c r="AC2627" s="198" t="s">
        <v>63</v>
      </c>
      <c r="AD2627" s="198" t="s">
        <v>7616</v>
      </c>
      <c r="AE2627" s="198"/>
    </row>
    <row r="2628" spans="1:31" ht="26.5" customHeight="1">
      <c r="A2628" s="4" t="s">
        <v>7280</v>
      </c>
      <c r="B2628" s="4" t="s">
        <v>7321</v>
      </c>
      <c r="C2628" s="198" t="s">
        <v>23</v>
      </c>
      <c r="D2628" s="198" t="s">
        <v>1238</v>
      </c>
      <c r="E2628" s="198" t="s">
        <v>3204</v>
      </c>
      <c r="F2628" s="4" t="s">
        <v>2272</v>
      </c>
      <c r="G2628" s="4" t="s">
        <v>2272</v>
      </c>
      <c r="H2628" s="198" t="s">
        <v>521</v>
      </c>
      <c r="I2628" s="198">
        <v>2006</v>
      </c>
      <c r="J2628" s="198" t="s">
        <v>2272</v>
      </c>
      <c r="K2628" s="198" t="s">
        <v>2272</v>
      </c>
      <c r="L2628" s="198" t="s">
        <v>2272</v>
      </c>
      <c r="M2628" s="198" t="s">
        <v>2272</v>
      </c>
      <c r="N2628" s="198" t="s">
        <v>2272</v>
      </c>
      <c r="O2628" s="198" t="s">
        <v>2272</v>
      </c>
      <c r="P2628" s="198" t="s">
        <v>2272</v>
      </c>
      <c r="Q2628" s="198" t="s">
        <v>2272</v>
      </c>
      <c r="R2628" s="198" t="s">
        <v>2272</v>
      </c>
      <c r="S2628" s="198" t="s">
        <v>2272</v>
      </c>
      <c r="T2628" s="198" t="s">
        <v>2272</v>
      </c>
      <c r="U2628" s="21">
        <f>2250*0.375</f>
        <v>843.75</v>
      </c>
      <c r="V2628" s="198" t="s">
        <v>2272</v>
      </c>
      <c r="W2628" s="198" t="s">
        <v>2272</v>
      </c>
      <c r="X2628" s="198" t="s">
        <v>2272</v>
      </c>
      <c r="Y2628" s="21">
        <f>U2628/'Record info'!K$1123</f>
        <v>7.0242257742257744E-2</v>
      </c>
      <c r="Z2628" s="198" t="s">
        <v>2272</v>
      </c>
      <c r="AA2628" s="198" t="s">
        <v>34</v>
      </c>
      <c r="AB2628" s="198" t="s">
        <v>37</v>
      </c>
      <c r="AC2628" s="198" t="s">
        <v>63</v>
      </c>
      <c r="AD2628" s="198" t="s">
        <v>7616</v>
      </c>
      <c r="AE2628" s="198"/>
    </row>
    <row r="2629" spans="1:31" ht="26.5" customHeight="1">
      <c r="A2629" s="4" t="s">
        <v>7281</v>
      </c>
      <c r="B2629" s="4" t="s">
        <v>7322</v>
      </c>
      <c r="C2629" s="198" t="s">
        <v>23</v>
      </c>
      <c r="D2629" s="198" t="s">
        <v>1238</v>
      </c>
      <c r="E2629" s="198" t="s">
        <v>3204</v>
      </c>
      <c r="F2629" s="4" t="s">
        <v>2272</v>
      </c>
      <c r="G2629" s="4" t="s">
        <v>2272</v>
      </c>
      <c r="H2629" s="198" t="s">
        <v>521</v>
      </c>
      <c r="I2629" s="198">
        <v>2006</v>
      </c>
      <c r="J2629" s="198" t="s">
        <v>2272</v>
      </c>
      <c r="K2629" s="198" t="s">
        <v>2272</v>
      </c>
      <c r="L2629" s="198" t="s">
        <v>2272</v>
      </c>
      <c r="M2629" s="198" t="s">
        <v>2272</v>
      </c>
      <c r="N2629" s="198" t="s">
        <v>2272</v>
      </c>
      <c r="O2629" s="198" t="s">
        <v>2272</v>
      </c>
      <c r="P2629" s="198" t="s">
        <v>2272</v>
      </c>
      <c r="Q2629" s="198" t="s">
        <v>2272</v>
      </c>
      <c r="R2629" s="198" t="s">
        <v>2272</v>
      </c>
      <c r="S2629" s="198" t="s">
        <v>2272</v>
      </c>
      <c r="T2629" s="198" t="s">
        <v>2272</v>
      </c>
      <c r="U2629" s="21">
        <f>2250*0.058</f>
        <v>130.5</v>
      </c>
      <c r="V2629" s="198" t="s">
        <v>2272</v>
      </c>
      <c r="W2629" s="198" t="s">
        <v>2272</v>
      </c>
      <c r="X2629" s="198" t="s">
        <v>2272</v>
      </c>
      <c r="Y2629" s="21">
        <f>U2629/'Record info'!K$1124</f>
        <v>2.2722128393084114E-3</v>
      </c>
      <c r="Z2629" s="198" t="s">
        <v>2272</v>
      </c>
      <c r="AA2629" s="198" t="s">
        <v>34</v>
      </c>
      <c r="AB2629" s="198" t="s">
        <v>37</v>
      </c>
      <c r="AC2629" s="198" t="s">
        <v>63</v>
      </c>
      <c r="AD2629" s="198" t="s">
        <v>7616</v>
      </c>
      <c r="AE2629" s="198"/>
    </row>
    <row r="2630" spans="1:31" ht="24.5" customHeight="1">
      <c r="A2630" s="4" t="s">
        <v>7277</v>
      </c>
      <c r="B2630" s="4" t="s">
        <v>7323</v>
      </c>
      <c r="C2630" s="198" t="s">
        <v>23</v>
      </c>
      <c r="D2630" s="198" t="s">
        <v>1238</v>
      </c>
      <c r="E2630" s="198" t="s">
        <v>3204</v>
      </c>
      <c r="F2630" s="4" t="s">
        <v>2272</v>
      </c>
      <c r="G2630" s="4" t="s">
        <v>2272</v>
      </c>
      <c r="H2630" s="198" t="s">
        <v>521</v>
      </c>
      <c r="I2630" s="198">
        <v>2007</v>
      </c>
      <c r="J2630" s="198" t="s">
        <v>2272</v>
      </c>
      <c r="K2630" s="198" t="s">
        <v>2272</v>
      </c>
      <c r="L2630" s="198" t="s">
        <v>2272</v>
      </c>
      <c r="M2630" s="198" t="s">
        <v>2272</v>
      </c>
      <c r="N2630" s="198" t="s">
        <v>2272</v>
      </c>
      <c r="O2630" s="198" t="s">
        <v>2272</v>
      </c>
      <c r="P2630" s="198" t="s">
        <v>2272</v>
      </c>
      <c r="Q2630" s="198" t="s">
        <v>2272</v>
      </c>
      <c r="R2630" s="198" t="s">
        <v>2272</v>
      </c>
      <c r="S2630" s="198" t="s">
        <v>2272</v>
      </c>
      <c r="T2630" s="198" t="s">
        <v>2272</v>
      </c>
      <c r="U2630" s="21">
        <f>4500*0.068</f>
        <v>306</v>
      </c>
      <c r="V2630" s="198" t="s">
        <v>2272</v>
      </c>
      <c r="W2630" s="198" t="s">
        <v>2272</v>
      </c>
      <c r="X2630" s="198" t="s">
        <v>2272</v>
      </c>
      <c r="Y2630" s="21">
        <f>U2630/'Record info'!K$1120</f>
        <v>1.1246692149367833E-2</v>
      </c>
      <c r="Z2630" s="198" t="s">
        <v>2272</v>
      </c>
      <c r="AA2630" s="198" t="s">
        <v>34</v>
      </c>
      <c r="AB2630" s="198" t="s">
        <v>37</v>
      </c>
      <c r="AC2630" s="198" t="s">
        <v>63</v>
      </c>
      <c r="AD2630" s="198" t="s">
        <v>7616</v>
      </c>
      <c r="AE2630" s="198"/>
    </row>
    <row r="2631" spans="1:31" ht="24.5" customHeight="1">
      <c r="A2631" s="4" t="s">
        <v>7278</v>
      </c>
      <c r="B2631" s="4" t="s">
        <v>7324</v>
      </c>
      <c r="C2631" s="198" t="s">
        <v>23</v>
      </c>
      <c r="D2631" s="198" t="s">
        <v>1238</v>
      </c>
      <c r="E2631" s="198" t="s">
        <v>3204</v>
      </c>
      <c r="F2631" s="4" t="s">
        <v>2272</v>
      </c>
      <c r="G2631" s="4" t="s">
        <v>2272</v>
      </c>
      <c r="H2631" s="198" t="s">
        <v>521</v>
      </c>
      <c r="I2631" s="198">
        <v>2007</v>
      </c>
      <c r="J2631" s="198" t="s">
        <v>2272</v>
      </c>
      <c r="K2631" s="198" t="s">
        <v>2272</v>
      </c>
      <c r="L2631" s="198" t="s">
        <v>2272</v>
      </c>
      <c r="M2631" s="198" t="s">
        <v>2272</v>
      </c>
      <c r="N2631" s="198" t="s">
        <v>2272</v>
      </c>
      <c r="O2631" s="198" t="s">
        <v>2272</v>
      </c>
      <c r="P2631" s="198" t="s">
        <v>2272</v>
      </c>
      <c r="Q2631" s="198" t="s">
        <v>2272</v>
      </c>
      <c r="R2631" s="198" t="s">
        <v>2272</v>
      </c>
      <c r="S2631" s="198" t="s">
        <v>2272</v>
      </c>
      <c r="T2631" s="198" t="s">
        <v>2272</v>
      </c>
      <c r="U2631" s="21">
        <f>4500*0.05</f>
        <v>225</v>
      </c>
      <c r="V2631" s="198" t="s">
        <v>2272</v>
      </c>
      <c r="W2631" s="198" t="s">
        <v>2272</v>
      </c>
      <c r="X2631" s="198" t="s">
        <v>2272</v>
      </c>
      <c r="Y2631" s="21">
        <f>U2631/'Record info'!K$1121</f>
        <v>7.5235738647762987E-3</v>
      </c>
      <c r="Z2631" s="198" t="s">
        <v>2272</v>
      </c>
      <c r="AA2631" s="198" t="s">
        <v>34</v>
      </c>
      <c r="AB2631" s="198" t="s">
        <v>37</v>
      </c>
      <c r="AC2631" s="198" t="s">
        <v>63</v>
      </c>
      <c r="AD2631" s="198" t="s">
        <v>7616</v>
      </c>
      <c r="AE2631" s="198"/>
    </row>
    <row r="2632" spans="1:31" ht="24.5" customHeight="1">
      <c r="A2632" s="4" t="s">
        <v>7279</v>
      </c>
      <c r="B2632" s="4" t="s">
        <v>7325</v>
      </c>
      <c r="C2632" s="198" t="s">
        <v>23</v>
      </c>
      <c r="D2632" s="198" t="s">
        <v>1238</v>
      </c>
      <c r="E2632" s="198" t="s">
        <v>3204</v>
      </c>
      <c r="F2632" s="4" t="s">
        <v>2272</v>
      </c>
      <c r="G2632" s="4" t="s">
        <v>2272</v>
      </c>
      <c r="H2632" s="198" t="s">
        <v>521</v>
      </c>
      <c r="I2632" s="198">
        <v>2007</v>
      </c>
      <c r="J2632" s="198" t="s">
        <v>2272</v>
      </c>
      <c r="K2632" s="198" t="s">
        <v>2272</v>
      </c>
      <c r="L2632" s="198" t="s">
        <v>2272</v>
      </c>
      <c r="M2632" s="198" t="s">
        <v>2272</v>
      </c>
      <c r="N2632" s="198" t="s">
        <v>2272</v>
      </c>
      <c r="O2632" s="198" t="s">
        <v>2272</v>
      </c>
      <c r="P2632" s="198" t="s">
        <v>2272</v>
      </c>
      <c r="Q2632" s="198" t="s">
        <v>2272</v>
      </c>
      <c r="R2632" s="198" t="s">
        <v>2272</v>
      </c>
      <c r="S2632" s="198" t="s">
        <v>2272</v>
      </c>
      <c r="T2632" s="198" t="s">
        <v>2272</v>
      </c>
      <c r="U2632" s="21">
        <f>4500*0.493</f>
        <v>2218.5</v>
      </c>
      <c r="V2632" s="198" t="s">
        <v>2272</v>
      </c>
      <c r="W2632" s="198" t="s">
        <v>2272</v>
      </c>
      <c r="X2632" s="198" t="s">
        <v>2272</v>
      </c>
      <c r="Y2632" s="21">
        <f>U2632/'Record info'!K$1122</f>
        <v>6.9735642661804917E-2</v>
      </c>
      <c r="Z2632" s="198" t="s">
        <v>2272</v>
      </c>
      <c r="AA2632" s="198" t="s">
        <v>34</v>
      </c>
      <c r="AB2632" s="198" t="s">
        <v>37</v>
      </c>
      <c r="AC2632" s="198" t="s">
        <v>63</v>
      </c>
      <c r="AD2632" s="198" t="s">
        <v>7616</v>
      </c>
      <c r="AE2632" s="198"/>
    </row>
    <row r="2633" spans="1:31" ht="24.5" customHeight="1">
      <c r="A2633" s="4" t="s">
        <v>7280</v>
      </c>
      <c r="B2633" s="4" t="s">
        <v>7326</v>
      </c>
      <c r="C2633" s="198" t="s">
        <v>23</v>
      </c>
      <c r="D2633" s="198" t="s">
        <v>1238</v>
      </c>
      <c r="E2633" s="198" t="s">
        <v>3204</v>
      </c>
      <c r="F2633" s="4" t="s">
        <v>2272</v>
      </c>
      <c r="G2633" s="4" t="s">
        <v>2272</v>
      </c>
      <c r="H2633" s="198" t="s">
        <v>521</v>
      </c>
      <c r="I2633" s="198">
        <v>2007</v>
      </c>
      <c r="J2633" s="198" t="s">
        <v>2272</v>
      </c>
      <c r="K2633" s="198" t="s">
        <v>2272</v>
      </c>
      <c r="L2633" s="198" t="s">
        <v>2272</v>
      </c>
      <c r="M2633" s="198" t="s">
        <v>2272</v>
      </c>
      <c r="N2633" s="198" t="s">
        <v>2272</v>
      </c>
      <c r="O2633" s="198" t="s">
        <v>2272</v>
      </c>
      <c r="P2633" s="198" t="s">
        <v>2272</v>
      </c>
      <c r="Q2633" s="198" t="s">
        <v>2272</v>
      </c>
      <c r="R2633" s="198" t="s">
        <v>2272</v>
      </c>
      <c r="S2633" s="198" t="s">
        <v>2272</v>
      </c>
      <c r="T2633" s="198" t="s">
        <v>2272</v>
      </c>
      <c r="U2633" s="21">
        <f>4500*0.375</f>
        <v>1687.5</v>
      </c>
      <c r="V2633" s="198" t="s">
        <v>2272</v>
      </c>
      <c r="W2633" s="198" t="s">
        <v>2272</v>
      </c>
      <c r="X2633" s="198" t="s">
        <v>2272</v>
      </c>
      <c r="Y2633" s="21">
        <f>U2633/'Record info'!K$1123</f>
        <v>0.14048451548451549</v>
      </c>
      <c r="Z2633" s="198" t="s">
        <v>2272</v>
      </c>
      <c r="AA2633" s="198" t="s">
        <v>34</v>
      </c>
      <c r="AB2633" s="198" t="s">
        <v>37</v>
      </c>
      <c r="AC2633" s="198" t="s">
        <v>63</v>
      </c>
      <c r="AD2633" s="198" t="s">
        <v>7616</v>
      </c>
      <c r="AE2633" s="198"/>
    </row>
    <row r="2634" spans="1:31" ht="30" customHeight="1">
      <c r="A2634" s="4" t="s">
        <v>7281</v>
      </c>
      <c r="B2634" s="4" t="s">
        <v>7327</v>
      </c>
      <c r="C2634" s="198" t="s">
        <v>23</v>
      </c>
      <c r="D2634" s="198" t="s">
        <v>1238</v>
      </c>
      <c r="E2634" s="198" t="s">
        <v>3204</v>
      </c>
      <c r="F2634" s="4" t="s">
        <v>2272</v>
      </c>
      <c r="G2634" s="4" t="s">
        <v>2272</v>
      </c>
      <c r="H2634" s="198" t="s">
        <v>521</v>
      </c>
      <c r="I2634" s="198">
        <v>2007</v>
      </c>
      <c r="J2634" s="198" t="s">
        <v>2272</v>
      </c>
      <c r="K2634" s="198" t="s">
        <v>2272</v>
      </c>
      <c r="L2634" s="198" t="s">
        <v>2272</v>
      </c>
      <c r="M2634" s="198" t="s">
        <v>2272</v>
      </c>
      <c r="N2634" s="198" t="s">
        <v>2272</v>
      </c>
      <c r="O2634" s="198" t="s">
        <v>2272</v>
      </c>
      <c r="P2634" s="198" t="s">
        <v>2272</v>
      </c>
      <c r="Q2634" s="198" t="s">
        <v>2272</v>
      </c>
      <c r="R2634" s="198" t="s">
        <v>2272</v>
      </c>
      <c r="S2634" s="198" t="s">
        <v>2272</v>
      </c>
      <c r="T2634" s="198" t="s">
        <v>2272</v>
      </c>
      <c r="U2634" s="21">
        <f>4500*0.058</f>
        <v>261</v>
      </c>
      <c r="V2634" s="198" t="s">
        <v>2272</v>
      </c>
      <c r="W2634" s="198" t="s">
        <v>2272</v>
      </c>
      <c r="X2634" s="198" t="s">
        <v>2272</v>
      </c>
      <c r="Y2634" s="21">
        <f>U2634/'Record info'!K$1124</f>
        <v>4.5444256786168228E-3</v>
      </c>
      <c r="Z2634" s="198" t="s">
        <v>2272</v>
      </c>
      <c r="AA2634" s="198" t="s">
        <v>34</v>
      </c>
      <c r="AB2634" s="198" t="s">
        <v>37</v>
      </c>
      <c r="AC2634" s="198" t="s">
        <v>63</v>
      </c>
      <c r="AD2634" s="198" t="s">
        <v>7616</v>
      </c>
      <c r="AE2634" s="198"/>
    </row>
    <row r="2635" spans="1:31" ht="30" customHeight="1">
      <c r="A2635" s="4" t="s">
        <v>7277</v>
      </c>
      <c r="B2635" s="4" t="s">
        <v>7328</v>
      </c>
      <c r="C2635" s="198" t="s">
        <v>23</v>
      </c>
      <c r="D2635" s="198" t="s">
        <v>1238</v>
      </c>
      <c r="E2635" s="198" t="s">
        <v>3204</v>
      </c>
      <c r="F2635" s="4" t="s">
        <v>2272</v>
      </c>
      <c r="G2635" s="4" t="s">
        <v>2272</v>
      </c>
      <c r="H2635" s="198" t="s">
        <v>521</v>
      </c>
      <c r="I2635" s="198">
        <v>2008</v>
      </c>
      <c r="J2635" s="198" t="s">
        <v>2272</v>
      </c>
      <c r="K2635" s="198" t="s">
        <v>2272</v>
      </c>
      <c r="L2635" s="198" t="s">
        <v>2272</v>
      </c>
      <c r="M2635" s="198" t="s">
        <v>2272</v>
      </c>
      <c r="N2635" s="198" t="s">
        <v>2272</v>
      </c>
      <c r="O2635" s="198" t="s">
        <v>2272</v>
      </c>
      <c r="P2635" s="198" t="s">
        <v>2272</v>
      </c>
      <c r="Q2635" s="198" t="s">
        <v>2272</v>
      </c>
      <c r="R2635" s="198" t="s">
        <v>2272</v>
      </c>
      <c r="S2635" s="198" t="s">
        <v>2272</v>
      </c>
      <c r="T2635" s="198" t="s">
        <v>2272</v>
      </c>
      <c r="U2635" s="21">
        <f>4000*0.068</f>
        <v>272</v>
      </c>
      <c r="V2635" s="198" t="s">
        <v>2272</v>
      </c>
      <c r="W2635" s="198" t="s">
        <v>2272</v>
      </c>
      <c r="X2635" s="198" t="s">
        <v>2272</v>
      </c>
      <c r="Y2635" s="21">
        <f>U2635/'Record info'!K$1120</f>
        <v>9.9970596883269622E-3</v>
      </c>
      <c r="Z2635" s="198" t="s">
        <v>2272</v>
      </c>
      <c r="AA2635" s="198" t="s">
        <v>34</v>
      </c>
      <c r="AB2635" s="198" t="s">
        <v>37</v>
      </c>
      <c r="AC2635" s="198" t="s">
        <v>63</v>
      </c>
      <c r="AD2635" s="198" t="s">
        <v>7616</v>
      </c>
      <c r="AE2635" s="198"/>
    </row>
    <row r="2636" spans="1:31" ht="30" customHeight="1">
      <c r="A2636" s="4" t="s">
        <v>7278</v>
      </c>
      <c r="B2636" s="4" t="s">
        <v>7329</v>
      </c>
      <c r="C2636" s="198" t="s">
        <v>23</v>
      </c>
      <c r="D2636" s="198" t="s">
        <v>1238</v>
      </c>
      <c r="E2636" s="198" t="s">
        <v>3204</v>
      </c>
      <c r="F2636" s="4" t="s">
        <v>2272</v>
      </c>
      <c r="G2636" s="4" t="s">
        <v>2272</v>
      </c>
      <c r="H2636" s="198" t="s">
        <v>521</v>
      </c>
      <c r="I2636" s="198">
        <v>2008</v>
      </c>
      <c r="J2636" s="198" t="s">
        <v>2272</v>
      </c>
      <c r="K2636" s="198" t="s">
        <v>2272</v>
      </c>
      <c r="L2636" s="198" t="s">
        <v>2272</v>
      </c>
      <c r="M2636" s="198" t="s">
        <v>2272</v>
      </c>
      <c r="N2636" s="198" t="s">
        <v>2272</v>
      </c>
      <c r="O2636" s="198" t="s">
        <v>2272</v>
      </c>
      <c r="P2636" s="198" t="s">
        <v>2272</v>
      </c>
      <c r="Q2636" s="198" t="s">
        <v>2272</v>
      </c>
      <c r="R2636" s="198" t="s">
        <v>2272</v>
      </c>
      <c r="S2636" s="198" t="s">
        <v>2272</v>
      </c>
      <c r="T2636" s="198" t="s">
        <v>2272</v>
      </c>
      <c r="U2636" s="21">
        <f>4000*0.05</f>
        <v>200</v>
      </c>
      <c r="V2636" s="198" t="s">
        <v>2272</v>
      </c>
      <c r="W2636" s="198" t="s">
        <v>2272</v>
      </c>
      <c r="X2636" s="198" t="s">
        <v>2272</v>
      </c>
      <c r="Y2636" s="21">
        <f>U2636/'Record info'!K$1121</f>
        <v>6.6876212131344879E-3</v>
      </c>
      <c r="Z2636" s="198" t="s">
        <v>2272</v>
      </c>
      <c r="AA2636" s="198" t="s">
        <v>34</v>
      </c>
      <c r="AB2636" s="198" t="s">
        <v>37</v>
      </c>
      <c r="AC2636" s="198" t="s">
        <v>63</v>
      </c>
      <c r="AD2636" s="198" t="s">
        <v>7616</v>
      </c>
      <c r="AE2636" s="198"/>
    </row>
    <row r="2637" spans="1:31" ht="30" customHeight="1">
      <c r="A2637" s="4" t="s">
        <v>7279</v>
      </c>
      <c r="B2637" s="4" t="s">
        <v>7330</v>
      </c>
      <c r="C2637" s="198" t="s">
        <v>23</v>
      </c>
      <c r="D2637" s="198" t="s">
        <v>1238</v>
      </c>
      <c r="E2637" s="198" t="s">
        <v>3204</v>
      </c>
      <c r="F2637" s="4" t="s">
        <v>2272</v>
      </c>
      <c r="G2637" s="4" t="s">
        <v>2272</v>
      </c>
      <c r="H2637" s="198" t="s">
        <v>521</v>
      </c>
      <c r="I2637" s="198">
        <v>2008</v>
      </c>
      <c r="J2637" s="198" t="s">
        <v>2272</v>
      </c>
      <c r="K2637" s="198" t="s">
        <v>2272</v>
      </c>
      <c r="L2637" s="198" t="s">
        <v>2272</v>
      </c>
      <c r="M2637" s="198" t="s">
        <v>2272</v>
      </c>
      <c r="N2637" s="198" t="s">
        <v>2272</v>
      </c>
      <c r="O2637" s="198" t="s">
        <v>2272</v>
      </c>
      <c r="P2637" s="198" t="s">
        <v>2272</v>
      </c>
      <c r="Q2637" s="198" t="s">
        <v>2272</v>
      </c>
      <c r="R2637" s="198" t="s">
        <v>2272</v>
      </c>
      <c r="S2637" s="198" t="s">
        <v>2272</v>
      </c>
      <c r="T2637" s="198" t="s">
        <v>2272</v>
      </c>
      <c r="U2637" s="21">
        <f>4000*0.493</f>
        <v>1972</v>
      </c>
      <c r="V2637" s="198" t="s">
        <v>2272</v>
      </c>
      <c r="W2637" s="198" t="s">
        <v>2272</v>
      </c>
      <c r="X2637" s="198" t="s">
        <v>2272</v>
      </c>
      <c r="Y2637" s="21">
        <f>U2637/'Record info'!K$1122</f>
        <v>6.1987237921604377E-2</v>
      </c>
      <c r="Z2637" s="198" t="s">
        <v>2272</v>
      </c>
      <c r="AA2637" s="198" t="s">
        <v>34</v>
      </c>
      <c r="AB2637" s="198" t="s">
        <v>37</v>
      </c>
      <c r="AC2637" s="198" t="s">
        <v>63</v>
      </c>
      <c r="AD2637" s="198" t="s">
        <v>7616</v>
      </c>
      <c r="AE2637" s="198"/>
    </row>
    <row r="2638" spans="1:31" ht="30" customHeight="1">
      <c r="A2638" s="4" t="s">
        <v>7280</v>
      </c>
      <c r="B2638" s="4" t="s">
        <v>7331</v>
      </c>
      <c r="C2638" s="198" t="s">
        <v>23</v>
      </c>
      <c r="D2638" s="198" t="s">
        <v>1238</v>
      </c>
      <c r="E2638" s="198" t="s">
        <v>3204</v>
      </c>
      <c r="F2638" s="4" t="s">
        <v>2272</v>
      </c>
      <c r="G2638" s="4" t="s">
        <v>2272</v>
      </c>
      <c r="H2638" s="198" t="s">
        <v>521</v>
      </c>
      <c r="I2638" s="198">
        <v>2008</v>
      </c>
      <c r="J2638" s="198" t="s">
        <v>2272</v>
      </c>
      <c r="K2638" s="198" t="s">
        <v>2272</v>
      </c>
      <c r="L2638" s="198" t="s">
        <v>2272</v>
      </c>
      <c r="M2638" s="198" t="s">
        <v>2272</v>
      </c>
      <c r="N2638" s="198" t="s">
        <v>2272</v>
      </c>
      <c r="O2638" s="198" t="s">
        <v>2272</v>
      </c>
      <c r="P2638" s="198" t="s">
        <v>2272</v>
      </c>
      <c r="Q2638" s="198" t="s">
        <v>2272</v>
      </c>
      <c r="R2638" s="198" t="s">
        <v>2272</v>
      </c>
      <c r="S2638" s="198" t="s">
        <v>2272</v>
      </c>
      <c r="T2638" s="198" t="s">
        <v>2272</v>
      </c>
      <c r="U2638" s="21">
        <f>4000*0.375</f>
        <v>1500</v>
      </c>
      <c r="V2638" s="198" t="s">
        <v>2272</v>
      </c>
      <c r="W2638" s="198" t="s">
        <v>2272</v>
      </c>
      <c r="X2638" s="198" t="s">
        <v>2272</v>
      </c>
      <c r="Y2638" s="21">
        <f>U2638/'Record info'!K$1123</f>
        <v>0.12487512487512488</v>
      </c>
      <c r="Z2638" s="198" t="s">
        <v>2272</v>
      </c>
      <c r="AA2638" s="198" t="s">
        <v>34</v>
      </c>
      <c r="AB2638" s="198" t="s">
        <v>37</v>
      </c>
      <c r="AC2638" s="198" t="s">
        <v>63</v>
      </c>
      <c r="AD2638" s="198" t="s">
        <v>7616</v>
      </c>
      <c r="AE2638" s="198"/>
    </row>
    <row r="2639" spans="1:31" ht="30" customHeight="1">
      <c r="A2639" s="4" t="s">
        <v>7281</v>
      </c>
      <c r="B2639" s="4" t="s">
        <v>7332</v>
      </c>
      <c r="C2639" s="198" t="s">
        <v>23</v>
      </c>
      <c r="D2639" s="198" t="s">
        <v>1238</v>
      </c>
      <c r="E2639" s="198" t="s">
        <v>3204</v>
      </c>
      <c r="F2639" s="4" t="s">
        <v>2272</v>
      </c>
      <c r="G2639" s="4" t="s">
        <v>2272</v>
      </c>
      <c r="H2639" s="198" t="s">
        <v>521</v>
      </c>
      <c r="I2639" s="198">
        <v>2008</v>
      </c>
      <c r="J2639" s="198" t="s">
        <v>2272</v>
      </c>
      <c r="K2639" s="198" t="s">
        <v>2272</v>
      </c>
      <c r="L2639" s="198" t="s">
        <v>2272</v>
      </c>
      <c r="M2639" s="198" t="s">
        <v>2272</v>
      </c>
      <c r="N2639" s="198" t="s">
        <v>2272</v>
      </c>
      <c r="O2639" s="198" t="s">
        <v>2272</v>
      </c>
      <c r="P2639" s="198" t="s">
        <v>2272</v>
      </c>
      <c r="Q2639" s="198" t="s">
        <v>2272</v>
      </c>
      <c r="R2639" s="198" t="s">
        <v>2272</v>
      </c>
      <c r="S2639" s="198" t="s">
        <v>2272</v>
      </c>
      <c r="T2639" s="198" t="s">
        <v>2272</v>
      </c>
      <c r="U2639" s="21">
        <f>4000*0.058</f>
        <v>232</v>
      </c>
      <c r="V2639" s="198" t="s">
        <v>2272</v>
      </c>
      <c r="W2639" s="198" t="s">
        <v>2272</v>
      </c>
      <c r="X2639" s="198" t="s">
        <v>2272</v>
      </c>
      <c r="Y2639" s="21">
        <f>U2639/'Record info'!K$1124</f>
        <v>4.0394894921038423E-3</v>
      </c>
      <c r="Z2639" s="198" t="s">
        <v>2272</v>
      </c>
      <c r="AA2639" s="198" t="s">
        <v>34</v>
      </c>
      <c r="AB2639" s="198" t="s">
        <v>37</v>
      </c>
      <c r="AC2639" s="198" t="s">
        <v>63</v>
      </c>
      <c r="AD2639" s="198" t="s">
        <v>7616</v>
      </c>
      <c r="AE2639" s="198"/>
    </row>
    <row r="2640" spans="1:31" ht="28" customHeight="1">
      <c r="A2640" s="4" t="s">
        <v>7277</v>
      </c>
      <c r="B2640" s="4" t="s">
        <v>7333</v>
      </c>
      <c r="C2640" s="198" t="s">
        <v>23</v>
      </c>
      <c r="D2640" s="198" t="s">
        <v>1238</v>
      </c>
      <c r="E2640" s="198" t="s">
        <v>3204</v>
      </c>
      <c r="F2640" s="4" t="s">
        <v>2272</v>
      </c>
      <c r="G2640" s="4" t="s">
        <v>2272</v>
      </c>
      <c r="H2640" s="198" t="s">
        <v>521</v>
      </c>
      <c r="I2640" s="198">
        <v>2009</v>
      </c>
      <c r="J2640" s="198" t="s">
        <v>2272</v>
      </c>
      <c r="K2640" s="198" t="s">
        <v>2272</v>
      </c>
      <c r="L2640" s="198" t="s">
        <v>2272</v>
      </c>
      <c r="M2640" s="198" t="s">
        <v>2272</v>
      </c>
      <c r="N2640" s="198" t="s">
        <v>2272</v>
      </c>
      <c r="O2640" s="198" t="s">
        <v>2272</v>
      </c>
      <c r="P2640" s="198" t="s">
        <v>2272</v>
      </c>
      <c r="Q2640" s="198" t="s">
        <v>2272</v>
      </c>
      <c r="R2640" s="198" t="s">
        <v>2272</v>
      </c>
      <c r="S2640" s="198" t="s">
        <v>2272</v>
      </c>
      <c r="T2640" s="198" t="s">
        <v>2272</v>
      </c>
      <c r="U2640" s="21">
        <f>3250*0.068</f>
        <v>221.00000000000003</v>
      </c>
      <c r="V2640" s="198" t="s">
        <v>2272</v>
      </c>
      <c r="W2640" s="198" t="s">
        <v>2272</v>
      </c>
      <c r="X2640" s="198" t="s">
        <v>2272</v>
      </c>
      <c r="Y2640" s="21">
        <f>U2640/'Record info'!K$1120</f>
        <v>8.1226109967656585E-3</v>
      </c>
      <c r="Z2640" s="198" t="s">
        <v>2272</v>
      </c>
      <c r="AA2640" s="198" t="s">
        <v>34</v>
      </c>
      <c r="AB2640" s="198" t="s">
        <v>37</v>
      </c>
      <c r="AC2640" s="198" t="s">
        <v>63</v>
      </c>
      <c r="AD2640" s="198" t="s">
        <v>7616</v>
      </c>
      <c r="AE2640" s="198"/>
    </row>
    <row r="2641" spans="1:31" ht="28" customHeight="1">
      <c r="A2641" s="4" t="s">
        <v>7278</v>
      </c>
      <c r="B2641" s="4" t="s">
        <v>7334</v>
      </c>
      <c r="C2641" s="198" t="s">
        <v>23</v>
      </c>
      <c r="D2641" s="198" t="s">
        <v>1238</v>
      </c>
      <c r="E2641" s="198" t="s">
        <v>3204</v>
      </c>
      <c r="F2641" s="4" t="s">
        <v>2272</v>
      </c>
      <c r="G2641" s="4" t="s">
        <v>2272</v>
      </c>
      <c r="H2641" s="198" t="s">
        <v>521</v>
      </c>
      <c r="I2641" s="198">
        <v>2009</v>
      </c>
      <c r="J2641" s="198" t="s">
        <v>2272</v>
      </c>
      <c r="K2641" s="198" t="s">
        <v>2272</v>
      </c>
      <c r="L2641" s="198" t="s">
        <v>2272</v>
      </c>
      <c r="M2641" s="198" t="s">
        <v>2272</v>
      </c>
      <c r="N2641" s="198" t="s">
        <v>2272</v>
      </c>
      <c r="O2641" s="198" t="s">
        <v>2272</v>
      </c>
      <c r="P2641" s="198" t="s">
        <v>2272</v>
      </c>
      <c r="Q2641" s="198" t="s">
        <v>2272</v>
      </c>
      <c r="R2641" s="198" t="s">
        <v>2272</v>
      </c>
      <c r="S2641" s="198" t="s">
        <v>2272</v>
      </c>
      <c r="T2641" s="198" t="s">
        <v>2272</v>
      </c>
      <c r="U2641" s="21">
        <f>3250*0.05</f>
        <v>162.5</v>
      </c>
      <c r="V2641" s="198" t="s">
        <v>2272</v>
      </c>
      <c r="W2641" s="198" t="s">
        <v>2272</v>
      </c>
      <c r="X2641" s="198" t="s">
        <v>2272</v>
      </c>
      <c r="Y2641" s="21">
        <f>U2641/'Record info'!K$1121</f>
        <v>5.4336922356717715E-3</v>
      </c>
      <c r="Z2641" s="198" t="s">
        <v>2272</v>
      </c>
      <c r="AA2641" s="198" t="s">
        <v>34</v>
      </c>
      <c r="AB2641" s="198" t="s">
        <v>37</v>
      </c>
      <c r="AC2641" s="198" t="s">
        <v>63</v>
      </c>
      <c r="AD2641" s="198" t="s">
        <v>7616</v>
      </c>
      <c r="AE2641" s="198"/>
    </row>
    <row r="2642" spans="1:31" ht="28" customHeight="1">
      <c r="A2642" s="4" t="s">
        <v>7279</v>
      </c>
      <c r="B2642" s="4" t="s">
        <v>7335</v>
      </c>
      <c r="C2642" s="198" t="s">
        <v>23</v>
      </c>
      <c r="D2642" s="198" t="s">
        <v>1238</v>
      </c>
      <c r="E2642" s="198" t="s">
        <v>3204</v>
      </c>
      <c r="F2642" s="4" t="s">
        <v>2272</v>
      </c>
      <c r="G2642" s="4" t="s">
        <v>2272</v>
      </c>
      <c r="H2642" s="198" t="s">
        <v>521</v>
      </c>
      <c r="I2642" s="198">
        <v>2009</v>
      </c>
      <c r="J2642" s="198" t="s">
        <v>2272</v>
      </c>
      <c r="K2642" s="198" t="s">
        <v>2272</v>
      </c>
      <c r="L2642" s="198" t="s">
        <v>2272</v>
      </c>
      <c r="M2642" s="198" t="s">
        <v>2272</v>
      </c>
      <c r="N2642" s="198" t="s">
        <v>2272</v>
      </c>
      <c r="O2642" s="198" t="s">
        <v>2272</v>
      </c>
      <c r="P2642" s="198" t="s">
        <v>2272</v>
      </c>
      <c r="Q2642" s="198" t="s">
        <v>2272</v>
      </c>
      <c r="R2642" s="198" t="s">
        <v>2272</v>
      </c>
      <c r="S2642" s="198" t="s">
        <v>2272</v>
      </c>
      <c r="T2642" s="198" t="s">
        <v>2272</v>
      </c>
      <c r="U2642" s="21">
        <f>3250*0.493</f>
        <v>1602.25</v>
      </c>
      <c r="V2642" s="198" t="s">
        <v>2272</v>
      </c>
      <c r="W2642" s="198" t="s">
        <v>2272</v>
      </c>
      <c r="X2642" s="198" t="s">
        <v>2272</v>
      </c>
      <c r="Y2642" s="21">
        <f>U2642/'Record info'!K$1122</f>
        <v>5.0364630811303553E-2</v>
      </c>
      <c r="Z2642" s="198" t="s">
        <v>2272</v>
      </c>
      <c r="AA2642" s="198" t="s">
        <v>34</v>
      </c>
      <c r="AB2642" s="198" t="s">
        <v>37</v>
      </c>
      <c r="AC2642" s="198" t="s">
        <v>63</v>
      </c>
      <c r="AD2642" s="198" t="s">
        <v>7616</v>
      </c>
      <c r="AE2642" s="198"/>
    </row>
    <row r="2643" spans="1:31" ht="28" customHeight="1">
      <c r="A2643" s="4" t="s">
        <v>7280</v>
      </c>
      <c r="B2643" s="4" t="s">
        <v>7336</v>
      </c>
      <c r="C2643" s="198" t="s">
        <v>23</v>
      </c>
      <c r="D2643" s="198" t="s">
        <v>1238</v>
      </c>
      <c r="E2643" s="198" t="s">
        <v>3204</v>
      </c>
      <c r="F2643" s="4" t="s">
        <v>2272</v>
      </c>
      <c r="G2643" s="4" t="s">
        <v>2272</v>
      </c>
      <c r="H2643" s="198" t="s">
        <v>521</v>
      </c>
      <c r="I2643" s="198">
        <v>2009</v>
      </c>
      <c r="J2643" s="198" t="s">
        <v>2272</v>
      </c>
      <c r="K2643" s="198" t="s">
        <v>2272</v>
      </c>
      <c r="L2643" s="198" t="s">
        <v>2272</v>
      </c>
      <c r="M2643" s="198" t="s">
        <v>2272</v>
      </c>
      <c r="N2643" s="198" t="s">
        <v>2272</v>
      </c>
      <c r="O2643" s="198" t="s">
        <v>2272</v>
      </c>
      <c r="P2643" s="198" t="s">
        <v>2272</v>
      </c>
      <c r="Q2643" s="198" t="s">
        <v>2272</v>
      </c>
      <c r="R2643" s="198" t="s">
        <v>2272</v>
      </c>
      <c r="S2643" s="198" t="s">
        <v>2272</v>
      </c>
      <c r="T2643" s="198" t="s">
        <v>2272</v>
      </c>
      <c r="U2643" s="21">
        <f>3250*0.375</f>
        <v>1218.75</v>
      </c>
      <c r="V2643" s="198" t="s">
        <v>2272</v>
      </c>
      <c r="W2643" s="198" t="s">
        <v>2272</v>
      </c>
      <c r="X2643" s="198" t="s">
        <v>2272</v>
      </c>
      <c r="Y2643" s="21">
        <f>U2643/'Record info'!K$1123</f>
        <v>0.10146103896103896</v>
      </c>
      <c r="Z2643" s="198" t="s">
        <v>2272</v>
      </c>
      <c r="AA2643" s="198" t="s">
        <v>34</v>
      </c>
      <c r="AB2643" s="198" t="s">
        <v>37</v>
      </c>
      <c r="AC2643" s="198" t="s">
        <v>63</v>
      </c>
      <c r="AD2643" s="198" t="s">
        <v>7616</v>
      </c>
      <c r="AE2643" s="198"/>
    </row>
    <row r="2644" spans="1:31" ht="28" customHeight="1">
      <c r="A2644" s="4" t="s">
        <v>7281</v>
      </c>
      <c r="B2644" s="4" t="s">
        <v>7337</v>
      </c>
      <c r="C2644" s="198" t="s">
        <v>23</v>
      </c>
      <c r="D2644" s="198" t="s">
        <v>1238</v>
      </c>
      <c r="E2644" s="198" t="s">
        <v>3204</v>
      </c>
      <c r="F2644" s="4" t="s">
        <v>2272</v>
      </c>
      <c r="G2644" s="4" t="s">
        <v>2272</v>
      </c>
      <c r="H2644" s="198" t="s">
        <v>521</v>
      </c>
      <c r="I2644" s="198">
        <v>2009</v>
      </c>
      <c r="J2644" s="198" t="s">
        <v>2272</v>
      </c>
      <c r="K2644" s="198" t="s">
        <v>2272</v>
      </c>
      <c r="L2644" s="198" t="s">
        <v>2272</v>
      </c>
      <c r="M2644" s="198" t="s">
        <v>2272</v>
      </c>
      <c r="N2644" s="198" t="s">
        <v>2272</v>
      </c>
      <c r="O2644" s="198" t="s">
        <v>2272</v>
      </c>
      <c r="P2644" s="198" t="s">
        <v>2272</v>
      </c>
      <c r="Q2644" s="198" t="s">
        <v>2272</v>
      </c>
      <c r="R2644" s="198" t="s">
        <v>2272</v>
      </c>
      <c r="S2644" s="198" t="s">
        <v>2272</v>
      </c>
      <c r="T2644" s="198" t="s">
        <v>2272</v>
      </c>
      <c r="U2644" s="21">
        <f>3250*0.058</f>
        <v>188.5</v>
      </c>
      <c r="V2644" s="198" t="s">
        <v>2272</v>
      </c>
      <c r="W2644" s="198" t="s">
        <v>2272</v>
      </c>
      <c r="X2644" s="198" t="s">
        <v>2272</v>
      </c>
      <c r="Y2644" s="21">
        <f>U2644/'Record info'!K$1124</f>
        <v>3.2820852123343724E-3</v>
      </c>
      <c r="Z2644" s="198" t="s">
        <v>2272</v>
      </c>
      <c r="AA2644" s="198" t="s">
        <v>34</v>
      </c>
      <c r="AB2644" s="198" t="s">
        <v>37</v>
      </c>
      <c r="AC2644" s="198" t="s">
        <v>63</v>
      </c>
      <c r="AD2644" s="198" t="s">
        <v>7616</v>
      </c>
      <c r="AE2644" s="198"/>
    </row>
    <row r="2645" spans="1:31" ht="28" customHeight="1">
      <c r="A2645" s="4" t="s">
        <v>7277</v>
      </c>
      <c r="B2645" s="4" t="s">
        <v>7338</v>
      </c>
      <c r="C2645" s="198" t="s">
        <v>23</v>
      </c>
      <c r="D2645" s="198" t="s">
        <v>1238</v>
      </c>
      <c r="E2645" s="198" t="s">
        <v>3204</v>
      </c>
      <c r="F2645" s="4" t="s">
        <v>2272</v>
      </c>
      <c r="G2645" s="4" t="s">
        <v>2272</v>
      </c>
      <c r="H2645" s="198" t="s">
        <v>521</v>
      </c>
      <c r="I2645" s="198">
        <v>2010</v>
      </c>
      <c r="J2645" s="198" t="s">
        <v>2272</v>
      </c>
      <c r="K2645" s="198" t="s">
        <v>2272</v>
      </c>
      <c r="L2645" s="198" t="s">
        <v>2272</v>
      </c>
      <c r="M2645" s="198" t="s">
        <v>2272</v>
      </c>
      <c r="N2645" s="198" t="s">
        <v>2272</v>
      </c>
      <c r="O2645" s="198" t="s">
        <v>2272</v>
      </c>
      <c r="P2645" s="198" t="s">
        <v>2272</v>
      </c>
      <c r="Q2645" s="198" t="s">
        <v>2272</v>
      </c>
      <c r="R2645" s="198" t="s">
        <v>2272</v>
      </c>
      <c r="S2645" s="198" t="s">
        <v>2272</v>
      </c>
      <c r="T2645" s="198" t="s">
        <v>2272</v>
      </c>
      <c r="U2645" s="21">
        <f>2500*0.068</f>
        <v>170</v>
      </c>
      <c r="V2645" s="198" t="s">
        <v>2272</v>
      </c>
      <c r="W2645" s="198" t="s">
        <v>2272</v>
      </c>
      <c r="X2645" s="198" t="s">
        <v>2272</v>
      </c>
      <c r="Y2645" s="21">
        <f>U2645/'Record info'!K$1120</f>
        <v>6.2481623052043521E-3</v>
      </c>
      <c r="Z2645" s="198" t="s">
        <v>2272</v>
      </c>
      <c r="AA2645" s="198" t="s">
        <v>34</v>
      </c>
      <c r="AB2645" s="198" t="s">
        <v>37</v>
      </c>
      <c r="AC2645" s="198" t="s">
        <v>63</v>
      </c>
      <c r="AD2645" s="198" t="s">
        <v>7616</v>
      </c>
      <c r="AE2645" s="198"/>
    </row>
    <row r="2646" spans="1:31" ht="28" customHeight="1">
      <c r="A2646" s="4" t="s">
        <v>7278</v>
      </c>
      <c r="B2646" s="4" t="s">
        <v>7339</v>
      </c>
      <c r="C2646" s="198" t="s">
        <v>23</v>
      </c>
      <c r="D2646" s="198" t="s">
        <v>1238</v>
      </c>
      <c r="E2646" s="198" t="s">
        <v>3204</v>
      </c>
      <c r="F2646" s="4" t="s">
        <v>2272</v>
      </c>
      <c r="G2646" s="4" t="s">
        <v>2272</v>
      </c>
      <c r="H2646" s="198" t="s">
        <v>521</v>
      </c>
      <c r="I2646" s="198">
        <v>2010</v>
      </c>
      <c r="J2646" s="198" t="s">
        <v>2272</v>
      </c>
      <c r="K2646" s="198" t="s">
        <v>2272</v>
      </c>
      <c r="L2646" s="198" t="s">
        <v>2272</v>
      </c>
      <c r="M2646" s="198" t="s">
        <v>2272</v>
      </c>
      <c r="N2646" s="198" t="s">
        <v>2272</v>
      </c>
      <c r="O2646" s="198" t="s">
        <v>2272</v>
      </c>
      <c r="P2646" s="198" t="s">
        <v>2272</v>
      </c>
      <c r="Q2646" s="198" t="s">
        <v>2272</v>
      </c>
      <c r="R2646" s="198" t="s">
        <v>2272</v>
      </c>
      <c r="S2646" s="198" t="s">
        <v>2272</v>
      </c>
      <c r="T2646" s="198" t="s">
        <v>2272</v>
      </c>
      <c r="U2646" s="21">
        <f>2500*0.05</f>
        <v>125</v>
      </c>
      <c r="V2646" s="198" t="s">
        <v>2272</v>
      </c>
      <c r="W2646" s="198" t="s">
        <v>2272</v>
      </c>
      <c r="X2646" s="198" t="s">
        <v>2272</v>
      </c>
      <c r="Y2646" s="21">
        <f>U2646/'Record info'!K$1121</f>
        <v>4.1797632582090552E-3</v>
      </c>
      <c r="Z2646" s="198" t="s">
        <v>2272</v>
      </c>
      <c r="AA2646" s="198" t="s">
        <v>34</v>
      </c>
      <c r="AB2646" s="198" t="s">
        <v>37</v>
      </c>
      <c r="AC2646" s="198" t="s">
        <v>63</v>
      </c>
      <c r="AD2646" s="198" t="s">
        <v>7616</v>
      </c>
      <c r="AE2646" s="198"/>
    </row>
    <row r="2647" spans="1:31" ht="28" customHeight="1">
      <c r="A2647" s="4" t="s">
        <v>7279</v>
      </c>
      <c r="B2647" s="4" t="s">
        <v>7340</v>
      </c>
      <c r="C2647" s="198" t="s">
        <v>23</v>
      </c>
      <c r="D2647" s="198" t="s">
        <v>1238</v>
      </c>
      <c r="E2647" s="198" t="s">
        <v>3204</v>
      </c>
      <c r="F2647" s="4" t="s">
        <v>2272</v>
      </c>
      <c r="G2647" s="4" t="s">
        <v>2272</v>
      </c>
      <c r="H2647" s="198" t="s">
        <v>521</v>
      </c>
      <c r="I2647" s="198">
        <v>2010</v>
      </c>
      <c r="J2647" s="198" t="s">
        <v>2272</v>
      </c>
      <c r="K2647" s="198" t="s">
        <v>2272</v>
      </c>
      <c r="L2647" s="198" t="s">
        <v>2272</v>
      </c>
      <c r="M2647" s="198" t="s">
        <v>2272</v>
      </c>
      <c r="N2647" s="198" t="s">
        <v>2272</v>
      </c>
      <c r="O2647" s="198" t="s">
        <v>2272</v>
      </c>
      <c r="P2647" s="198" t="s">
        <v>2272</v>
      </c>
      <c r="Q2647" s="198" t="s">
        <v>2272</v>
      </c>
      <c r="R2647" s="198" t="s">
        <v>2272</v>
      </c>
      <c r="S2647" s="198" t="s">
        <v>2272</v>
      </c>
      <c r="T2647" s="198" t="s">
        <v>2272</v>
      </c>
      <c r="U2647" s="21">
        <f>2500*0.493</f>
        <v>1232.5</v>
      </c>
      <c r="V2647" s="198" t="s">
        <v>2272</v>
      </c>
      <c r="W2647" s="198" t="s">
        <v>2272</v>
      </c>
      <c r="X2647" s="198" t="s">
        <v>2272</v>
      </c>
      <c r="Y2647" s="21">
        <f>U2647/'Record info'!K$1122</f>
        <v>3.8742023701002735E-2</v>
      </c>
      <c r="Z2647" s="198" t="s">
        <v>2272</v>
      </c>
      <c r="AA2647" s="198" t="s">
        <v>34</v>
      </c>
      <c r="AB2647" s="198" t="s">
        <v>37</v>
      </c>
      <c r="AC2647" s="198" t="s">
        <v>63</v>
      </c>
      <c r="AD2647" s="198" t="s">
        <v>7616</v>
      </c>
      <c r="AE2647" s="198"/>
    </row>
    <row r="2648" spans="1:31" ht="28" customHeight="1">
      <c r="A2648" s="4" t="s">
        <v>7280</v>
      </c>
      <c r="B2648" s="4" t="s">
        <v>7341</v>
      </c>
      <c r="C2648" s="198" t="s">
        <v>23</v>
      </c>
      <c r="D2648" s="198" t="s">
        <v>1238</v>
      </c>
      <c r="E2648" s="198" t="s">
        <v>3204</v>
      </c>
      <c r="F2648" s="4" t="s">
        <v>2272</v>
      </c>
      <c r="G2648" s="4" t="s">
        <v>2272</v>
      </c>
      <c r="H2648" s="198" t="s">
        <v>521</v>
      </c>
      <c r="I2648" s="198">
        <v>2010</v>
      </c>
      <c r="J2648" s="198" t="s">
        <v>2272</v>
      </c>
      <c r="K2648" s="198" t="s">
        <v>2272</v>
      </c>
      <c r="L2648" s="198" t="s">
        <v>2272</v>
      </c>
      <c r="M2648" s="198" t="s">
        <v>2272</v>
      </c>
      <c r="N2648" s="198" t="s">
        <v>2272</v>
      </c>
      <c r="O2648" s="198" t="s">
        <v>2272</v>
      </c>
      <c r="P2648" s="198" t="s">
        <v>2272</v>
      </c>
      <c r="Q2648" s="198" t="s">
        <v>2272</v>
      </c>
      <c r="R2648" s="198" t="s">
        <v>2272</v>
      </c>
      <c r="S2648" s="198" t="s">
        <v>2272</v>
      </c>
      <c r="T2648" s="198" t="s">
        <v>2272</v>
      </c>
      <c r="U2648" s="21">
        <f>2500*0.375</f>
        <v>937.5</v>
      </c>
      <c r="V2648" s="198" t="s">
        <v>2272</v>
      </c>
      <c r="W2648" s="198" t="s">
        <v>2272</v>
      </c>
      <c r="X2648" s="198" t="s">
        <v>2272</v>
      </c>
      <c r="Y2648" s="21">
        <f>U2648/'Record info'!K$1123</f>
        <v>7.8046953046953041E-2</v>
      </c>
      <c r="Z2648" s="198" t="s">
        <v>2272</v>
      </c>
      <c r="AA2648" s="198" t="s">
        <v>34</v>
      </c>
      <c r="AB2648" s="198" t="s">
        <v>37</v>
      </c>
      <c r="AC2648" s="198" t="s">
        <v>63</v>
      </c>
      <c r="AD2648" s="198" t="s">
        <v>7616</v>
      </c>
      <c r="AE2648" s="198"/>
    </row>
    <row r="2649" spans="1:31" ht="30" customHeight="1">
      <c r="A2649" s="4" t="s">
        <v>7281</v>
      </c>
      <c r="B2649" s="4" t="s">
        <v>7342</v>
      </c>
      <c r="C2649" s="198" t="s">
        <v>23</v>
      </c>
      <c r="D2649" s="198" t="s">
        <v>1238</v>
      </c>
      <c r="E2649" s="198" t="s">
        <v>3204</v>
      </c>
      <c r="F2649" s="4" t="s">
        <v>2272</v>
      </c>
      <c r="G2649" s="4" t="s">
        <v>2272</v>
      </c>
      <c r="H2649" s="198" t="s">
        <v>521</v>
      </c>
      <c r="I2649" s="198">
        <v>2010</v>
      </c>
      <c r="J2649" s="198" t="s">
        <v>2272</v>
      </c>
      <c r="K2649" s="198" t="s">
        <v>2272</v>
      </c>
      <c r="L2649" s="198" t="s">
        <v>2272</v>
      </c>
      <c r="M2649" s="198" t="s">
        <v>2272</v>
      </c>
      <c r="N2649" s="198" t="s">
        <v>2272</v>
      </c>
      <c r="O2649" s="198" t="s">
        <v>2272</v>
      </c>
      <c r="P2649" s="198" t="s">
        <v>2272</v>
      </c>
      <c r="Q2649" s="198" t="s">
        <v>2272</v>
      </c>
      <c r="R2649" s="198" t="s">
        <v>2272</v>
      </c>
      <c r="S2649" s="198" t="s">
        <v>2272</v>
      </c>
      <c r="T2649" s="198" t="s">
        <v>2272</v>
      </c>
      <c r="U2649" s="21">
        <f>2500*0.058</f>
        <v>145</v>
      </c>
      <c r="V2649" s="198" t="s">
        <v>2272</v>
      </c>
      <c r="W2649" s="198" t="s">
        <v>2272</v>
      </c>
      <c r="X2649" s="198" t="s">
        <v>2272</v>
      </c>
      <c r="Y2649" s="21">
        <f>U2649/'Record info'!K$1124</f>
        <v>2.5246809325649017E-3</v>
      </c>
      <c r="Z2649" s="198" t="s">
        <v>2272</v>
      </c>
      <c r="AA2649" s="198" t="s">
        <v>34</v>
      </c>
      <c r="AB2649" s="198" t="s">
        <v>37</v>
      </c>
      <c r="AC2649" s="198" t="s">
        <v>63</v>
      </c>
      <c r="AD2649" s="198" t="s">
        <v>7616</v>
      </c>
      <c r="AE2649" s="198"/>
    </row>
    <row r="2650" spans="1:31" ht="30" customHeight="1">
      <c r="A2650" s="4" t="s">
        <v>7277</v>
      </c>
      <c r="B2650" s="4" t="s">
        <v>7343</v>
      </c>
      <c r="C2650" s="198" t="s">
        <v>23</v>
      </c>
      <c r="D2650" s="198" t="s">
        <v>1238</v>
      </c>
      <c r="E2650" s="198" t="s">
        <v>3204</v>
      </c>
      <c r="F2650" s="4" t="s">
        <v>2272</v>
      </c>
      <c r="G2650" s="4" t="s">
        <v>2272</v>
      </c>
      <c r="H2650" s="198" t="s">
        <v>521</v>
      </c>
      <c r="I2650" s="198">
        <v>2011</v>
      </c>
      <c r="J2650" s="198" t="s">
        <v>2272</v>
      </c>
      <c r="K2650" s="198" t="s">
        <v>2272</v>
      </c>
      <c r="L2650" s="198" t="s">
        <v>2272</v>
      </c>
      <c r="M2650" s="198" t="s">
        <v>2272</v>
      </c>
      <c r="N2650" s="198" t="s">
        <v>2272</v>
      </c>
      <c r="O2650" s="198" t="s">
        <v>2272</v>
      </c>
      <c r="P2650" s="198" t="s">
        <v>2272</v>
      </c>
      <c r="Q2650" s="198" t="s">
        <v>2272</v>
      </c>
      <c r="R2650" s="198" t="s">
        <v>2272</v>
      </c>
      <c r="S2650" s="198" t="s">
        <v>2272</v>
      </c>
      <c r="T2650" s="198" t="s">
        <v>2272</v>
      </c>
      <c r="U2650" s="21">
        <f>4250*0.068</f>
        <v>289</v>
      </c>
      <c r="V2650" s="198" t="s">
        <v>2272</v>
      </c>
      <c r="W2650" s="198" t="s">
        <v>2272</v>
      </c>
      <c r="X2650" s="198" t="s">
        <v>2272</v>
      </c>
      <c r="Y2650" s="21">
        <f>U2650/'Record info'!K$1120</f>
        <v>1.0621875918847399E-2</v>
      </c>
      <c r="Z2650" s="198" t="s">
        <v>2272</v>
      </c>
      <c r="AA2650" s="198" t="s">
        <v>34</v>
      </c>
      <c r="AB2650" s="198" t="s">
        <v>37</v>
      </c>
      <c r="AC2650" s="198" t="s">
        <v>63</v>
      </c>
      <c r="AD2650" s="198" t="s">
        <v>7616</v>
      </c>
      <c r="AE2650" s="198"/>
    </row>
    <row r="2651" spans="1:31" ht="30" customHeight="1">
      <c r="A2651" s="4" t="s">
        <v>7278</v>
      </c>
      <c r="B2651" s="4" t="s">
        <v>7344</v>
      </c>
      <c r="C2651" s="198" t="s">
        <v>23</v>
      </c>
      <c r="D2651" s="198" t="s">
        <v>1238</v>
      </c>
      <c r="E2651" s="198" t="s">
        <v>3204</v>
      </c>
      <c r="F2651" s="4" t="s">
        <v>2272</v>
      </c>
      <c r="G2651" s="4" t="s">
        <v>2272</v>
      </c>
      <c r="H2651" s="198" t="s">
        <v>521</v>
      </c>
      <c r="I2651" s="198">
        <v>2011</v>
      </c>
      <c r="J2651" s="198" t="s">
        <v>2272</v>
      </c>
      <c r="K2651" s="198" t="s">
        <v>2272</v>
      </c>
      <c r="L2651" s="198" t="s">
        <v>2272</v>
      </c>
      <c r="M2651" s="198" t="s">
        <v>2272</v>
      </c>
      <c r="N2651" s="198" t="s">
        <v>2272</v>
      </c>
      <c r="O2651" s="198" t="s">
        <v>2272</v>
      </c>
      <c r="P2651" s="198" t="s">
        <v>2272</v>
      </c>
      <c r="Q2651" s="198" t="s">
        <v>2272</v>
      </c>
      <c r="R2651" s="198" t="s">
        <v>2272</v>
      </c>
      <c r="S2651" s="198" t="s">
        <v>2272</v>
      </c>
      <c r="T2651" s="198" t="s">
        <v>2272</v>
      </c>
      <c r="U2651" s="21">
        <f>4250*0.05</f>
        <v>212.5</v>
      </c>
      <c r="V2651" s="198" t="s">
        <v>2272</v>
      </c>
      <c r="W2651" s="198" t="s">
        <v>2272</v>
      </c>
      <c r="X2651" s="198" t="s">
        <v>2272</v>
      </c>
      <c r="Y2651" s="21">
        <f>U2651/'Record info'!K$1121</f>
        <v>7.1055975389553933E-3</v>
      </c>
      <c r="Z2651" s="198" t="s">
        <v>2272</v>
      </c>
      <c r="AA2651" s="198" t="s">
        <v>34</v>
      </c>
      <c r="AB2651" s="198" t="s">
        <v>37</v>
      </c>
      <c r="AC2651" s="198" t="s">
        <v>63</v>
      </c>
      <c r="AD2651" s="198" t="s">
        <v>7616</v>
      </c>
      <c r="AE2651" s="198"/>
    </row>
    <row r="2652" spans="1:31" ht="30" customHeight="1">
      <c r="A2652" s="4" t="s">
        <v>7279</v>
      </c>
      <c r="B2652" s="4" t="s">
        <v>7345</v>
      </c>
      <c r="C2652" s="198" t="s">
        <v>23</v>
      </c>
      <c r="D2652" s="198" t="s">
        <v>1238</v>
      </c>
      <c r="E2652" s="198" t="s">
        <v>3204</v>
      </c>
      <c r="F2652" s="4" t="s">
        <v>2272</v>
      </c>
      <c r="G2652" s="4" t="s">
        <v>2272</v>
      </c>
      <c r="H2652" s="198" t="s">
        <v>521</v>
      </c>
      <c r="I2652" s="198">
        <v>2011</v>
      </c>
      <c r="J2652" s="198" t="s">
        <v>2272</v>
      </c>
      <c r="K2652" s="198" t="s">
        <v>2272</v>
      </c>
      <c r="L2652" s="198" t="s">
        <v>2272</v>
      </c>
      <c r="M2652" s="198" t="s">
        <v>2272</v>
      </c>
      <c r="N2652" s="198" t="s">
        <v>2272</v>
      </c>
      <c r="O2652" s="198" t="s">
        <v>2272</v>
      </c>
      <c r="P2652" s="198" t="s">
        <v>2272</v>
      </c>
      <c r="Q2652" s="198" t="s">
        <v>2272</v>
      </c>
      <c r="R2652" s="198" t="s">
        <v>2272</v>
      </c>
      <c r="S2652" s="198" t="s">
        <v>2272</v>
      </c>
      <c r="T2652" s="198" t="s">
        <v>2272</v>
      </c>
      <c r="U2652" s="21">
        <f>4250*0.493</f>
        <v>2095.25</v>
      </c>
      <c r="V2652" s="198" t="s">
        <v>2272</v>
      </c>
      <c r="W2652" s="198" t="s">
        <v>2272</v>
      </c>
      <c r="X2652" s="198" t="s">
        <v>2272</v>
      </c>
      <c r="Y2652" s="21">
        <f>U2652/'Record info'!K$1122</f>
        <v>6.5861440291704654E-2</v>
      </c>
      <c r="Z2652" s="198" t="s">
        <v>2272</v>
      </c>
      <c r="AA2652" s="198" t="s">
        <v>34</v>
      </c>
      <c r="AB2652" s="198" t="s">
        <v>37</v>
      </c>
      <c r="AC2652" s="198" t="s">
        <v>63</v>
      </c>
      <c r="AD2652" s="198" t="s">
        <v>7616</v>
      </c>
      <c r="AE2652" s="198"/>
    </row>
    <row r="2653" spans="1:31" ht="30" customHeight="1">
      <c r="A2653" s="4" t="s">
        <v>7280</v>
      </c>
      <c r="B2653" s="4" t="s">
        <v>7346</v>
      </c>
      <c r="C2653" s="198" t="s">
        <v>23</v>
      </c>
      <c r="D2653" s="198" t="s">
        <v>1238</v>
      </c>
      <c r="E2653" s="198" t="s">
        <v>3204</v>
      </c>
      <c r="F2653" s="4" t="s">
        <v>2272</v>
      </c>
      <c r="G2653" s="4" t="s">
        <v>2272</v>
      </c>
      <c r="H2653" s="198" t="s">
        <v>521</v>
      </c>
      <c r="I2653" s="198">
        <v>2011</v>
      </c>
      <c r="J2653" s="198" t="s">
        <v>2272</v>
      </c>
      <c r="K2653" s="198" t="s">
        <v>2272</v>
      </c>
      <c r="L2653" s="198" t="s">
        <v>2272</v>
      </c>
      <c r="M2653" s="198" t="s">
        <v>2272</v>
      </c>
      <c r="N2653" s="198" t="s">
        <v>2272</v>
      </c>
      <c r="O2653" s="198" t="s">
        <v>2272</v>
      </c>
      <c r="P2653" s="198" t="s">
        <v>2272</v>
      </c>
      <c r="Q2653" s="198" t="s">
        <v>2272</v>
      </c>
      <c r="R2653" s="198" t="s">
        <v>2272</v>
      </c>
      <c r="S2653" s="198" t="s">
        <v>2272</v>
      </c>
      <c r="T2653" s="198" t="s">
        <v>2272</v>
      </c>
      <c r="U2653" s="21">
        <f>4250*0.375</f>
        <v>1593.75</v>
      </c>
      <c r="V2653" s="198" t="s">
        <v>2272</v>
      </c>
      <c r="W2653" s="198" t="s">
        <v>2272</v>
      </c>
      <c r="X2653" s="198" t="s">
        <v>2272</v>
      </c>
      <c r="Y2653" s="21">
        <f>U2653/'Record info'!K$1123</f>
        <v>0.13267982017982019</v>
      </c>
      <c r="Z2653" s="198" t="s">
        <v>2272</v>
      </c>
      <c r="AA2653" s="198" t="s">
        <v>34</v>
      </c>
      <c r="AB2653" s="198" t="s">
        <v>37</v>
      </c>
      <c r="AC2653" s="198" t="s">
        <v>63</v>
      </c>
      <c r="AD2653" s="198" t="s">
        <v>7616</v>
      </c>
      <c r="AE2653" s="198"/>
    </row>
    <row r="2654" spans="1:31" ht="30" customHeight="1">
      <c r="A2654" s="4" t="s">
        <v>7281</v>
      </c>
      <c r="B2654" s="4" t="s">
        <v>7347</v>
      </c>
      <c r="C2654" s="198" t="s">
        <v>23</v>
      </c>
      <c r="D2654" s="198" t="s">
        <v>1238</v>
      </c>
      <c r="E2654" s="198" t="s">
        <v>3204</v>
      </c>
      <c r="F2654" s="4" t="s">
        <v>2272</v>
      </c>
      <c r="G2654" s="4" t="s">
        <v>2272</v>
      </c>
      <c r="H2654" s="198" t="s">
        <v>521</v>
      </c>
      <c r="I2654" s="198">
        <v>2011</v>
      </c>
      <c r="J2654" s="198" t="s">
        <v>2272</v>
      </c>
      <c r="K2654" s="198" t="s">
        <v>2272</v>
      </c>
      <c r="L2654" s="198" t="s">
        <v>2272</v>
      </c>
      <c r="M2654" s="198" t="s">
        <v>2272</v>
      </c>
      <c r="N2654" s="198" t="s">
        <v>2272</v>
      </c>
      <c r="O2654" s="198" t="s">
        <v>2272</v>
      </c>
      <c r="P2654" s="198" t="s">
        <v>2272</v>
      </c>
      <c r="Q2654" s="198" t="s">
        <v>2272</v>
      </c>
      <c r="R2654" s="198" t="s">
        <v>2272</v>
      </c>
      <c r="S2654" s="198" t="s">
        <v>2272</v>
      </c>
      <c r="T2654" s="198" t="s">
        <v>2272</v>
      </c>
      <c r="U2654" s="21">
        <f>4250*0.058</f>
        <v>246.5</v>
      </c>
      <c r="V2654" s="198" t="s">
        <v>2272</v>
      </c>
      <c r="W2654" s="198" t="s">
        <v>2272</v>
      </c>
      <c r="X2654" s="198" t="s">
        <v>2272</v>
      </c>
      <c r="Y2654" s="21">
        <f>U2654/'Record info'!K$1124</f>
        <v>4.291957585360333E-3</v>
      </c>
      <c r="Z2654" s="198" t="s">
        <v>2272</v>
      </c>
      <c r="AA2654" s="198" t="s">
        <v>34</v>
      </c>
      <c r="AB2654" s="198" t="s">
        <v>37</v>
      </c>
      <c r="AC2654" s="198" t="s">
        <v>63</v>
      </c>
      <c r="AD2654" s="198" t="s">
        <v>7616</v>
      </c>
      <c r="AE2654" s="198"/>
    </row>
    <row r="2655" spans="1:31" ht="30" customHeight="1">
      <c r="A2655" s="4" t="s">
        <v>7277</v>
      </c>
      <c r="B2655" s="4" t="s">
        <v>7348</v>
      </c>
      <c r="C2655" s="198" t="s">
        <v>23</v>
      </c>
      <c r="D2655" s="198" t="s">
        <v>1238</v>
      </c>
      <c r="E2655" s="198" t="s">
        <v>3204</v>
      </c>
      <c r="F2655" s="4" t="s">
        <v>2272</v>
      </c>
      <c r="G2655" s="4" t="s">
        <v>2272</v>
      </c>
      <c r="H2655" s="198" t="s">
        <v>521</v>
      </c>
      <c r="I2655" s="198">
        <v>2012</v>
      </c>
      <c r="J2655" s="198" t="s">
        <v>2272</v>
      </c>
      <c r="K2655" s="198" t="s">
        <v>2272</v>
      </c>
      <c r="L2655" s="198" t="s">
        <v>2272</v>
      </c>
      <c r="M2655" s="198" t="s">
        <v>2272</v>
      </c>
      <c r="N2655" s="198" t="s">
        <v>2272</v>
      </c>
      <c r="O2655" s="198" t="s">
        <v>2272</v>
      </c>
      <c r="P2655" s="198" t="s">
        <v>2272</v>
      </c>
      <c r="Q2655" s="198" t="s">
        <v>2272</v>
      </c>
      <c r="R2655" s="198" t="s">
        <v>2272</v>
      </c>
      <c r="S2655" s="198" t="s">
        <v>2272</v>
      </c>
      <c r="T2655" s="198" t="s">
        <v>2272</v>
      </c>
      <c r="U2655" s="21">
        <f>3750*0.068</f>
        <v>255.00000000000003</v>
      </c>
      <c r="V2655" s="198" t="s">
        <v>2272</v>
      </c>
      <c r="W2655" s="198" t="s">
        <v>2272</v>
      </c>
      <c r="X2655" s="198" t="s">
        <v>2272</v>
      </c>
      <c r="Y2655" s="21">
        <f>U2655/'Record info'!K$1120</f>
        <v>9.3722434578065294E-3</v>
      </c>
      <c r="Z2655" s="198" t="s">
        <v>2272</v>
      </c>
      <c r="AA2655" s="198" t="s">
        <v>34</v>
      </c>
      <c r="AB2655" s="198" t="s">
        <v>37</v>
      </c>
      <c r="AC2655" s="198" t="s">
        <v>63</v>
      </c>
      <c r="AD2655" s="198" t="s">
        <v>7616</v>
      </c>
      <c r="AE2655" s="198"/>
    </row>
    <row r="2656" spans="1:31" ht="30" customHeight="1">
      <c r="A2656" s="4" t="s">
        <v>7278</v>
      </c>
      <c r="B2656" s="4" t="s">
        <v>7349</v>
      </c>
      <c r="C2656" s="198" t="s">
        <v>23</v>
      </c>
      <c r="D2656" s="198" t="s">
        <v>1238</v>
      </c>
      <c r="E2656" s="198" t="s">
        <v>3204</v>
      </c>
      <c r="F2656" s="4" t="s">
        <v>2272</v>
      </c>
      <c r="G2656" s="4" t="s">
        <v>2272</v>
      </c>
      <c r="H2656" s="198" t="s">
        <v>521</v>
      </c>
      <c r="I2656" s="198">
        <v>2012</v>
      </c>
      <c r="J2656" s="198" t="s">
        <v>2272</v>
      </c>
      <c r="K2656" s="198" t="s">
        <v>2272</v>
      </c>
      <c r="L2656" s="198" t="s">
        <v>2272</v>
      </c>
      <c r="M2656" s="198" t="s">
        <v>2272</v>
      </c>
      <c r="N2656" s="198" t="s">
        <v>2272</v>
      </c>
      <c r="O2656" s="198" t="s">
        <v>2272</v>
      </c>
      <c r="P2656" s="198" t="s">
        <v>2272</v>
      </c>
      <c r="Q2656" s="198" t="s">
        <v>2272</v>
      </c>
      <c r="R2656" s="198" t="s">
        <v>2272</v>
      </c>
      <c r="S2656" s="198" t="s">
        <v>2272</v>
      </c>
      <c r="T2656" s="198" t="s">
        <v>2272</v>
      </c>
      <c r="U2656" s="21">
        <f>3750*0.05</f>
        <v>187.5</v>
      </c>
      <c r="V2656" s="198" t="s">
        <v>2272</v>
      </c>
      <c r="W2656" s="198" t="s">
        <v>2272</v>
      </c>
      <c r="X2656" s="198" t="s">
        <v>2272</v>
      </c>
      <c r="Y2656" s="21">
        <f>U2656/'Record info'!K$1121</f>
        <v>6.2696448873135824E-3</v>
      </c>
      <c r="Z2656" s="198" t="s">
        <v>2272</v>
      </c>
      <c r="AA2656" s="198" t="s">
        <v>34</v>
      </c>
      <c r="AB2656" s="198" t="s">
        <v>37</v>
      </c>
      <c r="AC2656" s="198" t="s">
        <v>63</v>
      </c>
      <c r="AD2656" s="198" t="s">
        <v>7616</v>
      </c>
      <c r="AE2656" s="198"/>
    </row>
    <row r="2657" spans="1:31" ht="30" customHeight="1">
      <c r="A2657" s="4" t="s">
        <v>7279</v>
      </c>
      <c r="B2657" s="4" t="s">
        <v>7350</v>
      </c>
      <c r="C2657" s="198" t="s">
        <v>23</v>
      </c>
      <c r="D2657" s="198" t="s">
        <v>1238</v>
      </c>
      <c r="E2657" s="198" t="s">
        <v>3204</v>
      </c>
      <c r="F2657" s="4" t="s">
        <v>2272</v>
      </c>
      <c r="G2657" s="4" t="s">
        <v>2272</v>
      </c>
      <c r="H2657" s="198" t="s">
        <v>521</v>
      </c>
      <c r="I2657" s="198">
        <v>2012</v>
      </c>
      <c r="J2657" s="198" t="s">
        <v>2272</v>
      </c>
      <c r="K2657" s="198" t="s">
        <v>2272</v>
      </c>
      <c r="L2657" s="198" t="s">
        <v>2272</v>
      </c>
      <c r="M2657" s="198" t="s">
        <v>2272</v>
      </c>
      <c r="N2657" s="198" t="s">
        <v>2272</v>
      </c>
      <c r="O2657" s="198" t="s">
        <v>2272</v>
      </c>
      <c r="P2657" s="198" t="s">
        <v>2272</v>
      </c>
      <c r="Q2657" s="198" t="s">
        <v>2272</v>
      </c>
      <c r="R2657" s="198" t="s">
        <v>2272</v>
      </c>
      <c r="S2657" s="198" t="s">
        <v>2272</v>
      </c>
      <c r="T2657" s="198" t="s">
        <v>2272</v>
      </c>
      <c r="U2657" s="21">
        <f>3750*0.493</f>
        <v>1848.75</v>
      </c>
      <c r="V2657" s="198" t="s">
        <v>2272</v>
      </c>
      <c r="W2657" s="198" t="s">
        <v>2272</v>
      </c>
      <c r="X2657" s="198" t="s">
        <v>2272</v>
      </c>
      <c r="Y2657" s="21">
        <f>U2657/'Record info'!K$1122</f>
        <v>5.81130355515041E-2</v>
      </c>
      <c r="Z2657" s="198" t="s">
        <v>2272</v>
      </c>
      <c r="AA2657" s="198" t="s">
        <v>34</v>
      </c>
      <c r="AB2657" s="198" t="s">
        <v>37</v>
      </c>
      <c r="AC2657" s="198" t="s">
        <v>63</v>
      </c>
      <c r="AD2657" s="198" t="s">
        <v>7616</v>
      </c>
      <c r="AE2657" s="198"/>
    </row>
    <row r="2658" spans="1:31" ht="30" customHeight="1">
      <c r="A2658" s="4" t="s">
        <v>7280</v>
      </c>
      <c r="B2658" s="4" t="s">
        <v>7351</v>
      </c>
      <c r="C2658" s="198" t="s">
        <v>23</v>
      </c>
      <c r="D2658" s="198" t="s">
        <v>1238</v>
      </c>
      <c r="E2658" s="198" t="s">
        <v>3204</v>
      </c>
      <c r="F2658" s="4" t="s">
        <v>2272</v>
      </c>
      <c r="G2658" s="4" t="s">
        <v>2272</v>
      </c>
      <c r="H2658" s="198" t="s">
        <v>521</v>
      </c>
      <c r="I2658" s="198">
        <v>2012</v>
      </c>
      <c r="J2658" s="198" t="s">
        <v>2272</v>
      </c>
      <c r="K2658" s="198" t="s">
        <v>2272</v>
      </c>
      <c r="L2658" s="198" t="s">
        <v>2272</v>
      </c>
      <c r="M2658" s="198" t="s">
        <v>2272</v>
      </c>
      <c r="N2658" s="198" t="s">
        <v>2272</v>
      </c>
      <c r="O2658" s="198" t="s">
        <v>2272</v>
      </c>
      <c r="P2658" s="198" t="s">
        <v>2272</v>
      </c>
      <c r="Q2658" s="198" t="s">
        <v>2272</v>
      </c>
      <c r="R2658" s="198" t="s">
        <v>2272</v>
      </c>
      <c r="S2658" s="198" t="s">
        <v>2272</v>
      </c>
      <c r="T2658" s="198" t="s">
        <v>2272</v>
      </c>
      <c r="U2658" s="21">
        <f>3750*0.375</f>
        <v>1406.25</v>
      </c>
      <c r="V2658" s="198" t="s">
        <v>2272</v>
      </c>
      <c r="W2658" s="198" t="s">
        <v>2272</v>
      </c>
      <c r="X2658" s="198" t="s">
        <v>2272</v>
      </c>
      <c r="Y2658" s="21">
        <f>U2658/'Record info'!K$1123</f>
        <v>0.11707042957042957</v>
      </c>
      <c r="Z2658" s="198" t="s">
        <v>2272</v>
      </c>
      <c r="AA2658" s="198" t="s">
        <v>34</v>
      </c>
      <c r="AB2658" s="198" t="s">
        <v>37</v>
      </c>
      <c r="AC2658" s="198" t="s">
        <v>63</v>
      </c>
      <c r="AD2658" s="198" t="s">
        <v>7616</v>
      </c>
      <c r="AE2658" s="198"/>
    </row>
    <row r="2659" spans="1:31" ht="30" customHeight="1">
      <c r="A2659" s="4" t="s">
        <v>7281</v>
      </c>
      <c r="B2659" s="4" t="s">
        <v>7352</v>
      </c>
      <c r="C2659" s="198" t="s">
        <v>23</v>
      </c>
      <c r="D2659" s="198" t="s">
        <v>1238</v>
      </c>
      <c r="E2659" s="198" t="s">
        <v>3204</v>
      </c>
      <c r="F2659" s="4" t="s">
        <v>2272</v>
      </c>
      <c r="G2659" s="4" t="s">
        <v>2272</v>
      </c>
      <c r="H2659" s="198" t="s">
        <v>521</v>
      </c>
      <c r="I2659" s="198">
        <v>2012</v>
      </c>
      <c r="J2659" s="198" t="s">
        <v>2272</v>
      </c>
      <c r="K2659" s="198" t="s">
        <v>2272</v>
      </c>
      <c r="L2659" s="198" t="s">
        <v>2272</v>
      </c>
      <c r="M2659" s="198" t="s">
        <v>2272</v>
      </c>
      <c r="N2659" s="198" t="s">
        <v>2272</v>
      </c>
      <c r="O2659" s="198" t="s">
        <v>2272</v>
      </c>
      <c r="P2659" s="198" t="s">
        <v>2272</v>
      </c>
      <c r="Q2659" s="198" t="s">
        <v>2272</v>
      </c>
      <c r="R2659" s="198" t="s">
        <v>2272</v>
      </c>
      <c r="S2659" s="198" t="s">
        <v>2272</v>
      </c>
      <c r="T2659" s="198" t="s">
        <v>2272</v>
      </c>
      <c r="U2659" s="21">
        <f>3750*0.058</f>
        <v>217.5</v>
      </c>
      <c r="V2659" s="198" t="s">
        <v>2272</v>
      </c>
      <c r="W2659" s="198" t="s">
        <v>2272</v>
      </c>
      <c r="X2659" s="198" t="s">
        <v>2272</v>
      </c>
      <c r="Y2659" s="21">
        <f>U2659/'Record info'!K$1124</f>
        <v>3.7870213988473525E-3</v>
      </c>
      <c r="Z2659" s="198" t="s">
        <v>2272</v>
      </c>
      <c r="AA2659" s="198" t="s">
        <v>34</v>
      </c>
      <c r="AB2659" s="198" t="s">
        <v>37</v>
      </c>
      <c r="AC2659" s="198" t="s">
        <v>63</v>
      </c>
      <c r="AD2659" s="198" t="s">
        <v>7616</v>
      </c>
      <c r="AE2659" s="198"/>
    </row>
    <row r="2660" spans="1:31" ht="30" customHeight="1">
      <c r="A2660" s="4" t="s">
        <v>7277</v>
      </c>
      <c r="B2660" s="4" t="s">
        <v>7353</v>
      </c>
      <c r="C2660" s="198" t="s">
        <v>23</v>
      </c>
      <c r="D2660" s="198" t="s">
        <v>1238</v>
      </c>
      <c r="E2660" s="198" t="s">
        <v>3204</v>
      </c>
      <c r="F2660" s="4" t="s">
        <v>2272</v>
      </c>
      <c r="G2660" s="4" t="s">
        <v>2272</v>
      </c>
      <c r="H2660" s="198" t="s">
        <v>521</v>
      </c>
      <c r="I2660" s="198">
        <v>2013</v>
      </c>
      <c r="J2660" s="198" t="s">
        <v>2272</v>
      </c>
      <c r="K2660" s="198" t="s">
        <v>2272</v>
      </c>
      <c r="L2660" s="198" t="s">
        <v>2272</v>
      </c>
      <c r="M2660" s="198" t="s">
        <v>2272</v>
      </c>
      <c r="N2660" s="198" t="s">
        <v>2272</v>
      </c>
      <c r="O2660" s="198" t="s">
        <v>2272</v>
      </c>
      <c r="P2660" s="198" t="s">
        <v>2272</v>
      </c>
      <c r="Q2660" s="198" t="s">
        <v>2272</v>
      </c>
      <c r="R2660" s="198" t="s">
        <v>2272</v>
      </c>
      <c r="S2660" s="198" t="s">
        <v>2272</v>
      </c>
      <c r="T2660" s="198" t="s">
        <v>2272</v>
      </c>
      <c r="U2660" s="21">
        <f>2000*0.068</f>
        <v>136</v>
      </c>
      <c r="V2660" s="198" t="s">
        <v>2272</v>
      </c>
      <c r="W2660" s="198" t="s">
        <v>2272</v>
      </c>
      <c r="X2660" s="198" t="s">
        <v>2272</v>
      </c>
      <c r="Y2660" s="21">
        <f>U2660/'Record info'!K$1120</f>
        <v>4.9985298441634811E-3</v>
      </c>
      <c r="Z2660" s="198" t="s">
        <v>2272</v>
      </c>
      <c r="AA2660" s="198" t="s">
        <v>34</v>
      </c>
      <c r="AB2660" s="198" t="s">
        <v>37</v>
      </c>
      <c r="AC2660" s="198" t="s">
        <v>63</v>
      </c>
      <c r="AD2660" s="198" t="s">
        <v>7616</v>
      </c>
      <c r="AE2660" s="198"/>
    </row>
    <row r="2661" spans="1:31" ht="30" customHeight="1">
      <c r="A2661" s="4" t="s">
        <v>7278</v>
      </c>
      <c r="B2661" s="4" t="s">
        <v>7354</v>
      </c>
      <c r="C2661" s="198" t="s">
        <v>23</v>
      </c>
      <c r="D2661" s="198" t="s">
        <v>1238</v>
      </c>
      <c r="E2661" s="198" t="s">
        <v>3204</v>
      </c>
      <c r="F2661" s="4" t="s">
        <v>2272</v>
      </c>
      <c r="G2661" s="4" t="s">
        <v>2272</v>
      </c>
      <c r="H2661" s="198" t="s">
        <v>521</v>
      </c>
      <c r="I2661" s="198">
        <v>2013</v>
      </c>
      <c r="J2661" s="198" t="s">
        <v>2272</v>
      </c>
      <c r="K2661" s="198" t="s">
        <v>2272</v>
      </c>
      <c r="L2661" s="198" t="s">
        <v>2272</v>
      </c>
      <c r="M2661" s="198" t="s">
        <v>2272</v>
      </c>
      <c r="N2661" s="198" t="s">
        <v>2272</v>
      </c>
      <c r="O2661" s="198" t="s">
        <v>2272</v>
      </c>
      <c r="P2661" s="198" t="s">
        <v>2272</v>
      </c>
      <c r="Q2661" s="198" t="s">
        <v>2272</v>
      </c>
      <c r="R2661" s="198" t="s">
        <v>2272</v>
      </c>
      <c r="S2661" s="198" t="s">
        <v>2272</v>
      </c>
      <c r="T2661" s="198" t="s">
        <v>2272</v>
      </c>
      <c r="U2661" s="21">
        <f>2000*0.05</f>
        <v>100</v>
      </c>
      <c r="V2661" s="198" t="s">
        <v>2272</v>
      </c>
      <c r="W2661" s="198" t="s">
        <v>2272</v>
      </c>
      <c r="X2661" s="198" t="s">
        <v>2272</v>
      </c>
      <c r="Y2661" s="21">
        <f>U2661/'Record info'!K$1121</f>
        <v>3.3438106065672439E-3</v>
      </c>
      <c r="Z2661" s="198" t="s">
        <v>2272</v>
      </c>
      <c r="AA2661" s="198" t="s">
        <v>34</v>
      </c>
      <c r="AB2661" s="198" t="s">
        <v>37</v>
      </c>
      <c r="AC2661" s="198" t="s">
        <v>63</v>
      </c>
      <c r="AD2661" s="198" t="s">
        <v>7616</v>
      </c>
      <c r="AE2661" s="198"/>
    </row>
    <row r="2662" spans="1:31" ht="30" customHeight="1">
      <c r="A2662" s="4" t="s">
        <v>7279</v>
      </c>
      <c r="B2662" s="4" t="s">
        <v>7355</v>
      </c>
      <c r="C2662" s="198" t="s">
        <v>23</v>
      </c>
      <c r="D2662" s="198" t="s">
        <v>1238</v>
      </c>
      <c r="E2662" s="198" t="s">
        <v>3204</v>
      </c>
      <c r="F2662" s="4" t="s">
        <v>2272</v>
      </c>
      <c r="G2662" s="4" t="s">
        <v>2272</v>
      </c>
      <c r="H2662" s="198" t="s">
        <v>521</v>
      </c>
      <c r="I2662" s="198">
        <v>2013</v>
      </c>
      <c r="J2662" s="198" t="s">
        <v>2272</v>
      </c>
      <c r="K2662" s="198" t="s">
        <v>2272</v>
      </c>
      <c r="L2662" s="198" t="s">
        <v>2272</v>
      </c>
      <c r="M2662" s="198" t="s">
        <v>2272</v>
      </c>
      <c r="N2662" s="198" t="s">
        <v>2272</v>
      </c>
      <c r="O2662" s="198" t="s">
        <v>2272</v>
      </c>
      <c r="P2662" s="198" t="s">
        <v>2272</v>
      </c>
      <c r="Q2662" s="198" t="s">
        <v>2272</v>
      </c>
      <c r="R2662" s="198" t="s">
        <v>2272</v>
      </c>
      <c r="S2662" s="198" t="s">
        <v>2272</v>
      </c>
      <c r="T2662" s="198" t="s">
        <v>2272</v>
      </c>
      <c r="U2662" s="21">
        <f>2000*0.493</f>
        <v>986</v>
      </c>
      <c r="V2662" s="198" t="s">
        <v>2272</v>
      </c>
      <c r="W2662" s="198" t="s">
        <v>2272</v>
      </c>
      <c r="X2662" s="198" t="s">
        <v>2272</v>
      </c>
      <c r="Y2662" s="21">
        <f>U2662/'Record info'!K$1122</f>
        <v>3.0993618960802188E-2</v>
      </c>
      <c r="Z2662" s="198" t="s">
        <v>2272</v>
      </c>
      <c r="AA2662" s="198" t="s">
        <v>34</v>
      </c>
      <c r="AB2662" s="198" t="s">
        <v>37</v>
      </c>
      <c r="AC2662" s="198" t="s">
        <v>63</v>
      </c>
      <c r="AD2662" s="198" t="s">
        <v>7616</v>
      </c>
      <c r="AE2662" s="198"/>
    </row>
    <row r="2663" spans="1:31" ht="30" customHeight="1">
      <c r="A2663" s="4" t="s">
        <v>7280</v>
      </c>
      <c r="B2663" s="4" t="s">
        <v>7356</v>
      </c>
      <c r="C2663" s="198" t="s">
        <v>23</v>
      </c>
      <c r="D2663" s="198" t="s">
        <v>1238</v>
      </c>
      <c r="E2663" s="198" t="s">
        <v>3204</v>
      </c>
      <c r="F2663" s="4" t="s">
        <v>2272</v>
      </c>
      <c r="G2663" s="4" t="s">
        <v>2272</v>
      </c>
      <c r="H2663" s="198" t="s">
        <v>521</v>
      </c>
      <c r="I2663" s="198">
        <v>2013</v>
      </c>
      <c r="J2663" s="198" t="s">
        <v>2272</v>
      </c>
      <c r="K2663" s="198" t="s">
        <v>2272</v>
      </c>
      <c r="L2663" s="198" t="s">
        <v>2272</v>
      </c>
      <c r="M2663" s="198" t="s">
        <v>2272</v>
      </c>
      <c r="N2663" s="198" t="s">
        <v>2272</v>
      </c>
      <c r="O2663" s="198" t="s">
        <v>2272</v>
      </c>
      <c r="P2663" s="198" t="s">
        <v>2272</v>
      </c>
      <c r="Q2663" s="198" t="s">
        <v>2272</v>
      </c>
      <c r="R2663" s="198" t="s">
        <v>2272</v>
      </c>
      <c r="S2663" s="198" t="s">
        <v>2272</v>
      </c>
      <c r="T2663" s="198" t="s">
        <v>2272</v>
      </c>
      <c r="U2663" s="21">
        <f>2000*0.375</f>
        <v>750</v>
      </c>
      <c r="V2663" s="198" t="s">
        <v>2272</v>
      </c>
      <c r="W2663" s="198" t="s">
        <v>2272</v>
      </c>
      <c r="X2663" s="198" t="s">
        <v>2272</v>
      </c>
      <c r="Y2663" s="21">
        <f>U2663/'Record info'!K$1123</f>
        <v>6.243756243756244E-2</v>
      </c>
      <c r="Z2663" s="198" t="s">
        <v>2272</v>
      </c>
      <c r="AA2663" s="198" t="s">
        <v>34</v>
      </c>
      <c r="AB2663" s="198" t="s">
        <v>37</v>
      </c>
      <c r="AC2663" s="198" t="s">
        <v>63</v>
      </c>
      <c r="AD2663" s="198" t="s">
        <v>7616</v>
      </c>
      <c r="AE2663" s="198"/>
    </row>
    <row r="2664" spans="1:31" ht="30" customHeight="1">
      <c r="A2664" s="4" t="s">
        <v>7281</v>
      </c>
      <c r="B2664" s="4" t="s">
        <v>7357</v>
      </c>
      <c r="C2664" s="198" t="s">
        <v>23</v>
      </c>
      <c r="D2664" s="198" t="s">
        <v>1238</v>
      </c>
      <c r="E2664" s="198" t="s">
        <v>3204</v>
      </c>
      <c r="F2664" s="4" t="s">
        <v>2272</v>
      </c>
      <c r="G2664" s="4" t="s">
        <v>2272</v>
      </c>
      <c r="H2664" s="198" t="s">
        <v>521</v>
      </c>
      <c r="I2664" s="198">
        <v>2013</v>
      </c>
      <c r="J2664" s="198" t="s">
        <v>2272</v>
      </c>
      <c r="K2664" s="198" t="s">
        <v>2272</v>
      </c>
      <c r="L2664" s="198" t="s">
        <v>2272</v>
      </c>
      <c r="M2664" s="198" t="s">
        <v>2272</v>
      </c>
      <c r="N2664" s="198" t="s">
        <v>2272</v>
      </c>
      <c r="O2664" s="198" t="s">
        <v>2272</v>
      </c>
      <c r="P2664" s="198" t="s">
        <v>2272</v>
      </c>
      <c r="Q2664" s="198" t="s">
        <v>2272</v>
      </c>
      <c r="R2664" s="198" t="s">
        <v>2272</v>
      </c>
      <c r="S2664" s="198" t="s">
        <v>2272</v>
      </c>
      <c r="T2664" s="198" t="s">
        <v>2272</v>
      </c>
      <c r="U2664" s="21">
        <f>2000*0.058</f>
        <v>116</v>
      </c>
      <c r="V2664" s="198" t="s">
        <v>2272</v>
      </c>
      <c r="W2664" s="198" t="s">
        <v>2272</v>
      </c>
      <c r="X2664" s="198" t="s">
        <v>2272</v>
      </c>
      <c r="Y2664" s="21">
        <f>U2664/'Record info'!K$1124</f>
        <v>2.0197447460519212E-3</v>
      </c>
      <c r="Z2664" s="198" t="s">
        <v>2272</v>
      </c>
      <c r="AA2664" s="198" t="s">
        <v>34</v>
      </c>
      <c r="AB2664" s="198" t="s">
        <v>37</v>
      </c>
      <c r="AC2664" s="198" t="s">
        <v>63</v>
      </c>
      <c r="AD2664" s="198" t="s">
        <v>7616</v>
      </c>
      <c r="AE2664" s="198"/>
    </row>
    <row r="2665" spans="1:31" ht="30" customHeight="1">
      <c r="A2665" s="4" t="s">
        <v>7277</v>
      </c>
      <c r="B2665" s="4" t="s">
        <v>7358</v>
      </c>
      <c r="C2665" s="198" t="s">
        <v>23</v>
      </c>
      <c r="D2665" s="198" t="s">
        <v>1238</v>
      </c>
      <c r="E2665" s="198" t="s">
        <v>3204</v>
      </c>
      <c r="F2665" s="4" t="s">
        <v>2272</v>
      </c>
      <c r="G2665" s="4" t="s">
        <v>2272</v>
      </c>
      <c r="H2665" s="198" t="s">
        <v>521</v>
      </c>
      <c r="I2665" s="198">
        <v>2014</v>
      </c>
      <c r="J2665" s="198" t="s">
        <v>2272</v>
      </c>
      <c r="K2665" s="198" t="s">
        <v>2272</v>
      </c>
      <c r="L2665" s="198" t="s">
        <v>2272</v>
      </c>
      <c r="M2665" s="198" t="s">
        <v>2272</v>
      </c>
      <c r="N2665" s="198" t="s">
        <v>2272</v>
      </c>
      <c r="O2665" s="198" t="s">
        <v>2272</v>
      </c>
      <c r="P2665" s="198" t="s">
        <v>2272</v>
      </c>
      <c r="Q2665" s="198" t="s">
        <v>2272</v>
      </c>
      <c r="R2665" s="198" t="s">
        <v>2272</v>
      </c>
      <c r="S2665" s="198" t="s">
        <v>2272</v>
      </c>
      <c r="T2665" s="198" t="s">
        <v>2272</v>
      </c>
      <c r="U2665" s="21">
        <f>4000*0.068</f>
        <v>272</v>
      </c>
      <c r="V2665" s="198" t="s">
        <v>2272</v>
      </c>
      <c r="W2665" s="198" t="s">
        <v>2272</v>
      </c>
      <c r="X2665" s="198" t="s">
        <v>2272</v>
      </c>
      <c r="Y2665" s="21">
        <f>U2665/'Record info'!K$1120</f>
        <v>9.9970596883269622E-3</v>
      </c>
      <c r="Z2665" s="198" t="s">
        <v>2272</v>
      </c>
      <c r="AA2665" s="198" t="s">
        <v>34</v>
      </c>
      <c r="AB2665" s="198" t="s">
        <v>37</v>
      </c>
      <c r="AC2665" s="198" t="s">
        <v>63</v>
      </c>
      <c r="AD2665" s="198" t="s">
        <v>7616</v>
      </c>
      <c r="AE2665" s="198"/>
    </row>
    <row r="2666" spans="1:31" ht="30" customHeight="1">
      <c r="A2666" s="4" t="s">
        <v>7278</v>
      </c>
      <c r="B2666" s="4" t="s">
        <v>7359</v>
      </c>
      <c r="C2666" s="198" t="s">
        <v>23</v>
      </c>
      <c r="D2666" s="198" t="s">
        <v>1238</v>
      </c>
      <c r="E2666" s="198" t="s">
        <v>3204</v>
      </c>
      <c r="F2666" s="4" t="s">
        <v>2272</v>
      </c>
      <c r="G2666" s="4" t="s">
        <v>2272</v>
      </c>
      <c r="H2666" s="198" t="s">
        <v>521</v>
      </c>
      <c r="I2666" s="198">
        <v>2014</v>
      </c>
      <c r="J2666" s="198" t="s">
        <v>2272</v>
      </c>
      <c r="K2666" s="198" t="s">
        <v>2272</v>
      </c>
      <c r="L2666" s="198" t="s">
        <v>2272</v>
      </c>
      <c r="M2666" s="198" t="s">
        <v>2272</v>
      </c>
      <c r="N2666" s="198" t="s">
        <v>2272</v>
      </c>
      <c r="O2666" s="198" t="s">
        <v>2272</v>
      </c>
      <c r="P2666" s="198" t="s">
        <v>2272</v>
      </c>
      <c r="Q2666" s="198" t="s">
        <v>2272</v>
      </c>
      <c r="R2666" s="198" t="s">
        <v>2272</v>
      </c>
      <c r="S2666" s="198" t="s">
        <v>2272</v>
      </c>
      <c r="T2666" s="198" t="s">
        <v>2272</v>
      </c>
      <c r="U2666" s="21">
        <f>4000*0.05</f>
        <v>200</v>
      </c>
      <c r="V2666" s="198" t="s">
        <v>2272</v>
      </c>
      <c r="W2666" s="198" t="s">
        <v>2272</v>
      </c>
      <c r="X2666" s="198" t="s">
        <v>2272</v>
      </c>
      <c r="Y2666" s="21">
        <f>U2666/'Record info'!K$1121</f>
        <v>6.6876212131344879E-3</v>
      </c>
      <c r="Z2666" s="198" t="s">
        <v>2272</v>
      </c>
      <c r="AA2666" s="198" t="s">
        <v>34</v>
      </c>
      <c r="AB2666" s="198" t="s">
        <v>37</v>
      </c>
      <c r="AC2666" s="198" t="s">
        <v>63</v>
      </c>
      <c r="AD2666" s="198" t="s">
        <v>7616</v>
      </c>
      <c r="AE2666" s="198"/>
    </row>
    <row r="2667" spans="1:31" ht="30" customHeight="1">
      <c r="A2667" s="4" t="s">
        <v>7279</v>
      </c>
      <c r="B2667" s="4" t="s">
        <v>7360</v>
      </c>
      <c r="C2667" s="198" t="s">
        <v>23</v>
      </c>
      <c r="D2667" s="198" t="s">
        <v>1238</v>
      </c>
      <c r="E2667" s="198" t="s">
        <v>3204</v>
      </c>
      <c r="F2667" s="4" t="s">
        <v>2272</v>
      </c>
      <c r="G2667" s="4" t="s">
        <v>2272</v>
      </c>
      <c r="H2667" s="198" t="s">
        <v>521</v>
      </c>
      <c r="I2667" s="198">
        <v>2014</v>
      </c>
      <c r="J2667" s="198" t="s">
        <v>2272</v>
      </c>
      <c r="K2667" s="198" t="s">
        <v>2272</v>
      </c>
      <c r="L2667" s="198" t="s">
        <v>2272</v>
      </c>
      <c r="M2667" s="198" t="s">
        <v>2272</v>
      </c>
      <c r="N2667" s="198" t="s">
        <v>2272</v>
      </c>
      <c r="O2667" s="198" t="s">
        <v>2272</v>
      </c>
      <c r="P2667" s="198" t="s">
        <v>2272</v>
      </c>
      <c r="Q2667" s="198" t="s">
        <v>2272</v>
      </c>
      <c r="R2667" s="198" t="s">
        <v>2272</v>
      </c>
      <c r="S2667" s="198" t="s">
        <v>2272</v>
      </c>
      <c r="T2667" s="198" t="s">
        <v>2272</v>
      </c>
      <c r="U2667" s="21">
        <f>4000*0.493</f>
        <v>1972</v>
      </c>
      <c r="V2667" s="198" t="s">
        <v>2272</v>
      </c>
      <c r="W2667" s="198" t="s">
        <v>2272</v>
      </c>
      <c r="X2667" s="198" t="s">
        <v>2272</v>
      </c>
      <c r="Y2667" s="21">
        <f>U2667/'Record info'!K$1122</f>
        <v>6.1987237921604377E-2</v>
      </c>
      <c r="Z2667" s="198" t="s">
        <v>2272</v>
      </c>
      <c r="AA2667" s="198" t="s">
        <v>34</v>
      </c>
      <c r="AB2667" s="198" t="s">
        <v>37</v>
      </c>
      <c r="AC2667" s="198" t="s">
        <v>63</v>
      </c>
      <c r="AD2667" s="198" t="s">
        <v>7616</v>
      </c>
      <c r="AE2667" s="198"/>
    </row>
    <row r="2668" spans="1:31" ht="30" customHeight="1">
      <c r="A2668" s="4" t="s">
        <v>7280</v>
      </c>
      <c r="B2668" s="4" t="s">
        <v>7361</v>
      </c>
      <c r="C2668" s="198" t="s">
        <v>23</v>
      </c>
      <c r="D2668" s="198" t="s">
        <v>1238</v>
      </c>
      <c r="E2668" s="198" t="s">
        <v>3204</v>
      </c>
      <c r="F2668" s="4" t="s">
        <v>2272</v>
      </c>
      <c r="G2668" s="4" t="s">
        <v>2272</v>
      </c>
      <c r="H2668" s="198" t="s">
        <v>521</v>
      </c>
      <c r="I2668" s="198">
        <v>2014</v>
      </c>
      <c r="J2668" s="198" t="s">
        <v>2272</v>
      </c>
      <c r="K2668" s="198" t="s">
        <v>2272</v>
      </c>
      <c r="L2668" s="198" t="s">
        <v>2272</v>
      </c>
      <c r="M2668" s="198" t="s">
        <v>2272</v>
      </c>
      <c r="N2668" s="198" t="s">
        <v>2272</v>
      </c>
      <c r="O2668" s="198" t="s">
        <v>2272</v>
      </c>
      <c r="P2668" s="198" t="s">
        <v>2272</v>
      </c>
      <c r="Q2668" s="198" t="s">
        <v>2272</v>
      </c>
      <c r="R2668" s="198" t="s">
        <v>2272</v>
      </c>
      <c r="S2668" s="198" t="s">
        <v>2272</v>
      </c>
      <c r="T2668" s="198" t="s">
        <v>2272</v>
      </c>
      <c r="U2668" s="21">
        <f>4000*0.375</f>
        <v>1500</v>
      </c>
      <c r="V2668" s="198" t="s">
        <v>2272</v>
      </c>
      <c r="W2668" s="198" t="s">
        <v>2272</v>
      </c>
      <c r="X2668" s="198" t="s">
        <v>2272</v>
      </c>
      <c r="Y2668" s="21">
        <f>U2668/'Record info'!K$1123</f>
        <v>0.12487512487512488</v>
      </c>
      <c r="Z2668" s="198" t="s">
        <v>2272</v>
      </c>
      <c r="AA2668" s="198" t="s">
        <v>34</v>
      </c>
      <c r="AB2668" s="198" t="s">
        <v>37</v>
      </c>
      <c r="AC2668" s="198" t="s">
        <v>63</v>
      </c>
      <c r="AD2668" s="198" t="s">
        <v>7616</v>
      </c>
      <c r="AE2668" s="198"/>
    </row>
    <row r="2669" spans="1:31" ht="30" customHeight="1">
      <c r="A2669" s="4" t="s">
        <v>7281</v>
      </c>
      <c r="B2669" s="4" t="s">
        <v>7362</v>
      </c>
      <c r="C2669" s="198" t="s">
        <v>23</v>
      </c>
      <c r="D2669" s="198" t="s">
        <v>1238</v>
      </c>
      <c r="E2669" s="198" t="s">
        <v>3204</v>
      </c>
      <c r="F2669" s="4" t="s">
        <v>2272</v>
      </c>
      <c r="G2669" s="4" t="s">
        <v>2272</v>
      </c>
      <c r="H2669" s="198" t="s">
        <v>521</v>
      </c>
      <c r="I2669" s="198">
        <v>2014</v>
      </c>
      <c r="J2669" s="198" t="s">
        <v>2272</v>
      </c>
      <c r="K2669" s="198" t="s">
        <v>2272</v>
      </c>
      <c r="L2669" s="198" t="s">
        <v>2272</v>
      </c>
      <c r="M2669" s="198" t="s">
        <v>2272</v>
      </c>
      <c r="N2669" s="198" t="s">
        <v>2272</v>
      </c>
      <c r="O2669" s="198" t="s">
        <v>2272</v>
      </c>
      <c r="P2669" s="198" t="s">
        <v>2272</v>
      </c>
      <c r="Q2669" s="198" t="s">
        <v>2272</v>
      </c>
      <c r="R2669" s="198" t="s">
        <v>2272</v>
      </c>
      <c r="S2669" s="198" t="s">
        <v>2272</v>
      </c>
      <c r="T2669" s="198" t="s">
        <v>2272</v>
      </c>
      <c r="U2669" s="21">
        <f>4000*0.058</f>
        <v>232</v>
      </c>
      <c r="V2669" s="198" t="s">
        <v>2272</v>
      </c>
      <c r="W2669" s="198" t="s">
        <v>2272</v>
      </c>
      <c r="X2669" s="198" t="s">
        <v>2272</v>
      </c>
      <c r="Y2669" s="21">
        <f>U2669/'Record info'!K$1124</f>
        <v>4.0394894921038423E-3</v>
      </c>
      <c r="Z2669" s="198" t="s">
        <v>2272</v>
      </c>
      <c r="AA2669" s="198" t="s">
        <v>34</v>
      </c>
      <c r="AB2669" s="198" t="s">
        <v>37</v>
      </c>
      <c r="AC2669" s="198" t="s">
        <v>63</v>
      </c>
      <c r="AD2669" s="198" t="s">
        <v>7616</v>
      </c>
      <c r="AE2669" s="198"/>
    </row>
    <row r="2670" spans="1:31" ht="30" customHeight="1">
      <c r="A2670" s="4" t="s">
        <v>7277</v>
      </c>
      <c r="B2670" s="4" t="s">
        <v>7363</v>
      </c>
      <c r="C2670" s="198" t="s">
        <v>23</v>
      </c>
      <c r="D2670" s="198" t="s">
        <v>1238</v>
      </c>
      <c r="E2670" s="198" t="s">
        <v>3204</v>
      </c>
      <c r="F2670" s="4" t="s">
        <v>2272</v>
      </c>
      <c r="G2670" s="4" t="s">
        <v>2272</v>
      </c>
      <c r="H2670" s="198" t="s">
        <v>521</v>
      </c>
      <c r="I2670" s="198">
        <v>2015</v>
      </c>
      <c r="J2670" s="198" t="s">
        <v>2272</v>
      </c>
      <c r="K2670" s="198" t="s">
        <v>2272</v>
      </c>
      <c r="L2670" s="198" t="s">
        <v>2272</v>
      </c>
      <c r="M2670" s="198" t="s">
        <v>2272</v>
      </c>
      <c r="N2670" s="198" t="s">
        <v>2272</v>
      </c>
      <c r="O2670" s="198" t="s">
        <v>2272</v>
      </c>
      <c r="P2670" s="198" t="s">
        <v>2272</v>
      </c>
      <c r="Q2670" s="198" t="s">
        <v>2272</v>
      </c>
      <c r="R2670" s="198" t="s">
        <v>2272</v>
      </c>
      <c r="S2670" s="198" t="s">
        <v>2272</v>
      </c>
      <c r="T2670" s="198" t="s">
        <v>2272</v>
      </c>
      <c r="U2670" s="21">
        <f>4061*0.068</f>
        <v>276.14800000000002</v>
      </c>
      <c r="V2670" s="198" t="s">
        <v>2272</v>
      </c>
      <c r="W2670" s="198" t="s">
        <v>2272</v>
      </c>
      <c r="X2670" s="198" t="s">
        <v>2272</v>
      </c>
      <c r="Y2670" s="21">
        <f>U2670/'Record info'!K$1120</f>
        <v>1.0149514848573949E-2</v>
      </c>
      <c r="Z2670" s="198" t="s">
        <v>2272</v>
      </c>
      <c r="AA2670" s="198" t="s">
        <v>34</v>
      </c>
      <c r="AB2670" s="198" t="s">
        <v>37</v>
      </c>
      <c r="AC2670" s="198" t="s">
        <v>63</v>
      </c>
      <c r="AD2670" s="198" t="s">
        <v>7616</v>
      </c>
      <c r="AE2670" s="198"/>
    </row>
    <row r="2671" spans="1:31" ht="30" customHeight="1">
      <c r="A2671" s="4" t="s">
        <v>7278</v>
      </c>
      <c r="B2671" s="4" t="s">
        <v>7364</v>
      </c>
      <c r="C2671" s="198" t="s">
        <v>23</v>
      </c>
      <c r="D2671" s="198" t="s">
        <v>1238</v>
      </c>
      <c r="E2671" s="198" t="s">
        <v>3204</v>
      </c>
      <c r="F2671" s="4" t="s">
        <v>2272</v>
      </c>
      <c r="G2671" s="4" t="s">
        <v>2272</v>
      </c>
      <c r="H2671" s="198" t="s">
        <v>521</v>
      </c>
      <c r="I2671" s="198">
        <v>2015</v>
      </c>
      <c r="J2671" s="198" t="s">
        <v>2272</v>
      </c>
      <c r="K2671" s="198" t="s">
        <v>2272</v>
      </c>
      <c r="L2671" s="198" t="s">
        <v>2272</v>
      </c>
      <c r="M2671" s="198" t="s">
        <v>2272</v>
      </c>
      <c r="N2671" s="198" t="s">
        <v>2272</v>
      </c>
      <c r="O2671" s="198" t="s">
        <v>2272</v>
      </c>
      <c r="P2671" s="198" t="s">
        <v>2272</v>
      </c>
      <c r="Q2671" s="198" t="s">
        <v>2272</v>
      </c>
      <c r="R2671" s="198" t="s">
        <v>2272</v>
      </c>
      <c r="S2671" s="198" t="s">
        <v>2272</v>
      </c>
      <c r="T2671" s="198" t="s">
        <v>2272</v>
      </c>
      <c r="U2671" s="21">
        <f>4061*0.05</f>
        <v>203.05</v>
      </c>
      <c r="V2671" s="198" t="s">
        <v>2272</v>
      </c>
      <c r="W2671" s="198" t="s">
        <v>2272</v>
      </c>
      <c r="X2671" s="198" t="s">
        <v>2272</v>
      </c>
      <c r="Y2671" s="21">
        <f>U2671/'Record info'!K$1121</f>
        <v>6.7896074366347895E-3</v>
      </c>
      <c r="Z2671" s="198" t="s">
        <v>2272</v>
      </c>
      <c r="AA2671" s="198" t="s">
        <v>34</v>
      </c>
      <c r="AB2671" s="198" t="s">
        <v>37</v>
      </c>
      <c r="AC2671" s="198" t="s">
        <v>63</v>
      </c>
      <c r="AD2671" s="198" t="s">
        <v>7616</v>
      </c>
      <c r="AE2671" s="198"/>
    </row>
    <row r="2672" spans="1:31" ht="30" customHeight="1">
      <c r="A2672" s="4" t="s">
        <v>7279</v>
      </c>
      <c r="B2672" s="4" t="s">
        <v>7365</v>
      </c>
      <c r="C2672" s="198" t="s">
        <v>23</v>
      </c>
      <c r="D2672" s="198" t="s">
        <v>1238</v>
      </c>
      <c r="E2672" s="198" t="s">
        <v>3204</v>
      </c>
      <c r="F2672" s="4" t="s">
        <v>2272</v>
      </c>
      <c r="G2672" s="4" t="s">
        <v>2272</v>
      </c>
      <c r="H2672" s="198" t="s">
        <v>521</v>
      </c>
      <c r="I2672" s="198">
        <v>2015</v>
      </c>
      <c r="J2672" s="198" t="s">
        <v>2272</v>
      </c>
      <c r="K2672" s="198" t="s">
        <v>2272</v>
      </c>
      <c r="L2672" s="198" t="s">
        <v>2272</v>
      </c>
      <c r="M2672" s="198" t="s">
        <v>2272</v>
      </c>
      <c r="N2672" s="198" t="s">
        <v>2272</v>
      </c>
      <c r="O2672" s="198" t="s">
        <v>2272</v>
      </c>
      <c r="P2672" s="198" t="s">
        <v>2272</v>
      </c>
      <c r="Q2672" s="198" t="s">
        <v>2272</v>
      </c>
      <c r="R2672" s="198" t="s">
        <v>2272</v>
      </c>
      <c r="S2672" s="198" t="s">
        <v>2272</v>
      </c>
      <c r="T2672" s="198" t="s">
        <v>2272</v>
      </c>
      <c r="U2672" s="21">
        <f>4061*0.493</f>
        <v>2002.0729999999999</v>
      </c>
      <c r="V2672" s="198" t="s">
        <v>2272</v>
      </c>
      <c r="W2672" s="198" t="s">
        <v>2272</v>
      </c>
      <c r="X2672" s="198" t="s">
        <v>2272</v>
      </c>
      <c r="Y2672" s="21">
        <f>U2672/'Record info'!K$1122</f>
        <v>6.2932543299908841E-2</v>
      </c>
      <c r="Z2672" s="198" t="s">
        <v>2272</v>
      </c>
      <c r="AA2672" s="198" t="s">
        <v>34</v>
      </c>
      <c r="AB2672" s="198" t="s">
        <v>37</v>
      </c>
      <c r="AC2672" s="198" t="s">
        <v>63</v>
      </c>
      <c r="AD2672" s="198" t="s">
        <v>7616</v>
      </c>
      <c r="AE2672" s="198"/>
    </row>
    <row r="2673" spans="1:31" ht="30" customHeight="1">
      <c r="A2673" s="4" t="s">
        <v>7280</v>
      </c>
      <c r="B2673" s="4" t="s">
        <v>7366</v>
      </c>
      <c r="C2673" s="198" t="s">
        <v>23</v>
      </c>
      <c r="D2673" s="198" t="s">
        <v>1238</v>
      </c>
      <c r="E2673" s="198" t="s">
        <v>3204</v>
      </c>
      <c r="F2673" s="4" t="s">
        <v>2272</v>
      </c>
      <c r="G2673" s="4" t="s">
        <v>2272</v>
      </c>
      <c r="H2673" s="198" t="s">
        <v>521</v>
      </c>
      <c r="I2673" s="198">
        <v>2015</v>
      </c>
      <c r="J2673" s="198" t="s">
        <v>2272</v>
      </c>
      <c r="K2673" s="198" t="s">
        <v>2272</v>
      </c>
      <c r="L2673" s="198" t="s">
        <v>2272</v>
      </c>
      <c r="M2673" s="198" t="s">
        <v>2272</v>
      </c>
      <c r="N2673" s="198" t="s">
        <v>2272</v>
      </c>
      <c r="O2673" s="198" t="s">
        <v>2272</v>
      </c>
      <c r="P2673" s="198" t="s">
        <v>2272</v>
      </c>
      <c r="Q2673" s="198" t="s">
        <v>2272</v>
      </c>
      <c r="R2673" s="198" t="s">
        <v>2272</v>
      </c>
      <c r="S2673" s="198" t="s">
        <v>2272</v>
      </c>
      <c r="T2673" s="198" t="s">
        <v>2272</v>
      </c>
      <c r="U2673" s="21">
        <f>4061*0.375</f>
        <v>1522.875</v>
      </c>
      <c r="V2673" s="198" t="s">
        <v>2272</v>
      </c>
      <c r="W2673" s="198" t="s">
        <v>2272</v>
      </c>
      <c r="X2673" s="198" t="s">
        <v>2272</v>
      </c>
      <c r="Y2673" s="21">
        <f>U2673/'Record info'!K$1123</f>
        <v>0.12677947052947053</v>
      </c>
      <c r="Z2673" s="198" t="s">
        <v>2272</v>
      </c>
      <c r="AA2673" s="198" t="s">
        <v>34</v>
      </c>
      <c r="AB2673" s="198" t="s">
        <v>37</v>
      </c>
      <c r="AC2673" s="198" t="s">
        <v>63</v>
      </c>
      <c r="AD2673" s="198" t="s">
        <v>7616</v>
      </c>
      <c r="AE2673" s="198"/>
    </row>
    <row r="2674" spans="1:31" ht="30" customHeight="1">
      <c r="A2674" s="4" t="s">
        <v>7281</v>
      </c>
      <c r="B2674" s="4" t="s">
        <v>7367</v>
      </c>
      <c r="C2674" s="198" t="s">
        <v>23</v>
      </c>
      <c r="D2674" s="198" t="s">
        <v>1238</v>
      </c>
      <c r="E2674" s="198" t="s">
        <v>3204</v>
      </c>
      <c r="F2674" s="4" t="s">
        <v>2272</v>
      </c>
      <c r="G2674" s="4" t="s">
        <v>2272</v>
      </c>
      <c r="H2674" s="198" t="s">
        <v>521</v>
      </c>
      <c r="I2674" s="198">
        <v>2015</v>
      </c>
      <c r="J2674" s="198" t="s">
        <v>2272</v>
      </c>
      <c r="K2674" s="198" t="s">
        <v>2272</v>
      </c>
      <c r="L2674" s="198" t="s">
        <v>2272</v>
      </c>
      <c r="M2674" s="198" t="s">
        <v>2272</v>
      </c>
      <c r="N2674" s="198" t="s">
        <v>2272</v>
      </c>
      <c r="O2674" s="198" t="s">
        <v>2272</v>
      </c>
      <c r="P2674" s="198" t="s">
        <v>2272</v>
      </c>
      <c r="Q2674" s="198" t="s">
        <v>2272</v>
      </c>
      <c r="R2674" s="198" t="s">
        <v>2272</v>
      </c>
      <c r="S2674" s="198" t="s">
        <v>2272</v>
      </c>
      <c r="T2674" s="198" t="s">
        <v>2272</v>
      </c>
      <c r="U2674" s="21">
        <f>4061*0.058</f>
        <v>235.53800000000001</v>
      </c>
      <c r="V2674" s="198" t="s">
        <v>2272</v>
      </c>
      <c r="W2674" s="198" t="s">
        <v>2272</v>
      </c>
      <c r="X2674" s="198" t="s">
        <v>2272</v>
      </c>
      <c r="Y2674" s="21">
        <f>U2674/'Record info'!K$1124</f>
        <v>4.1010917068584262E-3</v>
      </c>
      <c r="Z2674" s="198" t="s">
        <v>2272</v>
      </c>
      <c r="AA2674" s="198" t="s">
        <v>34</v>
      </c>
      <c r="AB2674" s="198" t="s">
        <v>37</v>
      </c>
      <c r="AC2674" s="198" t="s">
        <v>63</v>
      </c>
      <c r="AD2674" s="198" t="s">
        <v>7616</v>
      </c>
      <c r="AE2674" s="198"/>
    </row>
    <row r="2675" spans="1:31" ht="33.5" customHeight="1">
      <c r="A2675" s="4" t="s">
        <v>7282</v>
      </c>
      <c r="B2675" s="4" t="s">
        <v>7402</v>
      </c>
      <c r="C2675" s="198" t="s">
        <v>23</v>
      </c>
      <c r="D2675" s="198" t="s">
        <v>1238</v>
      </c>
      <c r="E2675" s="198" t="s">
        <v>3204</v>
      </c>
      <c r="F2675" s="4" t="s">
        <v>2272</v>
      </c>
      <c r="G2675" s="4" t="s">
        <v>2272</v>
      </c>
      <c r="H2675" s="198" t="s">
        <v>521</v>
      </c>
      <c r="I2675" s="198">
        <v>2006</v>
      </c>
      <c r="J2675" s="198" t="s">
        <v>2272</v>
      </c>
      <c r="K2675" s="198" t="s">
        <v>2272</v>
      </c>
      <c r="L2675" s="198" t="s">
        <v>2272</v>
      </c>
      <c r="M2675" s="198" t="s">
        <v>2272</v>
      </c>
      <c r="N2675" s="198" t="s">
        <v>2272</v>
      </c>
      <c r="O2675" s="198" t="s">
        <v>2272</v>
      </c>
      <c r="P2675" s="198" t="s">
        <v>2272</v>
      </c>
      <c r="Q2675" s="198" t="s">
        <v>2272</v>
      </c>
      <c r="R2675" s="198" t="s">
        <v>2272</v>
      </c>
      <c r="S2675" s="198" t="s">
        <v>2272</v>
      </c>
      <c r="T2675" s="198" t="s">
        <v>2272</v>
      </c>
      <c r="U2675" s="21">
        <f>200*0.027</f>
        <v>5.4</v>
      </c>
      <c r="V2675" s="198" t="s">
        <v>2272</v>
      </c>
      <c r="W2675" s="198" t="s">
        <v>2272</v>
      </c>
      <c r="X2675" s="198" t="s">
        <v>2272</v>
      </c>
      <c r="Y2675" s="21">
        <f>U2675/'Record info'!K$1133</f>
        <v>1.9285714285714288E-3</v>
      </c>
      <c r="Z2675" s="198" t="s">
        <v>2272</v>
      </c>
      <c r="AA2675" s="35" t="s">
        <v>67</v>
      </c>
      <c r="AB2675" s="198" t="s">
        <v>84</v>
      </c>
      <c r="AC2675" s="197" t="s">
        <v>75</v>
      </c>
      <c r="AD2675" s="198"/>
      <c r="AE2675" s="198"/>
    </row>
    <row r="2676" spans="1:31" ht="33.5" customHeight="1">
      <c r="A2676" s="4" t="s">
        <v>7368</v>
      </c>
      <c r="B2676" s="4" t="s">
        <v>7403</v>
      </c>
      <c r="C2676" s="198" t="s">
        <v>23</v>
      </c>
      <c r="D2676" s="198" t="s">
        <v>1238</v>
      </c>
      <c r="E2676" s="198" t="s">
        <v>3204</v>
      </c>
      <c r="F2676" s="4" t="s">
        <v>2272</v>
      </c>
      <c r="G2676" s="4" t="s">
        <v>2272</v>
      </c>
      <c r="H2676" s="198" t="s">
        <v>521</v>
      </c>
      <c r="I2676" s="198">
        <v>2006</v>
      </c>
      <c r="J2676" s="198" t="s">
        <v>2272</v>
      </c>
      <c r="K2676" s="198" t="s">
        <v>2272</v>
      </c>
      <c r="L2676" s="198" t="s">
        <v>2272</v>
      </c>
      <c r="M2676" s="198" t="s">
        <v>2272</v>
      </c>
      <c r="N2676" s="198" t="s">
        <v>2272</v>
      </c>
      <c r="O2676" s="198" t="s">
        <v>2272</v>
      </c>
      <c r="P2676" s="198" t="s">
        <v>2272</v>
      </c>
      <c r="Q2676" s="198" t="s">
        <v>2272</v>
      </c>
      <c r="R2676" s="198" t="s">
        <v>2272</v>
      </c>
      <c r="S2676" s="198" t="s">
        <v>2272</v>
      </c>
      <c r="T2676" s="198" t="s">
        <v>2272</v>
      </c>
      <c r="U2676" s="21">
        <f>200*0.041</f>
        <v>8.2000000000000011</v>
      </c>
      <c r="V2676" s="198" t="s">
        <v>2272</v>
      </c>
      <c r="W2676" s="198" t="s">
        <v>2272</v>
      </c>
      <c r="X2676" s="198" t="s">
        <v>2272</v>
      </c>
      <c r="Y2676" s="21">
        <f>U2676/'Record info'!K$1134</f>
        <v>2.3328591749644384E-3</v>
      </c>
      <c r="Z2676" s="198" t="s">
        <v>2272</v>
      </c>
      <c r="AA2676" s="198" t="s">
        <v>67</v>
      </c>
      <c r="AB2676" s="198" t="s">
        <v>84</v>
      </c>
      <c r="AC2676" s="198" t="s">
        <v>75</v>
      </c>
      <c r="AD2676" s="198"/>
      <c r="AE2676" s="198"/>
    </row>
    <row r="2677" spans="1:31" ht="33.5" customHeight="1">
      <c r="A2677" s="4" t="s">
        <v>7369</v>
      </c>
      <c r="B2677" s="4" t="s">
        <v>7404</v>
      </c>
      <c r="C2677" s="198" t="s">
        <v>23</v>
      </c>
      <c r="D2677" s="198" t="s">
        <v>1238</v>
      </c>
      <c r="E2677" s="198" t="s">
        <v>3204</v>
      </c>
      <c r="F2677" s="4" t="s">
        <v>2272</v>
      </c>
      <c r="G2677" s="4" t="s">
        <v>2272</v>
      </c>
      <c r="H2677" s="198" t="s">
        <v>521</v>
      </c>
      <c r="I2677" s="198">
        <v>2006</v>
      </c>
      <c r="J2677" s="198" t="s">
        <v>2272</v>
      </c>
      <c r="K2677" s="198" t="s">
        <v>2272</v>
      </c>
      <c r="L2677" s="198" t="s">
        <v>2272</v>
      </c>
      <c r="M2677" s="198" t="s">
        <v>2272</v>
      </c>
      <c r="N2677" s="198" t="s">
        <v>2272</v>
      </c>
      <c r="O2677" s="198" t="s">
        <v>2272</v>
      </c>
      <c r="P2677" s="198" t="s">
        <v>2272</v>
      </c>
      <c r="Q2677" s="198" t="s">
        <v>2272</v>
      </c>
      <c r="R2677" s="198" t="s">
        <v>2272</v>
      </c>
      <c r="S2677" s="198" t="s">
        <v>2272</v>
      </c>
      <c r="T2677" s="198" t="s">
        <v>2272</v>
      </c>
      <c r="U2677" s="21">
        <f>200*0.004</f>
        <v>0.8</v>
      </c>
      <c r="V2677" s="198" t="s">
        <v>2272</v>
      </c>
      <c r="W2677" s="198" t="s">
        <v>2272</v>
      </c>
      <c r="X2677" s="198" t="s">
        <v>2272</v>
      </c>
      <c r="Y2677" s="21">
        <f>U2677/'Record info'!K$1135</f>
        <v>1.185712168371128E-4</v>
      </c>
      <c r="Z2677" s="198" t="s">
        <v>2272</v>
      </c>
      <c r="AA2677" s="198" t="s">
        <v>67</v>
      </c>
      <c r="AB2677" s="198" t="s">
        <v>84</v>
      </c>
      <c r="AC2677" s="198" t="s">
        <v>75</v>
      </c>
      <c r="AD2677" s="198"/>
      <c r="AE2677" s="198"/>
    </row>
    <row r="2678" spans="1:31" ht="33.5" customHeight="1">
      <c r="A2678" s="4" t="s">
        <v>7370</v>
      </c>
      <c r="B2678" s="4" t="s">
        <v>7405</v>
      </c>
      <c r="C2678" s="198" t="s">
        <v>23</v>
      </c>
      <c r="D2678" s="198" t="s">
        <v>1238</v>
      </c>
      <c r="E2678" s="198" t="s">
        <v>3204</v>
      </c>
      <c r="F2678" s="4" t="s">
        <v>2272</v>
      </c>
      <c r="G2678" s="4" t="s">
        <v>2272</v>
      </c>
      <c r="H2678" s="198" t="s">
        <v>521</v>
      </c>
      <c r="I2678" s="198">
        <v>2006</v>
      </c>
      <c r="J2678" s="198" t="s">
        <v>2272</v>
      </c>
      <c r="K2678" s="198" t="s">
        <v>2272</v>
      </c>
      <c r="L2678" s="198" t="s">
        <v>2272</v>
      </c>
      <c r="M2678" s="198" t="s">
        <v>2272</v>
      </c>
      <c r="N2678" s="198" t="s">
        <v>2272</v>
      </c>
      <c r="O2678" s="198" t="s">
        <v>2272</v>
      </c>
      <c r="P2678" s="198" t="s">
        <v>2272</v>
      </c>
      <c r="Q2678" s="198" t="s">
        <v>2272</v>
      </c>
      <c r="R2678" s="198" t="s">
        <v>2272</v>
      </c>
      <c r="S2678" s="198" t="s">
        <v>2272</v>
      </c>
      <c r="T2678" s="198" t="s">
        <v>2272</v>
      </c>
      <c r="U2678" s="21">
        <f>200*0.004</f>
        <v>0.8</v>
      </c>
      <c r="V2678" s="198" t="s">
        <v>2272</v>
      </c>
      <c r="W2678" s="198" t="s">
        <v>2272</v>
      </c>
      <c r="X2678" s="198" t="s">
        <v>2272</v>
      </c>
      <c r="Y2678" s="21">
        <f>U2678/'Record info'!K$1136</f>
        <v>1.5797788309636652E-4</v>
      </c>
      <c r="Z2678" s="198" t="s">
        <v>2272</v>
      </c>
      <c r="AA2678" s="198" t="s">
        <v>67</v>
      </c>
      <c r="AB2678" s="198" t="s">
        <v>84</v>
      </c>
      <c r="AC2678" s="198" t="s">
        <v>75</v>
      </c>
      <c r="AD2678" s="198"/>
      <c r="AE2678" s="198"/>
    </row>
    <row r="2679" spans="1:31" ht="33.5" customHeight="1">
      <c r="A2679" s="4" t="s">
        <v>7371</v>
      </c>
      <c r="B2679" s="4" t="s">
        <v>7406</v>
      </c>
      <c r="C2679" s="198" t="s">
        <v>23</v>
      </c>
      <c r="D2679" s="198" t="s">
        <v>1238</v>
      </c>
      <c r="E2679" s="198" t="s">
        <v>3204</v>
      </c>
      <c r="F2679" s="4" t="s">
        <v>2272</v>
      </c>
      <c r="G2679" s="4" t="s">
        <v>2272</v>
      </c>
      <c r="H2679" s="198" t="s">
        <v>522</v>
      </c>
      <c r="I2679" s="198">
        <v>2006</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v>0</v>
      </c>
      <c r="Y2679" s="21">
        <f>U2679/'Record info'!K$1137</f>
        <v>0</v>
      </c>
      <c r="Z2679" s="198" t="s">
        <v>2272</v>
      </c>
      <c r="AA2679" s="198" t="s">
        <v>67</v>
      </c>
      <c r="AB2679" s="198" t="s">
        <v>84</v>
      </c>
      <c r="AC2679" s="198" t="s">
        <v>75</v>
      </c>
      <c r="AD2679" s="198"/>
      <c r="AE2679" s="198"/>
    </row>
    <row r="2680" spans="1:31" ht="33.5" customHeight="1">
      <c r="A2680" s="4" t="s">
        <v>7372</v>
      </c>
      <c r="B2680" s="4" t="s">
        <v>7407</v>
      </c>
      <c r="C2680" s="198" t="s">
        <v>23</v>
      </c>
      <c r="D2680" s="198" t="s">
        <v>1238</v>
      </c>
      <c r="E2680" s="198" t="s">
        <v>3204</v>
      </c>
      <c r="F2680" s="4" t="s">
        <v>2272</v>
      </c>
      <c r="G2680" s="4" t="s">
        <v>2272</v>
      </c>
      <c r="H2680" s="198" t="s">
        <v>522</v>
      </c>
      <c r="I2680" s="198">
        <v>2006</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v>0</v>
      </c>
      <c r="Y2680" s="21">
        <f>U2680/'Record info'!K$1138</f>
        <v>0</v>
      </c>
      <c r="Z2680" s="198" t="s">
        <v>2272</v>
      </c>
      <c r="AA2680" s="198" t="s">
        <v>67</v>
      </c>
      <c r="AB2680" s="198" t="s">
        <v>84</v>
      </c>
      <c r="AC2680" s="198" t="s">
        <v>75</v>
      </c>
      <c r="AD2680" s="198"/>
      <c r="AE2680" s="198"/>
    </row>
    <row r="2681" spans="1:31" ht="33.5" customHeight="1">
      <c r="A2681" s="4" t="s">
        <v>7373</v>
      </c>
      <c r="B2681" s="4" t="s">
        <v>7408</v>
      </c>
      <c r="C2681" s="198" t="s">
        <v>23</v>
      </c>
      <c r="D2681" s="198" t="s">
        <v>1238</v>
      </c>
      <c r="E2681" s="198" t="s">
        <v>3204</v>
      </c>
      <c r="F2681" s="4" t="s">
        <v>2272</v>
      </c>
      <c r="G2681" s="4" t="s">
        <v>2272</v>
      </c>
      <c r="H2681" s="198" t="s">
        <v>522</v>
      </c>
      <c r="I2681" s="198">
        <v>2006</v>
      </c>
      <c r="J2681" s="21">
        <v>0</v>
      </c>
      <c r="K2681" s="21">
        <v>0</v>
      </c>
      <c r="L2681" s="21">
        <v>0</v>
      </c>
      <c r="M2681" s="21">
        <v>0</v>
      </c>
      <c r="N2681" s="21">
        <v>0</v>
      </c>
      <c r="O2681" s="21">
        <v>0</v>
      </c>
      <c r="P2681" s="21">
        <v>0</v>
      </c>
      <c r="Q2681" s="21">
        <v>0</v>
      </c>
      <c r="R2681" s="21">
        <v>0</v>
      </c>
      <c r="S2681" s="21">
        <v>0</v>
      </c>
      <c r="T2681" s="21">
        <v>0</v>
      </c>
      <c r="U2681" s="21">
        <v>0</v>
      </c>
      <c r="V2681" s="21">
        <v>0</v>
      </c>
      <c r="W2681" s="21">
        <v>0</v>
      </c>
      <c r="X2681" s="21">
        <v>0</v>
      </c>
      <c r="Y2681" s="21">
        <f>U2681/'Record info'!K$1139</f>
        <v>0</v>
      </c>
      <c r="Z2681" s="198" t="s">
        <v>2272</v>
      </c>
      <c r="AA2681" s="198" t="s">
        <v>67</v>
      </c>
      <c r="AB2681" s="198" t="s">
        <v>84</v>
      </c>
      <c r="AC2681" s="198" t="s">
        <v>75</v>
      </c>
      <c r="AD2681" s="198"/>
      <c r="AE2681" s="198"/>
    </row>
    <row r="2682" spans="1:31" ht="33.5" customHeight="1">
      <c r="A2682" s="4" t="s">
        <v>7374</v>
      </c>
      <c r="B2682" s="4" t="s">
        <v>7409</v>
      </c>
      <c r="C2682" s="198" t="s">
        <v>23</v>
      </c>
      <c r="D2682" s="198" t="s">
        <v>1238</v>
      </c>
      <c r="E2682" s="198" t="s">
        <v>3204</v>
      </c>
      <c r="F2682" s="4" t="s">
        <v>2272</v>
      </c>
      <c r="G2682" s="4" t="s">
        <v>2272</v>
      </c>
      <c r="H2682" s="198" t="s">
        <v>521</v>
      </c>
      <c r="I2682" s="198">
        <v>2006</v>
      </c>
      <c r="J2682" s="198" t="s">
        <v>2272</v>
      </c>
      <c r="K2682" s="198" t="s">
        <v>2272</v>
      </c>
      <c r="L2682" s="198" t="s">
        <v>2272</v>
      </c>
      <c r="M2682" s="198" t="s">
        <v>2272</v>
      </c>
      <c r="N2682" s="198" t="s">
        <v>2272</v>
      </c>
      <c r="O2682" s="198" t="s">
        <v>2272</v>
      </c>
      <c r="P2682" s="198" t="s">
        <v>2272</v>
      </c>
      <c r="Q2682" s="198" t="s">
        <v>2272</v>
      </c>
      <c r="R2682" s="198" t="s">
        <v>2272</v>
      </c>
      <c r="S2682" s="198" t="s">
        <v>2272</v>
      </c>
      <c r="T2682" s="198" t="s">
        <v>2272</v>
      </c>
      <c r="U2682" s="21">
        <f>200*0.035</f>
        <v>7.0000000000000009</v>
      </c>
      <c r="V2682" s="198" t="s">
        <v>2272</v>
      </c>
      <c r="W2682" s="198" t="s">
        <v>2272</v>
      </c>
      <c r="X2682" s="198" t="s">
        <v>2272</v>
      </c>
      <c r="Y2682" s="21">
        <f>U2682/'Record info'!K$1140</f>
        <v>1.1541632316570487E-3</v>
      </c>
      <c r="Z2682" s="198" t="s">
        <v>2272</v>
      </c>
      <c r="AA2682" s="198" t="s">
        <v>67</v>
      </c>
      <c r="AB2682" s="198" t="s">
        <v>84</v>
      </c>
      <c r="AC2682" s="198" t="s">
        <v>75</v>
      </c>
      <c r="AD2682" s="198"/>
      <c r="AE2682" s="198"/>
    </row>
    <row r="2683" spans="1:31" ht="33.5" customHeight="1">
      <c r="A2683" s="4" t="s">
        <v>7375</v>
      </c>
      <c r="B2683" s="4" t="s">
        <v>7410</v>
      </c>
      <c r="C2683" s="198" t="s">
        <v>23</v>
      </c>
      <c r="D2683" s="198" t="s">
        <v>1238</v>
      </c>
      <c r="E2683" s="198" t="s">
        <v>3204</v>
      </c>
      <c r="F2683" s="4" t="s">
        <v>2272</v>
      </c>
      <c r="G2683" s="4" t="s">
        <v>2272</v>
      </c>
      <c r="H2683" s="198" t="s">
        <v>521</v>
      </c>
      <c r="I2683" s="198">
        <v>2006</v>
      </c>
      <c r="J2683" s="198" t="s">
        <v>2272</v>
      </c>
      <c r="K2683" s="198" t="s">
        <v>2272</v>
      </c>
      <c r="L2683" s="198" t="s">
        <v>2272</v>
      </c>
      <c r="M2683" s="198" t="s">
        <v>2272</v>
      </c>
      <c r="N2683" s="198" t="s">
        <v>2272</v>
      </c>
      <c r="O2683" s="198" t="s">
        <v>2272</v>
      </c>
      <c r="P2683" s="198" t="s">
        <v>2272</v>
      </c>
      <c r="Q2683" s="198" t="s">
        <v>2272</v>
      </c>
      <c r="R2683" s="198" t="s">
        <v>2272</v>
      </c>
      <c r="S2683" s="198" t="s">
        <v>2272</v>
      </c>
      <c r="T2683" s="198" t="s">
        <v>2272</v>
      </c>
      <c r="U2683" s="21">
        <f>200*0.079</f>
        <v>15.8</v>
      </c>
      <c r="V2683" s="198" t="s">
        <v>2272</v>
      </c>
      <c r="W2683" s="198" t="s">
        <v>2272</v>
      </c>
      <c r="X2683" s="198" t="s">
        <v>2272</v>
      </c>
      <c r="Y2683" s="21">
        <f>U2683/'Record info'!K$1141</f>
        <v>2.3670411985018728E-3</v>
      </c>
      <c r="Z2683" s="198" t="s">
        <v>2272</v>
      </c>
      <c r="AA2683" s="198" t="s">
        <v>67</v>
      </c>
      <c r="AB2683" s="198" t="s">
        <v>84</v>
      </c>
      <c r="AC2683" s="198" t="s">
        <v>75</v>
      </c>
      <c r="AD2683" s="198"/>
      <c r="AE2683" s="198"/>
    </row>
    <row r="2684" spans="1:31" ht="33.5" customHeight="1">
      <c r="A2684" s="4" t="s">
        <v>7376</v>
      </c>
      <c r="B2684" s="4" t="s">
        <v>7411</v>
      </c>
      <c r="C2684" s="198" t="s">
        <v>23</v>
      </c>
      <c r="D2684" s="198" t="s">
        <v>1238</v>
      </c>
      <c r="E2684" s="198" t="s">
        <v>3204</v>
      </c>
      <c r="F2684" s="4" t="s">
        <v>2272</v>
      </c>
      <c r="G2684" s="4" t="s">
        <v>2272</v>
      </c>
      <c r="H2684" s="198" t="s">
        <v>521</v>
      </c>
      <c r="I2684" s="198">
        <v>2006</v>
      </c>
      <c r="J2684" s="198" t="s">
        <v>2272</v>
      </c>
      <c r="K2684" s="198" t="s">
        <v>2272</v>
      </c>
      <c r="L2684" s="198" t="s">
        <v>2272</v>
      </c>
      <c r="M2684" s="198" t="s">
        <v>2272</v>
      </c>
      <c r="N2684" s="198" t="s">
        <v>2272</v>
      </c>
      <c r="O2684" s="198" t="s">
        <v>2272</v>
      </c>
      <c r="P2684" s="198" t="s">
        <v>2272</v>
      </c>
      <c r="Q2684" s="198" t="s">
        <v>2272</v>
      </c>
      <c r="R2684" s="198" t="s">
        <v>2272</v>
      </c>
      <c r="S2684" s="198" t="s">
        <v>2272</v>
      </c>
      <c r="T2684" s="198" t="s">
        <v>2272</v>
      </c>
      <c r="U2684" s="21">
        <f>200*0.132</f>
        <v>26.400000000000002</v>
      </c>
      <c r="V2684" s="198" t="s">
        <v>2272</v>
      </c>
      <c r="W2684" s="198" t="s">
        <v>2272</v>
      </c>
      <c r="X2684" s="198" t="s">
        <v>2272</v>
      </c>
      <c r="Y2684" s="21">
        <f>U2684/'Record info'!K$1142</f>
        <v>4.7843421529539694E-3</v>
      </c>
      <c r="Z2684" s="198" t="s">
        <v>2272</v>
      </c>
      <c r="AA2684" s="198" t="s">
        <v>67</v>
      </c>
      <c r="AB2684" s="198" t="s">
        <v>84</v>
      </c>
      <c r="AC2684" s="198" t="s">
        <v>75</v>
      </c>
      <c r="AD2684" s="198"/>
      <c r="AE2684" s="198"/>
    </row>
    <row r="2685" spans="1:31" ht="33.5" customHeight="1">
      <c r="A2685" s="4" t="s">
        <v>7377</v>
      </c>
      <c r="B2685" s="4" t="s">
        <v>7412</v>
      </c>
      <c r="C2685" s="198" t="s">
        <v>23</v>
      </c>
      <c r="D2685" s="198" t="s">
        <v>1238</v>
      </c>
      <c r="E2685" s="198" t="s">
        <v>3204</v>
      </c>
      <c r="F2685" s="4" t="s">
        <v>2272</v>
      </c>
      <c r="G2685" s="4" t="s">
        <v>2272</v>
      </c>
      <c r="H2685" s="198" t="s">
        <v>521</v>
      </c>
      <c r="I2685" s="198">
        <v>2006</v>
      </c>
      <c r="J2685" s="198" t="s">
        <v>2272</v>
      </c>
      <c r="K2685" s="198" t="s">
        <v>2272</v>
      </c>
      <c r="L2685" s="198" t="s">
        <v>2272</v>
      </c>
      <c r="M2685" s="198" t="s">
        <v>2272</v>
      </c>
      <c r="N2685" s="198" t="s">
        <v>2272</v>
      </c>
      <c r="O2685" s="198" t="s">
        <v>2272</v>
      </c>
      <c r="P2685" s="198" t="s">
        <v>2272</v>
      </c>
      <c r="Q2685" s="198" t="s">
        <v>2272</v>
      </c>
      <c r="R2685" s="198" t="s">
        <v>2272</v>
      </c>
      <c r="S2685" s="198" t="s">
        <v>2272</v>
      </c>
      <c r="T2685" s="198" t="s">
        <v>2272</v>
      </c>
      <c r="U2685" s="21">
        <f>200*0.057</f>
        <v>11.4</v>
      </c>
      <c r="V2685" s="198" t="s">
        <v>2272</v>
      </c>
      <c r="W2685" s="198" t="s">
        <v>2272</v>
      </c>
      <c r="X2685" s="198" t="s">
        <v>2272</v>
      </c>
      <c r="Y2685" s="21">
        <f>U2685/'Record info'!K$1143</f>
        <v>2.8882695718267038E-3</v>
      </c>
      <c r="Z2685" s="198" t="s">
        <v>2272</v>
      </c>
      <c r="AA2685" s="198" t="s">
        <v>67</v>
      </c>
      <c r="AB2685" s="198" t="s">
        <v>84</v>
      </c>
      <c r="AC2685" s="198" t="s">
        <v>75</v>
      </c>
      <c r="AD2685" s="198"/>
      <c r="AE2685" s="198"/>
    </row>
    <row r="2686" spans="1:31" ht="33.5" customHeight="1">
      <c r="A2686" s="4" t="s">
        <v>7378</v>
      </c>
      <c r="B2686" s="4" t="s">
        <v>7413</v>
      </c>
      <c r="C2686" s="198" t="s">
        <v>23</v>
      </c>
      <c r="D2686" s="198" t="s">
        <v>1238</v>
      </c>
      <c r="E2686" s="198" t="s">
        <v>3204</v>
      </c>
      <c r="F2686" s="4" t="s">
        <v>2272</v>
      </c>
      <c r="G2686" s="4" t="s">
        <v>2272</v>
      </c>
      <c r="H2686" s="198" t="s">
        <v>521</v>
      </c>
      <c r="I2686" s="198">
        <v>2006</v>
      </c>
      <c r="J2686" s="198" t="s">
        <v>2272</v>
      </c>
      <c r="K2686" s="198" t="s">
        <v>2272</v>
      </c>
      <c r="L2686" s="198" t="s">
        <v>2272</v>
      </c>
      <c r="M2686" s="198" t="s">
        <v>2272</v>
      </c>
      <c r="N2686" s="198" t="s">
        <v>2272</v>
      </c>
      <c r="O2686" s="198" t="s">
        <v>2272</v>
      </c>
      <c r="P2686" s="198" t="s">
        <v>2272</v>
      </c>
      <c r="Q2686" s="198" t="s">
        <v>2272</v>
      </c>
      <c r="R2686" s="198" t="s">
        <v>2272</v>
      </c>
      <c r="S2686" s="198" t="s">
        <v>2272</v>
      </c>
      <c r="T2686" s="198" t="s">
        <v>2272</v>
      </c>
      <c r="U2686" s="21">
        <f>200*0.024</f>
        <v>4.8</v>
      </c>
      <c r="V2686" s="198" t="s">
        <v>2272</v>
      </c>
      <c r="W2686" s="198" t="s">
        <v>2272</v>
      </c>
      <c r="X2686" s="198" t="s">
        <v>2272</v>
      </c>
      <c r="Y2686" s="21">
        <f>U2686/'Record info'!K$1144</f>
        <v>1.7094017094017094E-3</v>
      </c>
      <c r="Z2686" s="198" t="s">
        <v>2272</v>
      </c>
      <c r="AA2686" s="198" t="s">
        <v>67</v>
      </c>
      <c r="AB2686" s="198" t="s">
        <v>84</v>
      </c>
      <c r="AC2686" s="198" t="s">
        <v>75</v>
      </c>
      <c r="AD2686" s="198"/>
      <c r="AE2686" s="198"/>
    </row>
    <row r="2687" spans="1:31" ht="33.5" customHeight="1">
      <c r="A2687" s="4" t="s">
        <v>7379</v>
      </c>
      <c r="B2687" s="4" t="s">
        <v>7414</v>
      </c>
      <c r="C2687" s="198" t="s">
        <v>23</v>
      </c>
      <c r="D2687" s="198" t="s">
        <v>1238</v>
      </c>
      <c r="E2687" s="198" t="s">
        <v>3204</v>
      </c>
      <c r="F2687" s="4" t="s">
        <v>2272</v>
      </c>
      <c r="G2687" s="4" t="s">
        <v>2272</v>
      </c>
      <c r="H2687" s="198" t="s">
        <v>521</v>
      </c>
      <c r="I2687" s="198">
        <v>2006</v>
      </c>
      <c r="J2687" s="198" t="s">
        <v>2272</v>
      </c>
      <c r="K2687" s="198" t="s">
        <v>2272</v>
      </c>
      <c r="L2687" s="198" t="s">
        <v>2272</v>
      </c>
      <c r="M2687" s="198" t="s">
        <v>2272</v>
      </c>
      <c r="N2687" s="198" t="s">
        <v>2272</v>
      </c>
      <c r="O2687" s="198" t="s">
        <v>2272</v>
      </c>
      <c r="P2687" s="198" t="s">
        <v>2272</v>
      </c>
      <c r="Q2687" s="198" t="s">
        <v>2272</v>
      </c>
      <c r="R2687" s="198" t="s">
        <v>2272</v>
      </c>
      <c r="S2687" s="198" t="s">
        <v>2272</v>
      </c>
      <c r="T2687" s="198" t="s">
        <v>2272</v>
      </c>
      <c r="U2687" s="21">
        <f>200*0.072</f>
        <v>14.399999999999999</v>
      </c>
      <c r="V2687" s="198" t="s">
        <v>2272</v>
      </c>
      <c r="W2687" s="198" t="s">
        <v>2272</v>
      </c>
      <c r="X2687" s="198" t="s">
        <v>2272</v>
      </c>
      <c r="Y2687" s="21">
        <f>U2687/'Record info'!K$1145</f>
        <v>2.8759736369083281E-3</v>
      </c>
      <c r="Z2687" s="198" t="s">
        <v>2272</v>
      </c>
      <c r="AA2687" s="198" t="s">
        <v>67</v>
      </c>
      <c r="AB2687" s="198" t="s">
        <v>84</v>
      </c>
      <c r="AC2687" s="198" t="s">
        <v>75</v>
      </c>
      <c r="AD2687" s="198"/>
      <c r="AE2687" s="198"/>
    </row>
    <row r="2688" spans="1:31" ht="33.5" customHeight="1">
      <c r="A2688" s="4" t="s">
        <v>7380</v>
      </c>
      <c r="B2688" s="4" t="s">
        <v>7415</v>
      </c>
      <c r="C2688" s="198" t="s">
        <v>23</v>
      </c>
      <c r="D2688" s="198" t="s">
        <v>1238</v>
      </c>
      <c r="E2688" s="198" t="s">
        <v>3204</v>
      </c>
      <c r="F2688" s="4" t="s">
        <v>2272</v>
      </c>
      <c r="G2688" s="4" t="s">
        <v>2272</v>
      </c>
      <c r="H2688" s="198" t="s">
        <v>521</v>
      </c>
      <c r="I2688" s="198">
        <v>2006</v>
      </c>
      <c r="J2688" s="198" t="s">
        <v>2272</v>
      </c>
      <c r="K2688" s="198" t="s">
        <v>2272</v>
      </c>
      <c r="L2688" s="198" t="s">
        <v>2272</v>
      </c>
      <c r="M2688" s="198" t="s">
        <v>2272</v>
      </c>
      <c r="N2688" s="198" t="s">
        <v>2272</v>
      </c>
      <c r="O2688" s="198" t="s">
        <v>2272</v>
      </c>
      <c r="P2688" s="198" t="s">
        <v>2272</v>
      </c>
      <c r="Q2688" s="198" t="s">
        <v>2272</v>
      </c>
      <c r="R2688" s="198" t="s">
        <v>2272</v>
      </c>
      <c r="S2688" s="198" t="s">
        <v>2272</v>
      </c>
      <c r="T2688" s="198" t="s">
        <v>2272</v>
      </c>
      <c r="U2688" s="21">
        <f>200*0.068</f>
        <v>13.600000000000001</v>
      </c>
      <c r="V2688" s="198" t="s">
        <v>2272</v>
      </c>
      <c r="W2688" s="198" t="s">
        <v>2272</v>
      </c>
      <c r="X2688" s="198" t="s">
        <v>2272</v>
      </c>
      <c r="Y2688" s="21">
        <f>U2688/'Record info'!K$1146</f>
        <v>1.1584327086882455E-2</v>
      </c>
      <c r="Z2688" s="198" t="s">
        <v>2272</v>
      </c>
      <c r="AA2688" s="198" t="s">
        <v>67</v>
      </c>
      <c r="AB2688" s="198" t="s">
        <v>84</v>
      </c>
      <c r="AC2688" s="198" t="s">
        <v>75</v>
      </c>
      <c r="AD2688" s="198"/>
      <c r="AE2688" s="198"/>
    </row>
    <row r="2689" spans="1:31" ht="33.5" customHeight="1">
      <c r="A2689" s="4" t="s">
        <v>7381</v>
      </c>
      <c r="B2689" s="4" t="s">
        <v>7416</v>
      </c>
      <c r="C2689" s="198" t="s">
        <v>23</v>
      </c>
      <c r="D2689" s="198" t="s">
        <v>1238</v>
      </c>
      <c r="E2689" s="198" t="s">
        <v>3204</v>
      </c>
      <c r="F2689" s="4" t="s">
        <v>2272</v>
      </c>
      <c r="G2689" s="4" t="s">
        <v>2272</v>
      </c>
      <c r="H2689" s="198" t="s">
        <v>521</v>
      </c>
      <c r="I2689" s="198">
        <v>2006</v>
      </c>
      <c r="J2689" s="198" t="s">
        <v>2272</v>
      </c>
      <c r="K2689" s="198" t="s">
        <v>2272</v>
      </c>
      <c r="L2689" s="198" t="s">
        <v>2272</v>
      </c>
      <c r="M2689" s="198" t="s">
        <v>2272</v>
      </c>
      <c r="N2689" s="198" t="s">
        <v>2272</v>
      </c>
      <c r="O2689" s="198" t="s">
        <v>2272</v>
      </c>
      <c r="P2689" s="198" t="s">
        <v>2272</v>
      </c>
      <c r="Q2689" s="198" t="s">
        <v>2272</v>
      </c>
      <c r="R2689" s="198" t="s">
        <v>2272</v>
      </c>
      <c r="S2689" s="198" t="s">
        <v>2272</v>
      </c>
      <c r="T2689" s="198" t="s">
        <v>2272</v>
      </c>
      <c r="U2689" s="21">
        <f>200*0.075</f>
        <v>15</v>
      </c>
      <c r="V2689" s="198" t="s">
        <v>2272</v>
      </c>
      <c r="W2689" s="198" t="s">
        <v>2272</v>
      </c>
      <c r="X2689" s="198" t="s">
        <v>2272</v>
      </c>
      <c r="Y2689" s="21">
        <f>U2689/'Record info'!K$1147</f>
        <v>3.4658040665434381E-3</v>
      </c>
      <c r="Z2689" s="198" t="s">
        <v>2272</v>
      </c>
      <c r="AA2689" s="198" t="s">
        <v>67</v>
      </c>
      <c r="AB2689" s="198" t="s">
        <v>84</v>
      </c>
      <c r="AC2689" s="198" t="s">
        <v>75</v>
      </c>
      <c r="AD2689" s="198"/>
      <c r="AE2689" s="198"/>
    </row>
    <row r="2690" spans="1:31" ht="33.5" customHeight="1">
      <c r="A2690" s="4" t="s">
        <v>7382</v>
      </c>
      <c r="B2690" s="4" t="s">
        <v>7417</v>
      </c>
      <c r="C2690" s="198" t="s">
        <v>23</v>
      </c>
      <c r="D2690" s="198" t="s">
        <v>1238</v>
      </c>
      <c r="E2690" s="198" t="s">
        <v>3204</v>
      </c>
      <c r="F2690" s="4" t="s">
        <v>2272</v>
      </c>
      <c r="G2690" s="4" t="s">
        <v>2272</v>
      </c>
      <c r="H2690" s="198" t="s">
        <v>521</v>
      </c>
      <c r="I2690" s="198">
        <v>2006</v>
      </c>
      <c r="J2690" s="198" t="s">
        <v>2272</v>
      </c>
      <c r="K2690" s="198" t="s">
        <v>2272</v>
      </c>
      <c r="L2690" s="198" t="s">
        <v>2272</v>
      </c>
      <c r="M2690" s="198" t="s">
        <v>2272</v>
      </c>
      <c r="N2690" s="198" t="s">
        <v>2272</v>
      </c>
      <c r="O2690" s="198" t="s">
        <v>2272</v>
      </c>
      <c r="P2690" s="198" t="s">
        <v>2272</v>
      </c>
      <c r="Q2690" s="198" t="s">
        <v>2272</v>
      </c>
      <c r="R2690" s="198" t="s">
        <v>2272</v>
      </c>
      <c r="S2690" s="198" t="s">
        <v>2272</v>
      </c>
      <c r="T2690" s="198" t="s">
        <v>2272</v>
      </c>
      <c r="U2690" s="21">
        <f>200*0.111</f>
        <v>22.2</v>
      </c>
      <c r="V2690" s="198" t="s">
        <v>2272</v>
      </c>
      <c r="W2690" s="198" t="s">
        <v>2272</v>
      </c>
      <c r="X2690" s="198" t="s">
        <v>2272</v>
      </c>
      <c r="Y2690" s="21">
        <f>U2690/'Record info'!K$1148</f>
        <v>9.2693110647181619E-3</v>
      </c>
      <c r="Z2690" s="198" t="s">
        <v>2272</v>
      </c>
      <c r="AA2690" s="198" t="s">
        <v>67</v>
      </c>
      <c r="AB2690" s="198" t="s">
        <v>84</v>
      </c>
      <c r="AC2690" s="198" t="s">
        <v>75</v>
      </c>
      <c r="AD2690" s="198"/>
      <c r="AE2690" s="198"/>
    </row>
    <row r="2691" spans="1:31" ht="33.5" customHeight="1">
      <c r="A2691" s="4" t="s">
        <v>7383</v>
      </c>
      <c r="B2691" s="4" t="s">
        <v>7418</v>
      </c>
      <c r="C2691" s="198" t="s">
        <v>23</v>
      </c>
      <c r="D2691" s="198" t="s">
        <v>1238</v>
      </c>
      <c r="E2691" s="198" t="s">
        <v>3204</v>
      </c>
      <c r="F2691" s="4" t="s">
        <v>2272</v>
      </c>
      <c r="G2691" s="4" t="s">
        <v>2272</v>
      </c>
      <c r="H2691" s="198" t="s">
        <v>521</v>
      </c>
      <c r="I2691" s="198">
        <v>2006</v>
      </c>
      <c r="J2691" s="198" t="s">
        <v>2272</v>
      </c>
      <c r="K2691" s="198" t="s">
        <v>2272</v>
      </c>
      <c r="L2691" s="198" t="s">
        <v>2272</v>
      </c>
      <c r="M2691" s="198" t="s">
        <v>2272</v>
      </c>
      <c r="N2691" s="198" t="s">
        <v>2272</v>
      </c>
      <c r="O2691" s="198" t="s">
        <v>2272</v>
      </c>
      <c r="P2691" s="198" t="s">
        <v>2272</v>
      </c>
      <c r="Q2691" s="198" t="s">
        <v>2272</v>
      </c>
      <c r="R2691" s="198" t="s">
        <v>2272</v>
      </c>
      <c r="S2691" s="198" t="s">
        <v>2272</v>
      </c>
      <c r="T2691" s="198" t="s">
        <v>2272</v>
      </c>
      <c r="U2691" s="21">
        <f>200*0.106</f>
        <v>21.2</v>
      </c>
      <c r="V2691" s="198" t="s">
        <v>2272</v>
      </c>
      <c r="W2691" s="198" t="s">
        <v>2272</v>
      </c>
      <c r="X2691" s="198" t="s">
        <v>2272</v>
      </c>
      <c r="Y2691" s="21">
        <f>U2691/'Record info'!K$1149</f>
        <v>7.9311634867190416E-3</v>
      </c>
      <c r="Z2691" s="198" t="s">
        <v>2272</v>
      </c>
      <c r="AA2691" s="198" t="s">
        <v>67</v>
      </c>
      <c r="AB2691" s="198" t="s">
        <v>84</v>
      </c>
      <c r="AC2691" s="198" t="s">
        <v>75</v>
      </c>
      <c r="AD2691" s="198"/>
      <c r="AE2691" s="198"/>
    </row>
    <row r="2692" spans="1:31" ht="33.5" customHeight="1">
      <c r="A2692" s="4" t="s">
        <v>7384</v>
      </c>
      <c r="B2692" s="4" t="s">
        <v>7419</v>
      </c>
      <c r="C2692" s="198" t="s">
        <v>23</v>
      </c>
      <c r="D2692" s="198" t="s">
        <v>1238</v>
      </c>
      <c r="E2692" s="198" t="s">
        <v>3204</v>
      </c>
      <c r="F2692" s="4" t="s">
        <v>2272</v>
      </c>
      <c r="G2692" s="4" t="s">
        <v>2272</v>
      </c>
      <c r="H2692" s="198" t="s">
        <v>521</v>
      </c>
      <c r="I2692" s="198">
        <v>2006</v>
      </c>
      <c r="J2692" s="198" t="s">
        <v>2272</v>
      </c>
      <c r="K2692" s="198" t="s">
        <v>2272</v>
      </c>
      <c r="L2692" s="198" t="s">
        <v>2272</v>
      </c>
      <c r="M2692" s="198" t="s">
        <v>2272</v>
      </c>
      <c r="N2692" s="198" t="s">
        <v>2272</v>
      </c>
      <c r="O2692" s="198" t="s">
        <v>2272</v>
      </c>
      <c r="P2692" s="198" t="s">
        <v>2272</v>
      </c>
      <c r="Q2692" s="198" t="s">
        <v>2272</v>
      </c>
      <c r="R2692" s="198" t="s">
        <v>2272</v>
      </c>
      <c r="S2692" s="198" t="s">
        <v>2272</v>
      </c>
      <c r="T2692" s="198" t="s">
        <v>2272</v>
      </c>
      <c r="U2692" s="21">
        <f>200*0.166</f>
        <v>33.200000000000003</v>
      </c>
      <c r="V2692" s="198" t="s">
        <v>2272</v>
      </c>
      <c r="W2692" s="198" t="s">
        <v>2272</v>
      </c>
      <c r="X2692" s="198" t="s">
        <v>2272</v>
      </c>
      <c r="Y2692" s="21">
        <f>U2692/'Record info'!K$1150</f>
        <v>1.4722838137472286E-2</v>
      </c>
      <c r="Z2692" s="198" t="s">
        <v>2272</v>
      </c>
      <c r="AA2692" s="198" t="s">
        <v>67</v>
      </c>
      <c r="AB2692" s="198" t="s">
        <v>84</v>
      </c>
      <c r="AC2692" s="198" t="s">
        <v>75</v>
      </c>
      <c r="AD2692" s="198"/>
      <c r="AE2692" s="198"/>
    </row>
    <row r="2693" spans="1:31" ht="29" customHeight="1">
      <c r="A2693" s="4" t="s">
        <v>7282</v>
      </c>
      <c r="B2693" s="4" t="s">
        <v>7420</v>
      </c>
      <c r="C2693" s="198" t="s">
        <v>23</v>
      </c>
      <c r="D2693" s="198" t="s">
        <v>1238</v>
      </c>
      <c r="E2693" s="198" t="s">
        <v>3204</v>
      </c>
      <c r="F2693" s="4" t="s">
        <v>2272</v>
      </c>
      <c r="G2693" s="4" t="s">
        <v>2272</v>
      </c>
      <c r="H2693" s="198" t="s">
        <v>521</v>
      </c>
      <c r="I2693" s="198">
        <v>2007</v>
      </c>
      <c r="J2693" s="198" t="s">
        <v>2272</v>
      </c>
      <c r="K2693" s="198" t="s">
        <v>2272</v>
      </c>
      <c r="L2693" s="198" t="s">
        <v>2272</v>
      </c>
      <c r="M2693" s="198" t="s">
        <v>2272</v>
      </c>
      <c r="N2693" s="198" t="s">
        <v>2272</v>
      </c>
      <c r="O2693" s="198" t="s">
        <v>2272</v>
      </c>
      <c r="P2693" s="198" t="s">
        <v>2272</v>
      </c>
      <c r="Q2693" s="198" t="s">
        <v>2272</v>
      </c>
      <c r="R2693" s="198" t="s">
        <v>2272</v>
      </c>
      <c r="S2693" s="198" t="s">
        <v>2272</v>
      </c>
      <c r="T2693" s="198" t="s">
        <v>2272</v>
      </c>
      <c r="U2693" s="21">
        <f>550*0.027</f>
        <v>14.85</v>
      </c>
      <c r="V2693" s="198" t="s">
        <v>2272</v>
      </c>
      <c r="W2693" s="198" t="s">
        <v>2272</v>
      </c>
      <c r="X2693" s="198" t="s">
        <v>2272</v>
      </c>
      <c r="Y2693" s="21">
        <f>U2693/'Record info'!K$1133</f>
        <v>5.3035714285714283E-3</v>
      </c>
      <c r="Z2693" s="198" t="s">
        <v>2272</v>
      </c>
      <c r="AA2693" s="198" t="s">
        <v>67</v>
      </c>
      <c r="AB2693" s="198" t="s">
        <v>84</v>
      </c>
      <c r="AC2693" s="198" t="s">
        <v>75</v>
      </c>
      <c r="AD2693" s="198"/>
      <c r="AE2693" s="198"/>
    </row>
    <row r="2694" spans="1:31" ht="29" customHeight="1">
      <c r="A2694" s="4" t="s">
        <v>7368</v>
      </c>
      <c r="B2694" s="4" t="s">
        <v>7421</v>
      </c>
      <c r="C2694" s="198" t="s">
        <v>23</v>
      </c>
      <c r="D2694" s="198" t="s">
        <v>1238</v>
      </c>
      <c r="E2694" s="198" t="s">
        <v>3204</v>
      </c>
      <c r="F2694" s="4" t="s">
        <v>2272</v>
      </c>
      <c r="G2694" s="4" t="s">
        <v>2272</v>
      </c>
      <c r="H2694" s="198" t="s">
        <v>521</v>
      </c>
      <c r="I2694" s="198">
        <v>2007</v>
      </c>
      <c r="J2694" s="198" t="s">
        <v>2272</v>
      </c>
      <c r="K2694" s="198" t="s">
        <v>2272</v>
      </c>
      <c r="L2694" s="198" t="s">
        <v>2272</v>
      </c>
      <c r="M2694" s="198" t="s">
        <v>2272</v>
      </c>
      <c r="N2694" s="198" t="s">
        <v>2272</v>
      </c>
      <c r="O2694" s="198" t="s">
        <v>2272</v>
      </c>
      <c r="P2694" s="198" t="s">
        <v>2272</v>
      </c>
      <c r="Q2694" s="198" t="s">
        <v>2272</v>
      </c>
      <c r="R2694" s="198" t="s">
        <v>2272</v>
      </c>
      <c r="S2694" s="198" t="s">
        <v>2272</v>
      </c>
      <c r="T2694" s="198" t="s">
        <v>2272</v>
      </c>
      <c r="U2694" s="21">
        <f>550*0.041</f>
        <v>22.55</v>
      </c>
      <c r="V2694" s="198" t="s">
        <v>2272</v>
      </c>
      <c r="W2694" s="198" t="s">
        <v>2272</v>
      </c>
      <c r="X2694" s="198" t="s">
        <v>2272</v>
      </c>
      <c r="Y2694" s="21">
        <f>U2694/'Record info'!K$1134</f>
        <v>6.4153627311522047E-3</v>
      </c>
      <c r="Z2694" s="198" t="s">
        <v>2272</v>
      </c>
      <c r="AA2694" s="198" t="s">
        <v>67</v>
      </c>
      <c r="AB2694" s="198" t="s">
        <v>84</v>
      </c>
      <c r="AC2694" s="198" t="s">
        <v>75</v>
      </c>
      <c r="AD2694" s="198"/>
      <c r="AE2694" s="198"/>
    </row>
    <row r="2695" spans="1:31" ht="29" customHeight="1">
      <c r="A2695" s="4" t="s">
        <v>7369</v>
      </c>
      <c r="B2695" s="4" t="s">
        <v>7422</v>
      </c>
      <c r="C2695" s="198" t="s">
        <v>23</v>
      </c>
      <c r="D2695" s="198" t="s">
        <v>1238</v>
      </c>
      <c r="E2695" s="198" t="s">
        <v>3204</v>
      </c>
      <c r="F2695" s="4" t="s">
        <v>2272</v>
      </c>
      <c r="G2695" s="4" t="s">
        <v>2272</v>
      </c>
      <c r="H2695" s="198" t="s">
        <v>521</v>
      </c>
      <c r="I2695" s="198">
        <v>2007</v>
      </c>
      <c r="J2695" s="198" t="s">
        <v>2272</v>
      </c>
      <c r="K2695" s="198" t="s">
        <v>2272</v>
      </c>
      <c r="L2695" s="198" t="s">
        <v>2272</v>
      </c>
      <c r="M2695" s="198" t="s">
        <v>2272</v>
      </c>
      <c r="N2695" s="198" t="s">
        <v>2272</v>
      </c>
      <c r="O2695" s="198" t="s">
        <v>2272</v>
      </c>
      <c r="P2695" s="198" t="s">
        <v>2272</v>
      </c>
      <c r="Q2695" s="198" t="s">
        <v>2272</v>
      </c>
      <c r="R2695" s="198" t="s">
        <v>2272</v>
      </c>
      <c r="S2695" s="198" t="s">
        <v>2272</v>
      </c>
      <c r="T2695" s="198" t="s">
        <v>2272</v>
      </c>
      <c r="U2695" s="21">
        <f>550*0.004</f>
        <v>2.2000000000000002</v>
      </c>
      <c r="V2695" s="198" t="s">
        <v>2272</v>
      </c>
      <c r="W2695" s="198" t="s">
        <v>2272</v>
      </c>
      <c r="X2695" s="198" t="s">
        <v>2272</v>
      </c>
      <c r="Y2695" s="21">
        <f>U2695/'Record info'!K$1135</f>
        <v>3.260708463020602E-4</v>
      </c>
      <c r="Z2695" s="198" t="s">
        <v>2272</v>
      </c>
      <c r="AA2695" s="198" t="s">
        <v>67</v>
      </c>
      <c r="AB2695" s="198" t="s">
        <v>84</v>
      </c>
      <c r="AC2695" s="198" t="s">
        <v>75</v>
      </c>
      <c r="AD2695" s="198"/>
      <c r="AE2695" s="198"/>
    </row>
    <row r="2696" spans="1:31" ht="29" customHeight="1">
      <c r="A2696" s="4" t="s">
        <v>7370</v>
      </c>
      <c r="B2696" s="4" t="s">
        <v>7423</v>
      </c>
      <c r="C2696" s="198" t="s">
        <v>23</v>
      </c>
      <c r="D2696" s="198" t="s">
        <v>1238</v>
      </c>
      <c r="E2696" s="198" t="s">
        <v>3204</v>
      </c>
      <c r="F2696" s="4" t="s">
        <v>2272</v>
      </c>
      <c r="G2696" s="4" t="s">
        <v>2272</v>
      </c>
      <c r="H2696" s="198" t="s">
        <v>521</v>
      </c>
      <c r="I2696" s="198">
        <v>2007</v>
      </c>
      <c r="J2696" s="198" t="s">
        <v>2272</v>
      </c>
      <c r="K2696" s="198" t="s">
        <v>2272</v>
      </c>
      <c r="L2696" s="198" t="s">
        <v>2272</v>
      </c>
      <c r="M2696" s="198" t="s">
        <v>2272</v>
      </c>
      <c r="N2696" s="198" t="s">
        <v>2272</v>
      </c>
      <c r="O2696" s="198" t="s">
        <v>2272</v>
      </c>
      <c r="P2696" s="198" t="s">
        <v>2272</v>
      </c>
      <c r="Q2696" s="198" t="s">
        <v>2272</v>
      </c>
      <c r="R2696" s="198" t="s">
        <v>2272</v>
      </c>
      <c r="S2696" s="198" t="s">
        <v>2272</v>
      </c>
      <c r="T2696" s="198" t="s">
        <v>2272</v>
      </c>
      <c r="U2696" s="21">
        <f>550*0.004</f>
        <v>2.2000000000000002</v>
      </c>
      <c r="V2696" s="198" t="s">
        <v>2272</v>
      </c>
      <c r="W2696" s="198" t="s">
        <v>2272</v>
      </c>
      <c r="X2696" s="198" t="s">
        <v>2272</v>
      </c>
      <c r="Y2696" s="21">
        <f>U2696/'Record info'!K$1136</f>
        <v>4.3443917851500796E-4</v>
      </c>
      <c r="Z2696" s="198" t="s">
        <v>2272</v>
      </c>
      <c r="AA2696" s="198" t="s">
        <v>67</v>
      </c>
      <c r="AB2696" s="198" t="s">
        <v>84</v>
      </c>
      <c r="AC2696" s="198" t="s">
        <v>75</v>
      </c>
      <c r="AD2696" s="198"/>
      <c r="AE2696" s="198"/>
    </row>
    <row r="2697" spans="1:31" ht="29" customHeight="1">
      <c r="A2697" s="4" t="s">
        <v>7371</v>
      </c>
      <c r="B2697" s="4" t="s">
        <v>7424</v>
      </c>
      <c r="C2697" s="198" t="s">
        <v>23</v>
      </c>
      <c r="D2697" s="198" t="s">
        <v>1238</v>
      </c>
      <c r="E2697" s="198" t="s">
        <v>3204</v>
      </c>
      <c r="F2697" s="4" t="s">
        <v>2272</v>
      </c>
      <c r="G2697" s="4" t="s">
        <v>2272</v>
      </c>
      <c r="H2697" s="198" t="s">
        <v>522</v>
      </c>
      <c r="I2697" s="198">
        <v>2007</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v>0</v>
      </c>
      <c r="Y2697" s="21">
        <f>U2697/'Record info'!K$1137</f>
        <v>0</v>
      </c>
      <c r="Z2697" s="198" t="s">
        <v>2272</v>
      </c>
      <c r="AA2697" s="198" t="s">
        <v>67</v>
      </c>
      <c r="AB2697" s="198" t="s">
        <v>84</v>
      </c>
      <c r="AC2697" s="198" t="s">
        <v>75</v>
      </c>
      <c r="AD2697" s="198"/>
      <c r="AE2697" s="198"/>
    </row>
    <row r="2698" spans="1:31" ht="29" customHeight="1">
      <c r="A2698" s="4" t="s">
        <v>7372</v>
      </c>
      <c r="B2698" s="4" t="s">
        <v>7425</v>
      </c>
      <c r="C2698" s="198" t="s">
        <v>23</v>
      </c>
      <c r="D2698" s="198" t="s">
        <v>1238</v>
      </c>
      <c r="E2698" s="198" t="s">
        <v>3204</v>
      </c>
      <c r="F2698" s="4" t="s">
        <v>2272</v>
      </c>
      <c r="G2698" s="4" t="s">
        <v>2272</v>
      </c>
      <c r="H2698" s="198" t="s">
        <v>522</v>
      </c>
      <c r="I2698" s="198">
        <v>2007</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v>0</v>
      </c>
      <c r="Y2698" s="21">
        <f>U2698/'Record info'!K$1138</f>
        <v>0</v>
      </c>
      <c r="Z2698" s="198" t="s">
        <v>2272</v>
      </c>
      <c r="AA2698" s="198" t="s">
        <v>67</v>
      </c>
      <c r="AB2698" s="198" t="s">
        <v>84</v>
      </c>
      <c r="AC2698" s="198" t="s">
        <v>75</v>
      </c>
      <c r="AD2698" s="198"/>
      <c r="AE2698" s="198"/>
    </row>
    <row r="2699" spans="1:31" ht="29" customHeight="1">
      <c r="A2699" s="4" t="s">
        <v>7373</v>
      </c>
      <c r="B2699" s="4" t="s">
        <v>7426</v>
      </c>
      <c r="C2699" s="198" t="s">
        <v>23</v>
      </c>
      <c r="D2699" s="198" t="s">
        <v>1238</v>
      </c>
      <c r="E2699" s="198" t="s">
        <v>3204</v>
      </c>
      <c r="F2699" s="4" t="s">
        <v>2272</v>
      </c>
      <c r="G2699" s="4" t="s">
        <v>2272</v>
      </c>
      <c r="H2699" s="198" t="s">
        <v>522</v>
      </c>
      <c r="I2699" s="198">
        <v>2007</v>
      </c>
      <c r="J2699" s="21">
        <v>0</v>
      </c>
      <c r="K2699" s="21">
        <v>0</v>
      </c>
      <c r="L2699" s="21">
        <v>0</v>
      </c>
      <c r="M2699" s="21">
        <v>0</v>
      </c>
      <c r="N2699" s="21">
        <v>0</v>
      </c>
      <c r="O2699" s="21">
        <v>0</v>
      </c>
      <c r="P2699" s="21">
        <v>0</v>
      </c>
      <c r="Q2699" s="21">
        <v>0</v>
      </c>
      <c r="R2699" s="21">
        <v>0</v>
      </c>
      <c r="S2699" s="21">
        <v>0</v>
      </c>
      <c r="T2699" s="21">
        <v>0</v>
      </c>
      <c r="U2699" s="21">
        <v>0</v>
      </c>
      <c r="V2699" s="21">
        <v>0</v>
      </c>
      <c r="W2699" s="21">
        <v>0</v>
      </c>
      <c r="X2699" s="21">
        <v>0</v>
      </c>
      <c r="Y2699" s="21">
        <f>U2699/'Record info'!K$1139</f>
        <v>0</v>
      </c>
      <c r="Z2699" s="198" t="s">
        <v>2272</v>
      </c>
      <c r="AA2699" s="198" t="s">
        <v>67</v>
      </c>
      <c r="AB2699" s="198" t="s">
        <v>84</v>
      </c>
      <c r="AC2699" s="198" t="s">
        <v>75</v>
      </c>
      <c r="AD2699" s="198"/>
      <c r="AE2699" s="198"/>
    </row>
    <row r="2700" spans="1:31" ht="29" customHeight="1">
      <c r="A2700" s="4" t="s">
        <v>7374</v>
      </c>
      <c r="B2700" s="4" t="s">
        <v>7427</v>
      </c>
      <c r="C2700" s="198" t="s">
        <v>23</v>
      </c>
      <c r="D2700" s="198" t="s">
        <v>1238</v>
      </c>
      <c r="E2700" s="198" t="s">
        <v>3204</v>
      </c>
      <c r="F2700" s="4" t="s">
        <v>2272</v>
      </c>
      <c r="G2700" s="4" t="s">
        <v>2272</v>
      </c>
      <c r="H2700" s="198" t="s">
        <v>521</v>
      </c>
      <c r="I2700" s="198">
        <v>2007</v>
      </c>
      <c r="J2700" s="198" t="s">
        <v>2272</v>
      </c>
      <c r="K2700" s="198" t="s">
        <v>2272</v>
      </c>
      <c r="L2700" s="198" t="s">
        <v>2272</v>
      </c>
      <c r="M2700" s="198" t="s">
        <v>2272</v>
      </c>
      <c r="N2700" s="198" t="s">
        <v>2272</v>
      </c>
      <c r="O2700" s="198" t="s">
        <v>2272</v>
      </c>
      <c r="P2700" s="198" t="s">
        <v>2272</v>
      </c>
      <c r="Q2700" s="198" t="s">
        <v>2272</v>
      </c>
      <c r="R2700" s="198" t="s">
        <v>2272</v>
      </c>
      <c r="S2700" s="198" t="s">
        <v>2272</v>
      </c>
      <c r="T2700" s="198" t="s">
        <v>2272</v>
      </c>
      <c r="U2700" s="21">
        <f>550*0.035</f>
        <v>19.250000000000004</v>
      </c>
      <c r="V2700" s="198" t="s">
        <v>2272</v>
      </c>
      <c r="W2700" s="198" t="s">
        <v>2272</v>
      </c>
      <c r="X2700" s="198" t="s">
        <v>2272</v>
      </c>
      <c r="Y2700" s="21">
        <f>U2700/'Record info'!K$1140</f>
        <v>3.1739488870568843E-3</v>
      </c>
      <c r="Z2700" s="198" t="s">
        <v>2272</v>
      </c>
      <c r="AA2700" s="198" t="s">
        <v>67</v>
      </c>
      <c r="AB2700" s="198" t="s">
        <v>84</v>
      </c>
      <c r="AC2700" s="198" t="s">
        <v>75</v>
      </c>
      <c r="AD2700" s="198"/>
      <c r="AE2700" s="198"/>
    </row>
    <row r="2701" spans="1:31" ht="29" customHeight="1">
      <c r="A2701" s="4" t="s">
        <v>7375</v>
      </c>
      <c r="B2701" s="4" t="s">
        <v>7428</v>
      </c>
      <c r="C2701" s="198" t="s">
        <v>23</v>
      </c>
      <c r="D2701" s="198" t="s">
        <v>1238</v>
      </c>
      <c r="E2701" s="198" t="s">
        <v>3204</v>
      </c>
      <c r="F2701" s="4" t="s">
        <v>2272</v>
      </c>
      <c r="G2701" s="4" t="s">
        <v>2272</v>
      </c>
      <c r="H2701" s="198" t="s">
        <v>521</v>
      </c>
      <c r="I2701" s="198">
        <v>2007</v>
      </c>
      <c r="J2701" s="198" t="s">
        <v>2272</v>
      </c>
      <c r="K2701" s="198" t="s">
        <v>2272</v>
      </c>
      <c r="L2701" s="198" t="s">
        <v>2272</v>
      </c>
      <c r="M2701" s="198" t="s">
        <v>2272</v>
      </c>
      <c r="N2701" s="198" t="s">
        <v>2272</v>
      </c>
      <c r="O2701" s="198" t="s">
        <v>2272</v>
      </c>
      <c r="P2701" s="198" t="s">
        <v>2272</v>
      </c>
      <c r="Q2701" s="198" t="s">
        <v>2272</v>
      </c>
      <c r="R2701" s="198" t="s">
        <v>2272</v>
      </c>
      <c r="S2701" s="198" t="s">
        <v>2272</v>
      </c>
      <c r="T2701" s="198" t="s">
        <v>2272</v>
      </c>
      <c r="U2701" s="21">
        <f>550*0.079</f>
        <v>43.45</v>
      </c>
      <c r="V2701" s="198" t="s">
        <v>2272</v>
      </c>
      <c r="W2701" s="198" t="s">
        <v>2272</v>
      </c>
      <c r="X2701" s="198" t="s">
        <v>2272</v>
      </c>
      <c r="Y2701" s="21">
        <f>U2701/'Record info'!K$1141</f>
        <v>6.50936329588015E-3</v>
      </c>
      <c r="Z2701" s="198" t="s">
        <v>2272</v>
      </c>
      <c r="AA2701" s="198" t="s">
        <v>67</v>
      </c>
      <c r="AB2701" s="198" t="s">
        <v>84</v>
      </c>
      <c r="AC2701" s="198" t="s">
        <v>75</v>
      </c>
      <c r="AD2701" s="198"/>
      <c r="AE2701" s="198"/>
    </row>
    <row r="2702" spans="1:31" ht="29" customHeight="1">
      <c r="A2702" s="4" t="s">
        <v>7376</v>
      </c>
      <c r="B2702" s="4" t="s">
        <v>7429</v>
      </c>
      <c r="C2702" s="198" t="s">
        <v>23</v>
      </c>
      <c r="D2702" s="198" t="s">
        <v>1238</v>
      </c>
      <c r="E2702" s="198" t="s">
        <v>3204</v>
      </c>
      <c r="F2702" s="4" t="s">
        <v>2272</v>
      </c>
      <c r="G2702" s="4" t="s">
        <v>2272</v>
      </c>
      <c r="H2702" s="198" t="s">
        <v>521</v>
      </c>
      <c r="I2702" s="198">
        <v>2007</v>
      </c>
      <c r="J2702" s="198" t="s">
        <v>2272</v>
      </c>
      <c r="K2702" s="198" t="s">
        <v>2272</v>
      </c>
      <c r="L2702" s="198" t="s">
        <v>2272</v>
      </c>
      <c r="M2702" s="198" t="s">
        <v>2272</v>
      </c>
      <c r="N2702" s="198" t="s">
        <v>2272</v>
      </c>
      <c r="O2702" s="198" t="s">
        <v>2272</v>
      </c>
      <c r="P2702" s="198" t="s">
        <v>2272</v>
      </c>
      <c r="Q2702" s="198" t="s">
        <v>2272</v>
      </c>
      <c r="R2702" s="198" t="s">
        <v>2272</v>
      </c>
      <c r="S2702" s="198" t="s">
        <v>2272</v>
      </c>
      <c r="T2702" s="198" t="s">
        <v>2272</v>
      </c>
      <c r="U2702" s="21">
        <f>550*0.132</f>
        <v>72.600000000000009</v>
      </c>
      <c r="V2702" s="198" t="s">
        <v>2272</v>
      </c>
      <c r="W2702" s="198" t="s">
        <v>2272</v>
      </c>
      <c r="X2702" s="198" t="s">
        <v>2272</v>
      </c>
      <c r="Y2702" s="21">
        <f>U2702/'Record info'!K$1142</f>
        <v>1.3156940920623417E-2</v>
      </c>
      <c r="Z2702" s="198" t="s">
        <v>2272</v>
      </c>
      <c r="AA2702" s="198" t="s">
        <v>67</v>
      </c>
      <c r="AB2702" s="198" t="s">
        <v>84</v>
      </c>
      <c r="AC2702" s="198" t="s">
        <v>75</v>
      </c>
      <c r="AD2702" s="198"/>
      <c r="AE2702" s="198"/>
    </row>
    <row r="2703" spans="1:31" ht="29" customHeight="1">
      <c r="A2703" s="4" t="s">
        <v>7377</v>
      </c>
      <c r="B2703" s="4" t="s">
        <v>7430</v>
      </c>
      <c r="C2703" s="198" t="s">
        <v>23</v>
      </c>
      <c r="D2703" s="198" t="s">
        <v>1238</v>
      </c>
      <c r="E2703" s="198" t="s">
        <v>3204</v>
      </c>
      <c r="F2703" s="4" t="s">
        <v>2272</v>
      </c>
      <c r="G2703" s="4" t="s">
        <v>2272</v>
      </c>
      <c r="H2703" s="198" t="s">
        <v>521</v>
      </c>
      <c r="I2703" s="198">
        <v>2007</v>
      </c>
      <c r="J2703" s="198" t="s">
        <v>2272</v>
      </c>
      <c r="K2703" s="198" t="s">
        <v>2272</v>
      </c>
      <c r="L2703" s="198" t="s">
        <v>2272</v>
      </c>
      <c r="M2703" s="198" t="s">
        <v>2272</v>
      </c>
      <c r="N2703" s="198" t="s">
        <v>2272</v>
      </c>
      <c r="O2703" s="198" t="s">
        <v>2272</v>
      </c>
      <c r="P2703" s="198" t="s">
        <v>2272</v>
      </c>
      <c r="Q2703" s="198" t="s">
        <v>2272</v>
      </c>
      <c r="R2703" s="198" t="s">
        <v>2272</v>
      </c>
      <c r="S2703" s="198" t="s">
        <v>2272</v>
      </c>
      <c r="T2703" s="198" t="s">
        <v>2272</v>
      </c>
      <c r="U2703" s="21">
        <f>550*0.057</f>
        <v>31.35</v>
      </c>
      <c r="V2703" s="198" t="s">
        <v>2272</v>
      </c>
      <c r="W2703" s="198" t="s">
        <v>2272</v>
      </c>
      <c r="X2703" s="198" t="s">
        <v>2272</v>
      </c>
      <c r="Y2703" s="21">
        <f>U2703/'Record info'!K$1143</f>
        <v>7.9427413225234365E-3</v>
      </c>
      <c r="Z2703" s="198" t="s">
        <v>2272</v>
      </c>
      <c r="AA2703" s="198" t="s">
        <v>67</v>
      </c>
      <c r="AB2703" s="198" t="s">
        <v>84</v>
      </c>
      <c r="AC2703" s="198" t="s">
        <v>75</v>
      </c>
      <c r="AD2703" s="198"/>
      <c r="AE2703" s="198"/>
    </row>
    <row r="2704" spans="1:31" ht="29" customHeight="1">
      <c r="A2704" s="4" t="s">
        <v>7378</v>
      </c>
      <c r="B2704" s="4" t="s">
        <v>7431</v>
      </c>
      <c r="C2704" s="198" t="s">
        <v>23</v>
      </c>
      <c r="D2704" s="198" t="s">
        <v>1238</v>
      </c>
      <c r="E2704" s="198" t="s">
        <v>3204</v>
      </c>
      <c r="F2704" s="4" t="s">
        <v>2272</v>
      </c>
      <c r="G2704" s="4" t="s">
        <v>2272</v>
      </c>
      <c r="H2704" s="198" t="s">
        <v>521</v>
      </c>
      <c r="I2704" s="198">
        <v>2007</v>
      </c>
      <c r="J2704" s="198" t="s">
        <v>2272</v>
      </c>
      <c r="K2704" s="198" t="s">
        <v>2272</v>
      </c>
      <c r="L2704" s="198" t="s">
        <v>2272</v>
      </c>
      <c r="M2704" s="198" t="s">
        <v>2272</v>
      </c>
      <c r="N2704" s="198" t="s">
        <v>2272</v>
      </c>
      <c r="O2704" s="198" t="s">
        <v>2272</v>
      </c>
      <c r="P2704" s="198" t="s">
        <v>2272</v>
      </c>
      <c r="Q2704" s="198" t="s">
        <v>2272</v>
      </c>
      <c r="R2704" s="198" t="s">
        <v>2272</v>
      </c>
      <c r="S2704" s="198" t="s">
        <v>2272</v>
      </c>
      <c r="T2704" s="198" t="s">
        <v>2272</v>
      </c>
      <c r="U2704" s="21">
        <f>550*0.024</f>
        <v>13.200000000000001</v>
      </c>
      <c r="V2704" s="198" t="s">
        <v>2272</v>
      </c>
      <c r="W2704" s="198" t="s">
        <v>2272</v>
      </c>
      <c r="X2704" s="198" t="s">
        <v>2272</v>
      </c>
      <c r="Y2704" s="21">
        <f>U2704/'Record info'!K$1144</f>
        <v>4.7008547008547015E-3</v>
      </c>
      <c r="Z2704" s="198" t="s">
        <v>2272</v>
      </c>
      <c r="AA2704" s="198" t="s">
        <v>67</v>
      </c>
      <c r="AB2704" s="198" t="s">
        <v>84</v>
      </c>
      <c r="AC2704" s="198" t="s">
        <v>75</v>
      </c>
      <c r="AD2704" s="198"/>
      <c r="AE2704" s="198"/>
    </row>
    <row r="2705" spans="1:31" ht="29" customHeight="1">
      <c r="A2705" s="4" t="s">
        <v>7379</v>
      </c>
      <c r="B2705" s="4" t="s">
        <v>7432</v>
      </c>
      <c r="C2705" s="198" t="s">
        <v>23</v>
      </c>
      <c r="D2705" s="198" t="s">
        <v>1238</v>
      </c>
      <c r="E2705" s="198" t="s">
        <v>3204</v>
      </c>
      <c r="F2705" s="4" t="s">
        <v>2272</v>
      </c>
      <c r="G2705" s="4" t="s">
        <v>2272</v>
      </c>
      <c r="H2705" s="198" t="s">
        <v>521</v>
      </c>
      <c r="I2705" s="198">
        <v>2007</v>
      </c>
      <c r="J2705" s="198" t="s">
        <v>2272</v>
      </c>
      <c r="K2705" s="198" t="s">
        <v>2272</v>
      </c>
      <c r="L2705" s="198" t="s">
        <v>2272</v>
      </c>
      <c r="M2705" s="198" t="s">
        <v>2272</v>
      </c>
      <c r="N2705" s="198" t="s">
        <v>2272</v>
      </c>
      <c r="O2705" s="198" t="s">
        <v>2272</v>
      </c>
      <c r="P2705" s="198" t="s">
        <v>2272</v>
      </c>
      <c r="Q2705" s="198" t="s">
        <v>2272</v>
      </c>
      <c r="R2705" s="198" t="s">
        <v>2272</v>
      </c>
      <c r="S2705" s="198" t="s">
        <v>2272</v>
      </c>
      <c r="T2705" s="198" t="s">
        <v>2272</v>
      </c>
      <c r="U2705" s="21">
        <f>550*0.072</f>
        <v>39.599999999999994</v>
      </c>
      <c r="V2705" s="198" t="s">
        <v>2272</v>
      </c>
      <c r="W2705" s="198" t="s">
        <v>2272</v>
      </c>
      <c r="X2705" s="198" t="s">
        <v>2272</v>
      </c>
      <c r="Y2705" s="21">
        <f>U2705/'Record info'!K$1145</f>
        <v>7.9089275014979019E-3</v>
      </c>
      <c r="Z2705" s="198" t="s">
        <v>2272</v>
      </c>
      <c r="AA2705" s="198" t="s">
        <v>67</v>
      </c>
      <c r="AB2705" s="198" t="s">
        <v>84</v>
      </c>
      <c r="AC2705" s="198" t="s">
        <v>75</v>
      </c>
      <c r="AD2705" s="198"/>
      <c r="AE2705" s="198"/>
    </row>
    <row r="2706" spans="1:31" ht="29" customHeight="1">
      <c r="A2706" s="4" t="s">
        <v>7380</v>
      </c>
      <c r="B2706" s="4" t="s">
        <v>7433</v>
      </c>
      <c r="C2706" s="198" t="s">
        <v>23</v>
      </c>
      <c r="D2706" s="198" t="s">
        <v>1238</v>
      </c>
      <c r="E2706" s="198" t="s">
        <v>3204</v>
      </c>
      <c r="F2706" s="4" t="s">
        <v>2272</v>
      </c>
      <c r="G2706" s="4" t="s">
        <v>2272</v>
      </c>
      <c r="H2706" s="198" t="s">
        <v>521</v>
      </c>
      <c r="I2706" s="198">
        <v>2007</v>
      </c>
      <c r="J2706" s="198" t="s">
        <v>2272</v>
      </c>
      <c r="K2706" s="198" t="s">
        <v>2272</v>
      </c>
      <c r="L2706" s="198" t="s">
        <v>2272</v>
      </c>
      <c r="M2706" s="198" t="s">
        <v>2272</v>
      </c>
      <c r="N2706" s="198" t="s">
        <v>2272</v>
      </c>
      <c r="O2706" s="198" t="s">
        <v>2272</v>
      </c>
      <c r="P2706" s="198" t="s">
        <v>2272</v>
      </c>
      <c r="Q2706" s="198" t="s">
        <v>2272</v>
      </c>
      <c r="R2706" s="198" t="s">
        <v>2272</v>
      </c>
      <c r="S2706" s="198" t="s">
        <v>2272</v>
      </c>
      <c r="T2706" s="198" t="s">
        <v>2272</v>
      </c>
      <c r="U2706" s="21">
        <f>550*0.068</f>
        <v>37.400000000000006</v>
      </c>
      <c r="V2706" s="198" t="s">
        <v>2272</v>
      </c>
      <c r="W2706" s="198" t="s">
        <v>2272</v>
      </c>
      <c r="X2706" s="198" t="s">
        <v>2272</v>
      </c>
      <c r="Y2706" s="21">
        <f>U2706/'Record info'!K$1146</f>
        <v>3.1856899488926754E-2</v>
      </c>
      <c r="Z2706" s="198" t="s">
        <v>2272</v>
      </c>
      <c r="AA2706" s="198" t="s">
        <v>67</v>
      </c>
      <c r="AB2706" s="198" t="s">
        <v>84</v>
      </c>
      <c r="AC2706" s="198" t="s">
        <v>75</v>
      </c>
      <c r="AD2706" s="198"/>
      <c r="AE2706" s="198"/>
    </row>
    <row r="2707" spans="1:31" ht="29" customHeight="1">
      <c r="A2707" s="4" t="s">
        <v>7381</v>
      </c>
      <c r="B2707" s="4" t="s">
        <v>7434</v>
      </c>
      <c r="C2707" s="198" t="s">
        <v>23</v>
      </c>
      <c r="D2707" s="198" t="s">
        <v>1238</v>
      </c>
      <c r="E2707" s="198" t="s">
        <v>3204</v>
      </c>
      <c r="F2707" s="4" t="s">
        <v>2272</v>
      </c>
      <c r="G2707" s="4" t="s">
        <v>2272</v>
      </c>
      <c r="H2707" s="198" t="s">
        <v>521</v>
      </c>
      <c r="I2707" s="198">
        <v>2007</v>
      </c>
      <c r="J2707" s="198" t="s">
        <v>2272</v>
      </c>
      <c r="K2707" s="198" t="s">
        <v>2272</v>
      </c>
      <c r="L2707" s="198" t="s">
        <v>2272</v>
      </c>
      <c r="M2707" s="198" t="s">
        <v>2272</v>
      </c>
      <c r="N2707" s="198" t="s">
        <v>2272</v>
      </c>
      <c r="O2707" s="198" t="s">
        <v>2272</v>
      </c>
      <c r="P2707" s="198" t="s">
        <v>2272</v>
      </c>
      <c r="Q2707" s="198" t="s">
        <v>2272</v>
      </c>
      <c r="R2707" s="198" t="s">
        <v>2272</v>
      </c>
      <c r="S2707" s="198" t="s">
        <v>2272</v>
      </c>
      <c r="T2707" s="198" t="s">
        <v>2272</v>
      </c>
      <c r="U2707" s="21">
        <f>550*0.075</f>
        <v>41.25</v>
      </c>
      <c r="V2707" s="198" t="s">
        <v>2272</v>
      </c>
      <c r="W2707" s="198" t="s">
        <v>2272</v>
      </c>
      <c r="X2707" s="198" t="s">
        <v>2272</v>
      </c>
      <c r="Y2707" s="21">
        <f>U2707/'Record info'!K$1147</f>
        <v>9.5309611829944539E-3</v>
      </c>
      <c r="Z2707" s="198" t="s">
        <v>2272</v>
      </c>
      <c r="AA2707" s="198" t="s">
        <v>67</v>
      </c>
      <c r="AB2707" s="198" t="s">
        <v>84</v>
      </c>
      <c r="AC2707" s="198" t="s">
        <v>75</v>
      </c>
      <c r="AD2707" s="198"/>
      <c r="AE2707" s="198"/>
    </row>
    <row r="2708" spans="1:31" ht="29" customHeight="1">
      <c r="A2708" s="4" t="s">
        <v>7382</v>
      </c>
      <c r="B2708" s="4" t="s">
        <v>7435</v>
      </c>
      <c r="C2708" s="198" t="s">
        <v>23</v>
      </c>
      <c r="D2708" s="198" t="s">
        <v>1238</v>
      </c>
      <c r="E2708" s="198" t="s">
        <v>3204</v>
      </c>
      <c r="F2708" s="4" t="s">
        <v>2272</v>
      </c>
      <c r="G2708" s="4" t="s">
        <v>2272</v>
      </c>
      <c r="H2708" s="198" t="s">
        <v>521</v>
      </c>
      <c r="I2708" s="198">
        <v>2007</v>
      </c>
      <c r="J2708" s="198" t="s">
        <v>2272</v>
      </c>
      <c r="K2708" s="198" t="s">
        <v>2272</v>
      </c>
      <c r="L2708" s="198" t="s">
        <v>2272</v>
      </c>
      <c r="M2708" s="198" t="s">
        <v>2272</v>
      </c>
      <c r="N2708" s="198" t="s">
        <v>2272</v>
      </c>
      <c r="O2708" s="198" t="s">
        <v>2272</v>
      </c>
      <c r="P2708" s="198" t="s">
        <v>2272</v>
      </c>
      <c r="Q2708" s="198" t="s">
        <v>2272</v>
      </c>
      <c r="R2708" s="198" t="s">
        <v>2272</v>
      </c>
      <c r="S2708" s="198" t="s">
        <v>2272</v>
      </c>
      <c r="T2708" s="198" t="s">
        <v>2272</v>
      </c>
      <c r="U2708" s="21">
        <f>550*0.111</f>
        <v>61.050000000000004</v>
      </c>
      <c r="V2708" s="198" t="s">
        <v>2272</v>
      </c>
      <c r="W2708" s="198" t="s">
        <v>2272</v>
      </c>
      <c r="X2708" s="198" t="s">
        <v>2272</v>
      </c>
      <c r="Y2708" s="21">
        <f>U2708/'Record info'!K$1148</f>
        <v>2.549060542797495E-2</v>
      </c>
      <c r="Z2708" s="198" t="s">
        <v>2272</v>
      </c>
      <c r="AA2708" s="198" t="s">
        <v>67</v>
      </c>
      <c r="AB2708" s="198" t="s">
        <v>84</v>
      </c>
      <c r="AC2708" s="198" t="s">
        <v>75</v>
      </c>
      <c r="AD2708" s="198"/>
      <c r="AE2708" s="198"/>
    </row>
    <row r="2709" spans="1:31" ht="29" customHeight="1">
      <c r="A2709" s="4" t="s">
        <v>7383</v>
      </c>
      <c r="B2709" s="4" t="s">
        <v>7436</v>
      </c>
      <c r="C2709" s="198" t="s">
        <v>23</v>
      </c>
      <c r="D2709" s="198" t="s">
        <v>1238</v>
      </c>
      <c r="E2709" s="198" t="s">
        <v>3204</v>
      </c>
      <c r="F2709" s="4" t="s">
        <v>2272</v>
      </c>
      <c r="G2709" s="4" t="s">
        <v>2272</v>
      </c>
      <c r="H2709" s="198" t="s">
        <v>521</v>
      </c>
      <c r="I2709" s="198">
        <v>2007</v>
      </c>
      <c r="J2709" s="198" t="s">
        <v>2272</v>
      </c>
      <c r="K2709" s="198" t="s">
        <v>2272</v>
      </c>
      <c r="L2709" s="198" t="s">
        <v>2272</v>
      </c>
      <c r="M2709" s="198" t="s">
        <v>2272</v>
      </c>
      <c r="N2709" s="198" t="s">
        <v>2272</v>
      </c>
      <c r="O2709" s="198" t="s">
        <v>2272</v>
      </c>
      <c r="P2709" s="198" t="s">
        <v>2272</v>
      </c>
      <c r="Q2709" s="198" t="s">
        <v>2272</v>
      </c>
      <c r="R2709" s="198" t="s">
        <v>2272</v>
      </c>
      <c r="S2709" s="198" t="s">
        <v>2272</v>
      </c>
      <c r="T2709" s="198" t="s">
        <v>2272</v>
      </c>
      <c r="U2709" s="21">
        <f>550*0.106</f>
        <v>58.3</v>
      </c>
      <c r="V2709" s="198" t="s">
        <v>2272</v>
      </c>
      <c r="W2709" s="198" t="s">
        <v>2272</v>
      </c>
      <c r="X2709" s="198" t="s">
        <v>2272</v>
      </c>
      <c r="Y2709" s="21">
        <f>U2709/'Record info'!K$1149</f>
        <v>2.1810699588477367E-2</v>
      </c>
      <c r="Z2709" s="198" t="s">
        <v>2272</v>
      </c>
      <c r="AA2709" s="198" t="s">
        <v>67</v>
      </c>
      <c r="AB2709" s="198" t="s">
        <v>84</v>
      </c>
      <c r="AC2709" s="198" t="s">
        <v>75</v>
      </c>
      <c r="AD2709" s="198"/>
      <c r="AE2709" s="198"/>
    </row>
    <row r="2710" spans="1:31" ht="29" customHeight="1">
      <c r="A2710" s="4" t="s">
        <v>7384</v>
      </c>
      <c r="B2710" s="4" t="s">
        <v>7437</v>
      </c>
      <c r="C2710" s="198" t="s">
        <v>23</v>
      </c>
      <c r="D2710" s="198" t="s">
        <v>1238</v>
      </c>
      <c r="E2710" s="198" t="s">
        <v>3204</v>
      </c>
      <c r="F2710" s="4" t="s">
        <v>2272</v>
      </c>
      <c r="G2710" s="4" t="s">
        <v>2272</v>
      </c>
      <c r="H2710" s="198" t="s">
        <v>521</v>
      </c>
      <c r="I2710" s="198">
        <v>2007</v>
      </c>
      <c r="J2710" s="198" t="s">
        <v>2272</v>
      </c>
      <c r="K2710" s="198" t="s">
        <v>2272</v>
      </c>
      <c r="L2710" s="198" t="s">
        <v>2272</v>
      </c>
      <c r="M2710" s="198" t="s">
        <v>2272</v>
      </c>
      <c r="N2710" s="198" t="s">
        <v>2272</v>
      </c>
      <c r="O2710" s="198" t="s">
        <v>2272</v>
      </c>
      <c r="P2710" s="198" t="s">
        <v>2272</v>
      </c>
      <c r="Q2710" s="198" t="s">
        <v>2272</v>
      </c>
      <c r="R2710" s="198" t="s">
        <v>2272</v>
      </c>
      <c r="S2710" s="198" t="s">
        <v>2272</v>
      </c>
      <c r="T2710" s="198" t="s">
        <v>2272</v>
      </c>
      <c r="U2710" s="21">
        <f>550*0.166</f>
        <v>91.300000000000011</v>
      </c>
      <c r="V2710" s="198" t="s">
        <v>2272</v>
      </c>
      <c r="W2710" s="198" t="s">
        <v>2272</v>
      </c>
      <c r="X2710" s="198" t="s">
        <v>2272</v>
      </c>
      <c r="Y2710" s="21">
        <f>U2710/'Record info'!K$1150</f>
        <v>4.0487804878048789E-2</v>
      </c>
      <c r="Z2710" s="198" t="s">
        <v>2272</v>
      </c>
      <c r="AA2710" s="198" t="s">
        <v>67</v>
      </c>
      <c r="AB2710" s="198" t="s">
        <v>84</v>
      </c>
      <c r="AC2710" s="198" t="s">
        <v>75</v>
      </c>
      <c r="AD2710" s="198"/>
      <c r="AE2710" s="198"/>
    </row>
    <row r="2711" spans="1:31" ht="32" customHeight="1">
      <c r="A2711" s="4" t="s">
        <v>7282</v>
      </c>
      <c r="B2711" s="4" t="s">
        <v>7438</v>
      </c>
      <c r="C2711" s="198" t="s">
        <v>23</v>
      </c>
      <c r="D2711" s="198" t="s">
        <v>1238</v>
      </c>
      <c r="E2711" s="198" t="s">
        <v>3204</v>
      </c>
      <c r="F2711" s="4" t="s">
        <v>2272</v>
      </c>
      <c r="G2711" s="4" t="s">
        <v>2272</v>
      </c>
      <c r="H2711" s="198" t="s">
        <v>521</v>
      </c>
      <c r="I2711" s="198">
        <v>2008</v>
      </c>
      <c r="J2711" s="198" t="s">
        <v>2272</v>
      </c>
      <c r="K2711" s="198" t="s">
        <v>2272</v>
      </c>
      <c r="L2711" s="198" t="s">
        <v>2272</v>
      </c>
      <c r="M2711" s="198" t="s">
        <v>2272</v>
      </c>
      <c r="N2711" s="198" t="s">
        <v>2272</v>
      </c>
      <c r="O2711" s="198" t="s">
        <v>2272</v>
      </c>
      <c r="P2711" s="198" t="s">
        <v>2272</v>
      </c>
      <c r="Q2711" s="198" t="s">
        <v>2272</v>
      </c>
      <c r="R2711" s="198" t="s">
        <v>2272</v>
      </c>
      <c r="S2711" s="198" t="s">
        <v>2272</v>
      </c>
      <c r="T2711" s="198" t="s">
        <v>2272</v>
      </c>
      <c r="U2711" s="21">
        <f>950*0.027</f>
        <v>25.65</v>
      </c>
      <c r="V2711" s="198" t="s">
        <v>2272</v>
      </c>
      <c r="W2711" s="198" t="s">
        <v>2272</v>
      </c>
      <c r="X2711" s="198" t="s">
        <v>2272</v>
      </c>
      <c r="Y2711" s="21">
        <f>U2711/'Record info'!K$1133</f>
        <v>9.1607142857142859E-3</v>
      </c>
      <c r="Z2711" s="198" t="s">
        <v>2272</v>
      </c>
      <c r="AA2711" s="198" t="s">
        <v>67</v>
      </c>
      <c r="AB2711" s="198" t="s">
        <v>84</v>
      </c>
      <c r="AC2711" s="198" t="s">
        <v>75</v>
      </c>
      <c r="AD2711" s="198"/>
      <c r="AE2711" s="198"/>
    </row>
    <row r="2712" spans="1:31" ht="32" customHeight="1">
      <c r="A2712" s="4" t="s">
        <v>7368</v>
      </c>
      <c r="B2712" s="4" t="s">
        <v>7439</v>
      </c>
      <c r="C2712" s="198" t="s">
        <v>23</v>
      </c>
      <c r="D2712" s="198" t="s">
        <v>1238</v>
      </c>
      <c r="E2712" s="198" t="s">
        <v>3204</v>
      </c>
      <c r="F2712" s="4" t="s">
        <v>2272</v>
      </c>
      <c r="G2712" s="4" t="s">
        <v>2272</v>
      </c>
      <c r="H2712" s="198" t="s">
        <v>521</v>
      </c>
      <c r="I2712" s="198">
        <v>2008</v>
      </c>
      <c r="J2712" s="198" t="s">
        <v>2272</v>
      </c>
      <c r="K2712" s="198" t="s">
        <v>2272</v>
      </c>
      <c r="L2712" s="198" t="s">
        <v>2272</v>
      </c>
      <c r="M2712" s="198" t="s">
        <v>2272</v>
      </c>
      <c r="N2712" s="198" t="s">
        <v>2272</v>
      </c>
      <c r="O2712" s="198" t="s">
        <v>2272</v>
      </c>
      <c r="P2712" s="198" t="s">
        <v>2272</v>
      </c>
      <c r="Q2712" s="198" t="s">
        <v>2272</v>
      </c>
      <c r="R2712" s="198" t="s">
        <v>2272</v>
      </c>
      <c r="S2712" s="198" t="s">
        <v>2272</v>
      </c>
      <c r="T2712" s="198" t="s">
        <v>2272</v>
      </c>
      <c r="U2712" s="21">
        <f>950*0.041</f>
        <v>38.950000000000003</v>
      </c>
      <c r="V2712" s="198" t="s">
        <v>2272</v>
      </c>
      <c r="W2712" s="198" t="s">
        <v>2272</v>
      </c>
      <c r="X2712" s="198" t="s">
        <v>2272</v>
      </c>
      <c r="Y2712" s="21">
        <f>U2712/'Record info'!K$1134</f>
        <v>1.1081081081081082E-2</v>
      </c>
      <c r="Z2712" s="198" t="s">
        <v>2272</v>
      </c>
      <c r="AA2712" s="198" t="s">
        <v>67</v>
      </c>
      <c r="AB2712" s="198" t="s">
        <v>84</v>
      </c>
      <c r="AC2712" s="198" t="s">
        <v>75</v>
      </c>
      <c r="AD2712" s="198"/>
      <c r="AE2712" s="198"/>
    </row>
    <row r="2713" spans="1:31" ht="32" customHeight="1">
      <c r="A2713" s="4" t="s">
        <v>7369</v>
      </c>
      <c r="B2713" s="4" t="s">
        <v>7440</v>
      </c>
      <c r="C2713" s="198" t="s">
        <v>23</v>
      </c>
      <c r="D2713" s="198" t="s">
        <v>1238</v>
      </c>
      <c r="E2713" s="198" t="s">
        <v>3204</v>
      </c>
      <c r="F2713" s="4" t="s">
        <v>2272</v>
      </c>
      <c r="G2713" s="4" t="s">
        <v>2272</v>
      </c>
      <c r="H2713" s="198" t="s">
        <v>521</v>
      </c>
      <c r="I2713" s="198">
        <v>2008</v>
      </c>
      <c r="J2713" s="198" t="s">
        <v>2272</v>
      </c>
      <c r="K2713" s="198" t="s">
        <v>2272</v>
      </c>
      <c r="L2713" s="198" t="s">
        <v>2272</v>
      </c>
      <c r="M2713" s="198" t="s">
        <v>2272</v>
      </c>
      <c r="N2713" s="198" t="s">
        <v>2272</v>
      </c>
      <c r="O2713" s="198" t="s">
        <v>2272</v>
      </c>
      <c r="P2713" s="198" t="s">
        <v>2272</v>
      </c>
      <c r="Q2713" s="198" t="s">
        <v>2272</v>
      </c>
      <c r="R2713" s="198" t="s">
        <v>2272</v>
      </c>
      <c r="S2713" s="198" t="s">
        <v>2272</v>
      </c>
      <c r="T2713" s="198" t="s">
        <v>2272</v>
      </c>
      <c r="U2713" s="21">
        <f>950*0.004</f>
        <v>3.8000000000000003</v>
      </c>
      <c r="V2713" s="198" t="s">
        <v>2272</v>
      </c>
      <c r="W2713" s="198" t="s">
        <v>2272</v>
      </c>
      <c r="X2713" s="198" t="s">
        <v>2272</v>
      </c>
      <c r="Y2713" s="21">
        <f>U2713/'Record info'!K$1135</f>
        <v>5.6321327997628577E-4</v>
      </c>
      <c r="Z2713" s="198" t="s">
        <v>2272</v>
      </c>
      <c r="AA2713" s="198" t="s">
        <v>67</v>
      </c>
      <c r="AB2713" s="198" t="s">
        <v>84</v>
      </c>
      <c r="AC2713" s="198" t="s">
        <v>75</v>
      </c>
      <c r="AD2713" s="198"/>
      <c r="AE2713" s="198"/>
    </row>
    <row r="2714" spans="1:31" ht="32" customHeight="1">
      <c r="A2714" s="4" t="s">
        <v>7370</v>
      </c>
      <c r="B2714" s="4" t="s">
        <v>7441</v>
      </c>
      <c r="C2714" s="198" t="s">
        <v>23</v>
      </c>
      <c r="D2714" s="198" t="s">
        <v>1238</v>
      </c>
      <c r="E2714" s="198" t="s">
        <v>3204</v>
      </c>
      <c r="F2714" s="4" t="s">
        <v>2272</v>
      </c>
      <c r="G2714" s="4" t="s">
        <v>2272</v>
      </c>
      <c r="H2714" s="198" t="s">
        <v>521</v>
      </c>
      <c r="I2714" s="198">
        <v>2008</v>
      </c>
      <c r="J2714" s="198" t="s">
        <v>2272</v>
      </c>
      <c r="K2714" s="198" t="s">
        <v>2272</v>
      </c>
      <c r="L2714" s="198" t="s">
        <v>2272</v>
      </c>
      <c r="M2714" s="198" t="s">
        <v>2272</v>
      </c>
      <c r="N2714" s="198" t="s">
        <v>2272</v>
      </c>
      <c r="O2714" s="198" t="s">
        <v>2272</v>
      </c>
      <c r="P2714" s="198" t="s">
        <v>2272</v>
      </c>
      <c r="Q2714" s="198" t="s">
        <v>2272</v>
      </c>
      <c r="R2714" s="198" t="s">
        <v>2272</v>
      </c>
      <c r="S2714" s="198" t="s">
        <v>2272</v>
      </c>
      <c r="T2714" s="198" t="s">
        <v>2272</v>
      </c>
      <c r="U2714" s="21">
        <f>950*0.004</f>
        <v>3.8000000000000003</v>
      </c>
      <c r="V2714" s="198" t="s">
        <v>2272</v>
      </c>
      <c r="W2714" s="198" t="s">
        <v>2272</v>
      </c>
      <c r="X2714" s="198" t="s">
        <v>2272</v>
      </c>
      <c r="Y2714" s="21">
        <f>U2714/'Record info'!K$1136</f>
        <v>7.50394944707741E-4</v>
      </c>
      <c r="Z2714" s="198" t="s">
        <v>2272</v>
      </c>
      <c r="AA2714" s="198" t="s">
        <v>67</v>
      </c>
      <c r="AB2714" s="198" t="s">
        <v>84</v>
      </c>
      <c r="AC2714" s="198" t="s">
        <v>75</v>
      </c>
      <c r="AD2714" s="198"/>
      <c r="AE2714" s="198"/>
    </row>
    <row r="2715" spans="1:31" ht="32" customHeight="1">
      <c r="A2715" s="4" t="s">
        <v>7371</v>
      </c>
      <c r="B2715" s="4" t="s">
        <v>7442</v>
      </c>
      <c r="C2715" s="198" t="s">
        <v>23</v>
      </c>
      <c r="D2715" s="198" t="s">
        <v>1238</v>
      </c>
      <c r="E2715" s="198" t="s">
        <v>3204</v>
      </c>
      <c r="F2715" s="4" t="s">
        <v>2272</v>
      </c>
      <c r="G2715" s="4" t="s">
        <v>2272</v>
      </c>
      <c r="H2715" s="198" t="s">
        <v>522</v>
      </c>
      <c r="I2715" s="198">
        <v>2008</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v>0</v>
      </c>
      <c r="Y2715" s="21">
        <f>U2715/'Record info'!K$1137</f>
        <v>0</v>
      </c>
      <c r="Z2715" s="198" t="s">
        <v>2272</v>
      </c>
      <c r="AA2715" s="198" t="s">
        <v>67</v>
      </c>
      <c r="AB2715" s="198" t="s">
        <v>84</v>
      </c>
      <c r="AC2715" s="198" t="s">
        <v>75</v>
      </c>
      <c r="AD2715" s="198"/>
      <c r="AE2715" s="198"/>
    </row>
    <row r="2716" spans="1:31" ht="32" customHeight="1">
      <c r="A2716" s="4" t="s">
        <v>7372</v>
      </c>
      <c r="B2716" s="4" t="s">
        <v>7443</v>
      </c>
      <c r="C2716" s="198" t="s">
        <v>23</v>
      </c>
      <c r="D2716" s="198" t="s">
        <v>1238</v>
      </c>
      <c r="E2716" s="198" t="s">
        <v>3204</v>
      </c>
      <c r="F2716" s="4" t="s">
        <v>2272</v>
      </c>
      <c r="G2716" s="4" t="s">
        <v>2272</v>
      </c>
      <c r="H2716" s="198" t="s">
        <v>522</v>
      </c>
      <c r="I2716" s="198">
        <v>2008</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v>0</v>
      </c>
      <c r="Y2716" s="21">
        <f>U2716/'Record info'!K$1138</f>
        <v>0</v>
      </c>
      <c r="Z2716" s="198" t="s">
        <v>2272</v>
      </c>
      <c r="AA2716" s="198" t="s">
        <v>67</v>
      </c>
      <c r="AB2716" s="198" t="s">
        <v>84</v>
      </c>
      <c r="AC2716" s="198" t="s">
        <v>75</v>
      </c>
      <c r="AD2716" s="198"/>
      <c r="AE2716" s="198"/>
    </row>
    <row r="2717" spans="1:31" ht="32" customHeight="1">
      <c r="A2717" s="4" t="s">
        <v>7373</v>
      </c>
      <c r="B2717" s="4" t="s">
        <v>7444</v>
      </c>
      <c r="C2717" s="198" t="s">
        <v>23</v>
      </c>
      <c r="D2717" s="198" t="s">
        <v>1238</v>
      </c>
      <c r="E2717" s="198" t="s">
        <v>3204</v>
      </c>
      <c r="F2717" s="4" t="s">
        <v>2272</v>
      </c>
      <c r="G2717" s="4" t="s">
        <v>2272</v>
      </c>
      <c r="H2717" s="198" t="s">
        <v>522</v>
      </c>
      <c r="I2717" s="198">
        <v>2008</v>
      </c>
      <c r="J2717" s="21">
        <v>0</v>
      </c>
      <c r="K2717" s="21">
        <v>0</v>
      </c>
      <c r="L2717" s="21">
        <v>0</v>
      </c>
      <c r="M2717" s="21">
        <v>0</v>
      </c>
      <c r="N2717" s="21">
        <v>0</v>
      </c>
      <c r="O2717" s="21">
        <v>0</v>
      </c>
      <c r="P2717" s="21">
        <v>0</v>
      </c>
      <c r="Q2717" s="21">
        <v>0</v>
      </c>
      <c r="R2717" s="21">
        <v>0</v>
      </c>
      <c r="S2717" s="21">
        <v>0</v>
      </c>
      <c r="T2717" s="21">
        <v>0</v>
      </c>
      <c r="U2717" s="21">
        <v>0</v>
      </c>
      <c r="V2717" s="21">
        <v>0</v>
      </c>
      <c r="W2717" s="21">
        <v>0</v>
      </c>
      <c r="X2717" s="21">
        <v>0</v>
      </c>
      <c r="Y2717" s="21">
        <f>U2717/'Record info'!K$1139</f>
        <v>0</v>
      </c>
      <c r="Z2717" s="198" t="s">
        <v>2272</v>
      </c>
      <c r="AA2717" s="198" t="s">
        <v>67</v>
      </c>
      <c r="AB2717" s="198" t="s">
        <v>84</v>
      </c>
      <c r="AC2717" s="198" t="s">
        <v>75</v>
      </c>
      <c r="AD2717" s="198"/>
      <c r="AE2717" s="198"/>
    </row>
    <row r="2718" spans="1:31" ht="32" customHeight="1">
      <c r="A2718" s="4" t="s">
        <v>7374</v>
      </c>
      <c r="B2718" s="4" t="s">
        <v>7445</v>
      </c>
      <c r="C2718" s="198" t="s">
        <v>23</v>
      </c>
      <c r="D2718" s="198" t="s">
        <v>1238</v>
      </c>
      <c r="E2718" s="198" t="s">
        <v>3204</v>
      </c>
      <c r="F2718" s="4" t="s">
        <v>2272</v>
      </c>
      <c r="G2718" s="4" t="s">
        <v>2272</v>
      </c>
      <c r="H2718" s="198" t="s">
        <v>521</v>
      </c>
      <c r="I2718" s="198">
        <v>2008</v>
      </c>
      <c r="J2718" s="198" t="s">
        <v>2272</v>
      </c>
      <c r="K2718" s="198" t="s">
        <v>2272</v>
      </c>
      <c r="L2718" s="198" t="s">
        <v>2272</v>
      </c>
      <c r="M2718" s="198" t="s">
        <v>2272</v>
      </c>
      <c r="N2718" s="198" t="s">
        <v>2272</v>
      </c>
      <c r="O2718" s="198" t="s">
        <v>2272</v>
      </c>
      <c r="P2718" s="198" t="s">
        <v>2272</v>
      </c>
      <c r="Q2718" s="198" t="s">
        <v>2272</v>
      </c>
      <c r="R2718" s="198" t="s">
        <v>2272</v>
      </c>
      <c r="S2718" s="198" t="s">
        <v>2272</v>
      </c>
      <c r="T2718" s="198" t="s">
        <v>2272</v>
      </c>
      <c r="U2718" s="21">
        <f>950*0.035</f>
        <v>33.25</v>
      </c>
      <c r="V2718" s="198" t="s">
        <v>2272</v>
      </c>
      <c r="W2718" s="198" t="s">
        <v>2272</v>
      </c>
      <c r="X2718" s="198" t="s">
        <v>2272</v>
      </c>
      <c r="Y2718" s="21">
        <f>U2718/'Record info'!K$1140</f>
        <v>5.4822753503709814E-3</v>
      </c>
      <c r="Z2718" s="198" t="s">
        <v>2272</v>
      </c>
      <c r="AA2718" s="198" t="s">
        <v>67</v>
      </c>
      <c r="AB2718" s="198" t="s">
        <v>84</v>
      </c>
      <c r="AC2718" s="198" t="s">
        <v>75</v>
      </c>
      <c r="AD2718" s="198"/>
      <c r="AE2718" s="198"/>
    </row>
    <row r="2719" spans="1:31" ht="32" customHeight="1">
      <c r="A2719" s="4" t="s">
        <v>7375</v>
      </c>
      <c r="B2719" s="4" t="s">
        <v>7446</v>
      </c>
      <c r="C2719" s="198" t="s">
        <v>23</v>
      </c>
      <c r="D2719" s="198" t="s">
        <v>1238</v>
      </c>
      <c r="E2719" s="198" t="s">
        <v>3204</v>
      </c>
      <c r="F2719" s="4" t="s">
        <v>2272</v>
      </c>
      <c r="G2719" s="4" t="s">
        <v>2272</v>
      </c>
      <c r="H2719" s="198" t="s">
        <v>521</v>
      </c>
      <c r="I2719" s="198">
        <v>2008</v>
      </c>
      <c r="J2719" s="198" t="s">
        <v>2272</v>
      </c>
      <c r="K2719" s="198" t="s">
        <v>2272</v>
      </c>
      <c r="L2719" s="198" t="s">
        <v>2272</v>
      </c>
      <c r="M2719" s="198" t="s">
        <v>2272</v>
      </c>
      <c r="N2719" s="198" t="s">
        <v>2272</v>
      </c>
      <c r="O2719" s="198" t="s">
        <v>2272</v>
      </c>
      <c r="P2719" s="198" t="s">
        <v>2272</v>
      </c>
      <c r="Q2719" s="198" t="s">
        <v>2272</v>
      </c>
      <c r="R2719" s="198" t="s">
        <v>2272</v>
      </c>
      <c r="S2719" s="198" t="s">
        <v>2272</v>
      </c>
      <c r="T2719" s="198" t="s">
        <v>2272</v>
      </c>
      <c r="U2719" s="21">
        <f>950*0.079</f>
        <v>75.05</v>
      </c>
      <c r="V2719" s="198" t="s">
        <v>2272</v>
      </c>
      <c r="W2719" s="198" t="s">
        <v>2272</v>
      </c>
      <c r="X2719" s="198" t="s">
        <v>2272</v>
      </c>
      <c r="Y2719" s="21">
        <f>U2719/'Record info'!K$1141</f>
        <v>1.1243445692883894E-2</v>
      </c>
      <c r="Z2719" s="198" t="s">
        <v>2272</v>
      </c>
      <c r="AA2719" s="198" t="s">
        <v>67</v>
      </c>
      <c r="AB2719" s="198" t="s">
        <v>84</v>
      </c>
      <c r="AC2719" s="198" t="s">
        <v>75</v>
      </c>
      <c r="AD2719" s="198"/>
      <c r="AE2719" s="198"/>
    </row>
    <row r="2720" spans="1:31" ht="32" customHeight="1">
      <c r="A2720" s="4" t="s">
        <v>7376</v>
      </c>
      <c r="B2720" s="4" t="s">
        <v>7447</v>
      </c>
      <c r="C2720" s="198" t="s">
        <v>23</v>
      </c>
      <c r="D2720" s="198" t="s">
        <v>1238</v>
      </c>
      <c r="E2720" s="198" t="s">
        <v>3204</v>
      </c>
      <c r="F2720" s="4" t="s">
        <v>2272</v>
      </c>
      <c r="G2720" s="4" t="s">
        <v>2272</v>
      </c>
      <c r="H2720" s="198" t="s">
        <v>521</v>
      </c>
      <c r="I2720" s="198">
        <v>2008</v>
      </c>
      <c r="J2720" s="198" t="s">
        <v>2272</v>
      </c>
      <c r="K2720" s="198" t="s">
        <v>2272</v>
      </c>
      <c r="L2720" s="198" t="s">
        <v>2272</v>
      </c>
      <c r="M2720" s="198" t="s">
        <v>2272</v>
      </c>
      <c r="N2720" s="198" t="s">
        <v>2272</v>
      </c>
      <c r="O2720" s="198" t="s">
        <v>2272</v>
      </c>
      <c r="P2720" s="198" t="s">
        <v>2272</v>
      </c>
      <c r="Q2720" s="198" t="s">
        <v>2272</v>
      </c>
      <c r="R2720" s="198" t="s">
        <v>2272</v>
      </c>
      <c r="S2720" s="198" t="s">
        <v>2272</v>
      </c>
      <c r="T2720" s="198" t="s">
        <v>2272</v>
      </c>
      <c r="U2720" s="21">
        <f>950*0.132</f>
        <v>125.4</v>
      </c>
      <c r="V2720" s="198" t="s">
        <v>2272</v>
      </c>
      <c r="W2720" s="198" t="s">
        <v>2272</v>
      </c>
      <c r="X2720" s="198" t="s">
        <v>2272</v>
      </c>
      <c r="Y2720" s="21">
        <f>U2720/'Record info'!K$1142</f>
        <v>2.2725625226531352E-2</v>
      </c>
      <c r="Z2720" s="198" t="s">
        <v>2272</v>
      </c>
      <c r="AA2720" s="198" t="s">
        <v>67</v>
      </c>
      <c r="AB2720" s="198" t="s">
        <v>84</v>
      </c>
      <c r="AC2720" s="198" t="s">
        <v>75</v>
      </c>
      <c r="AD2720" s="198"/>
      <c r="AE2720" s="198"/>
    </row>
    <row r="2721" spans="1:31" ht="32" customHeight="1">
      <c r="A2721" s="4" t="s">
        <v>7377</v>
      </c>
      <c r="B2721" s="4" t="s">
        <v>7448</v>
      </c>
      <c r="C2721" s="198" t="s">
        <v>23</v>
      </c>
      <c r="D2721" s="198" t="s">
        <v>1238</v>
      </c>
      <c r="E2721" s="198" t="s">
        <v>3204</v>
      </c>
      <c r="F2721" s="4" t="s">
        <v>2272</v>
      </c>
      <c r="G2721" s="4" t="s">
        <v>2272</v>
      </c>
      <c r="H2721" s="198" t="s">
        <v>521</v>
      </c>
      <c r="I2721" s="198">
        <v>2008</v>
      </c>
      <c r="J2721" s="198" t="s">
        <v>2272</v>
      </c>
      <c r="K2721" s="198" t="s">
        <v>2272</v>
      </c>
      <c r="L2721" s="198" t="s">
        <v>2272</v>
      </c>
      <c r="M2721" s="198" t="s">
        <v>2272</v>
      </c>
      <c r="N2721" s="198" t="s">
        <v>2272</v>
      </c>
      <c r="O2721" s="198" t="s">
        <v>2272</v>
      </c>
      <c r="P2721" s="198" t="s">
        <v>2272</v>
      </c>
      <c r="Q2721" s="198" t="s">
        <v>2272</v>
      </c>
      <c r="R2721" s="198" t="s">
        <v>2272</v>
      </c>
      <c r="S2721" s="198" t="s">
        <v>2272</v>
      </c>
      <c r="T2721" s="198" t="s">
        <v>2272</v>
      </c>
      <c r="U2721" s="21">
        <f>950*0.057</f>
        <v>54.15</v>
      </c>
      <c r="V2721" s="198" t="s">
        <v>2272</v>
      </c>
      <c r="W2721" s="198" t="s">
        <v>2272</v>
      </c>
      <c r="X2721" s="198" t="s">
        <v>2272</v>
      </c>
      <c r="Y2721" s="21">
        <f>U2721/'Record info'!K$1143</f>
        <v>1.3719280466176842E-2</v>
      </c>
      <c r="Z2721" s="198" t="s">
        <v>2272</v>
      </c>
      <c r="AA2721" s="198" t="s">
        <v>67</v>
      </c>
      <c r="AB2721" s="198" t="s">
        <v>84</v>
      </c>
      <c r="AC2721" s="198" t="s">
        <v>75</v>
      </c>
      <c r="AD2721" s="198"/>
      <c r="AE2721" s="198"/>
    </row>
    <row r="2722" spans="1:31" ht="32" customHeight="1">
      <c r="A2722" s="4" t="s">
        <v>7378</v>
      </c>
      <c r="B2722" s="4" t="s">
        <v>7449</v>
      </c>
      <c r="C2722" s="198" t="s">
        <v>23</v>
      </c>
      <c r="D2722" s="198" t="s">
        <v>1238</v>
      </c>
      <c r="E2722" s="198" t="s">
        <v>3204</v>
      </c>
      <c r="F2722" s="4" t="s">
        <v>2272</v>
      </c>
      <c r="G2722" s="4" t="s">
        <v>2272</v>
      </c>
      <c r="H2722" s="198" t="s">
        <v>521</v>
      </c>
      <c r="I2722" s="198">
        <v>2008</v>
      </c>
      <c r="J2722" s="198" t="s">
        <v>2272</v>
      </c>
      <c r="K2722" s="198" t="s">
        <v>2272</v>
      </c>
      <c r="L2722" s="198" t="s">
        <v>2272</v>
      </c>
      <c r="M2722" s="198" t="s">
        <v>2272</v>
      </c>
      <c r="N2722" s="198" t="s">
        <v>2272</v>
      </c>
      <c r="O2722" s="198" t="s">
        <v>2272</v>
      </c>
      <c r="P2722" s="198" t="s">
        <v>2272</v>
      </c>
      <c r="Q2722" s="198" t="s">
        <v>2272</v>
      </c>
      <c r="R2722" s="198" t="s">
        <v>2272</v>
      </c>
      <c r="S2722" s="198" t="s">
        <v>2272</v>
      </c>
      <c r="T2722" s="198" t="s">
        <v>2272</v>
      </c>
      <c r="U2722" s="21">
        <f>950*0.024</f>
        <v>22.8</v>
      </c>
      <c r="V2722" s="198" t="s">
        <v>2272</v>
      </c>
      <c r="W2722" s="198" t="s">
        <v>2272</v>
      </c>
      <c r="X2722" s="198" t="s">
        <v>2272</v>
      </c>
      <c r="Y2722" s="21">
        <f>U2722/'Record info'!K$1144</f>
        <v>8.1196581196581203E-3</v>
      </c>
      <c r="Z2722" s="198" t="s">
        <v>2272</v>
      </c>
      <c r="AA2722" s="198" t="s">
        <v>67</v>
      </c>
      <c r="AB2722" s="198" t="s">
        <v>84</v>
      </c>
      <c r="AC2722" s="198" t="s">
        <v>75</v>
      </c>
      <c r="AD2722" s="198"/>
      <c r="AE2722" s="198"/>
    </row>
    <row r="2723" spans="1:31" ht="32" customHeight="1">
      <c r="A2723" s="4" t="s">
        <v>7379</v>
      </c>
      <c r="B2723" s="4" t="s">
        <v>7450</v>
      </c>
      <c r="C2723" s="198" t="s">
        <v>23</v>
      </c>
      <c r="D2723" s="198" t="s">
        <v>1238</v>
      </c>
      <c r="E2723" s="198" t="s">
        <v>3204</v>
      </c>
      <c r="F2723" s="4" t="s">
        <v>2272</v>
      </c>
      <c r="G2723" s="4" t="s">
        <v>2272</v>
      </c>
      <c r="H2723" s="198" t="s">
        <v>521</v>
      </c>
      <c r="I2723" s="198">
        <v>2008</v>
      </c>
      <c r="J2723" s="198" t="s">
        <v>2272</v>
      </c>
      <c r="K2723" s="198" t="s">
        <v>2272</v>
      </c>
      <c r="L2723" s="198" t="s">
        <v>2272</v>
      </c>
      <c r="M2723" s="198" t="s">
        <v>2272</v>
      </c>
      <c r="N2723" s="198" t="s">
        <v>2272</v>
      </c>
      <c r="O2723" s="198" t="s">
        <v>2272</v>
      </c>
      <c r="P2723" s="198" t="s">
        <v>2272</v>
      </c>
      <c r="Q2723" s="198" t="s">
        <v>2272</v>
      </c>
      <c r="R2723" s="198" t="s">
        <v>2272</v>
      </c>
      <c r="S2723" s="198" t="s">
        <v>2272</v>
      </c>
      <c r="T2723" s="198" t="s">
        <v>2272</v>
      </c>
      <c r="U2723" s="21">
        <f>950*0.072</f>
        <v>68.399999999999991</v>
      </c>
      <c r="V2723" s="198" t="s">
        <v>2272</v>
      </c>
      <c r="W2723" s="198" t="s">
        <v>2272</v>
      </c>
      <c r="X2723" s="198" t="s">
        <v>2272</v>
      </c>
      <c r="Y2723" s="21">
        <f>U2723/'Record info'!K$1145</f>
        <v>1.3660874775314557E-2</v>
      </c>
      <c r="Z2723" s="198" t="s">
        <v>2272</v>
      </c>
      <c r="AA2723" s="198" t="s">
        <v>67</v>
      </c>
      <c r="AB2723" s="198" t="s">
        <v>84</v>
      </c>
      <c r="AC2723" s="198" t="s">
        <v>75</v>
      </c>
      <c r="AD2723" s="198"/>
      <c r="AE2723" s="198"/>
    </row>
    <row r="2724" spans="1:31" ht="32" customHeight="1">
      <c r="A2724" s="4" t="s">
        <v>7380</v>
      </c>
      <c r="B2724" s="4" t="s">
        <v>7451</v>
      </c>
      <c r="C2724" s="198" t="s">
        <v>23</v>
      </c>
      <c r="D2724" s="198" t="s">
        <v>1238</v>
      </c>
      <c r="E2724" s="198" t="s">
        <v>3204</v>
      </c>
      <c r="F2724" s="4" t="s">
        <v>2272</v>
      </c>
      <c r="G2724" s="4" t="s">
        <v>2272</v>
      </c>
      <c r="H2724" s="198" t="s">
        <v>521</v>
      </c>
      <c r="I2724" s="198">
        <v>2008</v>
      </c>
      <c r="J2724" s="198" t="s">
        <v>2272</v>
      </c>
      <c r="K2724" s="198" t="s">
        <v>2272</v>
      </c>
      <c r="L2724" s="198" t="s">
        <v>2272</v>
      </c>
      <c r="M2724" s="198" t="s">
        <v>2272</v>
      </c>
      <c r="N2724" s="198" t="s">
        <v>2272</v>
      </c>
      <c r="O2724" s="198" t="s">
        <v>2272</v>
      </c>
      <c r="P2724" s="198" t="s">
        <v>2272</v>
      </c>
      <c r="Q2724" s="198" t="s">
        <v>2272</v>
      </c>
      <c r="R2724" s="198" t="s">
        <v>2272</v>
      </c>
      <c r="S2724" s="198" t="s">
        <v>2272</v>
      </c>
      <c r="T2724" s="198" t="s">
        <v>2272</v>
      </c>
      <c r="U2724" s="21">
        <f>950*0.068</f>
        <v>64.600000000000009</v>
      </c>
      <c r="V2724" s="198" t="s">
        <v>2272</v>
      </c>
      <c r="W2724" s="198" t="s">
        <v>2272</v>
      </c>
      <c r="X2724" s="198" t="s">
        <v>2272</v>
      </c>
      <c r="Y2724" s="21">
        <f>U2724/'Record info'!K$1146</f>
        <v>5.5025553662691656E-2</v>
      </c>
      <c r="Z2724" s="198" t="s">
        <v>2272</v>
      </c>
      <c r="AA2724" s="198" t="s">
        <v>67</v>
      </c>
      <c r="AB2724" s="198" t="s">
        <v>84</v>
      </c>
      <c r="AC2724" s="198" t="s">
        <v>75</v>
      </c>
      <c r="AD2724" s="198"/>
      <c r="AE2724" s="198"/>
    </row>
    <row r="2725" spans="1:31" ht="32" customHeight="1">
      <c r="A2725" s="4" t="s">
        <v>7381</v>
      </c>
      <c r="B2725" s="4" t="s">
        <v>7452</v>
      </c>
      <c r="C2725" s="198" t="s">
        <v>23</v>
      </c>
      <c r="D2725" s="198" t="s">
        <v>1238</v>
      </c>
      <c r="E2725" s="198" t="s">
        <v>3204</v>
      </c>
      <c r="F2725" s="4" t="s">
        <v>2272</v>
      </c>
      <c r="G2725" s="4" t="s">
        <v>2272</v>
      </c>
      <c r="H2725" s="198" t="s">
        <v>521</v>
      </c>
      <c r="I2725" s="198">
        <v>2008</v>
      </c>
      <c r="J2725" s="198" t="s">
        <v>2272</v>
      </c>
      <c r="K2725" s="198" t="s">
        <v>2272</v>
      </c>
      <c r="L2725" s="198" t="s">
        <v>2272</v>
      </c>
      <c r="M2725" s="198" t="s">
        <v>2272</v>
      </c>
      <c r="N2725" s="198" t="s">
        <v>2272</v>
      </c>
      <c r="O2725" s="198" t="s">
        <v>2272</v>
      </c>
      <c r="P2725" s="198" t="s">
        <v>2272</v>
      </c>
      <c r="Q2725" s="198" t="s">
        <v>2272</v>
      </c>
      <c r="R2725" s="198" t="s">
        <v>2272</v>
      </c>
      <c r="S2725" s="198" t="s">
        <v>2272</v>
      </c>
      <c r="T2725" s="198" t="s">
        <v>2272</v>
      </c>
      <c r="U2725" s="21">
        <f>950*0.075</f>
        <v>71.25</v>
      </c>
      <c r="V2725" s="198" t="s">
        <v>2272</v>
      </c>
      <c r="W2725" s="198" t="s">
        <v>2272</v>
      </c>
      <c r="X2725" s="198" t="s">
        <v>2272</v>
      </c>
      <c r="Y2725" s="21">
        <f>U2725/'Record info'!K$1147</f>
        <v>1.6462569316081331E-2</v>
      </c>
      <c r="Z2725" s="198" t="s">
        <v>2272</v>
      </c>
      <c r="AA2725" s="198" t="s">
        <v>67</v>
      </c>
      <c r="AB2725" s="198" t="s">
        <v>84</v>
      </c>
      <c r="AC2725" s="198" t="s">
        <v>75</v>
      </c>
      <c r="AD2725" s="198"/>
      <c r="AE2725" s="198"/>
    </row>
    <row r="2726" spans="1:31" ht="32" customHeight="1">
      <c r="A2726" s="4" t="s">
        <v>7382</v>
      </c>
      <c r="B2726" s="4" t="s">
        <v>7453</v>
      </c>
      <c r="C2726" s="198" t="s">
        <v>23</v>
      </c>
      <c r="D2726" s="198" t="s">
        <v>1238</v>
      </c>
      <c r="E2726" s="198" t="s">
        <v>3204</v>
      </c>
      <c r="F2726" s="4" t="s">
        <v>2272</v>
      </c>
      <c r="G2726" s="4" t="s">
        <v>2272</v>
      </c>
      <c r="H2726" s="198" t="s">
        <v>521</v>
      </c>
      <c r="I2726" s="198">
        <v>2008</v>
      </c>
      <c r="J2726" s="198" t="s">
        <v>2272</v>
      </c>
      <c r="K2726" s="198" t="s">
        <v>2272</v>
      </c>
      <c r="L2726" s="198" t="s">
        <v>2272</v>
      </c>
      <c r="M2726" s="198" t="s">
        <v>2272</v>
      </c>
      <c r="N2726" s="198" t="s">
        <v>2272</v>
      </c>
      <c r="O2726" s="198" t="s">
        <v>2272</v>
      </c>
      <c r="P2726" s="198" t="s">
        <v>2272</v>
      </c>
      <c r="Q2726" s="198" t="s">
        <v>2272</v>
      </c>
      <c r="R2726" s="198" t="s">
        <v>2272</v>
      </c>
      <c r="S2726" s="198" t="s">
        <v>2272</v>
      </c>
      <c r="T2726" s="198" t="s">
        <v>2272</v>
      </c>
      <c r="U2726" s="21">
        <f>950*0.111</f>
        <v>105.45</v>
      </c>
      <c r="V2726" s="198" t="s">
        <v>2272</v>
      </c>
      <c r="W2726" s="198" t="s">
        <v>2272</v>
      </c>
      <c r="X2726" s="198" t="s">
        <v>2272</v>
      </c>
      <c r="Y2726" s="21">
        <f>U2726/'Record info'!K$1148</f>
        <v>4.4029227557411274E-2</v>
      </c>
      <c r="Z2726" s="198" t="s">
        <v>2272</v>
      </c>
      <c r="AA2726" s="198" t="s">
        <v>67</v>
      </c>
      <c r="AB2726" s="198" t="s">
        <v>84</v>
      </c>
      <c r="AC2726" s="198" t="s">
        <v>75</v>
      </c>
      <c r="AD2726" s="198"/>
      <c r="AE2726" s="198"/>
    </row>
    <row r="2727" spans="1:31" ht="32" customHeight="1">
      <c r="A2727" s="4" t="s">
        <v>7383</v>
      </c>
      <c r="B2727" s="4" t="s">
        <v>7454</v>
      </c>
      <c r="C2727" s="198" t="s">
        <v>23</v>
      </c>
      <c r="D2727" s="198" t="s">
        <v>1238</v>
      </c>
      <c r="E2727" s="198" t="s">
        <v>3204</v>
      </c>
      <c r="F2727" s="4" t="s">
        <v>2272</v>
      </c>
      <c r="G2727" s="4" t="s">
        <v>2272</v>
      </c>
      <c r="H2727" s="198" t="s">
        <v>521</v>
      </c>
      <c r="I2727" s="198">
        <v>2008</v>
      </c>
      <c r="J2727" s="198" t="s">
        <v>2272</v>
      </c>
      <c r="K2727" s="198" t="s">
        <v>2272</v>
      </c>
      <c r="L2727" s="198" t="s">
        <v>2272</v>
      </c>
      <c r="M2727" s="198" t="s">
        <v>2272</v>
      </c>
      <c r="N2727" s="198" t="s">
        <v>2272</v>
      </c>
      <c r="O2727" s="198" t="s">
        <v>2272</v>
      </c>
      <c r="P2727" s="198" t="s">
        <v>2272</v>
      </c>
      <c r="Q2727" s="198" t="s">
        <v>2272</v>
      </c>
      <c r="R2727" s="198" t="s">
        <v>2272</v>
      </c>
      <c r="S2727" s="198" t="s">
        <v>2272</v>
      </c>
      <c r="T2727" s="198" t="s">
        <v>2272</v>
      </c>
      <c r="U2727" s="21">
        <f>950*0.106</f>
        <v>100.7</v>
      </c>
      <c r="V2727" s="198" t="s">
        <v>2272</v>
      </c>
      <c r="W2727" s="198" t="s">
        <v>2272</v>
      </c>
      <c r="X2727" s="198" t="s">
        <v>2272</v>
      </c>
      <c r="Y2727" s="21">
        <f>U2727/'Record info'!K$1149</f>
        <v>3.767302656191545E-2</v>
      </c>
      <c r="Z2727" s="198" t="s">
        <v>2272</v>
      </c>
      <c r="AA2727" s="198" t="s">
        <v>67</v>
      </c>
      <c r="AB2727" s="198" t="s">
        <v>84</v>
      </c>
      <c r="AC2727" s="198" t="s">
        <v>75</v>
      </c>
      <c r="AD2727" s="198"/>
      <c r="AE2727" s="198"/>
    </row>
    <row r="2728" spans="1:31" ht="35.5" customHeight="1">
      <c r="A2728" s="4" t="s">
        <v>7384</v>
      </c>
      <c r="B2728" s="4" t="s">
        <v>7473</v>
      </c>
      <c r="C2728" s="198" t="s">
        <v>23</v>
      </c>
      <c r="D2728" s="198" t="s">
        <v>1238</v>
      </c>
      <c r="E2728" s="198" t="s">
        <v>3204</v>
      </c>
      <c r="F2728" s="4" t="s">
        <v>2272</v>
      </c>
      <c r="G2728" s="4" t="s">
        <v>2272</v>
      </c>
      <c r="H2728" s="198" t="s">
        <v>521</v>
      </c>
      <c r="I2728" s="198">
        <v>2008</v>
      </c>
      <c r="J2728" s="198" t="s">
        <v>2272</v>
      </c>
      <c r="K2728" s="198" t="s">
        <v>2272</v>
      </c>
      <c r="L2728" s="198" t="s">
        <v>2272</v>
      </c>
      <c r="M2728" s="198" t="s">
        <v>2272</v>
      </c>
      <c r="N2728" s="198" t="s">
        <v>2272</v>
      </c>
      <c r="O2728" s="198" t="s">
        <v>2272</v>
      </c>
      <c r="P2728" s="198" t="s">
        <v>2272</v>
      </c>
      <c r="Q2728" s="198" t="s">
        <v>2272</v>
      </c>
      <c r="R2728" s="198" t="s">
        <v>2272</v>
      </c>
      <c r="S2728" s="198" t="s">
        <v>2272</v>
      </c>
      <c r="T2728" s="198" t="s">
        <v>2272</v>
      </c>
      <c r="U2728" s="21">
        <f>950*0.166</f>
        <v>157.70000000000002</v>
      </c>
      <c r="V2728" s="198" t="s">
        <v>2272</v>
      </c>
      <c r="W2728" s="198" t="s">
        <v>2272</v>
      </c>
      <c r="X2728" s="198" t="s">
        <v>2272</v>
      </c>
      <c r="Y2728" s="21">
        <f>U2728/'Record info'!K$1150</f>
        <v>6.993348115299336E-2</v>
      </c>
      <c r="Z2728" s="198" t="s">
        <v>2272</v>
      </c>
      <c r="AA2728" s="198" t="s">
        <v>67</v>
      </c>
      <c r="AB2728" s="198" t="s">
        <v>84</v>
      </c>
      <c r="AC2728" s="198" t="s">
        <v>75</v>
      </c>
      <c r="AD2728" s="198"/>
      <c r="AE2728" s="198"/>
    </row>
    <row r="2729" spans="1:31" ht="29" customHeight="1">
      <c r="A2729" s="4" t="s">
        <v>7282</v>
      </c>
      <c r="B2729" s="4" t="s">
        <v>7455</v>
      </c>
      <c r="C2729" s="198" t="s">
        <v>23</v>
      </c>
      <c r="D2729" s="198" t="s">
        <v>1238</v>
      </c>
      <c r="E2729" s="198" t="s">
        <v>3204</v>
      </c>
      <c r="F2729" s="4" t="s">
        <v>2272</v>
      </c>
      <c r="G2729" s="4" t="s">
        <v>2272</v>
      </c>
      <c r="H2729" s="198" t="s">
        <v>521</v>
      </c>
      <c r="I2729" s="198">
        <v>2009</v>
      </c>
      <c r="J2729" s="198" t="s">
        <v>2272</v>
      </c>
      <c r="K2729" s="198" t="s">
        <v>2272</v>
      </c>
      <c r="L2729" s="198" t="s">
        <v>2272</v>
      </c>
      <c r="M2729" s="198" t="s">
        <v>2272</v>
      </c>
      <c r="N2729" s="198" t="s">
        <v>2272</v>
      </c>
      <c r="O2729" s="198" t="s">
        <v>2272</v>
      </c>
      <c r="P2729" s="198" t="s">
        <v>2272</v>
      </c>
      <c r="Q2729" s="198" t="s">
        <v>2272</v>
      </c>
      <c r="R2729" s="198" t="s">
        <v>2272</v>
      </c>
      <c r="S2729" s="198" t="s">
        <v>2272</v>
      </c>
      <c r="T2729" s="198" t="s">
        <v>2272</v>
      </c>
      <c r="U2729" s="21">
        <f>1020*0.027</f>
        <v>27.54</v>
      </c>
      <c r="V2729" s="198" t="s">
        <v>2272</v>
      </c>
      <c r="W2729" s="198" t="s">
        <v>2272</v>
      </c>
      <c r="X2729" s="198" t="s">
        <v>2272</v>
      </c>
      <c r="Y2729" s="21">
        <f>U2729/'Record info'!K$1133</f>
        <v>9.8357142857142862E-3</v>
      </c>
      <c r="Z2729" s="198" t="s">
        <v>2272</v>
      </c>
      <c r="AA2729" s="198" t="s">
        <v>67</v>
      </c>
      <c r="AB2729" s="198" t="s">
        <v>84</v>
      </c>
      <c r="AC2729" s="198" t="s">
        <v>75</v>
      </c>
      <c r="AD2729" s="198"/>
      <c r="AE2729" s="198"/>
    </row>
    <row r="2730" spans="1:31" ht="29" customHeight="1">
      <c r="A2730" s="4" t="s">
        <v>7368</v>
      </c>
      <c r="B2730" s="4" t="s">
        <v>7456</v>
      </c>
      <c r="C2730" s="198" t="s">
        <v>23</v>
      </c>
      <c r="D2730" s="198" t="s">
        <v>1238</v>
      </c>
      <c r="E2730" s="198" t="s">
        <v>3204</v>
      </c>
      <c r="F2730" s="4" t="s">
        <v>2272</v>
      </c>
      <c r="G2730" s="4" t="s">
        <v>2272</v>
      </c>
      <c r="H2730" s="198" t="s">
        <v>521</v>
      </c>
      <c r="I2730" s="198">
        <v>2009</v>
      </c>
      <c r="J2730" s="198" t="s">
        <v>2272</v>
      </c>
      <c r="K2730" s="198" t="s">
        <v>2272</v>
      </c>
      <c r="L2730" s="198" t="s">
        <v>2272</v>
      </c>
      <c r="M2730" s="198" t="s">
        <v>2272</v>
      </c>
      <c r="N2730" s="198" t="s">
        <v>2272</v>
      </c>
      <c r="O2730" s="198" t="s">
        <v>2272</v>
      </c>
      <c r="P2730" s="198" t="s">
        <v>2272</v>
      </c>
      <c r="Q2730" s="198" t="s">
        <v>2272</v>
      </c>
      <c r="R2730" s="198" t="s">
        <v>2272</v>
      </c>
      <c r="S2730" s="198" t="s">
        <v>2272</v>
      </c>
      <c r="T2730" s="198" t="s">
        <v>2272</v>
      </c>
      <c r="U2730" s="21">
        <f>1020*0.041</f>
        <v>41.82</v>
      </c>
      <c r="V2730" s="198" t="s">
        <v>2272</v>
      </c>
      <c r="W2730" s="198" t="s">
        <v>2272</v>
      </c>
      <c r="X2730" s="198" t="s">
        <v>2272</v>
      </c>
      <c r="Y2730" s="21">
        <f>U2730/'Record info'!K$1134</f>
        <v>1.1897581792318635E-2</v>
      </c>
      <c r="Z2730" s="198" t="s">
        <v>2272</v>
      </c>
      <c r="AA2730" s="198" t="s">
        <v>67</v>
      </c>
      <c r="AB2730" s="198" t="s">
        <v>84</v>
      </c>
      <c r="AC2730" s="198" t="s">
        <v>75</v>
      </c>
      <c r="AD2730" s="198"/>
      <c r="AE2730" s="198"/>
    </row>
    <row r="2731" spans="1:31" ht="29" customHeight="1">
      <c r="A2731" s="4" t="s">
        <v>7369</v>
      </c>
      <c r="B2731" s="4" t="s">
        <v>7457</v>
      </c>
      <c r="C2731" s="198" t="s">
        <v>23</v>
      </c>
      <c r="D2731" s="198" t="s">
        <v>1238</v>
      </c>
      <c r="E2731" s="198" t="s">
        <v>3204</v>
      </c>
      <c r="F2731" s="4" t="s">
        <v>2272</v>
      </c>
      <c r="G2731" s="4" t="s">
        <v>2272</v>
      </c>
      <c r="H2731" s="198" t="s">
        <v>521</v>
      </c>
      <c r="I2731" s="198">
        <v>2009</v>
      </c>
      <c r="J2731" s="198" t="s">
        <v>2272</v>
      </c>
      <c r="K2731" s="198" t="s">
        <v>2272</v>
      </c>
      <c r="L2731" s="198" t="s">
        <v>2272</v>
      </c>
      <c r="M2731" s="198" t="s">
        <v>2272</v>
      </c>
      <c r="N2731" s="198" t="s">
        <v>2272</v>
      </c>
      <c r="O2731" s="198" t="s">
        <v>2272</v>
      </c>
      <c r="P2731" s="198" t="s">
        <v>2272</v>
      </c>
      <c r="Q2731" s="198" t="s">
        <v>2272</v>
      </c>
      <c r="R2731" s="198" t="s">
        <v>2272</v>
      </c>
      <c r="S2731" s="198" t="s">
        <v>2272</v>
      </c>
      <c r="T2731" s="198" t="s">
        <v>2272</v>
      </c>
      <c r="U2731" s="21">
        <f>1020*0.004</f>
        <v>4.08</v>
      </c>
      <c r="V2731" s="198" t="s">
        <v>2272</v>
      </c>
      <c r="W2731" s="198" t="s">
        <v>2272</v>
      </c>
      <c r="X2731" s="198" t="s">
        <v>2272</v>
      </c>
      <c r="Y2731" s="21">
        <f>U2731/'Record info'!K$1135</f>
        <v>6.0471320586927529E-4</v>
      </c>
      <c r="Z2731" s="198" t="s">
        <v>2272</v>
      </c>
      <c r="AA2731" s="198" t="s">
        <v>67</v>
      </c>
      <c r="AB2731" s="198" t="s">
        <v>84</v>
      </c>
      <c r="AC2731" s="198" t="s">
        <v>75</v>
      </c>
      <c r="AD2731" s="198"/>
      <c r="AE2731" s="198"/>
    </row>
    <row r="2732" spans="1:31" ht="29" customHeight="1">
      <c r="A2732" s="4" t="s">
        <v>7370</v>
      </c>
      <c r="B2732" s="4" t="s">
        <v>7458</v>
      </c>
      <c r="C2732" s="198" t="s">
        <v>23</v>
      </c>
      <c r="D2732" s="198" t="s">
        <v>1238</v>
      </c>
      <c r="E2732" s="198" t="s">
        <v>3204</v>
      </c>
      <c r="F2732" s="4" t="s">
        <v>2272</v>
      </c>
      <c r="G2732" s="4" t="s">
        <v>2272</v>
      </c>
      <c r="H2732" s="198" t="s">
        <v>521</v>
      </c>
      <c r="I2732" s="198">
        <v>2009</v>
      </c>
      <c r="J2732" s="198" t="s">
        <v>2272</v>
      </c>
      <c r="K2732" s="198" t="s">
        <v>2272</v>
      </c>
      <c r="L2732" s="198" t="s">
        <v>2272</v>
      </c>
      <c r="M2732" s="198" t="s">
        <v>2272</v>
      </c>
      <c r="N2732" s="198" t="s">
        <v>2272</v>
      </c>
      <c r="O2732" s="198" t="s">
        <v>2272</v>
      </c>
      <c r="P2732" s="198" t="s">
        <v>2272</v>
      </c>
      <c r="Q2732" s="198" t="s">
        <v>2272</v>
      </c>
      <c r="R2732" s="198" t="s">
        <v>2272</v>
      </c>
      <c r="S2732" s="198" t="s">
        <v>2272</v>
      </c>
      <c r="T2732" s="198" t="s">
        <v>2272</v>
      </c>
      <c r="U2732" s="21">
        <f>1020*0.004</f>
        <v>4.08</v>
      </c>
      <c r="V2732" s="198" t="s">
        <v>2272</v>
      </c>
      <c r="W2732" s="198" t="s">
        <v>2272</v>
      </c>
      <c r="X2732" s="198" t="s">
        <v>2272</v>
      </c>
      <c r="Y2732" s="21">
        <f>U2732/'Record info'!K$1136</f>
        <v>8.0568720379146919E-4</v>
      </c>
      <c r="Z2732" s="198" t="s">
        <v>2272</v>
      </c>
      <c r="AA2732" s="198" t="s">
        <v>67</v>
      </c>
      <c r="AB2732" s="198" t="s">
        <v>84</v>
      </c>
      <c r="AC2732" s="198" t="s">
        <v>75</v>
      </c>
      <c r="AD2732" s="198"/>
      <c r="AE2732" s="198"/>
    </row>
    <row r="2733" spans="1:31" ht="29" customHeight="1">
      <c r="A2733" s="4" t="s">
        <v>7371</v>
      </c>
      <c r="B2733" s="4" t="s">
        <v>7459</v>
      </c>
      <c r="C2733" s="198" t="s">
        <v>23</v>
      </c>
      <c r="D2733" s="198" t="s">
        <v>1238</v>
      </c>
      <c r="E2733" s="198" t="s">
        <v>3204</v>
      </c>
      <c r="F2733" s="4" t="s">
        <v>2272</v>
      </c>
      <c r="G2733" s="4" t="s">
        <v>2272</v>
      </c>
      <c r="H2733" s="198" t="s">
        <v>522</v>
      </c>
      <c r="I2733" s="198">
        <v>2009</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v>0</v>
      </c>
      <c r="Y2733" s="21">
        <f>U2733/'Record info'!K$1137</f>
        <v>0</v>
      </c>
      <c r="Z2733" s="198" t="s">
        <v>2272</v>
      </c>
      <c r="AA2733" s="198" t="s">
        <v>67</v>
      </c>
      <c r="AB2733" s="198" t="s">
        <v>84</v>
      </c>
      <c r="AC2733" s="198" t="s">
        <v>75</v>
      </c>
      <c r="AD2733" s="198"/>
      <c r="AE2733" s="198"/>
    </row>
    <row r="2734" spans="1:31" ht="29" customHeight="1">
      <c r="A2734" s="4" t="s">
        <v>7372</v>
      </c>
      <c r="B2734" s="4" t="s">
        <v>7460</v>
      </c>
      <c r="C2734" s="198" t="s">
        <v>23</v>
      </c>
      <c r="D2734" s="198" t="s">
        <v>1238</v>
      </c>
      <c r="E2734" s="198" t="s">
        <v>3204</v>
      </c>
      <c r="F2734" s="4" t="s">
        <v>2272</v>
      </c>
      <c r="G2734" s="4" t="s">
        <v>2272</v>
      </c>
      <c r="H2734" s="198" t="s">
        <v>522</v>
      </c>
      <c r="I2734" s="198">
        <v>2009</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v>0</v>
      </c>
      <c r="Y2734" s="21">
        <f>U2734/'Record info'!K$1138</f>
        <v>0</v>
      </c>
      <c r="Z2734" s="198" t="s">
        <v>2272</v>
      </c>
      <c r="AA2734" s="198" t="s">
        <v>67</v>
      </c>
      <c r="AB2734" s="198" t="s">
        <v>84</v>
      </c>
      <c r="AC2734" s="198" t="s">
        <v>75</v>
      </c>
      <c r="AD2734" s="198"/>
      <c r="AE2734" s="198"/>
    </row>
    <row r="2735" spans="1:31" ht="29" customHeight="1">
      <c r="A2735" s="4" t="s">
        <v>7373</v>
      </c>
      <c r="B2735" s="4" t="s">
        <v>7461</v>
      </c>
      <c r="C2735" s="198" t="s">
        <v>23</v>
      </c>
      <c r="D2735" s="198" t="s">
        <v>1238</v>
      </c>
      <c r="E2735" s="198" t="s">
        <v>3204</v>
      </c>
      <c r="F2735" s="4" t="s">
        <v>2272</v>
      </c>
      <c r="G2735" s="4" t="s">
        <v>2272</v>
      </c>
      <c r="H2735" s="198" t="s">
        <v>522</v>
      </c>
      <c r="I2735" s="198">
        <v>2009</v>
      </c>
      <c r="J2735" s="21">
        <v>0</v>
      </c>
      <c r="K2735" s="21">
        <v>0</v>
      </c>
      <c r="L2735" s="21">
        <v>0</v>
      </c>
      <c r="M2735" s="21">
        <v>0</v>
      </c>
      <c r="N2735" s="21">
        <v>0</v>
      </c>
      <c r="O2735" s="21">
        <v>0</v>
      </c>
      <c r="P2735" s="21">
        <v>0</v>
      </c>
      <c r="Q2735" s="21">
        <v>0</v>
      </c>
      <c r="R2735" s="21">
        <v>0</v>
      </c>
      <c r="S2735" s="21">
        <v>0</v>
      </c>
      <c r="T2735" s="21">
        <v>0</v>
      </c>
      <c r="U2735" s="21">
        <v>0</v>
      </c>
      <c r="V2735" s="21">
        <v>0</v>
      </c>
      <c r="W2735" s="21">
        <v>0</v>
      </c>
      <c r="X2735" s="21">
        <v>0</v>
      </c>
      <c r="Y2735" s="21">
        <f>U2735/'Record info'!K$1139</f>
        <v>0</v>
      </c>
      <c r="Z2735" s="198" t="s">
        <v>2272</v>
      </c>
      <c r="AA2735" s="198" t="s">
        <v>67</v>
      </c>
      <c r="AB2735" s="198" t="s">
        <v>84</v>
      </c>
      <c r="AC2735" s="198" t="s">
        <v>75</v>
      </c>
      <c r="AD2735" s="198"/>
      <c r="AE2735" s="198"/>
    </row>
    <row r="2736" spans="1:31" ht="29" customHeight="1">
      <c r="A2736" s="4" t="s">
        <v>7374</v>
      </c>
      <c r="B2736" s="4" t="s">
        <v>7462</v>
      </c>
      <c r="C2736" s="198" t="s">
        <v>23</v>
      </c>
      <c r="D2736" s="198" t="s">
        <v>1238</v>
      </c>
      <c r="E2736" s="198" t="s">
        <v>3204</v>
      </c>
      <c r="F2736" s="4" t="s">
        <v>2272</v>
      </c>
      <c r="G2736" s="4" t="s">
        <v>2272</v>
      </c>
      <c r="H2736" s="198" t="s">
        <v>521</v>
      </c>
      <c r="I2736" s="198">
        <v>2009</v>
      </c>
      <c r="J2736" s="198" t="s">
        <v>2272</v>
      </c>
      <c r="K2736" s="198" t="s">
        <v>2272</v>
      </c>
      <c r="L2736" s="198" t="s">
        <v>2272</v>
      </c>
      <c r="M2736" s="198" t="s">
        <v>2272</v>
      </c>
      <c r="N2736" s="198" t="s">
        <v>2272</v>
      </c>
      <c r="O2736" s="198" t="s">
        <v>2272</v>
      </c>
      <c r="P2736" s="198" t="s">
        <v>2272</v>
      </c>
      <c r="Q2736" s="198" t="s">
        <v>2272</v>
      </c>
      <c r="R2736" s="198" t="s">
        <v>2272</v>
      </c>
      <c r="S2736" s="198" t="s">
        <v>2272</v>
      </c>
      <c r="T2736" s="198" t="s">
        <v>2272</v>
      </c>
      <c r="U2736" s="21">
        <f>1020*0.035</f>
        <v>35.700000000000003</v>
      </c>
      <c r="V2736" s="198" t="s">
        <v>2272</v>
      </c>
      <c r="W2736" s="198" t="s">
        <v>2272</v>
      </c>
      <c r="X2736" s="198" t="s">
        <v>2272</v>
      </c>
      <c r="Y2736" s="21">
        <f>U2736/'Record info'!K$1140</f>
        <v>5.8862324814509485E-3</v>
      </c>
      <c r="Z2736" s="198" t="s">
        <v>2272</v>
      </c>
      <c r="AA2736" s="198" t="s">
        <v>67</v>
      </c>
      <c r="AB2736" s="198" t="s">
        <v>84</v>
      </c>
      <c r="AC2736" s="198" t="s">
        <v>75</v>
      </c>
      <c r="AD2736" s="198"/>
      <c r="AE2736" s="198"/>
    </row>
    <row r="2737" spans="1:31" ht="29" customHeight="1">
      <c r="A2737" s="4" t="s">
        <v>7375</v>
      </c>
      <c r="B2737" s="4" t="s">
        <v>7463</v>
      </c>
      <c r="C2737" s="198" t="s">
        <v>23</v>
      </c>
      <c r="D2737" s="198" t="s">
        <v>1238</v>
      </c>
      <c r="E2737" s="198" t="s">
        <v>3204</v>
      </c>
      <c r="F2737" s="4" t="s">
        <v>2272</v>
      </c>
      <c r="G2737" s="4" t="s">
        <v>2272</v>
      </c>
      <c r="H2737" s="198" t="s">
        <v>521</v>
      </c>
      <c r="I2737" s="198">
        <v>2009</v>
      </c>
      <c r="J2737" s="198" t="s">
        <v>2272</v>
      </c>
      <c r="K2737" s="198" t="s">
        <v>2272</v>
      </c>
      <c r="L2737" s="198" t="s">
        <v>2272</v>
      </c>
      <c r="M2737" s="198" t="s">
        <v>2272</v>
      </c>
      <c r="N2737" s="198" t="s">
        <v>2272</v>
      </c>
      <c r="O2737" s="198" t="s">
        <v>2272</v>
      </c>
      <c r="P2737" s="198" t="s">
        <v>2272</v>
      </c>
      <c r="Q2737" s="198" t="s">
        <v>2272</v>
      </c>
      <c r="R2737" s="198" t="s">
        <v>2272</v>
      </c>
      <c r="S2737" s="198" t="s">
        <v>2272</v>
      </c>
      <c r="T2737" s="198" t="s">
        <v>2272</v>
      </c>
      <c r="U2737" s="21">
        <f>1020*0.079</f>
        <v>80.58</v>
      </c>
      <c r="V2737" s="198" t="s">
        <v>2272</v>
      </c>
      <c r="W2737" s="198" t="s">
        <v>2272</v>
      </c>
      <c r="X2737" s="198" t="s">
        <v>2272</v>
      </c>
      <c r="Y2737" s="21">
        <f>U2737/'Record info'!K$1141</f>
        <v>1.207191011235955E-2</v>
      </c>
      <c r="Z2737" s="198" t="s">
        <v>2272</v>
      </c>
      <c r="AA2737" s="198" t="s">
        <v>67</v>
      </c>
      <c r="AB2737" s="198" t="s">
        <v>84</v>
      </c>
      <c r="AC2737" s="198" t="s">
        <v>75</v>
      </c>
      <c r="AD2737" s="198"/>
      <c r="AE2737" s="198"/>
    </row>
    <row r="2738" spans="1:31" ht="29" customHeight="1">
      <c r="A2738" s="4" t="s">
        <v>7376</v>
      </c>
      <c r="B2738" s="4" t="s">
        <v>7464</v>
      </c>
      <c r="C2738" s="198" t="s">
        <v>23</v>
      </c>
      <c r="D2738" s="198" t="s">
        <v>1238</v>
      </c>
      <c r="E2738" s="198" t="s">
        <v>3204</v>
      </c>
      <c r="F2738" s="4" t="s">
        <v>2272</v>
      </c>
      <c r="G2738" s="4" t="s">
        <v>2272</v>
      </c>
      <c r="H2738" s="198" t="s">
        <v>521</v>
      </c>
      <c r="I2738" s="198">
        <v>2009</v>
      </c>
      <c r="J2738" s="198" t="s">
        <v>2272</v>
      </c>
      <c r="K2738" s="198" t="s">
        <v>2272</v>
      </c>
      <c r="L2738" s="198" t="s">
        <v>2272</v>
      </c>
      <c r="M2738" s="198" t="s">
        <v>2272</v>
      </c>
      <c r="N2738" s="198" t="s">
        <v>2272</v>
      </c>
      <c r="O2738" s="198" t="s">
        <v>2272</v>
      </c>
      <c r="P2738" s="198" t="s">
        <v>2272</v>
      </c>
      <c r="Q2738" s="198" t="s">
        <v>2272</v>
      </c>
      <c r="R2738" s="198" t="s">
        <v>2272</v>
      </c>
      <c r="S2738" s="198" t="s">
        <v>2272</v>
      </c>
      <c r="T2738" s="198" t="s">
        <v>2272</v>
      </c>
      <c r="U2738" s="21">
        <f>1020*0.132</f>
        <v>134.64000000000001</v>
      </c>
      <c r="V2738" s="198" t="s">
        <v>2272</v>
      </c>
      <c r="W2738" s="198" t="s">
        <v>2272</v>
      </c>
      <c r="X2738" s="198" t="s">
        <v>2272</v>
      </c>
      <c r="Y2738" s="21">
        <f>U2738/'Record info'!K$1142</f>
        <v>2.4400144980065243E-2</v>
      </c>
      <c r="Z2738" s="198" t="s">
        <v>2272</v>
      </c>
      <c r="AA2738" s="198" t="s">
        <v>67</v>
      </c>
      <c r="AB2738" s="198" t="s">
        <v>84</v>
      </c>
      <c r="AC2738" s="198" t="s">
        <v>75</v>
      </c>
      <c r="AD2738" s="198"/>
      <c r="AE2738" s="198"/>
    </row>
    <row r="2739" spans="1:31" ht="29" customHeight="1">
      <c r="A2739" s="4" t="s">
        <v>7377</v>
      </c>
      <c r="B2739" s="4" t="s">
        <v>7465</v>
      </c>
      <c r="C2739" s="198" t="s">
        <v>23</v>
      </c>
      <c r="D2739" s="198" t="s">
        <v>1238</v>
      </c>
      <c r="E2739" s="198" t="s">
        <v>3204</v>
      </c>
      <c r="F2739" s="4" t="s">
        <v>2272</v>
      </c>
      <c r="G2739" s="4" t="s">
        <v>2272</v>
      </c>
      <c r="H2739" s="198" t="s">
        <v>521</v>
      </c>
      <c r="I2739" s="198">
        <v>2009</v>
      </c>
      <c r="J2739" s="198" t="s">
        <v>2272</v>
      </c>
      <c r="K2739" s="198" t="s">
        <v>2272</v>
      </c>
      <c r="L2739" s="198" t="s">
        <v>2272</v>
      </c>
      <c r="M2739" s="198" t="s">
        <v>2272</v>
      </c>
      <c r="N2739" s="198" t="s">
        <v>2272</v>
      </c>
      <c r="O2739" s="198" t="s">
        <v>2272</v>
      </c>
      <c r="P2739" s="198" t="s">
        <v>2272</v>
      </c>
      <c r="Q2739" s="198" t="s">
        <v>2272</v>
      </c>
      <c r="R2739" s="198" t="s">
        <v>2272</v>
      </c>
      <c r="S2739" s="198" t="s">
        <v>2272</v>
      </c>
      <c r="T2739" s="198" t="s">
        <v>2272</v>
      </c>
      <c r="U2739" s="21">
        <f>1020*0.057</f>
        <v>58.14</v>
      </c>
      <c r="V2739" s="198" t="s">
        <v>2272</v>
      </c>
      <c r="W2739" s="198" t="s">
        <v>2272</v>
      </c>
      <c r="X2739" s="198" t="s">
        <v>2272</v>
      </c>
      <c r="Y2739" s="21">
        <f>U2739/'Record info'!K$1143</f>
        <v>1.473017481631619E-2</v>
      </c>
      <c r="Z2739" s="198" t="s">
        <v>2272</v>
      </c>
      <c r="AA2739" s="198" t="s">
        <v>67</v>
      </c>
      <c r="AB2739" s="198" t="s">
        <v>84</v>
      </c>
      <c r="AC2739" s="198" t="s">
        <v>75</v>
      </c>
      <c r="AD2739" s="198"/>
      <c r="AE2739" s="198"/>
    </row>
    <row r="2740" spans="1:31" ht="29" customHeight="1">
      <c r="A2740" s="4" t="s">
        <v>7378</v>
      </c>
      <c r="B2740" s="4" t="s">
        <v>7466</v>
      </c>
      <c r="C2740" s="198" t="s">
        <v>23</v>
      </c>
      <c r="D2740" s="198" t="s">
        <v>1238</v>
      </c>
      <c r="E2740" s="198" t="s">
        <v>3204</v>
      </c>
      <c r="F2740" s="4" t="s">
        <v>2272</v>
      </c>
      <c r="G2740" s="4" t="s">
        <v>2272</v>
      </c>
      <c r="H2740" s="198" t="s">
        <v>521</v>
      </c>
      <c r="I2740" s="198">
        <v>2009</v>
      </c>
      <c r="J2740" s="198" t="s">
        <v>2272</v>
      </c>
      <c r="K2740" s="198" t="s">
        <v>2272</v>
      </c>
      <c r="L2740" s="198" t="s">
        <v>2272</v>
      </c>
      <c r="M2740" s="198" t="s">
        <v>2272</v>
      </c>
      <c r="N2740" s="198" t="s">
        <v>2272</v>
      </c>
      <c r="O2740" s="198" t="s">
        <v>2272</v>
      </c>
      <c r="P2740" s="198" t="s">
        <v>2272</v>
      </c>
      <c r="Q2740" s="198" t="s">
        <v>2272</v>
      </c>
      <c r="R2740" s="198" t="s">
        <v>2272</v>
      </c>
      <c r="S2740" s="198" t="s">
        <v>2272</v>
      </c>
      <c r="T2740" s="198" t="s">
        <v>2272</v>
      </c>
      <c r="U2740" s="21">
        <f>1020*0.024</f>
        <v>24.48</v>
      </c>
      <c r="V2740" s="198" t="s">
        <v>2272</v>
      </c>
      <c r="W2740" s="198" t="s">
        <v>2272</v>
      </c>
      <c r="X2740" s="198" t="s">
        <v>2272</v>
      </c>
      <c r="Y2740" s="21">
        <f>U2740/'Record info'!K$1144</f>
        <v>8.7179487179487175E-3</v>
      </c>
      <c r="Z2740" s="198" t="s">
        <v>2272</v>
      </c>
      <c r="AA2740" s="198" t="s">
        <v>67</v>
      </c>
      <c r="AB2740" s="198" t="s">
        <v>84</v>
      </c>
      <c r="AC2740" s="198" t="s">
        <v>75</v>
      </c>
      <c r="AD2740" s="198"/>
      <c r="AE2740" s="198"/>
    </row>
    <row r="2741" spans="1:31" ht="29" customHeight="1">
      <c r="A2741" s="4" t="s">
        <v>7379</v>
      </c>
      <c r="B2741" s="4" t="s">
        <v>7467</v>
      </c>
      <c r="C2741" s="198" t="s">
        <v>23</v>
      </c>
      <c r="D2741" s="198" t="s">
        <v>1238</v>
      </c>
      <c r="E2741" s="198" t="s">
        <v>3204</v>
      </c>
      <c r="F2741" s="4" t="s">
        <v>2272</v>
      </c>
      <c r="G2741" s="4" t="s">
        <v>2272</v>
      </c>
      <c r="H2741" s="198" t="s">
        <v>521</v>
      </c>
      <c r="I2741" s="198">
        <v>2009</v>
      </c>
      <c r="J2741" s="198" t="s">
        <v>2272</v>
      </c>
      <c r="K2741" s="198" t="s">
        <v>2272</v>
      </c>
      <c r="L2741" s="198" t="s">
        <v>2272</v>
      </c>
      <c r="M2741" s="198" t="s">
        <v>2272</v>
      </c>
      <c r="N2741" s="198" t="s">
        <v>2272</v>
      </c>
      <c r="O2741" s="198" t="s">
        <v>2272</v>
      </c>
      <c r="P2741" s="198" t="s">
        <v>2272</v>
      </c>
      <c r="Q2741" s="198" t="s">
        <v>2272</v>
      </c>
      <c r="R2741" s="198" t="s">
        <v>2272</v>
      </c>
      <c r="S2741" s="198" t="s">
        <v>2272</v>
      </c>
      <c r="T2741" s="198" t="s">
        <v>2272</v>
      </c>
      <c r="U2741" s="21">
        <f>1020*0.072</f>
        <v>73.44</v>
      </c>
      <c r="V2741" s="198" t="s">
        <v>2272</v>
      </c>
      <c r="W2741" s="198" t="s">
        <v>2272</v>
      </c>
      <c r="X2741" s="198" t="s">
        <v>2272</v>
      </c>
      <c r="Y2741" s="21">
        <f>U2741/'Record info'!K$1145</f>
        <v>1.4667465548232474E-2</v>
      </c>
      <c r="Z2741" s="198" t="s">
        <v>2272</v>
      </c>
      <c r="AA2741" s="198" t="s">
        <v>67</v>
      </c>
      <c r="AB2741" s="198" t="s">
        <v>84</v>
      </c>
      <c r="AC2741" s="198" t="s">
        <v>75</v>
      </c>
      <c r="AD2741" s="198"/>
      <c r="AE2741" s="198"/>
    </row>
    <row r="2742" spans="1:31" ht="29" customHeight="1">
      <c r="A2742" s="4" t="s">
        <v>7380</v>
      </c>
      <c r="B2742" s="4" t="s">
        <v>7468</v>
      </c>
      <c r="C2742" s="198" t="s">
        <v>23</v>
      </c>
      <c r="D2742" s="198" t="s">
        <v>1238</v>
      </c>
      <c r="E2742" s="198" t="s">
        <v>3204</v>
      </c>
      <c r="F2742" s="4" t="s">
        <v>2272</v>
      </c>
      <c r="G2742" s="4" t="s">
        <v>2272</v>
      </c>
      <c r="H2742" s="198" t="s">
        <v>521</v>
      </c>
      <c r="I2742" s="198">
        <v>2009</v>
      </c>
      <c r="J2742" s="198" t="s">
        <v>2272</v>
      </c>
      <c r="K2742" s="198" t="s">
        <v>2272</v>
      </c>
      <c r="L2742" s="198" t="s">
        <v>2272</v>
      </c>
      <c r="M2742" s="198" t="s">
        <v>2272</v>
      </c>
      <c r="N2742" s="198" t="s">
        <v>2272</v>
      </c>
      <c r="O2742" s="198" t="s">
        <v>2272</v>
      </c>
      <c r="P2742" s="198" t="s">
        <v>2272</v>
      </c>
      <c r="Q2742" s="198" t="s">
        <v>2272</v>
      </c>
      <c r="R2742" s="198" t="s">
        <v>2272</v>
      </c>
      <c r="S2742" s="198" t="s">
        <v>2272</v>
      </c>
      <c r="T2742" s="198" t="s">
        <v>2272</v>
      </c>
      <c r="U2742" s="21">
        <f>1020*0.068</f>
        <v>69.36</v>
      </c>
      <c r="V2742" s="198" t="s">
        <v>2272</v>
      </c>
      <c r="W2742" s="198" t="s">
        <v>2272</v>
      </c>
      <c r="X2742" s="198" t="s">
        <v>2272</v>
      </c>
      <c r="Y2742" s="21">
        <f>U2742/'Record info'!K$1146</f>
        <v>5.908006814310051E-2</v>
      </c>
      <c r="Z2742" s="198" t="s">
        <v>2272</v>
      </c>
      <c r="AA2742" s="198" t="s">
        <v>67</v>
      </c>
      <c r="AB2742" s="198" t="s">
        <v>84</v>
      </c>
      <c r="AC2742" s="198" t="s">
        <v>75</v>
      </c>
      <c r="AD2742" s="198"/>
      <c r="AE2742" s="198"/>
    </row>
    <row r="2743" spans="1:31" ht="29" customHeight="1">
      <c r="A2743" s="4" t="s">
        <v>7381</v>
      </c>
      <c r="B2743" s="4" t="s">
        <v>7469</v>
      </c>
      <c r="C2743" s="198" t="s">
        <v>23</v>
      </c>
      <c r="D2743" s="198" t="s">
        <v>1238</v>
      </c>
      <c r="E2743" s="198" t="s">
        <v>3204</v>
      </c>
      <c r="F2743" s="4" t="s">
        <v>2272</v>
      </c>
      <c r="G2743" s="4" t="s">
        <v>2272</v>
      </c>
      <c r="H2743" s="198" t="s">
        <v>521</v>
      </c>
      <c r="I2743" s="198">
        <v>2009</v>
      </c>
      <c r="J2743" s="198" t="s">
        <v>2272</v>
      </c>
      <c r="K2743" s="198" t="s">
        <v>2272</v>
      </c>
      <c r="L2743" s="198" t="s">
        <v>2272</v>
      </c>
      <c r="M2743" s="198" t="s">
        <v>2272</v>
      </c>
      <c r="N2743" s="198" t="s">
        <v>2272</v>
      </c>
      <c r="O2743" s="198" t="s">
        <v>2272</v>
      </c>
      <c r="P2743" s="198" t="s">
        <v>2272</v>
      </c>
      <c r="Q2743" s="198" t="s">
        <v>2272</v>
      </c>
      <c r="R2743" s="198" t="s">
        <v>2272</v>
      </c>
      <c r="S2743" s="198" t="s">
        <v>2272</v>
      </c>
      <c r="T2743" s="198" t="s">
        <v>2272</v>
      </c>
      <c r="U2743" s="21">
        <f>1020*0.075</f>
        <v>76.5</v>
      </c>
      <c r="V2743" s="198" t="s">
        <v>2272</v>
      </c>
      <c r="W2743" s="198" t="s">
        <v>2272</v>
      </c>
      <c r="X2743" s="198" t="s">
        <v>2272</v>
      </c>
      <c r="Y2743" s="21">
        <f>U2743/'Record info'!K$1147</f>
        <v>1.7675600739371536E-2</v>
      </c>
      <c r="Z2743" s="198" t="s">
        <v>2272</v>
      </c>
      <c r="AA2743" s="198" t="s">
        <v>67</v>
      </c>
      <c r="AB2743" s="198" t="s">
        <v>84</v>
      </c>
      <c r="AC2743" s="198" t="s">
        <v>75</v>
      </c>
      <c r="AD2743" s="198"/>
      <c r="AE2743" s="198"/>
    </row>
    <row r="2744" spans="1:31" ht="29" customHeight="1">
      <c r="A2744" s="4" t="s">
        <v>7382</v>
      </c>
      <c r="B2744" s="4" t="s">
        <v>7470</v>
      </c>
      <c r="C2744" s="198" t="s">
        <v>23</v>
      </c>
      <c r="D2744" s="198" t="s">
        <v>1238</v>
      </c>
      <c r="E2744" s="198" t="s">
        <v>3204</v>
      </c>
      <c r="F2744" s="4" t="s">
        <v>2272</v>
      </c>
      <c r="G2744" s="4" t="s">
        <v>2272</v>
      </c>
      <c r="H2744" s="198" t="s">
        <v>521</v>
      </c>
      <c r="I2744" s="198">
        <v>2009</v>
      </c>
      <c r="J2744" s="198" t="s">
        <v>2272</v>
      </c>
      <c r="K2744" s="198" t="s">
        <v>2272</v>
      </c>
      <c r="L2744" s="198" t="s">
        <v>2272</v>
      </c>
      <c r="M2744" s="198" t="s">
        <v>2272</v>
      </c>
      <c r="N2744" s="198" t="s">
        <v>2272</v>
      </c>
      <c r="O2744" s="198" t="s">
        <v>2272</v>
      </c>
      <c r="P2744" s="198" t="s">
        <v>2272</v>
      </c>
      <c r="Q2744" s="198" t="s">
        <v>2272</v>
      </c>
      <c r="R2744" s="198" t="s">
        <v>2272</v>
      </c>
      <c r="S2744" s="198" t="s">
        <v>2272</v>
      </c>
      <c r="T2744" s="198" t="s">
        <v>2272</v>
      </c>
      <c r="U2744" s="21">
        <f>1020*0.111</f>
        <v>113.22</v>
      </c>
      <c r="V2744" s="198" t="s">
        <v>2272</v>
      </c>
      <c r="W2744" s="198" t="s">
        <v>2272</v>
      </c>
      <c r="X2744" s="198" t="s">
        <v>2272</v>
      </c>
      <c r="Y2744" s="21">
        <f>U2744/'Record info'!K$1148</f>
        <v>4.7273486430062628E-2</v>
      </c>
      <c r="Z2744" s="198" t="s">
        <v>2272</v>
      </c>
      <c r="AA2744" s="198" t="s">
        <v>67</v>
      </c>
      <c r="AB2744" s="198" t="s">
        <v>84</v>
      </c>
      <c r="AC2744" s="198" t="s">
        <v>75</v>
      </c>
      <c r="AD2744" s="198"/>
      <c r="AE2744" s="198"/>
    </row>
    <row r="2745" spans="1:31" ht="29" customHeight="1">
      <c r="A2745" s="4" t="s">
        <v>7383</v>
      </c>
      <c r="B2745" s="4" t="s">
        <v>7471</v>
      </c>
      <c r="C2745" s="198" t="s">
        <v>23</v>
      </c>
      <c r="D2745" s="198" t="s">
        <v>1238</v>
      </c>
      <c r="E2745" s="198" t="s">
        <v>3204</v>
      </c>
      <c r="F2745" s="4" t="s">
        <v>2272</v>
      </c>
      <c r="G2745" s="4" t="s">
        <v>2272</v>
      </c>
      <c r="H2745" s="198" t="s">
        <v>521</v>
      </c>
      <c r="I2745" s="198">
        <v>2009</v>
      </c>
      <c r="J2745" s="198" t="s">
        <v>2272</v>
      </c>
      <c r="K2745" s="198" t="s">
        <v>2272</v>
      </c>
      <c r="L2745" s="198" t="s">
        <v>2272</v>
      </c>
      <c r="M2745" s="198" t="s">
        <v>2272</v>
      </c>
      <c r="N2745" s="198" t="s">
        <v>2272</v>
      </c>
      <c r="O2745" s="198" t="s">
        <v>2272</v>
      </c>
      <c r="P2745" s="198" t="s">
        <v>2272</v>
      </c>
      <c r="Q2745" s="198" t="s">
        <v>2272</v>
      </c>
      <c r="R2745" s="198" t="s">
        <v>2272</v>
      </c>
      <c r="S2745" s="198" t="s">
        <v>2272</v>
      </c>
      <c r="T2745" s="198" t="s">
        <v>2272</v>
      </c>
      <c r="U2745" s="21">
        <f>1020*0.106</f>
        <v>108.11999999999999</v>
      </c>
      <c r="V2745" s="198" t="s">
        <v>2272</v>
      </c>
      <c r="W2745" s="198" t="s">
        <v>2272</v>
      </c>
      <c r="X2745" s="198" t="s">
        <v>2272</v>
      </c>
      <c r="Y2745" s="21">
        <f>U2745/'Record info'!K$1149</f>
        <v>4.0448933782267112E-2</v>
      </c>
      <c r="Z2745" s="198" t="s">
        <v>2272</v>
      </c>
      <c r="AA2745" s="198" t="s">
        <v>67</v>
      </c>
      <c r="AB2745" s="198" t="s">
        <v>84</v>
      </c>
      <c r="AC2745" s="198" t="s">
        <v>75</v>
      </c>
      <c r="AD2745" s="198"/>
      <c r="AE2745" s="198"/>
    </row>
    <row r="2746" spans="1:31" ht="29" customHeight="1">
      <c r="A2746" s="4" t="s">
        <v>7384</v>
      </c>
      <c r="B2746" s="4" t="s">
        <v>7474</v>
      </c>
      <c r="C2746" s="198" t="s">
        <v>23</v>
      </c>
      <c r="D2746" s="198" t="s">
        <v>1238</v>
      </c>
      <c r="E2746" s="198" t="s">
        <v>3204</v>
      </c>
      <c r="F2746" s="4" t="s">
        <v>2272</v>
      </c>
      <c r="G2746" s="4" t="s">
        <v>2272</v>
      </c>
      <c r="H2746" s="198" t="s">
        <v>521</v>
      </c>
      <c r="I2746" s="198">
        <v>2009</v>
      </c>
      <c r="J2746" s="198" t="s">
        <v>2272</v>
      </c>
      <c r="K2746" s="198" t="s">
        <v>2272</v>
      </c>
      <c r="L2746" s="198" t="s">
        <v>2272</v>
      </c>
      <c r="M2746" s="198" t="s">
        <v>2272</v>
      </c>
      <c r="N2746" s="198" t="s">
        <v>2272</v>
      </c>
      <c r="O2746" s="198" t="s">
        <v>2272</v>
      </c>
      <c r="P2746" s="198" t="s">
        <v>2272</v>
      </c>
      <c r="Q2746" s="198" t="s">
        <v>2272</v>
      </c>
      <c r="R2746" s="198" t="s">
        <v>2272</v>
      </c>
      <c r="S2746" s="198" t="s">
        <v>2272</v>
      </c>
      <c r="T2746" s="198" t="s">
        <v>2272</v>
      </c>
      <c r="U2746" s="21">
        <f>1020*0.166</f>
        <v>169.32000000000002</v>
      </c>
      <c r="V2746" s="198" t="s">
        <v>2272</v>
      </c>
      <c r="W2746" s="198" t="s">
        <v>2272</v>
      </c>
      <c r="X2746" s="198" t="s">
        <v>2272</v>
      </c>
      <c r="Y2746" s="21">
        <f>U2746/'Record info'!K$1150</f>
        <v>7.5086474501108655E-2</v>
      </c>
      <c r="Z2746" s="198" t="s">
        <v>2272</v>
      </c>
      <c r="AA2746" s="198" t="s">
        <v>67</v>
      </c>
      <c r="AB2746" s="198" t="s">
        <v>84</v>
      </c>
      <c r="AC2746" s="198" t="s">
        <v>75</v>
      </c>
      <c r="AD2746" s="198"/>
      <c r="AE2746" s="198"/>
    </row>
    <row r="2747" spans="1:31" ht="29" customHeight="1">
      <c r="A2747" s="4" t="s">
        <v>7282</v>
      </c>
      <c r="B2747" s="4" t="s">
        <v>7472</v>
      </c>
      <c r="C2747" s="198" t="s">
        <v>23</v>
      </c>
      <c r="D2747" s="198" t="s">
        <v>1238</v>
      </c>
      <c r="E2747" s="198" t="s">
        <v>3204</v>
      </c>
      <c r="F2747" s="4" t="s">
        <v>2272</v>
      </c>
      <c r="G2747" s="4" t="s">
        <v>2272</v>
      </c>
      <c r="H2747" s="198" t="s">
        <v>521</v>
      </c>
      <c r="I2747" s="198">
        <v>2010</v>
      </c>
      <c r="J2747" s="198" t="s">
        <v>2272</v>
      </c>
      <c r="K2747" s="198" t="s">
        <v>2272</v>
      </c>
      <c r="L2747" s="198" t="s">
        <v>2272</v>
      </c>
      <c r="M2747" s="198" t="s">
        <v>2272</v>
      </c>
      <c r="N2747" s="198" t="s">
        <v>2272</v>
      </c>
      <c r="O2747" s="198" t="s">
        <v>2272</v>
      </c>
      <c r="P2747" s="198" t="s">
        <v>2272</v>
      </c>
      <c r="Q2747" s="198" t="s">
        <v>2272</v>
      </c>
      <c r="R2747" s="198" t="s">
        <v>2272</v>
      </c>
      <c r="S2747" s="198" t="s">
        <v>2272</v>
      </c>
      <c r="T2747" s="198" t="s">
        <v>2272</v>
      </c>
      <c r="U2747" s="21">
        <f>2500*0.027</f>
        <v>67.5</v>
      </c>
      <c r="V2747" s="198" t="s">
        <v>2272</v>
      </c>
      <c r="W2747" s="198" t="s">
        <v>2272</v>
      </c>
      <c r="X2747" s="198" t="s">
        <v>2272</v>
      </c>
      <c r="Y2747" s="21">
        <f>U2747/'Record info'!K$1133</f>
        <v>2.4107142857142858E-2</v>
      </c>
      <c r="Z2747" s="198" t="s">
        <v>2272</v>
      </c>
      <c r="AA2747" s="198" t="s">
        <v>67</v>
      </c>
      <c r="AB2747" s="198" t="s">
        <v>84</v>
      </c>
      <c r="AC2747" s="198" t="s">
        <v>75</v>
      </c>
      <c r="AD2747" s="198"/>
      <c r="AE2747" s="198"/>
    </row>
    <row r="2748" spans="1:31" ht="29" customHeight="1">
      <c r="A2748" s="4" t="s">
        <v>7368</v>
      </c>
      <c r="B2748" s="4" t="s">
        <v>7475</v>
      </c>
      <c r="C2748" s="198" t="s">
        <v>23</v>
      </c>
      <c r="D2748" s="198" t="s">
        <v>1238</v>
      </c>
      <c r="E2748" s="198" t="s">
        <v>3204</v>
      </c>
      <c r="F2748" s="4" t="s">
        <v>2272</v>
      </c>
      <c r="G2748" s="4" t="s">
        <v>2272</v>
      </c>
      <c r="H2748" s="198" t="s">
        <v>521</v>
      </c>
      <c r="I2748" s="198">
        <v>2010</v>
      </c>
      <c r="J2748" s="198" t="s">
        <v>2272</v>
      </c>
      <c r="K2748" s="198" t="s">
        <v>2272</v>
      </c>
      <c r="L2748" s="198" t="s">
        <v>2272</v>
      </c>
      <c r="M2748" s="198" t="s">
        <v>2272</v>
      </c>
      <c r="N2748" s="198" t="s">
        <v>2272</v>
      </c>
      <c r="O2748" s="198" t="s">
        <v>2272</v>
      </c>
      <c r="P2748" s="198" t="s">
        <v>2272</v>
      </c>
      <c r="Q2748" s="198" t="s">
        <v>2272</v>
      </c>
      <c r="R2748" s="198" t="s">
        <v>2272</v>
      </c>
      <c r="S2748" s="198" t="s">
        <v>2272</v>
      </c>
      <c r="T2748" s="198" t="s">
        <v>2272</v>
      </c>
      <c r="U2748" s="21">
        <f>2500*0.041</f>
        <v>102.5</v>
      </c>
      <c r="V2748" s="198" t="s">
        <v>2272</v>
      </c>
      <c r="W2748" s="198" t="s">
        <v>2272</v>
      </c>
      <c r="X2748" s="198" t="s">
        <v>2272</v>
      </c>
      <c r="Y2748" s="21">
        <f>U2748/'Record info'!K$1134</f>
        <v>2.9160739687055477E-2</v>
      </c>
      <c r="Z2748" s="198" t="s">
        <v>2272</v>
      </c>
      <c r="AA2748" s="198" t="s">
        <v>67</v>
      </c>
      <c r="AB2748" s="198" t="s">
        <v>84</v>
      </c>
      <c r="AC2748" s="198" t="s">
        <v>75</v>
      </c>
      <c r="AD2748" s="198"/>
      <c r="AE2748" s="198"/>
    </row>
    <row r="2749" spans="1:31" ht="29" customHeight="1">
      <c r="A2749" s="4" t="s">
        <v>7369</v>
      </c>
      <c r="B2749" s="4" t="s">
        <v>7476</v>
      </c>
      <c r="C2749" s="198" t="s">
        <v>23</v>
      </c>
      <c r="D2749" s="198" t="s">
        <v>1238</v>
      </c>
      <c r="E2749" s="198" t="s">
        <v>3204</v>
      </c>
      <c r="F2749" s="4" t="s">
        <v>2272</v>
      </c>
      <c r="G2749" s="4" t="s">
        <v>2272</v>
      </c>
      <c r="H2749" s="198" t="s">
        <v>521</v>
      </c>
      <c r="I2749" s="198">
        <v>2010</v>
      </c>
      <c r="J2749" s="198" t="s">
        <v>2272</v>
      </c>
      <c r="K2749" s="198" t="s">
        <v>2272</v>
      </c>
      <c r="L2749" s="198" t="s">
        <v>2272</v>
      </c>
      <c r="M2749" s="198" t="s">
        <v>2272</v>
      </c>
      <c r="N2749" s="198" t="s">
        <v>2272</v>
      </c>
      <c r="O2749" s="198" t="s">
        <v>2272</v>
      </c>
      <c r="P2749" s="198" t="s">
        <v>2272</v>
      </c>
      <c r="Q2749" s="198" t="s">
        <v>2272</v>
      </c>
      <c r="R2749" s="198" t="s">
        <v>2272</v>
      </c>
      <c r="S2749" s="198" t="s">
        <v>2272</v>
      </c>
      <c r="T2749" s="198" t="s">
        <v>2272</v>
      </c>
      <c r="U2749" s="21">
        <f>2500*0.004</f>
        <v>10</v>
      </c>
      <c r="V2749" s="198" t="s">
        <v>2272</v>
      </c>
      <c r="W2749" s="198" t="s">
        <v>2272</v>
      </c>
      <c r="X2749" s="198" t="s">
        <v>2272</v>
      </c>
      <c r="Y2749" s="21">
        <f>U2749/'Record info'!K$1135</f>
        <v>1.4821402104639098E-3</v>
      </c>
      <c r="Z2749" s="198" t="s">
        <v>2272</v>
      </c>
      <c r="AA2749" s="198" t="s">
        <v>67</v>
      </c>
      <c r="AB2749" s="198" t="s">
        <v>84</v>
      </c>
      <c r="AC2749" s="198" t="s">
        <v>75</v>
      </c>
      <c r="AD2749" s="198"/>
      <c r="AE2749" s="198"/>
    </row>
    <row r="2750" spans="1:31" ht="29" customHeight="1">
      <c r="A2750" s="4" t="s">
        <v>7370</v>
      </c>
      <c r="B2750" s="4" t="s">
        <v>7477</v>
      </c>
      <c r="C2750" s="198" t="s">
        <v>23</v>
      </c>
      <c r="D2750" s="198" t="s">
        <v>1238</v>
      </c>
      <c r="E2750" s="198" t="s">
        <v>3204</v>
      </c>
      <c r="F2750" s="4" t="s">
        <v>2272</v>
      </c>
      <c r="G2750" s="4" t="s">
        <v>2272</v>
      </c>
      <c r="H2750" s="198" t="s">
        <v>521</v>
      </c>
      <c r="I2750" s="198">
        <v>2010</v>
      </c>
      <c r="J2750" s="198" t="s">
        <v>2272</v>
      </c>
      <c r="K2750" s="198" t="s">
        <v>2272</v>
      </c>
      <c r="L2750" s="198" t="s">
        <v>2272</v>
      </c>
      <c r="M2750" s="198" t="s">
        <v>2272</v>
      </c>
      <c r="N2750" s="198" t="s">
        <v>2272</v>
      </c>
      <c r="O2750" s="198" t="s">
        <v>2272</v>
      </c>
      <c r="P2750" s="198" t="s">
        <v>2272</v>
      </c>
      <c r="Q2750" s="198" t="s">
        <v>2272</v>
      </c>
      <c r="R2750" s="198" t="s">
        <v>2272</v>
      </c>
      <c r="S2750" s="198" t="s">
        <v>2272</v>
      </c>
      <c r="T2750" s="198" t="s">
        <v>2272</v>
      </c>
      <c r="U2750" s="21">
        <f>2500*0.004</f>
        <v>10</v>
      </c>
      <c r="V2750" s="198" t="s">
        <v>2272</v>
      </c>
      <c r="W2750" s="198" t="s">
        <v>2272</v>
      </c>
      <c r="X2750" s="198" t="s">
        <v>2272</v>
      </c>
      <c r="Y2750" s="21">
        <f>U2750/'Record info'!K$1136</f>
        <v>1.9747235387045812E-3</v>
      </c>
      <c r="Z2750" s="198" t="s">
        <v>2272</v>
      </c>
      <c r="AA2750" s="198" t="s">
        <v>67</v>
      </c>
      <c r="AB2750" s="198" t="s">
        <v>84</v>
      </c>
      <c r="AC2750" s="198" t="s">
        <v>75</v>
      </c>
      <c r="AD2750" s="198"/>
      <c r="AE2750" s="198"/>
    </row>
    <row r="2751" spans="1:31" ht="29" customHeight="1">
      <c r="A2751" s="4" t="s">
        <v>7371</v>
      </c>
      <c r="B2751" s="4" t="s">
        <v>7478</v>
      </c>
      <c r="C2751" s="198" t="s">
        <v>23</v>
      </c>
      <c r="D2751" s="198" t="s">
        <v>1238</v>
      </c>
      <c r="E2751" s="198" t="s">
        <v>3204</v>
      </c>
      <c r="F2751" s="4" t="s">
        <v>2272</v>
      </c>
      <c r="G2751" s="4" t="s">
        <v>2272</v>
      </c>
      <c r="H2751" s="198" t="s">
        <v>522</v>
      </c>
      <c r="I2751" s="198">
        <v>2010</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v>0</v>
      </c>
      <c r="Y2751" s="21">
        <f>U2751/'Record info'!K$1137</f>
        <v>0</v>
      </c>
      <c r="Z2751" s="198" t="s">
        <v>2272</v>
      </c>
      <c r="AA2751" s="198" t="s">
        <v>67</v>
      </c>
      <c r="AB2751" s="198" t="s">
        <v>84</v>
      </c>
      <c r="AC2751" s="198" t="s">
        <v>75</v>
      </c>
      <c r="AD2751" s="198"/>
      <c r="AE2751" s="198"/>
    </row>
    <row r="2752" spans="1:31" ht="29" customHeight="1">
      <c r="A2752" s="4" t="s">
        <v>7372</v>
      </c>
      <c r="B2752" s="4" t="s">
        <v>7479</v>
      </c>
      <c r="C2752" s="198" t="s">
        <v>23</v>
      </c>
      <c r="D2752" s="198" t="s">
        <v>1238</v>
      </c>
      <c r="E2752" s="198" t="s">
        <v>3204</v>
      </c>
      <c r="F2752" s="4" t="s">
        <v>2272</v>
      </c>
      <c r="G2752" s="4" t="s">
        <v>2272</v>
      </c>
      <c r="H2752" s="198" t="s">
        <v>522</v>
      </c>
      <c r="I2752" s="198">
        <v>2010</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v>0</v>
      </c>
      <c r="Y2752" s="21">
        <f>U2752/'Record info'!K$1138</f>
        <v>0</v>
      </c>
      <c r="Z2752" s="198" t="s">
        <v>2272</v>
      </c>
      <c r="AA2752" s="198" t="s">
        <v>67</v>
      </c>
      <c r="AB2752" s="198" t="s">
        <v>84</v>
      </c>
      <c r="AC2752" s="198" t="s">
        <v>75</v>
      </c>
      <c r="AD2752" s="198"/>
      <c r="AE2752" s="198"/>
    </row>
    <row r="2753" spans="1:31" ht="29" customHeight="1">
      <c r="A2753" s="4" t="s">
        <v>7373</v>
      </c>
      <c r="B2753" s="4" t="s">
        <v>7480</v>
      </c>
      <c r="C2753" s="198" t="s">
        <v>23</v>
      </c>
      <c r="D2753" s="198" t="s">
        <v>1238</v>
      </c>
      <c r="E2753" s="198" t="s">
        <v>3204</v>
      </c>
      <c r="F2753" s="4" t="s">
        <v>2272</v>
      </c>
      <c r="G2753" s="4" t="s">
        <v>2272</v>
      </c>
      <c r="H2753" s="198" t="s">
        <v>522</v>
      </c>
      <c r="I2753" s="198">
        <v>2010</v>
      </c>
      <c r="J2753" s="21">
        <v>0</v>
      </c>
      <c r="K2753" s="21">
        <v>0</v>
      </c>
      <c r="L2753" s="21">
        <v>0</v>
      </c>
      <c r="M2753" s="21">
        <v>0</v>
      </c>
      <c r="N2753" s="21">
        <v>0</v>
      </c>
      <c r="O2753" s="21">
        <v>0</v>
      </c>
      <c r="P2753" s="21">
        <v>0</v>
      </c>
      <c r="Q2753" s="21">
        <v>0</v>
      </c>
      <c r="R2753" s="21">
        <v>0</v>
      </c>
      <c r="S2753" s="21">
        <v>0</v>
      </c>
      <c r="T2753" s="21">
        <v>0</v>
      </c>
      <c r="U2753" s="21">
        <v>0</v>
      </c>
      <c r="V2753" s="21">
        <v>0</v>
      </c>
      <c r="W2753" s="21">
        <v>0</v>
      </c>
      <c r="X2753" s="21">
        <v>0</v>
      </c>
      <c r="Y2753" s="21">
        <f>U2753/'Record info'!K$1139</f>
        <v>0</v>
      </c>
      <c r="Z2753" s="198" t="s">
        <v>2272</v>
      </c>
      <c r="AA2753" s="198" t="s">
        <v>67</v>
      </c>
      <c r="AB2753" s="198" t="s">
        <v>84</v>
      </c>
      <c r="AC2753" s="198" t="s">
        <v>75</v>
      </c>
      <c r="AD2753" s="198"/>
      <c r="AE2753" s="198"/>
    </row>
    <row r="2754" spans="1:31" ht="29" customHeight="1">
      <c r="A2754" s="4" t="s">
        <v>7374</v>
      </c>
      <c r="B2754" s="4" t="s">
        <v>7481</v>
      </c>
      <c r="C2754" s="198" t="s">
        <v>23</v>
      </c>
      <c r="D2754" s="198" t="s">
        <v>1238</v>
      </c>
      <c r="E2754" s="198" t="s">
        <v>3204</v>
      </c>
      <c r="F2754" s="4" t="s">
        <v>2272</v>
      </c>
      <c r="G2754" s="4" t="s">
        <v>2272</v>
      </c>
      <c r="H2754" s="198" t="s">
        <v>521</v>
      </c>
      <c r="I2754" s="198">
        <v>2010</v>
      </c>
      <c r="J2754" s="198" t="s">
        <v>2272</v>
      </c>
      <c r="K2754" s="198" t="s">
        <v>2272</v>
      </c>
      <c r="L2754" s="198" t="s">
        <v>2272</v>
      </c>
      <c r="M2754" s="198" t="s">
        <v>2272</v>
      </c>
      <c r="N2754" s="198" t="s">
        <v>2272</v>
      </c>
      <c r="O2754" s="198" t="s">
        <v>2272</v>
      </c>
      <c r="P2754" s="198" t="s">
        <v>2272</v>
      </c>
      <c r="Q2754" s="198" t="s">
        <v>2272</v>
      </c>
      <c r="R2754" s="198" t="s">
        <v>2272</v>
      </c>
      <c r="S2754" s="198" t="s">
        <v>2272</v>
      </c>
      <c r="T2754" s="198" t="s">
        <v>2272</v>
      </c>
      <c r="U2754" s="21">
        <f>2500*0.035</f>
        <v>87.500000000000014</v>
      </c>
      <c r="V2754" s="198" t="s">
        <v>2272</v>
      </c>
      <c r="W2754" s="198" t="s">
        <v>2272</v>
      </c>
      <c r="X2754" s="198" t="s">
        <v>2272</v>
      </c>
      <c r="Y2754" s="21">
        <f>U2754/'Record info'!K$1140</f>
        <v>1.442704039571311E-2</v>
      </c>
      <c r="Z2754" s="198" t="s">
        <v>2272</v>
      </c>
      <c r="AA2754" s="198" t="s">
        <v>67</v>
      </c>
      <c r="AB2754" s="198" t="s">
        <v>84</v>
      </c>
      <c r="AC2754" s="198" t="s">
        <v>75</v>
      </c>
      <c r="AD2754" s="198"/>
      <c r="AE2754" s="198"/>
    </row>
    <row r="2755" spans="1:31" ht="29" customHeight="1">
      <c r="A2755" s="4" t="s">
        <v>7375</v>
      </c>
      <c r="B2755" s="4" t="s">
        <v>7482</v>
      </c>
      <c r="C2755" s="198" t="s">
        <v>23</v>
      </c>
      <c r="D2755" s="198" t="s">
        <v>1238</v>
      </c>
      <c r="E2755" s="198" t="s">
        <v>3204</v>
      </c>
      <c r="F2755" s="4" t="s">
        <v>2272</v>
      </c>
      <c r="G2755" s="4" t="s">
        <v>2272</v>
      </c>
      <c r="H2755" s="198" t="s">
        <v>521</v>
      </c>
      <c r="I2755" s="198">
        <v>2010</v>
      </c>
      <c r="J2755" s="198" t="s">
        <v>2272</v>
      </c>
      <c r="K2755" s="198" t="s">
        <v>2272</v>
      </c>
      <c r="L2755" s="198" t="s">
        <v>2272</v>
      </c>
      <c r="M2755" s="198" t="s">
        <v>2272</v>
      </c>
      <c r="N2755" s="198" t="s">
        <v>2272</v>
      </c>
      <c r="O2755" s="198" t="s">
        <v>2272</v>
      </c>
      <c r="P2755" s="198" t="s">
        <v>2272</v>
      </c>
      <c r="Q2755" s="198" t="s">
        <v>2272</v>
      </c>
      <c r="R2755" s="198" t="s">
        <v>2272</v>
      </c>
      <c r="S2755" s="198" t="s">
        <v>2272</v>
      </c>
      <c r="T2755" s="198" t="s">
        <v>2272</v>
      </c>
      <c r="U2755" s="21">
        <f>2500*0.079</f>
        <v>197.5</v>
      </c>
      <c r="V2755" s="198" t="s">
        <v>2272</v>
      </c>
      <c r="W2755" s="198" t="s">
        <v>2272</v>
      </c>
      <c r="X2755" s="198" t="s">
        <v>2272</v>
      </c>
      <c r="Y2755" s="21">
        <f>U2755/'Record info'!K$1141</f>
        <v>2.9588014981273409E-2</v>
      </c>
      <c r="Z2755" s="198" t="s">
        <v>2272</v>
      </c>
      <c r="AA2755" s="198" t="s">
        <v>67</v>
      </c>
      <c r="AB2755" s="198" t="s">
        <v>84</v>
      </c>
      <c r="AC2755" s="198" t="s">
        <v>75</v>
      </c>
      <c r="AD2755" s="198"/>
      <c r="AE2755" s="198"/>
    </row>
    <row r="2756" spans="1:31" ht="29" customHeight="1">
      <c r="A2756" s="4" t="s">
        <v>7376</v>
      </c>
      <c r="B2756" s="4" t="s">
        <v>7483</v>
      </c>
      <c r="C2756" s="198" t="s">
        <v>23</v>
      </c>
      <c r="D2756" s="198" t="s">
        <v>1238</v>
      </c>
      <c r="E2756" s="198" t="s">
        <v>3204</v>
      </c>
      <c r="F2756" s="4" t="s">
        <v>2272</v>
      </c>
      <c r="G2756" s="4" t="s">
        <v>2272</v>
      </c>
      <c r="H2756" s="198" t="s">
        <v>521</v>
      </c>
      <c r="I2756" s="198">
        <v>2010</v>
      </c>
      <c r="J2756" s="198" t="s">
        <v>2272</v>
      </c>
      <c r="K2756" s="198" t="s">
        <v>2272</v>
      </c>
      <c r="L2756" s="198" t="s">
        <v>2272</v>
      </c>
      <c r="M2756" s="198" t="s">
        <v>2272</v>
      </c>
      <c r="N2756" s="198" t="s">
        <v>2272</v>
      </c>
      <c r="O2756" s="198" t="s">
        <v>2272</v>
      </c>
      <c r="P2756" s="198" t="s">
        <v>2272</v>
      </c>
      <c r="Q2756" s="198" t="s">
        <v>2272</v>
      </c>
      <c r="R2756" s="198" t="s">
        <v>2272</v>
      </c>
      <c r="S2756" s="198" t="s">
        <v>2272</v>
      </c>
      <c r="T2756" s="198" t="s">
        <v>2272</v>
      </c>
      <c r="U2756" s="21">
        <f>2500*0.132</f>
        <v>330</v>
      </c>
      <c r="V2756" s="198" t="s">
        <v>2272</v>
      </c>
      <c r="W2756" s="198" t="s">
        <v>2272</v>
      </c>
      <c r="X2756" s="198" t="s">
        <v>2272</v>
      </c>
      <c r="Y2756" s="21">
        <f>U2756/'Record info'!K$1142</f>
        <v>5.9804276911924609E-2</v>
      </c>
      <c r="Z2756" s="198" t="s">
        <v>2272</v>
      </c>
      <c r="AA2756" s="198" t="s">
        <v>67</v>
      </c>
      <c r="AB2756" s="198" t="s">
        <v>84</v>
      </c>
      <c r="AC2756" s="198" t="s">
        <v>75</v>
      </c>
      <c r="AD2756" s="198"/>
      <c r="AE2756" s="198"/>
    </row>
    <row r="2757" spans="1:31" ht="29" customHeight="1">
      <c r="A2757" s="4" t="s">
        <v>7377</v>
      </c>
      <c r="B2757" s="4" t="s">
        <v>7484</v>
      </c>
      <c r="C2757" s="198" t="s">
        <v>23</v>
      </c>
      <c r="D2757" s="198" t="s">
        <v>1238</v>
      </c>
      <c r="E2757" s="198" t="s">
        <v>3204</v>
      </c>
      <c r="F2757" s="4" t="s">
        <v>2272</v>
      </c>
      <c r="G2757" s="4" t="s">
        <v>2272</v>
      </c>
      <c r="H2757" s="198" t="s">
        <v>521</v>
      </c>
      <c r="I2757" s="198">
        <v>2010</v>
      </c>
      <c r="J2757" s="198" t="s">
        <v>2272</v>
      </c>
      <c r="K2757" s="198" t="s">
        <v>2272</v>
      </c>
      <c r="L2757" s="198" t="s">
        <v>2272</v>
      </c>
      <c r="M2757" s="198" t="s">
        <v>2272</v>
      </c>
      <c r="N2757" s="198" t="s">
        <v>2272</v>
      </c>
      <c r="O2757" s="198" t="s">
        <v>2272</v>
      </c>
      <c r="P2757" s="198" t="s">
        <v>2272</v>
      </c>
      <c r="Q2757" s="198" t="s">
        <v>2272</v>
      </c>
      <c r="R2757" s="198" t="s">
        <v>2272</v>
      </c>
      <c r="S2757" s="198" t="s">
        <v>2272</v>
      </c>
      <c r="T2757" s="198" t="s">
        <v>2272</v>
      </c>
      <c r="U2757" s="21">
        <f>2500*0.057</f>
        <v>142.5</v>
      </c>
      <c r="V2757" s="198" t="s">
        <v>2272</v>
      </c>
      <c r="W2757" s="198" t="s">
        <v>2272</v>
      </c>
      <c r="X2757" s="198" t="s">
        <v>2272</v>
      </c>
      <c r="Y2757" s="21">
        <f>U2757/'Record info'!K$1143</f>
        <v>3.6103369647833797E-2</v>
      </c>
      <c r="Z2757" s="198" t="s">
        <v>2272</v>
      </c>
      <c r="AA2757" s="198" t="s">
        <v>67</v>
      </c>
      <c r="AB2757" s="198" t="s">
        <v>84</v>
      </c>
      <c r="AC2757" s="198" t="s">
        <v>75</v>
      </c>
      <c r="AD2757" s="198"/>
      <c r="AE2757" s="198"/>
    </row>
    <row r="2758" spans="1:31" ht="29" customHeight="1">
      <c r="A2758" s="4" t="s">
        <v>7378</v>
      </c>
      <c r="B2758" s="4" t="s">
        <v>7485</v>
      </c>
      <c r="C2758" s="198" t="s">
        <v>23</v>
      </c>
      <c r="D2758" s="198" t="s">
        <v>1238</v>
      </c>
      <c r="E2758" s="198" t="s">
        <v>3204</v>
      </c>
      <c r="F2758" s="4" t="s">
        <v>2272</v>
      </c>
      <c r="G2758" s="4" t="s">
        <v>2272</v>
      </c>
      <c r="H2758" s="198" t="s">
        <v>521</v>
      </c>
      <c r="I2758" s="198">
        <v>2010</v>
      </c>
      <c r="J2758" s="198" t="s">
        <v>2272</v>
      </c>
      <c r="K2758" s="198" t="s">
        <v>2272</v>
      </c>
      <c r="L2758" s="198" t="s">
        <v>2272</v>
      </c>
      <c r="M2758" s="198" t="s">
        <v>2272</v>
      </c>
      <c r="N2758" s="198" t="s">
        <v>2272</v>
      </c>
      <c r="O2758" s="198" t="s">
        <v>2272</v>
      </c>
      <c r="P2758" s="198" t="s">
        <v>2272</v>
      </c>
      <c r="Q2758" s="198" t="s">
        <v>2272</v>
      </c>
      <c r="R2758" s="198" t="s">
        <v>2272</v>
      </c>
      <c r="S2758" s="198" t="s">
        <v>2272</v>
      </c>
      <c r="T2758" s="198" t="s">
        <v>2272</v>
      </c>
      <c r="U2758" s="21">
        <f>2500*0.024</f>
        <v>60</v>
      </c>
      <c r="V2758" s="198" t="s">
        <v>2272</v>
      </c>
      <c r="W2758" s="198" t="s">
        <v>2272</v>
      </c>
      <c r="X2758" s="198" t="s">
        <v>2272</v>
      </c>
      <c r="Y2758" s="21">
        <f>U2758/'Record info'!K$1144</f>
        <v>2.1367521367521368E-2</v>
      </c>
      <c r="Z2758" s="198" t="s">
        <v>2272</v>
      </c>
      <c r="AA2758" s="198" t="s">
        <v>67</v>
      </c>
      <c r="AB2758" s="198" t="s">
        <v>84</v>
      </c>
      <c r="AC2758" s="198" t="s">
        <v>75</v>
      </c>
      <c r="AD2758" s="198"/>
      <c r="AE2758" s="198"/>
    </row>
    <row r="2759" spans="1:31" ht="29" customHeight="1">
      <c r="A2759" s="4" t="s">
        <v>7379</v>
      </c>
      <c r="B2759" s="4" t="s">
        <v>7486</v>
      </c>
      <c r="C2759" s="198" t="s">
        <v>23</v>
      </c>
      <c r="D2759" s="198" t="s">
        <v>1238</v>
      </c>
      <c r="E2759" s="198" t="s">
        <v>3204</v>
      </c>
      <c r="F2759" s="4" t="s">
        <v>2272</v>
      </c>
      <c r="G2759" s="4" t="s">
        <v>2272</v>
      </c>
      <c r="H2759" s="198" t="s">
        <v>521</v>
      </c>
      <c r="I2759" s="198">
        <v>2010</v>
      </c>
      <c r="J2759" s="198" t="s">
        <v>2272</v>
      </c>
      <c r="K2759" s="198" t="s">
        <v>2272</v>
      </c>
      <c r="L2759" s="198" t="s">
        <v>2272</v>
      </c>
      <c r="M2759" s="198" t="s">
        <v>2272</v>
      </c>
      <c r="N2759" s="198" t="s">
        <v>2272</v>
      </c>
      <c r="O2759" s="198" t="s">
        <v>2272</v>
      </c>
      <c r="P2759" s="198" t="s">
        <v>2272</v>
      </c>
      <c r="Q2759" s="198" t="s">
        <v>2272</v>
      </c>
      <c r="R2759" s="198" t="s">
        <v>2272</v>
      </c>
      <c r="S2759" s="198" t="s">
        <v>2272</v>
      </c>
      <c r="T2759" s="198" t="s">
        <v>2272</v>
      </c>
      <c r="U2759" s="21">
        <f>2500*0.072</f>
        <v>180</v>
      </c>
      <c r="V2759" s="198" t="s">
        <v>2272</v>
      </c>
      <c r="W2759" s="198" t="s">
        <v>2272</v>
      </c>
      <c r="X2759" s="198" t="s">
        <v>2272</v>
      </c>
      <c r="Y2759" s="21">
        <f>U2759/'Record info'!K$1145</f>
        <v>3.5949670461354104E-2</v>
      </c>
      <c r="Z2759" s="198" t="s">
        <v>2272</v>
      </c>
      <c r="AA2759" s="198" t="s">
        <v>67</v>
      </c>
      <c r="AB2759" s="198" t="s">
        <v>84</v>
      </c>
      <c r="AC2759" s="198" t="s">
        <v>75</v>
      </c>
      <c r="AD2759" s="198"/>
      <c r="AE2759" s="198"/>
    </row>
    <row r="2760" spans="1:31" ht="29" customHeight="1">
      <c r="A2760" s="4" t="s">
        <v>7380</v>
      </c>
      <c r="B2760" s="4" t="s">
        <v>7487</v>
      </c>
      <c r="C2760" s="198" t="s">
        <v>23</v>
      </c>
      <c r="D2760" s="198" t="s">
        <v>1238</v>
      </c>
      <c r="E2760" s="198" t="s">
        <v>3204</v>
      </c>
      <c r="F2760" s="4" t="s">
        <v>2272</v>
      </c>
      <c r="G2760" s="4" t="s">
        <v>2272</v>
      </c>
      <c r="H2760" s="198" t="s">
        <v>521</v>
      </c>
      <c r="I2760" s="198">
        <v>2010</v>
      </c>
      <c r="J2760" s="198" t="s">
        <v>2272</v>
      </c>
      <c r="K2760" s="198" t="s">
        <v>2272</v>
      </c>
      <c r="L2760" s="198" t="s">
        <v>2272</v>
      </c>
      <c r="M2760" s="198" t="s">
        <v>2272</v>
      </c>
      <c r="N2760" s="198" t="s">
        <v>2272</v>
      </c>
      <c r="O2760" s="198" t="s">
        <v>2272</v>
      </c>
      <c r="P2760" s="198" t="s">
        <v>2272</v>
      </c>
      <c r="Q2760" s="198" t="s">
        <v>2272</v>
      </c>
      <c r="R2760" s="198" t="s">
        <v>2272</v>
      </c>
      <c r="S2760" s="198" t="s">
        <v>2272</v>
      </c>
      <c r="T2760" s="198" t="s">
        <v>2272</v>
      </c>
      <c r="U2760" s="21">
        <f>2500*0.068</f>
        <v>170</v>
      </c>
      <c r="V2760" s="198" t="s">
        <v>2272</v>
      </c>
      <c r="W2760" s="198" t="s">
        <v>2272</v>
      </c>
      <c r="X2760" s="198" t="s">
        <v>2272</v>
      </c>
      <c r="Y2760" s="21">
        <f>U2760/'Record info'!K$1146</f>
        <v>0.14480408858603067</v>
      </c>
      <c r="Z2760" s="198" t="s">
        <v>2272</v>
      </c>
      <c r="AA2760" s="198" t="s">
        <v>67</v>
      </c>
      <c r="AB2760" s="198" t="s">
        <v>84</v>
      </c>
      <c r="AC2760" s="198" t="s">
        <v>75</v>
      </c>
      <c r="AD2760" s="198"/>
      <c r="AE2760" s="198"/>
    </row>
    <row r="2761" spans="1:31" ht="29" customHeight="1">
      <c r="A2761" s="4" t="s">
        <v>7381</v>
      </c>
      <c r="B2761" s="4" t="s">
        <v>7488</v>
      </c>
      <c r="C2761" s="198" t="s">
        <v>23</v>
      </c>
      <c r="D2761" s="198" t="s">
        <v>1238</v>
      </c>
      <c r="E2761" s="198" t="s">
        <v>3204</v>
      </c>
      <c r="F2761" s="4" t="s">
        <v>2272</v>
      </c>
      <c r="G2761" s="4" t="s">
        <v>2272</v>
      </c>
      <c r="H2761" s="198" t="s">
        <v>521</v>
      </c>
      <c r="I2761" s="198">
        <v>2010</v>
      </c>
      <c r="J2761" s="198" t="s">
        <v>2272</v>
      </c>
      <c r="K2761" s="198" t="s">
        <v>2272</v>
      </c>
      <c r="L2761" s="198" t="s">
        <v>2272</v>
      </c>
      <c r="M2761" s="198" t="s">
        <v>2272</v>
      </c>
      <c r="N2761" s="198" t="s">
        <v>2272</v>
      </c>
      <c r="O2761" s="198" t="s">
        <v>2272</v>
      </c>
      <c r="P2761" s="198" t="s">
        <v>2272</v>
      </c>
      <c r="Q2761" s="198" t="s">
        <v>2272</v>
      </c>
      <c r="R2761" s="198" t="s">
        <v>2272</v>
      </c>
      <c r="S2761" s="198" t="s">
        <v>2272</v>
      </c>
      <c r="T2761" s="198" t="s">
        <v>2272</v>
      </c>
      <c r="U2761" s="21">
        <f>2500*0.075</f>
        <v>187.5</v>
      </c>
      <c r="V2761" s="198" t="s">
        <v>2272</v>
      </c>
      <c r="W2761" s="198" t="s">
        <v>2272</v>
      </c>
      <c r="X2761" s="198" t="s">
        <v>2272</v>
      </c>
      <c r="Y2761" s="21">
        <f>U2761/'Record info'!K$1147</f>
        <v>4.3322550831792976E-2</v>
      </c>
      <c r="Z2761" s="198" t="s">
        <v>2272</v>
      </c>
      <c r="AA2761" s="198" t="s">
        <v>67</v>
      </c>
      <c r="AB2761" s="198" t="s">
        <v>84</v>
      </c>
      <c r="AC2761" s="198" t="s">
        <v>75</v>
      </c>
      <c r="AD2761" s="198"/>
      <c r="AE2761" s="198"/>
    </row>
    <row r="2762" spans="1:31" ht="29" customHeight="1">
      <c r="A2762" s="4" t="s">
        <v>7382</v>
      </c>
      <c r="B2762" s="4" t="s">
        <v>7489</v>
      </c>
      <c r="C2762" s="198" t="s">
        <v>23</v>
      </c>
      <c r="D2762" s="198" t="s">
        <v>1238</v>
      </c>
      <c r="E2762" s="198" t="s">
        <v>3204</v>
      </c>
      <c r="F2762" s="4" t="s">
        <v>2272</v>
      </c>
      <c r="G2762" s="4" t="s">
        <v>2272</v>
      </c>
      <c r="H2762" s="198" t="s">
        <v>521</v>
      </c>
      <c r="I2762" s="198">
        <v>2010</v>
      </c>
      <c r="J2762" s="198" t="s">
        <v>2272</v>
      </c>
      <c r="K2762" s="198" t="s">
        <v>2272</v>
      </c>
      <c r="L2762" s="198" t="s">
        <v>2272</v>
      </c>
      <c r="M2762" s="198" t="s">
        <v>2272</v>
      </c>
      <c r="N2762" s="198" t="s">
        <v>2272</v>
      </c>
      <c r="O2762" s="198" t="s">
        <v>2272</v>
      </c>
      <c r="P2762" s="198" t="s">
        <v>2272</v>
      </c>
      <c r="Q2762" s="198" t="s">
        <v>2272</v>
      </c>
      <c r="R2762" s="198" t="s">
        <v>2272</v>
      </c>
      <c r="S2762" s="198" t="s">
        <v>2272</v>
      </c>
      <c r="T2762" s="198" t="s">
        <v>2272</v>
      </c>
      <c r="U2762" s="21">
        <f>2500*0.111</f>
        <v>277.5</v>
      </c>
      <c r="V2762" s="198" t="s">
        <v>2272</v>
      </c>
      <c r="W2762" s="198" t="s">
        <v>2272</v>
      </c>
      <c r="X2762" s="198" t="s">
        <v>2272</v>
      </c>
      <c r="Y2762" s="21">
        <f>U2762/'Record info'!K$1148</f>
        <v>0.11586638830897704</v>
      </c>
      <c r="Z2762" s="198" t="s">
        <v>2272</v>
      </c>
      <c r="AA2762" s="198" t="s">
        <v>67</v>
      </c>
      <c r="AB2762" s="198" t="s">
        <v>84</v>
      </c>
      <c r="AC2762" s="198" t="s">
        <v>75</v>
      </c>
      <c r="AD2762" s="198"/>
      <c r="AE2762" s="198"/>
    </row>
    <row r="2763" spans="1:31" ht="29" customHeight="1">
      <c r="A2763" s="4" t="s">
        <v>7383</v>
      </c>
      <c r="B2763" s="4" t="s">
        <v>7490</v>
      </c>
      <c r="C2763" s="198" t="s">
        <v>23</v>
      </c>
      <c r="D2763" s="198" t="s">
        <v>1238</v>
      </c>
      <c r="E2763" s="198" t="s">
        <v>3204</v>
      </c>
      <c r="F2763" s="4" t="s">
        <v>2272</v>
      </c>
      <c r="G2763" s="4" t="s">
        <v>2272</v>
      </c>
      <c r="H2763" s="198" t="s">
        <v>521</v>
      </c>
      <c r="I2763" s="198">
        <v>2010</v>
      </c>
      <c r="J2763" s="198" t="s">
        <v>2272</v>
      </c>
      <c r="K2763" s="198" t="s">
        <v>2272</v>
      </c>
      <c r="L2763" s="198" t="s">
        <v>2272</v>
      </c>
      <c r="M2763" s="198" t="s">
        <v>2272</v>
      </c>
      <c r="N2763" s="198" t="s">
        <v>2272</v>
      </c>
      <c r="O2763" s="198" t="s">
        <v>2272</v>
      </c>
      <c r="P2763" s="198" t="s">
        <v>2272</v>
      </c>
      <c r="Q2763" s="198" t="s">
        <v>2272</v>
      </c>
      <c r="R2763" s="198" t="s">
        <v>2272</v>
      </c>
      <c r="S2763" s="198" t="s">
        <v>2272</v>
      </c>
      <c r="T2763" s="198" t="s">
        <v>2272</v>
      </c>
      <c r="U2763" s="21">
        <f>2500*0.106</f>
        <v>265</v>
      </c>
      <c r="V2763" s="198" t="s">
        <v>2272</v>
      </c>
      <c r="W2763" s="198" t="s">
        <v>2272</v>
      </c>
      <c r="X2763" s="198" t="s">
        <v>2272</v>
      </c>
      <c r="Y2763" s="21">
        <f>U2763/'Record info'!K$1149</f>
        <v>9.9139543583988035E-2</v>
      </c>
      <c r="Z2763" s="198" t="s">
        <v>2272</v>
      </c>
      <c r="AA2763" s="198" t="s">
        <v>67</v>
      </c>
      <c r="AB2763" s="198" t="s">
        <v>84</v>
      </c>
      <c r="AC2763" s="198" t="s">
        <v>75</v>
      </c>
      <c r="AD2763" s="198"/>
      <c r="AE2763" s="198"/>
    </row>
    <row r="2764" spans="1:31" ht="32.5" customHeight="1">
      <c r="A2764" s="4" t="s">
        <v>7384</v>
      </c>
      <c r="B2764" s="4" t="s">
        <v>7491</v>
      </c>
      <c r="C2764" s="198" t="s">
        <v>23</v>
      </c>
      <c r="D2764" s="198" t="s">
        <v>1238</v>
      </c>
      <c r="E2764" s="198" t="s">
        <v>3204</v>
      </c>
      <c r="F2764" s="4" t="s">
        <v>2272</v>
      </c>
      <c r="G2764" s="4" t="s">
        <v>2272</v>
      </c>
      <c r="H2764" s="198" t="s">
        <v>521</v>
      </c>
      <c r="I2764" s="198">
        <v>2010</v>
      </c>
      <c r="J2764" s="198" t="s">
        <v>2272</v>
      </c>
      <c r="K2764" s="198" t="s">
        <v>2272</v>
      </c>
      <c r="L2764" s="198" t="s">
        <v>2272</v>
      </c>
      <c r="M2764" s="198" t="s">
        <v>2272</v>
      </c>
      <c r="N2764" s="198" t="s">
        <v>2272</v>
      </c>
      <c r="O2764" s="198" t="s">
        <v>2272</v>
      </c>
      <c r="P2764" s="198" t="s">
        <v>2272</v>
      </c>
      <c r="Q2764" s="198" t="s">
        <v>2272</v>
      </c>
      <c r="R2764" s="198" t="s">
        <v>2272</v>
      </c>
      <c r="S2764" s="198" t="s">
        <v>2272</v>
      </c>
      <c r="T2764" s="198" t="s">
        <v>2272</v>
      </c>
      <c r="U2764" s="21">
        <f>2500*0.166</f>
        <v>415</v>
      </c>
      <c r="V2764" s="198" t="s">
        <v>2272</v>
      </c>
      <c r="W2764" s="198" t="s">
        <v>2272</v>
      </c>
      <c r="X2764" s="198" t="s">
        <v>2272</v>
      </c>
      <c r="Y2764" s="21">
        <f>U2764/'Record info'!K$1150</f>
        <v>0.18403547671840353</v>
      </c>
      <c r="Z2764" s="198" t="s">
        <v>2272</v>
      </c>
      <c r="AA2764" s="198" t="s">
        <v>67</v>
      </c>
      <c r="AB2764" s="198" t="s">
        <v>84</v>
      </c>
      <c r="AC2764" s="198" t="s">
        <v>75</v>
      </c>
      <c r="AD2764" s="198"/>
      <c r="AE2764" s="198"/>
    </row>
    <row r="2765" spans="1:31" ht="32.5" customHeight="1">
      <c r="A2765" s="4" t="s">
        <v>7282</v>
      </c>
      <c r="B2765" s="4" t="s">
        <v>7492</v>
      </c>
      <c r="C2765" s="198" t="s">
        <v>23</v>
      </c>
      <c r="D2765" s="198" t="s">
        <v>1238</v>
      </c>
      <c r="E2765" s="198" t="s">
        <v>3204</v>
      </c>
      <c r="F2765" s="4" t="s">
        <v>2272</v>
      </c>
      <c r="G2765" s="4" t="s">
        <v>2272</v>
      </c>
      <c r="H2765" s="198" t="s">
        <v>521</v>
      </c>
      <c r="I2765" s="198">
        <v>2011</v>
      </c>
      <c r="J2765" s="198" t="s">
        <v>2272</v>
      </c>
      <c r="K2765" s="198" t="s">
        <v>2272</v>
      </c>
      <c r="L2765" s="198" t="s">
        <v>2272</v>
      </c>
      <c r="M2765" s="198" t="s">
        <v>2272</v>
      </c>
      <c r="N2765" s="198" t="s">
        <v>2272</v>
      </c>
      <c r="O2765" s="198" t="s">
        <v>2272</v>
      </c>
      <c r="P2765" s="198" t="s">
        <v>2272</v>
      </c>
      <c r="Q2765" s="198" t="s">
        <v>2272</v>
      </c>
      <c r="R2765" s="198" t="s">
        <v>2272</v>
      </c>
      <c r="S2765" s="198" t="s">
        <v>2272</v>
      </c>
      <c r="T2765" s="198" t="s">
        <v>2272</v>
      </c>
      <c r="U2765" s="21">
        <f>1750*0.027</f>
        <v>47.25</v>
      </c>
      <c r="V2765" s="198" t="s">
        <v>2272</v>
      </c>
      <c r="W2765" s="198" t="s">
        <v>2272</v>
      </c>
      <c r="X2765" s="198" t="s">
        <v>2272</v>
      </c>
      <c r="Y2765" s="21">
        <f>U2765/'Record info'!K$1133</f>
        <v>1.6875000000000001E-2</v>
      </c>
      <c r="Z2765" s="198" t="s">
        <v>2272</v>
      </c>
      <c r="AA2765" s="198" t="s">
        <v>67</v>
      </c>
      <c r="AB2765" s="198" t="s">
        <v>84</v>
      </c>
      <c r="AC2765" s="198" t="s">
        <v>75</v>
      </c>
      <c r="AD2765" s="198"/>
      <c r="AE2765" s="198"/>
    </row>
    <row r="2766" spans="1:31" ht="32.5" customHeight="1">
      <c r="A2766" s="4" t="s">
        <v>7368</v>
      </c>
      <c r="B2766" s="4" t="s">
        <v>7493</v>
      </c>
      <c r="C2766" s="198" t="s">
        <v>23</v>
      </c>
      <c r="D2766" s="198" t="s">
        <v>1238</v>
      </c>
      <c r="E2766" s="198" t="s">
        <v>3204</v>
      </c>
      <c r="F2766" s="4" t="s">
        <v>2272</v>
      </c>
      <c r="G2766" s="4" t="s">
        <v>2272</v>
      </c>
      <c r="H2766" s="198" t="s">
        <v>521</v>
      </c>
      <c r="I2766" s="198">
        <v>2011</v>
      </c>
      <c r="J2766" s="198" t="s">
        <v>2272</v>
      </c>
      <c r="K2766" s="198" t="s">
        <v>2272</v>
      </c>
      <c r="L2766" s="198" t="s">
        <v>2272</v>
      </c>
      <c r="M2766" s="198" t="s">
        <v>2272</v>
      </c>
      <c r="N2766" s="198" t="s">
        <v>2272</v>
      </c>
      <c r="O2766" s="198" t="s">
        <v>2272</v>
      </c>
      <c r="P2766" s="198" t="s">
        <v>2272</v>
      </c>
      <c r="Q2766" s="198" t="s">
        <v>2272</v>
      </c>
      <c r="R2766" s="198" t="s">
        <v>2272</v>
      </c>
      <c r="S2766" s="198" t="s">
        <v>2272</v>
      </c>
      <c r="T2766" s="198" t="s">
        <v>2272</v>
      </c>
      <c r="U2766" s="21">
        <f>1750*0.041</f>
        <v>71.75</v>
      </c>
      <c r="V2766" s="198" t="s">
        <v>2272</v>
      </c>
      <c r="W2766" s="198" t="s">
        <v>2272</v>
      </c>
      <c r="X2766" s="198" t="s">
        <v>2272</v>
      </c>
      <c r="Y2766" s="21">
        <f>U2766/'Record info'!K$1134</f>
        <v>2.0412517780938833E-2</v>
      </c>
      <c r="Z2766" s="198" t="s">
        <v>2272</v>
      </c>
      <c r="AA2766" s="198" t="s">
        <v>67</v>
      </c>
      <c r="AB2766" s="198" t="s">
        <v>84</v>
      </c>
      <c r="AC2766" s="198" t="s">
        <v>75</v>
      </c>
      <c r="AD2766" s="198"/>
      <c r="AE2766" s="198"/>
    </row>
    <row r="2767" spans="1:31" ht="32.5" customHeight="1">
      <c r="A2767" s="4" t="s">
        <v>7369</v>
      </c>
      <c r="B2767" s="4" t="s">
        <v>7494</v>
      </c>
      <c r="C2767" s="198" t="s">
        <v>23</v>
      </c>
      <c r="D2767" s="198" t="s">
        <v>1238</v>
      </c>
      <c r="E2767" s="198" t="s">
        <v>3204</v>
      </c>
      <c r="F2767" s="4" t="s">
        <v>2272</v>
      </c>
      <c r="G2767" s="4" t="s">
        <v>2272</v>
      </c>
      <c r="H2767" s="198" t="s">
        <v>521</v>
      </c>
      <c r="I2767" s="198">
        <v>2011</v>
      </c>
      <c r="J2767" s="198" t="s">
        <v>2272</v>
      </c>
      <c r="K2767" s="198" t="s">
        <v>2272</v>
      </c>
      <c r="L2767" s="198" t="s">
        <v>2272</v>
      </c>
      <c r="M2767" s="198" t="s">
        <v>2272</v>
      </c>
      <c r="N2767" s="198" t="s">
        <v>2272</v>
      </c>
      <c r="O2767" s="198" t="s">
        <v>2272</v>
      </c>
      <c r="P2767" s="198" t="s">
        <v>2272</v>
      </c>
      <c r="Q2767" s="198" t="s">
        <v>2272</v>
      </c>
      <c r="R2767" s="198" t="s">
        <v>2272</v>
      </c>
      <c r="S2767" s="198" t="s">
        <v>2272</v>
      </c>
      <c r="T2767" s="198" t="s">
        <v>2272</v>
      </c>
      <c r="U2767" s="21">
        <f>1750*0.004</f>
        <v>7</v>
      </c>
      <c r="V2767" s="198" t="s">
        <v>2272</v>
      </c>
      <c r="W2767" s="198" t="s">
        <v>2272</v>
      </c>
      <c r="X2767" s="198" t="s">
        <v>2272</v>
      </c>
      <c r="Y2767" s="21">
        <f>U2767/'Record info'!K$1135</f>
        <v>1.037498147324737E-3</v>
      </c>
      <c r="Z2767" s="198" t="s">
        <v>2272</v>
      </c>
      <c r="AA2767" s="198" t="s">
        <v>67</v>
      </c>
      <c r="AB2767" s="198" t="s">
        <v>84</v>
      </c>
      <c r="AC2767" s="198" t="s">
        <v>75</v>
      </c>
      <c r="AD2767" s="198"/>
      <c r="AE2767" s="198"/>
    </row>
    <row r="2768" spans="1:31" ht="32.5" customHeight="1">
      <c r="A2768" s="4" t="s">
        <v>7370</v>
      </c>
      <c r="B2768" s="4" t="s">
        <v>7495</v>
      </c>
      <c r="C2768" s="198" t="s">
        <v>23</v>
      </c>
      <c r="D2768" s="198" t="s">
        <v>1238</v>
      </c>
      <c r="E2768" s="198" t="s">
        <v>3204</v>
      </c>
      <c r="F2768" s="4" t="s">
        <v>2272</v>
      </c>
      <c r="G2768" s="4" t="s">
        <v>2272</v>
      </c>
      <c r="H2768" s="198" t="s">
        <v>521</v>
      </c>
      <c r="I2768" s="198">
        <v>2011</v>
      </c>
      <c r="J2768" s="198" t="s">
        <v>2272</v>
      </c>
      <c r="K2768" s="198" t="s">
        <v>2272</v>
      </c>
      <c r="L2768" s="198" t="s">
        <v>2272</v>
      </c>
      <c r="M2768" s="198" t="s">
        <v>2272</v>
      </c>
      <c r="N2768" s="198" t="s">
        <v>2272</v>
      </c>
      <c r="O2768" s="198" t="s">
        <v>2272</v>
      </c>
      <c r="P2768" s="198" t="s">
        <v>2272</v>
      </c>
      <c r="Q2768" s="198" t="s">
        <v>2272</v>
      </c>
      <c r="R2768" s="198" t="s">
        <v>2272</v>
      </c>
      <c r="S2768" s="198" t="s">
        <v>2272</v>
      </c>
      <c r="T2768" s="198" t="s">
        <v>2272</v>
      </c>
      <c r="U2768" s="21">
        <f>1750*0.004</f>
        <v>7</v>
      </c>
      <c r="V2768" s="198" t="s">
        <v>2272</v>
      </c>
      <c r="W2768" s="198" t="s">
        <v>2272</v>
      </c>
      <c r="X2768" s="198" t="s">
        <v>2272</v>
      </c>
      <c r="Y2768" s="21">
        <f>U2768/'Record info'!K$1136</f>
        <v>1.382306477093207E-3</v>
      </c>
      <c r="Z2768" s="198" t="s">
        <v>2272</v>
      </c>
      <c r="AA2768" s="198" t="s">
        <v>67</v>
      </c>
      <c r="AB2768" s="198" t="s">
        <v>84</v>
      </c>
      <c r="AC2768" s="198" t="s">
        <v>75</v>
      </c>
      <c r="AD2768" s="198"/>
      <c r="AE2768" s="198"/>
    </row>
    <row r="2769" spans="1:31" ht="32.5" customHeight="1">
      <c r="A2769" s="4" t="s">
        <v>7371</v>
      </c>
      <c r="B2769" s="4" t="s">
        <v>7496</v>
      </c>
      <c r="C2769" s="198" t="s">
        <v>23</v>
      </c>
      <c r="D2769" s="198" t="s">
        <v>1238</v>
      </c>
      <c r="E2769" s="198" t="s">
        <v>3204</v>
      </c>
      <c r="F2769" s="4" t="s">
        <v>2272</v>
      </c>
      <c r="G2769" s="4" t="s">
        <v>2272</v>
      </c>
      <c r="H2769" s="198" t="s">
        <v>522</v>
      </c>
      <c r="I2769" s="198">
        <v>2011</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v>0</v>
      </c>
      <c r="Y2769" s="21">
        <f>U2769/'Record info'!K$1137</f>
        <v>0</v>
      </c>
      <c r="Z2769" s="198" t="s">
        <v>2272</v>
      </c>
      <c r="AA2769" s="198" t="s">
        <v>67</v>
      </c>
      <c r="AB2769" s="198" t="s">
        <v>84</v>
      </c>
      <c r="AC2769" s="198" t="s">
        <v>75</v>
      </c>
      <c r="AD2769" s="198"/>
      <c r="AE2769" s="198"/>
    </row>
    <row r="2770" spans="1:31" ht="32.5" customHeight="1">
      <c r="A2770" s="4" t="s">
        <v>7372</v>
      </c>
      <c r="B2770" s="4" t="s">
        <v>7497</v>
      </c>
      <c r="C2770" s="198" t="s">
        <v>23</v>
      </c>
      <c r="D2770" s="198" t="s">
        <v>1238</v>
      </c>
      <c r="E2770" s="198" t="s">
        <v>3204</v>
      </c>
      <c r="F2770" s="4" t="s">
        <v>2272</v>
      </c>
      <c r="G2770" s="4" t="s">
        <v>2272</v>
      </c>
      <c r="H2770" s="198" t="s">
        <v>522</v>
      </c>
      <c r="I2770" s="198">
        <v>2011</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v>0</v>
      </c>
      <c r="Y2770" s="21">
        <f>U2770/'Record info'!K$1138</f>
        <v>0</v>
      </c>
      <c r="Z2770" s="198" t="s">
        <v>2272</v>
      </c>
      <c r="AA2770" s="198" t="s">
        <v>67</v>
      </c>
      <c r="AB2770" s="198" t="s">
        <v>84</v>
      </c>
      <c r="AC2770" s="198" t="s">
        <v>75</v>
      </c>
      <c r="AD2770" s="198"/>
      <c r="AE2770" s="198"/>
    </row>
    <row r="2771" spans="1:31" ht="32.5" customHeight="1">
      <c r="A2771" s="4" t="s">
        <v>7373</v>
      </c>
      <c r="B2771" s="4" t="s">
        <v>7498</v>
      </c>
      <c r="C2771" s="198" t="s">
        <v>23</v>
      </c>
      <c r="D2771" s="198" t="s">
        <v>1238</v>
      </c>
      <c r="E2771" s="198" t="s">
        <v>3204</v>
      </c>
      <c r="F2771" s="4" t="s">
        <v>2272</v>
      </c>
      <c r="G2771" s="4" t="s">
        <v>2272</v>
      </c>
      <c r="H2771" s="198" t="s">
        <v>522</v>
      </c>
      <c r="I2771" s="198">
        <v>2011</v>
      </c>
      <c r="J2771" s="21">
        <v>0</v>
      </c>
      <c r="K2771" s="21">
        <v>0</v>
      </c>
      <c r="L2771" s="21">
        <v>0</v>
      </c>
      <c r="M2771" s="21">
        <v>0</v>
      </c>
      <c r="N2771" s="21">
        <v>0</v>
      </c>
      <c r="O2771" s="21">
        <v>0</v>
      </c>
      <c r="P2771" s="21">
        <v>0</v>
      </c>
      <c r="Q2771" s="21">
        <v>0</v>
      </c>
      <c r="R2771" s="21">
        <v>0</v>
      </c>
      <c r="S2771" s="21">
        <v>0</v>
      </c>
      <c r="T2771" s="21">
        <v>0</v>
      </c>
      <c r="U2771" s="21">
        <v>0</v>
      </c>
      <c r="V2771" s="21">
        <v>0</v>
      </c>
      <c r="W2771" s="21">
        <v>0</v>
      </c>
      <c r="X2771" s="21">
        <v>0</v>
      </c>
      <c r="Y2771" s="21">
        <f>U2771/'Record info'!K$1139</f>
        <v>0</v>
      </c>
      <c r="Z2771" s="198" t="s">
        <v>2272</v>
      </c>
      <c r="AA2771" s="198" t="s">
        <v>67</v>
      </c>
      <c r="AB2771" s="198" t="s">
        <v>84</v>
      </c>
      <c r="AC2771" s="198" t="s">
        <v>75</v>
      </c>
      <c r="AD2771" s="198"/>
      <c r="AE2771" s="198"/>
    </row>
    <row r="2772" spans="1:31" ht="32.5" customHeight="1">
      <c r="A2772" s="4" t="s">
        <v>7374</v>
      </c>
      <c r="B2772" s="4" t="s">
        <v>7499</v>
      </c>
      <c r="C2772" s="198" t="s">
        <v>23</v>
      </c>
      <c r="D2772" s="198" t="s">
        <v>1238</v>
      </c>
      <c r="E2772" s="198" t="s">
        <v>3204</v>
      </c>
      <c r="F2772" s="4" t="s">
        <v>2272</v>
      </c>
      <c r="G2772" s="4" t="s">
        <v>2272</v>
      </c>
      <c r="H2772" s="198" t="s">
        <v>521</v>
      </c>
      <c r="I2772" s="198">
        <v>2011</v>
      </c>
      <c r="J2772" s="198" t="s">
        <v>2272</v>
      </c>
      <c r="K2772" s="198" t="s">
        <v>2272</v>
      </c>
      <c r="L2772" s="198" t="s">
        <v>2272</v>
      </c>
      <c r="M2772" s="198" t="s">
        <v>2272</v>
      </c>
      <c r="N2772" s="198" t="s">
        <v>2272</v>
      </c>
      <c r="O2772" s="198" t="s">
        <v>2272</v>
      </c>
      <c r="P2772" s="198" t="s">
        <v>2272</v>
      </c>
      <c r="Q2772" s="198" t="s">
        <v>2272</v>
      </c>
      <c r="R2772" s="198" t="s">
        <v>2272</v>
      </c>
      <c r="S2772" s="198" t="s">
        <v>2272</v>
      </c>
      <c r="T2772" s="198" t="s">
        <v>2272</v>
      </c>
      <c r="U2772" s="21">
        <f>1750*0.035</f>
        <v>61.250000000000007</v>
      </c>
      <c r="V2772" s="198" t="s">
        <v>2272</v>
      </c>
      <c r="W2772" s="198" t="s">
        <v>2272</v>
      </c>
      <c r="X2772" s="198" t="s">
        <v>2272</v>
      </c>
      <c r="Y2772" s="21">
        <f>U2772/'Record info'!K$1140</f>
        <v>1.0098928276999177E-2</v>
      </c>
      <c r="Z2772" s="198" t="s">
        <v>2272</v>
      </c>
      <c r="AA2772" s="198" t="s">
        <v>67</v>
      </c>
      <c r="AB2772" s="198" t="s">
        <v>84</v>
      </c>
      <c r="AC2772" s="198" t="s">
        <v>75</v>
      </c>
      <c r="AD2772" s="198"/>
      <c r="AE2772" s="198"/>
    </row>
    <row r="2773" spans="1:31" ht="32.5" customHeight="1">
      <c r="A2773" s="4" t="s">
        <v>7375</v>
      </c>
      <c r="B2773" s="4" t="s">
        <v>7500</v>
      </c>
      <c r="C2773" s="198" t="s">
        <v>23</v>
      </c>
      <c r="D2773" s="198" t="s">
        <v>1238</v>
      </c>
      <c r="E2773" s="198" t="s">
        <v>3204</v>
      </c>
      <c r="F2773" s="4" t="s">
        <v>2272</v>
      </c>
      <c r="G2773" s="4" t="s">
        <v>2272</v>
      </c>
      <c r="H2773" s="198" t="s">
        <v>521</v>
      </c>
      <c r="I2773" s="198">
        <v>2011</v>
      </c>
      <c r="J2773" s="198" t="s">
        <v>2272</v>
      </c>
      <c r="K2773" s="198" t="s">
        <v>2272</v>
      </c>
      <c r="L2773" s="198" t="s">
        <v>2272</v>
      </c>
      <c r="M2773" s="198" t="s">
        <v>2272</v>
      </c>
      <c r="N2773" s="198" t="s">
        <v>2272</v>
      </c>
      <c r="O2773" s="198" t="s">
        <v>2272</v>
      </c>
      <c r="P2773" s="198" t="s">
        <v>2272</v>
      </c>
      <c r="Q2773" s="198" t="s">
        <v>2272</v>
      </c>
      <c r="R2773" s="198" t="s">
        <v>2272</v>
      </c>
      <c r="S2773" s="198" t="s">
        <v>2272</v>
      </c>
      <c r="T2773" s="198" t="s">
        <v>2272</v>
      </c>
      <c r="U2773" s="21">
        <f>1750*0.079</f>
        <v>138.25</v>
      </c>
      <c r="V2773" s="198" t="s">
        <v>2272</v>
      </c>
      <c r="W2773" s="198" t="s">
        <v>2272</v>
      </c>
      <c r="X2773" s="198" t="s">
        <v>2272</v>
      </c>
      <c r="Y2773" s="21">
        <f>U2773/'Record info'!K$1141</f>
        <v>2.0711610486891387E-2</v>
      </c>
      <c r="Z2773" s="198" t="s">
        <v>2272</v>
      </c>
      <c r="AA2773" s="198" t="s">
        <v>67</v>
      </c>
      <c r="AB2773" s="198" t="s">
        <v>84</v>
      </c>
      <c r="AC2773" s="198" t="s">
        <v>75</v>
      </c>
      <c r="AD2773" s="198"/>
      <c r="AE2773" s="198"/>
    </row>
    <row r="2774" spans="1:31" ht="32.5" customHeight="1">
      <c r="A2774" s="4" t="s">
        <v>7376</v>
      </c>
      <c r="B2774" s="4" t="s">
        <v>7501</v>
      </c>
      <c r="C2774" s="198" t="s">
        <v>23</v>
      </c>
      <c r="D2774" s="198" t="s">
        <v>1238</v>
      </c>
      <c r="E2774" s="198" t="s">
        <v>3204</v>
      </c>
      <c r="F2774" s="4" t="s">
        <v>2272</v>
      </c>
      <c r="G2774" s="4" t="s">
        <v>2272</v>
      </c>
      <c r="H2774" s="198" t="s">
        <v>521</v>
      </c>
      <c r="I2774" s="198">
        <v>2011</v>
      </c>
      <c r="J2774" s="198" t="s">
        <v>2272</v>
      </c>
      <c r="K2774" s="198" t="s">
        <v>2272</v>
      </c>
      <c r="L2774" s="198" t="s">
        <v>2272</v>
      </c>
      <c r="M2774" s="198" t="s">
        <v>2272</v>
      </c>
      <c r="N2774" s="198" t="s">
        <v>2272</v>
      </c>
      <c r="O2774" s="198" t="s">
        <v>2272</v>
      </c>
      <c r="P2774" s="198" t="s">
        <v>2272</v>
      </c>
      <c r="Q2774" s="198" t="s">
        <v>2272</v>
      </c>
      <c r="R2774" s="198" t="s">
        <v>2272</v>
      </c>
      <c r="S2774" s="198" t="s">
        <v>2272</v>
      </c>
      <c r="T2774" s="198" t="s">
        <v>2272</v>
      </c>
      <c r="U2774" s="21">
        <f>1750*0.132</f>
        <v>231</v>
      </c>
      <c r="V2774" s="198" t="s">
        <v>2272</v>
      </c>
      <c r="W2774" s="198" t="s">
        <v>2272</v>
      </c>
      <c r="X2774" s="198" t="s">
        <v>2272</v>
      </c>
      <c r="Y2774" s="21">
        <f>U2774/'Record info'!K$1142</f>
        <v>4.1862993838347226E-2</v>
      </c>
      <c r="Z2774" s="198" t="s">
        <v>2272</v>
      </c>
      <c r="AA2774" s="198" t="s">
        <v>67</v>
      </c>
      <c r="AB2774" s="198" t="s">
        <v>84</v>
      </c>
      <c r="AC2774" s="198" t="s">
        <v>75</v>
      </c>
      <c r="AD2774" s="198"/>
      <c r="AE2774" s="198"/>
    </row>
    <row r="2775" spans="1:31" ht="32.5" customHeight="1">
      <c r="A2775" s="4" t="s">
        <v>7377</v>
      </c>
      <c r="B2775" s="4" t="s">
        <v>7502</v>
      </c>
      <c r="C2775" s="198" t="s">
        <v>23</v>
      </c>
      <c r="D2775" s="198" t="s">
        <v>1238</v>
      </c>
      <c r="E2775" s="198" t="s">
        <v>3204</v>
      </c>
      <c r="F2775" s="4" t="s">
        <v>2272</v>
      </c>
      <c r="G2775" s="4" t="s">
        <v>2272</v>
      </c>
      <c r="H2775" s="198" t="s">
        <v>521</v>
      </c>
      <c r="I2775" s="198">
        <v>2011</v>
      </c>
      <c r="J2775" s="198" t="s">
        <v>2272</v>
      </c>
      <c r="K2775" s="198" t="s">
        <v>2272</v>
      </c>
      <c r="L2775" s="198" t="s">
        <v>2272</v>
      </c>
      <c r="M2775" s="198" t="s">
        <v>2272</v>
      </c>
      <c r="N2775" s="198" t="s">
        <v>2272</v>
      </c>
      <c r="O2775" s="198" t="s">
        <v>2272</v>
      </c>
      <c r="P2775" s="198" t="s">
        <v>2272</v>
      </c>
      <c r="Q2775" s="198" t="s">
        <v>2272</v>
      </c>
      <c r="R2775" s="198" t="s">
        <v>2272</v>
      </c>
      <c r="S2775" s="198" t="s">
        <v>2272</v>
      </c>
      <c r="T2775" s="198" t="s">
        <v>2272</v>
      </c>
      <c r="U2775" s="21">
        <f>1750*0.057</f>
        <v>99.75</v>
      </c>
      <c r="V2775" s="198" t="s">
        <v>2272</v>
      </c>
      <c r="W2775" s="198" t="s">
        <v>2272</v>
      </c>
      <c r="X2775" s="198" t="s">
        <v>2272</v>
      </c>
      <c r="Y2775" s="21">
        <f>U2775/'Record info'!K$1143</f>
        <v>2.5272358753483659E-2</v>
      </c>
      <c r="Z2775" s="198" t="s">
        <v>2272</v>
      </c>
      <c r="AA2775" s="198" t="s">
        <v>67</v>
      </c>
      <c r="AB2775" s="198" t="s">
        <v>84</v>
      </c>
      <c r="AC2775" s="198" t="s">
        <v>75</v>
      </c>
      <c r="AD2775" s="198"/>
      <c r="AE2775" s="198"/>
    </row>
    <row r="2776" spans="1:31" ht="32.5" customHeight="1">
      <c r="A2776" s="4" t="s">
        <v>7378</v>
      </c>
      <c r="B2776" s="4" t="s">
        <v>7503</v>
      </c>
      <c r="C2776" s="198" t="s">
        <v>23</v>
      </c>
      <c r="D2776" s="198" t="s">
        <v>1238</v>
      </c>
      <c r="E2776" s="198" t="s">
        <v>3204</v>
      </c>
      <c r="F2776" s="4" t="s">
        <v>2272</v>
      </c>
      <c r="G2776" s="4" t="s">
        <v>2272</v>
      </c>
      <c r="H2776" s="198" t="s">
        <v>521</v>
      </c>
      <c r="I2776" s="198">
        <v>2011</v>
      </c>
      <c r="J2776" s="198" t="s">
        <v>2272</v>
      </c>
      <c r="K2776" s="198" t="s">
        <v>2272</v>
      </c>
      <c r="L2776" s="198" t="s">
        <v>2272</v>
      </c>
      <c r="M2776" s="198" t="s">
        <v>2272</v>
      </c>
      <c r="N2776" s="198" t="s">
        <v>2272</v>
      </c>
      <c r="O2776" s="198" t="s">
        <v>2272</v>
      </c>
      <c r="P2776" s="198" t="s">
        <v>2272</v>
      </c>
      <c r="Q2776" s="198" t="s">
        <v>2272</v>
      </c>
      <c r="R2776" s="198" t="s">
        <v>2272</v>
      </c>
      <c r="S2776" s="198" t="s">
        <v>2272</v>
      </c>
      <c r="T2776" s="198" t="s">
        <v>2272</v>
      </c>
      <c r="U2776" s="21">
        <f>1750*0.024</f>
        <v>42</v>
      </c>
      <c r="V2776" s="198" t="s">
        <v>2272</v>
      </c>
      <c r="W2776" s="198" t="s">
        <v>2272</v>
      </c>
      <c r="X2776" s="198" t="s">
        <v>2272</v>
      </c>
      <c r="Y2776" s="21">
        <f>U2776/'Record info'!K$1144</f>
        <v>1.4957264957264958E-2</v>
      </c>
      <c r="Z2776" s="198" t="s">
        <v>2272</v>
      </c>
      <c r="AA2776" s="198" t="s">
        <v>67</v>
      </c>
      <c r="AB2776" s="198" t="s">
        <v>84</v>
      </c>
      <c r="AC2776" s="198" t="s">
        <v>75</v>
      </c>
      <c r="AD2776" s="198"/>
      <c r="AE2776" s="198"/>
    </row>
    <row r="2777" spans="1:31" ht="32.5" customHeight="1">
      <c r="A2777" s="4" t="s">
        <v>7379</v>
      </c>
      <c r="B2777" s="4" t="s">
        <v>7504</v>
      </c>
      <c r="C2777" s="198" t="s">
        <v>23</v>
      </c>
      <c r="D2777" s="198" t="s">
        <v>1238</v>
      </c>
      <c r="E2777" s="198" t="s">
        <v>3204</v>
      </c>
      <c r="F2777" s="4" t="s">
        <v>2272</v>
      </c>
      <c r="G2777" s="4" t="s">
        <v>2272</v>
      </c>
      <c r="H2777" s="198" t="s">
        <v>521</v>
      </c>
      <c r="I2777" s="198">
        <v>2011</v>
      </c>
      <c r="J2777" s="198" t="s">
        <v>2272</v>
      </c>
      <c r="K2777" s="198" t="s">
        <v>2272</v>
      </c>
      <c r="L2777" s="198" t="s">
        <v>2272</v>
      </c>
      <c r="M2777" s="198" t="s">
        <v>2272</v>
      </c>
      <c r="N2777" s="198" t="s">
        <v>2272</v>
      </c>
      <c r="O2777" s="198" t="s">
        <v>2272</v>
      </c>
      <c r="P2777" s="198" t="s">
        <v>2272</v>
      </c>
      <c r="Q2777" s="198" t="s">
        <v>2272</v>
      </c>
      <c r="R2777" s="198" t="s">
        <v>2272</v>
      </c>
      <c r="S2777" s="198" t="s">
        <v>2272</v>
      </c>
      <c r="T2777" s="198" t="s">
        <v>2272</v>
      </c>
      <c r="U2777" s="21">
        <f>1750*0.072</f>
        <v>125.99999999999999</v>
      </c>
      <c r="V2777" s="198" t="s">
        <v>2272</v>
      </c>
      <c r="W2777" s="198" t="s">
        <v>2272</v>
      </c>
      <c r="X2777" s="198" t="s">
        <v>2272</v>
      </c>
      <c r="Y2777" s="21">
        <f>U2777/'Record info'!K$1145</f>
        <v>2.516476932294787E-2</v>
      </c>
      <c r="Z2777" s="198" t="s">
        <v>2272</v>
      </c>
      <c r="AA2777" s="198" t="s">
        <v>67</v>
      </c>
      <c r="AB2777" s="198" t="s">
        <v>84</v>
      </c>
      <c r="AC2777" s="198" t="s">
        <v>75</v>
      </c>
      <c r="AD2777" s="198"/>
      <c r="AE2777" s="198"/>
    </row>
    <row r="2778" spans="1:31" ht="32.5" customHeight="1">
      <c r="A2778" s="4" t="s">
        <v>7380</v>
      </c>
      <c r="B2778" s="4" t="s">
        <v>7505</v>
      </c>
      <c r="C2778" s="198" t="s">
        <v>23</v>
      </c>
      <c r="D2778" s="198" t="s">
        <v>1238</v>
      </c>
      <c r="E2778" s="198" t="s">
        <v>3204</v>
      </c>
      <c r="F2778" s="4" t="s">
        <v>2272</v>
      </c>
      <c r="G2778" s="4" t="s">
        <v>2272</v>
      </c>
      <c r="H2778" s="198" t="s">
        <v>521</v>
      </c>
      <c r="I2778" s="198">
        <v>2011</v>
      </c>
      <c r="J2778" s="198" t="s">
        <v>2272</v>
      </c>
      <c r="K2778" s="198" t="s">
        <v>2272</v>
      </c>
      <c r="L2778" s="198" t="s">
        <v>2272</v>
      </c>
      <c r="M2778" s="198" t="s">
        <v>2272</v>
      </c>
      <c r="N2778" s="198" t="s">
        <v>2272</v>
      </c>
      <c r="O2778" s="198" t="s">
        <v>2272</v>
      </c>
      <c r="P2778" s="198" t="s">
        <v>2272</v>
      </c>
      <c r="Q2778" s="198" t="s">
        <v>2272</v>
      </c>
      <c r="R2778" s="198" t="s">
        <v>2272</v>
      </c>
      <c r="S2778" s="198" t="s">
        <v>2272</v>
      </c>
      <c r="T2778" s="198" t="s">
        <v>2272</v>
      </c>
      <c r="U2778" s="21">
        <f>1750*0.068</f>
        <v>119.00000000000001</v>
      </c>
      <c r="V2778" s="198" t="s">
        <v>2272</v>
      </c>
      <c r="W2778" s="198" t="s">
        <v>2272</v>
      </c>
      <c r="X2778" s="198" t="s">
        <v>2272</v>
      </c>
      <c r="Y2778" s="21">
        <f>U2778/'Record info'!K$1146</f>
        <v>0.10136286201022147</v>
      </c>
      <c r="Z2778" s="198" t="s">
        <v>2272</v>
      </c>
      <c r="AA2778" s="198" t="s">
        <v>67</v>
      </c>
      <c r="AB2778" s="198" t="s">
        <v>84</v>
      </c>
      <c r="AC2778" s="198" t="s">
        <v>75</v>
      </c>
      <c r="AD2778" s="198"/>
      <c r="AE2778" s="198"/>
    </row>
    <row r="2779" spans="1:31" ht="32.5" customHeight="1">
      <c r="A2779" s="4" t="s">
        <v>7381</v>
      </c>
      <c r="B2779" s="4" t="s">
        <v>7506</v>
      </c>
      <c r="C2779" s="198" t="s">
        <v>23</v>
      </c>
      <c r="D2779" s="198" t="s">
        <v>1238</v>
      </c>
      <c r="E2779" s="198" t="s">
        <v>3204</v>
      </c>
      <c r="F2779" s="4" t="s">
        <v>2272</v>
      </c>
      <c r="G2779" s="4" t="s">
        <v>2272</v>
      </c>
      <c r="H2779" s="198" t="s">
        <v>521</v>
      </c>
      <c r="I2779" s="198">
        <v>2011</v>
      </c>
      <c r="J2779" s="198" t="s">
        <v>2272</v>
      </c>
      <c r="K2779" s="198" t="s">
        <v>2272</v>
      </c>
      <c r="L2779" s="198" t="s">
        <v>2272</v>
      </c>
      <c r="M2779" s="198" t="s">
        <v>2272</v>
      </c>
      <c r="N2779" s="198" t="s">
        <v>2272</v>
      </c>
      <c r="O2779" s="198" t="s">
        <v>2272</v>
      </c>
      <c r="P2779" s="198" t="s">
        <v>2272</v>
      </c>
      <c r="Q2779" s="198" t="s">
        <v>2272</v>
      </c>
      <c r="R2779" s="198" t="s">
        <v>2272</v>
      </c>
      <c r="S2779" s="198" t="s">
        <v>2272</v>
      </c>
      <c r="T2779" s="198" t="s">
        <v>2272</v>
      </c>
      <c r="U2779" s="21">
        <f>1750*0.075</f>
        <v>131.25</v>
      </c>
      <c r="V2779" s="198" t="s">
        <v>2272</v>
      </c>
      <c r="W2779" s="198" t="s">
        <v>2272</v>
      </c>
      <c r="X2779" s="198" t="s">
        <v>2272</v>
      </c>
      <c r="Y2779" s="21">
        <f>U2779/'Record info'!K$1147</f>
        <v>3.0325785582255082E-2</v>
      </c>
      <c r="Z2779" s="198" t="s">
        <v>2272</v>
      </c>
      <c r="AA2779" s="198" t="s">
        <v>67</v>
      </c>
      <c r="AB2779" s="198" t="s">
        <v>84</v>
      </c>
      <c r="AC2779" s="198" t="s">
        <v>75</v>
      </c>
      <c r="AD2779" s="198"/>
      <c r="AE2779" s="198"/>
    </row>
    <row r="2780" spans="1:31" ht="32.5" customHeight="1">
      <c r="A2780" s="4" t="s">
        <v>7382</v>
      </c>
      <c r="B2780" s="4" t="s">
        <v>7507</v>
      </c>
      <c r="C2780" s="198" t="s">
        <v>23</v>
      </c>
      <c r="D2780" s="198" t="s">
        <v>1238</v>
      </c>
      <c r="E2780" s="198" t="s">
        <v>3204</v>
      </c>
      <c r="F2780" s="4" t="s">
        <v>2272</v>
      </c>
      <c r="G2780" s="4" t="s">
        <v>2272</v>
      </c>
      <c r="H2780" s="198" t="s">
        <v>521</v>
      </c>
      <c r="I2780" s="198">
        <v>2011</v>
      </c>
      <c r="J2780" s="198" t="s">
        <v>2272</v>
      </c>
      <c r="K2780" s="198" t="s">
        <v>2272</v>
      </c>
      <c r="L2780" s="198" t="s">
        <v>2272</v>
      </c>
      <c r="M2780" s="198" t="s">
        <v>2272</v>
      </c>
      <c r="N2780" s="198" t="s">
        <v>2272</v>
      </c>
      <c r="O2780" s="198" t="s">
        <v>2272</v>
      </c>
      <c r="P2780" s="198" t="s">
        <v>2272</v>
      </c>
      <c r="Q2780" s="198" t="s">
        <v>2272</v>
      </c>
      <c r="R2780" s="198" t="s">
        <v>2272</v>
      </c>
      <c r="S2780" s="198" t="s">
        <v>2272</v>
      </c>
      <c r="T2780" s="198" t="s">
        <v>2272</v>
      </c>
      <c r="U2780" s="21">
        <f>1750*0.111</f>
        <v>194.25</v>
      </c>
      <c r="V2780" s="198" t="s">
        <v>2272</v>
      </c>
      <c r="W2780" s="198" t="s">
        <v>2272</v>
      </c>
      <c r="X2780" s="198" t="s">
        <v>2272</v>
      </c>
      <c r="Y2780" s="21">
        <f>U2780/'Record info'!K$1148</f>
        <v>8.1106471816283929E-2</v>
      </c>
      <c r="Z2780" s="198" t="s">
        <v>2272</v>
      </c>
      <c r="AA2780" s="198" t="s">
        <v>67</v>
      </c>
      <c r="AB2780" s="198" t="s">
        <v>84</v>
      </c>
      <c r="AC2780" s="198" t="s">
        <v>75</v>
      </c>
      <c r="AD2780" s="198"/>
      <c r="AE2780" s="198"/>
    </row>
    <row r="2781" spans="1:31" ht="32.5" customHeight="1">
      <c r="A2781" s="4" t="s">
        <v>7383</v>
      </c>
      <c r="B2781" s="4" t="s">
        <v>7508</v>
      </c>
      <c r="C2781" s="198" t="s">
        <v>23</v>
      </c>
      <c r="D2781" s="198" t="s">
        <v>1238</v>
      </c>
      <c r="E2781" s="198" t="s">
        <v>3204</v>
      </c>
      <c r="F2781" s="4" t="s">
        <v>2272</v>
      </c>
      <c r="G2781" s="4" t="s">
        <v>2272</v>
      </c>
      <c r="H2781" s="198" t="s">
        <v>521</v>
      </c>
      <c r="I2781" s="198">
        <v>2011</v>
      </c>
      <c r="J2781" s="198" t="s">
        <v>2272</v>
      </c>
      <c r="K2781" s="198" t="s">
        <v>2272</v>
      </c>
      <c r="L2781" s="198" t="s">
        <v>2272</v>
      </c>
      <c r="M2781" s="198" t="s">
        <v>2272</v>
      </c>
      <c r="N2781" s="198" t="s">
        <v>2272</v>
      </c>
      <c r="O2781" s="198" t="s">
        <v>2272</v>
      </c>
      <c r="P2781" s="198" t="s">
        <v>2272</v>
      </c>
      <c r="Q2781" s="198" t="s">
        <v>2272</v>
      </c>
      <c r="R2781" s="198" t="s">
        <v>2272</v>
      </c>
      <c r="S2781" s="198" t="s">
        <v>2272</v>
      </c>
      <c r="T2781" s="198" t="s">
        <v>2272</v>
      </c>
      <c r="U2781" s="21">
        <f>1750*0.106</f>
        <v>185.5</v>
      </c>
      <c r="V2781" s="198" t="s">
        <v>2272</v>
      </c>
      <c r="W2781" s="198" t="s">
        <v>2272</v>
      </c>
      <c r="X2781" s="198" t="s">
        <v>2272</v>
      </c>
      <c r="Y2781" s="21">
        <f>U2781/'Record info'!K$1149</f>
        <v>6.9397680508791623E-2</v>
      </c>
      <c r="Z2781" s="198" t="s">
        <v>2272</v>
      </c>
      <c r="AA2781" s="198" t="s">
        <v>67</v>
      </c>
      <c r="AB2781" s="198" t="s">
        <v>84</v>
      </c>
      <c r="AC2781" s="198" t="s">
        <v>75</v>
      </c>
      <c r="AD2781" s="198"/>
      <c r="AE2781" s="198"/>
    </row>
    <row r="2782" spans="1:31" ht="32.5" customHeight="1">
      <c r="A2782" s="4" t="s">
        <v>7384</v>
      </c>
      <c r="B2782" s="4" t="s">
        <v>7509</v>
      </c>
      <c r="C2782" s="198" t="s">
        <v>23</v>
      </c>
      <c r="D2782" s="198" t="s">
        <v>1238</v>
      </c>
      <c r="E2782" s="198" t="s">
        <v>3204</v>
      </c>
      <c r="F2782" s="4" t="s">
        <v>2272</v>
      </c>
      <c r="G2782" s="4" t="s">
        <v>2272</v>
      </c>
      <c r="H2782" s="198" t="s">
        <v>521</v>
      </c>
      <c r="I2782" s="198">
        <v>2011</v>
      </c>
      <c r="J2782" s="198" t="s">
        <v>2272</v>
      </c>
      <c r="K2782" s="198" t="s">
        <v>2272</v>
      </c>
      <c r="L2782" s="198" t="s">
        <v>2272</v>
      </c>
      <c r="M2782" s="198" t="s">
        <v>2272</v>
      </c>
      <c r="N2782" s="198" t="s">
        <v>2272</v>
      </c>
      <c r="O2782" s="198" t="s">
        <v>2272</v>
      </c>
      <c r="P2782" s="198" t="s">
        <v>2272</v>
      </c>
      <c r="Q2782" s="198" t="s">
        <v>2272</v>
      </c>
      <c r="R2782" s="198" t="s">
        <v>2272</v>
      </c>
      <c r="S2782" s="198" t="s">
        <v>2272</v>
      </c>
      <c r="T2782" s="198" t="s">
        <v>2272</v>
      </c>
      <c r="U2782" s="21">
        <f>1750*0.166</f>
        <v>290.5</v>
      </c>
      <c r="V2782" s="198" t="s">
        <v>2272</v>
      </c>
      <c r="W2782" s="198" t="s">
        <v>2272</v>
      </c>
      <c r="X2782" s="198" t="s">
        <v>2272</v>
      </c>
      <c r="Y2782" s="21">
        <f>U2782/'Record info'!K$1150</f>
        <v>0.12882483370288247</v>
      </c>
      <c r="Z2782" s="198" t="s">
        <v>2272</v>
      </c>
      <c r="AA2782" s="198" t="s">
        <v>67</v>
      </c>
      <c r="AB2782" s="198" t="s">
        <v>84</v>
      </c>
      <c r="AC2782" s="198" t="s">
        <v>75</v>
      </c>
      <c r="AD2782" s="198"/>
      <c r="AE2782" s="198"/>
    </row>
    <row r="2783" spans="1:31" ht="32.5" customHeight="1">
      <c r="A2783" s="4" t="s">
        <v>7282</v>
      </c>
      <c r="B2783" s="4" t="s">
        <v>7510</v>
      </c>
      <c r="C2783" s="198" t="s">
        <v>23</v>
      </c>
      <c r="D2783" s="198" t="s">
        <v>1238</v>
      </c>
      <c r="E2783" s="198" t="s">
        <v>3204</v>
      </c>
      <c r="F2783" s="4" t="s">
        <v>2272</v>
      </c>
      <c r="G2783" s="4" t="s">
        <v>2272</v>
      </c>
      <c r="H2783" s="198" t="s">
        <v>521</v>
      </c>
      <c r="I2783" s="198">
        <v>2012</v>
      </c>
      <c r="J2783" s="198" t="s">
        <v>2272</v>
      </c>
      <c r="K2783" s="198" t="s">
        <v>2272</v>
      </c>
      <c r="L2783" s="198" t="s">
        <v>2272</v>
      </c>
      <c r="M2783" s="198" t="s">
        <v>2272</v>
      </c>
      <c r="N2783" s="198" t="s">
        <v>2272</v>
      </c>
      <c r="O2783" s="198" t="s">
        <v>2272</v>
      </c>
      <c r="P2783" s="198" t="s">
        <v>2272</v>
      </c>
      <c r="Q2783" s="198" t="s">
        <v>2272</v>
      </c>
      <c r="R2783" s="198" t="s">
        <v>2272</v>
      </c>
      <c r="S2783" s="198" t="s">
        <v>2272</v>
      </c>
      <c r="T2783" s="198" t="s">
        <v>2272</v>
      </c>
      <c r="U2783" s="21">
        <f>450*0.027</f>
        <v>12.15</v>
      </c>
      <c r="V2783" s="198" t="s">
        <v>2272</v>
      </c>
      <c r="W2783" s="198" t="s">
        <v>2272</v>
      </c>
      <c r="X2783" s="198" t="s">
        <v>2272</v>
      </c>
      <c r="Y2783" s="21">
        <f>U2783/'Record info'!K$1133</f>
        <v>4.3392857142857148E-3</v>
      </c>
      <c r="Z2783" s="198" t="s">
        <v>2272</v>
      </c>
      <c r="AA2783" s="198" t="s">
        <v>67</v>
      </c>
      <c r="AB2783" s="198" t="s">
        <v>84</v>
      </c>
      <c r="AC2783" s="198" t="s">
        <v>75</v>
      </c>
      <c r="AD2783" s="198"/>
      <c r="AE2783" s="198"/>
    </row>
    <row r="2784" spans="1:31" ht="32.5" customHeight="1">
      <c r="A2784" s="4" t="s">
        <v>7368</v>
      </c>
      <c r="B2784" s="4" t="s">
        <v>7511</v>
      </c>
      <c r="C2784" s="198" t="s">
        <v>23</v>
      </c>
      <c r="D2784" s="198" t="s">
        <v>1238</v>
      </c>
      <c r="E2784" s="198" t="s">
        <v>3204</v>
      </c>
      <c r="F2784" s="4" t="s">
        <v>2272</v>
      </c>
      <c r="G2784" s="4" t="s">
        <v>2272</v>
      </c>
      <c r="H2784" s="198" t="s">
        <v>521</v>
      </c>
      <c r="I2784" s="198">
        <v>2012</v>
      </c>
      <c r="J2784" s="198" t="s">
        <v>2272</v>
      </c>
      <c r="K2784" s="198" t="s">
        <v>2272</v>
      </c>
      <c r="L2784" s="198" t="s">
        <v>2272</v>
      </c>
      <c r="M2784" s="198" t="s">
        <v>2272</v>
      </c>
      <c r="N2784" s="198" t="s">
        <v>2272</v>
      </c>
      <c r="O2784" s="198" t="s">
        <v>2272</v>
      </c>
      <c r="P2784" s="198" t="s">
        <v>2272</v>
      </c>
      <c r="Q2784" s="198" t="s">
        <v>2272</v>
      </c>
      <c r="R2784" s="198" t="s">
        <v>2272</v>
      </c>
      <c r="S2784" s="198" t="s">
        <v>2272</v>
      </c>
      <c r="T2784" s="198" t="s">
        <v>2272</v>
      </c>
      <c r="U2784" s="21">
        <f>450*0.041</f>
        <v>18.45</v>
      </c>
      <c r="V2784" s="198" t="s">
        <v>2272</v>
      </c>
      <c r="W2784" s="198" t="s">
        <v>2272</v>
      </c>
      <c r="X2784" s="198" t="s">
        <v>2272</v>
      </c>
      <c r="Y2784" s="21">
        <f>U2784/'Record info'!K$1134</f>
        <v>5.2489331436699855E-3</v>
      </c>
      <c r="Z2784" s="198" t="s">
        <v>2272</v>
      </c>
      <c r="AA2784" s="198" t="s">
        <v>67</v>
      </c>
      <c r="AB2784" s="198" t="s">
        <v>84</v>
      </c>
      <c r="AC2784" s="198" t="s">
        <v>75</v>
      </c>
      <c r="AD2784" s="198"/>
      <c r="AE2784" s="198"/>
    </row>
    <row r="2785" spans="1:31" ht="32.5" customHeight="1">
      <c r="A2785" s="4" t="s">
        <v>7369</v>
      </c>
      <c r="B2785" s="4" t="s">
        <v>7512</v>
      </c>
      <c r="C2785" s="198" t="s">
        <v>23</v>
      </c>
      <c r="D2785" s="198" t="s">
        <v>1238</v>
      </c>
      <c r="E2785" s="198" t="s">
        <v>3204</v>
      </c>
      <c r="F2785" s="4" t="s">
        <v>2272</v>
      </c>
      <c r="G2785" s="4" t="s">
        <v>2272</v>
      </c>
      <c r="H2785" s="198" t="s">
        <v>521</v>
      </c>
      <c r="I2785" s="198">
        <v>2012</v>
      </c>
      <c r="J2785" s="198" t="s">
        <v>2272</v>
      </c>
      <c r="K2785" s="198" t="s">
        <v>2272</v>
      </c>
      <c r="L2785" s="198" t="s">
        <v>2272</v>
      </c>
      <c r="M2785" s="198" t="s">
        <v>2272</v>
      </c>
      <c r="N2785" s="198" t="s">
        <v>2272</v>
      </c>
      <c r="O2785" s="198" t="s">
        <v>2272</v>
      </c>
      <c r="P2785" s="198" t="s">
        <v>2272</v>
      </c>
      <c r="Q2785" s="198" t="s">
        <v>2272</v>
      </c>
      <c r="R2785" s="198" t="s">
        <v>2272</v>
      </c>
      <c r="S2785" s="198" t="s">
        <v>2272</v>
      </c>
      <c r="T2785" s="198" t="s">
        <v>2272</v>
      </c>
      <c r="U2785" s="21">
        <f>450*0.004</f>
        <v>1.8</v>
      </c>
      <c r="V2785" s="198" t="s">
        <v>2272</v>
      </c>
      <c r="W2785" s="198" t="s">
        <v>2272</v>
      </c>
      <c r="X2785" s="198" t="s">
        <v>2272</v>
      </c>
      <c r="Y2785" s="21">
        <f>U2785/'Record info'!K$1135</f>
        <v>2.6678523788350376E-4</v>
      </c>
      <c r="Z2785" s="198" t="s">
        <v>2272</v>
      </c>
      <c r="AA2785" s="198" t="s">
        <v>67</v>
      </c>
      <c r="AB2785" s="198" t="s">
        <v>84</v>
      </c>
      <c r="AC2785" s="198" t="s">
        <v>75</v>
      </c>
      <c r="AD2785" s="198"/>
      <c r="AE2785" s="198"/>
    </row>
    <row r="2786" spans="1:31" ht="32.5" customHeight="1">
      <c r="A2786" s="4" t="s">
        <v>7370</v>
      </c>
      <c r="B2786" s="4" t="s">
        <v>7513</v>
      </c>
      <c r="C2786" s="198" t="s">
        <v>23</v>
      </c>
      <c r="D2786" s="198" t="s">
        <v>1238</v>
      </c>
      <c r="E2786" s="198" t="s">
        <v>3204</v>
      </c>
      <c r="F2786" s="4" t="s">
        <v>2272</v>
      </c>
      <c r="G2786" s="4" t="s">
        <v>2272</v>
      </c>
      <c r="H2786" s="198" t="s">
        <v>521</v>
      </c>
      <c r="I2786" s="198">
        <v>2012</v>
      </c>
      <c r="J2786" s="198" t="s">
        <v>2272</v>
      </c>
      <c r="K2786" s="198" t="s">
        <v>2272</v>
      </c>
      <c r="L2786" s="198" t="s">
        <v>2272</v>
      </c>
      <c r="M2786" s="198" t="s">
        <v>2272</v>
      </c>
      <c r="N2786" s="198" t="s">
        <v>2272</v>
      </c>
      <c r="O2786" s="198" t="s">
        <v>2272</v>
      </c>
      <c r="P2786" s="198" t="s">
        <v>2272</v>
      </c>
      <c r="Q2786" s="198" t="s">
        <v>2272</v>
      </c>
      <c r="R2786" s="198" t="s">
        <v>2272</v>
      </c>
      <c r="S2786" s="198" t="s">
        <v>2272</v>
      </c>
      <c r="T2786" s="198" t="s">
        <v>2272</v>
      </c>
      <c r="U2786" s="21">
        <f>450*0.004</f>
        <v>1.8</v>
      </c>
      <c r="V2786" s="198" t="s">
        <v>2272</v>
      </c>
      <c r="W2786" s="198" t="s">
        <v>2272</v>
      </c>
      <c r="X2786" s="198" t="s">
        <v>2272</v>
      </c>
      <c r="Y2786" s="21">
        <f>U2786/'Record info'!K$1136</f>
        <v>3.5545023696682463E-4</v>
      </c>
      <c r="Z2786" s="198" t="s">
        <v>2272</v>
      </c>
      <c r="AA2786" s="198" t="s">
        <v>67</v>
      </c>
      <c r="AB2786" s="198" t="s">
        <v>84</v>
      </c>
      <c r="AC2786" s="198" t="s">
        <v>75</v>
      </c>
      <c r="AD2786" s="198"/>
      <c r="AE2786" s="198"/>
    </row>
    <row r="2787" spans="1:31" ht="32.5" customHeight="1">
      <c r="A2787" s="4" t="s">
        <v>7371</v>
      </c>
      <c r="B2787" s="4" t="s">
        <v>7514</v>
      </c>
      <c r="C2787" s="198" t="s">
        <v>23</v>
      </c>
      <c r="D2787" s="198" t="s">
        <v>1238</v>
      </c>
      <c r="E2787" s="198" t="s">
        <v>3204</v>
      </c>
      <c r="F2787" s="4" t="s">
        <v>2272</v>
      </c>
      <c r="G2787" s="4" t="s">
        <v>2272</v>
      </c>
      <c r="H2787" s="198" t="s">
        <v>522</v>
      </c>
      <c r="I2787" s="198">
        <v>2012</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v>0</v>
      </c>
      <c r="Y2787" s="21">
        <f>U2787/'Record info'!K$1137</f>
        <v>0</v>
      </c>
      <c r="Z2787" s="198" t="s">
        <v>2272</v>
      </c>
      <c r="AA2787" s="198" t="s">
        <v>67</v>
      </c>
      <c r="AB2787" s="198" t="s">
        <v>84</v>
      </c>
      <c r="AC2787" s="198" t="s">
        <v>75</v>
      </c>
      <c r="AD2787" s="198"/>
      <c r="AE2787" s="198"/>
    </row>
    <row r="2788" spans="1:31" ht="32.5" customHeight="1">
      <c r="A2788" s="4" t="s">
        <v>7372</v>
      </c>
      <c r="B2788" s="4" t="s">
        <v>7515</v>
      </c>
      <c r="C2788" s="198" t="s">
        <v>23</v>
      </c>
      <c r="D2788" s="198" t="s">
        <v>1238</v>
      </c>
      <c r="E2788" s="198" t="s">
        <v>3204</v>
      </c>
      <c r="F2788" s="4" t="s">
        <v>2272</v>
      </c>
      <c r="G2788" s="4" t="s">
        <v>2272</v>
      </c>
      <c r="H2788" s="198" t="s">
        <v>522</v>
      </c>
      <c r="I2788" s="198">
        <v>2012</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v>0</v>
      </c>
      <c r="Y2788" s="21">
        <f>U2788/'Record info'!K$1138</f>
        <v>0</v>
      </c>
      <c r="Z2788" s="198" t="s">
        <v>2272</v>
      </c>
      <c r="AA2788" s="198" t="s">
        <v>67</v>
      </c>
      <c r="AB2788" s="198" t="s">
        <v>84</v>
      </c>
      <c r="AC2788" s="198" t="s">
        <v>75</v>
      </c>
      <c r="AD2788" s="198"/>
      <c r="AE2788" s="198"/>
    </row>
    <row r="2789" spans="1:31" ht="32.5" customHeight="1">
      <c r="A2789" s="4" t="s">
        <v>7373</v>
      </c>
      <c r="B2789" s="4" t="s">
        <v>7516</v>
      </c>
      <c r="C2789" s="198" t="s">
        <v>23</v>
      </c>
      <c r="D2789" s="198" t="s">
        <v>1238</v>
      </c>
      <c r="E2789" s="198" t="s">
        <v>3204</v>
      </c>
      <c r="F2789" s="4" t="s">
        <v>2272</v>
      </c>
      <c r="G2789" s="4" t="s">
        <v>2272</v>
      </c>
      <c r="H2789" s="198" t="s">
        <v>522</v>
      </c>
      <c r="I2789" s="198">
        <v>2012</v>
      </c>
      <c r="J2789" s="21">
        <v>0</v>
      </c>
      <c r="K2789" s="21">
        <v>0</v>
      </c>
      <c r="L2789" s="21">
        <v>0</v>
      </c>
      <c r="M2789" s="21">
        <v>0</v>
      </c>
      <c r="N2789" s="21">
        <v>0</v>
      </c>
      <c r="O2789" s="21">
        <v>0</v>
      </c>
      <c r="P2789" s="21">
        <v>0</v>
      </c>
      <c r="Q2789" s="21">
        <v>0</v>
      </c>
      <c r="R2789" s="21">
        <v>0</v>
      </c>
      <c r="S2789" s="21">
        <v>0</v>
      </c>
      <c r="T2789" s="21">
        <v>0</v>
      </c>
      <c r="U2789" s="21">
        <v>0</v>
      </c>
      <c r="V2789" s="21">
        <v>0</v>
      </c>
      <c r="W2789" s="21">
        <v>0</v>
      </c>
      <c r="X2789" s="21">
        <v>0</v>
      </c>
      <c r="Y2789" s="21">
        <f>U2789/'Record info'!K$1139</f>
        <v>0</v>
      </c>
      <c r="Z2789" s="198" t="s">
        <v>2272</v>
      </c>
      <c r="AA2789" s="198" t="s">
        <v>67</v>
      </c>
      <c r="AB2789" s="198" t="s">
        <v>84</v>
      </c>
      <c r="AC2789" s="198" t="s">
        <v>75</v>
      </c>
      <c r="AD2789" s="198"/>
      <c r="AE2789" s="198"/>
    </row>
    <row r="2790" spans="1:31" ht="32.5" customHeight="1">
      <c r="A2790" s="4" t="s">
        <v>7374</v>
      </c>
      <c r="B2790" s="4" t="s">
        <v>7517</v>
      </c>
      <c r="C2790" s="198" t="s">
        <v>23</v>
      </c>
      <c r="D2790" s="198" t="s">
        <v>1238</v>
      </c>
      <c r="E2790" s="198" t="s">
        <v>3204</v>
      </c>
      <c r="F2790" s="4" t="s">
        <v>2272</v>
      </c>
      <c r="G2790" s="4" t="s">
        <v>2272</v>
      </c>
      <c r="H2790" s="198" t="s">
        <v>521</v>
      </c>
      <c r="I2790" s="198">
        <v>2012</v>
      </c>
      <c r="J2790" s="198" t="s">
        <v>2272</v>
      </c>
      <c r="K2790" s="198" t="s">
        <v>2272</v>
      </c>
      <c r="L2790" s="198" t="s">
        <v>2272</v>
      </c>
      <c r="M2790" s="198" t="s">
        <v>2272</v>
      </c>
      <c r="N2790" s="198" t="s">
        <v>2272</v>
      </c>
      <c r="O2790" s="198" t="s">
        <v>2272</v>
      </c>
      <c r="P2790" s="198" t="s">
        <v>2272</v>
      </c>
      <c r="Q2790" s="198" t="s">
        <v>2272</v>
      </c>
      <c r="R2790" s="198" t="s">
        <v>2272</v>
      </c>
      <c r="S2790" s="198" t="s">
        <v>2272</v>
      </c>
      <c r="T2790" s="198" t="s">
        <v>2272</v>
      </c>
      <c r="U2790" s="21">
        <f>450*0.035</f>
        <v>15.750000000000002</v>
      </c>
      <c r="V2790" s="198" t="s">
        <v>2272</v>
      </c>
      <c r="W2790" s="198" t="s">
        <v>2272</v>
      </c>
      <c r="X2790" s="198" t="s">
        <v>2272</v>
      </c>
      <c r="Y2790" s="21">
        <f>U2790/'Record info'!K$1140</f>
        <v>2.5968672712283597E-3</v>
      </c>
      <c r="Z2790" s="198" t="s">
        <v>2272</v>
      </c>
      <c r="AA2790" s="198" t="s">
        <v>67</v>
      </c>
      <c r="AB2790" s="198" t="s">
        <v>84</v>
      </c>
      <c r="AC2790" s="198" t="s">
        <v>75</v>
      </c>
      <c r="AD2790" s="198"/>
      <c r="AE2790" s="198"/>
    </row>
    <row r="2791" spans="1:31" ht="32.5" customHeight="1">
      <c r="A2791" s="4" t="s">
        <v>7375</v>
      </c>
      <c r="B2791" s="4" t="s">
        <v>7518</v>
      </c>
      <c r="C2791" s="198" t="s">
        <v>23</v>
      </c>
      <c r="D2791" s="198" t="s">
        <v>1238</v>
      </c>
      <c r="E2791" s="198" t="s">
        <v>3204</v>
      </c>
      <c r="F2791" s="4" t="s">
        <v>2272</v>
      </c>
      <c r="G2791" s="4" t="s">
        <v>2272</v>
      </c>
      <c r="H2791" s="198" t="s">
        <v>521</v>
      </c>
      <c r="I2791" s="198">
        <v>2012</v>
      </c>
      <c r="J2791" s="198" t="s">
        <v>2272</v>
      </c>
      <c r="K2791" s="198" t="s">
        <v>2272</v>
      </c>
      <c r="L2791" s="198" t="s">
        <v>2272</v>
      </c>
      <c r="M2791" s="198" t="s">
        <v>2272</v>
      </c>
      <c r="N2791" s="198" t="s">
        <v>2272</v>
      </c>
      <c r="O2791" s="198" t="s">
        <v>2272</v>
      </c>
      <c r="P2791" s="198" t="s">
        <v>2272</v>
      </c>
      <c r="Q2791" s="198" t="s">
        <v>2272</v>
      </c>
      <c r="R2791" s="198" t="s">
        <v>2272</v>
      </c>
      <c r="S2791" s="198" t="s">
        <v>2272</v>
      </c>
      <c r="T2791" s="198" t="s">
        <v>2272</v>
      </c>
      <c r="U2791" s="21">
        <f>450*0.079</f>
        <v>35.549999999999997</v>
      </c>
      <c r="V2791" s="198" t="s">
        <v>2272</v>
      </c>
      <c r="W2791" s="198" t="s">
        <v>2272</v>
      </c>
      <c r="X2791" s="198" t="s">
        <v>2272</v>
      </c>
      <c r="Y2791" s="21">
        <f>U2791/'Record info'!K$1141</f>
        <v>5.3258426966292134E-3</v>
      </c>
      <c r="Z2791" s="198" t="s">
        <v>2272</v>
      </c>
      <c r="AA2791" s="198" t="s">
        <v>67</v>
      </c>
      <c r="AB2791" s="198" t="s">
        <v>84</v>
      </c>
      <c r="AC2791" s="198" t="s">
        <v>75</v>
      </c>
      <c r="AD2791" s="198"/>
      <c r="AE2791" s="198"/>
    </row>
    <row r="2792" spans="1:31" ht="32.5" customHeight="1">
      <c r="A2792" s="4" t="s">
        <v>7376</v>
      </c>
      <c r="B2792" s="4" t="s">
        <v>7519</v>
      </c>
      <c r="C2792" s="198" t="s">
        <v>23</v>
      </c>
      <c r="D2792" s="198" t="s">
        <v>1238</v>
      </c>
      <c r="E2792" s="198" t="s">
        <v>3204</v>
      </c>
      <c r="F2792" s="4" t="s">
        <v>2272</v>
      </c>
      <c r="G2792" s="4" t="s">
        <v>2272</v>
      </c>
      <c r="H2792" s="198" t="s">
        <v>521</v>
      </c>
      <c r="I2792" s="198">
        <v>2012</v>
      </c>
      <c r="J2792" s="198" t="s">
        <v>2272</v>
      </c>
      <c r="K2792" s="198" t="s">
        <v>2272</v>
      </c>
      <c r="L2792" s="198" t="s">
        <v>2272</v>
      </c>
      <c r="M2792" s="198" t="s">
        <v>2272</v>
      </c>
      <c r="N2792" s="198" t="s">
        <v>2272</v>
      </c>
      <c r="O2792" s="198" t="s">
        <v>2272</v>
      </c>
      <c r="P2792" s="198" t="s">
        <v>2272</v>
      </c>
      <c r="Q2792" s="198" t="s">
        <v>2272</v>
      </c>
      <c r="R2792" s="198" t="s">
        <v>2272</v>
      </c>
      <c r="S2792" s="198" t="s">
        <v>2272</v>
      </c>
      <c r="T2792" s="198" t="s">
        <v>2272</v>
      </c>
      <c r="U2792" s="21">
        <f>450*0.132</f>
        <v>59.400000000000006</v>
      </c>
      <c r="V2792" s="198" t="s">
        <v>2272</v>
      </c>
      <c r="W2792" s="198" t="s">
        <v>2272</v>
      </c>
      <c r="X2792" s="198" t="s">
        <v>2272</v>
      </c>
      <c r="Y2792" s="21">
        <f>U2792/'Record info'!K$1142</f>
        <v>1.076476984414643E-2</v>
      </c>
      <c r="Z2792" s="198" t="s">
        <v>2272</v>
      </c>
      <c r="AA2792" s="198" t="s">
        <v>67</v>
      </c>
      <c r="AB2792" s="198" t="s">
        <v>84</v>
      </c>
      <c r="AC2792" s="198" t="s">
        <v>75</v>
      </c>
      <c r="AD2792" s="198"/>
      <c r="AE2792" s="198"/>
    </row>
    <row r="2793" spans="1:31" ht="32.5" customHeight="1">
      <c r="A2793" s="4" t="s">
        <v>7377</v>
      </c>
      <c r="B2793" s="4" t="s">
        <v>7520</v>
      </c>
      <c r="C2793" s="198" t="s">
        <v>23</v>
      </c>
      <c r="D2793" s="198" t="s">
        <v>1238</v>
      </c>
      <c r="E2793" s="198" t="s">
        <v>3204</v>
      </c>
      <c r="F2793" s="4" t="s">
        <v>2272</v>
      </c>
      <c r="G2793" s="4" t="s">
        <v>2272</v>
      </c>
      <c r="H2793" s="198" t="s">
        <v>521</v>
      </c>
      <c r="I2793" s="198">
        <v>2012</v>
      </c>
      <c r="J2793" s="198" t="s">
        <v>2272</v>
      </c>
      <c r="K2793" s="198" t="s">
        <v>2272</v>
      </c>
      <c r="L2793" s="198" t="s">
        <v>2272</v>
      </c>
      <c r="M2793" s="198" t="s">
        <v>2272</v>
      </c>
      <c r="N2793" s="198" t="s">
        <v>2272</v>
      </c>
      <c r="O2793" s="198" t="s">
        <v>2272</v>
      </c>
      <c r="P2793" s="198" t="s">
        <v>2272</v>
      </c>
      <c r="Q2793" s="198" t="s">
        <v>2272</v>
      </c>
      <c r="R2793" s="198" t="s">
        <v>2272</v>
      </c>
      <c r="S2793" s="198" t="s">
        <v>2272</v>
      </c>
      <c r="T2793" s="198" t="s">
        <v>2272</v>
      </c>
      <c r="U2793" s="21">
        <f>450*0.057</f>
        <v>25.650000000000002</v>
      </c>
      <c r="V2793" s="198" t="s">
        <v>2272</v>
      </c>
      <c r="W2793" s="198" t="s">
        <v>2272</v>
      </c>
      <c r="X2793" s="198" t="s">
        <v>2272</v>
      </c>
      <c r="Y2793" s="21">
        <f>U2793/'Record info'!K$1143</f>
        <v>6.4986065366100841E-3</v>
      </c>
      <c r="Z2793" s="198" t="s">
        <v>2272</v>
      </c>
      <c r="AA2793" s="198" t="s">
        <v>67</v>
      </c>
      <c r="AB2793" s="198" t="s">
        <v>84</v>
      </c>
      <c r="AC2793" s="198" t="s">
        <v>75</v>
      </c>
      <c r="AD2793" s="198"/>
      <c r="AE2793" s="198"/>
    </row>
    <row r="2794" spans="1:31" ht="32.5" customHeight="1">
      <c r="A2794" s="4" t="s">
        <v>7378</v>
      </c>
      <c r="B2794" s="4" t="s">
        <v>7521</v>
      </c>
      <c r="C2794" s="198" t="s">
        <v>23</v>
      </c>
      <c r="D2794" s="198" t="s">
        <v>1238</v>
      </c>
      <c r="E2794" s="198" t="s">
        <v>3204</v>
      </c>
      <c r="F2794" s="4" t="s">
        <v>2272</v>
      </c>
      <c r="G2794" s="4" t="s">
        <v>2272</v>
      </c>
      <c r="H2794" s="198" t="s">
        <v>521</v>
      </c>
      <c r="I2794" s="198">
        <v>2012</v>
      </c>
      <c r="J2794" s="198" t="s">
        <v>2272</v>
      </c>
      <c r="K2794" s="198" t="s">
        <v>2272</v>
      </c>
      <c r="L2794" s="198" t="s">
        <v>2272</v>
      </c>
      <c r="M2794" s="198" t="s">
        <v>2272</v>
      </c>
      <c r="N2794" s="198" t="s">
        <v>2272</v>
      </c>
      <c r="O2794" s="198" t="s">
        <v>2272</v>
      </c>
      <c r="P2794" s="198" t="s">
        <v>2272</v>
      </c>
      <c r="Q2794" s="198" t="s">
        <v>2272</v>
      </c>
      <c r="R2794" s="198" t="s">
        <v>2272</v>
      </c>
      <c r="S2794" s="198" t="s">
        <v>2272</v>
      </c>
      <c r="T2794" s="198" t="s">
        <v>2272</v>
      </c>
      <c r="U2794" s="21">
        <f>450*0.024</f>
        <v>10.8</v>
      </c>
      <c r="V2794" s="198" t="s">
        <v>2272</v>
      </c>
      <c r="W2794" s="198" t="s">
        <v>2272</v>
      </c>
      <c r="X2794" s="198" t="s">
        <v>2272</v>
      </c>
      <c r="Y2794" s="21">
        <f>U2794/'Record info'!K$1144</f>
        <v>3.8461538461538464E-3</v>
      </c>
      <c r="Z2794" s="198" t="s">
        <v>2272</v>
      </c>
      <c r="AA2794" s="198" t="s">
        <v>67</v>
      </c>
      <c r="AB2794" s="198" t="s">
        <v>84</v>
      </c>
      <c r="AC2794" s="198" t="s">
        <v>75</v>
      </c>
      <c r="AD2794" s="198"/>
      <c r="AE2794" s="198"/>
    </row>
    <row r="2795" spans="1:31" ht="32.5" customHeight="1">
      <c r="A2795" s="4" t="s">
        <v>7379</v>
      </c>
      <c r="B2795" s="4" t="s">
        <v>7522</v>
      </c>
      <c r="C2795" s="198" t="s">
        <v>23</v>
      </c>
      <c r="D2795" s="198" t="s">
        <v>1238</v>
      </c>
      <c r="E2795" s="198" t="s">
        <v>3204</v>
      </c>
      <c r="F2795" s="4" t="s">
        <v>2272</v>
      </c>
      <c r="G2795" s="4" t="s">
        <v>2272</v>
      </c>
      <c r="H2795" s="198" t="s">
        <v>521</v>
      </c>
      <c r="I2795" s="198">
        <v>2012</v>
      </c>
      <c r="J2795" s="198" t="s">
        <v>2272</v>
      </c>
      <c r="K2795" s="198" t="s">
        <v>2272</v>
      </c>
      <c r="L2795" s="198" t="s">
        <v>2272</v>
      </c>
      <c r="M2795" s="198" t="s">
        <v>2272</v>
      </c>
      <c r="N2795" s="198" t="s">
        <v>2272</v>
      </c>
      <c r="O2795" s="198" t="s">
        <v>2272</v>
      </c>
      <c r="P2795" s="198" t="s">
        <v>2272</v>
      </c>
      <c r="Q2795" s="198" t="s">
        <v>2272</v>
      </c>
      <c r="R2795" s="198" t="s">
        <v>2272</v>
      </c>
      <c r="S2795" s="198" t="s">
        <v>2272</v>
      </c>
      <c r="T2795" s="198" t="s">
        <v>2272</v>
      </c>
      <c r="U2795" s="21">
        <f>450*0.072</f>
        <v>32.4</v>
      </c>
      <c r="V2795" s="198" t="s">
        <v>2272</v>
      </c>
      <c r="W2795" s="198" t="s">
        <v>2272</v>
      </c>
      <c r="X2795" s="198" t="s">
        <v>2272</v>
      </c>
      <c r="Y2795" s="21">
        <f>U2795/'Record info'!K$1145</f>
        <v>6.4709406830437384E-3</v>
      </c>
      <c r="Z2795" s="198" t="s">
        <v>2272</v>
      </c>
      <c r="AA2795" s="198" t="s">
        <v>67</v>
      </c>
      <c r="AB2795" s="198" t="s">
        <v>84</v>
      </c>
      <c r="AC2795" s="198" t="s">
        <v>75</v>
      </c>
      <c r="AD2795" s="198"/>
      <c r="AE2795" s="198"/>
    </row>
    <row r="2796" spans="1:31" ht="32.5" customHeight="1">
      <c r="A2796" s="4" t="s">
        <v>7380</v>
      </c>
      <c r="B2796" s="4" t="s">
        <v>7523</v>
      </c>
      <c r="C2796" s="198" t="s">
        <v>23</v>
      </c>
      <c r="D2796" s="198" t="s">
        <v>1238</v>
      </c>
      <c r="E2796" s="198" t="s">
        <v>3204</v>
      </c>
      <c r="F2796" s="4" t="s">
        <v>2272</v>
      </c>
      <c r="G2796" s="4" t="s">
        <v>2272</v>
      </c>
      <c r="H2796" s="198" t="s">
        <v>521</v>
      </c>
      <c r="I2796" s="198">
        <v>2012</v>
      </c>
      <c r="J2796" s="198" t="s">
        <v>2272</v>
      </c>
      <c r="K2796" s="198" t="s">
        <v>2272</v>
      </c>
      <c r="L2796" s="198" t="s">
        <v>2272</v>
      </c>
      <c r="M2796" s="198" t="s">
        <v>2272</v>
      </c>
      <c r="N2796" s="198" t="s">
        <v>2272</v>
      </c>
      <c r="O2796" s="198" t="s">
        <v>2272</v>
      </c>
      <c r="P2796" s="198" t="s">
        <v>2272</v>
      </c>
      <c r="Q2796" s="198" t="s">
        <v>2272</v>
      </c>
      <c r="R2796" s="198" t="s">
        <v>2272</v>
      </c>
      <c r="S2796" s="198" t="s">
        <v>2272</v>
      </c>
      <c r="T2796" s="198" t="s">
        <v>2272</v>
      </c>
      <c r="U2796" s="21">
        <f>450*0.068</f>
        <v>30.6</v>
      </c>
      <c r="V2796" s="198" t="s">
        <v>2272</v>
      </c>
      <c r="W2796" s="198" t="s">
        <v>2272</v>
      </c>
      <c r="X2796" s="198" t="s">
        <v>2272</v>
      </c>
      <c r="Y2796" s="21">
        <f>U2796/'Record info'!K$1146</f>
        <v>2.6064735945485522E-2</v>
      </c>
      <c r="Z2796" s="198" t="s">
        <v>2272</v>
      </c>
      <c r="AA2796" s="198" t="s">
        <v>67</v>
      </c>
      <c r="AB2796" s="198" t="s">
        <v>84</v>
      </c>
      <c r="AC2796" s="198" t="s">
        <v>75</v>
      </c>
      <c r="AD2796" s="198"/>
      <c r="AE2796" s="198"/>
    </row>
    <row r="2797" spans="1:31" ht="32.5" customHeight="1">
      <c r="A2797" s="4" t="s">
        <v>7381</v>
      </c>
      <c r="B2797" s="4" t="s">
        <v>7524</v>
      </c>
      <c r="C2797" s="198" t="s">
        <v>23</v>
      </c>
      <c r="D2797" s="198" t="s">
        <v>1238</v>
      </c>
      <c r="E2797" s="198" t="s">
        <v>3204</v>
      </c>
      <c r="F2797" s="4" t="s">
        <v>2272</v>
      </c>
      <c r="G2797" s="4" t="s">
        <v>2272</v>
      </c>
      <c r="H2797" s="198" t="s">
        <v>521</v>
      </c>
      <c r="I2797" s="198">
        <v>2012</v>
      </c>
      <c r="J2797" s="198" t="s">
        <v>2272</v>
      </c>
      <c r="K2797" s="198" t="s">
        <v>2272</v>
      </c>
      <c r="L2797" s="198" t="s">
        <v>2272</v>
      </c>
      <c r="M2797" s="198" t="s">
        <v>2272</v>
      </c>
      <c r="N2797" s="198" t="s">
        <v>2272</v>
      </c>
      <c r="O2797" s="198" t="s">
        <v>2272</v>
      </c>
      <c r="P2797" s="198" t="s">
        <v>2272</v>
      </c>
      <c r="Q2797" s="198" t="s">
        <v>2272</v>
      </c>
      <c r="R2797" s="198" t="s">
        <v>2272</v>
      </c>
      <c r="S2797" s="198" t="s">
        <v>2272</v>
      </c>
      <c r="T2797" s="198" t="s">
        <v>2272</v>
      </c>
      <c r="U2797" s="21">
        <f>450*0.075</f>
        <v>33.75</v>
      </c>
      <c r="V2797" s="198" t="s">
        <v>2272</v>
      </c>
      <c r="W2797" s="198" t="s">
        <v>2272</v>
      </c>
      <c r="X2797" s="198" t="s">
        <v>2272</v>
      </c>
      <c r="Y2797" s="21">
        <f>U2797/'Record info'!K$1147</f>
        <v>7.7980591497227355E-3</v>
      </c>
      <c r="Z2797" s="198" t="s">
        <v>2272</v>
      </c>
      <c r="AA2797" s="198" t="s">
        <v>67</v>
      </c>
      <c r="AB2797" s="198" t="s">
        <v>84</v>
      </c>
      <c r="AC2797" s="198" t="s">
        <v>75</v>
      </c>
      <c r="AD2797" s="198"/>
      <c r="AE2797" s="198"/>
    </row>
    <row r="2798" spans="1:31" ht="32.5" customHeight="1">
      <c r="A2798" s="4" t="s">
        <v>7382</v>
      </c>
      <c r="B2798" s="4" t="s">
        <v>7525</v>
      </c>
      <c r="C2798" s="198" t="s">
        <v>23</v>
      </c>
      <c r="D2798" s="198" t="s">
        <v>1238</v>
      </c>
      <c r="E2798" s="198" t="s">
        <v>3204</v>
      </c>
      <c r="F2798" s="4" t="s">
        <v>2272</v>
      </c>
      <c r="G2798" s="4" t="s">
        <v>2272</v>
      </c>
      <c r="H2798" s="198" t="s">
        <v>521</v>
      </c>
      <c r="I2798" s="198">
        <v>2012</v>
      </c>
      <c r="J2798" s="198" t="s">
        <v>2272</v>
      </c>
      <c r="K2798" s="198" t="s">
        <v>2272</v>
      </c>
      <c r="L2798" s="198" t="s">
        <v>2272</v>
      </c>
      <c r="M2798" s="198" t="s">
        <v>2272</v>
      </c>
      <c r="N2798" s="198" t="s">
        <v>2272</v>
      </c>
      <c r="O2798" s="198" t="s">
        <v>2272</v>
      </c>
      <c r="P2798" s="198" t="s">
        <v>2272</v>
      </c>
      <c r="Q2798" s="198" t="s">
        <v>2272</v>
      </c>
      <c r="R2798" s="198" t="s">
        <v>2272</v>
      </c>
      <c r="S2798" s="198" t="s">
        <v>2272</v>
      </c>
      <c r="T2798" s="198" t="s">
        <v>2272</v>
      </c>
      <c r="U2798" s="21">
        <f>450*0.111</f>
        <v>49.95</v>
      </c>
      <c r="V2798" s="198" t="s">
        <v>2272</v>
      </c>
      <c r="W2798" s="198" t="s">
        <v>2272</v>
      </c>
      <c r="X2798" s="198" t="s">
        <v>2272</v>
      </c>
      <c r="Y2798" s="21">
        <f>U2798/'Record info'!K$1148</f>
        <v>2.0855949895615868E-2</v>
      </c>
      <c r="Z2798" s="198" t="s">
        <v>2272</v>
      </c>
      <c r="AA2798" s="198" t="s">
        <v>67</v>
      </c>
      <c r="AB2798" s="198" t="s">
        <v>84</v>
      </c>
      <c r="AC2798" s="198" t="s">
        <v>75</v>
      </c>
      <c r="AD2798" s="198"/>
      <c r="AE2798" s="198"/>
    </row>
    <row r="2799" spans="1:31" ht="32.5" customHeight="1">
      <c r="A2799" s="4" t="s">
        <v>7383</v>
      </c>
      <c r="B2799" s="4" t="s">
        <v>7526</v>
      </c>
      <c r="C2799" s="198" t="s">
        <v>23</v>
      </c>
      <c r="D2799" s="198" t="s">
        <v>1238</v>
      </c>
      <c r="E2799" s="198" t="s">
        <v>3204</v>
      </c>
      <c r="F2799" s="4" t="s">
        <v>2272</v>
      </c>
      <c r="G2799" s="4" t="s">
        <v>2272</v>
      </c>
      <c r="H2799" s="198" t="s">
        <v>521</v>
      </c>
      <c r="I2799" s="198">
        <v>2012</v>
      </c>
      <c r="J2799" s="198" t="s">
        <v>2272</v>
      </c>
      <c r="K2799" s="198" t="s">
        <v>2272</v>
      </c>
      <c r="L2799" s="198" t="s">
        <v>2272</v>
      </c>
      <c r="M2799" s="198" t="s">
        <v>2272</v>
      </c>
      <c r="N2799" s="198" t="s">
        <v>2272</v>
      </c>
      <c r="O2799" s="198" t="s">
        <v>2272</v>
      </c>
      <c r="P2799" s="198" t="s">
        <v>2272</v>
      </c>
      <c r="Q2799" s="198" t="s">
        <v>2272</v>
      </c>
      <c r="R2799" s="198" t="s">
        <v>2272</v>
      </c>
      <c r="S2799" s="198" t="s">
        <v>2272</v>
      </c>
      <c r="T2799" s="198" t="s">
        <v>2272</v>
      </c>
      <c r="U2799" s="21">
        <f>450*0.106</f>
        <v>47.699999999999996</v>
      </c>
      <c r="V2799" s="198" t="s">
        <v>2272</v>
      </c>
      <c r="W2799" s="198" t="s">
        <v>2272</v>
      </c>
      <c r="X2799" s="198" t="s">
        <v>2272</v>
      </c>
      <c r="Y2799" s="21">
        <f>U2799/'Record info'!K$1149</f>
        <v>1.7845117845117844E-2</v>
      </c>
      <c r="Z2799" s="198" t="s">
        <v>2272</v>
      </c>
      <c r="AA2799" s="198" t="s">
        <v>67</v>
      </c>
      <c r="AB2799" s="198" t="s">
        <v>84</v>
      </c>
      <c r="AC2799" s="198" t="s">
        <v>75</v>
      </c>
      <c r="AD2799" s="198"/>
      <c r="AE2799" s="198"/>
    </row>
    <row r="2800" spans="1:31" ht="32.5" customHeight="1">
      <c r="A2800" s="4" t="s">
        <v>7384</v>
      </c>
      <c r="B2800" s="4" t="s">
        <v>7527</v>
      </c>
      <c r="C2800" s="198" t="s">
        <v>23</v>
      </c>
      <c r="D2800" s="198" t="s">
        <v>1238</v>
      </c>
      <c r="E2800" s="198" t="s">
        <v>3204</v>
      </c>
      <c r="F2800" s="4" t="s">
        <v>2272</v>
      </c>
      <c r="G2800" s="4" t="s">
        <v>2272</v>
      </c>
      <c r="H2800" s="198" t="s">
        <v>521</v>
      </c>
      <c r="I2800" s="198">
        <v>2012</v>
      </c>
      <c r="J2800" s="198" t="s">
        <v>2272</v>
      </c>
      <c r="K2800" s="198" t="s">
        <v>2272</v>
      </c>
      <c r="L2800" s="198" t="s">
        <v>2272</v>
      </c>
      <c r="M2800" s="198" t="s">
        <v>2272</v>
      </c>
      <c r="N2800" s="198" t="s">
        <v>2272</v>
      </c>
      <c r="O2800" s="198" t="s">
        <v>2272</v>
      </c>
      <c r="P2800" s="198" t="s">
        <v>2272</v>
      </c>
      <c r="Q2800" s="198" t="s">
        <v>2272</v>
      </c>
      <c r="R2800" s="198" t="s">
        <v>2272</v>
      </c>
      <c r="S2800" s="198" t="s">
        <v>2272</v>
      </c>
      <c r="T2800" s="198" t="s">
        <v>2272</v>
      </c>
      <c r="U2800" s="21">
        <f>450*0.166</f>
        <v>74.7</v>
      </c>
      <c r="V2800" s="198" t="s">
        <v>2272</v>
      </c>
      <c r="W2800" s="198" t="s">
        <v>2272</v>
      </c>
      <c r="X2800" s="198" t="s">
        <v>2272</v>
      </c>
      <c r="Y2800" s="21">
        <f>U2800/'Record info'!K$1150</f>
        <v>3.3126385809312639E-2</v>
      </c>
      <c r="Z2800" s="198" t="s">
        <v>2272</v>
      </c>
      <c r="AA2800" s="198" t="s">
        <v>67</v>
      </c>
      <c r="AB2800" s="198" t="s">
        <v>84</v>
      </c>
      <c r="AC2800" s="198" t="s">
        <v>75</v>
      </c>
      <c r="AD2800" s="198"/>
      <c r="AE2800" s="198"/>
    </row>
    <row r="2801" spans="1:31" ht="36" customHeight="1">
      <c r="A2801" s="4" t="s">
        <v>7282</v>
      </c>
      <c r="B2801" s="4" t="s">
        <v>7528</v>
      </c>
      <c r="C2801" s="198" t="s">
        <v>23</v>
      </c>
      <c r="D2801" s="198" t="s">
        <v>1238</v>
      </c>
      <c r="E2801" s="198" t="s">
        <v>3204</v>
      </c>
      <c r="F2801" s="4" t="s">
        <v>2272</v>
      </c>
      <c r="G2801" s="4" t="s">
        <v>2272</v>
      </c>
      <c r="H2801" s="198" t="s">
        <v>521</v>
      </c>
      <c r="I2801" s="198">
        <v>2013</v>
      </c>
      <c r="J2801" s="198" t="s">
        <v>2272</v>
      </c>
      <c r="K2801" s="198" t="s">
        <v>2272</v>
      </c>
      <c r="L2801" s="198" t="s">
        <v>2272</v>
      </c>
      <c r="M2801" s="198" t="s">
        <v>2272</v>
      </c>
      <c r="N2801" s="198" t="s">
        <v>2272</v>
      </c>
      <c r="O2801" s="198" t="s">
        <v>2272</v>
      </c>
      <c r="P2801" s="198" t="s">
        <v>2272</v>
      </c>
      <c r="Q2801" s="198" t="s">
        <v>2272</v>
      </c>
      <c r="R2801" s="198" t="s">
        <v>2272</v>
      </c>
      <c r="S2801" s="198" t="s">
        <v>2272</v>
      </c>
      <c r="T2801" s="198" t="s">
        <v>2272</v>
      </c>
      <c r="U2801" s="21">
        <f>1200*0.027</f>
        <v>32.4</v>
      </c>
      <c r="V2801" s="198" t="s">
        <v>2272</v>
      </c>
      <c r="W2801" s="198" t="s">
        <v>2272</v>
      </c>
      <c r="X2801" s="198" t="s">
        <v>2272</v>
      </c>
      <c r="Y2801" s="21">
        <f>U2801/'Record info'!K$1133</f>
        <v>1.1571428571428571E-2</v>
      </c>
      <c r="Z2801" s="198" t="s">
        <v>2272</v>
      </c>
      <c r="AA2801" s="198" t="s">
        <v>67</v>
      </c>
      <c r="AB2801" s="198" t="s">
        <v>84</v>
      </c>
      <c r="AC2801" s="198" t="s">
        <v>75</v>
      </c>
      <c r="AD2801" s="198"/>
      <c r="AE2801" s="198"/>
    </row>
    <row r="2802" spans="1:31" ht="36" customHeight="1">
      <c r="A2802" s="4" t="s">
        <v>7368</v>
      </c>
      <c r="B2802" s="4" t="s">
        <v>7529</v>
      </c>
      <c r="C2802" s="198" t="s">
        <v>23</v>
      </c>
      <c r="D2802" s="198" t="s">
        <v>1238</v>
      </c>
      <c r="E2802" s="198" t="s">
        <v>3204</v>
      </c>
      <c r="F2802" s="4" t="s">
        <v>2272</v>
      </c>
      <c r="G2802" s="4" t="s">
        <v>2272</v>
      </c>
      <c r="H2802" s="198" t="s">
        <v>521</v>
      </c>
      <c r="I2802" s="198">
        <v>2013</v>
      </c>
      <c r="J2802" s="198" t="s">
        <v>2272</v>
      </c>
      <c r="K2802" s="198" t="s">
        <v>2272</v>
      </c>
      <c r="L2802" s="198" t="s">
        <v>2272</v>
      </c>
      <c r="M2802" s="198" t="s">
        <v>2272</v>
      </c>
      <c r="N2802" s="198" t="s">
        <v>2272</v>
      </c>
      <c r="O2802" s="198" t="s">
        <v>2272</v>
      </c>
      <c r="P2802" s="198" t="s">
        <v>2272</v>
      </c>
      <c r="Q2802" s="198" t="s">
        <v>2272</v>
      </c>
      <c r="R2802" s="198" t="s">
        <v>2272</v>
      </c>
      <c r="S2802" s="198" t="s">
        <v>2272</v>
      </c>
      <c r="T2802" s="198" t="s">
        <v>2272</v>
      </c>
      <c r="U2802" s="21">
        <f>1200*0.041</f>
        <v>49.2</v>
      </c>
      <c r="V2802" s="198" t="s">
        <v>2272</v>
      </c>
      <c r="W2802" s="198" t="s">
        <v>2272</v>
      </c>
      <c r="X2802" s="198" t="s">
        <v>2272</v>
      </c>
      <c r="Y2802" s="21">
        <f>U2802/'Record info'!K$1134</f>
        <v>1.399715504978663E-2</v>
      </c>
      <c r="Z2802" s="198" t="s">
        <v>2272</v>
      </c>
      <c r="AA2802" s="198" t="s">
        <v>67</v>
      </c>
      <c r="AB2802" s="198" t="s">
        <v>84</v>
      </c>
      <c r="AC2802" s="198" t="s">
        <v>75</v>
      </c>
      <c r="AD2802" s="198"/>
      <c r="AE2802" s="198"/>
    </row>
    <row r="2803" spans="1:31" ht="36" customHeight="1">
      <c r="A2803" s="4" t="s">
        <v>7369</v>
      </c>
      <c r="B2803" s="4" t="s">
        <v>7530</v>
      </c>
      <c r="C2803" s="198" t="s">
        <v>23</v>
      </c>
      <c r="D2803" s="198" t="s">
        <v>1238</v>
      </c>
      <c r="E2803" s="198" t="s">
        <v>3204</v>
      </c>
      <c r="F2803" s="4" t="s">
        <v>2272</v>
      </c>
      <c r="G2803" s="4" t="s">
        <v>2272</v>
      </c>
      <c r="H2803" s="198" t="s">
        <v>521</v>
      </c>
      <c r="I2803" s="198">
        <v>2013</v>
      </c>
      <c r="J2803" s="198" t="s">
        <v>2272</v>
      </c>
      <c r="K2803" s="198" t="s">
        <v>2272</v>
      </c>
      <c r="L2803" s="198" t="s">
        <v>2272</v>
      </c>
      <c r="M2803" s="198" t="s">
        <v>2272</v>
      </c>
      <c r="N2803" s="198" t="s">
        <v>2272</v>
      </c>
      <c r="O2803" s="198" t="s">
        <v>2272</v>
      </c>
      <c r="P2803" s="198" t="s">
        <v>2272</v>
      </c>
      <c r="Q2803" s="198" t="s">
        <v>2272</v>
      </c>
      <c r="R2803" s="198" t="s">
        <v>2272</v>
      </c>
      <c r="S2803" s="198" t="s">
        <v>2272</v>
      </c>
      <c r="T2803" s="198" t="s">
        <v>2272</v>
      </c>
      <c r="U2803" s="21">
        <f>1200*0.004</f>
        <v>4.8</v>
      </c>
      <c r="V2803" s="198" t="s">
        <v>2272</v>
      </c>
      <c r="W2803" s="198" t="s">
        <v>2272</v>
      </c>
      <c r="X2803" s="198" t="s">
        <v>2272</v>
      </c>
      <c r="Y2803" s="21">
        <f>U2803/'Record info'!K$1135</f>
        <v>7.1142730102267667E-4</v>
      </c>
      <c r="Z2803" s="198" t="s">
        <v>2272</v>
      </c>
      <c r="AA2803" s="198" t="s">
        <v>67</v>
      </c>
      <c r="AB2803" s="198" t="s">
        <v>84</v>
      </c>
      <c r="AC2803" s="198" t="s">
        <v>75</v>
      </c>
      <c r="AD2803" s="198"/>
      <c r="AE2803" s="198"/>
    </row>
    <row r="2804" spans="1:31" ht="36" customHeight="1">
      <c r="A2804" s="4" t="s">
        <v>7370</v>
      </c>
      <c r="B2804" s="4" t="s">
        <v>7531</v>
      </c>
      <c r="C2804" s="198" t="s">
        <v>23</v>
      </c>
      <c r="D2804" s="198" t="s">
        <v>1238</v>
      </c>
      <c r="E2804" s="198" t="s">
        <v>3204</v>
      </c>
      <c r="F2804" s="4" t="s">
        <v>2272</v>
      </c>
      <c r="G2804" s="4" t="s">
        <v>2272</v>
      </c>
      <c r="H2804" s="198" t="s">
        <v>521</v>
      </c>
      <c r="I2804" s="198">
        <v>2013</v>
      </c>
      <c r="J2804" s="198" t="s">
        <v>2272</v>
      </c>
      <c r="K2804" s="198" t="s">
        <v>2272</v>
      </c>
      <c r="L2804" s="198" t="s">
        <v>2272</v>
      </c>
      <c r="M2804" s="198" t="s">
        <v>2272</v>
      </c>
      <c r="N2804" s="198" t="s">
        <v>2272</v>
      </c>
      <c r="O2804" s="198" t="s">
        <v>2272</v>
      </c>
      <c r="P2804" s="198" t="s">
        <v>2272</v>
      </c>
      <c r="Q2804" s="198" t="s">
        <v>2272</v>
      </c>
      <c r="R2804" s="198" t="s">
        <v>2272</v>
      </c>
      <c r="S2804" s="198" t="s">
        <v>2272</v>
      </c>
      <c r="T2804" s="198" t="s">
        <v>2272</v>
      </c>
      <c r="U2804" s="21">
        <f>1200*0.004</f>
        <v>4.8</v>
      </c>
      <c r="V2804" s="198" t="s">
        <v>2272</v>
      </c>
      <c r="W2804" s="198" t="s">
        <v>2272</v>
      </c>
      <c r="X2804" s="198" t="s">
        <v>2272</v>
      </c>
      <c r="Y2804" s="21">
        <f>U2804/'Record info'!K$1136</f>
        <v>9.4786729857819897E-4</v>
      </c>
      <c r="Z2804" s="198" t="s">
        <v>2272</v>
      </c>
      <c r="AA2804" s="198" t="s">
        <v>67</v>
      </c>
      <c r="AB2804" s="198" t="s">
        <v>84</v>
      </c>
      <c r="AC2804" s="198" t="s">
        <v>75</v>
      </c>
      <c r="AD2804" s="198"/>
      <c r="AE2804" s="198"/>
    </row>
    <row r="2805" spans="1:31" ht="36" customHeight="1">
      <c r="A2805" s="4" t="s">
        <v>7371</v>
      </c>
      <c r="B2805" s="4" t="s">
        <v>7532</v>
      </c>
      <c r="C2805" s="198" t="s">
        <v>23</v>
      </c>
      <c r="D2805" s="198" t="s">
        <v>1238</v>
      </c>
      <c r="E2805" s="198" t="s">
        <v>3204</v>
      </c>
      <c r="F2805" s="4" t="s">
        <v>2272</v>
      </c>
      <c r="G2805" s="4" t="s">
        <v>2272</v>
      </c>
      <c r="H2805" s="198" t="s">
        <v>522</v>
      </c>
      <c r="I2805" s="198">
        <v>2013</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v>0</v>
      </c>
      <c r="Y2805" s="21">
        <f>U2805/'Record info'!K$1137</f>
        <v>0</v>
      </c>
      <c r="Z2805" s="198" t="s">
        <v>2272</v>
      </c>
      <c r="AA2805" s="198" t="s">
        <v>67</v>
      </c>
      <c r="AB2805" s="198" t="s">
        <v>84</v>
      </c>
      <c r="AC2805" s="198" t="s">
        <v>75</v>
      </c>
      <c r="AD2805" s="198"/>
      <c r="AE2805" s="198"/>
    </row>
    <row r="2806" spans="1:31" ht="36" customHeight="1">
      <c r="A2806" s="4" t="s">
        <v>7372</v>
      </c>
      <c r="B2806" s="4" t="s">
        <v>7533</v>
      </c>
      <c r="C2806" s="198" t="s">
        <v>23</v>
      </c>
      <c r="D2806" s="198" t="s">
        <v>1238</v>
      </c>
      <c r="E2806" s="198" t="s">
        <v>3204</v>
      </c>
      <c r="F2806" s="4" t="s">
        <v>2272</v>
      </c>
      <c r="G2806" s="4" t="s">
        <v>2272</v>
      </c>
      <c r="H2806" s="198" t="s">
        <v>522</v>
      </c>
      <c r="I2806" s="198">
        <v>2013</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v>0</v>
      </c>
      <c r="Y2806" s="21">
        <f>U2806/'Record info'!K$1138</f>
        <v>0</v>
      </c>
      <c r="Z2806" s="198" t="s">
        <v>2272</v>
      </c>
      <c r="AA2806" s="198" t="s">
        <v>67</v>
      </c>
      <c r="AB2806" s="198" t="s">
        <v>84</v>
      </c>
      <c r="AC2806" s="198" t="s">
        <v>75</v>
      </c>
      <c r="AD2806" s="198"/>
      <c r="AE2806" s="198"/>
    </row>
    <row r="2807" spans="1:31" ht="36" customHeight="1">
      <c r="A2807" s="4" t="s">
        <v>7373</v>
      </c>
      <c r="B2807" s="4" t="s">
        <v>7534</v>
      </c>
      <c r="C2807" s="198" t="s">
        <v>23</v>
      </c>
      <c r="D2807" s="198" t="s">
        <v>1238</v>
      </c>
      <c r="E2807" s="198" t="s">
        <v>3204</v>
      </c>
      <c r="F2807" s="4" t="s">
        <v>2272</v>
      </c>
      <c r="G2807" s="4" t="s">
        <v>2272</v>
      </c>
      <c r="H2807" s="198" t="s">
        <v>522</v>
      </c>
      <c r="I2807" s="198">
        <v>2013</v>
      </c>
      <c r="J2807" s="21">
        <v>0</v>
      </c>
      <c r="K2807" s="21">
        <v>0</v>
      </c>
      <c r="L2807" s="21">
        <v>0</v>
      </c>
      <c r="M2807" s="21">
        <v>0</v>
      </c>
      <c r="N2807" s="21">
        <v>0</v>
      </c>
      <c r="O2807" s="21">
        <v>0</v>
      </c>
      <c r="P2807" s="21">
        <v>0</v>
      </c>
      <c r="Q2807" s="21">
        <v>0</v>
      </c>
      <c r="R2807" s="21">
        <v>0</v>
      </c>
      <c r="S2807" s="21">
        <v>0</v>
      </c>
      <c r="T2807" s="21">
        <v>0</v>
      </c>
      <c r="U2807" s="21">
        <v>0</v>
      </c>
      <c r="V2807" s="21">
        <v>0</v>
      </c>
      <c r="W2807" s="21">
        <v>0</v>
      </c>
      <c r="X2807" s="21">
        <v>0</v>
      </c>
      <c r="Y2807" s="21">
        <f>U2807/'Record info'!K$1139</f>
        <v>0</v>
      </c>
      <c r="Z2807" s="198" t="s">
        <v>2272</v>
      </c>
      <c r="AA2807" s="198" t="s">
        <v>67</v>
      </c>
      <c r="AB2807" s="198" t="s">
        <v>84</v>
      </c>
      <c r="AC2807" s="198" t="s">
        <v>75</v>
      </c>
      <c r="AD2807" s="198"/>
      <c r="AE2807" s="198"/>
    </row>
    <row r="2808" spans="1:31" ht="36" customHeight="1">
      <c r="A2808" s="4" t="s">
        <v>7374</v>
      </c>
      <c r="B2808" s="4" t="s">
        <v>7535</v>
      </c>
      <c r="C2808" s="198" t="s">
        <v>23</v>
      </c>
      <c r="D2808" s="198" t="s">
        <v>1238</v>
      </c>
      <c r="E2808" s="198" t="s">
        <v>3204</v>
      </c>
      <c r="F2808" s="4" t="s">
        <v>2272</v>
      </c>
      <c r="G2808" s="4" t="s">
        <v>2272</v>
      </c>
      <c r="H2808" s="198" t="s">
        <v>521</v>
      </c>
      <c r="I2808" s="198">
        <v>2013</v>
      </c>
      <c r="J2808" s="198" t="s">
        <v>2272</v>
      </c>
      <c r="K2808" s="198" t="s">
        <v>2272</v>
      </c>
      <c r="L2808" s="198" t="s">
        <v>2272</v>
      </c>
      <c r="M2808" s="198" t="s">
        <v>2272</v>
      </c>
      <c r="N2808" s="198" t="s">
        <v>2272</v>
      </c>
      <c r="O2808" s="198" t="s">
        <v>2272</v>
      </c>
      <c r="P2808" s="198" t="s">
        <v>2272</v>
      </c>
      <c r="Q2808" s="198" t="s">
        <v>2272</v>
      </c>
      <c r="R2808" s="198" t="s">
        <v>2272</v>
      </c>
      <c r="S2808" s="198" t="s">
        <v>2272</v>
      </c>
      <c r="T2808" s="198" t="s">
        <v>2272</v>
      </c>
      <c r="U2808" s="21">
        <f>1200*0.035</f>
        <v>42.000000000000007</v>
      </c>
      <c r="V2808" s="198" t="s">
        <v>2272</v>
      </c>
      <c r="W2808" s="198" t="s">
        <v>2272</v>
      </c>
      <c r="X2808" s="198" t="s">
        <v>2272</v>
      </c>
      <c r="Y2808" s="21">
        <f>U2808/'Record info'!K$1140</f>
        <v>6.9249793899422932E-3</v>
      </c>
      <c r="Z2808" s="198" t="s">
        <v>2272</v>
      </c>
      <c r="AA2808" s="198" t="s">
        <v>67</v>
      </c>
      <c r="AB2808" s="198" t="s">
        <v>84</v>
      </c>
      <c r="AC2808" s="198" t="s">
        <v>75</v>
      </c>
      <c r="AD2808" s="198"/>
      <c r="AE2808" s="198"/>
    </row>
    <row r="2809" spans="1:31" ht="36" customHeight="1">
      <c r="A2809" s="4" t="s">
        <v>7375</v>
      </c>
      <c r="B2809" s="4" t="s">
        <v>7536</v>
      </c>
      <c r="C2809" s="198" t="s">
        <v>23</v>
      </c>
      <c r="D2809" s="198" t="s">
        <v>1238</v>
      </c>
      <c r="E2809" s="198" t="s">
        <v>3204</v>
      </c>
      <c r="F2809" s="4" t="s">
        <v>2272</v>
      </c>
      <c r="G2809" s="4" t="s">
        <v>2272</v>
      </c>
      <c r="H2809" s="198" t="s">
        <v>521</v>
      </c>
      <c r="I2809" s="198">
        <v>2013</v>
      </c>
      <c r="J2809" s="198" t="s">
        <v>2272</v>
      </c>
      <c r="K2809" s="198" t="s">
        <v>2272</v>
      </c>
      <c r="L2809" s="198" t="s">
        <v>2272</v>
      </c>
      <c r="M2809" s="198" t="s">
        <v>2272</v>
      </c>
      <c r="N2809" s="198" t="s">
        <v>2272</v>
      </c>
      <c r="O2809" s="198" t="s">
        <v>2272</v>
      </c>
      <c r="P2809" s="198" t="s">
        <v>2272</v>
      </c>
      <c r="Q2809" s="198" t="s">
        <v>2272</v>
      </c>
      <c r="R2809" s="198" t="s">
        <v>2272</v>
      </c>
      <c r="S2809" s="198" t="s">
        <v>2272</v>
      </c>
      <c r="T2809" s="198" t="s">
        <v>2272</v>
      </c>
      <c r="U2809" s="21">
        <f>1200*0.079</f>
        <v>94.8</v>
      </c>
      <c r="V2809" s="198" t="s">
        <v>2272</v>
      </c>
      <c r="W2809" s="198" t="s">
        <v>2272</v>
      </c>
      <c r="X2809" s="198" t="s">
        <v>2272</v>
      </c>
      <c r="Y2809" s="21">
        <f>U2809/'Record info'!K$1141</f>
        <v>1.4202247191011236E-2</v>
      </c>
      <c r="Z2809" s="198" t="s">
        <v>2272</v>
      </c>
      <c r="AA2809" s="198" t="s">
        <v>67</v>
      </c>
      <c r="AB2809" s="198" t="s">
        <v>84</v>
      </c>
      <c r="AC2809" s="198" t="s">
        <v>75</v>
      </c>
      <c r="AD2809" s="198"/>
      <c r="AE2809" s="198"/>
    </row>
    <row r="2810" spans="1:31" ht="36" customHeight="1">
      <c r="A2810" s="4" t="s">
        <v>7376</v>
      </c>
      <c r="B2810" s="4" t="s">
        <v>7537</v>
      </c>
      <c r="C2810" s="198" t="s">
        <v>23</v>
      </c>
      <c r="D2810" s="198" t="s">
        <v>1238</v>
      </c>
      <c r="E2810" s="198" t="s">
        <v>3204</v>
      </c>
      <c r="F2810" s="4" t="s">
        <v>2272</v>
      </c>
      <c r="G2810" s="4" t="s">
        <v>2272</v>
      </c>
      <c r="H2810" s="198" t="s">
        <v>521</v>
      </c>
      <c r="I2810" s="198">
        <v>2013</v>
      </c>
      <c r="J2810" s="198" t="s">
        <v>2272</v>
      </c>
      <c r="K2810" s="198" t="s">
        <v>2272</v>
      </c>
      <c r="L2810" s="198" t="s">
        <v>2272</v>
      </c>
      <c r="M2810" s="198" t="s">
        <v>2272</v>
      </c>
      <c r="N2810" s="198" t="s">
        <v>2272</v>
      </c>
      <c r="O2810" s="198" t="s">
        <v>2272</v>
      </c>
      <c r="P2810" s="198" t="s">
        <v>2272</v>
      </c>
      <c r="Q2810" s="198" t="s">
        <v>2272</v>
      </c>
      <c r="R2810" s="198" t="s">
        <v>2272</v>
      </c>
      <c r="S2810" s="198" t="s">
        <v>2272</v>
      </c>
      <c r="T2810" s="198" t="s">
        <v>2272</v>
      </c>
      <c r="U2810" s="21">
        <f>1200*0.132</f>
        <v>158.4</v>
      </c>
      <c r="V2810" s="198" t="s">
        <v>2272</v>
      </c>
      <c r="W2810" s="198" t="s">
        <v>2272</v>
      </c>
      <c r="X2810" s="198" t="s">
        <v>2272</v>
      </c>
      <c r="Y2810" s="21">
        <f>U2810/'Record info'!K$1142</f>
        <v>2.8706052917723813E-2</v>
      </c>
      <c r="Z2810" s="198" t="s">
        <v>2272</v>
      </c>
      <c r="AA2810" s="198" t="s">
        <v>67</v>
      </c>
      <c r="AB2810" s="198" t="s">
        <v>84</v>
      </c>
      <c r="AC2810" s="198" t="s">
        <v>75</v>
      </c>
      <c r="AD2810" s="198"/>
      <c r="AE2810" s="198"/>
    </row>
    <row r="2811" spans="1:31" ht="36" customHeight="1">
      <c r="A2811" s="4" t="s">
        <v>7377</v>
      </c>
      <c r="B2811" s="4" t="s">
        <v>7538</v>
      </c>
      <c r="C2811" s="198" t="s">
        <v>23</v>
      </c>
      <c r="D2811" s="198" t="s">
        <v>1238</v>
      </c>
      <c r="E2811" s="198" t="s">
        <v>3204</v>
      </c>
      <c r="F2811" s="4" t="s">
        <v>2272</v>
      </c>
      <c r="G2811" s="4" t="s">
        <v>2272</v>
      </c>
      <c r="H2811" s="198" t="s">
        <v>521</v>
      </c>
      <c r="I2811" s="198">
        <v>2013</v>
      </c>
      <c r="J2811" s="198" t="s">
        <v>2272</v>
      </c>
      <c r="K2811" s="198" t="s">
        <v>2272</v>
      </c>
      <c r="L2811" s="198" t="s">
        <v>2272</v>
      </c>
      <c r="M2811" s="198" t="s">
        <v>2272</v>
      </c>
      <c r="N2811" s="198" t="s">
        <v>2272</v>
      </c>
      <c r="O2811" s="198" t="s">
        <v>2272</v>
      </c>
      <c r="P2811" s="198" t="s">
        <v>2272</v>
      </c>
      <c r="Q2811" s="198" t="s">
        <v>2272</v>
      </c>
      <c r="R2811" s="198" t="s">
        <v>2272</v>
      </c>
      <c r="S2811" s="198" t="s">
        <v>2272</v>
      </c>
      <c r="T2811" s="198" t="s">
        <v>2272</v>
      </c>
      <c r="U2811" s="21">
        <f>1200*0.057</f>
        <v>68.400000000000006</v>
      </c>
      <c r="V2811" s="198" t="s">
        <v>2272</v>
      </c>
      <c r="W2811" s="198" t="s">
        <v>2272</v>
      </c>
      <c r="X2811" s="198" t="s">
        <v>2272</v>
      </c>
      <c r="Y2811" s="21">
        <f>U2811/'Record info'!K$1143</f>
        <v>1.7329617430960224E-2</v>
      </c>
      <c r="Z2811" s="198" t="s">
        <v>2272</v>
      </c>
      <c r="AA2811" s="198" t="s">
        <v>67</v>
      </c>
      <c r="AB2811" s="198" t="s">
        <v>84</v>
      </c>
      <c r="AC2811" s="198" t="s">
        <v>75</v>
      </c>
      <c r="AD2811" s="198"/>
      <c r="AE2811" s="198"/>
    </row>
    <row r="2812" spans="1:31" ht="36" customHeight="1">
      <c r="A2812" s="4" t="s">
        <v>7378</v>
      </c>
      <c r="B2812" s="4" t="s">
        <v>7539</v>
      </c>
      <c r="C2812" s="198" t="s">
        <v>23</v>
      </c>
      <c r="D2812" s="198" t="s">
        <v>1238</v>
      </c>
      <c r="E2812" s="198" t="s">
        <v>3204</v>
      </c>
      <c r="F2812" s="4" t="s">
        <v>2272</v>
      </c>
      <c r="G2812" s="4" t="s">
        <v>2272</v>
      </c>
      <c r="H2812" s="198" t="s">
        <v>521</v>
      </c>
      <c r="I2812" s="198">
        <v>2013</v>
      </c>
      <c r="J2812" s="198" t="s">
        <v>2272</v>
      </c>
      <c r="K2812" s="198" t="s">
        <v>2272</v>
      </c>
      <c r="L2812" s="198" t="s">
        <v>2272</v>
      </c>
      <c r="M2812" s="198" t="s">
        <v>2272</v>
      </c>
      <c r="N2812" s="198" t="s">
        <v>2272</v>
      </c>
      <c r="O2812" s="198" t="s">
        <v>2272</v>
      </c>
      <c r="P2812" s="198" t="s">
        <v>2272</v>
      </c>
      <c r="Q2812" s="198" t="s">
        <v>2272</v>
      </c>
      <c r="R2812" s="198" t="s">
        <v>2272</v>
      </c>
      <c r="S2812" s="198" t="s">
        <v>2272</v>
      </c>
      <c r="T2812" s="198" t="s">
        <v>2272</v>
      </c>
      <c r="U2812" s="21">
        <f>1200*0.024</f>
        <v>28.8</v>
      </c>
      <c r="V2812" s="198" t="s">
        <v>2272</v>
      </c>
      <c r="W2812" s="198" t="s">
        <v>2272</v>
      </c>
      <c r="X2812" s="198" t="s">
        <v>2272</v>
      </c>
      <c r="Y2812" s="21">
        <f>U2812/'Record info'!K$1144</f>
        <v>1.0256410256410256E-2</v>
      </c>
      <c r="Z2812" s="198" t="s">
        <v>2272</v>
      </c>
      <c r="AA2812" s="198" t="s">
        <v>67</v>
      </c>
      <c r="AB2812" s="198" t="s">
        <v>84</v>
      </c>
      <c r="AC2812" s="198" t="s">
        <v>75</v>
      </c>
      <c r="AD2812" s="198"/>
      <c r="AE2812" s="198"/>
    </row>
    <row r="2813" spans="1:31" ht="36" customHeight="1">
      <c r="A2813" s="4" t="s">
        <v>7379</v>
      </c>
      <c r="B2813" s="4" t="s">
        <v>7540</v>
      </c>
      <c r="C2813" s="198" t="s">
        <v>23</v>
      </c>
      <c r="D2813" s="198" t="s">
        <v>1238</v>
      </c>
      <c r="E2813" s="198" t="s">
        <v>3204</v>
      </c>
      <c r="F2813" s="4" t="s">
        <v>2272</v>
      </c>
      <c r="G2813" s="4" t="s">
        <v>2272</v>
      </c>
      <c r="H2813" s="198" t="s">
        <v>521</v>
      </c>
      <c r="I2813" s="198">
        <v>2013</v>
      </c>
      <c r="J2813" s="198" t="s">
        <v>2272</v>
      </c>
      <c r="K2813" s="198" t="s">
        <v>2272</v>
      </c>
      <c r="L2813" s="198" t="s">
        <v>2272</v>
      </c>
      <c r="M2813" s="198" t="s">
        <v>2272</v>
      </c>
      <c r="N2813" s="198" t="s">
        <v>2272</v>
      </c>
      <c r="O2813" s="198" t="s">
        <v>2272</v>
      </c>
      <c r="P2813" s="198" t="s">
        <v>2272</v>
      </c>
      <c r="Q2813" s="198" t="s">
        <v>2272</v>
      </c>
      <c r="R2813" s="198" t="s">
        <v>2272</v>
      </c>
      <c r="S2813" s="198" t="s">
        <v>2272</v>
      </c>
      <c r="T2813" s="198" t="s">
        <v>2272</v>
      </c>
      <c r="U2813" s="21">
        <f>1200*0.072</f>
        <v>86.399999999999991</v>
      </c>
      <c r="V2813" s="198" t="s">
        <v>2272</v>
      </c>
      <c r="W2813" s="198" t="s">
        <v>2272</v>
      </c>
      <c r="X2813" s="198" t="s">
        <v>2272</v>
      </c>
      <c r="Y2813" s="21">
        <f>U2813/'Record info'!K$1145</f>
        <v>1.7255841821449968E-2</v>
      </c>
      <c r="Z2813" s="198" t="s">
        <v>2272</v>
      </c>
      <c r="AA2813" s="198" t="s">
        <v>67</v>
      </c>
      <c r="AB2813" s="198" t="s">
        <v>84</v>
      </c>
      <c r="AC2813" s="198" t="s">
        <v>75</v>
      </c>
      <c r="AD2813" s="198"/>
      <c r="AE2813" s="198"/>
    </row>
    <row r="2814" spans="1:31" ht="36" customHeight="1">
      <c r="A2814" s="4" t="s">
        <v>7380</v>
      </c>
      <c r="B2814" s="4" t="s">
        <v>7541</v>
      </c>
      <c r="C2814" s="198" t="s">
        <v>23</v>
      </c>
      <c r="D2814" s="198" t="s">
        <v>1238</v>
      </c>
      <c r="E2814" s="198" t="s">
        <v>3204</v>
      </c>
      <c r="F2814" s="4" t="s">
        <v>2272</v>
      </c>
      <c r="G2814" s="4" t="s">
        <v>2272</v>
      </c>
      <c r="H2814" s="198" t="s">
        <v>521</v>
      </c>
      <c r="I2814" s="198">
        <v>2013</v>
      </c>
      <c r="J2814" s="198" t="s">
        <v>2272</v>
      </c>
      <c r="K2814" s="198" t="s">
        <v>2272</v>
      </c>
      <c r="L2814" s="198" t="s">
        <v>2272</v>
      </c>
      <c r="M2814" s="198" t="s">
        <v>2272</v>
      </c>
      <c r="N2814" s="198" t="s">
        <v>2272</v>
      </c>
      <c r="O2814" s="198" t="s">
        <v>2272</v>
      </c>
      <c r="P2814" s="198" t="s">
        <v>2272</v>
      </c>
      <c r="Q2814" s="198" t="s">
        <v>2272</v>
      </c>
      <c r="R2814" s="198" t="s">
        <v>2272</v>
      </c>
      <c r="S2814" s="198" t="s">
        <v>2272</v>
      </c>
      <c r="T2814" s="198" t="s">
        <v>2272</v>
      </c>
      <c r="U2814" s="21">
        <f>1200*0.068</f>
        <v>81.600000000000009</v>
      </c>
      <c r="V2814" s="198" t="s">
        <v>2272</v>
      </c>
      <c r="W2814" s="198" t="s">
        <v>2272</v>
      </c>
      <c r="X2814" s="198" t="s">
        <v>2272</v>
      </c>
      <c r="Y2814" s="21">
        <f>U2814/'Record info'!K$1146</f>
        <v>6.950596252129472E-2</v>
      </c>
      <c r="Z2814" s="198" t="s">
        <v>2272</v>
      </c>
      <c r="AA2814" s="198" t="s">
        <v>67</v>
      </c>
      <c r="AB2814" s="198" t="s">
        <v>84</v>
      </c>
      <c r="AC2814" s="198" t="s">
        <v>75</v>
      </c>
      <c r="AD2814" s="198"/>
      <c r="AE2814" s="198"/>
    </row>
    <row r="2815" spans="1:31" ht="36" customHeight="1">
      <c r="A2815" s="4" t="s">
        <v>7381</v>
      </c>
      <c r="B2815" s="4" t="s">
        <v>7542</v>
      </c>
      <c r="C2815" s="198" t="s">
        <v>23</v>
      </c>
      <c r="D2815" s="198" t="s">
        <v>1238</v>
      </c>
      <c r="E2815" s="198" t="s">
        <v>3204</v>
      </c>
      <c r="F2815" s="4" t="s">
        <v>2272</v>
      </c>
      <c r="G2815" s="4" t="s">
        <v>2272</v>
      </c>
      <c r="H2815" s="198" t="s">
        <v>521</v>
      </c>
      <c r="I2815" s="198">
        <v>2013</v>
      </c>
      <c r="J2815" s="198" t="s">
        <v>2272</v>
      </c>
      <c r="K2815" s="198" t="s">
        <v>2272</v>
      </c>
      <c r="L2815" s="198" t="s">
        <v>2272</v>
      </c>
      <c r="M2815" s="198" t="s">
        <v>2272</v>
      </c>
      <c r="N2815" s="198" t="s">
        <v>2272</v>
      </c>
      <c r="O2815" s="198" t="s">
        <v>2272</v>
      </c>
      <c r="P2815" s="198" t="s">
        <v>2272</v>
      </c>
      <c r="Q2815" s="198" t="s">
        <v>2272</v>
      </c>
      <c r="R2815" s="198" t="s">
        <v>2272</v>
      </c>
      <c r="S2815" s="198" t="s">
        <v>2272</v>
      </c>
      <c r="T2815" s="198" t="s">
        <v>2272</v>
      </c>
      <c r="U2815" s="21">
        <f>1200*0.075</f>
        <v>90</v>
      </c>
      <c r="V2815" s="198" t="s">
        <v>2272</v>
      </c>
      <c r="W2815" s="198" t="s">
        <v>2272</v>
      </c>
      <c r="X2815" s="198" t="s">
        <v>2272</v>
      </c>
      <c r="Y2815" s="21">
        <f>U2815/'Record info'!K$1147</f>
        <v>2.0794824399260628E-2</v>
      </c>
      <c r="Z2815" s="198" t="s">
        <v>2272</v>
      </c>
      <c r="AA2815" s="198" t="s">
        <v>67</v>
      </c>
      <c r="AB2815" s="198" t="s">
        <v>84</v>
      </c>
      <c r="AC2815" s="198" t="s">
        <v>75</v>
      </c>
      <c r="AD2815" s="198"/>
      <c r="AE2815" s="198"/>
    </row>
    <row r="2816" spans="1:31" ht="36" customHeight="1">
      <c r="A2816" s="4" t="s">
        <v>7382</v>
      </c>
      <c r="B2816" s="4" t="s">
        <v>7543</v>
      </c>
      <c r="C2816" s="198" t="s">
        <v>23</v>
      </c>
      <c r="D2816" s="198" t="s">
        <v>1238</v>
      </c>
      <c r="E2816" s="198" t="s">
        <v>3204</v>
      </c>
      <c r="F2816" s="4" t="s">
        <v>2272</v>
      </c>
      <c r="G2816" s="4" t="s">
        <v>2272</v>
      </c>
      <c r="H2816" s="198" t="s">
        <v>521</v>
      </c>
      <c r="I2816" s="198">
        <v>2013</v>
      </c>
      <c r="J2816" s="198" t="s">
        <v>2272</v>
      </c>
      <c r="K2816" s="198" t="s">
        <v>2272</v>
      </c>
      <c r="L2816" s="198" t="s">
        <v>2272</v>
      </c>
      <c r="M2816" s="198" t="s">
        <v>2272</v>
      </c>
      <c r="N2816" s="198" t="s">
        <v>2272</v>
      </c>
      <c r="O2816" s="198" t="s">
        <v>2272</v>
      </c>
      <c r="P2816" s="198" t="s">
        <v>2272</v>
      </c>
      <c r="Q2816" s="198" t="s">
        <v>2272</v>
      </c>
      <c r="R2816" s="198" t="s">
        <v>2272</v>
      </c>
      <c r="S2816" s="198" t="s">
        <v>2272</v>
      </c>
      <c r="T2816" s="198" t="s">
        <v>2272</v>
      </c>
      <c r="U2816" s="21">
        <f>1200*0.111</f>
        <v>133.19999999999999</v>
      </c>
      <c r="V2816" s="198" t="s">
        <v>2272</v>
      </c>
      <c r="W2816" s="198" t="s">
        <v>2272</v>
      </c>
      <c r="X2816" s="198" t="s">
        <v>2272</v>
      </c>
      <c r="Y2816" s="21">
        <f>U2816/'Record info'!K$1148</f>
        <v>5.5615866388308975E-2</v>
      </c>
      <c r="Z2816" s="198" t="s">
        <v>2272</v>
      </c>
      <c r="AA2816" s="198" t="s">
        <v>67</v>
      </c>
      <c r="AB2816" s="198" t="s">
        <v>84</v>
      </c>
      <c r="AC2816" s="198" t="s">
        <v>75</v>
      </c>
      <c r="AD2816" s="198"/>
      <c r="AE2816" s="198"/>
    </row>
    <row r="2817" spans="1:31" ht="36" customHeight="1">
      <c r="A2817" s="4" t="s">
        <v>7383</v>
      </c>
      <c r="B2817" s="4" t="s">
        <v>7544</v>
      </c>
      <c r="C2817" s="198" t="s">
        <v>23</v>
      </c>
      <c r="D2817" s="198" t="s">
        <v>1238</v>
      </c>
      <c r="E2817" s="198" t="s">
        <v>3204</v>
      </c>
      <c r="F2817" s="4" t="s">
        <v>2272</v>
      </c>
      <c r="G2817" s="4" t="s">
        <v>2272</v>
      </c>
      <c r="H2817" s="198" t="s">
        <v>521</v>
      </c>
      <c r="I2817" s="198">
        <v>2013</v>
      </c>
      <c r="J2817" s="198" t="s">
        <v>2272</v>
      </c>
      <c r="K2817" s="198" t="s">
        <v>2272</v>
      </c>
      <c r="L2817" s="198" t="s">
        <v>2272</v>
      </c>
      <c r="M2817" s="198" t="s">
        <v>2272</v>
      </c>
      <c r="N2817" s="198" t="s">
        <v>2272</v>
      </c>
      <c r="O2817" s="198" t="s">
        <v>2272</v>
      </c>
      <c r="P2817" s="198" t="s">
        <v>2272</v>
      </c>
      <c r="Q2817" s="198" t="s">
        <v>2272</v>
      </c>
      <c r="R2817" s="198" t="s">
        <v>2272</v>
      </c>
      <c r="S2817" s="198" t="s">
        <v>2272</v>
      </c>
      <c r="T2817" s="198" t="s">
        <v>2272</v>
      </c>
      <c r="U2817" s="21">
        <f>1200*0.106</f>
        <v>127.2</v>
      </c>
      <c r="V2817" s="198" t="s">
        <v>2272</v>
      </c>
      <c r="W2817" s="198" t="s">
        <v>2272</v>
      </c>
      <c r="X2817" s="198" t="s">
        <v>2272</v>
      </c>
      <c r="Y2817" s="21">
        <f>U2817/'Record info'!K$1149</f>
        <v>4.7586980920314256E-2</v>
      </c>
      <c r="Z2817" s="198" t="s">
        <v>2272</v>
      </c>
      <c r="AA2817" s="198" t="s">
        <v>67</v>
      </c>
      <c r="AB2817" s="198" t="s">
        <v>84</v>
      </c>
      <c r="AC2817" s="198" t="s">
        <v>75</v>
      </c>
      <c r="AD2817" s="198"/>
      <c r="AE2817" s="198"/>
    </row>
    <row r="2818" spans="1:31" ht="36" customHeight="1">
      <c r="A2818" s="4" t="s">
        <v>7384</v>
      </c>
      <c r="B2818" s="4" t="s">
        <v>7545</v>
      </c>
      <c r="C2818" s="198" t="s">
        <v>23</v>
      </c>
      <c r="D2818" s="198" t="s">
        <v>1238</v>
      </c>
      <c r="E2818" s="198" t="s">
        <v>3204</v>
      </c>
      <c r="F2818" s="4" t="s">
        <v>2272</v>
      </c>
      <c r="G2818" s="4" t="s">
        <v>2272</v>
      </c>
      <c r="H2818" s="198" t="s">
        <v>521</v>
      </c>
      <c r="I2818" s="198">
        <v>2013</v>
      </c>
      <c r="J2818" s="198" t="s">
        <v>2272</v>
      </c>
      <c r="K2818" s="198" t="s">
        <v>2272</v>
      </c>
      <c r="L2818" s="198" t="s">
        <v>2272</v>
      </c>
      <c r="M2818" s="198" t="s">
        <v>2272</v>
      </c>
      <c r="N2818" s="198" t="s">
        <v>2272</v>
      </c>
      <c r="O2818" s="198" t="s">
        <v>2272</v>
      </c>
      <c r="P2818" s="198" t="s">
        <v>2272</v>
      </c>
      <c r="Q2818" s="198" t="s">
        <v>2272</v>
      </c>
      <c r="R2818" s="198" t="s">
        <v>2272</v>
      </c>
      <c r="S2818" s="198" t="s">
        <v>2272</v>
      </c>
      <c r="T2818" s="198" t="s">
        <v>2272</v>
      </c>
      <c r="U2818" s="21">
        <f>1200*0.166</f>
        <v>199.20000000000002</v>
      </c>
      <c r="V2818" s="198" t="s">
        <v>2272</v>
      </c>
      <c r="W2818" s="198" t="s">
        <v>2272</v>
      </c>
      <c r="X2818" s="198" t="s">
        <v>2272</v>
      </c>
      <c r="Y2818" s="21">
        <f>U2818/'Record info'!K$1150</f>
        <v>8.8337028824833713E-2</v>
      </c>
      <c r="Z2818" s="198" t="s">
        <v>2272</v>
      </c>
      <c r="AA2818" s="198" t="s">
        <v>67</v>
      </c>
      <c r="AB2818" s="198" t="s">
        <v>84</v>
      </c>
      <c r="AC2818" s="198" t="s">
        <v>75</v>
      </c>
      <c r="AD2818" s="198"/>
      <c r="AE2818" s="198"/>
    </row>
    <row r="2819" spans="1:31" ht="43.5" customHeight="1">
      <c r="A2819" s="4" t="s">
        <v>7282</v>
      </c>
      <c r="B2819" s="4" t="s">
        <v>7546</v>
      </c>
      <c r="C2819" s="198" t="s">
        <v>23</v>
      </c>
      <c r="D2819" s="198" t="s">
        <v>1238</v>
      </c>
      <c r="E2819" s="198" t="s">
        <v>3204</v>
      </c>
      <c r="F2819" s="4" t="s">
        <v>2272</v>
      </c>
      <c r="G2819" s="4" t="s">
        <v>2272</v>
      </c>
      <c r="H2819" s="198" t="s">
        <v>521</v>
      </c>
      <c r="I2819" s="198">
        <v>2014</v>
      </c>
      <c r="J2819" s="198" t="s">
        <v>2272</v>
      </c>
      <c r="K2819" s="198" t="s">
        <v>2272</v>
      </c>
      <c r="L2819" s="198" t="s">
        <v>2272</v>
      </c>
      <c r="M2819" s="198" t="s">
        <v>2272</v>
      </c>
      <c r="N2819" s="198" t="s">
        <v>2272</v>
      </c>
      <c r="O2819" s="198" t="s">
        <v>2272</v>
      </c>
      <c r="P2819" s="198" t="s">
        <v>2272</v>
      </c>
      <c r="Q2819" s="198" t="s">
        <v>2272</v>
      </c>
      <c r="R2819" s="198" t="s">
        <v>2272</v>
      </c>
      <c r="S2819" s="198" t="s">
        <v>2272</v>
      </c>
      <c r="T2819" s="198" t="s">
        <v>2272</v>
      </c>
      <c r="U2819" s="21">
        <f>800*0.027</f>
        <v>21.6</v>
      </c>
      <c r="V2819" s="198" t="s">
        <v>2272</v>
      </c>
      <c r="W2819" s="198" t="s">
        <v>2272</v>
      </c>
      <c r="X2819" s="198" t="s">
        <v>2272</v>
      </c>
      <c r="Y2819" s="21">
        <f>U2819/'Record info'!K$1133</f>
        <v>7.7142857142857152E-3</v>
      </c>
      <c r="Z2819" s="198" t="s">
        <v>2272</v>
      </c>
      <c r="AA2819" s="198" t="s">
        <v>67</v>
      </c>
      <c r="AB2819" s="198" t="s">
        <v>84</v>
      </c>
      <c r="AC2819" s="198" t="s">
        <v>75</v>
      </c>
      <c r="AD2819" s="198"/>
      <c r="AE2819" s="198"/>
    </row>
    <row r="2820" spans="1:31" ht="43.5" customHeight="1">
      <c r="A2820" s="4" t="s">
        <v>7368</v>
      </c>
      <c r="B2820" s="4" t="s">
        <v>7547</v>
      </c>
      <c r="C2820" s="198" t="s">
        <v>23</v>
      </c>
      <c r="D2820" s="198" t="s">
        <v>1238</v>
      </c>
      <c r="E2820" s="198" t="s">
        <v>3204</v>
      </c>
      <c r="F2820" s="4" t="s">
        <v>2272</v>
      </c>
      <c r="G2820" s="4" t="s">
        <v>2272</v>
      </c>
      <c r="H2820" s="198" t="s">
        <v>521</v>
      </c>
      <c r="I2820" s="198">
        <v>2014</v>
      </c>
      <c r="J2820" s="198" t="s">
        <v>2272</v>
      </c>
      <c r="K2820" s="198" t="s">
        <v>2272</v>
      </c>
      <c r="L2820" s="198" t="s">
        <v>2272</v>
      </c>
      <c r="M2820" s="198" t="s">
        <v>2272</v>
      </c>
      <c r="N2820" s="198" t="s">
        <v>2272</v>
      </c>
      <c r="O2820" s="198" t="s">
        <v>2272</v>
      </c>
      <c r="P2820" s="198" t="s">
        <v>2272</v>
      </c>
      <c r="Q2820" s="198" t="s">
        <v>2272</v>
      </c>
      <c r="R2820" s="198" t="s">
        <v>2272</v>
      </c>
      <c r="S2820" s="198" t="s">
        <v>2272</v>
      </c>
      <c r="T2820" s="198" t="s">
        <v>2272</v>
      </c>
      <c r="U2820" s="21">
        <f>800*0.041</f>
        <v>32.800000000000004</v>
      </c>
      <c r="V2820" s="198" t="s">
        <v>2272</v>
      </c>
      <c r="W2820" s="198" t="s">
        <v>2272</v>
      </c>
      <c r="X2820" s="198" t="s">
        <v>2272</v>
      </c>
      <c r="Y2820" s="21">
        <f>U2820/'Record info'!K$1134</f>
        <v>9.3314366998577536E-3</v>
      </c>
      <c r="Z2820" s="198" t="s">
        <v>2272</v>
      </c>
      <c r="AA2820" s="198" t="s">
        <v>67</v>
      </c>
      <c r="AB2820" s="198" t="s">
        <v>84</v>
      </c>
      <c r="AC2820" s="198" t="s">
        <v>75</v>
      </c>
      <c r="AD2820" s="198"/>
      <c r="AE2820" s="198"/>
    </row>
    <row r="2821" spans="1:31" ht="43.5" customHeight="1">
      <c r="A2821" s="4" t="s">
        <v>7369</v>
      </c>
      <c r="B2821" s="4" t="s">
        <v>7548</v>
      </c>
      <c r="C2821" s="198" t="s">
        <v>23</v>
      </c>
      <c r="D2821" s="198" t="s">
        <v>1238</v>
      </c>
      <c r="E2821" s="198" t="s">
        <v>3204</v>
      </c>
      <c r="F2821" s="4" t="s">
        <v>2272</v>
      </c>
      <c r="G2821" s="4" t="s">
        <v>2272</v>
      </c>
      <c r="H2821" s="198" t="s">
        <v>521</v>
      </c>
      <c r="I2821" s="198">
        <v>2014</v>
      </c>
      <c r="J2821" s="198" t="s">
        <v>2272</v>
      </c>
      <c r="K2821" s="198" t="s">
        <v>2272</v>
      </c>
      <c r="L2821" s="198" t="s">
        <v>2272</v>
      </c>
      <c r="M2821" s="198" t="s">
        <v>2272</v>
      </c>
      <c r="N2821" s="198" t="s">
        <v>2272</v>
      </c>
      <c r="O2821" s="198" t="s">
        <v>2272</v>
      </c>
      <c r="P2821" s="198" t="s">
        <v>2272</v>
      </c>
      <c r="Q2821" s="198" t="s">
        <v>2272</v>
      </c>
      <c r="R2821" s="198" t="s">
        <v>2272</v>
      </c>
      <c r="S2821" s="198" t="s">
        <v>2272</v>
      </c>
      <c r="T2821" s="198" t="s">
        <v>2272</v>
      </c>
      <c r="U2821" s="21">
        <f>800*0.004</f>
        <v>3.2</v>
      </c>
      <c r="V2821" s="198" t="s">
        <v>2272</v>
      </c>
      <c r="W2821" s="198" t="s">
        <v>2272</v>
      </c>
      <c r="X2821" s="198" t="s">
        <v>2272</v>
      </c>
      <c r="Y2821" s="21">
        <f>U2821/'Record info'!K$1135</f>
        <v>4.742848673484512E-4</v>
      </c>
      <c r="Z2821" s="198" t="s">
        <v>2272</v>
      </c>
      <c r="AA2821" s="198" t="s">
        <v>67</v>
      </c>
      <c r="AB2821" s="198" t="s">
        <v>84</v>
      </c>
      <c r="AC2821" s="198" t="s">
        <v>75</v>
      </c>
      <c r="AD2821" s="198"/>
      <c r="AE2821" s="198"/>
    </row>
    <row r="2822" spans="1:31" ht="43.5" customHeight="1">
      <c r="A2822" s="4" t="s">
        <v>7370</v>
      </c>
      <c r="B2822" s="4" t="s">
        <v>7549</v>
      </c>
      <c r="C2822" s="198" t="s">
        <v>23</v>
      </c>
      <c r="D2822" s="198" t="s">
        <v>1238</v>
      </c>
      <c r="E2822" s="198" t="s">
        <v>3204</v>
      </c>
      <c r="F2822" s="4" t="s">
        <v>2272</v>
      </c>
      <c r="G2822" s="4" t="s">
        <v>2272</v>
      </c>
      <c r="H2822" s="198" t="s">
        <v>521</v>
      </c>
      <c r="I2822" s="198">
        <v>2014</v>
      </c>
      <c r="J2822" s="198" t="s">
        <v>2272</v>
      </c>
      <c r="K2822" s="198" t="s">
        <v>2272</v>
      </c>
      <c r="L2822" s="198" t="s">
        <v>2272</v>
      </c>
      <c r="M2822" s="198" t="s">
        <v>2272</v>
      </c>
      <c r="N2822" s="198" t="s">
        <v>2272</v>
      </c>
      <c r="O2822" s="198" t="s">
        <v>2272</v>
      </c>
      <c r="P2822" s="198" t="s">
        <v>2272</v>
      </c>
      <c r="Q2822" s="198" t="s">
        <v>2272</v>
      </c>
      <c r="R2822" s="198" t="s">
        <v>2272</v>
      </c>
      <c r="S2822" s="198" t="s">
        <v>2272</v>
      </c>
      <c r="T2822" s="198" t="s">
        <v>2272</v>
      </c>
      <c r="U2822" s="21">
        <f>800*0.004</f>
        <v>3.2</v>
      </c>
      <c r="V2822" s="198" t="s">
        <v>2272</v>
      </c>
      <c r="W2822" s="198" t="s">
        <v>2272</v>
      </c>
      <c r="X2822" s="198" t="s">
        <v>2272</v>
      </c>
      <c r="Y2822" s="21">
        <f>U2822/'Record info'!K$1136</f>
        <v>6.3191153238546609E-4</v>
      </c>
      <c r="Z2822" s="198" t="s">
        <v>2272</v>
      </c>
      <c r="AA2822" s="198" t="s">
        <v>67</v>
      </c>
      <c r="AB2822" s="198" t="s">
        <v>84</v>
      </c>
      <c r="AC2822" s="198" t="s">
        <v>75</v>
      </c>
      <c r="AD2822" s="198"/>
      <c r="AE2822" s="198"/>
    </row>
    <row r="2823" spans="1:31" ht="43.5" customHeight="1">
      <c r="A2823" s="4" t="s">
        <v>7371</v>
      </c>
      <c r="B2823" s="4" t="s">
        <v>7550</v>
      </c>
      <c r="C2823" s="198" t="s">
        <v>23</v>
      </c>
      <c r="D2823" s="198" t="s">
        <v>1238</v>
      </c>
      <c r="E2823" s="198" t="s">
        <v>3204</v>
      </c>
      <c r="F2823" s="4" t="s">
        <v>2272</v>
      </c>
      <c r="G2823" s="4" t="s">
        <v>2272</v>
      </c>
      <c r="H2823" s="198" t="s">
        <v>522</v>
      </c>
      <c r="I2823" s="198">
        <v>2014</v>
      </c>
      <c r="J2823" s="21">
        <v>0</v>
      </c>
      <c r="K2823" s="21">
        <v>0</v>
      </c>
      <c r="L2823" s="21">
        <v>0</v>
      </c>
      <c r="M2823" s="21">
        <v>0</v>
      </c>
      <c r="N2823" s="21">
        <v>0</v>
      </c>
      <c r="O2823" s="21">
        <v>0</v>
      </c>
      <c r="P2823" s="21">
        <v>0</v>
      </c>
      <c r="Q2823" s="21">
        <v>0</v>
      </c>
      <c r="R2823" s="21">
        <v>0</v>
      </c>
      <c r="S2823" s="21">
        <v>0</v>
      </c>
      <c r="T2823" s="21">
        <v>0</v>
      </c>
      <c r="U2823" s="21">
        <v>0</v>
      </c>
      <c r="V2823" s="21">
        <v>0</v>
      </c>
      <c r="W2823" s="21">
        <v>0</v>
      </c>
      <c r="X2823" s="21">
        <v>0</v>
      </c>
      <c r="Y2823" s="21">
        <f>U2823/'Record info'!K$1137</f>
        <v>0</v>
      </c>
      <c r="Z2823" s="198" t="s">
        <v>2272</v>
      </c>
      <c r="AA2823" s="198" t="s">
        <v>67</v>
      </c>
      <c r="AB2823" s="198" t="s">
        <v>84</v>
      </c>
      <c r="AC2823" s="198" t="s">
        <v>75</v>
      </c>
      <c r="AD2823" s="198"/>
      <c r="AE2823" s="198"/>
    </row>
    <row r="2824" spans="1:31" ht="43.5" customHeight="1">
      <c r="A2824" s="4" t="s">
        <v>7372</v>
      </c>
      <c r="B2824" s="4" t="s">
        <v>7551</v>
      </c>
      <c r="C2824" s="198" t="s">
        <v>23</v>
      </c>
      <c r="D2824" s="198" t="s">
        <v>1238</v>
      </c>
      <c r="E2824" s="198" t="s">
        <v>3204</v>
      </c>
      <c r="F2824" s="4" t="s">
        <v>2272</v>
      </c>
      <c r="G2824" s="4" t="s">
        <v>2272</v>
      </c>
      <c r="H2824" s="198" t="s">
        <v>522</v>
      </c>
      <c r="I2824" s="198">
        <v>2014</v>
      </c>
      <c r="J2824" s="21">
        <v>0</v>
      </c>
      <c r="K2824" s="21">
        <v>0</v>
      </c>
      <c r="L2824" s="21">
        <v>0</v>
      </c>
      <c r="M2824" s="21">
        <v>0</v>
      </c>
      <c r="N2824" s="21">
        <v>0</v>
      </c>
      <c r="O2824" s="21">
        <v>0</v>
      </c>
      <c r="P2824" s="21">
        <v>0</v>
      </c>
      <c r="Q2824" s="21">
        <v>0</v>
      </c>
      <c r="R2824" s="21">
        <v>0</v>
      </c>
      <c r="S2824" s="21">
        <v>0</v>
      </c>
      <c r="T2824" s="21">
        <v>0</v>
      </c>
      <c r="U2824" s="21">
        <v>0</v>
      </c>
      <c r="V2824" s="21">
        <v>0</v>
      </c>
      <c r="W2824" s="21">
        <v>0</v>
      </c>
      <c r="X2824" s="21">
        <v>0</v>
      </c>
      <c r="Y2824" s="21">
        <f>U2824/'Record info'!K$1138</f>
        <v>0</v>
      </c>
      <c r="Z2824" s="198" t="s">
        <v>2272</v>
      </c>
      <c r="AA2824" s="198" t="s">
        <v>67</v>
      </c>
      <c r="AB2824" s="198" t="s">
        <v>84</v>
      </c>
      <c r="AC2824" s="198" t="s">
        <v>75</v>
      </c>
      <c r="AD2824" s="198"/>
      <c r="AE2824" s="198"/>
    </row>
    <row r="2825" spans="1:31" ht="43.5" customHeight="1">
      <c r="A2825" s="4" t="s">
        <v>7373</v>
      </c>
      <c r="B2825" s="4" t="s">
        <v>7552</v>
      </c>
      <c r="C2825" s="198" t="s">
        <v>23</v>
      </c>
      <c r="D2825" s="198" t="s">
        <v>1238</v>
      </c>
      <c r="E2825" s="198" t="s">
        <v>3204</v>
      </c>
      <c r="F2825" s="4" t="s">
        <v>2272</v>
      </c>
      <c r="G2825" s="4" t="s">
        <v>2272</v>
      </c>
      <c r="H2825" s="198" t="s">
        <v>522</v>
      </c>
      <c r="I2825" s="198">
        <v>2014</v>
      </c>
      <c r="J2825" s="21">
        <v>0</v>
      </c>
      <c r="K2825" s="21">
        <v>0</v>
      </c>
      <c r="L2825" s="21">
        <v>0</v>
      </c>
      <c r="M2825" s="21">
        <v>0</v>
      </c>
      <c r="N2825" s="21">
        <v>0</v>
      </c>
      <c r="O2825" s="21">
        <v>0</v>
      </c>
      <c r="P2825" s="21">
        <v>0</v>
      </c>
      <c r="Q2825" s="21">
        <v>0</v>
      </c>
      <c r="R2825" s="21">
        <v>0</v>
      </c>
      <c r="S2825" s="21">
        <v>0</v>
      </c>
      <c r="T2825" s="21">
        <v>0</v>
      </c>
      <c r="U2825" s="21">
        <v>0</v>
      </c>
      <c r="V2825" s="21">
        <v>0</v>
      </c>
      <c r="W2825" s="21">
        <v>0</v>
      </c>
      <c r="X2825" s="21">
        <v>0</v>
      </c>
      <c r="Y2825" s="21">
        <f>U2825/'Record info'!K$1139</f>
        <v>0</v>
      </c>
      <c r="Z2825" s="198" t="s">
        <v>2272</v>
      </c>
      <c r="AA2825" s="198" t="s">
        <v>67</v>
      </c>
      <c r="AB2825" s="198" t="s">
        <v>84</v>
      </c>
      <c r="AC2825" s="198" t="s">
        <v>75</v>
      </c>
      <c r="AD2825" s="198"/>
      <c r="AE2825" s="198"/>
    </row>
    <row r="2826" spans="1:31" ht="43.5" customHeight="1">
      <c r="A2826" s="4" t="s">
        <v>7374</v>
      </c>
      <c r="B2826" s="4" t="s">
        <v>7553</v>
      </c>
      <c r="C2826" s="198" t="s">
        <v>23</v>
      </c>
      <c r="D2826" s="198" t="s">
        <v>1238</v>
      </c>
      <c r="E2826" s="198" t="s">
        <v>3204</v>
      </c>
      <c r="F2826" s="4" t="s">
        <v>2272</v>
      </c>
      <c r="G2826" s="4" t="s">
        <v>2272</v>
      </c>
      <c r="H2826" s="198" t="s">
        <v>521</v>
      </c>
      <c r="I2826" s="198">
        <v>2014</v>
      </c>
      <c r="J2826" s="198" t="s">
        <v>2272</v>
      </c>
      <c r="K2826" s="198" t="s">
        <v>2272</v>
      </c>
      <c r="L2826" s="198" t="s">
        <v>2272</v>
      </c>
      <c r="M2826" s="198" t="s">
        <v>2272</v>
      </c>
      <c r="N2826" s="198" t="s">
        <v>2272</v>
      </c>
      <c r="O2826" s="198" t="s">
        <v>2272</v>
      </c>
      <c r="P2826" s="198" t="s">
        <v>2272</v>
      </c>
      <c r="Q2826" s="198" t="s">
        <v>2272</v>
      </c>
      <c r="R2826" s="198" t="s">
        <v>2272</v>
      </c>
      <c r="S2826" s="198" t="s">
        <v>2272</v>
      </c>
      <c r="T2826" s="198" t="s">
        <v>2272</v>
      </c>
      <c r="U2826" s="21">
        <f>800*0.035</f>
        <v>28.000000000000004</v>
      </c>
      <c r="V2826" s="198" t="s">
        <v>2272</v>
      </c>
      <c r="W2826" s="198" t="s">
        <v>2272</v>
      </c>
      <c r="X2826" s="198" t="s">
        <v>2272</v>
      </c>
      <c r="Y2826" s="21">
        <f>U2826/'Record info'!K$1140</f>
        <v>4.6166529266281949E-3</v>
      </c>
      <c r="Z2826" s="198" t="s">
        <v>2272</v>
      </c>
      <c r="AA2826" s="198" t="s">
        <v>67</v>
      </c>
      <c r="AB2826" s="198" t="s">
        <v>84</v>
      </c>
      <c r="AC2826" s="198" t="s">
        <v>75</v>
      </c>
      <c r="AD2826" s="198"/>
      <c r="AE2826" s="198"/>
    </row>
    <row r="2827" spans="1:31" ht="43.5" customHeight="1">
      <c r="A2827" s="4" t="s">
        <v>7375</v>
      </c>
      <c r="B2827" s="4" t="s">
        <v>7554</v>
      </c>
      <c r="C2827" s="198" t="s">
        <v>23</v>
      </c>
      <c r="D2827" s="198" t="s">
        <v>1238</v>
      </c>
      <c r="E2827" s="198" t="s">
        <v>3204</v>
      </c>
      <c r="F2827" s="4" t="s">
        <v>2272</v>
      </c>
      <c r="G2827" s="4" t="s">
        <v>2272</v>
      </c>
      <c r="H2827" s="198" t="s">
        <v>521</v>
      </c>
      <c r="I2827" s="198">
        <v>2014</v>
      </c>
      <c r="J2827" s="198" t="s">
        <v>2272</v>
      </c>
      <c r="K2827" s="198" t="s">
        <v>2272</v>
      </c>
      <c r="L2827" s="198" t="s">
        <v>2272</v>
      </c>
      <c r="M2827" s="198" t="s">
        <v>2272</v>
      </c>
      <c r="N2827" s="198" t="s">
        <v>2272</v>
      </c>
      <c r="O2827" s="198" t="s">
        <v>2272</v>
      </c>
      <c r="P2827" s="198" t="s">
        <v>2272</v>
      </c>
      <c r="Q2827" s="198" t="s">
        <v>2272</v>
      </c>
      <c r="R2827" s="198" t="s">
        <v>2272</v>
      </c>
      <c r="S2827" s="198" t="s">
        <v>2272</v>
      </c>
      <c r="T2827" s="198" t="s">
        <v>2272</v>
      </c>
      <c r="U2827" s="21">
        <f>800*0.079</f>
        <v>63.2</v>
      </c>
      <c r="V2827" s="198" t="s">
        <v>2272</v>
      </c>
      <c r="W2827" s="198" t="s">
        <v>2272</v>
      </c>
      <c r="X2827" s="198" t="s">
        <v>2272</v>
      </c>
      <c r="Y2827" s="21">
        <f>U2827/'Record info'!K$1141</f>
        <v>9.4681647940074911E-3</v>
      </c>
      <c r="Z2827" s="198" t="s">
        <v>2272</v>
      </c>
      <c r="AA2827" s="198" t="s">
        <v>67</v>
      </c>
      <c r="AB2827" s="198" t="s">
        <v>84</v>
      </c>
      <c r="AC2827" s="198" t="s">
        <v>75</v>
      </c>
      <c r="AD2827" s="198"/>
      <c r="AE2827" s="198"/>
    </row>
    <row r="2828" spans="1:31" ht="43.5" customHeight="1">
      <c r="A2828" s="4" t="s">
        <v>7376</v>
      </c>
      <c r="B2828" s="4" t="s">
        <v>7555</v>
      </c>
      <c r="C2828" s="198" t="s">
        <v>23</v>
      </c>
      <c r="D2828" s="198" t="s">
        <v>1238</v>
      </c>
      <c r="E2828" s="198" t="s">
        <v>3204</v>
      </c>
      <c r="F2828" s="4" t="s">
        <v>2272</v>
      </c>
      <c r="G2828" s="4" t="s">
        <v>2272</v>
      </c>
      <c r="H2828" s="198" t="s">
        <v>521</v>
      </c>
      <c r="I2828" s="198">
        <v>2014</v>
      </c>
      <c r="J2828" s="198" t="s">
        <v>2272</v>
      </c>
      <c r="K2828" s="198" t="s">
        <v>2272</v>
      </c>
      <c r="L2828" s="198" t="s">
        <v>2272</v>
      </c>
      <c r="M2828" s="198" t="s">
        <v>2272</v>
      </c>
      <c r="N2828" s="198" t="s">
        <v>2272</v>
      </c>
      <c r="O2828" s="198" t="s">
        <v>2272</v>
      </c>
      <c r="P2828" s="198" t="s">
        <v>2272</v>
      </c>
      <c r="Q2828" s="198" t="s">
        <v>2272</v>
      </c>
      <c r="R2828" s="198" t="s">
        <v>2272</v>
      </c>
      <c r="S2828" s="198" t="s">
        <v>2272</v>
      </c>
      <c r="T2828" s="198" t="s">
        <v>2272</v>
      </c>
      <c r="U2828" s="21">
        <f>800*0.132</f>
        <v>105.60000000000001</v>
      </c>
      <c r="V2828" s="198" t="s">
        <v>2272</v>
      </c>
      <c r="W2828" s="198" t="s">
        <v>2272</v>
      </c>
      <c r="X2828" s="198" t="s">
        <v>2272</v>
      </c>
      <c r="Y2828" s="21">
        <f>U2828/'Record info'!K$1142</f>
        <v>1.9137368611815878E-2</v>
      </c>
      <c r="Z2828" s="198" t="s">
        <v>2272</v>
      </c>
      <c r="AA2828" s="198" t="s">
        <v>67</v>
      </c>
      <c r="AB2828" s="198" t="s">
        <v>84</v>
      </c>
      <c r="AC2828" s="198" t="s">
        <v>75</v>
      </c>
      <c r="AD2828" s="198"/>
      <c r="AE2828" s="198"/>
    </row>
    <row r="2829" spans="1:31" ht="43.5" customHeight="1">
      <c r="A2829" s="4" t="s">
        <v>7377</v>
      </c>
      <c r="B2829" s="4" t="s">
        <v>7556</v>
      </c>
      <c r="C2829" s="198" t="s">
        <v>23</v>
      </c>
      <c r="D2829" s="198" t="s">
        <v>1238</v>
      </c>
      <c r="E2829" s="198" t="s">
        <v>3204</v>
      </c>
      <c r="F2829" s="4" t="s">
        <v>2272</v>
      </c>
      <c r="G2829" s="4" t="s">
        <v>2272</v>
      </c>
      <c r="H2829" s="198" t="s">
        <v>521</v>
      </c>
      <c r="I2829" s="198">
        <v>2014</v>
      </c>
      <c r="J2829" s="198" t="s">
        <v>2272</v>
      </c>
      <c r="K2829" s="198" t="s">
        <v>2272</v>
      </c>
      <c r="L2829" s="198" t="s">
        <v>2272</v>
      </c>
      <c r="M2829" s="198" t="s">
        <v>2272</v>
      </c>
      <c r="N2829" s="198" t="s">
        <v>2272</v>
      </c>
      <c r="O2829" s="198" t="s">
        <v>2272</v>
      </c>
      <c r="P2829" s="198" t="s">
        <v>2272</v>
      </c>
      <c r="Q2829" s="198" t="s">
        <v>2272</v>
      </c>
      <c r="R2829" s="198" t="s">
        <v>2272</v>
      </c>
      <c r="S2829" s="198" t="s">
        <v>2272</v>
      </c>
      <c r="T2829" s="198" t="s">
        <v>2272</v>
      </c>
      <c r="U2829" s="21">
        <f>800*0.057</f>
        <v>45.6</v>
      </c>
      <c r="V2829" s="198" t="s">
        <v>2272</v>
      </c>
      <c r="W2829" s="198" t="s">
        <v>2272</v>
      </c>
      <c r="X2829" s="198" t="s">
        <v>2272</v>
      </c>
      <c r="Y2829" s="21">
        <f>U2829/'Record info'!K$1143</f>
        <v>1.1553078287306815E-2</v>
      </c>
      <c r="Z2829" s="198" t="s">
        <v>2272</v>
      </c>
      <c r="AA2829" s="198" t="s">
        <v>67</v>
      </c>
      <c r="AB2829" s="198" t="s">
        <v>84</v>
      </c>
      <c r="AC2829" s="198" t="s">
        <v>75</v>
      </c>
      <c r="AD2829" s="198"/>
      <c r="AE2829" s="198"/>
    </row>
    <row r="2830" spans="1:31" ht="43.5" customHeight="1">
      <c r="A2830" s="4" t="s">
        <v>7378</v>
      </c>
      <c r="B2830" s="4" t="s">
        <v>7557</v>
      </c>
      <c r="C2830" s="198" t="s">
        <v>23</v>
      </c>
      <c r="D2830" s="198" t="s">
        <v>1238</v>
      </c>
      <c r="E2830" s="198" t="s">
        <v>3204</v>
      </c>
      <c r="F2830" s="4" t="s">
        <v>2272</v>
      </c>
      <c r="G2830" s="4" t="s">
        <v>2272</v>
      </c>
      <c r="H2830" s="198" t="s">
        <v>521</v>
      </c>
      <c r="I2830" s="198">
        <v>2014</v>
      </c>
      <c r="J2830" s="198" t="s">
        <v>2272</v>
      </c>
      <c r="K2830" s="198" t="s">
        <v>2272</v>
      </c>
      <c r="L2830" s="198" t="s">
        <v>2272</v>
      </c>
      <c r="M2830" s="198" t="s">
        <v>2272</v>
      </c>
      <c r="N2830" s="198" t="s">
        <v>2272</v>
      </c>
      <c r="O2830" s="198" t="s">
        <v>2272</v>
      </c>
      <c r="P2830" s="198" t="s">
        <v>2272</v>
      </c>
      <c r="Q2830" s="198" t="s">
        <v>2272</v>
      </c>
      <c r="R2830" s="198" t="s">
        <v>2272</v>
      </c>
      <c r="S2830" s="198" t="s">
        <v>2272</v>
      </c>
      <c r="T2830" s="198" t="s">
        <v>2272</v>
      </c>
      <c r="U2830" s="21">
        <f>800*0.024</f>
        <v>19.2</v>
      </c>
      <c r="V2830" s="198" t="s">
        <v>2272</v>
      </c>
      <c r="W2830" s="198" t="s">
        <v>2272</v>
      </c>
      <c r="X2830" s="198" t="s">
        <v>2272</v>
      </c>
      <c r="Y2830" s="21">
        <f>U2830/'Record info'!K$1144</f>
        <v>6.8376068376068376E-3</v>
      </c>
      <c r="Z2830" s="198" t="s">
        <v>2272</v>
      </c>
      <c r="AA2830" s="198" t="s">
        <v>67</v>
      </c>
      <c r="AB2830" s="198" t="s">
        <v>84</v>
      </c>
      <c r="AC2830" s="198" t="s">
        <v>75</v>
      </c>
      <c r="AD2830" s="198"/>
      <c r="AE2830" s="198"/>
    </row>
    <row r="2831" spans="1:31" ht="43.5" customHeight="1">
      <c r="A2831" s="4" t="s">
        <v>7379</v>
      </c>
      <c r="B2831" s="4" t="s">
        <v>7558</v>
      </c>
      <c r="C2831" s="198" t="s">
        <v>23</v>
      </c>
      <c r="D2831" s="198" t="s">
        <v>1238</v>
      </c>
      <c r="E2831" s="198" t="s">
        <v>3204</v>
      </c>
      <c r="F2831" s="4" t="s">
        <v>2272</v>
      </c>
      <c r="G2831" s="4" t="s">
        <v>2272</v>
      </c>
      <c r="H2831" s="198" t="s">
        <v>521</v>
      </c>
      <c r="I2831" s="198">
        <v>2014</v>
      </c>
      <c r="J2831" s="198" t="s">
        <v>2272</v>
      </c>
      <c r="K2831" s="198" t="s">
        <v>2272</v>
      </c>
      <c r="L2831" s="198" t="s">
        <v>2272</v>
      </c>
      <c r="M2831" s="198" t="s">
        <v>2272</v>
      </c>
      <c r="N2831" s="198" t="s">
        <v>2272</v>
      </c>
      <c r="O2831" s="198" t="s">
        <v>2272</v>
      </c>
      <c r="P2831" s="198" t="s">
        <v>2272</v>
      </c>
      <c r="Q2831" s="198" t="s">
        <v>2272</v>
      </c>
      <c r="R2831" s="198" t="s">
        <v>2272</v>
      </c>
      <c r="S2831" s="198" t="s">
        <v>2272</v>
      </c>
      <c r="T2831" s="198" t="s">
        <v>2272</v>
      </c>
      <c r="U2831" s="21">
        <f>800*0.072</f>
        <v>57.599999999999994</v>
      </c>
      <c r="V2831" s="198" t="s">
        <v>2272</v>
      </c>
      <c r="W2831" s="198" t="s">
        <v>2272</v>
      </c>
      <c r="X2831" s="198" t="s">
        <v>2272</v>
      </c>
      <c r="Y2831" s="21">
        <f>U2831/'Record info'!K$1145</f>
        <v>1.1503894547633313E-2</v>
      </c>
      <c r="Z2831" s="198" t="s">
        <v>2272</v>
      </c>
      <c r="AA2831" s="198" t="s">
        <v>67</v>
      </c>
      <c r="AB2831" s="198" t="s">
        <v>84</v>
      </c>
      <c r="AC2831" s="198" t="s">
        <v>75</v>
      </c>
      <c r="AD2831" s="198"/>
      <c r="AE2831" s="198"/>
    </row>
    <row r="2832" spans="1:31" ht="43.5" customHeight="1">
      <c r="A2832" s="4" t="s">
        <v>7380</v>
      </c>
      <c r="B2832" s="4" t="s">
        <v>7559</v>
      </c>
      <c r="C2832" s="198" t="s">
        <v>23</v>
      </c>
      <c r="D2832" s="198" t="s">
        <v>1238</v>
      </c>
      <c r="E2832" s="198" t="s">
        <v>3204</v>
      </c>
      <c r="F2832" s="4" t="s">
        <v>2272</v>
      </c>
      <c r="G2832" s="4" t="s">
        <v>2272</v>
      </c>
      <c r="H2832" s="198" t="s">
        <v>521</v>
      </c>
      <c r="I2832" s="198">
        <v>2014</v>
      </c>
      <c r="J2832" s="198" t="s">
        <v>2272</v>
      </c>
      <c r="K2832" s="198" t="s">
        <v>2272</v>
      </c>
      <c r="L2832" s="198" t="s">
        <v>2272</v>
      </c>
      <c r="M2832" s="198" t="s">
        <v>2272</v>
      </c>
      <c r="N2832" s="198" t="s">
        <v>2272</v>
      </c>
      <c r="O2832" s="198" t="s">
        <v>2272</v>
      </c>
      <c r="P2832" s="198" t="s">
        <v>2272</v>
      </c>
      <c r="Q2832" s="198" t="s">
        <v>2272</v>
      </c>
      <c r="R2832" s="198" t="s">
        <v>2272</v>
      </c>
      <c r="S2832" s="198" t="s">
        <v>2272</v>
      </c>
      <c r="T2832" s="198" t="s">
        <v>2272</v>
      </c>
      <c r="U2832" s="21">
        <f>800*0.068</f>
        <v>54.400000000000006</v>
      </c>
      <c r="V2832" s="198" t="s">
        <v>2272</v>
      </c>
      <c r="W2832" s="198" t="s">
        <v>2272</v>
      </c>
      <c r="X2832" s="198" t="s">
        <v>2272</v>
      </c>
      <c r="Y2832" s="21">
        <f>U2832/'Record info'!K$1146</f>
        <v>4.6337308347529818E-2</v>
      </c>
      <c r="Z2832" s="198" t="s">
        <v>2272</v>
      </c>
      <c r="AA2832" s="198" t="s">
        <v>67</v>
      </c>
      <c r="AB2832" s="198" t="s">
        <v>84</v>
      </c>
      <c r="AC2832" s="198" t="s">
        <v>75</v>
      </c>
      <c r="AD2832" s="198"/>
      <c r="AE2832" s="198"/>
    </row>
    <row r="2833" spans="1:31" ht="43.5" customHeight="1">
      <c r="A2833" s="4" t="s">
        <v>7381</v>
      </c>
      <c r="B2833" s="4" t="s">
        <v>7560</v>
      </c>
      <c r="C2833" s="198" t="s">
        <v>23</v>
      </c>
      <c r="D2833" s="198" t="s">
        <v>1238</v>
      </c>
      <c r="E2833" s="198" t="s">
        <v>3204</v>
      </c>
      <c r="F2833" s="4" t="s">
        <v>2272</v>
      </c>
      <c r="G2833" s="4" t="s">
        <v>2272</v>
      </c>
      <c r="H2833" s="198" t="s">
        <v>521</v>
      </c>
      <c r="I2833" s="198">
        <v>2014</v>
      </c>
      <c r="J2833" s="198" t="s">
        <v>2272</v>
      </c>
      <c r="K2833" s="198" t="s">
        <v>2272</v>
      </c>
      <c r="L2833" s="198" t="s">
        <v>2272</v>
      </c>
      <c r="M2833" s="198" t="s">
        <v>2272</v>
      </c>
      <c r="N2833" s="198" t="s">
        <v>2272</v>
      </c>
      <c r="O2833" s="198" t="s">
        <v>2272</v>
      </c>
      <c r="P2833" s="198" t="s">
        <v>2272</v>
      </c>
      <c r="Q2833" s="198" t="s">
        <v>2272</v>
      </c>
      <c r="R2833" s="198" t="s">
        <v>2272</v>
      </c>
      <c r="S2833" s="198" t="s">
        <v>2272</v>
      </c>
      <c r="T2833" s="198" t="s">
        <v>2272</v>
      </c>
      <c r="U2833" s="21">
        <f>800*0.075</f>
        <v>60</v>
      </c>
      <c r="V2833" s="198" t="s">
        <v>2272</v>
      </c>
      <c r="W2833" s="198" t="s">
        <v>2272</v>
      </c>
      <c r="X2833" s="198" t="s">
        <v>2272</v>
      </c>
      <c r="Y2833" s="21">
        <f>U2833/'Record info'!K$1147</f>
        <v>1.3863216266173753E-2</v>
      </c>
      <c r="Z2833" s="198" t="s">
        <v>2272</v>
      </c>
      <c r="AA2833" s="198" t="s">
        <v>67</v>
      </c>
      <c r="AB2833" s="198" t="s">
        <v>84</v>
      </c>
      <c r="AC2833" s="198" t="s">
        <v>75</v>
      </c>
      <c r="AD2833" s="198"/>
      <c r="AE2833" s="198"/>
    </row>
    <row r="2834" spans="1:31" ht="43.5" customHeight="1">
      <c r="A2834" s="4" t="s">
        <v>7382</v>
      </c>
      <c r="B2834" s="4" t="s">
        <v>7561</v>
      </c>
      <c r="C2834" s="198" t="s">
        <v>23</v>
      </c>
      <c r="D2834" s="198" t="s">
        <v>1238</v>
      </c>
      <c r="E2834" s="198" t="s">
        <v>3204</v>
      </c>
      <c r="F2834" s="4" t="s">
        <v>2272</v>
      </c>
      <c r="G2834" s="4" t="s">
        <v>2272</v>
      </c>
      <c r="H2834" s="198" t="s">
        <v>521</v>
      </c>
      <c r="I2834" s="198">
        <v>2014</v>
      </c>
      <c r="J2834" s="198" t="s">
        <v>2272</v>
      </c>
      <c r="K2834" s="198" t="s">
        <v>2272</v>
      </c>
      <c r="L2834" s="198" t="s">
        <v>2272</v>
      </c>
      <c r="M2834" s="198" t="s">
        <v>2272</v>
      </c>
      <c r="N2834" s="198" t="s">
        <v>2272</v>
      </c>
      <c r="O2834" s="198" t="s">
        <v>2272</v>
      </c>
      <c r="P2834" s="198" t="s">
        <v>2272</v>
      </c>
      <c r="Q2834" s="198" t="s">
        <v>2272</v>
      </c>
      <c r="R2834" s="198" t="s">
        <v>2272</v>
      </c>
      <c r="S2834" s="198" t="s">
        <v>2272</v>
      </c>
      <c r="T2834" s="198" t="s">
        <v>2272</v>
      </c>
      <c r="U2834" s="21">
        <f>800*0.111</f>
        <v>88.8</v>
      </c>
      <c r="V2834" s="198" t="s">
        <v>2272</v>
      </c>
      <c r="W2834" s="198" t="s">
        <v>2272</v>
      </c>
      <c r="X2834" s="198" t="s">
        <v>2272</v>
      </c>
      <c r="Y2834" s="21">
        <f>U2834/'Record info'!K$1148</f>
        <v>3.7077244258872648E-2</v>
      </c>
      <c r="Z2834" s="198" t="s">
        <v>2272</v>
      </c>
      <c r="AA2834" s="198" t="s">
        <v>67</v>
      </c>
      <c r="AB2834" s="198" t="s">
        <v>84</v>
      </c>
      <c r="AC2834" s="198" t="s">
        <v>75</v>
      </c>
      <c r="AD2834" s="198"/>
      <c r="AE2834" s="198"/>
    </row>
    <row r="2835" spans="1:31" ht="43.5" customHeight="1">
      <c r="A2835" s="4" t="s">
        <v>7383</v>
      </c>
      <c r="B2835" s="4" t="s">
        <v>7562</v>
      </c>
      <c r="C2835" s="198" t="s">
        <v>23</v>
      </c>
      <c r="D2835" s="198" t="s">
        <v>1238</v>
      </c>
      <c r="E2835" s="198" t="s">
        <v>3204</v>
      </c>
      <c r="F2835" s="4" t="s">
        <v>2272</v>
      </c>
      <c r="G2835" s="4" t="s">
        <v>2272</v>
      </c>
      <c r="H2835" s="198" t="s">
        <v>521</v>
      </c>
      <c r="I2835" s="198">
        <v>2014</v>
      </c>
      <c r="J2835" s="198" t="s">
        <v>2272</v>
      </c>
      <c r="K2835" s="198" t="s">
        <v>2272</v>
      </c>
      <c r="L2835" s="198" t="s">
        <v>2272</v>
      </c>
      <c r="M2835" s="198" t="s">
        <v>2272</v>
      </c>
      <c r="N2835" s="198" t="s">
        <v>2272</v>
      </c>
      <c r="O2835" s="198" t="s">
        <v>2272</v>
      </c>
      <c r="P2835" s="198" t="s">
        <v>2272</v>
      </c>
      <c r="Q2835" s="198" t="s">
        <v>2272</v>
      </c>
      <c r="R2835" s="198" t="s">
        <v>2272</v>
      </c>
      <c r="S2835" s="198" t="s">
        <v>2272</v>
      </c>
      <c r="T2835" s="198" t="s">
        <v>2272</v>
      </c>
      <c r="U2835" s="21">
        <f>800*0.106</f>
        <v>84.8</v>
      </c>
      <c r="V2835" s="198" t="s">
        <v>2272</v>
      </c>
      <c r="W2835" s="198" t="s">
        <v>2272</v>
      </c>
      <c r="X2835" s="198" t="s">
        <v>2272</v>
      </c>
      <c r="Y2835" s="21">
        <f>U2835/'Record info'!K$1149</f>
        <v>3.1724653946876166E-2</v>
      </c>
      <c r="Z2835" s="198" t="s">
        <v>2272</v>
      </c>
      <c r="AA2835" s="198" t="s">
        <v>67</v>
      </c>
      <c r="AB2835" s="198" t="s">
        <v>84</v>
      </c>
      <c r="AC2835" s="198" t="s">
        <v>75</v>
      </c>
      <c r="AD2835" s="198"/>
      <c r="AE2835" s="198"/>
    </row>
    <row r="2836" spans="1:31" ht="43.5" customHeight="1">
      <c r="A2836" s="4" t="s">
        <v>7384</v>
      </c>
      <c r="B2836" s="4" t="s">
        <v>7563</v>
      </c>
      <c r="C2836" s="198" t="s">
        <v>23</v>
      </c>
      <c r="D2836" s="198" t="s">
        <v>1238</v>
      </c>
      <c r="E2836" s="198" t="s">
        <v>3204</v>
      </c>
      <c r="F2836" s="4" t="s">
        <v>2272</v>
      </c>
      <c r="G2836" s="4" t="s">
        <v>2272</v>
      </c>
      <c r="H2836" s="198" t="s">
        <v>521</v>
      </c>
      <c r="I2836" s="198">
        <v>2014</v>
      </c>
      <c r="J2836" s="198" t="s">
        <v>2272</v>
      </c>
      <c r="K2836" s="198" t="s">
        <v>2272</v>
      </c>
      <c r="L2836" s="198" t="s">
        <v>2272</v>
      </c>
      <c r="M2836" s="198" t="s">
        <v>2272</v>
      </c>
      <c r="N2836" s="198" t="s">
        <v>2272</v>
      </c>
      <c r="O2836" s="198" t="s">
        <v>2272</v>
      </c>
      <c r="P2836" s="198" t="s">
        <v>2272</v>
      </c>
      <c r="Q2836" s="198" t="s">
        <v>2272</v>
      </c>
      <c r="R2836" s="198" t="s">
        <v>2272</v>
      </c>
      <c r="S2836" s="198" t="s">
        <v>2272</v>
      </c>
      <c r="T2836" s="198" t="s">
        <v>2272</v>
      </c>
      <c r="U2836" s="21">
        <f>800*0.166</f>
        <v>132.80000000000001</v>
      </c>
      <c r="V2836" s="198" t="s">
        <v>2272</v>
      </c>
      <c r="W2836" s="198" t="s">
        <v>2272</v>
      </c>
      <c r="X2836" s="198" t="s">
        <v>2272</v>
      </c>
      <c r="Y2836" s="21">
        <f>U2836/'Record info'!K$1150</f>
        <v>5.8891352549889142E-2</v>
      </c>
      <c r="Z2836" s="198" t="s">
        <v>2272</v>
      </c>
      <c r="AA2836" s="198" t="s">
        <v>67</v>
      </c>
      <c r="AB2836" s="198" t="s">
        <v>84</v>
      </c>
      <c r="AC2836" s="198" t="s">
        <v>75</v>
      </c>
      <c r="AD2836" s="198"/>
      <c r="AE2836" s="198"/>
    </row>
    <row r="2837" spans="1:31" ht="41" customHeight="1">
      <c r="A2837" s="4" t="s">
        <v>7282</v>
      </c>
      <c r="B2837" s="4" t="s">
        <v>7564</v>
      </c>
      <c r="C2837" s="198" t="s">
        <v>23</v>
      </c>
      <c r="D2837" s="198" t="s">
        <v>1238</v>
      </c>
      <c r="E2837" s="198" t="s">
        <v>3204</v>
      </c>
      <c r="F2837" s="4" t="s">
        <v>2272</v>
      </c>
      <c r="G2837" s="4" t="s">
        <v>2272</v>
      </c>
      <c r="H2837" s="198" t="s">
        <v>521</v>
      </c>
      <c r="I2837" s="198">
        <v>2015</v>
      </c>
      <c r="J2837" s="198" t="s">
        <v>2272</v>
      </c>
      <c r="K2837" s="198" t="s">
        <v>2272</v>
      </c>
      <c r="L2837" s="198" t="s">
        <v>2272</v>
      </c>
      <c r="M2837" s="198" t="s">
        <v>2272</v>
      </c>
      <c r="N2837" s="198" t="s">
        <v>2272</v>
      </c>
      <c r="O2837" s="198" t="s">
        <v>2272</v>
      </c>
      <c r="P2837" s="198" t="s">
        <v>2272</v>
      </c>
      <c r="Q2837" s="198" t="s">
        <v>2272</v>
      </c>
      <c r="R2837" s="198" t="s">
        <v>2272</v>
      </c>
      <c r="S2837" s="198" t="s">
        <v>2272</v>
      </c>
      <c r="T2837" s="198" t="s">
        <v>2272</v>
      </c>
      <c r="U2837" s="21">
        <f>750*0.027</f>
        <v>20.25</v>
      </c>
      <c r="V2837" s="198" t="s">
        <v>2272</v>
      </c>
      <c r="W2837" s="198" t="s">
        <v>2272</v>
      </c>
      <c r="X2837" s="198" t="s">
        <v>2272</v>
      </c>
      <c r="Y2837" s="21">
        <f>U2837/'Record info'!K$1133</f>
        <v>7.2321428571428571E-3</v>
      </c>
      <c r="Z2837" s="198" t="s">
        <v>2272</v>
      </c>
      <c r="AA2837" s="198" t="s">
        <v>67</v>
      </c>
      <c r="AB2837" s="198" t="s">
        <v>84</v>
      </c>
      <c r="AC2837" s="198" t="s">
        <v>75</v>
      </c>
      <c r="AD2837" s="198"/>
      <c r="AE2837" s="198"/>
    </row>
    <row r="2838" spans="1:31" ht="41" customHeight="1">
      <c r="A2838" s="4" t="s">
        <v>7368</v>
      </c>
      <c r="B2838" s="4" t="s">
        <v>7565</v>
      </c>
      <c r="C2838" s="198" t="s">
        <v>23</v>
      </c>
      <c r="D2838" s="198" t="s">
        <v>1238</v>
      </c>
      <c r="E2838" s="198" t="s">
        <v>3204</v>
      </c>
      <c r="F2838" s="4" t="s">
        <v>2272</v>
      </c>
      <c r="G2838" s="4" t="s">
        <v>2272</v>
      </c>
      <c r="H2838" s="198" t="s">
        <v>521</v>
      </c>
      <c r="I2838" s="198">
        <v>2015</v>
      </c>
      <c r="J2838" s="198" t="s">
        <v>2272</v>
      </c>
      <c r="K2838" s="198" t="s">
        <v>2272</v>
      </c>
      <c r="L2838" s="198" t="s">
        <v>2272</v>
      </c>
      <c r="M2838" s="198" t="s">
        <v>2272</v>
      </c>
      <c r="N2838" s="198" t="s">
        <v>2272</v>
      </c>
      <c r="O2838" s="198" t="s">
        <v>2272</v>
      </c>
      <c r="P2838" s="198" t="s">
        <v>2272</v>
      </c>
      <c r="Q2838" s="198" t="s">
        <v>2272</v>
      </c>
      <c r="R2838" s="198" t="s">
        <v>2272</v>
      </c>
      <c r="S2838" s="198" t="s">
        <v>2272</v>
      </c>
      <c r="T2838" s="198" t="s">
        <v>2272</v>
      </c>
      <c r="U2838" s="21">
        <f>750*0.041</f>
        <v>30.75</v>
      </c>
      <c r="V2838" s="198" t="s">
        <v>2272</v>
      </c>
      <c r="W2838" s="198" t="s">
        <v>2272</v>
      </c>
      <c r="X2838" s="198" t="s">
        <v>2272</v>
      </c>
      <c r="Y2838" s="21">
        <f>U2838/'Record info'!K$1134</f>
        <v>8.7482219061166423E-3</v>
      </c>
      <c r="Z2838" s="198" t="s">
        <v>2272</v>
      </c>
      <c r="AA2838" s="198" t="s">
        <v>67</v>
      </c>
      <c r="AB2838" s="198" t="s">
        <v>84</v>
      </c>
      <c r="AC2838" s="198" t="s">
        <v>75</v>
      </c>
      <c r="AD2838" s="198"/>
      <c r="AE2838" s="198"/>
    </row>
    <row r="2839" spans="1:31" ht="41" customHeight="1">
      <c r="A2839" s="4" t="s">
        <v>7369</v>
      </c>
      <c r="B2839" s="4" t="s">
        <v>7566</v>
      </c>
      <c r="C2839" s="198" t="s">
        <v>23</v>
      </c>
      <c r="D2839" s="198" t="s">
        <v>1238</v>
      </c>
      <c r="E2839" s="198" t="s">
        <v>3204</v>
      </c>
      <c r="F2839" s="4" t="s">
        <v>2272</v>
      </c>
      <c r="G2839" s="4" t="s">
        <v>2272</v>
      </c>
      <c r="H2839" s="198" t="s">
        <v>521</v>
      </c>
      <c r="I2839" s="198">
        <v>2015</v>
      </c>
      <c r="J2839" s="198" t="s">
        <v>2272</v>
      </c>
      <c r="K2839" s="198" t="s">
        <v>2272</v>
      </c>
      <c r="L2839" s="198" t="s">
        <v>2272</v>
      </c>
      <c r="M2839" s="198" t="s">
        <v>2272</v>
      </c>
      <c r="N2839" s="198" t="s">
        <v>2272</v>
      </c>
      <c r="O2839" s="198" t="s">
        <v>2272</v>
      </c>
      <c r="P2839" s="198" t="s">
        <v>2272</v>
      </c>
      <c r="Q2839" s="198" t="s">
        <v>2272</v>
      </c>
      <c r="R2839" s="198" t="s">
        <v>2272</v>
      </c>
      <c r="S2839" s="198" t="s">
        <v>2272</v>
      </c>
      <c r="T2839" s="198" t="s">
        <v>2272</v>
      </c>
      <c r="U2839" s="21">
        <f>750*0.004</f>
        <v>3</v>
      </c>
      <c r="V2839" s="198" t="s">
        <v>2272</v>
      </c>
      <c r="W2839" s="198" t="s">
        <v>2272</v>
      </c>
      <c r="X2839" s="198" t="s">
        <v>2272</v>
      </c>
      <c r="Y2839" s="21">
        <f>U2839/'Record info'!K$1135</f>
        <v>4.4464206313917296E-4</v>
      </c>
      <c r="Z2839" s="198" t="s">
        <v>2272</v>
      </c>
      <c r="AA2839" s="198" t="s">
        <v>67</v>
      </c>
      <c r="AB2839" s="198" t="s">
        <v>84</v>
      </c>
      <c r="AC2839" s="198" t="s">
        <v>75</v>
      </c>
      <c r="AD2839" s="198"/>
      <c r="AE2839" s="198"/>
    </row>
    <row r="2840" spans="1:31" ht="41" customHeight="1">
      <c r="A2840" s="4" t="s">
        <v>7370</v>
      </c>
      <c r="B2840" s="4" t="s">
        <v>7567</v>
      </c>
      <c r="C2840" s="198" t="s">
        <v>23</v>
      </c>
      <c r="D2840" s="198" t="s">
        <v>1238</v>
      </c>
      <c r="E2840" s="198" t="s">
        <v>3204</v>
      </c>
      <c r="F2840" s="4" t="s">
        <v>2272</v>
      </c>
      <c r="G2840" s="4" t="s">
        <v>2272</v>
      </c>
      <c r="H2840" s="198" t="s">
        <v>521</v>
      </c>
      <c r="I2840" s="198">
        <v>2015</v>
      </c>
      <c r="J2840" s="198" t="s">
        <v>2272</v>
      </c>
      <c r="K2840" s="198" t="s">
        <v>2272</v>
      </c>
      <c r="L2840" s="198" t="s">
        <v>2272</v>
      </c>
      <c r="M2840" s="198" t="s">
        <v>2272</v>
      </c>
      <c r="N2840" s="198" t="s">
        <v>2272</v>
      </c>
      <c r="O2840" s="198" t="s">
        <v>2272</v>
      </c>
      <c r="P2840" s="198" t="s">
        <v>2272</v>
      </c>
      <c r="Q2840" s="198" t="s">
        <v>2272</v>
      </c>
      <c r="R2840" s="198" t="s">
        <v>2272</v>
      </c>
      <c r="S2840" s="198" t="s">
        <v>2272</v>
      </c>
      <c r="T2840" s="198" t="s">
        <v>2272</v>
      </c>
      <c r="U2840" s="21">
        <f>750*0.004</f>
        <v>3</v>
      </c>
      <c r="V2840" s="198" t="s">
        <v>2272</v>
      </c>
      <c r="W2840" s="198" t="s">
        <v>2272</v>
      </c>
      <c r="X2840" s="198" t="s">
        <v>2272</v>
      </c>
      <c r="Y2840" s="21">
        <f>U2840/'Record info'!K$1136</f>
        <v>5.9241706161137445E-4</v>
      </c>
      <c r="Z2840" s="198" t="s">
        <v>2272</v>
      </c>
      <c r="AA2840" s="198" t="s">
        <v>67</v>
      </c>
      <c r="AB2840" s="198" t="s">
        <v>84</v>
      </c>
      <c r="AC2840" s="198" t="s">
        <v>75</v>
      </c>
      <c r="AD2840" s="198"/>
      <c r="AE2840" s="198"/>
    </row>
    <row r="2841" spans="1:31" ht="41" customHeight="1">
      <c r="A2841" s="4" t="s">
        <v>7371</v>
      </c>
      <c r="B2841" s="4" t="s">
        <v>7568</v>
      </c>
      <c r="C2841" s="198" t="s">
        <v>23</v>
      </c>
      <c r="D2841" s="198" t="s">
        <v>1238</v>
      </c>
      <c r="E2841" s="198" t="s">
        <v>3204</v>
      </c>
      <c r="F2841" s="4" t="s">
        <v>2272</v>
      </c>
      <c r="G2841" s="4" t="s">
        <v>2272</v>
      </c>
      <c r="H2841" s="198" t="s">
        <v>522</v>
      </c>
      <c r="I2841" s="198">
        <v>2015</v>
      </c>
      <c r="J2841" s="21">
        <v>0</v>
      </c>
      <c r="K2841" s="21">
        <v>0</v>
      </c>
      <c r="L2841" s="21">
        <v>0</v>
      </c>
      <c r="M2841" s="21">
        <v>0</v>
      </c>
      <c r="N2841" s="21">
        <v>0</v>
      </c>
      <c r="O2841" s="21">
        <v>0</v>
      </c>
      <c r="P2841" s="21">
        <v>0</v>
      </c>
      <c r="Q2841" s="21">
        <v>0</v>
      </c>
      <c r="R2841" s="21">
        <v>0</v>
      </c>
      <c r="S2841" s="21">
        <v>0</v>
      </c>
      <c r="T2841" s="21">
        <v>0</v>
      </c>
      <c r="U2841" s="21">
        <v>0</v>
      </c>
      <c r="V2841" s="21">
        <v>0</v>
      </c>
      <c r="W2841" s="21">
        <v>0</v>
      </c>
      <c r="X2841" s="21">
        <v>0</v>
      </c>
      <c r="Y2841" s="21">
        <f>U2841/'Record info'!K$1137</f>
        <v>0</v>
      </c>
      <c r="Z2841" s="198" t="s">
        <v>2272</v>
      </c>
      <c r="AA2841" s="198" t="s">
        <v>67</v>
      </c>
      <c r="AB2841" s="198" t="s">
        <v>84</v>
      </c>
      <c r="AC2841" s="198" t="s">
        <v>75</v>
      </c>
      <c r="AD2841" s="198"/>
      <c r="AE2841" s="198"/>
    </row>
    <row r="2842" spans="1:31" ht="41" customHeight="1">
      <c r="A2842" s="4" t="s">
        <v>7372</v>
      </c>
      <c r="B2842" s="4" t="s">
        <v>7569</v>
      </c>
      <c r="C2842" s="198" t="s">
        <v>23</v>
      </c>
      <c r="D2842" s="198" t="s">
        <v>1238</v>
      </c>
      <c r="E2842" s="198" t="s">
        <v>3204</v>
      </c>
      <c r="F2842" s="4" t="s">
        <v>2272</v>
      </c>
      <c r="G2842" s="4" t="s">
        <v>2272</v>
      </c>
      <c r="H2842" s="198" t="s">
        <v>522</v>
      </c>
      <c r="I2842" s="198">
        <v>2015</v>
      </c>
      <c r="J2842" s="21">
        <v>0</v>
      </c>
      <c r="K2842" s="21">
        <v>0</v>
      </c>
      <c r="L2842" s="21">
        <v>0</v>
      </c>
      <c r="M2842" s="21">
        <v>0</v>
      </c>
      <c r="N2842" s="21">
        <v>0</v>
      </c>
      <c r="O2842" s="21">
        <v>0</v>
      </c>
      <c r="P2842" s="21">
        <v>0</v>
      </c>
      <c r="Q2842" s="21">
        <v>0</v>
      </c>
      <c r="R2842" s="21">
        <v>0</v>
      </c>
      <c r="S2842" s="21">
        <v>0</v>
      </c>
      <c r="T2842" s="21">
        <v>0</v>
      </c>
      <c r="U2842" s="21">
        <v>0</v>
      </c>
      <c r="V2842" s="21">
        <v>0</v>
      </c>
      <c r="W2842" s="21">
        <v>0</v>
      </c>
      <c r="X2842" s="21">
        <v>0</v>
      </c>
      <c r="Y2842" s="21">
        <f>U2842/'Record info'!K$1138</f>
        <v>0</v>
      </c>
      <c r="Z2842" s="198" t="s">
        <v>2272</v>
      </c>
      <c r="AA2842" s="198" t="s">
        <v>67</v>
      </c>
      <c r="AB2842" s="198" t="s">
        <v>84</v>
      </c>
      <c r="AC2842" s="198" t="s">
        <v>75</v>
      </c>
      <c r="AD2842" s="198"/>
      <c r="AE2842" s="198"/>
    </row>
    <row r="2843" spans="1:31" ht="41" customHeight="1">
      <c r="A2843" s="4" t="s">
        <v>7373</v>
      </c>
      <c r="B2843" s="4" t="s">
        <v>7570</v>
      </c>
      <c r="C2843" s="198" t="s">
        <v>23</v>
      </c>
      <c r="D2843" s="198" t="s">
        <v>1238</v>
      </c>
      <c r="E2843" s="198" t="s">
        <v>3204</v>
      </c>
      <c r="F2843" s="4" t="s">
        <v>2272</v>
      </c>
      <c r="G2843" s="4" t="s">
        <v>2272</v>
      </c>
      <c r="H2843" s="198" t="s">
        <v>522</v>
      </c>
      <c r="I2843" s="198">
        <v>2015</v>
      </c>
      <c r="J2843" s="21">
        <v>0</v>
      </c>
      <c r="K2843" s="21">
        <v>0</v>
      </c>
      <c r="L2843" s="21">
        <v>0</v>
      </c>
      <c r="M2843" s="21">
        <v>0</v>
      </c>
      <c r="N2843" s="21">
        <v>0</v>
      </c>
      <c r="O2843" s="21">
        <v>0</v>
      </c>
      <c r="P2843" s="21">
        <v>0</v>
      </c>
      <c r="Q2843" s="21">
        <v>0</v>
      </c>
      <c r="R2843" s="21">
        <v>0</v>
      </c>
      <c r="S2843" s="21">
        <v>0</v>
      </c>
      <c r="T2843" s="21">
        <v>0</v>
      </c>
      <c r="U2843" s="21">
        <v>0</v>
      </c>
      <c r="V2843" s="21">
        <v>0</v>
      </c>
      <c r="W2843" s="21">
        <v>0</v>
      </c>
      <c r="X2843" s="21">
        <v>0</v>
      </c>
      <c r="Y2843" s="21">
        <f>U2843/'Record info'!K$1139</f>
        <v>0</v>
      </c>
      <c r="Z2843" s="198" t="s">
        <v>2272</v>
      </c>
      <c r="AA2843" s="198" t="s">
        <v>67</v>
      </c>
      <c r="AB2843" s="198" t="s">
        <v>84</v>
      </c>
      <c r="AC2843" s="198" t="s">
        <v>75</v>
      </c>
      <c r="AD2843" s="198"/>
      <c r="AE2843" s="198"/>
    </row>
    <row r="2844" spans="1:31" ht="41" customHeight="1">
      <c r="A2844" s="4" t="s">
        <v>7374</v>
      </c>
      <c r="B2844" s="4" t="s">
        <v>7571</v>
      </c>
      <c r="C2844" s="198" t="s">
        <v>23</v>
      </c>
      <c r="D2844" s="198" t="s">
        <v>1238</v>
      </c>
      <c r="E2844" s="198" t="s">
        <v>3204</v>
      </c>
      <c r="F2844" s="4" t="s">
        <v>2272</v>
      </c>
      <c r="G2844" s="4" t="s">
        <v>2272</v>
      </c>
      <c r="H2844" s="198" t="s">
        <v>521</v>
      </c>
      <c r="I2844" s="198">
        <v>2015</v>
      </c>
      <c r="J2844" s="198" t="s">
        <v>2272</v>
      </c>
      <c r="K2844" s="198" t="s">
        <v>2272</v>
      </c>
      <c r="L2844" s="198" t="s">
        <v>2272</v>
      </c>
      <c r="M2844" s="198" t="s">
        <v>2272</v>
      </c>
      <c r="N2844" s="198" t="s">
        <v>2272</v>
      </c>
      <c r="O2844" s="198" t="s">
        <v>2272</v>
      </c>
      <c r="P2844" s="198" t="s">
        <v>2272</v>
      </c>
      <c r="Q2844" s="198" t="s">
        <v>2272</v>
      </c>
      <c r="R2844" s="198" t="s">
        <v>2272</v>
      </c>
      <c r="S2844" s="198" t="s">
        <v>2272</v>
      </c>
      <c r="T2844" s="198" t="s">
        <v>2272</v>
      </c>
      <c r="U2844" s="21">
        <f>750*0.035</f>
        <v>26.250000000000004</v>
      </c>
      <c r="V2844" s="198" t="s">
        <v>2272</v>
      </c>
      <c r="W2844" s="198" t="s">
        <v>2272</v>
      </c>
      <c r="X2844" s="198" t="s">
        <v>2272</v>
      </c>
      <c r="Y2844" s="21">
        <f>U2844/'Record info'!K$1140</f>
        <v>4.3281121187139331E-3</v>
      </c>
      <c r="Z2844" s="198" t="s">
        <v>2272</v>
      </c>
      <c r="AA2844" s="198" t="s">
        <v>67</v>
      </c>
      <c r="AB2844" s="198" t="s">
        <v>84</v>
      </c>
      <c r="AC2844" s="198" t="s">
        <v>75</v>
      </c>
      <c r="AD2844" s="198"/>
      <c r="AE2844" s="198"/>
    </row>
    <row r="2845" spans="1:31" ht="41" customHeight="1">
      <c r="A2845" s="4" t="s">
        <v>7375</v>
      </c>
      <c r="B2845" s="4" t="s">
        <v>7572</v>
      </c>
      <c r="C2845" s="198" t="s">
        <v>23</v>
      </c>
      <c r="D2845" s="198" t="s">
        <v>1238</v>
      </c>
      <c r="E2845" s="198" t="s">
        <v>3204</v>
      </c>
      <c r="F2845" s="4" t="s">
        <v>2272</v>
      </c>
      <c r="G2845" s="4" t="s">
        <v>2272</v>
      </c>
      <c r="H2845" s="198" t="s">
        <v>521</v>
      </c>
      <c r="I2845" s="198">
        <v>2015</v>
      </c>
      <c r="J2845" s="198" t="s">
        <v>2272</v>
      </c>
      <c r="K2845" s="198" t="s">
        <v>2272</v>
      </c>
      <c r="L2845" s="198" t="s">
        <v>2272</v>
      </c>
      <c r="M2845" s="198" t="s">
        <v>2272</v>
      </c>
      <c r="N2845" s="198" t="s">
        <v>2272</v>
      </c>
      <c r="O2845" s="198" t="s">
        <v>2272</v>
      </c>
      <c r="P2845" s="198" t="s">
        <v>2272</v>
      </c>
      <c r="Q2845" s="198" t="s">
        <v>2272</v>
      </c>
      <c r="R2845" s="198" t="s">
        <v>2272</v>
      </c>
      <c r="S2845" s="198" t="s">
        <v>2272</v>
      </c>
      <c r="T2845" s="198" t="s">
        <v>2272</v>
      </c>
      <c r="U2845" s="21">
        <f>750*0.079</f>
        <v>59.25</v>
      </c>
      <c r="V2845" s="198" t="s">
        <v>2272</v>
      </c>
      <c r="W2845" s="198" t="s">
        <v>2272</v>
      </c>
      <c r="X2845" s="198" t="s">
        <v>2272</v>
      </c>
      <c r="Y2845" s="21">
        <f>U2845/'Record info'!K$1141</f>
        <v>8.8764044943820224E-3</v>
      </c>
      <c r="Z2845" s="198" t="s">
        <v>2272</v>
      </c>
      <c r="AA2845" s="198" t="s">
        <v>67</v>
      </c>
      <c r="AB2845" s="198" t="s">
        <v>84</v>
      </c>
      <c r="AC2845" s="198" t="s">
        <v>75</v>
      </c>
      <c r="AD2845" s="198"/>
      <c r="AE2845" s="198"/>
    </row>
    <row r="2846" spans="1:31" ht="41" customHeight="1">
      <c r="A2846" s="4" t="s">
        <v>7376</v>
      </c>
      <c r="B2846" s="4" t="s">
        <v>7573</v>
      </c>
      <c r="C2846" s="198" t="s">
        <v>23</v>
      </c>
      <c r="D2846" s="198" t="s">
        <v>1238</v>
      </c>
      <c r="E2846" s="198" t="s">
        <v>3204</v>
      </c>
      <c r="F2846" s="4" t="s">
        <v>2272</v>
      </c>
      <c r="G2846" s="4" t="s">
        <v>2272</v>
      </c>
      <c r="H2846" s="198" t="s">
        <v>521</v>
      </c>
      <c r="I2846" s="198">
        <v>2015</v>
      </c>
      <c r="J2846" s="198" t="s">
        <v>2272</v>
      </c>
      <c r="K2846" s="198" t="s">
        <v>2272</v>
      </c>
      <c r="L2846" s="198" t="s">
        <v>2272</v>
      </c>
      <c r="M2846" s="198" t="s">
        <v>2272</v>
      </c>
      <c r="N2846" s="198" t="s">
        <v>2272</v>
      </c>
      <c r="O2846" s="198" t="s">
        <v>2272</v>
      </c>
      <c r="P2846" s="198" t="s">
        <v>2272</v>
      </c>
      <c r="Q2846" s="198" t="s">
        <v>2272</v>
      </c>
      <c r="R2846" s="198" t="s">
        <v>2272</v>
      </c>
      <c r="S2846" s="198" t="s">
        <v>2272</v>
      </c>
      <c r="T2846" s="198" t="s">
        <v>2272</v>
      </c>
      <c r="U2846" s="21">
        <f>750*0.132</f>
        <v>99</v>
      </c>
      <c r="V2846" s="198" t="s">
        <v>2272</v>
      </c>
      <c r="W2846" s="198" t="s">
        <v>2272</v>
      </c>
      <c r="X2846" s="198" t="s">
        <v>2272</v>
      </c>
      <c r="Y2846" s="21">
        <f>U2846/'Record info'!K$1142</f>
        <v>1.7941283073577383E-2</v>
      </c>
      <c r="Z2846" s="198" t="s">
        <v>2272</v>
      </c>
      <c r="AA2846" s="198" t="s">
        <v>67</v>
      </c>
      <c r="AB2846" s="198" t="s">
        <v>84</v>
      </c>
      <c r="AC2846" s="198" t="s">
        <v>75</v>
      </c>
      <c r="AD2846" s="198"/>
      <c r="AE2846" s="198"/>
    </row>
    <row r="2847" spans="1:31" ht="41" customHeight="1">
      <c r="A2847" s="4" t="s">
        <v>7377</v>
      </c>
      <c r="B2847" s="4" t="s">
        <v>7574</v>
      </c>
      <c r="C2847" s="198" t="s">
        <v>23</v>
      </c>
      <c r="D2847" s="198" t="s">
        <v>1238</v>
      </c>
      <c r="E2847" s="198" t="s">
        <v>3204</v>
      </c>
      <c r="F2847" s="4" t="s">
        <v>2272</v>
      </c>
      <c r="G2847" s="4" t="s">
        <v>2272</v>
      </c>
      <c r="H2847" s="198" t="s">
        <v>521</v>
      </c>
      <c r="I2847" s="198">
        <v>2015</v>
      </c>
      <c r="J2847" s="198" t="s">
        <v>2272</v>
      </c>
      <c r="K2847" s="198" t="s">
        <v>2272</v>
      </c>
      <c r="L2847" s="198" t="s">
        <v>2272</v>
      </c>
      <c r="M2847" s="198" t="s">
        <v>2272</v>
      </c>
      <c r="N2847" s="198" t="s">
        <v>2272</v>
      </c>
      <c r="O2847" s="198" t="s">
        <v>2272</v>
      </c>
      <c r="P2847" s="198" t="s">
        <v>2272</v>
      </c>
      <c r="Q2847" s="198" t="s">
        <v>2272</v>
      </c>
      <c r="R2847" s="198" t="s">
        <v>2272</v>
      </c>
      <c r="S2847" s="198" t="s">
        <v>2272</v>
      </c>
      <c r="T2847" s="198" t="s">
        <v>2272</v>
      </c>
      <c r="U2847" s="21">
        <f>750*0.057</f>
        <v>42.75</v>
      </c>
      <c r="V2847" s="198" t="s">
        <v>2272</v>
      </c>
      <c r="W2847" s="198" t="s">
        <v>2272</v>
      </c>
      <c r="X2847" s="198" t="s">
        <v>2272</v>
      </c>
      <c r="Y2847" s="21">
        <f>U2847/'Record info'!K$1143</f>
        <v>1.0831010894350139E-2</v>
      </c>
      <c r="Z2847" s="198" t="s">
        <v>2272</v>
      </c>
      <c r="AA2847" s="198" t="s">
        <v>67</v>
      </c>
      <c r="AB2847" s="198" t="s">
        <v>84</v>
      </c>
      <c r="AC2847" s="198" t="s">
        <v>75</v>
      </c>
      <c r="AD2847" s="198"/>
      <c r="AE2847" s="198"/>
    </row>
    <row r="2848" spans="1:31" ht="41" customHeight="1">
      <c r="A2848" s="4" t="s">
        <v>7378</v>
      </c>
      <c r="B2848" s="4" t="s">
        <v>7575</v>
      </c>
      <c r="C2848" s="198" t="s">
        <v>23</v>
      </c>
      <c r="D2848" s="198" t="s">
        <v>1238</v>
      </c>
      <c r="E2848" s="198" t="s">
        <v>3204</v>
      </c>
      <c r="F2848" s="4" t="s">
        <v>2272</v>
      </c>
      <c r="G2848" s="4" t="s">
        <v>2272</v>
      </c>
      <c r="H2848" s="198" t="s">
        <v>521</v>
      </c>
      <c r="I2848" s="198">
        <v>2015</v>
      </c>
      <c r="J2848" s="198" t="s">
        <v>2272</v>
      </c>
      <c r="K2848" s="198" t="s">
        <v>2272</v>
      </c>
      <c r="L2848" s="198" t="s">
        <v>2272</v>
      </c>
      <c r="M2848" s="198" t="s">
        <v>2272</v>
      </c>
      <c r="N2848" s="198" t="s">
        <v>2272</v>
      </c>
      <c r="O2848" s="198" t="s">
        <v>2272</v>
      </c>
      <c r="P2848" s="198" t="s">
        <v>2272</v>
      </c>
      <c r="Q2848" s="198" t="s">
        <v>2272</v>
      </c>
      <c r="R2848" s="198" t="s">
        <v>2272</v>
      </c>
      <c r="S2848" s="198" t="s">
        <v>2272</v>
      </c>
      <c r="T2848" s="198" t="s">
        <v>2272</v>
      </c>
      <c r="U2848" s="21">
        <f>750*0.024</f>
        <v>18</v>
      </c>
      <c r="V2848" s="198" t="s">
        <v>2272</v>
      </c>
      <c r="W2848" s="198" t="s">
        <v>2272</v>
      </c>
      <c r="X2848" s="198" t="s">
        <v>2272</v>
      </c>
      <c r="Y2848" s="21">
        <f>U2848/'Record info'!K$1144</f>
        <v>6.41025641025641E-3</v>
      </c>
      <c r="Z2848" s="198" t="s">
        <v>2272</v>
      </c>
      <c r="AA2848" s="198" t="s">
        <v>67</v>
      </c>
      <c r="AB2848" s="198" t="s">
        <v>84</v>
      </c>
      <c r="AC2848" s="198" t="s">
        <v>75</v>
      </c>
      <c r="AD2848" s="198"/>
      <c r="AE2848" s="198"/>
    </row>
    <row r="2849" spans="1:31" ht="41" customHeight="1">
      <c r="A2849" s="4" t="s">
        <v>7379</v>
      </c>
      <c r="B2849" s="4" t="s">
        <v>7576</v>
      </c>
      <c r="C2849" s="198" t="s">
        <v>23</v>
      </c>
      <c r="D2849" s="198" t="s">
        <v>1238</v>
      </c>
      <c r="E2849" s="198" t="s">
        <v>3204</v>
      </c>
      <c r="F2849" s="4" t="s">
        <v>2272</v>
      </c>
      <c r="G2849" s="4" t="s">
        <v>2272</v>
      </c>
      <c r="H2849" s="198" t="s">
        <v>521</v>
      </c>
      <c r="I2849" s="198">
        <v>2015</v>
      </c>
      <c r="J2849" s="198" t="s">
        <v>2272</v>
      </c>
      <c r="K2849" s="198" t="s">
        <v>2272</v>
      </c>
      <c r="L2849" s="198" t="s">
        <v>2272</v>
      </c>
      <c r="M2849" s="198" t="s">
        <v>2272</v>
      </c>
      <c r="N2849" s="198" t="s">
        <v>2272</v>
      </c>
      <c r="O2849" s="198" t="s">
        <v>2272</v>
      </c>
      <c r="P2849" s="198" t="s">
        <v>2272</v>
      </c>
      <c r="Q2849" s="198" t="s">
        <v>2272</v>
      </c>
      <c r="R2849" s="198" t="s">
        <v>2272</v>
      </c>
      <c r="S2849" s="198" t="s">
        <v>2272</v>
      </c>
      <c r="T2849" s="198" t="s">
        <v>2272</v>
      </c>
      <c r="U2849" s="21">
        <f>750*0.072</f>
        <v>53.999999999999993</v>
      </c>
      <c r="V2849" s="198" t="s">
        <v>2272</v>
      </c>
      <c r="W2849" s="198" t="s">
        <v>2272</v>
      </c>
      <c r="X2849" s="198" t="s">
        <v>2272</v>
      </c>
      <c r="Y2849" s="21">
        <f>U2849/'Record info'!K$1145</f>
        <v>1.078490113840623E-2</v>
      </c>
      <c r="Z2849" s="198" t="s">
        <v>2272</v>
      </c>
      <c r="AA2849" s="198" t="s">
        <v>67</v>
      </c>
      <c r="AB2849" s="198" t="s">
        <v>84</v>
      </c>
      <c r="AC2849" s="198" t="s">
        <v>75</v>
      </c>
      <c r="AD2849" s="198"/>
      <c r="AE2849" s="198"/>
    </row>
    <row r="2850" spans="1:31" ht="41" customHeight="1">
      <c r="A2850" s="4" t="s">
        <v>7380</v>
      </c>
      <c r="B2850" s="4" t="s">
        <v>7577</v>
      </c>
      <c r="C2850" s="198" t="s">
        <v>23</v>
      </c>
      <c r="D2850" s="198" t="s">
        <v>1238</v>
      </c>
      <c r="E2850" s="198" t="s">
        <v>3204</v>
      </c>
      <c r="F2850" s="4" t="s">
        <v>2272</v>
      </c>
      <c r="G2850" s="4" t="s">
        <v>2272</v>
      </c>
      <c r="H2850" s="198" t="s">
        <v>521</v>
      </c>
      <c r="I2850" s="198">
        <v>2015</v>
      </c>
      <c r="J2850" s="198" t="s">
        <v>2272</v>
      </c>
      <c r="K2850" s="198" t="s">
        <v>2272</v>
      </c>
      <c r="L2850" s="198" t="s">
        <v>2272</v>
      </c>
      <c r="M2850" s="198" t="s">
        <v>2272</v>
      </c>
      <c r="N2850" s="198" t="s">
        <v>2272</v>
      </c>
      <c r="O2850" s="198" t="s">
        <v>2272</v>
      </c>
      <c r="P2850" s="198" t="s">
        <v>2272</v>
      </c>
      <c r="Q2850" s="198" t="s">
        <v>2272</v>
      </c>
      <c r="R2850" s="198" t="s">
        <v>2272</v>
      </c>
      <c r="S2850" s="198" t="s">
        <v>2272</v>
      </c>
      <c r="T2850" s="198" t="s">
        <v>2272</v>
      </c>
      <c r="U2850" s="21">
        <f>750*0.068</f>
        <v>51.000000000000007</v>
      </c>
      <c r="V2850" s="198" t="s">
        <v>2272</v>
      </c>
      <c r="W2850" s="198" t="s">
        <v>2272</v>
      </c>
      <c r="X2850" s="198" t="s">
        <v>2272</v>
      </c>
      <c r="Y2850" s="21">
        <f>U2850/'Record info'!K$1146</f>
        <v>4.3441226575809205E-2</v>
      </c>
      <c r="Z2850" s="198" t="s">
        <v>2272</v>
      </c>
      <c r="AA2850" s="198" t="s">
        <v>67</v>
      </c>
      <c r="AB2850" s="198" t="s">
        <v>84</v>
      </c>
      <c r="AC2850" s="198" t="s">
        <v>75</v>
      </c>
      <c r="AD2850" s="198"/>
      <c r="AE2850" s="198"/>
    </row>
    <row r="2851" spans="1:31" ht="41" customHeight="1">
      <c r="A2851" s="4" t="s">
        <v>7381</v>
      </c>
      <c r="B2851" s="4" t="s">
        <v>7578</v>
      </c>
      <c r="C2851" s="198" t="s">
        <v>23</v>
      </c>
      <c r="D2851" s="198" t="s">
        <v>1238</v>
      </c>
      <c r="E2851" s="198" t="s">
        <v>3204</v>
      </c>
      <c r="F2851" s="4" t="s">
        <v>2272</v>
      </c>
      <c r="G2851" s="4" t="s">
        <v>2272</v>
      </c>
      <c r="H2851" s="198" t="s">
        <v>521</v>
      </c>
      <c r="I2851" s="198">
        <v>2015</v>
      </c>
      <c r="J2851" s="198" t="s">
        <v>2272</v>
      </c>
      <c r="K2851" s="198" t="s">
        <v>2272</v>
      </c>
      <c r="L2851" s="198" t="s">
        <v>2272</v>
      </c>
      <c r="M2851" s="198" t="s">
        <v>2272</v>
      </c>
      <c r="N2851" s="198" t="s">
        <v>2272</v>
      </c>
      <c r="O2851" s="198" t="s">
        <v>2272</v>
      </c>
      <c r="P2851" s="198" t="s">
        <v>2272</v>
      </c>
      <c r="Q2851" s="198" t="s">
        <v>2272</v>
      </c>
      <c r="R2851" s="198" t="s">
        <v>2272</v>
      </c>
      <c r="S2851" s="198" t="s">
        <v>2272</v>
      </c>
      <c r="T2851" s="198" t="s">
        <v>2272</v>
      </c>
      <c r="U2851" s="21">
        <f>750*0.075</f>
        <v>56.25</v>
      </c>
      <c r="V2851" s="198" t="s">
        <v>2272</v>
      </c>
      <c r="W2851" s="198" t="s">
        <v>2272</v>
      </c>
      <c r="X2851" s="198" t="s">
        <v>2272</v>
      </c>
      <c r="Y2851" s="21">
        <f>U2851/'Record info'!K$1147</f>
        <v>1.2996765249537892E-2</v>
      </c>
      <c r="Z2851" s="198" t="s">
        <v>2272</v>
      </c>
      <c r="AA2851" s="198" t="s">
        <v>67</v>
      </c>
      <c r="AB2851" s="198" t="s">
        <v>84</v>
      </c>
      <c r="AC2851" s="198" t="s">
        <v>75</v>
      </c>
      <c r="AD2851" s="198"/>
      <c r="AE2851" s="198"/>
    </row>
    <row r="2852" spans="1:31" ht="41" customHeight="1">
      <c r="A2852" s="4" t="s">
        <v>7382</v>
      </c>
      <c r="B2852" s="4" t="s">
        <v>7579</v>
      </c>
      <c r="C2852" s="198" t="s">
        <v>23</v>
      </c>
      <c r="D2852" s="198" t="s">
        <v>1238</v>
      </c>
      <c r="E2852" s="198" t="s">
        <v>3204</v>
      </c>
      <c r="F2852" s="4" t="s">
        <v>2272</v>
      </c>
      <c r="G2852" s="4" t="s">
        <v>2272</v>
      </c>
      <c r="H2852" s="198" t="s">
        <v>521</v>
      </c>
      <c r="I2852" s="198">
        <v>2015</v>
      </c>
      <c r="J2852" s="198" t="s">
        <v>2272</v>
      </c>
      <c r="K2852" s="198" t="s">
        <v>2272</v>
      </c>
      <c r="L2852" s="198" t="s">
        <v>2272</v>
      </c>
      <c r="M2852" s="198" t="s">
        <v>2272</v>
      </c>
      <c r="N2852" s="198" t="s">
        <v>2272</v>
      </c>
      <c r="O2852" s="198" t="s">
        <v>2272</v>
      </c>
      <c r="P2852" s="198" t="s">
        <v>2272</v>
      </c>
      <c r="Q2852" s="198" t="s">
        <v>2272</v>
      </c>
      <c r="R2852" s="198" t="s">
        <v>2272</v>
      </c>
      <c r="S2852" s="198" t="s">
        <v>2272</v>
      </c>
      <c r="T2852" s="198" t="s">
        <v>2272</v>
      </c>
      <c r="U2852" s="21">
        <f>750*0.111</f>
        <v>83.25</v>
      </c>
      <c r="V2852" s="198" t="s">
        <v>2272</v>
      </c>
      <c r="W2852" s="198" t="s">
        <v>2272</v>
      </c>
      <c r="X2852" s="198" t="s">
        <v>2272</v>
      </c>
      <c r="Y2852" s="21">
        <f>U2852/'Record info'!K$1148</f>
        <v>3.475991649269311E-2</v>
      </c>
      <c r="Z2852" s="198" t="s">
        <v>2272</v>
      </c>
      <c r="AA2852" s="198" t="s">
        <v>67</v>
      </c>
      <c r="AB2852" s="198" t="s">
        <v>84</v>
      </c>
      <c r="AC2852" s="198" t="s">
        <v>75</v>
      </c>
      <c r="AD2852" s="198"/>
      <c r="AE2852" s="198"/>
    </row>
    <row r="2853" spans="1:31" ht="41" customHeight="1">
      <c r="A2853" s="4" t="s">
        <v>7383</v>
      </c>
      <c r="B2853" s="4" t="s">
        <v>7580</v>
      </c>
      <c r="C2853" s="198" t="s">
        <v>23</v>
      </c>
      <c r="D2853" s="198" t="s">
        <v>1238</v>
      </c>
      <c r="E2853" s="198" t="s">
        <v>3204</v>
      </c>
      <c r="F2853" s="4" t="s">
        <v>2272</v>
      </c>
      <c r="G2853" s="4" t="s">
        <v>2272</v>
      </c>
      <c r="H2853" s="198" t="s">
        <v>521</v>
      </c>
      <c r="I2853" s="198">
        <v>2015</v>
      </c>
      <c r="J2853" s="198" t="s">
        <v>2272</v>
      </c>
      <c r="K2853" s="198" t="s">
        <v>2272</v>
      </c>
      <c r="L2853" s="198" t="s">
        <v>2272</v>
      </c>
      <c r="M2853" s="198" t="s">
        <v>2272</v>
      </c>
      <c r="N2853" s="198" t="s">
        <v>2272</v>
      </c>
      <c r="O2853" s="198" t="s">
        <v>2272</v>
      </c>
      <c r="P2853" s="198" t="s">
        <v>2272</v>
      </c>
      <c r="Q2853" s="198" t="s">
        <v>2272</v>
      </c>
      <c r="R2853" s="198" t="s">
        <v>2272</v>
      </c>
      <c r="S2853" s="198" t="s">
        <v>2272</v>
      </c>
      <c r="T2853" s="198" t="s">
        <v>2272</v>
      </c>
      <c r="U2853" s="21">
        <f>750*0.106</f>
        <v>79.5</v>
      </c>
      <c r="V2853" s="198" t="s">
        <v>2272</v>
      </c>
      <c r="W2853" s="198" t="s">
        <v>2272</v>
      </c>
      <c r="X2853" s="198" t="s">
        <v>2272</v>
      </c>
      <c r="Y2853" s="21">
        <f>U2853/'Record info'!K$1149</f>
        <v>2.9741863075196408E-2</v>
      </c>
      <c r="Z2853" s="198" t="s">
        <v>2272</v>
      </c>
      <c r="AA2853" s="198" t="s">
        <v>67</v>
      </c>
      <c r="AB2853" s="198" t="s">
        <v>84</v>
      </c>
      <c r="AC2853" s="198" t="s">
        <v>75</v>
      </c>
      <c r="AD2853" s="198"/>
      <c r="AE2853" s="198"/>
    </row>
    <row r="2854" spans="1:31" ht="41" customHeight="1">
      <c r="A2854" s="4" t="s">
        <v>7384</v>
      </c>
      <c r="B2854" s="4" t="s">
        <v>7581</v>
      </c>
      <c r="C2854" s="198" t="s">
        <v>23</v>
      </c>
      <c r="D2854" s="198" t="s">
        <v>1238</v>
      </c>
      <c r="E2854" s="198" t="s">
        <v>3204</v>
      </c>
      <c r="F2854" s="4" t="s">
        <v>2272</v>
      </c>
      <c r="G2854" s="4" t="s">
        <v>2272</v>
      </c>
      <c r="H2854" s="198" t="s">
        <v>521</v>
      </c>
      <c r="I2854" s="198">
        <v>2015</v>
      </c>
      <c r="J2854" s="198" t="s">
        <v>2272</v>
      </c>
      <c r="K2854" s="198" t="s">
        <v>2272</v>
      </c>
      <c r="L2854" s="198" t="s">
        <v>2272</v>
      </c>
      <c r="M2854" s="198" t="s">
        <v>2272</v>
      </c>
      <c r="N2854" s="198" t="s">
        <v>2272</v>
      </c>
      <c r="O2854" s="198" t="s">
        <v>2272</v>
      </c>
      <c r="P2854" s="198" t="s">
        <v>2272</v>
      </c>
      <c r="Q2854" s="198" t="s">
        <v>2272</v>
      </c>
      <c r="R2854" s="198" t="s">
        <v>2272</v>
      </c>
      <c r="S2854" s="198" t="s">
        <v>2272</v>
      </c>
      <c r="T2854" s="198" t="s">
        <v>2272</v>
      </c>
      <c r="U2854" s="21">
        <f>750*0.166</f>
        <v>124.5</v>
      </c>
      <c r="V2854" s="198" t="s">
        <v>2272</v>
      </c>
      <c r="W2854" s="198" t="s">
        <v>2272</v>
      </c>
      <c r="X2854" s="198" t="s">
        <v>2272</v>
      </c>
      <c r="Y2854" s="21">
        <f>U2854/'Record info'!K$1150</f>
        <v>5.5210643015521067E-2</v>
      </c>
      <c r="Z2854" s="198" t="s">
        <v>2272</v>
      </c>
      <c r="AA2854" s="198" t="s">
        <v>67</v>
      </c>
      <c r="AB2854" s="198" t="s">
        <v>84</v>
      </c>
      <c r="AC2854" s="198" t="s">
        <v>75</v>
      </c>
      <c r="AD2854" s="198"/>
      <c r="AE2854" s="198"/>
    </row>
    <row r="2855" spans="1:31" ht="31" customHeight="1">
      <c r="A2855" s="4" t="s">
        <v>7583</v>
      </c>
      <c r="B2855" s="4" t="s">
        <v>7584</v>
      </c>
      <c r="C2855" s="198" t="s">
        <v>23</v>
      </c>
      <c r="D2855" s="198" t="s">
        <v>1238</v>
      </c>
      <c r="E2855" s="198" t="s">
        <v>3204</v>
      </c>
      <c r="F2855" s="4" t="s">
        <v>2272</v>
      </c>
      <c r="G2855" s="4" t="s">
        <v>2272</v>
      </c>
      <c r="H2855" s="198" t="s">
        <v>521</v>
      </c>
      <c r="I2855" s="198">
        <v>1998</v>
      </c>
      <c r="J2855" s="198" t="s">
        <v>2272</v>
      </c>
      <c r="K2855" s="198" t="s">
        <v>2272</v>
      </c>
      <c r="L2855" s="198" t="s">
        <v>2272</v>
      </c>
      <c r="M2855" s="198" t="s">
        <v>2272</v>
      </c>
      <c r="N2855" s="198" t="s">
        <v>2272</v>
      </c>
      <c r="O2855" s="198" t="s">
        <v>2272</v>
      </c>
      <c r="P2855" s="198" t="s">
        <v>2272</v>
      </c>
      <c r="Q2855" s="198" t="s">
        <v>2272</v>
      </c>
      <c r="R2855" s="198" t="s">
        <v>2272</v>
      </c>
      <c r="S2855" s="198" t="s">
        <v>2272</v>
      </c>
      <c r="T2855" s="198" t="s">
        <v>2272</v>
      </c>
      <c r="U2855" s="21">
        <v>6</v>
      </c>
      <c r="V2855" s="198" t="s">
        <v>2272</v>
      </c>
      <c r="W2855" s="198" t="s">
        <v>2272</v>
      </c>
      <c r="X2855" s="198" t="s">
        <v>2272</v>
      </c>
      <c r="Y2855" s="212">
        <f>U2855/'Record info'!K$1151</f>
        <v>2.5965033754543881E-4</v>
      </c>
      <c r="Z2855" s="198" t="s">
        <v>2272</v>
      </c>
      <c r="AA2855" s="198" t="s">
        <v>186</v>
      </c>
      <c r="AB2855" s="198" t="s">
        <v>187</v>
      </c>
      <c r="AC2855" s="198" t="s">
        <v>63</v>
      </c>
      <c r="AD2855" s="198"/>
      <c r="AE2855" s="198"/>
    </row>
    <row r="2856" spans="1:31" ht="27.5" customHeight="1">
      <c r="A2856" s="4" t="s">
        <v>7583</v>
      </c>
      <c r="B2856" s="4" t="s">
        <v>7585</v>
      </c>
      <c r="C2856" s="198" t="s">
        <v>23</v>
      </c>
      <c r="D2856" s="198" t="s">
        <v>1238</v>
      </c>
      <c r="E2856" s="198" t="s">
        <v>3204</v>
      </c>
      <c r="F2856" s="4" t="s">
        <v>2272</v>
      </c>
      <c r="G2856" s="4" t="s">
        <v>2272</v>
      </c>
      <c r="H2856" s="198" t="s">
        <v>521</v>
      </c>
      <c r="I2856" s="198">
        <v>1999</v>
      </c>
      <c r="J2856" s="198" t="s">
        <v>2272</v>
      </c>
      <c r="K2856" s="198" t="s">
        <v>2272</v>
      </c>
      <c r="L2856" s="198" t="s">
        <v>2272</v>
      </c>
      <c r="M2856" s="198" t="s">
        <v>2272</v>
      </c>
      <c r="N2856" s="198" t="s">
        <v>2272</v>
      </c>
      <c r="O2856" s="198" t="s">
        <v>2272</v>
      </c>
      <c r="P2856" s="198" t="s">
        <v>2272</v>
      </c>
      <c r="Q2856" s="198" t="s">
        <v>2272</v>
      </c>
      <c r="R2856" s="198" t="s">
        <v>2272</v>
      </c>
      <c r="S2856" s="198" t="s">
        <v>2272</v>
      </c>
      <c r="T2856" s="198" t="s">
        <v>2272</v>
      </c>
      <c r="U2856" s="21">
        <v>0.4</v>
      </c>
      <c r="V2856" s="198" t="s">
        <v>2272</v>
      </c>
      <c r="W2856" s="198" t="s">
        <v>2272</v>
      </c>
      <c r="X2856" s="198" t="s">
        <v>2272</v>
      </c>
      <c r="Y2856" s="212">
        <f>U2856/'Record info'!K$1151</f>
        <v>1.7310022503029254E-5</v>
      </c>
      <c r="Z2856" s="198" t="s">
        <v>2272</v>
      </c>
      <c r="AA2856" s="198" t="s">
        <v>186</v>
      </c>
      <c r="AB2856" s="198" t="s">
        <v>187</v>
      </c>
      <c r="AC2856" s="198" t="s">
        <v>63</v>
      </c>
      <c r="AD2856" s="198"/>
      <c r="AE2856" s="198"/>
    </row>
    <row r="2857" spans="1:31" ht="27.5" customHeight="1">
      <c r="A2857" s="4" t="s">
        <v>7583</v>
      </c>
      <c r="B2857" s="4" t="s">
        <v>7586</v>
      </c>
      <c r="C2857" s="198" t="s">
        <v>23</v>
      </c>
      <c r="D2857" s="198" t="s">
        <v>1238</v>
      </c>
      <c r="E2857" s="198" t="s">
        <v>3204</v>
      </c>
      <c r="F2857" s="4" t="s">
        <v>2272</v>
      </c>
      <c r="G2857" s="4" t="s">
        <v>2272</v>
      </c>
      <c r="H2857" s="198" t="s">
        <v>521</v>
      </c>
      <c r="I2857" s="198">
        <v>2000</v>
      </c>
      <c r="J2857" s="198" t="s">
        <v>2272</v>
      </c>
      <c r="K2857" s="198" t="s">
        <v>2272</v>
      </c>
      <c r="L2857" s="198" t="s">
        <v>2272</v>
      </c>
      <c r="M2857" s="198" t="s">
        <v>2272</v>
      </c>
      <c r="N2857" s="198" t="s">
        <v>2272</v>
      </c>
      <c r="O2857" s="198" t="s">
        <v>2272</v>
      </c>
      <c r="P2857" s="198" t="s">
        <v>2272</v>
      </c>
      <c r="Q2857" s="198" t="s">
        <v>2272</v>
      </c>
      <c r="R2857" s="198" t="s">
        <v>2272</v>
      </c>
      <c r="S2857" s="198" t="s">
        <v>2272</v>
      </c>
      <c r="T2857" s="198" t="s">
        <v>2272</v>
      </c>
      <c r="U2857" s="21">
        <v>35</v>
      </c>
      <c r="V2857" s="198" t="s">
        <v>2272</v>
      </c>
      <c r="W2857" s="198" t="s">
        <v>2272</v>
      </c>
      <c r="X2857" s="198" t="s">
        <v>2272</v>
      </c>
      <c r="Y2857" s="212">
        <f>U2857/'Record info'!K$1151</f>
        <v>1.5146269690150596E-3</v>
      </c>
      <c r="Z2857" s="198" t="s">
        <v>2272</v>
      </c>
      <c r="AA2857" s="198" t="s">
        <v>186</v>
      </c>
      <c r="AB2857" s="198" t="s">
        <v>187</v>
      </c>
      <c r="AC2857" s="198" t="s">
        <v>63</v>
      </c>
      <c r="AD2857" s="198"/>
      <c r="AE2857" s="198"/>
    </row>
    <row r="2858" spans="1:31" ht="27.5" customHeight="1">
      <c r="A2858" s="4" t="s">
        <v>7583</v>
      </c>
      <c r="B2858" s="4" t="s">
        <v>7587</v>
      </c>
      <c r="C2858" s="198" t="s">
        <v>23</v>
      </c>
      <c r="D2858" s="198" t="s">
        <v>1238</v>
      </c>
      <c r="E2858" s="198" t="s">
        <v>3204</v>
      </c>
      <c r="F2858" s="4" t="s">
        <v>2272</v>
      </c>
      <c r="G2858" s="4" t="s">
        <v>2272</v>
      </c>
      <c r="H2858" s="198" t="s">
        <v>521</v>
      </c>
      <c r="I2858" s="198">
        <v>2001</v>
      </c>
      <c r="J2858" s="198" t="s">
        <v>2272</v>
      </c>
      <c r="K2858" s="198" t="s">
        <v>2272</v>
      </c>
      <c r="L2858" s="198" t="s">
        <v>2272</v>
      </c>
      <c r="M2858" s="198" t="s">
        <v>2272</v>
      </c>
      <c r="N2858" s="198" t="s">
        <v>2272</v>
      </c>
      <c r="O2858" s="198" t="s">
        <v>2272</v>
      </c>
      <c r="P2858" s="198" t="s">
        <v>2272</v>
      </c>
      <c r="Q2858" s="198" t="s">
        <v>2272</v>
      </c>
      <c r="R2858" s="198" t="s">
        <v>2272</v>
      </c>
      <c r="S2858" s="198" t="s">
        <v>2272</v>
      </c>
      <c r="T2858" s="198" t="s">
        <v>2272</v>
      </c>
      <c r="U2858" s="21">
        <v>45</v>
      </c>
      <c r="V2858" s="198" t="s">
        <v>2272</v>
      </c>
      <c r="W2858" s="198" t="s">
        <v>2272</v>
      </c>
      <c r="X2858" s="198" t="s">
        <v>2272</v>
      </c>
      <c r="Y2858" s="212">
        <f>U2858/'Record info'!K$1151</f>
        <v>1.9473775315907911E-3</v>
      </c>
      <c r="Z2858" s="198" t="s">
        <v>2272</v>
      </c>
      <c r="AA2858" s="198" t="s">
        <v>186</v>
      </c>
      <c r="AB2858" s="198" t="s">
        <v>187</v>
      </c>
      <c r="AC2858" s="198" t="s">
        <v>63</v>
      </c>
      <c r="AD2858" s="198"/>
      <c r="AE2858" s="198"/>
    </row>
    <row r="2859" spans="1:31" ht="27.5" customHeight="1">
      <c r="A2859" s="4" t="s">
        <v>7583</v>
      </c>
      <c r="B2859" s="4" t="s">
        <v>7588</v>
      </c>
      <c r="C2859" s="198" t="s">
        <v>23</v>
      </c>
      <c r="D2859" s="198" t="s">
        <v>1238</v>
      </c>
      <c r="E2859" s="198" t="s">
        <v>3204</v>
      </c>
      <c r="F2859" s="4" t="s">
        <v>2272</v>
      </c>
      <c r="G2859" s="4" t="s">
        <v>2272</v>
      </c>
      <c r="H2859" s="198" t="s">
        <v>521</v>
      </c>
      <c r="I2859" s="198">
        <v>2002</v>
      </c>
      <c r="J2859" s="198" t="s">
        <v>2272</v>
      </c>
      <c r="K2859" s="198" t="s">
        <v>2272</v>
      </c>
      <c r="L2859" s="198" t="s">
        <v>2272</v>
      </c>
      <c r="M2859" s="198" t="s">
        <v>2272</v>
      </c>
      <c r="N2859" s="198" t="s">
        <v>2272</v>
      </c>
      <c r="O2859" s="198" t="s">
        <v>2272</v>
      </c>
      <c r="P2859" s="198" t="s">
        <v>2272</v>
      </c>
      <c r="Q2859" s="198" t="s">
        <v>2272</v>
      </c>
      <c r="R2859" s="198" t="s">
        <v>2272</v>
      </c>
      <c r="S2859" s="198" t="s">
        <v>2272</v>
      </c>
      <c r="T2859" s="198" t="s">
        <v>2272</v>
      </c>
      <c r="U2859" s="21">
        <v>325</v>
      </c>
      <c r="V2859" s="198" t="s">
        <v>2272</v>
      </c>
      <c r="W2859" s="198" t="s">
        <v>2272</v>
      </c>
      <c r="X2859" s="198" t="s">
        <v>2272</v>
      </c>
      <c r="Y2859" s="212">
        <f>U2859/'Record info'!K$1151</f>
        <v>1.4064393283711269E-2</v>
      </c>
      <c r="Z2859" s="198" t="s">
        <v>2272</v>
      </c>
      <c r="AA2859" s="198" t="s">
        <v>186</v>
      </c>
      <c r="AB2859" s="198" t="s">
        <v>187</v>
      </c>
      <c r="AC2859" s="198" t="s">
        <v>63</v>
      </c>
      <c r="AD2859" s="198"/>
      <c r="AE2859" s="198"/>
    </row>
    <row r="2860" spans="1:31" ht="27.5" customHeight="1">
      <c r="A2860" s="4" t="s">
        <v>7583</v>
      </c>
      <c r="B2860" s="4" t="s">
        <v>7589</v>
      </c>
      <c r="C2860" s="198" t="s">
        <v>23</v>
      </c>
      <c r="D2860" s="198" t="s">
        <v>1238</v>
      </c>
      <c r="E2860" s="198" t="s">
        <v>3204</v>
      </c>
      <c r="F2860" s="4" t="s">
        <v>2272</v>
      </c>
      <c r="G2860" s="4" t="s">
        <v>2272</v>
      </c>
      <c r="H2860" s="198" t="s">
        <v>521</v>
      </c>
      <c r="I2860" s="198">
        <v>2003</v>
      </c>
      <c r="J2860" s="198" t="s">
        <v>2272</v>
      </c>
      <c r="K2860" s="198" t="s">
        <v>2272</v>
      </c>
      <c r="L2860" s="198" t="s">
        <v>2272</v>
      </c>
      <c r="M2860" s="198" t="s">
        <v>2272</v>
      </c>
      <c r="N2860" s="198" t="s">
        <v>2272</v>
      </c>
      <c r="O2860" s="198" t="s">
        <v>2272</v>
      </c>
      <c r="P2860" s="198" t="s">
        <v>2272</v>
      </c>
      <c r="Q2860" s="198" t="s">
        <v>2272</v>
      </c>
      <c r="R2860" s="198" t="s">
        <v>2272</v>
      </c>
      <c r="S2860" s="198" t="s">
        <v>2272</v>
      </c>
      <c r="T2860" s="198" t="s">
        <v>2272</v>
      </c>
      <c r="U2860" s="21">
        <v>175</v>
      </c>
      <c r="V2860" s="198" t="s">
        <v>2272</v>
      </c>
      <c r="W2860" s="198" t="s">
        <v>2272</v>
      </c>
      <c r="X2860" s="198" t="s">
        <v>2272</v>
      </c>
      <c r="Y2860" s="212">
        <f>U2860/'Record info'!K$1151</f>
        <v>7.5731348450752984E-3</v>
      </c>
      <c r="Z2860" s="198" t="s">
        <v>2272</v>
      </c>
      <c r="AA2860" s="198" t="s">
        <v>186</v>
      </c>
      <c r="AB2860" s="198" t="s">
        <v>187</v>
      </c>
      <c r="AC2860" s="198" t="s">
        <v>63</v>
      </c>
      <c r="AD2860" s="198"/>
      <c r="AE2860" s="198"/>
    </row>
    <row r="2861" spans="1:31" ht="27.5" customHeight="1">
      <c r="A2861" s="4" t="s">
        <v>7583</v>
      </c>
      <c r="B2861" s="4" t="s">
        <v>7590</v>
      </c>
      <c r="C2861" s="198" t="s">
        <v>23</v>
      </c>
      <c r="D2861" s="198" t="s">
        <v>1238</v>
      </c>
      <c r="E2861" s="198" t="s">
        <v>3204</v>
      </c>
      <c r="F2861" s="4" t="s">
        <v>2272</v>
      </c>
      <c r="G2861" s="4" t="s">
        <v>2272</v>
      </c>
      <c r="H2861" s="198" t="s">
        <v>521</v>
      </c>
      <c r="I2861" s="198">
        <v>2004</v>
      </c>
      <c r="J2861" s="198" t="s">
        <v>2272</v>
      </c>
      <c r="K2861" s="198" t="s">
        <v>2272</v>
      </c>
      <c r="L2861" s="198" t="s">
        <v>2272</v>
      </c>
      <c r="M2861" s="198" t="s">
        <v>2272</v>
      </c>
      <c r="N2861" s="198" t="s">
        <v>2272</v>
      </c>
      <c r="O2861" s="198" t="s">
        <v>2272</v>
      </c>
      <c r="P2861" s="198" t="s">
        <v>2272</v>
      </c>
      <c r="Q2861" s="198" t="s">
        <v>2272</v>
      </c>
      <c r="R2861" s="198" t="s">
        <v>2272</v>
      </c>
      <c r="S2861" s="198" t="s">
        <v>2272</v>
      </c>
      <c r="T2861" s="198" t="s">
        <v>2272</v>
      </c>
      <c r="U2861" s="21">
        <v>100</v>
      </c>
      <c r="V2861" s="198" t="s">
        <v>2272</v>
      </c>
      <c r="W2861" s="198" t="s">
        <v>2272</v>
      </c>
      <c r="X2861" s="198" t="s">
        <v>2272</v>
      </c>
      <c r="Y2861" s="212">
        <f>U2861/'Record info'!K$1151</f>
        <v>4.3275056257573137E-3</v>
      </c>
      <c r="Z2861" s="198" t="s">
        <v>2272</v>
      </c>
      <c r="AA2861" s="198" t="s">
        <v>186</v>
      </c>
      <c r="AB2861" s="198" t="s">
        <v>187</v>
      </c>
      <c r="AC2861" s="198" t="s">
        <v>63</v>
      </c>
      <c r="AD2861" s="198"/>
      <c r="AE2861" s="198"/>
    </row>
    <row r="2862" spans="1:31" ht="27.5" customHeight="1">
      <c r="A2862" s="4" t="s">
        <v>7583</v>
      </c>
      <c r="B2862" s="4" t="s">
        <v>7591</v>
      </c>
      <c r="C2862" s="198" t="s">
        <v>23</v>
      </c>
      <c r="D2862" s="198" t="s">
        <v>1238</v>
      </c>
      <c r="E2862" s="198" t="s">
        <v>3204</v>
      </c>
      <c r="F2862" s="4" t="s">
        <v>2272</v>
      </c>
      <c r="G2862" s="4" t="s">
        <v>2272</v>
      </c>
      <c r="H2862" s="198" t="s">
        <v>521</v>
      </c>
      <c r="I2862" s="198">
        <v>2005</v>
      </c>
      <c r="J2862" s="198" t="s">
        <v>2272</v>
      </c>
      <c r="K2862" s="198" t="s">
        <v>2272</v>
      </c>
      <c r="L2862" s="198" t="s">
        <v>2272</v>
      </c>
      <c r="M2862" s="198" t="s">
        <v>2272</v>
      </c>
      <c r="N2862" s="198" t="s">
        <v>2272</v>
      </c>
      <c r="O2862" s="198" t="s">
        <v>2272</v>
      </c>
      <c r="P2862" s="198" t="s">
        <v>2272</v>
      </c>
      <c r="Q2862" s="198" t="s">
        <v>2272</v>
      </c>
      <c r="R2862" s="198" t="s">
        <v>2272</v>
      </c>
      <c r="S2862" s="198" t="s">
        <v>2272</v>
      </c>
      <c r="T2862" s="198" t="s">
        <v>2272</v>
      </c>
      <c r="U2862" s="21">
        <v>125</v>
      </c>
      <c r="V2862" s="198" t="s">
        <v>2272</v>
      </c>
      <c r="W2862" s="198" t="s">
        <v>2272</v>
      </c>
      <c r="X2862" s="198" t="s">
        <v>2272</v>
      </c>
      <c r="Y2862" s="212">
        <f>U2862/'Record info'!K$1151</f>
        <v>5.409382032196642E-3</v>
      </c>
      <c r="Z2862" s="198" t="s">
        <v>2272</v>
      </c>
      <c r="AA2862" s="198" t="s">
        <v>186</v>
      </c>
      <c r="AB2862" s="198" t="s">
        <v>187</v>
      </c>
      <c r="AC2862" s="198" t="s">
        <v>63</v>
      </c>
      <c r="AD2862" s="198"/>
      <c r="AE2862" s="198"/>
    </row>
    <row r="2863" spans="1:31" ht="27.5" customHeight="1">
      <c r="A2863" s="4" t="s">
        <v>7583</v>
      </c>
      <c r="B2863" s="4" t="s">
        <v>7592</v>
      </c>
      <c r="C2863" s="198" t="s">
        <v>23</v>
      </c>
      <c r="D2863" s="198" t="s">
        <v>1238</v>
      </c>
      <c r="E2863" s="198" t="s">
        <v>3204</v>
      </c>
      <c r="F2863" s="4" t="s">
        <v>2272</v>
      </c>
      <c r="G2863" s="4" t="s">
        <v>2272</v>
      </c>
      <c r="H2863" s="198" t="s">
        <v>521</v>
      </c>
      <c r="I2863" s="198">
        <v>2006</v>
      </c>
      <c r="J2863" s="198" t="s">
        <v>2272</v>
      </c>
      <c r="K2863" s="198" t="s">
        <v>2272</v>
      </c>
      <c r="L2863" s="198" t="s">
        <v>2272</v>
      </c>
      <c r="M2863" s="198" t="s">
        <v>2272</v>
      </c>
      <c r="N2863" s="198" t="s">
        <v>2272</v>
      </c>
      <c r="O2863" s="198" t="s">
        <v>2272</v>
      </c>
      <c r="P2863" s="198" t="s">
        <v>2272</v>
      </c>
      <c r="Q2863" s="198" t="s">
        <v>2272</v>
      </c>
      <c r="R2863" s="198" t="s">
        <v>2272</v>
      </c>
      <c r="S2863" s="198" t="s">
        <v>2272</v>
      </c>
      <c r="T2863" s="198" t="s">
        <v>2272</v>
      </c>
      <c r="U2863" s="21">
        <v>75</v>
      </c>
      <c r="V2863" s="198" t="s">
        <v>2272</v>
      </c>
      <c r="W2863" s="198" t="s">
        <v>2272</v>
      </c>
      <c r="X2863" s="198" t="s">
        <v>2272</v>
      </c>
      <c r="Y2863" s="212">
        <f>U2863/'Record info'!K$1151</f>
        <v>3.2456292193179851E-3</v>
      </c>
      <c r="Z2863" s="198" t="s">
        <v>2272</v>
      </c>
      <c r="AA2863" s="198" t="s">
        <v>186</v>
      </c>
      <c r="AB2863" s="198" t="s">
        <v>187</v>
      </c>
      <c r="AC2863" s="198" t="s">
        <v>63</v>
      </c>
      <c r="AD2863" s="198"/>
      <c r="AE2863" s="198"/>
    </row>
    <row r="2864" spans="1:31" ht="27.5" customHeight="1">
      <c r="A2864" s="4" t="s">
        <v>7583</v>
      </c>
      <c r="B2864" s="4" t="s">
        <v>7593</v>
      </c>
      <c r="C2864" s="198" t="s">
        <v>23</v>
      </c>
      <c r="D2864" s="198" t="s">
        <v>1238</v>
      </c>
      <c r="E2864" s="198" t="s">
        <v>3204</v>
      </c>
      <c r="F2864" s="4" t="s">
        <v>2272</v>
      </c>
      <c r="G2864" s="4" t="s">
        <v>2272</v>
      </c>
      <c r="H2864" s="198" t="s">
        <v>521</v>
      </c>
      <c r="I2864" s="198">
        <v>2007</v>
      </c>
      <c r="J2864" s="198" t="s">
        <v>2272</v>
      </c>
      <c r="K2864" s="198" t="s">
        <v>2272</v>
      </c>
      <c r="L2864" s="198" t="s">
        <v>2272</v>
      </c>
      <c r="M2864" s="198" t="s">
        <v>2272</v>
      </c>
      <c r="N2864" s="198" t="s">
        <v>2272</v>
      </c>
      <c r="O2864" s="198" t="s">
        <v>2272</v>
      </c>
      <c r="P2864" s="198" t="s">
        <v>2272</v>
      </c>
      <c r="Q2864" s="198" t="s">
        <v>2272</v>
      </c>
      <c r="R2864" s="198" t="s">
        <v>2272</v>
      </c>
      <c r="S2864" s="198" t="s">
        <v>2272</v>
      </c>
      <c r="T2864" s="198" t="s">
        <v>2272</v>
      </c>
      <c r="U2864" s="21">
        <v>95</v>
      </c>
      <c r="V2864" s="198" t="s">
        <v>2272</v>
      </c>
      <c r="W2864" s="198" t="s">
        <v>2272</v>
      </c>
      <c r="X2864" s="198" t="s">
        <v>2272</v>
      </c>
      <c r="Y2864" s="212">
        <f>U2864/'Record info'!K$1151</f>
        <v>4.1111303444694479E-3</v>
      </c>
      <c r="Z2864" s="198" t="s">
        <v>2272</v>
      </c>
      <c r="AA2864" s="198" t="s">
        <v>186</v>
      </c>
      <c r="AB2864" s="198" t="s">
        <v>187</v>
      </c>
      <c r="AC2864" s="198" t="s">
        <v>63</v>
      </c>
      <c r="AD2864" s="198"/>
      <c r="AE2864" s="198"/>
    </row>
    <row r="2865" spans="1:31" ht="27.5" customHeight="1">
      <c r="A2865" s="4" t="s">
        <v>7583</v>
      </c>
      <c r="B2865" s="4" t="s">
        <v>7594</v>
      </c>
      <c r="C2865" s="198" t="s">
        <v>23</v>
      </c>
      <c r="D2865" s="198" t="s">
        <v>1238</v>
      </c>
      <c r="E2865" s="198" t="s">
        <v>3204</v>
      </c>
      <c r="F2865" s="4" t="s">
        <v>2272</v>
      </c>
      <c r="G2865" s="4" t="s">
        <v>2272</v>
      </c>
      <c r="H2865" s="198" t="s">
        <v>521</v>
      </c>
      <c r="I2865" s="198">
        <v>2008</v>
      </c>
      <c r="J2865" s="198" t="s">
        <v>2272</v>
      </c>
      <c r="K2865" s="198" t="s">
        <v>2272</v>
      </c>
      <c r="L2865" s="198" t="s">
        <v>2272</v>
      </c>
      <c r="M2865" s="198" t="s">
        <v>2272</v>
      </c>
      <c r="N2865" s="198" t="s">
        <v>2272</v>
      </c>
      <c r="O2865" s="198" t="s">
        <v>2272</v>
      </c>
      <c r="P2865" s="198" t="s">
        <v>2272</v>
      </c>
      <c r="Q2865" s="198" t="s">
        <v>2272</v>
      </c>
      <c r="R2865" s="198" t="s">
        <v>2272</v>
      </c>
      <c r="S2865" s="198" t="s">
        <v>2272</v>
      </c>
      <c r="T2865" s="198" t="s">
        <v>2272</v>
      </c>
      <c r="U2865" s="21">
        <v>60</v>
      </c>
      <c r="V2865" s="198" t="s">
        <v>2272</v>
      </c>
      <c r="W2865" s="198" t="s">
        <v>2272</v>
      </c>
      <c r="X2865" s="198" t="s">
        <v>2272</v>
      </c>
      <c r="Y2865" s="212">
        <f>U2865/'Record info'!K$1151</f>
        <v>2.5965033754543881E-3</v>
      </c>
      <c r="Z2865" s="198" t="s">
        <v>2272</v>
      </c>
      <c r="AA2865" s="198" t="s">
        <v>186</v>
      </c>
      <c r="AB2865" s="198" t="s">
        <v>187</v>
      </c>
      <c r="AC2865" s="198" t="s">
        <v>63</v>
      </c>
      <c r="AD2865" s="198"/>
      <c r="AE2865" s="198"/>
    </row>
    <row r="2866" spans="1:31" ht="27.5" customHeight="1">
      <c r="A2866" s="4" t="s">
        <v>7583</v>
      </c>
      <c r="B2866" s="4" t="s">
        <v>7595</v>
      </c>
      <c r="C2866" s="198" t="s">
        <v>23</v>
      </c>
      <c r="D2866" s="198" t="s">
        <v>1238</v>
      </c>
      <c r="E2866" s="198" t="s">
        <v>3204</v>
      </c>
      <c r="F2866" s="4" t="s">
        <v>2272</v>
      </c>
      <c r="G2866" s="4" t="s">
        <v>2272</v>
      </c>
      <c r="H2866" s="198" t="s">
        <v>521</v>
      </c>
      <c r="I2866" s="198">
        <v>2009</v>
      </c>
      <c r="J2866" s="198" t="s">
        <v>2272</v>
      </c>
      <c r="K2866" s="198" t="s">
        <v>2272</v>
      </c>
      <c r="L2866" s="198" t="s">
        <v>2272</v>
      </c>
      <c r="M2866" s="198" t="s">
        <v>2272</v>
      </c>
      <c r="N2866" s="198" t="s">
        <v>2272</v>
      </c>
      <c r="O2866" s="198" t="s">
        <v>2272</v>
      </c>
      <c r="P2866" s="198" t="s">
        <v>2272</v>
      </c>
      <c r="Q2866" s="198" t="s">
        <v>2272</v>
      </c>
      <c r="R2866" s="198" t="s">
        <v>2272</v>
      </c>
      <c r="S2866" s="198" t="s">
        <v>2272</v>
      </c>
      <c r="T2866" s="198" t="s">
        <v>2272</v>
      </c>
      <c r="U2866" s="21">
        <v>15</v>
      </c>
      <c r="V2866" s="198" t="s">
        <v>2272</v>
      </c>
      <c r="W2866" s="198" t="s">
        <v>2272</v>
      </c>
      <c r="X2866" s="198" t="s">
        <v>2272</v>
      </c>
      <c r="Y2866" s="212">
        <f>U2866/'Record info'!K$1151</f>
        <v>6.4912584386359702E-4</v>
      </c>
      <c r="Z2866" s="198" t="s">
        <v>2272</v>
      </c>
      <c r="AA2866" s="198" t="s">
        <v>186</v>
      </c>
      <c r="AB2866" s="198" t="s">
        <v>187</v>
      </c>
      <c r="AC2866" s="198" t="s">
        <v>63</v>
      </c>
      <c r="AD2866" s="198"/>
      <c r="AE2866" s="198"/>
    </row>
    <row r="2867" spans="1:31" ht="27.5" customHeight="1">
      <c r="A2867" s="4" t="s">
        <v>7583</v>
      </c>
      <c r="B2867" s="4" t="s">
        <v>7596</v>
      </c>
      <c r="C2867" s="198" t="s">
        <v>23</v>
      </c>
      <c r="D2867" s="198" t="s">
        <v>1238</v>
      </c>
      <c r="E2867" s="198" t="s">
        <v>3204</v>
      </c>
      <c r="F2867" s="4" t="s">
        <v>2272</v>
      </c>
      <c r="G2867" s="4" t="s">
        <v>2272</v>
      </c>
      <c r="H2867" s="198" t="s">
        <v>521</v>
      </c>
      <c r="I2867" s="198">
        <v>2010</v>
      </c>
      <c r="J2867" s="198" t="s">
        <v>2272</v>
      </c>
      <c r="K2867" s="198" t="s">
        <v>2272</v>
      </c>
      <c r="L2867" s="198" t="s">
        <v>2272</v>
      </c>
      <c r="M2867" s="198" t="s">
        <v>2272</v>
      </c>
      <c r="N2867" s="198" t="s">
        <v>2272</v>
      </c>
      <c r="O2867" s="198" t="s">
        <v>2272</v>
      </c>
      <c r="P2867" s="198" t="s">
        <v>2272</v>
      </c>
      <c r="Q2867" s="198" t="s">
        <v>2272</v>
      </c>
      <c r="R2867" s="198" t="s">
        <v>2272</v>
      </c>
      <c r="S2867" s="198" t="s">
        <v>2272</v>
      </c>
      <c r="T2867" s="198" t="s">
        <v>2272</v>
      </c>
      <c r="U2867" s="21">
        <v>20</v>
      </c>
      <c r="V2867" s="198" t="s">
        <v>2272</v>
      </c>
      <c r="W2867" s="198" t="s">
        <v>2272</v>
      </c>
      <c r="X2867" s="198" t="s">
        <v>2272</v>
      </c>
      <c r="Y2867" s="212">
        <f>U2867/'Record info'!K$1151</f>
        <v>8.6550112515146273E-4</v>
      </c>
      <c r="Z2867" s="198" t="s">
        <v>2272</v>
      </c>
      <c r="AA2867" s="198" t="s">
        <v>186</v>
      </c>
      <c r="AB2867" s="198" t="s">
        <v>187</v>
      </c>
      <c r="AC2867" s="198" t="s">
        <v>63</v>
      </c>
      <c r="AD2867" s="198"/>
      <c r="AE2867" s="198"/>
    </row>
    <row r="2868" spans="1:31" ht="27.5" customHeight="1">
      <c r="A2868" s="4" t="s">
        <v>7583</v>
      </c>
      <c r="B2868" s="4" t="s">
        <v>7597</v>
      </c>
      <c r="C2868" s="198" t="s">
        <v>23</v>
      </c>
      <c r="D2868" s="198" t="s">
        <v>1238</v>
      </c>
      <c r="E2868" s="198" t="s">
        <v>3204</v>
      </c>
      <c r="F2868" s="4" t="s">
        <v>2272</v>
      </c>
      <c r="G2868" s="4" t="s">
        <v>2272</v>
      </c>
      <c r="H2868" s="198" t="s">
        <v>521</v>
      </c>
      <c r="I2868" s="198">
        <v>2011</v>
      </c>
      <c r="J2868" s="198" t="s">
        <v>2272</v>
      </c>
      <c r="K2868" s="198" t="s">
        <v>2272</v>
      </c>
      <c r="L2868" s="198" t="s">
        <v>2272</v>
      </c>
      <c r="M2868" s="198" t="s">
        <v>2272</v>
      </c>
      <c r="N2868" s="198" t="s">
        <v>2272</v>
      </c>
      <c r="O2868" s="198" t="s">
        <v>2272</v>
      </c>
      <c r="P2868" s="198" t="s">
        <v>2272</v>
      </c>
      <c r="Q2868" s="198" t="s">
        <v>2272</v>
      </c>
      <c r="R2868" s="198" t="s">
        <v>2272</v>
      </c>
      <c r="S2868" s="198" t="s">
        <v>2272</v>
      </c>
      <c r="T2868" s="198" t="s">
        <v>2272</v>
      </c>
      <c r="U2868" s="21">
        <v>70</v>
      </c>
      <c r="V2868" s="198" t="s">
        <v>2272</v>
      </c>
      <c r="W2868" s="198" t="s">
        <v>2272</v>
      </c>
      <c r="X2868" s="198" t="s">
        <v>2272</v>
      </c>
      <c r="Y2868" s="212">
        <f>U2868/'Record info'!K$1151</f>
        <v>3.0292539380301193E-3</v>
      </c>
      <c r="Z2868" s="198" t="s">
        <v>2272</v>
      </c>
      <c r="AA2868" s="198" t="s">
        <v>186</v>
      </c>
      <c r="AB2868" s="198" t="s">
        <v>187</v>
      </c>
      <c r="AC2868" s="198" t="s">
        <v>63</v>
      </c>
      <c r="AD2868" s="198"/>
      <c r="AE2868" s="198"/>
    </row>
    <row r="2869" spans="1:31" ht="27.5" customHeight="1">
      <c r="A2869" s="4" t="s">
        <v>7583</v>
      </c>
      <c r="B2869" s="4" t="s">
        <v>7598</v>
      </c>
      <c r="C2869" s="198" t="s">
        <v>23</v>
      </c>
      <c r="D2869" s="198" t="s">
        <v>1238</v>
      </c>
      <c r="E2869" s="198" t="s">
        <v>3204</v>
      </c>
      <c r="F2869" s="4" t="s">
        <v>2272</v>
      </c>
      <c r="G2869" s="4" t="s">
        <v>2272</v>
      </c>
      <c r="H2869" s="198" t="s">
        <v>521</v>
      </c>
      <c r="I2869" s="198">
        <v>2012</v>
      </c>
      <c r="J2869" s="198" t="s">
        <v>2272</v>
      </c>
      <c r="K2869" s="198" t="s">
        <v>2272</v>
      </c>
      <c r="L2869" s="198" t="s">
        <v>2272</v>
      </c>
      <c r="M2869" s="198" t="s">
        <v>2272</v>
      </c>
      <c r="N2869" s="198" t="s">
        <v>2272</v>
      </c>
      <c r="O2869" s="198" t="s">
        <v>2272</v>
      </c>
      <c r="P2869" s="198" t="s">
        <v>2272</v>
      </c>
      <c r="Q2869" s="198" t="s">
        <v>2272</v>
      </c>
      <c r="R2869" s="198" t="s">
        <v>2272</v>
      </c>
      <c r="S2869" s="198" t="s">
        <v>2272</v>
      </c>
      <c r="T2869" s="198" t="s">
        <v>2272</v>
      </c>
      <c r="U2869" s="21">
        <v>80</v>
      </c>
      <c r="V2869" s="198" t="s">
        <v>2272</v>
      </c>
      <c r="W2869" s="198" t="s">
        <v>2272</v>
      </c>
      <c r="X2869" s="198" t="s">
        <v>2272</v>
      </c>
      <c r="Y2869" s="212">
        <f>U2869/'Record info'!K$1151</f>
        <v>3.4620045006058509E-3</v>
      </c>
      <c r="Z2869" s="198" t="s">
        <v>2272</v>
      </c>
      <c r="AA2869" s="198" t="s">
        <v>186</v>
      </c>
      <c r="AB2869" s="198" t="s">
        <v>187</v>
      </c>
      <c r="AC2869" s="198" t="s">
        <v>63</v>
      </c>
      <c r="AD2869" s="198"/>
      <c r="AE2869" s="198"/>
    </row>
    <row r="2870" spans="1:31" ht="27.5" customHeight="1">
      <c r="A2870" s="4" t="s">
        <v>7583</v>
      </c>
      <c r="B2870" s="4" t="s">
        <v>7599</v>
      </c>
      <c r="C2870" s="198" t="s">
        <v>23</v>
      </c>
      <c r="D2870" s="198" t="s">
        <v>1238</v>
      </c>
      <c r="E2870" s="198" t="s">
        <v>3204</v>
      </c>
      <c r="F2870" s="4" t="s">
        <v>2272</v>
      </c>
      <c r="G2870" s="4" t="s">
        <v>2272</v>
      </c>
      <c r="H2870" s="198" t="s">
        <v>521</v>
      </c>
      <c r="I2870" s="198">
        <v>2013</v>
      </c>
      <c r="J2870" s="198" t="s">
        <v>2272</v>
      </c>
      <c r="K2870" s="198" t="s">
        <v>2272</v>
      </c>
      <c r="L2870" s="198" t="s">
        <v>2272</v>
      </c>
      <c r="M2870" s="198" t="s">
        <v>2272</v>
      </c>
      <c r="N2870" s="198" t="s">
        <v>2272</v>
      </c>
      <c r="O2870" s="198" t="s">
        <v>2272</v>
      </c>
      <c r="P2870" s="198" t="s">
        <v>2272</v>
      </c>
      <c r="Q2870" s="198" t="s">
        <v>2272</v>
      </c>
      <c r="R2870" s="198" t="s">
        <v>2272</v>
      </c>
      <c r="S2870" s="198" t="s">
        <v>2272</v>
      </c>
      <c r="T2870" s="198" t="s">
        <v>2272</v>
      </c>
      <c r="U2870" s="21">
        <v>75</v>
      </c>
      <c r="V2870" s="198" t="s">
        <v>2272</v>
      </c>
      <c r="W2870" s="198" t="s">
        <v>2272</v>
      </c>
      <c r="X2870" s="198" t="s">
        <v>2272</v>
      </c>
      <c r="Y2870" s="212">
        <f>U2870/'Record info'!K$1151</f>
        <v>3.2456292193179851E-3</v>
      </c>
      <c r="Z2870" s="198" t="s">
        <v>2272</v>
      </c>
      <c r="AA2870" s="198" t="s">
        <v>186</v>
      </c>
      <c r="AB2870" s="198" t="s">
        <v>187</v>
      </c>
      <c r="AC2870" s="198" t="s">
        <v>63</v>
      </c>
      <c r="AD2870" s="198"/>
      <c r="AE2870" s="198"/>
    </row>
    <row r="2871" spans="1:31" ht="27.5" customHeight="1">
      <c r="A2871" s="4" t="s">
        <v>7583</v>
      </c>
      <c r="B2871" s="4" t="s">
        <v>7600</v>
      </c>
      <c r="C2871" s="198" t="s">
        <v>23</v>
      </c>
      <c r="D2871" s="198" t="s">
        <v>1238</v>
      </c>
      <c r="E2871" s="198" t="s">
        <v>3204</v>
      </c>
      <c r="F2871" s="4" t="s">
        <v>2272</v>
      </c>
      <c r="G2871" s="4" t="s">
        <v>2272</v>
      </c>
      <c r="H2871" s="198" t="s">
        <v>521</v>
      </c>
      <c r="I2871" s="198">
        <v>2014</v>
      </c>
      <c r="J2871" s="198" t="s">
        <v>2272</v>
      </c>
      <c r="K2871" s="198" t="s">
        <v>2272</v>
      </c>
      <c r="L2871" s="198" t="s">
        <v>2272</v>
      </c>
      <c r="M2871" s="198" t="s">
        <v>2272</v>
      </c>
      <c r="N2871" s="198" t="s">
        <v>2272</v>
      </c>
      <c r="O2871" s="198" t="s">
        <v>2272</v>
      </c>
      <c r="P2871" s="198" t="s">
        <v>2272</v>
      </c>
      <c r="Q2871" s="198" t="s">
        <v>2272</v>
      </c>
      <c r="R2871" s="198" t="s">
        <v>2272</v>
      </c>
      <c r="S2871" s="198" t="s">
        <v>2272</v>
      </c>
      <c r="T2871" s="198" t="s">
        <v>2272</v>
      </c>
      <c r="U2871" s="21">
        <v>80</v>
      </c>
      <c r="V2871" s="198" t="s">
        <v>2272</v>
      </c>
      <c r="W2871" s="198" t="s">
        <v>2272</v>
      </c>
      <c r="X2871" s="198" t="s">
        <v>2272</v>
      </c>
      <c r="Y2871" s="212">
        <f>U2871/'Record info'!K$1151</f>
        <v>3.4620045006058509E-3</v>
      </c>
      <c r="Z2871" s="198" t="s">
        <v>2272</v>
      </c>
      <c r="AA2871" s="198" t="s">
        <v>186</v>
      </c>
      <c r="AB2871" s="198" t="s">
        <v>187</v>
      </c>
      <c r="AC2871" s="198" t="s">
        <v>63</v>
      </c>
      <c r="AD2871" s="198"/>
      <c r="AE2871" s="198"/>
    </row>
    <row r="2872" spans="1:31" ht="27.5" customHeight="1">
      <c r="A2872" s="4" t="s">
        <v>7583</v>
      </c>
      <c r="B2872" s="4" t="s">
        <v>7601</v>
      </c>
      <c r="C2872" s="198" t="s">
        <v>23</v>
      </c>
      <c r="D2872" s="198" t="s">
        <v>1238</v>
      </c>
      <c r="E2872" s="198" t="s">
        <v>3204</v>
      </c>
      <c r="F2872" s="4" t="s">
        <v>2272</v>
      </c>
      <c r="G2872" s="4" t="s">
        <v>2272</v>
      </c>
      <c r="H2872" s="198" t="s">
        <v>521</v>
      </c>
      <c r="I2872" s="198">
        <v>2015</v>
      </c>
      <c r="J2872" s="198" t="s">
        <v>2272</v>
      </c>
      <c r="K2872" s="198" t="s">
        <v>2272</v>
      </c>
      <c r="L2872" s="198" t="s">
        <v>2272</v>
      </c>
      <c r="M2872" s="198" t="s">
        <v>2272</v>
      </c>
      <c r="N2872" s="198" t="s">
        <v>2272</v>
      </c>
      <c r="O2872" s="198" t="s">
        <v>2272</v>
      </c>
      <c r="P2872" s="198" t="s">
        <v>2272</v>
      </c>
      <c r="Q2872" s="198" t="s">
        <v>2272</v>
      </c>
      <c r="R2872" s="198" t="s">
        <v>2272</v>
      </c>
      <c r="S2872" s="198" t="s">
        <v>2272</v>
      </c>
      <c r="T2872" s="198" t="s">
        <v>2272</v>
      </c>
      <c r="U2872" s="21">
        <v>84</v>
      </c>
      <c r="V2872" s="198" t="s">
        <v>2272</v>
      </c>
      <c r="W2872" s="198" t="s">
        <v>2272</v>
      </c>
      <c r="X2872" s="198" t="s">
        <v>2272</v>
      </c>
      <c r="Y2872" s="212">
        <f>U2872/'Record info'!K$1151</f>
        <v>3.6351047256361433E-3</v>
      </c>
      <c r="Z2872" s="198" t="s">
        <v>2272</v>
      </c>
      <c r="AA2872" s="198" t="s">
        <v>186</v>
      </c>
      <c r="AB2872" s="198" t="s">
        <v>187</v>
      </c>
      <c r="AC2872" s="198" t="s">
        <v>63</v>
      </c>
      <c r="AD2872" s="198"/>
      <c r="AE2872" s="198"/>
    </row>
    <row r="2873" spans="1:31" ht="32" customHeight="1">
      <c r="A2873" s="4" t="s">
        <v>7605</v>
      </c>
      <c r="B2873" s="4" t="s">
        <v>7606</v>
      </c>
      <c r="C2873" s="198" t="s">
        <v>23</v>
      </c>
      <c r="D2873" s="198" t="s">
        <v>1238</v>
      </c>
      <c r="E2873" s="198" t="s">
        <v>3204</v>
      </c>
      <c r="F2873" s="4" t="s">
        <v>2272</v>
      </c>
      <c r="G2873" s="4" t="s">
        <v>2272</v>
      </c>
      <c r="H2873" s="198" t="s">
        <v>521</v>
      </c>
      <c r="I2873" s="198"/>
      <c r="J2873" s="198" t="s">
        <v>2272</v>
      </c>
      <c r="K2873" s="198" t="s">
        <v>2272</v>
      </c>
      <c r="L2873" s="198" t="s">
        <v>2272</v>
      </c>
      <c r="M2873" s="198" t="s">
        <v>2272</v>
      </c>
      <c r="N2873" s="198" t="s">
        <v>2272</v>
      </c>
      <c r="O2873" s="198" t="s">
        <v>2272</v>
      </c>
      <c r="P2873" s="198" t="s">
        <v>2272</v>
      </c>
      <c r="Q2873" s="198" t="s">
        <v>2272</v>
      </c>
      <c r="R2873" s="198" t="s">
        <v>2272</v>
      </c>
      <c r="S2873" s="198" t="s">
        <v>2272</v>
      </c>
      <c r="T2873" s="198" t="s">
        <v>2272</v>
      </c>
      <c r="U2873" s="21">
        <v>50</v>
      </c>
      <c r="V2873" s="198" t="s">
        <v>2272</v>
      </c>
      <c r="W2873" s="198" t="s">
        <v>2272</v>
      </c>
      <c r="X2873" s="198" t="s">
        <v>2272</v>
      </c>
      <c r="Y2873" s="21">
        <f>U2873/'Record info'!K1152</f>
        <v>1.6592663387956383E-4</v>
      </c>
      <c r="Z2873" s="198" t="s">
        <v>2272</v>
      </c>
      <c r="AA2873" s="198" t="s">
        <v>67</v>
      </c>
      <c r="AB2873" s="198" t="s">
        <v>187</v>
      </c>
      <c r="AC2873" s="198" t="s">
        <v>63</v>
      </c>
      <c r="AD2873" s="198"/>
      <c r="AE2873" s="198"/>
    </row>
    <row r="2874" spans="1:31" ht="37.5" customHeight="1">
      <c r="A2874" s="4" t="s">
        <v>7583</v>
      </c>
      <c r="B2874" s="4" t="s">
        <v>7607</v>
      </c>
      <c r="C2874" s="198" t="s">
        <v>23</v>
      </c>
      <c r="D2874" s="198" t="s">
        <v>1238</v>
      </c>
      <c r="E2874" s="198" t="s">
        <v>3204</v>
      </c>
      <c r="F2874" s="4" t="s">
        <v>2657</v>
      </c>
      <c r="G2874" s="4" t="s">
        <v>2657</v>
      </c>
      <c r="H2874" s="198" t="s">
        <v>521</v>
      </c>
      <c r="I2874" s="198"/>
      <c r="J2874" s="198" t="s">
        <v>2272</v>
      </c>
      <c r="K2874" s="198" t="s">
        <v>2272</v>
      </c>
      <c r="L2874" s="198" t="s">
        <v>2272</v>
      </c>
      <c r="M2874" s="198" t="s">
        <v>2272</v>
      </c>
      <c r="N2874" s="198" t="s">
        <v>2272</v>
      </c>
      <c r="O2874" s="21">
        <v>67</v>
      </c>
      <c r="P2874" s="198" t="s">
        <v>2272</v>
      </c>
      <c r="Q2874" s="21">
        <v>5.35</v>
      </c>
      <c r="R2874" s="198" t="s">
        <v>2272</v>
      </c>
      <c r="S2874" s="198" t="s">
        <v>2272</v>
      </c>
      <c r="T2874" s="198" t="s">
        <v>2272</v>
      </c>
      <c r="U2874" s="198" t="s">
        <v>2272</v>
      </c>
      <c r="V2874" s="198" t="s">
        <v>2272</v>
      </c>
      <c r="W2874" s="198" t="s">
        <v>2272</v>
      </c>
      <c r="X2874" s="198" t="s">
        <v>2272</v>
      </c>
      <c r="Y2874" s="198" t="s">
        <v>2272</v>
      </c>
      <c r="Z2874" s="198" t="s">
        <v>2272</v>
      </c>
      <c r="AA2874" s="198" t="s">
        <v>186</v>
      </c>
      <c r="AB2874" s="198" t="s">
        <v>187</v>
      </c>
      <c r="AC2874" s="198" t="s">
        <v>63</v>
      </c>
      <c r="AD2874" s="4" t="s">
        <v>7618</v>
      </c>
      <c r="AE2874" s="198"/>
    </row>
    <row r="2875" spans="1:31" ht="31" customHeight="1">
      <c r="A2875" s="4" t="s">
        <v>7583</v>
      </c>
      <c r="B2875" s="4" t="s">
        <v>7615</v>
      </c>
      <c r="C2875" s="198" t="s">
        <v>23</v>
      </c>
      <c r="D2875" s="198" t="s">
        <v>1238</v>
      </c>
      <c r="E2875" s="198" t="s">
        <v>3204</v>
      </c>
      <c r="F2875" s="4" t="s">
        <v>73</v>
      </c>
      <c r="G2875" s="4" t="s">
        <v>73</v>
      </c>
      <c r="H2875" s="198" t="s">
        <v>521</v>
      </c>
      <c r="I2875" s="198"/>
      <c r="J2875" s="198" t="s">
        <v>2272</v>
      </c>
      <c r="K2875" s="198" t="s">
        <v>2272</v>
      </c>
      <c r="L2875" s="198" t="s">
        <v>2272</v>
      </c>
      <c r="M2875" s="198" t="s">
        <v>2272</v>
      </c>
      <c r="N2875" s="198" t="s">
        <v>2272</v>
      </c>
      <c r="O2875" s="198" t="s">
        <v>2272</v>
      </c>
      <c r="P2875" s="198" t="s">
        <v>2272</v>
      </c>
      <c r="Q2875" s="21">
        <v>2.13</v>
      </c>
      <c r="R2875" s="198" t="s">
        <v>2272</v>
      </c>
      <c r="S2875" s="198" t="s">
        <v>2272</v>
      </c>
      <c r="T2875" s="198" t="s">
        <v>2272</v>
      </c>
      <c r="U2875" s="198" t="s">
        <v>2272</v>
      </c>
      <c r="V2875" s="198" t="s">
        <v>2272</v>
      </c>
      <c r="W2875" s="198" t="s">
        <v>2272</v>
      </c>
      <c r="X2875" s="198" t="s">
        <v>2272</v>
      </c>
      <c r="Y2875" s="198" t="s">
        <v>2272</v>
      </c>
      <c r="Z2875" s="198" t="s">
        <v>2272</v>
      </c>
      <c r="AA2875" s="198" t="s">
        <v>186</v>
      </c>
      <c r="AB2875" s="198" t="s">
        <v>187</v>
      </c>
      <c r="AC2875" s="198" t="s">
        <v>63</v>
      </c>
      <c r="AD2875" s="4" t="s">
        <v>7618</v>
      </c>
      <c r="AE2875" s="198"/>
    </row>
    <row r="2876" spans="1:31" ht="39" customHeight="1">
      <c r="A2876" s="4" t="s">
        <v>7608</v>
      </c>
      <c r="B2876" s="4" t="s">
        <v>7610</v>
      </c>
      <c r="C2876" s="198" t="s">
        <v>23</v>
      </c>
      <c r="D2876" s="198" t="s">
        <v>1238</v>
      </c>
      <c r="E2876" s="198" t="s">
        <v>3204</v>
      </c>
      <c r="F2876" s="4" t="s">
        <v>73</v>
      </c>
      <c r="G2876" s="4" t="s">
        <v>73</v>
      </c>
      <c r="H2876" s="198" t="s">
        <v>521</v>
      </c>
      <c r="I2876" s="198"/>
      <c r="J2876" s="198" t="s">
        <v>2272</v>
      </c>
      <c r="K2876" s="198" t="s">
        <v>2272</v>
      </c>
      <c r="L2876" s="198" t="s">
        <v>2272</v>
      </c>
      <c r="M2876" s="198" t="s">
        <v>2272</v>
      </c>
      <c r="N2876" s="198" t="s">
        <v>2272</v>
      </c>
      <c r="O2876" s="21">
        <v>146</v>
      </c>
      <c r="P2876" s="198" t="s">
        <v>2272</v>
      </c>
      <c r="Q2876" s="21">
        <v>8.1999999999999993</v>
      </c>
      <c r="R2876" s="198" t="s">
        <v>2272</v>
      </c>
      <c r="S2876" s="198" t="s">
        <v>2272</v>
      </c>
      <c r="T2876" s="198" t="s">
        <v>2272</v>
      </c>
      <c r="U2876" s="198" t="s">
        <v>2272</v>
      </c>
      <c r="V2876" s="198" t="s">
        <v>2272</v>
      </c>
      <c r="W2876" s="198" t="s">
        <v>2272</v>
      </c>
      <c r="X2876" s="198" t="s">
        <v>2272</v>
      </c>
      <c r="Y2876" s="198" t="s">
        <v>2272</v>
      </c>
      <c r="Z2876" s="198" t="s">
        <v>2272</v>
      </c>
      <c r="AA2876" s="198" t="s">
        <v>67</v>
      </c>
      <c r="AB2876" s="198" t="s">
        <v>84</v>
      </c>
      <c r="AC2876" s="198" t="s">
        <v>75</v>
      </c>
      <c r="AD2876" s="4" t="s">
        <v>7617</v>
      </c>
      <c r="AE2876" s="198"/>
    </row>
    <row r="2877" spans="1:31" ht="31" customHeight="1">
      <c r="A2877" s="4" t="s">
        <v>7609</v>
      </c>
      <c r="B2877" s="4" t="s">
        <v>7611</v>
      </c>
      <c r="C2877" s="198" t="s">
        <v>23</v>
      </c>
      <c r="D2877" s="198" t="s">
        <v>1238</v>
      </c>
      <c r="E2877" s="198" t="s">
        <v>3204</v>
      </c>
      <c r="F2877" s="4" t="s">
        <v>73</v>
      </c>
      <c r="G2877" s="4" t="s">
        <v>73</v>
      </c>
      <c r="H2877" s="198" t="s">
        <v>521</v>
      </c>
      <c r="I2877" s="198"/>
      <c r="J2877" s="198" t="s">
        <v>2272</v>
      </c>
      <c r="K2877" s="198" t="s">
        <v>2272</v>
      </c>
      <c r="L2877" s="198" t="s">
        <v>2272</v>
      </c>
      <c r="M2877" s="198" t="s">
        <v>2272</v>
      </c>
      <c r="N2877" s="198" t="s">
        <v>2272</v>
      </c>
      <c r="O2877" s="21">
        <v>179</v>
      </c>
      <c r="P2877" s="198" t="s">
        <v>2272</v>
      </c>
      <c r="Q2877" s="21">
        <v>11.54</v>
      </c>
      <c r="R2877" s="198" t="s">
        <v>2272</v>
      </c>
      <c r="S2877" s="198" t="s">
        <v>2272</v>
      </c>
      <c r="T2877" s="198" t="s">
        <v>2272</v>
      </c>
      <c r="U2877" s="198" t="s">
        <v>2272</v>
      </c>
      <c r="V2877" s="198" t="s">
        <v>2272</v>
      </c>
      <c r="W2877" s="198" t="s">
        <v>2272</v>
      </c>
      <c r="X2877" s="198" t="s">
        <v>2272</v>
      </c>
      <c r="Y2877" s="198" t="s">
        <v>2272</v>
      </c>
      <c r="Z2877" s="198" t="s">
        <v>2272</v>
      </c>
      <c r="AA2877" s="198" t="s">
        <v>34</v>
      </c>
      <c r="AB2877" s="198" t="s">
        <v>37</v>
      </c>
      <c r="AC2877" s="198" t="s">
        <v>63</v>
      </c>
      <c r="AD2877" s="198" t="s">
        <v>7616</v>
      </c>
      <c r="AE2877" s="198"/>
    </row>
    <row r="2878" spans="1:31" ht="41" customHeight="1">
      <c r="A2878" s="4" t="s">
        <v>7609</v>
      </c>
      <c r="B2878" s="4" t="s">
        <v>7614</v>
      </c>
      <c r="C2878" s="198" t="s">
        <v>23</v>
      </c>
      <c r="D2878" s="198" t="s">
        <v>1238</v>
      </c>
      <c r="E2878" s="198" t="s">
        <v>3204</v>
      </c>
      <c r="F2878" s="4" t="s">
        <v>2657</v>
      </c>
      <c r="G2878" s="4" t="s">
        <v>2657</v>
      </c>
      <c r="H2878" s="198" t="s">
        <v>521</v>
      </c>
      <c r="I2878" s="198"/>
      <c r="J2878" s="198" t="s">
        <v>2272</v>
      </c>
      <c r="K2878" s="198" t="s">
        <v>2272</v>
      </c>
      <c r="L2878" s="198" t="s">
        <v>2272</v>
      </c>
      <c r="M2878" s="198" t="s">
        <v>2272</v>
      </c>
      <c r="N2878" s="198" t="s">
        <v>2272</v>
      </c>
      <c r="O2878" s="198" t="s">
        <v>2272</v>
      </c>
      <c r="P2878" s="198" t="s">
        <v>2272</v>
      </c>
      <c r="Q2878" s="21">
        <v>4.93</v>
      </c>
      <c r="R2878" s="198" t="s">
        <v>2272</v>
      </c>
      <c r="S2878" s="198" t="s">
        <v>2272</v>
      </c>
      <c r="T2878" s="198" t="s">
        <v>2272</v>
      </c>
      <c r="U2878" s="198" t="s">
        <v>2272</v>
      </c>
      <c r="V2878" s="198" t="s">
        <v>2272</v>
      </c>
      <c r="W2878" s="198" t="s">
        <v>2272</v>
      </c>
      <c r="X2878" s="198" t="s">
        <v>2272</v>
      </c>
      <c r="Y2878" s="198" t="s">
        <v>2272</v>
      </c>
      <c r="Z2878" s="198" t="s">
        <v>2272</v>
      </c>
      <c r="AA2878" s="198" t="s">
        <v>67</v>
      </c>
      <c r="AB2878" s="198" t="s">
        <v>84</v>
      </c>
      <c r="AC2878" s="198" t="s">
        <v>75</v>
      </c>
      <c r="AD2878" s="4" t="s">
        <v>7617</v>
      </c>
      <c r="AE2878" s="198"/>
    </row>
    <row r="2879" spans="1:31" ht="43.5" customHeight="1">
      <c r="A2879" s="4" t="s">
        <v>7608</v>
      </c>
      <c r="B2879" s="4" t="s">
        <v>7612</v>
      </c>
      <c r="C2879" s="198" t="s">
        <v>23</v>
      </c>
      <c r="D2879" s="198" t="s">
        <v>1238</v>
      </c>
      <c r="E2879" s="198" t="s">
        <v>3204</v>
      </c>
      <c r="F2879" s="4" t="s">
        <v>2657</v>
      </c>
      <c r="G2879" s="4" t="s">
        <v>2657</v>
      </c>
      <c r="H2879" s="198" t="s">
        <v>521</v>
      </c>
      <c r="I2879" s="198"/>
      <c r="J2879" s="198" t="s">
        <v>2272</v>
      </c>
      <c r="K2879" s="198" t="s">
        <v>2272</v>
      </c>
      <c r="L2879" s="198" t="s">
        <v>2272</v>
      </c>
      <c r="M2879" s="198" t="s">
        <v>2272</v>
      </c>
      <c r="N2879" s="198" t="s">
        <v>2272</v>
      </c>
      <c r="O2879" s="198" t="s">
        <v>2272</v>
      </c>
      <c r="P2879" s="198" t="s">
        <v>2272</v>
      </c>
      <c r="Q2879" s="21">
        <v>5.23</v>
      </c>
      <c r="R2879" s="198" t="s">
        <v>2272</v>
      </c>
      <c r="S2879" s="198" t="s">
        <v>2272</v>
      </c>
      <c r="T2879" s="198" t="s">
        <v>2272</v>
      </c>
      <c r="U2879" s="198" t="s">
        <v>2272</v>
      </c>
      <c r="V2879" s="198" t="s">
        <v>2272</v>
      </c>
      <c r="W2879" s="198" t="s">
        <v>2272</v>
      </c>
      <c r="X2879" s="198" t="s">
        <v>2272</v>
      </c>
      <c r="Y2879" s="198" t="s">
        <v>2272</v>
      </c>
      <c r="Z2879" s="198" t="s">
        <v>2272</v>
      </c>
      <c r="AA2879" s="198" t="s">
        <v>34</v>
      </c>
      <c r="AB2879" s="198" t="s">
        <v>37</v>
      </c>
      <c r="AC2879" s="198" t="s">
        <v>63</v>
      </c>
      <c r="AD2879" s="198" t="s">
        <v>7616</v>
      </c>
      <c r="AE2879" s="198"/>
    </row>
    <row r="2880" spans="1:31" ht="38.5" customHeight="1">
      <c r="A2880" s="4" t="s">
        <v>7632</v>
      </c>
      <c r="B2880" s="4" t="s">
        <v>7768</v>
      </c>
      <c r="C2880" s="198" t="s">
        <v>23</v>
      </c>
      <c r="D2880" s="198" t="s">
        <v>1238</v>
      </c>
      <c r="E2880" s="198" t="s">
        <v>3204</v>
      </c>
      <c r="F2880" s="4" t="s">
        <v>2657</v>
      </c>
      <c r="G2880" s="4" t="s">
        <v>2657</v>
      </c>
      <c r="H2880" s="198" t="s">
        <v>521</v>
      </c>
      <c r="I2880" s="198"/>
      <c r="J2880" s="198" t="s">
        <v>2272</v>
      </c>
      <c r="K2880" s="198" t="s">
        <v>2272</v>
      </c>
      <c r="L2880" s="198" t="s">
        <v>2272</v>
      </c>
      <c r="M2880" s="198" t="s">
        <v>2272</v>
      </c>
      <c r="N2880" s="198" t="s">
        <v>2272</v>
      </c>
      <c r="O2880" s="198" t="s">
        <v>2272</v>
      </c>
      <c r="P2880" s="198" t="s">
        <v>2272</v>
      </c>
      <c r="Q2880" s="21">
        <v>34.51</v>
      </c>
      <c r="R2880" s="198" t="s">
        <v>2272</v>
      </c>
      <c r="S2880" s="198" t="s">
        <v>2272</v>
      </c>
      <c r="T2880" s="198" t="s">
        <v>2272</v>
      </c>
      <c r="U2880" s="21">
        <f>1631087/13</f>
        <v>125468.23076923077</v>
      </c>
      <c r="V2880" s="198" t="s">
        <v>2272</v>
      </c>
      <c r="W2880" s="198" t="s">
        <v>2272</v>
      </c>
      <c r="X2880" s="198" t="s">
        <v>2272</v>
      </c>
      <c r="Y2880" s="21">
        <f>U2880/'Record info'!K$1155</f>
        <v>1.6371240241719318E-3</v>
      </c>
      <c r="Z2880" s="198" t="s">
        <v>2272</v>
      </c>
      <c r="AA2880" s="198" t="s">
        <v>2272</v>
      </c>
      <c r="AB2880" s="198" t="s">
        <v>2272</v>
      </c>
      <c r="AC2880" s="198" t="s">
        <v>2272</v>
      </c>
      <c r="AD2880" s="198" t="s">
        <v>7770</v>
      </c>
      <c r="AE2880" s="198"/>
    </row>
    <row r="2881" spans="1:31" ht="37.5" customHeight="1">
      <c r="A2881" s="4" t="s">
        <v>7632</v>
      </c>
      <c r="B2881" s="4" t="s">
        <v>7769</v>
      </c>
      <c r="C2881" s="198" t="s">
        <v>23</v>
      </c>
      <c r="D2881" s="198" t="s">
        <v>1238</v>
      </c>
      <c r="E2881" s="198" t="s">
        <v>3204</v>
      </c>
      <c r="F2881" s="4" t="s">
        <v>73</v>
      </c>
      <c r="G2881" s="4" t="s">
        <v>73</v>
      </c>
      <c r="H2881" s="198" t="s">
        <v>521</v>
      </c>
      <c r="I2881" s="98"/>
      <c r="J2881" s="198" t="s">
        <v>2272</v>
      </c>
      <c r="K2881" s="198" t="s">
        <v>2272</v>
      </c>
      <c r="L2881" s="198" t="s">
        <v>2272</v>
      </c>
      <c r="M2881" s="198" t="s">
        <v>2272</v>
      </c>
      <c r="N2881" s="198" t="s">
        <v>2272</v>
      </c>
      <c r="O2881" s="198" t="s">
        <v>2272</v>
      </c>
      <c r="P2881" s="198" t="s">
        <v>2272</v>
      </c>
      <c r="Q2881" s="21">
        <v>11.42</v>
      </c>
      <c r="R2881" s="198" t="s">
        <v>2272</v>
      </c>
      <c r="S2881" s="198" t="s">
        <v>2272</v>
      </c>
      <c r="T2881" s="198" t="s">
        <v>2272</v>
      </c>
      <c r="U2881" s="21">
        <f>107311/13</f>
        <v>8254.6923076923085</v>
      </c>
      <c r="V2881" s="198" t="s">
        <v>2272</v>
      </c>
      <c r="W2881" s="198" t="s">
        <v>2272</v>
      </c>
      <c r="X2881" s="198" t="s">
        <v>2272</v>
      </c>
      <c r="Y2881" s="21">
        <f>U2881/'Record info'!K$1155</f>
        <v>1.0770818243166318E-4</v>
      </c>
      <c r="Z2881" s="198" t="s">
        <v>2272</v>
      </c>
      <c r="AA2881" s="198" t="s">
        <v>2272</v>
      </c>
      <c r="AB2881" s="198" t="s">
        <v>2272</v>
      </c>
      <c r="AC2881" s="198" t="s">
        <v>2272</v>
      </c>
      <c r="AD2881" s="198" t="s">
        <v>7771</v>
      </c>
      <c r="AE2881" s="198"/>
    </row>
    <row r="2882" spans="1:31" ht="33.5" customHeight="1">
      <c r="A2882" s="4" t="s">
        <v>7633</v>
      </c>
      <c r="B2882" s="198" t="s">
        <v>7774</v>
      </c>
      <c r="C2882" s="198" t="s">
        <v>23</v>
      </c>
      <c r="D2882" s="198" t="s">
        <v>1238</v>
      </c>
      <c r="E2882" s="198" t="s">
        <v>3204</v>
      </c>
      <c r="F2882" s="4" t="s">
        <v>2272</v>
      </c>
      <c r="G2882" s="4" t="s">
        <v>2272</v>
      </c>
      <c r="H2882" s="198" t="s">
        <v>521</v>
      </c>
      <c r="I2882" s="98"/>
      <c r="J2882" s="198" t="s">
        <v>2272</v>
      </c>
      <c r="K2882" s="198" t="s">
        <v>2272</v>
      </c>
      <c r="L2882" s="198" t="s">
        <v>2272</v>
      </c>
      <c r="M2882" s="198" t="s">
        <v>2272</v>
      </c>
      <c r="N2882" s="198" t="s">
        <v>2272</v>
      </c>
      <c r="O2882" s="198" t="s">
        <v>2272</v>
      </c>
      <c r="P2882" s="198" t="s">
        <v>2272</v>
      </c>
      <c r="Q2882" s="198" t="s">
        <v>2272</v>
      </c>
      <c r="R2882" s="198" t="s">
        <v>2272</v>
      </c>
      <c r="S2882" s="198" t="s">
        <v>2272</v>
      </c>
      <c r="T2882" s="198" t="s">
        <v>2272</v>
      </c>
      <c r="U2882" s="198" t="s">
        <v>2272</v>
      </c>
      <c r="V2882" s="198" t="s">
        <v>2272</v>
      </c>
      <c r="W2882" s="198" t="s">
        <v>2272</v>
      </c>
      <c r="X2882" s="198" t="s">
        <v>2272</v>
      </c>
      <c r="Y2882" s="198" t="s">
        <v>2272</v>
      </c>
      <c r="Z2882" s="198" t="s">
        <v>2272</v>
      </c>
      <c r="AA2882" s="198" t="s">
        <v>2272</v>
      </c>
      <c r="AB2882" s="198" t="s">
        <v>2272</v>
      </c>
      <c r="AC2882" s="198" t="s">
        <v>2272</v>
      </c>
      <c r="AD2882" s="198"/>
      <c r="AE2882" s="198"/>
    </row>
    <row r="2883" spans="1:31" ht="33.5" customHeight="1">
      <c r="A2883" s="4" t="s">
        <v>7634</v>
      </c>
      <c r="B2883" s="198" t="s">
        <v>7775</v>
      </c>
      <c r="C2883" s="198" t="s">
        <v>23</v>
      </c>
      <c r="D2883" s="198" t="s">
        <v>1238</v>
      </c>
      <c r="E2883" s="198" t="s">
        <v>3204</v>
      </c>
      <c r="F2883" s="4" t="s">
        <v>2272</v>
      </c>
      <c r="G2883" s="4" t="s">
        <v>2272</v>
      </c>
      <c r="H2883" s="198" t="s">
        <v>521</v>
      </c>
      <c r="I2883" s="98"/>
      <c r="J2883" s="198" t="s">
        <v>2272</v>
      </c>
      <c r="K2883" s="198" t="s">
        <v>2272</v>
      </c>
      <c r="L2883" s="198" t="s">
        <v>2272</v>
      </c>
      <c r="M2883" s="198" t="s">
        <v>2272</v>
      </c>
      <c r="N2883" s="198" t="s">
        <v>2272</v>
      </c>
      <c r="O2883" s="198" t="s">
        <v>2272</v>
      </c>
      <c r="P2883" s="198" t="s">
        <v>2272</v>
      </c>
      <c r="Q2883" s="198" t="s">
        <v>2272</v>
      </c>
      <c r="R2883" s="198" t="s">
        <v>2272</v>
      </c>
      <c r="S2883" s="198" t="s">
        <v>2272</v>
      </c>
      <c r="T2883" s="198" t="s">
        <v>2272</v>
      </c>
      <c r="U2883" s="198" t="s">
        <v>2272</v>
      </c>
      <c r="V2883" s="198" t="s">
        <v>2272</v>
      </c>
      <c r="W2883" s="198" t="s">
        <v>2272</v>
      </c>
      <c r="X2883" s="198" t="s">
        <v>2272</v>
      </c>
      <c r="Y2883" s="198" t="s">
        <v>2272</v>
      </c>
      <c r="Z2883" s="198" t="s">
        <v>2272</v>
      </c>
      <c r="AA2883" s="198" t="s">
        <v>2272</v>
      </c>
      <c r="AB2883" s="198" t="s">
        <v>2272</v>
      </c>
      <c r="AC2883" s="198" t="s">
        <v>2272</v>
      </c>
      <c r="AD2883" s="198"/>
      <c r="AE2883" s="198"/>
    </row>
    <row r="2884" spans="1:31" ht="33.5" customHeight="1">
      <c r="A2884" s="4" t="s">
        <v>7635</v>
      </c>
      <c r="B2884" s="198" t="s">
        <v>7776</v>
      </c>
      <c r="C2884" s="198" t="s">
        <v>23</v>
      </c>
      <c r="D2884" s="198" t="s">
        <v>1238</v>
      </c>
      <c r="E2884" s="198" t="s">
        <v>3204</v>
      </c>
      <c r="F2884" s="4" t="s">
        <v>2272</v>
      </c>
      <c r="G2884" s="4" t="s">
        <v>2272</v>
      </c>
      <c r="H2884" s="198" t="s">
        <v>521</v>
      </c>
      <c r="I2884" s="98"/>
      <c r="J2884" s="198" t="s">
        <v>2272</v>
      </c>
      <c r="K2884" s="198" t="s">
        <v>2272</v>
      </c>
      <c r="L2884" s="198" t="s">
        <v>2272</v>
      </c>
      <c r="M2884" s="198" t="s">
        <v>2272</v>
      </c>
      <c r="N2884" s="198" t="s">
        <v>2272</v>
      </c>
      <c r="O2884" s="198" t="s">
        <v>2272</v>
      </c>
      <c r="P2884" s="198" t="s">
        <v>2272</v>
      </c>
      <c r="Q2884" s="198" t="s">
        <v>2272</v>
      </c>
      <c r="R2884" s="198" t="s">
        <v>2272</v>
      </c>
      <c r="S2884" s="198" t="s">
        <v>2272</v>
      </c>
      <c r="T2884" s="198" t="s">
        <v>2272</v>
      </c>
      <c r="U2884" s="198" t="s">
        <v>2272</v>
      </c>
      <c r="V2884" s="198" t="s">
        <v>2272</v>
      </c>
      <c r="W2884" s="198" t="s">
        <v>2272</v>
      </c>
      <c r="X2884" s="198" t="s">
        <v>2272</v>
      </c>
      <c r="Y2884" s="198" t="s">
        <v>2272</v>
      </c>
      <c r="Z2884" s="198" t="s">
        <v>2272</v>
      </c>
      <c r="AA2884" s="198" t="s">
        <v>2272</v>
      </c>
      <c r="AB2884" s="198" t="s">
        <v>2272</v>
      </c>
      <c r="AC2884" s="198" t="s">
        <v>2272</v>
      </c>
      <c r="AD2884" s="198"/>
      <c r="AE2884" s="198"/>
    </row>
    <row r="2885" spans="1:31" ht="33.5" customHeight="1">
      <c r="A2885" s="4" t="s">
        <v>7636</v>
      </c>
      <c r="B2885" s="198" t="s">
        <v>7777</v>
      </c>
      <c r="C2885" s="198" t="s">
        <v>23</v>
      </c>
      <c r="D2885" s="198" t="s">
        <v>1238</v>
      </c>
      <c r="E2885" s="198" t="s">
        <v>3204</v>
      </c>
      <c r="F2885" s="4" t="s">
        <v>2272</v>
      </c>
      <c r="G2885" s="4" t="s">
        <v>2272</v>
      </c>
      <c r="H2885" s="198" t="s">
        <v>521</v>
      </c>
      <c r="I2885" s="98"/>
      <c r="J2885" s="198" t="s">
        <v>2272</v>
      </c>
      <c r="K2885" s="198" t="s">
        <v>2272</v>
      </c>
      <c r="L2885" s="198" t="s">
        <v>2272</v>
      </c>
      <c r="M2885" s="198" t="s">
        <v>2272</v>
      </c>
      <c r="N2885" s="198" t="s">
        <v>2272</v>
      </c>
      <c r="O2885" s="198" t="s">
        <v>2272</v>
      </c>
      <c r="P2885" s="198" t="s">
        <v>2272</v>
      </c>
      <c r="Q2885" s="198" t="s">
        <v>2272</v>
      </c>
      <c r="R2885" s="198" t="s">
        <v>2272</v>
      </c>
      <c r="S2885" s="198" t="s">
        <v>2272</v>
      </c>
      <c r="T2885" s="198" t="s">
        <v>2272</v>
      </c>
      <c r="U2885" s="198" t="s">
        <v>2272</v>
      </c>
      <c r="V2885" s="198" t="s">
        <v>2272</v>
      </c>
      <c r="W2885" s="198" t="s">
        <v>2272</v>
      </c>
      <c r="X2885" s="198" t="s">
        <v>2272</v>
      </c>
      <c r="Y2885" s="198" t="s">
        <v>2272</v>
      </c>
      <c r="Z2885" s="198" t="s">
        <v>2272</v>
      </c>
      <c r="AA2885" s="198" t="s">
        <v>2272</v>
      </c>
      <c r="AB2885" s="198" t="s">
        <v>2272</v>
      </c>
      <c r="AC2885" s="198" t="s">
        <v>2272</v>
      </c>
      <c r="AD2885" s="198"/>
      <c r="AE2885" s="198"/>
    </row>
    <row r="2886" spans="1:31" ht="33.5" customHeight="1">
      <c r="A2886" s="4" t="s">
        <v>7637</v>
      </c>
      <c r="B2886" s="198" t="s">
        <v>7778</v>
      </c>
      <c r="C2886" s="198" t="s">
        <v>23</v>
      </c>
      <c r="D2886" s="198" t="s">
        <v>1238</v>
      </c>
      <c r="E2886" s="198" t="s">
        <v>3204</v>
      </c>
      <c r="F2886" s="4" t="s">
        <v>2272</v>
      </c>
      <c r="G2886" s="4" t="s">
        <v>2272</v>
      </c>
      <c r="H2886" s="198" t="s">
        <v>521</v>
      </c>
      <c r="I2886" s="98"/>
      <c r="J2886" s="198" t="s">
        <v>2272</v>
      </c>
      <c r="K2886" s="198" t="s">
        <v>2272</v>
      </c>
      <c r="L2886" s="198" t="s">
        <v>2272</v>
      </c>
      <c r="M2886" s="198" t="s">
        <v>2272</v>
      </c>
      <c r="N2886" s="198" t="s">
        <v>2272</v>
      </c>
      <c r="O2886" s="198" t="s">
        <v>2272</v>
      </c>
      <c r="P2886" s="198" t="s">
        <v>2272</v>
      </c>
      <c r="Q2886" s="198" t="s">
        <v>2272</v>
      </c>
      <c r="R2886" s="198" t="s">
        <v>2272</v>
      </c>
      <c r="S2886" s="198" t="s">
        <v>2272</v>
      </c>
      <c r="T2886" s="198" t="s">
        <v>2272</v>
      </c>
      <c r="U2886" s="198" t="s">
        <v>2272</v>
      </c>
      <c r="V2886" s="198" t="s">
        <v>2272</v>
      </c>
      <c r="W2886" s="198" t="s">
        <v>2272</v>
      </c>
      <c r="X2886" s="198" t="s">
        <v>2272</v>
      </c>
      <c r="Y2886" s="198" t="s">
        <v>2272</v>
      </c>
      <c r="Z2886" s="198" t="s">
        <v>2272</v>
      </c>
      <c r="AA2886" s="198" t="s">
        <v>2272</v>
      </c>
      <c r="AB2886" s="198" t="s">
        <v>2272</v>
      </c>
      <c r="AC2886" s="198" t="s">
        <v>2272</v>
      </c>
      <c r="AD2886" s="198"/>
      <c r="AE2886" s="198"/>
    </row>
    <row r="2887" spans="1:31" ht="33.5" customHeight="1">
      <c r="A2887" s="4" t="s">
        <v>7638</v>
      </c>
      <c r="B2887" s="198" t="s">
        <v>7779</v>
      </c>
      <c r="C2887" s="198" t="s">
        <v>23</v>
      </c>
      <c r="D2887" s="198" t="s">
        <v>1238</v>
      </c>
      <c r="E2887" s="198" t="s">
        <v>3204</v>
      </c>
      <c r="F2887" s="4" t="s">
        <v>2272</v>
      </c>
      <c r="G2887" s="4" t="s">
        <v>2272</v>
      </c>
      <c r="H2887" s="198" t="s">
        <v>521</v>
      </c>
      <c r="I2887" s="98"/>
      <c r="J2887" s="198" t="s">
        <v>2272</v>
      </c>
      <c r="K2887" s="198" t="s">
        <v>2272</v>
      </c>
      <c r="L2887" s="198" t="s">
        <v>2272</v>
      </c>
      <c r="M2887" s="198" t="s">
        <v>2272</v>
      </c>
      <c r="N2887" s="198" t="s">
        <v>2272</v>
      </c>
      <c r="O2887" s="198" t="s">
        <v>2272</v>
      </c>
      <c r="P2887" s="198" t="s">
        <v>2272</v>
      </c>
      <c r="Q2887" s="198" t="s">
        <v>2272</v>
      </c>
      <c r="R2887" s="198" t="s">
        <v>2272</v>
      </c>
      <c r="S2887" s="198" t="s">
        <v>2272</v>
      </c>
      <c r="T2887" s="198" t="s">
        <v>2272</v>
      </c>
      <c r="U2887" s="198" t="s">
        <v>2272</v>
      </c>
      <c r="V2887" s="198" t="s">
        <v>2272</v>
      </c>
      <c r="W2887" s="198" t="s">
        <v>2272</v>
      </c>
      <c r="X2887" s="198" t="s">
        <v>2272</v>
      </c>
      <c r="Y2887" s="198" t="s">
        <v>2272</v>
      </c>
      <c r="Z2887" s="198" t="s">
        <v>2272</v>
      </c>
      <c r="AA2887" s="198" t="s">
        <v>2272</v>
      </c>
      <c r="AB2887" s="198" t="s">
        <v>2272</v>
      </c>
      <c r="AC2887" s="198" t="s">
        <v>2272</v>
      </c>
      <c r="AD2887" s="198"/>
      <c r="AE2887" s="198"/>
    </row>
    <row r="2888" spans="1:31" ht="33.5" customHeight="1">
      <c r="A2888" s="4" t="s">
        <v>7639</v>
      </c>
      <c r="B2888" s="198" t="s">
        <v>7780</v>
      </c>
      <c r="C2888" s="198" t="s">
        <v>23</v>
      </c>
      <c r="D2888" s="198" t="s">
        <v>1238</v>
      </c>
      <c r="E2888" s="198" t="s">
        <v>3204</v>
      </c>
      <c r="F2888" s="4" t="s">
        <v>2272</v>
      </c>
      <c r="G2888" s="4" t="s">
        <v>2272</v>
      </c>
      <c r="H2888" s="198" t="s">
        <v>521</v>
      </c>
      <c r="I2888" s="98"/>
      <c r="J2888" s="198" t="s">
        <v>2272</v>
      </c>
      <c r="K2888" s="198" t="s">
        <v>2272</v>
      </c>
      <c r="L2888" s="198" t="s">
        <v>2272</v>
      </c>
      <c r="M2888" s="198" t="s">
        <v>2272</v>
      </c>
      <c r="N2888" s="198" t="s">
        <v>2272</v>
      </c>
      <c r="O2888" s="198" t="s">
        <v>2272</v>
      </c>
      <c r="P2888" s="198" t="s">
        <v>2272</v>
      </c>
      <c r="Q2888" s="198" t="s">
        <v>2272</v>
      </c>
      <c r="R2888" s="198" t="s">
        <v>2272</v>
      </c>
      <c r="S2888" s="198" t="s">
        <v>2272</v>
      </c>
      <c r="T2888" s="198" t="s">
        <v>2272</v>
      </c>
      <c r="U2888" s="198" t="s">
        <v>2272</v>
      </c>
      <c r="V2888" s="198" t="s">
        <v>2272</v>
      </c>
      <c r="W2888" s="198" t="s">
        <v>2272</v>
      </c>
      <c r="X2888" s="198" t="s">
        <v>2272</v>
      </c>
      <c r="Y2888" s="198" t="s">
        <v>2272</v>
      </c>
      <c r="Z2888" s="198" t="s">
        <v>2272</v>
      </c>
      <c r="AA2888" s="198" t="s">
        <v>2272</v>
      </c>
      <c r="AB2888" s="198" t="s">
        <v>2272</v>
      </c>
      <c r="AC2888" s="198" t="s">
        <v>2272</v>
      </c>
      <c r="AD2888" s="198"/>
      <c r="AE2888" s="198"/>
    </row>
    <row r="2889" spans="1:31" ht="33.5" customHeight="1">
      <c r="A2889" s="4" t="s">
        <v>7640</v>
      </c>
      <c r="B2889" s="198" t="s">
        <v>7781</v>
      </c>
      <c r="C2889" s="198" t="s">
        <v>23</v>
      </c>
      <c r="D2889" s="198" t="s">
        <v>1238</v>
      </c>
      <c r="E2889" s="198" t="s">
        <v>3204</v>
      </c>
      <c r="F2889" s="4" t="s">
        <v>2272</v>
      </c>
      <c r="G2889" s="4" t="s">
        <v>2272</v>
      </c>
      <c r="H2889" s="198" t="s">
        <v>521</v>
      </c>
      <c r="I2889" s="98"/>
      <c r="J2889" s="198" t="s">
        <v>2272</v>
      </c>
      <c r="K2889" s="198" t="s">
        <v>2272</v>
      </c>
      <c r="L2889" s="198" t="s">
        <v>2272</v>
      </c>
      <c r="M2889" s="198" t="s">
        <v>2272</v>
      </c>
      <c r="N2889" s="198" t="s">
        <v>2272</v>
      </c>
      <c r="O2889" s="198" t="s">
        <v>2272</v>
      </c>
      <c r="P2889" s="198" t="s">
        <v>2272</v>
      </c>
      <c r="Q2889" s="198" t="s">
        <v>2272</v>
      </c>
      <c r="R2889" s="198" t="s">
        <v>2272</v>
      </c>
      <c r="S2889" s="198" t="s">
        <v>2272</v>
      </c>
      <c r="T2889" s="198" t="s">
        <v>2272</v>
      </c>
      <c r="U2889" s="198" t="s">
        <v>2272</v>
      </c>
      <c r="V2889" s="198" t="s">
        <v>2272</v>
      </c>
      <c r="W2889" s="198" t="s">
        <v>2272</v>
      </c>
      <c r="X2889" s="198" t="s">
        <v>2272</v>
      </c>
      <c r="Y2889" s="198" t="s">
        <v>2272</v>
      </c>
      <c r="Z2889" s="198" t="s">
        <v>2272</v>
      </c>
      <c r="AA2889" s="198" t="s">
        <v>2272</v>
      </c>
      <c r="AB2889" s="198" t="s">
        <v>2272</v>
      </c>
      <c r="AC2889" s="198" t="s">
        <v>2272</v>
      </c>
      <c r="AD2889" s="198"/>
      <c r="AE2889" s="198"/>
    </row>
    <row r="2890" spans="1:31" ht="33.5" customHeight="1">
      <c r="A2890" s="4" t="s">
        <v>7641</v>
      </c>
      <c r="B2890" s="198" t="s">
        <v>7782</v>
      </c>
      <c r="C2890" s="198" t="s">
        <v>23</v>
      </c>
      <c r="D2890" s="198" t="s">
        <v>1238</v>
      </c>
      <c r="E2890" s="198" t="s">
        <v>3204</v>
      </c>
      <c r="F2890" s="4" t="s">
        <v>2272</v>
      </c>
      <c r="G2890" s="4" t="s">
        <v>2272</v>
      </c>
      <c r="H2890" s="198" t="s">
        <v>521</v>
      </c>
      <c r="I2890" s="98"/>
      <c r="J2890" s="198" t="s">
        <v>2272</v>
      </c>
      <c r="K2890" s="198" t="s">
        <v>2272</v>
      </c>
      <c r="L2890" s="198" t="s">
        <v>2272</v>
      </c>
      <c r="M2890" s="198" t="s">
        <v>2272</v>
      </c>
      <c r="N2890" s="198" t="s">
        <v>2272</v>
      </c>
      <c r="O2890" s="198" t="s">
        <v>2272</v>
      </c>
      <c r="P2890" s="198" t="s">
        <v>2272</v>
      </c>
      <c r="Q2890" s="198" t="s">
        <v>2272</v>
      </c>
      <c r="R2890" s="198" t="s">
        <v>2272</v>
      </c>
      <c r="S2890" s="198" t="s">
        <v>2272</v>
      </c>
      <c r="T2890" s="198" t="s">
        <v>2272</v>
      </c>
      <c r="U2890" s="198" t="s">
        <v>2272</v>
      </c>
      <c r="V2890" s="198" t="s">
        <v>2272</v>
      </c>
      <c r="W2890" s="198" t="s">
        <v>2272</v>
      </c>
      <c r="X2890" s="198" t="s">
        <v>2272</v>
      </c>
      <c r="Y2890" s="198" t="s">
        <v>2272</v>
      </c>
      <c r="Z2890" s="198" t="s">
        <v>2272</v>
      </c>
      <c r="AA2890" s="198" t="s">
        <v>2272</v>
      </c>
      <c r="AB2890" s="198" t="s">
        <v>2272</v>
      </c>
      <c r="AC2890" s="198" t="s">
        <v>2272</v>
      </c>
      <c r="AD2890" s="198"/>
      <c r="AE2890" s="198"/>
    </row>
    <row r="2891" spans="1:31" ht="33.5" customHeight="1">
      <c r="A2891" s="4" t="s">
        <v>7642</v>
      </c>
      <c r="B2891" s="198" t="s">
        <v>7783</v>
      </c>
      <c r="C2891" s="198" t="s">
        <v>23</v>
      </c>
      <c r="D2891" s="198" t="s">
        <v>1238</v>
      </c>
      <c r="E2891" s="198" t="s">
        <v>3204</v>
      </c>
      <c r="F2891" s="4" t="s">
        <v>2272</v>
      </c>
      <c r="G2891" s="4" t="s">
        <v>2272</v>
      </c>
      <c r="H2891" s="198" t="s">
        <v>521</v>
      </c>
      <c r="I2891" s="98"/>
      <c r="J2891" s="198" t="s">
        <v>2272</v>
      </c>
      <c r="K2891" s="198" t="s">
        <v>2272</v>
      </c>
      <c r="L2891" s="198" t="s">
        <v>2272</v>
      </c>
      <c r="M2891" s="198" t="s">
        <v>2272</v>
      </c>
      <c r="N2891" s="198" t="s">
        <v>2272</v>
      </c>
      <c r="O2891" s="198" t="s">
        <v>2272</v>
      </c>
      <c r="P2891" s="198" t="s">
        <v>2272</v>
      </c>
      <c r="Q2891" s="198" t="s">
        <v>2272</v>
      </c>
      <c r="R2891" s="198" t="s">
        <v>2272</v>
      </c>
      <c r="S2891" s="198" t="s">
        <v>2272</v>
      </c>
      <c r="T2891" s="198" t="s">
        <v>2272</v>
      </c>
      <c r="U2891" s="198" t="s">
        <v>2272</v>
      </c>
      <c r="V2891" s="198" t="s">
        <v>2272</v>
      </c>
      <c r="W2891" s="198" t="s">
        <v>2272</v>
      </c>
      <c r="X2891" s="198" t="s">
        <v>2272</v>
      </c>
      <c r="Y2891" s="198" t="s">
        <v>2272</v>
      </c>
      <c r="Z2891" s="198" t="s">
        <v>2272</v>
      </c>
      <c r="AA2891" s="198" t="s">
        <v>2272</v>
      </c>
      <c r="AB2891" s="198" t="s">
        <v>2272</v>
      </c>
      <c r="AC2891" s="198" t="s">
        <v>2272</v>
      </c>
      <c r="AD2891" s="198"/>
      <c r="AE2891" s="198"/>
    </row>
    <row r="2892" spans="1:31" ht="33.5" customHeight="1">
      <c r="A2892" s="4" t="s">
        <v>7643</v>
      </c>
      <c r="B2892" s="198" t="s">
        <v>7784</v>
      </c>
      <c r="C2892" s="198" t="s">
        <v>23</v>
      </c>
      <c r="D2892" s="198" t="s">
        <v>1238</v>
      </c>
      <c r="E2892" s="198" t="s">
        <v>3204</v>
      </c>
      <c r="F2892" s="4" t="s">
        <v>2272</v>
      </c>
      <c r="G2892" s="4" t="s">
        <v>2272</v>
      </c>
      <c r="H2892" s="198" t="s">
        <v>521</v>
      </c>
      <c r="I2892" s="98"/>
      <c r="J2892" s="198" t="s">
        <v>2272</v>
      </c>
      <c r="K2892" s="198" t="s">
        <v>2272</v>
      </c>
      <c r="L2892" s="198" t="s">
        <v>2272</v>
      </c>
      <c r="M2892" s="198" t="s">
        <v>2272</v>
      </c>
      <c r="N2892" s="198" t="s">
        <v>2272</v>
      </c>
      <c r="O2892" s="198" t="s">
        <v>2272</v>
      </c>
      <c r="P2892" s="198" t="s">
        <v>2272</v>
      </c>
      <c r="Q2892" s="198" t="s">
        <v>2272</v>
      </c>
      <c r="R2892" s="198" t="s">
        <v>2272</v>
      </c>
      <c r="S2892" s="198" t="s">
        <v>2272</v>
      </c>
      <c r="T2892" s="198" t="s">
        <v>2272</v>
      </c>
      <c r="U2892" s="198" t="s">
        <v>2272</v>
      </c>
      <c r="V2892" s="198" t="s">
        <v>2272</v>
      </c>
      <c r="W2892" s="198" t="s">
        <v>2272</v>
      </c>
      <c r="X2892" s="198" t="s">
        <v>2272</v>
      </c>
      <c r="Y2892" s="198" t="s">
        <v>2272</v>
      </c>
      <c r="Z2892" s="198" t="s">
        <v>2272</v>
      </c>
      <c r="AA2892" s="198" t="s">
        <v>2272</v>
      </c>
      <c r="AB2892" s="198" t="s">
        <v>2272</v>
      </c>
      <c r="AC2892" s="198" t="s">
        <v>2272</v>
      </c>
      <c r="AD2892" s="198"/>
      <c r="AE2892" s="198"/>
    </row>
    <row r="2893" spans="1:31" ht="33.5" customHeight="1">
      <c r="A2893" s="4" t="s">
        <v>7644</v>
      </c>
      <c r="B2893" s="198" t="s">
        <v>7785</v>
      </c>
      <c r="C2893" s="198" t="s">
        <v>23</v>
      </c>
      <c r="D2893" s="198" t="s">
        <v>1238</v>
      </c>
      <c r="E2893" s="198" t="s">
        <v>3204</v>
      </c>
      <c r="F2893" s="4" t="s">
        <v>2272</v>
      </c>
      <c r="G2893" s="4" t="s">
        <v>2272</v>
      </c>
      <c r="H2893" s="198" t="s">
        <v>521</v>
      </c>
      <c r="I2893" s="98"/>
      <c r="J2893" s="198" t="s">
        <v>2272</v>
      </c>
      <c r="K2893" s="198" t="s">
        <v>2272</v>
      </c>
      <c r="L2893" s="198" t="s">
        <v>2272</v>
      </c>
      <c r="M2893" s="198" t="s">
        <v>2272</v>
      </c>
      <c r="N2893" s="198" t="s">
        <v>2272</v>
      </c>
      <c r="O2893" s="198" t="s">
        <v>2272</v>
      </c>
      <c r="P2893" s="198" t="s">
        <v>2272</v>
      </c>
      <c r="Q2893" s="198" t="s">
        <v>2272</v>
      </c>
      <c r="R2893" s="198" t="s">
        <v>2272</v>
      </c>
      <c r="S2893" s="198" t="s">
        <v>2272</v>
      </c>
      <c r="T2893" s="198" t="s">
        <v>2272</v>
      </c>
      <c r="U2893" s="198" t="s">
        <v>2272</v>
      </c>
      <c r="V2893" s="198" t="s">
        <v>2272</v>
      </c>
      <c r="W2893" s="198" t="s">
        <v>2272</v>
      </c>
      <c r="X2893" s="198" t="s">
        <v>2272</v>
      </c>
      <c r="Y2893" s="198" t="s">
        <v>2272</v>
      </c>
      <c r="Z2893" s="198" t="s">
        <v>2272</v>
      </c>
      <c r="AA2893" s="198" t="s">
        <v>2272</v>
      </c>
      <c r="AB2893" s="198" t="s">
        <v>2272</v>
      </c>
      <c r="AC2893" s="198" t="s">
        <v>2272</v>
      </c>
      <c r="AD2893" s="198"/>
      <c r="AE2893" s="198"/>
    </row>
    <row r="2894" spans="1:31" ht="33.5" customHeight="1">
      <c r="A2894" s="4" t="s">
        <v>7645</v>
      </c>
      <c r="B2894" s="198" t="s">
        <v>7786</v>
      </c>
      <c r="C2894" s="198" t="s">
        <v>23</v>
      </c>
      <c r="D2894" s="198" t="s">
        <v>1238</v>
      </c>
      <c r="E2894" s="198" t="s">
        <v>3204</v>
      </c>
      <c r="F2894" s="4" t="s">
        <v>2272</v>
      </c>
      <c r="G2894" s="4" t="s">
        <v>2272</v>
      </c>
      <c r="H2894" s="198" t="s">
        <v>521</v>
      </c>
      <c r="I2894" s="98"/>
      <c r="J2894" s="198" t="s">
        <v>2272</v>
      </c>
      <c r="K2894" s="198" t="s">
        <v>2272</v>
      </c>
      <c r="L2894" s="198" t="s">
        <v>2272</v>
      </c>
      <c r="M2894" s="198" t="s">
        <v>2272</v>
      </c>
      <c r="N2894" s="198" t="s">
        <v>2272</v>
      </c>
      <c r="O2894" s="198" t="s">
        <v>2272</v>
      </c>
      <c r="P2894" s="198" t="s">
        <v>2272</v>
      </c>
      <c r="Q2894" s="198" t="s">
        <v>2272</v>
      </c>
      <c r="R2894" s="198" t="s">
        <v>2272</v>
      </c>
      <c r="S2894" s="198" t="s">
        <v>2272</v>
      </c>
      <c r="T2894" s="198" t="s">
        <v>2272</v>
      </c>
      <c r="U2894" s="198" t="s">
        <v>2272</v>
      </c>
      <c r="V2894" s="198" t="s">
        <v>2272</v>
      </c>
      <c r="W2894" s="198" t="s">
        <v>2272</v>
      </c>
      <c r="X2894" s="198" t="s">
        <v>2272</v>
      </c>
      <c r="Y2894" s="198" t="s">
        <v>2272</v>
      </c>
      <c r="Z2894" s="198" t="s">
        <v>2272</v>
      </c>
      <c r="AA2894" s="198" t="s">
        <v>2272</v>
      </c>
      <c r="AB2894" s="198" t="s">
        <v>2272</v>
      </c>
      <c r="AC2894" s="198" t="s">
        <v>2272</v>
      </c>
      <c r="AD2894" s="198"/>
      <c r="AE2894" s="198"/>
    </row>
    <row r="2895" spans="1:31" ht="33.5" customHeight="1">
      <c r="A2895" s="4" t="s">
        <v>7646</v>
      </c>
      <c r="B2895" s="198" t="s">
        <v>7787</v>
      </c>
      <c r="C2895" s="198" t="s">
        <v>23</v>
      </c>
      <c r="D2895" s="198" t="s">
        <v>1238</v>
      </c>
      <c r="E2895" s="198" t="s">
        <v>3204</v>
      </c>
      <c r="F2895" s="4" t="s">
        <v>2272</v>
      </c>
      <c r="G2895" s="4" t="s">
        <v>2272</v>
      </c>
      <c r="H2895" s="198" t="s">
        <v>521</v>
      </c>
      <c r="I2895" s="98"/>
      <c r="J2895" s="198" t="s">
        <v>2272</v>
      </c>
      <c r="K2895" s="198" t="s">
        <v>2272</v>
      </c>
      <c r="L2895" s="198" t="s">
        <v>2272</v>
      </c>
      <c r="M2895" s="198" t="s">
        <v>2272</v>
      </c>
      <c r="N2895" s="198" t="s">
        <v>2272</v>
      </c>
      <c r="O2895" s="198" t="s">
        <v>2272</v>
      </c>
      <c r="P2895" s="198" t="s">
        <v>2272</v>
      </c>
      <c r="Q2895" s="198" t="s">
        <v>2272</v>
      </c>
      <c r="R2895" s="198" t="s">
        <v>2272</v>
      </c>
      <c r="S2895" s="198" t="s">
        <v>2272</v>
      </c>
      <c r="T2895" s="198" t="s">
        <v>2272</v>
      </c>
      <c r="U2895" s="198" t="s">
        <v>2272</v>
      </c>
      <c r="V2895" s="198" t="s">
        <v>2272</v>
      </c>
      <c r="W2895" s="198" t="s">
        <v>2272</v>
      </c>
      <c r="X2895" s="198" t="s">
        <v>2272</v>
      </c>
      <c r="Y2895" s="198" t="s">
        <v>2272</v>
      </c>
      <c r="Z2895" s="198" t="s">
        <v>2272</v>
      </c>
      <c r="AA2895" s="198" t="s">
        <v>2272</v>
      </c>
      <c r="AB2895" s="198" t="s">
        <v>2272</v>
      </c>
      <c r="AC2895" s="198" t="s">
        <v>2272</v>
      </c>
      <c r="AD2895" s="198"/>
      <c r="AE2895" s="198"/>
    </row>
    <row r="2896" spans="1:31" ht="33.5" customHeight="1">
      <c r="A2896" s="4" t="s">
        <v>7647</v>
      </c>
      <c r="B2896" s="198" t="s">
        <v>7788</v>
      </c>
      <c r="C2896" s="198" t="s">
        <v>23</v>
      </c>
      <c r="D2896" s="198" t="s">
        <v>1238</v>
      </c>
      <c r="E2896" s="198" t="s">
        <v>3204</v>
      </c>
      <c r="F2896" s="4" t="s">
        <v>2272</v>
      </c>
      <c r="G2896" s="4" t="s">
        <v>2272</v>
      </c>
      <c r="H2896" s="198" t="s">
        <v>521</v>
      </c>
      <c r="I2896" s="98"/>
      <c r="J2896" s="198" t="s">
        <v>2272</v>
      </c>
      <c r="K2896" s="198" t="s">
        <v>2272</v>
      </c>
      <c r="L2896" s="198" t="s">
        <v>2272</v>
      </c>
      <c r="M2896" s="198" t="s">
        <v>2272</v>
      </c>
      <c r="N2896" s="198" t="s">
        <v>2272</v>
      </c>
      <c r="O2896" s="198" t="s">
        <v>2272</v>
      </c>
      <c r="P2896" s="198" t="s">
        <v>2272</v>
      </c>
      <c r="Q2896" s="198" t="s">
        <v>2272</v>
      </c>
      <c r="R2896" s="198" t="s">
        <v>2272</v>
      </c>
      <c r="S2896" s="198" t="s">
        <v>2272</v>
      </c>
      <c r="T2896" s="198" t="s">
        <v>2272</v>
      </c>
      <c r="U2896" s="198" t="s">
        <v>2272</v>
      </c>
      <c r="V2896" s="198" t="s">
        <v>2272</v>
      </c>
      <c r="W2896" s="198" t="s">
        <v>2272</v>
      </c>
      <c r="X2896" s="198" t="s">
        <v>2272</v>
      </c>
      <c r="Y2896" s="198" t="s">
        <v>2272</v>
      </c>
      <c r="Z2896" s="198" t="s">
        <v>2272</v>
      </c>
      <c r="AA2896" s="198" t="s">
        <v>2272</v>
      </c>
      <c r="AB2896" s="198" t="s">
        <v>2272</v>
      </c>
      <c r="AC2896" s="198" t="s">
        <v>2272</v>
      </c>
      <c r="AD2896" s="198"/>
      <c r="AE2896" s="198"/>
    </row>
    <row r="2897" spans="1:31" ht="33.5" customHeight="1">
      <c r="A2897" s="4" t="s">
        <v>7648</v>
      </c>
      <c r="B2897" s="198" t="s">
        <v>7789</v>
      </c>
      <c r="C2897" s="198" t="s">
        <v>23</v>
      </c>
      <c r="D2897" s="198" t="s">
        <v>1238</v>
      </c>
      <c r="E2897" s="198" t="s">
        <v>3204</v>
      </c>
      <c r="F2897" s="4" t="s">
        <v>2272</v>
      </c>
      <c r="G2897" s="4" t="s">
        <v>2272</v>
      </c>
      <c r="H2897" s="198" t="s">
        <v>521</v>
      </c>
      <c r="I2897" s="98"/>
      <c r="J2897" s="198" t="s">
        <v>2272</v>
      </c>
      <c r="K2897" s="198" t="s">
        <v>2272</v>
      </c>
      <c r="L2897" s="198" t="s">
        <v>2272</v>
      </c>
      <c r="M2897" s="198" t="s">
        <v>2272</v>
      </c>
      <c r="N2897" s="198" t="s">
        <v>2272</v>
      </c>
      <c r="O2897" s="198" t="s">
        <v>2272</v>
      </c>
      <c r="P2897" s="198" t="s">
        <v>2272</v>
      </c>
      <c r="Q2897" s="198" t="s">
        <v>2272</v>
      </c>
      <c r="R2897" s="198" t="s">
        <v>2272</v>
      </c>
      <c r="S2897" s="198" t="s">
        <v>2272</v>
      </c>
      <c r="T2897" s="198" t="s">
        <v>2272</v>
      </c>
      <c r="U2897" s="198" t="s">
        <v>2272</v>
      </c>
      <c r="V2897" s="198" t="s">
        <v>2272</v>
      </c>
      <c r="W2897" s="198" t="s">
        <v>2272</v>
      </c>
      <c r="X2897" s="198" t="s">
        <v>2272</v>
      </c>
      <c r="Y2897" s="198" t="s">
        <v>2272</v>
      </c>
      <c r="Z2897" s="198" t="s">
        <v>2272</v>
      </c>
      <c r="AA2897" s="198" t="s">
        <v>2272</v>
      </c>
      <c r="AB2897" s="198" t="s">
        <v>2272</v>
      </c>
      <c r="AC2897" s="198" t="s">
        <v>2272</v>
      </c>
      <c r="AD2897" s="198"/>
      <c r="AE2897" s="198"/>
    </row>
    <row r="2898" spans="1:31" ht="33.5" customHeight="1">
      <c r="A2898" s="4" t="s">
        <v>7649</v>
      </c>
      <c r="B2898" s="198" t="s">
        <v>7790</v>
      </c>
      <c r="C2898" s="198" t="s">
        <v>23</v>
      </c>
      <c r="D2898" s="198" t="s">
        <v>1238</v>
      </c>
      <c r="E2898" s="198" t="s">
        <v>3204</v>
      </c>
      <c r="F2898" s="4" t="s">
        <v>2272</v>
      </c>
      <c r="G2898" s="4" t="s">
        <v>2272</v>
      </c>
      <c r="H2898" s="198" t="s">
        <v>521</v>
      </c>
      <c r="I2898" s="98"/>
      <c r="J2898" s="198" t="s">
        <v>2272</v>
      </c>
      <c r="K2898" s="198" t="s">
        <v>2272</v>
      </c>
      <c r="L2898" s="198" t="s">
        <v>2272</v>
      </c>
      <c r="M2898" s="198" t="s">
        <v>2272</v>
      </c>
      <c r="N2898" s="198" t="s">
        <v>2272</v>
      </c>
      <c r="O2898" s="198" t="s">
        <v>2272</v>
      </c>
      <c r="P2898" s="198" t="s">
        <v>2272</v>
      </c>
      <c r="Q2898" s="198" t="s">
        <v>2272</v>
      </c>
      <c r="R2898" s="198" t="s">
        <v>2272</v>
      </c>
      <c r="S2898" s="198" t="s">
        <v>2272</v>
      </c>
      <c r="T2898" s="198" t="s">
        <v>2272</v>
      </c>
      <c r="U2898" s="198" t="s">
        <v>2272</v>
      </c>
      <c r="V2898" s="198" t="s">
        <v>2272</v>
      </c>
      <c r="W2898" s="198" t="s">
        <v>2272</v>
      </c>
      <c r="X2898" s="198" t="s">
        <v>2272</v>
      </c>
      <c r="Y2898" s="198" t="s">
        <v>2272</v>
      </c>
      <c r="Z2898" s="198" t="s">
        <v>2272</v>
      </c>
      <c r="AA2898" s="198" t="s">
        <v>2272</v>
      </c>
      <c r="AB2898" s="198" t="s">
        <v>2272</v>
      </c>
      <c r="AC2898" s="198" t="s">
        <v>2272</v>
      </c>
      <c r="AD2898" s="198"/>
      <c r="AE2898" s="198"/>
    </row>
    <row r="2899" spans="1:31" ht="33.5" customHeight="1">
      <c r="A2899" s="4" t="s">
        <v>7650</v>
      </c>
      <c r="B2899" s="198" t="s">
        <v>7791</v>
      </c>
      <c r="C2899" s="198" t="s">
        <v>23</v>
      </c>
      <c r="D2899" s="198" t="s">
        <v>1238</v>
      </c>
      <c r="E2899" s="198" t="s">
        <v>3204</v>
      </c>
      <c r="F2899" s="4" t="s">
        <v>2272</v>
      </c>
      <c r="G2899" s="4" t="s">
        <v>2272</v>
      </c>
      <c r="H2899" s="198" t="s">
        <v>521</v>
      </c>
      <c r="I2899" s="98"/>
      <c r="J2899" s="198" t="s">
        <v>2272</v>
      </c>
      <c r="K2899" s="198" t="s">
        <v>2272</v>
      </c>
      <c r="L2899" s="198" t="s">
        <v>2272</v>
      </c>
      <c r="M2899" s="198" t="s">
        <v>2272</v>
      </c>
      <c r="N2899" s="198" t="s">
        <v>2272</v>
      </c>
      <c r="O2899" s="198" t="s">
        <v>2272</v>
      </c>
      <c r="P2899" s="198" t="s">
        <v>2272</v>
      </c>
      <c r="Q2899" s="198" t="s">
        <v>2272</v>
      </c>
      <c r="R2899" s="198" t="s">
        <v>2272</v>
      </c>
      <c r="S2899" s="198" t="s">
        <v>2272</v>
      </c>
      <c r="T2899" s="198" t="s">
        <v>2272</v>
      </c>
      <c r="U2899" s="198" t="s">
        <v>2272</v>
      </c>
      <c r="V2899" s="198" t="s">
        <v>2272</v>
      </c>
      <c r="W2899" s="198" t="s">
        <v>2272</v>
      </c>
      <c r="X2899" s="198" t="s">
        <v>2272</v>
      </c>
      <c r="Y2899" s="198" t="s">
        <v>2272</v>
      </c>
      <c r="Z2899" s="198" t="s">
        <v>2272</v>
      </c>
      <c r="AA2899" s="198" t="s">
        <v>2272</v>
      </c>
      <c r="AB2899" s="198" t="s">
        <v>2272</v>
      </c>
      <c r="AC2899" s="198" t="s">
        <v>2272</v>
      </c>
      <c r="AD2899" s="198"/>
      <c r="AE2899" s="198"/>
    </row>
    <row r="2900" spans="1:31" ht="33.5" customHeight="1">
      <c r="A2900" s="4" t="s">
        <v>7651</v>
      </c>
      <c r="B2900" s="198" t="s">
        <v>7792</v>
      </c>
      <c r="C2900" s="198" t="s">
        <v>23</v>
      </c>
      <c r="D2900" s="198" t="s">
        <v>1238</v>
      </c>
      <c r="E2900" s="198" t="s">
        <v>3204</v>
      </c>
      <c r="F2900" s="4" t="s">
        <v>2272</v>
      </c>
      <c r="G2900" s="4" t="s">
        <v>2272</v>
      </c>
      <c r="H2900" s="198" t="s">
        <v>521</v>
      </c>
      <c r="I2900" s="98"/>
      <c r="J2900" s="198" t="s">
        <v>2272</v>
      </c>
      <c r="K2900" s="198" t="s">
        <v>2272</v>
      </c>
      <c r="L2900" s="198" t="s">
        <v>2272</v>
      </c>
      <c r="M2900" s="198" t="s">
        <v>2272</v>
      </c>
      <c r="N2900" s="198" t="s">
        <v>2272</v>
      </c>
      <c r="O2900" s="198" t="s">
        <v>2272</v>
      </c>
      <c r="P2900" s="198" t="s">
        <v>2272</v>
      </c>
      <c r="Q2900" s="198" t="s">
        <v>2272</v>
      </c>
      <c r="R2900" s="198" t="s">
        <v>2272</v>
      </c>
      <c r="S2900" s="198" t="s">
        <v>2272</v>
      </c>
      <c r="T2900" s="198" t="s">
        <v>2272</v>
      </c>
      <c r="U2900" s="198" t="s">
        <v>2272</v>
      </c>
      <c r="V2900" s="198" t="s">
        <v>2272</v>
      </c>
      <c r="W2900" s="198" t="s">
        <v>2272</v>
      </c>
      <c r="X2900" s="198" t="s">
        <v>2272</v>
      </c>
      <c r="Y2900" s="198" t="s">
        <v>2272</v>
      </c>
      <c r="Z2900" s="198" t="s">
        <v>2272</v>
      </c>
      <c r="AA2900" s="198" t="s">
        <v>2272</v>
      </c>
      <c r="AB2900" s="198" t="s">
        <v>2272</v>
      </c>
      <c r="AC2900" s="198" t="s">
        <v>2272</v>
      </c>
      <c r="AD2900" s="198"/>
      <c r="AE2900" s="198"/>
    </row>
    <row r="2901" spans="1:31" ht="33.5" customHeight="1">
      <c r="A2901" s="4" t="s">
        <v>7652</v>
      </c>
      <c r="B2901" s="198" t="s">
        <v>7793</v>
      </c>
      <c r="C2901" s="198" t="s">
        <v>23</v>
      </c>
      <c r="D2901" s="198" t="s">
        <v>1238</v>
      </c>
      <c r="E2901" s="198" t="s">
        <v>3204</v>
      </c>
      <c r="F2901" s="4" t="s">
        <v>2272</v>
      </c>
      <c r="G2901" s="4" t="s">
        <v>2272</v>
      </c>
      <c r="H2901" s="198" t="s">
        <v>521</v>
      </c>
      <c r="I2901" s="98"/>
      <c r="J2901" s="198" t="s">
        <v>2272</v>
      </c>
      <c r="K2901" s="198" t="s">
        <v>2272</v>
      </c>
      <c r="L2901" s="198" t="s">
        <v>2272</v>
      </c>
      <c r="M2901" s="198" t="s">
        <v>2272</v>
      </c>
      <c r="N2901" s="198" t="s">
        <v>2272</v>
      </c>
      <c r="O2901" s="198" t="s">
        <v>2272</v>
      </c>
      <c r="P2901" s="198" t="s">
        <v>2272</v>
      </c>
      <c r="Q2901" s="198" t="s">
        <v>2272</v>
      </c>
      <c r="R2901" s="198" t="s">
        <v>2272</v>
      </c>
      <c r="S2901" s="198" t="s">
        <v>2272</v>
      </c>
      <c r="T2901" s="198" t="s">
        <v>2272</v>
      </c>
      <c r="U2901" s="198" t="s">
        <v>2272</v>
      </c>
      <c r="V2901" s="198" t="s">
        <v>2272</v>
      </c>
      <c r="W2901" s="198" t="s">
        <v>2272</v>
      </c>
      <c r="X2901" s="198" t="s">
        <v>2272</v>
      </c>
      <c r="Y2901" s="198" t="s">
        <v>2272</v>
      </c>
      <c r="Z2901" s="198" t="s">
        <v>2272</v>
      </c>
      <c r="AA2901" s="198" t="s">
        <v>2272</v>
      </c>
      <c r="AB2901" s="198" t="s">
        <v>2272</v>
      </c>
      <c r="AC2901" s="198" t="s">
        <v>2272</v>
      </c>
      <c r="AD2901" s="198"/>
      <c r="AE2901" s="198"/>
    </row>
    <row r="2902" spans="1:31" ht="33.5" customHeight="1">
      <c r="A2902" s="4" t="s">
        <v>7653</v>
      </c>
      <c r="B2902" s="198" t="s">
        <v>7794</v>
      </c>
      <c r="C2902" s="198" t="s">
        <v>23</v>
      </c>
      <c r="D2902" s="198" t="s">
        <v>1238</v>
      </c>
      <c r="E2902" s="198" t="s">
        <v>3204</v>
      </c>
      <c r="F2902" s="4" t="s">
        <v>2272</v>
      </c>
      <c r="G2902" s="4" t="s">
        <v>2272</v>
      </c>
      <c r="H2902" s="198" t="s">
        <v>521</v>
      </c>
      <c r="I2902" s="98"/>
      <c r="J2902" s="198" t="s">
        <v>2272</v>
      </c>
      <c r="K2902" s="198" t="s">
        <v>2272</v>
      </c>
      <c r="L2902" s="198" t="s">
        <v>2272</v>
      </c>
      <c r="M2902" s="198" t="s">
        <v>2272</v>
      </c>
      <c r="N2902" s="198" t="s">
        <v>2272</v>
      </c>
      <c r="O2902" s="198" t="s">
        <v>2272</v>
      </c>
      <c r="P2902" s="198" t="s">
        <v>2272</v>
      </c>
      <c r="Q2902" s="198" t="s">
        <v>2272</v>
      </c>
      <c r="R2902" s="198" t="s">
        <v>2272</v>
      </c>
      <c r="S2902" s="198" t="s">
        <v>2272</v>
      </c>
      <c r="T2902" s="198" t="s">
        <v>2272</v>
      </c>
      <c r="U2902" s="198" t="s">
        <v>2272</v>
      </c>
      <c r="V2902" s="198" t="s">
        <v>2272</v>
      </c>
      <c r="W2902" s="198" t="s">
        <v>2272</v>
      </c>
      <c r="X2902" s="198" t="s">
        <v>2272</v>
      </c>
      <c r="Y2902" s="198" t="s">
        <v>2272</v>
      </c>
      <c r="Z2902" s="198" t="s">
        <v>2272</v>
      </c>
      <c r="AA2902" s="198" t="s">
        <v>2272</v>
      </c>
      <c r="AB2902" s="198" t="s">
        <v>2272</v>
      </c>
      <c r="AC2902" s="198" t="s">
        <v>2272</v>
      </c>
      <c r="AD2902" s="198"/>
      <c r="AE2902" s="198"/>
    </row>
    <row r="2903" spans="1:31" ht="33.5" customHeight="1">
      <c r="A2903" s="4" t="s">
        <v>7654</v>
      </c>
      <c r="B2903" s="198" t="s">
        <v>7795</v>
      </c>
      <c r="C2903" s="198" t="s">
        <v>23</v>
      </c>
      <c r="D2903" s="198" t="s">
        <v>1238</v>
      </c>
      <c r="E2903" s="198" t="s">
        <v>3204</v>
      </c>
      <c r="F2903" s="4" t="s">
        <v>2272</v>
      </c>
      <c r="G2903" s="4" t="s">
        <v>2272</v>
      </c>
      <c r="H2903" s="198" t="s">
        <v>521</v>
      </c>
      <c r="I2903" s="98"/>
      <c r="J2903" s="198" t="s">
        <v>2272</v>
      </c>
      <c r="K2903" s="198" t="s">
        <v>2272</v>
      </c>
      <c r="L2903" s="198" t="s">
        <v>2272</v>
      </c>
      <c r="M2903" s="198" t="s">
        <v>2272</v>
      </c>
      <c r="N2903" s="198" t="s">
        <v>2272</v>
      </c>
      <c r="O2903" s="198" t="s">
        <v>2272</v>
      </c>
      <c r="P2903" s="198" t="s">
        <v>2272</v>
      </c>
      <c r="Q2903" s="198" t="s">
        <v>2272</v>
      </c>
      <c r="R2903" s="198" t="s">
        <v>2272</v>
      </c>
      <c r="S2903" s="198" t="s">
        <v>2272</v>
      </c>
      <c r="T2903" s="198" t="s">
        <v>2272</v>
      </c>
      <c r="U2903" s="198" t="s">
        <v>2272</v>
      </c>
      <c r="V2903" s="198" t="s">
        <v>2272</v>
      </c>
      <c r="W2903" s="198" t="s">
        <v>2272</v>
      </c>
      <c r="X2903" s="198" t="s">
        <v>2272</v>
      </c>
      <c r="Y2903" s="198" t="s">
        <v>2272</v>
      </c>
      <c r="Z2903" s="198" t="s">
        <v>2272</v>
      </c>
      <c r="AA2903" s="198" t="s">
        <v>2272</v>
      </c>
      <c r="AB2903" s="198" t="s">
        <v>2272</v>
      </c>
      <c r="AC2903" s="198" t="s">
        <v>2272</v>
      </c>
      <c r="AD2903" s="198"/>
      <c r="AE2903" s="198"/>
    </row>
    <row r="2904" spans="1:31" ht="33.5" customHeight="1">
      <c r="A2904" s="4" t="s">
        <v>7655</v>
      </c>
      <c r="B2904" s="198" t="s">
        <v>7796</v>
      </c>
      <c r="C2904" s="198" t="s">
        <v>23</v>
      </c>
      <c r="D2904" s="198" t="s">
        <v>1238</v>
      </c>
      <c r="E2904" s="198" t="s">
        <v>3204</v>
      </c>
      <c r="F2904" s="4" t="s">
        <v>2272</v>
      </c>
      <c r="G2904" s="4" t="s">
        <v>2272</v>
      </c>
      <c r="H2904" s="198" t="s">
        <v>521</v>
      </c>
      <c r="I2904" s="98"/>
      <c r="J2904" s="198" t="s">
        <v>2272</v>
      </c>
      <c r="K2904" s="198" t="s">
        <v>2272</v>
      </c>
      <c r="L2904" s="198" t="s">
        <v>2272</v>
      </c>
      <c r="M2904" s="198" t="s">
        <v>2272</v>
      </c>
      <c r="N2904" s="198" t="s">
        <v>2272</v>
      </c>
      <c r="O2904" s="198" t="s">
        <v>2272</v>
      </c>
      <c r="P2904" s="198" t="s">
        <v>2272</v>
      </c>
      <c r="Q2904" s="198" t="s">
        <v>2272</v>
      </c>
      <c r="R2904" s="198" t="s">
        <v>2272</v>
      </c>
      <c r="S2904" s="198" t="s">
        <v>2272</v>
      </c>
      <c r="T2904" s="198" t="s">
        <v>2272</v>
      </c>
      <c r="U2904" s="198" t="s">
        <v>2272</v>
      </c>
      <c r="V2904" s="198" t="s">
        <v>2272</v>
      </c>
      <c r="W2904" s="198" t="s">
        <v>2272</v>
      </c>
      <c r="X2904" s="198" t="s">
        <v>2272</v>
      </c>
      <c r="Y2904" s="198" t="s">
        <v>2272</v>
      </c>
      <c r="Z2904" s="198" t="s">
        <v>2272</v>
      </c>
      <c r="AA2904" s="198" t="s">
        <v>2272</v>
      </c>
      <c r="AB2904" s="198" t="s">
        <v>2272</v>
      </c>
      <c r="AC2904" s="198" t="s">
        <v>2272</v>
      </c>
      <c r="AD2904" s="198"/>
      <c r="AE2904" s="198"/>
    </row>
    <row r="2905" spans="1:31" ht="33.5" customHeight="1">
      <c r="A2905" s="4" t="s">
        <v>7656</v>
      </c>
      <c r="B2905" s="198" t="s">
        <v>7797</v>
      </c>
      <c r="C2905" s="198" t="s">
        <v>23</v>
      </c>
      <c r="D2905" s="198" t="s">
        <v>1238</v>
      </c>
      <c r="E2905" s="198" t="s">
        <v>3204</v>
      </c>
      <c r="F2905" s="4" t="s">
        <v>2272</v>
      </c>
      <c r="G2905" s="4" t="s">
        <v>2272</v>
      </c>
      <c r="H2905" s="198" t="s">
        <v>521</v>
      </c>
      <c r="I2905" s="98"/>
      <c r="J2905" s="198" t="s">
        <v>2272</v>
      </c>
      <c r="K2905" s="198" t="s">
        <v>2272</v>
      </c>
      <c r="L2905" s="198" t="s">
        <v>2272</v>
      </c>
      <c r="M2905" s="198" t="s">
        <v>2272</v>
      </c>
      <c r="N2905" s="198" t="s">
        <v>2272</v>
      </c>
      <c r="O2905" s="198" t="s">
        <v>2272</v>
      </c>
      <c r="P2905" s="198" t="s">
        <v>2272</v>
      </c>
      <c r="Q2905" s="198" t="s">
        <v>2272</v>
      </c>
      <c r="R2905" s="198" t="s">
        <v>2272</v>
      </c>
      <c r="S2905" s="198" t="s">
        <v>2272</v>
      </c>
      <c r="T2905" s="198" t="s">
        <v>2272</v>
      </c>
      <c r="U2905" s="198" t="s">
        <v>2272</v>
      </c>
      <c r="V2905" s="198" t="s">
        <v>2272</v>
      </c>
      <c r="W2905" s="198" t="s">
        <v>2272</v>
      </c>
      <c r="X2905" s="198" t="s">
        <v>2272</v>
      </c>
      <c r="Y2905" s="198" t="s">
        <v>2272</v>
      </c>
      <c r="Z2905" s="198" t="s">
        <v>2272</v>
      </c>
      <c r="AA2905" s="198" t="s">
        <v>2272</v>
      </c>
      <c r="AB2905" s="198" t="s">
        <v>2272</v>
      </c>
      <c r="AC2905" s="198" t="s">
        <v>2272</v>
      </c>
      <c r="AD2905" s="198"/>
      <c r="AE2905" s="198"/>
    </row>
    <row r="2906" spans="1:31" ht="33.5" customHeight="1">
      <c r="A2906" s="4" t="s">
        <v>7657</v>
      </c>
      <c r="B2906" s="198" t="s">
        <v>7798</v>
      </c>
      <c r="C2906" s="198" t="s">
        <v>23</v>
      </c>
      <c r="D2906" s="198" t="s">
        <v>1238</v>
      </c>
      <c r="E2906" s="198" t="s">
        <v>3204</v>
      </c>
      <c r="F2906" s="4" t="s">
        <v>2272</v>
      </c>
      <c r="G2906" s="4" t="s">
        <v>2272</v>
      </c>
      <c r="H2906" s="198" t="s">
        <v>521</v>
      </c>
      <c r="I2906" s="98"/>
      <c r="J2906" s="198" t="s">
        <v>2272</v>
      </c>
      <c r="K2906" s="198" t="s">
        <v>2272</v>
      </c>
      <c r="L2906" s="198" t="s">
        <v>2272</v>
      </c>
      <c r="M2906" s="198" t="s">
        <v>2272</v>
      </c>
      <c r="N2906" s="198" t="s">
        <v>2272</v>
      </c>
      <c r="O2906" s="198" t="s">
        <v>2272</v>
      </c>
      <c r="P2906" s="198" t="s">
        <v>2272</v>
      </c>
      <c r="Q2906" s="198" t="s">
        <v>2272</v>
      </c>
      <c r="R2906" s="198" t="s">
        <v>2272</v>
      </c>
      <c r="S2906" s="198" t="s">
        <v>2272</v>
      </c>
      <c r="T2906" s="198" t="s">
        <v>2272</v>
      </c>
      <c r="U2906" s="198" t="s">
        <v>2272</v>
      </c>
      <c r="V2906" s="198" t="s">
        <v>2272</v>
      </c>
      <c r="W2906" s="198" t="s">
        <v>2272</v>
      </c>
      <c r="X2906" s="198" t="s">
        <v>2272</v>
      </c>
      <c r="Y2906" s="198" t="s">
        <v>2272</v>
      </c>
      <c r="Z2906" s="198" t="s">
        <v>2272</v>
      </c>
      <c r="AA2906" s="198" t="s">
        <v>2272</v>
      </c>
      <c r="AB2906" s="198" t="s">
        <v>2272</v>
      </c>
      <c r="AC2906" s="198" t="s">
        <v>2272</v>
      </c>
      <c r="AD2906" s="198"/>
      <c r="AE2906" s="198"/>
    </row>
    <row r="2907" spans="1:31" ht="33.5" customHeight="1">
      <c r="A2907" s="4" t="s">
        <v>7658</v>
      </c>
      <c r="B2907" s="198" t="s">
        <v>7799</v>
      </c>
      <c r="C2907" s="198" t="s">
        <v>23</v>
      </c>
      <c r="D2907" s="198" t="s">
        <v>1238</v>
      </c>
      <c r="E2907" s="198" t="s">
        <v>3204</v>
      </c>
      <c r="F2907" s="4" t="s">
        <v>2272</v>
      </c>
      <c r="G2907" s="4" t="s">
        <v>2272</v>
      </c>
      <c r="H2907" s="198" t="s">
        <v>521</v>
      </c>
      <c r="I2907" s="98"/>
      <c r="J2907" s="198" t="s">
        <v>2272</v>
      </c>
      <c r="K2907" s="198" t="s">
        <v>2272</v>
      </c>
      <c r="L2907" s="198" t="s">
        <v>2272</v>
      </c>
      <c r="M2907" s="198" t="s">
        <v>2272</v>
      </c>
      <c r="N2907" s="198" t="s">
        <v>2272</v>
      </c>
      <c r="O2907" s="198" t="s">
        <v>2272</v>
      </c>
      <c r="P2907" s="198" t="s">
        <v>2272</v>
      </c>
      <c r="Q2907" s="198" t="s">
        <v>2272</v>
      </c>
      <c r="R2907" s="198" t="s">
        <v>2272</v>
      </c>
      <c r="S2907" s="198" t="s">
        <v>2272</v>
      </c>
      <c r="T2907" s="198" t="s">
        <v>2272</v>
      </c>
      <c r="U2907" s="198" t="s">
        <v>2272</v>
      </c>
      <c r="V2907" s="198" t="s">
        <v>2272</v>
      </c>
      <c r="W2907" s="198" t="s">
        <v>2272</v>
      </c>
      <c r="X2907" s="198" t="s">
        <v>2272</v>
      </c>
      <c r="Y2907" s="198" t="s">
        <v>2272</v>
      </c>
      <c r="Z2907" s="198" t="s">
        <v>2272</v>
      </c>
      <c r="AA2907" s="198" t="s">
        <v>2272</v>
      </c>
      <c r="AB2907" s="198" t="s">
        <v>2272</v>
      </c>
      <c r="AC2907" s="198" t="s">
        <v>2272</v>
      </c>
      <c r="AD2907" s="198"/>
      <c r="AE2907" s="198"/>
    </row>
    <row r="2908" spans="1:31" ht="33.5" customHeight="1">
      <c r="A2908" s="4" t="s">
        <v>7659</v>
      </c>
      <c r="B2908" s="198" t="s">
        <v>7800</v>
      </c>
      <c r="C2908" s="198" t="s">
        <v>23</v>
      </c>
      <c r="D2908" s="198" t="s">
        <v>1238</v>
      </c>
      <c r="E2908" s="198" t="s">
        <v>3204</v>
      </c>
      <c r="F2908" s="4" t="s">
        <v>2272</v>
      </c>
      <c r="G2908" s="4" t="s">
        <v>2272</v>
      </c>
      <c r="H2908" s="198" t="s">
        <v>521</v>
      </c>
      <c r="I2908" s="98"/>
      <c r="J2908" s="198" t="s">
        <v>2272</v>
      </c>
      <c r="K2908" s="198" t="s">
        <v>2272</v>
      </c>
      <c r="L2908" s="198" t="s">
        <v>2272</v>
      </c>
      <c r="M2908" s="198" t="s">
        <v>2272</v>
      </c>
      <c r="N2908" s="198" t="s">
        <v>2272</v>
      </c>
      <c r="O2908" s="198" t="s">
        <v>2272</v>
      </c>
      <c r="P2908" s="198" t="s">
        <v>2272</v>
      </c>
      <c r="Q2908" s="198" t="s">
        <v>2272</v>
      </c>
      <c r="R2908" s="198" t="s">
        <v>2272</v>
      </c>
      <c r="S2908" s="198" t="s">
        <v>2272</v>
      </c>
      <c r="T2908" s="198" t="s">
        <v>2272</v>
      </c>
      <c r="U2908" s="198" t="s">
        <v>2272</v>
      </c>
      <c r="V2908" s="198" t="s">
        <v>2272</v>
      </c>
      <c r="W2908" s="198" t="s">
        <v>2272</v>
      </c>
      <c r="X2908" s="198" t="s">
        <v>2272</v>
      </c>
      <c r="Y2908" s="198" t="s">
        <v>2272</v>
      </c>
      <c r="Z2908" s="198" t="s">
        <v>2272</v>
      </c>
      <c r="AA2908" s="198" t="s">
        <v>2272</v>
      </c>
      <c r="AB2908" s="198" t="s">
        <v>2272</v>
      </c>
      <c r="AC2908" s="198" t="s">
        <v>2272</v>
      </c>
      <c r="AD2908" s="198"/>
      <c r="AE2908" s="198"/>
    </row>
    <row r="2909" spans="1:31" ht="33.5" customHeight="1">
      <c r="A2909" s="4" t="s">
        <v>7660</v>
      </c>
      <c r="B2909" s="198" t="s">
        <v>7801</v>
      </c>
      <c r="C2909" s="198" t="s">
        <v>23</v>
      </c>
      <c r="D2909" s="198" t="s">
        <v>1238</v>
      </c>
      <c r="E2909" s="198" t="s">
        <v>3204</v>
      </c>
      <c r="F2909" s="4" t="s">
        <v>2272</v>
      </c>
      <c r="G2909" s="4" t="s">
        <v>2272</v>
      </c>
      <c r="H2909" s="198" t="s">
        <v>521</v>
      </c>
      <c r="I2909" s="98"/>
      <c r="J2909" s="198" t="s">
        <v>2272</v>
      </c>
      <c r="K2909" s="198" t="s">
        <v>2272</v>
      </c>
      <c r="L2909" s="198" t="s">
        <v>2272</v>
      </c>
      <c r="M2909" s="198" t="s">
        <v>2272</v>
      </c>
      <c r="N2909" s="198" t="s">
        <v>2272</v>
      </c>
      <c r="O2909" s="198" t="s">
        <v>2272</v>
      </c>
      <c r="P2909" s="198" t="s">
        <v>2272</v>
      </c>
      <c r="Q2909" s="198" t="s">
        <v>2272</v>
      </c>
      <c r="R2909" s="198" t="s">
        <v>2272</v>
      </c>
      <c r="S2909" s="198" t="s">
        <v>2272</v>
      </c>
      <c r="T2909" s="198" t="s">
        <v>2272</v>
      </c>
      <c r="U2909" s="198" t="s">
        <v>2272</v>
      </c>
      <c r="V2909" s="198" t="s">
        <v>2272</v>
      </c>
      <c r="W2909" s="198" t="s">
        <v>2272</v>
      </c>
      <c r="X2909" s="198" t="s">
        <v>2272</v>
      </c>
      <c r="Y2909" s="198" t="s">
        <v>2272</v>
      </c>
      <c r="Z2909" s="198" t="s">
        <v>2272</v>
      </c>
      <c r="AA2909" s="198" t="s">
        <v>2272</v>
      </c>
      <c r="AB2909" s="198" t="s">
        <v>2272</v>
      </c>
      <c r="AC2909" s="198" t="s">
        <v>2272</v>
      </c>
      <c r="AD2909" s="198"/>
      <c r="AE2909" s="198"/>
    </row>
    <row r="2910" spans="1:31" ht="33.5" customHeight="1">
      <c r="A2910" s="4" t="s">
        <v>7661</v>
      </c>
      <c r="B2910" s="198" t="s">
        <v>7802</v>
      </c>
      <c r="C2910" s="198" t="s">
        <v>23</v>
      </c>
      <c r="D2910" s="198" t="s">
        <v>1238</v>
      </c>
      <c r="E2910" s="198" t="s">
        <v>3204</v>
      </c>
      <c r="F2910" s="4" t="s">
        <v>2272</v>
      </c>
      <c r="G2910" s="4" t="s">
        <v>2272</v>
      </c>
      <c r="H2910" s="198" t="s">
        <v>521</v>
      </c>
      <c r="I2910" s="98"/>
      <c r="J2910" s="198" t="s">
        <v>2272</v>
      </c>
      <c r="K2910" s="198" t="s">
        <v>2272</v>
      </c>
      <c r="L2910" s="198" t="s">
        <v>2272</v>
      </c>
      <c r="M2910" s="198" t="s">
        <v>2272</v>
      </c>
      <c r="N2910" s="198" t="s">
        <v>2272</v>
      </c>
      <c r="O2910" s="198" t="s">
        <v>2272</v>
      </c>
      <c r="P2910" s="198" t="s">
        <v>2272</v>
      </c>
      <c r="Q2910" s="198" t="s">
        <v>2272</v>
      </c>
      <c r="R2910" s="198" t="s">
        <v>2272</v>
      </c>
      <c r="S2910" s="198" t="s">
        <v>2272</v>
      </c>
      <c r="T2910" s="198" t="s">
        <v>2272</v>
      </c>
      <c r="U2910" s="198" t="s">
        <v>2272</v>
      </c>
      <c r="V2910" s="198" t="s">
        <v>2272</v>
      </c>
      <c r="W2910" s="198" t="s">
        <v>2272</v>
      </c>
      <c r="X2910" s="198" t="s">
        <v>2272</v>
      </c>
      <c r="Y2910" s="198" t="s">
        <v>2272</v>
      </c>
      <c r="Z2910" s="198" t="s">
        <v>2272</v>
      </c>
      <c r="AA2910" s="198" t="s">
        <v>2272</v>
      </c>
      <c r="AB2910" s="198" t="s">
        <v>2272</v>
      </c>
      <c r="AC2910" s="198" t="s">
        <v>2272</v>
      </c>
      <c r="AD2910" s="198"/>
      <c r="AE2910" s="198"/>
    </row>
    <row r="2911" spans="1:31" ht="33.5" customHeight="1">
      <c r="A2911" s="4" t="s">
        <v>7662</v>
      </c>
      <c r="B2911" s="198" t="s">
        <v>7803</v>
      </c>
      <c r="C2911" s="198" t="s">
        <v>23</v>
      </c>
      <c r="D2911" s="198" t="s">
        <v>1238</v>
      </c>
      <c r="E2911" s="198" t="s">
        <v>3204</v>
      </c>
      <c r="F2911" s="4" t="s">
        <v>2272</v>
      </c>
      <c r="G2911" s="4" t="s">
        <v>2272</v>
      </c>
      <c r="H2911" s="198" t="s">
        <v>521</v>
      </c>
      <c r="I2911" s="98"/>
      <c r="J2911" s="198" t="s">
        <v>2272</v>
      </c>
      <c r="K2911" s="198" t="s">
        <v>2272</v>
      </c>
      <c r="L2911" s="198" t="s">
        <v>2272</v>
      </c>
      <c r="M2911" s="198" t="s">
        <v>2272</v>
      </c>
      <c r="N2911" s="198" t="s">
        <v>2272</v>
      </c>
      <c r="O2911" s="198" t="s">
        <v>2272</v>
      </c>
      <c r="P2911" s="198" t="s">
        <v>2272</v>
      </c>
      <c r="Q2911" s="198" t="s">
        <v>2272</v>
      </c>
      <c r="R2911" s="198" t="s">
        <v>2272</v>
      </c>
      <c r="S2911" s="198" t="s">
        <v>2272</v>
      </c>
      <c r="T2911" s="198" t="s">
        <v>2272</v>
      </c>
      <c r="U2911" s="198" t="s">
        <v>2272</v>
      </c>
      <c r="V2911" s="198" t="s">
        <v>2272</v>
      </c>
      <c r="W2911" s="198" t="s">
        <v>2272</v>
      </c>
      <c r="X2911" s="198" t="s">
        <v>2272</v>
      </c>
      <c r="Y2911" s="198" t="s">
        <v>2272</v>
      </c>
      <c r="Z2911" s="198" t="s">
        <v>2272</v>
      </c>
      <c r="AA2911" s="198" t="s">
        <v>2272</v>
      </c>
      <c r="AB2911" s="198" t="s">
        <v>2272</v>
      </c>
      <c r="AC2911" s="198" t="s">
        <v>2272</v>
      </c>
      <c r="AD2911" s="198"/>
      <c r="AE2911" s="198"/>
    </row>
    <row r="2912" spans="1:31" ht="33.5" customHeight="1">
      <c r="A2912" s="4" t="s">
        <v>7582</v>
      </c>
      <c r="B2912" s="198" t="s">
        <v>7804</v>
      </c>
      <c r="C2912" s="198" t="s">
        <v>23</v>
      </c>
      <c r="D2912" s="198" t="s">
        <v>1238</v>
      </c>
      <c r="E2912" s="198" t="s">
        <v>3204</v>
      </c>
      <c r="F2912" s="4" t="s">
        <v>2272</v>
      </c>
      <c r="G2912" s="4" t="s">
        <v>2272</v>
      </c>
      <c r="H2912" s="198" t="s">
        <v>521</v>
      </c>
      <c r="I2912" s="98"/>
      <c r="J2912" s="198" t="s">
        <v>2272</v>
      </c>
      <c r="K2912" s="198" t="s">
        <v>2272</v>
      </c>
      <c r="L2912" s="198" t="s">
        <v>2272</v>
      </c>
      <c r="M2912" s="198" t="s">
        <v>2272</v>
      </c>
      <c r="N2912" s="198" t="s">
        <v>2272</v>
      </c>
      <c r="O2912" s="198" t="s">
        <v>2272</v>
      </c>
      <c r="P2912" s="198" t="s">
        <v>2272</v>
      </c>
      <c r="Q2912" s="198" t="s">
        <v>2272</v>
      </c>
      <c r="R2912" s="198" t="s">
        <v>2272</v>
      </c>
      <c r="S2912" s="198" t="s">
        <v>2272</v>
      </c>
      <c r="T2912" s="198" t="s">
        <v>2272</v>
      </c>
      <c r="U2912" s="198" t="s">
        <v>2272</v>
      </c>
      <c r="V2912" s="198" t="s">
        <v>2272</v>
      </c>
      <c r="W2912" s="198" t="s">
        <v>2272</v>
      </c>
      <c r="X2912" s="198" t="s">
        <v>2272</v>
      </c>
      <c r="Y2912" s="198" t="s">
        <v>2272</v>
      </c>
      <c r="Z2912" s="198" t="s">
        <v>2272</v>
      </c>
      <c r="AA2912" s="198" t="s">
        <v>2272</v>
      </c>
      <c r="AB2912" s="198" t="s">
        <v>2272</v>
      </c>
      <c r="AC2912" s="198" t="s">
        <v>2272</v>
      </c>
      <c r="AD2912" s="198"/>
      <c r="AE2912" s="198"/>
    </row>
    <row r="2913" spans="1:31" ht="33.5" customHeight="1">
      <c r="A2913" s="4" t="s">
        <v>7603</v>
      </c>
      <c r="B2913" s="198" t="s">
        <v>7604</v>
      </c>
      <c r="C2913" s="198" t="s">
        <v>23</v>
      </c>
      <c r="D2913" s="198" t="s">
        <v>1238</v>
      </c>
      <c r="E2913" s="198" t="s">
        <v>3204</v>
      </c>
      <c r="F2913" s="4" t="s">
        <v>2272</v>
      </c>
      <c r="G2913" s="4" t="s">
        <v>2272</v>
      </c>
      <c r="H2913" s="198" t="s">
        <v>521</v>
      </c>
      <c r="I2913" s="98"/>
      <c r="J2913" s="198" t="s">
        <v>2272</v>
      </c>
      <c r="K2913" s="198" t="s">
        <v>2272</v>
      </c>
      <c r="L2913" s="198" t="s">
        <v>2272</v>
      </c>
      <c r="M2913" s="198" t="s">
        <v>2272</v>
      </c>
      <c r="N2913" s="198" t="s">
        <v>2272</v>
      </c>
      <c r="O2913" s="198" t="s">
        <v>2272</v>
      </c>
      <c r="P2913" s="198" t="s">
        <v>2272</v>
      </c>
      <c r="Q2913" s="198" t="s">
        <v>2272</v>
      </c>
      <c r="R2913" s="198" t="s">
        <v>2272</v>
      </c>
      <c r="S2913" s="198" t="s">
        <v>2272</v>
      </c>
      <c r="T2913" s="198" t="s">
        <v>2272</v>
      </c>
      <c r="U2913" s="198" t="s">
        <v>2272</v>
      </c>
      <c r="V2913" s="198" t="s">
        <v>2272</v>
      </c>
      <c r="W2913" s="198" t="s">
        <v>2272</v>
      </c>
      <c r="X2913" s="198" t="s">
        <v>2272</v>
      </c>
      <c r="Y2913" s="198" t="s">
        <v>2272</v>
      </c>
      <c r="Z2913" s="198" t="s">
        <v>2272</v>
      </c>
      <c r="AA2913" s="198" t="s">
        <v>2272</v>
      </c>
      <c r="AB2913" s="198" t="s">
        <v>2272</v>
      </c>
      <c r="AC2913" s="198" t="s">
        <v>2272</v>
      </c>
      <c r="AD2913" s="198"/>
      <c r="AE2913" s="198"/>
    </row>
    <row r="2914" spans="1:31" ht="33.5" customHeight="1">
      <c r="A2914" s="4" t="s">
        <v>7663</v>
      </c>
      <c r="B2914" s="198" t="s">
        <v>7805</v>
      </c>
      <c r="C2914" s="198" t="s">
        <v>23</v>
      </c>
      <c r="D2914" s="198" t="s">
        <v>1238</v>
      </c>
      <c r="E2914" s="198" t="s">
        <v>3204</v>
      </c>
      <c r="F2914" s="4" t="s">
        <v>2272</v>
      </c>
      <c r="G2914" s="4" t="s">
        <v>2272</v>
      </c>
      <c r="H2914" s="198" t="s">
        <v>521</v>
      </c>
      <c r="I2914" s="98"/>
      <c r="J2914" s="198" t="s">
        <v>2272</v>
      </c>
      <c r="K2914" s="198" t="s">
        <v>2272</v>
      </c>
      <c r="L2914" s="198" t="s">
        <v>2272</v>
      </c>
      <c r="M2914" s="198" t="s">
        <v>2272</v>
      </c>
      <c r="N2914" s="198" t="s">
        <v>2272</v>
      </c>
      <c r="O2914" s="198" t="s">
        <v>2272</v>
      </c>
      <c r="P2914" s="198" t="s">
        <v>2272</v>
      </c>
      <c r="Q2914" s="198" t="s">
        <v>2272</v>
      </c>
      <c r="R2914" s="198" t="s">
        <v>2272</v>
      </c>
      <c r="S2914" s="198" t="s">
        <v>2272</v>
      </c>
      <c r="T2914" s="198" t="s">
        <v>2272</v>
      </c>
      <c r="U2914" s="198" t="s">
        <v>2272</v>
      </c>
      <c r="V2914" s="198" t="s">
        <v>2272</v>
      </c>
      <c r="W2914" s="198" t="s">
        <v>2272</v>
      </c>
      <c r="X2914" s="198" t="s">
        <v>2272</v>
      </c>
      <c r="Y2914" s="198" t="s">
        <v>2272</v>
      </c>
      <c r="Z2914" s="198" t="s">
        <v>2272</v>
      </c>
      <c r="AA2914" s="198" t="s">
        <v>2272</v>
      </c>
      <c r="AB2914" s="198" t="s">
        <v>2272</v>
      </c>
      <c r="AC2914" s="198" t="s">
        <v>2272</v>
      </c>
      <c r="AD2914" s="198"/>
      <c r="AE2914" s="198"/>
    </row>
    <row r="2915" spans="1:31" ht="33.5" customHeight="1">
      <c r="A2915" s="4" t="s">
        <v>7664</v>
      </c>
      <c r="B2915" s="198" t="s">
        <v>7806</v>
      </c>
      <c r="C2915" s="198" t="s">
        <v>23</v>
      </c>
      <c r="D2915" s="198" t="s">
        <v>1238</v>
      </c>
      <c r="E2915" s="198" t="s">
        <v>3204</v>
      </c>
      <c r="F2915" s="4" t="s">
        <v>2272</v>
      </c>
      <c r="G2915" s="4" t="s">
        <v>2272</v>
      </c>
      <c r="H2915" s="198" t="s">
        <v>522</v>
      </c>
      <c r="I2915" s="98"/>
      <c r="J2915" s="21">
        <v>0</v>
      </c>
      <c r="K2915" s="21">
        <v>0</v>
      </c>
      <c r="L2915" s="21">
        <v>0</v>
      </c>
      <c r="M2915" s="21">
        <v>0</v>
      </c>
      <c r="N2915" s="21">
        <v>0</v>
      </c>
      <c r="O2915" s="21">
        <v>0</v>
      </c>
      <c r="P2915" s="21">
        <v>0</v>
      </c>
      <c r="Q2915" s="21">
        <v>0</v>
      </c>
      <c r="R2915" s="21">
        <v>0</v>
      </c>
      <c r="S2915" s="21">
        <v>0</v>
      </c>
      <c r="T2915" s="21">
        <v>0</v>
      </c>
      <c r="U2915" s="21">
        <v>0</v>
      </c>
      <c r="V2915" s="21">
        <v>0</v>
      </c>
      <c r="W2915" s="21">
        <v>0</v>
      </c>
      <c r="X2915" s="21">
        <v>0</v>
      </c>
      <c r="Y2915" s="21">
        <v>0</v>
      </c>
      <c r="Z2915" s="198" t="s">
        <v>2272</v>
      </c>
      <c r="AA2915" s="198" t="s">
        <v>2272</v>
      </c>
      <c r="AB2915" s="198" t="s">
        <v>2272</v>
      </c>
      <c r="AC2915" s="198" t="s">
        <v>2272</v>
      </c>
      <c r="AD2915" s="198"/>
      <c r="AE2915" s="198"/>
    </row>
    <row r="2916" spans="1:31" ht="33.5" customHeight="1">
      <c r="A2916" s="4" t="s">
        <v>7665</v>
      </c>
      <c r="B2916" s="198" t="s">
        <v>7807</v>
      </c>
      <c r="C2916" s="198" t="s">
        <v>23</v>
      </c>
      <c r="D2916" s="198" t="s">
        <v>1238</v>
      </c>
      <c r="E2916" s="198" t="s">
        <v>3204</v>
      </c>
      <c r="F2916" s="4" t="s">
        <v>2272</v>
      </c>
      <c r="G2916" s="4" t="s">
        <v>2272</v>
      </c>
      <c r="H2916" s="198" t="s">
        <v>521</v>
      </c>
      <c r="I2916" s="98"/>
      <c r="J2916" s="198" t="s">
        <v>2272</v>
      </c>
      <c r="K2916" s="198" t="s">
        <v>2272</v>
      </c>
      <c r="L2916" s="198" t="s">
        <v>2272</v>
      </c>
      <c r="M2916" s="198" t="s">
        <v>2272</v>
      </c>
      <c r="N2916" s="198" t="s">
        <v>2272</v>
      </c>
      <c r="O2916" s="198" t="s">
        <v>2272</v>
      </c>
      <c r="P2916" s="198" t="s">
        <v>2272</v>
      </c>
      <c r="Q2916" s="198" t="s">
        <v>2272</v>
      </c>
      <c r="R2916" s="198" t="s">
        <v>2272</v>
      </c>
      <c r="S2916" s="198" t="s">
        <v>2272</v>
      </c>
      <c r="T2916" s="198" t="s">
        <v>2272</v>
      </c>
      <c r="U2916" s="198" t="s">
        <v>2272</v>
      </c>
      <c r="V2916" s="198" t="s">
        <v>2272</v>
      </c>
      <c r="W2916" s="198" t="s">
        <v>2272</v>
      </c>
      <c r="X2916" s="198" t="s">
        <v>2272</v>
      </c>
      <c r="Y2916" s="198" t="s">
        <v>2272</v>
      </c>
      <c r="Z2916" s="198" t="s">
        <v>2272</v>
      </c>
      <c r="AA2916" s="198" t="s">
        <v>2272</v>
      </c>
      <c r="AB2916" s="198" t="s">
        <v>2272</v>
      </c>
      <c r="AC2916" s="198" t="s">
        <v>2272</v>
      </c>
      <c r="AD2916" s="198"/>
      <c r="AE2916" s="198"/>
    </row>
    <row r="2917" spans="1:31" ht="33.5" customHeight="1">
      <c r="A2917" s="4" t="s">
        <v>7666</v>
      </c>
      <c r="B2917" s="198" t="s">
        <v>7808</v>
      </c>
      <c r="C2917" s="198" t="s">
        <v>23</v>
      </c>
      <c r="D2917" s="198" t="s">
        <v>1238</v>
      </c>
      <c r="E2917" s="198" t="s">
        <v>3204</v>
      </c>
      <c r="F2917" s="4" t="s">
        <v>2272</v>
      </c>
      <c r="G2917" s="4" t="s">
        <v>2272</v>
      </c>
      <c r="H2917" s="198" t="s">
        <v>521</v>
      </c>
      <c r="I2917" s="98"/>
      <c r="J2917" s="198" t="s">
        <v>2272</v>
      </c>
      <c r="K2917" s="198" t="s">
        <v>2272</v>
      </c>
      <c r="L2917" s="198" t="s">
        <v>2272</v>
      </c>
      <c r="M2917" s="198" t="s">
        <v>2272</v>
      </c>
      <c r="N2917" s="198" t="s">
        <v>2272</v>
      </c>
      <c r="O2917" s="198" t="s">
        <v>2272</v>
      </c>
      <c r="P2917" s="198" t="s">
        <v>2272</v>
      </c>
      <c r="Q2917" s="198" t="s">
        <v>2272</v>
      </c>
      <c r="R2917" s="198" t="s">
        <v>2272</v>
      </c>
      <c r="S2917" s="198" t="s">
        <v>2272</v>
      </c>
      <c r="T2917" s="198" t="s">
        <v>2272</v>
      </c>
      <c r="U2917" s="198" t="s">
        <v>2272</v>
      </c>
      <c r="V2917" s="198" t="s">
        <v>2272</v>
      </c>
      <c r="W2917" s="198" t="s">
        <v>2272</v>
      </c>
      <c r="X2917" s="198" t="s">
        <v>2272</v>
      </c>
      <c r="Y2917" s="198" t="s">
        <v>2272</v>
      </c>
      <c r="Z2917" s="198" t="s">
        <v>2272</v>
      </c>
      <c r="AA2917" s="198" t="s">
        <v>2272</v>
      </c>
      <c r="AB2917" s="198" t="s">
        <v>2272</v>
      </c>
      <c r="AC2917" s="198" t="s">
        <v>2272</v>
      </c>
      <c r="AD2917" s="198"/>
      <c r="AE2917" s="198"/>
    </row>
    <row r="2918" spans="1:31" ht="33.5" customHeight="1">
      <c r="A2918" s="4" t="s">
        <v>7667</v>
      </c>
      <c r="B2918" s="198" t="s">
        <v>7809</v>
      </c>
      <c r="C2918" s="198" t="s">
        <v>23</v>
      </c>
      <c r="D2918" s="198" t="s">
        <v>1238</v>
      </c>
      <c r="E2918" s="198" t="s">
        <v>3204</v>
      </c>
      <c r="F2918" s="4" t="s">
        <v>2272</v>
      </c>
      <c r="G2918" s="4" t="s">
        <v>2272</v>
      </c>
      <c r="H2918" s="198" t="s">
        <v>521</v>
      </c>
      <c r="I2918" s="98"/>
      <c r="J2918" s="198" t="s">
        <v>2272</v>
      </c>
      <c r="K2918" s="198" t="s">
        <v>2272</v>
      </c>
      <c r="L2918" s="198" t="s">
        <v>2272</v>
      </c>
      <c r="M2918" s="198" t="s">
        <v>2272</v>
      </c>
      <c r="N2918" s="198" t="s">
        <v>2272</v>
      </c>
      <c r="O2918" s="198" t="s">
        <v>2272</v>
      </c>
      <c r="P2918" s="198" t="s">
        <v>2272</v>
      </c>
      <c r="Q2918" s="198" t="s">
        <v>2272</v>
      </c>
      <c r="R2918" s="198" t="s">
        <v>2272</v>
      </c>
      <c r="S2918" s="198" t="s">
        <v>2272</v>
      </c>
      <c r="T2918" s="198" t="s">
        <v>2272</v>
      </c>
      <c r="U2918" s="198" t="s">
        <v>2272</v>
      </c>
      <c r="V2918" s="198" t="s">
        <v>2272</v>
      </c>
      <c r="W2918" s="198" t="s">
        <v>2272</v>
      </c>
      <c r="X2918" s="198" t="s">
        <v>2272</v>
      </c>
      <c r="Y2918" s="198" t="s">
        <v>2272</v>
      </c>
      <c r="Z2918" s="198" t="s">
        <v>2272</v>
      </c>
      <c r="AA2918" s="198" t="s">
        <v>2272</v>
      </c>
      <c r="AB2918" s="198" t="s">
        <v>2272</v>
      </c>
      <c r="AC2918" s="198" t="s">
        <v>2272</v>
      </c>
      <c r="AD2918" s="198"/>
      <c r="AE2918" s="198"/>
    </row>
    <row r="2919" spans="1:31" ht="33.5" customHeight="1">
      <c r="A2919" s="4" t="s">
        <v>7668</v>
      </c>
      <c r="B2919" s="198" t="s">
        <v>7810</v>
      </c>
      <c r="C2919" s="198" t="s">
        <v>23</v>
      </c>
      <c r="D2919" s="198" t="s">
        <v>1238</v>
      </c>
      <c r="E2919" s="198" t="s">
        <v>3204</v>
      </c>
      <c r="F2919" s="4" t="s">
        <v>2272</v>
      </c>
      <c r="G2919" s="4" t="s">
        <v>2272</v>
      </c>
      <c r="H2919" s="198" t="s">
        <v>521</v>
      </c>
      <c r="I2919" s="98"/>
      <c r="J2919" s="198" t="s">
        <v>2272</v>
      </c>
      <c r="K2919" s="198" t="s">
        <v>2272</v>
      </c>
      <c r="L2919" s="198" t="s">
        <v>2272</v>
      </c>
      <c r="M2919" s="198" t="s">
        <v>2272</v>
      </c>
      <c r="N2919" s="198" t="s">
        <v>2272</v>
      </c>
      <c r="O2919" s="198" t="s">
        <v>2272</v>
      </c>
      <c r="P2919" s="198" t="s">
        <v>2272</v>
      </c>
      <c r="Q2919" s="198" t="s">
        <v>2272</v>
      </c>
      <c r="R2919" s="198" t="s">
        <v>2272</v>
      </c>
      <c r="S2919" s="198" t="s">
        <v>2272</v>
      </c>
      <c r="T2919" s="198" t="s">
        <v>2272</v>
      </c>
      <c r="U2919" s="198" t="s">
        <v>2272</v>
      </c>
      <c r="V2919" s="198" t="s">
        <v>2272</v>
      </c>
      <c r="W2919" s="198" t="s">
        <v>2272</v>
      </c>
      <c r="X2919" s="198" t="s">
        <v>2272</v>
      </c>
      <c r="Y2919" s="198" t="s">
        <v>2272</v>
      </c>
      <c r="Z2919" s="198" t="s">
        <v>2272</v>
      </c>
      <c r="AA2919" s="198" t="s">
        <v>2272</v>
      </c>
      <c r="AB2919" s="198" t="s">
        <v>2272</v>
      </c>
      <c r="AC2919" s="198" t="s">
        <v>2272</v>
      </c>
      <c r="AD2919" s="198"/>
      <c r="AE2919" s="198"/>
    </row>
    <row r="2920" spans="1:31" ht="33.5" customHeight="1">
      <c r="A2920" s="4" t="s">
        <v>7669</v>
      </c>
      <c r="B2920" s="198" t="s">
        <v>7811</v>
      </c>
      <c r="C2920" s="198" t="s">
        <v>23</v>
      </c>
      <c r="D2920" s="198" t="s">
        <v>1238</v>
      </c>
      <c r="E2920" s="198" t="s">
        <v>3204</v>
      </c>
      <c r="F2920" s="4" t="s">
        <v>2272</v>
      </c>
      <c r="G2920" s="4" t="s">
        <v>2272</v>
      </c>
      <c r="H2920" s="198" t="s">
        <v>521</v>
      </c>
      <c r="I2920" s="98"/>
      <c r="J2920" s="198" t="s">
        <v>2272</v>
      </c>
      <c r="K2920" s="198" t="s">
        <v>2272</v>
      </c>
      <c r="L2920" s="198" t="s">
        <v>2272</v>
      </c>
      <c r="M2920" s="198" t="s">
        <v>2272</v>
      </c>
      <c r="N2920" s="198" t="s">
        <v>2272</v>
      </c>
      <c r="O2920" s="198" t="s">
        <v>2272</v>
      </c>
      <c r="P2920" s="198" t="s">
        <v>2272</v>
      </c>
      <c r="Q2920" s="198" t="s">
        <v>2272</v>
      </c>
      <c r="R2920" s="198" t="s">
        <v>2272</v>
      </c>
      <c r="S2920" s="198" t="s">
        <v>2272</v>
      </c>
      <c r="T2920" s="198" t="s">
        <v>2272</v>
      </c>
      <c r="U2920" s="198" t="s">
        <v>2272</v>
      </c>
      <c r="V2920" s="198" t="s">
        <v>2272</v>
      </c>
      <c r="W2920" s="198" t="s">
        <v>2272</v>
      </c>
      <c r="X2920" s="198" t="s">
        <v>2272</v>
      </c>
      <c r="Y2920" s="198" t="s">
        <v>2272</v>
      </c>
      <c r="Z2920" s="198" t="s">
        <v>2272</v>
      </c>
      <c r="AA2920" s="198" t="s">
        <v>2272</v>
      </c>
      <c r="AB2920" s="198" t="s">
        <v>2272</v>
      </c>
      <c r="AC2920" s="198" t="s">
        <v>2272</v>
      </c>
      <c r="AD2920" s="198"/>
      <c r="AE2920" s="198"/>
    </row>
    <row r="2921" spans="1:31" ht="33.5" customHeight="1">
      <c r="A2921" s="4" t="s">
        <v>7670</v>
      </c>
      <c r="B2921" s="198" t="s">
        <v>7812</v>
      </c>
      <c r="C2921" s="198" t="s">
        <v>23</v>
      </c>
      <c r="D2921" s="198" t="s">
        <v>1238</v>
      </c>
      <c r="E2921" s="198" t="s">
        <v>3204</v>
      </c>
      <c r="F2921" s="4" t="s">
        <v>2272</v>
      </c>
      <c r="G2921" s="4" t="s">
        <v>2272</v>
      </c>
      <c r="H2921" s="198" t="s">
        <v>521</v>
      </c>
      <c r="I2921" s="98"/>
      <c r="J2921" s="198" t="s">
        <v>2272</v>
      </c>
      <c r="K2921" s="198" t="s">
        <v>2272</v>
      </c>
      <c r="L2921" s="198" t="s">
        <v>2272</v>
      </c>
      <c r="M2921" s="198" t="s">
        <v>2272</v>
      </c>
      <c r="N2921" s="198" t="s">
        <v>2272</v>
      </c>
      <c r="O2921" s="198" t="s">
        <v>2272</v>
      </c>
      <c r="P2921" s="198" t="s">
        <v>2272</v>
      </c>
      <c r="Q2921" s="198" t="s">
        <v>2272</v>
      </c>
      <c r="R2921" s="198" t="s">
        <v>2272</v>
      </c>
      <c r="S2921" s="198" t="s">
        <v>2272</v>
      </c>
      <c r="T2921" s="198" t="s">
        <v>2272</v>
      </c>
      <c r="U2921" s="198" t="s">
        <v>2272</v>
      </c>
      <c r="V2921" s="198" t="s">
        <v>2272</v>
      </c>
      <c r="W2921" s="198" t="s">
        <v>2272</v>
      </c>
      <c r="X2921" s="198" t="s">
        <v>2272</v>
      </c>
      <c r="Y2921" s="198" t="s">
        <v>2272</v>
      </c>
      <c r="Z2921" s="198" t="s">
        <v>2272</v>
      </c>
      <c r="AA2921" s="198" t="s">
        <v>2272</v>
      </c>
      <c r="AB2921" s="198" t="s">
        <v>2272</v>
      </c>
      <c r="AC2921" s="198" t="s">
        <v>2272</v>
      </c>
      <c r="AD2921" s="198"/>
      <c r="AE2921" s="198"/>
    </row>
    <row r="2922" spans="1:31" ht="33.5" customHeight="1">
      <c r="A2922" s="4" t="s">
        <v>7671</v>
      </c>
      <c r="B2922" s="198" t="s">
        <v>7813</v>
      </c>
      <c r="C2922" s="198" t="s">
        <v>23</v>
      </c>
      <c r="D2922" s="198" t="s">
        <v>1238</v>
      </c>
      <c r="E2922" s="198" t="s">
        <v>3204</v>
      </c>
      <c r="F2922" s="4" t="s">
        <v>2272</v>
      </c>
      <c r="G2922" s="4" t="s">
        <v>2272</v>
      </c>
      <c r="H2922" s="198" t="s">
        <v>521</v>
      </c>
      <c r="I2922" s="98"/>
      <c r="J2922" s="198" t="s">
        <v>2272</v>
      </c>
      <c r="K2922" s="198" t="s">
        <v>2272</v>
      </c>
      <c r="L2922" s="198" t="s">
        <v>2272</v>
      </c>
      <c r="M2922" s="198" t="s">
        <v>2272</v>
      </c>
      <c r="N2922" s="198" t="s">
        <v>2272</v>
      </c>
      <c r="O2922" s="198" t="s">
        <v>2272</v>
      </c>
      <c r="P2922" s="198" t="s">
        <v>2272</v>
      </c>
      <c r="Q2922" s="198" t="s">
        <v>2272</v>
      </c>
      <c r="R2922" s="198" t="s">
        <v>2272</v>
      </c>
      <c r="S2922" s="198" t="s">
        <v>2272</v>
      </c>
      <c r="T2922" s="198" t="s">
        <v>2272</v>
      </c>
      <c r="U2922" s="198" t="s">
        <v>2272</v>
      </c>
      <c r="V2922" s="198" t="s">
        <v>2272</v>
      </c>
      <c r="W2922" s="198" t="s">
        <v>2272</v>
      </c>
      <c r="X2922" s="198" t="s">
        <v>2272</v>
      </c>
      <c r="Y2922" s="198" t="s">
        <v>2272</v>
      </c>
      <c r="Z2922" s="198" t="s">
        <v>2272</v>
      </c>
      <c r="AA2922" s="198" t="s">
        <v>2272</v>
      </c>
      <c r="AB2922" s="198" t="s">
        <v>2272</v>
      </c>
      <c r="AC2922" s="198" t="s">
        <v>2272</v>
      </c>
      <c r="AD2922" s="198"/>
      <c r="AE2922" s="198"/>
    </row>
    <row r="2923" spans="1:31" ht="33.5" customHeight="1">
      <c r="A2923" s="4" t="s">
        <v>7672</v>
      </c>
      <c r="B2923" s="198" t="s">
        <v>7814</v>
      </c>
      <c r="C2923" s="198" t="s">
        <v>23</v>
      </c>
      <c r="D2923" s="198" t="s">
        <v>1238</v>
      </c>
      <c r="E2923" s="198" t="s">
        <v>3204</v>
      </c>
      <c r="F2923" s="4" t="s">
        <v>2272</v>
      </c>
      <c r="G2923" s="4" t="s">
        <v>2272</v>
      </c>
      <c r="H2923" s="198" t="s">
        <v>521</v>
      </c>
      <c r="I2923" s="98"/>
      <c r="J2923" s="198" t="s">
        <v>2272</v>
      </c>
      <c r="K2923" s="198" t="s">
        <v>2272</v>
      </c>
      <c r="L2923" s="198" t="s">
        <v>2272</v>
      </c>
      <c r="M2923" s="198" t="s">
        <v>2272</v>
      </c>
      <c r="N2923" s="198" t="s">
        <v>2272</v>
      </c>
      <c r="O2923" s="198" t="s">
        <v>2272</v>
      </c>
      <c r="P2923" s="198" t="s">
        <v>2272</v>
      </c>
      <c r="Q2923" s="198" t="s">
        <v>2272</v>
      </c>
      <c r="R2923" s="198" t="s">
        <v>2272</v>
      </c>
      <c r="S2923" s="198" t="s">
        <v>2272</v>
      </c>
      <c r="T2923" s="198" t="s">
        <v>2272</v>
      </c>
      <c r="U2923" s="198" t="s">
        <v>2272</v>
      </c>
      <c r="V2923" s="198" t="s">
        <v>2272</v>
      </c>
      <c r="W2923" s="198" t="s">
        <v>2272</v>
      </c>
      <c r="X2923" s="198" t="s">
        <v>2272</v>
      </c>
      <c r="Y2923" s="198" t="s">
        <v>2272</v>
      </c>
      <c r="Z2923" s="198" t="s">
        <v>2272</v>
      </c>
      <c r="AA2923" s="198" t="s">
        <v>2272</v>
      </c>
      <c r="AB2923" s="198" t="s">
        <v>2272</v>
      </c>
      <c r="AC2923" s="198" t="s">
        <v>2272</v>
      </c>
      <c r="AD2923" s="198"/>
      <c r="AE2923" s="198"/>
    </row>
    <row r="2924" spans="1:31" ht="33.5" customHeight="1">
      <c r="A2924" s="4" t="s">
        <v>7673</v>
      </c>
      <c r="B2924" s="198" t="s">
        <v>7815</v>
      </c>
      <c r="C2924" s="198" t="s">
        <v>23</v>
      </c>
      <c r="D2924" s="198" t="s">
        <v>1238</v>
      </c>
      <c r="E2924" s="198" t="s">
        <v>3204</v>
      </c>
      <c r="F2924" s="4" t="s">
        <v>2272</v>
      </c>
      <c r="G2924" s="4" t="s">
        <v>2272</v>
      </c>
      <c r="H2924" s="198" t="s">
        <v>521</v>
      </c>
      <c r="I2924" s="98"/>
      <c r="J2924" s="198" t="s">
        <v>2272</v>
      </c>
      <c r="K2924" s="198" t="s">
        <v>2272</v>
      </c>
      <c r="L2924" s="198" t="s">
        <v>2272</v>
      </c>
      <c r="M2924" s="198" t="s">
        <v>2272</v>
      </c>
      <c r="N2924" s="198" t="s">
        <v>2272</v>
      </c>
      <c r="O2924" s="198" t="s">
        <v>2272</v>
      </c>
      <c r="P2924" s="198" t="s">
        <v>2272</v>
      </c>
      <c r="Q2924" s="198" t="s">
        <v>2272</v>
      </c>
      <c r="R2924" s="198" t="s">
        <v>2272</v>
      </c>
      <c r="S2924" s="198" t="s">
        <v>2272</v>
      </c>
      <c r="T2924" s="198" t="s">
        <v>2272</v>
      </c>
      <c r="U2924" s="198" t="s">
        <v>2272</v>
      </c>
      <c r="V2924" s="198" t="s">
        <v>2272</v>
      </c>
      <c r="W2924" s="198" t="s">
        <v>2272</v>
      </c>
      <c r="X2924" s="198" t="s">
        <v>2272</v>
      </c>
      <c r="Y2924" s="198" t="s">
        <v>2272</v>
      </c>
      <c r="Z2924" s="198" t="s">
        <v>2272</v>
      </c>
      <c r="AA2924" s="198" t="s">
        <v>2272</v>
      </c>
      <c r="AB2924" s="198" t="s">
        <v>2272</v>
      </c>
      <c r="AC2924" s="198" t="s">
        <v>2272</v>
      </c>
      <c r="AD2924" s="198"/>
      <c r="AE2924" s="198"/>
    </row>
    <row r="2925" spans="1:31" ht="33.5" customHeight="1">
      <c r="A2925" s="4" t="s">
        <v>7674</v>
      </c>
      <c r="B2925" s="198" t="s">
        <v>7816</v>
      </c>
      <c r="C2925" s="198" t="s">
        <v>23</v>
      </c>
      <c r="D2925" s="198" t="s">
        <v>1238</v>
      </c>
      <c r="E2925" s="198" t="s">
        <v>3204</v>
      </c>
      <c r="F2925" s="4" t="s">
        <v>2272</v>
      </c>
      <c r="G2925" s="4" t="s">
        <v>2272</v>
      </c>
      <c r="H2925" s="198" t="s">
        <v>521</v>
      </c>
      <c r="I2925" s="98"/>
      <c r="J2925" s="198" t="s">
        <v>2272</v>
      </c>
      <c r="K2925" s="198" t="s">
        <v>2272</v>
      </c>
      <c r="L2925" s="198" t="s">
        <v>2272</v>
      </c>
      <c r="M2925" s="198" t="s">
        <v>2272</v>
      </c>
      <c r="N2925" s="198" t="s">
        <v>2272</v>
      </c>
      <c r="O2925" s="198" t="s">
        <v>2272</v>
      </c>
      <c r="P2925" s="198" t="s">
        <v>2272</v>
      </c>
      <c r="Q2925" s="198" t="s">
        <v>2272</v>
      </c>
      <c r="R2925" s="198" t="s">
        <v>2272</v>
      </c>
      <c r="S2925" s="198" t="s">
        <v>2272</v>
      </c>
      <c r="T2925" s="198" t="s">
        <v>2272</v>
      </c>
      <c r="U2925" s="198" t="s">
        <v>2272</v>
      </c>
      <c r="V2925" s="198" t="s">
        <v>2272</v>
      </c>
      <c r="W2925" s="198" t="s">
        <v>2272</v>
      </c>
      <c r="X2925" s="198" t="s">
        <v>2272</v>
      </c>
      <c r="Y2925" s="198" t="s">
        <v>2272</v>
      </c>
      <c r="Z2925" s="198" t="s">
        <v>2272</v>
      </c>
      <c r="AA2925" s="198" t="s">
        <v>2272</v>
      </c>
      <c r="AB2925" s="198" t="s">
        <v>2272</v>
      </c>
      <c r="AC2925" s="198" t="s">
        <v>2272</v>
      </c>
      <c r="AD2925" s="198"/>
      <c r="AE2925" s="198"/>
    </row>
    <row r="2926" spans="1:31" ht="33.5" customHeight="1">
      <c r="A2926" s="4" t="s">
        <v>7675</v>
      </c>
      <c r="B2926" s="198" t="s">
        <v>7817</v>
      </c>
      <c r="C2926" s="198" t="s">
        <v>23</v>
      </c>
      <c r="D2926" s="198" t="s">
        <v>1238</v>
      </c>
      <c r="E2926" s="198" t="s">
        <v>3204</v>
      </c>
      <c r="F2926" s="4" t="s">
        <v>2272</v>
      </c>
      <c r="G2926" s="4" t="s">
        <v>2272</v>
      </c>
      <c r="H2926" s="198" t="s">
        <v>521</v>
      </c>
      <c r="I2926" s="98"/>
      <c r="J2926" s="198" t="s">
        <v>2272</v>
      </c>
      <c r="K2926" s="198" t="s">
        <v>2272</v>
      </c>
      <c r="L2926" s="198" t="s">
        <v>2272</v>
      </c>
      <c r="M2926" s="198" t="s">
        <v>2272</v>
      </c>
      <c r="N2926" s="198" t="s">
        <v>2272</v>
      </c>
      <c r="O2926" s="198" t="s">
        <v>2272</v>
      </c>
      <c r="P2926" s="198" t="s">
        <v>2272</v>
      </c>
      <c r="Q2926" s="198" t="s">
        <v>2272</v>
      </c>
      <c r="R2926" s="198" t="s">
        <v>2272</v>
      </c>
      <c r="S2926" s="198" t="s">
        <v>2272</v>
      </c>
      <c r="T2926" s="198" t="s">
        <v>2272</v>
      </c>
      <c r="U2926" s="198" t="s">
        <v>2272</v>
      </c>
      <c r="V2926" s="198" t="s">
        <v>2272</v>
      </c>
      <c r="W2926" s="198" t="s">
        <v>2272</v>
      </c>
      <c r="X2926" s="198" t="s">
        <v>2272</v>
      </c>
      <c r="Y2926" s="198" t="s">
        <v>2272</v>
      </c>
      <c r="Z2926" s="198" t="s">
        <v>2272</v>
      </c>
      <c r="AA2926" s="198" t="s">
        <v>2272</v>
      </c>
      <c r="AB2926" s="198" t="s">
        <v>2272</v>
      </c>
      <c r="AC2926" s="198" t="s">
        <v>2272</v>
      </c>
      <c r="AD2926" s="198"/>
      <c r="AE2926" s="198"/>
    </row>
    <row r="2927" spans="1:31" ht="33.5" customHeight="1">
      <c r="A2927" s="4" t="s">
        <v>7676</v>
      </c>
      <c r="B2927" s="198" t="s">
        <v>7818</v>
      </c>
      <c r="C2927" s="198" t="s">
        <v>23</v>
      </c>
      <c r="D2927" s="198" t="s">
        <v>1238</v>
      </c>
      <c r="E2927" s="198" t="s">
        <v>3204</v>
      </c>
      <c r="F2927" s="4" t="s">
        <v>2272</v>
      </c>
      <c r="G2927" s="4" t="s">
        <v>2272</v>
      </c>
      <c r="H2927" s="198" t="s">
        <v>521</v>
      </c>
      <c r="I2927" s="98"/>
      <c r="J2927" s="198" t="s">
        <v>2272</v>
      </c>
      <c r="K2927" s="198" t="s">
        <v>2272</v>
      </c>
      <c r="L2927" s="198" t="s">
        <v>2272</v>
      </c>
      <c r="M2927" s="198" t="s">
        <v>2272</v>
      </c>
      <c r="N2927" s="198" t="s">
        <v>2272</v>
      </c>
      <c r="O2927" s="198" t="s">
        <v>2272</v>
      </c>
      <c r="P2927" s="198" t="s">
        <v>2272</v>
      </c>
      <c r="Q2927" s="198" t="s">
        <v>2272</v>
      </c>
      <c r="R2927" s="198" t="s">
        <v>2272</v>
      </c>
      <c r="S2927" s="198" t="s">
        <v>2272</v>
      </c>
      <c r="T2927" s="198" t="s">
        <v>2272</v>
      </c>
      <c r="U2927" s="198" t="s">
        <v>2272</v>
      </c>
      <c r="V2927" s="198" t="s">
        <v>2272</v>
      </c>
      <c r="W2927" s="198" t="s">
        <v>2272</v>
      </c>
      <c r="X2927" s="198" t="s">
        <v>2272</v>
      </c>
      <c r="Y2927" s="198" t="s">
        <v>2272</v>
      </c>
      <c r="Z2927" s="198" t="s">
        <v>2272</v>
      </c>
      <c r="AA2927" s="198" t="s">
        <v>2272</v>
      </c>
      <c r="AB2927" s="198" t="s">
        <v>2272</v>
      </c>
      <c r="AC2927" s="198" t="s">
        <v>2272</v>
      </c>
      <c r="AD2927" s="198"/>
      <c r="AE2927" s="198"/>
    </row>
    <row r="2928" spans="1:31" ht="33.5" customHeight="1">
      <c r="A2928" s="4" t="s">
        <v>7677</v>
      </c>
      <c r="B2928" s="198" t="s">
        <v>7819</v>
      </c>
      <c r="C2928" s="198" t="s">
        <v>23</v>
      </c>
      <c r="D2928" s="198" t="s">
        <v>1238</v>
      </c>
      <c r="E2928" s="198" t="s">
        <v>3204</v>
      </c>
      <c r="F2928" s="4" t="s">
        <v>2272</v>
      </c>
      <c r="G2928" s="4" t="s">
        <v>2272</v>
      </c>
      <c r="H2928" s="198" t="s">
        <v>521</v>
      </c>
      <c r="I2928" s="98"/>
      <c r="J2928" s="198" t="s">
        <v>2272</v>
      </c>
      <c r="K2928" s="198" t="s">
        <v>2272</v>
      </c>
      <c r="L2928" s="198" t="s">
        <v>2272</v>
      </c>
      <c r="M2928" s="198" t="s">
        <v>2272</v>
      </c>
      <c r="N2928" s="198" t="s">
        <v>2272</v>
      </c>
      <c r="O2928" s="198" t="s">
        <v>2272</v>
      </c>
      <c r="P2928" s="198" t="s">
        <v>2272</v>
      </c>
      <c r="Q2928" s="198" t="s">
        <v>2272</v>
      </c>
      <c r="R2928" s="198" t="s">
        <v>2272</v>
      </c>
      <c r="S2928" s="198" t="s">
        <v>2272</v>
      </c>
      <c r="T2928" s="198" t="s">
        <v>2272</v>
      </c>
      <c r="U2928" s="198" t="s">
        <v>2272</v>
      </c>
      <c r="V2928" s="198" t="s">
        <v>2272</v>
      </c>
      <c r="W2928" s="198" t="s">
        <v>2272</v>
      </c>
      <c r="X2928" s="198" t="s">
        <v>2272</v>
      </c>
      <c r="Y2928" s="198" t="s">
        <v>2272</v>
      </c>
      <c r="Z2928" s="198" t="s">
        <v>2272</v>
      </c>
      <c r="AA2928" s="198" t="s">
        <v>2272</v>
      </c>
      <c r="AB2928" s="198" t="s">
        <v>2272</v>
      </c>
      <c r="AC2928" s="198" t="s">
        <v>2272</v>
      </c>
      <c r="AD2928" s="198"/>
      <c r="AE2928" s="198"/>
    </row>
    <row r="2929" spans="1:31" ht="33.5" customHeight="1">
      <c r="A2929" s="4" t="s">
        <v>7678</v>
      </c>
      <c r="B2929" s="198" t="s">
        <v>7820</v>
      </c>
      <c r="C2929" s="198" t="s">
        <v>23</v>
      </c>
      <c r="D2929" s="198" t="s">
        <v>1238</v>
      </c>
      <c r="E2929" s="198" t="s">
        <v>3204</v>
      </c>
      <c r="F2929" s="4" t="s">
        <v>2272</v>
      </c>
      <c r="G2929" s="4" t="s">
        <v>2272</v>
      </c>
      <c r="H2929" s="198" t="s">
        <v>521</v>
      </c>
      <c r="I2929" s="98"/>
      <c r="J2929" s="198" t="s">
        <v>2272</v>
      </c>
      <c r="K2929" s="198" t="s">
        <v>2272</v>
      </c>
      <c r="L2929" s="198" t="s">
        <v>2272</v>
      </c>
      <c r="M2929" s="198" t="s">
        <v>2272</v>
      </c>
      <c r="N2929" s="198" t="s">
        <v>2272</v>
      </c>
      <c r="O2929" s="198" t="s">
        <v>2272</v>
      </c>
      <c r="P2929" s="198" t="s">
        <v>2272</v>
      </c>
      <c r="Q2929" s="198" t="s">
        <v>2272</v>
      </c>
      <c r="R2929" s="198" t="s">
        <v>2272</v>
      </c>
      <c r="S2929" s="198" t="s">
        <v>2272</v>
      </c>
      <c r="T2929" s="198" t="s">
        <v>2272</v>
      </c>
      <c r="U2929" s="198" t="s">
        <v>2272</v>
      </c>
      <c r="V2929" s="198" t="s">
        <v>2272</v>
      </c>
      <c r="W2929" s="198" t="s">
        <v>2272</v>
      </c>
      <c r="X2929" s="198" t="s">
        <v>2272</v>
      </c>
      <c r="Y2929" s="198" t="s">
        <v>2272</v>
      </c>
      <c r="Z2929" s="198" t="s">
        <v>2272</v>
      </c>
      <c r="AA2929" s="198" t="s">
        <v>2272</v>
      </c>
      <c r="AB2929" s="198" t="s">
        <v>2272</v>
      </c>
      <c r="AC2929" s="198" t="s">
        <v>2272</v>
      </c>
      <c r="AD2929" s="198"/>
      <c r="AE2929" s="198"/>
    </row>
    <row r="2930" spans="1:31" ht="33.5" customHeight="1">
      <c r="A2930" s="4" t="s">
        <v>7679</v>
      </c>
      <c r="B2930" s="198" t="s">
        <v>7821</v>
      </c>
      <c r="C2930" s="198" t="s">
        <v>23</v>
      </c>
      <c r="D2930" s="198" t="s">
        <v>1238</v>
      </c>
      <c r="E2930" s="198" t="s">
        <v>3204</v>
      </c>
      <c r="F2930" s="4" t="s">
        <v>2272</v>
      </c>
      <c r="G2930" s="4" t="s">
        <v>2272</v>
      </c>
      <c r="H2930" s="198" t="s">
        <v>521</v>
      </c>
      <c r="I2930" s="98"/>
      <c r="J2930" s="198" t="s">
        <v>2272</v>
      </c>
      <c r="K2930" s="198" t="s">
        <v>2272</v>
      </c>
      <c r="L2930" s="198" t="s">
        <v>2272</v>
      </c>
      <c r="M2930" s="198" t="s">
        <v>2272</v>
      </c>
      <c r="N2930" s="198" t="s">
        <v>2272</v>
      </c>
      <c r="O2930" s="198" t="s">
        <v>2272</v>
      </c>
      <c r="P2930" s="198" t="s">
        <v>2272</v>
      </c>
      <c r="Q2930" s="198" t="s">
        <v>2272</v>
      </c>
      <c r="R2930" s="198" t="s">
        <v>2272</v>
      </c>
      <c r="S2930" s="198" t="s">
        <v>2272</v>
      </c>
      <c r="T2930" s="198" t="s">
        <v>2272</v>
      </c>
      <c r="U2930" s="198" t="s">
        <v>2272</v>
      </c>
      <c r="V2930" s="198" t="s">
        <v>2272</v>
      </c>
      <c r="W2930" s="198" t="s">
        <v>2272</v>
      </c>
      <c r="X2930" s="198" t="s">
        <v>2272</v>
      </c>
      <c r="Y2930" s="198" t="s">
        <v>2272</v>
      </c>
      <c r="Z2930" s="198" t="s">
        <v>2272</v>
      </c>
      <c r="AA2930" s="198" t="s">
        <v>2272</v>
      </c>
      <c r="AB2930" s="198" t="s">
        <v>2272</v>
      </c>
      <c r="AC2930" s="198" t="s">
        <v>2272</v>
      </c>
      <c r="AD2930" s="198"/>
      <c r="AE2930" s="198"/>
    </row>
    <row r="2931" spans="1:31" ht="33.5" customHeight="1">
      <c r="A2931" s="4" t="s">
        <v>7680</v>
      </c>
      <c r="B2931" s="198" t="s">
        <v>7822</v>
      </c>
      <c r="C2931" s="198" t="s">
        <v>23</v>
      </c>
      <c r="D2931" s="198" t="s">
        <v>1238</v>
      </c>
      <c r="E2931" s="198" t="s">
        <v>3204</v>
      </c>
      <c r="F2931" s="4" t="s">
        <v>2272</v>
      </c>
      <c r="G2931" s="4" t="s">
        <v>2272</v>
      </c>
      <c r="H2931" s="198" t="s">
        <v>521</v>
      </c>
      <c r="I2931" s="98"/>
      <c r="J2931" s="198" t="s">
        <v>2272</v>
      </c>
      <c r="K2931" s="198" t="s">
        <v>2272</v>
      </c>
      <c r="L2931" s="198" t="s">
        <v>2272</v>
      </c>
      <c r="M2931" s="198" t="s">
        <v>2272</v>
      </c>
      <c r="N2931" s="198" t="s">
        <v>2272</v>
      </c>
      <c r="O2931" s="198" t="s">
        <v>2272</v>
      </c>
      <c r="P2931" s="198" t="s">
        <v>2272</v>
      </c>
      <c r="Q2931" s="198" t="s">
        <v>2272</v>
      </c>
      <c r="R2931" s="198" t="s">
        <v>2272</v>
      </c>
      <c r="S2931" s="198" t="s">
        <v>2272</v>
      </c>
      <c r="T2931" s="198" t="s">
        <v>2272</v>
      </c>
      <c r="U2931" s="198" t="s">
        <v>2272</v>
      </c>
      <c r="V2931" s="198" t="s">
        <v>2272</v>
      </c>
      <c r="W2931" s="198" t="s">
        <v>2272</v>
      </c>
      <c r="X2931" s="198" t="s">
        <v>2272</v>
      </c>
      <c r="Y2931" s="198" t="s">
        <v>2272</v>
      </c>
      <c r="Z2931" s="198" t="s">
        <v>2272</v>
      </c>
      <c r="AA2931" s="198" t="s">
        <v>2272</v>
      </c>
      <c r="AB2931" s="198" t="s">
        <v>2272</v>
      </c>
      <c r="AC2931" s="198" t="s">
        <v>2272</v>
      </c>
      <c r="AD2931" s="198"/>
      <c r="AE2931" s="198"/>
    </row>
    <row r="2932" spans="1:31" ht="33.5" customHeight="1">
      <c r="A2932" s="4" t="s">
        <v>7681</v>
      </c>
      <c r="B2932" s="198" t="s">
        <v>7823</v>
      </c>
      <c r="C2932" s="198" t="s">
        <v>23</v>
      </c>
      <c r="D2932" s="198" t="s">
        <v>1238</v>
      </c>
      <c r="E2932" s="198" t="s">
        <v>3204</v>
      </c>
      <c r="F2932" s="4" t="s">
        <v>2272</v>
      </c>
      <c r="G2932" s="4" t="s">
        <v>2272</v>
      </c>
      <c r="H2932" s="198" t="s">
        <v>522</v>
      </c>
      <c r="I2932" s="98"/>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198" t="s">
        <v>2272</v>
      </c>
      <c r="AA2932" s="198" t="s">
        <v>2272</v>
      </c>
      <c r="AB2932" s="198" t="s">
        <v>2272</v>
      </c>
      <c r="AC2932" s="198" t="s">
        <v>2272</v>
      </c>
      <c r="AD2932" s="198"/>
      <c r="AE2932" s="198"/>
    </row>
    <row r="2933" spans="1:31" ht="33.5" customHeight="1">
      <c r="A2933" s="4" t="s">
        <v>7749</v>
      </c>
      <c r="B2933" s="198" t="s">
        <v>7824</v>
      </c>
      <c r="C2933" s="198" t="s">
        <v>23</v>
      </c>
      <c r="D2933" s="198" t="s">
        <v>1238</v>
      </c>
      <c r="E2933" s="198" t="s">
        <v>3204</v>
      </c>
      <c r="F2933" s="4" t="s">
        <v>2272</v>
      </c>
      <c r="G2933" s="4" t="s">
        <v>2272</v>
      </c>
      <c r="H2933" s="198" t="s">
        <v>521</v>
      </c>
      <c r="I2933" s="98"/>
      <c r="J2933" s="198" t="s">
        <v>2272</v>
      </c>
      <c r="K2933" s="198" t="s">
        <v>2272</v>
      </c>
      <c r="L2933" s="198" t="s">
        <v>2272</v>
      </c>
      <c r="M2933" s="198" t="s">
        <v>2272</v>
      </c>
      <c r="N2933" s="198" t="s">
        <v>2272</v>
      </c>
      <c r="O2933" s="198" t="s">
        <v>2272</v>
      </c>
      <c r="P2933" s="198" t="s">
        <v>2272</v>
      </c>
      <c r="Q2933" s="198" t="s">
        <v>2272</v>
      </c>
      <c r="R2933" s="198" t="s">
        <v>2272</v>
      </c>
      <c r="S2933" s="198" t="s">
        <v>2272</v>
      </c>
      <c r="T2933" s="198" t="s">
        <v>2272</v>
      </c>
      <c r="U2933" s="198" t="s">
        <v>2272</v>
      </c>
      <c r="V2933" s="198" t="s">
        <v>2272</v>
      </c>
      <c r="W2933" s="198" t="s">
        <v>2272</v>
      </c>
      <c r="X2933" s="198" t="s">
        <v>2272</v>
      </c>
      <c r="Y2933" s="198" t="s">
        <v>2272</v>
      </c>
      <c r="Z2933" s="198" t="s">
        <v>2272</v>
      </c>
      <c r="AA2933" s="198" t="s">
        <v>2272</v>
      </c>
      <c r="AB2933" s="198" t="s">
        <v>2272</v>
      </c>
      <c r="AC2933" s="198" t="s">
        <v>2272</v>
      </c>
      <c r="AD2933" s="198"/>
      <c r="AE2933" s="198"/>
    </row>
    <row r="2934" spans="1:31" ht="33.5" customHeight="1">
      <c r="A2934" s="4" t="s">
        <v>7750</v>
      </c>
      <c r="B2934" s="198" t="s">
        <v>7825</v>
      </c>
      <c r="C2934" s="198" t="s">
        <v>23</v>
      </c>
      <c r="D2934" s="198" t="s">
        <v>1238</v>
      </c>
      <c r="E2934" s="198" t="s">
        <v>3204</v>
      </c>
      <c r="F2934" s="4" t="s">
        <v>2272</v>
      </c>
      <c r="G2934" s="4" t="s">
        <v>2272</v>
      </c>
      <c r="H2934" s="198" t="s">
        <v>521</v>
      </c>
      <c r="I2934" s="98"/>
      <c r="J2934" s="198" t="s">
        <v>2272</v>
      </c>
      <c r="K2934" s="198" t="s">
        <v>2272</v>
      </c>
      <c r="L2934" s="198" t="s">
        <v>2272</v>
      </c>
      <c r="M2934" s="198" t="s">
        <v>2272</v>
      </c>
      <c r="N2934" s="198" t="s">
        <v>2272</v>
      </c>
      <c r="O2934" s="198" t="s">
        <v>2272</v>
      </c>
      <c r="P2934" s="198" t="s">
        <v>2272</v>
      </c>
      <c r="Q2934" s="198" t="s">
        <v>2272</v>
      </c>
      <c r="R2934" s="198" t="s">
        <v>2272</v>
      </c>
      <c r="S2934" s="198" t="s">
        <v>2272</v>
      </c>
      <c r="T2934" s="198" t="s">
        <v>2272</v>
      </c>
      <c r="U2934" s="198" t="s">
        <v>2272</v>
      </c>
      <c r="V2934" s="198" t="s">
        <v>2272</v>
      </c>
      <c r="W2934" s="198" t="s">
        <v>2272</v>
      </c>
      <c r="X2934" s="198" t="s">
        <v>2272</v>
      </c>
      <c r="Y2934" s="198" t="s">
        <v>2272</v>
      </c>
      <c r="Z2934" s="198" t="s">
        <v>2272</v>
      </c>
      <c r="AA2934" s="198" t="s">
        <v>2272</v>
      </c>
      <c r="AB2934" s="198" t="s">
        <v>2272</v>
      </c>
      <c r="AC2934" s="198" t="s">
        <v>2272</v>
      </c>
      <c r="AD2934" s="198"/>
      <c r="AE2934" s="198"/>
    </row>
    <row r="2935" spans="1:31" ht="33.5" customHeight="1">
      <c r="A2935" s="4" t="s">
        <v>7751</v>
      </c>
      <c r="B2935" s="198" t="s">
        <v>7826</v>
      </c>
      <c r="C2935" s="198" t="s">
        <v>23</v>
      </c>
      <c r="D2935" s="198" t="s">
        <v>1238</v>
      </c>
      <c r="E2935" s="198" t="s">
        <v>3204</v>
      </c>
      <c r="F2935" s="4" t="s">
        <v>2272</v>
      </c>
      <c r="G2935" s="4" t="s">
        <v>2272</v>
      </c>
      <c r="H2935" s="198" t="s">
        <v>521</v>
      </c>
      <c r="I2935" s="98"/>
      <c r="J2935" s="198" t="s">
        <v>2272</v>
      </c>
      <c r="K2935" s="198" t="s">
        <v>2272</v>
      </c>
      <c r="L2935" s="198" t="s">
        <v>2272</v>
      </c>
      <c r="M2935" s="198" t="s">
        <v>2272</v>
      </c>
      <c r="N2935" s="198" t="s">
        <v>2272</v>
      </c>
      <c r="O2935" s="198" t="s">
        <v>2272</v>
      </c>
      <c r="P2935" s="198" t="s">
        <v>2272</v>
      </c>
      <c r="Q2935" s="198" t="s">
        <v>2272</v>
      </c>
      <c r="R2935" s="198" t="s">
        <v>2272</v>
      </c>
      <c r="S2935" s="198" t="s">
        <v>2272</v>
      </c>
      <c r="T2935" s="198" t="s">
        <v>2272</v>
      </c>
      <c r="U2935" s="198" t="s">
        <v>2272</v>
      </c>
      <c r="V2935" s="198" t="s">
        <v>2272</v>
      </c>
      <c r="W2935" s="198" t="s">
        <v>2272</v>
      </c>
      <c r="X2935" s="198" t="s">
        <v>2272</v>
      </c>
      <c r="Y2935" s="198" t="s">
        <v>2272</v>
      </c>
      <c r="Z2935" s="198" t="s">
        <v>2272</v>
      </c>
      <c r="AA2935" s="198" t="s">
        <v>2272</v>
      </c>
      <c r="AB2935" s="198" t="s">
        <v>2272</v>
      </c>
      <c r="AC2935" s="198" t="s">
        <v>2272</v>
      </c>
      <c r="AD2935" s="198"/>
      <c r="AE2935" s="198"/>
    </row>
    <row r="2936" spans="1:31" ht="33.5" customHeight="1">
      <c r="A2936" s="4" t="s">
        <v>7752</v>
      </c>
      <c r="B2936" s="198" t="s">
        <v>7827</v>
      </c>
      <c r="C2936" s="198" t="s">
        <v>23</v>
      </c>
      <c r="D2936" s="198" t="s">
        <v>1238</v>
      </c>
      <c r="E2936" s="198" t="s">
        <v>3204</v>
      </c>
      <c r="F2936" s="4" t="s">
        <v>2272</v>
      </c>
      <c r="G2936" s="4" t="s">
        <v>2272</v>
      </c>
      <c r="H2936" s="198" t="s">
        <v>521</v>
      </c>
      <c r="I2936" s="98"/>
      <c r="J2936" s="198" t="s">
        <v>2272</v>
      </c>
      <c r="K2936" s="198" t="s">
        <v>2272</v>
      </c>
      <c r="L2936" s="198" t="s">
        <v>2272</v>
      </c>
      <c r="M2936" s="198" t="s">
        <v>2272</v>
      </c>
      <c r="N2936" s="198" t="s">
        <v>2272</v>
      </c>
      <c r="O2936" s="198" t="s">
        <v>2272</v>
      </c>
      <c r="P2936" s="198" t="s">
        <v>2272</v>
      </c>
      <c r="Q2936" s="198" t="s">
        <v>2272</v>
      </c>
      <c r="R2936" s="198" t="s">
        <v>2272</v>
      </c>
      <c r="S2936" s="198" t="s">
        <v>2272</v>
      </c>
      <c r="T2936" s="198" t="s">
        <v>2272</v>
      </c>
      <c r="U2936" s="198" t="s">
        <v>2272</v>
      </c>
      <c r="V2936" s="198" t="s">
        <v>2272</v>
      </c>
      <c r="W2936" s="198" t="s">
        <v>2272</v>
      </c>
      <c r="X2936" s="198" t="s">
        <v>2272</v>
      </c>
      <c r="Y2936" s="198" t="s">
        <v>2272</v>
      </c>
      <c r="Z2936" s="198" t="s">
        <v>2272</v>
      </c>
      <c r="AA2936" s="198" t="s">
        <v>2272</v>
      </c>
      <c r="AB2936" s="198" t="s">
        <v>2272</v>
      </c>
      <c r="AC2936" s="198" t="s">
        <v>2272</v>
      </c>
      <c r="AD2936" s="198"/>
      <c r="AE2936" s="198"/>
    </row>
    <row r="2937" spans="1:31" ht="33.5" customHeight="1">
      <c r="A2937" s="4" t="s">
        <v>7753</v>
      </c>
      <c r="B2937" s="198" t="s">
        <v>7828</v>
      </c>
      <c r="C2937" s="198" t="s">
        <v>23</v>
      </c>
      <c r="D2937" s="198" t="s">
        <v>1238</v>
      </c>
      <c r="E2937" s="198" t="s">
        <v>3204</v>
      </c>
      <c r="F2937" s="4" t="s">
        <v>2272</v>
      </c>
      <c r="G2937" s="4" t="s">
        <v>2272</v>
      </c>
      <c r="H2937" s="198" t="s">
        <v>521</v>
      </c>
      <c r="I2937" s="98"/>
      <c r="J2937" s="198" t="s">
        <v>2272</v>
      </c>
      <c r="K2937" s="198" t="s">
        <v>2272</v>
      </c>
      <c r="L2937" s="198" t="s">
        <v>2272</v>
      </c>
      <c r="M2937" s="198" t="s">
        <v>2272</v>
      </c>
      <c r="N2937" s="198" t="s">
        <v>2272</v>
      </c>
      <c r="O2937" s="198" t="s">
        <v>2272</v>
      </c>
      <c r="P2937" s="198" t="s">
        <v>2272</v>
      </c>
      <c r="Q2937" s="198" t="s">
        <v>2272</v>
      </c>
      <c r="R2937" s="198" t="s">
        <v>2272</v>
      </c>
      <c r="S2937" s="198" t="s">
        <v>2272</v>
      </c>
      <c r="T2937" s="198" t="s">
        <v>2272</v>
      </c>
      <c r="U2937" s="198" t="s">
        <v>2272</v>
      </c>
      <c r="V2937" s="198" t="s">
        <v>2272</v>
      </c>
      <c r="W2937" s="198" t="s">
        <v>2272</v>
      </c>
      <c r="X2937" s="198" t="s">
        <v>2272</v>
      </c>
      <c r="Y2937" s="198" t="s">
        <v>2272</v>
      </c>
      <c r="Z2937" s="198" t="s">
        <v>2272</v>
      </c>
      <c r="AA2937" s="198" t="s">
        <v>2272</v>
      </c>
      <c r="AB2937" s="198" t="s">
        <v>2272</v>
      </c>
      <c r="AC2937" s="198" t="s">
        <v>2272</v>
      </c>
      <c r="AD2937" s="198"/>
      <c r="AE2937" s="198"/>
    </row>
    <row r="2938" spans="1:31" ht="33.5" customHeight="1">
      <c r="A2938" s="4" t="s">
        <v>7754</v>
      </c>
      <c r="B2938" s="198" t="s">
        <v>7829</v>
      </c>
      <c r="C2938" s="198" t="s">
        <v>23</v>
      </c>
      <c r="D2938" s="198" t="s">
        <v>1238</v>
      </c>
      <c r="E2938" s="198" t="s">
        <v>3204</v>
      </c>
      <c r="F2938" s="4" t="s">
        <v>2272</v>
      </c>
      <c r="G2938" s="4" t="s">
        <v>2272</v>
      </c>
      <c r="H2938" s="198" t="s">
        <v>521</v>
      </c>
      <c r="I2938" s="98"/>
      <c r="J2938" s="198" t="s">
        <v>2272</v>
      </c>
      <c r="K2938" s="198" t="s">
        <v>2272</v>
      </c>
      <c r="L2938" s="198" t="s">
        <v>2272</v>
      </c>
      <c r="M2938" s="198" t="s">
        <v>2272</v>
      </c>
      <c r="N2938" s="198" t="s">
        <v>2272</v>
      </c>
      <c r="O2938" s="198" t="s">
        <v>2272</v>
      </c>
      <c r="P2938" s="198" t="s">
        <v>2272</v>
      </c>
      <c r="Q2938" s="198" t="s">
        <v>2272</v>
      </c>
      <c r="R2938" s="198" t="s">
        <v>2272</v>
      </c>
      <c r="S2938" s="198" t="s">
        <v>2272</v>
      </c>
      <c r="T2938" s="198" t="s">
        <v>2272</v>
      </c>
      <c r="U2938" s="198" t="s">
        <v>2272</v>
      </c>
      <c r="V2938" s="198" t="s">
        <v>2272</v>
      </c>
      <c r="W2938" s="198" t="s">
        <v>2272</v>
      </c>
      <c r="X2938" s="198" t="s">
        <v>2272</v>
      </c>
      <c r="Y2938" s="198" t="s">
        <v>2272</v>
      </c>
      <c r="Z2938" s="198" t="s">
        <v>2272</v>
      </c>
      <c r="AA2938" s="198" t="s">
        <v>2272</v>
      </c>
      <c r="AB2938" s="198" t="s">
        <v>2272</v>
      </c>
      <c r="AC2938" s="198" t="s">
        <v>2272</v>
      </c>
      <c r="AD2938" s="198"/>
      <c r="AE2938" s="198"/>
    </row>
    <row r="2939" spans="1:31" ht="33.5" customHeight="1">
      <c r="A2939" s="4" t="s">
        <v>7755</v>
      </c>
      <c r="B2939" s="198" t="s">
        <v>7830</v>
      </c>
      <c r="C2939" s="198" t="s">
        <v>23</v>
      </c>
      <c r="D2939" s="198" t="s">
        <v>1238</v>
      </c>
      <c r="E2939" s="198" t="s">
        <v>3204</v>
      </c>
      <c r="F2939" s="4" t="s">
        <v>2272</v>
      </c>
      <c r="G2939" s="4" t="s">
        <v>2272</v>
      </c>
      <c r="H2939" s="198" t="s">
        <v>521</v>
      </c>
      <c r="I2939" s="98"/>
      <c r="J2939" s="198" t="s">
        <v>2272</v>
      </c>
      <c r="K2939" s="198" t="s">
        <v>2272</v>
      </c>
      <c r="L2939" s="198" t="s">
        <v>2272</v>
      </c>
      <c r="M2939" s="198" t="s">
        <v>2272</v>
      </c>
      <c r="N2939" s="198" t="s">
        <v>2272</v>
      </c>
      <c r="O2939" s="198" t="s">
        <v>2272</v>
      </c>
      <c r="P2939" s="198" t="s">
        <v>2272</v>
      </c>
      <c r="Q2939" s="198" t="s">
        <v>2272</v>
      </c>
      <c r="R2939" s="198" t="s">
        <v>2272</v>
      </c>
      <c r="S2939" s="198" t="s">
        <v>2272</v>
      </c>
      <c r="T2939" s="198" t="s">
        <v>2272</v>
      </c>
      <c r="U2939" s="198" t="s">
        <v>2272</v>
      </c>
      <c r="V2939" s="198" t="s">
        <v>2272</v>
      </c>
      <c r="W2939" s="198" t="s">
        <v>2272</v>
      </c>
      <c r="X2939" s="198" t="s">
        <v>2272</v>
      </c>
      <c r="Y2939" s="198" t="s">
        <v>2272</v>
      </c>
      <c r="Z2939" s="198" t="s">
        <v>2272</v>
      </c>
      <c r="AA2939" s="198" t="s">
        <v>2272</v>
      </c>
      <c r="AB2939" s="198" t="s">
        <v>2272</v>
      </c>
      <c r="AC2939" s="198" t="s">
        <v>2272</v>
      </c>
      <c r="AD2939" s="198"/>
      <c r="AE2939" s="198"/>
    </row>
    <row r="2940" spans="1:31" ht="33.5" customHeight="1">
      <c r="A2940" s="4" t="s">
        <v>7659</v>
      </c>
      <c r="B2940" s="198" t="s">
        <v>7800</v>
      </c>
      <c r="C2940" s="198" t="s">
        <v>23</v>
      </c>
      <c r="D2940" s="198" t="s">
        <v>1238</v>
      </c>
      <c r="E2940" s="198" t="s">
        <v>3204</v>
      </c>
      <c r="F2940" s="4" t="s">
        <v>2272</v>
      </c>
      <c r="G2940" s="4" t="s">
        <v>2272</v>
      </c>
      <c r="H2940" s="198" t="s">
        <v>521</v>
      </c>
      <c r="I2940" s="98"/>
      <c r="J2940" s="198" t="s">
        <v>2272</v>
      </c>
      <c r="K2940" s="198" t="s">
        <v>2272</v>
      </c>
      <c r="L2940" s="198" t="s">
        <v>2272</v>
      </c>
      <c r="M2940" s="198" t="s">
        <v>2272</v>
      </c>
      <c r="N2940" s="198" t="s">
        <v>2272</v>
      </c>
      <c r="O2940" s="198" t="s">
        <v>2272</v>
      </c>
      <c r="P2940" s="198" t="s">
        <v>2272</v>
      </c>
      <c r="Q2940" s="198" t="s">
        <v>2272</v>
      </c>
      <c r="R2940" s="198" t="s">
        <v>2272</v>
      </c>
      <c r="S2940" s="198" t="s">
        <v>2272</v>
      </c>
      <c r="T2940" s="198" t="s">
        <v>2272</v>
      </c>
      <c r="U2940" s="198" t="s">
        <v>2272</v>
      </c>
      <c r="V2940" s="198" t="s">
        <v>2272</v>
      </c>
      <c r="W2940" s="198" t="s">
        <v>2272</v>
      </c>
      <c r="X2940" s="198" t="s">
        <v>2272</v>
      </c>
      <c r="Y2940" s="198" t="s">
        <v>2272</v>
      </c>
      <c r="Z2940" s="198" t="s">
        <v>2272</v>
      </c>
      <c r="AA2940" s="198" t="s">
        <v>2272</v>
      </c>
      <c r="AB2940" s="198" t="s">
        <v>2272</v>
      </c>
      <c r="AC2940" s="198" t="s">
        <v>2272</v>
      </c>
      <c r="AD2940" s="198"/>
      <c r="AE2940" s="198"/>
    </row>
    <row r="2941" spans="1:31" ht="33.5" customHeight="1">
      <c r="A2941" s="4" t="s">
        <v>7756</v>
      </c>
      <c r="B2941" s="198" t="s">
        <v>7831</v>
      </c>
      <c r="C2941" s="198" t="s">
        <v>23</v>
      </c>
      <c r="D2941" s="198" t="s">
        <v>1238</v>
      </c>
      <c r="E2941" s="198" t="s">
        <v>3204</v>
      </c>
      <c r="F2941" s="4" t="s">
        <v>2272</v>
      </c>
      <c r="G2941" s="4" t="s">
        <v>2272</v>
      </c>
      <c r="H2941" s="198" t="s">
        <v>521</v>
      </c>
      <c r="I2941" s="98"/>
      <c r="J2941" s="198" t="s">
        <v>2272</v>
      </c>
      <c r="K2941" s="198" t="s">
        <v>2272</v>
      </c>
      <c r="L2941" s="198" t="s">
        <v>2272</v>
      </c>
      <c r="M2941" s="198" t="s">
        <v>2272</v>
      </c>
      <c r="N2941" s="198" t="s">
        <v>2272</v>
      </c>
      <c r="O2941" s="198" t="s">
        <v>2272</v>
      </c>
      <c r="P2941" s="198" t="s">
        <v>2272</v>
      </c>
      <c r="Q2941" s="198" t="s">
        <v>2272</v>
      </c>
      <c r="R2941" s="198" t="s">
        <v>2272</v>
      </c>
      <c r="S2941" s="198" t="s">
        <v>2272</v>
      </c>
      <c r="T2941" s="198" t="s">
        <v>2272</v>
      </c>
      <c r="U2941" s="198" t="s">
        <v>2272</v>
      </c>
      <c r="V2941" s="198" t="s">
        <v>2272</v>
      </c>
      <c r="W2941" s="198" t="s">
        <v>2272</v>
      </c>
      <c r="X2941" s="198" t="s">
        <v>2272</v>
      </c>
      <c r="Y2941" s="198" t="s">
        <v>2272</v>
      </c>
      <c r="Z2941" s="198" t="s">
        <v>2272</v>
      </c>
      <c r="AA2941" s="198" t="s">
        <v>2272</v>
      </c>
      <c r="AB2941" s="198" t="s">
        <v>2272</v>
      </c>
      <c r="AC2941" s="198" t="s">
        <v>2272</v>
      </c>
      <c r="AD2941" s="198"/>
      <c r="AE2941" s="198"/>
    </row>
    <row r="2942" spans="1:31" ht="33.5" customHeight="1">
      <c r="A2942" s="4" t="s">
        <v>7757</v>
      </c>
      <c r="B2942" s="198" t="s">
        <v>7832</v>
      </c>
      <c r="C2942" s="198" t="s">
        <v>23</v>
      </c>
      <c r="D2942" s="198" t="s">
        <v>1238</v>
      </c>
      <c r="E2942" s="198" t="s">
        <v>3204</v>
      </c>
      <c r="F2942" s="4" t="s">
        <v>2272</v>
      </c>
      <c r="G2942" s="4" t="s">
        <v>2272</v>
      </c>
      <c r="H2942" s="198" t="s">
        <v>522</v>
      </c>
      <c r="I2942" s="98"/>
      <c r="J2942" s="21">
        <v>0</v>
      </c>
      <c r="K2942" s="21">
        <v>0</v>
      </c>
      <c r="L2942" s="21">
        <v>0</v>
      </c>
      <c r="M2942" s="21">
        <v>0</v>
      </c>
      <c r="N2942" s="21">
        <v>0</v>
      </c>
      <c r="O2942" s="21">
        <v>0</v>
      </c>
      <c r="P2942" s="21">
        <v>0</v>
      </c>
      <c r="Q2942" s="21">
        <v>0</v>
      </c>
      <c r="R2942" s="21">
        <v>0</v>
      </c>
      <c r="S2942" s="21">
        <v>0</v>
      </c>
      <c r="T2942" s="21">
        <v>0</v>
      </c>
      <c r="U2942" s="21">
        <v>0</v>
      </c>
      <c r="V2942" s="21">
        <v>0</v>
      </c>
      <c r="W2942" s="21">
        <v>0</v>
      </c>
      <c r="X2942" s="21">
        <v>0</v>
      </c>
      <c r="Y2942" s="21">
        <v>0</v>
      </c>
      <c r="Z2942" s="198" t="s">
        <v>2272</v>
      </c>
      <c r="AA2942" s="198" t="s">
        <v>2272</v>
      </c>
      <c r="AB2942" s="198" t="s">
        <v>2272</v>
      </c>
      <c r="AC2942" s="198" t="s">
        <v>2272</v>
      </c>
      <c r="AD2942" s="198"/>
      <c r="AE2942" s="198"/>
    </row>
    <row r="2943" spans="1:31" ht="33.5" customHeight="1">
      <c r="A2943" s="4" t="s">
        <v>7758</v>
      </c>
      <c r="B2943" s="198" t="s">
        <v>7833</v>
      </c>
      <c r="C2943" s="198" t="s">
        <v>23</v>
      </c>
      <c r="D2943" s="198" t="s">
        <v>1238</v>
      </c>
      <c r="E2943" s="198" t="s">
        <v>3204</v>
      </c>
      <c r="F2943" s="4" t="s">
        <v>2272</v>
      </c>
      <c r="G2943" s="4" t="s">
        <v>2272</v>
      </c>
      <c r="H2943" s="198" t="s">
        <v>521</v>
      </c>
      <c r="I2943" s="98"/>
      <c r="J2943" s="198" t="s">
        <v>2272</v>
      </c>
      <c r="K2943" s="198" t="s">
        <v>2272</v>
      </c>
      <c r="L2943" s="198" t="s">
        <v>2272</v>
      </c>
      <c r="M2943" s="198" t="s">
        <v>2272</v>
      </c>
      <c r="N2943" s="198" t="s">
        <v>2272</v>
      </c>
      <c r="O2943" s="198" t="s">
        <v>2272</v>
      </c>
      <c r="P2943" s="198" t="s">
        <v>2272</v>
      </c>
      <c r="Q2943" s="198" t="s">
        <v>2272</v>
      </c>
      <c r="R2943" s="198" t="s">
        <v>2272</v>
      </c>
      <c r="S2943" s="198" t="s">
        <v>2272</v>
      </c>
      <c r="T2943" s="198" t="s">
        <v>2272</v>
      </c>
      <c r="U2943" s="198" t="s">
        <v>2272</v>
      </c>
      <c r="V2943" s="198" t="s">
        <v>2272</v>
      </c>
      <c r="W2943" s="198" t="s">
        <v>2272</v>
      </c>
      <c r="X2943" s="198" t="s">
        <v>2272</v>
      </c>
      <c r="Y2943" s="198" t="s">
        <v>2272</v>
      </c>
      <c r="Z2943" s="198" t="s">
        <v>2272</v>
      </c>
      <c r="AA2943" s="198" t="s">
        <v>2272</v>
      </c>
      <c r="AB2943" s="198" t="s">
        <v>2272</v>
      </c>
      <c r="AC2943" s="198" t="s">
        <v>2272</v>
      </c>
      <c r="AD2943" s="198"/>
      <c r="AE2943" s="198"/>
    </row>
    <row r="2944" spans="1:31" ht="33.5" customHeight="1">
      <c r="A2944" s="4" t="s">
        <v>7759</v>
      </c>
      <c r="B2944" s="198" t="s">
        <v>7834</v>
      </c>
      <c r="C2944" s="198" t="s">
        <v>23</v>
      </c>
      <c r="D2944" s="198" t="s">
        <v>1238</v>
      </c>
      <c r="E2944" s="198" t="s">
        <v>3204</v>
      </c>
      <c r="F2944" s="4" t="s">
        <v>2272</v>
      </c>
      <c r="G2944" s="4" t="s">
        <v>2272</v>
      </c>
      <c r="H2944" s="198" t="s">
        <v>521</v>
      </c>
      <c r="I2944" s="98"/>
      <c r="J2944" s="198" t="s">
        <v>2272</v>
      </c>
      <c r="K2944" s="198" t="s">
        <v>2272</v>
      </c>
      <c r="L2944" s="198" t="s">
        <v>2272</v>
      </c>
      <c r="M2944" s="198" t="s">
        <v>2272</v>
      </c>
      <c r="N2944" s="198" t="s">
        <v>2272</v>
      </c>
      <c r="O2944" s="198" t="s">
        <v>2272</v>
      </c>
      <c r="P2944" s="198" t="s">
        <v>2272</v>
      </c>
      <c r="Q2944" s="198" t="s">
        <v>2272</v>
      </c>
      <c r="R2944" s="198" t="s">
        <v>2272</v>
      </c>
      <c r="S2944" s="198" t="s">
        <v>2272</v>
      </c>
      <c r="T2944" s="198" t="s">
        <v>2272</v>
      </c>
      <c r="U2944" s="198" t="s">
        <v>2272</v>
      </c>
      <c r="V2944" s="198" t="s">
        <v>2272</v>
      </c>
      <c r="W2944" s="198" t="s">
        <v>2272</v>
      </c>
      <c r="X2944" s="198" t="s">
        <v>2272</v>
      </c>
      <c r="Y2944" s="198" t="s">
        <v>2272</v>
      </c>
      <c r="Z2944" s="198" t="s">
        <v>2272</v>
      </c>
      <c r="AA2944" s="198" t="s">
        <v>2272</v>
      </c>
      <c r="AB2944" s="198" t="s">
        <v>2272</v>
      </c>
      <c r="AC2944" s="198" t="s">
        <v>2272</v>
      </c>
      <c r="AD2944" s="198"/>
      <c r="AE2944" s="198"/>
    </row>
    <row r="2945" spans="1:31" ht="33.5" customHeight="1">
      <c r="A2945" s="4" t="s">
        <v>7760</v>
      </c>
      <c r="B2945" s="198" t="s">
        <v>7835</v>
      </c>
      <c r="C2945" s="198" t="s">
        <v>23</v>
      </c>
      <c r="D2945" s="198" t="s">
        <v>1238</v>
      </c>
      <c r="E2945" s="198" t="s">
        <v>3204</v>
      </c>
      <c r="F2945" s="4" t="s">
        <v>2272</v>
      </c>
      <c r="G2945" s="4" t="s">
        <v>2272</v>
      </c>
      <c r="H2945" s="198" t="s">
        <v>521</v>
      </c>
      <c r="I2945" s="98"/>
      <c r="J2945" s="198" t="s">
        <v>2272</v>
      </c>
      <c r="K2945" s="198" t="s">
        <v>2272</v>
      </c>
      <c r="L2945" s="198" t="s">
        <v>2272</v>
      </c>
      <c r="M2945" s="198" t="s">
        <v>2272</v>
      </c>
      <c r="N2945" s="198" t="s">
        <v>2272</v>
      </c>
      <c r="O2945" s="198" t="s">
        <v>2272</v>
      </c>
      <c r="P2945" s="198" t="s">
        <v>2272</v>
      </c>
      <c r="Q2945" s="198" t="s">
        <v>2272</v>
      </c>
      <c r="R2945" s="198" t="s">
        <v>2272</v>
      </c>
      <c r="S2945" s="198" t="s">
        <v>2272</v>
      </c>
      <c r="T2945" s="198" t="s">
        <v>2272</v>
      </c>
      <c r="U2945" s="198" t="s">
        <v>2272</v>
      </c>
      <c r="V2945" s="198" t="s">
        <v>2272</v>
      </c>
      <c r="W2945" s="198" t="s">
        <v>2272</v>
      </c>
      <c r="X2945" s="198" t="s">
        <v>2272</v>
      </c>
      <c r="Y2945" s="198" t="s">
        <v>2272</v>
      </c>
      <c r="Z2945" s="198" t="s">
        <v>2272</v>
      </c>
      <c r="AA2945" s="198" t="s">
        <v>2272</v>
      </c>
      <c r="AB2945" s="198" t="s">
        <v>2272</v>
      </c>
      <c r="AC2945" s="198" t="s">
        <v>2272</v>
      </c>
      <c r="AD2945" s="198"/>
      <c r="AE2945" s="198"/>
    </row>
    <row r="2946" spans="1:31" ht="33.5" customHeight="1">
      <c r="A2946" s="4" t="s">
        <v>7761</v>
      </c>
      <c r="B2946" s="198" t="s">
        <v>7836</v>
      </c>
      <c r="C2946" s="198" t="s">
        <v>23</v>
      </c>
      <c r="D2946" s="198" t="s">
        <v>1238</v>
      </c>
      <c r="E2946" s="198" t="s">
        <v>3204</v>
      </c>
      <c r="F2946" s="4" t="s">
        <v>2272</v>
      </c>
      <c r="G2946" s="4" t="s">
        <v>2272</v>
      </c>
      <c r="H2946" s="198" t="s">
        <v>521</v>
      </c>
      <c r="I2946" s="98"/>
      <c r="J2946" s="198" t="s">
        <v>2272</v>
      </c>
      <c r="K2946" s="198" t="s">
        <v>2272</v>
      </c>
      <c r="L2946" s="198" t="s">
        <v>2272</v>
      </c>
      <c r="M2946" s="198" t="s">
        <v>2272</v>
      </c>
      <c r="N2946" s="198" t="s">
        <v>2272</v>
      </c>
      <c r="O2946" s="198" t="s">
        <v>2272</v>
      </c>
      <c r="P2946" s="198" t="s">
        <v>2272</v>
      </c>
      <c r="Q2946" s="198" t="s">
        <v>2272</v>
      </c>
      <c r="R2946" s="198" t="s">
        <v>2272</v>
      </c>
      <c r="S2946" s="198" t="s">
        <v>2272</v>
      </c>
      <c r="T2946" s="198" t="s">
        <v>2272</v>
      </c>
      <c r="U2946" s="198" t="s">
        <v>2272</v>
      </c>
      <c r="V2946" s="198" t="s">
        <v>2272</v>
      </c>
      <c r="W2946" s="198" t="s">
        <v>2272</v>
      </c>
      <c r="X2946" s="198" t="s">
        <v>2272</v>
      </c>
      <c r="Y2946" s="198" t="s">
        <v>2272</v>
      </c>
      <c r="Z2946" s="198" t="s">
        <v>2272</v>
      </c>
      <c r="AA2946" s="198" t="s">
        <v>2272</v>
      </c>
      <c r="AB2946" s="198" t="s">
        <v>2272</v>
      </c>
      <c r="AC2946" s="198" t="s">
        <v>2272</v>
      </c>
      <c r="AD2946" s="198"/>
      <c r="AE2946" s="198"/>
    </row>
    <row r="2947" spans="1:31" ht="33.5" customHeight="1">
      <c r="A2947" s="4" t="s">
        <v>7762</v>
      </c>
      <c r="B2947" s="198" t="s">
        <v>7837</v>
      </c>
      <c r="C2947" s="198" t="s">
        <v>23</v>
      </c>
      <c r="D2947" s="198" t="s">
        <v>1238</v>
      </c>
      <c r="E2947" s="198" t="s">
        <v>3204</v>
      </c>
      <c r="F2947" s="4" t="s">
        <v>2272</v>
      </c>
      <c r="G2947" s="4" t="s">
        <v>2272</v>
      </c>
      <c r="H2947" s="198" t="s">
        <v>522</v>
      </c>
      <c r="I2947" s="98"/>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198" t="s">
        <v>2272</v>
      </c>
      <c r="AA2947" s="198" t="s">
        <v>2272</v>
      </c>
      <c r="AB2947" s="198" t="s">
        <v>2272</v>
      </c>
      <c r="AC2947" s="198" t="s">
        <v>2272</v>
      </c>
      <c r="AD2947" s="198"/>
      <c r="AE2947" s="198"/>
    </row>
    <row r="2948" spans="1:31" ht="43.5" customHeight="1">
      <c r="A2948" s="4" t="s">
        <v>7763</v>
      </c>
      <c r="B2948" s="198" t="s">
        <v>7838</v>
      </c>
      <c r="C2948" s="198" t="s">
        <v>23</v>
      </c>
      <c r="D2948" s="198" t="s">
        <v>1238</v>
      </c>
      <c r="E2948" s="198" t="s">
        <v>3204</v>
      </c>
      <c r="F2948" s="4" t="s">
        <v>2272</v>
      </c>
      <c r="G2948" s="4" t="s">
        <v>2272</v>
      </c>
      <c r="H2948" s="198" t="s">
        <v>521</v>
      </c>
      <c r="I2948" s="98"/>
      <c r="J2948" s="198" t="s">
        <v>2272</v>
      </c>
      <c r="K2948" s="198" t="s">
        <v>2272</v>
      </c>
      <c r="L2948" s="198" t="s">
        <v>2272</v>
      </c>
      <c r="M2948" s="198" t="s">
        <v>2272</v>
      </c>
      <c r="N2948" s="198" t="s">
        <v>2272</v>
      </c>
      <c r="O2948" s="198" t="s">
        <v>2272</v>
      </c>
      <c r="P2948" s="198" t="s">
        <v>2272</v>
      </c>
      <c r="Q2948" s="198" t="s">
        <v>2272</v>
      </c>
      <c r="R2948" s="198" t="s">
        <v>2272</v>
      </c>
      <c r="S2948" s="198" t="s">
        <v>2272</v>
      </c>
      <c r="T2948" s="198" t="s">
        <v>2272</v>
      </c>
      <c r="U2948" s="198" t="s">
        <v>2272</v>
      </c>
      <c r="V2948" s="198" t="s">
        <v>2272</v>
      </c>
      <c r="W2948" s="198" t="s">
        <v>2272</v>
      </c>
      <c r="X2948" s="198" t="s">
        <v>2272</v>
      </c>
      <c r="Y2948" s="198" t="s">
        <v>2272</v>
      </c>
      <c r="Z2948" s="198" t="s">
        <v>2272</v>
      </c>
      <c r="AA2948" s="198" t="s">
        <v>2272</v>
      </c>
      <c r="AB2948" s="198" t="s">
        <v>2272</v>
      </c>
      <c r="AC2948" s="198" t="s">
        <v>2272</v>
      </c>
      <c r="AD2948" s="198"/>
      <c r="AE2948" s="198"/>
    </row>
    <row r="2949" spans="1:31" ht="47" customHeight="1">
      <c r="A2949" s="4" t="s">
        <v>7841</v>
      </c>
      <c r="B2949" s="198" t="s">
        <v>9939</v>
      </c>
      <c r="C2949" s="198" t="s">
        <v>23</v>
      </c>
      <c r="D2949" s="198" t="s">
        <v>1238</v>
      </c>
      <c r="E2949" s="198" t="s">
        <v>1102</v>
      </c>
      <c r="F2949" s="4" t="s">
        <v>2657</v>
      </c>
      <c r="G2949" s="4" t="s">
        <v>2657</v>
      </c>
      <c r="H2949" s="198" t="s">
        <v>522</v>
      </c>
      <c r="I2949" s="98"/>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v>0</v>
      </c>
      <c r="Y2949" s="21">
        <v>0</v>
      </c>
      <c r="Z2949" s="198" t="s">
        <v>2272</v>
      </c>
      <c r="AA2949" s="198" t="s">
        <v>2272</v>
      </c>
      <c r="AB2949" s="198" t="s">
        <v>2272</v>
      </c>
      <c r="AC2949" s="198" t="s">
        <v>2272</v>
      </c>
      <c r="AD2949" s="198"/>
      <c r="AE2949" s="198"/>
    </row>
    <row r="2950" spans="1:31" ht="49" customHeight="1">
      <c r="A2950" s="4" t="s">
        <v>7841</v>
      </c>
      <c r="B2950" s="198" t="s">
        <v>9940</v>
      </c>
      <c r="C2950" s="198" t="s">
        <v>23</v>
      </c>
      <c r="D2950" s="198" t="s">
        <v>142</v>
      </c>
      <c r="E2950" s="198" t="s">
        <v>1102</v>
      </c>
      <c r="F2950" s="4" t="s">
        <v>2657</v>
      </c>
      <c r="G2950" s="4" t="s">
        <v>2657</v>
      </c>
      <c r="H2950" s="198" t="s">
        <v>522</v>
      </c>
      <c r="I2950" s="98"/>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198" t="s">
        <v>2272</v>
      </c>
      <c r="AA2950" s="198" t="s">
        <v>2272</v>
      </c>
      <c r="AB2950" s="198" t="s">
        <v>2272</v>
      </c>
      <c r="AC2950" s="198" t="s">
        <v>2272</v>
      </c>
      <c r="AD2950" s="198"/>
      <c r="AE2950" s="198"/>
    </row>
    <row r="2951" spans="1:31" ht="49" customHeight="1">
      <c r="A2951" s="4" t="s">
        <v>7844</v>
      </c>
      <c r="B2951" s="198" t="s">
        <v>9942</v>
      </c>
      <c r="C2951" s="198" t="s">
        <v>23</v>
      </c>
      <c r="D2951" s="198" t="s">
        <v>142</v>
      </c>
      <c r="E2951" s="198" t="s">
        <v>135</v>
      </c>
      <c r="F2951" s="4" t="s">
        <v>2657</v>
      </c>
      <c r="G2951" s="4" t="s">
        <v>2657</v>
      </c>
      <c r="H2951" s="198" t="s">
        <v>522</v>
      </c>
      <c r="I2951" s="98"/>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v>0</v>
      </c>
      <c r="Y2951" s="21">
        <v>0</v>
      </c>
      <c r="Z2951" s="198" t="s">
        <v>2272</v>
      </c>
      <c r="AA2951" s="198" t="s">
        <v>2272</v>
      </c>
      <c r="AB2951" s="198" t="s">
        <v>2272</v>
      </c>
      <c r="AC2951" s="198" t="s">
        <v>2272</v>
      </c>
      <c r="AD2951" s="198"/>
      <c r="AE2951" s="198"/>
    </row>
    <row r="2952" spans="1:31" ht="64" customHeight="1">
      <c r="A2952" s="4" t="s">
        <v>7844</v>
      </c>
      <c r="B2952" s="198" t="s">
        <v>9943</v>
      </c>
      <c r="C2952" s="198" t="s">
        <v>23</v>
      </c>
      <c r="D2952" s="198" t="s">
        <v>142</v>
      </c>
      <c r="E2952" s="198" t="s">
        <v>135</v>
      </c>
      <c r="F2952" s="4" t="s">
        <v>2657</v>
      </c>
      <c r="G2952" s="4" t="s">
        <v>2657</v>
      </c>
      <c r="H2952" s="198" t="s">
        <v>521</v>
      </c>
      <c r="I2952" s="98" t="s">
        <v>9941</v>
      </c>
      <c r="J2952" s="21">
        <f>7/3/'Record info'!$K1224</f>
        <v>0.23333333333333334</v>
      </c>
      <c r="K2952" s="21">
        <f>7/3/'Record info'!$K1224</f>
        <v>0.23333333333333334</v>
      </c>
      <c r="L2952" s="21">
        <v>24</v>
      </c>
      <c r="M2952" s="21">
        <v>24</v>
      </c>
      <c r="N2952" s="21">
        <v>126</v>
      </c>
      <c r="O2952" s="21">
        <v>126</v>
      </c>
      <c r="P2952" s="21">
        <f>AVERAGE(24, 126, 40)</f>
        <v>63.333333333333336</v>
      </c>
      <c r="Q2952" s="21">
        <f>AVERAGE(24, 126, 40)</f>
        <v>63.333333333333336</v>
      </c>
      <c r="R2952" s="21">
        <v>0</v>
      </c>
      <c r="S2952" s="21">
        <v>0</v>
      </c>
      <c r="T2952" s="21">
        <v>63.333333000000003</v>
      </c>
      <c r="U2952" s="21">
        <v>63.333333000000003</v>
      </c>
      <c r="V2952" s="21">
        <f>100*63.333333/600</f>
        <v>10.555555500000001</v>
      </c>
      <c r="W2952" s="21">
        <f>100*63.333333/600</f>
        <v>10.555555500000001</v>
      </c>
      <c r="X2952" s="21">
        <f>63.333333/'Record info'!$K$1224</f>
        <v>6.3333333000000005</v>
      </c>
      <c r="Y2952" s="21">
        <f>63.333333/'Record info'!$K$1224</f>
        <v>6.3333333000000005</v>
      </c>
      <c r="Z2952" s="198" t="s">
        <v>2272</v>
      </c>
      <c r="AA2952" s="198" t="s">
        <v>402</v>
      </c>
      <c r="AB2952" s="198" t="s">
        <v>403</v>
      </c>
      <c r="AC2952" s="198" t="s">
        <v>63</v>
      </c>
      <c r="AD2952" s="4" t="s">
        <v>9929</v>
      </c>
      <c r="AE2952" s="4" t="s">
        <v>9944</v>
      </c>
    </row>
    <row r="2953" spans="1:31" ht="52" customHeight="1">
      <c r="A2953" s="4" t="s">
        <v>7862</v>
      </c>
      <c r="B2953" s="198" t="s">
        <v>7864</v>
      </c>
      <c r="C2953" s="198" t="s">
        <v>23</v>
      </c>
      <c r="D2953" s="198" t="s">
        <v>141</v>
      </c>
      <c r="E2953" s="198" t="s">
        <v>128</v>
      </c>
      <c r="F2953" s="4" t="s">
        <v>73</v>
      </c>
      <c r="G2953" s="4" t="s">
        <v>73</v>
      </c>
      <c r="H2953" s="198" t="s">
        <v>521</v>
      </c>
      <c r="I2953" s="198"/>
      <c r="J2953" s="198" t="s">
        <v>2272</v>
      </c>
      <c r="K2953" s="198" t="s">
        <v>2272</v>
      </c>
      <c r="L2953" s="21">
        <v>0.5</v>
      </c>
      <c r="M2953" s="198" t="s">
        <v>2272</v>
      </c>
      <c r="N2953" s="198" t="s">
        <v>2272</v>
      </c>
      <c r="O2953" s="198" t="s">
        <v>2272</v>
      </c>
      <c r="P2953" s="21">
        <v>2.327</v>
      </c>
      <c r="Q2953" s="198" t="s">
        <v>2272</v>
      </c>
      <c r="R2953" s="198" t="s">
        <v>2272</v>
      </c>
      <c r="S2953" s="198" t="s">
        <v>2272</v>
      </c>
      <c r="T2953" s="198" t="s">
        <v>2272</v>
      </c>
      <c r="U2953" s="198" t="s">
        <v>2272</v>
      </c>
      <c r="V2953" s="198" t="s">
        <v>2272</v>
      </c>
      <c r="W2953" s="198" t="s">
        <v>2272</v>
      </c>
      <c r="X2953" s="198" t="s">
        <v>2272</v>
      </c>
      <c r="Y2953" s="198" t="s">
        <v>2272</v>
      </c>
      <c r="Z2953" s="198" t="s">
        <v>2272</v>
      </c>
      <c r="AA2953" s="198" t="s">
        <v>67</v>
      </c>
      <c r="AB2953" s="198" t="s">
        <v>34</v>
      </c>
      <c r="AC2953" s="198" t="s">
        <v>2272</v>
      </c>
      <c r="AD2953" s="198" t="s">
        <v>7873</v>
      </c>
      <c r="AE2953" s="198"/>
    </row>
    <row r="2954" spans="1:31" ht="52" customHeight="1">
      <c r="A2954" s="4" t="s">
        <v>7862</v>
      </c>
      <c r="B2954" s="198" t="s">
        <v>7865</v>
      </c>
      <c r="C2954" s="198" t="s">
        <v>23</v>
      </c>
      <c r="D2954" s="198" t="s">
        <v>26</v>
      </c>
      <c r="E2954" s="198" t="s">
        <v>128</v>
      </c>
      <c r="F2954" s="4" t="s">
        <v>158</v>
      </c>
      <c r="G2954" s="4" t="s">
        <v>158</v>
      </c>
      <c r="H2954" s="198" t="s">
        <v>521</v>
      </c>
      <c r="I2954" s="198"/>
      <c r="J2954" s="198" t="s">
        <v>2272</v>
      </c>
      <c r="K2954" s="198" t="s">
        <v>2272</v>
      </c>
      <c r="L2954" s="21">
        <v>0.5</v>
      </c>
      <c r="M2954" s="198" t="s">
        <v>2272</v>
      </c>
      <c r="N2954" s="198" t="s">
        <v>2272</v>
      </c>
      <c r="O2954" s="198" t="s">
        <v>2272</v>
      </c>
      <c r="P2954" s="21">
        <v>2.327</v>
      </c>
      <c r="Q2954" s="198" t="s">
        <v>2272</v>
      </c>
      <c r="R2954" s="198" t="s">
        <v>2272</v>
      </c>
      <c r="S2954" s="198" t="s">
        <v>2272</v>
      </c>
      <c r="T2954" s="198" t="s">
        <v>2272</v>
      </c>
      <c r="U2954" s="198" t="s">
        <v>2272</v>
      </c>
      <c r="V2954" s="198" t="s">
        <v>2272</v>
      </c>
      <c r="W2954" s="198" t="s">
        <v>2272</v>
      </c>
      <c r="X2954" s="198" t="s">
        <v>2272</v>
      </c>
      <c r="Y2954" s="198" t="s">
        <v>2272</v>
      </c>
      <c r="Z2954" s="21" t="s">
        <v>2398</v>
      </c>
      <c r="AA2954" s="198" t="s">
        <v>423</v>
      </c>
      <c r="AB2954" s="198" t="s">
        <v>397</v>
      </c>
      <c r="AC2954" s="198" t="s">
        <v>2272</v>
      </c>
      <c r="AD2954" s="198"/>
      <c r="AE2954" s="198"/>
    </row>
    <row r="2955" spans="1:31" ht="52" customHeight="1">
      <c r="A2955" s="4" t="s">
        <v>7862</v>
      </c>
      <c r="B2955" s="198" t="s">
        <v>7866</v>
      </c>
      <c r="C2955" s="198" t="s">
        <v>23</v>
      </c>
      <c r="D2955" s="198" t="s">
        <v>141</v>
      </c>
      <c r="E2955" s="4" t="s">
        <v>3849</v>
      </c>
      <c r="F2955" s="4" t="s">
        <v>73</v>
      </c>
      <c r="G2955" s="4" t="s">
        <v>73</v>
      </c>
      <c r="H2955" s="198" t="s">
        <v>521</v>
      </c>
      <c r="I2955" s="198"/>
      <c r="J2955" s="198" t="s">
        <v>2272</v>
      </c>
      <c r="K2955" s="198" t="s">
        <v>2272</v>
      </c>
      <c r="L2955" s="21">
        <v>1</v>
      </c>
      <c r="M2955" s="198" t="s">
        <v>2272</v>
      </c>
      <c r="N2955" s="21">
        <v>12.5</v>
      </c>
      <c r="O2955" s="198" t="s">
        <v>2272</v>
      </c>
      <c r="P2955" s="21">
        <v>5.4249999999999998</v>
      </c>
      <c r="Q2955" s="198" t="s">
        <v>2272</v>
      </c>
      <c r="R2955" s="198" t="s">
        <v>2272</v>
      </c>
      <c r="S2955" s="198" t="s">
        <v>2272</v>
      </c>
      <c r="T2955" s="198" t="s">
        <v>2272</v>
      </c>
      <c r="U2955" s="198" t="s">
        <v>2272</v>
      </c>
      <c r="V2955" s="198" t="s">
        <v>2272</v>
      </c>
      <c r="W2955" s="198" t="s">
        <v>2272</v>
      </c>
      <c r="X2955" s="198" t="s">
        <v>2272</v>
      </c>
      <c r="Y2955" s="198" t="s">
        <v>2272</v>
      </c>
      <c r="Z2955" s="198" t="s">
        <v>2272</v>
      </c>
      <c r="AA2955" s="198" t="s">
        <v>67</v>
      </c>
      <c r="AB2955" s="198" t="s">
        <v>34</v>
      </c>
      <c r="AC2955" s="198" t="s">
        <v>2272</v>
      </c>
      <c r="AD2955" s="198"/>
      <c r="AE2955" s="198"/>
    </row>
    <row r="2956" spans="1:31" ht="52" customHeight="1">
      <c r="A2956" s="4" t="s">
        <v>7862</v>
      </c>
      <c r="B2956" s="198" t="s">
        <v>7867</v>
      </c>
      <c r="C2956" s="198" t="s">
        <v>23</v>
      </c>
      <c r="D2956" s="198" t="s">
        <v>24</v>
      </c>
      <c r="E2956" s="4" t="s">
        <v>3849</v>
      </c>
      <c r="F2956" s="4" t="s">
        <v>28</v>
      </c>
      <c r="G2956" s="4" t="s">
        <v>28</v>
      </c>
      <c r="H2956" s="198" t="s">
        <v>521</v>
      </c>
      <c r="I2956" s="198"/>
      <c r="J2956" s="198" t="s">
        <v>2272</v>
      </c>
      <c r="K2956" s="198" t="s">
        <v>2272</v>
      </c>
      <c r="L2956" s="198" t="s">
        <v>2272</v>
      </c>
      <c r="M2956" s="198" t="s">
        <v>2272</v>
      </c>
      <c r="N2956" s="198" t="s">
        <v>2272</v>
      </c>
      <c r="O2956" s="198" t="s">
        <v>2272</v>
      </c>
      <c r="P2956" s="198" t="s">
        <v>2272</v>
      </c>
      <c r="Q2956" s="198" t="s">
        <v>2272</v>
      </c>
      <c r="R2956" s="198" t="s">
        <v>2272</v>
      </c>
      <c r="S2956" s="198" t="s">
        <v>2272</v>
      </c>
      <c r="T2956" s="198" t="s">
        <v>2272</v>
      </c>
      <c r="U2956" s="198" t="s">
        <v>2272</v>
      </c>
      <c r="V2956" s="198" t="s">
        <v>2272</v>
      </c>
      <c r="W2956" s="198" t="s">
        <v>2272</v>
      </c>
      <c r="X2956" s="198" t="s">
        <v>2272</v>
      </c>
      <c r="Y2956" s="198" t="s">
        <v>2272</v>
      </c>
      <c r="Z2956" s="21" t="s">
        <v>2370</v>
      </c>
      <c r="AA2956" s="198" t="s">
        <v>2272</v>
      </c>
      <c r="AB2956" s="198" t="s">
        <v>2272</v>
      </c>
      <c r="AC2956" s="198" t="s">
        <v>2272</v>
      </c>
      <c r="AD2956" s="198"/>
      <c r="AE2956" s="198"/>
    </row>
    <row r="2957" spans="1:31" ht="47.5" customHeight="1">
      <c r="A2957" s="4" t="s">
        <v>7862</v>
      </c>
      <c r="B2957" s="198" t="s">
        <v>7868</v>
      </c>
      <c r="C2957" s="198" t="s">
        <v>2453</v>
      </c>
      <c r="D2957" s="198" t="s">
        <v>24</v>
      </c>
      <c r="E2957" s="4" t="s">
        <v>3849</v>
      </c>
      <c r="F2957" s="4" t="s">
        <v>28</v>
      </c>
      <c r="G2957" s="4" t="s">
        <v>73</v>
      </c>
      <c r="H2957" s="198" t="s">
        <v>521</v>
      </c>
      <c r="I2957" s="198"/>
      <c r="J2957" s="198" t="s">
        <v>2272</v>
      </c>
      <c r="K2957" s="198" t="s">
        <v>2272</v>
      </c>
      <c r="L2957" s="198" t="s">
        <v>2272</v>
      </c>
      <c r="M2957" s="198" t="s">
        <v>2272</v>
      </c>
      <c r="N2957" s="198" t="s">
        <v>2272</v>
      </c>
      <c r="O2957" s="198" t="s">
        <v>2272</v>
      </c>
      <c r="P2957" s="198" t="s">
        <v>2272</v>
      </c>
      <c r="Q2957" s="198" t="s">
        <v>2272</v>
      </c>
      <c r="R2957" s="198" t="s">
        <v>2272</v>
      </c>
      <c r="S2957" s="198" t="s">
        <v>2272</v>
      </c>
      <c r="T2957" s="198" t="s">
        <v>2272</v>
      </c>
      <c r="U2957" s="198" t="s">
        <v>2272</v>
      </c>
      <c r="V2957" s="198" t="s">
        <v>2272</v>
      </c>
      <c r="W2957" s="198" t="s">
        <v>2272</v>
      </c>
      <c r="X2957" s="198" t="s">
        <v>2272</v>
      </c>
      <c r="Y2957" s="198" t="s">
        <v>2272</v>
      </c>
      <c r="Z2957" s="198" t="s">
        <v>2272</v>
      </c>
      <c r="AA2957" s="198" t="s">
        <v>2272</v>
      </c>
      <c r="AB2957" s="198" t="s">
        <v>2272</v>
      </c>
      <c r="AC2957" s="198" t="s">
        <v>2272</v>
      </c>
      <c r="AD2957" s="198"/>
      <c r="AE2957" s="198"/>
    </row>
    <row r="2958" spans="1:31" ht="36.5" customHeight="1">
      <c r="A2958" s="4" t="s">
        <v>7862</v>
      </c>
      <c r="B2958" s="198" t="s">
        <v>7869</v>
      </c>
      <c r="C2958" s="198" t="s">
        <v>23</v>
      </c>
      <c r="D2958" s="198" t="s">
        <v>141</v>
      </c>
      <c r="E2958" s="198" t="s">
        <v>44</v>
      </c>
      <c r="F2958" s="4" t="s">
        <v>73</v>
      </c>
      <c r="G2958" s="4" t="s">
        <v>73</v>
      </c>
      <c r="H2958" s="198" t="s">
        <v>521</v>
      </c>
      <c r="I2958" s="198"/>
      <c r="J2958" s="198" t="s">
        <v>2272</v>
      </c>
      <c r="K2958" s="198" t="s">
        <v>2272</v>
      </c>
      <c r="L2958" s="198" t="s">
        <v>2272</v>
      </c>
      <c r="M2958" s="198" t="s">
        <v>2272</v>
      </c>
      <c r="N2958" s="198" t="s">
        <v>2272</v>
      </c>
      <c r="O2958" s="198" t="s">
        <v>2272</v>
      </c>
      <c r="P2958" s="198" t="s">
        <v>2272</v>
      </c>
      <c r="Q2958" s="198" t="s">
        <v>2272</v>
      </c>
      <c r="R2958" s="198" t="s">
        <v>2272</v>
      </c>
      <c r="S2958" s="198" t="s">
        <v>2272</v>
      </c>
      <c r="T2958" s="198" t="s">
        <v>2272</v>
      </c>
      <c r="U2958" s="198" t="s">
        <v>2272</v>
      </c>
      <c r="V2958" s="198" t="s">
        <v>2272</v>
      </c>
      <c r="W2958" s="198" t="s">
        <v>2272</v>
      </c>
      <c r="X2958" s="198" t="s">
        <v>2272</v>
      </c>
      <c r="Y2958" s="198" t="s">
        <v>2272</v>
      </c>
      <c r="Z2958" s="198" t="s">
        <v>2272</v>
      </c>
      <c r="AA2958" s="198" t="s">
        <v>67</v>
      </c>
      <c r="AB2958" s="198" t="s">
        <v>34</v>
      </c>
      <c r="AC2958" s="198" t="s">
        <v>2272</v>
      </c>
      <c r="AD2958" s="198"/>
      <c r="AE2958" s="198"/>
    </row>
    <row r="2959" spans="1:31" ht="36.5" customHeight="1">
      <c r="A2959" s="4" t="s">
        <v>7862</v>
      </c>
      <c r="B2959" s="198" t="s">
        <v>7870</v>
      </c>
      <c r="C2959" s="198" t="s">
        <v>23</v>
      </c>
      <c r="D2959" s="198" t="s">
        <v>24</v>
      </c>
      <c r="E2959" s="198" t="s">
        <v>44</v>
      </c>
      <c r="F2959" s="4" t="s">
        <v>28</v>
      </c>
      <c r="G2959" s="4" t="s">
        <v>28</v>
      </c>
      <c r="H2959" s="198" t="s">
        <v>521</v>
      </c>
      <c r="I2959" s="198"/>
      <c r="J2959" s="198" t="s">
        <v>2272</v>
      </c>
      <c r="K2959" s="198" t="s">
        <v>2272</v>
      </c>
      <c r="L2959" s="198" t="s">
        <v>2272</v>
      </c>
      <c r="M2959" s="198" t="s">
        <v>2272</v>
      </c>
      <c r="N2959" s="198" t="s">
        <v>2272</v>
      </c>
      <c r="O2959" s="198" t="s">
        <v>2272</v>
      </c>
      <c r="P2959" s="198" t="s">
        <v>2272</v>
      </c>
      <c r="Q2959" s="198" t="s">
        <v>2272</v>
      </c>
      <c r="R2959" s="198" t="s">
        <v>2272</v>
      </c>
      <c r="S2959" s="198" t="s">
        <v>2272</v>
      </c>
      <c r="T2959" s="198" t="s">
        <v>2272</v>
      </c>
      <c r="U2959" s="198" t="s">
        <v>2272</v>
      </c>
      <c r="V2959" s="198" t="s">
        <v>2272</v>
      </c>
      <c r="W2959" s="198" t="s">
        <v>2272</v>
      </c>
      <c r="X2959" s="198" t="s">
        <v>2272</v>
      </c>
      <c r="Y2959" s="198" t="s">
        <v>2272</v>
      </c>
      <c r="Z2959" s="21" t="s">
        <v>2370</v>
      </c>
      <c r="AA2959" s="198" t="s">
        <v>2272</v>
      </c>
      <c r="AB2959" s="198" t="s">
        <v>2272</v>
      </c>
      <c r="AC2959" s="198" t="s">
        <v>2272</v>
      </c>
      <c r="AD2959" s="198"/>
      <c r="AE2959" s="198"/>
    </row>
    <row r="2960" spans="1:31" ht="36.5" customHeight="1">
      <c r="A2960" s="4" t="s">
        <v>7862</v>
      </c>
      <c r="B2960" s="198" t="s">
        <v>7871</v>
      </c>
      <c r="C2960" s="198" t="s">
        <v>2453</v>
      </c>
      <c r="D2960" s="198" t="s">
        <v>24</v>
      </c>
      <c r="E2960" s="198" t="s">
        <v>44</v>
      </c>
      <c r="F2960" s="4" t="s">
        <v>28</v>
      </c>
      <c r="G2960" s="4" t="s">
        <v>73</v>
      </c>
      <c r="H2960" s="198" t="s">
        <v>521</v>
      </c>
      <c r="I2960" s="198"/>
      <c r="J2960" s="198" t="s">
        <v>2272</v>
      </c>
      <c r="K2960" s="198" t="s">
        <v>2272</v>
      </c>
      <c r="L2960" s="198" t="s">
        <v>2272</v>
      </c>
      <c r="M2960" s="198" t="s">
        <v>2272</v>
      </c>
      <c r="N2960" s="198" t="s">
        <v>2272</v>
      </c>
      <c r="O2960" s="198" t="s">
        <v>2272</v>
      </c>
      <c r="P2960" s="198" t="s">
        <v>2272</v>
      </c>
      <c r="Q2960" s="198" t="s">
        <v>2272</v>
      </c>
      <c r="R2960" s="198" t="s">
        <v>2272</v>
      </c>
      <c r="S2960" s="198" t="s">
        <v>2272</v>
      </c>
      <c r="T2960" s="198" t="s">
        <v>2272</v>
      </c>
      <c r="U2960" s="198" t="s">
        <v>2272</v>
      </c>
      <c r="V2960" s="198" t="s">
        <v>2272</v>
      </c>
      <c r="W2960" s="198" t="s">
        <v>2272</v>
      </c>
      <c r="X2960" s="198" t="s">
        <v>2272</v>
      </c>
      <c r="Y2960" s="198" t="s">
        <v>2272</v>
      </c>
      <c r="Z2960" s="198" t="s">
        <v>2272</v>
      </c>
      <c r="AA2960" s="198" t="s">
        <v>2272</v>
      </c>
      <c r="AB2960" s="198" t="s">
        <v>2272</v>
      </c>
      <c r="AC2960" s="198" t="s">
        <v>2272</v>
      </c>
      <c r="AD2960" s="198"/>
      <c r="AE2960" s="198"/>
    </row>
    <row r="2961" spans="1:31" ht="49" customHeight="1">
      <c r="A2961" s="4" t="s">
        <v>7875</v>
      </c>
      <c r="B2961" s="198" t="s">
        <v>7879</v>
      </c>
      <c r="C2961" s="198" t="s">
        <v>23</v>
      </c>
      <c r="D2961" s="198" t="s">
        <v>24</v>
      </c>
      <c r="E2961" s="198" t="s">
        <v>44</v>
      </c>
      <c r="F2961" s="4" t="s">
        <v>54</v>
      </c>
      <c r="G2961" s="4" t="s">
        <v>54</v>
      </c>
      <c r="H2961" s="198" t="s">
        <v>521</v>
      </c>
      <c r="I2961" s="198"/>
      <c r="J2961" s="198" t="s">
        <v>2272</v>
      </c>
      <c r="K2961" s="198" t="s">
        <v>2272</v>
      </c>
      <c r="L2961" s="198" t="s">
        <v>2272</v>
      </c>
      <c r="M2961" s="198" t="s">
        <v>2272</v>
      </c>
      <c r="N2961" s="198" t="s">
        <v>2272</v>
      </c>
      <c r="O2961" s="198" t="s">
        <v>2272</v>
      </c>
      <c r="P2961" s="198" t="s">
        <v>2272</v>
      </c>
      <c r="Q2961" s="198" t="s">
        <v>2272</v>
      </c>
      <c r="R2961" s="198" t="s">
        <v>2272</v>
      </c>
      <c r="S2961" s="198" t="s">
        <v>2272</v>
      </c>
      <c r="T2961" s="198" t="s">
        <v>2272</v>
      </c>
      <c r="U2961" s="198" t="s">
        <v>2272</v>
      </c>
      <c r="V2961" s="198" t="s">
        <v>2272</v>
      </c>
      <c r="W2961" s="198" t="s">
        <v>2272</v>
      </c>
      <c r="X2961" s="198" t="s">
        <v>2272</v>
      </c>
      <c r="Y2961" s="198" t="s">
        <v>2272</v>
      </c>
      <c r="Z2961" s="198" t="s">
        <v>2272</v>
      </c>
      <c r="AA2961" s="198" t="s">
        <v>2272</v>
      </c>
      <c r="AB2961" s="198" t="s">
        <v>2272</v>
      </c>
      <c r="AC2961" s="198" t="s">
        <v>2272</v>
      </c>
      <c r="AD2961" s="4" t="s">
        <v>7881</v>
      </c>
      <c r="AE2961" s="198" t="s">
        <v>7883</v>
      </c>
    </row>
    <row r="2962" spans="1:31" ht="49" customHeight="1">
      <c r="A2962" s="4" t="s">
        <v>7875</v>
      </c>
      <c r="B2962" s="198" t="s">
        <v>7880</v>
      </c>
      <c r="C2962" s="198" t="s">
        <v>23</v>
      </c>
      <c r="D2962" s="198" t="s">
        <v>24</v>
      </c>
      <c r="E2962" s="198" t="s">
        <v>5000</v>
      </c>
      <c r="F2962" s="4" t="s">
        <v>54</v>
      </c>
      <c r="G2962" s="4" t="s">
        <v>54</v>
      </c>
      <c r="H2962" s="198" t="s">
        <v>521</v>
      </c>
      <c r="I2962" s="198"/>
      <c r="J2962" s="198" t="s">
        <v>2272</v>
      </c>
      <c r="K2962" s="198" t="s">
        <v>2272</v>
      </c>
      <c r="L2962" s="198" t="s">
        <v>2272</v>
      </c>
      <c r="M2962" s="198" t="s">
        <v>2272</v>
      </c>
      <c r="N2962" s="198" t="s">
        <v>2272</v>
      </c>
      <c r="O2962" s="198" t="s">
        <v>2272</v>
      </c>
      <c r="P2962" s="198" t="s">
        <v>2272</v>
      </c>
      <c r="Q2962" s="198" t="s">
        <v>2272</v>
      </c>
      <c r="R2962" s="198" t="s">
        <v>2272</v>
      </c>
      <c r="S2962" s="198" t="s">
        <v>2272</v>
      </c>
      <c r="T2962" s="198" t="s">
        <v>2272</v>
      </c>
      <c r="U2962" s="198" t="s">
        <v>2272</v>
      </c>
      <c r="V2962" s="198" t="s">
        <v>2272</v>
      </c>
      <c r="W2962" s="198" t="s">
        <v>2272</v>
      </c>
      <c r="X2962" s="198" t="s">
        <v>2272</v>
      </c>
      <c r="Y2962" s="198" t="s">
        <v>2272</v>
      </c>
      <c r="Z2962" s="198" t="s">
        <v>2272</v>
      </c>
      <c r="AA2962" s="198" t="s">
        <v>2272</v>
      </c>
      <c r="AB2962" s="198" t="s">
        <v>2272</v>
      </c>
      <c r="AC2962" s="198" t="s">
        <v>2272</v>
      </c>
      <c r="AD2962" s="4" t="s">
        <v>7882</v>
      </c>
      <c r="AE2962" s="198" t="s">
        <v>7883</v>
      </c>
    </row>
    <row r="2963" spans="1:31" ht="33.5" customHeight="1">
      <c r="A2963" s="198" t="s">
        <v>7884</v>
      </c>
      <c r="B2963" s="198" t="s">
        <v>7887</v>
      </c>
      <c r="C2963" s="198" t="s">
        <v>23</v>
      </c>
      <c r="D2963" s="198" t="s">
        <v>142</v>
      </c>
      <c r="E2963" s="198" t="s">
        <v>135</v>
      </c>
      <c r="F2963" s="4" t="s">
        <v>2272</v>
      </c>
      <c r="G2963" s="4" t="s">
        <v>2272</v>
      </c>
      <c r="H2963" s="198" t="s">
        <v>522</v>
      </c>
      <c r="I2963" s="198"/>
      <c r="J2963" s="21">
        <v>0</v>
      </c>
      <c r="K2963" s="21">
        <v>0</v>
      </c>
      <c r="L2963" s="21">
        <v>0</v>
      </c>
      <c r="M2963" s="21">
        <v>0</v>
      </c>
      <c r="N2963" s="21">
        <v>0</v>
      </c>
      <c r="O2963" s="21">
        <v>0</v>
      </c>
      <c r="P2963" s="21">
        <v>0</v>
      </c>
      <c r="Q2963" s="21">
        <v>0</v>
      </c>
      <c r="R2963" s="21">
        <v>0</v>
      </c>
      <c r="S2963" s="21">
        <v>0</v>
      </c>
      <c r="T2963" s="21">
        <v>0</v>
      </c>
      <c r="U2963" s="21">
        <v>0</v>
      </c>
      <c r="V2963" s="21">
        <v>0</v>
      </c>
      <c r="W2963" s="21">
        <v>0</v>
      </c>
      <c r="X2963" s="21">
        <v>0</v>
      </c>
      <c r="Y2963" s="198" t="s">
        <v>2272</v>
      </c>
      <c r="Z2963" s="198" t="s">
        <v>2272</v>
      </c>
      <c r="AA2963" s="198" t="s">
        <v>2272</v>
      </c>
      <c r="AB2963" s="198" t="s">
        <v>2272</v>
      </c>
      <c r="AC2963" s="198" t="s">
        <v>2272</v>
      </c>
      <c r="AD2963" s="198"/>
      <c r="AE2963" s="198"/>
    </row>
    <row r="2964" spans="1:31" ht="33.5" customHeight="1">
      <c r="A2964" s="198" t="s">
        <v>7884</v>
      </c>
      <c r="B2964" s="198" t="s">
        <v>7888</v>
      </c>
      <c r="C2964" s="198" t="s">
        <v>23</v>
      </c>
      <c r="D2964" s="198" t="s">
        <v>24</v>
      </c>
      <c r="E2964" s="198" t="s">
        <v>44</v>
      </c>
      <c r="F2964" s="4" t="s">
        <v>2272</v>
      </c>
      <c r="G2964" s="4" t="s">
        <v>2272</v>
      </c>
      <c r="H2964" s="198" t="s">
        <v>522</v>
      </c>
      <c r="I2964" s="198"/>
      <c r="J2964" s="21">
        <v>0</v>
      </c>
      <c r="K2964" s="21">
        <v>0</v>
      </c>
      <c r="L2964" s="21">
        <v>0</v>
      </c>
      <c r="M2964" s="21">
        <v>0</v>
      </c>
      <c r="N2964" s="21">
        <v>0</v>
      </c>
      <c r="O2964" s="21">
        <v>0</v>
      </c>
      <c r="P2964" s="21">
        <v>0</v>
      </c>
      <c r="Q2964" s="21">
        <v>0</v>
      </c>
      <c r="R2964" s="21">
        <v>0</v>
      </c>
      <c r="S2964" s="21">
        <v>0</v>
      </c>
      <c r="T2964" s="21">
        <v>0</v>
      </c>
      <c r="U2964" s="21">
        <v>0</v>
      </c>
      <c r="V2964" s="21">
        <v>0</v>
      </c>
      <c r="W2964" s="21">
        <v>0</v>
      </c>
      <c r="X2964" s="21">
        <v>0</v>
      </c>
      <c r="Y2964" s="198" t="s">
        <v>2272</v>
      </c>
      <c r="Z2964" s="198" t="s">
        <v>2272</v>
      </c>
      <c r="AA2964" s="198" t="s">
        <v>2272</v>
      </c>
      <c r="AB2964" s="198" t="s">
        <v>2272</v>
      </c>
      <c r="AC2964" s="198" t="s">
        <v>2272</v>
      </c>
      <c r="AD2964" s="198"/>
      <c r="AE2964" s="198"/>
    </row>
    <row r="2965" spans="1:31" ht="32" customHeight="1">
      <c r="A2965" s="198" t="s">
        <v>7890</v>
      </c>
      <c r="B2965" s="198" t="s">
        <v>7892</v>
      </c>
      <c r="C2965" s="198" t="s">
        <v>2653</v>
      </c>
      <c r="D2965" s="198" t="s">
        <v>2272</v>
      </c>
      <c r="E2965" s="198" t="s">
        <v>2272</v>
      </c>
      <c r="F2965" s="198" t="s">
        <v>2272</v>
      </c>
      <c r="G2965" s="4" t="s">
        <v>2657</v>
      </c>
      <c r="H2965" s="198" t="s">
        <v>521</v>
      </c>
      <c r="I2965" s="198"/>
      <c r="J2965" s="198" t="s">
        <v>2272</v>
      </c>
      <c r="K2965" s="198" t="s">
        <v>2272</v>
      </c>
      <c r="L2965" s="198" t="s">
        <v>2272</v>
      </c>
      <c r="M2965" s="198" t="s">
        <v>2272</v>
      </c>
      <c r="N2965" s="198" t="s">
        <v>2272</v>
      </c>
      <c r="O2965" s="198" t="s">
        <v>2272</v>
      </c>
      <c r="P2965" s="198" t="s">
        <v>2272</v>
      </c>
      <c r="Q2965" s="198" t="s">
        <v>2272</v>
      </c>
      <c r="R2965" s="198" t="s">
        <v>2272</v>
      </c>
      <c r="S2965" s="198" t="s">
        <v>2272</v>
      </c>
      <c r="T2965" s="198" t="s">
        <v>2272</v>
      </c>
      <c r="U2965" s="198" t="s">
        <v>2272</v>
      </c>
      <c r="V2965" s="198" t="s">
        <v>2272</v>
      </c>
      <c r="W2965" s="198" t="s">
        <v>2272</v>
      </c>
      <c r="X2965" s="198" t="s">
        <v>2272</v>
      </c>
      <c r="Y2965" s="198" t="s">
        <v>2272</v>
      </c>
      <c r="Z2965" s="198" t="s">
        <v>2272</v>
      </c>
      <c r="AA2965" s="198" t="s">
        <v>2272</v>
      </c>
      <c r="AB2965" s="198" t="s">
        <v>2272</v>
      </c>
      <c r="AC2965" s="198" t="s">
        <v>2272</v>
      </c>
      <c r="AD2965" s="198"/>
      <c r="AE2965" s="198"/>
    </row>
    <row r="2966" spans="1:31" ht="31.5" customHeight="1">
      <c r="A2966" s="163" t="s">
        <v>7896</v>
      </c>
      <c r="B2966" s="163" t="s">
        <v>7907</v>
      </c>
      <c r="C2966" s="198" t="s">
        <v>23</v>
      </c>
      <c r="D2966" s="198" t="s">
        <v>142</v>
      </c>
      <c r="E2966" s="198" t="s">
        <v>135</v>
      </c>
      <c r="F2966" s="4" t="s">
        <v>2657</v>
      </c>
      <c r="G2966" s="4" t="s">
        <v>2657</v>
      </c>
      <c r="H2966" s="198" t="s">
        <v>521</v>
      </c>
      <c r="I2966" s="198"/>
      <c r="J2966" s="198" t="s">
        <v>2272</v>
      </c>
      <c r="K2966" s="198" t="s">
        <v>2272</v>
      </c>
      <c r="L2966" s="198" t="s">
        <v>2272</v>
      </c>
      <c r="M2966" s="198" t="s">
        <v>2272</v>
      </c>
      <c r="N2966" s="198" t="s">
        <v>2272</v>
      </c>
      <c r="O2966" s="198" t="s">
        <v>2272</v>
      </c>
      <c r="P2966" s="198" t="s">
        <v>2272</v>
      </c>
      <c r="Q2966" s="198" t="s">
        <v>2272</v>
      </c>
      <c r="R2966" s="198" t="s">
        <v>2272</v>
      </c>
      <c r="S2966" s="198" t="s">
        <v>2272</v>
      </c>
      <c r="T2966" s="198" t="s">
        <v>2272</v>
      </c>
      <c r="U2966" s="198" t="s">
        <v>2272</v>
      </c>
      <c r="V2966" s="198" t="s">
        <v>2272</v>
      </c>
      <c r="W2966" s="198" t="s">
        <v>2272</v>
      </c>
      <c r="X2966" s="198" t="s">
        <v>2272</v>
      </c>
      <c r="Y2966" s="198" t="s">
        <v>2272</v>
      </c>
      <c r="Z2966" s="21">
        <v>2</v>
      </c>
      <c r="AA2966" s="198" t="s">
        <v>423</v>
      </c>
      <c r="AB2966" s="198" t="s">
        <v>67</v>
      </c>
      <c r="AC2966" s="198" t="s">
        <v>2650</v>
      </c>
      <c r="AD2966" s="198" t="s">
        <v>7915</v>
      </c>
      <c r="AE2966" s="198"/>
    </row>
    <row r="2967" spans="1:31" ht="31.5" customHeight="1">
      <c r="A2967" s="4" t="s">
        <v>7899</v>
      </c>
      <c r="B2967" s="4" t="s">
        <v>7908</v>
      </c>
      <c r="C2967" s="198" t="s">
        <v>23</v>
      </c>
      <c r="D2967" s="198" t="s">
        <v>142</v>
      </c>
      <c r="E2967" s="198" t="s">
        <v>135</v>
      </c>
      <c r="F2967" s="4" t="s">
        <v>2657</v>
      </c>
      <c r="G2967" s="4" t="s">
        <v>2657</v>
      </c>
      <c r="H2967" s="198" t="s">
        <v>521</v>
      </c>
      <c r="I2967" s="198"/>
      <c r="J2967" s="198" t="s">
        <v>2272</v>
      </c>
      <c r="K2967" s="198" t="s">
        <v>2272</v>
      </c>
      <c r="L2967" s="198" t="s">
        <v>2272</v>
      </c>
      <c r="M2967" s="198" t="s">
        <v>2272</v>
      </c>
      <c r="N2967" s="198" t="s">
        <v>2272</v>
      </c>
      <c r="O2967" s="198" t="s">
        <v>2272</v>
      </c>
      <c r="P2967" s="198" t="s">
        <v>2272</v>
      </c>
      <c r="Q2967" s="198" t="s">
        <v>2272</v>
      </c>
      <c r="R2967" s="198" t="s">
        <v>2272</v>
      </c>
      <c r="S2967" s="198" t="s">
        <v>2272</v>
      </c>
      <c r="T2967" s="198" t="s">
        <v>2272</v>
      </c>
      <c r="U2967" s="198" t="s">
        <v>2272</v>
      </c>
      <c r="V2967" s="198" t="s">
        <v>2272</v>
      </c>
      <c r="W2967" s="198" t="s">
        <v>2272</v>
      </c>
      <c r="X2967" s="198" t="s">
        <v>2272</v>
      </c>
      <c r="Y2967" s="198" t="s">
        <v>2272</v>
      </c>
      <c r="Z2967" s="21">
        <v>2</v>
      </c>
      <c r="AA2967" s="198" t="s">
        <v>423</v>
      </c>
      <c r="AB2967" s="198" t="s">
        <v>67</v>
      </c>
      <c r="AC2967" s="198" t="s">
        <v>2650</v>
      </c>
      <c r="AD2967" s="198" t="s">
        <v>7915</v>
      </c>
      <c r="AE2967" s="198"/>
    </row>
    <row r="2968" spans="1:31" ht="31.5" customHeight="1">
      <c r="A2968" s="4" t="s">
        <v>7900</v>
      </c>
      <c r="B2968" s="4" t="s">
        <v>7909</v>
      </c>
      <c r="C2968" s="198" t="s">
        <v>23</v>
      </c>
      <c r="D2968" s="198" t="s">
        <v>142</v>
      </c>
      <c r="E2968" s="198" t="s">
        <v>135</v>
      </c>
      <c r="F2968" s="4" t="s">
        <v>2657</v>
      </c>
      <c r="G2968" s="4" t="s">
        <v>2657</v>
      </c>
      <c r="H2968" s="198" t="s">
        <v>521</v>
      </c>
      <c r="I2968" s="198"/>
      <c r="J2968" s="198" t="s">
        <v>2272</v>
      </c>
      <c r="K2968" s="198" t="s">
        <v>2272</v>
      </c>
      <c r="L2968" s="198" t="s">
        <v>2272</v>
      </c>
      <c r="M2968" s="198" t="s">
        <v>2272</v>
      </c>
      <c r="N2968" s="198" t="s">
        <v>2272</v>
      </c>
      <c r="O2968" s="198" t="s">
        <v>2272</v>
      </c>
      <c r="P2968" s="198" t="s">
        <v>2272</v>
      </c>
      <c r="Q2968" s="198" t="s">
        <v>2272</v>
      </c>
      <c r="R2968" s="198" t="s">
        <v>2272</v>
      </c>
      <c r="S2968" s="198" t="s">
        <v>2272</v>
      </c>
      <c r="T2968" s="198" t="s">
        <v>2272</v>
      </c>
      <c r="U2968" s="198" t="s">
        <v>2272</v>
      </c>
      <c r="V2968" s="198" t="s">
        <v>2272</v>
      </c>
      <c r="W2968" s="198" t="s">
        <v>2272</v>
      </c>
      <c r="X2968" s="198" t="s">
        <v>2272</v>
      </c>
      <c r="Y2968" s="198" t="s">
        <v>2272</v>
      </c>
      <c r="Z2968" s="21">
        <v>2</v>
      </c>
      <c r="AA2968" s="198" t="s">
        <v>423</v>
      </c>
      <c r="AB2968" s="198" t="s">
        <v>67</v>
      </c>
      <c r="AC2968" s="198" t="s">
        <v>2650</v>
      </c>
      <c r="AD2968" s="198" t="s">
        <v>7915</v>
      </c>
      <c r="AE2968" s="198"/>
    </row>
    <row r="2969" spans="1:31" ht="31.5" customHeight="1">
      <c r="A2969" s="4" t="s">
        <v>7901</v>
      </c>
      <c r="B2969" s="4" t="s">
        <v>7910</v>
      </c>
      <c r="C2969" s="198" t="s">
        <v>23</v>
      </c>
      <c r="D2969" s="198" t="s">
        <v>142</v>
      </c>
      <c r="E2969" s="198" t="s">
        <v>135</v>
      </c>
      <c r="F2969" s="4" t="s">
        <v>2657</v>
      </c>
      <c r="G2969" s="4" t="s">
        <v>2657</v>
      </c>
      <c r="H2969" s="198" t="s">
        <v>521</v>
      </c>
      <c r="I2969" s="198"/>
      <c r="J2969" s="198" t="s">
        <v>2272</v>
      </c>
      <c r="K2969" s="198" t="s">
        <v>2272</v>
      </c>
      <c r="L2969" s="198" t="s">
        <v>2272</v>
      </c>
      <c r="M2969" s="198" t="s">
        <v>2272</v>
      </c>
      <c r="N2969" s="198" t="s">
        <v>2272</v>
      </c>
      <c r="O2969" s="198" t="s">
        <v>2272</v>
      </c>
      <c r="P2969" s="198" t="s">
        <v>2272</v>
      </c>
      <c r="Q2969" s="198" t="s">
        <v>2272</v>
      </c>
      <c r="R2969" s="198" t="s">
        <v>2272</v>
      </c>
      <c r="S2969" s="198" t="s">
        <v>2272</v>
      </c>
      <c r="T2969" s="198" t="s">
        <v>2272</v>
      </c>
      <c r="U2969" s="198" t="s">
        <v>2272</v>
      </c>
      <c r="V2969" s="198" t="s">
        <v>2272</v>
      </c>
      <c r="W2969" s="198" t="s">
        <v>2272</v>
      </c>
      <c r="X2969" s="198" t="s">
        <v>2272</v>
      </c>
      <c r="Y2969" s="198" t="s">
        <v>2272</v>
      </c>
      <c r="Z2969" s="21">
        <v>2</v>
      </c>
      <c r="AA2969" s="198" t="s">
        <v>423</v>
      </c>
      <c r="AB2969" s="198" t="s">
        <v>67</v>
      </c>
      <c r="AC2969" s="198" t="s">
        <v>2650</v>
      </c>
      <c r="AD2969" s="198" t="s">
        <v>7915</v>
      </c>
      <c r="AE2969" s="198"/>
    </row>
    <row r="2970" spans="1:31" ht="31.5" customHeight="1">
      <c r="A2970" s="4" t="s">
        <v>7902</v>
      </c>
      <c r="B2970" s="4" t="s">
        <v>7911</v>
      </c>
      <c r="C2970" s="198" t="s">
        <v>23</v>
      </c>
      <c r="D2970" s="198" t="s">
        <v>24</v>
      </c>
      <c r="E2970" s="198" t="s">
        <v>2642</v>
      </c>
      <c r="F2970" s="4" t="s">
        <v>28</v>
      </c>
      <c r="G2970" s="4" t="s">
        <v>28</v>
      </c>
      <c r="H2970" s="198" t="s">
        <v>521</v>
      </c>
      <c r="I2970" s="198"/>
      <c r="J2970" s="198" t="s">
        <v>2272</v>
      </c>
      <c r="K2970" s="198" t="s">
        <v>2272</v>
      </c>
      <c r="L2970" s="198" t="s">
        <v>2272</v>
      </c>
      <c r="M2970" s="198" t="s">
        <v>2272</v>
      </c>
      <c r="N2970" s="198" t="s">
        <v>2272</v>
      </c>
      <c r="O2970" s="198" t="s">
        <v>2272</v>
      </c>
      <c r="P2970" s="198" t="s">
        <v>2272</v>
      </c>
      <c r="Q2970" s="198" t="s">
        <v>2272</v>
      </c>
      <c r="R2970" s="198" t="s">
        <v>2272</v>
      </c>
      <c r="S2970" s="198" t="s">
        <v>2272</v>
      </c>
      <c r="T2970" s="198" t="s">
        <v>2272</v>
      </c>
      <c r="U2970" s="198" t="s">
        <v>2272</v>
      </c>
      <c r="V2970" s="198" t="s">
        <v>2272</v>
      </c>
      <c r="W2970" s="198" t="s">
        <v>2272</v>
      </c>
      <c r="X2970" s="198" t="s">
        <v>2272</v>
      </c>
      <c r="Y2970" s="198" t="s">
        <v>2272</v>
      </c>
      <c r="Z2970" s="21">
        <v>2</v>
      </c>
      <c r="AA2970" s="198" t="s">
        <v>423</v>
      </c>
      <c r="AB2970" s="198" t="s">
        <v>67</v>
      </c>
      <c r="AC2970" s="198" t="s">
        <v>2650</v>
      </c>
      <c r="AD2970" s="198" t="s">
        <v>7915</v>
      </c>
      <c r="AE2970" s="198"/>
    </row>
    <row r="2971" spans="1:31" ht="31.5" customHeight="1">
      <c r="A2971" s="4" t="s">
        <v>7903</v>
      </c>
      <c r="B2971" s="4" t="s">
        <v>7912</v>
      </c>
      <c r="C2971" s="198" t="s">
        <v>23</v>
      </c>
      <c r="D2971" s="198" t="s">
        <v>24</v>
      </c>
      <c r="E2971" s="198" t="s">
        <v>2642</v>
      </c>
      <c r="F2971" s="4" t="s">
        <v>28</v>
      </c>
      <c r="G2971" s="4" t="s">
        <v>28</v>
      </c>
      <c r="H2971" s="198" t="s">
        <v>521</v>
      </c>
      <c r="I2971" s="198"/>
      <c r="J2971" s="198" t="s">
        <v>2272</v>
      </c>
      <c r="K2971" s="198" t="s">
        <v>2272</v>
      </c>
      <c r="L2971" s="198" t="s">
        <v>2272</v>
      </c>
      <c r="M2971" s="198" t="s">
        <v>2272</v>
      </c>
      <c r="N2971" s="198" t="s">
        <v>2272</v>
      </c>
      <c r="O2971" s="198" t="s">
        <v>2272</v>
      </c>
      <c r="P2971" s="198" t="s">
        <v>2272</v>
      </c>
      <c r="Q2971" s="198" t="s">
        <v>2272</v>
      </c>
      <c r="R2971" s="198" t="s">
        <v>2272</v>
      </c>
      <c r="S2971" s="198" t="s">
        <v>2272</v>
      </c>
      <c r="T2971" s="198" t="s">
        <v>2272</v>
      </c>
      <c r="U2971" s="198" t="s">
        <v>2272</v>
      </c>
      <c r="V2971" s="198" t="s">
        <v>2272</v>
      </c>
      <c r="W2971" s="198" t="s">
        <v>2272</v>
      </c>
      <c r="X2971" s="198" t="s">
        <v>2272</v>
      </c>
      <c r="Y2971" s="198" t="s">
        <v>2272</v>
      </c>
      <c r="Z2971" s="21">
        <v>2</v>
      </c>
      <c r="AA2971" s="198" t="s">
        <v>423</v>
      </c>
      <c r="AB2971" s="198" t="s">
        <v>67</v>
      </c>
      <c r="AC2971" s="198" t="s">
        <v>2650</v>
      </c>
      <c r="AD2971" s="198" t="s">
        <v>7915</v>
      </c>
      <c r="AE2971" s="198"/>
    </row>
    <row r="2972" spans="1:31" ht="31.5" customHeight="1">
      <c r="A2972" s="4" t="s">
        <v>7904</v>
      </c>
      <c r="B2972" s="4" t="s">
        <v>7913</v>
      </c>
      <c r="C2972" s="198" t="s">
        <v>23</v>
      </c>
      <c r="D2972" s="198" t="s">
        <v>24</v>
      </c>
      <c r="E2972" s="198" t="s">
        <v>2642</v>
      </c>
      <c r="F2972" s="4" t="s">
        <v>28</v>
      </c>
      <c r="G2972" s="4" t="s">
        <v>28</v>
      </c>
      <c r="H2972" s="198" t="s">
        <v>521</v>
      </c>
      <c r="I2972" s="198"/>
      <c r="J2972" s="198" t="s">
        <v>2272</v>
      </c>
      <c r="K2972" s="198" t="s">
        <v>2272</v>
      </c>
      <c r="L2972" s="198" t="s">
        <v>2272</v>
      </c>
      <c r="M2972" s="198" t="s">
        <v>2272</v>
      </c>
      <c r="N2972" s="198" t="s">
        <v>2272</v>
      </c>
      <c r="O2972" s="198" t="s">
        <v>2272</v>
      </c>
      <c r="P2972" s="198" t="s">
        <v>2272</v>
      </c>
      <c r="Q2972" s="198" t="s">
        <v>2272</v>
      </c>
      <c r="R2972" s="198" t="s">
        <v>2272</v>
      </c>
      <c r="S2972" s="198" t="s">
        <v>2272</v>
      </c>
      <c r="T2972" s="198" t="s">
        <v>2272</v>
      </c>
      <c r="U2972" s="198" t="s">
        <v>2272</v>
      </c>
      <c r="V2972" s="198" t="s">
        <v>2272</v>
      </c>
      <c r="W2972" s="198" t="s">
        <v>2272</v>
      </c>
      <c r="X2972" s="198" t="s">
        <v>2272</v>
      </c>
      <c r="Y2972" s="198" t="s">
        <v>2272</v>
      </c>
      <c r="Z2972" s="21">
        <v>2</v>
      </c>
      <c r="AA2972" s="198" t="s">
        <v>423</v>
      </c>
      <c r="AB2972" s="198" t="s">
        <v>67</v>
      </c>
      <c r="AC2972" s="198" t="s">
        <v>2650</v>
      </c>
      <c r="AD2972" s="198" t="s">
        <v>7915</v>
      </c>
      <c r="AE2972" s="198"/>
    </row>
    <row r="2973" spans="1:31" ht="31.5" customHeight="1">
      <c r="A2973" s="4" t="s">
        <v>7905</v>
      </c>
      <c r="B2973" s="4" t="s">
        <v>7914</v>
      </c>
      <c r="C2973" s="198" t="s">
        <v>23</v>
      </c>
      <c r="D2973" s="198" t="s">
        <v>24</v>
      </c>
      <c r="E2973" s="198" t="s">
        <v>5000</v>
      </c>
      <c r="F2973" s="4" t="s">
        <v>2657</v>
      </c>
      <c r="G2973" s="4" t="s">
        <v>2657</v>
      </c>
      <c r="H2973" s="198" t="s">
        <v>522</v>
      </c>
      <c r="I2973" s="198"/>
      <c r="J2973" s="21">
        <v>0</v>
      </c>
      <c r="K2973" s="21">
        <v>0</v>
      </c>
      <c r="L2973" s="21">
        <v>0</v>
      </c>
      <c r="M2973" s="21">
        <v>0</v>
      </c>
      <c r="N2973" s="21">
        <v>0</v>
      </c>
      <c r="O2973" s="21">
        <v>0</v>
      </c>
      <c r="P2973" s="21">
        <v>0</v>
      </c>
      <c r="Q2973" s="21">
        <v>0</v>
      </c>
      <c r="R2973" s="21">
        <v>0</v>
      </c>
      <c r="S2973" s="21">
        <v>0</v>
      </c>
      <c r="T2973" s="21">
        <v>0</v>
      </c>
      <c r="U2973" s="21">
        <v>0</v>
      </c>
      <c r="V2973" s="21">
        <v>0</v>
      </c>
      <c r="W2973" s="21">
        <v>0</v>
      </c>
      <c r="X2973" s="21">
        <v>0</v>
      </c>
      <c r="Y2973" s="198" t="s">
        <v>2272</v>
      </c>
      <c r="Z2973" s="198" t="s">
        <v>2272</v>
      </c>
      <c r="AA2973" s="198" t="s">
        <v>2272</v>
      </c>
      <c r="AB2973" s="198" t="s">
        <v>2272</v>
      </c>
      <c r="AC2973" s="198" t="s">
        <v>2272</v>
      </c>
      <c r="AD2973" s="198"/>
      <c r="AE2973" s="198"/>
    </row>
    <row r="2974" spans="1:31" ht="31.5" customHeight="1">
      <c r="A2974" s="4" t="s">
        <v>7919</v>
      </c>
      <c r="B2974" s="4" t="s">
        <v>7923</v>
      </c>
      <c r="C2974" s="198" t="s">
        <v>23</v>
      </c>
      <c r="D2974" s="198" t="s">
        <v>142</v>
      </c>
      <c r="E2974" s="198" t="s">
        <v>135</v>
      </c>
      <c r="F2974" s="4" t="s">
        <v>2657</v>
      </c>
      <c r="G2974" s="4" t="s">
        <v>2657</v>
      </c>
      <c r="H2974" s="198" t="s">
        <v>522</v>
      </c>
      <c r="I2974" s="198"/>
      <c r="J2974" s="21">
        <v>0</v>
      </c>
      <c r="K2974" s="21">
        <v>0</v>
      </c>
      <c r="L2974" s="21">
        <v>0</v>
      </c>
      <c r="M2974" s="21">
        <v>0</v>
      </c>
      <c r="N2974" s="21">
        <v>0</v>
      </c>
      <c r="O2974" s="21">
        <v>0</v>
      </c>
      <c r="P2974" s="21">
        <v>0</v>
      </c>
      <c r="Q2974" s="21">
        <v>0</v>
      </c>
      <c r="R2974" s="21">
        <v>0</v>
      </c>
      <c r="S2974" s="21">
        <v>0</v>
      </c>
      <c r="T2974" s="21">
        <v>0</v>
      </c>
      <c r="U2974" s="21">
        <v>0</v>
      </c>
      <c r="V2974" s="21">
        <v>0</v>
      </c>
      <c r="W2974" s="21">
        <v>0</v>
      </c>
      <c r="X2974" s="21">
        <v>0</v>
      </c>
      <c r="Y2974" s="198" t="s">
        <v>2272</v>
      </c>
      <c r="Z2974" s="198" t="s">
        <v>2272</v>
      </c>
      <c r="AA2974" s="198" t="s">
        <v>2272</v>
      </c>
      <c r="AB2974" s="198" t="s">
        <v>2272</v>
      </c>
      <c r="AC2974" s="198" t="s">
        <v>2272</v>
      </c>
      <c r="AD2974" s="198"/>
      <c r="AE2974" s="198"/>
    </row>
    <row r="2975" spans="1:31" ht="31.5" customHeight="1">
      <c r="A2975" s="4" t="s">
        <v>7919</v>
      </c>
      <c r="B2975" s="4" t="s">
        <v>7924</v>
      </c>
      <c r="C2975" s="198" t="s">
        <v>23</v>
      </c>
      <c r="D2975" s="198" t="s">
        <v>24</v>
      </c>
      <c r="E2975" s="198" t="s">
        <v>44</v>
      </c>
      <c r="F2975" s="4" t="s">
        <v>2657</v>
      </c>
      <c r="G2975" s="4" t="s">
        <v>2657</v>
      </c>
      <c r="H2975" s="198" t="s">
        <v>521</v>
      </c>
      <c r="I2975" s="198"/>
      <c r="J2975" s="198" t="s">
        <v>2272</v>
      </c>
      <c r="K2975" s="198" t="s">
        <v>2272</v>
      </c>
      <c r="L2975" s="198" t="s">
        <v>2272</v>
      </c>
      <c r="M2975" s="198" t="s">
        <v>2272</v>
      </c>
      <c r="N2975" s="198" t="s">
        <v>2272</v>
      </c>
      <c r="O2975" s="198" t="s">
        <v>2272</v>
      </c>
      <c r="P2975" s="198" t="s">
        <v>2272</v>
      </c>
      <c r="Q2975" s="198" t="s">
        <v>2272</v>
      </c>
      <c r="R2975" s="198" t="s">
        <v>2272</v>
      </c>
      <c r="S2975" s="198" t="s">
        <v>2272</v>
      </c>
      <c r="T2975" s="198" t="s">
        <v>2272</v>
      </c>
      <c r="U2975" s="198" t="s">
        <v>2272</v>
      </c>
      <c r="V2975" s="198" t="s">
        <v>2272</v>
      </c>
      <c r="W2975" s="198" t="s">
        <v>2272</v>
      </c>
      <c r="X2975" s="198" t="s">
        <v>2272</v>
      </c>
      <c r="Y2975" s="198" t="s">
        <v>2272</v>
      </c>
      <c r="Z2975" s="198" t="s">
        <v>2272</v>
      </c>
      <c r="AA2975" s="198" t="s">
        <v>2272</v>
      </c>
      <c r="AB2975" s="198" t="s">
        <v>2272</v>
      </c>
      <c r="AC2975" s="198" t="s">
        <v>2272</v>
      </c>
      <c r="AD2975" s="198"/>
      <c r="AE2975" s="198"/>
    </row>
    <row r="2976" spans="1:31" ht="31.5" customHeight="1">
      <c r="A2976" s="4" t="s">
        <v>7919</v>
      </c>
      <c r="B2976" s="4" t="s">
        <v>7925</v>
      </c>
      <c r="C2976" s="198" t="s">
        <v>1102</v>
      </c>
      <c r="D2976" s="198" t="s">
        <v>1102</v>
      </c>
      <c r="E2976" s="198" t="s">
        <v>1102</v>
      </c>
      <c r="F2976" s="198" t="s">
        <v>2272</v>
      </c>
      <c r="G2976" s="4" t="s">
        <v>2657</v>
      </c>
      <c r="H2976" s="198" t="s">
        <v>521</v>
      </c>
      <c r="I2976" s="198"/>
      <c r="J2976" s="198" t="s">
        <v>2272</v>
      </c>
      <c r="K2976" s="198" t="s">
        <v>2272</v>
      </c>
      <c r="L2976" s="198" t="s">
        <v>2272</v>
      </c>
      <c r="M2976" s="198" t="s">
        <v>2272</v>
      </c>
      <c r="N2976" s="198" t="s">
        <v>2272</v>
      </c>
      <c r="O2976" s="198" t="s">
        <v>2272</v>
      </c>
      <c r="P2976" s="198" t="s">
        <v>2272</v>
      </c>
      <c r="Q2976" s="198" t="s">
        <v>2272</v>
      </c>
      <c r="R2976" s="198" t="s">
        <v>2272</v>
      </c>
      <c r="S2976" s="198" t="s">
        <v>2272</v>
      </c>
      <c r="T2976" s="198" t="s">
        <v>2272</v>
      </c>
      <c r="U2976" s="198" t="s">
        <v>2272</v>
      </c>
      <c r="V2976" s="198" t="s">
        <v>2272</v>
      </c>
      <c r="W2976" s="21">
        <v>6</v>
      </c>
      <c r="X2976" s="198" t="s">
        <v>2272</v>
      </c>
      <c r="Y2976" s="21">
        <v>3</v>
      </c>
      <c r="Z2976" s="198" t="s">
        <v>2272</v>
      </c>
      <c r="AA2976" s="198" t="s">
        <v>2272</v>
      </c>
      <c r="AB2976" s="198" t="s">
        <v>2272</v>
      </c>
      <c r="AC2976" s="198" t="s">
        <v>2272</v>
      </c>
      <c r="AD2976" s="198"/>
      <c r="AE2976" s="198"/>
    </row>
    <row r="2977" spans="1:31" ht="35.5" customHeight="1">
      <c r="A2977" s="4" t="s">
        <v>7919</v>
      </c>
      <c r="B2977" s="4" t="s">
        <v>7926</v>
      </c>
      <c r="C2977" s="198" t="s">
        <v>30</v>
      </c>
      <c r="D2977" s="198" t="s">
        <v>2272</v>
      </c>
      <c r="E2977" s="198" t="s">
        <v>2272</v>
      </c>
      <c r="F2977" s="198" t="s">
        <v>2272</v>
      </c>
      <c r="G2977" s="4" t="s">
        <v>2657</v>
      </c>
      <c r="H2977" s="198" t="s">
        <v>521</v>
      </c>
      <c r="I2977" s="198"/>
      <c r="J2977" s="198" t="s">
        <v>2272</v>
      </c>
      <c r="K2977" s="198" t="s">
        <v>2272</v>
      </c>
      <c r="L2977" s="198" t="s">
        <v>2272</v>
      </c>
      <c r="M2977" s="198" t="s">
        <v>2272</v>
      </c>
      <c r="N2977" s="198" t="s">
        <v>2272</v>
      </c>
      <c r="O2977" s="198" t="s">
        <v>2272</v>
      </c>
      <c r="P2977" s="198" t="s">
        <v>2272</v>
      </c>
      <c r="Q2977" s="198" t="s">
        <v>2272</v>
      </c>
      <c r="R2977" s="198" t="s">
        <v>2272</v>
      </c>
      <c r="S2977" s="198" t="s">
        <v>2272</v>
      </c>
      <c r="T2977" s="198" t="s">
        <v>2272</v>
      </c>
      <c r="U2977" s="198" t="s">
        <v>2272</v>
      </c>
      <c r="V2977" s="198" t="s">
        <v>2272</v>
      </c>
      <c r="W2977" s="198" t="s">
        <v>2272</v>
      </c>
      <c r="X2977" s="198" t="s">
        <v>2272</v>
      </c>
      <c r="Y2977" s="198" t="s">
        <v>2272</v>
      </c>
      <c r="Z2977" s="198" t="s">
        <v>2272</v>
      </c>
      <c r="AA2977" s="198" t="s">
        <v>2272</v>
      </c>
      <c r="AB2977" s="198" t="s">
        <v>2272</v>
      </c>
      <c r="AC2977" s="198" t="s">
        <v>2272</v>
      </c>
      <c r="AD2977" s="198"/>
      <c r="AE2977" s="198"/>
    </row>
    <row r="2978" spans="1:31" ht="32" customHeight="1">
      <c r="A2978" s="4" t="s">
        <v>7928</v>
      </c>
      <c r="B2978" s="4" t="s">
        <v>7947</v>
      </c>
      <c r="C2978" s="198" t="s">
        <v>1102</v>
      </c>
      <c r="D2978" s="198" t="s">
        <v>2272</v>
      </c>
      <c r="E2978" s="198" t="s">
        <v>2272</v>
      </c>
      <c r="F2978" s="198" t="s">
        <v>2272</v>
      </c>
      <c r="G2978" s="198" t="s">
        <v>2272</v>
      </c>
      <c r="H2978" s="198" t="s">
        <v>521</v>
      </c>
      <c r="I2978" s="198"/>
      <c r="J2978" s="198" t="s">
        <v>2272</v>
      </c>
      <c r="K2978" s="198" t="s">
        <v>2272</v>
      </c>
      <c r="L2978" s="198" t="s">
        <v>2272</v>
      </c>
      <c r="M2978" s="198" t="s">
        <v>2272</v>
      </c>
      <c r="N2978" s="198" t="s">
        <v>2272</v>
      </c>
      <c r="O2978" s="198" t="s">
        <v>2272</v>
      </c>
      <c r="P2978" s="198" t="s">
        <v>2272</v>
      </c>
      <c r="Q2978" s="198" t="s">
        <v>2272</v>
      </c>
      <c r="R2978" s="198" t="s">
        <v>2272</v>
      </c>
      <c r="S2978" s="198" t="s">
        <v>2272</v>
      </c>
      <c r="T2978" s="198" t="s">
        <v>2272</v>
      </c>
      <c r="U2978" s="198" t="s">
        <v>2272</v>
      </c>
      <c r="V2978" s="198" t="s">
        <v>2272</v>
      </c>
      <c r="W2978" s="198" t="s">
        <v>2272</v>
      </c>
      <c r="X2978" s="198" t="s">
        <v>2272</v>
      </c>
      <c r="Y2978" s="198" t="s">
        <v>2272</v>
      </c>
      <c r="Z2978" s="198" t="s">
        <v>2272</v>
      </c>
      <c r="AA2978" s="198" t="s">
        <v>37</v>
      </c>
      <c r="AB2978" s="198" t="s">
        <v>423</v>
      </c>
      <c r="AC2978" s="198" t="s">
        <v>63</v>
      </c>
      <c r="AD2978" s="198"/>
      <c r="AE2978" s="4" t="s">
        <v>7957</v>
      </c>
    </row>
    <row r="2979" spans="1:31" ht="32" customHeight="1">
      <c r="A2979" s="4" t="s">
        <v>7928</v>
      </c>
      <c r="B2979" s="4" t="s">
        <v>7948</v>
      </c>
      <c r="C2979" s="198" t="s">
        <v>1102</v>
      </c>
      <c r="D2979" s="198" t="s">
        <v>2272</v>
      </c>
      <c r="E2979" s="198" t="s">
        <v>2272</v>
      </c>
      <c r="F2979" s="198" t="s">
        <v>2272</v>
      </c>
      <c r="G2979" s="198" t="s">
        <v>2272</v>
      </c>
      <c r="H2979" s="198" t="s">
        <v>521</v>
      </c>
      <c r="I2979" s="198"/>
      <c r="J2979" s="198" t="s">
        <v>2272</v>
      </c>
      <c r="K2979" s="198" t="s">
        <v>2272</v>
      </c>
      <c r="L2979" s="198" t="s">
        <v>2272</v>
      </c>
      <c r="M2979" s="198" t="s">
        <v>2272</v>
      </c>
      <c r="N2979" s="198" t="s">
        <v>2272</v>
      </c>
      <c r="O2979" s="198" t="s">
        <v>2272</v>
      </c>
      <c r="P2979" s="198" t="s">
        <v>2272</v>
      </c>
      <c r="Q2979" s="198" t="s">
        <v>2272</v>
      </c>
      <c r="R2979" s="198" t="s">
        <v>2272</v>
      </c>
      <c r="S2979" s="198" t="s">
        <v>2272</v>
      </c>
      <c r="T2979" s="198" t="s">
        <v>2272</v>
      </c>
      <c r="U2979" s="198" t="s">
        <v>2272</v>
      </c>
      <c r="V2979" s="198" t="s">
        <v>2272</v>
      </c>
      <c r="W2979" s="198" t="s">
        <v>2272</v>
      </c>
      <c r="X2979" s="198" t="s">
        <v>2272</v>
      </c>
      <c r="Y2979" s="198" t="s">
        <v>2272</v>
      </c>
      <c r="Z2979" s="198" t="s">
        <v>2272</v>
      </c>
      <c r="AA2979" s="198" t="s">
        <v>37</v>
      </c>
      <c r="AB2979" s="198" t="s">
        <v>423</v>
      </c>
      <c r="AC2979" s="198" t="s">
        <v>63</v>
      </c>
      <c r="AD2979" s="198"/>
      <c r="AE2979" s="4" t="s">
        <v>7957</v>
      </c>
    </row>
    <row r="2980" spans="1:31" ht="32" customHeight="1">
      <c r="A2980" s="4" t="s">
        <v>7928</v>
      </c>
      <c r="B2980" s="4" t="s">
        <v>7949</v>
      </c>
      <c r="C2980" s="198" t="s">
        <v>1102</v>
      </c>
      <c r="D2980" s="198" t="s">
        <v>2272</v>
      </c>
      <c r="E2980" s="198" t="s">
        <v>2272</v>
      </c>
      <c r="F2980" s="198" t="s">
        <v>2272</v>
      </c>
      <c r="G2980" s="198" t="s">
        <v>2272</v>
      </c>
      <c r="H2980" s="198" t="s">
        <v>521</v>
      </c>
      <c r="I2980" s="198"/>
      <c r="J2980" s="198" t="s">
        <v>2272</v>
      </c>
      <c r="K2980" s="198" t="s">
        <v>2272</v>
      </c>
      <c r="L2980" s="198" t="s">
        <v>2272</v>
      </c>
      <c r="M2980" s="198" t="s">
        <v>2272</v>
      </c>
      <c r="N2980" s="198" t="s">
        <v>2272</v>
      </c>
      <c r="O2980" s="198" t="s">
        <v>2272</v>
      </c>
      <c r="P2980" s="198" t="s">
        <v>2272</v>
      </c>
      <c r="Q2980" s="198" t="s">
        <v>2272</v>
      </c>
      <c r="R2980" s="198" t="s">
        <v>2272</v>
      </c>
      <c r="S2980" s="198" t="s">
        <v>2272</v>
      </c>
      <c r="T2980" s="198" t="s">
        <v>2272</v>
      </c>
      <c r="U2980" s="198" t="s">
        <v>2272</v>
      </c>
      <c r="V2980" s="198" t="s">
        <v>2272</v>
      </c>
      <c r="W2980" s="198" t="s">
        <v>2272</v>
      </c>
      <c r="X2980" s="198" t="s">
        <v>2272</v>
      </c>
      <c r="Y2980" s="198" t="s">
        <v>2272</v>
      </c>
      <c r="Z2980" s="198" t="s">
        <v>2272</v>
      </c>
      <c r="AA2980" s="198" t="s">
        <v>37</v>
      </c>
      <c r="AB2980" s="198" t="s">
        <v>423</v>
      </c>
      <c r="AC2980" s="198" t="s">
        <v>63</v>
      </c>
      <c r="AD2980" s="198"/>
      <c r="AE2980" s="4" t="s">
        <v>7957</v>
      </c>
    </row>
    <row r="2981" spans="1:31" ht="32" customHeight="1">
      <c r="A2981" s="4" t="s">
        <v>7928</v>
      </c>
      <c r="B2981" s="4" t="s">
        <v>7950</v>
      </c>
      <c r="C2981" s="198" t="s">
        <v>1102</v>
      </c>
      <c r="D2981" s="198" t="s">
        <v>2272</v>
      </c>
      <c r="E2981" s="198" t="s">
        <v>2272</v>
      </c>
      <c r="F2981" s="198" t="s">
        <v>2272</v>
      </c>
      <c r="G2981" s="198" t="s">
        <v>2272</v>
      </c>
      <c r="H2981" s="198" t="s">
        <v>521</v>
      </c>
      <c r="I2981" s="198"/>
      <c r="J2981" s="198" t="s">
        <v>2272</v>
      </c>
      <c r="K2981" s="198" t="s">
        <v>2272</v>
      </c>
      <c r="L2981" s="198" t="s">
        <v>2272</v>
      </c>
      <c r="M2981" s="198" t="s">
        <v>2272</v>
      </c>
      <c r="N2981" s="198" t="s">
        <v>2272</v>
      </c>
      <c r="O2981" s="198" t="s">
        <v>2272</v>
      </c>
      <c r="P2981" s="198" t="s">
        <v>2272</v>
      </c>
      <c r="Q2981" s="198" t="s">
        <v>2272</v>
      </c>
      <c r="R2981" s="198" t="s">
        <v>2272</v>
      </c>
      <c r="S2981" s="198" t="s">
        <v>2272</v>
      </c>
      <c r="T2981" s="198" t="s">
        <v>2272</v>
      </c>
      <c r="U2981" s="198" t="s">
        <v>2272</v>
      </c>
      <c r="V2981" s="198" t="s">
        <v>2272</v>
      </c>
      <c r="W2981" s="198" t="s">
        <v>2272</v>
      </c>
      <c r="X2981" s="198" t="s">
        <v>2272</v>
      </c>
      <c r="Y2981" s="198" t="s">
        <v>2272</v>
      </c>
      <c r="Z2981" s="198" t="s">
        <v>2272</v>
      </c>
      <c r="AA2981" s="198" t="s">
        <v>37</v>
      </c>
      <c r="AB2981" s="198" t="s">
        <v>423</v>
      </c>
      <c r="AC2981" s="198" t="s">
        <v>63</v>
      </c>
      <c r="AD2981" s="198"/>
      <c r="AE2981" s="4" t="s">
        <v>7957</v>
      </c>
    </row>
    <row r="2982" spans="1:31" ht="32" customHeight="1">
      <c r="A2982" s="4" t="s">
        <v>7928</v>
      </c>
      <c r="B2982" s="4" t="s">
        <v>7951</v>
      </c>
      <c r="C2982" s="198" t="s">
        <v>1102</v>
      </c>
      <c r="D2982" s="198" t="s">
        <v>2272</v>
      </c>
      <c r="E2982" s="198" t="s">
        <v>2272</v>
      </c>
      <c r="F2982" s="198" t="s">
        <v>2272</v>
      </c>
      <c r="G2982" s="198" t="s">
        <v>2272</v>
      </c>
      <c r="H2982" s="198" t="s">
        <v>521</v>
      </c>
      <c r="I2982" s="198"/>
      <c r="J2982" s="198" t="s">
        <v>2272</v>
      </c>
      <c r="K2982" s="198" t="s">
        <v>2272</v>
      </c>
      <c r="L2982" s="198" t="s">
        <v>2272</v>
      </c>
      <c r="M2982" s="198" t="s">
        <v>2272</v>
      </c>
      <c r="N2982" s="198" t="s">
        <v>2272</v>
      </c>
      <c r="O2982" s="198" t="s">
        <v>2272</v>
      </c>
      <c r="P2982" s="198" t="s">
        <v>2272</v>
      </c>
      <c r="Q2982" s="198" t="s">
        <v>2272</v>
      </c>
      <c r="R2982" s="198" t="s">
        <v>2272</v>
      </c>
      <c r="S2982" s="198" t="s">
        <v>2272</v>
      </c>
      <c r="T2982" s="198" t="s">
        <v>2272</v>
      </c>
      <c r="U2982" s="198" t="s">
        <v>2272</v>
      </c>
      <c r="V2982" s="198" t="s">
        <v>2272</v>
      </c>
      <c r="W2982" s="198" t="s">
        <v>2272</v>
      </c>
      <c r="X2982" s="198" t="s">
        <v>2272</v>
      </c>
      <c r="Y2982" s="198" t="s">
        <v>2272</v>
      </c>
      <c r="Z2982" s="198" t="s">
        <v>2272</v>
      </c>
      <c r="AA2982" s="198" t="s">
        <v>37</v>
      </c>
      <c r="AB2982" s="198" t="s">
        <v>423</v>
      </c>
      <c r="AC2982" s="198" t="s">
        <v>63</v>
      </c>
      <c r="AD2982" s="198"/>
      <c r="AE2982" s="4" t="s">
        <v>7957</v>
      </c>
    </row>
    <row r="2983" spans="1:31" ht="32" customHeight="1">
      <c r="A2983" s="4" t="s">
        <v>7929</v>
      </c>
      <c r="B2983" s="4" t="s">
        <v>7952</v>
      </c>
      <c r="C2983" s="198" t="s">
        <v>1102</v>
      </c>
      <c r="D2983" s="198" t="s">
        <v>2272</v>
      </c>
      <c r="E2983" s="198" t="s">
        <v>2272</v>
      </c>
      <c r="F2983" s="198" t="s">
        <v>2272</v>
      </c>
      <c r="G2983" s="198" t="s">
        <v>2272</v>
      </c>
      <c r="H2983" s="198" t="s">
        <v>521</v>
      </c>
      <c r="I2983" s="198"/>
      <c r="J2983" s="198" t="s">
        <v>2272</v>
      </c>
      <c r="K2983" s="198" t="s">
        <v>2272</v>
      </c>
      <c r="L2983" s="198" t="s">
        <v>2272</v>
      </c>
      <c r="M2983" s="198" t="s">
        <v>2272</v>
      </c>
      <c r="N2983" s="198" t="s">
        <v>2272</v>
      </c>
      <c r="O2983" s="198" t="s">
        <v>2272</v>
      </c>
      <c r="P2983" s="198" t="s">
        <v>2272</v>
      </c>
      <c r="Q2983" s="198" t="s">
        <v>2272</v>
      </c>
      <c r="R2983" s="198" t="s">
        <v>2272</v>
      </c>
      <c r="S2983" s="198" t="s">
        <v>2272</v>
      </c>
      <c r="T2983" s="198" t="s">
        <v>2272</v>
      </c>
      <c r="U2983" s="198" t="s">
        <v>2272</v>
      </c>
      <c r="V2983" s="198" t="s">
        <v>2272</v>
      </c>
      <c r="W2983" s="198" t="s">
        <v>2272</v>
      </c>
      <c r="X2983" s="198" t="s">
        <v>2272</v>
      </c>
      <c r="Y2983" s="198" t="s">
        <v>2272</v>
      </c>
      <c r="Z2983" s="198" t="s">
        <v>2272</v>
      </c>
      <c r="AA2983" s="198" t="s">
        <v>37</v>
      </c>
      <c r="AB2983" s="198" t="s">
        <v>423</v>
      </c>
      <c r="AC2983" s="198" t="s">
        <v>63</v>
      </c>
      <c r="AD2983" s="198"/>
      <c r="AE2983" s="4" t="s">
        <v>7957</v>
      </c>
    </row>
    <row r="2984" spans="1:31" ht="32" customHeight="1">
      <c r="A2984" s="4" t="s">
        <v>7929</v>
      </c>
      <c r="B2984" s="4" t="s">
        <v>7953</v>
      </c>
      <c r="C2984" s="198" t="s">
        <v>1102</v>
      </c>
      <c r="D2984" s="198" t="s">
        <v>2272</v>
      </c>
      <c r="E2984" s="198" t="s">
        <v>2272</v>
      </c>
      <c r="F2984" s="198" t="s">
        <v>2272</v>
      </c>
      <c r="G2984" s="198" t="s">
        <v>2272</v>
      </c>
      <c r="H2984" s="198" t="s">
        <v>521</v>
      </c>
      <c r="I2984" s="198"/>
      <c r="J2984" s="198" t="s">
        <v>2272</v>
      </c>
      <c r="K2984" s="198" t="s">
        <v>2272</v>
      </c>
      <c r="L2984" s="198" t="s">
        <v>2272</v>
      </c>
      <c r="M2984" s="198" t="s">
        <v>2272</v>
      </c>
      <c r="N2984" s="198" t="s">
        <v>2272</v>
      </c>
      <c r="O2984" s="198" t="s">
        <v>2272</v>
      </c>
      <c r="P2984" s="198" t="s">
        <v>2272</v>
      </c>
      <c r="Q2984" s="198" t="s">
        <v>2272</v>
      </c>
      <c r="R2984" s="198" t="s">
        <v>2272</v>
      </c>
      <c r="S2984" s="198" t="s">
        <v>2272</v>
      </c>
      <c r="T2984" s="198" t="s">
        <v>2272</v>
      </c>
      <c r="U2984" s="198" t="s">
        <v>2272</v>
      </c>
      <c r="V2984" s="198" t="s">
        <v>2272</v>
      </c>
      <c r="W2984" s="198" t="s">
        <v>2272</v>
      </c>
      <c r="X2984" s="198" t="s">
        <v>2272</v>
      </c>
      <c r="Y2984" s="198" t="s">
        <v>2272</v>
      </c>
      <c r="Z2984" s="198" t="s">
        <v>2272</v>
      </c>
      <c r="AA2984" s="198" t="s">
        <v>37</v>
      </c>
      <c r="AB2984" s="198" t="s">
        <v>423</v>
      </c>
      <c r="AC2984" s="198" t="s">
        <v>63</v>
      </c>
      <c r="AD2984" s="198"/>
      <c r="AE2984" s="4" t="s">
        <v>7957</v>
      </c>
    </row>
    <row r="2985" spans="1:31" ht="32" customHeight="1">
      <c r="A2985" s="4" t="s">
        <v>7929</v>
      </c>
      <c r="B2985" s="4" t="s">
        <v>7954</v>
      </c>
      <c r="C2985" s="198" t="s">
        <v>1102</v>
      </c>
      <c r="D2985" s="198" t="s">
        <v>2272</v>
      </c>
      <c r="E2985" s="198" t="s">
        <v>2272</v>
      </c>
      <c r="F2985" s="198" t="s">
        <v>2272</v>
      </c>
      <c r="G2985" s="198" t="s">
        <v>2272</v>
      </c>
      <c r="H2985" s="198" t="s">
        <v>521</v>
      </c>
      <c r="I2985" s="198"/>
      <c r="J2985" s="198" t="s">
        <v>2272</v>
      </c>
      <c r="K2985" s="198" t="s">
        <v>2272</v>
      </c>
      <c r="L2985" s="198" t="s">
        <v>2272</v>
      </c>
      <c r="M2985" s="198" t="s">
        <v>2272</v>
      </c>
      <c r="N2985" s="198" t="s">
        <v>2272</v>
      </c>
      <c r="O2985" s="198" t="s">
        <v>2272</v>
      </c>
      <c r="P2985" s="198" t="s">
        <v>2272</v>
      </c>
      <c r="Q2985" s="198" t="s">
        <v>2272</v>
      </c>
      <c r="R2985" s="198" t="s">
        <v>2272</v>
      </c>
      <c r="S2985" s="198" t="s">
        <v>2272</v>
      </c>
      <c r="T2985" s="198" t="s">
        <v>2272</v>
      </c>
      <c r="U2985" s="198" t="s">
        <v>2272</v>
      </c>
      <c r="V2985" s="198" t="s">
        <v>2272</v>
      </c>
      <c r="W2985" s="198" t="s">
        <v>2272</v>
      </c>
      <c r="X2985" s="198" t="s">
        <v>2272</v>
      </c>
      <c r="Y2985" s="198" t="s">
        <v>2272</v>
      </c>
      <c r="Z2985" s="198" t="s">
        <v>2272</v>
      </c>
      <c r="AA2985" s="198" t="s">
        <v>37</v>
      </c>
      <c r="AB2985" s="198" t="s">
        <v>423</v>
      </c>
      <c r="AC2985" s="198" t="s">
        <v>63</v>
      </c>
      <c r="AD2985" s="198"/>
      <c r="AE2985" s="4" t="s">
        <v>7957</v>
      </c>
    </row>
    <row r="2986" spans="1:31" ht="32" customHeight="1">
      <c r="A2986" s="4" t="s">
        <v>7929</v>
      </c>
      <c r="B2986" s="4" t="s">
        <v>7955</v>
      </c>
      <c r="C2986" s="198" t="s">
        <v>1102</v>
      </c>
      <c r="D2986" s="198" t="s">
        <v>2272</v>
      </c>
      <c r="E2986" s="198" t="s">
        <v>2272</v>
      </c>
      <c r="F2986" s="198" t="s">
        <v>2272</v>
      </c>
      <c r="G2986" s="198" t="s">
        <v>2272</v>
      </c>
      <c r="H2986" s="198" t="s">
        <v>521</v>
      </c>
      <c r="I2986" s="198"/>
      <c r="J2986" s="198" t="s">
        <v>2272</v>
      </c>
      <c r="K2986" s="198" t="s">
        <v>2272</v>
      </c>
      <c r="L2986" s="198" t="s">
        <v>2272</v>
      </c>
      <c r="M2986" s="198" t="s">
        <v>2272</v>
      </c>
      <c r="N2986" s="198" t="s">
        <v>2272</v>
      </c>
      <c r="O2986" s="198" t="s">
        <v>2272</v>
      </c>
      <c r="P2986" s="198" t="s">
        <v>2272</v>
      </c>
      <c r="Q2986" s="198" t="s">
        <v>2272</v>
      </c>
      <c r="R2986" s="198" t="s">
        <v>2272</v>
      </c>
      <c r="S2986" s="198" t="s">
        <v>2272</v>
      </c>
      <c r="T2986" s="198" t="s">
        <v>2272</v>
      </c>
      <c r="U2986" s="198" t="s">
        <v>2272</v>
      </c>
      <c r="V2986" s="198" t="s">
        <v>2272</v>
      </c>
      <c r="W2986" s="198" t="s">
        <v>2272</v>
      </c>
      <c r="X2986" s="198" t="s">
        <v>2272</v>
      </c>
      <c r="Y2986" s="198" t="s">
        <v>2272</v>
      </c>
      <c r="Z2986" s="198" t="s">
        <v>2272</v>
      </c>
      <c r="AA2986" s="198" t="s">
        <v>37</v>
      </c>
      <c r="AB2986" s="198" t="s">
        <v>423</v>
      </c>
      <c r="AC2986" s="198" t="s">
        <v>63</v>
      </c>
      <c r="AD2986" s="198"/>
      <c r="AE2986" s="4" t="s">
        <v>7957</v>
      </c>
    </row>
    <row r="2987" spans="1:31" ht="32" customHeight="1">
      <c r="A2987" s="4" t="s">
        <v>7929</v>
      </c>
      <c r="B2987" s="4" t="s">
        <v>7956</v>
      </c>
      <c r="C2987" s="198" t="s">
        <v>1102</v>
      </c>
      <c r="D2987" s="198" t="s">
        <v>2272</v>
      </c>
      <c r="E2987" s="198" t="s">
        <v>2272</v>
      </c>
      <c r="F2987" s="198" t="s">
        <v>2272</v>
      </c>
      <c r="G2987" s="198" t="s">
        <v>2272</v>
      </c>
      <c r="H2987" s="198" t="s">
        <v>521</v>
      </c>
      <c r="I2987" s="198"/>
      <c r="J2987" s="198" t="s">
        <v>2272</v>
      </c>
      <c r="K2987" s="198" t="s">
        <v>2272</v>
      </c>
      <c r="L2987" s="198" t="s">
        <v>2272</v>
      </c>
      <c r="M2987" s="198" t="s">
        <v>2272</v>
      </c>
      <c r="N2987" s="198" t="s">
        <v>2272</v>
      </c>
      <c r="O2987" s="198" t="s">
        <v>2272</v>
      </c>
      <c r="P2987" s="198" t="s">
        <v>2272</v>
      </c>
      <c r="Q2987" s="198" t="s">
        <v>2272</v>
      </c>
      <c r="R2987" s="198" t="s">
        <v>2272</v>
      </c>
      <c r="S2987" s="198" t="s">
        <v>2272</v>
      </c>
      <c r="T2987" s="198" t="s">
        <v>2272</v>
      </c>
      <c r="U2987" s="198" t="s">
        <v>2272</v>
      </c>
      <c r="V2987" s="198" t="s">
        <v>2272</v>
      </c>
      <c r="W2987" s="198" t="s">
        <v>2272</v>
      </c>
      <c r="X2987" s="198" t="s">
        <v>2272</v>
      </c>
      <c r="Y2987" s="198" t="s">
        <v>2272</v>
      </c>
      <c r="Z2987" s="198" t="s">
        <v>2272</v>
      </c>
      <c r="AA2987" s="198" t="s">
        <v>37</v>
      </c>
      <c r="AB2987" s="198" t="s">
        <v>423</v>
      </c>
      <c r="AC2987" s="198" t="s">
        <v>63</v>
      </c>
      <c r="AD2987" s="198"/>
      <c r="AE2987" s="4" t="s">
        <v>7957</v>
      </c>
    </row>
    <row r="2988" spans="1:31" ht="45.5" customHeight="1">
      <c r="A2988" s="4" t="s">
        <v>7929</v>
      </c>
      <c r="B2988" s="4" t="s">
        <v>7958</v>
      </c>
      <c r="C2988" s="198" t="s">
        <v>23</v>
      </c>
      <c r="D2988" s="198" t="s">
        <v>24</v>
      </c>
      <c r="E2988" s="198" t="s">
        <v>44</v>
      </c>
      <c r="F2988" s="4" t="s">
        <v>2657</v>
      </c>
      <c r="G2988" s="4" t="s">
        <v>2657</v>
      </c>
      <c r="H2988" s="198" t="s">
        <v>521</v>
      </c>
      <c r="I2988" s="198"/>
      <c r="J2988" s="198" t="s">
        <v>2272</v>
      </c>
      <c r="K2988" s="198" t="s">
        <v>2272</v>
      </c>
      <c r="L2988" s="198" t="s">
        <v>2272</v>
      </c>
      <c r="M2988" s="198" t="s">
        <v>2272</v>
      </c>
      <c r="N2988" s="198" t="s">
        <v>2272</v>
      </c>
      <c r="O2988" s="198" t="s">
        <v>2272</v>
      </c>
      <c r="P2988" s="198" t="s">
        <v>2272</v>
      </c>
      <c r="Q2988" s="198" t="s">
        <v>2272</v>
      </c>
      <c r="R2988" s="198" t="s">
        <v>2272</v>
      </c>
      <c r="S2988" s="198" t="s">
        <v>2272</v>
      </c>
      <c r="T2988" s="198" t="s">
        <v>2272</v>
      </c>
      <c r="U2988" s="198" t="s">
        <v>2272</v>
      </c>
      <c r="V2988" s="198" t="s">
        <v>2272</v>
      </c>
      <c r="W2988" s="198" t="s">
        <v>2272</v>
      </c>
      <c r="X2988" s="198" t="s">
        <v>2272</v>
      </c>
      <c r="Y2988" s="198" t="s">
        <v>2272</v>
      </c>
      <c r="Z2988" s="198" t="s">
        <v>2272</v>
      </c>
      <c r="AA2988" s="198" t="s">
        <v>37</v>
      </c>
      <c r="AB2988" s="198" t="s">
        <v>423</v>
      </c>
      <c r="AC2988" s="198" t="s">
        <v>63</v>
      </c>
      <c r="AD2988" s="198"/>
      <c r="AE2988" s="198"/>
    </row>
    <row r="2989" spans="1:31" ht="45.5" customHeight="1">
      <c r="A2989" s="4" t="s">
        <v>7929</v>
      </c>
      <c r="B2989" s="4" t="s">
        <v>7959</v>
      </c>
      <c r="C2989" s="198" t="s">
        <v>23</v>
      </c>
      <c r="D2989" s="198" t="s">
        <v>24</v>
      </c>
      <c r="E2989" s="198" t="s">
        <v>44</v>
      </c>
      <c r="F2989" s="4" t="s">
        <v>2657</v>
      </c>
      <c r="G2989" s="4" t="s">
        <v>2657</v>
      </c>
      <c r="H2989" s="198" t="s">
        <v>521</v>
      </c>
      <c r="I2989" s="198"/>
      <c r="J2989" s="198" t="s">
        <v>2272</v>
      </c>
      <c r="K2989" s="198" t="s">
        <v>2272</v>
      </c>
      <c r="L2989" s="198" t="s">
        <v>2272</v>
      </c>
      <c r="M2989" s="198" t="s">
        <v>2272</v>
      </c>
      <c r="N2989" s="198" t="s">
        <v>2272</v>
      </c>
      <c r="O2989" s="198" t="s">
        <v>2272</v>
      </c>
      <c r="P2989" s="198" t="s">
        <v>2272</v>
      </c>
      <c r="Q2989" s="198" t="s">
        <v>2272</v>
      </c>
      <c r="R2989" s="198" t="s">
        <v>2272</v>
      </c>
      <c r="S2989" s="198" t="s">
        <v>2272</v>
      </c>
      <c r="T2989" s="198" t="s">
        <v>2272</v>
      </c>
      <c r="U2989" s="198" t="s">
        <v>2272</v>
      </c>
      <c r="V2989" s="198" t="s">
        <v>2272</v>
      </c>
      <c r="W2989" s="198" t="s">
        <v>2272</v>
      </c>
      <c r="X2989" s="198" t="s">
        <v>2272</v>
      </c>
      <c r="Y2989" s="198" t="s">
        <v>2272</v>
      </c>
      <c r="Z2989" s="198" t="s">
        <v>2272</v>
      </c>
      <c r="AA2989" s="198" t="s">
        <v>37</v>
      </c>
      <c r="AB2989" s="198" t="s">
        <v>423</v>
      </c>
      <c r="AC2989" s="198" t="s">
        <v>63</v>
      </c>
      <c r="AD2989" s="198"/>
      <c r="AE2989" s="198"/>
    </row>
    <row r="2990" spans="1:31" ht="45.5" customHeight="1">
      <c r="A2990" s="4" t="s">
        <v>7929</v>
      </c>
      <c r="B2990" s="4" t="s">
        <v>7960</v>
      </c>
      <c r="C2990" s="198" t="s">
        <v>23</v>
      </c>
      <c r="D2990" s="198" t="s">
        <v>24</v>
      </c>
      <c r="E2990" s="198" t="s">
        <v>44</v>
      </c>
      <c r="F2990" s="4" t="s">
        <v>2657</v>
      </c>
      <c r="G2990" s="4" t="s">
        <v>2657</v>
      </c>
      <c r="H2990" s="198" t="s">
        <v>521</v>
      </c>
      <c r="I2990" s="198"/>
      <c r="J2990" s="198" t="s">
        <v>2272</v>
      </c>
      <c r="K2990" s="198" t="s">
        <v>2272</v>
      </c>
      <c r="L2990" s="198" t="s">
        <v>2272</v>
      </c>
      <c r="M2990" s="198" t="s">
        <v>2272</v>
      </c>
      <c r="N2990" s="198" t="s">
        <v>2272</v>
      </c>
      <c r="O2990" s="198" t="s">
        <v>2272</v>
      </c>
      <c r="P2990" s="198" t="s">
        <v>2272</v>
      </c>
      <c r="Q2990" s="198" t="s">
        <v>2272</v>
      </c>
      <c r="R2990" s="198" t="s">
        <v>2272</v>
      </c>
      <c r="S2990" s="198" t="s">
        <v>2272</v>
      </c>
      <c r="T2990" s="198" t="s">
        <v>2272</v>
      </c>
      <c r="U2990" s="198" t="s">
        <v>2272</v>
      </c>
      <c r="V2990" s="198" t="s">
        <v>2272</v>
      </c>
      <c r="W2990" s="198" t="s">
        <v>2272</v>
      </c>
      <c r="X2990" s="198" t="s">
        <v>2272</v>
      </c>
      <c r="Y2990" s="198" t="s">
        <v>2272</v>
      </c>
      <c r="Z2990" s="198" t="s">
        <v>2272</v>
      </c>
      <c r="AA2990" s="198" t="s">
        <v>37</v>
      </c>
      <c r="AB2990" s="198" t="s">
        <v>423</v>
      </c>
      <c r="AC2990" s="198" t="s">
        <v>63</v>
      </c>
      <c r="AD2990" s="198"/>
      <c r="AE2990" s="198"/>
    </row>
    <row r="2991" spans="1:31" ht="45.5" customHeight="1">
      <c r="A2991" s="4" t="s">
        <v>7929</v>
      </c>
      <c r="B2991" s="4" t="s">
        <v>7961</v>
      </c>
      <c r="C2991" s="198" t="s">
        <v>23</v>
      </c>
      <c r="D2991" s="198" t="s">
        <v>24</v>
      </c>
      <c r="E2991" s="198" t="s">
        <v>44</v>
      </c>
      <c r="F2991" s="4" t="s">
        <v>2657</v>
      </c>
      <c r="G2991" s="4" t="s">
        <v>2657</v>
      </c>
      <c r="H2991" s="198" t="s">
        <v>521</v>
      </c>
      <c r="I2991" s="198"/>
      <c r="J2991" s="198" t="s">
        <v>2272</v>
      </c>
      <c r="K2991" s="198" t="s">
        <v>2272</v>
      </c>
      <c r="L2991" s="198" t="s">
        <v>2272</v>
      </c>
      <c r="M2991" s="198" t="s">
        <v>2272</v>
      </c>
      <c r="N2991" s="198" t="s">
        <v>2272</v>
      </c>
      <c r="O2991" s="198" t="s">
        <v>2272</v>
      </c>
      <c r="P2991" s="198" t="s">
        <v>2272</v>
      </c>
      <c r="Q2991" s="198" t="s">
        <v>2272</v>
      </c>
      <c r="R2991" s="198" t="s">
        <v>2272</v>
      </c>
      <c r="S2991" s="198" t="s">
        <v>2272</v>
      </c>
      <c r="T2991" s="198" t="s">
        <v>2272</v>
      </c>
      <c r="U2991" s="198" t="s">
        <v>2272</v>
      </c>
      <c r="V2991" s="198" t="s">
        <v>2272</v>
      </c>
      <c r="W2991" s="198" t="s">
        <v>2272</v>
      </c>
      <c r="X2991" s="198" t="s">
        <v>2272</v>
      </c>
      <c r="Y2991" s="198" t="s">
        <v>2272</v>
      </c>
      <c r="Z2991" s="198" t="s">
        <v>2272</v>
      </c>
      <c r="AA2991" s="198" t="s">
        <v>37</v>
      </c>
      <c r="AB2991" s="198" t="s">
        <v>423</v>
      </c>
      <c r="AC2991" s="198" t="s">
        <v>63</v>
      </c>
      <c r="AD2991" s="198"/>
      <c r="AE2991" s="198"/>
    </row>
    <row r="2992" spans="1:31" ht="45.5" customHeight="1">
      <c r="A2992" s="4" t="s">
        <v>7929</v>
      </c>
      <c r="B2992" s="4" t="s">
        <v>7962</v>
      </c>
      <c r="C2992" s="198" t="s">
        <v>23</v>
      </c>
      <c r="D2992" s="198" t="s">
        <v>24</v>
      </c>
      <c r="E2992" s="198" t="s">
        <v>44</v>
      </c>
      <c r="F2992" s="4" t="s">
        <v>2657</v>
      </c>
      <c r="G2992" s="4" t="s">
        <v>2657</v>
      </c>
      <c r="H2992" s="198" t="s">
        <v>521</v>
      </c>
      <c r="I2992" s="198"/>
      <c r="J2992" s="198" t="s">
        <v>2272</v>
      </c>
      <c r="K2992" s="198" t="s">
        <v>2272</v>
      </c>
      <c r="L2992" s="198" t="s">
        <v>2272</v>
      </c>
      <c r="M2992" s="198" t="s">
        <v>2272</v>
      </c>
      <c r="N2992" s="198" t="s">
        <v>2272</v>
      </c>
      <c r="O2992" s="198" t="s">
        <v>2272</v>
      </c>
      <c r="P2992" s="198" t="s">
        <v>2272</v>
      </c>
      <c r="Q2992" s="198" t="s">
        <v>2272</v>
      </c>
      <c r="R2992" s="198" t="s">
        <v>2272</v>
      </c>
      <c r="S2992" s="198" t="s">
        <v>2272</v>
      </c>
      <c r="T2992" s="198" t="s">
        <v>2272</v>
      </c>
      <c r="U2992" s="198" t="s">
        <v>2272</v>
      </c>
      <c r="V2992" s="198" t="s">
        <v>2272</v>
      </c>
      <c r="W2992" s="198" t="s">
        <v>2272</v>
      </c>
      <c r="X2992" s="198" t="s">
        <v>2272</v>
      </c>
      <c r="Y2992" s="198" t="s">
        <v>2272</v>
      </c>
      <c r="Z2992" s="198" t="s">
        <v>2272</v>
      </c>
      <c r="AA2992" s="198" t="s">
        <v>37</v>
      </c>
      <c r="AB2992" s="198" t="s">
        <v>423</v>
      </c>
      <c r="AC2992" s="198" t="s">
        <v>63</v>
      </c>
      <c r="AD2992" s="198"/>
      <c r="AE2992" s="198"/>
    </row>
    <row r="2993" spans="1:31" ht="34" customHeight="1">
      <c r="A2993" s="4" t="s">
        <v>7965</v>
      </c>
      <c r="B2993" s="4" t="s">
        <v>7972</v>
      </c>
      <c r="C2993" s="198" t="s">
        <v>1102</v>
      </c>
      <c r="D2993" s="198" t="s">
        <v>1102</v>
      </c>
      <c r="E2993" s="198" t="s">
        <v>2272</v>
      </c>
      <c r="F2993" s="198" t="s">
        <v>2272</v>
      </c>
      <c r="G2993" s="198" t="s">
        <v>2272</v>
      </c>
      <c r="H2993" s="198" t="s">
        <v>521</v>
      </c>
      <c r="I2993" s="198"/>
      <c r="J2993" s="198" t="s">
        <v>2272</v>
      </c>
      <c r="K2993" s="198" t="s">
        <v>2272</v>
      </c>
      <c r="L2993" s="198" t="s">
        <v>2272</v>
      </c>
      <c r="M2993" s="198" t="s">
        <v>2272</v>
      </c>
      <c r="N2993" s="198" t="s">
        <v>2272</v>
      </c>
      <c r="O2993" s="198" t="s">
        <v>2272</v>
      </c>
      <c r="P2993" s="198" t="s">
        <v>2272</v>
      </c>
      <c r="Q2993" s="198" t="s">
        <v>2272</v>
      </c>
      <c r="R2993" s="198" t="s">
        <v>2272</v>
      </c>
      <c r="S2993" s="198" t="s">
        <v>2272</v>
      </c>
      <c r="T2993" s="198" t="s">
        <v>2272</v>
      </c>
      <c r="U2993" s="198" t="s">
        <v>2272</v>
      </c>
      <c r="V2993" s="198" t="s">
        <v>2272</v>
      </c>
      <c r="W2993" s="198" t="s">
        <v>2272</v>
      </c>
      <c r="X2993" s="198" t="s">
        <v>2272</v>
      </c>
      <c r="Y2993" s="21">
        <v>0.98</v>
      </c>
      <c r="Z2993" s="198" t="s">
        <v>2272</v>
      </c>
      <c r="AA2993" s="198" t="s">
        <v>2272</v>
      </c>
      <c r="AB2993" s="198" t="s">
        <v>2272</v>
      </c>
      <c r="AC2993" s="198" t="s">
        <v>2272</v>
      </c>
      <c r="AD2993" s="4" t="s">
        <v>11578</v>
      </c>
      <c r="AE2993" s="198"/>
    </row>
    <row r="2994" spans="1:31" ht="34" customHeight="1">
      <c r="A2994" s="4" t="s">
        <v>7965</v>
      </c>
      <c r="B2994" s="4" t="s">
        <v>7973</v>
      </c>
      <c r="C2994" s="198" t="s">
        <v>1102</v>
      </c>
      <c r="D2994" s="198" t="s">
        <v>1102</v>
      </c>
      <c r="E2994" s="198" t="s">
        <v>2272</v>
      </c>
      <c r="F2994" s="198" t="s">
        <v>2272</v>
      </c>
      <c r="G2994" s="198" t="s">
        <v>27</v>
      </c>
      <c r="H2994" s="198" t="s">
        <v>521</v>
      </c>
      <c r="I2994" s="198"/>
      <c r="J2994" s="198" t="s">
        <v>2272</v>
      </c>
      <c r="K2994" s="198" t="s">
        <v>2272</v>
      </c>
      <c r="L2994" s="198" t="s">
        <v>2272</v>
      </c>
      <c r="M2994" s="198" t="s">
        <v>2272</v>
      </c>
      <c r="N2994" s="198" t="s">
        <v>2272</v>
      </c>
      <c r="O2994" s="198" t="s">
        <v>2272</v>
      </c>
      <c r="P2994" s="198" t="s">
        <v>2272</v>
      </c>
      <c r="Q2994" s="198" t="s">
        <v>2272</v>
      </c>
      <c r="R2994" s="198" t="s">
        <v>2272</v>
      </c>
      <c r="S2994" s="198" t="s">
        <v>2272</v>
      </c>
      <c r="T2994" s="198" t="s">
        <v>2272</v>
      </c>
      <c r="U2994" s="198" t="s">
        <v>2272</v>
      </c>
      <c r="V2994" s="198" t="s">
        <v>2272</v>
      </c>
      <c r="W2994" s="198" t="s">
        <v>2272</v>
      </c>
      <c r="X2994" s="198" t="s">
        <v>2272</v>
      </c>
      <c r="Y2994" s="21">
        <f>0.98*0.28</f>
        <v>0.27440000000000003</v>
      </c>
      <c r="Z2994" s="198" t="s">
        <v>2272</v>
      </c>
      <c r="AA2994" s="198" t="s">
        <v>2272</v>
      </c>
      <c r="AB2994" s="198" t="s">
        <v>2272</v>
      </c>
      <c r="AC2994" s="198" t="s">
        <v>2272</v>
      </c>
      <c r="AD2994" s="4" t="s">
        <v>11578</v>
      </c>
      <c r="AE2994" s="198"/>
    </row>
    <row r="2995" spans="1:31" ht="34" customHeight="1">
      <c r="A2995" s="4" t="s">
        <v>7966</v>
      </c>
      <c r="B2995" s="4" t="s">
        <v>7969</v>
      </c>
      <c r="C2995" s="198" t="s">
        <v>1102</v>
      </c>
      <c r="D2995" s="198" t="s">
        <v>1102</v>
      </c>
      <c r="E2995" s="198" t="s">
        <v>2272</v>
      </c>
      <c r="F2995" s="198" t="s">
        <v>2272</v>
      </c>
      <c r="G2995" s="198" t="s">
        <v>2272</v>
      </c>
      <c r="H2995" s="198" t="s">
        <v>521</v>
      </c>
      <c r="I2995" s="198"/>
      <c r="J2995" s="198" t="s">
        <v>2272</v>
      </c>
      <c r="K2995" s="198" t="s">
        <v>2272</v>
      </c>
      <c r="L2995" s="198" t="s">
        <v>2272</v>
      </c>
      <c r="M2995" s="198" t="s">
        <v>2272</v>
      </c>
      <c r="N2995" s="198" t="s">
        <v>2272</v>
      </c>
      <c r="O2995" s="198" t="s">
        <v>2272</v>
      </c>
      <c r="P2995" s="198" t="s">
        <v>2272</v>
      </c>
      <c r="Q2995" s="198" t="s">
        <v>2272</v>
      </c>
      <c r="R2995" s="198" t="s">
        <v>2272</v>
      </c>
      <c r="S2995" s="198" t="s">
        <v>2272</v>
      </c>
      <c r="T2995" s="198" t="s">
        <v>2272</v>
      </c>
      <c r="U2995" s="198" t="s">
        <v>2272</v>
      </c>
      <c r="V2995" s="198" t="s">
        <v>2272</v>
      </c>
      <c r="W2995" s="198" t="s">
        <v>2272</v>
      </c>
      <c r="X2995" s="198" t="s">
        <v>2272</v>
      </c>
      <c r="Y2995" s="21">
        <f>AVERAGE(7.42, 6.06)</f>
        <v>6.74</v>
      </c>
      <c r="Z2995" s="198" t="s">
        <v>2272</v>
      </c>
      <c r="AA2995" s="198" t="s">
        <v>2272</v>
      </c>
      <c r="AB2995" s="198" t="s">
        <v>2272</v>
      </c>
      <c r="AC2995" s="198" t="s">
        <v>2272</v>
      </c>
      <c r="AD2995" s="4" t="s">
        <v>11578</v>
      </c>
      <c r="AE2995" s="198"/>
    </row>
    <row r="2996" spans="1:31" ht="34" customHeight="1">
      <c r="A2996" s="4" t="s">
        <v>7966</v>
      </c>
      <c r="B2996" s="4" t="s">
        <v>7970</v>
      </c>
      <c r="C2996" s="198" t="s">
        <v>1102</v>
      </c>
      <c r="D2996" s="198" t="s">
        <v>1102</v>
      </c>
      <c r="E2996" s="198" t="s">
        <v>2272</v>
      </c>
      <c r="F2996" s="198" t="s">
        <v>2272</v>
      </c>
      <c r="G2996" s="198" t="s">
        <v>27</v>
      </c>
      <c r="H2996" s="198" t="s">
        <v>521</v>
      </c>
      <c r="I2996" s="198"/>
      <c r="J2996" s="198" t="s">
        <v>2272</v>
      </c>
      <c r="K2996" s="198" t="s">
        <v>2272</v>
      </c>
      <c r="L2996" s="198" t="s">
        <v>2272</v>
      </c>
      <c r="M2996" s="198" t="s">
        <v>2272</v>
      </c>
      <c r="N2996" s="198" t="s">
        <v>2272</v>
      </c>
      <c r="O2996" s="198" t="s">
        <v>2272</v>
      </c>
      <c r="P2996" s="198" t="s">
        <v>2272</v>
      </c>
      <c r="Q2996" s="198" t="s">
        <v>2272</v>
      </c>
      <c r="R2996" s="198" t="s">
        <v>2272</v>
      </c>
      <c r="S2996" s="198" t="s">
        <v>2272</v>
      </c>
      <c r="T2996" s="198" t="s">
        <v>2272</v>
      </c>
      <c r="U2996" s="198" t="s">
        <v>2272</v>
      </c>
      <c r="V2996" s="198" t="s">
        <v>2272</v>
      </c>
      <c r="W2996" s="198" t="s">
        <v>2272</v>
      </c>
      <c r="X2996" s="198" t="s">
        <v>2272</v>
      </c>
      <c r="Y2996" s="21">
        <f>AVERAGE(7.42, 6.06)*AVERAGE(0.4972, 0.1905)</f>
        <v>2.3175490000000001</v>
      </c>
      <c r="Z2996" s="198" t="s">
        <v>2272</v>
      </c>
      <c r="AA2996" s="198" t="s">
        <v>2272</v>
      </c>
      <c r="AB2996" s="198" t="s">
        <v>2272</v>
      </c>
      <c r="AC2996" s="198" t="s">
        <v>2272</v>
      </c>
      <c r="AD2996" s="4" t="s">
        <v>11578</v>
      </c>
      <c r="AE2996" s="198"/>
    </row>
    <row r="2997" spans="1:31" ht="34" customHeight="1">
      <c r="A2997" s="4" t="s">
        <v>7965</v>
      </c>
      <c r="B2997" s="4" t="s">
        <v>11576</v>
      </c>
      <c r="C2997" s="198" t="s">
        <v>1102</v>
      </c>
      <c r="D2997" s="198" t="s">
        <v>1102</v>
      </c>
      <c r="E2997" s="198" t="s">
        <v>2272</v>
      </c>
      <c r="F2997" s="198" t="s">
        <v>2272</v>
      </c>
      <c r="G2997" s="198" t="s">
        <v>54</v>
      </c>
      <c r="H2997" s="198" t="s">
        <v>521</v>
      </c>
      <c r="I2997" s="198"/>
      <c r="J2997" s="198" t="s">
        <v>2272</v>
      </c>
      <c r="K2997" s="198" t="s">
        <v>2272</v>
      </c>
      <c r="L2997" s="198" t="s">
        <v>2272</v>
      </c>
      <c r="M2997" s="198" t="s">
        <v>2272</v>
      </c>
      <c r="N2997" s="198" t="s">
        <v>2272</v>
      </c>
      <c r="O2997" s="198" t="s">
        <v>2272</v>
      </c>
      <c r="P2997" s="198" t="s">
        <v>2272</v>
      </c>
      <c r="Q2997" s="198" t="s">
        <v>2272</v>
      </c>
      <c r="R2997" s="198" t="s">
        <v>2272</v>
      </c>
      <c r="S2997" s="198" t="s">
        <v>2272</v>
      </c>
      <c r="T2997" s="198" t="s">
        <v>2272</v>
      </c>
      <c r="U2997" s="198" t="s">
        <v>2272</v>
      </c>
      <c r="V2997" s="198" t="s">
        <v>2272</v>
      </c>
      <c r="W2997" s="198" t="s">
        <v>2272</v>
      </c>
      <c r="X2997" s="198" t="s">
        <v>2272</v>
      </c>
      <c r="Y2997" s="21">
        <f>0.681*0.98</f>
        <v>0.66738000000000008</v>
      </c>
      <c r="Z2997" s="198" t="s">
        <v>2272</v>
      </c>
      <c r="AA2997" s="198" t="s">
        <v>2272</v>
      </c>
      <c r="AB2997" s="198" t="s">
        <v>2272</v>
      </c>
      <c r="AC2997" s="198" t="s">
        <v>2272</v>
      </c>
      <c r="AD2997" s="4" t="s">
        <v>11578</v>
      </c>
      <c r="AE2997" s="198"/>
    </row>
    <row r="2998" spans="1:31" ht="34" customHeight="1">
      <c r="A2998" s="4" t="s">
        <v>7966</v>
      </c>
      <c r="B2998" s="4" t="s">
        <v>7971</v>
      </c>
      <c r="C2998" s="198" t="s">
        <v>1102</v>
      </c>
      <c r="D2998" s="198" t="s">
        <v>1102</v>
      </c>
      <c r="E2998" s="198" t="s">
        <v>2272</v>
      </c>
      <c r="F2998" s="198" t="s">
        <v>2272</v>
      </c>
      <c r="G2998" s="198" t="s">
        <v>54</v>
      </c>
      <c r="H2998" s="198" t="s">
        <v>521</v>
      </c>
      <c r="I2998" s="198"/>
      <c r="J2998" s="198" t="s">
        <v>2272</v>
      </c>
      <c r="K2998" s="198" t="s">
        <v>2272</v>
      </c>
      <c r="L2998" s="198" t="s">
        <v>2272</v>
      </c>
      <c r="M2998" s="198" t="s">
        <v>2272</v>
      </c>
      <c r="N2998" s="198" t="s">
        <v>2272</v>
      </c>
      <c r="O2998" s="198" t="s">
        <v>2272</v>
      </c>
      <c r="P2998" s="198" t="s">
        <v>2272</v>
      </c>
      <c r="Q2998" s="198" t="s">
        <v>2272</v>
      </c>
      <c r="R2998" s="198" t="s">
        <v>2272</v>
      </c>
      <c r="S2998" s="198" t="s">
        <v>2272</v>
      </c>
      <c r="T2998" s="198" t="s">
        <v>2272</v>
      </c>
      <c r="U2998" s="198" t="s">
        <v>2272</v>
      </c>
      <c r="V2998" s="198" t="s">
        <v>2272</v>
      </c>
      <c r="W2998" s="198" t="s">
        <v>2272</v>
      </c>
      <c r="X2998" s="198" t="s">
        <v>2272</v>
      </c>
      <c r="Y2998" s="21">
        <f>AVERAGE(7.42, 6.06)*AVERAGE(0.4762, 0.7757)</f>
        <v>4.2189030000000001</v>
      </c>
      <c r="Z2998" s="198" t="s">
        <v>2272</v>
      </c>
      <c r="AA2998" s="198" t="s">
        <v>2272</v>
      </c>
      <c r="AB2998" s="198" t="s">
        <v>2272</v>
      </c>
      <c r="AC2998" s="198" t="s">
        <v>2272</v>
      </c>
      <c r="AD2998" s="4" t="s">
        <v>11578</v>
      </c>
      <c r="AE2998" s="198"/>
    </row>
    <row r="2999" spans="1:31" ht="34" customHeight="1">
      <c r="A2999" s="4" t="s">
        <v>7966</v>
      </c>
      <c r="B2999" s="4" t="s">
        <v>7974</v>
      </c>
      <c r="C2999" s="198" t="s">
        <v>23</v>
      </c>
      <c r="D2999" s="198" t="s">
        <v>24</v>
      </c>
      <c r="E2999" s="198" t="s">
        <v>2642</v>
      </c>
      <c r="F2999" s="198" t="s">
        <v>54</v>
      </c>
      <c r="G2999" s="198" t="s">
        <v>54</v>
      </c>
      <c r="H2999" s="198" t="s">
        <v>521</v>
      </c>
      <c r="I2999" s="198"/>
      <c r="J2999" s="198" t="s">
        <v>2272</v>
      </c>
      <c r="K2999" s="198" t="s">
        <v>2272</v>
      </c>
      <c r="L2999" s="198" t="s">
        <v>2272</v>
      </c>
      <c r="M2999" s="198" t="s">
        <v>2272</v>
      </c>
      <c r="N2999" s="198" t="s">
        <v>2272</v>
      </c>
      <c r="O2999" s="198" t="s">
        <v>2272</v>
      </c>
      <c r="P2999" s="198" t="s">
        <v>2272</v>
      </c>
      <c r="Q2999" s="198" t="s">
        <v>2272</v>
      </c>
      <c r="R2999" s="198" t="s">
        <v>2272</v>
      </c>
      <c r="S2999" s="21">
        <v>11.5</v>
      </c>
      <c r="T2999" s="198" t="s">
        <v>2272</v>
      </c>
      <c r="U2999" s="198" t="s">
        <v>2272</v>
      </c>
      <c r="V2999" s="198" t="s">
        <v>2272</v>
      </c>
      <c r="W2999" s="198" t="s">
        <v>2272</v>
      </c>
      <c r="X2999" s="198" t="s">
        <v>2272</v>
      </c>
      <c r="Y2999" s="198" t="s">
        <v>2272</v>
      </c>
      <c r="Z2999" s="198" t="s">
        <v>2272</v>
      </c>
      <c r="AA2999" s="198" t="s">
        <v>2272</v>
      </c>
      <c r="AB2999" s="198" t="s">
        <v>2272</v>
      </c>
      <c r="AC2999" s="198" t="s">
        <v>2272</v>
      </c>
      <c r="AD2999" s="198"/>
      <c r="AE2999" s="198"/>
    </row>
    <row r="3000" spans="1:31" ht="34" customHeight="1">
      <c r="A3000" s="4" t="s">
        <v>7966</v>
      </c>
      <c r="B3000" s="4" t="s">
        <v>7975</v>
      </c>
      <c r="C3000" s="198" t="s">
        <v>23</v>
      </c>
      <c r="D3000" s="198" t="s">
        <v>2654</v>
      </c>
      <c r="E3000" s="198" t="s">
        <v>82</v>
      </c>
      <c r="F3000" s="198" t="s">
        <v>27</v>
      </c>
      <c r="G3000" s="198" t="s">
        <v>27</v>
      </c>
      <c r="H3000" s="198" t="s">
        <v>521</v>
      </c>
      <c r="I3000" s="198"/>
      <c r="J3000" s="198" t="s">
        <v>2272</v>
      </c>
      <c r="K3000" s="198" t="s">
        <v>2272</v>
      </c>
      <c r="L3000" s="198" t="s">
        <v>2272</v>
      </c>
      <c r="M3000" s="198" t="s">
        <v>2272</v>
      </c>
      <c r="N3000" s="198" t="s">
        <v>2272</v>
      </c>
      <c r="O3000" s="198" t="s">
        <v>2272</v>
      </c>
      <c r="P3000" s="198" t="s">
        <v>2272</v>
      </c>
      <c r="Q3000" s="198" t="s">
        <v>2272</v>
      </c>
      <c r="R3000" s="198" t="s">
        <v>2272</v>
      </c>
      <c r="S3000" s="198" t="s">
        <v>2272</v>
      </c>
      <c r="T3000" s="198" t="s">
        <v>2272</v>
      </c>
      <c r="U3000" s="198" t="s">
        <v>2272</v>
      </c>
      <c r="V3000" s="198" t="s">
        <v>2272</v>
      </c>
      <c r="W3000" s="198" t="s">
        <v>2272</v>
      </c>
      <c r="X3000" s="198" t="s">
        <v>2272</v>
      </c>
      <c r="Y3000" s="198" t="s">
        <v>2272</v>
      </c>
      <c r="Z3000" s="198" t="s">
        <v>2272</v>
      </c>
      <c r="AA3000" s="198" t="s">
        <v>2272</v>
      </c>
      <c r="AB3000" s="198" t="s">
        <v>2272</v>
      </c>
      <c r="AC3000" s="198" t="s">
        <v>2272</v>
      </c>
      <c r="AD3000" s="198"/>
      <c r="AE3000" s="198"/>
    </row>
    <row r="3001" spans="1:31" ht="33" customHeight="1">
      <c r="A3001" s="4" t="s">
        <v>7966</v>
      </c>
      <c r="B3001" s="4" t="s">
        <v>11577</v>
      </c>
      <c r="C3001" s="198" t="s">
        <v>1102</v>
      </c>
      <c r="D3001" s="198" t="s">
        <v>1102</v>
      </c>
      <c r="E3001" s="198" t="s">
        <v>5795</v>
      </c>
      <c r="F3001" s="198" t="s">
        <v>54</v>
      </c>
      <c r="G3001" s="198" t="s">
        <v>54</v>
      </c>
      <c r="H3001" s="198" t="s">
        <v>521</v>
      </c>
      <c r="I3001" s="198"/>
      <c r="J3001" s="21">
        <f>0.425/100</f>
        <v>4.2500000000000003E-3</v>
      </c>
      <c r="K3001" s="198" t="s">
        <v>2272</v>
      </c>
      <c r="L3001" s="198" t="s">
        <v>2272</v>
      </c>
      <c r="M3001" s="198" t="s">
        <v>2272</v>
      </c>
      <c r="N3001" s="198" t="s">
        <v>2272</v>
      </c>
      <c r="O3001" s="198" t="s">
        <v>2272</v>
      </c>
      <c r="P3001" s="198" t="s">
        <v>2272</v>
      </c>
      <c r="Q3001" s="198" t="s">
        <v>2272</v>
      </c>
      <c r="R3001" s="198" t="s">
        <v>2272</v>
      </c>
      <c r="S3001" s="21">
        <v>12</v>
      </c>
      <c r="T3001" s="198" t="s">
        <v>2272</v>
      </c>
      <c r="U3001" s="198" t="s">
        <v>2272</v>
      </c>
      <c r="V3001" s="198" t="s">
        <v>2272</v>
      </c>
      <c r="W3001" s="198" t="s">
        <v>2272</v>
      </c>
      <c r="X3001" s="198" t="s">
        <v>2272</v>
      </c>
      <c r="Y3001" s="21">
        <v>6</v>
      </c>
      <c r="Z3001" s="198" t="s">
        <v>2272</v>
      </c>
      <c r="AA3001" s="198" t="s">
        <v>2272</v>
      </c>
      <c r="AB3001" s="198" t="s">
        <v>2272</v>
      </c>
      <c r="AC3001" s="198" t="s">
        <v>2272</v>
      </c>
      <c r="AD3001" s="198"/>
      <c r="AE3001" s="198"/>
    </row>
    <row r="3002" spans="1:31" ht="47.5" customHeight="1">
      <c r="A3002" s="4" t="s">
        <v>7980</v>
      </c>
      <c r="B3002" s="4" t="s">
        <v>7983</v>
      </c>
      <c r="C3002" s="198" t="s">
        <v>23</v>
      </c>
      <c r="D3002" s="198" t="s">
        <v>24</v>
      </c>
      <c r="E3002" s="198" t="s">
        <v>2642</v>
      </c>
      <c r="F3002" s="4" t="s">
        <v>28</v>
      </c>
      <c r="G3002" s="4" t="s">
        <v>28</v>
      </c>
      <c r="H3002" s="198" t="s">
        <v>521</v>
      </c>
      <c r="I3002" s="198"/>
      <c r="J3002" s="198" t="s">
        <v>2272</v>
      </c>
      <c r="K3002" s="198" t="s">
        <v>2272</v>
      </c>
      <c r="L3002" s="198" t="s">
        <v>2272</v>
      </c>
      <c r="M3002" s="198" t="s">
        <v>2272</v>
      </c>
      <c r="N3002" s="198" t="s">
        <v>2272</v>
      </c>
      <c r="O3002" s="198" t="s">
        <v>2272</v>
      </c>
      <c r="P3002" s="198" t="s">
        <v>2272</v>
      </c>
      <c r="Q3002" s="198" t="s">
        <v>2272</v>
      </c>
      <c r="R3002" s="198" t="s">
        <v>2272</v>
      </c>
      <c r="S3002" s="198" t="s">
        <v>2272</v>
      </c>
      <c r="T3002" s="198" t="s">
        <v>2272</v>
      </c>
      <c r="U3002" s="198" t="s">
        <v>2272</v>
      </c>
      <c r="V3002" s="198" t="s">
        <v>2272</v>
      </c>
      <c r="W3002" s="198" t="s">
        <v>2272</v>
      </c>
      <c r="X3002" s="198" t="s">
        <v>2272</v>
      </c>
      <c r="Y3002" s="198" t="s">
        <v>2272</v>
      </c>
      <c r="Z3002" s="198" t="s">
        <v>2272</v>
      </c>
      <c r="AA3002" s="198" t="s">
        <v>2272</v>
      </c>
      <c r="AB3002" s="198" t="s">
        <v>2272</v>
      </c>
      <c r="AC3002" s="198" t="s">
        <v>2272</v>
      </c>
      <c r="AD3002" s="4" t="s">
        <v>7987</v>
      </c>
      <c r="AE3002" s="198"/>
    </row>
    <row r="3003" spans="1:31" ht="47.5" customHeight="1">
      <c r="A3003" s="4" t="s">
        <v>7980</v>
      </c>
      <c r="B3003" s="4" t="s">
        <v>7984</v>
      </c>
      <c r="C3003" s="198" t="s">
        <v>23</v>
      </c>
      <c r="D3003" s="198" t="s">
        <v>2799</v>
      </c>
      <c r="E3003" s="198" t="s">
        <v>2642</v>
      </c>
      <c r="F3003" s="4" t="s">
        <v>2657</v>
      </c>
      <c r="G3003" s="4" t="s">
        <v>2657</v>
      </c>
      <c r="H3003" s="198" t="s">
        <v>521</v>
      </c>
      <c r="I3003" s="198"/>
      <c r="J3003" s="198" t="s">
        <v>2272</v>
      </c>
      <c r="K3003" s="198" t="s">
        <v>2272</v>
      </c>
      <c r="L3003" s="198" t="s">
        <v>2272</v>
      </c>
      <c r="M3003" s="198" t="s">
        <v>2272</v>
      </c>
      <c r="N3003" s="198" t="s">
        <v>2272</v>
      </c>
      <c r="O3003" s="198" t="s">
        <v>2272</v>
      </c>
      <c r="P3003" s="198" t="s">
        <v>2272</v>
      </c>
      <c r="Q3003" s="198" t="s">
        <v>2272</v>
      </c>
      <c r="R3003" s="198" t="s">
        <v>2272</v>
      </c>
      <c r="S3003" s="198" t="s">
        <v>2272</v>
      </c>
      <c r="T3003" s="198" t="s">
        <v>2272</v>
      </c>
      <c r="U3003" s="198" t="s">
        <v>2272</v>
      </c>
      <c r="V3003" s="198" t="s">
        <v>2272</v>
      </c>
      <c r="W3003" s="198" t="s">
        <v>2272</v>
      </c>
      <c r="X3003" s="198" t="s">
        <v>2272</v>
      </c>
      <c r="Y3003" s="198" t="s">
        <v>2272</v>
      </c>
      <c r="Z3003" s="198" t="s">
        <v>2272</v>
      </c>
      <c r="AA3003" s="198" t="s">
        <v>2272</v>
      </c>
      <c r="AB3003" s="198" t="s">
        <v>2272</v>
      </c>
      <c r="AC3003" s="198" t="s">
        <v>2272</v>
      </c>
      <c r="AD3003" s="4" t="s">
        <v>7987</v>
      </c>
      <c r="AE3003" s="198"/>
    </row>
    <row r="3004" spans="1:31" ht="47.5" customHeight="1">
      <c r="A3004" s="4" t="s">
        <v>7980</v>
      </c>
      <c r="B3004" s="4" t="s">
        <v>7985</v>
      </c>
      <c r="C3004" s="198" t="s">
        <v>23</v>
      </c>
      <c r="D3004" s="198" t="s">
        <v>24</v>
      </c>
      <c r="E3004" s="198" t="s">
        <v>44</v>
      </c>
      <c r="F3004" s="4" t="s">
        <v>28</v>
      </c>
      <c r="G3004" s="4" t="s">
        <v>28</v>
      </c>
      <c r="H3004" s="198" t="s">
        <v>521</v>
      </c>
      <c r="I3004" s="198"/>
      <c r="J3004" s="198" t="s">
        <v>2272</v>
      </c>
      <c r="K3004" s="198" t="s">
        <v>2272</v>
      </c>
      <c r="L3004" s="198" t="s">
        <v>2272</v>
      </c>
      <c r="M3004" s="198" t="s">
        <v>2272</v>
      </c>
      <c r="N3004" s="198" t="s">
        <v>2272</v>
      </c>
      <c r="O3004" s="198" t="s">
        <v>2272</v>
      </c>
      <c r="P3004" s="198" t="s">
        <v>2272</v>
      </c>
      <c r="Q3004" s="198" t="s">
        <v>2272</v>
      </c>
      <c r="R3004" s="198" t="s">
        <v>2272</v>
      </c>
      <c r="S3004" s="198" t="s">
        <v>2272</v>
      </c>
      <c r="T3004" s="198" t="s">
        <v>2272</v>
      </c>
      <c r="U3004" s="198" t="s">
        <v>2272</v>
      </c>
      <c r="V3004" s="198" t="s">
        <v>2272</v>
      </c>
      <c r="W3004" s="198" t="s">
        <v>2272</v>
      </c>
      <c r="X3004" s="198" t="s">
        <v>2272</v>
      </c>
      <c r="Y3004" s="198" t="s">
        <v>2272</v>
      </c>
      <c r="Z3004" s="198" t="s">
        <v>2272</v>
      </c>
      <c r="AA3004" s="198" t="s">
        <v>2272</v>
      </c>
      <c r="AB3004" s="198" t="s">
        <v>2272</v>
      </c>
      <c r="AC3004" s="198" t="s">
        <v>2272</v>
      </c>
      <c r="AD3004" s="4" t="s">
        <v>7987</v>
      </c>
      <c r="AE3004" s="198"/>
    </row>
    <row r="3005" spans="1:31" ht="47.5" customHeight="1">
      <c r="A3005" s="4" t="s">
        <v>7980</v>
      </c>
      <c r="B3005" s="4" t="s">
        <v>7986</v>
      </c>
      <c r="C3005" s="198" t="s">
        <v>23</v>
      </c>
      <c r="D3005" s="198" t="s">
        <v>2799</v>
      </c>
      <c r="E3005" s="198" t="s">
        <v>44</v>
      </c>
      <c r="F3005" s="4" t="s">
        <v>2657</v>
      </c>
      <c r="G3005" s="4" t="s">
        <v>2657</v>
      </c>
      <c r="H3005" s="198" t="s">
        <v>521</v>
      </c>
      <c r="I3005" s="198"/>
      <c r="J3005" s="198" t="s">
        <v>2272</v>
      </c>
      <c r="K3005" s="198" t="s">
        <v>2272</v>
      </c>
      <c r="L3005" s="198" t="s">
        <v>2272</v>
      </c>
      <c r="M3005" s="198" t="s">
        <v>2272</v>
      </c>
      <c r="N3005" s="198" t="s">
        <v>2272</v>
      </c>
      <c r="O3005" s="198" t="s">
        <v>2272</v>
      </c>
      <c r="P3005" s="198" t="s">
        <v>2272</v>
      </c>
      <c r="Q3005" s="198" t="s">
        <v>2272</v>
      </c>
      <c r="R3005" s="198" t="s">
        <v>2272</v>
      </c>
      <c r="S3005" s="198" t="s">
        <v>2272</v>
      </c>
      <c r="T3005" s="198" t="s">
        <v>2272</v>
      </c>
      <c r="U3005" s="198" t="s">
        <v>2272</v>
      </c>
      <c r="V3005" s="198" t="s">
        <v>2272</v>
      </c>
      <c r="W3005" s="198" t="s">
        <v>2272</v>
      </c>
      <c r="X3005" s="198" t="s">
        <v>2272</v>
      </c>
      <c r="Y3005" s="198" t="s">
        <v>2272</v>
      </c>
      <c r="Z3005" s="198" t="s">
        <v>2272</v>
      </c>
      <c r="AA3005" s="198" t="s">
        <v>2272</v>
      </c>
      <c r="AB3005" s="198" t="s">
        <v>2272</v>
      </c>
      <c r="AC3005" s="198" t="s">
        <v>2272</v>
      </c>
      <c r="AD3005" s="4" t="s">
        <v>7987</v>
      </c>
      <c r="AE3005" s="198"/>
    </row>
    <row r="3006" spans="1:31" ht="38" customHeight="1">
      <c r="A3006" s="4" t="s">
        <v>7989</v>
      </c>
      <c r="B3006" s="4" t="s">
        <v>7997</v>
      </c>
      <c r="C3006" s="198" t="s">
        <v>23</v>
      </c>
      <c r="D3006" s="198" t="s">
        <v>142</v>
      </c>
      <c r="E3006" s="198" t="s">
        <v>135</v>
      </c>
      <c r="F3006" s="4" t="s">
        <v>2657</v>
      </c>
      <c r="G3006" s="4" t="s">
        <v>2657</v>
      </c>
      <c r="H3006" s="198" t="s">
        <v>521</v>
      </c>
      <c r="I3006" s="198"/>
      <c r="J3006" s="198" t="s">
        <v>2272</v>
      </c>
      <c r="K3006" s="198" t="s">
        <v>2272</v>
      </c>
      <c r="L3006" s="198" t="s">
        <v>2272</v>
      </c>
      <c r="M3006" s="198" t="s">
        <v>2272</v>
      </c>
      <c r="N3006" s="198" t="s">
        <v>2272</v>
      </c>
      <c r="O3006" s="198" t="s">
        <v>2272</v>
      </c>
      <c r="P3006" s="198" t="s">
        <v>2272</v>
      </c>
      <c r="Q3006" s="198" t="s">
        <v>2272</v>
      </c>
      <c r="R3006" s="198" t="s">
        <v>2272</v>
      </c>
      <c r="S3006" s="198" t="s">
        <v>2272</v>
      </c>
      <c r="T3006" s="198" t="s">
        <v>2272</v>
      </c>
      <c r="U3006" s="198" t="s">
        <v>2272</v>
      </c>
      <c r="V3006" s="198" t="s">
        <v>2272</v>
      </c>
      <c r="W3006" s="198" t="s">
        <v>2272</v>
      </c>
      <c r="X3006" s="198" t="s">
        <v>2272</v>
      </c>
      <c r="Y3006" s="198" t="s">
        <v>2272</v>
      </c>
      <c r="Z3006" s="198" t="s">
        <v>2272</v>
      </c>
      <c r="AA3006" s="198" t="s">
        <v>2272</v>
      </c>
      <c r="AB3006" s="198" t="s">
        <v>2272</v>
      </c>
      <c r="AC3006" s="198" t="s">
        <v>2272</v>
      </c>
      <c r="AD3006" s="198"/>
      <c r="AE3006" s="198"/>
    </row>
    <row r="3007" spans="1:31" ht="38" customHeight="1">
      <c r="A3007" s="4" t="s">
        <v>7995</v>
      </c>
      <c r="B3007" s="4" t="s">
        <v>7998</v>
      </c>
      <c r="C3007" s="198" t="s">
        <v>23</v>
      </c>
      <c r="D3007" s="198" t="s">
        <v>142</v>
      </c>
      <c r="E3007" s="198" t="s">
        <v>135</v>
      </c>
      <c r="F3007" s="4" t="s">
        <v>2657</v>
      </c>
      <c r="G3007" s="4" t="s">
        <v>2657</v>
      </c>
      <c r="H3007" s="198" t="s">
        <v>521</v>
      </c>
      <c r="I3007" s="198"/>
      <c r="J3007" s="198" t="s">
        <v>2272</v>
      </c>
      <c r="K3007" s="198" t="s">
        <v>2272</v>
      </c>
      <c r="L3007" s="198" t="s">
        <v>2272</v>
      </c>
      <c r="M3007" s="198" t="s">
        <v>2272</v>
      </c>
      <c r="N3007" s="198" t="s">
        <v>2272</v>
      </c>
      <c r="O3007" s="198" t="s">
        <v>2272</v>
      </c>
      <c r="P3007" s="198" t="s">
        <v>2272</v>
      </c>
      <c r="Q3007" s="198" t="s">
        <v>2272</v>
      </c>
      <c r="R3007" s="198" t="s">
        <v>2272</v>
      </c>
      <c r="S3007" s="198" t="s">
        <v>2272</v>
      </c>
      <c r="T3007" s="198" t="s">
        <v>2272</v>
      </c>
      <c r="U3007" s="198" t="s">
        <v>2272</v>
      </c>
      <c r="V3007" s="198" t="s">
        <v>2272</v>
      </c>
      <c r="W3007" s="198" t="s">
        <v>2272</v>
      </c>
      <c r="X3007" s="198" t="s">
        <v>2272</v>
      </c>
      <c r="Y3007" s="198" t="s">
        <v>2272</v>
      </c>
      <c r="Z3007" s="198" t="s">
        <v>2272</v>
      </c>
      <c r="AA3007" s="198" t="s">
        <v>2272</v>
      </c>
      <c r="AB3007" s="198" t="s">
        <v>2272</v>
      </c>
      <c r="AC3007" s="198" t="s">
        <v>2272</v>
      </c>
      <c r="AD3007" s="198"/>
      <c r="AE3007" s="198"/>
    </row>
    <row r="3008" spans="1:31" ht="38" customHeight="1">
      <c r="A3008" s="4" t="s">
        <v>7996</v>
      </c>
      <c r="B3008" s="4" t="s">
        <v>7999</v>
      </c>
      <c r="C3008" s="198" t="s">
        <v>23</v>
      </c>
      <c r="D3008" s="198" t="s">
        <v>142</v>
      </c>
      <c r="E3008" s="198" t="s">
        <v>135</v>
      </c>
      <c r="F3008" s="4" t="s">
        <v>2657</v>
      </c>
      <c r="G3008" s="4" t="s">
        <v>2657</v>
      </c>
      <c r="H3008" s="198" t="s">
        <v>521</v>
      </c>
      <c r="I3008" s="198"/>
      <c r="J3008" s="198" t="s">
        <v>2272</v>
      </c>
      <c r="K3008" s="198" t="s">
        <v>2272</v>
      </c>
      <c r="L3008" s="198" t="s">
        <v>2272</v>
      </c>
      <c r="M3008" s="198" t="s">
        <v>2272</v>
      </c>
      <c r="N3008" s="198" t="s">
        <v>2272</v>
      </c>
      <c r="O3008" s="198" t="s">
        <v>2272</v>
      </c>
      <c r="P3008" s="198" t="s">
        <v>2272</v>
      </c>
      <c r="Q3008" s="198" t="s">
        <v>2272</v>
      </c>
      <c r="R3008" s="198" t="s">
        <v>2272</v>
      </c>
      <c r="S3008" s="198" t="s">
        <v>2272</v>
      </c>
      <c r="T3008" s="198" t="s">
        <v>2272</v>
      </c>
      <c r="U3008" s="198" t="s">
        <v>2272</v>
      </c>
      <c r="V3008" s="198" t="s">
        <v>2272</v>
      </c>
      <c r="W3008" s="198" t="s">
        <v>2272</v>
      </c>
      <c r="X3008" s="198" t="s">
        <v>2272</v>
      </c>
      <c r="Y3008" s="198" t="s">
        <v>2272</v>
      </c>
      <c r="Z3008" s="198" t="s">
        <v>2272</v>
      </c>
      <c r="AA3008" s="198" t="s">
        <v>2272</v>
      </c>
      <c r="AB3008" s="198" t="s">
        <v>2272</v>
      </c>
      <c r="AC3008" s="198" t="s">
        <v>2272</v>
      </c>
      <c r="AD3008" s="198"/>
      <c r="AE3008" s="198"/>
    </row>
    <row r="3009" spans="1:31" ht="31" customHeight="1">
      <c r="A3009" s="4" t="s">
        <v>8002</v>
      </c>
      <c r="B3009" s="4" t="s">
        <v>8004</v>
      </c>
      <c r="C3009" s="198" t="s">
        <v>23</v>
      </c>
      <c r="D3009" s="198" t="s">
        <v>2799</v>
      </c>
      <c r="E3009" s="198" t="s">
        <v>44</v>
      </c>
      <c r="F3009" s="4" t="s">
        <v>2657</v>
      </c>
      <c r="G3009" s="4" t="s">
        <v>2657</v>
      </c>
      <c r="H3009" s="198" t="s">
        <v>521</v>
      </c>
      <c r="I3009" s="198"/>
      <c r="J3009" s="198" t="s">
        <v>2272</v>
      </c>
      <c r="K3009" s="198" t="s">
        <v>2272</v>
      </c>
      <c r="L3009" s="198" t="s">
        <v>2272</v>
      </c>
      <c r="M3009" s="198" t="s">
        <v>2272</v>
      </c>
      <c r="N3009" s="198" t="s">
        <v>2272</v>
      </c>
      <c r="O3009" s="198" t="s">
        <v>2272</v>
      </c>
      <c r="P3009" s="198" t="s">
        <v>2272</v>
      </c>
      <c r="Q3009" s="198" t="s">
        <v>2272</v>
      </c>
      <c r="R3009" s="198" t="s">
        <v>2272</v>
      </c>
      <c r="S3009" s="198" t="s">
        <v>2272</v>
      </c>
      <c r="T3009" s="198" t="s">
        <v>2272</v>
      </c>
      <c r="U3009" s="198" t="s">
        <v>2272</v>
      </c>
      <c r="V3009" s="198" t="s">
        <v>2272</v>
      </c>
      <c r="W3009" s="198" t="s">
        <v>2272</v>
      </c>
      <c r="X3009" s="198" t="s">
        <v>2272</v>
      </c>
      <c r="Y3009" s="198" t="s">
        <v>2272</v>
      </c>
      <c r="Z3009" s="198" t="s">
        <v>2272</v>
      </c>
      <c r="AA3009" s="198" t="s">
        <v>2272</v>
      </c>
      <c r="AB3009" s="198" t="s">
        <v>2272</v>
      </c>
      <c r="AC3009" s="198" t="s">
        <v>2272</v>
      </c>
      <c r="AD3009" s="198"/>
      <c r="AE3009" s="198"/>
    </row>
    <row r="3010" spans="1:31" ht="31" customHeight="1">
      <c r="A3010" s="4" t="s">
        <v>8002</v>
      </c>
      <c r="B3010" s="4" t="s">
        <v>8005</v>
      </c>
      <c r="C3010" s="198" t="s">
        <v>2453</v>
      </c>
      <c r="D3010" s="198" t="s">
        <v>2799</v>
      </c>
      <c r="E3010" s="198" t="s">
        <v>44</v>
      </c>
      <c r="F3010" s="4" t="s">
        <v>2657</v>
      </c>
      <c r="G3010" s="4" t="s">
        <v>2657</v>
      </c>
      <c r="H3010" s="198" t="s">
        <v>521</v>
      </c>
      <c r="I3010" s="198"/>
      <c r="J3010" s="198" t="s">
        <v>2272</v>
      </c>
      <c r="K3010" s="198" t="s">
        <v>2272</v>
      </c>
      <c r="L3010" s="198" t="s">
        <v>2272</v>
      </c>
      <c r="M3010" s="198" t="s">
        <v>2272</v>
      </c>
      <c r="N3010" s="198" t="s">
        <v>2272</v>
      </c>
      <c r="O3010" s="198" t="s">
        <v>2272</v>
      </c>
      <c r="P3010" s="198" t="s">
        <v>2272</v>
      </c>
      <c r="Q3010" s="198" t="s">
        <v>2272</v>
      </c>
      <c r="R3010" s="198" t="s">
        <v>2272</v>
      </c>
      <c r="S3010" s="198" t="s">
        <v>2272</v>
      </c>
      <c r="T3010" s="198" t="s">
        <v>2272</v>
      </c>
      <c r="U3010" s="198" t="s">
        <v>2272</v>
      </c>
      <c r="V3010" s="198" t="s">
        <v>2272</v>
      </c>
      <c r="W3010" s="198" t="s">
        <v>2272</v>
      </c>
      <c r="X3010" s="198" t="s">
        <v>2272</v>
      </c>
      <c r="Y3010" s="198" t="s">
        <v>2272</v>
      </c>
      <c r="Z3010" s="198" t="s">
        <v>2272</v>
      </c>
      <c r="AA3010" s="198" t="s">
        <v>2272</v>
      </c>
      <c r="AB3010" s="198" t="s">
        <v>2272</v>
      </c>
      <c r="AC3010" s="198" t="s">
        <v>2272</v>
      </c>
      <c r="AD3010" s="198"/>
      <c r="AE3010" s="198"/>
    </row>
    <row r="3011" spans="1:31" ht="41" customHeight="1">
      <c r="A3011" s="4" t="s">
        <v>8008</v>
      </c>
      <c r="B3011" s="4" t="s">
        <v>8012</v>
      </c>
      <c r="C3011" s="198" t="s">
        <v>23</v>
      </c>
      <c r="D3011" s="198" t="s">
        <v>142</v>
      </c>
      <c r="E3011" s="198" t="s">
        <v>135</v>
      </c>
      <c r="F3011" s="4" t="s">
        <v>2657</v>
      </c>
      <c r="G3011" s="4" t="s">
        <v>2657</v>
      </c>
      <c r="H3011" s="198" t="s">
        <v>522</v>
      </c>
      <c r="I3011" s="198"/>
      <c r="J3011" s="21">
        <v>0</v>
      </c>
      <c r="K3011" s="21">
        <v>0</v>
      </c>
      <c r="L3011" s="21">
        <v>0</v>
      </c>
      <c r="M3011" s="21">
        <v>0</v>
      </c>
      <c r="N3011" s="21">
        <v>0</v>
      </c>
      <c r="O3011" s="21">
        <v>0</v>
      </c>
      <c r="P3011" s="21">
        <v>0</v>
      </c>
      <c r="Q3011" s="21">
        <v>0</v>
      </c>
      <c r="R3011" s="21">
        <v>0</v>
      </c>
      <c r="S3011" s="21">
        <v>0</v>
      </c>
      <c r="T3011" s="21">
        <v>0</v>
      </c>
      <c r="U3011" s="21">
        <v>0</v>
      </c>
      <c r="V3011" s="21">
        <v>0</v>
      </c>
      <c r="W3011" s="21">
        <v>0</v>
      </c>
      <c r="X3011" s="21">
        <v>0</v>
      </c>
      <c r="Y3011" s="198" t="s">
        <v>2272</v>
      </c>
      <c r="Z3011" s="198" t="s">
        <v>2272</v>
      </c>
      <c r="AA3011" s="198" t="s">
        <v>2272</v>
      </c>
      <c r="AB3011" s="198" t="s">
        <v>2272</v>
      </c>
      <c r="AC3011" s="198" t="s">
        <v>2272</v>
      </c>
      <c r="AD3011" s="198"/>
      <c r="AE3011" s="198"/>
    </row>
    <row r="3012" spans="1:31" ht="34.5" customHeight="1">
      <c r="A3012" s="4" t="s">
        <v>8009</v>
      </c>
      <c r="B3012" s="4" t="s">
        <v>8013</v>
      </c>
      <c r="C3012" s="198" t="s">
        <v>23</v>
      </c>
      <c r="D3012" s="198" t="s">
        <v>2799</v>
      </c>
      <c r="E3012" s="198" t="s">
        <v>44</v>
      </c>
      <c r="F3012" s="4" t="s">
        <v>2657</v>
      </c>
      <c r="G3012" s="4" t="s">
        <v>2657</v>
      </c>
      <c r="H3012" s="198" t="s">
        <v>521</v>
      </c>
      <c r="I3012" s="198"/>
      <c r="J3012" s="198" t="s">
        <v>2272</v>
      </c>
      <c r="K3012" s="198" t="s">
        <v>2272</v>
      </c>
      <c r="L3012" s="198" t="s">
        <v>2272</v>
      </c>
      <c r="M3012" s="198" t="s">
        <v>2272</v>
      </c>
      <c r="N3012" s="198" t="s">
        <v>2272</v>
      </c>
      <c r="O3012" s="198" t="s">
        <v>2272</v>
      </c>
      <c r="P3012" s="198" t="s">
        <v>2272</v>
      </c>
      <c r="Q3012" s="198" t="s">
        <v>2272</v>
      </c>
      <c r="R3012" s="198" t="s">
        <v>2272</v>
      </c>
      <c r="S3012" s="198" t="s">
        <v>2272</v>
      </c>
      <c r="T3012" s="198" t="s">
        <v>2272</v>
      </c>
      <c r="U3012" s="198" t="s">
        <v>2272</v>
      </c>
      <c r="V3012" s="198" t="s">
        <v>2272</v>
      </c>
      <c r="W3012" s="198" t="s">
        <v>2272</v>
      </c>
      <c r="X3012" s="198" t="s">
        <v>2272</v>
      </c>
      <c r="Y3012" s="198" t="s">
        <v>2272</v>
      </c>
      <c r="Z3012" s="21">
        <v>2</v>
      </c>
      <c r="AA3012" s="198" t="s">
        <v>403</v>
      </c>
      <c r="AB3012" s="198" t="s">
        <v>423</v>
      </c>
      <c r="AC3012" s="198" t="s">
        <v>2272</v>
      </c>
      <c r="AD3012" s="198"/>
      <c r="AE3012" s="198"/>
    </row>
    <row r="3013" spans="1:31" ht="30" customHeight="1">
      <c r="A3013" s="4" t="s">
        <v>8008</v>
      </c>
      <c r="B3013" s="4" t="s">
        <v>8016</v>
      </c>
      <c r="C3013" s="198" t="s">
        <v>23</v>
      </c>
      <c r="D3013" s="198" t="s">
        <v>2799</v>
      </c>
      <c r="E3013" s="198" t="s">
        <v>44</v>
      </c>
      <c r="F3013" s="4" t="s">
        <v>2657</v>
      </c>
      <c r="G3013" s="4" t="s">
        <v>2657</v>
      </c>
      <c r="H3013" s="198" t="s">
        <v>522</v>
      </c>
      <c r="I3013" s="198"/>
      <c r="J3013" s="21">
        <v>0</v>
      </c>
      <c r="K3013" s="21">
        <v>0</v>
      </c>
      <c r="L3013" s="21">
        <v>0</v>
      </c>
      <c r="M3013" s="21">
        <v>0</v>
      </c>
      <c r="N3013" s="21">
        <v>0</v>
      </c>
      <c r="O3013" s="21">
        <v>0</v>
      </c>
      <c r="P3013" s="21">
        <v>0</v>
      </c>
      <c r="Q3013" s="21">
        <v>0</v>
      </c>
      <c r="R3013" s="21">
        <v>0</v>
      </c>
      <c r="S3013" s="21">
        <v>0</v>
      </c>
      <c r="T3013" s="21">
        <v>0</v>
      </c>
      <c r="U3013" s="21">
        <v>0</v>
      </c>
      <c r="V3013" s="21">
        <v>0</v>
      </c>
      <c r="W3013" s="21">
        <v>0</v>
      </c>
      <c r="X3013" s="21">
        <v>0</v>
      </c>
      <c r="Y3013" s="198" t="s">
        <v>2272</v>
      </c>
      <c r="Z3013" s="198" t="s">
        <v>2272</v>
      </c>
      <c r="AA3013" s="198" t="s">
        <v>2272</v>
      </c>
      <c r="AB3013" s="198" t="s">
        <v>2272</v>
      </c>
      <c r="AC3013" s="198" t="s">
        <v>2272</v>
      </c>
      <c r="AD3013" s="198"/>
      <c r="AE3013" s="198"/>
    </row>
    <row r="3014" spans="1:31" ht="35.5" customHeight="1">
      <c r="A3014" s="4" t="s">
        <v>8019</v>
      </c>
      <c r="B3014" s="4" t="s">
        <v>8022</v>
      </c>
      <c r="C3014" s="198" t="s">
        <v>23</v>
      </c>
      <c r="D3014" s="198" t="s">
        <v>1241</v>
      </c>
      <c r="E3014" s="198" t="s">
        <v>114</v>
      </c>
      <c r="F3014" s="4" t="s">
        <v>2657</v>
      </c>
      <c r="G3014" s="4" t="s">
        <v>2657</v>
      </c>
      <c r="H3014" s="198" t="s">
        <v>521</v>
      </c>
      <c r="I3014" s="198"/>
      <c r="J3014" s="198" t="s">
        <v>2272</v>
      </c>
      <c r="K3014" s="198" t="s">
        <v>2272</v>
      </c>
      <c r="L3014" s="198" t="s">
        <v>2272</v>
      </c>
      <c r="M3014" s="198" t="s">
        <v>2272</v>
      </c>
      <c r="N3014" s="198" t="s">
        <v>2272</v>
      </c>
      <c r="O3014" s="198" t="s">
        <v>2272</v>
      </c>
      <c r="P3014" s="198" t="s">
        <v>2272</v>
      </c>
      <c r="Q3014" s="198" t="s">
        <v>2272</v>
      </c>
      <c r="R3014" s="198" t="s">
        <v>2272</v>
      </c>
      <c r="S3014" s="198" t="s">
        <v>2272</v>
      </c>
      <c r="T3014" s="198" t="s">
        <v>2272</v>
      </c>
      <c r="U3014" s="198" t="s">
        <v>2272</v>
      </c>
      <c r="V3014" s="198" t="s">
        <v>2272</v>
      </c>
      <c r="W3014" s="198" t="s">
        <v>2272</v>
      </c>
      <c r="X3014" s="198" t="s">
        <v>2272</v>
      </c>
      <c r="Y3014" s="198" t="s">
        <v>2272</v>
      </c>
      <c r="Z3014" s="198" t="s">
        <v>2272</v>
      </c>
      <c r="AA3014" s="198" t="s">
        <v>402</v>
      </c>
      <c r="AB3014" s="198" t="s">
        <v>423</v>
      </c>
      <c r="AC3014" s="198" t="s">
        <v>2272</v>
      </c>
      <c r="AD3014" s="198"/>
      <c r="AE3014" s="198"/>
    </row>
    <row r="3015" spans="1:31" ht="36.5" customHeight="1">
      <c r="A3015" s="4" t="s">
        <v>8019</v>
      </c>
      <c r="B3015" s="4" t="s">
        <v>8025</v>
      </c>
      <c r="C3015" s="198" t="s">
        <v>23</v>
      </c>
      <c r="D3015" s="198" t="s">
        <v>404</v>
      </c>
      <c r="E3015" s="198" t="s">
        <v>114</v>
      </c>
      <c r="F3015" s="4" t="s">
        <v>2657</v>
      </c>
      <c r="G3015" s="4" t="s">
        <v>2657</v>
      </c>
      <c r="H3015" s="198" t="s">
        <v>521</v>
      </c>
      <c r="I3015" s="198"/>
      <c r="J3015" s="198" t="s">
        <v>2272</v>
      </c>
      <c r="K3015" s="198" t="s">
        <v>2272</v>
      </c>
      <c r="L3015" s="198" t="s">
        <v>2272</v>
      </c>
      <c r="M3015" s="198" t="s">
        <v>2272</v>
      </c>
      <c r="N3015" s="198" t="s">
        <v>2272</v>
      </c>
      <c r="O3015" s="198" t="s">
        <v>2272</v>
      </c>
      <c r="P3015" s="198" t="s">
        <v>2272</v>
      </c>
      <c r="Q3015" s="198" t="s">
        <v>2272</v>
      </c>
      <c r="R3015" s="198" t="s">
        <v>2272</v>
      </c>
      <c r="S3015" s="198" t="s">
        <v>2272</v>
      </c>
      <c r="T3015" s="198" t="s">
        <v>2272</v>
      </c>
      <c r="U3015" s="198" t="s">
        <v>2272</v>
      </c>
      <c r="V3015" s="198" t="s">
        <v>2272</v>
      </c>
      <c r="W3015" s="198" t="s">
        <v>2272</v>
      </c>
      <c r="X3015" s="198" t="s">
        <v>2272</v>
      </c>
      <c r="Y3015" s="198" t="s">
        <v>2272</v>
      </c>
      <c r="Z3015" s="198" t="s">
        <v>2272</v>
      </c>
      <c r="AA3015" s="198" t="s">
        <v>402</v>
      </c>
      <c r="AB3015" s="198" t="s">
        <v>423</v>
      </c>
      <c r="AC3015" s="198" t="s">
        <v>2272</v>
      </c>
      <c r="AD3015" s="198"/>
      <c r="AE3015" s="198"/>
    </row>
    <row r="3016" spans="1:31" ht="37.5" customHeight="1">
      <c r="A3016" s="4" t="s">
        <v>8027</v>
      </c>
      <c r="B3016" s="4" t="s">
        <v>8030</v>
      </c>
      <c r="C3016" s="198" t="s">
        <v>23</v>
      </c>
      <c r="D3016" s="198" t="s">
        <v>2799</v>
      </c>
      <c r="E3016" s="197" t="s">
        <v>2642</v>
      </c>
      <c r="F3016" s="4" t="s">
        <v>2657</v>
      </c>
      <c r="G3016" s="4" t="s">
        <v>2657</v>
      </c>
      <c r="H3016" s="198" t="s">
        <v>521</v>
      </c>
      <c r="I3016" s="198"/>
      <c r="J3016" s="198" t="s">
        <v>2272</v>
      </c>
      <c r="K3016" s="198" t="s">
        <v>2272</v>
      </c>
      <c r="L3016" s="198" t="s">
        <v>2272</v>
      </c>
      <c r="M3016" s="198" t="s">
        <v>2272</v>
      </c>
      <c r="N3016" s="198" t="s">
        <v>2272</v>
      </c>
      <c r="O3016" s="198" t="s">
        <v>2272</v>
      </c>
      <c r="P3016" s="198" t="s">
        <v>2272</v>
      </c>
      <c r="Q3016" s="198" t="s">
        <v>2272</v>
      </c>
      <c r="R3016" s="198" t="s">
        <v>2272</v>
      </c>
      <c r="S3016" s="198" t="s">
        <v>2272</v>
      </c>
      <c r="T3016" s="198" t="s">
        <v>2272</v>
      </c>
      <c r="U3016" s="198" t="s">
        <v>2272</v>
      </c>
      <c r="V3016" s="198" t="s">
        <v>2272</v>
      </c>
      <c r="W3016" s="198" t="s">
        <v>2272</v>
      </c>
      <c r="X3016" s="198" t="s">
        <v>2272</v>
      </c>
      <c r="Y3016" s="198" t="s">
        <v>2272</v>
      </c>
      <c r="Z3016" s="198" t="s">
        <v>2272</v>
      </c>
      <c r="AA3016" s="198" t="s">
        <v>2272</v>
      </c>
      <c r="AB3016" s="198" t="s">
        <v>2272</v>
      </c>
      <c r="AC3016" s="198" t="s">
        <v>2272</v>
      </c>
      <c r="AD3016" s="198"/>
      <c r="AE3016" s="198"/>
    </row>
    <row r="3017" spans="1:31" ht="37" customHeight="1">
      <c r="A3017" s="4" t="s">
        <v>8029</v>
      </c>
      <c r="B3017" s="4" t="s">
        <v>8031</v>
      </c>
      <c r="C3017" s="198" t="s">
        <v>23</v>
      </c>
      <c r="D3017" s="198" t="s">
        <v>2799</v>
      </c>
      <c r="E3017" s="198" t="s">
        <v>44</v>
      </c>
      <c r="F3017" s="4" t="s">
        <v>2657</v>
      </c>
      <c r="G3017" s="4" t="s">
        <v>2657</v>
      </c>
      <c r="H3017" s="198" t="s">
        <v>521</v>
      </c>
      <c r="I3017" s="198"/>
      <c r="J3017" s="198" t="s">
        <v>2272</v>
      </c>
      <c r="K3017" s="198" t="s">
        <v>2272</v>
      </c>
      <c r="L3017" s="198" t="s">
        <v>2272</v>
      </c>
      <c r="M3017" s="198" t="s">
        <v>2272</v>
      </c>
      <c r="N3017" s="198" t="s">
        <v>2272</v>
      </c>
      <c r="O3017" s="198" t="s">
        <v>2272</v>
      </c>
      <c r="P3017" s="198" t="s">
        <v>2272</v>
      </c>
      <c r="Q3017" s="198" t="s">
        <v>2272</v>
      </c>
      <c r="R3017" s="198" t="s">
        <v>2272</v>
      </c>
      <c r="S3017" s="198" t="s">
        <v>2272</v>
      </c>
      <c r="T3017" s="198" t="s">
        <v>2272</v>
      </c>
      <c r="U3017" s="198" t="s">
        <v>2272</v>
      </c>
      <c r="V3017" s="198" t="s">
        <v>2272</v>
      </c>
      <c r="W3017" s="198" t="s">
        <v>2272</v>
      </c>
      <c r="X3017" s="198" t="s">
        <v>2272</v>
      </c>
      <c r="Y3017" s="198" t="s">
        <v>2272</v>
      </c>
      <c r="Z3017" s="198" t="s">
        <v>2272</v>
      </c>
      <c r="AA3017" s="198" t="s">
        <v>2272</v>
      </c>
      <c r="AB3017" s="198" t="s">
        <v>2272</v>
      </c>
      <c r="AC3017" s="198" t="s">
        <v>2272</v>
      </c>
      <c r="AD3017" s="198"/>
      <c r="AE3017" s="198"/>
    </row>
    <row r="3018" spans="1:31" ht="33.5" customHeight="1">
      <c r="A3018" s="4" t="s">
        <v>8045</v>
      </c>
      <c r="B3018" s="4" t="s">
        <v>8046</v>
      </c>
      <c r="C3018" s="198" t="s">
        <v>23</v>
      </c>
      <c r="D3018" s="198" t="s">
        <v>24</v>
      </c>
      <c r="E3018" s="198" t="s">
        <v>44</v>
      </c>
      <c r="F3018" s="4" t="s">
        <v>28</v>
      </c>
      <c r="G3018" s="4" t="s">
        <v>28</v>
      </c>
      <c r="H3018" s="198" t="s">
        <v>521</v>
      </c>
      <c r="I3018" s="198"/>
      <c r="J3018" s="198" t="s">
        <v>2272</v>
      </c>
      <c r="K3018" s="198" t="s">
        <v>2272</v>
      </c>
      <c r="L3018" s="198" t="s">
        <v>2272</v>
      </c>
      <c r="M3018" s="198" t="s">
        <v>2272</v>
      </c>
      <c r="N3018" s="198" t="s">
        <v>2272</v>
      </c>
      <c r="O3018" s="198" t="s">
        <v>2272</v>
      </c>
      <c r="P3018" s="198" t="s">
        <v>2272</v>
      </c>
      <c r="Q3018" s="198" t="s">
        <v>2272</v>
      </c>
      <c r="R3018" s="198" t="s">
        <v>2272</v>
      </c>
      <c r="S3018" s="198" t="s">
        <v>2272</v>
      </c>
      <c r="T3018" s="198" t="s">
        <v>2272</v>
      </c>
      <c r="U3018" s="198" t="s">
        <v>2272</v>
      </c>
      <c r="V3018" s="198" t="s">
        <v>2272</v>
      </c>
      <c r="W3018" s="198" t="s">
        <v>2272</v>
      </c>
      <c r="X3018" s="198" t="s">
        <v>2272</v>
      </c>
      <c r="Y3018" s="198" t="s">
        <v>2272</v>
      </c>
      <c r="Z3018" s="198" t="s">
        <v>2272</v>
      </c>
      <c r="AA3018" s="198" t="s">
        <v>2272</v>
      </c>
      <c r="AB3018" s="198" t="s">
        <v>2272</v>
      </c>
      <c r="AC3018" s="198" t="s">
        <v>2272</v>
      </c>
      <c r="AD3018" s="198"/>
      <c r="AE3018" s="198"/>
    </row>
    <row r="3019" spans="1:31" ht="33.5" customHeight="1">
      <c r="A3019" s="4" t="s">
        <v>8045</v>
      </c>
      <c r="B3019" s="4" t="s">
        <v>8047</v>
      </c>
      <c r="C3019" s="198" t="s">
        <v>23</v>
      </c>
      <c r="D3019" s="198" t="s">
        <v>141</v>
      </c>
      <c r="E3019" s="198" t="s">
        <v>44</v>
      </c>
      <c r="F3019" s="4" t="s">
        <v>73</v>
      </c>
      <c r="G3019" s="4" t="s">
        <v>73</v>
      </c>
      <c r="H3019" s="198" t="s">
        <v>521</v>
      </c>
      <c r="I3019" s="198"/>
      <c r="J3019" s="198" t="s">
        <v>2272</v>
      </c>
      <c r="K3019" s="198" t="s">
        <v>2272</v>
      </c>
      <c r="L3019" s="198" t="s">
        <v>2272</v>
      </c>
      <c r="M3019" s="198" t="s">
        <v>2272</v>
      </c>
      <c r="N3019" s="198" t="s">
        <v>2272</v>
      </c>
      <c r="O3019" s="198" t="s">
        <v>2272</v>
      </c>
      <c r="P3019" s="198" t="s">
        <v>2272</v>
      </c>
      <c r="Q3019" s="198" t="s">
        <v>2272</v>
      </c>
      <c r="R3019" s="198" t="s">
        <v>2272</v>
      </c>
      <c r="S3019" s="198" t="s">
        <v>2272</v>
      </c>
      <c r="T3019" s="198" t="s">
        <v>2272</v>
      </c>
      <c r="U3019" s="198" t="s">
        <v>2272</v>
      </c>
      <c r="V3019" s="198" t="s">
        <v>2272</v>
      </c>
      <c r="W3019" s="198" t="s">
        <v>2272</v>
      </c>
      <c r="X3019" s="198" t="s">
        <v>2272</v>
      </c>
      <c r="Y3019" s="198" t="s">
        <v>2272</v>
      </c>
      <c r="Z3019" s="198" t="s">
        <v>2272</v>
      </c>
      <c r="AA3019" s="198" t="s">
        <v>2272</v>
      </c>
      <c r="AB3019" s="198" t="s">
        <v>2272</v>
      </c>
      <c r="AC3019" s="198" t="s">
        <v>2272</v>
      </c>
      <c r="AD3019" s="198"/>
      <c r="AE3019" s="198"/>
    </row>
    <row r="3020" spans="1:31" ht="35.5" customHeight="1">
      <c r="A3020" s="4" t="s">
        <v>8045</v>
      </c>
      <c r="B3020" s="4" t="s">
        <v>8048</v>
      </c>
      <c r="C3020" s="198" t="s">
        <v>2453</v>
      </c>
      <c r="D3020" s="198" t="s">
        <v>24</v>
      </c>
      <c r="E3020" s="198" t="s">
        <v>44</v>
      </c>
      <c r="F3020" s="4" t="s">
        <v>28</v>
      </c>
      <c r="G3020" s="4" t="s">
        <v>73</v>
      </c>
      <c r="H3020" s="198" t="s">
        <v>521</v>
      </c>
      <c r="I3020" s="198"/>
      <c r="J3020" s="198" t="s">
        <v>2272</v>
      </c>
      <c r="K3020" s="198" t="s">
        <v>2272</v>
      </c>
      <c r="L3020" s="198" t="s">
        <v>2272</v>
      </c>
      <c r="M3020" s="198" t="s">
        <v>2272</v>
      </c>
      <c r="N3020" s="198" t="s">
        <v>2272</v>
      </c>
      <c r="O3020" s="198" t="s">
        <v>2272</v>
      </c>
      <c r="P3020" s="198" t="s">
        <v>2272</v>
      </c>
      <c r="Q3020" s="198" t="s">
        <v>2272</v>
      </c>
      <c r="R3020" s="198" t="s">
        <v>2272</v>
      </c>
      <c r="S3020" s="198" t="s">
        <v>2272</v>
      </c>
      <c r="T3020" s="198" t="s">
        <v>2272</v>
      </c>
      <c r="U3020" s="198" t="s">
        <v>2272</v>
      </c>
      <c r="V3020" s="198" t="s">
        <v>2272</v>
      </c>
      <c r="W3020" s="198" t="s">
        <v>2272</v>
      </c>
      <c r="X3020" s="198" t="s">
        <v>2272</v>
      </c>
      <c r="Y3020" s="198" t="s">
        <v>2272</v>
      </c>
      <c r="Z3020" s="198" t="s">
        <v>2272</v>
      </c>
      <c r="AA3020" s="198" t="s">
        <v>2272</v>
      </c>
      <c r="AB3020" s="198" t="s">
        <v>2272</v>
      </c>
      <c r="AC3020" s="198" t="s">
        <v>2272</v>
      </c>
      <c r="AD3020" s="4" t="s">
        <v>8049</v>
      </c>
      <c r="AE3020" s="198"/>
    </row>
    <row r="3021" spans="1:31" ht="46.5" customHeight="1">
      <c r="A3021" s="4" t="s">
        <v>8052</v>
      </c>
      <c r="B3021" s="4" t="s">
        <v>8054</v>
      </c>
      <c r="C3021" s="198" t="s">
        <v>23</v>
      </c>
      <c r="D3021" s="198" t="s">
        <v>142</v>
      </c>
      <c r="E3021" s="198" t="s">
        <v>135</v>
      </c>
      <c r="F3021" s="4" t="s">
        <v>2657</v>
      </c>
      <c r="G3021" s="4" t="s">
        <v>2657</v>
      </c>
      <c r="H3021" s="198" t="s">
        <v>521</v>
      </c>
      <c r="I3021" s="198"/>
      <c r="J3021" s="198" t="s">
        <v>2272</v>
      </c>
      <c r="K3021" s="198" t="s">
        <v>2272</v>
      </c>
      <c r="L3021" s="198" t="s">
        <v>2272</v>
      </c>
      <c r="M3021" s="198" t="s">
        <v>2272</v>
      </c>
      <c r="N3021" s="198" t="s">
        <v>2272</v>
      </c>
      <c r="O3021" s="198" t="s">
        <v>2272</v>
      </c>
      <c r="P3021" s="198" t="s">
        <v>2272</v>
      </c>
      <c r="Q3021" s="198" t="s">
        <v>2272</v>
      </c>
      <c r="R3021" s="198" t="s">
        <v>2272</v>
      </c>
      <c r="S3021" s="198" t="s">
        <v>2272</v>
      </c>
      <c r="T3021" s="198" t="s">
        <v>2272</v>
      </c>
      <c r="U3021" s="198" t="s">
        <v>2272</v>
      </c>
      <c r="V3021" s="198" t="s">
        <v>2272</v>
      </c>
      <c r="W3021" s="198" t="s">
        <v>2272</v>
      </c>
      <c r="X3021" s="198" t="s">
        <v>2272</v>
      </c>
      <c r="Y3021" s="198" t="s">
        <v>2272</v>
      </c>
      <c r="Z3021" s="198" t="s">
        <v>2272</v>
      </c>
      <c r="AA3021" s="198" t="s">
        <v>2272</v>
      </c>
      <c r="AB3021" s="198" t="s">
        <v>2272</v>
      </c>
      <c r="AC3021" s="198" t="s">
        <v>2272</v>
      </c>
      <c r="AD3021" s="4"/>
      <c r="AE3021" s="198"/>
    </row>
    <row r="3022" spans="1:31" ht="44" customHeight="1">
      <c r="A3022" s="4" t="s">
        <v>8058</v>
      </c>
      <c r="B3022" s="4" t="s">
        <v>8061</v>
      </c>
      <c r="C3022" s="198" t="s">
        <v>23</v>
      </c>
      <c r="D3022" s="198" t="s">
        <v>24</v>
      </c>
      <c r="E3022" s="198" t="s">
        <v>44</v>
      </c>
      <c r="F3022" s="4" t="s">
        <v>2657</v>
      </c>
      <c r="G3022" s="4" t="s">
        <v>2272</v>
      </c>
      <c r="H3022" s="198" t="s">
        <v>521</v>
      </c>
      <c r="I3022" s="198"/>
      <c r="J3022" s="198" t="s">
        <v>2272</v>
      </c>
      <c r="K3022" s="198" t="s">
        <v>2272</v>
      </c>
      <c r="L3022" s="198" t="s">
        <v>2272</v>
      </c>
      <c r="M3022" s="198" t="s">
        <v>2272</v>
      </c>
      <c r="N3022" s="198" t="s">
        <v>2272</v>
      </c>
      <c r="O3022" s="198" t="s">
        <v>2272</v>
      </c>
      <c r="P3022" s="198" t="s">
        <v>2272</v>
      </c>
      <c r="Q3022" s="198" t="s">
        <v>2272</v>
      </c>
      <c r="R3022" s="198" t="s">
        <v>2272</v>
      </c>
      <c r="S3022" s="198" t="s">
        <v>2272</v>
      </c>
      <c r="T3022" s="198" t="s">
        <v>2272</v>
      </c>
      <c r="U3022" s="198" t="s">
        <v>2272</v>
      </c>
      <c r="V3022" s="198" t="s">
        <v>2272</v>
      </c>
      <c r="W3022" s="198" t="s">
        <v>2272</v>
      </c>
      <c r="X3022" s="198" t="s">
        <v>2272</v>
      </c>
      <c r="Y3022" s="198" t="s">
        <v>2272</v>
      </c>
      <c r="Z3022" s="198" t="s">
        <v>2272</v>
      </c>
      <c r="AA3022" s="198" t="s">
        <v>2272</v>
      </c>
      <c r="AB3022" s="198" t="s">
        <v>2272</v>
      </c>
      <c r="AC3022" s="198" t="s">
        <v>2272</v>
      </c>
      <c r="AD3022" s="198"/>
      <c r="AE3022" s="198"/>
    </row>
    <row r="3023" spans="1:31" ht="39.5" customHeight="1">
      <c r="A3023" s="4" t="s">
        <v>8065</v>
      </c>
      <c r="B3023" s="4" t="s">
        <v>8066</v>
      </c>
      <c r="C3023" s="198" t="s">
        <v>23</v>
      </c>
      <c r="D3023" s="198" t="s">
        <v>24</v>
      </c>
      <c r="E3023" s="198" t="s">
        <v>44</v>
      </c>
      <c r="F3023" s="4" t="s">
        <v>2657</v>
      </c>
      <c r="G3023" s="4" t="s">
        <v>2272</v>
      </c>
      <c r="H3023" s="198" t="s">
        <v>521</v>
      </c>
      <c r="I3023" s="198"/>
      <c r="J3023" s="198" t="s">
        <v>2272</v>
      </c>
      <c r="K3023" s="198" t="s">
        <v>2272</v>
      </c>
      <c r="L3023" s="21">
        <v>6.0000000000000001E-3</v>
      </c>
      <c r="M3023" s="198" t="s">
        <v>2272</v>
      </c>
      <c r="N3023" s="21">
        <v>96</v>
      </c>
      <c r="O3023" s="198" t="s">
        <v>2272</v>
      </c>
      <c r="P3023" s="198" t="s">
        <v>2272</v>
      </c>
      <c r="Q3023" s="198" t="s">
        <v>2272</v>
      </c>
      <c r="R3023" s="21">
        <v>4</v>
      </c>
      <c r="S3023" s="198" t="s">
        <v>2272</v>
      </c>
      <c r="T3023" s="198" t="s">
        <v>2272</v>
      </c>
      <c r="U3023" s="198" t="s">
        <v>2272</v>
      </c>
      <c r="V3023" s="198" t="s">
        <v>2272</v>
      </c>
      <c r="W3023" s="198" t="s">
        <v>2272</v>
      </c>
      <c r="X3023" s="198" t="s">
        <v>2272</v>
      </c>
      <c r="Y3023" s="198" t="s">
        <v>2272</v>
      </c>
      <c r="Z3023" s="198" t="s">
        <v>2272</v>
      </c>
      <c r="AA3023" s="198" t="s">
        <v>2272</v>
      </c>
      <c r="AB3023" s="198" t="s">
        <v>2272</v>
      </c>
      <c r="AC3023" s="198" t="s">
        <v>2272</v>
      </c>
      <c r="AD3023" s="198"/>
      <c r="AE3023" s="4" t="s">
        <v>8069</v>
      </c>
    </row>
    <row r="3024" spans="1:31" ht="48.5" customHeight="1">
      <c r="A3024" s="4" t="s">
        <v>8065</v>
      </c>
      <c r="B3024" s="4" t="s">
        <v>8068</v>
      </c>
      <c r="C3024" s="198" t="s">
        <v>23</v>
      </c>
      <c r="D3024" s="198" t="s">
        <v>24</v>
      </c>
      <c r="E3024" s="4" t="s">
        <v>3850</v>
      </c>
      <c r="F3024" s="4" t="s">
        <v>2657</v>
      </c>
      <c r="G3024" s="4" t="s">
        <v>2272</v>
      </c>
      <c r="H3024" s="198" t="s">
        <v>521</v>
      </c>
      <c r="I3024" s="198"/>
      <c r="J3024" s="198" t="s">
        <v>2272</v>
      </c>
      <c r="K3024" s="198" t="s">
        <v>2272</v>
      </c>
      <c r="L3024" s="21">
        <v>6.0000000000000001E-3</v>
      </c>
      <c r="M3024" s="198" t="s">
        <v>2272</v>
      </c>
      <c r="N3024" s="21">
        <v>96</v>
      </c>
      <c r="O3024" s="198" t="s">
        <v>2272</v>
      </c>
      <c r="P3024" s="198" t="s">
        <v>2272</v>
      </c>
      <c r="Q3024" s="198" t="s">
        <v>2272</v>
      </c>
      <c r="R3024" s="21">
        <v>4</v>
      </c>
      <c r="S3024" s="198" t="s">
        <v>2272</v>
      </c>
      <c r="T3024" s="198" t="s">
        <v>2272</v>
      </c>
      <c r="U3024" s="198" t="s">
        <v>2272</v>
      </c>
      <c r="V3024" s="198" t="s">
        <v>2272</v>
      </c>
      <c r="W3024" s="198" t="s">
        <v>2272</v>
      </c>
      <c r="X3024" s="198" t="s">
        <v>2272</v>
      </c>
      <c r="Y3024" s="198" t="s">
        <v>2272</v>
      </c>
      <c r="Z3024" s="198" t="s">
        <v>2272</v>
      </c>
      <c r="AA3024" s="198" t="s">
        <v>2272</v>
      </c>
      <c r="AB3024" s="198" t="s">
        <v>2272</v>
      </c>
      <c r="AC3024" s="198" t="s">
        <v>2272</v>
      </c>
      <c r="AD3024" s="198"/>
      <c r="AE3024" s="4" t="s">
        <v>8069</v>
      </c>
    </row>
    <row r="3025" spans="1:31" ht="42" customHeight="1">
      <c r="A3025" s="4" t="s">
        <v>8071</v>
      </c>
      <c r="B3025" s="4" t="s">
        <v>8077</v>
      </c>
      <c r="C3025" s="198" t="s">
        <v>23</v>
      </c>
      <c r="D3025" s="198" t="s">
        <v>2799</v>
      </c>
      <c r="E3025" s="198" t="s">
        <v>5000</v>
      </c>
      <c r="F3025" s="4" t="s">
        <v>2657</v>
      </c>
      <c r="G3025" s="4" t="s">
        <v>2272</v>
      </c>
      <c r="H3025" s="198" t="s">
        <v>521</v>
      </c>
      <c r="I3025" s="198"/>
      <c r="J3025" s="198" t="s">
        <v>2272</v>
      </c>
      <c r="K3025" s="198" t="s">
        <v>2272</v>
      </c>
      <c r="L3025" s="198" t="s">
        <v>2272</v>
      </c>
      <c r="M3025" s="198" t="s">
        <v>2272</v>
      </c>
      <c r="N3025" s="198" t="s">
        <v>2272</v>
      </c>
      <c r="O3025" s="198" t="s">
        <v>2272</v>
      </c>
      <c r="P3025" s="198" t="s">
        <v>2272</v>
      </c>
      <c r="Q3025" s="198" t="s">
        <v>2272</v>
      </c>
      <c r="R3025" s="198" t="s">
        <v>2272</v>
      </c>
      <c r="S3025" s="198" t="s">
        <v>2272</v>
      </c>
      <c r="T3025" s="198" t="s">
        <v>2272</v>
      </c>
      <c r="U3025" s="198" t="s">
        <v>2272</v>
      </c>
      <c r="V3025" s="198" t="s">
        <v>2272</v>
      </c>
      <c r="W3025" s="198" t="s">
        <v>2272</v>
      </c>
      <c r="X3025" s="198" t="s">
        <v>2272</v>
      </c>
      <c r="Y3025" s="198" t="s">
        <v>2272</v>
      </c>
      <c r="Z3025" s="198" t="s">
        <v>2272</v>
      </c>
      <c r="AA3025" s="198" t="s">
        <v>423</v>
      </c>
      <c r="AB3025" s="198" t="s">
        <v>67</v>
      </c>
      <c r="AC3025" s="198" t="s">
        <v>2272</v>
      </c>
      <c r="AD3025" s="4" t="s">
        <v>8082</v>
      </c>
      <c r="AE3025" s="198"/>
    </row>
    <row r="3026" spans="1:31" ht="51" customHeight="1">
      <c r="A3026" s="4" t="s">
        <v>8071</v>
      </c>
      <c r="B3026" s="4" t="s">
        <v>8080</v>
      </c>
      <c r="C3026" s="198" t="s">
        <v>23</v>
      </c>
      <c r="D3026" s="198" t="s">
        <v>2799</v>
      </c>
      <c r="E3026" s="4" t="s">
        <v>3849</v>
      </c>
      <c r="F3026" s="4" t="s">
        <v>54</v>
      </c>
      <c r="G3026" s="4" t="s">
        <v>2272</v>
      </c>
      <c r="H3026" s="198" t="s">
        <v>522</v>
      </c>
      <c r="I3026" s="198"/>
      <c r="J3026" s="21">
        <v>0</v>
      </c>
      <c r="K3026" s="21">
        <v>0</v>
      </c>
      <c r="L3026" s="21">
        <v>0</v>
      </c>
      <c r="M3026" s="21">
        <v>0</v>
      </c>
      <c r="N3026" s="21">
        <v>0</v>
      </c>
      <c r="O3026" s="21">
        <v>0</v>
      </c>
      <c r="P3026" s="21">
        <v>0</v>
      </c>
      <c r="Q3026" s="21">
        <v>0</v>
      </c>
      <c r="R3026" s="21">
        <v>0</v>
      </c>
      <c r="S3026" s="21">
        <v>0</v>
      </c>
      <c r="T3026" s="21">
        <v>0</v>
      </c>
      <c r="U3026" s="21">
        <v>0</v>
      </c>
      <c r="V3026" s="21">
        <v>0</v>
      </c>
      <c r="W3026" s="21">
        <v>0</v>
      </c>
      <c r="X3026" s="21">
        <v>0</v>
      </c>
      <c r="Y3026" s="21">
        <v>0</v>
      </c>
      <c r="Z3026" s="198" t="s">
        <v>2272</v>
      </c>
      <c r="AA3026" s="198" t="s">
        <v>423</v>
      </c>
      <c r="AB3026" s="198" t="s">
        <v>67</v>
      </c>
      <c r="AC3026" s="198" t="s">
        <v>2272</v>
      </c>
      <c r="AD3026" s="4" t="s">
        <v>8081</v>
      </c>
      <c r="AE3026" s="198"/>
    </row>
    <row r="3027" spans="1:31" ht="53" customHeight="1">
      <c r="A3027" s="4" t="s">
        <v>8074</v>
      </c>
      <c r="B3027" s="4" t="s">
        <v>8079</v>
      </c>
      <c r="C3027" s="198" t="s">
        <v>23</v>
      </c>
      <c r="D3027" s="198" t="s">
        <v>2799</v>
      </c>
      <c r="E3027" s="198" t="s">
        <v>5000</v>
      </c>
      <c r="F3027" s="4" t="s">
        <v>2657</v>
      </c>
      <c r="G3027" s="4" t="s">
        <v>2272</v>
      </c>
      <c r="H3027" s="198" t="s">
        <v>521</v>
      </c>
      <c r="I3027" s="198"/>
      <c r="J3027" s="198" t="s">
        <v>2272</v>
      </c>
      <c r="K3027" s="198" t="s">
        <v>2272</v>
      </c>
      <c r="L3027" s="198" t="s">
        <v>2272</v>
      </c>
      <c r="M3027" s="198" t="s">
        <v>2272</v>
      </c>
      <c r="N3027" s="198" t="s">
        <v>2272</v>
      </c>
      <c r="O3027" s="198" t="s">
        <v>2272</v>
      </c>
      <c r="P3027" s="198" t="s">
        <v>2272</v>
      </c>
      <c r="Q3027" s="198" t="s">
        <v>2272</v>
      </c>
      <c r="R3027" s="198" t="s">
        <v>2272</v>
      </c>
      <c r="S3027" s="198" t="s">
        <v>2272</v>
      </c>
      <c r="T3027" s="198" t="s">
        <v>2272</v>
      </c>
      <c r="U3027" s="198" t="s">
        <v>2272</v>
      </c>
      <c r="V3027" s="198" t="s">
        <v>2272</v>
      </c>
      <c r="W3027" s="198" t="s">
        <v>2272</v>
      </c>
      <c r="X3027" s="198" t="s">
        <v>2272</v>
      </c>
      <c r="Y3027" s="198" t="s">
        <v>2272</v>
      </c>
      <c r="Z3027" s="198" t="s">
        <v>2272</v>
      </c>
      <c r="AA3027" s="198" t="s">
        <v>423</v>
      </c>
      <c r="AB3027" s="198" t="s">
        <v>67</v>
      </c>
      <c r="AC3027" s="198" t="s">
        <v>2272</v>
      </c>
      <c r="AD3027" s="4" t="s">
        <v>8082</v>
      </c>
      <c r="AE3027" s="198"/>
    </row>
    <row r="3028" spans="1:31" ht="53" customHeight="1">
      <c r="A3028" s="4" t="s">
        <v>8074</v>
      </c>
      <c r="B3028" s="4" t="s">
        <v>8078</v>
      </c>
      <c r="C3028" s="198" t="s">
        <v>23</v>
      </c>
      <c r="D3028" s="198" t="s">
        <v>2799</v>
      </c>
      <c r="E3028" s="4" t="s">
        <v>3849</v>
      </c>
      <c r="F3028" s="4" t="s">
        <v>2657</v>
      </c>
      <c r="G3028" s="4" t="s">
        <v>2272</v>
      </c>
      <c r="H3028" s="198" t="s">
        <v>521</v>
      </c>
      <c r="I3028" s="198"/>
      <c r="J3028" s="198" t="s">
        <v>2272</v>
      </c>
      <c r="K3028" s="198" t="s">
        <v>2272</v>
      </c>
      <c r="L3028" s="198" t="s">
        <v>2272</v>
      </c>
      <c r="M3028" s="198" t="s">
        <v>2272</v>
      </c>
      <c r="N3028" s="198" t="s">
        <v>2272</v>
      </c>
      <c r="O3028" s="198" t="s">
        <v>2272</v>
      </c>
      <c r="P3028" s="198" t="s">
        <v>2272</v>
      </c>
      <c r="Q3028" s="198" t="s">
        <v>2272</v>
      </c>
      <c r="R3028" s="198" t="s">
        <v>2272</v>
      </c>
      <c r="S3028" s="198" t="s">
        <v>2272</v>
      </c>
      <c r="T3028" s="198" t="s">
        <v>2272</v>
      </c>
      <c r="U3028" s="198" t="s">
        <v>2272</v>
      </c>
      <c r="V3028" s="198" t="s">
        <v>2272</v>
      </c>
      <c r="W3028" s="198" t="s">
        <v>2272</v>
      </c>
      <c r="X3028" s="198" t="s">
        <v>2272</v>
      </c>
      <c r="Y3028" s="198" t="s">
        <v>2272</v>
      </c>
      <c r="Z3028" s="198" t="s">
        <v>2272</v>
      </c>
      <c r="AA3028" s="198" t="s">
        <v>423</v>
      </c>
      <c r="AB3028" s="198" t="s">
        <v>67</v>
      </c>
      <c r="AC3028" s="198" t="s">
        <v>2272</v>
      </c>
      <c r="AD3028" s="4" t="s">
        <v>8083</v>
      </c>
      <c r="AE3028" s="198"/>
    </row>
    <row r="3029" spans="1:31" ht="47" customHeight="1">
      <c r="A3029" s="4" t="s">
        <v>8084</v>
      </c>
      <c r="B3029" s="4" t="s">
        <v>8085</v>
      </c>
      <c r="C3029" s="198" t="s">
        <v>23</v>
      </c>
      <c r="D3029" s="198" t="s">
        <v>26</v>
      </c>
      <c r="E3029" s="4" t="s">
        <v>395</v>
      </c>
      <c r="F3029" s="4" t="s">
        <v>54</v>
      </c>
      <c r="G3029" s="4" t="s">
        <v>2272</v>
      </c>
      <c r="H3029" s="198" t="s">
        <v>521</v>
      </c>
      <c r="I3029" s="198"/>
      <c r="J3029" s="198" t="s">
        <v>2272</v>
      </c>
      <c r="K3029" s="198" t="s">
        <v>2272</v>
      </c>
      <c r="L3029" s="198" t="s">
        <v>2272</v>
      </c>
      <c r="M3029" s="198" t="s">
        <v>2272</v>
      </c>
      <c r="N3029" s="198" t="s">
        <v>2272</v>
      </c>
      <c r="O3029" s="198" t="s">
        <v>2272</v>
      </c>
      <c r="P3029" s="198" t="s">
        <v>2272</v>
      </c>
      <c r="Q3029" s="198" t="s">
        <v>2272</v>
      </c>
      <c r="R3029" s="198" t="s">
        <v>2272</v>
      </c>
      <c r="S3029" s="198" t="s">
        <v>2272</v>
      </c>
      <c r="T3029" s="198" t="s">
        <v>2272</v>
      </c>
      <c r="U3029" s="198" t="s">
        <v>2272</v>
      </c>
      <c r="V3029" s="198" t="s">
        <v>2272</v>
      </c>
      <c r="W3029" s="198" t="s">
        <v>2272</v>
      </c>
      <c r="X3029" s="198" t="s">
        <v>2272</v>
      </c>
      <c r="Y3029" s="198" t="s">
        <v>2272</v>
      </c>
      <c r="Z3029" s="21">
        <v>1</v>
      </c>
      <c r="AA3029" s="198" t="s">
        <v>37</v>
      </c>
      <c r="AB3029" s="198" t="s">
        <v>84</v>
      </c>
      <c r="AC3029" s="198" t="s">
        <v>63</v>
      </c>
      <c r="AD3029" s="198" t="s">
        <v>8090</v>
      </c>
      <c r="AE3029" s="198"/>
    </row>
    <row r="3030" spans="1:31" ht="44.5" customHeight="1">
      <c r="A3030" s="4" t="s">
        <v>8084</v>
      </c>
      <c r="B3030" s="4" t="s">
        <v>8091</v>
      </c>
      <c r="C3030" s="198" t="s">
        <v>23</v>
      </c>
      <c r="D3030" s="198" t="s">
        <v>2799</v>
      </c>
      <c r="E3030" s="4" t="s">
        <v>395</v>
      </c>
      <c r="F3030" s="4" t="s">
        <v>2657</v>
      </c>
      <c r="G3030" s="4" t="s">
        <v>2272</v>
      </c>
      <c r="H3030" s="198" t="s">
        <v>521</v>
      </c>
      <c r="I3030" s="198"/>
      <c r="J3030" s="198" t="s">
        <v>2272</v>
      </c>
      <c r="K3030" s="198" t="s">
        <v>2272</v>
      </c>
      <c r="L3030" s="198" t="s">
        <v>2272</v>
      </c>
      <c r="M3030" s="198" t="s">
        <v>2272</v>
      </c>
      <c r="N3030" s="198" t="s">
        <v>2272</v>
      </c>
      <c r="O3030" s="198" t="s">
        <v>2272</v>
      </c>
      <c r="P3030" s="198" t="s">
        <v>2272</v>
      </c>
      <c r="Q3030" s="198" t="s">
        <v>2272</v>
      </c>
      <c r="R3030" s="198" t="s">
        <v>2272</v>
      </c>
      <c r="S3030" s="198" t="s">
        <v>2272</v>
      </c>
      <c r="T3030" s="198" t="s">
        <v>2272</v>
      </c>
      <c r="U3030" s="198" t="s">
        <v>2272</v>
      </c>
      <c r="V3030" s="198" t="s">
        <v>2272</v>
      </c>
      <c r="W3030" s="198" t="s">
        <v>2272</v>
      </c>
      <c r="X3030" s="198" t="s">
        <v>2272</v>
      </c>
      <c r="Y3030" s="198" t="s">
        <v>2272</v>
      </c>
      <c r="Z3030" s="198" t="s">
        <v>2272</v>
      </c>
      <c r="AA3030" s="198" t="s">
        <v>84</v>
      </c>
      <c r="AB3030" s="198" t="s">
        <v>67</v>
      </c>
      <c r="AC3030" s="198" t="s">
        <v>2272</v>
      </c>
      <c r="AD3030" s="4" t="s">
        <v>8092</v>
      </c>
      <c r="AE3030" s="198"/>
    </row>
    <row r="3031" spans="1:31" ht="35" customHeight="1">
      <c r="A3031" s="4" t="s">
        <v>8093</v>
      </c>
      <c r="B3031" s="4" t="s">
        <v>8097</v>
      </c>
      <c r="C3031" s="198" t="s">
        <v>23</v>
      </c>
      <c r="D3031" s="198" t="s">
        <v>2799</v>
      </c>
      <c r="E3031" s="198" t="s">
        <v>44</v>
      </c>
      <c r="F3031" s="4" t="s">
        <v>2657</v>
      </c>
      <c r="G3031" s="4" t="s">
        <v>2657</v>
      </c>
      <c r="H3031" s="198" t="s">
        <v>521</v>
      </c>
      <c r="I3031" s="198"/>
      <c r="J3031" s="198" t="s">
        <v>2272</v>
      </c>
      <c r="K3031" s="198" t="s">
        <v>2272</v>
      </c>
      <c r="L3031" s="198" t="s">
        <v>2272</v>
      </c>
      <c r="M3031" s="198" t="s">
        <v>2272</v>
      </c>
      <c r="N3031" s="198" t="s">
        <v>2272</v>
      </c>
      <c r="O3031" s="198" t="s">
        <v>2272</v>
      </c>
      <c r="P3031" s="198" t="s">
        <v>2272</v>
      </c>
      <c r="Q3031" s="198" t="s">
        <v>2272</v>
      </c>
      <c r="R3031" s="198" t="s">
        <v>2272</v>
      </c>
      <c r="S3031" s="198" t="s">
        <v>2272</v>
      </c>
      <c r="T3031" s="198" t="s">
        <v>2272</v>
      </c>
      <c r="U3031" s="198" t="s">
        <v>2272</v>
      </c>
      <c r="V3031" s="198" t="s">
        <v>2272</v>
      </c>
      <c r="W3031" s="198" t="s">
        <v>2272</v>
      </c>
      <c r="X3031" s="198" t="s">
        <v>2272</v>
      </c>
      <c r="Y3031" s="198" t="s">
        <v>2272</v>
      </c>
      <c r="Z3031" s="198" t="s">
        <v>2272</v>
      </c>
      <c r="AA3031" s="198" t="s">
        <v>125</v>
      </c>
      <c r="AB3031" s="198" t="s">
        <v>37</v>
      </c>
      <c r="AC3031" s="198" t="s">
        <v>2272</v>
      </c>
      <c r="AD3031" s="198"/>
      <c r="AE3031" s="198"/>
    </row>
    <row r="3032" spans="1:31" ht="42" customHeight="1">
      <c r="A3032" s="4" t="s">
        <v>8093</v>
      </c>
      <c r="B3032" s="4" t="s">
        <v>8098</v>
      </c>
      <c r="C3032" s="198" t="s">
        <v>2453</v>
      </c>
      <c r="D3032" s="198" t="s">
        <v>2799</v>
      </c>
      <c r="E3032" s="198" t="s">
        <v>44</v>
      </c>
      <c r="F3032" s="4" t="s">
        <v>2657</v>
      </c>
      <c r="G3032" s="4" t="s">
        <v>2272</v>
      </c>
      <c r="H3032" s="198" t="s">
        <v>521</v>
      </c>
      <c r="I3032" s="198"/>
      <c r="J3032" s="198" t="s">
        <v>2272</v>
      </c>
      <c r="K3032" s="198" t="s">
        <v>2272</v>
      </c>
      <c r="L3032" s="198" t="s">
        <v>2272</v>
      </c>
      <c r="M3032" s="198" t="s">
        <v>2272</v>
      </c>
      <c r="N3032" s="198" t="s">
        <v>2272</v>
      </c>
      <c r="O3032" s="198" t="s">
        <v>2272</v>
      </c>
      <c r="P3032" s="198" t="s">
        <v>2272</v>
      </c>
      <c r="Q3032" s="198" t="s">
        <v>2272</v>
      </c>
      <c r="R3032" s="198" t="s">
        <v>2272</v>
      </c>
      <c r="S3032" s="198" t="s">
        <v>2272</v>
      </c>
      <c r="T3032" s="198" t="s">
        <v>2272</v>
      </c>
      <c r="U3032" s="198" t="s">
        <v>2272</v>
      </c>
      <c r="V3032" s="198" t="s">
        <v>2272</v>
      </c>
      <c r="W3032" s="198" t="s">
        <v>2272</v>
      </c>
      <c r="X3032" s="198" t="s">
        <v>2272</v>
      </c>
      <c r="Y3032" s="198" t="s">
        <v>2272</v>
      </c>
      <c r="Z3032" s="198" t="s">
        <v>2272</v>
      </c>
      <c r="AA3032" s="198" t="s">
        <v>125</v>
      </c>
      <c r="AB3032" s="198" t="s">
        <v>37</v>
      </c>
      <c r="AC3032" s="198" t="s">
        <v>2272</v>
      </c>
      <c r="AD3032" s="198"/>
      <c r="AE3032" s="198"/>
    </row>
    <row r="3033" spans="1:31" ht="35.5" customHeight="1">
      <c r="A3033" s="4" t="s">
        <v>8093</v>
      </c>
      <c r="B3033" s="4" t="s">
        <v>8102</v>
      </c>
      <c r="C3033" s="198" t="s">
        <v>23</v>
      </c>
      <c r="D3033" s="198" t="s">
        <v>142</v>
      </c>
      <c r="E3033" s="198" t="s">
        <v>135</v>
      </c>
      <c r="F3033" s="4" t="s">
        <v>2657</v>
      </c>
      <c r="G3033" s="4" t="s">
        <v>2272</v>
      </c>
      <c r="H3033" s="198" t="s">
        <v>522</v>
      </c>
      <c r="I3033" s="198"/>
      <c r="J3033" s="21">
        <v>0</v>
      </c>
      <c r="K3033" s="21">
        <v>0</v>
      </c>
      <c r="L3033" s="21">
        <v>0</v>
      </c>
      <c r="M3033" s="21">
        <v>0</v>
      </c>
      <c r="N3033" s="21">
        <v>0</v>
      </c>
      <c r="O3033" s="21">
        <v>0</v>
      </c>
      <c r="P3033" s="21">
        <v>0</v>
      </c>
      <c r="Q3033" s="21">
        <v>0</v>
      </c>
      <c r="R3033" s="21">
        <v>0</v>
      </c>
      <c r="S3033" s="21">
        <v>0</v>
      </c>
      <c r="T3033" s="21">
        <v>0</v>
      </c>
      <c r="U3033" s="21">
        <v>0</v>
      </c>
      <c r="V3033" s="21">
        <v>0</v>
      </c>
      <c r="W3033" s="21">
        <v>0</v>
      </c>
      <c r="X3033" s="21">
        <v>0</v>
      </c>
      <c r="Y3033" s="21">
        <v>0</v>
      </c>
      <c r="Z3033" s="198" t="s">
        <v>2272</v>
      </c>
      <c r="AA3033" s="198" t="s">
        <v>2272</v>
      </c>
      <c r="AB3033" s="198" t="s">
        <v>2272</v>
      </c>
      <c r="AC3033" s="198" t="s">
        <v>2272</v>
      </c>
      <c r="AD3033" s="198"/>
      <c r="AE3033" s="198"/>
    </row>
    <row r="3034" spans="1:31" ht="28" customHeight="1">
      <c r="A3034" s="4" t="s">
        <v>8104</v>
      </c>
      <c r="B3034" s="4" t="s">
        <v>8114</v>
      </c>
      <c r="C3034" s="198" t="s">
        <v>1102</v>
      </c>
      <c r="D3034" s="198" t="s">
        <v>1102</v>
      </c>
      <c r="E3034" s="198" t="s">
        <v>1102</v>
      </c>
      <c r="F3034" s="198" t="s">
        <v>1102</v>
      </c>
      <c r="G3034" s="4" t="s">
        <v>73</v>
      </c>
      <c r="H3034" s="198" t="s">
        <v>521</v>
      </c>
      <c r="I3034" s="198"/>
      <c r="J3034" s="21">
        <f>100*45/27884</f>
        <v>0.16138287189786257</v>
      </c>
      <c r="K3034" s="21">
        <f>45/'Record info'!K1268</f>
        <v>6.2640942119769477E-2</v>
      </c>
      <c r="L3034" s="198" t="s">
        <v>2272</v>
      </c>
      <c r="M3034" s="198" t="s">
        <v>2272</v>
      </c>
      <c r="N3034" s="198" t="s">
        <v>2272</v>
      </c>
      <c r="O3034" s="198" t="s">
        <v>2272</v>
      </c>
      <c r="P3034" s="198" t="s">
        <v>2272</v>
      </c>
      <c r="Q3034" s="198" t="s">
        <v>2272</v>
      </c>
      <c r="R3034" s="198" t="s">
        <v>2272</v>
      </c>
      <c r="S3034" s="198" t="s">
        <v>2272</v>
      </c>
      <c r="T3034" s="198" t="s">
        <v>2272</v>
      </c>
      <c r="U3034" s="198" t="s">
        <v>2272</v>
      </c>
      <c r="V3034" s="198" t="s">
        <v>2272</v>
      </c>
      <c r="W3034" s="198" t="s">
        <v>2272</v>
      </c>
      <c r="X3034" s="198" t="s">
        <v>2272</v>
      </c>
      <c r="Y3034" s="198" t="s">
        <v>2272</v>
      </c>
      <c r="Z3034" s="198" t="s">
        <v>2272</v>
      </c>
      <c r="AA3034" s="198" t="s">
        <v>2272</v>
      </c>
      <c r="AB3034" s="198" t="s">
        <v>2272</v>
      </c>
      <c r="AC3034" s="198" t="s">
        <v>2272</v>
      </c>
      <c r="AD3034" s="198"/>
      <c r="AE3034" s="198"/>
    </row>
    <row r="3035" spans="1:31" ht="28" customHeight="1">
      <c r="A3035" s="4" t="s">
        <v>8111</v>
      </c>
      <c r="B3035" s="4" t="s">
        <v>8115</v>
      </c>
      <c r="C3035" s="198" t="s">
        <v>1102</v>
      </c>
      <c r="D3035" s="198" t="s">
        <v>1102</v>
      </c>
      <c r="E3035" s="198" t="s">
        <v>1102</v>
      </c>
      <c r="F3035" s="198" t="s">
        <v>1102</v>
      </c>
      <c r="G3035" s="4" t="s">
        <v>73</v>
      </c>
      <c r="H3035" s="198" t="s">
        <v>521</v>
      </c>
      <c r="I3035" s="198"/>
      <c r="J3035" s="21">
        <f>100*152/50640</f>
        <v>0.30015797788309639</v>
      </c>
      <c r="K3035" s="21">
        <f>152/'Record info'!K1269</f>
        <v>5.8015267175572517E-2</v>
      </c>
      <c r="L3035" s="198" t="s">
        <v>2272</v>
      </c>
      <c r="M3035" s="198" t="s">
        <v>2272</v>
      </c>
      <c r="N3035" s="198" t="s">
        <v>2272</v>
      </c>
      <c r="O3035" s="198" t="s">
        <v>2272</v>
      </c>
      <c r="P3035" s="198" t="s">
        <v>2272</v>
      </c>
      <c r="Q3035" s="198" t="s">
        <v>2272</v>
      </c>
      <c r="R3035" s="198" t="s">
        <v>2272</v>
      </c>
      <c r="S3035" s="198" t="s">
        <v>2272</v>
      </c>
      <c r="T3035" s="198" t="s">
        <v>2272</v>
      </c>
      <c r="U3035" s="198" t="s">
        <v>2272</v>
      </c>
      <c r="V3035" s="198" t="s">
        <v>2272</v>
      </c>
      <c r="W3035" s="198" t="s">
        <v>2272</v>
      </c>
      <c r="X3035" s="198" t="s">
        <v>2272</v>
      </c>
      <c r="Y3035" s="198" t="s">
        <v>2272</v>
      </c>
      <c r="Z3035" s="198" t="s">
        <v>2272</v>
      </c>
      <c r="AA3035" s="198" t="s">
        <v>2272</v>
      </c>
      <c r="AB3035" s="198" t="s">
        <v>2272</v>
      </c>
      <c r="AC3035" s="198" t="s">
        <v>2272</v>
      </c>
      <c r="AD3035" s="198"/>
      <c r="AE3035" s="198"/>
    </row>
    <row r="3036" spans="1:31" ht="28" customHeight="1">
      <c r="A3036" s="4" t="s">
        <v>8112</v>
      </c>
      <c r="B3036" s="4" t="s">
        <v>8116</v>
      </c>
      <c r="C3036" s="198" t="s">
        <v>1102</v>
      </c>
      <c r="D3036" s="198" t="s">
        <v>1102</v>
      </c>
      <c r="E3036" s="198" t="s">
        <v>1102</v>
      </c>
      <c r="F3036" s="198" t="s">
        <v>1102</v>
      </c>
      <c r="G3036" s="4" t="s">
        <v>73</v>
      </c>
      <c r="H3036" s="198" t="s">
        <v>521</v>
      </c>
      <c r="I3036" s="198"/>
      <c r="J3036" s="21">
        <f>100*68/24975</f>
        <v>0.2722722722722723</v>
      </c>
      <c r="K3036" s="21">
        <f>68/'Record info'!K1270</f>
        <v>1.3233923215999034E-2</v>
      </c>
      <c r="L3036" s="198" t="s">
        <v>2272</v>
      </c>
      <c r="M3036" s="198" t="s">
        <v>2272</v>
      </c>
      <c r="N3036" s="198" t="s">
        <v>2272</v>
      </c>
      <c r="O3036" s="198" t="s">
        <v>2272</v>
      </c>
      <c r="P3036" s="198" t="s">
        <v>2272</v>
      </c>
      <c r="Q3036" s="198" t="s">
        <v>2272</v>
      </c>
      <c r="R3036" s="198" t="s">
        <v>2272</v>
      </c>
      <c r="S3036" s="198" t="s">
        <v>2272</v>
      </c>
      <c r="T3036" s="198" t="s">
        <v>2272</v>
      </c>
      <c r="U3036" s="198" t="s">
        <v>2272</v>
      </c>
      <c r="V3036" s="198" t="s">
        <v>2272</v>
      </c>
      <c r="W3036" s="198" t="s">
        <v>2272</v>
      </c>
      <c r="X3036" s="198" t="s">
        <v>2272</v>
      </c>
      <c r="Y3036" s="198" t="s">
        <v>2272</v>
      </c>
      <c r="Z3036" s="198" t="s">
        <v>2272</v>
      </c>
      <c r="AA3036" s="198" t="s">
        <v>2272</v>
      </c>
      <c r="AB3036" s="198" t="s">
        <v>2272</v>
      </c>
      <c r="AC3036" s="198" t="s">
        <v>2272</v>
      </c>
      <c r="AD3036" s="198"/>
      <c r="AE3036" s="198"/>
    </row>
    <row r="3037" spans="1:31" ht="28" customHeight="1">
      <c r="A3037" s="4" t="s">
        <v>8113</v>
      </c>
      <c r="B3037" s="4" t="s">
        <v>8117</v>
      </c>
      <c r="C3037" s="198" t="s">
        <v>1102</v>
      </c>
      <c r="D3037" s="198" t="s">
        <v>1102</v>
      </c>
      <c r="E3037" s="198" t="s">
        <v>1102</v>
      </c>
      <c r="F3037" s="198" t="s">
        <v>1102</v>
      </c>
      <c r="G3037" s="4" t="s">
        <v>73</v>
      </c>
      <c r="H3037" s="198" t="s">
        <v>521</v>
      </c>
      <c r="I3037" s="198"/>
      <c r="J3037" s="21">
        <f>100*372/270000</f>
        <v>0.13777777777777778</v>
      </c>
      <c r="K3037" s="21">
        <f>372/'Record info'!K1271</f>
        <v>3.7220061613209517E-2</v>
      </c>
      <c r="L3037" s="198" t="s">
        <v>2272</v>
      </c>
      <c r="M3037" s="198" t="s">
        <v>2272</v>
      </c>
      <c r="N3037" s="198" t="s">
        <v>2272</v>
      </c>
      <c r="O3037" s="198" t="s">
        <v>2272</v>
      </c>
      <c r="P3037" s="198" t="s">
        <v>2272</v>
      </c>
      <c r="Q3037" s="198" t="s">
        <v>2272</v>
      </c>
      <c r="R3037" s="198" t="s">
        <v>2272</v>
      </c>
      <c r="S3037" s="198" t="s">
        <v>2272</v>
      </c>
      <c r="T3037" s="198" t="s">
        <v>2272</v>
      </c>
      <c r="U3037" s="198" t="s">
        <v>2272</v>
      </c>
      <c r="V3037" s="198" t="s">
        <v>2272</v>
      </c>
      <c r="W3037" s="198" t="s">
        <v>2272</v>
      </c>
      <c r="X3037" s="198" t="s">
        <v>2272</v>
      </c>
      <c r="Y3037" s="198" t="s">
        <v>2272</v>
      </c>
      <c r="Z3037" s="198" t="s">
        <v>2272</v>
      </c>
      <c r="AA3037" s="198" t="s">
        <v>2272</v>
      </c>
      <c r="AB3037" s="198" t="s">
        <v>2272</v>
      </c>
      <c r="AC3037" s="198" t="s">
        <v>2272</v>
      </c>
      <c r="AD3037" s="198"/>
      <c r="AE3037" s="198"/>
    </row>
    <row r="3038" spans="1:31" ht="42" customHeight="1">
      <c r="A3038" s="4" t="s">
        <v>8104</v>
      </c>
      <c r="B3038" s="4" t="s">
        <v>8118</v>
      </c>
      <c r="C3038" s="198" t="s">
        <v>2453</v>
      </c>
      <c r="D3038" s="4" t="s">
        <v>2227</v>
      </c>
      <c r="E3038" s="4" t="s">
        <v>394</v>
      </c>
      <c r="F3038" s="4" t="s">
        <v>158</v>
      </c>
      <c r="G3038" s="4" t="s">
        <v>73</v>
      </c>
      <c r="H3038" s="198" t="s">
        <v>521</v>
      </c>
      <c r="I3038" s="198"/>
      <c r="J3038" s="198" t="s">
        <v>2272</v>
      </c>
      <c r="K3038" s="198" t="s">
        <v>2272</v>
      </c>
      <c r="L3038" s="198" t="s">
        <v>2272</v>
      </c>
      <c r="M3038" s="198" t="s">
        <v>2272</v>
      </c>
      <c r="N3038" s="198" t="s">
        <v>2272</v>
      </c>
      <c r="O3038" s="198" t="s">
        <v>2272</v>
      </c>
      <c r="P3038" s="198" t="s">
        <v>2272</v>
      </c>
      <c r="Q3038" s="198" t="s">
        <v>2272</v>
      </c>
      <c r="R3038" s="198" t="s">
        <v>2272</v>
      </c>
      <c r="S3038" s="198" t="s">
        <v>2272</v>
      </c>
      <c r="T3038" s="198" t="s">
        <v>2272</v>
      </c>
      <c r="U3038" s="198" t="s">
        <v>2272</v>
      </c>
      <c r="V3038" s="198" t="s">
        <v>2272</v>
      </c>
      <c r="W3038" s="198" t="s">
        <v>2272</v>
      </c>
      <c r="X3038" s="198" t="s">
        <v>2272</v>
      </c>
      <c r="Y3038" s="198" t="s">
        <v>2272</v>
      </c>
      <c r="Z3038" s="198" t="s">
        <v>2272</v>
      </c>
      <c r="AA3038" s="198" t="s">
        <v>2272</v>
      </c>
      <c r="AB3038" s="198" t="s">
        <v>2272</v>
      </c>
      <c r="AC3038" s="198" t="s">
        <v>2272</v>
      </c>
      <c r="AD3038" s="198"/>
      <c r="AE3038" s="198"/>
    </row>
    <row r="3039" spans="1:31" ht="42" customHeight="1">
      <c r="A3039" s="4" t="s">
        <v>8104</v>
      </c>
      <c r="B3039" s="4" t="s">
        <v>8119</v>
      </c>
      <c r="C3039" s="198" t="s">
        <v>2453</v>
      </c>
      <c r="D3039" s="198" t="s">
        <v>2654</v>
      </c>
      <c r="E3039" s="4" t="s">
        <v>394</v>
      </c>
      <c r="F3039" s="4" t="s">
        <v>27</v>
      </c>
      <c r="G3039" s="4" t="s">
        <v>73</v>
      </c>
      <c r="H3039" s="198" t="s">
        <v>521</v>
      </c>
      <c r="I3039" s="198"/>
      <c r="J3039" s="198" t="s">
        <v>2272</v>
      </c>
      <c r="K3039" s="198" t="s">
        <v>2272</v>
      </c>
      <c r="L3039" s="198" t="s">
        <v>2272</v>
      </c>
      <c r="M3039" s="198" t="s">
        <v>2272</v>
      </c>
      <c r="N3039" s="198" t="s">
        <v>2272</v>
      </c>
      <c r="O3039" s="198" t="s">
        <v>2272</v>
      </c>
      <c r="P3039" s="198" t="s">
        <v>2272</v>
      </c>
      <c r="Q3039" s="198" t="s">
        <v>2272</v>
      </c>
      <c r="R3039" s="198" t="s">
        <v>2272</v>
      </c>
      <c r="S3039" s="198" t="s">
        <v>2272</v>
      </c>
      <c r="T3039" s="198" t="s">
        <v>2272</v>
      </c>
      <c r="U3039" s="198" t="s">
        <v>2272</v>
      </c>
      <c r="V3039" s="198" t="s">
        <v>2272</v>
      </c>
      <c r="W3039" s="198" t="s">
        <v>2272</v>
      </c>
      <c r="X3039" s="198" t="s">
        <v>2272</v>
      </c>
      <c r="Y3039" s="198" t="s">
        <v>2272</v>
      </c>
      <c r="Z3039" s="198" t="s">
        <v>2272</v>
      </c>
      <c r="AA3039" s="198" t="s">
        <v>2272</v>
      </c>
      <c r="AB3039" s="198" t="s">
        <v>2272</v>
      </c>
      <c r="AC3039" s="198" t="s">
        <v>2272</v>
      </c>
      <c r="AD3039" s="4" t="s">
        <v>8125</v>
      </c>
      <c r="AE3039" s="198"/>
    </row>
    <row r="3040" spans="1:31" ht="29.5" customHeight="1">
      <c r="A3040" s="4" t="s">
        <v>8104</v>
      </c>
      <c r="B3040" s="4" t="s">
        <v>8120</v>
      </c>
      <c r="C3040" s="198" t="s">
        <v>30</v>
      </c>
      <c r="D3040" s="198" t="s">
        <v>29</v>
      </c>
      <c r="E3040" s="198" t="s">
        <v>1102</v>
      </c>
      <c r="F3040" s="4" t="s">
        <v>2272</v>
      </c>
      <c r="G3040" s="4" t="s">
        <v>73</v>
      </c>
      <c r="H3040" s="198" t="s">
        <v>521</v>
      </c>
      <c r="I3040" s="198"/>
      <c r="J3040" s="198" t="s">
        <v>2272</v>
      </c>
      <c r="K3040" s="198" t="s">
        <v>2272</v>
      </c>
      <c r="L3040" s="198" t="s">
        <v>2272</v>
      </c>
      <c r="M3040" s="198" t="s">
        <v>2272</v>
      </c>
      <c r="N3040" s="198" t="s">
        <v>2272</v>
      </c>
      <c r="O3040" s="198" t="s">
        <v>2272</v>
      </c>
      <c r="P3040" s="198" t="s">
        <v>2272</v>
      </c>
      <c r="Q3040" s="198" t="s">
        <v>2272</v>
      </c>
      <c r="R3040" s="198" t="s">
        <v>2272</v>
      </c>
      <c r="S3040" s="198" t="s">
        <v>2272</v>
      </c>
      <c r="T3040" s="198" t="s">
        <v>2272</v>
      </c>
      <c r="U3040" s="198" t="s">
        <v>2272</v>
      </c>
      <c r="V3040" s="198" t="s">
        <v>2272</v>
      </c>
      <c r="W3040" s="198" t="s">
        <v>2272</v>
      </c>
      <c r="X3040" s="198" t="s">
        <v>2272</v>
      </c>
      <c r="Y3040" s="198" t="s">
        <v>2272</v>
      </c>
      <c r="Z3040" s="198" t="s">
        <v>2272</v>
      </c>
      <c r="AA3040" s="198" t="s">
        <v>2272</v>
      </c>
      <c r="AB3040" s="198" t="s">
        <v>2272</v>
      </c>
      <c r="AC3040" s="198" t="s">
        <v>2272</v>
      </c>
      <c r="AD3040" s="198"/>
      <c r="AE3040" s="198"/>
    </row>
    <row r="3041" spans="1:31" ht="29.5" customHeight="1">
      <c r="A3041" s="4" t="s">
        <v>8104</v>
      </c>
      <c r="B3041" s="4" t="s">
        <v>8121</v>
      </c>
      <c r="C3041" s="198" t="s">
        <v>30</v>
      </c>
      <c r="D3041" s="198" t="s">
        <v>29</v>
      </c>
      <c r="E3041" s="198" t="s">
        <v>2648</v>
      </c>
      <c r="F3041" s="4" t="s">
        <v>2272</v>
      </c>
      <c r="G3041" s="4" t="s">
        <v>73</v>
      </c>
      <c r="H3041" s="198" t="s">
        <v>521</v>
      </c>
      <c r="I3041" s="198"/>
      <c r="J3041" s="198" t="s">
        <v>2272</v>
      </c>
      <c r="K3041" s="198" t="s">
        <v>2272</v>
      </c>
      <c r="L3041" s="198" t="s">
        <v>2272</v>
      </c>
      <c r="M3041" s="198" t="s">
        <v>2272</v>
      </c>
      <c r="N3041" s="198" t="s">
        <v>2272</v>
      </c>
      <c r="O3041" s="198" t="s">
        <v>2272</v>
      </c>
      <c r="P3041" s="198" t="s">
        <v>2272</v>
      </c>
      <c r="Q3041" s="198" t="s">
        <v>2272</v>
      </c>
      <c r="R3041" s="198" t="s">
        <v>2272</v>
      </c>
      <c r="S3041" s="198" t="s">
        <v>2272</v>
      </c>
      <c r="T3041" s="198" t="s">
        <v>2272</v>
      </c>
      <c r="U3041" s="198" t="s">
        <v>2272</v>
      </c>
      <c r="V3041" s="198" t="s">
        <v>2272</v>
      </c>
      <c r="W3041" s="198" t="s">
        <v>2272</v>
      </c>
      <c r="X3041" s="198" t="s">
        <v>2272</v>
      </c>
      <c r="Y3041" s="198" t="s">
        <v>2272</v>
      </c>
      <c r="Z3041" s="198" t="s">
        <v>2272</v>
      </c>
      <c r="AA3041" s="198" t="s">
        <v>2272</v>
      </c>
      <c r="AB3041" s="198" t="s">
        <v>2272</v>
      </c>
      <c r="AC3041" s="198" t="s">
        <v>2272</v>
      </c>
      <c r="AD3041" s="198"/>
      <c r="AE3041" s="198"/>
    </row>
    <row r="3042" spans="1:31" ht="29.5" customHeight="1">
      <c r="A3042" s="4" t="s">
        <v>8104</v>
      </c>
      <c r="B3042" s="4" t="s">
        <v>8122</v>
      </c>
      <c r="C3042" s="198" t="s">
        <v>23</v>
      </c>
      <c r="D3042" s="198" t="s">
        <v>141</v>
      </c>
      <c r="E3042" s="198" t="s">
        <v>44</v>
      </c>
      <c r="F3042" s="4" t="s">
        <v>73</v>
      </c>
      <c r="G3042" s="4" t="s">
        <v>73</v>
      </c>
      <c r="H3042" s="198" t="s">
        <v>521</v>
      </c>
      <c r="I3042" s="198"/>
      <c r="J3042" s="198" t="s">
        <v>2272</v>
      </c>
      <c r="K3042" s="198" t="s">
        <v>2272</v>
      </c>
      <c r="L3042" s="198" t="s">
        <v>2272</v>
      </c>
      <c r="M3042" s="198" t="s">
        <v>2272</v>
      </c>
      <c r="N3042" s="198" t="s">
        <v>2272</v>
      </c>
      <c r="O3042" s="198" t="s">
        <v>2272</v>
      </c>
      <c r="P3042" s="198" t="s">
        <v>2272</v>
      </c>
      <c r="Q3042" s="198" t="s">
        <v>2272</v>
      </c>
      <c r="R3042" s="198" t="s">
        <v>2272</v>
      </c>
      <c r="S3042" s="198" t="s">
        <v>2272</v>
      </c>
      <c r="T3042" s="198" t="s">
        <v>2272</v>
      </c>
      <c r="U3042" s="198" t="s">
        <v>2272</v>
      </c>
      <c r="V3042" s="198" t="s">
        <v>2272</v>
      </c>
      <c r="W3042" s="198" t="s">
        <v>2272</v>
      </c>
      <c r="X3042" s="198" t="s">
        <v>2272</v>
      </c>
      <c r="Y3042" s="198" t="s">
        <v>2272</v>
      </c>
      <c r="Z3042" s="198" t="s">
        <v>2272</v>
      </c>
      <c r="AA3042" s="198" t="s">
        <v>2272</v>
      </c>
      <c r="AB3042" s="198" t="s">
        <v>2272</v>
      </c>
      <c r="AC3042" s="198" t="s">
        <v>2272</v>
      </c>
      <c r="AD3042" s="198"/>
      <c r="AE3042" s="198"/>
    </row>
    <row r="3043" spans="1:31" ht="29.5" customHeight="1">
      <c r="A3043" s="4" t="s">
        <v>8104</v>
      </c>
      <c r="B3043" s="4" t="s">
        <v>8123</v>
      </c>
      <c r="C3043" s="198" t="s">
        <v>2453</v>
      </c>
      <c r="D3043" s="198" t="s">
        <v>24</v>
      </c>
      <c r="E3043" s="198" t="s">
        <v>44</v>
      </c>
      <c r="F3043" s="4" t="s">
        <v>28</v>
      </c>
      <c r="G3043" s="4" t="s">
        <v>73</v>
      </c>
      <c r="H3043" s="198" t="s">
        <v>521</v>
      </c>
      <c r="I3043" s="198"/>
      <c r="J3043" s="198" t="s">
        <v>2272</v>
      </c>
      <c r="K3043" s="198" t="s">
        <v>2272</v>
      </c>
      <c r="L3043" s="198" t="s">
        <v>2272</v>
      </c>
      <c r="M3043" s="198" t="s">
        <v>2272</v>
      </c>
      <c r="N3043" s="198" t="s">
        <v>2272</v>
      </c>
      <c r="O3043" s="198" t="s">
        <v>2272</v>
      </c>
      <c r="P3043" s="198" t="s">
        <v>2272</v>
      </c>
      <c r="Q3043" s="198" t="s">
        <v>2272</v>
      </c>
      <c r="R3043" s="198" t="s">
        <v>2272</v>
      </c>
      <c r="S3043" s="198" t="s">
        <v>2272</v>
      </c>
      <c r="T3043" s="198" t="s">
        <v>2272</v>
      </c>
      <c r="U3043" s="198" t="s">
        <v>2272</v>
      </c>
      <c r="V3043" s="198" t="s">
        <v>2272</v>
      </c>
      <c r="W3043" s="198" t="s">
        <v>2272</v>
      </c>
      <c r="X3043" s="198" t="s">
        <v>2272</v>
      </c>
      <c r="Y3043" s="198" t="s">
        <v>2272</v>
      </c>
      <c r="Z3043" s="198" t="s">
        <v>2272</v>
      </c>
      <c r="AA3043" s="198" t="s">
        <v>2272</v>
      </c>
      <c r="AB3043" s="198" t="s">
        <v>2272</v>
      </c>
      <c r="AC3043" s="198" t="s">
        <v>2272</v>
      </c>
      <c r="AD3043" s="198"/>
      <c r="AE3043" s="198"/>
    </row>
    <row r="3044" spans="1:31" ht="29.5" customHeight="1">
      <c r="A3044" s="4" t="s">
        <v>8104</v>
      </c>
      <c r="B3044" s="4" t="s">
        <v>8124</v>
      </c>
      <c r="C3044" s="198" t="s">
        <v>23</v>
      </c>
      <c r="D3044" s="198" t="s">
        <v>2342</v>
      </c>
      <c r="E3044" s="198" t="s">
        <v>1102</v>
      </c>
      <c r="F3044" s="4" t="s">
        <v>27</v>
      </c>
      <c r="G3044" s="4" t="s">
        <v>73</v>
      </c>
      <c r="H3044" s="198" t="s">
        <v>521</v>
      </c>
      <c r="I3044" s="198"/>
      <c r="J3044" s="198" t="s">
        <v>2272</v>
      </c>
      <c r="K3044" s="198" t="s">
        <v>2272</v>
      </c>
      <c r="L3044" s="198" t="s">
        <v>2272</v>
      </c>
      <c r="M3044" s="198" t="s">
        <v>2272</v>
      </c>
      <c r="N3044" s="198" t="s">
        <v>2272</v>
      </c>
      <c r="O3044" s="198" t="s">
        <v>2272</v>
      </c>
      <c r="P3044" s="198" t="s">
        <v>2272</v>
      </c>
      <c r="Q3044" s="198" t="s">
        <v>2272</v>
      </c>
      <c r="R3044" s="198" t="s">
        <v>2272</v>
      </c>
      <c r="S3044" s="198" t="s">
        <v>2272</v>
      </c>
      <c r="T3044" s="198" t="s">
        <v>2272</v>
      </c>
      <c r="U3044" s="198" t="s">
        <v>2272</v>
      </c>
      <c r="V3044" s="198" t="s">
        <v>2272</v>
      </c>
      <c r="W3044" s="198" t="s">
        <v>2272</v>
      </c>
      <c r="X3044" s="198" t="s">
        <v>2272</v>
      </c>
      <c r="Y3044" s="198" t="s">
        <v>2272</v>
      </c>
      <c r="Z3044" s="198" t="s">
        <v>2272</v>
      </c>
      <c r="AA3044" s="198" t="s">
        <v>2272</v>
      </c>
      <c r="AB3044" s="198" t="s">
        <v>2272</v>
      </c>
      <c r="AC3044" s="198" t="s">
        <v>2272</v>
      </c>
      <c r="AD3044" s="198"/>
      <c r="AE3044" s="198"/>
    </row>
    <row r="3045" spans="1:31" ht="30" customHeight="1">
      <c r="A3045" s="4" t="s">
        <v>8111</v>
      </c>
      <c r="B3045" s="4" t="s">
        <v>8126</v>
      </c>
      <c r="C3045" s="198" t="s">
        <v>23</v>
      </c>
      <c r="D3045" s="198" t="s">
        <v>2342</v>
      </c>
      <c r="E3045" s="198" t="s">
        <v>3204</v>
      </c>
      <c r="F3045" s="4" t="s">
        <v>73</v>
      </c>
      <c r="G3045" s="4" t="s">
        <v>73</v>
      </c>
      <c r="H3045" s="198" t="s">
        <v>521</v>
      </c>
      <c r="I3045" s="198"/>
      <c r="J3045" s="198" t="s">
        <v>2272</v>
      </c>
      <c r="K3045" s="198" t="s">
        <v>2272</v>
      </c>
      <c r="L3045" s="198" t="s">
        <v>2272</v>
      </c>
      <c r="M3045" s="198" t="s">
        <v>2272</v>
      </c>
      <c r="N3045" s="198" t="s">
        <v>2272</v>
      </c>
      <c r="O3045" s="198" t="s">
        <v>2272</v>
      </c>
      <c r="P3045" s="198" t="s">
        <v>2272</v>
      </c>
      <c r="Q3045" s="198" t="s">
        <v>2272</v>
      </c>
      <c r="R3045" s="198" t="s">
        <v>2272</v>
      </c>
      <c r="S3045" s="198" t="s">
        <v>2272</v>
      </c>
      <c r="T3045" s="198" t="s">
        <v>2272</v>
      </c>
      <c r="U3045" s="198" t="s">
        <v>2272</v>
      </c>
      <c r="V3045" s="198" t="s">
        <v>2272</v>
      </c>
      <c r="W3045" s="198" t="s">
        <v>2272</v>
      </c>
      <c r="X3045" s="198" t="s">
        <v>2272</v>
      </c>
      <c r="Y3045" s="198" t="s">
        <v>2272</v>
      </c>
      <c r="Z3045" s="198" t="s">
        <v>2272</v>
      </c>
      <c r="AA3045" s="198" t="s">
        <v>2272</v>
      </c>
      <c r="AB3045" s="198" t="s">
        <v>2272</v>
      </c>
      <c r="AC3045" s="198" t="s">
        <v>2272</v>
      </c>
      <c r="AD3045" s="198"/>
      <c r="AE3045" s="198"/>
    </row>
    <row r="3046" spans="1:31" ht="30" customHeight="1">
      <c r="A3046" s="4" t="s">
        <v>8111</v>
      </c>
      <c r="B3046" s="4" t="s">
        <v>8127</v>
      </c>
      <c r="C3046" s="4" t="s">
        <v>2453</v>
      </c>
      <c r="D3046" s="4" t="s">
        <v>2654</v>
      </c>
      <c r="E3046" s="4" t="s">
        <v>394</v>
      </c>
      <c r="F3046" s="4" t="s">
        <v>27</v>
      </c>
      <c r="G3046" s="4" t="s">
        <v>73</v>
      </c>
      <c r="H3046" s="198" t="s">
        <v>521</v>
      </c>
      <c r="I3046" s="198"/>
      <c r="J3046" s="198" t="s">
        <v>2272</v>
      </c>
      <c r="K3046" s="198" t="s">
        <v>2272</v>
      </c>
      <c r="L3046" s="198" t="s">
        <v>2272</v>
      </c>
      <c r="M3046" s="198" t="s">
        <v>2272</v>
      </c>
      <c r="N3046" s="198" t="s">
        <v>2272</v>
      </c>
      <c r="O3046" s="198" t="s">
        <v>2272</v>
      </c>
      <c r="P3046" s="198" t="s">
        <v>2272</v>
      </c>
      <c r="Q3046" s="198" t="s">
        <v>2272</v>
      </c>
      <c r="R3046" s="198" t="s">
        <v>2272</v>
      </c>
      <c r="S3046" s="198" t="s">
        <v>2272</v>
      </c>
      <c r="T3046" s="198" t="s">
        <v>2272</v>
      </c>
      <c r="U3046" s="198" t="s">
        <v>2272</v>
      </c>
      <c r="V3046" s="198" t="s">
        <v>2272</v>
      </c>
      <c r="W3046" s="198" t="s">
        <v>2272</v>
      </c>
      <c r="X3046" s="198" t="s">
        <v>2272</v>
      </c>
      <c r="Y3046" s="198" t="s">
        <v>2272</v>
      </c>
      <c r="Z3046" s="198" t="s">
        <v>2272</v>
      </c>
      <c r="AA3046" s="198" t="s">
        <v>2272</v>
      </c>
      <c r="AB3046" s="198" t="s">
        <v>2272</v>
      </c>
      <c r="AC3046" s="198" t="s">
        <v>2272</v>
      </c>
      <c r="AD3046" s="198"/>
      <c r="AE3046" s="198"/>
    </row>
    <row r="3047" spans="1:31" ht="30" customHeight="1">
      <c r="A3047" s="4" t="s">
        <v>8111</v>
      </c>
      <c r="B3047" s="4" t="s">
        <v>8128</v>
      </c>
      <c r="C3047" s="4" t="s">
        <v>23</v>
      </c>
      <c r="D3047" s="4" t="s">
        <v>2342</v>
      </c>
      <c r="E3047" s="4" t="s">
        <v>394</v>
      </c>
      <c r="F3047" s="4" t="s">
        <v>73</v>
      </c>
      <c r="G3047" s="4" t="s">
        <v>73</v>
      </c>
      <c r="H3047" s="198" t="s">
        <v>521</v>
      </c>
      <c r="I3047" s="198"/>
      <c r="J3047" s="198" t="s">
        <v>2272</v>
      </c>
      <c r="K3047" s="198" t="s">
        <v>2272</v>
      </c>
      <c r="L3047" s="198" t="s">
        <v>2272</v>
      </c>
      <c r="M3047" s="198" t="s">
        <v>2272</v>
      </c>
      <c r="N3047" s="198" t="s">
        <v>2272</v>
      </c>
      <c r="O3047" s="198" t="s">
        <v>2272</v>
      </c>
      <c r="P3047" s="198" t="s">
        <v>2272</v>
      </c>
      <c r="Q3047" s="198" t="s">
        <v>2272</v>
      </c>
      <c r="R3047" s="198" t="s">
        <v>2272</v>
      </c>
      <c r="S3047" s="198" t="s">
        <v>2272</v>
      </c>
      <c r="T3047" s="198" t="s">
        <v>2272</v>
      </c>
      <c r="U3047" s="198" t="s">
        <v>2272</v>
      </c>
      <c r="V3047" s="198" t="s">
        <v>2272</v>
      </c>
      <c r="W3047" s="198" t="s">
        <v>2272</v>
      </c>
      <c r="X3047" s="198" t="s">
        <v>2272</v>
      </c>
      <c r="Y3047" s="198" t="s">
        <v>2272</v>
      </c>
      <c r="Z3047" s="198" t="s">
        <v>2272</v>
      </c>
      <c r="AA3047" s="198" t="s">
        <v>2272</v>
      </c>
      <c r="AB3047" s="198" t="s">
        <v>2272</v>
      </c>
      <c r="AC3047" s="198" t="s">
        <v>2272</v>
      </c>
      <c r="AD3047" s="198"/>
      <c r="AE3047" s="198"/>
    </row>
    <row r="3048" spans="1:31" ht="30" customHeight="1">
      <c r="A3048" s="4" t="s">
        <v>8111</v>
      </c>
      <c r="B3048" s="4" t="s">
        <v>8129</v>
      </c>
      <c r="C3048" s="4" t="s">
        <v>23</v>
      </c>
      <c r="D3048" s="4" t="s">
        <v>2342</v>
      </c>
      <c r="E3048" s="4" t="s">
        <v>394</v>
      </c>
      <c r="F3048" s="4" t="s">
        <v>27</v>
      </c>
      <c r="G3048" s="4" t="s">
        <v>73</v>
      </c>
      <c r="H3048" s="198" t="s">
        <v>521</v>
      </c>
      <c r="I3048" s="198"/>
      <c r="J3048" s="198" t="s">
        <v>2272</v>
      </c>
      <c r="K3048" s="198" t="s">
        <v>2272</v>
      </c>
      <c r="L3048" s="198" t="s">
        <v>2272</v>
      </c>
      <c r="M3048" s="198" t="s">
        <v>2272</v>
      </c>
      <c r="N3048" s="198" t="s">
        <v>2272</v>
      </c>
      <c r="O3048" s="198" t="s">
        <v>2272</v>
      </c>
      <c r="P3048" s="198" t="s">
        <v>2272</v>
      </c>
      <c r="Q3048" s="198" t="s">
        <v>2272</v>
      </c>
      <c r="R3048" s="198" t="s">
        <v>2272</v>
      </c>
      <c r="S3048" s="198" t="s">
        <v>2272</v>
      </c>
      <c r="T3048" s="198" t="s">
        <v>2272</v>
      </c>
      <c r="U3048" s="198" t="s">
        <v>2272</v>
      </c>
      <c r="V3048" s="198" t="s">
        <v>2272</v>
      </c>
      <c r="W3048" s="198" t="s">
        <v>2272</v>
      </c>
      <c r="X3048" s="198" t="s">
        <v>2272</v>
      </c>
      <c r="Y3048" s="198" t="s">
        <v>2272</v>
      </c>
      <c r="Z3048" s="198" t="s">
        <v>2272</v>
      </c>
      <c r="AA3048" s="198" t="s">
        <v>2272</v>
      </c>
      <c r="AB3048" s="198" t="s">
        <v>2272</v>
      </c>
      <c r="AC3048" s="198" t="s">
        <v>2272</v>
      </c>
      <c r="AD3048" s="198"/>
      <c r="AE3048" s="198"/>
    </row>
    <row r="3049" spans="1:31" ht="30" customHeight="1">
      <c r="A3049" s="4" t="s">
        <v>8111</v>
      </c>
      <c r="B3049" s="4" t="s">
        <v>8130</v>
      </c>
      <c r="C3049" s="4" t="s">
        <v>2453</v>
      </c>
      <c r="D3049" s="4" t="s">
        <v>2227</v>
      </c>
      <c r="E3049" s="4" t="s">
        <v>394</v>
      </c>
      <c r="F3049" s="4" t="s">
        <v>158</v>
      </c>
      <c r="G3049" s="4" t="s">
        <v>73</v>
      </c>
      <c r="H3049" s="198" t="s">
        <v>521</v>
      </c>
      <c r="I3049" s="198"/>
      <c r="J3049" s="198" t="s">
        <v>2272</v>
      </c>
      <c r="K3049" s="198" t="s">
        <v>2272</v>
      </c>
      <c r="L3049" s="198" t="s">
        <v>2272</v>
      </c>
      <c r="M3049" s="198" t="s">
        <v>2272</v>
      </c>
      <c r="N3049" s="198" t="s">
        <v>2272</v>
      </c>
      <c r="O3049" s="198" t="s">
        <v>2272</v>
      </c>
      <c r="P3049" s="198" t="s">
        <v>2272</v>
      </c>
      <c r="Q3049" s="198" t="s">
        <v>2272</v>
      </c>
      <c r="R3049" s="198" t="s">
        <v>2272</v>
      </c>
      <c r="S3049" s="198" t="s">
        <v>2272</v>
      </c>
      <c r="T3049" s="198" t="s">
        <v>2272</v>
      </c>
      <c r="U3049" s="198" t="s">
        <v>2272</v>
      </c>
      <c r="V3049" s="198" t="s">
        <v>2272</v>
      </c>
      <c r="W3049" s="198" t="s">
        <v>2272</v>
      </c>
      <c r="X3049" s="198" t="s">
        <v>2272</v>
      </c>
      <c r="Y3049" s="198" t="s">
        <v>2272</v>
      </c>
      <c r="Z3049" s="198" t="s">
        <v>2272</v>
      </c>
      <c r="AA3049" s="198" t="s">
        <v>2272</v>
      </c>
      <c r="AB3049" s="198" t="s">
        <v>2272</v>
      </c>
      <c r="AC3049" s="198" t="s">
        <v>2272</v>
      </c>
      <c r="AD3049" s="198"/>
      <c r="AE3049" s="198"/>
    </row>
    <row r="3050" spans="1:31" ht="46" customHeight="1">
      <c r="A3050" s="4" t="s">
        <v>8112</v>
      </c>
      <c r="B3050" s="4" t="s">
        <v>8131</v>
      </c>
      <c r="C3050" s="4" t="s">
        <v>2453</v>
      </c>
      <c r="D3050" s="4" t="s">
        <v>2654</v>
      </c>
      <c r="E3050" s="4" t="s">
        <v>394</v>
      </c>
      <c r="F3050" s="4" t="s">
        <v>27</v>
      </c>
      <c r="G3050" s="4" t="s">
        <v>73</v>
      </c>
      <c r="H3050" s="198" t="s">
        <v>521</v>
      </c>
      <c r="I3050" s="198"/>
      <c r="J3050" s="198" t="s">
        <v>2272</v>
      </c>
      <c r="K3050" s="198" t="s">
        <v>2272</v>
      </c>
      <c r="L3050" s="198" t="s">
        <v>2272</v>
      </c>
      <c r="M3050" s="198" t="s">
        <v>2272</v>
      </c>
      <c r="N3050" s="198" t="s">
        <v>2272</v>
      </c>
      <c r="O3050" s="198" t="s">
        <v>2272</v>
      </c>
      <c r="P3050" s="198" t="s">
        <v>2272</v>
      </c>
      <c r="Q3050" s="198" t="s">
        <v>2272</v>
      </c>
      <c r="R3050" s="198" t="s">
        <v>2272</v>
      </c>
      <c r="S3050" s="198" t="s">
        <v>2272</v>
      </c>
      <c r="T3050" s="198" t="s">
        <v>2272</v>
      </c>
      <c r="U3050" s="198" t="s">
        <v>2272</v>
      </c>
      <c r="V3050" s="198" t="s">
        <v>2272</v>
      </c>
      <c r="W3050" s="198" t="s">
        <v>2272</v>
      </c>
      <c r="X3050" s="198" t="s">
        <v>2272</v>
      </c>
      <c r="Y3050" s="198" t="s">
        <v>2272</v>
      </c>
      <c r="Z3050" s="198" t="s">
        <v>2272</v>
      </c>
      <c r="AA3050" s="198" t="s">
        <v>2272</v>
      </c>
      <c r="AB3050" s="198" t="s">
        <v>2272</v>
      </c>
      <c r="AC3050" s="198" t="s">
        <v>2272</v>
      </c>
      <c r="AD3050" s="198"/>
      <c r="AE3050" s="198"/>
    </row>
    <row r="3051" spans="1:31" ht="42" customHeight="1">
      <c r="A3051" s="4" t="s">
        <v>8112</v>
      </c>
      <c r="B3051" s="4" t="s">
        <v>8132</v>
      </c>
      <c r="C3051" s="198" t="s">
        <v>23</v>
      </c>
      <c r="D3051" s="198" t="s">
        <v>2342</v>
      </c>
      <c r="E3051" s="198" t="s">
        <v>3204</v>
      </c>
      <c r="F3051" s="4" t="s">
        <v>73</v>
      </c>
      <c r="G3051" s="4" t="s">
        <v>73</v>
      </c>
      <c r="H3051" s="198" t="s">
        <v>521</v>
      </c>
      <c r="I3051" s="198"/>
      <c r="J3051" s="198" t="s">
        <v>2272</v>
      </c>
      <c r="K3051" s="198" t="s">
        <v>2272</v>
      </c>
      <c r="L3051" s="198" t="s">
        <v>2272</v>
      </c>
      <c r="M3051" s="198" t="s">
        <v>2272</v>
      </c>
      <c r="N3051" s="198" t="s">
        <v>2272</v>
      </c>
      <c r="O3051" s="198" t="s">
        <v>2272</v>
      </c>
      <c r="P3051" s="198" t="s">
        <v>2272</v>
      </c>
      <c r="Q3051" s="198" t="s">
        <v>2272</v>
      </c>
      <c r="R3051" s="198" t="s">
        <v>2272</v>
      </c>
      <c r="S3051" s="198" t="s">
        <v>2272</v>
      </c>
      <c r="T3051" s="198" t="s">
        <v>2272</v>
      </c>
      <c r="U3051" s="198" t="s">
        <v>2272</v>
      </c>
      <c r="V3051" s="198" t="s">
        <v>2272</v>
      </c>
      <c r="W3051" s="198" t="s">
        <v>2272</v>
      </c>
      <c r="X3051" s="198" t="s">
        <v>2272</v>
      </c>
      <c r="Y3051" s="198" t="s">
        <v>2272</v>
      </c>
      <c r="Z3051" s="198" t="s">
        <v>2272</v>
      </c>
      <c r="AA3051" s="198" t="s">
        <v>2272</v>
      </c>
      <c r="AB3051" s="198" t="s">
        <v>2272</v>
      </c>
      <c r="AC3051" s="198" t="s">
        <v>2272</v>
      </c>
      <c r="AD3051" s="198"/>
      <c r="AE3051" s="198"/>
    </row>
    <row r="3052" spans="1:31" ht="42" customHeight="1">
      <c r="A3052" s="4" t="s">
        <v>8112</v>
      </c>
      <c r="B3052" s="4" t="s">
        <v>8133</v>
      </c>
      <c r="C3052" s="198" t="s">
        <v>2651</v>
      </c>
      <c r="D3052" s="198" t="s">
        <v>2272</v>
      </c>
      <c r="E3052" s="198" t="s">
        <v>2272</v>
      </c>
      <c r="F3052" s="198" t="s">
        <v>2272</v>
      </c>
      <c r="G3052" s="4" t="s">
        <v>73</v>
      </c>
      <c r="H3052" s="198" t="s">
        <v>521</v>
      </c>
      <c r="I3052" s="198"/>
      <c r="J3052" s="198" t="s">
        <v>2272</v>
      </c>
      <c r="K3052" s="198" t="s">
        <v>2272</v>
      </c>
      <c r="L3052" s="198" t="s">
        <v>2272</v>
      </c>
      <c r="M3052" s="198" t="s">
        <v>2272</v>
      </c>
      <c r="N3052" s="198" t="s">
        <v>2272</v>
      </c>
      <c r="O3052" s="198" t="s">
        <v>2272</v>
      </c>
      <c r="P3052" s="198" t="s">
        <v>2272</v>
      </c>
      <c r="Q3052" s="198" t="s">
        <v>2272</v>
      </c>
      <c r="R3052" s="198" t="s">
        <v>2272</v>
      </c>
      <c r="S3052" s="198" t="s">
        <v>2272</v>
      </c>
      <c r="T3052" s="198" t="s">
        <v>2272</v>
      </c>
      <c r="U3052" s="198" t="s">
        <v>2272</v>
      </c>
      <c r="V3052" s="198" t="s">
        <v>2272</v>
      </c>
      <c r="W3052" s="198" t="s">
        <v>2272</v>
      </c>
      <c r="X3052" s="198" t="s">
        <v>2272</v>
      </c>
      <c r="Y3052" s="198" t="s">
        <v>2272</v>
      </c>
      <c r="Z3052" s="198" t="s">
        <v>2272</v>
      </c>
      <c r="AA3052" s="198" t="s">
        <v>2272</v>
      </c>
      <c r="AB3052" s="198" t="s">
        <v>2272</v>
      </c>
      <c r="AC3052" s="198" t="s">
        <v>2272</v>
      </c>
      <c r="AD3052" s="198"/>
      <c r="AE3052" s="198"/>
    </row>
    <row r="3053" spans="1:31" ht="42" customHeight="1">
      <c r="A3053" s="4" t="s">
        <v>8112</v>
      </c>
      <c r="B3053" s="4" t="s">
        <v>8134</v>
      </c>
      <c r="C3053" s="4" t="s">
        <v>2453</v>
      </c>
      <c r="D3053" s="198" t="s">
        <v>24</v>
      </c>
      <c r="E3053" s="198" t="s">
        <v>44</v>
      </c>
      <c r="F3053" s="4" t="s">
        <v>28</v>
      </c>
      <c r="G3053" s="4" t="s">
        <v>73</v>
      </c>
      <c r="H3053" s="198" t="s">
        <v>521</v>
      </c>
      <c r="I3053" s="198"/>
      <c r="J3053" s="198" t="s">
        <v>2272</v>
      </c>
      <c r="K3053" s="198" t="s">
        <v>2272</v>
      </c>
      <c r="L3053" s="198" t="s">
        <v>2272</v>
      </c>
      <c r="M3053" s="198" t="s">
        <v>2272</v>
      </c>
      <c r="N3053" s="198" t="s">
        <v>2272</v>
      </c>
      <c r="O3053" s="198" t="s">
        <v>2272</v>
      </c>
      <c r="P3053" s="198" t="s">
        <v>2272</v>
      </c>
      <c r="Q3053" s="198" t="s">
        <v>2272</v>
      </c>
      <c r="R3053" s="198" t="s">
        <v>2272</v>
      </c>
      <c r="S3053" s="198" t="s">
        <v>2272</v>
      </c>
      <c r="T3053" s="198" t="s">
        <v>2272</v>
      </c>
      <c r="U3053" s="198" t="s">
        <v>2272</v>
      </c>
      <c r="V3053" s="198" t="s">
        <v>2272</v>
      </c>
      <c r="W3053" s="198" t="s">
        <v>2272</v>
      </c>
      <c r="X3053" s="198" t="s">
        <v>2272</v>
      </c>
      <c r="Y3053" s="198" t="s">
        <v>2272</v>
      </c>
      <c r="Z3053" s="198" t="s">
        <v>2272</v>
      </c>
      <c r="AA3053" s="198" t="s">
        <v>2272</v>
      </c>
      <c r="AB3053" s="198" t="s">
        <v>2272</v>
      </c>
      <c r="AC3053" s="198" t="s">
        <v>2272</v>
      </c>
      <c r="AD3053" s="198"/>
      <c r="AE3053" s="198"/>
    </row>
    <row r="3054" spans="1:31" ht="42" customHeight="1">
      <c r="A3054" s="4" t="s">
        <v>8112</v>
      </c>
      <c r="B3054" s="4" t="s">
        <v>8135</v>
      </c>
      <c r="C3054" s="198" t="s">
        <v>23</v>
      </c>
      <c r="D3054" s="198" t="s">
        <v>2342</v>
      </c>
      <c r="E3054" s="4" t="s">
        <v>394</v>
      </c>
      <c r="F3054" s="4" t="s">
        <v>27</v>
      </c>
      <c r="G3054" s="4" t="s">
        <v>73</v>
      </c>
      <c r="H3054" s="198" t="s">
        <v>521</v>
      </c>
      <c r="I3054" s="198"/>
      <c r="J3054" s="198" t="s">
        <v>2272</v>
      </c>
      <c r="K3054" s="198" t="s">
        <v>2272</v>
      </c>
      <c r="L3054" s="198" t="s">
        <v>2272</v>
      </c>
      <c r="M3054" s="198" t="s">
        <v>2272</v>
      </c>
      <c r="N3054" s="198" t="s">
        <v>2272</v>
      </c>
      <c r="O3054" s="198" t="s">
        <v>2272</v>
      </c>
      <c r="P3054" s="198" t="s">
        <v>2272</v>
      </c>
      <c r="Q3054" s="198" t="s">
        <v>2272</v>
      </c>
      <c r="R3054" s="198" t="s">
        <v>2272</v>
      </c>
      <c r="S3054" s="198" t="s">
        <v>2272</v>
      </c>
      <c r="T3054" s="198" t="s">
        <v>2272</v>
      </c>
      <c r="U3054" s="198" t="s">
        <v>2272</v>
      </c>
      <c r="V3054" s="198" t="s">
        <v>2272</v>
      </c>
      <c r="W3054" s="198" t="s">
        <v>2272</v>
      </c>
      <c r="X3054" s="198" t="s">
        <v>2272</v>
      </c>
      <c r="Y3054" s="198" t="s">
        <v>2272</v>
      </c>
      <c r="Z3054" s="198" t="s">
        <v>2272</v>
      </c>
      <c r="AA3054" s="198" t="s">
        <v>2272</v>
      </c>
      <c r="AB3054" s="198" t="s">
        <v>2272</v>
      </c>
      <c r="AC3054" s="198" t="s">
        <v>2272</v>
      </c>
      <c r="AD3054" s="198"/>
      <c r="AE3054" s="198"/>
    </row>
    <row r="3055" spans="1:31" ht="41" customHeight="1">
      <c r="A3055" s="4" t="s">
        <v>8112</v>
      </c>
      <c r="B3055" s="4" t="s">
        <v>8136</v>
      </c>
      <c r="C3055" s="198" t="s">
        <v>23</v>
      </c>
      <c r="D3055" s="198" t="s">
        <v>2342</v>
      </c>
      <c r="E3055" s="4" t="s">
        <v>44</v>
      </c>
      <c r="F3055" s="4" t="s">
        <v>27</v>
      </c>
      <c r="G3055" s="4" t="s">
        <v>73</v>
      </c>
      <c r="H3055" s="198" t="s">
        <v>521</v>
      </c>
      <c r="I3055" s="198"/>
      <c r="J3055" s="198" t="s">
        <v>2272</v>
      </c>
      <c r="K3055" s="198" t="s">
        <v>2272</v>
      </c>
      <c r="L3055" s="198" t="s">
        <v>2272</v>
      </c>
      <c r="M3055" s="198" t="s">
        <v>2272</v>
      </c>
      <c r="N3055" s="198" t="s">
        <v>2272</v>
      </c>
      <c r="O3055" s="198" t="s">
        <v>2272</v>
      </c>
      <c r="P3055" s="198" t="s">
        <v>2272</v>
      </c>
      <c r="Q3055" s="198" t="s">
        <v>2272</v>
      </c>
      <c r="R3055" s="198" t="s">
        <v>2272</v>
      </c>
      <c r="S3055" s="198" t="s">
        <v>2272</v>
      </c>
      <c r="T3055" s="198" t="s">
        <v>2272</v>
      </c>
      <c r="U3055" s="198" t="s">
        <v>2272</v>
      </c>
      <c r="V3055" s="198" t="s">
        <v>2272</v>
      </c>
      <c r="W3055" s="198" t="s">
        <v>2272</v>
      </c>
      <c r="X3055" s="198" t="s">
        <v>2272</v>
      </c>
      <c r="Y3055" s="198" t="s">
        <v>2272</v>
      </c>
      <c r="Z3055" s="198" t="s">
        <v>2272</v>
      </c>
      <c r="AA3055" s="198" t="s">
        <v>2272</v>
      </c>
      <c r="AB3055" s="198" t="s">
        <v>2272</v>
      </c>
      <c r="AC3055" s="198" t="s">
        <v>2272</v>
      </c>
      <c r="AD3055" s="198"/>
      <c r="AE3055" s="198"/>
    </row>
    <row r="3056" spans="1:31" ht="37" customHeight="1">
      <c r="A3056" s="4" t="s">
        <v>8113</v>
      </c>
      <c r="B3056" s="4" t="s">
        <v>8137</v>
      </c>
      <c r="C3056" s="198" t="s">
        <v>2453</v>
      </c>
      <c r="D3056" s="4" t="s">
        <v>2654</v>
      </c>
      <c r="E3056" s="4" t="s">
        <v>394</v>
      </c>
      <c r="F3056" s="4" t="s">
        <v>27</v>
      </c>
      <c r="G3056" s="4" t="s">
        <v>73</v>
      </c>
      <c r="H3056" s="198" t="s">
        <v>521</v>
      </c>
      <c r="I3056" s="198"/>
      <c r="J3056" s="198" t="s">
        <v>2272</v>
      </c>
      <c r="K3056" s="198" t="s">
        <v>2272</v>
      </c>
      <c r="L3056" s="198" t="s">
        <v>2272</v>
      </c>
      <c r="M3056" s="198" t="s">
        <v>2272</v>
      </c>
      <c r="N3056" s="198" t="s">
        <v>2272</v>
      </c>
      <c r="O3056" s="198" t="s">
        <v>2272</v>
      </c>
      <c r="P3056" s="198" t="s">
        <v>2272</v>
      </c>
      <c r="Q3056" s="198" t="s">
        <v>2272</v>
      </c>
      <c r="R3056" s="198" t="s">
        <v>2272</v>
      </c>
      <c r="S3056" s="198" t="s">
        <v>2272</v>
      </c>
      <c r="T3056" s="198" t="s">
        <v>2272</v>
      </c>
      <c r="U3056" s="198" t="s">
        <v>2272</v>
      </c>
      <c r="V3056" s="198" t="s">
        <v>2272</v>
      </c>
      <c r="W3056" s="198" t="s">
        <v>2272</v>
      </c>
      <c r="X3056" s="198" t="s">
        <v>2272</v>
      </c>
      <c r="Y3056" s="198" t="s">
        <v>2272</v>
      </c>
      <c r="Z3056" s="198" t="s">
        <v>2272</v>
      </c>
      <c r="AA3056" s="198" t="s">
        <v>2272</v>
      </c>
      <c r="AB3056" s="198" t="s">
        <v>2272</v>
      </c>
      <c r="AC3056" s="198" t="s">
        <v>2272</v>
      </c>
      <c r="AD3056" s="198"/>
      <c r="AE3056" s="198"/>
    </row>
    <row r="3057" spans="1:31" ht="37" customHeight="1">
      <c r="A3057" s="4" t="s">
        <v>8113</v>
      </c>
      <c r="B3057" s="4" t="s">
        <v>8138</v>
      </c>
      <c r="C3057" s="198" t="s">
        <v>2453</v>
      </c>
      <c r="D3057" s="4" t="s">
        <v>2227</v>
      </c>
      <c r="E3057" s="4" t="s">
        <v>394</v>
      </c>
      <c r="F3057" s="4" t="s">
        <v>158</v>
      </c>
      <c r="G3057" s="4" t="s">
        <v>73</v>
      </c>
      <c r="H3057" s="198" t="s">
        <v>521</v>
      </c>
      <c r="I3057" s="198"/>
      <c r="J3057" s="198" t="s">
        <v>2272</v>
      </c>
      <c r="K3057" s="198" t="s">
        <v>2272</v>
      </c>
      <c r="L3057" s="198" t="s">
        <v>2272</v>
      </c>
      <c r="M3057" s="198" t="s">
        <v>2272</v>
      </c>
      <c r="N3057" s="198" t="s">
        <v>2272</v>
      </c>
      <c r="O3057" s="198" t="s">
        <v>2272</v>
      </c>
      <c r="P3057" s="198" t="s">
        <v>2272</v>
      </c>
      <c r="Q3057" s="198" t="s">
        <v>2272</v>
      </c>
      <c r="R3057" s="198" t="s">
        <v>2272</v>
      </c>
      <c r="S3057" s="198" t="s">
        <v>2272</v>
      </c>
      <c r="T3057" s="198" t="s">
        <v>2272</v>
      </c>
      <c r="U3057" s="198" t="s">
        <v>2272</v>
      </c>
      <c r="V3057" s="198" t="s">
        <v>2272</v>
      </c>
      <c r="W3057" s="198" t="s">
        <v>2272</v>
      </c>
      <c r="X3057" s="198" t="s">
        <v>2272</v>
      </c>
      <c r="Y3057" s="198" t="s">
        <v>2272</v>
      </c>
      <c r="Z3057" s="198" t="s">
        <v>2272</v>
      </c>
      <c r="AA3057" s="198" t="s">
        <v>2272</v>
      </c>
      <c r="AB3057" s="198" t="s">
        <v>2272</v>
      </c>
      <c r="AC3057" s="198" t="s">
        <v>2272</v>
      </c>
      <c r="AD3057" s="198"/>
      <c r="AE3057" s="198"/>
    </row>
    <row r="3058" spans="1:31" ht="37" customHeight="1">
      <c r="A3058" s="4" t="s">
        <v>8113</v>
      </c>
      <c r="B3058" s="4" t="s">
        <v>8139</v>
      </c>
      <c r="C3058" s="198" t="s">
        <v>23</v>
      </c>
      <c r="D3058" s="198" t="s">
        <v>2342</v>
      </c>
      <c r="E3058" s="198" t="s">
        <v>2272</v>
      </c>
      <c r="F3058" s="4" t="s">
        <v>73</v>
      </c>
      <c r="G3058" s="4" t="s">
        <v>73</v>
      </c>
      <c r="H3058" s="198" t="s">
        <v>521</v>
      </c>
      <c r="I3058" s="198"/>
      <c r="J3058" s="198" t="s">
        <v>2272</v>
      </c>
      <c r="K3058" s="198" t="s">
        <v>2272</v>
      </c>
      <c r="L3058" s="198" t="s">
        <v>2272</v>
      </c>
      <c r="M3058" s="198" t="s">
        <v>2272</v>
      </c>
      <c r="N3058" s="198" t="s">
        <v>2272</v>
      </c>
      <c r="O3058" s="198" t="s">
        <v>2272</v>
      </c>
      <c r="P3058" s="198" t="s">
        <v>2272</v>
      </c>
      <c r="Q3058" s="198" t="s">
        <v>2272</v>
      </c>
      <c r="R3058" s="198" t="s">
        <v>2272</v>
      </c>
      <c r="S3058" s="198" t="s">
        <v>2272</v>
      </c>
      <c r="T3058" s="198" t="s">
        <v>2272</v>
      </c>
      <c r="U3058" s="198" t="s">
        <v>2272</v>
      </c>
      <c r="V3058" s="198" t="s">
        <v>2272</v>
      </c>
      <c r="W3058" s="198" t="s">
        <v>2272</v>
      </c>
      <c r="X3058" s="198" t="s">
        <v>2272</v>
      </c>
      <c r="Y3058" s="198" t="s">
        <v>2272</v>
      </c>
      <c r="Z3058" s="198" t="s">
        <v>2272</v>
      </c>
      <c r="AA3058" s="198" t="s">
        <v>2272</v>
      </c>
      <c r="AB3058" s="198" t="s">
        <v>2272</v>
      </c>
      <c r="AC3058" s="198" t="s">
        <v>2272</v>
      </c>
      <c r="AD3058" s="198"/>
      <c r="AE3058" s="198"/>
    </row>
    <row r="3059" spans="1:31" ht="37" customHeight="1">
      <c r="A3059" s="4" t="s">
        <v>8113</v>
      </c>
      <c r="B3059" s="4" t="s">
        <v>8140</v>
      </c>
      <c r="C3059" s="198" t="s">
        <v>2453</v>
      </c>
      <c r="D3059" s="198" t="s">
        <v>24</v>
      </c>
      <c r="E3059" s="198" t="s">
        <v>44</v>
      </c>
      <c r="F3059" s="4" t="s">
        <v>28</v>
      </c>
      <c r="G3059" s="4" t="s">
        <v>73</v>
      </c>
      <c r="H3059" s="198" t="s">
        <v>521</v>
      </c>
      <c r="I3059" s="198"/>
      <c r="J3059" s="198" t="s">
        <v>2272</v>
      </c>
      <c r="K3059" s="198" t="s">
        <v>2272</v>
      </c>
      <c r="L3059" s="198" t="s">
        <v>2272</v>
      </c>
      <c r="M3059" s="198" t="s">
        <v>2272</v>
      </c>
      <c r="N3059" s="198" t="s">
        <v>2272</v>
      </c>
      <c r="O3059" s="198" t="s">
        <v>2272</v>
      </c>
      <c r="P3059" s="198" t="s">
        <v>2272</v>
      </c>
      <c r="Q3059" s="198" t="s">
        <v>2272</v>
      </c>
      <c r="R3059" s="198" t="s">
        <v>2272</v>
      </c>
      <c r="S3059" s="198" t="s">
        <v>2272</v>
      </c>
      <c r="T3059" s="198" t="s">
        <v>2272</v>
      </c>
      <c r="U3059" s="198" t="s">
        <v>2272</v>
      </c>
      <c r="V3059" s="198" t="s">
        <v>2272</v>
      </c>
      <c r="W3059" s="198" t="s">
        <v>2272</v>
      </c>
      <c r="X3059" s="198" t="s">
        <v>2272</v>
      </c>
      <c r="Y3059" s="198" t="s">
        <v>2272</v>
      </c>
      <c r="Z3059" s="198" t="s">
        <v>2272</v>
      </c>
      <c r="AA3059" s="198" t="s">
        <v>2272</v>
      </c>
      <c r="AB3059" s="198" t="s">
        <v>2272</v>
      </c>
      <c r="AC3059" s="198" t="s">
        <v>2272</v>
      </c>
      <c r="AD3059" s="198"/>
      <c r="AE3059" s="198"/>
    </row>
    <row r="3060" spans="1:31" ht="37" customHeight="1">
      <c r="A3060" s="4" t="s">
        <v>8113</v>
      </c>
      <c r="B3060" s="4" t="s">
        <v>8141</v>
      </c>
      <c r="C3060" s="198" t="s">
        <v>23</v>
      </c>
      <c r="D3060" s="198" t="s">
        <v>2342</v>
      </c>
      <c r="E3060" s="4" t="s">
        <v>394</v>
      </c>
      <c r="F3060" s="4" t="s">
        <v>27</v>
      </c>
      <c r="G3060" s="4" t="s">
        <v>73</v>
      </c>
      <c r="H3060" s="198" t="s">
        <v>521</v>
      </c>
      <c r="I3060" s="198"/>
      <c r="J3060" s="198" t="s">
        <v>2272</v>
      </c>
      <c r="K3060" s="198" t="s">
        <v>2272</v>
      </c>
      <c r="L3060" s="198" t="s">
        <v>2272</v>
      </c>
      <c r="M3060" s="198" t="s">
        <v>2272</v>
      </c>
      <c r="N3060" s="198" t="s">
        <v>2272</v>
      </c>
      <c r="O3060" s="198" t="s">
        <v>2272</v>
      </c>
      <c r="P3060" s="198" t="s">
        <v>2272</v>
      </c>
      <c r="Q3060" s="198" t="s">
        <v>2272</v>
      </c>
      <c r="R3060" s="198" t="s">
        <v>2272</v>
      </c>
      <c r="S3060" s="198" t="s">
        <v>2272</v>
      </c>
      <c r="T3060" s="198" t="s">
        <v>2272</v>
      </c>
      <c r="U3060" s="198" t="s">
        <v>2272</v>
      </c>
      <c r="V3060" s="198" t="s">
        <v>2272</v>
      </c>
      <c r="W3060" s="198" t="s">
        <v>2272</v>
      </c>
      <c r="X3060" s="198" t="s">
        <v>2272</v>
      </c>
      <c r="Y3060" s="198" t="s">
        <v>2272</v>
      </c>
      <c r="Z3060" s="198" t="s">
        <v>2272</v>
      </c>
      <c r="AA3060" s="198" t="s">
        <v>2272</v>
      </c>
      <c r="AB3060" s="198" t="s">
        <v>2272</v>
      </c>
      <c r="AC3060" s="198" t="s">
        <v>2272</v>
      </c>
      <c r="AD3060" s="198"/>
      <c r="AE3060" s="198"/>
    </row>
    <row r="3061" spans="1:31" ht="37" customHeight="1">
      <c r="A3061" s="4" t="s">
        <v>8113</v>
      </c>
      <c r="B3061" s="4" t="s">
        <v>8142</v>
      </c>
      <c r="C3061" s="198" t="s">
        <v>30</v>
      </c>
      <c r="D3061" s="198" t="s">
        <v>29</v>
      </c>
      <c r="E3061" s="198" t="s">
        <v>2648</v>
      </c>
      <c r="F3061" s="198" t="s">
        <v>2272</v>
      </c>
      <c r="G3061" s="4" t="s">
        <v>73</v>
      </c>
      <c r="H3061" s="198" t="s">
        <v>521</v>
      </c>
      <c r="I3061" s="198"/>
      <c r="J3061" s="198" t="s">
        <v>2272</v>
      </c>
      <c r="K3061" s="198" t="s">
        <v>2272</v>
      </c>
      <c r="L3061" s="198" t="s">
        <v>2272</v>
      </c>
      <c r="M3061" s="198" t="s">
        <v>2272</v>
      </c>
      <c r="N3061" s="198" t="s">
        <v>2272</v>
      </c>
      <c r="O3061" s="198" t="s">
        <v>2272</v>
      </c>
      <c r="P3061" s="198" t="s">
        <v>2272</v>
      </c>
      <c r="Q3061" s="198" t="s">
        <v>2272</v>
      </c>
      <c r="R3061" s="198" t="s">
        <v>2272</v>
      </c>
      <c r="S3061" s="198" t="s">
        <v>2272</v>
      </c>
      <c r="T3061" s="198" t="s">
        <v>2272</v>
      </c>
      <c r="U3061" s="198" t="s">
        <v>2272</v>
      </c>
      <c r="V3061" s="198" t="s">
        <v>2272</v>
      </c>
      <c r="W3061" s="198" t="s">
        <v>2272</v>
      </c>
      <c r="X3061" s="198" t="s">
        <v>2272</v>
      </c>
      <c r="Y3061" s="198" t="s">
        <v>2272</v>
      </c>
      <c r="Z3061" s="198" t="s">
        <v>2272</v>
      </c>
      <c r="AA3061" s="198" t="s">
        <v>2272</v>
      </c>
      <c r="AB3061" s="198" t="s">
        <v>2272</v>
      </c>
      <c r="AC3061" s="198" t="s">
        <v>2272</v>
      </c>
      <c r="AD3061" s="198"/>
      <c r="AE3061" s="198"/>
    </row>
    <row r="3062" spans="1:31" ht="37" customHeight="1">
      <c r="A3062" s="4" t="s">
        <v>8113</v>
      </c>
      <c r="B3062" s="4" t="s">
        <v>8143</v>
      </c>
      <c r="C3062" s="198" t="s">
        <v>2651</v>
      </c>
      <c r="D3062" s="198" t="s">
        <v>2272</v>
      </c>
      <c r="E3062" s="198" t="s">
        <v>2272</v>
      </c>
      <c r="F3062" s="198" t="s">
        <v>2272</v>
      </c>
      <c r="G3062" s="4" t="s">
        <v>73</v>
      </c>
      <c r="H3062" s="198" t="s">
        <v>521</v>
      </c>
      <c r="I3062" s="198"/>
      <c r="J3062" s="198" t="s">
        <v>2272</v>
      </c>
      <c r="K3062" s="198" t="s">
        <v>2272</v>
      </c>
      <c r="L3062" s="198" t="s">
        <v>2272</v>
      </c>
      <c r="M3062" s="198" t="s">
        <v>2272</v>
      </c>
      <c r="N3062" s="198" t="s">
        <v>2272</v>
      </c>
      <c r="O3062" s="198" t="s">
        <v>2272</v>
      </c>
      <c r="P3062" s="198" t="s">
        <v>2272</v>
      </c>
      <c r="Q3062" s="198" t="s">
        <v>2272</v>
      </c>
      <c r="R3062" s="198" t="s">
        <v>2272</v>
      </c>
      <c r="S3062" s="198" t="s">
        <v>2272</v>
      </c>
      <c r="T3062" s="198" t="s">
        <v>2272</v>
      </c>
      <c r="U3062" s="198" t="s">
        <v>2272</v>
      </c>
      <c r="V3062" s="198" t="s">
        <v>2272</v>
      </c>
      <c r="W3062" s="198" t="s">
        <v>2272</v>
      </c>
      <c r="X3062" s="198" t="s">
        <v>2272</v>
      </c>
      <c r="Y3062" s="198" t="s">
        <v>2272</v>
      </c>
      <c r="Z3062" s="198" t="s">
        <v>2272</v>
      </c>
      <c r="AA3062" s="198" t="s">
        <v>2272</v>
      </c>
      <c r="AB3062" s="198" t="s">
        <v>2272</v>
      </c>
      <c r="AC3062" s="198" t="s">
        <v>2272</v>
      </c>
      <c r="AD3062" s="198"/>
      <c r="AE3062" s="198"/>
    </row>
    <row r="3063" spans="1:31" ht="40" customHeight="1">
      <c r="A3063" s="4" t="s">
        <v>8147</v>
      </c>
      <c r="B3063" s="4" t="s">
        <v>8149</v>
      </c>
      <c r="C3063" s="198" t="s">
        <v>23</v>
      </c>
      <c r="D3063" s="198" t="s">
        <v>1241</v>
      </c>
      <c r="E3063" s="198" t="s">
        <v>114</v>
      </c>
      <c r="F3063" s="4" t="s">
        <v>2657</v>
      </c>
      <c r="G3063" s="4" t="s">
        <v>2657</v>
      </c>
      <c r="H3063" s="198" t="s">
        <v>521</v>
      </c>
      <c r="I3063" s="198"/>
      <c r="J3063" s="198" t="s">
        <v>2272</v>
      </c>
      <c r="K3063" s="198" t="s">
        <v>2272</v>
      </c>
      <c r="L3063" s="21">
        <v>1</v>
      </c>
      <c r="M3063" s="198" t="s">
        <v>2272</v>
      </c>
      <c r="N3063" s="21">
        <v>10</v>
      </c>
      <c r="O3063" s="198" t="s">
        <v>2272</v>
      </c>
      <c r="P3063" s="198" t="s">
        <v>2272</v>
      </c>
      <c r="Q3063" s="198" t="s">
        <v>2272</v>
      </c>
      <c r="R3063" s="198" t="s">
        <v>2272</v>
      </c>
      <c r="S3063" s="198" t="s">
        <v>2272</v>
      </c>
      <c r="T3063" s="198" t="s">
        <v>2272</v>
      </c>
      <c r="U3063" s="198" t="s">
        <v>2272</v>
      </c>
      <c r="V3063" s="198" t="s">
        <v>2272</v>
      </c>
      <c r="W3063" s="198" t="s">
        <v>2272</v>
      </c>
      <c r="X3063" s="198" t="s">
        <v>2272</v>
      </c>
      <c r="Y3063" s="198" t="s">
        <v>2272</v>
      </c>
      <c r="Z3063" s="198" t="s">
        <v>2272</v>
      </c>
      <c r="AA3063" s="198" t="s">
        <v>37</v>
      </c>
      <c r="AB3063" s="198" t="s">
        <v>67</v>
      </c>
      <c r="AC3063" s="198" t="s">
        <v>2272</v>
      </c>
      <c r="AD3063" s="4" t="s">
        <v>8154</v>
      </c>
      <c r="AE3063" s="198" t="s">
        <v>8150</v>
      </c>
    </row>
    <row r="3064" spans="1:31" ht="40" customHeight="1">
      <c r="A3064" s="4" t="s">
        <v>8147</v>
      </c>
      <c r="B3064" s="4" t="s">
        <v>8151</v>
      </c>
      <c r="C3064" s="198" t="s">
        <v>2651</v>
      </c>
      <c r="D3064" s="198" t="s">
        <v>2272</v>
      </c>
      <c r="E3064" s="198" t="s">
        <v>2272</v>
      </c>
      <c r="F3064" s="198" t="s">
        <v>2272</v>
      </c>
      <c r="G3064" s="4" t="s">
        <v>2657</v>
      </c>
      <c r="H3064" s="198" t="s">
        <v>521</v>
      </c>
      <c r="I3064" s="198"/>
      <c r="J3064" s="198" t="s">
        <v>2272</v>
      </c>
      <c r="K3064" s="198" t="s">
        <v>2272</v>
      </c>
      <c r="L3064" s="198" t="s">
        <v>2272</v>
      </c>
      <c r="M3064" s="198" t="s">
        <v>2272</v>
      </c>
      <c r="N3064" s="198" t="s">
        <v>2272</v>
      </c>
      <c r="O3064" s="198" t="s">
        <v>2272</v>
      </c>
      <c r="P3064" s="198" t="s">
        <v>2272</v>
      </c>
      <c r="Q3064" s="21">
        <v>189.4</v>
      </c>
      <c r="R3064" s="198" t="s">
        <v>2272</v>
      </c>
      <c r="S3064" s="198" t="s">
        <v>2272</v>
      </c>
      <c r="T3064" s="198" t="s">
        <v>2272</v>
      </c>
      <c r="U3064" s="198" t="s">
        <v>2272</v>
      </c>
      <c r="V3064" s="198" t="s">
        <v>2272</v>
      </c>
      <c r="W3064" s="198" t="s">
        <v>2272</v>
      </c>
      <c r="X3064" s="198" t="s">
        <v>2272</v>
      </c>
      <c r="Y3064" s="198" t="s">
        <v>2272</v>
      </c>
      <c r="Z3064" s="198" t="s">
        <v>2272</v>
      </c>
      <c r="AA3064" s="198" t="s">
        <v>2272</v>
      </c>
      <c r="AB3064" s="198" t="s">
        <v>2272</v>
      </c>
      <c r="AC3064" s="198" t="s">
        <v>2272</v>
      </c>
      <c r="AD3064" s="198"/>
      <c r="AE3064" s="198" t="s">
        <v>7883</v>
      </c>
    </row>
    <row r="3065" spans="1:31" ht="32.5" customHeight="1">
      <c r="A3065" s="4" t="s">
        <v>8156</v>
      </c>
      <c r="B3065" s="4" t="s">
        <v>8160</v>
      </c>
      <c r="C3065" s="198" t="s">
        <v>23</v>
      </c>
      <c r="D3065" s="198" t="s">
        <v>1238</v>
      </c>
      <c r="E3065" s="198" t="s">
        <v>114</v>
      </c>
      <c r="F3065" s="4" t="s">
        <v>2657</v>
      </c>
      <c r="G3065" s="4" t="s">
        <v>2657</v>
      </c>
      <c r="H3065" s="198" t="s">
        <v>521</v>
      </c>
      <c r="I3065" s="198"/>
      <c r="J3065" s="198" t="s">
        <v>2272</v>
      </c>
      <c r="K3065" s="198" t="s">
        <v>2272</v>
      </c>
      <c r="L3065" s="198" t="s">
        <v>2272</v>
      </c>
      <c r="M3065" s="198" t="s">
        <v>2272</v>
      </c>
      <c r="N3065" s="198" t="s">
        <v>2272</v>
      </c>
      <c r="O3065" s="198" t="s">
        <v>2272</v>
      </c>
      <c r="P3065" s="198" t="s">
        <v>2272</v>
      </c>
      <c r="Q3065" s="198" t="s">
        <v>2272</v>
      </c>
      <c r="R3065" s="198" t="s">
        <v>2272</v>
      </c>
      <c r="S3065" s="198" t="s">
        <v>2272</v>
      </c>
      <c r="T3065" s="198" t="s">
        <v>2272</v>
      </c>
      <c r="U3065" s="198" t="s">
        <v>2272</v>
      </c>
      <c r="V3065" s="198" t="s">
        <v>2272</v>
      </c>
      <c r="W3065" s="198" t="s">
        <v>2272</v>
      </c>
      <c r="X3065" s="198" t="s">
        <v>2272</v>
      </c>
      <c r="Y3065" s="198" t="s">
        <v>2272</v>
      </c>
      <c r="Z3065" s="198" t="s">
        <v>2272</v>
      </c>
      <c r="AA3065" s="198" t="s">
        <v>67</v>
      </c>
      <c r="AB3065" s="198" t="s">
        <v>125</v>
      </c>
      <c r="AC3065" s="198" t="s">
        <v>2650</v>
      </c>
      <c r="AD3065" s="198"/>
      <c r="AE3065" s="198"/>
    </row>
    <row r="3066" spans="1:31" ht="33.5" customHeight="1">
      <c r="A3066" s="4" t="s">
        <v>8156</v>
      </c>
      <c r="B3066" s="4" t="s">
        <v>8161</v>
      </c>
      <c r="C3066" s="198" t="s">
        <v>23</v>
      </c>
      <c r="D3066" s="198" t="s">
        <v>1238</v>
      </c>
      <c r="E3066" s="198" t="s">
        <v>128</v>
      </c>
      <c r="F3066" s="4" t="s">
        <v>27</v>
      </c>
      <c r="G3066" s="198" t="s">
        <v>2272</v>
      </c>
      <c r="H3066" s="198" t="s">
        <v>521</v>
      </c>
      <c r="I3066" s="198"/>
      <c r="J3066" s="198" t="s">
        <v>2272</v>
      </c>
      <c r="K3066" s="198" t="s">
        <v>2272</v>
      </c>
      <c r="L3066" s="198" t="s">
        <v>2272</v>
      </c>
      <c r="M3066" s="198" t="s">
        <v>2272</v>
      </c>
      <c r="N3066" s="198" t="s">
        <v>2272</v>
      </c>
      <c r="O3066" s="198" t="s">
        <v>2272</v>
      </c>
      <c r="P3066" s="198" t="s">
        <v>2272</v>
      </c>
      <c r="Q3066" s="198" t="s">
        <v>2272</v>
      </c>
      <c r="R3066" s="198" t="s">
        <v>2272</v>
      </c>
      <c r="S3066" s="198" t="s">
        <v>2272</v>
      </c>
      <c r="T3066" s="198" t="s">
        <v>2272</v>
      </c>
      <c r="U3066" s="198" t="s">
        <v>2272</v>
      </c>
      <c r="V3066" s="198" t="s">
        <v>2272</v>
      </c>
      <c r="W3066" s="198" t="s">
        <v>2272</v>
      </c>
      <c r="X3066" s="198" t="s">
        <v>2272</v>
      </c>
      <c r="Y3066" s="198" t="s">
        <v>2272</v>
      </c>
      <c r="Z3066" s="21">
        <v>1</v>
      </c>
      <c r="AA3066" s="198" t="s">
        <v>125</v>
      </c>
      <c r="AB3066" s="198" t="s">
        <v>397</v>
      </c>
      <c r="AC3066" s="198" t="s">
        <v>75</v>
      </c>
      <c r="AD3066" s="198"/>
      <c r="AE3066" s="198"/>
    </row>
    <row r="3067" spans="1:31" ht="43.5" customHeight="1">
      <c r="A3067" s="4" t="s">
        <v>8156</v>
      </c>
      <c r="B3067" s="4" t="s">
        <v>8162</v>
      </c>
      <c r="C3067" s="198" t="s">
        <v>23</v>
      </c>
      <c r="D3067" s="198" t="s">
        <v>24</v>
      </c>
      <c r="E3067" s="198" t="s">
        <v>44</v>
      </c>
      <c r="F3067" s="198" t="s">
        <v>2272</v>
      </c>
      <c r="G3067" s="4" t="s">
        <v>2657</v>
      </c>
      <c r="H3067" s="198" t="s">
        <v>521</v>
      </c>
      <c r="I3067" s="198"/>
      <c r="J3067" s="198" t="s">
        <v>2272</v>
      </c>
      <c r="K3067" s="198" t="s">
        <v>2272</v>
      </c>
      <c r="L3067" s="198" t="s">
        <v>2272</v>
      </c>
      <c r="M3067" s="198" t="s">
        <v>2272</v>
      </c>
      <c r="N3067" s="198" t="s">
        <v>2272</v>
      </c>
      <c r="O3067" s="198" t="s">
        <v>2272</v>
      </c>
      <c r="P3067" s="198" t="s">
        <v>2272</v>
      </c>
      <c r="Q3067" s="198" t="s">
        <v>2272</v>
      </c>
      <c r="R3067" s="198" t="s">
        <v>2272</v>
      </c>
      <c r="S3067" s="198" t="s">
        <v>2272</v>
      </c>
      <c r="T3067" s="198" t="s">
        <v>2272</v>
      </c>
      <c r="U3067" s="198" t="s">
        <v>2272</v>
      </c>
      <c r="V3067" s="198" t="s">
        <v>2272</v>
      </c>
      <c r="W3067" s="198" t="s">
        <v>2272</v>
      </c>
      <c r="X3067" s="198" t="s">
        <v>2272</v>
      </c>
      <c r="Y3067" s="198" t="s">
        <v>2272</v>
      </c>
      <c r="Z3067" s="198" t="s">
        <v>2272</v>
      </c>
      <c r="AA3067" s="198" t="s">
        <v>67</v>
      </c>
      <c r="AB3067" s="198" t="s">
        <v>125</v>
      </c>
      <c r="AC3067" s="198" t="s">
        <v>2272</v>
      </c>
      <c r="AD3067" s="198"/>
      <c r="AE3067" s="198"/>
    </row>
    <row r="3068" spans="1:31" ht="40" customHeight="1">
      <c r="A3068" s="4" t="s">
        <v>8156</v>
      </c>
      <c r="B3068" s="4" t="s">
        <v>8163</v>
      </c>
      <c r="C3068" s="198" t="s">
        <v>23</v>
      </c>
      <c r="D3068" s="198" t="s">
        <v>1241</v>
      </c>
      <c r="E3068" s="198" t="s">
        <v>114</v>
      </c>
      <c r="F3068" s="198" t="s">
        <v>2272</v>
      </c>
      <c r="G3068" s="4" t="s">
        <v>2657</v>
      </c>
      <c r="H3068" s="198" t="s">
        <v>521</v>
      </c>
      <c r="I3068" s="198"/>
      <c r="J3068" s="198" t="s">
        <v>2272</v>
      </c>
      <c r="K3068" s="198" t="s">
        <v>2272</v>
      </c>
      <c r="L3068" s="198" t="s">
        <v>2272</v>
      </c>
      <c r="M3068" s="198" t="s">
        <v>2272</v>
      </c>
      <c r="N3068" s="198" t="s">
        <v>2272</v>
      </c>
      <c r="O3068" s="198" t="s">
        <v>2272</v>
      </c>
      <c r="P3068" s="198" t="s">
        <v>2272</v>
      </c>
      <c r="Q3068" s="198" t="s">
        <v>2272</v>
      </c>
      <c r="R3068" s="198" t="s">
        <v>2272</v>
      </c>
      <c r="S3068" s="198" t="s">
        <v>2272</v>
      </c>
      <c r="T3068" s="198" t="s">
        <v>2272</v>
      </c>
      <c r="U3068" s="198" t="s">
        <v>2272</v>
      </c>
      <c r="V3068" s="198" t="s">
        <v>2272</v>
      </c>
      <c r="W3068" s="198" t="s">
        <v>2272</v>
      </c>
      <c r="X3068" s="198" t="s">
        <v>2272</v>
      </c>
      <c r="Y3068" s="198" t="s">
        <v>2272</v>
      </c>
      <c r="Z3068" s="198" t="s">
        <v>2272</v>
      </c>
      <c r="AA3068" s="198" t="s">
        <v>125</v>
      </c>
      <c r="AB3068" s="198" t="s">
        <v>125</v>
      </c>
      <c r="AC3068" s="198" t="s">
        <v>2272</v>
      </c>
      <c r="AD3068" s="198"/>
      <c r="AE3068" s="198"/>
    </row>
    <row r="3069" spans="1:31" ht="35.5" customHeight="1">
      <c r="A3069" s="4" t="s">
        <v>8156</v>
      </c>
      <c r="B3069" s="4" t="s">
        <v>8164</v>
      </c>
      <c r="C3069" s="198" t="s">
        <v>1102</v>
      </c>
      <c r="D3069" s="198" t="s">
        <v>1102</v>
      </c>
      <c r="E3069" s="198" t="s">
        <v>1102</v>
      </c>
      <c r="F3069" s="198" t="s">
        <v>2272</v>
      </c>
      <c r="G3069" s="4" t="s">
        <v>2657</v>
      </c>
      <c r="H3069" s="198" t="s">
        <v>521</v>
      </c>
      <c r="I3069" s="198"/>
      <c r="J3069" s="198" t="s">
        <v>2272</v>
      </c>
      <c r="K3069" s="198" t="s">
        <v>2272</v>
      </c>
      <c r="L3069" s="198" t="s">
        <v>2272</v>
      </c>
      <c r="M3069" s="198" t="s">
        <v>2272</v>
      </c>
      <c r="N3069" s="198" t="s">
        <v>2272</v>
      </c>
      <c r="O3069" s="198" t="s">
        <v>2272</v>
      </c>
      <c r="P3069" s="198" t="s">
        <v>2272</v>
      </c>
      <c r="Q3069" s="198" t="s">
        <v>2272</v>
      </c>
      <c r="R3069" s="198" t="s">
        <v>2272</v>
      </c>
      <c r="S3069" s="198" t="s">
        <v>2272</v>
      </c>
      <c r="T3069" s="198" t="s">
        <v>2272</v>
      </c>
      <c r="U3069" s="198" t="s">
        <v>2272</v>
      </c>
      <c r="V3069" s="198" t="s">
        <v>2272</v>
      </c>
      <c r="W3069" s="198" t="s">
        <v>2272</v>
      </c>
      <c r="X3069" s="198" t="s">
        <v>2272</v>
      </c>
      <c r="Y3069" s="198" t="s">
        <v>2272</v>
      </c>
      <c r="Z3069" s="198" t="s">
        <v>2272</v>
      </c>
      <c r="AA3069" s="198" t="s">
        <v>67</v>
      </c>
      <c r="AB3069" s="198" t="s">
        <v>67</v>
      </c>
      <c r="AC3069" s="198" t="s">
        <v>2272</v>
      </c>
      <c r="AD3069" s="198"/>
      <c r="AE3069" s="198"/>
    </row>
    <row r="3070" spans="1:31" ht="35.5" customHeight="1">
      <c r="A3070" s="4" t="s">
        <v>8156</v>
      </c>
      <c r="B3070" s="4" t="s">
        <v>8165</v>
      </c>
      <c r="C3070" s="198" t="s">
        <v>1102</v>
      </c>
      <c r="D3070" s="198" t="s">
        <v>1102</v>
      </c>
      <c r="E3070" s="198" t="s">
        <v>1102</v>
      </c>
      <c r="F3070" s="198" t="s">
        <v>2272</v>
      </c>
      <c r="G3070" s="4" t="s">
        <v>2657</v>
      </c>
      <c r="H3070" s="198" t="s">
        <v>521</v>
      </c>
      <c r="I3070" s="198"/>
      <c r="J3070" s="198" t="s">
        <v>2272</v>
      </c>
      <c r="K3070" s="198" t="s">
        <v>2272</v>
      </c>
      <c r="L3070" s="198" t="s">
        <v>2272</v>
      </c>
      <c r="M3070" s="198" t="s">
        <v>2272</v>
      </c>
      <c r="N3070" s="198" t="s">
        <v>2272</v>
      </c>
      <c r="O3070" s="198" t="s">
        <v>2272</v>
      </c>
      <c r="P3070" s="198" t="s">
        <v>2272</v>
      </c>
      <c r="Q3070" s="198" t="s">
        <v>2272</v>
      </c>
      <c r="R3070" s="198" t="s">
        <v>2272</v>
      </c>
      <c r="S3070" s="198" t="s">
        <v>2272</v>
      </c>
      <c r="T3070" s="198" t="s">
        <v>2272</v>
      </c>
      <c r="U3070" s="198" t="s">
        <v>2272</v>
      </c>
      <c r="V3070" s="198" t="s">
        <v>2272</v>
      </c>
      <c r="W3070" s="198" t="s">
        <v>2272</v>
      </c>
      <c r="X3070" s="198" t="s">
        <v>2272</v>
      </c>
      <c r="Y3070" s="198" t="s">
        <v>2272</v>
      </c>
      <c r="Z3070" s="198" t="s">
        <v>2272</v>
      </c>
      <c r="AA3070" s="198" t="s">
        <v>34</v>
      </c>
      <c r="AB3070" s="198" t="s">
        <v>34</v>
      </c>
      <c r="AC3070" s="198" t="s">
        <v>2272</v>
      </c>
      <c r="AD3070" s="198"/>
      <c r="AE3070" s="198"/>
    </row>
    <row r="3071" spans="1:31" ht="35.5" customHeight="1">
      <c r="A3071" s="4" t="s">
        <v>8156</v>
      </c>
      <c r="B3071" s="4" t="s">
        <v>8166</v>
      </c>
      <c r="C3071" s="198" t="s">
        <v>1102</v>
      </c>
      <c r="D3071" s="198" t="s">
        <v>1102</v>
      </c>
      <c r="E3071" s="198" t="s">
        <v>1102</v>
      </c>
      <c r="F3071" s="198" t="s">
        <v>2272</v>
      </c>
      <c r="G3071" s="4" t="s">
        <v>2657</v>
      </c>
      <c r="H3071" s="198" t="s">
        <v>521</v>
      </c>
      <c r="I3071" s="198"/>
      <c r="J3071" s="198" t="s">
        <v>2272</v>
      </c>
      <c r="K3071" s="198" t="s">
        <v>2272</v>
      </c>
      <c r="L3071" s="198" t="s">
        <v>2272</v>
      </c>
      <c r="M3071" s="198" t="s">
        <v>2272</v>
      </c>
      <c r="N3071" s="198" t="s">
        <v>2272</v>
      </c>
      <c r="O3071" s="198" t="s">
        <v>2272</v>
      </c>
      <c r="P3071" s="198" t="s">
        <v>2272</v>
      </c>
      <c r="Q3071" s="198" t="s">
        <v>2272</v>
      </c>
      <c r="R3071" s="198" t="s">
        <v>2272</v>
      </c>
      <c r="S3071" s="198" t="s">
        <v>2272</v>
      </c>
      <c r="T3071" s="198" t="s">
        <v>2272</v>
      </c>
      <c r="U3071" s="198" t="s">
        <v>2272</v>
      </c>
      <c r="V3071" s="198" t="s">
        <v>2272</v>
      </c>
      <c r="W3071" s="198" t="s">
        <v>2272</v>
      </c>
      <c r="X3071" s="198" t="s">
        <v>2272</v>
      </c>
      <c r="Y3071" s="198" t="s">
        <v>2272</v>
      </c>
      <c r="Z3071" s="198" t="s">
        <v>2272</v>
      </c>
      <c r="AA3071" s="198" t="s">
        <v>125</v>
      </c>
      <c r="AB3071" s="198" t="s">
        <v>125</v>
      </c>
      <c r="AC3071" s="198" t="s">
        <v>2272</v>
      </c>
      <c r="AD3071" s="198"/>
      <c r="AE3071" s="198"/>
    </row>
    <row r="3072" spans="1:31" ht="35.5" customHeight="1">
      <c r="A3072" s="4" t="s">
        <v>8156</v>
      </c>
      <c r="B3072" s="4" t="s">
        <v>8167</v>
      </c>
      <c r="C3072" s="198" t="s">
        <v>1102</v>
      </c>
      <c r="D3072" s="198" t="s">
        <v>1102</v>
      </c>
      <c r="E3072" s="198" t="s">
        <v>1102</v>
      </c>
      <c r="F3072" s="198" t="s">
        <v>2272</v>
      </c>
      <c r="G3072" s="4" t="s">
        <v>2657</v>
      </c>
      <c r="H3072" s="198" t="s">
        <v>521</v>
      </c>
      <c r="I3072" s="198"/>
      <c r="J3072" s="198" t="s">
        <v>2272</v>
      </c>
      <c r="K3072" s="198" t="s">
        <v>2272</v>
      </c>
      <c r="L3072" s="198" t="s">
        <v>2272</v>
      </c>
      <c r="M3072" s="198" t="s">
        <v>2272</v>
      </c>
      <c r="N3072" s="198" t="s">
        <v>2272</v>
      </c>
      <c r="O3072" s="198" t="s">
        <v>2272</v>
      </c>
      <c r="P3072" s="198" t="s">
        <v>2272</v>
      </c>
      <c r="Q3072" s="198" t="s">
        <v>2272</v>
      </c>
      <c r="R3072" s="198" t="s">
        <v>2272</v>
      </c>
      <c r="S3072" s="198" t="s">
        <v>2272</v>
      </c>
      <c r="T3072" s="198" t="s">
        <v>2272</v>
      </c>
      <c r="U3072" s="198" t="s">
        <v>2272</v>
      </c>
      <c r="V3072" s="198" t="s">
        <v>2272</v>
      </c>
      <c r="W3072" s="198" t="s">
        <v>2272</v>
      </c>
      <c r="X3072" s="198" t="s">
        <v>2272</v>
      </c>
      <c r="Y3072" s="198" t="s">
        <v>2272</v>
      </c>
      <c r="Z3072" s="198" t="s">
        <v>2272</v>
      </c>
      <c r="AA3072" s="198" t="s">
        <v>397</v>
      </c>
      <c r="AB3072" s="198" t="s">
        <v>397</v>
      </c>
      <c r="AC3072" s="198" t="s">
        <v>2272</v>
      </c>
      <c r="AD3072" s="198"/>
      <c r="AE3072" s="198"/>
    </row>
    <row r="3073" spans="1:31" ht="35.5" customHeight="1">
      <c r="A3073" s="4" t="s">
        <v>8156</v>
      </c>
      <c r="B3073" s="4" t="s">
        <v>8168</v>
      </c>
      <c r="C3073" s="198" t="s">
        <v>1102</v>
      </c>
      <c r="D3073" s="198" t="s">
        <v>1102</v>
      </c>
      <c r="E3073" s="198" t="s">
        <v>1102</v>
      </c>
      <c r="F3073" s="198" t="s">
        <v>2272</v>
      </c>
      <c r="G3073" s="4" t="s">
        <v>2657</v>
      </c>
      <c r="H3073" s="198" t="s">
        <v>521</v>
      </c>
      <c r="I3073" s="198"/>
      <c r="J3073" s="198" t="s">
        <v>2272</v>
      </c>
      <c r="K3073" s="198" t="s">
        <v>2272</v>
      </c>
      <c r="L3073" s="198" t="s">
        <v>2272</v>
      </c>
      <c r="M3073" s="198" t="s">
        <v>2272</v>
      </c>
      <c r="N3073" s="198" t="s">
        <v>2272</v>
      </c>
      <c r="O3073" s="198" t="s">
        <v>2272</v>
      </c>
      <c r="P3073" s="198" t="s">
        <v>2272</v>
      </c>
      <c r="Q3073" s="198" t="s">
        <v>2272</v>
      </c>
      <c r="R3073" s="198" t="s">
        <v>2272</v>
      </c>
      <c r="S3073" s="198" t="s">
        <v>2272</v>
      </c>
      <c r="T3073" s="198" t="s">
        <v>2272</v>
      </c>
      <c r="U3073" s="198" t="s">
        <v>2272</v>
      </c>
      <c r="V3073" s="198" t="s">
        <v>2272</v>
      </c>
      <c r="W3073" s="198" t="s">
        <v>2272</v>
      </c>
      <c r="X3073" s="198" t="s">
        <v>2272</v>
      </c>
      <c r="Y3073" s="198" t="s">
        <v>2272</v>
      </c>
      <c r="Z3073" s="198" t="s">
        <v>2272</v>
      </c>
      <c r="AA3073" s="198" t="s">
        <v>186</v>
      </c>
      <c r="AB3073" s="198" t="s">
        <v>186</v>
      </c>
      <c r="AC3073" s="198" t="s">
        <v>2272</v>
      </c>
      <c r="AD3073" s="198"/>
      <c r="AE3073" s="198"/>
    </row>
    <row r="3074" spans="1:31" ht="35.5" customHeight="1">
      <c r="A3074" s="4" t="s">
        <v>8156</v>
      </c>
      <c r="B3074" s="4" t="s">
        <v>8169</v>
      </c>
      <c r="C3074" s="198" t="s">
        <v>1102</v>
      </c>
      <c r="D3074" s="198" t="s">
        <v>1102</v>
      </c>
      <c r="E3074" s="198" t="s">
        <v>1102</v>
      </c>
      <c r="F3074" s="198" t="s">
        <v>2272</v>
      </c>
      <c r="G3074" s="4" t="s">
        <v>2657</v>
      </c>
      <c r="H3074" s="198" t="s">
        <v>521</v>
      </c>
      <c r="I3074" s="198"/>
      <c r="J3074" s="198" t="s">
        <v>2272</v>
      </c>
      <c r="K3074" s="198" t="s">
        <v>2272</v>
      </c>
      <c r="L3074" s="198" t="s">
        <v>2272</v>
      </c>
      <c r="M3074" s="198" t="s">
        <v>2272</v>
      </c>
      <c r="N3074" s="198" t="s">
        <v>2272</v>
      </c>
      <c r="O3074" s="198" t="s">
        <v>2272</v>
      </c>
      <c r="P3074" s="198" t="s">
        <v>2272</v>
      </c>
      <c r="Q3074" s="198" t="s">
        <v>2272</v>
      </c>
      <c r="R3074" s="198" t="s">
        <v>2272</v>
      </c>
      <c r="S3074" s="198" t="s">
        <v>2272</v>
      </c>
      <c r="T3074" s="198" t="s">
        <v>2272</v>
      </c>
      <c r="U3074" s="198" t="s">
        <v>2272</v>
      </c>
      <c r="V3074" s="198" t="s">
        <v>2272</v>
      </c>
      <c r="W3074" s="198" t="s">
        <v>2272</v>
      </c>
      <c r="X3074" s="198" t="s">
        <v>2272</v>
      </c>
      <c r="Y3074" s="198" t="s">
        <v>2272</v>
      </c>
      <c r="Z3074" s="198" t="s">
        <v>2272</v>
      </c>
      <c r="AA3074" s="198" t="s">
        <v>187</v>
      </c>
      <c r="AB3074" s="198" t="s">
        <v>187</v>
      </c>
      <c r="AC3074" s="198" t="s">
        <v>2272</v>
      </c>
      <c r="AD3074" s="198"/>
      <c r="AE3074" s="198"/>
    </row>
    <row r="3075" spans="1:31" ht="41" customHeight="1">
      <c r="A3075" s="4" t="s">
        <v>8157</v>
      </c>
      <c r="B3075" s="4" t="s">
        <v>8170</v>
      </c>
      <c r="C3075" s="198" t="s">
        <v>1102</v>
      </c>
      <c r="D3075" s="198" t="s">
        <v>1102</v>
      </c>
      <c r="E3075" s="198" t="s">
        <v>1102</v>
      </c>
      <c r="F3075" s="198" t="s">
        <v>2272</v>
      </c>
      <c r="G3075" s="4" t="s">
        <v>2657</v>
      </c>
      <c r="H3075" s="198" t="s">
        <v>521</v>
      </c>
      <c r="I3075" s="198"/>
      <c r="J3075" s="198" t="s">
        <v>2272</v>
      </c>
      <c r="K3075" s="198" t="s">
        <v>2272</v>
      </c>
      <c r="L3075" s="198" t="s">
        <v>2272</v>
      </c>
      <c r="M3075" s="198" t="s">
        <v>2272</v>
      </c>
      <c r="N3075" s="198" t="s">
        <v>2272</v>
      </c>
      <c r="O3075" s="198" t="s">
        <v>2272</v>
      </c>
      <c r="P3075" s="198" t="s">
        <v>2272</v>
      </c>
      <c r="Q3075" s="198" t="s">
        <v>2272</v>
      </c>
      <c r="R3075" s="198" t="s">
        <v>2272</v>
      </c>
      <c r="S3075" s="198" t="s">
        <v>2272</v>
      </c>
      <c r="T3075" s="198" t="s">
        <v>2272</v>
      </c>
      <c r="U3075" s="198" t="s">
        <v>2272</v>
      </c>
      <c r="V3075" s="198" t="s">
        <v>2272</v>
      </c>
      <c r="W3075" s="198" t="s">
        <v>2272</v>
      </c>
      <c r="X3075" s="198" t="s">
        <v>2272</v>
      </c>
      <c r="Y3075" s="198" t="s">
        <v>2272</v>
      </c>
      <c r="Z3075" s="198" t="s">
        <v>2272</v>
      </c>
      <c r="AA3075" s="198" t="s">
        <v>67</v>
      </c>
      <c r="AB3075" s="198" t="s">
        <v>67</v>
      </c>
      <c r="AC3075" s="198" t="s">
        <v>2272</v>
      </c>
      <c r="AD3075" s="198"/>
      <c r="AE3075" s="198"/>
    </row>
    <row r="3076" spans="1:31" ht="41" customHeight="1">
      <c r="A3076" s="4" t="s">
        <v>8157</v>
      </c>
      <c r="B3076" s="4" t="s">
        <v>8171</v>
      </c>
      <c r="C3076" s="198" t="s">
        <v>1102</v>
      </c>
      <c r="D3076" s="198" t="s">
        <v>1102</v>
      </c>
      <c r="E3076" s="198" t="s">
        <v>1102</v>
      </c>
      <c r="F3076" s="198" t="s">
        <v>2272</v>
      </c>
      <c r="G3076" s="4" t="s">
        <v>2657</v>
      </c>
      <c r="H3076" s="198" t="s">
        <v>521</v>
      </c>
      <c r="I3076" s="198"/>
      <c r="J3076" s="198" t="s">
        <v>2272</v>
      </c>
      <c r="K3076" s="198" t="s">
        <v>2272</v>
      </c>
      <c r="L3076" s="198" t="s">
        <v>2272</v>
      </c>
      <c r="M3076" s="198" t="s">
        <v>2272</v>
      </c>
      <c r="N3076" s="198" t="s">
        <v>2272</v>
      </c>
      <c r="O3076" s="198" t="s">
        <v>2272</v>
      </c>
      <c r="P3076" s="198" t="s">
        <v>2272</v>
      </c>
      <c r="Q3076" s="198" t="s">
        <v>2272</v>
      </c>
      <c r="R3076" s="198" t="s">
        <v>2272</v>
      </c>
      <c r="S3076" s="198" t="s">
        <v>2272</v>
      </c>
      <c r="T3076" s="198" t="s">
        <v>2272</v>
      </c>
      <c r="U3076" s="198" t="s">
        <v>2272</v>
      </c>
      <c r="V3076" s="198" t="s">
        <v>2272</v>
      </c>
      <c r="W3076" s="198" t="s">
        <v>2272</v>
      </c>
      <c r="X3076" s="198" t="s">
        <v>2272</v>
      </c>
      <c r="Y3076" s="198" t="s">
        <v>2272</v>
      </c>
      <c r="Z3076" s="198" t="s">
        <v>2272</v>
      </c>
      <c r="AA3076" s="198" t="s">
        <v>34</v>
      </c>
      <c r="AB3076" s="198" t="s">
        <v>34</v>
      </c>
      <c r="AC3076" s="198" t="s">
        <v>2272</v>
      </c>
      <c r="AD3076" s="198"/>
      <c r="AE3076" s="198"/>
    </row>
    <row r="3077" spans="1:31" ht="41" customHeight="1">
      <c r="A3077" s="4" t="s">
        <v>8157</v>
      </c>
      <c r="B3077" s="4" t="s">
        <v>8172</v>
      </c>
      <c r="C3077" s="198" t="s">
        <v>1102</v>
      </c>
      <c r="D3077" s="198" t="s">
        <v>1102</v>
      </c>
      <c r="E3077" s="198" t="s">
        <v>1102</v>
      </c>
      <c r="F3077" s="198" t="s">
        <v>2272</v>
      </c>
      <c r="G3077" s="4" t="s">
        <v>2657</v>
      </c>
      <c r="H3077" s="198" t="s">
        <v>521</v>
      </c>
      <c r="I3077" s="198"/>
      <c r="J3077" s="198" t="s">
        <v>2272</v>
      </c>
      <c r="K3077" s="198" t="s">
        <v>2272</v>
      </c>
      <c r="L3077" s="198" t="s">
        <v>2272</v>
      </c>
      <c r="M3077" s="198" t="s">
        <v>2272</v>
      </c>
      <c r="N3077" s="198" t="s">
        <v>2272</v>
      </c>
      <c r="O3077" s="198" t="s">
        <v>2272</v>
      </c>
      <c r="P3077" s="198" t="s">
        <v>2272</v>
      </c>
      <c r="Q3077" s="198" t="s">
        <v>2272</v>
      </c>
      <c r="R3077" s="198" t="s">
        <v>2272</v>
      </c>
      <c r="S3077" s="198" t="s">
        <v>2272</v>
      </c>
      <c r="T3077" s="198" t="s">
        <v>2272</v>
      </c>
      <c r="U3077" s="198" t="s">
        <v>2272</v>
      </c>
      <c r="V3077" s="198" t="s">
        <v>2272</v>
      </c>
      <c r="W3077" s="198" t="s">
        <v>2272</v>
      </c>
      <c r="X3077" s="198" t="s">
        <v>2272</v>
      </c>
      <c r="Y3077" s="198" t="s">
        <v>2272</v>
      </c>
      <c r="Z3077" s="198" t="s">
        <v>2272</v>
      </c>
      <c r="AA3077" s="198" t="s">
        <v>125</v>
      </c>
      <c r="AB3077" s="198" t="s">
        <v>125</v>
      </c>
      <c r="AC3077" s="198" t="s">
        <v>2272</v>
      </c>
      <c r="AD3077" s="198"/>
      <c r="AE3077" s="198"/>
    </row>
    <row r="3078" spans="1:31" ht="41" customHeight="1">
      <c r="A3078" s="4" t="s">
        <v>8157</v>
      </c>
      <c r="B3078" s="4" t="s">
        <v>8173</v>
      </c>
      <c r="C3078" s="198" t="s">
        <v>1102</v>
      </c>
      <c r="D3078" s="198" t="s">
        <v>1102</v>
      </c>
      <c r="E3078" s="198" t="s">
        <v>1102</v>
      </c>
      <c r="F3078" s="198" t="s">
        <v>2272</v>
      </c>
      <c r="G3078" s="4" t="s">
        <v>2657</v>
      </c>
      <c r="H3078" s="198" t="s">
        <v>521</v>
      </c>
      <c r="I3078" s="198"/>
      <c r="J3078" s="198" t="s">
        <v>2272</v>
      </c>
      <c r="K3078" s="198" t="s">
        <v>2272</v>
      </c>
      <c r="L3078" s="198" t="s">
        <v>2272</v>
      </c>
      <c r="M3078" s="198" t="s">
        <v>2272</v>
      </c>
      <c r="N3078" s="198" t="s">
        <v>2272</v>
      </c>
      <c r="O3078" s="198" t="s">
        <v>2272</v>
      </c>
      <c r="P3078" s="198" t="s">
        <v>2272</v>
      </c>
      <c r="Q3078" s="198" t="s">
        <v>2272</v>
      </c>
      <c r="R3078" s="198" t="s">
        <v>2272</v>
      </c>
      <c r="S3078" s="198" t="s">
        <v>2272</v>
      </c>
      <c r="T3078" s="198" t="s">
        <v>2272</v>
      </c>
      <c r="U3078" s="198" t="s">
        <v>2272</v>
      </c>
      <c r="V3078" s="198" t="s">
        <v>2272</v>
      </c>
      <c r="W3078" s="198" t="s">
        <v>2272</v>
      </c>
      <c r="X3078" s="198" t="s">
        <v>2272</v>
      </c>
      <c r="Y3078" s="198" t="s">
        <v>2272</v>
      </c>
      <c r="Z3078" s="198" t="s">
        <v>2272</v>
      </c>
      <c r="AA3078" s="198" t="s">
        <v>397</v>
      </c>
      <c r="AB3078" s="198" t="s">
        <v>397</v>
      </c>
      <c r="AC3078" s="198" t="s">
        <v>2272</v>
      </c>
      <c r="AD3078" s="198"/>
      <c r="AE3078" s="198"/>
    </row>
    <row r="3079" spans="1:31" ht="41" customHeight="1">
      <c r="A3079" s="4" t="s">
        <v>8157</v>
      </c>
      <c r="B3079" s="4" t="s">
        <v>8174</v>
      </c>
      <c r="C3079" s="198" t="s">
        <v>1102</v>
      </c>
      <c r="D3079" s="198" t="s">
        <v>1102</v>
      </c>
      <c r="E3079" s="198" t="s">
        <v>1102</v>
      </c>
      <c r="F3079" s="198" t="s">
        <v>2272</v>
      </c>
      <c r="G3079" s="4" t="s">
        <v>2657</v>
      </c>
      <c r="H3079" s="198" t="s">
        <v>521</v>
      </c>
      <c r="I3079" s="198"/>
      <c r="J3079" s="198" t="s">
        <v>2272</v>
      </c>
      <c r="K3079" s="198" t="s">
        <v>2272</v>
      </c>
      <c r="L3079" s="198" t="s">
        <v>2272</v>
      </c>
      <c r="M3079" s="198" t="s">
        <v>2272</v>
      </c>
      <c r="N3079" s="198" t="s">
        <v>2272</v>
      </c>
      <c r="O3079" s="198" t="s">
        <v>2272</v>
      </c>
      <c r="P3079" s="198" t="s">
        <v>2272</v>
      </c>
      <c r="Q3079" s="198" t="s">
        <v>2272</v>
      </c>
      <c r="R3079" s="198" t="s">
        <v>2272</v>
      </c>
      <c r="S3079" s="198" t="s">
        <v>2272</v>
      </c>
      <c r="T3079" s="198" t="s">
        <v>2272</v>
      </c>
      <c r="U3079" s="198" t="s">
        <v>2272</v>
      </c>
      <c r="V3079" s="198" t="s">
        <v>2272</v>
      </c>
      <c r="W3079" s="198" t="s">
        <v>2272</v>
      </c>
      <c r="X3079" s="198" t="s">
        <v>2272</v>
      </c>
      <c r="Y3079" s="198" t="s">
        <v>2272</v>
      </c>
      <c r="Z3079" s="198" t="s">
        <v>2272</v>
      </c>
      <c r="AA3079" s="198" t="s">
        <v>186</v>
      </c>
      <c r="AB3079" s="198" t="s">
        <v>186</v>
      </c>
      <c r="AC3079" s="198" t="s">
        <v>2272</v>
      </c>
      <c r="AD3079" s="198"/>
      <c r="AE3079" s="198"/>
    </row>
    <row r="3080" spans="1:31" ht="41" customHeight="1">
      <c r="A3080" s="4" t="s">
        <v>8157</v>
      </c>
      <c r="B3080" s="4" t="s">
        <v>8175</v>
      </c>
      <c r="C3080" s="198" t="s">
        <v>1102</v>
      </c>
      <c r="D3080" s="198" t="s">
        <v>1102</v>
      </c>
      <c r="E3080" s="198" t="s">
        <v>1102</v>
      </c>
      <c r="F3080" s="198" t="s">
        <v>2272</v>
      </c>
      <c r="G3080" s="4" t="s">
        <v>2657</v>
      </c>
      <c r="H3080" s="198" t="s">
        <v>521</v>
      </c>
      <c r="I3080" s="198"/>
      <c r="J3080" s="198" t="s">
        <v>2272</v>
      </c>
      <c r="K3080" s="198" t="s">
        <v>2272</v>
      </c>
      <c r="L3080" s="198" t="s">
        <v>2272</v>
      </c>
      <c r="M3080" s="198" t="s">
        <v>2272</v>
      </c>
      <c r="N3080" s="198" t="s">
        <v>2272</v>
      </c>
      <c r="O3080" s="198" t="s">
        <v>2272</v>
      </c>
      <c r="P3080" s="198" t="s">
        <v>2272</v>
      </c>
      <c r="Q3080" s="198" t="s">
        <v>2272</v>
      </c>
      <c r="R3080" s="198" t="s">
        <v>2272</v>
      </c>
      <c r="S3080" s="198" t="s">
        <v>2272</v>
      </c>
      <c r="T3080" s="198" t="s">
        <v>2272</v>
      </c>
      <c r="U3080" s="198" t="s">
        <v>2272</v>
      </c>
      <c r="V3080" s="198" t="s">
        <v>2272</v>
      </c>
      <c r="W3080" s="198" t="s">
        <v>2272</v>
      </c>
      <c r="X3080" s="198" t="s">
        <v>2272</v>
      </c>
      <c r="Y3080" s="198" t="s">
        <v>2272</v>
      </c>
      <c r="Z3080" s="198" t="s">
        <v>2272</v>
      </c>
      <c r="AA3080" s="198" t="s">
        <v>187</v>
      </c>
      <c r="AB3080" s="198" t="s">
        <v>187</v>
      </c>
      <c r="AC3080" s="198" t="s">
        <v>2272</v>
      </c>
      <c r="AD3080" s="198"/>
      <c r="AE3080" s="198"/>
    </row>
    <row r="3081" spans="1:31" ht="36.5" customHeight="1">
      <c r="A3081" s="4" t="s">
        <v>8157</v>
      </c>
      <c r="B3081" s="4" t="s">
        <v>8176</v>
      </c>
      <c r="C3081" s="198" t="s">
        <v>23</v>
      </c>
      <c r="D3081" s="198" t="s">
        <v>1238</v>
      </c>
      <c r="E3081" s="198" t="s">
        <v>114</v>
      </c>
      <c r="F3081" s="4" t="s">
        <v>2657</v>
      </c>
      <c r="G3081" s="4" t="s">
        <v>2657</v>
      </c>
      <c r="H3081" s="198" t="s">
        <v>522</v>
      </c>
      <c r="I3081" s="198"/>
      <c r="J3081" s="21">
        <v>0</v>
      </c>
      <c r="K3081" s="21">
        <v>0</v>
      </c>
      <c r="L3081" s="21">
        <v>0</v>
      </c>
      <c r="M3081" s="21">
        <v>0</v>
      </c>
      <c r="N3081" s="21">
        <v>0</v>
      </c>
      <c r="O3081" s="21">
        <v>0</v>
      </c>
      <c r="P3081" s="21">
        <v>0</v>
      </c>
      <c r="Q3081" s="21">
        <v>0</v>
      </c>
      <c r="R3081" s="21">
        <v>0</v>
      </c>
      <c r="S3081" s="21">
        <v>0</v>
      </c>
      <c r="T3081" s="21">
        <v>0</v>
      </c>
      <c r="U3081" s="21">
        <v>0</v>
      </c>
      <c r="V3081" s="21">
        <v>0</v>
      </c>
      <c r="W3081" s="21">
        <v>0</v>
      </c>
      <c r="X3081" s="21">
        <v>0</v>
      </c>
      <c r="Y3081" s="21">
        <v>0</v>
      </c>
      <c r="Z3081" s="198" t="s">
        <v>2272</v>
      </c>
      <c r="AA3081" s="198" t="s">
        <v>67</v>
      </c>
      <c r="AB3081" s="198" t="s">
        <v>125</v>
      </c>
      <c r="AC3081" s="198" t="s">
        <v>2650</v>
      </c>
      <c r="AD3081" s="198"/>
      <c r="AE3081" s="198"/>
    </row>
    <row r="3082" spans="1:31" ht="36.5" customHeight="1">
      <c r="A3082" s="4" t="s">
        <v>8180</v>
      </c>
      <c r="B3082" s="4" t="s">
        <v>8183</v>
      </c>
      <c r="C3082" s="198" t="s">
        <v>2653</v>
      </c>
      <c r="D3082" s="198" t="s">
        <v>2272</v>
      </c>
      <c r="E3082" s="198" t="s">
        <v>2272</v>
      </c>
      <c r="F3082" s="4" t="s">
        <v>2272</v>
      </c>
      <c r="G3082" s="4" t="s">
        <v>2657</v>
      </c>
      <c r="H3082" s="198" t="s">
        <v>521</v>
      </c>
      <c r="I3082" s="198"/>
      <c r="J3082" s="198" t="s">
        <v>2272</v>
      </c>
      <c r="K3082" s="198" t="s">
        <v>2272</v>
      </c>
      <c r="L3082" s="198" t="s">
        <v>2272</v>
      </c>
      <c r="M3082" s="198" t="s">
        <v>2272</v>
      </c>
      <c r="N3082" s="198" t="s">
        <v>2272</v>
      </c>
      <c r="O3082" s="21">
        <v>25728.41</v>
      </c>
      <c r="P3082" s="198" t="s">
        <v>2272</v>
      </c>
      <c r="Q3082" s="21">
        <f>AVERAGE(25728.41, 18917.21)</f>
        <v>22322.809999999998</v>
      </c>
      <c r="R3082" s="198" t="s">
        <v>2272</v>
      </c>
      <c r="S3082" s="198" t="s">
        <v>2272</v>
      </c>
      <c r="T3082" s="198" t="s">
        <v>2272</v>
      </c>
      <c r="U3082" s="198">
        <v>22322.809999999998</v>
      </c>
      <c r="V3082" s="198" t="s">
        <v>2272</v>
      </c>
      <c r="W3082" s="198" t="s">
        <v>2272</v>
      </c>
      <c r="X3082" s="198" t="s">
        <v>2272</v>
      </c>
      <c r="Y3082" s="21">
        <f>13.4876132930514</f>
        <v>13.4876132930514</v>
      </c>
      <c r="Z3082" s="21">
        <v>12</v>
      </c>
      <c r="AA3082" s="198" t="s">
        <v>2272</v>
      </c>
      <c r="AB3082" s="198" t="s">
        <v>2272</v>
      </c>
      <c r="AC3082" s="198" t="s">
        <v>2272</v>
      </c>
      <c r="AD3082" s="4" t="s">
        <v>8185</v>
      </c>
      <c r="AE3082" s="198"/>
    </row>
    <row r="3083" spans="1:31" ht="33.5" customHeight="1">
      <c r="A3083" s="4" t="s">
        <v>8180</v>
      </c>
      <c r="B3083" s="4" t="s">
        <v>8184</v>
      </c>
      <c r="C3083" s="198" t="s">
        <v>23</v>
      </c>
      <c r="D3083" s="198" t="s">
        <v>1238</v>
      </c>
      <c r="E3083" s="198" t="s">
        <v>135</v>
      </c>
      <c r="F3083" s="4" t="s">
        <v>2657</v>
      </c>
      <c r="G3083" s="4" t="s">
        <v>2657</v>
      </c>
      <c r="H3083" s="198" t="s">
        <v>521</v>
      </c>
      <c r="I3083" s="198"/>
      <c r="J3083" s="198" t="s">
        <v>2272</v>
      </c>
      <c r="K3083" s="198" t="s">
        <v>2272</v>
      </c>
      <c r="L3083" s="198" t="s">
        <v>2272</v>
      </c>
      <c r="M3083" s="198" t="s">
        <v>2272</v>
      </c>
      <c r="N3083" s="198" t="s">
        <v>2272</v>
      </c>
      <c r="O3083" s="198" t="s">
        <v>2272</v>
      </c>
      <c r="P3083" s="198" t="s">
        <v>2272</v>
      </c>
      <c r="Q3083" s="198" t="s">
        <v>2272</v>
      </c>
      <c r="R3083" s="198" t="s">
        <v>2272</v>
      </c>
      <c r="S3083" s="198" t="s">
        <v>2272</v>
      </c>
      <c r="T3083" s="198" t="s">
        <v>2272</v>
      </c>
      <c r="U3083" s="198" t="s">
        <v>2272</v>
      </c>
      <c r="V3083" s="198" t="s">
        <v>2272</v>
      </c>
      <c r="W3083" s="198" t="s">
        <v>2272</v>
      </c>
      <c r="X3083" s="198" t="s">
        <v>2272</v>
      </c>
      <c r="Y3083" s="198" t="s">
        <v>2272</v>
      </c>
      <c r="Z3083" s="198" t="s">
        <v>2272</v>
      </c>
      <c r="AA3083" s="198" t="s">
        <v>37</v>
      </c>
      <c r="AB3083" s="198" t="s">
        <v>84</v>
      </c>
      <c r="AC3083" s="198" t="s">
        <v>63</v>
      </c>
      <c r="AD3083" s="198" t="s">
        <v>8188</v>
      </c>
      <c r="AE3083" s="4" t="s">
        <v>8186</v>
      </c>
    </row>
    <row r="3084" spans="1:31" ht="38" customHeight="1">
      <c r="A3084" s="4" t="s">
        <v>8191</v>
      </c>
      <c r="B3084" s="4" t="s">
        <v>8210</v>
      </c>
      <c r="C3084" s="198" t="s">
        <v>23</v>
      </c>
      <c r="D3084" s="198" t="s">
        <v>142</v>
      </c>
      <c r="E3084" s="198" t="s">
        <v>135</v>
      </c>
      <c r="F3084" s="198" t="s">
        <v>73</v>
      </c>
      <c r="G3084" s="4" t="s">
        <v>2272</v>
      </c>
      <c r="H3084" s="198" t="s">
        <v>522</v>
      </c>
      <c r="I3084" s="198"/>
      <c r="J3084" s="21">
        <v>0</v>
      </c>
      <c r="K3084" s="21">
        <v>0</v>
      </c>
      <c r="L3084" s="21">
        <v>0</v>
      </c>
      <c r="M3084" s="21">
        <v>0</v>
      </c>
      <c r="N3084" s="21">
        <v>0</v>
      </c>
      <c r="O3084" s="21">
        <v>0</v>
      </c>
      <c r="P3084" s="21">
        <v>0</v>
      </c>
      <c r="Q3084" s="21">
        <v>0</v>
      </c>
      <c r="R3084" s="21">
        <v>0</v>
      </c>
      <c r="S3084" s="21">
        <v>0</v>
      </c>
      <c r="T3084" s="21">
        <v>0</v>
      </c>
      <c r="U3084" s="21">
        <v>0</v>
      </c>
      <c r="V3084" s="21">
        <v>0</v>
      </c>
      <c r="W3084" s="21">
        <v>0</v>
      </c>
      <c r="X3084" s="21">
        <v>0</v>
      </c>
      <c r="Y3084" s="21">
        <v>0</v>
      </c>
      <c r="Z3084" s="198" t="s">
        <v>2272</v>
      </c>
      <c r="AA3084" s="198" t="s">
        <v>2272</v>
      </c>
      <c r="AB3084" s="198" t="s">
        <v>2272</v>
      </c>
      <c r="AC3084" s="198" t="s">
        <v>2272</v>
      </c>
      <c r="AD3084" s="4" t="s">
        <v>8217</v>
      </c>
      <c r="AE3084" s="198"/>
    </row>
    <row r="3085" spans="1:31" ht="38" customHeight="1">
      <c r="A3085" s="4" t="s">
        <v>8197</v>
      </c>
      <c r="B3085" s="4" t="s">
        <v>8211</v>
      </c>
      <c r="C3085" s="198" t="s">
        <v>23</v>
      </c>
      <c r="D3085" s="198" t="s">
        <v>142</v>
      </c>
      <c r="E3085" s="198" t="s">
        <v>135</v>
      </c>
      <c r="F3085" s="198" t="s">
        <v>73</v>
      </c>
      <c r="G3085" s="4" t="s">
        <v>2272</v>
      </c>
      <c r="H3085" s="198" t="s">
        <v>522</v>
      </c>
      <c r="I3085" s="198"/>
      <c r="J3085" s="21">
        <v>0</v>
      </c>
      <c r="K3085" s="21">
        <v>0</v>
      </c>
      <c r="L3085" s="21">
        <v>0</v>
      </c>
      <c r="M3085" s="21">
        <v>0</v>
      </c>
      <c r="N3085" s="21">
        <v>0</v>
      </c>
      <c r="O3085" s="21">
        <v>0</v>
      </c>
      <c r="P3085" s="21">
        <v>0</v>
      </c>
      <c r="Q3085" s="21">
        <v>0</v>
      </c>
      <c r="R3085" s="21">
        <v>0</v>
      </c>
      <c r="S3085" s="21">
        <v>0</v>
      </c>
      <c r="T3085" s="21">
        <v>0</v>
      </c>
      <c r="U3085" s="21">
        <v>0</v>
      </c>
      <c r="V3085" s="21">
        <v>0</v>
      </c>
      <c r="W3085" s="21">
        <v>0</v>
      </c>
      <c r="X3085" s="21">
        <v>0</v>
      </c>
      <c r="Y3085" s="21">
        <v>0</v>
      </c>
      <c r="Z3085" s="198" t="s">
        <v>2272</v>
      </c>
      <c r="AA3085" s="198" t="s">
        <v>2272</v>
      </c>
      <c r="AB3085" s="198" t="s">
        <v>2272</v>
      </c>
      <c r="AC3085" s="198" t="s">
        <v>2272</v>
      </c>
      <c r="AD3085" s="4" t="s">
        <v>8217</v>
      </c>
      <c r="AE3085" s="198"/>
    </row>
    <row r="3086" spans="1:31" ht="38" customHeight="1">
      <c r="A3086" s="4" t="s">
        <v>8198</v>
      </c>
      <c r="B3086" s="4" t="s">
        <v>8212</v>
      </c>
      <c r="C3086" s="198" t="s">
        <v>23</v>
      </c>
      <c r="D3086" s="198" t="s">
        <v>142</v>
      </c>
      <c r="E3086" s="198" t="s">
        <v>135</v>
      </c>
      <c r="F3086" s="198" t="s">
        <v>73</v>
      </c>
      <c r="G3086" s="4" t="s">
        <v>2272</v>
      </c>
      <c r="H3086" s="198" t="s">
        <v>522</v>
      </c>
      <c r="I3086" s="198"/>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198" t="s">
        <v>2272</v>
      </c>
      <c r="AA3086" s="198" t="s">
        <v>2272</v>
      </c>
      <c r="AB3086" s="198" t="s">
        <v>2272</v>
      </c>
      <c r="AC3086" s="198" t="s">
        <v>2272</v>
      </c>
      <c r="AD3086" s="4" t="s">
        <v>8217</v>
      </c>
      <c r="AE3086" s="198"/>
    </row>
    <row r="3087" spans="1:31" ht="38" customHeight="1">
      <c r="A3087" s="4" t="s">
        <v>8199</v>
      </c>
      <c r="B3087" s="4" t="s">
        <v>8213</v>
      </c>
      <c r="C3087" s="198" t="s">
        <v>23</v>
      </c>
      <c r="D3087" s="198" t="s">
        <v>142</v>
      </c>
      <c r="E3087" s="198" t="s">
        <v>135</v>
      </c>
      <c r="F3087" s="198" t="s">
        <v>73</v>
      </c>
      <c r="G3087" s="4" t="s">
        <v>2272</v>
      </c>
      <c r="H3087" s="198" t="s">
        <v>522</v>
      </c>
      <c r="I3087" s="198"/>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198" t="s">
        <v>2272</v>
      </c>
      <c r="AA3087" s="198" t="s">
        <v>2272</v>
      </c>
      <c r="AB3087" s="198" t="s">
        <v>2272</v>
      </c>
      <c r="AC3087" s="198" t="s">
        <v>2272</v>
      </c>
      <c r="AD3087" s="4" t="s">
        <v>8217</v>
      </c>
      <c r="AE3087" s="198"/>
    </row>
    <row r="3088" spans="1:31" ht="38" customHeight="1">
      <c r="A3088" s="4" t="s">
        <v>8206</v>
      </c>
      <c r="B3088" s="4" t="s">
        <v>8214</v>
      </c>
      <c r="C3088" s="198" t="s">
        <v>23</v>
      </c>
      <c r="D3088" s="198" t="s">
        <v>142</v>
      </c>
      <c r="E3088" s="198" t="s">
        <v>135</v>
      </c>
      <c r="F3088" s="198" t="s">
        <v>73</v>
      </c>
      <c r="G3088" s="4" t="s">
        <v>2272</v>
      </c>
      <c r="H3088" s="198" t="s">
        <v>522</v>
      </c>
      <c r="I3088" s="198"/>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1">
        <v>0</v>
      </c>
      <c r="Z3088" s="198" t="s">
        <v>2272</v>
      </c>
      <c r="AA3088" s="198" t="s">
        <v>2272</v>
      </c>
      <c r="AB3088" s="198" t="s">
        <v>2272</v>
      </c>
      <c r="AC3088" s="198" t="s">
        <v>2272</v>
      </c>
      <c r="AD3088" s="4" t="s">
        <v>8217</v>
      </c>
      <c r="AE3088" s="198"/>
    </row>
    <row r="3089" spans="1:31" ht="38" customHeight="1">
      <c r="A3089" s="4" t="s">
        <v>8207</v>
      </c>
      <c r="B3089" s="4" t="s">
        <v>8215</v>
      </c>
      <c r="C3089" s="198" t="s">
        <v>23</v>
      </c>
      <c r="D3089" s="198" t="s">
        <v>142</v>
      </c>
      <c r="E3089" s="198" t="s">
        <v>135</v>
      </c>
      <c r="F3089" s="198" t="s">
        <v>73</v>
      </c>
      <c r="G3089" s="4" t="s">
        <v>2272</v>
      </c>
      <c r="H3089" s="198" t="s">
        <v>522</v>
      </c>
      <c r="I3089" s="198"/>
      <c r="J3089" s="21">
        <v>0</v>
      </c>
      <c r="K3089" s="21">
        <v>0</v>
      </c>
      <c r="L3089" s="21">
        <v>0</v>
      </c>
      <c r="M3089" s="21">
        <v>0</v>
      </c>
      <c r="N3089" s="21">
        <v>0</v>
      </c>
      <c r="O3089" s="21">
        <v>0</v>
      </c>
      <c r="P3089" s="21">
        <v>0</v>
      </c>
      <c r="Q3089" s="21">
        <v>0</v>
      </c>
      <c r="R3089" s="21">
        <v>0</v>
      </c>
      <c r="S3089" s="21">
        <v>0</v>
      </c>
      <c r="T3089" s="21">
        <v>0</v>
      </c>
      <c r="U3089" s="21">
        <v>0</v>
      </c>
      <c r="V3089" s="21">
        <v>0</v>
      </c>
      <c r="W3089" s="21">
        <v>0</v>
      </c>
      <c r="X3089" s="21">
        <v>0</v>
      </c>
      <c r="Y3089" s="21">
        <v>0</v>
      </c>
      <c r="Z3089" s="198" t="s">
        <v>2272</v>
      </c>
      <c r="AA3089" s="198" t="s">
        <v>2272</v>
      </c>
      <c r="AB3089" s="198" t="s">
        <v>2272</v>
      </c>
      <c r="AC3089" s="198" t="s">
        <v>2272</v>
      </c>
      <c r="AD3089" s="4" t="s">
        <v>8217</v>
      </c>
      <c r="AE3089" s="198"/>
    </row>
    <row r="3090" spans="1:31" ht="38" customHeight="1">
      <c r="A3090" s="4" t="s">
        <v>8208</v>
      </c>
      <c r="B3090" s="4" t="s">
        <v>8216</v>
      </c>
      <c r="C3090" s="198" t="s">
        <v>23</v>
      </c>
      <c r="D3090" s="198" t="s">
        <v>142</v>
      </c>
      <c r="E3090" s="198" t="s">
        <v>135</v>
      </c>
      <c r="F3090" s="198" t="s">
        <v>73</v>
      </c>
      <c r="G3090" s="4" t="s">
        <v>2272</v>
      </c>
      <c r="H3090" s="198" t="s">
        <v>522</v>
      </c>
      <c r="I3090" s="198"/>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198" t="s">
        <v>2272</v>
      </c>
      <c r="AA3090" s="198" t="s">
        <v>2272</v>
      </c>
      <c r="AB3090" s="198" t="s">
        <v>2272</v>
      </c>
      <c r="AC3090" s="198" t="s">
        <v>2272</v>
      </c>
      <c r="AD3090" s="4" t="s">
        <v>8217</v>
      </c>
      <c r="AE3090" s="198"/>
    </row>
    <row r="3091" spans="1:31" ht="36.5" customHeight="1">
      <c r="A3091" s="4" t="s">
        <v>8191</v>
      </c>
      <c r="B3091" s="4" t="s">
        <v>8218</v>
      </c>
      <c r="C3091" s="198" t="s">
        <v>1102</v>
      </c>
      <c r="D3091" s="198" t="s">
        <v>2272</v>
      </c>
      <c r="E3091" s="198" t="s">
        <v>1102</v>
      </c>
      <c r="F3091" s="4" t="s">
        <v>2272</v>
      </c>
      <c r="G3091" s="4" t="s">
        <v>2272</v>
      </c>
      <c r="H3091" s="198" t="s">
        <v>521</v>
      </c>
      <c r="I3091" s="198"/>
      <c r="J3091" s="198" t="s">
        <v>2272</v>
      </c>
      <c r="K3091" s="198" t="s">
        <v>2272</v>
      </c>
      <c r="L3091" s="198" t="s">
        <v>2272</v>
      </c>
      <c r="M3091" s="198" t="s">
        <v>2272</v>
      </c>
      <c r="N3091" s="198" t="s">
        <v>2272</v>
      </c>
      <c r="O3091" s="198" t="s">
        <v>2272</v>
      </c>
      <c r="P3091" s="198" t="s">
        <v>2272</v>
      </c>
      <c r="Q3091" s="198" t="s">
        <v>2272</v>
      </c>
      <c r="R3091" s="198" t="s">
        <v>2272</v>
      </c>
      <c r="S3091" s="198" t="s">
        <v>2272</v>
      </c>
      <c r="T3091" s="198" t="s">
        <v>2272</v>
      </c>
      <c r="U3091" s="198" t="s">
        <v>2272</v>
      </c>
      <c r="V3091" s="198" t="s">
        <v>2272</v>
      </c>
      <c r="W3091" s="198" t="s">
        <v>2272</v>
      </c>
      <c r="X3091" s="198" t="s">
        <v>2272</v>
      </c>
      <c r="Y3091" s="21">
        <f>SUM(0/2, 1.4/6, 4.1/17.5, 36/37.5, 13.3/70)</f>
        <v>1.6176190476190475</v>
      </c>
      <c r="Z3091" s="198" t="s">
        <v>2272</v>
      </c>
      <c r="AA3091" s="198" t="s">
        <v>2272</v>
      </c>
      <c r="AB3091" s="198" t="s">
        <v>2272</v>
      </c>
      <c r="AC3091" s="198" t="s">
        <v>2272</v>
      </c>
      <c r="AD3091" s="198"/>
      <c r="AE3091" s="198"/>
    </row>
    <row r="3092" spans="1:31" ht="36.5" customHeight="1">
      <c r="A3092" s="4" t="s">
        <v>8197</v>
      </c>
      <c r="B3092" s="4" t="s">
        <v>8219</v>
      </c>
      <c r="C3092" s="198" t="s">
        <v>1102</v>
      </c>
      <c r="D3092" s="198" t="s">
        <v>2272</v>
      </c>
      <c r="E3092" s="198" t="s">
        <v>1102</v>
      </c>
      <c r="F3092" s="4" t="s">
        <v>2272</v>
      </c>
      <c r="G3092" s="4" t="s">
        <v>2272</v>
      </c>
      <c r="H3092" s="198" t="s">
        <v>521</v>
      </c>
      <c r="I3092" s="198"/>
      <c r="J3092" s="198" t="s">
        <v>2272</v>
      </c>
      <c r="K3092" s="198" t="s">
        <v>2272</v>
      </c>
      <c r="L3092" s="198" t="s">
        <v>2272</v>
      </c>
      <c r="M3092" s="198" t="s">
        <v>2272</v>
      </c>
      <c r="N3092" s="198" t="s">
        <v>2272</v>
      </c>
      <c r="O3092" s="198" t="s">
        <v>2272</v>
      </c>
      <c r="P3092" s="198" t="s">
        <v>2272</v>
      </c>
      <c r="Q3092" s="198" t="s">
        <v>2272</v>
      </c>
      <c r="R3092" s="198" t="s">
        <v>2272</v>
      </c>
      <c r="S3092" s="198" t="s">
        <v>2272</v>
      </c>
      <c r="T3092" s="198" t="s">
        <v>2272</v>
      </c>
      <c r="U3092" s="198" t="s">
        <v>2272</v>
      </c>
      <c r="V3092" s="198" t="s">
        <v>2272</v>
      </c>
      <c r="W3092" s="198" t="s">
        <v>2272</v>
      </c>
      <c r="X3092" s="198" t="s">
        <v>2272</v>
      </c>
      <c r="Y3092" s="21">
        <f>SUM(0/2, 1.4/6, 4.1/17.5, 36/37.5, 13.3/70)</f>
        <v>1.6176190476190475</v>
      </c>
      <c r="Z3092" s="198" t="s">
        <v>2272</v>
      </c>
      <c r="AA3092" s="198" t="s">
        <v>2272</v>
      </c>
      <c r="AB3092" s="198" t="s">
        <v>2272</v>
      </c>
      <c r="AC3092" s="198" t="s">
        <v>2272</v>
      </c>
      <c r="AD3092" s="198"/>
      <c r="AE3092" s="198"/>
    </row>
    <row r="3093" spans="1:31" ht="36.5" customHeight="1">
      <c r="A3093" s="4" t="s">
        <v>8198</v>
      </c>
      <c r="B3093" s="4" t="s">
        <v>8220</v>
      </c>
      <c r="C3093" s="198" t="s">
        <v>1102</v>
      </c>
      <c r="D3093" s="198" t="s">
        <v>2272</v>
      </c>
      <c r="E3093" s="198" t="s">
        <v>1102</v>
      </c>
      <c r="F3093" s="4" t="s">
        <v>2272</v>
      </c>
      <c r="G3093" s="4" t="s">
        <v>2272</v>
      </c>
      <c r="H3093" s="198" t="s">
        <v>521</v>
      </c>
      <c r="I3093" s="198"/>
      <c r="J3093" s="198" t="s">
        <v>2272</v>
      </c>
      <c r="K3093" s="198" t="s">
        <v>2272</v>
      </c>
      <c r="L3093" s="198" t="s">
        <v>2272</v>
      </c>
      <c r="M3093" s="198" t="s">
        <v>2272</v>
      </c>
      <c r="N3093" s="198" t="s">
        <v>2272</v>
      </c>
      <c r="O3093" s="198" t="s">
        <v>2272</v>
      </c>
      <c r="P3093" s="198" t="s">
        <v>2272</v>
      </c>
      <c r="Q3093" s="198" t="s">
        <v>2272</v>
      </c>
      <c r="R3093" s="198" t="s">
        <v>2272</v>
      </c>
      <c r="S3093" s="198" t="s">
        <v>2272</v>
      </c>
      <c r="T3093" s="198" t="s">
        <v>2272</v>
      </c>
      <c r="U3093" s="198" t="s">
        <v>2272</v>
      </c>
      <c r="V3093" s="198" t="s">
        <v>2272</v>
      </c>
      <c r="W3093" s="198" t="s">
        <v>2272</v>
      </c>
      <c r="X3093" s="198" t="s">
        <v>2272</v>
      </c>
      <c r="Y3093" s="21">
        <f>SUM(0.9/2, 4.5/6, 1.4/17.5, 6.4/37.5, 20.4/70)</f>
        <v>1.7420952380952381</v>
      </c>
      <c r="Z3093" s="198" t="s">
        <v>2272</v>
      </c>
      <c r="AA3093" s="198" t="s">
        <v>2272</v>
      </c>
      <c r="AB3093" s="198" t="s">
        <v>2272</v>
      </c>
      <c r="AC3093" s="198" t="s">
        <v>2272</v>
      </c>
      <c r="AD3093" s="198"/>
      <c r="AE3093" s="198"/>
    </row>
    <row r="3094" spans="1:31" ht="36.5" customHeight="1">
      <c r="A3094" s="4" t="s">
        <v>8199</v>
      </c>
      <c r="B3094" s="4" t="s">
        <v>8221</v>
      </c>
      <c r="C3094" s="198" t="s">
        <v>1102</v>
      </c>
      <c r="D3094" s="198" t="s">
        <v>2272</v>
      </c>
      <c r="E3094" s="198" t="s">
        <v>1102</v>
      </c>
      <c r="F3094" s="4" t="s">
        <v>2272</v>
      </c>
      <c r="G3094" s="4" t="s">
        <v>2272</v>
      </c>
      <c r="H3094" s="198" t="s">
        <v>521</v>
      </c>
      <c r="I3094" s="198"/>
      <c r="J3094" s="198" t="s">
        <v>2272</v>
      </c>
      <c r="K3094" s="198" t="s">
        <v>2272</v>
      </c>
      <c r="L3094" s="198" t="s">
        <v>2272</v>
      </c>
      <c r="M3094" s="198" t="s">
        <v>2272</v>
      </c>
      <c r="N3094" s="198" t="s">
        <v>2272</v>
      </c>
      <c r="O3094" s="198" t="s">
        <v>2272</v>
      </c>
      <c r="P3094" s="198" t="s">
        <v>2272</v>
      </c>
      <c r="Q3094" s="198" t="s">
        <v>2272</v>
      </c>
      <c r="R3094" s="198" t="s">
        <v>2272</v>
      </c>
      <c r="S3094" s="198" t="s">
        <v>2272</v>
      </c>
      <c r="T3094" s="198" t="s">
        <v>2272</v>
      </c>
      <c r="U3094" s="198" t="s">
        <v>2272</v>
      </c>
      <c r="V3094" s="198" t="s">
        <v>2272</v>
      </c>
      <c r="W3094" s="198" t="s">
        <v>2272</v>
      </c>
      <c r="X3094" s="198" t="s">
        <v>2272</v>
      </c>
      <c r="Y3094" s="21">
        <f>SUM(0/2, 0/6, 0.1/17.5, 3.1/37.5, 7.4/70)</f>
        <v>0.1940952380952381</v>
      </c>
      <c r="Z3094" s="198" t="s">
        <v>2272</v>
      </c>
      <c r="AA3094" s="198" t="s">
        <v>2272</v>
      </c>
      <c r="AB3094" s="198" t="s">
        <v>2272</v>
      </c>
      <c r="AC3094" s="198" t="s">
        <v>2272</v>
      </c>
      <c r="AD3094" s="198"/>
      <c r="AE3094" s="198"/>
    </row>
    <row r="3095" spans="1:31" ht="36.5" customHeight="1">
      <c r="A3095" s="4" t="s">
        <v>8206</v>
      </c>
      <c r="B3095" s="4" t="s">
        <v>8222</v>
      </c>
      <c r="C3095" s="198" t="s">
        <v>1102</v>
      </c>
      <c r="D3095" s="198" t="s">
        <v>2272</v>
      </c>
      <c r="E3095" s="198" t="s">
        <v>1102</v>
      </c>
      <c r="F3095" s="4" t="s">
        <v>2272</v>
      </c>
      <c r="G3095" s="4" t="s">
        <v>2272</v>
      </c>
      <c r="H3095" s="198" t="s">
        <v>521</v>
      </c>
      <c r="I3095" s="198"/>
      <c r="J3095" s="198" t="s">
        <v>2272</v>
      </c>
      <c r="K3095" s="198" t="s">
        <v>2272</v>
      </c>
      <c r="L3095" s="198" t="s">
        <v>2272</v>
      </c>
      <c r="M3095" s="198" t="s">
        <v>2272</v>
      </c>
      <c r="N3095" s="198" t="s">
        <v>2272</v>
      </c>
      <c r="O3095" s="198" t="s">
        <v>2272</v>
      </c>
      <c r="P3095" s="198" t="s">
        <v>2272</v>
      </c>
      <c r="Q3095" s="198" t="s">
        <v>2272</v>
      </c>
      <c r="R3095" s="198" t="s">
        <v>2272</v>
      </c>
      <c r="S3095" s="198" t="s">
        <v>2272</v>
      </c>
      <c r="T3095" s="198" t="s">
        <v>2272</v>
      </c>
      <c r="U3095" s="198" t="s">
        <v>2272</v>
      </c>
      <c r="V3095" s="198" t="s">
        <v>2272</v>
      </c>
      <c r="W3095" s="198" t="s">
        <v>2272</v>
      </c>
      <c r="X3095" s="198" t="s">
        <v>2272</v>
      </c>
      <c r="Y3095" s="21">
        <f>SUM(0.6/2, 1.9/6, 7.8/17.5, 9.8/37.5, 5.6/70)</f>
        <v>1.4037142857142859</v>
      </c>
      <c r="Z3095" s="198" t="s">
        <v>2272</v>
      </c>
      <c r="AA3095" s="198" t="s">
        <v>2272</v>
      </c>
      <c r="AB3095" s="198" t="s">
        <v>2272</v>
      </c>
      <c r="AC3095" s="198" t="s">
        <v>2272</v>
      </c>
      <c r="AD3095" s="198"/>
      <c r="AE3095" s="198"/>
    </row>
    <row r="3096" spans="1:31" ht="36.5" customHeight="1">
      <c r="A3096" s="4" t="s">
        <v>8207</v>
      </c>
      <c r="B3096" s="4" t="s">
        <v>8223</v>
      </c>
      <c r="C3096" s="198" t="s">
        <v>1102</v>
      </c>
      <c r="D3096" s="198" t="s">
        <v>2272</v>
      </c>
      <c r="E3096" s="198" t="s">
        <v>1102</v>
      </c>
      <c r="F3096" s="4" t="s">
        <v>2272</v>
      </c>
      <c r="G3096" s="4" t="s">
        <v>2272</v>
      </c>
      <c r="H3096" s="198" t="s">
        <v>521</v>
      </c>
      <c r="I3096" s="198"/>
      <c r="J3096" s="198" t="s">
        <v>2272</v>
      </c>
      <c r="K3096" s="198" t="s">
        <v>2272</v>
      </c>
      <c r="L3096" s="198" t="s">
        <v>2272</v>
      </c>
      <c r="M3096" s="198" t="s">
        <v>2272</v>
      </c>
      <c r="N3096" s="198" t="s">
        <v>2272</v>
      </c>
      <c r="O3096" s="198" t="s">
        <v>2272</v>
      </c>
      <c r="P3096" s="198" t="s">
        <v>2272</v>
      </c>
      <c r="Q3096" s="198" t="s">
        <v>2272</v>
      </c>
      <c r="R3096" s="198" t="s">
        <v>2272</v>
      </c>
      <c r="S3096" s="198" t="s">
        <v>2272</v>
      </c>
      <c r="T3096" s="198" t="s">
        <v>2272</v>
      </c>
      <c r="U3096" s="198" t="s">
        <v>2272</v>
      </c>
      <c r="V3096" s="198" t="s">
        <v>2272</v>
      </c>
      <c r="W3096" s="198" t="s">
        <v>2272</v>
      </c>
      <c r="X3096" s="198" t="s">
        <v>2272</v>
      </c>
      <c r="Y3096" s="21">
        <f>SUM(0/2, 1/6, 5.2/17.5, 2.6/37.5, 0.7/70)</f>
        <v>0.54314285714285715</v>
      </c>
      <c r="Z3096" s="198" t="s">
        <v>2272</v>
      </c>
      <c r="AA3096" s="198" t="s">
        <v>2272</v>
      </c>
      <c r="AB3096" s="198" t="s">
        <v>2272</v>
      </c>
      <c r="AC3096" s="198" t="s">
        <v>2272</v>
      </c>
      <c r="AD3096" s="198"/>
      <c r="AE3096" s="198"/>
    </row>
    <row r="3097" spans="1:31" ht="36.5" customHeight="1">
      <c r="A3097" s="4" t="s">
        <v>8208</v>
      </c>
      <c r="B3097" s="4" t="s">
        <v>8224</v>
      </c>
      <c r="C3097" s="198" t="s">
        <v>1102</v>
      </c>
      <c r="D3097" s="198" t="s">
        <v>2272</v>
      </c>
      <c r="E3097" s="198" t="s">
        <v>1102</v>
      </c>
      <c r="F3097" s="4" t="s">
        <v>2272</v>
      </c>
      <c r="G3097" s="4" t="s">
        <v>2272</v>
      </c>
      <c r="H3097" s="198" t="s">
        <v>521</v>
      </c>
      <c r="I3097" s="198"/>
      <c r="J3097" s="198" t="s">
        <v>2272</v>
      </c>
      <c r="K3097" s="198" t="s">
        <v>2272</v>
      </c>
      <c r="L3097" s="198" t="s">
        <v>2272</v>
      </c>
      <c r="M3097" s="198" t="s">
        <v>2272</v>
      </c>
      <c r="N3097" s="198" t="s">
        <v>2272</v>
      </c>
      <c r="O3097" s="198" t="s">
        <v>2272</v>
      </c>
      <c r="P3097" s="198" t="s">
        <v>2272</v>
      </c>
      <c r="Q3097" s="198" t="s">
        <v>2272</v>
      </c>
      <c r="R3097" s="198" t="s">
        <v>2272</v>
      </c>
      <c r="S3097" s="198" t="s">
        <v>2272</v>
      </c>
      <c r="T3097" s="198" t="s">
        <v>2272</v>
      </c>
      <c r="U3097" s="198" t="s">
        <v>2272</v>
      </c>
      <c r="V3097" s="198" t="s">
        <v>2272</v>
      </c>
      <c r="W3097" s="198" t="s">
        <v>2272</v>
      </c>
      <c r="X3097" s="198" t="s">
        <v>2272</v>
      </c>
      <c r="Y3097" s="21">
        <f>SUM(0/2, 0.4/6, 1.2/17.5, 7/37.5, 2.1/70)</f>
        <v>0.35190476190476194</v>
      </c>
      <c r="Z3097" s="198" t="s">
        <v>2272</v>
      </c>
      <c r="AA3097" s="198" t="s">
        <v>2272</v>
      </c>
      <c r="AB3097" s="198" t="s">
        <v>2272</v>
      </c>
      <c r="AC3097" s="198" t="s">
        <v>2272</v>
      </c>
      <c r="AD3097" s="198"/>
      <c r="AE3097" s="198"/>
    </row>
    <row r="3098" spans="1:31" ht="41.5" customHeight="1">
      <c r="A3098" s="4" t="s">
        <v>8225</v>
      </c>
      <c r="B3098" s="4" t="s">
        <v>8229</v>
      </c>
      <c r="C3098" s="198" t="s">
        <v>23</v>
      </c>
      <c r="D3098" s="198" t="s">
        <v>24</v>
      </c>
      <c r="E3098" s="198" t="s">
        <v>114</v>
      </c>
      <c r="F3098" s="4" t="s">
        <v>54</v>
      </c>
      <c r="G3098" s="4" t="s">
        <v>54</v>
      </c>
      <c r="H3098" s="198" t="s">
        <v>521</v>
      </c>
      <c r="I3098" s="198"/>
      <c r="J3098" s="198" t="s">
        <v>2272</v>
      </c>
      <c r="K3098" s="198" t="s">
        <v>2272</v>
      </c>
      <c r="L3098" s="198" t="s">
        <v>2272</v>
      </c>
      <c r="M3098" s="198" t="s">
        <v>2272</v>
      </c>
      <c r="N3098" s="198" t="s">
        <v>2272</v>
      </c>
      <c r="O3098" s="198" t="s">
        <v>2272</v>
      </c>
      <c r="P3098" s="198" t="s">
        <v>2272</v>
      </c>
      <c r="Q3098" s="198" t="s">
        <v>2272</v>
      </c>
      <c r="R3098" s="198" t="s">
        <v>2272</v>
      </c>
      <c r="S3098" s="198" t="s">
        <v>2272</v>
      </c>
      <c r="T3098" s="198" t="s">
        <v>2272</v>
      </c>
      <c r="U3098" s="198" t="s">
        <v>2272</v>
      </c>
      <c r="V3098" s="198" t="s">
        <v>2272</v>
      </c>
      <c r="W3098" s="198" t="s">
        <v>2272</v>
      </c>
      <c r="X3098" s="198" t="s">
        <v>2272</v>
      </c>
      <c r="Y3098" s="198" t="s">
        <v>2272</v>
      </c>
      <c r="Z3098" s="198" t="s">
        <v>2272</v>
      </c>
      <c r="AA3098" s="198" t="s">
        <v>84</v>
      </c>
      <c r="AB3098" s="198" t="s">
        <v>84</v>
      </c>
      <c r="AC3098" s="198" t="s">
        <v>2272</v>
      </c>
      <c r="AD3098" s="198"/>
      <c r="AE3098" s="198"/>
    </row>
    <row r="3099" spans="1:31" ht="41.5" customHeight="1">
      <c r="A3099" s="4" t="s">
        <v>8226</v>
      </c>
      <c r="B3099" s="4" t="s">
        <v>8231</v>
      </c>
      <c r="C3099" s="198" t="s">
        <v>23</v>
      </c>
      <c r="D3099" s="198" t="s">
        <v>24</v>
      </c>
      <c r="E3099" s="198" t="s">
        <v>114</v>
      </c>
      <c r="F3099" s="4" t="s">
        <v>54</v>
      </c>
      <c r="G3099" s="4" t="s">
        <v>54</v>
      </c>
      <c r="H3099" s="198" t="s">
        <v>521</v>
      </c>
      <c r="I3099" s="198"/>
      <c r="J3099" s="198" t="s">
        <v>2272</v>
      </c>
      <c r="K3099" s="198" t="s">
        <v>2272</v>
      </c>
      <c r="L3099" s="198" t="s">
        <v>2272</v>
      </c>
      <c r="M3099" s="198" t="s">
        <v>2272</v>
      </c>
      <c r="N3099" s="198" t="s">
        <v>2272</v>
      </c>
      <c r="O3099" s="198" t="s">
        <v>2272</v>
      </c>
      <c r="P3099" s="198" t="s">
        <v>2272</v>
      </c>
      <c r="Q3099" s="198" t="s">
        <v>2272</v>
      </c>
      <c r="R3099" s="198" t="s">
        <v>2272</v>
      </c>
      <c r="S3099" s="198" t="s">
        <v>2272</v>
      </c>
      <c r="T3099" s="198" t="s">
        <v>2272</v>
      </c>
      <c r="U3099" s="198" t="s">
        <v>2272</v>
      </c>
      <c r="V3099" s="198" t="s">
        <v>2272</v>
      </c>
      <c r="W3099" s="198" t="s">
        <v>2272</v>
      </c>
      <c r="X3099" s="198" t="s">
        <v>2272</v>
      </c>
      <c r="Y3099" s="198" t="s">
        <v>2272</v>
      </c>
      <c r="Z3099" s="198" t="s">
        <v>2272</v>
      </c>
      <c r="AA3099" s="198" t="s">
        <v>84</v>
      </c>
      <c r="AB3099" s="198" t="s">
        <v>84</v>
      </c>
      <c r="AC3099" s="198" t="s">
        <v>2272</v>
      </c>
      <c r="AD3099" s="198"/>
      <c r="AE3099" s="198"/>
    </row>
    <row r="3100" spans="1:31" ht="41.5" customHeight="1">
      <c r="A3100" s="4" t="s">
        <v>8227</v>
      </c>
      <c r="B3100" s="4" t="s">
        <v>8232</v>
      </c>
      <c r="C3100" s="198" t="s">
        <v>23</v>
      </c>
      <c r="D3100" s="198" t="s">
        <v>24</v>
      </c>
      <c r="E3100" s="198" t="s">
        <v>114</v>
      </c>
      <c r="F3100" s="4" t="s">
        <v>54</v>
      </c>
      <c r="G3100" s="4" t="s">
        <v>54</v>
      </c>
      <c r="H3100" s="198" t="s">
        <v>521</v>
      </c>
      <c r="I3100" s="198"/>
      <c r="J3100" s="198" t="s">
        <v>2272</v>
      </c>
      <c r="K3100" s="198" t="s">
        <v>2272</v>
      </c>
      <c r="L3100" s="198" t="s">
        <v>2272</v>
      </c>
      <c r="M3100" s="198" t="s">
        <v>2272</v>
      </c>
      <c r="N3100" s="198" t="s">
        <v>2272</v>
      </c>
      <c r="O3100" s="198" t="s">
        <v>2272</v>
      </c>
      <c r="P3100" s="198" t="s">
        <v>2272</v>
      </c>
      <c r="Q3100" s="198" t="s">
        <v>2272</v>
      </c>
      <c r="R3100" s="198" t="s">
        <v>2272</v>
      </c>
      <c r="S3100" s="198" t="s">
        <v>2272</v>
      </c>
      <c r="T3100" s="198" t="s">
        <v>2272</v>
      </c>
      <c r="U3100" s="198" t="s">
        <v>2272</v>
      </c>
      <c r="V3100" s="198" t="s">
        <v>2272</v>
      </c>
      <c r="W3100" s="198" t="s">
        <v>2272</v>
      </c>
      <c r="X3100" s="198" t="s">
        <v>2272</v>
      </c>
      <c r="Y3100" s="198" t="s">
        <v>2272</v>
      </c>
      <c r="Z3100" s="198" t="s">
        <v>2272</v>
      </c>
      <c r="AA3100" s="198" t="s">
        <v>84</v>
      </c>
      <c r="AB3100" s="198" t="s">
        <v>84</v>
      </c>
      <c r="AC3100" s="198" t="s">
        <v>2272</v>
      </c>
      <c r="AD3100" s="198"/>
      <c r="AE3100" s="198"/>
    </row>
    <row r="3101" spans="1:31" ht="41.5" customHeight="1">
      <c r="A3101" s="4" t="s">
        <v>8228</v>
      </c>
      <c r="B3101" s="4" t="s">
        <v>8233</v>
      </c>
      <c r="C3101" s="198" t="s">
        <v>23</v>
      </c>
      <c r="D3101" s="198" t="s">
        <v>24</v>
      </c>
      <c r="E3101" s="198" t="s">
        <v>114</v>
      </c>
      <c r="F3101" s="4" t="s">
        <v>54</v>
      </c>
      <c r="G3101" s="4" t="s">
        <v>54</v>
      </c>
      <c r="H3101" s="198" t="s">
        <v>521</v>
      </c>
      <c r="I3101" s="198"/>
      <c r="J3101" s="198" t="s">
        <v>2272</v>
      </c>
      <c r="K3101" s="198" t="s">
        <v>2272</v>
      </c>
      <c r="L3101" s="198" t="s">
        <v>2272</v>
      </c>
      <c r="M3101" s="198" t="s">
        <v>2272</v>
      </c>
      <c r="N3101" s="198" t="s">
        <v>2272</v>
      </c>
      <c r="O3101" s="198" t="s">
        <v>2272</v>
      </c>
      <c r="P3101" s="198" t="s">
        <v>2272</v>
      </c>
      <c r="Q3101" s="198" t="s">
        <v>2272</v>
      </c>
      <c r="R3101" s="198" t="s">
        <v>2272</v>
      </c>
      <c r="S3101" s="198" t="s">
        <v>2272</v>
      </c>
      <c r="T3101" s="198" t="s">
        <v>2272</v>
      </c>
      <c r="U3101" s="198" t="s">
        <v>2272</v>
      </c>
      <c r="V3101" s="198" t="s">
        <v>2272</v>
      </c>
      <c r="W3101" s="198" t="s">
        <v>2272</v>
      </c>
      <c r="X3101" s="198" t="s">
        <v>2272</v>
      </c>
      <c r="Y3101" s="198" t="s">
        <v>2272</v>
      </c>
      <c r="Z3101" s="198" t="s">
        <v>2272</v>
      </c>
      <c r="AA3101" s="198" t="s">
        <v>84</v>
      </c>
      <c r="AB3101" s="198" t="s">
        <v>84</v>
      </c>
      <c r="AC3101" s="198" t="s">
        <v>2272</v>
      </c>
      <c r="AD3101" s="198"/>
      <c r="AE3101" s="198"/>
    </row>
    <row r="3102" spans="1:31" ht="51" customHeight="1">
      <c r="A3102" s="4" t="s">
        <v>8225</v>
      </c>
      <c r="B3102" s="4" t="s">
        <v>8234</v>
      </c>
      <c r="C3102" s="198" t="s">
        <v>1102</v>
      </c>
      <c r="D3102" s="198" t="s">
        <v>2272</v>
      </c>
      <c r="E3102" s="198" t="s">
        <v>1102</v>
      </c>
      <c r="F3102" s="4" t="s">
        <v>2272</v>
      </c>
      <c r="G3102" s="4" t="s">
        <v>2657</v>
      </c>
      <c r="H3102" s="198" t="s">
        <v>521</v>
      </c>
      <c r="I3102" s="198"/>
      <c r="J3102" s="198" t="s">
        <v>2272</v>
      </c>
      <c r="K3102" s="21">
        <f>58/(22/24)/2680.59</f>
        <v>2.3604030184671013E-2</v>
      </c>
      <c r="L3102" s="198" t="s">
        <v>2272</v>
      </c>
      <c r="M3102" s="198" t="s">
        <v>2272</v>
      </c>
      <c r="N3102" s="198" t="s">
        <v>2272</v>
      </c>
      <c r="O3102" s="198" t="s">
        <v>2272</v>
      </c>
      <c r="P3102" s="198" t="s">
        <v>2272</v>
      </c>
      <c r="Q3102" s="21">
        <f>223357/58</f>
        <v>3850.9827586206898</v>
      </c>
      <c r="R3102" s="198" t="s">
        <v>2272</v>
      </c>
      <c r="S3102" s="198" t="s">
        <v>2272</v>
      </c>
      <c r="T3102" s="198" t="s">
        <v>2272</v>
      </c>
      <c r="U3102" s="198" t="s">
        <v>2272</v>
      </c>
      <c r="V3102" s="198" t="s">
        <v>2272</v>
      </c>
      <c r="W3102" s="198" t="s">
        <v>2272</v>
      </c>
      <c r="X3102" s="198" t="s">
        <v>2272</v>
      </c>
      <c r="Y3102" s="198" t="s">
        <v>2272</v>
      </c>
      <c r="Z3102" s="198" t="s">
        <v>2272</v>
      </c>
      <c r="AA3102" s="198" t="s">
        <v>84</v>
      </c>
      <c r="AB3102" s="198" t="s">
        <v>402</v>
      </c>
      <c r="AC3102" s="198" t="s">
        <v>2650</v>
      </c>
      <c r="AD3102" s="4" t="s">
        <v>8241</v>
      </c>
      <c r="AE3102" s="198"/>
    </row>
    <row r="3103" spans="1:31" ht="51" customHeight="1">
      <c r="A3103" s="4" t="s">
        <v>8226</v>
      </c>
      <c r="B3103" s="4" t="s">
        <v>8230</v>
      </c>
      <c r="C3103" s="198" t="s">
        <v>1102</v>
      </c>
      <c r="D3103" s="198" t="s">
        <v>2272</v>
      </c>
      <c r="E3103" s="198" t="s">
        <v>1102</v>
      </c>
      <c r="F3103" s="4" t="s">
        <v>2272</v>
      </c>
      <c r="G3103" s="4" t="s">
        <v>2657</v>
      </c>
      <c r="H3103" s="198" t="s">
        <v>521</v>
      </c>
      <c r="I3103" s="198"/>
      <c r="J3103" s="198" t="s">
        <v>2272</v>
      </c>
      <c r="K3103" s="21">
        <f>171/(22/24)/3832.09</f>
        <v>4.8679820814608886E-2</v>
      </c>
      <c r="L3103" s="198" t="s">
        <v>2272</v>
      </c>
      <c r="M3103" s="198" t="s">
        <v>2272</v>
      </c>
      <c r="N3103" s="198" t="s">
        <v>2272</v>
      </c>
      <c r="O3103" s="198" t="s">
        <v>2272</v>
      </c>
      <c r="P3103" s="198" t="s">
        <v>2272</v>
      </c>
      <c r="Q3103" s="21">
        <f>94002/171</f>
        <v>549.71929824561403</v>
      </c>
      <c r="R3103" s="198" t="s">
        <v>2272</v>
      </c>
      <c r="S3103" s="198" t="s">
        <v>2272</v>
      </c>
      <c r="T3103" s="198" t="s">
        <v>2272</v>
      </c>
      <c r="U3103" s="198" t="s">
        <v>2272</v>
      </c>
      <c r="V3103" s="198" t="s">
        <v>2272</v>
      </c>
      <c r="W3103" s="198" t="s">
        <v>2272</v>
      </c>
      <c r="X3103" s="198" t="s">
        <v>2272</v>
      </c>
      <c r="Y3103" s="198" t="s">
        <v>2272</v>
      </c>
      <c r="Z3103" s="198" t="s">
        <v>2272</v>
      </c>
      <c r="AA3103" s="198" t="s">
        <v>84</v>
      </c>
      <c r="AB3103" s="198" t="s">
        <v>402</v>
      </c>
      <c r="AC3103" s="198" t="s">
        <v>2650</v>
      </c>
      <c r="AD3103" s="4" t="s">
        <v>8241</v>
      </c>
      <c r="AE3103" s="198"/>
    </row>
    <row r="3104" spans="1:31" ht="51" customHeight="1">
      <c r="A3104" s="4" t="s">
        <v>8227</v>
      </c>
      <c r="B3104" s="4" t="s">
        <v>8235</v>
      </c>
      <c r="C3104" s="198" t="s">
        <v>1102</v>
      </c>
      <c r="D3104" s="198" t="s">
        <v>2272</v>
      </c>
      <c r="E3104" s="198" t="s">
        <v>1102</v>
      </c>
      <c r="F3104" s="4" t="s">
        <v>2272</v>
      </c>
      <c r="G3104" s="4" t="s">
        <v>2657</v>
      </c>
      <c r="H3104" s="198" t="s">
        <v>521</v>
      </c>
      <c r="I3104" s="198"/>
      <c r="J3104" s="198" t="s">
        <v>2272</v>
      </c>
      <c r="K3104" s="21">
        <f>171/(22/24)/3832.09</f>
        <v>4.8679820814608886E-2</v>
      </c>
      <c r="L3104" s="198" t="s">
        <v>2272</v>
      </c>
      <c r="M3104" s="198" t="s">
        <v>2272</v>
      </c>
      <c r="N3104" s="198" t="s">
        <v>2272</v>
      </c>
      <c r="O3104" s="198" t="s">
        <v>2272</v>
      </c>
      <c r="P3104" s="198" t="s">
        <v>2272</v>
      </c>
      <c r="Q3104" s="21">
        <f>94002/171</f>
        <v>549.71929824561403</v>
      </c>
      <c r="R3104" s="198" t="s">
        <v>2272</v>
      </c>
      <c r="S3104" s="198" t="s">
        <v>2272</v>
      </c>
      <c r="T3104" s="198" t="s">
        <v>2272</v>
      </c>
      <c r="U3104" s="198" t="s">
        <v>2272</v>
      </c>
      <c r="V3104" s="198" t="s">
        <v>2272</v>
      </c>
      <c r="W3104" s="198" t="s">
        <v>2272</v>
      </c>
      <c r="X3104" s="198" t="s">
        <v>2272</v>
      </c>
      <c r="Y3104" s="198" t="s">
        <v>2272</v>
      </c>
      <c r="Z3104" s="198" t="s">
        <v>2272</v>
      </c>
      <c r="AA3104" s="198" t="s">
        <v>84</v>
      </c>
      <c r="AB3104" s="198" t="s">
        <v>402</v>
      </c>
      <c r="AC3104" s="198" t="s">
        <v>2650</v>
      </c>
      <c r="AD3104" s="4" t="s">
        <v>8241</v>
      </c>
      <c r="AE3104" s="198"/>
    </row>
    <row r="3105" spans="1:31" ht="51" customHeight="1">
      <c r="A3105" s="4" t="s">
        <v>8228</v>
      </c>
      <c r="B3105" s="4" t="s">
        <v>8236</v>
      </c>
      <c r="C3105" s="198" t="s">
        <v>1102</v>
      </c>
      <c r="D3105" s="198" t="s">
        <v>2272</v>
      </c>
      <c r="E3105" s="198" t="s">
        <v>1102</v>
      </c>
      <c r="F3105" s="4" t="s">
        <v>2272</v>
      </c>
      <c r="G3105" s="4" t="s">
        <v>2657</v>
      </c>
      <c r="H3105" s="198" t="s">
        <v>521</v>
      </c>
      <c r="I3105" s="198"/>
      <c r="J3105" s="198" t="s">
        <v>2272</v>
      </c>
      <c r="K3105" s="21">
        <f>49/(22/24)/276.36</f>
        <v>0.19342359767891681</v>
      </c>
      <c r="L3105" s="198" t="s">
        <v>2272</v>
      </c>
      <c r="M3105" s="198" t="s">
        <v>2272</v>
      </c>
      <c r="N3105" s="198" t="s">
        <v>2272</v>
      </c>
      <c r="O3105" s="198" t="s">
        <v>2272</v>
      </c>
      <c r="P3105" s="198" t="s">
        <v>2272</v>
      </c>
      <c r="Q3105" s="21">
        <f>9939/49</f>
        <v>202.83673469387756</v>
      </c>
      <c r="R3105" s="198" t="s">
        <v>2272</v>
      </c>
      <c r="S3105" s="198" t="s">
        <v>2272</v>
      </c>
      <c r="T3105" s="198" t="s">
        <v>2272</v>
      </c>
      <c r="U3105" s="198" t="s">
        <v>2272</v>
      </c>
      <c r="V3105" s="198" t="s">
        <v>2272</v>
      </c>
      <c r="W3105" s="198" t="s">
        <v>2272</v>
      </c>
      <c r="X3105" s="198" t="s">
        <v>2272</v>
      </c>
      <c r="Y3105" s="198" t="s">
        <v>2272</v>
      </c>
      <c r="Z3105" s="198" t="s">
        <v>2272</v>
      </c>
      <c r="AA3105" s="198" t="s">
        <v>84</v>
      </c>
      <c r="AB3105" s="198" t="s">
        <v>402</v>
      </c>
      <c r="AC3105" s="198" t="s">
        <v>2650</v>
      </c>
      <c r="AD3105" s="4" t="s">
        <v>8241</v>
      </c>
      <c r="AE3105" s="198"/>
    </row>
    <row r="3106" spans="1:31" ht="41" customHeight="1">
      <c r="A3106" s="4" t="s">
        <v>8225</v>
      </c>
      <c r="B3106" s="4" t="s">
        <v>8237</v>
      </c>
      <c r="C3106" s="198" t="s">
        <v>2651</v>
      </c>
      <c r="D3106" s="198" t="s">
        <v>2272</v>
      </c>
      <c r="E3106" s="198" t="s">
        <v>1102</v>
      </c>
      <c r="F3106" s="4" t="s">
        <v>2272</v>
      </c>
      <c r="G3106" s="4" t="s">
        <v>2657</v>
      </c>
      <c r="H3106" s="198" t="s">
        <v>521</v>
      </c>
      <c r="I3106" s="198"/>
      <c r="J3106" s="198" t="s">
        <v>2272</v>
      </c>
      <c r="K3106" s="198" t="s">
        <v>2272</v>
      </c>
      <c r="L3106" s="198" t="s">
        <v>2272</v>
      </c>
      <c r="M3106" s="198" t="s">
        <v>2272</v>
      </c>
      <c r="N3106" s="198" t="s">
        <v>2272</v>
      </c>
      <c r="O3106" s="198" t="s">
        <v>2272</v>
      </c>
      <c r="P3106" s="198" t="s">
        <v>2272</v>
      </c>
      <c r="Q3106" s="198" t="s">
        <v>2272</v>
      </c>
      <c r="R3106" s="198" t="s">
        <v>2272</v>
      </c>
      <c r="S3106" s="198" t="s">
        <v>2272</v>
      </c>
      <c r="T3106" s="198" t="s">
        <v>2272</v>
      </c>
      <c r="U3106" s="198" t="s">
        <v>2272</v>
      </c>
      <c r="V3106" s="198" t="s">
        <v>2272</v>
      </c>
      <c r="W3106" s="198" t="s">
        <v>2272</v>
      </c>
      <c r="X3106" s="198" t="s">
        <v>2272</v>
      </c>
      <c r="Y3106" s="198" t="s">
        <v>2272</v>
      </c>
      <c r="Z3106" s="198" t="s">
        <v>2272</v>
      </c>
      <c r="AA3106" s="198" t="s">
        <v>33</v>
      </c>
      <c r="AB3106" s="198" t="s">
        <v>402</v>
      </c>
      <c r="AC3106" s="198" t="s">
        <v>2650</v>
      </c>
      <c r="AD3106" s="198"/>
      <c r="AE3106" s="198"/>
    </row>
    <row r="3107" spans="1:31" ht="41" customHeight="1">
      <c r="A3107" s="4" t="s">
        <v>8226</v>
      </c>
      <c r="B3107" s="4" t="s">
        <v>8238</v>
      </c>
      <c r="C3107" s="198" t="s">
        <v>2651</v>
      </c>
      <c r="D3107" s="198" t="s">
        <v>2272</v>
      </c>
      <c r="E3107" s="198" t="s">
        <v>1102</v>
      </c>
      <c r="F3107" s="4" t="s">
        <v>2272</v>
      </c>
      <c r="G3107" s="4" t="s">
        <v>2657</v>
      </c>
      <c r="H3107" s="198" t="s">
        <v>521</v>
      </c>
      <c r="I3107" s="198"/>
      <c r="J3107" s="198" t="s">
        <v>2272</v>
      </c>
      <c r="K3107" s="198" t="s">
        <v>2272</v>
      </c>
      <c r="L3107" s="198" t="s">
        <v>2272</v>
      </c>
      <c r="M3107" s="198" t="s">
        <v>2272</v>
      </c>
      <c r="N3107" s="198" t="s">
        <v>2272</v>
      </c>
      <c r="O3107" s="198" t="s">
        <v>2272</v>
      </c>
      <c r="P3107" s="198" t="s">
        <v>2272</v>
      </c>
      <c r="Q3107" s="198" t="s">
        <v>2272</v>
      </c>
      <c r="R3107" s="198" t="s">
        <v>2272</v>
      </c>
      <c r="S3107" s="198" t="s">
        <v>2272</v>
      </c>
      <c r="T3107" s="198" t="s">
        <v>2272</v>
      </c>
      <c r="U3107" s="198" t="s">
        <v>2272</v>
      </c>
      <c r="V3107" s="198" t="s">
        <v>2272</v>
      </c>
      <c r="W3107" s="198" t="s">
        <v>2272</v>
      </c>
      <c r="X3107" s="198" t="s">
        <v>2272</v>
      </c>
      <c r="Y3107" s="198" t="s">
        <v>2272</v>
      </c>
      <c r="Z3107" s="198" t="s">
        <v>2272</v>
      </c>
      <c r="AA3107" s="198" t="s">
        <v>33</v>
      </c>
      <c r="AB3107" s="198" t="s">
        <v>402</v>
      </c>
      <c r="AC3107" s="198" t="s">
        <v>2650</v>
      </c>
      <c r="AD3107" s="198"/>
      <c r="AE3107" s="198"/>
    </row>
    <row r="3108" spans="1:31" ht="41" customHeight="1">
      <c r="A3108" s="4" t="s">
        <v>8227</v>
      </c>
      <c r="B3108" s="4" t="s">
        <v>8239</v>
      </c>
      <c r="C3108" s="198" t="s">
        <v>2651</v>
      </c>
      <c r="D3108" s="198" t="s">
        <v>2272</v>
      </c>
      <c r="E3108" s="198" t="s">
        <v>1102</v>
      </c>
      <c r="F3108" s="4" t="s">
        <v>2272</v>
      </c>
      <c r="G3108" s="4" t="s">
        <v>2657</v>
      </c>
      <c r="H3108" s="198" t="s">
        <v>521</v>
      </c>
      <c r="I3108" s="198"/>
      <c r="J3108" s="198" t="s">
        <v>2272</v>
      </c>
      <c r="K3108" s="198" t="s">
        <v>2272</v>
      </c>
      <c r="L3108" s="198" t="s">
        <v>2272</v>
      </c>
      <c r="M3108" s="198" t="s">
        <v>2272</v>
      </c>
      <c r="N3108" s="198" t="s">
        <v>2272</v>
      </c>
      <c r="O3108" s="198" t="s">
        <v>2272</v>
      </c>
      <c r="P3108" s="198" t="s">
        <v>2272</v>
      </c>
      <c r="Q3108" s="198" t="s">
        <v>2272</v>
      </c>
      <c r="R3108" s="198" t="s">
        <v>2272</v>
      </c>
      <c r="S3108" s="198" t="s">
        <v>2272</v>
      </c>
      <c r="T3108" s="198" t="s">
        <v>2272</v>
      </c>
      <c r="U3108" s="198" t="s">
        <v>2272</v>
      </c>
      <c r="V3108" s="198" t="s">
        <v>2272</v>
      </c>
      <c r="W3108" s="198" t="s">
        <v>2272</v>
      </c>
      <c r="X3108" s="198" t="s">
        <v>2272</v>
      </c>
      <c r="Y3108" s="198" t="s">
        <v>2272</v>
      </c>
      <c r="Z3108" s="198" t="s">
        <v>2272</v>
      </c>
      <c r="AA3108" s="198" t="s">
        <v>33</v>
      </c>
      <c r="AB3108" s="198" t="s">
        <v>402</v>
      </c>
      <c r="AC3108" s="198" t="s">
        <v>2650</v>
      </c>
      <c r="AD3108" s="198"/>
      <c r="AE3108" s="198"/>
    </row>
    <row r="3109" spans="1:31" ht="41" customHeight="1">
      <c r="A3109" s="4" t="s">
        <v>8228</v>
      </c>
      <c r="B3109" s="4" t="s">
        <v>8240</v>
      </c>
      <c r="C3109" s="198" t="s">
        <v>2651</v>
      </c>
      <c r="D3109" s="198" t="s">
        <v>2272</v>
      </c>
      <c r="E3109" s="198" t="s">
        <v>1102</v>
      </c>
      <c r="F3109" s="4" t="s">
        <v>2272</v>
      </c>
      <c r="G3109" s="4" t="s">
        <v>2657</v>
      </c>
      <c r="H3109" s="198" t="s">
        <v>521</v>
      </c>
      <c r="I3109" s="198"/>
      <c r="J3109" s="198" t="s">
        <v>2272</v>
      </c>
      <c r="K3109" s="198" t="s">
        <v>2272</v>
      </c>
      <c r="L3109" s="198" t="s">
        <v>2272</v>
      </c>
      <c r="M3109" s="198" t="s">
        <v>2272</v>
      </c>
      <c r="N3109" s="198" t="s">
        <v>2272</v>
      </c>
      <c r="O3109" s="198" t="s">
        <v>2272</v>
      </c>
      <c r="P3109" s="198" t="s">
        <v>2272</v>
      </c>
      <c r="Q3109" s="198" t="s">
        <v>2272</v>
      </c>
      <c r="R3109" s="198" t="s">
        <v>2272</v>
      </c>
      <c r="S3109" s="198" t="s">
        <v>2272</v>
      </c>
      <c r="T3109" s="198" t="s">
        <v>2272</v>
      </c>
      <c r="U3109" s="198" t="s">
        <v>2272</v>
      </c>
      <c r="V3109" s="198" t="s">
        <v>2272</v>
      </c>
      <c r="W3109" s="198" t="s">
        <v>2272</v>
      </c>
      <c r="X3109" s="198" t="s">
        <v>2272</v>
      </c>
      <c r="Y3109" s="198" t="s">
        <v>2272</v>
      </c>
      <c r="Z3109" s="198" t="s">
        <v>2272</v>
      </c>
      <c r="AA3109" s="198" t="s">
        <v>33</v>
      </c>
      <c r="AB3109" s="198" t="s">
        <v>402</v>
      </c>
      <c r="AC3109" s="198" t="s">
        <v>2650</v>
      </c>
      <c r="AD3109" s="198"/>
      <c r="AE3109" s="198"/>
    </row>
    <row r="3110" spans="1:31" ht="41" customHeight="1">
      <c r="A3110" s="4" t="s">
        <v>8243</v>
      </c>
      <c r="B3110" s="4" t="s">
        <v>8245</v>
      </c>
      <c r="C3110" s="198" t="s">
        <v>23</v>
      </c>
      <c r="D3110" s="198" t="s">
        <v>1241</v>
      </c>
      <c r="E3110" s="198" t="s">
        <v>114</v>
      </c>
      <c r="F3110" s="4" t="s">
        <v>2657</v>
      </c>
      <c r="G3110" s="4" t="s">
        <v>2657</v>
      </c>
      <c r="H3110" s="198" t="s">
        <v>521</v>
      </c>
      <c r="I3110" s="198"/>
      <c r="J3110" s="198" t="s">
        <v>2272</v>
      </c>
      <c r="K3110" s="198" t="s">
        <v>2272</v>
      </c>
      <c r="L3110" s="198" t="s">
        <v>2272</v>
      </c>
      <c r="M3110" s="198" t="s">
        <v>2272</v>
      </c>
      <c r="N3110" s="198" t="s">
        <v>2272</v>
      </c>
      <c r="O3110" s="198" t="s">
        <v>2272</v>
      </c>
      <c r="P3110" s="198" t="s">
        <v>2272</v>
      </c>
      <c r="Q3110" s="198" t="s">
        <v>2272</v>
      </c>
      <c r="R3110" s="198" t="s">
        <v>2272</v>
      </c>
      <c r="S3110" s="198" t="s">
        <v>2272</v>
      </c>
      <c r="T3110" s="198" t="s">
        <v>2272</v>
      </c>
      <c r="U3110" s="198" t="s">
        <v>2272</v>
      </c>
      <c r="V3110" s="198" t="s">
        <v>2272</v>
      </c>
      <c r="W3110" s="198" t="s">
        <v>2272</v>
      </c>
      <c r="X3110" s="198" t="s">
        <v>2272</v>
      </c>
      <c r="Y3110" s="198" t="s">
        <v>2272</v>
      </c>
      <c r="Z3110" s="14">
        <v>0.5</v>
      </c>
      <c r="AA3110" s="198" t="s">
        <v>423</v>
      </c>
      <c r="AB3110" s="198" t="s">
        <v>67</v>
      </c>
      <c r="AC3110" s="198" t="s">
        <v>75</v>
      </c>
      <c r="AD3110" s="4" t="s">
        <v>8253</v>
      </c>
      <c r="AE3110" s="4" t="s">
        <v>8254</v>
      </c>
    </row>
    <row r="3111" spans="1:31" ht="41" customHeight="1">
      <c r="A3111" s="4" t="s">
        <v>8243</v>
      </c>
      <c r="B3111" s="4" t="s">
        <v>8246</v>
      </c>
      <c r="C3111" s="198" t="s">
        <v>23</v>
      </c>
      <c r="D3111" s="198" t="s">
        <v>2337</v>
      </c>
      <c r="E3111" s="198" t="s">
        <v>114</v>
      </c>
      <c r="F3111" s="4" t="s">
        <v>2657</v>
      </c>
      <c r="G3111" s="4" t="s">
        <v>2657</v>
      </c>
      <c r="H3111" s="198" t="s">
        <v>521</v>
      </c>
      <c r="I3111" s="198"/>
      <c r="J3111" s="198" t="s">
        <v>2272</v>
      </c>
      <c r="K3111" s="198" t="s">
        <v>2272</v>
      </c>
      <c r="L3111" s="198" t="s">
        <v>2272</v>
      </c>
      <c r="M3111" s="198" t="s">
        <v>2272</v>
      </c>
      <c r="N3111" s="198" t="s">
        <v>2272</v>
      </c>
      <c r="O3111" s="198" t="s">
        <v>2272</v>
      </c>
      <c r="P3111" s="198" t="s">
        <v>2272</v>
      </c>
      <c r="Q3111" s="198" t="s">
        <v>2272</v>
      </c>
      <c r="R3111" s="198" t="s">
        <v>2272</v>
      </c>
      <c r="S3111" s="198" t="s">
        <v>2272</v>
      </c>
      <c r="T3111" s="198" t="s">
        <v>2272</v>
      </c>
      <c r="U3111" s="198" t="s">
        <v>2272</v>
      </c>
      <c r="V3111" s="198" t="s">
        <v>2272</v>
      </c>
      <c r="W3111" s="198" t="s">
        <v>2272</v>
      </c>
      <c r="X3111" s="198" t="s">
        <v>2272</v>
      </c>
      <c r="Y3111" s="198" t="s">
        <v>2272</v>
      </c>
      <c r="Z3111" s="198" t="s">
        <v>2272</v>
      </c>
      <c r="AA3111" s="198" t="s">
        <v>423</v>
      </c>
      <c r="AB3111" s="198" t="s">
        <v>67</v>
      </c>
      <c r="AC3111" s="198" t="s">
        <v>75</v>
      </c>
      <c r="AD3111" s="198"/>
      <c r="AE3111" s="4" t="s">
        <v>8254</v>
      </c>
    </row>
    <row r="3112" spans="1:31" ht="41" customHeight="1">
      <c r="A3112" s="4" t="s">
        <v>8243</v>
      </c>
      <c r="B3112" s="4" t="s">
        <v>8247</v>
      </c>
      <c r="C3112" s="198" t="s">
        <v>23</v>
      </c>
      <c r="D3112" s="198" t="s">
        <v>1238</v>
      </c>
      <c r="E3112" s="198" t="s">
        <v>114</v>
      </c>
      <c r="F3112" s="4" t="s">
        <v>2657</v>
      </c>
      <c r="G3112" s="4" t="s">
        <v>2657</v>
      </c>
      <c r="H3112" s="198" t="s">
        <v>521</v>
      </c>
      <c r="J3112" s="35" t="s">
        <v>2272</v>
      </c>
      <c r="K3112" s="35" t="s">
        <v>2272</v>
      </c>
      <c r="L3112" s="35" t="s">
        <v>2272</v>
      </c>
      <c r="M3112" s="35" t="s">
        <v>2272</v>
      </c>
      <c r="N3112" s="35" t="s">
        <v>2272</v>
      </c>
      <c r="O3112" s="35" t="s">
        <v>2272</v>
      </c>
      <c r="P3112" s="35" t="s">
        <v>2272</v>
      </c>
      <c r="Q3112" s="35" t="s">
        <v>2272</v>
      </c>
      <c r="R3112" s="35" t="s">
        <v>2272</v>
      </c>
      <c r="S3112" s="35" t="s">
        <v>2272</v>
      </c>
      <c r="T3112" s="35" t="s">
        <v>2272</v>
      </c>
      <c r="U3112" s="35" t="s">
        <v>2272</v>
      </c>
      <c r="V3112" s="35" t="s">
        <v>2272</v>
      </c>
      <c r="W3112" s="35" t="s">
        <v>2272</v>
      </c>
      <c r="X3112" s="35" t="s">
        <v>2272</v>
      </c>
      <c r="Y3112" s="35" t="s">
        <v>2272</v>
      </c>
      <c r="Z3112" s="35" t="s">
        <v>2272</v>
      </c>
      <c r="AA3112" s="35" t="s">
        <v>187</v>
      </c>
      <c r="AB3112" s="35" t="s">
        <v>37</v>
      </c>
      <c r="AC3112" s="35" t="s">
        <v>2650</v>
      </c>
      <c r="AD3112" s="163" t="s">
        <v>8252</v>
      </c>
      <c r="AE3112" s="4" t="s">
        <v>8254</v>
      </c>
    </row>
    <row r="3113" spans="1:31" ht="41" customHeight="1">
      <c r="A3113" s="4" t="s">
        <v>8243</v>
      </c>
      <c r="B3113" s="4" t="s">
        <v>8248</v>
      </c>
      <c r="C3113" s="198" t="s">
        <v>23</v>
      </c>
      <c r="D3113" s="198" t="s">
        <v>2301</v>
      </c>
      <c r="E3113" s="198" t="s">
        <v>114</v>
      </c>
      <c r="F3113" s="4" t="s">
        <v>2657</v>
      </c>
      <c r="G3113" s="4" t="s">
        <v>2657</v>
      </c>
      <c r="H3113" s="198" t="s">
        <v>521</v>
      </c>
      <c r="I3113" s="198"/>
      <c r="J3113" s="198" t="s">
        <v>2272</v>
      </c>
      <c r="K3113" s="198" t="s">
        <v>2272</v>
      </c>
      <c r="L3113" s="198" t="s">
        <v>2272</v>
      </c>
      <c r="M3113" s="198" t="s">
        <v>2272</v>
      </c>
      <c r="N3113" s="198" t="s">
        <v>2272</v>
      </c>
      <c r="O3113" s="198" t="s">
        <v>2272</v>
      </c>
      <c r="P3113" s="198" t="s">
        <v>2272</v>
      </c>
      <c r="Q3113" s="198" t="s">
        <v>2272</v>
      </c>
      <c r="R3113" s="198" t="s">
        <v>2272</v>
      </c>
      <c r="S3113" s="198" t="s">
        <v>2272</v>
      </c>
      <c r="T3113" s="198" t="s">
        <v>2272</v>
      </c>
      <c r="U3113" s="198" t="s">
        <v>2272</v>
      </c>
      <c r="V3113" s="198" t="s">
        <v>2272</v>
      </c>
      <c r="W3113" s="198" t="s">
        <v>2272</v>
      </c>
      <c r="X3113" s="198" t="s">
        <v>2272</v>
      </c>
      <c r="Y3113" s="198" t="s">
        <v>2272</v>
      </c>
      <c r="Z3113" s="198" t="s">
        <v>2272</v>
      </c>
      <c r="AA3113" s="198" t="s">
        <v>37</v>
      </c>
      <c r="AB3113" s="198" t="s">
        <v>33</v>
      </c>
      <c r="AC3113" s="198" t="s">
        <v>2650</v>
      </c>
      <c r="AD3113" s="163" t="s">
        <v>8252</v>
      </c>
      <c r="AE3113" s="4" t="s">
        <v>8254</v>
      </c>
    </row>
    <row r="3114" spans="1:31" ht="41" customHeight="1">
      <c r="A3114" s="4" t="s">
        <v>8243</v>
      </c>
      <c r="B3114" s="4" t="s">
        <v>8249</v>
      </c>
      <c r="C3114" s="198" t="s">
        <v>23</v>
      </c>
      <c r="D3114" s="198" t="s">
        <v>3475</v>
      </c>
      <c r="E3114" s="198" t="s">
        <v>114</v>
      </c>
      <c r="F3114" s="4" t="s">
        <v>2657</v>
      </c>
      <c r="G3114" s="4" t="s">
        <v>2657</v>
      </c>
      <c r="H3114" s="198" t="s">
        <v>521</v>
      </c>
      <c r="I3114" s="198"/>
      <c r="J3114" s="198" t="s">
        <v>2272</v>
      </c>
      <c r="K3114" s="198" t="s">
        <v>2272</v>
      </c>
      <c r="L3114" s="198" t="s">
        <v>2272</v>
      </c>
      <c r="M3114" s="198" t="s">
        <v>2272</v>
      </c>
      <c r="N3114" s="198" t="s">
        <v>2272</v>
      </c>
      <c r="O3114" s="198" t="s">
        <v>2272</v>
      </c>
      <c r="P3114" s="198" t="s">
        <v>2272</v>
      </c>
      <c r="Q3114" s="198" t="s">
        <v>2272</v>
      </c>
      <c r="R3114" s="198" t="s">
        <v>2272</v>
      </c>
      <c r="S3114" s="198" t="s">
        <v>2272</v>
      </c>
      <c r="T3114" s="198" t="s">
        <v>2272</v>
      </c>
      <c r="U3114" s="198" t="s">
        <v>2272</v>
      </c>
      <c r="V3114" s="198" t="s">
        <v>2272</v>
      </c>
      <c r="W3114" s="198" t="s">
        <v>2272</v>
      </c>
      <c r="X3114" s="198" t="s">
        <v>2272</v>
      </c>
      <c r="Y3114" s="198" t="s">
        <v>2272</v>
      </c>
      <c r="Z3114" s="198" t="s">
        <v>2272</v>
      </c>
      <c r="AA3114" s="198" t="s">
        <v>37</v>
      </c>
      <c r="AB3114" s="198" t="s">
        <v>33</v>
      </c>
      <c r="AC3114" s="198" t="s">
        <v>63</v>
      </c>
      <c r="AD3114" s="4"/>
      <c r="AE3114" s="4" t="s">
        <v>8254</v>
      </c>
    </row>
    <row r="3115" spans="1:31" ht="41" customHeight="1">
      <c r="A3115" s="4" t="s">
        <v>8243</v>
      </c>
      <c r="B3115" s="4" t="s">
        <v>8250</v>
      </c>
      <c r="C3115" s="198" t="s">
        <v>23</v>
      </c>
      <c r="D3115" s="198" t="s">
        <v>1238</v>
      </c>
      <c r="E3115" s="198" t="s">
        <v>114</v>
      </c>
      <c r="F3115" s="4" t="s">
        <v>2657</v>
      </c>
      <c r="G3115" s="4" t="s">
        <v>2657</v>
      </c>
      <c r="H3115" s="198" t="s">
        <v>521</v>
      </c>
      <c r="I3115" s="198"/>
      <c r="J3115" s="198" t="s">
        <v>2272</v>
      </c>
      <c r="K3115" s="198" t="s">
        <v>2272</v>
      </c>
      <c r="L3115" s="198" t="s">
        <v>2272</v>
      </c>
      <c r="M3115" s="198" t="s">
        <v>2272</v>
      </c>
      <c r="N3115" s="198" t="s">
        <v>2272</v>
      </c>
      <c r="O3115" s="198" t="s">
        <v>2272</v>
      </c>
      <c r="P3115" s="198" t="s">
        <v>2272</v>
      </c>
      <c r="Q3115" s="198" t="s">
        <v>2272</v>
      </c>
      <c r="R3115" s="198" t="s">
        <v>2272</v>
      </c>
      <c r="S3115" s="198" t="s">
        <v>2272</v>
      </c>
      <c r="T3115" s="198" t="s">
        <v>2272</v>
      </c>
      <c r="U3115" s="198" t="s">
        <v>2272</v>
      </c>
      <c r="V3115" s="198" t="s">
        <v>2272</v>
      </c>
      <c r="W3115" s="198" t="s">
        <v>2272</v>
      </c>
      <c r="X3115" s="198" t="s">
        <v>2272</v>
      </c>
      <c r="Y3115" s="198" t="s">
        <v>2272</v>
      </c>
      <c r="Z3115" s="198" t="s">
        <v>2272</v>
      </c>
      <c r="AA3115" s="198" t="s">
        <v>33</v>
      </c>
      <c r="AB3115" s="198" t="s">
        <v>403</v>
      </c>
      <c r="AC3115" s="198" t="s">
        <v>63</v>
      </c>
      <c r="AD3115" s="4" t="s">
        <v>8251</v>
      </c>
      <c r="AE3115" s="4" t="s">
        <v>8254</v>
      </c>
    </row>
    <row r="3116" spans="1:31" ht="41" customHeight="1">
      <c r="A3116" s="4" t="s">
        <v>8257</v>
      </c>
      <c r="B3116" s="4" t="s">
        <v>8261</v>
      </c>
      <c r="C3116" s="198" t="s">
        <v>23</v>
      </c>
      <c r="D3116" s="198" t="s">
        <v>1241</v>
      </c>
      <c r="E3116" s="198" t="s">
        <v>114</v>
      </c>
      <c r="F3116" s="4" t="s">
        <v>73</v>
      </c>
      <c r="G3116" s="4" t="s">
        <v>73</v>
      </c>
      <c r="H3116" s="198" t="s">
        <v>522</v>
      </c>
      <c r="I3116" s="198">
        <v>1996</v>
      </c>
      <c r="J3116" s="21">
        <v>0</v>
      </c>
      <c r="K3116" s="21">
        <v>0</v>
      </c>
      <c r="L3116" s="21">
        <v>0</v>
      </c>
      <c r="M3116" s="21">
        <v>0</v>
      </c>
      <c r="N3116" s="21">
        <v>0</v>
      </c>
      <c r="O3116" s="21">
        <v>0</v>
      </c>
      <c r="P3116" s="21">
        <v>0</v>
      </c>
      <c r="Q3116" s="21">
        <v>0</v>
      </c>
      <c r="R3116" s="21">
        <v>0</v>
      </c>
      <c r="S3116" s="21">
        <v>0</v>
      </c>
      <c r="T3116" s="21">
        <v>0</v>
      </c>
      <c r="U3116" s="21">
        <v>0</v>
      </c>
      <c r="V3116" s="21">
        <v>0</v>
      </c>
      <c r="W3116" s="21">
        <v>0</v>
      </c>
      <c r="X3116" s="21">
        <v>0</v>
      </c>
      <c r="Y3116" s="21">
        <v>0</v>
      </c>
      <c r="Z3116" s="198" t="s">
        <v>2272</v>
      </c>
      <c r="AA3116" s="198" t="s">
        <v>2272</v>
      </c>
      <c r="AB3116" s="198" t="s">
        <v>2272</v>
      </c>
      <c r="AC3116" s="198" t="s">
        <v>2272</v>
      </c>
      <c r="AD3116" s="198"/>
      <c r="AE3116" s="198"/>
    </row>
    <row r="3117" spans="1:31" ht="41" customHeight="1">
      <c r="A3117" s="4" t="s">
        <v>8257</v>
      </c>
      <c r="B3117" s="4" t="s">
        <v>8262</v>
      </c>
      <c r="C3117" s="198" t="s">
        <v>2651</v>
      </c>
      <c r="D3117" s="198" t="s">
        <v>2272</v>
      </c>
      <c r="E3117" s="198" t="s">
        <v>1102</v>
      </c>
      <c r="F3117" s="4" t="s">
        <v>2272</v>
      </c>
      <c r="G3117" s="4" t="s">
        <v>73</v>
      </c>
      <c r="H3117" s="198" t="s">
        <v>521</v>
      </c>
      <c r="I3117" s="198"/>
      <c r="J3117" s="198" t="s">
        <v>2272</v>
      </c>
      <c r="K3117" s="198" t="s">
        <v>2272</v>
      </c>
      <c r="L3117" s="198" t="s">
        <v>2272</v>
      </c>
      <c r="M3117" s="198" t="s">
        <v>2272</v>
      </c>
      <c r="N3117" s="198" t="s">
        <v>2272</v>
      </c>
      <c r="O3117" s="198" t="s">
        <v>2272</v>
      </c>
      <c r="P3117" s="198" t="s">
        <v>2272</v>
      </c>
      <c r="Q3117" s="198" t="s">
        <v>2272</v>
      </c>
      <c r="R3117" s="198" t="s">
        <v>2272</v>
      </c>
      <c r="S3117" s="21">
        <v>0.1</v>
      </c>
      <c r="T3117" s="198" t="s">
        <v>2272</v>
      </c>
      <c r="U3117" s="198" t="s">
        <v>2272</v>
      </c>
      <c r="V3117" s="198" t="s">
        <v>2272</v>
      </c>
      <c r="W3117" s="198" t="s">
        <v>2272</v>
      </c>
      <c r="X3117" s="198" t="s">
        <v>2272</v>
      </c>
      <c r="Y3117" s="198" t="s">
        <v>2272</v>
      </c>
      <c r="Z3117" s="198" t="s">
        <v>2272</v>
      </c>
      <c r="AA3117" s="198" t="s">
        <v>2272</v>
      </c>
      <c r="AB3117" s="198" t="s">
        <v>2272</v>
      </c>
      <c r="AC3117" s="198" t="s">
        <v>2272</v>
      </c>
      <c r="AD3117" s="198"/>
      <c r="AE3117" s="198"/>
    </row>
    <row r="3118" spans="1:31" ht="41" customHeight="1">
      <c r="A3118" s="4" t="s">
        <v>8257</v>
      </c>
      <c r="B3118" s="4" t="s">
        <v>8266</v>
      </c>
      <c r="C3118" s="198" t="s">
        <v>23</v>
      </c>
      <c r="D3118" s="198" t="s">
        <v>1241</v>
      </c>
      <c r="E3118" s="198" t="s">
        <v>114</v>
      </c>
      <c r="F3118" s="4" t="s">
        <v>73</v>
      </c>
      <c r="G3118" s="4" t="s">
        <v>73</v>
      </c>
      <c r="H3118" s="198" t="s">
        <v>521</v>
      </c>
      <c r="I3118" s="198">
        <v>1950</v>
      </c>
      <c r="J3118" s="198" t="s">
        <v>2272</v>
      </c>
      <c r="K3118" s="198" t="s">
        <v>2272</v>
      </c>
      <c r="L3118" s="198" t="s">
        <v>2272</v>
      </c>
      <c r="M3118" s="198" t="s">
        <v>2272</v>
      </c>
      <c r="N3118" s="198" t="s">
        <v>2272</v>
      </c>
      <c r="O3118" s="198" t="s">
        <v>2272</v>
      </c>
      <c r="P3118" s="198" t="s">
        <v>2272</v>
      </c>
      <c r="Q3118" s="198" t="s">
        <v>2272</v>
      </c>
      <c r="R3118" s="198" t="s">
        <v>2272</v>
      </c>
      <c r="S3118" s="198" t="s">
        <v>2272</v>
      </c>
      <c r="T3118" s="198" t="s">
        <v>2272</v>
      </c>
      <c r="U3118" s="198" t="s">
        <v>2272</v>
      </c>
      <c r="V3118" s="198" t="s">
        <v>2272</v>
      </c>
      <c r="W3118" s="198" t="s">
        <v>2272</v>
      </c>
      <c r="X3118" s="198" t="s">
        <v>2272</v>
      </c>
      <c r="Y3118" s="198" t="s">
        <v>2272</v>
      </c>
      <c r="Z3118" s="198" t="s">
        <v>2272</v>
      </c>
      <c r="AA3118" s="198" t="s">
        <v>2272</v>
      </c>
      <c r="AB3118" s="198" t="s">
        <v>187</v>
      </c>
      <c r="AC3118" s="198" t="s">
        <v>37</v>
      </c>
      <c r="AD3118" s="198"/>
      <c r="AE3118" s="198"/>
    </row>
    <row r="3119" spans="1:31" ht="41" customHeight="1">
      <c r="A3119" s="4" t="s">
        <v>8257</v>
      </c>
      <c r="B3119" s="4" t="s">
        <v>8268</v>
      </c>
      <c r="C3119" s="198" t="s">
        <v>23</v>
      </c>
      <c r="D3119" s="198" t="s">
        <v>3475</v>
      </c>
      <c r="E3119" s="198" t="s">
        <v>114</v>
      </c>
      <c r="F3119" s="4" t="s">
        <v>73</v>
      </c>
      <c r="G3119" s="4" t="s">
        <v>73</v>
      </c>
      <c r="H3119" s="198" t="s">
        <v>521</v>
      </c>
      <c r="I3119" s="198">
        <v>1950</v>
      </c>
      <c r="J3119" s="198" t="s">
        <v>2272</v>
      </c>
      <c r="K3119" s="198" t="s">
        <v>2272</v>
      </c>
      <c r="L3119" s="198" t="s">
        <v>2272</v>
      </c>
      <c r="M3119" s="198" t="s">
        <v>2272</v>
      </c>
      <c r="N3119" s="198" t="s">
        <v>2272</v>
      </c>
      <c r="O3119" s="198" t="s">
        <v>2272</v>
      </c>
      <c r="P3119" s="198" t="s">
        <v>2272</v>
      </c>
      <c r="Q3119" s="198" t="s">
        <v>2272</v>
      </c>
      <c r="R3119" s="198" t="s">
        <v>2272</v>
      </c>
      <c r="S3119" s="198" t="s">
        <v>2272</v>
      </c>
      <c r="T3119" s="198" t="s">
        <v>2272</v>
      </c>
      <c r="U3119" s="198" t="s">
        <v>2272</v>
      </c>
      <c r="V3119" s="198" t="s">
        <v>2272</v>
      </c>
      <c r="W3119" s="198" t="s">
        <v>2272</v>
      </c>
      <c r="X3119" s="198" t="s">
        <v>2272</v>
      </c>
      <c r="Y3119" s="198" t="s">
        <v>2272</v>
      </c>
      <c r="Z3119" s="198" t="s">
        <v>2272</v>
      </c>
      <c r="AA3119" s="198" t="s">
        <v>2272</v>
      </c>
      <c r="AB3119" s="198" t="s">
        <v>187</v>
      </c>
      <c r="AC3119" s="198" t="s">
        <v>37</v>
      </c>
      <c r="AD3119" s="198"/>
      <c r="AE3119" s="198"/>
    </row>
    <row r="3120" spans="1:31" ht="41" customHeight="1">
      <c r="A3120" s="4" t="s">
        <v>8270</v>
      </c>
      <c r="B3120" s="4" t="s">
        <v>8274</v>
      </c>
      <c r="C3120" s="198" t="s">
        <v>23</v>
      </c>
      <c r="D3120" s="198" t="s">
        <v>1238</v>
      </c>
      <c r="E3120" s="198" t="s">
        <v>114</v>
      </c>
      <c r="F3120" s="4" t="s">
        <v>2657</v>
      </c>
      <c r="G3120" s="4" t="s">
        <v>2657</v>
      </c>
      <c r="H3120" s="198" t="s">
        <v>521</v>
      </c>
      <c r="I3120" s="198"/>
      <c r="J3120" s="198" t="s">
        <v>2272</v>
      </c>
      <c r="K3120" s="198" t="s">
        <v>2272</v>
      </c>
      <c r="L3120" s="198" t="s">
        <v>2272</v>
      </c>
      <c r="M3120" s="198" t="s">
        <v>2272</v>
      </c>
      <c r="N3120" s="198" t="s">
        <v>2272</v>
      </c>
      <c r="O3120" s="198" t="s">
        <v>2272</v>
      </c>
      <c r="P3120" s="198" t="s">
        <v>2272</v>
      </c>
      <c r="Q3120" s="198" t="s">
        <v>2272</v>
      </c>
      <c r="R3120" s="198" t="s">
        <v>2272</v>
      </c>
      <c r="S3120" s="198" t="s">
        <v>2272</v>
      </c>
      <c r="T3120" s="198" t="s">
        <v>2272</v>
      </c>
      <c r="U3120" s="198" t="s">
        <v>2272</v>
      </c>
      <c r="V3120" s="198" t="s">
        <v>2272</v>
      </c>
      <c r="W3120" s="198" t="s">
        <v>2272</v>
      </c>
      <c r="X3120" s="198" t="s">
        <v>2272</v>
      </c>
      <c r="Y3120" s="198" t="s">
        <v>2272</v>
      </c>
      <c r="Z3120" s="198" t="s">
        <v>2272</v>
      </c>
      <c r="AA3120" s="198" t="s">
        <v>2272</v>
      </c>
      <c r="AB3120" s="198" t="s">
        <v>2272</v>
      </c>
      <c r="AC3120" s="198" t="s">
        <v>2272</v>
      </c>
      <c r="AD3120" s="198"/>
      <c r="AE3120" s="198"/>
    </row>
    <row r="3121" spans="1:31" ht="41" customHeight="1">
      <c r="A3121" s="4" t="s">
        <v>8271</v>
      </c>
      <c r="B3121" s="4" t="s">
        <v>8275</v>
      </c>
      <c r="C3121" s="198" t="s">
        <v>23</v>
      </c>
      <c r="D3121" s="198" t="s">
        <v>1238</v>
      </c>
      <c r="E3121" s="198" t="s">
        <v>114</v>
      </c>
      <c r="F3121" s="4" t="s">
        <v>2657</v>
      </c>
      <c r="G3121" s="4" t="s">
        <v>2657</v>
      </c>
      <c r="H3121" s="198" t="s">
        <v>521</v>
      </c>
      <c r="I3121" s="198"/>
      <c r="J3121" s="198" t="s">
        <v>2272</v>
      </c>
      <c r="K3121" s="198" t="s">
        <v>2272</v>
      </c>
      <c r="L3121" s="198" t="s">
        <v>2272</v>
      </c>
      <c r="M3121" s="198" t="s">
        <v>2272</v>
      </c>
      <c r="N3121" s="198" t="s">
        <v>2272</v>
      </c>
      <c r="O3121" s="198" t="s">
        <v>2272</v>
      </c>
      <c r="P3121" s="198" t="s">
        <v>2272</v>
      </c>
      <c r="Q3121" s="198" t="s">
        <v>2272</v>
      </c>
      <c r="R3121" s="198" t="s">
        <v>2272</v>
      </c>
      <c r="S3121" s="198" t="s">
        <v>2272</v>
      </c>
      <c r="T3121" s="198" t="s">
        <v>2272</v>
      </c>
      <c r="U3121" s="198" t="s">
        <v>2272</v>
      </c>
      <c r="V3121" s="198" t="s">
        <v>2272</v>
      </c>
      <c r="W3121" s="198" t="s">
        <v>2272</v>
      </c>
      <c r="X3121" s="198" t="s">
        <v>2272</v>
      </c>
      <c r="Y3121" s="198" t="s">
        <v>2272</v>
      </c>
      <c r="Z3121" s="198" t="s">
        <v>2272</v>
      </c>
      <c r="AA3121" s="198" t="s">
        <v>2272</v>
      </c>
      <c r="AB3121" s="198" t="s">
        <v>2272</v>
      </c>
      <c r="AC3121" s="198" t="s">
        <v>2272</v>
      </c>
      <c r="AD3121" s="198"/>
      <c r="AE3121" s="198"/>
    </row>
    <row r="3122" spans="1:31" ht="41" customHeight="1">
      <c r="A3122" s="4" t="s">
        <v>8272</v>
      </c>
      <c r="B3122" s="4" t="s">
        <v>8276</v>
      </c>
      <c r="C3122" s="198" t="s">
        <v>23</v>
      </c>
      <c r="D3122" s="198" t="s">
        <v>1238</v>
      </c>
      <c r="E3122" s="198" t="s">
        <v>114</v>
      </c>
      <c r="F3122" s="4" t="s">
        <v>2657</v>
      </c>
      <c r="G3122" s="4" t="s">
        <v>2657</v>
      </c>
      <c r="H3122" s="198" t="s">
        <v>521</v>
      </c>
      <c r="I3122" s="198"/>
      <c r="J3122" s="198" t="s">
        <v>2272</v>
      </c>
      <c r="K3122" s="198" t="s">
        <v>2272</v>
      </c>
      <c r="L3122" s="198" t="s">
        <v>2272</v>
      </c>
      <c r="M3122" s="198" t="s">
        <v>2272</v>
      </c>
      <c r="N3122" s="198" t="s">
        <v>2272</v>
      </c>
      <c r="O3122" s="198" t="s">
        <v>2272</v>
      </c>
      <c r="P3122" s="198" t="s">
        <v>2272</v>
      </c>
      <c r="Q3122" s="198" t="s">
        <v>2272</v>
      </c>
      <c r="R3122" s="198" t="s">
        <v>2272</v>
      </c>
      <c r="S3122" s="198" t="s">
        <v>2272</v>
      </c>
      <c r="T3122" s="198" t="s">
        <v>2272</v>
      </c>
      <c r="U3122" s="198" t="s">
        <v>2272</v>
      </c>
      <c r="V3122" s="198" t="s">
        <v>2272</v>
      </c>
      <c r="W3122" s="198" t="s">
        <v>2272</v>
      </c>
      <c r="X3122" s="198" t="s">
        <v>2272</v>
      </c>
      <c r="Y3122" s="198" t="s">
        <v>2272</v>
      </c>
      <c r="Z3122" s="198" t="s">
        <v>2272</v>
      </c>
      <c r="AA3122" s="198" t="s">
        <v>2272</v>
      </c>
      <c r="AB3122" s="198" t="s">
        <v>2272</v>
      </c>
      <c r="AC3122" s="198" t="s">
        <v>2272</v>
      </c>
      <c r="AD3122" s="198"/>
      <c r="AE3122" s="198"/>
    </row>
    <row r="3123" spans="1:31" ht="41" customHeight="1">
      <c r="A3123" s="4" t="s">
        <v>8270</v>
      </c>
      <c r="B3123" s="4" t="s">
        <v>8279</v>
      </c>
      <c r="C3123" s="198" t="s">
        <v>23</v>
      </c>
      <c r="D3123" s="198" t="s">
        <v>1238</v>
      </c>
      <c r="E3123" s="198" t="s">
        <v>3204</v>
      </c>
      <c r="F3123" s="4" t="s">
        <v>2657</v>
      </c>
      <c r="G3123" s="4" t="s">
        <v>2657</v>
      </c>
      <c r="H3123" s="198" t="s">
        <v>521</v>
      </c>
      <c r="I3123" s="198"/>
      <c r="J3123" s="198" t="s">
        <v>2272</v>
      </c>
      <c r="K3123" s="198" t="s">
        <v>2272</v>
      </c>
      <c r="L3123" s="198" t="s">
        <v>2272</v>
      </c>
      <c r="M3123" s="198" t="s">
        <v>2272</v>
      </c>
      <c r="N3123" s="198" t="s">
        <v>2272</v>
      </c>
      <c r="O3123" s="198" t="s">
        <v>2272</v>
      </c>
      <c r="P3123" s="198" t="s">
        <v>2272</v>
      </c>
      <c r="Q3123" s="198" t="s">
        <v>2272</v>
      </c>
      <c r="R3123" s="198" t="s">
        <v>2272</v>
      </c>
      <c r="S3123" s="198" t="s">
        <v>2272</v>
      </c>
      <c r="T3123" s="198" t="s">
        <v>2272</v>
      </c>
      <c r="U3123" s="198" t="s">
        <v>2272</v>
      </c>
      <c r="V3123" s="198" t="s">
        <v>2272</v>
      </c>
      <c r="W3123" s="198" t="s">
        <v>2272</v>
      </c>
      <c r="X3123" s="198" t="s">
        <v>2272</v>
      </c>
      <c r="Y3123" s="198" t="s">
        <v>2272</v>
      </c>
      <c r="Z3123" s="198" t="s">
        <v>2272</v>
      </c>
      <c r="AA3123" s="198" t="s">
        <v>2272</v>
      </c>
      <c r="AB3123" s="198" t="s">
        <v>2272</v>
      </c>
      <c r="AC3123" s="198" t="s">
        <v>2272</v>
      </c>
      <c r="AD3123" s="198"/>
      <c r="AE3123" s="198"/>
    </row>
    <row r="3124" spans="1:31" ht="41" customHeight="1">
      <c r="A3124" s="4" t="s">
        <v>8271</v>
      </c>
      <c r="B3124" s="4" t="s">
        <v>8280</v>
      </c>
      <c r="C3124" s="198" t="s">
        <v>23</v>
      </c>
      <c r="D3124" s="198" t="s">
        <v>1238</v>
      </c>
      <c r="E3124" s="198" t="s">
        <v>3204</v>
      </c>
      <c r="F3124" s="4" t="s">
        <v>2657</v>
      </c>
      <c r="G3124" s="4" t="s">
        <v>2657</v>
      </c>
      <c r="H3124" s="198" t="s">
        <v>521</v>
      </c>
      <c r="I3124" s="198"/>
      <c r="J3124" s="198" t="s">
        <v>2272</v>
      </c>
      <c r="K3124" s="198" t="s">
        <v>2272</v>
      </c>
      <c r="L3124" s="198" t="s">
        <v>2272</v>
      </c>
      <c r="M3124" s="198" t="s">
        <v>2272</v>
      </c>
      <c r="N3124" s="198" t="s">
        <v>2272</v>
      </c>
      <c r="O3124" s="198" t="s">
        <v>2272</v>
      </c>
      <c r="P3124" s="198" t="s">
        <v>2272</v>
      </c>
      <c r="Q3124" s="198" t="s">
        <v>2272</v>
      </c>
      <c r="R3124" s="198" t="s">
        <v>2272</v>
      </c>
      <c r="S3124" s="198" t="s">
        <v>2272</v>
      </c>
      <c r="T3124" s="198" t="s">
        <v>2272</v>
      </c>
      <c r="U3124" s="198" t="s">
        <v>2272</v>
      </c>
      <c r="V3124" s="198" t="s">
        <v>2272</v>
      </c>
      <c r="W3124" s="198" t="s">
        <v>2272</v>
      </c>
      <c r="X3124" s="198" t="s">
        <v>2272</v>
      </c>
      <c r="Y3124" s="198" t="s">
        <v>2272</v>
      </c>
      <c r="Z3124" s="198" t="s">
        <v>2272</v>
      </c>
      <c r="AA3124" s="198" t="s">
        <v>2272</v>
      </c>
      <c r="AB3124" s="198" t="s">
        <v>2272</v>
      </c>
      <c r="AC3124" s="198" t="s">
        <v>2272</v>
      </c>
      <c r="AD3124" s="198"/>
      <c r="AE3124" s="198"/>
    </row>
    <row r="3125" spans="1:31" ht="41" customHeight="1">
      <c r="A3125" s="4" t="s">
        <v>8272</v>
      </c>
      <c r="B3125" s="4" t="s">
        <v>8277</v>
      </c>
      <c r="C3125" s="198" t="s">
        <v>23</v>
      </c>
      <c r="D3125" s="198" t="s">
        <v>1238</v>
      </c>
      <c r="E3125" s="198" t="s">
        <v>3204</v>
      </c>
      <c r="F3125" s="4" t="s">
        <v>2657</v>
      </c>
      <c r="G3125" s="4" t="s">
        <v>2657</v>
      </c>
      <c r="H3125" s="198" t="s">
        <v>521</v>
      </c>
      <c r="I3125" s="198"/>
      <c r="J3125" s="198" t="s">
        <v>2272</v>
      </c>
      <c r="K3125" s="198" t="s">
        <v>2272</v>
      </c>
      <c r="L3125" s="198" t="s">
        <v>2272</v>
      </c>
      <c r="M3125" s="198" t="s">
        <v>2272</v>
      </c>
      <c r="N3125" s="198" t="s">
        <v>2272</v>
      </c>
      <c r="O3125" s="198" t="s">
        <v>2272</v>
      </c>
      <c r="P3125" s="198" t="s">
        <v>2272</v>
      </c>
      <c r="Q3125" s="198" t="s">
        <v>2272</v>
      </c>
      <c r="R3125" s="198" t="s">
        <v>2272</v>
      </c>
      <c r="S3125" s="198" t="s">
        <v>2272</v>
      </c>
      <c r="T3125" s="198" t="s">
        <v>2272</v>
      </c>
      <c r="U3125" s="198" t="s">
        <v>2272</v>
      </c>
      <c r="V3125" s="198" t="s">
        <v>2272</v>
      </c>
      <c r="W3125" s="198" t="s">
        <v>2272</v>
      </c>
      <c r="X3125" s="198" t="s">
        <v>2272</v>
      </c>
      <c r="Y3125" s="198" t="s">
        <v>2272</v>
      </c>
      <c r="Z3125" s="198" t="s">
        <v>2272</v>
      </c>
      <c r="AA3125" s="198" t="s">
        <v>2272</v>
      </c>
      <c r="AB3125" s="198" t="s">
        <v>2272</v>
      </c>
      <c r="AC3125" s="198" t="s">
        <v>2272</v>
      </c>
      <c r="AD3125" s="198"/>
      <c r="AE3125" s="198"/>
    </row>
    <row r="3126" spans="1:31" ht="41" customHeight="1">
      <c r="A3126" s="4" t="s">
        <v>8272</v>
      </c>
      <c r="B3126" s="4" t="s">
        <v>8278</v>
      </c>
      <c r="C3126" s="198" t="s">
        <v>23</v>
      </c>
      <c r="D3126" s="198" t="s">
        <v>3475</v>
      </c>
      <c r="E3126" s="198" t="s">
        <v>114</v>
      </c>
      <c r="F3126" s="4" t="s">
        <v>2657</v>
      </c>
      <c r="G3126" s="4" t="s">
        <v>2657</v>
      </c>
      <c r="H3126" s="198" t="s">
        <v>521</v>
      </c>
      <c r="I3126" s="198"/>
      <c r="J3126" s="198" t="s">
        <v>2272</v>
      </c>
      <c r="K3126" s="198" t="s">
        <v>2272</v>
      </c>
      <c r="L3126" s="198" t="s">
        <v>2272</v>
      </c>
      <c r="M3126" s="198" t="s">
        <v>2272</v>
      </c>
      <c r="N3126" s="198" t="s">
        <v>2272</v>
      </c>
      <c r="O3126" s="198" t="s">
        <v>2272</v>
      </c>
      <c r="P3126" s="198" t="s">
        <v>2272</v>
      </c>
      <c r="Q3126" s="198" t="s">
        <v>2272</v>
      </c>
      <c r="R3126" s="198" t="s">
        <v>2272</v>
      </c>
      <c r="S3126" s="198" t="s">
        <v>2272</v>
      </c>
      <c r="T3126" s="198" t="s">
        <v>2272</v>
      </c>
      <c r="U3126" s="198" t="s">
        <v>2272</v>
      </c>
      <c r="V3126" s="198" t="s">
        <v>2272</v>
      </c>
      <c r="W3126" s="198" t="s">
        <v>2272</v>
      </c>
      <c r="X3126" s="198" t="s">
        <v>2272</v>
      </c>
      <c r="Y3126" s="198" t="s">
        <v>2272</v>
      </c>
      <c r="Z3126" s="198" t="s">
        <v>2272</v>
      </c>
      <c r="AA3126" s="198" t="s">
        <v>2272</v>
      </c>
      <c r="AB3126" s="198" t="s">
        <v>2272</v>
      </c>
      <c r="AC3126" s="198" t="s">
        <v>2272</v>
      </c>
      <c r="AD3126" s="198"/>
      <c r="AE3126" s="198"/>
    </row>
    <row r="3127" spans="1:31" ht="41" customHeight="1">
      <c r="A3127" s="4" t="s">
        <v>8285</v>
      </c>
      <c r="B3127" s="4" t="s">
        <v>8287</v>
      </c>
      <c r="C3127" s="198" t="s">
        <v>23</v>
      </c>
      <c r="D3127" s="198" t="s">
        <v>404</v>
      </c>
      <c r="E3127" s="198" t="s">
        <v>114</v>
      </c>
      <c r="F3127" s="4" t="s">
        <v>2657</v>
      </c>
      <c r="G3127" s="4" t="s">
        <v>2657</v>
      </c>
      <c r="H3127" s="198" t="s">
        <v>521</v>
      </c>
      <c r="I3127" s="198"/>
      <c r="J3127" s="198" t="s">
        <v>2272</v>
      </c>
      <c r="K3127" s="198" t="s">
        <v>2272</v>
      </c>
      <c r="L3127" s="198" t="s">
        <v>2272</v>
      </c>
      <c r="M3127" s="198" t="s">
        <v>2272</v>
      </c>
      <c r="N3127" s="198" t="s">
        <v>2272</v>
      </c>
      <c r="O3127" s="198" t="s">
        <v>2272</v>
      </c>
      <c r="P3127" s="198" t="s">
        <v>2272</v>
      </c>
      <c r="Q3127" s="198" t="s">
        <v>2272</v>
      </c>
      <c r="R3127" s="198" t="s">
        <v>2272</v>
      </c>
      <c r="S3127" s="198" t="s">
        <v>2272</v>
      </c>
      <c r="T3127" s="198" t="s">
        <v>2272</v>
      </c>
      <c r="U3127" s="198" t="s">
        <v>2272</v>
      </c>
      <c r="V3127" s="198" t="s">
        <v>2272</v>
      </c>
      <c r="W3127" s="198" t="s">
        <v>2272</v>
      </c>
      <c r="X3127" s="198" t="s">
        <v>2272</v>
      </c>
      <c r="Y3127" s="198" t="s">
        <v>2272</v>
      </c>
      <c r="Z3127" s="198" t="s">
        <v>2272</v>
      </c>
      <c r="AA3127" s="198" t="s">
        <v>2272</v>
      </c>
      <c r="AB3127" s="198" t="s">
        <v>2272</v>
      </c>
      <c r="AC3127" s="198" t="s">
        <v>2272</v>
      </c>
      <c r="AD3127" s="198"/>
      <c r="AE3127" s="198"/>
    </row>
    <row r="3128" spans="1:31" ht="41" customHeight="1">
      <c r="A3128" s="4" t="s">
        <v>8285</v>
      </c>
      <c r="B3128" s="4" t="s">
        <v>8288</v>
      </c>
      <c r="C3128" s="198" t="s">
        <v>23</v>
      </c>
      <c r="D3128" s="198" t="s">
        <v>3475</v>
      </c>
      <c r="E3128" s="198" t="s">
        <v>114</v>
      </c>
      <c r="F3128" s="4" t="s">
        <v>2657</v>
      </c>
      <c r="G3128" s="4" t="s">
        <v>2657</v>
      </c>
      <c r="H3128" s="198" t="s">
        <v>521</v>
      </c>
      <c r="I3128" s="198"/>
      <c r="J3128" s="198" t="s">
        <v>2272</v>
      </c>
      <c r="K3128" s="198" t="s">
        <v>2272</v>
      </c>
      <c r="L3128" s="198" t="s">
        <v>2272</v>
      </c>
      <c r="M3128" s="198" t="s">
        <v>2272</v>
      </c>
      <c r="N3128" s="198" t="s">
        <v>2272</v>
      </c>
      <c r="O3128" s="198" t="s">
        <v>2272</v>
      </c>
      <c r="P3128" s="198" t="s">
        <v>2272</v>
      </c>
      <c r="Q3128" s="198" t="s">
        <v>2272</v>
      </c>
      <c r="R3128" s="198" t="s">
        <v>2272</v>
      </c>
      <c r="S3128" s="198" t="s">
        <v>2272</v>
      </c>
      <c r="T3128" s="198" t="s">
        <v>2272</v>
      </c>
      <c r="U3128" s="198" t="s">
        <v>2272</v>
      </c>
      <c r="V3128" s="198" t="s">
        <v>2272</v>
      </c>
      <c r="W3128" s="198" t="s">
        <v>2272</v>
      </c>
      <c r="X3128" s="198" t="s">
        <v>2272</v>
      </c>
      <c r="Y3128" s="198" t="s">
        <v>2272</v>
      </c>
      <c r="Z3128" s="198" t="s">
        <v>2272</v>
      </c>
      <c r="AA3128" s="198" t="s">
        <v>2272</v>
      </c>
      <c r="AB3128" s="198" t="s">
        <v>2272</v>
      </c>
      <c r="AC3128" s="198" t="s">
        <v>2272</v>
      </c>
      <c r="AD3128" s="198"/>
      <c r="AE3128" s="198"/>
    </row>
    <row r="3129" spans="1:31" ht="41" customHeight="1">
      <c r="A3129" s="4" t="s">
        <v>8285</v>
      </c>
      <c r="B3129" s="4" t="s">
        <v>8289</v>
      </c>
      <c r="C3129" s="198" t="s">
        <v>23</v>
      </c>
      <c r="D3129" s="198" t="s">
        <v>1241</v>
      </c>
      <c r="E3129" s="198" t="s">
        <v>114</v>
      </c>
      <c r="F3129" s="4" t="s">
        <v>2657</v>
      </c>
      <c r="G3129" s="4" t="s">
        <v>2657</v>
      </c>
      <c r="H3129" s="198" t="s">
        <v>521</v>
      </c>
      <c r="I3129" s="198"/>
      <c r="J3129" s="198" t="s">
        <v>2272</v>
      </c>
      <c r="K3129" s="198" t="s">
        <v>2272</v>
      </c>
      <c r="L3129" s="198" t="s">
        <v>2272</v>
      </c>
      <c r="M3129" s="198" t="s">
        <v>2272</v>
      </c>
      <c r="N3129" s="198" t="s">
        <v>2272</v>
      </c>
      <c r="O3129" s="198" t="s">
        <v>2272</v>
      </c>
      <c r="P3129" s="198" t="s">
        <v>2272</v>
      </c>
      <c r="Q3129" s="198" t="s">
        <v>2272</v>
      </c>
      <c r="R3129" s="198" t="s">
        <v>2272</v>
      </c>
      <c r="S3129" s="198" t="s">
        <v>2272</v>
      </c>
      <c r="T3129" s="198" t="s">
        <v>2272</v>
      </c>
      <c r="U3129" s="198" t="s">
        <v>2272</v>
      </c>
      <c r="V3129" s="198" t="s">
        <v>2272</v>
      </c>
      <c r="W3129" s="198" t="s">
        <v>2272</v>
      </c>
      <c r="X3129" s="198" t="s">
        <v>2272</v>
      </c>
      <c r="Y3129" s="198" t="s">
        <v>2272</v>
      </c>
      <c r="Z3129" s="198" t="s">
        <v>2272</v>
      </c>
      <c r="AA3129" s="198" t="s">
        <v>2272</v>
      </c>
      <c r="AB3129" s="198" t="s">
        <v>2272</v>
      </c>
      <c r="AC3129" s="198" t="s">
        <v>2272</v>
      </c>
      <c r="AD3129" s="198"/>
      <c r="AE3129" s="198"/>
    </row>
    <row r="3130" spans="1:31" ht="41" customHeight="1">
      <c r="A3130" s="4" t="s">
        <v>8285</v>
      </c>
      <c r="B3130" s="4" t="s">
        <v>8294</v>
      </c>
      <c r="C3130" s="198" t="s">
        <v>23</v>
      </c>
      <c r="D3130" s="198" t="s">
        <v>2654</v>
      </c>
      <c r="E3130" s="198" t="s">
        <v>2644</v>
      </c>
      <c r="F3130" s="4" t="s">
        <v>73</v>
      </c>
      <c r="G3130" s="4" t="s">
        <v>2272</v>
      </c>
      <c r="H3130" s="198" t="s">
        <v>521</v>
      </c>
      <c r="I3130" s="198"/>
      <c r="J3130" s="198" t="s">
        <v>2272</v>
      </c>
      <c r="K3130" s="198" t="s">
        <v>2272</v>
      </c>
      <c r="L3130" s="198" t="s">
        <v>2272</v>
      </c>
      <c r="M3130" s="198" t="s">
        <v>2272</v>
      </c>
      <c r="N3130" s="198" t="s">
        <v>2272</v>
      </c>
      <c r="O3130" s="198" t="s">
        <v>2272</v>
      </c>
      <c r="P3130" s="198" t="s">
        <v>2272</v>
      </c>
      <c r="Q3130" s="198" t="s">
        <v>2272</v>
      </c>
      <c r="R3130" s="198" t="s">
        <v>2272</v>
      </c>
      <c r="S3130" s="198" t="s">
        <v>2272</v>
      </c>
      <c r="T3130" s="198" t="s">
        <v>2272</v>
      </c>
      <c r="U3130" s="198" t="s">
        <v>2272</v>
      </c>
      <c r="V3130" s="198" t="s">
        <v>2272</v>
      </c>
      <c r="W3130" s="198" t="s">
        <v>2272</v>
      </c>
      <c r="X3130" s="198" t="s">
        <v>2272</v>
      </c>
      <c r="Y3130" s="198" t="s">
        <v>2272</v>
      </c>
      <c r="Z3130" s="198" t="s">
        <v>2272</v>
      </c>
      <c r="AA3130" s="198" t="s">
        <v>2272</v>
      </c>
      <c r="AB3130" s="198" t="s">
        <v>2272</v>
      </c>
      <c r="AC3130" s="198" t="s">
        <v>2272</v>
      </c>
      <c r="AD3130" s="198" t="s">
        <v>8298</v>
      </c>
      <c r="AE3130" s="198"/>
    </row>
    <row r="3131" spans="1:31" ht="41" customHeight="1">
      <c r="A3131" s="4" t="s">
        <v>8285</v>
      </c>
      <c r="B3131" s="4" t="s">
        <v>8295</v>
      </c>
      <c r="C3131" s="198" t="s">
        <v>23</v>
      </c>
      <c r="D3131" s="198" t="s">
        <v>60</v>
      </c>
      <c r="E3131" s="198" t="s">
        <v>2644</v>
      </c>
      <c r="F3131" s="4" t="s">
        <v>73</v>
      </c>
      <c r="G3131" s="4" t="s">
        <v>2272</v>
      </c>
      <c r="H3131" s="198" t="s">
        <v>521</v>
      </c>
      <c r="I3131" s="198"/>
      <c r="J3131" s="198" t="s">
        <v>2272</v>
      </c>
      <c r="K3131" s="198" t="s">
        <v>2272</v>
      </c>
      <c r="L3131" s="198" t="s">
        <v>2272</v>
      </c>
      <c r="M3131" s="198" t="s">
        <v>2272</v>
      </c>
      <c r="N3131" s="198" t="s">
        <v>2272</v>
      </c>
      <c r="O3131" s="198" t="s">
        <v>2272</v>
      </c>
      <c r="P3131" s="198" t="s">
        <v>2272</v>
      </c>
      <c r="Q3131" s="198" t="s">
        <v>2272</v>
      </c>
      <c r="R3131" s="198" t="s">
        <v>2272</v>
      </c>
      <c r="S3131" s="198" t="s">
        <v>2272</v>
      </c>
      <c r="T3131" s="198" t="s">
        <v>2272</v>
      </c>
      <c r="U3131" s="198" t="s">
        <v>2272</v>
      </c>
      <c r="V3131" s="198" t="s">
        <v>2272</v>
      </c>
      <c r="W3131" s="198" t="s">
        <v>2272</v>
      </c>
      <c r="X3131" s="198" t="s">
        <v>2272</v>
      </c>
      <c r="Y3131" s="198" t="s">
        <v>2272</v>
      </c>
      <c r="Z3131" s="198" t="s">
        <v>2272</v>
      </c>
      <c r="AA3131" s="198" t="s">
        <v>2272</v>
      </c>
      <c r="AB3131" s="198" t="s">
        <v>2272</v>
      </c>
      <c r="AC3131" s="198" t="s">
        <v>2272</v>
      </c>
      <c r="AD3131" s="198"/>
      <c r="AE3131" s="198"/>
    </row>
    <row r="3132" spans="1:31" ht="41" customHeight="1">
      <c r="A3132" s="4" t="s">
        <v>8285</v>
      </c>
      <c r="B3132" s="4" t="s">
        <v>8296</v>
      </c>
      <c r="C3132" s="198" t="s">
        <v>23</v>
      </c>
      <c r="D3132" s="198" t="s">
        <v>1238</v>
      </c>
      <c r="E3132" s="198" t="s">
        <v>114</v>
      </c>
      <c r="F3132" s="4" t="s">
        <v>2657</v>
      </c>
      <c r="G3132" s="4" t="s">
        <v>2657</v>
      </c>
      <c r="H3132" s="198" t="s">
        <v>521</v>
      </c>
      <c r="I3132" s="198"/>
      <c r="J3132" s="198" t="s">
        <v>2272</v>
      </c>
      <c r="K3132" s="198" t="s">
        <v>2272</v>
      </c>
      <c r="L3132" s="198" t="s">
        <v>2272</v>
      </c>
      <c r="M3132" s="198" t="s">
        <v>2272</v>
      </c>
      <c r="N3132" s="198" t="s">
        <v>2272</v>
      </c>
      <c r="O3132" s="198" t="s">
        <v>2272</v>
      </c>
      <c r="P3132" s="198" t="s">
        <v>2272</v>
      </c>
      <c r="Q3132" s="198" t="s">
        <v>2272</v>
      </c>
      <c r="R3132" s="198" t="s">
        <v>2272</v>
      </c>
      <c r="S3132" s="198" t="s">
        <v>2272</v>
      </c>
      <c r="T3132" s="198" t="s">
        <v>2272</v>
      </c>
      <c r="U3132" s="198" t="s">
        <v>2272</v>
      </c>
      <c r="V3132" s="198" t="s">
        <v>2272</v>
      </c>
      <c r="W3132" s="198" t="s">
        <v>2272</v>
      </c>
      <c r="X3132" s="198" t="s">
        <v>2272</v>
      </c>
      <c r="Y3132" s="198" t="s">
        <v>2272</v>
      </c>
      <c r="Z3132" s="198" t="s">
        <v>2272</v>
      </c>
      <c r="AA3132" s="198" t="s">
        <v>2272</v>
      </c>
      <c r="AB3132" s="198" t="s">
        <v>2272</v>
      </c>
      <c r="AC3132" s="198" t="s">
        <v>2272</v>
      </c>
      <c r="AD3132" s="198"/>
      <c r="AE3132" s="198"/>
    </row>
    <row r="3133" spans="1:31" ht="41" customHeight="1">
      <c r="A3133" s="4" t="s">
        <v>8285</v>
      </c>
      <c r="B3133" s="4" t="s">
        <v>8297</v>
      </c>
      <c r="C3133" s="198" t="s">
        <v>23</v>
      </c>
      <c r="D3133" s="198" t="s">
        <v>25</v>
      </c>
      <c r="E3133" s="198" t="s">
        <v>114</v>
      </c>
      <c r="F3133" s="4" t="s">
        <v>2657</v>
      </c>
      <c r="G3133" s="4" t="s">
        <v>2657</v>
      </c>
      <c r="H3133" s="198" t="s">
        <v>521</v>
      </c>
      <c r="I3133" s="198"/>
      <c r="J3133" s="198" t="s">
        <v>2272</v>
      </c>
      <c r="K3133" s="198" t="s">
        <v>2272</v>
      </c>
      <c r="L3133" s="198" t="s">
        <v>2272</v>
      </c>
      <c r="M3133" s="198" t="s">
        <v>2272</v>
      </c>
      <c r="N3133" s="198" t="s">
        <v>2272</v>
      </c>
      <c r="O3133" s="198" t="s">
        <v>2272</v>
      </c>
      <c r="P3133" s="198" t="s">
        <v>2272</v>
      </c>
      <c r="Q3133" s="198" t="s">
        <v>2272</v>
      </c>
      <c r="R3133" s="198" t="s">
        <v>2272</v>
      </c>
      <c r="S3133" s="198" t="s">
        <v>2272</v>
      </c>
      <c r="T3133" s="198" t="s">
        <v>2272</v>
      </c>
      <c r="U3133" s="198" t="s">
        <v>2272</v>
      </c>
      <c r="V3133" s="198" t="s">
        <v>2272</v>
      </c>
      <c r="W3133" s="198" t="s">
        <v>2272</v>
      </c>
      <c r="X3133" s="198" t="s">
        <v>2272</v>
      </c>
      <c r="Y3133" s="198" t="s">
        <v>2272</v>
      </c>
      <c r="Z3133" s="198" t="s">
        <v>2272</v>
      </c>
      <c r="AA3133" s="198" t="s">
        <v>2272</v>
      </c>
      <c r="AB3133" s="198" t="s">
        <v>2272</v>
      </c>
      <c r="AC3133" s="198" t="s">
        <v>2272</v>
      </c>
      <c r="AD3133" s="198"/>
      <c r="AE3133" s="198"/>
    </row>
    <row r="3134" spans="1:31" ht="59.5" customHeight="1">
      <c r="A3134" s="4" t="s">
        <v>8300</v>
      </c>
      <c r="B3134" s="4" t="s">
        <v>8311</v>
      </c>
      <c r="C3134" s="198" t="s">
        <v>23</v>
      </c>
      <c r="D3134" s="198" t="s">
        <v>2654</v>
      </c>
      <c r="E3134" s="4" t="s">
        <v>3849</v>
      </c>
      <c r="F3134" s="4" t="s">
        <v>27</v>
      </c>
      <c r="G3134" s="198" t="s">
        <v>2272</v>
      </c>
      <c r="H3134" s="198" t="s">
        <v>521</v>
      </c>
      <c r="I3134" s="198"/>
      <c r="J3134" s="198" t="s">
        <v>2272</v>
      </c>
      <c r="K3134" s="198" t="s">
        <v>2272</v>
      </c>
      <c r="L3134" s="198" t="s">
        <v>2272</v>
      </c>
      <c r="M3134" s="198" t="s">
        <v>2272</v>
      </c>
      <c r="N3134" s="198" t="s">
        <v>2272</v>
      </c>
      <c r="O3134" s="198" t="s">
        <v>2272</v>
      </c>
      <c r="P3134" s="198" t="s">
        <v>2272</v>
      </c>
      <c r="Q3134" s="198" t="s">
        <v>2272</v>
      </c>
      <c r="R3134" s="198" t="s">
        <v>2272</v>
      </c>
      <c r="S3134" s="198" t="s">
        <v>2272</v>
      </c>
      <c r="T3134" s="198" t="s">
        <v>2272</v>
      </c>
      <c r="U3134" s="198" t="s">
        <v>2272</v>
      </c>
      <c r="V3134" s="198" t="s">
        <v>2272</v>
      </c>
      <c r="W3134" s="198" t="s">
        <v>2272</v>
      </c>
      <c r="X3134" s="198" t="s">
        <v>2272</v>
      </c>
      <c r="Y3134" s="198" t="s">
        <v>2272</v>
      </c>
      <c r="Z3134" s="198" t="s">
        <v>2272</v>
      </c>
      <c r="AA3134" s="198" t="s">
        <v>187</v>
      </c>
      <c r="AB3134" s="198" t="s">
        <v>84</v>
      </c>
      <c r="AC3134" s="198" t="s">
        <v>63</v>
      </c>
      <c r="AD3134" s="198"/>
      <c r="AE3134" s="198"/>
    </row>
    <row r="3135" spans="1:31" ht="59.5" customHeight="1">
      <c r="A3135" s="4" t="s">
        <v>8300</v>
      </c>
      <c r="B3135" s="4" t="s">
        <v>8312</v>
      </c>
      <c r="C3135" s="198" t="s">
        <v>23</v>
      </c>
      <c r="D3135" s="198" t="s">
        <v>26</v>
      </c>
      <c r="E3135" s="4" t="s">
        <v>3849</v>
      </c>
      <c r="F3135" s="4" t="s">
        <v>27</v>
      </c>
      <c r="G3135" s="198" t="s">
        <v>2272</v>
      </c>
      <c r="H3135" s="198" t="s">
        <v>521</v>
      </c>
      <c r="I3135" s="198"/>
      <c r="J3135" s="198" t="s">
        <v>2272</v>
      </c>
      <c r="K3135" s="198" t="s">
        <v>2272</v>
      </c>
      <c r="L3135" s="198" t="s">
        <v>2272</v>
      </c>
      <c r="M3135" s="198" t="s">
        <v>2272</v>
      </c>
      <c r="N3135" s="198" t="s">
        <v>2272</v>
      </c>
      <c r="O3135" s="198" t="s">
        <v>2272</v>
      </c>
      <c r="P3135" s="198" t="s">
        <v>2272</v>
      </c>
      <c r="Q3135" s="198" t="s">
        <v>2272</v>
      </c>
      <c r="R3135" s="198" t="s">
        <v>2272</v>
      </c>
      <c r="S3135" s="198" t="s">
        <v>2272</v>
      </c>
      <c r="T3135" s="198" t="s">
        <v>2272</v>
      </c>
      <c r="U3135" s="198" t="s">
        <v>2272</v>
      </c>
      <c r="V3135" s="198" t="s">
        <v>2272</v>
      </c>
      <c r="W3135" s="198" t="s">
        <v>2272</v>
      </c>
      <c r="X3135" s="198" t="s">
        <v>2272</v>
      </c>
      <c r="Y3135" s="198" t="s">
        <v>2272</v>
      </c>
      <c r="Z3135" s="198" t="s">
        <v>2272</v>
      </c>
      <c r="AA3135" s="198" t="s">
        <v>402</v>
      </c>
      <c r="AB3135" s="198" t="s">
        <v>423</v>
      </c>
      <c r="AC3135" s="198" t="s">
        <v>63</v>
      </c>
      <c r="AD3135" s="198"/>
      <c r="AE3135" s="198"/>
    </row>
    <row r="3136" spans="1:31" ht="59.5" customHeight="1">
      <c r="A3136" s="4" t="s">
        <v>8300</v>
      </c>
      <c r="B3136" s="4" t="s">
        <v>8313</v>
      </c>
      <c r="C3136" s="198" t="s">
        <v>23</v>
      </c>
      <c r="D3136" s="198" t="s">
        <v>2227</v>
      </c>
      <c r="E3136" s="4" t="s">
        <v>3849</v>
      </c>
      <c r="F3136" s="4" t="s">
        <v>2657</v>
      </c>
      <c r="G3136" s="198" t="s">
        <v>2272</v>
      </c>
      <c r="H3136" s="198" t="s">
        <v>521</v>
      </c>
      <c r="I3136" s="198"/>
      <c r="J3136" s="198" t="s">
        <v>2272</v>
      </c>
      <c r="K3136" s="198" t="s">
        <v>2272</v>
      </c>
      <c r="L3136" s="198" t="s">
        <v>2272</v>
      </c>
      <c r="M3136" s="198" t="s">
        <v>2272</v>
      </c>
      <c r="N3136" s="198" t="s">
        <v>2272</v>
      </c>
      <c r="O3136" s="198" t="s">
        <v>2272</v>
      </c>
      <c r="P3136" s="198" t="s">
        <v>2272</v>
      </c>
      <c r="Q3136" s="198" t="s">
        <v>2272</v>
      </c>
      <c r="R3136" s="198" t="s">
        <v>2272</v>
      </c>
      <c r="S3136" s="198" t="s">
        <v>2272</v>
      </c>
      <c r="T3136" s="198" t="s">
        <v>2272</v>
      </c>
      <c r="U3136" s="198" t="s">
        <v>2272</v>
      </c>
      <c r="V3136" s="198" t="s">
        <v>2272</v>
      </c>
      <c r="W3136" s="198" t="s">
        <v>2272</v>
      </c>
      <c r="X3136" s="198" t="s">
        <v>2272</v>
      </c>
      <c r="Y3136" s="198" t="s">
        <v>2272</v>
      </c>
      <c r="Z3136" s="198" t="s">
        <v>2272</v>
      </c>
      <c r="AA3136" s="198" t="s">
        <v>402</v>
      </c>
      <c r="AB3136" s="198" t="s">
        <v>423</v>
      </c>
      <c r="AC3136" s="198" t="s">
        <v>63</v>
      </c>
      <c r="AD3136" s="198"/>
      <c r="AE3136" s="198"/>
    </row>
    <row r="3137" spans="1:31" ht="59.5" customHeight="1">
      <c r="A3137" s="4" t="s">
        <v>8300</v>
      </c>
      <c r="B3137" s="4" t="s">
        <v>8314</v>
      </c>
      <c r="C3137" s="198" t="s">
        <v>23</v>
      </c>
      <c r="D3137" s="198" t="s">
        <v>24</v>
      </c>
      <c r="E3137" s="4" t="s">
        <v>3849</v>
      </c>
      <c r="F3137" s="4" t="s">
        <v>2657</v>
      </c>
      <c r="G3137" s="198" t="s">
        <v>2272</v>
      </c>
      <c r="H3137" s="198" t="s">
        <v>521</v>
      </c>
      <c r="I3137" s="198"/>
      <c r="J3137" s="198" t="s">
        <v>2272</v>
      </c>
      <c r="K3137" s="198" t="s">
        <v>2272</v>
      </c>
      <c r="L3137" s="198" t="s">
        <v>2272</v>
      </c>
      <c r="M3137" s="198" t="s">
        <v>2272</v>
      </c>
      <c r="N3137" s="198" t="s">
        <v>2272</v>
      </c>
      <c r="O3137" s="198" t="s">
        <v>2272</v>
      </c>
      <c r="P3137" s="198" t="s">
        <v>2272</v>
      </c>
      <c r="Q3137" s="198" t="s">
        <v>2272</v>
      </c>
      <c r="R3137" s="198" t="s">
        <v>2272</v>
      </c>
      <c r="S3137" s="198" t="s">
        <v>2272</v>
      </c>
      <c r="T3137" s="198" t="s">
        <v>2272</v>
      </c>
      <c r="U3137" s="198" t="s">
        <v>2272</v>
      </c>
      <c r="V3137" s="198" t="s">
        <v>2272</v>
      </c>
      <c r="W3137" s="198" t="s">
        <v>2272</v>
      </c>
      <c r="X3137" s="198" t="s">
        <v>2272</v>
      </c>
      <c r="Y3137" s="198" t="s">
        <v>2272</v>
      </c>
      <c r="Z3137" s="198" t="s">
        <v>2272</v>
      </c>
      <c r="AA3137" s="198" t="s">
        <v>402</v>
      </c>
      <c r="AB3137" s="198" t="s">
        <v>67</v>
      </c>
      <c r="AC3137" s="198" t="s">
        <v>63</v>
      </c>
      <c r="AD3137" s="198"/>
      <c r="AE3137" s="198"/>
    </row>
    <row r="3138" spans="1:31" ht="59.5" customHeight="1">
      <c r="A3138" s="4" t="s">
        <v>8300</v>
      </c>
      <c r="B3138" s="4" t="s">
        <v>8315</v>
      </c>
      <c r="C3138" s="198" t="s">
        <v>23</v>
      </c>
      <c r="D3138" s="198" t="s">
        <v>1241</v>
      </c>
      <c r="E3138" s="4" t="s">
        <v>3849</v>
      </c>
      <c r="F3138" s="4" t="s">
        <v>2657</v>
      </c>
      <c r="G3138" s="198" t="s">
        <v>2272</v>
      </c>
      <c r="H3138" s="198" t="s">
        <v>521</v>
      </c>
      <c r="I3138" s="198"/>
      <c r="J3138" s="198" t="s">
        <v>2272</v>
      </c>
      <c r="K3138" s="198" t="s">
        <v>2272</v>
      </c>
      <c r="L3138" s="198" t="s">
        <v>2272</v>
      </c>
      <c r="M3138" s="198" t="s">
        <v>2272</v>
      </c>
      <c r="N3138" s="198" t="s">
        <v>2272</v>
      </c>
      <c r="O3138" s="198" t="s">
        <v>2272</v>
      </c>
      <c r="P3138" s="198" t="s">
        <v>2272</v>
      </c>
      <c r="Q3138" s="198" t="s">
        <v>2272</v>
      </c>
      <c r="R3138" s="198" t="s">
        <v>2272</v>
      </c>
      <c r="S3138" s="198" t="s">
        <v>2272</v>
      </c>
      <c r="T3138" s="198" t="s">
        <v>2272</v>
      </c>
      <c r="U3138" s="198" t="s">
        <v>2272</v>
      </c>
      <c r="V3138" s="198" t="s">
        <v>2272</v>
      </c>
      <c r="W3138" s="198" t="s">
        <v>2272</v>
      </c>
      <c r="X3138" s="198" t="s">
        <v>2272</v>
      </c>
      <c r="Y3138" s="198" t="s">
        <v>2272</v>
      </c>
      <c r="Z3138" s="198" t="s">
        <v>2272</v>
      </c>
      <c r="AA3138" s="198" t="s">
        <v>423</v>
      </c>
      <c r="AB3138" s="198" t="s">
        <v>423</v>
      </c>
      <c r="AC3138" s="198" t="s">
        <v>63</v>
      </c>
      <c r="AD3138" s="198"/>
      <c r="AE3138" s="198"/>
    </row>
    <row r="3139" spans="1:31" ht="49" customHeight="1">
      <c r="A3139" s="4" t="s">
        <v>8301</v>
      </c>
      <c r="B3139" s="4" t="s">
        <v>8316</v>
      </c>
      <c r="C3139" s="198" t="s">
        <v>23</v>
      </c>
      <c r="D3139" s="198" t="s">
        <v>2654</v>
      </c>
      <c r="E3139" s="4" t="s">
        <v>3849</v>
      </c>
      <c r="F3139" s="4" t="s">
        <v>27</v>
      </c>
      <c r="G3139" s="198" t="s">
        <v>2272</v>
      </c>
      <c r="H3139" s="198" t="s">
        <v>521</v>
      </c>
      <c r="I3139" s="198"/>
      <c r="J3139" s="198" t="s">
        <v>2272</v>
      </c>
      <c r="K3139" s="198" t="s">
        <v>2272</v>
      </c>
      <c r="L3139" s="198" t="s">
        <v>2272</v>
      </c>
      <c r="M3139" s="198" t="s">
        <v>2272</v>
      </c>
      <c r="N3139" s="198" t="s">
        <v>2272</v>
      </c>
      <c r="O3139" s="198" t="s">
        <v>2272</v>
      </c>
      <c r="P3139" s="198" t="s">
        <v>2272</v>
      </c>
      <c r="Q3139" s="198" t="s">
        <v>2272</v>
      </c>
      <c r="R3139" s="198" t="s">
        <v>2272</v>
      </c>
      <c r="S3139" s="198" t="s">
        <v>2272</v>
      </c>
      <c r="T3139" s="198" t="s">
        <v>2272</v>
      </c>
      <c r="U3139" s="198" t="s">
        <v>2272</v>
      </c>
      <c r="V3139" s="198" t="s">
        <v>2272</v>
      </c>
      <c r="W3139" s="198" t="s">
        <v>2272</v>
      </c>
      <c r="X3139" s="198" t="s">
        <v>2272</v>
      </c>
      <c r="Y3139" s="198" t="s">
        <v>2272</v>
      </c>
      <c r="Z3139" s="198" t="s">
        <v>2272</v>
      </c>
      <c r="AA3139" s="198" t="s">
        <v>187</v>
      </c>
      <c r="AB3139" s="198" t="s">
        <v>84</v>
      </c>
      <c r="AC3139" s="198" t="s">
        <v>63</v>
      </c>
      <c r="AD3139" s="198"/>
      <c r="AE3139" s="198"/>
    </row>
    <row r="3140" spans="1:31" ht="49" customHeight="1">
      <c r="A3140" s="4" t="s">
        <v>8301</v>
      </c>
      <c r="B3140" s="4" t="s">
        <v>8317</v>
      </c>
      <c r="C3140" s="198" t="s">
        <v>23</v>
      </c>
      <c r="D3140" s="198" t="s">
        <v>26</v>
      </c>
      <c r="E3140" s="4" t="s">
        <v>3849</v>
      </c>
      <c r="F3140" s="4" t="s">
        <v>27</v>
      </c>
      <c r="G3140" s="198" t="s">
        <v>2272</v>
      </c>
      <c r="H3140" s="198" t="s">
        <v>521</v>
      </c>
      <c r="I3140" s="198"/>
      <c r="J3140" s="198" t="s">
        <v>2272</v>
      </c>
      <c r="K3140" s="198" t="s">
        <v>2272</v>
      </c>
      <c r="L3140" s="198" t="s">
        <v>2272</v>
      </c>
      <c r="M3140" s="198" t="s">
        <v>2272</v>
      </c>
      <c r="N3140" s="198" t="s">
        <v>2272</v>
      </c>
      <c r="O3140" s="198" t="s">
        <v>2272</v>
      </c>
      <c r="P3140" s="198" t="s">
        <v>2272</v>
      </c>
      <c r="Q3140" s="198" t="s">
        <v>2272</v>
      </c>
      <c r="R3140" s="198" t="s">
        <v>2272</v>
      </c>
      <c r="S3140" s="198" t="s">
        <v>2272</v>
      </c>
      <c r="T3140" s="198" t="s">
        <v>2272</v>
      </c>
      <c r="U3140" s="198" t="s">
        <v>2272</v>
      </c>
      <c r="V3140" s="198" t="s">
        <v>2272</v>
      </c>
      <c r="W3140" s="198" t="s">
        <v>2272</v>
      </c>
      <c r="X3140" s="198" t="s">
        <v>2272</v>
      </c>
      <c r="Y3140" s="198" t="s">
        <v>2272</v>
      </c>
      <c r="Z3140" s="198" t="s">
        <v>2272</v>
      </c>
      <c r="AA3140" s="198" t="s">
        <v>33</v>
      </c>
      <c r="AB3140" s="198" t="s">
        <v>402</v>
      </c>
      <c r="AC3140" s="198" t="s">
        <v>63</v>
      </c>
      <c r="AD3140" s="198"/>
      <c r="AE3140" s="198"/>
    </row>
    <row r="3141" spans="1:31" ht="49" customHeight="1">
      <c r="A3141" s="4" t="s">
        <v>8301</v>
      </c>
      <c r="B3141" s="4" t="s">
        <v>8318</v>
      </c>
      <c r="C3141" s="198" t="s">
        <v>23</v>
      </c>
      <c r="D3141" s="198" t="s">
        <v>2227</v>
      </c>
      <c r="E3141" s="4" t="s">
        <v>3849</v>
      </c>
      <c r="F3141" s="4" t="s">
        <v>2657</v>
      </c>
      <c r="G3141" s="198" t="s">
        <v>2272</v>
      </c>
      <c r="H3141" s="198" t="s">
        <v>521</v>
      </c>
      <c r="I3141" s="198"/>
      <c r="J3141" s="198" t="s">
        <v>2272</v>
      </c>
      <c r="K3141" s="198" t="s">
        <v>2272</v>
      </c>
      <c r="L3141" s="198" t="s">
        <v>2272</v>
      </c>
      <c r="M3141" s="198" t="s">
        <v>2272</v>
      </c>
      <c r="N3141" s="198" t="s">
        <v>2272</v>
      </c>
      <c r="O3141" s="198" t="s">
        <v>2272</v>
      </c>
      <c r="P3141" s="198" t="s">
        <v>2272</v>
      </c>
      <c r="Q3141" s="198" t="s">
        <v>2272</v>
      </c>
      <c r="R3141" s="198" t="s">
        <v>2272</v>
      </c>
      <c r="S3141" s="198" t="s">
        <v>2272</v>
      </c>
      <c r="T3141" s="198" t="s">
        <v>2272</v>
      </c>
      <c r="U3141" s="198" t="s">
        <v>2272</v>
      </c>
      <c r="V3141" s="198" t="s">
        <v>2272</v>
      </c>
      <c r="W3141" s="198" t="s">
        <v>2272</v>
      </c>
      <c r="X3141" s="198" t="s">
        <v>2272</v>
      </c>
      <c r="Y3141" s="198" t="s">
        <v>2272</v>
      </c>
      <c r="Z3141" s="198" t="s">
        <v>2272</v>
      </c>
      <c r="AA3141" s="198" t="s">
        <v>33</v>
      </c>
      <c r="AB3141" s="198" t="s">
        <v>402</v>
      </c>
      <c r="AC3141" s="198" t="s">
        <v>63</v>
      </c>
      <c r="AD3141" s="198"/>
      <c r="AE3141" s="198"/>
    </row>
    <row r="3142" spans="1:31" ht="49" customHeight="1">
      <c r="A3142" s="4" t="s">
        <v>8301</v>
      </c>
      <c r="B3142" s="4" t="s">
        <v>8319</v>
      </c>
      <c r="C3142" s="198" t="s">
        <v>23</v>
      </c>
      <c r="D3142" s="198" t="s">
        <v>24</v>
      </c>
      <c r="E3142" s="4" t="s">
        <v>3849</v>
      </c>
      <c r="F3142" s="4" t="s">
        <v>2657</v>
      </c>
      <c r="G3142" s="198" t="s">
        <v>2272</v>
      </c>
      <c r="H3142" s="198" t="s">
        <v>521</v>
      </c>
      <c r="I3142" s="198"/>
      <c r="J3142" s="198" t="s">
        <v>2272</v>
      </c>
      <c r="K3142" s="198" t="s">
        <v>2272</v>
      </c>
      <c r="L3142" s="198" t="s">
        <v>2272</v>
      </c>
      <c r="M3142" s="198" t="s">
        <v>2272</v>
      </c>
      <c r="N3142" s="198" t="s">
        <v>2272</v>
      </c>
      <c r="O3142" s="198" t="s">
        <v>2272</v>
      </c>
      <c r="P3142" s="198" t="s">
        <v>2272</v>
      </c>
      <c r="Q3142" s="198" t="s">
        <v>2272</v>
      </c>
      <c r="R3142" s="198" t="s">
        <v>2272</v>
      </c>
      <c r="S3142" s="198" t="s">
        <v>2272</v>
      </c>
      <c r="T3142" s="198" t="s">
        <v>2272</v>
      </c>
      <c r="U3142" s="198" t="s">
        <v>2272</v>
      </c>
      <c r="V3142" s="198" t="s">
        <v>2272</v>
      </c>
      <c r="W3142" s="198" t="s">
        <v>2272</v>
      </c>
      <c r="X3142" s="198" t="s">
        <v>2272</v>
      </c>
      <c r="Y3142" s="198" t="s">
        <v>2272</v>
      </c>
      <c r="Z3142" s="198" t="s">
        <v>2272</v>
      </c>
      <c r="AA3142" s="198" t="s">
        <v>33</v>
      </c>
      <c r="AB3142" s="198" t="s">
        <v>67</v>
      </c>
      <c r="AC3142" s="198" t="s">
        <v>63</v>
      </c>
      <c r="AD3142" s="198"/>
      <c r="AE3142" s="198"/>
    </row>
    <row r="3143" spans="1:31" ht="49" customHeight="1">
      <c r="A3143" s="4" t="s">
        <v>8301</v>
      </c>
      <c r="B3143" s="4" t="s">
        <v>8320</v>
      </c>
      <c r="C3143" s="198" t="s">
        <v>23</v>
      </c>
      <c r="D3143" s="198" t="s">
        <v>1241</v>
      </c>
      <c r="E3143" s="4" t="s">
        <v>3849</v>
      </c>
      <c r="F3143" s="4" t="s">
        <v>2657</v>
      </c>
      <c r="G3143" s="198" t="s">
        <v>2272</v>
      </c>
      <c r="H3143" s="198" t="s">
        <v>521</v>
      </c>
      <c r="I3143" s="198"/>
      <c r="J3143" s="198" t="s">
        <v>2272</v>
      </c>
      <c r="K3143" s="198" t="s">
        <v>2272</v>
      </c>
      <c r="L3143" s="198" t="s">
        <v>2272</v>
      </c>
      <c r="M3143" s="198" t="s">
        <v>2272</v>
      </c>
      <c r="N3143" s="198" t="s">
        <v>2272</v>
      </c>
      <c r="O3143" s="198" t="s">
        <v>2272</v>
      </c>
      <c r="P3143" s="198" t="s">
        <v>2272</v>
      </c>
      <c r="Q3143" s="198" t="s">
        <v>2272</v>
      </c>
      <c r="R3143" s="198" t="s">
        <v>2272</v>
      </c>
      <c r="S3143" s="198" t="s">
        <v>2272</v>
      </c>
      <c r="T3143" s="198" t="s">
        <v>2272</v>
      </c>
      <c r="U3143" s="198" t="s">
        <v>2272</v>
      </c>
      <c r="V3143" s="198" t="s">
        <v>2272</v>
      </c>
      <c r="W3143" s="198" t="s">
        <v>2272</v>
      </c>
      <c r="X3143" s="198" t="s">
        <v>2272</v>
      </c>
      <c r="Y3143" s="198" t="s">
        <v>2272</v>
      </c>
      <c r="Z3143" s="198" t="s">
        <v>2272</v>
      </c>
      <c r="AA3143" s="198" t="s">
        <v>423</v>
      </c>
      <c r="AB3143" s="198" t="s">
        <v>423</v>
      </c>
      <c r="AC3143" s="198" t="s">
        <v>63</v>
      </c>
      <c r="AD3143" s="198"/>
      <c r="AE3143" s="198"/>
    </row>
    <row r="3144" spans="1:31" ht="51.5" customHeight="1">
      <c r="A3144" s="4" t="s">
        <v>8301</v>
      </c>
      <c r="B3144" s="4" t="s">
        <v>8321</v>
      </c>
      <c r="C3144" s="198" t="s">
        <v>23</v>
      </c>
      <c r="D3144" s="198" t="s">
        <v>2227</v>
      </c>
      <c r="E3144" s="4" t="s">
        <v>3849</v>
      </c>
      <c r="F3144" s="4" t="s">
        <v>2657</v>
      </c>
      <c r="G3144" s="198" t="s">
        <v>2272</v>
      </c>
      <c r="H3144" s="198" t="s">
        <v>521</v>
      </c>
      <c r="I3144" s="198"/>
      <c r="J3144" s="198" t="s">
        <v>2272</v>
      </c>
      <c r="K3144" s="198" t="s">
        <v>2272</v>
      </c>
      <c r="L3144" s="198" t="s">
        <v>2272</v>
      </c>
      <c r="M3144" s="198" t="s">
        <v>2272</v>
      </c>
      <c r="N3144" s="198" t="s">
        <v>2272</v>
      </c>
      <c r="O3144" s="198" t="s">
        <v>2272</v>
      </c>
      <c r="P3144" s="198" t="s">
        <v>2272</v>
      </c>
      <c r="Q3144" s="198" t="s">
        <v>2272</v>
      </c>
      <c r="R3144" s="198" t="s">
        <v>2272</v>
      </c>
      <c r="S3144" s="198" t="s">
        <v>2272</v>
      </c>
      <c r="T3144" s="198" t="s">
        <v>2272</v>
      </c>
      <c r="U3144" s="198" t="s">
        <v>2272</v>
      </c>
      <c r="V3144" s="198" t="s">
        <v>2272</v>
      </c>
      <c r="W3144" s="198" t="s">
        <v>2272</v>
      </c>
      <c r="X3144" s="198" t="s">
        <v>2272</v>
      </c>
      <c r="Y3144" s="198" t="s">
        <v>2272</v>
      </c>
      <c r="Z3144" s="198" t="s">
        <v>2272</v>
      </c>
      <c r="AA3144" s="198" t="s">
        <v>397</v>
      </c>
      <c r="AB3144" s="198" t="s">
        <v>186</v>
      </c>
      <c r="AC3144" s="198" t="s">
        <v>63</v>
      </c>
      <c r="AD3144" s="198"/>
      <c r="AE3144" s="198"/>
    </row>
    <row r="3145" spans="1:31" ht="51.5" customHeight="1">
      <c r="A3145" s="4" t="s">
        <v>8304</v>
      </c>
      <c r="B3145" s="4" t="s">
        <v>8322</v>
      </c>
      <c r="C3145" s="198" t="s">
        <v>23</v>
      </c>
      <c r="D3145" s="198" t="s">
        <v>2654</v>
      </c>
      <c r="E3145" s="4" t="s">
        <v>3849</v>
      </c>
      <c r="F3145" s="4" t="s">
        <v>27</v>
      </c>
      <c r="G3145" s="198" t="s">
        <v>2272</v>
      </c>
      <c r="H3145" s="198" t="s">
        <v>522</v>
      </c>
      <c r="I3145" s="198"/>
      <c r="J3145" s="21">
        <v>0</v>
      </c>
      <c r="K3145" s="21">
        <v>0</v>
      </c>
      <c r="L3145" s="21">
        <v>0</v>
      </c>
      <c r="M3145" s="21">
        <v>0</v>
      </c>
      <c r="N3145" s="21">
        <v>0</v>
      </c>
      <c r="O3145" s="21">
        <v>0</v>
      </c>
      <c r="P3145" s="21">
        <v>0</v>
      </c>
      <c r="Q3145" s="21">
        <v>0</v>
      </c>
      <c r="R3145" s="21">
        <v>0</v>
      </c>
      <c r="S3145" s="21">
        <v>0</v>
      </c>
      <c r="T3145" s="21">
        <v>0</v>
      </c>
      <c r="U3145" s="21">
        <v>0</v>
      </c>
      <c r="V3145" s="21">
        <v>0</v>
      </c>
      <c r="W3145" s="21">
        <v>0</v>
      </c>
      <c r="X3145" s="21">
        <v>0</v>
      </c>
      <c r="Y3145" s="21">
        <v>0</v>
      </c>
      <c r="Z3145" s="198" t="s">
        <v>2272</v>
      </c>
      <c r="AA3145" s="198" t="s">
        <v>2272</v>
      </c>
      <c r="AB3145" s="198" t="s">
        <v>2272</v>
      </c>
      <c r="AC3145" s="198" t="s">
        <v>2272</v>
      </c>
      <c r="AD3145" s="198"/>
      <c r="AE3145" s="198"/>
    </row>
    <row r="3146" spans="1:31" ht="51.5" customHeight="1">
      <c r="A3146" s="4" t="s">
        <v>8304</v>
      </c>
      <c r="B3146" s="4" t="s">
        <v>8323</v>
      </c>
      <c r="C3146" s="198" t="s">
        <v>23</v>
      </c>
      <c r="D3146" s="198" t="s">
        <v>26</v>
      </c>
      <c r="E3146" s="4" t="s">
        <v>3849</v>
      </c>
      <c r="F3146" s="4" t="s">
        <v>27</v>
      </c>
      <c r="G3146" s="198" t="s">
        <v>2272</v>
      </c>
      <c r="H3146" s="198" t="s">
        <v>521</v>
      </c>
      <c r="I3146" s="198"/>
      <c r="J3146" s="198" t="s">
        <v>2272</v>
      </c>
      <c r="K3146" s="198" t="s">
        <v>2272</v>
      </c>
      <c r="L3146" s="198" t="s">
        <v>2272</v>
      </c>
      <c r="M3146" s="198" t="s">
        <v>2272</v>
      </c>
      <c r="N3146" s="198" t="s">
        <v>2272</v>
      </c>
      <c r="O3146" s="198" t="s">
        <v>2272</v>
      </c>
      <c r="P3146" s="198" t="s">
        <v>2272</v>
      </c>
      <c r="Q3146" s="198" t="s">
        <v>2272</v>
      </c>
      <c r="R3146" s="198" t="s">
        <v>2272</v>
      </c>
      <c r="S3146" s="198" t="s">
        <v>2272</v>
      </c>
      <c r="T3146" s="198" t="s">
        <v>2272</v>
      </c>
      <c r="U3146" s="198" t="s">
        <v>2272</v>
      </c>
      <c r="V3146" s="198" t="s">
        <v>2272</v>
      </c>
      <c r="W3146" s="198" t="s">
        <v>2272</v>
      </c>
      <c r="X3146" s="198" t="s">
        <v>2272</v>
      </c>
      <c r="Y3146" s="198" t="s">
        <v>2272</v>
      </c>
      <c r="Z3146" s="198" t="s">
        <v>2272</v>
      </c>
      <c r="AA3146" s="198" t="s">
        <v>187</v>
      </c>
      <c r="AB3146" s="198" t="s">
        <v>37</v>
      </c>
      <c r="AC3146" s="198" t="s">
        <v>63</v>
      </c>
      <c r="AD3146" s="198"/>
      <c r="AE3146" s="198"/>
    </row>
    <row r="3147" spans="1:31" ht="51.5" customHeight="1">
      <c r="A3147" s="4" t="s">
        <v>8304</v>
      </c>
      <c r="B3147" s="4" t="s">
        <v>8324</v>
      </c>
      <c r="C3147" s="198" t="s">
        <v>23</v>
      </c>
      <c r="D3147" s="198" t="s">
        <v>26</v>
      </c>
      <c r="E3147" s="4" t="s">
        <v>3849</v>
      </c>
      <c r="F3147" s="4" t="s">
        <v>27</v>
      </c>
      <c r="G3147" s="198" t="s">
        <v>2272</v>
      </c>
      <c r="H3147" s="198" t="s">
        <v>521</v>
      </c>
      <c r="I3147" s="198"/>
      <c r="J3147" s="198" t="s">
        <v>2272</v>
      </c>
      <c r="K3147" s="198" t="s">
        <v>2272</v>
      </c>
      <c r="L3147" s="198" t="s">
        <v>2272</v>
      </c>
      <c r="M3147" s="198" t="s">
        <v>2272</v>
      </c>
      <c r="N3147" s="198" t="s">
        <v>2272</v>
      </c>
      <c r="O3147" s="198" t="s">
        <v>2272</v>
      </c>
      <c r="P3147" s="198" t="s">
        <v>2272</v>
      </c>
      <c r="Q3147" s="198" t="s">
        <v>2272</v>
      </c>
      <c r="R3147" s="198" t="s">
        <v>2272</v>
      </c>
      <c r="S3147" s="198" t="s">
        <v>2272</v>
      </c>
      <c r="T3147" s="198" t="s">
        <v>2272</v>
      </c>
      <c r="U3147" s="198" t="s">
        <v>2272</v>
      </c>
      <c r="V3147" s="198" t="s">
        <v>2272</v>
      </c>
      <c r="W3147" s="198" t="s">
        <v>2272</v>
      </c>
      <c r="X3147" s="198" t="s">
        <v>2272</v>
      </c>
      <c r="Y3147" s="198" t="s">
        <v>2272</v>
      </c>
      <c r="Z3147" s="198" t="s">
        <v>2272</v>
      </c>
      <c r="AA3147" s="198" t="s">
        <v>67</v>
      </c>
      <c r="AB3147" s="198" t="s">
        <v>34</v>
      </c>
      <c r="AC3147" s="198" t="s">
        <v>63</v>
      </c>
      <c r="AD3147" s="198"/>
      <c r="AE3147" s="198"/>
    </row>
    <row r="3148" spans="1:31" ht="51.5" customHeight="1">
      <c r="A3148" s="4" t="s">
        <v>8304</v>
      </c>
      <c r="B3148" s="4" t="s">
        <v>8325</v>
      </c>
      <c r="C3148" s="198" t="s">
        <v>23</v>
      </c>
      <c r="D3148" s="198" t="s">
        <v>2227</v>
      </c>
      <c r="E3148" s="4" t="s">
        <v>3849</v>
      </c>
      <c r="F3148" s="4" t="s">
        <v>2657</v>
      </c>
      <c r="G3148" s="198" t="s">
        <v>2272</v>
      </c>
      <c r="H3148" s="198" t="s">
        <v>521</v>
      </c>
      <c r="I3148" s="198"/>
      <c r="J3148" s="198" t="s">
        <v>2272</v>
      </c>
      <c r="K3148" s="198" t="s">
        <v>2272</v>
      </c>
      <c r="L3148" s="198" t="s">
        <v>2272</v>
      </c>
      <c r="M3148" s="198" t="s">
        <v>2272</v>
      </c>
      <c r="N3148" s="198" t="s">
        <v>2272</v>
      </c>
      <c r="O3148" s="198" t="s">
        <v>2272</v>
      </c>
      <c r="P3148" s="198" t="s">
        <v>2272</v>
      </c>
      <c r="Q3148" s="198" t="s">
        <v>2272</v>
      </c>
      <c r="R3148" s="198" t="s">
        <v>2272</v>
      </c>
      <c r="S3148" s="198" t="s">
        <v>2272</v>
      </c>
      <c r="T3148" s="198" t="s">
        <v>2272</v>
      </c>
      <c r="U3148" s="198" t="s">
        <v>2272</v>
      </c>
      <c r="V3148" s="198" t="s">
        <v>2272</v>
      </c>
      <c r="W3148" s="198" t="s">
        <v>2272</v>
      </c>
      <c r="X3148" s="198" t="s">
        <v>2272</v>
      </c>
      <c r="Y3148" s="198" t="s">
        <v>2272</v>
      </c>
      <c r="Z3148" s="198" t="s">
        <v>2272</v>
      </c>
      <c r="AA3148" s="198" t="s">
        <v>67</v>
      </c>
      <c r="AB3148" s="198" t="s">
        <v>34</v>
      </c>
      <c r="AC3148" s="198" t="s">
        <v>63</v>
      </c>
      <c r="AD3148" s="198"/>
      <c r="AE3148" s="198"/>
    </row>
    <row r="3149" spans="1:31" ht="51.5" customHeight="1">
      <c r="A3149" s="4" t="s">
        <v>8304</v>
      </c>
      <c r="B3149" s="4" t="s">
        <v>8326</v>
      </c>
      <c r="C3149" s="198" t="s">
        <v>23</v>
      </c>
      <c r="D3149" s="198" t="s">
        <v>24</v>
      </c>
      <c r="E3149" s="4" t="s">
        <v>3849</v>
      </c>
      <c r="F3149" s="4" t="s">
        <v>2657</v>
      </c>
      <c r="G3149" s="198" t="s">
        <v>2272</v>
      </c>
      <c r="H3149" s="198" t="s">
        <v>521</v>
      </c>
      <c r="I3149" s="198"/>
      <c r="J3149" s="198" t="s">
        <v>2272</v>
      </c>
      <c r="K3149" s="198" t="s">
        <v>2272</v>
      </c>
      <c r="L3149" s="198" t="s">
        <v>2272</v>
      </c>
      <c r="M3149" s="198" t="s">
        <v>2272</v>
      </c>
      <c r="N3149" s="198" t="s">
        <v>2272</v>
      </c>
      <c r="O3149" s="198" t="s">
        <v>2272</v>
      </c>
      <c r="P3149" s="198" t="s">
        <v>2272</v>
      </c>
      <c r="Q3149" s="198" t="s">
        <v>2272</v>
      </c>
      <c r="R3149" s="198" t="s">
        <v>2272</v>
      </c>
      <c r="S3149" s="198" t="s">
        <v>2272</v>
      </c>
      <c r="T3149" s="198" t="s">
        <v>2272</v>
      </c>
      <c r="U3149" s="198" t="s">
        <v>2272</v>
      </c>
      <c r="V3149" s="198" t="s">
        <v>2272</v>
      </c>
      <c r="W3149" s="198" t="s">
        <v>2272</v>
      </c>
      <c r="X3149" s="198" t="s">
        <v>2272</v>
      </c>
      <c r="Y3149" s="198" t="s">
        <v>2272</v>
      </c>
      <c r="Z3149" s="198" t="s">
        <v>2272</v>
      </c>
      <c r="AA3149" s="198" t="s">
        <v>403</v>
      </c>
      <c r="AB3149" s="198" t="s">
        <v>34</v>
      </c>
      <c r="AC3149" s="198" t="s">
        <v>63</v>
      </c>
      <c r="AD3149" s="198"/>
      <c r="AE3149" s="198"/>
    </row>
    <row r="3150" spans="1:31" ht="51.5" customHeight="1">
      <c r="A3150" s="4" t="s">
        <v>8304</v>
      </c>
      <c r="B3150" s="4" t="s">
        <v>8327</v>
      </c>
      <c r="C3150" s="198" t="s">
        <v>23</v>
      </c>
      <c r="D3150" s="198" t="s">
        <v>1241</v>
      </c>
      <c r="E3150" s="4" t="s">
        <v>3849</v>
      </c>
      <c r="F3150" s="4" t="s">
        <v>2657</v>
      </c>
      <c r="G3150" s="198" t="s">
        <v>2272</v>
      </c>
      <c r="H3150" s="198" t="s">
        <v>521</v>
      </c>
      <c r="I3150" s="198"/>
      <c r="J3150" s="198" t="s">
        <v>2272</v>
      </c>
      <c r="K3150" s="198" t="s">
        <v>2272</v>
      </c>
      <c r="L3150" s="198" t="s">
        <v>2272</v>
      </c>
      <c r="M3150" s="198" t="s">
        <v>2272</v>
      </c>
      <c r="N3150" s="198" t="s">
        <v>2272</v>
      </c>
      <c r="O3150" s="198" t="s">
        <v>2272</v>
      </c>
      <c r="P3150" s="198" t="s">
        <v>2272</v>
      </c>
      <c r="Q3150" s="198" t="s">
        <v>2272</v>
      </c>
      <c r="R3150" s="198" t="s">
        <v>2272</v>
      </c>
      <c r="S3150" s="198" t="s">
        <v>2272</v>
      </c>
      <c r="T3150" s="198" t="s">
        <v>2272</v>
      </c>
      <c r="U3150" s="198" t="s">
        <v>2272</v>
      </c>
      <c r="V3150" s="198" t="s">
        <v>2272</v>
      </c>
      <c r="W3150" s="198" t="s">
        <v>2272</v>
      </c>
      <c r="X3150" s="198" t="s">
        <v>2272</v>
      </c>
      <c r="Y3150" s="198" t="s">
        <v>2272</v>
      </c>
      <c r="Z3150" s="198" t="s">
        <v>2272</v>
      </c>
      <c r="AA3150" s="198" t="s">
        <v>84</v>
      </c>
      <c r="AB3150" s="198" t="s">
        <v>34</v>
      </c>
      <c r="AC3150" s="198" t="s">
        <v>63</v>
      </c>
      <c r="AD3150" s="198"/>
      <c r="AE3150" s="198"/>
    </row>
    <row r="3151" spans="1:31" ht="51.5" customHeight="1">
      <c r="A3151" s="4" t="s">
        <v>8304</v>
      </c>
      <c r="B3151" s="4" t="s">
        <v>8328</v>
      </c>
      <c r="C3151" s="198" t="s">
        <v>23</v>
      </c>
      <c r="D3151" s="198" t="s">
        <v>3475</v>
      </c>
      <c r="E3151" s="4" t="s">
        <v>3849</v>
      </c>
      <c r="F3151" s="4" t="s">
        <v>73</v>
      </c>
      <c r="G3151" s="198" t="s">
        <v>2272</v>
      </c>
      <c r="H3151" s="198" t="s">
        <v>521</v>
      </c>
      <c r="I3151" s="198"/>
      <c r="J3151" s="198" t="s">
        <v>2272</v>
      </c>
      <c r="K3151" s="198" t="s">
        <v>2272</v>
      </c>
      <c r="L3151" s="198" t="s">
        <v>2272</v>
      </c>
      <c r="M3151" s="198" t="s">
        <v>2272</v>
      </c>
      <c r="N3151" s="198" t="s">
        <v>2272</v>
      </c>
      <c r="O3151" s="198" t="s">
        <v>2272</v>
      </c>
      <c r="P3151" s="198" t="s">
        <v>2272</v>
      </c>
      <c r="Q3151" s="198" t="s">
        <v>2272</v>
      </c>
      <c r="R3151" s="198" t="s">
        <v>2272</v>
      </c>
      <c r="S3151" s="198" t="s">
        <v>2272</v>
      </c>
      <c r="T3151" s="198" t="s">
        <v>2272</v>
      </c>
      <c r="U3151" s="198" t="s">
        <v>2272</v>
      </c>
      <c r="V3151" s="198" t="s">
        <v>2272</v>
      </c>
      <c r="W3151" s="198" t="s">
        <v>2272</v>
      </c>
      <c r="X3151" s="198" t="s">
        <v>2272</v>
      </c>
      <c r="Y3151" s="198" t="s">
        <v>2272</v>
      </c>
      <c r="Z3151" s="198" t="s">
        <v>2272</v>
      </c>
      <c r="AA3151" s="198" t="s">
        <v>67</v>
      </c>
      <c r="AB3151" s="198" t="s">
        <v>125</v>
      </c>
      <c r="AC3151" s="198" t="s">
        <v>63</v>
      </c>
      <c r="AD3151" s="198"/>
      <c r="AE3151" s="198"/>
    </row>
    <row r="3152" spans="1:31" ht="51.5" customHeight="1">
      <c r="A3152" s="4" t="s">
        <v>8304</v>
      </c>
      <c r="B3152" s="4" t="s">
        <v>8329</v>
      </c>
      <c r="C3152" s="198" t="s">
        <v>23</v>
      </c>
      <c r="D3152" s="198" t="s">
        <v>25</v>
      </c>
      <c r="E3152" s="4" t="s">
        <v>3849</v>
      </c>
      <c r="F3152" s="4" t="s">
        <v>2657</v>
      </c>
      <c r="G3152" s="198" t="s">
        <v>2272</v>
      </c>
      <c r="H3152" s="198" t="s">
        <v>521</v>
      </c>
      <c r="I3152" s="198"/>
      <c r="J3152" s="198" t="s">
        <v>2272</v>
      </c>
      <c r="K3152" s="198" t="s">
        <v>2272</v>
      </c>
      <c r="L3152" s="198" t="s">
        <v>2272</v>
      </c>
      <c r="M3152" s="198" t="s">
        <v>2272</v>
      </c>
      <c r="N3152" s="198" t="s">
        <v>2272</v>
      </c>
      <c r="O3152" s="198" t="s">
        <v>2272</v>
      </c>
      <c r="P3152" s="198" t="s">
        <v>2272</v>
      </c>
      <c r="Q3152" s="198" t="s">
        <v>2272</v>
      </c>
      <c r="R3152" s="198" t="s">
        <v>2272</v>
      </c>
      <c r="S3152" s="198" t="s">
        <v>2272</v>
      </c>
      <c r="T3152" s="198" t="s">
        <v>2272</v>
      </c>
      <c r="U3152" s="198" t="s">
        <v>2272</v>
      </c>
      <c r="V3152" s="198" t="s">
        <v>2272</v>
      </c>
      <c r="W3152" s="198" t="s">
        <v>2272</v>
      </c>
      <c r="X3152" s="198" t="s">
        <v>2272</v>
      </c>
      <c r="Y3152" s="198" t="s">
        <v>2272</v>
      </c>
      <c r="Z3152" s="198" t="s">
        <v>2272</v>
      </c>
      <c r="AA3152" s="198" t="s">
        <v>37</v>
      </c>
      <c r="AB3152" s="198" t="s">
        <v>125</v>
      </c>
      <c r="AC3152" s="198" t="s">
        <v>63</v>
      </c>
      <c r="AD3152" s="198"/>
      <c r="AE3152" s="198"/>
    </row>
    <row r="3153" spans="1:31" ht="54.5" customHeight="1">
      <c r="A3153" s="4" t="s">
        <v>8305</v>
      </c>
      <c r="B3153" s="4" t="s">
        <v>8331</v>
      </c>
      <c r="C3153" s="198" t="s">
        <v>23</v>
      </c>
      <c r="D3153" s="198" t="s">
        <v>2654</v>
      </c>
      <c r="E3153" s="4" t="s">
        <v>3849</v>
      </c>
      <c r="F3153" s="4" t="s">
        <v>27</v>
      </c>
      <c r="G3153" s="198" t="s">
        <v>2272</v>
      </c>
      <c r="H3153" s="198" t="s">
        <v>522</v>
      </c>
      <c r="I3153" s="198"/>
      <c r="J3153" s="21">
        <v>0</v>
      </c>
      <c r="K3153" s="21">
        <v>0</v>
      </c>
      <c r="L3153" s="21">
        <v>0</v>
      </c>
      <c r="M3153" s="21">
        <v>0</v>
      </c>
      <c r="N3153" s="21">
        <v>0</v>
      </c>
      <c r="O3153" s="21">
        <v>0</v>
      </c>
      <c r="P3153" s="21">
        <v>0</v>
      </c>
      <c r="Q3153" s="21">
        <v>0</v>
      </c>
      <c r="R3153" s="21">
        <v>0</v>
      </c>
      <c r="S3153" s="21">
        <v>0</v>
      </c>
      <c r="T3153" s="21">
        <v>0</v>
      </c>
      <c r="U3153" s="21">
        <v>0</v>
      </c>
      <c r="V3153" s="21">
        <v>0</v>
      </c>
      <c r="W3153" s="21">
        <v>0</v>
      </c>
      <c r="X3153" s="21">
        <v>0</v>
      </c>
      <c r="Y3153" s="21">
        <v>0</v>
      </c>
      <c r="Z3153" s="198" t="s">
        <v>2272</v>
      </c>
      <c r="AA3153" s="198" t="s">
        <v>2272</v>
      </c>
      <c r="AB3153" s="198" t="s">
        <v>2272</v>
      </c>
      <c r="AC3153" s="198" t="s">
        <v>2272</v>
      </c>
      <c r="AD3153" s="198"/>
      <c r="AE3153" s="198"/>
    </row>
    <row r="3154" spans="1:31" ht="54.5" customHeight="1">
      <c r="A3154" s="4" t="s">
        <v>8305</v>
      </c>
      <c r="B3154" s="4" t="s">
        <v>8332</v>
      </c>
      <c r="C3154" s="198" t="s">
        <v>23</v>
      </c>
      <c r="D3154" s="198" t="s">
        <v>26</v>
      </c>
      <c r="E3154" s="4" t="s">
        <v>3849</v>
      </c>
      <c r="F3154" s="4" t="s">
        <v>27</v>
      </c>
      <c r="G3154" s="198" t="s">
        <v>2272</v>
      </c>
      <c r="H3154" s="198" t="s">
        <v>521</v>
      </c>
      <c r="I3154" s="198"/>
      <c r="J3154" s="198" t="s">
        <v>2272</v>
      </c>
      <c r="K3154" s="198" t="s">
        <v>2272</v>
      </c>
      <c r="L3154" s="198" t="s">
        <v>2272</v>
      </c>
      <c r="M3154" s="198" t="s">
        <v>2272</v>
      </c>
      <c r="N3154" s="198" t="s">
        <v>2272</v>
      </c>
      <c r="O3154" s="198" t="s">
        <v>2272</v>
      </c>
      <c r="P3154" s="198" t="s">
        <v>2272</v>
      </c>
      <c r="Q3154" s="198" t="s">
        <v>2272</v>
      </c>
      <c r="R3154" s="198" t="s">
        <v>2272</v>
      </c>
      <c r="S3154" s="198" t="s">
        <v>2272</v>
      </c>
      <c r="T3154" s="198" t="s">
        <v>2272</v>
      </c>
      <c r="U3154" s="198" t="s">
        <v>2272</v>
      </c>
      <c r="V3154" s="198" t="s">
        <v>2272</v>
      </c>
      <c r="W3154" s="198" t="s">
        <v>2272</v>
      </c>
      <c r="X3154" s="198" t="s">
        <v>2272</v>
      </c>
      <c r="Y3154" s="198" t="s">
        <v>2272</v>
      </c>
      <c r="Z3154" s="198" t="s">
        <v>2272</v>
      </c>
      <c r="AA3154" s="198" t="s">
        <v>67</v>
      </c>
      <c r="AB3154" s="198" t="s">
        <v>34</v>
      </c>
      <c r="AC3154" s="198" t="s">
        <v>63</v>
      </c>
      <c r="AD3154" s="198"/>
      <c r="AE3154" s="198"/>
    </row>
    <row r="3155" spans="1:31" ht="54.5" customHeight="1">
      <c r="A3155" s="4" t="s">
        <v>8305</v>
      </c>
      <c r="B3155" s="4" t="s">
        <v>8333</v>
      </c>
      <c r="C3155" s="198" t="s">
        <v>23</v>
      </c>
      <c r="D3155" s="198" t="s">
        <v>2227</v>
      </c>
      <c r="E3155" s="4" t="s">
        <v>3849</v>
      </c>
      <c r="F3155" s="4" t="s">
        <v>27</v>
      </c>
      <c r="G3155" s="198" t="s">
        <v>2272</v>
      </c>
      <c r="H3155" s="198" t="s">
        <v>521</v>
      </c>
      <c r="I3155" s="198"/>
      <c r="J3155" s="198" t="s">
        <v>2272</v>
      </c>
      <c r="K3155" s="198" t="s">
        <v>2272</v>
      </c>
      <c r="L3155" s="198" t="s">
        <v>2272</v>
      </c>
      <c r="M3155" s="198" t="s">
        <v>2272</v>
      </c>
      <c r="N3155" s="198" t="s">
        <v>2272</v>
      </c>
      <c r="O3155" s="198" t="s">
        <v>2272</v>
      </c>
      <c r="P3155" s="198" t="s">
        <v>2272</v>
      </c>
      <c r="Q3155" s="198" t="s">
        <v>2272</v>
      </c>
      <c r="R3155" s="198" t="s">
        <v>2272</v>
      </c>
      <c r="S3155" s="198" t="s">
        <v>2272</v>
      </c>
      <c r="T3155" s="198" t="s">
        <v>2272</v>
      </c>
      <c r="U3155" s="198" t="s">
        <v>2272</v>
      </c>
      <c r="V3155" s="198" t="s">
        <v>2272</v>
      </c>
      <c r="W3155" s="198" t="s">
        <v>2272</v>
      </c>
      <c r="X3155" s="198" t="s">
        <v>2272</v>
      </c>
      <c r="Y3155" s="198" t="s">
        <v>2272</v>
      </c>
      <c r="Z3155" s="198" t="s">
        <v>2272</v>
      </c>
      <c r="AA3155" s="198" t="s">
        <v>67</v>
      </c>
      <c r="AB3155" s="198" t="s">
        <v>34</v>
      </c>
      <c r="AC3155" s="198" t="s">
        <v>63</v>
      </c>
      <c r="AD3155" s="198"/>
      <c r="AE3155" s="198"/>
    </row>
    <row r="3156" spans="1:31" ht="54.5" customHeight="1">
      <c r="A3156" s="4" t="s">
        <v>8305</v>
      </c>
      <c r="B3156" s="4" t="s">
        <v>8334</v>
      </c>
      <c r="C3156" s="198" t="s">
        <v>23</v>
      </c>
      <c r="D3156" s="198" t="s">
        <v>24</v>
      </c>
      <c r="E3156" s="4" t="s">
        <v>3849</v>
      </c>
      <c r="F3156" s="4" t="s">
        <v>2657</v>
      </c>
      <c r="G3156" s="198" t="s">
        <v>2272</v>
      </c>
      <c r="H3156" s="198" t="s">
        <v>521</v>
      </c>
      <c r="I3156" s="198"/>
      <c r="J3156" s="198" t="s">
        <v>2272</v>
      </c>
      <c r="K3156" s="198" t="s">
        <v>2272</v>
      </c>
      <c r="L3156" s="198" t="s">
        <v>2272</v>
      </c>
      <c r="M3156" s="198" t="s">
        <v>2272</v>
      </c>
      <c r="N3156" s="198" t="s">
        <v>2272</v>
      </c>
      <c r="O3156" s="198" t="s">
        <v>2272</v>
      </c>
      <c r="P3156" s="198" t="s">
        <v>2272</v>
      </c>
      <c r="Q3156" s="198" t="s">
        <v>2272</v>
      </c>
      <c r="R3156" s="198" t="s">
        <v>2272</v>
      </c>
      <c r="S3156" s="198" t="s">
        <v>2272</v>
      </c>
      <c r="T3156" s="198" t="s">
        <v>2272</v>
      </c>
      <c r="U3156" s="198" t="s">
        <v>2272</v>
      </c>
      <c r="V3156" s="198" t="s">
        <v>2272</v>
      </c>
      <c r="W3156" s="198" t="s">
        <v>2272</v>
      </c>
      <c r="X3156" s="198" t="s">
        <v>2272</v>
      </c>
      <c r="Y3156" s="198" t="s">
        <v>2272</v>
      </c>
      <c r="Z3156" s="198" t="s">
        <v>2272</v>
      </c>
      <c r="AA3156" s="198" t="s">
        <v>403</v>
      </c>
      <c r="AB3156" s="198" t="s">
        <v>34</v>
      </c>
      <c r="AC3156" s="198" t="s">
        <v>63</v>
      </c>
      <c r="AD3156" s="198"/>
      <c r="AE3156" s="198"/>
    </row>
    <row r="3157" spans="1:31" ht="54.5" customHeight="1">
      <c r="A3157" s="4" t="s">
        <v>8305</v>
      </c>
      <c r="B3157" s="4" t="s">
        <v>8335</v>
      </c>
      <c r="C3157" s="198" t="s">
        <v>23</v>
      </c>
      <c r="D3157" s="198" t="s">
        <v>1241</v>
      </c>
      <c r="E3157" s="4" t="s">
        <v>3849</v>
      </c>
      <c r="F3157" s="4" t="s">
        <v>2657</v>
      </c>
      <c r="G3157" s="198" t="s">
        <v>2272</v>
      </c>
      <c r="H3157" s="198" t="s">
        <v>521</v>
      </c>
      <c r="I3157" s="198"/>
      <c r="J3157" s="198" t="s">
        <v>2272</v>
      </c>
      <c r="K3157" s="198" t="s">
        <v>2272</v>
      </c>
      <c r="L3157" s="198" t="s">
        <v>2272</v>
      </c>
      <c r="M3157" s="198" t="s">
        <v>2272</v>
      </c>
      <c r="N3157" s="198" t="s">
        <v>2272</v>
      </c>
      <c r="O3157" s="198" t="s">
        <v>2272</v>
      </c>
      <c r="P3157" s="198" t="s">
        <v>2272</v>
      </c>
      <c r="Q3157" s="198" t="s">
        <v>2272</v>
      </c>
      <c r="R3157" s="198" t="s">
        <v>2272</v>
      </c>
      <c r="S3157" s="198" t="s">
        <v>2272</v>
      </c>
      <c r="T3157" s="198" t="s">
        <v>2272</v>
      </c>
      <c r="U3157" s="198" t="s">
        <v>2272</v>
      </c>
      <c r="V3157" s="198" t="s">
        <v>2272</v>
      </c>
      <c r="W3157" s="198" t="s">
        <v>2272</v>
      </c>
      <c r="X3157" s="198" t="s">
        <v>2272</v>
      </c>
      <c r="Y3157" s="198" t="s">
        <v>2272</v>
      </c>
      <c r="Z3157" s="198" t="s">
        <v>2272</v>
      </c>
      <c r="AA3157" s="198" t="s">
        <v>84</v>
      </c>
      <c r="AB3157" s="198" t="s">
        <v>34</v>
      </c>
      <c r="AC3157" s="198" t="s">
        <v>63</v>
      </c>
      <c r="AD3157" s="198"/>
      <c r="AE3157" s="198"/>
    </row>
    <row r="3158" spans="1:31" ht="54.5" customHeight="1">
      <c r="A3158" s="4" t="s">
        <v>8305</v>
      </c>
      <c r="B3158" s="4" t="s">
        <v>8336</v>
      </c>
      <c r="C3158" s="198" t="s">
        <v>23</v>
      </c>
      <c r="D3158" s="198" t="s">
        <v>3475</v>
      </c>
      <c r="E3158" s="4" t="s">
        <v>3849</v>
      </c>
      <c r="F3158" s="4" t="s">
        <v>2657</v>
      </c>
      <c r="G3158" s="198" t="s">
        <v>2272</v>
      </c>
      <c r="H3158" s="198" t="s">
        <v>521</v>
      </c>
      <c r="I3158" s="198"/>
      <c r="J3158" s="198" t="s">
        <v>2272</v>
      </c>
      <c r="K3158" s="198" t="s">
        <v>2272</v>
      </c>
      <c r="L3158" s="198" t="s">
        <v>2272</v>
      </c>
      <c r="M3158" s="198" t="s">
        <v>2272</v>
      </c>
      <c r="N3158" s="198" t="s">
        <v>2272</v>
      </c>
      <c r="O3158" s="198" t="s">
        <v>2272</v>
      </c>
      <c r="P3158" s="198" t="s">
        <v>2272</v>
      </c>
      <c r="Q3158" s="198" t="s">
        <v>2272</v>
      </c>
      <c r="R3158" s="198" t="s">
        <v>2272</v>
      </c>
      <c r="S3158" s="198" t="s">
        <v>2272</v>
      </c>
      <c r="T3158" s="198" t="s">
        <v>2272</v>
      </c>
      <c r="U3158" s="198" t="s">
        <v>2272</v>
      </c>
      <c r="V3158" s="198" t="s">
        <v>2272</v>
      </c>
      <c r="W3158" s="198" t="s">
        <v>2272</v>
      </c>
      <c r="X3158" s="198" t="s">
        <v>2272</v>
      </c>
      <c r="Y3158" s="198" t="s">
        <v>2272</v>
      </c>
      <c r="Z3158" s="198" t="s">
        <v>2272</v>
      </c>
      <c r="AA3158" s="198" t="s">
        <v>67</v>
      </c>
      <c r="AB3158" s="198" t="s">
        <v>125</v>
      </c>
      <c r="AC3158" s="198" t="s">
        <v>63</v>
      </c>
      <c r="AD3158" s="198"/>
      <c r="AE3158" s="198"/>
    </row>
    <row r="3159" spans="1:31" ht="54.5" customHeight="1">
      <c r="A3159" s="4" t="s">
        <v>8305</v>
      </c>
      <c r="B3159" s="4" t="s">
        <v>8337</v>
      </c>
      <c r="C3159" s="198" t="s">
        <v>23</v>
      </c>
      <c r="D3159" s="198" t="s">
        <v>25</v>
      </c>
      <c r="E3159" s="4" t="s">
        <v>3849</v>
      </c>
      <c r="F3159" s="4" t="s">
        <v>73</v>
      </c>
      <c r="G3159" s="198" t="s">
        <v>2272</v>
      </c>
      <c r="H3159" s="198" t="s">
        <v>521</v>
      </c>
      <c r="I3159" s="198"/>
      <c r="J3159" s="198" t="s">
        <v>2272</v>
      </c>
      <c r="K3159" s="198" t="s">
        <v>2272</v>
      </c>
      <c r="L3159" s="198" t="s">
        <v>2272</v>
      </c>
      <c r="M3159" s="198" t="s">
        <v>2272</v>
      </c>
      <c r="N3159" s="198" t="s">
        <v>2272</v>
      </c>
      <c r="O3159" s="198" t="s">
        <v>2272</v>
      </c>
      <c r="P3159" s="198" t="s">
        <v>2272</v>
      </c>
      <c r="Q3159" s="198" t="s">
        <v>2272</v>
      </c>
      <c r="R3159" s="198" t="s">
        <v>2272</v>
      </c>
      <c r="S3159" s="198" t="s">
        <v>2272</v>
      </c>
      <c r="T3159" s="198" t="s">
        <v>2272</v>
      </c>
      <c r="U3159" s="198" t="s">
        <v>2272</v>
      </c>
      <c r="V3159" s="198" t="s">
        <v>2272</v>
      </c>
      <c r="W3159" s="198" t="s">
        <v>2272</v>
      </c>
      <c r="X3159" s="198" t="s">
        <v>2272</v>
      </c>
      <c r="Y3159" s="198" t="s">
        <v>2272</v>
      </c>
      <c r="Z3159" s="198" t="s">
        <v>2272</v>
      </c>
      <c r="AA3159" s="198" t="s">
        <v>37</v>
      </c>
      <c r="AB3159" s="198" t="s">
        <v>125</v>
      </c>
      <c r="AC3159" s="198" t="s">
        <v>63</v>
      </c>
      <c r="AD3159" s="198"/>
      <c r="AE3159" s="198"/>
    </row>
    <row r="3160" spans="1:31" ht="50.5" customHeight="1">
      <c r="A3160" s="4" t="s">
        <v>8300</v>
      </c>
      <c r="B3160" s="4" t="s">
        <v>8348</v>
      </c>
      <c r="C3160" s="198" t="s">
        <v>23</v>
      </c>
      <c r="D3160" s="198" t="s">
        <v>1102</v>
      </c>
      <c r="E3160" s="4" t="s">
        <v>3849</v>
      </c>
      <c r="F3160" s="4" t="s">
        <v>27</v>
      </c>
      <c r="G3160" s="4" t="s">
        <v>27</v>
      </c>
      <c r="H3160" s="198" t="s">
        <v>521</v>
      </c>
      <c r="I3160" s="198"/>
      <c r="J3160" s="198" t="s">
        <v>2272</v>
      </c>
      <c r="K3160" s="198" t="s">
        <v>2272</v>
      </c>
      <c r="L3160" s="198" t="s">
        <v>2272</v>
      </c>
      <c r="M3160" s="198" t="s">
        <v>2272</v>
      </c>
      <c r="N3160" s="198" t="s">
        <v>2272</v>
      </c>
      <c r="O3160" s="198" t="s">
        <v>2272</v>
      </c>
      <c r="P3160" s="198" t="s">
        <v>2272</v>
      </c>
      <c r="Q3160" s="198" t="s">
        <v>2272</v>
      </c>
      <c r="R3160" s="198" t="s">
        <v>2272</v>
      </c>
      <c r="S3160" s="198" t="s">
        <v>2272</v>
      </c>
      <c r="T3160" s="198" t="s">
        <v>2272</v>
      </c>
      <c r="U3160" s="198" t="s">
        <v>2272</v>
      </c>
      <c r="V3160" s="198" t="s">
        <v>2272</v>
      </c>
      <c r="W3160" s="21">
        <f>AVERAGE(21, 10.8)</f>
        <v>15.9</v>
      </c>
      <c r="X3160" s="198" t="s">
        <v>2272</v>
      </c>
      <c r="Y3160" s="21">
        <f>W3160*('Land use'!P1293/100)</f>
        <v>0.34980000000000006</v>
      </c>
      <c r="Z3160" s="198" t="s">
        <v>2272</v>
      </c>
      <c r="AA3160" s="198" t="s">
        <v>2272</v>
      </c>
      <c r="AB3160" s="198" t="s">
        <v>2272</v>
      </c>
      <c r="AC3160" s="198" t="s">
        <v>2272</v>
      </c>
      <c r="AD3160" s="198"/>
      <c r="AE3160" s="198"/>
    </row>
    <row r="3161" spans="1:31" ht="50.5" customHeight="1">
      <c r="A3161" s="4" t="s">
        <v>8301</v>
      </c>
      <c r="B3161" s="4" t="s">
        <v>8349</v>
      </c>
      <c r="C3161" s="198" t="s">
        <v>23</v>
      </c>
      <c r="D3161" s="198" t="s">
        <v>1102</v>
      </c>
      <c r="E3161" s="4" t="s">
        <v>3849</v>
      </c>
      <c r="F3161" s="4" t="s">
        <v>27</v>
      </c>
      <c r="G3161" s="4" t="s">
        <v>27</v>
      </c>
      <c r="H3161" s="198" t="s">
        <v>521</v>
      </c>
      <c r="I3161" s="198"/>
      <c r="J3161" s="198" t="s">
        <v>2272</v>
      </c>
      <c r="K3161" s="198" t="s">
        <v>2272</v>
      </c>
      <c r="L3161" s="198" t="s">
        <v>2272</v>
      </c>
      <c r="M3161" s="198" t="s">
        <v>2272</v>
      </c>
      <c r="N3161" s="198" t="s">
        <v>2272</v>
      </c>
      <c r="O3161" s="198" t="s">
        <v>2272</v>
      </c>
      <c r="P3161" s="198" t="s">
        <v>2272</v>
      </c>
      <c r="Q3161" s="198" t="s">
        <v>2272</v>
      </c>
      <c r="R3161" s="198" t="s">
        <v>2272</v>
      </c>
      <c r="S3161" s="198" t="s">
        <v>2272</v>
      </c>
      <c r="T3161" s="198" t="s">
        <v>2272</v>
      </c>
      <c r="U3161" s="198" t="s">
        <v>2272</v>
      </c>
      <c r="V3161" s="198" t="s">
        <v>2272</v>
      </c>
      <c r="W3161" s="21">
        <f>AVERAGE(41, 39)</f>
        <v>40</v>
      </c>
      <c r="X3161" s="198" t="s">
        <v>2272</v>
      </c>
      <c r="Y3161" s="21">
        <f>W3161*('Land use'!P1294/100)</f>
        <v>0.96</v>
      </c>
      <c r="Z3161" s="198" t="s">
        <v>2272</v>
      </c>
      <c r="AA3161" s="198" t="s">
        <v>2272</v>
      </c>
      <c r="AB3161" s="198" t="s">
        <v>2272</v>
      </c>
      <c r="AC3161" s="198" t="s">
        <v>2272</v>
      </c>
      <c r="AD3161" s="198"/>
      <c r="AE3161" s="198"/>
    </row>
    <row r="3162" spans="1:31" ht="50.5" customHeight="1">
      <c r="A3162" s="4" t="s">
        <v>8304</v>
      </c>
      <c r="B3162" s="4" t="s">
        <v>8330</v>
      </c>
      <c r="C3162" s="198" t="s">
        <v>23</v>
      </c>
      <c r="D3162" s="198" t="s">
        <v>1102</v>
      </c>
      <c r="E3162" s="4" t="s">
        <v>3849</v>
      </c>
      <c r="F3162" s="4" t="s">
        <v>27</v>
      </c>
      <c r="G3162" s="4" t="s">
        <v>27</v>
      </c>
      <c r="H3162" s="198" t="s">
        <v>521</v>
      </c>
      <c r="I3162" s="198"/>
      <c r="J3162" s="198" t="s">
        <v>2272</v>
      </c>
      <c r="K3162" s="198" t="s">
        <v>2272</v>
      </c>
      <c r="L3162" s="198" t="s">
        <v>2272</v>
      </c>
      <c r="M3162" s="198" t="s">
        <v>2272</v>
      </c>
      <c r="N3162" s="198" t="s">
        <v>2272</v>
      </c>
      <c r="O3162" s="198" t="s">
        <v>2272</v>
      </c>
      <c r="P3162" s="198" t="s">
        <v>2272</v>
      </c>
      <c r="Q3162" s="198" t="s">
        <v>2272</v>
      </c>
      <c r="R3162" s="198" t="s">
        <v>2272</v>
      </c>
      <c r="S3162" s="198" t="s">
        <v>2272</v>
      </c>
      <c r="T3162" s="198" t="s">
        <v>2272</v>
      </c>
      <c r="U3162" s="198" t="s">
        <v>2272</v>
      </c>
      <c r="V3162" s="198" t="s">
        <v>2272</v>
      </c>
      <c r="W3162" s="21">
        <f>AVERAGE(0.9, 3.5)</f>
        <v>2.2000000000000002</v>
      </c>
      <c r="X3162" s="198" t="s">
        <v>2272</v>
      </c>
      <c r="Y3162" s="21">
        <f>W3162*('Land use'!P1295/100)</f>
        <v>1.0912000000000002</v>
      </c>
      <c r="Z3162" s="198" t="s">
        <v>2272</v>
      </c>
      <c r="AA3162" s="198" t="s">
        <v>2272</v>
      </c>
      <c r="AB3162" s="198" t="s">
        <v>2272</v>
      </c>
      <c r="AC3162" s="198" t="s">
        <v>2272</v>
      </c>
      <c r="AD3162" s="198"/>
      <c r="AE3162" s="4" t="s">
        <v>8360</v>
      </c>
    </row>
    <row r="3163" spans="1:31" ht="50.5" customHeight="1">
      <c r="A3163" s="4" t="s">
        <v>8305</v>
      </c>
      <c r="B3163" s="4" t="s">
        <v>8350</v>
      </c>
      <c r="C3163" s="198" t="s">
        <v>23</v>
      </c>
      <c r="D3163" s="198" t="s">
        <v>1102</v>
      </c>
      <c r="E3163" s="4" t="s">
        <v>3849</v>
      </c>
      <c r="F3163" s="4" t="s">
        <v>27</v>
      </c>
      <c r="G3163" s="4" t="s">
        <v>27</v>
      </c>
      <c r="H3163" s="198" t="s">
        <v>521</v>
      </c>
      <c r="I3163" s="198"/>
      <c r="J3163" s="198" t="s">
        <v>2272</v>
      </c>
      <c r="K3163" s="198" t="s">
        <v>2272</v>
      </c>
      <c r="L3163" s="198" t="s">
        <v>2272</v>
      </c>
      <c r="M3163" s="198" t="s">
        <v>2272</v>
      </c>
      <c r="N3163" s="198" t="s">
        <v>2272</v>
      </c>
      <c r="O3163" s="198" t="s">
        <v>2272</v>
      </c>
      <c r="P3163" s="198" t="s">
        <v>2272</v>
      </c>
      <c r="Q3163" s="198" t="s">
        <v>2272</v>
      </c>
      <c r="R3163" s="198" t="s">
        <v>2272</v>
      </c>
      <c r="S3163" s="198" t="s">
        <v>2272</v>
      </c>
      <c r="T3163" s="198" t="s">
        <v>2272</v>
      </c>
      <c r="U3163" s="198" t="s">
        <v>2272</v>
      </c>
      <c r="V3163" s="198" t="s">
        <v>2272</v>
      </c>
      <c r="W3163" s="21">
        <f>AVERAGE(5.1, 14.9)</f>
        <v>10</v>
      </c>
      <c r="X3163" s="198" t="s">
        <v>2272</v>
      </c>
      <c r="Y3163" s="21">
        <f>W3163*('Land use'!P1296/100)</f>
        <v>3.06</v>
      </c>
      <c r="Z3163" s="198" t="s">
        <v>2272</v>
      </c>
      <c r="AA3163" s="198" t="s">
        <v>2272</v>
      </c>
      <c r="AB3163" s="198" t="s">
        <v>2272</v>
      </c>
      <c r="AC3163" s="198" t="s">
        <v>2272</v>
      </c>
      <c r="AD3163" s="198"/>
      <c r="AE3163" s="4" t="s">
        <v>8360</v>
      </c>
    </row>
    <row r="3164" spans="1:31" ht="48" customHeight="1">
      <c r="A3164" s="4" t="s">
        <v>8300</v>
      </c>
      <c r="B3164" s="4" t="s">
        <v>8351</v>
      </c>
      <c r="C3164" s="198" t="s">
        <v>23</v>
      </c>
      <c r="D3164" s="198" t="s">
        <v>1102</v>
      </c>
      <c r="E3164" s="4" t="s">
        <v>3849</v>
      </c>
      <c r="F3164" s="4" t="s">
        <v>2657</v>
      </c>
      <c r="G3164" s="4" t="s">
        <v>2657</v>
      </c>
      <c r="H3164" s="198" t="s">
        <v>521</v>
      </c>
      <c r="I3164" s="198"/>
      <c r="J3164" s="198" t="s">
        <v>2272</v>
      </c>
      <c r="K3164" s="198" t="s">
        <v>2272</v>
      </c>
      <c r="L3164" s="198" t="s">
        <v>2272</v>
      </c>
      <c r="M3164" s="198" t="s">
        <v>2272</v>
      </c>
      <c r="N3164" s="198" t="s">
        <v>2272</v>
      </c>
      <c r="O3164" s="198" t="s">
        <v>2272</v>
      </c>
      <c r="P3164" s="198" t="s">
        <v>2272</v>
      </c>
      <c r="Q3164" s="198" t="s">
        <v>2272</v>
      </c>
      <c r="R3164" s="198" t="s">
        <v>2272</v>
      </c>
      <c r="S3164" s="198" t="s">
        <v>2272</v>
      </c>
      <c r="T3164" s="198" t="s">
        <v>2272</v>
      </c>
      <c r="U3164" s="198" t="s">
        <v>2272</v>
      </c>
      <c r="V3164" s="198" t="s">
        <v>2272</v>
      </c>
      <c r="W3164" s="21">
        <f>AVERAGE(3, 23.6)</f>
        <v>13.3</v>
      </c>
      <c r="X3164" s="198" t="s">
        <v>2272</v>
      </c>
      <c r="Y3164" s="21">
        <f>W3164*(71.7/100)</f>
        <v>9.5361000000000011</v>
      </c>
      <c r="Z3164" s="198" t="s">
        <v>2272</v>
      </c>
      <c r="AA3164" s="198" t="s">
        <v>2272</v>
      </c>
      <c r="AB3164" s="198" t="s">
        <v>2272</v>
      </c>
      <c r="AC3164" s="198" t="s">
        <v>2272</v>
      </c>
      <c r="AD3164" s="198"/>
      <c r="AE3164" s="4" t="s">
        <v>8359</v>
      </c>
    </row>
    <row r="3165" spans="1:31" ht="48" customHeight="1">
      <c r="A3165" s="4" t="s">
        <v>8301</v>
      </c>
      <c r="B3165" s="4" t="s">
        <v>8352</v>
      </c>
      <c r="C3165" s="198" t="s">
        <v>23</v>
      </c>
      <c r="D3165" s="198" t="s">
        <v>1102</v>
      </c>
      <c r="E3165" s="4" t="s">
        <v>3849</v>
      </c>
      <c r="F3165" s="4" t="s">
        <v>2657</v>
      </c>
      <c r="G3165" s="4" t="s">
        <v>2657</v>
      </c>
      <c r="H3165" s="198" t="s">
        <v>521</v>
      </c>
      <c r="I3165" s="198"/>
      <c r="J3165" s="198" t="s">
        <v>2272</v>
      </c>
      <c r="K3165" s="198" t="s">
        <v>2272</v>
      </c>
      <c r="L3165" s="198" t="s">
        <v>2272</v>
      </c>
      <c r="M3165" s="198" t="s">
        <v>2272</v>
      </c>
      <c r="N3165" s="198" t="s">
        <v>2272</v>
      </c>
      <c r="O3165" s="198" t="s">
        <v>2272</v>
      </c>
      <c r="P3165" s="198" t="s">
        <v>2272</v>
      </c>
      <c r="Q3165" s="198" t="s">
        <v>2272</v>
      </c>
      <c r="R3165" s="198" t="s">
        <v>2272</v>
      </c>
      <c r="S3165" s="198" t="s">
        <v>2272</v>
      </c>
      <c r="T3165" s="198" t="s">
        <v>2272</v>
      </c>
      <c r="U3165" s="198" t="s">
        <v>2272</v>
      </c>
      <c r="V3165" s="198" t="s">
        <v>2272</v>
      </c>
      <c r="W3165" s="21">
        <f>AVERAGE(14, 33)</f>
        <v>23.5</v>
      </c>
      <c r="X3165" s="198" t="s">
        <v>2272</v>
      </c>
      <c r="Y3165" s="21">
        <f>W3165*(80.7/100)</f>
        <v>18.964500000000001</v>
      </c>
      <c r="Z3165" s="198" t="s">
        <v>2272</v>
      </c>
      <c r="AA3165" s="198" t="s">
        <v>2272</v>
      </c>
      <c r="AB3165" s="198" t="s">
        <v>2272</v>
      </c>
      <c r="AC3165" s="198" t="s">
        <v>2272</v>
      </c>
      <c r="AD3165" s="198"/>
      <c r="AE3165" s="4" t="s">
        <v>8359</v>
      </c>
    </row>
    <row r="3166" spans="1:31" ht="48" customHeight="1">
      <c r="A3166" s="4" t="s">
        <v>8304</v>
      </c>
      <c r="B3166" s="4" t="s">
        <v>8353</v>
      </c>
      <c r="C3166" s="198" t="s">
        <v>23</v>
      </c>
      <c r="D3166" s="198" t="s">
        <v>1102</v>
      </c>
      <c r="E3166" s="4" t="s">
        <v>3849</v>
      </c>
      <c r="F3166" s="4" t="s">
        <v>2657</v>
      </c>
      <c r="G3166" s="4" t="s">
        <v>2657</v>
      </c>
      <c r="H3166" s="198" t="s">
        <v>521</v>
      </c>
      <c r="I3166" s="198"/>
      <c r="J3166" s="198" t="s">
        <v>2272</v>
      </c>
      <c r="K3166" s="198" t="s">
        <v>2272</v>
      </c>
      <c r="L3166" s="198" t="s">
        <v>2272</v>
      </c>
      <c r="M3166" s="198" t="s">
        <v>2272</v>
      </c>
      <c r="N3166" s="198" t="s">
        <v>2272</v>
      </c>
      <c r="O3166" s="198" t="s">
        <v>2272</v>
      </c>
      <c r="P3166" s="198" t="s">
        <v>2272</v>
      </c>
      <c r="Q3166" s="198" t="s">
        <v>2272</v>
      </c>
      <c r="R3166" s="198" t="s">
        <v>2272</v>
      </c>
      <c r="S3166" s="198" t="s">
        <v>2272</v>
      </c>
      <c r="T3166" s="198" t="s">
        <v>2272</v>
      </c>
      <c r="U3166" s="198" t="s">
        <v>2272</v>
      </c>
      <c r="V3166" s="198" t="s">
        <v>2272</v>
      </c>
      <c r="W3166" s="21">
        <f>AVERAGE(36.7, 13.7)</f>
        <v>25.200000000000003</v>
      </c>
      <c r="X3166" s="198" t="s">
        <v>2272</v>
      </c>
      <c r="Y3166" s="21">
        <f>W3166*(39.6/100)</f>
        <v>9.9792000000000023</v>
      </c>
      <c r="Z3166" s="198" t="s">
        <v>2272</v>
      </c>
      <c r="AA3166" s="198" t="s">
        <v>2272</v>
      </c>
      <c r="AB3166" s="198" t="s">
        <v>2272</v>
      </c>
      <c r="AC3166" s="198" t="s">
        <v>2272</v>
      </c>
      <c r="AD3166" s="198"/>
      <c r="AE3166" s="4" t="s">
        <v>8359</v>
      </c>
    </row>
    <row r="3167" spans="1:31" ht="48" customHeight="1">
      <c r="A3167" s="4" t="s">
        <v>8305</v>
      </c>
      <c r="B3167" s="4" t="s">
        <v>8354</v>
      </c>
      <c r="C3167" s="198" t="s">
        <v>23</v>
      </c>
      <c r="D3167" s="198" t="s">
        <v>1102</v>
      </c>
      <c r="E3167" s="4" t="s">
        <v>3849</v>
      </c>
      <c r="F3167" s="4" t="s">
        <v>2657</v>
      </c>
      <c r="G3167" s="4" t="s">
        <v>2657</v>
      </c>
      <c r="H3167" s="198" t="s">
        <v>521</v>
      </c>
      <c r="I3167" s="198"/>
      <c r="J3167" s="198" t="s">
        <v>2272</v>
      </c>
      <c r="K3167" s="198" t="s">
        <v>2272</v>
      </c>
      <c r="L3167" s="198" t="s">
        <v>2272</v>
      </c>
      <c r="M3167" s="198" t="s">
        <v>2272</v>
      </c>
      <c r="N3167" s="198" t="s">
        <v>2272</v>
      </c>
      <c r="O3167" s="198" t="s">
        <v>2272</v>
      </c>
      <c r="P3167" s="198" t="s">
        <v>2272</v>
      </c>
      <c r="Q3167" s="198" t="s">
        <v>2272</v>
      </c>
      <c r="R3167" s="198" t="s">
        <v>2272</v>
      </c>
      <c r="S3167" s="198" t="s">
        <v>2272</v>
      </c>
      <c r="T3167" s="198" t="s">
        <v>2272</v>
      </c>
      <c r="U3167" s="198" t="s">
        <v>2272</v>
      </c>
      <c r="V3167" s="198" t="s">
        <v>2272</v>
      </c>
      <c r="W3167" s="21">
        <f>AVERAGE(53, 49)</f>
        <v>51</v>
      </c>
      <c r="X3167" s="198" t="s">
        <v>2272</v>
      </c>
      <c r="Y3167" s="21">
        <f>W3167*(57.6/100)</f>
        <v>29.376000000000005</v>
      </c>
      <c r="Z3167" s="198" t="s">
        <v>2272</v>
      </c>
      <c r="AA3167" s="198" t="s">
        <v>2272</v>
      </c>
      <c r="AB3167" s="198" t="s">
        <v>2272</v>
      </c>
      <c r="AC3167" s="198" t="s">
        <v>2272</v>
      </c>
      <c r="AD3167" s="198"/>
      <c r="AE3167" s="4" t="s">
        <v>8359</v>
      </c>
    </row>
    <row r="3168" spans="1:31" ht="45" customHeight="1">
      <c r="A3168" s="4" t="s">
        <v>8300</v>
      </c>
      <c r="B3168" s="4" t="s">
        <v>8355</v>
      </c>
      <c r="C3168" s="198" t="s">
        <v>23</v>
      </c>
      <c r="D3168" s="198" t="s">
        <v>1102</v>
      </c>
      <c r="E3168" s="4" t="s">
        <v>3849</v>
      </c>
      <c r="F3168" s="4" t="s">
        <v>2272</v>
      </c>
      <c r="G3168" s="4" t="s">
        <v>2272</v>
      </c>
      <c r="H3168" s="198" t="s">
        <v>521</v>
      </c>
      <c r="I3168" s="198"/>
      <c r="J3168" s="198" t="s">
        <v>2272</v>
      </c>
      <c r="K3168" s="198" t="s">
        <v>2272</v>
      </c>
      <c r="L3168" s="198" t="s">
        <v>2272</v>
      </c>
      <c r="M3168" s="198" t="s">
        <v>2272</v>
      </c>
      <c r="N3168" s="198" t="s">
        <v>2272</v>
      </c>
      <c r="O3168" s="198" t="s">
        <v>2272</v>
      </c>
      <c r="P3168" s="198" t="s">
        <v>2272</v>
      </c>
      <c r="Q3168" s="198" t="s">
        <v>2272</v>
      </c>
      <c r="R3168" s="198" t="s">
        <v>2272</v>
      </c>
      <c r="S3168" s="198" t="s">
        <v>2272</v>
      </c>
      <c r="T3168" s="198" t="s">
        <v>2272</v>
      </c>
      <c r="U3168" s="198" t="s">
        <v>2272</v>
      </c>
      <c r="V3168" s="198" t="s">
        <v>2272</v>
      </c>
      <c r="W3168" s="198" t="s">
        <v>2272</v>
      </c>
      <c r="X3168" s="198" t="s">
        <v>2272</v>
      </c>
      <c r="Y3168" s="198" t="s">
        <v>2272</v>
      </c>
      <c r="Z3168" s="198" t="s">
        <v>2272</v>
      </c>
      <c r="AA3168" s="198" t="s">
        <v>33</v>
      </c>
      <c r="AB3168" s="198" t="s">
        <v>34</v>
      </c>
      <c r="AC3168" s="198" t="s">
        <v>63</v>
      </c>
      <c r="AD3168" s="198"/>
      <c r="AE3168" s="4" t="s">
        <v>8365</v>
      </c>
    </row>
    <row r="3169" spans="1:31" ht="45" customHeight="1">
      <c r="A3169" s="4" t="s">
        <v>8301</v>
      </c>
      <c r="B3169" s="4" t="s">
        <v>8356</v>
      </c>
      <c r="C3169" s="198" t="s">
        <v>23</v>
      </c>
      <c r="D3169" s="198" t="s">
        <v>1102</v>
      </c>
      <c r="E3169" s="4" t="s">
        <v>3849</v>
      </c>
      <c r="F3169" s="4" t="s">
        <v>2272</v>
      </c>
      <c r="G3169" s="4" t="s">
        <v>2272</v>
      </c>
      <c r="H3169" s="198" t="s">
        <v>521</v>
      </c>
      <c r="I3169" s="198"/>
      <c r="J3169" s="198" t="s">
        <v>2272</v>
      </c>
      <c r="K3169" s="198" t="s">
        <v>2272</v>
      </c>
      <c r="L3169" s="198" t="s">
        <v>2272</v>
      </c>
      <c r="M3169" s="198" t="s">
        <v>2272</v>
      </c>
      <c r="N3169" s="198" t="s">
        <v>2272</v>
      </c>
      <c r="O3169" s="198" t="s">
        <v>2272</v>
      </c>
      <c r="P3169" s="198" t="s">
        <v>2272</v>
      </c>
      <c r="Q3169" s="198" t="s">
        <v>2272</v>
      </c>
      <c r="R3169" s="198" t="s">
        <v>2272</v>
      </c>
      <c r="S3169" s="198" t="s">
        <v>2272</v>
      </c>
      <c r="T3169" s="198" t="s">
        <v>2272</v>
      </c>
      <c r="U3169" s="198" t="s">
        <v>2272</v>
      </c>
      <c r="V3169" s="198" t="s">
        <v>2272</v>
      </c>
      <c r="W3169" s="198" t="s">
        <v>2272</v>
      </c>
      <c r="X3169" s="198" t="s">
        <v>2272</v>
      </c>
      <c r="Y3169" s="198" t="s">
        <v>2272</v>
      </c>
      <c r="Z3169" s="198" t="s">
        <v>2272</v>
      </c>
      <c r="AA3169" s="198" t="s">
        <v>33</v>
      </c>
      <c r="AB3169" s="198" t="s">
        <v>34</v>
      </c>
      <c r="AC3169" s="198" t="s">
        <v>63</v>
      </c>
      <c r="AD3169" s="198"/>
      <c r="AE3169" s="4" t="s">
        <v>8365</v>
      </c>
    </row>
    <row r="3170" spans="1:31" ht="45" customHeight="1">
      <c r="A3170" s="4" t="s">
        <v>8304</v>
      </c>
      <c r="B3170" s="4" t="s">
        <v>8357</v>
      </c>
      <c r="C3170" s="198" t="s">
        <v>23</v>
      </c>
      <c r="D3170" s="198" t="s">
        <v>1102</v>
      </c>
      <c r="E3170" s="4" t="s">
        <v>3849</v>
      </c>
      <c r="F3170" s="4" t="s">
        <v>2272</v>
      </c>
      <c r="G3170" s="4" t="s">
        <v>2272</v>
      </c>
      <c r="H3170" s="198" t="s">
        <v>521</v>
      </c>
      <c r="I3170" s="198"/>
      <c r="J3170" s="198" t="s">
        <v>2272</v>
      </c>
      <c r="K3170" s="198" t="s">
        <v>2272</v>
      </c>
      <c r="L3170" s="198" t="s">
        <v>2272</v>
      </c>
      <c r="M3170" s="198" t="s">
        <v>2272</v>
      </c>
      <c r="N3170" s="198" t="s">
        <v>2272</v>
      </c>
      <c r="O3170" s="198" t="s">
        <v>2272</v>
      </c>
      <c r="P3170" s="198" t="s">
        <v>2272</v>
      </c>
      <c r="Q3170" s="198" t="s">
        <v>2272</v>
      </c>
      <c r="R3170" s="198" t="s">
        <v>2272</v>
      </c>
      <c r="S3170" s="198" t="s">
        <v>2272</v>
      </c>
      <c r="T3170" s="198" t="s">
        <v>2272</v>
      </c>
      <c r="U3170" s="198" t="s">
        <v>2272</v>
      </c>
      <c r="V3170" s="198" t="s">
        <v>2272</v>
      </c>
      <c r="W3170" s="198" t="s">
        <v>2272</v>
      </c>
      <c r="X3170" s="198" t="s">
        <v>2272</v>
      </c>
      <c r="Y3170" s="198" t="s">
        <v>2272</v>
      </c>
      <c r="Z3170" s="198" t="s">
        <v>2272</v>
      </c>
      <c r="AA3170" s="198" t="s">
        <v>84</v>
      </c>
      <c r="AB3170" s="198" t="s">
        <v>125</v>
      </c>
      <c r="AC3170" s="198" t="s">
        <v>63</v>
      </c>
      <c r="AD3170" s="198"/>
      <c r="AE3170" s="4" t="s">
        <v>8366</v>
      </c>
    </row>
    <row r="3171" spans="1:31" ht="45" customHeight="1">
      <c r="A3171" s="4" t="s">
        <v>8305</v>
      </c>
      <c r="B3171" s="4" t="s">
        <v>8358</v>
      </c>
      <c r="C3171" s="198" t="s">
        <v>23</v>
      </c>
      <c r="D3171" s="198" t="s">
        <v>1102</v>
      </c>
      <c r="E3171" s="4" t="s">
        <v>3849</v>
      </c>
      <c r="F3171" s="4" t="s">
        <v>2272</v>
      </c>
      <c r="G3171" s="4" t="s">
        <v>2272</v>
      </c>
      <c r="H3171" s="198" t="s">
        <v>521</v>
      </c>
      <c r="I3171" s="198"/>
      <c r="J3171" s="198" t="s">
        <v>2272</v>
      </c>
      <c r="K3171" s="198" t="s">
        <v>2272</v>
      </c>
      <c r="L3171" s="198" t="s">
        <v>2272</v>
      </c>
      <c r="M3171" s="198" t="s">
        <v>2272</v>
      </c>
      <c r="N3171" s="198" t="s">
        <v>2272</v>
      </c>
      <c r="O3171" s="198" t="s">
        <v>2272</v>
      </c>
      <c r="P3171" s="198" t="s">
        <v>2272</v>
      </c>
      <c r="Q3171" s="198" t="s">
        <v>2272</v>
      </c>
      <c r="R3171" s="198" t="s">
        <v>2272</v>
      </c>
      <c r="S3171" s="198" t="s">
        <v>2272</v>
      </c>
      <c r="T3171" s="198" t="s">
        <v>2272</v>
      </c>
      <c r="U3171" s="198" t="s">
        <v>2272</v>
      </c>
      <c r="V3171" s="198" t="s">
        <v>2272</v>
      </c>
      <c r="W3171" s="198" t="s">
        <v>2272</v>
      </c>
      <c r="X3171" s="198" t="s">
        <v>2272</v>
      </c>
      <c r="Y3171" s="198" t="s">
        <v>2272</v>
      </c>
      <c r="Z3171" s="198" t="s">
        <v>2272</v>
      </c>
      <c r="AA3171" s="198" t="s">
        <v>84</v>
      </c>
      <c r="AB3171" s="198" t="s">
        <v>125</v>
      </c>
      <c r="AC3171" s="198" t="s">
        <v>63</v>
      </c>
      <c r="AD3171" s="198"/>
      <c r="AE3171" s="4" t="s">
        <v>8366</v>
      </c>
    </row>
    <row r="3172" spans="1:31" ht="49" customHeight="1">
      <c r="A3172" s="4" t="s">
        <v>8300</v>
      </c>
      <c r="B3172" s="4" t="s">
        <v>8361</v>
      </c>
      <c r="C3172" s="198" t="s">
        <v>2453</v>
      </c>
      <c r="D3172" s="198" t="s">
        <v>1102</v>
      </c>
      <c r="E3172" s="4" t="s">
        <v>3849</v>
      </c>
      <c r="F3172" s="4" t="s">
        <v>2657</v>
      </c>
      <c r="G3172" s="198" t="s">
        <v>73</v>
      </c>
      <c r="H3172" s="198" t="s">
        <v>521</v>
      </c>
      <c r="I3172" s="198"/>
      <c r="J3172" s="198" t="s">
        <v>2272</v>
      </c>
      <c r="K3172" s="198" t="s">
        <v>2272</v>
      </c>
      <c r="L3172" s="198" t="s">
        <v>2272</v>
      </c>
      <c r="M3172" s="198" t="s">
        <v>2272</v>
      </c>
      <c r="N3172" s="198" t="s">
        <v>2272</v>
      </c>
      <c r="O3172" s="198" t="s">
        <v>2272</v>
      </c>
      <c r="P3172" s="198" t="s">
        <v>2272</v>
      </c>
      <c r="Q3172" s="198" t="s">
        <v>2272</v>
      </c>
      <c r="R3172" s="198" t="s">
        <v>2272</v>
      </c>
      <c r="S3172" s="198" t="s">
        <v>2272</v>
      </c>
      <c r="T3172" s="198" t="s">
        <v>2272</v>
      </c>
      <c r="U3172" s="198" t="s">
        <v>2272</v>
      </c>
      <c r="V3172" s="198" t="s">
        <v>2272</v>
      </c>
      <c r="W3172" s="198" t="s">
        <v>2272</v>
      </c>
      <c r="X3172" s="198" t="s">
        <v>2272</v>
      </c>
      <c r="Y3172" s="198" t="s">
        <v>2272</v>
      </c>
      <c r="Z3172" s="198" t="s">
        <v>2272</v>
      </c>
      <c r="AA3172" s="198" t="s">
        <v>2272</v>
      </c>
      <c r="AB3172" s="198" t="s">
        <v>2272</v>
      </c>
      <c r="AC3172" s="198" t="s">
        <v>2272</v>
      </c>
      <c r="AD3172" s="198"/>
      <c r="AE3172" s="198"/>
    </row>
    <row r="3173" spans="1:31" ht="49" customHeight="1">
      <c r="A3173" s="4" t="s">
        <v>8301</v>
      </c>
      <c r="B3173" s="4" t="s">
        <v>8362</v>
      </c>
      <c r="C3173" s="198" t="s">
        <v>2453</v>
      </c>
      <c r="D3173" s="198" t="s">
        <v>1102</v>
      </c>
      <c r="E3173" s="4" t="s">
        <v>3849</v>
      </c>
      <c r="F3173" s="4" t="s">
        <v>2657</v>
      </c>
      <c r="G3173" s="198" t="s">
        <v>73</v>
      </c>
      <c r="H3173" s="198" t="s">
        <v>521</v>
      </c>
      <c r="I3173" s="198"/>
      <c r="J3173" s="198" t="s">
        <v>2272</v>
      </c>
      <c r="K3173" s="198" t="s">
        <v>2272</v>
      </c>
      <c r="L3173" s="198" t="s">
        <v>2272</v>
      </c>
      <c r="M3173" s="198" t="s">
        <v>2272</v>
      </c>
      <c r="N3173" s="198" t="s">
        <v>2272</v>
      </c>
      <c r="O3173" s="198" t="s">
        <v>2272</v>
      </c>
      <c r="P3173" s="198" t="s">
        <v>2272</v>
      </c>
      <c r="Q3173" s="198" t="s">
        <v>2272</v>
      </c>
      <c r="R3173" s="198" t="s">
        <v>2272</v>
      </c>
      <c r="S3173" s="198" t="s">
        <v>2272</v>
      </c>
      <c r="T3173" s="198" t="s">
        <v>2272</v>
      </c>
      <c r="U3173" s="198" t="s">
        <v>2272</v>
      </c>
      <c r="V3173" s="198" t="s">
        <v>2272</v>
      </c>
      <c r="W3173" s="198" t="s">
        <v>2272</v>
      </c>
      <c r="X3173" s="198" t="s">
        <v>2272</v>
      </c>
      <c r="Y3173" s="198" t="s">
        <v>2272</v>
      </c>
      <c r="Z3173" s="198" t="s">
        <v>2272</v>
      </c>
      <c r="AA3173" s="198" t="s">
        <v>2272</v>
      </c>
      <c r="AB3173" s="198" t="s">
        <v>2272</v>
      </c>
      <c r="AC3173" s="198" t="s">
        <v>2272</v>
      </c>
      <c r="AD3173" s="198"/>
      <c r="AE3173" s="198"/>
    </row>
    <row r="3174" spans="1:31" ht="49" customHeight="1">
      <c r="A3174" s="4" t="s">
        <v>8304</v>
      </c>
      <c r="B3174" s="4" t="s">
        <v>8363</v>
      </c>
      <c r="C3174" s="198" t="s">
        <v>2453</v>
      </c>
      <c r="D3174" s="198" t="s">
        <v>1102</v>
      </c>
      <c r="E3174" s="4" t="s">
        <v>3849</v>
      </c>
      <c r="F3174" s="4" t="s">
        <v>2657</v>
      </c>
      <c r="G3174" s="198" t="s">
        <v>73</v>
      </c>
      <c r="H3174" s="198" t="s">
        <v>521</v>
      </c>
      <c r="I3174" s="198"/>
      <c r="J3174" s="198" t="s">
        <v>2272</v>
      </c>
      <c r="K3174" s="198" t="s">
        <v>2272</v>
      </c>
      <c r="L3174" s="198" t="s">
        <v>2272</v>
      </c>
      <c r="M3174" s="198" t="s">
        <v>2272</v>
      </c>
      <c r="N3174" s="198" t="s">
        <v>2272</v>
      </c>
      <c r="O3174" s="198" t="s">
        <v>2272</v>
      </c>
      <c r="P3174" s="198" t="s">
        <v>2272</v>
      </c>
      <c r="Q3174" s="198" t="s">
        <v>2272</v>
      </c>
      <c r="R3174" s="198" t="s">
        <v>2272</v>
      </c>
      <c r="S3174" s="198" t="s">
        <v>2272</v>
      </c>
      <c r="T3174" s="198" t="s">
        <v>2272</v>
      </c>
      <c r="U3174" s="198" t="s">
        <v>2272</v>
      </c>
      <c r="V3174" s="198" t="s">
        <v>2272</v>
      </c>
      <c r="W3174" s="198" t="s">
        <v>2272</v>
      </c>
      <c r="X3174" s="198" t="s">
        <v>2272</v>
      </c>
      <c r="Y3174" s="198" t="s">
        <v>2272</v>
      </c>
      <c r="Z3174" s="198" t="s">
        <v>2272</v>
      </c>
      <c r="AA3174" s="198" t="s">
        <v>2272</v>
      </c>
      <c r="AB3174" s="198" t="s">
        <v>2272</v>
      </c>
      <c r="AC3174" s="198" t="s">
        <v>2272</v>
      </c>
      <c r="AD3174" s="198"/>
      <c r="AE3174" s="198"/>
    </row>
    <row r="3175" spans="1:31" ht="49" customHeight="1">
      <c r="A3175" s="4" t="s">
        <v>8305</v>
      </c>
      <c r="B3175" s="4" t="s">
        <v>8364</v>
      </c>
      <c r="C3175" s="198" t="s">
        <v>2453</v>
      </c>
      <c r="D3175" s="198" t="s">
        <v>1102</v>
      </c>
      <c r="E3175" s="4" t="s">
        <v>3849</v>
      </c>
      <c r="F3175" s="4" t="s">
        <v>2657</v>
      </c>
      <c r="G3175" s="198" t="s">
        <v>73</v>
      </c>
      <c r="H3175" s="198" t="s">
        <v>521</v>
      </c>
      <c r="I3175" s="198"/>
      <c r="J3175" s="198" t="s">
        <v>2272</v>
      </c>
      <c r="K3175" s="198" t="s">
        <v>2272</v>
      </c>
      <c r="L3175" s="198" t="s">
        <v>2272</v>
      </c>
      <c r="M3175" s="198" t="s">
        <v>2272</v>
      </c>
      <c r="N3175" s="198" t="s">
        <v>2272</v>
      </c>
      <c r="O3175" s="198" t="s">
        <v>2272</v>
      </c>
      <c r="P3175" s="198" t="s">
        <v>2272</v>
      </c>
      <c r="Q3175" s="198" t="s">
        <v>2272</v>
      </c>
      <c r="R3175" s="198" t="s">
        <v>2272</v>
      </c>
      <c r="S3175" s="198" t="s">
        <v>2272</v>
      </c>
      <c r="T3175" s="198" t="s">
        <v>2272</v>
      </c>
      <c r="U3175" s="198" t="s">
        <v>2272</v>
      </c>
      <c r="V3175" s="198" t="s">
        <v>2272</v>
      </c>
      <c r="W3175" s="198" t="s">
        <v>2272</v>
      </c>
      <c r="X3175" s="198" t="s">
        <v>2272</v>
      </c>
      <c r="Y3175" s="198" t="s">
        <v>2272</v>
      </c>
      <c r="Z3175" s="198" t="s">
        <v>2272</v>
      </c>
      <c r="AA3175" s="198" t="s">
        <v>2272</v>
      </c>
      <c r="AB3175" s="198" t="s">
        <v>2272</v>
      </c>
      <c r="AC3175" s="198" t="s">
        <v>2272</v>
      </c>
      <c r="AD3175" s="198"/>
      <c r="AE3175" s="198"/>
    </row>
    <row r="3176" spans="1:31" ht="36" customHeight="1">
      <c r="A3176" s="4" t="s">
        <v>8341</v>
      </c>
      <c r="B3176" s="4" t="s">
        <v>8372</v>
      </c>
      <c r="C3176" s="198" t="s">
        <v>23</v>
      </c>
      <c r="D3176" s="198" t="s">
        <v>2654</v>
      </c>
      <c r="E3176" s="4" t="s">
        <v>394</v>
      </c>
      <c r="F3176" s="4" t="s">
        <v>27</v>
      </c>
      <c r="G3176" s="198" t="s">
        <v>2272</v>
      </c>
      <c r="H3176" s="198" t="s">
        <v>521</v>
      </c>
      <c r="I3176" s="198"/>
      <c r="J3176" s="198" t="s">
        <v>2272</v>
      </c>
      <c r="K3176" s="198" t="s">
        <v>2272</v>
      </c>
      <c r="L3176" s="198" t="s">
        <v>2272</v>
      </c>
      <c r="M3176" s="198" t="s">
        <v>2272</v>
      </c>
      <c r="N3176" s="198" t="s">
        <v>2272</v>
      </c>
      <c r="O3176" s="198" t="s">
        <v>2272</v>
      </c>
      <c r="P3176" s="198" t="s">
        <v>2272</v>
      </c>
      <c r="Q3176" s="198" t="s">
        <v>2272</v>
      </c>
      <c r="R3176" s="198" t="s">
        <v>2272</v>
      </c>
      <c r="S3176" s="198" t="s">
        <v>2272</v>
      </c>
      <c r="T3176" s="198" t="s">
        <v>2272</v>
      </c>
      <c r="U3176" s="198" t="s">
        <v>2272</v>
      </c>
      <c r="V3176" s="198" t="s">
        <v>2272</v>
      </c>
      <c r="W3176" s="198" t="s">
        <v>2272</v>
      </c>
      <c r="X3176" s="198" t="s">
        <v>2272</v>
      </c>
      <c r="Y3176" s="198" t="s">
        <v>2272</v>
      </c>
      <c r="Z3176" s="21">
        <v>1</v>
      </c>
      <c r="AA3176" s="198" t="s">
        <v>67</v>
      </c>
      <c r="AB3176" s="198" t="s">
        <v>34</v>
      </c>
      <c r="AC3176" s="198" t="s">
        <v>2272</v>
      </c>
      <c r="AD3176" s="198"/>
      <c r="AE3176" s="198"/>
    </row>
    <row r="3177" spans="1:31" ht="36" customHeight="1">
      <c r="A3177" s="4" t="s">
        <v>8341</v>
      </c>
      <c r="B3177" s="4" t="s">
        <v>8373</v>
      </c>
      <c r="C3177" s="198" t="s">
        <v>23</v>
      </c>
      <c r="D3177" s="198" t="s">
        <v>2654</v>
      </c>
      <c r="E3177" s="4" t="s">
        <v>394</v>
      </c>
      <c r="F3177" s="4" t="s">
        <v>27</v>
      </c>
      <c r="G3177" s="198" t="s">
        <v>2272</v>
      </c>
      <c r="H3177" s="198" t="s">
        <v>521</v>
      </c>
      <c r="I3177" s="198"/>
      <c r="J3177" s="198" t="s">
        <v>2272</v>
      </c>
      <c r="K3177" s="198" t="s">
        <v>2272</v>
      </c>
      <c r="L3177" s="198" t="s">
        <v>2272</v>
      </c>
      <c r="M3177" s="198" t="s">
        <v>2272</v>
      </c>
      <c r="N3177" s="198" t="s">
        <v>2272</v>
      </c>
      <c r="O3177" s="198" t="s">
        <v>2272</v>
      </c>
      <c r="P3177" s="198" t="s">
        <v>2272</v>
      </c>
      <c r="Q3177" s="198" t="s">
        <v>2272</v>
      </c>
      <c r="R3177" s="198" t="s">
        <v>2272</v>
      </c>
      <c r="S3177" s="198" t="s">
        <v>2272</v>
      </c>
      <c r="T3177" s="198" t="s">
        <v>2272</v>
      </c>
      <c r="U3177" s="198" t="s">
        <v>2272</v>
      </c>
      <c r="V3177" s="198" t="s">
        <v>2272</v>
      </c>
      <c r="W3177" s="198" t="s">
        <v>2272</v>
      </c>
      <c r="X3177" s="198" t="s">
        <v>2272</v>
      </c>
      <c r="Y3177" s="198" t="s">
        <v>2272</v>
      </c>
      <c r="Z3177" s="21">
        <v>1</v>
      </c>
      <c r="AA3177" s="198" t="s">
        <v>84</v>
      </c>
      <c r="AB3177" s="198" t="s">
        <v>33</v>
      </c>
      <c r="AC3177" s="198" t="s">
        <v>2272</v>
      </c>
      <c r="AD3177" s="198"/>
      <c r="AE3177" s="198"/>
    </row>
    <row r="3178" spans="1:31" ht="36" customHeight="1">
      <c r="A3178" s="4" t="s">
        <v>8370</v>
      </c>
      <c r="B3178" s="4" t="s">
        <v>8374</v>
      </c>
      <c r="C3178" s="198" t="s">
        <v>23</v>
      </c>
      <c r="D3178" s="198" t="s">
        <v>2654</v>
      </c>
      <c r="E3178" s="4" t="s">
        <v>394</v>
      </c>
      <c r="F3178" s="4" t="s">
        <v>27</v>
      </c>
      <c r="G3178" s="198" t="s">
        <v>2272</v>
      </c>
      <c r="H3178" s="198" t="s">
        <v>521</v>
      </c>
      <c r="I3178" s="198"/>
      <c r="J3178" s="198" t="s">
        <v>2272</v>
      </c>
      <c r="K3178" s="198" t="s">
        <v>2272</v>
      </c>
      <c r="L3178" s="198" t="s">
        <v>2272</v>
      </c>
      <c r="M3178" s="198" t="s">
        <v>2272</v>
      </c>
      <c r="N3178" s="198" t="s">
        <v>2272</v>
      </c>
      <c r="O3178" s="198" t="s">
        <v>2272</v>
      </c>
      <c r="P3178" s="198" t="s">
        <v>2272</v>
      </c>
      <c r="Q3178" s="198" t="s">
        <v>2272</v>
      </c>
      <c r="R3178" s="198" t="s">
        <v>2272</v>
      </c>
      <c r="S3178" s="198" t="s">
        <v>2272</v>
      </c>
      <c r="T3178" s="198" t="s">
        <v>2272</v>
      </c>
      <c r="U3178" s="198" t="s">
        <v>2272</v>
      </c>
      <c r="V3178" s="198" t="s">
        <v>2272</v>
      </c>
      <c r="W3178" s="198" t="s">
        <v>2272</v>
      </c>
      <c r="X3178" s="198" t="s">
        <v>2272</v>
      </c>
      <c r="Y3178" s="198" t="s">
        <v>2272</v>
      </c>
      <c r="Z3178" s="21">
        <v>1</v>
      </c>
      <c r="AA3178" s="198" t="s">
        <v>67</v>
      </c>
      <c r="AB3178" s="198" t="s">
        <v>34</v>
      </c>
      <c r="AC3178" s="198" t="s">
        <v>2272</v>
      </c>
      <c r="AD3178" s="198"/>
      <c r="AE3178" s="198"/>
    </row>
    <row r="3179" spans="1:31" ht="36" customHeight="1">
      <c r="A3179" s="4" t="s">
        <v>8370</v>
      </c>
      <c r="B3179" s="4" t="s">
        <v>8375</v>
      </c>
      <c r="C3179" s="198" t="s">
        <v>23</v>
      </c>
      <c r="D3179" s="198" t="s">
        <v>2654</v>
      </c>
      <c r="E3179" s="4" t="s">
        <v>394</v>
      </c>
      <c r="F3179" s="4" t="s">
        <v>27</v>
      </c>
      <c r="G3179" s="198" t="s">
        <v>2272</v>
      </c>
      <c r="H3179" s="198" t="s">
        <v>521</v>
      </c>
      <c r="I3179" s="198"/>
      <c r="J3179" s="198" t="s">
        <v>2272</v>
      </c>
      <c r="K3179" s="198" t="s">
        <v>2272</v>
      </c>
      <c r="L3179" s="198" t="s">
        <v>2272</v>
      </c>
      <c r="M3179" s="198" t="s">
        <v>2272</v>
      </c>
      <c r="N3179" s="198" t="s">
        <v>2272</v>
      </c>
      <c r="O3179" s="198" t="s">
        <v>2272</v>
      </c>
      <c r="P3179" s="198" t="s">
        <v>2272</v>
      </c>
      <c r="Q3179" s="198" t="s">
        <v>2272</v>
      </c>
      <c r="R3179" s="198" t="s">
        <v>2272</v>
      </c>
      <c r="S3179" s="198" t="s">
        <v>2272</v>
      </c>
      <c r="T3179" s="198" t="s">
        <v>2272</v>
      </c>
      <c r="U3179" s="198" t="s">
        <v>2272</v>
      </c>
      <c r="V3179" s="198" t="s">
        <v>2272</v>
      </c>
      <c r="W3179" s="198" t="s">
        <v>2272</v>
      </c>
      <c r="X3179" s="198" t="s">
        <v>2272</v>
      </c>
      <c r="Y3179" s="198" t="s">
        <v>2272</v>
      </c>
      <c r="Z3179" s="21">
        <v>1</v>
      </c>
      <c r="AA3179" s="198" t="s">
        <v>84</v>
      </c>
      <c r="AB3179" s="198" t="s">
        <v>33</v>
      </c>
      <c r="AC3179" s="198" t="s">
        <v>2272</v>
      </c>
      <c r="AD3179" s="198"/>
      <c r="AE3179" s="198"/>
    </row>
    <row r="3180" spans="1:31" ht="36" customHeight="1">
      <c r="A3180" s="4" t="s">
        <v>8376</v>
      </c>
      <c r="B3180" s="4" t="s">
        <v>8379</v>
      </c>
      <c r="C3180" s="198" t="s">
        <v>23</v>
      </c>
      <c r="D3180" s="198" t="s">
        <v>2654</v>
      </c>
      <c r="E3180" s="4" t="s">
        <v>394</v>
      </c>
      <c r="F3180" s="4" t="s">
        <v>27</v>
      </c>
      <c r="G3180" s="198" t="s">
        <v>2272</v>
      </c>
      <c r="H3180" s="198" t="s">
        <v>521</v>
      </c>
      <c r="I3180" s="198"/>
      <c r="J3180" s="198" t="s">
        <v>2272</v>
      </c>
      <c r="K3180" s="198" t="s">
        <v>2272</v>
      </c>
      <c r="L3180" s="198" t="s">
        <v>2272</v>
      </c>
      <c r="M3180" s="198" t="s">
        <v>2272</v>
      </c>
      <c r="N3180" s="198" t="s">
        <v>2272</v>
      </c>
      <c r="O3180" s="198" t="s">
        <v>2272</v>
      </c>
      <c r="P3180" s="198" t="s">
        <v>2272</v>
      </c>
      <c r="Q3180" s="198" t="s">
        <v>2272</v>
      </c>
      <c r="R3180" s="198" t="s">
        <v>2272</v>
      </c>
      <c r="S3180" s="198" t="s">
        <v>2272</v>
      </c>
      <c r="T3180" s="198" t="s">
        <v>2272</v>
      </c>
      <c r="U3180" s="198" t="s">
        <v>2272</v>
      </c>
      <c r="V3180" s="198" t="s">
        <v>2272</v>
      </c>
      <c r="W3180" s="198" t="s">
        <v>2272</v>
      </c>
      <c r="X3180" s="198" t="s">
        <v>2272</v>
      </c>
      <c r="Y3180" s="198" t="s">
        <v>2272</v>
      </c>
      <c r="Z3180" s="21">
        <v>1</v>
      </c>
      <c r="AA3180" s="198" t="s">
        <v>67</v>
      </c>
      <c r="AB3180" s="198" t="s">
        <v>34</v>
      </c>
      <c r="AC3180" s="198" t="s">
        <v>2272</v>
      </c>
      <c r="AD3180" s="198"/>
      <c r="AE3180" s="198"/>
    </row>
    <row r="3181" spans="1:31" ht="36" customHeight="1">
      <c r="A3181" s="4" t="s">
        <v>8376</v>
      </c>
      <c r="B3181" s="4" t="s">
        <v>8380</v>
      </c>
      <c r="C3181" s="198" t="s">
        <v>23</v>
      </c>
      <c r="D3181" s="198" t="s">
        <v>2654</v>
      </c>
      <c r="E3181" s="4" t="s">
        <v>394</v>
      </c>
      <c r="F3181" s="4" t="s">
        <v>27</v>
      </c>
      <c r="G3181" s="198" t="s">
        <v>2272</v>
      </c>
      <c r="H3181" s="198" t="s">
        <v>521</v>
      </c>
      <c r="I3181" s="198"/>
      <c r="J3181" s="198" t="s">
        <v>2272</v>
      </c>
      <c r="K3181" s="198" t="s">
        <v>2272</v>
      </c>
      <c r="L3181" s="198" t="s">
        <v>2272</v>
      </c>
      <c r="M3181" s="198" t="s">
        <v>2272</v>
      </c>
      <c r="N3181" s="198" t="s">
        <v>2272</v>
      </c>
      <c r="O3181" s="198" t="s">
        <v>2272</v>
      </c>
      <c r="P3181" s="198" t="s">
        <v>2272</v>
      </c>
      <c r="Q3181" s="198" t="s">
        <v>2272</v>
      </c>
      <c r="R3181" s="198" t="s">
        <v>2272</v>
      </c>
      <c r="S3181" s="198" t="s">
        <v>2272</v>
      </c>
      <c r="T3181" s="198" t="s">
        <v>2272</v>
      </c>
      <c r="U3181" s="198" t="s">
        <v>2272</v>
      </c>
      <c r="V3181" s="198" t="s">
        <v>2272</v>
      </c>
      <c r="W3181" s="198" t="s">
        <v>2272</v>
      </c>
      <c r="X3181" s="198" t="s">
        <v>2272</v>
      </c>
      <c r="Y3181" s="198" t="s">
        <v>2272</v>
      </c>
      <c r="Z3181" s="21">
        <v>1</v>
      </c>
      <c r="AA3181" s="198" t="s">
        <v>84</v>
      </c>
      <c r="AB3181" s="198" t="s">
        <v>33</v>
      </c>
      <c r="AC3181" s="198" t="s">
        <v>2272</v>
      </c>
      <c r="AD3181" s="198"/>
      <c r="AE3181" s="198"/>
    </row>
    <row r="3182" spans="1:31" ht="36" customHeight="1">
      <c r="A3182" s="4" t="s">
        <v>8376</v>
      </c>
      <c r="B3182" s="4" t="s">
        <v>8381</v>
      </c>
      <c r="C3182" s="198" t="s">
        <v>23</v>
      </c>
      <c r="D3182" s="198" t="s">
        <v>2654</v>
      </c>
      <c r="E3182" s="4" t="s">
        <v>395</v>
      </c>
      <c r="F3182" s="4" t="s">
        <v>27</v>
      </c>
      <c r="G3182" s="198" t="s">
        <v>2272</v>
      </c>
      <c r="H3182" s="198" t="s">
        <v>521</v>
      </c>
      <c r="J3182" s="198" t="s">
        <v>2272</v>
      </c>
      <c r="K3182" s="198" t="s">
        <v>2272</v>
      </c>
      <c r="L3182" s="198" t="s">
        <v>2272</v>
      </c>
      <c r="M3182" s="198" t="s">
        <v>2272</v>
      </c>
      <c r="N3182" s="198" t="s">
        <v>2272</v>
      </c>
      <c r="O3182" s="198" t="s">
        <v>2272</v>
      </c>
      <c r="P3182" s="198" t="s">
        <v>2272</v>
      </c>
      <c r="Q3182" s="198" t="s">
        <v>2272</v>
      </c>
      <c r="R3182" s="198" t="s">
        <v>2272</v>
      </c>
      <c r="S3182" s="198" t="s">
        <v>2272</v>
      </c>
      <c r="T3182" s="198" t="s">
        <v>2272</v>
      </c>
      <c r="U3182" s="198" t="s">
        <v>2272</v>
      </c>
      <c r="V3182" s="198" t="s">
        <v>2272</v>
      </c>
      <c r="W3182" s="198" t="s">
        <v>2272</v>
      </c>
      <c r="X3182" s="198" t="s">
        <v>2272</v>
      </c>
      <c r="Y3182" s="198" t="s">
        <v>2272</v>
      </c>
      <c r="Z3182" s="21">
        <v>1</v>
      </c>
      <c r="AA3182" s="198" t="s">
        <v>67</v>
      </c>
      <c r="AB3182" s="198" t="s">
        <v>34</v>
      </c>
      <c r="AC3182" s="198" t="s">
        <v>2272</v>
      </c>
      <c r="AD3182" s="198"/>
      <c r="AE3182" s="198"/>
    </row>
    <row r="3183" spans="1:31" ht="36" customHeight="1">
      <c r="A3183" s="4" t="s">
        <v>8376</v>
      </c>
      <c r="B3183" s="4" t="s">
        <v>8382</v>
      </c>
      <c r="C3183" s="198" t="s">
        <v>23</v>
      </c>
      <c r="D3183" s="198" t="s">
        <v>2654</v>
      </c>
      <c r="E3183" s="4" t="s">
        <v>395</v>
      </c>
      <c r="F3183" s="4" t="s">
        <v>27</v>
      </c>
      <c r="G3183" s="198" t="s">
        <v>2272</v>
      </c>
      <c r="H3183" s="198" t="s">
        <v>522</v>
      </c>
      <c r="I3183" s="198"/>
      <c r="J3183" s="21">
        <v>0</v>
      </c>
      <c r="K3183" s="21">
        <v>0</v>
      </c>
      <c r="L3183" s="21">
        <v>0</v>
      </c>
      <c r="M3183" s="21">
        <v>0</v>
      </c>
      <c r="N3183" s="21">
        <v>0</v>
      </c>
      <c r="O3183" s="21">
        <v>0</v>
      </c>
      <c r="P3183" s="21">
        <v>0</v>
      </c>
      <c r="Q3183" s="21">
        <v>0</v>
      </c>
      <c r="R3183" s="21">
        <v>0</v>
      </c>
      <c r="S3183" s="21">
        <v>0</v>
      </c>
      <c r="T3183" s="21">
        <v>0</v>
      </c>
      <c r="U3183" s="21">
        <v>0</v>
      </c>
      <c r="V3183" s="21">
        <v>0</v>
      </c>
      <c r="W3183" s="21">
        <v>0</v>
      </c>
      <c r="X3183" s="21">
        <v>0</v>
      </c>
      <c r="Y3183" s="21">
        <v>0</v>
      </c>
      <c r="Z3183" s="198" t="s">
        <v>2272</v>
      </c>
      <c r="AA3183" s="198" t="s">
        <v>84</v>
      </c>
      <c r="AB3183" s="198" t="s">
        <v>33</v>
      </c>
      <c r="AC3183" s="198" t="s">
        <v>2272</v>
      </c>
      <c r="AD3183" s="198"/>
      <c r="AE3183" s="198"/>
    </row>
    <row r="3184" spans="1:31" ht="40" customHeight="1">
      <c r="A3184" s="4" t="s">
        <v>8402</v>
      </c>
      <c r="B3184" s="4" t="s">
        <v>8404</v>
      </c>
      <c r="C3184" s="198" t="s">
        <v>23</v>
      </c>
      <c r="D3184" s="198" t="s">
        <v>2654</v>
      </c>
      <c r="E3184" s="198" t="s">
        <v>82</v>
      </c>
      <c r="F3184" s="4" t="s">
        <v>27</v>
      </c>
      <c r="G3184" s="198" t="s">
        <v>2272</v>
      </c>
      <c r="H3184" s="198" t="s">
        <v>521</v>
      </c>
      <c r="I3184" s="198">
        <v>1980</v>
      </c>
      <c r="J3184" s="198" t="s">
        <v>2272</v>
      </c>
      <c r="K3184" s="198" t="s">
        <v>2272</v>
      </c>
      <c r="L3184" s="198" t="s">
        <v>2272</v>
      </c>
      <c r="M3184" s="198" t="s">
        <v>2272</v>
      </c>
      <c r="N3184" s="198" t="s">
        <v>2272</v>
      </c>
      <c r="O3184" s="198" t="s">
        <v>2272</v>
      </c>
      <c r="P3184" s="198" t="s">
        <v>2272</v>
      </c>
      <c r="Q3184" s="198" t="s">
        <v>2272</v>
      </c>
      <c r="R3184" s="198" t="s">
        <v>2272</v>
      </c>
      <c r="S3184" s="198" t="s">
        <v>2272</v>
      </c>
      <c r="T3184" s="198" t="s">
        <v>2272</v>
      </c>
      <c r="U3184" s="198" t="s">
        <v>2272</v>
      </c>
      <c r="V3184" s="198" t="s">
        <v>2272</v>
      </c>
      <c r="W3184" s="198" t="s">
        <v>2272</v>
      </c>
      <c r="X3184" s="198" t="s">
        <v>2272</v>
      </c>
      <c r="Y3184" s="21">
        <f>6000/'Record info'!$K1302</f>
        <v>2.4742778201612404E-2</v>
      </c>
      <c r="Z3184" s="21">
        <v>1</v>
      </c>
      <c r="AA3184" s="198" t="s">
        <v>2272</v>
      </c>
      <c r="AB3184" s="198" t="s">
        <v>2272</v>
      </c>
      <c r="AC3184" s="198" t="s">
        <v>2272</v>
      </c>
      <c r="AD3184" s="198"/>
      <c r="AE3184" s="198"/>
    </row>
    <row r="3185" spans="1:31" ht="47" customHeight="1">
      <c r="A3185" s="4" t="s">
        <v>8402</v>
      </c>
      <c r="B3185" s="4" t="s">
        <v>8405</v>
      </c>
      <c r="C3185" s="198" t="s">
        <v>23</v>
      </c>
      <c r="D3185" s="198" t="s">
        <v>2654</v>
      </c>
      <c r="E3185" s="198" t="s">
        <v>82</v>
      </c>
      <c r="F3185" s="4" t="s">
        <v>27</v>
      </c>
      <c r="G3185" s="198" t="s">
        <v>2272</v>
      </c>
      <c r="H3185" s="198" t="s">
        <v>522</v>
      </c>
      <c r="I3185" s="198">
        <v>1992</v>
      </c>
      <c r="J3185" s="21">
        <v>0</v>
      </c>
      <c r="K3185" s="21">
        <v>0</v>
      </c>
      <c r="L3185" s="21">
        <v>0</v>
      </c>
      <c r="M3185" s="21">
        <v>0</v>
      </c>
      <c r="N3185" s="21">
        <v>0</v>
      </c>
      <c r="O3185" s="21">
        <v>0</v>
      </c>
      <c r="P3185" s="21">
        <v>0</v>
      </c>
      <c r="Q3185" s="21">
        <v>0</v>
      </c>
      <c r="R3185" s="21">
        <v>0</v>
      </c>
      <c r="S3185" s="21">
        <v>0</v>
      </c>
      <c r="T3185" s="21">
        <v>0</v>
      </c>
      <c r="U3185" s="21">
        <v>0</v>
      </c>
      <c r="V3185" s="21">
        <v>0</v>
      </c>
      <c r="W3185" s="21">
        <v>0</v>
      </c>
      <c r="X3185" s="21">
        <v>0</v>
      </c>
      <c r="Y3185" s="21">
        <v>0</v>
      </c>
      <c r="Z3185" s="198" t="s">
        <v>2272</v>
      </c>
      <c r="AA3185" s="198" t="s">
        <v>2272</v>
      </c>
      <c r="AB3185" s="198" t="s">
        <v>2272</v>
      </c>
      <c r="AC3185" s="198" t="s">
        <v>2272</v>
      </c>
      <c r="AD3185" s="198"/>
      <c r="AE3185" s="198"/>
    </row>
    <row r="3186" spans="1:31" ht="42" customHeight="1">
      <c r="A3186" s="4" t="s">
        <v>8411</v>
      </c>
      <c r="B3186" s="4" t="s">
        <v>8414</v>
      </c>
      <c r="C3186" s="198" t="s">
        <v>23</v>
      </c>
      <c r="D3186" s="198" t="s">
        <v>2654</v>
      </c>
      <c r="E3186" s="198" t="s">
        <v>82</v>
      </c>
      <c r="F3186" s="4" t="s">
        <v>27</v>
      </c>
      <c r="G3186" s="198" t="s">
        <v>2272</v>
      </c>
      <c r="H3186" s="198" t="s">
        <v>521</v>
      </c>
      <c r="I3186" s="198">
        <v>1992</v>
      </c>
      <c r="J3186" s="198" t="s">
        <v>2272</v>
      </c>
      <c r="K3186" s="198" t="s">
        <v>2272</v>
      </c>
      <c r="L3186" s="198" t="s">
        <v>2272</v>
      </c>
      <c r="M3186" s="198" t="s">
        <v>2272</v>
      </c>
      <c r="N3186" s="198" t="s">
        <v>2272</v>
      </c>
      <c r="O3186" s="198" t="s">
        <v>2272</v>
      </c>
      <c r="P3186" s="198" t="s">
        <v>2272</v>
      </c>
      <c r="Q3186" s="198" t="s">
        <v>2272</v>
      </c>
      <c r="R3186" s="198" t="s">
        <v>2272</v>
      </c>
      <c r="S3186" s="198" t="s">
        <v>2272</v>
      </c>
      <c r="T3186" s="198" t="s">
        <v>2272</v>
      </c>
      <c r="U3186" s="198" t="s">
        <v>2272</v>
      </c>
      <c r="V3186" s="198" t="s">
        <v>2272</v>
      </c>
      <c r="W3186" s="198" t="s">
        <v>2272</v>
      </c>
      <c r="X3186" s="198" t="s">
        <v>2272</v>
      </c>
      <c r="Y3186" s="21">
        <f>((303000*0.404686)/0.83)/'Record info'!$K$1304</f>
        <v>0.34121248279256949</v>
      </c>
      <c r="Z3186" s="198" t="s">
        <v>2272</v>
      </c>
      <c r="AA3186" s="198" t="s">
        <v>37</v>
      </c>
      <c r="AB3186" s="198" t="s">
        <v>34</v>
      </c>
      <c r="AC3186" s="198" t="s">
        <v>75</v>
      </c>
      <c r="AD3186" s="198"/>
      <c r="AE3186" s="198"/>
    </row>
    <row r="3187" spans="1:31" ht="42" customHeight="1">
      <c r="A3187" s="4" t="s">
        <v>8411</v>
      </c>
      <c r="B3187" s="4" t="s">
        <v>8415</v>
      </c>
      <c r="C3187" s="198" t="s">
        <v>23</v>
      </c>
      <c r="D3187" s="198" t="s">
        <v>2654</v>
      </c>
      <c r="E3187" s="198" t="s">
        <v>82</v>
      </c>
      <c r="F3187" s="4" t="s">
        <v>27</v>
      </c>
      <c r="G3187" s="198" t="s">
        <v>2272</v>
      </c>
      <c r="H3187" s="198" t="s">
        <v>521</v>
      </c>
      <c r="I3187" s="198">
        <v>1993</v>
      </c>
      <c r="J3187" s="198" t="s">
        <v>2272</v>
      </c>
      <c r="K3187" s="198" t="s">
        <v>2272</v>
      </c>
      <c r="L3187" s="198" t="s">
        <v>2272</v>
      </c>
      <c r="M3187" s="198" t="s">
        <v>2272</v>
      </c>
      <c r="N3187" s="198" t="s">
        <v>2272</v>
      </c>
      <c r="O3187" s="198" t="s">
        <v>2272</v>
      </c>
      <c r="P3187" s="198" t="s">
        <v>2272</v>
      </c>
      <c r="Q3187" s="198" t="s">
        <v>2272</v>
      </c>
      <c r="R3187" s="198" t="s">
        <v>2272</v>
      </c>
      <c r="S3187" s="198" t="s">
        <v>2272</v>
      </c>
      <c r="T3187" s="198" t="s">
        <v>2272</v>
      </c>
      <c r="U3187" s="198" t="s">
        <v>2272</v>
      </c>
      <c r="V3187" s="198" t="s">
        <v>2272</v>
      </c>
      <c r="W3187" s="198" t="s">
        <v>2272</v>
      </c>
      <c r="X3187" s="198" t="s">
        <v>2272</v>
      </c>
      <c r="Y3187" s="21">
        <f>((306000*0.404686)/0.78)/'Record info'!$K$1304</f>
        <v>0.36667997960420068</v>
      </c>
      <c r="Z3187" s="198" t="s">
        <v>2272</v>
      </c>
      <c r="AA3187" s="198" t="s">
        <v>37</v>
      </c>
      <c r="AB3187" s="198" t="s">
        <v>34</v>
      </c>
      <c r="AC3187" s="198" t="s">
        <v>75</v>
      </c>
      <c r="AD3187" s="198"/>
      <c r="AE3187" s="198"/>
    </row>
    <row r="3188" spans="1:31" ht="35.5" customHeight="1">
      <c r="A3188" s="4" t="s">
        <v>8411</v>
      </c>
      <c r="B3188" s="4" t="s">
        <v>8416</v>
      </c>
      <c r="C3188" s="198" t="s">
        <v>23</v>
      </c>
      <c r="D3188" s="198" t="s">
        <v>2654</v>
      </c>
      <c r="E3188" s="198" t="s">
        <v>82</v>
      </c>
      <c r="F3188" s="4" t="s">
        <v>27</v>
      </c>
      <c r="G3188" s="198" t="s">
        <v>2272</v>
      </c>
      <c r="H3188" s="198" t="s">
        <v>521</v>
      </c>
      <c r="I3188" s="198">
        <v>1994</v>
      </c>
      <c r="J3188" s="198" t="s">
        <v>2272</v>
      </c>
      <c r="K3188" s="198" t="s">
        <v>2272</v>
      </c>
      <c r="L3188" s="198" t="s">
        <v>2272</v>
      </c>
      <c r="M3188" s="198" t="s">
        <v>2272</v>
      </c>
      <c r="N3188" s="198" t="s">
        <v>2272</v>
      </c>
      <c r="O3188" s="198" t="s">
        <v>2272</v>
      </c>
      <c r="P3188" s="198" t="s">
        <v>2272</v>
      </c>
      <c r="Q3188" s="198" t="s">
        <v>2272</v>
      </c>
      <c r="R3188" s="198" t="s">
        <v>2272</v>
      </c>
      <c r="S3188" s="198" t="s">
        <v>2272</v>
      </c>
      <c r="T3188" s="198" t="s">
        <v>2272</v>
      </c>
      <c r="U3188" s="198" t="s">
        <v>2272</v>
      </c>
      <c r="V3188" s="198" t="s">
        <v>2272</v>
      </c>
      <c r="W3188" s="198" t="s">
        <v>2272</v>
      </c>
      <c r="X3188" s="198" t="s">
        <v>2272</v>
      </c>
      <c r="Y3188" s="21">
        <f>((293000*0.404686)/0.9)/'Record info'!$K$1304</f>
        <v>0.30428846237742924</v>
      </c>
      <c r="Z3188" s="198" t="s">
        <v>2272</v>
      </c>
      <c r="AA3188" s="198" t="s">
        <v>37</v>
      </c>
      <c r="AB3188" s="198" t="s">
        <v>34</v>
      </c>
      <c r="AC3188" s="198" t="s">
        <v>75</v>
      </c>
      <c r="AD3188" s="198"/>
      <c r="AE3188" s="198"/>
    </row>
    <row r="3189" spans="1:31" ht="35.5" customHeight="1">
      <c r="A3189" s="4" t="s">
        <v>8411</v>
      </c>
      <c r="B3189" s="4" t="s">
        <v>8417</v>
      </c>
      <c r="C3189" s="198" t="s">
        <v>23</v>
      </c>
      <c r="D3189" s="198" t="s">
        <v>2654</v>
      </c>
      <c r="E3189" s="198" t="s">
        <v>82</v>
      </c>
      <c r="F3189" s="4" t="s">
        <v>27</v>
      </c>
      <c r="G3189" s="198" t="s">
        <v>2272</v>
      </c>
      <c r="H3189" s="198" t="s">
        <v>521</v>
      </c>
      <c r="I3189" s="198">
        <v>1995</v>
      </c>
      <c r="J3189" s="198" t="s">
        <v>2272</v>
      </c>
      <c r="K3189" s="198" t="s">
        <v>2272</v>
      </c>
      <c r="L3189" s="198" t="s">
        <v>2272</v>
      </c>
      <c r="M3189" s="198" t="s">
        <v>2272</v>
      </c>
      <c r="N3189" s="198" t="s">
        <v>2272</v>
      </c>
      <c r="O3189" s="198" t="s">
        <v>2272</v>
      </c>
      <c r="P3189" s="198" t="s">
        <v>2272</v>
      </c>
      <c r="Q3189" s="198" t="s">
        <v>2272</v>
      </c>
      <c r="R3189" s="198" t="s">
        <v>2272</v>
      </c>
      <c r="S3189" s="198" t="s">
        <v>2272</v>
      </c>
      <c r="T3189" s="198" t="s">
        <v>2272</v>
      </c>
      <c r="U3189" s="198" t="s">
        <v>2272</v>
      </c>
      <c r="V3189" s="198" t="s">
        <v>2272</v>
      </c>
      <c r="W3189" s="198" t="s">
        <v>2272</v>
      </c>
      <c r="X3189" s="198" t="s">
        <v>2272</v>
      </c>
      <c r="Y3189" s="21">
        <f>((268000*0.404686)/0.74)/'Record info'!$K$1304</f>
        <v>0.33850372255989275</v>
      </c>
      <c r="Z3189" s="198" t="s">
        <v>2272</v>
      </c>
      <c r="AA3189" s="198" t="s">
        <v>37</v>
      </c>
      <c r="AB3189" s="198" t="s">
        <v>34</v>
      </c>
      <c r="AC3189" s="198" t="s">
        <v>75</v>
      </c>
      <c r="AD3189" s="198"/>
      <c r="AE3189" s="198"/>
    </row>
    <row r="3190" spans="1:31" ht="35.5" customHeight="1">
      <c r="A3190" s="4" t="s">
        <v>8411</v>
      </c>
      <c r="B3190" s="4" t="s">
        <v>8418</v>
      </c>
      <c r="C3190" s="198" t="s">
        <v>23</v>
      </c>
      <c r="D3190" s="198" t="s">
        <v>2654</v>
      </c>
      <c r="E3190" s="198" t="s">
        <v>82</v>
      </c>
      <c r="F3190" s="4" t="s">
        <v>27</v>
      </c>
      <c r="G3190" s="198" t="s">
        <v>2272</v>
      </c>
      <c r="H3190" s="198" t="s">
        <v>521</v>
      </c>
      <c r="I3190" s="198">
        <v>1996</v>
      </c>
      <c r="J3190" s="198" t="s">
        <v>2272</v>
      </c>
      <c r="K3190" s="198" t="s">
        <v>2272</v>
      </c>
      <c r="L3190" s="198" t="s">
        <v>2272</v>
      </c>
      <c r="M3190" s="198" t="s">
        <v>2272</v>
      </c>
      <c r="N3190" s="198" t="s">
        <v>2272</v>
      </c>
      <c r="O3190" s="198" t="s">
        <v>2272</v>
      </c>
      <c r="P3190" s="198" t="s">
        <v>2272</v>
      </c>
      <c r="Q3190" s="198" t="s">
        <v>2272</v>
      </c>
      <c r="R3190" s="198" t="s">
        <v>2272</v>
      </c>
      <c r="S3190" s="198" t="s">
        <v>2272</v>
      </c>
      <c r="T3190" s="198" t="s">
        <v>2272</v>
      </c>
      <c r="U3190" s="198" t="s">
        <v>2272</v>
      </c>
      <c r="V3190" s="198" t="s">
        <v>2272</v>
      </c>
      <c r="W3190" s="198" t="s">
        <v>2272</v>
      </c>
      <c r="X3190" s="198" t="s">
        <v>2272</v>
      </c>
      <c r="Y3190" s="21">
        <f>((211000*0.404686)/0.85)/'Record info'!$K$1304</f>
        <v>0.23201918893986678</v>
      </c>
      <c r="Z3190" s="198" t="s">
        <v>2272</v>
      </c>
      <c r="AA3190" s="198" t="s">
        <v>37</v>
      </c>
      <c r="AB3190" s="198" t="s">
        <v>34</v>
      </c>
      <c r="AC3190" s="198" t="s">
        <v>75</v>
      </c>
      <c r="AD3190" s="198"/>
      <c r="AE3190" s="198"/>
    </row>
    <row r="3191" spans="1:31" ht="36.5" customHeight="1">
      <c r="A3191" s="4" t="s">
        <v>8411</v>
      </c>
      <c r="B3191" s="4" t="s">
        <v>8419</v>
      </c>
      <c r="C3191" s="198" t="s">
        <v>23</v>
      </c>
      <c r="D3191" s="198" t="s">
        <v>2654</v>
      </c>
      <c r="E3191" s="198" t="s">
        <v>82</v>
      </c>
      <c r="F3191" s="4" t="s">
        <v>27</v>
      </c>
      <c r="G3191" s="198" t="s">
        <v>2272</v>
      </c>
      <c r="H3191" s="198" t="s">
        <v>521</v>
      </c>
      <c r="I3191" s="198">
        <v>1980</v>
      </c>
      <c r="J3191" s="198" t="s">
        <v>2272</v>
      </c>
      <c r="K3191" s="198" t="s">
        <v>2272</v>
      </c>
      <c r="L3191" s="198" t="s">
        <v>2272</v>
      </c>
      <c r="M3191" s="198" t="s">
        <v>2272</v>
      </c>
      <c r="N3191" s="198" t="s">
        <v>2272</v>
      </c>
      <c r="O3191" s="198" t="s">
        <v>2272</v>
      </c>
      <c r="P3191" s="198" t="s">
        <v>2272</v>
      </c>
      <c r="Q3191" s="198" t="s">
        <v>2272</v>
      </c>
      <c r="R3191" s="198" t="s">
        <v>2272</v>
      </c>
      <c r="S3191" s="198" t="s">
        <v>2272</v>
      </c>
      <c r="T3191" s="198" t="s">
        <v>2272</v>
      </c>
      <c r="U3191" s="198" t="s">
        <v>2272</v>
      </c>
      <c r="V3191" s="198" t="s">
        <v>2272</v>
      </c>
      <c r="W3191" s="198" t="s">
        <v>2272</v>
      </c>
      <c r="X3191" s="198" t="s">
        <v>2272</v>
      </c>
      <c r="Y3191" s="21">
        <f>((425000*0.404686)/AVERAGE(0.83, 0.78, 0.9, 0.74, 0.85))/'Record info'!$K$1304</f>
        <v>0.48443493240392371</v>
      </c>
      <c r="Z3191" s="198" t="s">
        <v>2272</v>
      </c>
      <c r="AA3191" s="198" t="s">
        <v>37</v>
      </c>
      <c r="AB3191" s="198" t="s">
        <v>34</v>
      </c>
      <c r="AC3191" s="198" t="s">
        <v>75</v>
      </c>
      <c r="AD3191" s="198"/>
      <c r="AE3191" s="198"/>
    </row>
    <row r="3192" spans="1:31" ht="39" customHeight="1">
      <c r="A3192" s="4" t="s">
        <v>8407</v>
      </c>
      <c r="B3192" s="4" t="s">
        <v>8408</v>
      </c>
      <c r="C3192" s="198" t="s">
        <v>23</v>
      </c>
      <c r="D3192" s="198" t="s">
        <v>2654</v>
      </c>
      <c r="E3192" s="198" t="s">
        <v>82</v>
      </c>
      <c r="F3192" s="4" t="s">
        <v>27</v>
      </c>
      <c r="G3192" s="198" t="s">
        <v>2272</v>
      </c>
      <c r="H3192" s="198" t="s">
        <v>521</v>
      </c>
      <c r="I3192" s="198">
        <v>1992</v>
      </c>
      <c r="J3192" s="198" t="s">
        <v>2272</v>
      </c>
      <c r="K3192" s="198" t="s">
        <v>2272</v>
      </c>
      <c r="L3192" s="198" t="s">
        <v>2272</v>
      </c>
      <c r="M3192" s="198" t="s">
        <v>2272</v>
      </c>
      <c r="N3192" s="198" t="s">
        <v>2272</v>
      </c>
      <c r="O3192" s="198" t="s">
        <v>2272</v>
      </c>
      <c r="P3192" s="198" t="s">
        <v>2272</v>
      </c>
      <c r="Q3192" s="198" t="s">
        <v>2272</v>
      </c>
      <c r="R3192" s="198" t="s">
        <v>2272</v>
      </c>
      <c r="S3192" s="198" t="s">
        <v>2272</v>
      </c>
      <c r="T3192" s="198" t="s">
        <v>2272</v>
      </c>
      <c r="U3192" s="198" t="s">
        <v>2272</v>
      </c>
      <c r="V3192" s="198" t="s">
        <v>2272</v>
      </c>
      <c r="W3192" s="198" t="s">
        <v>2272</v>
      </c>
      <c r="X3192" s="198" t="s">
        <v>2272</v>
      </c>
      <c r="Y3192" s="198" t="s">
        <v>2272</v>
      </c>
      <c r="Z3192" s="198" t="s">
        <v>2272</v>
      </c>
      <c r="AA3192" s="198" t="s">
        <v>67</v>
      </c>
      <c r="AB3192" s="198" t="s">
        <v>67</v>
      </c>
      <c r="AC3192" s="198" t="s">
        <v>2272</v>
      </c>
      <c r="AD3192" s="198"/>
      <c r="AE3192" s="198"/>
    </row>
    <row r="3193" spans="1:31" ht="45.5" customHeight="1">
      <c r="A3193" s="4" t="s">
        <v>8420</v>
      </c>
      <c r="B3193" s="4" t="s">
        <v>8422</v>
      </c>
      <c r="C3193" s="198" t="s">
        <v>23</v>
      </c>
      <c r="D3193" s="198" t="s">
        <v>2654</v>
      </c>
      <c r="E3193" s="198" t="s">
        <v>82</v>
      </c>
      <c r="F3193" s="4" t="s">
        <v>27</v>
      </c>
      <c r="G3193" s="198" t="s">
        <v>2272</v>
      </c>
      <c r="H3193" s="198" t="s">
        <v>521</v>
      </c>
      <c r="I3193" s="198"/>
      <c r="J3193" s="198" t="s">
        <v>2272</v>
      </c>
      <c r="K3193" s="198" t="s">
        <v>2272</v>
      </c>
      <c r="L3193" s="198" t="s">
        <v>2272</v>
      </c>
      <c r="M3193" s="198" t="s">
        <v>2272</v>
      </c>
      <c r="N3193" s="198" t="s">
        <v>2272</v>
      </c>
      <c r="O3193" s="198" t="s">
        <v>2272</v>
      </c>
      <c r="P3193" s="198" t="s">
        <v>2272</v>
      </c>
      <c r="Q3193" s="198" t="s">
        <v>2272</v>
      </c>
      <c r="R3193" s="198" t="s">
        <v>2272</v>
      </c>
      <c r="S3193" s="198" t="s">
        <v>2272</v>
      </c>
      <c r="T3193" s="198" t="s">
        <v>2272</v>
      </c>
      <c r="U3193" s="198" t="s">
        <v>2272</v>
      </c>
      <c r="V3193" s="198" t="s">
        <v>2272</v>
      </c>
      <c r="W3193" s="198" t="s">
        <v>2272</v>
      </c>
      <c r="X3193" s="198" t="s">
        <v>2272</v>
      </c>
      <c r="Y3193" s="198" t="s">
        <v>2272</v>
      </c>
      <c r="Z3193" s="198" t="s">
        <v>2272</v>
      </c>
      <c r="AA3193" s="198" t="s">
        <v>2272</v>
      </c>
      <c r="AB3193" s="198" t="s">
        <v>2272</v>
      </c>
      <c r="AC3193" s="198" t="s">
        <v>2272</v>
      </c>
      <c r="AD3193" s="198"/>
      <c r="AE3193" s="198"/>
    </row>
    <row r="3194" spans="1:31" ht="42.5" customHeight="1">
      <c r="A3194" s="4" t="s">
        <v>8425</v>
      </c>
      <c r="B3194" s="4" t="s">
        <v>8426</v>
      </c>
      <c r="C3194" s="198" t="s">
        <v>23</v>
      </c>
      <c r="D3194" s="198" t="s">
        <v>2654</v>
      </c>
      <c r="E3194" s="4" t="s">
        <v>395</v>
      </c>
      <c r="F3194" s="4" t="s">
        <v>27</v>
      </c>
      <c r="G3194" s="198" t="s">
        <v>2272</v>
      </c>
      <c r="H3194" s="198" t="s">
        <v>521</v>
      </c>
      <c r="I3194" s="198"/>
      <c r="J3194" s="198" t="s">
        <v>2272</v>
      </c>
      <c r="K3194" s="198" t="s">
        <v>2272</v>
      </c>
      <c r="L3194" s="198" t="s">
        <v>2272</v>
      </c>
      <c r="M3194" s="198" t="s">
        <v>2272</v>
      </c>
      <c r="N3194" s="198" t="s">
        <v>2272</v>
      </c>
      <c r="O3194" s="198" t="s">
        <v>2272</v>
      </c>
      <c r="P3194" s="198" t="s">
        <v>2272</v>
      </c>
      <c r="Q3194" s="198" t="s">
        <v>2272</v>
      </c>
      <c r="R3194" s="198" t="s">
        <v>2272</v>
      </c>
      <c r="S3194" s="198" t="s">
        <v>2272</v>
      </c>
      <c r="T3194" s="198" t="s">
        <v>2272</v>
      </c>
      <c r="U3194" s="198" t="s">
        <v>2272</v>
      </c>
      <c r="V3194" s="198" t="s">
        <v>2272</v>
      </c>
      <c r="W3194" s="198" t="s">
        <v>2272</v>
      </c>
      <c r="X3194" s="198" t="s">
        <v>2272</v>
      </c>
      <c r="Y3194" s="21">
        <f>(0.3*3718000*0.9)/'Record info'!K1306</f>
        <v>3.3462000000000001</v>
      </c>
      <c r="Z3194" s="198" t="s">
        <v>2272</v>
      </c>
      <c r="AA3194" s="198" t="s">
        <v>397</v>
      </c>
      <c r="AB3194" s="198" t="s">
        <v>187</v>
      </c>
      <c r="AC3194" s="198" t="s">
        <v>2272</v>
      </c>
      <c r="AD3194" s="198" t="s">
        <v>8432</v>
      </c>
      <c r="AE3194" s="198"/>
    </row>
    <row r="3195" spans="1:31" ht="45.5" customHeight="1">
      <c r="A3195" s="4" t="s">
        <v>8425</v>
      </c>
      <c r="B3195" s="4" t="s">
        <v>8427</v>
      </c>
      <c r="C3195" s="198" t="s">
        <v>23</v>
      </c>
      <c r="D3195" s="198" t="s">
        <v>2654</v>
      </c>
      <c r="E3195" s="4" t="s">
        <v>395</v>
      </c>
      <c r="F3195" s="4" t="s">
        <v>27</v>
      </c>
      <c r="G3195" s="198" t="s">
        <v>2272</v>
      </c>
      <c r="H3195" s="198" t="s">
        <v>521</v>
      </c>
      <c r="I3195" s="198"/>
      <c r="J3195" s="198" t="s">
        <v>2272</v>
      </c>
      <c r="K3195" s="198" t="s">
        <v>2272</v>
      </c>
      <c r="L3195" s="198" t="s">
        <v>2272</v>
      </c>
      <c r="M3195" s="198" t="s">
        <v>2272</v>
      </c>
      <c r="N3195" s="198" t="s">
        <v>2272</v>
      </c>
      <c r="O3195" s="198" t="s">
        <v>2272</v>
      </c>
      <c r="P3195" s="198" t="s">
        <v>2272</v>
      </c>
      <c r="Q3195" s="198" t="s">
        <v>2272</v>
      </c>
      <c r="R3195" s="198" t="s">
        <v>2272</v>
      </c>
      <c r="S3195" s="198" t="s">
        <v>2272</v>
      </c>
      <c r="T3195" s="198" t="s">
        <v>2272</v>
      </c>
      <c r="U3195" s="198" t="s">
        <v>2272</v>
      </c>
      <c r="V3195" s="198" t="s">
        <v>2272</v>
      </c>
      <c r="W3195" s="198" t="s">
        <v>2272</v>
      </c>
      <c r="X3195" s="198" t="s">
        <v>2272</v>
      </c>
      <c r="Y3195" s="21">
        <f>(0.7*3718000*0.9)/'Record info'!K1306</f>
        <v>7.8078000000000003</v>
      </c>
      <c r="Z3195" s="198" t="s">
        <v>2272</v>
      </c>
      <c r="AA3195" s="198" t="s">
        <v>37</v>
      </c>
      <c r="AB3195" s="198" t="s">
        <v>84</v>
      </c>
      <c r="AC3195" s="198" t="s">
        <v>2272</v>
      </c>
      <c r="AD3195" s="198" t="s">
        <v>8432</v>
      </c>
      <c r="AE3195" s="198"/>
    </row>
    <row r="3196" spans="1:31" ht="64" customHeight="1">
      <c r="A3196" s="4" t="s">
        <v>8425</v>
      </c>
      <c r="B3196" s="4" t="s">
        <v>8428</v>
      </c>
      <c r="C3196" s="198" t="s">
        <v>23</v>
      </c>
      <c r="D3196" s="198" t="s">
        <v>2654</v>
      </c>
      <c r="E3196" s="4" t="s">
        <v>394</v>
      </c>
      <c r="F3196" s="4" t="s">
        <v>27</v>
      </c>
      <c r="G3196" s="198" t="s">
        <v>2272</v>
      </c>
      <c r="H3196" s="198" t="s">
        <v>521</v>
      </c>
      <c r="I3196" s="198"/>
      <c r="J3196" s="198" t="s">
        <v>2272</v>
      </c>
      <c r="K3196" s="198" t="s">
        <v>2272</v>
      </c>
      <c r="L3196" s="198" t="s">
        <v>2272</v>
      </c>
      <c r="M3196" s="198" t="s">
        <v>2272</v>
      </c>
      <c r="N3196" s="198" t="s">
        <v>2272</v>
      </c>
      <c r="O3196" s="198" t="s">
        <v>2272</v>
      </c>
      <c r="P3196" s="198" t="s">
        <v>2272</v>
      </c>
      <c r="Q3196" s="198" t="s">
        <v>2272</v>
      </c>
      <c r="R3196" s="198" t="s">
        <v>2272</v>
      </c>
      <c r="S3196" s="198" t="s">
        <v>2272</v>
      </c>
      <c r="T3196" s="198" t="s">
        <v>2272</v>
      </c>
      <c r="U3196" s="198" t="s">
        <v>2272</v>
      </c>
      <c r="V3196" s="198" t="s">
        <v>2272</v>
      </c>
      <c r="W3196" s="198" t="s">
        <v>2272</v>
      </c>
      <c r="X3196" s="198" t="s">
        <v>2272</v>
      </c>
      <c r="Y3196" s="21">
        <f>22200/'Record info'!K$1306</f>
        <v>7.3999999999999996E-2</v>
      </c>
      <c r="Z3196" s="198" t="s">
        <v>2272</v>
      </c>
      <c r="AA3196" s="198" t="s">
        <v>67</v>
      </c>
      <c r="AB3196" s="198" t="s">
        <v>125</v>
      </c>
      <c r="AC3196" s="198" t="s">
        <v>2272</v>
      </c>
      <c r="AD3196" s="4" t="s">
        <v>8431</v>
      </c>
      <c r="AE3196" s="198"/>
    </row>
    <row r="3197" spans="1:31" ht="64" customHeight="1">
      <c r="A3197" s="4" t="s">
        <v>8425</v>
      </c>
      <c r="B3197" s="4" t="s">
        <v>8429</v>
      </c>
      <c r="C3197" s="198" t="s">
        <v>23</v>
      </c>
      <c r="D3197" s="198" t="s">
        <v>2654</v>
      </c>
      <c r="E3197" s="4" t="s">
        <v>394</v>
      </c>
      <c r="F3197" s="4" t="s">
        <v>27</v>
      </c>
      <c r="G3197" s="198" t="s">
        <v>2272</v>
      </c>
      <c r="H3197" s="198" t="s">
        <v>521</v>
      </c>
      <c r="I3197" s="198"/>
      <c r="J3197" s="198" t="s">
        <v>2272</v>
      </c>
      <c r="K3197" s="198" t="s">
        <v>2272</v>
      </c>
      <c r="L3197" s="198" t="s">
        <v>2272</v>
      </c>
      <c r="M3197" s="198" t="s">
        <v>2272</v>
      </c>
      <c r="N3197" s="198" t="s">
        <v>2272</v>
      </c>
      <c r="O3197" s="198" t="s">
        <v>2272</v>
      </c>
      <c r="P3197" s="198" t="s">
        <v>2272</v>
      </c>
      <c r="Q3197" s="198" t="s">
        <v>2272</v>
      </c>
      <c r="R3197" s="198" t="s">
        <v>2272</v>
      </c>
      <c r="S3197" s="198" t="s">
        <v>2272</v>
      </c>
      <c r="T3197" s="198" t="s">
        <v>2272</v>
      </c>
      <c r="U3197" s="198" t="s">
        <v>2272</v>
      </c>
      <c r="V3197" s="198" t="s">
        <v>2272</v>
      </c>
      <c r="W3197" s="198" t="s">
        <v>2272</v>
      </c>
      <c r="X3197" s="198" t="s">
        <v>2272</v>
      </c>
      <c r="Y3197" s="21">
        <f>148000/'Record info'!K$1306</f>
        <v>0.49333333333333335</v>
      </c>
      <c r="Z3197" s="198" t="s">
        <v>2272</v>
      </c>
      <c r="AA3197" s="198" t="s">
        <v>397</v>
      </c>
      <c r="AB3197" s="198" t="s">
        <v>187</v>
      </c>
      <c r="AC3197" s="198" t="s">
        <v>2272</v>
      </c>
      <c r="AD3197" s="4" t="s">
        <v>8431</v>
      </c>
      <c r="AE3197" s="198"/>
    </row>
    <row r="3198" spans="1:31" ht="64" customHeight="1">
      <c r="A3198" s="4" t="s">
        <v>8425</v>
      </c>
      <c r="B3198" s="4" t="s">
        <v>8430</v>
      </c>
      <c r="C3198" s="198" t="s">
        <v>23</v>
      </c>
      <c r="D3198" s="198" t="s">
        <v>2654</v>
      </c>
      <c r="E3198" s="4" t="s">
        <v>394</v>
      </c>
      <c r="F3198" s="4" t="s">
        <v>27</v>
      </c>
      <c r="G3198" s="198" t="s">
        <v>2272</v>
      </c>
      <c r="H3198" s="198" t="s">
        <v>521</v>
      </c>
      <c r="I3198" s="198"/>
      <c r="J3198" s="198" t="s">
        <v>2272</v>
      </c>
      <c r="K3198" s="198" t="s">
        <v>2272</v>
      </c>
      <c r="L3198" s="198" t="s">
        <v>2272</v>
      </c>
      <c r="M3198" s="198" t="s">
        <v>2272</v>
      </c>
      <c r="N3198" s="198" t="s">
        <v>2272</v>
      </c>
      <c r="O3198" s="198" t="s">
        <v>2272</v>
      </c>
      <c r="P3198" s="198" t="s">
        <v>2272</v>
      </c>
      <c r="Q3198" s="198" t="s">
        <v>2272</v>
      </c>
      <c r="R3198" s="198" t="s">
        <v>2272</v>
      </c>
      <c r="S3198" s="198" t="s">
        <v>2272</v>
      </c>
      <c r="T3198" s="198" t="s">
        <v>2272</v>
      </c>
      <c r="U3198" s="198" t="s">
        <v>2272</v>
      </c>
      <c r="V3198" s="198" t="s">
        <v>2272</v>
      </c>
      <c r="W3198" s="198" t="s">
        <v>2272</v>
      </c>
      <c r="X3198" s="198" t="s">
        <v>2272</v>
      </c>
      <c r="Y3198" s="21">
        <f>66600/'Record info'!K$1306</f>
        <v>0.222</v>
      </c>
      <c r="Z3198" s="198" t="s">
        <v>2272</v>
      </c>
      <c r="AA3198" s="198" t="s">
        <v>37</v>
      </c>
      <c r="AB3198" s="198" t="s">
        <v>84</v>
      </c>
      <c r="AC3198" s="198" t="s">
        <v>2272</v>
      </c>
      <c r="AD3198" s="4" t="s">
        <v>8431</v>
      </c>
      <c r="AE3198" s="198"/>
    </row>
    <row r="3199" spans="1:31" ht="53.5" customHeight="1">
      <c r="A3199" s="4" t="s">
        <v>8425</v>
      </c>
      <c r="B3199" s="4" t="s">
        <v>8433</v>
      </c>
      <c r="C3199" s="198" t="s">
        <v>23</v>
      </c>
      <c r="D3199" s="198" t="s">
        <v>2654</v>
      </c>
      <c r="E3199" s="4" t="s">
        <v>394</v>
      </c>
      <c r="F3199" s="4" t="s">
        <v>27</v>
      </c>
      <c r="G3199" s="198" t="s">
        <v>2272</v>
      </c>
      <c r="H3199" s="198" t="s">
        <v>521</v>
      </c>
      <c r="I3199" s="198"/>
      <c r="J3199" s="198" t="s">
        <v>2272</v>
      </c>
      <c r="K3199" s="198" t="s">
        <v>2272</v>
      </c>
      <c r="L3199" s="198" t="s">
        <v>2272</v>
      </c>
      <c r="M3199" s="198" t="s">
        <v>2272</v>
      </c>
      <c r="N3199" s="198" t="s">
        <v>2272</v>
      </c>
      <c r="O3199" s="198" t="s">
        <v>2272</v>
      </c>
      <c r="P3199" s="198" t="s">
        <v>2272</v>
      </c>
      <c r="Q3199" s="198" t="s">
        <v>2272</v>
      </c>
      <c r="R3199" s="198" t="s">
        <v>2272</v>
      </c>
      <c r="S3199" s="198" t="s">
        <v>2272</v>
      </c>
      <c r="T3199" s="198" t="s">
        <v>2272</v>
      </c>
      <c r="U3199" s="198" t="s">
        <v>2272</v>
      </c>
      <c r="V3199" s="198" t="s">
        <v>2272</v>
      </c>
      <c r="W3199" s="198" t="s">
        <v>2272</v>
      </c>
      <c r="X3199" s="198" t="s">
        <v>2272</v>
      </c>
      <c r="Y3199" s="198" t="s">
        <v>2272</v>
      </c>
      <c r="Z3199" s="198" t="s">
        <v>2272</v>
      </c>
      <c r="AA3199" s="198" t="s">
        <v>67</v>
      </c>
      <c r="AB3199" s="198" t="s">
        <v>125</v>
      </c>
      <c r="AC3199" s="198" t="s">
        <v>2272</v>
      </c>
      <c r="AD3199" s="4" t="s">
        <v>8436</v>
      </c>
      <c r="AE3199" s="198"/>
    </row>
    <row r="3200" spans="1:31" ht="53.5" customHeight="1">
      <c r="A3200" s="4" t="s">
        <v>8425</v>
      </c>
      <c r="B3200" s="4" t="s">
        <v>8434</v>
      </c>
      <c r="C3200" s="198" t="s">
        <v>23</v>
      </c>
      <c r="D3200" s="198" t="s">
        <v>2654</v>
      </c>
      <c r="E3200" s="4" t="s">
        <v>394</v>
      </c>
      <c r="F3200" s="4" t="s">
        <v>27</v>
      </c>
      <c r="G3200" s="198" t="s">
        <v>2272</v>
      </c>
      <c r="H3200" s="198" t="s">
        <v>521</v>
      </c>
      <c r="I3200" s="198"/>
      <c r="J3200" s="198" t="s">
        <v>2272</v>
      </c>
      <c r="K3200" s="198" t="s">
        <v>2272</v>
      </c>
      <c r="L3200" s="198" t="s">
        <v>2272</v>
      </c>
      <c r="M3200" s="198" t="s">
        <v>2272</v>
      </c>
      <c r="N3200" s="198" t="s">
        <v>2272</v>
      </c>
      <c r="O3200" s="198" t="s">
        <v>2272</v>
      </c>
      <c r="P3200" s="198" t="s">
        <v>2272</v>
      </c>
      <c r="Q3200" s="198" t="s">
        <v>2272</v>
      </c>
      <c r="R3200" s="198" t="s">
        <v>2272</v>
      </c>
      <c r="S3200" s="198" t="s">
        <v>2272</v>
      </c>
      <c r="T3200" s="198" t="s">
        <v>2272</v>
      </c>
      <c r="U3200" s="198" t="s">
        <v>2272</v>
      </c>
      <c r="V3200" s="198" t="s">
        <v>2272</v>
      </c>
      <c r="W3200" s="198" t="s">
        <v>2272</v>
      </c>
      <c r="X3200" s="198" t="s">
        <v>2272</v>
      </c>
      <c r="Y3200" s="198" t="s">
        <v>2272</v>
      </c>
      <c r="Z3200" s="198" t="s">
        <v>2272</v>
      </c>
      <c r="AA3200" s="198" t="s">
        <v>397</v>
      </c>
      <c r="AB3200" s="198" t="s">
        <v>187</v>
      </c>
      <c r="AC3200" s="198" t="s">
        <v>2272</v>
      </c>
      <c r="AD3200" s="4" t="s">
        <v>8436</v>
      </c>
      <c r="AE3200" s="198"/>
    </row>
    <row r="3201" spans="1:31" ht="53.5" customHeight="1">
      <c r="A3201" s="4" t="s">
        <v>8425</v>
      </c>
      <c r="B3201" s="4" t="s">
        <v>8435</v>
      </c>
      <c r="C3201" s="198" t="s">
        <v>23</v>
      </c>
      <c r="D3201" s="198" t="s">
        <v>2654</v>
      </c>
      <c r="E3201" s="4" t="s">
        <v>394</v>
      </c>
      <c r="F3201" s="4" t="s">
        <v>27</v>
      </c>
      <c r="G3201" s="198" t="s">
        <v>2272</v>
      </c>
      <c r="H3201" s="198" t="s">
        <v>521</v>
      </c>
      <c r="I3201" s="198"/>
      <c r="J3201" s="198" t="s">
        <v>2272</v>
      </c>
      <c r="K3201" s="198" t="s">
        <v>2272</v>
      </c>
      <c r="L3201" s="198" t="s">
        <v>2272</v>
      </c>
      <c r="M3201" s="198" t="s">
        <v>2272</v>
      </c>
      <c r="N3201" s="198" t="s">
        <v>2272</v>
      </c>
      <c r="O3201" s="198" t="s">
        <v>2272</v>
      </c>
      <c r="P3201" s="198" t="s">
        <v>2272</v>
      </c>
      <c r="Q3201" s="198" t="s">
        <v>2272</v>
      </c>
      <c r="R3201" s="198" t="s">
        <v>2272</v>
      </c>
      <c r="S3201" s="198" t="s">
        <v>2272</v>
      </c>
      <c r="T3201" s="198" t="s">
        <v>2272</v>
      </c>
      <c r="U3201" s="198" t="s">
        <v>2272</v>
      </c>
      <c r="V3201" s="198" t="s">
        <v>2272</v>
      </c>
      <c r="W3201" s="198" t="s">
        <v>2272</v>
      </c>
      <c r="X3201" s="198" t="s">
        <v>2272</v>
      </c>
      <c r="Y3201" s="198" t="s">
        <v>2272</v>
      </c>
      <c r="Z3201" s="198" t="s">
        <v>2272</v>
      </c>
      <c r="AA3201" s="198" t="s">
        <v>37</v>
      </c>
      <c r="AB3201" s="198" t="s">
        <v>84</v>
      </c>
      <c r="AC3201" s="198" t="s">
        <v>2272</v>
      </c>
      <c r="AD3201" s="4" t="s">
        <v>8436</v>
      </c>
      <c r="AE3201" s="198"/>
    </row>
    <row r="3202" spans="1:31" ht="42" customHeight="1">
      <c r="A3202" s="4" t="s">
        <v>8437</v>
      </c>
      <c r="B3202" s="4" t="s">
        <v>8440</v>
      </c>
      <c r="C3202" s="198" t="s">
        <v>23</v>
      </c>
      <c r="D3202" s="198" t="s">
        <v>2654</v>
      </c>
      <c r="E3202" s="4" t="s">
        <v>395</v>
      </c>
      <c r="F3202" s="4" t="s">
        <v>27</v>
      </c>
      <c r="G3202" s="198" t="s">
        <v>2272</v>
      </c>
      <c r="H3202" s="198" t="s">
        <v>522</v>
      </c>
      <c r="I3202" s="198"/>
      <c r="J3202" s="21">
        <v>0</v>
      </c>
      <c r="K3202" s="21">
        <v>0</v>
      </c>
      <c r="L3202" s="21">
        <v>0</v>
      </c>
      <c r="M3202" s="21">
        <v>0</v>
      </c>
      <c r="N3202" s="21">
        <v>0</v>
      </c>
      <c r="O3202" s="21">
        <v>0</v>
      </c>
      <c r="P3202" s="21">
        <v>0</v>
      </c>
      <c r="Q3202" s="21">
        <v>0</v>
      </c>
      <c r="R3202" s="21">
        <v>0</v>
      </c>
      <c r="S3202" s="21">
        <v>0</v>
      </c>
      <c r="T3202" s="21">
        <v>0</v>
      </c>
      <c r="U3202" s="21">
        <v>0</v>
      </c>
      <c r="V3202" s="21">
        <v>0</v>
      </c>
      <c r="W3202" s="21">
        <v>0</v>
      </c>
      <c r="X3202" s="21">
        <v>0</v>
      </c>
      <c r="Y3202" s="21">
        <v>0</v>
      </c>
      <c r="Z3202" s="198" t="s">
        <v>2272</v>
      </c>
      <c r="AA3202" s="198" t="s">
        <v>2272</v>
      </c>
      <c r="AB3202" s="198" t="s">
        <v>2272</v>
      </c>
      <c r="AC3202" s="198" t="s">
        <v>2272</v>
      </c>
      <c r="AD3202" s="198" t="s">
        <v>8455</v>
      </c>
      <c r="AE3202" s="198"/>
    </row>
    <row r="3203" spans="1:31" ht="36" customHeight="1">
      <c r="A3203" s="4" t="s">
        <v>8447</v>
      </c>
      <c r="B3203" s="4" t="s">
        <v>8449</v>
      </c>
      <c r="C3203" s="198" t="s">
        <v>23</v>
      </c>
      <c r="D3203" s="198" t="s">
        <v>2654</v>
      </c>
      <c r="E3203" s="4" t="s">
        <v>394</v>
      </c>
      <c r="F3203" s="4" t="s">
        <v>27</v>
      </c>
      <c r="G3203" s="198" t="s">
        <v>2272</v>
      </c>
      <c r="H3203" s="198" t="s">
        <v>521</v>
      </c>
      <c r="I3203" s="198"/>
      <c r="J3203" s="198" t="s">
        <v>2272</v>
      </c>
      <c r="K3203" s="198" t="s">
        <v>2272</v>
      </c>
      <c r="L3203" s="198" t="s">
        <v>2272</v>
      </c>
      <c r="M3203" s="198" t="s">
        <v>2272</v>
      </c>
      <c r="N3203" s="198" t="s">
        <v>2272</v>
      </c>
      <c r="O3203" s="198" t="s">
        <v>2272</v>
      </c>
      <c r="P3203" s="198" t="s">
        <v>2272</v>
      </c>
      <c r="Q3203" s="198" t="s">
        <v>2272</v>
      </c>
      <c r="R3203" s="198" t="s">
        <v>2272</v>
      </c>
      <c r="S3203" s="198" t="s">
        <v>2272</v>
      </c>
      <c r="T3203" s="198" t="s">
        <v>2272</v>
      </c>
      <c r="U3203" s="198" t="s">
        <v>2272</v>
      </c>
      <c r="V3203" s="198" t="s">
        <v>2272</v>
      </c>
      <c r="W3203" s="198" t="s">
        <v>2272</v>
      </c>
      <c r="X3203" s="198" t="s">
        <v>2272</v>
      </c>
      <c r="Y3203" s="21">
        <v>91.99</v>
      </c>
      <c r="Z3203" s="21">
        <v>1</v>
      </c>
      <c r="AA3203" s="198" t="s">
        <v>186</v>
      </c>
      <c r="AB3203" s="198" t="s">
        <v>84</v>
      </c>
      <c r="AC3203" s="198" t="s">
        <v>2272</v>
      </c>
      <c r="AD3203" s="198"/>
      <c r="AE3203" s="198"/>
    </row>
    <row r="3204" spans="1:31" ht="41" customHeight="1">
      <c r="A3204" s="4" t="s">
        <v>8451</v>
      </c>
      <c r="B3204" s="4" t="s">
        <v>8453</v>
      </c>
      <c r="C3204" s="198" t="s">
        <v>23</v>
      </c>
      <c r="D3204" s="198" t="s">
        <v>2654</v>
      </c>
      <c r="E3204" s="4" t="s">
        <v>394</v>
      </c>
      <c r="F3204" s="4" t="s">
        <v>27</v>
      </c>
      <c r="G3204" s="198" t="s">
        <v>2272</v>
      </c>
      <c r="H3204" s="198" t="s">
        <v>521</v>
      </c>
      <c r="I3204" s="198"/>
      <c r="J3204" s="198" t="s">
        <v>2272</v>
      </c>
      <c r="K3204" s="198" t="s">
        <v>2272</v>
      </c>
      <c r="L3204" s="198" t="s">
        <v>2272</v>
      </c>
      <c r="M3204" s="198" t="s">
        <v>2272</v>
      </c>
      <c r="N3204" s="198" t="s">
        <v>2272</v>
      </c>
      <c r="O3204" s="198" t="s">
        <v>2272</v>
      </c>
      <c r="P3204" s="198" t="s">
        <v>2272</v>
      </c>
      <c r="Q3204" s="198" t="s">
        <v>2272</v>
      </c>
      <c r="R3204" s="198" t="s">
        <v>2272</v>
      </c>
      <c r="S3204" s="198" t="s">
        <v>2272</v>
      </c>
      <c r="T3204" s="198" t="s">
        <v>2272</v>
      </c>
      <c r="U3204" s="21">
        <v>2000000</v>
      </c>
      <c r="V3204" s="198" t="s">
        <v>2272</v>
      </c>
      <c r="W3204" s="21">
        <f>100*2/5.4</f>
        <v>37.037037037037038</v>
      </c>
      <c r="X3204" s="198" t="s">
        <v>2272</v>
      </c>
      <c r="Y3204" s="21">
        <f>100*2/5.4</f>
        <v>37.037037037037038</v>
      </c>
      <c r="Z3204" s="198" t="s">
        <v>2272</v>
      </c>
      <c r="AA3204" s="198" t="s">
        <v>2272</v>
      </c>
      <c r="AB3204" s="198" t="s">
        <v>2272</v>
      </c>
      <c r="AC3204" s="198" t="s">
        <v>2272</v>
      </c>
      <c r="AD3204" s="198" t="s">
        <v>8455</v>
      </c>
      <c r="AE3204" s="198"/>
    </row>
    <row r="3205" spans="1:31" ht="36.5" customHeight="1">
      <c r="A3205" s="4" t="s">
        <v>8458</v>
      </c>
      <c r="B3205" s="4" t="s">
        <v>8488</v>
      </c>
      <c r="C3205" s="198" t="s">
        <v>23</v>
      </c>
      <c r="D3205" s="4" t="s">
        <v>2654</v>
      </c>
      <c r="E3205" s="4" t="s">
        <v>394</v>
      </c>
      <c r="F3205" s="4" t="s">
        <v>27</v>
      </c>
      <c r="G3205" s="198" t="s">
        <v>2272</v>
      </c>
      <c r="H3205" s="198" t="s">
        <v>521</v>
      </c>
      <c r="I3205" s="198"/>
      <c r="J3205" s="198" t="s">
        <v>2272</v>
      </c>
      <c r="K3205" s="198" t="s">
        <v>2272</v>
      </c>
      <c r="L3205" s="198" t="s">
        <v>2272</v>
      </c>
      <c r="M3205" s="198" t="s">
        <v>2272</v>
      </c>
      <c r="N3205" s="198" t="s">
        <v>2272</v>
      </c>
      <c r="O3205" s="198" t="s">
        <v>2272</v>
      </c>
      <c r="P3205" s="198" t="s">
        <v>2272</v>
      </c>
      <c r="Q3205" s="198" t="s">
        <v>2272</v>
      </c>
      <c r="R3205" s="198" t="s">
        <v>2272</v>
      </c>
      <c r="S3205" s="198" t="s">
        <v>2272</v>
      </c>
      <c r="T3205" s="198" t="s">
        <v>2272</v>
      </c>
      <c r="U3205" s="21">
        <v>174042</v>
      </c>
      <c r="V3205" s="198" t="s">
        <v>2272</v>
      </c>
      <c r="W3205" s="21">
        <v>44.6</v>
      </c>
      <c r="X3205" s="198" t="s">
        <v>2272</v>
      </c>
      <c r="Y3205" s="21">
        <v>44.6</v>
      </c>
      <c r="Z3205" s="198" t="s">
        <v>2272</v>
      </c>
      <c r="AA3205" s="198" t="s">
        <v>37</v>
      </c>
      <c r="AB3205" s="198" t="s">
        <v>125</v>
      </c>
      <c r="AC3205" s="198" t="s">
        <v>63</v>
      </c>
      <c r="AD3205" s="198" t="s">
        <v>8455</v>
      </c>
      <c r="AE3205" s="198"/>
    </row>
    <row r="3206" spans="1:31" ht="36.5" customHeight="1">
      <c r="A3206" s="4" t="s">
        <v>8461</v>
      </c>
      <c r="B3206" s="4" t="s">
        <v>8489</v>
      </c>
      <c r="C3206" s="198" t="s">
        <v>23</v>
      </c>
      <c r="D3206" s="4" t="s">
        <v>2654</v>
      </c>
      <c r="E3206" s="4" t="s">
        <v>394</v>
      </c>
      <c r="F3206" s="4" t="s">
        <v>27</v>
      </c>
      <c r="G3206" s="198" t="s">
        <v>2272</v>
      </c>
      <c r="H3206" s="198" t="s">
        <v>521</v>
      </c>
      <c r="I3206" s="198"/>
      <c r="J3206" s="198" t="s">
        <v>2272</v>
      </c>
      <c r="K3206" s="198" t="s">
        <v>2272</v>
      </c>
      <c r="L3206" s="198" t="s">
        <v>2272</v>
      </c>
      <c r="M3206" s="198" t="s">
        <v>2272</v>
      </c>
      <c r="N3206" s="198" t="s">
        <v>2272</v>
      </c>
      <c r="O3206" s="198" t="s">
        <v>2272</v>
      </c>
      <c r="P3206" s="198" t="s">
        <v>2272</v>
      </c>
      <c r="Q3206" s="198" t="s">
        <v>2272</v>
      </c>
      <c r="R3206" s="198" t="s">
        <v>2272</v>
      </c>
      <c r="S3206" s="198" t="s">
        <v>2272</v>
      </c>
      <c r="T3206" s="198" t="s">
        <v>2272</v>
      </c>
      <c r="U3206" s="21">
        <v>185362</v>
      </c>
      <c r="V3206" s="198" t="s">
        <v>2272</v>
      </c>
      <c r="W3206" s="21">
        <v>55.2</v>
      </c>
      <c r="X3206" s="198" t="s">
        <v>2272</v>
      </c>
      <c r="Y3206" s="21">
        <v>55.2</v>
      </c>
      <c r="Z3206" s="198" t="s">
        <v>2272</v>
      </c>
      <c r="AA3206" s="198" t="s">
        <v>37</v>
      </c>
      <c r="AB3206" s="198" t="s">
        <v>125</v>
      </c>
      <c r="AC3206" s="198" t="s">
        <v>63</v>
      </c>
      <c r="AD3206" s="198" t="s">
        <v>8455</v>
      </c>
      <c r="AE3206" s="198"/>
    </row>
    <row r="3207" spans="1:31" ht="36.5" customHeight="1">
      <c r="A3207" s="4" t="s">
        <v>8462</v>
      </c>
      <c r="B3207" s="4" t="s">
        <v>8490</v>
      </c>
      <c r="C3207" s="198" t="s">
        <v>23</v>
      </c>
      <c r="D3207" s="4" t="s">
        <v>2654</v>
      </c>
      <c r="E3207" s="4" t="s">
        <v>394</v>
      </c>
      <c r="F3207" s="4" t="s">
        <v>27</v>
      </c>
      <c r="G3207" s="198" t="s">
        <v>2272</v>
      </c>
      <c r="H3207" s="198" t="s">
        <v>521</v>
      </c>
      <c r="I3207" s="198"/>
      <c r="J3207" s="198" t="s">
        <v>2272</v>
      </c>
      <c r="K3207" s="198" t="s">
        <v>2272</v>
      </c>
      <c r="L3207" s="198" t="s">
        <v>2272</v>
      </c>
      <c r="M3207" s="198" t="s">
        <v>2272</v>
      </c>
      <c r="N3207" s="198" t="s">
        <v>2272</v>
      </c>
      <c r="O3207" s="198" t="s">
        <v>2272</v>
      </c>
      <c r="P3207" s="198" t="s">
        <v>2272</v>
      </c>
      <c r="Q3207" s="198" t="s">
        <v>2272</v>
      </c>
      <c r="R3207" s="198" t="s">
        <v>2272</v>
      </c>
      <c r="S3207" s="198" t="s">
        <v>2272</v>
      </c>
      <c r="T3207" s="198" t="s">
        <v>2272</v>
      </c>
      <c r="U3207" s="21">
        <v>208935</v>
      </c>
      <c r="V3207" s="198" t="s">
        <v>2272</v>
      </c>
      <c r="W3207" s="21">
        <v>57.5</v>
      </c>
      <c r="X3207" s="198" t="s">
        <v>2272</v>
      </c>
      <c r="Y3207" s="21">
        <v>57.5</v>
      </c>
      <c r="Z3207" s="198" t="s">
        <v>2272</v>
      </c>
      <c r="AA3207" s="198" t="s">
        <v>37</v>
      </c>
      <c r="AB3207" s="198" t="s">
        <v>125</v>
      </c>
      <c r="AC3207" s="198" t="s">
        <v>63</v>
      </c>
      <c r="AD3207" s="198" t="s">
        <v>8455</v>
      </c>
      <c r="AE3207" s="198"/>
    </row>
    <row r="3208" spans="1:31" ht="36.5" customHeight="1">
      <c r="A3208" s="4" t="s">
        <v>8463</v>
      </c>
      <c r="B3208" s="4" t="s">
        <v>8491</v>
      </c>
      <c r="C3208" s="198" t="s">
        <v>23</v>
      </c>
      <c r="D3208" s="4" t="s">
        <v>2654</v>
      </c>
      <c r="E3208" s="4" t="s">
        <v>394</v>
      </c>
      <c r="F3208" s="4" t="s">
        <v>27</v>
      </c>
      <c r="G3208" s="198" t="s">
        <v>2272</v>
      </c>
      <c r="H3208" s="198" t="s">
        <v>521</v>
      </c>
      <c r="I3208" s="198"/>
      <c r="J3208" s="198" t="s">
        <v>2272</v>
      </c>
      <c r="K3208" s="198" t="s">
        <v>2272</v>
      </c>
      <c r="L3208" s="198" t="s">
        <v>2272</v>
      </c>
      <c r="M3208" s="198" t="s">
        <v>2272</v>
      </c>
      <c r="N3208" s="198" t="s">
        <v>2272</v>
      </c>
      <c r="O3208" s="198" t="s">
        <v>2272</v>
      </c>
      <c r="P3208" s="198" t="s">
        <v>2272</v>
      </c>
      <c r="Q3208" s="198" t="s">
        <v>2272</v>
      </c>
      <c r="R3208" s="198" t="s">
        <v>2272</v>
      </c>
      <c r="S3208" s="198" t="s">
        <v>2272</v>
      </c>
      <c r="T3208" s="198" t="s">
        <v>2272</v>
      </c>
      <c r="U3208" s="21">
        <v>199747</v>
      </c>
      <c r="V3208" s="198" t="s">
        <v>2272</v>
      </c>
      <c r="W3208" s="21">
        <v>48.3</v>
      </c>
      <c r="X3208" s="198" t="s">
        <v>2272</v>
      </c>
      <c r="Y3208" s="21">
        <v>48.3</v>
      </c>
      <c r="Z3208" s="198" t="s">
        <v>2272</v>
      </c>
      <c r="AA3208" s="198" t="s">
        <v>37</v>
      </c>
      <c r="AB3208" s="198" t="s">
        <v>125</v>
      </c>
      <c r="AC3208" s="198" t="s">
        <v>63</v>
      </c>
      <c r="AD3208" s="198" t="s">
        <v>8455</v>
      </c>
      <c r="AE3208" s="198"/>
    </row>
    <row r="3209" spans="1:31" ht="36.5" customHeight="1">
      <c r="A3209" s="4" t="s">
        <v>8464</v>
      </c>
      <c r="B3209" s="4" t="s">
        <v>8492</v>
      </c>
      <c r="C3209" s="198" t="s">
        <v>23</v>
      </c>
      <c r="D3209" s="4" t="s">
        <v>2654</v>
      </c>
      <c r="E3209" s="4" t="s">
        <v>394</v>
      </c>
      <c r="F3209" s="4" t="s">
        <v>27</v>
      </c>
      <c r="G3209" s="198" t="s">
        <v>2272</v>
      </c>
      <c r="H3209" s="198" t="s">
        <v>521</v>
      </c>
      <c r="I3209" s="198"/>
      <c r="J3209" s="198" t="s">
        <v>2272</v>
      </c>
      <c r="K3209" s="198" t="s">
        <v>2272</v>
      </c>
      <c r="L3209" s="198" t="s">
        <v>2272</v>
      </c>
      <c r="M3209" s="198" t="s">
        <v>2272</v>
      </c>
      <c r="N3209" s="198" t="s">
        <v>2272</v>
      </c>
      <c r="O3209" s="198" t="s">
        <v>2272</v>
      </c>
      <c r="P3209" s="198" t="s">
        <v>2272</v>
      </c>
      <c r="Q3209" s="198" t="s">
        <v>2272</v>
      </c>
      <c r="R3209" s="198" t="s">
        <v>2272</v>
      </c>
      <c r="S3209" s="198" t="s">
        <v>2272</v>
      </c>
      <c r="T3209" s="198" t="s">
        <v>2272</v>
      </c>
      <c r="U3209" s="21">
        <v>187026</v>
      </c>
      <c r="V3209" s="198" t="s">
        <v>2272</v>
      </c>
      <c r="W3209" s="21">
        <v>51.4</v>
      </c>
      <c r="X3209" s="198" t="s">
        <v>2272</v>
      </c>
      <c r="Y3209" s="21">
        <v>51.4</v>
      </c>
      <c r="Z3209" s="198" t="s">
        <v>2272</v>
      </c>
      <c r="AA3209" s="198" t="s">
        <v>37</v>
      </c>
      <c r="AB3209" s="198" t="s">
        <v>125</v>
      </c>
      <c r="AC3209" s="198" t="s">
        <v>63</v>
      </c>
      <c r="AD3209" s="198" t="s">
        <v>8455</v>
      </c>
      <c r="AE3209" s="198"/>
    </row>
    <row r="3210" spans="1:31" ht="36.5" customHeight="1">
      <c r="A3210" s="4" t="s">
        <v>8465</v>
      </c>
      <c r="B3210" s="4" t="s">
        <v>8493</v>
      </c>
      <c r="C3210" s="198" t="s">
        <v>23</v>
      </c>
      <c r="D3210" s="4" t="s">
        <v>2654</v>
      </c>
      <c r="E3210" s="4" t="s">
        <v>394</v>
      </c>
      <c r="F3210" s="4" t="s">
        <v>27</v>
      </c>
      <c r="G3210" s="198" t="s">
        <v>2272</v>
      </c>
      <c r="H3210" s="198" t="s">
        <v>521</v>
      </c>
      <c r="I3210" s="198"/>
      <c r="J3210" s="198" t="s">
        <v>2272</v>
      </c>
      <c r="K3210" s="198" t="s">
        <v>2272</v>
      </c>
      <c r="L3210" s="198" t="s">
        <v>2272</v>
      </c>
      <c r="M3210" s="198" t="s">
        <v>2272</v>
      </c>
      <c r="N3210" s="198" t="s">
        <v>2272</v>
      </c>
      <c r="O3210" s="198" t="s">
        <v>2272</v>
      </c>
      <c r="P3210" s="198" t="s">
        <v>2272</v>
      </c>
      <c r="Q3210" s="198" t="s">
        <v>2272</v>
      </c>
      <c r="R3210" s="198" t="s">
        <v>2272</v>
      </c>
      <c r="S3210" s="198" t="s">
        <v>2272</v>
      </c>
      <c r="T3210" s="198" t="s">
        <v>2272</v>
      </c>
      <c r="U3210" s="21">
        <v>216902</v>
      </c>
      <c r="V3210" s="198" t="s">
        <v>2272</v>
      </c>
      <c r="W3210" s="21">
        <v>53</v>
      </c>
      <c r="X3210" s="198" t="s">
        <v>2272</v>
      </c>
      <c r="Y3210" s="21">
        <v>53</v>
      </c>
      <c r="Z3210" s="198" t="s">
        <v>2272</v>
      </c>
      <c r="AA3210" s="198" t="s">
        <v>37</v>
      </c>
      <c r="AB3210" s="198" t="s">
        <v>125</v>
      </c>
      <c r="AC3210" s="198" t="s">
        <v>63</v>
      </c>
      <c r="AD3210" s="198" t="s">
        <v>8455</v>
      </c>
      <c r="AE3210" s="198"/>
    </row>
    <row r="3211" spans="1:31" ht="36.5" customHeight="1">
      <c r="A3211" s="4" t="s">
        <v>8466</v>
      </c>
      <c r="B3211" s="4" t="s">
        <v>8494</v>
      </c>
      <c r="C3211" s="198" t="s">
        <v>23</v>
      </c>
      <c r="D3211" s="4" t="s">
        <v>2654</v>
      </c>
      <c r="E3211" s="4" t="s">
        <v>394</v>
      </c>
      <c r="F3211" s="4" t="s">
        <v>27</v>
      </c>
      <c r="G3211" s="198" t="s">
        <v>2272</v>
      </c>
      <c r="H3211" s="198" t="s">
        <v>521</v>
      </c>
      <c r="I3211" s="198"/>
      <c r="J3211" s="198" t="s">
        <v>2272</v>
      </c>
      <c r="K3211" s="198" t="s">
        <v>2272</v>
      </c>
      <c r="L3211" s="198" t="s">
        <v>2272</v>
      </c>
      <c r="M3211" s="198" t="s">
        <v>2272</v>
      </c>
      <c r="N3211" s="198" t="s">
        <v>2272</v>
      </c>
      <c r="O3211" s="198" t="s">
        <v>2272</v>
      </c>
      <c r="P3211" s="198" t="s">
        <v>2272</v>
      </c>
      <c r="Q3211" s="198" t="s">
        <v>2272</v>
      </c>
      <c r="R3211" s="198" t="s">
        <v>2272</v>
      </c>
      <c r="S3211" s="198" t="s">
        <v>2272</v>
      </c>
      <c r="T3211" s="198" t="s">
        <v>2272</v>
      </c>
      <c r="U3211" s="21">
        <v>160723</v>
      </c>
      <c r="V3211" s="198" t="s">
        <v>2272</v>
      </c>
      <c r="W3211" s="21">
        <v>56.9</v>
      </c>
      <c r="X3211" s="198" t="s">
        <v>2272</v>
      </c>
      <c r="Y3211" s="21">
        <v>56.9</v>
      </c>
      <c r="Z3211" s="198" t="s">
        <v>2272</v>
      </c>
      <c r="AA3211" s="198" t="s">
        <v>37</v>
      </c>
      <c r="AB3211" s="198" t="s">
        <v>125</v>
      </c>
      <c r="AC3211" s="198" t="s">
        <v>63</v>
      </c>
      <c r="AD3211" s="198" t="s">
        <v>8455</v>
      </c>
      <c r="AE3211" s="198"/>
    </row>
    <row r="3212" spans="1:31" ht="36.5" customHeight="1">
      <c r="A3212" s="4" t="s">
        <v>8467</v>
      </c>
      <c r="B3212" s="4" t="s">
        <v>8495</v>
      </c>
      <c r="C3212" s="198" t="s">
        <v>23</v>
      </c>
      <c r="D3212" s="4" t="s">
        <v>2654</v>
      </c>
      <c r="E3212" s="4" t="s">
        <v>394</v>
      </c>
      <c r="F3212" s="4" t="s">
        <v>27</v>
      </c>
      <c r="G3212" s="198" t="s">
        <v>2272</v>
      </c>
      <c r="H3212" s="198" t="s">
        <v>521</v>
      </c>
      <c r="I3212" s="198"/>
      <c r="J3212" s="198" t="s">
        <v>2272</v>
      </c>
      <c r="K3212" s="198" t="s">
        <v>2272</v>
      </c>
      <c r="L3212" s="198" t="s">
        <v>2272</v>
      </c>
      <c r="M3212" s="198" t="s">
        <v>2272</v>
      </c>
      <c r="N3212" s="198" t="s">
        <v>2272</v>
      </c>
      <c r="O3212" s="198" t="s">
        <v>2272</v>
      </c>
      <c r="P3212" s="198" t="s">
        <v>2272</v>
      </c>
      <c r="Q3212" s="198" t="s">
        <v>2272</v>
      </c>
      <c r="R3212" s="198" t="s">
        <v>2272</v>
      </c>
      <c r="S3212" s="198" t="s">
        <v>2272</v>
      </c>
      <c r="T3212" s="198" t="s">
        <v>2272</v>
      </c>
      <c r="U3212" s="21">
        <v>97806</v>
      </c>
      <c r="V3212" s="198" t="s">
        <v>2272</v>
      </c>
      <c r="W3212" s="21">
        <v>40.1</v>
      </c>
      <c r="X3212" s="198" t="s">
        <v>2272</v>
      </c>
      <c r="Y3212" s="21">
        <v>40.1</v>
      </c>
      <c r="Z3212" s="198" t="s">
        <v>2272</v>
      </c>
      <c r="AA3212" s="198" t="s">
        <v>37</v>
      </c>
      <c r="AB3212" s="198" t="s">
        <v>125</v>
      </c>
      <c r="AC3212" s="198" t="s">
        <v>63</v>
      </c>
      <c r="AD3212" s="198" t="s">
        <v>8455</v>
      </c>
      <c r="AE3212" s="198"/>
    </row>
    <row r="3213" spans="1:31" ht="36.5" customHeight="1">
      <c r="A3213" s="4" t="s">
        <v>8469</v>
      </c>
      <c r="B3213" s="4" t="s">
        <v>8496</v>
      </c>
      <c r="C3213" s="198" t="s">
        <v>23</v>
      </c>
      <c r="D3213" s="4" t="s">
        <v>2654</v>
      </c>
      <c r="E3213" s="4" t="s">
        <v>394</v>
      </c>
      <c r="F3213" s="4" t="s">
        <v>27</v>
      </c>
      <c r="G3213" s="198" t="s">
        <v>2272</v>
      </c>
      <c r="H3213" s="198" t="s">
        <v>521</v>
      </c>
      <c r="I3213" s="198"/>
      <c r="J3213" s="198" t="s">
        <v>2272</v>
      </c>
      <c r="K3213" s="198" t="s">
        <v>2272</v>
      </c>
      <c r="L3213" s="198" t="s">
        <v>2272</v>
      </c>
      <c r="M3213" s="198" t="s">
        <v>2272</v>
      </c>
      <c r="N3213" s="198" t="s">
        <v>2272</v>
      </c>
      <c r="O3213" s="198" t="s">
        <v>2272</v>
      </c>
      <c r="P3213" s="198" t="s">
        <v>2272</v>
      </c>
      <c r="Q3213" s="198" t="s">
        <v>2272</v>
      </c>
      <c r="R3213" s="198" t="s">
        <v>2272</v>
      </c>
      <c r="S3213" s="198" t="s">
        <v>2272</v>
      </c>
      <c r="T3213" s="198" t="s">
        <v>2272</v>
      </c>
      <c r="U3213" s="21">
        <v>211841</v>
      </c>
      <c r="V3213" s="198" t="s">
        <v>2272</v>
      </c>
      <c r="W3213" s="21">
        <v>51.1</v>
      </c>
      <c r="X3213" s="198" t="s">
        <v>2272</v>
      </c>
      <c r="Y3213" s="21">
        <v>51.1</v>
      </c>
      <c r="Z3213" s="198" t="s">
        <v>2272</v>
      </c>
      <c r="AA3213" s="198" t="s">
        <v>37</v>
      </c>
      <c r="AB3213" s="198" t="s">
        <v>125</v>
      </c>
      <c r="AC3213" s="198" t="s">
        <v>63</v>
      </c>
      <c r="AD3213" s="198" t="s">
        <v>8455</v>
      </c>
      <c r="AE3213" s="198"/>
    </row>
    <row r="3214" spans="1:31" ht="36.5" customHeight="1">
      <c r="A3214" s="4" t="s">
        <v>8470</v>
      </c>
      <c r="B3214" s="4" t="s">
        <v>8497</v>
      </c>
      <c r="C3214" s="198" t="s">
        <v>23</v>
      </c>
      <c r="D3214" s="4" t="s">
        <v>2654</v>
      </c>
      <c r="E3214" s="4" t="s">
        <v>394</v>
      </c>
      <c r="F3214" s="4" t="s">
        <v>27</v>
      </c>
      <c r="G3214" s="198" t="s">
        <v>2272</v>
      </c>
      <c r="H3214" s="198" t="s">
        <v>521</v>
      </c>
      <c r="I3214" s="198"/>
      <c r="J3214" s="198" t="s">
        <v>2272</v>
      </c>
      <c r="K3214" s="198" t="s">
        <v>2272</v>
      </c>
      <c r="L3214" s="198" t="s">
        <v>2272</v>
      </c>
      <c r="M3214" s="198" t="s">
        <v>2272</v>
      </c>
      <c r="N3214" s="198" t="s">
        <v>2272</v>
      </c>
      <c r="O3214" s="198" t="s">
        <v>2272</v>
      </c>
      <c r="P3214" s="198" t="s">
        <v>2272</v>
      </c>
      <c r="Q3214" s="198" t="s">
        <v>2272</v>
      </c>
      <c r="R3214" s="198" t="s">
        <v>2272</v>
      </c>
      <c r="S3214" s="198" t="s">
        <v>2272</v>
      </c>
      <c r="T3214" s="198" t="s">
        <v>2272</v>
      </c>
      <c r="U3214" s="21">
        <v>262421</v>
      </c>
      <c r="V3214" s="198" t="s">
        <v>2272</v>
      </c>
      <c r="W3214" s="21">
        <v>50.1</v>
      </c>
      <c r="X3214" s="198" t="s">
        <v>2272</v>
      </c>
      <c r="Y3214" s="21">
        <v>50.1</v>
      </c>
      <c r="Z3214" s="198" t="s">
        <v>2272</v>
      </c>
      <c r="AA3214" s="198" t="s">
        <v>37</v>
      </c>
      <c r="AB3214" s="198" t="s">
        <v>125</v>
      </c>
      <c r="AC3214" s="198" t="s">
        <v>63</v>
      </c>
      <c r="AD3214" s="198" t="s">
        <v>8455</v>
      </c>
      <c r="AE3214" s="198"/>
    </row>
    <row r="3215" spans="1:31" ht="36.5" customHeight="1">
      <c r="A3215" s="4" t="s">
        <v>8473</v>
      </c>
      <c r="B3215" s="4" t="s">
        <v>8498</v>
      </c>
      <c r="C3215" s="198" t="s">
        <v>23</v>
      </c>
      <c r="D3215" s="4" t="s">
        <v>2654</v>
      </c>
      <c r="E3215" s="4" t="s">
        <v>394</v>
      </c>
      <c r="F3215" s="4" t="s">
        <v>27</v>
      </c>
      <c r="G3215" s="198" t="s">
        <v>2272</v>
      </c>
      <c r="H3215" s="198" t="s">
        <v>521</v>
      </c>
      <c r="I3215" s="198"/>
      <c r="J3215" s="198" t="s">
        <v>2272</v>
      </c>
      <c r="K3215" s="198" t="s">
        <v>2272</v>
      </c>
      <c r="L3215" s="198" t="s">
        <v>2272</v>
      </c>
      <c r="M3215" s="198" t="s">
        <v>2272</v>
      </c>
      <c r="N3215" s="198" t="s">
        <v>2272</v>
      </c>
      <c r="O3215" s="198" t="s">
        <v>2272</v>
      </c>
      <c r="P3215" s="198" t="s">
        <v>2272</v>
      </c>
      <c r="Q3215" s="198" t="s">
        <v>2272</v>
      </c>
      <c r="R3215" s="198" t="s">
        <v>2272</v>
      </c>
      <c r="S3215" s="198" t="s">
        <v>2272</v>
      </c>
      <c r="T3215" s="198" t="s">
        <v>2272</v>
      </c>
      <c r="U3215" s="21">
        <v>97408</v>
      </c>
      <c r="V3215" s="198" t="s">
        <v>2272</v>
      </c>
      <c r="W3215" s="21">
        <v>51.6</v>
      </c>
      <c r="X3215" s="198" t="s">
        <v>2272</v>
      </c>
      <c r="Y3215" s="21">
        <v>51.6</v>
      </c>
      <c r="Z3215" s="198" t="s">
        <v>2272</v>
      </c>
      <c r="AA3215" s="198" t="s">
        <v>37</v>
      </c>
      <c r="AB3215" s="198" t="s">
        <v>125</v>
      </c>
      <c r="AC3215" s="198" t="s">
        <v>63</v>
      </c>
      <c r="AD3215" s="198" t="s">
        <v>8455</v>
      </c>
      <c r="AE3215" s="198"/>
    </row>
    <row r="3216" spans="1:31" ht="50.5" customHeight="1">
      <c r="A3216" s="4" t="s">
        <v>8458</v>
      </c>
      <c r="B3216" s="4" t="s">
        <v>8499</v>
      </c>
      <c r="C3216" s="198" t="s">
        <v>23</v>
      </c>
      <c r="D3216" s="4" t="s">
        <v>2654</v>
      </c>
      <c r="E3216" s="4" t="s">
        <v>82</v>
      </c>
      <c r="F3216" s="4" t="s">
        <v>27</v>
      </c>
      <c r="G3216" s="198" t="s">
        <v>2272</v>
      </c>
      <c r="H3216" s="198" t="s">
        <v>522</v>
      </c>
      <c r="I3216" s="198"/>
      <c r="J3216" s="21">
        <v>0</v>
      </c>
      <c r="K3216" s="21">
        <v>0</v>
      </c>
      <c r="L3216" s="21">
        <v>0</v>
      </c>
      <c r="M3216" s="21">
        <v>0</v>
      </c>
      <c r="N3216" s="21">
        <v>0</v>
      </c>
      <c r="O3216" s="21">
        <v>0</v>
      </c>
      <c r="P3216" s="21">
        <v>0</v>
      </c>
      <c r="Q3216" s="21">
        <v>0</v>
      </c>
      <c r="R3216" s="21">
        <v>0</v>
      </c>
      <c r="S3216" s="21">
        <v>0</v>
      </c>
      <c r="T3216" s="21">
        <v>0</v>
      </c>
      <c r="U3216" s="21">
        <v>0</v>
      </c>
      <c r="V3216" s="21">
        <v>0</v>
      </c>
      <c r="W3216" s="21">
        <v>0</v>
      </c>
      <c r="X3216" s="21">
        <v>0</v>
      </c>
      <c r="Y3216" s="21">
        <v>0</v>
      </c>
      <c r="Z3216" s="198" t="s">
        <v>2272</v>
      </c>
      <c r="AA3216" s="198" t="s">
        <v>2272</v>
      </c>
      <c r="AB3216" s="198" t="s">
        <v>2272</v>
      </c>
      <c r="AC3216" s="198" t="s">
        <v>2272</v>
      </c>
      <c r="AD3216" s="4" t="s">
        <v>8510</v>
      </c>
      <c r="AE3216" s="198"/>
    </row>
    <row r="3217" spans="1:31" ht="50.5" customHeight="1">
      <c r="A3217" s="4" t="s">
        <v>8461</v>
      </c>
      <c r="B3217" s="4" t="s">
        <v>8500</v>
      </c>
      <c r="C3217" s="198" t="s">
        <v>23</v>
      </c>
      <c r="D3217" s="4" t="s">
        <v>2654</v>
      </c>
      <c r="E3217" s="4" t="s">
        <v>82</v>
      </c>
      <c r="F3217" s="4" t="s">
        <v>27</v>
      </c>
      <c r="G3217" s="198" t="s">
        <v>2272</v>
      </c>
      <c r="H3217" s="198" t="s">
        <v>522</v>
      </c>
      <c r="I3217" s="198"/>
      <c r="J3217" s="21">
        <v>0</v>
      </c>
      <c r="K3217" s="21">
        <v>0</v>
      </c>
      <c r="L3217" s="21">
        <v>0</v>
      </c>
      <c r="M3217" s="21">
        <v>0</v>
      </c>
      <c r="N3217" s="21">
        <v>0</v>
      </c>
      <c r="O3217" s="21">
        <v>0</v>
      </c>
      <c r="P3217" s="21">
        <v>0</v>
      </c>
      <c r="Q3217" s="21">
        <v>0</v>
      </c>
      <c r="R3217" s="21">
        <v>0</v>
      </c>
      <c r="S3217" s="21">
        <v>0</v>
      </c>
      <c r="T3217" s="21">
        <v>0</v>
      </c>
      <c r="U3217" s="21">
        <v>0</v>
      </c>
      <c r="V3217" s="21">
        <v>0</v>
      </c>
      <c r="W3217" s="21">
        <v>0</v>
      </c>
      <c r="X3217" s="21">
        <v>0</v>
      </c>
      <c r="Y3217" s="21">
        <v>0</v>
      </c>
      <c r="Z3217" s="198" t="s">
        <v>2272</v>
      </c>
      <c r="AA3217" s="198" t="s">
        <v>2272</v>
      </c>
      <c r="AB3217" s="198" t="s">
        <v>2272</v>
      </c>
      <c r="AC3217" s="198" t="s">
        <v>2272</v>
      </c>
      <c r="AD3217" s="4" t="s">
        <v>8510</v>
      </c>
      <c r="AE3217" s="198"/>
    </row>
    <row r="3218" spans="1:31" ht="50.5" customHeight="1">
      <c r="A3218" s="4" t="s">
        <v>8462</v>
      </c>
      <c r="B3218" s="4" t="s">
        <v>8501</v>
      </c>
      <c r="C3218" s="198" t="s">
        <v>23</v>
      </c>
      <c r="D3218" s="4" t="s">
        <v>2654</v>
      </c>
      <c r="E3218" s="4" t="s">
        <v>82</v>
      </c>
      <c r="F3218" s="4" t="s">
        <v>27</v>
      </c>
      <c r="G3218" s="198" t="s">
        <v>2272</v>
      </c>
      <c r="H3218" s="198" t="s">
        <v>522</v>
      </c>
      <c r="I3218" s="198"/>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1">
        <v>0</v>
      </c>
      <c r="Z3218" s="198" t="s">
        <v>2272</v>
      </c>
      <c r="AA3218" s="198" t="s">
        <v>2272</v>
      </c>
      <c r="AB3218" s="198" t="s">
        <v>2272</v>
      </c>
      <c r="AC3218" s="198" t="s">
        <v>2272</v>
      </c>
      <c r="AD3218" s="4" t="s">
        <v>8510</v>
      </c>
      <c r="AE3218" s="198"/>
    </row>
    <row r="3219" spans="1:31" ht="50.5" customHeight="1">
      <c r="A3219" s="4" t="s">
        <v>8463</v>
      </c>
      <c r="B3219" s="4" t="s">
        <v>8502</v>
      </c>
      <c r="C3219" s="198" t="s">
        <v>23</v>
      </c>
      <c r="D3219" s="4" t="s">
        <v>2654</v>
      </c>
      <c r="E3219" s="4" t="s">
        <v>82</v>
      </c>
      <c r="F3219" s="4" t="s">
        <v>27</v>
      </c>
      <c r="G3219" s="198" t="s">
        <v>2272</v>
      </c>
      <c r="H3219" s="198" t="s">
        <v>522</v>
      </c>
      <c r="I3219" s="198"/>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1">
        <v>0</v>
      </c>
      <c r="Z3219" s="198" t="s">
        <v>2272</v>
      </c>
      <c r="AA3219" s="198" t="s">
        <v>2272</v>
      </c>
      <c r="AB3219" s="198" t="s">
        <v>2272</v>
      </c>
      <c r="AC3219" s="198" t="s">
        <v>2272</v>
      </c>
      <c r="AD3219" s="4" t="s">
        <v>8510</v>
      </c>
      <c r="AE3219" s="198"/>
    </row>
    <row r="3220" spans="1:31" ht="50.5" customHeight="1">
      <c r="A3220" s="4" t="s">
        <v>8464</v>
      </c>
      <c r="B3220" s="4" t="s">
        <v>8503</v>
      </c>
      <c r="C3220" s="198" t="s">
        <v>23</v>
      </c>
      <c r="D3220" s="4" t="s">
        <v>2654</v>
      </c>
      <c r="E3220" s="4" t="s">
        <v>82</v>
      </c>
      <c r="F3220" s="4" t="s">
        <v>27</v>
      </c>
      <c r="G3220" s="198" t="s">
        <v>2272</v>
      </c>
      <c r="H3220" s="198" t="s">
        <v>522</v>
      </c>
      <c r="I3220" s="198"/>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1">
        <v>0</v>
      </c>
      <c r="Z3220" s="198" t="s">
        <v>2272</v>
      </c>
      <c r="AA3220" s="198" t="s">
        <v>2272</v>
      </c>
      <c r="AB3220" s="198" t="s">
        <v>2272</v>
      </c>
      <c r="AC3220" s="198" t="s">
        <v>2272</v>
      </c>
      <c r="AD3220" s="4" t="s">
        <v>8510</v>
      </c>
      <c r="AE3220" s="198"/>
    </row>
    <row r="3221" spans="1:31" ht="50.5" customHeight="1">
      <c r="A3221" s="4" t="s">
        <v>8465</v>
      </c>
      <c r="B3221" s="4" t="s">
        <v>8504</v>
      </c>
      <c r="C3221" s="198" t="s">
        <v>23</v>
      </c>
      <c r="D3221" s="4" t="s">
        <v>2654</v>
      </c>
      <c r="E3221" s="4" t="s">
        <v>82</v>
      </c>
      <c r="F3221" s="4" t="s">
        <v>27</v>
      </c>
      <c r="G3221" s="198" t="s">
        <v>2272</v>
      </c>
      <c r="H3221" s="198" t="s">
        <v>522</v>
      </c>
      <c r="I3221" s="198"/>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1">
        <v>0</v>
      </c>
      <c r="Z3221" s="198" t="s">
        <v>2272</v>
      </c>
      <c r="AA3221" s="198" t="s">
        <v>2272</v>
      </c>
      <c r="AB3221" s="198" t="s">
        <v>2272</v>
      </c>
      <c r="AC3221" s="198" t="s">
        <v>2272</v>
      </c>
      <c r="AD3221" s="4" t="s">
        <v>8510</v>
      </c>
      <c r="AE3221" s="198"/>
    </row>
    <row r="3222" spans="1:31" ht="50.5" customHeight="1">
      <c r="A3222" s="4" t="s">
        <v>8466</v>
      </c>
      <c r="B3222" s="4" t="s">
        <v>8505</v>
      </c>
      <c r="C3222" s="198" t="s">
        <v>23</v>
      </c>
      <c r="D3222" s="4" t="s">
        <v>2654</v>
      </c>
      <c r="E3222" s="4" t="s">
        <v>82</v>
      </c>
      <c r="F3222" s="4" t="s">
        <v>27</v>
      </c>
      <c r="G3222" s="198" t="s">
        <v>2272</v>
      </c>
      <c r="H3222" s="198" t="s">
        <v>522</v>
      </c>
      <c r="I3222" s="198"/>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1">
        <v>0</v>
      </c>
      <c r="Z3222" s="198" t="s">
        <v>2272</v>
      </c>
      <c r="AA3222" s="198" t="s">
        <v>2272</v>
      </c>
      <c r="AB3222" s="198" t="s">
        <v>2272</v>
      </c>
      <c r="AC3222" s="198" t="s">
        <v>2272</v>
      </c>
      <c r="AD3222" s="4" t="s">
        <v>8510</v>
      </c>
      <c r="AE3222" s="198"/>
    </row>
    <row r="3223" spans="1:31" ht="50.5" customHeight="1">
      <c r="A3223" s="4" t="s">
        <v>8467</v>
      </c>
      <c r="B3223" s="4" t="s">
        <v>8506</v>
      </c>
      <c r="C3223" s="198" t="s">
        <v>23</v>
      </c>
      <c r="D3223" s="4" t="s">
        <v>2654</v>
      </c>
      <c r="E3223" s="4" t="s">
        <v>82</v>
      </c>
      <c r="F3223" s="4" t="s">
        <v>27</v>
      </c>
      <c r="G3223" s="198" t="s">
        <v>2272</v>
      </c>
      <c r="H3223" s="198" t="s">
        <v>522</v>
      </c>
      <c r="I3223" s="198"/>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1">
        <v>0</v>
      </c>
      <c r="Z3223" s="198" t="s">
        <v>2272</v>
      </c>
      <c r="AA3223" s="198" t="s">
        <v>2272</v>
      </c>
      <c r="AB3223" s="198" t="s">
        <v>2272</v>
      </c>
      <c r="AC3223" s="198" t="s">
        <v>2272</v>
      </c>
      <c r="AD3223" s="4" t="s">
        <v>8510</v>
      </c>
      <c r="AE3223" s="198"/>
    </row>
    <row r="3224" spans="1:31" ht="50.5" customHeight="1">
      <c r="A3224" s="4" t="s">
        <v>8469</v>
      </c>
      <c r="B3224" s="4" t="s">
        <v>8507</v>
      </c>
      <c r="C3224" s="198" t="s">
        <v>23</v>
      </c>
      <c r="D3224" s="4" t="s">
        <v>2654</v>
      </c>
      <c r="E3224" s="4" t="s">
        <v>82</v>
      </c>
      <c r="F3224" s="4" t="s">
        <v>27</v>
      </c>
      <c r="G3224" s="198" t="s">
        <v>2272</v>
      </c>
      <c r="H3224" s="198" t="s">
        <v>522</v>
      </c>
      <c r="I3224" s="198"/>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1">
        <v>0</v>
      </c>
      <c r="Z3224" s="198" t="s">
        <v>2272</v>
      </c>
      <c r="AA3224" s="198" t="s">
        <v>2272</v>
      </c>
      <c r="AB3224" s="198" t="s">
        <v>2272</v>
      </c>
      <c r="AC3224" s="198" t="s">
        <v>2272</v>
      </c>
      <c r="AD3224" s="4" t="s">
        <v>8510</v>
      </c>
      <c r="AE3224" s="198"/>
    </row>
    <row r="3225" spans="1:31" ht="50.5" customHeight="1">
      <c r="A3225" s="4" t="s">
        <v>8470</v>
      </c>
      <c r="B3225" s="4" t="s">
        <v>8508</v>
      </c>
      <c r="C3225" s="198" t="s">
        <v>23</v>
      </c>
      <c r="D3225" s="4" t="s">
        <v>2654</v>
      </c>
      <c r="E3225" s="4" t="s">
        <v>82</v>
      </c>
      <c r="F3225" s="4" t="s">
        <v>27</v>
      </c>
      <c r="G3225" s="198" t="s">
        <v>2272</v>
      </c>
      <c r="H3225" s="198" t="s">
        <v>522</v>
      </c>
      <c r="I3225" s="198"/>
      <c r="J3225" s="21">
        <v>0</v>
      </c>
      <c r="K3225" s="21">
        <v>0</v>
      </c>
      <c r="L3225" s="21">
        <v>0</v>
      </c>
      <c r="M3225" s="21">
        <v>0</v>
      </c>
      <c r="N3225" s="21">
        <v>0</v>
      </c>
      <c r="O3225" s="21">
        <v>0</v>
      </c>
      <c r="P3225" s="21">
        <v>0</v>
      </c>
      <c r="Q3225" s="21">
        <v>0</v>
      </c>
      <c r="R3225" s="21">
        <v>0</v>
      </c>
      <c r="S3225" s="21">
        <v>0</v>
      </c>
      <c r="T3225" s="21">
        <v>0</v>
      </c>
      <c r="U3225" s="21">
        <v>0</v>
      </c>
      <c r="V3225" s="21">
        <v>0</v>
      </c>
      <c r="W3225" s="21">
        <v>0</v>
      </c>
      <c r="X3225" s="21">
        <v>0</v>
      </c>
      <c r="Y3225" s="21">
        <v>0</v>
      </c>
      <c r="Z3225" s="198" t="s">
        <v>2272</v>
      </c>
      <c r="AA3225" s="198" t="s">
        <v>2272</v>
      </c>
      <c r="AB3225" s="198" t="s">
        <v>2272</v>
      </c>
      <c r="AC3225" s="198" t="s">
        <v>2272</v>
      </c>
      <c r="AD3225" s="4" t="s">
        <v>8510</v>
      </c>
      <c r="AE3225" s="198"/>
    </row>
    <row r="3226" spans="1:31" ht="50.5" customHeight="1">
      <c r="A3226" s="4" t="s">
        <v>8473</v>
      </c>
      <c r="B3226" s="4" t="s">
        <v>8509</v>
      </c>
      <c r="C3226" s="198" t="s">
        <v>23</v>
      </c>
      <c r="D3226" s="4" t="s">
        <v>2654</v>
      </c>
      <c r="E3226" s="4" t="s">
        <v>82</v>
      </c>
      <c r="F3226" s="4" t="s">
        <v>27</v>
      </c>
      <c r="G3226" s="198" t="s">
        <v>2272</v>
      </c>
      <c r="H3226" s="198" t="s">
        <v>522</v>
      </c>
      <c r="I3226" s="198"/>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1">
        <v>0</v>
      </c>
      <c r="Z3226" s="198" t="s">
        <v>2272</v>
      </c>
      <c r="AA3226" s="198" t="s">
        <v>2272</v>
      </c>
      <c r="AB3226" s="198" t="s">
        <v>2272</v>
      </c>
      <c r="AC3226" s="198" t="s">
        <v>2272</v>
      </c>
      <c r="AD3226" s="4" t="s">
        <v>8510</v>
      </c>
      <c r="AE3226" s="198"/>
    </row>
    <row r="3227" spans="1:31" ht="54" customHeight="1">
      <c r="A3227" s="4" t="s">
        <v>8473</v>
      </c>
      <c r="B3227" s="4" t="s">
        <v>8498</v>
      </c>
      <c r="C3227" s="198" t="s">
        <v>23</v>
      </c>
      <c r="D3227" s="4" t="s">
        <v>2654</v>
      </c>
      <c r="E3227" s="4" t="s">
        <v>394</v>
      </c>
      <c r="F3227" s="4" t="s">
        <v>27</v>
      </c>
      <c r="G3227" s="198" t="s">
        <v>2272</v>
      </c>
      <c r="H3227" s="198" t="s">
        <v>521</v>
      </c>
      <c r="I3227" s="198"/>
      <c r="J3227" s="198" t="s">
        <v>2272</v>
      </c>
      <c r="K3227" s="198" t="s">
        <v>2272</v>
      </c>
      <c r="L3227" s="198" t="s">
        <v>2272</v>
      </c>
      <c r="M3227" s="198" t="s">
        <v>2272</v>
      </c>
      <c r="N3227" s="198" t="s">
        <v>2272</v>
      </c>
      <c r="O3227" s="198" t="s">
        <v>2272</v>
      </c>
      <c r="P3227" s="198" t="s">
        <v>2272</v>
      </c>
      <c r="Q3227" s="198" t="s">
        <v>2272</v>
      </c>
      <c r="R3227" s="198" t="s">
        <v>2272</v>
      </c>
      <c r="S3227" s="198" t="s">
        <v>2272</v>
      </c>
      <c r="T3227" s="198" t="s">
        <v>2272</v>
      </c>
      <c r="U3227" s="21">
        <v>2150000</v>
      </c>
      <c r="V3227" s="198" t="s">
        <v>2272</v>
      </c>
      <c r="W3227" s="21">
        <f>100*U3227/3240000</f>
        <v>66.358024691358025</v>
      </c>
      <c r="X3227" s="198" t="s">
        <v>2272</v>
      </c>
      <c r="Y3227" s="21">
        <f>W3227</f>
        <v>66.358024691358025</v>
      </c>
      <c r="Z3227" s="198" t="s">
        <v>2272</v>
      </c>
      <c r="AA3227" s="198" t="s">
        <v>37</v>
      </c>
      <c r="AB3227" s="198" t="s">
        <v>125</v>
      </c>
      <c r="AC3227" s="198" t="s">
        <v>63</v>
      </c>
      <c r="AD3227" s="198" t="s">
        <v>8455</v>
      </c>
      <c r="AE3227" s="198"/>
    </row>
    <row r="3228" spans="1:31" ht="54" customHeight="1">
      <c r="A3228" s="4" t="s">
        <v>8473</v>
      </c>
      <c r="B3228" s="4" t="s">
        <v>8509</v>
      </c>
      <c r="C3228" s="198" t="s">
        <v>23</v>
      </c>
      <c r="D3228" s="198" t="s">
        <v>1128</v>
      </c>
      <c r="E3228" s="4" t="s">
        <v>82</v>
      </c>
      <c r="F3228" s="4" t="s">
        <v>27</v>
      </c>
      <c r="G3228" s="198" t="s">
        <v>2272</v>
      </c>
      <c r="H3228" s="198" t="s">
        <v>522</v>
      </c>
      <c r="I3228" s="198"/>
      <c r="J3228" s="21">
        <v>0</v>
      </c>
      <c r="K3228" s="21">
        <v>0</v>
      </c>
      <c r="L3228" s="21">
        <v>0</v>
      </c>
      <c r="M3228" s="21">
        <v>0</v>
      </c>
      <c r="N3228" s="21">
        <v>0</v>
      </c>
      <c r="O3228" s="21">
        <v>0</v>
      </c>
      <c r="P3228" s="21">
        <v>0</v>
      </c>
      <c r="Q3228" s="21">
        <v>0</v>
      </c>
      <c r="R3228" s="21">
        <v>0</v>
      </c>
      <c r="S3228" s="21">
        <v>0</v>
      </c>
      <c r="T3228" s="21">
        <v>0</v>
      </c>
      <c r="U3228" s="21">
        <v>0</v>
      </c>
      <c r="V3228" s="21">
        <v>0</v>
      </c>
      <c r="W3228" s="21">
        <v>0</v>
      </c>
      <c r="X3228" s="21">
        <v>0</v>
      </c>
      <c r="Y3228" s="21">
        <v>0</v>
      </c>
      <c r="Z3228" s="198" t="s">
        <v>2272</v>
      </c>
      <c r="AA3228" s="198" t="s">
        <v>2272</v>
      </c>
      <c r="AB3228" s="198" t="s">
        <v>2272</v>
      </c>
      <c r="AC3228" s="198" t="s">
        <v>2272</v>
      </c>
      <c r="AD3228" s="4" t="s">
        <v>8510</v>
      </c>
      <c r="AE3228" s="198"/>
    </row>
    <row r="3229" spans="1:31" ht="54" customHeight="1">
      <c r="A3229" s="4" t="s">
        <v>8513</v>
      </c>
      <c r="B3229" s="4" t="s">
        <v>8515</v>
      </c>
      <c r="C3229" s="198" t="s">
        <v>23</v>
      </c>
      <c r="D3229" s="198" t="s">
        <v>2654</v>
      </c>
      <c r="E3229" s="4" t="s">
        <v>395</v>
      </c>
      <c r="F3229" s="4" t="s">
        <v>27</v>
      </c>
      <c r="G3229" s="198" t="s">
        <v>2272</v>
      </c>
      <c r="H3229" s="198" t="s">
        <v>521</v>
      </c>
      <c r="I3229" s="198"/>
      <c r="J3229" s="198" t="s">
        <v>2272</v>
      </c>
      <c r="K3229" s="198" t="s">
        <v>2272</v>
      </c>
      <c r="L3229" s="198" t="s">
        <v>2272</v>
      </c>
      <c r="M3229" s="198" t="s">
        <v>2272</v>
      </c>
      <c r="N3229" s="198" t="s">
        <v>2272</v>
      </c>
      <c r="O3229" s="198" t="s">
        <v>2272</v>
      </c>
      <c r="P3229" s="198" t="s">
        <v>2272</v>
      </c>
      <c r="Q3229" s="198" t="s">
        <v>2272</v>
      </c>
      <c r="R3229" s="198" t="s">
        <v>2272</v>
      </c>
      <c r="S3229" s="198" t="s">
        <v>2272</v>
      </c>
      <c r="T3229" s="198" t="s">
        <v>2272</v>
      </c>
      <c r="U3229" s="198" t="s">
        <v>2272</v>
      </c>
      <c r="V3229" s="198" t="s">
        <v>2272</v>
      </c>
      <c r="W3229" s="198" t="s">
        <v>2272</v>
      </c>
      <c r="X3229" s="198" t="s">
        <v>2272</v>
      </c>
      <c r="Y3229" s="198" t="s">
        <v>2272</v>
      </c>
      <c r="Z3229" s="198" t="s">
        <v>2272</v>
      </c>
      <c r="AA3229" s="198" t="s">
        <v>2272</v>
      </c>
      <c r="AB3229" s="198" t="s">
        <v>2272</v>
      </c>
      <c r="AC3229" s="198" t="s">
        <v>2272</v>
      </c>
      <c r="AD3229" s="198"/>
      <c r="AE3229" s="198"/>
    </row>
    <row r="3230" spans="1:31" ht="54" customHeight="1">
      <c r="A3230" s="4" t="s">
        <v>8513</v>
      </c>
      <c r="B3230" s="4" t="s">
        <v>8516</v>
      </c>
      <c r="C3230" s="198" t="s">
        <v>23</v>
      </c>
      <c r="D3230" s="198" t="s">
        <v>2654</v>
      </c>
      <c r="E3230" s="4" t="s">
        <v>394</v>
      </c>
      <c r="F3230" s="4" t="s">
        <v>27</v>
      </c>
      <c r="G3230" s="198" t="s">
        <v>2272</v>
      </c>
      <c r="H3230" s="198" t="s">
        <v>521</v>
      </c>
      <c r="I3230" s="198"/>
      <c r="J3230" s="198" t="s">
        <v>2272</v>
      </c>
      <c r="K3230" s="198" t="s">
        <v>2272</v>
      </c>
      <c r="L3230" s="198" t="s">
        <v>2272</v>
      </c>
      <c r="M3230" s="198" t="s">
        <v>2272</v>
      </c>
      <c r="N3230" s="198" t="s">
        <v>2272</v>
      </c>
      <c r="O3230" s="198" t="s">
        <v>2272</v>
      </c>
      <c r="P3230" s="198" t="s">
        <v>2272</v>
      </c>
      <c r="Q3230" s="198" t="s">
        <v>2272</v>
      </c>
      <c r="R3230" s="198" t="s">
        <v>2272</v>
      </c>
      <c r="S3230" s="198" t="s">
        <v>2272</v>
      </c>
      <c r="T3230" s="198" t="s">
        <v>2272</v>
      </c>
      <c r="U3230" s="198" t="s">
        <v>2272</v>
      </c>
      <c r="V3230" s="198" t="s">
        <v>2272</v>
      </c>
      <c r="W3230" s="198" t="s">
        <v>2272</v>
      </c>
      <c r="X3230" s="198" t="s">
        <v>2272</v>
      </c>
      <c r="Y3230" s="198" t="s">
        <v>2272</v>
      </c>
      <c r="Z3230" s="198" t="s">
        <v>2272</v>
      </c>
      <c r="AA3230" s="198" t="s">
        <v>2272</v>
      </c>
      <c r="AB3230" s="198" t="s">
        <v>2272</v>
      </c>
      <c r="AC3230" s="198" t="s">
        <v>2272</v>
      </c>
      <c r="AD3230" s="198"/>
      <c r="AE3230" s="198"/>
    </row>
    <row r="3231" spans="1:31" ht="42.5" customHeight="1">
      <c r="A3231" s="4" t="s">
        <v>8523</v>
      </c>
      <c r="B3231" s="4" t="s">
        <v>8524</v>
      </c>
      <c r="C3231" s="198" t="s">
        <v>23</v>
      </c>
      <c r="D3231" s="198" t="s">
        <v>2654</v>
      </c>
      <c r="E3231" s="4" t="s">
        <v>394</v>
      </c>
      <c r="F3231" s="4" t="s">
        <v>27</v>
      </c>
      <c r="G3231" s="198" t="s">
        <v>2272</v>
      </c>
      <c r="H3231" s="198" t="s">
        <v>522</v>
      </c>
      <c r="I3231" s="198"/>
      <c r="J3231" s="21">
        <v>0</v>
      </c>
      <c r="K3231" s="21">
        <v>0</v>
      </c>
      <c r="L3231" s="21">
        <v>0</v>
      </c>
      <c r="M3231" s="21">
        <v>0</v>
      </c>
      <c r="N3231" s="21">
        <v>0</v>
      </c>
      <c r="O3231" s="21">
        <v>0</v>
      </c>
      <c r="P3231" s="21">
        <v>0</v>
      </c>
      <c r="Q3231" s="21">
        <v>0</v>
      </c>
      <c r="R3231" s="21">
        <v>0</v>
      </c>
      <c r="S3231" s="21">
        <v>0</v>
      </c>
      <c r="T3231" s="21">
        <v>0</v>
      </c>
      <c r="U3231" s="21">
        <v>0</v>
      </c>
      <c r="V3231" s="21">
        <v>0</v>
      </c>
      <c r="W3231" s="21">
        <v>0</v>
      </c>
      <c r="X3231" s="21">
        <v>0</v>
      </c>
      <c r="Y3231" s="21">
        <v>0</v>
      </c>
      <c r="Z3231" s="198" t="s">
        <v>2272</v>
      </c>
      <c r="AA3231" s="198" t="s">
        <v>2272</v>
      </c>
      <c r="AB3231" s="198" t="s">
        <v>2272</v>
      </c>
      <c r="AC3231" s="198" t="s">
        <v>2272</v>
      </c>
      <c r="AD3231" s="198"/>
      <c r="AE3231" s="198"/>
    </row>
    <row r="3232" spans="1:31" ht="37" customHeight="1">
      <c r="A3232" s="4" t="s">
        <v>8523</v>
      </c>
      <c r="B3232" s="163" t="s">
        <v>8525</v>
      </c>
      <c r="C3232" s="35" t="s">
        <v>23</v>
      </c>
      <c r="D3232" s="35" t="s">
        <v>2654</v>
      </c>
      <c r="E3232" s="163" t="s">
        <v>82</v>
      </c>
      <c r="F3232" s="4" t="s">
        <v>27</v>
      </c>
      <c r="G3232" s="198" t="s">
        <v>2272</v>
      </c>
      <c r="H3232" s="198" t="s">
        <v>522</v>
      </c>
      <c r="I3232" s="198"/>
      <c r="J3232" s="21">
        <v>0</v>
      </c>
      <c r="K3232" s="21">
        <v>0</v>
      </c>
      <c r="L3232" s="21">
        <v>0</v>
      </c>
      <c r="M3232" s="21">
        <v>0</v>
      </c>
      <c r="N3232" s="21">
        <v>0</v>
      </c>
      <c r="O3232" s="21">
        <v>0</v>
      </c>
      <c r="P3232" s="21">
        <v>0</v>
      </c>
      <c r="Q3232" s="21">
        <v>0</v>
      </c>
      <c r="R3232" s="21">
        <v>0</v>
      </c>
      <c r="S3232" s="21">
        <v>0</v>
      </c>
      <c r="T3232" s="21">
        <v>0</v>
      </c>
      <c r="U3232" s="21">
        <v>0</v>
      </c>
      <c r="V3232" s="21">
        <v>0</v>
      </c>
      <c r="W3232" s="21">
        <v>0</v>
      </c>
      <c r="X3232" s="21">
        <v>0</v>
      </c>
      <c r="Y3232" s="21">
        <v>0</v>
      </c>
      <c r="Z3232" s="198" t="s">
        <v>2272</v>
      </c>
      <c r="AA3232" s="198" t="s">
        <v>2272</v>
      </c>
      <c r="AB3232" s="198" t="s">
        <v>2272</v>
      </c>
      <c r="AC3232" s="198" t="s">
        <v>2272</v>
      </c>
      <c r="AD3232" s="35"/>
      <c r="AE3232" s="35"/>
    </row>
    <row r="3233" spans="1:31" ht="35.5" customHeight="1">
      <c r="A3233" s="4" t="s">
        <v>8527</v>
      </c>
      <c r="B3233" s="4" t="s">
        <v>8529</v>
      </c>
      <c r="C3233" s="198" t="s">
        <v>23</v>
      </c>
      <c r="D3233" s="198" t="s">
        <v>2654</v>
      </c>
      <c r="E3233" s="4" t="s">
        <v>82</v>
      </c>
      <c r="F3233" s="4" t="s">
        <v>27</v>
      </c>
      <c r="G3233" s="198" t="s">
        <v>2272</v>
      </c>
      <c r="H3233" s="198" t="s">
        <v>522</v>
      </c>
      <c r="I3233" s="198"/>
      <c r="J3233" s="21">
        <v>0</v>
      </c>
      <c r="K3233" s="21">
        <v>0</v>
      </c>
      <c r="L3233" s="21">
        <v>0</v>
      </c>
      <c r="M3233" s="21">
        <v>0</v>
      </c>
      <c r="N3233" s="21">
        <v>0</v>
      </c>
      <c r="O3233" s="21">
        <v>0</v>
      </c>
      <c r="P3233" s="21">
        <v>0</v>
      </c>
      <c r="Q3233" s="21">
        <v>0</v>
      </c>
      <c r="R3233" s="21">
        <v>0</v>
      </c>
      <c r="S3233" s="21">
        <v>0</v>
      </c>
      <c r="T3233" s="21">
        <v>0</v>
      </c>
      <c r="U3233" s="21">
        <v>0</v>
      </c>
      <c r="V3233" s="21">
        <v>0</v>
      </c>
      <c r="W3233" s="21">
        <v>0</v>
      </c>
      <c r="X3233" s="21">
        <v>0</v>
      </c>
      <c r="Y3233" s="21">
        <v>0</v>
      </c>
      <c r="Z3233" s="198" t="s">
        <v>2272</v>
      </c>
      <c r="AA3233" s="198" t="s">
        <v>2272</v>
      </c>
      <c r="AB3233" s="198" t="s">
        <v>2272</v>
      </c>
      <c r="AC3233" s="198" t="s">
        <v>2272</v>
      </c>
      <c r="AD3233" s="198"/>
      <c r="AE3233" s="198"/>
    </row>
    <row r="3234" spans="1:31" ht="30" customHeight="1">
      <c r="A3234" s="4" t="s">
        <v>8527</v>
      </c>
      <c r="B3234" s="4" t="s">
        <v>8530</v>
      </c>
      <c r="C3234" s="198" t="s">
        <v>30</v>
      </c>
      <c r="D3234" s="198" t="s">
        <v>2654</v>
      </c>
      <c r="E3234" s="4" t="s">
        <v>82</v>
      </c>
      <c r="F3234" s="4" t="s">
        <v>27</v>
      </c>
      <c r="G3234" s="198" t="s">
        <v>2272</v>
      </c>
      <c r="H3234" s="198" t="s">
        <v>521</v>
      </c>
      <c r="I3234" s="198"/>
      <c r="J3234" s="198" t="s">
        <v>2272</v>
      </c>
      <c r="K3234" s="198" t="s">
        <v>2272</v>
      </c>
      <c r="L3234" s="198" t="s">
        <v>2272</v>
      </c>
      <c r="M3234" s="198" t="s">
        <v>2272</v>
      </c>
      <c r="N3234" s="198" t="s">
        <v>2272</v>
      </c>
      <c r="O3234" s="198" t="s">
        <v>2272</v>
      </c>
      <c r="P3234" s="198" t="s">
        <v>2272</v>
      </c>
      <c r="Q3234" s="198" t="s">
        <v>2272</v>
      </c>
      <c r="R3234" s="198" t="s">
        <v>2272</v>
      </c>
      <c r="S3234" s="198" t="s">
        <v>2272</v>
      </c>
      <c r="T3234" s="198" t="s">
        <v>2272</v>
      </c>
      <c r="U3234" s="198" t="s">
        <v>2272</v>
      </c>
      <c r="V3234" s="198" t="s">
        <v>2272</v>
      </c>
      <c r="W3234" s="198" t="s">
        <v>2272</v>
      </c>
      <c r="X3234" s="198" t="s">
        <v>2272</v>
      </c>
      <c r="Y3234" s="198" t="s">
        <v>2272</v>
      </c>
      <c r="Z3234" s="198" t="s">
        <v>2272</v>
      </c>
      <c r="AA3234" s="198" t="s">
        <v>2272</v>
      </c>
      <c r="AB3234" s="198" t="s">
        <v>2272</v>
      </c>
      <c r="AC3234" s="198" t="s">
        <v>2272</v>
      </c>
      <c r="AD3234" s="198"/>
      <c r="AE3234" s="198"/>
    </row>
    <row r="3235" spans="1:31" ht="32.5" customHeight="1">
      <c r="A3235" s="4" t="s">
        <v>8536</v>
      </c>
      <c r="B3235" s="4" t="s">
        <v>8539</v>
      </c>
      <c r="C3235" s="198" t="s">
        <v>23</v>
      </c>
      <c r="D3235" s="198" t="s">
        <v>2654</v>
      </c>
      <c r="E3235" s="4" t="s">
        <v>394</v>
      </c>
      <c r="F3235" s="4" t="s">
        <v>27</v>
      </c>
      <c r="G3235" s="198" t="s">
        <v>2272</v>
      </c>
      <c r="H3235" s="198" t="s">
        <v>521</v>
      </c>
      <c r="I3235" s="198"/>
      <c r="J3235" s="198" t="s">
        <v>2272</v>
      </c>
      <c r="K3235" s="198" t="s">
        <v>2272</v>
      </c>
      <c r="L3235" s="198" t="s">
        <v>2272</v>
      </c>
      <c r="M3235" s="198" t="s">
        <v>2272</v>
      </c>
      <c r="N3235" s="198" t="s">
        <v>2272</v>
      </c>
      <c r="O3235" s="198" t="s">
        <v>2272</v>
      </c>
      <c r="P3235" s="198" t="s">
        <v>2272</v>
      </c>
      <c r="Q3235" s="198" t="s">
        <v>2272</v>
      </c>
      <c r="R3235" s="198" t="s">
        <v>2272</v>
      </c>
      <c r="S3235" s="198" t="s">
        <v>2272</v>
      </c>
      <c r="T3235" s="198" t="s">
        <v>2272</v>
      </c>
      <c r="U3235" s="198" t="s">
        <v>2272</v>
      </c>
      <c r="V3235" s="198" t="s">
        <v>2272</v>
      </c>
      <c r="W3235" s="198" t="s">
        <v>2272</v>
      </c>
      <c r="X3235" s="198" t="s">
        <v>2272</v>
      </c>
      <c r="Y3235" s="198" t="s">
        <v>2272</v>
      </c>
      <c r="Z3235" s="198" t="s">
        <v>2272</v>
      </c>
      <c r="AA3235" s="198" t="s">
        <v>2272</v>
      </c>
      <c r="AB3235" s="198" t="s">
        <v>2272</v>
      </c>
      <c r="AC3235" s="198" t="s">
        <v>2272</v>
      </c>
      <c r="AD3235" s="198"/>
      <c r="AE3235" s="198"/>
    </row>
    <row r="3236" spans="1:31" ht="32.5" customHeight="1">
      <c r="A3236" s="4" t="s">
        <v>8542</v>
      </c>
      <c r="B3236" s="4" t="s">
        <v>8551</v>
      </c>
      <c r="C3236" s="198" t="s">
        <v>23</v>
      </c>
      <c r="D3236" s="4" t="s">
        <v>2654</v>
      </c>
      <c r="E3236" s="4" t="s">
        <v>394</v>
      </c>
      <c r="F3236" s="4" t="s">
        <v>27</v>
      </c>
      <c r="G3236" s="198" t="s">
        <v>2272</v>
      </c>
      <c r="H3236" s="198" t="s">
        <v>521</v>
      </c>
      <c r="I3236" s="198"/>
      <c r="J3236" s="198" t="s">
        <v>2272</v>
      </c>
      <c r="K3236" s="198" t="s">
        <v>2272</v>
      </c>
      <c r="L3236" s="198" t="s">
        <v>2272</v>
      </c>
      <c r="M3236" s="198" t="s">
        <v>2272</v>
      </c>
      <c r="N3236" s="198" t="s">
        <v>2272</v>
      </c>
      <c r="O3236" s="198" t="s">
        <v>2272</v>
      </c>
      <c r="P3236" s="198" t="s">
        <v>2272</v>
      </c>
      <c r="Q3236" s="198" t="s">
        <v>2272</v>
      </c>
      <c r="R3236" s="198" t="s">
        <v>2272</v>
      </c>
      <c r="S3236" s="198" t="s">
        <v>2272</v>
      </c>
      <c r="T3236" s="198" t="s">
        <v>2272</v>
      </c>
      <c r="U3236" s="198" t="s">
        <v>2272</v>
      </c>
      <c r="V3236" s="198" t="s">
        <v>2272</v>
      </c>
      <c r="W3236" s="198" t="s">
        <v>2272</v>
      </c>
      <c r="X3236" s="198" t="s">
        <v>2272</v>
      </c>
      <c r="Y3236" s="198" t="s">
        <v>2272</v>
      </c>
      <c r="Z3236" s="198" t="s">
        <v>2272</v>
      </c>
      <c r="AA3236" s="198" t="s">
        <v>2272</v>
      </c>
      <c r="AB3236" s="198" t="s">
        <v>2272</v>
      </c>
      <c r="AC3236" s="198" t="s">
        <v>2272</v>
      </c>
      <c r="AD3236" s="198" t="s">
        <v>8553</v>
      </c>
      <c r="AE3236" s="198"/>
    </row>
    <row r="3237" spans="1:31" ht="29">
      <c r="A3237" s="4" t="s">
        <v>8543</v>
      </c>
      <c r="B3237" s="4" t="s">
        <v>8552</v>
      </c>
      <c r="C3237" s="198" t="s">
        <v>23</v>
      </c>
      <c r="D3237" s="4" t="s">
        <v>2654</v>
      </c>
      <c r="E3237" s="4" t="s">
        <v>394</v>
      </c>
      <c r="F3237" s="4" t="s">
        <v>27</v>
      </c>
      <c r="G3237" s="198" t="s">
        <v>2272</v>
      </c>
      <c r="H3237" s="198" t="s">
        <v>521</v>
      </c>
      <c r="I3237" s="198"/>
      <c r="J3237" s="198" t="s">
        <v>2272</v>
      </c>
      <c r="K3237" s="198" t="s">
        <v>2272</v>
      </c>
      <c r="L3237" s="198" t="s">
        <v>2272</v>
      </c>
      <c r="M3237" s="198" t="s">
        <v>2272</v>
      </c>
      <c r="N3237" s="198" t="s">
        <v>2272</v>
      </c>
      <c r="O3237" s="198" t="s">
        <v>2272</v>
      </c>
      <c r="P3237" s="198" t="s">
        <v>2272</v>
      </c>
      <c r="Q3237" s="198" t="s">
        <v>2272</v>
      </c>
      <c r="R3237" s="198" t="s">
        <v>2272</v>
      </c>
      <c r="S3237" s="198" t="s">
        <v>2272</v>
      </c>
      <c r="T3237" s="198" t="s">
        <v>2272</v>
      </c>
      <c r="U3237" s="198" t="s">
        <v>2272</v>
      </c>
      <c r="V3237" s="198" t="s">
        <v>2272</v>
      </c>
      <c r="W3237" s="198" t="s">
        <v>2272</v>
      </c>
      <c r="X3237" s="198" t="s">
        <v>2272</v>
      </c>
      <c r="Y3237" s="198" t="s">
        <v>2272</v>
      </c>
      <c r="Z3237" s="198" t="s">
        <v>2272</v>
      </c>
      <c r="AA3237" s="198" t="s">
        <v>2272</v>
      </c>
      <c r="AB3237" s="198" t="s">
        <v>2272</v>
      </c>
      <c r="AC3237" s="198" t="s">
        <v>2272</v>
      </c>
      <c r="AD3237" s="198" t="s">
        <v>8553</v>
      </c>
      <c r="AE3237" s="198"/>
    </row>
    <row r="3238" spans="1:31" ht="46" customHeight="1">
      <c r="A3238" s="4" t="s">
        <v>8557</v>
      </c>
      <c r="B3238" s="4" t="s">
        <v>8559</v>
      </c>
      <c r="C3238" s="198" t="s">
        <v>23</v>
      </c>
      <c r="D3238" s="198" t="s">
        <v>2654</v>
      </c>
      <c r="E3238" s="4" t="s">
        <v>394</v>
      </c>
      <c r="F3238" s="4" t="s">
        <v>27</v>
      </c>
      <c r="G3238" s="198" t="s">
        <v>2272</v>
      </c>
      <c r="H3238" s="198" t="s">
        <v>521</v>
      </c>
      <c r="I3238" s="198"/>
      <c r="J3238" s="198" t="s">
        <v>2272</v>
      </c>
      <c r="K3238" s="198" t="s">
        <v>2272</v>
      </c>
      <c r="L3238" s="198" t="s">
        <v>2272</v>
      </c>
      <c r="M3238" s="198" t="s">
        <v>2272</v>
      </c>
      <c r="N3238" s="198" t="s">
        <v>2272</v>
      </c>
      <c r="O3238" s="198" t="s">
        <v>2272</v>
      </c>
      <c r="P3238" s="198" t="s">
        <v>2272</v>
      </c>
      <c r="Q3238" s="198" t="s">
        <v>2272</v>
      </c>
      <c r="R3238" s="198" t="s">
        <v>2272</v>
      </c>
      <c r="S3238" s="198" t="s">
        <v>2272</v>
      </c>
      <c r="T3238" s="198" t="s">
        <v>2272</v>
      </c>
      <c r="U3238" s="198" t="s">
        <v>2272</v>
      </c>
      <c r="V3238" s="198" t="s">
        <v>2272</v>
      </c>
      <c r="W3238" s="198" t="s">
        <v>2272</v>
      </c>
      <c r="X3238" s="198" t="s">
        <v>2272</v>
      </c>
      <c r="Y3238" s="198" t="s">
        <v>2272</v>
      </c>
      <c r="Z3238" s="198" t="s">
        <v>2272</v>
      </c>
      <c r="AA3238" s="198" t="s">
        <v>2272</v>
      </c>
      <c r="AB3238" s="198" t="s">
        <v>2272</v>
      </c>
      <c r="AC3238" s="198" t="s">
        <v>2272</v>
      </c>
      <c r="AD3238" s="4" t="s">
        <v>8561</v>
      </c>
      <c r="AE3238" s="198"/>
    </row>
    <row r="3239" spans="1:31" ht="46" customHeight="1">
      <c r="A3239" s="4" t="s">
        <v>8558</v>
      </c>
      <c r="B3239" s="198" t="s">
        <v>8560</v>
      </c>
      <c r="C3239" s="198" t="s">
        <v>23</v>
      </c>
      <c r="D3239" s="198" t="s">
        <v>2654</v>
      </c>
      <c r="E3239" s="4" t="s">
        <v>394</v>
      </c>
      <c r="F3239" s="4" t="s">
        <v>27</v>
      </c>
      <c r="G3239" s="198" t="s">
        <v>2272</v>
      </c>
      <c r="H3239" s="198" t="s">
        <v>521</v>
      </c>
      <c r="I3239" s="198"/>
      <c r="J3239" s="198" t="s">
        <v>2272</v>
      </c>
      <c r="K3239" s="198" t="s">
        <v>2272</v>
      </c>
      <c r="L3239" s="198" t="s">
        <v>2272</v>
      </c>
      <c r="M3239" s="198" t="s">
        <v>2272</v>
      </c>
      <c r="N3239" s="198" t="s">
        <v>2272</v>
      </c>
      <c r="O3239" s="198" t="s">
        <v>2272</v>
      </c>
      <c r="P3239" s="198" t="s">
        <v>2272</v>
      </c>
      <c r="Q3239" s="198" t="s">
        <v>2272</v>
      </c>
      <c r="R3239" s="198" t="s">
        <v>2272</v>
      </c>
      <c r="S3239" s="198" t="s">
        <v>2272</v>
      </c>
      <c r="T3239" s="198" t="s">
        <v>2272</v>
      </c>
      <c r="U3239" s="198" t="s">
        <v>2272</v>
      </c>
      <c r="V3239" s="198" t="s">
        <v>2272</v>
      </c>
      <c r="W3239" s="198" t="s">
        <v>2272</v>
      </c>
      <c r="X3239" s="198" t="s">
        <v>2272</v>
      </c>
      <c r="Y3239" s="198" t="s">
        <v>2272</v>
      </c>
      <c r="Z3239" s="198" t="s">
        <v>2272</v>
      </c>
      <c r="AA3239" s="198" t="s">
        <v>2272</v>
      </c>
      <c r="AB3239" s="198" t="s">
        <v>2272</v>
      </c>
      <c r="AC3239" s="198" t="s">
        <v>2272</v>
      </c>
      <c r="AD3239" s="4" t="s">
        <v>8561</v>
      </c>
      <c r="AE3239" s="198"/>
    </row>
    <row r="3240" spans="1:31" ht="31" customHeight="1">
      <c r="A3240" s="4" t="s">
        <v>8563</v>
      </c>
      <c r="B3240" s="4" t="s">
        <v>8572</v>
      </c>
      <c r="C3240" s="198" t="s">
        <v>2653</v>
      </c>
      <c r="D3240" s="198" t="s">
        <v>2272</v>
      </c>
      <c r="E3240" s="198" t="s">
        <v>44</v>
      </c>
      <c r="F3240" s="4" t="s">
        <v>2657</v>
      </c>
      <c r="G3240" s="198" t="s">
        <v>2272</v>
      </c>
      <c r="H3240" s="198" t="s">
        <v>521</v>
      </c>
      <c r="I3240" s="198"/>
      <c r="J3240" s="198" t="s">
        <v>2272</v>
      </c>
      <c r="K3240" s="198" t="s">
        <v>2272</v>
      </c>
      <c r="L3240" s="198" t="s">
        <v>2272</v>
      </c>
      <c r="M3240" s="198" t="s">
        <v>2272</v>
      </c>
      <c r="N3240" s="198" t="s">
        <v>2272</v>
      </c>
      <c r="O3240" s="198" t="s">
        <v>2272</v>
      </c>
      <c r="P3240" s="198" t="s">
        <v>2272</v>
      </c>
      <c r="Q3240" s="198" t="s">
        <v>2272</v>
      </c>
      <c r="R3240" s="198" t="s">
        <v>2272</v>
      </c>
      <c r="S3240" s="198" t="s">
        <v>2272</v>
      </c>
      <c r="T3240" s="198" t="s">
        <v>2272</v>
      </c>
      <c r="U3240" s="198" t="s">
        <v>2272</v>
      </c>
      <c r="V3240" s="198" t="s">
        <v>2272</v>
      </c>
      <c r="W3240" s="198" t="s">
        <v>2272</v>
      </c>
      <c r="X3240" s="198" t="s">
        <v>2272</v>
      </c>
      <c r="Y3240" s="198" t="s">
        <v>2272</v>
      </c>
      <c r="Z3240" s="198" t="s">
        <v>2272</v>
      </c>
      <c r="AA3240" s="198" t="s">
        <v>403</v>
      </c>
      <c r="AB3240" s="198" t="s">
        <v>34</v>
      </c>
      <c r="AC3240" s="198" t="s">
        <v>2272</v>
      </c>
      <c r="AD3240" s="198"/>
      <c r="AE3240" s="198"/>
    </row>
    <row r="3241" spans="1:31" ht="31" customHeight="1">
      <c r="A3241" s="4" t="s">
        <v>8569</v>
      </c>
      <c r="B3241" s="4" t="s">
        <v>8573</v>
      </c>
      <c r="C3241" s="198" t="s">
        <v>2653</v>
      </c>
      <c r="D3241" s="198" t="s">
        <v>2272</v>
      </c>
      <c r="E3241" s="198" t="s">
        <v>44</v>
      </c>
      <c r="F3241" s="4" t="s">
        <v>2657</v>
      </c>
      <c r="G3241" s="198" t="s">
        <v>2272</v>
      </c>
      <c r="H3241" s="198" t="s">
        <v>521</v>
      </c>
      <c r="I3241" s="198"/>
      <c r="J3241" s="198" t="s">
        <v>2272</v>
      </c>
      <c r="K3241" s="198" t="s">
        <v>2272</v>
      </c>
      <c r="L3241" s="198" t="s">
        <v>2272</v>
      </c>
      <c r="M3241" s="198" t="s">
        <v>2272</v>
      </c>
      <c r="N3241" s="198" t="s">
        <v>2272</v>
      </c>
      <c r="O3241" s="198" t="s">
        <v>2272</v>
      </c>
      <c r="P3241" s="198" t="s">
        <v>2272</v>
      </c>
      <c r="Q3241" s="198" t="s">
        <v>2272</v>
      </c>
      <c r="R3241" s="198" t="s">
        <v>2272</v>
      </c>
      <c r="S3241" s="198" t="s">
        <v>2272</v>
      </c>
      <c r="T3241" s="198" t="s">
        <v>2272</v>
      </c>
      <c r="U3241" s="21">
        <v>66000</v>
      </c>
      <c r="V3241" s="198" t="s">
        <v>2272</v>
      </c>
      <c r="W3241" s="198" t="s">
        <v>2272</v>
      </c>
      <c r="X3241" s="198" t="s">
        <v>2272</v>
      </c>
      <c r="Y3241" s="198" t="s">
        <v>2272</v>
      </c>
      <c r="Z3241" s="198" t="s">
        <v>2272</v>
      </c>
      <c r="AA3241" s="198" t="s">
        <v>403</v>
      </c>
      <c r="AB3241" s="198" t="s">
        <v>34</v>
      </c>
      <c r="AC3241" s="198" t="s">
        <v>2272</v>
      </c>
      <c r="AD3241" s="198"/>
      <c r="AE3241" s="198"/>
    </row>
    <row r="3242" spans="1:31" ht="31" customHeight="1">
      <c r="A3242" s="4" t="s">
        <v>8570</v>
      </c>
      <c r="B3242" s="4" t="s">
        <v>8574</v>
      </c>
      <c r="C3242" s="198" t="s">
        <v>2653</v>
      </c>
      <c r="D3242" s="198" t="s">
        <v>2272</v>
      </c>
      <c r="E3242" s="198" t="s">
        <v>44</v>
      </c>
      <c r="F3242" s="4" t="s">
        <v>2657</v>
      </c>
      <c r="G3242" s="198" t="s">
        <v>2272</v>
      </c>
      <c r="H3242" s="198" t="s">
        <v>521</v>
      </c>
      <c r="I3242" s="198"/>
      <c r="J3242" s="198" t="s">
        <v>2272</v>
      </c>
      <c r="K3242" s="198" t="s">
        <v>2272</v>
      </c>
      <c r="L3242" s="198" t="s">
        <v>2272</v>
      </c>
      <c r="M3242" s="198" t="s">
        <v>2272</v>
      </c>
      <c r="N3242" s="198" t="s">
        <v>2272</v>
      </c>
      <c r="O3242" s="198" t="s">
        <v>2272</v>
      </c>
      <c r="P3242" s="198" t="s">
        <v>2272</v>
      </c>
      <c r="Q3242" s="198" t="s">
        <v>2272</v>
      </c>
      <c r="R3242" s="198" t="s">
        <v>2272</v>
      </c>
      <c r="S3242" s="198" t="s">
        <v>2272</v>
      </c>
      <c r="T3242" s="198" t="s">
        <v>2272</v>
      </c>
      <c r="U3242" s="21">
        <v>12400</v>
      </c>
      <c r="V3242" s="198" t="s">
        <v>2272</v>
      </c>
      <c r="W3242" s="198" t="s">
        <v>2272</v>
      </c>
      <c r="X3242" s="198" t="s">
        <v>2272</v>
      </c>
      <c r="Y3242" s="198" t="s">
        <v>2272</v>
      </c>
      <c r="Z3242" s="198" t="s">
        <v>2272</v>
      </c>
      <c r="AA3242" s="198" t="s">
        <v>403</v>
      </c>
      <c r="AB3242" s="198" t="s">
        <v>34</v>
      </c>
      <c r="AC3242" s="198" t="s">
        <v>2272</v>
      </c>
      <c r="AD3242" s="198"/>
      <c r="AE3242" s="198"/>
    </row>
    <row r="3243" spans="1:31" ht="31" customHeight="1">
      <c r="A3243" s="163" t="s">
        <v>8571</v>
      </c>
      <c r="B3243" s="163" t="s">
        <v>8575</v>
      </c>
      <c r="C3243" s="35" t="s">
        <v>2653</v>
      </c>
      <c r="D3243" s="35" t="s">
        <v>2272</v>
      </c>
      <c r="E3243" s="35" t="s">
        <v>44</v>
      </c>
      <c r="F3243" s="163" t="s">
        <v>2657</v>
      </c>
      <c r="G3243" s="35" t="s">
        <v>2272</v>
      </c>
      <c r="H3243" s="35" t="s">
        <v>521</v>
      </c>
      <c r="I3243" s="35"/>
      <c r="J3243" s="35" t="s">
        <v>2272</v>
      </c>
      <c r="K3243" s="35" t="s">
        <v>2272</v>
      </c>
      <c r="L3243" s="35" t="s">
        <v>2272</v>
      </c>
      <c r="M3243" s="35" t="s">
        <v>2272</v>
      </c>
      <c r="N3243" s="35" t="s">
        <v>2272</v>
      </c>
      <c r="O3243" s="35" t="s">
        <v>2272</v>
      </c>
      <c r="P3243" s="35" t="s">
        <v>2272</v>
      </c>
      <c r="Q3243" s="35" t="s">
        <v>2272</v>
      </c>
      <c r="R3243" s="35" t="s">
        <v>2272</v>
      </c>
      <c r="S3243" s="35" t="s">
        <v>2272</v>
      </c>
      <c r="T3243" s="35" t="s">
        <v>2272</v>
      </c>
      <c r="U3243" s="69">
        <v>32000</v>
      </c>
      <c r="V3243" s="35" t="s">
        <v>2272</v>
      </c>
      <c r="W3243" s="35" t="s">
        <v>2272</v>
      </c>
      <c r="X3243" s="35" t="s">
        <v>2272</v>
      </c>
      <c r="Y3243" s="35" t="s">
        <v>2272</v>
      </c>
      <c r="Z3243" s="35" t="s">
        <v>2272</v>
      </c>
      <c r="AA3243" s="35" t="s">
        <v>403</v>
      </c>
      <c r="AB3243" s="35" t="s">
        <v>34</v>
      </c>
      <c r="AC3243" s="35" t="s">
        <v>2272</v>
      </c>
      <c r="AD3243" s="198"/>
      <c r="AE3243" s="198"/>
    </row>
    <row r="3244" spans="1:31" ht="35.5" customHeight="1">
      <c r="A3244" s="4" t="s">
        <v>8584</v>
      </c>
      <c r="B3244" s="4" t="s">
        <v>8589</v>
      </c>
      <c r="C3244" s="198" t="s">
        <v>23</v>
      </c>
      <c r="D3244" s="198" t="s">
        <v>2654</v>
      </c>
      <c r="E3244" s="198" t="s">
        <v>82</v>
      </c>
      <c r="F3244" s="4" t="s">
        <v>27</v>
      </c>
      <c r="G3244" s="4" t="s">
        <v>27</v>
      </c>
      <c r="H3244" s="198" t="s">
        <v>521</v>
      </c>
      <c r="I3244" s="198"/>
      <c r="J3244" s="198" t="s">
        <v>2272</v>
      </c>
      <c r="K3244" s="198" t="s">
        <v>2272</v>
      </c>
      <c r="L3244" s="198" t="s">
        <v>2272</v>
      </c>
      <c r="M3244" s="198" t="s">
        <v>2272</v>
      </c>
      <c r="N3244" s="198" t="s">
        <v>2272</v>
      </c>
      <c r="O3244" s="198" t="s">
        <v>2272</v>
      </c>
      <c r="P3244" s="198" t="s">
        <v>2272</v>
      </c>
      <c r="Q3244" s="198" t="s">
        <v>2272</v>
      </c>
      <c r="R3244" s="198" t="s">
        <v>2272</v>
      </c>
      <c r="S3244" s="198" t="s">
        <v>2272</v>
      </c>
      <c r="T3244" s="198" t="s">
        <v>2272</v>
      </c>
      <c r="U3244" s="21">
        <f>'Land use'!P1340*'Record info'!K1340*W3244/100</f>
        <v>1272.18</v>
      </c>
      <c r="V3244" s="198" t="s">
        <v>2272</v>
      </c>
      <c r="W3244" s="21">
        <v>27.3</v>
      </c>
      <c r="X3244" s="198" t="s">
        <v>2272</v>
      </c>
      <c r="Y3244" s="21">
        <f>W3244*(4660/8600)</f>
        <v>14.792790697674418</v>
      </c>
      <c r="Z3244" s="198" t="s">
        <v>2272</v>
      </c>
      <c r="AA3244" s="198" t="s">
        <v>34</v>
      </c>
      <c r="AB3244" s="198" t="s">
        <v>125</v>
      </c>
      <c r="AC3244" s="198" t="s">
        <v>63</v>
      </c>
      <c r="AD3244" s="198"/>
      <c r="AE3244" s="198"/>
    </row>
    <row r="3245" spans="1:31" ht="50" customHeight="1">
      <c r="A3245" s="4" t="s">
        <v>8584</v>
      </c>
      <c r="B3245" s="4" t="s">
        <v>8590</v>
      </c>
      <c r="C3245" s="198" t="s">
        <v>23</v>
      </c>
      <c r="D3245" s="198" t="s">
        <v>2654</v>
      </c>
      <c r="E3245" s="198" t="s">
        <v>82</v>
      </c>
      <c r="F3245" s="4" t="s">
        <v>27</v>
      </c>
      <c r="G3245" s="4" t="s">
        <v>27</v>
      </c>
      <c r="H3245" s="198" t="s">
        <v>521</v>
      </c>
      <c r="I3245" s="198"/>
      <c r="J3245" s="198" t="s">
        <v>2272</v>
      </c>
      <c r="K3245" s="198" t="s">
        <v>2272</v>
      </c>
      <c r="L3245" s="198" t="s">
        <v>2272</v>
      </c>
      <c r="M3245" s="198" t="s">
        <v>2272</v>
      </c>
      <c r="N3245" s="198" t="s">
        <v>2272</v>
      </c>
      <c r="O3245" s="198" t="s">
        <v>2272</v>
      </c>
      <c r="P3245" s="198" t="s">
        <v>2272</v>
      </c>
      <c r="Q3245" s="198" t="s">
        <v>2272</v>
      </c>
      <c r="R3245" s="198" t="s">
        <v>2272</v>
      </c>
      <c r="S3245" s="198" t="s">
        <v>2272</v>
      </c>
      <c r="T3245" s="198" t="s">
        <v>2272</v>
      </c>
      <c r="U3245" s="198" t="s">
        <v>2272</v>
      </c>
      <c r="V3245" s="198" t="s">
        <v>2272</v>
      </c>
      <c r="W3245" s="198" t="s">
        <v>2272</v>
      </c>
      <c r="X3245" s="198" t="s">
        <v>2272</v>
      </c>
      <c r="Y3245" s="198" t="s">
        <v>2272</v>
      </c>
      <c r="Z3245" s="198" t="s">
        <v>2272</v>
      </c>
      <c r="AA3245" s="198" t="s">
        <v>33</v>
      </c>
      <c r="AB3245" s="198" t="s">
        <v>402</v>
      </c>
      <c r="AC3245" s="198" t="s">
        <v>63</v>
      </c>
      <c r="AD3245" s="198"/>
      <c r="AE3245" s="198"/>
    </row>
    <row r="3246" spans="1:31" ht="46.5" customHeight="1">
      <c r="A3246" s="4" t="s">
        <v>8594</v>
      </c>
      <c r="B3246" s="4" t="s">
        <v>8596</v>
      </c>
      <c r="C3246" s="198" t="s">
        <v>23</v>
      </c>
      <c r="D3246" s="198" t="s">
        <v>2654</v>
      </c>
      <c r="E3246" s="198" t="s">
        <v>2272</v>
      </c>
      <c r="F3246" s="4" t="s">
        <v>27</v>
      </c>
      <c r="G3246" s="198" t="s">
        <v>2272</v>
      </c>
      <c r="H3246" s="198" t="s">
        <v>521</v>
      </c>
      <c r="I3246" s="198"/>
      <c r="J3246" s="198" t="s">
        <v>2272</v>
      </c>
      <c r="K3246" s="198" t="s">
        <v>2272</v>
      </c>
      <c r="L3246" s="198" t="s">
        <v>2272</v>
      </c>
      <c r="M3246" s="198" t="s">
        <v>2272</v>
      </c>
      <c r="N3246" s="198" t="s">
        <v>2272</v>
      </c>
      <c r="O3246" s="198" t="s">
        <v>2272</v>
      </c>
      <c r="P3246" s="198" t="s">
        <v>2272</v>
      </c>
      <c r="Q3246" s="198" t="s">
        <v>2272</v>
      </c>
      <c r="R3246" s="198" t="s">
        <v>2272</v>
      </c>
      <c r="S3246" s="198" t="s">
        <v>2272</v>
      </c>
      <c r="T3246" s="198" t="s">
        <v>2272</v>
      </c>
      <c r="U3246" s="198" t="s">
        <v>2272</v>
      </c>
      <c r="V3246" s="21">
        <v>20.8</v>
      </c>
      <c r="W3246" s="198" t="s">
        <v>2272</v>
      </c>
      <c r="X3246" s="198" t="s">
        <v>2272</v>
      </c>
      <c r="Y3246" s="198" t="s">
        <v>2272</v>
      </c>
      <c r="Z3246" s="198" t="s">
        <v>2272</v>
      </c>
      <c r="AA3246" s="198" t="s">
        <v>84</v>
      </c>
      <c r="AB3246" s="198" t="s">
        <v>34</v>
      </c>
      <c r="AC3246" s="198" t="s">
        <v>2272</v>
      </c>
      <c r="AD3246" s="198"/>
      <c r="AE3246" s="198"/>
    </row>
    <row r="3247" spans="1:31" ht="46.5" customHeight="1">
      <c r="A3247" s="4" t="s">
        <v>8597</v>
      </c>
      <c r="B3247" s="4" t="s">
        <v>8609</v>
      </c>
      <c r="C3247" s="198" t="s">
        <v>23</v>
      </c>
      <c r="D3247" s="198" t="s">
        <v>2654</v>
      </c>
      <c r="E3247" s="198" t="s">
        <v>2272</v>
      </c>
      <c r="F3247" s="4" t="s">
        <v>27</v>
      </c>
      <c r="G3247" s="198" t="s">
        <v>2272</v>
      </c>
      <c r="H3247" s="198" t="s">
        <v>521</v>
      </c>
      <c r="I3247" s="198"/>
      <c r="J3247" s="198" t="s">
        <v>2272</v>
      </c>
      <c r="K3247" s="198" t="s">
        <v>2272</v>
      </c>
      <c r="L3247" s="198" t="s">
        <v>2272</v>
      </c>
      <c r="M3247" s="198" t="s">
        <v>2272</v>
      </c>
      <c r="N3247" s="198" t="s">
        <v>2272</v>
      </c>
      <c r="O3247" s="198" t="s">
        <v>2272</v>
      </c>
      <c r="P3247" s="198" t="s">
        <v>2272</v>
      </c>
      <c r="Q3247" s="198" t="s">
        <v>2272</v>
      </c>
      <c r="R3247" s="198" t="s">
        <v>2272</v>
      </c>
      <c r="S3247" s="198" t="s">
        <v>2272</v>
      </c>
      <c r="T3247" s="198" t="s">
        <v>2272</v>
      </c>
      <c r="U3247" s="198" t="s">
        <v>2272</v>
      </c>
      <c r="V3247" s="198" t="s">
        <v>2272</v>
      </c>
      <c r="W3247" s="198" t="s">
        <v>2272</v>
      </c>
      <c r="X3247" s="198" t="s">
        <v>2272</v>
      </c>
      <c r="Y3247" s="198" t="s">
        <v>2272</v>
      </c>
      <c r="Z3247" s="198" t="s">
        <v>2272</v>
      </c>
      <c r="AA3247" s="198" t="s">
        <v>84</v>
      </c>
      <c r="AB3247" s="198" t="s">
        <v>67</v>
      </c>
      <c r="AC3247" s="198" t="s">
        <v>2272</v>
      </c>
      <c r="AD3247" s="198"/>
      <c r="AE3247" s="198"/>
    </row>
    <row r="3248" spans="1:31" ht="46.5" customHeight="1">
      <c r="A3248" s="4" t="s">
        <v>8598</v>
      </c>
      <c r="B3248" s="4" t="s">
        <v>8610</v>
      </c>
      <c r="C3248" s="198" t="s">
        <v>23</v>
      </c>
      <c r="D3248" s="198" t="s">
        <v>2654</v>
      </c>
      <c r="E3248" s="198" t="s">
        <v>2272</v>
      </c>
      <c r="F3248" s="4" t="s">
        <v>27</v>
      </c>
      <c r="G3248" s="198" t="s">
        <v>2272</v>
      </c>
      <c r="H3248" s="198" t="s">
        <v>521</v>
      </c>
      <c r="I3248" s="198"/>
      <c r="J3248" s="198" t="s">
        <v>2272</v>
      </c>
      <c r="K3248" s="198" t="s">
        <v>2272</v>
      </c>
      <c r="L3248" s="198" t="s">
        <v>2272</v>
      </c>
      <c r="M3248" s="198" t="s">
        <v>2272</v>
      </c>
      <c r="N3248" s="198" t="s">
        <v>2272</v>
      </c>
      <c r="O3248" s="198" t="s">
        <v>2272</v>
      </c>
      <c r="P3248" s="198" t="s">
        <v>2272</v>
      </c>
      <c r="Q3248" s="198" t="s">
        <v>2272</v>
      </c>
      <c r="R3248" s="198" t="s">
        <v>2272</v>
      </c>
      <c r="S3248" s="198" t="s">
        <v>2272</v>
      </c>
      <c r="T3248" s="198" t="s">
        <v>2272</v>
      </c>
      <c r="U3248" s="198" t="s">
        <v>2272</v>
      </c>
      <c r="V3248" s="198" t="s">
        <v>2272</v>
      </c>
      <c r="W3248" s="198" t="s">
        <v>2272</v>
      </c>
      <c r="X3248" s="198" t="s">
        <v>2272</v>
      </c>
      <c r="Y3248" s="198" t="s">
        <v>2272</v>
      </c>
      <c r="Z3248" s="198" t="s">
        <v>2272</v>
      </c>
      <c r="AA3248" s="198" t="s">
        <v>84</v>
      </c>
      <c r="AB3248" s="198" t="s">
        <v>67</v>
      </c>
      <c r="AC3248" s="198" t="s">
        <v>2272</v>
      </c>
      <c r="AD3248" s="198"/>
      <c r="AE3248" s="198"/>
    </row>
    <row r="3249" spans="1:31" ht="46.5" customHeight="1">
      <c r="A3249" s="4" t="s">
        <v>8599</v>
      </c>
      <c r="B3249" s="4" t="s">
        <v>8611</v>
      </c>
      <c r="C3249" s="198" t="s">
        <v>23</v>
      </c>
      <c r="D3249" s="198" t="s">
        <v>2654</v>
      </c>
      <c r="E3249" s="198" t="s">
        <v>2272</v>
      </c>
      <c r="F3249" s="4" t="s">
        <v>27</v>
      </c>
      <c r="G3249" s="198" t="s">
        <v>2272</v>
      </c>
      <c r="H3249" s="198" t="s">
        <v>521</v>
      </c>
      <c r="I3249" s="198"/>
      <c r="J3249" s="198" t="s">
        <v>2272</v>
      </c>
      <c r="K3249" s="198" t="s">
        <v>2272</v>
      </c>
      <c r="L3249" s="198" t="s">
        <v>2272</v>
      </c>
      <c r="M3249" s="198" t="s">
        <v>2272</v>
      </c>
      <c r="N3249" s="198" t="s">
        <v>2272</v>
      </c>
      <c r="O3249" s="198" t="s">
        <v>2272</v>
      </c>
      <c r="P3249" s="198" t="s">
        <v>2272</v>
      </c>
      <c r="Q3249" s="198" t="s">
        <v>2272</v>
      </c>
      <c r="R3249" s="198" t="s">
        <v>2272</v>
      </c>
      <c r="S3249" s="198" t="s">
        <v>2272</v>
      </c>
      <c r="T3249" s="198" t="s">
        <v>2272</v>
      </c>
      <c r="U3249" s="198" t="s">
        <v>2272</v>
      </c>
      <c r="V3249" s="198" t="s">
        <v>2272</v>
      </c>
      <c r="W3249" s="198" t="s">
        <v>2272</v>
      </c>
      <c r="X3249" s="198" t="s">
        <v>2272</v>
      </c>
      <c r="Y3249" s="198" t="s">
        <v>2272</v>
      </c>
      <c r="Z3249" s="198" t="s">
        <v>2272</v>
      </c>
      <c r="AA3249" s="198" t="s">
        <v>84</v>
      </c>
      <c r="AB3249" s="198" t="s">
        <v>67</v>
      </c>
      <c r="AC3249" s="198" t="s">
        <v>2272</v>
      </c>
      <c r="AD3249" s="198"/>
      <c r="AE3249" s="198"/>
    </row>
    <row r="3250" spans="1:31" ht="46.5" customHeight="1">
      <c r="A3250" s="4" t="s">
        <v>8600</v>
      </c>
      <c r="B3250" s="4" t="s">
        <v>8612</v>
      </c>
      <c r="C3250" s="198" t="s">
        <v>23</v>
      </c>
      <c r="D3250" s="198" t="s">
        <v>2654</v>
      </c>
      <c r="E3250" s="198" t="s">
        <v>2272</v>
      </c>
      <c r="F3250" s="4" t="s">
        <v>27</v>
      </c>
      <c r="G3250" s="198" t="s">
        <v>2272</v>
      </c>
      <c r="H3250" s="198" t="s">
        <v>521</v>
      </c>
      <c r="I3250" s="198"/>
      <c r="J3250" s="198" t="s">
        <v>2272</v>
      </c>
      <c r="K3250" s="198" t="s">
        <v>2272</v>
      </c>
      <c r="L3250" s="198" t="s">
        <v>2272</v>
      </c>
      <c r="M3250" s="198" t="s">
        <v>2272</v>
      </c>
      <c r="N3250" s="198" t="s">
        <v>2272</v>
      </c>
      <c r="O3250" s="198" t="s">
        <v>2272</v>
      </c>
      <c r="P3250" s="198" t="s">
        <v>2272</v>
      </c>
      <c r="Q3250" s="198" t="s">
        <v>2272</v>
      </c>
      <c r="R3250" s="198" t="s">
        <v>2272</v>
      </c>
      <c r="S3250" s="198" t="s">
        <v>2272</v>
      </c>
      <c r="T3250" s="198" t="s">
        <v>2272</v>
      </c>
      <c r="U3250" s="198" t="s">
        <v>2272</v>
      </c>
      <c r="V3250" s="198" t="s">
        <v>2272</v>
      </c>
      <c r="W3250" s="198" t="s">
        <v>2272</v>
      </c>
      <c r="X3250" s="198" t="s">
        <v>2272</v>
      </c>
      <c r="Y3250" s="198" t="s">
        <v>2272</v>
      </c>
      <c r="Z3250" s="198" t="s">
        <v>2272</v>
      </c>
      <c r="AA3250" s="198" t="s">
        <v>84</v>
      </c>
      <c r="AB3250" s="198" t="s">
        <v>67</v>
      </c>
      <c r="AC3250" s="198" t="s">
        <v>2272</v>
      </c>
      <c r="AD3250" s="198"/>
      <c r="AE3250" s="198"/>
    </row>
    <row r="3251" spans="1:31" ht="46.5" customHeight="1">
      <c r="A3251" s="4" t="s">
        <v>8601</v>
      </c>
      <c r="B3251" s="4" t="s">
        <v>8613</v>
      </c>
      <c r="C3251" s="198" t="s">
        <v>23</v>
      </c>
      <c r="D3251" s="198" t="s">
        <v>2654</v>
      </c>
      <c r="E3251" s="198" t="s">
        <v>2272</v>
      </c>
      <c r="F3251" s="4" t="s">
        <v>27</v>
      </c>
      <c r="G3251" s="198" t="s">
        <v>2272</v>
      </c>
      <c r="H3251" s="198" t="s">
        <v>521</v>
      </c>
      <c r="I3251" s="198"/>
      <c r="J3251" s="198" t="s">
        <v>2272</v>
      </c>
      <c r="K3251" s="198" t="s">
        <v>2272</v>
      </c>
      <c r="L3251" s="198" t="s">
        <v>2272</v>
      </c>
      <c r="M3251" s="198" t="s">
        <v>2272</v>
      </c>
      <c r="N3251" s="198" t="s">
        <v>2272</v>
      </c>
      <c r="O3251" s="198" t="s">
        <v>2272</v>
      </c>
      <c r="P3251" s="198" t="s">
        <v>2272</v>
      </c>
      <c r="Q3251" s="198" t="s">
        <v>2272</v>
      </c>
      <c r="R3251" s="198" t="s">
        <v>2272</v>
      </c>
      <c r="S3251" s="198" t="s">
        <v>2272</v>
      </c>
      <c r="T3251" s="198" t="s">
        <v>2272</v>
      </c>
      <c r="U3251" s="198" t="s">
        <v>2272</v>
      </c>
      <c r="V3251" s="198" t="s">
        <v>2272</v>
      </c>
      <c r="W3251" s="198" t="s">
        <v>2272</v>
      </c>
      <c r="X3251" s="198" t="s">
        <v>2272</v>
      </c>
      <c r="Y3251" s="198" t="s">
        <v>2272</v>
      </c>
      <c r="Z3251" s="198" t="s">
        <v>2272</v>
      </c>
      <c r="AA3251" s="198" t="s">
        <v>33</v>
      </c>
      <c r="AB3251" s="198" t="s">
        <v>33</v>
      </c>
      <c r="AC3251" s="198" t="s">
        <v>2272</v>
      </c>
      <c r="AD3251" s="198"/>
      <c r="AE3251" s="198"/>
    </row>
    <row r="3252" spans="1:31" ht="46.5" customHeight="1">
      <c r="A3252" s="4" t="s">
        <v>8602</v>
      </c>
      <c r="B3252" s="4" t="s">
        <v>8614</v>
      </c>
      <c r="C3252" s="198" t="s">
        <v>23</v>
      </c>
      <c r="D3252" s="198" t="s">
        <v>2654</v>
      </c>
      <c r="E3252" s="198" t="s">
        <v>2272</v>
      </c>
      <c r="F3252" s="4" t="s">
        <v>27</v>
      </c>
      <c r="G3252" s="198" t="s">
        <v>2272</v>
      </c>
      <c r="H3252" s="198" t="s">
        <v>521</v>
      </c>
      <c r="I3252" s="198"/>
      <c r="J3252" s="198" t="s">
        <v>2272</v>
      </c>
      <c r="K3252" s="198" t="s">
        <v>2272</v>
      </c>
      <c r="L3252" s="198" t="s">
        <v>2272</v>
      </c>
      <c r="M3252" s="198" t="s">
        <v>2272</v>
      </c>
      <c r="N3252" s="198" t="s">
        <v>2272</v>
      </c>
      <c r="O3252" s="198" t="s">
        <v>2272</v>
      </c>
      <c r="P3252" s="198" t="s">
        <v>2272</v>
      </c>
      <c r="Q3252" s="198" t="s">
        <v>2272</v>
      </c>
      <c r="R3252" s="198" t="s">
        <v>2272</v>
      </c>
      <c r="S3252" s="198" t="s">
        <v>2272</v>
      </c>
      <c r="T3252" s="198" t="s">
        <v>2272</v>
      </c>
      <c r="U3252" s="198" t="s">
        <v>2272</v>
      </c>
      <c r="V3252" s="198" t="s">
        <v>2272</v>
      </c>
      <c r="W3252" s="198" t="s">
        <v>2272</v>
      </c>
      <c r="X3252" s="198" t="s">
        <v>2272</v>
      </c>
      <c r="Y3252" s="198" t="s">
        <v>2272</v>
      </c>
      <c r="Z3252" s="198" t="s">
        <v>2272</v>
      </c>
      <c r="AA3252" s="198" t="s">
        <v>33</v>
      </c>
      <c r="AB3252" s="198" t="s">
        <v>33</v>
      </c>
      <c r="AC3252" s="198" t="s">
        <v>2272</v>
      </c>
      <c r="AD3252" s="198"/>
      <c r="AE3252" s="198"/>
    </row>
    <row r="3253" spans="1:31" ht="40" customHeight="1">
      <c r="A3253" s="4" t="s">
        <v>8601</v>
      </c>
      <c r="B3253" s="4" t="s">
        <v>8615</v>
      </c>
      <c r="C3253" s="198" t="s">
        <v>23</v>
      </c>
      <c r="D3253" s="198" t="s">
        <v>2654</v>
      </c>
      <c r="E3253" s="198" t="s">
        <v>2272</v>
      </c>
      <c r="F3253" s="4" t="s">
        <v>27</v>
      </c>
      <c r="G3253" s="198" t="s">
        <v>2272</v>
      </c>
      <c r="H3253" s="198" t="s">
        <v>521</v>
      </c>
      <c r="I3253" s="198"/>
      <c r="J3253" s="198" t="s">
        <v>2272</v>
      </c>
      <c r="K3253" s="198" t="s">
        <v>2272</v>
      </c>
      <c r="L3253" s="198" t="s">
        <v>2272</v>
      </c>
      <c r="M3253" s="198" t="s">
        <v>2272</v>
      </c>
      <c r="N3253" s="198" t="s">
        <v>2272</v>
      </c>
      <c r="O3253" s="198" t="s">
        <v>2272</v>
      </c>
      <c r="P3253" s="198" t="s">
        <v>2272</v>
      </c>
      <c r="Q3253" s="198" t="s">
        <v>2272</v>
      </c>
      <c r="R3253" s="198" t="s">
        <v>2272</v>
      </c>
      <c r="S3253" s="198" t="s">
        <v>2272</v>
      </c>
      <c r="T3253" s="198" t="s">
        <v>2272</v>
      </c>
      <c r="U3253" s="198" t="s">
        <v>2272</v>
      </c>
      <c r="V3253" s="198" t="s">
        <v>2272</v>
      </c>
      <c r="W3253" s="198" t="s">
        <v>2272</v>
      </c>
      <c r="X3253" s="198" t="s">
        <v>2272</v>
      </c>
      <c r="Y3253" s="198" t="s">
        <v>2272</v>
      </c>
      <c r="Z3253" s="198" t="s">
        <v>2272</v>
      </c>
      <c r="AA3253" s="198" t="s">
        <v>67</v>
      </c>
      <c r="AB3253" s="198" t="s">
        <v>34</v>
      </c>
      <c r="AC3253" s="198" t="s">
        <v>2272</v>
      </c>
      <c r="AD3253" s="198"/>
      <c r="AE3253" s="198"/>
    </row>
    <row r="3254" spans="1:31" ht="42" customHeight="1">
      <c r="A3254" s="4" t="s">
        <v>8602</v>
      </c>
      <c r="B3254" s="4" t="s">
        <v>8616</v>
      </c>
      <c r="C3254" s="198" t="s">
        <v>23</v>
      </c>
      <c r="D3254" s="198" t="s">
        <v>2654</v>
      </c>
      <c r="E3254" s="198" t="s">
        <v>2272</v>
      </c>
      <c r="F3254" s="4" t="s">
        <v>27</v>
      </c>
      <c r="G3254" s="198" t="s">
        <v>2272</v>
      </c>
      <c r="H3254" s="198" t="s">
        <v>521</v>
      </c>
      <c r="I3254" s="198"/>
      <c r="J3254" s="198" t="s">
        <v>2272</v>
      </c>
      <c r="K3254" s="198" t="s">
        <v>2272</v>
      </c>
      <c r="L3254" s="198" t="s">
        <v>2272</v>
      </c>
      <c r="M3254" s="198" t="s">
        <v>2272</v>
      </c>
      <c r="N3254" s="198" t="s">
        <v>2272</v>
      </c>
      <c r="O3254" s="198" t="s">
        <v>2272</v>
      </c>
      <c r="P3254" s="198" t="s">
        <v>2272</v>
      </c>
      <c r="Q3254" s="198" t="s">
        <v>2272</v>
      </c>
      <c r="R3254" s="198" t="s">
        <v>2272</v>
      </c>
      <c r="S3254" s="198" t="s">
        <v>2272</v>
      </c>
      <c r="T3254" s="198" t="s">
        <v>2272</v>
      </c>
      <c r="U3254" s="198" t="s">
        <v>2272</v>
      </c>
      <c r="V3254" s="198" t="s">
        <v>2272</v>
      </c>
      <c r="W3254" s="198" t="s">
        <v>2272</v>
      </c>
      <c r="X3254" s="198" t="s">
        <v>2272</v>
      </c>
      <c r="Y3254" s="198" t="s">
        <v>2272</v>
      </c>
      <c r="Z3254" s="198" t="s">
        <v>2272</v>
      </c>
      <c r="AA3254" s="198" t="s">
        <v>67</v>
      </c>
      <c r="AB3254" s="198" t="s">
        <v>34</v>
      </c>
      <c r="AC3254" s="198" t="s">
        <v>2272</v>
      </c>
      <c r="AD3254" s="198"/>
      <c r="AE3254" s="198"/>
    </row>
    <row r="3255" spans="1:31" ht="29" customHeight="1">
      <c r="A3255" s="4" t="s">
        <v>8619</v>
      </c>
      <c r="B3255" s="4" t="s">
        <v>8624</v>
      </c>
      <c r="C3255" s="198" t="s">
        <v>23</v>
      </c>
      <c r="D3255" s="198" t="s">
        <v>2654</v>
      </c>
      <c r="E3255" s="198" t="s">
        <v>2272</v>
      </c>
      <c r="F3255" s="4" t="s">
        <v>27</v>
      </c>
      <c r="G3255" s="198" t="s">
        <v>2272</v>
      </c>
      <c r="H3255" s="198" t="s">
        <v>521</v>
      </c>
      <c r="I3255" s="198"/>
      <c r="J3255" s="198" t="s">
        <v>2272</v>
      </c>
      <c r="K3255" s="198" t="s">
        <v>2272</v>
      </c>
      <c r="L3255" s="198" t="s">
        <v>2272</v>
      </c>
      <c r="M3255" s="198" t="s">
        <v>2272</v>
      </c>
      <c r="N3255" s="198" t="s">
        <v>2272</v>
      </c>
      <c r="O3255" s="198" t="s">
        <v>2272</v>
      </c>
      <c r="P3255" s="198" t="s">
        <v>2272</v>
      </c>
      <c r="Q3255" s="198" t="s">
        <v>2272</v>
      </c>
      <c r="R3255" s="198" t="s">
        <v>2272</v>
      </c>
      <c r="S3255" s="198" t="s">
        <v>2272</v>
      </c>
      <c r="T3255" s="198" t="s">
        <v>2272</v>
      </c>
      <c r="U3255" s="198" t="s">
        <v>2272</v>
      </c>
      <c r="V3255" s="198" t="s">
        <v>2272</v>
      </c>
      <c r="W3255" s="198" t="s">
        <v>2272</v>
      </c>
      <c r="X3255" s="198" t="s">
        <v>2272</v>
      </c>
      <c r="Y3255" s="198" t="s">
        <v>2272</v>
      </c>
      <c r="Z3255" s="198" t="s">
        <v>2272</v>
      </c>
      <c r="AA3255" s="198" t="s">
        <v>2272</v>
      </c>
      <c r="AB3255" s="198" t="s">
        <v>2272</v>
      </c>
      <c r="AC3255" s="198" t="s">
        <v>2272</v>
      </c>
      <c r="AD3255" s="198"/>
      <c r="AE3255" s="198"/>
    </row>
    <row r="3256" spans="1:31" ht="29" customHeight="1">
      <c r="A3256" s="4" t="s">
        <v>8623</v>
      </c>
      <c r="B3256" s="4" t="s">
        <v>8625</v>
      </c>
      <c r="C3256" s="198" t="s">
        <v>23</v>
      </c>
      <c r="D3256" s="198" t="s">
        <v>2654</v>
      </c>
      <c r="E3256" s="198" t="s">
        <v>82</v>
      </c>
      <c r="F3256" s="4" t="s">
        <v>27</v>
      </c>
      <c r="G3256" s="198" t="s">
        <v>2272</v>
      </c>
      <c r="H3256" s="198" t="s">
        <v>521</v>
      </c>
      <c r="I3256" s="198"/>
      <c r="J3256" s="198" t="s">
        <v>2272</v>
      </c>
      <c r="K3256" s="198" t="s">
        <v>2272</v>
      </c>
      <c r="L3256" s="198" t="s">
        <v>2272</v>
      </c>
      <c r="M3256" s="198" t="s">
        <v>2272</v>
      </c>
      <c r="N3256" s="198" t="s">
        <v>2272</v>
      </c>
      <c r="O3256" s="198" t="s">
        <v>2272</v>
      </c>
      <c r="P3256" s="198" t="s">
        <v>2272</v>
      </c>
      <c r="Q3256" s="198" t="s">
        <v>2272</v>
      </c>
      <c r="R3256" s="198" t="s">
        <v>2272</v>
      </c>
      <c r="S3256" s="198" t="s">
        <v>2272</v>
      </c>
      <c r="T3256" s="198" t="s">
        <v>2272</v>
      </c>
      <c r="U3256" s="198" t="s">
        <v>2272</v>
      </c>
      <c r="V3256" s="198" t="s">
        <v>2272</v>
      </c>
      <c r="W3256" s="198" t="s">
        <v>2272</v>
      </c>
      <c r="X3256" s="198" t="s">
        <v>2272</v>
      </c>
      <c r="Y3256" s="198" t="s">
        <v>2272</v>
      </c>
      <c r="Z3256" s="198" t="s">
        <v>2272</v>
      </c>
      <c r="AA3256" s="198" t="s">
        <v>2272</v>
      </c>
      <c r="AB3256" s="198" t="s">
        <v>2272</v>
      </c>
      <c r="AC3256" s="198" t="s">
        <v>2272</v>
      </c>
      <c r="AD3256" s="198"/>
      <c r="AE3256" s="198"/>
    </row>
    <row r="3257" spans="1:31" ht="29" customHeight="1">
      <c r="A3257" s="4" t="s">
        <v>8622</v>
      </c>
      <c r="B3257" s="4" t="s">
        <v>8626</v>
      </c>
      <c r="C3257" s="198" t="s">
        <v>23</v>
      </c>
      <c r="D3257" s="198" t="s">
        <v>2654</v>
      </c>
      <c r="E3257" s="198" t="s">
        <v>82</v>
      </c>
      <c r="F3257" s="4" t="s">
        <v>27</v>
      </c>
      <c r="G3257" s="198" t="s">
        <v>2272</v>
      </c>
      <c r="H3257" s="198" t="s">
        <v>521</v>
      </c>
      <c r="I3257" s="198"/>
      <c r="J3257" s="198" t="s">
        <v>2272</v>
      </c>
      <c r="K3257" s="198" t="s">
        <v>2272</v>
      </c>
      <c r="L3257" s="198" t="s">
        <v>2272</v>
      </c>
      <c r="M3257" s="198" t="s">
        <v>2272</v>
      </c>
      <c r="N3257" s="198" t="s">
        <v>2272</v>
      </c>
      <c r="O3257" s="198" t="s">
        <v>2272</v>
      </c>
      <c r="P3257" s="198" t="s">
        <v>2272</v>
      </c>
      <c r="Q3257" s="198" t="s">
        <v>2272</v>
      </c>
      <c r="R3257" s="198" t="s">
        <v>2272</v>
      </c>
      <c r="S3257" s="198" t="s">
        <v>2272</v>
      </c>
      <c r="T3257" s="198" t="s">
        <v>2272</v>
      </c>
      <c r="U3257" s="198" t="s">
        <v>2272</v>
      </c>
      <c r="V3257" s="198" t="s">
        <v>2272</v>
      </c>
      <c r="W3257" s="198" t="s">
        <v>2272</v>
      </c>
      <c r="X3257" s="198" t="s">
        <v>2272</v>
      </c>
      <c r="Y3257" s="198" t="s">
        <v>2272</v>
      </c>
      <c r="Z3257" s="198" t="s">
        <v>2272</v>
      </c>
      <c r="AA3257" s="198" t="s">
        <v>2272</v>
      </c>
      <c r="AB3257" s="198" t="s">
        <v>2272</v>
      </c>
      <c r="AC3257" s="198" t="s">
        <v>2272</v>
      </c>
      <c r="AD3257" s="198"/>
      <c r="AE3257" s="198"/>
    </row>
    <row r="3258" spans="1:31" ht="33.5" customHeight="1">
      <c r="A3258" s="4" t="s">
        <v>8630</v>
      </c>
      <c r="B3258" s="4" t="s">
        <v>8631</v>
      </c>
      <c r="C3258" s="198" t="s">
        <v>23</v>
      </c>
      <c r="D3258" s="198" t="s">
        <v>2654</v>
      </c>
      <c r="E3258" s="198" t="s">
        <v>2272</v>
      </c>
      <c r="F3258" s="4" t="s">
        <v>27</v>
      </c>
      <c r="G3258" s="198" t="s">
        <v>2272</v>
      </c>
      <c r="H3258" s="198" t="s">
        <v>521</v>
      </c>
      <c r="I3258" s="198"/>
      <c r="J3258" s="198" t="s">
        <v>2272</v>
      </c>
      <c r="K3258" s="198" t="s">
        <v>2272</v>
      </c>
      <c r="L3258" s="198" t="s">
        <v>2272</v>
      </c>
      <c r="M3258" s="198" t="s">
        <v>2272</v>
      </c>
      <c r="N3258" s="198" t="s">
        <v>2272</v>
      </c>
      <c r="O3258" s="198" t="s">
        <v>2272</v>
      </c>
      <c r="P3258" s="198" t="s">
        <v>2272</v>
      </c>
      <c r="Q3258" s="198" t="s">
        <v>2272</v>
      </c>
      <c r="R3258" s="198" t="s">
        <v>2272</v>
      </c>
      <c r="S3258" s="198" t="s">
        <v>2272</v>
      </c>
      <c r="T3258" s="198" t="s">
        <v>2272</v>
      </c>
      <c r="U3258" s="21">
        <f>0.25*130000000</f>
        <v>32500000</v>
      </c>
      <c r="V3258" s="21">
        <f>20.5</f>
        <v>20.5</v>
      </c>
      <c r="W3258" s="198" t="s">
        <v>2272</v>
      </c>
      <c r="X3258" s="21">
        <f>$U3258/'Record info'!$K1351</f>
        <v>3.3864749400854435</v>
      </c>
      <c r="Y3258" s="198" t="s">
        <v>2272</v>
      </c>
      <c r="Z3258" s="198" t="s">
        <v>2272</v>
      </c>
      <c r="AA3258" s="198" t="s">
        <v>2272</v>
      </c>
      <c r="AB3258" s="198" t="s">
        <v>2272</v>
      </c>
      <c r="AC3258" s="198" t="s">
        <v>2272</v>
      </c>
      <c r="AD3258" s="198"/>
      <c r="AE3258" s="198"/>
    </row>
    <row r="3259" spans="1:31" ht="52.5" customHeight="1">
      <c r="A3259" s="4" t="s">
        <v>8634</v>
      </c>
      <c r="B3259" s="4" t="s">
        <v>8637</v>
      </c>
      <c r="C3259" s="198" t="s">
        <v>23</v>
      </c>
      <c r="D3259" s="198" t="s">
        <v>2654</v>
      </c>
      <c r="E3259" s="4" t="s">
        <v>3849</v>
      </c>
      <c r="F3259" s="4" t="s">
        <v>27</v>
      </c>
      <c r="G3259" s="198" t="s">
        <v>2272</v>
      </c>
      <c r="H3259" s="198" t="s">
        <v>522</v>
      </c>
      <c r="I3259" s="198"/>
      <c r="J3259" s="21">
        <v>0</v>
      </c>
      <c r="K3259" s="21">
        <v>0</v>
      </c>
      <c r="L3259" s="21">
        <v>0</v>
      </c>
      <c r="M3259" s="21">
        <v>0</v>
      </c>
      <c r="N3259" s="21">
        <v>0</v>
      </c>
      <c r="O3259" s="21">
        <v>0</v>
      </c>
      <c r="P3259" s="21">
        <v>0</v>
      </c>
      <c r="Q3259" s="21">
        <v>0</v>
      </c>
      <c r="R3259" s="21">
        <v>0</v>
      </c>
      <c r="S3259" s="21">
        <v>0</v>
      </c>
      <c r="T3259" s="21">
        <v>0</v>
      </c>
      <c r="U3259" s="21">
        <v>0</v>
      </c>
      <c r="V3259" s="21">
        <v>0</v>
      </c>
      <c r="W3259" s="21">
        <v>0</v>
      </c>
      <c r="X3259" s="21">
        <v>0</v>
      </c>
      <c r="Y3259" s="198" t="s">
        <v>2272</v>
      </c>
      <c r="Z3259" s="198" t="s">
        <v>2272</v>
      </c>
      <c r="AA3259" s="198" t="s">
        <v>2272</v>
      </c>
      <c r="AB3259" s="198" t="s">
        <v>2272</v>
      </c>
      <c r="AC3259" s="198" t="s">
        <v>2272</v>
      </c>
      <c r="AD3259" s="4" t="s">
        <v>8638</v>
      </c>
      <c r="AE3259" s="198"/>
    </row>
    <row r="3260" spans="1:31" ht="52.5" customHeight="1">
      <c r="A3260" s="4" t="s">
        <v>8634</v>
      </c>
      <c r="B3260" s="4" t="s">
        <v>8639</v>
      </c>
      <c r="C3260" s="198" t="s">
        <v>23</v>
      </c>
      <c r="D3260" s="198" t="s">
        <v>2654</v>
      </c>
      <c r="E3260" s="4" t="s">
        <v>3849</v>
      </c>
      <c r="F3260" s="4" t="s">
        <v>27</v>
      </c>
      <c r="G3260" s="198" t="s">
        <v>2272</v>
      </c>
      <c r="H3260" s="198" t="s">
        <v>522</v>
      </c>
      <c r="I3260" s="198"/>
      <c r="J3260" s="21">
        <v>0</v>
      </c>
      <c r="K3260" s="21">
        <v>0</v>
      </c>
      <c r="L3260" s="21">
        <v>0</v>
      </c>
      <c r="M3260" s="21">
        <v>0</v>
      </c>
      <c r="N3260" s="21">
        <v>0</v>
      </c>
      <c r="O3260" s="21">
        <v>0</v>
      </c>
      <c r="P3260" s="21">
        <v>0</v>
      </c>
      <c r="Q3260" s="21">
        <v>0</v>
      </c>
      <c r="R3260" s="21">
        <v>0</v>
      </c>
      <c r="S3260" s="21">
        <v>0</v>
      </c>
      <c r="T3260" s="21">
        <v>0</v>
      </c>
      <c r="U3260" s="21">
        <v>0</v>
      </c>
      <c r="V3260" s="21">
        <v>0</v>
      </c>
      <c r="W3260" s="21">
        <v>0</v>
      </c>
      <c r="X3260" s="21">
        <v>0</v>
      </c>
      <c r="Y3260" s="198" t="s">
        <v>2272</v>
      </c>
      <c r="Z3260" s="198" t="s">
        <v>2272</v>
      </c>
      <c r="AA3260" s="198" t="s">
        <v>2272</v>
      </c>
      <c r="AB3260" s="198" t="s">
        <v>2272</v>
      </c>
      <c r="AC3260" s="198" t="s">
        <v>2272</v>
      </c>
      <c r="AD3260" s="4" t="s">
        <v>8638</v>
      </c>
      <c r="AE3260" s="198"/>
    </row>
    <row r="3261" spans="1:31" ht="41" customHeight="1">
      <c r="A3261" s="4" t="s">
        <v>8641</v>
      </c>
      <c r="B3261" s="4" t="s">
        <v>8645</v>
      </c>
      <c r="C3261" s="198" t="s">
        <v>23</v>
      </c>
      <c r="D3261" s="198" t="s">
        <v>2654</v>
      </c>
      <c r="E3261" s="4" t="s">
        <v>394</v>
      </c>
      <c r="F3261" s="4" t="s">
        <v>27</v>
      </c>
      <c r="G3261" s="198" t="s">
        <v>2272</v>
      </c>
      <c r="H3261" s="198" t="s">
        <v>521</v>
      </c>
      <c r="I3261" s="198"/>
      <c r="J3261" s="198" t="s">
        <v>2272</v>
      </c>
      <c r="K3261" s="198" t="s">
        <v>2272</v>
      </c>
      <c r="L3261" s="198" t="s">
        <v>2272</v>
      </c>
      <c r="M3261" s="21">
        <v>1E-4</v>
      </c>
      <c r="N3261" s="198" t="s">
        <v>2272</v>
      </c>
      <c r="O3261" s="21">
        <v>1.4999999999999999E-2</v>
      </c>
      <c r="P3261" s="198" t="s">
        <v>2272</v>
      </c>
      <c r="Q3261" s="198" t="s">
        <v>2272</v>
      </c>
      <c r="R3261" s="198" t="s">
        <v>2272</v>
      </c>
      <c r="S3261" s="198" t="s">
        <v>2272</v>
      </c>
      <c r="T3261" s="198" t="s">
        <v>2272</v>
      </c>
      <c r="U3261" s="198" t="s">
        <v>2272</v>
      </c>
      <c r="V3261" s="198" t="s">
        <v>2272</v>
      </c>
      <c r="W3261" s="198" t="s">
        <v>2272</v>
      </c>
      <c r="X3261" s="198" t="s">
        <v>2272</v>
      </c>
      <c r="Y3261" s="198" t="s">
        <v>2272</v>
      </c>
      <c r="Z3261" s="198" t="s">
        <v>2272</v>
      </c>
      <c r="AA3261" s="198" t="s">
        <v>33</v>
      </c>
      <c r="AB3261" s="198" t="s">
        <v>33</v>
      </c>
      <c r="AC3261" s="198" t="s">
        <v>2272</v>
      </c>
      <c r="AD3261" s="198"/>
      <c r="AE3261" s="198"/>
    </row>
    <row r="3262" spans="1:31" ht="38" customHeight="1">
      <c r="A3262" s="4" t="s">
        <v>8642</v>
      </c>
      <c r="B3262" s="4" t="s">
        <v>8646</v>
      </c>
      <c r="C3262" s="198" t="s">
        <v>23</v>
      </c>
      <c r="D3262" s="198" t="s">
        <v>2654</v>
      </c>
      <c r="E3262" s="4" t="s">
        <v>394</v>
      </c>
      <c r="F3262" s="4" t="s">
        <v>27</v>
      </c>
      <c r="G3262" s="198" t="s">
        <v>2272</v>
      </c>
      <c r="H3262" s="198" t="s">
        <v>521</v>
      </c>
      <c r="I3262" s="198"/>
      <c r="J3262" s="198" t="s">
        <v>2272</v>
      </c>
      <c r="K3262" s="198" t="s">
        <v>2272</v>
      </c>
      <c r="L3262" s="198" t="s">
        <v>2272</v>
      </c>
      <c r="M3262" s="21">
        <v>1E-4</v>
      </c>
      <c r="N3262" s="198" t="s">
        <v>2272</v>
      </c>
      <c r="O3262" s="21">
        <v>1.4999999999999999E-2</v>
      </c>
      <c r="P3262" s="198" t="s">
        <v>2272</v>
      </c>
      <c r="Q3262" s="198" t="s">
        <v>2272</v>
      </c>
      <c r="R3262" s="198" t="s">
        <v>2272</v>
      </c>
      <c r="S3262" s="198" t="s">
        <v>2272</v>
      </c>
      <c r="T3262" s="198" t="s">
        <v>2272</v>
      </c>
      <c r="U3262" s="198" t="s">
        <v>2272</v>
      </c>
      <c r="V3262" s="198" t="s">
        <v>2272</v>
      </c>
      <c r="W3262" s="198" t="s">
        <v>2272</v>
      </c>
      <c r="X3262" s="198" t="s">
        <v>2272</v>
      </c>
      <c r="Y3262" s="198" t="s">
        <v>2272</v>
      </c>
      <c r="Z3262" s="198" t="s">
        <v>2272</v>
      </c>
      <c r="AA3262" s="198" t="s">
        <v>33</v>
      </c>
      <c r="AB3262" s="198" t="s">
        <v>33</v>
      </c>
      <c r="AC3262" s="198" t="s">
        <v>2272</v>
      </c>
      <c r="AD3262" s="198"/>
      <c r="AE3262" s="198"/>
    </row>
    <row r="3263" spans="1:31" ht="33.5" customHeight="1">
      <c r="A3263" s="4" t="s">
        <v>8641</v>
      </c>
      <c r="B3263" s="4" t="s">
        <v>8647</v>
      </c>
      <c r="C3263" s="198" t="s">
        <v>23</v>
      </c>
      <c r="D3263" s="198" t="s">
        <v>2654</v>
      </c>
      <c r="E3263" s="4" t="s">
        <v>394</v>
      </c>
      <c r="F3263" s="4" t="s">
        <v>27</v>
      </c>
      <c r="G3263" s="198" t="s">
        <v>2272</v>
      </c>
      <c r="H3263" s="198" t="s">
        <v>521</v>
      </c>
      <c r="I3263" s="198"/>
      <c r="J3263" s="198" t="s">
        <v>2272</v>
      </c>
      <c r="K3263" s="198" t="s">
        <v>2272</v>
      </c>
      <c r="L3263" s="198" t="s">
        <v>2272</v>
      </c>
      <c r="M3263" s="198" t="s">
        <v>2272</v>
      </c>
      <c r="N3263" s="198" t="s">
        <v>2272</v>
      </c>
      <c r="O3263" s="198" t="s">
        <v>2272</v>
      </c>
      <c r="P3263" s="198" t="s">
        <v>2272</v>
      </c>
      <c r="Q3263" s="198" t="s">
        <v>2272</v>
      </c>
      <c r="R3263" s="198" t="s">
        <v>2272</v>
      </c>
      <c r="S3263" s="198" t="s">
        <v>2272</v>
      </c>
      <c r="T3263" s="198" t="s">
        <v>2272</v>
      </c>
      <c r="U3263" s="198" t="s">
        <v>2272</v>
      </c>
      <c r="V3263" s="198" t="s">
        <v>2272</v>
      </c>
      <c r="W3263" s="198" t="s">
        <v>2272</v>
      </c>
      <c r="X3263" s="198" t="s">
        <v>2272</v>
      </c>
      <c r="Y3263" s="198" t="s">
        <v>2272</v>
      </c>
      <c r="Z3263" s="198" t="s">
        <v>2272</v>
      </c>
      <c r="AA3263" s="198" t="s">
        <v>67</v>
      </c>
      <c r="AB3263" s="198" t="s">
        <v>67</v>
      </c>
      <c r="AC3263" s="198" t="s">
        <v>2272</v>
      </c>
      <c r="AD3263" s="198"/>
      <c r="AE3263" s="198"/>
    </row>
    <row r="3264" spans="1:31" ht="51" customHeight="1">
      <c r="A3264" s="4" t="s">
        <v>8642</v>
      </c>
      <c r="B3264" s="4" t="s">
        <v>8648</v>
      </c>
      <c r="C3264" s="198" t="s">
        <v>23</v>
      </c>
      <c r="D3264" s="198" t="s">
        <v>2654</v>
      </c>
      <c r="E3264" s="4" t="s">
        <v>394</v>
      </c>
      <c r="F3264" s="4" t="s">
        <v>27</v>
      </c>
      <c r="G3264" s="198" t="s">
        <v>2272</v>
      </c>
      <c r="H3264" s="198" t="s">
        <v>521</v>
      </c>
      <c r="I3264" s="198"/>
      <c r="J3264" s="198" t="s">
        <v>2272</v>
      </c>
      <c r="K3264" s="198" t="s">
        <v>2272</v>
      </c>
      <c r="L3264" s="198" t="s">
        <v>2272</v>
      </c>
      <c r="M3264" s="198" t="s">
        <v>2272</v>
      </c>
      <c r="N3264" s="198" t="s">
        <v>2272</v>
      </c>
      <c r="O3264" s="198" t="s">
        <v>2272</v>
      </c>
      <c r="P3264" s="198" t="s">
        <v>2272</v>
      </c>
      <c r="Q3264" s="198" t="s">
        <v>2272</v>
      </c>
      <c r="R3264" s="198" t="s">
        <v>2272</v>
      </c>
      <c r="S3264" s="198" t="s">
        <v>2272</v>
      </c>
      <c r="T3264" s="198" t="s">
        <v>2272</v>
      </c>
      <c r="U3264" s="198" t="s">
        <v>2272</v>
      </c>
      <c r="V3264" s="198" t="s">
        <v>2272</v>
      </c>
      <c r="W3264" s="198" t="s">
        <v>2272</v>
      </c>
      <c r="X3264" s="198" t="s">
        <v>2272</v>
      </c>
      <c r="Y3264" s="198" t="s">
        <v>2272</v>
      </c>
      <c r="Z3264" s="198" t="s">
        <v>2272</v>
      </c>
      <c r="AA3264" s="198" t="s">
        <v>67</v>
      </c>
      <c r="AB3264" s="198" t="s">
        <v>67</v>
      </c>
      <c r="AC3264" s="198" t="s">
        <v>2272</v>
      </c>
      <c r="AD3264" s="198"/>
      <c r="AE3264" s="198"/>
    </row>
    <row r="3265" spans="1:31" ht="51" customHeight="1">
      <c r="A3265" s="4" t="s">
        <v>8650</v>
      </c>
      <c r="B3265" s="4" t="s">
        <v>8652</v>
      </c>
      <c r="C3265" s="198" t="s">
        <v>23</v>
      </c>
      <c r="D3265" s="198" t="s">
        <v>2654</v>
      </c>
      <c r="E3265" s="198" t="s">
        <v>82</v>
      </c>
      <c r="F3265" s="4" t="s">
        <v>27</v>
      </c>
      <c r="G3265" s="198" t="s">
        <v>2272</v>
      </c>
      <c r="H3265" s="198" t="s">
        <v>521</v>
      </c>
      <c r="I3265" s="198"/>
      <c r="J3265" s="198" t="s">
        <v>2272</v>
      </c>
      <c r="K3265" s="198" t="s">
        <v>2272</v>
      </c>
      <c r="L3265" s="198" t="s">
        <v>2272</v>
      </c>
      <c r="M3265" s="198" t="s">
        <v>2272</v>
      </c>
      <c r="N3265" s="198" t="s">
        <v>2272</v>
      </c>
      <c r="O3265" s="198" t="s">
        <v>2272</v>
      </c>
      <c r="P3265" s="198" t="s">
        <v>2272</v>
      </c>
      <c r="Q3265" s="198" t="s">
        <v>2272</v>
      </c>
      <c r="R3265" s="198" t="s">
        <v>2272</v>
      </c>
      <c r="S3265" s="198" t="s">
        <v>2272</v>
      </c>
      <c r="T3265" s="198" t="s">
        <v>2272</v>
      </c>
      <c r="U3265" s="198" t="s">
        <v>2272</v>
      </c>
      <c r="V3265" s="198" t="s">
        <v>2272</v>
      </c>
      <c r="W3265" s="198" t="s">
        <v>2272</v>
      </c>
      <c r="X3265" s="198" t="s">
        <v>2272</v>
      </c>
      <c r="Y3265" s="198" t="s">
        <v>2272</v>
      </c>
      <c r="Z3265" s="198" t="s">
        <v>2272</v>
      </c>
      <c r="AA3265" s="198" t="s">
        <v>423</v>
      </c>
      <c r="AB3265" s="198" t="s">
        <v>34</v>
      </c>
      <c r="AC3265" s="198" t="s">
        <v>2272</v>
      </c>
      <c r="AD3265" s="198"/>
      <c r="AE3265" s="198"/>
    </row>
    <row r="3266" spans="1:31" ht="31" customHeight="1">
      <c r="A3266" s="4" t="s">
        <v>8655</v>
      </c>
      <c r="B3266" s="4" t="s">
        <v>8663</v>
      </c>
      <c r="C3266" s="198" t="s">
        <v>23</v>
      </c>
      <c r="D3266" s="198" t="s">
        <v>2654</v>
      </c>
      <c r="E3266" s="198" t="s">
        <v>2272</v>
      </c>
      <c r="F3266" s="4" t="s">
        <v>27</v>
      </c>
      <c r="G3266" s="198" t="s">
        <v>2272</v>
      </c>
      <c r="H3266" s="198" t="s">
        <v>521</v>
      </c>
      <c r="I3266" s="198"/>
      <c r="J3266" s="198" t="s">
        <v>2272</v>
      </c>
      <c r="K3266" s="198" t="s">
        <v>2272</v>
      </c>
      <c r="L3266" s="198" t="s">
        <v>2272</v>
      </c>
      <c r="M3266" s="198" t="s">
        <v>2272</v>
      </c>
      <c r="N3266" s="198" t="s">
        <v>2272</v>
      </c>
      <c r="O3266" s="198" t="s">
        <v>2272</v>
      </c>
      <c r="P3266" s="198" t="s">
        <v>2272</v>
      </c>
      <c r="Q3266" s="198" t="s">
        <v>2272</v>
      </c>
      <c r="R3266" s="198" t="s">
        <v>2272</v>
      </c>
      <c r="S3266" s="198" t="s">
        <v>2272</v>
      </c>
      <c r="T3266" s="21">
        <f>$V3266*'Record info'!$K1357</f>
        <v>583423.74999999988</v>
      </c>
      <c r="U3266" s="198" t="s">
        <v>2272</v>
      </c>
      <c r="V3266" s="21">
        <v>23</v>
      </c>
      <c r="W3266" s="198" t="s">
        <v>2272</v>
      </c>
      <c r="X3266" s="198" t="s">
        <v>2272</v>
      </c>
      <c r="Y3266" s="198" t="s">
        <v>2272</v>
      </c>
      <c r="Z3266" s="198" t="s">
        <v>2272</v>
      </c>
      <c r="AA3266" s="198" t="s">
        <v>2272</v>
      </c>
      <c r="AB3266" s="198" t="s">
        <v>2272</v>
      </c>
      <c r="AC3266" s="198" t="s">
        <v>2272</v>
      </c>
      <c r="AD3266" s="198"/>
      <c r="AE3266" s="198"/>
    </row>
    <row r="3267" spans="1:31" ht="31" customHeight="1">
      <c r="A3267" s="4" t="s">
        <v>8656</v>
      </c>
      <c r="B3267" s="4" t="s">
        <v>8664</v>
      </c>
      <c r="C3267" s="198" t="s">
        <v>23</v>
      </c>
      <c r="D3267" s="198" t="s">
        <v>2654</v>
      </c>
      <c r="E3267" s="198" t="s">
        <v>2272</v>
      </c>
      <c r="F3267" s="4" t="s">
        <v>27</v>
      </c>
      <c r="G3267" s="198" t="s">
        <v>2272</v>
      </c>
      <c r="H3267" s="198" t="s">
        <v>521</v>
      </c>
      <c r="I3267" s="198"/>
      <c r="J3267" s="198" t="s">
        <v>2272</v>
      </c>
      <c r="K3267" s="198" t="s">
        <v>2272</v>
      </c>
      <c r="L3267" s="198" t="s">
        <v>2272</v>
      </c>
      <c r="M3267" s="198" t="s">
        <v>2272</v>
      </c>
      <c r="N3267" s="198" t="s">
        <v>2272</v>
      </c>
      <c r="O3267" s="198" t="s">
        <v>2272</v>
      </c>
      <c r="P3267" s="198" t="s">
        <v>2272</v>
      </c>
      <c r="Q3267" s="198" t="s">
        <v>2272</v>
      </c>
      <c r="R3267" s="198" t="s">
        <v>2272</v>
      </c>
      <c r="S3267" s="198" t="s">
        <v>2272</v>
      </c>
      <c r="T3267" s="21">
        <f>$V3267*'Record info'!$K1358</f>
        <v>233162.50000000003</v>
      </c>
      <c r="U3267" s="198" t="s">
        <v>2272</v>
      </c>
      <c r="V3267" s="21">
        <v>23</v>
      </c>
      <c r="W3267" s="198" t="s">
        <v>2272</v>
      </c>
      <c r="X3267" s="198" t="s">
        <v>2272</v>
      </c>
      <c r="Y3267" s="198" t="s">
        <v>2272</v>
      </c>
      <c r="Z3267" s="198" t="s">
        <v>2272</v>
      </c>
      <c r="AA3267" s="198" t="s">
        <v>2272</v>
      </c>
      <c r="AB3267" s="198" t="s">
        <v>2272</v>
      </c>
      <c r="AC3267" s="198" t="s">
        <v>2272</v>
      </c>
      <c r="AD3267" s="198"/>
      <c r="AE3267" s="198"/>
    </row>
    <row r="3268" spans="1:31" ht="31" customHeight="1">
      <c r="A3268" s="4" t="s">
        <v>8657</v>
      </c>
      <c r="B3268" s="4" t="s">
        <v>8665</v>
      </c>
      <c r="C3268" s="198" t="s">
        <v>23</v>
      </c>
      <c r="D3268" s="198" t="s">
        <v>2654</v>
      </c>
      <c r="E3268" s="198" t="s">
        <v>2272</v>
      </c>
      <c r="F3268" s="4" t="s">
        <v>27</v>
      </c>
      <c r="G3268" s="198" t="s">
        <v>2272</v>
      </c>
      <c r="H3268" s="198" t="s">
        <v>521</v>
      </c>
      <c r="I3268" s="198"/>
      <c r="J3268" s="198" t="s">
        <v>2272</v>
      </c>
      <c r="K3268" s="198" t="s">
        <v>2272</v>
      </c>
      <c r="L3268" s="198" t="s">
        <v>2272</v>
      </c>
      <c r="M3268" s="198" t="s">
        <v>2272</v>
      </c>
      <c r="N3268" s="198" t="s">
        <v>2272</v>
      </c>
      <c r="O3268" s="198" t="s">
        <v>2272</v>
      </c>
      <c r="P3268" s="198" t="s">
        <v>2272</v>
      </c>
      <c r="Q3268" s="198" t="s">
        <v>2272</v>
      </c>
      <c r="R3268" s="198" t="s">
        <v>2272</v>
      </c>
      <c r="S3268" s="198" t="s">
        <v>2272</v>
      </c>
      <c r="T3268" s="21">
        <f>$V3268*'Record info'!$K1359</f>
        <v>1339519.9999999998</v>
      </c>
      <c r="U3268" s="198" t="s">
        <v>2272</v>
      </c>
      <c r="V3268" s="21">
        <v>23</v>
      </c>
      <c r="W3268" s="198" t="s">
        <v>2272</v>
      </c>
      <c r="X3268" s="198" t="s">
        <v>2272</v>
      </c>
      <c r="Y3268" s="198" t="s">
        <v>2272</v>
      </c>
      <c r="Z3268" s="198" t="s">
        <v>2272</v>
      </c>
      <c r="AA3268" s="198" t="s">
        <v>2272</v>
      </c>
      <c r="AB3268" s="198" t="s">
        <v>2272</v>
      </c>
      <c r="AC3268" s="198" t="s">
        <v>2272</v>
      </c>
      <c r="AD3268" s="198"/>
      <c r="AE3268" s="198"/>
    </row>
    <row r="3269" spans="1:31" ht="36.5" customHeight="1">
      <c r="A3269" s="4" t="s">
        <v>8659</v>
      </c>
      <c r="B3269" s="4" t="s">
        <v>8667</v>
      </c>
      <c r="C3269" s="198" t="s">
        <v>23</v>
      </c>
      <c r="D3269" s="198" t="s">
        <v>2654</v>
      </c>
      <c r="E3269" s="198" t="s">
        <v>2272</v>
      </c>
      <c r="F3269" s="4" t="s">
        <v>27</v>
      </c>
      <c r="G3269" s="198" t="s">
        <v>2272</v>
      </c>
      <c r="H3269" s="198" t="s">
        <v>521</v>
      </c>
      <c r="I3269" s="198"/>
      <c r="J3269" s="198" t="s">
        <v>2272</v>
      </c>
      <c r="K3269" s="198" t="s">
        <v>2272</v>
      </c>
      <c r="L3269" s="198" t="s">
        <v>2272</v>
      </c>
      <c r="M3269" s="198" t="s">
        <v>2272</v>
      </c>
      <c r="N3269" s="198" t="s">
        <v>2272</v>
      </c>
      <c r="O3269" s="198" t="s">
        <v>2272</v>
      </c>
      <c r="P3269" s="198" t="s">
        <v>2272</v>
      </c>
      <c r="Q3269" s="198" t="s">
        <v>2272</v>
      </c>
      <c r="R3269" s="198" t="s">
        <v>2272</v>
      </c>
      <c r="S3269" s="198" t="s">
        <v>2272</v>
      </c>
      <c r="T3269" s="21">
        <f>$V3269*'Record info'!$K1360</f>
        <v>1603382.3478963082</v>
      </c>
      <c r="U3269" s="198" t="s">
        <v>2272</v>
      </c>
      <c r="V3269" s="21">
        <v>48</v>
      </c>
      <c r="W3269" s="198" t="s">
        <v>2272</v>
      </c>
      <c r="X3269" s="198" t="s">
        <v>2272</v>
      </c>
      <c r="Y3269" s="198" t="s">
        <v>2272</v>
      </c>
      <c r="Z3269" s="198" t="s">
        <v>2272</v>
      </c>
      <c r="AA3269" s="198" t="s">
        <v>2272</v>
      </c>
      <c r="AB3269" s="198" t="s">
        <v>2272</v>
      </c>
      <c r="AC3269" s="198" t="s">
        <v>2272</v>
      </c>
      <c r="AD3269" s="198"/>
      <c r="AE3269" s="198"/>
    </row>
    <row r="3270" spans="1:31" ht="41.5" customHeight="1">
      <c r="A3270" s="4" t="s">
        <v>8660</v>
      </c>
      <c r="B3270" s="4" t="s">
        <v>8668</v>
      </c>
      <c r="C3270" s="198" t="s">
        <v>23</v>
      </c>
      <c r="D3270" s="198" t="s">
        <v>2654</v>
      </c>
      <c r="E3270" s="198" t="s">
        <v>2272</v>
      </c>
      <c r="F3270" s="4" t="s">
        <v>27</v>
      </c>
      <c r="G3270" s="198" t="s">
        <v>2272</v>
      </c>
      <c r="H3270" s="198" t="s">
        <v>521</v>
      </c>
      <c r="I3270" s="198"/>
      <c r="J3270" s="198" t="s">
        <v>2272</v>
      </c>
      <c r="K3270" s="198" t="s">
        <v>2272</v>
      </c>
      <c r="L3270" s="198" t="s">
        <v>2272</v>
      </c>
      <c r="M3270" s="198" t="s">
        <v>2272</v>
      </c>
      <c r="N3270" s="198" t="s">
        <v>2272</v>
      </c>
      <c r="O3270" s="198" t="s">
        <v>2272</v>
      </c>
      <c r="P3270" s="198" t="s">
        <v>2272</v>
      </c>
      <c r="Q3270" s="198" t="s">
        <v>2272</v>
      </c>
      <c r="R3270" s="198" t="s">
        <v>2272</v>
      </c>
      <c r="S3270" s="198" t="s">
        <v>2272</v>
      </c>
      <c r="T3270" s="21">
        <f>$V3270*'Record info'!$K1361</f>
        <v>1112595.5639809396</v>
      </c>
      <c r="U3270" s="198" t="s">
        <v>2272</v>
      </c>
      <c r="V3270" s="21">
        <v>95</v>
      </c>
      <c r="W3270" s="198" t="s">
        <v>2272</v>
      </c>
      <c r="X3270" s="198" t="s">
        <v>2272</v>
      </c>
      <c r="Y3270" s="198" t="s">
        <v>2272</v>
      </c>
      <c r="Z3270" s="198" t="s">
        <v>2272</v>
      </c>
      <c r="AA3270" s="198" t="s">
        <v>2272</v>
      </c>
      <c r="AB3270" s="198" t="s">
        <v>2272</v>
      </c>
      <c r="AC3270" s="198" t="s">
        <v>2272</v>
      </c>
      <c r="AD3270" s="198"/>
      <c r="AE3270" s="198"/>
    </row>
    <row r="3271" spans="1:31" ht="63.5" customHeight="1">
      <c r="A3271" s="4" t="s">
        <v>8669</v>
      </c>
      <c r="B3271" s="4" t="s">
        <v>8670</v>
      </c>
      <c r="C3271" s="198" t="s">
        <v>2453</v>
      </c>
      <c r="D3271" s="198" t="s">
        <v>1102</v>
      </c>
      <c r="E3271" s="198" t="s">
        <v>1102</v>
      </c>
      <c r="F3271" s="198" t="s">
        <v>1102</v>
      </c>
      <c r="G3271" s="198" t="s">
        <v>54</v>
      </c>
      <c r="H3271" s="198" t="s">
        <v>521</v>
      </c>
      <c r="I3271" s="198"/>
      <c r="J3271" s="198" t="s">
        <v>2272</v>
      </c>
      <c r="K3271" s="198" t="s">
        <v>2272</v>
      </c>
      <c r="L3271" s="198" t="s">
        <v>2272</v>
      </c>
      <c r="M3271" s="198" t="s">
        <v>2272</v>
      </c>
      <c r="N3271" s="198" t="s">
        <v>2272</v>
      </c>
      <c r="O3271" s="198" t="s">
        <v>2272</v>
      </c>
      <c r="P3271" s="198" t="s">
        <v>2272</v>
      </c>
      <c r="Q3271" s="198" t="s">
        <v>2272</v>
      </c>
      <c r="R3271" s="198" t="s">
        <v>2272</v>
      </c>
      <c r="S3271" s="198" t="s">
        <v>2272</v>
      </c>
      <c r="T3271" s="198" t="s">
        <v>2272</v>
      </c>
      <c r="U3271" s="198" t="s">
        <v>2272</v>
      </c>
      <c r="V3271" s="198" t="s">
        <v>2272</v>
      </c>
      <c r="W3271" s="198" t="s">
        <v>2272</v>
      </c>
      <c r="X3271" s="198" t="s">
        <v>2272</v>
      </c>
      <c r="Y3271" s="198" t="s">
        <v>2272</v>
      </c>
      <c r="Z3271" s="198" t="s">
        <v>2272</v>
      </c>
      <c r="AA3271" s="198" t="s">
        <v>187</v>
      </c>
      <c r="AB3271" s="198" t="s">
        <v>84</v>
      </c>
      <c r="AC3271" s="198" t="s">
        <v>2272</v>
      </c>
      <c r="AD3271" s="4" t="s">
        <v>8679</v>
      </c>
      <c r="AE3271" s="198"/>
    </row>
    <row r="3272" spans="1:31" ht="63.5" customHeight="1">
      <c r="A3272" s="4" t="s">
        <v>8669</v>
      </c>
      <c r="B3272" s="4" t="s">
        <v>8671</v>
      </c>
      <c r="C3272" s="198" t="s">
        <v>2453</v>
      </c>
      <c r="D3272" s="198" t="s">
        <v>1102</v>
      </c>
      <c r="E3272" s="198" t="s">
        <v>1102</v>
      </c>
      <c r="F3272" s="198" t="s">
        <v>1102</v>
      </c>
      <c r="G3272" s="198" t="s">
        <v>54</v>
      </c>
      <c r="H3272" s="198" t="s">
        <v>521</v>
      </c>
      <c r="I3272" s="198"/>
      <c r="J3272" s="198" t="s">
        <v>2272</v>
      </c>
      <c r="K3272" s="198" t="s">
        <v>2272</v>
      </c>
      <c r="L3272" s="198" t="s">
        <v>2272</v>
      </c>
      <c r="M3272" s="198" t="s">
        <v>2272</v>
      </c>
      <c r="N3272" s="198" t="s">
        <v>2272</v>
      </c>
      <c r="O3272" s="198" t="s">
        <v>2272</v>
      </c>
      <c r="P3272" s="198" t="s">
        <v>2272</v>
      </c>
      <c r="Q3272" s="198" t="s">
        <v>2272</v>
      </c>
      <c r="R3272" s="198" t="s">
        <v>2272</v>
      </c>
      <c r="S3272" s="198" t="s">
        <v>2272</v>
      </c>
      <c r="T3272" s="198" t="s">
        <v>2272</v>
      </c>
      <c r="U3272" s="198" t="s">
        <v>2272</v>
      </c>
      <c r="V3272" s="198" t="s">
        <v>2272</v>
      </c>
      <c r="W3272" s="198" t="s">
        <v>2272</v>
      </c>
      <c r="X3272" s="198" t="s">
        <v>2272</v>
      </c>
      <c r="Y3272" s="198" t="s">
        <v>2272</v>
      </c>
      <c r="Z3272" s="198" t="s">
        <v>2272</v>
      </c>
      <c r="AA3272" s="198" t="s">
        <v>403</v>
      </c>
      <c r="AB3272" s="198" t="s">
        <v>67</v>
      </c>
      <c r="AC3272" s="198" t="s">
        <v>2272</v>
      </c>
      <c r="AD3272" s="4" t="s">
        <v>8679</v>
      </c>
      <c r="AE3272" s="198"/>
    </row>
    <row r="3273" spans="1:31" ht="63.5" customHeight="1">
      <c r="A3273" s="4" t="s">
        <v>8669</v>
      </c>
      <c r="B3273" s="4" t="s">
        <v>8672</v>
      </c>
      <c r="C3273" s="198" t="s">
        <v>2453</v>
      </c>
      <c r="D3273" s="198" t="s">
        <v>2654</v>
      </c>
      <c r="E3273" s="198" t="s">
        <v>2272</v>
      </c>
      <c r="F3273" s="4" t="s">
        <v>27</v>
      </c>
      <c r="G3273" s="198" t="s">
        <v>54</v>
      </c>
      <c r="H3273" s="198" t="s">
        <v>521</v>
      </c>
      <c r="I3273" s="198"/>
      <c r="J3273" s="198" t="s">
        <v>2272</v>
      </c>
      <c r="K3273" s="198" t="s">
        <v>2272</v>
      </c>
      <c r="L3273" s="198" t="s">
        <v>2272</v>
      </c>
      <c r="M3273" s="198" t="s">
        <v>2272</v>
      </c>
      <c r="N3273" s="198" t="s">
        <v>2272</v>
      </c>
      <c r="O3273" s="198" t="s">
        <v>2272</v>
      </c>
      <c r="P3273" s="198" t="s">
        <v>2272</v>
      </c>
      <c r="Q3273" s="198" t="s">
        <v>2272</v>
      </c>
      <c r="R3273" s="198" t="s">
        <v>2272</v>
      </c>
      <c r="S3273" s="198" t="s">
        <v>2272</v>
      </c>
      <c r="T3273" s="198" t="s">
        <v>2272</v>
      </c>
      <c r="U3273" s="198" t="s">
        <v>2272</v>
      </c>
      <c r="V3273" s="198" t="s">
        <v>2272</v>
      </c>
      <c r="W3273" s="198" t="s">
        <v>2272</v>
      </c>
      <c r="X3273" s="198" t="s">
        <v>2272</v>
      </c>
      <c r="Y3273" s="198" t="s">
        <v>2272</v>
      </c>
      <c r="Z3273" s="198" t="s">
        <v>2272</v>
      </c>
      <c r="AA3273" s="198" t="s">
        <v>187</v>
      </c>
      <c r="AB3273" s="198" t="s">
        <v>84</v>
      </c>
      <c r="AC3273" s="198" t="s">
        <v>2272</v>
      </c>
      <c r="AD3273" s="4" t="s">
        <v>8679</v>
      </c>
      <c r="AE3273" s="198"/>
    </row>
    <row r="3274" spans="1:31" ht="63.5" customHeight="1">
      <c r="A3274" s="4" t="s">
        <v>8669</v>
      </c>
      <c r="B3274" s="4" t="s">
        <v>8673</v>
      </c>
      <c r="C3274" s="198" t="s">
        <v>2453</v>
      </c>
      <c r="D3274" s="198" t="s">
        <v>2654</v>
      </c>
      <c r="E3274" s="198" t="s">
        <v>2272</v>
      </c>
      <c r="F3274" s="4" t="s">
        <v>27</v>
      </c>
      <c r="G3274" s="198" t="s">
        <v>54</v>
      </c>
      <c r="H3274" s="198" t="s">
        <v>521</v>
      </c>
      <c r="I3274" s="198"/>
      <c r="J3274" s="198" t="s">
        <v>2272</v>
      </c>
      <c r="K3274" s="198" t="s">
        <v>2272</v>
      </c>
      <c r="L3274" s="198" t="s">
        <v>2272</v>
      </c>
      <c r="M3274" s="198" t="s">
        <v>2272</v>
      </c>
      <c r="N3274" s="198" t="s">
        <v>2272</v>
      </c>
      <c r="O3274" s="198" t="s">
        <v>2272</v>
      </c>
      <c r="P3274" s="198" t="s">
        <v>2272</v>
      </c>
      <c r="Q3274" s="198" t="s">
        <v>2272</v>
      </c>
      <c r="R3274" s="198" t="s">
        <v>2272</v>
      </c>
      <c r="S3274" s="198" t="s">
        <v>2272</v>
      </c>
      <c r="T3274" s="198" t="s">
        <v>2272</v>
      </c>
      <c r="U3274" s="198" t="s">
        <v>2272</v>
      </c>
      <c r="V3274" s="198" t="s">
        <v>2272</v>
      </c>
      <c r="W3274" s="198" t="s">
        <v>2272</v>
      </c>
      <c r="X3274" s="198" t="s">
        <v>2272</v>
      </c>
      <c r="Y3274" s="198" t="s">
        <v>2272</v>
      </c>
      <c r="Z3274" s="198" t="s">
        <v>2272</v>
      </c>
      <c r="AA3274" s="198" t="s">
        <v>403</v>
      </c>
      <c r="AB3274" s="198" t="s">
        <v>67</v>
      </c>
      <c r="AC3274" s="198" t="s">
        <v>2272</v>
      </c>
      <c r="AD3274" s="4" t="s">
        <v>8679</v>
      </c>
      <c r="AE3274" s="198"/>
    </row>
    <row r="3275" spans="1:31" ht="63.5" customHeight="1">
      <c r="A3275" s="4" t="s">
        <v>8669</v>
      </c>
      <c r="B3275" s="4" t="s">
        <v>8676</v>
      </c>
      <c r="C3275" s="198" t="s">
        <v>2453</v>
      </c>
      <c r="D3275" s="198" t="s">
        <v>24</v>
      </c>
      <c r="E3275" s="198" t="s">
        <v>44</v>
      </c>
      <c r="F3275" s="198" t="s">
        <v>54</v>
      </c>
      <c r="G3275" s="198" t="s">
        <v>54</v>
      </c>
      <c r="H3275" s="198" t="s">
        <v>521</v>
      </c>
      <c r="I3275" s="198"/>
      <c r="J3275" s="198" t="s">
        <v>2272</v>
      </c>
      <c r="K3275" s="198" t="s">
        <v>2272</v>
      </c>
      <c r="L3275" s="198" t="s">
        <v>2272</v>
      </c>
      <c r="M3275" s="198" t="s">
        <v>2272</v>
      </c>
      <c r="N3275" s="198" t="s">
        <v>2272</v>
      </c>
      <c r="O3275" s="198" t="s">
        <v>2272</v>
      </c>
      <c r="P3275" s="198" t="s">
        <v>2272</v>
      </c>
      <c r="Q3275" s="198" t="s">
        <v>2272</v>
      </c>
      <c r="R3275" s="198" t="s">
        <v>2272</v>
      </c>
      <c r="S3275" s="198" t="s">
        <v>2272</v>
      </c>
      <c r="T3275" s="198" t="s">
        <v>2272</v>
      </c>
      <c r="U3275" s="198" t="s">
        <v>2272</v>
      </c>
      <c r="V3275" s="198" t="s">
        <v>2272</v>
      </c>
      <c r="W3275" s="198" t="s">
        <v>2272</v>
      </c>
      <c r="X3275" s="198" t="s">
        <v>2272</v>
      </c>
      <c r="Y3275" s="198" t="s">
        <v>2272</v>
      </c>
      <c r="Z3275" s="198" t="s">
        <v>2272</v>
      </c>
      <c r="AA3275" s="198" t="s">
        <v>187</v>
      </c>
      <c r="AB3275" s="198" t="s">
        <v>84</v>
      </c>
      <c r="AC3275" s="198" t="s">
        <v>2272</v>
      </c>
      <c r="AD3275" s="4" t="s">
        <v>8679</v>
      </c>
      <c r="AE3275" s="198"/>
    </row>
    <row r="3276" spans="1:31" ht="63.5" customHeight="1">
      <c r="A3276" s="4" t="s">
        <v>8669</v>
      </c>
      <c r="B3276" s="4" t="s">
        <v>8677</v>
      </c>
      <c r="C3276" s="198" t="s">
        <v>2453</v>
      </c>
      <c r="D3276" s="198" t="s">
        <v>24</v>
      </c>
      <c r="E3276" s="198" t="s">
        <v>44</v>
      </c>
      <c r="F3276" s="198" t="s">
        <v>54</v>
      </c>
      <c r="G3276" s="198" t="s">
        <v>54</v>
      </c>
      <c r="H3276" s="198" t="s">
        <v>521</v>
      </c>
      <c r="I3276" s="198"/>
      <c r="J3276" s="198" t="s">
        <v>2272</v>
      </c>
      <c r="K3276" s="198" t="s">
        <v>2272</v>
      </c>
      <c r="L3276" s="198" t="s">
        <v>2272</v>
      </c>
      <c r="M3276" s="198" t="s">
        <v>2272</v>
      </c>
      <c r="N3276" s="198" t="s">
        <v>2272</v>
      </c>
      <c r="O3276" s="198" t="s">
        <v>2272</v>
      </c>
      <c r="P3276" s="198" t="s">
        <v>2272</v>
      </c>
      <c r="Q3276" s="198" t="s">
        <v>2272</v>
      </c>
      <c r="R3276" s="198" t="s">
        <v>2272</v>
      </c>
      <c r="S3276" s="198" t="s">
        <v>2272</v>
      </c>
      <c r="T3276" s="198" t="s">
        <v>2272</v>
      </c>
      <c r="U3276" s="198" t="s">
        <v>2272</v>
      </c>
      <c r="V3276" s="198" t="s">
        <v>2272</v>
      </c>
      <c r="W3276" s="198" t="s">
        <v>2272</v>
      </c>
      <c r="X3276" s="198" t="s">
        <v>2272</v>
      </c>
      <c r="Y3276" s="198" t="s">
        <v>2272</v>
      </c>
      <c r="Z3276" s="198" t="s">
        <v>2272</v>
      </c>
      <c r="AA3276" s="198" t="s">
        <v>403</v>
      </c>
      <c r="AB3276" s="198" t="s">
        <v>67</v>
      </c>
      <c r="AC3276" s="198" t="s">
        <v>2272</v>
      </c>
      <c r="AD3276" s="4" t="s">
        <v>8679</v>
      </c>
      <c r="AE3276" s="198"/>
    </row>
    <row r="3277" spans="1:31" ht="55" customHeight="1">
      <c r="A3277" s="4" t="s">
        <v>8669</v>
      </c>
      <c r="B3277" s="4" t="s">
        <v>8678</v>
      </c>
      <c r="C3277" s="198" t="s">
        <v>30</v>
      </c>
      <c r="D3277" s="198" t="s">
        <v>29</v>
      </c>
      <c r="E3277" s="198" t="s">
        <v>2648</v>
      </c>
      <c r="F3277" s="198" t="s">
        <v>2272</v>
      </c>
      <c r="G3277" s="198" t="s">
        <v>54</v>
      </c>
      <c r="H3277" s="198" t="s">
        <v>521</v>
      </c>
      <c r="I3277" s="198"/>
      <c r="J3277" s="198" t="s">
        <v>2272</v>
      </c>
      <c r="K3277" s="198" t="s">
        <v>2272</v>
      </c>
      <c r="L3277" s="198" t="s">
        <v>2272</v>
      </c>
      <c r="M3277" s="198" t="s">
        <v>2272</v>
      </c>
      <c r="N3277" s="198" t="s">
        <v>2272</v>
      </c>
      <c r="O3277" s="198" t="s">
        <v>2272</v>
      </c>
      <c r="P3277" s="198" t="s">
        <v>2272</v>
      </c>
      <c r="Q3277" s="198" t="s">
        <v>2272</v>
      </c>
      <c r="R3277" s="198" t="s">
        <v>2272</v>
      </c>
      <c r="S3277" s="198" t="s">
        <v>2272</v>
      </c>
      <c r="T3277" s="198" t="s">
        <v>2272</v>
      </c>
      <c r="U3277" s="198" t="s">
        <v>2272</v>
      </c>
      <c r="V3277" s="198" t="s">
        <v>2272</v>
      </c>
      <c r="W3277" s="198" t="s">
        <v>2272</v>
      </c>
      <c r="X3277" s="198" t="s">
        <v>2272</v>
      </c>
      <c r="Y3277" s="198" t="s">
        <v>2272</v>
      </c>
      <c r="Z3277" s="198" t="s">
        <v>2272</v>
      </c>
      <c r="AA3277" s="198" t="s">
        <v>2272</v>
      </c>
      <c r="AB3277" s="198" t="s">
        <v>2272</v>
      </c>
      <c r="AC3277" s="198" t="s">
        <v>2272</v>
      </c>
      <c r="AD3277" s="198"/>
      <c r="AE3277" s="198"/>
    </row>
    <row r="3278" spans="1:31" ht="47" customHeight="1">
      <c r="A3278" s="4" t="s">
        <v>8680</v>
      </c>
      <c r="B3278" s="6" t="s">
        <v>8682</v>
      </c>
      <c r="C3278" s="198" t="s">
        <v>2453</v>
      </c>
      <c r="D3278" s="198" t="s">
        <v>2272</v>
      </c>
      <c r="E3278" s="198" t="s">
        <v>2272</v>
      </c>
      <c r="F3278" s="198" t="s">
        <v>2272</v>
      </c>
      <c r="G3278" s="198" t="s">
        <v>54</v>
      </c>
      <c r="H3278" s="198" t="s">
        <v>521</v>
      </c>
      <c r="I3278" s="198"/>
      <c r="J3278" s="198" t="s">
        <v>2272</v>
      </c>
      <c r="K3278" s="156">
        <f>(799+54)/30/'Record info'!$K$1363</f>
        <v>1.1240782031616512E-4</v>
      </c>
      <c r="L3278" s="198" t="s">
        <v>2272</v>
      </c>
      <c r="M3278" s="198" t="s">
        <v>2272</v>
      </c>
      <c r="N3278" s="198" t="s">
        <v>2272</v>
      </c>
      <c r="O3278" s="198" t="s">
        <v>2272</v>
      </c>
      <c r="P3278" s="198" t="s">
        <v>2272</v>
      </c>
      <c r="Q3278" s="21">
        <f>(2422232.7 + 921739.15) / (799 + 54)</f>
        <v>3920.2483587338807</v>
      </c>
      <c r="R3278" s="198" t="s">
        <v>2272</v>
      </c>
      <c r="S3278" s="198" t="s">
        <v>2272</v>
      </c>
      <c r="T3278" s="198" t="s">
        <v>2272</v>
      </c>
      <c r="U3278" s="21">
        <f>(2422232.7 + 921739.15)/30</f>
        <v>111465.72833333333</v>
      </c>
      <c r="V3278" s="198" t="s">
        <v>2272</v>
      </c>
      <c r="W3278" s="198" t="s">
        <v>2272</v>
      </c>
      <c r="X3278" s="198" t="s">
        <v>2272</v>
      </c>
      <c r="Y3278" s="21">
        <f>U3278/'Record info'!K$1363</f>
        <v>0.44066657310329921</v>
      </c>
      <c r="Z3278" s="198" t="s">
        <v>2272</v>
      </c>
      <c r="AA3278" s="198" t="s">
        <v>2272</v>
      </c>
      <c r="AB3278" s="198" t="s">
        <v>2272</v>
      </c>
      <c r="AC3278" s="198" t="s">
        <v>2272</v>
      </c>
      <c r="AD3278" s="4" t="s">
        <v>8690</v>
      </c>
      <c r="AE3278" s="198"/>
    </row>
    <row r="3279" spans="1:31" ht="47" customHeight="1">
      <c r="A3279" s="4" t="s">
        <v>8680</v>
      </c>
      <c r="B3279" s="6" t="s">
        <v>8683</v>
      </c>
      <c r="C3279" s="198" t="s">
        <v>2651</v>
      </c>
      <c r="D3279" s="198" t="s">
        <v>2272</v>
      </c>
      <c r="E3279" s="198" t="s">
        <v>2272</v>
      </c>
      <c r="F3279" s="198" t="s">
        <v>2272</v>
      </c>
      <c r="G3279" s="198" t="s">
        <v>54</v>
      </c>
      <c r="H3279" s="198" t="s">
        <v>521</v>
      </c>
      <c r="I3279" s="198"/>
      <c r="J3279" s="198" t="s">
        <v>2272</v>
      </c>
      <c r="K3279" s="156">
        <f>(221)/30/'Record info'!$K$1363</f>
        <v>2.9123245357412063E-5</v>
      </c>
      <c r="L3279" s="198" t="s">
        <v>2272</v>
      </c>
      <c r="M3279" s="198" t="s">
        <v>2272</v>
      </c>
      <c r="N3279" s="198" t="s">
        <v>2272</v>
      </c>
      <c r="O3279" s="198" t="s">
        <v>2272</v>
      </c>
      <c r="P3279" s="198" t="s">
        <v>2272</v>
      </c>
      <c r="Q3279" s="21">
        <f>1405536.2/221</f>
        <v>6359.8923076923074</v>
      </c>
      <c r="R3279" s="198" t="s">
        <v>2272</v>
      </c>
      <c r="S3279" s="198" t="s">
        <v>2272</v>
      </c>
      <c r="T3279" s="198" t="s">
        <v>2272</v>
      </c>
      <c r="U3279" s="21">
        <f>1405536.2/30</f>
        <v>46851.206666666665</v>
      </c>
      <c r="V3279" s="198" t="s">
        <v>2272</v>
      </c>
      <c r="W3279" s="198" t="s">
        <v>2272</v>
      </c>
      <c r="X3279" s="198" t="s">
        <v>2272</v>
      </c>
      <c r="Y3279" s="21">
        <f>U3279/'Record info'!K$1363</f>
        <v>0.18522070412364069</v>
      </c>
      <c r="Z3279" s="198" t="s">
        <v>2272</v>
      </c>
      <c r="AA3279" s="198" t="s">
        <v>2272</v>
      </c>
      <c r="AB3279" s="198" t="s">
        <v>2272</v>
      </c>
      <c r="AC3279" s="198" t="s">
        <v>2272</v>
      </c>
      <c r="AD3279" s="4" t="s">
        <v>8690</v>
      </c>
      <c r="AE3279" s="198"/>
    </row>
    <row r="3280" spans="1:31" ht="47" customHeight="1">
      <c r="A3280" s="4" t="s">
        <v>8680</v>
      </c>
      <c r="B3280" s="6" t="s">
        <v>8684</v>
      </c>
      <c r="C3280" s="198" t="s">
        <v>30</v>
      </c>
      <c r="D3280" s="198" t="s">
        <v>2272</v>
      </c>
      <c r="E3280" s="198" t="s">
        <v>2648</v>
      </c>
      <c r="F3280" s="198" t="s">
        <v>2272</v>
      </c>
      <c r="G3280" s="198" t="s">
        <v>54</v>
      </c>
      <c r="H3280" s="198" t="s">
        <v>521</v>
      </c>
      <c r="I3280" s="198"/>
      <c r="J3280" s="198" t="s">
        <v>2272</v>
      </c>
      <c r="K3280" s="156">
        <f>(471+363)/30/'Record info'!$K$1363</f>
        <v>1.0990401189177222E-4</v>
      </c>
      <c r="L3280" s="198" t="s">
        <v>2272</v>
      </c>
      <c r="M3280" s="198" t="s">
        <v>2272</v>
      </c>
      <c r="N3280" s="198" t="s">
        <v>2272</v>
      </c>
      <c r="O3280" s="198" t="s">
        <v>2272</v>
      </c>
      <c r="P3280" s="198" t="s">
        <v>2272</v>
      </c>
      <c r="Q3280" s="21">
        <f>(1702032.7 + 1955319.1) / (471 + 363)</f>
        <v>4385.3139088729013</v>
      </c>
      <c r="R3280" s="198" t="s">
        <v>2272</v>
      </c>
      <c r="S3280" s="198" t="s">
        <v>2272</v>
      </c>
      <c r="T3280" s="198" t="s">
        <v>2272</v>
      </c>
      <c r="U3280" s="21">
        <f>(1702032.7 + 1955319.1)/30</f>
        <v>121911.72666666665</v>
      </c>
      <c r="V3280" s="198" t="s">
        <v>2272</v>
      </c>
      <c r="W3280" s="198" t="s">
        <v>2272</v>
      </c>
      <c r="X3280" s="198" t="s">
        <v>2272</v>
      </c>
      <c r="Y3280" s="21">
        <f>U3280/'Record info'!K$1363</f>
        <v>0.48196359198992145</v>
      </c>
      <c r="Z3280" s="198" t="s">
        <v>2272</v>
      </c>
      <c r="AA3280" s="198" t="s">
        <v>2272</v>
      </c>
      <c r="AB3280" s="198" t="s">
        <v>2272</v>
      </c>
      <c r="AC3280" s="198" t="s">
        <v>2272</v>
      </c>
      <c r="AD3280" s="4" t="s">
        <v>8690</v>
      </c>
      <c r="AE3280" s="198"/>
    </row>
    <row r="3281" spans="1:31" ht="47" customHeight="1">
      <c r="A3281" s="4" t="s">
        <v>8680</v>
      </c>
      <c r="B3281" s="6" t="s">
        <v>8685</v>
      </c>
      <c r="C3281" s="198" t="s">
        <v>2453</v>
      </c>
      <c r="D3281" s="198" t="s">
        <v>2654</v>
      </c>
      <c r="E3281" s="198" t="s">
        <v>2272</v>
      </c>
      <c r="F3281" s="4" t="s">
        <v>27</v>
      </c>
      <c r="G3281" s="198" t="s">
        <v>54</v>
      </c>
      <c r="H3281" s="198" t="s">
        <v>521</v>
      </c>
      <c r="I3281" s="198"/>
      <c r="J3281" s="198" t="s">
        <v>2272</v>
      </c>
      <c r="K3281" s="156">
        <f>(277/2)/30/'Record info'!$K$1363</f>
        <v>1.825144561991661E-5</v>
      </c>
      <c r="L3281" s="198" t="s">
        <v>2272</v>
      </c>
      <c r="M3281" s="198" t="s">
        <v>2272</v>
      </c>
      <c r="N3281" s="198" t="s">
        <v>2272</v>
      </c>
      <c r="O3281" s="198" t="s">
        <v>2272</v>
      </c>
      <c r="P3281" s="198" t="s">
        <v>2272</v>
      </c>
      <c r="Q3281" s="21">
        <f>1198237.1/2/(277/2)</f>
        <v>4325.7657039711194</v>
      </c>
      <c r="R3281" s="198" t="s">
        <v>2272</v>
      </c>
      <c r="S3281" s="198" t="s">
        <v>2272</v>
      </c>
      <c r="T3281" s="198" t="s">
        <v>2272</v>
      </c>
      <c r="U3281" s="21">
        <f>1198237.1/2/30</f>
        <v>19970.618333333336</v>
      </c>
      <c r="V3281" s="198" t="s">
        <v>2272</v>
      </c>
      <c r="W3281" s="198" t="s">
        <v>2272</v>
      </c>
      <c r="X3281" s="198" t="s">
        <v>2272</v>
      </c>
      <c r="Y3281" s="21">
        <f>U3281/'Record info'!K$1363</f>
        <v>7.8951477510529181E-2</v>
      </c>
      <c r="Z3281" s="198" t="s">
        <v>2272</v>
      </c>
      <c r="AA3281" s="198" t="s">
        <v>37</v>
      </c>
      <c r="AB3281" s="198" t="s">
        <v>84</v>
      </c>
      <c r="AC3281" s="198" t="s">
        <v>63</v>
      </c>
      <c r="AD3281" s="4" t="s">
        <v>8690</v>
      </c>
      <c r="AE3281" s="198"/>
    </row>
    <row r="3282" spans="1:31" ht="47" customHeight="1">
      <c r="A3282" s="4" t="s">
        <v>8680</v>
      </c>
      <c r="B3282" s="6" t="s">
        <v>8686</v>
      </c>
      <c r="C3282" s="198" t="s">
        <v>2453</v>
      </c>
      <c r="D3282" s="198" t="s">
        <v>24</v>
      </c>
      <c r="E3282" s="198" t="s">
        <v>44</v>
      </c>
      <c r="F3282" s="4" t="s">
        <v>28</v>
      </c>
      <c r="G3282" s="198" t="s">
        <v>54</v>
      </c>
      <c r="H3282" s="198" t="s">
        <v>521</v>
      </c>
      <c r="I3282" s="198"/>
      <c r="J3282" s="198" t="s">
        <v>2272</v>
      </c>
      <c r="K3282" s="156">
        <f>(277/2)/30/'Record info'!$K$1363</f>
        <v>1.825144561991661E-5</v>
      </c>
      <c r="L3282" s="198" t="s">
        <v>2272</v>
      </c>
      <c r="M3282" s="198" t="s">
        <v>2272</v>
      </c>
      <c r="N3282" s="198" t="s">
        <v>2272</v>
      </c>
      <c r="O3282" s="198" t="s">
        <v>2272</v>
      </c>
      <c r="P3282" s="198" t="s">
        <v>2272</v>
      </c>
      <c r="Q3282" s="21">
        <f>1198237.1/2/(277/2)</f>
        <v>4325.7657039711194</v>
      </c>
      <c r="R3282" s="198" t="s">
        <v>2272</v>
      </c>
      <c r="S3282" s="198" t="s">
        <v>2272</v>
      </c>
      <c r="T3282" s="198" t="s">
        <v>2272</v>
      </c>
      <c r="U3282" s="21">
        <f>1198237.1/2/30</f>
        <v>19970.618333333336</v>
      </c>
      <c r="V3282" s="198" t="s">
        <v>2272</v>
      </c>
      <c r="W3282" s="198" t="s">
        <v>2272</v>
      </c>
      <c r="X3282" s="198" t="s">
        <v>2272</v>
      </c>
      <c r="Y3282" s="21">
        <f>U3282/'Record info'!K$1363</f>
        <v>7.8951477510529181E-2</v>
      </c>
      <c r="Z3282" s="198" t="s">
        <v>2272</v>
      </c>
      <c r="AA3282" s="198" t="s">
        <v>37</v>
      </c>
      <c r="AB3282" s="198" t="s">
        <v>84</v>
      </c>
      <c r="AC3282" s="198" t="s">
        <v>63</v>
      </c>
      <c r="AD3282" s="4" t="s">
        <v>8690</v>
      </c>
      <c r="AE3282" s="198"/>
    </row>
    <row r="3283" spans="1:31" ht="47" customHeight="1">
      <c r="A3283" s="4" t="s">
        <v>8680</v>
      </c>
      <c r="B3283" s="6" t="s">
        <v>8687</v>
      </c>
      <c r="C3283" s="198" t="s">
        <v>23</v>
      </c>
      <c r="D3283" s="198" t="s">
        <v>2342</v>
      </c>
      <c r="E3283" s="198" t="s">
        <v>2272</v>
      </c>
      <c r="F3283" s="4" t="s">
        <v>2272</v>
      </c>
      <c r="G3283" s="198" t="s">
        <v>54</v>
      </c>
      <c r="H3283" s="198" t="s">
        <v>521</v>
      </c>
      <c r="I3283" s="198"/>
      <c r="J3283" s="198" t="s">
        <v>2272</v>
      </c>
      <c r="K3283" s="156">
        <f>(173)/30/'Record info'!$K$1363</f>
        <v>2.2797834601051073E-5</v>
      </c>
      <c r="L3283" s="198" t="s">
        <v>2272</v>
      </c>
      <c r="M3283" s="198" t="s">
        <v>2272</v>
      </c>
      <c r="N3283" s="198" t="s">
        <v>2272</v>
      </c>
      <c r="O3283" s="198" t="s">
        <v>2272</v>
      </c>
      <c r="P3283" s="198" t="s">
        <v>2272</v>
      </c>
      <c r="Q3283" s="21">
        <f>671793.5/173</f>
        <v>3883.1994219653179</v>
      </c>
      <c r="R3283" s="198" t="s">
        <v>2272</v>
      </c>
      <c r="S3283" s="198" t="s">
        <v>2272</v>
      </c>
      <c r="T3283" s="198" t="s">
        <v>2272</v>
      </c>
      <c r="U3283" s="21">
        <f>671793.5/30</f>
        <v>22393.116666666665</v>
      </c>
      <c r="V3283" s="198" t="s">
        <v>2272</v>
      </c>
      <c r="W3283" s="198" t="s">
        <v>2272</v>
      </c>
      <c r="X3283" s="198" t="s">
        <v>2272</v>
      </c>
      <c r="Y3283" s="21">
        <f>U3283/'Record info'!K$1363</f>
        <v>8.8528538144862445E-2</v>
      </c>
      <c r="Z3283" s="198" t="s">
        <v>2272</v>
      </c>
      <c r="AA3283" s="198" t="s">
        <v>2272</v>
      </c>
      <c r="AB3283" s="198" t="s">
        <v>2272</v>
      </c>
      <c r="AC3283" s="198" t="s">
        <v>2272</v>
      </c>
      <c r="AD3283" s="4" t="s">
        <v>8690</v>
      </c>
      <c r="AE3283" s="198"/>
    </row>
    <row r="3284" spans="1:31" ht="47" customHeight="1">
      <c r="A3284" s="4" t="s">
        <v>8680</v>
      </c>
      <c r="B3284" s="6" t="s">
        <v>8688</v>
      </c>
      <c r="C3284" s="198" t="s">
        <v>2453</v>
      </c>
      <c r="D3284" s="198" t="s">
        <v>2989</v>
      </c>
      <c r="E3284" s="198" t="s">
        <v>2272</v>
      </c>
      <c r="F3284" s="4" t="s">
        <v>2272</v>
      </c>
      <c r="G3284" s="198" t="s">
        <v>54</v>
      </c>
      <c r="H3284" s="198" t="s">
        <v>521</v>
      </c>
      <c r="I3284" s="198"/>
      <c r="J3284" s="198" t="s">
        <v>2272</v>
      </c>
      <c r="K3284" s="156">
        <f>(99)/30/'Record info'!$K$1363</f>
        <v>1.3046159684994543E-5</v>
      </c>
      <c r="L3284" s="198" t="s">
        <v>2272</v>
      </c>
      <c r="M3284" s="198" t="s">
        <v>2272</v>
      </c>
      <c r="N3284" s="198" t="s">
        <v>2272</v>
      </c>
      <c r="O3284" s="198" t="s">
        <v>2272</v>
      </c>
      <c r="P3284" s="198" t="s">
        <v>2272</v>
      </c>
      <c r="Q3284" s="21">
        <f>151324.76/99</f>
        <v>1528.5329292929293</v>
      </c>
      <c r="R3284" s="198" t="s">
        <v>2272</v>
      </c>
      <c r="S3284" s="198" t="s">
        <v>2272</v>
      </c>
      <c r="T3284" s="198" t="s">
        <v>2272</v>
      </c>
      <c r="U3284" s="21">
        <f>151324.76/30</f>
        <v>5044.1586666666672</v>
      </c>
      <c r="V3284" s="198" t="s">
        <v>2272</v>
      </c>
      <c r="W3284" s="198" t="s">
        <v>2272</v>
      </c>
      <c r="X3284" s="198" t="s">
        <v>2272</v>
      </c>
      <c r="Y3284" s="21">
        <f>U3284/'Record info'!K$1363</f>
        <v>1.9941484679328034E-2</v>
      </c>
      <c r="Z3284" s="198" t="s">
        <v>2272</v>
      </c>
      <c r="AA3284" s="198" t="s">
        <v>2272</v>
      </c>
      <c r="AB3284" s="198" t="s">
        <v>2272</v>
      </c>
      <c r="AC3284" s="198" t="s">
        <v>2272</v>
      </c>
      <c r="AD3284" s="4" t="s">
        <v>8690</v>
      </c>
      <c r="AE3284" s="198"/>
    </row>
    <row r="3285" spans="1:31" ht="47" customHeight="1">
      <c r="A3285" s="4" t="s">
        <v>8680</v>
      </c>
      <c r="B3285" s="6" t="s">
        <v>8689</v>
      </c>
      <c r="C3285" s="198" t="s">
        <v>2453</v>
      </c>
      <c r="D3285" s="198" t="s">
        <v>404</v>
      </c>
      <c r="E3285" s="198" t="s">
        <v>2272</v>
      </c>
      <c r="F3285" s="4" t="s">
        <v>2272</v>
      </c>
      <c r="G3285" s="198" t="s">
        <v>54</v>
      </c>
      <c r="H3285" s="198" t="s">
        <v>521</v>
      </c>
      <c r="I3285" s="198"/>
      <c r="J3285" s="198" t="s">
        <v>2272</v>
      </c>
      <c r="K3285" s="156">
        <f>(154)/30/'Record info'!$K$1363</f>
        <v>2.0294026176658181E-5</v>
      </c>
      <c r="L3285" s="198" t="s">
        <v>2272</v>
      </c>
      <c r="M3285" s="198" t="s">
        <v>2272</v>
      </c>
      <c r="N3285" s="198" t="s">
        <v>2272</v>
      </c>
      <c r="O3285" s="198" t="s">
        <v>2272</v>
      </c>
      <c r="P3285" s="198" t="s">
        <v>2272</v>
      </c>
      <c r="Q3285" s="21">
        <f>22974.26/154</f>
        <v>149.18350649350648</v>
      </c>
      <c r="R3285" s="198" t="s">
        <v>2272</v>
      </c>
      <c r="S3285" s="198" t="s">
        <v>2272</v>
      </c>
      <c r="T3285" s="198" t="s">
        <v>2272</v>
      </c>
      <c r="U3285" s="21">
        <f>22974.26/30</f>
        <v>765.80866666666657</v>
      </c>
      <c r="V3285" s="198" t="s">
        <v>2272</v>
      </c>
      <c r="W3285" s="198" t="s">
        <v>2272</v>
      </c>
      <c r="X3285" s="198" t="s">
        <v>2272</v>
      </c>
      <c r="Y3285" s="21">
        <f>U3285/'Record info'!K$1363</f>
        <v>3.0275339859048762E-3</v>
      </c>
      <c r="Z3285" s="198" t="s">
        <v>2272</v>
      </c>
      <c r="AA3285" s="198" t="s">
        <v>2272</v>
      </c>
      <c r="AB3285" s="198" t="s">
        <v>2272</v>
      </c>
      <c r="AC3285" s="198" t="s">
        <v>2272</v>
      </c>
      <c r="AD3285" s="4" t="s">
        <v>8690</v>
      </c>
      <c r="AE3285" s="198"/>
    </row>
    <row r="3286" spans="1:31" ht="43.5" customHeight="1">
      <c r="A3286" s="4" t="s">
        <v>8693</v>
      </c>
      <c r="B3286" s="4" t="s">
        <v>8695</v>
      </c>
      <c r="C3286" s="198" t="s">
        <v>23</v>
      </c>
      <c r="D3286" s="198" t="s">
        <v>2654</v>
      </c>
      <c r="E3286" s="4" t="s">
        <v>394</v>
      </c>
      <c r="F3286" s="4" t="s">
        <v>27</v>
      </c>
      <c r="G3286" s="4" t="s">
        <v>27</v>
      </c>
      <c r="H3286" s="198" t="s">
        <v>521</v>
      </c>
      <c r="I3286" s="198"/>
      <c r="J3286" s="198" t="s">
        <v>2272</v>
      </c>
      <c r="K3286" s="198" t="s">
        <v>2272</v>
      </c>
      <c r="L3286" s="198" t="s">
        <v>2272</v>
      </c>
      <c r="M3286" s="198" t="s">
        <v>2272</v>
      </c>
      <c r="N3286" s="198" t="s">
        <v>2272</v>
      </c>
      <c r="O3286" s="198" t="s">
        <v>2272</v>
      </c>
      <c r="P3286" s="21">
        <v>0.9</v>
      </c>
      <c r="Q3286" s="198" t="s">
        <v>2272</v>
      </c>
      <c r="R3286" s="198" t="s">
        <v>2272</v>
      </c>
      <c r="S3286" s="198" t="s">
        <v>2272</v>
      </c>
      <c r="T3286" s="21">
        <f>35*0.9</f>
        <v>31.5</v>
      </c>
      <c r="U3286" s="198" t="s">
        <v>2272</v>
      </c>
      <c r="V3286" s="198" t="s">
        <v>2272</v>
      </c>
      <c r="W3286" s="198" t="s">
        <v>2272</v>
      </c>
      <c r="X3286" s="198" t="s">
        <v>2272</v>
      </c>
      <c r="Y3286" s="198" t="s">
        <v>2272</v>
      </c>
      <c r="Z3286" s="21">
        <v>1</v>
      </c>
      <c r="AA3286" s="198" t="s">
        <v>186</v>
      </c>
      <c r="AB3286" s="198" t="s">
        <v>186</v>
      </c>
      <c r="AC3286" s="198" t="s">
        <v>2272</v>
      </c>
      <c r="AD3286" s="198" t="s">
        <v>8699</v>
      </c>
      <c r="AE3286" s="4" t="s">
        <v>11579</v>
      </c>
    </row>
    <row r="3287" spans="1:31" ht="43.5" customHeight="1">
      <c r="A3287" s="4" t="s">
        <v>8693</v>
      </c>
      <c r="B3287" s="4" t="s">
        <v>8696</v>
      </c>
      <c r="C3287" s="198" t="s">
        <v>23</v>
      </c>
      <c r="D3287" s="198" t="s">
        <v>2654</v>
      </c>
      <c r="E3287" s="4" t="s">
        <v>394</v>
      </c>
      <c r="F3287" s="4" t="s">
        <v>27</v>
      </c>
      <c r="G3287" s="4" t="s">
        <v>27</v>
      </c>
      <c r="H3287" s="198" t="s">
        <v>521</v>
      </c>
      <c r="I3287" s="198"/>
      <c r="J3287" s="198" t="s">
        <v>2272</v>
      </c>
      <c r="K3287" s="198" t="s">
        <v>2272</v>
      </c>
      <c r="L3287" s="198" t="s">
        <v>2272</v>
      </c>
      <c r="M3287" s="198" t="s">
        <v>2272</v>
      </c>
      <c r="N3287" s="198" t="s">
        <v>2272</v>
      </c>
      <c r="O3287" s="198" t="s">
        <v>2272</v>
      </c>
      <c r="P3287" s="21">
        <v>0.9</v>
      </c>
      <c r="Q3287" s="198" t="s">
        <v>2272</v>
      </c>
      <c r="R3287" s="198" t="s">
        <v>2272</v>
      </c>
      <c r="S3287" s="198" t="s">
        <v>2272</v>
      </c>
      <c r="T3287" s="21">
        <f>35*0.9*0.22</f>
        <v>6.93</v>
      </c>
      <c r="U3287" s="198" t="s">
        <v>2272</v>
      </c>
      <c r="V3287" s="198" t="s">
        <v>2272</v>
      </c>
      <c r="W3287" s="198" t="s">
        <v>2272</v>
      </c>
      <c r="X3287" s="198" t="s">
        <v>2272</v>
      </c>
      <c r="Y3287" s="198" t="s">
        <v>2272</v>
      </c>
      <c r="Z3287" s="198" t="s">
        <v>2272</v>
      </c>
      <c r="AA3287" s="198" t="s">
        <v>84</v>
      </c>
      <c r="AB3287" s="198" t="s">
        <v>84</v>
      </c>
      <c r="AC3287" s="198" t="s">
        <v>2272</v>
      </c>
      <c r="AD3287" s="198" t="s">
        <v>8699</v>
      </c>
      <c r="AE3287" s="4" t="s">
        <v>11579</v>
      </c>
    </row>
    <row r="3288" spans="1:31" ht="43.5" customHeight="1">
      <c r="A3288" s="4" t="s">
        <v>8693</v>
      </c>
      <c r="B3288" s="4" t="s">
        <v>8697</v>
      </c>
      <c r="C3288" s="198" t="s">
        <v>23</v>
      </c>
      <c r="D3288" s="198" t="s">
        <v>2654</v>
      </c>
      <c r="E3288" s="4" t="s">
        <v>394</v>
      </c>
      <c r="F3288" s="4" t="s">
        <v>27</v>
      </c>
      <c r="G3288" s="4" t="s">
        <v>27</v>
      </c>
      <c r="H3288" s="198" t="s">
        <v>521</v>
      </c>
      <c r="I3288" s="198"/>
      <c r="J3288" s="198" t="s">
        <v>2272</v>
      </c>
      <c r="K3288" s="198" t="s">
        <v>2272</v>
      </c>
      <c r="L3288" s="198" t="s">
        <v>2272</v>
      </c>
      <c r="M3288" s="198" t="s">
        <v>2272</v>
      </c>
      <c r="N3288" s="198" t="s">
        <v>2272</v>
      </c>
      <c r="O3288" s="198" t="s">
        <v>2272</v>
      </c>
      <c r="P3288" s="21">
        <v>0.9</v>
      </c>
      <c r="Q3288" s="198" t="s">
        <v>2272</v>
      </c>
      <c r="R3288" s="198" t="s">
        <v>2272</v>
      </c>
      <c r="S3288" s="198" t="s">
        <v>2272</v>
      </c>
      <c r="T3288" s="21">
        <f>3.5*0.9*0.01</f>
        <v>3.15E-2</v>
      </c>
      <c r="U3288" s="198" t="s">
        <v>2272</v>
      </c>
      <c r="V3288" s="198" t="s">
        <v>2272</v>
      </c>
      <c r="W3288" s="198" t="s">
        <v>2272</v>
      </c>
      <c r="X3288" s="198" t="s">
        <v>2272</v>
      </c>
      <c r="Y3288" s="198" t="s">
        <v>2272</v>
      </c>
      <c r="Z3288" s="198" t="s">
        <v>2272</v>
      </c>
      <c r="AA3288" s="198" t="s">
        <v>423</v>
      </c>
      <c r="AB3288" s="198" t="s">
        <v>423</v>
      </c>
      <c r="AC3288" s="198" t="s">
        <v>2272</v>
      </c>
      <c r="AD3288" s="198" t="s">
        <v>8699</v>
      </c>
      <c r="AE3288" s="4" t="s">
        <v>11579</v>
      </c>
    </row>
    <row r="3289" spans="1:31" ht="49" customHeight="1">
      <c r="A3289" s="4" t="s">
        <v>8703</v>
      </c>
      <c r="B3289" s="4" t="s">
        <v>8704</v>
      </c>
      <c r="C3289" s="198" t="s">
        <v>23</v>
      </c>
      <c r="D3289" s="198" t="s">
        <v>2654</v>
      </c>
      <c r="E3289" s="4" t="s">
        <v>394</v>
      </c>
      <c r="F3289" s="4" t="s">
        <v>27</v>
      </c>
      <c r="G3289" s="4" t="s">
        <v>27</v>
      </c>
      <c r="H3289" s="198" t="s">
        <v>521</v>
      </c>
      <c r="I3289" s="198"/>
      <c r="J3289" s="198" t="s">
        <v>2272</v>
      </c>
      <c r="K3289" s="198" t="s">
        <v>2272</v>
      </c>
      <c r="L3289" s="21">
        <f>0.5*150/(100^2)</f>
        <v>7.4999999999999997E-3</v>
      </c>
      <c r="M3289" s="198" t="s">
        <v>2272</v>
      </c>
      <c r="N3289" s="21">
        <f>2280/(100^2)</f>
        <v>0.22800000000000001</v>
      </c>
      <c r="O3289" s="198" t="s">
        <v>2272</v>
      </c>
      <c r="P3289" s="21">
        <f>0.5*790/(100^2)</f>
        <v>3.95E-2</v>
      </c>
      <c r="Q3289" s="198" t="s">
        <v>2272</v>
      </c>
      <c r="R3289" s="198" t="s">
        <v>2272</v>
      </c>
      <c r="S3289" s="198" t="s">
        <v>2272</v>
      </c>
      <c r="T3289" s="198" t="s">
        <v>2272</v>
      </c>
      <c r="U3289" s="198" t="s">
        <v>2272</v>
      </c>
      <c r="V3289" s="198" t="s">
        <v>2272</v>
      </c>
      <c r="W3289" s="198" t="s">
        <v>2272</v>
      </c>
      <c r="X3289" s="198" t="s">
        <v>2272</v>
      </c>
      <c r="Y3289" s="198" t="s">
        <v>2272</v>
      </c>
      <c r="Z3289" s="198" t="s">
        <v>2272</v>
      </c>
      <c r="AA3289" s="198" t="s">
        <v>33</v>
      </c>
      <c r="AB3289" s="198" t="s">
        <v>33</v>
      </c>
      <c r="AC3289" s="198" t="s">
        <v>2272</v>
      </c>
      <c r="AD3289" s="4" t="s">
        <v>8712</v>
      </c>
      <c r="AE3289" s="198" t="s">
        <v>8714</v>
      </c>
    </row>
    <row r="3290" spans="1:31" ht="48" customHeight="1">
      <c r="A3290" s="4" t="s">
        <v>8703</v>
      </c>
      <c r="B3290" s="4" t="s">
        <v>8705</v>
      </c>
      <c r="C3290" s="198" t="s">
        <v>23</v>
      </c>
      <c r="D3290" s="198" t="s">
        <v>2654</v>
      </c>
      <c r="E3290" s="4" t="s">
        <v>395</v>
      </c>
      <c r="F3290" s="4" t="s">
        <v>27</v>
      </c>
      <c r="G3290" s="4" t="s">
        <v>27</v>
      </c>
      <c r="H3290" s="198" t="s">
        <v>521</v>
      </c>
      <c r="I3290" s="198"/>
      <c r="J3290" s="198" t="s">
        <v>2272</v>
      </c>
      <c r="K3290" s="198" t="s">
        <v>2272</v>
      </c>
      <c r="L3290" s="21">
        <f>0.1*150/(100^2)</f>
        <v>1.5E-3</v>
      </c>
      <c r="M3290" s="198" t="s">
        <v>2272</v>
      </c>
      <c r="N3290" s="21">
        <f>0.1*2280/(100^2)</f>
        <v>2.2800000000000001E-2</v>
      </c>
      <c r="O3290" s="198" t="s">
        <v>2272</v>
      </c>
      <c r="P3290" s="21">
        <f>0.1*790/(100^2)</f>
        <v>7.9000000000000008E-3</v>
      </c>
      <c r="Q3290" s="198" t="s">
        <v>2272</v>
      </c>
      <c r="R3290" s="198" t="s">
        <v>2272</v>
      </c>
      <c r="S3290" s="198" t="s">
        <v>2272</v>
      </c>
      <c r="T3290" s="198" t="s">
        <v>2272</v>
      </c>
      <c r="U3290" s="198" t="s">
        <v>2272</v>
      </c>
      <c r="V3290" s="198" t="s">
        <v>2272</v>
      </c>
      <c r="W3290" s="198" t="s">
        <v>2272</v>
      </c>
      <c r="X3290" s="198" t="s">
        <v>2272</v>
      </c>
      <c r="Y3290" s="198" t="s">
        <v>2272</v>
      </c>
      <c r="Z3290" s="198" t="s">
        <v>2272</v>
      </c>
      <c r="AA3290" s="198" t="s">
        <v>33</v>
      </c>
      <c r="AB3290" s="198" t="s">
        <v>33</v>
      </c>
      <c r="AC3290" s="198" t="s">
        <v>2272</v>
      </c>
      <c r="AD3290" s="4" t="s">
        <v>8713</v>
      </c>
      <c r="AE3290" s="198" t="s">
        <v>8714</v>
      </c>
    </row>
    <row r="3291" spans="1:31" ht="46" customHeight="1">
      <c r="A3291" s="4" t="s">
        <v>8703</v>
      </c>
      <c r="B3291" s="4" t="s">
        <v>8706</v>
      </c>
      <c r="C3291" s="198" t="s">
        <v>23</v>
      </c>
      <c r="D3291" s="198" t="s">
        <v>2654</v>
      </c>
      <c r="E3291" s="4" t="s">
        <v>394</v>
      </c>
      <c r="F3291" s="4" t="s">
        <v>27</v>
      </c>
      <c r="G3291" s="4" t="s">
        <v>27</v>
      </c>
      <c r="H3291" s="198" t="s">
        <v>521</v>
      </c>
      <c r="I3291" s="198"/>
      <c r="J3291" s="21" t="s">
        <v>2272</v>
      </c>
      <c r="K3291" s="21" t="s">
        <v>2272</v>
      </c>
      <c r="L3291" s="21">
        <v>7.4999999999999997E-3</v>
      </c>
      <c r="M3291" s="21" t="s">
        <v>2272</v>
      </c>
      <c r="N3291" s="21">
        <v>0.22800000000000001</v>
      </c>
      <c r="O3291" s="21" t="s">
        <v>2272</v>
      </c>
      <c r="P3291" s="21">
        <v>3.95E-2</v>
      </c>
      <c r="Q3291" s="21" t="s">
        <v>2272</v>
      </c>
      <c r="R3291" s="21" t="s">
        <v>2272</v>
      </c>
      <c r="S3291" s="21" t="s">
        <v>2272</v>
      </c>
      <c r="T3291" s="21" t="s">
        <v>2272</v>
      </c>
      <c r="U3291" s="21" t="s">
        <v>2272</v>
      </c>
      <c r="V3291" s="198" t="s">
        <v>2272</v>
      </c>
      <c r="W3291" s="198" t="s">
        <v>2272</v>
      </c>
      <c r="X3291" s="198" t="s">
        <v>2272</v>
      </c>
      <c r="Y3291" s="198" t="s">
        <v>2272</v>
      </c>
      <c r="Z3291" s="198" t="s">
        <v>2272</v>
      </c>
      <c r="AA3291" s="198" t="s">
        <v>423</v>
      </c>
      <c r="AB3291" s="198" t="s">
        <v>67</v>
      </c>
      <c r="AC3291" s="198" t="s">
        <v>75</v>
      </c>
      <c r="AD3291" s="4" t="s">
        <v>8712</v>
      </c>
      <c r="AE3291" s="198" t="s">
        <v>8714</v>
      </c>
    </row>
    <row r="3292" spans="1:31" ht="43.5" customHeight="1">
      <c r="A3292" s="4" t="s">
        <v>8703</v>
      </c>
      <c r="B3292" s="4" t="s">
        <v>8707</v>
      </c>
      <c r="C3292" s="198" t="s">
        <v>23</v>
      </c>
      <c r="D3292" s="198" t="s">
        <v>2654</v>
      </c>
      <c r="E3292" s="4" t="s">
        <v>395</v>
      </c>
      <c r="F3292" s="4" t="s">
        <v>27</v>
      </c>
      <c r="G3292" s="4" t="s">
        <v>27</v>
      </c>
      <c r="H3292" s="198" t="s">
        <v>521</v>
      </c>
      <c r="I3292" s="35"/>
      <c r="J3292" s="21" t="s">
        <v>2272</v>
      </c>
      <c r="K3292" s="21" t="s">
        <v>2272</v>
      </c>
      <c r="L3292" s="21">
        <v>1.5E-3</v>
      </c>
      <c r="M3292" s="21" t="s">
        <v>2272</v>
      </c>
      <c r="N3292" s="21">
        <v>2.2800000000000001E-2</v>
      </c>
      <c r="O3292" s="21" t="s">
        <v>2272</v>
      </c>
      <c r="P3292" s="21">
        <v>7.9000000000000008E-3</v>
      </c>
      <c r="Q3292" s="21" t="s">
        <v>2272</v>
      </c>
      <c r="R3292" s="21" t="s">
        <v>2272</v>
      </c>
      <c r="S3292" s="21" t="s">
        <v>2272</v>
      </c>
      <c r="T3292" s="21" t="s">
        <v>2272</v>
      </c>
      <c r="U3292" s="21" t="s">
        <v>2272</v>
      </c>
      <c r="V3292" s="198" t="s">
        <v>2272</v>
      </c>
      <c r="W3292" s="198" t="s">
        <v>2272</v>
      </c>
      <c r="X3292" s="198" t="s">
        <v>2272</v>
      </c>
      <c r="Y3292" s="198" t="s">
        <v>2272</v>
      </c>
      <c r="Z3292" s="198" t="s">
        <v>2272</v>
      </c>
      <c r="AA3292" s="198" t="s">
        <v>423</v>
      </c>
      <c r="AB3292" s="198" t="s">
        <v>67</v>
      </c>
      <c r="AC3292" s="198" t="s">
        <v>75</v>
      </c>
      <c r="AD3292" s="4" t="s">
        <v>8713</v>
      </c>
      <c r="AE3292" s="198" t="s">
        <v>8714</v>
      </c>
    </row>
    <row r="3293" spans="1:31" ht="43.5" customHeight="1">
      <c r="A3293" s="4" t="s">
        <v>8703</v>
      </c>
      <c r="B3293" s="4" t="s">
        <v>8708</v>
      </c>
      <c r="C3293" s="198" t="s">
        <v>23</v>
      </c>
      <c r="D3293" s="198" t="s">
        <v>2654</v>
      </c>
      <c r="E3293" s="4" t="s">
        <v>1102</v>
      </c>
      <c r="F3293" s="4" t="s">
        <v>27</v>
      </c>
      <c r="G3293" s="4" t="s">
        <v>27</v>
      </c>
      <c r="H3293" s="198" t="s">
        <v>521</v>
      </c>
      <c r="I3293" s="198"/>
      <c r="J3293" s="21" t="s">
        <v>2272</v>
      </c>
      <c r="K3293" s="21" t="s">
        <v>2272</v>
      </c>
      <c r="L3293" s="21">
        <f>AVERAGE(L3291:L3292)</f>
        <v>4.4999999999999997E-3</v>
      </c>
      <c r="M3293" s="21" t="s">
        <v>2272</v>
      </c>
      <c r="N3293" s="21">
        <f>AVERAGE(N3291:N3292)</f>
        <v>0.12540000000000001</v>
      </c>
      <c r="O3293" s="21" t="s">
        <v>2272</v>
      </c>
      <c r="P3293" s="21">
        <f>AVERAGE(P3291:P3292)</f>
        <v>2.3699999999999999E-2</v>
      </c>
      <c r="Q3293" s="21" t="s">
        <v>2272</v>
      </c>
      <c r="R3293" s="21" t="s">
        <v>2272</v>
      </c>
      <c r="S3293" s="21" t="s">
        <v>2272</v>
      </c>
      <c r="T3293" s="21" t="s">
        <v>2272</v>
      </c>
      <c r="U3293" s="21" t="s">
        <v>2272</v>
      </c>
      <c r="V3293" s="198" t="s">
        <v>2272</v>
      </c>
      <c r="W3293" s="198" t="s">
        <v>2272</v>
      </c>
      <c r="X3293" s="198" t="s">
        <v>2272</v>
      </c>
      <c r="Y3293" s="198" t="s">
        <v>2272</v>
      </c>
      <c r="Z3293" s="198" t="s">
        <v>2272</v>
      </c>
      <c r="AA3293" s="198" t="s">
        <v>33</v>
      </c>
      <c r="AB3293" s="198" t="s">
        <v>33</v>
      </c>
      <c r="AC3293" s="198" t="s">
        <v>2272</v>
      </c>
      <c r="AD3293" s="198"/>
      <c r="AE3293" s="4" t="s">
        <v>11599</v>
      </c>
    </row>
    <row r="3294" spans="1:31" ht="43.5" customHeight="1">
      <c r="A3294" s="4" t="s">
        <v>8703</v>
      </c>
      <c r="B3294" s="4" t="s">
        <v>8709</v>
      </c>
      <c r="C3294" s="198" t="s">
        <v>23</v>
      </c>
      <c r="D3294" s="198" t="s">
        <v>2654</v>
      </c>
      <c r="E3294" s="4" t="s">
        <v>1102</v>
      </c>
      <c r="F3294" s="4" t="s">
        <v>27</v>
      </c>
      <c r="G3294" s="4" t="s">
        <v>27</v>
      </c>
      <c r="H3294" s="198" t="s">
        <v>521</v>
      </c>
      <c r="I3294" s="198"/>
      <c r="J3294" s="21" t="s">
        <v>2272</v>
      </c>
      <c r="K3294" s="21" t="s">
        <v>2272</v>
      </c>
      <c r="L3294" s="21">
        <v>4.4999999999999997E-3</v>
      </c>
      <c r="M3294" s="21" t="s">
        <v>2272</v>
      </c>
      <c r="N3294" s="21">
        <v>0.12540000000000001</v>
      </c>
      <c r="O3294" s="21" t="s">
        <v>2272</v>
      </c>
      <c r="P3294" s="21">
        <v>2.3699999999999999E-2</v>
      </c>
      <c r="Q3294" s="21" t="s">
        <v>2272</v>
      </c>
      <c r="R3294" s="21" t="s">
        <v>2272</v>
      </c>
      <c r="S3294" s="21" t="s">
        <v>2272</v>
      </c>
      <c r="T3294" s="21" t="s">
        <v>2272</v>
      </c>
      <c r="U3294" s="21" t="s">
        <v>2272</v>
      </c>
      <c r="V3294" s="198" t="s">
        <v>2272</v>
      </c>
      <c r="W3294" s="198" t="s">
        <v>2272</v>
      </c>
      <c r="X3294" s="198" t="s">
        <v>2272</v>
      </c>
      <c r="Y3294" s="198" t="s">
        <v>2272</v>
      </c>
      <c r="Z3294" s="198" t="s">
        <v>2272</v>
      </c>
      <c r="AA3294" s="198" t="s">
        <v>423</v>
      </c>
      <c r="AB3294" s="198" t="s">
        <v>67</v>
      </c>
      <c r="AC3294" s="198" t="s">
        <v>75</v>
      </c>
      <c r="AD3294" s="198"/>
      <c r="AE3294" s="4" t="s">
        <v>11599</v>
      </c>
    </row>
    <row r="3295" spans="1:31" ht="41" customHeight="1">
      <c r="A3295" s="4" t="s">
        <v>8716</v>
      </c>
      <c r="B3295" s="4" t="s">
        <v>8718</v>
      </c>
      <c r="C3295" s="198" t="s">
        <v>23</v>
      </c>
      <c r="D3295" s="198" t="s">
        <v>2654</v>
      </c>
      <c r="E3295" s="198" t="s">
        <v>82</v>
      </c>
      <c r="F3295" s="4" t="s">
        <v>27</v>
      </c>
      <c r="G3295" s="4" t="s">
        <v>27</v>
      </c>
      <c r="H3295" s="198" t="s">
        <v>521</v>
      </c>
      <c r="I3295" s="198"/>
      <c r="J3295" s="21" t="s">
        <v>2272</v>
      </c>
      <c r="K3295" s="21" t="s">
        <v>2272</v>
      </c>
      <c r="L3295" s="21" t="s">
        <v>2272</v>
      </c>
      <c r="M3295" s="21">
        <f>1*0.404686</f>
        <v>0.40468599999999999</v>
      </c>
      <c r="N3295" s="21" t="s">
        <v>2272</v>
      </c>
      <c r="O3295" s="21" t="s">
        <v>2272</v>
      </c>
      <c r="P3295" s="21" t="s">
        <v>2272</v>
      </c>
      <c r="Q3295" s="21" t="s">
        <v>2272</v>
      </c>
      <c r="R3295" s="21" t="s">
        <v>2272</v>
      </c>
      <c r="S3295" s="21" t="s">
        <v>2272</v>
      </c>
      <c r="T3295" s="21" t="s">
        <v>2272</v>
      </c>
      <c r="U3295" s="21" t="s">
        <v>2272</v>
      </c>
      <c r="V3295" s="21" t="s">
        <v>2272</v>
      </c>
      <c r="W3295" s="21" t="s">
        <v>2272</v>
      </c>
      <c r="X3295" s="21" t="s">
        <v>2272</v>
      </c>
      <c r="Y3295" s="21" t="s">
        <v>2272</v>
      </c>
      <c r="Z3295" s="21" t="s">
        <v>2272</v>
      </c>
      <c r="AA3295" s="198" t="s">
        <v>187</v>
      </c>
      <c r="AB3295" s="198" t="s">
        <v>33</v>
      </c>
      <c r="AC3295" s="198" t="s">
        <v>2650</v>
      </c>
      <c r="AD3295" s="4" t="s">
        <v>8729</v>
      </c>
      <c r="AE3295" s="4" t="s">
        <v>8730</v>
      </c>
    </row>
    <row r="3296" spans="1:31" ht="39" customHeight="1">
      <c r="A3296" s="4" t="s">
        <v>8716</v>
      </c>
      <c r="B3296" s="4" t="s">
        <v>8719</v>
      </c>
      <c r="C3296" s="198" t="s">
        <v>23</v>
      </c>
      <c r="D3296" s="198" t="s">
        <v>24</v>
      </c>
      <c r="E3296" s="198" t="s">
        <v>44</v>
      </c>
      <c r="F3296" s="4" t="s">
        <v>54</v>
      </c>
      <c r="G3296" s="4" t="s">
        <v>54</v>
      </c>
      <c r="H3296" s="198" t="s">
        <v>521</v>
      </c>
      <c r="I3296" s="198"/>
      <c r="J3296" s="21" t="s">
        <v>2272</v>
      </c>
      <c r="K3296" s="21" t="s">
        <v>2272</v>
      </c>
      <c r="L3296" s="21" t="s">
        <v>2272</v>
      </c>
      <c r="M3296" s="21">
        <f>1*0.404686</f>
        <v>0.40468599999999999</v>
      </c>
      <c r="N3296" s="21" t="s">
        <v>2272</v>
      </c>
      <c r="O3296" s="21" t="s">
        <v>2272</v>
      </c>
      <c r="P3296" s="21" t="s">
        <v>2272</v>
      </c>
      <c r="Q3296" s="21" t="s">
        <v>2272</v>
      </c>
      <c r="R3296" s="21" t="s">
        <v>2272</v>
      </c>
      <c r="S3296" s="21" t="s">
        <v>2272</v>
      </c>
      <c r="T3296" s="21" t="s">
        <v>2272</v>
      </c>
      <c r="U3296" s="21" t="s">
        <v>2272</v>
      </c>
      <c r="V3296" s="21" t="s">
        <v>2272</v>
      </c>
      <c r="W3296" s="21" t="s">
        <v>2272</v>
      </c>
      <c r="X3296" s="21" t="s">
        <v>2272</v>
      </c>
      <c r="Y3296" s="21" t="s">
        <v>2272</v>
      </c>
      <c r="Z3296" s="21" t="s">
        <v>2272</v>
      </c>
      <c r="AA3296" s="198" t="s">
        <v>187</v>
      </c>
      <c r="AB3296" s="198" t="s">
        <v>33</v>
      </c>
      <c r="AC3296" s="198" t="s">
        <v>2650</v>
      </c>
      <c r="AD3296" s="4" t="s">
        <v>8729</v>
      </c>
      <c r="AE3296" s="4" t="s">
        <v>8730</v>
      </c>
    </row>
    <row r="3297" spans="1:31" ht="66.5" customHeight="1">
      <c r="A3297" s="4" t="s">
        <v>8721</v>
      </c>
      <c r="B3297" s="4" t="s">
        <v>8723</v>
      </c>
      <c r="C3297" s="198" t="s">
        <v>23</v>
      </c>
      <c r="D3297" s="198" t="s">
        <v>2272</v>
      </c>
      <c r="E3297" s="4" t="s">
        <v>1102</v>
      </c>
      <c r="F3297" s="4" t="s">
        <v>2657</v>
      </c>
      <c r="G3297" s="4" t="s">
        <v>2657</v>
      </c>
      <c r="H3297" s="198" t="s">
        <v>521</v>
      </c>
      <c r="I3297" s="198"/>
      <c r="J3297" s="21" t="s">
        <v>2272</v>
      </c>
      <c r="K3297" s="21" t="s">
        <v>2272</v>
      </c>
      <c r="L3297" s="21" t="s">
        <v>2272</v>
      </c>
      <c r="M3297" s="21" t="s">
        <v>2272</v>
      </c>
      <c r="N3297" s="21" t="s">
        <v>2272</v>
      </c>
      <c r="O3297" s="21" t="s">
        <v>2272</v>
      </c>
      <c r="P3297" s="21" t="s">
        <v>2272</v>
      </c>
      <c r="Q3297" s="21" t="s">
        <v>2272</v>
      </c>
      <c r="R3297" s="21" t="s">
        <v>2272</v>
      </c>
      <c r="S3297" s="21" t="s">
        <v>2272</v>
      </c>
      <c r="T3297" s="21" t="s">
        <v>2272</v>
      </c>
      <c r="U3297" s="21">
        <f>461600/0.404686</f>
        <v>1140637.4324785143</v>
      </c>
      <c r="V3297" s="21" t="s">
        <v>2272</v>
      </c>
      <c r="W3297" s="21" t="s">
        <v>2272</v>
      </c>
      <c r="X3297" s="21" t="s">
        <v>2272</v>
      </c>
      <c r="Y3297" s="21">
        <f>U3297/'Record info'!K1367</f>
        <v>5.3525923626396725</v>
      </c>
      <c r="Z3297" s="21" t="s">
        <v>2272</v>
      </c>
      <c r="AA3297" s="21" t="s">
        <v>2272</v>
      </c>
      <c r="AB3297" s="21" t="s">
        <v>2272</v>
      </c>
      <c r="AC3297" s="21" t="s">
        <v>2272</v>
      </c>
      <c r="AD3297" s="4" t="s">
        <v>8731</v>
      </c>
      <c r="AE3297" s="198"/>
    </row>
    <row r="3298" spans="1:31" ht="66.5" customHeight="1">
      <c r="A3298" s="4" t="s">
        <v>8722</v>
      </c>
      <c r="B3298" s="4" t="s">
        <v>8725</v>
      </c>
      <c r="C3298" s="198" t="s">
        <v>23</v>
      </c>
      <c r="D3298" s="198" t="s">
        <v>2272</v>
      </c>
      <c r="E3298" s="4" t="s">
        <v>1102</v>
      </c>
      <c r="F3298" s="4" t="s">
        <v>2657</v>
      </c>
      <c r="G3298" s="4" t="s">
        <v>2657</v>
      </c>
      <c r="H3298" s="198" t="s">
        <v>521</v>
      </c>
      <c r="I3298" s="198"/>
      <c r="J3298" s="21" t="s">
        <v>2272</v>
      </c>
      <c r="K3298" s="21" t="s">
        <v>2272</v>
      </c>
      <c r="L3298" s="21" t="s">
        <v>2272</v>
      </c>
      <c r="M3298" s="21" t="s">
        <v>2272</v>
      </c>
      <c r="N3298" s="21" t="s">
        <v>2272</v>
      </c>
      <c r="O3298" s="21" t="s">
        <v>2272</v>
      </c>
      <c r="P3298" s="21" t="s">
        <v>2272</v>
      </c>
      <c r="Q3298" s="21" t="s">
        <v>2272</v>
      </c>
      <c r="R3298" s="21" t="s">
        <v>2272</v>
      </c>
      <c r="S3298" s="21" t="s">
        <v>2272</v>
      </c>
      <c r="T3298" s="21" t="s">
        <v>2272</v>
      </c>
      <c r="U3298" s="21">
        <f>299600/0.404686</f>
        <v>740327.068393767</v>
      </c>
      <c r="V3298" s="21" t="s">
        <v>2272</v>
      </c>
      <c r="W3298" s="21" t="s">
        <v>2272</v>
      </c>
      <c r="X3298" s="21" t="s">
        <v>2272</v>
      </c>
      <c r="Y3298" s="21">
        <f>U3298/'Record info'!K1368</f>
        <v>4.0893688494272826</v>
      </c>
      <c r="Z3298" s="21" t="s">
        <v>2272</v>
      </c>
      <c r="AA3298" s="21" t="s">
        <v>2272</v>
      </c>
      <c r="AB3298" s="21" t="s">
        <v>2272</v>
      </c>
      <c r="AC3298" s="21" t="s">
        <v>2272</v>
      </c>
      <c r="AD3298" s="4" t="s">
        <v>8731</v>
      </c>
      <c r="AE3298" s="198"/>
    </row>
    <row r="3299" spans="1:31" ht="66.5" customHeight="1">
      <c r="A3299" s="4" t="s">
        <v>8721</v>
      </c>
      <c r="B3299" s="4" t="s">
        <v>8724</v>
      </c>
      <c r="C3299" s="198" t="s">
        <v>23</v>
      </c>
      <c r="D3299" s="198" t="s">
        <v>2799</v>
      </c>
      <c r="E3299" s="198" t="s">
        <v>44</v>
      </c>
      <c r="F3299" s="4" t="s">
        <v>2657</v>
      </c>
      <c r="G3299" s="4" t="s">
        <v>2657</v>
      </c>
      <c r="H3299" s="198" t="s">
        <v>521</v>
      </c>
      <c r="I3299" s="198"/>
      <c r="J3299" s="21" t="s">
        <v>2272</v>
      </c>
      <c r="K3299" s="21" t="s">
        <v>2272</v>
      </c>
      <c r="L3299" s="21" t="s">
        <v>2272</v>
      </c>
      <c r="M3299" s="21" t="s">
        <v>2272</v>
      </c>
      <c r="N3299" s="21" t="s">
        <v>2272</v>
      </c>
      <c r="O3299" s="21" t="s">
        <v>2272</v>
      </c>
      <c r="P3299" s="21" t="s">
        <v>2272</v>
      </c>
      <c r="Q3299" s="21" t="s">
        <v>2272</v>
      </c>
      <c r="R3299" s="21" t="s">
        <v>2272</v>
      </c>
      <c r="S3299" s="21" t="s">
        <v>2272</v>
      </c>
      <c r="T3299" s="21" t="s">
        <v>2272</v>
      </c>
      <c r="U3299" s="21" t="s">
        <v>2272</v>
      </c>
      <c r="V3299" s="21" t="s">
        <v>2272</v>
      </c>
      <c r="W3299" s="21" t="s">
        <v>2272</v>
      </c>
      <c r="X3299" s="21" t="s">
        <v>2272</v>
      </c>
      <c r="Y3299" s="21" t="s">
        <v>2272</v>
      </c>
      <c r="Z3299" s="21" t="s">
        <v>2272</v>
      </c>
      <c r="AA3299" s="21" t="s">
        <v>2272</v>
      </c>
      <c r="AB3299" s="21" t="s">
        <v>2272</v>
      </c>
      <c r="AC3299" s="21" t="s">
        <v>2272</v>
      </c>
      <c r="AD3299" s="4" t="s">
        <v>8731</v>
      </c>
      <c r="AE3299" s="198"/>
    </row>
    <row r="3300" spans="1:31" ht="66.5" customHeight="1">
      <c r="A3300" s="4" t="s">
        <v>8722</v>
      </c>
      <c r="B3300" s="4" t="s">
        <v>8726</v>
      </c>
      <c r="C3300" s="198" t="s">
        <v>23</v>
      </c>
      <c r="D3300" s="198" t="s">
        <v>2799</v>
      </c>
      <c r="E3300" s="198" t="s">
        <v>44</v>
      </c>
      <c r="F3300" s="4" t="s">
        <v>2657</v>
      </c>
      <c r="G3300" s="4" t="s">
        <v>2657</v>
      </c>
      <c r="H3300" s="198" t="s">
        <v>521</v>
      </c>
      <c r="I3300" s="198"/>
      <c r="J3300" s="21" t="s">
        <v>2272</v>
      </c>
      <c r="K3300" s="21" t="s">
        <v>2272</v>
      </c>
      <c r="L3300" s="21" t="s">
        <v>2272</v>
      </c>
      <c r="M3300" s="21" t="s">
        <v>2272</v>
      </c>
      <c r="N3300" s="21" t="s">
        <v>2272</v>
      </c>
      <c r="O3300" s="21" t="s">
        <v>2272</v>
      </c>
      <c r="P3300" s="21" t="s">
        <v>2272</v>
      </c>
      <c r="Q3300" s="21" t="s">
        <v>2272</v>
      </c>
      <c r="R3300" s="21" t="s">
        <v>2272</v>
      </c>
      <c r="S3300" s="21" t="s">
        <v>2272</v>
      </c>
      <c r="T3300" s="21" t="s">
        <v>2272</v>
      </c>
      <c r="U3300" s="21" t="s">
        <v>2272</v>
      </c>
      <c r="V3300" s="21" t="s">
        <v>2272</v>
      </c>
      <c r="W3300" s="21" t="s">
        <v>2272</v>
      </c>
      <c r="X3300" s="21" t="s">
        <v>2272</v>
      </c>
      <c r="Y3300" s="21" t="s">
        <v>2272</v>
      </c>
      <c r="Z3300" s="21" t="s">
        <v>2272</v>
      </c>
      <c r="AA3300" s="21" t="s">
        <v>2272</v>
      </c>
      <c r="AB3300" s="21" t="s">
        <v>2272</v>
      </c>
      <c r="AC3300" s="21" t="s">
        <v>2272</v>
      </c>
      <c r="AD3300" s="4" t="s">
        <v>8731</v>
      </c>
      <c r="AE3300" s="198"/>
    </row>
    <row r="3301" spans="1:31" ht="66.5" customHeight="1">
      <c r="A3301" s="4" t="s">
        <v>8721</v>
      </c>
      <c r="B3301" s="4" t="s">
        <v>8727</v>
      </c>
      <c r="C3301" s="198" t="s">
        <v>23</v>
      </c>
      <c r="D3301" s="198" t="s">
        <v>142</v>
      </c>
      <c r="E3301" s="198" t="s">
        <v>135</v>
      </c>
      <c r="F3301" s="4" t="s">
        <v>2657</v>
      </c>
      <c r="G3301" s="4" t="s">
        <v>2657</v>
      </c>
      <c r="H3301" s="198" t="s">
        <v>521</v>
      </c>
      <c r="I3301" s="198"/>
      <c r="J3301" s="21" t="s">
        <v>2272</v>
      </c>
      <c r="K3301" s="21" t="s">
        <v>2272</v>
      </c>
      <c r="L3301" s="21" t="s">
        <v>2272</v>
      </c>
      <c r="M3301" s="21" t="s">
        <v>2272</v>
      </c>
      <c r="N3301" s="21" t="s">
        <v>2272</v>
      </c>
      <c r="O3301" s="21" t="s">
        <v>2272</v>
      </c>
      <c r="P3301" s="21" t="s">
        <v>2272</v>
      </c>
      <c r="Q3301" s="21" t="s">
        <v>2272</v>
      </c>
      <c r="R3301" s="21" t="s">
        <v>2272</v>
      </c>
      <c r="S3301" s="21" t="s">
        <v>2272</v>
      </c>
      <c r="T3301" s="21" t="s">
        <v>2272</v>
      </c>
      <c r="U3301" s="21" t="s">
        <v>2272</v>
      </c>
      <c r="V3301" s="21" t="s">
        <v>2272</v>
      </c>
      <c r="W3301" s="21" t="s">
        <v>2272</v>
      </c>
      <c r="X3301" s="21" t="s">
        <v>2272</v>
      </c>
      <c r="Y3301" s="21" t="s">
        <v>2272</v>
      </c>
      <c r="Z3301" s="21" t="s">
        <v>2272</v>
      </c>
      <c r="AA3301" s="21" t="s">
        <v>2272</v>
      </c>
      <c r="AB3301" s="21" t="s">
        <v>2272</v>
      </c>
      <c r="AC3301" s="21" t="s">
        <v>2272</v>
      </c>
      <c r="AD3301" s="4" t="s">
        <v>8731</v>
      </c>
      <c r="AE3301" s="198"/>
    </row>
    <row r="3302" spans="1:31" ht="66.5" customHeight="1">
      <c r="A3302" s="4" t="s">
        <v>8722</v>
      </c>
      <c r="B3302" s="4" t="s">
        <v>8728</v>
      </c>
      <c r="C3302" s="198" t="s">
        <v>23</v>
      </c>
      <c r="D3302" s="198" t="s">
        <v>142</v>
      </c>
      <c r="E3302" s="198" t="s">
        <v>135</v>
      </c>
      <c r="F3302" s="4" t="s">
        <v>2657</v>
      </c>
      <c r="G3302" s="4" t="s">
        <v>2657</v>
      </c>
      <c r="H3302" s="198" t="s">
        <v>521</v>
      </c>
      <c r="I3302" s="198"/>
      <c r="J3302" s="21" t="s">
        <v>2272</v>
      </c>
      <c r="K3302" s="21" t="s">
        <v>2272</v>
      </c>
      <c r="L3302" s="21" t="s">
        <v>2272</v>
      </c>
      <c r="M3302" s="21" t="s">
        <v>2272</v>
      </c>
      <c r="N3302" s="21" t="s">
        <v>2272</v>
      </c>
      <c r="O3302" s="21" t="s">
        <v>2272</v>
      </c>
      <c r="P3302" s="21" t="s">
        <v>2272</v>
      </c>
      <c r="Q3302" s="21" t="s">
        <v>2272</v>
      </c>
      <c r="R3302" s="21" t="s">
        <v>2272</v>
      </c>
      <c r="S3302" s="21" t="s">
        <v>2272</v>
      </c>
      <c r="T3302" s="21" t="s">
        <v>2272</v>
      </c>
      <c r="U3302" s="21" t="s">
        <v>2272</v>
      </c>
      <c r="V3302" s="21" t="s">
        <v>2272</v>
      </c>
      <c r="W3302" s="21" t="s">
        <v>2272</v>
      </c>
      <c r="X3302" s="21" t="s">
        <v>2272</v>
      </c>
      <c r="Y3302" s="21" t="s">
        <v>2272</v>
      </c>
      <c r="Z3302" s="21" t="s">
        <v>2272</v>
      </c>
      <c r="AA3302" s="21" t="s">
        <v>2272</v>
      </c>
      <c r="AB3302" s="21" t="s">
        <v>2272</v>
      </c>
      <c r="AC3302" s="21" t="s">
        <v>2272</v>
      </c>
      <c r="AD3302" s="4" t="s">
        <v>8731</v>
      </c>
      <c r="AE3302" s="198"/>
    </row>
    <row r="3303" spans="1:31" ht="48" customHeight="1">
      <c r="A3303" s="4" t="s">
        <v>8733</v>
      </c>
      <c r="B3303" s="4" t="s">
        <v>8736</v>
      </c>
      <c r="C3303" s="198" t="s">
        <v>23</v>
      </c>
      <c r="D3303" s="198" t="s">
        <v>24</v>
      </c>
      <c r="E3303" s="198" t="s">
        <v>44</v>
      </c>
      <c r="F3303" s="4" t="s">
        <v>2657</v>
      </c>
      <c r="G3303" s="4" t="s">
        <v>2657</v>
      </c>
      <c r="H3303" s="198" t="s">
        <v>521</v>
      </c>
      <c r="I3303" s="198"/>
      <c r="J3303" s="21" t="s">
        <v>2272</v>
      </c>
      <c r="K3303" s="21" t="s">
        <v>2272</v>
      </c>
      <c r="L3303" s="21" t="s">
        <v>2272</v>
      </c>
      <c r="M3303" s="21" t="s">
        <v>2272</v>
      </c>
      <c r="N3303" s="21" t="s">
        <v>2272</v>
      </c>
      <c r="O3303" s="21" t="s">
        <v>2272</v>
      </c>
      <c r="P3303" s="21" t="s">
        <v>2272</v>
      </c>
      <c r="Q3303" s="21" t="s">
        <v>2272</v>
      </c>
      <c r="R3303" s="21" t="s">
        <v>2272</v>
      </c>
      <c r="S3303" s="21" t="s">
        <v>2272</v>
      </c>
      <c r="T3303" s="21" t="s">
        <v>2272</v>
      </c>
      <c r="U3303" s="21">
        <v>673400</v>
      </c>
      <c r="V3303" s="21" t="s">
        <v>2272</v>
      </c>
      <c r="W3303" s="21" t="s">
        <v>2272</v>
      </c>
      <c r="X3303" s="21" t="s">
        <v>2272</v>
      </c>
      <c r="Y3303" s="21">
        <f>U3303/'Record info'!K$1369</f>
        <v>13.522088353413654</v>
      </c>
      <c r="Z3303" s="21" t="s">
        <v>2272</v>
      </c>
      <c r="AA3303" s="198" t="s">
        <v>187</v>
      </c>
      <c r="AB3303" s="198" t="s">
        <v>84</v>
      </c>
      <c r="AC3303" s="21" t="s">
        <v>2272</v>
      </c>
      <c r="AD3303" s="198" t="s">
        <v>8755</v>
      </c>
      <c r="AE3303" s="198"/>
    </row>
    <row r="3304" spans="1:31" ht="54.5" customHeight="1">
      <c r="A3304" s="4" t="s">
        <v>8733</v>
      </c>
      <c r="B3304" s="4" t="s">
        <v>8737</v>
      </c>
      <c r="C3304" s="198" t="s">
        <v>23</v>
      </c>
      <c r="D3304" s="198" t="s">
        <v>24</v>
      </c>
      <c r="E3304" s="198" t="s">
        <v>44</v>
      </c>
      <c r="F3304" s="4" t="s">
        <v>2657</v>
      </c>
      <c r="G3304" s="4" t="s">
        <v>2657</v>
      </c>
      <c r="H3304" s="198" t="s">
        <v>521</v>
      </c>
      <c r="I3304" s="198"/>
      <c r="J3304" s="21" t="s">
        <v>2272</v>
      </c>
      <c r="K3304" s="21" t="s">
        <v>2272</v>
      </c>
      <c r="L3304" s="21" t="s">
        <v>2272</v>
      </c>
      <c r="M3304" s="21" t="s">
        <v>2272</v>
      </c>
      <c r="N3304" s="21" t="s">
        <v>2272</v>
      </c>
      <c r="O3304" s="21" t="s">
        <v>2272</v>
      </c>
      <c r="P3304" s="21" t="s">
        <v>2272</v>
      </c>
      <c r="Q3304" s="21" t="s">
        <v>2272</v>
      </c>
      <c r="R3304" s="21" t="s">
        <v>2272</v>
      </c>
      <c r="S3304" s="21" t="s">
        <v>2272</v>
      </c>
      <c r="T3304" s="21" t="s">
        <v>2272</v>
      </c>
      <c r="U3304" s="21">
        <v>60000</v>
      </c>
      <c r="V3304" s="21" t="s">
        <v>2272</v>
      </c>
      <c r="W3304" s="21" t="s">
        <v>2272</v>
      </c>
      <c r="X3304" s="21" t="s">
        <v>2272</v>
      </c>
      <c r="Y3304" s="21">
        <f>U3304/'Record info'!K$1369</f>
        <v>1.2048192771084338</v>
      </c>
      <c r="Z3304" s="21" t="s">
        <v>2272</v>
      </c>
      <c r="AA3304" s="198" t="s">
        <v>403</v>
      </c>
      <c r="AB3304" s="198" t="s">
        <v>34</v>
      </c>
      <c r="AC3304" s="21" t="s">
        <v>2272</v>
      </c>
      <c r="AD3304" s="198" t="s">
        <v>8755</v>
      </c>
      <c r="AE3304" s="198"/>
    </row>
    <row r="3305" spans="1:31" ht="33.5" customHeight="1">
      <c r="A3305" s="4" t="s">
        <v>8733</v>
      </c>
      <c r="B3305" s="4" t="s">
        <v>8738</v>
      </c>
      <c r="C3305" s="198" t="s">
        <v>23</v>
      </c>
      <c r="D3305" s="198" t="s">
        <v>2654</v>
      </c>
      <c r="E3305" s="198" t="s">
        <v>82</v>
      </c>
      <c r="F3305" s="4" t="s">
        <v>27</v>
      </c>
      <c r="G3305" s="4" t="s">
        <v>27</v>
      </c>
      <c r="H3305" s="198" t="s">
        <v>521</v>
      </c>
      <c r="I3305" s="198"/>
      <c r="J3305" s="21" t="s">
        <v>2272</v>
      </c>
      <c r="K3305" s="21" t="s">
        <v>2272</v>
      </c>
      <c r="L3305" s="21" t="s">
        <v>2272</v>
      </c>
      <c r="M3305" s="21" t="s">
        <v>2272</v>
      </c>
      <c r="N3305" s="21" t="s">
        <v>2272</v>
      </c>
      <c r="O3305" s="21" t="s">
        <v>2272</v>
      </c>
      <c r="P3305" s="21" t="s">
        <v>2272</v>
      </c>
      <c r="Q3305" s="21" t="s">
        <v>2272</v>
      </c>
      <c r="R3305" s="21" t="s">
        <v>2272</v>
      </c>
      <c r="S3305" s="21" t="s">
        <v>2272</v>
      </c>
      <c r="T3305" s="21" t="s">
        <v>2272</v>
      </c>
      <c r="U3305" s="21" t="s">
        <v>2272</v>
      </c>
      <c r="V3305" s="21" t="s">
        <v>2272</v>
      </c>
      <c r="W3305" s="21" t="s">
        <v>2272</v>
      </c>
      <c r="X3305" s="21" t="s">
        <v>2272</v>
      </c>
      <c r="Y3305" s="21" t="s">
        <v>2272</v>
      </c>
      <c r="Z3305" s="21" t="s">
        <v>2272</v>
      </c>
      <c r="AA3305" s="198" t="s">
        <v>187</v>
      </c>
      <c r="AB3305" s="198" t="s">
        <v>84</v>
      </c>
      <c r="AC3305" s="21" t="s">
        <v>2272</v>
      </c>
      <c r="AD3305" s="198"/>
      <c r="AE3305" s="198"/>
    </row>
    <row r="3306" spans="1:31" ht="33.5" customHeight="1">
      <c r="A3306" s="4" t="s">
        <v>8733</v>
      </c>
      <c r="B3306" s="4" t="s">
        <v>8739</v>
      </c>
      <c r="C3306" s="198" t="s">
        <v>23</v>
      </c>
      <c r="D3306" s="198" t="s">
        <v>2654</v>
      </c>
      <c r="E3306" s="198" t="s">
        <v>82</v>
      </c>
      <c r="F3306" s="4" t="s">
        <v>27</v>
      </c>
      <c r="G3306" s="4" t="s">
        <v>27</v>
      </c>
      <c r="H3306" s="198" t="s">
        <v>521</v>
      </c>
      <c r="I3306" s="198"/>
      <c r="J3306" s="21" t="s">
        <v>2272</v>
      </c>
      <c r="K3306" s="21" t="s">
        <v>2272</v>
      </c>
      <c r="L3306" s="21" t="s">
        <v>2272</v>
      </c>
      <c r="M3306" s="21" t="s">
        <v>2272</v>
      </c>
      <c r="N3306" s="21" t="s">
        <v>2272</v>
      </c>
      <c r="O3306" s="21" t="s">
        <v>2272</v>
      </c>
      <c r="P3306" s="21" t="s">
        <v>2272</v>
      </c>
      <c r="Q3306" s="21" t="s">
        <v>2272</v>
      </c>
      <c r="R3306" s="21" t="s">
        <v>2272</v>
      </c>
      <c r="S3306" s="21" t="s">
        <v>2272</v>
      </c>
      <c r="T3306" s="21" t="s">
        <v>2272</v>
      </c>
      <c r="U3306" s="21" t="s">
        <v>2272</v>
      </c>
      <c r="V3306" s="21" t="s">
        <v>2272</v>
      </c>
      <c r="W3306" s="21" t="s">
        <v>2272</v>
      </c>
      <c r="X3306" s="21" t="s">
        <v>2272</v>
      </c>
      <c r="Y3306" s="21" t="s">
        <v>2272</v>
      </c>
      <c r="Z3306" s="21" t="s">
        <v>2272</v>
      </c>
      <c r="AA3306" s="198" t="s">
        <v>403</v>
      </c>
      <c r="AB3306" s="198" t="s">
        <v>34</v>
      </c>
      <c r="AC3306" s="21" t="s">
        <v>2272</v>
      </c>
      <c r="AD3306" s="198"/>
      <c r="AE3306" s="198"/>
    </row>
    <row r="3307" spans="1:31" ht="31" customHeight="1">
      <c r="A3307" s="4" t="s">
        <v>8740</v>
      </c>
      <c r="B3307" s="4" t="s">
        <v>8744</v>
      </c>
      <c r="C3307" s="198" t="s">
        <v>23</v>
      </c>
      <c r="D3307" s="198" t="s">
        <v>24</v>
      </c>
      <c r="E3307" s="198" t="s">
        <v>44</v>
      </c>
      <c r="F3307" s="4" t="s">
        <v>54</v>
      </c>
      <c r="G3307" s="4" t="s">
        <v>54</v>
      </c>
      <c r="H3307" s="198" t="s">
        <v>521</v>
      </c>
      <c r="I3307" s="198"/>
      <c r="J3307" s="21" t="s">
        <v>2272</v>
      </c>
      <c r="K3307" s="21" t="s">
        <v>2272</v>
      </c>
      <c r="L3307" s="21" t="s">
        <v>2272</v>
      </c>
      <c r="M3307" s="21" t="s">
        <v>2272</v>
      </c>
      <c r="N3307" s="21" t="s">
        <v>2272</v>
      </c>
      <c r="O3307" s="21" t="s">
        <v>2272</v>
      </c>
      <c r="P3307" s="21" t="s">
        <v>2272</v>
      </c>
      <c r="Q3307" s="21" t="s">
        <v>2272</v>
      </c>
      <c r="R3307" s="21" t="s">
        <v>2272</v>
      </c>
      <c r="S3307" s="21" t="s">
        <v>2272</v>
      </c>
      <c r="T3307" s="21" t="s">
        <v>2272</v>
      </c>
      <c r="U3307" s="21" t="s">
        <v>2272</v>
      </c>
      <c r="V3307" s="21" t="s">
        <v>2272</v>
      </c>
      <c r="W3307" s="21" t="s">
        <v>2272</v>
      </c>
      <c r="X3307" s="21" t="s">
        <v>2272</v>
      </c>
      <c r="Y3307" s="21" t="s">
        <v>2272</v>
      </c>
      <c r="Z3307" s="21" t="s">
        <v>2272</v>
      </c>
      <c r="AA3307" s="198" t="s">
        <v>187</v>
      </c>
      <c r="AB3307" s="198" t="s">
        <v>84</v>
      </c>
      <c r="AC3307" s="21" t="s">
        <v>2272</v>
      </c>
      <c r="AD3307" s="21" t="s">
        <v>8748</v>
      </c>
      <c r="AE3307" s="198"/>
    </row>
    <row r="3308" spans="1:31" ht="31" customHeight="1">
      <c r="A3308" s="4" t="s">
        <v>8740</v>
      </c>
      <c r="B3308" s="4" t="s">
        <v>8745</v>
      </c>
      <c r="C3308" s="198" t="s">
        <v>23</v>
      </c>
      <c r="D3308" s="198" t="s">
        <v>24</v>
      </c>
      <c r="E3308" s="198" t="s">
        <v>44</v>
      </c>
      <c r="F3308" s="4" t="s">
        <v>54</v>
      </c>
      <c r="G3308" s="4" t="s">
        <v>54</v>
      </c>
      <c r="H3308" s="198" t="s">
        <v>521</v>
      </c>
      <c r="I3308" s="198"/>
      <c r="J3308" s="21" t="s">
        <v>2272</v>
      </c>
      <c r="K3308" s="21" t="s">
        <v>2272</v>
      </c>
      <c r="L3308" s="21" t="s">
        <v>2272</v>
      </c>
      <c r="M3308" s="21" t="s">
        <v>2272</v>
      </c>
      <c r="N3308" s="21" t="s">
        <v>2272</v>
      </c>
      <c r="O3308" s="21" t="s">
        <v>2272</v>
      </c>
      <c r="P3308" s="21" t="s">
        <v>2272</v>
      </c>
      <c r="Q3308" s="21" t="s">
        <v>2272</v>
      </c>
      <c r="R3308" s="21" t="s">
        <v>2272</v>
      </c>
      <c r="S3308" s="21" t="s">
        <v>2272</v>
      </c>
      <c r="T3308" s="21" t="s">
        <v>2272</v>
      </c>
      <c r="U3308" s="21" t="s">
        <v>2272</v>
      </c>
      <c r="V3308" s="21" t="s">
        <v>2272</v>
      </c>
      <c r="W3308" s="21" t="s">
        <v>2272</v>
      </c>
      <c r="X3308" s="21" t="s">
        <v>2272</v>
      </c>
      <c r="Y3308" s="21" t="s">
        <v>2272</v>
      </c>
      <c r="Z3308" s="21" t="s">
        <v>2272</v>
      </c>
      <c r="AA3308" s="198" t="s">
        <v>403</v>
      </c>
      <c r="AB3308" s="198" t="s">
        <v>34</v>
      </c>
      <c r="AC3308" s="21" t="s">
        <v>2272</v>
      </c>
      <c r="AD3308" s="21" t="s">
        <v>8748</v>
      </c>
      <c r="AE3308" s="198"/>
    </row>
    <row r="3309" spans="1:31" ht="31" customHeight="1">
      <c r="A3309" s="4" t="s">
        <v>8740</v>
      </c>
      <c r="B3309" s="4" t="s">
        <v>8746</v>
      </c>
      <c r="C3309" s="198" t="s">
        <v>23</v>
      </c>
      <c r="D3309" s="198" t="s">
        <v>2654</v>
      </c>
      <c r="E3309" s="198" t="s">
        <v>82</v>
      </c>
      <c r="F3309" s="4" t="s">
        <v>27</v>
      </c>
      <c r="G3309" s="4" t="s">
        <v>27</v>
      </c>
      <c r="H3309" s="198" t="s">
        <v>521</v>
      </c>
      <c r="I3309" s="198"/>
      <c r="J3309" s="21" t="s">
        <v>2272</v>
      </c>
      <c r="K3309" s="21" t="s">
        <v>2272</v>
      </c>
      <c r="L3309" s="21" t="s">
        <v>2272</v>
      </c>
      <c r="M3309" s="21" t="s">
        <v>2272</v>
      </c>
      <c r="N3309" s="21" t="s">
        <v>2272</v>
      </c>
      <c r="O3309" s="21" t="s">
        <v>2272</v>
      </c>
      <c r="P3309" s="21" t="s">
        <v>2272</v>
      </c>
      <c r="Q3309" s="21" t="s">
        <v>2272</v>
      </c>
      <c r="R3309" s="21" t="s">
        <v>2272</v>
      </c>
      <c r="S3309" s="21" t="s">
        <v>2272</v>
      </c>
      <c r="T3309" s="21" t="s">
        <v>2272</v>
      </c>
      <c r="U3309" s="21" t="s">
        <v>2272</v>
      </c>
      <c r="V3309" s="21" t="s">
        <v>2272</v>
      </c>
      <c r="W3309" s="21" t="s">
        <v>2272</v>
      </c>
      <c r="X3309" s="21" t="s">
        <v>2272</v>
      </c>
      <c r="Y3309" s="21" t="s">
        <v>2272</v>
      </c>
      <c r="Z3309" s="21" t="s">
        <v>2272</v>
      </c>
      <c r="AA3309" s="198" t="s">
        <v>187</v>
      </c>
      <c r="AB3309" s="198" t="s">
        <v>84</v>
      </c>
      <c r="AC3309" s="21" t="s">
        <v>2272</v>
      </c>
      <c r="AD3309" s="21" t="s">
        <v>8748</v>
      </c>
      <c r="AE3309" s="198"/>
    </row>
    <row r="3310" spans="1:31" ht="31" customHeight="1">
      <c r="A3310" s="4" t="s">
        <v>8740</v>
      </c>
      <c r="B3310" s="4" t="s">
        <v>8747</v>
      </c>
      <c r="C3310" s="198" t="s">
        <v>23</v>
      </c>
      <c r="D3310" s="198" t="s">
        <v>2654</v>
      </c>
      <c r="E3310" s="198" t="s">
        <v>82</v>
      </c>
      <c r="F3310" s="4" t="s">
        <v>27</v>
      </c>
      <c r="G3310" s="4" t="s">
        <v>27</v>
      </c>
      <c r="H3310" s="198" t="s">
        <v>521</v>
      </c>
      <c r="I3310" s="198"/>
      <c r="J3310" s="21" t="s">
        <v>2272</v>
      </c>
      <c r="K3310" s="21" t="s">
        <v>2272</v>
      </c>
      <c r="L3310" s="21" t="s">
        <v>2272</v>
      </c>
      <c r="M3310" s="21" t="s">
        <v>2272</v>
      </c>
      <c r="N3310" s="21" t="s">
        <v>2272</v>
      </c>
      <c r="O3310" s="21" t="s">
        <v>2272</v>
      </c>
      <c r="P3310" s="21" t="s">
        <v>2272</v>
      </c>
      <c r="Q3310" s="21" t="s">
        <v>2272</v>
      </c>
      <c r="R3310" s="21" t="s">
        <v>2272</v>
      </c>
      <c r="S3310" s="21" t="s">
        <v>2272</v>
      </c>
      <c r="T3310" s="21" t="s">
        <v>2272</v>
      </c>
      <c r="U3310" s="21" t="s">
        <v>2272</v>
      </c>
      <c r="V3310" s="21" t="s">
        <v>2272</v>
      </c>
      <c r="W3310" s="21" t="s">
        <v>2272</v>
      </c>
      <c r="X3310" s="21" t="s">
        <v>2272</v>
      </c>
      <c r="Y3310" s="21" t="s">
        <v>2272</v>
      </c>
      <c r="Z3310" s="21" t="s">
        <v>2272</v>
      </c>
      <c r="AA3310" s="198" t="s">
        <v>403</v>
      </c>
      <c r="AB3310" s="198" t="s">
        <v>34</v>
      </c>
      <c r="AC3310" s="21" t="s">
        <v>2272</v>
      </c>
      <c r="AD3310" s="21" t="s">
        <v>8748</v>
      </c>
      <c r="AE3310" s="198"/>
    </row>
    <row r="3311" spans="1:31" ht="34.5" customHeight="1">
      <c r="A3311" s="4" t="s">
        <v>8741</v>
      </c>
      <c r="B3311" s="4" t="s">
        <v>8749</v>
      </c>
      <c r="C3311" s="198" t="s">
        <v>23</v>
      </c>
      <c r="D3311" s="198" t="s">
        <v>24</v>
      </c>
      <c r="E3311" s="198" t="s">
        <v>44</v>
      </c>
      <c r="F3311" s="4" t="s">
        <v>54</v>
      </c>
      <c r="G3311" s="4" t="s">
        <v>54</v>
      </c>
      <c r="H3311" s="198" t="s">
        <v>521</v>
      </c>
      <c r="I3311" s="198"/>
      <c r="J3311" s="21" t="s">
        <v>2272</v>
      </c>
      <c r="K3311" s="21" t="s">
        <v>2272</v>
      </c>
      <c r="L3311" s="21" t="s">
        <v>2272</v>
      </c>
      <c r="M3311" s="21" t="s">
        <v>2272</v>
      </c>
      <c r="N3311" s="21" t="s">
        <v>2272</v>
      </c>
      <c r="O3311" s="21" t="s">
        <v>2272</v>
      </c>
      <c r="P3311" s="21" t="s">
        <v>2272</v>
      </c>
      <c r="Q3311" s="21" t="s">
        <v>2272</v>
      </c>
      <c r="R3311" s="21" t="s">
        <v>2272</v>
      </c>
      <c r="S3311" s="21" t="s">
        <v>2272</v>
      </c>
      <c r="T3311" s="21" t="s">
        <v>2272</v>
      </c>
      <c r="U3311" s="21" t="s">
        <v>2272</v>
      </c>
      <c r="V3311" s="21" t="s">
        <v>2272</v>
      </c>
      <c r="W3311" s="21" t="s">
        <v>2272</v>
      </c>
      <c r="X3311" s="21" t="s">
        <v>2272</v>
      </c>
      <c r="Y3311" s="21" t="s">
        <v>2272</v>
      </c>
      <c r="Z3311" s="21" t="s">
        <v>2272</v>
      </c>
      <c r="AA3311" s="198" t="s">
        <v>187</v>
      </c>
      <c r="AB3311" s="198" t="s">
        <v>84</v>
      </c>
      <c r="AC3311" s="21" t="s">
        <v>2272</v>
      </c>
      <c r="AD3311" s="21" t="s">
        <v>8748</v>
      </c>
      <c r="AE3311" s="198"/>
    </row>
    <row r="3312" spans="1:31" ht="34.5" customHeight="1">
      <c r="A3312" s="4" t="s">
        <v>8741</v>
      </c>
      <c r="B3312" s="4" t="s">
        <v>8750</v>
      </c>
      <c r="C3312" s="198" t="s">
        <v>23</v>
      </c>
      <c r="D3312" s="198" t="s">
        <v>24</v>
      </c>
      <c r="E3312" s="198" t="s">
        <v>44</v>
      </c>
      <c r="F3312" s="4" t="s">
        <v>54</v>
      </c>
      <c r="G3312" s="4" t="s">
        <v>54</v>
      </c>
      <c r="H3312" s="198" t="s">
        <v>521</v>
      </c>
      <c r="I3312" s="198"/>
      <c r="J3312" s="21" t="s">
        <v>2272</v>
      </c>
      <c r="K3312" s="21" t="s">
        <v>2272</v>
      </c>
      <c r="L3312" s="21" t="s">
        <v>2272</v>
      </c>
      <c r="M3312" s="21" t="s">
        <v>2272</v>
      </c>
      <c r="N3312" s="21" t="s">
        <v>2272</v>
      </c>
      <c r="O3312" s="21" t="s">
        <v>2272</v>
      </c>
      <c r="P3312" s="21" t="s">
        <v>2272</v>
      </c>
      <c r="Q3312" s="21" t="s">
        <v>2272</v>
      </c>
      <c r="R3312" s="21" t="s">
        <v>2272</v>
      </c>
      <c r="S3312" s="21" t="s">
        <v>2272</v>
      </c>
      <c r="T3312" s="21" t="s">
        <v>2272</v>
      </c>
      <c r="U3312" s="21" t="s">
        <v>2272</v>
      </c>
      <c r="V3312" s="21" t="s">
        <v>2272</v>
      </c>
      <c r="W3312" s="21" t="s">
        <v>2272</v>
      </c>
      <c r="X3312" s="21" t="s">
        <v>2272</v>
      </c>
      <c r="Y3312" s="21" t="s">
        <v>2272</v>
      </c>
      <c r="Z3312" s="21" t="s">
        <v>2272</v>
      </c>
      <c r="AA3312" s="198" t="s">
        <v>403</v>
      </c>
      <c r="AB3312" s="198" t="s">
        <v>34</v>
      </c>
      <c r="AC3312" s="21" t="s">
        <v>2272</v>
      </c>
      <c r="AD3312" s="21" t="s">
        <v>8748</v>
      </c>
      <c r="AE3312" s="198"/>
    </row>
    <row r="3313" spans="1:31" ht="34.5" customHeight="1">
      <c r="A3313" s="4" t="s">
        <v>8741</v>
      </c>
      <c r="B3313" s="4" t="s">
        <v>8751</v>
      </c>
      <c r="C3313" s="198" t="s">
        <v>23</v>
      </c>
      <c r="D3313" s="198" t="s">
        <v>2654</v>
      </c>
      <c r="E3313" s="198" t="s">
        <v>82</v>
      </c>
      <c r="F3313" s="4" t="s">
        <v>27</v>
      </c>
      <c r="G3313" s="4" t="s">
        <v>27</v>
      </c>
      <c r="H3313" s="198" t="s">
        <v>521</v>
      </c>
      <c r="I3313" s="198"/>
      <c r="J3313" s="21" t="s">
        <v>2272</v>
      </c>
      <c r="K3313" s="21" t="s">
        <v>2272</v>
      </c>
      <c r="L3313" s="21" t="s">
        <v>2272</v>
      </c>
      <c r="M3313" s="21" t="s">
        <v>2272</v>
      </c>
      <c r="N3313" s="21" t="s">
        <v>2272</v>
      </c>
      <c r="O3313" s="21" t="s">
        <v>2272</v>
      </c>
      <c r="P3313" s="21" t="s">
        <v>2272</v>
      </c>
      <c r="Q3313" s="21" t="s">
        <v>2272</v>
      </c>
      <c r="R3313" s="21" t="s">
        <v>2272</v>
      </c>
      <c r="S3313" s="21" t="s">
        <v>2272</v>
      </c>
      <c r="T3313" s="21" t="s">
        <v>2272</v>
      </c>
      <c r="U3313" s="21" t="s">
        <v>2272</v>
      </c>
      <c r="V3313" s="21" t="s">
        <v>2272</v>
      </c>
      <c r="W3313" s="21" t="s">
        <v>2272</v>
      </c>
      <c r="X3313" s="21" t="s">
        <v>2272</v>
      </c>
      <c r="Y3313" s="21" t="s">
        <v>2272</v>
      </c>
      <c r="Z3313" s="21" t="s">
        <v>2272</v>
      </c>
      <c r="AA3313" s="198" t="s">
        <v>187</v>
      </c>
      <c r="AB3313" s="198" t="s">
        <v>84</v>
      </c>
      <c r="AC3313" s="21" t="s">
        <v>2272</v>
      </c>
      <c r="AD3313" s="21" t="s">
        <v>8748</v>
      </c>
      <c r="AE3313" s="198"/>
    </row>
    <row r="3314" spans="1:31" ht="34.5" customHeight="1">
      <c r="A3314" s="4" t="s">
        <v>8741</v>
      </c>
      <c r="B3314" s="4" t="s">
        <v>8752</v>
      </c>
      <c r="C3314" s="198" t="s">
        <v>23</v>
      </c>
      <c r="D3314" s="198" t="s">
        <v>2654</v>
      </c>
      <c r="E3314" s="198" t="s">
        <v>82</v>
      </c>
      <c r="F3314" s="4" t="s">
        <v>27</v>
      </c>
      <c r="G3314" s="4" t="s">
        <v>27</v>
      </c>
      <c r="H3314" s="198" t="s">
        <v>521</v>
      </c>
      <c r="I3314" s="198"/>
      <c r="J3314" s="21" t="s">
        <v>2272</v>
      </c>
      <c r="K3314" s="21" t="s">
        <v>2272</v>
      </c>
      <c r="L3314" s="21" t="s">
        <v>2272</v>
      </c>
      <c r="M3314" s="21" t="s">
        <v>2272</v>
      </c>
      <c r="N3314" s="21" t="s">
        <v>2272</v>
      </c>
      <c r="O3314" s="21" t="s">
        <v>2272</v>
      </c>
      <c r="P3314" s="21" t="s">
        <v>2272</v>
      </c>
      <c r="Q3314" s="21" t="s">
        <v>2272</v>
      </c>
      <c r="R3314" s="21" t="s">
        <v>2272</v>
      </c>
      <c r="S3314" s="21" t="s">
        <v>2272</v>
      </c>
      <c r="T3314" s="21" t="s">
        <v>2272</v>
      </c>
      <c r="U3314" s="21" t="s">
        <v>2272</v>
      </c>
      <c r="V3314" s="21" t="s">
        <v>2272</v>
      </c>
      <c r="W3314" s="21" t="s">
        <v>2272</v>
      </c>
      <c r="X3314" s="21" t="s">
        <v>2272</v>
      </c>
      <c r="Y3314" s="21" t="s">
        <v>2272</v>
      </c>
      <c r="Z3314" s="21" t="s">
        <v>2272</v>
      </c>
      <c r="AA3314" s="198" t="s">
        <v>403</v>
      </c>
      <c r="AB3314" s="198" t="s">
        <v>34</v>
      </c>
      <c r="AC3314" s="21" t="s">
        <v>2272</v>
      </c>
      <c r="AD3314" s="21" t="s">
        <v>8748</v>
      </c>
      <c r="AE3314" s="198"/>
    </row>
    <row r="3315" spans="1:31" ht="44.5" customHeight="1">
      <c r="A3315" s="5" t="s">
        <v>8757</v>
      </c>
      <c r="B3315" s="5" t="s">
        <v>8789</v>
      </c>
      <c r="C3315" s="198" t="s">
        <v>23</v>
      </c>
      <c r="D3315" s="198" t="s">
        <v>2654</v>
      </c>
      <c r="E3315" s="4" t="s">
        <v>394</v>
      </c>
      <c r="F3315" s="4" t="s">
        <v>27</v>
      </c>
      <c r="G3315" s="4" t="s">
        <v>27</v>
      </c>
      <c r="H3315" s="198" t="s">
        <v>521</v>
      </c>
      <c r="I3315" s="198"/>
      <c r="J3315" s="21" t="s">
        <v>2272</v>
      </c>
      <c r="K3315" s="21" t="s">
        <v>2272</v>
      </c>
      <c r="L3315" s="21" t="s">
        <v>2272</v>
      </c>
      <c r="M3315" s="21" t="s">
        <v>2272</v>
      </c>
      <c r="N3315" s="21" t="s">
        <v>2272</v>
      </c>
      <c r="O3315" s="21" t="s">
        <v>2272</v>
      </c>
      <c r="P3315" s="21" t="s">
        <v>2272</v>
      </c>
      <c r="Q3315" s="21" t="s">
        <v>2272</v>
      </c>
      <c r="R3315" s="21" t="s">
        <v>2272</v>
      </c>
      <c r="S3315" s="21" t="s">
        <v>2272</v>
      </c>
      <c r="T3315" s="21" t="s">
        <v>2272</v>
      </c>
      <c r="U3315" s="21">
        <v>710</v>
      </c>
      <c r="V3315" s="21" t="s">
        <v>2272</v>
      </c>
      <c r="W3315" s="21">
        <v>60</v>
      </c>
      <c r="X3315" s="21" t="s">
        <v>2272</v>
      </c>
      <c r="Y3315" s="21" t="s">
        <v>2272</v>
      </c>
      <c r="Z3315" s="21" t="s">
        <v>2272</v>
      </c>
      <c r="AA3315" s="198" t="s">
        <v>423</v>
      </c>
      <c r="AB3315" s="198" t="s">
        <v>67</v>
      </c>
      <c r="AC3315" s="21" t="s">
        <v>2272</v>
      </c>
      <c r="AD3315" s="198"/>
      <c r="AE3315" s="198"/>
    </row>
    <row r="3316" spans="1:31" ht="44.5" customHeight="1">
      <c r="A3316" s="198" t="s">
        <v>8758</v>
      </c>
      <c r="B3316" s="198" t="s">
        <v>8758</v>
      </c>
      <c r="C3316" s="198" t="s">
        <v>23</v>
      </c>
      <c r="D3316" s="198" t="s">
        <v>2654</v>
      </c>
      <c r="E3316" s="4" t="s">
        <v>394</v>
      </c>
      <c r="F3316" s="4" t="s">
        <v>27</v>
      </c>
      <c r="G3316" s="4" t="s">
        <v>27</v>
      </c>
      <c r="H3316" s="198" t="s">
        <v>521</v>
      </c>
      <c r="I3316" s="198"/>
      <c r="J3316" s="21" t="s">
        <v>2272</v>
      </c>
      <c r="K3316" s="21" t="s">
        <v>2272</v>
      </c>
      <c r="L3316" s="21" t="s">
        <v>2272</v>
      </c>
      <c r="M3316" s="21" t="s">
        <v>2272</v>
      </c>
      <c r="N3316" s="21" t="s">
        <v>2272</v>
      </c>
      <c r="O3316" s="21" t="s">
        <v>2272</v>
      </c>
      <c r="P3316" s="21" t="s">
        <v>2272</v>
      </c>
      <c r="Q3316" s="21" t="s">
        <v>2272</v>
      </c>
      <c r="R3316" s="21" t="s">
        <v>2272</v>
      </c>
      <c r="S3316" s="21" t="s">
        <v>2272</v>
      </c>
      <c r="T3316" s="21" t="s">
        <v>2272</v>
      </c>
      <c r="U3316" s="21">
        <v>49930.5</v>
      </c>
      <c r="V3316" s="21" t="s">
        <v>2272</v>
      </c>
      <c r="W3316" s="21">
        <v>60</v>
      </c>
      <c r="X3316" s="21" t="s">
        <v>2272</v>
      </c>
      <c r="Y3316" s="21" t="s">
        <v>2272</v>
      </c>
      <c r="Z3316" s="21" t="s">
        <v>2272</v>
      </c>
      <c r="AA3316" s="198" t="s">
        <v>423</v>
      </c>
      <c r="AB3316" s="198" t="s">
        <v>67</v>
      </c>
      <c r="AC3316" s="21" t="s">
        <v>2272</v>
      </c>
      <c r="AD3316" s="198"/>
      <c r="AE3316" s="198"/>
    </row>
    <row r="3317" spans="1:31" ht="44.5" customHeight="1">
      <c r="A3317" s="198" t="s">
        <v>8759</v>
      </c>
      <c r="B3317" s="198" t="s">
        <v>8759</v>
      </c>
      <c r="C3317" s="198" t="s">
        <v>23</v>
      </c>
      <c r="D3317" s="198" t="s">
        <v>2654</v>
      </c>
      <c r="E3317" s="4" t="s">
        <v>394</v>
      </c>
      <c r="F3317" s="4" t="s">
        <v>27</v>
      </c>
      <c r="G3317" s="4" t="s">
        <v>27</v>
      </c>
      <c r="H3317" s="198" t="s">
        <v>521</v>
      </c>
      <c r="I3317" s="198"/>
      <c r="J3317" s="21" t="s">
        <v>2272</v>
      </c>
      <c r="K3317" s="21" t="s">
        <v>2272</v>
      </c>
      <c r="L3317" s="21" t="s">
        <v>2272</v>
      </c>
      <c r="M3317" s="21" t="s">
        <v>2272</v>
      </c>
      <c r="N3317" s="21" t="s">
        <v>2272</v>
      </c>
      <c r="O3317" s="21" t="s">
        <v>2272</v>
      </c>
      <c r="P3317" s="21" t="s">
        <v>2272</v>
      </c>
      <c r="Q3317" s="21" t="s">
        <v>2272</v>
      </c>
      <c r="R3317" s="21" t="s">
        <v>2272</v>
      </c>
      <c r="S3317" s="21" t="s">
        <v>2272</v>
      </c>
      <c r="T3317" s="21" t="s">
        <v>2272</v>
      </c>
      <c r="U3317" s="21">
        <v>33345</v>
      </c>
      <c r="V3317" s="21" t="s">
        <v>2272</v>
      </c>
      <c r="W3317" s="21">
        <v>60</v>
      </c>
      <c r="X3317" s="21" t="s">
        <v>2272</v>
      </c>
      <c r="Y3317" s="21" t="s">
        <v>2272</v>
      </c>
      <c r="Z3317" s="21" t="s">
        <v>2272</v>
      </c>
      <c r="AA3317" s="198" t="s">
        <v>423</v>
      </c>
      <c r="AB3317" s="198" t="s">
        <v>67</v>
      </c>
      <c r="AC3317" s="21" t="s">
        <v>2272</v>
      </c>
      <c r="AD3317" s="198"/>
      <c r="AE3317" s="198"/>
    </row>
    <row r="3318" spans="1:31" ht="44.5" customHeight="1">
      <c r="A3318" s="198" t="s">
        <v>8760</v>
      </c>
      <c r="B3318" s="198" t="s">
        <v>8760</v>
      </c>
      <c r="C3318" s="198" t="s">
        <v>23</v>
      </c>
      <c r="D3318" s="198" t="s">
        <v>2654</v>
      </c>
      <c r="E3318" s="4" t="s">
        <v>394</v>
      </c>
      <c r="F3318" s="4" t="s">
        <v>27</v>
      </c>
      <c r="G3318" s="4" t="s">
        <v>27</v>
      </c>
      <c r="H3318" s="198" t="s">
        <v>521</v>
      </c>
      <c r="I3318" s="198"/>
      <c r="J3318" s="21" t="s">
        <v>2272</v>
      </c>
      <c r="K3318" s="21" t="s">
        <v>2272</v>
      </c>
      <c r="L3318" s="21" t="s">
        <v>2272</v>
      </c>
      <c r="M3318" s="21" t="s">
        <v>2272</v>
      </c>
      <c r="N3318" s="21" t="s">
        <v>2272</v>
      </c>
      <c r="O3318" s="21" t="s">
        <v>2272</v>
      </c>
      <c r="P3318" s="21" t="s">
        <v>2272</v>
      </c>
      <c r="Q3318" s="21" t="s">
        <v>2272</v>
      </c>
      <c r="R3318" s="21" t="s">
        <v>2272</v>
      </c>
      <c r="S3318" s="21" t="s">
        <v>2272</v>
      </c>
      <c r="T3318" s="21" t="s">
        <v>2272</v>
      </c>
      <c r="U3318" s="21">
        <v>78493</v>
      </c>
      <c r="V3318" s="21" t="s">
        <v>2272</v>
      </c>
      <c r="W3318" s="21">
        <v>60</v>
      </c>
      <c r="X3318" s="21" t="s">
        <v>2272</v>
      </c>
      <c r="Y3318" s="21" t="s">
        <v>2272</v>
      </c>
      <c r="Z3318" s="21" t="s">
        <v>2272</v>
      </c>
      <c r="AA3318" s="198" t="s">
        <v>423</v>
      </c>
      <c r="AB3318" s="198" t="s">
        <v>67</v>
      </c>
      <c r="AC3318" s="21" t="s">
        <v>2272</v>
      </c>
      <c r="AD3318" s="198"/>
      <c r="AE3318" s="198"/>
    </row>
    <row r="3319" spans="1:31" ht="44.5" customHeight="1">
      <c r="A3319" s="198" t="s">
        <v>8761</v>
      </c>
      <c r="B3319" s="198" t="s">
        <v>8761</v>
      </c>
      <c r="C3319" s="198" t="s">
        <v>23</v>
      </c>
      <c r="D3319" s="198" t="s">
        <v>2654</v>
      </c>
      <c r="E3319" s="4" t="s">
        <v>394</v>
      </c>
      <c r="F3319" s="4" t="s">
        <v>27</v>
      </c>
      <c r="G3319" s="4" t="s">
        <v>27</v>
      </c>
      <c r="H3319" s="198" t="s">
        <v>521</v>
      </c>
      <c r="I3319" s="198"/>
      <c r="J3319" s="21" t="s">
        <v>2272</v>
      </c>
      <c r="K3319" s="21" t="s">
        <v>2272</v>
      </c>
      <c r="L3319" s="21" t="s">
        <v>2272</v>
      </c>
      <c r="M3319" s="21" t="s">
        <v>2272</v>
      </c>
      <c r="N3319" s="21" t="s">
        <v>2272</v>
      </c>
      <c r="O3319" s="21" t="s">
        <v>2272</v>
      </c>
      <c r="P3319" s="21" t="s">
        <v>2272</v>
      </c>
      <c r="Q3319" s="21" t="s">
        <v>2272</v>
      </c>
      <c r="R3319" s="21" t="s">
        <v>2272</v>
      </c>
      <c r="S3319" s="21" t="s">
        <v>2272</v>
      </c>
      <c r="T3319" s="21" t="s">
        <v>2272</v>
      </c>
      <c r="U3319" s="21">
        <v>97383.25</v>
      </c>
      <c r="V3319" s="21" t="s">
        <v>2272</v>
      </c>
      <c r="W3319" s="21">
        <v>60</v>
      </c>
      <c r="X3319" s="21" t="s">
        <v>2272</v>
      </c>
      <c r="Y3319" s="21" t="s">
        <v>2272</v>
      </c>
      <c r="Z3319" s="21" t="s">
        <v>2272</v>
      </c>
      <c r="AA3319" s="198" t="s">
        <v>423</v>
      </c>
      <c r="AB3319" s="198" t="s">
        <v>67</v>
      </c>
      <c r="AC3319" s="21" t="s">
        <v>2272</v>
      </c>
      <c r="AD3319" s="198"/>
      <c r="AE3319" s="198"/>
    </row>
    <row r="3320" spans="1:31" ht="44.5" customHeight="1">
      <c r="A3320" s="198" t="s">
        <v>8762</v>
      </c>
      <c r="B3320" s="198" t="s">
        <v>8762</v>
      </c>
      <c r="C3320" s="198" t="s">
        <v>23</v>
      </c>
      <c r="D3320" s="198" t="s">
        <v>2654</v>
      </c>
      <c r="E3320" s="4" t="s">
        <v>394</v>
      </c>
      <c r="F3320" s="4" t="s">
        <v>27</v>
      </c>
      <c r="G3320" s="4" t="s">
        <v>27</v>
      </c>
      <c r="H3320" s="198" t="s">
        <v>521</v>
      </c>
      <c r="I3320" s="198"/>
      <c r="J3320" s="21" t="s">
        <v>2272</v>
      </c>
      <c r="K3320" s="21" t="s">
        <v>2272</v>
      </c>
      <c r="L3320" s="21" t="s">
        <v>2272</v>
      </c>
      <c r="M3320" s="21" t="s">
        <v>2272</v>
      </c>
      <c r="N3320" s="21" t="s">
        <v>2272</v>
      </c>
      <c r="O3320" s="21" t="s">
        <v>2272</v>
      </c>
      <c r="P3320" s="21" t="s">
        <v>2272</v>
      </c>
      <c r="Q3320" s="21" t="s">
        <v>2272</v>
      </c>
      <c r="R3320" s="21" t="s">
        <v>2272</v>
      </c>
      <c r="S3320" s="21" t="s">
        <v>2272</v>
      </c>
      <c r="T3320" s="21" t="s">
        <v>2272</v>
      </c>
      <c r="U3320" s="21">
        <v>16522.75</v>
      </c>
      <c r="V3320" s="21" t="s">
        <v>2272</v>
      </c>
      <c r="W3320" s="21">
        <v>60</v>
      </c>
      <c r="X3320" s="21" t="s">
        <v>2272</v>
      </c>
      <c r="Y3320" s="21" t="s">
        <v>2272</v>
      </c>
      <c r="Z3320" s="21" t="s">
        <v>2272</v>
      </c>
      <c r="AA3320" s="198" t="s">
        <v>423</v>
      </c>
      <c r="AB3320" s="198" t="s">
        <v>67</v>
      </c>
      <c r="AC3320" s="21" t="s">
        <v>2272</v>
      </c>
      <c r="AD3320" s="198"/>
      <c r="AE3320" s="198"/>
    </row>
    <row r="3321" spans="1:31" ht="44.5" customHeight="1">
      <c r="A3321" s="198" t="s">
        <v>8763</v>
      </c>
      <c r="B3321" s="198" t="s">
        <v>8763</v>
      </c>
      <c r="C3321" s="198" t="s">
        <v>23</v>
      </c>
      <c r="D3321" s="198" t="s">
        <v>2654</v>
      </c>
      <c r="E3321" s="4" t="s">
        <v>394</v>
      </c>
      <c r="F3321" s="4" t="s">
        <v>27</v>
      </c>
      <c r="G3321" s="4" t="s">
        <v>27</v>
      </c>
      <c r="H3321" s="198" t="s">
        <v>521</v>
      </c>
      <c r="I3321" s="198"/>
      <c r="J3321" s="21" t="s">
        <v>2272</v>
      </c>
      <c r="K3321" s="21" t="s">
        <v>2272</v>
      </c>
      <c r="L3321" s="21" t="s">
        <v>2272</v>
      </c>
      <c r="M3321" s="21" t="s">
        <v>2272</v>
      </c>
      <c r="N3321" s="21" t="s">
        <v>2272</v>
      </c>
      <c r="O3321" s="21" t="s">
        <v>2272</v>
      </c>
      <c r="P3321" s="21" t="s">
        <v>2272</v>
      </c>
      <c r="Q3321" s="21" t="s">
        <v>2272</v>
      </c>
      <c r="R3321" s="21" t="s">
        <v>2272</v>
      </c>
      <c r="S3321" s="21" t="s">
        <v>2272</v>
      </c>
      <c r="T3321" s="21" t="s">
        <v>2272</v>
      </c>
      <c r="U3321" s="21">
        <v>63629.5</v>
      </c>
      <c r="V3321" s="21" t="s">
        <v>2272</v>
      </c>
      <c r="W3321" s="21">
        <v>60</v>
      </c>
      <c r="X3321" s="21" t="s">
        <v>2272</v>
      </c>
      <c r="Y3321" s="21" t="s">
        <v>2272</v>
      </c>
      <c r="Z3321" s="21" t="s">
        <v>2272</v>
      </c>
      <c r="AA3321" s="198" t="s">
        <v>423</v>
      </c>
      <c r="AB3321" s="198" t="s">
        <v>67</v>
      </c>
      <c r="AC3321" s="21" t="s">
        <v>2272</v>
      </c>
      <c r="AD3321" s="198"/>
      <c r="AE3321" s="198"/>
    </row>
    <row r="3322" spans="1:31" ht="44.5" customHeight="1">
      <c r="A3322" s="198" t="s">
        <v>8764</v>
      </c>
      <c r="B3322" s="198" t="s">
        <v>8764</v>
      </c>
      <c r="C3322" s="198" t="s">
        <v>23</v>
      </c>
      <c r="D3322" s="198" t="s">
        <v>2654</v>
      </c>
      <c r="E3322" s="4" t="s">
        <v>394</v>
      </c>
      <c r="F3322" s="4" t="s">
        <v>27</v>
      </c>
      <c r="G3322" s="4" t="s">
        <v>27</v>
      </c>
      <c r="H3322" s="198" t="s">
        <v>521</v>
      </c>
      <c r="I3322" s="198"/>
      <c r="J3322" s="21" t="s">
        <v>2272</v>
      </c>
      <c r="K3322" s="21" t="s">
        <v>2272</v>
      </c>
      <c r="L3322" s="21" t="s">
        <v>2272</v>
      </c>
      <c r="M3322" s="21" t="s">
        <v>2272</v>
      </c>
      <c r="N3322" s="21" t="s">
        <v>2272</v>
      </c>
      <c r="O3322" s="21" t="s">
        <v>2272</v>
      </c>
      <c r="P3322" s="21" t="s">
        <v>2272</v>
      </c>
      <c r="Q3322" s="21" t="s">
        <v>2272</v>
      </c>
      <c r="R3322" s="21" t="s">
        <v>2272</v>
      </c>
      <c r="S3322" s="21" t="s">
        <v>2272</v>
      </c>
      <c r="T3322" s="21" t="s">
        <v>2272</v>
      </c>
      <c r="U3322" s="21">
        <v>1084.75</v>
      </c>
      <c r="V3322" s="21" t="s">
        <v>2272</v>
      </c>
      <c r="W3322" s="21">
        <v>60</v>
      </c>
      <c r="X3322" s="21" t="s">
        <v>2272</v>
      </c>
      <c r="Y3322" s="21" t="s">
        <v>2272</v>
      </c>
      <c r="Z3322" s="21" t="s">
        <v>2272</v>
      </c>
      <c r="AA3322" s="198" t="s">
        <v>423</v>
      </c>
      <c r="AB3322" s="198" t="s">
        <v>67</v>
      </c>
      <c r="AC3322" s="21" t="s">
        <v>2272</v>
      </c>
      <c r="AD3322" s="198"/>
      <c r="AE3322" s="198"/>
    </row>
    <row r="3323" spans="1:31" ht="44.5" customHeight="1">
      <c r="A3323" s="198" t="s">
        <v>8765</v>
      </c>
      <c r="B3323" s="198" t="s">
        <v>8765</v>
      </c>
      <c r="C3323" s="198" t="s">
        <v>23</v>
      </c>
      <c r="D3323" s="198" t="s">
        <v>2654</v>
      </c>
      <c r="E3323" s="4" t="s">
        <v>394</v>
      </c>
      <c r="F3323" s="4" t="s">
        <v>27</v>
      </c>
      <c r="G3323" s="4" t="s">
        <v>27</v>
      </c>
      <c r="H3323" s="198" t="s">
        <v>521</v>
      </c>
      <c r="I3323" s="198"/>
      <c r="J3323" s="21" t="s">
        <v>2272</v>
      </c>
      <c r="K3323" s="21" t="s">
        <v>2272</v>
      </c>
      <c r="L3323" s="21" t="s">
        <v>2272</v>
      </c>
      <c r="M3323" s="21" t="s">
        <v>2272</v>
      </c>
      <c r="N3323" s="21" t="s">
        <v>2272</v>
      </c>
      <c r="O3323" s="21" t="s">
        <v>2272</v>
      </c>
      <c r="P3323" s="21" t="s">
        <v>2272</v>
      </c>
      <c r="Q3323" s="21" t="s">
        <v>2272</v>
      </c>
      <c r="R3323" s="21" t="s">
        <v>2272</v>
      </c>
      <c r="S3323" s="21" t="s">
        <v>2272</v>
      </c>
      <c r="T3323" s="21" t="s">
        <v>2272</v>
      </c>
      <c r="U3323" s="21">
        <v>4972.5</v>
      </c>
      <c r="V3323" s="21" t="s">
        <v>2272</v>
      </c>
      <c r="W3323" s="21">
        <v>60</v>
      </c>
      <c r="X3323" s="21" t="s">
        <v>2272</v>
      </c>
      <c r="Y3323" s="21" t="s">
        <v>2272</v>
      </c>
      <c r="Z3323" s="21" t="s">
        <v>2272</v>
      </c>
      <c r="AA3323" s="198" t="s">
        <v>423</v>
      </c>
      <c r="AB3323" s="198" t="s">
        <v>67</v>
      </c>
      <c r="AC3323" s="21" t="s">
        <v>2272</v>
      </c>
      <c r="AD3323" s="198"/>
      <c r="AE3323" s="198"/>
    </row>
    <row r="3324" spans="1:31" ht="44.5" customHeight="1">
      <c r="A3324" s="198" t="s">
        <v>8766</v>
      </c>
      <c r="B3324" s="198" t="s">
        <v>8766</v>
      </c>
      <c r="C3324" s="198" t="s">
        <v>23</v>
      </c>
      <c r="D3324" s="198" t="s">
        <v>2654</v>
      </c>
      <c r="E3324" s="4" t="s">
        <v>394</v>
      </c>
      <c r="F3324" s="4" t="s">
        <v>27</v>
      </c>
      <c r="G3324" s="4" t="s">
        <v>27</v>
      </c>
      <c r="H3324" s="198" t="s">
        <v>522</v>
      </c>
      <c r="I3324" s="198"/>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v>0</v>
      </c>
      <c r="Z3324" s="21" t="s">
        <v>2272</v>
      </c>
      <c r="AA3324" s="198" t="s">
        <v>423</v>
      </c>
      <c r="AB3324" s="198" t="s">
        <v>67</v>
      </c>
      <c r="AC3324" s="21" t="s">
        <v>2272</v>
      </c>
      <c r="AD3324" s="198"/>
      <c r="AE3324" s="198"/>
    </row>
    <row r="3325" spans="1:31" ht="44.5" customHeight="1">
      <c r="A3325" s="198" t="s">
        <v>8767</v>
      </c>
      <c r="B3325" s="198" t="s">
        <v>8767</v>
      </c>
      <c r="C3325" s="198" t="s">
        <v>23</v>
      </c>
      <c r="D3325" s="198" t="s">
        <v>2654</v>
      </c>
      <c r="E3325" s="4" t="s">
        <v>394</v>
      </c>
      <c r="F3325" s="4" t="s">
        <v>27</v>
      </c>
      <c r="G3325" s="4" t="s">
        <v>27</v>
      </c>
      <c r="H3325" s="198" t="s">
        <v>521</v>
      </c>
      <c r="I3325" s="198"/>
      <c r="J3325" s="21" t="s">
        <v>2272</v>
      </c>
      <c r="K3325" s="21" t="s">
        <v>2272</v>
      </c>
      <c r="L3325" s="21" t="s">
        <v>2272</v>
      </c>
      <c r="M3325" s="21" t="s">
        <v>2272</v>
      </c>
      <c r="N3325" s="21" t="s">
        <v>2272</v>
      </c>
      <c r="O3325" s="21" t="s">
        <v>2272</v>
      </c>
      <c r="P3325" s="21" t="s">
        <v>2272</v>
      </c>
      <c r="Q3325" s="21" t="s">
        <v>2272</v>
      </c>
      <c r="R3325" s="21" t="s">
        <v>2272</v>
      </c>
      <c r="S3325" s="21" t="s">
        <v>2272</v>
      </c>
      <c r="T3325" s="21" t="s">
        <v>2272</v>
      </c>
      <c r="U3325" s="21">
        <v>3681.75</v>
      </c>
      <c r="V3325" s="21" t="s">
        <v>2272</v>
      </c>
      <c r="W3325" s="21">
        <v>60</v>
      </c>
      <c r="X3325" s="21" t="s">
        <v>2272</v>
      </c>
      <c r="Y3325" s="21" t="s">
        <v>2272</v>
      </c>
      <c r="Z3325" s="21" t="s">
        <v>2272</v>
      </c>
      <c r="AA3325" s="198" t="s">
        <v>423</v>
      </c>
      <c r="AB3325" s="198" t="s">
        <v>67</v>
      </c>
      <c r="AC3325" s="21" t="s">
        <v>2272</v>
      </c>
      <c r="AD3325" s="198"/>
      <c r="AE3325" s="198"/>
    </row>
    <row r="3326" spans="1:31" ht="44.5" customHeight="1">
      <c r="A3326" s="198" t="s">
        <v>8768</v>
      </c>
      <c r="B3326" s="198" t="s">
        <v>8768</v>
      </c>
      <c r="C3326" s="198" t="s">
        <v>23</v>
      </c>
      <c r="D3326" s="198" t="s">
        <v>2654</v>
      </c>
      <c r="E3326" s="4" t="s">
        <v>394</v>
      </c>
      <c r="F3326" s="4" t="s">
        <v>27</v>
      </c>
      <c r="G3326" s="4" t="s">
        <v>27</v>
      </c>
      <c r="H3326" s="198" t="s">
        <v>522</v>
      </c>
      <c r="I3326" s="198"/>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v>0</v>
      </c>
      <c r="Y3326" s="21">
        <v>0</v>
      </c>
      <c r="Z3326" s="21" t="s">
        <v>2272</v>
      </c>
      <c r="AA3326" s="198" t="s">
        <v>423</v>
      </c>
      <c r="AB3326" s="198" t="s">
        <v>67</v>
      </c>
      <c r="AC3326" s="21" t="s">
        <v>2272</v>
      </c>
      <c r="AD3326" s="198"/>
      <c r="AE3326" s="198"/>
    </row>
    <row r="3327" spans="1:31" ht="44.5" customHeight="1">
      <c r="A3327" s="198" t="s">
        <v>8769</v>
      </c>
      <c r="B3327" s="198" t="s">
        <v>8769</v>
      </c>
      <c r="C3327" s="198" t="s">
        <v>23</v>
      </c>
      <c r="D3327" s="198" t="s">
        <v>2654</v>
      </c>
      <c r="E3327" s="4" t="s">
        <v>394</v>
      </c>
      <c r="F3327" s="4" t="s">
        <v>27</v>
      </c>
      <c r="G3327" s="4" t="s">
        <v>27</v>
      </c>
      <c r="H3327" s="198" t="s">
        <v>521</v>
      </c>
      <c r="I3327" s="198"/>
      <c r="J3327" s="21" t="s">
        <v>2272</v>
      </c>
      <c r="K3327" s="21" t="s">
        <v>2272</v>
      </c>
      <c r="L3327" s="21" t="s">
        <v>2272</v>
      </c>
      <c r="M3327" s="21" t="s">
        <v>2272</v>
      </c>
      <c r="N3327" s="21" t="s">
        <v>2272</v>
      </c>
      <c r="O3327" s="21" t="s">
        <v>2272</v>
      </c>
      <c r="P3327" s="21" t="s">
        <v>2272</v>
      </c>
      <c r="Q3327" s="21" t="s">
        <v>2272</v>
      </c>
      <c r="R3327" s="21" t="s">
        <v>2272</v>
      </c>
      <c r="S3327" s="21" t="s">
        <v>2272</v>
      </c>
      <c r="T3327" s="21" t="s">
        <v>2272</v>
      </c>
      <c r="U3327" s="21">
        <v>167.5</v>
      </c>
      <c r="V3327" s="21" t="s">
        <v>2272</v>
      </c>
      <c r="W3327" s="21">
        <v>60</v>
      </c>
      <c r="X3327" s="21" t="s">
        <v>2272</v>
      </c>
      <c r="Y3327" s="21" t="s">
        <v>2272</v>
      </c>
      <c r="Z3327" s="21" t="s">
        <v>2272</v>
      </c>
      <c r="AA3327" s="198" t="s">
        <v>423</v>
      </c>
      <c r="AB3327" s="198" t="s">
        <v>67</v>
      </c>
      <c r="AC3327" s="21" t="s">
        <v>2272</v>
      </c>
      <c r="AD3327" s="198"/>
      <c r="AE3327" s="198"/>
    </row>
    <row r="3328" spans="1:31" ht="44.5" customHeight="1">
      <c r="A3328" s="198" t="s">
        <v>8770</v>
      </c>
      <c r="B3328" s="198" t="s">
        <v>8770</v>
      </c>
      <c r="C3328" s="198" t="s">
        <v>23</v>
      </c>
      <c r="D3328" s="198" t="s">
        <v>2654</v>
      </c>
      <c r="E3328" s="4" t="s">
        <v>394</v>
      </c>
      <c r="F3328" s="4" t="s">
        <v>27</v>
      </c>
      <c r="G3328" s="4" t="s">
        <v>27</v>
      </c>
      <c r="H3328" s="198" t="s">
        <v>521</v>
      </c>
      <c r="I3328" s="198"/>
      <c r="J3328" s="21" t="s">
        <v>2272</v>
      </c>
      <c r="K3328" s="21" t="s">
        <v>2272</v>
      </c>
      <c r="L3328" s="21" t="s">
        <v>2272</v>
      </c>
      <c r="M3328" s="21" t="s">
        <v>2272</v>
      </c>
      <c r="N3328" s="21" t="s">
        <v>2272</v>
      </c>
      <c r="O3328" s="21" t="s">
        <v>2272</v>
      </c>
      <c r="P3328" s="21" t="s">
        <v>2272</v>
      </c>
      <c r="Q3328" s="21" t="s">
        <v>2272</v>
      </c>
      <c r="R3328" s="21" t="s">
        <v>2272</v>
      </c>
      <c r="S3328" s="21" t="s">
        <v>2272</v>
      </c>
      <c r="T3328" s="21" t="s">
        <v>2272</v>
      </c>
      <c r="U3328" s="21">
        <v>1890.75</v>
      </c>
      <c r="V3328" s="21" t="s">
        <v>2272</v>
      </c>
      <c r="W3328" s="21">
        <v>60</v>
      </c>
      <c r="X3328" s="21" t="s">
        <v>2272</v>
      </c>
      <c r="Y3328" s="21" t="s">
        <v>2272</v>
      </c>
      <c r="Z3328" s="21" t="s">
        <v>2272</v>
      </c>
      <c r="AA3328" s="198" t="s">
        <v>423</v>
      </c>
      <c r="AB3328" s="198" t="s">
        <v>67</v>
      </c>
      <c r="AC3328" s="21" t="s">
        <v>2272</v>
      </c>
      <c r="AD3328" s="198"/>
      <c r="AE3328" s="198"/>
    </row>
    <row r="3329" spans="1:31" ht="44.5" customHeight="1">
      <c r="A3329" s="198" t="s">
        <v>8784</v>
      </c>
      <c r="B3329" s="198" t="s">
        <v>8784</v>
      </c>
      <c r="C3329" s="198" t="s">
        <v>23</v>
      </c>
      <c r="D3329" s="198" t="s">
        <v>2654</v>
      </c>
      <c r="E3329" s="4" t="s">
        <v>394</v>
      </c>
      <c r="F3329" s="4" t="s">
        <v>27</v>
      </c>
      <c r="G3329" s="4" t="s">
        <v>27</v>
      </c>
      <c r="H3329" s="198" t="s">
        <v>521</v>
      </c>
      <c r="I3329" s="198"/>
      <c r="J3329" s="21" t="s">
        <v>2272</v>
      </c>
      <c r="K3329" s="21" t="s">
        <v>2272</v>
      </c>
      <c r="L3329" s="21" t="s">
        <v>2272</v>
      </c>
      <c r="M3329" s="21" t="s">
        <v>2272</v>
      </c>
      <c r="N3329" s="21" t="s">
        <v>2272</v>
      </c>
      <c r="O3329" s="21" t="s">
        <v>2272</v>
      </c>
      <c r="P3329" s="21" t="s">
        <v>2272</v>
      </c>
      <c r="Q3329" s="21" t="s">
        <v>2272</v>
      </c>
      <c r="R3329" s="21" t="s">
        <v>2272</v>
      </c>
      <c r="S3329" s="21" t="s">
        <v>2272</v>
      </c>
      <c r="T3329" s="21" t="s">
        <v>2272</v>
      </c>
      <c r="U3329" s="21">
        <v>13</v>
      </c>
      <c r="V3329" s="21" t="s">
        <v>2272</v>
      </c>
      <c r="W3329" s="21">
        <v>60</v>
      </c>
      <c r="X3329" s="21" t="s">
        <v>2272</v>
      </c>
      <c r="Y3329" s="21" t="s">
        <v>2272</v>
      </c>
      <c r="Z3329" s="21" t="s">
        <v>2272</v>
      </c>
      <c r="AA3329" s="198" t="s">
        <v>423</v>
      </c>
      <c r="AB3329" s="198" t="s">
        <v>67</v>
      </c>
      <c r="AC3329" s="21" t="s">
        <v>2272</v>
      </c>
      <c r="AD3329" s="198"/>
      <c r="AE3329" s="198"/>
    </row>
    <row r="3330" spans="1:31" ht="33.5" customHeight="1">
      <c r="A3330" s="198" t="s">
        <v>8791</v>
      </c>
      <c r="B3330" s="198" t="s">
        <v>8802</v>
      </c>
      <c r="C3330" s="198" t="s">
        <v>23</v>
      </c>
      <c r="D3330" s="198" t="s">
        <v>2654</v>
      </c>
      <c r="E3330" s="198" t="s">
        <v>2272</v>
      </c>
      <c r="F3330" s="4" t="s">
        <v>27</v>
      </c>
      <c r="G3330" s="198" t="s">
        <v>2272</v>
      </c>
      <c r="H3330" s="198" t="s">
        <v>521</v>
      </c>
      <c r="I3330" s="198"/>
      <c r="J3330" s="21" t="s">
        <v>2272</v>
      </c>
      <c r="K3330" s="21" t="s">
        <v>2272</v>
      </c>
      <c r="L3330" s="21" t="s">
        <v>2272</v>
      </c>
      <c r="M3330" s="21" t="s">
        <v>2272</v>
      </c>
      <c r="N3330" s="21" t="s">
        <v>2272</v>
      </c>
      <c r="O3330" s="21" t="s">
        <v>2272</v>
      </c>
      <c r="P3330" s="21" t="s">
        <v>2272</v>
      </c>
      <c r="Q3330" s="21" t="s">
        <v>2272</v>
      </c>
      <c r="R3330" s="21" t="s">
        <v>2272</v>
      </c>
      <c r="S3330" s="21" t="s">
        <v>2272</v>
      </c>
      <c r="T3330" s="21" t="s">
        <v>2272</v>
      </c>
      <c r="U3330" s="21" t="s">
        <v>2272</v>
      </c>
      <c r="V3330" s="21" t="s">
        <v>2272</v>
      </c>
      <c r="W3330" s="21" t="s">
        <v>2272</v>
      </c>
      <c r="X3330" s="21" t="s">
        <v>2272</v>
      </c>
      <c r="Y3330" s="21" t="s">
        <v>2272</v>
      </c>
      <c r="Z3330" s="21" t="s">
        <v>2272</v>
      </c>
      <c r="AA3330" s="198" t="s">
        <v>187</v>
      </c>
      <c r="AB3330" s="198" t="s">
        <v>37</v>
      </c>
      <c r="AC3330" s="198" t="s">
        <v>2650</v>
      </c>
      <c r="AD3330" s="198"/>
      <c r="AE3330" s="198"/>
    </row>
    <row r="3331" spans="1:31" ht="33.5" customHeight="1">
      <c r="A3331" s="198" t="s">
        <v>8796</v>
      </c>
      <c r="B3331" s="198" t="s">
        <v>8803</v>
      </c>
      <c r="C3331" s="198" t="s">
        <v>23</v>
      </c>
      <c r="D3331" s="198" t="s">
        <v>2654</v>
      </c>
      <c r="E3331" s="198" t="s">
        <v>2272</v>
      </c>
      <c r="F3331" s="4" t="s">
        <v>27</v>
      </c>
      <c r="G3331" s="198" t="s">
        <v>2272</v>
      </c>
      <c r="H3331" s="198" t="s">
        <v>521</v>
      </c>
      <c r="I3331" s="198"/>
      <c r="J3331" s="21" t="s">
        <v>2272</v>
      </c>
      <c r="K3331" s="21" t="s">
        <v>2272</v>
      </c>
      <c r="L3331" s="21" t="s">
        <v>2272</v>
      </c>
      <c r="M3331" s="21" t="s">
        <v>2272</v>
      </c>
      <c r="N3331" s="21" t="s">
        <v>2272</v>
      </c>
      <c r="O3331" s="21" t="s">
        <v>2272</v>
      </c>
      <c r="P3331" s="21" t="s">
        <v>2272</v>
      </c>
      <c r="Q3331" s="21" t="s">
        <v>2272</v>
      </c>
      <c r="R3331" s="21" t="s">
        <v>2272</v>
      </c>
      <c r="S3331" s="21" t="s">
        <v>2272</v>
      </c>
      <c r="T3331" s="21" t="s">
        <v>2272</v>
      </c>
      <c r="U3331" s="21" t="s">
        <v>2272</v>
      </c>
      <c r="V3331" s="21" t="s">
        <v>2272</v>
      </c>
      <c r="W3331" s="21" t="s">
        <v>2272</v>
      </c>
      <c r="X3331" s="21" t="s">
        <v>2272</v>
      </c>
      <c r="Y3331" s="21" t="s">
        <v>2272</v>
      </c>
      <c r="Z3331" s="21" t="s">
        <v>2272</v>
      </c>
      <c r="AA3331" s="198" t="s">
        <v>187</v>
      </c>
      <c r="AB3331" s="198" t="s">
        <v>37</v>
      </c>
      <c r="AC3331" s="198" t="s">
        <v>2650</v>
      </c>
      <c r="AD3331" s="198"/>
      <c r="AE3331" s="198"/>
    </row>
    <row r="3332" spans="1:31" ht="33.5" customHeight="1">
      <c r="A3332" s="198" t="s">
        <v>8798</v>
      </c>
      <c r="B3332" s="198" t="s">
        <v>8804</v>
      </c>
      <c r="C3332" s="198" t="s">
        <v>23</v>
      </c>
      <c r="D3332" s="198" t="s">
        <v>2654</v>
      </c>
      <c r="E3332" s="198" t="s">
        <v>2272</v>
      </c>
      <c r="F3332" s="4" t="s">
        <v>27</v>
      </c>
      <c r="G3332" s="198" t="s">
        <v>2272</v>
      </c>
      <c r="H3332" s="198" t="s">
        <v>521</v>
      </c>
      <c r="I3332" s="198"/>
      <c r="J3332" s="21" t="s">
        <v>2272</v>
      </c>
      <c r="K3332" s="21" t="s">
        <v>2272</v>
      </c>
      <c r="L3332" s="21" t="s">
        <v>2272</v>
      </c>
      <c r="M3332" s="21" t="s">
        <v>2272</v>
      </c>
      <c r="N3332" s="21" t="s">
        <v>2272</v>
      </c>
      <c r="O3332" s="21" t="s">
        <v>2272</v>
      </c>
      <c r="P3332" s="21" t="s">
        <v>2272</v>
      </c>
      <c r="Q3332" s="21" t="s">
        <v>2272</v>
      </c>
      <c r="R3332" s="21" t="s">
        <v>2272</v>
      </c>
      <c r="S3332" s="21" t="s">
        <v>2272</v>
      </c>
      <c r="T3332" s="21" t="s">
        <v>2272</v>
      </c>
      <c r="U3332" s="21" t="s">
        <v>2272</v>
      </c>
      <c r="V3332" s="21" t="s">
        <v>2272</v>
      </c>
      <c r="W3332" s="21" t="s">
        <v>2272</v>
      </c>
      <c r="X3332" s="21" t="s">
        <v>2272</v>
      </c>
      <c r="Y3332" s="21" t="s">
        <v>2272</v>
      </c>
      <c r="Z3332" s="21" t="s">
        <v>2272</v>
      </c>
      <c r="AA3332" s="198" t="s">
        <v>187</v>
      </c>
      <c r="AB3332" s="198" t="s">
        <v>37</v>
      </c>
      <c r="AC3332" s="198" t="s">
        <v>2650</v>
      </c>
      <c r="AD3332" s="198"/>
      <c r="AE3332" s="198"/>
    </row>
    <row r="3333" spans="1:31" ht="33.5" customHeight="1">
      <c r="A3333" s="198" t="s">
        <v>8799</v>
      </c>
      <c r="B3333" s="198" t="s">
        <v>8805</v>
      </c>
      <c r="C3333" s="198" t="s">
        <v>23</v>
      </c>
      <c r="D3333" s="198" t="s">
        <v>2654</v>
      </c>
      <c r="E3333" s="198" t="s">
        <v>2272</v>
      </c>
      <c r="F3333" s="4" t="s">
        <v>27</v>
      </c>
      <c r="G3333" s="198" t="s">
        <v>2272</v>
      </c>
      <c r="H3333" s="198" t="s">
        <v>521</v>
      </c>
      <c r="I3333" s="198"/>
      <c r="J3333" s="21" t="s">
        <v>2272</v>
      </c>
      <c r="K3333" s="21" t="s">
        <v>2272</v>
      </c>
      <c r="L3333" s="21" t="s">
        <v>2272</v>
      </c>
      <c r="M3333" s="21" t="s">
        <v>2272</v>
      </c>
      <c r="N3333" s="21" t="s">
        <v>2272</v>
      </c>
      <c r="O3333" s="21" t="s">
        <v>2272</v>
      </c>
      <c r="P3333" s="21" t="s">
        <v>2272</v>
      </c>
      <c r="Q3333" s="21" t="s">
        <v>2272</v>
      </c>
      <c r="R3333" s="21" t="s">
        <v>2272</v>
      </c>
      <c r="S3333" s="21" t="s">
        <v>2272</v>
      </c>
      <c r="T3333" s="21" t="s">
        <v>2272</v>
      </c>
      <c r="U3333" s="21" t="s">
        <v>2272</v>
      </c>
      <c r="V3333" s="21" t="s">
        <v>2272</v>
      </c>
      <c r="W3333" s="21" t="s">
        <v>2272</v>
      </c>
      <c r="X3333" s="21" t="s">
        <v>2272</v>
      </c>
      <c r="Y3333" s="21" t="s">
        <v>2272</v>
      </c>
      <c r="Z3333" s="21" t="s">
        <v>2272</v>
      </c>
      <c r="AA3333" s="198" t="s">
        <v>187</v>
      </c>
      <c r="AB3333" s="198" t="s">
        <v>37</v>
      </c>
      <c r="AC3333" s="198" t="s">
        <v>2650</v>
      </c>
      <c r="AD3333" s="198"/>
      <c r="AE3333" s="198"/>
    </row>
    <row r="3334" spans="1:31" ht="33.5" customHeight="1">
      <c r="A3334" s="198" t="s">
        <v>8800</v>
      </c>
      <c r="B3334" s="198" t="s">
        <v>8806</v>
      </c>
      <c r="C3334" s="198" t="s">
        <v>23</v>
      </c>
      <c r="D3334" s="198" t="s">
        <v>2654</v>
      </c>
      <c r="E3334" s="198" t="s">
        <v>2272</v>
      </c>
      <c r="F3334" s="4" t="s">
        <v>27</v>
      </c>
      <c r="G3334" s="198" t="s">
        <v>2272</v>
      </c>
      <c r="H3334" s="198" t="s">
        <v>521</v>
      </c>
      <c r="I3334" s="198"/>
      <c r="J3334" s="21" t="s">
        <v>2272</v>
      </c>
      <c r="K3334" s="21" t="s">
        <v>2272</v>
      </c>
      <c r="L3334" s="21" t="s">
        <v>2272</v>
      </c>
      <c r="M3334" s="21" t="s">
        <v>2272</v>
      </c>
      <c r="N3334" s="21" t="s">
        <v>2272</v>
      </c>
      <c r="O3334" s="21" t="s">
        <v>2272</v>
      </c>
      <c r="P3334" s="21" t="s">
        <v>2272</v>
      </c>
      <c r="Q3334" s="21" t="s">
        <v>2272</v>
      </c>
      <c r="R3334" s="21" t="s">
        <v>2272</v>
      </c>
      <c r="S3334" s="21" t="s">
        <v>2272</v>
      </c>
      <c r="T3334" s="21" t="s">
        <v>2272</v>
      </c>
      <c r="U3334" s="21" t="s">
        <v>2272</v>
      </c>
      <c r="V3334" s="21" t="s">
        <v>2272</v>
      </c>
      <c r="W3334" s="21" t="s">
        <v>2272</v>
      </c>
      <c r="X3334" s="21" t="s">
        <v>2272</v>
      </c>
      <c r="Y3334" s="21" t="s">
        <v>2272</v>
      </c>
      <c r="Z3334" s="21" t="s">
        <v>2272</v>
      </c>
      <c r="AA3334" s="198" t="s">
        <v>187</v>
      </c>
      <c r="AB3334" s="198" t="s">
        <v>37</v>
      </c>
      <c r="AC3334" s="198" t="s">
        <v>2650</v>
      </c>
      <c r="AD3334" s="198"/>
      <c r="AE3334" s="198"/>
    </row>
    <row r="3335" spans="1:31" ht="37" customHeight="1">
      <c r="A3335" s="198" t="s">
        <v>8791</v>
      </c>
      <c r="B3335" s="198" t="s">
        <v>8807</v>
      </c>
      <c r="C3335" s="198" t="s">
        <v>2453</v>
      </c>
      <c r="D3335" s="198" t="s">
        <v>2654</v>
      </c>
      <c r="E3335" s="198" t="s">
        <v>2272</v>
      </c>
      <c r="F3335" s="4" t="s">
        <v>27</v>
      </c>
      <c r="G3335" s="198" t="s">
        <v>2272</v>
      </c>
      <c r="H3335" s="198" t="s">
        <v>521</v>
      </c>
      <c r="I3335" s="198">
        <v>2006</v>
      </c>
      <c r="J3335" s="21" t="s">
        <v>2272</v>
      </c>
      <c r="K3335" s="21" t="s">
        <v>2272</v>
      </c>
      <c r="L3335" s="21" t="s">
        <v>2272</v>
      </c>
      <c r="M3335" s="21" t="s">
        <v>2272</v>
      </c>
      <c r="N3335" s="21" t="s">
        <v>2272</v>
      </c>
      <c r="O3335" s="21" t="s">
        <v>2272</v>
      </c>
      <c r="P3335" s="21" t="s">
        <v>2272</v>
      </c>
      <c r="Q3335" s="21" t="s">
        <v>2272</v>
      </c>
      <c r="R3335" s="21" t="s">
        <v>2272</v>
      </c>
      <c r="S3335" s="21" t="s">
        <v>2272</v>
      </c>
      <c r="T3335" s="21" t="s">
        <v>2272</v>
      </c>
      <c r="U3335" s="21" t="s">
        <v>2272</v>
      </c>
      <c r="V3335" s="21" t="s">
        <v>2272</v>
      </c>
      <c r="W3335" s="21" t="s">
        <v>2272</v>
      </c>
      <c r="X3335" s="21" t="s">
        <v>2272</v>
      </c>
      <c r="Y3335" s="21" t="s">
        <v>2272</v>
      </c>
      <c r="Z3335" s="21" t="s">
        <v>2272</v>
      </c>
      <c r="AA3335" s="4" t="s">
        <v>37</v>
      </c>
      <c r="AB3335" s="4" t="s">
        <v>84</v>
      </c>
      <c r="AC3335" s="4" t="s">
        <v>75</v>
      </c>
      <c r="AD3335" s="4" t="s">
        <v>8813</v>
      </c>
      <c r="AE3335" s="198"/>
    </row>
    <row r="3336" spans="1:31" ht="37" customHeight="1">
      <c r="A3336" s="198" t="s">
        <v>8796</v>
      </c>
      <c r="B3336" s="198" t="s">
        <v>8808</v>
      </c>
      <c r="C3336" s="198" t="s">
        <v>2453</v>
      </c>
      <c r="D3336" s="198" t="s">
        <v>2654</v>
      </c>
      <c r="E3336" s="198" t="s">
        <v>2272</v>
      </c>
      <c r="F3336" s="4" t="s">
        <v>27</v>
      </c>
      <c r="G3336" s="198" t="s">
        <v>2272</v>
      </c>
      <c r="H3336" s="198" t="s">
        <v>521</v>
      </c>
      <c r="I3336" s="198">
        <v>2006</v>
      </c>
      <c r="J3336" s="21" t="s">
        <v>2272</v>
      </c>
      <c r="K3336" s="21" t="s">
        <v>2272</v>
      </c>
      <c r="L3336" s="21" t="s">
        <v>2272</v>
      </c>
      <c r="M3336" s="21" t="s">
        <v>2272</v>
      </c>
      <c r="N3336" s="21" t="s">
        <v>2272</v>
      </c>
      <c r="O3336" s="21" t="s">
        <v>2272</v>
      </c>
      <c r="P3336" s="21" t="s">
        <v>2272</v>
      </c>
      <c r="Q3336" s="21" t="s">
        <v>2272</v>
      </c>
      <c r="R3336" s="21" t="s">
        <v>2272</v>
      </c>
      <c r="S3336" s="21" t="s">
        <v>2272</v>
      </c>
      <c r="T3336" s="21" t="s">
        <v>2272</v>
      </c>
      <c r="U3336" s="21" t="s">
        <v>2272</v>
      </c>
      <c r="V3336" s="21" t="s">
        <v>2272</v>
      </c>
      <c r="W3336" s="21" t="s">
        <v>2272</v>
      </c>
      <c r="X3336" s="21" t="s">
        <v>2272</v>
      </c>
      <c r="Y3336" s="21" t="s">
        <v>2272</v>
      </c>
      <c r="Z3336" s="21" t="s">
        <v>2272</v>
      </c>
      <c r="AA3336" s="4" t="s">
        <v>37</v>
      </c>
      <c r="AB3336" s="4" t="s">
        <v>84</v>
      </c>
      <c r="AC3336" s="4" t="s">
        <v>75</v>
      </c>
      <c r="AD3336" s="4" t="s">
        <v>8813</v>
      </c>
      <c r="AE3336" s="198"/>
    </row>
    <row r="3337" spans="1:31" ht="37" customHeight="1">
      <c r="A3337" s="198" t="s">
        <v>8797</v>
      </c>
      <c r="B3337" s="198" t="s">
        <v>8812</v>
      </c>
      <c r="C3337" s="198" t="s">
        <v>2453</v>
      </c>
      <c r="D3337" s="198" t="s">
        <v>2654</v>
      </c>
      <c r="E3337" s="198" t="s">
        <v>2272</v>
      </c>
      <c r="F3337" s="4" t="s">
        <v>27</v>
      </c>
      <c r="G3337" s="198" t="s">
        <v>73</v>
      </c>
      <c r="H3337" s="198" t="s">
        <v>521</v>
      </c>
      <c r="I3337" s="198">
        <v>2006</v>
      </c>
      <c r="J3337" s="21" t="s">
        <v>2272</v>
      </c>
      <c r="K3337" s="21" t="s">
        <v>2272</v>
      </c>
      <c r="L3337" s="21" t="s">
        <v>2272</v>
      </c>
      <c r="M3337" s="21" t="s">
        <v>2272</v>
      </c>
      <c r="N3337" s="21" t="s">
        <v>2272</v>
      </c>
      <c r="O3337" s="21" t="s">
        <v>2272</v>
      </c>
      <c r="P3337" s="21" t="s">
        <v>2272</v>
      </c>
      <c r="Q3337" s="21" t="s">
        <v>2272</v>
      </c>
      <c r="R3337" s="21" t="s">
        <v>2272</v>
      </c>
      <c r="S3337" s="21" t="s">
        <v>2272</v>
      </c>
      <c r="T3337" s="21" t="s">
        <v>2272</v>
      </c>
      <c r="U3337" s="21" t="s">
        <v>2272</v>
      </c>
      <c r="V3337" s="21" t="s">
        <v>2272</v>
      </c>
      <c r="W3337" s="21" t="s">
        <v>2272</v>
      </c>
      <c r="X3337" s="21" t="s">
        <v>2272</v>
      </c>
      <c r="Y3337" s="21" t="s">
        <v>2272</v>
      </c>
      <c r="Z3337" s="21" t="s">
        <v>2272</v>
      </c>
      <c r="AA3337" s="4" t="s">
        <v>37</v>
      </c>
      <c r="AB3337" s="4" t="s">
        <v>84</v>
      </c>
      <c r="AC3337" s="4" t="s">
        <v>75</v>
      </c>
      <c r="AD3337" s="4" t="s">
        <v>8813</v>
      </c>
      <c r="AE3337" s="198"/>
    </row>
    <row r="3338" spans="1:31" ht="37" customHeight="1">
      <c r="A3338" s="198" t="s">
        <v>8798</v>
      </c>
      <c r="B3338" s="198" t="s">
        <v>8809</v>
      </c>
      <c r="C3338" s="198" t="s">
        <v>2453</v>
      </c>
      <c r="D3338" s="198" t="s">
        <v>2654</v>
      </c>
      <c r="E3338" s="198" t="s">
        <v>2272</v>
      </c>
      <c r="F3338" s="4" t="s">
        <v>27</v>
      </c>
      <c r="G3338" s="198" t="s">
        <v>2272</v>
      </c>
      <c r="H3338" s="198" t="s">
        <v>521</v>
      </c>
      <c r="I3338" s="198">
        <v>2006</v>
      </c>
      <c r="J3338" s="21" t="s">
        <v>2272</v>
      </c>
      <c r="K3338" s="21" t="s">
        <v>2272</v>
      </c>
      <c r="L3338" s="21" t="s">
        <v>2272</v>
      </c>
      <c r="M3338" s="21" t="s">
        <v>2272</v>
      </c>
      <c r="N3338" s="21" t="s">
        <v>2272</v>
      </c>
      <c r="O3338" s="21" t="s">
        <v>2272</v>
      </c>
      <c r="P3338" s="21" t="s">
        <v>2272</v>
      </c>
      <c r="Q3338" s="21" t="s">
        <v>2272</v>
      </c>
      <c r="R3338" s="21" t="s">
        <v>2272</v>
      </c>
      <c r="S3338" s="21" t="s">
        <v>2272</v>
      </c>
      <c r="T3338" s="21" t="s">
        <v>2272</v>
      </c>
      <c r="U3338" s="21" t="s">
        <v>2272</v>
      </c>
      <c r="V3338" s="21" t="s">
        <v>2272</v>
      </c>
      <c r="W3338" s="21" t="s">
        <v>2272</v>
      </c>
      <c r="X3338" s="21" t="s">
        <v>2272</v>
      </c>
      <c r="Y3338" s="21" t="s">
        <v>2272</v>
      </c>
      <c r="Z3338" s="21" t="s">
        <v>2272</v>
      </c>
      <c r="AA3338" s="4" t="s">
        <v>37</v>
      </c>
      <c r="AB3338" s="4" t="s">
        <v>84</v>
      </c>
      <c r="AC3338" s="4" t="s">
        <v>75</v>
      </c>
      <c r="AD3338" s="4" t="s">
        <v>8813</v>
      </c>
      <c r="AE3338" s="198"/>
    </row>
    <row r="3339" spans="1:31" ht="37" customHeight="1">
      <c r="A3339" s="198" t="s">
        <v>8799</v>
      </c>
      <c r="B3339" s="198" t="s">
        <v>8810</v>
      </c>
      <c r="C3339" s="198" t="s">
        <v>2453</v>
      </c>
      <c r="D3339" s="198" t="s">
        <v>2654</v>
      </c>
      <c r="E3339" s="198" t="s">
        <v>2272</v>
      </c>
      <c r="F3339" s="4" t="s">
        <v>27</v>
      </c>
      <c r="G3339" s="198" t="s">
        <v>2272</v>
      </c>
      <c r="H3339" s="198" t="s">
        <v>521</v>
      </c>
      <c r="I3339" s="198">
        <v>2006</v>
      </c>
      <c r="J3339" s="21" t="s">
        <v>2272</v>
      </c>
      <c r="K3339" s="21" t="s">
        <v>2272</v>
      </c>
      <c r="L3339" s="21" t="s">
        <v>2272</v>
      </c>
      <c r="M3339" s="21" t="s">
        <v>2272</v>
      </c>
      <c r="N3339" s="21" t="s">
        <v>2272</v>
      </c>
      <c r="O3339" s="21" t="s">
        <v>2272</v>
      </c>
      <c r="P3339" s="21" t="s">
        <v>2272</v>
      </c>
      <c r="Q3339" s="21" t="s">
        <v>2272</v>
      </c>
      <c r="R3339" s="21" t="s">
        <v>2272</v>
      </c>
      <c r="S3339" s="21" t="s">
        <v>2272</v>
      </c>
      <c r="T3339" s="21" t="s">
        <v>2272</v>
      </c>
      <c r="U3339" s="21" t="s">
        <v>2272</v>
      </c>
      <c r="V3339" s="21" t="s">
        <v>2272</v>
      </c>
      <c r="W3339" s="21" t="s">
        <v>2272</v>
      </c>
      <c r="X3339" s="21" t="s">
        <v>2272</v>
      </c>
      <c r="Y3339" s="21" t="s">
        <v>2272</v>
      </c>
      <c r="Z3339" s="21" t="s">
        <v>2272</v>
      </c>
      <c r="AA3339" s="4" t="s">
        <v>37</v>
      </c>
      <c r="AB3339" s="4" t="s">
        <v>84</v>
      </c>
      <c r="AC3339" s="4" t="s">
        <v>75</v>
      </c>
      <c r="AD3339" s="4" t="s">
        <v>8813</v>
      </c>
      <c r="AE3339" s="198"/>
    </row>
    <row r="3340" spans="1:31" ht="37" customHeight="1">
      <c r="A3340" s="198" t="s">
        <v>8800</v>
      </c>
      <c r="B3340" s="198" t="s">
        <v>8811</v>
      </c>
      <c r="C3340" s="198" t="s">
        <v>2453</v>
      </c>
      <c r="D3340" s="198" t="s">
        <v>2654</v>
      </c>
      <c r="E3340" s="198" t="s">
        <v>2272</v>
      </c>
      <c r="F3340" s="4" t="s">
        <v>27</v>
      </c>
      <c r="G3340" s="198" t="s">
        <v>2272</v>
      </c>
      <c r="H3340" s="198" t="s">
        <v>521</v>
      </c>
      <c r="I3340" s="198">
        <v>2006</v>
      </c>
      <c r="J3340" s="21" t="s">
        <v>2272</v>
      </c>
      <c r="K3340" s="21" t="s">
        <v>2272</v>
      </c>
      <c r="L3340" s="21" t="s">
        <v>2272</v>
      </c>
      <c r="M3340" s="21" t="s">
        <v>2272</v>
      </c>
      <c r="N3340" s="21" t="s">
        <v>2272</v>
      </c>
      <c r="O3340" s="21" t="s">
        <v>2272</v>
      </c>
      <c r="P3340" s="21" t="s">
        <v>2272</v>
      </c>
      <c r="Q3340" s="21" t="s">
        <v>2272</v>
      </c>
      <c r="R3340" s="21" t="s">
        <v>2272</v>
      </c>
      <c r="S3340" s="21" t="s">
        <v>2272</v>
      </c>
      <c r="T3340" s="21" t="s">
        <v>2272</v>
      </c>
      <c r="U3340" s="21" t="s">
        <v>2272</v>
      </c>
      <c r="V3340" s="21" t="s">
        <v>2272</v>
      </c>
      <c r="W3340" s="21" t="s">
        <v>2272</v>
      </c>
      <c r="X3340" s="21" t="s">
        <v>2272</v>
      </c>
      <c r="Y3340" s="21" t="s">
        <v>2272</v>
      </c>
      <c r="Z3340" s="21" t="s">
        <v>2272</v>
      </c>
      <c r="AA3340" s="4" t="s">
        <v>37</v>
      </c>
      <c r="AB3340" s="4" t="s">
        <v>84</v>
      </c>
      <c r="AC3340" s="4" t="s">
        <v>75</v>
      </c>
      <c r="AD3340" s="4" t="s">
        <v>8813</v>
      </c>
      <c r="AE3340" s="198"/>
    </row>
    <row r="3341" spans="1:31" ht="55.5" customHeight="1">
      <c r="A3341" s="198" t="s">
        <v>8816</v>
      </c>
      <c r="B3341" s="198" t="s">
        <v>8817</v>
      </c>
      <c r="C3341" s="198" t="s">
        <v>23</v>
      </c>
      <c r="D3341" s="198" t="s">
        <v>2654</v>
      </c>
      <c r="E3341" s="4" t="s">
        <v>395</v>
      </c>
      <c r="F3341" s="4" t="s">
        <v>27</v>
      </c>
      <c r="G3341" s="198" t="s">
        <v>2272</v>
      </c>
      <c r="H3341" s="198" t="s">
        <v>522</v>
      </c>
      <c r="I3341" s="198"/>
      <c r="J3341" s="21">
        <v>0</v>
      </c>
      <c r="K3341" s="21">
        <v>0</v>
      </c>
      <c r="L3341" s="21">
        <v>0</v>
      </c>
      <c r="M3341" s="21">
        <v>0</v>
      </c>
      <c r="N3341" s="21">
        <v>0</v>
      </c>
      <c r="O3341" s="21">
        <v>0</v>
      </c>
      <c r="P3341" s="21">
        <v>0</v>
      </c>
      <c r="Q3341" s="21">
        <v>0</v>
      </c>
      <c r="R3341" s="21">
        <v>0</v>
      </c>
      <c r="S3341" s="21">
        <v>0</v>
      </c>
      <c r="T3341" s="21">
        <v>0</v>
      </c>
      <c r="U3341" s="21">
        <v>0</v>
      </c>
      <c r="V3341" s="21">
        <v>0</v>
      </c>
      <c r="W3341" s="21">
        <v>0</v>
      </c>
      <c r="X3341" s="21">
        <v>0</v>
      </c>
      <c r="Y3341" s="21">
        <v>0</v>
      </c>
      <c r="Z3341" s="21" t="s">
        <v>2272</v>
      </c>
      <c r="AA3341" s="198" t="s">
        <v>397</v>
      </c>
      <c r="AB3341" s="198" t="s">
        <v>403</v>
      </c>
      <c r="AC3341" s="198" t="s">
        <v>2272</v>
      </c>
      <c r="AD3341" s="4" t="s">
        <v>8821</v>
      </c>
      <c r="AE3341" s="198"/>
    </row>
    <row r="3342" spans="1:31" ht="55.5" customHeight="1">
      <c r="A3342" s="198" t="s">
        <v>8816</v>
      </c>
      <c r="B3342" s="198" t="s">
        <v>8818</v>
      </c>
      <c r="C3342" s="198" t="s">
        <v>23</v>
      </c>
      <c r="D3342" s="198" t="s">
        <v>2654</v>
      </c>
      <c r="E3342" s="4" t="s">
        <v>3849</v>
      </c>
      <c r="F3342" s="4" t="s">
        <v>27</v>
      </c>
      <c r="G3342" s="198" t="s">
        <v>2272</v>
      </c>
      <c r="H3342" s="198" t="s">
        <v>522</v>
      </c>
      <c r="I3342" s="198"/>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v>0</v>
      </c>
      <c r="Y3342" s="21">
        <v>0</v>
      </c>
      <c r="Z3342" s="21" t="s">
        <v>2272</v>
      </c>
      <c r="AA3342" s="198" t="s">
        <v>397</v>
      </c>
      <c r="AB3342" s="198" t="s">
        <v>403</v>
      </c>
      <c r="AC3342" s="198" t="s">
        <v>2272</v>
      </c>
      <c r="AD3342" s="4" t="s">
        <v>8821</v>
      </c>
      <c r="AE3342" s="198"/>
    </row>
    <row r="3343" spans="1:31" ht="54.5" customHeight="1">
      <c r="A3343" s="198" t="s">
        <v>8816</v>
      </c>
      <c r="B3343" s="198" t="s">
        <v>8819</v>
      </c>
      <c r="C3343" s="198" t="s">
        <v>23</v>
      </c>
      <c r="D3343" s="198" t="s">
        <v>2654</v>
      </c>
      <c r="E3343" s="4" t="s">
        <v>395</v>
      </c>
      <c r="F3343" s="4" t="s">
        <v>27</v>
      </c>
      <c r="G3343" s="198" t="s">
        <v>2272</v>
      </c>
      <c r="H3343" s="198" t="s">
        <v>521</v>
      </c>
      <c r="I3343" s="198"/>
      <c r="J3343" s="21" t="s">
        <v>2272</v>
      </c>
      <c r="K3343" s="21" t="s">
        <v>2272</v>
      </c>
      <c r="L3343" s="21" t="s">
        <v>2272</v>
      </c>
      <c r="M3343" s="21" t="s">
        <v>2272</v>
      </c>
      <c r="N3343" s="21" t="s">
        <v>2272</v>
      </c>
      <c r="O3343" s="21" t="s">
        <v>2272</v>
      </c>
      <c r="P3343" s="21" t="s">
        <v>2272</v>
      </c>
      <c r="Q3343" s="21" t="s">
        <v>2272</v>
      </c>
      <c r="R3343" s="21" t="s">
        <v>2272</v>
      </c>
      <c r="S3343" s="21" t="s">
        <v>2272</v>
      </c>
      <c r="T3343" s="21" t="s">
        <v>2272</v>
      </c>
      <c r="U3343" s="21" t="s">
        <v>2272</v>
      </c>
      <c r="V3343" s="21" t="s">
        <v>2272</v>
      </c>
      <c r="W3343" s="21" t="s">
        <v>2272</v>
      </c>
      <c r="X3343" s="21" t="s">
        <v>2272</v>
      </c>
      <c r="Y3343" s="21" t="s">
        <v>2272</v>
      </c>
      <c r="Z3343" s="21" t="s">
        <v>2272</v>
      </c>
      <c r="AA3343" s="198" t="s">
        <v>34</v>
      </c>
      <c r="AB3343" s="198" t="s">
        <v>125</v>
      </c>
      <c r="AC3343" s="198" t="s">
        <v>2272</v>
      </c>
      <c r="AD3343" s="4"/>
      <c r="AE3343" s="4" t="s">
        <v>8822</v>
      </c>
    </row>
    <row r="3344" spans="1:31" ht="56.5" customHeight="1">
      <c r="A3344" s="198" t="s">
        <v>8816</v>
      </c>
      <c r="B3344" s="198" t="s">
        <v>8820</v>
      </c>
      <c r="C3344" s="198" t="s">
        <v>23</v>
      </c>
      <c r="D3344" s="198" t="s">
        <v>2654</v>
      </c>
      <c r="E3344" s="4" t="s">
        <v>3849</v>
      </c>
      <c r="F3344" s="4" t="s">
        <v>27</v>
      </c>
      <c r="G3344" s="198" t="s">
        <v>2272</v>
      </c>
      <c r="H3344" s="198" t="s">
        <v>522</v>
      </c>
      <c r="I3344" s="198"/>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v>0</v>
      </c>
      <c r="Y3344" s="21">
        <v>0</v>
      </c>
      <c r="Z3344" s="21" t="s">
        <v>2272</v>
      </c>
      <c r="AA3344" s="198" t="s">
        <v>34</v>
      </c>
      <c r="AB3344" s="198" t="s">
        <v>125</v>
      </c>
      <c r="AC3344" s="198" t="s">
        <v>2272</v>
      </c>
      <c r="AD3344" s="4"/>
      <c r="AE3344" s="4" t="s">
        <v>8822</v>
      </c>
    </row>
    <row r="3345" spans="1:31" ht="51.5" customHeight="1">
      <c r="A3345" s="4" t="s">
        <v>8823</v>
      </c>
      <c r="B3345" s="4" t="s">
        <v>8826</v>
      </c>
      <c r="C3345" s="4" t="s">
        <v>23</v>
      </c>
      <c r="D3345" s="4" t="s">
        <v>2654</v>
      </c>
      <c r="E3345" s="4" t="s">
        <v>394</v>
      </c>
      <c r="F3345" s="4" t="s">
        <v>27</v>
      </c>
      <c r="G3345" s="198" t="s">
        <v>2272</v>
      </c>
      <c r="H3345" s="198" t="s">
        <v>521</v>
      </c>
      <c r="I3345" s="198"/>
      <c r="J3345" s="21" t="s">
        <v>2272</v>
      </c>
      <c r="K3345" s="21" t="s">
        <v>2272</v>
      </c>
      <c r="L3345" s="21" t="s">
        <v>2272</v>
      </c>
      <c r="M3345" s="21" t="s">
        <v>2272</v>
      </c>
      <c r="N3345" s="21" t="s">
        <v>2272</v>
      </c>
      <c r="O3345" s="21" t="s">
        <v>2272</v>
      </c>
      <c r="P3345" s="21" t="s">
        <v>2272</v>
      </c>
      <c r="Q3345" s="21" t="s">
        <v>2272</v>
      </c>
      <c r="R3345" s="21" t="s">
        <v>2272</v>
      </c>
      <c r="S3345" s="21" t="s">
        <v>2272</v>
      </c>
      <c r="T3345" s="21" t="s">
        <v>2272</v>
      </c>
      <c r="U3345" s="21" t="s">
        <v>2272</v>
      </c>
      <c r="V3345" s="21" t="s">
        <v>2272</v>
      </c>
      <c r="W3345" s="21" t="s">
        <v>2272</v>
      </c>
      <c r="X3345" s="21" t="s">
        <v>2272</v>
      </c>
      <c r="Y3345" s="21" t="s">
        <v>2272</v>
      </c>
      <c r="Z3345" s="21" t="s">
        <v>2272</v>
      </c>
      <c r="AA3345" s="21" t="s">
        <v>2272</v>
      </c>
      <c r="AB3345" s="21" t="s">
        <v>2272</v>
      </c>
      <c r="AC3345" s="21" t="s">
        <v>2272</v>
      </c>
      <c r="AD3345" s="4" t="s">
        <v>8827</v>
      </c>
      <c r="AE3345" s="198"/>
    </row>
    <row r="3346" spans="1:31" ht="34.5" customHeight="1">
      <c r="A3346" s="198" t="s">
        <v>8829</v>
      </c>
      <c r="B3346" s="198" t="s">
        <v>8831</v>
      </c>
      <c r="C3346" s="4" t="s">
        <v>23</v>
      </c>
      <c r="D3346" s="198" t="s">
        <v>26</v>
      </c>
      <c r="E3346" s="198" t="s">
        <v>128</v>
      </c>
      <c r="F3346" s="4" t="s">
        <v>73</v>
      </c>
      <c r="G3346" s="198" t="s">
        <v>2272</v>
      </c>
      <c r="H3346" s="198" t="s">
        <v>521</v>
      </c>
      <c r="I3346" s="198"/>
      <c r="J3346" s="21" t="s">
        <v>2272</v>
      </c>
      <c r="K3346" s="21" t="s">
        <v>2272</v>
      </c>
      <c r="L3346" s="21" t="s">
        <v>2272</v>
      </c>
      <c r="M3346" s="21" t="s">
        <v>2272</v>
      </c>
      <c r="N3346" s="21" t="s">
        <v>2272</v>
      </c>
      <c r="O3346" s="21" t="s">
        <v>2272</v>
      </c>
      <c r="P3346" s="21" t="s">
        <v>2272</v>
      </c>
      <c r="Q3346" s="21" t="s">
        <v>2272</v>
      </c>
      <c r="R3346" s="21" t="s">
        <v>2272</v>
      </c>
      <c r="S3346" s="21" t="s">
        <v>2272</v>
      </c>
      <c r="T3346" s="21" t="s">
        <v>2272</v>
      </c>
      <c r="U3346" s="21" t="s">
        <v>2272</v>
      </c>
      <c r="V3346" s="21" t="s">
        <v>2272</v>
      </c>
      <c r="W3346" s="21" t="s">
        <v>2272</v>
      </c>
      <c r="X3346" s="21" t="s">
        <v>2272</v>
      </c>
      <c r="Y3346" s="21" t="s">
        <v>2272</v>
      </c>
      <c r="Z3346" s="21" t="s">
        <v>2272</v>
      </c>
      <c r="AA3346" s="21" t="s">
        <v>2272</v>
      </c>
      <c r="AB3346" s="21" t="s">
        <v>2272</v>
      </c>
      <c r="AC3346" s="21" t="s">
        <v>2272</v>
      </c>
      <c r="AD3346" s="198"/>
      <c r="AE3346" s="198"/>
    </row>
    <row r="3347" spans="1:31" ht="36" customHeight="1">
      <c r="A3347" s="198" t="s">
        <v>8829</v>
      </c>
      <c r="B3347" s="198" t="s">
        <v>8833</v>
      </c>
      <c r="C3347" s="4" t="s">
        <v>23</v>
      </c>
      <c r="D3347" s="198" t="s">
        <v>1102</v>
      </c>
      <c r="E3347" s="198" t="s">
        <v>82</v>
      </c>
      <c r="F3347" s="4" t="s">
        <v>27</v>
      </c>
      <c r="G3347" s="198" t="s">
        <v>2272</v>
      </c>
      <c r="H3347" s="198" t="s">
        <v>522</v>
      </c>
      <c r="I3347" s="198"/>
      <c r="J3347" s="21">
        <v>0</v>
      </c>
      <c r="K3347" s="21">
        <v>0</v>
      </c>
      <c r="L3347" s="21">
        <v>0</v>
      </c>
      <c r="M3347" s="21">
        <v>0</v>
      </c>
      <c r="N3347" s="21">
        <v>0</v>
      </c>
      <c r="O3347" s="21">
        <v>0</v>
      </c>
      <c r="P3347" s="21">
        <v>0</v>
      </c>
      <c r="Q3347" s="21">
        <v>0</v>
      </c>
      <c r="R3347" s="21">
        <v>0</v>
      </c>
      <c r="S3347" s="21">
        <v>0</v>
      </c>
      <c r="T3347" s="21">
        <v>0</v>
      </c>
      <c r="U3347" s="21">
        <v>0</v>
      </c>
      <c r="V3347" s="21">
        <v>0</v>
      </c>
      <c r="W3347" s="21">
        <v>0</v>
      </c>
      <c r="X3347" s="21">
        <v>0</v>
      </c>
      <c r="Y3347" s="21">
        <v>0</v>
      </c>
      <c r="Z3347" s="21" t="s">
        <v>2272</v>
      </c>
      <c r="AA3347" s="21" t="s">
        <v>2272</v>
      </c>
      <c r="AB3347" s="21" t="s">
        <v>2272</v>
      </c>
      <c r="AC3347" s="21" t="s">
        <v>2272</v>
      </c>
      <c r="AD3347" s="4" t="s">
        <v>8832</v>
      </c>
      <c r="AE3347" s="198"/>
    </row>
    <row r="3348" spans="1:31" ht="37" customHeight="1">
      <c r="A3348" s="198" t="s">
        <v>8829</v>
      </c>
      <c r="B3348" s="198" t="s">
        <v>8834</v>
      </c>
      <c r="C3348" s="4" t="s">
        <v>23</v>
      </c>
      <c r="D3348" s="198" t="s">
        <v>1102</v>
      </c>
      <c r="E3348" s="198" t="s">
        <v>2644</v>
      </c>
      <c r="F3348" s="4" t="s">
        <v>2658</v>
      </c>
      <c r="G3348" s="198" t="s">
        <v>2272</v>
      </c>
      <c r="H3348" s="198" t="s">
        <v>522</v>
      </c>
      <c r="I3348" s="198"/>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v>0</v>
      </c>
      <c r="Y3348" s="21">
        <v>0</v>
      </c>
      <c r="Z3348" s="21" t="s">
        <v>2272</v>
      </c>
      <c r="AA3348" s="21" t="s">
        <v>2272</v>
      </c>
      <c r="AB3348" s="21" t="s">
        <v>2272</v>
      </c>
      <c r="AC3348" s="21" t="s">
        <v>2272</v>
      </c>
      <c r="AD3348" s="198"/>
      <c r="AE3348" s="198"/>
    </row>
    <row r="3349" spans="1:31" ht="52" customHeight="1">
      <c r="A3349" s="198" t="s">
        <v>8838</v>
      </c>
      <c r="B3349" s="198" t="s">
        <v>8849</v>
      </c>
      <c r="C3349" s="4" t="s">
        <v>23</v>
      </c>
      <c r="D3349" s="198" t="s">
        <v>26</v>
      </c>
      <c r="E3349" s="4" t="s">
        <v>128</v>
      </c>
      <c r="F3349" s="4" t="s">
        <v>27</v>
      </c>
      <c r="G3349" s="198" t="s">
        <v>2272</v>
      </c>
      <c r="H3349" s="198" t="s">
        <v>521</v>
      </c>
      <c r="I3349" s="198"/>
      <c r="J3349" s="21" t="s">
        <v>2272</v>
      </c>
      <c r="K3349" s="21" t="s">
        <v>2272</v>
      </c>
      <c r="L3349" s="21" t="s">
        <v>2272</v>
      </c>
      <c r="M3349" s="21" t="s">
        <v>2272</v>
      </c>
      <c r="N3349" s="21" t="s">
        <v>2272</v>
      </c>
      <c r="O3349" s="21" t="s">
        <v>2272</v>
      </c>
      <c r="P3349" s="21" t="s">
        <v>2272</v>
      </c>
      <c r="Q3349" s="21" t="s">
        <v>2272</v>
      </c>
      <c r="R3349" s="21" t="s">
        <v>2272</v>
      </c>
      <c r="S3349" s="21" t="s">
        <v>2272</v>
      </c>
      <c r="T3349" s="21" t="s">
        <v>2272</v>
      </c>
      <c r="U3349" s="21" t="s">
        <v>2272</v>
      </c>
      <c r="V3349" s="21" t="s">
        <v>2272</v>
      </c>
      <c r="W3349" s="21" t="s">
        <v>2272</v>
      </c>
      <c r="X3349" s="21" t="s">
        <v>2272</v>
      </c>
      <c r="Y3349" s="21" t="s">
        <v>2272</v>
      </c>
      <c r="Z3349" s="21" t="s">
        <v>2272</v>
      </c>
      <c r="AA3349" s="21" t="s">
        <v>2272</v>
      </c>
      <c r="AB3349" s="21" t="s">
        <v>2272</v>
      </c>
      <c r="AC3349" s="21" t="s">
        <v>2272</v>
      </c>
      <c r="AD3349" s="198"/>
      <c r="AE3349" s="198"/>
    </row>
    <row r="3350" spans="1:31" ht="44.5" customHeight="1">
      <c r="A3350" s="198" t="s">
        <v>8838</v>
      </c>
      <c r="B3350" s="198" t="s">
        <v>8850</v>
      </c>
      <c r="C3350" s="4" t="s">
        <v>23</v>
      </c>
      <c r="D3350" s="198" t="s">
        <v>26</v>
      </c>
      <c r="E3350" s="4" t="s">
        <v>395</v>
      </c>
      <c r="F3350" s="4" t="s">
        <v>27</v>
      </c>
      <c r="G3350" s="198" t="s">
        <v>2272</v>
      </c>
      <c r="H3350" s="198" t="s">
        <v>522</v>
      </c>
      <c r="I3350" s="198"/>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v>0</v>
      </c>
      <c r="Y3350" s="21">
        <v>0</v>
      </c>
      <c r="Z3350" s="21" t="s">
        <v>2272</v>
      </c>
      <c r="AA3350" s="21" t="s">
        <v>2272</v>
      </c>
      <c r="AB3350" s="21" t="s">
        <v>2272</v>
      </c>
      <c r="AC3350" s="21" t="s">
        <v>2272</v>
      </c>
      <c r="AD3350" s="198"/>
      <c r="AE3350" s="198"/>
    </row>
    <row r="3351" spans="1:31" ht="56.5" customHeight="1">
      <c r="A3351" s="198" t="s">
        <v>8838</v>
      </c>
      <c r="B3351" s="198" t="s">
        <v>8851</v>
      </c>
      <c r="C3351" s="4" t="s">
        <v>23</v>
      </c>
      <c r="D3351" s="198" t="s">
        <v>26</v>
      </c>
      <c r="E3351" s="4" t="s">
        <v>3849</v>
      </c>
      <c r="F3351" s="4" t="s">
        <v>27</v>
      </c>
      <c r="G3351" s="198" t="s">
        <v>2272</v>
      </c>
      <c r="H3351" s="198" t="s">
        <v>522</v>
      </c>
      <c r="I3351" s="198"/>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v>0</v>
      </c>
      <c r="Y3351" s="21">
        <v>0</v>
      </c>
      <c r="Z3351" s="21" t="s">
        <v>2272</v>
      </c>
      <c r="AA3351" s="21" t="s">
        <v>2272</v>
      </c>
      <c r="AB3351" s="21" t="s">
        <v>2272</v>
      </c>
      <c r="AC3351" s="21" t="s">
        <v>2272</v>
      </c>
      <c r="AD3351" s="198"/>
      <c r="AE3351" s="198"/>
    </row>
    <row r="3352" spans="1:31" ht="29" customHeight="1">
      <c r="A3352" s="198" t="s">
        <v>8846</v>
      </c>
      <c r="B3352" s="198" t="s">
        <v>8852</v>
      </c>
      <c r="C3352" s="4" t="s">
        <v>23</v>
      </c>
      <c r="D3352" s="198" t="s">
        <v>26</v>
      </c>
      <c r="E3352" s="4" t="s">
        <v>128</v>
      </c>
      <c r="F3352" s="4" t="s">
        <v>27</v>
      </c>
      <c r="G3352" s="198" t="s">
        <v>2272</v>
      </c>
      <c r="H3352" s="198" t="s">
        <v>521</v>
      </c>
      <c r="I3352" s="198"/>
      <c r="J3352" s="21" t="s">
        <v>2272</v>
      </c>
      <c r="K3352" s="21" t="s">
        <v>2272</v>
      </c>
      <c r="L3352" s="21" t="s">
        <v>2272</v>
      </c>
      <c r="M3352" s="21" t="s">
        <v>2272</v>
      </c>
      <c r="N3352" s="21" t="s">
        <v>2272</v>
      </c>
      <c r="O3352" s="21" t="s">
        <v>2272</v>
      </c>
      <c r="P3352" s="21" t="s">
        <v>2272</v>
      </c>
      <c r="Q3352" s="21" t="s">
        <v>2272</v>
      </c>
      <c r="R3352" s="21" t="s">
        <v>2272</v>
      </c>
      <c r="S3352" s="21" t="s">
        <v>2272</v>
      </c>
      <c r="T3352" s="21" t="s">
        <v>2272</v>
      </c>
      <c r="U3352" s="21" t="s">
        <v>2272</v>
      </c>
      <c r="V3352" s="21" t="s">
        <v>2272</v>
      </c>
      <c r="W3352" s="21" t="s">
        <v>2272</v>
      </c>
      <c r="X3352" s="21" t="s">
        <v>2272</v>
      </c>
      <c r="Y3352" s="21" t="s">
        <v>2272</v>
      </c>
      <c r="Z3352" s="21" t="s">
        <v>2272</v>
      </c>
      <c r="AA3352" s="21" t="s">
        <v>2272</v>
      </c>
      <c r="AB3352" s="21" t="s">
        <v>2272</v>
      </c>
      <c r="AC3352" s="21" t="s">
        <v>2272</v>
      </c>
      <c r="AD3352" s="198"/>
      <c r="AE3352" s="198"/>
    </row>
    <row r="3353" spans="1:31" ht="29" customHeight="1">
      <c r="A3353" s="198" t="s">
        <v>8846</v>
      </c>
      <c r="B3353" s="198" t="s">
        <v>8853</v>
      </c>
      <c r="C3353" s="4" t="s">
        <v>23</v>
      </c>
      <c r="D3353" s="198" t="s">
        <v>26</v>
      </c>
      <c r="E3353" s="4" t="s">
        <v>395</v>
      </c>
      <c r="F3353" s="4" t="s">
        <v>27</v>
      </c>
      <c r="G3353" s="198" t="s">
        <v>2272</v>
      </c>
      <c r="H3353" s="198" t="s">
        <v>522</v>
      </c>
      <c r="I3353" s="198"/>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v>0</v>
      </c>
      <c r="Y3353" s="21">
        <v>0</v>
      </c>
      <c r="Z3353" s="21" t="s">
        <v>2272</v>
      </c>
      <c r="AA3353" s="21" t="s">
        <v>2272</v>
      </c>
      <c r="AB3353" s="21" t="s">
        <v>2272</v>
      </c>
      <c r="AC3353" s="21" t="s">
        <v>2272</v>
      </c>
      <c r="AD3353" s="198"/>
      <c r="AE3353" s="198"/>
    </row>
    <row r="3354" spans="1:31" ht="29" customHeight="1">
      <c r="A3354" s="198" t="s">
        <v>8846</v>
      </c>
      <c r="B3354" s="198" t="s">
        <v>8854</v>
      </c>
      <c r="C3354" s="4" t="s">
        <v>23</v>
      </c>
      <c r="D3354" s="198" t="s">
        <v>26</v>
      </c>
      <c r="E3354" s="4" t="s">
        <v>3849</v>
      </c>
      <c r="F3354" s="4" t="s">
        <v>27</v>
      </c>
      <c r="G3354" s="198" t="s">
        <v>2272</v>
      </c>
      <c r="H3354" s="198" t="s">
        <v>522</v>
      </c>
      <c r="I3354" s="198"/>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v>0</v>
      </c>
      <c r="Y3354" s="21">
        <v>0</v>
      </c>
      <c r="Z3354" s="21" t="s">
        <v>2272</v>
      </c>
      <c r="AA3354" s="21" t="s">
        <v>2272</v>
      </c>
      <c r="AB3354" s="21" t="s">
        <v>2272</v>
      </c>
      <c r="AC3354" s="21" t="s">
        <v>2272</v>
      </c>
      <c r="AD3354" s="198"/>
      <c r="AE3354" s="198"/>
    </row>
    <row r="3355" spans="1:31" ht="29" customHeight="1">
      <c r="A3355" s="198" t="s">
        <v>8847</v>
      </c>
      <c r="B3355" s="198" t="s">
        <v>8855</v>
      </c>
      <c r="C3355" s="4" t="s">
        <v>23</v>
      </c>
      <c r="D3355" s="198" t="s">
        <v>26</v>
      </c>
      <c r="E3355" s="4" t="s">
        <v>128</v>
      </c>
      <c r="F3355" s="4" t="s">
        <v>27</v>
      </c>
      <c r="G3355" s="198" t="s">
        <v>2272</v>
      </c>
      <c r="H3355" s="198" t="s">
        <v>521</v>
      </c>
      <c r="I3355" s="198"/>
      <c r="J3355" s="21" t="s">
        <v>2272</v>
      </c>
      <c r="K3355" s="21" t="s">
        <v>2272</v>
      </c>
      <c r="L3355" s="21" t="s">
        <v>2272</v>
      </c>
      <c r="M3355" s="21" t="s">
        <v>2272</v>
      </c>
      <c r="N3355" s="21" t="s">
        <v>2272</v>
      </c>
      <c r="O3355" s="21" t="s">
        <v>2272</v>
      </c>
      <c r="P3355" s="21" t="s">
        <v>2272</v>
      </c>
      <c r="Q3355" s="21" t="s">
        <v>2272</v>
      </c>
      <c r="R3355" s="21" t="s">
        <v>2272</v>
      </c>
      <c r="S3355" s="21" t="s">
        <v>2272</v>
      </c>
      <c r="T3355" s="21" t="s">
        <v>2272</v>
      </c>
      <c r="U3355" s="21" t="s">
        <v>2272</v>
      </c>
      <c r="V3355" s="21" t="s">
        <v>2272</v>
      </c>
      <c r="W3355" s="21" t="s">
        <v>2272</v>
      </c>
      <c r="X3355" s="21" t="s">
        <v>2272</v>
      </c>
      <c r="Y3355" s="21" t="s">
        <v>2272</v>
      </c>
      <c r="Z3355" s="21" t="s">
        <v>2272</v>
      </c>
      <c r="AA3355" s="21" t="s">
        <v>2272</v>
      </c>
      <c r="AB3355" s="21" t="s">
        <v>2272</v>
      </c>
      <c r="AC3355" s="21" t="s">
        <v>2272</v>
      </c>
      <c r="AD3355" s="198"/>
      <c r="AE3355" s="198"/>
    </row>
    <row r="3356" spans="1:31" ht="29" customHeight="1">
      <c r="A3356" s="198" t="s">
        <v>8847</v>
      </c>
      <c r="B3356" s="198" t="s">
        <v>8856</v>
      </c>
      <c r="C3356" s="4" t="s">
        <v>23</v>
      </c>
      <c r="D3356" s="198" t="s">
        <v>26</v>
      </c>
      <c r="E3356" s="4" t="s">
        <v>395</v>
      </c>
      <c r="F3356" s="4" t="s">
        <v>27</v>
      </c>
      <c r="G3356" s="198" t="s">
        <v>2272</v>
      </c>
      <c r="H3356" s="198" t="s">
        <v>522</v>
      </c>
      <c r="I3356" s="198"/>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v>0</v>
      </c>
      <c r="Y3356" s="21">
        <v>0</v>
      </c>
      <c r="Z3356" s="21" t="s">
        <v>2272</v>
      </c>
      <c r="AA3356" s="21" t="s">
        <v>2272</v>
      </c>
      <c r="AB3356" s="21" t="s">
        <v>2272</v>
      </c>
      <c r="AC3356" s="21" t="s">
        <v>2272</v>
      </c>
      <c r="AD3356" s="198"/>
      <c r="AE3356" s="198"/>
    </row>
    <row r="3357" spans="1:31" ht="29" customHeight="1">
      <c r="A3357" s="198" t="s">
        <v>8847</v>
      </c>
      <c r="B3357" s="198" t="s">
        <v>8857</v>
      </c>
      <c r="C3357" s="4" t="s">
        <v>23</v>
      </c>
      <c r="D3357" s="198" t="s">
        <v>26</v>
      </c>
      <c r="E3357" s="4" t="s">
        <v>3849</v>
      </c>
      <c r="F3357" s="4" t="s">
        <v>27</v>
      </c>
      <c r="G3357" s="198" t="s">
        <v>2272</v>
      </c>
      <c r="H3357" s="198" t="s">
        <v>522</v>
      </c>
      <c r="I3357" s="198"/>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v>0</v>
      </c>
      <c r="Y3357" s="21">
        <v>0</v>
      </c>
      <c r="Z3357" s="21" t="s">
        <v>2272</v>
      </c>
      <c r="AA3357" s="21" t="s">
        <v>2272</v>
      </c>
      <c r="AB3357" s="21" t="s">
        <v>2272</v>
      </c>
      <c r="AC3357" s="21" t="s">
        <v>2272</v>
      </c>
      <c r="AD3357" s="198"/>
      <c r="AE3357" s="198"/>
    </row>
    <row r="3358" spans="1:31" ht="29" customHeight="1">
      <c r="A3358" s="198" t="s">
        <v>8848</v>
      </c>
      <c r="B3358" s="198" t="s">
        <v>8858</v>
      </c>
      <c r="C3358" s="4" t="s">
        <v>23</v>
      </c>
      <c r="D3358" s="198" t="s">
        <v>26</v>
      </c>
      <c r="E3358" s="4" t="s">
        <v>128</v>
      </c>
      <c r="F3358" s="4" t="s">
        <v>27</v>
      </c>
      <c r="G3358" s="198" t="s">
        <v>2272</v>
      </c>
      <c r="H3358" s="198" t="s">
        <v>521</v>
      </c>
      <c r="I3358" s="198"/>
      <c r="J3358" s="21" t="s">
        <v>2272</v>
      </c>
      <c r="K3358" s="21" t="s">
        <v>2272</v>
      </c>
      <c r="L3358" s="21" t="s">
        <v>2272</v>
      </c>
      <c r="M3358" s="21" t="s">
        <v>2272</v>
      </c>
      <c r="N3358" s="21" t="s">
        <v>2272</v>
      </c>
      <c r="O3358" s="21" t="s">
        <v>2272</v>
      </c>
      <c r="P3358" s="21" t="s">
        <v>2272</v>
      </c>
      <c r="Q3358" s="21" t="s">
        <v>2272</v>
      </c>
      <c r="R3358" s="21" t="s">
        <v>2272</v>
      </c>
      <c r="S3358" s="21" t="s">
        <v>2272</v>
      </c>
      <c r="T3358" s="21" t="s">
        <v>2272</v>
      </c>
      <c r="U3358" s="21" t="s">
        <v>2272</v>
      </c>
      <c r="V3358" s="21" t="s">
        <v>2272</v>
      </c>
      <c r="W3358" s="21" t="s">
        <v>2272</v>
      </c>
      <c r="X3358" s="21" t="s">
        <v>2272</v>
      </c>
      <c r="Y3358" s="21" t="s">
        <v>2272</v>
      </c>
      <c r="Z3358" s="21" t="s">
        <v>2272</v>
      </c>
      <c r="AA3358" s="21" t="s">
        <v>2272</v>
      </c>
      <c r="AB3358" s="21" t="s">
        <v>2272</v>
      </c>
      <c r="AC3358" s="21" t="s">
        <v>2272</v>
      </c>
      <c r="AD3358" s="198"/>
      <c r="AE3358" s="198"/>
    </row>
    <row r="3359" spans="1:31" ht="29" customHeight="1">
      <c r="A3359" s="198" t="s">
        <v>8848</v>
      </c>
      <c r="B3359" s="198" t="s">
        <v>8859</v>
      </c>
      <c r="C3359" s="4" t="s">
        <v>23</v>
      </c>
      <c r="D3359" s="198" t="s">
        <v>26</v>
      </c>
      <c r="E3359" s="4" t="s">
        <v>395</v>
      </c>
      <c r="F3359" s="4" t="s">
        <v>27</v>
      </c>
      <c r="G3359" s="198" t="s">
        <v>2272</v>
      </c>
      <c r="H3359" s="198" t="s">
        <v>522</v>
      </c>
      <c r="I3359" s="198"/>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v>0</v>
      </c>
      <c r="Y3359" s="21">
        <v>0</v>
      </c>
      <c r="Z3359" s="21" t="s">
        <v>2272</v>
      </c>
      <c r="AA3359" s="21" t="s">
        <v>2272</v>
      </c>
      <c r="AB3359" s="21" t="s">
        <v>2272</v>
      </c>
      <c r="AC3359" s="21" t="s">
        <v>2272</v>
      </c>
      <c r="AD3359" s="198"/>
      <c r="AE3359" s="198"/>
    </row>
    <row r="3360" spans="1:31" ht="29" customHeight="1">
      <c r="A3360" s="198" t="s">
        <v>8848</v>
      </c>
      <c r="B3360" s="198" t="s">
        <v>8860</v>
      </c>
      <c r="C3360" s="4" t="s">
        <v>23</v>
      </c>
      <c r="D3360" s="198" t="s">
        <v>26</v>
      </c>
      <c r="E3360" s="4" t="s">
        <v>3849</v>
      </c>
      <c r="F3360" s="4" t="s">
        <v>27</v>
      </c>
      <c r="G3360" s="198" t="s">
        <v>2272</v>
      </c>
      <c r="H3360" s="198" t="s">
        <v>522</v>
      </c>
      <c r="I3360" s="198"/>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v>0</v>
      </c>
      <c r="Y3360" s="21">
        <v>0</v>
      </c>
      <c r="Z3360" s="21" t="s">
        <v>2272</v>
      </c>
      <c r="AA3360" s="21" t="s">
        <v>2272</v>
      </c>
      <c r="AB3360" s="21" t="s">
        <v>2272</v>
      </c>
      <c r="AC3360" s="21" t="s">
        <v>2272</v>
      </c>
      <c r="AD3360" s="198"/>
      <c r="AE3360" s="198"/>
    </row>
    <row r="3361" spans="1:31" ht="38" customHeight="1">
      <c r="A3361" s="198" t="s">
        <v>8862</v>
      </c>
      <c r="B3361" s="198" t="s">
        <v>8865</v>
      </c>
      <c r="C3361" s="4" t="s">
        <v>1102</v>
      </c>
      <c r="D3361" s="198" t="s">
        <v>2272</v>
      </c>
      <c r="E3361" s="198" t="s">
        <v>2272</v>
      </c>
      <c r="F3361" s="198" t="s">
        <v>2272</v>
      </c>
      <c r="G3361" s="198" t="s">
        <v>73</v>
      </c>
      <c r="H3361" s="198" t="s">
        <v>521</v>
      </c>
      <c r="I3361" s="198">
        <v>1997</v>
      </c>
      <c r="J3361" s="21" t="s">
        <v>2272</v>
      </c>
      <c r="K3361" s="21" t="s">
        <v>2272</v>
      </c>
      <c r="L3361" s="21" t="s">
        <v>2272</v>
      </c>
      <c r="M3361" s="21" t="s">
        <v>2272</v>
      </c>
      <c r="N3361" s="21" t="s">
        <v>2272</v>
      </c>
      <c r="O3361" s="21" t="s">
        <v>2272</v>
      </c>
      <c r="P3361" s="21" t="s">
        <v>2272</v>
      </c>
      <c r="Q3361" s="21" t="s">
        <v>2272</v>
      </c>
      <c r="R3361" s="21" t="s">
        <v>2272</v>
      </c>
      <c r="S3361" s="21" t="s">
        <v>2272</v>
      </c>
      <c r="T3361" s="21" t="s">
        <v>2272</v>
      </c>
      <c r="U3361" s="21">
        <v>2800</v>
      </c>
      <c r="V3361" s="21" t="s">
        <v>2272</v>
      </c>
      <c r="W3361" s="21" t="s">
        <v>2272</v>
      </c>
      <c r="X3361" s="21" t="s">
        <v>2272</v>
      </c>
      <c r="Y3361" s="21" t="s">
        <v>2272</v>
      </c>
      <c r="Z3361" s="21" t="s">
        <v>2272</v>
      </c>
      <c r="AA3361" s="21" t="s">
        <v>2272</v>
      </c>
      <c r="AB3361" s="21" t="s">
        <v>2272</v>
      </c>
      <c r="AC3361" s="21" t="s">
        <v>2272</v>
      </c>
      <c r="AD3361" s="198"/>
      <c r="AE3361" s="198"/>
    </row>
    <row r="3362" spans="1:31" ht="38" customHeight="1">
      <c r="A3362" s="198" t="s">
        <v>8862</v>
      </c>
      <c r="B3362" s="198" t="s">
        <v>8866</v>
      </c>
      <c r="C3362" s="4" t="s">
        <v>1102</v>
      </c>
      <c r="D3362" s="198" t="s">
        <v>2272</v>
      </c>
      <c r="E3362" s="198" t="s">
        <v>2272</v>
      </c>
      <c r="F3362" s="198" t="s">
        <v>2272</v>
      </c>
      <c r="G3362" s="198" t="s">
        <v>73</v>
      </c>
      <c r="H3362" s="198" t="s">
        <v>521</v>
      </c>
      <c r="I3362" s="198">
        <v>2002</v>
      </c>
      <c r="J3362" s="21" t="s">
        <v>2272</v>
      </c>
      <c r="K3362" s="21" t="s">
        <v>2272</v>
      </c>
      <c r="L3362" s="21" t="s">
        <v>2272</v>
      </c>
      <c r="M3362" s="21" t="s">
        <v>2272</v>
      </c>
      <c r="N3362" s="21" t="s">
        <v>2272</v>
      </c>
      <c r="O3362" s="21" t="s">
        <v>2272</v>
      </c>
      <c r="P3362" s="21" t="s">
        <v>2272</v>
      </c>
      <c r="Q3362" s="21" t="s">
        <v>2272</v>
      </c>
      <c r="R3362" s="21" t="s">
        <v>2272</v>
      </c>
      <c r="S3362" s="21" t="s">
        <v>2272</v>
      </c>
      <c r="T3362" s="21" t="s">
        <v>2272</v>
      </c>
      <c r="U3362" s="21">
        <v>14500</v>
      </c>
      <c r="V3362" s="21" t="s">
        <v>2272</v>
      </c>
      <c r="W3362" s="21" t="s">
        <v>2272</v>
      </c>
      <c r="X3362" s="21" t="s">
        <v>2272</v>
      </c>
      <c r="Y3362" s="21" t="s">
        <v>2272</v>
      </c>
      <c r="Z3362" s="21" t="s">
        <v>2272</v>
      </c>
      <c r="AA3362" s="21" t="s">
        <v>2272</v>
      </c>
      <c r="AB3362" s="21" t="s">
        <v>2272</v>
      </c>
      <c r="AC3362" s="21" t="s">
        <v>2272</v>
      </c>
      <c r="AD3362" s="198"/>
      <c r="AE3362" s="198"/>
    </row>
    <row r="3363" spans="1:31" ht="38" customHeight="1">
      <c r="A3363" s="198" t="s">
        <v>8862</v>
      </c>
      <c r="B3363" s="198" t="s">
        <v>8867</v>
      </c>
      <c r="C3363" s="198" t="s">
        <v>2453</v>
      </c>
      <c r="D3363" s="198" t="s">
        <v>2227</v>
      </c>
      <c r="E3363" s="198" t="s">
        <v>82</v>
      </c>
      <c r="F3363" s="198" t="s">
        <v>73</v>
      </c>
      <c r="G3363" s="198" t="s">
        <v>73</v>
      </c>
      <c r="H3363" s="198" t="s">
        <v>521</v>
      </c>
      <c r="I3363" s="198"/>
      <c r="J3363" s="21" t="s">
        <v>2272</v>
      </c>
      <c r="K3363" s="21" t="s">
        <v>2272</v>
      </c>
      <c r="L3363" s="21" t="s">
        <v>2272</v>
      </c>
      <c r="M3363" s="21" t="s">
        <v>2272</v>
      </c>
      <c r="N3363" s="21" t="s">
        <v>2272</v>
      </c>
      <c r="O3363" s="21" t="s">
        <v>2272</v>
      </c>
      <c r="P3363" s="21" t="s">
        <v>2272</v>
      </c>
      <c r="Q3363" s="198">
        <v>202</v>
      </c>
      <c r="R3363" s="21" t="s">
        <v>2272</v>
      </c>
      <c r="S3363" s="21" t="s">
        <v>2272</v>
      </c>
      <c r="T3363" s="21" t="s">
        <v>2272</v>
      </c>
      <c r="U3363" s="21" t="s">
        <v>2272</v>
      </c>
      <c r="V3363" s="21" t="s">
        <v>2272</v>
      </c>
      <c r="W3363" s="21" t="s">
        <v>2272</v>
      </c>
      <c r="X3363" s="21" t="s">
        <v>2272</v>
      </c>
      <c r="Y3363" s="21" t="s">
        <v>2272</v>
      </c>
      <c r="Z3363" s="21" t="s">
        <v>2272</v>
      </c>
      <c r="AA3363" s="21" t="s">
        <v>2272</v>
      </c>
      <c r="AB3363" s="21" t="s">
        <v>2272</v>
      </c>
      <c r="AC3363" s="21" t="s">
        <v>2272</v>
      </c>
      <c r="AD3363" s="198"/>
      <c r="AE3363" s="198"/>
    </row>
    <row r="3364" spans="1:31" ht="38" customHeight="1">
      <c r="A3364" s="198" t="s">
        <v>8862</v>
      </c>
      <c r="B3364" s="198" t="s">
        <v>8868</v>
      </c>
      <c r="C3364" s="198" t="s">
        <v>2453</v>
      </c>
      <c r="D3364" s="198" t="s">
        <v>2227</v>
      </c>
      <c r="E3364" s="4" t="s">
        <v>394</v>
      </c>
      <c r="F3364" s="198" t="s">
        <v>73</v>
      </c>
      <c r="G3364" s="198" t="s">
        <v>73</v>
      </c>
      <c r="H3364" s="198" t="s">
        <v>521</v>
      </c>
      <c r="I3364" s="198"/>
      <c r="J3364" s="21" t="s">
        <v>2272</v>
      </c>
      <c r="K3364" s="21" t="s">
        <v>2272</v>
      </c>
      <c r="L3364" s="21" t="s">
        <v>2272</v>
      </c>
      <c r="M3364" s="21" t="s">
        <v>2272</v>
      </c>
      <c r="N3364" s="21" t="s">
        <v>2272</v>
      </c>
      <c r="O3364" s="21" t="s">
        <v>2272</v>
      </c>
      <c r="P3364" s="21" t="s">
        <v>2272</v>
      </c>
      <c r="Q3364" s="198">
        <v>294.125</v>
      </c>
      <c r="R3364" s="21" t="s">
        <v>2272</v>
      </c>
      <c r="S3364" s="21" t="s">
        <v>2272</v>
      </c>
      <c r="T3364" s="21" t="s">
        <v>2272</v>
      </c>
      <c r="U3364" s="21" t="s">
        <v>2272</v>
      </c>
      <c r="V3364" s="21" t="s">
        <v>2272</v>
      </c>
      <c r="W3364" s="21" t="s">
        <v>2272</v>
      </c>
      <c r="X3364" s="21" t="s">
        <v>2272</v>
      </c>
      <c r="Y3364" s="21" t="s">
        <v>2272</v>
      </c>
      <c r="Z3364" s="21" t="s">
        <v>2272</v>
      </c>
      <c r="AA3364" s="21" t="s">
        <v>2272</v>
      </c>
      <c r="AB3364" s="21" t="s">
        <v>2272</v>
      </c>
      <c r="AC3364" s="21" t="s">
        <v>2272</v>
      </c>
      <c r="AD3364" s="198"/>
      <c r="AE3364" s="198"/>
    </row>
    <row r="3365" spans="1:31" ht="38" customHeight="1">
      <c r="A3365" s="198" t="s">
        <v>8862</v>
      </c>
      <c r="B3365" s="198" t="s">
        <v>8869</v>
      </c>
      <c r="C3365" s="198" t="s">
        <v>2453</v>
      </c>
      <c r="D3365" s="198" t="s">
        <v>26</v>
      </c>
      <c r="E3365" s="198" t="s">
        <v>128</v>
      </c>
      <c r="F3365" s="198" t="s">
        <v>158</v>
      </c>
      <c r="G3365" s="198" t="s">
        <v>73</v>
      </c>
      <c r="H3365" s="198" t="s">
        <v>521</v>
      </c>
      <c r="I3365" s="198"/>
      <c r="J3365" s="21" t="s">
        <v>2272</v>
      </c>
      <c r="K3365" s="21" t="s">
        <v>2272</v>
      </c>
      <c r="L3365" s="21" t="s">
        <v>2272</v>
      </c>
      <c r="M3365" s="21" t="s">
        <v>2272</v>
      </c>
      <c r="N3365" s="21" t="s">
        <v>2272</v>
      </c>
      <c r="O3365" s="21" t="s">
        <v>2272</v>
      </c>
      <c r="P3365" s="21" t="s">
        <v>2272</v>
      </c>
      <c r="Q3365" s="198">
        <v>242.1</v>
      </c>
      <c r="R3365" s="21" t="s">
        <v>2272</v>
      </c>
      <c r="S3365" s="21" t="s">
        <v>2272</v>
      </c>
      <c r="T3365" s="21" t="s">
        <v>2272</v>
      </c>
      <c r="U3365" s="21" t="s">
        <v>2272</v>
      </c>
      <c r="V3365" s="21" t="s">
        <v>2272</v>
      </c>
      <c r="W3365" s="21" t="s">
        <v>2272</v>
      </c>
      <c r="X3365" s="21" t="s">
        <v>2272</v>
      </c>
      <c r="Y3365" s="21" t="s">
        <v>2272</v>
      </c>
      <c r="Z3365" s="21" t="s">
        <v>2272</v>
      </c>
      <c r="AA3365" s="21" t="s">
        <v>2272</v>
      </c>
      <c r="AB3365" s="21" t="s">
        <v>2272</v>
      </c>
      <c r="AC3365" s="21" t="s">
        <v>2272</v>
      </c>
      <c r="AD3365" s="198"/>
      <c r="AE3365" s="198"/>
    </row>
    <row r="3366" spans="1:31" ht="38" customHeight="1">
      <c r="A3366" s="198" t="s">
        <v>8862</v>
      </c>
      <c r="B3366" s="198" t="s">
        <v>8870</v>
      </c>
      <c r="C3366" s="198" t="s">
        <v>2453</v>
      </c>
      <c r="D3366" s="198" t="s">
        <v>2989</v>
      </c>
      <c r="E3366" s="198" t="s">
        <v>2647</v>
      </c>
      <c r="F3366" s="198" t="s">
        <v>2272</v>
      </c>
      <c r="G3366" s="198" t="s">
        <v>73</v>
      </c>
      <c r="H3366" s="198" t="s">
        <v>521</v>
      </c>
      <c r="I3366" s="198"/>
      <c r="J3366" s="21" t="s">
        <v>2272</v>
      </c>
      <c r="K3366" s="21" t="s">
        <v>2272</v>
      </c>
      <c r="L3366" s="21" t="s">
        <v>2272</v>
      </c>
      <c r="M3366" s="21" t="s">
        <v>2272</v>
      </c>
      <c r="N3366" s="21" t="s">
        <v>2272</v>
      </c>
      <c r="O3366" s="21" t="s">
        <v>2272</v>
      </c>
      <c r="P3366" s="21" t="s">
        <v>2272</v>
      </c>
      <c r="Q3366" s="198">
        <v>189.16666666666666</v>
      </c>
      <c r="R3366" s="21" t="s">
        <v>2272</v>
      </c>
      <c r="S3366" s="21" t="s">
        <v>2272</v>
      </c>
      <c r="T3366" s="21" t="s">
        <v>2272</v>
      </c>
      <c r="U3366" s="21" t="s">
        <v>2272</v>
      </c>
      <c r="V3366" s="21" t="s">
        <v>2272</v>
      </c>
      <c r="W3366" s="21" t="s">
        <v>2272</v>
      </c>
      <c r="X3366" s="21" t="s">
        <v>2272</v>
      </c>
      <c r="Y3366" s="21" t="s">
        <v>2272</v>
      </c>
      <c r="Z3366" s="21" t="s">
        <v>2272</v>
      </c>
      <c r="AA3366" s="21" t="s">
        <v>2272</v>
      </c>
      <c r="AB3366" s="21" t="s">
        <v>2272</v>
      </c>
      <c r="AC3366" s="21" t="s">
        <v>2272</v>
      </c>
      <c r="AD3366" s="198"/>
      <c r="AE3366" s="198"/>
    </row>
    <row r="3367" spans="1:31" ht="38" customHeight="1">
      <c r="A3367" s="198" t="s">
        <v>8862</v>
      </c>
      <c r="B3367" s="198" t="s">
        <v>8871</v>
      </c>
      <c r="C3367" s="198" t="s">
        <v>2453</v>
      </c>
      <c r="D3367" s="198" t="s">
        <v>2989</v>
      </c>
      <c r="E3367" s="198" t="s">
        <v>114</v>
      </c>
      <c r="F3367" s="198" t="s">
        <v>2272</v>
      </c>
      <c r="G3367" s="198" t="s">
        <v>73</v>
      </c>
      <c r="H3367" s="198" t="s">
        <v>521</v>
      </c>
      <c r="I3367" s="198"/>
      <c r="J3367" s="21" t="s">
        <v>2272</v>
      </c>
      <c r="K3367" s="21" t="s">
        <v>2272</v>
      </c>
      <c r="L3367" s="21" t="s">
        <v>2272</v>
      </c>
      <c r="M3367" s="21" t="s">
        <v>2272</v>
      </c>
      <c r="N3367" s="21" t="s">
        <v>2272</v>
      </c>
      <c r="O3367" s="21" t="s">
        <v>2272</v>
      </c>
      <c r="P3367" s="21" t="s">
        <v>2272</v>
      </c>
      <c r="Q3367" s="198">
        <v>1257.5</v>
      </c>
      <c r="R3367" s="21" t="s">
        <v>2272</v>
      </c>
      <c r="S3367" s="21" t="s">
        <v>2272</v>
      </c>
      <c r="T3367" s="21" t="s">
        <v>2272</v>
      </c>
      <c r="U3367" s="21" t="s">
        <v>2272</v>
      </c>
      <c r="V3367" s="21" t="s">
        <v>2272</v>
      </c>
      <c r="W3367" s="21" t="s">
        <v>2272</v>
      </c>
      <c r="X3367" s="21" t="s">
        <v>2272</v>
      </c>
      <c r="Y3367" s="21" t="s">
        <v>2272</v>
      </c>
      <c r="Z3367" s="21" t="s">
        <v>2272</v>
      </c>
      <c r="AA3367" s="21" t="s">
        <v>2272</v>
      </c>
      <c r="AB3367" s="21" t="s">
        <v>2272</v>
      </c>
      <c r="AC3367" s="21" t="s">
        <v>2272</v>
      </c>
      <c r="AD3367" s="198"/>
      <c r="AE3367" s="198"/>
    </row>
    <row r="3368" spans="1:31" ht="38" customHeight="1">
      <c r="A3368" s="198" t="s">
        <v>8862</v>
      </c>
      <c r="B3368" s="198" t="s">
        <v>8872</v>
      </c>
      <c r="C3368" s="198" t="s">
        <v>2453</v>
      </c>
      <c r="D3368" s="198" t="s">
        <v>1241</v>
      </c>
      <c r="E3368" s="198" t="s">
        <v>114</v>
      </c>
      <c r="F3368" s="198" t="s">
        <v>73</v>
      </c>
      <c r="G3368" s="198" t="s">
        <v>73</v>
      </c>
      <c r="H3368" s="198" t="s">
        <v>521</v>
      </c>
      <c r="I3368" s="198"/>
      <c r="J3368" s="21" t="s">
        <v>2272</v>
      </c>
      <c r="K3368" s="21" t="s">
        <v>2272</v>
      </c>
      <c r="L3368" s="21" t="s">
        <v>2272</v>
      </c>
      <c r="M3368" s="21" t="s">
        <v>2272</v>
      </c>
      <c r="N3368" s="21" t="s">
        <v>2272</v>
      </c>
      <c r="O3368" s="21" t="s">
        <v>2272</v>
      </c>
      <c r="P3368" s="21" t="s">
        <v>2272</v>
      </c>
      <c r="Q3368" s="21" t="s">
        <v>2272</v>
      </c>
      <c r="R3368" s="21" t="s">
        <v>2272</v>
      </c>
      <c r="S3368" s="21" t="s">
        <v>2272</v>
      </c>
      <c r="T3368" s="21" t="s">
        <v>2272</v>
      </c>
      <c r="U3368" s="21" t="s">
        <v>2272</v>
      </c>
      <c r="V3368" s="21" t="s">
        <v>2272</v>
      </c>
      <c r="W3368" s="21" t="s">
        <v>2272</v>
      </c>
      <c r="X3368" s="21" t="s">
        <v>2272</v>
      </c>
      <c r="Y3368" s="21" t="s">
        <v>2272</v>
      </c>
      <c r="Z3368" s="21" t="s">
        <v>2272</v>
      </c>
      <c r="AA3368" s="21" t="s">
        <v>2272</v>
      </c>
      <c r="AB3368" s="21" t="s">
        <v>2272</v>
      </c>
      <c r="AC3368" s="21" t="s">
        <v>2272</v>
      </c>
      <c r="AD3368" s="198"/>
      <c r="AE3368" s="198"/>
    </row>
    <row r="3369" spans="1:31" ht="38" customHeight="1">
      <c r="A3369" s="198" t="s">
        <v>8862</v>
      </c>
      <c r="B3369" s="198" t="s">
        <v>8873</v>
      </c>
      <c r="C3369" s="198" t="s">
        <v>30</v>
      </c>
      <c r="D3369" s="198" t="s">
        <v>29</v>
      </c>
      <c r="E3369" s="198" t="s">
        <v>2648</v>
      </c>
      <c r="F3369" s="198" t="s">
        <v>2272</v>
      </c>
      <c r="G3369" s="198" t="s">
        <v>73</v>
      </c>
      <c r="H3369" s="198" t="s">
        <v>521</v>
      </c>
      <c r="I3369" s="198"/>
      <c r="J3369" s="21" t="s">
        <v>2272</v>
      </c>
      <c r="K3369" s="21" t="s">
        <v>2272</v>
      </c>
      <c r="L3369" s="21" t="s">
        <v>2272</v>
      </c>
      <c r="M3369" s="21" t="s">
        <v>2272</v>
      </c>
      <c r="N3369" s="21" t="s">
        <v>2272</v>
      </c>
      <c r="O3369" s="21" t="s">
        <v>2272</v>
      </c>
      <c r="P3369" s="21" t="s">
        <v>2272</v>
      </c>
      <c r="Q3369" s="198">
        <v>17</v>
      </c>
      <c r="R3369" s="21" t="s">
        <v>2272</v>
      </c>
      <c r="S3369" s="21" t="s">
        <v>2272</v>
      </c>
      <c r="T3369" s="21" t="s">
        <v>2272</v>
      </c>
      <c r="U3369" s="21" t="s">
        <v>2272</v>
      </c>
      <c r="V3369" s="21" t="s">
        <v>2272</v>
      </c>
      <c r="W3369" s="21" t="s">
        <v>2272</v>
      </c>
      <c r="X3369" s="21" t="s">
        <v>2272</v>
      </c>
      <c r="Y3369" s="21" t="s">
        <v>2272</v>
      </c>
      <c r="Z3369" s="21" t="s">
        <v>2272</v>
      </c>
      <c r="AA3369" s="21" t="s">
        <v>2272</v>
      </c>
      <c r="AB3369" s="21" t="s">
        <v>2272</v>
      </c>
      <c r="AC3369" s="21" t="s">
        <v>2272</v>
      </c>
      <c r="AD3369" s="198"/>
      <c r="AE3369" s="198"/>
    </row>
    <row r="3370" spans="1:31" ht="38" customHeight="1">
      <c r="A3370" s="198" t="s">
        <v>8862</v>
      </c>
      <c r="B3370" s="198" t="s">
        <v>8874</v>
      </c>
      <c r="C3370" s="198" t="s">
        <v>2651</v>
      </c>
      <c r="D3370" s="198" t="s">
        <v>2272</v>
      </c>
      <c r="E3370" s="198" t="s">
        <v>2272</v>
      </c>
      <c r="F3370" s="198" t="s">
        <v>2272</v>
      </c>
      <c r="G3370" s="198" t="s">
        <v>73</v>
      </c>
      <c r="H3370" s="198" t="s">
        <v>521</v>
      </c>
      <c r="I3370" s="198"/>
      <c r="J3370" s="21" t="s">
        <v>2272</v>
      </c>
      <c r="K3370" s="21" t="s">
        <v>2272</v>
      </c>
      <c r="L3370" s="21" t="s">
        <v>2272</v>
      </c>
      <c r="M3370" s="21" t="s">
        <v>2272</v>
      </c>
      <c r="N3370" s="21" t="s">
        <v>2272</v>
      </c>
      <c r="O3370" s="21" t="s">
        <v>2272</v>
      </c>
      <c r="P3370" s="21" t="s">
        <v>2272</v>
      </c>
      <c r="Q3370" s="21" t="s">
        <v>2272</v>
      </c>
      <c r="R3370" s="21" t="s">
        <v>2272</v>
      </c>
      <c r="S3370" s="21" t="s">
        <v>2272</v>
      </c>
      <c r="T3370" s="21" t="s">
        <v>2272</v>
      </c>
      <c r="U3370" s="21" t="s">
        <v>2272</v>
      </c>
      <c r="V3370" s="21" t="s">
        <v>2272</v>
      </c>
      <c r="W3370" s="21" t="s">
        <v>2272</v>
      </c>
      <c r="X3370" s="21" t="s">
        <v>2272</v>
      </c>
      <c r="Y3370" s="21" t="s">
        <v>2272</v>
      </c>
      <c r="Z3370" s="21" t="s">
        <v>2272</v>
      </c>
      <c r="AA3370" s="21" t="s">
        <v>2272</v>
      </c>
      <c r="AB3370" s="21" t="s">
        <v>2272</v>
      </c>
      <c r="AC3370" s="21" t="s">
        <v>2272</v>
      </c>
      <c r="AD3370" s="198"/>
      <c r="AE3370" s="198"/>
    </row>
    <row r="3371" spans="1:31" ht="38" customHeight="1">
      <c r="A3371" s="198" t="s">
        <v>8862</v>
      </c>
      <c r="B3371" s="198" t="s">
        <v>8875</v>
      </c>
      <c r="C3371" s="198" t="s">
        <v>23</v>
      </c>
      <c r="D3371" s="198" t="s">
        <v>2342</v>
      </c>
      <c r="E3371" s="198" t="s">
        <v>2272</v>
      </c>
      <c r="F3371" s="198" t="s">
        <v>2272</v>
      </c>
      <c r="G3371" s="198" t="s">
        <v>73</v>
      </c>
      <c r="H3371" s="198" t="s">
        <v>521</v>
      </c>
      <c r="I3371" s="198"/>
      <c r="J3371" s="21" t="s">
        <v>2272</v>
      </c>
      <c r="K3371" s="21" t="s">
        <v>2272</v>
      </c>
      <c r="L3371" s="21" t="s">
        <v>2272</v>
      </c>
      <c r="M3371" s="21" t="s">
        <v>2272</v>
      </c>
      <c r="N3371" s="21" t="s">
        <v>2272</v>
      </c>
      <c r="O3371" s="21" t="s">
        <v>2272</v>
      </c>
      <c r="P3371" s="21" t="s">
        <v>2272</v>
      </c>
      <c r="Q3371" s="198">
        <v>1000</v>
      </c>
      <c r="R3371" s="21" t="s">
        <v>2272</v>
      </c>
      <c r="S3371" s="21" t="s">
        <v>2272</v>
      </c>
      <c r="T3371" s="21" t="s">
        <v>2272</v>
      </c>
      <c r="U3371" s="21" t="s">
        <v>2272</v>
      </c>
      <c r="V3371" s="21" t="s">
        <v>2272</v>
      </c>
      <c r="W3371" s="21" t="s">
        <v>2272</v>
      </c>
      <c r="X3371" s="21" t="s">
        <v>2272</v>
      </c>
      <c r="Y3371" s="21" t="s">
        <v>2272</v>
      </c>
      <c r="Z3371" s="21" t="s">
        <v>2272</v>
      </c>
      <c r="AA3371" s="21" t="s">
        <v>2272</v>
      </c>
      <c r="AB3371" s="21" t="s">
        <v>2272</v>
      </c>
      <c r="AC3371" s="21" t="s">
        <v>2272</v>
      </c>
      <c r="AD3371" s="198"/>
      <c r="AE3371" s="198"/>
    </row>
    <row r="3372" spans="1:31" ht="32.5" customHeight="1">
      <c r="A3372" s="198" t="s">
        <v>8879</v>
      </c>
      <c r="B3372" s="198" t="s">
        <v>8882</v>
      </c>
      <c r="C3372" s="198" t="s">
        <v>23</v>
      </c>
      <c r="D3372" s="198" t="s">
        <v>26</v>
      </c>
      <c r="E3372" s="198" t="s">
        <v>128</v>
      </c>
      <c r="F3372" s="4" t="s">
        <v>158</v>
      </c>
      <c r="G3372" s="198" t="s">
        <v>158</v>
      </c>
      <c r="H3372" s="198" t="s">
        <v>521</v>
      </c>
      <c r="I3372" s="198"/>
      <c r="J3372" s="21" t="s">
        <v>2272</v>
      </c>
      <c r="K3372" s="21" t="s">
        <v>2272</v>
      </c>
      <c r="L3372" s="21" t="s">
        <v>2272</v>
      </c>
      <c r="M3372" s="21" t="s">
        <v>2272</v>
      </c>
      <c r="N3372" s="21" t="s">
        <v>2272</v>
      </c>
      <c r="O3372" s="21" t="s">
        <v>2272</v>
      </c>
      <c r="P3372" s="21" t="s">
        <v>2272</v>
      </c>
      <c r="Q3372" s="21" t="s">
        <v>2272</v>
      </c>
      <c r="R3372" s="21" t="s">
        <v>2272</v>
      </c>
      <c r="S3372" s="21" t="s">
        <v>2272</v>
      </c>
      <c r="T3372" s="21" t="s">
        <v>2272</v>
      </c>
      <c r="U3372" s="21" t="s">
        <v>2272</v>
      </c>
      <c r="V3372" s="21" t="s">
        <v>2272</v>
      </c>
      <c r="W3372" s="21" t="s">
        <v>2272</v>
      </c>
      <c r="X3372" s="21" t="s">
        <v>2272</v>
      </c>
      <c r="Y3372" s="21" t="s">
        <v>2272</v>
      </c>
      <c r="Z3372" s="21" t="s">
        <v>2272</v>
      </c>
      <c r="AA3372" s="21" t="s">
        <v>2272</v>
      </c>
      <c r="AB3372" s="21" t="s">
        <v>2272</v>
      </c>
      <c r="AC3372" s="21" t="s">
        <v>2272</v>
      </c>
      <c r="AD3372" s="21" t="s">
        <v>8887</v>
      </c>
      <c r="AE3372" s="198"/>
    </row>
    <row r="3373" spans="1:31" ht="32.5" customHeight="1">
      <c r="A3373" s="198" t="s">
        <v>8879</v>
      </c>
      <c r="B3373" s="198" t="s">
        <v>8883</v>
      </c>
      <c r="C3373" s="198" t="s">
        <v>23</v>
      </c>
      <c r="D3373" s="198" t="s">
        <v>24</v>
      </c>
      <c r="E3373" s="198" t="s">
        <v>44</v>
      </c>
      <c r="F3373" s="4" t="s">
        <v>28</v>
      </c>
      <c r="G3373" s="4" t="s">
        <v>28</v>
      </c>
      <c r="H3373" s="198" t="s">
        <v>521</v>
      </c>
      <c r="I3373" s="198"/>
      <c r="J3373" s="21" t="s">
        <v>2272</v>
      </c>
      <c r="K3373" s="21" t="s">
        <v>2272</v>
      </c>
      <c r="L3373" s="21" t="s">
        <v>2272</v>
      </c>
      <c r="M3373" s="21" t="s">
        <v>2272</v>
      </c>
      <c r="N3373" s="21" t="s">
        <v>2272</v>
      </c>
      <c r="O3373" s="21" t="s">
        <v>2272</v>
      </c>
      <c r="P3373" s="21" t="s">
        <v>2272</v>
      </c>
      <c r="Q3373" s="21" t="s">
        <v>2272</v>
      </c>
      <c r="R3373" s="21" t="s">
        <v>2272</v>
      </c>
      <c r="S3373" s="21" t="s">
        <v>2272</v>
      </c>
      <c r="T3373" s="21" t="s">
        <v>2272</v>
      </c>
      <c r="U3373" s="21" t="s">
        <v>2272</v>
      </c>
      <c r="V3373" s="21" t="s">
        <v>2272</v>
      </c>
      <c r="W3373" s="21" t="s">
        <v>2272</v>
      </c>
      <c r="X3373" s="21" t="s">
        <v>2272</v>
      </c>
      <c r="Y3373" s="21" t="s">
        <v>2272</v>
      </c>
      <c r="Z3373" s="21" t="s">
        <v>2272</v>
      </c>
      <c r="AA3373" s="21" t="s">
        <v>2272</v>
      </c>
      <c r="AB3373" s="21" t="s">
        <v>2272</v>
      </c>
      <c r="AC3373" s="21" t="s">
        <v>2272</v>
      </c>
      <c r="AD3373" s="21" t="s">
        <v>8887</v>
      </c>
      <c r="AE3373" s="198"/>
    </row>
    <row r="3374" spans="1:31" ht="32.5" customHeight="1">
      <c r="A3374" s="198" t="s">
        <v>8879</v>
      </c>
      <c r="B3374" s="198" t="s">
        <v>8884</v>
      </c>
      <c r="C3374" s="198" t="s">
        <v>23</v>
      </c>
      <c r="D3374" s="198" t="s">
        <v>25</v>
      </c>
      <c r="E3374" s="198" t="s">
        <v>44</v>
      </c>
      <c r="F3374" s="4" t="s">
        <v>28</v>
      </c>
      <c r="G3374" s="4" t="s">
        <v>28</v>
      </c>
      <c r="H3374" s="198" t="s">
        <v>521</v>
      </c>
      <c r="I3374" s="198"/>
      <c r="J3374" s="21" t="s">
        <v>2272</v>
      </c>
      <c r="K3374" s="21" t="s">
        <v>2272</v>
      </c>
      <c r="L3374" s="21" t="s">
        <v>2272</v>
      </c>
      <c r="M3374" s="21" t="s">
        <v>2272</v>
      </c>
      <c r="N3374" s="21" t="s">
        <v>2272</v>
      </c>
      <c r="O3374" s="21" t="s">
        <v>2272</v>
      </c>
      <c r="P3374" s="21" t="s">
        <v>2272</v>
      </c>
      <c r="Q3374" s="21" t="s">
        <v>2272</v>
      </c>
      <c r="R3374" s="21" t="s">
        <v>2272</v>
      </c>
      <c r="S3374" s="21" t="s">
        <v>2272</v>
      </c>
      <c r="T3374" s="21" t="s">
        <v>2272</v>
      </c>
      <c r="U3374" s="21" t="s">
        <v>2272</v>
      </c>
      <c r="V3374" s="21" t="s">
        <v>2272</v>
      </c>
      <c r="W3374" s="21" t="s">
        <v>2272</v>
      </c>
      <c r="X3374" s="21" t="s">
        <v>2272</v>
      </c>
      <c r="Y3374" s="21" t="s">
        <v>2272</v>
      </c>
      <c r="Z3374" s="21" t="s">
        <v>2272</v>
      </c>
      <c r="AA3374" s="21" t="s">
        <v>2272</v>
      </c>
      <c r="AB3374" s="21" t="s">
        <v>2272</v>
      </c>
      <c r="AC3374" s="21" t="s">
        <v>2272</v>
      </c>
      <c r="AD3374" s="21" t="s">
        <v>8887</v>
      </c>
      <c r="AE3374" s="198"/>
    </row>
    <row r="3375" spans="1:31" ht="38" customHeight="1">
      <c r="A3375" s="198" t="s">
        <v>8879</v>
      </c>
      <c r="B3375" s="198" t="s">
        <v>8885</v>
      </c>
      <c r="C3375" s="198" t="s">
        <v>23</v>
      </c>
      <c r="D3375" s="198" t="s">
        <v>2227</v>
      </c>
      <c r="E3375" s="198" t="s">
        <v>44</v>
      </c>
      <c r="F3375" s="4" t="s">
        <v>28</v>
      </c>
      <c r="G3375" s="4" t="s">
        <v>28</v>
      </c>
      <c r="H3375" s="198" t="s">
        <v>521</v>
      </c>
      <c r="I3375" s="198"/>
      <c r="J3375" s="21" t="s">
        <v>2272</v>
      </c>
      <c r="K3375" s="21" t="s">
        <v>2272</v>
      </c>
      <c r="L3375" s="21" t="s">
        <v>2272</v>
      </c>
      <c r="M3375" s="21" t="s">
        <v>2272</v>
      </c>
      <c r="N3375" s="21" t="s">
        <v>2272</v>
      </c>
      <c r="O3375" s="21" t="s">
        <v>2272</v>
      </c>
      <c r="P3375" s="21" t="s">
        <v>2272</v>
      </c>
      <c r="Q3375" s="21" t="s">
        <v>2272</v>
      </c>
      <c r="R3375" s="21" t="s">
        <v>2272</v>
      </c>
      <c r="S3375" s="21" t="s">
        <v>2272</v>
      </c>
      <c r="T3375" s="21" t="s">
        <v>2272</v>
      </c>
      <c r="U3375" s="21" t="s">
        <v>2272</v>
      </c>
      <c r="V3375" s="21" t="s">
        <v>2272</v>
      </c>
      <c r="W3375" s="21" t="s">
        <v>2272</v>
      </c>
      <c r="X3375" s="21" t="s">
        <v>2272</v>
      </c>
      <c r="Y3375" s="21" t="s">
        <v>2272</v>
      </c>
      <c r="Z3375" s="21" t="s">
        <v>2272</v>
      </c>
      <c r="AA3375" s="21" t="s">
        <v>2272</v>
      </c>
      <c r="AB3375" s="21" t="s">
        <v>2272</v>
      </c>
      <c r="AC3375" s="21" t="s">
        <v>2272</v>
      </c>
      <c r="AD3375" s="21" t="s">
        <v>8887</v>
      </c>
      <c r="AE3375" s="198"/>
    </row>
    <row r="3376" spans="1:31" ht="33" customHeight="1">
      <c r="A3376" s="198" t="s">
        <v>8879</v>
      </c>
      <c r="B3376" s="198" t="s">
        <v>8886</v>
      </c>
      <c r="C3376" s="198" t="s">
        <v>2453</v>
      </c>
      <c r="D3376" s="198" t="s">
        <v>26</v>
      </c>
      <c r="E3376" s="198" t="s">
        <v>128</v>
      </c>
      <c r="F3376" s="4" t="s">
        <v>158</v>
      </c>
      <c r="G3376" s="4" t="s">
        <v>2272</v>
      </c>
      <c r="H3376" s="198" t="s">
        <v>521</v>
      </c>
      <c r="I3376" s="198"/>
      <c r="J3376" s="21" t="s">
        <v>2272</v>
      </c>
      <c r="K3376" s="21" t="s">
        <v>2272</v>
      </c>
      <c r="L3376" s="21" t="s">
        <v>2272</v>
      </c>
      <c r="M3376" s="21" t="s">
        <v>2272</v>
      </c>
      <c r="N3376" s="21" t="s">
        <v>2272</v>
      </c>
      <c r="O3376" s="21" t="s">
        <v>2272</v>
      </c>
      <c r="P3376" s="21" t="s">
        <v>2272</v>
      </c>
      <c r="Q3376" s="21" t="s">
        <v>2272</v>
      </c>
      <c r="R3376" s="21" t="s">
        <v>2272</v>
      </c>
      <c r="S3376" s="21" t="s">
        <v>2272</v>
      </c>
      <c r="T3376" s="21" t="s">
        <v>2272</v>
      </c>
      <c r="U3376" s="21" t="s">
        <v>2272</v>
      </c>
      <c r="V3376" s="21" t="s">
        <v>2272</v>
      </c>
      <c r="W3376" s="21" t="s">
        <v>2272</v>
      </c>
      <c r="X3376" s="21" t="s">
        <v>2272</v>
      </c>
      <c r="Y3376" s="21" t="s">
        <v>2272</v>
      </c>
      <c r="Z3376" s="21" t="s">
        <v>2272</v>
      </c>
      <c r="AA3376" s="21" t="s">
        <v>2272</v>
      </c>
      <c r="AB3376" s="21" t="s">
        <v>2272</v>
      </c>
      <c r="AC3376" s="21" t="s">
        <v>2272</v>
      </c>
      <c r="AD3376" s="198" t="s">
        <v>8892</v>
      </c>
      <c r="AE3376" s="198"/>
    </row>
    <row r="3377" spans="1:31" ht="33" customHeight="1">
      <c r="A3377" s="198" t="s">
        <v>8879</v>
      </c>
      <c r="B3377" s="198" t="s">
        <v>8888</v>
      </c>
      <c r="C3377" s="198" t="s">
        <v>2453</v>
      </c>
      <c r="D3377" s="198" t="s">
        <v>24</v>
      </c>
      <c r="E3377" s="198" t="s">
        <v>44</v>
      </c>
      <c r="F3377" s="4" t="s">
        <v>28</v>
      </c>
      <c r="G3377" s="4" t="s">
        <v>2272</v>
      </c>
      <c r="H3377" s="198" t="s">
        <v>521</v>
      </c>
      <c r="I3377" s="198"/>
      <c r="J3377" s="21" t="s">
        <v>2272</v>
      </c>
      <c r="K3377" s="21" t="s">
        <v>2272</v>
      </c>
      <c r="L3377" s="21" t="s">
        <v>2272</v>
      </c>
      <c r="M3377" s="21" t="s">
        <v>2272</v>
      </c>
      <c r="N3377" s="21" t="s">
        <v>2272</v>
      </c>
      <c r="O3377" s="21" t="s">
        <v>2272</v>
      </c>
      <c r="P3377" s="21" t="s">
        <v>2272</v>
      </c>
      <c r="Q3377" s="21" t="s">
        <v>2272</v>
      </c>
      <c r="R3377" s="21" t="s">
        <v>2272</v>
      </c>
      <c r="S3377" s="21" t="s">
        <v>2272</v>
      </c>
      <c r="T3377" s="21" t="s">
        <v>2272</v>
      </c>
      <c r="U3377" s="21" t="s">
        <v>2272</v>
      </c>
      <c r="V3377" s="21" t="s">
        <v>2272</v>
      </c>
      <c r="W3377" s="21" t="s">
        <v>2272</v>
      </c>
      <c r="X3377" s="21" t="s">
        <v>2272</v>
      </c>
      <c r="Y3377" s="21" t="s">
        <v>2272</v>
      </c>
      <c r="Z3377" s="21" t="s">
        <v>2272</v>
      </c>
      <c r="AA3377" s="21" t="s">
        <v>2272</v>
      </c>
      <c r="AB3377" s="21" t="s">
        <v>2272</v>
      </c>
      <c r="AC3377" s="21" t="s">
        <v>2272</v>
      </c>
      <c r="AD3377" s="198" t="s">
        <v>8892</v>
      </c>
      <c r="AE3377" s="198"/>
    </row>
    <row r="3378" spans="1:31" ht="33" customHeight="1">
      <c r="A3378" s="198" t="s">
        <v>8879</v>
      </c>
      <c r="B3378" s="198" t="s">
        <v>8889</v>
      </c>
      <c r="C3378" s="198" t="s">
        <v>2453</v>
      </c>
      <c r="D3378" s="198" t="s">
        <v>25</v>
      </c>
      <c r="E3378" s="198" t="s">
        <v>44</v>
      </c>
      <c r="F3378" s="4" t="s">
        <v>28</v>
      </c>
      <c r="G3378" s="4" t="s">
        <v>2272</v>
      </c>
      <c r="H3378" s="198" t="s">
        <v>521</v>
      </c>
      <c r="I3378" s="198"/>
      <c r="J3378" s="21" t="s">
        <v>2272</v>
      </c>
      <c r="K3378" s="21" t="s">
        <v>2272</v>
      </c>
      <c r="L3378" s="21" t="s">
        <v>2272</v>
      </c>
      <c r="M3378" s="21" t="s">
        <v>2272</v>
      </c>
      <c r="N3378" s="21" t="s">
        <v>2272</v>
      </c>
      <c r="O3378" s="21" t="s">
        <v>2272</v>
      </c>
      <c r="P3378" s="21" t="s">
        <v>2272</v>
      </c>
      <c r="Q3378" s="21" t="s">
        <v>2272</v>
      </c>
      <c r="R3378" s="21" t="s">
        <v>2272</v>
      </c>
      <c r="S3378" s="21" t="s">
        <v>2272</v>
      </c>
      <c r="T3378" s="21" t="s">
        <v>2272</v>
      </c>
      <c r="U3378" s="21" t="s">
        <v>2272</v>
      </c>
      <c r="V3378" s="21" t="s">
        <v>2272</v>
      </c>
      <c r="W3378" s="21" t="s">
        <v>2272</v>
      </c>
      <c r="X3378" s="21" t="s">
        <v>2272</v>
      </c>
      <c r="Y3378" s="21" t="s">
        <v>2272</v>
      </c>
      <c r="Z3378" s="21" t="s">
        <v>2272</v>
      </c>
      <c r="AA3378" s="21" t="s">
        <v>2272</v>
      </c>
      <c r="AB3378" s="21" t="s">
        <v>2272</v>
      </c>
      <c r="AC3378" s="21" t="s">
        <v>2272</v>
      </c>
      <c r="AD3378" s="198" t="s">
        <v>8892</v>
      </c>
      <c r="AE3378" s="198"/>
    </row>
    <row r="3379" spans="1:31" ht="33" customHeight="1">
      <c r="A3379" s="198" t="s">
        <v>8879</v>
      </c>
      <c r="B3379" s="198" t="s">
        <v>8890</v>
      </c>
      <c r="C3379" s="198" t="s">
        <v>2453</v>
      </c>
      <c r="D3379" s="198" t="s">
        <v>2227</v>
      </c>
      <c r="E3379" s="198" t="s">
        <v>44</v>
      </c>
      <c r="F3379" s="4" t="s">
        <v>28</v>
      </c>
      <c r="G3379" s="4" t="s">
        <v>2272</v>
      </c>
      <c r="H3379" s="198" t="s">
        <v>521</v>
      </c>
      <c r="I3379" s="198"/>
      <c r="J3379" s="21" t="s">
        <v>2272</v>
      </c>
      <c r="K3379" s="21" t="s">
        <v>2272</v>
      </c>
      <c r="L3379" s="21" t="s">
        <v>2272</v>
      </c>
      <c r="M3379" s="21" t="s">
        <v>2272</v>
      </c>
      <c r="N3379" s="21" t="s">
        <v>2272</v>
      </c>
      <c r="O3379" s="21" t="s">
        <v>2272</v>
      </c>
      <c r="P3379" s="21" t="s">
        <v>2272</v>
      </c>
      <c r="Q3379" s="21" t="s">
        <v>2272</v>
      </c>
      <c r="R3379" s="21" t="s">
        <v>2272</v>
      </c>
      <c r="S3379" s="21" t="s">
        <v>2272</v>
      </c>
      <c r="T3379" s="21" t="s">
        <v>2272</v>
      </c>
      <c r="U3379" s="21" t="s">
        <v>2272</v>
      </c>
      <c r="V3379" s="21" t="s">
        <v>2272</v>
      </c>
      <c r="W3379" s="21" t="s">
        <v>2272</v>
      </c>
      <c r="X3379" s="21" t="s">
        <v>2272</v>
      </c>
      <c r="Y3379" s="21" t="s">
        <v>2272</v>
      </c>
      <c r="Z3379" s="21" t="s">
        <v>2272</v>
      </c>
      <c r="AA3379" s="21" t="s">
        <v>2272</v>
      </c>
      <c r="AB3379" s="21" t="s">
        <v>2272</v>
      </c>
      <c r="AC3379" s="21" t="s">
        <v>2272</v>
      </c>
      <c r="AD3379" s="198" t="s">
        <v>8892</v>
      </c>
      <c r="AE3379" s="198"/>
    </row>
    <row r="3380" spans="1:31" ht="44.5" customHeight="1">
      <c r="A3380" s="198" t="s">
        <v>8879</v>
      </c>
      <c r="B3380" s="198" t="s">
        <v>8891</v>
      </c>
      <c r="C3380" s="198" t="s">
        <v>23</v>
      </c>
      <c r="D3380" s="198" t="s">
        <v>1102</v>
      </c>
      <c r="E3380" s="4" t="s">
        <v>3850</v>
      </c>
      <c r="F3380" s="4" t="s">
        <v>2272</v>
      </c>
      <c r="G3380" s="4" t="s">
        <v>2272</v>
      </c>
      <c r="H3380" s="198" t="s">
        <v>522</v>
      </c>
      <c r="I3380" s="198"/>
      <c r="J3380" s="21">
        <v>0</v>
      </c>
      <c r="K3380" s="21">
        <v>0</v>
      </c>
      <c r="L3380" s="21">
        <v>0</v>
      </c>
      <c r="M3380" s="21">
        <v>0</v>
      </c>
      <c r="N3380" s="21">
        <v>0</v>
      </c>
      <c r="O3380" s="21">
        <v>0</v>
      </c>
      <c r="P3380" s="21">
        <v>0</v>
      </c>
      <c r="Q3380" s="21">
        <v>0</v>
      </c>
      <c r="R3380" s="21">
        <v>0</v>
      </c>
      <c r="S3380" s="21">
        <v>0</v>
      </c>
      <c r="T3380" s="21">
        <v>0</v>
      </c>
      <c r="U3380" s="21">
        <v>0</v>
      </c>
      <c r="V3380" s="21">
        <v>0</v>
      </c>
      <c r="W3380" s="21">
        <v>0</v>
      </c>
      <c r="X3380" s="21">
        <v>0</v>
      </c>
      <c r="Y3380" s="21">
        <v>0</v>
      </c>
      <c r="Z3380" s="21" t="s">
        <v>2272</v>
      </c>
      <c r="AA3380" s="21" t="s">
        <v>2272</v>
      </c>
      <c r="AB3380" s="21" t="s">
        <v>2272</v>
      </c>
      <c r="AC3380" s="21" t="s">
        <v>2272</v>
      </c>
      <c r="AD3380" s="4" t="s">
        <v>8893</v>
      </c>
      <c r="AE3380" s="198"/>
    </row>
    <row r="3381" spans="1:31" ht="28" customHeight="1">
      <c r="A3381" s="198" t="s">
        <v>8881</v>
      </c>
      <c r="B3381" s="198" t="s">
        <v>8894</v>
      </c>
      <c r="C3381" s="198" t="s">
        <v>23</v>
      </c>
      <c r="D3381" s="198" t="s">
        <v>26</v>
      </c>
      <c r="E3381" s="198" t="s">
        <v>128</v>
      </c>
      <c r="F3381" s="4" t="s">
        <v>158</v>
      </c>
      <c r="G3381" s="198" t="s">
        <v>158</v>
      </c>
      <c r="H3381" s="198" t="s">
        <v>521</v>
      </c>
      <c r="I3381" s="198"/>
      <c r="J3381" s="21" t="s">
        <v>2272</v>
      </c>
      <c r="K3381" s="21" t="s">
        <v>2272</v>
      </c>
      <c r="L3381" s="21" t="s">
        <v>2272</v>
      </c>
      <c r="M3381" s="21" t="s">
        <v>2272</v>
      </c>
      <c r="N3381" s="21" t="s">
        <v>2272</v>
      </c>
      <c r="O3381" s="21" t="s">
        <v>2272</v>
      </c>
      <c r="P3381" s="21" t="s">
        <v>2272</v>
      </c>
      <c r="Q3381" s="21" t="s">
        <v>2272</v>
      </c>
      <c r="R3381" s="21" t="s">
        <v>2272</v>
      </c>
      <c r="S3381" s="21" t="s">
        <v>2272</v>
      </c>
      <c r="T3381" s="21" t="s">
        <v>2272</v>
      </c>
      <c r="U3381" s="21" t="s">
        <v>2272</v>
      </c>
      <c r="V3381" s="21" t="s">
        <v>2272</v>
      </c>
      <c r="W3381" s="21" t="s">
        <v>2272</v>
      </c>
      <c r="X3381" s="21" t="s">
        <v>2272</v>
      </c>
      <c r="Y3381" s="21" t="s">
        <v>2272</v>
      </c>
      <c r="Z3381" s="21" t="s">
        <v>2272</v>
      </c>
      <c r="AA3381" s="21" t="s">
        <v>2272</v>
      </c>
      <c r="AB3381" s="21" t="s">
        <v>2272</v>
      </c>
      <c r="AC3381" s="21" t="s">
        <v>2272</v>
      </c>
      <c r="AD3381" s="21" t="s">
        <v>8887</v>
      </c>
      <c r="AE3381" s="198"/>
    </row>
    <row r="3382" spans="1:31" ht="28" customHeight="1">
      <c r="A3382" s="198" t="s">
        <v>8881</v>
      </c>
      <c r="B3382" s="198" t="s">
        <v>8895</v>
      </c>
      <c r="C3382" s="198" t="s">
        <v>23</v>
      </c>
      <c r="D3382" s="198" t="s">
        <v>24</v>
      </c>
      <c r="E3382" s="198" t="s">
        <v>44</v>
      </c>
      <c r="F3382" s="4" t="s">
        <v>28</v>
      </c>
      <c r="G3382" s="4" t="s">
        <v>28</v>
      </c>
      <c r="H3382" s="198" t="s">
        <v>521</v>
      </c>
      <c r="I3382" s="198"/>
      <c r="J3382" s="21" t="s">
        <v>2272</v>
      </c>
      <c r="K3382" s="21" t="s">
        <v>2272</v>
      </c>
      <c r="L3382" s="21" t="s">
        <v>2272</v>
      </c>
      <c r="M3382" s="21" t="s">
        <v>2272</v>
      </c>
      <c r="N3382" s="21" t="s">
        <v>2272</v>
      </c>
      <c r="O3382" s="21" t="s">
        <v>2272</v>
      </c>
      <c r="P3382" s="21" t="s">
        <v>2272</v>
      </c>
      <c r="Q3382" s="21" t="s">
        <v>2272</v>
      </c>
      <c r="R3382" s="21" t="s">
        <v>2272</v>
      </c>
      <c r="S3382" s="21" t="s">
        <v>2272</v>
      </c>
      <c r="T3382" s="21" t="s">
        <v>2272</v>
      </c>
      <c r="U3382" s="21" t="s">
        <v>2272</v>
      </c>
      <c r="V3382" s="21" t="s">
        <v>2272</v>
      </c>
      <c r="W3382" s="21" t="s">
        <v>2272</v>
      </c>
      <c r="X3382" s="21" t="s">
        <v>2272</v>
      </c>
      <c r="Y3382" s="21" t="s">
        <v>2272</v>
      </c>
      <c r="Z3382" s="21" t="s">
        <v>2272</v>
      </c>
      <c r="AA3382" s="21" t="s">
        <v>2272</v>
      </c>
      <c r="AB3382" s="21" t="s">
        <v>2272</v>
      </c>
      <c r="AC3382" s="21" t="s">
        <v>2272</v>
      </c>
      <c r="AD3382" s="21" t="s">
        <v>8887</v>
      </c>
      <c r="AE3382" s="198"/>
    </row>
    <row r="3383" spans="1:31" ht="28" customHeight="1">
      <c r="A3383" s="198" t="s">
        <v>8881</v>
      </c>
      <c r="B3383" s="198" t="s">
        <v>8896</v>
      </c>
      <c r="C3383" s="198" t="s">
        <v>23</v>
      </c>
      <c r="D3383" s="198" t="s">
        <v>25</v>
      </c>
      <c r="E3383" s="198" t="s">
        <v>44</v>
      </c>
      <c r="F3383" s="4" t="s">
        <v>28</v>
      </c>
      <c r="G3383" s="4" t="s">
        <v>28</v>
      </c>
      <c r="H3383" s="198" t="s">
        <v>521</v>
      </c>
      <c r="I3383" s="198"/>
      <c r="J3383" s="21" t="s">
        <v>2272</v>
      </c>
      <c r="K3383" s="21" t="s">
        <v>2272</v>
      </c>
      <c r="L3383" s="21" t="s">
        <v>2272</v>
      </c>
      <c r="M3383" s="21" t="s">
        <v>2272</v>
      </c>
      <c r="N3383" s="21" t="s">
        <v>2272</v>
      </c>
      <c r="O3383" s="21" t="s">
        <v>2272</v>
      </c>
      <c r="P3383" s="21" t="s">
        <v>2272</v>
      </c>
      <c r="Q3383" s="21" t="s">
        <v>2272</v>
      </c>
      <c r="R3383" s="21" t="s">
        <v>2272</v>
      </c>
      <c r="S3383" s="21" t="s">
        <v>2272</v>
      </c>
      <c r="T3383" s="21" t="s">
        <v>2272</v>
      </c>
      <c r="U3383" s="21" t="s">
        <v>2272</v>
      </c>
      <c r="V3383" s="21" t="s">
        <v>2272</v>
      </c>
      <c r="W3383" s="21" t="s">
        <v>2272</v>
      </c>
      <c r="X3383" s="21" t="s">
        <v>2272</v>
      </c>
      <c r="Y3383" s="21" t="s">
        <v>2272</v>
      </c>
      <c r="Z3383" s="21" t="s">
        <v>2272</v>
      </c>
      <c r="AA3383" s="21" t="s">
        <v>2272</v>
      </c>
      <c r="AB3383" s="21" t="s">
        <v>2272</v>
      </c>
      <c r="AC3383" s="21" t="s">
        <v>2272</v>
      </c>
      <c r="AD3383" s="21" t="s">
        <v>8887</v>
      </c>
      <c r="AE3383" s="198"/>
    </row>
    <row r="3384" spans="1:31" ht="28" customHeight="1">
      <c r="A3384" s="198" t="s">
        <v>8881</v>
      </c>
      <c r="B3384" s="198" t="s">
        <v>8897</v>
      </c>
      <c r="C3384" s="198" t="s">
        <v>23</v>
      </c>
      <c r="D3384" s="198" t="s">
        <v>2227</v>
      </c>
      <c r="E3384" s="198" t="s">
        <v>44</v>
      </c>
      <c r="F3384" s="4" t="s">
        <v>28</v>
      </c>
      <c r="G3384" s="4" t="s">
        <v>28</v>
      </c>
      <c r="H3384" s="198" t="s">
        <v>521</v>
      </c>
      <c r="I3384" s="198"/>
      <c r="J3384" s="21" t="s">
        <v>2272</v>
      </c>
      <c r="K3384" s="21" t="s">
        <v>2272</v>
      </c>
      <c r="L3384" s="21" t="s">
        <v>2272</v>
      </c>
      <c r="M3384" s="21" t="s">
        <v>2272</v>
      </c>
      <c r="N3384" s="21" t="s">
        <v>2272</v>
      </c>
      <c r="O3384" s="21" t="s">
        <v>2272</v>
      </c>
      <c r="P3384" s="21" t="s">
        <v>2272</v>
      </c>
      <c r="Q3384" s="21" t="s">
        <v>2272</v>
      </c>
      <c r="R3384" s="21" t="s">
        <v>2272</v>
      </c>
      <c r="S3384" s="21" t="s">
        <v>2272</v>
      </c>
      <c r="T3384" s="21" t="s">
        <v>2272</v>
      </c>
      <c r="U3384" s="21" t="s">
        <v>2272</v>
      </c>
      <c r="V3384" s="21" t="s">
        <v>2272</v>
      </c>
      <c r="W3384" s="21" t="s">
        <v>2272</v>
      </c>
      <c r="X3384" s="21" t="s">
        <v>2272</v>
      </c>
      <c r="Y3384" s="21" t="s">
        <v>2272</v>
      </c>
      <c r="Z3384" s="21" t="s">
        <v>2272</v>
      </c>
      <c r="AA3384" s="21" t="s">
        <v>2272</v>
      </c>
      <c r="AB3384" s="21" t="s">
        <v>2272</v>
      </c>
      <c r="AC3384" s="21" t="s">
        <v>2272</v>
      </c>
      <c r="AD3384" s="21" t="s">
        <v>8887</v>
      </c>
      <c r="AE3384" s="198"/>
    </row>
    <row r="3385" spans="1:31" ht="28" customHeight="1">
      <c r="A3385" s="198" t="s">
        <v>8881</v>
      </c>
      <c r="B3385" s="198" t="s">
        <v>8898</v>
      </c>
      <c r="C3385" s="198" t="s">
        <v>2453</v>
      </c>
      <c r="D3385" s="198" t="s">
        <v>26</v>
      </c>
      <c r="E3385" s="198" t="s">
        <v>128</v>
      </c>
      <c r="F3385" s="4" t="s">
        <v>158</v>
      </c>
      <c r="G3385" s="4" t="s">
        <v>2272</v>
      </c>
      <c r="H3385" s="198" t="s">
        <v>521</v>
      </c>
      <c r="I3385" s="198"/>
      <c r="J3385" s="21" t="s">
        <v>2272</v>
      </c>
      <c r="K3385" s="21" t="s">
        <v>2272</v>
      </c>
      <c r="L3385" s="21" t="s">
        <v>2272</v>
      </c>
      <c r="M3385" s="21" t="s">
        <v>2272</v>
      </c>
      <c r="N3385" s="21" t="s">
        <v>2272</v>
      </c>
      <c r="O3385" s="21" t="s">
        <v>2272</v>
      </c>
      <c r="P3385" s="21" t="s">
        <v>2272</v>
      </c>
      <c r="Q3385" s="21" t="s">
        <v>2272</v>
      </c>
      <c r="R3385" s="21" t="s">
        <v>2272</v>
      </c>
      <c r="S3385" s="21" t="s">
        <v>2272</v>
      </c>
      <c r="T3385" s="21" t="s">
        <v>2272</v>
      </c>
      <c r="U3385" s="21" t="s">
        <v>2272</v>
      </c>
      <c r="V3385" s="21" t="s">
        <v>2272</v>
      </c>
      <c r="W3385" s="21" t="s">
        <v>2272</v>
      </c>
      <c r="X3385" s="21" t="s">
        <v>2272</v>
      </c>
      <c r="Y3385" s="21" t="s">
        <v>2272</v>
      </c>
      <c r="Z3385" s="21" t="s">
        <v>2272</v>
      </c>
      <c r="AA3385" s="21" t="s">
        <v>2272</v>
      </c>
      <c r="AB3385" s="21" t="s">
        <v>2272</v>
      </c>
      <c r="AC3385" s="21" t="s">
        <v>2272</v>
      </c>
      <c r="AD3385" s="198" t="s">
        <v>8892</v>
      </c>
      <c r="AE3385" s="198"/>
    </row>
    <row r="3386" spans="1:31" ht="28" customHeight="1">
      <c r="A3386" s="198" t="s">
        <v>8881</v>
      </c>
      <c r="B3386" s="198" t="s">
        <v>8899</v>
      </c>
      <c r="C3386" s="198" t="s">
        <v>2453</v>
      </c>
      <c r="D3386" s="198" t="s">
        <v>24</v>
      </c>
      <c r="E3386" s="198" t="s">
        <v>44</v>
      </c>
      <c r="F3386" s="4" t="s">
        <v>28</v>
      </c>
      <c r="G3386" s="4" t="s">
        <v>2272</v>
      </c>
      <c r="H3386" s="198" t="s">
        <v>521</v>
      </c>
      <c r="I3386" s="198"/>
      <c r="J3386" s="21" t="s">
        <v>2272</v>
      </c>
      <c r="K3386" s="21" t="s">
        <v>2272</v>
      </c>
      <c r="L3386" s="21" t="s">
        <v>2272</v>
      </c>
      <c r="M3386" s="21" t="s">
        <v>2272</v>
      </c>
      <c r="N3386" s="21" t="s">
        <v>2272</v>
      </c>
      <c r="O3386" s="21" t="s">
        <v>2272</v>
      </c>
      <c r="P3386" s="21" t="s">
        <v>2272</v>
      </c>
      <c r="Q3386" s="21" t="s">
        <v>2272</v>
      </c>
      <c r="R3386" s="21" t="s">
        <v>2272</v>
      </c>
      <c r="S3386" s="21" t="s">
        <v>2272</v>
      </c>
      <c r="T3386" s="21" t="s">
        <v>2272</v>
      </c>
      <c r="U3386" s="21" t="s">
        <v>2272</v>
      </c>
      <c r="V3386" s="21" t="s">
        <v>2272</v>
      </c>
      <c r="W3386" s="21" t="s">
        <v>2272</v>
      </c>
      <c r="X3386" s="21" t="s">
        <v>2272</v>
      </c>
      <c r="Y3386" s="21" t="s">
        <v>2272</v>
      </c>
      <c r="Z3386" s="21" t="s">
        <v>2272</v>
      </c>
      <c r="AA3386" s="21" t="s">
        <v>2272</v>
      </c>
      <c r="AB3386" s="21" t="s">
        <v>2272</v>
      </c>
      <c r="AC3386" s="21" t="s">
        <v>2272</v>
      </c>
      <c r="AD3386" s="198" t="s">
        <v>8892</v>
      </c>
      <c r="AE3386" s="198"/>
    </row>
    <row r="3387" spans="1:31" ht="28" customHeight="1">
      <c r="A3387" s="198" t="s">
        <v>8881</v>
      </c>
      <c r="B3387" s="198" t="s">
        <v>8900</v>
      </c>
      <c r="C3387" s="198" t="s">
        <v>2453</v>
      </c>
      <c r="D3387" s="198" t="s">
        <v>25</v>
      </c>
      <c r="E3387" s="198" t="s">
        <v>44</v>
      </c>
      <c r="F3387" s="4" t="s">
        <v>28</v>
      </c>
      <c r="G3387" s="4" t="s">
        <v>2272</v>
      </c>
      <c r="H3387" s="198" t="s">
        <v>521</v>
      </c>
      <c r="I3387" s="198"/>
      <c r="J3387" s="21" t="s">
        <v>2272</v>
      </c>
      <c r="K3387" s="21" t="s">
        <v>2272</v>
      </c>
      <c r="L3387" s="21" t="s">
        <v>2272</v>
      </c>
      <c r="M3387" s="21" t="s">
        <v>2272</v>
      </c>
      <c r="N3387" s="21" t="s">
        <v>2272</v>
      </c>
      <c r="O3387" s="21" t="s">
        <v>2272</v>
      </c>
      <c r="P3387" s="21" t="s">
        <v>2272</v>
      </c>
      <c r="Q3387" s="21" t="s">
        <v>2272</v>
      </c>
      <c r="R3387" s="21" t="s">
        <v>2272</v>
      </c>
      <c r="S3387" s="21" t="s">
        <v>2272</v>
      </c>
      <c r="T3387" s="21" t="s">
        <v>2272</v>
      </c>
      <c r="U3387" s="21" t="s">
        <v>2272</v>
      </c>
      <c r="V3387" s="21" t="s">
        <v>2272</v>
      </c>
      <c r="W3387" s="21" t="s">
        <v>2272</v>
      </c>
      <c r="X3387" s="21" t="s">
        <v>2272</v>
      </c>
      <c r="Y3387" s="21" t="s">
        <v>2272</v>
      </c>
      <c r="Z3387" s="21" t="s">
        <v>2272</v>
      </c>
      <c r="AA3387" s="21" t="s">
        <v>2272</v>
      </c>
      <c r="AB3387" s="21" t="s">
        <v>2272</v>
      </c>
      <c r="AC3387" s="21" t="s">
        <v>2272</v>
      </c>
      <c r="AD3387" s="198" t="s">
        <v>8892</v>
      </c>
      <c r="AE3387" s="198"/>
    </row>
    <row r="3388" spans="1:31" ht="28" customHeight="1">
      <c r="A3388" s="198" t="s">
        <v>8881</v>
      </c>
      <c r="B3388" s="198" t="s">
        <v>8901</v>
      </c>
      <c r="C3388" s="198" t="s">
        <v>2453</v>
      </c>
      <c r="D3388" s="198" t="s">
        <v>2227</v>
      </c>
      <c r="E3388" s="198" t="s">
        <v>44</v>
      </c>
      <c r="F3388" s="4" t="s">
        <v>28</v>
      </c>
      <c r="G3388" s="4" t="s">
        <v>2272</v>
      </c>
      <c r="H3388" s="198" t="s">
        <v>521</v>
      </c>
      <c r="I3388" s="198"/>
      <c r="J3388" s="21" t="s">
        <v>2272</v>
      </c>
      <c r="K3388" s="21" t="s">
        <v>2272</v>
      </c>
      <c r="L3388" s="21" t="s">
        <v>2272</v>
      </c>
      <c r="M3388" s="21" t="s">
        <v>2272</v>
      </c>
      <c r="N3388" s="21" t="s">
        <v>2272</v>
      </c>
      <c r="O3388" s="21" t="s">
        <v>2272</v>
      </c>
      <c r="P3388" s="21" t="s">
        <v>2272</v>
      </c>
      <c r="Q3388" s="21" t="s">
        <v>2272</v>
      </c>
      <c r="R3388" s="21" t="s">
        <v>2272</v>
      </c>
      <c r="S3388" s="21" t="s">
        <v>2272</v>
      </c>
      <c r="T3388" s="21" t="s">
        <v>2272</v>
      </c>
      <c r="U3388" s="21" t="s">
        <v>2272</v>
      </c>
      <c r="V3388" s="21" t="s">
        <v>2272</v>
      </c>
      <c r="W3388" s="21" t="s">
        <v>2272</v>
      </c>
      <c r="X3388" s="21" t="s">
        <v>2272</v>
      </c>
      <c r="Y3388" s="21" t="s">
        <v>2272</v>
      </c>
      <c r="Z3388" s="21" t="s">
        <v>2272</v>
      </c>
      <c r="AA3388" s="21" t="s">
        <v>2272</v>
      </c>
      <c r="AB3388" s="21" t="s">
        <v>2272</v>
      </c>
      <c r="AC3388" s="21" t="s">
        <v>2272</v>
      </c>
      <c r="AD3388" s="198" t="s">
        <v>8892</v>
      </c>
      <c r="AE3388" s="198"/>
    </row>
    <row r="3389" spans="1:31" ht="32.5" customHeight="1">
      <c r="A3389" s="198" t="s">
        <v>8881</v>
      </c>
      <c r="B3389" s="198" t="s">
        <v>8902</v>
      </c>
      <c r="C3389" s="198" t="s">
        <v>23</v>
      </c>
      <c r="D3389" s="198" t="s">
        <v>1102</v>
      </c>
      <c r="E3389" s="4" t="s">
        <v>3850</v>
      </c>
      <c r="F3389" s="4" t="s">
        <v>2272</v>
      </c>
      <c r="G3389" s="4" t="s">
        <v>2272</v>
      </c>
      <c r="H3389" s="198" t="s">
        <v>522</v>
      </c>
      <c r="I3389" s="198"/>
      <c r="J3389" s="21">
        <v>0</v>
      </c>
      <c r="K3389" s="21">
        <v>0</v>
      </c>
      <c r="L3389" s="21">
        <v>0</v>
      </c>
      <c r="M3389" s="21">
        <v>0</v>
      </c>
      <c r="N3389" s="21">
        <v>0</v>
      </c>
      <c r="O3389" s="21">
        <v>0</v>
      </c>
      <c r="P3389" s="21">
        <v>0</v>
      </c>
      <c r="Q3389" s="21">
        <v>0</v>
      </c>
      <c r="R3389" s="21">
        <v>0</v>
      </c>
      <c r="S3389" s="21">
        <v>0</v>
      </c>
      <c r="T3389" s="21">
        <v>0</v>
      </c>
      <c r="U3389" s="21">
        <v>0</v>
      </c>
      <c r="V3389" s="21">
        <v>0</v>
      </c>
      <c r="W3389" s="21">
        <v>0</v>
      </c>
      <c r="X3389" s="21">
        <v>0</v>
      </c>
      <c r="Y3389" s="21">
        <v>0</v>
      </c>
      <c r="Z3389" s="21" t="s">
        <v>2272</v>
      </c>
      <c r="AA3389" s="21" t="s">
        <v>2272</v>
      </c>
      <c r="AB3389" s="21" t="s">
        <v>2272</v>
      </c>
      <c r="AC3389" s="21" t="s">
        <v>2272</v>
      </c>
      <c r="AD3389" s="4" t="s">
        <v>8893</v>
      </c>
      <c r="AE3389" s="198"/>
    </row>
    <row r="3390" spans="1:31" ht="42" customHeight="1">
      <c r="A3390" s="198" t="s">
        <v>8907</v>
      </c>
      <c r="B3390" s="198" t="s">
        <v>8909</v>
      </c>
      <c r="C3390" s="198" t="s">
        <v>23</v>
      </c>
      <c r="D3390" s="198" t="s">
        <v>141</v>
      </c>
      <c r="E3390" s="198" t="s">
        <v>82</v>
      </c>
      <c r="F3390" s="4" t="s">
        <v>73</v>
      </c>
      <c r="G3390" s="4" t="s">
        <v>73</v>
      </c>
      <c r="H3390" s="198" t="s">
        <v>521</v>
      </c>
      <c r="I3390" s="198"/>
      <c r="J3390" s="21" t="s">
        <v>2272</v>
      </c>
      <c r="K3390" s="21" t="s">
        <v>2272</v>
      </c>
      <c r="L3390" s="21" t="s">
        <v>2272</v>
      </c>
      <c r="M3390" s="21" t="s">
        <v>2272</v>
      </c>
      <c r="N3390" s="21" t="s">
        <v>2272</v>
      </c>
      <c r="O3390" s="21" t="s">
        <v>2272</v>
      </c>
      <c r="P3390" s="21" t="s">
        <v>2272</v>
      </c>
      <c r="Q3390" s="21" t="s">
        <v>2272</v>
      </c>
      <c r="R3390" s="21" t="s">
        <v>2272</v>
      </c>
      <c r="S3390" s="21" t="s">
        <v>2272</v>
      </c>
      <c r="T3390" s="21" t="s">
        <v>2272</v>
      </c>
      <c r="U3390" s="21" t="s">
        <v>2272</v>
      </c>
      <c r="V3390" s="21" t="s">
        <v>2272</v>
      </c>
      <c r="W3390" s="21" t="s">
        <v>2272</v>
      </c>
      <c r="X3390" s="21" t="s">
        <v>2272</v>
      </c>
      <c r="Y3390" s="21" t="s">
        <v>2272</v>
      </c>
      <c r="Z3390" s="21" t="s">
        <v>2272</v>
      </c>
      <c r="AA3390" s="21" t="s">
        <v>2272</v>
      </c>
      <c r="AB3390" s="21" t="s">
        <v>2272</v>
      </c>
      <c r="AC3390" s="21" t="s">
        <v>2272</v>
      </c>
      <c r="AD3390" s="198"/>
      <c r="AE3390" s="198"/>
    </row>
    <row r="3391" spans="1:31" ht="42" customHeight="1">
      <c r="A3391" s="198" t="s">
        <v>8907</v>
      </c>
      <c r="B3391" s="198" t="s">
        <v>8910</v>
      </c>
      <c r="C3391" s="198" t="s">
        <v>23</v>
      </c>
      <c r="D3391" s="198" t="s">
        <v>1241</v>
      </c>
      <c r="E3391" s="198" t="s">
        <v>114</v>
      </c>
      <c r="F3391" s="4" t="s">
        <v>73</v>
      </c>
      <c r="G3391" s="4" t="s">
        <v>73</v>
      </c>
      <c r="H3391" s="198" t="s">
        <v>521</v>
      </c>
      <c r="I3391" s="198"/>
      <c r="J3391" s="21" t="s">
        <v>2272</v>
      </c>
      <c r="K3391" s="21" t="s">
        <v>2272</v>
      </c>
      <c r="L3391" s="21" t="s">
        <v>2272</v>
      </c>
      <c r="M3391" s="21" t="s">
        <v>2272</v>
      </c>
      <c r="N3391" s="21" t="s">
        <v>2272</v>
      </c>
      <c r="O3391" s="21" t="s">
        <v>2272</v>
      </c>
      <c r="P3391" s="21" t="s">
        <v>2272</v>
      </c>
      <c r="Q3391" s="21" t="s">
        <v>2272</v>
      </c>
      <c r="R3391" s="21" t="s">
        <v>2272</v>
      </c>
      <c r="S3391" s="21" t="s">
        <v>2272</v>
      </c>
      <c r="T3391" s="21" t="s">
        <v>2272</v>
      </c>
      <c r="U3391" s="21" t="s">
        <v>2272</v>
      </c>
      <c r="V3391" s="21" t="s">
        <v>2272</v>
      </c>
      <c r="W3391" s="21" t="s">
        <v>2272</v>
      </c>
      <c r="X3391" s="21" t="s">
        <v>2272</v>
      </c>
      <c r="Y3391" s="21" t="s">
        <v>2272</v>
      </c>
      <c r="Z3391" s="21" t="s">
        <v>2272</v>
      </c>
      <c r="AA3391" s="21" t="s">
        <v>2272</v>
      </c>
      <c r="AB3391" s="21" t="s">
        <v>2272</v>
      </c>
      <c r="AC3391" s="21" t="s">
        <v>2272</v>
      </c>
      <c r="AD3391" s="198"/>
      <c r="AE3391" s="198"/>
    </row>
    <row r="3392" spans="1:31" ht="42" customHeight="1">
      <c r="A3392" s="198" t="s">
        <v>8907</v>
      </c>
      <c r="B3392" s="198" t="s">
        <v>8911</v>
      </c>
      <c r="C3392" s="198" t="s">
        <v>23</v>
      </c>
      <c r="D3392" s="198" t="s">
        <v>2301</v>
      </c>
      <c r="E3392" s="198" t="s">
        <v>114</v>
      </c>
      <c r="F3392" s="4" t="s">
        <v>73</v>
      </c>
      <c r="G3392" s="4" t="s">
        <v>73</v>
      </c>
      <c r="H3392" s="198" t="s">
        <v>521</v>
      </c>
      <c r="I3392" s="198"/>
      <c r="J3392" s="21" t="s">
        <v>2272</v>
      </c>
      <c r="K3392" s="21" t="s">
        <v>2272</v>
      </c>
      <c r="L3392" s="21" t="s">
        <v>2272</v>
      </c>
      <c r="M3392" s="21" t="s">
        <v>2272</v>
      </c>
      <c r="N3392" s="21" t="s">
        <v>2272</v>
      </c>
      <c r="O3392" s="21" t="s">
        <v>2272</v>
      </c>
      <c r="P3392" s="21" t="s">
        <v>2272</v>
      </c>
      <c r="Q3392" s="21" t="s">
        <v>2272</v>
      </c>
      <c r="R3392" s="21" t="s">
        <v>2272</v>
      </c>
      <c r="S3392" s="21" t="s">
        <v>2272</v>
      </c>
      <c r="T3392" s="21" t="s">
        <v>2272</v>
      </c>
      <c r="U3392" s="21" t="s">
        <v>2272</v>
      </c>
      <c r="V3392" s="21" t="s">
        <v>2272</v>
      </c>
      <c r="W3392" s="21" t="s">
        <v>2272</v>
      </c>
      <c r="X3392" s="21" t="s">
        <v>2272</v>
      </c>
      <c r="Y3392" s="21" t="s">
        <v>2272</v>
      </c>
      <c r="Z3392" s="21" t="s">
        <v>2272</v>
      </c>
      <c r="AA3392" s="21" t="s">
        <v>2272</v>
      </c>
      <c r="AB3392" s="21" t="s">
        <v>2272</v>
      </c>
      <c r="AC3392" s="21" t="s">
        <v>2272</v>
      </c>
      <c r="AD3392" s="198"/>
      <c r="AE3392" s="198"/>
    </row>
    <row r="3393" spans="1:31" ht="42" customHeight="1">
      <c r="A3393" s="198" t="s">
        <v>8907</v>
      </c>
      <c r="B3393" s="198" t="s">
        <v>8912</v>
      </c>
      <c r="C3393" s="198" t="s">
        <v>23</v>
      </c>
      <c r="D3393" s="198" t="s">
        <v>3475</v>
      </c>
      <c r="E3393" s="198" t="s">
        <v>114</v>
      </c>
      <c r="F3393" s="4" t="s">
        <v>73</v>
      </c>
      <c r="G3393" s="4" t="s">
        <v>73</v>
      </c>
      <c r="H3393" s="198" t="s">
        <v>521</v>
      </c>
      <c r="I3393" s="198"/>
      <c r="J3393" s="21" t="s">
        <v>2272</v>
      </c>
      <c r="K3393" s="21" t="s">
        <v>2272</v>
      </c>
      <c r="L3393" s="21" t="s">
        <v>2272</v>
      </c>
      <c r="M3393" s="21" t="s">
        <v>2272</v>
      </c>
      <c r="N3393" s="21" t="s">
        <v>2272</v>
      </c>
      <c r="O3393" s="21" t="s">
        <v>2272</v>
      </c>
      <c r="P3393" s="21" t="s">
        <v>2272</v>
      </c>
      <c r="Q3393" s="21" t="s">
        <v>2272</v>
      </c>
      <c r="R3393" s="21" t="s">
        <v>2272</v>
      </c>
      <c r="S3393" s="21" t="s">
        <v>2272</v>
      </c>
      <c r="T3393" s="21" t="s">
        <v>2272</v>
      </c>
      <c r="U3393" s="21" t="s">
        <v>2272</v>
      </c>
      <c r="V3393" s="21" t="s">
        <v>2272</v>
      </c>
      <c r="W3393" s="21" t="s">
        <v>2272</v>
      </c>
      <c r="X3393" s="21" t="s">
        <v>2272</v>
      </c>
      <c r="Y3393" s="21" t="s">
        <v>2272</v>
      </c>
      <c r="Z3393" s="21" t="s">
        <v>2272</v>
      </c>
      <c r="AA3393" s="21" t="s">
        <v>2272</v>
      </c>
      <c r="AB3393" s="21" t="s">
        <v>2272</v>
      </c>
      <c r="AC3393" s="21" t="s">
        <v>2272</v>
      </c>
      <c r="AD3393" s="198"/>
      <c r="AE3393" s="198"/>
    </row>
    <row r="3394" spans="1:31" ht="37" customHeight="1">
      <c r="A3394" s="198" t="s">
        <v>8907</v>
      </c>
      <c r="B3394" s="198" t="s">
        <v>8913</v>
      </c>
      <c r="C3394" s="198" t="s">
        <v>2453</v>
      </c>
      <c r="D3394" s="198" t="s">
        <v>141</v>
      </c>
      <c r="E3394" s="198" t="s">
        <v>82</v>
      </c>
      <c r="F3394" s="4" t="s">
        <v>73</v>
      </c>
      <c r="G3394" s="4" t="s">
        <v>73</v>
      </c>
      <c r="H3394" s="198" t="s">
        <v>521</v>
      </c>
      <c r="I3394" s="198"/>
      <c r="J3394" s="21" t="s">
        <v>2272</v>
      </c>
      <c r="K3394" s="21" t="s">
        <v>2272</v>
      </c>
      <c r="L3394" s="21" t="s">
        <v>2272</v>
      </c>
      <c r="M3394" s="21" t="s">
        <v>2272</v>
      </c>
      <c r="N3394" s="21" t="s">
        <v>2272</v>
      </c>
      <c r="O3394" s="21" t="s">
        <v>2272</v>
      </c>
      <c r="P3394" s="21" t="s">
        <v>2272</v>
      </c>
      <c r="Q3394" s="21" t="s">
        <v>2272</v>
      </c>
      <c r="R3394" s="21" t="s">
        <v>2272</v>
      </c>
      <c r="S3394" s="21" t="s">
        <v>2272</v>
      </c>
      <c r="T3394" s="21" t="s">
        <v>2272</v>
      </c>
      <c r="U3394" s="21" t="s">
        <v>2272</v>
      </c>
      <c r="V3394" s="21" t="s">
        <v>2272</v>
      </c>
      <c r="W3394" s="21" t="s">
        <v>2272</v>
      </c>
      <c r="X3394" s="21" t="s">
        <v>2272</v>
      </c>
      <c r="Y3394" s="21" t="s">
        <v>2272</v>
      </c>
      <c r="Z3394" s="21" t="s">
        <v>2272</v>
      </c>
      <c r="AA3394" s="21" t="s">
        <v>2272</v>
      </c>
      <c r="AB3394" s="21" t="s">
        <v>2272</v>
      </c>
      <c r="AC3394" s="21" t="s">
        <v>2272</v>
      </c>
      <c r="AD3394" s="198"/>
      <c r="AE3394" s="198"/>
    </row>
    <row r="3395" spans="1:31" ht="37" customHeight="1">
      <c r="A3395" s="198" t="s">
        <v>8907</v>
      </c>
      <c r="B3395" s="198" t="s">
        <v>8914</v>
      </c>
      <c r="C3395" s="198" t="s">
        <v>2453</v>
      </c>
      <c r="D3395" s="198" t="s">
        <v>1241</v>
      </c>
      <c r="E3395" s="198" t="s">
        <v>114</v>
      </c>
      <c r="F3395" s="4" t="s">
        <v>73</v>
      </c>
      <c r="G3395" s="4" t="s">
        <v>73</v>
      </c>
      <c r="H3395" s="198" t="s">
        <v>521</v>
      </c>
      <c r="I3395" s="198"/>
      <c r="J3395" s="21" t="s">
        <v>2272</v>
      </c>
      <c r="K3395" s="21" t="s">
        <v>2272</v>
      </c>
      <c r="L3395" s="21" t="s">
        <v>2272</v>
      </c>
      <c r="M3395" s="21" t="s">
        <v>2272</v>
      </c>
      <c r="N3395" s="21" t="s">
        <v>2272</v>
      </c>
      <c r="O3395" s="21" t="s">
        <v>2272</v>
      </c>
      <c r="P3395" s="21" t="s">
        <v>2272</v>
      </c>
      <c r="Q3395" s="21" t="s">
        <v>2272</v>
      </c>
      <c r="R3395" s="21" t="s">
        <v>2272</v>
      </c>
      <c r="S3395" s="21" t="s">
        <v>2272</v>
      </c>
      <c r="T3395" s="21" t="s">
        <v>2272</v>
      </c>
      <c r="U3395" s="21" t="s">
        <v>2272</v>
      </c>
      <c r="V3395" s="21" t="s">
        <v>2272</v>
      </c>
      <c r="W3395" s="21" t="s">
        <v>2272</v>
      </c>
      <c r="X3395" s="21" t="s">
        <v>2272</v>
      </c>
      <c r="Y3395" s="21" t="s">
        <v>2272</v>
      </c>
      <c r="Z3395" s="21" t="s">
        <v>2272</v>
      </c>
      <c r="AA3395" s="21" t="s">
        <v>2272</v>
      </c>
      <c r="AB3395" s="21" t="s">
        <v>2272</v>
      </c>
      <c r="AC3395" s="21" t="s">
        <v>2272</v>
      </c>
      <c r="AD3395" s="198"/>
      <c r="AE3395" s="198"/>
    </row>
    <row r="3396" spans="1:31" ht="37" customHeight="1">
      <c r="A3396" s="198" t="s">
        <v>8907</v>
      </c>
      <c r="B3396" s="198" t="s">
        <v>8915</v>
      </c>
      <c r="C3396" s="198" t="s">
        <v>2453</v>
      </c>
      <c r="D3396" s="198" t="s">
        <v>2301</v>
      </c>
      <c r="E3396" s="198" t="s">
        <v>114</v>
      </c>
      <c r="F3396" s="4" t="s">
        <v>73</v>
      </c>
      <c r="G3396" s="4" t="s">
        <v>73</v>
      </c>
      <c r="H3396" s="198" t="s">
        <v>521</v>
      </c>
      <c r="I3396" s="198"/>
      <c r="J3396" s="21" t="s">
        <v>2272</v>
      </c>
      <c r="K3396" s="21" t="s">
        <v>2272</v>
      </c>
      <c r="L3396" s="21" t="s">
        <v>2272</v>
      </c>
      <c r="M3396" s="21" t="s">
        <v>2272</v>
      </c>
      <c r="N3396" s="21" t="s">
        <v>2272</v>
      </c>
      <c r="O3396" s="21" t="s">
        <v>2272</v>
      </c>
      <c r="P3396" s="21" t="s">
        <v>2272</v>
      </c>
      <c r="Q3396" s="21" t="s">
        <v>2272</v>
      </c>
      <c r="R3396" s="21" t="s">
        <v>2272</v>
      </c>
      <c r="S3396" s="21" t="s">
        <v>2272</v>
      </c>
      <c r="T3396" s="21" t="s">
        <v>2272</v>
      </c>
      <c r="U3396" s="21" t="s">
        <v>2272</v>
      </c>
      <c r="V3396" s="21" t="s">
        <v>2272</v>
      </c>
      <c r="W3396" s="21" t="s">
        <v>2272</v>
      </c>
      <c r="X3396" s="21" t="s">
        <v>2272</v>
      </c>
      <c r="Y3396" s="21" t="s">
        <v>2272</v>
      </c>
      <c r="Z3396" s="21" t="s">
        <v>2272</v>
      </c>
      <c r="AA3396" s="21" t="s">
        <v>2272</v>
      </c>
      <c r="AB3396" s="21" t="s">
        <v>2272</v>
      </c>
      <c r="AC3396" s="21" t="s">
        <v>2272</v>
      </c>
      <c r="AD3396" s="198"/>
      <c r="AE3396" s="198"/>
    </row>
    <row r="3397" spans="1:31" ht="37" customHeight="1">
      <c r="A3397" s="198" t="s">
        <v>8907</v>
      </c>
      <c r="B3397" s="198" t="s">
        <v>8916</v>
      </c>
      <c r="C3397" s="198" t="s">
        <v>2453</v>
      </c>
      <c r="D3397" s="198" t="s">
        <v>3475</v>
      </c>
      <c r="E3397" s="198" t="s">
        <v>114</v>
      </c>
      <c r="F3397" s="4" t="s">
        <v>73</v>
      </c>
      <c r="G3397" s="4" t="s">
        <v>73</v>
      </c>
      <c r="H3397" s="198" t="s">
        <v>521</v>
      </c>
      <c r="I3397" s="198"/>
      <c r="J3397" s="21" t="s">
        <v>2272</v>
      </c>
      <c r="K3397" s="21" t="s">
        <v>2272</v>
      </c>
      <c r="L3397" s="21" t="s">
        <v>2272</v>
      </c>
      <c r="M3397" s="21" t="s">
        <v>2272</v>
      </c>
      <c r="N3397" s="21" t="s">
        <v>2272</v>
      </c>
      <c r="O3397" s="21" t="s">
        <v>2272</v>
      </c>
      <c r="P3397" s="21" t="s">
        <v>2272</v>
      </c>
      <c r="Q3397" s="21" t="s">
        <v>2272</v>
      </c>
      <c r="R3397" s="21" t="s">
        <v>2272</v>
      </c>
      <c r="S3397" s="21" t="s">
        <v>2272</v>
      </c>
      <c r="T3397" s="21" t="s">
        <v>2272</v>
      </c>
      <c r="U3397" s="21" t="s">
        <v>2272</v>
      </c>
      <c r="V3397" s="21" t="s">
        <v>2272</v>
      </c>
      <c r="W3397" s="21" t="s">
        <v>2272</v>
      </c>
      <c r="X3397" s="21" t="s">
        <v>2272</v>
      </c>
      <c r="Y3397" s="21" t="s">
        <v>2272</v>
      </c>
      <c r="Z3397" s="21" t="s">
        <v>2272</v>
      </c>
      <c r="AA3397" s="21" t="s">
        <v>2272</v>
      </c>
      <c r="AB3397" s="21" t="s">
        <v>2272</v>
      </c>
      <c r="AC3397" s="21" t="s">
        <v>2272</v>
      </c>
      <c r="AD3397" s="198"/>
      <c r="AE3397" s="198"/>
    </row>
    <row r="3398" spans="1:31" ht="42.5" customHeight="1">
      <c r="A3398" s="198" t="s">
        <v>8907</v>
      </c>
      <c r="B3398" s="198" t="s">
        <v>8920</v>
      </c>
      <c r="C3398" s="198" t="s">
        <v>30</v>
      </c>
      <c r="D3398" s="198" t="s">
        <v>29</v>
      </c>
      <c r="E3398" s="198" t="s">
        <v>1102</v>
      </c>
      <c r="F3398" s="198" t="s">
        <v>2272</v>
      </c>
      <c r="G3398" s="4" t="s">
        <v>73</v>
      </c>
      <c r="H3398" s="198" t="s">
        <v>521</v>
      </c>
      <c r="I3398" s="198"/>
      <c r="J3398" s="21" t="s">
        <v>2272</v>
      </c>
      <c r="K3398" s="21" t="s">
        <v>2272</v>
      </c>
      <c r="L3398" s="21" t="s">
        <v>2272</v>
      </c>
      <c r="M3398" s="21" t="s">
        <v>2272</v>
      </c>
      <c r="N3398" s="21" t="s">
        <v>2272</v>
      </c>
      <c r="O3398" s="21" t="s">
        <v>2272</v>
      </c>
      <c r="P3398" s="21" t="s">
        <v>2272</v>
      </c>
      <c r="Q3398" s="21" t="s">
        <v>2272</v>
      </c>
      <c r="R3398" s="21" t="s">
        <v>2272</v>
      </c>
      <c r="S3398" s="21" t="s">
        <v>2272</v>
      </c>
      <c r="T3398" s="21" t="s">
        <v>2272</v>
      </c>
      <c r="U3398" s="21" t="s">
        <v>2272</v>
      </c>
      <c r="V3398" s="21" t="s">
        <v>2272</v>
      </c>
      <c r="W3398" s="21" t="s">
        <v>2272</v>
      </c>
      <c r="X3398" s="21" t="s">
        <v>2272</v>
      </c>
      <c r="Y3398" s="21" t="s">
        <v>2272</v>
      </c>
      <c r="Z3398" s="21" t="s">
        <v>2272</v>
      </c>
      <c r="AA3398" s="21" t="s">
        <v>2272</v>
      </c>
      <c r="AB3398" s="21" t="s">
        <v>2272</v>
      </c>
      <c r="AC3398" s="21" t="s">
        <v>2272</v>
      </c>
      <c r="AD3398" s="198"/>
      <c r="AE3398" s="198"/>
    </row>
    <row r="3399" spans="1:31" ht="40" customHeight="1">
      <c r="A3399" s="198" t="s">
        <v>8907</v>
      </c>
      <c r="B3399" s="198" t="s">
        <v>8921</v>
      </c>
      <c r="C3399" s="198" t="s">
        <v>2453</v>
      </c>
      <c r="D3399" s="198" t="s">
        <v>1102</v>
      </c>
      <c r="E3399" s="198" t="s">
        <v>1102</v>
      </c>
      <c r="F3399" s="198" t="s">
        <v>2272</v>
      </c>
      <c r="G3399" s="4" t="s">
        <v>73</v>
      </c>
      <c r="H3399" s="198" t="s">
        <v>521</v>
      </c>
      <c r="I3399" s="198"/>
      <c r="J3399" s="21" t="s">
        <v>2272</v>
      </c>
      <c r="K3399" s="21">
        <f>10/'Record info'!$K1403</f>
        <v>1.0883524520580744E-2</v>
      </c>
      <c r="L3399" s="21" t="s">
        <v>2272</v>
      </c>
      <c r="M3399" s="21" t="s">
        <v>2272</v>
      </c>
      <c r="N3399" s="21" t="s">
        <v>2272</v>
      </c>
      <c r="O3399" s="21" t="s">
        <v>2272</v>
      </c>
      <c r="P3399" s="21" t="s">
        <v>2272</v>
      </c>
      <c r="Q3399" s="21">
        <v>160</v>
      </c>
      <c r="R3399" s="21" t="s">
        <v>2272</v>
      </c>
      <c r="S3399" s="21" t="s">
        <v>2272</v>
      </c>
      <c r="T3399" s="21" t="s">
        <v>2272</v>
      </c>
      <c r="U3399" s="21" t="s">
        <v>2272</v>
      </c>
      <c r="V3399" s="21" t="s">
        <v>2272</v>
      </c>
      <c r="W3399" s="21">
        <f>1600/'Record info'!K1403</f>
        <v>1.741363923292919</v>
      </c>
      <c r="X3399" s="21" t="s">
        <v>2272</v>
      </c>
      <c r="Y3399" s="21" t="s">
        <v>2272</v>
      </c>
      <c r="Z3399" s="21" t="s">
        <v>2272</v>
      </c>
      <c r="AA3399" s="21" t="s">
        <v>2272</v>
      </c>
      <c r="AB3399" s="21" t="s">
        <v>2272</v>
      </c>
      <c r="AC3399" s="21" t="s">
        <v>2272</v>
      </c>
      <c r="AD3399" s="198"/>
      <c r="AE3399" s="198"/>
    </row>
    <row r="3400" spans="1:31" ht="42" customHeight="1">
      <c r="A3400" s="198" t="s">
        <v>8926</v>
      </c>
      <c r="B3400" s="198" t="s">
        <v>8930</v>
      </c>
      <c r="C3400" s="198" t="s">
        <v>30</v>
      </c>
      <c r="D3400" s="198" t="s">
        <v>29</v>
      </c>
      <c r="E3400" s="198" t="s">
        <v>1102</v>
      </c>
      <c r="F3400" s="4" t="s">
        <v>2272</v>
      </c>
      <c r="G3400" s="4" t="s">
        <v>2272</v>
      </c>
      <c r="H3400" s="198" t="s">
        <v>521</v>
      </c>
      <c r="I3400" s="198"/>
      <c r="J3400" s="21" t="s">
        <v>2272</v>
      </c>
      <c r="K3400" s="21" t="s">
        <v>2272</v>
      </c>
      <c r="L3400" s="21" t="s">
        <v>2272</v>
      </c>
      <c r="M3400" s="21" t="s">
        <v>2272</v>
      </c>
      <c r="N3400" s="21" t="s">
        <v>2272</v>
      </c>
      <c r="O3400" s="21" t="s">
        <v>2272</v>
      </c>
      <c r="P3400" s="21" t="s">
        <v>2272</v>
      </c>
      <c r="Q3400" s="21" t="s">
        <v>2272</v>
      </c>
      <c r="R3400" s="21" t="s">
        <v>2272</v>
      </c>
      <c r="S3400" s="21" t="s">
        <v>2272</v>
      </c>
      <c r="T3400" s="21" t="s">
        <v>2272</v>
      </c>
      <c r="U3400" s="21" t="s">
        <v>2272</v>
      </c>
      <c r="V3400" s="21" t="s">
        <v>2272</v>
      </c>
      <c r="W3400" s="21" t="s">
        <v>2272</v>
      </c>
      <c r="X3400" s="21" t="s">
        <v>2272</v>
      </c>
      <c r="Y3400" s="21" t="s">
        <v>2272</v>
      </c>
      <c r="Z3400" s="21" t="s">
        <v>2272</v>
      </c>
      <c r="AA3400" s="21" t="s">
        <v>2272</v>
      </c>
      <c r="AB3400" s="21" t="s">
        <v>2272</v>
      </c>
      <c r="AC3400" s="21" t="s">
        <v>2272</v>
      </c>
      <c r="AD3400" s="198"/>
      <c r="AE3400" s="198"/>
    </row>
    <row r="3401" spans="1:31" ht="42" customHeight="1">
      <c r="A3401" s="198" t="s">
        <v>8926</v>
      </c>
      <c r="B3401" s="198" t="s">
        <v>8931</v>
      </c>
      <c r="C3401" s="198" t="s">
        <v>30</v>
      </c>
      <c r="D3401" s="198" t="s">
        <v>29</v>
      </c>
      <c r="E3401" s="198" t="s">
        <v>2648</v>
      </c>
      <c r="F3401" s="4" t="s">
        <v>2272</v>
      </c>
      <c r="G3401" s="4" t="s">
        <v>2272</v>
      </c>
      <c r="H3401" s="198" t="s">
        <v>521</v>
      </c>
      <c r="I3401" s="198"/>
      <c r="J3401" s="21" t="s">
        <v>2272</v>
      </c>
      <c r="K3401" s="21" t="s">
        <v>2272</v>
      </c>
      <c r="L3401" s="21" t="s">
        <v>2272</v>
      </c>
      <c r="M3401" s="21" t="s">
        <v>2272</v>
      </c>
      <c r="N3401" s="21" t="s">
        <v>2272</v>
      </c>
      <c r="O3401" s="21" t="s">
        <v>2272</v>
      </c>
      <c r="P3401" s="21" t="s">
        <v>2272</v>
      </c>
      <c r="Q3401" s="21" t="s">
        <v>2272</v>
      </c>
      <c r="R3401" s="21" t="s">
        <v>2272</v>
      </c>
      <c r="S3401" s="21" t="s">
        <v>2272</v>
      </c>
      <c r="T3401" s="21" t="s">
        <v>2272</v>
      </c>
      <c r="U3401" s="21" t="s">
        <v>2272</v>
      </c>
      <c r="V3401" s="21" t="s">
        <v>2272</v>
      </c>
      <c r="W3401" s="21" t="s">
        <v>2272</v>
      </c>
      <c r="X3401" s="21" t="s">
        <v>2272</v>
      </c>
      <c r="Y3401" s="21" t="s">
        <v>2272</v>
      </c>
      <c r="Z3401" s="21" t="s">
        <v>2272</v>
      </c>
      <c r="AA3401" s="21" t="s">
        <v>2272</v>
      </c>
      <c r="AB3401" s="21" t="s">
        <v>2272</v>
      </c>
      <c r="AC3401" s="21" t="s">
        <v>2272</v>
      </c>
      <c r="AD3401" s="198"/>
      <c r="AE3401" s="198"/>
    </row>
    <row r="3402" spans="1:31" ht="42" customHeight="1">
      <c r="A3402" s="198" t="s">
        <v>8926</v>
      </c>
      <c r="B3402" s="198" t="s">
        <v>8932</v>
      </c>
      <c r="C3402" s="198" t="s">
        <v>2453</v>
      </c>
      <c r="D3402" s="198" t="s">
        <v>1241</v>
      </c>
      <c r="E3402" s="198" t="s">
        <v>114</v>
      </c>
      <c r="F3402" s="4" t="s">
        <v>2657</v>
      </c>
      <c r="G3402" s="4" t="s">
        <v>2272</v>
      </c>
      <c r="H3402" s="198" t="s">
        <v>521</v>
      </c>
      <c r="I3402" s="198"/>
      <c r="J3402" s="21" t="s">
        <v>2272</v>
      </c>
      <c r="K3402" s="21" t="s">
        <v>2272</v>
      </c>
      <c r="L3402" s="21" t="s">
        <v>2272</v>
      </c>
      <c r="M3402" s="21" t="s">
        <v>2272</v>
      </c>
      <c r="N3402" s="21" t="s">
        <v>2272</v>
      </c>
      <c r="O3402" s="21" t="s">
        <v>2272</v>
      </c>
      <c r="P3402" s="21" t="s">
        <v>2272</v>
      </c>
      <c r="Q3402" s="21" t="s">
        <v>2272</v>
      </c>
      <c r="R3402" s="21" t="s">
        <v>2272</v>
      </c>
      <c r="S3402" s="21" t="s">
        <v>2272</v>
      </c>
      <c r="T3402" s="21" t="s">
        <v>2272</v>
      </c>
      <c r="U3402" s="21" t="s">
        <v>2272</v>
      </c>
      <c r="V3402" s="21" t="s">
        <v>2272</v>
      </c>
      <c r="W3402" s="21" t="s">
        <v>2272</v>
      </c>
      <c r="X3402" s="21" t="s">
        <v>2272</v>
      </c>
      <c r="Y3402" s="21" t="s">
        <v>2272</v>
      </c>
      <c r="Z3402" s="21" t="s">
        <v>2272</v>
      </c>
      <c r="AA3402" s="21" t="s">
        <v>2272</v>
      </c>
      <c r="AB3402" s="21" t="s">
        <v>2272</v>
      </c>
      <c r="AC3402" s="21" t="s">
        <v>2272</v>
      </c>
      <c r="AD3402" s="198"/>
      <c r="AE3402" s="198"/>
    </row>
    <row r="3403" spans="1:31" ht="42" customHeight="1">
      <c r="A3403" s="198" t="s">
        <v>8926</v>
      </c>
      <c r="B3403" s="198" t="s">
        <v>8933</v>
      </c>
      <c r="C3403" s="198" t="s">
        <v>2453</v>
      </c>
      <c r="D3403" s="198" t="s">
        <v>3475</v>
      </c>
      <c r="E3403" s="198" t="s">
        <v>114</v>
      </c>
      <c r="F3403" s="4" t="s">
        <v>2657</v>
      </c>
      <c r="G3403" s="4" t="s">
        <v>2272</v>
      </c>
      <c r="H3403" s="198" t="s">
        <v>521</v>
      </c>
      <c r="I3403" s="198"/>
      <c r="J3403" s="21" t="s">
        <v>2272</v>
      </c>
      <c r="K3403" s="21" t="s">
        <v>2272</v>
      </c>
      <c r="L3403" s="21" t="s">
        <v>2272</v>
      </c>
      <c r="M3403" s="21" t="s">
        <v>2272</v>
      </c>
      <c r="N3403" s="21" t="s">
        <v>2272</v>
      </c>
      <c r="O3403" s="21" t="s">
        <v>2272</v>
      </c>
      <c r="P3403" s="21" t="s">
        <v>2272</v>
      </c>
      <c r="Q3403" s="21" t="s">
        <v>2272</v>
      </c>
      <c r="R3403" s="21" t="s">
        <v>2272</v>
      </c>
      <c r="S3403" s="21" t="s">
        <v>2272</v>
      </c>
      <c r="T3403" s="21" t="s">
        <v>2272</v>
      </c>
      <c r="U3403" s="21" t="s">
        <v>2272</v>
      </c>
      <c r="V3403" s="21" t="s">
        <v>2272</v>
      </c>
      <c r="W3403" s="21" t="s">
        <v>2272</v>
      </c>
      <c r="X3403" s="21" t="s">
        <v>2272</v>
      </c>
      <c r="Y3403" s="21" t="s">
        <v>2272</v>
      </c>
      <c r="Z3403" s="21" t="s">
        <v>2272</v>
      </c>
      <c r="AA3403" s="21" t="s">
        <v>2272</v>
      </c>
      <c r="AB3403" s="21" t="s">
        <v>2272</v>
      </c>
      <c r="AC3403" s="21" t="s">
        <v>2272</v>
      </c>
      <c r="AD3403" s="198"/>
      <c r="AE3403" s="198"/>
    </row>
    <row r="3404" spans="1:31" ht="42" customHeight="1">
      <c r="A3404" s="198" t="s">
        <v>8926</v>
      </c>
      <c r="B3404" s="198" t="s">
        <v>8934</v>
      </c>
      <c r="C3404" s="198" t="s">
        <v>2453</v>
      </c>
      <c r="D3404" s="198" t="s">
        <v>2227</v>
      </c>
      <c r="E3404" s="4" t="s">
        <v>395</v>
      </c>
      <c r="F3404" s="4" t="s">
        <v>2657</v>
      </c>
      <c r="G3404" s="4" t="s">
        <v>2272</v>
      </c>
      <c r="H3404" s="198" t="s">
        <v>521</v>
      </c>
      <c r="I3404" s="198"/>
      <c r="J3404" s="21" t="s">
        <v>2272</v>
      </c>
      <c r="K3404" s="21" t="s">
        <v>2272</v>
      </c>
      <c r="L3404" s="21" t="s">
        <v>2272</v>
      </c>
      <c r="M3404" s="21" t="s">
        <v>2272</v>
      </c>
      <c r="N3404" s="21" t="s">
        <v>2272</v>
      </c>
      <c r="O3404" s="21" t="s">
        <v>2272</v>
      </c>
      <c r="P3404" s="21" t="s">
        <v>2272</v>
      </c>
      <c r="Q3404" s="21" t="s">
        <v>2272</v>
      </c>
      <c r="R3404" s="21" t="s">
        <v>2272</v>
      </c>
      <c r="S3404" s="21" t="s">
        <v>2272</v>
      </c>
      <c r="T3404" s="21" t="s">
        <v>2272</v>
      </c>
      <c r="U3404" s="21" t="s">
        <v>2272</v>
      </c>
      <c r="V3404" s="21" t="s">
        <v>2272</v>
      </c>
      <c r="W3404" s="21" t="s">
        <v>2272</v>
      </c>
      <c r="X3404" s="21" t="s">
        <v>2272</v>
      </c>
      <c r="Y3404" s="21" t="s">
        <v>2272</v>
      </c>
      <c r="Z3404" s="21" t="s">
        <v>2272</v>
      </c>
      <c r="AA3404" s="21" t="s">
        <v>2272</v>
      </c>
      <c r="AB3404" s="21" t="s">
        <v>2272</v>
      </c>
      <c r="AC3404" s="21" t="s">
        <v>2272</v>
      </c>
      <c r="AD3404" s="198"/>
      <c r="AE3404" s="198"/>
    </row>
    <row r="3405" spans="1:31" ht="42" customHeight="1">
      <c r="A3405" s="198" t="s">
        <v>8926</v>
      </c>
      <c r="B3405" s="198" t="s">
        <v>8935</v>
      </c>
      <c r="C3405" s="198" t="s">
        <v>23</v>
      </c>
      <c r="D3405" s="198" t="s">
        <v>1241</v>
      </c>
      <c r="E3405" s="198" t="s">
        <v>114</v>
      </c>
      <c r="F3405" s="4" t="s">
        <v>2657</v>
      </c>
      <c r="G3405" s="4" t="s">
        <v>2657</v>
      </c>
      <c r="H3405" s="198" t="s">
        <v>521</v>
      </c>
      <c r="I3405" s="198"/>
      <c r="J3405" s="21" t="s">
        <v>2272</v>
      </c>
      <c r="K3405" s="21" t="s">
        <v>2272</v>
      </c>
      <c r="L3405" s="21" t="s">
        <v>2272</v>
      </c>
      <c r="M3405" s="21" t="s">
        <v>2272</v>
      </c>
      <c r="N3405" s="21" t="s">
        <v>2272</v>
      </c>
      <c r="O3405" s="21" t="s">
        <v>2272</v>
      </c>
      <c r="P3405" s="21" t="s">
        <v>2272</v>
      </c>
      <c r="Q3405" s="21" t="s">
        <v>2272</v>
      </c>
      <c r="R3405" s="21" t="s">
        <v>2272</v>
      </c>
      <c r="S3405" s="21" t="s">
        <v>2272</v>
      </c>
      <c r="T3405" s="21" t="s">
        <v>2272</v>
      </c>
      <c r="U3405" s="21" t="s">
        <v>2272</v>
      </c>
      <c r="V3405" s="21" t="s">
        <v>2272</v>
      </c>
      <c r="W3405" s="21" t="s">
        <v>2272</v>
      </c>
      <c r="X3405" s="21" t="s">
        <v>2272</v>
      </c>
      <c r="Y3405" s="21" t="s">
        <v>2272</v>
      </c>
      <c r="Z3405" s="21" t="s">
        <v>2272</v>
      </c>
      <c r="AA3405" s="21" t="s">
        <v>2272</v>
      </c>
      <c r="AB3405" s="21" t="s">
        <v>2272</v>
      </c>
      <c r="AC3405" s="21" t="s">
        <v>2272</v>
      </c>
      <c r="AD3405" s="198"/>
      <c r="AE3405" s="198"/>
    </row>
    <row r="3406" spans="1:31" ht="42" customHeight="1">
      <c r="A3406" s="198" t="s">
        <v>8926</v>
      </c>
      <c r="B3406" s="198" t="s">
        <v>8936</v>
      </c>
      <c r="C3406" s="198" t="s">
        <v>23</v>
      </c>
      <c r="D3406" s="198" t="s">
        <v>3475</v>
      </c>
      <c r="E3406" s="198" t="s">
        <v>114</v>
      </c>
      <c r="F3406" s="4" t="s">
        <v>2657</v>
      </c>
      <c r="G3406" s="4" t="s">
        <v>2657</v>
      </c>
      <c r="H3406" s="198" t="s">
        <v>521</v>
      </c>
      <c r="I3406" s="198"/>
      <c r="J3406" s="21" t="s">
        <v>2272</v>
      </c>
      <c r="K3406" s="21" t="s">
        <v>2272</v>
      </c>
      <c r="L3406" s="21" t="s">
        <v>2272</v>
      </c>
      <c r="M3406" s="21" t="s">
        <v>2272</v>
      </c>
      <c r="N3406" s="21" t="s">
        <v>2272</v>
      </c>
      <c r="O3406" s="21" t="s">
        <v>2272</v>
      </c>
      <c r="P3406" s="21" t="s">
        <v>2272</v>
      </c>
      <c r="Q3406" s="21" t="s">
        <v>2272</v>
      </c>
      <c r="R3406" s="21" t="s">
        <v>2272</v>
      </c>
      <c r="S3406" s="21" t="s">
        <v>2272</v>
      </c>
      <c r="T3406" s="21" t="s">
        <v>2272</v>
      </c>
      <c r="U3406" s="21" t="s">
        <v>2272</v>
      </c>
      <c r="V3406" s="21" t="s">
        <v>2272</v>
      </c>
      <c r="W3406" s="21" t="s">
        <v>2272</v>
      </c>
      <c r="X3406" s="21" t="s">
        <v>2272</v>
      </c>
      <c r="Y3406" s="21" t="s">
        <v>2272</v>
      </c>
      <c r="Z3406" s="21" t="s">
        <v>2272</v>
      </c>
      <c r="AA3406" s="21" t="s">
        <v>2272</v>
      </c>
      <c r="AB3406" s="21" t="s">
        <v>2272</v>
      </c>
      <c r="AC3406" s="21" t="s">
        <v>2272</v>
      </c>
      <c r="AD3406" s="198"/>
      <c r="AE3406" s="198"/>
    </row>
    <row r="3407" spans="1:31" ht="42" customHeight="1">
      <c r="A3407" s="198" t="s">
        <v>8926</v>
      </c>
      <c r="B3407" s="198" t="s">
        <v>8937</v>
      </c>
      <c r="C3407" s="198" t="s">
        <v>23</v>
      </c>
      <c r="D3407" s="198" t="s">
        <v>2227</v>
      </c>
      <c r="E3407" s="4" t="s">
        <v>395</v>
      </c>
      <c r="F3407" s="4" t="s">
        <v>2657</v>
      </c>
      <c r="G3407" s="4" t="s">
        <v>2657</v>
      </c>
      <c r="H3407" s="198" t="s">
        <v>521</v>
      </c>
      <c r="I3407" s="198"/>
      <c r="J3407" s="21" t="s">
        <v>2272</v>
      </c>
      <c r="K3407" s="21" t="s">
        <v>2272</v>
      </c>
      <c r="L3407" s="21" t="s">
        <v>2272</v>
      </c>
      <c r="M3407" s="21" t="s">
        <v>2272</v>
      </c>
      <c r="N3407" s="21" t="s">
        <v>2272</v>
      </c>
      <c r="O3407" s="21" t="s">
        <v>2272</v>
      </c>
      <c r="P3407" s="21" t="s">
        <v>2272</v>
      </c>
      <c r="Q3407" s="21" t="s">
        <v>2272</v>
      </c>
      <c r="R3407" s="21" t="s">
        <v>2272</v>
      </c>
      <c r="S3407" s="21" t="s">
        <v>2272</v>
      </c>
      <c r="T3407" s="21" t="s">
        <v>2272</v>
      </c>
      <c r="U3407" s="21" t="s">
        <v>2272</v>
      </c>
      <c r="V3407" s="21" t="s">
        <v>2272</v>
      </c>
      <c r="W3407" s="21" t="s">
        <v>2272</v>
      </c>
      <c r="X3407" s="21" t="s">
        <v>2272</v>
      </c>
      <c r="Y3407" s="21" t="s">
        <v>2272</v>
      </c>
      <c r="Z3407" s="21" t="s">
        <v>2272</v>
      </c>
      <c r="AA3407" s="21" t="s">
        <v>2272</v>
      </c>
      <c r="AB3407" s="21" t="s">
        <v>2272</v>
      </c>
      <c r="AC3407" s="21" t="s">
        <v>2272</v>
      </c>
      <c r="AD3407" s="198"/>
      <c r="AE3407" s="198"/>
    </row>
    <row r="3408" spans="1:31" ht="42" customHeight="1">
      <c r="A3408" s="198" t="s">
        <v>8926</v>
      </c>
      <c r="B3408" s="198" t="s">
        <v>8938</v>
      </c>
      <c r="C3408" s="198" t="s">
        <v>2453</v>
      </c>
      <c r="D3408" s="198" t="s">
        <v>2227</v>
      </c>
      <c r="E3408" s="198" t="s">
        <v>44</v>
      </c>
      <c r="F3408" s="4" t="s">
        <v>2657</v>
      </c>
      <c r="G3408" s="4" t="s">
        <v>2272</v>
      </c>
      <c r="H3408" s="198" t="s">
        <v>521</v>
      </c>
      <c r="I3408" s="198"/>
      <c r="J3408" s="21" t="s">
        <v>2272</v>
      </c>
      <c r="K3408" s="21" t="s">
        <v>2272</v>
      </c>
      <c r="L3408" s="21" t="s">
        <v>2272</v>
      </c>
      <c r="M3408" s="21" t="s">
        <v>2272</v>
      </c>
      <c r="N3408" s="21" t="s">
        <v>2272</v>
      </c>
      <c r="O3408" s="21" t="s">
        <v>2272</v>
      </c>
      <c r="P3408" s="21" t="s">
        <v>2272</v>
      </c>
      <c r="Q3408" s="21" t="s">
        <v>2272</v>
      </c>
      <c r="R3408" s="21" t="s">
        <v>2272</v>
      </c>
      <c r="S3408" s="21" t="s">
        <v>2272</v>
      </c>
      <c r="T3408" s="21" t="s">
        <v>2272</v>
      </c>
      <c r="U3408" s="21" t="s">
        <v>2272</v>
      </c>
      <c r="V3408" s="21" t="s">
        <v>2272</v>
      </c>
      <c r="W3408" s="21" t="s">
        <v>2272</v>
      </c>
      <c r="X3408" s="21" t="s">
        <v>2272</v>
      </c>
      <c r="Y3408" s="21" t="s">
        <v>2272</v>
      </c>
      <c r="Z3408" s="21" t="s">
        <v>2272</v>
      </c>
      <c r="AA3408" s="21" t="s">
        <v>2272</v>
      </c>
      <c r="AB3408" s="21" t="s">
        <v>2272</v>
      </c>
      <c r="AC3408" s="21" t="s">
        <v>2272</v>
      </c>
      <c r="AD3408" s="198"/>
      <c r="AE3408" s="198"/>
    </row>
    <row r="3409" spans="1:31" ht="42" customHeight="1">
      <c r="A3409" s="198" t="s">
        <v>8926</v>
      </c>
      <c r="B3409" s="198" t="s">
        <v>8939</v>
      </c>
      <c r="C3409" s="198" t="s">
        <v>23</v>
      </c>
      <c r="D3409" s="198" t="s">
        <v>2227</v>
      </c>
      <c r="E3409" s="198" t="s">
        <v>44</v>
      </c>
      <c r="F3409" s="4" t="s">
        <v>2657</v>
      </c>
      <c r="G3409" s="4" t="s">
        <v>2657</v>
      </c>
      <c r="H3409" s="198" t="s">
        <v>521</v>
      </c>
      <c r="I3409" s="198"/>
      <c r="J3409" s="21" t="s">
        <v>2272</v>
      </c>
      <c r="K3409" s="21" t="s">
        <v>2272</v>
      </c>
      <c r="L3409" s="21" t="s">
        <v>2272</v>
      </c>
      <c r="M3409" s="21" t="s">
        <v>2272</v>
      </c>
      <c r="N3409" s="21" t="s">
        <v>2272</v>
      </c>
      <c r="O3409" s="21" t="s">
        <v>2272</v>
      </c>
      <c r="P3409" s="21" t="s">
        <v>2272</v>
      </c>
      <c r="Q3409" s="21" t="s">
        <v>2272</v>
      </c>
      <c r="R3409" s="21" t="s">
        <v>2272</v>
      </c>
      <c r="S3409" s="21" t="s">
        <v>2272</v>
      </c>
      <c r="T3409" s="21" t="s">
        <v>2272</v>
      </c>
      <c r="U3409" s="21" t="s">
        <v>2272</v>
      </c>
      <c r="V3409" s="21" t="s">
        <v>2272</v>
      </c>
      <c r="W3409" s="21" t="s">
        <v>2272</v>
      </c>
      <c r="X3409" s="21" t="s">
        <v>2272</v>
      </c>
      <c r="Y3409" s="21" t="s">
        <v>2272</v>
      </c>
      <c r="Z3409" s="21" t="s">
        <v>2272</v>
      </c>
      <c r="AA3409" s="21" t="s">
        <v>2272</v>
      </c>
      <c r="AB3409" s="21" t="s">
        <v>2272</v>
      </c>
      <c r="AC3409" s="21" t="s">
        <v>2272</v>
      </c>
      <c r="AD3409" s="198"/>
      <c r="AE3409" s="198"/>
    </row>
    <row r="3410" spans="1:31" ht="40" customHeight="1">
      <c r="A3410" s="198" t="s">
        <v>8928</v>
      </c>
      <c r="B3410" s="198" t="s">
        <v>8940</v>
      </c>
      <c r="C3410" s="198" t="s">
        <v>2453</v>
      </c>
      <c r="D3410" s="198" t="s">
        <v>2272</v>
      </c>
      <c r="E3410" s="198" t="s">
        <v>2272</v>
      </c>
      <c r="F3410" s="198" t="s">
        <v>2272</v>
      </c>
      <c r="G3410" s="198" t="s">
        <v>27</v>
      </c>
      <c r="H3410" s="198" t="s">
        <v>521</v>
      </c>
      <c r="I3410" s="198"/>
      <c r="J3410" s="21" t="s">
        <v>2272</v>
      </c>
      <c r="K3410" s="21" t="s">
        <v>2272</v>
      </c>
      <c r="L3410" s="21" t="s">
        <v>2272</v>
      </c>
      <c r="M3410" s="21" t="s">
        <v>2272</v>
      </c>
      <c r="N3410" s="21" t="s">
        <v>2272</v>
      </c>
      <c r="O3410" s="21" t="s">
        <v>2272</v>
      </c>
      <c r="P3410" s="21" t="s">
        <v>2272</v>
      </c>
      <c r="Q3410" s="21" t="s">
        <v>2272</v>
      </c>
      <c r="R3410" s="21" t="s">
        <v>2272</v>
      </c>
      <c r="S3410" s="21" t="s">
        <v>2272</v>
      </c>
      <c r="T3410" s="21" t="s">
        <v>2272</v>
      </c>
      <c r="U3410" s="21">
        <f>AVERAGE(950905, 1152413, 713770, 1320325)*0.95</f>
        <v>982635.58749999991</v>
      </c>
      <c r="V3410" s="21" t="s">
        <v>2272</v>
      </c>
      <c r="W3410" s="21" t="s">
        <v>2272</v>
      </c>
      <c r="X3410" s="21" t="s">
        <v>2272</v>
      </c>
      <c r="Y3410" s="21">
        <f>U3410/'Record info'!K1405</f>
        <v>2.5146973374757198</v>
      </c>
      <c r="Z3410" s="21" t="s">
        <v>2272</v>
      </c>
      <c r="AA3410" s="21" t="s">
        <v>2272</v>
      </c>
      <c r="AB3410" s="21" t="s">
        <v>2272</v>
      </c>
      <c r="AC3410" s="21" t="s">
        <v>2272</v>
      </c>
      <c r="AD3410" s="198" t="s">
        <v>8943</v>
      </c>
      <c r="AE3410" s="198"/>
    </row>
    <row r="3411" spans="1:31" ht="34.5" customHeight="1">
      <c r="A3411" s="198" t="s">
        <v>8928</v>
      </c>
      <c r="B3411" s="198" t="s">
        <v>8941</v>
      </c>
      <c r="C3411" s="198" t="s">
        <v>2651</v>
      </c>
      <c r="D3411" s="198" t="s">
        <v>2272</v>
      </c>
      <c r="E3411" s="198" t="s">
        <v>2272</v>
      </c>
      <c r="F3411" s="198" t="s">
        <v>2272</v>
      </c>
      <c r="G3411" s="198" t="s">
        <v>27</v>
      </c>
      <c r="H3411" s="198" t="s">
        <v>521</v>
      </c>
      <c r="I3411" s="198"/>
      <c r="J3411" s="21" t="s">
        <v>2272</v>
      </c>
      <c r="K3411" s="21" t="s">
        <v>2272</v>
      </c>
      <c r="L3411" s="21" t="s">
        <v>2272</v>
      </c>
      <c r="M3411" s="21" t="s">
        <v>2272</v>
      </c>
      <c r="N3411" s="21" t="s">
        <v>2272</v>
      </c>
      <c r="O3411" s="21" t="s">
        <v>2272</v>
      </c>
      <c r="P3411" s="21" t="s">
        <v>2272</v>
      </c>
      <c r="Q3411" s="21" t="s">
        <v>2272</v>
      </c>
      <c r="R3411" s="21" t="s">
        <v>2272</v>
      </c>
      <c r="S3411" s="21" t="s">
        <v>2272</v>
      </c>
      <c r="T3411" s="21" t="s">
        <v>2272</v>
      </c>
      <c r="U3411" s="21">
        <f>AVERAGE(950905, 1152413, 713770, 1320325)*0.05</f>
        <v>51717.662500000006</v>
      </c>
      <c r="V3411" s="21" t="s">
        <v>2272</v>
      </c>
      <c r="W3411" s="21" t="s">
        <v>2272</v>
      </c>
      <c r="X3411" s="21" t="s">
        <v>2272</v>
      </c>
      <c r="Y3411" s="21">
        <f>U3411/'Record info'!K1405</f>
        <v>0.13235249144609054</v>
      </c>
      <c r="Z3411" s="21" t="s">
        <v>2272</v>
      </c>
      <c r="AA3411" s="21" t="s">
        <v>2272</v>
      </c>
      <c r="AB3411" s="21" t="s">
        <v>2272</v>
      </c>
      <c r="AC3411" s="21" t="s">
        <v>2272</v>
      </c>
      <c r="AD3411" s="198" t="s">
        <v>8943</v>
      </c>
      <c r="AE3411" s="198"/>
    </row>
    <row r="3412" spans="1:31" ht="32" customHeight="1">
      <c r="A3412" s="198" t="s">
        <v>8947</v>
      </c>
      <c r="B3412" s="198" t="s">
        <v>8951</v>
      </c>
      <c r="C3412" s="198" t="s">
        <v>23</v>
      </c>
      <c r="D3412" s="198" t="s">
        <v>141</v>
      </c>
      <c r="E3412" s="4" t="s">
        <v>395</v>
      </c>
      <c r="F3412" s="4" t="s">
        <v>73</v>
      </c>
      <c r="G3412" s="4" t="s">
        <v>73</v>
      </c>
      <c r="H3412" s="198" t="s">
        <v>521</v>
      </c>
      <c r="I3412" s="198"/>
      <c r="J3412" s="21" t="s">
        <v>2272</v>
      </c>
      <c r="K3412" s="21" t="s">
        <v>2272</v>
      </c>
      <c r="L3412" s="21" t="s">
        <v>2272</v>
      </c>
      <c r="M3412" s="21" t="s">
        <v>2272</v>
      </c>
      <c r="N3412" s="21" t="s">
        <v>2272</v>
      </c>
      <c r="O3412" s="21" t="s">
        <v>2272</v>
      </c>
      <c r="P3412" s="21" t="s">
        <v>2272</v>
      </c>
      <c r="Q3412" s="21" t="s">
        <v>2272</v>
      </c>
      <c r="R3412" s="21" t="s">
        <v>2272</v>
      </c>
      <c r="S3412" s="21" t="s">
        <v>2272</v>
      </c>
      <c r="T3412" s="21" t="s">
        <v>2272</v>
      </c>
      <c r="U3412" s="21" t="s">
        <v>2272</v>
      </c>
      <c r="V3412" s="21" t="s">
        <v>2272</v>
      </c>
      <c r="W3412" s="21" t="s">
        <v>2272</v>
      </c>
      <c r="X3412" s="21" t="s">
        <v>2272</v>
      </c>
      <c r="Y3412" s="21" t="s">
        <v>2272</v>
      </c>
      <c r="Z3412" s="21" t="s">
        <v>2272</v>
      </c>
      <c r="AA3412" s="21" t="s">
        <v>2272</v>
      </c>
      <c r="AB3412" s="21" t="s">
        <v>2272</v>
      </c>
      <c r="AC3412" s="21" t="s">
        <v>2272</v>
      </c>
      <c r="AD3412" s="198"/>
      <c r="AE3412" s="198"/>
    </row>
    <row r="3413" spans="1:31" ht="32" customHeight="1">
      <c r="A3413" s="198" t="s">
        <v>8947</v>
      </c>
      <c r="B3413" s="198" t="s">
        <v>8952</v>
      </c>
      <c r="C3413" s="198" t="s">
        <v>23</v>
      </c>
      <c r="D3413" s="198" t="s">
        <v>141</v>
      </c>
      <c r="E3413" s="198" t="s">
        <v>44</v>
      </c>
      <c r="F3413" s="4" t="s">
        <v>73</v>
      </c>
      <c r="G3413" s="4" t="s">
        <v>73</v>
      </c>
      <c r="H3413" s="198" t="s">
        <v>521</v>
      </c>
      <c r="I3413" s="198"/>
      <c r="J3413" s="21" t="s">
        <v>2272</v>
      </c>
      <c r="K3413" s="21" t="s">
        <v>2272</v>
      </c>
      <c r="L3413" s="21" t="s">
        <v>2272</v>
      </c>
      <c r="M3413" s="21" t="s">
        <v>2272</v>
      </c>
      <c r="N3413" s="21" t="s">
        <v>2272</v>
      </c>
      <c r="O3413" s="21" t="s">
        <v>2272</v>
      </c>
      <c r="P3413" s="21" t="s">
        <v>2272</v>
      </c>
      <c r="Q3413" s="21" t="s">
        <v>2272</v>
      </c>
      <c r="R3413" s="21" t="s">
        <v>2272</v>
      </c>
      <c r="S3413" s="21" t="s">
        <v>2272</v>
      </c>
      <c r="T3413" s="21" t="s">
        <v>2272</v>
      </c>
      <c r="U3413" s="21" t="s">
        <v>2272</v>
      </c>
      <c r="V3413" s="21" t="s">
        <v>2272</v>
      </c>
      <c r="W3413" s="21" t="s">
        <v>2272</v>
      </c>
      <c r="X3413" s="21" t="s">
        <v>2272</v>
      </c>
      <c r="Y3413" s="21" t="s">
        <v>2272</v>
      </c>
      <c r="Z3413" s="21" t="s">
        <v>2272</v>
      </c>
      <c r="AA3413" s="21" t="s">
        <v>2272</v>
      </c>
      <c r="AB3413" s="21" t="s">
        <v>2272</v>
      </c>
      <c r="AC3413" s="21" t="s">
        <v>2272</v>
      </c>
      <c r="AD3413" s="198"/>
      <c r="AE3413" s="198"/>
    </row>
    <row r="3414" spans="1:31" ht="38" customHeight="1">
      <c r="A3414" s="4" t="s">
        <v>8954</v>
      </c>
      <c r="B3414" s="4" t="s">
        <v>8957</v>
      </c>
      <c r="C3414" s="4" t="s">
        <v>23</v>
      </c>
      <c r="D3414" s="4" t="s">
        <v>26</v>
      </c>
      <c r="E3414" s="4" t="s">
        <v>395</v>
      </c>
      <c r="F3414" s="4" t="s">
        <v>27</v>
      </c>
      <c r="G3414" s="4" t="s">
        <v>2272</v>
      </c>
      <c r="H3414" s="4" t="s">
        <v>521</v>
      </c>
      <c r="I3414" s="198"/>
      <c r="J3414" s="21" t="s">
        <v>2272</v>
      </c>
      <c r="K3414" s="21" t="s">
        <v>2272</v>
      </c>
      <c r="L3414" s="21" t="s">
        <v>2272</v>
      </c>
      <c r="M3414" s="21" t="s">
        <v>2272</v>
      </c>
      <c r="N3414" s="21" t="s">
        <v>2272</v>
      </c>
      <c r="O3414" s="21" t="s">
        <v>2272</v>
      </c>
      <c r="P3414" s="21" t="s">
        <v>2272</v>
      </c>
      <c r="Q3414" s="21" t="s">
        <v>2272</v>
      </c>
      <c r="R3414" s="21" t="s">
        <v>2272</v>
      </c>
      <c r="S3414" s="21" t="s">
        <v>2272</v>
      </c>
      <c r="T3414" s="21" t="s">
        <v>2272</v>
      </c>
      <c r="U3414" s="21" t="s">
        <v>2272</v>
      </c>
      <c r="V3414" s="21" t="s">
        <v>2272</v>
      </c>
      <c r="W3414" s="21" t="s">
        <v>2272</v>
      </c>
      <c r="X3414" s="21" t="s">
        <v>2272</v>
      </c>
      <c r="Y3414" s="21" t="s">
        <v>2272</v>
      </c>
      <c r="Z3414" s="21" t="s">
        <v>2272</v>
      </c>
      <c r="AA3414" s="21" t="s">
        <v>2272</v>
      </c>
      <c r="AB3414" s="21" t="s">
        <v>2272</v>
      </c>
      <c r="AC3414" s="21" t="s">
        <v>2272</v>
      </c>
      <c r="AD3414" s="198"/>
      <c r="AE3414" s="198"/>
    </row>
    <row r="3415" spans="1:31" ht="39.5" customHeight="1">
      <c r="A3415" s="4" t="s">
        <v>8954</v>
      </c>
      <c r="B3415" s="4" t="s">
        <v>8958</v>
      </c>
      <c r="C3415" s="4" t="s">
        <v>23</v>
      </c>
      <c r="D3415" s="4" t="s">
        <v>26</v>
      </c>
      <c r="E3415" s="4" t="s">
        <v>394</v>
      </c>
      <c r="F3415" s="4" t="s">
        <v>27</v>
      </c>
      <c r="G3415" s="4" t="s">
        <v>2272</v>
      </c>
      <c r="H3415" s="4" t="s">
        <v>521</v>
      </c>
      <c r="I3415" s="198"/>
      <c r="J3415" s="21" t="s">
        <v>2272</v>
      </c>
      <c r="K3415" s="21" t="s">
        <v>2272</v>
      </c>
      <c r="L3415" s="21" t="s">
        <v>2272</v>
      </c>
      <c r="M3415" s="21" t="s">
        <v>2272</v>
      </c>
      <c r="N3415" s="21" t="s">
        <v>2272</v>
      </c>
      <c r="O3415" s="21" t="s">
        <v>2272</v>
      </c>
      <c r="P3415" s="21" t="s">
        <v>2272</v>
      </c>
      <c r="Q3415" s="21" t="s">
        <v>2272</v>
      </c>
      <c r="R3415" s="21" t="s">
        <v>2272</v>
      </c>
      <c r="S3415" s="21" t="s">
        <v>2272</v>
      </c>
      <c r="T3415" s="21" t="s">
        <v>2272</v>
      </c>
      <c r="U3415" s="21" t="s">
        <v>2272</v>
      </c>
      <c r="V3415" s="21" t="s">
        <v>2272</v>
      </c>
      <c r="W3415" s="21" t="s">
        <v>2272</v>
      </c>
      <c r="X3415" s="21" t="s">
        <v>2272</v>
      </c>
      <c r="Y3415" s="21" t="s">
        <v>2272</v>
      </c>
      <c r="Z3415" s="21" t="s">
        <v>2272</v>
      </c>
      <c r="AA3415" s="21" t="s">
        <v>2272</v>
      </c>
      <c r="AB3415" s="21" t="s">
        <v>2272</v>
      </c>
      <c r="AC3415" s="21" t="s">
        <v>2272</v>
      </c>
      <c r="AD3415" s="198"/>
      <c r="AE3415" s="198"/>
    </row>
    <row r="3416" spans="1:31" ht="32" customHeight="1">
      <c r="A3416" s="4" t="s">
        <v>8954</v>
      </c>
      <c r="B3416" s="4" t="s">
        <v>8959</v>
      </c>
      <c r="C3416" s="4" t="s">
        <v>23</v>
      </c>
      <c r="D3416" s="4" t="s">
        <v>26</v>
      </c>
      <c r="E3416" s="4" t="s">
        <v>128</v>
      </c>
      <c r="F3416" s="4" t="s">
        <v>158</v>
      </c>
      <c r="G3416" s="4" t="s">
        <v>2272</v>
      </c>
      <c r="H3416" s="4" t="s">
        <v>521</v>
      </c>
      <c r="I3416" s="198"/>
      <c r="J3416" s="21" t="s">
        <v>2272</v>
      </c>
      <c r="K3416" s="21" t="s">
        <v>2272</v>
      </c>
      <c r="L3416" s="21" t="s">
        <v>2272</v>
      </c>
      <c r="M3416" s="21" t="s">
        <v>2272</v>
      </c>
      <c r="N3416" s="21" t="s">
        <v>2272</v>
      </c>
      <c r="O3416" s="21" t="s">
        <v>2272</v>
      </c>
      <c r="P3416" s="21" t="s">
        <v>2272</v>
      </c>
      <c r="Q3416" s="21" t="s">
        <v>2272</v>
      </c>
      <c r="R3416" s="21" t="s">
        <v>2272</v>
      </c>
      <c r="S3416" s="21" t="s">
        <v>2272</v>
      </c>
      <c r="T3416" s="21" t="s">
        <v>2272</v>
      </c>
      <c r="U3416" s="21" t="s">
        <v>2272</v>
      </c>
      <c r="V3416" s="21" t="s">
        <v>2272</v>
      </c>
      <c r="W3416" s="21" t="s">
        <v>2272</v>
      </c>
      <c r="X3416" s="21" t="s">
        <v>2272</v>
      </c>
      <c r="Y3416" s="21" t="s">
        <v>2272</v>
      </c>
      <c r="Z3416" s="21" t="s">
        <v>2272</v>
      </c>
      <c r="AA3416" s="21" t="s">
        <v>2272</v>
      </c>
      <c r="AB3416" s="21" t="s">
        <v>2272</v>
      </c>
      <c r="AC3416" s="21" t="s">
        <v>2272</v>
      </c>
      <c r="AD3416" s="198"/>
      <c r="AE3416" s="198"/>
    </row>
    <row r="3417" spans="1:31" ht="39" customHeight="1">
      <c r="A3417" s="4" t="s">
        <v>8954</v>
      </c>
      <c r="B3417" s="4" t="s">
        <v>8960</v>
      </c>
      <c r="C3417" s="4" t="s">
        <v>23</v>
      </c>
      <c r="D3417" s="4" t="s">
        <v>24</v>
      </c>
      <c r="E3417" s="4" t="s">
        <v>44</v>
      </c>
      <c r="F3417" s="4" t="s">
        <v>28</v>
      </c>
      <c r="G3417" s="4" t="s">
        <v>2272</v>
      </c>
      <c r="H3417" s="4" t="s">
        <v>521</v>
      </c>
      <c r="I3417" s="198"/>
      <c r="J3417" s="21" t="s">
        <v>2272</v>
      </c>
      <c r="K3417" s="21" t="s">
        <v>2272</v>
      </c>
      <c r="L3417" s="21" t="s">
        <v>2272</v>
      </c>
      <c r="M3417" s="21" t="s">
        <v>2272</v>
      </c>
      <c r="N3417" s="21" t="s">
        <v>2272</v>
      </c>
      <c r="O3417" s="21" t="s">
        <v>2272</v>
      </c>
      <c r="P3417" s="21" t="s">
        <v>2272</v>
      </c>
      <c r="Q3417" s="21" t="s">
        <v>2272</v>
      </c>
      <c r="R3417" s="21" t="s">
        <v>2272</v>
      </c>
      <c r="S3417" s="21" t="s">
        <v>2272</v>
      </c>
      <c r="T3417" s="21" t="s">
        <v>2272</v>
      </c>
      <c r="U3417" s="21" t="s">
        <v>2272</v>
      </c>
      <c r="V3417" s="21" t="s">
        <v>2272</v>
      </c>
      <c r="W3417" s="21" t="s">
        <v>2272</v>
      </c>
      <c r="X3417" s="21" t="s">
        <v>2272</v>
      </c>
      <c r="Y3417" s="21" t="s">
        <v>2272</v>
      </c>
      <c r="Z3417" s="21" t="s">
        <v>2272</v>
      </c>
      <c r="AA3417" s="21" t="s">
        <v>2272</v>
      </c>
      <c r="AB3417" s="21" t="s">
        <v>2272</v>
      </c>
      <c r="AC3417" s="21" t="s">
        <v>2272</v>
      </c>
      <c r="AD3417" s="198"/>
      <c r="AE3417" s="198"/>
    </row>
    <row r="3418" spans="1:31" ht="35.5" customHeight="1">
      <c r="A3418" s="4" t="s">
        <v>8961</v>
      </c>
      <c r="B3418" s="4" t="s">
        <v>8964</v>
      </c>
      <c r="C3418" s="4" t="s">
        <v>23</v>
      </c>
      <c r="D3418" s="4" t="s">
        <v>2272</v>
      </c>
      <c r="E3418" s="4" t="s">
        <v>44</v>
      </c>
      <c r="F3418" s="4" t="s">
        <v>54</v>
      </c>
      <c r="G3418" s="4" t="s">
        <v>2272</v>
      </c>
      <c r="H3418" s="4" t="s">
        <v>521</v>
      </c>
      <c r="I3418" s="198"/>
      <c r="J3418" s="21" t="s">
        <v>2272</v>
      </c>
      <c r="K3418" s="21" t="s">
        <v>2272</v>
      </c>
      <c r="L3418" s="21" t="s">
        <v>2272</v>
      </c>
      <c r="M3418" s="21" t="s">
        <v>2272</v>
      </c>
      <c r="N3418" s="21" t="s">
        <v>2272</v>
      </c>
      <c r="O3418" s="21" t="s">
        <v>2272</v>
      </c>
      <c r="P3418" s="21" t="s">
        <v>2272</v>
      </c>
      <c r="Q3418" s="21" t="s">
        <v>2272</v>
      </c>
      <c r="R3418" s="21" t="s">
        <v>2272</v>
      </c>
      <c r="S3418" s="21" t="s">
        <v>2272</v>
      </c>
      <c r="T3418" s="21" t="s">
        <v>2272</v>
      </c>
      <c r="U3418" s="21" t="s">
        <v>2272</v>
      </c>
      <c r="V3418" s="21" t="s">
        <v>2272</v>
      </c>
      <c r="W3418" s="21" t="s">
        <v>2272</v>
      </c>
      <c r="X3418" s="21" t="s">
        <v>2272</v>
      </c>
      <c r="Y3418" s="21" t="s">
        <v>2272</v>
      </c>
      <c r="Z3418" s="21" t="s">
        <v>2272</v>
      </c>
      <c r="AA3418" s="21" t="s">
        <v>2272</v>
      </c>
      <c r="AB3418" s="21" t="s">
        <v>2272</v>
      </c>
      <c r="AC3418" s="21" t="s">
        <v>2272</v>
      </c>
      <c r="AD3418" s="198"/>
      <c r="AE3418" s="198"/>
    </row>
    <row r="3419" spans="1:31" ht="35.5" customHeight="1">
      <c r="A3419" s="4" t="s">
        <v>8961</v>
      </c>
      <c r="B3419" s="4" t="s">
        <v>8965</v>
      </c>
      <c r="C3419" s="198" t="s">
        <v>2453</v>
      </c>
      <c r="D3419" s="4" t="s">
        <v>2272</v>
      </c>
      <c r="E3419" s="4" t="s">
        <v>44</v>
      </c>
      <c r="F3419" s="4" t="s">
        <v>54</v>
      </c>
      <c r="G3419" s="4" t="s">
        <v>158</v>
      </c>
      <c r="H3419" s="4" t="s">
        <v>521</v>
      </c>
      <c r="I3419" s="198"/>
      <c r="J3419" s="21" t="s">
        <v>2272</v>
      </c>
      <c r="K3419" s="21" t="s">
        <v>2272</v>
      </c>
      <c r="L3419" s="21" t="s">
        <v>2272</v>
      </c>
      <c r="M3419" s="21" t="s">
        <v>2272</v>
      </c>
      <c r="N3419" s="21" t="s">
        <v>2272</v>
      </c>
      <c r="O3419" s="21" t="s">
        <v>2272</v>
      </c>
      <c r="P3419" s="21" t="s">
        <v>2272</v>
      </c>
      <c r="Q3419" s="21" t="s">
        <v>2272</v>
      </c>
      <c r="R3419" s="21" t="s">
        <v>2272</v>
      </c>
      <c r="S3419" s="21" t="s">
        <v>2272</v>
      </c>
      <c r="T3419" s="21" t="s">
        <v>2272</v>
      </c>
      <c r="U3419" s="21" t="s">
        <v>2272</v>
      </c>
      <c r="V3419" s="21" t="s">
        <v>2272</v>
      </c>
      <c r="W3419" s="21" t="s">
        <v>2272</v>
      </c>
      <c r="X3419" s="21" t="s">
        <v>2272</v>
      </c>
      <c r="Y3419" s="21" t="s">
        <v>2272</v>
      </c>
      <c r="Z3419" s="21" t="s">
        <v>2272</v>
      </c>
      <c r="AA3419" s="21" t="s">
        <v>2272</v>
      </c>
      <c r="AB3419" s="21" t="s">
        <v>2272</v>
      </c>
      <c r="AC3419" s="21" t="s">
        <v>2272</v>
      </c>
      <c r="AD3419" s="198"/>
      <c r="AE3419" s="198"/>
    </row>
    <row r="3420" spans="1:31" ht="42" customHeight="1">
      <c r="A3420" s="4" t="s">
        <v>8969</v>
      </c>
      <c r="B3420" s="4" t="s">
        <v>8974</v>
      </c>
      <c r="C3420" s="4" t="s">
        <v>23</v>
      </c>
      <c r="D3420" s="198" t="s">
        <v>1241</v>
      </c>
      <c r="E3420" s="198" t="s">
        <v>114</v>
      </c>
      <c r="F3420" s="4" t="s">
        <v>2657</v>
      </c>
      <c r="G3420" s="4" t="s">
        <v>2657</v>
      </c>
      <c r="H3420" s="4" t="s">
        <v>521</v>
      </c>
      <c r="I3420" s="198">
        <v>2007</v>
      </c>
      <c r="J3420" s="21" t="s">
        <v>2272</v>
      </c>
      <c r="K3420" s="21" t="s">
        <v>2272</v>
      </c>
      <c r="L3420" s="21" t="s">
        <v>2272</v>
      </c>
      <c r="M3420" s="21" t="s">
        <v>2272</v>
      </c>
      <c r="N3420" s="21" t="s">
        <v>2272</v>
      </c>
      <c r="O3420" s="21" t="s">
        <v>2272</v>
      </c>
      <c r="P3420" s="21" t="s">
        <v>2272</v>
      </c>
      <c r="Q3420" s="21" t="s">
        <v>2272</v>
      </c>
      <c r="R3420" s="21" t="s">
        <v>2272</v>
      </c>
      <c r="S3420" s="21" t="s">
        <v>2272</v>
      </c>
      <c r="T3420" s="21" t="s">
        <v>2272</v>
      </c>
      <c r="U3420" s="21">
        <f>'Record info'!K1409*'Reported burning'!Y3420</f>
        <v>110450.3345</v>
      </c>
      <c r="V3420" s="21" t="s">
        <v>2272</v>
      </c>
      <c r="W3420" s="21">
        <f>(42.5+35.2*2+0.6*3+4.9*4)/4</f>
        <v>33.575000000000003</v>
      </c>
      <c r="X3420" s="21" t="s">
        <v>2272</v>
      </c>
      <c r="Y3420" s="21">
        <f>(42.5+35.2*2+0.6*3+4.9*4)/4</f>
        <v>33.575000000000003</v>
      </c>
      <c r="Z3420" s="21" t="s">
        <v>2272</v>
      </c>
      <c r="AA3420" s="21" t="s">
        <v>2272</v>
      </c>
      <c r="AB3420" s="21" t="s">
        <v>2272</v>
      </c>
      <c r="AC3420" s="21" t="s">
        <v>2272</v>
      </c>
      <c r="AD3420" s="198"/>
      <c r="AE3420" s="198"/>
    </row>
    <row r="3421" spans="1:31" ht="39" customHeight="1">
      <c r="A3421" s="198" t="s">
        <v>8978</v>
      </c>
      <c r="B3421" s="198" t="s">
        <v>8996</v>
      </c>
      <c r="C3421" s="4" t="s">
        <v>23</v>
      </c>
      <c r="D3421" s="198" t="s">
        <v>2654</v>
      </c>
      <c r="E3421" s="198" t="s">
        <v>1102</v>
      </c>
      <c r="F3421" s="4" t="s">
        <v>27</v>
      </c>
      <c r="G3421" s="198" t="s">
        <v>27</v>
      </c>
      <c r="H3421" s="4" t="s">
        <v>521</v>
      </c>
      <c r="I3421" s="198"/>
      <c r="J3421" s="21" t="s">
        <v>2272</v>
      </c>
      <c r="K3421" s="21" t="s">
        <v>2272</v>
      </c>
      <c r="L3421" s="21" t="s">
        <v>2272</v>
      </c>
      <c r="M3421" s="21" t="s">
        <v>2272</v>
      </c>
      <c r="N3421" s="21" t="s">
        <v>2272</v>
      </c>
      <c r="O3421" s="21" t="s">
        <v>2272</v>
      </c>
      <c r="P3421" s="21" t="s">
        <v>2272</v>
      </c>
      <c r="Q3421" s="21" t="s">
        <v>2272</v>
      </c>
      <c r="R3421" s="21" t="s">
        <v>2272</v>
      </c>
      <c r="S3421" s="21" t="s">
        <v>2272</v>
      </c>
      <c r="T3421" s="21" t="s">
        <v>2272</v>
      </c>
      <c r="U3421" s="21">
        <f>'Record info'!K$1411*Y3421</f>
        <v>132753.78</v>
      </c>
      <c r="V3421" s="21" t="s">
        <v>2272</v>
      </c>
      <c r="W3421" s="21">
        <f>62*0.111</f>
        <v>6.8819999999999997</v>
      </c>
      <c r="X3421" s="21" t="s">
        <v>2272</v>
      </c>
      <c r="Y3421" s="21">
        <f t="shared" ref="Y3421:Y3439" si="2">W3421</f>
        <v>6.8819999999999997</v>
      </c>
      <c r="Z3421" s="21" t="s">
        <v>2272</v>
      </c>
      <c r="AA3421" s="198" t="s">
        <v>84</v>
      </c>
      <c r="AB3421" s="198" t="s">
        <v>84</v>
      </c>
      <c r="AC3421" s="21" t="s">
        <v>2272</v>
      </c>
      <c r="AD3421" s="21"/>
      <c r="AE3421" s="21"/>
    </row>
    <row r="3422" spans="1:31" ht="39" customHeight="1">
      <c r="A3422" s="198" t="s">
        <v>8978</v>
      </c>
      <c r="B3422" s="198" t="s">
        <v>9005</v>
      </c>
      <c r="C3422" s="4" t="s">
        <v>23</v>
      </c>
      <c r="D3422" s="198" t="s">
        <v>2654</v>
      </c>
      <c r="E3422" s="198" t="s">
        <v>1102</v>
      </c>
      <c r="F3422" s="4" t="s">
        <v>27</v>
      </c>
      <c r="G3422" s="198" t="s">
        <v>27</v>
      </c>
      <c r="H3422" s="4" t="s">
        <v>521</v>
      </c>
      <c r="I3422" s="198"/>
      <c r="J3422" s="21" t="s">
        <v>2272</v>
      </c>
      <c r="K3422" s="21" t="s">
        <v>2272</v>
      </c>
      <c r="L3422" s="21" t="s">
        <v>2272</v>
      </c>
      <c r="M3422" s="21" t="s">
        <v>2272</v>
      </c>
      <c r="N3422" s="21" t="s">
        <v>2272</v>
      </c>
      <c r="O3422" s="21" t="s">
        <v>2272</v>
      </c>
      <c r="P3422" s="21" t="s">
        <v>2272</v>
      </c>
      <c r="Q3422" s="21" t="s">
        <v>2272</v>
      </c>
      <c r="R3422" s="21" t="s">
        <v>2272</v>
      </c>
      <c r="S3422" s="21" t="s">
        <v>2272</v>
      </c>
      <c r="T3422" s="21" t="s">
        <v>2272</v>
      </c>
      <c r="U3422" s="21">
        <f>'Record info'!K$1411*Y3422</f>
        <v>66974.880000000005</v>
      </c>
      <c r="V3422" s="21" t="s">
        <v>2272</v>
      </c>
      <c r="W3422" s="21">
        <f>62*0.056</f>
        <v>3.472</v>
      </c>
      <c r="X3422" s="21" t="s">
        <v>2272</v>
      </c>
      <c r="Y3422" s="21">
        <f t="shared" si="2"/>
        <v>3.472</v>
      </c>
      <c r="Z3422" s="21" t="s">
        <v>2272</v>
      </c>
      <c r="AA3422" s="198" t="s">
        <v>33</v>
      </c>
      <c r="AB3422" s="198" t="s">
        <v>33</v>
      </c>
      <c r="AC3422" s="21" t="s">
        <v>2272</v>
      </c>
      <c r="AD3422" s="21"/>
      <c r="AE3422" s="21"/>
    </row>
    <row r="3423" spans="1:31" ht="39" customHeight="1">
      <c r="A3423" s="198" t="s">
        <v>8978</v>
      </c>
      <c r="B3423" s="198" t="s">
        <v>9006</v>
      </c>
      <c r="C3423" s="4" t="s">
        <v>23</v>
      </c>
      <c r="D3423" s="198" t="s">
        <v>2654</v>
      </c>
      <c r="E3423" s="198" t="s">
        <v>1102</v>
      </c>
      <c r="F3423" s="4" t="s">
        <v>27</v>
      </c>
      <c r="G3423" s="198" t="s">
        <v>27</v>
      </c>
      <c r="H3423" s="4" t="s">
        <v>521</v>
      </c>
      <c r="I3423" s="198"/>
      <c r="J3423" s="21" t="s">
        <v>2272</v>
      </c>
      <c r="K3423" s="21" t="s">
        <v>2272</v>
      </c>
      <c r="L3423" s="21" t="s">
        <v>2272</v>
      </c>
      <c r="M3423" s="21" t="s">
        <v>2272</v>
      </c>
      <c r="N3423" s="21" t="s">
        <v>2272</v>
      </c>
      <c r="O3423" s="21" t="s">
        <v>2272</v>
      </c>
      <c r="P3423" s="21" t="s">
        <v>2272</v>
      </c>
      <c r="Q3423" s="21" t="s">
        <v>2272</v>
      </c>
      <c r="R3423" s="21" t="s">
        <v>2272</v>
      </c>
      <c r="S3423" s="21" t="s">
        <v>2272</v>
      </c>
      <c r="T3423" s="21" t="s">
        <v>2272</v>
      </c>
      <c r="U3423" s="21">
        <f>'Record info'!K$1411*Y3423</f>
        <v>106442.22</v>
      </c>
      <c r="V3423" s="21" t="s">
        <v>2272</v>
      </c>
      <c r="W3423" s="21">
        <f>62*0.089</f>
        <v>5.5179999999999998</v>
      </c>
      <c r="X3423" s="21" t="s">
        <v>2272</v>
      </c>
      <c r="Y3423" s="21">
        <f t="shared" si="2"/>
        <v>5.5179999999999998</v>
      </c>
      <c r="Z3423" s="21" t="s">
        <v>2272</v>
      </c>
      <c r="AA3423" s="198" t="s">
        <v>402</v>
      </c>
      <c r="AB3423" s="198" t="s">
        <v>402</v>
      </c>
      <c r="AC3423" s="21" t="s">
        <v>2272</v>
      </c>
      <c r="AD3423" s="21"/>
      <c r="AE3423" s="21"/>
    </row>
    <row r="3424" spans="1:31" ht="39" customHeight="1">
      <c r="A3424" s="198" t="s">
        <v>8978</v>
      </c>
      <c r="B3424" s="198" t="s">
        <v>9007</v>
      </c>
      <c r="C3424" s="4" t="s">
        <v>23</v>
      </c>
      <c r="D3424" s="198" t="s">
        <v>2654</v>
      </c>
      <c r="E3424" s="198" t="s">
        <v>1102</v>
      </c>
      <c r="F3424" s="4" t="s">
        <v>27</v>
      </c>
      <c r="G3424" s="198" t="s">
        <v>27</v>
      </c>
      <c r="H3424" s="4" t="s">
        <v>521</v>
      </c>
      <c r="I3424" s="198"/>
      <c r="J3424" s="21" t="s">
        <v>2272</v>
      </c>
      <c r="K3424" s="21" t="s">
        <v>2272</v>
      </c>
      <c r="L3424" s="21" t="s">
        <v>2272</v>
      </c>
      <c r="M3424" s="21" t="s">
        <v>2272</v>
      </c>
      <c r="N3424" s="21" t="s">
        <v>2272</v>
      </c>
      <c r="O3424" s="21" t="s">
        <v>2272</v>
      </c>
      <c r="P3424" s="21" t="s">
        <v>2272</v>
      </c>
      <c r="Q3424" s="21" t="s">
        <v>2272</v>
      </c>
      <c r="R3424" s="21" t="s">
        <v>2272</v>
      </c>
      <c r="S3424" s="21" t="s">
        <v>2272</v>
      </c>
      <c r="T3424" s="21" t="s">
        <v>2272</v>
      </c>
      <c r="U3424" s="21">
        <f>'Record info'!K$1411*Y3424</f>
        <v>34683.42</v>
      </c>
      <c r="V3424" s="21" t="s">
        <v>2272</v>
      </c>
      <c r="W3424" s="21">
        <f>62*0.029</f>
        <v>1.798</v>
      </c>
      <c r="X3424" s="21" t="s">
        <v>2272</v>
      </c>
      <c r="Y3424" s="21">
        <f t="shared" si="2"/>
        <v>1.798</v>
      </c>
      <c r="Z3424" s="21" t="s">
        <v>2272</v>
      </c>
      <c r="AA3424" s="198" t="s">
        <v>403</v>
      </c>
      <c r="AB3424" s="198" t="s">
        <v>403</v>
      </c>
      <c r="AC3424" s="21" t="s">
        <v>2272</v>
      </c>
      <c r="AD3424" s="21"/>
      <c r="AE3424" s="21"/>
    </row>
    <row r="3425" spans="1:31" ht="39" customHeight="1">
      <c r="A3425" s="198" t="s">
        <v>8978</v>
      </c>
      <c r="B3425" s="198" t="s">
        <v>9008</v>
      </c>
      <c r="C3425" s="4" t="s">
        <v>23</v>
      </c>
      <c r="D3425" s="198" t="s">
        <v>2654</v>
      </c>
      <c r="E3425" s="198" t="s">
        <v>1102</v>
      </c>
      <c r="F3425" s="4" t="s">
        <v>27</v>
      </c>
      <c r="G3425" s="198" t="s">
        <v>27</v>
      </c>
      <c r="H3425" s="4" t="s">
        <v>521</v>
      </c>
      <c r="I3425" s="198"/>
      <c r="J3425" s="21" t="s">
        <v>2272</v>
      </c>
      <c r="K3425" s="21" t="s">
        <v>2272</v>
      </c>
      <c r="L3425" s="21" t="s">
        <v>2272</v>
      </c>
      <c r="M3425" s="21" t="s">
        <v>2272</v>
      </c>
      <c r="N3425" s="21" t="s">
        <v>2272</v>
      </c>
      <c r="O3425" s="21" t="s">
        <v>2272</v>
      </c>
      <c r="P3425" s="21" t="s">
        <v>2272</v>
      </c>
      <c r="Q3425" s="21" t="s">
        <v>2272</v>
      </c>
      <c r="R3425" s="21" t="s">
        <v>2272</v>
      </c>
      <c r="S3425" s="21" t="s">
        <v>2272</v>
      </c>
      <c r="T3425" s="21" t="s">
        <v>2272</v>
      </c>
      <c r="U3425" s="21">
        <f>'Record info'!K$1411*Y3425</f>
        <v>15547.739999999998</v>
      </c>
      <c r="V3425" s="21" t="s">
        <v>2272</v>
      </c>
      <c r="W3425" s="21">
        <f>62*0.013</f>
        <v>0.80599999999999994</v>
      </c>
      <c r="X3425" s="21" t="s">
        <v>2272</v>
      </c>
      <c r="Y3425" s="21">
        <f t="shared" si="2"/>
        <v>0.80599999999999994</v>
      </c>
      <c r="Z3425" s="21" t="s">
        <v>2272</v>
      </c>
      <c r="AA3425" s="198" t="s">
        <v>423</v>
      </c>
      <c r="AB3425" s="198" t="s">
        <v>423</v>
      </c>
      <c r="AC3425" s="21" t="s">
        <v>2272</v>
      </c>
      <c r="AD3425" s="21"/>
      <c r="AE3425" s="21"/>
    </row>
    <row r="3426" spans="1:31" ht="39" customHeight="1">
      <c r="A3426" s="198" t="s">
        <v>8978</v>
      </c>
      <c r="B3426" s="198" t="s">
        <v>9009</v>
      </c>
      <c r="C3426" s="4" t="s">
        <v>23</v>
      </c>
      <c r="D3426" s="198" t="s">
        <v>2654</v>
      </c>
      <c r="E3426" s="198" t="s">
        <v>1102</v>
      </c>
      <c r="F3426" s="4" t="s">
        <v>27</v>
      </c>
      <c r="G3426" s="198" t="s">
        <v>27</v>
      </c>
      <c r="H3426" s="4" t="s">
        <v>521</v>
      </c>
      <c r="I3426" s="198"/>
      <c r="J3426" s="21" t="s">
        <v>2272</v>
      </c>
      <c r="K3426" s="21" t="s">
        <v>2272</v>
      </c>
      <c r="L3426" s="21" t="s">
        <v>2272</v>
      </c>
      <c r="M3426" s="21" t="s">
        <v>2272</v>
      </c>
      <c r="N3426" s="21" t="s">
        <v>2272</v>
      </c>
      <c r="O3426" s="21" t="s">
        <v>2272</v>
      </c>
      <c r="P3426" s="21" t="s">
        <v>2272</v>
      </c>
      <c r="Q3426" s="21" t="s">
        <v>2272</v>
      </c>
      <c r="R3426" s="21" t="s">
        <v>2272</v>
      </c>
      <c r="S3426" s="21" t="s">
        <v>2272</v>
      </c>
      <c r="T3426" s="21" t="s">
        <v>2272</v>
      </c>
      <c r="U3426" s="21">
        <f>'Record info'!K$1411*Y3426</f>
        <v>47839.199999999997</v>
      </c>
      <c r="V3426" s="21" t="s">
        <v>2272</v>
      </c>
      <c r="W3426" s="21">
        <f>62*0.04</f>
        <v>2.48</v>
      </c>
      <c r="X3426" s="21" t="s">
        <v>2272</v>
      </c>
      <c r="Y3426" s="21">
        <f t="shared" si="2"/>
        <v>2.48</v>
      </c>
      <c r="Z3426" s="21" t="s">
        <v>2272</v>
      </c>
      <c r="AA3426" s="198" t="s">
        <v>67</v>
      </c>
      <c r="AB3426" s="198" t="s">
        <v>67</v>
      </c>
      <c r="AC3426" s="21" t="s">
        <v>2272</v>
      </c>
      <c r="AD3426" s="21"/>
      <c r="AE3426" s="21"/>
    </row>
    <row r="3427" spans="1:31" ht="39" customHeight="1">
      <c r="A3427" s="198" t="s">
        <v>8978</v>
      </c>
      <c r="B3427" s="198" t="s">
        <v>9010</v>
      </c>
      <c r="C3427" s="4" t="s">
        <v>23</v>
      </c>
      <c r="D3427" s="198" t="s">
        <v>2654</v>
      </c>
      <c r="E3427" s="198" t="s">
        <v>1102</v>
      </c>
      <c r="F3427" s="4" t="s">
        <v>27</v>
      </c>
      <c r="G3427" s="198" t="s">
        <v>27</v>
      </c>
      <c r="H3427" s="4" t="s">
        <v>521</v>
      </c>
      <c r="I3427" s="198"/>
      <c r="J3427" s="21" t="s">
        <v>2272</v>
      </c>
      <c r="K3427" s="21" t="s">
        <v>2272</v>
      </c>
      <c r="L3427" s="21" t="s">
        <v>2272</v>
      </c>
      <c r="M3427" s="21" t="s">
        <v>2272</v>
      </c>
      <c r="N3427" s="21" t="s">
        <v>2272</v>
      </c>
      <c r="O3427" s="21" t="s">
        <v>2272</v>
      </c>
      <c r="P3427" s="21" t="s">
        <v>2272</v>
      </c>
      <c r="Q3427" s="21" t="s">
        <v>2272</v>
      </c>
      <c r="R3427" s="21" t="s">
        <v>2272</v>
      </c>
      <c r="S3427" s="21" t="s">
        <v>2272</v>
      </c>
      <c r="T3427" s="21" t="s">
        <v>2272</v>
      </c>
      <c r="U3427" s="21">
        <f>'Record info'!K$1411*Y3427</f>
        <v>93286.44</v>
      </c>
      <c r="V3427" s="21" t="s">
        <v>2272</v>
      </c>
      <c r="W3427" s="21">
        <f>62*0.078</f>
        <v>4.8360000000000003</v>
      </c>
      <c r="X3427" s="21" t="s">
        <v>2272</v>
      </c>
      <c r="Y3427" s="21">
        <f t="shared" si="2"/>
        <v>4.8360000000000003</v>
      </c>
      <c r="Z3427" s="21" t="s">
        <v>2272</v>
      </c>
      <c r="AA3427" s="198" t="s">
        <v>34</v>
      </c>
      <c r="AB3427" s="198" t="s">
        <v>34</v>
      </c>
      <c r="AC3427" s="21" t="s">
        <v>2272</v>
      </c>
      <c r="AD3427" s="21"/>
      <c r="AE3427" s="21"/>
    </row>
    <row r="3428" spans="1:31" ht="39" customHeight="1">
      <c r="A3428" s="198" t="s">
        <v>8978</v>
      </c>
      <c r="B3428" s="198" t="s">
        <v>9011</v>
      </c>
      <c r="C3428" s="4" t="s">
        <v>23</v>
      </c>
      <c r="D3428" s="198" t="s">
        <v>2654</v>
      </c>
      <c r="E3428" s="198" t="s">
        <v>1102</v>
      </c>
      <c r="F3428" s="4" t="s">
        <v>27</v>
      </c>
      <c r="G3428" s="198" t="s">
        <v>27</v>
      </c>
      <c r="H3428" s="4" t="s">
        <v>521</v>
      </c>
      <c r="I3428" s="198"/>
      <c r="J3428" s="21" t="s">
        <v>2272</v>
      </c>
      <c r="K3428" s="21" t="s">
        <v>2272</v>
      </c>
      <c r="L3428" s="21" t="s">
        <v>2272</v>
      </c>
      <c r="M3428" s="21" t="s">
        <v>2272</v>
      </c>
      <c r="N3428" s="21" t="s">
        <v>2272</v>
      </c>
      <c r="O3428" s="21" t="s">
        <v>2272</v>
      </c>
      <c r="P3428" s="21" t="s">
        <v>2272</v>
      </c>
      <c r="Q3428" s="21" t="s">
        <v>2272</v>
      </c>
      <c r="R3428" s="21" t="s">
        <v>2272</v>
      </c>
      <c r="S3428" s="21" t="s">
        <v>2272</v>
      </c>
      <c r="T3428" s="21" t="s">
        <v>2272</v>
      </c>
      <c r="U3428" s="21">
        <f>'Record info'!K$1411*Y3428</f>
        <v>223648.25999999998</v>
      </c>
      <c r="V3428" s="21" t="s">
        <v>2272</v>
      </c>
      <c r="W3428" s="21">
        <f>62*0.187</f>
        <v>11.593999999999999</v>
      </c>
      <c r="X3428" s="21" t="s">
        <v>2272</v>
      </c>
      <c r="Y3428" s="21">
        <f t="shared" si="2"/>
        <v>11.593999999999999</v>
      </c>
      <c r="Z3428" s="21" t="s">
        <v>2272</v>
      </c>
      <c r="AA3428" s="198" t="s">
        <v>125</v>
      </c>
      <c r="AB3428" s="198" t="s">
        <v>125</v>
      </c>
      <c r="AC3428" s="21" t="s">
        <v>2272</v>
      </c>
      <c r="AD3428" s="21"/>
      <c r="AE3428" s="21"/>
    </row>
    <row r="3429" spans="1:31" ht="39" customHeight="1">
      <c r="A3429" s="198" t="s">
        <v>8978</v>
      </c>
      <c r="B3429" s="198" t="s">
        <v>9012</v>
      </c>
      <c r="C3429" s="163" t="s">
        <v>23</v>
      </c>
      <c r="D3429" s="35" t="s">
        <v>2654</v>
      </c>
      <c r="E3429" s="35" t="s">
        <v>1102</v>
      </c>
      <c r="F3429" s="163" t="s">
        <v>27</v>
      </c>
      <c r="G3429" s="35" t="s">
        <v>27</v>
      </c>
      <c r="H3429" s="163" t="s">
        <v>521</v>
      </c>
      <c r="I3429" s="198"/>
      <c r="J3429" s="21" t="s">
        <v>2272</v>
      </c>
      <c r="K3429" s="21" t="s">
        <v>2272</v>
      </c>
      <c r="L3429" s="21" t="s">
        <v>2272</v>
      </c>
      <c r="M3429" s="21" t="s">
        <v>2272</v>
      </c>
      <c r="N3429" s="21" t="s">
        <v>2272</v>
      </c>
      <c r="O3429" s="21" t="s">
        <v>2272</v>
      </c>
      <c r="P3429" s="21" t="s">
        <v>2272</v>
      </c>
      <c r="Q3429" s="21" t="s">
        <v>2272</v>
      </c>
      <c r="R3429" s="21" t="s">
        <v>2272</v>
      </c>
      <c r="S3429" s="21" t="s">
        <v>2272</v>
      </c>
      <c r="T3429" s="21" t="s">
        <v>2272</v>
      </c>
      <c r="U3429" s="21">
        <f>'Record info'!K$1411*Y3429</f>
        <v>180592.98</v>
      </c>
      <c r="V3429" s="21" t="s">
        <v>2272</v>
      </c>
      <c r="W3429" s="21">
        <f>62*0.151</f>
        <v>9.3620000000000001</v>
      </c>
      <c r="X3429" s="21" t="s">
        <v>2272</v>
      </c>
      <c r="Y3429" s="21">
        <f t="shared" si="2"/>
        <v>9.3620000000000001</v>
      </c>
      <c r="Z3429" s="21" t="s">
        <v>2272</v>
      </c>
      <c r="AA3429" s="198" t="s">
        <v>397</v>
      </c>
      <c r="AB3429" s="198" t="s">
        <v>397</v>
      </c>
      <c r="AC3429" s="21" t="s">
        <v>2272</v>
      </c>
      <c r="AD3429" s="21"/>
      <c r="AE3429" s="21"/>
    </row>
    <row r="3430" spans="1:31" ht="38" customHeight="1">
      <c r="A3430" s="198" t="s">
        <v>8978</v>
      </c>
      <c r="B3430" s="198" t="s">
        <v>9013</v>
      </c>
      <c r="C3430" s="163" t="s">
        <v>23</v>
      </c>
      <c r="D3430" s="35" t="s">
        <v>2654</v>
      </c>
      <c r="E3430" s="35" t="s">
        <v>1102</v>
      </c>
      <c r="F3430" s="163" t="s">
        <v>27</v>
      </c>
      <c r="G3430" s="35" t="s">
        <v>27</v>
      </c>
      <c r="H3430" s="163" t="s">
        <v>521</v>
      </c>
      <c r="I3430" s="198"/>
      <c r="J3430" s="21" t="s">
        <v>2272</v>
      </c>
      <c r="K3430" s="21" t="s">
        <v>2272</v>
      </c>
      <c r="L3430" s="21" t="s">
        <v>2272</v>
      </c>
      <c r="M3430" s="21" t="s">
        <v>2272</v>
      </c>
      <c r="N3430" s="21" t="s">
        <v>2272</v>
      </c>
      <c r="O3430" s="21" t="s">
        <v>2272</v>
      </c>
      <c r="P3430" s="21" t="s">
        <v>2272</v>
      </c>
      <c r="Q3430" s="21" t="s">
        <v>2272</v>
      </c>
      <c r="R3430" s="21" t="s">
        <v>2272</v>
      </c>
      <c r="S3430" s="21" t="s">
        <v>2272</v>
      </c>
      <c r="T3430" s="21" t="s">
        <v>2272</v>
      </c>
      <c r="U3430" s="21">
        <f>'Record info'!K$1411*Y3430</f>
        <v>52623.119999999995</v>
      </c>
      <c r="V3430" s="21" t="s">
        <v>2272</v>
      </c>
      <c r="W3430" s="21">
        <f>62*0.044</f>
        <v>2.7279999999999998</v>
      </c>
      <c r="X3430" s="21" t="s">
        <v>2272</v>
      </c>
      <c r="Y3430" s="21">
        <f t="shared" si="2"/>
        <v>2.7279999999999998</v>
      </c>
      <c r="Z3430" s="21" t="s">
        <v>2272</v>
      </c>
      <c r="AA3430" s="198" t="s">
        <v>186</v>
      </c>
      <c r="AB3430" s="198" t="s">
        <v>186</v>
      </c>
      <c r="AC3430" s="21" t="s">
        <v>2272</v>
      </c>
      <c r="AD3430" s="198"/>
      <c r="AE3430" s="198"/>
    </row>
    <row r="3431" spans="1:31" ht="42.5" customHeight="1">
      <c r="A3431" s="198" t="s">
        <v>8978</v>
      </c>
      <c r="B3431" s="198" t="s">
        <v>9014</v>
      </c>
      <c r="C3431" s="163" t="s">
        <v>23</v>
      </c>
      <c r="D3431" s="35" t="s">
        <v>2654</v>
      </c>
      <c r="E3431" s="35" t="s">
        <v>1102</v>
      </c>
      <c r="F3431" s="163" t="s">
        <v>27</v>
      </c>
      <c r="G3431" s="35" t="s">
        <v>27</v>
      </c>
      <c r="H3431" s="163" t="s">
        <v>521</v>
      </c>
      <c r="I3431" s="198"/>
      <c r="J3431" s="21" t="s">
        <v>2272</v>
      </c>
      <c r="K3431" s="21" t="s">
        <v>2272</v>
      </c>
      <c r="L3431" s="21" t="s">
        <v>2272</v>
      </c>
      <c r="M3431" s="21" t="s">
        <v>2272</v>
      </c>
      <c r="N3431" s="21" t="s">
        <v>2272</v>
      </c>
      <c r="O3431" s="21" t="s">
        <v>2272</v>
      </c>
      <c r="P3431" s="21" t="s">
        <v>2272</v>
      </c>
      <c r="Q3431" s="21" t="s">
        <v>2272</v>
      </c>
      <c r="R3431" s="21" t="s">
        <v>2272</v>
      </c>
      <c r="S3431" s="21" t="s">
        <v>2272</v>
      </c>
      <c r="T3431" s="21" t="s">
        <v>2272</v>
      </c>
      <c r="U3431" s="21">
        <f>'Record info'!K$1411*Y3431</f>
        <v>56211.060000000005</v>
      </c>
      <c r="V3431" s="21" t="s">
        <v>2272</v>
      </c>
      <c r="W3431" s="21">
        <f>62*0.047</f>
        <v>2.9140000000000001</v>
      </c>
      <c r="X3431" s="21" t="s">
        <v>2272</v>
      </c>
      <c r="Y3431" s="21">
        <f t="shared" si="2"/>
        <v>2.9140000000000001</v>
      </c>
      <c r="Z3431" s="21" t="s">
        <v>2272</v>
      </c>
      <c r="AA3431" s="198" t="s">
        <v>187</v>
      </c>
      <c r="AB3431" s="198" t="s">
        <v>187</v>
      </c>
      <c r="AC3431" s="21" t="s">
        <v>2272</v>
      </c>
      <c r="AD3431" s="198"/>
      <c r="AE3431" s="198"/>
    </row>
    <row r="3432" spans="1:31" ht="46" customHeight="1">
      <c r="A3432" s="198" t="s">
        <v>8978</v>
      </c>
      <c r="B3432" s="198" t="s">
        <v>9015</v>
      </c>
      <c r="C3432" s="163" t="s">
        <v>23</v>
      </c>
      <c r="D3432" s="35" t="s">
        <v>2654</v>
      </c>
      <c r="E3432" s="35" t="s">
        <v>1102</v>
      </c>
      <c r="F3432" s="163" t="s">
        <v>27</v>
      </c>
      <c r="G3432" s="35" t="s">
        <v>27</v>
      </c>
      <c r="H3432" s="163" t="s">
        <v>521</v>
      </c>
      <c r="I3432" s="198"/>
      <c r="J3432" s="21" t="s">
        <v>2272</v>
      </c>
      <c r="K3432" s="21" t="s">
        <v>2272</v>
      </c>
      <c r="L3432" s="21" t="s">
        <v>2272</v>
      </c>
      <c r="M3432" s="21" t="s">
        <v>2272</v>
      </c>
      <c r="N3432" s="21" t="s">
        <v>2272</v>
      </c>
      <c r="O3432" s="21" t="s">
        <v>2272</v>
      </c>
      <c r="P3432" s="21" t="s">
        <v>2272</v>
      </c>
      <c r="Q3432" s="21" t="s">
        <v>2272</v>
      </c>
      <c r="R3432" s="21" t="s">
        <v>2272</v>
      </c>
      <c r="S3432" s="21" t="s">
        <v>2272</v>
      </c>
      <c r="T3432" s="21" t="s">
        <v>2272</v>
      </c>
      <c r="U3432" s="21">
        <f>'Record info'!K$1411*Y3432</f>
        <v>186572.88</v>
      </c>
      <c r="V3432" s="21" t="s">
        <v>2272</v>
      </c>
      <c r="W3432" s="21">
        <f>62*0.156</f>
        <v>9.6720000000000006</v>
      </c>
      <c r="X3432" s="21" t="s">
        <v>2272</v>
      </c>
      <c r="Y3432" s="21">
        <f t="shared" si="2"/>
        <v>9.6720000000000006</v>
      </c>
      <c r="Z3432" s="21" t="s">
        <v>2272</v>
      </c>
      <c r="AA3432" s="198" t="s">
        <v>37</v>
      </c>
      <c r="AB3432" s="198" t="s">
        <v>37</v>
      </c>
      <c r="AC3432" s="21" t="s">
        <v>2272</v>
      </c>
      <c r="AD3432" s="198"/>
      <c r="AE3432" s="198"/>
    </row>
    <row r="3433" spans="1:31" ht="46" customHeight="1">
      <c r="A3433" s="198" t="s">
        <v>8987</v>
      </c>
      <c r="B3433" s="198" t="s">
        <v>8997</v>
      </c>
      <c r="C3433" s="4" t="s">
        <v>23</v>
      </c>
      <c r="D3433" s="198" t="s">
        <v>2654</v>
      </c>
      <c r="E3433" s="198" t="s">
        <v>1102</v>
      </c>
      <c r="F3433" s="4" t="s">
        <v>27</v>
      </c>
      <c r="G3433" s="198" t="s">
        <v>27</v>
      </c>
      <c r="H3433" s="4" t="s">
        <v>521</v>
      </c>
      <c r="I3433" s="198"/>
      <c r="J3433" s="21" t="s">
        <v>2272</v>
      </c>
      <c r="K3433" s="21" t="s">
        <v>2272</v>
      </c>
      <c r="L3433" s="21" t="s">
        <v>2272</v>
      </c>
      <c r="M3433" s="21" t="s">
        <v>2272</v>
      </c>
      <c r="N3433" s="21" t="s">
        <v>2272</v>
      </c>
      <c r="O3433" s="21" t="s">
        <v>2272</v>
      </c>
      <c r="P3433" s="21" t="s">
        <v>2272</v>
      </c>
      <c r="Q3433" s="21" t="s">
        <v>2272</v>
      </c>
      <c r="R3433" s="21" t="s">
        <v>2272</v>
      </c>
      <c r="S3433" s="21" t="s">
        <v>2272</v>
      </c>
      <c r="T3433" s="21" t="s">
        <v>2272</v>
      </c>
      <c r="U3433" s="21">
        <f>'Record info'!K$1411*Y3433</f>
        <v>97009.41</v>
      </c>
      <c r="V3433" s="21" t="s">
        <v>2272</v>
      </c>
      <c r="W3433" s="21">
        <f>47*0.107</f>
        <v>5.0289999999999999</v>
      </c>
      <c r="X3433" s="21" t="s">
        <v>2272</v>
      </c>
      <c r="Y3433" s="21">
        <f t="shared" si="2"/>
        <v>5.0289999999999999</v>
      </c>
      <c r="Z3433" s="21" t="s">
        <v>2272</v>
      </c>
      <c r="AA3433" s="198" t="s">
        <v>84</v>
      </c>
      <c r="AB3433" s="198" t="s">
        <v>84</v>
      </c>
      <c r="AC3433" s="21" t="s">
        <v>2272</v>
      </c>
      <c r="AD3433" s="21"/>
      <c r="AE3433" s="21"/>
    </row>
    <row r="3434" spans="1:31" ht="46" customHeight="1">
      <c r="A3434" s="198" t="s">
        <v>8987</v>
      </c>
      <c r="B3434" s="198" t="s">
        <v>9016</v>
      </c>
      <c r="C3434" s="4" t="s">
        <v>23</v>
      </c>
      <c r="D3434" s="198" t="s">
        <v>2654</v>
      </c>
      <c r="E3434" s="198" t="s">
        <v>1102</v>
      </c>
      <c r="F3434" s="4" t="s">
        <v>27</v>
      </c>
      <c r="G3434" s="198" t="s">
        <v>27</v>
      </c>
      <c r="H3434" s="4" t="s">
        <v>521</v>
      </c>
      <c r="I3434" s="198"/>
      <c r="J3434" s="21" t="s">
        <v>2272</v>
      </c>
      <c r="K3434" s="21" t="s">
        <v>2272</v>
      </c>
      <c r="L3434" s="21" t="s">
        <v>2272</v>
      </c>
      <c r="M3434" s="21" t="s">
        <v>2272</v>
      </c>
      <c r="N3434" s="21" t="s">
        <v>2272</v>
      </c>
      <c r="O3434" s="21" t="s">
        <v>2272</v>
      </c>
      <c r="P3434" s="21" t="s">
        <v>2272</v>
      </c>
      <c r="Q3434" s="21" t="s">
        <v>2272</v>
      </c>
      <c r="R3434" s="21" t="s">
        <v>2272</v>
      </c>
      <c r="S3434" s="21" t="s">
        <v>2272</v>
      </c>
      <c r="T3434" s="21" t="s">
        <v>2272</v>
      </c>
      <c r="U3434" s="21">
        <f>'Record info'!K$1411*Y3434</f>
        <v>74343.66</v>
      </c>
      <c r="V3434" s="21" t="s">
        <v>2272</v>
      </c>
      <c r="W3434" s="21">
        <f>47*0.082</f>
        <v>3.8540000000000001</v>
      </c>
      <c r="X3434" s="21" t="s">
        <v>2272</v>
      </c>
      <c r="Y3434" s="21">
        <f t="shared" si="2"/>
        <v>3.8540000000000001</v>
      </c>
      <c r="Z3434" s="21" t="s">
        <v>2272</v>
      </c>
      <c r="AA3434" s="198" t="s">
        <v>33</v>
      </c>
      <c r="AB3434" s="198" t="s">
        <v>33</v>
      </c>
      <c r="AC3434" s="21" t="s">
        <v>2272</v>
      </c>
      <c r="AD3434" s="21"/>
      <c r="AE3434" s="21"/>
    </row>
    <row r="3435" spans="1:31" ht="46" customHeight="1">
      <c r="A3435" s="198" t="s">
        <v>8987</v>
      </c>
      <c r="B3435" s="198" t="s">
        <v>9017</v>
      </c>
      <c r="C3435" s="4" t="s">
        <v>23</v>
      </c>
      <c r="D3435" s="198" t="s">
        <v>2654</v>
      </c>
      <c r="E3435" s="198" t="s">
        <v>1102</v>
      </c>
      <c r="F3435" s="4" t="s">
        <v>27</v>
      </c>
      <c r="G3435" s="198" t="s">
        <v>27</v>
      </c>
      <c r="H3435" s="4" t="s">
        <v>521</v>
      </c>
      <c r="I3435" s="198"/>
      <c r="J3435" s="21" t="s">
        <v>2272</v>
      </c>
      <c r="K3435" s="21" t="s">
        <v>2272</v>
      </c>
      <c r="L3435" s="21" t="s">
        <v>2272</v>
      </c>
      <c r="M3435" s="21" t="s">
        <v>2272</v>
      </c>
      <c r="N3435" s="21" t="s">
        <v>2272</v>
      </c>
      <c r="O3435" s="21" t="s">
        <v>2272</v>
      </c>
      <c r="P3435" s="21" t="s">
        <v>2272</v>
      </c>
      <c r="Q3435" s="21" t="s">
        <v>2272</v>
      </c>
      <c r="R3435" s="21" t="s">
        <v>2272</v>
      </c>
      <c r="S3435" s="21" t="s">
        <v>2272</v>
      </c>
      <c r="T3435" s="21" t="s">
        <v>2272</v>
      </c>
      <c r="U3435" s="21">
        <f>'Record info'!K$1411*Y3435</f>
        <v>16319.34</v>
      </c>
      <c r="V3435" s="21" t="s">
        <v>2272</v>
      </c>
      <c r="W3435" s="21">
        <f>47*0.018</f>
        <v>0.84599999999999997</v>
      </c>
      <c r="X3435" s="21" t="s">
        <v>2272</v>
      </c>
      <c r="Y3435" s="21">
        <f t="shared" si="2"/>
        <v>0.84599999999999997</v>
      </c>
      <c r="Z3435" s="21" t="s">
        <v>2272</v>
      </c>
      <c r="AA3435" s="198" t="s">
        <v>402</v>
      </c>
      <c r="AB3435" s="198" t="s">
        <v>402</v>
      </c>
      <c r="AC3435" s="21" t="s">
        <v>2272</v>
      </c>
      <c r="AD3435" s="21"/>
      <c r="AE3435" s="21"/>
    </row>
    <row r="3436" spans="1:31" ht="46" customHeight="1">
      <c r="A3436" s="198" t="s">
        <v>8987</v>
      </c>
      <c r="B3436" s="198" t="s">
        <v>9018</v>
      </c>
      <c r="C3436" s="4" t="s">
        <v>23</v>
      </c>
      <c r="D3436" s="198" t="s">
        <v>2654</v>
      </c>
      <c r="E3436" s="198" t="s">
        <v>1102</v>
      </c>
      <c r="F3436" s="4" t="s">
        <v>27</v>
      </c>
      <c r="G3436" s="198" t="s">
        <v>27</v>
      </c>
      <c r="H3436" s="4" t="s">
        <v>522</v>
      </c>
      <c r="I3436" s="198"/>
      <c r="J3436" s="21">
        <v>0</v>
      </c>
      <c r="K3436" s="21">
        <v>0</v>
      </c>
      <c r="L3436" s="21">
        <v>0</v>
      </c>
      <c r="M3436" s="21">
        <v>0</v>
      </c>
      <c r="N3436" s="21">
        <v>0</v>
      </c>
      <c r="O3436" s="21">
        <v>0</v>
      </c>
      <c r="P3436" s="21">
        <v>0</v>
      </c>
      <c r="Q3436" s="21">
        <v>0</v>
      </c>
      <c r="R3436" s="21">
        <v>0</v>
      </c>
      <c r="S3436" s="21">
        <v>0</v>
      </c>
      <c r="T3436" s="21">
        <v>0</v>
      </c>
      <c r="U3436" s="21">
        <v>0</v>
      </c>
      <c r="V3436" s="21">
        <v>0</v>
      </c>
      <c r="W3436" s="21">
        <v>0</v>
      </c>
      <c r="X3436" s="21">
        <v>0</v>
      </c>
      <c r="Y3436" s="21">
        <f t="shared" si="2"/>
        <v>0</v>
      </c>
      <c r="Z3436" s="21" t="s">
        <v>2272</v>
      </c>
      <c r="AA3436" s="198" t="s">
        <v>403</v>
      </c>
      <c r="AB3436" s="198" t="s">
        <v>403</v>
      </c>
      <c r="AC3436" s="21" t="s">
        <v>2272</v>
      </c>
      <c r="AD3436" s="21"/>
      <c r="AE3436" s="21"/>
    </row>
    <row r="3437" spans="1:31" ht="46" customHeight="1">
      <c r="A3437" s="198" t="s">
        <v>8987</v>
      </c>
      <c r="B3437" s="198" t="s">
        <v>9019</v>
      </c>
      <c r="C3437" s="4" t="s">
        <v>23</v>
      </c>
      <c r="D3437" s="198" t="s">
        <v>2654</v>
      </c>
      <c r="E3437" s="198" t="s">
        <v>1102</v>
      </c>
      <c r="F3437" s="4" t="s">
        <v>27</v>
      </c>
      <c r="G3437" s="198" t="s">
        <v>27</v>
      </c>
      <c r="H3437" s="4" t="s">
        <v>522</v>
      </c>
      <c r="I3437" s="198"/>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v>0</v>
      </c>
      <c r="Y3437" s="21">
        <f t="shared" si="2"/>
        <v>0</v>
      </c>
      <c r="Z3437" s="21" t="s">
        <v>2272</v>
      </c>
      <c r="AA3437" s="198" t="s">
        <v>423</v>
      </c>
      <c r="AB3437" s="198" t="s">
        <v>423</v>
      </c>
      <c r="AC3437" s="21" t="s">
        <v>2272</v>
      </c>
      <c r="AD3437" s="21"/>
      <c r="AE3437" s="21"/>
    </row>
    <row r="3438" spans="1:31" ht="46" customHeight="1">
      <c r="A3438" s="198" t="s">
        <v>8987</v>
      </c>
      <c r="B3438" s="198" t="s">
        <v>9020</v>
      </c>
      <c r="C3438" s="4" t="s">
        <v>23</v>
      </c>
      <c r="D3438" s="198" t="s">
        <v>2654</v>
      </c>
      <c r="E3438" s="198" t="s">
        <v>1102</v>
      </c>
      <c r="F3438" s="4" t="s">
        <v>27</v>
      </c>
      <c r="G3438" s="198" t="s">
        <v>27</v>
      </c>
      <c r="H3438" s="4" t="s">
        <v>521</v>
      </c>
      <c r="I3438" s="198"/>
      <c r="J3438" s="21" t="s">
        <v>2272</v>
      </c>
      <c r="K3438" s="21" t="s">
        <v>2272</v>
      </c>
      <c r="L3438" s="21" t="s">
        <v>2272</v>
      </c>
      <c r="M3438" s="21" t="s">
        <v>2272</v>
      </c>
      <c r="N3438" s="21" t="s">
        <v>2272</v>
      </c>
      <c r="O3438" s="21" t="s">
        <v>2272</v>
      </c>
      <c r="P3438" s="21" t="s">
        <v>2272</v>
      </c>
      <c r="Q3438" s="21" t="s">
        <v>2272</v>
      </c>
      <c r="R3438" s="21" t="s">
        <v>2272</v>
      </c>
      <c r="S3438" s="21" t="s">
        <v>2272</v>
      </c>
      <c r="T3438" s="21" t="s">
        <v>2272</v>
      </c>
      <c r="U3438" s="21">
        <f>'Record info'!K$1411*Y3438</f>
        <v>906.63</v>
      </c>
      <c r="V3438" s="21" t="s">
        <v>2272</v>
      </c>
      <c r="W3438" s="21">
        <f>47*0.001</f>
        <v>4.7E-2</v>
      </c>
      <c r="X3438" s="21" t="s">
        <v>2272</v>
      </c>
      <c r="Y3438" s="21">
        <f t="shared" si="2"/>
        <v>4.7E-2</v>
      </c>
      <c r="Z3438" s="21" t="s">
        <v>2272</v>
      </c>
      <c r="AA3438" s="198" t="s">
        <v>67</v>
      </c>
      <c r="AB3438" s="198" t="s">
        <v>67</v>
      </c>
      <c r="AC3438" s="21" t="s">
        <v>2272</v>
      </c>
      <c r="AD3438" s="21"/>
      <c r="AE3438" s="21"/>
    </row>
    <row r="3439" spans="1:31" ht="46" customHeight="1">
      <c r="A3439" s="198" t="s">
        <v>8987</v>
      </c>
      <c r="B3439" s="198" t="s">
        <v>9021</v>
      </c>
      <c r="C3439" s="4" t="s">
        <v>23</v>
      </c>
      <c r="D3439" s="198" t="s">
        <v>2654</v>
      </c>
      <c r="E3439" s="198" t="s">
        <v>1102</v>
      </c>
      <c r="F3439" s="4" t="s">
        <v>27</v>
      </c>
      <c r="G3439" s="198" t="s">
        <v>27</v>
      </c>
      <c r="H3439" s="4" t="s">
        <v>521</v>
      </c>
      <c r="I3439" s="198"/>
      <c r="J3439" s="21" t="s">
        <v>2272</v>
      </c>
      <c r="K3439" s="21" t="s">
        <v>2272</v>
      </c>
      <c r="L3439" s="21" t="s">
        <v>2272</v>
      </c>
      <c r="M3439" s="21" t="s">
        <v>2272</v>
      </c>
      <c r="N3439" s="21" t="s">
        <v>2272</v>
      </c>
      <c r="O3439" s="21" t="s">
        <v>2272</v>
      </c>
      <c r="P3439" s="21" t="s">
        <v>2272</v>
      </c>
      <c r="Q3439" s="21" t="s">
        <v>2272</v>
      </c>
      <c r="R3439" s="21" t="s">
        <v>2272</v>
      </c>
      <c r="S3439" s="21" t="s">
        <v>2272</v>
      </c>
      <c r="T3439" s="21" t="s">
        <v>2272</v>
      </c>
      <c r="U3439" s="21">
        <f>'Record info'!K$1411*Y3439</f>
        <v>44424.869999999995</v>
      </c>
      <c r="V3439" s="21" t="s">
        <v>2272</v>
      </c>
      <c r="W3439" s="21">
        <f>47*0.049</f>
        <v>2.3029999999999999</v>
      </c>
      <c r="X3439" s="21" t="s">
        <v>2272</v>
      </c>
      <c r="Y3439" s="21">
        <f t="shared" si="2"/>
        <v>2.3029999999999999</v>
      </c>
      <c r="Z3439" s="21" t="s">
        <v>2272</v>
      </c>
      <c r="AA3439" s="198" t="s">
        <v>34</v>
      </c>
      <c r="AB3439" s="198" t="s">
        <v>34</v>
      </c>
      <c r="AC3439" s="21" t="s">
        <v>2272</v>
      </c>
      <c r="AD3439" s="21"/>
      <c r="AE3439" s="21"/>
    </row>
    <row r="3440" spans="1:31" ht="46" customHeight="1">
      <c r="A3440" s="198" t="s">
        <v>8987</v>
      </c>
      <c r="B3440" s="198" t="s">
        <v>9022</v>
      </c>
      <c r="C3440" s="4" t="s">
        <v>23</v>
      </c>
      <c r="D3440" s="198" t="s">
        <v>2654</v>
      </c>
      <c r="E3440" s="198" t="s">
        <v>1102</v>
      </c>
      <c r="F3440" s="4" t="s">
        <v>27</v>
      </c>
      <c r="G3440" s="198" t="s">
        <v>27</v>
      </c>
      <c r="H3440" s="4" t="s">
        <v>521</v>
      </c>
      <c r="I3440" s="198"/>
      <c r="J3440" s="21" t="s">
        <v>2272</v>
      </c>
      <c r="K3440" s="21" t="s">
        <v>2272</v>
      </c>
      <c r="L3440" s="21" t="s">
        <v>2272</v>
      </c>
      <c r="M3440" s="21" t="s">
        <v>2272</v>
      </c>
      <c r="N3440" s="21" t="s">
        <v>2272</v>
      </c>
      <c r="O3440" s="21" t="s">
        <v>2272</v>
      </c>
      <c r="P3440" s="21" t="s">
        <v>2272</v>
      </c>
      <c r="Q3440" s="21" t="s">
        <v>2272</v>
      </c>
      <c r="R3440" s="21" t="s">
        <v>2272</v>
      </c>
      <c r="S3440" s="21" t="s">
        <v>2272</v>
      </c>
      <c r="T3440" s="21" t="s">
        <v>2272</v>
      </c>
      <c r="U3440" s="21">
        <f>'Record info'!K$1411*Y3440</f>
        <v>44424.869999999995</v>
      </c>
      <c r="V3440" s="21" t="s">
        <v>2272</v>
      </c>
      <c r="W3440" s="21">
        <f>47*0.34</f>
        <v>15.98</v>
      </c>
      <c r="X3440" s="21" t="s">
        <v>2272</v>
      </c>
      <c r="Y3440" s="21">
        <f>W3439</f>
        <v>2.3029999999999999</v>
      </c>
      <c r="Z3440" s="21" t="s">
        <v>2272</v>
      </c>
      <c r="AA3440" s="198" t="s">
        <v>125</v>
      </c>
      <c r="AB3440" s="198" t="s">
        <v>125</v>
      </c>
      <c r="AC3440" s="21" t="s">
        <v>2272</v>
      </c>
      <c r="AD3440" s="21"/>
      <c r="AE3440" s="21"/>
    </row>
    <row r="3441" spans="1:31" ht="46" customHeight="1">
      <c r="A3441" s="198" t="s">
        <v>8987</v>
      </c>
      <c r="B3441" s="198" t="s">
        <v>9023</v>
      </c>
      <c r="C3441" s="4" t="s">
        <v>23</v>
      </c>
      <c r="D3441" s="198" t="s">
        <v>2654</v>
      </c>
      <c r="E3441" s="198" t="s">
        <v>1102</v>
      </c>
      <c r="F3441" s="4" t="s">
        <v>27</v>
      </c>
      <c r="G3441" s="198" t="s">
        <v>27</v>
      </c>
      <c r="H3441" s="4" t="s">
        <v>521</v>
      </c>
      <c r="I3441" s="198"/>
      <c r="J3441" s="21" t="s">
        <v>2272</v>
      </c>
      <c r="K3441" s="21" t="s">
        <v>2272</v>
      </c>
      <c r="L3441" s="21" t="s">
        <v>2272</v>
      </c>
      <c r="M3441" s="21" t="s">
        <v>2272</v>
      </c>
      <c r="N3441" s="21" t="s">
        <v>2272</v>
      </c>
      <c r="O3441" s="21" t="s">
        <v>2272</v>
      </c>
      <c r="P3441" s="21" t="s">
        <v>2272</v>
      </c>
      <c r="Q3441" s="21" t="s">
        <v>2272</v>
      </c>
      <c r="R3441" s="21" t="s">
        <v>2272</v>
      </c>
      <c r="S3441" s="21" t="s">
        <v>2272</v>
      </c>
      <c r="T3441" s="21" t="s">
        <v>2272</v>
      </c>
      <c r="U3441" s="21">
        <f>'Record info'!K$1411*Y3441</f>
        <v>308254.2</v>
      </c>
      <c r="V3441" s="21" t="s">
        <v>2272</v>
      </c>
      <c r="W3441" s="21">
        <f>47*0.261</f>
        <v>12.267000000000001</v>
      </c>
      <c r="X3441" s="21" t="s">
        <v>2272</v>
      </c>
      <c r="Y3441" s="21">
        <f>W3440</f>
        <v>15.98</v>
      </c>
      <c r="Z3441" s="21" t="s">
        <v>2272</v>
      </c>
      <c r="AA3441" s="198" t="s">
        <v>397</v>
      </c>
      <c r="AB3441" s="198" t="s">
        <v>397</v>
      </c>
      <c r="AC3441" s="21" t="s">
        <v>2272</v>
      </c>
      <c r="AD3441" s="21"/>
      <c r="AE3441" s="21"/>
    </row>
    <row r="3442" spans="1:31" ht="46" customHeight="1">
      <c r="A3442" s="198" t="s">
        <v>8987</v>
      </c>
      <c r="B3442" s="198" t="s">
        <v>9024</v>
      </c>
      <c r="C3442" s="4" t="s">
        <v>23</v>
      </c>
      <c r="D3442" s="198" t="s">
        <v>2654</v>
      </c>
      <c r="E3442" s="198" t="s">
        <v>1102</v>
      </c>
      <c r="F3442" s="4" t="s">
        <v>27</v>
      </c>
      <c r="G3442" s="198" t="s">
        <v>27</v>
      </c>
      <c r="H3442" s="4" t="s">
        <v>521</v>
      </c>
      <c r="I3442" s="198"/>
      <c r="J3442" s="21" t="s">
        <v>2272</v>
      </c>
      <c r="K3442" s="21" t="s">
        <v>2272</v>
      </c>
      <c r="L3442" s="21" t="s">
        <v>2272</v>
      </c>
      <c r="M3442" s="21" t="s">
        <v>2272</v>
      </c>
      <c r="N3442" s="21" t="s">
        <v>2272</v>
      </c>
      <c r="O3442" s="21" t="s">
        <v>2272</v>
      </c>
      <c r="P3442" s="21" t="s">
        <v>2272</v>
      </c>
      <c r="Q3442" s="21" t="s">
        <v>2272</v>
      </c>
      <c r="R3442" s="21" t="s">
        <v>2272</v>
      </c>
      <c r="S3442" s="21" t="s">
        <v>2272</v>
      </c>
      <c r="T3442" s="21" t="s">
        <v>2272</v>
      </c>
      <c r="U3442" s="21">
        <f>'Record info'!K$1411*Y3442</f>
        <v>236630.43000000002</v>
      </c>
      <c r="V3442" s="21" t="s">
        <v>2272</v>
      </c>
      <c r="W3442" s="21">
        <f>47*0.004</f>
        <v>0.188</v>
      </c>
      <c r="X3442" s="21" t="s">
        <v>2272</v>
      </c>
      <c r="Y3442" s="21">
        <f>W3441</f>
        <v>12.267000000000001</v>
      </c>
      <c r="Z3442" s="21" t="s">
        <v>2272</v>
      </c>
      <c r="AA3442" s="198" t="s">
        <v>186</v>
      </c>
      <c r="AB3442" s="198" t="s">
        <v>186</v>
      </c>
      <c r="AC3442" s="21" t="s">
        <v>2272</v>
      </c>
      <c r="AD3442" s="198"/>
      <c r="AE3442" s="198"/>
    </row>
    <row r="3443" spans="1:31" ht="46" customHeight="1">
      <c r="A3443" s="198" t="s">
        <v>8987</v>
      </c>
      <c r="B3443" s="198" t="s">
        <v>9025</v>
      </c>
      <c r="C3443" s="4" t="s">
        <v>23</v>
      </c>
      <c r="D3443" s="198" t="s">
        <v>2654</v>
      </c>
      <c r="E3443" s="198" t="s">
        <v>1102</v>
      </c>
      <c r="F3443" s="4" t="s">
        <v>27</v>
      </c>
      <c r="G3443" s="198" t="s">
        <v>27</v>
      </c>
      <c r="H3443" s="4" t="s">
        <v>521</v>
      </c>
      <c r="I3443" s="198"/>
      <c r="J3443" s="21" t="s">
        <v>2272</v>
      </c>
      <c r="K3443" s="21" t="s">
        <v>2272</v>
      </c>
      <c r="L3443" s="21" t="s">
        <v>2272</v>
      </c>
      <c r="M3443" s="21" t="s">
        <v>2272</v>
      </c>
      <c r="N3443" s="21" t="s">
        <v>2272</v>
      </c>
      <c r="O3443" s="21" t="s">
        <v>2272</v>
      </c>
      <c r="P3443" s="21" t="s">
        <v>2272</v>
      </c>
      <c r="Q3443" s="21" t="s">
        <v>2272</v>
      </c>
      <c r="R3443" s="21" t="s">
        <v>2272</v>
      </c>
      <c r="S3443" s="21" t="s">
        <v>2272</v>
      </c>
      <c r="T3443" s="21" t="s">
        <v>2272</v>
      </c>
      <c r="U3443" s="21">
        <f>'Record info'!K$1411*Y3443</f>
        <v>3626.52</v>
      </c>
      <c r="V3443" s="21" t="s">
        <v>2272</v>
      </c>
      <c r="W3443" s="21">
        <f>47*0.009</f>
        <v>0.42299999999999999</v>
      </c>
      <c r="X3443" s="21" t="s">
        <v>2272</v>
      </c>
      <c r="Y3443" s="21">
        <f>W3442</f>
        <v>0.188</v>
      </c>
      <c r="Z3443" s="21" t="s">
        <v>2272</v>
      </c>
      <c r="AA3443" s="198" t="s">
        <v>187</v>
      </c>
      <c r="AB3443" s="198" t="s">
        <v>187</v>
      </c>
      <c r="AC3443" s="21" t="s">
        <v>2272</v>
      </c>
      <c r="AD3443" s="198"/>
      <c r="AE3443" s="198"/>
    </row>
    <row r="3444" spans="1:31" ht="46" customHeight="1">
      <c r="A3444" s="198" t="s">
        <v>8987</v>
      </c>
      <c r="B3444" s="198" t="s">
        <v>9026</v>
      </c>
      <c r="C3444" s="4" t="s">
        <v>23</v>
      </c>
      <c r="D3444" s="198" t="s">
        <v>2654</v>
      </c>
      <c r="E3444" s="198" t="s">
        <v>1102</v>
      </c>
      <c r="F3444" s="4" t="s">
        <v>27</v>
      </c>
      <c r="G3444" s="198" t="s">
        <v>27</v>
      </c>
      <c r="H3444" s="4" t="s">
        <v>521</v>
      </c>
      <c r="I3444" s="198"/>
      <c r="J3444" s="21" t="s">
        <v>2272</v>
      </c>
      <c r="K3444" s="21" t="s">
        <v>2272</v>
      </c>
      <c r="L3444" s="21" t="s">
        <v>2272</v>
      </c>
      <c r="M3444" s="21" t="s">
        <v>2272</v>
      </c>
      <c r="N3444" s="21" t="s">
        <v>2272</v>
      </c>
      <c r="O3444" s="21" t="s">
        <v>2272</v>
      </c>
      <c r="P3444" s="21" t="s">
        <v>2272</v>
      </c>
      <c r="Q3444" s="21" t="s">
        <v>2272</v>
      </c>
      <c r="R3444" s="21" t="s">
        <v>2272</v>
      </c>
      <c r="S3444" s="21" t="s">
        <v>2272</v>
      </c>
      <c r="T3444" s="21" t="s">
        <v>2272</v>
      </c>
      <c r="U3444" s="21">
        <f>'Record info'!K$1411*Y3444</f>
        <v>8159.67</v>
      </c>
      <c r="V3444" s="21" t="s">
        <v>2272</v>
      </c>
      <c r="W3444" s="21">
        <f>47*0.129</f>
        <v>6.0630000000000006</v>
      </c>
      <c r="X3444" s="21" t="s">
        <v>2272</v>
      </c>
      <c r="Y3444" s="21">
        <f>W3443</f>
        <v>0.42299999999999999</v>
      </c>
      <c r="Z3444" s="21" t="s">
        <v>2272</v>
      </c>
      <c r="AA3444" s="198" t="s">
        <v>37</v>
      </c>
      <c r="AB3444" s="198" t="s">
        <v>37</v>
      </c>
      <c r="AC3444" s="21" t="s">
        <v>2272</v>
      </c>
      <c r="AD3444" s="198"/>
      <c r="AE3444" s="198"/>
    </row>
    <row r="3445" spans="1:31" ht="37" customHeight="1">
      <c r="A3445" s="198" t="s">
        <v>8994</v>
      </c>
      <c r="B3445" s="198" t="s">
        <v>8998</v>
      </c>
      <c r="C3445" s="4" t="s">
        <v>23</v>
      </c>
      <c r="D3445" s="198" t="s">
        <v>2654</v>
      </c>
      <c r="E3445" s="198" t="s">
        <v>1102</v>
      </c>
      <c r="F3445" s="4" t="s">
        <v>27</v>
      </c>
      <c r="G3445" s="198" t="s">
        <v>27</v>
      </c>
      <c r="H3445" s="4" t="s">
        <v>521</v>
      </c>
      <c r="I3445" s="198"/>
      <c r="J3445" s="21" t="s">
        <v>2272</v>
      </c>
      <c r="K3445" s="21" t="s">
        <v>2272</v>
      </c>
      <c r="L3445" s="21" t="s">
        <v>2272</v>
      </c>
      <c r="M3445" s="21" t="s">
        <v>2272</v>
      </c>
      <c r="N3445" s="21" t="s">
        <v>2272</v>
      </c>
      <c r="O3445" s="21" t="s">
        <v>2272</v>
      </c>
      <c r="P3445" s="21" t="s">
        <v>2272</v>
      </c>
      <c r="Q3445" s="21" t="s">
        <v>2272</v>
      </c>
      <c r="R3445" s="21" t="s">
        <v>2272</v>
      </c>
      <c r="S3445" s="21" t="s">
        <v>2272</v>
      </c>
      <c r="T3445" s="21" t="s">
        <v>2272</v>
      </c>
      <c r="U3445" s="21">
        <f>'Record info'!K$1413*Y3445</f>
        <v>198408.08</v>
      </c>
      <c r="V3445" s="21" t="s">
        <v>2272</v>
      </c>
      <c r="W3445" s="21">
        <f>26*0.284</f>
        <v>7.3839999999999995</v>
      </c>
      <c r="X3445" s="21" t="s">
        <v>2272</v>
      </c>
      <c r="Y3445" s="21">
        <f>W3445</f>
        <v>7.3839999999999995</v>
      </c>
      <c r="Z3445" s="21" t="s">
        <v>2272</v>
      </c>
      <c r="AA3445" s="198" t="s">
        <v>84</v>
      </c>
      <c r="AB3445" s="198" t="s">
        <v>84</v>
      </c>
      <c r="AC3445" s="21" t="s">
        <v>2272</v>
      </c>
      <c r="AD3445" s="198"/>
      <c r="AE3445" s="198"/>
    </row>
    <row r="3446" spans="1:31" ht="37" customHeight="1">
      <c r="A3446" s="198" t="s">
        <v>8994</v>
      </c>
      <c r="B3446" s="198" t="s">
        <v>9027</v>
      </c>
      <c r="C3446" s="4" t="s">
        <v>23</v>
      </c>
      <c r="D3446" s="198" t="s">
        <v>2654</v>
      </c>
      <c r="E3446" s="198" t="s">
        <v>1102</v>
      </c>
      <c r="F3446" s="4" t="s">
        <v>27</v>
      </c>
      <c r="G3446" s="198" t="s">
        <v>27</v>
      </c>
      <c r="H3446" s="4" t="s">
        <v>521</v>
      </c>
      <c r="I3446" s="198"/>
      <c r="J3446" s="21" t="s">
        <v>2272</v>
      </c>
      <c r="K3446" s="21" t="s">
        <v>2272</v>
      </c>
      <c r="L3446" s="21" t="s">
        <v>2272</v>
      </c>
      <c r="M3446" s="21" t="s">
        <v>2272</v>
      </c>
      <c r="N3446" s="21" t="s">
        <v>2272</v>
      </c>
      <c r="O3446" s="21" t="s">
        <v>2272</v>
      </c>
      <c r="P3446" s="21" t="s">
        <v>2272</v>
      </c>
      <c r="Q3446" s="21" t="s">
        <v>2272</v>
      </c>
      <c r="R3446" s="21" t="s">
        <v>2272</v>
      </c>
      <c r="S3446" s="21" t="s">
        <v>2272</v>
      </c>
      <c r="T3446" s="21" t="s">
        <v>2272</v>
      </c>
      <c r="U3446" s="21">
        <f>'Record info'!K$1413*Y3446</f>
        <v>74752.34</v>
      </c>
      <c r="V3446" s="21" t="s">
        <v>2272</v>
      </c>
      <c r="W3446" s="21">
        <f>26*0.107</f>
        <v>2.782</v>
      </c>
      <c r="X3446" s="21" t="s">
        <v>2272</v>
      </c>
      <c r="Y3446" s="21">
        <f>W3446</f>
        <v>2.782</v>
      </c>
      <c r="Z3446" s="21" t="s">
        <v>2272</v>
      </c>
      <c r="AA3446" s="198" t="s">
        <v>33</v>
      </c>
      <c r="AB3446" s="198" t="s">
        <v>33</v>
      </c>
      <c r="AC3446" s="21" t="s">
        <v>2272</v>
      </c>
      <c r="AD3446" s="198"/>
      <c r="AE3446" s="198"/>
    </row>
    <row r="3447" spans="1:31" ht="37" customHeight="1">
      <c r="A3447" s="198" t="s">
        <v>8994</v>
      </c>
      <c r="B3447" s="198" t="s">
        <v>9028</v>
      </c>
      <c r="C3447" s="4" t="s">
        <v>23</v>
      </c>
      <c r="D3447" s="198" t="s">
        <v>2654</v>
      </c>
      <c r="E3447" s="198" t="s">
        <v>1102</v>
      </c>
      <c r="F3447" s="4" t="s">
        <v>27</v>
      </c>
      <c r="G3447" s="198" t="s">
        <v>27</v>
      </c>
      <c r="H3447" s="4" t="s">
        <v>521</v>
      </c>
      <c r="I3447" s="198"/>
      <c r="J3447" s="21" t="s">
        <v>2272</v>
      </c>
      <c r="K3447" s="21" t="s">
        <v>2272</v>
      </c>
      <c r="L3447" s="21" t="s">
        <v>2272</v>
      </c>
      <c r="M3447" s="21" t="s">
        <v>2272</v>
      </c>
      <c r="N3447" s="21" t="s">
        <v>2272</v>
      </c>
      <c r="O3447" s="21" t="s">
        <v>2272</v>
      </c>
      <c r="P3447" s="21" t="s">
        <v>2272</v>
      </c>
      <c r="Q3447" s="21" t="s">
        <v>2272</v>
      </c>
      <c r="R3447" s="21" t="s">
        <v>2272</v>
      </c>
      <c r="S3447" s="21" t="s">
        <v>2272</v>
      </c>
      <c r="T3447" s="21" t="s">
        <v>2272</v>
      </c>
      <c r="U3447" s="21">
        <f>'Record info'!K$1413*Y3447</f>
        <v>15369.64</v>
      </c>
      <c r="V3447" s="21" t="s">
        <v>2272</v>
      </c>
      <c r="W3447" s="21">
        <f>26*0.022</f>
        <v>0.57199999999999995</v>
      </c>
      <c r="X3447" s="21" t="s">
        <v>2272</v>
      </c>
      <c r="Y3447" s="21">
        <f>W3447</f>
        <v>0.57199999999999995</v>
      </c>
      <c r="Z3447" s="21" t="s">
        <v>2272</v>
      </c>
      <c r="AA3447" s="198" t="s">
        <v>402</v>
      </c>
      <c r="AB3447" s="198" t="s">
        <v>402</v>
      </c>
      <c r="AC3447" s="21" t="s">
        <v>2272</v>
      </c>
      <c r="AD3447" s="198"/>
      <c r="AE3447" s="198"/>
    </row>
    <row r="3448" spans="1:31" ht="37" customHeight="1">
      <c r="A3448" s="198" t="s">
        <v>8994</v>
      </c>
      <c r="B3448" s="198" t="s">
        <v>9029</v>
      </c>
      <c r="C3448" s="4" t="s">
        <v>23</v>
      </c>
      <c r="D3448" s="198" t="s">
        <v>2654</v>
      </c>
      <c r="E3448" s="198" t="s">
        <v>1102</v>
      </c>
      <c r="F3448" s="4" t="s">
        <v>27</v>
      </c>
      <c r="G3448" s="198" t="s">
        <v>27</v>
      </c>
      <c r="H3448" s="4" t="s">
        <v>522</v>
      </c>
      <c r="I3448" s="198"/>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v>0</v>
      </c>
      <c r="Y3448" s="21">
        <v>0</v>
      </c>
      <c r="Z3448" s="21" t="s">
        <v>2272</v>
      </c>
      <c r="AA3448" s="198" t="s">
        <v>403</v>
      </c>
      <c r="AB3448" s="198" t="s">
        <v>403</v>
      </c>
      <c r="AC3448" s="21" t="s">
        <v>2272</v>
      </c>
      <c r="AD3448" s="198"/>
      <c r="AE3448" s="198"/>
    </row>
    <row r="3449" spans="1:31" ht="37" customHeight="1">
      <c r="A3449" s="198" t="s">
        <v>8994</v>
      </c>
      <c r="B3449" s="198" t="s">
        <v>9030</v>
      </c>
      <c r="C3449" s="4" t="s">
        <v>23</v>
      </c>
      <c r="D3449" s="198" t="s">
        <v>2654</v>
      </c>
      <c r="E3449" s="198" t="s">
        <v>1102</v>
      </c>
      <c r="F3449" s="4" t="s">
        <v>27</v>
      </c>
      <c r="G3449" s="198" t="s">
        <v>27</v>
      </c>
      <c r="H3449" s="4" t="s">
        <v>522</v>
      </c>
      <c r="I3449" s="198"/>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v>0</v>
      </c>
      <c r="Y3449" s="21">
        <v>0</v>
      </c>
      <c r="Z3449" s="21" t="s">
        <v>2272</v>
      </c>
      <c r="AA3449" s="198" t="s">
        <v>423</v>
      </c>
      <c r="AB3449" s="198" t="s">
        <v>423</v>
      </c>
      <c r="AC3449" s="21" t="s">
        <v>2272</v>
      </c>
      <c r="AD3449" s="198"/>
      <c r="AE3449" s="198"/>
    </row>
    <row r="3450" spans="1:31" ht="37" customHeight="1">
      <c r="A3450" s="198" t="s">
        <v>8994</v>
      </c>
      <c r="B3450" s="198" t="s">
        <v>9031</v>
      </c>
      <c r="C3450" s="4" t="s">
        <v>23</v>
      </c>
      <c r="D3450" s="198" t="s">
        <v>2654</v>
      </c>
      <c r="E3450" s="198" t="s">
        <v>1102</v>
      </c>
      <c r="F3450" s="4" t="s">
        <v>27</v>
      </c>
      <c r="G3450" s="198" t="s">
        <v>27</v>
      </c>
      <c r="H3450" s="4" t="s">
        <v>522</v>
      </c>
      <c r="I3450" s="198"/>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v>0</v>
      </c>
      <c r="Y3450" s="21">
        <v>0</v>
      </c>
      <c r="Z3450" s="21" t="s">
        <v>2272</v>
      </c>
      <c r="AA3450" s="198" t="s">
        <v>67</v>
      </c>
      <c r="AB3450" s="198" t="s">
        <v>67</v>
      </c>
      <c r="AC3450" s="21" t="s">
        <v>2272</v>
      </c>
      <c r="AD3450" s="198"/>
      <c r="AE3450" s="198"/>
    </row>
    <row r="3451" spans="1:31" ht="37" customHeight="1">
      <c r="A3451" s="198" t="s">
        <v>8994</v>
      </c>
      <c r="B3451" s="198" t="s">
        <v>9032</v>
      </c>
      <c r="C3451" s="4" t="s">
        <v>23</v>
      </c>
      <c r="D3451" s="198" t="s">
        <v>2654</v>
      </c>
      <c r="E3451" s="198" t="s">
        <v>1102</v>
      </c>
      <c r="F3451" s="4" t="s">
        <v>27</v>
      </c>
      <c r="G3451" s="198" t="s">
        <v>27</v>
      </c>
      <c r="H3451" s="4" t="s">
        <v>521</v>
      </c>
      <c r="I3451" s="198"/>
      <c r="J3451" s="21" t="s">
        <v>2272</v>
      </c>
      <c r="K3451" s="21" t="s">
        <v>2272</v>
      </c>
      <c r="L3451" s="21" t="s">
        <v>2272</v>
      </c>
      <c r="M3451" s="21" t="s">
        <v>2272</v>
      </c>
      <c r="N3451" s="21" t="s">
        <v>2272</v>
      </c>
      <c r="O3451" s="21" t="s">
        <v>2272</v>
      </c>
      <c r="P3451" s="21" t="s">
        <v>2272</v>
      </c>
      <c r="Q3451" s="21" t="s">
        <v>2272</v>
      </c>
      <c r="R3451" s="21" t="s">
        <v>2272</v>
      </c>
      <c r="S3451" s="21" t="s">
        <v>2272</v>
      </c>
      <c r="T3451" s="21" t="s">
        <v>2272</v>
      </c>
      <c r="U3451" s="21">
        <f>'Record info'!K$1413*Y3451</f>
        <v>13273.78</v>
      </c>
      <c r="V3451" s="21" t="s">
        <v>2272</v>
      </c>
      <c r="W3451" s="21">
        <f>26*0.019</f>
        <v>0.49399999999999999</v>
      </c>
      <c r="X3451" s="21" t="s">
        <v>2272</v>
      </c>
      <c r="Y3451" s="21">
        <f t="shared" ref="Y3451:Y3459" si="3">W3451</f>
        <v>0.49399999999999999</v>
      </c>
      <c r="Z3451" s="21" t="s">
        <v>2272</v>
      </c>
      <c r="AA3451" s="198" t="s">
        <v>34</v>
      </c>
      <c r="AB3451" s="198" t="s">
        <v>34</v>
      </c>
      <c r="AC3451" s="21" t="s">
        <v>2272</v>
      </c>
      <c r="AD3451" s="198"/>
      <c r="AE3451" s="198"/>
    </row>
    <row r="3452" spans="1:31" ht="37" customHeight="1">
      <c r="A3452" s="198" t="s">
        <v>8994</v>
      </c>
      <c r="B3452" s="198" t="s">
        <v>9033</v>
      </c>
      <c r="C3452" s="4" t="s">
        <v>23</v>
      </c>
      <c r="D3452" s="198" t="s">
        <v>2654</v>
      </c>
      <c r="E3452" s="198" t="s">
        <v>1102</v>
      </c>
      <c r="F3452" s="4" t="s">
        <v>27</v>
      </c>
      <c r="G3452" s="198" t="s">
        <v>27</v>
      </c>
      <c r="H3452" s="4" t="s">
        <v>521</v>
      </c>
      <c r="I3452" s="198"/>
      <c r="J3452" s="21" t="s">
        <v>2272</v>
      </c>
      <c r="K3452" s="21" t="s">
        <v>2272</v>
      </c>
      <c r="L3452" s="21" t="s">
        <v>2272</v>
      </c>
      <c r="M3452" s="21" t="s">
        <v>2272</v>
      </c>
      <c r="N3452" s="21" t="s">
        <v>2272</v>
      </c>
      <c r="O3452" s="21" t="s">
        <v>2272</v>
      </c>
      <c r="P3452" s="21" t="s">
        <v>2272</v>
      </c>
      <c r="Q3452" s="21" t="s">
        <v>2272</v>
      </c>
      <c r="R3452" s="21" t="s">
        <v>2272</v>
      </c>
      <c r="S3452" s="21" t="s">
        <v>2272</v>
      </c>
      <c r="T3452" s="21" t="s">
        <v>2272</v>
      </c>
      <c r="U3452" s="21">
        <f>'Record info'!K$1413*Y3452</f>
        <v>113176.43999999999</v>
      </c>
      <c r="V3452" s="21" t="s">
        <v>2272</v>
      </c>
      <c r="W3452" s="21">
        <f>26*0.162</f>
        <v>4.2119999999999997</v>
      </c>
      <c r="X3452" s="21" t="s">
        <v>2272</v>
      </c>
      <c r="Y3452" s="21">
        <f t="shared" si="3"/>
        <v>4.2119999999999997</v>
      </c>
      <c r="Z3452" s="21" t="s">
        <v>2272</v>
      </c>
      <c r="AA3452" s="198" t="s">
        <v>125</v>
      </c>
      <c r="AB3452" s="198" t="s">
        <v>125</v>
      </c>
      <c r="AC3452" s="21" t="s">
        <v>2272</v>
      </c>
      <c r="AD3452" s="198"/>
      <c r="AE3452" s="198"/>
    </row>
    <row r="3453" spans="1:31" ht="37" customHeight="1">
      <c r="A3453" s="198" t="s">
        <v>8994</v>
      </c>
      <c r="B3453" s="198" t="s">
        <v>9034</v>
      </c>
      <c r="C3453" s="4" t="s">
        <v>23</v>
      </c>
      <c r="D3453" s="198" t="s">
        <v>2654</v>
      </c>
      <c r="E3453" s="198" t="s">
        <v>1102</v>
      </c>
      <c r="F3453" s="4" t="s">
        <v>27</v>
      </c>
      <c r="G3453" s="198" t="s">
        <v>27</v>
      </c>
      <c r="H3453" s="4" t="s">
        <v>521</v>
      </c>
      <c r="I3453" s="198"/>
      <c r="J3453" s="21" t="s">
        <v>2272</v>
      </c>
      <c r="K3453" s="21" t="s">
        <v>2272</v>
      </c>
      <c r="L3453" s="21" t="s">
        <v>2272</v>
      </c>
      <c r="M3453" s="21" t="s">
        <v>2272</v>
      </c>
      <c r="N3453" s="21" t="s">
        <v>2272</v>
      </c>
      <c r="O3453" s="21" t="s">
        <v>2272</v>
      </c>
      <c r="P3453" s="21" t="s">
        <v>2272</v>
      </c>
      <c r="Q3453" s="21" t="s">
        <v>2272</v>
      </c>
      <c r="R3453" s="21" t="s">
        <v>2272</v>
      </c>
      <c r="S3453" s="21" t="s">
        <v>2272</v>
      </c>
      <c r="T3453" s="21" t="s">
        <v>2272</v>
      </c>
      <c r="U3453" s="21">
        <f>'Record info'!K$1413*Y3453</f>
        <v>114573.68000000001</v>
      </c>
      <c r="V3453" s="21" t="s">
        <v>2272</v>
      </c>
      <c r="W3453" s="21">
        <f>26*0.164</f>
        <v>4.2640000000000002</v>
      </c>
      <c r="X3453" s="21" t="s">
        <v>2272</v>
      </c>
      <c r="Y3453" s="21">
        <f t="shared" si="3"/>
        <v>4.2640000000000002</v>
      </c>
      <c r="Z3453" s="21" t="s">
        <v>2272</v>
      </c>
      <c r="AA3453" s="198" t="s">
        <v>397</v>
      </c>
      <c r="AB3453" s="198" t="s">
        <v>397</v>
      </c>
      <c r="AC3453" s="21" t="s">
        <v>2272</v>
      </c>
      <c r="AD3453" s="198"/>
      <c r="AE3453" s="198"/>
    </row>
    <row r="3454" spans="1:31" ht="37" customHeight="1">
      <c r="A3454" s="198" t="s">
        <v>8994</v>
      </c>
      <c r="B3454" s="198" t="s">
        <v>9035</v>
      </c>
      <c r="C3454" s="4" t="s">
        <v>23</v>
      </c>
      <c r="D3454" s="198" t="s">
        <v>2654</v>
      </c>
      <c r="E3454" s="198" t="s">
        <v>1102</v>
      </c>
      <c r="F3454" s="4" t="s">
        <v>27</v>
      </c>
      <c r="G3454" s="198" t="s">
        <v>27</v>
      </c>
      <c r="H3454" s="4" t="s">
        <v>521</v>
      </c>
      <c r="I3454" s="198"/>
      <c r="J3454" s="21" t="s">
        <v>2272</v>
      </c>
      <c r="K3454" s="21" t="s">
        <v>2272</v>
      </c>
      <c r="L3454" s="21" t="s">
        <v>2272</v>
      </c>
      <c r="M3454" s="21" t="s">
        <v>2272</v>
      </c>
      <c r="N3454" s="21" t="s">
        <v>2272</v>
      </c>
      <c r="O3454" s="21" t="s">
        <v>2272</v>
      </c>
      <c r="P3454" s="21" t="s">
        <v>2272</v>
      </c>
      <c r="Q3454" s="21" t="s">
        <v>2272</v>
      </c>
      <c r="R3454" s="21" t="s">
        <v>2272</v>
      </c>
      <c r="S3454" s="21" t="s">
        <v>2272</v>
      </c>
      <c r="T3454" s="21" t="s">
        <v>2272</v>
      </c>
      <c r="U3454" s="21">
        <f>'Record info'!K$1413*Y3454</f>
        <v>4191.72</v>
      </c>
      <c r="V3454" s="21" t="s">
        <v>2272</v>
      </c>
      <c r="W3454" s="21">
        <f>26*0.006</f>
        <v>0.156</v>
      </c>
      <c r="X3454" s="21" t="s">
        <v>2272</v>
      </c>
      <c r="Y3454" s="21">
        <f t="shared" si="3"/>
        <v>0.156</v>
      </c>
      <c r="Z3454" s="21" t="s">
        <v>2272</v>
      </c>
      <c r="AA3454" s="198" t="s">
        <v>186</v>
      </c>
      <c r="AB3454" s="198" t="s">
        <v>186</v>
      </c>
      <c r="AC3454" s="21" t="s">
        <v>2272</v>
      </c>
      <c r="AD3454" s="198"/>
      <c r="AE3454" s="198"/>
    </row>
    <row r="3455" spans="1:31" ht="37" customHeight="1">
      <c r="A3455" s="198" t="s">
        <v>8994</v>
      </c>
      <c r="B3455" s="198" t="s">
        <v>9036</v>
      </c>
      <c r="C3455" s="4" t="s">
        <v>23</v>
      </c>
      <c r="D3455" s="198" t="s">
        <v>2654</v>
      </c>
      <c r="E3455" s="198" t="s">
        <v>1102</v>
      </c>
      <c r="F3455" s="4" t="s">
        <v>27</v>
      </c>
      <c r="G3455" s="198" t="s">
        <v>27</v>
      </c>
      <c r="H3455" s="4" t="s">
        <v>521</v>
      </c>
      <c r="I3455" s="198"/>
      <c r="J3455" s="21" t="s">
        <v>2272</v>
      </c>
      <c r="K3455" s="21" t="s">
        <v>2272</v>
      </c>
      <c r="L3455" s="21" t="s">
        <v>2272</v>
      </c>
      <c r="M3455" s="21" t="s">
        <v>2272</v>
      </c>
      <c r="N3455" s="21" t="s">
        <v>2272</v>
      </c>
      <c r="O3455" s="21" t="s">
        <v>2272</v>
      </c>
      <c r="P3455" s="21" t="s">
        <v>2272</v>
      </c>
      <c r="Q3455" s="21" t="s">
        <v>2272</v>
      </c>
      <c r="R3455" s="21" t="s">
        <v>2272</v>
      </c>
      <c r="S3455" s="21" t="s">
        <v>2272</v>
      </c>
      <c r="T3455" s="21" t="s">
        <v>2272</v>
      </c>
      <c r="U3455" s="21">
        <f>'Record info'!K$1413*Y3455</f>
        <v>6287.58</v>
      </c>
      <c r="V3455" s="21" t="s">
        <v>2272</v>
      </c>
      <c r="W3455" s="21">
        <f>26*0.009</f>
        <v>0.23399999999999999</v>
      </c>
      <c r="X3455" s="21" t="s">
        <v>2272</v>
      </c>
      <c r="Y3455" s="21">
        <f t="shared" si="3"/>
        <v>0.23399999999999999</v>
      </c>
      <c r="Z3455" s="21" t="s">
        <v>2272</v>
      </c>
      <c r="AA3455" s="198" t="s">
        <v>187</v>
      </c>
      <c r="AB3455" s="198" t="s">
        <v>187</v>
      </c>
      <c r="AC3455" s="21" t="s">
        <v>2272</v>
      </c>
      <c r="AD3455" s="198"/>
      <c r="AE3455" s="198"/>
    </row>
    <row r="3456" spans="1:31" ht="38" customHeight="1">
      <c r="A3456" s="198" t="s">
        <v>8994</v>
      </c>
      <c r="B3456" s="198" t="s">
        <v>9037</v>
      </c>
      <c r="C3456" s="4" t="s">
        <v>23</v>
      </c>
      <c r="D3456" s="198" t="s">
        <v>2654</v>
      </c>
      <c r="E3456" s="198" t="s">
        <v>1102</v>
      </c>
      <c r="F3456" s="4" t="s">
        <v>27</v>
      </c>
      <c r="G3456" s="198" t="s">
        <v>27</v>
      </c>
      <c r="H3456" s="4" t="s">
        <v>521</v>
      </c>
      <c r="I3456" s="198"/>
      <c r="J3456" s="21" t="s">
        <v>2272</v>
      </c>
      <c r="K3456" s="21" t="s">
        <v>2272</v>
      </c>
      <c r="L3456" s="21" t="s">
        <v>2272</v>
      </c>
      <c r="M3456" s="21" t="s">
        <v>2272</v>
      </c>
      <c r="N3456" s="21" t="s">
        <v>2272</v>
      </c>
      <c r="O3456" s="21" t="s">
        <v>2272</v>
      </c>
      <c r="P3456" s="21" t="s">
        <v>2272</v>
      </c>
      <c r="Q3456" s="21" t="s">
        <v>2272</v>
      </c>
      <c r="R3456" s="21" t="s">
        <v>2272</v>
      </c>
      <c r="S3456" s="21" t="s">
        <v>2272</v>
      </c>
      <c r="T3456" s="21" t="s">
        <v>2272</v>
      </c>
      <c r="U3456" s="21">
        <f>'Record info'!K$1413*Y3456</f>
        <v>90121.98</v>
      </c>
      <c r="V3456" s="21" t="s">
        <v>2272</v>
      </c>
      <c r="W3456" s="21">
        <f>26*0.129</f>
        <v>3.3540000000000001</v>
      </c>
      <c r="X3456" s="21" t="s">
        <v>2272</v>
      </c>
      <c r="Y3456" s="21">
        <f t="shared" si="3"/>
        <v>3.3540000000000001</v>
      </c>
      <c r="Z3456" s="21" t="s">
        <v>2272</v>
      </c>
      <c r="AA3456" s="198" t="s">
        <v>37</v>
      </c>
      <c r="AB3456" s="198" t="s">
        <v>37</v>
      </c>
      <c r="AC3456" s="21" t="s">
        <v>2272</v>
      </c>
      <c r="AD3456" s="198"/>
      <c r="AE3456" s="198"/>
    </row>
    <row r="3457" spans="1:31" ht="38" customHeight="1">
      <c r="A3457" s="198" t="s">
        <v>8988</v>
      </c>
      <c r="B3457" s="198" t="s">
        <v>8999</v>
      </c>
      <c r="C3457" s="4" t="s">
        <v>23</v>
      </c>
      <c r="D3457" s="198" t="s">
        <v>2654</v>
      </c>
      <c r="E3457" s="198" t="s">
        <v>1102</v>
      </c>
      <c r="F3457" s="4" t="s">
        <v>27</v>
      </c>
      <c r="G3457" s="198" t="s">
        <v>27</v>
      </c>
      <c r="H3457" s="4" t="s">
        <v>521</v>
      </c>
      <c r="I3457" s="198"/>
      <c r="J3457" s="21" t="s">
        <v>2272</v>
      </c>
      <c r="K3457" s="21" t="s">
        <v>2272</v>
      </c>
      <c r="L3457" s="21" t="s">
        <v>2272</v>
      </c>
      <c r="M3457" s="21" t="s">
        <v>2272</v>
      </c>
      <c r="N3457" s="21" t="s">
        <v>2272</v>
      </c>
      <c r="O3457" s="21" t="s">
        <v>2272</v>
      </c>
      <c r="P3457" s="21" t="s">
        <v>2272</v>
      </c>
      <c r="Q3457" s="21" t="s">
        <v>2272</v>
      </c>
      <c r="R3457" s="21" t="s">
        <v>2272</v>
      </c>
      <c r="S3457" s="21" t="s">
        <v>2272</v>
      </c>
      <c r="T3457" s="21" t="s">
        <v>2272</v>
      </c>
      <c r="U3457" s="21">
        <f>'Record info'!K$1414*Y3457</f>
        <v>59313.919999999998</v>
      </c>
      <c r="V3457" s="21" t="s">
        <v>2272</v>
      </c>
      <c r="W3457" s="21">
        <f>16*0.149</f>
        <v>2.3839999999999999</v>
      </c>
      <c r="X3457" s="21" t="s">
        <v>2272</v>
      </c>
      <c r="Y3457" s="21">
        <f t="shared" si="3"/>
        <v>2.3839999999999999</v>
      </c>
      <c r="Z3457" s="21" t="s">
        <v>2272</v>
      </c>
      <c r="AA3457" s="198" t="s">
        <v>84</v>
      </c>
      <c r="AB3457" s="198" t="s">
        <v>84</v>
      </c>
      <c r="AC3457" s="21" t="s">
        <v>2272</v>
      </c>
      <c r="AD3457" s="198"/>
      <c r="AE3457" s="198"/>
    </row>
    <row r="3458" spans="1:31" ht="38" customHeight="1">
      <c r="A3458" s="198" t="s">
        <v>8988</v>
      </c>
      <c r="B3458" s="198" t="s">
        <v>9038</v>
      </c>
      <c r="C3458" s="4" t="s">
        <v>23</v>
      </c>
      <c r="D3458" s="198" t="s">
        <v>2654</v>
      </c>
      <c r="E3458" s="198" t="s">
        <v>1102</v>
      </c>
      <c r="F3458" s="4" t="s">
        <v>27</v>
      </c>
      <c r="G3458" s="198" t="s">
        <v>27</v>
      </c>
      <c r="H3458" s="4" t="s">
        <v>521</v>
      </c>
      <c r="I3458" s="198"/>
      <c r="J3458" s="21" t="s">
        <v>2272</v>
      </c>
      <c r="K3458" s="21" t="s">
        <v>2272</v>
      </c>
      <c r="L3458" s="21" t="s">
        <v>2272</v>
      </c>
      <c r="M3458" s="21" t="s">
        <v>2272</v>
      </c>
      <c r="N3458" s="21" t="s">
        <v>2272</v>
      </c>
      <c r="O3458" s="21" t="s">
        <v>2272</v>
      </c>
      <c r="P3458" s="21" t="s">
        <v>2272</v>
      </c>
      <c r="Q3458" s="21" t="s">
        <v>2272</v>
      </c>
      <c r="R3458" s="21" t="s">
        <v>2272</v>
      </c>
      <c r="S3458" s="21" t="s">
        <v>2272</v>
      </c>
      <c r="T3458" s="21" t="s">
        <v>2272</v>
      </c>
      <c r="U3458" s="21">
        <f>'Record info'!K$1414*Y3458</f>
        <v>27865.600000000002</v>
      </c>
      <c r="V3458" s="21" t="s">
        <v>2272</v>
      </c>
      <c r="W3458" s="21">
        <f>16*0.07</f>
        <v>1.1200000000000001</v>
      </c>
      <c r="X3458" s="21" t="s">
        <v>2272</v>
      </c>
      <c r="Y3458" s="21">
        <f t="shared" si="3"/>
        <v>1.1200000000000001</v>
      </c>
      <c r="Z3458" s="21" t="s">
        <v>2272</v>
      </c>
      <c r="AA3458" s="198" t="s">
        <v>33</v>
      </c>
      <c r="AB3458" s="198" t="s">
        <v>33</v>
      </c>
      <c r="AC3458" s="21" t="s">
        <v>2272</v>
      </c>
      <c r="AD3458" s="198"/>
      <c r="AE3458" s="198"/>
    </row>
    <row r="3459" spans="1:31" ht="38" customHeight="1">
      <c r="A3459" s="198" t="s">
        <v>8988</v>
      </c>
      <c r="B3459" s="198" t="s">
        <v>9039</v>
      </c>
      <c r="C3459" s="4" t="s">
        <v>23</v>
      </c>
      <c r="D3459" s="198" t="s">
        <v>2654</v>
      </c>
      <c r="E3459" s="198" t="s">
        <v>1102</v>
      </c>
      <c r="F3459" s="4" t="s">
        <v>27</v>
      </c>
      <c r="G3459" s="198" t="s">
        <v>27</v>
      </c>
      <c r="H3459" s="4" t="s">
        <v>521</v>
      </c>
      <c r="I3459" s="198"/>
      <c r="J3459" s="21" t="s">
        <v>2272</v>
      </c>
      <c r="K3459" s="21" t="s">
        <v>2272</v>
      </c>
      <c r="L3459" s="21" t="s">
        <v>2272</v>
      </c>
      <c r="M3459" s="21" t="s">
        <v>2272</v>
      </c>
      <c r="N3459" s="21" t="s">
        <v>2272</v>
      </c>
      <c r="O3459" s="21" t="s">
        <v>2272</v>
      </c>
      <c r="P3459" s="21" t="s">
        <v>2272</v>
      </c>
      <c r="Q3459" s="21" t="s">
        <v>2272</v>
      </c>
      <c r="R3459" s="21" t="s">
        <v>2272</v>
      </c>
      <c r="S3459" s="21" t="s">
        <v>2272</v>
      </c>
      <c r="T3459" s="21" t="s">
        <v>2272</v>
      </c>
      <c r="U3459" s="21">
        <f>'Record info'!K$1414*Y3459</f>
        <v>2388.48</v>
      </c>
      <c r="V3459" s="21" t="s">
        <v>2272</v>
      </c>
      <c r="W3459" s="21">
        <f>16*0.006</f>
        <v>9.6000000000000002E-2</v>
      </c>
      <c r="X3459" s="21" t="s">
        <v>2272</v>
      </c>
      <c r="Y3459" s="21">
        <f t="shared" si="3"/>
        <v>9.6000000000000002E-2</v>
      </c>
      <c r="Z3459" s="21" t="s">
        <v>2272</v>
      </c>
      <c r="AA3459" s="198" t="s">
        <v>402</v>
      </c>
      <c r="AB3459" s="198" t="s">
        <v>402</v>
      </c>
      <c r="AC3459" s="21" t="s">
        <v>2272</v>
      </c>
      <c r="AD3459" s="198"/>
      <c r="AE3459" s="198"/>
    </row>
    <row r="3460" spans="1:31" ht="38" customHeight="1">
      <c r="A3460" s="198" t="s">
        <v>8988</v>
      </c>
      <c r="B3460" s="198" t="s">
        <v>9040</v>
      </c>
      <c r="C3460" s="4" t="s">
        <v>23</v>
      </c>
      <c r="D3460" s="198" t="s">
        <v>2654</v>
      </c>
      <c r="E3460" s="198" t="s">
        <v>1102</v>
      </c>
      <c r="F3460" s="4" t="s">
        <v>27</v>
      </c>
      <c r="G3460" s="198" t="s">
        <v>27</v>
      </c>
      <c r="H3460" s="4" t="s">
        <v>522</v>
      </c>
      <c r="I3460" s="198"/>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v>0</v>
      </c>
      <c r="Y3460" s="21">
        <v>0</v>
      </c>
      <c r="Z3460" s="21" t="s">
        <v>2272</v>
      </c>
      <c r="AA3460" s="198" t="s">
        <v>403</v>
      </c>
      <c r="AB3460" s="198" t="s">
        <v>403</v>
      </c>
      <c r="AC3460" s="21" t="s">
        <v>2272</v>
      </c>
      <c r="AD3460" s="198"/>
      <c r="AE3460" s="198"/>
    </row>
    <row r="3461" spans="1:31" ht="38" customHeight="1">
      <c r="A3461" s="198" t="s">
        <v>8988</v>
      </c>
      <c r="B3461" s="198" t="s">
        <v>9041</v>
      </c>
      <c r="C3461" s="4" t="s">
        <v>23</v>
      </c>
      <c r="D3461" s="198" t="s">
        <v>2654</v>
      </c>
      <c r="E3461" s="198" t="s">
        <v>1102</v>
      </c>
      <c r="F3461" s="4" t="s">
        <v>27</v>
      </c>
      <c r="G3461" s="198" t="s">
        <v>27</v>
      </c>
      <c r="H3461" s="4" t="s">
        <v>522</v>
      </c>
      <c r="I3461" s="198"/>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v>0</v>
      </c>
      <c r="Y3461" s="21">
        <v>0</v>
      </c>
      <c r="Z3461" s="21" t="s">
        <v>2272</v>
      </c>
      <c r="AA3461" s="198" t="s">
        <v>423</v>
      </c>
      <c r="AB3461" s="198" t="s">
        <v>423</v>
      </c>
      <c r="AC3461" s="21" t="s">
        <v>2272</v>
      </c>
      <c r="AD3461" s="198"/>
      <c r="AE3461" s="198"/>
    </row>
    <row r="3462" spans="1:31" ht="38" customHeight="1">
      <c r="A3462" s="198" t="s">
        <v>8988</v>
      </c>
      <c r="B3462" s="198" t="s">
        <v>9042</v>
      </c>
      <c r="C3462" s="4" t="s">
        <v>23</v>
      </c>
      <c r="D3462" s="198" t="s">
        <v>2654</v>
      </c>
      <c r="E3462" s="198" t="s">
        <v>1102</v>
      </c>
      <c r="F3462" s="4" t="s">
        <v>27</v>
      </c>
      <c r="G3462" s="198" t="s">
        <v>27</v>
      </c>
      <c r="H3462" s="4" t="s">
        <v>521</v>
      </c>
      <c r="I3462" s="198"/>
      <c r="J3462" s="21" t="s">
        <v>2272</v>
      </c>
      <c r="K3462" s="21" t="s">
        <v>2272</v>
      </c>
      <c r="L3462" s="21" t="s">
        <v>2272</v>
      </c>
      <c r="M3462" s="21" t="s">
        <v>2272</v>
      </c>
      <c r="N3462" s="21" t="s">
        <v>2272</v>
      </c>
      <c r="O3462" s="21" t="s">
        <v>2272</v>
      </c>
      <c r="P3462" s="21" t="s">
        <v>2272</v>
      </c>
      <c r="Q3462" s="21" t="s">
        <v>2272</v>
      </c>
      <c r="R3462" s="21" t="s">
        <v>2272</v>
      </c>
      <c r="S3462" s="21" t="s">
        <v>2272</v>
      </c>
      <c r="T3462" s="21" t="s">
        <v>2272</v>
      </c>
      <c r="U3462" s="21">
        <f>'Record info'!K$1414*Y3462</f>
        <v>2388.48</v>
      </c>
      <c r="V3462" s="21" t="s">
        <v>2272</v>
      </c>
      <c r="W3462" s="21">
        <f>16*0.006</f>
        <v>9.6000000000000002E-2</v>
      </c>
      <c r="X3462" s="21" t="s">
        <v>2272</v>
      </c>
      <c r="Y3462" s="21">
        <f t="shared" ref="Y3462:Y3493" si="4">W3462</f>
        <v>9.6000000000000002E-2</v>
      </c>
      <c r="Z3462" s="21" t="s">
        <v>2272</v>
      </c>
      <c r="AA3462" s="198" t="s">
        <v>67</v>
      </c>
      <c r="AB3462" s="198" t="s">
        <v>67</v>
      </c>
      <c r="AC3462" s="21" t="s">
        <v>2272</v>
      </c>
      <c r="AD3462" s="198"/>
      <c r="AE3462" s="198"/>
    </row>
    <row r="3463" spans="1:31" ht="38" customHeight="1">
      <c r="A3463" s="198" t="s">
        <v>8988</v>
      </c>
      <c r="B3463" s="198" t="s">
        <v>9043</v>
      </c>
      <c r="C3463" s="4" t="s">
        <v>23</v>
      </c>
      <c r="D3463" s="198" t="s">
        <v>2654</v>
      </c>
      <c r="E3463" s="198" t="s">
        <v>1102</v>
      </c>
      <c r="F3463" s="4" t="s">
        <v>27</v>
      </c>
      <c r="G3463" s="198" t="s">
        <v>27</v>
      </c>
      <c r="H3463" s="4" t="s">
        <v>521</v>
      </c>
      <c r="I3463" s="198"/>
      <c r="J3463" s="21" t="s">
        <v>2272</v>
      </c>
      <c r="K3463" s="21" t="s">
        <v>2272</v>
      </c>
      <c r="L3463" s="21" t="s">
        <v>2272</v>
      </c>
      <c r="M3463" s="21" t="s">
        <v>2272</v>
      </c>
      <c r="N3463" s="21" t="s">
        <v>2272</v>
      </c>
      <c r="O3463" s="21" t="s">
        <v>2272</v>
      </c>
      <c r="P3463" s="21" t="s">
        <v>2272</v>
      </c>
      <c r="Q3463" s="21" t="s">
        <v>2272</v>
      </c>
      <c r="R3463" s="21" t="s">
        <v>2272</v>
      </c>
      <c r="S3463" s="21" t="s">
        <v>2272</v>
      </c>
      <c r="T3463" s="21" t="s">
        <v>2272</v>
      </c>
      <c r="U3463" s="21">
        <f>'Record info'!K$1414*Y3463</f>
        <v>9155.84</v>
      </c>
      <c r="V3463" s="21" t="s">
        <v>2272</v>
      </c>
      <c r="W3463" s="21">
        <f>16*0.023</f>
        <v>0.36799999999999999</v>
      </c>
      <c r="X3463" s="21" t="s">
        <v>2272</v>
      </c>
      <c r="Y3463" s="21">
        <f t="shared" si="4"/>
        <v>0.36799999999999999</v>
      </c>
      <c r="Z3463" s="21" t="s">
        <v>2272</v>
      </c>
      <c r="AA3463" s="198" t="s">
        <v>34</v>
      </c>
      <c r="AB3463" s="198" t="s">
        <v>34</v>
      </c>
      <c r="AC3463" s="21" t="s">
        <v>2272</v>
      </c>
      <c r="AD3463" s="198"/>
      <c r="AE3463" s="198"/>
    </row>
    <row r="3464" spans="1:31" ht="38" customHeight="1">
      <c r="A3464" s="198" t="s">
        <v>8988</v>
      </c>
      <c r="B3464" s="198" t="s">
        <v>9044</v>
      </c>
      <c r="C3464" s="4" t="s">
        <v>23</v>
      </c>
      <c r="D3464" s="198" t="s">
        <v>2654</v>
      </c>
      <c r="E3464" s="198" t="s">
        <v>1102</v>
      </c>
      <c r="F3464" s="4" t="s">
        <v>27</v>
      </c>
      <c r="G3464" s="198" t="s">
        <v>27</v>
      </c>
      <c r="H3464" s="4" t="s">
        <v>521</v>
      </c>
      <c r="I3464" s="198"/>
      <c r="J3464" s="21" t="s">
        <v>2272</v>
      </c>
      <c r="K3464" s="21" t="s">
        <v>2272</v>
      </c>
      <c r="L3464" s="21" t="s">
        <v>2272</v>
      </c>
      <c r="M3464" s="21" t="s">
        <v>2272</v>
      </c>
      <c r="N3464" s="21" t="s">
        <v>2272</v>
      </c>
      <c r="O3464" s="21" t="s">
        <v>2272</v>
      </c>
      <c r="P3464" s="21" t="s">
        <v>2272</v>
      </c>
      <c r="Q3464" s="21" t="s">
        <v>2272</v>
      </c>
      <c r="R3464" s="21" t="s">
        <v>2272</v>
      </c>
      <c r="S3464" s="21" t="s">
        <v>2272</v>
      </c>
      <c r="T3464" s="21" t="s">
        <v>2272</v>
      </c>
      <c r="U3464" s="21">
        <f>'Record info'!K$1414*Y3464</f>
        <v>91160.320000000007</v>
      </c>
      <c r="V3464" s="21" t="s">
        <v>2272</v>
      </c>
      <c r="W3464" s="21">
        <f>16*0.229</f>
        <v>3.6640000000000001</v>
      </c>
      <c r="X3464" s="21" t="s">
        <v>2272</v>
      </c>
      <c r="Y3464" s="21">
        <f t="shared" si="4"/>
        <v>3.6640000000000001</v>
      </c>
      <c r="Z3464" s="21" t="s">
        <v>2272</v>
      </c>
      <c r="AA3464" s="198" t="s">
        <v>125</v>
      </c>
      <c r="AB3464" s="198" t="s">
        <v>125</v>
      </c>
      <c r="AC3464" s="21" t="s">
        <v>2272</v>
      </c>
      <c r="AD3464" s="198"/>
      <c r="AE3464" s="198"/>
    </row>
    <row r="3465" spans="1:31" ht="38" customHeight="1">
      <c r="A3465" s="198" t="s">
        <v>8988</v>
      </c>
      <c r="B3465" s="198" t="s">
        <v>9045</v>
      </c>
      <c r="C3465" s="4" t="s">
        <v>23</v>
      </c>
      <c r="D3465" s="198" t="s">
        <v>2654</v>
      </c>
      <c r="E3465" s="198" t="s">
        <v>1102</v>
      </c>
      <c r="F3465" s="4" t="s">
        <v>27</v>
      </c>
      <c r="G3465" s="198" t="s">
        <v>27</v>
      </c>
      <c r="H3465" s="4" t="s">
        <v>521</v>
      </c>
      <c r="I3465" s="198"/>
      <c r="J3465" s="21" t="s">
        <v>2272</v>
      </c>
      <c r="K3465" s="21" t="s">
        <v>2272</v>
      </c>
      <c r="L3465" s="21" t="s">
        <v>2272</v>
      </c>
      <c r="M3465" s="21" t="s">
        <v>2272</v>
      </c>
      <c r="N3465" s="21" t="s">
        <v>2272</v>
      </c>
      <c r="O3465" s="21" t="s">
        <v>2272</v>
      </c>
      <c r="P3465" s="21" t="s">
        <v>2272</v>
      </c>
      <c r="Q3465" s="21" t="s">
        <v>2272</v>
      </c>
      <c r="R3465" s="21" t="s">
        <v>2272</v>
      </c>
      <c r="S3465" s="21" t="s">
        <v>2272</v>
      </c>
      <c r="T3465" s="21" t="s">
        <v>2272</v>
      </c>
      <c r="U3465" s="21">
        <f>'Record info'!K$1414*Y3465</f>
        <v>58517.759999999995</v>
      </c>
      <c r="V3465" s="21" t="s">
        <v>2272</v>
      </c>
      <c r="W3465" s="21">
        <f>16*0.147</f>
        <v>2.3519999999999999</v>
      </c>
      <c r="X3465" s="21" t="s">
        <v>2272</v>
      </c>
      <c r="Y3465" s="21">
        <f t="shared" si="4"/>
        <v>2.3519999999999999</v>
      </c>
      <c r="Z3465" s="21" t="s">
        <v>2272</v>
      </c>
      <c r="AA3465" s="198" t="s">
        <v>397</v>
      </c>
      <c r="AB3465" s="198" t="s">
        <v>397</v>
      </c>
      <c r="AC3465" s="21" t="s">
        <v>2272</v>
      </c>
      <c r="AD3465" s="198"/>
      <c r="AE3465" s="198"/>
    </row>
    <row r="3466" spans="1:31" ht="38" customHeight="1">
      <c r="A3466" s="198" t="s">
        <v>8988</v>
      </c>
      <c r="B3466" s="198" t="s">
        <v>9046</v>
      </c>
      <c r="C3466" s="4" t="s">
        <v>23</v>
      </c>
      <c r="D3466" s="198" t="s">
        <v>2654</v>
      </c>
      <c r="E3466" s="198" t="s">
        <v>1102</v>
      </c>
      <c r="F3466" s="4" t="s">
        <v>27</v>
      </c>
      <c r="G3466" s="198" t="s">
        <v>27</v>
      </c>
      <c r="H3466" s="4" t="s">
        <v>521</v>
      </c>
      <c r="I3466" s="198"/>
      <c r="J3466" s="21" t="s">
        <v>2272</v>
      </c>
      <c r="K3466" s="21" t="s">
        <v>2272</v>
      </c>
      <c r="L3466" s="21" t="s">
        <v>2272</v>
      </c>
      <c r="M3466" s="21" t="s">
        <v>2272</v>
      </c>
      <c r="N3466" s="21" t="s">
        <v>2272</v>
      </c>
      <c r="O3466" s="21" t="s">
        <v>2272</v>
      </c>
      <c r="P3466" s="21" t="s">
        <v>2272</v>
      </c>
      <c r="Q3466" s="21" t="s">
        <v>2272</v>
      </c>
      <c r="R3466" s="21" t="s">
        <v>2272</v>
      </c>
      <c r="S3466" s="21" t="s">
        <v>2272</v>
      </c>
      <c r="T3466" s="21" t="s">
        <v>2272</v>
      </c>
      <c r="U3466" s="21">
        <f>'Record info'!K$1414*Y3466</f>
        <v>1592.32</v>
      </c>
      <c r="V3466" s="21" t="s">
        <v>2272</v>
      </c>
      <c r="W3466" s="21">
        <f>16*0.004</f>
        <v>6.4000000000000001E-2</v>
      </c>
      <c r="X3466" s="21" t="s">
        <v>2272</v>
      </c>
      <c r="Y3466" s="21">
        <f t="shared" si="4"/>
        <v>6.4000000000000001E-2</v>
      </c>
      <c r="Z3466" s="21" t="s">
        <v>2272</v>
      </c>
      <c r="AA3466" s="198" t="s">
        <v>186</v>
      </c>
      <c r="AB3466" s="198" t="s">
        <v>186</v>
      </c>
      <c r="AC3466" s="21" t="s">
        <v>2272</v>
      </c>
      <c r="AD3466" s="198"/>
      <c r="AE3466" s="198"/>
    </row>
    <row r="3467" spans="1:31" ht="38" customHeight="1">
      <c r="A3467" s="198" t="s">
        <v>8988</v>
      </c>
      <c r="B3467" s="198" t="s">
        <v>9047</v>
      </c>
      <c r="C3467" s="4" t="s">
        <v>23</v>
      </c>
      <c r="D3467" s="198" t="s">
        <v>2654</v>
      </c>
      <c r="E3467" s="198" t="s">
        <v>1102</v>
      </c>
      <c r="F3467" s="4" t="s">
        <v>27</v>
      </c>
      <c r="G3467" s="198" t="s">
        <v>27</v>
      </c>
      <c r="H3467" s="4" t="s">
        <v>521</v>
      </c>
      <c r="I3467" s="198"/>
      <c r="J3467" s="21" t="s">
        <v>2272</v>
      </c>
      <c r="K3467" s="21" t="s">
        <v>2272</v>
      </c>
      <c r="L3467" s="21" t="s">
        <v>2272</v>
      </c>
      <c r="M3467" s="21" t="s">
        <v>2272</v>
      </c>
      <c r="N3467" s="21" t="s">
        <v>2272</v>
      </c>
      <c r="O3467" s="21" t="s">
        <v>2272</v>
      </c>
      <c r="P3467" s="21" t="s">
        <v>2272</v>
      </c>
      <c r="Q3467" s="21" t="s">
        <v>2272</v>
      </c>
      <c r="R3467" s="21" t="s">
        <v>2272</v>
      </c>
      <c r="S3467" s="21" t="s">
        <v>2272</v>
      </c>
      <c r="T3467" s="21" t="s">
        <v>2272</v>
      </c>
      <c r="U3467" s="21">
        <f>'Record info'!K$1414*Y3467</f>
        <v>18709.759999999998</v>
      </c>
      <c r="V3467" s="21" t="s">
        <v>2272</v>
      </c>
      <c r="W3467" s="21">
        <f>16*0.047</f>
        <v>0.752</v>
      </c>
      <c r="X3467" s="21" t="s">
        <v>2272</v>
      </c>
      <c r="Y3467" s="21">
        <f t="shared" si="4"/>
        <v>0.752</v>
      </c>
      <c r="Z3467" s="21" t="s">
        <v>2272</v>
      </c>
      <c r="AA3467" s="198" t="s">
        <v>187</v>
      </c>
      <c r="AB3467" s="198" t="s">
        <v>187</v>
      </c>
      <c r="AC3467" s="21" t="s">
        <v>2272</v>
      </c>
      <c r="AD3467" s="198"/>
      <c r="AE3467" s="198"/>
    </row>
    <row r="3468" spans="1:31" ht="39" customHeight="1">
      <c r="A3468" s="198" t="s">
        <v>8988</v>
      </c>
      <c r="B3468" s="198" t="s">
        <v>9048</v>
      </c>
      <c r="C3468" s="4" t="s">
        <v>23</v>
      </c>
      <c r="D3468" s="198" t="s">
        <v>2654</v>
      </c>
      <c r="E3468" s="198" t="s">
        <v>1102</v>
      </c>
      <c r="F3468" s="4" t="s">
        <v>27</v>
      </c>
      <c r="G3468" s="198" t="s">
        <v>27</v>
      </c>
      <c r="H3468" s="4" t="s">
        <v>521</v>
      </c>
      <c r="I3468" s="198"/>
      <c r="J3468" s="21" t="s">
        <v>2272</v>
      </c>
      <c r="K3468" s="21" t="s">
        <v>2272</v>
      </c>
      <c r="L3468" s="21" t="s">
        <v>2272</v>
      </c>
      <c r="M3468" s="21" t="s">
        <v>2272</v>
      </c>
      <c r="N3468" s="21" t="s">
        <v>2272</v>
      </c>
      <c r="O3468" s="21" t="s">
        <v>2272</v>
      </c>
      <c r="P3468" s="21" t="s">
        <v>2272</v>
      </c>
      <c r="Q3468" s="21" t="s">
        <v>2272</v>
      </c>
      <c r="R3468" s="21" t="s">
        <v>2272</v>
      </c>
      <c r="S3468" s="21" t="s">
        <v>2272</v>
      </c>
      <c r="T3468" s="21" t="s">
        <v>2272</v>
      </c>
      <c r="U3468" s="21">
        <f>'Record info'!K$1414*Y3468</f>
        <v>127385.60000000001</v>
      </c>
      <c r="V3468" s="21" t="s">
        <v>2272</v>
      </c>
      <c r="W3468" s="21">
        <f>16*0.32</f>
        <v>5.12</v>
      </c>
      <c r="X3468" s="21" t="s">
        <v>2272</v>
      </c>
      <c r="Y3468" s="21">
        <f t="shared" si="4"/>
        <v>5.12</v>
      </c>
      <c r="Z3468" s="21" t="s">
        <v>2272</v>
      </c>
      <c r="AA3468" s="198" t="s">
        <v>37</v>
      </c>
      <c r="AB3468" s="198" t="s">
        <v>37</v>
      </c>
      <c r="AC3468" s="21" t="s">
        <v>2272</v>
      </c>
      <c r="AD3468" s="198"/>
      <c r="AE3468" s="198"/>
    </row>
    <row r="3469" spans="1:31" ht="39" customHeight="1">
      <c r="A3469" s="198" t="s">
        <v>8989</v>
      </c>
      <c r="B3469" s="198" t="s">
        <v>9000</v>
      </c>
      <c r="C3469" s="4" t="s">
        <v>23</v>
      </c>
      <c r="D3469" s="198" t="s">
        <v>2654</v>
      </c>
      <c r="E3469" s="198" t="s">
        <v>1102</v>
      </c>
      <c r="F3469" s="4" t="s">
        <v>27</v>
      </c>
      <c r="G3469" s="198" t="s">
        <v>27</v>
      </c>
      <c r="H3469" s="4" t="s">
        <v>521</v>
      </c>
      <c r="I3469" s="198"/>
      <c r="J3469" s="21" t="s">
        <v>2272</v>
      </c>
      <c r="K3469" s="21" t="s">
        <v>2272</v>
      </c>
      <c r="L3469" s="21" t="s">
        <v>2272</v>
      </c>
      <c r="M3469" s="21" t="s">
        <v>2272</v>
      </c>
      <c r="N3469" s="21" t="s">
        <v>2272</v>
      </c>
      <c r="O3469" s="21" t="s">
        <v>2272</v>
      </c>
      <c r="P3469" s="21" t="s">
        <v>2272</v>
      </c>
      <c r="Q3469" s="21" t="s">
        <v>2272</v>
      </c>
      <c r="R3469" s="21" t="s">
        <v>2272</v>
      </c>
      <c r="S3469" s="21" t="s">
        <v>2272</v>
      </c>
      <c r="T3469" s="21" t="s">
        <v>2272</v>
      </c>
      <c r="U3469" s="21">
        <f>'Record info'!K$1411*Y3469</f>
        <v>160685.70000000001</v>
      </c>
      <c r="V3469" s="21" t="s">
        <v>2272</v>
      </c>
      <c r="W3469" s="21">
        <f>70*0.119</f>
        <v>8.33</v>
      </c>
      <c r="X3469" s="21" t="s">
        <v>2272</v>
      </c>
      <c r="Y3469" s="21">
        <f t="shared" si="4"/>
        <v>8.33</v>
      </c>
      <c r="Z3469" s="21" t="s">
        <v>2272</v>
      </c>
      <c r="AA3469" s="198" t="s">
        <v>84</v>
      </c>
      <c r="AB3469" s="198" t="s">
        <v>84</v>
      </c>
      <c r="AC3469" s="21" t="s">
        <v>2272</v>
      </c>
      <c r="AD3469" s="21"/>
      <c r="AE3469" s="21"/>
    </row>
    <row r="3470" spans="1:31" ht="39" customHeight="1">
      <c r="A3470" s="198" t="s">
        <v>8989</v>
      </c>
      <c r="B3470" s="198" t="s">
        <v>9049</v>
      </c>
      <c r="C3470" s="4" t="s">
        <v>23</v>
      </c>
      <c r="D3470" s="198" t="s">
        <v>2654</v>
      </c>
      <c r="E3470" s="198" t="s">
        <v>1102</v>
      </c>
      <c r="F3470" s="4" t="s">
        <v>27</v>
      </c>
      <c r="G3470" s="198" t="s">
        <v>27</v>
      </c>
      <c r="H3470" s="4" t="s">
        <v>521</v>
      </c>
      <c r="I3470" s="198"/>
      <c r="J3470" s="21" t="s">
        <v>2272</v>
      </c>
      <c r="K3470" s="21" t="s">
        <v>2272</v>
      </c>
      <c r="L3470" s="21" t="s">
        <v>2272</v>
      </c>
      <c r="M3470" s="21" t="s">
        <v>2272</v>
      </c>
      <c r="N3470" s="21" t="s">
        <v>2272</v>
      </c>
      <c r="O3470" s="21" t="s">
        <v>2272</v>
      </c>
      <c r="P3470" s="21" t="s">
        <v>2272</v>
      </c>
      <c r="Q3470" s="21" t="s">
        <v>2272</v>
      </c>
      <c r="R3470" s="21" t="s">
        <v>2272</v>
      </c>
      <c r="S3470" s="21" t="s">
        <v>2272</v>
      </c>
      <c r="T3470" s="21" t="s">
        <v>2272</v>
      </c>
      <c r="U3470" s="21">
        <f>'Record info'!K$1411*Y3470</f>
        <v>175539</v>
      </c>
      <c r="V3470" s="21" t="s">
        <v>2272</v>
      </c>
      <c r="W3470" s="21">
        <f>70*0.13</f>
        <v>9.1</v>
      </c>
      <c r="X3470" s="21" t="s">
        <v>2272</v>
      </c>
      <c r="Y3470" s="21">
        <f t="shared" si="4"/>
        <v>9.1</v>
      </c>
      <c r="Z3470" s="21" t="s">
        <v>2272</v>
      </c>
      <c r="AA3470" s="198" t="s">
        <v>33</v>
      </c>
      <c r="AB3470" s="198" t="s">
        <v>33</v>
      </c>
      <c r="AC3470" s="21" t="s">
        <v>2272</v>
      </c>
      <c r="AD3470" s="21"/>
      <c r="AE3470" s="21"/>
    </row>
    <row r="3471" spans="1:31" ht="39" customHeight="1">
      <c r="A3471" s="198" t="s">
        <v>8989</v>
      </c>
      <c r="B3471" s="198" t="s">
        <v>9050</v>
      </c>
      <c r="C3471" s="4" t="s">
        <v>23</v>
      </c>
      <c r="D3471" s="198" t="s">
        <v>2654</v>
      </c>
      <c r="E3471" s="198" t="s">
        <v>1102</v>
      </c>
      <c r="F3471" s="4" t="s">
        <v>27</v>
      </c>
      <c r="G3471" s="198" t="s">
        <v>27</v>
      </c>
      <c r="H3471" s="4" t="s">
        <v>521</v>
      </c>
      <c r="I3471" s="198"/>
      <c r="J3471" s="21" t="s">
        <v>2272</v>
      </c>
      <c r="K3471" s="21" t="s">
        <v>2272</v>
      </c>
      <c r="L3471" s="21" t="s">
        <v>2272</v>
      </c>
      <c r="M3471" s="21" t="s">
        <v>2272</v>
      </c>
      <c r="N3471" s="21" t="s">
        <v>2272</v>
      </c>
      <c r="O3471" s="21" t="s">
        <v>2272</v>
      </c>
      <c r="P3471" s="21" t="s">
        <v>2272</v>
      </c>
      <c r="Q3471" s="21" t="s">
        <v>2272</v>
      </c>
      <c r="R3471" s="21" t="s">
        <v>2272</v>
      </c>
      <c r="S3471" s="21" t="s">
        <v>2272</v>
      </c>
      <c r="T3471" s="21" t="s">
        <v>2272</v>
      </c>
      <c r="U3471" s="21">
        <f>'Record info'!K$1411*Y3471</f>
        <v>136380.30000000002</v>
      </c>
      <c r="V3471" s="21" t="s">
        <v>2272</v>
      </c>
      <c r="W3471" s="21">
        <f>70*0.101</f>
        <v>7.07</v>
      </c>
      <c r="X3471" s="21" t="s">
        <v>2272</v>
      </c>
      <c r="Y3471" s="21">
        <f t="shared" si="4"/>
        <v>7.07</v>
      </c>
      <c r="Z3471" s="21" t="s">
        <v>2272</v>
      </c>
      <c r="AA3471" s="198" t="s">
        <v>402</v>
      </c>
      <c r="AB3471" s="198" t="s">
        <v>402</v>
      </c>
      <c r="AC3471" s="21" t="s">
        <v>2272</v>
      </c>
      <c r="AD3471" s="21"/>
      <c r="AE3471" s="21"/>
    </row>
    <row r="3472" spans="1:31" ht="39" customHeight="1">
      <c r="A3472" s="198" t="s">
        <v>8989</v>
      </c>
      <c r="B3472" s="198" t="s">
        <v>9051</v>
      </c>
      <c r="C3472" s="4" t="s">
        <v>23</v>
      </c>
      <c r="D3472" s="198" t="s">
        <v>2654</v>
      </c>
      <c r="E3472" s="198" t="s">
        <v>1102</v>
      </c>
      <c r="F3472" s="4" t="s">
        <v>27</v>
      </c>
      <c r="G3472" s="198" t="s">
        <v>27</v>
      </c>
      <c r="H3472" s="4" t="s">
        <v>521</v>
      </c>
      <c r="I3472" s="198"/>
      <c r="J3472" s="21" t="s">
        <v>2272</v>
      </c>
      <c r="K3472" s="21" t="s">
        <v>2272</v>
      </c>
      <c r="L3472" s="21" t="s">
        <v>2272</v>
      </c>
      <c r="M3472" s="21" t="s">
        <v>2272</v>
      </c>
      <c r="N3472" s="21" t="s">
        <v>2272</v>
      </c>
      <c r="O3472" s="21" t="s">
        <v>2272</v>
      </c>
      <c r="P3472" s="21" t="s">
        <v>2272</v>
      </c>
      <c r="Q3472" s="21" t="s">
        <v>2272</v>
      </c>
      <c r="R3472" s="21" t="s">
        <v>2272</v>
      </c>
      <c r="S3472" s="21" t="s">
        <v>2272</v>
      </c>
      <c r="T3472" s="21" t="s">
        <v>2272</v>
      </c>
      <c r="U3472" s="21">
        <f>'Record info'!K$1411*Y3472</f>
        <v>24305.4</v>
      </c>
      <c r="V3472" s="21" t="s">
        <v>2272</v>
      </c>
      <c r="W3472" s="21">
        <f>70*0.018</f>
        <v>1.26</v>
      </c>
      <c r="X3472" s="21" t="s">
        <v>2272</v>
      </c>
      <c r="Y3472" s="21">
        <f t="shared" si="4"/>
        <v>1.26</v>
      </c>
      <c r="Z3472" s="21" t="s">
        <v>2272</v>
      </c>
      <c r="AA3472" s="198" t="s">
        <v>403</v>
      </c>
      <c r="AB3472" s="198" t="s">
        <v>403</v>
      </c>
      <c r="AC3472" s="21" t="s">
        <v>2272</v>
      </c>
      <c r="AD3472" s="21"/>
      <c r="AE3472" s="21"/>
    </row>
    <row r="3473" spans="1:31" ht="39" customHeight="1">
      <c r="A3473" s="198" t="s">
        <v>8989</v>
      </c>
      <c r="B3473" s="198" t="s">
        <v>9052</v>
      </c>
      <c r="C3473" s="4" t="s">
        <v>23</v>
      </c>
      <c r="D3473" s="198" t="s">
        <v>2654</v>
      </c>
      <c r="E3473" s="198" t="s">
        <v>1102</v>
      </c>
      <c r="F3473" s="4" t="s">
        <v>27</v>
      </c>
      <c r="G3473" s="198" t="s">
        <v>27</v>
      </c>
      <c r="H3473" s="4" t="s">
        <v>521</v>
      </c>
      <c r="I3473" s="198"/>
      <c r="J3473" s="21" t="s">
        <v>2272</v>
      </c>
      <c r="K3473" s="21" t="s">
        <v>2272</v>
      </c>
      <c r="L3473" s="21" t="s">
        <v>2272</v>
      </c>
      <c r="M3473" s="21" t="s">
        <v>2272</v>
      </c>
      <c r="N3473" s="21" t="s">
        <v>2272</v>
      </c>
      <c r="O3473" s="21" t="s">
        <v>2272</v>
      </c>
      <c r="P3473" s="21" t="s">
        <v>2272</v>
      </c>
      <c r="Q3473" s="21" t="s">
        <v>2272</v>
      </c>
      <c r="R3473" s="21" t="s">
        <v>2272</v>
      </c>
      <c r="S3473" s="21" t="s">
        <v>2272</v>
      </c>
      <c r="T3473" s="21" t="s">
        <v>2272</v>
      </c>
      <c r="U3473" s="21">
        <f>'Record info'!K$1411*Y3473</f>
        <v>52661.7</v>
      </c>
      <c r="V3473" s="21" t="s">
        <v>2272</v>
      </c>
      <c r="W3473" s="21">
        <f>70*0.039</f>
        <v>2.73</v>
      </c>
      <c r="X3473" s="21" t="s">
        <v>2272</v>
      </c>
      <c r="Y3473" s="21">
        <f t="shared" si="4"/>
        <v>2.73</v>
      </c>
      <c r="Z3473" s="21" t="s">
        <v>2272</v>
      </c>
      <c r="AA3473" s="198" t="s">
        <v>423</v>
      </c>
      <c r="AB3473" s="198" t="s">
        <v>423</v>
      </c>
      <c r="AC3473" s="21" t="s">
        <v>2272</v>
      </c>
      <c r="AD3473" s="21"/>
      <c r="AE3473" s="21"/>
    </row>
    <row r="3474" spans="1:31" ht="39" customHeight="1">
      <c r="A3474" s="198" t="s">
        <v>8989</v>
      </c>
      <c r="B3474" s="198" t="s">
        <v>9053</v>
      </c>
      <c r="C3474" s="4" t="s">
        <v>23</v>
      </c>
      <c r="D3474" s="198" t="s">
        <v>2654</v>
      </c>
      <c r="E3474" s="198" t="s">
        <v>1102</v>
      </c>
      <c r="F3474" s="4" t="s">
        <v>27</v>
      </c>
      <c r="G3474" s="198" t="s">
        <v>27</v>
      </c>
      <c r="H3474" s="4" t="s">
        <v>521</v>
      </c>
      <c r="I3474" s="198"/>
      <c r="J3474" s="21" t="s">
        <v>2272</v>
      </c>
      <c r="K3474" s="21" t="s">
        <v>2272</v>
      </c>
      <c r="L3474" s="21" t="s">
        <v>2272</v>
      </c>
      <c r="M3474" s="21" t="s">
        <v>2272</v>
      </c>
      <c r="N3474" s="21" t="s">
        <v>2272</v>
      </c>
      <c r="O3474" s="21" t="s">
        <v>2272</v>
      </c>
      <c r="P3474" s="21" t="s">
        <v>2272</v>
      </c>
      <c r="Q3474" s="21" t="s">
        <v>2272</v>
      </c>
      <c r="R3474" s="21" t="s">
        <v>2272</v>
      </c>
      <c r="S3474" s="21" t="s">
        <v>2272</v>
      </c>
      <c r="T3474" s="21" t="s">
        <v>2272</v>
      </c>
      <c r="U3474" s="21">
        <f>'Record info'!K$1411*Y3474</f>
        <v>37808.400000000001</v>
      </c>
      <c r="V3474" s="21" t="s">
        <v>2272</v>
      </c>
      <c r="W3474" s="21">
        <f>70*0.028</f>
        <v>1.96</v>
      </c>
      <c r="X3474" s="21" t="s">
        <v>2272</v>
      </c>
      <c r="Y3474" s="21">
        <f t="shared" si="4"/>
        <v>1.96</v>
      </c>
      <c r="Z3474" s="21" t="s">
        <v>2272</v>
      </c>
      <c r="AA3474" s="198" t="s">
        <v>67</v>
      </c>
      <c r="AB3474" s="198" t="s">
        <v>67</v>
      </c>
      <c r="AC3474" s="21" t="s">
        <v>2272</v>
      </c>
      <c r="AD3474" s="21"/>
      <c r="AE3474" s="21"/>
    </row>
    <row r="3475" spans="1:31" ht="39" customHeight="1">
      <c r="A3475" s="198" t="s">
        <v>8989</v>
      </c>
      <c r="B3475" s="198" t="s">
        <v>9054</v>
      </c>
      <c r="C3475" s="4" t="s">
        <v>23</v>
      </c>
      <c r="D3475" s="198" t="s">
        <v>2654</v>
      </c>
      <c r="E3475" s="198" t="s">
        <v>1102</v>
      </c>
      <c r="F3475" s="4" t="s">
        <v>27</v>
      </c>
      <c r="G3475" s="198" t="s">
        <v>27</v>
      </c>
      <c r="H3475" s="4" t="s">
        <v>521</v>
      </c>
      <c r="I3475" s="198"/>
      <c r="J3475" s="21" t="s">
        <v>2272</v>
      </c>
      <c r="K3475" s="21" t="s">
        <v>2272</v>
      </c>
      <c r="L3475" s="21" t="s">
        <v>2272</v>
      </c>
      <c r="M3475" s="21" t="s">
        <v>2272</v>
      </c>
      <c r="N3475" s="21" t="s">
        <v>2272</v>
      </c>
      <c r="O3475" s="21" t="s">
        <v>2272</v>
      </c>
      <c r="P3475" s="21" t="s">
        <v>2272</v>
      </c>
      <c r="Q3475" s="21" t="s">
        <v>2272</v>
      </c>
      <c r="R3475" s="21" t="s">
        <v>2272</v>
      </c>
      <c r="S3475" s="21" t="s">
        <v>2272</v>
      </c>
      <c r="T3475" s="21" t="s">
        <v>2272</v>
      </c>
      <c r="U3475" s="21">
        <f>'Record info'!K$1411*Y3475</f>
        <v>35107.799999999996</v>
      </c>
      <c r="V3475" s="21" t="s">
        <v>2272</v>
      </c>
      <c r="W3475" s="21">
        <f>70*0.026</f>
        <v>1.8199999999999998</v>
      </c>
      <c r="X3475" s="21" t="s">
        <v>2272</v>
      </c>
      <c r="Y3475" s="21">
        <f t="shared" si="4"/>
        <v>1.8199999999999998</v>
      </c>
      <c r="Z3475" s="21" t="s">
        <v>2272</v>
      </c>
      <c r="AA3475" s="198" t="s">
        <v>34</v>
      </c>
      <c r="AB3475" s="198" t="s">
        <v>34</v>
      </c>
      <c r="AC3475" s="21" t="s">
        <v>2272</v>
      </c>
      <c r="AD3475" s="21"/>
      <c r="AE3475" s="21"/>
    </row>
    <row r="3476" spans="1:31" ht="39" customHeight="1">
      <c r="A3476" s="198" t="s">
        <v>8989</v>
      </c>
      <c r="B3476" s="198" t="s">
        <v>9055</v>
      </c>
      <c r="C3476" s="4" t="s">
        <v>23</v>
      </c>
      <c r="D3476" s="198" t="s">
        <v>2654</v>
      </c>
      <c r="E3476" s="198" t="s">
        <v>1102</v>
      </c>
      <c r="F3476" s="4" t="s">
        <v>27</v>
      </c>
      <c r="G3476" s="198" t="s">
        <v>27</v>
      </c>
      <c r="H3476" s="4" t="s">
        <v>521</v>
      </c>
      <c r="I3476" s="198"/>
      <c r="J3476" s="21" t="s">
        <v>2272</v>
      </c>
      <c r="K3476" s="21" t="s">
        <v>2272</v>
      </c>
      <c r="L3476" s="21" t="s">
        <v>2272</v>
      </c>
      <c r="M3476" s="21" t="s">
        <v>2272</v>
      </c>
      <c r="N3476" s="21" t="s">
        <v>2272</v>
      </c>
      <c r="O3476" s="21" t="s">
        <v>2272</v>
      </c>
      <c r="P3476" s="21" t="s">
        <v>2272</v>
      </c>
      <c r="Q3476" s="21" t="s">
        <v>2272</v>
      </c>
      <c r="R3476" s="21" t="s">
        <v>2272</v>
      </c>
      <c r="S3476" s="21" t="s">
        <v>2272</v>
      </c>
      <c r="T3476" s="21" t="s">
        <v>2272</v>
      </c>
      <c r="U3476" s="21">
        <f>'Record info'!K$1411*Y3476</f>
        <v>253856.4</v>
      </c>
      <c r="V3476" s="21" t="s">
        <v>2272</v>
      </c>
      <c r="W3476" s="21">
        <f>70*0.188</f>
        <v>13.16</v>
      </c>
      <c r="X3476" s="21" t="s">
        <v>2272</v>
      </c>
      <c r="Y3476" s="21">
        <f t="shared" si="4"/>
        <v>13.16</v>
      </c>
      <c r="Z3476" s="21" t="s">
        <v>2272</v>
      </c>
      <c r="AA3476" s="198" t="s">
        <v>125</v>
      </c>
      <c r="AB3476" s="198" t="s">
        <v>125</v>
      </c>
      <c r="AC3476" s="21" t="s">
        <v>2272</v>
      </c>
      <c r="AD3476" s="21"/>
      <c r="AE3476" s="21"/>
    </row>
    <row r="3477" spans="1:31" ht="39" customHeight="1">
      <c r="A3477" s="198" t="s">
        <v>8989</v>
      </c>
      <c r="B3477" s="198" t="s">
        <v>9056</v>
      </c>
      <c r="C3477" s="163" t="s">
        <v>23</v>
      </c>
      <c r="D3477" s="35" t="s">
        <v>2654</v>
      </c>
      <c r="E3477" s="35" t="s">
        <v>1102</v>
      </c>
      <c r="F3477" s="163" t="s">
        <v>27</v>
      </c>
      <c r="G3477" s="35" t="s">
        <v>27</v>
      </c>
      <c r="H3477" s="163" t="s">
        <v>521</v>
      </c>
      <c r="I3477" s="198"/>
      <c r="J3477" s="21" t="s">
        <v>2272</v>
      </c>
      <c r="K3477" s="21" t="s">
        <v>2272</v>
      </c>
      <c r="L3477" s="21" t="s">
        <v>2272</v>
      </c>
      <c r="M3477" s="21" t="s">
        <v>2272</v>
      </c>
      <c r="N3477" s="21" t="s">
        <v>2272</v>
      </c>
      <c r="O3477" s="21" t="s">
        <v>2272</v>
      </c>
      <c r="P3477" s="21" t="s">
        <v>2272</v>
      </c>
      <c r="Q3477" s="21" t="s">
        <v>2272</v>
      </c>
      <c r="R3477" s="21" t="s">
        <v>2272</v>
      </c>
      <c r="S3477" s="21" t="s">
        <v>2272</v>
      </c>
      <c r="T3477" s="21" t="s">
        <v>2272</v>
      </c>
      <c r="U3477" s="21">
        <f>'Record info'!K$1411*Y3477</f>
        <v>324072</v>
      </c>
      <c r="V3477" s="21" t="s">
        <v>2272</v>
      </c>
      <c r="W3477" s="21">
        <f>70*0.24</f>
        <v>16.8</v>
      </c>
      <c r="X3477" s="21" t="s">
        <v>2272</v>
      </c>
      <c r="Y3477" s="21">
        <f t="shared" si="4"/>
        <v>16.8</v>
      </c>
      <c r="Z3477" s="21" t="s">
        <v>2272</v>
      </c>
      <c r="AA3477" s="198" t="s">
        <v>397</v>
      </c>
      <c r="AB3477" s="198" t="s">
        <v>397</v>
      </c>
      <c r="AC3477" s="21" t="s">
        <v>2272</v>
      </c>
      <c r="AD3477" s="21"/>
      <c r="AE3477" s="21"/>
    </row>
    <row r="3478" spans="1:31" ht="39" customHeight="1">
      <c r="A3478" s="198" t="s">
        <v>8989</v>
      </c>
      <c r="B3478" s="198" t="s">
        <v>9057</v>
      </c>
      <c r="C3478" s="163" t="s">
        <v>23</v>
      </c>
      <c r="D3478" s="35" t="s">
        <v>2654</v>
      </c>
      <c r="E3478" s="35" t="s">
        <v>1102</v>
      </c>
      <c r="F3478" s="163" t="s">
        <v>27</v>
      </c>
      <c r="G3478" s="35" t="s">
        <v>27</v>
      </c>
      <c r="H3478" s="163" t="s">
        <v>521</v>
      </c>
      <c r="I3478" s="198"/>
      <c r="J3478" s="21" t="s">
        <v>2272</v>
      </c>
      <c r="K3478" s="21" t="s">
        <v>2272</v>
      </c>
      <c r="L3478" s="21" t="s">
        <v>2272</v>
      </c>
      <c r="M3478" s="21" t="s">
        <v>2272</v>
      </c>
      <c r="N3478" s="21" t="s">
        <v>2272</v>
      </c>
      <c r="O3478" s="21" t="s">
        <v>2272</v>
      </c>
      <c r="P3478" s="21" t="s">
        <v>2272</v>
      </c>
      <c r="Q3478" s="21" t="s">
        <v>2272</v>
      </c>
      <c r="R3478" s="21" t="s">
        <v>2272</v>
      </c>
      <c r="S3478" s="21" t="s">
        <v>2272</v>
      </c>
      <c r="T3478" s="21" t="s">
        <v>2272</v>
      </c>
      <c r="U3478" s="21">
        <f>'Record info'!K$1411*Y3478</f>
        <v>48610.8</v>
      </c>
      <c r="V3478" s="21" t="s">
        <v>2272</v>
      </c>
      <c r="W3478" s="21">
        <f>70*0.036</f>
        <v>2.52</v>
      </c>
      <c r="X3478" s="21" t="s">
        <v>2272</v>
      </c>
      <c r="Y3478" s="21">
        <f t="shared" si="4"/>
        <v>2.52</v>
      </c>
      <c r="Z3478" s="21" t="s">
        <v>2272</v>
      </c>
      <c r="AA3478" s="198" t="s">
        <v>186</v>
      </c>
      <c r="AB3478" s="198" t="s">
        <v>186</v>
      </c>
      <c r="AC3478" s="21" t="s">
        <v>2272</v>
      </c>
      <c r="AD3478" s="198"/>
      <c r="AE3478" s="198"/>
    </row>
    <row r="3479" spans="1:31" ht="39" customHeight="1">
      <c r="A3479" s="198" t="s">
        <v>8989</v>
      </c>
      <c r="B3479" s="198" t="s">
        <v>9058</v>
      </c>
      <c r="C3479" s="4" t="s">
        <v>23</v>
      </c>
      <c r="D3479" s="198" t="s">
        <v>2654</v>
      </c>
      <c r="E3479" s="198" t="s">
        <v>1102</v>
      </c>
      <c r="F3479" s="4" t="s">
        <v>27</v>
      </c>
      <c r="G3479" s="198" t="s">
        <v>27</v>
      </c>
      <c r="H3479" s="4" t="s">
        <v>521</v>
      </c>
      <c r="I3479" s="198"/>
      <c r="J3479" s="21" t="s">
        <v>2272</v>
      </c>
      <c r="K3479" s="21" t="s">
        <v>2272</v>
      </c>
      <c r="L3479" s="21" t="s">
        <v>2272</v>
      </c>
      <c r="M3479" s="21" t="s">
        <v>2272</v>
      </c>
      <c r="N3479" s="21" t="s">
        <v>2272</v>
      </c>
      <c r="O3479" s="21" t="s">
        <v>2272</v>
      </c>
      <c r="P3479" s="21" t="s">
        <v>2272</v>
      </c>
      <c r="Q3479" s="21" t="s">
        <v>2272</v>
      </c>
      <c r="R3479" s="21" t="s">
        <v>2272</v>
      </c>
      <c r="S3479" s="21" t="s">
        <v>2272</v>
      </c>
      <c r="T3479" s="21" t="s">
        <v>2272</v>
      </c>
      <c r="U3479" s="21">
        <f>'Record info'!K$1411*Y3479</f>
        <v>22955.100000000002</v>
      </c>
      <c r="V3479" s="21" t="s">
        <v>2272</v>
      </c>
      <c r="W3479" s="21">
        <f>70*0.017</f>
        <v>1.1900000000000002</v>
      </c>
      <c r="X3479" s="21" t="s">
        <v>2272</v>
      </c>
      <c r="Y3479" s="21">
        <f t="shared" si="4"/>
        <v>1.1900000000000002</v>
      </c>
      <c r="Z3479" s="21" t="s">
        <v>2272</v>
      </c>
      <c r="AA3479" s="198" t="s">
        <v>187</v>
      </c>
      <c r="AB3479" s="198" t="s">
        <v>187</v>
      </c>
      <c r="AC3479" s="21" t="s">
        <v>2272</v>
      </c>
      <c r="AD3479" s="198"/>
      <c r="AE3479" s="198"/>
    </row>
    <row r="3480" spans="1:31" ht="41" customHeight="1">
      <c r="A3480" s="198" t="s">
        <v>8989</v>
      </c>
      <c r="B3480" s="198" t="s">
        <v>9059</v>
      </c>
      <c r="C3480" s="4" t="s">
        <v>23</v>
      </c>
      <c r="D3480" s="198" t="s">
        <v>2654</v>
      </c>
      <c r="E3480" s="198" t="s">
        <v>1102</v>
      </c>
      <c r="F3480" s="4" t="s">
        <v>27</v>
      </c>
      <c r="G3480" s="198" t="s">
        <v>27</v>
      </c>
      <c r="H3480" s="4" t="s">
        <v>521</v>
      </c>
      <c r="I3480" s="198"/>
      <c r="J3480" s="21" t="s">
        <v>2272</v>
      </c>
      <c r="K3480" s="21" t="s">
        <v>2272</v>
      </c>
      <c r="L3480" s="21" t="s">
        <v>2272</v>
      </c>
      <c r="M3480" s="21" t="s">
        <v>2272</v>
      </c>
      <c r="N3480" s="21" t="s">
        <v>2272</v>
      </c>
      <c r="O3480" s="21" t="s">
        <v>2272</v>
      </c>
      <c r="P3480" s="21" t="s">
        <v>2272</v>
      </c>
      <c r="Q3480" s="21" t="s">
        <v>2272</v>
      </c>
      <c r="R3480" s="21" t="s">
        <v>2272</v>
      </c>
      <c r="S3480" s="21" t="s">
        <v>2272</v>
      </c>
      <c r="T3480" s="21" t="s">
        <v>2272</v>
      </c>
      <c r="U3480" s="21">
        <f>'Record info'!K$1411*Y3480</f>
        <v>75616.800000000003</v>
      </c>
      <c r="V3480" s="21" t="s">
        <v>2272</v>
      </c>
      <c r="W3480" s="21">
        <f>70*0.056</f>
        <v>3.92</v>
      </c>
      <c r="X3480" s="21" t="s">
        <v>2272</v>
      </c>
      <c r="Y3480" s="21">
        <f t="shared" si="4"/>
        <v>3.92</v>
      </c>
      <c r="Z3480" s="21" t="s">
        <v>2272</v>
      </c>
      <c r="AA3480" s="198" t="s">
        <v>37</v>
      </c>
      <c r="AB3480" s="198" t="s">
        <v>37</v>
      </c>
      <c r="AC3480" s="21" t="s">
        <v>2272</v>
      </c>
      <c r="AD3480" s="198"/>
      <c r="AE3480" s="198"/>
    </row>
    <row r="3481" spans="1:31" ht="41" customHeight="1">
      <c r="A3481" s="198" t="s">
        <v>8990</v>
      </c>
      <c r="B3481" s="198" t="s">
        <v>9001</v>
      </c>
      <c r="C3481" s="4" t="s">
        <v>23</v>
      </c>
      <c r="D3481" s="198" t="s">
        <v>2654</v>
      </c>
      <c r="E3481" s="198" t="s">
        <v>1102</v>
      </c>
      <c r="F3481" s="4" t="s">
        <v>27</v>
      </c>
      <c r="G3481" s="198" t="s">
        <v>27</v>
      </c>
      <c r="H3481" s="4" t="s">
        <v>521</v>
      </c>
      <c r="I3481" s="198"/>
      <c r="J3481" s="21" t="s">
        <v>2272</v>
      </c>
      <c r="K3481" s="21" t="s">
        <v>2272</v>
      </c>
      <c r="L3481" s="21" t="s">
        <v>2272</v>
      </c>
      <c r="M3481" s="21" t="s">
        <v>2272</v>
      </c>
      <c r="N3481" s="21" t="s">
        <v>2272</v>
      </c>
      <c r="O3481" s="21" t="s">
        <v>2272</v>
      </c>
      <c r="P3481" s="21" t="s">
        <v>2272</v>
      </c>
      <c r="Q3481" s="21" t="s">
        <v>2272</v>
      </c>
      <c r="R3481" s="21" t="s">
        <v>2272</v>
      </c>
      <c r="S3481" s="21" t="s">
        <v>2272</v>
      </c>
      <c r="T3481" s="21" t="s">
        <v>2272</v>
      </c>
      <c r="U3481" s="21">
        <f>'Record info'!K$1411*Y3481</f>
        <v>139428.12000000002</v>
      </c>
      <c r="V3481" s="21" t="s">
        <v>2272</v>
      </c>
      <c r="W3481" s="21">
        <f>52*0.139</f>
        <v>7.2280000000000006</v>
      </c>
      <c r="X3481" s="21" t="s">
        <v>2272</v>
      </c>
      <c r="Y3481" s="21">
        <f t="shared" si="4"/>
        <v>7.2280000000000006</v>
      </c>
      <c r="Z3481" s="21" t="s">
        <v>2272</v>
      </c>
      <c r="AA3481" s="198" t="s">
        <v>84</v>
      </c>
      <c r="AB3481" s="198" t="s">
        <v>84</v>
      </c>
      <c r="AC3481" s="21" t="s">
        <v>2272</v>
      </c>
      <c r="AD3481" s="21"/>
      <c r="AE3481" s="21"/>
    </row>
    <row r="3482" spans="1:31" ht="41" customHeight="1">
      <c r="A3482" s="198" t="s">
        <v>8990</v>
      </c>
      <c r="B3482" s="198" t="s">
        <v>9060</v>
      </c>
      <c r="C3482" s="4" t="s">
        <v>23</v>
      </c>
      <c r="D3482" s="198" t="s">
        <v>2654</v>
      </c>
      <c r="E3482" s="198" t="s">
        <v>1102</v>
      </c>
      <c r="F3482" s="4" t="s">
        <v>27</v>
      </c>
      <c r="G3482" s="198" t="s">
        <v>27</v>
      </c>
      <c r="H3482" s="4" t="s">
        <v>521</v>
      </c>
      <c r="I3482" s="198"/>
      <c r="J3482" s="21" t="s">
        <v>2272</v>
      </c>
      <c r="K3482" s="21" t="s">
        <v>2272</v>
      </c>
      <c r="L3482" s="21" t="s">
        <v>2272</v>
      </c>
      <c r="M3482" s="21" t="s">
        <v>2272</v>
      </c>
      <c r="N3482" s="21" t="s">
        <v>2272</v>
      </c>
      <c r="O3482" s="21" t="s">
        <v>2272</v>
      </c>
      <c r="P3482" s="21" t="s">
        <v>2272</v>
      </c>
      <c r="Q3482" s="21" t="s">
        <v>2272</v>
      </c>
      <c r="R3482" s="21" t="s">
        <v>2272</v>
      </c>
      <c r="S3482" s="21" t="s">
        <v>2272</v>
      </c>
      <c r="T3482" s="21" t="s">
        <v>2272</v>
      </c>
      <c r="U3482" s="21">
        <f>'Record info'!K$1411*Y3482</f>
        <v>72221.759999999995</v>
      </c>
      <c r="V3482" s="21" t="s">
        <v>2272</v>
      </c>
      <c r="W3482" s="21">
        <f>52*0.072</f>
        <v>3.7439999999999998</v>
      </c>
      <c r="X3482" s="21" t="s">
        <v>2272</v>
      </c>
      <c r="Y3482" s="21">
        <f t="shared" si="4"/>
        <v>3.7439999999999998</v>
      </c>
      <c r="Z3482" s="21" t="s">
        <v>2272</v>
      </c>
      <c r="AA3482" s="198" t="s">
        <v>33</v>
      </c>
      <c r="AB3482" s="198" t="s">
        <v>33</v>
      </c>
      <c r="AC3482" s="21" t="s">
        <v>2272</v>
      </c>
      <c r="AD3482" s="21"/>
      <c r="AE3482" s="21"/>
    </row>
    <row r="3483" spans="1:31" ht="41" customHeight="1">
      <c r="A3483" s="198" t="s">
        <v>8990</v>
      </c>
      <c r="B3483" s="198" t="s">
        <v>9061</v>
      </c>
      <c r="C3483" s="4" t="s">
        <v>23</v>
      </c>
      <c r="D3483" s="198" t="s">
        <v>2654</v>
      </c>
      <c r="E3483" s="198" t="s">
        <v>1102</v>
      </c>
      <c r="F3483" s="4" t="s">
        <v>27</v>
      </c>
      <c r="G3483" s="198" t="s">
        <v>27</v>
      </c>
      <c r="H3483" s="4" t="s">
        <v>521</v>
      </c>
      <c r="I3483" s="198"/>
      <c r="J3483" s="21" t="s">
        <v>2272</v>
      </c>
      <c r="K3483" s="21" t="s">
        <v>2272</v>
      </c>
      <c r="L3483" s="21" t="s">
        <v>2272</v>
      </c>
      <c r="M3483" s="21" t="s">
        <v>2272</v>
      </c>
      <c r="N3483" s="21" t="s">
        <v>2272</v>
      </c>
      <c r="O3483" s="21" t="s">
        <v>2272</v>
      </c>
      <c r="P3483" s="21" t="s">
        <v>2272</v>
      </c>
      <c r="Q3483" s="21" t="s">
        <v>2272</v>
      </c>
      <c r="R3483" s="21" t="s">
        <v>2272</v>
      </c>
      <c r="S3483" s="21" t="s">
        <v>2272</v>
      </c>
      <c r="T3483" s="21" t="s">
        <v>2272</v>
      </c>
      <c r="U3483" s="21">
        <f>'Record info'!K$1411*Y3483</f>
        <v>70215.600000000006</v>
      </c>
      <c r="V3483" s="21" t="s">
        <v>2272</v>
      </c>
      <c r="W3483" s="21">
        <f>52*0.07</f>
        <v>3.6400000000000006</v>
      </c>
      <c r="X3483" s="21" t="s">
        <v>2272</v>
      </c>
      <c r="Y3483" s="21">
        <f t="shared" si="4"/>
        <v>3.6400000000000006</v>
      </c>
      <c r="Z3483" s="21" t="s">
        <v>2272</v>
      </c>
      <c r="AA3483" s="198" t="s">
        <v>402</v>
      </c>
      <c r="AB3483" s="198" t="s">
        <v>402</v>
      </c>
      <c r="AC3483" s="21" t="s">
        <v>2272</v>
      </c>
      <c r="AD3483" s="21"/>
      <c r="AE3483" s="21"/>
    </row>
    <row r="3484" spans="1:31" ht="41" customHeight="1">
      <c r="A3484" s="198" t="s">
        <v>8990</v>
      </c>
      <c r="B3484" s="198" t="s">
        <v>9062</v>
      </c>
      <c r="C3484" s="4" t="s">
        <v>23</v>
      </c>
      <c r="D3484" s="198" t="s">
        <v>2654</v>
      </c>
      <c r="E3484" s="198" t="s">
        <v>1102</v>
      </c>
      <c r="F3484" s="4" t="s">
        <v>27</v>
      </c>
      <c r="G3484" s="198" t="s">
        <v>27</v>
      </c>
      <c r="H3484" s="4" t="s">
        <v>521</v>
      </c>
      <c r="I3484" s="198"/>
      <c r="J3484" s="21" t="s">
        <v>2272</v>
      </c>
      <c r="K3484" s="21" t="s">
        <v>2272</v>
      </c>
      <c r="L3484" s="21" t="s">
        <v>2272</v>
      </c>
      <c r="M3484" s="21" t="s">
        <v>2272</v>
      </c>
      <c r="N3484" s="21" t="s">
        <v>2272</v>
      </c>
      <c r="O3484" s="21" t="s">
        <v>2272</v>
      </c>
      <c r="P3484" s="21" t="s">
        <v>2272</v>
      </c>
      <c r="Q3484" s="21" t="s">
        <v>2272</v>
      </c>
      <c r="R3484" s="21" t="s">
        <v>2272</v>
      </c>
      <c r="S3484" s="21" t="s">
        <v>2272</v>
      </c>
      <c r="T3484" s="21" t="s">
        <v>2272</v>
      </c>
      <c r="U3484" s="21">
        <f>'Record info'!K$1411*Y3484</f>
        <v>40123.200000000004</v>
      </c>
      <c r="V3484" s="21" t="s">
        <v>2272</v>
      </c>
      <c r="W3484" s="21">
        <f>52*0.04</f>
        <v>2.08</v>
      </c>
      <c r="X3484" s="21" t="s">
        <v>2272</v>
      </c>
      <c r="Y3484" s="21">
        <f t="shared" si="4"/>
        <v>2.08</v>
      </c>
      <c r="Z3484" s="21" t="s">
        <v>2272</v>
      </c>
      <c r="AA3484" s="198" t="s">
        <v>403</v>
      </c>
      <c r="AB3484" s="198" t="s">
        <v>403</v>
      </c>
      <c r="AC3484" s="21" t="s">
        <v>2272</v>
      </c>
      <c r="AD3484" s="21"/>
      <c r="AE3484" s="21"/>
    </row>
    <row r="3485" spans="1:31" ht="41" customHeight="1">
      <c r="A3485" s="198" t="s">
        <v>8990</v>
      </c>
      <c r="B3485" s="198" t="s">
        <v>9063</v>
      </c>
      <c r="C3485" s="4" t="s">
        <v>23</v>
      </c>
      <c r="D3485" s="198" t="s">
        <v>2654</v>
      </c>
      <c r="E3485" s="198" t="s">
        <v>1102</v>
      </c>
      <c r="F3485" s="4" t="s">
        <v>27</v>
      </c>
      <c r="G3485" s="198" t="s">
        <v>27</v>
      </c>
      <c r="H3485" s="4" t="s">
        <v>521</v>
      </c>
      <c r="I3485" s="198"/>
      <c r="J3485" s="21" t="s">
        <v>2272</v>
      </c>
      <c r="K3485" s="21" t="s">
        <v>2272</v>
      </c>
      <c r="L3485" s="21" t="s">
        <v>2272</v>
      </c>
      <c r="M3485" s="21" t="s">
        <v>2272</v>
      </c>
      <c r="N3485" s="21" t="s">
        <v>2272</v>
      </c>
      <c r="O3485" s="21" t="s">
        <v>2272</v>
      </c>
      <c r="P3485" s="21" t="s">
        <v>2272</v>
      </c>
      <c r="Q3485" s="21" t="s">
        <v>2272</v>
      </c>
      <c r="R3485" s="21" t="s">
        <v>2272</v>
      </c>
      <c r="S3485" s="21" t="s">
        <v>2272</v>
      </c>
      <c r="T3485" s="21" t="s">
        <v>2272</v>
      </c>
      <c r="U3485" s="21">
        <f>'Record info'!K$1411*Y3485</f>
        <v>44135.519999999997</v>
      </c>
      <c r="V3485" s="21" t="s">
        <v>2272</v>
      </c>
      <c r="W3485" s="21">
        <f>52*0.044</f>
        <v>2.2879999999999998</v>
      </c>
      <c r="X3485" s="21" t="s">
        <v>2272</v>
      </c>
      <c r="Y3485" s="21">
        <f t="shared" si="4"/>
        <v>2.2879999999999998</v>
      </c>
      <c r="Z3485" s="21" t="s">
        <v>2272</v>
      </c>
      <c r="AA3485" s="198" t="s">
        <v>423</v>
      </c>
      <c r="AB3485" s="198" t="s">
        <v>423</v>
      </c>
      <c r="AC3485" s="21" t="s">
        <v>2272</v>
      </c>
      <c r="AD3485" s="21"/>
      <c r="AE3485" s="21"/>
    </row>
    <row r="3486" spans="1:31" ht="41" customHeight="1">
      <c r="A3486" s="198" t="s">
        <v>8990</v>
      </c>
      <c r="B3486" s="198" t="s">
        <v>9064</v>
      </c>
      <c r="C3486" s="4" t="s">
        <v>23</v>
      </c>
      <c r="D3486" s="198" t="s">
        <v>2654</v>
      </c>
      <c r="E3486" s="198" t="s">
        <v>1102</v>
      </c>
      <c r="F3486" s="4" t="s">
        <v>27</v>
      </c>
      <c r="G3486" s="198" t="s">
        <v>27</v>
      </c>
      <c r="H3486" s="4" t="s">
        <v>521</v>
      </c>
      <c r="I3486" s="198"/>
      <c r="J3486" s="21" t="s">
        <v>2272</v>
      </c>
      <c r="K3486" s="21" t="s">
        <v>2272</v>
      </c>
      <c r="L3486" s="21" t="s">
        <v>2272</v>
      </c>
      <c r="M3486" s="21" t="s">
        <v>2272</v>
      </c>
      <c r="N3486" s="21" t="s">
        <v>2272</v>
      </c>
      <c r="O3486" s="21" t="s">
        <v>2272</v>
      </c>
      <c r="P3486" s="21" t="s">
        <v>2272</v>
      </c>
      <c r="Q3486" s="21" t="s">
        <v>2272</v>
      </c>
      <c r="R3486" s="21" t="s">
        <v>2272</v>
      </c>
      <c r="S3486" s="21" t="s">
        <v>2272</v>
      </c>
      <c r="T3486" s="21" t="s">
        <v>2272</v>
      </c>
      <c r="U3486" s="21">
        <f>'Record info'!K$1411*Y3486</f>
        <v>65200.2</v>
      </c>
      <c r="V3486" s="21" t="s">
        <v>2272</v>
      </c>
      <c r="W3486" s="21">
        <f>52*0.065</f>
        <v>3.38</v>
      </c>
      <c r="X3486" s="21" t="s">
        <v>2272</v>
      </c>
      <c r="Y3486" s="21">
        <f t="shared" si="4"/>
        <v>3.38</v>
      </c>
      <c r="Z3486" s="21" t="s">
        <v>2272</v>
      </c>
      <c r="AA3486" s="198" t="s">
        <v>67</v>
      </c>
      <c r="AB3486" s="198" t="s">
        <v>67</v>
      </c>
      <c r="AC3486" s="21" t="s">
        <v>2272</v>
      </c>
      <c r="AD3486" s="21"/>
      <c r="AE3486" s="21"/>
    </row>
    <row r="3487" spans="1:31" ht="41" customHeight="1">
      <c r="A3487" s="198" t="s">
        <v>8990</v>
      </c>
      <c r="B3487" s="198" t="s">
        <v>9065</v>
      </c>
      <c r="C3487" s="4" t="s">
        <v>23</v>
      </c>
      <c r="D3487" s="198" t="s">
        <v>2654</v>
      </c>
      <c r="E3487" s="198" t="s">
        <v>1102</v>
      </c>
      <c r="F3487" s="4" t="s">
        <v>27</v>
      </c>
      <c r="G3487" s="198" t="s">
        <v>27</v>
      </c>
      <c r="H3487" s="4" t="s">
        <v>521</v>
      </c>
      <c r="I3487" s="198"/>
      <c r="J3487" s="21" t="s">
        <v>2272</v>
      </c>
      <c r="K3487" s="21" t="s">
        <v>2272</v>
      </c>
      <c r="L3487" s="21" t="s">
        <v>2272</v>
      </c>
      <c r="M3487" s="21" t="s">
        <v>2272</v>
      </c>
      <c r="N3487" s="21" t="s">
        <v>2272</v>
      </c>
      <c r="O3487" s="21" t="s">
        <v>2272</v>
      </c>
      <c r="P3487" s="21" t="s">
        <v>2272</v>
      </c>
      <c r="Q3487" s="21" t="s">
        <v>2272</v>
      </c>
      <c r="R3487" s="21" t="s">
        <v>2272</v>
      </c>
      <c r="S3487" s="21" t="s">
        <v>2272</v>
      </c>
      <c r="T3487" s="21" t="s">
        <v>2272</v>
      </c>
      <c r="U3487" s="21">
        <f>'Record info'!K$1411*Y3487</f>
        <v>100308</v>
      </c>
      <c r="V3487" s="21" t="s">
        <v>2272</v>
      </c>
      <c r="W3487" s="21">
        <f>52*0.1</f>
        <v>5.2</v>
      </c>
      <c r="X3487" s="21" t="s">
        <v>2272</v>
      </c>
      <c r="Y3487" s="21">
        <f t="shared" si="4"/>
        <v>5.2</v>
      </c>
      <c r="Z3487" s="21" t="s">
        <v>2272</v>
      </c>
      <c r="AA3487" s="198" t="s">
        <v>34</v>
      </c>
      <c r="AB3487" s="198" t="s">
        <v>34</v>
      </c>
      <c r="AC3487" s="21" t="s">
        <v>2272</v>
      </c>
      <c r="AD3487" s="21"/>
      <c r="AE3487" s="21"/>
    </row>
    <row r="3488" spans="1:31" ht="41" customHeight="1">
      <c r="A3488" s="198" t="s">
        <v>8990</v>
      </c>
      <c r="B3488" s="198" t="s">
        <v>9066</v>
      </c>
      <c r="C3488" s="4" t="s">
        <v>23</v>
      </c>
      <c r="D3488" s="198" t="s">
        <v>2654</v>
      </c>
      <c r="E3488" s="198" t="s">
        <v>1102</v>
      </c>
      <c r="F3488" s="4" t="s">
        <v>27</v>
      </c>
      <c r="G3488" s="198" t="s">
        <v>27</v>
      </c>
      <c r="H3488" s="4" t="s">
        <v>521</v>
      </c>
      <c r="I3488" s="198"/>
      <c r="J3488" s="21" t="s">
        <v>2272</v>
      </c>
      <c r="K3488" s="21" t="s">
        <v>2272</v>
      </c>
      <c r="L3488" s="21" t="s">
        <v>2272</v>
      </c>
      <c r="M3488" s="21" t="s">
        <v>2272</v>
      </c>
      <c r="N3488" s="21" t="s">
        <v>2272</v>
      </c>
      <c r="O3488" s="21" t="s">
        <v>2272</v>
      </c>
      <c r="P3488" s="21" t="s">
        <v>2272</v>
      </c>
      <c r="Q3488" s="21" t="s">
        <v>2272</v>
      </c>
      <c r="R3488" s="21" t="s">
        <v>2272</v>
      </c>
      <c r="S3488" s="21" t="s">
        <v>2272</v>
      </c>
      <c r="T3488" s="21" t="s">
        <v>2272</v>
      </c>
      <c r="U3488" s="21">
        <f>'Record info'!K$1411*Y3488</f>
        <v>129397.32</v>
      </c>
      <c r="V3488" s="21" t="s">
        <v>2272</v>
      </c>
      <c r="W3488" s="21">
        <f>52*0.129</f>
        <v>6.7080000000000002</v>
      </c>
      <c r="X3488" s="21" t="s">
        <v>2272</v>
      </c>
      <c r="Y3488" s="21">
        <f t="shared" si="4"/>
        <v>6.7080000000000002</v>
      </c>
      <c r="Z3488" s="21" t="s">
        <v>2272</v>
      </c>
      <c r="AA3488" s="198" t="s">
        <v>125</v>
      </c>
      <c r="AB3488" s="198" t="s">
        <v>125</v>
      </c>
      <c r="AC3488" s="21" t="s">
        <v>2272</v>
      </c>
      <c r="AD3488" s="21"/>
      <c r="AE3488" s="21"/>
    </row>
    <row r="3489" spans="1:31" ht="41" customHeight="1">
      <c r="A3489" s="198" t="s">
        <v>8990</v>
      </c>
      <c r="B3489" s="198" t="s">
        <v>9067</v>
      </c>
      <c r="C3489" s="163" t="s">
        <v>23</v>
      </c>
      <c r="D3489" s="35" t="s">
        <v>2654</v>
      </c>
      <c r="E3489" s="35" t="s">
        <v>1102</v>
      </c>
      <c r="F3489" s="163" t="s">
        <v>27</v>
      </c>
      <c r="G3489" s="35" t="s">
        <v>27</v>
      </c>
      <c r="H3489" s="163" t="s">
        <v>521</v>
      </c>
      <c r="I3489" s="198"/>
      <c r="J3489" s="21" t="s">
        <v>2272</v>
      </c>
      <c r="K3489" s="21" t="s">
        <v>2272</v>
      </c>
      <c r="L3489" s="21" t="s">
        <v>2272</v>
      </c>
      <c r="M3489" s="21" t="s">
        <v>2272</v>
      </c>
      <c r="N3489" s="21" t="s">
        <v>2272</v>
      </c>
      <c r="O3489" s="21" t="s">
        <v>2272</v>
      </c>
      <c r="P3489" s="21" t="s">
        <v>2272</v>
      </c>
      <c r="Q3489" s="21" t="s">
        <v>2272</v>
      </c>
      <c r="R3489" s="21" t="s">
        <v>2272</v>
      </c>
      <c r="S3489" s="21" t="s">
        <v>2272</v>
      </c>
      <c r="T3489" s="21" t="s">
        <v>2272</v>
      </c>
      <c r="U3489" s="21">
        <f>'Record info'!K$1411*Y3489</f>
        <v>78240.240000000005</v>
      </c>
      <c r="V3489" s="21" t="s">
        <v>2272</v>
      </c>
      <c r="W3489" s="21">
        <f>52*0.078</f>
        <v>4.056</v>
      </c>
      <c r="X3489" s="21" t="s">
        <v>2272</v>
      </c>
      <c r="Y3489" s="21">
        <f t="shared" si="4"/>
        <v>4.056</v>
      </c>
      <c r="Z3489" s="21" t="s">
        <v>2272</v>
      </c>
      <c r="AA3489" s="198" t="s">
        <v>397</v>
      </c>
      <c r="AB3489" s="198" t="s">
        <v>397</v>
      </c>
      <c r="AC3489" s="21" t="s">
        <v>2272</v>
      </c>
      <c r="AD3489" s="21"/>
      <c r="AE3489" s="21"/>
    </row>
    <row r="3490" spans="1:31" ht="41" customHeight="1">
      <c r="A3490" s="198" t="s">
        <v>8990</v>
      </c>
      <c r="B3490" s="198" t="s">
        <v>9068</v>
      </c>
      <c r="C3490" s="163" t="s">
        <v>23</v>
      </c>
      <c r="D3490" s="35" t="s">
        <v>2654</v>
      </c>
      <c r="E3490" s="35" t="s">
        <v>1102</v>
      </c>
      <c r="F3490" s="163" t="s">
        <v>27</v>
      </c>
      <c r="G3490" s="35" t="s">
        <v>27</v>
      </c>
      <c r="H3490" s="163" t="s">
        <v>521</v>
      </c>
      <c r="I3490" s="198"/>
      <c r="J3490" s="21" t="s">
        <v>2272</v>
      </c>
      <c r="K3490" s="21" t="s">
        <v>2272</v>
      </c>
      <c r="L3490" s="21" t="s">
        <v>2272</v>
      </c>
      <c r="M3490" s="21" t="s">
        <v>2272</v>
      </c>
      <c r="N3490" s="21" t="s">
        <v>2272</v>
      </c>
      <c r="O3490" s="21" t="s">
        <v>2272</v>
      </c>
      <c r="P3490" s="21" t="s">
        <v>2272</v>
      </c>
      <c r="Q3490" s="21" t="s">
        <v>2272</v>
      </c>
      <c r="R3490" s="21" t="s">
        <v>2272</v>
      </c>
      <c r="S3490" s="21" t="s">
        <v>2272</v>
      </c>
      <c r="T3490" s="21" t="s">
        <v>2272</v>
      </c>
      <c r="U3490" s="21">
        <f>'Record info'!K$1411*Y3490</f>
        <v>91280.28</v>
      </c>
      <c r="V3490" s="21" t="s">
        <v>2272</v>
      </c>
      <c r="W3490" s="21">
        <f>52*0.091</f>
        <v>4.7320000000000002</v>
      </c>
      <c r="X3490" s="21" t="s">
        <v>2272</v>
      </c>
      <c r="Y3490" s="21">
        <f t="shared" si="4"/>
        <v>4.7320000000000002</v>
      </c>
      <c r="Z3490" s="21" t="s">
        <v>2272</v>
      </c>
      <c r="AA3490" s="198" t="s">
        <v>186</v>
      </c>
      <c r="AB3490" s="198" t="s">
        <v>186</v>
      </c>
      <c r="AC3490" s="21" t="s">
        <v>2272</v>
      </c>
      <c r="AD3490" s="198"/>
      <c r="AE3490" s="198"/>
    </row>
    <row r="3491" spans="1:31" ht="41" customHeight="1">
      <c r="A3491" s="198" t="s">
        <v>8990</v>
      </c>
      <c r="B3491" s="198" t="s">
        <v>9069</v>
      </c>
      <c r="C3491" s="4" t="s">
        <v>23</v>
      </c>
      <c r="D3491" s="198" t="s">
        <v>2654</v>
      </c>
      <c r="E3491" s="198" t="s">
        <v>1102</v>
      </c>
      <c r="F3491" s="4" t="s">
        <v>27</v>
      </c>
      <c r="G3491" s="198" t="s">
        <v>27</v>
      </c>
      <c r="H3491" s="4" t="s">
        <v>521</v>
      </c>
      <c r="I3491" s="198"/>
      <c r="J3491" s="21" t="s">
        <v>2272</v>
      </c>
      <c r="K3491" s="21" t="s">
        <v>2272</v>
      </c>
      <c r="L3491" s="21" t="s">
        <v>2272</v>
      </c>
      <c r="M3491" s="21" t="s">
        <v>2272</v>
      </c>
      <c r="N3491" s="21" t="s">
        <v>2272</v>
      </c>
      <c r="O3491" s="21" t="s">
        <v>2272</v>
      </c>
      <c r="P3491" s="21" t="s">
        <v>2272</v>
      </c>
      <c r="Q3491" s="21" t="s">
        <v>2272</v>
      </c>
      <c r="R3491" s="21" t="s">
        <v>2272</v>
      </c>
      <c r="S3491" s="21" t="s">
        <v>2272</v>
      </c>
      <c r="T3491" s="21" t="s">
        <v>2272</v>
      </c>
      <c r="U3491" s="21">
        <f>'Record info'!K$1411*Y3491</f>
        <v>55169.399999999994</v>
      </c>
      <c r="V3491" s="21" t="s">
        <v>2272</v>
      </c>
      <c r="W3491" s="21">
        <f>52*0.055</f>
        <v>2.86</v>
      </c>
      <c r="X3491" s="21" t="s">
        <v>2272</v>
      </c>
      <c r="Y3491" s="21">
        <f t="shared" si="4"/>
        <v>2.86</v>
      </c>
      <c r="Z3491" s="21" t="s">
        <v>2272</v>
      </c>
      <c r="AA3491" s="198" t="s">
        <v>187</v>
      </c>
      <c r="AB3491" s="198" t="s">
        <v>187</v>
      </c>
      <c r="AC3491" s="21" t="s">
        <v>2272</v>
      </c>
      <c r="AD3491" s="198"/>
      <c r="AE3491" s="198"/>
    </row>
    <row r="3492" spans="1:31" ht="40" customHeight="1">
      <c r="A3492" s="198" t="s">
        <v>8990</v>
      </c>
      <c r="B3492" s="198" t="s">
        <v>9070</v>
      </c>
      <c r="C3492" s="4" t="s">
        <v>23</v>
      </c>
      <c r="D3492" s="198" t="s">
        <v>2654</v>
      </c>
      <c r="E3492" s="198" t="s">
        <v>1102</v>
      </c>
      <c r="F3492" s="4" t="s">
        <v>27</v>
      </c>
      <c r="G3492" s="198" t="s">
        <v>27</v>
      </c>
      <c r="H3492" s="4" t="s">
        <v>521</v>
      </c>
      <c r="I3492" s="198"/>
      <c r="J3492" s="21" t="s">
        <v>2272</v>
      </c>
      <c r="K3492" s="21" t="s">
        <v>2272</v>
      </c>
      <c r="L3492" s="21" t="s">
        <v>2272</v>
      </c>
      <c r="M3492" s="21" t="s">
        <v>2272</v>
      </c>
      <c r="N3492" s="21" t="s">
        <v>2272</v>
      </c>
      <c r="O3492" s="21" t="s">
        <v>2272</v>
      </c>
      <c r="P3492" s="21" t="s">
        <v>2272</v>
      </c>
      <c r="Q3492" s="21" t="s">
        <v>2272</v>
      </c>
      <c r="R3492" s="21" t="s">
        <v>2272</v>
      </c>
      <c r="S3492" s="21" t="s">
        <v>2272</v>
      </c>
      <c r="T3492" s="21" t="s">
        <v>2272</v>
      </c>
      <c r="U3492" s="21">
        <f>'Record info'!K$1411*Y3492</f>
        <v>117360.36000000002</v>
      </c>
      <c r="V3492" s="21" t="s">
        <v>2272</v>
      </c>
      <c r="W3492" s="21">
        <f>52*0.117</f>
        <v>6.0840000000000005</v>
      </c>
      <c r="X3492" s="21" t="s">
        <v>2272</v>
      </c>
      <c r="Y3492" s="21">
        <f t="shared" si="4"/>
        <v>6.0840000000000005</v>
      </c>
      <c r="Z3492" s="21" t="s">
        <v>2272</v>
      </c>
      <c r="AA3492" s="198" t="s">
        <v>37</v>
      </c>
      <c r="AB3492" s="198" t="s">
        <v>37</v>
      </c>
      <c r="AC3492" s="21" t="s">
        <v>2272</v>
      </c>
      <c r="AD3492" s="198"/>
      <c r="AE3492" s="198"/>
    </row>
    <row r="3493" spans="1:31" ht="40" customHeight="1">
      <c r="A3493" s="198" t="s">
        <v>8991</v>
      </c>
      <c r="B3493" s="198" t="s">
        <v>9002</v>
      </c>
      <c r="C3493" s="4" t="s">
        <v>23</v>
      </c>
      <c r="D3493" s="198" t="s">
        <v>2654</v>
      </c>
      <c r="E3493" s="198" t="s">
        <v>1102</v>
      </c>
      <c r="F3493" s="4" t="s">
        <v>27</v>
      </c>
      <c r="G3493" s="198" t="s">
        <v>27</v>
      </c>
      <c r="H3493" s="4" t="s">
        <v>521</v>
      </c>
      <c r="I3493" s="198"/>
      <c r="J3493" s="21" t="s">
        <v>2272</v>
      </c>
      <c r="K3493" s="21" t="s">
        <v>2272</v>
      </c>
      <c r="L3493" s="21" t="s">
        <v>2272</v>
      </c>
      <c r="M3493" s="21" t="s">
        <v>2272</v>
      </c>
      <c r="N3493" s="21" t="s">
        <v>2272</v>
      </c>
      <c r="O3493" s="21" t="s">
        <v>2272</v>
      </c>
      <c r="P3493" s="21" t="s">
        <v>2272</v>
      </c>
      <c r="Q3493" s="21" t="s">
        <v>2272</v>
      </c>
      <c r="R3493" s="21" t="s">
        <v>2272</v>
      </c>
      <c r="S3493" s="21" t="s">
        <v>2272</v>
      </c>
      <c r="T3493" s="21" t="s">
        <v>2272</v>
      </c>
      <c r="U3493" s="21">
        <f>'Record info'!K$1411*Y3493</f>
        <v>265160.33999999997</v>
      </c>
      <c r="V3493" s="21" t="s">
        <v>2272</v>
      </c>
      <c r="W3493" s="21">
        <f>79*0.174</f>
        <v>13.745999999999999</v>
      </c>
      <c r="X3493" s="21" t="s">
        <v>2272</v>
      </c>
      <c r="Y3493" s="21">
        <f t="shared" si="4"/>
        <v>13.745999999999999</v>
      </c>
      <c r="Z3493" s="21" t="s">
        <v>2272</v>
      </c>
      <c r="AA3493" s="198" t="s">
        <v>84</v>
      </c>
      <c r="AB3493" s="198" t="s">
        <v>84</v>
      </c>
      <c r="AC3493" s="21" t="s">
        <v>2272</v>
      </c>
      <c r="AD3493" s="21"/>
      <c r="AE3493" s="21"/>
    </row>
    <row r="3494" spans="1:31" ht="40" customHeight="1">
      <c r="A3494" s="198" t="s">
        <v>8991</v>
      </c>
      <c r="B3494" s="198" t="s">
        <v>9071</v>
      </c>
      <c r="C3494" s="4" t="s">
        <v>23</v>
      </c>
      <c r="D3494" s="198" t="s">
        <v>2654</v>
      </c>
      <c r="E3494" s="198" t="s">
        <v>1102</v>
      </c>
      <c r="F3494" s="4" t="s">
        <v>27</v>
      </c>
      <c r="G3494" s="198" t="s">
        <v>27</v>
      </c>
      <c r="H3494" s="4" t="s">
        <v>521</v>
      </c>
      <c r="I3494" s="198"/>
      <c r="J3494" s="21" t="s">
        <v>2272</v>
      </c>
      <c r="K3494" s="21" t="s">
        <v>2272</v>
      </c>
      <c r="L3494" s="21" t="s">
        <v>2272</v>
      </c>
      <c r="M3494" s="21" t="s">
        <v>2272</v>
      </c>
      <c r="N3494" s="21" t="s">
        <v>2272</v>
      </c>
      <c r="O3494" s="21" t="s">
        <v>2272</v>
      </c>
      <c r="P3494" s="21" t="s">
        <v>2272</v>
      </c>
      <c r="Q3494" s="21" t="s">
        <v>2272</v>
      </c>
      <c r="R3494" s="21" t="s">
        <v>2272</v>
      </c>
      <c r="S3494" s="21" t="s">
        <v>2272</v>
      </c>
      <c r="T3494" s="21" t="s">
        <v>2272</v>
      </c>
      <c r="U3494" s="21">
        <f>'Record info'!K$1411*Y3494</f>
        <v>141723.63</v>
      </c>
      <c r="V3494" s="21" t="s">
        <v>2272</v>
      </c>
      <c r="W3494" s="21">
        <f>79*0.093</f>
        <v>7.3469999999999995</v>
      </c>
      <c r="X3494" s="21" t="s">
        <v>2272</v>
      </c>
      <c r="Y3494" s="21">
        <f t="shared" ref="Y3494:Y3510" si="5">W3494</f>
        <v>7.3469999999999995</v>
      </c>
      <c r="Z3494" s="21" t="s">
        <v>2272</v>
      </c>
      <c r="AA3494" s="198" t="s">
        <v>33</v>
      </c>
      <c r="AB3494" s="198" t="s">
        <v>33</v>
      </c>
      <c r="AC3494" s="21" t="s">
        <v>2272</v>
      </c>
      <c r="AD3494" s="21"/>
      <c r="AE3494" s="21"/>
    </row>
    <row r="3495" spans="1:31" ht="40" customHeight="1">
      <c r="A3495" s="198" t="s">
        <v>8991</v>
      </c>
      <c r="B3495" s="198" t="s">
        <v>9072</v>
      </c>
      <c r="C3495" s="4" t="s">
        <v>23</v>
      </c>
      <c r="D3495" s="198" t="s">
        <v>2654</v>
      </c>
      <c r="E3495" s="198" t="s">
        <v>1102</v>
      </c>
      <c r="F3495" s="4" t="s">
        <v>27</v>
      </c>
      <c r="G3495" s="198" t="s">
        <v>27</v>
      </c>
      <c r="H3495" s="4" t="s">
        <v>521</v>
      </c>
      <c r="I3495" s="198"/>
      <c r="J3495" s="21" t="s">
        <v>2272</v>
      </c>
      <c r="K3495" s="21" t="s">
        <v>2272</v>
      </c>
      <c r="L3495" s="21" t="s">
        <v>2272</v>
      </c>
      <c r="M3495" s="21" t="s">
        <v>2272</v>
      </c>
      <c r="N3495" s="21" t="s">
        <v>2272</v>
      </c>
      <c r="O3495" s="21" t="s">
        <v>2272</v>
      </c>
      <c r="P3495" s="21" t="s">
        <v>2272</v>
      </c>
      <c r="Q3495" s="21" t="s">
        <v>2272</v>
      </c>
      <c r="R3495" s="21" t="s">
        <v>2272</v>
      </c>
      <c r="S3495" s="21" t="s">
        <v>2272</v>
      </c>
      <c r="T3495" s="21" t="s">
        <v>2272</v>
      </c>
      <c r="U3495" s="21">
        <f>'Record info'!K$1411*Y3495</f>
        <v>41145.57</v>
      </c>
      <c r="V3495" s="21" t="s">
        <v>2272</v>
      </c>
      <c r="W3495" s="21">
        <f>79*0.027</f>
        <v>2.133</v>
      </c>
      <c r="X3495" s="21" t="s">
        <v>2272</v>
      </c>
      <c r="Y3495" s="21">
        <f t="shared" si="5"/>
        <v>2.133</v>
      </c>
      <c r="Z3495" s="21" t="s">
        <v>2272</v>
      </c>
      <c r="AA3495" s="198" t="s">
        <v>402</v>
      </c>
      <c r="AB3495" s="198" t="s">
        <v>402</v>
      </c>
      <c r="AC3495" s="21" t="s">
        <v>2272</v>
      </c>
      <c r="AD3495" s="21"/>
      <c r="AE3495" s="21"/>
    </row>
    <row r="3496" spans="1:31" ht="40" customHeight="1">
      <c r="A3496" s="198" t="s">
        <v>8991</v>
      </c>
      <c r="B3496" s="198" t="s">
        <v>9073</v>
      </c>
      <c r="C3496" s="4" t="s">
        <v>23</v>
      </c>
      <c r="D3496" s="198" t="s">
        <v>2654</v>
      </c>
      <c r="E3496" s="198" t="s">
        <v>1102</v>
      </c>
      <c r="F3496" s="4" t="s">
        <v>27</v>
      </c>
      <c r="G3496" s="198" t="s">
        <v>27</v>
      </c>
      <c r="H3496" s="4" t="s">
        <v>521</v>
      </c>
      <c r="I3496" s="198"/>
      <c r="J3496" s="21" t="s">
        <v>2272</v>
      </c>
      <c r="K3496" s="21" t="s">
        <v>2272</v>
      </c>
      <c r="L3496" s="21" t="s">
        <v>2272</v>
      </c>
      <c r="M3496" s="21" t="s">
        <v>2272</v>
      </c>
      <c r="N3496" s="21" t="s">
        <v>2272</v>
      </c>
      <c r="O3496" s="21" t="s">
        <v>2272</v>
      </c>
      <c r="P3496" s="21" t="s">
        <v>2272</v>
      </c>
      <c r="Q3496" s="21" t="s">
        <v>2272</v>
      </c>
      <c r="R3496" s="21" t="s">
        <v>2272</v>
      </c>
      <c r="S3496" s="21" t="s">
        <v>2272</v>
      </c>
      <c r="T3496" s="21" t="s">
        <v>2272</v>
      </c>
      <c r="U3496" s="21">
        <f>'Record info'!K$1411*Y3496</f>
        <v>9143.4600000000009</v>
      </c>
      <c r="V3496" s="21" t="s">
        <v>2272</v>
      </c>
      <c r="W3496" s="21">
        <f>79*0.006</f>
        <v>0.47400000000000003</v>
      </c>
      <c r="X3496" s="21" t="s">
        <v>2272</v>
      </c>
      <c r="Y3496" s="21">
        <f t="shared" si="5"/>
        <v>0.47400000000000003</v>
      </c>
      <c r="Z3496" s="21" t="s">
        <v>2272</v>
      </c>
      <c r="AA3496" s="198" t="s">
        <v>403</v>
      </c>
      <c r="AB3496" s="198" t="s">
        <v>403</v>
      </c>
      <c r="AC3496" s="21" t="s">
        <v>2272</v>
      </c>
      <c r="AD3496" s="21"/>
      <c r="AE3496" s="21"/>
    </row>
    <row r="3497" spans="1:31" ht="40" customHeight="1">
      <c r="A3497" s="198" t="s">
        <v>8991</v>
      </c>
      <c r="B3497" s="198" t="s">
        <v>9074</v>
      </c>
      <c r="C3497" s="4" t="s">
        <v>23</v>
      </c>
      <c r="D3497" s="198" t="s">
        <v>2654</v>
      </c>
      <c r="E3497" s="198" t="s">
        <v>1102</v>
      </c>
      <c r="F3497" s="4" t="s">
        <v>27</v>
      </c>
      <c r="G3497" s="198" t="s">
        <v>27</v>
      </c>
      <c r="H3497" s="4" t="s">
        <v>521</v>
      </c>
      <c r="I3497" s="198"/>
      <c r="J3497" s="21" t="s">
        <v>2272</v>
      </c>
      <c r="K3497" s="21" t="s">
        <v>2272</v>
      </c>
      <c r="L3497" s="21" t="s">
        <v>2272</v>
      </c>
      <c r="M3497" s="21" t="s">
        <v>2272</v>
      </c>
      <c r="N3497" s="21" t="s">
        <v>2272</v>
      </c>
      <c r="O3497" s="21" t="s">
        <v>2272</v>
      </c>
      <c r="P3497" s="21" t="s">
        <v>2272</v>
      </c>
      <c r="Q3497" s="21" t="s">
        <v>2272</v>
      </c>
      <c r="R3497" s="21" t="s">
        <v>2272</v>
      </c>
      <c r="S3497" s="21" t="s">
        <v>2272</v>
      </c>
      <c r="T3497" s="21" t="s">
        <v>2272</v>
      </c>
      <c r="U3497" s="21">
        <f>'Record info'!K$1411*Y3497</f>
        <v>15239.1</v>
      </c>
      <c r="V3497" s="21" t="s">
        <v>2272</v>
      </c>
      <c r="W3497" s="21">
        <f>79*0.01</f>
        <v>0.79</v>
      </c>
      <c r="X3497" s="21" t="s">
        <v>2272</v>
      </c>
      <c r="Y3497" s="21">
        <f t="shared" si="5"/>
        <v>0.79</v>
      </c>
      <c r="Z3497" s="21" t="s">
        <v>2272</v>
      </c>
      <c r="AA3497" s="198" t="s">
        <v>423</v>
      </c>
      <c r="AB3497" s="198" t="s">
        <v>423</v>
      </c>
      <c r="AC3497" s="21" t="s">
        <v>2272</v>
      </c>
      <c r="AD3497" s="21"/>
      <c r="AE3497" s="21"/>
    </row>
    <row r="3498" spans="1:31" ht="40" customHeight="1">
      <c r="A3498" s="198" t="s">
        <v>8991</v>
      </c>
      <c r="B3498" s="198" t="s">
        <v>9075</v>
      </c>
      <c r="C3498" s="4" t="s">
        <v>23</v>
      </c>
      <c r="D3498" s="198" t="s">
        <v>2654</v>
      </c>
      <c r="E3498" s="198" t="s">
        <v>1102</v>
      </c>
      <c r="F3498" s="4" t="s">
        <v>27</v>
      </c>
      <c r="G3498" s="198" t="s">
        <v>27</v>
      </c>
      <c r="H3498" s="4" t="s">
        <v>521</v>
      </c>
      <c r="I3498" s="198"/>
      <c r="J3498" s="21" t="s">
        <v>2272</v>
      </c>
      <c r="K3498" s="21" t="s">
        <v>2272</v>
      </c>
      <c r="L3498" s="21" t="s">
        <v>2272</v>
      </c>
      <c r="M3498" s="21" t="s">
        <v>2272</v>
      </c>
      <c r="N3498" s="21" t="s">
        <v>2272</v>
      </c>
      <c r="O3498" s="21" t="s">
        <v>2272</v>
      </c>
      <c r="P3498" s="21" t="s">
        <v>2272</v>
      </c>
      <c r="Q3498" s="21" t="s">
        <v>2272</v>
      </c>
      <c r="R3498" s="21" t="s">
        <v>2272</v>
      </c>
      <c r="S3498" s="21" t="s">
        <v>2272</v>
      </c>
      <c r="T3498" s="21" t="s">
        <v>2272</v>
      </c>
      <c r="U3498" s="21">
        <f>'Record info'!K$1411*Y3498</f>
        <v>27430.379999999997</v>
      </c>
      <c r="V3498" s="21" t="s">
        <v>2272</v>
      </c>
      <c r="W3498" s="21">
        <f>79*0.018</f>
        <v>1.4219999999999999</v>
      </c>
      <c r="X3498" s="21" t="s">
        <v>2272</v>
      </c>
      <c r="Y3498" s="21">
        <f t="shared" si="5"/>
        <v>1.4219999999999999</v>
      </c>
      <c r="Z3498" s="21" t="s">
        <v>2272</v>
      </c>
      <c r="AA3498" s="198" t="s">
        <v>67</v>
      </c>
      <c r="AB3498" s="198" t="s">
        <v>67</v>
      </c>
      <c r="AC3498" s="21" t="s">
        <v>2272</v>
      </c>
      <c r="AD3498" s="21"/>
      <c r="AE3498" s="21"/>
    </row>
    <row r="3499" spans="1:31" ht="40" customHeight="1">
      <c r="A3499" s="198" t="s">
        <v>8991</v>
      </c>
      <c r="B3499" s="198" t="s">
        <v>9076</v>
      </c>
      <c r="C3499" s="4" t="s">
        <v>23</v>
      </c>
      <c r="D3499" s="198" t="s">
        <v>2654</v>
      </c>
      <c r="E3499" s="198" t="s">
        <v>1102</v>
      </c>
      <c r="F3499" s="4" t="s">
        <v>27</v>
      </c>
      <c r="G3499" s="198" t="s">
        <v>27</v>
      </c>
      <c r="H3499" s="4" t="s">
        <v>521</v>
      </c>
      <c r="I3499" s="198"/>
      <c r="J3499" s="21" t="s">
        <v>2272</v>
      </c>
      <c r="K3499" s="21" t="s">
        <v>2272</v>
      </c>
      <c r="L3499" s="21" t="s">
        <v>2272</v>
      </c>
      <c r="M3499" s="21" t="s">
        <v>2272</v>
      </c>
      <c r="N3499" s="21" t="s">
        <v>2272</v>
      </c>
      <c r="O3499" s="21" t="s">
        <v>2272</v>
      </c>
      <c r="P3499" s="21" t="s">
        <v>2272</v>
      </c>
      <c r="Q3499" s="21" t="s">
        <v>2272</v>
      </c>
      <c r="R3499" s="21" t="s">
        <v>2272</v>
      </c>
      <c r="S3499" s="21" t="s">
        <v>2272</v>
      </c>
      <c r="T3499" s="21" t="s">
        <v>2272</v>
      </c>
      <c r="U3499" s="21">
        <f>'Record info'!K$1411*Y3499</f>
        <v>64004.22</v>
      </c>
      <c r="V3499" s="21" t="s">
        <v>2272</v>
      </c>
      <c r="W3499" s="21">
        <f>79*0.042</f>
        <v>3.3180000000000001</v>
      </c>
      <c r="X3499" s="21" t="s">
        <v>2272</v>
      </c>
      <c r="Y3499" s="21">
        <f t="shared" si="5"/>
        <v>3.3180000000000001</v>
      </c>
      <c r="Z3499" s="21" t="s">
        <v>2272</v>
      </c>
      <c r="AA3499" s="198" t="s">
        <v>34</v>
      </c>
      <c r="AB3499" s="198" t="s">
        <v>34</v>
      </c>
      <c r="AC3499" s="21" t="s">
        <v>2272</v>
      </c>
      <c r="AD3499" s="21"/>
      <c r="AE3499" s="21"/>
    </row>
    <row r="3500" spans="1:31" ht="40" customHeight="1">
      <c r="A3500" s="198" t="s">
        <v>8991</v>
      </c>
      <c r="B3500" s="198" t="s">
        <v>9077</v>
      </c>
      <c r="C3500" s="4" t="s">
        <v>23</v>
      </c>
      <c r="D3500" s="198" t="s">
        <v>2654</v>
      </c>
      <c r="E3500" s="198" t="s">
        <v>1102</v>
      </c>
      <c r="F3500" s="4" t="s">
        <v>27</v>
      </c>
      <c r="G3500" s="198" t="s">
        <v>27</v>
      </c>
      <c r="H3500" s="4" t="s">
        <v>521</v>
      </c>
      <c r="I3500" s="198"/>
      <c r="J3500" s="21" t="s">
        <v>2272</v>
      </c>
      <c r="K3500" s="21" t="s">
        <v>2272</v>
      </c>
      <c r="L3500" s="21" t="s">
        <v>2272</v>
      </c>
      <c r="M3500" s="21" t="s">
        <v>2272</v>
      </c>
      <c r="N3500" s="21" t="s">
        <v>2272</v>
      </c>
      <c r="O3500" s="21" t="s">
        <v>2272</v>
      </c>
      <c r="P3500" s="21" t="s">
        <v>2272</v>
      </c>
      <c r="Q3500" s="21" t="s">
        <v>2272</v>
      </c>
      <c r="R3500" s="21" t="s">
        <v>2272</v>
      </c>
      <c r="S3500" s="21" t="s">
        <v>2272</v>
      </c>
      <c r="T3500" s="21" t="s">
        <v>2272</v>
      </c>
      <c r="U3500" s="21">
        <f>'Record info'!K$1411*Y3500</f>
        <v>292590.72000000003</v>
      </c>
      <c r="V3500" s="21" t="s">
        <v>2272</v>
      </c>
      <c r="W3500" s="21">
        <f>79*0.192</f>
        <v>15.168000000000001</v>
      </c>
      <c r="X3500" s="21" t="s">
        <v>2272</v>
      </c>
      <c r="Y3500" s="21">
        <f t="shared" si="5"/>
        <v>15.168000000000001</v>
      </c>
      <c r="Z3500" s="21" t="s">
        <v>2272</v>
      </c>
      <c r="AA3500" s="198" t="s">
        <v>125</v>
      </c>
      <c r="AB3500" s="198" t="s">
        <v>125</v>
      </c>
      <c r="AC3500" s="21" t="s">
        <v>2272</v>
      </c>
      <c r="AD3500" s="21"/>
      <c r="AE3500" s="21"/>
    </row>
    <row r="3501" spans="1:31" ht="40" customHeight="1">
      <c r="A3501" s="198" t="s">
        <v>8991</v>
      </c>
      <c r="B3501" s="198" t="s">
        <v>9078</v>
      </c>
      <c r="C3501" s="163" t="s">
        <v>23</v>
      </c>
      <c r="D3501" s="35" t="s">
        <v>2654</v>
      </c>
      <c r="E3501" s="35" t="s">
        <v>1102</v>
      </c>
      <c r="F3501" s="163" t="s">
        <v>27</v>
      </c>
      <c r="G3501" s="35" t="s">
        <v>27</v>
      </c>
      <c r="H3501" s="163" t="s">
        <v>521</v>
      </c>
      <c r="I3501" s="198"/>
      <c r="J3501" s="21" t="s">
        <v>2272</v>
      </c>
      <c r="K3501" s="21" t="s">
        <v>2272</v>
      </c>
      <c r="L3501" s="21" t="s">
        <v>2272</v>
      </c>
      <c r="M3501" s="21" t="s">
        <v>2272</v>
      </c>
      <c r="N3501" s="21" t="s">
        <v>2272</v>
      </c>
      <c r="O3501" s="21" t="s">
        <v>2272</v>
      </c>
      <c r="P3501" s="21" t="s">
        <v>2272</v>
      </c>
      <c r="Q3501" s="21" t="s">
        <v>2272</v>
      </c>
      <c r="R3501" s="21" t="s">
        <v>2272</v>
      </c>
      <c r="S3501" s="21" t="s">
        <v>2272</v>
      </c>
      <c r="T3501" s="21" t="s">
        <v>2272</v>
      </c>
      <c r="U3501" s="21">
        <f>'Record info'!K$1411*Y3501</f>
        <v>321545.01</v>
      </c>
      <c r="V3501" s="21" t="s">
        <v>2272</v>
      </c>
      <c r="W3501" s="21">
        <f>79*0.211</f>
        <v>16.669</v>
      </c>
      <c r="X3501" s="21" t="s">
        <v>2272</v>
      </c>
      <c r="Y3501" s="21">
        <f t="shared" si="5"/>
        <v>16.669</v>
      </c>
      <c r="Z3501" s="21" t="s">
        <v>2272</v>
      </c>
      <c r="AA3501" s="198" t="s">
        <v>397</v>
      </c>
      <c r="AB3501" s="198" t="s">
        <v>397</v>
      </c>
      <c r="AC3501" s="21" t="s">
        <v>2272</v>
      </c>
      <c r="AD3501" s="21"/>
      <c r="AE3501" s="21"/>
    </row>
    <row r="3502" spans="1:31" ht="40" customHeight="1">
      <c r="A3502" s="198" t="s">
        <v>8991</v>
      </c>
      <c r="B3502" s="198" t="s">
        <v>9079</v>
      </c>
      <c r="C3502" s="163" t="s">
        <v>23</v>
      </c>
      <c r="D3502" s="35" t="s">
        <v>2654</v>
      </c>
      <c r="E3502" s="35" t="s">
        <v>1102</v>
      </c>
      <c r="F3502" s="163" t="s">
        <v>27</v>
      </c>
      <c r="G3502" s="35" t="s">
        <v>27</v>
      </c>
      <c r="H3502" s="163" t="s">
        <v>521</v>
      </c>
      <c r="I3502" s="198"/>
      <c r="J3502" s="21" t="s">
        <v>2272</v>
      </c>
      <c r="K3502" s="21" t="s">
        <v>2272</v>
      </c>
      <c r="L3502" s="21" t="s">
        <v>2272</v>
      </c>
      <c r="M3502" s="21" t="s">
        <v>2272</v>
      </c>
      <c r="N3502" s="21" t="s">
        <v>2272</v>
      </c>
      <c r="O3502" s="21" t="s">
        <v>2272</v>
      </c>
      <c r="P3502" s="21" t="s">
        <v>2272</v>
      </c>
      <c r="Q3502" s="21" t="s">
        <v>2272</v>
      </c>
      <c r="R3502" s="21" t="s">
        <v>2272</v>
      </c>
      <c r="S3502" s="21" t="s">
        <v>2272</v>
      </c>
      <c r="T3502" s="21" t="s">
        <v>2272</v>
      </c>
      <c r="U3502" s="21">
        <f>'Record info'!K$1411*Y3502</f>
        <v>83815.049999999988</v>
      </c>
      <c r="V3502" s="21" t="s">
        <v>2272</v>
      </c>
      <c r="W3502" s="21">
        <f>79*0.055</f>
        <v>4.3449999999999998</v>
      </c>
      <c r="X3502" s="21" t="s">
        <v>2272</v>
      </c>
      <c r="Y3502" s="21">
        <f t="shared" si="5"/>
        <v>4.3449999999999998</v>
      </c>
      <c r="Z3502" s="21" t="s">
        <v>2272</v>
      </c>
      <c r="AA3502" s="198" t="s">
        <v>186</v>
      </c>
      <c r="AB3502" s="198" t="s">
        <v>186</v>
      </c>
      <c r="AC3502" s="21" t="s">
        <v>2272</v>
      </c>
      <c r="AD3502" s="198"/>
      <c r="AE3502" s="198"/>
    </row>
    <row r="3503" spans="1:31" ht="40" customHeight="1">
      <c r="A3503" s="198" t="s">
        <v>8991</v>
      </c>
      <c r="B3503" s="198" t="s">
        <v>9080</v>
      </c>
      <c r="C3503" s="4" t="s">
        <v>23</v>
      </c>
      <c r="D3503" s="198" t="s">
        <v>2654</v>
      </c>
      <c r="E3503" s="198" t="s">
        <v>1102</v>
      </c>
      <c r="F3503" s="4" t="s">
        <v>27</v>
      </c>
      <c r="G3503" s="198" t="s">
        <v>27</v>
      </c>
      <c r="H3503" s="4" t="s">
        <v>521</v>
      </c>
      <c r="I3503" s="198"/>
      <c r="J3503" s="21" t="s">
        <v>2272</v>
      </c>
      <c r="K3503" s="21" t="s">
        <v>2272</v>
      </c>
      <c r="L3503" s="21" t="s">
        <v>2272</v>
      </c>
      <c r="M3503" s="21" t="s">
        <v>2272</v>
      </c>
      <c r="N3503" s="21" t="s">
        <v>2272</v>
      </c>
      <c r="O3503" s="21" t="s">
        <v>2272</v>
      </c>
      <c r="P3503" s="21" t="s">
        <v>2272</v>
      </c>
      <c r="Q3503" s="21" t="s">
        <v>2272</v>
      </c>
      <c r="R3503" s="21" t="s">
        <v>2272</v>
      </c>
      <c r="S3503" s="21" t="s">
        <v>2272</v>
      </c>
      <c r="T3503" s="21" t="s">
        <v>2272</v>
      </c>
      <c r="U3503" s="21">
        <f>'Record info'!K$1411*Y3503</f>
        <v>85338.96</v>
      </c>
      <c r="V3503" s="21" t="s">
        <v>2272</v>
      </c>
      <c r="W3503" s="21">
        <f>79*0.056</f>
        <v>4.4240000000000004</v>
      </c>
      <c r="X3503" s="21" t="s">
        <v>2272</v>
      </c>
      <c r="Y3503" s="21">
        <f t="shared" si="5"/>
        <v>4.4240000000000004</v>
      </c>
      <c r="Z3503" s="21" t="s">
        <v>2272</v>
      </c>
      <c r="AA3503" s="198" t="s">
        <v>187</v>
      </c>
      <c r="AB3503" s="198" t="s">
        <v>187</v>
      </c>
      <c r="AC3503" s="21" t="s">
        <v>2272</v>
      </c>
      <c r="AD3503" s="198"/>
      <c r="AE3503" s="198"/>
    </row>
    <row r="3504" spans="1:31" ht="38" customHeight="1">
      <c r="A3504" s="198" t="s">
        <v>8991</v>
      </c>
      <c r="B3504" s="198" t="s">
        <v>9081</v>
      </c>
      <c r="C3504" s="4" t="s">
        <v>23</v>
      </c>
      <c r="D3504" s="198" t="s">
        <v>2654</v>
      </c>
      <c r="E3504" s="198" t="s">
        <v>1102</v>
      </c>
      <c r="F3504" s="4" t="s">
        <v>27</v>
      </c>
      <c r="G3504" s="198" t="s">
        <v>27</v>
      </c>
      <c r="H3504" s="4" t="s">
        <v>521</v>
      </c>
      <c r="I3504" s="198"/>
      <c r="J3504" s="21" t="s">
        <v>2272</v>
      </c>
      <c r="K3504" s="21" t="s">
        <v>2272</v>
      </c>
      <c r="L3504" s="21" t="s">
        <v>2272</v>
      </c>
      <c r="M3504" s="21" t="s">
        <v>2272</v>
      </c>
      <c r="N3504" s="21" t="s">
        <v>2272</v>
      </c>
      <c r="O3504" s="21" t="s">
        <v>2272</v>
      </c>
      <c r="P3504" s="21" t="s">
        <v>2272</v>
      </c>
      <c r="Q3504" s="21" t="s">
        <v>2272</v>
      </c>
      <c r="R3504" s="21" t="s">
        <v>2272</v>
      </c>
      <c r="S3504" s="21" t="s">
        <v>2272</v>
      </c>
      <c r="T3504" s="21" t="s">
        <v>2272</v>
      </c>
      <c r="U3504" s="21">
        <f>'Record info'!K$1411*Y3504</f>
        <v>178297.47</v>
      </c>
      <c r="V3504" s="21" t="s">
        <v>2272</v>
      </c>
      <c r="W3504" s="21">
        <f>79*0.117</f>
        <v>9.2430000000000003</v>
      </c>
      <c r="X3504" s="21" t="s">
        <v>2272</v>
      </c>
      <c r="Y3504" s="21">
        <f t="shared" si="5"/>
        <v>9.2430000000000003</v>
      </c>
      <c r="Z3504" s="21" t="s">
        <v>2272</v>
      </c>
      <c r="AA3504" s="198" t="s">
        <v>37</v>
      </c>
      <c r="AB3504" s="198" t="s">
        <v>37</v>
      </c>
      <c r="AC3504" s="21" t="s">
        <v>2272</v>
      </c>
      <c r="AD3504" s="198"/>
      <c r="AE3504" s="198"/>
    </row>
    <row r="3505" spans="1:31" ht="38" customHeight="1">
      <c r="A3505" s="198" t="s">
        <v>8992</v>
      </c>
      <c r="B3505" s="198" t="s">
        <v>9003</v>
      </c>
      <c r="C3505" s="4" t="s">
        <v>23</v>
      </c>
      <c r="D3505" s="198" t="s">
        <v>2654</v>
      </c>
      <c r="E3505" s="198" t="s">
        <v>1102</v>
      </c>
      <c r="F3505" s="4" t="s">
        <v>27</v>
      </c>
      <c r="G3505" s="198" t="s">
        <v>27</v>
      </c>
      <c r="H3505" s="4" t="s">
        <v>521</v>
      </c>
      <c r="I3505" s="198"/>
      <c r="J3505" s="21" t="s">
        <v>2272</v>
      </c>
      <c r="K3505" s="21" t="s">
        <v>2272</v>
      </c>
      <c r="L3505" s="21" t="s">
        <v>2272</v>
      </c>
      <c r="M3505" s="21" t="s">
        <v>2272</v>
      </c>
      <c r="N3505" s="21" t="s">
        <v>2272</v>
      </c>
      <c r="O3505" s="21" t="s">
        <v>2272</v>
      </c>
      <c r="P3505" s="21" t="s">
        <v>2272</v>
      </c>
      <c r="Q3505" s="21" t="s">
        <v>2272</v>
      </c>
      <c r="R3505" s="21" t="s">
        <v>2272</v>
      </c>
      <c r="S3505" s="21" t="s">
        <v>2272</v>
      </c>
      <c r="T3505" s="21" t="s">
        <v>2272</v>
      </c>
      <c r="U3505" s="21">
        <f>'Record info'!K$1411*Y3505</f>
        <v>11979.09</v>
      </c>
      <c r="V3505" s="21" t="s">
        <v>2272</v>
      </c>
      <c r="W3505" s="21">
        <f>27*0.023</f>
        <v>0.621</v>
      </c>
      <c r="X3505" s="21" t="s">
        <v>2272</v>
      </c>
      <c r="Y3505" s="21">
        <f t="shared" si="5"/>
        <v>0.621</v>
      </c>
      <c r="Z3505" s="21" t="s">
        <v>2272</v>
      </c>
      <c r="AA3505" s="198" t="s">
        <v>84</v>
      </c>
      <c r="AB3505" s="198" t="s">
        <v>84</v>
      </c>
      <c r="AC3505" s="21" t="s">
        <v>2272</v>
      </c>
      <c r="AD3505" s="21"/>
      <c r="AE3505" s="21"/>
    </row>
    <row r="3506" spans="1:31" ht="38" customHeight="1">
      <c r="A3506" s="198" t="s">
        <v>8992</v>
      </c>
      <c r="B3506" s="198" t="s">
        <v>9082</v>
      </c>
      <c r="C3506" s="4" t="s">
        <v>23</v>
      </c>
      <c r="D3506" s="198" t="s">
        <v>2654</v>
      </c>
      <c r="E3506" s="198" t="s">
        <v>1102</v>
      </c>
      <c r="F3506" s="4" t="s">
        <v>27</v>
      </c>
      <c r="G3506" s="198" t="s">
        <v>27</v>
      </c>
      <c r="H3506" s="4" t="s">
        <v>521</v>
      </c>
      <c r="I3506" s="198"/>
      <c r="J3506" s="21" t="s">
        <v>2272</v>
      </c>
      <c r="K3506" s="21" t="s">
        <v>2272</v>
      </c>
      <c r="L3506" s="21" t="s">
        <v>2272</v>
      </c>
      <c r="M3506" s="21" t="s">
        <v>2272</v>
      </c>
      <c r="N3506" s="21" t="s">
        <v>2272</v>
      </c>
      <c r="O3506" s="21" t="s">
        <v>2272</v>
      </c>
      <c r="P3506" s="21" t="s">
        <v>2272</v>
      </c>
      <c r="Q3506" s="21" t="s">
        <v>2272</v>
      </c>
      <c r="R3506" s="21" t="s">
        <v>2272</v>
      </c>
      <c r="S3506" s="21" t="s">
        <v>2272</v>
      </c>
      <c r="T3506" s="21" t="s">
        <v>2272</v>
      </c>
      <c r="U3506" s="21">
        <f>'Record info'!K$1411*Y3506</f>
        <v>13020.75</v>
      </c>
      <c r="V3506" s="21" t="s">
        <v>2272</v>
      </c>
      <c r="W3506" s="21">
        <f>27*0.025</f>
        <v>0.67500000000000004</v>
      </c>
      <c r="X3506" s="21" t="s">
        <v>2272</v>
      </c>
      <c r="Y3506" s="21">
        <f t="shared" si="5"/>
        <v>0.67500000000000004</v>
      </c>
      <c r="Z3506" s="21" t="s">
        <v>2272</v>
      </c>
      <c r="AA3506" s="198" t="s">
        <v>33</v>
      </c>
      <c r="AB3506" s="198" t="s">
        <v>33</v>
      </c>
      <c r="AC3506" s="21" t="s">
        <v>2272</v>
      </c>
      <c r="AD3506" s="21"/>
      <c r="AE3506" s="21"/>
    </row>
    <row r="3507" spans="1:31" ht="38" customHeight="1">
      <c r="A3507" s="198" t="s">
        <v>8992</v>
      </c>
      <c r="B3507" s="198" t="s">
        <v>9083</v>
      </c>
      <c r="C3507" s="4" t="s">
        <v>23</v>
      </c>
      <c r="D3507" s="198" t="s">
        <v>2654</v>
      </c>
      <c r="E3507" s="198" t="s">
        <v>1102</v>
      </c>
      <c r="F3507" s="4" t="s">
        <v>27</v>
      </c>
      <c r="G3507" s="198" t="s">
        <v>27</v>
      </c>
      <c r="H3507" s="4" t="s">
        <v>521</v>
      </c>
      <c r="I3507" s="198"/>
      <c r="J3507" s="21" t="s">
        <v>2272</v>
      </c>
      <c r="K3507" s="21" t="s">
        <v>2272</v>
      </c>
      <c r="L3507" s="21" t="s">
        <v>2272</v>
      </c>
      <c r="M3507" s="21" t="s">
        <v>2272</v>
      </c>
      <c r="N3507" s="21" t="s">
        <v>2272</v>
      </c>
      <c r="O3507" s="21" t="s">
        <v>2272</v>
      </c>
      <c r="P3507" s="21" t="s">
        <v>2272</v>
      </c>
      <c r="Q3507" s="21" t="s">
        <v>2272</v>
      </c>
      <c r="R3507" s="21" t="s">
        <v>2272</v>
      </c>
      <c r="S3507" s="21" t="s">
        <v>2272</v>
      </c>
      <c r="T3507" s="21" t="s">
        <v>2272</v>
      </c>
      <c r="U3507" s="21">
        <f>'Record info'!K$1411*Y3507</f>
        <v>45312.209999999992</v>
      </c>
      <c r="V3507" s="21" t="s">
        <v>2272</v>
      </c>
      <c r="W3507" s="21">
        <f>27*0.087</f>
        <v>2.3489999999999998</v>
      </c>
      <c r="X3507" s="21" t="s">
        <v>2272</v>
      </c>
      <c r="Y3507" s="21">
        <f t="shared" si="5"/>
        <v>2.3489999999999998</v>
      </c>
      <c r="Z3507" s="21" t="s">
        <v>2272</v>
      </c>
      <c r="AA3507" s="198" t="s">
        <v>402</v>
      </c>
      <c r="AB3507" s="198" t="s">
        <v>402</v>
      </c>
      <c r="AC3507" s="21" t="s">
        <v>2272</v>
      </c>
      <c r="AD3507" s="21"/>
      <c r="AE3507" s="21"/>
    </row>
    <row r="3508" spans="1:31" ht="38" customHeight="1">
      <c r="A3508" s="198" t="s">
        <v>8992</v>
      </c>
      <c r="B3508" s="198" t="s">
        <v>9084</v>
      </c>
      <c r="C3508" s="4" t="s">
        <v>23</v>
      </c>
      <c r="D3508" s="198" t="s">
        <v>2654</v>
      </c>
      <c r="E3508" s="198" t="s">
        <v>1102</v>
      </c>
      <c r="F3508" s="4" t="s">
        <v>27</v>
      </c>
      <c r="G3508" s="198" t="s">
        <v>27</v>
      </c>
      <c r="H3508" s="4" t="s">
        <v>521</v>
      </c>
      <c r="I3508" s="198"/>
      <c r="J3508" s="21" t="s">
        <v>2272</v>
      </c>
      <c r="K3508" s="21" t="s">
        <v>2272</v>
      </c>
      <c r="L3508" s="21" t="s">
        <v>2272</v>
      </c>
      <c r="M3508" s="21" t="s">
        <v>2272</v>
      </c>
      <c r="N3508" s="21" t="s">
        <v>2272</v>
      </c>
      <c r="O3508" s="21" t="s">
        <v>2272</v>
      </c>
      <c r="P3508" s="21" t="s">
        <v>2272</v>
      </c>
      <c r="Q3508" s="21" t="s">
        <v>2272</v>
      </c>
      <c r="R3508" s="21" t="s">
        <v>2272</v>
      </c>
      <c r="S3508" s="21" t="s">
        <v>2272</v>
      </c>
      <c r="T3508" s="21" t="s">
        <v>2272</v>
      </c>
      <c r="U3508" s="21">
        <f>'Record info'!K$1411*Y3508</f>
        <v>82811.97</v>
      </c>
      <c r="V3508" s="21" t="s">
        <v>2272</v>
      </c>
      <c r="W3508" s="21">
        <f>27*0.159</f>
        <v>4.2930000000000001</v>
      </c>
      <c r="X3508" s="21" t="s">
        <v>2272</v>
      </c>
      <c r="Y3508" s="21">
        <f t="shared" si="5"/>
        <v>4.2930000000000001</v>
      </c>
      <c r="Z3508" s="21" t="s">
        <v>2272</v>
      </c>
      <c r="AA3508" s="198" t="s">
        <v>403</v>
      </c>
      <c r="AB3508" s="198" t="s">
        <v>403</v>
      </c>
      <c r="AC3508" s="21" t="s">
        <v>2272</v>
      </c>
      <c r="AD3508" s="21"/>
      <c r="AE3508" s="21"/>
    </row>
    <row r="3509" spans="1:31" ht="38" customHeight="1">
      <c r="A3509" s="198" t="s">
        <v>8992</v>
      </c>
      <c r="B3509" s="198" t="s">
        <v>9085</v>
      </c>
      <c r="C3509" s="4" t="s">
        <v>23</v>
      </c>
      <c r="D3509" s="198" t="s">
        <v>2654</v>
      </c>
      <c r="E3509" s="198" t="s">
        <v>1102</v>
      </c>
      <c r="F3509" s="4" t="s">
        <v>27</v>
      </c>
      <c r="G3509" s="198" t="s">
        <v>27</v>
      </c>
      <c r="H3509" s="4" t="s">
        <v>521</v>
      </c>
      <c r="I3509" s="198"/>
      <c r="J3509" s="21" t="s">
        <v>2272</v>
      </c>
      <c r="K3509" s="21" t="s">
        <v>2272</v>
      </c>
      <c r="L3509" s="21" t="s">
        <v>2272</v>
      </c>
      <c r="M3509" s="21" t="s">
        <v>2272</v>
      </c>
      <c r="N3509" s="21" t="s">
        <v>2272</v>
      </c>
      <c r="O3509" s="21" t="s">
        <v>2272</v>
      </c>
      <c r="P3509" s="21" t="s">
        <v>2272</v>
      </c>
      <c r="Q3509" s="21" t="s">
        <v>2272</v>
      </c>
      <c r="R3509" s="21" t="s">
        <v>2272</v>
      </c>
      <c r="S3509" s="21" t="s">
        <v>2272</v>
      </c>
      <c r="T3509" s="21" t="s">
        <v>2272</v>
      </c>
      <c r="U3509" s="21">
        <f>'Record info'!K$1411*Y3509</f>
        <v>67707.900000000009</v>
      </c>
      <c r="V3509" s="21" t="s">
        <v>2272</v>
      </c>
      <c r="W3509" s="21">
        <f>27*0.13</f>
        <v>3.5100000000000002</v>
      </c>
      <c r="X3509" s="21" t="s">
        <v>2272</v>
      </c>
      <c r="Y3509" s="21">
        <f t="shared" si="5"/>
        <v>3.5100000000000002</v>
      </c>
      <c r="Z3509" s="21" t="s">
        <v>2272</v>
      </c>
      <c r="AA3509" s="198" t="s">
        <v>423</v>
      </c>
      <c r="AB3509" s="198" t="s">
        <v>423</v>
      </c>
      <c r="AC3509" s="21" t="s">
        <v>2272</v>
      </c>
      <c r="AD3509" s="21"/>
      <c r="AE3509" s="21"/>
    </row>
    <row r="3510" spans="1:31" ht="38" customHeight="1">
      <c r="A3510" s="198" t="s">
        <v>8992</v>
      </c>
      <c r="B3510" s="198" t="s">
        <v>9086</v>
      </c>
      <c r="C3510" s="4" t="s">
        <v>23</v>
      </c>
      <c r="D3510" s="198" t="s">
        <v>2654</v>
      </c>
      <c r="E3510" s="198" t="s">
        <v>1102</v>
      </c>
      <c r="F3510" s="4" t="s">
        <v>27</v>
      </c>
      <c r="G3510" s="198" t="s">
        <v>27</v>
      </c>
      <c r="H3510" s="4" t="s">
        <v>521</v>
      </c>
      <c r="I3510" s="198"/>
      <c r="J3510" s="21" t="s">
        <v>2272</v>
      </c>
      <c r="K3510" s="21" t="s">
        <v>2272</v>
      </c>
      <c r="L3510" s="21" t="s">
        <v>2272</v>
      </c>
      <c r="M3510" s="21" t="s">
        <v>2272</v>
      </c>
      <c r="N3510" s="21" t="s">
        <v>2272</v>
      </c>
      <c r="O3510" s="21" t="s">
        <v>2272</v>
      </c>
      <c r="P3510" s="21" t="s">
        <v>2272</v>
      </c>
      <c r="Q3510" s="21" t="s">
        <v>2272</v>
      </c>
      <c r="R3510" s="21" t="s">
        <v>2272</v>
      </c>
      <c r="S3510" s="21" t="s">
        <v>2272</v>
      </c>
      <c r="T3510" s="21" t="s">
        <v>2272</v>
      </c>
      <c r="U3510" s="21">
        <f>'Record info'!K$1411*Y3510</f>
        <v>12499.92</v>
      </c>
      <c r="V3510" s="21" t="s">
        <v>2272</v>
      </c>
      <c r="W3510" s="21">
        <f>27*0.024</f>
        <v>0.64800000000000002</v>
      </c>
      <c r="X3510" s="21" t="s">
        <v>2272</v>
      </c>
      <c r="Y3510" s="21">
        <f t="shared" si="5"/>
        <v>0.64800000000000002</v>
      </c>
      <c r="Z3510" s="21" t="s">
        <v>2272</v>
      </c>
      <c r="AA3510" s="198" t="s">
        <v>67</v>
      </c>
      <c r="AB3510" s="198" t="s">
        <v>67</v>
      </c>
      <c r="AC3510" s="21" t="s">
        <v>2272</v>
      </c>
      <c r="AD3510" s="21"/>
      <c r="AE3510" s="21"/>
    </row>
    <row r="3511" spans="1:31" ht="38" customHeight="1">
      <c r="A3511" s="198" t="s">
        <v>8992</v>
      </c>
      <c r="B3511" s="198" t="s">
        <v>9087</v>
      </c>
      <c r="C3511" s="4" t="s">
        <v>23</v>
      </c>
      <c r="D3511" s="198" t="s">
        <v>2654</v>
      </c>
      <c r="E3511" s="198" t="s">
        <v>1102</v>
      </c>
      <c r="F3511" s="4" t="s">
        <v>27</v>
      </c>
      <c r="G3511" s="198" t="s">
        <v>27</v>
      </c>
      <c r="H3511" s="4" t="s">
        <v>522</v>
      </c>
      <c r="I3511" s="198"/>
      <c r="J3511" s="21">
        <v>0</v>
      </c>
      <c r="K3511" s="21">
        <v>0</v>
      </c>
      <c r="L3511" s="21">
        <v>0</v>
      </c>
      <c r="M3511" s="21">
        <v>0</v>
      </c>
      <c r="N3511" s="21">
        <v>0</v>
      </c>
      <c r="O3511" s="21">
        <v>0</v>
      </c>
      <c r="P3511" s="21">
        <v>0</v>
      </c>
      <c r="Q3511" s="21">
        <v>0</v>
      </c>
      <c r="R3511" s="21">
        <v>0</v>
      </c>
      <c r="S3511" s="21">
        <v>0</v>
      </c>
      <c r="T3511" s="21">
        <v>0</v>
      </c>
      <c r="U3511" s="21">
        <v>0</v>
      </c>
      <c r="V3511" s="21">
        <v>0</v>
      </c>
      <c r="W3511" s="21">
        <v>0</v>
      </c>
      <c r="X3511" s="21">
        <v>0</v>
      </c>
      <c r="Y3511" s="21">
        <v>0</v>
      </c>
      <c r="Z3511" s="21" t="s">
        <v>2272</v>
      </c>
      <c r="AA3511" s="198" t="s">
        <v>34</v>
      </c>
      <c r="AB3511" s="198" t="s">
        <v>34</v>
      </c>
      <c r="AC3511" s="21" t="s">
        <v>2272</v>
      </c>
      <c r="AD3511" s="21"/>
      <c r="AE3511" s="21"/>
    </row>
    <row r="3512" spans="1:31" ht="38" customHeight="1">
      <c r="A3512" s="198" t="s">
        <v>8992</v>
      </c>
      <c r="B3512" s="198" t="s">
        <v>9088</v>
      </c>
      <c r="C3512" s="4" t="s">
        <v>23</v>
      </c>
      <c r="D3512" s="198" t="s">
        <v>2654</v>
      </c>
      <c r="E3512" s="198" t="s">
        <v>1102</v>
      </c>
      <c r="F3512" s="4" t="s">
        <v>27</v>
      </c>
      <c r="G3512" s="198" t="s">
        <v>27</v>
      </c>
      <c r="H3512" s="4" t="s">
        <v>522</v>
      </c>
      <c r="I3512" s="198"/>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v>0</v>
      </c>
      <c r="Y3512" s="21">
        <v>0</v>
      </c>
      <c r="Z3512" s="21" t="s">
        <v>2272</v>
      </c>
      <c r="AA3512" s="198" t="s">
        <v>125</v>
      </c>
      <c r="AB3512" s="198" t="s">
        <v>125</v>
      </c>
      <c r="AC3512" s="21" t="s">
        <v>2272</v>
      </c>
      <c r="AD3512" s="21"/>
      <c r="AE3512" s="21"/>
    </row>
    <row r="3513" spans="1:31" ht="38" customHeight="1">
      <c r="A3513" s="198" t="s">
        <v>8992</v>
      </c>
      <c r="B3513" s="198" t="s">
        <v>9089</v>
      </c>
      <c r="C3513" s="163" t="s">
        <v>23</v>
      </c>
      <c r="D3513" s="35" t="s">
        <v>2654</v>
      </c>
      <c r="E3513" s="35" t="s">
        <v>1102</v>
      </c>
      <c r="F3513" s="163" t="s">
        <v>27</v>
      </c>
      <c r="G3513" s="35" t="s">
        <v>27</v>
      </c>
      <c r="H3513" s="163" t="s">
        <v>521</v>
      </c>
      <c r="I3513" s="198"/>
      <c r="J3513" s="21" t="s">
        <v>2272</v>
      </c>
      <c r="K3513" s="21" t="s">
        <v>2272</v>
      </c>
      <c r="L3513" s="21" t="s">
        <v>2272</v>
      </c>
      <c r="M3513" s="21" t="s">
        <v>2272</v>
      </c>
      <c r="N3513" s="21" t="s">
        <v>2272</v>
      </c>
      <c r="O3513" s="21" t="s">
        <v>2272</v>
      </c>
      <c r="P3513" s="21" t="s">
        <v>2272</v>
      </c>
      <c r="Q3513" s="21" t="s">
        <v>2272</v>
      </c>
      <c r="R3513" s="21" t="s">
        <v>2272</v>
      </c>
      <c r="S3513" s="21" t="s">
        <v>2272</v>
      </c>
      <c r="T3513" s="21" t="s">
        <v>2272</v>
      </c>
      <c r="U3513" s="21">
        <f>'Record info'!K$1411*Y3513</f>
        <v>10416.6</v>
      </c>
      <c r="V3513" s="21" t="s">
        <v>2272</v>
      </c>
      <c r="W3513" s="21">
        <f>27*0.02</f>
        <v>0.54</v>
      </c>
      <c r="X3513" s="21" t="s">
        <v>2272</v>
      </c>
      <c r="Y3513" s="21">
        <f t="shared" ref="Y3513:Y3528" si="6">W3513</f>
        <v>0.54</v>
      </c>
      <c r="Z3513" s="21" t="s">
        <v>2272</v>
      </c>
      <c r="AA3513" s="198" t="s">
        <v>397</v>
      </c>
      <c r="AB3513" s="198" t="s">
        <v>397</v>
      </c>
      <c r="AC3513" s="21" t="s">
        <v>2272</v>
      </c>
      <c r="AD3513" s="21"/>
      <c r="AE3513" s="21"/>
    </row>
    <row r="3514" spans="1:31" ht="38" customHeight="1">
      <c r="A3514" s="198" t="s">
        <v>8992</v>
      </c>
      <c r="B3514" s="198" t="s">
        <v>9090</v>
      </c>
      <c r="C3514" s="163" t="s">
        <v>23</v>
      </c>
      <c r="D3514" s="35" t="s">
        <v>2654</v>
      </c>
      <c r="E3514" s="35" t="s">
        <v>1102</v>
      </c>
      <c r="F3514" s="163" t="s">
        <v>27</v>
      </c>
      <c r="G3514" s="35" t="s">
        <v>27</v>
      </c>
      <c r="H3514" s="163" t="s">
        <v>521</v>
      </c>
      <c r="I3514" s="198"/>
      <c r="J3514" s="21" t="s">
        <v>2272</v>
      </c>
      <c r="K3514" s="21" t="s">
        <v>2272</v>
      </c>
      <c r="L3514" s="21" t="s">
        <v>2272</v>
      </c>
      <c r="M3514" s="21" t="s">
        <v>2272</v>
      </c>
      <c r="N3514" s="21" t="s">
        <v>2272</v>
      </c>
      <c r="O3514" s="21" t="s">
        <v>2272</v>
      </c>
      <c r="P3514" s="21" t="s">
        <v>2272</v>
      </c>
      <c r="Q3514" s="21" t="s">
        <v>2272</v>
      </c>
      <c r="R3514" s="21" t="s">
        <v>2272</v>
      </c>
      <c r="S3514" s="21" t="s">
        <v>2272</v>
      </c>
      <c r="T3514" s="21" t="s">
        <v>2272</v>
      </c>
      <c r="U3514" s="21">
        <f>'Record info'!K$1411*Y3514</f>
        <v>53645.489999999991</v>
      </c>
      <c r="V3514" s="21" t="s">
        <v>2272</v>
      </c>
      <c r="W3514" s="21">
        <f>27*0.103</f>
        <v>2.7809999999999997</v>
      </c>
      <c r="X3514" s="21" t="s">
        <v>2272</v>
      </c>
      <c r="Y3514" s="21">
        <f t="shared" si="6"/>
        <v>2.7809999999999997</v>
      </c>
      <c r="Z3514" s="21" t="s">
        <v>2272</v>
      </c>
      <c r="AA3514" s="198" t="s">
        <v>186</v>
      </c>
      <c r="AB3514" s="198" t="s">
        <v>186</v>
      </c>
      <c r="AC3514" s="21" t="s">
        <v>2272</v>
      </c>
      <c r="AD3514" s="198"/>
      <c r="AE3514" s="198"/>
    </row>
    <row r="3515" spans="1:31" ht="38" customHeight="1">
      <c r="A3515" s="198" t="s">
        <v>8992</v>
      </c>
      <c r="B3515" s="198" t="s">
        <v>9091</v>
      </c>
      <c r="C3515" s="4" t="s">
        <v>23</v>
      </c>
      <c r="D3515" s="198" t="s">
        <v>2654</v>
      </c>
      <c r="E3515" s="198" t="s">
        <v>1102</v>
      </c>
      <c r="F3515" s="4" t="s">
        <v>27</v>
      </c>
      <c r="G3515" s="198" t="s">
        <v>27</v>
      </c>
      <c r="H3515" s="4" t="s">
        <v>521</v>
      </c>
      <c r="I3515" s="198"/>
      <c r="J3515" s="21" t="s">
        <v>2272</v>
      </c>
      <c r="K3515" s="21" t="s">
        <v>2272</v>
      </c>
      <c r="L3515" s="21" t="s">
        <v>2272</v>
      </c>
      <c r="M3515" s="21" t="s">
        <v>2272</v>
      </c>
      <c r="N3515" s="21" t="s">
        <v>2272</v>
      </c>
      <c r="O3515" s="21" t="s">
        <v>2272</v>
      </c>
      <c r="P3515" s="21" t="s">
        <v>2272</v>
      </c>
      <c r="Q3515" s="21" t="s">
        <v>2272</v>
      </c>
      <c r="R3515" s="21" t="s">
        <v>2272</v>
      </c>
      <c r="S3515" s="21" t="s">
        <v>2272</v>
      </c>
      <c r="T3515" s="21" t="s">
        <v>2272</v>
      </c>
      <c r="U3515" s="21">
        <f>'Record info'!K$1411*Y3515</f>
        <v>103645.17</v>
      </c>
      <c r="V3515" s="21" t="s">
        <v>2272</v>
      </c>
      <c r="W3515" s="21">
        <f>27*0.199</f>
        <v>5.3730000000000002</v>
      </c>
      <c r="X3515" s="21" t="s">
        <v>2272</v>
      </c>
      <c r="Y3515" s="21">
        <f t="shared" si="6"/>
        <v>5.3730000000000002</v>
      </c>
      <c r="Z3515" s="21" t="s">
        <v>2272</v>
      </c>
      <c r="AA3515" s="198" t="s">
        <v>187</v>
      </c>
      <c r="AB3515" s="198" t="s">
        <v>187</v>
      </c>
      <c r="AC3515" s="21" t="s">
        <v>2272</v>
      </c>
      <c r="AD3515" s="198"/>
      <c r="AE3515" s="198"/>
    </row>
    <row r="3516" spans="1:31" ht="41.5" customHeight="1">
      <c r="A3516" s="198" t="s">
        <v>8992</v>
      </c>
      <c r="B3516" s="198" t="s">
        <v>9092</v>
      </c>
      <c r="C3516" s="4" t="s">
        <v>23</v>
      </c>
      <c r="D3516" s="198" t="s">
        <v>2654</v>
      </c>
      <c r="E3516" s="198" t="s">
        <v>1102</v>
      </c>
      <c r="F3516" s="4" t="s">
        <v>27</v>
      </c>
      <c r="G3516" s="198" t="s">
        <v>27</v>
      </c>
      <c r="H3516" s="4" t="s">
        <v>521</v>
      </c>
      <c r="I3516" s="198"/>
      <c r="J3516" s="21" t="s">
        <v>2272</v>
      </c>
      <c r="K3516" s="21" t="s">
        <v>2272</v>
      </c>
      <c r="L3516" s="21" t="s">
        <v>2272</v>
      </c>
      <c r="M3516" s="21" t="s">
        <v>2272</v>
      </c>
      <c r="N3516" s="21" t="s">
        <v>2272</v>
      </c>
      <c r="O3516" s="21" t="s">
        <v>2272</v>
      </c>
      <c r="P3516" s="21" t="s">
        <v>2272</v>
      </c>
      <c r="Q3516" s="21" t="s">
        <v>2272</v>
      </c>
      <c r="R3516" s="21" t="s">
        <v>2272</v>
      </c>
      <c r="S3516" s="21" t="s">
        <v>2272</v>
      </c>
      <c r="T3516" s="21" t="s">
        <v>2272</v>
      </c>
      <c r="U3516" s="21">
        <f>'Record info'!K$1411*Y3516</f>
        <v>119270.06999999999</v>
      </c>
      <c r="V3516" s="21" t="s">
        <v>2272</v>
      </c>
      <c r="W3516" s="21">
        <f>27*0.229</f>
        <v>6.1829999999999998</v>
      </c>
      <c r="X3516" s="21" t="s">
        <v>2272</v>
      </c>
      <c r="Y3516" s="21">
        <f t="shared" si="6"/>
        <v>6.1829999999999998</v>
      </c>
      <c r="Z3516" s="21" t="s">
        <v>2272</v>
      </c>
      <c r="AA3516" s="198" t="s">
        <v>37</v>
      </c>
      <c r="AB3516" s="198" t="s">
        <v>37</v>
      </c>
      <c r="AC3516" s="21" t="s">
        <v>2272</v>
      </c>
      <c r="AD3516" s="198"/>
      <c r="AE3516" s="198"/>
    </row>
    <row r="3517" spans="1:31" ht="41.5" customHeight="1">
      <c r="A3517" s="198" t="s">
        <v>8993</v>
      </c>
      <c r="B3517" s="198" t="s">
        <v>9004</v>
      </c>
      <c r="C3517" s="4" t="s">
        <v>23</v>
      </c>
      <c r="D3517" s="198" t="s">
        <v>2654</v>
      </c>
      <c r="E3517" s="198" t="s">
        <v>1102</v>
      </c>
      <c r="F3517" s="4" t="s">
        <v>27</v>
      </c>
      <c r="G3517" s="198" t="s">
        <v>27</v>
      </c>
      <c r="H3517" s="4" t="s">
        <v>521</v>
      </c>
      <c r="I3517" s="198"/>
      <c r="J3517" s="21" t="s">
        <v>2272</v>
      </c>
      <c r="K3517" s="21" t="s">
        <v>2272</v>
      </c>
      <c r="L3517" s="21" t="s">
        <v>2272</v>
      </c>
      <c r="M3517" s="21" t="s">
        <v>2272</v>
      </c>
      <c r="N3517" s="21" t="s">
        <v>2272</v>
      </c>
      <c r="O3517" s="21" t="s">
        <v>2272</v>
      </c>
      <c r="P3517" s="21" t="s">
        <v>2272</v>
      </c>
      <c r="Q3517" s="21" t="s">
        <v>2272</v>
      </c>
      <c r="R3517" s="21" t="s">
        <v>2272</v>
      </c>
      <c r="S3517" s="21" t="s">
        <v>2272</v>
      </c>
      <c r="T3517" s="21" t="s">
        <v>2272</v>
      </c>
      <c r="U3517" s="21">
        <f>'Record info'!K$1411*Y3517</f>
        <v>63078.3</v>
      </c>
      <c r="V3517" s="21" t="s">
        <v>2272</v>
      </c>
      <c r="W3517" s="21">
        <f>30*0.109</f>
        <v>3.27</v>
      </c>
      <c r="X3517" s="21" t="s">
        <v>2272</v>
      </c>
      <c r="Y3517" s="21">
        <f t="shared" si="6"/>
        <v>3.27</v>
      </c>
      <c r="Z3517" s="21" t="s">
        <v>2272</v>
      </c>
      <c r="AA3517" s="198" t="s">
        <v>84</v>
      </c>
      <c r="AB3517" s="198" t="s">
        <v>84</v>
      </c>
      <c r="AC3517" s="21" t="s">
        <v>2272</v>
      </c>
      <c r="AD3517" s="21"/>
      <c r="AE3517" s="21"/>
    </row>
    <row r="3518" spans="1:31" ht="41.5" customHeight="1">
      <c r="A3518" s="198" t="s">
        <v>8993</v>
      </c>
      <c r="B3518" s="198" t="s">
        <v>9093</v>
      </c>
      <c r="C3518" s="4" t="s">
        <v>23</v>
      </c>
      <c r="D3518" s="198" t="s">
        <v>2654</v>
      </c>
      <c r="E3518" s="198" t="s">
        <v>1102</v>
      </c>
      <c r="F3518" s="4" t="s">
        <v>27</v>
      </c>
      <c r="G3518" s="198" t="s">
        <v>27</v>
      </c>
      <c r="H3518" s="4" t="s">
        <v>521</v>
      </c>
      <c r="I3518" s="198"/>
      <c r="J3518" s="21" t="s">
        <v>2272</v>
      </c>
      <c r="K3518" s="21" t="s">
        <v>2272</v>
      </c>
      <c r="L3518" s="21" t="s">
        <v>2272</v>
      </c>
      <c r="M3518" s="21" t="s">
        <v>2272</v>
      </c>
      <c r="N3518" s="21" t="s">
        <v>2272</v>
      </c>
      <c r="O3518" s="21" t="s">
        <v>2272</v>
      </c>
      <c r="P3518" s="21" t="s">
        <v>2272</v>
      </c>
      <c r="Q3518" s="21" t="s">
        <v>2272</v>
      </c>
      <c r="R3518" s="21" t="s">
        <v>2272</v>
      </c>
      <c r="S3518" s="21" t="s">
        <v>2272</v>
      </c>
      <c r="T3518" s="21" t="s">
        <v>2272</v>
      </c>
      <c r="U3518" s="21">
        <f>'Record info'!K$1411*Y3518</f>
        <v>7523.0999999999995</v>
      </c>
      <c r="V3518" s="21" t="s">
        <v>2272</v>
      </c>
      <c r="W3518" s="21">
        <f>30*0.013</f>
        <v>0.38999999999999996</v>
      </c>
      <c r="X3518" s="21" t="s">
        <v>2272</v>
      </c>
      <c r="Y3518" s="21">
        <f t="shared" si="6"/>
        <v>0.38999999999999996</v>
      </c>
      <c r="Z3518" s="21" t="s">
        <v>2272</v>
      </c>
      <c r="AA3518" s="198" t="s">
        <v>33</v>
      </c>
      <c r="AB3518" s="198" t="s">
        <v>33</v>
      </c>
      <c r="AC3518" s="21" t="s">
        <v>2272</v>
      </c>
      <c r="AD3518" s="21"/>
      <c r="AE3518" s="21"/>
    </row>
    <row r="3519" spans="1:31" ht="41.5" customHeight="1">
      <c r="A3519" s="198" t="s">
        <v>8993</v>
      </c>
      <c r="B3519" s="198" t="s">
        <v>9094</v>
      </c>
      <c r="C3519" s="4" t="s">
        <v>23</v>
      </c>
      <c r="D3519" s="198" t="s">
        <v>2654</v>
      </c>
      <c r="E3519" s="198" t="s">
        <v>1102</v>
      </c>
      <c r="F3519" s="4" t="s">
        <v>27</v>
      </c>
      <c r="G3519" s="198" t="s">
        <v>27</v>
      </c>
      <c r="H3519" s="4" t="s">
        <v>521</v>
      </c>
      <c r="I3519" s="198"/>
      <c r="J3519" s="21" t="s">
        <v>2272</v>
      </c>
      <c r="K3519" s="21" t="s">
        <v>2272</v>
      </c>
      <c r="L3519" s="21" t="s">
        <v>2272</v>
      </c>
      <c r="M3519" s="21" t="s">
        <v>2272</v>
      </c>
      <c r="N3519" s="21" t="s">
        <v>2272</v>
      </c>
      <c r="O3519" s="21" t="s">
        <v>2272</v>
      </c>
      <c r="P3519" s="21" t="s">
        <v>2272</v>
      </c>
      <c r="Q3519" s="21" t="s">
        <v>2272</v>
      </c>
      <c r="R3519" s="21" t="s">
        <v>2272</v>
      </c>
      <c r="S3519" s="21" t="s">
        <v>2272</v>
      </c>
      <c r="T3519" s="21" t="s">
        <v>2272</v>
      </c>
      <c r="U3519" s="21">
        <f>'Record info'!K$1411*Y3519</f>
        <v>6944.4</v>
      </c>
      <c r="V3519" s="21" t="s">
        <v>2272</v>
      </c>
      <c r="W3519" s="21">
        <f>30*0.012</f>
        <v>0.36</v>
      </c>
      <c r="X3519" s="21" t="s">
        <v>2272</v>
      </c>
      <c r="Y3519" s="21">
        <f t="shared" si="6"/>
        <v>0.36</v>
      </c>
      <c r="Z3519" s="21" t="s">
        <v>2272</v>
      </c>
      <c r="AA3519" s="198" t="s">
        <v>402</v>
      </c>
      <c r="AB3519" s="198" t="s">
        <v>402</v>
      </c>
      <c r="AC3519" s="21" t="s">
        <v>2272</v>
      </c>
      <c r="AD3519" s="21"/>
      <c r="AE3519" s="21"/>
    </row>
    <row r="3520" spans="1:31" ht="41.5" customHeight="1">
      <c r="A3520" s="198" t="s">
        <v>8993</v>
      </c>
      <c r="B3520" s="198" t="s">
        <v>9095</v>
      </c>
      <c r="C3520" s="4" t="s">
        <v>23</v>
      </c>
      <c r="D3520" s="198" t="s">
        <v>2654</v>
      </c>
      <c r="E3520" s="198" t="s">
        <v>1102</v>
      </c>
      <c r="F3520" s="4" t="s">
        <v>27</v>
      </c>
      <c r="G3520" s="198" t="s">
        <v>27</v>
      </c>
      <c r="H3520" s="4" t="s">
        <v>521</v>
      </c>
      <c r="I3520" s="198"/>
      <c r="J3520" s="21" t="s">
        <v>2272</v>
      </c>
      <c r="K3520" s="21" t="s">
        <v>2272</v>
      </c>
      <c r="L3520" s="21" t="s">
        <v>2272</v>
      </c>
      <c r="M3520" s="21" t="s">
        <v>2272</v>
      </c>
      <c r="N3520" s="21" t="s">
        <v>2272</v>
      </c>
      <c r="O3520" s="21" t="s">
        <v>2272</v>
      </c>
      <c r="P3520" s="21" t="s">
        <v>2272</v>
      </c>
      <c r="Q3520" s="21" t="s">
        <v>2272</v>
      </c>
      <c r="R3520" s="21" t="s">
        <v>2272</v>
      </c>
      <c r="S3520" s="21" t="s">
        <v>2272</v>
      </c>
      <c r="T3520" s="21" t="s">
        <v>2272</v>
      </c>
      <c r="U3520" s="21">
        <f>'Record info'!K$1411*Y3520</f>
        <v>22569.3</v>
      </c>
      <c r="V3520" s="21" t="s">
        <v>2272</v>
      </c>
      <c r="W3520" s="21">
        <f>30*0.039</f>
        <v>1.17</v>
      </c>
      <c r="X3520" s="21" t="s">
        <v>2272</v>
      </c>
      <c r="Y3520" s="21">
        <f t="shared" si="6"/>
        <v>1.17</v>
      </c>
      <c r="Z3520" s="21" t="s">
        <v>2272</v>
      </c>
      <c r="AA3520" s="198" t="s">
        <v>403</v>
      </c>
      <c r="AB3520" s="198" t="s">
        <v>403</v>
      </c>
      <c r="AC3520" s="21" t="s">
        <v>2272</v>
      </c>
      <c r="AD3520" s="21"/>
      <c r="AE3520" s="21"/>
    </row>
    <row r="3521" spans="1:31" ht="41.5" customHeight="1">
      <c r="A3521" s="198" t="s">
        <v>8993</v>
      </c>
      <c r="B3521" s="198" t="s">
        <v>9096</v>
      </c>
      <c r="C3521" s="4" t="s">
        <v>23</v>
      </c>
      <c r="D3521" s="198" t="s">
        <v>2654</v>
      </c>
      <c r="E3521" s="198" t="s">
        <v>1102</v>
      </c>
      <c r="F3521" s="4" t="s">
        <v>27</v>
      </c>
      <c r="G3521" s="198" t="s">
        <v>27</v>
      </c>
      <c r="H3521" s="4" t="s">
        <v>521</v>
      </c>
      <c r="I3521" s="198"/>
      <c r="J3521" s="21" t="s">
        <v>2272</v>
      </c>
      <c r="K3521" s="21" t="s">
        <v>2272</v>
      </c>
      <c r="L3521" s="21" t="s">
        <v>2272</v>
      </c>
      <c r="M3521" s="21" t="s">
        <v>2272</v>
      </c>
      <c r="N3521" s="21" t="s">
        <v>2272</v>
      </c>
      <c r="O3521" s="21" t="s">
        <v>2272</v>
      </c>
      <c r="P3521" s="21" t="s">
        <v>2272</v>
      </c>
      <c r="Q3521" s="21" t="s">
        <v>2272</v>
      </c>
      <c r="R3521" s="21" t="s">
        <v>2272</v>
      </c>
      <c r="S3521" s="21" t="s">
        <v>2272</v>
      </c>
      <c r="T3521" s="21" t="s">
        <v>2272</v>
      </c>
      <c r="U3521" s="21">
        <f>'Record info'!K$1411*Y3521</f>
        <v>28935</v>
      </c>
      <c r="V3521" s="21" t="s">
        <v>2272</v>
      </c>
      <c r="W3521" s="21">
        <f>30*0.05</f>
        <v>1.5</v>
      </c>
      <c r="X3521" s="21" t="s">
        <v>2272</v>
      </c>
      <c r="Y3521" s="21">
        <f t="shared" si="6"/>
        <v>1.5</v>
      </c>
      <c r="Z3521" s="21" t="s">
        <v>2272</v>
      </c>
      <c r="AA3521" s="198" t="s">
        <v>423</v>
      </c>
      <c r="AB3521" s="198" t="s">
        <v>423</v>
      </c>
      <c r="AC3521" s="21" t="s">
        <v>2272</v>
      </c>
      <c r="AD3521" s="21"/>
      <c r="AE3521" s="21"/>
    </row>
    <row r="3522" spans="1:31" ht="41.5" customHeight="1">
      <c r="A3522" s="198" t="s">
        <v>8993</v>
      </c>
      <c r="B3522" s="198" t="s">
        <v>9097</v>
      </c>
      <c r="C3522" s="4" t="s">
        <v>23</v>
      </c>
      <c r="D3522" s="198" t="s">
        <v>2654</v>
      </c>
      <c r="E3522" s="198" t="s">
        <v>1102</v>
      </c>
      <c r="F3522" s="4" t="s">
        <v>27</v>
      </c>
      <c r="G3522" s="198" t="s">
        <v>27</v>
      </c>
      <c r="H3522" s="4" t="s">
        <v>521</v>
      </c>
      <c r="I3522" s="198"/>
      <c r="J3522" s="21" t="s">
        <v>2272</v>
      </c>
      <c r="K3522" s="21" t="s">
        <v>2272</v>
      </c>
      <c r="L3522" s="21" t="s">
        <v>2272</v>
      </c>
      <c r="M3522" s="21" t="s">
        <v>2272</v>
      </c>
      <c r="N3522" s="21" t="s">
        <v>2272</v>
      </c>
      <c r="O3522" s="21" t="s">
        <v>2272</v>
      </c>
      <c r="P3522" s="21" t="s">
        <v>2272</v>
      </c>
      <c r="Q3522" s="21" t="s">
        <v>2272</v>
      </c>
      <c r="R3522" s="21" t="s">
        <v>2272</v>
      </c>
      <c r="S3522" s="21" t="s">
        <v>2272</v>
      </c>
      <c r="T3522" s="21" t="s">
        <v>2272</v>
      </c>
      <c r="U3522" s="21">
        <f>'Record info'!K$1411*Y3522</f>
        <v>7523.0999999999995</v>
      </c>
      <c r="V3522" s="21" t="s">
        <v>2272</v>
      </c>
      <c r="W3522" s="21">
        <f>30*0.013</f>
        <v>0.38999999999999996</v>
      </c>
      <c r="X3522" s="21" t="s">
        <v>2272</v>
      </c>
      <c r="Y3522" s="21">
        <f t="shared" si="6"/>
        <v>0.38999999999999996</v>
      </c>
      <c r="Z3522" s="21" t="s">
        <v>2272</v>
      </c>
      <c r="AA3522" s="198" t="s">
        <v>67</v>
      </c>
      <c r="AB3522" s="198" t="s">
        <v>67</v>
      </c>
      <c r="AC3522" s="21" t="s">
        <v>2272</v>
      </c>
      <c r="AD3522" s="21"/>
      <c r="AE3522" s="21"/>
    </row>
    <row r="3523" spans="1:31" ht="41.5" customHeight="1">
      <c r="A3523" s="198" t="s">
        <v>8993</v>
      </c>
      <c r="B3523" s="198" t="s">
        <v>9098</v>
      </c>
      <c r="C3523" s="4" t="s">
        <v>23</v>
      </c>
      <c r="D3523" s="198" t="s">
        <v>2654</v>
      </c>
      <c r="E3523" s="198" t="s">
        <v>1102</v>
      </c>
      <c r="F3523" s="4" t="s">
        <v>27</v>
      </c>
      <c r="G3523" s="198" t="s">
        <v>27</v>
      </c>
      <c r="H3523" s="4" t="s">
        <v>521</v>
      </c>
      <c r="I3523" s="198"/>
      <c r="J3523" s="21" t="s">
        <v>2272</v>
      </c>
      <c r="K3523" s="21" t="s">
        <v>2272</v>
      </c>
      <c r="L3523" s="21" t="s">
        <v>2272</v>
      </c>
      <c r="M3523" s="21" t="s">
        <v>2272</v>
      </c>
      <c r="N3523" s="21" t="s">
        <v>2272</v>
      </c>
      <c r="O3523" s="21" t="s">
        <v>2272</v>
      </c>
      <c r="P3523" s="21" t="s">
        <v>2272</v>
      </c>
      <c r="Q3523" s="21" t="s">
        <v>2272</v>
      </c>
      <c r="R3523" s="21" t="s">
        <v>2272</v>
      </c>
      <c r="S3523" s="21" t="s">
        <v>2272</v>
      </c>
      <c r="T3523" s="21" t="s">
        <v>2272</v>
      </c>
      <c r="U3523" s="21">
        <f>'Record info'!K$1411*Y3523</f>
        <v>10995.3</v>
      </c>
      <c r="V3523" s="21" t="s">
        <v>2272</v>
      </c>
      <c r="W3523" s="21">
        <f>30*0.019</f>
        <v>0.56999999999999995</v>
      </c>
      <c r="X3523" s="21" t="s">
        <v>2272</v>
      </c>
      <c r="Y3523" s="21">
        <f t="shared" si="6"/>
        <v>0.56999999999999995</v>
      </c>
      <c r="Z3523" s="21" t="s">
        <v>2272</v>
      </c>
      <c r="AA3523" s="198" t="s">
        <v>34</v>
      </c>
      <c r="AB3523" s="198" t="s">
        <v>34</v>
      </c>
      <c r="AC3523" s="21" t="s">
        <v>2272</v>
      </c>
      <c r="AD3523" s="21"/>
      <c r="AE3523" s="21"/>
    </row>
    <row r="3524" spans="1:31" ht="41.5" customHeight="1">
      <c r="A3524" s="198" t="s">
        <v>8993</v>
      </c>
      <c r="B3524" s="198" t="s">
        <v>9099</v>
      </c>
      <c r="C3524" s="4" t="s">
        <v>23</v>
      </c>
      <c r="D3524" s="198" t="s">
        <v>2654</v>
      </c>
      <c r="E3524" s="198" t="s">
        <v>1102</v>
      </c>
      <c r="F3524" s="4" t="s">
        <v>27</v>
      </c>
      <c r="G3524" s="198" t="s">
        <v>27</v>
      </c>
      <c r="H3524" s="4" t="s">
        <v>521</v>
      </c>
      <c r="I3524" s="198"/>
      <c r="J3524" s="21" t="s">
        <v>2272</v>
      </c>
      <c r="K3524" s="21" t="s">
        <v>2272</v>
      </c>
      <c r="L3524" s="21" t="s">
        <v>2272</v>
      </c>
      <c r="M3524" s="21" t="s">
        <v>2272</v>
      </c>
      <c r="N3524" s="21" t="s">
        <v>2272</v>
      </c>
      <c r="O3524" s="21" t="s">
        <v>2272</v>
      </c>
      <c r="P3524" s="21" t="s">
        <v>2272</v>
      </c>
      <c r="Q3524" s="21" t="s">
        <v>2272</v>
      </c>
      <c r="R3524" s="21" t="s">
        <v>2272</v>
      </c>
      <c r="S3524" s="21" t="s">
        <v>2272</v>
      </c>
      <c r="T3524" s="21" t="s">
        <v>2272</v>
      </c>
      <c r="U3524" s="21">
        <f>'Record info'!K$1411*Y3524</f>
        <v>10995.3</v>
      </c>
      <c r="V3524" s="21" t="s">
        <v>2272</v>
      </c>
      <c r="W3524" s="21">
        <f>30*0.019</f>
        <v>0.56999999999999995</v>
      </c>
      <c r="X3524" s="21" t="s">
        <v>2272</v>
      </c>
      <c r="Y3524" s="21">
        <f t="shared" si="6"/>
        <v>0.56999999999999995</v>
      </c>
      <c r="Z3524" s="21" t="s">
        <v>2272</v>
      </c>
      <c r="AA3524" s="198" t="s">
        <v>125</v>
      </c>
      <c r="AB3524" s="198" t="s">
        <v>125</v>
      </c>
      <c r="AC3524" s="21" t="s">
        <v>2272</v>
      </c>
      <c r="AD3524" s="21"/>
      <c r="AE3524" s="21"/>
    </row>
    <row r="3525" spans="1:31" ht="41.5" customHeight="1">
      <c r="A3525" s="198" t="s">
        <v>8993</v>
      </c>
      <c r="B3525" s="198" t="s">
        <v>9100</v>
      </c>
      <c r="C3525" s="4" t="s">
        <v>23</v>
      </c>
      <c r="D3525" s="198" t="s">
        <v>2654</v>
      </c>
      <c r="E3525" s="198" t="s">
        <v>1102</v>
      </c>
      <c r="F3525" s="4" t="s">
        <v>27</v>
      </c>
      <c r="G3525" s="198" t="s">
        <v>27</v>
      </c>
      <c r="H3525" s="4" t="s">
        <v>521</v>
      </c>
      <c r="I3525" s="198"/>
      <c r="J3525" s="21" t="s">
        <v>2272</v>
      </c>
      <c r="K3525" s="21" t="s">
        <v>2272</v>
      </c>
      <c r="L3525" s="21" t="s">
        <v>2272</v>
      </c>
      <c r="M3525" s="21" t="s">
        <v>2272</v>
      </c>
      <c r="N3525" s="21" t="s">
        <v>2272</v>
      </c>
      <c r="O3525" s="21" t="s">
        <v>2272</v>
      </c>
      <c r="P3525" s="21" t="s">
        <v>2272</v>
      </c>
      <c r="Q3525" s="21" t="s">
        <v>2272</v>
      </c>
      <c r="R3525" s="21" t="s">
        <v>2272</v>
      </c>
      <c r="S3525" s="21" t="s">
        <v>2272</v>
      </c>
      <c r="T3525" s="21" t="s">
        <v>2272</v>
      </c>
      <c r="U3525" s="21">
        <f>'Record info'!K$1411*Y3525</f>
        <v>45717.3</v>
      </c>
      <c r="V3525" s="21" t="s">
        <v>2272</v>
      </c>
      <c r="W3525" s="21">
        <f>30*0.079</f>
        <v>2.37</v>
      </c>
      <c r="X3525" s="21" t="s">
        <v>2272</v>
      </c>
      <c r="Y3525" s="21">
        <f t="shared" si="6"/>
        <v>2.37</v>
      </c>
      <c r="Z3525" s="21" t="s">
        <v>2272</v>
      </c>
      <c r="AA3525" s="198" t="s">
        <v>397</v>
      </c>
      <c r="AB3525" s="198" t="s">
        <v>397</v>
      </c>
      <c r="AC3525" s="21" t="s">
        <v>2272</v>
      </c>
      <c r="AD3525" s="21"/>
      <c r="AE3525" s="21"/>
    </row>
    <row r="3526" spans="1:31" ht="41.5" customHeight="1">
      <c r="A3526" s="198" t="s">
        <v>8993</v>
      </c>
      <c r="B3526" s="198" t="s">
        <v>9101</v>
      </c>
      <c r="C3526" s="4" t="s">
        <v>23</v>
      </c>
      <c r="D3526" s="198" t="s">
        <v>2654</v>
      </c>
      <c r="E3526" s="198" t="s">
        <v>1102</v>
      </c>
      <c r="F3526" s="4" t="s">
        <v>27</v>
      </c>
      <c r="G3526" s="198" t="s">
        <v>27</v>
      </c>
      <c r="H3526" s="4" t="s">
        <v>521</v>
      </c>
      <c r="I3526" s="198"/>
      <c r="J3526" s="21" t="s">
        <v>2272</v>
      </c>
      <c r="K3526" s="21" t="s">
        <v>2272</v>
      </c>
      <c r="L3526" s="21" t="s">
        <v>2272</v>
      </c>
      <c r="M3526" s="21" t="s">
        <v>2272</v>
      </c>
      <c r="N3526" s="21" t="s">
        <v>2272</v>
      </c>
      <c r="O3526" s="21" t="s">
        <v>2272</v>
      </c>
      <c r="P3526" s="21" t="s">
        <v>2272</v>
      </c>
      <c r="Q3526" s="21" t="s">
        <v>2272</v>
      </c>
      <c r="R3526" s="21" t="s">
        <v>2272</v>
      </c>
      <c r="S3526" s="21" t="s">
        <v>2272</v>
      </c>
      <c r="T3526" s="21" t="s">
        <v>2272</v>
      </c>
      <c r="U3526" s="21">
        <f>'Record info'!K$1411*Y3526</f>
        <v>105902.1</v>
      </c>
      <c r="V3526" s="21" t="s">
        <v>2272</v>
      </c>
      <c r="W3526" s="21">
        <f>30*0.183</f>
        <v>5.49</v>
      </c>
      <c r="X3526" s="21" t="s">
        <v>2272</v>
      </c>
      <c r="Y3526" s="21">
        <f t="shared" si="6"/>
        <v>5.49</v>
      </c>
      <c r="Z3526" s="21" t="s">
        <v>2272</v>
      </c>
      <c r="AA3526" s="198" t="s">
        <v>186</v>
      </c>
      <c r="AB3526" s="198" t="s">
        <v>186</v>
      </c>
      <c r="AC3526" s="21" t="s">
        <v>2272</v>
      </c>
      <c r="AD3526" s="198"/>
      <c r="AE3526" s="198"/>
    </row>
    <row r="3527" spans="1:31" ht="41.5" customHeight="1">
      <c r="A3527" s="198" t="s">
        <v>8993</v>
      </c>
      <c r="B3527" s="198" t="s">
        <v>9102</v>
      </c>
      <c r="C3527" s="4" t="s">
        <v>23</v>
      </c>
      <c r="D3527" s="198" t="s">
        <v>2654</v>
      </c>
      <c r="E3527" s="198" t="s">
        <v>1102</v>
      </c>
      <c r="F3527" s="4" t="s">
        <v>27</v>
      </c>
      <c r="G3527" s="198" t="s">
        <v>27</v>
      </c>
      <c r="H3527" s="4" t="s">
        <v>521</v>
      </c>
      <c r="I3527" s="198"/>
      <c r="J3527" s="21" t="s">
        <v>2272</v>
      </c>
      <c r="K3527" s="21" t="s">
        <v>2272</v>
      </c>
      <c r="L3527" s="21" t="s">
        <v>2272</v>
      </c>
      <c r="M3527" s="21" t="s">
        <v>2272</v>
      </c>
      <c r="N3527" s="21" t="s">
        <v>2272</v>
      </c>
      <c r="O3527" s="21" t="s">
        <v>2272</v>
      </c>
      <c r="P3527" s="21" t="s">
        <v>2272</v>
      </c>
      <c r="Q3527" s="21" t="s">
        <v>2272</v>
      </c>
      <c r="R3527" s="21" t="s">
        <v>2272</v>
      </c>
      <c r="S3527" s="21" t="s">
        <v>2272</v>
      </c>
      <c r="T3527" s="21" t="s">
        <v>2272</v>
      </c>
      <c r="U3527" s="21">
        <f>'Record info'!K$1411*Y3527</f>
        <v>121527</v>
      </c>
      <c r="V3527" s="21" t="s">
        <v>2272</v>
      </c>
      <c r="W3527" s="21">
        <f>30*0.21</f>
        <v>6.3</v>
      </c>
      <c r="X3527" s="21" t="s">
        <v>2272</v>
      </c>
      <c r="Y3527" s="21">
        <f t="shared" si="6"/>
        <v>6.3</v>
      </c>
      <c r="Z3527" s="21" t="s">
        <v>2272</v>
      </c>
      <c r="AA3527" s="198" t="s">
        <v>187</v>
      </c>
      <c r="AB3527" s="198" t="s">
        <v>187</v>
      </c>
      <c r="AC3527" s="21" t="s">
        <v>2272</v>
      </c>
      <c r="AD3527" s="198"/>
      <c r="AE3527" s="198"/>
    </row>
    <row r="3528" spans="1:31" ht="41.5" customHeight="1">
      <c r="A3528" s="198" t="s">
        <v>8993</v>
      </c>
      <c r="B3528" s="198" t="s">
        <v>9103</v>
      </c>
      <c r="C3528" s="4" t="s">
        <v>23</v>
      </c>
      <c r="D3528" s="198" t="s">
        <v>2654</v>
      </c>
      <c r="E3528" s="198" t="s">
        <v>1102</v>
      </c>
      <c r="F3528" s="4" t="s">
        <v>27</v>
      </c>
      <c r="G3528" s="198" t="s">
        <v>27</v>
      </c>
      <c r="H3528" s="4" t="s">
        <v>521</v>
      </c>
      <c r="I3528" s="198"/>
      <c r="J3528" s="21" t="s">
        <v>2272</v>
      </c>
      <c r="K3528" s="21" t="s">
        <v>2272</v>
      </c>
      <c r="L3528" s="21" t="s">
        <v>2272</v>
      </c>
      <c r="M3528" s="21" t="s">
        <v>2272</v>
      </c>
      <c r="N3528" s="21" t="s">
        <v>2272</v>
      </c>
      <c r="O3528" s="21" t="s">
        <v>2272</v>
      </c>
      <c r="P3528" s="21" t="s">
        <v>2272</v>
      </c>
      <c r="Q3528" s="21" t="s">
        <v>2272</v>
      </c>
      <c r="R3528" s="21" t="s">
        <v>2272</v>
      </c>
      <c r="S3528" s="21" t="s">
        <v>2272</v>
      </c>
      <c r="T3528" s="21" t="s">
        <v>2272</v>
      </c>
      <c r="U3528" s="21">
        <f>'Record info'!K$1411*Y3528</f>
        <v>146989.79999999999</v>
      </c>
      <c r="V3528" s="21" t="s">
        <v>2272</v>
      </c>
      <c r="W3528" s="21">
        <f>30*0.254</f>
        <v>7.62</v>
      </c>
      <c r="X3528" s="21" t="s">
        <v>2272</v>
      </c>
      <c r="Y3528" s="21">
        <f t="shared" si="6"/>
        <v>7.62</v>
      </c>
      <c r="Z3528" s="21" t="s">
        <v>2272</v>
      </c>
      <c r="AA3528" s="198" t="s">
        <v>37</v>
      </c>
      <c r="AB3528" s="198" t="s">
        <v>37</v>
      </c>
      <c r="AC3528" s="21" t="s">
        <v>2272</v>
      </c>
      <c r="AD3528" s="198"/>
      <c r="AE3528" s="198"/>
    </row>
    <row r="3529" spans="1:31" ht="53.5" customHeight="1">
      <c r="A3529" s="198" t="s">
        <v>9105</v>
      </c>
      <c r="B3529" s="198" t="s">
        <v>9108</v>
      </c>
      <c r="C3529" s="198" t="s">
        <v>30</v>
      </c>
      <c r="D3529" s="198" t="s">
        <v>29</v>
      </c>
      <c r="E3529" s="198" t="s">
        <v>2648</v>
      </c>
      <c r="F3529" s="4" t="s">
        <v>2272</v>
      </c>
      <c r="G3529" s="198" t="s">
        <v>2658</v>
      </c>
      <c r="H3529" s="4" t="s">
        <v>521</v>
      </c>
      <c r="I3529" s="198"/>
      <c r="J3529" s="21" t="s">
        <v>2272</v>
      </c>
      <c r="K3529" s="21" t="s">
        <v>2272</v>
      </c>
      <c r="L3529" s="21" t="s">
        <v>2272</v>
      </c>
      <c r="M3529" s="21" t="s">
        <v>2272</v>
      </c>
      <c r="N3529" s="21" t="s">
        <v>2272</v>
      </c>
      <c r="O3529" s="21" t="s">
        <v>2272</v>
      </c>
      <c r="P3529" s="21" t="s">
        <v>2272</v>
      </c>
      <c r="Q3529" s="21" t="s">
        <v>2272</v>
      </c>
      <c r="R3529" s="21" t="s">
        <v>2272</v>
      </c>
      <c r="S3529" s="21" t="s">
        <v>2272</v>
      </c>
      <c r="T3529" s="21" t="s">
        <v>2272</v>
      </c>
      <c r="U3529" s="21">
        <v>30000</v>
      </c>
      <c r="V3529" s="21" t="s">
        <v>2272</v>
      </c>
      <c r="W3529" s="21" t="s">
        <v>2272</v>
      </c>
      <c r="X3529" s="21" t="s">
        <v>2272</v>
      </c>
      <c r="Y3529" s="21" t="s">
        <v>2272</v>
      </c>
      <c r="Z3529" s="21" t="s">
        <v>2272</v>
      </c>
      <c r="AA3529" s="173" t="s">
        <v>33</v>
      </c>
      <c r="AB3529" s="198" t="s">
        <v>33</v>
      </c>
      <c r="AC3529" s="21" t="s">
        <v>2272</v>
      </c>
      <c r="AD3529" s="198" t="s">
        <v>9110</v>
      </c>
      <c r="AE3529" s="198"/>
    </row>
    <row r="3530" spans="1:31" ht="56.5" customHeight="1">
      <c r="A3530" s="198" t="s">
        <v>9105</v>
      </c>
      <c r="B3530" s="198" t="s">
        <v>9109</v>
      </c>
      <c r="C3530" s="198" t="s">
        <v>2653</v>
      </c>
      <c r="D3530" s="198" t="s">
        <v>2272</v>
      </c>
      <c r="E3530" s="198" t="s">
        <v>2272</v>
      </c>
      <c r="F3530" s="4" t="s">
        <v>2272</v>
      </c>
      <c r="G3530" s="198" t="s">
        <v>2658</v>
      </c>
      <c r="H3530" s="4" t="s">
        <v>521</v>
      </c>
      <c r="I3530" s="198"/>
      <c r="J3530" s="21" t="s">
        <v>2272</v>
      </c>
      <c r="K3530" s="21" t="s">
        <v>2272</v>
      </c>
      <c r="L3530" s="21" t="s">
        <v>2272</v>
      </c>
      <c r="M3530" s="21" t="s">
        <v>2272</v>
      </c>
      <c r="N3530" s="21" t="s">
        <v>2272</v>
      </c>
      <c r="O3530" s="21" t="s">
        <v>2272</v>
      </c>
      <c r="P3530" s="21" t="s">
        <v>2272</v>
      </c>
      <c r="Q3530" s="21" t="s">
        <v>2272</v>
      </c>
      <c r="R3530" s="21" t="s">
        <v>2272</v>
      </c>
      <c r="S3530" s="21" t="s">
        <v>2272</v>
      </c>
      <c r="T3530" s="21" t="s">
        <v>2272</v>
      </c>
      <c r="U3530" s="21">
        <v>200000</v>
      </c>
      <c r="V3530" s="21" t="s">
        <v>2272</v>
      </c>
      <c r="W3530" s="21" t="s">
        <v>2272</v>
      </c>
      <c r="X3530" s="21" t="s">
        <v>2272</v>
      </c>
      <c r="Y3530" s="21" t="s">
        <v>2272</v>
      </c>
      <c r="Z3530" s="21" t="s">
        <v>2272</v>
      </c>
      <c r="AA3530" s="173" t="s">
        <v>67</v>
      </c>
      <c r="AB3530" s="198" t="s">
        <v>67</v>
      </c>
      <c r="AC3530" s="21" t="s">
        <v>2272</v>
      </c>
      <c r="AD3530" s="198"/>
      <c r="AE3530" s="198"/>
    </row>
    <row r="3531" spans="1:31" ht="66.5" customHeight="1">
      <c r="A3531" s="198" t="s">
        <v>9106</v>
      </c>
      <c r="B3531" s="198" t="s">
        <v>9111</v>
      </c>
      <c r="C3531" s="198" t="s">
        <v>2653</v>
      </c>
      <c r="D3531" s="198" t="s">
        <v>2272</v>
      </c>
      <c r="E3531" s="198" t="s">
        <v>2644</v>
      </c>
      <c r="F3531" s="4" t="s">
        <v>2272</v>
      </c>
      <c r="G3531" s="198" t="s">
        <v>2658</v>
      </c>
      <c r="H3531" s="4" t="s">
        <v>521</v>
      </c>
      <c r="I3531" s="198"/>
      <c r="J3531" s="21" t="s">
        <v>2272</v>
      </c>
      <c r="K3531" s="21" t="s">
        <v>2272</v>
      </c>
      <c r="L3531" s="21" t="s">
        <v>2272</v>
      </c>
      <c r="M3531" s="21" t="s">
        <v>2272</v>
      </c>
      <c r="N3531" s="21" t="s">
        <v>2272</v>
      </c>
      <c r="O3531" s="21" t="s">
        <v>2272</v>
      </c>
      <c r="P3531" s="21" t="s">
        <v>2272</v>
      </c>
      <c r="Q3531" s="21" t="s">
        <v>2272</v>
      </c>
      <c r="R3531" s="21" t="s">
        <v>2272</v>
      </c>
      <c r="S3531" s="21" t="s">
        <v>2272</v>
      </c>
      <c r="T3531" s="21" t="s">
        <v>2272</v>
      </c>
      <c r="U3531" s="21">
        <v>350000</v>
      </c>
      <c r="V3531" s="21" t="s">
        <v>2272</v>
      </c>
      <c r="W3531" s="21" t="s">
        <v>2272</v>
      </c>
      <c r="X3531" s="21" t="s">
        <v>2272</v>
      </c>
      <c r="Y3531" s="21" t="s">
        <v>2272</v>
      </c>
      <c r="Z3531" s="21" t="s">
        <v>2272</v>
      </c>
      <c r="AA3531" s="173" t="s">
        <v>125</v>
      </c>
      <c r="AB3531" s="198" t="s">
        <v>186</v>
      </c>
      <c r="AC3531" s="21" t="s">
        <v>2272</v>
      </c>
      <c r="AD3531" s="198"/>
      <c r="AE3531" s="4" t="s">
        <v>9113</v>
      </c>
    </row>
    <row r="3532" spans="1:31" ht="59.5" customHeight="1">
      <c r="A3532" s="198" t="s">
        <v>9106</v>
      </c>
      <c r="B3532" s="198" t="s">
        <v>9112</v>
      </c>
      <c r="C3532" s="198" t="s">
        <v>2653</v>
      </c>
      <c r="D3532" s="198" t="s">
        <v>2272</v>
      </c>
      <c r="E3532" s="198" t="s">
        <v>2272</v>
      </c>
      <c r="F3532" s="198" t="s">
        <v>2272</v>
      </c>
      <c r="G3532" s="198" t="s">
        <v>2658</v>
      </c>
      <c r="H3532" s="4" t="s">
        <v>521</v>
      </c>
      <c r="I3532" s="198"/>
      <c r="J3532" s="21" t="s">
        <v>2272</v>
      </c>
      <c r="K3532" s="21" t="s">
        <v>2272</v>
      </c>
      <c r="L3532" s="21" t="s">
        <v>2272</v>
      </c>
      <c r="M3532" s="21" t="s">
        <v>2272</v>
      </c>
      <c r="N3532" s="21" t="s">
        <v>2272</v>
      </c>
      <c r="O3532" s="21" t="s">
        <v>2272</v>
      </c>
      <c r="P3532" s="21" t="s">
        <v>2272</v>
      </c>
      <c r="Q3532" s="21" t="s">
        <v>2272</v>
      </c>
      <c r="R3532" s="21" t="s">
        <v>2272</v>
      </c>
      <c r="S3532" s="21" t="s">
        <v>2272</v>
      </c>
      <c r="T3532" s="21" t="s">
        <v>2272</v>
      </c>
      <c r="U3532" s="21">
        <v>250000</v>
      </c>
      <c r="V3532" s="21" t="s">
        <v>2272</v>
      </c>
      <c r="W3532" s="21" t="s">
        <v>2272</v>
      </c>
      <c r="X3532" s="21" t="s">
        <v>2272</v>
      </c>
      <c r="Y3532" s="21" t="s">
        <v>2272</v>
      </c>
      <c r="Z3532" s="21" t="s">
        <v>2272</v>
      </c>
      <c r="AA3532" s="173" t="s">
        <v>125</v>
      </c>
      <c r="AB3532" s="198" t="s">
        <v>186</v>
      </c>
      <c r="AC3532" s="21" t="s">
        <v>2272</v>
      </c>
      <c r="AD3532" s="198"/>
      <c r="AE3532" s="4" t="s">
        <v>9113</v>
      </c>
    </row>
    <row r="3533" spans="1:31" ht="48" customHeight="1">
      <c r="A3533" s="198" t="s">
        <v>9120</v>
      </c>
      <c r="B3533" s="198" t="s">
        <v>9122</v>
      </c>
      <c r="C3533" s="198" t="s">
        <v>1102</v>
      </c>
      <c r="D3533" s="198" t="s">
        <v>2272</v>
      </c>
      <c r="E3533" s="198" t="s">
        <v>2272</v>
      </c>
      <c r="F3533" s="198" t="s">
        <v>2272</v>
      </c>
      <c r="G3533" s="4" t="s">
        <v>2657</v>
      </c>
      <c r="H3533" s="4" t="s">
        <v>521</v>
      </c>
      <c r="I3533" s="198"/>
      <c r="J3533" s="172" t="s">
        <v>2272</v>
      </c>
      <c r="K3533" s="172" t="s">
        <v>2272</v>
      </c>
      <c r="L3533" s="21" t="s">
        <v>2272</v>
      </c>
      <c r="M3533" s="21" t="s">
        <v>2272</v>
      </c>
      <c r="N3533" s="21" t="s">
        <v>2272</v>
      </c>
      <c r="O3533" s="21" t="s">
        <v>2272</v>
      </c>
      <c r="P3533" s="21" t="s">
        <v>2272</v>
      </c>
      <c r="Q3533" s="21" t="s">
        <v>2272</v>
      </c>
      <c r="R3533" s="21" t="s">
        <v>2272</v>
      </c>
      <c r="S3533" s="21" t="s">
        <v>2272</v>
      </c>
      <c r="T3533" s="21" t="s">
        <v>2272</v>
      </c>
      <c r="U3533" s="21">
        <v>40700</v>
      </c>
      <c r="V3533" s="21" t="s">
        <v>2272</v>
      </c>
      <c r="W3533" s="21" t="s">
        <v>2272</v>
      </c>
      <c r="X3533" s="21" t="s">
        <v>2272</v>
      </c>
      <c r="Y3533" s="21">
        <f>U3533/'Record info'!K1422</f>
        <v>0.45722631017244286</v>
      </c>
      <c r="Z3533" s="21" t="s">
        <v>2272</v>
      </c>
      <c r="AA3533" s="21" t="s">
        <v>2272</v>
      </c>
      <c r="AB3533" s="21" t="s">
        <v>2272</v>
      </c>
      <c r="AC3533" s="21" t="s">
        <v>2272</v>
      </c>
      <c r="AD3533" s="198"/>
      <c r="AE3533" s="198"/>
    </row>
    <row r="3534" spans="1:31" ht="51" customHeight="1">
      <c r="A3534" s="198" t="s">
        <v>9120</v>
      </c>
      <c r="B3534" s="198" t="s">
        <v>9123</v>
      </c>
      <c r="C3534" s="198" t="s">
        <v>1102</v>
      </c>
      <c r="D3534" s="198" t="s">
        <v>2272</v>
      </c>
      <c r="E3534" s="198" t="s">
        <v>2272</v>
      </c>
      <c r="F3534" s="198" t="s">
        <v>2272</v>
      </c>
      <c r="G3534" s="198" t="s">
        <v>73</v>
      </c>
      <c r="H3534" s="4" t="s">
        <v>521</v>
      </c>
      <c r="I3534" s="198"/>
      <c r="J3534" s="172" t="s">
        <v>2272</v>
      </c>
      <c r="K3534" s="172" t="s">
        <v>2272</v>
      </c>
      <c r="L3534" s="21" t="s">
        <v>2272</v>
      </c>
      <c r="M3534" s="21" t="s">
        <v>2272</v>
      </c>
      <c r="N3534" s="21" t="s">
        <v>2272</v>
      </c>
      <c r="O3534" s="21" t="s">
        <v>2272</v>
      </c>
      <c r="P3534" s="21" t="s">
        <v>2272</v>
      </c>
      <c r="Q3534" s="21" t="s">
        <v>2272</v>
      </c>
      <c r="R3534" s="21" t="s">
        <v>2272</v>
      </c>
      <c r="S3534" s="21" t="s">
        <v>2272</v>
      </c>
      <c r="T3534" s="21" t="s">
        <v>2272</v>
      </c>
      <c r="U3534" s="21">
        <f>23700-U3535</f>
        <v>14694</v>
      </c>
      <c r="V3534" s="21" t="s">
        <v>2272</v>
      </c>
      <c r="W3534" s="21" t="s">
        <v>2272</v>
      </c>
      <c r="X3534" s="21" t="s">
        <v>2272</v>
      </c>
      <c r="Y3534" s="21">
        <f>U3534/'Record info'!K1422</f>
        <v>0.16507330225242936</v>
      </c>
      <c r="Z3534" s="21" t="s">
        <v>2272</v>
      </c>
      <c r="AA3534" s="21" t="s">
        <v>2272</v>
      </c>
      <c r="AB3534" s="21" t="s">
        <v>2272</v>
      </c>
      <c r="AC3534" s="21" t="s">
        <v>2272</v>
      </c>
      <c r="AD3534" s="198"/>
      <c r="AE3534" s="198"/>
    </row>
    <row r="3535" spans="1:31" ht="42.5" customHeight="1">
      <c r="A3535" s="198" t="s">
        <v>9120</v>
      </c>
      <c r="B3535" s="198" t="s">
        <v>9124</v>
      </c>
      <c r="C3535" s="198" t="s">
        <v>1102</v>
      </c>
      <c r="D3535" s="198" t="s">
        <v>2272</v>
      </c>
      <c r="E3535" s="198" t="s">
        <v>2644</v>
      </c>
      <c r="F3535" s="198" t="s">
        <v>2272</v>
      </c>
      <c r="G3535" s="198" t="s">
        <v>2658</v>
      </c>
      <c r="H3535" s="4" t="s">
        <v>521</v>
      </c>
      <c r="I3535" s="198"/>
      <c r="J3535" s="172" t="s">
        <v>2272</v>
      </c>
      <c r="K3535" s="172" t="s">
        <v>2272</v>
      </c>
      <c r="L3535" s="172" t="s">
        <v>2272</v>
      </c>
      <c r="M3535" s="172" t="s">
        <v>2272</v>
      </c>
      <c r="N3535" s="172" t="s">
        <v>2272</v>
      </c>
      <c r="O3535" s="172" t="s">
        <v>2272</v>
      </c>
      <c r="P3535" s="172" t="s">
        <v>2272</v>
      </c>
      <c r="Q3535" s="172" t="s">
        <v>2272</v>
      </c>
      <c r="R3535" s="172" t="s">
        <v>2272</v>
      </c>
      <c r="S3535" s="172" t="s">
        <v>2272</v>
      </c>
      <c r="T3535" s="172" t="s">
        <v>2272</v>
      </c>
      <c r="U3535" s="21">
        <f>23700*0.38</f>
        <v>9006</v>
      </c>
      <c r="V3535" s="21" t="s">
        <v>2272</v>
      </c>
      <c r="W3535" s="21">
        <v>0.72499999999999998</v>
      </c>
      <c r="X3535" s="21" t="s">
        <v>2272</v>
      </c>
      <c r="Y3535" s="21">
        <f>U3535/'Record info'!K1422</f>
        <v>0.10117395944503735</v>
      </c>
      <c r="Z3535" s="21" t="s">
        <v>2272</v>
      </c>
      <c r="AA3535" s="21" t="s">
        <v>2272</v>
      </c>
      <c r="AB3535" s="21" t="s">
        <v>2272</v>
      </c>
      <c r="AC3535" s="21" t="s">
        <v>2272</v>
      </c>
      <c r="AD3535" s="198"/>
      <c r="AE3535" s="198"/>
    </row>
    <row r="3536" spans="1:31" ht="43.5" customHeight="1">
      <c r="A3536" s="198" t="s">
        <v>9120</v>
      </c>
      <c r="B3536" s="198" t="s">
        <v>9125</v>
      </c>
      <c r="C3536" s="198" t="s">
        <v>23</v>
      </c>
      <c r="D3536" s="198" t="s">
        <v>2342</v>
      </c>
      <c r="E3536" s="198" t="s">
        <v>2272</v>
      </c>
      <c r="F3536" s="198" t="s">
        <v>1102</v>
      </c>
      <c r="G3536" s="198" t="s">
        <v>73</v>
      </c>
      <c r="H3536" s="4" t="s">
        <v>521</v>
      </c>
      <c r="I3536" s="198"/>
      <c r="J3536" s="172" t="s">
        <v>2272</v>
      </c>
      <c r="K3536" s="172" t="s">
        <v>2272</v>
      </c>
      <c r="L3536" s="21" t="s">
        <v>2272</v>
      </c>
      <c r="M3536" s="21" t="s">
        <v>2272</v>
      </c>
      <c r="N3536" s="21" t="s">
        <v>2272</v>
      </c>
      <c r="O3536" s="21" t="s">
        <v>2272</v>
      </c>
      <c r="P3536" s="21" t="s">
        <v>2272</v>
      </c>
      <c r="Q3536" s="21" t="s">
        <v>2272</v>
      </c>
      <c r="R3536" s="21" t="s">
        <v>2272</v>
      </c>
      <c r="S3536" s="21" t="s">
        <v>2272</v>
      </c>
      <c r="T3536" s="21" t="s">
        <v>2272</v>
      </c>
      <c r="U3536" s="21" t="s">
        <v>2272</v>
      </c>
      <c r="V3536" s="21" t="s">
        <v>2272</v>
      </c>
      <c r="W3536" s="21" t="s">
        <v>2272</v>
      </c>
      <c r="X3536" s="21" t="s">
        <v>2272</v>
      </c>
      <c r="Y3536" s="21" t="s">
        <v>2272</v>
      </c>
      <c r="Z3536" s="21" t="s">
        <v>2272</v>
      </c>
      <c r="AA3536" s="21" t="s">
        <v>2272</v>
      </c>
      <c r="AB3536" s="21" t="s">
        <v>2272</v>
      </c>
      <c r="AC3536" s="21" t="s">
        <v>2272</v>
      </c>
      <c r="AD3536" s="198" t="s">
        <v>9130</v>
      </c>
      <c r="AE3536" s="198"/>
    </row>
    <row r="3537" spans="1:31" ht="42.5" customHeight="1">
      <c r="A3537" s="198" t="s">
        <v>9120</v>
      </c>
      <c r="B3537" s="198" t="s">
        <v>9127</v>
      </c>
      <c r="C3537" s="198" t="s">
        <v>23</v>
      </c>
      <c r="D3537" s="198" t="s">
        <v>2272</v>
      </c>
      <c r="E3537" s="198" t="s">
        <v>2272</v>
      </c>
      <c r="F3537" s="198" t="s">
        <v>1102</v>
      </c>
      <c r="G3537" s="198" t="s">
        <v>73</v>
      </c>
      <c r="H3537" s="4" t="s">
        <v>521</v>
      </c>
      <c r="I3537" s="198"/>
      <c r="J3537" s="172" t="s">
        <v>2272</v>
      </c>
      <c r="K3537" s="172" t="s">
        <v>2272</v>
      </c>
      <c r="L3537" s="21" t="s">
        <v>2272</v>
      </c>
      <c r="M3537" s="21" t="s">
        <v>2272</v>
      </c>
      <c r="N3537" s="21" t="s">
        <v>2272</v>
      </c>
      <c r="O3537" s="21" t="s">
        <v>2272</v>
      </c>
      <c r="P3537" s="21" t="s">
        <v>2272</v>
      </c>
      <c r="Q3537" s="21" t="s">
        <v>2272</v>
      </c>
      <c r="R3537" s="21" t="s">
        <v>2272</v>
      </c>
      <c r="S3537" s="21" t="s">
        <v>2272</v>
      </c>
      <c r="T3537" s="21" t="s">
        <v>2272</v>
      </c>
      <c r="U3537" s="21" t="s">
        <v>2272</v>
      </c>
      <c r="V3537" s="21" t="s">
        <v>2272</v>
      </c>
      <c r="W3537" s="21" t="s">
        <v>2272</v>
      </c>
      <c r="X3537" s="21" t="s">
        <v>2272</v>
      </c>
      <c r="Y3537" s="21" t="s">
        <v>2272</v>
      </c>
      <c r="Z3537" s="21" t="s">
        <v>2272</v>
      </c>
      <c r="AA3537" s="21" t="s">
        <v>2272</v>
      </c>
      <c r="AB3537" s="21" t="s">
        <v>2272</v>
      </c>
      <c r="AC3537" s="21" t="s">
        <v>2272</v>
      </c>
      <c r="AD3537" s="198" t="s">
        <v>9130</v>
      </c>
      <c r="AE3537" s="198"/>
    </row>
    <row r="3538" spans="1:31" ht="42.5" customHeight="1">
      <c r="A3538" s="198" t="s">
        <v>9120</v>
      </c>
      <c r="B3538" s="198" t="s">
        <v>9128</v>
      </c>
      <c r="C3538" s="198" t="s">
        <v>2651</v>
      </c>
      <c r="D3538" s="198" t="s">
        <v>2272</v>
      </c>
      <c r="E3538" s="198" t="s">
        <v>2272</v>
      </c>
      <c r="F3538" s="198" t="s">
        <v>1102</v>
      </c>
      <c r="G3538" s="198" t="s">
        <v>73</v>
      </c>
      <c r="H3538" s="4" t="s">
        <v>521</v>
      </c>
      <c r="I3538" s="198"/>
      <c r="J3538" s="172" t="s">
        <v>2272</v>
      </c>
      <c r="K3538" s="172" t="s">
        <v>2272</v>
      </c>
      <c r="L3538" s="21" t="s">
        <v>2272</v>
      </c>
      <c r="M3538" s="21" t="s">
        <v>2272</v>
      </c>
      <c r="N3538" s="21" t="s">
        <v>2272</v>
      </c>
      <c r="O3538" s="21" t="s">
        <v>2272</v>
      </c>
      <c r="P3538" s="21" t="s">
        <v>2272</v>
      </c>
      <c r="Q3538" s="21" t="s">
        <v>2272</v>
      </c>
      <c r="R3538" s="21" t="s">
        <v>2272</v>
      </c>
      <c r="S3538" s="21" t="s">
        <v>2272</v>
      </c>
      <c r="T3538" s="21" t="s">
        <v>2272</v>
      </c>
      <c r="U3538" s="21" t="s">
        <v>2272</v>
      </c>
      <c r="V3538" s="21" t="s">
        <v>2272</v>
      </c>
      <c r="W3538" s="21" t="s">
        <v>2272</v>
      </c>
      <c r="X3538" s="21" t="s">
        <v>2272</v>
      </c>
      <c r="Y3538" s="21" t="s">
        <v>2272</v>
      </c>
      <c r="Z3538" s="21" t="s">
        <v>2272</v>
      </c>
      <c r="AA3538" s="21" t="s">
        <v>2272</v>
      </c>
      <c r="AB3538" s="21" t="s">
        <v>2272</v>
      </c>
      <c r="AC3538" s="21" t="s">
        <v>2272</v>
      </c>
      <c r="AD3538" s="198" t="s">
        <v>9130</v>
      </c>
      <c r="AE3538" s="198"/>
    </row>
    <row r="3539" spans="1:31" ht="42.5" customHeight="1">
      <c r="A3539" s="198" t="s">
        <v>9120</v>
      </c>
      <c r="B3539" s="198" t="s">
        <v>9129</v>
      </c>
      <c r="C3539" s="198" t="s">
        <v>30</v>
      </c>
      <c r="D3539" s="198" t="s">
        <v>29</v>
      </c>
      <c r="E3539" s="198" t="s">
        <v>2272</v>
      </c>
      <c r="F3539" s="198" t="s">
        <v>1102</v>
      </c>
      <c r="G3539" s="198" t="s">
        <v>73</v>
      </c>
      <c r="H3539" s="4" t="s">
        <v>521</v>
      </c>
      <c r="I3539" s="198"/>
      <c r="J3539" s="172" t="s">
        <v>2272</v>
      </c>
      <c r="K3539" s="172" t="s">
        <v>2272</v>
      </c>
      <c r="L3539" s="21" t="s">
        <v>2272</v>
      </c>
      <c r="M3539" s="21" t="s">
        <v>2272</v>
      </c>
      <c r="N3539" s="21" t="s">
        <v>2272</v>
      </c>
      <c r="O3539" s="21" t="s">
        <v>2272</v>
      </c>
      <c r="P3539" s="21" t="s">
        <v>2272</v>
      </c>
      <c r="Q3539" s="21" t="s">
        <v>2272</v>
      </c>
      <c r="R3539" s="21" t="s">
        <v>2272</v>
      </c>
      <c r="S3539" s="21" t="s">
        <v>2272</v>
      </c>
      <c r="T3539" s="21" t="s">
        <v>2272</v>
      </c>
      <c r="U3539" s="21" t="s">
        <v>2272</v>
      </c>
      <c r="V3539" s="21" t="s">
        <v>2272</v>
      </c>
      <c r="W3539" s="21" t="s">
        <v>2272</v>
      </c>
      <c r="X3539" s="21" t="s">
        <v>2272</v>
      </c>
      <c r="Y3539" s="21" t="s">
        <v>2272</v>
      </c>
      <c r="Z3539" s="21" t="s">
        <v>2272</v>
      </c>
      <c r="AA3539" s="21" t="s">
        <v>2272</v>
      </c>
      <c r="AB3539" s="21" t="s">
        <v>2272</v>
      </c>
      <c r="AC3539" s="21" t="s">
        <v>2272</v>
      </c>
      <c r="AD3539" s="198" t="s">
        <v>9130</v>
      </c>
      <c r="AE3539" s="198"/>
    </row>
    <row r="3540" spans="1:31" ht="93.5" customHeight="1">
      <c r="A3540" s="198" t="s">
        <v>9133</v>
      </c>
      <c r="B3540" s="198" t="s">
        <v>9166</v>
      </c>
      <c r="C3540" s="198" t="s">
        <v>2453</v>
      </c>
      <c r="D3540" s="198" t="s">
        <v>2272</v>
      </c>
      <c r="E3540" s="198" t="s">
        <v>1102</v>
      </c>
      <c r="F3540" s="4" t="s">
        <v>2272</v>
      </c>
      <c r="G3540" s="4" t="s">
        <v>2657</v>
      </c>
      <c r="H3540" s="4" t="s">
        <v>521</v>
      </c>
      <c r="I3540" s="198"/>
      <c r="J3540" s="172" t="s">
        <v>2272</v>
      </c>
      <c r="K3540" s="21">
        <f>($U3540/$Q3540)/(('Record info'!$K$1423*(100-'Land use'!$O$1423-'Land use'!$P$1423)/100))</f>
        <v>8.8182095583833452E-3</v>
      </c>
      <c r="L3540" s="172" t="s">
        <v>2272</v>
      </c>
      <c r="M3540" s="172" t="s">
        <v>2272</v>
      </c>
      <c r="N3540" s="172" t="s">
        <v>2272</v>
      </c>
      <c r="O3540" s="172" t="s">
        <v>2272</v>
      </c>
      <c r="P3540" s="172" t="s">
        <v>2272</v>
      </c>
      <c r="Q3540" s="172">
        <v>11.57</v>
      </c>
      <c r="R3540" s="172" t="s">
        <v>2272</v>
      </c>
      <c r="S3540" s="172" t="s">
        <v>2272</v>
      </c>
      <c r="T3540" s="172" t="s">
        <v>2272</v>
      </c>
      <c r="U3540" s="21">
        <v>41591.279999999999</v>
      </c>
      <c r="V3540" s="21" t="s">
        <v>2272</v>
      </c>
      <c r="W3540" s="21" t="s">
        <v>2272</v>
      </c>
      <c r="X3540" s="21" t="s">
        <v>2272</v>
      </c>
      <c r="Y3540" s="21">
        <f>U3540/'Record info'!K1423</f>
        <v>5.5007498988231748E-2</v>
      </c>
      <c r="Z3540" s="21" t="s">
        <v>2272</v>
      </c>
      <c r="AA3540" s="21" t="s">
        <v>2272</v>
      </c>
      <c r="AB3540" s="21" t="s">
        <v>2272</v>
      </c>
      <c r="AC3540" s="21" t="s">
        <v>2272</v>
      </c>
      <c r="AD3540" s="4" t="s">
        <v>9169</v>
      </c>
      <c r="AE3540" s="4" t="s">
        <v>9226</v>
      </c>
    </row>
    <row r="3541" spans="1:31" ht="93.5" customHeight="1">
      <c r="A3541" s="198" t="s">
        <v>9170</v>
      </c>
      <c r="B3541" s="198" t="s">
        <v>9172</v>
      </c>
      <c r="C3541" s="198" t="s">
        <v>2453</v>
      </c>
      <c r="D3541" s="198" t="s">
        <v>2272</v>
      </c>
      <c r="E3541" s="198" t="s">
        <v>1102</v>
      </c>
      <c r="F3541" s="4" t="s">
        <v>2272</v>
      </c>
      <c r="G3541" s="4" t="s">
        <v>2657</v>
      </c>
      <c r="H3541" s="4" t="s">
        <v>521</v>
      </c>
      <c r="I3541" s="198"/>
      <c r="J3541" s="172" t="s">
        <v>2272</v>
      </c>
      <c r="K3541" s="21">
        <f>(5946.4)/(('Record info'!$K$1423*(100-'Land use'!$O$1423-'Land use'!$P$1423)/100))</f>
        <v>1.4586987398534533E-2</v>
      </c>
      <c r="L3541" s="172" t="s">
        <v>2272</v>
      </c>
      <c r="M3541" s="172" t="s">
        <v>2272</v>
      </c>
      <c r="N3541" s="172" t="s">
        <v>2272</v>
      </c>
      <c r="O3541" s="172" t="s">
        <v>2272</v>
      </c>
      <c r="P3541" s="172" t="s">
        <v>2272</v>
      </c>
      <c r="Q3541" s="172">
        <v>8.4700000000000006</v>
      </c>
      <c r="R3541" s="172" t="s">
        <v>2272</v>
      </c>
      <c r="S3541" s="172" t="s">
        <v>2272</v>
      </c>
      <c r="T3541" s="172" t="s">
        <v>2272</v>
      </c>
      <c r="U3541" s="21">
        <v>51243.817999999999</v>
      </c>
      <c r="V3541" s="21" t="s">
        <v>2272</v>
      </c>
      <c r="W3541" s="21" t="s">
        <v>2272</v>
      </c>
      <c r="X3541" s="21" t="s">
        <v>2272</v>
      </c>
      <c r="Y3541" s="21">
        <f>U3541/'Record info'!K1423</f>
        <v>6.7773683973855373E-2</v>
      </c>
      <c r="Z3541" s="21" t="s">
        <v>2272</v>
      </c>
      <c r="AA3541" s="21" t="s">
        <v>2272</v>
      </c>
      <c r="AB3541" s="21" t="s">
        <v>2272</v>
      </c>
      <c r="AC3541" s="21" t="s">
        <v>2272</v>
      </c>
      <c r="AD3541" s="4" t="s">
        <v>9169</v>
      </c>
      <c r="AE3541" s="4" t="s">
        <v>9226</v>
      </c>
    </row>
    <row r="3542" spans="1:31" ht="93.5" customHeight="1">
      <c r="A3542" s="198" t="s">
        <v>9171</v>
      </c>
      <c r="B3542" s="198" t="s">
        <v>9173</v>
      </c>
      <c r="C3542" s="198" t="s">
        <v>2453</v>
      </c>
      <c r="D3542" s="198" t="s">
        <v>2272</v>
      </c>
      <c r="E3542" s="198" t="s">
        <v>1102</v>
      </c>
      <c r="F3542" s="4" t="s">
        <v>2272</v>
      </c>
      <c r="G3542" s="4" t="s">
        <v>2657</v>
      </c>
      <c r="H3542" s="4" t="s">
        <v>521</v>
      </c>
      <c r="I3542" s="198"/>
      <c r="J3542" s="172" t="s">
        <v>2272</v>
      </c>
      <c r="K3542" s="21">
        <f>(6114.67)/(('Record info'!$K$1423*(100-'Land use'!$O$1423-'Land use'!$P$1423)/100))</f>
        <v>1.4999766957520038E-2</v>
      </c>
      <c r="L3542" s="172" t="s">
        <v>2272</v>
      </c>
      <c r="M3542" s="172" t="s">
        <v>2272</v>
      </c>
      <c r="N3542" s="172" t="s">
        <v>2272</v>
      </c>
      <c r="O3542" s="172" t="s">
        <v>2272</v>
      </c>
      <c r="P3542" s="172" t="s">
        <v>2272</v>
      </c>
      <c r="Q3542" s="172">
        <v>14.8</v>
      </c>
      <c r="R3542" s="172" t="s">
        <v>2272</v>
      </c>
      <c r="S3542" s="172" t="s">
        <v>2272</v>
      </c>
      <c r="T3542" s="172" t="s">
        <v>2272</v>
      </c>
      <c r="U3542" s="21">
        <v>96706.96</v>
      </c>
      <c r="V3542" s="21" t="s">
        <v>2272</v>
      </c>
      <c r="W3542" s="21" t="s">
        <v>2272</v>
      </c>
      <c r="X3542" s="21" t="s">
        <v>2272</v>
      </c>
      <c r="Y3542" s="21">
        <f>U3542/'Record info'!K1423</f>
        <v>0.12790200263985549</v>
      </c>
      <c r="Z3542" s="21" t="s">
        <v>2272</v>
      </c>
      <c r="AA3542" s="21" t="s">
        <v>2272</v>
      </c>
      <c r="AB3542" s="21" t="s">
        <v>2272</v>
      </c>
      <c r="AC3542" s="21" t="s">
        <v>2272</v>
      </c>
      <c r="AD3542" s="4" t="s">
        <v>9169</v>
      </c>
      <c r="AE3542" s="4" t="s">
        <v>9226</v>
      </c>
    </row>
    <row r="3543" spans="1:31" ht="93.5" customHeight="1">
      <c r="A3543" s="198" t="s">
        <v>9149</v>
      </c>
      <c r="B3543" s="198" t="s">
        <v>9189</v>
      </c>
      <c r="C3543" s="198" t="s">
        <v>2453</v>
      </c>
      <c r="D3543" s="198" t="s">
        <v>2272</v>
      </c>
      <c r="E3543" s="198" t="s">
        <v>1102</v>
      </c>
      <c r="F3543" s="4" t="s">
        <v>2272</v>
      </c>
      <c r="G3543" s="4" t="s">
        <v>2657</v>
      </c>
      <c r="H3543" s="4" t="s">
        <v>522</v>
      </c>
      <c r="I3543" s="198"/>
      <c r="J3543" s="172" t="s">
        <v>2272</v>
      </c>
      <c r="K3543" s="21">
        <v>0</v>
      </c>
      <c r="L3543" s="21">
        <v>0</v>
      </c>
      <c r="M3543" s="21">
        <v>0</v>
      </c>
      <c r="N3543" s="21">
        <v>0</v>
      </c>
      <c r="O3543" s="21">
        <v>0</v>
      </c>
      <c r="P3543" s="21">
        <v>0</v>
      </c>
      <c r="Q3543" s="21">
        <v>0</v>
      </c>
      <c r="R3543" s="21">
        <v>0</v>
      </c>
      <c r="S3543" s="21">
        <v>0</v>
      </c>
      <c r="T3543" s="21">
        <v>0</v>
      </c>
      <c r="U3543" s="21">
        <v>0</v>
      </c>
      <c r="V3543" s="21">
        <v>0</v>
      </c>
      <c r="W3543" s="21">
        <v>0</v>
      </c>
      <c r="X3543" s="21">
        <v>0</v>
      </c>
      <c r="Y3543" s="21">
        <v>0</v>
      </c>
      <c r="Z3543" s="21" t="s">
        <v>2272</v>
      </c>
      <c r="AA3543" s="21" t="s">
        <v>2272</v>
      </c>
      <c r="AB3543" s="21" t="s">
        <v>2272</v>
      </c>
      <c r="AC3543" s="21" t="s">
        <v>2272</v>
      </c>
      <c r="AD3543" s="4" t="s">
        <v>9169</v>
      </c>
      <c r="AE3543" s="4" t="s">
        <v>9226</v>
      </c>
    </row>
    <row r="3544" spans="1:31" ht="93.5" customHeight="1">
      <c r="A3544" s="198" t="s">
        <v>9150</v>
      </c>
      <c r="B3544" s="198" t="s">
        <v>9190</v>
      </c>
      <c r="C3544" s="198" t="s">
        <v>2453</v>
      </c>
      <c r="D3544" s="198" t="s">
        <v>2272</v>
      </c>
      <c r="E3544" s="198" t="s">
        <v>1102</v>
      </c>
      <c r="F3544" s="4" t="s">
        <v>2272</v>
      </c>
      <c r="G3544" s="4" t="s">
        <v>2657</v>
      </c>
      <c r="H3544" s="4" t="s">
        <v>522</v>
      </c>
      <c r="I3544" s="198"/>
      <c r="J3544" s="172" t="s">
        <v>2272</v>
      </c>
      <c r="K3544" s="21">
        <v>0</v>
      </c>
      <c r="L3544" s="21">
        <v>0</v>
      </c>
      <c r="M3544" s="21">
        <v>0</v>
      </c>
      <c r="N3544" s="21">
        <v>0</v>
      </c>
      <c r="O3544" s="21">
        <v>0</v>
      </c>
      <c r="P3544" s="21">
        <v>0</v>
      </c>
      <c r="Q3544" s="21">
        <v>0</v>
      </c>
      <c r="R3544" s="21">
        <v>0</v>
      </c>
      <c r="S3544" s="21">
        <v>0</v>
      </c>
      <c r="T3544" s="21">
        <v>0</v>
      </c>
      <c r="U3544" s="21">
        <v>0</v>
      </c>
      <c r="V3544" s="21">
        <v>0</v>
      </c>
      <c r="W3544" s="21">
        <v>0</v>
      </c>
      <c r="X3544" s="21">
        <v>0</v>
      </c>
      <c r="Y3544" s="21">
        <v>0</v>
      </c>
      <c r="Z3544" s="21" t="s">
        <v>2272</v>
      </c>
      <c r="AA3544" s="21" t="s">
        <v>2272</v>
      </c>
      <c r="AB3544" s="21" t="s">
        <v>2272</v>
      </c>
      <c r="AC3544" s="21" t="s">
        <v>2272</v>
      </c>
      <c r="AD3544" s="4" t="s">
        <v>9169</v>
      </c>
      <c r="AE3544" s="4" t="s">
        <v>9226</v>
      </c>
    </row>
    <row r="3545" spans="1:31" ht="93.5" customHeight="1">
      <c r="A3545" s="198" t="s">
        <v>9151</v>
      </c>
      <c r="B3545" s="198" t="s">
        <v>9191</v>
      </c>
      <c r="C3545" s="198" t="s">
        <v>2453</v>
      </c>
      <c r="D3545" s="198" t="s">
        <v>2272</v>
      </c>
      <c r="E3545" s="198" t="s">
        <v>1102</v>
      </c>
      <c r="F3545" s="4" t="s">
        <v>2272</v>
      </c>
      <c r="G3545" s="4" t="s">
        <v>2657</v>
      </c>
      <c r="H3545" s="4" t="s">
        <v>522</v>
      </c>
      <c r="I3545" s="198"/>
      <c r="J3545" s="172" t="s">
        <v>2272</v>
      </c>
      <c r="K3545" s="21">
        <v>0</v>
      </c>
      <c r="L3545" s="21">
        <v>0</v>
      </c>
      <c r="M3545" s="21">
        <v>0</v>
      </c>
      <c r="N3545" s="21">
        <v>0</v>
      </c>
      <c r="O3545" s="21">
        <v>0</v>
      </c>
      <c r="P3545" s="21">
        <v>0</v>
      </c>
      <c r="Q3545" s="21">
        <v>0</v>
      </c>
      <c r="R3545" s="21">
        <v>0</v>
      </c>
      <c r="S3545" s="21">
        <v>0</v>
      </c>
      <c r="T3545" s="21">
        <v>0</v>
      </c>
      <c r="U3545" s="21">
        <v>0</v>
      </c>
      <c r="V3545" s="21">
        <v>0</v>
      </c>
      <c r="W3545" s="21">
        <v>0</v>
      </c>
      <c r="X3545" s="21">
        <v>0</v>
      </c>
      <c r="Y3545" s="21">
        <v>0</v>
      </c>
      <c r="Z3545" s="21" t="s">
        <v>2272</v>
      </c>
      <c r="AA3545" s="21" t="s">
        <v>2272</v>
      </c>
      <c r="AB3545" s="21" t="s">
        <v>2272</v>
      </c>
      <c r="AC3545" s="21" t="s">
        <v>2272</v>
      </c>
      <c r="AD3545" s="4" t="s">
        <v>9169</v>
      </c>
      <c r="AE3545" s="4" t="s">
        <v>9226</v>
      </c>
    </row>
    <row r="3546" spans="1:31" ht="93.5" customHeight="1">
      <c r="A3546" s="198" t="s">
        <v>9152</v>
      </c>
      <c r="B3546" s="198" t="s">
        <v>9192</v>
      </c>
      <c r="C3546" s="198" t="s">
        <v>2453</v>
      </c>
      <c r="D3546" s="198" t="s">
        <v>2272</v>
      </c>
      <c r="E3546" s="198" t="s">
        <v>1102</v>
      </c>
      <c r="F3546" s="4" t="s">
        <v>2272</v>
      </c>
      <c r="G3546" s="4" t="s">
        <v>2657</v>
      </c>
      <c r="H3546" s="4" t="s">
        <v>521</v>
      </c>
      <c r="I3546" s="198"/>
      <c r="J3546" s="172" t="s">
        <v>2272</v>
      </c>
      <c r="K3546" s="172">
        <v>2.0285675519645847E-4</v>
      </c>
      <c r="L3546" s="172" t="s">
        <v>2272</v>
      </c>
      <c r="M3546" s="172" t="s">
        <v>2272</v>
      </c>
      <c r="N3546" s="172" t="s">
        <v>2272</v>
      </c>
      <c r="O3546" s="172" t="s">
        <v>2272</v>
      </c>
      <c r="P3546" s="172" t="s">
        <v>2272</v>
      </c>
      <c r="Q3546" s="21">
        <v>1.3245357010239305</v>
      </c>
      <c r="R3546" s="172" t="s">
        <v>2272</v>
      </c>
      <c r="S3546" s="172" t="s">
        <v>2272</v>
      </c>
      <c r="T3546" s="172" t="s">
        <v>2272</v>
      </c>
      <c r="U3546" s="21">
        <v>16.680000000000003</v>
      </c>
      <c r="V3546" s="172" t="s">
        <v>2272</v>
      </c>
      <c r="W3546" s="172" t="s">
        <v>2272</v>
      </c>
      <c r="X3546" s="172" t="s">
        <v>2272</v>
      </c>
      <c r="Y3546" s="172" t="s">
        <v>2272</v>
      </c>
      <c r="Z3546" s="172" t="s">
        <v>2272</v>
      </c>
      <c r="AA3546" s="172" t="s">
        <v>2272</v>
      </c>
      <c r="AB3546" s="172" t="s">
        <v>2272</v>
      </c>
      <c r="AC3546" s="172" t="s">
        <v>2272</v>
      </c>
      <c r="AD3546" s="4" t="s">
        <v>9169</v>
      </c>
      <c r="AE3546" s="4" t="s">
        <v>9226</v>
      </c>
    </row>
    <row r="3547" spans="1:31" ht="93.5" customHeight="1">
      <c r="A3547" s="198" t="s">
        <v>9153</v>
      </c>
      <c r="B3547" s="198" t="s">
        <v>9193</v>
      </c>
      <c r="C3547" s="198" t="s">
        <v>2453</v>
      </c>
      <c r="D3547" s="198" t="s">
        <v>2272</v>
      </c>
      <c r="E3547" s="198" t="s">
        <v>1102</v>
      </c>
      <c r="F3547" s="4" t="s">
        <v>2272</v>
      </c>
      <c r="G3547" s="4" t="s">
        <v>2657</v>
      </c>
      <c r="H3547" s="4" t="s">
        <v>521</v>
      </c>
      <c r="I3547" s="198"/>
      <c r="J3547" s="172" t="s">
        <v>2272</v>
      </c>
      <c r="K3547" s="172">
        <v>1.1171376305346571E-3</v>
      </c>
      <c r="L3547" s="172" t="s">
        <v>2272</v>
      </c>
      <c r="M3547" s="172" t="s">
        <v>2272</v>
      </c>
      <c r="N3547" s="172" t="s">
        <v>2272</v>
      </c>
      <c r="O3547" s="172" t="s">
        <v>2272</v>
      </c>
      <c r="P3547" s="172" t="s">
        <v>2272</v>
      </c>
      <c r="Q3547" s="21">
        <v>18.177654221418891</v>
      </c>
      <c r="R3547" s="172" t="s">
        <v>2272</v>
      </c>
      <c r="S3547" s="172" t="s">
        <v>2272</v>
      </c>
      <c r="T3547" s="172" t="s">
        <v>2272</v>
      </c>
      <c r="U3547" s="21">
        <v>740.98041666666677</v>
      </c>
      <c r="V3547" s="172" t="s">
        <v>2272</v>
      </c>
      <c r="W3547" s="172" t="s">
        <v>2272</v>
      </c>
      <c r="X3547" s="172" t="s">
        <v>2272</v>
      </c>
      <c r="Y3547" s="172" t="s">
        <v>2272</v>
      </c>
      <c r="Z3547" s="172" t="s">
        <v>2272</v>
      </c>
      <c r="AA3547" s="172" t="s">
        <v>2272</v>
      </c>
      <c r="AB3547" s="172" t="s">
        <v>2272</v>
      </c>
      <c r="AC3547" s="172" t="s">
        <v>2272</v>
      </c>
      <c r="AD3547" s="4" t="s">
        <v>9169</v>
      </c>
      <c r="AE3547" s="4" t="s">
        <v>9226</v>
      </c>
    </row>
    <row r="3548" spans="1:31" ht="93.5" customHeight="1">
      <c r="A3548" s="198" t="s">
        <v>9154</v>
      </c>
      <c r="B3548" s="198" t="s">
        <v>9194</v>
      </c>
      <c r="C3548" s="198" t="s">
        <v>2453</v>
      </c>
      <c r="D3548" s="198" t="s">
        <v>2272</v>
      </c>
      <c r="E3548" s="198" t="s">
        <v>1102</v>
      </c>
      <c r="F3548" s="4" t="s">
        <v>2272</v>
      </c>
      <c r="G3548" s="4" t="s">
        <v>2657</v>
      </c>
      <c r="H3548" s="4" t="s">
        <v>521</v>
      </c>
      <c r="I3548" s="198"/>
      <c r="J3548" s="172" t="s">
        <v>2272</v>
      </c>
      <c r="K3548" s="172">
        <v>5.5554369636681901E-2</v>
      </c>
      <c r="L3548" s="172" t="s">
        <v>2272</v>
      </c>
      <c r="M3548" s="172" t="s">
        <v>2272</v>
      </c>
      <c r="N3548" s="172" t="s">
        <v>2272</v>
      </c>
      <c r="O3548" s="172" t="s">
        <v>2272</v>
      </c>
      <c r="P3548" s="172" t="s">
        <v>2272</v>
      </c>
      <c r="Q3548" s="21">
        <v>10.499276691012254</v>
      </c>
      <c r="R3548" s="172" t="s">
        <v>2272</v>
      </c>
      <c r="S3548" s="172" t="s">
        <v>2272</v>
      </c>
      <c r="T3548" s="172" t="s">
        <v>2272</v>
      </c>
      <c r="U3548" s="21">
        <v>8696.9858333333323</v>
      </c>
      <c r="V3548" s="172" t="s">
        <v>2272</v>
      </c>
      <c r="W3548" s="172" t="s">
        <v>2272</v>
      </c>
      <c r="X3548" s="172" t="s">
        <v>2272</v>
      </c>
      <c r="Y3548" s="172" t="s">
        <v>2272</v>
      </c>
      <c r="Z3548" s="172" t="s">
        <v>2272</v>
      </c>
      <c r="AA3548" s="172" t="s">
        <v>2272</v>
      </c>
      <c r="AB3548" s="172" t="s">
        <v>2272</v>
      </c>
      <c r="AC3548" s="172" t="s">
        <v>2272</v>
      </c>
      <c r="AD3548" s="4" t="s">
        <v>9169</v>
      </c>
      <c r="AE3548" s="4" t="s">
        <v>9226</v>
      </c>
    </row>
    <row r="3549" spans="1:31" ht="93.5" customHeight="1">
      <c r="A3549" s="198" t="s">
        <v>9155</v>
      </c>
      <c r="B3549" s="198" t="s">
        <v>9195</v>
      </c>
      <c r="C3549" s="198" t="s">
        <v>2453</v>
      </c>
      <c r="D3549" s="198" t="s">
        <v>2272</v>
      </c>
      <c r="E3549" s="198" t="s">
        <v>1102</v>
      </c>
      <c r="F3549" s="4" t="s">
        <v>2272</v>
      </c>
      <c r="G3549" s="4" t="s">
        <v>2657</v>
      </c>
      <c r="H3549" s="4" t="s">
        <v>521</v>
      </c>
      <c r="I3549" s="198"/>
      <c r="J3549" s="172" t="s">
        <v>2272</v>
      </c>
      <c r="K3549" s="172">
        <v>2.7876063104590013E-2</v>
      </c>
      <c r="L3549" s="172" t="s">
        <v>2272</v>
      </c>
      <c r="M3549" s="172" t="s">
        <v>2272</v>
      </c>
      <c r="N3549" s="172" t="s">
        <v>2272</v>
      </c>
      <c r="O3549" s="172" t="s">
        <v>2272</v>
      </c>
      <c r="P3549" s="172" t="s">
        <v>2272</v>
      </c>
      <c r="Q3549" s="21">
        <v>9.4764085932472373</v>
      </c>
      <c r="R3549" s="172" t="s">
        <v>2272</v>
      </c>
      <c r="S3549" s="172" t="s">
        <v>2272</v>
      </c>
      <c r="T3549" s="172" t="s">
        <v>2272</v>
      </c>
      <c r="U3549" s="21">
        <v>3993.9150000000004</v>
      </c>
      <c r="V3549" s="172" t="s">
        <v>2272</v>
      </c>
      <c r="W3549" s="172" t="s">
        <v>2272</v>
      </c>
      <c r="X3549" s="172" t="s">
        <v>2272</v>
      </c>
      <c r="Y3549" s="172" t="s">
        <v>2272</v>
      </c>
      <c r="Z3549" s="172" t="s">
        <v>2272</v>
      </c>
      <c r="AA3549" s="172" t="s">
        <v>2272</v>
      </c>
      <c r="AB3549" s="172" t="s">
        <v>2272</v>
      </c>
      <c r="AC3549" s="172" t="s">
        <v>2272</v>
      </c>
      <c r="AD3549" s="4" t="s">
        <v>9169</v>
      </c>
      <c r="AE3549" s="4" t="s">
        <v>9226</v>
      </c>
    </row>
    <row r="3550" spans="1:31" ht="93.5" customHeight="1">
      <c r="A3550" s="198" t="s">
        <v>9156</v>
      </c>
      <c r="B3550" s="198" t="s">
        <v>9196</v>
      </c>
      <c r="C3550" s="198" t="s">
        <v>2453</v>
      </c>
      <c r="D3550" s="198" t="s">
        <v>2272</v>
      </c>
      <c r="E3550" s="198" t="s">
        <v>1102</v>
      </c>
      <c r="F3550" s="4" t="s">
        <v>2272</v>
      </c>
      <c r="G3550" s="4" t="s">
        <v>2657</v>
      </c>
      <c r="H3550" s="4" t="s">
        <v>521</v>
      </c>
      <c r="I3550" s="198"/>
      <c r="J3550" s="172" t="s">
        <v>2272</v>
      </c>
      <c r="K3550" s="172">
        <v>1.6107788694290189E-2</v>
      </c>
      <c r="L3550" s="172" t="s">
        <v>2272</v>
      </c>
      <c r="M3550" s="172" t="s">
        <v>2272</v>
      </c>
      <c r="N3550" s="172" t="s">
        <v>2272</v>
      </c>
      <c r="O3550" s="172" t="s">
        <v>2272</v>
      </c>
      <c r="P3550" s="172" t="s">
        <v>2272</v>
      </c>
      <c r="Q3550" s="21">
        <v>23.052898499498635</v>
      </c>
      <c r="R3550" s="172" t="s">
        <v>2272</v>
      </c>
      <c r="S3550" s="172" t="s">
        <v>2272</v>
      </c>
      <c r="T3550" s="172" t="s">
        <v>2272</v>
      </c>
      <c r="U3550" s="21">
        <v>6093.1358333333337</v>
      </c>
      <c r="V3550" s="172" t="s">
        <v>2272</v>
      </c>
      <c r="W3550" s="172" t="s">
        <v>2272</v>
      </c>
      <c r="X3550" s="172" t="s">
        <v>2272</v>
      </c>
      <c r="Y3550" s="172" t="s">
        <v>2272</v>
      </c>
      <c r="Z3550" s="172" t="s">
        <v>2272</v>
      </c>
      <c r="AA3550" s="172" t="s">
        <v>2272</v>
      </c>
      <c r="AB3550" s="172" t="s">
        <v>2272</v>
      </c>
      <c r="AC3550" s="172" t="s">
        <v>2272</v>
      </c>
      <c r="AD3550" s="4" t="s">
        <v>9169</v>
      </c>
      <c r="AE3550" s="4" t="s">
        <v>9226</v>
      </c>
    </row>
    <row r="3551" spans="1:31" ht="93.5" customHeight="1">
      <c r="A3551" s="198" t="s">
        <v>9157</v>
      </c>
      <c r="B3551" s="198" t="s">
        <v>9197</v>
      </c>
      <c r="C3551" s="198" t="s">
        <v>2453</v>
      </c>
      <c r="D3551" s="198" t="s">
        <v>2272</v>
      </c>
      <c r="E3551" s="198" t="s">
        <v>1102</v>
      </c>
      <c r="F3551" s="4" t="s">
        <v>2272</v>
      </c>
      <c r="G3551" s="4" t="s">
        <v>2657</v>
      </c>
      <c r="H3551" s="4" t="s">
        <v>521</v>
      </c>
      <c r="I3551" s="198"/>
      <c r="J3551" s="172" t="s">
        <v>2272</v>
      </c>
      <c r="K3551" s="172">
        <v>1.23241935430633E-2</v>
      </c>
      <c r="L3551" s="172" t="s">
        <v>2272</v>
      </c>
      <c r="M3551" s="172" t="s">
        <v>2272</v>
      </c>
      <c r="N3551" s="172" t="s">
        <v>2272</v>
      </c>
      <c r="O3551" s="172" t="s">
        <v>2272</v>
      </c>
      <c r="P3551" s="172" t="s">
        <v>2272</v>
      </c>
      <c r="Q3551" s="21">
        <v>13.818700816290672</v>
      </c>
      <c r="R3551" s="172" t="s">
        <v>2272</v>
      </c>
      <c r="S3551" s="172" t="s">
        <v>2272</v>
      </c>
      <c r="T3551" s="172" t="s">
        <v>2272</v>
      </c>
      <c r="U3551" s="21">
        <v>4945.1245833333342</v>
      </c>
      <c r="V3551" s="172" t="s">
        <v>2272</v>
      </c>
      <c r="W3551" s="172" t="s">
        <v>2272</v>
      </c>
      <c r="X3551" s="172" t="s">
        <v>2272</v>
      </c>
      <c r="Y3551" s="172" t="s">
        <v>2272</v>
      </c>
      <c r="Z3551" s="172" t="s">
        <v>2272</v>
      </c>
      <c r="AA3551" s="172" t="s">
        <v>2272</v>
      </c>
      <c r="AB3551" s="172" t="s">
        <v>2272</v>
      </c>
      <c r="AC3551" s="172" t="s">
        <v>2272</v>
      </c>
      <c r="AD3551" s="4" t="s">
        <v>9169</v>
      </c>
      <c r="AE3551" s="4" t="s">
        <v>9226</v>
      </c>
    </row>
    <row r="3552" spans="1:31" ht="93.5" customHeight="1">
      <c r="A3552" s="198" t="s">
        <v>9158</v>
      </c>
      <c r="B3552" s="198" t="s">
        <v>9198</v>
      </c>
      <c r="C3552" s="198" t="s">
        <v>2453</v>
      </c>
      <c r="D3552" s="198" t="s">
        <v>2272</v>
      </c>
      <c r="E3552" s="198" t="s">
        <v>1102</v>
      </c>
      <c r="F3552" s="4" t="s">
        <v>2272</v>
      </c>
      <c r="G3552" s="4" t="s">
        <v>2657</v>
      </c>
      <c r="H3552" s="4" t="s">
        <v>522</v>
      </c>
      <c r="I3552" s="198"/>
      <c r="J3552" s="172" t="s">
        <v>2272</v>
      </c>
      <c r="K3552" s="172">
        <v>0</v>
      </c>
      <c r="L3552" s="21">
        <v>0</v>
      </c>
      <c r="M3552" s="21">
        <v>0</v>
      </c>
      <c r="N3552" s="21">
        <v>0</v>
      </c>
      <c r="O3552" s="21">
        <v>0</v>
      </c>
      <c r="P3552" s="21">
        <v>0</v>
      </c>
      <c r="Q3552" s="198">
        <v>0</v>
      </c>
      <c r="R3552" s="21">
        <v>0</v>
      </c>
      <c r="S3552" s="21">
        <v>0</v>
      </c>
      <c r="T3552" s="21">
        <v>0</v>
      </c>
      <c r="U3552" s="21">
        <v>0</v>
      </c>
      <c r="V3552" s="21">
        <v>0</v>
      </c>
      <c r="W3552" s="21">
        <v>0</v>
      </c>
      <c r="X3552" s="21">
        <v>0</v>
      </c>
      <c r="Y3552" s="21">
        <v>0</v>
      </c>
      <c r="Z3552" s="172" t="s">
        <v>2272</v>
      </c>
      <c r="AA3552" s="172" t="s">
        <v>2272</v>
      </c>
      <c r="AB3552" s="172" t="s">
        <v>2272</v>
      </c>
      <c r="AC3552" s="172" t="s">
        <v>2272</v>
      </c>
      <c r="AD3552" s="4" t="s">
        <v>9169</v>
      </c>
      <c r="AE3552" s="4" t="s">
        <v>9226</v>
      </c>
    </row>
    <row r="3553" spans="1:31" ht="93.5" customHeight="1">
      <c r="A3553" s="198" t="s">
        <v>9159</v>
      </c>
      <c r="B3553" s="198" t="s">
        <v>9199</v>
      </c>
      <c r="C3553" s="198" t="s">
        <v>2453</v>
      </c>
      <c r="D3553" s="198" t="s">
        <v>2272</v>
      </c>
      <c r="E3553" s="198" t="s">
        <v>1102</v>
      </c>
      <c r="F3553" s="4" t="s">
        <v>2272</v>
      </c>
      <c r="G3553" s="4" t="s">
        <v>2657</v>
      </c>
      <c r="H3553" s="4" t="s">
        <v>521</v>
      </c>
      <c r="I3553" s="198"/>
      <c r="J3553" s="172" t="s">
        <v>2272</v>
      </c>
      <c r="K3553" s="172">
        <v>7.4673227236830717E-2</v>
      </c>
      <c r="L3553" s="172" t="s">
        <v>2272</v>
      </c>
      <c r="M3553" s="172" t="s">
        <v>2272</v>
      </c>
      <c r="N3553" s="172" t="s">
        <v>2272</v>
      </c>
      <c r="O3553" s="172" t="s">
        <v>2272</v>
      </c>
      <c r="P3553" s="172" t="s">
        <v>2272</v>
      </c>
      <c r="Q3553" s="21">
        <v>5.8981327260473284</v>
      </c>
      <c r="R3553" s="172" t="s">
        <v>2272</v>
      </c>
      <c r="S3553" s="172" t="s">
        <v>2272</v>
      </c>
      <c r="T3553" s="172" t="s">
        <v>2272</v>
      </c>
      <c r="U3553" s="21">
        <v>10888.055416666666</v>
      </c>
      <c r="V3553" s="172" t="s">
        <v>2272</v>
      </c>
      <c r="W3553" s="172" t="s">
        <v>2272</v>
      </c>
      <c r="X3553" s="172" t="s">
        <v>2272</v>
      </c>
      <c r="Y3553" s="172" t="s">
        <v>2272</v>
      </c>
      <c r="Z3553" s="172" t="s">
        <v>2272</v>
      </c>
      <c r="AA3553" s="172" t="s">
        <v>2272</v>
      </c>
      <c r="AB3553" s="172" t="s">
        <v>2272</v>
      </c>
      <c r="AC3553" s="172" t="s">
        <v>2272</v>
      </c>
      <c r="AD3553" s="4" t="s">
        <v>9169</v>
      </c>
      <c r="AE3553" s="4" t="s">
        <v>9226</v>
      </c>
    </row>
    <row r="3554" spans="1:31" ht="93.5" customHeight="1">
      <c r="A3554" s="198" t="s">
        <v>9160</v>
      </c>
      <c r="B3554" s="198" t="s">
        <v>9200</v>
      </c>
      <c r="C3554" s="198" t="s">
        <v>2453</v>
      </c>
      <c r="D3554" s="198" t="s">
        <v>2272</v>
      </c>
      <c r="E3554" s="198" t="s">
        <v>1102</v>
      </c>
      <c r="F3554" s="4" t="s">
        <v>2272</v>
      </c>
      <c r="G3554" s="4" t="s">
        <v>2657</v>
      </c>
      <c r="H3554" s="4" t="s">
        <v>521</v>
      </c>
      <c r="I3554" s="198"/>
      <c r="J3554" s="172" t="s">
        <v>2272</v>
      </c>
      <c r="K3554" s="172">
        <v>2.100717180186942E-2</v>
      </c>
      <c r="L3554" s="172" t="s">
        <v>2272</v>
      </c>
      <c r="M3554" s="172" t="s">
        <v>2272</v>
      </c>
      <c r="N3554" s="172" t="s">
        <v>2272</v>
      </c>
      <c r="O3554" s="172" t="s">
        <v>2272</v>
      </c>
      <c r="P3554" s="172" t="s">
        <v>2272</v>
      </c>
      <c r="Q3554" s="21">
        <v>12.829639954136971</v>
      </c>
      <c r="R3554" s="172" t="s">
        <v>2272</v>
      </c>
      <c r="S3554" s="172" t="s">
        <v>2272</v>
      </c>
      <c r="T3554" s="172" t="s">
        <v>2272</v>
      </c>
      <c r="U3554" s="21">
        <v>6352.9495833333322</v>
      </c>
      <c r="V3554" s="172" t="s">
        <v>2272</v>
      </c>
      <c r="W3554" s="172" t="s">
        <v>2272</v>
      </c>
      <c r="X3554" s="172" t="s">
        <v>2272</v>
      </c>
      <c r="Y3554" s="172" t="s">
        <v>2272</v>
      </c>
      <c r="Z3554" s="172" t="s">
        <v>2272</v>
      </c>
      <c r="AA3554" s="172" t="s">
        <v>2272</v>
      </c>
      <c r="AB3554" s="172" t="s">
        <v>2272</v>
      </c>
      <c r="AC3554" s="172" t="s">
        <v>2272</v>
      </c>
      <c r="AD3554" s="4" t="s">
        <v>9169</v>
      </c>
      <c r="AE3554" s="4" t="s">
        <v>9226</v>
      </c>
    </row>
    <row r="3555" spans="1:31" ht="93.5" customHeight="1">
      <c r="A3555" s="198" t="s">
        <v>9161</v>
      </c>
      <c r="B3555" s="198" t="s">
        <v>9201</v>
      </c>
      <c r="C3555" s="198" t="s">
        <v>2453</v>
      </c>
      <c r="D3555" s="198" t="s">
        <v>2272</v>
      </c>
      <c r="E3555" s="198" t="s">
        <v>1102</v>
      </c>
      <c r="F3555" s="4" t="s">
        <v>2272</v>
      </c>
      <c r="G3555" s="4" t="s">
        <v>2657</v>
      </c>
      <c r="H3555" s="4" t="s">
        <v>521</v>
      </c>
      <c r="I3555" s="198"/>
      <c r="J3555" s="172" t="s">
        <v>2272</v>
      </c>
      <c r="K3555" s="172">
        <v>6.1145174855530534E-3</v>
      </c>
      <c r="L3555" s="172" t="s">
        <v>2272</v>
      </c>
      <c r="M3555" s="172" t="s">
        <v>2272</v>
      </c>
      <c r="N3555" s="172" t="s">
        <v>2272</v>
      </c>
      <c r="O3555" s="172" t="s">
        <v>2272</v>
      </c>
      <c r="P3555" s="172" t="s">
        <v>2272</v>
      </c>
      <c r="Q3555" s="21">
        <v>6.8406474775289121</v>
      </c>
      <c r="R3555" s="172" t="s">
        <v>2272</v>
      </c>
      <c r="S3555" s="172" t="s">
        <v>2272</v>
      </c>
      <c r="T3555" s="172" t="s">
        <v>2272</v>
      </c>
      <c r="U3555" s="21">
        <v>1158.8437500000002</v>
      </c>
      <c r="V3555" s="172" t="s">
        <v>2272</v>
      </c>
      <c r="W3555" s="172" t="s">
        <v>2272</v>
      </c>
      <c r="X3555" s="172" t="s">
        <v>2272</v>
      </c>
      <c r="Y3555" s="172" t="s">
        <v>2272</v>
      </c>
      <c r="Z3555" s="172" t="s">
        <v>2272</v>
      </c>
      <c r="AA3555" s="172" t="s">
        <v>2272</v>
      </c>
      <c r="AB3555" s="172" t="s">
        <v>2272</v>
      </c>
      <c r="AC3555" s="172" t="s">
        <v>2272</v>
      </c>
      <c r="AD3555" s="4" t="s">
        <v>9169</v>
      </c>
      <c r="AE3555" s="4" t="s">
        <v>9226</v>
      </c>
    </row>
    <row r="3556" spans="1:31" ht="93.5" customHeight="1">
      <c r="A3556" s="198" t="s">
        <v>9162</v>
      </c>
      <c r="B3556" s="198" t="s">
        <v>9202</v>
      </c>
      <c r="C3556" s="198" t="s">
        <v>2453</v>
      </c>
      <c r="D3556" s="198" t="s">
        <v>2272</v>
      </c>
      <c r="E3556" s="198" t="s">
        <v>1102</v>
      </c>
      <c r="F3556" s="4" t="s">
        <v>2272</v>
      </c>
      <c r="G3556" s="4" t="s">
        <v>2657</v>
      </c>
      <c r="H3556" s="4" t="s">
        <v>521</v>
      </c>
      <c r="I3556" s="198"/>
      <c r="J3556" s="172" t="s">
        <v>2272</v>
      </c>
      <c r="K3556" s="172">
        <v>6.7563951621534843E-3</v>
      </c>
      <c r="L3556" s="172" t="s">
        <v>2272</v>
      </c>
      <c r="M3556" s="172" t="s">
        <v>2272</v>
      </c>
      <c r="N3556" s="172" t="s">
        <v>2272</v>
      </c>
      <c r="O3556" s="172" t="s">
        <v>2272</v>
      </c>
      <c r="P3556" s="172" t="s">
        <v>2272</v>
      </c>
      <c r="Q3556" s="21">
        <v>12.750870263836982</v>
      </c>
      <c r="R3556" s="172" t="s">
        <v>2272</v>
      </c>
      <c r="S3556" s="172" t="s">
        <v>2272</v>
      </c>
      <c r="T3556" s="172" t="s">
        <v>2272</v>
      </c>
      <c r="U3556" s="21">
        <v>5597.1874999999991</v>
      </c>
      <c r="V3556" s="172" t="s">
        <v>2272</v>
      </c>
      <c r="W3556" s="172" t="s">
        <v>2272</v>
      </c>
      <c r="X3556" s="172" t="s">
        <v>2272</v>
      </c>
      <c r="Y3556" s="172" t="s">
        <v>2272</v>
      </c>
      <c r="Z3556" s="172" t="s">
        <v>2272</v>
      </c>
      <c r="AA3556" s="172" t="s">
        <v>2272</v>
      </c>
      <c r="AB3556" s="172" t="s">
        <v>2272</v>
      </c>
      <c r="AC3556" s="172" t="s">
        <v>2272</v>
      </c>
      <c r="AD3556" s="4" t="s">
        <v>9169</v>
      </c>
      <c r="AE3556" s="4" t="s">
        <v>9226</v>
      </c>
    </row>
    <row r="3557" spans="1:31" ht="93.5" customHeight="1">
      <c r="A3557" s="198" t="s">
        <v>9163</v>
      </c>
      <c r="B3557" s="198" t="s">
        <v>9203</v>
      </c>
      <c r="C3557" s="198" t="s">
        <v>2453</v>
      </c>
      <c r="D3557" s="198" t="s">
        <v>2272</v>
      </c>
      <c r="E3557" s="198" t="s">
        <v>1102</v>
      </c>
      <c r="F3557" s="4" t="s">
        <v>2272</v>
      </c>
      <c r="G3557" s="4" t="s">
        <v>2657</v>
      </c>
      <c r="H3557" s="4" t="s">
        <v>521</v>
      </c>
      <c r="I3557" s="198"/>
      <c r="J3557" s="172" t="s">
        <v>2272</v>
      </c>
      <c r="K3557" s="172">
        <v>6.1293486115412412E-4</v>
      </c>
      <c r="L3557" s="172" t="s">
        <v>2272</v>
      </c>
      <c r="M3557" s="172" t="s">
        <v>2272</v>
      </c>
      <c r="N3557" s="172" t="s">
        <v>2272</v>
      </c>
      <c r="O3557" s="172" t="s">
        <v>2272</v>
      </c>
      <c r="P3557" s="172" t="s">
        <v>2272</v>
      </c>
      <c r="Q3557" s="21">
        <v>53.747562203343733</v>
      </c>
      <c r="R3557" s="172" t="s">
        <v>2272</v>
      </c>
      <c r="S3557" s="172" t="s">
        <v>2272</v>
      </c>
      <c r="T3557" s="172" t="s">
        <v>2272</v>
      </c>
      <c r="U3557" s="21">
        <v>3019.1504166666668</v>
      </c>
      <c r="V3557" s="172" t="s">
        <v>2272</v>
      </c>
      <c r="W3557" s="172" t="s">
        <v>2272</v>
      </c>
      <c r="X3557" s="172" t="s">
        <v>2272</v>
      </c>
      <c r="Y3557" s="172" t="s">
        <v>2272</v>
      </c>
      <c r="Z3557" s="172" t="s">
        <v>2272</v>
      </c>
      <c r="AA3557" s="172" t="s">
        <v>2272</v>
      </c>
      <c r="AB3557" s="172" t="s">
        <v>2272</v>
      </c>
      <c r="AC3557" s="172" t="s">
        <v>2272</v>
      </c>
      <c r="AD3557" s="4" t="s">
        <v>9169</v>
      </c>
      <c r="AE3557" s="4" t="s">
        <v>9226</v>
      </c>
    </row>
    <row r="3558" spans="1:31" ht="93.5" customHeight="1">
      <c r="A3558" s="198" t="s">
        <v>9163</v>
      </c>
      <c r="B3558" s="198" t="s">
        <v>9222</v>
      </c>
      <c r="C3558" s="198" t="s">
        <v>2453</v>
      </c>
      <c r="D3558" s="198" t="s">
        <v>2272</v>
      </c>
      <c r="E3558" s="198" t="s">
        <v>1102</v>
      </c>
      <c r="F3558" s="4" t="s">
        <v>2272</v>
      </c>
      <c r="G3558" s="4" t="s">
        <v>2657</v>
      </c>
      <c r="H3558" s="4" t="s">
        <v>521</v>
      </c>
      <c r="I3558" s="198"/>
      <c r="J3558" s="172" t="s">
        <v>2272</v>
      </c>
      <c r="K3558" s="172">
        <v>1.6787473483350981E-4</v>
      </c>
      <c r="L3558" s="172" t="s">
        <v>2272</v>
      </c>
      <c r="M3558" s="172" t="s">
        <v>2272</v>
      </c>
      <c r="N3558" s="172" t="s">
        <v>2272</v>
      </c>
      <c r="O3558" s="172" t="s">
        <v>2272</v>
      </c>
      <c r="P3558" s="172" t="s">
        <v>2272</v>
      </c>
      <c r="Q3558" s="21">
        <v>48.87515129333309</v>
      </c>
      <c r="R3558" s="172" t="s">
        <v>2272</v>
      </c>
      <c r="S3558" s="172" t="s">
        <v>2272</v>
      </c>
      <c r="T3558" s="172" t="s">
        <v>2272</v>
      </c>
      <c r="U3558" s="21">
        <v>1393.6225000000002</v>
      </c>
      <c r="V3558" s="172" t="s">
        <v>2272</v>
      </c>
      <c r="W3558" s="172" t="s">
        <v>2272</v>
      </c>
      <c r="X3558" s="172" t="s">
        <v>2272</v>
      </c>
      <c r="Y3558" s="172" t="s">
        <v>2272</v>
      </c>
      <c r="Z3558" s="172" t="s">
        <v>2272</v>
      </c>
      <c r="AA3558" s="172" t="s">
        <v>2272</v>
      </c>
      <c r="AB3558" s="172" t="s">
        <v>2272</v>
      </c>
      <c r="AC3558" s="172" t="s">
        <v>2272</v>
      </c>
      <c r="AD3558" s="4" t="s">
        <v>9169</v>
      </c>
      <c r="AE3558" s="4" t="s">
        <v>9226</v>
      </c>
    </row>
    <row r="3559" spans="1:31" ht="93.5" customHeight="1">
      <c r="A3559" s="198" t="s">
        <v>9174</v>
      </c>
      <c r="B3559" s="198" t="s">
        <v>9204</v>
      </c>
      <c r="C3559" s="198" t="s">
        <v>2453</v>
      </c>
      <c r="D3559" s="198" t="s">
        <v>2272</v>
      </c>
      <c r="E3559" s="198" t="s">
        <v>1102</v>
      </c>
      <c r="F3559" s="4" t="s">
        <v>2272</v>
      </c>
      <c r="G3559" s="4" t="s">
        <v>2657</v>
      </c>
      <c r="H3559" s="4" t="s">
        <v>521</v>
      </c>
      <c r="I3559" s="198"/>
      <c r="J3559" s="172" t="s">
        <v>2272</v>
      </c>
      <c r="K3559" s="172">
        <v>3.8522399293558463E-4</v>
      </c>
      <c r="L3559" s="172" t="s">
        <v>2272</v>
      </c>
      <c r="M3559" s="172" t="s">
        <v>2272</v>
      </c>
      <c r="N3559" s="172" t="s">
        <v>2272</v>
      </c>
      <c r="O3559" s="172" t="s">
        <v>2272</v>
      </c>
      <c r="P3559" s="172" t="s">
        <v>2272</v>
      </c>
      <c r="Q3559" s="21">
        <v>0.77412071610011779</v>
      </c>
      <c r="R3559" s="172" t="s">
        <v>2272</v>
      </c>
      <c r="S3559" s="172" t="s">
        <v>2272</v>
      </c>
      <c r="T3559" s="172" t="s">
        <v>2272</v>
      </c>
      <c r="U3559" s="21">
        <v>6.5</v>
      </c>
      <c r="V3559" s="172" t="s">
        <v>2272</v>
      </c>
      <c r="W3559" s="172" t="s">
        <v>2272</v>
      </c>
      <c r="X3559" s="172" t="s">
        <v>2272</v>
      </c>
      <c r="Y3559" s="172" t="s">
        <v>2272</v>
      </c>
      <c r="Z3559" s="172" t="s">
        <v>2272</v>
      </c>
      <c r="AA3559" s="172" t="s">
        <v>2272</v>
      </c>
      <c r="AB3559" s="172" t="s">
        <v>2272</v>
      </c>
      <c r="AC3559" s="172" t="s">
        <v>2272</v>
      </c>
      <c r="AD3559" s="4" t="s">
        <v>9169</v>
      </c>
      <c r="AE3559" s="4" t="s">
        <v>9226</v>
      </c>
    </row>
    <row r="3560" spans="1:31" ht="93.5" customHeight="1">
      <c r="A3560" s="198" t="s">
        <v>9175</v>
      </c>
      <c r="B3560" s="198" t="s">
        <v>9205</v>
      </c>
      <c r="C3560" s="198" t="s">
        <v>2453</v>
      </c>
      <c r="D3560" s="198" t="s">
        <v>2272</v>
      </c>
      <c r="E3560" s="198" t="s">
        <v>1102</v>
      </c>
      <c r="F3560" s="4" t="s">
        <v>2272</v>
      </c>
      <c r="G3560" s="4" t="s">
        <v>2657</v>
      </c>
      <c r="H3560" s="4" t="s">
        <v>521</v>
      </c>
      <c r="I3560" s="198"/>
      <c r="J3560" s="172" t="s">
        <v>2272</v>
      </c>
      <c r="K3560" s="172">
        <v>7.9745770483697978E-5</v>
      </c>
      <c r="L3560" s="172" t="s">
        <v>2272</v>
      </c>
      <c r="M3560" s="172" t="s">
        <v>2272</v>
      </c>
      <c r="N3560" s="172" t="s">
        <v>2272</v>
      </c>
      <c r="O3560" s="172" t="s">
        <v>2272</v>
      </c>
      <c r="P3560" s="172" t="s">
        <v>2272</v>
      </c>
      <c r="Q3560" s="21">
        <v>0.98988382452352075</v>
      </c>
      <c r="R3560" s="172" t="s">
        <v>2272</v>
      </c>
      <c r="S3560" s="172" t="s">
        <v>2272</v>
      </c>
      <c r="T3560" s="172" t="s">
        <v>2272</v>
      </c>
      <c r="U3560" s="21">
        <v>3.3333333333333335</v>
      </c>
      <c r="V3560" s="172" t="s">
        <v>2272</v>
      </c>
      <c r="W3560" s="172" t="s">
        <v>2272</v>
      </c>
      <c r="X3560" s="172" t="s">
        <v>2272</v>
      </c>
      <c r="Y3560" s="172" t="s">
        <v>2272</v>
      </c>
      <c r="Z3560" s="172" t="s">
        <v>2272</v>
      </c>
      <c r="AA3560" s="172" t="s">
        <v>2272</v>
      </c>
      <c r="AB3560" s="172" t="s">
        <v>2272</v>
      </c>
      <c r="AC3560" s="172" t="s">
        <v>2272</v>
      </c>
      <c r="AD3560" s="4" t="s">
        <v>9169</v>
      </c>
      <c r="AE3560" s="4" t="s">
        <v>9226</v>
      </c>
    </row>
    <row r="3561" spans="1:31" ht="93.5" customHeight="1">
      <c r="A3561" s="198" t="s">
        <v>9176</v>
      </c>
      <c r="B3561" s="198" t="s">
        <v>9206</v>
      </c>
      <c r="C3561" s="198" t="s">
        <v>2453</v>
      </c>
      <c r="D3561" s="198" t="s">
        <v>2272</v>
      </c>
      <c r="E3561" s="198" t="s">
        <v>1102</v>
      </c>
      <c r="F3561" s="4" t="s">
        <v>2272</v>
      </c>
      <c r="G3561" s="4" t="s">
        <v>2657</v>
      </c>
      <c r="H3561" s="4" t="s">
        <v>521</v>
      </c>
      <c r="I3561" s="198"/>
      <c r="J3561" s="172" t="s">
        <v>2272</v>
      </c>
      <c r="K3561" s="172">
        <v>4.3633790324563999E-5</v>
      </c>
      <c r="L3561" s="172" t="s">
        <v>2272</v>
      </c>
      <c r="M3561" s="172" t="s">
        <v>2272</v>
      </c>
      <c r="N3561" s="172" t="s">
        <v>2272</v>
      </c>
      <c r="O3561" s="172" t="s">
        <v>2272</v>
      </c>
      <c r="P3561" s="172" t="s">
        <v>2272</v>
      </c>
      <c r="Q3561" s="21">
        <v>5.0688441192192145E-2</v>
      </c>
      <c r="R3561" s="172" t="s">
        <v>2272</v>
      </c>
      <c r="S3561" s="172" t="s">
        <v>2272</v>
      </c>
      <c r="T3561" s="172" t="s">
        <v>2272</v>
      </c>
      <c r="U3561" s="21">
        <v>5.5</v>
      </c>
      <c r="V3561" s="172" t="s">
        <v>2272</v>
      </c>
      <c r="W3561" s="172" t="s">
        <v>2272</v>
      </c>
      <c r="X3561" s="172" t="s">
        <v>2272</v>
      </c>
      <c r="Y3561" s="172" t="s">
        <v>2272</v>
      </c>
      <c r="Z3561" s="172" t="s">
        <v>2272</v>
      </c>
      <c r="AA3561" s="172" t="s">
        <v>2272</v>
      </c>
      <c r="AB3561" s="172" t="s">
        <v>2272</v>
      </c>
      <c r="AC3561" s="172" t="s">
        <v>2272</v>
      </c>
      <c r="AD3561" s="4" t="s">
        <v>9169</v>
      </c>
      <c r="AE3561" s="4" t="s">
        <v>9226</v>
      </c>
    </row>
    <row r="3562" spans="1:31" ht="93.5" customHeight="1">
      <c r="A3562" s="198" t="s">
        <v>9177</v>
      </c>
      <c r="B3562" s="198" t="s">
        <v>9207</v>
      </c>
      <c r="C3562" s="198" t="s">
        <v>2453</v>
      </c>
      <c r="D3562" s="198" t="s">
        <v>2272</v>
      </c>
      <c r="E3562" s="198" t="s">
        <v>1102</v>
      </c>
      <c r="F3562" s="4" t="s">
        <v>2272</v>
      </c>
      <c r="G3562" s="4" t="s">
        <v>2657</v>
      </c>
      <c r="H3562" s="4" t="s">
        <v>521</v>
      </c>
      <c r="I3562" s="198"/>
      <c r="J3562" s="172" t="s">
        <v>2272</v>
      </c>
      <c r="K3562" s="172">
        <v>1.8556404819610462E-4</v>
      </c>
      <c r="L3562" s="172" t="s">
        <v>2272</v>
      </c>
      <c r="M3562" s="172" t="s">
        <v>2272</v>
      </c>
      <c r="N3562" s="172" t="s">
        <v>2272</v>
      </c>
      <c r="O3562" s="172" t="s">
        <v>2272</v>
      </c>
      <c r="P3562" s="172" t="s">
        <v>2272</v>
      </c>
      <c r="Q3562" s="21">
        <v>2.6389760380487663</v>
      </c>
      <c r="R3562" s="172" t="s">
        <v>2272</v>
      </c>
      <c r="S3562" s="172" t="s">
        <v>2272</v>
      </c>
      <c r="T3562" s="172" t="s">
        <v>2272</v>
      </c>
      <c r="U3562" s="21">
        <v>13.95</v>
      </c>
      <c r="V3562" s="172" t="s">
        <v>2272</v>
      </c>
      <c r="W3562" s="172" t="s">
        <v>2272</v>
      </c>
      <c r="X3562" s="172" t="s">
        <v>2272</v>
      </c>
      <c r="Y3562" s="172" t="s">
        <v>2272</v>
      </c>
      <c r="Z3562" s="172" t="s">
        <v>2272</v>
      </c>
      <c r="AA3562" s="172" t="s">
        <v>2272</v>
      </c>
      <c r="AB3562" s="172" t="s">
        <v>2272</v>
      </c>
      <c r="AC3562" s="172" t="s">
        <v>2272</v>
      </c>
      <c r="AD3562" s="4" t="s">
        <v>9169</v>
      </c>
      <c r="AE3562" s="4" t="s">
        <v>9226</v>
      </c>
    </row>
    <row r="3563" spans="1:31" ht="93.5" customHeight="1">
      <c r="A3563" s="198" t="s">
        <v>9178</v>
      </c>
      <c r="B3563" s="198" t="s">
        <v>9208</v>
      </c>
      <c r="C3563" s="198" t="s">
        <v>2453</v>
      </c>
      <c r="D3563" s="198" t="s">
        <v>2272</v>
      </c>
      <c r="E3563" s="198" t="s">
        <v>1102</v>
      </c>
      <c r="F3563" s="4" t="s">
        <v>2272</v>
      </c>
      <c r="G3563" s="4" t="s">
        <v>2657</v>
      </c>
      <c r="H3563" s="4" t="s">
        <v>521</v>
      </c>
      <c r="I3563" s="198"/>
      <c r="J3563" s="172" t="s">
        <v>2272</v>
      </c>
      <c r="K3563" s="172">
        <v>1.4810287851867549E-3</v>
      </c>
      <c r="L3563" s="172" t="s">
        <v>2272</v>
      </c>
      <c r="M3563" s="172" t="s">
        <v>2272</v>
      </c>
      <c r="N3563" s="172" t="s">
        <v>2272</v>
      </c>
      <c r="O3563" s="172" t="s">
        <v>2272</v>
      </c>
      <c r="P3563" s="172" t="s">
        <v>2272</v>
      </c>
      <c r="Q3563" s="21">
        <v>17.389585107460128</v>
      </c>
      <c r="R3563" s="172" t="s">
        <v>2272</v>
      </c>
      <c r="S3563" s="172" t="s">
        <v>2272</v>
      </c>
      <c r="T3563" s="172" t="s">
        <v>2272</v>
      </c>
      <c r="U3563" s="21">
        <v>60.1</v>
      </c>
      <c r="V3563" s="172" t="s">
        <v>2272</v>
      </c>
      <c r="W3563" s="172" t="s">
        <v>2272</v>
      </c>
      <c r="X3563" s="172" t="s">
        <v>2272</v>
      </c>
      <c r="Y3563" s="172" t="s">
        <v>2272</v>
      </c>
      <c r="Z3563" s="172" t="s">
        <v>2272</v>
      </c>
      <c r="AA3563" s="172" t="s">
        <v>2272</v>
      </c>
      <c r="AB3563" s="172" t="s">
        <v>2272</v>
      </c>
      <c r="AC3563" s="172" t="s">
        <v>2272</v>
      </c>
      <c r="AD3563" s="4" t="s">
        <v>9169</v>
      </c>
      <c r="AE3563" s="4" t="s">
        <v>9226</v>
      </c>
    </row>
    <row r="3564" spans="1:31" ht="93.5" customHeight="1">
      <c r="A3564" s="198" t="s">
        <v>9179</v>
      </c>
      <c r="B3564" s="198" t="s">
        <v>9209</v>
      </c>
      <c r="C3564" s="198" t="s">
        <v>2453</v>
      </c>
      <c r="D3564" s="198" t="s">
        <v>2272</v>
      </c>
      <c r="E3564" s="198" t="s">
        <v>1102</v>
      </c>
      <c r="F3564" s="4" t="s">
        <v>2272</v>
      </c>
      <c r="G3564" s="4" t="s">
        <v>2657</v>
      </c>
      <c r="H3564" s="4" t="s">
        <v>521</v>
      </c>
      <c r="I3564" s="198"/>
      <c r="J3564" s="172" t="s">
        <v>2272</v>
      </c>
      <c r="K3564" s="172">
        <v>5.4409280255670565E-2</v>
      </c>
      <c r="L3564" s="172" t="s">
        <v>2272</v>
      </c>
      <c r="M3564" s="172" t="s">
        <v>2272</v>
      </c>
      <c r="N3564" s="172" t="s">
        <v>2272</v>
      </c>
      <c r="O3564" s="172" t="s">
        <v>2272</v>
      </c>
      <c r="P3564" s="172" t="s">
        <v>2272</v>
      </c>
      <c r="Q3564" s="21">
        <v>7.5970595679209199</v>
      </c>
      <c r="R3564" s="172" t="s">
        <v>2272</v>
      </c>
      <c r="S3564" s="172" t="s">
        <v>2272</v>
      </c>
      <c r="T3564" s="172" t="s">
        <v>2272</v>
      </c>
      <c r="U3564" s="21">
        <v>892.1</v>
      </c>
      <c r="V3564" s="172" t="s">
        <v>2272</v>
      </c>
      <c r="W3564" s="172" t="s">
        <v>2272</v>
      </c>
      <c r="X3564" s="172" t="s">
        <v>2272</v>
      </c>
      <c r="Y3564" s="172" t="s">
        <v>2272</v>
      </c>
      <c r="Z3564" s="172" t="s">
        <v>2272</v>
      </c>
      <c r="AA3564" s="172" t="s">
        <v>2272</v>
      </c>
      <c r="AB3564" s="172" t="s">
        <v>2272</v>
      </c>
      <c r="AC3564" s="172" t="s">
        <v>2272</v>
      </c>
      <c r="AD3564" s="4" t="s">
        <v>9169</v>
      </c>
      <c r="AE3564" s="4" t="s">
        <v>9226</v>
      </c>
    </row>
    <row r="3565" spans="1:31" ht="93.5" customHeight="1">
      <c r="A3565" s="198" t="s">
        <v>9180</v>
      </c>
      <c r="B3565" s="198" t="s">
        <v>9210</v>
      </c>
      <c r="C3565" s="198" t="s">
        <v>2453</v>
      </c>
      <c r="D3565" s="198" t="s">
        <v>2272</v>
      </c>
      <c r="E3565" s="198" t="s">
        <v>1102</v>
      </c>
      <c r="F3565" s="4" t="s">
        <v>2272</v>
      </c>
      <c r="G3565" s="4" t="s">
        <v>2657</v>
      </c>
      <c r="H3565" s="4" t="s">
        <v>521</v>
      </c>
      <c r="I3565" s="198"/>
      <c r="J3565" s="172" t="s">
        <v>2272</v>
      </c>
      <c r="K3565" s="172">
        <v>2.985781990521327E-2</v>
      </c>
      <c r="L3565" s="172" t="s">
        <v>2272</v>
      </c>
      <c r="M3565" s="172" t="s">
        <v>2272</v>
      </c>
      <c r="N3565" s="172" t="s">
        <v>2272</v>
      </c>
      <c r="O3565" s="172" t="s">
        <v>2272</v>
      </c>
      <c r="P3565" s="172" t="s">
        <v>2272</v>
      </c>
      <c r="Q3565" s="21">
        <v>15.798626898885079</v>
      </c>
      <c r="R3565" s="172" t="s">
        <v>2272</v>
      </c>
      <c r="S3565" s="172" t="s">
        <v>2272</v>
      </c>
      <c r="T3565" s="172" t="s">
        <v>2272</v>
      </c>
      <c r="U3565" s="21">
        <v>459.9</v>
      </c>
      <c r="V3565" s="172" t="s">
        <v>2272</v>
      </c>
      <c r="W3565" s="172" t="s">
        <v>2272</v>
      </c>
      <c r="X3565" s="172" t="s">
        <v>2272</v>
      </c>
      <c r="Y3565" s="172" t="s">
        <v>2272</v>
      </c>
      <c r="Z3565" s="172" t="s">
        <v>2272</v>
      </c>
      <c r="AA3565" s="172" t="s">
        <v>2272</v>
      </c>
      <c r="AB3565" s="172" t="s">
        <v>2272</v>
      </c>
      <c r="AC3565" s="172" t="s">
        <v>2272</v>
      </c>
      <c r="AD3565" s="4" t="s">
        <v>9169</v>
      </c>
      <c r="AE3565" s="4" t="s">
        <v>9226</v>
      </c>
    </row>
    <row r="3566" spans="1:31" ht="93.5" customHeight="1">
      <c r="A3566" s="198" t="s">
        <v>9181</v>
      </c>
      <c r="B3566" s="198" t="s">
        <v>9211</v>
      </c>
      <c r="C3566" s="198" t="s">
        <v>2453</v>
      </c>
      <c r="D3566" s="198" t="s">
        <v>2272</v>
      </c>
      <c r="E3566" s="198" t="s">
        <v>1102</v>
      </c>
      <c r="F3566" s="4" t="s">
        <v>2272</v>
      </c>
      <c r="G3566" s="4" t="s">
        <v>2657</v>
      </c>
      <c r="H3566" s="4" t="s">
        <v>521</v>
      </c>
      <c r="I3566" s="198"/>
      <c r="J3566" s="172" t="s">
        <v>2272</v>
      </c>
      <c r="K3566" s="172">
        <v>1.499664368096662E-2</v>
      </c>
      <c r="L3566" s="172" t="s">
        <v>2272</v>
      </c>
      <c r="M3566" s="172" t="s">
        <v>2272</v>
      </c>
      <c r="N3566" s="172" t="s">
        <v>2272</v>
      </c>
      <c r="O3566" s="172" t="s">
        <v>2272</v>
      </c>
      <c r="P3566" s="172" t="s">
        <v>2272</v>
      </c>
      <c r="Q3566" s="21">
        <v>46.306103585833718</v>
      </c>
      <c r="R3566" s="172" t="s">
        <v>2272</v>
      </c>
      <c r="S3566" s="172" t="s">
        <v>2272</v>
      </c>
      <c r="T3566" s="172" t="s">
        <v>2272</v>
      </c>
      <c r="U3566" s="21">
        <v>245.75</v>
      </c>
      <c r="V3566" s="172" t="s">
        <v>2272</v>
      </c>
      <c r="W3566" s="172" t="s">
        <v>2272</v>
      </c>
      <c r="X3566" s="172" t="s">
        <v>2272</v>
      </c>
      <c r="Y3566" s="172" t="s">
        <v>2272</v>
      </c>
      <c r="Z3566" s="172" t="s">
        <v>2272</v>
      </c>
      <c r="AA3566" s="172" t="s">
        <v>2272</v>
      </c>
      <c r="AB3566" s="172" t="s">
        <v>2272</v>
      </c>
      <c r="AC3566" s="172" t="s">
        <v>2272</v>
      </c>
      <c r="AD3566" s="4" t="s">
        <v>9169</v>
      </c>
      <c r="AE3566" s="4" t="s">
        <v>9226</v>
      </c>
    </row>
    <row r="3567" spans="1:31" ht="93.5" customHeight="1">
      <c r="A3567" s="198" t="s">
        <v>9182</v>
      </c>
      <c r="B3567" s="198" t="s">
        <v>9212</v>
      </c>
      <c r="C3567" s="198" t="s">
        <v>2453</v>
      </c>
      <c r="D3567" s="198" t="s">
        <v>2272</v>
      </c>
      <c r="E3567" s="198" t="s">
        <v>1102</v>
      </c>
      <c r="F3567" s="4" t="s">
        <v>2272</v>
      </c>
      <c r="G3567" s="4" t="s">
        <v>2657</v>
      </c>
      <c r="H3567" s="4" t="s">
        <v>521</v>
      </c>
      <c r="I3567" s="198"/>
      <c r="J3567" s="172" t="s">
        <v>2272</v>
      </c>
      <c r="K3567" s="172">
        <v>1.7956106561570633E-2</v>
      </c>
      <c r="L3567" s="172" t="s">
        <v>2272</v>
      </c>
      <c r="M3567" s="172" t="s">
        <v>2272</v>
      </c>
      <c r="N3567" s="172" t="s">
        <v>2272</v>
      </c>
      <c r="O3567" s="172" t="s">
        <v>2272</v>
      </c>
      <c r="P3567" s="172" t="s">
        <v>2272</v>
      </c>
      <c r="Q3567" s="21">
        <v>31.697454903807746</v>
      </c>
      <c r="R3567" s="172" t="s">
        <v>2272</v>
      </c>
      <c r="S3567" s="172" t="s">
        <v>2272</v>
      </c>
      <c r="T3567" s="172" t="s">
        <v>2272</v>
      </c>
      <c r="U3567" s="21">
        <v>544</v>
      </c>
      <c r="V3567" s="172" t="s">
        <v>2272</v>
      </c>
      <c r="W3567" s="172" t="s">
        <v>2272</v>
      </c>
      <c r="X3567" s="172" t="s">
        <v>2272</v>
      </c>
      <c r="Y3567" s="172" t="s">
        <v>2272</v>
      </c>
      <c r="Z3567" s="172" t="s">
        <v>2272</v>
      </c>
      <c r="AA3567" s="172" t="s">
        <v>2272</v>
      </c>
      <c r="AB3567" s="172" t="s">
        <v>2272</v>
      </c>
      <c r="AC3567" s="172" t="s">
        <v>2272</v>
      </c>
      <c r="AD3567" s="4" t="s">
        <v>9169</v>
      </c>
      <c r="AE3567" s="4" t="s">
        <v>9226</v>
      </c>
    </row>
    <row r="3568" spans="1:31" ht="93.5" customHeight="1">
      <c r="A3568" s="198" t="s">
        <v>9183</v>
      </c>
      <c r="B3568" s="198" t="s">
        <v>9213</v>
      </c>
      <c r="C3568" s="198" t="s">
        <v>2453</v>
      </c>
      <c r="D3568" s="198" t="s">
        <v>2272</v>
      </c>
      <c r="E3568" s="198" t="s">
        <v>1102</v>
      </c>
      <c r="F3568" s="4" t="s">
        <v>2272</v>
      </c>
      <c r="G3568" s="4" t="s">
        <v>2657</v>
      </c>
      <c r="H3568" s="4" t="s">
        <v>521</v>
      </c>
      <c r="I3568" s="198"/>
      <c r="J3568" s="172" t="s">
        <v>2272</v>
      </c>
      <c r="K3568" s="172">
        <v>3.9040862010092194E-2</v>
      </c>
      <c r="L3568" s="172" t="s">
        <v>2272</v>
      </c>
      <c r="M3568" s="172" t="s">
        <v>2272</v>
      </c>
      <c r="N3568" s="172" t="s">
        <v>2272</v>
      </c>
      <c r="O3568" s="172" t="s">
        <v>2272</v>
      </c>
      <c r="P3568" s="172" t="s">
        <v>2272</v>
      </c>
      <c r="Q3568" s="21">
        <v>0.16805286773763461</v>
      </c>
      <c r="R3568" s="172" t="s">
        <v>2272</v>
      </c>
      <c r="S3568" s="172" t="s">
        <v>2272</v>
      </c>
      <c r="T3568" s="172" t="s">
        <v>2272</v>
      </c>
      <c r="U3568" s="21">
        <v>514.5</v>
      </c>
      <c r="V3568" s="172" t="s">
        <v>2272</v>
      </c>
      <c r="W3568" s="172" t="s">
        <v>2272</v>
      </c>
      <c r="X3568" s="172" t="s">
        <v>2272</v>
      </c>
      <c r="Y3568" s="172" t="s">
        <v>2272</v>
      </c>
      <c r="Z3568" s="172" t="s">
        <v>2272</v>
      </c>
      <c r="AA3568" s="172" t="s">
        <v>2272</v>
      </c>
      <c r="AB3568" s="172" t="s">
        <v>2272</v>
      </c>
      <c r="AC3568" s="172" t="s">
        <v>2272</v>
      </c>
      <c r="AD3568" s="4" t="s">
        <v>9169</v>
      </c>
      <c r="AE3568" s="4" t="s">
        <v>9226</v>
      </c>
    </row>
    <row r="3569" spans="1:31" ht="93.5" customHeight="1">
      <c r="A3569" s="198" t="s">
        <v>9184</v>
      </c>
      <c r="B3569" s="198" t="s">
        <v>9214</v>
      </c>
      <c r="C3569" s="198" t="s">
        <v>2453</v>
      </c>
      <c r="D3569" s="198" t="s">
        <v>2272</v>
      </c>
      <c r="E3569" s="198" t="s">
        <v>1102</v>
      </c>
      <c r="F3569" s="4" t="s">
        <v>2272</v>
      </c>
      <c r="G3569" s="4" t="s">
        <v>2657</v>
      </c>
      <c r="H3569" s="4" t="s">
        <v>521</v>
      </c>
      <c r="I3569" s="198"/>
      <c r="J3569" s="172" t="s">
        <v>2272</v>
      </c>
      <c r="K3569" s="172">
        <v>0.10325572829026128</v>
      </c>
      <c r="L3569" s="172" t="s">
        <v>2272</v>
      </c>
      <c r="M3569" s="172" t="s">
        <v>2272</v>
      </c>
      <c r="N3569" s="172" t="s">
        <v>2272</v>
      </c>
      <c r="O3569" s="172" t="s">
        <v>2272</v>
      </c>
      <c r="P3569" s="172" t="s">
        <v>2272</v>
      </c>
      <c r="Q3569" s="21">
        <v>8.0801886053710454</v>
      </c>
      <c r="R3569" s="172" t="s">
        <v>2272</v>
      </c>
      <c r="S3569" s="172" t="s">
        <v>2272</v>
      </c>
      <c r="T3569" s="172" t="s">
        <v>2272</v>
      </c>
      <c r="U3569" s="21">
        <v>2466.8000000000002</v>
      </c>
      <c r="V3569" s="172" t="s">
        <v>2272</v>
      </c>
      <c r="W3569" s="172" t="s">
        <v>2272</v>
      </c>
      <c r="X3569" s="172" t="s">
        <v>2272</v>
      </c>
      <c r="Y3569" s="172" t="s">
        <v>2272</v>
      </c>
      <c r="Z3569" s="172" t="s">
        <v>2272</v>
      </c>
      <c r="AA3569" s="172" t="s">
        <v>2272</v>
      </c>
      <c r="AB3569" s="172" t="s">
        <v>2272</v>
      </c>
      <c r="AC3569" s="172" t="s">
        <v>2272</v>
      </c>
      <c r="AD3569" s="4" t="s">
        <v>9169</v>
      </c>
      <c r="AE3569" s="4" t="s">
        <v>9226</v>
      </c>
    </row>
    <row r="3570" spans="1:31" ht="93.5" customHeight="1">
      <c r="A3570" s="198" t="s">
        <v>9185</v>
      </c>
      <c r="B3570" s="198" t="s">
        <v>9215</v>
      </c>
      <c r="C3570" s="198" t="s">
        <v>2453</v>
      </c>
      <c r="D3570" s="198" t="s">
        <v>2272</v>
      </c>
      <c r="E3570" s="198" t="s">
        <v>1102</v>
      </c>
      <c r="F3570" s="4" t="s">
        <v>2272</v>
      </c>
      <c r="G3570" s="4" t="s">
        <v>2657</v>
      </c>
      <c r="H3570" s="4" t="s">
        <v>521</v>
      </c>
      <c r="I3570" s="198"/>
      <c r="J3570" s="172" t="s">
        <v>2272</v>
      </c>
      <c r="K3570" s="172">
        <v>3.5013174299595197E-2</v>
      </c>
      <c r="L3570" s="172" t="s">
        <v>2272</v>
      </c>
      <c r="M3570" s="172" t="s">
        <v>2272</v>
      </c>
      <c r="N3570" s="172" t="s">
        <v>2272</v>
      </c>
      <c r="O3570" s="172" t="s">
        <v>2272</v>
      </c>
      <c r="P3570" s="172" t="s">
        <v>2272</v>
      </c>
      <c r="Q3570" s="21">
        <v>7.6285672408248839</v>
      </c>
      <c r="R3570" s="172" t="s">
        <v>2272</v>
      </c>
      <c r="S3570" s="172" t="s">
        <v>2272</v>
      </c>
      <c r="T3570" s="172" t="s">
        <v>2272</v>
      </c>
      <c r="U3570" s="21">
        <v>1114.9000000000001</v>
      </c>
      <c r="V3570" s="172" t="s">
        <v>2272</v>
      </c>
      <c r="W3570" s="172" t="s">
        <v>2272</v>
      </c>
      <c r="X3570" s="172" t="s">
        <v>2272</v>
      </c>
      <c r="Y3570" s="172" t="s">
        <v>2272</v>
      </c>
      <c r="Z3570" s="172" t="s">
        <v>2272</v>
      </c>
      <c r="AA3570" s="172" t="s">
        <v>2272</v>
      </c>
      <c r="AB3570" s="172" t="s">
        <v>2272</v>
      </c>
      <c r="AC3570" s="172" t="s">
        <v>2272</v>
      </c>
      <c r="AD3570" s="4" t="s">
        <v>9169</v>
      </c>
      <c r="AE3570" s="4" t="s">
        <v>9226</v>
      </c>
    </row>
    <row r="3571" spans="1:31" ht="93.5" customHeight="1">
      <c r="A3571" s="198" t="s">
        <v>9186</v>
      </c>
      <c r="B3571" s="198" t="s">
        <v>9216</v>
      </c>
      <c r="C3571" s="198" t="s">
        <v>2453</v>
      </c>
      <c r="D3571" s="198" t="s">
        <v>2272</v>
      </c>
      <c r="E3571" s="198" t="s">
        <v>1102</v>
      </c>
      <c r="F3571" s="4" t="s">
        <v>2272</v>
      </c>
      <c r="G3571" s="4" t="s">
        <v>2657</v>
      </c>
      <c r="H3571" s="4" t="s">
        <v>521</v>
      </c>
      <c r="I3571" s="198"/>
      <c r="J3571" s="172" t="s">
        <v>2272</v>
      </c>
      <c r="K3571" s="172">
        <v>5.7407960064027779E-3</v>
      </c>
      <c r="L3571" s="172" t="s">
        <v>2272</v>
      </c>
      <c r="M3571" s="172" t="s">
        <v>2272</v>
      </c>
      <c r="N3571" s="172" t="s">
        <v>2272</v>
      </c>
      <c r="O3571" s="172" t="s">
        <v>2272</v>
      </c>
      <c r="P3571" s="172" t="s">
        <v>2272</v>
      </c>
      <c r="Q3571" s="21">
        <v>2.706527218474879</v>
      </c>
      <c r="R3571" s="172" t="s">
        <v>2272</v>
      </c>
      <c r="S3571" s="172" t="s">
        <v>2272</v>
      </c>
      <c r="T3571" s="172" t="s">
        <v>2272</v>
      </c>
      <c r="U3571" s="21">
        <v>105.8</v>
      </c>
      <c r="V3571" s="172" t="s">
        <v>2272</v>
      </c>
      <c r="W3571" s="172" t="s">
        <v>2272</v>
      </c>
      <c r="X3571" s="172" t="s">
        <v>2272</v>
      </c>
      <c r="Y3571" s="172" t="s">
        <v>2272</v>
      </c>
      <c r="Z3571" s="172" t="s">
        <v>2272</v>
      </c>
      <c r="AA3571" s="172" t="s">
        <v>2272</v>
      </c>
      <c r="AB3571" s="172" t="s">
        <v>2272</v>
      </c>
      <c r="AC3571" s="172" t="s">
        <v>2272</v>
      </c>
      <c r="AD3571" s="4" t="s">
        <v>9169</v>
      </c>
      <c r="AE3571" s="4" t="s">
        <v>9226</v>
      </c>
    </row>
    <row r="3572" spans="1:31" ht="93.5" customHeight="1">
      <c r="A3572" s="198" t="s">
        <v>9187</v>
      </c>
      <c r="B3572" s="198" t="s">
        <v>9217</v>
      </c>
      <c r="C3572" s="198" t="s">
        <v>2453</v>
      </c>
      <c r="D3572" s="198" t="s">
        <v>2272</v>
      </c>
      <c r="E3572" s="198" t="s">
        <v>1102</v>
      </c>
      <c r="F3572" s="4" t="s">
        <v>2272</v>
      </c>
      <c r="G3572" s="4" t="s">
        <v>2657</v>
      </c>
      <c r="H3572" s="4" t="s">
        <v>521</v>
      </c>
      <c r="I3572" s="198"/>
      <c r="J3572" s="172" t="s">
        <v>2272</v>
      </c>
      <c r="K3572" s="172">
        <v>4.4757901843420411E-3</v>
      </c>
      <c r="L3572" s="172" t="s">
        <v>2272</v>
      </c>
      <c r="M3572" s="172" t="s">
        <v>2272</v>
      </c>
      <c r="N3572" s="172" t="s">
        <v>2272</v>
      </c>
      <c r="O3572" s="172" t="s">
        <v>2272</v>
      </c>
      <c r="P3572" s="172" t="s">
        <v>2272</v>
      </c>
      <c r="Q3572" s="224">
        <v>4.9693078799392776</v>
      </c>
      <c r="R3572" s="172" t="s">
        <v>2272</v>
      </c>
      <c r="S3572" s="172" t="s">
        <v>2272</v>
      </c>
      <c r="T3572" s="172" t="s">
        <v>2272</v>
      </c>
      <c r="U3572" s="21">
        <v>217.45</v>
      </c>
      <c r="V3572" s="172" t="s">
        <v>2272</v>
      </c>
      <c r="W3572" s="172" t="s">
        <v>2272</v>
      </c>
      <c r="X3572" s="172" t="s">
        <v>2272</v>
      </c>
      <c r="Y3572" s="172" t="s">
        <v>2272</v>
      </c>
      <c r="Z3572" s="172" t="s">
        <v>2272</v>
      </c>
      <c r="AA3572" s="172" t="s">
        <v>2272</v>
      </c>
      <c r="AB3572" s="172" t="s">
        <v>2272</v>
      </c>
      <c r="AC3572" s="172" t="s">
        <v>2272</v>
      </c>
      <c r="AD3572" s="4" t="s">
        <v>9169</v>
      </c>
      <c r="AE3572" s="4" t="s">
        <v>9226</v>
      </c>
    </row>
    <row r="3573" spans="1:31" ht="93.5" customHeight="1">
      <c r="A3573" s="198" t="s">
        <v>9188</v>
      </c>
      <c r="B3573" s="198" t="s">
        <v>9218</v>
      </c>
      <c r="C3573" s="198" t="s">
        <v>2453</v>
      </c>
      <c r="D3573" s="198" t="s">
        <v>2272</v>
      </c>
      <c r="E3573" s="198" t="s">
        <v>1102</v>
      </c>
      <c r="F3573" s="4" t="s">
        <v>2272</v>
      </c>
      <c r="G3573" s="4" t="s">
        <v>2657</v>
      </c>
      <c r="H3573" s="4" t="s">
        <v>521</v>
      </c>
      <c r="I3573" s="198"/>
      <c r="J3573" s="172" t="s">
        <v>2272</v>
      </c>
      <c r="K3573" s="172">
        <v>2.5577356988010442E-4</v>
      </c>
      <c r="L3573" s="172" t="s">
        <v>2272</v>
      </c>
      <c r="M3573" s="172" t="s">
        <v>2272</v>
      </c>
      <c r="N3573" s="172" t="s">
        <v>2272</v>
      </c>
      <c r="O3573" s="172" t="s">
        <v>2272</v>
      </c>
      <c r="P3573" s="172" t="s">
        <v>2272</v>
      </c>
      <c r="Q3573" s="224">
        <v>27.88952323723397</v>
      </c>
      <c r="R3573" s="172" t="s">
        <v>2272</v>
      </c>
      <c r="S3573" s="172" t="s">
        <v>2272</v>
      </c>
      <c r="T3573" s="172" t="s">
        <v>2272</v>
      </c>
      <c r="U3573" s="21">
        <v>27.75</v>
      </c>
      <c r="V3573" s="172" t="s">
        <v>2272</v>
      </c>
      <c r="W3573" s="172" t="s">
        <v>2272</v>
      </c>
      <c r="X3573" s="172" t="s">
        <v>2272</v>
      </c>
      <c r="Y3573" s="172" t="s">
        <v>2272</v>
      </c>
      <c r="Z3573" s="172" t="s">
        <v>2272</v>
      </c>
      <c r="AA3573" s="172" t="s">
        <v>2272</v>
      </c>
      <c r="AB3573" s="172" t="s">
        <v>2272</v>
      </c>
      <c r="AC3573" s="172" t="s">
        <v>2272</v>
      </c>
      <c r="AD3573" s="4" t="s">
        <v>9169</v>
      </c>
      <c r="AE3573" s="4" t="s">
        <v>9226</v>
      </c>
    </row>
    <row r="3574" spans="1:31" ht="93.5" customHeight="1">
      <c r="A3574" s="198" t="s">
        <v>9220</v>
      </c>
      <c r="B3574" s="198" t="s">
        <v>9221</v>
      </c>
      <c r="C3574" s="198" t="s">
        <v>2453</v>
      </c>
      <c r="D3574" s="198" t="s">
        <v>2272</v>
      </c>
      <c r="E3574" s="198" t="s">
        <v>1102</v>
      </c>
      <c r="F3574" s="4" t="s">
        <v>2272</v>
      </c>
      <c r="G3574" s="4" t="s">
        <v>2657</v>
      </c>
      <c r="H3574" s="4" t="s">
        <v>521</v>
      </c>
      <c r="I3574" s="198"/>
      <c r="J3574" s="172" t="s">
        <v>2272</v>
      </c>
      <c r="K3574" s="172">
        <v>1.5344947619303189E-4</v>
      </c>
      <c r="L3574" s="172" t="s">
        <v>2272</v>
      </c>
      <c r="M3574" s="172" t="s">
        <v>2272</v>
      </c>
      <c r="N3574" s="172" t="s">
        <v>2272</v>
      </c>
      <c r="O3574" s="172" t="s">
        <v>2272</v>
      </c>
      <c r="P3574" s="172" t="s">
        <v>2272</v>
      </c>
      <c r="Q3574" s="224">
        <v>98.490033871107983</v>
      </c>
      <c r="R3574" s="172" t="s">
        <v>2272</v>
      </c>
      <c r="S3574" s="172" t="s">
        <v>2272</v>
      </c>
      <c r="T3574" s="172" t="s">
        <v>2272</v>
      </c>
      <c r="U3574" s="21">
        <v>20.3</v>
      </c>
      <c r="V3574" s="172" t="s">
        <v>2272</v>
      </c>
      <c r="W3574" s="172" t="s">
        <v>2272</v>
      </c>
      <c r="X3574" s="172" t="s">
        <v>2272</v>
      </c>
      <c r="Y3574" s="172" t="s">
        <v>2272</v>
      </c>
      <c r="Z3574" s="172" t="s">
        <v>2272</v>
      </c>
      <c r="AA3574" s="172" t="s">
        <v>2272</v>
      </c>
      <c r="AB3574" s="172" t="s">
        <v>2272</v>
      </c>
      <c r="AC3574" s="172" t="s">
        <v>2272</v>
      </c>
      <c r="AD3574" s="4" t="s">
        <v>9169</v>
      </c>
      <c r="AE3574" s="4" t="s">
        <v>9226</v>
      </c>
    </row>
    <row r="3575" spans="1:31" ht="43.5" customHeight="1">
      <c r="A3575" s="198" t="s">
        <v>9184</v>
      </c>
      <c r="B3575" s="198" t="s">
        <v>9224</v>
      </c>
      <c r="C3575" s="198" t="s">
        <v>23</v>
      </c>
      <c r="D3575" s="198" t="s">
        <v>2342</v>
      </c>
      <c r="E3575" s="198" t="s">
        <v>2272</v>
      </c>
      <c r="F3575" s="4" t="s">
        <v>2658</v>
      </c>
      <c r="G3575" s="4" t="s">
        <v>2658</v>
      </c>
      <c r="H3575" s="4" t="s">
        <v>521</v>
      </c>
      <c r="I3575" s="198"/>
      <c r="J3575" s="21" t="s">
        <v>2272</v>
      </c>
      <c r="K3575" s="21" t="s">
        <v>2272</v>
      </c>
      <c r="L3575" s="21" t="s">
        <v>2272</v>
      </c>
      <c r="M3575" s="21" t="s">
        <v>2272</v>
      </c>
      <c r="N3575" s="21" t="s">
        <v>2272</v>
      </c>
      <c r="O3575" s="21" t="s">
        <v>2272</v>
      </c>
      <c r="P3575" s="21" t="s">
        <v>2272</v>
      </c>
      <c r="Q3575" s="21" t="s">
        <v>2272</v>
      </c>
      <c r="R3575" s="21" t="s">
        <v>2272</v>
      </c>
      <c r="S3575" s="21" t="s">
        <v>2272</v>
      </c>
      <c r="T3575" s="21" t="s">
        <v>2272</v>
      </c>
      <c r="U3575" s="21" t="s">
        <v>2272</v>
      </c>
      <c r="V3575" s="21" t="s">
        <v>2272</v>
      </c>
      <c r="W3575" s="21" t="s">
        <v>2272</v>
      </c>
      <c r="X3575" s="21" t="s">
        <v>2272</v>
      </c>
      <c r="Y3575" s="21" t="s">
        <v>2272</v>
      </c>
      <c r="Z3575" s="21" t="s">
        <v>2272</v>
      </c>
      <c r="AA3575" s="21" t="s">
        <v>2272</v>
      </c>
      <c r="AB3575" s="21" t="s">
        <v>2272</v>
      </c>
      <c r="AC3575" s="21" t="s">
        <v>2272</v>
      </c>
      <c r="AD3575" s="4" t="s">
        <v>9229</v>
      </c>
      <c r="AE3575" s="4"/>
    </row>
    <row r="3576" spans="1:31" ht="43.5" customHeight="1">
      <c r="A3576" s="198" t="s">
        <v>9185</v>
      </c>
      <c r="B3576" s="198" t="s">
        <v>9225</v>
      </c>
      <c r="C3576" s="198" t="s">
        <v>23</v>
      </c>
      <c r="D3576" s="198" t="s">
        <v>2342</v>
      </c>
      <c r="E3576" s="198" t="s">
        <v>2272</v>
      </c>
      <c r="F3576" s="4" t="s">
        <v>2658</v>
      </c>
      <c r="G3576" s="4" t="s">
        <v>2658</v>
      </c>
      <c r="H3576" s="4" t="s">
        <v>521</v>
      </c>
      <c r="I3576" s="198"/>
      <c r="J3576" s="21" t="s">
        <v>2272</v>
      </c>
      <c r="K3576" s="21" t="s">
        <v>2272</v>
      </c>
      <c r="L3576" s="21" t="s">
        <v>2272</v>
      </c>
      <c r="M3576" s="21" t="s">
        <v>2272</v>
      </c>
      <c r="N3576" s="21" t="s">
        <v>2272</v>
      </c>
      <c r="O3576" s="21" t="s">
        <v>2272</v>
      </c>
      <c r="P3576" s="21" t="s">
        <v>2272</v>
      </c>
      <c r="Q3576" s="21" t="s">
        <v>2272</v>
      </c>
      <c r="R3576" s="21" t="s">
        <v>2272</v>
      </c>
      <c r="S3576" s="21" t="s">
        <v>2272</v>
      </c>
      <c r="T3576" s="21" t="s">
        <v>2272</v>
      </c>
      <c r="U3576" s="21" t="s">
        <v>2272</v>
      </c>
      <c r="V3576" s="21" t="s">
        <v>2272</v>
      </c>
      <c r="W3576" s="21" t="s">
        <v>2272</v>
      </c>
      <c r="X3576" s="21" t="s">
        <v>2272</v>
      </c>
      <c r="Y3576" s="21" t="s">
        <v>2272</v>
      </c>
      <c r="Z3576" s="21" t="s">
        <v>2272</v>
      </c>
      <c r="AA3576" s="21" t="s">
        <v>2272</v>
      </c>
      <c r="AB3576" s="21" t="s">
        <v>2272</v>
      </c>
      <c r="AC3576" s="21" t="s">
        <v>2272</v>
      </c>
      <c r="AD3576" s="4" t="s">
        <v>9229</v>
      </c>
      <c r="AE3576" s="4"/>
    </row>
    <row r="3577" spans="1:31" ht="52" customHeight="1">
      <c r="A3577" s="198" t="s">
        <v>9220</v>
      </c>
      <c r="B3577" s="198" t="s">
        <v>9227</v>
      </c>
      <c r="C3577" s="198" t="s">
        <v>30</v>
      </c>
      <c r="D3577" s="198" t="s">
        <v>29</v>
      </c>
      <c r="E3577" s="198" t="s">
        <v>2647</v>
      </c>
      <c r="F3577" s="198" t="s">
        <v>2272</v>
      </c>
      <c r="G3577" s="4" t="s">
        <v>2657</v>
      </c>
      <c r="H3577" s="4" t="s">
        <v>521</v>
      </c>
      <c r="I3577" s="198"/>
      <c r="J3577" s="21" t="s">
        <v>2272</v>
      </c>
      <c r="K3577" s="21" t="s">
        <v>2272</v>
      </c>
      <c r="L3577" s="21" t="s">
        <v>2272</v>
      </c>
      <c r="M3577" s="21" t="s">
        <v>2272</v>
      </c>
      <c r="N3577" s="21" t="s">
        <v>2272</v>
      </c>
      <c r="O3577" s="21" t="s">
        <v>2272</v>
      </c>
      <c r="P3577" s="21" t="s">
        <v>2272</v>
      </c>
      <c r="Q3577" s="21" t="s">
        <v>2272</v>
      </c>
      <c r="R3577" s="21" t="s">
        <v>2272</v>
      </c>
      <c r="S3577" s="21" t="s">
        <v>2272</v>
      </c>
      <c r="T3577" s="21" t="s">
        <v>2272</v>
      </c>
      <c r="U3577" s="21" t="s">
        <v>2272</v>
      </c>
      <c r="V3577" s="21" t="s">
        <v>2272</v>
      </c>
      <c r="W3577" s="21" t="s">
        <v>2272</v>
      </c>
      <c r="X3577" s="21" t="s">
        <v>2272</v>
      </c>
      <c r="Y3577" s="21" t="s">
        <v>2272</v>
      </c>
      <c r="Z3577" s="21" t="s">
        <v>2272</v>
      </c>
      <c r="AA3577" s="21" t="s">
        <v>2272</v>
      </c>
      <c r="AB3577" s="21" t="s">
        <v>2272</v>
      </c>
      <c r="AC3577" s="21" t="s">
        <v>2272</v>
      </c>
      <c r="AD3577" s="4" t="s">
        <v>9230</v>
      </c>
      <c r="AE3577" s="198"/>
    </row>
    <row r="3578" spans="1:31" ht="44.5" customHeight="1">
      <c r="A3578" s="198" t="s">
        <v>9180</v>
      </c>
      <c r="B3578" s="198" t="s">
        <v>9228</v>
      </c>
      <c r="C3578" s="198" t="s">
        <v>30</v>
      </c>
      <c r="D3578" s="198" t="s">
        <v>29</v>
      </c>
      <c r="E3578" s="198" t="s">
        <v>2648</v>
      </c>
      <c r="F3578" s="198" t="s">
        <v>2272</v>
      </c>
      <c r="G3578" s="4" t="s">
        <v>2657</v>
      </c>
      <c r="H3578" s="4" t="s">
        <v>521</v>
      </c>
      <c r="I3578" s="198"/>
      <c r="J3578" s="21" t="s">
        <v>2272</v>
      </c>
      <c r="K3578" s="21" t="s">
        <v>2272</v>
      </c>
      <c r="L3578" s="21" t="s">
        <v>2272</v>
      </c>
      <c r="M3578" s="21" t="s">
        <v>2272</v>
      </c>
      <c r="N3578" s="21" t="s">
        <v>2272</v>
      </c>
      <c r="O3578" s="21" t="s">
        <v>2272</v>
      </c>
      <c r="P3578" s="21" t="s">
        <v>2272</v>
      </c>
      <c r="Q3578" s="21" t="s">
        <v>2272</v>
      </c>
      <c r="R3578" s="21" t="s">
        <v>2272</v>
      </c>
      <c r="S3578" s="21" t="s">
        <v>2272</v>
      </c>
      <c r="T3578" s="21" t="s">
        <v>2272</v>
      </c>
      <c r="U3578" s="21" t="s">
        <v>2272</v>
      </c>
      <c r="V3578" s="21" t="s">
        <v>2272</v>
      </c>
      <c r="W3578" s="21" t="s">
        <v>2272</v>
      </c>
      <c r="X3578" s="21" t="s">
        <v>2272</v>
      </c>
      <c r="Y3578" s="21" t="s">
        <v>2272</v>
      </c>
      <c r="Z3578" s="21" t="s">
        <v>2272</v>
      </c>
      <c r="AA3578" s="21" t="s">
        <v>2272</v>
      </c>
      <c r="AB3578" s="21" t="s">
        <v>2272</v>
      </c>
      <c r="AC3578" s="21" t="s">
        <v>2272</v>
      </c>
      <c r="AD3578" s="4" t="s">
        <v>9231</v>
      </c>
      <c r="AE3578" s="198"/>
    </row>
    <row r="3579" spans="1:31" ht="39" customHeight="1">
      <c r="A3579" s="198" t="s">
        <v>9160</v>
      </c>
      <c r="B3579" s="198" t="s">
        <v>9232</v>
      </c>
      <c r="C3579" s="198" t="s">
        <v>23</v>
      </c>
      <c r="D3579" s="198" t="s">
        <v>2654</v>
      </c>
      <c r="E3579" s="4" t="s">
        <v>394</v>
      </c>
      <c r="F3579" s="4" t="s">
        <v>27</v>
      </c>
      <c r="G3579" s="4" t="s">
        <v>27</v>
      </c>
      <c r="H3579" s="4" t="s">
        <v>521</v>
      </c>
      <c r="I3579" s="198"/>
      <c r="J3579" s="21" t="s">
        <v>2272</v>
      </c>
      <c r="K3579" s="21" t="s">
        <v>2272</v>
      </c>
      <c r="L3579" s="21" t="s">
        <v>2272</v>
      </c>
      <c r="M3579" s="21" t="s">
        <v>2272</v>
      </c>
      <c r="N3579" s="21" t="s">
        <v>2272</v>
      </c>
      <c r="O3579" s="21" t="s">
        <v>2272</v>
      </c>
      <c r="P3579" s="21" t="s">
        <v>2272</v>
      </c>
      <c r="Q3579" s="21" t="s">
        <v>2272</v>
      </c>
      <c r="R3579" s="21" t="s">
        <v>2272</v>
      </c>
      <c r="S3579" s="21" t="s">
        <v>2272</v>
      </c>
      <c r="T3579" s="21" t="s">
        <v>2272</v>
      </c>
      <c r="U3579" s="21" t="s">
        <v>2272</v>
      </c>
      <c r="V3579" s="21" t="s">
        <v>2272</v>
      </c>
      <c r="W3579" s="21" t="s">
        <v>2272</v>
      </c>
      <c r="X3579" s="21" t="s">
        <v>2272</v>
      </c>
      <c r="Y3579" s="21" t="s">
        <v>2272</v>
      </c>
      <c r="Z3579" s="21" t="s">
        <v>2272</v>
      </c>
      <c r="AA3579" s="21" t="s">
        <v>2272</v>
      </c>
      <c r="AB3579" s="21" t="s">
        <v>2272</v>
      </c>
      <c r="AC3579" s="21" t="s">
        <v>2272</v>
      </c>
      <c r="AD3579" s="4" t="s">
        <v>9234</v>
      </c>
      <c r="AE3579" s="4"/>
    </row>
    <row r="3580" spans="1:31" ht="39" customHeight="1">
      <c r="A3580" s="198" t="s">
        <v>9185</v>
      </c>
      <c r="B3580" s="198" t="s">
        <v>9233</v>
      </c>
      <c r="C3580" s="198" t="s">
        <v>23</v>
      </c>
      <c r="D3580" s="198" t="s">
        <v>2654</v>
      </c>
      <c r="E3580" s="4" t="s">
        <v>394</v>
      </c>
      <c r="F3580" s="4" t="s">
        <v>27</v>
      </c>
      <c r="G3580" s="4" t="s">
        <v>27</v>
      </c>
      <c r="H3580" s="4" t="s">
        <v>521</v>
      </c>
      <c r="I3580" s="198"/>
      <c r="J3580" s="21" t="s">
        <v>2272</v>
      </c>
      <c r="K3580" s="21" t="s">
        <v>2272</v>
      </c>
      <c r="L3580" s="21" t="s">
        <v>2272</v>
      </c>
      <c r="M3580" s="21" t="s">
        <v>2272</v>
      </c>
      <c r="N3580" s="21" t="s">
        <v>2272</v>
      </c>
      <c r="O3580" s="21" t="s">
        <v>2272</v>
      </c>
      <c r="P3580" s="21" t="s">
        <v>2272</v>
      </c>
      <c r="Q3580" s="21" t="s">
        <v>2272</v>
      </c>
      <c r="R3580" s="21" t="s">
        <v>2272</v>
      </c>
      <c r="S3580" s="21" t="s">
        <v>2272</v>
      </c>
      <c r="T3580" s="21" t="s">
        <v>2272</v>
      </c>
      <c r="U3580" s="21" t="s">
        <v>2272</v>
      </c>
      <c r="V3580" s="21" t="s">
        <v>2272</v>
      </c>
      <c r="W3580" s="21" t="s">
        <v>2272</v>
      </c>
      <c r="X3580" s="21" t="s">
        <v>2272</v>
      </c>
      <c r="Y3580" s="21" t="s">
        <v>2272</v>
      </c>
      <c r="Z3580" s="21" t="s">
        <v>2272</v>
      </c>
      <c r="AA3580" s="21" t="s">
        <v>2272</v>
      </c>
      <c r="AB3580" s="21" t="s">
        <v>2272</v>
      </c>
      <c r="AC3580" s="21" t="s">
        <v>2272</v>
      </c>
      <c r="AD3580" s="4" t="s">
        <v>9234</v>
      </c>
      <c r="AE3580" s="4"/>
    </row>
    <row r="3581" spans="1:31" ht="47.5" customHeight="1">
      <c r="A3581" s="198" t="s">
        <v>9179</v>
      </c>
      <c r="B3581" s="198" t="s">
        <v>9235</v>
      </c>
      <c r="C3581" s="198" t="s">
        <v>30</v>
      </c>
      <c r="D3581" s="198" t="s">
        <v>29</v>
      </c>
      <c r="E3581" s="198" t="s">
        <v>2648</v>
      </c>
      <c r="F3581" s="198" t="s">
        <v>2272</v>
      </c>
      <c r="G3581" s="4" t="s">
        <v>2657</v>
      </c>
      <c r="H3581" s="4" t="s">
        <v>521</v>
      </c>
      <c r="I3581" s="198"/>
      <c r="J3581" s="21" t="s">
        <v>2272</v>
      </c>
      <c r="K3581" s="21" t="s">
        <v>2272</v>
      </c>
      <c r="L3581" s="21" t="s">
        <v>2272</v>
      </c>
      <c r="M3581" s="21" t="s">
        <v>2272</v>
      </c>
      <c r="N3581" s="21" t="s">
        <v>2272</v>
      </c>
      <c r="O3581" s="21" t="s">
        <v>2272</v>
      </c>
      <c r="P3581" s="21" t="s">
        <v>2272</v>
      </c>
      <c r="Q3581" s="21" t="s">
        <v>2272</v>
      </c>
      <c r="R3581" s="21" t="s">
        <v>2272</v>
      </c>
      <c r="S3581" s="21" t="s">
        <v>2272</v>
      </c>
      <c r="T3581" s="21" t="s">
        <v>2272</v>
      </c>
      <c r="U3581" s="21" t="s">
        <v>2272</v>
      </c>
      <c r="V3581" s="21" t="s">
        <v>2272</v>
      </c>
      <c r="W3581" s="21" t="s">
        <v>2272</v>
      </c>
      <c r="X3581" s="21" t="s">
        <v>2272</v>
      </c>
      <c r="Y3581" s="21" t="s">
        <v>2272</v>
      </c>
      <c r="Z3581" s="21" t="s">
        <v>2272</v>
      </c>
      <c r="AA3581" s="21" t="s">
        <v>2272</v>
      </c>
      <c r="AB3581" s="21" t="s">
        <v>2272</v>
      </c>
      <c r="AC3581" s="21" t="s">
        <v>2272</v>
      </c>
      <c r="AD3581" s="4" t="s">
        <v>9231</v>
      </c>
      <c r="AE3581" s="198"/>
    </row>
    <row r="3582" spans="1:31" ht="42.5" customHeight="1">
      <c r="A3582" s="198" t="s">
        <v>9242</v>
      </c>
      <c r="B3582" s="198" t="s">
        <v>9248</v>
      </c>
      <c r="C3582" s="198" t="s">
        <v>2653</v>
      </c>
      <c r="D3582" s="198" t="s">
        <v>2272</v>
      </c>
      <c r="E3582" s="198" t="s">
        <v>135</v>
      </c>
      <c r="F3582" s="198" t="s">
        <v>2272</v>
      </c>
      <c r="G3582" s="198" t="s">
        <v>73</v>
      </c>
      <c r="H3582" s="4" t="s">
        <v>521</v>
      </c>
      <c r="I3582" s="198"/>
      <c r="J3582" s="21" t="s">
        <v>2272</v>
      </c>
      <c r="K3582" s="21" t="s">
        <v>2272</v>
      </c>
      <c r="L3582" s="21" t="s">
        <v>2272</v>
      </c>
      <c r="M3582" s="21" t="s">
        <v>2272</v>
      </c>
      <c r="N3582" s="21" t="s">
        <v>2272</v>
      </c>
      <c r="O3582" s="21" t="s">
        <v>2272</v>
      </c>
      <c r="P3582" s="21" t="s">
        <v>2272</v>
      </c>
      <c r="Q3582" s="21" t="s">
        <v>2272</v>
      </c>
      <c r="R3582" s="21" t="s">
        <v>2272</v>
      </c>
      <c r="S3582" s="21" t="s">
        <v>2272</v>
      </c>
      <c r="T3582" s="21" t="s">
        <v>2272</v>
      </c>
      <c r="U3582" s="21" t="s">
        <v>2272</v>
      </c>
      <c r="V3582" s="21" t="s">
        <v>2272</v>
      </c>
      <c r="W3582" s="21" t="s">
        <v>2272</v>
      </c>
      <c r="X3582" s="21" t="s">
        <v>2272</v>
      </c>
      <c r="Y3582" s="21" t="s">
        <v>2272</v>
      </c>
      <c r="Z3582" s="21" t="s">
        <v>2272</v>
      </c>
      <c r="AA3582" s="21" t="s">
        <v>2272</v>
      </c>
      <c r="AB3582" s="21" t="s">
        <v>2272</v>
      </c>
      <c r="AC3582" s="21" t="s">
        <v>2272</v>
      </c>
      <c r="AD3582" s="198"/>
      <c r="AE3582" s="198"/>
    </row>
    <row r="3583" spans="1:31" ht="42.5" customHeight="1">
      <c r="A3583" s="198" t="s">
        <v>9243</v>
      </c>
      <c r="B3583" s="198" t="s">
        <v>9249</v>
      </c>
      <c r="C3583" s="198" t="s">
        <v>23</v>
      </c>
      <c r="D3583" s="198" t="s">
        <v>2654</v>
      </c>
      <c r="E3583" s="4" t="s">
        <v>394</v>
      </c>
      <c r="F3583" s="4" t="s">
        <v>27</v>
      </c>
      <c r="G3583" s="4" t="s">
        <v>27</v>
      </c>
      <c r="H3583" s="4" t="s">
        <v>521</v>
      </c>
      <c r="I3583" s="198"/>
      <c r="J3583" s="21" t="s">
        <v>2272</v>
      </c>
      <c r="K3583" s="21" t="s">
        <v>2272</v>
      </c>
      <c r="L3583" s="21" t="s">
        <v>2272</v>
      </c>
      <c r="M3583" s="21" t="s">
        <v>2272</v>
      </c>
      <c r="N3583" s="21" t="s">
        <v>2272</v>
      </c>
      <c r="O3583" s="21" t="s">
        <v>2272</v>
      </c>
      <c r="P3583" s="21" t="s">
        <v>2272</v>
      </c>
      <c r="Q3583" s="21" t="s">
        <v>2272</v>
      </c>
      <c r="R3583" s="21" t="s">
        <v>2272</v>
      </c>
      <c r="S3583" s="21" t="s">
        <v>2272</v>
      </c>
      <c r="T3583" s="21" t="s">
        <v>2272</v>
      </c>
      <c r="U3583" s="21" t="s">
        <v>2272</v>
      </c>
      <c r="V3583" s="21" t="s">
        <v>2272</v>
      </c>
      <c r="W3583" s="21">
        <v>50</v>
      </c>
      <c r="X3583" s="21" t="s">
        <v>2272</v>
      </c>
      <c r="Y3583" s="21">
        <v>50</v>
      </c>
      <c r="Z3583" s="21">
        <v>1</v>
      </c>
      <c r="AA3583" s="21" t="s">
        <v>2272</v>
      </c>
      <c r="AB3583" s="21" t="s">
        <v>2272</v>
      </c>
      <c r="AC3583" s="21" t="s">
        <v>2272</v>
      </c>
      <c r="AD3583" s="198"/>
      <c r="AE3583" s="198"/>
    </row>
    <row r="3584" spans="1:31" ht="42.5" customHeight="1">
      <c r="A3584" s="198" t="s">
        <v>9250</v>
      </c>
      <c r="B3584" s="198" t="s">
        <v>9254</v>
      </c>
      <c r="C3584" s="198" t="s">
        <v>2653</v>
      </c>
      <c r="D3584" s="198" t="s">
        <v>2272</v>
      </c>
      <c r="E3584" s="198" t="s">
        <v>2644</v>
      </c>
      <c r="F3584" s="198" t="s">
        <v>2272</v>
      </c>
      <c r="G3584" s="4" t="s">
        <v>2658</v>
      </c>
      <c r="H3584" s="4" t="s">
        <v>521</v>
      </c>
      <c r="I3584" s="198">
        <v>1983</v>
      </c>
      <c r="J3584" s="21" t="s">
        <v>2272</v>
      </c>
      <c r="K3584" s="21" t="s">
        <v>2272</v>
      </c>
      <c r="L3584" s="21" t="s">
        <v>2272</v>
      </c>
      <c r="M3584" s="21" t="s">
        <v>2272</v>
      </c>
      <c r="N3584" s="21" t="s">
        <v>2272</v>
      </c>
      <c r="O3584" s="21" t="s">
        <v>2272</v>
      </c>
      <c r="P3584" s="21" t="s">
        <v>2272</v>
      </c>
      <c r="Q3584" s="21" t="s">
        <v>2272</v>
      </c>
      <c r="R3584" s="21" t="s">
        <v>2272</v>
      </c>
      <c r="S3584" s="21" t="s">
        <v>2272</v>
      </c>
      <c r="T3584" s="21" t="s">
        <v>2272</v>
      </c>
      <c r="U3584" s="21">
        <v>23000</v>
      </c>
      <c r="V3584" s="21" t="s">
        <v>2272</v>
      </c>
      <c r="W3584" s="21">
        <f>100*23000/418000</f>
        <v>5.5023923444976077</v>
      </c>
      <c r="X3584" s="21" t="s">
        <v>2272</v>
      </c>
      <c r="Y3584" s="21" t="s">
        <v>2272</v>
      </c>
      <c r="Z3584" s="21" t="s">
        <v>2272</v>
      </c>
      <c r="AA3584" s="198" t="s">
        <v>186</v>
      </c>
      <c r="AB3584" s="198" t="s">
        <v>186</v>
      </c>
      <c r="AC3584" s="21" t="s">
        <v>2272</v>
      </c>
      <c r="AD3584" s="4" t="s">
        <v>9255</v>
      </c>
      <c r="AE3584" s="198"/>
    </row>
    <row r="3585" spans="1:31" ht="43.5" customHeight="1">
      <c r="A3585" s="198" t="s">
        <v>9261</v>
      </c>
      <c r="B3585" s="198" t="s">
        <v>9262</v>
      </c>
      <c r="C3585" s="198" t="s">
        <v>2653</v>
      </c>
      <c r="D3585" s="198" t="s">
        <v>2272</v>
      </c>
      <c r="E3585" s="198" t="s">
        <v>2644</v>
      </c>
      <c r="F3585" s="198" t="s">
        <v>2272</v>
      </c>
      <c r="G3585" s="4" t="s">
        <v>2658</v>
      </c>
      <c r="H3585" s="4" t="s">
        <v>521</v>
      </c>
      <c r="I3585" s="198"/>
      <c r="J3585" s="21" t="s">
        <v>2272</v>
      </c>
      <c r="K3585" s="21" t="s">
        <v>2272</v>
      </c>
      <c r="L3585" s="21" t="s">
        <v>2272</v>
      </c>
      <c r="M3585" s="21" t="s">
        <v>2272</v>
      </c>
      <c r="N3585" s="21" t="s">
        <v>2272</v>
      </c>
      <c r="O3585" s="21" t="s">
        <v>2272</v>
      </c>
      <c r="P3585" s="21" t="s">
        <v>2272</v>
      </c>
      <c r="Q3585" s="21" t="s">
        <v>2272</v>
      </c>
      <c r="R3585" s="21" t="s">
        <v>2272</v>
      </c>
      <c r="S3585" s="21" t="s">
        <v>2272</v>
      </c>
      <c r="T3585" s="21" t="s">
        <v>2272</v>
      </c>
      <c r="U3585" s="21">
        <f>'Record info'!K1461*'Reported burning'!W3585</f>
        <v>56875</v>
      </c>
      <c r="V3585" s="21" t="s">
        <v>2272</v>
      </c>
      <c r="W3585" s="21">
        <v>3.5</v>
      </c>
      <c r="X3585" s="21" t="s">
        <v>2272</v>
      </c>
      <c r="Y3585" s="21">
        <v>3.5</v>
      </c>
      <c r="Z3585" s="21" t="s">
        <v>2272</v>
      </c>
      <c r="AA3585" s="21" t="s">
        <v>2272</v>
      </c>
      <c r="AB3585" s="21" t="s">
        <v>2272</v>
      </c>
      <c r="AC3585" s="21" t="s">
        <v>2272</v>
      </c>
      <c r="AD3585" s="198"/>
      <c r="AE3585" s="198"/>
    </row>
    <row r="3586" spans="1:31" ht="98" customHeight="1">
      <c r="A3586" s="198" t="s">
        <v>9264</v>
      </c>
      <c r="B3586" s="198" t="s">
        <v>9265</v>
      </c>
      <c r="C3586" s="198" t="s">
        <v>2453</v>
      </c>
      <c r="D3586" s="198" t="s">
        <v>2272</v>
      </c>
      <c r="E3586" s="198" t="s">
        <v>2272</v>
      </c>
      <c r="F3586" s="198" t="s">
        <v>2272</v>
      </c>
      <c r="G3586" s="198" t="s">
        <v>2272</v>
      </c>
      <c r="H3586" s="4" t="s">
        <v>521</v>
      </c>
      <c r="I3586" s="198"/>
      <c r="J3586" s="21" t="s">
        <v>2272</v>
      </c>
      <c r="K3586" s="21" t="s">
        <v>2272</v>
      </c>
      <c r="L3586" s="21" t="s">
        <v>2272</v>
      </c>
      <c r="M3586" s="21" t="s">
        <v>2272</v>
      </c>
      <c r="N3586" s="21" t="s">
        <v>2272</v>
      </c>
      <c r="O3586" s="21" t="s">
        <v>2272</v>
      </c>
      <c r="P3586" s="21" t="s">
        <v>2272</v>
      </c>
      <c r="Q3586" s="21" t="s">
        <v>2272</v>
      </c>
      <c r="R3586" s="21" t="s">
        <v>2272</v>
      </c>
      <c r="S3586" s="21" t="s">
        <v>2272</v>
      </c>
      <c r="T3586" s="21" t="s">
        <v>2272</v>
      </c>
      <c r="U3586" s="21">
        <v>37735</v>
      </c>
      <c r="V3586" s="21" t="s">
        <v>2272</v>
      </c>
      <c r="W3586" s="21" t="s">
        <v>2272</v>
      </c>
      <c r="X3586" s="21" t="s">
        <v>2272</v>
      </c>
      <c r="Y3586" s="21">
        <f>U3586/'Record info'!K1462</f>
        <v>0.4192777777777778</v>
      </c>
      <c r="Z3586" s="21" t="s">
        <v>2272</v>
      </c>
      <c r="AA3586" s="21" t="s">
        <v>2272</v>
      </c>
      <c r="AB3586" s="21" t="s">
        <v>2272</v>
      </c>
      <c r="AC3586" s="21" t="s">
        <v>2272</v>
      </c>
      <c r="AD3586" s="4" t="s">
        <v>9169</v>
      </c>
      <c r="AE3586" s="198"/>
    </row>
    <row r="3587" spans="1:31" ht="98" customHeight="1">
      <c r="A3587" s="198" t="s">
        <v>9264</v>
      </c>
      <c r="B3587" s="198" t="s">
        <v>9268</v>
      </c>
      <c r="C3587" s="198" t="s">
        <v>2453</v>
      </c>
      <c r="D3587" s="198" t="s">
        <v>2272</v>
      </c>
      <c r="E3587" s="198" t="s">
        <v>2644</v>
      </c>
      <c r="F3587" s="198" t="s">
        <v>2272</v>
      </c>
      <c r="G3587" s="4" t="s">
        <v>2658</v>
      </c>
      <c r="H3587" s="4" t="s">
        <v>521</v>
      </c>
      <c r="I3587" s="198">
        <v>2016</v>
      </c>
      <c r="J3587" s="21" t="s">
        <v>2272</v>
      </c>
      <c r="K3587" s="21" t="s">
        <v>2272</v>
      </c>
      <c r="L3587" s="21" t="s">
        <v>2272</v>
      </c>
      <c r="M3587" s="21" t="s">
        <v>2272</v>
      </c>
      <c r="N3587" s="21" t="s">
        <v>2272</v>
      </c>
      <c r="O3587" s="21" t="s">
        <v>2272</v>
      </c>
      <c r="P3587" s="21" t="s">
        <v>2272</v>
      </c>
      <c r="Q3587" s="21" t="s">
        <v>2272</v>
      </c>
      <c r="R3587" s="21" t="s">
        <v>2272</v>
      </c>
      <c r="S3587" s="21" t="s">
        <v>2272</v>
      </c>
      <c r="T3587" s="21" t="s">
        <v>2272</v>
      </c>
      <c r="U3587" s="21">
        <f>5132*(100)*0.44</f>
        <v>225808</v>
      </c>
      <c r="V3587" s="21" t="s">
        <v>2272</v>
      </c>
      <c r="W3587" s="21">
        <f>U3587/('Record info'!K$1462*'Land use'!N1462/100)</f>
        <v>17.92126984126984</v>
      </c>
      <c r="X3587" s="21" t="s">
        <v>2272</v>
      </c>
      <c r="Y3587" s="21">
        <f>U3587/'Record info'!K$1462</f>
        <v>2.508977777777778</v>
      </c>
      <c r="Z3587" s="21" t="s">
        <v>2272</v>
      </c>
      <c r="AA3587" s="198" t="s">
        <v>125</v>
      </c>
      <c r="AB3587" s="198" t="s">
        <v>186</v>
      </c>
      <c r="AC3587" s="21" t="s">
        <v>2272</v>
      </c>
      <c r="AD3587" s="4" t="s">
        <v>9169</v>
      </c>
      <c r="AE3587" s="198"/>
    </row>
    <row r="3588" spans="1:31" ht="98" customHeight="1">
      <c r="A3588" s="198" t="s">
        <v>9264</v>
      </c>
      <c r="B3588" s="198" t="s">
        <v>9269</v>
      </c>
      <c r="C3588" s="198" t="s">
        <v>2453</v>
      </c>
      <c r="D3588" s="198" t="s">
        <v>2272</v>
      </c>
      <c r="E3588" s="198" t="s">
        <v>2272</v>
      </c>
      <c r="F3588" s="198" t="s">
        <v>2272</v>
      </c>
      <c r="G3588" s="4" t="s">
        <v>73</v>
      </c>
      <c r="H3588" s="4" t="s">
        <v>521</v>
      </c>
      <c r="I3588" s="198">
        <v>2016</v>
      </c>
      <c r="J3588" s="21" t="s">
        <v>2272</v>
      </c>
      <c r="K3588" s="21" t="s">
        <v>2272</v>
      </c>
      <c r="L3588" s="21" t="s">
        <v>2272</v>
      </c>
      <c r="M3588" s="21" t="s">
        <v>2272</v>
      </c>
      <c r="N3588" s="21" t="s">
        <v>2272</v>
      </c>
      <c r="O3588" s="21" t="s">
        <v>2272</v>
      </c>
      <c r="P3588" s="21" t="s">
        <v>2272</v>
      </c>
      <c r="Q3588" s="21" t="s">
        <v>2272</v>
      </c>
      <c r="R3588" s="21" t="s">
        <v>2272</v>
      </c>
      <c r="S3588" s="21" t="s">
        <v>2272</v>
      </c>
      <c r="T3588" s="21" t="s">
        <v>2272</v>
      </c>
      <c r="U3588" s="21">
        <f>(5132*100*0.11)</f>
        <v>56452</v>
      </c>
      <c r="V3588" s="21" t="s">
        <v>2272</v>
      </c>
      <c r="W3588" s="21">
        <f>U3588/('Record info'!K$1462*14/100)</f>
        <v>4.48031746031746</v>
      </c>
      <c r="X3588" s="21" t="s">
        <v>2272</v>
      </c>
      <c r="Y3588" s="21">
        <f>U3588/'Record info'!K$1462</f>
        <v>0.62724444444444449</v>
      </c>
      <c r="Z3588" s="21" t="s">
        <v>2272</v>
      </c>
      <c r="AA3588" s="198" t="s">
        <v>125</v>
      </c>
      <c r="AB3588" s="198" t="s">
        <v>186</v>
      </c>
      <c r="AC3588" s="21" t="s">
        <v>2272</v>
      </c>
      <c r="AD3588" s="4" t="s">
        <v>9169</v>
      </c>
      <c r="AE3588" s="198"/>
    </row>
    <row r="3589" spans="1:31" ht="98" customHeight="1">
      <c r="A3589" s="198" t="s">
        <v>9264</v>
      </c>
      <c r="B3589" s="198" t="s">
        <v>9270</v>
      </c>
      <c r="C3589" s="198" t="s">
        <v>2453</v>
      </c>
      <c r="D3589" s="198" t="s">
        <v>2272</v>
      </c>
      <c r="E3589" s="4" t="s">
        <v>394</v>
      </c>
      <c r="F3589" s="198" t="s">
        <v>2272</v>
      </c>
      <c r="G3589" s="4" t="s">
        <v>2657</v>
      </c>
      <c r="H3589" s="4" t="s">
        <v>521</v>
      </c>
      <c r="I3589" s="198">
        <v>2016</v>
      </c>
      <c r="J3589" s="21" t="s">
        <v>2272</v>
      </c>
      <c r="K3589" s="21" t="s">
        <v>2272</v>
      </c>
      <c r="L3589" s="21" t="s">
        <v>2272</v>
      </c>
      <c r="M3589" s="21" t="s">
        <v>2272</v>
      </c>
      <c r="N3589" s="21" t="s">
        <v>2272</v>
      </c>
      <c r="O3589" s="21" t="s">
        <v>2272</v>
      </c>
      <c r="P3589" s="21" t="s">
        <v>2272</v>
      </c>
      <c r="Q3589" s="21" t="s">
        <v>2272</v>
      </c>
      <c r="R3589" s="21" t="s">
        <v>2272</v>
      </c>
      <c r="S3589" s="21" t="s">
        <v>2272</v>
      </c>
      <c r="T3589" s="21" t="s">
        <v>2272</v>
      </c>
      <c r="U3589" s="21">
        <f>(5132*100)-SUM(U3587,U3588,U3590,U3591)</f>
        <v>169356</v>
      </c>
      <c r="V3589" s="21" t="s">
        <v>2272</v>
      </c>
      <c r="W3589" s="21" t="s">
        <v>2272</v>
      </c>
      <c r="X3589" s="21" t="s">
        <v>2272</v>
      </c>
      <c r="Y3589" s="21">
        <f>U3589/'Record info'!K$1462</f>
        <v>1.8817333333333333</v>
      </c>
      <c r="Z3589" s="21" t="s">
        <v>2272</v>
      </c>
      <c r="AA3589" s="198" t="s">
        <v>125</v>
      </c>
      <c r="AB3589" s="198" t="s">
        <v>186</v>
      </c>
      <c r="AC3589" s="21" t="s">
        <v>2272</v>
      </c>
      <c r="AD3589" s="4" t="s">
        <v>9169</v>
      </c>
      <c r="AE3589" s="198"/>
    </row>
    <row r="3590" spans="1:31" ht="98" customHeight="1">
      <c r="A3590" s="198" t="s">
        <v>9264</v>
      </c>
      <c r="B3590" s="198" t="s">
        <v>9271</v>
      </c>
      <c r="C3590" s="198" t="s">
        <v>2453</v>
      </c>
      <c r="D3590" s="198" t="s">
        <v>2272</v>
      </c>
      <c r="E3590" s="198" t="s">
        <v>2272</v>
      </c>
      <c r="F3590" s="198" t="s">
        <v>2272</v>
      </c>
      <c r="G3590" s="198" t="s">
        <v>54</v>
      </c>
      <c r="H3590" s="4" t="s">
        <v>521</v>
      </c>
      <c r="I3590" s="198">
        <v>2016</v>
      </c>
      <c r="J3590" s="21" t="s">
        <v>2272</v>
      </c>
      <c r="K3590" s="21" t="s">
        <v>2272</v>
      </c>
      <c r="L3590" s="21" t="s">
        <v>2272</v>
      </c>
      <c r="M3590" s="21" t="s">
        <v>2272</v>
      </c>
      <c r="N3590" s="21" t="s">
        <v>2272</v>
      </c>
      <c r="O3590" s="21" t="s">
        <v>2272</v>
      </c>
      <c r="P3590" s="21" t="s">
        <v>2272</v>
      </c>
      <c r="Q3590" s="21" t="s">
        <v>2272</v>
      </c>
      <c r="R3590" s="21" t="s">
        <v>2272</v>
      </c>
      <c r="S3590" s="21" t="s">
        <v>2272</v>
      </c>
      <c r="T3590" s="21" t="s">
        <v>2272</v>
      </c>
      <c r="U3590" s="21">
        <f>5132*100*0.1</f>
        <v>51320</v>
      </c>
      <c r="V3590" s="21" t="s">
        <v>2272</v>
      </c>
      <c r="W3590" s="21">
        <f>U3590/('Record info'!K$1462*'Land use'!O1462/100)</f>
        <v>4.7518518518518515</v>
      </c>
      <c r="X3590" s="21" t="s">
        <v>2272</v>
      </c>
      <c r="Y3590" s="21">
        <f>U3590/'Record info'!K$1462</f>
        <v>0.57022222222222219</v>
      </c>
      <c r="Z3590" s="21" t="s">
        <v>2272</v>
      </c>
      <c r="AA3590" s="198" t="s">
        <v>125</v>
      </c>
      <c r="AB3590" s="198" t="s">
        <v>186</v>
      </c>
      <c r="AC3590" s="21" t="s">
        <v>2272</v>
      </c>
      <c r="AD3590" s="4" t="s">
        <v>9169</v>
      </c>
      <c r="AE3590" s="198"/>
    </row>
    <row r="3591" spans="1:31" ht="98" customHeight="1">
      <c r="A3591" s="198" t="s">
        <v>9264</v>
      </c>
      <c r="B3591" s="198" t="s">
        <v>9272</v>
      </c>
      <c r="C3591" s="198" t="s">
        <v>2453</v>
      </c>
      <c r="D3591" s="198" t="s">
        <v>2272</v>
      </c>
      <c r="E3591" s="198" t="s">
        <v>2272</v>
      </c>
      <c r="F3591" s="198" t="s">
        <v>2272</v>
      </c>
      <c r="G3591" s="198" t="s">
        <v>27</v>
      </c>
      <c r="H3591" s="4" t="s">
        <v>521</v>
      </c>
      <c r="I3591" s="198">
        <v>2016</v>
      </c>
      <c r="J3591" s="21" t="s">
        <v>2272</v>
      </c>
      <c r="K3591" s="21" t="s">
        <v>2272</v>
      </c>
      <c r="L3591" s="21" t="s">
        <v>2272</v>
      </c>
      <c r="M3591" s="21" t="s">
        <v>2272</v>
      </c>
      <c r="N3591" s="21" t="s">
        <v>2272</v>
      </c>
      <c r="O3591" s="21" t="s">
        <v>2272</v>
      </c>
      <c r="P3591" s="21" t="s">
        <v>2272</v>
      </c>
      <c r="Q3591" s="21" t="s">
        <v>2272</v>
      </c>
      <c r="R3591" s="21" t="s">
        <v>2272</v>
      </c>
      <c r="S3591" s="21" t="s">
        <v>2272</v>
      </c>
      <c r="T3591" s="21" t="s">
        <v>2272</v>
      </c>
      <c r="U3591" s="21">
        <f>5132*100*0.02</f>
        <v>10264</v>
      </c>
      <c r="V3591" s="21" t="s">
        <v>2272</v>
      </c>
      <c r="W3591" s="21">
        <f>U3591/('Record info'!K$1462*'Land use'!P1462/100)</f>
        <v>1.1404444444444444</v>
      </c>
      <c r="X3591" s="21" t="s">
        <v>2272</v>
      </c>
      <c r="Y3591" s="21">
        <f>U3591/'Record info'!K$1462</f>
        <v>0.11404444444444445</v>
      </c>
      <c r="Z3591" s="21" t="s">
        <v>2272</v>
      </c>
      <c r="AA3591" s="198" t="s">
        <v>125</v>
      </c>
      <c r="AB3591" s="198" t="s">
        <v>186</v>
      </c>
      <c r="AC3591" s="21" t="s">
        <v>2272</v>
      </c>
      <c r="AD3591" s="4" t="s">
        <v>9169</v>
      </c>
      <c r="AE3591" s="198"/>
    </row>
    <row r="3592" spans="1:31" ht="41" customHeight="1">
      <c r="A3592" s="198" t="s">
        <v>9278</v>
      </c>
      <c r="B3592" s="198" t="s">
        <v>9282</v>
      </c>
      <c r="C3592" s="198" t="s">
        <v>1102</v>
      </c>
      <c r="D3592" s="198" t="s">
        <v>2272</v>
      </c>
      <c r="E3592" s="198" t="s">
        <v>2272</v>
      </c>
      <c r="F3592" s="198" t="s">
        <v>2272</v>
      </c>
      <c r="G3592" s="198" t="s">
        <v>73</v>
      </c>
      <c r="H3592" s="4" t="s">
        <v>521</v>
      </c>
      <c r="I3592" s="198">
        <v>2000</v>
      </c>
      <c r="J3592" s="21" t="s">
        <v>2272</v>
      </c>
      <c r="K3592" s="21" t="s">
        <v>2272</v>
      </c>
      <c r="L3592" s="21" t="s">
        <v>2272</v>
      </c>
      <c r="M3592" s="21" t="s">
        <v>2272</v>
      </c>
      <c r="N3592" s="21" t="s">
        <v>2272</v>
      </c>
      <c r="O3592" s="21" t="s">
        <v>2272</v>
      </c>
      <c r="P3592" s="21" t="s">
        <v>2272</v>
      </c>
      <c r="Q3592" s="21" t="s">
        <v>2272</v>
      </c>
      <c r="R3592" s="21" t="s">
        <v>2272</v>
      </c>
      <c r="S3592" s="21" t="s">
        <v>2272</v>
      </c>
      <c r="T3592" s="21" t="s">
        <v>2272</v>
      </c>
      <c r="U3592" s="21" t="s">
        <v>2272</v>
      </c>
      <c r="V3592" s="21" t="s">
        <v>2272</v>
      </c>
      <c r="W3592" s="21" t="s">
        <v>2272</v>
      </c>
      <c r="X3592" s="21" t="s">
        <v>2272</v>
      </c>
      <c r="Y3592" s="21" t="s">
        <v>2272</v>
      </c>
      <c r="Z3592" s="21" t="s">
        <v>2272</v>
      </c>
      <c r="AA3592" s="21" t="s">
        <v>2272</v>
      </c>
      <c r="AB3592" s="21" t="s">
        <v>2272</v>
      </c>
      <c r="AC3592" s="21" t="s">
        <v>2272</v>
      </c>
      <c r="AD3592" s="198"/>
      <c r="AE3592" s="198"/>
    </row>
    <row r="3593" spans="1:31" ht="36.5" customHeight="1">
      <c r="A3593" s="198" t="s">
        <v>9278</v>
      </c>
      <c r="B3593" s="198" t="s">
        <v>9283</v>
      </c>
      <c r="C3593" s="198" t="s">
        <v>1102</v>
      </c>
      <c r="D3593" s="198" t="s">
        <v>2272</v>
      </c>
      <c r="E3593" s="198" t="s">
        <v>2272</v>
      </c>
      <c r="F3593" s="198" t="s">
        <v>2272</v>
      </c>
      <c r="G3593" s="198" t="s">
        <v>73</v>
      </c>
      <c r="H3593" s="4" t="s">
        <v>521</v>
      </c>
      <c r="I3593" s="198">
        <v>2019</v>
      </c>
      <c r="J3593" s="21" t="s">
        <v>2272</v>
      </c>
      <c r="K3593" s="21" t="s">
        <v>2272</v>
      </c>
      <c r="L3593" s="21" t="s">
        <v>2272</v>
      </c>
      <c r="M3593" s="21" t="s">
        <v>2272</v>
      </c>
      <c r="N3593" s="21" t="s">
        <v>2272</v>
      </c>
      <c r="O3593" s="21">
        <v>510000</v>
      </c>
      <c r="P3593" s="21" t="s">
        <v>2272</v>
      </c>
      <c r="Q3593" s="21" t="s">
        <v>2272</v>
      </c>
      <c r="R3593" s="21" t="s">
        <v>2272</v>
      </c>
      <c r="S3593" s="21" t="s">
        <v>2272</v>
      </c>
      <c r="T3593" s="21" t="s">
        <v>2272</v>
      </c>
      <c r="U3593" s="21">
        <v>5800000</v>
      </c>
      <c r="V3593" s="21" t="s">
        <v>2272</v>
      </c>
      <c r="W3593" s="21">
        <v>21</v>
      </c>
      <c r="X3593" s="21" t="s">
        <v>2272</v>
      </c>
      <c r="Y3593" s="21">
        <f>U3593/'Record info'!K1464</f>
        <v>5.6387651493203341</v>
      </c>
      <c r="Z3593" s="21" t="s">
        <v>2272</v>
      </c>
      <c r="AA3593" s="198" t="s">
        <v>423</v>
      </c>
      <c r="AB3593" s="198" t="s">
        <v>397</v>
      </c>
      <c r="AC3593" s="21" t="s">
        <v>2272</v>
      </c>
      <c r="AD3593" s="198"/>
      <c r="AE3593" s="198"/>
    </row>
    <row r="3594" spans="1:31" ht="48" customHeight="1">
      <c r="A3594" s="198" t="s">
        <v>9287</v>
      </c>
      <c r="B3594" s="198" t="s">
        <v>9289</v>
      </c>
      <c r="C3594" s="198" t="s">
        <v>23</v>
      </c>
      <c r="D3594" s="198" t="s">
        <v>1238</v>
      </c>
      <c r="E3594" s="198" t="s">
        <v>2644</v>
      </c>
      <c r="F3594" s="198" t="s">
        <v>73</v>
      </c>
      <c r="G3594" s="198" t="s">
        <v>73</v>
      </c>
      <c r="H3594" s="4" t="s">
        <v>521</v>
      </c>
      <c r="I3594" s="198"/>
      <c r="J3594" s="21" t="s">
        <v>2272</v>
      </c>
      <c r="K3594" s="21" t="s">
        <v>2272</v>
      </c>
      <c r="L3594" s="21" t="s">
        <v>2272</v>
      </c>
      <c r="M3594" s="21" t="s">
        <v>2272</v>
      </c>
      <c r="N3594" s="21" t="s">
        <v>2272</v>
      </c>
      <c r="O3594" s="21" t="s">
        <v>2272</v>
      </c>
      <c r="P3594" s="21" t="s">
        <v>2272</v>
      </c>
      <c r="Q3594" s="21" t="s">
        <v>2272</v>
      </c>
      <c r="R3594" s="21" t="s">
        <v>2272</v>
      </c>
      <c r="S3594" s="21" t="s">
        <v>2272</v>
      </c>
      <c r="T3594" s="21" t="s">
        <v>2272</v>
      </c>
      <c r="U3594" s="21" t="s">
        <v>2272</v>
      </c>
      <c r="V3594" s="21" t="s">
        <v>2272</v>
      </c>
      <c r="W3594" s="21" t="s">
        <v>2272</v>
      </c>
      <c r="X3594" s="21" t="s">
        <v>2272</v>
      </c>
      <c r="Y3594" s="21" t="s">
        <v>2272</v>
      </c>
      <c r="Z3594" s="21" t="s">
        <v>2272</v>
      </c>
      <c r="AA3594" s="21" t="s">
        <v>2272</v>
      </c>
      <c r="AB3594" s="21" t="s">
        <v>2272</v>
      </c>
      <c r="AC3594" s="21" t="s">
        <v>2272</v>
      </c>
      <c r="AD3594" s="198"/>
      <c r="AE3594" s="198"/>
    </row>
    <row r="3595" spans="1:31" ht="48" customHeight="1">
      <c r="A3595" s="198" t="s">
        <v>9288</v>
      </c>
      <c r="B3595" s="198" t="s">
        <v>9290</v>
      </c>
      <c r="C3595" s="198" t="s">
        <v>23</v>
      </c>
      <c r="D3595" s="198" t="s">
        <v>1238</v>
      </c>
      <c r="E3595" s="198" t="s">
        <v>2644</v>
      </c>
      <c r="F3595" s="198" t="s">
        <v>73</v>
      </c>
      <c r="G3595" s="198" t="s">
        <v>73</v>
      </c>
      <c r="H3595" s="4" t="s">
        <v>521</v>
      </c>
      <c r="I3595" s="198"/>
      <c r="J3595" s="21" t="s">
        <v>2272</v>
      </c>
      <c r="K3595" s="21" t="s">
        <v>2272</v>
      </c>
      <c r="L3595" s="21" t="s">
        <v>2272</v>
      </c>
      <c r="M3595" s="21" t="s">
        <v>2272</v>
      </c>
      <c r="N3595" s="21" t="s">
        <v>2272</v>
      </c>
      <c r="O3595" s="21" t="s">
        <v>2272</v>
      </c>
      <c r="P3595" s="21" t="s">
        <v>2272</v>
      </c>
      <c r="Q3595" s="21" t="s">
        <v>2272</v>
      </c>
      <c r="R3595" s="21" t="s">
        <v>2272</v>
      </c>
      <c r="S3595" s="21" t="s">
        <v>2272</v>
      </c>
      <c r="T3595" s="21" t="s">
        <v>2272</v>
      </c>
      <c r="U3595" s="21" t="s">
        <v>2272</v>
      </c>
      <c r="V3595" s="21" t="s">
        <v>2272</v>
      </c>
      <c r="W3595" s="21" t="s">
        <v>2272</v>
      </c>
      <c r="X3595" s="21" t="s">
        <v>2272</v>
      </c>
      <c r="Y3595" s="21" t="s">
        <v>2272</v>
      </c>
      <c r="Z3595" s="21" t="s">
        <v>2272</v>
      </c>
      <c r="AA3595" s="21" t="s">
        <v>2272</v>
      </c>
      <c r="AB3595" s="21" t="s">
        <v>2272</v>
      </c>
      <c r="AC3595" s="21" t="s">
        <v>2272</v>
      </c>
      <c r="AD3595" s="198"/>
      <c r="AE3595" s="198"/>
    </row>
    <row r="3596" spans="1:31" ht="54" customHeight="1">
      <c r="A3596" s="198" t="s">
        <v>9287</v>
      </c>
      <c r="B3596" s="198" t="s">
        <v>9291</v>
      </c>
      <c r="C3596" s="198" t="s">
        <v>23</v>
      </c>
      <c r="D3596" s="198" t="s">
        <v>1238</v>
      </c>
      <c r="E3596" s="198" t="s">
        <v>3204</v>
      </c>
      <c r="F3596" s="198" t="s">
        <v>73</v>
      </c>
      <c r="G3596" s="198" t="s">
        <v>73</v>
      </c>
      <c r="H3596" s="4" t="s">
        <v>521</v>
      </c>
      <c r="I3596" s="198"/>
      <c r="J3596" s="21" t="s">
        <v>2272</v>
      </c>
      <c r="K3596" s="21" t="s">
        <v>2272</v>
      </c>
      <c r="L3596" s="21" t="s">
        <v>2272</v>
      </c>
      <c r="M3596" s="21" t="s">
        <v>2272</v>
      </c>
      <c r="N3596" s="21" t="s">
        <v>2272</v>
      </c>
      <c r="O3596" s="21" t="s">
        <v>2272</v>
      </c>
      <c r="P3596" s="21" t="s">
        <v>2272</v>
      </c>
      <c r="Q3596" s="21" t="s">
        <v>2272</v>
      </c>
      <c r="R3596" s="21" t="s">
        <v>2272</v>
      </c>
      <c r="S3596" s="21" t="s">
        <v>2272</v>
      </c>
      <c r="T3596" s="21" t="s">
        <v>2272</v>
      </c>
      <c r="U3596" s="21" t="s">
        <v>2272</v>
      </c>
      <c r="V3596" s="21" t="s">
        <v>2272</v>
      </c>
      <c r="W3596" s="21" t="s">
        <v>2272</v>
      </c>
      <c r="X3596" s="21" t="s">
        <v>2272</v>
      </c>
      <c r="Y3596" s="21" t="s">
        <v>2272</v>
      </c>
      <c r="Z3596" s="21" t="s">
        <v>2272</v>
      </c>
      <c r="AA3596" s="21" t="s">
        <v>2272</v>
      </c>
      <c r="AB3596" s="21" t="s">
        <v>2272</v>
      </c>
      <c r="AC3596" s="21" t="s">
        <v>2272</v>
      </c>
      <c r="AD3596" s="198"/>
      <c r="AE3596" s="198"/>
    </row>
    <row r="3597" spans="1:31" ht="47" customHeight="1">
      <c r="A3597" s="198" t="s">
        <v>9288</v>
      </c>
      <c r="B3597" s="198" t="s">
        <v>9292</v>
      </c>
      <c r="C3597" s="198" t="s">
        <v>23</v>
      </c>
      <c r="D3597" s="198" t="s">
        <v>1238</v>
      </c>
      <c r="E3597" s="198" t="s">
        <v>3204</v>
      </c>
      <c r="F3597" s="198" t="s">
        <v>73</v>
      </c>
      <c r="G3597" s="198" t="s">
        <v>73</v>
      </c>
      <c r="H3597" s="4" t="s">
        <v>521</v>
      </c>
      <c r="I3597" s="198"/>
      <c r="J3597" s="21" t="s">
        <v>2272</v>
      </c>
      <c r="K3597" s="21" t="s">
        <v>2272</v>
      </c>
      <c r="L3597" s="21" t="s">
        <v>2272</v>
      </c>
      <c r="M3597" s="21" t="s">
        <v>2272</v>
      </c>
      <c r="N3597" s="21" t="s">
        <v>2272</v>
      </c>
      <c r="O3597" s="21" t="s">
        <v>2272</v>
      </c>
      <c r="P3597" s="21" t="s">
        <v>2272</v>
      </c>
      <c r="Q3597" s="21" t="s">
        <v>2272</v>
      </c>
      <c r="R3597" s="21" t="s">
        <v>2272</v>
      </c>
      <c r="S3597" s="21" t="s">
        <v>2272</v>
      </c>
      <c r="T3597" s="21" t="s">
        <v>2272</v>
      </c>
      <c r="U3597" s="21" t="s">
        <v>2272</v>
      </c>
      <c r="V3597" s="21" t="s">
        <v>2272</v>
      </c>
      <c r="W3597" s="21" t="s">
        <v>2272</v>
      </c>
      <c r="X3597" s="21" t="s">
        <v>2272</v>
      </c>
      <c r="Y3597" s="21" t="s">
        <v>2272</v>
      </c>
      <c r="Z3597" s="21" t="s">
        <v>2272</v>
      </c>
      <c r="AA3597" s="21" t="s">
        <v>2272</v>
      </c>
      <c r="AB3597" s="21" t="s">
        <v>2272</v>
      </c>
      <c r="AC3597" s="21" t="s">
        <v>2272</v>
      </c>
      <c r="AD3597" s="198"/>
      <c r="AE3597" s="198"/>
    </row>
    <row r="3598" spans="1:31" ht="46" customHeight="1">
      <c r="A3598" s="4" t="s">
        <v>9299</v>
      </c>
      <c r="B3598" s="4" t="s">
        <v>9301</v>
      </c>
      <c r="C3598" s="4" t="s">
        <v>23</v>
      </c>
      <c r="D3598" s="4" t="s">
        <v>1238</v>
      </c>
      <c r="E3598" s="4" t="s">
        <v>3204</v>
      </c>
      <c r="F3598" s="4" t="s">
        <v>2657</v>
      </c>
      <c r="G3598" s="4" t="s">
        <v>2657</v>
      </c>
      <c r="H3598" s="4" t="s">
        <v>521</v>
      </c>
      <c r="I3598" s="4"/>
      <c r="J3598" s="71" t="s">
        <v>2272</v>
      </c>
      <c r="K3598" s="71" t="s">
        <v>2272</v>
      </c>
      <c r="L3598" s="71" t="s">
        <v>2272</v>
      </c>
      <c r="M3598" s="71" t="s">
        <v>2272</v>
      </c>
      <c r="N3598" s="71" t="s">
        <v>2272</v>
      </c>
      <c r="O3598" s="71" t="s">
        <v>2272</v>
      </c>
      <c r="P3598" s="71" t="s">
        <v>2272</v>
      </c>
      <c r="Q3598" s="71" t="s">
        <v>2272</v>
      </c>
      <c r="R3598" s="71" t="s">
        <v>2272</v>
      </c>
      <c r="S3598" s="71" t="s">
        <v>2272</v>
      </c>
      <c r="T3598" s="71">
        <f>1300*100</f>
        <v>130000</v>
      </c>
      <c r="U3598" s="71" t="s">
        <v>2272</v>
      </c>
      <c r="V3598" s="71">
        <v>1.7</v>
      </c>
      <c r="W3598" s="71" t="s">
        <v>2272</v>
      </c>
      <c r="X3598" s="71" t="s">
        <v>2272</v>
      </c>
      <c r="Y3598" s="71" t="s">
        <v>2272</v>
      </c>
      <c r="Z3598" s="71" t="s">
        <v>2272</v>
      </c>
      <c r="AA3598" s="71" t="s">
        <v>2272</v>
      </c>
      <c r="AB3598" s="71" t="s">
        <v>2272</v>
      </c>
      <c r="AC3598" s="71" t="s">
        <v>2272</v>
      </c>
      <c r="AD3598" s="71" t="s">
        <v>9302</v>
      </c>
      <c r="AE3598" s="4"/>
    </row>
    <row r="3599" spans="1:31" ht="46" customHeight="1">
      <c r="A3599" s="198" t="s">
        <v>9307</v>
      </c>
      <c r="B3599" s="198" t="s">
        <v>9309</v>
      </c>
      <c r="C3599" s="4" t="s">
        <v>23</v>
      </c>
      <c r="D3599" s="4" t="s">
        <v>1102</v>
      </c>
      <c r="E3599" s="198" t="s">
        <v>1102</v>
      </c>
      <c r="F3599" s="4" t="s">
        <v>2657</v>
      </c>
      <c r="G3599" s="4" t="s">
        <v>2657</v>
      </c>
      <c r="H3599" s="4" t="s">
        <v>521</v>
      </c>
      <c r="I3599" s="198"/>
      <c r="J3599" s="71" t="s">
        <v>2272</v>
      </c>
      <c r="K3599" s="71" t="s">
        <v>2272</v>
      </c>
      <c r="L3599" s="71" t="s">
        <v>2272</v>
      </c>
      <c r="M3599" s="71" t="s">
        <v>2272</v>
      </c>
      <c r="N3599" s="71" t="s">
        <v>2272</v>
      </c>
      <c r="O3599" s="71" t="s">
        <v>2272</v>
      </c>
      <c r="P3599" s="71" t="s">
        <v>2272</v>
      </c>
      <c r="Q3599" s="71" t="s">
        <v>2272</v>
      </c>
      <c r="R3599" s="71" t="s">
        <v>2272</v>
      </c>
      <c r="S3599" s="71" t="s">
        <v>2272</v>
      </c>
      <c r="T3599" s="71" t="s">
        <v>2272</v>
      </c>
      <c r="U3599" s="14">
        <v>270000</v>
      </c>
      <c r="V3599" s="71" t="s">
        <v>2272</v>
      </c>
      <c r="W3599" s="71" t="s">
        <v>2272</v>
      </c>
      <c r="X3599" s="71" t="s">
        <v>2272</v>
      </c>
      <c r="Y3599" s="71" t="s">
        <v>2272</v>
      </c>
      <c r="Z3599" s="71" t="s">
        <v>2272</v>
      </c>
      <c r="AA3599" s="71" t="s">
        <v>2272</v>
      </c>
      <c r="AB3599" s="71" t="s">
        <v>2272</v>
      </c>
      <c r="AC3599" s="71" t="s">
        <v>2272</v>
      </c>
      <c r="AD3599" s="4" t="s">
        <v>9315</v>
      </c>
      <c r="AE3599" s="198"/>
    </row>
    <row r="3600" spans="1:31" ht="43" customHeight="1">
      <c r="A3600" s="198" t="s">
        <v>9307</v>
      </c>
      <c r="B3600" s="198" t="s">
        <v>9310</v>
      </c>
      <c r="C3600" s="4" t="s">
        <v>23</v>
      </c>
      <c r="D3600" s="198" t="s">
        <v>1238</v>
      </c>
      <c r="E3600" s="198" t="s">
        <v>135</v>
      </c>
      <c r="F3600" s="4" t="s">
        <v>2657</v>
      </c>
      <c r="G3600" s="4" t="s">
        <v>2657</v>
      </c>
      <c r="H3600" s="4" t="s">
        <v>521</v>
      </c>
      <c r="I3600" s="198"/>
      <c r="J3600" s="71" t="s">
        <v>2272</v>
      </c>
      <c r="K3600" s="71" t="s">
        <v>2272</v>
      </c>
      <c r="L3600" s="71" t="s">
        <v>2272</v>
      </c>
      <c r="M3600" s="71" t="s">
        <v>2272</v>
      </c>
      <c r="N3600" s="71" t="s">
        <v>2272</v>
      </c>
      <c r="O3600" s="71" t="s">
        <v>2272</v>
      </c>
      <c r="P3600" s="71" t="s">
        <v>2272</v>
      </c>
      <c r="Q3600" s="71" t="s">
        <v>2272</v>
      </c>
      <c r="R3600" s="71" t="s">
        <v>2272</v>
      </c>
      <c r="S3600" s="71" t="s">
        <v>2272</v>
      </c>
      <c r="T3600" s="71" t="s">
        <v>2272</v>
      </c>
      <c r="U3600" s="71" t="s">
        <v>2272</v>
      </c>
      <c r="V3600" s="71" t="s">
        <v>2272</v>
      </c>
      <c r="W3600" s="71" t="s">
        <v>2272</v>
      </c>
      <c r="X3600" s="71" t="s">
        <v>2272</v>
      </c>
      <c r="Y3600" s="71" t="s">
        <v>2272</v>
      </c>
      <c r="Z3600" s="71" t="s">
        <v>2272</v>
      </c>
      <c r="AA3600" s="71" t="s">
        <v>2272</v>
      </c>
      <c r="AB3600" s="71" t="s">
        <v>2272</v>
      </c>
      <c r="AC3600" s="71" t="s">
        <v>2272</v>
      </c>
      <c r="AD3600" s="198"/>
      <c r="AE3600" s="198"/>
    </row>
    <row r="3601" spans="1:31" ht="40" customHeight="1">
      <c r="A3601" s="198" t="s">
        <v>9307</v>
      </c>
      <c r="B3601" s="198" t="s">
        <v>9311</v>
      </c>
      <c r="C3601" s="4" t="s">
        <v>23</v>
      </c>
      <c r="D3601" s="198" t="s">
        <v>1238</v>
      </c>
      <c r="E3601" s="198" t="s">
        <v>2644</v>
      </c>
      <c r="F3601" s="4" t="s">
        <v>2657</v>
      </c>
      <c r="G3601" s="4" t="s">
        <v>2657</v>
      </c>
      <c r="H3601" s="4" t="s">
        <v>521</v>
      </c>
      <c r="I3601" s="198"/>
      <c r="J3601" s="71" t="s">
        <v>2272</v>
      </c>
      <c r="K3601" s="71" t="s">
        <v>2272</v>
      </c>
      <c r="L3601" s="71" t="s">
        <v>2272</v>
      </c>
      <c r="M3601" s="71" t="s">
        <v>2272</v>
      </c>
      <c r="N3601" s="71" t="s">
        <v>2272</v>
      </c>
      <c r="O3601" s="71" t="s">
        <v>2272</v>
      </c>
      <c r="P3601" s="71" t="s">
        <v>2272</v>
      </c>
      <c r="Q3601" s="71" t="s">
        <v>2272</v>
      </c>
      <c r="R3601" s="71" t="s">
        <v>2272</v>
      </c>
      <c r="S3601" s="71" t="s">
        <v>2272</v>
      </c>
      <c r="T3601" s="71" t="s">
        <v>2272</v>
      </c>
      <c r="U3601" s="71" t="s">
        <v>2272</v>
      </c>
      <c r="V3601" s="71" t="s">
        <v>2272</v>
      </c>
      <c r="W3601" s="71" t="s">
        <v>2272</v>
      </c>
      <c r="X3601" s="71" t="s">
        <v>2272</v>
      </c>
      <c r="Y3601" s="71" t="s">
        <v>2272</v>
      </c>
      <c r="Z3601" s="71" t="s">
        <v>2272</v>
      </c>
      <c r="AA3601" s="71" t="s">
        <v>2272</v>
      </c>
      <c r="AB3601" s="71" t="s">
        <v>2272</v>
      </c>
      <c r="AC3601" s="71" t="s">
        <v>2272</v>
      </c>
      <c r="AD3601" s="198"/>
      <c r="AE3601" s="198"/>
    </row>
    <row r="3602" spans="1:31" ht="47" customHeight="1">
      <c r="A3602" s="198" t="s">
        <v>9307</v>
      </c>
      <c r="B3602" s="198" t="s">
        <v>9312</v>
      </c>
      <c r="C3602" s="4" t="s">
        <v>23</v>
      </c>
      <c r="D3602" s="198" t="s">
        <v>1238</v>
      </c>
      <c r="E3602" s="198" t="s">
        <v>2648</v>
      </c>
      <c r="F3602" s="4" t="s">
        <v>2657</v>
      </c>
      <c r="G3602" s="4" t="s">
        <v>2657</v>
      </c>
      <c r="H3602" s="4" t="s">
        <v>521</v>
      </c>
      <c r="I3602" s="198"/>
      <c r="J3602" s="71" t="s">
        <v>2272</v>
      </c>
      <c r="K3602" s="71" t="s">
        <v>2272</v>
      </c>
      <c r="L3602" s="71" t="s">
        <v>2272</v>
      </c>
      <c r="M3602" s="71" t="s">
        <v>2272</v>
      </c>
      <c r="N3602" s="71" t="s">
        <v>2272</v>
      </c>
      <c r="O3602" s="71" t="s">
        <v>2272</v>
      </c>
      <c r="P3602" s="71" t="s">
        <v>2272</v>
      </c>
      <c r="Q3602" s="71" t="s">
        <v>2272</v>
      </c>
      <c r="R3602" s="71" t="s">
        <v>2272</v>
      </c>
      <c r="S3602" s="71" t="s">
        <v>2272</v>
      </c>
      <c r="T3602" s="71" t="s">
        <v>2272</v>
      </c>
      <c r="U3602" s="71" t="s">
        <v>2272</v>
      </c>
      <c r="V3602" s="71" t="s">
        <v>2272</v>
      </c>
      <c r="W3602" s="71" t="s">
        <v>2272</v>
      </c>
      <c r="X3602" s="71" t="s">
        <v>2272</v>
      </c>
      <c r="Y3602" s="71" t="s">
        <v>2272</v>
      </c>
      <c r="Z3602" s="71" t="s">
        <v>2272</v>
      </c>
      <c r="AA3602" s="71" t="s">
        <v>2272</v>
      </c>
      <c r="AB3602" s="71" t="s">
        <v>2272</v>
      </c>
      <c r="AC3602" s="71" t="s">
        <v>2272</v>
      </c>
      <c r="AD3602" s="198"/>
      <c r="AE3602" s="198"/>
    </row>
    <row r="3603" spans="1:31" ht="41" customHeight="1">
      <c r="A3603" s="198" t="s">
        <v>9307</v>
      </c>
      <c r="B3603" s="198" t="s">
        <v>9313</v>
      </c>
      <c r="C3603" s="4" t="s">
        <v>23</v>
      </c>
      <c r="D3603" s="198" t="s">
        <v>1238</v>
      </c>
      <c r="E3603" s="198" t="s">
        <v>3204</v>
      </c>
      <c r="F3603" s="4" t="s">
        <v>2657</v>
      </c>
      <c r="G3603" s="4" t="s">
        <v>2657</v>
      </c>
      <c r="H3603" s="4" t="s">
        <v>521</v>
      </c>
      <c r="I3603" s="198"/>
      <c r="J3603" s="71" t="s">
        <v>2272</v>
      </c>
      <c r="K3603" s="71" t="s">
        <v>2272</v>
      </c>
      <c r="L3603" s="71" t="s">
        <v>2272</v>
      </c>
      <c r="M3603" s="71" t="s">
        <v>2272</v>
      </c>
      <c r="N3603" s="71" t="s">
        <v>2272</v>
      </c>
      <c r="O3603" s="71" t="s">
        <v>2272</v>
      </c>
      <c r="P3603" s="71" t="s">
        <v>2272</v>
      </c>
      <c r="Q3603" s="71" t="s">
        <v>2272</v>
      </c>
      <c r="R3603" s="71" t="s">
        <v>2272</v>
      </c>
      <c r="S3603" s="71" t="s">
        <v>2272</v>
      </c>
      <c r="T3603" s="71" t="s">
        <v>2272</v>
      </c>
      <c r="U3603" s="71" t="s">
        <v>2272</v>
      </c>
      <c r="V3603" s="71" t="s">
        <v>2272</v>
      </c>
      <c r="W3603" s="71" t="s">
        <v>2272</v>
      </c>
      <c r="X3603" s="71" t="s">
        <v>2272</v>
      </c>
      <c r="Y3603" s="71" t="s">
        <v>2272</v>
      </c>
      <c r="Z3603" s="71" t="s">
        <v>2272</v>
      </c>
      <c r="AA3603" s="71" t="s">
        <v>2272</v>
      </c>
      <c r="AB3603" s="71" t="s">
        <v>2272</v>
      </c>
      <c r="AC3603" s="71" t="s">
        <v>2272</v>
      </c>
      <c r="AD3603" s="198"/>
      <c r="AE3603" s="198"/>
    </row>
    <row r="3604" spans="1:31" ht="44.5" customHeight="1">
      <c r="A3604" s="198" t="s">
        <v>9307</v>
      </c>
      <c r="B3604" s="198" t="s">
        <v>9314</v>
      </c>
      <c r="C3604" s="4" t="s">
        <v>23</v>
      </c>
      <c r="D3604" s="198" t="s">
        <v>1238</v>
      </c>
      <c r="E3604" s="198" t="s">
        <v>114</v>
      </c>
      <c r="F3604" s="4" t="s">
        <v>2657</v>
      </c>
      <c r="G3604" s="4" t="s">
        <v>2657</v>
      </c>
      <c r="H3604" s="4" t="s">
        <v>521</v>
      </c>
      <c r="I3604" s="198"/>
      <c r="J3604" s="71" t="s">
        <v>2272</v>
      </c>
      <c r="K3604" s="71" t="s">
        <v>2272</v>
      </c>
      <c r="L3604" s="71" t="s">
        <v>2272</v>
      </c>
      <c r="M3604" s="71" t="s">
        <v>2272</v>
      </c>
      <c r="N3604" s="71" t="s">
        <v>2272</v>
      </c>
      <c r="O3604" s="71" t="s">
        <v>2272</v>
      </c>
      <c r="P3604" s="71" t="s">
        <v>2272</v>
      </c>
      <c r="Q3604" s="71" t="s">
        <v>2272</v>
      </c>
      <c r="R3604" s="71" t="s">
        <v>2272</v>
      </c>
      <c r="S3604" s="71" t="s">
        <v>2272</v>
      </c>
      <c r="T3604" s="71" t="s">
        <v>2272</v>
      </c>
      <c r="U3604" s="71" t="s">
        <v>2272</v>
      </c>
      <c r="V3604" s="71" t="s">
        <v>2272</v>
      </c>
      <c r="W3604" s="71" t="s">
        <v>2272</v>
      </c>
      <c r="X3604" s="71" t="s">
        <v>2272</v>
      </c>
      <c r="Y3604" s="71" t="s">
        <v>2272</v>
      </c>
      <c r="Z3604" s="71" t="s">
        <v>2272</v>
      </c>
      <c r="AA3604" s="71" t="s">
        <v>2272</v>
      </c>
      <c r="AB3604" s="71" t="s">
        <v>2272</v>
      </c>
      <c r="AC3604" s="71" t="s">
        <v>2272</v>
      </c>
      <c r="AD3604" s="198"/>
      <c r="AE3604" s="198"/>
    </row>
    <row r="3605" spans="1:31" ht="39" customHeight="1">
      <c r="A3605" s="198" t="s">
        <v>9307</v>
      </c>
      <c r="B3605" s="198" t="s">
        <v>9316</v>
      </c>
      <c r="C3605" s="4" t="s">
        <v>23</v>
      </c>
      <c r="D3605" s="198" t="s">
        <v>142</v>
      </c>
      <c r="E3605" s="198" t="s">
        <v>135</v>
      </c>
      <c r="F3605" s="4" t="s">
        <v>2657</v>
      </c>
      <c r="G3605" s="4" t="s">
        <v>2657</v>
      </c>
      <c r="H3605" s="4" t="s">
        <v>521</v>
      </c>
      <c r="I3605" s="198"/>
      <c r="J3605" s="71" t="s">
        <v>2272</v>
      </c>
      <c r="K3605" s="71" t="s">
        <v>2272</v>
      </c>
      <c r="L3605" s="71" t="s">
        <v>2272</v>
      </c>
      <c r="M3605" s="71" t="s">
        <v>2272</v>
      </c>
      <c r="N3605" s="71" t="s">
        <v>2272</v>
      </c>
      <c r="O3605" s="71" t="s">
        <v>2272</v>
      </c>
      <c r="P3605" s="71" t="s">
        <v>2272</v>
      </c>
      <c r="Q3605" s="71" t="s">
        <v>2272</v>
      </c>
      <c r="R3605" s="71" t="s">
        <v>2272</v>
      </c>
      <c r="S3605" s="71" t="s">
        <v>2272</v>
      </c>
      <c r="T3605" s="71" t="s">
        <v>2272</v>
      </c>
      <c r="U3605" s="71" t="s">
        <v>2272</v>
      </c>
      <c r="V3605" s="71" t="s">
        <v>2272</v>
      </c>
      <c r="W3605" s="71" t="s">
        <v>2272</v>
      </c>
      <c r="X3605" s="71" t="s">
        <v>2272</v>
      </c>
      <c r="Y3605" s="71" t="s">
        <v>2272</v>
      </c>
      <c r="Z3605" s="71" t="s">
        <v>2272</v>
      </c>
      <c r="AA3605" s="71" t="s">
        <v>2272</v>
      </c>
      <c r="AB3605" s="71" t="s">
        <v>2272</v>
      </c>
      <c r="AC3605" s="71" t="s">
        <v>2272</v>
      </c>
      <c r="AD3605" s="198"/>
      <c r="AE3605" s="198"/>
    </row>
    <row r="3606" spans="1:31" ht="40" customHeight="1">
      <c r="A3606" s="198" t="s">
        <v>9307</v>
      </c>
      <c r="B3606" s="198" t="s">
        <v>9317</v>
      </c>
      <c r="C3606" s="4" t="s">
        <v>23</v>
      </c>
      <c r="D3606" s="198" t="s">
        <v>142</v>
      </c>
      <c r="E3606" s="198" t="s">
        <v>135</v>
      </c>
      <c r="F3606" s="4" t="s">
        <v>54</v>
      </c>
      <c r="G3606" s="4" t="s">
        <v>54</v>
      </c>
      <c r="H3606" s="4" t="s">
        <v>521</v>
      </c>
      <c r="I3606" s="198"/>
      <c r="J3606" s="71" t="s">
        <v>2272</v>
      </c>
      <c r="K3606" s="71" t="s">
        <v>2272</v>
      </c>
      <c r="L3606" s="71" t="s">
        <v>2272</v>
      </c>
      <c r="M3606" s="71" t="s">
        <v>2272</v>
      </c>
      <c r="N3606" s="71" t="s">
        <v>2272</v>
      </c>
      <c r="O3606" s="71" t="s">
        <v>2272</v>
      </c>
      <c r="P3606" s="71" t="s">
        <v>2272</v>
      </c>
      <c r="Q3606" s="71" t="s">
        <v>2272</v>
      </c>
      <c r="R3606" s="71" t="s">
        <v>2272</v>
      </c>
      <c r="S3606" s="71" t="s">
        <v>2272</v>
      </c>
      <c r="T3606" s="71" t="s">
        <v>2272</v>
      </c>
      <c r="U3606" s="71" t="s">
        <v>2272</v>
      </c>
      <c r="V3606" s="71" t="s">
        <v>2272</v>
      </c>
      <c r="W3606" s="71" t="s">
        <v>2272</v>
      </c>
      <c r="X3606" s="71" t="s">
        <v>2272</v>
      </c>
      <c r="Y3606" s="71" t="s">
        <v>2272</v>
      </c>
      <c r="Z3606" s="71" t="s">
        <v>2272</v>
      </c>
      <c r="AA3606" s="71" t="s">
        <v>2272</v>
      </c>
      <c r="AB3606" s="71" t="s">
        <v>2272</v>
      </c>
      <c r="AC3606" s="71" t="s">
        <v>2272</v>
      </c>
      <c r="AD3606" s="198"/>
      <c r="AE3606" s="198"/>
    </row>
    <row r="3607" spans="1:31" ht="41" customHeight="1">
      <c r="A3607" s="198" t="s">
        <v>9307</v>
      </c>
      <c r="B3607" s="198" t="s">
        <v>9318</v>
      </c>
      <c r="C3607" s="4" t="s">
        <v>23</v>
      </c>
      <c r="D3607" s="198" t="s">
        <v>142</v>
      </c>
      <c r="E3607" s="198" t="s">
        <v>135</v>
      </c>
      <c r="F3607" s="4" t="s">
        <v>73</v>
      </c>
      <c r="G3607" s="4" t="s">
        <v>73</v>
      </c>
      <c r="H3607" s="4" t="s">
        <v>521</v>
      </c>
      <c r="I3607" s="198"/>
      <c r="J3607" s="71" t="s">
        <v>2272</v>
      </c>
      <c r="K3607" s="71" t="s">
        <v>2272</v>
      </c>
      <c r="L3607" s="71" t="s">
        <v>2272</v>
      </c>
      <c r="M3607" s="71" t="s">
        <v>2272</v>
      </c>
      <c r="N3607" s="71" t="s">
        <v>2272</v>
      </c>
      <c r="O3607" s="71" t="s">
        <v>2272</v>
      </c>
      <c r="P3607" s="71" t="s">
        <v>2272</v>
      </c>
      <c r="Q3607" s="71" t="s">
        <v>2272</v>
      </c>
      <c r="R3607" s="71" t="s">
        <v>2272</v>
      </c>
      <c r="S3607" s="71" t="s">
        <v>2272</v>
      </c>
      <c r="T3607" s="71" t="s">
        <v>2272</v>
      </c>
      <c r="U3607" s="71" t="s">
        <v>2272</v>
      </c>
      <c r="V3607" s="71" t="s">
        <v>2272</v>
      </c>
      <c r="W3607" s="71" t="s">
        <v>2272</v>
      </c>
      <c r="X3607" s="71" t="s">
        <v>2272</v>
      </c>
      <c r="Y3607" s="71" t="s">
        <v>2272</v>
      </c>
      <c r="Z3607" s="71" t="s">
        <v>2272</v>
      </c>
      <c r="AA3607" s="71" t="s">
        <v>2272</v>
      </c>
      <c r="AB3607" s="71" t="s">
        <v>2272</v>
      </c>
      <c r="AC3607" s="71" t="s">
        <v>2272</v>
      </c>
      <c r="AD3607" s="198"/>
      <c r="AE3607" s="198"/>
    </row>
    <row r="3608" spans="1:31" ht="43.5" customHeight="1">
      <c r="A3608" s="198" t="s">
        <v>9307</v>
      </c>
      <c r="B3608" s="198" t="s">
        <v>9319</v>
      </c>
      <c r="C3608" s="4" t="s">
        <v>23</v>
      </c>
      <c r="D3608" s="198" t="s">
        <v>25</v>
      </c>
      <c r="E3608" s="198" t="s">
        <v>135</v>
      </c>
      <c r="F3608" s="4" t="s">
        <v>2657</v>
      </c>
      <c r="G3608" s="4" t="s">
        <v>2657</v>
      </c>
      <c r="H3608" s="4" t="s">
        <v>521</v>
      </c>
      <c r="I3608" s="198"/>
      <c r="J3608" s="71" t="s">
        <v>2272</v>
      </c>
      <c r="K3608" s="71" t="s">
        <v>2272</v>
      </c>
      <c r="L3608" s="71" t="s">
        <v>2272</v>
      </c>
      <c r="M3608" s="71" t="s">
        <v>2272</v>
      </c>
      <c r="N3608" s="71" t="s">
        <v>2272</v>
      </c>
      <c r="O3608" s="71" t="s">
        <v>2272</v>
      </c>
      <c r="P3608" s="71" t="s">
        <v>2272</v>
      </c>
      <c r="Q3608" s="71" t="s">
        <v>2272</v>
      </c>
      <c r="R3608" s="71" t="s">
        <v>2272</v>
      </c>
      <c r="S3608" s="71" t="s">
        <v>2272</v>
      </c>
      <c r="T3608" s="71" t="s">
        <v>2272</v>
      </c>
      <c r="U3608" s="71" t="s">
        <v>2272</v>
      </c>
      <c r="V3608" s="71" t="s">
        <v>2272</v>
      </c>
      <c r="W3608" s="71" t="s">
        <v>2272</v>
      </c>
      <c r="X3608" s="71" t="s">
        <v>2272</v>
      </c>
      <c r="Y3608" s="71" t="s">
        <v>2272</v>
      </c>
      <c r="Z3608" s="71" t="s">
        <v>2272</v>
      </c>
      <c r="AA3608" s="71" t="s">
        <v>2272</v>
      </c>
      <c r="AB3608" s="71" t="s">
        <v>2272</v>
      </c>
      <c r="AC3608" s="71" t="s">
        <v>2272</v>
      </c>
      <c r="AD3608" s="198"/>
      <c r="AE3608" s="198"/>
    </row>
    <row r="3609" spans="1:31" ht="54" customHeight="1">
      <c r="A3609" s="198" t="s">
        <v>9356</v>
      </c>
      <c r="B3609" s="198" t="s">
        <v>9358</v>
      </c>
      <c r="C3609" s="4" t="s">
        <v>23</v>
      </c>
      <c r="D3609" s="198" t="s">
        <v>2272</v>
      </c>
      <c r="E3609" s="198" t="s">
        <v>2272</v>
      </c>
      <c r="F3609" s="198" t="s">
        <v>2272</v>
      </c>
      <c r="G3609" s="4" t="s">
        <v>73</v>
      </c>
      <c r="H3609" s="4" t="s">
        <v>521</v>
      </c>
      <c r="I3609" s="198"/>
      <c r="J3609" s="225" t="s">
        <v>2272</v>
      </c>
      <c r="K3609" s="225" t="s">
        <v>2272</v>
      </c>
      <c r="L3609" s="71" t="s">
        <v>2272</v>
      </c>
      <c r="M3609" s="71" t="s">
        <v>2272</v>
      </c>
      <c r="N3609" s="71" t="s">
        <v>2272</v>
      </c>
      <c r="O3609" s="71" t="s">
        <v>2272</v>
      </c>
      <c r="P3609" s="71" t="s">
        <v>2272</v>
      </c>
      <c r="Q3609" s="71" t="s">
        <v>2272</v>
      </c>
      <c r="R3609" s="71" t="s">
        <v>2272</v>
      </c>
      <c r="S3609" s="71" t="s">
        <v>2272</v>
      </c>
      <c r="T3609" s="71" t="s">
        <v>2272</v>
      </c>
      <c r="U3609" s="71" t="s">
        <v>2272</v>
      </c>
      <c r="V3609" s="71" t="s">
        <v>2272</v>
      </c>
      <c r="W3609" s="71" t="s">
        <v>2272</v>
      </c>
      <c r="X3609" s="71" t="s">
        <v>2272</v>
      </c>
      <c r="Y3609" s="71" t="s">
        <v>2272</v>
      </c>
      <c r="Z3609" s="71" t="s">
        <v>2272</v>
      </c>
      <c r="AA3609" s="71" t="s">
        <v>2272</v>
      </c>
      <c r="AB3609" s="71" t="s">
        <v>2272</v>
      </c>
      <c r="AC3609" s="71" t="s">
        <v>2272</v>
      </c>
      <c r="AD3609" s="71" t="s">
        <v>9363</v>
      </c>
      <c r="AE3609" s="198"/>
    </row>
    <row r="3610" spans="1:31" ht="45.5" customHeight="1">
      <c r="A3610" s="198" t="s">
        <v>9356</v>
      </c>
      <c r="B3610" s="198" t="s">
        <v>9360</v>
      </c>
      <c r="C3610" s="4" t="s">
        <v>2651</v>
      </c>
      <c r="D3610" s="198" t="s">
        <v>2272</v>
      </c>
      <c r="E3610" s="198" t="s">
        <v>2272</v>
      </c>
      <c r="F3610" s="198" t="s">
        <v>2272</v>
      </c>
      <c r="G3610" s="4" t="s">
        <v>73</v>
      </c>
      <c r="H3610" s="4" t="s">
        <v>521</v>
      </c>
      <c r="I3610" s="198"/>
      <c r="J3610" s="225" t="s">
        <v>2272</v>
      </c>
      <c r="K3610" s="225" t="s">
        <v>2272</v>
      </c>
      <c r="L3610" s="71" t="s">
        <v>2272</v>
      </c>
      <c r="M3610" s="71" t="s">
        <v>2272</v>
      </c>
      <c r="N3610" s="71" t="s">
        <v>2272</v>
      </c>
      <c r="O3610" s="71" t="s">
        <v>2272</v>
      </c>
      <c r="P3610" s="71" t="s">
        <v>2272</v>
      </c>
      <c r="Q3610" s="71" t="s">
        <v>2272</v>
      </c>
      <c r="R3610" s="71" t="s">
        <v>2272</v>
      </c>
      <c r="S3610" s="71" t="s">
        <v>2272</v>
      </c>
      <c r="T3610" s="71" t="s">
        <v>2272</v>
      </c>
      <c r="U3610" s="71" t="s">
        <v>2272</v>
      </c>
      <c r="V3610" s="71" t="s">
        <v>2272</v>
      </c>
      <c r="W3610" s="71" t="s">
        <v>2272</v>
      </c>
      <c r="X3610" s="71" t="s">
        <v>2272</v>
      </c>
      <c r="Y3610" s="71" t="s">
        <v>2272</v>
      </c>
      <c r="Z3610" s="71" t="s">
        <v>2272</v>
      </c>
      <c r="AA3610" s="71" t="s">
        <v>2272</v>
      </c>
      <c r="AB3610" s="71" t="s">
        <v>2272</v>
      </c>
      <c r="AC3610" s="71" t="s">
        <v>2272</v>
      </c>
      <c r="AD3610" s="71" t="s">
        <v>9363</v>
      </c>
      <c r="AE3610" s="198"/>
    </row>
    <row r="3611" spans="1:31" ht="49.5" customHeight="1">
      <c r="A3611" s="198" t="s">
        <v>9356</v>
      </c>
      <c r="B3611" s="198" t="s">
        <v>9361</v>
      </c>
      <c r="C3611" s="4" t="s">
        <v>23</v>
      </c>
      <c r="D3611" s="198" t="s">
        <v>2272</v>
      </c>
      <c r="E3611" s="198" t="s">
        <v>2272</v>
      </c>
      <c r="F3611" s="198" t="s">
        <v>2272</v>
      </c>
      <c r="G3611" s="4" t="s">
        <v>158</v>
      </c>
      <c r="H3611" s="4" t="s">
        <v>521</v>
      </c>
      <c r="I3611" s="198"/>
      <c r="J3611" s="225" t="s">
        <v>2272</v>
      </c>
      <c r="K3611" s="225" t="s">
        <v>2272</v>
      </c>
      <c r="L3611" s="71" t="s">
        <v>2272</v>
      </c>
      <c r="M3611" s="71" t="s">
        <v>2272</v>
      </c>
      <c r="N3611" s="71" t="s">
        <v>2272</v>
      </c>
      <c r="O3611" s="71" t="s">
        <v>2272</v>
      </c>
      <c r="P3611" s="71" t="s">
        <v>2272</v>
      </c>
      <c r="Q3611" s="71" t="s">
        <v>2272</v>
      </c>
      <c r="R3611" s="71" t="s">
        <v>2272</v>
      </c>
      <c r="S3611" s="71" t="s">
        <v>2272</v>
      </c>
      <c r="T3611" s="71" t="s">
        <v>2272</v>
      </c>
      <c r="U3611" s="71" t="s">
        <v>2272</v>
      </c>
      <c r="V3611" s="71" t="s">
        <v>2272</v>
      </c>
      <c r="W3611" s="71" t="s">
        <v>2272</v>
      </c>
      <c r="X3611" s="71" t="s">
        <v>2272</v>
      </c>
      <c r="Y3611" s="71" t="s">
        <v>2272</v>
      </c>
      <c r="Z3611" s="71" t="s">
        <v>2272</v>
      </c>
      <c r="AA3611" s="71" t="s">
        <v>2272</v>
      </c>
      <c r="AB3611" s="71" t="s">
        <v>2272</v>
      </c>
      <c r="AC3611" s="71" t="s">
        <v>2272</v>
      </c>
      <c r="AD3611" s="71" t="s">
        <v>9363</v>
      </c>
      <c r="AE3611" s="198"/>
    </row>
    <row r="3612" spans="1:31" ht="42" customHeight="1">
      <c r="A3612" s="198" t="s">
        <v>9356</v>
      </c>
      <c r="B3612" s="198" t="s">
        <v>9362</v>
      </c>
      <c r="C3612" s="4" t="s">
        <v>2651</v>
      </c>
      <c r="D3612" s="198" t="s">
        <v>2272</v>
      </c>
      <c r="E3612" s="198" t="s">
        <v>2272</v>
      </c>
      <c r="F3612" s="198" t="s">
        <v>2272</v>
      </c>
      <c r="G3612" s="4" t="s">
        <v>158</v>
      </c>
      <c r="H3612" s="4" t="s">
        <v>521</v>
      </c>
      <c r="I3612" s="198"/>
      <c r="J3612" s="225" t="s">
        <v>2272</v>
      </c>
      <c r="K3612" s="225" t="s">
        <v>2272</v>
      </c>
      <c r="L3612" s="71" t="s">
        <v>2272</v>
      </c>
      <c r="M3612" s="71" t="s">
        <v>2272</v>
      </c>
      <c r="N3612" s="71" t="s">
        <v>2272</v>
      </c>
      <c r="O3612" s="71" t="s">
        <v>2272</v>
      </c>
      <c r="P3612" s="71" t="s">
        <v>2272</v>
      </c>
      <c r="Q3612" s="71" t="s">
        <v>2272</v>
      </c>
      <c r="R3612" s="71" t="s">
        <v>2272</v>
      </c>
      <c r="S3612" s="71" t="s">
        <v>2272</v>
      </c>
      <c r="T3612" s="71" t="s">
        <v>2272</v>
      </c>
      <c r="U3612" s="71" t="s">
        <v>2272</v>
      </c>
      <c r="V3612" s="71" t="s">
        <v>2272</v>
      </c>
      <c r="W3612" s="71" t="s">
        <v>2272</v>
      </c>
      <c r="X3612" s="71" t="s">
        <v>2272</v>
      </c>
      <c r="Y3612" s="71" t="s">
        <v>2272</v>
      </c>
      <c r="Z3612" s="71" t="s">
        <v>2272</v>
      </c>
      <c r="AA3612" s="71" t="s">
        <v>2272</v>
      </c>
      <c r="AB3612" s="71" t="s">
        <v>2272</v>
      </c>
      <c r="AC3612" s="71" t="s">
        <v>2272</v>
      </c>
      <c r="AD3612" s="71" t="s">
        <v>9363</v>
      </c>
      <c r="AE3612" s="198"/>
    </row>
    <row r="3613" spans="1:31" ht="40" customHeight="1">
      <c r="A3613" s="198" t="s">
        <v>9366</v>
      </c>
      <c r="B3613" s="198" t="s">
        <v>9369</v>
      </c>
      <c r="C3613" s="198" t="s">
        <v>1102</v>
      </c>
      <c r="D3613" s="198" t="s">
        <v>2272</v>
      </c>
      <c r="E3613" s="198" t="s">
        <v>2272</v>
      </c>
      <c r="F3613" s="198" t="s">
        <v>2272</v>
      </c>
      <c r="G3613" s="4" t="s">
        <v>73</v>
      </c>
      <c r="H3613" s="4" t="s">
        <v>521</v>
      </c>
      <c r="I3613" s="198"/>
      <c r="J3613" s="71" t="s">
        <v>2272</v>
      </c>
      <c r="K3613" s="71" t="s">
        <v>2272</v>
      </c>
      <c r="L3613" s="71" t="s">
        <v>2272</v>
      </c>
      <c r="M3613" s="71" t="s">
        <v>2272</v>
      </c>
      <c r="N3613" s="71" t="s">
        <v>2272</v>
      </c>
      <c r="O3613" s="71" t="s">
        <v>2272</v>
      </c>
      <c r="P3613" s="71" t="s">
        <v>2272</v>
      </c>
      <c r="Q3613" s="71" t="s">
        <v>2272</v>
      </c>
      <c r="R3613" s="71" t="s">
        <v>2272</v>
      </c>
      <c r="S3613" s="71" t="s">
        <v>2272</v>
      </c>
      <c r="T3613" s="71" t="s">
        <v>2272</v>
      </c>
      <c r="U3613" s="71">
        <f>AVERAGE(144746, 28950)</f>
        <v>86848</v>
      </c>
      <c r="V3613" s="71" t="s">
        <v>2272</v>
      </c>
      <c r="W3613" s="71" t="s">
        <v>2272</v>
      </c>
      <c r="X3613" s="71" t="s">
        <v>2272</v>
      </c>
      <c r="Y3613" s="21">
        <f>AVERAGE(1.287, 100*28950/'Record info'!K1481)</f>
        <v>0.72814912280701749</v>
      </c>
      <c r="Z3613" s="71" t="s">
        <v>2272</v>
      </c>
      <c r="AA3613" s="71" t="s">
        <v>2272</v>
      </c>
      <c r="AB3613" s="71" t="s">
        <v>2272</v>
      </c>
      <c r="AC3613" s="71" t="s">
        <v>2272</v>
      </c>
      <c r="AD3613" s="198"/>
      <c r="AE3613" s="198"/>
    </row>
    <row r="3614" spans="1:31" ht="65.5" customHeight="1">
      <c r="A3614" s="198" t="s">
        <v>9367</v>
      </c>
      <c r="B3614" s="198" t="s">
        <v>9368</v>
      </c>
      <c r="C3614" s="198" t="s">
        <v>23</v>
      </c>
      <c r="D3614" s="198" t="s">
        <v>2227</v>
      </c>
      <c r="E3614" s="198" t="s">
        <v>44</v>
      </c>
      <c r="F3614" s="4" t="s">
        <v>2657</v>
      </c>
      <c r="G3614" s="4" t="s">
        <v>2657</v>
      </c>
      <c r="H3614" s="4" t="s">
        <v>521</v>
      </c>
      <c r="I3614" s="198"/>
      <c r="J3614" s="71" t="s">
        <v>2272</v>
      </c>
      <c r="K3614" s="71" t="s">
        <v>2272</v>
      </c>
      <c r="L3614" s="71" t="s">
        <v>2272</v>
      </c>
      <c r="M3614" s="71" t="s">
        <v>2272</v>
      </c>
      <c r="N3614" s="71" t="s">
        <v>2272</v>
      </c>
      <c r="O3614" s="71" t="s">
        <v>2272</v>
      </c>
      <c r="P3614" s="71" t="s">
        <v>2272</v>
      </c>
      <c r="Q3614" s="71" t="s">
        <v>2272</v>
      </c>
      <c r="R3614" s="71" t="s">
        <v>2272</v>
      </c>
      <c r="S3614" s="71" t="s">
        <v>2272</v>
      </c>
      <c r="T3614" s="71" t="s">
        <v>2272</v>
      </c>
      <c r="U3614" s="71" t="s">
        <v>2272</v>
      </c>
      <c r="V3614" s="71" t="s">
        <v>2272</v>
      </c>
      <c r="W3614" s="71" t="s">
        <v>2272</v>
      </c>
      <c r="X3614" s="71" t="s">
        <v>2272</v>
      </c>
      <c r="Y3614" s="71" t="s">
        <v>2272</v>
      </c>
      <c r="Z3614" s="71" t="s">
        <v>2272</v>
      </c>
      <c r="AA3614" s="71" t="s">
        <v>2272</v>
      </c>
      <c r="AB3614" s="71" t="s">
        <v>2272</v>
      </c>
      <c r="AC3614" s="71" t="s">
        <v>2272</v>
      </c>
      <c r="AD3614" s="4" t="s">
        <v>9388</v>
      </c>
      <c r="AE3614" s="198"/>
    </row>
    <row r="3615" spans="1:31" ht="50" customHeight="1">
      <c r="A3615" s="198" t="s">
        <v>9367</v>
      </c>
      <c r="B3615" s="198" t="s">
        <v>9374</v>
      </c>
      <c r="C3615" s="198" t="s">
        <v>23</v>
      </c>
      <c r="D3615" s="198" t="s">
        <v>4157</v>
      </c>
      <c r="E3615" s="198" t="s">
        <v>114</v>
      </c>
      <c r="F3615" s="4" t="s">
        <v>2657</v>
      </c>
      <c r="G3615" s="4" t="s">
        <v>2657</v>
      </c>
      <c r="H3615" s="4" t="s">
        <v>521</v>
      </c>
      <c r="I3615" s="198"/>
      <c r="J3615" s="71" t="s">
        <v>2272</v>
      </c>
      <c r="K3615" s="71" t="s">
        <v>2272</v>
      </c>
      <c r="L3615" s="71" t="s">
        <v>2272</v>
      </c>
      <c r="M3615" s="71" t="s">
        <v>2272</v>
      </c>
      <c r="N3615" s="71" t="s">
        <v>2272</v>
      </c>
      <c r="O3615" s="71" t="s">
        <v>2272</v>
      </c>
      <c r="P3615" s="71" t="s">
        <v>2272</v>
      </c>
      <c r="Q3615" s="71" t="s">
        <v>2272</v>
      </c>
      <c r="R3615" s="71" t="s">
        <v>2272</v>
      </c>
      <c r="S3615" s="71" t="s">
        <v>2272</v>
      </c>
      <c r="T3615" s="71" t="s">
        <v>2272</v>
      </c>
      <c r="U3615" s="71" t="s">
        <v>2272</v>
      </c>
      <c r="V3615" s="71" t="s">
        <v>2272</v>
      </c>
      <c r="W3615" s="71" t="s">
        <v>2272</v>
      </c>
      <c r="X3615" s="71" t="s">
        <v>2272</v>
      </c>
      <c r="Y3615" s="71" t="s">
        <v>2272</v>
      </c>
      <c r="Z3615" s="71" t="s">
        <v>2272</v>
      </c>
      <c r="AA3615" s="71" t="s">
        <v>2272</v>
      </c>
      <c r="AB3615" s="71" t="s">
        <v>2272</v>
      </c>
      <c r="AC3615" s="71" t="s">
        <v>2272</v>
      </c>
      <c r="AD3615" s="198"/>
      <c r="AE3615" s="198"/>
    </row>
    <row r="3616" spans="1:31" ht="50" customHeight="1">
      <c r="A3616" s="198" t="s">
        <v>9367</v>
      </c>
      <c r="B3616" s="198" t="s">
        <v>9375</v>
      </c>
      <c r="C3616" s="198" t="s">
        <v>23</v>
      </c>
      <c r="D3616" s="198" t="s">
        <v>404</v>
      </c>
      <c r="E3616" s="198" t="s">
        <v>2272</v>
      </c>
      <c r="F3616" s="4" t="s">
        <v>2657</v>
      </c>
      <c r="G3616" s="4" t="s">
        <v>2657</v>
      </c>
      <c r="H3616" s="4" t="s">
        <v>521</v>
      </c>
      <c r="I3616" s="198"/>
      <c r="J3616" s="71" t="s">
        <v>2272</v>
      </c>
      <c r="K3616" s="71" t="s">
        <v>2272</v>
      </c>
      <c r="L3616" s="71" t="s">
        <v>2272</v>
      </c>
      <c r="M3616" s="71" t="s">
        <v>2272</v>
      </c>
      <c r="N3616" s="71" t="s">
        <v>2272</v>
      </c>
      <c r="O3616" s="71" t="s">
        <v>2272</v>
      </c>
      <c r="P3616" s="71" t="s">
        <v>2272</v>
      </c>
      <c r="Q3616" s="71" t="s">
        <v>2272</v>
      </c>
      <c r="R3616" s="71" t="s">
        <v>2272</v>
      </c>
      <c r="S3616" s="71" t="s">
        <v>2272</v>
      </c>
      <c r="T3616" s="71" t="s">
        <v>2272</v>
      </c>
      <c r="U3616" s="71" t="s">
        <v>2272</v>
      </c>
      <c r="V3616" s="71" t="s">
        <v>2272</v>
      </c>
      <c r="W3616" s="71" t="s">
        <v>2272</v>
      </c>
      <c r="X3616" s="71" t="s">
        <v>2272</v>
      </c>
      <c r="Y3616" s="71" t="s">
        <v>2272</v>
      </c>
      <c r="Z3616" s="71" t="s">
        <v>2272</v>
      </c>
      <c r="AA3616" s="71" t="s">
        <v>2272</v>
      </c>
      <c r="AB3616" s="71" t="s">
        <v>2272</v>
      </c>
      <c r="AC3616" s="71" t="s">
        <v>2272</v>
      </c>
      <c r="AD3616" s="198"/>
      <c r="AE3616" s="198"/>
    </row>
    <row r="3617" spans="1:31" ht="44.5" customHeight="1">
      <c r="A3617" s="198" t="s">
        <v>9367</v>
      </c>
      <c r="B3617" s="198" t="s">
        <v>9377</v>
      </c>
      <c r="C3617" s="198" t="s">
        <v>1102</v>
      </c>
      <c r="D3617" s="198" t="s">
        <v>2272</v>
      </c>
      <c r="E3617" s="198" t="s">
        <v>2272</v>
      </c>
      <c r="F3617" s="4" t="s">
        <v>54</v>
      </c>
      <c r="G3617" s="4" t="s">
        <v>54</v>
      </c>
      <c r="H3617" s="4" t="s">
        <v>521</v>
      </c>
      <c r="I3617" s="198"/>
      <c r="J3617" s="71" t="s">
        <v>2272</v>
      </c>
      <c r="K3617" s="71" t="s">
        <v>2272</v>
      </c>
      <c r="L3617" s="71" t="s">
        <v>2272</v>
      </c>
      <c r="M3617" s="71" t="s">
        <v>2272</v>
      </c>
      <c r="N3617" s="71" t="s">
        <v>2272</v>
      </c>
      <c r="O3617" s="71" t="s">
        <v>2272</v>
      </c>
      <c r="P3617" s="71" t="s">
        <v>2272</v>
      </c>
      <c r="Q3617" s="71" t="s">
        <v>2272</v>
      </c>
      <c r="R3617" s="71" t="s">
        <v>2272</v>
      </c>
      <c r="S3617" s="71" t="s">
        <v>2272</v>
      </c>
      <c r="T3617" s="71" t="s">
        <v>2272</v>
      </c>
      <c r="U3617" s="71" t="s">
        <v>2272</v>
      </c>
      <c r="V3617" s="71" t="s">
        <v>2272</v>
      </c>
      <c r="W3617" s="71" t="s">
        <v>2272</v>
      </c>
      <c r="X3617" s="71" t="s">
        <v>2272</v>
      </c>
      <c r="Y3617" s="71" t="s">
        <v>2272</v>
      </c>
      <c r="Z3617" s="71" t="s">
        <v>2272</v>
      </c>
      <c r="AA3617" s="198" t="s">
        <v>33</v>
      </c>
      <c r="AB3617" s="198" t="s">
        <v>423</v>
      </c>
      <c r="AC3617" s="71" t="s">
        <v>2272</v>
      </c>
      <c r="AD3617" s="139" t="s">
        <v>9378</v>
      </c>
      <c r="AE3617" s="198" t="s">
        <v>9379</v>
      </c>
    </row>
    <row r="3618" spans="1:31" ht="55.5" customHeight="1">
      <c r="A3618" s="198" t="s">
        <v>9367</v>
      </c>
      <c r="B3618" s="198" t="s">
        <v>9381</v>
      </c>
      <c r="C3618" s="198" t="s">
        <v>23</v>
      </c>
      <c r="D3618" s="198" t="s">
        <v>24</v>
      </c>
      <c r="E3618" s="198" t="s">
        <v>44</v>
      </c>
      <c r="F3618" s="4" t="s">
        <v>54</v>
      </c>
      <c r="G3618" s="4" t="s">
        <v>54</v>
      </c>
      <c r="H3618" s="4" t="s">
        <v>521</v>
      </c>
      <c r="I3618" s="198"/>
      <c r="J3618" s="71" t="s">
        <v>2272</v>
      </c>
      <c r="K3618" s="71" t="s">
        <v>2272</v>
      </c>
      <c r="L3618" s="71" t="s">
        <v>2272</v>
      </c>
      <c r="M3618" s="71" t="s">
        <v>2272</v>
      </c>
      <c r="N3618" s="71" t="s">
        <v>2272</v>
      </c>
      <c r="O3618" s="71" t="s">
        <v>2272</v>
      </c>
      <c r="P3618" s="71" t="s">
        <v>2272</v>
      </c>
      <c r="Q3618" s="71" t="s">
        <v>2272</v>
      </c>
      <c r="R3618" s="71" t="s">
        <v>2272</v>
      </c>
      <c r="S3618" s="71" t="s">
        <v>2272</v>
      </c>
      <c r="T3618" s="71" t="s">
        <v>2272</v>
      </c>
      <c r="U3618" s="71" t="s">
        <v>2272</v>
      </c>
      <c r="V3618" s="71" t="s">
        <v>2272</v>
      </c>
      <c r="W3618" s="71" t="s">
        <v>2272</v>
      </c>
      <c r="X3618" s="71" t="s">
        <v>2272</v>
      </c>
      <c r="Y3618" s="71" t="s">
        <v>2272</v>
      </c>
      <c r="Z3618" s="71" t="s">
        <v>2272</v>
      </c>
      <c r="AA3618" s="198" t="s">
        <v>33</v>
      </c>
      <c r="AB3618" s="198" t="s">
        <v>423</v>
      </c>
      <c r="AC3618" s="71" t="s">
        <v>2272</v>
      </c>
      <c r="AD3618" s="198"/>
      <c r="AE3618" s="198"/>
    </row>
    <row r="3619" spans="1:31" ht="55.5" customHeight="1">
      <c r="A3619" s="198" t="s">
        <v>9367</v>
      </c>
      <c r="B3619" s="198" t="s">
        <v>9383</v>
      </c>
      <c r="C3619" s="198" t="s">
        <v>23</v>
      </c>
      <c r="D3619" s="198" t="s">
        <v>2227</v>
      </c>
      <c r="E3619" s="198" t="s">
        <v>5000</v>
      </c>
      <c r="F3619" s="4" t="s">
        <v>2657</v>
      </c>
      <c r="G3619" s="4" t="s">
        <v>2657</v>
      </c>
      <c r="H3619" s="4" t="s">
        <v>521</v>
      </c>
      <c r="I3619" s="198"/>
      <c r="J3619" s="71" t="s">
        <v>2272</v>
      </c>
      <c r="K3619" s="71" t="s">
        <v>2272</v>
      </c>
      <c r="L3619" s="71" t="s">
        <v>2272</v>
      </c>
      <c r="M3619" s="71" t="s">
        <v>2272</v>
      </c>
      <c r="N3619" s="71" t="s">
        <v>2272</v>
      </c>
      <c r="O3619" s="71" t="s">
        <v>2272</v>
      </c>
      <c r="P3619" s="71" t="s">
        <v>2272</v>
      </c>
      <c r="Q3619" s="71" t="s">
        <v>2272</v>
      </c>
      <c r="R3619" s="71" t="s">
        <v>2272</v>
      </c>
      <c r="S3619" s="71" t="s">
        <v>2272</v>
      </c>
      <c r="T3619" s="71" t="s">
        <v>2272</v>
      </c>
      <c r="U3619" s="71" t="s">
        <v>2272</v>
      </c>
      <c r="V3619" s="71" t="s">
        <v>2272</v>
      </c>
      <c r="W3619" s="71" t="s">
        <v>2272</v>
      </c>
      <c r="X3619" s="71" t="s">
        <v>2272</v>
      </c>
      <c r="Y3619" s="71" t="s">
        <v>2272</v>
      </c>
      <c r="Z3619" s="71" t="s">
        <v>2272</v>
      </c>
      <c r="AA3619" s="71" t="s">
        <v>2272</v>
      </c>
      <c r="AB3619" s="71" t="s">
        <v>2272</v>
      </c>
      <c r="AC3619" s="71" t="s">
        <v>2272</v>
      </c>
      <c r="AD3619" s="198"/>
      <c r="AE3619" s="198"/>
    </row>
    <row r="3620" spans="1:31" ht="55.5" customHeight="1">
      <c r="A3620" s="198" t="s">
        <v>9367</v>
      </c>
      <c r="B3620" s="198" t="s">
        <v>9384</v>
      </c>
      <c r="C3620" s="198" t="s">
        <v>23</v>
      </c>
      <c r="D3620" s="198" t="s">
        <v>24</v>
      </c>
      <c r="E3620" s="198" t="s">
        <v>5000</v>
      </c>
      <c r="F3620" s="4" t="s">
        <v>54</v>
      </c>
      <c r="G3620" s="4" t="s">
        <v>54</v>
      </c>
      <c r="H3620" s="4" t="s">
        <v>521</v>
      </c>
      <c r="I3620" s="198"/>
      <c r="J3620" s="71" t="s">
        <v>2272</v>
      </c>
      <c r="K3620" s="71" t="s">
        <v>2272</v>
      </c>
      <c r="L3620" s="71" t="s">
        <v>2272</v>
      </c>
      <c r="M3620" s="71" t="s">
        <v>2272</v>
      </c>
      <c r="N3620" s="71" t="s">
        <v>2272</v>
      </c>
      <c r="O3620" s="71" t="s">
        <v>2272</v>
      </c>
      <c r="P3620" s="71" t="s">
        <v>2272</v>
      </c>
      <c r="Q3620" s="71" t="s">
        <v>2272</v>
      </c>
      <c r="R3620" s="71" t="s">
        <v>2272</v>
      </c>
      <c r="S3620" s="71" t="s">
        <v>2272</v>
      </c>
      <c r="T3620" s="71" t="s">
        <v>2272</v>
      </c>
      <c r="U3620" s="71" t="s">
        <v>2272</v>
      </c>
      <c r="V3620" s="71" t="s">
        <v>2272</v>
      </c>
      <c r="W3620" s="71" t="s">
        <v>2272</v>
      </c>
      <c r="X3620" s="71" t="s">
        <v>2272</v>
      </c>
      <c r="Y3620" s="71" t="s">
        <v>2272</v>
      </c>
      <c r="Z3620" s="71" t="s">
        <v>2272</v>
      </c>
      <c r="AA3620" s="198" t="s">
        <v>33</v>
      </c>
      <c r="AB3620" s="198" t="s">
        <v>423</v>
      </c>
      <c r="AC3620" s="71" t="s">
        <v>2272</v>
      </c>
      <c r="AD3620" s="198"/>
      <c r="AE3620" s="198"/>
    </row>
    <row r="3621" spans="1:31" ht="54.5" customHeight="1">
      <c r="A3621" s="198" t="s">
        <v>9367</v>
      </c>
      <c r="B3621" s="198" t="s">
        <v>9385</v>
      </c>
      <c r="C3621" s="198" t="s">
        <v>23</v>
      </c>
      <c r="D3621" s="198" t="s">
        <v>3475</v>
      </c>
      <c r="E3621" s="198" t="s">
        <v>114</v>
      </c>
      <c r="F3621" s="4" t="s">
        <v>2657</v>
      </c>
      <c r="G3621" s="4" t="s">
        <v>2657</v>
      </c>
      <c r="H3621" s="4" t="s">
        <v>521</v>
      </c>
      <c r="I3621" s="198"/>
      <c r="J3621" s="71" t="s">
        <v>2272</v>
      </c>
      <c r="K3621" s="71" t="s">
        <v>2272</v>
      </c>
      <c r="L3621" s="71" t="s">
        <v>2272</v>
      </c>
      <c r="M3621" s="71" t="s">
        <v>2272</v>
      </c>
      <c r="N3621" s="71" t="s">
        <v>2272</v>
      </c>
      <c r="O3621" s="71" t="s">
        <v>2272</v>
      </c>
      <c r="P3621" s="71" t="s">
        <v>2272</v>
      </c>
      <c r="Q3621" s="71" t="s">
        <v>2272</v>
      </c>
      <c r="R3621" s="71" t="s">
        <v>2272</v>
      </c>
      <c r="S3621" s="71" t="s">
        <v>2272</v>
      </c>
      <c r="T3621" s="71" t="s">
        <v>2272</v>
      </c>
      <c r="U3621" s="71" t="s">
        <v>2272</v>
      </c>
      <c r="V3621" s="71" t="s">
        <v>2272</v>
      </c>
      <c r="W3621" s="71" t="s">
        <v>2272</v>
      </c>
      <c r="X3621" s="71" t="s">
        <v>2272</v>
      </c>
      <c r="Y3621" s="71" t="s">
        <v>2272</v>
      </c>
      <c r="Z3621" s="71" t="s">
        <v>2272</v>
      </c>
      <c r="AA3621" s="71" t="s">
        <v>2272</v>
      </c>
      <c r="AB3621" s="71" t="s">
        <v>2272</v>
      </c>
      <c r="AC3621" s="71" t="s">
        <v>2272</v>
      </c>
      <c r="AD3621" s="198"/>
      <c r="AE3621" s="198"/>
    </row>
    <row r="3622" spans="1:31" ht="49" customHeight="1">
      <c r="A3622" s="198" t="s">
        <v>9367</v>
      </c>
      <c r="B3622" s="198" t="s">
        <v>9386</v>
      </c>
      <c r="C3622" s="198" t="s">
        <v>30</v>
      </c>
      <c r="D3622" s="198" t="s">
        <v>2272</v>
      </c>
      <c r="E3622" s="198" t="s">
        <v>2272</v>
      </c>
      <c r="F3622" s="4" t="s">
        <v>2657</v>
      </c>
      <c r="G3622" s="4" t="s">
        <v>2657</v>
      </c>
      <c r="H3622" s="4" t="s">
        <v>521</v>
      </c>
      <c r="I3622" s="198"/>
      <c r="J3622" s="71" t="s">
        <v>2272</v>
      </c>
      <c r="K3622" s="71" t="s">
        <v>2272</v>
      </c>
      <c r="L3622" s="71" t="s">
        <v>2272</v>
      </c>
      <c r="M3622" s="71" t="s">
        <v>2272</v>
      </c>
      <c r="N3622" s="71" t="s">
        <v>2272</v>
      </c>
      <c r="O3622" s="71" t="s">
        <v>2272</v>
      </c>
      <c r="P3622" s="71" t="s">
        <v>2272</v>
      </c>
      <c r="Q3622" s="71" t="s">
        <v>2272</v>
      </c>
      <c r="R3622" s="71" t="s">
        <v>2272</v>
      </c>
      <c r="S3622" s="71" t="s">
        <v>2272</v>
      </c>
      <c r="T3622" s="71" t="s">
        <v>2272</v>
      </c>
      <c r="U3622" s="71" t="s">
        <v>2272</v>
      </c>
      <c r="V3622" s="71" t="s">
        <v>2272</v>
      </c>
      <c r="W3622" s="71" t="s">
        <v>2272</v>
      </c>
      <c r="X3622" s="71" t="s">
        <v>2272</v>
      </c>
      <c r="Y3622" s="71" t="s">
        <v>2272</v>
      </c>
      <c r="Z3622" s="71" t="s">
        <v>2272</v>
      </c>
      <c r="AA3622" s="71" t="s">
        <v>2272</v>
      </c>
      <c r="AB3622" s="71" t="s">
        <v>2272</v>
      </c>
      <c r="AC3622" s="71" t="s">
        <v>2272</v>
      </c>
      <c r="AD3622" s="198"/>
      <c r="AE3622" s="198"/>
    </row>
    <row r="3623" spans="1:31" ht="50" customHeight="1">
      <c r="A3623" s="198" t="s">
        <v>9367</v>
      </c>
      <c r="B3623" s="198" t="s">
        <v>9387</v>
      </c>
      <c r="C3623" s="198" t="s">
        <v>23</v>
      </c>
      <c r="D3623" s="198" t="s">
        <v>3471</v>
      </c>
      <c r="E3623" s="198" t="s">
        <v>860</v>
      </c>
      <c r="F3623" s="4" t="s">
        <v>2657</v>
      </c>
      <c r="G3623" s="4" t="s">
        <v>2657</v>
      </c>
      <c r="H3623" s="4" t="s">
        <v>521</v>
      </c>
      <c r="I3623" s="198"/>
      <c r="J3623" s="71" t="s">
        <v>2272</v>
      </c>
      <c r="K3623" s="71" t="s">
        <v>2272</v>
      </c>
      <c r="L3623" s="71" t="s">
        <v>2272</v>
      </c>
      <c r="M3623" s="71" t="s">
        <v>2272</v>
      </c>
      <c r="N3623" s="71" t="s">
        <v>2272</v>
      </c>
      <c r="O3623" s="71" t="s">
        <v>2272</v>
      </c>
      <c r="P3623" s="71" t="s">
        <v>2272</v>
      </c>
      <c r="Q3623" s="71" t="s">
        <v>2272</v>
      </c>
      <c r="R3623" s="71" t="s">
        <v>2272</v>
      </c>
      <c r="S3623" s="71" t="s">
        <v>2272</v>
      </c>
      <c r="T3623" s="71" t="s">
        <v>2272</v>
      </c>
      <c r="U3623" s="71" t="s">
        <v>2272</v>
      </c>
      <c r="V3623" s="71" t="s">
        <v>2272</v>
      </c>
      <c r="W3623" s="71" t="s">
        <v>2272</v>
      </c>
      <c r="X3623" s="71" t="s">
        <v>2272</v>
      </c>
      <c r="Y3623" s="71" t="s">
        <v>2272</v>
      </c>
      <c r="Z3623" s="71" t="s">
        <v>2272</v>
      </c>
      <c r="AA3623" s="71" t="s">
        <v>2272</v>
      </c>
      <c r="AB3623" s="71" t="s">
        <v>2272</v>
      </c>
      <c r="AC3623" s="71" t="s">
        <v>2272</v>
      </c>
      <c r="AD3623" s="198"/>
      <c r="AE3623" s="198"/>
    </row>
    <row r="3624" spans="1:31" ht="46.5" customHeight="1">
      <c r="A3624" s="198" t="s">
        <v>9390</v>
      </c>
      <c r="B3624" s="198" t="s">
        <v>9392</v>
      </c>
      <c r="C3624" s="198" t="s">
        <v>23</v>
      </c>
      <c r="D3624" s="198" t="s">
        <v>141</v>
      </c>
      <c r="E3624" s="198" t="s">
        <v>82</v>
      </c>
      <c r="F3624" s="4" t="s">
        <v>2272</v>
      </c>
      <c r="G3624" s="4" t="s">
        <v>27</v>
      </c>
      <c r="H3624" s="4" t="s">
        <v>521</v>
      </c>
      <c r="I3624" s="198">
        <v>1997</v>
      </c>
      <c r="J3624" s="21">
        <f>AVERAGE(0.22, 0.31)</f>
        <v>0.26500000000000001</v>
      </c>
      <c r="K3624" s="21">
        <f>0.34*K3628</f>
        <v>9.0902777777777777E-2</v>
      </c>
      <c r="L3624" s="71" t="s">
        <v>2272</v>
      </c>
      <c r="M3624" s="71" t="s">
        <v>2272</v>
      </c>
      <c r="N3624" s="71" t="s">
        <v>2272</v>
      </c>
      <c r="O3624" s="71" t="s">
        <v>2272</v>
      </c>
      <c r="P3624" s="71" t="s">
        <v>2272</v>
      </c>
      <c r="Q3624" s="71" t="s">
        <v>2272</v>
      </c>
      <c r="R3624" s="71" t="s">
        <v>2272</v>
      </c>
      <c r="S3624" s="71" t="s">
        <v>2272</v>
      </c>
      <c r="T3624" s="71" t="s">
        <v>2272</v>
      </c>
      <c r="U3624" s="71" t="s">
        <v>2272</v>
      </c>
      <c r="V3624" s="71" t="s">
        <v>2272</v>
      </c>
      <c r="W3624" s="71" t="s">
        <v>2272</v>
      </c>
      <c r="X3624" s="71" t="s">
        <v>2272</v>
      </c>
      <c r="Y3624" s="71" t="s">
        <v>2272</v>
      </c>
      <c r="Z3624" s="71" t="s">
        <v>2272</v>
      </c>
      <c r="AA3624" s="71" t="s">
        <v>2272</v>
      </c>
      <c r="AB3624" s="71" t="s">
        <v>2272</v>
      </c>
      <c r="AC3624" s="71" t="s">
        <v>2272</v>
      </c>
      <c r="AD3624" s="198"/>
      <c r="AE3624" s="198"/>
    </row>
    <row r="3625" spans="1:31" ht="46.5" customHeight="1">
      <c r="A3625" s="198" t="s">
        <v>9390</v>
      </c>
      <c r="B3625" s="198" t="s">
        <v>9393</v>
      </c>
      <c r="C3625" s="198" t="s">
        <v>23</v>
      </c>
      <c r="D3625" s="198" t="s">
        <v>141</v>
      </c>
      <c r="E3625" s="198" t="s">
        <v>2644</v>
      </c>
      <c r="F3625" s="4" t="s">
        <v>2272</v>
      </c>
      <c r="G3625" s="4" t="s">
        <v>27</v>
      </c>
      <c r="H3625" s="4" t="s">
        <v>521</v>
      </c>
      <c r="I3625" s="198">
        <v>1997</v>
      </c>
      <c r="J3625" s="21">
        <f>AVERAGE(0.22, 0.31)</f>
        <v>0.26500000000000001</v>
      </c>
      <c r="K3625" s="71" t="s">
        <v>2272</v>
      </c>
      <c r="L3625" s="71" t="s">
        <v>2272</v>
      </c>
      <c r="M3625" s="71" t="s">
        <v>2272</v>
      </c>
      <c r="N3625" s="71" t="s">
        <v>2272</v>
      </c>
      <c r="O3625" s="71" t="s">
        <v>2272</v>
      </c>
      <c r="P3625" s="71" t="s">
        <v>2272</v>
      </c>
      <c r="Q3625" s="71" t="s">
        <v>2272</v>
      </c>
      <c r="R3625" s="71" t="s">
        <v>2272</v>
      </c>
      <c r="S3625" s="71" t="s">
        <v>2272</v>
      </c>
      <c r="T3625" s="71" t="s">
        <v>2272</v>
      </c>
      <c r="U3625" s="71" t="s">
        <v>2272</v>
      </c>
      <c r="V3625" s="71" t="s">
        <v>2272</v>
      </c>
      <c r="W3625" s="71" t="s">
        <v>2272</v>
      </c>
      <c r="X3625" s="71" t="s">
        <v>2272</v>
      </c>
      <c r="Y3625" s="71" t="s">
        <v>2272</v>
      </c>
      <c r="Z3625" s="71" t="s">
        <v>2272</v>
      </c>
      <c r="AA3625" s="71" t="s">
        <v>2272</v>
      </c>
      <c r="AB3625" s="71" t="s">
        <v>2272</v>
      </c>
      <c r="AC3625" s="71" t="s">
        <v>2272</v>
      </c>
      <c r="AD3625" s="198"/>
      <c r="AE3625" s="198"/>
    </row>
    <row r="3626" spans="1:31" ht="51" customHeight="1">
      <c r="A3626" s="198" t="s">
        <v>9390</v>
      </c>
      <c r="B3626" s="198" t="s">
        <v>9394</v>
      </c>
      <c r="C3626" s="198" t="s">
        <v>23</v>
      </c>
      <c r="D3626" s="198" t="s">
        <v>2272</v>
      </c>
      <c r="E3626" s="4" t="s">
        <v>3849</v>
      </c>
      <c r="F3626" s="4" t="s">
        <v>2272</v>
      </c>
      <c r="G3626" s="4" t="s">
        <v>2657</v>
      </c>
      <c r="H3626" s="4" t="s">
        <v>521</v>
      </c>
      <c r="I3626" s="198">
        <v>1997</v>
      </c>
      <c r="J3626" s="21">
        <v>0.51</v>
      </c>
      <c r="K3626" s="21">
        <f>K3628*0.2</f>
        <v>5.3472222222222227E-2</v>
      </c>
      <c r="L3626" s="71" t="s">
        <v>2272</v>
      </c>
      <c r="M3626" s="71" t="s">
        <v>2272</v>
      </c>
      <c r="N3626" s="71" t="s">
        <v>2272</v>
      </c>
      <c r="O3626" s="71" t="s">
        <v>2272</v>
      </c>
      <c r="P3626" s="71" t="s">
        <v>2272</v>
      </c>
      <c r="Q3626" s="71" t="s">
        <v>2272</v>
      </c>
      <c r="R3626" s="71" t="s">
        <v>2272</v>
      </c>
      <c r="S3626" s="71" t="s">
        <v>2272</v>
      </c>
      <c r="T3626" s="71" t="s">
        <v>2272</v>
      </c>
      <c r="U3626" s="71" t="s">
        <v>2272</v>
      </c>
      <c r="V3626" s="71" t="s">
        <v>2272</v>
      </c>
      <c r="W3626" s="71" t="s">
        <v>2272</v>
      </c>
      <c r="X3626" s="71" t="s">
        <v>2272</v>
      </c>
      <c r="Y3626" s="71" t="s">
        <v>2272</v>
      </c>
      <c r="Z3626" s="71" t="s">
        <v>2272</v>
      </c>
      <c r="AA3626" s="71" t="s">
        <v>2272</v>
      </c>
      <c r="AB3626" s="71" t="s">
        <v>2272</v>
      </c>
      <c r="AC3626" s="71" t="s">
        <v>2272</v>
      </c>
      <c r="AD3626" s="198"/>
      <c r="AE3626" s="198"/>
    </row>
    <row r="3627" spans="1:31" ht="46.5" customHeight="1">
      <c r="A3627" s="198" t="s">
        <v>9390</v>
      </c>
      <c r="B3627" s="198" t="s">
        <v>9395</v>
      </c>
      <c r="C3627" s="198" t="s">
        <v>23</v>
      </c>
      <c r="D3627" s="198" t="s">
        <v>2272</v>
      </c>
      <c r="E3627" s="4" t="s">
        <v>128</v>
      </c>
      <c r="F3627" s="4" t="s">
        <v>2272</v>
      </c>
      <c r="G3627" s="4" t="s">
        <v>2657</v>
      </c>
      <c r="H3627" s="4" t="s">
        <v>521</v>
      </c>
      <c r="I3627" s="198">
        <v>1997</v>
      </c>
      <c r="J3627" s="21">
        <v>0.25</v>
      </c>
      <c r="K3627" s="71" t="s">
        <v>2272</v>
      </c>
      <c r="L3627" s="71" t="s">
        <v>2272</v>
      </c>
      <c r="M3627" s="71" t="s">
        <v>2272</v>
      </c>
      <c r="N3627" s="71" t="s">
        <v>2272</v>
      </c>
      <c r="O3627" s="71" t="s">
        <v>2272</v>
      </c>
      <c r="P3627" s="71" t="s">
        <v>2272</v>
      </c>
      <c r="Q3627" s="71" t="s">
        <v>2272</v>
      </c>
      <c r="R3627" s="71" t="s">
        <v>2272</v>
      </c>
      <c r="S3627" s="71" t="s">
        <v>2272</v>
      </c>
      <c r="T3627" s="71" t="s">
        <v>2272</v>
      </c>
      <c r="U3627" s="71" t="s">
        <v>2272</v>
      </c>
      <c r="V3627" s="71" t="s">
        <v>2272</v>
      </c>
      <c r="W3627" s="71" t="s">
        <v>2272</v>
      </c>
      <c r="X3627" s="71" t="s">
        <v>2272</v>
      </c>
      <c r="Y3627" s="71" t="s">
        <v>2272</v>
      </c>
      <c r="Z3627" s="71" t="s">
        <v>2272</v>
      </c>
      <c r="AA3627" s="71" t="s">
        <v>2272</v>
      </c>
      <c r="AB3627" s="71" t="s">
        <v>2272</v>
      </c>
      <c r="AC3627" s="71" t="s">
        <v>2272</v>
      </c>
      <c r="AD3627" s="198"/>
      <c r="AE3627" s="198"/>
    </row>
    <row r="3628" spans="1:31" ht="46.5" customHeight="1">
      <c r="A3628" s="198" t="s">
        <v>9390</v>
      </c>
      <c r="B3628" s="198" t="s">
        <v>9396</v>
      </c>
      <c r="C3628" s="198" t="s">
        <v>1102</v>
      </c>
      <c r="D3628" s="198" t="s">
        <v>2272</v>
      </c>
      <c r="E3628" s="198" t="s">
        <v>2272</v>
      </c>
      <c r="F3628" s="198" t="s">
        <v>2272</v>
      </c>
      <c r="G3628" s="198" t="s">
        <v>2272</v>
      </c>
      <c r="H3628" s="4" t="s">
        <v>521</v>
      </c>
      <c r="I3628" s="35">
        <v>1997</v>
      </c>
      <c r="J3628" s="71" t="s">
        <v>2272</v>
      </c>
      <c r="K3628" s="21">
        <f>462/1728</f>
        <v>0.2673611111111111</v>
      </c>
      <c r="L3628" s="71" t="s">
        <v>2272</v>
      </c>
      <c r="M3628" s="71" t="s">
        <v>2272</v>
      </c>
      <c r="N3628" s="71" t="s">
        <v>2272</v>
      </c>
      <c r="O3628" s="71" t="s">
        <v>2272</v>
      </c>
      <c r="P3628" s="71" t="s">
        <v>2272</v>
      </c>
      <c r="Q3628" s="71" t="s">
        <v>2272</v>
      </c>
      <c r="R3628" s="71" t="s">
        <v>2272</v>
      </c>
      <c r="S3628" s="71" t="s">
        <v>2272</v>
      </c>
      <c r="T3628" s="71" t="s">
        <v>2272</v>
      </c>
      <c r="U3628" s="71" t="s">
        <v>2272</v>
      </c>
      <c r="V3628" s="71" t="s">
        <v>2272</v>
      </c>
      <c r="W3628" s="71" t="s">
        <v>2272</v>
      </c>
      <c r="X3628" s="71" t="s">
        <v>2272</v>
      </c>
      <c r="Y3628" s="71" t="s">
        <v>2272</v>
      </c>
      <c r="Z3628" s="71" t="s">
        <v>2272</v>
      </c>
      <c r="AA3628" s="71" t="s">
        <v>2272</v>
      </c>
      <c r="AB3628" s="71" t="s">
        <v>2272</v>
      </c>
      <c r="AC3628" s="71" t="s">
        <v>2272</v>
      </c>
      <c r="AD3628" s="35"/>
      <c r="AE3628" s="35"/>
    </row>
    <row r="3629" spans="1:31" ht="46.5" customHeight="1">
      <c r="A3629" s="198" t="s">
        <v>9390</v>
      </c>
      <c r="B3629" s="198" t="s">
        <v>9397</v>
      </c>
      <c r="C3629" s="198" t="s">
        <v>1102</v>
      </c>
      <c r="D3629" s="198" t="s">
        <v>2342</v>
      </c>
      <c r="E3629" s="198" t="s">
        <v>128</v>
      </c>
      <c r="F3629" s="198" t="s">
        <v>2272</v>
      </c>
      <c r="G3629" s="4" t="s">
        <v>27</v>
      </c>
      <c r="H3629" s="4" t="s">
        <v>521</v>
      </c>
      <c r="I3629" s="198"/>
      <c r="J3629" s="71" t="s">
        <v>2272</v>
      </c>
      <c r="K3629" s="71" t="s">
        <v>2272</v>
      </c>
      <c r="L3629" s="71" t="s">
        <v>2272</v>
      </c>
      <c r="M3629" s="71" t="s">
        <v>2272</v>
      </c>
      <c r="N3629" s="71" t="s">
        <v>2272</v>
      </c>
      <c r="O3629" s="71" t="s">
        <v>2272</v>
      </c>
      <c r="P3629" s="71" t="s">
        <v>2272</v>
      </c>
      <c r="Q3629" s="71" t="s">
        <v>2272</v>
      </c>
      <c r="R3629" s="71" t="s">
        <v>2272</v>
      </c>
      <c r="S3629" s="71" t="s">
        <v>2272</v>
      </c>
      <c r="T3629" s="71" t="s">
        <v>2272</v>
      </c>
      <c r="U3629" s="71" t="s">
        <v>2272</v>
      </c>
      <c r="V3629" s="71" t="s">
        <v>2272</v>
      </c>
      <c r="W3629" s="71" t="s">
        <v>2272</v>
      </c>
      <c r="X3629" s="71" t="s">
        <v>2272</v>
      </c>
      <c r="Y3629" s="71" t="s">
        <v>2272</v>
      </c>
      <c r="Z3629" s="71" t="s">
        <v>2272</v>
      </c>
      <c r="AA3629" s="71" t="s">
        <v>2272</v>
      </c>
      <c r="AB3629" s="71" t="s">
        <v>2272</v>
      </c>
      <c r="AC3629" s="71" t="s">
        <v>2272</v>
      </c>
      <c r="AD3629" s="198"/>
      <c r="AE3629" s="198"/>
    </row>
    <row r="3630" spans="1:31" ht="46.5" customHeight="1">
      <c r="A3630" s="198" t="s">
        <v>9390</v>
      </c>
      <c r="B3630" s="198" t="s">
        <v>9398</v>
      </c>
      <c r="C3630" s="198" t="s">
        <v>1102</v>
      </c>
      <c r="D3630" s="198" t="s">
        <v>2342</v>
      </c>
      <c r="E3630" s="198" t="s">
        <v>128</v>
      </c>
      <c r="F3630" s="198" t="s">
        <v>2272</v>
      </c>
      <c r="G3630" s="4" t="s">
        <v>2658</v>
      </c>
      <c r="H3630" s="4" t="s">
        <v>521</v>
      </c>
      <c r="I3630" s="198"/>
      <c r="J3630" s="71" t="s">
        <v>2272</v>
      </c>
      <c r="K3630" s="71" t="s">
        <v>2272</v>
      </c>
      <c r="L3630" s="71" t="s">
        <v>2272</v>
      </c>
      <c r="M3630" s="71" t="s">
        <v>2272</v>
      </c>
      <c r="N3630" s="71" t="s">
        <v>2272</v>
      </c>
      <c r="O3630" s="71" t="s">
        <v>2272</v>
      </c>
      <c r="P3630" s="71" t="s">
        <v>2272</v>
      </c>
      <c r="Q3630" s="71" t="s">
        <v>2272</v>
      </c>
      <c r="R3630" s="71" t="s">
        <v>2272</v>
      </c>
      <c r="S3630" s="71" t="s">
        <v>2272</v>
      </c>
      <c r="T3630" s="71" t="s">
        <v>2272</v>
      </c>
      <c r="U3630" s="71" t="s">
        <v>2272</v>
      </c>
      <c r="V3630" s="71" t="s">
        <v>2272</v>
      </c>
      <c r="W3630" s="71" t="s">
        <v>2272</v>
      </c>
      <c r="X3630" s="71" t="s">
        <v>2272</v>
      </c>
      <c r="Y3630" s="71" t="s">
        <v>2272</v>
      </c>
      <c r="Z3630" s="71" t="s">
        <v>2272</v>
      </c>
      <c r="AA3630" s="71" t="s">
        <v>2272</v>
      </c>
      <c r="AB3630" s="71" t="s">
        <v>2272</v>
      </c>
      <c r="AC3630" s="71" t="s">
        <v>2272</v>
      </c>
      <c r="AD3630" s="198"/>
      <c r="AE3630" s="198"/>
    </row>
    <row r="3631" spans="1:31" ht="52.5" customHeight="1">
      <c r="A3631" s="198" t="s">
        <v>9390</v>
      </c>
      <c r="B3631" s="198" t="s">
        <v>9403</v>
      </c>
      <c r="C3631" s="198" t="s">
        <v>1102</v>
      </c>
      <c r="D3631" s="198" t="s">
        <v>2342</v>
      </c>
      <c r="E3631" s="198" t="s">
        <v>82</v>
      </c>
      <c r="F3631" s="198" t="s">
        <v>2272</v>
      </c>
      <c r="G3631" s="4" t="s">
        <v>2657</v>
      </c>
      <c r="H3631" s="4" t="s">
        <v>521</v>
      </c>
      <c r="I3631" s="198"/>
      <c r="J3631" s="71" t="s">
        <v>2272</v>
      </c>
      <c r="K3631" s="71" t="s">
        <v>2272</v>
      </c>
      <c r="L3631" s="71" t="s">
        <v>2272</v>
      </c>
      <c r="M3631" s="71" t="s">
        <v>2272</v>
      </c>
      <c r="N3631" s="71" t="s">
        <v>2272</v>
      </c>
      <c r="O3631" s="71" t="s">
        <v>2272</v>
      </c>
      <c r="P3631" s="71" t="s">
        <v>2272</v>
      </c>
      <c r="Q3631" s="71" t="s">
        <v>2272</v>
      </c>
      <c r="R3631" s="71" t="s">
        <v>2272</v>
      </c>
      <c r="S3631" s="71" t="s">
        <v>2272</v>
      </c>
      <c r="T3631" s="71" t="s">
        <v>2272</v>
      </c>
      <c r="U3631" s="71" t="s">
        <v>2272</v>
      </c>
      <c r="V3631" s="71" t="s">
        <v>2272</v>
      </c>
      <c r="W3631" s="71" t="s">
        <v>2272</v>
      </c>
      <c r="X3631" s="71" t="s">
        <v>2272</v>
      </c>
      <c r="Y3631" s="71" t="s">
        <v>2272</v>
      </c>
      <c r="Z3631" s="71" t="s">
        <v>2272</v>
      </c>
      <c r="AA3631" s="71" t="s">
        <v>2272</v>
      </c>
      <c r="AB3631" s="71" t="s">
        <v>2272</v>
      </c>
      <c r="AC3631" s="71" t="s">
        <v>2272</v>
      </c>
      <c r="AD3631" s="198"/>
      <c r="AE3631" s="198"/>
    </row>
    <row r="3632" spans="1:31" ht="44.5" customHeight="1">
      <c r="A3632" s="198" t="s">
        <v>9399</v>
      </c>
      <c r="B3632" s="198" t="s">
        <v>9401</v>
      </c>
      <c r="C3632" s="198" t="s">
        <v>1102</v>
      </c>
      <c r="D3632" s="198" t="s">
        <v>2272</v>
      </c>
      <c r="E3632" s="198" t="s">
        <v>2272</v>
      </c>
      <c r="F3632" s="198" t="s">
        <v>2272</v>
      </c>
      <c r="G3632" s="198" t="s">
        <v>2272</v>
      </c>
      <c r="H3632" s="4" t="s">
        <v>521</v>
      </c>
      <c r="I3632" s="198">
        <v>1997</v>
      </c>
      <c r="J3632" s="71" t="s">
        <v>2272</v>
      </c>
      <c r="K3632" s="21">
        <f>5870/'Record info'!$K1484</f>
        <v>6.7452656738371031E-2</v>
      </c>
      <c r="L3632" s="71" t="s">
        <v>2272</v>
      </c>
      <c r="M3632" s="71" t="s">
        <v>2272</v>
      </c>
      <c r="N3632" s="71" t="s">
        <v>2272</v>
      </c>
      <c r="O3632" s="71" t="s">
        <v>2272</v>
      </c>
      <c r="P3632" s="71" t="s">
        <v>2272</v>
      </c>
      <c r="Q3632" s="71" t="s">
        <v>2272</v>
      </c>
      <c r="R3632" s="71" t="s">
        <v>2272</v>
      </c>
      <c r="S3632" s="71" t="s">
        <v>2272</v>
      </c>
      <c r="T3632" s="71" t="s">
        <v>2272</v>
      </c>
      <c r="U3632" s="71" t="s">
        <v>2272</v>
      </c>
      <c r="V3632" s="71" t="s">
        <v>2272</v>
      </c>
      <c r="W3632" s="71" t="s">
        <v>2272</v>
      </c>
      <c r="X3632" s="71" t="s">
        <v>2272</v>
      </c>
      <c r="Y3632" s="71" t="s">
        <v>2272</v>
      </c>
      <c r="Z3632" s="71" t="s">
        <v>2272</v>
      </c>
      <c r="AA3632" s="71" t="s">
        <v>2272</v>
      </c>
      <c r="AB3632" s="71" t="s">
        <v>2272</v>
      </c>
      <c r="AC3632" s="71" t="s">
        <v>2272</v>
      </c>
      <c r="AD3632" s="198"/>
      <c r="AE3632" s="198"/>
    </row>
    <row r="3633" spans="1:31" ht="44.5" customHeight="1">
      <c r="A3633" s="198" t="s">
        <v>9411</v>
      </c>
      <c r="B3633" s="198" t="s">
        <v>9423</v>
      </c>
      <c r="C3633" s="198" t="s">
        <v>23</v>
      </c>
      <c r="D3633" s="198" t="s">
        <v>26</v>
      </c>
      <c r="E3633" s="198" t="s">
        <v>128</v>
      </c>
      <c r="F3633" s="198" t="s">
        <v>158</v>
      </c>
      <c r="G3633" s="198" t="s">
        <v>158</v>
      </c>
      <c r="H3633" s="4" t="s">
        <v>521</v>
      </c>
      <c r="I3633" s="198"/>
      <c r="J3633" s="71" t="s">
        <v>2272</v>
      </c>
      <c r="K3633" s="71" t="s">
        <v>2272</v>
      </c>
      <c r="L3633" s="71" t="s">
        <v>2272</v>
      </c>
      <c r="M3633" s="71" t="s">
        <v>2272</v>
      </c>
      <c r="N3633" s="71" t="s">
        <v>2272</v>
      </c>
      <c r="O3633" s="71" t="s">
        <v>2272</v>
      </c>
      <c r="P3633" s="71" t="s">
        <v>2272</v>
      </c>
      <c r="Q3633" s="71" t="s">
        <v>2272</v>
      </c>
      <c r="R3633" s="71" t="s">
        <v>2272</v>
      </c>
      <c r="S3633" s="71" t="s">
        <v>2272</v>
      </c>
      <c r="T3633" s="71" t="s">
        <v>2272</v>
      </c>
      <c r="U3633" s="71" t="s">
        <v>2272</v>
      </c>
      <c r="V3633" s="71" t="s">
        <v>2272</v>
      </c>
      <c r="W3633" s="71" t="s">
        <v>2272</v>
      </c>
      <c r="X3633" s="71" t="s">
        <v>2272</v>
      </c>
      <c r="Y3633" s="71" t="s">
        <v>2272</v>
      </c>
      <c r="Z3633" s="21">
        <v>11.8</v>
      </c>
      <c r="AA3633" s="71" t="s">
        <v>2272</v>
      </c>
      <c r="AB3633" s="71" t="s">
        <v>2272</v>
      </c>
      <c r="AC3633" s="71" t="s">
        <v>2272</v>
      </c>
      <c r="AD3633" s="198"/>
      <c r="AE3633" s="198"/>
    </row>
    <row r="3634" spans="1:31" ht="44.5" customHeight="1">
      <c r="A3634" s="198" t="s">
        <v>9417</v>
      </c>
      <c r="B3634" s="198" t="s">
        <v>9424</v>
      </c>
      <c r="C3634" s="198" t="s">
        <v>23</v>
      </c>
      <c r="D3634" s="198" t="s">
        <v>26</v>
      </c>
      <c r="E3634" s="198" t="s">
        <v>128</v>
      </c>
      <c r="F3634" s="198" t="s">
        <v>158</v>
      </c>
      <c r="G3634" s="198" t="s">
        <v>158</v>
      </c>
      <c r="H3634" s="4" t="s">
        <v>521</v>
      </c>
      <c r="I3634" s="198"/>
      <c r="J3634" s="71" t="s">
        <v>2272</v>
      </c>
      <c r="K3634" s="71" t="s">
        <v>2272</v>
      </c>
      <c r="L3634" s="71" t="s">
        <v>2272</v>
      </c>
      <c r="M3634" s="71" t="s">
        <v>2272</v>
      </c>
      <c r="N3634" s="71" t="s">
        <v>2272</v>
      </c>
      <c r="O3634" s="71" t="s">
        <v>2272</v>
      </c>
      <c r="P3634" s="71" t="s">
        <v>2272</v>
      </c>
      <c r="Q3634" s="71" t="s">
        <v>2272</v>
      </c>
      <c r="R3634" s="71" t="s">
        <v>2272</v>
      </c>
      <c r="S3634" s="71" t="s">
        <v>2272</v>
      </c>
      <c r="T3634" s="71" t="s">
        <v>2272</v>
      </c>
      <c r="U3634" s="71" t="s">
        <v>2272</v>
      </c>
      <c r="V3634" s="71" t="s">
        <v>2272</v>
      </c>
      <c r="W3634" s="71" t="s">
        <v>2272</v>
      </c>
      <c r="X3634" s="71" t="s">
        <v>2272</v>
      </c>
      <c r="Y3634" s="71" t="s">
        <v>2272</v>
      </c>
      <c r="Z3634" s="21">
        <v>11.8</v>
      </c>
      <c r="AA3634" s="71" t="s">
        <v>2272</v>
      </c>
      <c r="AB3634" s="71" t="s">
        <v>2272</v>
      </c>
      <c r="AC3634" s="71" t="s">
        <v>2272</v>
      </c>
      <c r="AD3634" s="198"/>
      <c r="AE3634" s="198"/>
    </row>
    <row r="3635" spans="1:31" ht="44.5" customHeight="1">
      <c r="A3635" s="198" t="s">
        <v>9418</v>
      </c>
      <c r="B3635" s="198" t="s">
        <v>9425</v>
      </c>
      <c r="C3635" s="198" t="s">
        <v>23</v>
      </c>
      <c r="D3635" s="198" t="s">
        <v>26</v>
      </c>
      <c r="E3635" s="198" t="s">
        <v>128</v>
      </c>
      <c r="F3635" s="198" t="s">
        <v>158</v>
      </c>
      <c r="G3635" s="198" t="s">
        <v>158</v>
      </c>
      <c r="H3635" s="4" t="s">
        <v>521</v>
      </c>
      <c r="I3635" s="198"/>
      <c r="J3635" s="71" t="s">
        <v>2272</v>
      </c>
      <c r="K3635" s="71" t="s">
        <v>2272</v>
      </c>
      <c r="L3635" s="71" t="s">
        <v>2272</v>
      </c>
      <c r="M3635" s="71" t="s">
        <v>2272</v>
      </c>
      <c r="N3635" s="71" t="s">
        <v>2272</v>
      </c>
      <c r="O3635" s="71" t="s">
        <v>2272</v>
      </c>
      <c r="P3635" s="71" t="s">
        <v>2272</v>
      </c>
      <c r="Q3635" s="71" t="s">
        <v>2272</v>
      </c>
      <c r="R3635" s="71" t="s">
        <v>2272</v>
      </c>
      <c r="S3635" s="71" t="s">
        <v>2272</v>
      </c>
      <c r="T3635" s="71" t="s">
        <v>2272</v>
      </c>
      <c r="U3635" s="71" t="s">
        <v>2272</v>
      </c>
      <c r="V3635" s="71" t="s">
        <v>2272</v>
      </c>
      <c r="W3635" s="71" t="s">
        <v>2272</v>
      </c>
      <c r="X3635" s="71" t="s">
        <v>2272</v>
      </c>
      <c r="Y3635" s="71" t="s">
        <v>2272</v>
      </c>
      <c r="Z3635" s="21">
        <v>8.8000000000000007</v>
      </c>
      <c r="AA3635" s="71" t="s">
        <v>2272</v>
      </c>
      <c r="AB3635" s="71" t="s">
        <v>2272</v>
      </c>
      <c r="AC3635" s="71" t="s">
        <v>2272</v>
      </c>
      <c r="AD3635" s="198"/>
      <c r="AE3635" s="198"/>
    </row>
    <row r="3636" spans="1:31" ht="44.5" customHeight="1">
      <c r="A3636" s="198" t="s">
        <v>9419</v>
      </c>
      <c r="B3636" s="198" t="s">
        <v>9426</v>
      </c>
      <c r="C3636" s="198" t="s">
        <v>23</v>
      </c>
      <c r="D3636" s="198" t="s">
        <v>26</v>
      </c>
      <c r="E3636" s="198" t="s">
        <v>128</v>
      </c>
      <c r="F3636" s="198" t="s">
        <v>158</v>
      </c>
      <c r="G3636" s="198" t="s">
        <v>158</v>
      </c>
      <c r="H3636" s="4" t="s">
        <v>521</v>
      </c>
      <c r="I3636" s="198"/>
      <c r="J3636" s="71" t="s">
        <v>2272</v>
      </c>
      <c r="K3636" s="71" t="s">
        <v>2272</v>
      </c>
      <c r="L3636" s="71" t="s">
        <v>2272</v>
      </c>
      <c r="M3636" s="71" t="s">
        <v>2272</v>
      </c>
      <c r="N3636" s="71" t="s">
        <v>2272</v>
      </c>
      <c r="O3636" s="71" t="s">
        <v>2272</v>
      </c>
      <c r="P3636" s="71" t="s">
        <v>2272</v>
      </c>
      <c r="Q3636" s="71" t="s">
        <v>2272</v>
      </c>
      <c r="R3636" s="71" t="s">
        <v>2272</v>
      </c>
      <c r="S3636" s="71" t="s">
        <v>2272</v>
      </c>
      <c r="T3636" s="71" t="s">
        <v>2272</v>
      </c>
      <c r="U3636" s="71" t="s">
        <v>2272</v>
      </c>
      <c r="V3636" s="71" t="s">
        <v>2272</v>
      </c>
      <c r="W3636" s="71" t="s">
        <v>2272</v>
      </c>
      <c r="X3636" s="71" t="s">
        <v>2272</v>
      </c>
      <c r="Y3636" s="71" t="s">
        <v>2272</v>
      </c>
      <c r="Z3636" s="21">
        <v>9.5</v>
      </c>
      <c r="AA3636" s="71" t="s">
        <v>2272</v>
      </c>
      <c r="AB3636" s="71" t="s">
        <v>2272</v>
      </c>
      <c r="AC3636" s="71" t="s">
        <v>2272</v>
      </c>
      <c r="AD3636" s="198"/>
      <c r="AE3636" s="198"/>
    </row>
    <row r="3637" spans="1:31" ht="49" customHeight="1">
      <c r="A3637" s="198" t="s">
        <v>9416</v>
      </c>
      <c r="B3637" s="198" t="s">
        <v>9427</v>
      </c>
      <c r="C3637" s="198" t="s">
        <v>23</v>
      </c>
      <c r="D3637" s="198" t="s">
        <v>26</v>
      </c>
      <c r="E3637" s="198" t="s">
        <v>128</v>
      </c>
      <c r="F3637" s="198" t="s">
        <v>158</v>
      </c>
      <c r="G3637" s="198" t="s">
        <v>158</v>
      </c>
      <c r="H3637" s="4" t="s">
        <v>521</v>
      </c>
      <c r="I3637" s="198"/>
      <c r="J3637" s="71" t="s">
        <v>2272</v>
      </c>
      <c r="K3637" s="71" t="s">
        <v>2272</v>
      </c>
      <c r="L3637" s="71" t="s">
        <v>2272</v>
      </c>
      <c r="M3637" s="71" t="s">
        <v>2272</v>
      </c>
      <c r="N3637" s="71" t="s">
        <v>2272</v>
      </c>
      <c r="O3637" s="71" t="s">
        <v>2272</v>
      </c>
      <c r="P3637" s="71" t="s">
        <v>2272</v>
      </c>
      <c r="Q3637" s="71" t="s">
        <v>2272</v>
      </c>
      <c r="R3637" s="71" t="s">
        <v>2272</v>
      </c>
      <c r="S3637" s="71" t="s">
        <v>2272</v>
      </c>
      <c r="T3637" s="71" t="s">
        <v>2272</v>
      </c>
      <c r="U3637" s="71" t="s">
        <v>2272</v>
      </c>
      <c r="V3637" s="71" t="s">
        <v>2272</v>
      </c>
      <c r="W3637" s="71" t="s">
        <v>2272</v>
      </c>
      <c r="X3637" s="71" t="s">
        <v>2272</v>
      </c>
      <c r="Y3637" s="71" t="s">
        <v>2272</v>
      </c>
      <c r="Z3637" s="21">
        <v>9.5</v>
      </c>
      <c r="AA3637" s="71" t="s">
        <v>2272</v>
      </c>
      <c r="AB3637" s="71" t="s">
        <v>2272</v>
      </c>
      <c r="AC3637" s="71" t="s">
        <v>2272</v>
      </c>
      <c r="AD3637" s="198"/>
      <c r="AE3637" s="198"/>
    </row>
    <row r="3638" spans="1:31" ht="49" customHeight="1">
      <c r="A3638" s="198" t="s">
        <v>9411</v>
      </c>
      <c r="B3638" s="198" t="s">
        <v>9428</v>
      </c>
      <c r="C3638" s="198" t="s">
        <v>23</v>
      </c>
      <c r="D3638" s="198" t="s">
        <v>1102</v>
      </c>
      <c r="E3638" s="4" t="s">
        <v>2646</v>
      </c>
      <c r="F3638" s="4" t="s">
        <v>2658</v>
      </c>
      <c r="G3638" s="4" t="s">
        <v>2658</v>
      </c>
      <c r="H3638" s="4" t="s">
        <v>522</v>
      </c>
      <c r="I3638" s="198"/>
      <c r="J3638" s="21">
        <v>0</v>
      </c>
      <c r="K3638" s="21">
        <v>0</v>
      </c>
      <c r="L3638" s="21">
        <v>0</v>
      </c>
      <c r="M3638" s="21">
        <v>0</v>
      </c>
      <c r="N3638" s="21">
        <v>0</v>
      </c>
      <c r="O3638" s="21">
        <v>0</v>
      </c>
      <c r="P3638" s="21">
        <v>0</v>
      </c>
      <c r="Q3638" s="21">
        <v>0</v>
      </c>
      <c r="R3638" s="21">
        <v>0</v>
      </c>
      <c r="S3638" s="21">
        <v>0</v>
      </c>
      <c r="T3638" s="21">
        <v>0</v>
      </c>
      <c r="U3638" s="21">
        <v>0</v>
      </c>
      <c r="V3638" s="21">
        <v>0</v>
      </c>
      <c r="W3638" s="21">
        <v>0</v>
      </c>
      <c r="X3638" s="21">
        <v>0</v>
      </c>
      <c r="Y3638" s="21">
        <v>0</v>
      </c>
      <c r="Z3638" s="71" t="s">
        <v>2272</v>
      </c>
      <c r="AA3638" s="71" t="s">
        <v>2272</v>
      </c>
      <c r="AB3638" s="71" t="s">
        <v>2272</v>
      </c>
      <c r="AC3638" s="71" t="s">
        <v>2272</v>
      </c>
      <c r="AD3638" s="4" t="s">
        <v>9438</v>
      </c>
      <c r="AE3638" s="198"/>
    </row>
    <row r="3639" spans="1:31" ht="49" customHeight="1">
      <c r="A3639" s="198" t="s">
        <v>9417</v>
      </c>
      <c r="B3639" s="198" t="s">
        <v>9429</v>
      </c>
      <c r="C3639" s="198" t="s">
        <v>23</v>
      </c>
      <c r="D3639" s="198" t="s">
        <v>1102</v>
      </c>
      <c r="E3639" s="4" t="s">
        <v>2646</v>
      </c>
      <c r="F3639" s="4" t="s">
        <v>2658</v>
      </c>
      <c r="G3639" s="4" t="s">
        <v>2658</v>
      </c>
      <c r="H3639" s="4" t="s">
        <v>522</v>
      </c>
      <c r="I3639" s="198"/>
      <c r="J3639" s="21">
        <v>0</v>
      </c>
      <c r="K3639" s="21">
        <v>0</v>
      </c>
      <c r="L3639" s="21">
        <v>0</v>
      </c>
      <c r="M3639" s="21">
        <v>0</v>
      </c>
      <c r="N3639" s="21">
        <v>0</v>
      </c>
      <c r="O3639" s="21">
        <v>0</v>
      </c>
      <c r="P3639" s="21">
        <v>0</v>
      </c>
      <c r="Q3639" s="21">
        <v>0</v>
      </c>
      <c r="R3639" s="21">
        <v>0</v>
      </c>
      <c r="S3639" s="21">
        <v>0</v>
      </c>
      <c r="T3639" s="21">
        <v>0</v>
      </c>
      <c r="U3639" s="21">
        <v>0</v>
      </c>
      <c r="V3639" s="21">
        <v>0</v>
      </c>
      <c r="W3639" s="21">
        <v>0</v>
      </c>
      <c r="X3639" s="21">
        <v>0</v>
      </c>
      <c r="Y3639" s="21">
        <v>0</v>
      </c>
      <c r="Z3639" s="71" t="s">
        <v>2272</v>
      </c>
      <c r="AA3639" s="71" t="s">
        <v>2272</v>
      </c>
      <c r="AB3639" s="71" t="s">
        <v>2272</v>
      </c>
      <c r="AC3639" s="71" t="s">
        <v>2272</v>
      </c>
      <c r="AD3639" s="4" t="s">
        <v>9438</v>
      </c>
      <c r="AE3639" s="198"/>
    </row>
    <row r="3640" spans="1:31" ht="49" customHeight="1">
      <c r="A3640" s="198" t="s">
        <v>9418</v>
      </c>
      <c r="B3640" s="198" t="s">
        <v>9430</v>
      </c>
      <c r="C3640" s="198" t="s">
        <v>23</v>
      </c>
      <c r="D3640" s="198" t="s">
        <v>1102</v>
      </c>
      <c r="E3640" s="4" t="s">
        <v>2646</v>
      </c>
      <c r="F3640" s="4" t="s">
        <v>2658</v>
      </c>
      <c r="G3640" s="4" t="s">
        <v>2658</v>
      </c>
      <c r="H3640" s="4" t="s">
        <v>522</v>
      </c>
      <c r="I3640" s="198"/>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21">
        <v>0</v>
      </c>
      <c r="Z3640" s="71" t="s">
        <v>2272</v>
      </c>
      <c r="AA3640" s="71" t="s">
        <v>2272</v>
      </c>
      <c r="AB3640" s="71" t="s">
        <v>2272</v>
      </c>
      <c r="AC3640" s="71" t="s">
        <v>2272</v>
      </c>
      <c r="AD3640" s="4" t="s">
        <v>9438</v>
      </c>
      <c r="AE3640" s="198"/>
    </row>
    <row r="3641" spans="1:31" ht="49" customHeight="1">
      <c r="A3641" s="198" t="s">
        <v>9419</v>
      </c>
      <c r="B3641" s="198" t="s">
        <v>9431</v>
      </c>
      <c r="C3641" s="198" t="s">
        <v>23</v>
      </c>
      <c r="D3641" s="198" t="s">
        <v>1102</v>
      </c>
      <c r="E3641" s="4" t="s">
        <v>2646</v>
      </c>
      <c r="F3641" s="4" t="s">
        <v>2658</v>
      </c>
      <c r="G3641" s="4" t="s">
        <v>2658</v>
      </c>
      <c r="H3641" s="4" t="s">
        <v>522</v>
      </c>
      <c r="I3641" s="198"/>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21">
        <v>0</v>
      </c>
      <c r="Z3641" s="71" t="s">
        <v>2272</v>
      </c>
      <c r="AA3641" s="71" t="s">
        <v>2272</v>
      </c>
      <c r="AB3641" s="71" t="s">
        <v>2272</v>
      </c>
      <c r="AC3641" s="71" t="s">
        <v>2272</v>
      </c>
      <c r="AD3641" s="4" t="s">
        <v>9438</v>
      </c>
      <c r="AE3641" s="198"/>
    </row>
    <row r="3642" spans="1:31" ht="49" customHeight="1">
      <c r="A3642" s="198" t="s">
        <v>9416</v>
      </c>
      <c r="B3642" s="198" t="s">
        <v>9432</v>
      </c>
      <c r="C3642" s="198" t="s">
        <v>23</v>
      </c>
      <c r="D3642" s="198" t="s">
        <v>1102</v>
      </c>
      <c r="E3642" s="4" t="s">
        <v>2646</v>
      </c>
      <c r="F3642" s="4" t="s">
        <v>2658</v>
      </c>
      <c r="G3642" s="4" t="s">
        <v>2658</v>
      </c>
      <c r="H3642" s="4" t="s">
        <v>522</v>
      </c>
      <c r="I3642" s="198"/>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21">
        <v>0</v>
      </c>
      <c r="Z3642" s="71" t="s">
        <v>2272</v>
      </c>
      <c r="AA3642" s="71" t="s">
        <v>2272</v>
      </c>
      <c r="AB3642" s="71" t="s">
        <v>2272</v>
      </c>
      <c r="AC3642" s="71" t="s">
        <v>2272</v>
      </c>
      <c r="AD3642" s="4" t="s">
        <v>9438</v>
      </c>
      <c r="AE3642" s="198"/>
    </row>
    <row r="3643" spans="1:31" ht="55.5" customHeight="1">
      <c r="A3643" s="198" t="s">
        <v>9411</v>
      </c>
      <c r="B3643" s="198" t="s">
        <v>9433</v>
      </c>
      <c r="C3643" s="198" t="s">
        <v>23</v>
      </c>
      <c r="D3643" s="198" t="s">
        <v>1102</v>
      </c>
      <c r="E3643" s="4" t="s">
        <v>2645</v>
      </c>
      <c r="F3643" s="4" t="s">
        <v>2658</v>
      </c>
      <c r="G3643" s="4" t="s">
        <v>2658</v>
      </c>
      <c r="H3643" s="4" t="s">
        <v>522</v>
      </c>
      <c r="I3643" s="198"/>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21">
        <v>0</v>
      </c>
      <c r="Z3643" s="71" t="s">
        <v>2272</v>
      </c>
      <c r="AA3643" s="71" t="s">
        <v>2272</v>
      </c>
      <c r="AB3643" s="71" t="s">
        <v>2272</v>
      </c>
      <c r="AC3643" s="71" t="s">
        <v>2272</v>
      </c>
      <c r="AD3643" s="4" t="s">
        <v>9438</v>
      </c>
      <c r="AE3643" s="198"/>
    </row>
    <row r="3644" spans="1:31" ht="55.5" customHeight="1">
      <c r="A3644" s="198" t="s">
        <v>9417</v>
      </c>
      <c r="B3644" s="198" t="s">
        <v>9434</v>
      </c>
      <c r="C3644" s="198" t="s">
        <v>23</v>
      </c>
      <c r="D3644" s="198" t="s">
        <v>1102</v>
      </c>
      <c r="E3644" s="4" t="s">
        <v>2645</v>
      </c>
      <c r="F3644" s="4" t="s">
        <v>2658</v>
      </c>
      <c r="G3644" s="4" t="s">
        <v>2658</v>
      </c>
      <c r="H3644" s="4" t="s">
        <v>522</v>
      </c>
      <c r="I3644" s="198"/>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21">
        <v>0</v>
      </c>
      <c r="Z3644" s="71" t="s">
        <v>2272</v>
      </c>
      <c r="AA3644" s="71" t="s">
        <v>2272</v>
      </c>
      <c r="AB3644" s="71" t="s">
        <v>2272</v>
      </c>
      <c r="AC3644" s="71" t="s">
        <v>2272</v>
      </c>
      <c r="AD3644" s="4" t="s">
        <v>9438</v>
      </c>
      <c r="AE3644" s="198"/>
    </row>
    <row r="3645" spans="1:31" ht="55.5" customHeight="1">
      <c r="A3645" s="198" t="s">
        <v>9418</v>
      </c>
      <c r="B3645" s="198" t="s">
        <v>9435</v>
      </c>
      <c r="C3645" s="198" t="s">
        <v>23</v>
      </c>
      <c r="D3645" s="198" t="s">
        <v>1102</v>
      </c>
      <c r="E3645" s="4" t="s">
        <v>2645</v>
      </c>
      <c r="F3645" s="4" t="s">
        <v>2658</v>
      </c>
      <c r="G3645" s="4" t="s">
        <v>2658</v>
      </c>
      <c r="H3645" s="4" t="s">
        <v>522</v>
      </c>
      <c r="I3645" s="198"/>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21">
        <v>0</v>
      </c>
      <c r="Z3645" s="71" t="s">
        <v>2272</v>
      </c>
      <c r="AA3645" s="71" t="s">
        <v>2272</v>
      </c>
      <c r="AB3645" s="71" t="s">
        <v>2272</v>
      </c>
      <c r="AC3645" s="71" t="s">
        <v>2272</v>
      </c>
      <c r="AD3645" s="4" t="s">
        <v>9438</v>
      </c>
      <c r="AE3645" s="198"/>
    </row>
    <row r="3646" spans="1:31" ht="55.5" customHeight="1">
      <c r="A3646" s="198" t="s">
        <v>9419</v>
      </c>
      <c r="B3646" s="198" t="s">
        <v>9436</v>
      </c>
      <c r="C3646" s="198" t="s">
        <v>23</v>
      </c>
      <c r="D3646" s="198" t="s">
        <v>1102</v>
      </c>
      <c r="E3646" s="4" t="s">
        <v>2645</v>
      </c>
      <c r="F3646" s="4" t="s">
        <v>2658</v>
      </c>
      <c r="G3646" s="4" t="s">
        <v>2658</v>
      </c>
      <c r="H3646" s="4" t="s">
        <v>522</v>
      </c>
      <c r="I3646" s="198"/>
      <c r="J3646" s="21">
        <v>0</v>
      </c>
      <c r="K3646" s="21">
        <v>0</v>
      </c>
      <c r="L3646" s="21">
        <v>0</v>
      </c>
      <c r="M3646" s="21">
        <v>0</v>
      </c>
      <c r="N3646" s="21">
        <v>0</v>
      </c>
      <c r="O3646" s="21">
        <v>0</v>
      </c>
      <c r="P3646" s="21">
        <v>0</v>
      </c>
      <c r="Q3646" s="21">
        <v>0</v>
      </c>
      <c r="R3646" s="21">
        <v>0</v>
      </c>
      <c r="S3646" s="21">
        <v>0</v>
      </c>
      <c r="T3646" s="21">
        <v>0</v>
      </c>
      <c r="U3646" s="21">
        <v>0</v>
      </c>
      <c r="V3646" s="21">
        <v>0</v>
      </c>
      <c r="W3646" s="21">
        <v>0</v>
      </c>
      <c r="X3646" s="21">
        <v>0</v>
      </c>
      <c r="Y3646" s="21">
        <v>0</v>
      </c>
      <c r="Z3646" s="71" t="s">
        <v>2272</v>
      </c>
      <c r="AA3646" s="71" t="s">
        <v>2272</v>
      </c>
      <c r="AB3646" s="71" t="s">
        <v>2272</v>
      </c>
      <c r="AC3646" s="71" t="s">
        <v>2272</v>
      </c>
      <c r="AD3646" s="4" t="s">
        <v>9438</v>
      </c>
      <c r="AE3646" s="198"/>
    </row>
    <row r="3647" spans="1:31" ht="55.5" customHeight="1">
      <c r="A3647" s="198" t="s">
        <v>9416</v>
      </c>
      <c r="B3647" s="198" t="s">
        <v>9437</v>
      </c>
      <c r="C3647" s="198" t="s">
        <v>23</v>
      </c>
      <c r="D3647" s="198" t="s">
        <v>1102</v>
      </c>
      <c r="E3647" s="4" t="s">
        <v>2645</v>
      </c>
      <c r="F3647" s="4" t="s">
        <v>2658</v>
      </c>
      <c r="G3647" s="4" t="s">
        <v>2658</v>
      </c>
      <c r="H3647" s="4" t="s">
        <v>522</v>
      </c>
      <c r="I3647" s="198"/>
      <c r="J3647" s="21">
        <v>0</v>
      </c>
      <c r="K3647" s="21">
        <v>0</v>
      </c>
      <c r="L3647" s="21">
        <v>0</v>
      </c>
      <c r="M3647" s="21">
        <v>0</v>
      </c>
      <c r="N3647" s="21">
        <v>0</v>
      </c>
      <c r="O3647" s="21">
        <v>0</v>
      </c>
      <c r="P3647" s="21">
        <v>0</v>
      </c>
      <c r="Q3647" s="21">
        <v>0</v>
      </c>
      <c r="R3647" s="21">
        <v>0</v>
      </c>
      <c r="S3647" s="21">
        <v>0</v>
      </c>
      <c r="T3647" s="21">
        <v>0</v>
      </c>
      <c r="U3647" s="21">
        <v>0</v>
      </c>
      <c r="V3647" s="21">
        <v>0</v>
      </c>
      <c r="W3647" s="21">
        <v>0</v>
      </c>
      <c r="X3647" s="21">
        <v>0</v>
      </c>
      <c r="Y3647" s="21">
        <v>0</v>
      </c>
      <c r="Z3647" s="71" t="s">
        <v>2272</v>
      </c>
      <c r="AA3647" s="71" t="s">
        <v>2272</v>
      </c>
      <c r="AB3647" s="71" t="s">
        <v>2272</v>
      </c>
      <c r="AC3647" s="71" t="s">
        <v>2272</v>
      </c>
      <c r="AD3647" s="4" t="s">
        <v>9438</v>
      </c>
      <c r="AE3647" s="198"/>
    </row>
    <row r="3648" spans="1:31" ht="39" customHeight="1">
      <c r="A3648" s="198" t="s">
        <v>9451</v>
      </c>
      <c r="B3648" s="198" t="s">
        <v>9462</v>
      </c>
      <c r="C3648" s="198" t="s">
        <v>23</v>
      </c>
      <c r="D3648" s="198" t="s">
        <v>141</v>
      </c>
      <c r="E3648" s="198" t="s">
        <v>2272</v>
      </c>
      <c r="F3648" s="198" t="s">
        <v>2272</v>
      </c>
      <c r="G3648" s="4" t="s">
        <v>2657</v>
      </c>
      <c r="H3648" s="4" t="s">
        <v>521</v>
      </c>
      <c r="I3648" s="198"/>
      <c r="J3648" s="71" t="s">
        <v>2272</v>
      </c>
      <c r="K3648" s="71" t="s">
        <v>2272</v>
      </c>
      <c r="L3648" s="71" t="s">
        <v>2272</v>
      </c>
      <c r="M3648" s="71" t="s">
        <v>2272</v>
      </c>
      <c r="N3648" s="71" t="s">
        <v>2272</v>
      </c>
      <c r="O3648" s="71" t="s">
        <v>2272</v>
      </c>
      <c r="P3648" s="71" t="s">
        <v>2272</v>
      </c>
      <c r="Q3648" s="71" t="s">
        <v>2272</v>
      </c>
      <c r="R3648" s="71" t="s">
        <v>2272</v>
      </c>
      <c r="S3648" s="71" t="s">
        <v>2272</v>
      </c>
      <c r="T3648" s="71" t="s">
        <v>2272</v>
      </c>
      <c r="U3648" s="71" t="s">
        <v>2272</v>
      </c>
      <c r="V3648" s="71" t="s">
        <v>2272</v>
      </c>
      <c r="W3648" s="71" t="s">
        <v>2272</v>
      </c>
      <c r="X3648" s="71" t="s">
        <v>2272</v>
      </c>
      <c r="Y3648" s="71" t="s">
        <v>2272</v>
      </c>
      <c r="Z3648" s="71" t="s">
        <v>2272</v>
      </c>
      <c r="AA3648" s="198" t="s">
        <v>187</v>
      </c>
      <c r="AB3648" s="198" t="s">
        <v>423</v>
      </c>
      <c r="AC3648" s="198" t="s">
        <v>2650</v>
      </c>
      <c r="AD3648" s="4" t="s">
        <v>9469</v>
      </c>
      <c r="AE3648" s="198"/>
    </row>
    <row r="3649" spans="1:31" ht="39" customHeight="1">
      <c r="A3649" s="198" t="s">
        <v>9451</v>
      </c>
      <c r="B3649" s="198" t="s">
        <v>9467</v>
      </c>
      <c r="C3649" s="198" t="s">
        <v>2453</v>
      </c>
      <c r="D3649" s="198" t="s">
        <v>2989</v>
      </c>
      <c r="E3649" s="4" t="s">
        <v>114</v>
      </c>
      <c r="F3649" s="198" t="s">
        <v>2272</v>
      </c>
      <c r="G3649" s="198" t="s">
        <v>73</v>
      </c>
      <c r="H3649" s="4" t="s">
        <v>521</v>
      </c>
      <c r="I3649" s="198"/>
      <c r="J3649" s="71" t="s">
        <v>2272</v>
      </c>
      <c r="K3649" s="71" t="s">
        <v>2272</v>
      </c>
      <c r="L3649" s="71" t="s">
        <v>2272</v>
      </c>
      <c r="M3649" s="71" t="s">
        <v>2272</v>
      </c>
      <c r="N3649" s="71" t="s">
        <v>2272</v>
      </c>
      <c r="O3649" s="71" t="s">
        <v>2272</v>
      </c>
      <c r="P3649" s="71" t="s">
        <v>2272</v>
      </c>
      <c r="Q3649" s="71" t="s">
        <v>2272</v>
      </c>
      <c r="R3649" s="71" t="s">
        <v>2272</v>
      </c>
      <c r="S3649" s="71" t="s">
        <v>2272</v>
      </c>
      <c r="T3649" s="71" t="s">
        <v>2272</v>
      </c>
      <c r="U3649" s="71" t="s">
        <v>2272</v>
      </c>
      <c r="V3649" s="71" t="s">
        <v>2272</v>
      </c>
      <c r="W3649" s="71" t="s">
        <v>2272</v>
      </c>
      <c r="X3649" s="71" t="s">
        <v>2272</v>
      </c>
      <c r="Y3649" s="71" t="s">
        <v>2272</v>
      </c>
      <c r="Z3649" s="71" t="s">
        <v>2272</v>
      </c>
      <c r="AA3649" s="198" t="s">
        <v>187</v>
      </c>
      <c r="AB3649" s="198" t="s">
        <v>423</v>
      </c>
      <c r="AC3649" s="198" t="s">
        <v>2650</v>
      </c>
      <c r="AD3649" s="4" t="s">
        <v>9469</v>
      </c>
      <c r="AE3649" s="198"/>
    </row>
    <row r="3650" spans="1:31" ht="39" customHeight="1">
      <c r="A3650" s="198" t="s">
        <v>9451</v>
      </c>
      <c r="B3650" s="198" t="s">
        <v>9468</v>
      </c>
      <c r="C3650" s="198" t="s">
        <v>30</v>
      </c>
      <c r="D3650" s="198" t="s">
        <v>1241</v>
      </c>
      <c r="E3650" s="4" t="s">
        <v>114</v>
      </c>
      <c r="F3650" s="198" t="s">
        <v>2272</v>
      </c>
      <c r="G3650" s="198" t="s">
        <v>73</v>
      </c>
      <c r="H3650" s="4" t="s">
        <v>521</v>
      </c>
      <c r="I3650" s="198"/>
      <c r="J3650" s="71" t="s">
        <v>2272</v>
      </c>
      <c r="K3650" s="71" t="s">
        <v>2272</v>
      </c>
      <c r="L3650" s="71" t="s">
        <v>2272</v>
      </c>
      <c r="M3650" s="71" t="s">
        <v>2272</v>
      </c>
      <c r="N3650" s="71" t="s">
        <v>2272</v>
      </c>
      <c r="O3650" s="71" t="s">
        <v>2272</v>
      </c>
      <c r="P3650" s="71" t="s">
        <v>2272</v>
      </c>
      <c r="Q3650" s="71" t="s">
        <v>2272</v>
      </c>
      <c r="R3650" s="71" t="s">
        <v>2272</v>
      </c>
      <c r="S3650" s="71" t="s">
        <v>2272</v>
      </c>
      <c r="T3650" s="71" t="s">
        <v>2272</v>
      </c>
      <c r="U3650" s="71" t="s">
        <v>2272</v>
      </c>
      <c r="V3650" s="71" t="s">
        <v>2272</v>
      </c>
      <c r="W3650" s="71" t="s">
        <v>2272</v>
      </c>
      <c r="X3650" s="71" t="s">
        <v>2272</v>
      </c>
      <c r="Y3650" s="71" t="s">
        <v>2272</v>
      </c>
      <c r="Z3650" s="71" t="s">
        <v>2272</v>
      </c>
      <c r="AA3650" s="198" t="s">
        <v>187</v>
      </c>
      <c r="AB3650" s="198" t="s">
        <v>423</v>
      </c>
      <c r="AC3650" s="198" t="s">
        <v>2650</v>
      </c>
      <c r="AD3650" s="4" t="s">
        <v>9469</v>
      </c>
      <c r="AE3650" s="198"/>
    </row>
    <row r="3651" spans="1:31" ht="37" customHeight="1">
      <c r="A3651" s="198" t="s">
        <v>9451</v>
      </c>
      <c r="B3651" s="198" t="s">
        <v>9470</v>
      </c>
      <c r="C3651" s="198" t="s">
        <v>30</v>
      </c>
      <c r="D3651" s="198" t="s">
        <v>2272</v>
      </c>
      <c r="E3651" s="4" t="s">
        <v>394</v>
      </c>
      <c r="F3651" s="198" t="s">
        <v>2272</v>
      </c>
      <c r="G3651" s="198" t="s">
        <v>73</v>
      </c>
      <c r="H3651" s="4" t="s">
        <v>521</v>
      </c>
      <c r="I3651" s="198"/>
      <c r="J3651" s="71" t="s">
        <v>2272</v>
      </c>
      <c r="K3651" s="71" t="s">
        <v>2272</v>
      </c>
      <c r="L3651" s="71" t="s">
        <v>2272</v>
      </c>
      <c r="M3651" s="71" t="s">
        <v>2272</v>
      </c>
      <c r="N3651" s="71" t="s">
        <v>2272</v>
      </c>
      <c r="O3651" s="71" t="s">
        <v>2272</v>
      </c>
      <c r="P3651" s="71" t="s">
        <v>2272</v>
      </c>
      <c r="Q3651" s="71" t="s">
        <v>2272</v>
      </c>
      <c r="R3651" s="71" t="s">
        <v>2272</v>
      </c>
      <c r="S3651" s="71" t="s">
        <v>2272</v>
      </c>
      <c r="T3651" s="71" t="s">
        <v>2272</v>
      </c>
      <c r="U3651" s="71" t="s">
        <v>2272</v>
      </c>
      <c r="V3651" s="71" t="s">
        <v>2272</v>
      </c>
      <c r="W3651" s="71" t="s">
        <v>2272</v>
      </c>
      <c r="X3651" s="71" t="s">
        <v>2272</v>
      </c>
      <c r="Y3651" s="71" t="s">
        <v>2272</v>
      </c>
      <c r="Z3651" s="71" t="s">
        <v>2272</v>
      </c>
      <c r="AA3651" s="198" t="s">
        <v>187</v>
      </c>
      <c r="AB3651" s="198" t="s">
        <v>423</v>
      </c>
      <c r="AC3651" s="198" t="s">
        <v>2650</v>
      </c>
      <c r="AD3651" s="4" t="s">
        <v>9469</v>
      </c>
      <c r="AE3651" s="198"/>
    </row>
    <row r="3652" spans="1:31" ht="37" customHeight="1">
      <c r="A3652" s="198" t="s">
        <v>9452</v>
      </c>
      <c r="B3652" s="198" t="s">
        <v>9463</v>
      </c>
      <c r="C3652" s="198" t="s">
        <v>2651</v>
      </c>
      <c r="D3652" s="198" t="s">
        <v>2272</v>
      </c>
      <c r="E3652" s="198" t="s">
        <v>9461</v>
      </c>
      <c r="F3652" s="198" t="s">
        <v>2272</v>
      </c>
      <c r="G3652" s="198" t="s">
        <v>73</v>
      </c>
      <c r="H3652" s="4" t="s">
        <v>521</v>
      </c>
      <c r="I3652" s="198"/>
      <c r="J3652" s="71" t="s">
        <v>2272</v>
      </c>
      <c r="K3652" s="71" t="s">
        <v>2272</v>
      </c>
      <c r="L3652" s="71" t="s">
        <v>2272</v>
      </c>
      <c r="M3652" s="71" t="s">
        <v>2272</v>
      </c>
      <c r="N3652" s="71" t="s">
        <v>2272</v>
      </c>
      <c r="O3652" s="71" t="s">
        <v>2272</v>
      </c>
      <c r="P3652" s="71" t="s">
        <v>2272</v>
      </c>
      <c r="Q3652" s="71" t="s">
        <v>2272</v>
      </c>
      <c r="R3652" s="71" t="s">
        <v>2272</v>
      </c>
      <c r="S3652" s="71" t="s">
        <v>2272</v>
      </c>
      <c r="T3652" s="71" t="s">
        <v>2272</v>
      </c>
      <c r="U3652" s="71" t="s">
        <v>2272</v>
      </c>
      <c r="V3652" s="71" t="s">
        <v>2272</v>
      </c>
      <c r="W3652" s="71" t="s">
        <v>2272</v>
      </c>
      <c r="X3652" s="71" t="s">
        <v>2272</v>
      </c>
      <c r="Y3652" s="71" t="s">
        <v>2272</v>
      </c>
      <c r="Z3652" s="21">
        <v>45.98</v>
      </c>
      <c r="AA3652" s="198" t="s">
        <v>187</v>
      </c>
      <c r="AB3652" s="198" t="s">
        <v>423</v>
      </c>
      <c r="AC3652" s="198" t="s">
        <v>2650</v>
      </c>
      <c r="AD3652" s="198"/>
      <c r="AE3652" s="198"/>
    </row>
    <row r="3653" spans="1:31" ht="37" customHeight="1">
      <c r="A3653" s="198" t="s">
        <v>9453</v>
      </c>
      <c r="B3653" s="198" t="s">
        <v>9464</v>
      </c>
      <c r="C3653" s="198" t="s">
        <v>2651</v>
      </c>
      <c r="D3653" s="198" t="s">
        <v>2272</v>
      </c>
      <c r="E3653" s="198" t="s">
        <v>9461</v>
      </c>
      <c r="F3653" s="198" t="s">
        <v>2272</v>
      </c>
      <c r="G3653" s="198" t="s">
        <v>73</v>
      </c>
      <c r="H3653" s="4" t="s">
        <v>521</v>
      </c>
      <c r="I3653" s="198"/>
      <c r="J3653" s="71" t="s">
        <v>2272</v>
      </c>
      <c r="K3653" s="71" t="s">
        <v>2272</v>
      </c>
      <c r="L3653" s="71" t="s">
        <v>2272</v>
      </c>
      <c r="M3653" s="71" t="s">
        <v>2272</v>
      </c>
      <c r="N3653" s="71" t="s">
        <v>2272</v>
      </c>
      <c r="O3653" s="71" t="s">
        <v>2272</v>
      </c>
      <c r="P3653" s="71" t="s">
        <v>2272</v>
      </c>
      <c r="Q3653" s="71" t="s">
        <v>2272</v>
      </c>
      <c r="R3653" s="71" t="s">
        <v>2272</v>
      </c>
      <c r="S3653" s="71" t="s">
        <v>2272</v>
      </c>
      <c r="T3653" s="71" t="s">
        <v>2272</v>
      </c>
      <c r="U3653" s="71" t="s">
        <v>2272</v>
      </c>
      <c r="V3653" s="71" t="s">
        <v>2272</v>
      </c>
      <c r="W3653" s="71" t="s">
        <v>2272</v>
      </c>
      <c r="X3653" s="71" t="s">
        <v>2272</v>
      </c>
      <c r="Y3653" s="71" t="s">
        <v>2272</v>
      </c>
      <c r="Z3653" s="21">
        <v>38.99</v>
      </c>
      <c r="AA3653" s="198" t="s">
        <v>187</v>
      </c>
      <c r="AB3653" s="198" t="s">
        <v>423</v>
      </c>
      <c r="AC3653" s="198" t="s">
        <v>2650</v>
      </c>
      <c r="AD3653" s="198"/>
      <c r="AE3653" s="198"/>
    </row>
    <row r="3654" spans="1:31" ht="37" customHeight="1">
      <c r="A3654" s="198" t="s">
        <v>9454</v>
      </c>
      <c r="B3654" s="198" t="s">
        <v>9465</v>
      </c>
      <c r="C3654" s="198" t="s">
        <v>2651</v>
      </c>
      <c r="D3654" s="198" t="s">
        <v>2272</v>
      </c>
      <c r="E3654" s="198" t="s">
        <v>9461</v>
      </c>
      <c r="F3654" s="198" t="s">
        <v>2272</v>
      </c>
      <c r="G3654" s="198" t="s">
        <v>73</v>
      </c>
      <c r="H3654" s="4" t="s">
        <v>521</v>
      </c>
      <c r="I3654" s="198"/>
      <c r="J3654" s="71" t="s">
        <v>2272</v>
      </c>
      <c r="K3654" s="71" t="s">
        <v>2272</v>
      </c>
      <c r="L3654" s="71" t="s">
        <v>2272</v>
      </c>
      <c r="M3654" s="71" t="s">
        <v>2272</v>
      </c>
      <c r="N3654" s="71" t="s">
        <v>2272</v>
      </c>
      <c r="O3654" s="71" t="s">
        <v>2272</v>
      </c>
      <c r="P3654" s="71" t="s">
        <v>2272</v>
      </c>
      <c r="Q3654" s="71" t="s">
        <v>2272</v>
      </c>
      <c r="R3654" s="71" t="s">
        <v>2272</v>
      </c>
      <c r="S3654" s="71" t="s">
        <v>2272</v>
      </c>
      <c r="T3654" s="71" t="s">
        <v>2272</v>
      </c>
      <c r="U3654" s="71" t="s">
        <v>2272</v>
      </c>
      <c r="V3654" s="71" t="s">
        <v>2272</v>
      </c>
      <c r="W3654" s="71" t="s">
        <v>2272</v>
      </c>
      <c r="X3654" s="71" t="s">
        <v>2272</v>
      </c>
      <c r="Y3654" s="71" t="s">
        <v>2272</v>
      </c>
      <c r="Z3654" s="21">
        <v>8.5</v>
      </c>
      <c r="AA3654" s="198" t="s">
        <v>187</v>
      </c>
      <c r="AB3654" s="198" t="s">
        <v>423</v>
      </c>
      <c r="AC3654" s="198" t="s">
        <v>2650</v>
      </c>
      <c r="AD3654" s="198"/>
      <c r="AE3654" s="198"/>
    </row>
    <row r="3655" spans="1:31" ht="32.5" customHeight="1">
      <c r="A3655" s="198" t="s">
        <v>9455</v>
      </c>
      <c r="B3655" s="198" t="s">
        <v>9466</v>
      </c>
      <c r="C3655" s="198" t="s">
        <v>2651</v>
      </c>
      <c r="D3655" s="198" t="s">
        <v>2272</v>
      </c>
      <c r="E3655" s="198" t="s">
        <v>9461</v>
      </c>
      <c r="F3655" s="198" t="s">
        <v>2272</v>
      </c>
      <c r="G3655" s="198" t="s">
        <v>73</v>
      </c>
      <c r="H3655" s="4" t="s">
        <v>521</v>
      </c>
      <c r="I3655" s="198"/>
      <c r="J3655" s="71" t="s">
        <v>2272</v>
      </c>
      <c r="K3655" s="71" t="s">
        <v>2272</v>
      </c>
      <c r="L3655" s="71" t="s">
        <v>2272</v>
      </c>
      <c r="M3655" s="71" t="s">
        <v>2272</v>
      </c>
      <c r="N3655" s="71" t="s">
        <v>2272</v>
      </c>
      <c r="O3655" s="71" t="s">
        <v>2272</v>
      </c>
      <c r="P3655" s="71" t="s">
        <v>2272</v>
      </c>
      <c r="Q3655" s="71" t="s">
        <v>2272</v>
      </c>
      <c r="R3655" s="71" t="s">
        <v>2272</v>
      </c>
      <c r="S3655" s="71" t="s">
        <v>2272</v>
      </c>
      <c r="T3655" s="71" t="s">
        <v>2272</v>
      </c>
      <c r="U3655" s="71" t="s">
        <v>2272</v>
      </c>
      <c r="V3655" s="71" t="s">
        <v>2272</v>
      </c>
      <c r="W3655" s="71" t="s">
        <v>2272</v>
      </c>
      <c r="X3655" s="71" t="s">
        <v>2272</v>
      </c>
      <c r="Y3655" s="71" t="s">
        <v>2272</v>
      </c>
      <c r="Z3655" s="21">
        <v>11.68</v>
      </c>
      <c r="AA3655" s="198" t="s">
        <v>187</v>
      </c>
      <c r="AB3655" s="198" t="s">
        <v>423</v>
      </c>
      <c r="AC3655" s="198" t="s">
        <v>2650</v>
      </c>
      <c r="AD3655" s="198"/>
      <c r="AE3655" s="198"/>
    </row>
    <row r="3656" spans="1:31" ht="45.5" customHeight="1">
      <c r="A3656" s="198" t="s">
        <v>9472</v>
      </c>
      <c r="B3656" s="198" t="s">
        <v>9474</v>
      </c>
      <c r="C3656" s="198" t="s">
        <v>23</v>
      </c>
      <c r="D3656" s="198" t="s">
        <v>1238</v>
      </c>
      <c r="E3656" s="198" t="s">
        <v>2644</v>
      </c>
      <c r="F3656" s="4" t="s">
        <v>54</v>
      </c>
      <c r="G3656" s="4" t="s">
        <v>54</v>
      </c>
      <c r="H3656" s="4" t="s">
        <v>521</v>
      </c>
      <c r="I3656" s="198"/>
      <c r="J3656" s="71" t="s">
        <v>2272</v>
      </c>
      <c r="K3656" s="71" t="s">
        <v>2272</v>
      </c>
      <c r="L3656" s="71" t="s">
        <v>2272</v>
      </c>
      <c r="M3656" s="71" t="s">
        <v>2272</v>
      </c>
      <c r="N3656" s="71" t="s">
        <v>2272</v>
      </c>
      <c r="O3656" s="71" t="s">
        <v>2272</v>
      </c>
      <c r="P3656" s="71" t="s">
        <v>2272</v>
      </c>
      <c r="Q3656" s="71" t="s">
        <v>2272</v>
      </c>
      <c r="R3656" s="71" t="s">
        <v>2272</v>
      </c>
      <c r="S3656" s="71" t="s">
        <v>2272</v>
      </c>
      <c r="T3656" s="71" t="s">
        <v>2272</v>
      </c>
      <c r="U3656" s="71" t="s">
        <v>2272</v>
      </c>
      <c r="V3656" s="71" t="s">
        <v>2272</v>
      </c>
      <c r="W3656" s="71" t="s">
        <v>2272</v>
      </c>
      <c r="X3656" s="71" t="s">
        <v>2272</v>
      </c>
      <c r="Y3656" s="71" t="s">
        <v>2272</v>
      </c>
      <c r="Z3656" s="71" t="s">
        <v>2272</v>
      </c>
      <c r="AA3656" s="71" t="s">
        <v>2272</v>
      </c>
      <c r="AB3656" s="71" t="s">
        <v>2272</v>
      </c>
      <c r="AC3656" s="71" t="s">
        <v>2272</v>
      </c>
      <c r="AD3656" s="198"/>
      <c r="AE3656" s="198"/>
    </row>
    <row r="3657" spans="1:31" ht="39" customHeight="1">
      <c r="A3657" s="198" t="s">
        <v>9477</v>
      </c>
      <c r="B3657" s="198" t="s">
        <v>9482</v>
      </c>
      <c r="C3657" s="198" t="s">
        <v>23</v>
      </c>
      <c r="D3657" s="198" t="s">
        <v>2227</v>
      </c>
      <c r="E3657" s="4" t="s">
        <v>394</v>
      </c>
      <c r="F3657" s="198" t="s">
        <v>158</v>
      </c>
      <c r="G3657" s="198" t="s">
        <v>158</v>
      </c>
      <c r="H3657" s="4" t="s">
        <v>521</v>
      </c>
      <c r="I3657" s="198"/>
      <c r="J3657" s="71" t="s">
        <v>2272</v>
      </c>
      <c r="K3657" s="71" t="s">
        <v>2272</v>
      </c>
      <c r="L3657" s="71" t="s">
        <v>2272</v>
      </c>
      <c r="M3657" s="71" t="s">
        <v>2272</v>
      </c>
      <c r="N3657" s="71" t="s">
        <v>2272</v>
      </c>
      <c r="O3657" s="71" t="s">
        <v>2272</v>
      </c>
      <c r="P3657" s="71" t="s">
        <v>2272</v>
      </c>
      <c r="Q3657" s="71" t="s">
        <v>2272</v>
      </c>
      <c r="R3657" s="71" t="s">
        <v>2272</v>
      </c>
      <c r="S3657" s="71" t="s">
        <v>2272</v>
      </c>
      <c r="T3657" s="71" t="s">
        <v>2272</v>
      </c>
      <c r="U3657" s="71" t="s">
        <v>2272</v>
      </c>
      <c r="V3657" s="71" t="s">
        <v>2272</v>
      </c>
      <c r="W3657" s="71" t="s">
        <v>2272</v>
      </c>
      <c r="X3657" s="71" t="s">
        <v>2272</v>
      </c>
      <c r="Y3657" s="71" t="s">
        <v>2272</v>
      </c>
      <c r="Z3657" s="71" t="s">
        <v>2272</v>
      </c>
      <c r="AA3657" s="71" t="s">
        <v>2272</v>
      </c>
      <c r="AB3657" s="71" t="s">
        <v>2272</v>
      </c>
      <c r="AC3657" s="71" t="s">
        <v>2272</v>
      </c>
      <c r="AD3657" s="4" t="s">
        <v>9487</v>
      </c>
      <c r="AE3657" s="198"/>
    </row>
    <row r="3658" spans="1:31" ht="43" customHeight="1">
      <c r="A3658" s="198" t="s">
        <v>9478</v>
      </c>
      <c r="B3658" s="198" t="s">
        <v>9483</v>
      </c>
      <c r="C3658" s="198" t="s">
        <v>23</v>
      </c>
      <c r="D3658" s="198" t="s">
        <v>141</v>
      </c>
      <c r="E3658" s="4" t="s">
        <v>394</v>
      </c>
      <c r="F3658" s="198" t="s">
        <v>73</v>
      </c>
      <c r="G3658" s="198" t="s">
        <v>73</v>
      </c>
      <c r="H3658" s="4" t="s">
        <v>521</v>
      </c>
      <c r="I3658" s="198"/>
      <c r="J3658" s="71" t="s">
        <v>2272</v>
      </c>
      <c r="K3658" s="71" t="s">
        <v>2272</v>
      </c>
      <c r="L3658" s="71" t="s">
        <v>2272</v>
      </c>
      <c r="M3658" s="71" t="s">
        <v>2272</v>
      </c>
      <c r="N3658" s="71" t="s">
        <v>2272</v>
      </c>
      <c r="O3658" s="71" t="s">
        <v>2272</v>
      </c>
      <c r="P3658" s="71" t="s">
        <v>2272</v>
      </c>
      <c r="Q3658" s="71" t="s">
        <v>2272</v>
      </c>
      <c r="R3658" s="71" t="s">
        <v>2272</v>
      </c>
      <c r="S3658" s="71" t="s">
        <v>2272</v>
      </c>
      <c r="T3658" s="71" t="s">
        <v>2272</v>
      </c>
      <c r="U3658" s="71" t="s">
        <v>2272</v>
      </c>
      <c r="V3658" s="71" t="s">
        <v>2272</v>
      </c>
      <c r="W3658" s="71" t="s">
        <v>2272</v>
      </c>
      <c r="X3658" s="71" t="s">
        <v>2272</v>
      </c>
      <c r="Y3658" s="71" t="s">
        <v>2272</v>
      </c>
      <c r="Z3658" s="71" t="s">
        <v>2272</v>
      </c>
      <c r="AA3658" s="71" t="s">
        <v>2272</v>
      </c>
      <c r="AB3658" s="71" t="s">
        <v>2272</v>
      </c>
      <c r="AC3658" s="71" t="s">
        <v>2272</v>
      </c>
      <c r="AD3658" s="4" t="s">
        <v>9486</v>
      </c>
      <c r="AE3658" s="198"/>
    </row>
    <row r="3659" spans="1:31" ht="61.5" customHeight="1">
      <c r="A3659" s="198" t="s">
        <v>9478</v>
      </c>
      <c r="B3659" s="198" t="s">
        <v>9484</v>
      </c>
      <c r="C3659" s="198" t="s">
        <v>23</v>
      </c>
      <c r="D3659" s="198" t="s">
        <v>2227</v>
      </c>
      <c r="E3659" s="4" t="s">
        <v>2645</v>
      </c>
      <c r="F3659" s="198" t="s">
        <v>73</v>
      </c>
      <c r="G3659" s="198" t="s">
        <v>73</v>
      </c>
      <c r="H3659" s="4" t="s">
        <v>521</v>
      </c>
      <c r="I3659" s="198"/>
      <c r="J3659" s="71" t="s">
        <v>2272</v>
      </c>
      <c r="K3659" s="71" t="s">
        <v>2272</v>
      </c>
      <c r="L3659" s="71" t="s">
        <v>2272</v>
      </c>
      <c r="M3659" s="71" t="s">
        <v>2272</v>
      </c>
      <c r="N3659" s="71" t="s">
        <v>2272</v>
      </c>
      <c r="O3659" s="71" t="s">
        <v>2272</v>
      </c>
      <c r="P3659" s="71" t="s">
        <v>2272</v>
      </c>
      <c r="Q3659" s="71" t="s">
        <v>2272</v>
      </c>
      <c r="R3659" s="71" t="s">
        <v>2272</v>
      </c>
      <c r="S3659" s="71" t="s">
        <v>2272</v>
      </c>
      <c r="T3659" s="71" t="s">
        <v>2272</v>
      </c>
      <c r="U3659" s="71" t="s">
        <v>2272</v>
      </c>
      <c r="V3659" s="71" t="s">
        <v>2272</v>
      </c>
      <c r="W3659" s="71" t="s">
        <v>2272</v>
      </c>
      <c r="X3659" s="71" t="s">
        <v>2272</v>
      </c>
      <c r="Y3659" s="71" t="s">
        <v>2272</v>
      </c>
      <c r="Z3659" s="71" t="s">
        <v>2272</v>
      </c>
      <c r="AA3659" s="71" t="s">
        <v>2272</v>
      </c>
      <c r="AB3659" s="71" t="s">
        <v>2272</v>
      </c>
      <c r="AC3659" s="71" t="s">
        <v>2272</v>
      </c>
      <c r="AD3659" s="4" t="s">
        <v>9485</v>
      </c>
      <c r="AE3659" s="198"/>
    </row>
    <row r="3660" spans="1:31" ht="35.5" customHeight="1">
      <c r="A3660" s="198" t="s">
        <v>9489</v>
      </c>
      <c r="B3660" s="198" t="s">
        <v>9492</v>
      </c>
      <c r="C3660" s="198" t="s">
        <v>23</v>
      </c>
      <c r="D3660" s="198" t="s">
        <v>141</v>
      </c>
      <c r="E3660" s="198" t="s">
        <v>82</v>
      </c>
      <c r="F3660" s="198" t="s">
        <v>73</v>
      </c>
      <c r="G3660" s="198" t="s">
        <v>73</v>
      </c>
      <c r="H3660" s="4" t="s">
        <v>521</v>
      </c>
      <c r="I3660" s="198"/>
      <c r="J3660" s="71" t="s">
        <v>2272</v>
      </c>
      <c r="K3660" s="71" t="s">
        <v>2272</v>
      </c>
      <c r="L3660" s="71" t="s">
        <v>2272</v>
      </c>
      <c r="M3660" s="71" t="s">
        <v>2272</v>
      </c>
      <c r="N3660" s="71" t="s">
        <v>2272</v>
      </c>
      <c r="O3660" s="71" t="s">
        <v>2272</v>
      </c>
      <c r="P3660" s="71" t="s">
        <v>2272</v>
      </c>
      <c r="Q3660" s="71" t="s">
        <v>2272</v>
      </c>
      <c r="R3660" s="71" t="s">
        <v>2272</v>
      </c>
      <c r="S3660" s="71" t="s">
        <v>2272</v>
      </c>
      <c r="T3660" s="71" t="s">
        <v>2272</v>
      </c>
      <c r="U3660" s="71" t="s">
        <v>2272</v>
      </c>
      <c r="V3660" s="71" t="s">
        <v>2272</v>
      </c>
      <c r="W3660" s="71" t="s">
        <v>2272</v>
      </c>
      <c r="X3660" s="71" t="s">
        <v>2272</v>
      </c>
      <c r="Y3660" s="71" t="s">
        <v>2272</v>
      </c>
      <c r="Z3660" s="71" t="s">
        <v>2272</v>
      </c>
      <c r="AA3660" s="71" t="s">
        <v>2272</v>
      </c>
      <c r="AB3660" s="71" t="s">
        <v>2272</v>
      </c>
      <c r="AC3660" s="71" t="s">
        <v>2272</v>
      </c>
      <c r="AD3660" s="4" t="s">
        <v>9495</v>
      </c>
      <c r="AE3660" s="198"/>
    </row>
    <row r="3661" spans="1:31" ht="35.5" customHeight="1">
      <c r="A3661" s="198" t="s">
        <v>9489</v>
      </c>
      <c r="B3661" s="198" t="s">
        <v>9493</v>
      </c>
      <c r="C3661" s="198" t="s">
        <v>23</v>
      </c>
      <c r="D3661" s="198" t="s">
        <v>141</v>
      </c>
      <c r="E3661" s="4" t="s">
        <v>394</v>
      </c>
      <c r="F3661" s="198" t="s">
        <v>73</v>
      </c>
      <c r="G3661" s="198" t="s">
        <v>73</v>
      </c>
      <c r="H3661" s="4" t="s">
        <v>521</v>
      </c>
      <c r="I3661" s="198"/>
      <c r="J3661" s="71" t="s">
        <v>2272</v>
      </c>
      <c r="K3661" s="71" t="s">
        <v>2272</v>
      </c>
      <c r="L3661" s="71" t="s">
        <v>2272</v>
      </c>
      <c r="M3661" s="71" t="s">
        <v>2272</v>
      </c>
      <c r="N3661" s="71" t="s">
        <v>2272</v>
      </c>
      <c r="O3661" s="71" t="s">
        <v>2272</v>
      </c>
      <c r="P3661" s="71" t="s">
        <v>2272</v>
      </c>
      <c r="Q3661" s="71" t="s">
        <v>2272</v>
      </c>
      <c r="R3661" s="71" t="s">
        <v>2272</v>
      </c>
      <c r="S3661" s="71" t="s">
        <v>2272</v>
      </c>
      <c r="T3661" s="71" t="s">
        <v>2272</v>
      </c>
      <c r="U3661" s="71" t="s">
        <v>2272</v>
      </c>
      <c r="V3661" s="71" t="s">
        <v>2272</v>
      </c>
      <c r="W3661" s="71" t="s">
        <v>2272</v>
      </c>
      <c r="X3661" s="71" t="s">
        <v>2272</v>
      </c>
      <c r="Y3661" s="71" t="s">
        <v>2272</v>
      </c>
      <c r="Z3661" s="71" t="s">
        <v>2272</v>
      </c>
      <c r="AA3661" s="71" t="s">
        <v>2272</v>
      </c>
      <c r="AB3661" s="71" t="s">
        <v>2272</v>
      </c>
      <c r="AC3661" s="71" t="s">
        <v>2272</v>
      </c>
      <c r="AD3661" s="4" t="s">
        <v>9495</v>
      </c>
      <c r="AE3661" s="198"/>
    </row>
    <row r="3662" spans="1:31" ht="32.5" customHeight="1">
      <c r="A3662" s="198" t="s">
        <v>9489</v>
      </c>
      <c r="B3662" s="198" t="s">
        <v>9494</v>
      </c>
      <c r="C3662" s="198" t="s">
        <v>23</v>
      </c>
      <c r="D3662" s="198" t="s">
        <v>26</v>
      </c>
      <c r="E3662" s="198" t="s">
        <v>128</v>
      </c>
      <c r="F3662" s="4" t="s">
        <v>73</v>
      </c>
      <c r="G3662" s="198" t="s">
        <v>73</v>
      </c>
      <c r="H3662" s="4" t="s">
        <v>521</v>
      </c>
      <c r="I3662" s="198"/>
      <c r="J3662" s="71" t="s">
        <v>2272</v>
      </c>
      <c r="K3662" s="71" t="s">
        <v>2272</v>
      </c>
      <c r="L3662" s="71" t="s">
        <v>2272</v>
      </c>
      <c r="M3662" s="71" t="s">
        <v>2272</v>
      </c>
      <c r="N3662" s="71" t="s">
        <v>2272</v>
      </c>
      <c r="O3662" s="71" t="s">
        <v>2272</v>
      </c>
      <c r="P3662" s="71" t="s">
        <v>2272</v>
      </c>
      <c r="Q3662" s="71" t="s">
        <v>2272</v>
      </c>
      <c r="R3662" s="71" t="s">
        <v>2272</v>
      </c>
      <c r="S3662" s="71" t="s">
        <v>2272</v>
      </c>
      <c r="T3662" s="71" t="s">
        <v>2272</v>
      </c>
      <c r="U3662" s="71" t="s">
        <v>2272</v>
      </c>
      <c r="V3662" s="71" t="s">
        <v>2272</v>
      </c>
      <c r="W3662" s="71" t="s">
        <v>2272</v>
      </c>
      <c r="X3662" s="71" t="s">
        <v>2272</v>
      </c>
      <c r="Y3662" s="71" t="s">
        <v>2272</v>
      </c>
      <c r="Z3662" s="71" t="s">
        <v>2272</v>
      </c>
      <c r="AA3662" s="71" t="s">
        <v>2272</v>
      </c>
      <c r="AB3662" s="71" t="s">
        <v>2272</v>
      </c>
      <c r="AC3662" s="71" t="s">
        <v>2272</v>
      </c>
      <c r="AD3662" s="4" t="s">
        <v>9495</v>
      </c>
      <c r="AE3662" s="198"/>
    </row>
    <row r="3663" spans="1:31" ht="41" customHeight="1">
      <c r="A3663" s="198" t="s">
        <v>9491</v>
      </c>
      <c r="B3663" s="198" t="s">
        <v>9496</v>
      </c>
      <c r="C3663" s="198" t="s">
        <v>23</v>
      </c>
      <c r="D3663" s="198" t="s">
        <v>141</v>
      </c>
      <c r="E3663" s="198" t="s">
        <v>82</v>
      </c>
      <c r="F3663" s="198" t="s">
        <v>73</v>
      </c>
      <c r="G3663" s="198" t="s">
        <v>73</v>
      </c>
      <c r="H3663" s="4" t="s">
        <v>521</v>
      </c>
      <c r="I3663" s="198"/>
      <c r="J3663" s="71" t="s">
        <v>2272</v>
      </c>
      <c r="K3663" s="71" t="s">
        <v>2272</v>
      </c>
      <c r="L3663" s="71" t="s">
        <v>2272</v>
      </c>
      <c r="M3663" s="71" t="s">
        <v>2272</v>
      </c>
      <c r="N3663" s="71" t="s">
        <v>2272</v>
      </c>
      <c r="O3663" s="71" t="s">
        <v>2272</v>
      </c>
      <c r="P3663" s="71" t="s">
        <v>2272</v>
      </c>
      <c r="Q3663" s="71" t="s">
        <v>2272</v>
      </c>
      <c r="R3663" s="71" t="s">
        <v>2272</v>
      </c>
      <c r="S3663" s="71" t="s">
        <v>2272</v>
      </c>
      <c r="T3663" s="71" t="s">
        <v>2272</v>
      </c>
      <c r="U3663" s="71" t="s">
        <v>2272</v>
      </c>
      <c r="V3663" s="71" t="s">
        <v>2272</v>
      </c>
      <c r="W3663" s="71" t="s">
        <v>2272</v>
      </c>
      <c r="X3663" s="71" t="s">
        <v>2272</v>
      </c>
      <c r="Y3663" s="71" t="s">
        <v>2272</v>
      </c>
      <c r="Z3663" s="71" t="s">
        <v>2272</v>
      </c>
      <c r="AA3663" s="71" t="s">
        <v>2272</v>
      </c>
      <c r="AB3663" s="71" t="s">
        <v>2272</v>
      </c>
      <c r="AC3663" s="71" t="s">
        <v>2272</v>
      </c>
      <c r="AD3663" s="4" t="s">
        <v>9495</v>
      </c>
      <c r="AE3663" s="198"/>
    </row>
    <row r="3664" spans="1:31" ht="41" customHeight="1">
      <c r="A3664" s="198" t="s">
        <v>9491</v>
      </c>
      <c r="B3664" s="198" t="s">
        <v>9497</v>
      </c>
      <c r="C3664" s="198" t="s">
        <v>23</v>
      </c>
      <c r="D3664" s="198" t="s">
        <v>141</v>
      </c>
      <c r="E3664" s="4" t="s">
        <v>394</v>
      </c>
      <c r="F3664" s="198" t="s">
        <v>73</v>
      </c>
      <c r="G3664" s="198" t="s">
        <v>73</v>
      </c>
      <c r="H3664" s="4" t="s">
        <v>521</v>
      </c>
      <c r="I3664" s="198"/>
      <c r="J3664" s="71" t="s">
        <v>2272</v>
      </c>
      <c r="K3664" s="71" t="s">
        <v>2272</v>
      </c>
      <c r="L3664" s="71" t="s">
        <v>2272</v>
      </c>
      <c r="M3664" s="71" t="s">
        <v>2272</v>
      </c>
      <c r="N3664" s="71" t="s">
        <v>2272</v>
      </c>
      <c r="O3664" s="71" t="s">
        <v>2272</v>
      </c>
      <c r="P3664" s="71" t="s">
        <v>2272</v>
      </c>
      <c r="Q3664" s="71" t="s">
        <v>2272</v>
      </c>
      <c r="R3664" s="71" t="s">
        <v>2272</v>
      </c>
      <c r="S3664" s="71" t="s">
        <v>2272</v>
      </c>
      <c r="T3664" s="71" t="s">
        <v>2272</v>
      </c>
      <c r="U3664" s="71" t="s">
        <v>2272</v>
      </c>
      <c r="V3664" s="71" t="s">
        <v>2272</v>
      </c>
      <c r="W3664" s="71" t="s">
        <v>2272</v>
      </c>
      <c r="X3664" s="71" t="s">
        <v>2272</v>
      </c>
      <c r="Y3664" s="71" t="s">
        <v>2272</v>
      </c>
      <c r="Z3664" s="71" t="s">
        <v>2272</v>
      </c>
      <c r="AA3664" s="71" t="s">
        <v>2272</v>
      </c>
      <c r="AB3664" s="71" t="s">
        <v>2272</v>
      </c>
      <c r="AC3664" s="71" t="s">
        <v>2272</v>
      </c>
      <c r="AD3664" s="4" t="s">
        <v>9495</v>
      </c>
      <c r="AE3664" s="198"/>
    </row>
    <row r="3665" spans="1:31" ht="41" customHeight="1">
      <c r="A3665" s="198" t="s">
        <v>9491</v>
      </c>
      <c r="B3665" s="198" t="s">
        <v>9498</v>
      </c>
      <c r="C3665" s="198" t="s">
        <v>23</v>
      </c>
      <c r="D3665" s="198" t="s">
        <v>26</v>
      </c>
      <c r="E3665" s="198" t="s">
        <v>128</v>
      </c>
      <c r="F3665" s="4" t="s">
        <v>73</v>
      </c>
      <c r="G3665" s="198" t="s">
        <v>73</v>
      </c>
      <c r="H3665" s="4" t="s">
        <v>521</v>
      </c>
      <c r="I3665" s="198"/>
      <c r="J3665" s="71" t="s">
        <v>2272</v>
      </c>
      <c r="K3665" s="71" t="s">
        <v>2272</v>
      </c>
      <c r="L3665" s="71" t="s">
        <v>2272</v>
      </c>
      <c r="M3665" s="71" t="s">
        <v>2272</v>
      </c>
      <c r="N3665" s="71" t="s">
        <v>2272</v>
      </c>
      <c r="O3665" s="71" t="s">
        <v>2272</v>
      </c>
      <c r="P3665" s="71" t="s">
        <v>2272</v>
      </c>
      <c r="Q3665" s="71" t="s">
        <v>2272</v>
      </c>
      <c r="R3665" s="71" t="s">
        <v>2272</v>
      </c>
      <c r="S3665" s="71" t="s">
        <v>2272</v>
      </c>
      <c r="T3665" s="71" t="s">
        <v>2272</v>
      </c>
      <c r="U3665" s="71" t="s">
        <v>2272</v>
      </c>
      <c r="V3665" s="71" t="s">
        <v>2272</v>
      </c>
      <c r="W3665" s="71" t="s">
        <v>2272</v>
      </c>
      <c r="X3665" s="71" t="s">
        <v>2272</v>
      </c>
      <c r="Y3665" s="71" t="s">
        <v>2272</v>
      </c>
      <c r="Z3665" s="71" t="s">
        <v>2272</v>
      </c>
      <c r="AA3665" s="71" t="s">
        <v>2272</v>
      </c>
      <c r="AB3665" s="71" t="s">
        <v>2272</v>
      </c>
      <c r="AC3665" s="71" t="s">
        <v>2272</v>
      </c>
      <c r="AD3665" s="4" t="s">
        <v>9495</v>
      </c>
      <c r="AE3665" s="198"/>
    </row>
    <row r="3666" spans="1:31" ht="51" customHeight="1">
      <c r="A3666" s="198" t="s">
        <v>9502</v>
      </c>
      <c r="B3666" s="198" t="s">
        <v>9505</v>
      </c>
      <c r="C3666" s="198" t="s">
        <v>1102</v>
      </c>
      <c r="D3666" s="198" t="s">
        <v>1102</v>
      </c>
      <c r="E3666" s="198" t="s">
        <v>2272</v>
      </c>
      <c r="F3666" s="198" t="s">
        <v>2272</v>
      </c>
      <c r="G3666" s="198" t="s">
        <v>2658</v>
      </c>
      <c r="H3666" s="4" t="s">
        <v>521</v>
      </c>
      <c r="I3666" s="198"/>
      <c r="J3666" s="21">
        <f>100*143/2/13392.46</f>
        <v>0.53388249806234256</v>
      </c>
      <c r="K3666" s="71" t="s">
        <v>2272</v>
      </c>
      <c r="L3666" s="71" t="s">
        <v>2272</v>
      </c>
      <c r="M3666" s="71" t="s">
        <v>2272</v>
      </c>
      <c r="N3666" s="71" t="s">
        <v>2272</v>
      </c>
      <c r="O3666" s="71" t="s">
        <v>2272</v>
      </c>
      <c r="P3666" s="71" t="s">
        <v>2272</v>
      </c>
      <c r="Q3666" s="71" t="s">
        <v>2272</v>
      </c>
      <c r="R3666" s="71" t="s">
        <v>2272</v>
      </c>
      <c r="S3666" s="71" t="s">
        <v>2272</v>
      </c>
      <c r="T3666" s="71" t="s">
        <v>2272</v>
      </c>
      <c r="U3666" s="71" t="s">
        <v>2272</v>
      </c>
      <c r="V3666" s="71" t="s">
        <v>2272</v>
      </c>
      <c r="W3666" s="71" t="s">
        <v>2272</v>
      </c>
      <c r="X3666" s="71" t="s">
        <v>2272</v>
      </c>
      <c r="Y3666" s="71" t="s">
        <v>2272</v>
      </c>
      <c r="Z3666" s="71" t="s">
        <v>2272</v>
      </c>
      <c r="AA3666" s="198" t="s">
        <v>33</v>
      </c>
      <c r="AB3666" s="198" t="s">
        <v>67</v>
      </c>
      <c r="AC3666" s="198" t="s">
        <v>75</v>
      </c>
      <c r="AD3666" s="198"/>
      <c r="AE3666" s="198"/>
    </row>
    <row r="3667" spans="1:31" ht="37" customHeight="1">
      <c r="A3667" s="198" t="s">
        <v>9502</v>
      </c>
      <c r="B3667" s="198" t="s">
        <v>9506</v>
      </c>
      <c r="C3667" s="198" t="s">
        <v>23</v>
      </c>
      <c r="D3667" s="198" t="s">
        <v>2342</v>
      </c>
      <c r="E3667" s="198" t="s">
        <v>2272</v>
      </c>
      <c r="F3667" s="198" t="s">
        <v>2272</v>
      </c>
      <c r="G3667" s="198" t="s">
        <v>2658</v>
      </c>
      <c r="H3667" s="4" t="s">
        <v>521</v>
      </c>
      <c r="I3667" s="198"/>
      <c r="J3667" s="21">
        <f>100*79/2/13392.46</f>
        <v>0.29494207934912631</v>
      </c>
      <c r="K3667" s="71" t="s">
        <v>2272</v>
      </c>
      <c r="L3667" s="71" t="s">
        <v>2272</v>
      </c>
      <c r="M3667" s="71" t="s">
        <v>2272</v>
      </c>
      <c r="N3667" s="71" t="s">
        <v>2272</v>
      </c>
      <c r="O3667" s="71" t="s">
        <v>2272</v>
      </c>
      <c r="P3667" s="71" t="s">
        <v>2272</v>
      </c>
      <c r="Q3667" s="71" t="s">
        <v>2272</v>
      </c>
      <c r="R3667" s="71" t="s">
        <v>2272</v>
      </c>
      <c r="S3667" s="71" t="s">
        <v>2272</v>
      </c>
      <c r="T3667" s="71" t="s">
        <v>2272</v>
      </c>
      <c r="U3667" s="71" t="s">
        <v>2272</v>
      </c>
      <c r="V3667" s="71" t="s">
        <v>2272</v>
      </c>
      <c r="W3667" s="71" t="s">
        <v>2272</v>
      </c>
      <c r="X3667" s="71" t="s">
        <v>2272</v>
      </c>
      <c r="Y3667" s="71" t="s">
        <v>2272</v>
      </c>
      <c r="Z3667" s="71" t="s">
        <v>2272</v>
      </c>
      <c r="AA3667" s="198" t="s">
        <v>402</v>
      </c>
      <c r="AB3667" s="198" t="s">
        <v>67</v>
      </c>
      <c r="AC3667" s="198" t="s">
        <v>75</v>
      </c>
      <c r="AD3667" s="198"/>
      <c r="AE3667" s="198"/>
    </row>
    <row r="3668" spans="1:31" ht="37" customHeight="1">
      <c r="A3668" s="198" t="s">
        <v>9502</v>
      </c>
      <c r="B3668" s="198" t="s">
        <v>9507</v>
      </c>
      <c r="C3668" s="198" t="s">
        <v>2453</v>
      </c>
      <c r="D3668" s="198" t="s">
        <v>24</v>
      </c>
      <c r="E3668" s="198" t="s">
        <v>44</v>
      </c>
      <c r="F3668" s="4" t="s">
        <v>54</v>
      </c>
      <c r="G3668" s="198" t="s">
        <v>2658</v>
      </c>
      <c r="H3668" s="4" t="s">
        <v>521</v>
      </c>
      <c r="I3668" s="198"/>
      <c r="J3668" s="21">
        <f>100*4/2/13392.46</f>
        <v>1.4933776169576016E-2</v>
      </c>
      <c r="K3668" s="71" t="s">
        <v>2272</v>
      </c>
      <c r="L3668" s="71" t="s">
        <v>2272</v>
      </c>
      <c r="M3668" s="71" t="s">
        <v>2272</v>
      </c>
      <c r="N3668" s="71" t="s">
        <v>2272</v>
      </c>
      <c r="O3668" s="71" t="s">
        <v>2272</v>
      </c>
      <c r="P3668" s="71" t="s">
        <v>2272</v>
      </c>
      <c r="Q3668" s="71" t="s">
        <v>2272</v>
      </c>
      <c r="R3668" s="71" t="s">
        <v>2272</v>
      </c>
      <c r="S3668" s="71" t="s">
        <v>2272</v>
      </c>
      <c r="T3668" s="71" t="s">
        <v>2272</v>
      </c>
      <c r="U3668" s="71" t="s">
        <v>2272</v>
      </c>
      <c r="V3668" s="71" t="s">
        <v>2272</v>
      </c>
      <c r="W3668" s="71" t="s">
        <v>2272</v>
      </c>
      <c r="X3668" s="71" t="s">
        <v>2272</v>
      </c>
      <c r="Y3668" s="71" t="s">
        <v>2272</v>
      </c>
      <c r="Z3668" s="71" t="s">
        <v>2272</v>
      </c>
      <c r="AA3668" s="71" t="s">
        <v>2272</v>
      </c>
      <c r="AB3668" s="71" t="s">
        <v>2272</v>
      </c>
      <c r="AC3668" s="71" t="s">
        <v>2272</v>
      </c>
      <c r="AD3668" s="198"/>
      <c r="AE3668" s="198"/>
    </row>
    <row r="3669" spans="1:31" ht="37" customHeight="1">
      <c r="A3669" s="198" t="s">
        <v>9502</v>
      </c>
      <c r="B3669" s="198" t="s">
        <v>9508</v>
      </c>
      <c r="C3669" s="198" t="s">
        <v>2453</v>
      </c>
      <c r="D3669" s="198" t="s">
        <v>26</v>
      </c>
      <c r="E3669" s="198" t="s">
        <v>128</v>
      </c>
      <c r="F3669" s="4" t="s">
        <v>158</v>
      </c>
      <c r="G3669" s="198" t="s">
        <v>2658</v>
      </c>
      <c r="H3669" s="4" t="s">
        <v>521</v>
      </c>
      <c r="I3669" s="198"/>
      <c r="J3669" s="21">
        <f>100*37/4/13392.46</f>
        <v>6.9068714784289081E-2</v>
      </c>
      <c r="K3669" s="71" t="s">
        <v>2272</v>
      </c>
      <c r="L3669" s="71" t="s">
        <v>2272</v>
      </c>
      <c r="M3669" s="71" t="s">
        <v>2272</v>
      </c>
      <c r="N3669" s="71" t="s">
        <v>2272</v>
      </c>
      <c r="O3669" s="71" t="s">
        <v>2272</v>
      </c>
      <c r="P3669" s="71" t="s">
        <v>2272</v>
      </c>
      <c r="Q3669" s="71" t="s">
        <v>2272</v>
      </c>
      <c r="R3669" s="71" t="s">
        <v>2272</v>
      </c>
      <c r="S3669" s="71" t="s">
        <v>2272</v>
      </c>
      <c r="T3669" s="71" t="s">
        <v>2272</v>
      </c>
      <c r="U3669" s="71" t="s">
        <v>2272</v>
      </c>
      <c r="V3669" s="71" t="s">
        <v>2272</v>
      </c>
      <c r="W3669" s="71" t="s">
        <v>2272</v>
      </c>
      <c r="X3669" s="71" t="s">
        <v>2272</v>
      </c>
      <c r="Y3669" s="71" t="s">
        <v>2272</v>
      </c>
      <c r="Z3669" s="71" t="s">
        <v>2272</v>
      </c>
      <c r="AA3669" s="71" t="s">
        <v>2272</v>
      </c>
      <c r="AB3669" s="71" t="s">
        <v>2272</v>
      </c>
      <c r="AC3669" s="71" t="s">
        <v>2272</v>
      </c>
      <c r="AD3669" s="198"/>
      <c r="AE3669" s="4" t="s">
        <v>9513</v>
      </c>
    </row>
    <row r="3670" spans="1:31" ht="37" customHeight="1">
      <c r="A3670" s="198" t="s">
        <v>9502</v>
      </c>
      <c r="B3670" s="198" t="s">
        <v>9509</v>
      </c>
      <c r="C3670" s="198" t="s">
        <v>2453</v>
      </c>
      <c r="D3670" s="198" t="s">
        <v>2654</v>
      </c>
      <c r="E3670" s="198" t="s">
        <v>128</v>
      </c>
      <c r="F3670" s="4" t="s">
        <v>27</v>
      </c>
      <c r="G3670" s="198" t="s">
        <v>2658</v>
      </c>
      <c r="H3670" s="4" t="s">
        <v>521</v>
      </c>
      <c r="I3670" s="198"/>
      <c r="J3670" s="21">
        <f>100*37/4/13392.46</f>
        <v>6.9068714784289081E-2</v>
      </c>
      <c r="K3670" s="71" t="s">
        <v>2272</v>
      </c>
      <c r="L3670" s="71" t="s">
        <v>2272</v>
      </c>
      <c r="M3670" s="71" t="s">
        <v>2272</v>
      </c>
      <c r="N3670" s="71" t="s">
        <v>2272</v>
      </c>
      <c r="O3670" s="71" t="s">
        <v>2272</v>
      </c>
      <c r="P3670" s="71" t="s">
        <v>2272</v>
      </c>
      <c r="Q3670" s="71" t="s">
        <v>2272</v>
      </c>
      <c r="R3670" s="71" t="s">
        <v>2272</v>
      </c>
      <c r="S3670" s="71" t="s">
        <v>2272</v>
      </c>
      <c r="T3670" s="71" t="s">
        <v>2272</v>
      </c>
      <c r="U3670" s="71" t="s">
        <v>2272</v>
      </c>
      <c r="V3670" s="71" t="s">
        <v>2272</v>
      </c>
      <c r="W3670" s="71" t="s">
        <v>2272</v>
      </c>
      <c r="X3670" s="71" t="s">
        <v>2272</v>
      </c>
      <c r="Y3670" s="71" t="s">
        <v>2272</v>
      </c>
      <c r="Z3670" s="71" t="s">
        <v>2272</v>
      </c>
      <c r="AA3670" s="71" t="s">
        <v>2272</v>
      </c>
      <c r="AB3670" s="71" t="s">
        <v>2272</v>
      </c>
      <c r="AC3670" s="71" t="s">
        <v>2272</v>
      </c>
      <c r="AD3670" s="198"/>
      <c r="AE3670" s="4" t="s">
        <v>9513</v>
      </c>
    </row>
    <row r="3671" spans="1:31" ht="40" customHeight="1">
      <c r="A3671" s="198" t="s">
        <v>9502</v>
      </c>
      <c r="B3671" s="198" t="s">
        <v>9510</v>
      </c>
      <c r="C3671" s="198" t="s">
        <v>2453</v>
      </c>
      <c r="D3671" s="198" t="s">
        <v>1241</v>
      </c>
      <c r="E3671" s="198" t="s">
        <v>114</v>
      </c>
      <c r="F3671" s="198" t="s">
        <v>2272</v>
      </c>
      <c r="G3671" s="198" t="s">
        <v>2658</v>
      </c>
      <c r="H3671" s="4" t="s">
        <v>521</v>
      </c>
      <c r="I3671" s="198"/>
      <c r="J3671" s="21">
        <f>100*10/2/13392.46</f>
        <v>3.7334440423940039E-2</v>
      </c>
      <c r="K3671" s="71" t="s">
        <v>2272</v>
      </c>
      <c r="L3671" s="71" t="s">
        <v>2272</v>
      </c>
      <c r="M3671" s="71" t="s">
        <v>2272</v>
      </c>
      <c r="N3671" s="71" t="s">
        <v>2272</v>
      </c>
      <c r="O3671" s="71" t="s">
        <v>2272</v>
      </c>
      <c r="P3671" s="71" t="s">
        <v>2272</v>
      </c>
      <c r="Q3671" s="71" t="s">
        <v>2272</v>
      </c>
      <c r="R3671" s="71" t="s">
        <v>2272</v>
      </c>
      <c r="S3671" s="71" t="s">
        <v>2272</v>
      </c>
      <c r="T3671" s="71" t="s">
        <v>2272</v>
      </c>
      <c r="U3671" s="71" t="s">
        <v>2272</v>
      </c>
      <c r="V3671" s="71" t="s">
        <v>2272</v>
      </c>
      <c r="W3671" s="71" t="s">
        <v>2272</v>
      </c>
      <c r="X3671" s="71" t="s">
        <v>2272</v>
      </c>
      <c r="Y3671" s="71" t="s">
        <v>2272</v>
      </c>
      <c r="Z3671" s="71" t="s">
        <v>2272</v>
      </c>
      <c r="AA3671" s="71" t="s">
        <v>2272</v>
      </c>
      <c r="AB3671" s="71" t="s">
        <v>2272</v>
      </c>
      <c r="AC3671" s="71" t="s">
        <v>2272</v>
      </c>
      <c r="AD3671" s="198"/>
      <c r="AE3671" s="198"/>
    </row>
    <row r="3672" spans="1:31" ht="40" customHeight="1">
      <c r="A3672" s="198" t="s">
        <v>9502</v>
      </c>
      <c r="B3672" s="198" t="s">
        <v>9511</v>
      </c>
      <c r="C3672" s="198" t="s">
        <v>2453</v>
      </c>
      <c r="D3672" s="198" t="s">
        <v>3471</v>
      </c>
      <c r="E3672" s="198" t="s">
        <v>860</v>
      </c>
      <c r="F3672" s="198" t="s">
        <v>2272</v>
      </c>
      <c r="G3672" s="198" t="s">
        <v>2658</v>
      </c>
      <c r="H3672" s="4" t="s">
        <v>521</v>
      </c>
      <c r="I3672" s="198"/>
      <c r="J3672" s="71" t="s">
        <v>2272</v>
      </c>
      <c r="K3672" s="71" t="s">
        <v>2272</v>
      </c>
      <c r="L3672" s="71" t="s">
        <v>2272</v>
      </c>
      <c r="M3672" s="71" t="s">
        <v>2272</v>
      </c>
      <c r="N3672" s="71" t="s">
        <v>2272</v>
      </c>
      <c r="O3672" s="71" t="s">
        <v>2272</v>
      </c>
      <c r="P3672" s="71" t="s">
        <v>2272</v>
      </c>
      <c r="Q3672" s="71" t="s">
        <v>2272</v>
      </c>
      <c r="R3672" s="71" t="s">
        <v>2272</v>
      </c>
      <c r="S3672" s="71" t="s">
        <v>2272</v>
      </c>
      <c r="T3672" s="71" t="s">
        <v>2272</v>
      </c>
      <c r="U3672" s="71" t="s">
        <v>2272</v>
      </c>
      <c r="V3672" s="71" t="s">
        <v>2272</v>
      </c>
      <c r="W3672" s="71" t="s">
        <v>2272</v>
      </c>
      <c r="X3672" s="71" t="s">
        <v>2272</v>
      </c>
      <c r="Y3672" s="71" t="s">
        <v>2272</v>
      </c>
      <c r="Z3672" s="71" t="s">
        <v>2272</v>
      </c>
      <c r="AA3672" s="71" t="s">
        <v>2272</v>
      </c>
      <c r="AB3672" s="71" t="s">
        <v>2272</v>
      </c>
      <c r="AC3672" s="71" t="s">
        <v>2272</v>
      </c>
      <c r="AD3672" s="198"/>
      <c r="AE3672" s="198"/>
    </row>
    <row r="3673" spans="1:31" ht="40.5" customHeight="1">
      <c r="A3673" s="198" t="s">
        <v>9502</v>
      </c>
      <c r="B3673" s="198" t="s">
        <v>9512</v>
      </c>
      <c r="C3673" s="198" t="s">
        <v>2453</v>
      </c>
      <c r="D3673" s="198" t="s">
        <v>60</v>
      </c>
      <c r="E3673" s="198" t="s">
        <v>2644</v>
      </c>
      <c r="F3673" s="198" t="s">
        <v>2658</v>
      </c>
      <c r="G3673" s="198" t="s">
        <v>2658</v>
      </c>
      <c r="H3673" s="4" t="s">
        <v>521</v>
      </c>
      <c r="I3673" s="198"/>
      <c r="J3673" s="21">
        <f>100*11/2/13392.46</f>
        <v>4.1067884466334047E-2</v>
      </c>
      <c r="K3673" s="71" t="s">
        <v>2272</v>
      </c>
      <c r="L3673" s="71" t="s">
        <v>2272</v>
      </c>
      <c r="M3673" s="71" t="s">
        <v>2272</v>
      </c>
      <c r="N3673" s="71" t="s">
        <v>2272</v>
      </c>
      <c r="O3673" s="71" t="s">
        <v>2272</v>
      </c>
      <c r="P3673" s="71" t="s">
        <v>2272</v>
      </c>
      <c r="Q3673" s="71" t="s">
        <v>2272</v>
      </c>
      <c r="R3673" s="71" t="s">
        <v>2272</v>
      </c>
      <c r="S3673" s="71" t="s">
        <v>2272</v>
      </c>
      <c r="T3673" s="71" t="s">
        <v>2272</v>
      </c>
      <c r="U3673" s="71" t="s">
        <v>2272</v>
      </c>
      <c r="V3673" s="71" t="s">
        <v>2272</v>
      </c>
      <c r="W3673" s="71" t="s">
        <v>2272</v>
      </c>
      <c r="X3673" s="71" t="s">
        <v>2272</v>
      </c>
      <c r="Y3673" s="71" t="s">
        <v>2272</v>
      </c>
      <c r="Z3673" s="71" t="s">
        <v>2272</v>
      </c>
      <c r="AA3673" s="71" t="s">
        <v>2272</v>
      </c>
      <c r="AB3673" s="71" t="s">
        <v>2272</v>
      </c>
      <c r="AC3673" s="71" t="s">
        <v>2272</v>
      </c>
      <c r="AD3673" s="198"/>
      <c r="AE3673" s="198"/>
    </row>
    <row r="3674" spans="1:31" ht="48" customHeight="1">
      <c r="A3674" s="198" t="s">
        <v>9517</v>
      </c>
      <c r="B3674" s="198" t="s">
        <v>9519</v>
      </c>
      <c r="C3674" s="198" t="s">
        <v>1102</v>
      </c>
      <c r="D3674" s="198" t="s">
        <v>2272</v>
      </c>
      <c r="E3674" s="198" t="s">
        <v>2272</v>
      </c>
      <c r="F3674" s="198" t="s">
        <v>2272</v>
      </c>
      <c r="G3674" s="198" t="s">
        <v>2658</v>
      </c>
      <c r="H3674" s="4" t="s">
        <v>521</v>
      </c>
      <c r="I3674" s="198"/>
      <c r="J3674" s="71" t="s">
        <v>2272</v>
      </c>
      <c r="K3674" s="71" t="s">
        <v>2272</v>
      </c>
      <c r="L3674" s="71" t="s">
        <v>2272</v>
      </c>
      <c r="M3674" s="71" t="s">
        <v>2272</v>
      </c>
      <c r="N3674" s="71" t="s">
        <v>2272</v>
      </c>
      <c r="O3674" s="21">
        <v>22700</v>
      </c>
      <c r="P3674" s="71" t="s">
        <v>2272</v>
      </c>
      <c r="Q3674" s="71" t="s">
        <v>2272</v>
      </c>
      <c r="R3674" s="71" t="s">
        <v>2272</v>
      </c>
      <c r="S3674" s="71" t="s">
        <v>2272</v>
      </c>
      <c r="T3674" s="71" t="s">
        <v>2272</v>
      </c>
      <c r="U3674" s="21">
        <f>40000/2</f>
        <v>20000</v>
      </c>
      <c r="V3674" s="71" t="s">
        <v>2272</v>
      </c>
      <c r="W3674" s="21">
        <f>100/2*(40000)/((899642+181178)*67/163)</f>
        <v>4.5018334614376538</v>
      </c>
      <c r="X3674" s="71" t="s">
        <v>2272</v>
      </c>
      <c r="Y3674" s="21">
        <f>U3674/'Record info'!K$1501</f>
        <v>0.48696433010630191</v>
      </c>
      <c r="Z3674" s="71" t="s">
        <v>2272</v>
      </c>
      <c r="AA3674" s="71" t="s">
        <v>2272</v>
      </c>
      <c r="AB3674" s="71" t="s">
        <v>2272</v>
      </c>
      <c r="AC3674" s="71" t="s">
        <v>2272</v>
      </c>
      <c r="AD3674" s="198"/>
      <c r="AE3674" s="198"/>
    </row>
    <row r="3675" spans="1:31" ht="47.5" customHeight="1">
      <c r="A3675" s="198" t="s">
        <v>9517</v>
      </c>
      <c r="B3675" s="198" t="s">
        <v>9520</v>
      </c>
      <c r="C3675" s="198" t="s">
        <v>1102</v>
      </c>
      <c r="D3675" s="198" t="s">
        <v>2272</v>
      </c>
      <c r="E3675" s="198" t="s">
        <v>2272</v>
      </c>
      <c r="F3675" s="198" t="s">
        <v>2272</v>
      </c>
      <c r="G3675" s="198" t="s">
        <v>27</v>
      </c>
      <c r="H3675" s="4" t="s">
        <v>521</v>
      </c>
      <c r="I3675" s="198"/>
      <c r="J3675" s="71" t="s">
        <v>2272</v>
      </c>
      <c r="K3675" s="71" t="s">
        <v>2272</v>
      </c>
      <c r="L3675" s="71" t="s">
        <v>2272</v>
      </c>
      <c r="M3675" s="71" t="s">
        <v>2272</v>
      </c>
      <c r="N3675" s="71" t="s">
        <v>2272</v>
      </c>
      <c r="O3675" s="21">
        <v>22700</v>
      </c>
      <c r="P3675" s="71" t="s">
        <v>2272</v>
      </c>
      <c r="Q3675" s="71" t="s">
        <v>2272</v>
      </c>
      <c r="R3675" s="71" t="s">
        <v>2272</v>
      </c>
      <c r="S3675" s="71" t="s">
        <v>2272</v>
      </c>
      <c r="T3675" s="71" t="s">
        <v>2272</v>
      </c>
      <c r="U3675" s="21">
        <f>52200/2</f>
        <v>26100</v>
      </c>
      <c r="V3675" s="71" t="s">
        <v>2272</v>
      </c>
      <c r="W3675" s="71" t="s">
        <v>2272</v>
      </c>
      <c r="X3675" s="71" t="s">
        <v>2272</v>
      </c>
      <c r="Y3675" s="21">
        <f>U3675/'Record info'!K$1501</f>
        <v>0.63548845078872396</v>
      </c>
      <c r="Z3675" s="71" t="s">
        <v>2272</v>
      </c>
      <c r="AA3675" s="71" t="s">
        <v>2272</v>
      </c>
      <c r="AB3675" s="71" t="s">
        <v>2272</v>
      </c>
      <c r="AC3675" s="71" t="s">
        <v>2272</v>
      </c>
      <c r="AD3675" s="198"/>
      <c r="AE3675" s="198"/>
    </row>
    <row r="3676" spans="1:31" ht="49.5" customHeight="1">
      <c r="A3676" s="198" t="s">
        <v>9517</v>
      </c>
      <c r="B3676" s="198" t="s">
        <v>9521</v>
      </c>
      <c r="C3676" s="198" t="s">
        <v>1102</v>
      </c>
      <c r="D3676" s="198" t="s">
        <v>2272</v>
      </c>
      <c r="E3676" s="198" t="s">
        <v>2272</v>
      </c>
      <c r="F3676" s="198" t="s">
        <v>2272</v>
      </c>
      <c r="G3676" s="4" t="s">
        <v>2657</v>
      </c>
      <c r="H3676" s="4" t="s">
        <v>521</v>
      </c>
      <c r="I3676" s="198"/>
      <c r="J3676" s="71" t="s">
        <v>2272</v>
      </c>
      <c r="K3676" s="71" t="s">
        <v>2272</v>
      </c>
      <c r="L3676" s="71" t="s">
        <v>2272</v>
      </c>
      <c r="M3676" s="71" t="s">
        <v>2272</v>
      </c>
      <c r="N3676" s="71" t="s">
        <v>2272</v>
      </c>
      <c r="O3676" s="21">
        <v>22700</v>
      </c>
      <c r="P3676" s="71" t="s">
        <v>2272</v>
      </c>
      <c r="Q3676" s="71" t="s">
        <v>2272</v>
      </c>
      <c r="R3676" s="71" t="s">
        <v>2272</v>
      </c>
      <c r="S3676" s="71" t="s">
        <v>2272</v>
      </c>
      <c r="T3676" s="71" t="s">
        <v>2272</v>
      </c>
      <c r="U3676" s="21">
        <f>290000/2*0.82</f>
        <v>118900</v>
      </c>
      <c r="V3676" s="71" t="s">
        <v>2272</v>
      </c>
      <c r="W3676" s="71" t="s">
        <v>2272</v>
      </c>
      <c r="X3676" s="71" t="s">
        <v>2272</v>
      </c>
      <c r="Y3676" s="21">
        <f>U3676/'Record info'!K$1501</f>
        <v>2.8950029424819648</v>
      </c>
      <c r="Z3676" s="71" t="s">
        <v>2272</v>
      </c>
      <c r="AA3676" s="71" t="s">
        <v>2272</v>
      </c>
      <c r="AB3676" s="71" t="s">
        <v>2272</v>
      </c>
      <c r="AC3676" s="71" t="s">
        <v>2272</v>
      </c>
      <c r="AD3676" s="198" t="s">
        <v>9528</v>
      </c>
      <c r="AE3676" s="198"/>
    </row>
    <row r="3677" spans="1:31" ht="49" customHeight="1">
      <c r="A3677" s="198" t="s">
        <v>9517</v>
      </c>
      <c r="B3677" s="198" t="s">
        <v>9522</v>
      </c>
      <c r="C3677" s="198" t="s">
        <v>1102</v>
      </c>
      <c r="D3677" s="198" t="s">
        <v>2272</v>
      </c>
      <c r="E3677" s="198" t="s">
        <v>9461</v>
      </c>
      <c r="F3677" s="198" t="s">
        <v>2272</v>
      </c>
      <c r="G3677" s="198" t="s">
        <v>73</v>
      </c>
      <c r="H3677" s="4" t="s">
        <v>521</v>
      </c>
      <c r="I3677" s="198"/>
      <c r="J3677" s="71" t="s">
        <v>2272</v>
      </c>
      <c r="K3677" s="71" t="s">
        <v>2272</v>
      </c>
      <c r="L3677" s="71" t="s">
        <v>2272</v>
      </c>
      <c r="M3677" s="71" t="s">
        <v>2272</v>
      </c>
      <c r="N3677" s="71" t="s">
        <v>2272</v>
      </c>
      <c r="O3677" s="21">
        <v>22700</v>
      </c>
      <c r="P3677" s="71" t="s">
        <v>2272</v>
      </c>
      <c r="Q3677" s="71" t="s">
        <v>2272</v>
      </c>
      <c r="R3677" s="71" t="s">
        <v>2272</v>
      </c>
      <c r="S3677" s="71" t="s">
        <v>2272</v>
      </c>
      <c r="T3677" s="71" t="s">
        <v>2272</v>
      </c>
      <c r="U3677" s="21">
        <f>(29274+33210)/2</f>
        <v>31242</v>
      </c>
      <c r="V3677" s="71" t="s">
        <v>2272</v>
      </c>
      <c r="W3677" s="21">
        <f>100/2*(29274+33210)/(304726+478072)</f>
        <v>3.9910679383442473</v>
      </c>
      <c r="X3677" s="71" t="s">
        <v>2272</v>
      </c>
      <c r="Y3677" s="21">
        <f>U3677/'Record info'!K$1501</f>
        <v>0.76068698005905422</v>
      </c>
      <c r="Z3677" s="71" t="s">
        <v>2272</v>
      </c>
      <c r="AA3677" s="71" t="s">
        <v>2272</v>
      </c>
      <c r="AB3677" s="71" t="s">
        <v>2272</v>
      </c>
      <c r="AC3677" s="71" t="s">
        <v>2272</v>
      </c>
      <c r="AD3677" s="198"/>
      <c r="AE3677" s="198"/>
    </row>
    <row r="3678" spans="1:31" ht="58.5" customHeight="1">
      <c r="A3678" s="198" t="s">
        <v>9517</v>
      </c>
      <c r="B3678" s="198" t="s">
        <v>9524</v>
      </c>
      <c r="C3678" s="198" t="s">
        <v>23</v>
      </c>
      <c r="D3678" s="198" t="s">
        <v>141</v>
      </c>
      <c r="E3678" s="4" t="s">
        <v>395</v>
      </c>
      <c r="F3678" s="198" t="s">
        <v>73</v>
      </c>
      <c r="G3678" s="198" t="s">
        <v>73</v>
      </c>
      <c r="H3678" s="4" t="s">
        <v>521</v>
      </c>
      <c r="I3678" s="198"/>
      <c r="J3678" s="71" t="s">
        <v>2272</v>
      </c>
      <c r="K3678" s="71" t="s">
        <v>2272</v>
      </c>
      <c r="L3678" s="71" t="s">
        <v>2272</v>
      </c>
      <c r="M3678" s="71" t="s">
        <v>2272</v>
      </c>
      <c r="N3678" s="71" t="s">
        <v>2272</v>
      </c>
      <c r="O3678" s="71" t="s">
        <v>2272</v>
      </c>
      <c r="P3678" s="71" t="s">
        <v>2272</v>
      </c>
      <c r="Q3678" s="71" t="s">
        <v>2272</v>
      </c>
      <c r="R3678" s="71" t="s">
        <v>2272</v>
      </c>
      <c r="S3678" s="71" t="s">
        <v>2272</v>
      </c>
      <c r="T3678" s="71" t="s">
        <v>2272</v>
      </c>
      <c r="U3678" s="71" t="s">
        <v>2272</v>
      </c>
      <c r="V3678" s="71" t="s">
        <v>2272</v>
      </c>
      <c r="W3678" s="71" t="s">
        <v>2272</v>
      </c>
      <c r="X3678" s="71" t="s">
        <v>2272</v>
      </c>
      <c r="Y3678" s="71" t="s">
        <v>2272</v>
      </c>
      <c r="Z3678" s="71" t="s">
        <v>2272</v>
      </c>
      <c r="AA3678" s="71" t="s">
        <v>2272</v>
      </c>
      <c r="AB3678" s="71" t="s">
        <v>2272</v>
      </c>
      <c r="AC3678" s="71" t="s">
        <v>2272</v>
      </c>
      <c r="AD3678" s="4" t="s">
        <v>9527</v>
      </c>
      <c r="AE3678" s="198"/>
    </row>
    <row r="3679" spans="1:31" ht="54.5" customHeight="1">
      <c r="A3679" s="198" t="s">
        <v>9517</v>
      </c>
      <c r="B3679" s="198" t="s">
        <v>9525</v>
      </c>
      <c r="C3679" s="198" t="s">
        <v>23</v>
      </c>
      <c r="D3679" s="198" t="s">
        <v>141</v>
      </c>
      <c r="E3679" s="4" t="s">
        <v>82</v>
      </c>
      <c r="F3679" s="198" t="s">
        <v>73</v>
      </c>
      <c r="G3679" s="198" t="s">
        <v>73</v>
      </c>
      <c r="H3679" s="4" t="s">
        <v>521</v>
      </c>
      <c r="I3679" s="198"/>
      <c r="J3679" s="71" t="s">
        <v>2272</v>
      </c>
      <c r="K3679" s="71" t="s">
        <v>2272</v>
      </c>
      <c r="L3679" s="71" t="s">
        <v>2272</v>
      </c>
      <c r="M3679" s="71" t="s">
        <v>2272</v>
      </c>
      <c r="N3679" s="71" t="s">
        <v>2272</v>
      </c>
      <c r="O3679" s="71" t="s">
        <v>2272</v>
      </c>
      <c r="P3679" s="71" t="s">
        <v>2272</v>
      </c>
      <c r="Q3679" s="71" t="s">
        <v>2272</v>
      </c>
      <c r="R3679" s="71" t="s">
        <v>2272</v>
      </c>
      <c r="S3679" s="71" t="s">
        <v>2272</v>
      </c>
      <c r="T3679" s="71" t="s">
        <v>2272</v>
      </c>
      <c r="U3679" s="71" t="s">
        <v>2272</v>
      </c>
      <c r="V3679" s="71" t="s">
        <v>2272</v>
      </c>
      <c r="W3679" s="71" t="s">
        <v>2272</v>
      </c>
      <c r="X3679" s="71" t="s">
        <v>2272</v>
      </c>
      <c r="Y3679" s="71" t="s">
        <v>2272</v>
      </c>
      <c r="Z3679" s="71" t="s">
        <v>2272</v>
      </c>
      <c r="AA3679" s="71" t="s">
        <v>2272</v>
      </c>
      <c r="AB3679" s="71" t="s">
        <v>2272</v>
      </c>
      <c r="AC3679" s="71" t="s">
        <v>2272</v>
      </c>
      <c r="AE3679" s="198"/>
    </row>
    <row r="3680" spans="1:31" ht="53.5" customHeight="1">
      <c r="A3680" s="198" t="s">
        <v>9517</v>
      </c>
      <c r="B3680" s="198" t="s">
        <v>9525</v>
      </c>
      <c r="C3680" s="198" t="s">
        <v>23</v>
      </c>
      <c r="D3680" s="198" t="s">
        <v>2342</v>
      </c>
      <c r="E3680" s="198" t="s">
        <v>82</v>
      </c>
      <c r="F3680" s="4" t="s">
        <v>27</v>
      </c>
      <c r="G3680" s="198" t="s">
        <v>27</v>
      </c>
      <c r="H3680" s="4" t="s">
        <v>521</v>
      </c>
      <c r="I3680" s="198"/>
      <c r="J3680" s="71" t="s">
        <v>2272</v>
      </c>
      <c r="K3680" s="71" t="s">
        <v>2272</v>
      </c>
      <c r="L3680" s="71" t="s">
        <v>2272</v>
      </c>
      <c r="M3680" s="71" t="s">
        <v>2272</v>
      </c>
      <c r="N3680" s="71" t="s">
        <v>2272</v>
      </c>
      <c r="O3680" s="71" t="s">
        <v>2272</v>
      </c>
      <c r="P3680" s="71" t="s">
        <v>2272</v>
      </c>
      <c r="Q3680" s="71" t="s">
        <v>2272</v>
      </c>
      <c r="R3680" s="71" t="s">
        <v>2272</v>
      </c>
      <c r="S3680" s="71" t="s">
        <v>2272</v>
      </c>
      <c r="T3680" s="71" t="s">
        <v>2272</v>
      </c>
      <c r="U3680" s="71" t="s">
        <v>2272</v>
      </c>
      <c r="V3680" s="71" t="s">
        <v>2272</v>
      </c>
      <c r="W3680" s="71" t="s">
        <v>2272</v>
      </c>
      <c r="X3680" s="71" t="s">
        <v>2272</v>
      </c>
      <c r="Y3680" s="71" t="s">
        <v>2272</v>
      </c>
      <c r="Z3680" s="71" t="s">
        <v>2272</v>
      </c>
      <c r="AA3680" s="71" t="s">
        <v>2272</v>
      </c>
      <c r="AB3680" s="71" t="s">
        <v>2272</v>
      </c>
      <c r="AC3680" s="71" t="s">
        <v>2272</v>
      </c>
      <c r="AD3680" s="71" t="s">
        <v>9526</v>
      </c>
      <c r="AE3680" s="198"/>
    </row>
    <row r="3681" spans="1:31" ht="56.5" customHeight="1">
      <c r="A3681" s="198" t="s">
        <v>9517</v>
      </c>
      <c r="B3681" s="198" t="s">
        <v>9529</v>
      </c>
      <c r="C3681" s="198" t="s">
        <v>23</v>
      </c>
      <c r="D3681" s="198" t="s">
        <v>2227</v>
      </c>
      <c r="E3681" s="4" t="s">
        <v>395</v>
      </c>
      <c r="F3681" s="4" t="s">
        <v>2657</v>
      </c>
      <c r="G3681" s="4" t="s">
        <v>2657</v>
      </c>
      <c r="H3681" s="4" t="s">
        <v>521</v>
      </c>
      <c r="I3681" s="198"/>
      <c r="J3681" s="71" t="s">
        <v>2272</v>
      </c>
      <c r="K3681" s="71" t="s">
        <v>2272</v>
      </c>
      <c r="L3681" s="71" t="s">
        <v>2272</v>
      </c>
      <c r="M3681" s="71" t="s">
        <v>2272</v>
      </c>
      <c r="N3681" s="71" t="s">
        <v>2272</v>
      </c>
      <c r="O3681" s="71" t="s">
        <v>2272</v>
      </c>
      <c r="P3681" s="71" t="s">
        <v>2272</v>
      </c>
      <c r="Q3681" s="71" t="s">
        <v>2272</v>
      </c>
      <c r="R3681" s="71" t="s">
        <v>2272</v>
      </c>
      <c r="S3681" s="71" t="s">
        <v>2272</v>
      </c>
      <c r="T3681" s="71" t="s">
        <v>2272</v>
      </c>
      <c r="U3681" s="71" t="s">
        <v>2272</v>
      </c>
      <c r="V3681" s="71" t="s">
        <v>2272</v>
      </c>
      <c r="W3681" s="71" t="s">
        <v>2272</v>
      </c>
      <c r="X3681" s="71" t="s">
        <v>2272</v>
      </c>
      <c r="Y3681" s="71" t="s">
        <v>2272</v>
      </c>
      <c r="Z3681" s="71" t="s">
        <v>2272</v>
      </c>
      <c r="AA3681" s="71" t="s">
        <v>2272</v>
      </c>
      <c r="AB3681" s="71" t="s">
        <v>2272</v>
      </c>
      <c r="AC3681" s="71" t="s">
        <v>2272</v>
      </c>
      <c r="AD3681" s="4" t="s">
        <v>9530</v>
      </c>
      <c r="AE3681" s="198"/>
    </row>
    <row r="3682" spans="1:31" ht="56.5" customHeight="1">
      <c r="A3682" s="198" t="s">
        <v>9534</v>
      </c>
      <c r="B3682" s="198" t="s">
        <v>9544</v>
      </c>
      <c r="C3682" s="198" t="s">
        <v>1102</v>
      </c>
      <c r="D3682" s="198" t="s">
        <v>2272</v>
      </c>
      <c r="E3682" s="198" t="s">
        <v>2272</v>
      </c>
      <c r="F3682" s="198" t="s">
        <v>2272</v>
      </c>
      <c r="G3682" s="198" t="s">
        <v>73</v>
      </c>
      <c r="H3682" s="198" t="s">
        <v>521</v>
      </c>
      <c r="I3682" s="198"/>
      <c r="J3682" s="71" t="s">
        <v>2272</v>
      </c>
      <c r="K3682" s="71" t="s">
        <v>2272</v>
      </c>
      <c r="L3682" s="71" t="s">
        <v>2272</v>
      </c>
      <c r="M3682" s="71" t="s">
        <v>2272</v>
      </c>
      <c r="N3682" s="71" t="s">
        <v>2272</v>
      </c>
      <c r="O3682" s="71" t="s">
        <v>2272</v>
      </c>
      <c r="P3682" s="71" t="s">
        <v>2272</v>
      </c>
      <c r="Q3682" s="71" t="s">
        <v>2272</v>
      </c>
      <c r="R3682" s="71" t="s">
        <v>2272</v>
      </c>
      <c r="S3682" s="71" t="s">
        <v>2272</v>
      </c>
      <c r="T3682" s="71" t="s">
        <v>2272</v>
      </c>
      <c r="U3682" s="21">
        <f>2375000+750000</f>
        <v>3125000</v>
      </c>
      <c r="V3682" s="71" t="s">
        <v>2272</v>
      </c>
      <c r="W3682" s="71" t="s">
        <v>2272</v>
      </c>
      <c r="X3682" s="71" t="s">
        <v>2272</v>
      </c>
      <c r="Y3682" s="21">
        <f>U3682/'Record info'!K$1502</f>
        <v>4.2040547267028101</v>
      </c>
      <c r="Z3682" s="71" t="s">
        <v>2272</v>
      </c>
      <c r="AA3682" s="71" t="s">
        <v>2272</v>
      </c>
      <c r="AB3682" s="71" t="s">
        <v>2272</v>
      </c>
      <c r="AC3682" s="198"/>
      <c r="AD3682" s="198"/>
      <c r="AE3682" s="198"/>
    </row>
    <row r="3683" spans="1:31" ht="56.5" customHeight="1">
      <c r="A3683" s="198" t="s">
        <v>9534</v>
      </c>
      <c r="B3683" s="198" t="s">
        <v>9558</v>
      </c>
      <c r="C3683" s="198" t="s">
        <v>1102</v>
      </c>
      <c r="D3683" s="198" t="s">
        <v>2272</v>
      </c>
      <c r="E3683" s="198" t="s">
        <v>2272</v>
      </c>
      <c r="F3683" s="198" t="s">
        <v>2272</v>
      </c>
      <c r="G3683" s="198" t="s">
        <v>54</v>
      </c>
      <c r="H3683" s="198" t="s">
        <v>521</v>
      </c>
      <c r="I3683" s="198"/>
      <c r="J3683" s="71" t="s">
        <v>2272</v>
      </c>
      <c r="K3683" s="71" t="s">
        <v>2272</v>
      </c>
      <c r="L3683" s="71" t="s">
        <v>2272</v>
      </c>
      <c r="M3683" s="71" t="s">
        <v>2272</v>
      </c>
      <c r="N3683" s="71" t="s">
        <v>2272</v>
      </c>
      <c r="O3683" s="71" t="s">
        <v>2272</v>
      </c>
      <c r="P3683" s="71" t="s">
        <v>2272</v>
      </c>
      <c r="Q3683" s="71" t="s">
        <v>2272</v>
      </c>
      <c r="R3683" s="71" t="s">
        <v>2272</v>
      </c>
      <c r="S3683" s="71" t="s">
        <v>2272</v>
      </c>
      <c r="T3683" s="71" t="s">
        <v>2272</v>
      </c>
      <c r="U3683" s="21">
        <v>375000</v>
      </c>
      <c r="V3683" s="71" t="s">
        <v>2272</v>
      </c>
      <c r="W3683" s="71" t="s">
        <v>2272</v>
      </c>
      <c r="X3683" s="71" t="s">
        <v>2272</v>
      </c>
      <c r="Y3683" s="21">
        <f>U3683/'Record info'!K$1502</f>
        <v>0.50448656720433727</v>
      </c>
      <c r="Z3683" s="71" t="s">
        <v>2272</v>
      </c>
      <c r="AA3683" s="71" t="s">
        <v>2272</v>
      </c>
      <c r="AB3683" s="71" t="s">
        <v>2272</v>
      </c>
      <c r="AC3683" s="198"/>
      <c r="AD3683" s="198"/>
      <c r="AE3683" s="198"/>
    </row>
    <row r="3684" spans="1:31" ht="56.5" customHeight="1">
      <c r="A3684" s="198" t="s">
        <v>9534</v>
      </c>
      <c r="B3684" s="198" t="s">
        <v>9559</v>
      </c>
      <c r="C3684" s="198" t="s">
        <v>1102</v>
      </c>
      <c r="D3684" s="198" t="s">
        <v>2272</v>
      </c>
      <c r="E3684" s="198" t="s">
        <v>2272</v>
      </c>
      <c r="F3684" s="198" t="s">
        <v>2272</v>
      </c>
      <c r="G3684" s="198" t="s">
        <v>2658</v>
      </c>
      <c r="H3684" s="198" t="s">
        <v>521</v>
      </c>
      <c r="I3684" s="198"/>
      <c r="J3684" s="71" t="s">
        <v>2272</v>
      </c>
      <c r="K3684" s="71" t="s">
        <v>2272</v>
      </c>
      <c r="L3684" s="71" t="s">
        <v>2272</v>
      </c>
      <c r="M3684" s="71" t="s">
        <v>2272</v>
      </c>
      <c r="N3684" s="71" t="s">
        <v>2272</v>
      </c>
      <c r="O3684" s="71" t="s">
        <v>2272</v>
      </c>
      <c r="P3684" s="71" t="s">
        <v>2272</v>
      </c>
      <c r="Q3684" s="71" t="s">
        <v>2272</v>
      </c>
      <c r="R3684" s="71" t="s">
        <v>2272</v>
      </c>
      <c r="S3684" s="71" t="s">
        <v>2272</v>
      </c>
      <c r="T3684" s="71" t="s">
        <v>2272</v>
      </c>
      <c r="U3684" s="21">
        <v>116000</v>
      </c>
      <c r="V3684" s="71" t="s">
        <v>2272</v>
      </c>
      <c r="W3684" s="71" t="s">
        <v>2272</v>
      </c>
      <c r="X3684" s="71" t="s">
        <v>2272</v>
      </c>
      <c r="Y3684" s="21">
        <f>U3684/'Record info'!K$1502</f>
        <v>0.15605451145520832</v>
      </c>
      <c r="Z3684" s="71" t="s">
        <v>2272</v>
      </c>
      <c r="AA3684" s="71" t="s">
        <v>2272</v>
      </c>
      <c r="AB3684" s="71" t="s">
        <v>2272</v>
      </c>
      <c r="AC3684" s="198"/>
      <c r="AD3684" s="198"/>
      <c r="AE3684" s="198"/>
    </row>
    <row r="3685" spans="1:31" ht="56.5" customHeight="1">
      <c r="A3685" s="198" t="s">
        <v>9534</v>
      </c>
      <c r="B3685" s="198" t="s">
        <v>9560</v>
      </c>
      <c r="C3685" s="198" t="s">
        <v>1102</v>
      </c>
      <c r="D3685" s="198" t="s">
        <v>2272</v>
      </c>
      <c r="E3685" s="198" t="s">
        <v>128</v>
      </c>
      <c r="F3685" s="198" t="s">
        <v>2272</v>
      </c>
      <c r="G3685" s="198" t="s">
        <v>27</v>
      </c>
      <c r="H3685" s="198" t="s">
        <v>521</v>
      </c>
      <c r="I3685" s="198"/>
      <c r="J3685" s="71" t="s">
        <v>2272</v>
      </c>
      <c r="K3685" s="71" t="s">
        <v>2272</v>
      </c>
      <c r="L3685" s="71" t="s">
        <v>2272</v>
      </c>
      <c r="M3685" s="71" t="s">
        <v>2272</v>
      </c>
      <c r="N3685" s="71" t="s">
        <v>2272</v>
      </c>
      <c r="O3685" s="71" t="s">
        <v>2272</v>
      </c>
      <c r="P3685" s="71" t="s">
        <v>2272</v>
      </c>
      <c r="Q3685" s="71" t="s">
        <v>2272</v>
      </c>
      <c r="R3685" s="71" t="s">
        <v>2272</v>
      </c>
      <c r="S3685" s="71" t="s">
        <v>2272</v>
      </c>
      <c r="T3685" s="71" t="s">
        <v>2272</v>
      </c>
      <c r="U3685" s="21">
        <v>2829000</v>
      </c>
      <c r="V3685" s="71" t="s">
        <v>2272</v>
      </c>
      <c r="W3685" s="71" t="s">
        <v>2272</v>
      </c>
      <c r="X3685" s="71" t="s">
        <v>2272</v>
      </c>
      <c r="Y3685" s="21">
        <f>U3685/'Record info'!K$1502</f>
        <v>3.80584666298952</v>
      </c>
      <c r="Z3685" s="71" t="s">
        <v>2272</v>
      </c>
      <c r="AA3685" s="71" t="s">
        <v>2272</v>
      </c>
      <c r="AB3685" s="71" t="s">
        <v>2272</v>
      </c>
      <c r="AC3685" s="198"/>
      <c r="AD3685" s="198"/>
      <c r="AE3685" s="198"/>
    </row>
    <row r="3686" spans="1:31" ht="56.5" customHeight="1">
      <c r="A3686" s="198" t="s">
        <v>9534</v>
      </c>
      <c r="B3686" s="198" t="s">
        <v>9561</v>
      </c>
      <c r="C3686" s="198" t="s">
        <v>1102</v>
      </c>
      <c r="D3686" s="198" t="s">
        <v>2272</v>
      </c>
      <c r="E3686" s="198" t="s">
        <v>82</v>
      </c>
      <c r="F3686" s="198" t="s">
        <v>2272</v>
      </c>
      <c r="G3686" s="198" t="s">
        <v>27</v>
      </c>
      <c r="H3686" s="198" t="s">
        <v>521</v>
      </c>
      <c r="I3686" s="198"/>
      <c r="J3686" s="71" t="s">
        <v>2272</v>
      </c>
      <c r="K3686" s="71" t="s">
        <v>2272</v>
      </c>
      <c r="L3686" s="71" t="s">
        <v>2272</v>
      </c>
      <c r="M3686" s="71" t="s">
        <v>2272</v>
      </c>
      <c r="N3686" s="71" t="s">
        <v>2272</v>
      </c>
      <c r="O3686" s="71" t="s">
        <v>2272</v>
      </c>
      <c r="P3686" s="71" t="s">
        <v>2272</v>
      </c>
      <c r="Q3686" s="71" t="s">
        <v>2272</v>
      </c>
      <c r="R3686" s="71" t="s">
        <v>2272</v>
      </c>
      <c r="S3686" s="71" t="s">
        <v>2272</v>
      </c>
      <c r="T3686" s="71" t="s">
        <v>2272</v>
      </c>
      <c r="U3686" s="21">
        <v>55000</v>
      </c>
      <c r="V3686" s="71" t="s">
        <v>2272</v>
      </c>
      <c r="W3686" s="71" t="s">
        <v>2272</v>
      </c>
      <c r="X3686" s="71" t="s">
        <v>2272</v>
      </c>
      <c r="Y3686" s="21">
        <f>U3686/'Record info'!K$1502</f>
        <v>7.3991363189969461E-2</v>
      </c>
      <c r="Z3686" s="71" t="s">
        <v>2272</v>
      </c>
      <c r="AA3686" s="71" t="s">
        <v>2272</v>
      </c>
      <c r="AB3686" s="71" t="s">
        <v>2272</v>
      </c>
      <c r="AC3686" s="198"/>
      <c r="AD3686" s="198"/>
      <c r="AE3686" s="198"/>
    </row>
    <row r="3687" spans="1:31" ht="56.5" customHeight="1">
      <c r="A3687" s="198" t="s">
        <v>9538</v>
      </c>
      <c r="B3687" s="198" t="s">
        <v>9545</v>
      </c>
      <c r="C3687" s="198" t="s">
        <v>1102</v>
      </c>
      <c r="D3687" s="198" t="s">
        <v>2272</v>
      </c>
      <c r="E3687" s="198" t="s">
        <v>2272</v>
      </c>
      <c r="F3687" s="198" t="s">
        <v>2272</v>
      </c>
      <c r="G3687" s="198" t="s">
        <v>73</v>
      </c>
      <c r="H3687" s="198" t="s">
        <v>521</v>
      </c>
      <c r="I3687" s="198"/>
      <c r="J3687" s="71" t="s">
        <v>2272</v>
      </c>
      <c r="K3687" s="71" t="s">
        <v>2272</v>
      </c>
      <c r="L3687" s="71" t="s">
        <v>2272</v>
      </c>
      <c r="M3687" s="71" t="s">
        <v>2272</v>
      </c>
      <c r="N3687" s="71" t="s">
        <v>2272</v>
      </c>
      <c r="O3687" s="71" t="s">
        <v>2272</v>
      </c>
      <c r="P3687" s="71" t="s">
        <v>2272</v>
      </c>
      <c r="Q3687" s="71" t="s">
        <v>2272</v>
      </c>
      <c r="R3687" s="71" t="s">
        <v>2272</v>
      </c>
      <c r="S3687" s="71" t="s">
        <v>2272</v>
      </c>
      <c r="T3687" s="71" t="s">
        <v>2272</v>
      </c>
      <c r="U3687" s="21">
        <f>383000+308000</f>
        <v>691000</v>
      </c>
      <c r="V3687" s="71" t="s">
        <v>2272</v>
      </c>
      <c r="W3687" s="71" t="s">
        <v>2272</v>
      </c>
      <c r="X3687" s="71" t="s">
        <v>2272</v>
      </c>
      <c r="Y3687" s="21">
        <f>U3687/'Record info'!K$1503</f>
        <v>1.4594038620345906</v>
      </c>
      <c r="Z3687" s="71" t="s">
        <v>2272</v>
      </c>
      <c r="AA3687" s="71" t="s">
        <v>2272</v>
      </c>
      <c r="AB3687" s="71" t="s">
        <v>2272</v>
      </c>
      <c r="AC3687" s="198"/>
      <c r="AD3687" s="198"/>
      <c r="AE3687" s="198"/>
    </row>
    <row r="3688" spans="1:31" ht="56.5" customHeight="1">
      <c r="A3688" s="198" t="s">
        <v>9538</v>
      </c>
      <c r="B3688" s="198" t="s">
        <v>9562</v>
      </c>
      <c r="C3688" s="198" t="s">
        <v>1102</v>
      </c>
      <c r="D3688" s="198" t="s">
        <v>2272</v>
      </c>
      <c r="E3688" s="198" t="s">
        <v>2272</v>
      </c>
      <c r="F3688" s="198" t="s">
        <v>2272</v>
      </c>
      <c r="G3688" s="198" t="s">
        <v>54</v>
      </c>
      <c r="H3688" s="198" t="s">
        <v>521</v>
      </c>
      <c r="I3688" s="198"/>
      <c r="J3688" s="71" t="s">
        <v>2272</v>
      </c>
      <c r="K3688" s="71" t="s">
        <v>2272</v>
      </c>
      <c r="L3688" s="71" t="s">
        <v>2272</v>
      </c>
      <c r="M3688" s="71" t="s">
        <v>2272</v>
      </c>
      <c r="N3688" s="71" t="s">
        <v>2272</v>
      </c>
      <c r="O3688" s="71" t="s">
        <v>2272</v>
      </c>
      <c r="P3688" s="71" t="s">
        <v>2272</v>
      </c>
      <c r="Q3688" s="71" t="s">
        <v>2272</v>
      </c>
      <c r="R3688" s="71" t="s">
        <v>2272</v>
      </c>
      <c r="S3688" s="71" t="s">
        <v>2272</v>
      </c>
      <c r="T3688" s="71" t="s">
        <v>2272</v>
      </c>
      <c r="U3688" s="21">
        <v>263000</v>
      </c>
      <c r="V3688" s="71" t="s">
        <v>2272</v>
      </c>
      <c r="W3688" s="71" t="s">
        <v>2272</v>
      </c>
      <c r="X3688" s="71" t="s">
        <v>2272</v>
      </c>
      <c r="Y3688" s="21">
        <f>U3688/'Record info'!K$1503</f>
        <v>0.55546051478306413</v>
      </c>
      <c r="Z3688" s="71" t="s">
        <v>2272</v>
      </c>
      <c r="AA3688" s="71" t="s">
        <v>2272</v>
      </c>
      <c r="AB3688" s="71" t="s">
        <v>2272</v>
      </c>
      <c r="AC3688" s="198"/>
      <c r="AD3688" s="198"/>
      <c r="AE3688" s="198"/>
    </row>
    <row r="3689" spans="1:31" ht="56.5" customHeight="1">
      <c r="A3689" s="198" t="s">
        <v>9538</v>
      </c>
      <c r="B3689" s="198" t="s">
        <v>9563</v>
      </c>
      <c r="C3689" s="198" t="s">
        <v>1102</v>
      </c>
      <c r="D3689" s="198" t="s">
        <v>2272</v>
      </c>
      <c r="E3689" s="198" t="s">
        <v>2272</v>
      </c>
      <c r="F3689" s="198" t="s">
        <v>2272</v>
      </c>
      <c r="G3689" s="198" t="s">
        <v>2658</v>
      </c>
      <c r="H3689" s="198" t="s">
        <v>521</v>
      </c>
      <c r="I3689" s="198"/>
      <c r="J3689" s="71" t="s">
        <v>2272</v>
      </c>
      <c r="K3689" s="71" t="s">
        <v>2272</v>
      </c>
      <c r="L3689" s="71" t="s">
        <v>2272</v>
      </c>
      <c r="M3689" s="71" t="s">
        <v>2272</v>
      </c>
      <c r="N3689" s="71" t="s">
        <v>2272</v>
      </c>
      <c r="O3689" s="71" t="s">
        <v>2272</v>
      </c>
      <c r="P3689" s="71" t="s">
        <v>2272</v>
      </c>
      <c r="Q3689" s="71" t="s">
        <v>2272</v>
      </c>
      <c r="R3689" s="71" t="s">
        <v>2272</v>
      </c>
      <c r="S3689" s="71" t="s">
        <v>2272</v>
      </c>
      <c r="T3689" s="71" t="s">
        <v>2272</v>
      </c>
      <c r="U3689" s="21">
        <v>72000</v>
      </c>
      <c r="V3689" s="71" t="s">
        <v>2272</v>
      </c>
      <c r="W3689" s="71" t="s">
        <v>2272</v>
      </c>
      <c r="X3689" s="71" t="s">
        <v>2272</v>
      </c>
      <c r="Y3689" s="21">
        <f>U3689/'Record info'!K$1503</f>
        <v>0.15206523598623808</v>
      </c>
      <c r="Z3689" s="71" t="s">
        <v>2272</v>
      </c>
      <c r="AA3689" s="71" t="s">
        <v>2272</v>
      </c>
      <c r="AB3689" s="71" t="s">
        <v>2272</v>
      </c>
      <c r="AC3689" s="198"/>
      <c r="AD3689" s="198"/>
      <c r="AE3689" s="198"/>
    </row>
    <row r="3690" spans="1:31" ht="56.5" customHeight="1">
      <c r="A3690" s="198" t="s">
        <v>9538</v>
      </c>
      <c r="B3690" s="198" t="s">
        <v>9564</v>
      </c>
      <c r="C3690" s="198" t="s">
        <v>1102</v>
      </c>
      <c r="D3690" s="198" t="s">
        <v>2272</v>
      </c>
      <c r="E3690" s="198" t="s">
        <v>128</v>
      </c>
      <c r="F3690" s="198" t="s">
        <v>2272</v>
      </c>
      <c r="G3690" s="198" t="s">
        <v>27</v>
      </c>
      <c r="H3690" s="198" t="s">
        <v>521</v>
      </c>
      <c r="I3690" s="198"/>
      <c r="J3690" s="71" t="s">
        <v>2272</v>
      </c>
      <c r="K3690" s="71" t="s">
        <v>2272</v>
      </c>
      <c r="L3690" s="71" t="s">
        <v>2272</v>
      </c>
      <c r="M3690" s="71" t="s">
        <v>2272</v>
      </c>
      <c r="N3690" s="71" t="s">
        <v>2272</v>
      </c>
      <c r="O3690" s="71" t="s">
        <v>2272</v>
      </c>
      <c r="P3690" s="71" t="s">
        <v>2272</v>
      </c>
      <c r="Q3690" s="71" t="s">
        <v>2272</v>
      </c>
      <c r="R3690" s="71" t="s">
        <v>2272</v>
      </c>
      <c r="S3690" s="71" t="s">
        <v>2272</v>
      </c>
      <c r="T3690" s="71" t="s">
        <v>2272</v>
      </c>
      <c r="U3690" s="21">
        <v>669000</v>
      </c>
      <c r="V3690" s="71" t="s">
        <v>2272</v>
      </c>
      <c r="W3690" s="71" t="s">
        <v>2272</v>
      </c>
      <c r="X3690" s="71" t="s">
        <v>2272</v>
      </c>
      <c r="Y3690" s="21">
        <f>U3690/'Record info'!K$1503</f>
        <v>1.412939484372129</v>
      </c>
      <c r="Z3690" s="71" t="s">
        <v>2272</v>
      </c>
      <c r="AA3690" s="71" t="s">
        <v>2272</v>
      </c>
      <c r="AB3690" s="71" t="s">
        <v>2272</v>
      </c>
      <c r="AC3690" s="198"/>
      <c r="AD3690" s="198"/>
      <c r="AE3690" s="198"/>
    </row>
    <row r="3691" spans="1:31" ht="56.5" customHeight="1">
      <c r="A3691" s="198" t="s">
        <v>9538</v>
      </c>
      <c r="B3691" s="198" t="s">
        <v>9565</v>
      </c>
      <c r="C3691" s="198" t="s">
        <v>1102</v>
      </c>
      <c r="D3691" s="198" t="s">
        <v>2272</v>
      </c>
      <c r="E3691" s="198" t="s">
        <v>82</v>
      </c>
      <c r="F3691" s="198" t="s">
        <v>2272</v>
      </c>
      <c r="G3691" s="198" t="s">
        <v>27</v>
      </c>
      <c r="H3691" s="198" t="s">
        <v>521</v>
      </c>
      <c r="I3691" s="198"/>
      <c r="J3691" s="71" t="s">
        <v>2272</v>
      </c>
      <c r="K3691" s="71" t="s">
        <v>2272</v>
      </c>
      <c r="L3691" s="71" t="s">
        <v>2272</v>
      </c>
      <c r="M3691" s="71" t="s">
        <v>2272</v>
      </c>
      <c r="N3691" s="71" t="s">
        <v>2272</v>
      </c>
      <c r="O3691" s="71" t="s">
        <v>2272</v>
      </c>
      <c r="P3691" s="71" t="s">
        <v>2272</v>
      </c>
      <c r="Q3691" s="71" t="s">
        <v>2272</v>
      </c>
      <c r="R3691" s="71" t="s">
        <v>2272</v>
      </c>
      <c r="S3691" s="71" t="s">
        <v>2272</v>
      </c>
      <c r="T3691" s="71" t="s">
        <v>2272</v>
      </c>
      <c r="U3691" s="21">
        <v>60000</v>
      </c>
      <c r="V3691" s="71" t="s">
        <v>2272</v>
      </c>
      <c r="W3691" s="71" t="s">
        <v>2272</v>
      </c>
      <c r="X3691" s="71" t="s">
        <v>2272</v>
      </c>
      <c r="Y3691" s="21">
        <f>U3691/'Record info'!K$1503</f>
        <v>0.12672102998853174</v>
      </c>
      <c r="Z3691" s="71" t="s">
        <v>2272</v>
      </c>
      <c r="AA3691" s="71" t="s">
        <v>2272</v>
      </c>
      <c r="AB3691" s="71" t="s">
        <v>2272</v>
      </c>
      <c r="AC3691" s="198"/>
      <c r="AD3691" s="198"/>
      <c r="AE3691" s="198"/>
    </row>
    <row r="3692" spans="1:31" ht="56.5" customHeight="1">
      <c r="A3692" s="198" t="s">
        <v>9539</v>
      </c>
      <c r="B3692" s="198" t="s">
        <v>9546</v>
      </c>
      <c r="C3692" s="198" t="s">
        <v>1102</v>
      </c>
      <c r="D3692" s="198" t="s">
        <v>2272</v>
      </c>
      <c r="E3692" s="198" t="s">
        <v>2272</v>
      </c>
      <c r="F3692" s="198" t="s">
        <v>2272</v>
      </c>
      <c r="G3692" s="198" t="s">
        <v>73</v>
      </c>
      <c r="H3692" s="198" t="s">
        <v>521</v>
      </c>
      <c r="I3692" s="198"/>
      <c r="J3692" s="71" t="s">
        <v>2272</v>
      </c>
      <c r="K3692" s="71" t="s">
        <v>2272</v>
      </c>
      <c r="L3692" s="71" t="s">
        <v>2272</v>
      </c>
      <c r="M3692" s="71" t="s">
        <v>2272</v>
      </c>
      <c r="N3692" s="71" t="s">
        <v>2272</v>
      </c>
      <c r="O3692" s="71" t="s">
        <v>2272</v>
      </c>
      <c r="P3692" s="71" t="s">
        <v>2272</v>
      </c>
      <c r="Q3692" s="71" t="s">
        <v>2272</v>
      </c>
      <c r="R3692" s="71" t="s">
        <v>2272</v>
      </c>
      <c r="S3692" s="71" t="s">
        <v>2272</v>
      </c>
      <c r="T3692" s="71" t="s">
        <v>2272</v>
      </c>
      <c r="U3692" s="21">
        <f>25000</f>
        <v>25000</v>
      </c>
      <c r="V3692" s="71" t="s">
        <v>2272</v>
      </c>
      <c r="W3692" s="71" t="s">
        <v>2272</v>
      </c>
      <c r="X3692" s="71" t="s">
        <v>2272</v>
      </c>
      <c r="Y3692" s="21">
        <f>U3692/'Record info'!K$1504</f>
        <v>0.19486036306382845</v>
      </c>
      <c r="Z3692" s="71" t="s">
        <v>2272</v>
      </c>
      <c r="AA3692" s="71" t="s">
        <v>2272</v>
      </c>
      <c r="AB3692" s="71" t="s">
        <v>2272</v>
      </c>
      <c r="AC3692" s="198"/>
      <c r="AD3692" s="198"/>
      <c r="AE3692" s="198"/>
    </row>
    <row r="3693" spans="1:31" ht="56.5" customHeight="1">
      <c r="A3693" s="198" t="s">
        <v>9539</v>
      </c>
      <c r="B3693" s="198" t="s">
        <v>9566</v>
      </c>
      <c r="C3693" s="198" t="s">
        <v>1102</v>
      </c>
      <c r="D3693" s="198" t="s">
        <v>2272</v>
      </c>
      <c r="E3693" s="198" t="s">
        <v>2272</v>
      </c>
      <c r="F3693" s="198" t="s">
        <v>2272</v>
      </c>
      <c r="G3693" s="198" t="s">
        <v>54</v>
      </c>
      <c r="H3693" s="198" t="s">
        <v>521</v>
      </c>
      <c r="I3693" s="198"/>
      <c r="J3693" s="71" t="s">
        <v>2272</v>
      </c>
      <c r="K3693" s="71" t="s">
        <v>2272</v>
      </c>
      <c r="L3693" s="71" t="s">
        <v>2272</v>
      </c>
      <c r="M3693" s="71" t="s">
        <v>2272</v>
      </c>
      <c r="N3693" s="71" t="s">
        <v>2272</v>
      </c>
      <c r="O3693" s="71" t="s">
        <v>2272</v>
      </c>
      <c r="P3693" s="71" t="s">
        <v>2272</v>
      </c>
      <c r="Q3693" s="71" t="s">
        <v>2272</v>
      </c>
      <c r="R3693" s="71" t="s">
        <v>2272</v>
      </c>
      <c r="S3693" s="71" t="s">
        <v>2272</v>
      </c>
      <c r="T3693" s="71" t="s">
        <v>2272</v>
      </c>
      <c r="U3693" s="21">
        <v>25000</v>
      </c>
      <c r="V3693" s="71" t="s">
        <v>2272</v>
      </c>
      <c r="W3693" s="71" t="s">
        <v>2272</v>
      </c>
      <c r="X3693" s="71" t="s">
        <v>2272</v>
      </c>
      <c r="Y3693" s="21">
        <f>U3693/'Record info'!K$1504</f>
        <v>0.19486036306382845</v>
      </c>
      <c r="Z3693" s="71" t="s">
        <v>2272</v>
      </c>
      <c r="AA3693" s="71" t="s">
        <v>2272</v>
      </c>
      <c r="AB3693" s="71" t="s">
        <v>2272</v>
      </c>
      <c r="AC3693" s="198"/>
      <c r="AD3693" s="198"/>
      <c r="AE3693" s="198"/>
    </row>
    <row r="3694" spans="1:31" ht="56.5" customHeight="1">
      <c r="A3694" s="198" t="s">
        <v>9539</v>
      </c>
      <c r="B3694" s="198" t="s">
        <v>9567</v>
      </c>
      <c r="C3694" s="198" t="s">
        <v>1102</v>
      </c>
      <c r="D3694" s="198" t="s">
        <v>2272</v>
      </c>
      <c r="E3694" s="198" t="s">
        <v>2272</v>
      </c>
      <c r="F3694" s="198" t="s">
        <v>2272</v>
      </c>
      <c r="G3694" s="198" t="s">
        <v>2658</v>
      </c>
      <c r="H3694" s="198" t="s">
        <v>522</v>
      </c>
      <c r="I3694" s="198"/>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v>0</v>
      </c>
      <c r="Y3694" s="21">
        <f>U3694/'Record info'!K$1504</f>
        <v>0</v>
      </c>
      <c r="Z3694" s="71" t="s">
        <v>2272</v>
      </c>
      <c r="AA3694" s="71" t="s">
        <v>2272</v>
      </c>
      <c r="AB3694" s="71" t="s">
        <v>2272</v>
      </c>
      <c r="AC3694" s="71" t="s">
        <v>2272</v>
      </c>
      <c r="AD3694" s="198"/>
      <c r="AE3694" s="198"/>
    </row>
    <row r="3695" spans="1:31" ht="56.5" customHeight="1">
      <c r="A3695" s="198" t="s">
        <v>9539</v>
      </c>
      <c r="B3695" s="198" t="s">
        <v>9568</v>
      </c>
      <c r="C3695" s="198" t="s">
        <v>1102</v>
      </c>
      <c r="D3695" s="198" t="s">
        <v>2272</v>
      </c>
      <c r="E3695" s="198" t="s">
        <v>128</v>
      </c>
      <c r="F3695" s="198" t="s">
        <v>2272</v>
      </c>
      <c r="G3695" s="198" t="s">
        <v>27</v>
      </c>
      <c r="H3695" s="198" t="s">
        <v>521</v>
      </c>
      <c r="I3695" s="198"/>
      <c r="J3695" s="71" t="s">
        <v>2272</v>
      </c>
      <c r="K3695" s="71" t="s">
        <v>2272</v>
      </c>
      <c r="L3695" s="71" t="s">
        <v>2272</v>
      </c>
      <c r="M3695" s="71" t="s">
        <v>2272</v>
      </c>
      <c r="N3695" s="71" t="s">
        <v>2272</v>
      </c>
      <c r="O3695" s="71" t="s">
        <v>2272</v>
      </c>
      <c r="P3695" s="71" t="s">
        <v>2272</v>
      </c>
      <c r="Q3695" s="71" t="s">
        <v>2272</v>
      </c>
      <c r="R3695" s="71" t="s">
        <v>2272</v>
      </c>
      <c r="S3695" s="71" t="s">
        <v>2272</v>
      </c>
      <c r="T3695" s="71" t="s">
        <v>2272</v>
      </c>
      <c r="U3695" s="21">
        <v>50000</v>
      </c>
      <c r="V3695" s="71" t="s">
        <v>2272</v>
      </c>
      <c r="W3695" s="71" t="s">
        <v>2272</v>
      </c>
      <c r="X3695" s="71" t="s">
        <v>2272</v>
      </c>
      <c r="Y3695" s="21">
        <f>U3695/'Record info'!K$1504</f>
        <v>0.3897207261276569</v>
      </c>
      <c r="Z3695" s="71" t="s">
        <v>2272</v>
      </c>
      <c r="AA3695" s="71" t="s">
        <v>2272</v>
      </c>
      <c r="AB3695" s="71" t="s">
        <v>2272</v>
      </c>
      <c r="AC3695" s="71" t="s">
        <v>2272</v>
      </c>
      <c r="AD3695" s="198"/>
      <c r="AE3695" s="198"/>
    </row>
    <row r="3696" spans="1:31" ht="56.5" customHeight="1">
      <c r="A3696" s="198" t="s">
        <v>9539</v>
      </c>
      <c r="B3696" s="198" t="s">
        <v>9569</v>
      </c>
      <c r="C3696" s="198" t="s">
        <v>1102</v>
      </c>
      <c r="D3696" s="198" t="s">
        <v>2272</v>
      </c>
      <c r="E3696" s="198" t="s">
        <v>82</v>
      </c>
      <c r="F3696" s="198" t="s">
        <v>2272</v>
      </c>
      <c r="G3696" s="198" t="s">
        <v>27</v>
      </c>
      <c r="H3696" s="198" t="s">
        <v>522</v>
      </c>
      <c r="I3696" s="198"/>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v>0</v>
      </c>
      <c r="Y3696" s="21">
        <f>U3696/'Record info'!K$1504</f>
        <v>0</v>
      </c>
      <c r="Z3696" s="71" t="s">
        <v>2272</v>
      </c>
      <c r="AA3696" s="71" t="s">
        <v>2272</v>
      </c>
      <c r="AB3696" s="71" t="s">
        <v>2272</v>
      </c>
      <c r="AC3696" s="71" t="s">
        <v>2272</v>
      </c>
      <c r="AD3696" s="198"/>
      <c r="AE3696" s="198"/>
    </row>
    <row r="3697" spans="1:31" ht="56.5" customHeight="1">
      <c r="A3697" s="198" t="s">
        <v>9540</v>
      </c>
      <c r="B3697" s="198" t="s">
        <v>9547</v>
      </c>
      <c r="C3697" s="198" t="s">
        <v>1102</v>
      </c>
      <c r="D3697" s="198" t="s">
        <v>2272</v>
      </c>
      <c r="E3697" s="198" t="s">
        <v>2272</v>
      </c>
      <c r="F3697" s="198" t="s">
        <v>2272</v>
      </c>
      <c r="G3697" s="198" t="s">
        <v>73</v>
      </c>
      <c r="H3697" s="198" t="s">
        <v>521</v>
      </c>
      <c r="I3697" s="198"/>
      <c r="J3697" s="71" t="s">
        <v>2272</v>
      </c>
      <c r="K3697" s="71" t="s">
        <v>2272</v>
      </c>
      <c r="L3697" s="71" t="s">
        <v>2272</v>
      </c>
      <c r="M3697" s="71" t="s">
        <v>2272</v>
      </c>
      <c r="N3697" s="71" t="s">
        <v>2272</v>
      </c>
      <c r="O3697" s="71" t="s">
        <v>2272</v>
      </c>
      <c r="P3697" s="71" t="s">
        <v>2272</v>
      </c>
      <c r="Q3697" s="71" t="s">
        <v>2272</v>
      </c>
      <c r="R3697" s="71" t="s">
        <v>2272</v>
      </c>
      <c r="S3697" s="71" t="s">
        <v>2272</v>
      </c>
      <c r="T3697" s="71" t="s">
        <v>2272</v>
      </c>
      <c r="U3697" s="21">
        <f>200000</f>
        <v>200000</v>
      </c>
      <c r="V3697" s="71" t="s">
        <v>2272</v>
      </c>
      <c r="W3697" s="71" t="s">
        <v>2272</v>
      </c>
      <c r="X3697" s="71" t="s">
        <v>2272</v>
      </c>
      <c r="Y3697" s="21">
        <f>U3697/'Record info'!K$1505</f>
        <v>1.1454753722794959</v>
      </c>
      <c r="Z3697" s="71" t="s">
        <v>2272</v>
      </c>
      <c r="AA3697" s="71" t="s">
        <v>2272</v>
      </c>
      <c r="AB3697" s="71" t="s">
        <v>2272</v>
      </c>
      <c r="AC3697" s="71" t="s">
        <v>2272</v>
      </c>
      <c r="AD3697" s="198"/>
      <c r="AE3697" s="198"/>
    </row>
    <row r="3698" spans="1:31" ht="56.5" customHeight="1">
      <c r="A3698" s="198" t="s">
        <v>9540</v>
      </c>
      <c r="B3698" s="198" t="s">
        <v>9570</v>
      </c>
      <c r="C3698" s="198" t="s">
        <v>1102</v>
      </c>
      <c r="D3698" s="198" t="s">
        <v>2272</v>
      </c>
      <c r="E3698" s="198" t="s">
        <v>2272</v>
      </c>
      <c r="F3698" s="198" t="s">
        <v>2272</v>
      </c>
      <c r="G3698" s="198" t="s">
        <v>54</v>
      </c>
      <c r="H3698" s="198" t="s">
        <v>522</v>
      </c>
      <c r="I3698" s="198"/>
      <c r="J3698" s="21">
        <v>0</v>
      </c>
      <c r="K3698" s="21">
        <v>0</v>
      </c>
      <c r="L3698" s="21">
        <v>0</v>
      </c>
      <c r="M3698" s="21">
        <v>0</v>
      </c>
      <c r="N3698" s="21">
        <v>0</v>
      </c>
      <c r="O3698" s="21">
        <v>0</v>
      </c>
      <c r="P3698" s="21">
        <v>0</v>
      </c>
      <c r="Q3698" s="21">
        <v>0</v>
      </c>
      <c r="R3698" s="21">
        <v>0</v>
      </c>
      <c r="S3698" s="21">
        <v>0</v>
      </c>
      <c r="T3698" s="21">
        <v>0</v>
      </c>
      <c r="U3698" s="21">
        <v>0</v>
      </c>
      <c r="V3698" s="21">
        <v>0</v>
      </c>
      <c r="W3698" s="21">
        <v>0</v>
      </c>
      <c r="X3698" s="21">
        <v>0</v>
      </c>
      <c r="Y3698" s="21">
        <f>U3698/'Record info'!K$1505</f>
        <v>0</v>
      </c>
      <c r="Z3698" s="71" t="s">
        <v>2272</v>
      </c>
      <c r="AA3698" s="71" t="s">
        <v>2272</v>
      </c>
      <c r="AB3698" s="71" t="s">
        <v>2272</v>
      </c>
      <c r="AC3698" s="71" t="s">
        <v>2272</v>
      </c>
      <c r="AD3698" s="198"/>
      <c r="AE3698" s="198"/>
    </row>
    <row r="3699" spans="1:31" ht="56.5" customHeight="1">
      <c r="A3699" s="198" t="s">
        <v>9540</v>
      </c>
      <c r="B3699" s="198" t="s">
        <v>9571</v>
      </c>
      <c r="C3699" s="198" t="s">
        <v>1102</v>
      </c>
      <c r="D3699" s="198" t="s">
        <v>2272</v>
      </c>
      <c r="E3699" s="198" t="s">
        <v>2272</v>
      </c>
      <c r="F3699" s="198" t="s">
        <v>2272</v>
      </c>
      <c r="G3699" s="198" t="s">
        <v>2658</v>
      </c>
      <c r="H3699" s="198" t="s">
        <v>522</v>
      </c>
      <c r="I3699" s="198"/>
      <c r="J3699" s="21">
        <v>0</v>
      </c>
      <c r="K3699" s="21">
        <v>0</v>
      </c>
      <c r="L3699" s="21">
        <v>0</v>
      </c>
      <c r="M3699" s="21">
        <v>0</v>
      </c>
      <c r="N3699" s="21">
        <v>0</v>
      </c>
      <c r="O3699" s="21">
        <v>0</v>
      </c>
      <c r="P3699" s="21">
        <v>0</v>
      </c>
      <c r="Q3699" s="21">
        <v>0</v>
      </c>
      <c r="R3699" s="21">
        <v>0</v>
      </c>
      <c r="S3699" s="21">
        <v>0</v>
      </c>
      <c r="T3699" s="21">
        <v>0</v>
      </c>
      <c r="U3699" s="21">
        <v>0</v>
      </c>
      <c r="V3699" s="21">
        <v>0</v>
      </c>
      <c r="W3699" s="21">
        <v>0</v>
      </c>
      <c r="X3699" s="21">
        <v>0</v>
      </c>
      <c r="Y3699" s="21">
        <f>U3699/'Record info'!K$1505</f>
        <v>0</v>
      </c>
      <c r="Z3699" s="71" t="s">
        <v>2272</v>
      </c>
      <c r="AA3699" s="71" t="s">
        <v>2272</v>
      </c>
      <c r="AB3699" s="71" t="s">
        <v>2272</v>
      </c>
      <c r="AC3699" s="71" t="s">
        <v>2272</v>
      </c>
      <c r="AD3699" s="198"/>
      <c r="AE3699" s="198"/>
    </row>
    <row r="3700" spans="1:31" ht="56.5" customHeight="1">
      <c r="A3700" s="198" t="s">
        <v>9540</v>
      </c>
      <c r="B3700" s="198" t="s">
        <v>9572</v>
      </c>
      <c r="C3700" s="198" t="s">
        <v>1102</v>
      </c>
      <c r="D3700" s="198" t="s">
        <v>2272</v>
      </c>
      <c r="E3700" s="198" t="s">
        <v>128</v>
      </c>
      <c r="F3700" s="198" t="s">
        <v>2272</v>
      </c>
      <c r="G3700" s="198" t="s">
        <v>27</v>
      </c>
      <c r="H3700" s="198" t="s">
        <v>521</v>
      </c>
      <c r="I3700" s="198"/>
      <c r="J3700" s="71" t="s">
        <v>2272</v>
      </c>
      <c r="K3700" s="71" t="s">
        <v>2272</v>
      </c>
      <c r="L3700" s="71" t="s">
        <v>2272</v>
      </c>
      <c r="M3700" s="71" t="s">
        <v>2272</v>
      </c>
      <c r="N3700" s="71" t="s">
        <v>2272</v>
      </c>
      <c r="O3700" s="71" t="s">
        <v>2272</v>
      </c>
      <c r="P3700" s="71" t="s">
        <v>2272</v>
      </c>
      <c r="Q3700" s="71" t="s">
        <v>2272</v>
      </c>
      <c r="R3700" s="71" t="s">
        <v>2272</v>
      </c>
      <c r="S3700" s="71" t="s">
        <v>2272</v>
      </c>
      <c r="T3700" s="71" t="s">
        <v>2272</v>
      </c>
      <c r="U3700" s="21">
        <v>199000</v>
      </c>
      <c r="V3700" s="71" t="s">
        <v>2272</v>
      </c>
      <c r="W3700" s="71" t="s">
        <v>2272</v>
      </c>
      <c r="X3700" s="71" t="s">
        <v>2272</v>
      </c>
      <c r="Y3700" s="21">
        <f>U3700/'Record info'!K$1505</f>
        <v>1.1397479954180985</v>
      </c>
      <c r="Z3700" s="71" t="s">
        <v>2272</v>
      </c>
      <c r="AA3700" s="71" t="s">
        <v>2272</v>
      </c>
      <c r="AB3700" s="71" t="s">
        <v>2272</v>
      </c>
      <c r="AC3700" s="71" t="s">
        <v>2272</v>
      </c>
      <c r="AD3700" s="198"/>
      <c r="AE3700" s="198"/>
    </row>
    <row r="3701" spans="1:31" ht="56.5" customHeight="1">
      <c r="A3701" s="198" t="s">
        <v>9540</v>
      </c>
      <c r="B3701" s="198" t="s">
        <v>9573</v>
      </c>
      <c r="C3701" s="198" t="s">
        <v>1102</v>
      </c>
      <c r="D3701" s="198" t="s">
        <v>2272</v>
      </c>
      <c r="E3701" s="198" t="s">
        <v>82</v>
      </c>
      <c r="F3701" s="198" t="s">
        <v>2272</v>
      </c>
      <c r="G3701" s="198" t="s">
        <v>27</v>
      </c>
      <c r="H3701" s="198" t="s">
        <v>521</v>
      </c>
      <c r="I3701" s="198"/>
      <c r="J3701" s="71" t="s">
        <v>2272</v>
      </c>
      <c r="K3701" s="71" t="s">
        <v>2272</v>
      </c>
      <c r="L3701" s="71" t="s">
        <v>2272</v>
      </c>
      <c r="M3701" s="71" t="s">
        <v>2272</v>
      </c>
      <c r="N3701" s="71" t="s">
        <v>2272</v>
      </c>
      <c r="O3701" s="71" t="s">
        <v>2272</v>
      </c>
      <c r="P3701" s="71" t="s">
        <v>2272</v>
      </c>
      <c r="Q3701" s="71" t="s">
        <v>2272</v>
      </c>
      <c r="R3701" s="71" t="s">
        <v>2272</v>
      </c>
      <c r="S3701" s="71" t="s">
        <v>2272</v>
      </c>
      <c r="T3701" s="71" t="s">
        <v>2272</v>
      </c>
      <c r="U3701" s="21">
        <v>1</v>
      </c>
      <c r="V3701" s="71" t="s">
        <v>2272</v>
      </c>
      <c r="W3701" s="71" t="s">
        <v>2272</v>
      </c>
      <c r="X3701" s="71" t="s">
        <v>2272</v>
      </c>
      <c r="Y3701" s="21">
        <f>U3701/'Record info'!K$1505</f>
        <v>5.7273768613974798E-6</v>
      </c>
      <c r="Z3701" s="71" t="s">
        <v>2272</v>
      </c>
      <c r="AA3701" s="71" t="s">
        <v>2272</v>
      </c>
      <c r="AB3701" s="71" t="s">
        <v>2272</v>
      </c>
      <c r="AC3701" s="71" t="s">
        <v>2272</v>
      </c>
      <c r="AD3701" s="198"/>
      <c r="AE3701" s="198"/>
    </row>
    <row r="3702" spans="1:31" ht="56.5" customHeight="1">
      <c r="A3702" s="198" t="s">
        <v>9541</v>
      </c>
      <c r="B3702" s="198" t="s">
        <v>9548</v>
      </c>
      <c r="C3702" s="198" t="s">
        <v>1102</v>
      </c>
      <c r="D3702" s="198" t="s">
        <v>2272</v>
      </c>
      <c r="E3702" s="198" t="s">
        <v>2272</v>
      </c>
      <c r="F3702" s="198" t="s">
        <v>2272</v>
      </c>
      <c r="G3702" s="198" t="s">
        <v>73</v>
      </c>
      <c r="H3702" s="198" t="s">
        <v>521</v>
      </c>
      <c r="I3702" s="198"/>
      <c r="J3702" s="71" t="s">
        <v>2272</v>
      </c>
      <c r="K3702" s="71" t="s">
        <v>2272</v>
      </c>
      <c r="L3702" s="71" t="s">
        <v>2272</v>
      </c>
      <c r="M3702" s="71" t="s">
        <v>2272</v>
      </c>
      <c r="N3702" s="71" t="s">
        <v>2272</v>
      </c>
      <c r="O3702" s="71" t="s">
        <v>2272</v>
      </c>
      <c r="P3702" s="71" t="s">
        <v>2272</v>
      </c>
      <c r="Q3702" s="71" t="s">
        <v>2272</v>
      </c>
      <c r="R3702" s="71" t="s">
        <v>2272</v>
      </c>
      <c r="S3702" s="71" t="s">
        <v>2272</v>
      </c>
      <c r="T3702" s="71" t="s">
        <v>2272</v>
      </c>
      <c r="U3702" s="21">
        <v>700000</v>
      </c>
      <c r="V3702" s="71" t="s">
        <v>2272</v>
      </c>
      <c r="W3702" s="71" t="s">
        <v>2272</v>
      </c>
      <c r="X3702" s="71" t="s">
        <v>2272</v>
      </c>
      <c r="Y3702" s="21">
        <f>U3702/'Record info'!K$1506</f>
        <v>4.986607397275888</v>
      </c>
      <c r="Z3702" s="71" t="s">
        <v>2272</v>
      </c>
      <c r="AA3702" s="71" t="s">
        <v>2272</v>
      </c>
      <c r="AB3702" s="71" t="s">
        <v>2272</v>
      </c>
      <c r="AC3702" s="71" t="s">
        <v>2272</v>
      </c>
      <c r="AD3702" s="198"/>
      <c r="AE3702" s="198"/>
    </row>
    <row r="3703" spans="1:31" ht="56.5" customHeight="1">
      <c r="A3703" s="198" t="s">
        <v>9541</v>
      </c>
      <c r="B3703" s="198" t="s">
        <v>9574</v>
      </c>
      <c r="C3703" s="198" t="s">
        <v>1102</v>
      </c>
      <c r="D3703" s="198" t="s">
        <v>2272</v>
      </c>
      <c r="E3703" s="198" t="s">
        <v>2272</v>
      </c>
      <c r="F3703" s="198" t="s">
        <v>2272</v>
      </c>
      <c r="G3703" s="198" t="s">
        <v>54</v>
      </c>
      <c r="H3703" s="198" t="s">
        <v>521</v>
      </c>
      <c r="I3703" s="198"/>
      <c r="J3703" s="71" t="s">
        <v>2272</v>
      </c>
      <c r="K3703" s="71" t="s">
        <v>2272</v>
      </c>
      <c r="L3703" s="71" t="s">
        <v>2272</v>
      </c>
      <c r="M3703" s="71" t="s">
        <v>2272</v>
      </c>
      <c r="N3703" s="71" t="s">
        <v>2272</v>
      </c>
      <c r="O3703" s="71" t="s">
        <v>2272</v>
      </c>
      <c r="P3703" s="71" t="s">
        <v>2272</v>
      </c>
      <c r="Q3703" s="71" t="s">
        <v>2272</v>
      </c>
      <c r="R3703" s="71" t="s">
        <v>2272</v>
      </c>
      <c r="S3703" s="71" t="s">
        <v>2272</v>
      </c>
      <c r="T3703" s="71" t="s">
        <v>2272</v>
      </c>
      <c r="U3703" s="21">
        <v>100000</v>
      </c>
      <c r="V3703" s="71" t="s">
        <v>2272</v>
      </c>
      <c r="W3703" s="71" t="s">
        <v>2272</v>
      </c>
      <c r="X3703" s="71" t="s">
        <v>2272</v>
      </c>
      <c r="Y3703" s="21">
        <f>U3703/'Record info'!K$1506</f>
        <v>0.71237248532512676</v>
      </c>
      <c r="Z3703" s="71" t="s">
        <v>2272</v>
      </c>
      <c r="AA3703" s="71" t="s">
        <v>2272</v>
      </c>
      <c r="AB3703" s="71" t="s">
        <v>2272</v>
      </c>
      <c r="AC3703" s="71" t="s">
        <v>2272</v>
      </c>
      <c r="AD3703" s="198"/>
      <c r="AE3703" s="198"/>
    </row>
    <row r="3704" spans="1:31" ht="56.5" customHeight="1">
      <c r="A3704" s="198" t="s">
        <v>9541</v>
      </c>
      <c r="B3704" s="198" t="s">
        <v>9575</v>
      </c>
      <c r="C3704" s="198" t="s">
        <v>1102</v>
      </c>
      <c r="D3704" s="198" t="s">
        <v>2272</v>
      </c>
      <c r="E3704" s="198" t="s">
        <v>2272</v>
      </c>
      <c r="F3704" s="198" t="s">
        <v>2272</v>
      </c>
      <c r="G3704" s="198" t="s">
        <v>2658</v>
      </c>
      <c r="H3704" s="198" t="s">
        <v>521</v>
      </c>
      <c r="I3704" s="198"/>
      <c r="J3704" s="21">
        <v>0</v>
      </c>
      <c r="K3704" s="21">
        <v>0</v>
      </c>
      <c r="L3704" s="21">
        <v>0</v>
      </c>
      <c r="M3704" s="21">
        <v>0</v>
      </c>
      <c r="N3704" s="21">
        <v>0</v>
      </c>
      <c r="O3704" s="21">
        <v>0</v>
      </c>
      <c r="P3704" s="21">
        <v>0</v>
      </c>
      <c r="Q3704" s="21">
        <v>0</v>
      </c>
      <c r="R3704" s="21">
        <v>0</v>
      </c>
      <c r="S3704" s="21">
        <v>0</v>
      </c>
      <c r="T3704" s="21">
        <v>0</v>
      </c>
      <c r="U3704" s="21">
        <v>0</v>
      </c>
      <c r="V3704" s="21">
        <v>0</v>
      </c>
      <c r="W3704" s="21">
        <v>0</v>
      </c>
      <c r="X3704" s="21">
        <v>0</v>
      </c>
      <c r="Y3704" s="21">
        <f>U3704/'Record info'!K$1506</f>
        <v>0</v>
      </c>
      <c r="Z3704" s="71" t="s">
        <v>2272</v>
      </c>
      <c r="AA3704" s="71" t="s">
        <v>2272</v>
      </c>
      <c r="AB3704" s="71" t="s">
        <v>2272</v>
      </c>
      <c r="AC3704" s="71" t="s">
        <v>2272</v>
      </c>
      <c r="AD3704" s="198"/>
      <c r="AE3704" s="198"/>
    </row>
    <row r="3705" spans="1:31" ht="56.5" customHeight="1">
      <c r="A3705" s="198" t="s">
        <v>9541</v>
      </c>
      <c r="B3705" s="198" t="s">
        <v>9576</v>
      </c>
      <c r="C3705" s="198" t="s">
        <v>1102</v>
      </c>
      <c r="D3705" s="198" t="s">
        <v>2272</v>
      </c>
      <c r="E3705" s="198" t="s">
        <v>128</v>
      </c>
      <c r="F3705" s="198" t="s">
        <v>2272</v>
      </c>
      <c r="G3705" s="198" t="s">
        <v>27</v>
      </c>
      <c r="H3705" s="198" t="s">
        <v>521</v>
      </c>
      <c r="I3705" s="198"/>
      <c r="J3705" s="71" t="s">
        <v>2272</v>
      </c>
      <c r="K3705" s="71" t="s">
        <v>2272</v>
      </c>
      <c r="L3705" s="71" t="s">
        <v>2272</v>
      </c>
      <c r="M3705" s="71" t="s">
        <v>2272</v>
      </c>
      <c r="N3705" s="71" t="s">
        <v>2272</v>
      </c>
      <c r="O3705" s="71" t="s">
        <v>2272</v>
      </c>
      <c r="P3705" s="71" t="s">
        <v>2272</v>
      </c>
      <c r="Q3705" s="71" t="s">
        <v>2272</v>
      </c>
      <c r="R3705" s="71" t="s">
        <v>2272</v>
      </c>
      <c r="S3705" s="71" t="s">
        <v>2272</v>
      </c>
      <c r="T3705" s="71" t="s">
        <v>2272</v>
      </c>
      <c r="U3705" s="21">
        <v>97000</v>
      </c>
      <c r="V3705" s="71" t="s">
        <v>2272</v>
      </c>
      <c r="W3705" s="71" t="s">
        <v>2272</v>
      </c>
      <c r="X3705" s="71" t="s">
        <v>2272</v>
      </c>
      <c r="Y3705" s="21">
        <f>U3705/'Record info'!K$1506</f>
        <v>0.69100131076537297</v>
      </c>
      <c r="Z3705" s="71" t="s">
        <v>2272</v>
      </c>
      <c r="AA3705" s="71" t="s">
        <v>2272</v>
      </c>
      <c r="AB3705" s="71" t="s">
        <v>2272</v>
      </c>
      <c r="AC3705" s="71" t="s">
        <v>2272</v>
      </c>
      <c r="AD3705" s="198"/>
      <c r="AE3705" s="198"/>
    </row>
    <row r="3706" spans="1:31" ht="56.5" customHeight="1">
      <c r="A3706" s="198" t="s">
        <v>9541</v>
      </c>
      <c r="B3706" s="198" t="s">
        <v>9577</v>
      </c>
      <c r="C3706" s="198" t="s">
        <v>1102</v>
      </c>
      <c r="D3706" s="198" t="s">
        <v>2272</v>
      </c>
      <c r="E3706" s="198" t="s">
        <v>82</v>
      </c>
      <c r="F3706" s="198" t="s">
        <v>2272</v>
      </c>
      <c r="G3706" s="198" t="s">
        <v>27</v>
      </c>
      <c r="H3706" s="198" t="s">
        <v>521</v>
      </c>
      <c r="I3706" s="198"/>
      <c r="J3706" s="71" t="s">
        <v>2272</v>
      </c>
      <c r="K3706" s="71" t="s">
        <v>2272</v>
      </c>
      <c r="L3706" s="71" t="s">
        <v>2272</v>
      </c>
      <c r="M3706" s="71" t="s">
        <v>2272</v>
      </c>
      <c r="N3706" s="71" t="s">
        <v>2272</v>
      </c>
      <c r="O3706" s="71" t="s">
        <v>2272</v>
      </c>
      <c r="P3706" s="71" t="s">
        <v>2272</v>
      </c>
      <c r="Q3706" s="71" t="s">
        <v>2272</v>
      </c>
      <c r="R3706" s="71" t="s">
        <v>2272</v>
      </c>
      <c r="S3706" s="71" t="s">
        <v>2272</v>
      </c>
      <c r="T3706" s="71" t="s">
        <v>2272</v>
      </c>
      <c r="U3706" s="21">
        <v>3</v>
      </c>
      <c r="V3706" s="71" t="s">
        <v>2272</v>
      </c>
      <c r="W3706" s="71" t="s">
        <v>2272</v>
      </c>
      <c r="X3706" s="71" t="s">
        <v>2272</v>
      </c>
      <c r="Y3706" s="21">
        <f>U3706/'Record info'!K$1506</f>
        <v>2.1371174559753804E-5</v>
      </c>
      <c r="Z3706" s="71" t="s">
        <v>2272</v>
      </c>
      <c r="AA3706" s="71" t="s">
        <v>2272</v>
      </c>
      <c r="AB3706" s="71" t="s">
        <v>2272</v>
      </c>
      <c r="AC3706" s="71" t="s">
        <v>2272</v>
      </c>
      <c r="AD3706" s="198"/>
      <c r="AE3706" s="198"/>
    </row>
    <row r="3707" spans="1:31" ht="56.5" customHeight="1">
      <c r="A3707" s="198" t="s">
        <v>9542</v>
      </c>
      <c r="B3707" s="198" t="s">
        <v>9549</v>
      </c>
      <c r="C3707" s="198" t="s">
        <v>1102</v>
      </c>
      <c r="D3707" s="198" t="s">
        <v>2272</v>
      </c>
      <c r="E3707" s="198" t="s">
        <v>2272</v>
      </c>
      <c r="F3707" s="198" t="s">
        <v>2272</v>
      </c>
      <c r="G3707" s="198" t="s">
        <v>73</v>
      </c>
      <c r="H3707" s="198" t="s">
        <v>521</v>
      </c>
      <c r="I3707" s="198">
        <v>1982</v>
      </c>
      <c r="J3707" s="71" t="s">
        <v>2272</v>
      </c>
      <c r="K3707" s="71" t="s">
        <v>2272</v>
      </c>
      <c r="L3707" s="71" t="s">
        <v>2272</v>
      </c>
      <c r="M3707" s="71" t="s">
        <v>2272</v>
      </c>
      <c r="N3707" s="71" t="s">
        <v>2272</v>
      </c>
      <c r="O3707" s="71" t="s">
        <v>2272</v>
      </c>
      <c r="P3707" s="71" t="s">
        <v>2272</v>
      </c>
      <c r="Q3707" s="71" t="s">
        <v>2272</v>
      </c>
      <c r="R3707" s="71" t="s">
        <v>2272</v>
      </c>
      <c r="S3707" s="71" t="s">
        <v>2272</v>
      </c>
      <c r="T3707" s="71" t="s">
        <v>2272</v>
      </c>
      <c r="U3707" s="21">
        <f>7577+635680+826560</f>
        <v>1469817</v>
      </c>
      <c r="V3707" s="71" t="s">
        <v>2272</v>
      </c>
      <c r="W3707" s="71" t="s">
        <v>2272</v>
      </c>
      <c r="X3707" s="71" t="s">
        <v>2272</v>
      </c>
      <c r="Y3707" s="21">
        <f>U3707/'Record info'!K$1507</f>
        <v>11.726920223078579</v>
      </c>
      <c r="Z3707" s="71" t="s">
        <v>2272</v>
      </c>
      <c r="AA3707" s="71" t="s">
        <v>2272</v>
      </c>
      <c r="AB3707" s="71" t="s">
        <v>2272</v>
      </c>
      <c r="AC3707" s="71" t="s">
        <v>2272</v>
      </c>
      <c r="AD3707" s="198"/>
      <c r="AE3707" s="198"/>
    </row>
    <row r="3708" spans="1:31" ht="53" customHeight="1">
      <c r="A3708" s="198" t="s">
        <v>9542</v>
      </c>
      <c r="B3708" s="198" t="s">
        <v>9550</v>
      </c>
      <c r="C3708" s="198" t="s">
        <v>1102</v>
      </c>
      <c r="D3708" s="198" t="s">
        <v>2272</v>
      </c>
      <c r="E3708" s="198" t="s">
        <v>2272</v>
      </c>
      <c r="F3708" s="198" t="s">
        <v>2272</v>
      </c>
      <c r="G3708" s="4" t="s">
        <v>158</v>
      </c>
      <c r="H3708" s="198" t="s">
        <v>521</v>
      </c>
      <c r="I3708" s="198">
        <v>1982</v>
      </c>
      <c r="J3708" s="71" t="s">
        <v>2272</v>
      </c>
      <c r="K3708" s="71" t="s">
        <v>2272</v>
      </c>
      <c r="L3708" s="71" t="s">
        <v>2272</v>
      </c>
      <c r="M3708" s="71" t="s">
        <v>2272</v>
      </c>
      <c r="N3708" s="71" t="s">
        <v>2272</v>
      </c>
      <c r="O3708" s="71" t="s">
        <v>2272</v>
      </c>
      <c r="P3708" s="71" t="s">
        <v>2272</v>
      </c>
      <c r="Q3708" s="71" t="s">
        <v>2272</v>
      </c>
      <c r="R3708" s="71" t="s">
        <v>2272</v>
      </c>
      <c r="S3708" s="71" t="s">
        <v>2272</v>
      </c>
      <c r="T3708" s="71" t="s">
        <v>2272</v>
      </c>
      <c r="U3708" s="21">
        <f>2700000-U3707</f>
        <v>1230183</v>
      </c>
      <c r="V3708" s="71" t="s">
        <v>2272</v>
      </c>
      <c r="W3708" s="71" t="s">
        <v>2272</v>
      </c>
      <c r="X3708" s="71" t="s">
        <v>2272</v>
      </c>
      <c r="Y3708" s="21">
        <f>U3708/'Record info'!K$1507</f>
        <v>9.8150027525790478</v>
      </c>
      <c r="Z3708" s="71" t="s">
        <v>2272</v>
      </c>
      <c r="AA3708" s="71" t="s">
        <v>2272</v>
      </c>
      <c r="AB3708" s="71" t="s">
        <v>2272</v>
      </c>
      <c r="AC3708" s="71" t="s">
        <v>2272</v>
      </c>
      <c r="AD3708" s="198" t="s">
        <v>9551</v>
      </c>
      <c r="AE3708" s="198"/>
    </row>
    <row r="3709" spans="1:31" ht="53" customHeight="1">
      <c r="A3709" s="198" t="s">
        <v>9542</v>
      </c>
      <c r="B3709" s="198" t="s">
        <v>9552</v>
      </c>
      <c r="C3709" s="198" t="s">
        <v>1102</v>
      </c>
      <c r="D3709" s="198" t="s">
        <v>2272</v>
      </c>
      <c r="E3709" s="198" t="s">
        <v>2272</v>
      </c>
      <c r="F3709" s="198" t="s">
        <v>2272</v>
      </c>
      <c r="G3709" s="198" t="s">
        <v>73</v>
      </c>
      <c r="H3709" s="198" t="s">
        <v>521</v>
      </c>
      <c r="I3709" s="198">
        <v>1997</v>
      </c>
      <c r="J3709" s="71" t="s">
        <v>2272</v>
      </c>
      <c r="K3709" s="71" t="s">
        <v>2272</v>
      </c>
      <c r="L3709" s="71" t="s">
        <v>2272</v>
      </c>
      <c r="M3709" s="71" t="s">
        <v>2272</v>
      </c>
      <c r="N3709" s="71" t="s">
        <v>2272</v>
      </c>
      <c r="O3709" s="71" t="s">
        <v>2272</v>
      </c>
      <c r="P3709" s="71" t="s">
        <v>2272</v>
      </c>
      <c r="Q3709" s="71" t="s">
        <v>2272</v>
      </c>
      <c r="R3709" s="71" t="s">
        <v>2272</v>
      </c>
      <c r="S3709" s="71" t="s">
        <v>2272</v>
      </c>
      <c r="T3709" s="71" t="s">
        <v>2272</v>
      </c>
      <c r="U3709" s="21">
        <v>2347717</v>
      </c>
      <c r="V3709" s="71" t="s">
        <v>2272</v>
      </c>
      <c r="W3709" s="21">
        <v>24</v>
      </c>
      <c r="X3709" s="71" t="s">
        <v>2272</v>
      </c>
      <c r="Y3709" s="21">
        <f>U3709/'Record info'!K$1507</f>
        <v>18.731236586163703</v>
      </c>
      <c r="Z3709" s="71" t="s">
        <v>2272</v>
      </c>
      <c r="AA3709" s="71" t="s">
        <v>2272</v>
      </c>
      <c r="AB3709" s="71" t="s">
        <v>2272</v>
      </c>
      <c r="AC3709" s="71" t="s">
        <v>2272</v>
      </c>
      <c r="AD3709" s="198"/>
      <c r="AE3709" s="198"/>
    </row>
    <row r="3710" spans="1:31" ht="53" customHeight="1">
      <c r="A3710" s="198" t="s">
        <v>9542</v>
      </c>
      <c r="B3710" s="198" t="s">
        <v>9553</v>
      </c>
      <c r="C3710" s="198" t="s">
        <v>1102</v>
      </c>
      <c r="D3710" s="198" t="s">
        <v>2272</v>
      </c>
      <c r="E3710" s="198" t="s">
        <v>2644</v>
      </c>
      <c r="F3710" s="198" t="s">
        <v>2272</v>
      </c>
      <c r="G3710" s="198" t="s">
        <v>2658</v>
      </c>
      <c r="H3710" s="198" t="s">
        <v>521</v>
      </c>
      <c r="I3710" s="198">
        <v>1997</v>
      </c>
      <c r="J3710" s="71" t="s">
        <v>2272</v>
      </c>
      <c r="K3710" s="71" t="s">
        <v>2272</v>
      </c>
      <c r="L3710" s="71" t="s">
        <v>2272</v>
      </c>
      <c r="M3710" s="71" t="s">
        <v>2272</v>
      </c>
      <c r="N3710" s="71" t="s">
        <v>2272</v>
      </c>
      <c r="O3710" s="71" t="s">
        <v>2272</v>
      </c>
      <c r="P3710" s="71" t="s">
        <v>2272</v>
      </c>
      <c r="Q3710" s="71" t="s">
        <v>2272</v>
      </c>
      <c r="R3710" s="71" t="s">
        <v>2272</v>
      </c>
      <c r="S3710" s="71" t="s">
        <v>2272</v>
      </c>
      <c r="T3710" s="71" t="s">
        <v>2272</v>
      </c>
      <c r="U3710" s="21">
        <v>883987</v>
      </c>
      <c r="V3710" s="71" t="s">
        <v>2272</v>
      </c>
      <c r="W3710" s="21">
        <v>64</v>
      </c>
      <c r="X3710" s="71" t="s">
        <v>2272</v>
      </c>
      <c r="Y3710" s="21">
        <f>U3710/'Record info'!K$1507</f>
        <v>7.0528814316602437</v>
      </c>
      <c r="Z3710" s="71" t="s">
        <v>2272</v>
      </c>
      <c r="AA3710" s="71" t="s">
        <v>2272</v>
      </c>
      <c r="AB3710" s="71" t="s">
        <v>2272</v>
      </c>
      <c r="AC3710" s="71" t="s">
        <v>2272</v>
      </c>
      <c r="AD3710" s="198"/>
      <c r="AE3710" s="198"/>
    </row>
    <row r="3711" spans="1:31" ht="53" customHeight="1">
      <c r="A3711" s="198" t="s">
        <v>9542</v>
      </c>
      <c r="B3711" s="198" t="s">
        <v>9554</v>
      </c>
      <c r="C3711" s="198" t="s">
        <v>1102</v>
      </c>
      <c r="D3711" s="198" t="s">
        <v>2272</v>
      </c>
      <c r="E3711" s="198" t="s">
        <v>82</v>
      </c>
      <c r="F3711" s="198" t="s">
        <v>2272</v>
      </c>
      <c r="G3711" s="198" t="s">
        <v>27</v>
      </c>
      <c r="H3711" s="198" t="s">
        <v>521</v>
      </c>
      <c r="I3711" s="198">
        <v>1997</v>
      </c>
      <c r="J3711" s="71" t="s">
        <v>2272</v>
      </c>
      <c r="K3711" s="71" t="s">
        <v>2272</v>
      </c>
      <c r="L3711" s="71" t="s">
        <v>2272</v>
      </c>
      <c r="M3711" s="71" t="s">
        <v>2272</v>
      </c>
      <c r="N3711" s="71" t="s">
        <v>2272</v>
      </c>
      <c r="O3711" s="71" t="s">
        <v>2272</v>
      </c>
      <c r="P3711" s="71" t="s">
        <v>2272</v>
      </c>
      <c r="Q3711" s="71" t="s">
        <v>2272</v>
      </c>
      <c r="R3711" s="71" t="s">
        <v>2272</v>
      </c>
      <c r="S3711" s="71" t="s">
        <v>2272</v>
      </c>
      <c r="T3711" s="71" t="s">
        <v>2272</v>
      </c>
      <c r="U3711" s="21">
        <v>382509</v>
      </c>
      <c r="V3711" s="71" t="s">
        <v>2272</v>
      </c>
      <c r="W3711" s="21">
        <v>51</v>
      </c>
      <c r="X3711" s="71" t="s">
        <v>2272</v>
      </c>
      <c r="Y3711" s="21">
        <f>U3711/'Record info'!K$1507</f>
        <v>3.051844227961416</v>
      </c>
      <c r="Z3711" s="71" t="s">
        <v>2272</v>
      </c>
      <c r="AA3711" s="71" t="s">
        <v>2272</v>
      </c>
      <c r="AB3711" s="71" t="s">
        <v>2272</v>
      </c>
      <c r="AC3711" s="71" t="s">
        <v>2272</v>
      </c>
      <c r="AD3711" s="198"/>
      <c r="AE3711" s="198"/>
    </row>
    <row r="3712" spans="1:31" ht="53" customHeight="1">
      <c r="A3712" s="198" t="s">
        <v>9542</v>
      </c>
      <c r="B3712" s="198" t="s">
        <v>9555</v>
      </c>
      <c r="C3712" s="198" t="s">
        <v>1102</v>
      </c>
      <c r="D3712" s="198" t="s">
        <v>2272</v>
      </c>
      <c r="E3712" s="198" t="s">
        <v>135</v>
      </c>
      <c r="F3712" s="198" t="s">
        <v>2272</v>
      </c>
      <c r="G3712" s="198" t="s">
        <v>73</v>
      </c>
      <c r="H3712" s="198" t="s">
        <v>521</v>
      </c>
      <c r="I3712" s="198">
        <v>1997</v>
      </c>
      <c r="J3712" s="71" t="s">
        <v>2272</v>
      </c>
      <c r="K3712" s="71" t="s">
        <v>2272</v>
      </c>
      <c r="L3712" s="71" t="s">
        <v>2272</v>
      </c>
      <c r="M3712" s="71" t="s">
        <v>2272</v>
      </c>
      <c r="N3712" s="71" t="s">
        <v>2272</v>
      </c>
      <c r="O3712" s="71" t="s">
        <v>2272</v>
      </c>
      <c r="P3712" s="71" t="s">
        <v>2272</v>
      </c>
      <c r="Q3712" s="71" t="s">
        <v>2272</v>
      </c>
      <c r="R3712" s="71" t="s">
        <v>2272</v>
      </c>
      <c r="S3712" s="71" t="s">
        <v>2272</v>
      </c>
      <c r="T3712" s="71" t="s">
        <v>2272</v>
      </c>
      <c r="U3712" s="21">
        <v>440381</v>
      </c>
      <c r="V3712" s="71" t="s">
        <v>2272</v>
      </c>
      <c r="W3712" s="21">
        <v>10</v>
      </c>
      <c r="X3712" s="71" t="s">
        <v>2272</v>
      </c>
      <c r="Y3712" s="21">
        <f>U3712/'Record info'!K$1507</f>
        <v>3.51357540071966</v>
      </c>
      <c r="Z3712" s="71" t="s">
        <v>2272</v>
      </c>
      <c r="AA3712" s="71" t="s">
        <v>2272</v>
      </c>
      <c r="AB3712" s="71" t="s">
        <v>2272</v>
      </c>
      <c r="AC3712" s="71" t="s">
        <v>2272</v>
      </c>
      <c r="AD3712" s="198"/>
      <c r="AE3712" s="198"/>
    </row>
    <row r="3713" spans="1:31" ht="53" customHeight="1">
      <c r="A3713" s="198" t="s">
        <v>9542</v>
      </c>
      <c r="B3713" s="198" t="s">
        <v>9556</v>
      </c>
      <c r="C3713" s="198" t="s">
        <v>1102</v>
      </c>
      <c r="D3713" s="198" t="s">
        <v>2272</v>
      </c>
      <c r="E3713" s="198" t="s">
        <v>128</v>
      </c>
      <c r="F3713" s="198" t="s">
        <v>2272</v>
      </c>
      <c r="G3713" s="198" t="s">
        <v>158</v>
      </c>
      <c r="H3713" s="198" t="s">
        <v>521</v>
      </c>
      <c r="I3713" s="198">
        <v>1997</v>
      </c>
      <c r="J3713" s="71" t="s">
        <v>2272</v>
      </c>
      <c r="K3713" s="71" t="s">
        <v>2272</v>
      </c>
      <c r="L3713" s="71" t="s">
        <v>2272</v>
      </c>
      <c r="M3713" s="71" t="s">
        <v>2272</v>
      </c>
      <c r="N3713" s="71" t="s">
        <v>2272</v>
      </c>
      <c r="O3713" s="71" t="s">
        <v>2272</v>
      </c>
      <c r="P3713" s="71" t="s">
        <v>2272</v>
      </c>
      <c r="Q3713" s="71" t="s">
        <v>2272</v>
      </c>
      <c r="R3713" s="71" t="s">
        <v>2272</v>
      </c>
      <c r="S3713" s="71" t="s">
        <v>2272</v>
      </c>
      <c r="T3713" s="71" t="s">
        <v>2272</v>
      </c>
      <c r="U3713" s="21">
        <v>1161174</v>
      </c>
      <c r="V3713" s="71" t="s">
        <v>2272</v>
      </c>
      <c r="W3713" s="21">
        <v>36</v>
      </c>
      <c r="X3713" s="71" t="s">
        <v>2272</v>
      </c>
      <c r="Y3713" s="21">
        <f>U3713/'Record info'!K$1507</f>
        <v>9.2644151367912109</v>
      </c>
      <c r="Z3713" s="71" t="s">
        <v>2272</v>
      </c>
      <c r="AA3713" s="71" t="s">
        <v>2272</v>
      </c>
      <c r="AB3713" s="71" t="s">
        <v>2272</v>
      </c>
      <c r="AC3713" s="71" t="s">
        <v>2272</v>
      </c>
      <c r="AD3713" s="198"/>
      <c r="AE3713" s="198"/>
    </row>
    <row r="3714" spans="1:31" ht="44.5" customHeight="1">
      <c r="A3714" s="198" t="s">
        <v>9584</v>
      </c>
      <c r="B3714" s="198" t="s">
        <v>9586</v>
      </c>
      <c r="C3714" s="198" t="s">
        <v>23</v>
      </c>
      <c r="D3714" s="198" t="s">
        <v>2342</v>
      </c>
      <c r="E3714" s="198" t="s">
        <v>82</v>
      </c>
      <c r="F3714" s="198" t="s">
        <v>27</v>
      </c>
      <c r="G3714" s="198" t="s">
        <v>27</v>
      </c>
      <c r="H3714" s="198" t="s">
        <v>521</v>
      </c>
      <c r="I3714" s="198"/>
      <c r="J3714" s="71" t="s">
        <v>2272</v>
      </c>
      <c r="K3714" s="71" t="s">
        <v>2272</v>
      </c>
      <c r="L3714" s="71" t="s">
        <v>2272</v>
      </c>
      <c r="M3714" s="71" t="s">
        <v>2272</v>
      </c>
      <c r="N3714" s="71" t="s">
        <v>2272</v>
      </c>
      <c r="O3714" s="71" t="s">
        <v>2272</v>
      </c>
      <c r="P3714" s="71" t="s">
        <v>2272</v>
      </c>
      <c r="Q3714" s="71" t="s">
        <v>2272</v>
      </c>
      <c r="R3714" s="71" t="s">
        <v>2272</v>
      </c>
      <c r="S3714" s="71" t="s">
        <v>2272</v>
      </c>
      <c r="T3714" s="71" t="s">
        <v>2272</v>
      </c>
      <c r="U3714" s="71" t="s">
        <v>2272</v>
      </c>
      <c r="V3714" s="71" t="s">
        <v>2272</v>
      </c>
      <c r="W3714" s="71" t="s">
        <v>2272</v>
      </c>
      <c r="X3714" s="71" t="s">
        <v>2272</v>
      </c>
      <c r="Y3714" s="71" t="s">
        <v>2272</v>
      </c>
      <c r="Z3714" s="71" t="s">
        <v>2272</v>
      </c>
      <c r="AA3714" s="71" t="s">
        <v>2272</v>
      </c>
      <c r="AB3714" s="71" t="s">
        <v>2272</v>
      </c>
      <c r="AC3714" s="71" t="s">
        <v>2272</v>
      </c>
      <c r="AD3714" s="198"/>
      <c r="AE3714" s="198"/>
    </row>
    <row r="3715" spans="1:31" ht="54.5" customHeight="1">
      <c r="A3715" s="198" t="s">
        <v>9584</v>
      </c>
      <c r="B3715" s="198" t="s">
        <v>9589</v>
      </c>
      <c r="C3715" s="198" t="s">
        <v>23</v>
      </c>
      <c r="D3715" s="198" t="s">
        <v>2342</v>
      </c>
      <c r="E3715" s="198" t="s">
        <v>128</v>
      </c>
      <c r="F3715" s="198" t="s">
        <v>27</v>
      </c>
      <c r="G3715" s="198" t="s">
        <v>27</v>
      </c>
      <c r="H3715" s="198" t="s">
        <v>521</v>
      </c>
      <c r="I3715" s="198"/>
      <c r="J3715" s="71" t="s">
        <v>2272</v>
      </c>
      <c r="K3715" s="71" t="s">
        <v>2272</v>
      </c>
      <c r="L3715" s="71" t="s">
        <v>2272</v>
      </c>
      <c r="M3715" s="71" t="s">
        <v>2272</v>
      </c>
      <c r="N3715" s="71" t="s">
        <v>2272</v>
      </c>
      <c r="O3715" s="71" t="s">
        <v>2272</v>
      </c>
      <c r="P3715" s="71" t="s">
        <v>2272</v>
      </c>
      <c r="Q3715" s="71" t="s">
        <v>2272</v>
      </c>
      <c r="R3715" s="71" t="s">
        <v>2272</v>
      </c>
      <c r="S3715" s="71" t="s">
        <v>2272</v>
      </c>
      <c r="T3715" s="71" t="s">
        <v>2272</v>
      </c>
      <c r="U3715" s="71" t="s">
        <v>2272</v>
      </c>
      <c r="V3715" s="71" t="s">
        <v>2272</v>
      </c>
      <c r="W3715" s="71" t="s">
        <v>2272</v>
      </c>
      <c r="X3715" s="71" t="s">
        <v>2272</v>
      </c>
      <c r="Y3715" s="71" t="s">
        <v>2272</v>
      </c>
      <c r="Z3715" s="71" t="s">
        <v>2272</v>
      </c>
      <c r="AA3715" s="71" t="s">
        <v>2272</v>
      </c>
      <c r="AB3715" s="71" t="s">
        <v>2272</v>
      </c>
      <c r="AC3715" s="71" t="s">
        <v>2272</v>
      </c>
      <c r="AD3715" s="198"/>
      <c r="AE3715" s="198"/>
    </row>
    <row r="3716" spans="1:31" ht="51.5" customHeight="1">
      <c r="A3716" s="198" t="s">
        <v>9588</v>
      </c>
      <c r="B3716" s="198" t="s">
        <v>9590</v>
      </c>
      <c r="C3716" s="198" t="s">
        <v>23</v>
      </c>
      <c r="D3716" s="198" t="s">
        <v>26</v>
      </c>
      <c r="E3716" s="198" t="s">
        <v>128</v>
      </c>
      <c r="F3716" s="198" t="s">
        <v>158</v>
      </c>
      <c r="G3716" s="198" t="s">
        <v>158</v>
      </c>
      <c r="H3716" s="198" t="s">
        <v>521</v>
      </c>
      <c r="I3716" s="198"/>
      <c r="J3716" s="71" t="s">
        <v>2272</v>
      </c>
      <c r="K3716" s="71" t="s">
        <v>2272</v>
      </c>
      <c r="L3716" s="71" t="s">
        <v>2272</v>
      </c>
      <c r="M3716" s="71" t="s">
        <v>2272</v>
      </c>
      <c r="N3716" s="71" t="s">
        <v>2272</v>
      </c>
      <c r="O3716" s="71" t="s">
        <v>2272</v>
      </c>
      <c r="P3716" s="71" t="s">
        <v>2272</v>
      </c>
      <c r="Q3716" s="71" t="s">
        <v>2272</v>
      </c>
      <c r="R3716" s="71" t="s">
        <v>2272</v>
      </c>
      <c r="S3716" s="71" t="s">
        <v>2272</v>
      </c>
      <c r="T3716" s="21">
        <v>350</v>
      </c>
      <c r="U3716" s="71" t="s">
        <v>2272</v>
      </c>
      <c r="V3716" s="71" t="s">
        <v>2272</v>
      </c>
      <c r="W3716" s="71" t="s">
        <v>2272</v>
      </c>
      <c r="X3716" s="71" t="s">
        <v>2272</v>
      </c>
      <c r="Y3716" s="71" t="s">
        <v>2272</v>
      </c>
      <c r="Z3716" s="71" t="s">
        <v>2272</v>
      </c>
      <c r="AA3716" s="71" t="s">
        <v>2272</v>
      </c>
      <c r="AB3716" s="71" t="s">
        <v>2272</v>
      </c>
      <c r="AC3716" s="71" t="s">
        <v>2272</v>
      </c>
      <c r="AD3716" s="198"/>
      <c r="AE3716" s="198"/>
    </row>
    <row r="3717" spans="1:31" ht="49" customHeight="1">
      <c r="A3717" s="198" t="s">
        <v>9588</v>
      </c>
      <c r="B3717" s="198" t="s">
        <v>9591</v>
      </c>
      <c r="C3717" s="198" t="s">
        <v>2453</v>
      </c>
      <c r="D3717" s="198" t="s">
        <v>26</v>
      </c>
      <c r="E3717" s="198" t="s">
        <v>128</v>
      </c>
      <c r="F3717" s="198" t="s">
        <v>158</v>
      </c>
      <c r="G3717" s="198" t="s">
        <v>2658</v>
      </c>
      <c r="H3717" s="198" t="s">
        <v>521</v>
      </c>
      <c r="I3717" s="198"/>
      <c r="J3717" s="71" t="s">
        <v>2272</v>
      </c>
      <c r="K3717" s="71" t="s">
        <v>2272</v>
      </c>
      <c r="L3717" s="71" t="s">
        <v>2272</v>
      </c>
      <c r="M3717" s="71" t="s">
        <v>2272</v>
      </c>
      <c r="N3717" s="71" t="s">
        <v>2272</v>
      </c>
      <c r="O3717" s="71" t="s">
        <v>2272</v>
      </c>
      <c r="P3717" s="71" t="s">
        <v>2272</v>
      </c>
      <c r="Q3717" s="71" t="s">
        <v>2272</v>
      </c>
      <c r="R3717" s="71" t="s">
        <v>2272</v>
      </c>
      <c r="S3717" s="71" t="s">
        <v>2272</v>
      </c>
      <c r="T3717" s="71" t="s">
        <v>2272</v>
      </c>
      <c r="U3717" s="21">
        <f>(2112+384)</f>
        <v>2496</v>
      </c>
      <c r="V3717" s="71" t="s">
        <v>2272</v>
      </c>
      <c r="W3717" s="71" t="s">
        <v>2272</v>
      </c>
      <c r="X3717" s="71" t="s">
        <v>2272</v>
      </c>
      <c r="Y3717" s="71" t="s">
        <v>2272</v>
      </c>
      <c r="Z3717" s="71" t="s">
        <v>2272</v>
      </c>
      <c r="AA3717" s="71" t="s">
        <v>2272</v>
      </c>
      <c r="AB3717" s="71" t="s">
        <v>2272</v>
      </c>
      <c r="AC3717" s="71" t="s">
        <v>2272</v>
      </c>
      <c r="AD3717" s="198"/>
      <c r="AE3717" s="198"/>
    </row>
    <row r="3718" spans="1:31" ht="54.5" customHeight="1">
      <c r="A3718" s="198" t="s">
        <v>9588</v>
      </c>
      <c r="B3718" s="198" t="s">
        <v>9592</v>
      </c>
      <c r="C3718" s="198" t="s">
        <v>2453</v>
      </c>
      <c r="D3718" s="198" t="s">
        <v>2342</v>
      </c>
      <c r="E3718" s="198" t="s">
        <v>128</v>
      </c>
      <c r="F3718" s="198" t="s">
        <v>2658</v>
      </c>
      <c r="G3718" s="198" t="s">
        <v>2658</v>
      </c>
      <c r="H3718" s="198" t="s">
        <v>521</v>
      </c>
      <c r="I3718" s="198"/>
      <c r="J3718" s="71" t="s">
        <v>2272</v>
      </c>
      <c r="K3718" s="71" t="s">
        <v>2272</v>
      </c>
      <c r="L3718" s="71" t="s">
        <v>2272</v>
      </c>
      <c r="M3718" s="71" t="s">
        <v>2272</v>
      </c>
      <c r="N3718" s="71" t="s">
        <v>2272</v>
      </c>
      <c r="O3718" s="71" t="s">
        <v>2272</v>
      </c>
      <c r="P3718" s="71" t="s">
        <v>2272</v>
      </c>
      <c r="Q3718" s="71" t="s">
        <v>2272</v>
      </c>
      <c r="R3718" s="71" t="s">
        <v>2272</v>
      </c>
      <c r="S3718" s="71" t="s">
        <v>2272</v>
      </c>
      <c r="T3718" s="71" t="s">
        <v>2272</v>
      </c>
      <c r="U3718" s="21">
        <f>(1560+450)/2</f>
        <v>1005</v>
      </c>
      <c r="V3718" s="71" t="s">
        <v>2272</v>
      </c>
      <c r="W3718" s="71" t="s">
        <v>2272</v>
      </c>
      <c r="X3718" s="71" t="s">
        <v>2272</v>
      </c>
      <c r="Y3718" s="71" t="s">
        <v>2272</v>
      </c>
      <c r="Z3718" s="71" t="s">
        <v>2272</v>
      </c>
      <c r="AA3718" s="71" t="s">
        <v>2272</v>
      </c>
      <c r="AB3718" s="71" t="s">
        <v>2272</v>
      </c>
      <c r="AC3718" s="71" t="s">
        <v>2272</v>
      </c>
      <c r="AD3718" s="198"/>
      <c r="AE3718" s="198"/>
    </row>
    <row r="3719" spans="1:31" ht="51" customHeight="1">
      <c r="A3719" s="4" t="s">
        <v>9594</v>
      </c>
      <c r="B3719" s="4" t="s">
        <v>9596</v>
      </c>
      <c r="C3719" s="4" t="s">
        <v>23</v>
      </c>
      <c r="D3719" s="4" t="s">
        <v>2342</v>
      </c>
      <c r="E3719" s="4" t="s">
        <v>395</v>
      </c>
      <c r="F3719" s="4" t="s">
        <v>2658</v>
      </c>
      <c r="G3719" s="4" t="s">
        <v>2658</v>
      </c>
      <c r="H3719" s="4" t="s">
        <v>521</v>
      </c>
      <c r="I3719" s="198">
        <v>1983</v>
      </c>
      <c r="J3719" s="71" t="s">
        <v>2272</v>
      </c>
      <c r="K3719" s="71" t="s">
        <v>2272</v>
      </c>
      <c r="L3719" s="71" t="s">
        <v>2272</v>
      </c>
      <c r="M3719" s="71" t="s">
        <v>2272</v>
      </c>
      <c r="N3719" s="71" t="s">
        <v>2272</v>
      </c>
      <c r="O3719" s="71" t="s">
        <v>2272</v>
      </c>
      <c r="P3719" s="71" t="s">
        <v>2272</v>
      </c>
      <c r="Q3719" s="71" t="s">
        <v>2272</v>
      </c>
      <c r="R3719" s="71" t="s">
        <v>2272</v>
      </c>
      <c r="S3719" s="71" t="s">
        <v>2272</v>
      </c>
      <c r="T3719" s="71" t="s">
        <v>2272</v>
      </c>
      <c r="U3719" s="71" t="s">
        <v>2272</v>
      </c>
      <c r="V3719" s="71" t="s">
        <v>2272</v>
      </c>
      <c r="W3719" s="71" t="s">
        <v>2272</v>
      </c>
      <c r="X3719" s="71" t="s">
        <v>2272</v>
      </c>
      <c r="Y3719" s="71" t="s">
        <v>2272</v>
      </c>
      <c r="Z3719" s="71" t="s">
        <v>2272</v>
      </c>
      <c r="AA3719" s="71" t="s">
        <v>2272</v>
      </c>
      <c r="AB3719" s="71" t="s">
        <v>2272</v>
      </c>
      <c r="AC3719" s="71" t="s">
        <v>2272</v>
      </c>
      <c r="AD3719" s="198"/>
      <c r="AE3719" s="198"/>
    </row>
    <row r="3720" spans="1:31" ht="51" customHeight="1">
      <c r="A3720" s="4" t="s">
        <v>9594</v>
      </c>
      <c r="B3720" s="4" t="s">
        <v>9597</v>
      </c>
      <c r="C3720" s="4" t="s">
        <v>23</v>
      </c>
      <c r="D3720" s="4" t="s">
        <v>2342</v>
      </c>
      <c r="E3720" s="4" t="s">
        <v>395</v>
      </c>
      <c r="F3720" s="4" t="s">
        <v>2658</v>
      </c>
      <c r="G3720" s="4" t="s">
        <v>2658</v>
      </c>
      <c r="H3720" s="4" t="s">
        <v>521</v>
      </c>
      <c r="I3720" s="198">
        <v>1991</v>
      </c>
      <c r="J3720" s="71" t="s">
        <v>2272</v>
      </c>
      <c r="K3720" s="71" t="s">
        <v>2272</v>
      </c>
      <c r="L3720" s="71" t="s">
        <v>2272</v>
      </c>
      <c r="M3720" s="71" t="s">
        <v>2272</v>
      </c>
      <c r="N3720" s="71" t="s">
        <v>2272</v>
      </c>
      <c r="O3720" s="71" t="s">
        <v>2272</v>
      </c>
      <c r="P3720" s="71" t="s">
        <v>2272</v>
      </c>
      <c r="Q3720" s="71" t="s">
        <v>2272</v>
      </c>
      <c r="R3720" s="71" t="s">
        <v>2272</v>
      </c>
      <c r="S3720" s="71" t="s">
        <v>2272</v>
      </c>
      <c r="T3720" s="71" t="s">
        <v>2272</v>
      </c>
      <c r="U3720" s="71" t="s">
        <v>2272</v>
      </c>
      <c r="V3720" s="71" t="s">
        <v>2272</v>
      </c>
      <c r="W3720" s="71" t="s">
        <v>2272</v>
      </c>
      <c r="X3720" s="71" t="s">
        <v>2272</v>
      </c>
      <c r="Y3720" s="71" t="s">
        <v>2272</v>
      </c>
      <c r="Z3720" s="71" t="s">
        <v>2272</v>
      </c>
      <c r="AA3720" s="71" t="s">
        <v>2272</v>
      </c>
      <c r="AB3720" s="71" t="s">
        <v>2272</v>
      </c>
      <c r="AC3720" s="71" t="s">
        <v>2272</v>
      </c>
      <c r="AD3720" s="198"/>
      <c r="AE3720" s="198"/>
    </row>
    <row r="3721" spans="1:31" ht="51" customHeight="1">
      <c r="A3721" s="4" t="s">
        <v>9594</v>
      </c>
      <c r="B3721" s="4" t="s">
        <v>9598</v>
      </c>
      <c r="C3721" s="4" t="s">
        <v>23</v>
      </c>
      <c r="D3721" s="4" t="s">
        <v>2342</v>
      </c>
      <c r="E3721" s="4" t="s">
        <v>395</v>
      </c>
      <c r="F3721" s="4" t="s">
        <v>2658</v>
      </c>
      <c r="G3721" s="4" t="s">
        <v>2658</v>
      </c>
      <c r="H3721" s="4" t="s">
        <v>521</v>
      </c>
      <c r="I3721" s="198">
        <v>1993</v>
      </c>
      <c r="J3721" s="71" t="s">
        <v>2272</v>
      </c>
      <c r="K3721" s="71" t="s">
        <v>2272</v>
      </c>
      <c r="L3721" s="71" t="s">
        <v>2272</v>
      </c>
      <c r="M3721" s="71" t="s">
        <v>2272</v>
      </c>
      <c r="N3721" s="71" t="s">
        <v>2272</v>
      </c>
      <c r="O3721" s="71" t="s">
        <v>2272</v>
      </c>
      <c r="P3721" s="71" t="s">
        <v>2272</v>
      </c>
      <c r="Q3721" s="71" t="s">
        <v>2272</v>
      </c>
      <c r="R3721" s="71" t="s">
        <v>2272</v>
      </c>
      <c r="S3721" s="71" t="s">
        <v>2272</v>
      </c>
      <c r="T3721" s="71" t="s">
        <v>2272</v>
      </c>
      <c r="U3721" s="71" t="s">
        <v>2272</v>
      </c>
      <c r="V3721" s="71" t="s">
        <v>2272</v>
      </c>
      <c r="W3721" s="71" t="s">
        <v>2272</v>
      </c>
      <c r="X3721" s="71" t="s">
        <v>2272</v>
      </c>
      <c r="Y3721" s="71" t="s">
        <v>2272</v>
      </c>
      <c r="Z3721" s="71" t="s">
        <v>2272</v>
      </c>
      <c r="AA3721" s="71" t="s">
        <v>2272</v>
      </c>
      <c r="AB3721" s="71" t="s">
        <v>2272</v>
      </c>
      <c r="AC3721" s="71" t="s">
        <v>2272</v>
      </c>
      <c r="AD3721" s="198"/>
      <c r="AE3721" s="198"/>
    </row>
    <row r="3722" spans="1:31" ht="51" customHeight="1">
      <c r="A3722" s="163" t="s">
        <v>9594</v>
      </c>
      <c r="B3722" s="163" t="s">
        <v>9599</v>
      </c>
      <c r="C3722" s="163" t="s">
        <v>23</v>
      </c>
      <c r="D3722" s="163" t="s">
        <v>2342</v>
      </c>
      <c r="E3722" s="163" t="s">
        <v>395</v>
      </c>
      <c r="F3722" s="163" t="s">
        <v>2658</v>
      </c>
      <c r="G3722" s="163" t="s">
        <v>2658</v>
      </c>
      <c r="H3722" s="163" t="s">
        <v>521</v>
      </c>
      <c r="I3722" s="198">
        <v>1996</v>
      </c>
      <c r="J3722" s="226" t="s">
        <v>2272</v>
      </c>
      <c r="K3722" s="226" t="s">
        <v>2272</v>
      </c>
      <c r="L3722" s="226" t="s">
        <v>2272</v>
      </c>
      <c r="M3722" s="226" t="s">
        <v>2272</v>
      </c>
      <c r="N3722" s="226" t="s">
        <v>2272</v>
      </c>
      <c r="O3722" s="226" t="s">
        <v>2272</v>
      </c>
      <c r="P3722" s="226" t="s">
        <v>2272</v>
      </c>
      <c r="Q3722" s="226" t="s">
        <v>2272</v>
      </c>
      <c r="R3722" s="226" t="s">
        <v>2272</v>
      </c>
      <c r="S3722" s="226" t="s">
        <v>2272</v>
      </c>
      <c r="T3722" s="226" t="s">
        <v>2272</v>
      </c>
      <c r="U3722" s="226" t="s">
        <v>2272</v>
      </c>
      <c r="V3722" s="226" t="s">
        <v>2272</v>
      </c>
      <c r="W3722" s="226" t="s">
        <v>2272</v>
      </c>
      <c r="X3722" s="226" t="s">
        <v>2272</v>
      </c>
      <c r="Y3722" s="226" t="s">
        <v>2272</v>
      </c>
      <c r="Z3722" s="226" t="s">
        <v>2272</v>
      </c>
      <c r="AA3722" s="226" t="s">
        <v>2272</v>
      </c>
      <c r="AB3722" s="226" t="s">
        <v>2272</v>
      </c>
      <c r="AC3722" s="226" t="s">
        <v>2272</v>
      </c>
      <c r="AD3722" s="35"/>
      <c r="AE3722" s="35"/>
    </row>
    <row r="3723" spans="1:31" ht="67" customHeight="1">
      <c r="A3723" s="4" t="s">
        <v>9594</v>
      </c>
      <c r="B3723" s="4" t="s">
        <v>9600</v>
      </c>
      <c r="C3723" s="198" t="s">
        <v>2653</v>
      </c>
      <c r="D3723" s="198" t="s">
        <v>1102</v>
      </c>
      <c r="E3723" s="198" t="s">
        <v>1102</v>
      </c>
      <c r="F3723" s="198" t="s">
        <v>1102</v>
      </c>
      <c r="G3723" s="198" t="s">
        <v>54</v>
      </c>
      <c r="H3723" s="4" t="s">
        <v>521</v>
      </c>
      <c r="I3723" s="198"/>
      <c r="J3723" s="71" t="s">
        <v>2272</v>
      </c>
      <c r="K3723" s="71" t="s">
        <v>2272</v>
      </c>
      <c r="L3723" s="71" t="s">
        <v>2272</v>
      </c>
      <c r="M3723" s="71" t="s">
        <v>2272</v>
      </c>
      <c r="N3723" s="71" t="s">
        <v>2272</v>
      </c>
      <c r="O3723" s="71" t="s">
        <v>2272</v>
      </c>
      <c r="P3723" s="71" t="s">
        <v>2272</v>
      </c>
      <c r="Q3723" s="71" t="s">
        <v>2272</v>
      </c>
      <c r="R3723" s="71" t="s">
        <v>2272</v>
      </c>
      <c r="S3723" s="71" t="s">
        <v>2272</v>
      </c>
      <c r="T3723" s="71" t="s">
        <v>2272</v>
      </c>
      <c r="U3723" s="71" t="s">
        <v>2272</v>
      </c>
      <c r="V3723" s="71" t="s">
        <v>2272</v>
      </c>
      <c r="W3723" s="71" t="s">
        <v>2272</v>
      </c>
      <c r="X3723" s="71" t="s">
        <v>2272</v>
      </c>
      <c r="Y3723" s="71" t="s">
        <v>2272</v>
      </c>
      <c r="Z3723" s="71" t="s">
        <v>2272</v>
      </c>
      <c r="AA3723" s="71" t="s">
        <v>2272</v>
      </c>
      <c r="AB3723" s="71" t="s">
        <v>2272</v>
      </c>
      <c r="AC3723" s="71" t="s">
        <v>2272</v>
      </c>
      <c r="AD3723" s="71" t="s">
        <v>9601</v>
      </c>
      <c r="AE3723" s="198"/>
    </row>
    <row r="3724" spans="1:31" ht="50" customHeight="1">
      <c r="A3724" s="4" t="s">
        <v>9594</v>
      </c>
      <c r="B3724" s="4" t="s">
        <v>9602</v>
      </c>
      <c r="C3724" s="163" t="s">
        <v>23</v>
      </c>
      <c r="D3724" s="163" t="s">
        <v>2342</v>
      </c>
      <c r="E3724" s="163" t="s">
        <v>395</v>
      </c>
      <c r="F3724" s="163" t="s">
        <v>2658</v>
      </c>
      <c r="G3724" s="163" t="s">
        <v>2658</v>
      </c>
      <c r="H3724" s="163" t="s">
        <v>522</v>
      </c>
      <c r="I3724" s="198">
        <v>2000</v>
      </c>
      <c r="J3724" s="21">
        <v>0</v>
      </c>
      <c r="K3724" s="21">
        <v>0</v>
      </c>
      <c r="L3724" s="21">
        <v>0</v>
      </c>
      <c r="M3724" s="21">
        <v>0</v>
      </c>
      <c r="N3724" s="21">
        <v>0</v>
      </c>
      <c r="O3724" s="21">
        <v>0</v>
      </c>
      <c r="P3724" s="21">
        <v>0</v>
      </c>
      <c r="Q3724" s="21">
        <v>0</v>
      </c>
      <c r="R3724" s="21">
        <v>0</v>
      </c>
      <c r="S3724" s="21">
        <v>0</v>
      </c>
      <c r="T3724" s="21">
        <v>0</v>
      </c>
      <c r="U3724" s="21">
        <v>0</v>
      </c>
      <c r="V3724" s="21">
        <v>0</v>
      </c>
      <c r="W3724" s="21">
        <v>0</v>
      </c>
      <c r="X3724" s="21">
        <v>0</v>
      </c>
      <c r="Y3724" s="21">
        <v>0</v>
      </c>
      <c r="Z3724" s="71" t="s">
        <v>2272</v>
      </c>
      <c r="AA3724" s="71" t="s">
        <v>2272</v>
      </c>
      <c r="AB3724" s="71" t="s">
        <v>2272</v>
      </c>
      <c r="AC3724" s="71" t="s">
        <v>2272</v>
      </c>
      <c r="AD3724" s="198"/>
      <c r="AE3724" s="198"/>
    </row>
    <row r="3725" spans="1:31" ht="52.5" customHeight="1">
      <c r="A3725" s="4" t="s">
        <v>9594</v>
      </c>
      <c r="B3725" s="4" t="s">
        <v>9603</v>
      </c>
      <c r="C3725" s="4" t="s">
        <v>23</v>
      </c>
      <c r="D3725" s="4" t="s">
        <v>2272</v>
      </c>
      <c r="E3725" s="4" t="s">
        <v>395</v>
      </c>
      <c r="F3725" s="4" t="s">
        <v>27</v>
      </c>
      <c r="G3725" s="4" t="s">
        <v>27</v>
      </c>
      <c r="H3725" s="4" t="s">
        <v>521</v>
      </c>
      <c r="I3725" s="198">
        <v>2000</v>
      </c>
      <c r="J3725" s="71" t="s">
        <v>2272</v>
      </c>
      <c r="K3725" s="71" t="s">
        <v>2272</v>
      </c>
      <c r="L3725" s="71" t="s">
        <v>2272</v>
      </c>
      <c r="M3725" s="71" t="s">
        <v>2272</v>
      </c>
      <c r="N3725" s="71" t="s">
        <v>2272</v>
      </c>
      <c r="O3725" s="71" t="s">
        <v>2272</v>
      </c>
      <c r="P3725" s="71" t="s">
        <v>2272</v>
      </c>
      <c r="Q3725" s="71" t="s">
        <v>2272</v>
      </c>
      <c r="R3725" s="71" t="s">
        <v>2272</v>
      </c>
      <c r="S3725" s="71" t="s">
        <v>2272</v>
      </c>
      <c r="T3725" s="71" t="s">
        <v>2272</v>
      </c>
      <c r="U3725" s="71" t="s">
        <v>2272</v>
      </c>
      <c r="V3725" s="71" t="s">
        <v>2272</v>
      </c>
      <c r="W3725" s="71" t="s">
        <v>2272</v>
      </c>
      <c r="X3725" s="71" t="s">
        <v>2272</v>
      </c>
      <c r="Y3725" s="71" t="s">
        <v>2272</v>
      </c>
      <c r="Z3725" s="71" t="s">
        <v>2272</v>
      </c>
      <c r="AA3725" s="71" t="s">
        <v>2272</v>
      </c>
      <c r="AB3725" s="71" t="s">
        <v>2272</v>
      </c>
      <c r="AC3725" s="71" t="s">
        <v>2272</v>
      </c>
      <c r="AD3725" s="4" t="s">
        <v>9604</v>
      </c>
      <c r="AE3725" s="198"/>
    </row>
    <row r="3726" spans="1:31" ht="47" customHeight="1">
      <c r="A3726" s="4" t="s">
        <v>9606</v>
      </c>
      <c r="B3726" s="4" t="s">
        <v>9607</v>
      </c>
      <c r="C3726" s="4" t="s">
        <v>23</v>
      </c>
      <c r="D3726" s="198" t="s">
        <v>141</v>
      </c>
      <c r="E3726" s="4" t="s">
        <v>394</v>
      </c>
      <c r="F3726" s="4" t="s">
        <v>73</v>
      </c>
      <c r="G3726" s="4" t="s">
        <v>73</v>
      </c>
      <c r="H3726" s="4" t="s">
        <v>521</v>
      </c>
      <c r="I3726" s="198"/>
      <c r="J3726" s="71" t="s">
        <v>2272</v>
      </c>
      <c r="K3726" s="71" t="s">
        <v>2272</v>
      </c>
      <c r="L3726" s="71" t="s">
        <v>2272</v>
      </c>
      <c r="M3726" s="71" t="s">
        <v>2272</v>
      </c>
      <c r="N3726" s="71" t="s">
        <v>2272</v>
      </c>
      <c r="O3726" s="71" t="s">
        <v>2272</v>
      </c>
      <c r="P3726" s="71" t="s">
        <v>2272</v>
      </c>
      <c r="Q3726" s="71" t="s">
        <v>2272</v>
      </c>
      <c r="R3726" s="71" t="s">
        <v>2272</v>
      </c>
      <c r="S3726" s="71" t="s">
        <v>2272</v>
      </c>
      <c r="T3726" s="71" t="s">
        <v>2272</v>
      </c>
      <c r="U3726" s="71" t="s">
        <v>2272</v>
      </c>
      <c r="V3726" s="71" t="s">
        <v>2272</v>
      </c>
      <c r="W3726" s="71" t="s">
        <v>2272</v>
      </c>
      <c r="X3726" s="71" t="s">
        <v>2272</v>
      </c>
      <c r="Y3726" s="71" t="s">
        <v>2272</v>
      </c>
      <c r="Z3726" s="71" t="s">
        <v>2272</v>
      </c>
      <c r="AA3726" s="71" t="s">
        <v>2272</v>
      </c>
      <c r="AB3726" s="71" t="s">
        <v>2272</v>
      </c>
      <c r="AC3726" s="71" t="s">
        <v>2272</v>
      </c>
      <c r="AD3726" s="198"/>
      <c r="AE3726" s="198"/>
    </row>
    <row r="3727" spans="1:31" ht="46.5" customHeight="1">
      <c r="A3727" s="198" t="s">
        <v>9612</v>
      </c>
      <c r="B3727" s="198" t="s">
        <v>9625</v>
      </c>
      <c r="C3727" s="4" t="s">
        <v>23</v>
      </c>
      <c r="D3727" s="198" t="s">
        <v>26</v>
      </c>
      <c r="E3727" s="198" t="s">
        <v>128</v>
      </c>
      <c r="F3727" s="4" t="s">
        <v>158</v>
      </c>
      <c r="G3727" s="4" t="s">
        <v>158</v>
      </c>
      <c r="H3727" s="4" t="s">
        <v>521</v>
      </c>
      <c r="I3727" s="198"/>
      <c r="J3727" s="71" t="s">
        <v>2272</v>
      </c>
      <c r="K3727" s="71" t="s">
        <v>2272</v>
      </c>
      <c r="L3727" s="71" t="s">
        <v>2272</v>
      </c>
      <c r="M3727" s="71" t="s">
        <v>2272</v>
      </c>
      <c r="N3727" s="71" t="s">
        <v>2272</v>
      </c>
      <c r="O3727" s="71" t="s">
        <v>2272</v>
      </c>
      <c r="P3727" s="71" t="s">
        <v>2272</v>
      </c>
      <c r="Q3727" s="71" t="s">
        <v>2272</v>
      </c>
      <c r="R3727" s="71" t="s">
        <v>2272</v>
      </c>
      <c r="S3727" s="71" t="s">
        <v>2272</v>
      </c>
      <c r="T3727" s="71" t="s">
        <v>2272</v>
      </c>
      <c r="U3727" s="71" t="s">
        <v>2272</v>
      </c>
      <c r="V3727" s="71" t="s">
        <v>2272</v>
      </c>
      <c r="W3727" s="71" t="s">
        <v>2272</v>
      </c>
      <c r="X3727" s="71" t="s">
        <v>2272</v>
      </c>
      <c r="Y3727" s="71" t="s">
        <v>2272</v>
      </c>
      <c r="Z3727" s="71" t="s">
        <v>2272</v>
      </c>
      <c r="AA3727" s="71" t="s">
        <v>2272</v>
      </c>
      <c r="AB3727" s="71" t="s">
        <v>2272</v>
      </c>
      <c r="AC3727" s="71" t="s">
        <v>2272</v>
      </c>
      <c r="AD3727" s="198"/>
      <c r="AE3727" s="198"/>
    </row>
    <row r="3728" spans="1:31" ht="46.5" customHeight="1">
      <c r="A3728" s="198" t="s">
        <v>9613</v>
      </c>
      <c r="B3728" s="198" t="s">
        <v>9626</v>
      </c>
      <c r="C3728" s="4" t="s">
        <v>23</v>
      </c>
      <c r="D3728" s="198" t="s">
        <v>26</v>
      </c>
      <c r="E3728" s="198" t="s">
        <v>128</v>
      </c>
      <c r="F3728" s="4" t="s">
        <v>158</v>
      </c>
      <c r="G3728" s="4" t="s">
        <v>158</v>
      </c>
      <c r="H3728" s="4" t="s">
        <v>521</v>
      </c>
      <c r="I3728" s="198"/>
      <c r="J3728" s="71" t="s">
        <v>2272</v>
      </c>
      <c r="K3728" s="71" t="s">
        <v>2272</v>
      </c>
      <c r="L3728" s="71" t="s">
        <v>2272</v>
      </c>
      <c r="M3728" s="71" t="s">
        <v>2272</v>
      </c>
      <c r="N3728" s="71" t="s">
        <v>2272</v>
      </c>
      <c r="O3728" s="71" t="s">
        <v>2272</v>
      </c>
      <c r="P3728" s="71" t="s">
        <v>2272</v>
      </c>
      <c r="Q3728" s="71" t="s">
        <v>2272</v>
      </c>
      <c r="R3728" s="71" t="s">
        <v>2272</v>
      </c>
      <c r="S3728" s="71" t="s">
        <v>2272</v>
      </c>
      <c r="T3728" s="71" t="s">
        <v>2272</v>
      </c>
      <c r="U3728" s="71" t="s">
        <v>2272</v>
      </c>
      <c r="V3728" s="71" t="s">
        <v>2272</v>
      </c>
      <c r="W3728" s="71" t="s">
        <v>2272</v>
      </c>
      <c r="X3728" s="71" t="s">
        <v>2272</v>
      </c>
      <c r="Y3728" s="71" t="s">
        <v>2272</v>
      </c>
      <c r="Z3728" s="71" t="s">
        <v>2272</v>
      </c>
      <c r="AA3728" s="71" t="s">
        <v>2272</v>
      </c>
      <c r="AB3728" s="71" t="s">
        <v>2272</v>
      </c>
      <c r="AC3728" s="71" t="s">
        <v>2272</v>
      </c>
      <c r="AD3728" s="198"/>
      <c r="AE3728" s="198"/>
    </row>
    <row r="3729" spans="1:31" ht="46.5" customHeight="1">
      <c r="A3729" s="198" t="s">
        <v>9614</v>
      </c>
      <c r="B3729" s="198" t="s">
        <v>9627</v>
      </c>
      <c r="C3729" s="4" t="s">
        <v>23</v>
      </c>
      <c r="D3729" s="198" t="s">
        <v>26</v>
      </c>
      <c r="E3729" s="198" t="s">
        <v>128</v>
      </c>
      <c r="F3729" s="4" t="s">
        <v>158</v>
      </c>
      <c r="G3729" s="4" t="s">
        <v>158</v>
      </c>
      <c r="H3729" s="4" t="s">
        <v>521</v>
      </c>
      <c r="I3729" s="198"/>
      <c r="J3729" s="71" t="s">
        <v>2272</v>
      </c>
      <c r="K3729" s="71" t="s">
        <v>2272</v>
      </c>
      <c r="L3729" s="71" t="s">
        <v>2272</v>
      </c>
      <c r="M3729" s="71" t="s">
        <v>2272</v>
      </c>
      <c r="N3729" s="71" t="s">
        <v>2272</v>
      </c>
      <c r="O3729" s="71" t="s">
        <v>2272</v>
      </c>
      <c r="P3729" s="71" t="s">
        <v>2272</v>
      </c>
      <c r="Q3729" s="71" t="s">
        <v>2272</v>
      </c>
      <c r="R3729" s="71" t="s">
        <v>2272</v>
      </c>
      <c r="S3729" s="71" t="s">
        <v>2272</v>
      </c>
      <c r="T3729" s="71" t="s">
        <v>2272</v>
      </c>
      <c r="U3729" s="71" t="s">
        <v>2272</v>
      </c>
      <c r="V3729" s="71" t="s">
        <v>2272</v>
      </c>
      <c r="W3729" s="71" t="s">
        <v>2272</v>
      </c>
      <c r="X3729" s="71" t="s">
        <v>2272</v>
      </c>
      <c r="Y3729" s="71" t="s">
        <v>2272</v>
      </c>
      <c r="Z3729" s="71" t="s">
        <v>2272</v>
      </c>
      <c r="AA3729" s="71" t="s">
        <v>2272</v>
      </c>
      <c r="AB3729" s="71" t="s">
        <v>2272</v>
      </c>
      <c r="AC3729" s="71" t="s">
        <v>2272</v>
      </c>
      <c r="AD3729" s="198"/>
      <c r="AE3729" s="198"/>
    </row>
    <row r="3730" spans="1:31" ht="46.5" customHeight="1">
      <c r="A3730" s="198" t="s">
        <v>9615</v>
      </c>
      <c r="B3730" s="198" t="s">
        <v>9628</v>
      </c>
      <c r="C3730" s="4" t="s">
        <v>23</v>
      </c>
      <c r="D3730" s="198" t="s">
        <v>26</v>
      </c>
      <c r="E3730" s="198" t="s">
        <v>128</v>
      </c>
      <c r="F3730" s="4" t="s">
        <v>158</v>
      </c>
      <c r="G3730" s="4" t="s">
        <v>158</v>
      </c>
      <c r="H3730" s="4" t="s">
        <v>521</v>
      </c>
      <c r="I3730" s="198"/>
      <c r="J3730" s="71" t="s">
        <v>2272</v>
      </c>
      <c r="K3730" s="71" t="s">
        <v>2272</v>
      </c>
      <c r="L3730" s="71" t="s">
        <v>2272</v>
      </c>
      <c r="M3730" s="71" t="s">
        <v>2272</v>
      </c>
      <c r="N3730" s="71" t="s">
        <v>2272</v>
      </c>
      <c r="O3730" s="71" t="s">
        <v>2272</v>
      </c>
      <c r="P3730" s="71" t="s">
        <v>2272</v>
      </c>
      <c r="Q3730" s="71" t="s">
        <v>2272</v>
      </c>
      <c r="R3730" s="71" t="s">
        <v>2272</v>
      </c>
      <c r="S3730" s="71" t="s">
        <v>2272</v>
      </c>
      <c r="T3730" s="71" t="s">
        <v>2272</v>
      </c>
      <c r="U3730" s="71" t="s">
        <v>2272</v>
      </c>
      <c r="V3730" s="71" t="s">
        <v>2272</v>
      </c>
      <c r="W3730" s="71" t="s">
        <v>2272</v>
      </c>
      <c r="X3730" s="71" t="s">
        <v>2272</v>
      </c>
      <c r="Y3730" s="71" t="s">
        <v>2272</v>
      </c>
      <c r="Z3730" s="71" t="s">
        <v>2272</v>
      </c>
      <c r="AA3730" s="71" t="s">
        <v>2272</v>
      </c>
      <c r="AB3730" s="71" t="s">
        <v>2272</v>
      </c>
      <c r="AC3730" s="71" t="s">
        <v>2272</v>
      </c>
      <c r="AD3730" s="198"/>
      <c r="AE3730" s="198"/>
    </row>
    <row r="3731" spans="1:31" ht="46.5" customHeight="1">
      <c r="A3731" s="198" t="s">
        <v>9616</v>
      </c>
      <c r="B3731" s="198" t="s">
        <v>9629</v>
      </c>
      <c r="C3731" s="4" t="s">
        <v>23</v>
      </c>
      <c r="D3731" s="198" t="s">
        <v>26</v>
      </c>
      <c r="E3731" s="198" t="s">
        <v>128</v>
      </c>
      <c r="F3731" s="4" t="s">
        <v>158</v>
      </c>
      <c r="G3731" s="4" t="s">
        <v>158</v>
      </c>
      <c r="H3731" s="4" t="s">
        <v>521</v>
      </c>
      <c r="I3731" s="198"/>
      <c r="J3731" s="71" t="s">
        <v>2272</v>
      </c>
      <c r="K3731" s="71" t="s">
        <v>2272</v>
      </c>
      <c r="L3731" s="71" t="s">
        <v>2272</v>
      </c>
      <c r="M3731" s="71" t="s">
        <v>2272</v>
      </c>
      <c r="N3731" s="71" t="s">
        <v>2272</v>
      </c>
      <c r="O3731" s="71" t="s">
        <v>2272</v>
      </c>
      <c r="P3731" s="71" t="s">
        <v>2272</v>
      </c>
      <c r="Q3731" s="71" t="s">
        <v>2272</v>
      </c>
      <c r="R3731" s="71" t="s">
        <v>2272</v>
      </c>
      <c r="S3731" s="71" t="s">
        <v>2272</v>
      </c>
      <c r="T3731" s="71" t="s">
        <v>2272</v>
      </c>
      <c r="U3731" s="71" t="s">
        <v>2272</v>
      </c>
      <c r="V3731" s="71" t="s">
        <v>2272</v>
      </c>
      <c r="W3731" s="71" t="s">
        <v>2272</v>
      </c>
      <c r="X3731" s="71" t="s">
        <v>2272</v>
      </c>
      <c r="Y3731" s="71" t="s">
        <v>2272</v>
      </c>
      <c r="Z3731" s="71" t="s">
        <v>2272</v>
      </c>
      <c r="AA3731" s="71" t="s">
        <v>2272</v>
      </c>
      <c r="AB3731" s="71" t="s">
        <v>2272</v>
      </c>
      <c r="AC3731" s="71" t="s">
        <v>2272</v>
      </c>
      <c r="AD3731" s="198"/>
      <c r="AE3731" s="198"/>
    </row>
    <row r="3732" spans="1:31" ht="47" customHeight="1">
      <c r="A3732" s="198" t="s">
        <v>9617</v>
      </c>
      <c r="B3732" s="198" t="s">
        <v>9630</v>
      </c>
      <c r="C3732" s="4" t="s">
        <v>23</v>
      </c>
      <c r="D3732" s="198" t="s">
        <v>26</v>
      </c>
      <c r="E3732" s="198" t="s">
        <v>128</v>
      </c>
      <c r="F3732" s="4" t="s">
        <v>158</v>
      </c>
      <c r="G3732" s="4" t="s">
        <v>158</v>
      </c>
      <c r="H3732" s="4" t="s">
        <v>521</v>
      </c>
      <c r="I3732" s="198"/>
      <c r="J3732" s="71" t="s">
        <v>2272</v>
      </c>
      <c r="K3732" s="71" t="s">
        <v>2272</v>
      </c>
      <c r="L3732" s="71" t="s">
        <v>2272</v>
      </c>
      <c r="M3732" s="71" t="s">
        <v>2272</v>
      </c>
      <c r="N3732" s="71" t="s">
        <v>2272</v>
      </c>
      <c r="O3732" s="71" t="s">
        <v>2272</v>
      </c>
      <c r="P3732" s="71" t="s">
        <v>2272</v>
      </c>
      <c r="Q3732" s="71" t="s">
        <v>2272</v>
      </c>
      <c r="R3732" s="71" t="s">
        <v>2272</v>
      </c>
      <c r="S3732" s="71" t="s">
        <v>2272</v>
      </c>
      <c r="T3732" s="71" t="s">
        <v>2272</v>
      </c>
      <c r="U3732" s="71" t="s">
        <v>2272</v>
      </c>
      <c r="V3732" s="71" t="s">
        <v>2272</v>
      </c>
      <c r="W3732" s="71" t="s">
        <v>2272</v>
      </c>
      <c r="X3732" s="71" t="s">
        <v>2272</v>
      </c>
      <c r="Y3732" s="71" t="s">
        <v>2272</v>
      </c>
      <c r="Z3732" s="71" t="s">
        <v>2272</v>
      </c>
      <c r="AA3732" s="71" t="s">
        <v>2272</v>
      </c>
      <c r="AB3732" s="71" t="s">
        <v>2272</v>
      </c>
      <c r="AC3732" s="71" t="s">
        <v>2272</v>
      </c>
      <c r="AD3732" s="198"/>
      <c r="AE3732" s="198"/>
    </row>
    <row r="3733" spans="1:31" ht="47" customHeight="1">
      <c r="A3733" s="198" t="s">
        <v>9616</v>
      </c>
      <c r="B3733" s="198" t="s">
        <v>9634</v>
      </c>
      <c r="C3733" s="4" t="s">
        <v>23</v>
      </c>
      <c r="D3733" s="198" t="s">
        <v>26</v>
      </c>
      <c r="E3733" s="4" t="s">
        <v>2646</v>
      </c>
      <c r="F3733" s="4" t="s">
        <v>2657</v>
      </c>
      <c r="G3733" s="4" t="s">
        <v>2657</v>
      </c>
      <c r="H3733" s="198" t="s">
        <v>522</v>
      </c>
      <c r="I3733" s="198"/>
      <c r="J3733" s="21">
        <v>0</v>
      </c>
      <c r="K3733" s="21">
        <v>0</v>
      </c>
      <c r="L3733" s="21">
        <v>0</v>
      </c>
      <c r="M3733" s="21">
        <v>0</v>
      </c>
      <c r="N3733" s="21">
        <v>0</v>
      </c>
      <c r="O3733" s="21">
        <v>0</v>
      </c>
      <c r="P3733" s="21">
        <v>0</v>
      </c>
      <c r="Q3733" s="21">
        <v>0</v>
      </c>
      <c r="R3733" s="21">
        <v>0</v>
      </c>
      <c r="S3733" s="21">
        <v>0</v>
      </c>
      <c r="T3733" s="21">
        <v>0</v>
      </c>
      <c r="U3733" s="21">
        <v>0</v>
      </c>
      <c r="V3733" s="21">
        <v>0</v>
      </c>
      <c r="W3733" s="21">
        <v>0</v>
      </c>
      <c r="X3733" s="21">
        <v>0</v>
      </c>
      <c r="Y3733" s="21">
        <v>0</v>
      </c>
      <c r="Z3733" s="71" t="s">
        <v>2272</v>
      </c>
      <c r="AA3733" s="71" t="s">
        <v>2272</v>
      </c>
      <c r="AB3733" s="71" t="s">
        <v>2272</v>
      </c>
      <c r="AC3733" s="71" t="s">
        <v>2272</v>
      </c>
      <c r="AD3733" s="198"/>
      <c r="AE3733" s="198"/>
    </row>
    <row r="3734" spans="1:31" ht="47" customHeight="1">
      <c r="A3734" s="198" t="s">
        <v>9618</v>
      </c>
      <c r="B3734" s="198" t="s">
        <v>9635</v>
      </c>
      <c r="C3734" s="4" t="s">
        <v>23</v>
      </c>
      <c r="D3734" s="198" t="s">
        <v>26</v>
      </c>
      <c r="E3734" s="4" t="s">
        <v>2646</v>
      </c>
      <c r="F3734" s="4" t="s">
        <v>2657</v>
      </c>
      <c r="G3734" s="4" t="s">
        <v>2657</v>
      </c>
      <c r="H3734" s="198" t="s">
        <v>522</v>
      </c>
      <c r="I3734" s="198"/>
      <c r="J3734" s="21">
        <v>0</v>
      </c>
      <c r="K3734" s="21">
        <v>0</v>
      </c>
      <c r="L3734" s="21">
        <v>0</v>
      </c>
      <c r="M3734" s="21">
        <v>0</v>
      </c>
      <c r="N3734" s="21">
        <v>0</v>
      </c>
      <c r="O3734" s="21">
        <v>0</v>
      </c>
      <c r="P3734" s="21">
        <v>0</v>
      </c>
      <c r="Q3734" s="21">
        <v>0</v>
      </c>
      <c r="R3734" s="21">
        <v>0</v>
      </c>
      <c r="S3734" s="21">
        <v>0</v>
      </c>
      <c r="T3734" s="21">
        <v>0</v>
      </c>
      <c r="U3734" s="21">
        <v>0</v>
      </c>
      <c r="V3734" s="21">
        <v>0</v>
      </c>
      <c r="W3734" s="21">
        <v>0</v>
      </c>
      <c r="X3734" s="21">
        <v>0</v>
      </c>
      <c r="Y3734" s="21">
        <v>0</v>
      </c>
      <c r="Z3734" s="71" t="s">
        <v>2272</v>
      </c>
      <c r="AA3734" s="71" t="s">
        <v>2272</v>
      </c>
      <c r="AB3734" s="71" t="s">
        <v>2272</v>
      </c>
      <c r="AC3734" s="71" t="s">
        <v>2272</v>
      </c>
      <c r="AD3734" s="198"/>
      <c r="AE3734" s="198"/>
    </row>
    <row r="3735" spans="1:31" ht="47" customHeight="1">
      <c r="A3735" s="198" t="s">
        <v>9615</v>
      </c>
      <c r="B3735" s="198" t="s">
        <v>9636</v>
      </c>
      <c r="C3735" s="4" t="s">
        <v>23</v>
      </c>
      <c r="D3735" s="198" t="s">
        <v>26</v>
      </c>
      <c r="E3735" s="4" t="s">
        <v>2646</v>
      </c>
      <c r="F3735" s="4" t="s">
        <v>2657</v>
      </c>
      <c r="G3735" s="4" t="s">
        <v>2657</v>
      </c>
      <c r="H3735" s="198" t="s">
        <v>522</v>
      </c>
      <c r="I3735" s="198"/>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21">
        <v>0</v>
      </c>
      <c r="Z3735" s="71" t="s">
        <v>2272</v>
      </c>
      <c r="AA3735" s="71" t="s">
        <v>2272</v>
      </c>
      <c r="AB3735" s="71" t="s">
        <v>2272</v>
      </c>
      <c r="AC3735" s="71" t="s">
        <v>2272</v>
      </c>
      <c r="AD3735" s="198"/>
      <c r="AE3735" s="198"/>
    </row>
    <row r="3736" spans="1:31" ht="47" customHeight="1">
      <c r="A3736" s="198" t="s">
        <v>9612</v>
      </c>
      <c r="B3736" s="198" t="s">
        <v>9637</v>
      </c>
      <c r="C3736" s="4" t="s">
        <v>23</v>
      </c>
      <c r="D3736" s="198" t="s">
        <v>26</v>
      </c>
      <c r="E3736" s="4" t="s">
        <v>2646</v>
      </c>
      <c r="F3736" s="4" t="s">
        <v>2657</v>
      </c>
      <c r="G3736" s="4" t="s">
        <v>2657</v>
      </c>
      <c r="H3736" s="198" t="s">
        <v>522</v>
      </c>
      <c r="I3736" s="198"/>
      <c r="J3736" s="21">
        <v>0</v>
      </c>
      <c r="K3736" s="21">
        <v>0</v>
      </c>
      <c r="L3736" s="21">
        <v>0</v>
      </c>
      <c r="M3736" s="21">
        <v>0</v>
      </c>
      <c r="N3736" s="21">
        <v>0</v>
      </c>
      <c r="O3736" s="21">
        <v>0</v>
      </c>
      <c r="P3736" s="21">
        <v>0</v>
      </c>
      <c r="Q3736" s="21">
        <v>0</v>
      </c>
      <c r="R3736" s="21">
        <v>0</v>
      </c>
      <c r="S3736" s="21">
        <v>0</v>
      </c>
      <c r="T3736" s="21">
        <v>0</v>
      </c>
      <c r="U3736" s="21">
        <v>0</v>
      </c>
      <c r="V3736" s="21">
        <v>0</v>
      </c>
      <c r="W3736" s="21">
        <v>0</v>
      </c>
      <c r="X3736" s="21">
        <v>0</v>
      </c>
      <c r="Y3736" s="21">
        <v>0</v>
      </c>
      <c r="Z3736" s="71" t="s">
        <v>2272</v>
      </c>
      <c r="AA3736" s="71" t="s">
        <v>2272</v>
      </c>
      <c r="AB3736" s="71" t="s">
        <v>2272</v>
      </c>
      <c r="AC3736" s="71" t="s">
        <v>2272</v>
      </c>
      <c r="AD3736" s="198"/>
      <c r="AE3736" s="198"/>
    </row>
    <row r="3737" spans="1:31" ht="68" customHeight="1">
      <c r="A3737" s="198" t="s">
        <v>9613</v>
      </c>
      <c r="B3737" s="198" t="s">
        <v>9638</v>
      </c>
      <c r="C3737" s="4" t="s">
        <v>23</v>
      </c>
      <c r="D3737" s="198" t="s">
        <v>26</v>
      </c>
      <c r="E3737" s="4" t="s">
        <v>3849</v>
      </c>
      <c r="F3737" s="4" t="s">
        <v>27</v>
      </c>
      <c r="G3737" s="4" t="s">
        <v>27</v>
      </c>
      <c r="H3737" s="198" t="s">
        <v>522</v>
      </c>
      <c r="I3737" s="198"/>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21">
        <v>0</v>
      </c>
      <c r="Z3737" s="71" t="s">
        <v>2272</v>
      </c>
      <c r="AA3737" s="71" t="s">
        <v>2272</v>
      </c>
      <c r="AB3737" s="71" t="s">
        <v>2272</v>
      </c>
      <c r="AC3737" s="71" t="s">
        <v>2272</v>
      </c>
      <c r="AD3737" s="4" t="s">
        <v>9639</v>
      </c>
      <c r="AE3737" s="198"/>
    </row>
    <row r="3738" spans="1:31" ht="50" customHeight="1">
      <c r="A3738" s="198" t="s">
        <v>9644</v>
      </c>
      <c r="B3738" s="198" t="s">
        <v>9649</v>
      </c>
      <c r="C3738" s="198" t="s">
        <v>2453</v>
      </c>
      <c r="D3738" s="198" t="s">
        <v>2272</v>
      </c>
      <c r="E3738" s="198" t="s">
        <v>2272</v>
      </c>
      <c r="F3738" s="4" t="s">
        <v>2272</v>
      </c>
      <c r="G3738" s="198" t="s">
        <v>73</v>
      </c>
      <c r="H3738" s="198" t="s">
        <v>521</v>
      </c>
      <c r="I3738" s="198">
        <v>2016</v>
      </c>
      <c r="J3738" s="71" t="s">
        <v>2272</v>
      </c>
      <c r="K3738" s="71" t="s">
        <v>2272</v>
      </c>
      <c r="L3738" s="71" t="s">
        <v>2272</v>
      </c>
      <c r="M3738" s="71" t="s">
        <v>2272</v>
      </c>
      <c r="N3738" s="71" t="s">
        <v>2272</v>
      </c>
      <c r="O3738" s="71" t="s">
        <v>2272</v>
      </c>
      <c r="P3738" s="71" t="s">
        <v>2272</v>
      </c>
      <c r="Q3738" s="71" t="s">
        <v>2272</v>
      </c>
      <c r="R3738" s="71" t="s">
        <v>2272</v>
      </c>
      <c r="S3738" s="71" t="s">
        <v>2272</v>
      </c>
      <c r="T3738" s="71" t="s">
        <v>2272</v>
      </c>
      <c r="U3738" s="21">
        <f>(30128+678)</f>
        <v>30806</v>
      </c>
      <c r="V3738" s="71" t="s">
        <v>2272</v>
      </c>
      <c r="W3738" s="21">
        <v>3</v>
      </c>
      <c r="X3738" s="71" t="s">
        <v>2272</v>
      </c>
      <c r="Y3738" s="71" t="s">
        <v>2272</v>
      </c>
      <c r="Z3738" s="71" t="s">
        <v>2272</v>
      </c>
      <c r="AA3738" s="198" t="s">
        <v>397</v>
      </c>
      <c r="AB3738" s="198" t="s">
        <v>187</v>
      </c>
      <c r="AC3738" s="198" t="s">
        <v>2650</v>
      </c>
      <c r="AD3738" s="198" t="s">
        <v>9650</v>
      </c>
      <c r="AE3738" s="198"/>
    </row>
    <row r="3739" spans="1:31" ht="55.5" customHeight="1">
      <c r="A3739" s="198" t="s">
        <v>9644</v>
      </c>
      <c r="B3739" s="198" t="s">
        <v>9651</v>
      </c>
      <c r="C3739" s="198" t="s">
        <v>2453</v>
      </c>
      <c r="D3739" s="198" t="s">
        <v>2272</v>
      </c>
      <c r="E3739" s="198" t="s">
        <v>2272</v>
      </c>
      <c r="F3739" s="4" t="s">
        <v>2272</v>
      </c>
      <c r="G3739" s="198" t="s">
        <v>73</v>
      </c>
      <c r="H3739" s="198" t="s">
        <v>522</v>
      </c>
      <c r="I3739" s="198">
        <v>2000</v>
      </c>
      <c r="J3739" s="21">
        <v>0</v>
      </c>
      <c r="K3739" s="21">
        <v>0</v>
      </c>
      <c r="L3739" s="21">
        <v>0</v>
      </c>
      <c r="M3739" s="21">
        <v>0</v>
      </c>
      <c r="N3739" s="21">
        <v>0</v>
      </c>
      <c r="O3739" s="21">
        <v>0</v>
      </c>
      <c r="P3739" s="21">
        <v>0</v>
      </c>
      <c r="Q3739" s="21">
        <v>0</v>
      </c>
      <c r="R3739" s="21">
        <v>0</v>
      </c>
      <c r="S3739" s="21">
        <v>0</v>
      </c>
      <c r="T3739" s="21">
        <v>0</v>
      </c>
      <c r="U3739" s="21">
        <v>0</v>
      </c>
      <c r="V3739" s="21">
        <v>0</v>
      </c>
      <c r="W3739" s="21">
        <v>0</v>
      </c>
      <c r="X3739" s="21">
        <v>0</v>
      </c>
      <c r="Y3739" s="21">
        <v>0</v>
      </c>
      <c r="Z3739" s="71" t="s">
        <v>2272</v>
      </c>
      <c r="AA3739" s="71" t="s">
        <v>2272</v>
      </c>
      <c r="AB3739" s="71" t="s">
        <v>2272</v>
      </c>
      <c r="AC3739" s="71" t="s">
        <v>2272</v>
      </c>
      <c r="AD3739" s="4" t="s">
        <v>9654</v>
      </c>
      <c r="AE3739" s="198"/>
    </row>
    <row r="3740" spans="1:31" ht="44.5" customHeight="1">
      <c r="A3740" s="198" t="s">
        <v>9644</v>
      </c>
      <c r="B3740" s="198" t="s">
        <v>9652</v>
      </c>
      <c r="C3740" s="198" t="s">
        <v>23</v>
      </c>
      <c r="D3740" s="198" t="s">
        <v>26</v>
      </c>
      <c r="E3740" s="198" t="s">
        <v>128</v>
      </c>
      <c r="F3740" s="4" t="s">
        <v>158</v>
      </c>
      <c r="G3740" s="4" t="s">
        <v>158</v>
      </c>
      <c r="H3740" s="198" t="s">
        <v>521</v>
      </c>
      <c r="I3740" s="198"/>
      <c r="J3740" s="71" t="s">
        <v>2272</v>
      </c>
      <c r="K3740" s="71" t="s">
        <v>2272</v>
      </c>
      <c r="L3740" s="71" t="s">
        <v>2272</v>
      </c>
      <c r="M3740" s="71" t="s">
        <v>2272</v>
      </c>
      <c r="N3740" s="71" t="s">
        <v>2272</v>
      </c>
      <c r="O3740" s="71" t="s">
        <v>2272</v>
      </c>
      <c r="P3740" s="71" t="s">
        <v>2272</v>
      </c>
      <c r="Q3740" s="71" t="s">
        <v>2272</v>
      </c>
      <c r="R3740" s="71" t="s">
        <v>2272</v>
      </c>
      <c r="S3740" s="71" t="s">
        <v>2272</v>
      </c>
      <c r="T3740" s="71" t="s">
        <v>2272</v>
      </c>
      <c r="U3740" s="71" t="s">
        <v>2272</v>
      </c>
      <c r="V3740" s="71" t="s">
        <v>2272</v>
      </c>
      <c r="W3740" s="71" t="s">
        <v>2272</v>
      </c>
      <c r="X3740" s="71" t="s">
        <v>2272</v>
      </c>
      <c r="Y3740" s="71" t="s">
        <v>2272</v>
      </c>
      <c r="Z3740" s="71" t="s">
        <v>2272</v>
      </c>
      <c r="AA3740" s="71" t="s">
        <v>2272</v>
      </c>
      <c r="AB3740" s="71" t="s">
        <v>2272</v>
      </c>
      <c r="AC3740" s="71" t="s">
        <v>2272</v>
      </c>
      <c r="AD3740" s="198"/>
      <c r="AE3740" s="198"/>
    </row>
    <row r="3741" spans="1:31" ht="52.5" customHeight="1">
      <c r="A3741" s="198" t="s">
        <v>9644</v>
      </c>
      <c r="B3741" s="198" t="s">
        <v>9653</v>
      </c>
      <c r="C3741" s="198" t="s">
        <v>23</v>
      </c>
      <c r="D3741" s="198" t="s">
        <v>2654</v>
      </c>
      <c r="E3741" s="198" t="s">
        <v>128</v>
      </c>
      <c r="F3741" s="4" t="s">
        <v>158</v>
      </c>
      <c r="G3741" s="4" t="s">
        <v>158</v>
      </c>
      <c r="H3741" s="198" t="s">
        <v>521</v>
      </c>
      <c r="I3741" s="198"/>
      <c r="J3741" s="71" t="s">
        <v>2272</v>
      </c>
      <c r="K3741" s="71" t="s">
        <v>2272</v>
      </c>
      <c r="L3741" s="71" t="s">
        <v>2272</v>
      </c>
      <c r="M3741" s="71" t="s">
        <v>2272</v>
      </c>
      <c r="N3741" s="71" t="s">
        <v>2272</v>
      </c>
      <c r="O3741" s="71" t="s">
        <v>2272</v>
      </c>
      <c r="P3741" s="71" t="s">
        <v>2272</v>
      </c>
      <c r="Q3741" s="71" t="s">
        <v>2272</v>
      </c>
      <c r="R3741" s="71" t="s">
        <v>2272</v>
      </c>
      <c r="S3741" s="71" t="s">
        <v>2272</v>
      </c>
      <c r="T3741" s="71" t="s">
        <v>2272</v>
      </c>
      <c r="U3741" s="71" t="s">
        <v>2272</v>
      </c>
      <c r="V3741" s="71" t="s">
        <v>2272</v>
      </c>
      <c r="W3741" s="71" t="s">
        <v>2272</v>
      </c>
      <c r="X3741" s="71" t="s">
        <v>2272</v>
      </c>
      <c r="Y3741" s="71" t="s">
        <v>2272</v>
      </c>
      <c r="Z3741" s="71" t="s">
        <v>2272</v>
      </c>
      <c r="AA3741" s="71" t="s">
        <v>2272</v>
      </c>
      <c r="AB3741" s="71" t="s">
        <v>2272</v>
      </c>
      <c r="AC3741" s="71" t="s">
        <v>2272</v>
      </c>
      <c r="AD3741" s="198"/>
      <c r="AE3741" s="198"/>
    </row>
    <row r="3742" spans="1:31" ht="92" customHeight="1">
      <c r="A3742" s="198" t="s">
        <v>9657</v>
      </c>
      <c r="B3742" s="198" t="s">
        <v>9668</v>
      </c>
      <c r="C3742" s="198" t="s">
        <v>23</v>
      </c>
      <c r="D3742" s="198" t="s">
        <v>26</v>
      </c>
      <c r="E3742" s="198" t="s">
        <v>128</v>
      </c>
      <c r="F3742" s="198" t="s">
        <v>73</v>
      </c>
      <c r="G3742" s="198" t="s">
        <v>73</v>
      </c>
      <c r="H3742" s="198" t="s">
        <v>521</v>
      </c>
      <c r="I3742" s="198"/>
      <c r="J3742" s="71" t="s">
        <v>2272</v>
      </c>
      <c r="K3742" s="71" t="s">
        <v>2272</v>
      </c>
      <c r="L3742" s="71" t="s">
        <v>2272</v>
      </c>
      <c r="M3742" s="71" t="s">
        <v>2272</v>
      </c>
      <c r="N3742" s="71" t="s">
        <v>2272</v>
      </c>
      <c r="O3742" s="71" t="s">
        <v>2272</v>
      </c>
      <c r="P3742" s="71" t="s">
        <v>2272</v>
      </c>
      <c r="Q3742" s="71" t="s">
        <v>2272</v>
      </c>
      <c r="R3742" s="71" t="s">
        <v>2272</v>
      </c>
      <c r="S3742" s="21">
        <v>1.8</v>
      </c>
      <c r="T3742" s="71" t="s">
        <v>2272</v>
      </c>
      <c r="U3742" s="21">
        <f>10575893*0.537/14</f>
        <v>405661.03864285717</v>
      </c>
      <c r="V3742" s="71" t="s">
        <v>2272</v>
      </c>
      <c r="W3742" s="71" t="s">
        <v>2272</v>
      </c>
      <c r="X3742" s="71" t="s">
        <v>2272</v>
      </c>
      <c r="Y3742" s="21">
        <f>(U3742/'Record info'!K$1523)</f>
        <v>0.17298978193725253</v>
      </c>
      <c r="Z3742" s="71" t="s">
        <v>2272</v>
      </c>
      <c r="AA3742" s="71" t="s">
        <v>2272</v>
      </c>
      <c r="AB3742" s="71" t="s">
        <v>2272</v>
      </c>
      <c r="AC3742" s="71" t="s">
        <v>2272</v>
      </c>
      <c r="AD3742" s="168" t="s">
        <v>9714</v>
      </c>
      <c r="AE3742" s="198" t="s">
        <v>9671</v>
      </c>
    </row>
    <row r="3743" spans="1:31" ht="52" customHeight="1">
      <c r="A3743" s="198" t="s">
        <v>9658</v>
      </c>
      <c r="B3743" s="198" t="s">
        <v>9672</v>
      </c>
      <c r="C3743" s="198" t="s">
        <v>23</v>
      </c>
      <c r="D3743" s="198" t="s">
        <v>26</v>
      </c>
      <c r="E3743" s="198" t="s">
        <v>128</v>
      </c>
      <c r="F3743" s="198" t="s">
        <v>73</v>
      </c>
      <c r="G3743" s="198" t="s">
        <v>73</v>
      </c>
      <c r="H3743" s="198" t="s">
        <v>521</v>
      </c>
      <c r="I3743" s="198"/>
      <c r="J3743" s="71" t="s">
        <v>2272</v>
      </c>
      <c r="K3743" s="71" t="s">
        <v>2272</v>
      </c>
      <c r="L3743" s="71" t="s">
        <v>2272</v>
      </c>
      <c r="M3743" s="71" t="s">
        <v>2272</v>
      </c>
      <c r="N3743" s="71" t="s">
        <v>2272</v>
      </c>
      <c r="O3743" s="71" t="s">
        <v>2272</v>
      </c>
      <c r="P3743" s="71" t="s">
        <v>2272</v>
      </c>
      <c r="Q3743" s="71" t="s">
        <v>2272</v>
      </c>
      <c r="R3743" s="71" t="s">
        <v>2272</v>
      </c>
      <c r="S3743" s="21">
        <v>1.8</v>
      </c>
      <c r="T3743" s="71" t="s">
        <v>2272</v>
      </c>
      <c r="U3743" s="21">
        <f>953172*0.661/14</f>
        <v>45003.335142857148</v>
      </c>
      <c r="V3743" s="71" t="s">
        <v>2272</v>
      </c>
      <c r="W3743" s="71" t="s">
        <v>2272</v>
      </c>
      <c r="X3743" s="71" t="s">
        <v>2272</v>
      </c>
      <c r="Y3743" s="21">
        <f>(U3743/'Record info'!K$1524)</f>
        <v>9.4655783760915421E-2</v>
      </c>
      <c r="Z3743" s="71" t="s">
        <v>2272</v>
      </c>
      <c r="AA3743" s="71" t="s">
        <v>2272</v>
      </c>
      <c r="AB3743" s="71" t="s">
        <v>2272</v>
      </c>
      <c r="AC3743" s="71" t="s">
        <v>2272</v>
      </c>
      <c r="AD3743" s="4"/>
      <c r="AE3743" s="198" t="s">
        <v>9671</v>
      </c>
    </row>
    <row r="3744" spans="1:31" ht="52" customHeight="1">
      <c r="A3744" s="198" t="s">
        <v>9659</v>
      </c>
      <c r="B3744" s="198" t="s">
        <v>9675</v>
      </c>
      <c r="C3744" s="198" t="s">
        <v>23</v>
      </c>
      <c r="D3744" s="198" t="s">
        <v>26</v>
      </c>
      <c r="E3744" s="198" t="s">
        <v>128</v>
      </c>
      <c r="F3744" s="198" t="s">
        <v>73</v>
      </c>
      <c r="G3744" s="198" t="s">
        <v>73</v>
      </c>
      <c r="H3744" s="198" t="s">
        <v>521</v>
      </c>
      <c r="I3744" s="198"/>
      <c r="J3744" s="71" t="s">
        <v>2272</v>
      </c>
      <c r="K3744" s="71" t="s">
        <v>2272</v>
      </c>
      <c r="L3744" s="71" t="s">
        <v>2272</v>
      </c>
      <c r="M3744" s="71" t="s">
        <v>2272</v>
      </c>
      <c r="N3744" s="71" t="s">
        <v>2272</v>
      </c>
      <c r="O3744" s="71" t="s">
        <v>2272</v>
      </c>
      <c r="P3744" s="71" t="s">
        <v>2272</v>
      </c>
      <c r="Q3744" s="71" t="s">
        <v>2272</v>
      </c>
      <c r="R3744" s="71" t="s">
        <v>2272</v>
      </c>
      <c r="S3744" s="21">
        <v>1.8</v>
      </c>
      <c r="T3744" s="71" t="s">
        <v>2272</v>
      </c>
      <c r="U3744" s="21">
        <f>1116615.6*0.909/14</f>
        <v>72500.255742857145</v>
      </c>
      <c r="V3744" s="71" t="s">
        <v>2272</v>
      </c>
      <c r="W3744" s="71" t="s">
        <v>2272</v>
      </c>
      <c r="X3744" s="71" t="s">
        <v>2272</v>
      </c>
      <c r="Y3744" s="21">
        <f>(U3744/'Record info'!K1525)</f>
        <v>0.11637579093982695</v>
      </c>
      <c r="Z3744" s="71" t="s">
        <v>2272</v>
      </c>
      <c r="AA3744" s="71" t="s">
        <v>2272</v>
      </c>
      <c r="AB3744" s="71" t="s">
        <v>2272</v>
      </c>
      <c r="AC3744" s="71" t="s">
        <v>2272</v>
      </c>
      <c r="AD3744" s="4"/>
      <c r="AE3744" s="198" t="s">
        <v>9671</v>
      </c>
    </row>
    <row r="3745" spans="1:31" ht="52" customHeight="1">
      <c r="A3745" s="198" t="s">
        <v>9660</v>
      </c>
      <c r="B3745" s="198" t="s">
        <v>9678</v>
      </c>
      <c r="C3745" s="198" t="s">
        <v>23</v>
      </c>
      <c r="D3745" s="198" t="s">
        <v>26</v>
      </c>
      <c r="E3745" s="198" t="s">
        <v>128</v>
      </c>
      <c r="F3745" s="198" t="s">
        <v>73</v>
      </c>
      <c r="G3745" s="198" t="s">
        <v>73</v>
      </c>
      <c r="H3745" s="198" t="s">
        <v>521</v>
      </c>
      <c r="I3745" s="198"/>
      <c r="J3745" s="225" t="s">
        <v>2272</v>
      </c>
      <c r="K3745" s="225" t="s">
        <v>2272</v>
      </c>
      <c r="L3745" s="71" t="s">
        <v>2272</v>
      </c>
      <c r="M3745" s="71" t="s">
        <v>2272</v>
      </c>
      <c r="N3745" s="71" t="s">
        <v>2272</v>
      </c>
      <c r="O3745" s="71" t="s">
        <v>2272</v>
      </c>
      <c r="P3745" s="71" t="s">
        <v>2272</v>
      </c>
      <c r="Q3745" s="71" t="s">
        <v>2272</v>
      </c>
      <c r="R3745" s="71" t="s">
        <v>2272</v>
      </c>
      <c r="S3745" s="21">
        <v>1.8</v>
      </c>
      <c r="T3745" s="71" t="s">
        <v>2272</v>
      </c>
      <c r="U3745" s="21">
        <f>233279.8*0.841/14</f>
        <v>14013.450842857143</v>
      </c>
      <c r="V3745" s="71" t="s">
        <v>2272</v>
      </c>
      <c r="W3745" s="71" t="s">
        <v>2272</v>
      </c>
      <c r="X3745" s="71" t="s">
        <v>2272</v>
      </c>
      <c r="Y3745" s="21">
        <f>(U3745/'Record info'!K1526)</f>
        <v>5.2354047539880308E-2</v>
      </c>
      <c r="Z3745" s="71" t="s">
        <v>2272</v>
      </c>
      <c r="AA3745" s="71" t="s">
        <v>2272</v>
      </c>
      <c r="AB3745" s="71" t="s">
        <v>2272</v>
      </c>
      <c r="AC3745" s="71" t="s">
        <v>2272</v>
      </c>
      <c r="AD3745" s="4"/>
      <c r="AE3745" s="198" t="s">
        <v>9671</v>
      </c>
    </row>
    <row r="3746" spans="1:31" ht="52" customHeight="1">
      <c r="A3746" s="198" t="s">
        <v>9661</v>
      </c>
      <c r="B3746" s="198" t="s">
        <v>9679</v>
      </c>
      <c r="C3746" s="198" t="s">
        <v>23</v>
      </c>
      <c r="D3746" s="198" t="s">
        <v>26</v>
      </c>
      <c r="E3746" s="198" t="s">
        <v>128</v>
      </c>
      <c r="F3746" s="198" t="s">
        <v>73</v>
      </c>
      <c r="G3746" s="198" t="s">
        <v>73</v>
      </c>
      <c r="H3746" s="198" t="s">
        <v>521</v>
      </c>
      <c r="I3746" s="198"/>
      <c r="J3746" s="225" t="s">
        <v>2272</v>
      </c>
      <c r="K3746" s="225" t="s">
        <v>2272</v>
      </c>
      <c r="L3746" s="71" t="s">
        <v>2272</v>
      </c>
      <c r="M3746" s="71" t="s">
        <v>2272</v>
      </c>
      <c r="N3746" s="71" t="s">
        <v>2272</v>
      </c>
      <c r="O3746" s="71" t="s">
        <v>2272</v>
      </c>
      <c r="P3746" s="71" t="s">
        <v>2272</v>
      </c>
      <c r="Q3746" s="71" t="s">
        <v>2272</v>
      </c>
      <c r="R3746" s="71" t="s">
        <v>2272</v>
      </c>
      <c r="S3746" s="21">
        <v>1.8</v>
      </c>
      <c r="T3746" s="71" t="s">
        <v>2272</v>
      </c>
      <c r="U3746" s="21">
        <f>87266.2*0.191/14</f>
        <v>1190.5602999999999</v>
      </c>
      <c r="V3746" s="71" t="s">
        <v>2272</v>
      </c>
      <c r="W3746" s="71" t="s">
        <v>2272</v>
      </c>
      <c r="X3746" s="71" t="s">
        <v>2272</v>
      </c>
      <c r="Y3746" s="21">
        <f>(U3746/'Record info'!K1527)</f>
        <v>4.2444217468805702E-2</v>
      </c>
      <c r="Z3746" s="71" t="s">
        <v>2272</v>
      </c>
      <c r="AA3746" s="71" t="s">
        <v>2272</v>
      </c>
      <c r="AB3746" s="71" t="s">
        <v>2272</v>
      </c>
      <c r="AC3746" s="71" t="s">
        <v>2272</v>
      </c>
      <c r="AD3746" s="4"/>
      <c r="AE3746" s="198" t="s">
        <v>9671</v>
      </c>
    </row>
    <row r="3747" spans="1:31" ht="52" customHeight="1">
      <c r="A3747" s="198" t="s">
        <v>9662</v>
      </c>
      <c r="B3747" s="198" t="s">
        <v>9680</v>
      </c>
      <c r="C3747" s="198" t="s">
        <v>23</v>
      </c>
      <c r="D3747" s="198" t="s">
        <v>26</v>
      </c>
      <c r="E3747" s="198" t="s">
        <v>128</v>
      </c>
      <c r="F3747" s="198" t="s">
        <v>73</v>
      </c>
      <c r="G3747" s="198" t="s">
        <v>73</v>
      </c>
      <c r="H3747" s="198" t="s">
        <v>521</v>
      </c>
      <c r="I3747" s="198"/>
      <c r="J3747" s="225" t="s">
        <v>2272</v>
      </c>
      <c r="K3747" s="225" t="s">
        <v>2272</v>
      </c>
      <c r="L3747" s="71" t="s">
        <v>2272</v>
      </c>
      <c r="M3747" s="71" t="s">
        <v>2272</v>
      </c>
      <c r="N3747" s="71" t="s">
        <v>2272</v>
      </c>
      <c r="O3747" s="71" t="s">
        <v>2272</v>
      </c>
      <c r="P3747" s="71" t="s">
        <v>2272</v>
      </c>
      <c r="Q3747" s="71" t="s">
        <v>2272</v>
      </c>
      <c r="R3747" s="71" t="s">
        <v>2272</v>
      </c>
      <c r="S3747" s="21">
        <v>1.8</v>
      </c>
      <c r="T3747" s="71" t="s">
        <v>2272</v>
      </c>
      <c r="U3747" s="21">
        <f>656098.4*0.712/14</f>
        <v>33367.290057142854</v>
      </c>
      <c r="V3747" s="71" t="s">
        <v>2272</v>
      </c>
      <c r="W3747" s="71" t="s">
        <v>2272</v>
      </c>
      <c r="X3747" s="71" t="s">
        <v>2272</v>
      </c>
      <c r="Y3747" s="21">
        <f>(U3747/'Record info'!K1528)</f>
        <v>9.7565175605680857E-2</v>
      </c>
      <c r="Z3747" s="71" t="s">
        <v>2272</v>
      </c>
      <c r="AA3747" s="71" t="s">
        <v>2272</v>
      </c>
      <c r="AB3747" s="71" t="s">
        <v>2272</v>
      </c>
      <c r="AC3747" s="71" t="s">
        <v>2272</v>
      </c>
      <c r="AD3747" s="4"/>
      <c r="AE3747" s="198" t="s">
        <v>9671</v>
      </c>
    </row>
    <row r="3748" spans="1:31" ht="78.5" customHeight="1">
      <c r="A3748" s="198" t="s">
        <v>9657</v>
      </c>
      <c r="B3748" s="198" t="s">
        <v>9669</v>
      </c>
      <c r="C3748" s="198" t="s">
        <v>23</v>
      </c>
      <c r="D3748" s="198" t="s">
        <v>26</v>
      </c>
      <c r="E3748" s="198" t="s">
        <v>128</v>
      </c>
      <c r="F3748" s="198" t="s">
        <v>158</v>
      </c>
      <c r="G3748" s="198" t="s">
        <v>158</v>
      </c>
      <c r="H3748" s="198" t="s">
        <v>521</v>
      </c>
      <c r="I3748" s="198"/>
      <c r="J3748" s="225" t="s">
        <v>2272</v>
      </c>
      <c r="K3748" s="225" t="s">
        <v>2272</v>
      </c>
      <c r="L3748" s="71" t="s">
        <v>2272</v>
      </c>
      <c r="M3748" s="71" t="s">
        <v>2272</v>
      </c>
      <c r="N3748" s="71" t="s">
        <v>2272</v>
      </c>
      <c r="O3748" s="71" t="s">
        <v>2272</v>
      </c>
      <c r="P3748" s="71" t="s">
        <v>2272</v>
      </c>
      <c r="Q3748" s="71" t="s">
        <v>2272</v>
      </c>
      <c r="R3748" s="71" t="s">
        <v>2272</v>
      </c>
      <c r="S3748" s="21">
        <v>1.8</v>
      </c>
      <c r="T3748" s="71" t="s">
        <v>2272</v>
      </c>
      <c r="U3748" s="71" t="s">
        <v>2272</v>
      </c>
      <c r="V3748" s="71" t="s">
        <v>2272</v>
      </c>
      <c r="W3748" s="71" t="s">
        <v>2272</v>
      </c>
      <c r="X3748" s="71" t="s">
        <v>2272</v>
      </c>
      <c r="Y3748" s="71" t="s">
        <v>2272</v>
      </c>
      <c r="Z3748" s="71" t="s">
        <v>2272</v>
      </c>
      <c r="AA3748" s="71" t="s">
        <v>2272</v>
      </c>
      <c r="AB3748" s="71" t="s">
        <v>2272</v>
      </c>
      <c r="AC3748" s="71" t="s">
        <v>2272</v>
      </c>
      <c r="AD3748" s="4" t="s">
        <v>9768</v>
      </c>
      <c r="AE3748" s="198"/>
    </row>
    <row r="3749" spans="1:31" ht="52" customHeight="1">
      <c r="A3749" s="198" t="s">
        <v>9658</v>
      </c>
      <c r="B3749" s="198" t="s">
        <v>9673</v>
      </c>
      <c r="C3749" s="198" t="s">
        <v>23</v>
      </c>
      <c r="D3749" s="198" t="s">
        <v>26</v>
      </c>
      <c r="E3749" s="198" t="s">
        <v>128</v>
      </c>
      <c r="F3749" s="198" t="s">
        <v>158</v>
      </c>
      <c r="G3749" s="198" t="s">
        <v>158</v>
      </c>
      <c r="H3749" s="198" t="s">
        <v>521</v>
      </c>
      <c r="I3749" s="198"/>
      <c r="J3749" s="225" t="s">
        <v>2272</v>
      </c>
      <c r="K3749" s="225" t="s">
        <v>2272</v>
      </c>
      <c r="L3749" s="71" t="s">
        <v>2272</v>
      </c>
      <c r="M3749" s="71" t="s">
        <v>2272</v>
      </c>
      <c r="N3749" s="71" t="s">
        <v>2272</v>
      </c>
      <c r="O3749" s="71" t="s">
        <v>2272</v>
      </c>
      <c r="P3749" s="71" t="s">
        <v>2272</v>
      </c>
      <c r="Q3749" s="71" t="s">
        <v>2272</v>
      </c>
      <c r="R3749" s="71" t="s">
        <v>2272</v>
      </c>
      <c r="S3749" s="21">
        <v>1.8</v>
      </c>
      <c r="T3749" s="71" t="s">
        <v>2272</v>
      </c>
      <c r="U3749" s="71" t="s">
        <v>2272</v>
      </c>
      <c r="V3749" s="71" t="s">
        <v>2272</v>
      </c>
      <c r="W3749" s="71" t="s">
        <v>2272</v>
      </c>
      <c r="X3749" s="71" t="s">
        <v>2272</v>
      </c>
      <c r="Y3749" s="71" t="s">
        <v>2272</v>
      </c>
      <c r="Z3749" s="71" t="s">
        <v>2272</v>
      </c>
      <c r="AA3749" s="71" t="s">
        <v>2272</v>
      </c>
      <c r="AB3749" s="71" t="s">
        <v>2272</v>
      </c>
      <c r="AC3749" s="71" t="s">
        <v>2272</v>
      </c>
      <c r="AD3749" s="198"/>
      <c r="AE3749" s="198"/>
    </row>
    <row r="3750" spans="1:31" ht="52" customHeight="1">
      <c r="A3750" s="198" t="s">
        <v>9659</v>
      </c>
      <c r="B3750" s="198" t="s">
        <v>9676</v>
      </c>
      <c r="C3750" s="198" t="s">
        <v>23</v>
      </c>
      <c r="D3750" s="198" t="s">
        <v>26</v>
      </c>
      <c r="E3750" s="198" t="s">
        <v>128</v>
      </c>
      <c r="F3750" s="198" t="s">
        <v>158</v>
      </c>
      <c r="G3750" s="198" t="s">
        <v>158</v>
      </c>
      <c r="H3750" s="198" t="s">
        <v>521</v>
      </c>
      <c r="I3750" s="198"/>
      <c r="J3750" s="225" t="s">
        <v>2272</v>
      </c>
      <c r="K3750" s="225" t="s">
        <v>2272</v>
      </c>
      <c r="L3750" s="71" t="s">
        <v>2272</v>
      </c>
      <c r="M3750" s="71" t="s">
        <v>2272</v>
      </c>
      <c r="N3750" s="71" t="s">
        <v>2272</v>
      </c>
      <c r="O3750" s="71" t="s">
        <v>2272</v>
      </c>
      <c r="P3750" s="71" t="s">
        <v>2272</v>
      </c>
      <c r="Q3750" s="71" t="s">
        <v>2272</v>
      </c>
      <c r="R3750" s="71" t="s">
        <v>2272</v>
      </c>
      <c r="S3750" s="21">
        <v>1.8</v>
      </c>
      <c r="T3750" s="71" t="s">
        <v>2272</v>
      </c>
      <c r="U3750" s="71" t="s">
        <v>2272</v>
      </c>
      <c r="V3750" s="71" t="s">
        <v>2272</v>
      </c>
      <c r="W3750" s="71" t="s">
        <v>2272</v>
      </c>
      <c r="X3750" s="71" t="s">
        <v>2272</v>
      </c>
      <c r="Y3750" s="71" t="s">
        <v>2272</v>
      </c>
      <c r="Z3750" s="71" t="s">
        <v>2272</v>
      </c>
      <c r="AA3750" s="71" t="s">
        <v>2272</v>
      </c>
      <c r="AB3750" s="71" t="s">
        <v>2272</v>
      </c>
      <c r="AC3750" s="71" t="s">
        <v>2272</v>
      </c>
      <c r="AD3750" s="198"/>
      <c r="AE3750" s="198"/>
    </row>
    <row r="3751" spans="1:31" ht="52" customHeight="1">
      <c r="A3751" s="198" t="s">
        <v>9660</v>
      </c>
      <c r="B3751" s="198" t="s">
        <v>9681</v>
      </c>
      <c r="C3751" s="198" t="s">
        <v>23</v>
      </c>
      <c r="D3751" s="198" t="s">
        <v>26</v>
      </c>
      <c r="E3751" s="198" t="s">
        <v>128</v>
      </c>
      <c r="F3751" s="198" t="s">
        <v>158</v>
      </c>
      <c r="G3751" s="198" t="s">
        <v>158</v>
      </c>
      <c r="H3751" s="198" t="s">
        <v>521</v>
      </c>
      <c r="I3751" s="198"/>
      <c r="J3751" s="225" t="s">
        <v>2272</v>
      </c>
      <c r="K3751" s="225" t="s">
        <v>2272</v>
      </c>
      <c r="L3751" s="71" t="s">
        <v>2272</v>
      </c>
      <c r="M3751" s="71" t="s">
        <v>2272</v>
      </c>
      <c r="N3751" s="71" t="s">
        <v>2272</v>
      </c>
      <c r="O3751" s="71" t="s">
        <v>2272</v>
      </c>
      <c r="P3751" s="71" t="s">
        <v>2272</v>
      </c>
      <c r="Q3751" s="71" t="s">
        <v>2272</v>
      </c>
      <c r="R3751" s="71" t="s">
        <v>2272</v>
      </c>
      <c r="S3751" s="21">
        <v>1.8</v>
      </c>
      <c r="T3751" s="71" t="s">
        <v>2272</v>
      </c>
      <c r="U3751" s="71" t="s">
        <v>2272</v>
      </c>
      <c r="V3751" s="71" t="s">
        <v>2272</v>
      </c>
      <c r="W3751" s="71" t="s">
        <v>2272</v>
      </c>
      <c r="X3751" s="71" t="s">
        <v>2272</v>
      </c>
      <c r="Y3751" s="71" t="s">
        <v>2272</v>
      </c>
      <c r="Z3751" s="71" t="s">
        <v>2272</v>
      </c>
      <c r="AA3751" s="71" t="s">
        <v>2272</v>
      </c>
      <c r="AB3751" s="71" t="s">
        <v>2272</v>
      </c>
      <c r="AC3751" s="71" t="s">
        <v>2272</v>
      </c>
      <c r="AD3751" s="198"/>
      <c r="AE3751" s="198"/>
    </row>
    <row r="3752" spans="1:31" ht="52" customHeight="1">
      <c r="A3752" s="198" t="s">
        <v>9661</v>
      </c>
      <c r="B3752" s="198" t="s">
        <v>9682</v>
      </c>
      <c r="C3752" s="198" t="s">
        <v>23</v>
      </c>
      <c r="D3752" s="198" t="s">
        <v>26</v>
      </c>
      <c r="E3752" s="198" t="s">
        <v>128</v>
      </c>
      <c r="F3752" s="198" t="s">
        <v>158</v>
      </c>
      <c r="G3752" s="198" t="s">
        <v>158</v>
      </c>
      <c r="H3752" s="198" t="s">
        <v>521</v>
      </c>
      <c r="I3752" s="198"/>
      <c r="J3752" s="225" t="s">
        <v>2272</v>
      </c>
      <c r="K3752" s="225" t="s">
        <v>2272</v>
      </c>
      <c r="L3752" s="71" t="s">
        <v>2272</v>
      </c>
      <c r="M3752" s="71" t="s">
        <v>2272</v>
      </c>
      <c r="N3752" s="71" t="s">
        <v>2272</v>
      </c>
      <c r="O3752" s="71" t="s">
        <v>2272</v>
      </c>
      <c r="P3752" s="71" t="s">
        <v>2272</v>
      </c>
      <c r="Q3752" s="71" t="s">
        <v>2272</v>
      </c>
      <c r="R3752" s="71" t="s">
        <v>2272</v>
      </c>
      <c r="S3752" s="21">
        <v>1.8</v>
      </c>
      <c r="T3752" s="71" t="s">
        <v>2272</v>
      </c>
      <c r="U3752" s="71" t="s">
        <v>2272</v>
      </c>
      <c r="V3752" s="71" t="s">
        <v>2272</v>
      </c>
      <c r="W3752" s="71" t="s">
        <v>2272</v>
      </c>
      <c r="X3752" s="71" t="s">
        <v>2272</v>
      </c>
      <c r="Y3752" s="71" t="s">
        <v>2272</v>
      </c>
      <c r="Z3752" s="71" t="s">
        <v>2272</v>
      </c>
      <c r="AA3752" s="71" t="s">
        <v>2272</v>
      </c>
      <c r="AB3752" s="71" t="s">
        <v>2272</v>
      </c>
      <c r="AC3752" s="71" t="s">
        <v>2272</v>
      </c>
      <c r="AD3752" s="198"/>
      <c r="AE3752" s="198"/>
    </row>
    <row r="3753" spans="1:31" ht="52" customHeight="1">
      <c r="A3753" s="198" t="s">
        <v>9662</v>
      </c>
      <c r="B3753" s="198" t="s">
        <v>9683</v>
      </c>
      <c r="C3753" s="198" t="s">
        <v>23</v>
      </c>
      <c r="D3753" s="198" t="s">
        <v>26</v>
      </c>
      <c r="E3753" s="198" t="s">
        <v>128</v>
      </c>
      <c r="F3753" s="198" t="s">
        <v>158</v>
      </c>
      <c r="G3753" s="198" t="s">
        <v>158</v>
      </c>
      <c r="H3753" s="198" t="s">
        <v>521</v>
      </c>
      <c r="I3753" s="198"/>
      <c r="J3753" s="225" t="s">
        <v>2272</v>
      </c>
      <c r="K3753" s="225" t="s">
        <v>2272</v>
      </c>
      <c r="L3753" s="71" t="s">
        <v>2272</v>
      </c>
      <c r="M3753" s="71" t="s">
        <v>2272</v>
      </c>
      <c r="N3753" s="71" t="s">
        <v>2272</v>
      </c>
      <c r="O3753" s="71" t="s">
        <v>2272</v>
      </c>
      <c r="P3753" s="71" t="s">
        <v>2272</v>
      </c>
      <c r="Q3753" s="71" t="s">
        <v>2272</v>
      </c>
      <c r="R3753" s="71" t="s">
        <v>2272</v>
      </c>
      <c r="S3753" s="21">
        <v>1.8</v>
      </c>
      <c r="T3753" s="71" t="s">
        <v>2272</v>
      </c>
      <c r="U3753" s="71" t="s">
        <v>2272</v>
      </c>
      <c r="V3753" s="71" t="s">
        <v>2272</v>
      </c>
      <c r="W3753" s="71" t="s">
        <v>2272</v>
      </c>
      <c r="X3753" s="71" t="s">
        <v>2272</v>
      </c>
      <c r="Y3753" s="71" t="s">
        <v>2272</v>
      </c>
      <c r="Z3753" s="71" t="s">
        <v>2272</v>
      </c>
      <c r="AA3753" s="71" t="s">
        <v>2272</v>
      </c>
      <c r="AB3753" s="71" t="s">
        <v>2272</v>
      </c>
      <c r="AC3753" s="71" t="s">
        <v>2272</v>
      </c>
      <c r="AD3753" s="198"/>
      <c r="AE3753" s="198"/>
    </row>
    <row r="3754" spans="1:31" ht="43.5" customHeight="1">
      <c r="A3754" s="198" t="s">
        <v>9657</v>
      </c>
      <c r="B3754" s="198" t="s">
        <v>9670</v>
      </c>
      <c r="C3754" s="198" t="s">
        <v>23</v>
      </c>
      <c r="D3754" s="198" t="s">
        <v>141</v>
      </c>
      <c r="E3754" s="4" t="s">
        <v>395</v>
      </c>
      <c r="F3754" s="198" t="s">
        <v>73</v>
      </c>
      <c r="G3754" s="198" t="s">
        <v>73</v>
      </c>
      <c r="H3754" s="198" t="s">
        <v>521</v>
      </c>
      <c r="I3754" s="198"/>
      <c r="J3754" s="225" t="s">
        <v>2272</v>
      </c>
      <c r="K3754" s="225" t="s">
        <v>2272</v>
      </c>
      <c r="L3754" s="225" t="s">
        <v>2272</v>
      </c>
      <c r="M3754" s="225" t="s">
        <v>2272</v>
      </c>
      <c r="N3754" s="225" t="s">
        <v>2272</v>
      </c>
      <c r="O3754" s="225" t="s">
        <v>2272</v>
      </c>
      <c r="P3754" s="225" t="s">
        <v>2272</v>
      </c>
      <c r="Q3754" s="225" t="s">
        <v>2272</v>
      </c>
      <c r="R3754" s="225" t="s">
        <v>2272</v>
      </c>
      <c r="S3754" s="21">
        <v>1.8</v>
      </c>
      <c r="T3754" s="71" t="s">
        <v>2272</v>
      </c>
      <c r="U3754" s="21">
        <f>126176.6*0.537/14</f>
        <v>4839.7738714285724</v>
      </c>
      <c r="V3754" s="71" t="s">
        <v>2272</v>
      </c>
      <c r="W3754" s="71" t="s">
        <v>2272</v>
      </c>
      <c r="X3754" s="71" t="s">
        <v>2272</v>
      </c>
      <c r="Y3754" s="21">
        <f>(U3754/'Record info'!K$1523)</f>
        <v>2.0638694547669817E-3</v>
      </c>
      <c r="Z3754" s="71" t="s">
        <v>2272</v>
      </c>
      <c r="AA3754" s="71" t="s">
        <v>2272</v>
      </c>
      <c r="AB3754" s="71" t="s">
        <v>2272</v>
      </c>
      <c r="AC3754" s="71" t="s">
        <v>2272</v>
      </c>
      <c r="AD3754" s="198"/>
      <c r="AE3754" s="198"/>
    </row>
    <row r="3755" spans="1:31" ht="43.5" customHeight="1">
      <c r="A3755" s="198" t="s">
        <v>9658</v>
      </c>
      <c r="B3755" s="198" t="s">
        <v>9674</v>
      </c>
      <c r="C3755" s="198" t="s">
        <v>23</v>
      </c>
      <c r="D3755" s="198" t="s">
        <v>141</v>
      </c>
      <c r="E3755" s="4" t="s">
        <v>395</v>
      </c>
      <c r="F3755" s="198" t="s">
        <v>73</v>
      </c>
      <c r="G3755" s="198" t="s">
        <v>73</v>
      </c>
      <c r="H3755" s="198" t="s">
        <v>521</v>
      </c>
      <c r="I3755" s="198"/>
      <c r="J3755" s="225" t="s">
        <v>2272</v>
      </c>
      <c r="K3755" s="225" t="s">
        <v>2272</v>
      </c>
      <c r="L3755" s="225" t="s">
        <v>2272</v>
      </c>
      <c r="M3755" s="225" t="s">
        <v>2272</v>
      </c>
      <c r="N3755" s="225" t="s">
        <v>2272</v>
      </c>
      <c r="O3755" s="225" t="s">
        <v>2272</v>
      </c>
      <c r="P3755" s="225" t="s">
        <v>2272</v>
      </c>
      <c r="Q3755" s="225" t="s">
        <v>2272</v>
      </c>
      <c r="R3755" s="225" t="s">
        <v>2272</v>
      </c>
      <c r="S3755" s="21">
        <v>1.8</v>
      </c>
      <c r="T3755" s="71" t="s">
        <v>2272</v>
      </c>
      <c r="U3755" s="21">
        <f>172557*0.661/14</f>
        <v>8147.1555000000008</v>
      </c>
      <c r="V3755" s="71" t="s">
        <v>2272</v>
      </c>
      <c r="W3755" s="71" t="s">
        <v>2272</v>
      </c>
      <c r="X3755" s="71" t="s">
        <v>2272</v>
      </c>
      <c r="Y3755" s="21">
        <f>(U3755/'Record info'!K$1524)</f>
        <v>1.7135960853269169E-2</v>
      </c>
      <c r="Z3755" s="71" t="s">
        <v>2272</v>
      </c>
      <c r="AA3755" s="71" t="s">
        <v>2272</v>
      </c>
      <c r="AB3755" s="71" t="s">
        <v>2272</v>
      </c>
      <c r="AC3755" s="71" t="s">
        <v>2272</v>
      </c>
      <c r="AD3755" s="198"/>
      <c r="AE3755" s="198"/>
    </row>
    <row r="3756" spans="1:31" ht="43.5" customHeight="1">
      <c r="A3756" s="198" t="s">
        <v>9659</v>
      </c>
      <c r="B3756" s="198" t="s">
        <v>9677</v>
      </c>
      <c r="C3756" s="198" t="s">
        <v>23</v>
      </c>
      <c r="D3756" s="198" t="s">
        <v>141</v>
      </c>
      <c r="E3756" s="4" t="s">
        <v>395</v>
      </c>
      <c r="F3756" s="198" t="s">
        <v>73</v>
      </c>
      <c r="G3756" s="198" t="s">
        <v>73</v>
      </c>
      <c r="H3756" s="198" t="s">
        <v>521</v>
      </c>
      <c r="I3756" s="198"/>
      <c r="J3756" s="225" t="s">
        <v>2272</v>
      </c>
      <c r="K3756" s="225" t="s">
        <v>2272</v>
      </c>
      <c r="L3756" s="225" t="s">
        <v>2272</v>
      </c>
      <c r="M3756" s="225" t="s">
        <v>2272</v>
      </c>
      <c r="N3756" s="225" t="s">
        <v>2272</v>
      </c>
      <c r="O3756" s="225" t="s">
        <v>2272</v>
      </c>
      <c r="P3756" s="225" t="s">
        <v>2272</v>
      </c>
      <c r="Q3756" s="225" t="s">
        <v>2272</v>
      </c>
      <c r="R3756" s="225" t="s">
        <v>2272</v>
      </c>
      <c r="S3756" s="21">
        <v>1.8</v>
      </c>
      <c r="T3756" s="71" t="s">
        <v>2272</v>
      </c>
      <c r="U3756" s="21">
        <f>47907.6*0.909/14</f>
        <v>3110.5720285714283</v>
      </c>
      <c r="V3756" s="71" t="s">
        <v>2272</v>
      </c>
      <c r="W3756" s="71" t="s">
        <v>2272</v>
      </c>
      <c r="X3756" s="71" t="s">
        <v>2272</v>
      </c>
      <c r="Y3756" s="21">
        <f>(U3756/'Record info'!K1525)</f>
        <v>4.993020733391914E-3</v>
      </c>
      <c r="Z3756" s="71" t="s">
        <v>2272</v>
      </c>
      <c r="AA3756" s="71" t="s">
        <v>2272</v>
      </c>
      <c r="AB3756" s="71" t="s">
        <v>2272</v>
      </c>
      <c r="AC3756" s="71" t="s">
        <v>2272</v>
      </c>
      <c r="AD3756" s="198"/>
      <c r="AE3756" s="4"/>
    </row>
    <row r="3757" spans="1:31" ht="44.5" customHeight="1">
      <c r="A3757" s="198" t="s">
        <v>9657</v>
      </c>
      <c r="B3757" s="198" t="s">
        <v>9684</v>
      </c>
      <c r="C3757" s="198" t="s">
        <v>23</v>
      </c>
      <c r="D3757" s="198" t="s">
        <v>141</v>
      </c>
      <c r="E3757" s="198" t="s">
        <v>82</v>
      </c>
      <c r="F3757" s="198" t="s">
        <v>73</v>
      </c>
      <c r="G3757" s="198" t="s">
        <v>73</v>
      </c>
      <c r="H3757" s="198" t="s">
        <v>521</v>
      </c>
      <c r="I3757" s="198"/>
      <c r="J3757" s="225" t="s">
        <v>2272</v>
      </c>
      <c r="K3757" s="225" t="s">
        <v>2272</v>
      </c>
      <c r="L3757" s="225" t="s">
        <v>2272</v>
      </c>
      <c r="M3757" s="225" t="s">
        <v>2272</v>
      </c>
      <c r="N3757" s="225" t="s">
        <v>2272</v>
      </c>
      <c r="O3757" s="225" t="s">
        <v>2272</v>
      </c>
      <c r="P3757" s="225" t="s">
        <v>2272</v>
      </c>
      <c r="Q3757" s="225" t="s">
        <v>2272</v>
      </c>
      <c r="R3757" s="225" t="s">
        <v>2272</v>
      </c>
      <c r="S3757" s="71" t="s">
        <v>2272</v>
      </c>
      <c r="T3757" s="71" t="s">
        <v>2272</v>
      </c>
      <c r="U3757" s="71" t="s">
        <v>2272</v>
      </c>
      <c r="V3757" s="71" t="s">
        <v>2272</v>
      </c>
      <c r="W3757" s="71" t="s">
        <v>2272</v>
      </c>
      <c r="X3757" s="71" t="s">
        <v>2272</v>
      </c>
      <c r="Y3757" s="71" t="s">
        <v>2272</v>
      </c>
      <c r="Z3757" s="71" t="s">
        <v>2272</v>
      </c>
      <c r="AA3757" s="71" t="s">
        <v>2272</v>
      </c>
      <c r="AB3757" s="71" t="s">
        <v>2272</v>
      </c>
      <c r="AC3757" s="71" t="s">
        <v>2272</v>
      </c>
      <c r="AD3757" s="198"/>
      <c r="AE3757" s="4" t="s">
        <v>9689</v>
      </c>
    </row>
    <row r="3758" spans="1:31" ht="44.5" customHeight="1">
      <c r="A3758" s="198" t="s">
        <v>9658</v>
      </c>
      <c r="B3758" s="198" t="s">
        <v>9685</v>
      </c>
      <c r="C3758" s="198" t="s">
        <v>23</v>
      </c>
      <c r="D3758" s="198" t="s">
        <v>141</v>
      </c>
      <c r="E3758" s="198" t="s">
        <v>82</v>
      </c>
      <c r="F3758" s="198" t="s">
        <v>73</v>
      </c>
      <c r="G3758" s="198" t="s">
        <v>73</v>
      </c>
      <c r="H3758" s="198" t="s">
        <v>521</v>
      </c>
      <c r="I3758" s="198"/>
      <c r="J3758" s="225" t="s">
        <v>2272</v>
      </c>
      <c r="K3758" s="225" t="s">
        <v>2272</v>
      </c>
      <c r="L3758" s="225" t="s">
        <v>2272</v>
      </c>
      <c r="M3758" s="225" t="s">
        <v>2272</v>
      </c>
      <c r="N3758" s="225" t="s">
        <v>2272</v>
      </c>
      <c r="O3758" s="225" t="s">
        <v>2272</v>
      </c>
      <c r="P3758" s="225" t="s">
        <v>2272</v>
      </c>
      <c r="Q3758" s="225" t="s">
        <v>2272</v>
      </c>
      <c r="R3758" s="225" t="s">
        <v>2272</v>
      </c>
      <c r="S3758" s="71" t="s">
        <v>2272</v>
      </c>
      <c r="T3758" s="71" t="s">
        <v>2272</v>
      </c>
      <c r="U3758" s="71" t="s">
        <v>2272</v>
      </c>
      <c r="V3758" s="71" t="s">
        <v>2272</v>
      </c>
      <c r="W3758" s="71" t="s">
        <v>2272</v>
      </c>
      <c r="X3758" s="71" t="s">
        <v>2272</v>
      </c>
      <c r="Y3758" s="71" t="s">
        <v>2272</v>
      </c>
      <c r="Z3758" s="71" t="s">
        <v>2272</v>
      </c>
      <c r="AA3758" s="71" t="s">
        <v>2272</v>
      </c>
      <c r="AB3758" s="71" t="s">
        <v>2272</v>
      </c>
      <c r="AC3758" s="71" t="s">
        <v>2272</v>
      </c>
      <c r="AD3758" s="198"/>
      <c r="AE3758" s="4" t="s">
        <v>9689</v>
      </c>
    </row>
    <row r="3759" spans="1:31" ht="44.5" customHeight="1">
      <c r="A3759" s="198" t="s">
        <v>9660</v>
      </c>
      <c r="B3759" s="198" t="s">
        <v>9686</v>
      </c>
      <c r="C3759" s="198" t="s">
        <v>23</v>
      </c>
      <c r="D3759" s="198" t="s">
        <v>141</v>
      </c>
      <c r="E3759" s="198" t="s">
        <v>82</v>
      </c>
      <c r="F3759" s="198" t="s">
        <v>73</v>
      </c>
      <c r="G3759" s="198" t="s">
        <v>73</v>
      </c>
      <c r="H3759" s="198" t="s">
        <v>521</v>
      </c>
      <c r="I3759" s="198"/>
      <c r="J3759" s="225" t="s">
        <v>2272</v>
      </c>
      <c r="K3759" s="225" t="s">
        <v>2272</v>
      </c>
      <c r="L3759" s="225" t="s">
        <v>2272</v>
      </c>
      <c r="M3759" s="225" t="s">
        <v>2272</v>
      </c>
      <c r="N3759" s="225" t="s">
        <v>2272</v>
      </c>
      <c r="O3759" s="225" t="s">
        <v>2272</v>
      </c>
      <c r="P3759" s="225" t="s">
        <v>2272</v>
      </c>
      <c r="Q3759" s="225" t="s">
        <v>2272</v>
      </c>
      <c r="R3759" s="225" t="s">
        <v>2272</v>
      </c>
      <c r="S3759" s="71" t="s">
        <v>2272</v>
      </c>
      <c r="T3759" s="71" t="s">
        <v>2272</v>
      </c>
      <c r="U3759" s="71" t="s">
        <v>2272</v>
      </c>
      <c r="V3759" s="71" t="s">
        <v>2272</v>
      </c>
      <c r="W3759" s="71" t="s">
        <v>2272</v>
      </c>
      <c r="X3759" s="71" t="s">
        <v>2272</v>
      </c>
      <c r="Y3759" s="71" t="s">
        <v>2272</v>
      </c>
      <c r="Z3759" s="71" t="s">
        <v>2272</v>
      </c>
      <c r="AA3759" s="71" t="s">
        <v>2272</v>
      </c>
      <c r="AB3759" s="71" t="s">
        <v>2272</v>
      </c>
      <c r="AC3759" s="71" t="s">
        <v>2272</v>
      </c>
      <c r="AD3759" s="198"/>
      <c r="AE3759" s="4" t="s">
        <v>9689</v>
      </c>
    </row>
    <row r="3760" spans="1:31" ht="44.5" customHeight="1">
      <c r="A3760" s="198" t="s">
        <v>9661</v>
      </c>
      <c r="B3760" s="198" t="s">
        <v>9687</v>
      </c>
      <c r="C3760" s="198" t="s">
        <v>23</v>
      </c>
      <c r="D3760" s="198" t="s">
        <v>141</v>
      </c>
      <c r="E3760" s="198" t="s">
        <v>82</v>
      </c>
      <c r="F3760" s="198" t="s">
        <v>73</v>
      </c>
      <c r="G3760" s="198" t="s">
        <v>73</v>
      </c>
      <c r="H3760" s="198" t="s">
        <v>521</v>
      </c>
      <c r="I3760" s="198"/>
      <c r="J3760" s="225" t="s">
        <v>2272</v>
      </c>
      <c r="K3760" s="225" t="s">
        <v>2272</v>
      </c>
      <c r="L3760" s="225" t="s">
        <v>2272</v>
      </c>
      <c r="M3760" s="225" t="s">
        <v>2272</v>
      </c>
      <c r="N3760" s="225" t="s">
        <v>2272</v>
      </c>
      <c r="O3760" s="225" t="s">
        <v>2272</v>
      </c>
      <c r="P3760" s="225" t="s">
        <v>2272</v>
      </c>
      <c r="Q3760" s="225" t="s">
        <v>2272</v>
      </c>
      <c r="R3760" s="225" t="s">
        <v>2272</v>
      </c>
      <c r="S3760" s="71" t="s">
        <v>2272</v>
      </c>
      <c r="T3760" s="71" t="s">
        <v>2272</v>
      </c>
      <c r="U3760" s="71" t="s">
        <v>2272</v>
      </c>
      <c r="V3760" s="71" t="s">
        <v>2272</v>
      </c>
      <c r="W3760" s="71" t="s">
        <v>2272</v>
      </c>
      <c r="X3760" s="71" t="s">
        <v>2272</v>
      </c>
      <c r="Y3760" s="71" t="s">
        <v>2272</v>
      </c>
      <c r="Z3760" s="71" t="s">
        <v>2272</v>
      </c>
      <c r="AA3760" s="71" t="s">
        <v>2272</v>
      </c>
      <c r="AB3760" s="71" t="s">
        <v>2272</v>
      </c>
      <c r="AC3760" s="71" t="s">
        <v>2272</v>
      </c>
      <c r="AD3760" s="198"/>
      <c r="AE3760" s="4" t="s">
        <v>9689</v>
      </c>
    </row>
    <row r="3761" spans="1:31" ht="44.5" customHeight="1">
      <c r="A3761" s="198" t="s">
        <v>9662</v>
      </c>
      <c r="B3761" s="198" t="s">
        <v>9688</v>
      </c>
      <c r="C3761" s="198" t="s">
        <v>23</v>
      </c>
      <c r="D3761" s="198" t="s">
        <v>141</v>
      </c>
      <c r="E3761" s="198" t="s">
        <v>82</v>
      </c>
      <c r="F3761" s="198" t="s">
        <v>73</v>
      </c>
      <c r="G3761" s="198" t="s">
        <v>73</v>
      </c>
      <c r="H3761" s="198" t="s">
        <v>521</v>
      </c>
      <c r="I3761" s="198"/>
      <c r="J3761" s="225" t="s">
        <v>2272</v>
      </c>
      <c r="K3761" s="225" t="s">
        <v>2272</v>
      </c>
      <c r="L3761" s="225" t="s">
        <v>2272</v>
      </c>
      <c r="M3761" s="225" t="s">
        <v>2272</v>
      </c>
      <c r="N3761" s="225" t="s">
        <v>2272</v>
      </c>
      <c r="O3761" s="225" t="s">
        <v>2272</v>
      </c>
      <c r="P3761" s="225" t="s">
        <v>2272</v>
      </c>
      <c r="Q3761" s="225" t="s">
        <v>2272</v>
      </c>
      <c r="R3761" s="225" t="s">
        <v>2272</v>
      </c>
      <c r="S3761" s="71" t="s">
        <v>2272</v>
      </c>
      <c r="T3761" s="71" t="s">
        <v>2272</v>
      </c>
      <c r="U3761" s="71" t="s">
        <v>2272</v>
      </c>
      <c r="V3761" s="71" t="s">
        <v>2272</v>
      </c>
      <c r="W3761" s="71" t="s">
        <v>2272</v>
      </c>
      <c r="X3761" s="71" t="s">
        <v>2272</v>
      </c>
      <c r="Y3761" s="71" t="s">
        <v>2272</v>
      </c>
      <c r="Z3761" s="71" t="s">
        <v>2272</v>
      </c>
      <c r="AA3761" s="71" t="s">
        <v>2272</v>
      </c>
      <c r="AB3761" s="71" t="s">
        <v>2272</v>
      </c>
      <c r="AC3761" s="71" t="s">
        <v>2272</v>
      </c>
      <c r="AD3761" s="198"/>
      <c r="AE3761" s="4" t="s">
        <v>9689</v>
      </c>
    </row>
    <row r="3762" spans="1:31" ht="33.5" customHeight="1">
      <c r="A3762" s="198" t="s">
        <v>9657</v>
      </c>
      <c r="B3762" s="198" t="s">
        <v>9690</v>
      </c>
      <c r="C3762" s="198" t="s">
        <v>23</v>
      </c>
      <c r="D3762" s="198" t="s">
        <v>141</v>
      </c>
      <c r="E3762" s="198" t="s">
        <v>2648</v>
      </c>
      <c r="F3762" s="198" t="s">
        <v>73</v>
      </c>
      <c r="G3762" s="198" t="s">
        <v>73</v>
      </c>
      <c r="H3762" s="198" t="s">
        <v>521</v>
      </c>
      <c r="I3762" s="198"/>
      <c r="J3762" s="225" t="s">
        <v>2272</v>
      </c>
      <c r="K3762" s="225" t="s">
        <v>2272</v>
      </c>
      <c r="L3762" s="225" t="s">
        <v>2272</v>
      </c>
      <c r="M3762" s="225" t="s">
        <v>2272</v>
      </c>
      <c r="N3762" s="225" t="s">
        <v>2272</v>
      </c>
      <c r="O3762" s="225" t="s">
        <v>2272</v>
      </c>
      <c r="P3762" s="225" t="s">
        <v>2272</v>
      </c>
      <c r="Q3762" s="225" t="s">
        <v>2272</v>
      </c>
      <c r="R3762" s="225" t="s">
        <v>2272</v>
      </c>
      <c r="S3762" s="225" t="s">
        <v>2272</v>
      </c>
      <c r="T3762" s="225" t="s">
        <v>2272</v>
      </c>
      <c r="U3762" s="225" t="s">
        <v>2272</v>
      </c>
      <c r="V3762" s="225" t="s">
        <v>2272</v>
      </c>
      <c r="W3762" s="225" t="s">
        <v>2272</v>
      </c>
      <c r="X3762" s="225" t="s">
        <v>2272</v>
      </c>
      <c r="Y3762" s="225" t="s">
        <v>2272</v>
      </c>
      <c r="Z3762" s="225" t="s">
        <v>2272</v>
      </c>
      <c r="AA3762" s="225" t="s">
        <v>2272</v>
      </c>
      <c r="AB3762" s="225" t="s">
        <v>2272</v>
      </c>
      <c r="AC3762" s="225" t="s">
        <v>2272</v>
      </c>
      <c r="AD3762" s="225"/>
      <c r="AE3762" s="225" t="s">
        <v>9712</v>
      </c>
    </row>
    <row r="3763" spans="1:31" ht="36" customHeight="1">
      <c r="A3763" s="198" t="s">
        <v>9658</v>
      </c>
      <c r="B3763" s="198" t="s">
        <v>9691</v>
      </c>
      <c r="C3763" s="198" t="s">
        <v>23</v>
      </c>
      <c r="D3763" s="198" t="s">
        <v>141</v>
      </c>
      <c r="E3763" s="198" t="s">
        <v>2648</v>
      </c>
      <c r="F3763" s="198" t="s">
        <v>73</v>
      </c>
      <c r="G3763" s="198" t="s">
        <v>73</v>
      </c>
      <c r="H3763" s="198" t="s">
        <v>521</v>
      </c>
      <c r="I3763" s="198"/>
      <c r="J3763" s="225" t="s">
        <v>2272</v>
      </c>
      <c r="K3763" s="225" t="s">
        <v>2272</v>
      </c>
      <c r="L3763" s="225" t="s">
        <v>2272</v>
      </c>
      <c r="M3763" s="225" t="s">
        <v>2272</v>
      </c>
      <c r="N3763" s="225" t="s">
        <v>2272</v>
      </c>
      <c r="O3763" s="225" t="s">
        <v>2272</v>
      </c>
      <c r="P3763" s="225" t="s">
        <v>2272</v>
      </c>
      <c r="Q3763" s="225" t="s">
        <v>2272</v>
      </c>
      <c r="R3763" s="225" t="s">
        <v>2272</v>
      </c>
      <c r="S3763" s="225" t="s">
        <v>2272</v>
      </c>
      <c r="T3763" s="225" t="s">
        <v>2272</v>
      </c>
      <c r="U3763" s="225" t="s">
        <v>2272</v>
      </c>
      <c r="V3763" s="225" t="s">
        <v>2272</v>
      </c>
      <c r="W3763" s="225" t="s">
        <v>2272</v>
      </c>
      <c r="X3763" s="225" t="s">
        <v>2272</v>
      </c>
      <c r="Y3763" s="225" t="s">
        <v>2272</v>
      </c>
      <c r="Z3763" s="225" t="s">
        <v>2272</v>
      </c>
      <c r="AA3763" s="225" t="s">
        <v>2272</v>
      </c>
      <c r="AB3763" s="225" t="s">
        <v>2272</v>
      </c>
      <c r="AC3763" s="225" t="s">
        <v>2272</v>
      </c>
      <c r="AD3763" s="225"/>
      <c r="AE3763" s="225" t="s">
        <v>9712</v>
      </c>
    </row>
    <row r="3764" spans="1:31" ht="36" customHeight="1">
      <c r="A3764" s="198" t="s">
        <v>9659</v>
      </c>
      <c r="B3764" s="198" t="s">
        <v>9695</v>
      </c>
      <c r="C3764" s="198" t="s">
        <v>23</v>
      </c>
      <c r="D3764" s="198" t="s">
        <v>141</v>
      </c>
      <c r="E3764" s="198" t="s">
        <v>2648</v>
      </c>
      <c r="F3764" s="198" t="s">
        <v>73</v>
      </c>
      <c r="G3764" s="198" t="s">
        <v>73</v>
      </c>
      <c r="H3764" s="198" t="s">
        <v>521</v>
      </c>
      <c r="I3764" s="198"/>
      <c r="J3764" s="225" t="s">
        <v>2272</v>
      </c>
      <c r="K3764" s="225" t="s">
        <v>2272</v>
      </c>
      <c r="L3764" s="225" t="s">
        <v>2272</v>
      </c>
      <c r="M3764" s="225" t="s">
        <v>2272</v>
      </c>
      <c r="N3764" s="225" t="s">
        <v>2272</v>
      </c>
      <c r="O3764" s="225" t="s">
        <v>2272</v>
      </c>
      <c r="P3764" s="225" t="s">
        <v>2272</v>
      </c>
      <c r="Q3764" s="225" t="s">
        <v>2272</v>
      </c>
      <c r="R3764" s="225" t="s">
        <v>2272</v>
      </c>
      <c r="S3764" s="225" t="s">
        <v>2272</v>
      </c>
      <c r="T3764" s="225" t="s">
        <v>2272</v>
      </c>
      <c r="U3764" s="225" t="s">
        <v>2272</v>
      </c>
      <c r="V3764" s="225" t="s">
        <v>2272</v>
      </c>
      <c r="W3764" s="225" t="s">
        <v>2272</v>
      </c>
      <c r="X3764" s="225" t="s">
        <v>2272</v>
      </c>
      <c r="Y3764" s="225" t="s">
        <v>2272</v>
      </c>
      <c r="Z3764" s="225" t="s">
        <v>2272</v>
      </c>
      <c r="AA3764" s="225" t="s">
        <v>2272</v>
      </c>
      <c r="AB3764" s="225" t="s">
        <v>2272</v>
      </c>
      <c r="AC3764" s="225" t="s">
        <v>2272</v>
      </c>
      <c r="AD3764" s="225"/>
      <c r="AE3764" s="225" t="s">
        <v>9712</v>
      </c>
    </row>
    <row r="3765" spans="1:31" ht="36" customHeight="1">
      <c r="A3765" s="198" t="s">
        <v>9660</v>
      </c>
      <c r="B3765" s="198" t="s">
        <v>9692</v>
      </c>
      <c r="C3765" s="198" t="s">
        <v>23</v>
      </c>
      <c r="D3765" s="198" t="s">
        <v>141</v>
      </c>
      <c r="E3765" s="198" t="s">
        <v>2648</v>
      </c>
      <c r="F3765" s="198" t="s">
        <v>73</v>
      </c>
      <c r="G3765" s="198" t="s">
        <v>73</v>
      </c>
      <c r="H3765" s="198" t="s">
        <v>521</v>
      </c>
      <c r="I3765" s="198"/>
      <c r="J3765" s="225" t="s">
        <v>2272</v>
      </c>
      <c r="K3765" s="225" t="s">
        <v>2272</v>
      </c>
      <c r="L3765" s="225" t="s">
        <v>2272</v>
      </c>
      <c r="M3765" s="225" t="s">
        <v>2272</v>
      </c>
      <c r="N3765" s="225" t="s">
        <v>2272</v>
      </c>
      <c r="O3765" s="225" t="s">
        <v>2272</v>
      </c>
      <c r="P3765" s="225" t="s">
        <v>2272</v>
      </c>
      <c r="Q3765" s="225" t="s">
        <v>2272</v>
      </c>
      <c r="R3765" s="225" t="s">
        <v>2272</v>
      </c>
      <c r="S3765" s="225" t="s">
        <v>2272</v>
      </c>
      <c r="T3765" s="225" t="s">
        <v>2272</v>
      </c>
      <c r="U3765" s="225" t="s">
        <v>2272</v>
      </c>
      <c r="V3765" s="225" t="s">
        <v>2272</v>
      </c>
      <c r="W3765" s="225" t="s">
        <v>2272</v>
      </c>
      <c r="X3765" s="225" t="s">
        <v>2272</v>
      </c>
      <c r="Y3765" s="225" t="s">
        <v>2272</v>
      </c>
      <c r="Z3765" s="225" t="s">
        <v>2272</v>
      </c>
      <c r="AA3765" s="225" t="s">
        <v>2272</v>
      </c>
      <c r="AB3765" s="225" t="s">
        <v>2272</v>
      </c>
      <c r="AC3765" s="225" t="s">
        <v>2272</v>
      </c>
      <c r="AD3765" s="225"/>
      <c r="AE3765" s="225" t="s">
        <v>9712</v>
      </c>
    </row>
    <row r="3766" spans="1:31" ht="36" customHeight="1">
      <c r="A3766" s="198" t="s">
        <v>9661</v>
      </c>
      <c r="B3766" s="198" t="s">
        <v>9693</v>
      </c>
      <c r="C3766" s="198" t="s">
        <v>23</v>
      </c>
      <c r="D3766" s="198" t="s">
        <v>141</v>
      </c>
      <c r="E3766" s="198" t="s">
        <v>2648</v>
      </c>
      <c r="F3766" s="198" t="s">
        <v>73</v>
      </c>
      <c r="G3766" s="198" t="s">
        <v>73</v>
      </c>
      <c r="H3766" s="198" t="s">
        <v>521</v>
      </c>
      <c r="I3766" s="198"/>
      <c r="J3766" s="225" t="s">
        <v>2272</v>
      </c>
      <c r="K3766" s="225" t="s">
        <v>2272</v>
      </c>
      <c r="L3766" s="225" t="s">
        <v>2272</v>
      </c>
      <c r="M3766" s="225" t="s">
        <v>2272</v>
      </c>
      <c r="N3766" s="225" t="s">
        <v>2272</v>
      </c>
      <c r="O3766" s="225" t="s">
        <v>2272</v>
      </c>
      <c r="P3766" s="225" t="s">
        <v>2272</v>
      </c>
      <c r="Q3766" s="225" t="s">
        <v>2272</v>
      </c>
      <c r="R3766" s="225" t="s">
        <v>2272</v>
      </c>
      <c r="S3766" s="225" t="s">
        <v>2272</v>
      </c>
      <c r="T3766" s="225" t="s">
        <v>2272</v>
      </c>
      <c r="U3766" s="225" t="s">
        <v>2272</v>
      </c>
      <c r="V3766" s="225" t="s">
        <v>2272</v>
      </c>
      <c r="W3766" s="225" t="s">
        <v>2272</v>
      </c>
      <c r="X3766" s="225" t="s">
        <v>2272</v>
      </c>
      <c r="Y3766" s="225" t="s">
        <v>2272</v>
      </c>
      <c r="Z3766" s="225" t="s">
        <v>2272</v>
      </c>
      <c r="AA3766" s="225" t="s">
        <v>2272</v>
      </c>
      <c r="AB3766" s="225" t="s">
        <v>2272</v>
      </c>
      <c r="AC3766" s="225" t="s">
        <v>2272</v>
      </c>
      <c r="AD3766" s="225"/>
      <c r="AE3766" s="225" t="s">
        <v>9712</v>
      </c>
    </row>
    <row r="3767" spans="1:31" ht="36" customHeight="1">
      <c r="A3767" s="198" t="s">
        <v>9662</v>
      </c>
      <c r="B3767" s="198" t="s">
        <v>9694</v>
      </c>
      <c r="C3767" s="198" t="s">
        <v>23</v>
      </c>
      <c r="D3767" s="198" t="s">
        <v>141</v>
      </c>
      <c r="E3767" s="198" t="s">
        <v>2648</v>
      </c>
      <c r="F3767" s="198" t="s">
        <v>73</v>
      </c>
      <c r="G3767" s="198" t="s">
        <v>73</v>
      </c>
      <c r="H3767" s="198" t="s">
        <v>521</v>
      </c>
      <c r="I3767" s="198"/>
      <c r="J3767" s="225" t="s">
        <v>2272</v>
      </c>
      <c r="K3767" s="225" t="s">
        <v>2272</v>
      </c>
      <c r="L3767" s="225" t="s">
        <v>2272</v>
      </c>
      <c r="M3767" s="225" t="s">
        <v>2272</v>
      </c>
      <c r="N3767" s="225" t="s">
        <v>2272</v>
      </c>
      <c r="O3767" s="225" t="s">
        <v>2272</v>
      </c>
      <c r="P3767" s="225" t="s">
        <v>2272</v>
      </c>
      <c r="Q3767" s="225" t="s">
        <v>2272</v>
      </c>
      <c r="R3767" s="225" t="s">
        <v>2272</v>
      </c>
      <c r="S3767" s="225" t="s">
        <v>2272</v>
      </c>
      <c r="T3767" s="225" t="s">
        <v>2272</v>
      </c>
      <c r="U3767" s="225" t="s">
        <v>2272</v>
      </c>
      <c r="V3767" s="225" t="s">
        <v>2272</v>
      </c>
      <c r="W3767" s="225" t="s">
        <v>2272</v>
      </c>
      <c r="X3767" s="225" t="s">
        <v>2272</v>
      </c>
      <c r="Y3767" s="225" t="s">
        <v>2272</v>
      </c>
      <c r="Z3767" s="225" t="s">
        <v>2272</v>
      </c>
      <c r="AA3767" s="225" t="s">
        <v>2272</v>
      </c>
      <c r="AB3767" s="225" t="s">
        <v>2272</v>
      </c>
      <c r="AC3767" s="225" t="s">
        <v>2272</v>
      </c>
      <c r="AD3767" s="225"/>
      <c r="AE3767" s="225" t="s">
        <v>9712</v>
      </c>
    </row>
    <row r="3768" spans="1:31" ht="36" customHeight="1">
      <c r="A3768" s="198" t="s">
        <v>9657</v>
      </c>
      <c r="B3768" s="198" t="s">
        <v>9696</v>
      </c>
      <c r="C3768" s="198" t="s">
        <v>23</v>
      </c>
      <c r="D3768" s="198" t="s">
        <v>141</v>
      </c>
      <c r="E3768" s="198" t="s">
        <v>82</v>
      </c>
      <c r="F3768" s="198" t="s">
        <v>158</v>
      </c>
      <c r="G3768" s="198" t="s">
        <v>158</v>
      </c>
      <c r="H3768" s="198" t="s">
        <v>521</v>
      </c>
      <c r="I3768" s="198"/>
      <c r="J3768" s="225" t="s">
        <v>2272</v>
      </c>
      <c r="K3768" s="225" t="s">
        <v>2272</v>
      </c>
      <c r="L3768" s="225" t="s">
        <v>2272</v>
      </c>
      <c r="M3768" s="225" t="s">
        <v>2272</v>
      </c>
      <c r="N3768" s="225" t="s">
        <v>2272</v>
      </c>
      <c r="O3768" s="225" t="s">
        <v>2272</v>
      </c>
      <c r="P3768" s="225" t="s">
        <v>2272</v>
      </c>
      <c r="Q3768" s="225" t="s">
        <v>2272</v>
      </c>
      <c r="R3768" s="225" t="s">
        <v>2272</v>
      </c>
      <c r="S3768" s="71" t="s">
        <v>2272</v>
      </c>
      <c r="T3768" s="71" t="s">
        <v>2272</v>
      </c>
      <c r="U3768" s="71" t="s">
        <v>2272</v>
      </c>
      <c r="V3768" s="71" t="s">
        <v>2272</v>
      </c>
      <c r="W3768" s="71" t="s">
        <v>2272</v>
      </c>
      <c r="X3768" s="71" t="s">
        <v>2272</v>
      </c>
      <c r="Y3768" s="71" t="s">
        <v>2272</v>
      </c>
      <c r="Z3768" s="71" t="s">
        <v>2272</v>
      </c>
      <c r="AA3768" s="71" t="s">
        <v>2272</v>
      </c>
      <c r="AB3768" s="71" t="s">
        <v>2272</v>
      </c>
      <c r="AC3768" s="71" t="s">
        <v>2272</v>
      </c>
      <c r="AD3768" s="198"/>
      <c r="AE3768" s="4" t="s">
        <v>9689</v>
      </c>
    </row>
    <row r="3769" spans="1:31" ht="36" customHeight="1">
      <c r="A3769" s="198" t="s">
        <v>9658</v>
      </c>
      <c r="B3769" s="198" t="s">
        <v>9697</v>
      </c>
      <c r="C3769" s="198" t="s">
        <v>23</v>
      </c>
      <c r="D3769" s="198" t="s">
        <v>141</v>
      </c>
      <c r="E3769" s="198" t="s">
        <v>82</v>
      </c>
      <c r="F3769" s="198" t="s">
        <v>158</v>
      </c>
      <c r="G3769" s="198" t="s">
        <v>158</v>
      </c>
      <c r="H3769" s="198" t="s">
        <v>521</v>
      </c>
      <c r="I3769" s="198"/>
      <c r="J3769" s="225" t="s">
        <v>2272</v>
      </c>
      <c r="K3769" s="225" t="s">
        <v>2272</v>
      </c>
      <c r="L3769" s="225" t="s">
        <v>2272</v>
      </c>
      <c r="M3769" s="225" t="s">
        <v>2272</v>
      </c>
      <c r="N3769" s="225" t="s">
        <v>2272</v>
      </c>
      <c r="O3769" s="225" t="s">
        <v>2272</v>
      </c>
      <c r="P3769" s="225" t="s">
        <v>2272</v>
      </c>
      <c r="Q3769" s="225" t="s">
        <v>2272</v>
      </c>
      <c r="R3769" s="225" t="s">
        <v>2272</v>
      </c>
      <c r="S3769" s="71" t="s">
        <v>2272</v>
      </c>
      <c r="T3769" s="71" t="s">
        <v>2272</v>
      </c>
      <c r="U3769" s="71" t="s">
        <v>2272</v>
      </c>
      <c r="V3769" s="71" t="s">
        <v>2272</v>
      </c>
      <c r="W3769" s="71" t="s">
        <v>2272</v>
      </c>
      <c r="X3769" s="71" t="s">
        <v>2272</v>
      </c>
      <c r="Y3769" s="71" t="s">
        <v>2272</v>
      </c>
      <c r="Z3769" s="71" t="s">
        <v>2272</v>
      </c>
      <c r="AA3769" s="71" t="s">
        <v>2272</v>
      </c>
      <c r="AB3769" s="71" t="s">
        <v>2272</v>
      </c>
      <c r="AC3769" s="71" t="s">
        <v>2272</v>
      </c>
      <c r="AD3769" s="198"/>
      <c r="AE3769" s="4" t="s">
        <v>9689</v>
      </c>
    </row>
    <row r="3770" spans="1:31" ht="36" customHeight="1">
      <c r="A3770" s="198" t="s">
        <v>9660</v>
      </c>
      <c r="B3770" s="198" t="s">
        <v>9698</v>
      </c>
      <c r="C3770" s="198" t="s">
        <v>23</v>
      </c>
      <c r="D3770" s="198" t="s">
        <v>141</v>
      </c>
      <c r="E3770" s="198" t="s">
        <v>82</v>
      </c>
      <c r="F3770" s="198" t="s">
        <v>158</v>
      </c>
      <c r="G3770" s="198" t="s">
        <v>158</v>
      </c>
      <c r="H3770" s="198" t="s">
        <v>521</v>
      </c>
      <c r="I3770" s="198"/>
      <c r="J3770" s="225" t="s">
        <v>2272</v>
      </c>
      <c r="K3770" s="225" t="s">
        <v>2272</v>
      </c>
      <c r="L3770" s="225" t="s">
        <v>2272</v>
      </c>
      <c r="M3770" s="225" t="s">
        <v>2272</v>
      </c>
      <c r="N3770" s="225" t="s">
        <v>2272</v>
      </c>
      <c r="O3770" s="225" t="s">
        <v>2272</v>
      </c>
      <c r="P3770" s="225" t="s">
        <v>2272</v>
      </c>
      <c r="Q3770" s="225" t="s">
        <v>2272</v>
      </c>
      <c r="R3770" s="225" t="s">
        <v>2272</v>
      </c>
      <c r="S3770" s="71" t="s">
        <v>2272</v>
      </c>
      <c r="T3770" s="71" t="s">
        <v>2272</v>
      </c>
      <c r="U3770" s="71" t="s">
        <v>2272</v>
      </c>
      <c r="V3770" s="71" t="s">
        <v>2272</v>
      </c>
      <c r="W3770" s="71" t="s">
        <v>2272</v>
      </c>
      <c r="X3770" s="71" t="s">
        <v>2272</v>
      </c>
      <c r="Y3770" s="71" t="s">
        <v>2272</v>
      </c>
      <c r="Z3770" s="71" t="s">
        <v>2272</v>
      </c>
      <c r="AA3770" s="71" t="s">
        <v>2272</v>
      </c>
      <c r="AB3770" s="71" t="s">
        <v>2272</v>
      </c>
      <c r="AC3770" s="71" t="s">
        <v>2272</v>
      </c>
      <c r="AD3770" s="198"/>
      <c r="AE3770" s="4" t="s">
        <v>9689</v>
      </c>
    </row>
    <row r="3771" spans="1:31" ht="36" customHeight="1">
      <c r="A3771" s="198" t="s">
        <v>9661</v>
      </c>
      <c r="B3771" s="198" t="s">
        <v>9699</v>
      </c>
      <c r="C3771" s="198" t="s">
        <v>23</v>
      </c>
      <c r="D3771" s="198" t="s">
        <v>141</v>
      </c>
      <c r="E3771" s="198" t="s">
        <v>82</v>
      </c>
      <c r="F3771" s="198" t="s">
        <v>158</v>
      </c>
      <c r="G3771" s="198" t="s">
        <v>158</v>
      </c>
      <c r="H3771" s="198" t="s">
        <v>521</v>
      </c>
      <c r="I3771" s="198"/>
      <c r="J3771" s="225" t="s">
        <v>2272</v>
      </c>
      <c r="K3771" s="225" t="s">
        <v>2272</v>
      </c>
      <c r="L3771" s="225" t="s">
        <v>2272</v>
      </c>
      <c r="M3771" s="225" t="s">
        <v>2272</v>
      </c>
      <c r="N3771" s="225" t="s">
        <v>2272</v>
      </c>
      <c r="O3771" s="225" t="s">
        <v>2272</v>
      </c>
      <c r="P3771" s="225" t="s">
        <v>2272</v>
      </c>
      <c r="Q3771" s="225" t="s">
        <v>2272</v>
      </c>
      <c r="R3771" s="225" t="s">
        <v>2272</v>
      </c>
      <c r="S3771" s="71" t="s">
        <v>2272</v>
      </c>
      <c r="T3771" s="71" t="s">
        <v>2272</v>
      </c>
      <c r="U3771" s="71" t="s">
        <v>2272</v>
      </c>
      <c r="V3771" s="71" t="s">
        <v>2272</v>
      </c>
      <c r="W3771" s="71" t="s">
        <v>2272</v>
      </c>
      <c r="X3771" s="71" t="s">
        <v>2272</v>
      </c>
      <c r="Y3771" s="71" t="s">
        <v>2272</v>
      </c>
      <c r="Z3771" s="71" t="s">
        <v>2272</v>
      </c>
      <c r="AA3771" s="71" t="s">
        <v>2272</v>
      </c>
      <c r="AB3771" s="71" t="s">
        <v>2272</v>
      </c>
      <c r="AC3771" s="71" t="s">
        <v>2272</v>
      </c>
      <c r="AD3771" s="198"/>
      <c r="AE3771" s="4" t="s">
        <v>9689</v>
      </c>
    </row>
    <row r="3772" spans="1:31" ht="37" customHeight="1">
      <c r="A3772" s="198" t="s">
        <v>9662</v>
      </c>
      <c r="B3772" s="198" t="s">
        <v>9700</v>
      </c>
      <c r="C3772" s="198" t="s">
        <v>23</v>
      </c>
      <c r="D3772" s="198" t="s">
        <v>141</v>
      </c>
      <c r="E3772" s="198" t="s">
        <v>82</v>
      </c>
      <c r="F3772" s="198" t="s">
        <v>158</v>
      </c>
      <c r="G3772" s="198" t="s">
        <v>158</v>
      </c>
      <c r="H3772" s="198" t="s">
        <v>521</v>
      </c>
      <c r="I3772" s="198"/>
      <c r="J3772" s="225" t="s">
        <v>2272</v>
      </c>
      <c r="K3772" s="225" t="s">
        <v>2272</v>
      </c>
      <c r="L3772" s="225" t="s">
        <v>2272</v>
      </c>
      <c r="M3772" s="225" t="s">
        <v>2272</v>
      </c>
      <c r="N3772" s="225" t="s">
        <v>2272</v>
      </c>
      <c r="O3772" s="225" t="s">
        <v>2272</v>
      </c>
      <c r="P3772" s="225" t="s">
        <v>2272</v>
      </c>
      <c r="Q3772" s="225" t="s">
        <v>2272</v>
      </c>
      <c r="R3772" s="225" t="s">
        <v>2272</v>
      </c>
      <c r="S3772" s="71" t="s">
        <v>2272</v>
      </c>
      <c r="T3772" s="71" t="s">
        <v>2272</v>
      </c>
      <c r="U3772" s="71" t="s">
        <v>2272</v>
      </c>
      <c r="V3772" s="71" t="s">
        <v>2272</v>
      </c>
      <c r="W3772" s="71" t="s">
        <v>2272</v>
      </c>
      <c r="X3772" s="71" t="s">
        <v>2272</v>
      </c>
      <c r="Y3772" s="71" t="s">
        <v>2272</v>
      </c>
      <c r="Z3772" s="71" t="s">
        <v>2272</v>
      </c>
      <c r="AA3772" s="71" t="s">
        <v>2272</v>
      </c>
      <c r="AB3772" s="71" t="s">
        <v>2272</v>
      </c>
      <c r="AC3772" s="71" t="s">
        <v>2272</v>
      </c>
      <c r="AD3772" s="198"/>
      <c r="AE3772" s="4" t="s">
        <v>9689</v>
      </c>
    </row>
    <row r="3773" spans="1:31" ht="37" customHeight="1">
      <c r="A3773" s="198" t="s">
        <v>9657</v>
      </c>
      <c r="B3773" s="198" t="s">
        <v>9701</v>
      </c>
      <c r="C3773" s="198" t="s">
        <v>23</v>
      </c>
      <c r="D3773" s="198" t="s">
        <v>141</v>
      </c>
      <c r="E3773" s="198" t="s">
        <v>2648</v>
      </c>
      <c r="F3773" s="198" t="s">
        <v>158</v>
      </c>
      <c r="G3773" s="198" t="s">
        <v>158</v>
      </c>
      <c r="H3773" s="198" t="s">
        <v>521</v>
      </c>
      <c r="I3773" s="198"/>
      <c r="J3773" s="225" t="s">
        <v>2272</v>
      </c>
      <c r="K3773" s="225" t="s">
        <v>2272</v>
      </c>
      <c r="L3773" s="225" t="s">
        <v>2272</v>
      </c>
      <c r="M3773" s="225" t="s">
        <v>2272</v>
      </c>
      <c r="N3773" s="225" t="s">
        <v>2272</v>
      </c>
      <c r="O3773" s="225" t="s">
        <v>2272</v>
      </c>
      <c r="P3773" s="225" t="s">
        <v>2272</v>
      </c>
      <c r="Q3773" s="225" t="s">
        <v>2272</v>
      </c>
      <c r="R3773" s="225" t="s">
        <v>2272</v>
      </c>
      <c r="S3773" s="225" t="s">
        <v>2272</v>
      </c>
      <c r="T3773" s="225" t="s">
        <v>2272</v>
      </c>
      <c r="U3773" s="225" t="s">
        <v>2272</v>
      </c>
      <c r="V3773" s="225" t="s">
        <v>2272</v>
      </c>
      <c r="W3773" s="225" t="s">
        <v>2272</v>
      </c>
      <c r="X3773" s="225" t="s">
        <v>2272</v>
      </c>
      <c r="Y3773" s="225" t="s">
        <v>2272</v>
      </c>
      <c r="Z3773" s="225" t="s">
        <v>2272</v>
      </c>
      <c r="AA3773" s="225" t="s">
        <v>2272</v>
      </c>
      <c r="AB3773" s="225" t="s">
        <v>2272</v>
      </c>
      <c r="AC3773" s="225" t="s">
        <v>2272</v>
      </c>
      <c r="AD3773" s="225"/>
      <c r="AE3773" s="225" t="s">
        <v>9712</v>
      </c>
    </row>
    <row r="3774" spans="1:31" ht="37" customHeight="1">
      <c r="A3774" s="198" t="s">
        <v>9658</v>
      </c>
      <c r="B3774" s="198" t="s">
        <v>9702</v>
      </c>
      <c r="C3774" s="198" t="s">
        <v>23</v>
      </c>
      <c r="D3774" s="198" t="s">
        <v>141</v>
      </c>
      <c r="E3774" s="198" t="s">
        <v>2648</v>
      </c>
      <c r="F3774" s="198" t="s">
        <v>158</v>
      </c>
      <c r="G3774" s="198" t="s">
        <v>158</v>
      </c>
      <c r="H3774" s="198" t="s">
        <v>521</v>
      </c>
      <c r="I3774" s="198"/>
      <c r="J3774" s="225" t="s">
        <v>2272</v>
      </c>
      <c r="K3774" s="225" t="s">
        <v>2272</v>
      </c>
      <c r="L3774" s="225" t="s">
        <v>2272</v>
      </c>
      <c r="M3774" s="225" t="s">
        <v>2272</v>
      </c>
      <c r="N3774" s="225" t="s">
        <v>2272</v>
      </c>
      <c r="O3774" s="225" t="s">
        <v>2272</v>
      </c>
      <c r="P3774" s="225" t="s">
        <v>2272</v>
      </c>
      <c r="Q3774" s="225" t="s">
        <v>2272</v>
      </c>
      <c r="R3774" s="225" t="s">
        <v>2272</v>
      </c>
      <c r="S3774" s="225" t="s">
        <v>2272</v>
      </c>
      <c r="T3774" s="225" t="s">
        <v>2272</v>
      </c>
      <c r="U3774" s="225" t="s">
        <v>2272</v>
      </c>
      <c r="V3774" s="225" t="s">
        <v>2272</v>
      </c>
      <c r="W3774" s="225" t="s">
        <v>2272</v>
      </c>
      <c r="X3774" s="225" t="s">
        <v>2272</v>
      </c>
      <c r="Y3774" s="225" t="s">
        <v>2272</v>
      </c>
      <c r="Z3774" s="225" t="s">
        <v>2272</v>
      </c>
      <c r="AA3774" s="225" t="s">
        <v>2272</v>
      </c>
      <c r="AB3774" s="225" t="s">
        <v>2272</v>
      </c>
      <c r="AC3774" s="225" t="s">
        <v>2272</v>
      </c>
      <c r="AD3774" s="225"/>
      <c r="AE3774" s="225" t="s">
        <v>9712</v>
      </c>
    </row>
    <row r="3775" spans="1:31" ht="37" customHeight="1">
      <c r="A3775" s="198" t="s">
        <v>9659</v>
      </c>
      <c r="B3775" s="198" t="s">
        <v>9703</v>
      </c>
      <c r="C3775" s="198" t="s">
        <v>23</v>
      </c>
      <c r="D3775" s="198" t="s">
        <v>141</v>
      </c>
      <c r="E3775" s="198" t="s">
        <v>2648</v>
      </c>
      <c r="F3775" s="198" t="s">
        <v>158</v>
      </c>
      <c r="G3775" s="198" t="s">
        <v>158</v>
      </c>
      <c r="H3775" s="198" t="s">
        <v>521</v>
      </c>
      <c r="I3775" s="198"/>
      <c r="J3775" s="225" t="s">
        <v>2272</v>
      </c>
      <c r="K3775" s="225" t="s">
        <v>2272</v>
      </c>
      <c r="L3775" s="225" t="s">
        <v>2272</v>
      </c>
      <c r="M3775" s="225" t="s">
        <v>2272</v>
      </c>
      <c r="N3775" s="225" t="s">
        <v>2272</v>
      </c>
      <c r="O3775" s="225" t="s">
        <v>2272</v>
      </c>
      <c r="P3775" s="225" t="s">
        <v>2272</v>
      </c>
      <c r="Q3775" s="225" t="s">
        <v>2272</v>
      </c>
      <c r="R3775" s="225" t="s">
        <v>2272</v>
      </c>
      <c r="S3775" s="225" t="s">
        <v>2272</v>
      </c>
      <c r="T3775" s="225" t="s">
        <v>2272</v>
      </c>
      <c r="U3775" s="225" t="s">
        <v>2272</v>
      </c>
      <c r="V3775" s="225" t="s">
        <v>2272</v>
      </c>
      <c r="W3775" s="225" t="s">
        <v>2272</v>
      </c>
      <c r="X3775" s="225" t="s">
        <v>2272</v>
      </c>
      <c r="Y3775" s="225" t="s">
        <v>2272</v>
      </c>
      <c r="Z3775" s="225" t="s">
        <v>2272</v>
      </c>
      <c r="AA3775" s="225" t="s">
        <v>2272</v>
      </c>
      <c r="AB3775" s="225" t="s">
        <v>2272</v>
      </c>
      <c r="AC3775" s="225" t="s">
        <v>2272</v>
      </c>
      <c r="AD3775" s="225"/>
      <c r="AE3775" s="225" t="s">
        <v>9712</v>
      </c>
    </row>
    <row r="3776" spans="1:31" ht="37" customHeight="1">
      <c r="A3776" s="198" t="s">
        <v>9660</v>
      </c>
      <c r="B3776" s="198" t="s">
        <v>9704</v>
      </c>
      <c r="C3776" s="198" t="s">
        <v>23</v>
      </c>
      <c r="D3776" s="198" t="s">
        <v>141</v>
      </c>
      <c r="E3776" s="198" t="s">
        <v>2648</v>
      </c>
      <c r="F3776" s="198" t="s">
        <v>158</v>
      </c>
      <c r="G3776" s="198" t="s">
        <v>158</v>
      </c>
      <c r="H3776" s="198" t="s">
        <v>521</v>
      </c>
      <c r="I3776" s="198"/>
      <c r="J3776" s="225" t="s">
        <v>2272</v>
      </c>
      <c r="K3776" s="225" t="s">
        <v>2272</v>
      </c>
      <c r="L3776" s="225" t="s">
        <v>2272</v>
      </c>
      <c r="M3776" s="225" t="s">
        <v>2272</v>
      </c>
      <c r="N3776" s="225" t="s">
        <v>2272</v>
      </c>
      <c r="O3776" s="225" t="s">
        <v>2272</v>
      </c>
      <c r="P3776" s="225" t="s">
        <v>2272</v>
      </c>
      <c r="Q3776" s="225" t="s">
        <v>2272</v>
      </c>
      <c r="R3776" s="225" t="s">
        <v>2272</v>
      </c>
      <c r="S3776" s="225" t="s">
        <v>2272</v>
      </c>
      <c r="T3776" s="225" t="s">
        <v>2272</v>
      </c>
      <c r="U3776" s="225" t="s">
        <v>2272</v>
      </c>
      <c r="V3776" s="225" t="s">
        <v>2272</v>
      </c>
      <c r="W3776" s="225" t="s">
        <v>2272</v>
      </c>
      <c r="X3776" s="225" t="s">
        <v>2272</v>
      </c>
      <c r="Y3776" s="225" t="s">
        <v>2272</v>
      </c>
      <c r="Z3776" s="225" t="s">
        <v>2272</v>
      </c>
      <c r="AA3776" s="225" t="s">
        <v>2272</v>
      </c>
      <c r="AB3776" s="225" t="s">
        <v>2272</v>
      </c>
      <c r="AC3776" s="225" t="s">
        <v>2272</v>
      </c>
      <c r="AD3776" s="225"/>
      <c r="AE3776" s="225" t="s">
        <v>9712</v>
      </c>
    </row>
    <row r="3777" spans="1:31" ht="37" customHeight="1">
      <c r="A3777" s="198" t="s">
        <v>9661</v>
      </c>
      <c r="B3777" s="198" t="s">
        <v>9705</v>
      </c>
      <c r="C3777" s="198" t="s">
        <v>23</v>
      </c>
      <c r="D3777" s="198" t="s">
        <v>141</v>
      </c>
      <c r="E3777" s="198" t="s">
        <v>2648</v>
      </c>
      <c r="F3777" s="198" t="s">
        <v>158</v>
      </c>
      <c r="G3777" s="198" t="s">
        <v>158</v>
      </c>
      <c r="H3777" s="198" t="s">
        <v>521</v>
      </c>
      <c r="I3777" s="198"/>
      <c r="J3777" s="225" t="s">
        <v>2272</v>
      </c>
      <c r="K3777" s="225" t="s">
        <v>2272</v>
      </c>
      <c r="L3777" s="225" t="s">
        <v>2272</v>
      </c>
      <c r="M3777" s="225" t="s">
        <v>2272</v>
      </c>
      <c r="N3777" s="225" t="s">
        <v>2272</v>
      </c>
      <c r="O3777" s="225" t="s">
        <v>2272</v>
      </c>
      <c r="P3777" s="225" t="s">
        <v>2272</v>
      </c>
      <c r="Q3777" s="225" t="s">
        <v>2272</v>
      </c>
      <c r="R3777" s="225" t="s">
        <v>2272</v>
      </c>
      <c r="S3777" s="225" t="s">
        <v>2272</v>
      </c>
      <c r="T3777" s="225" t="s">
        <v>2272</v>
      </c>
      <c r="U3777" s="225" t="s">
        <v>2272</v>
      </c>
      <c r="V3777" s="225" t="s">
        <v>2272</v>
      </c>
      <c r="W3777" s="225" t="s">
        <v>2272</v>
      </c>
      <c r="X3777" s="225" t="s">
        <v>2272</v>
      </c>
      <c r="Y3777" s="225" t="s">
        <v>2272</v>
      </c>
      <c r="Z3777" s="225" t="s">
        <v>2272</v>
      </c>
      <c r="AA3777" s="225" t="s">
        <v>2272</v>
      </c>
      <c r="AB3777" s="225" t="s">
        <v>2272</v>
      </c>
      <c r="AC3777" s="225" t="s">
        <v>2272</v>
      </c>
      <c r="AD3777" s="225"/>
      <c r="AE3777" s="225" t="s">
        <v>9712</v>
      </c>
    </row>
    <row r="3778" spans="1:31" ht="40.5" customHeight="1">
      <c r="A3778" s="198" t="s">
        <v>9662</v>
      </c>
      <c r="B3778" s="198" t="s">
        <v>9706</v>
      </c>
      <c r="C3778" s="198" t="s">
        <v>23</v>
      </c>
      <c r="D3778" s="198" t="s">
        <v>141</v>
      </c>
      <c r="E3778" s="198" t="s">
        <v>2648</v>
      </c>
      <c r="F3778" s="198" t="s">
        <v>158</v>
      </c>
      <c r="G3778" s="198" t="s">
        <v>158</v>
      </c>
      <c r="H3778" s="198" t="s">
        <v>521</v>
      </c>
      <c r="I3778" s="198"/>
      <c r="J3778" s="225" t="s">
        <v>2272</v>
      </c>
      <c r="K3778" s="225" t="s">
        <v>2272</v>
      </c>
      <c r="L3778" s="225" t="s">
        <v>2272</v>
      </c>
      <c r="M3778" s="225" t="s">
        <v>2272</v>
      </c>
      <c r="N3778" s="225" t="s">
        <v>2272</v>
      </c>
      <c r="O3778" s="225" t="s">
        <v>2272</v>
      </c>
      <c r="P3778" s="225" t="s">
        <v>2272</v>
      </c>
      <c r="Q3778" s="225" t="s">
        <v>2272</v>
      </c>
      <c r="R3778" s="225" t="s">
        <v>2272</v>
      </c>
      <c r="S3778" s="225" t="s">
        <v>2272</v>
      </c>
      <c r="T3778" s="225" t="s">
        <v>2272</v>
      </c>
      <c r="U3778" s="225" t="s">
        <v>2272</v>
      </c>
      <c r="V3778" s="225" t="s">
        <v>2272</v>
      </c>
      <c r="W3778" s="225" t="s">
        <v>2272</v>
      </c>
      <c r="X3778" s="225" t="s">
        <v>2272</v>
      </c>
      <c r="Y3778" s="225" t="s">
        <v>2272</v>
      </c>
      <c r="Z3778" s="225" t="s">
        <v>2272</v>
      </c>
      <c r="AA3778" s="225" t="s">
        <v>2272</v>
      </c>
      <c r="AB3778" s="225" t="s">
        <v>2272</v>
      </c>
      <c r="AC3778" s="225" t="s">
        <v>2272</v>
      </c>
      <c r="AD3778" s="225"/>
      <c r="AE3778" s="225" t="s">
        <v>9712</v>
      </c>
    </row>
    <row r="3779" spans="1:31" ht="40.5" customHeight="1">
      <c r="A3779" s="198" t="s">
        <v>9657</v>
      </c>
      <c r="B3779" s="198" t="s">
        <v>9707</v>
      </c>
      <c r="C3779" s="198" t="s">
        <v>2453</v>
      </c>
      <c r="D3779" s="198" t="s">
        <v>2272</v>
      </c>
      <c r="E3779" s="198" t="s">
        <v>2272</v>
      </c>
      <c r="F3779" s="198" t="s">
        <v>2272</v>
      </c>
      <c r="G3779" s="198" t="s">
        <v>73</v>
      </c>
      <c r="H3779" s="198" t="s">
        <v>521</v>
      </c>
      <c r="I3779" s="198"/>
      <c r="J3779" s="225" t="s">
        <v>2272</v>
      </c>
      <c r="K3779" s="225" t="s">
        <v>2272</v>
      </c>
      <c r="L3779" s="225" t="s">
        <v>2272</v>
      </c>
      <c r="M3779" s="225" t="s">
        <v>2272</v>
      </c>
      <c r="N3779" s="225" t="s">
        <v>2272</v>
      </c>
      <c r="O3779" s="225" t="s">
        <v>2272</v>
      </c>
      <c r="P3779" s="225" t="s">
        <v>2272</v>
      </c>
      <c r="Q3779" s="225" t="s">
        <v>2272</v>
      </c>
      <c r="R3779" s="225" t="s">
        <v>2272</v>
      </c>
      <c r="S3779" s="225" t="s">
        <v>2272</v>
      </c>
      <c r="T3779" s="225" t="s">
        <v>2272</v>
      </c>
      <c r="U3779" s="21">
        <f>504706*0.537/14</f>
        <v>19359.080142857147</v>
      </c>
      <c r="V3779" s="225" t="s">
        <v>2272</v>
      </c>
      <c r="W3779" s="225" t="s">
        <v>2272</v>
      </c>
      <c r="X3779" s="225" t="s">
        <v>2272</v>
      </c>
      <c r="Y3779" s="21">
        <f>(U3779/'Record info'!K1523)</f>
        <v>8.2554712762717038E-3</v>
      </c>
      <c r="Z3779" s="225" t="s">
        <v>2272</v>
      </c>
      <c r="AA3779" s="225" t="s">
        <v>2272</v>
      </c>
      <c r="AB3779" s="225" t="s">
        <v>2272</v>
      </c>
      <c r="AC3779" s="225" t="s">
        <v>2272</v>
      </c>
      <c r="AD3779" s="198"/>
      <c r="AE3779" s="4" t="s">
        <v>9713</v>
      </c>
    </row>
    <row r="3780" spans="1:31" ht="40.5" customHeight="1">
      <c r="A3780" s="198" t="s">
        <v>9658</v>
      </c>
      <c r="B3780" s="198" t="s">
        <v>9708</v>
      </c>
      <c r="C3780" s="198" t="s">
        <v>2453</v>
      </c>
      <c r="D3780" s="198" t="s">
        <v>2272</v>
      </c>
      <c r="E3780" s="198" t="s">
        <v>2272</v>
      </c>
      <c r="F3780" s="198" t="s">
        <v>2272</v>
      </c>
      <c r="G3780" s="198" t="s">
        <v>73</v>
      </c>
      <c r="H3780" s="198" t="s">
        <v>521</v>
      </c>
      <c r="I3780" s="198"/>
      <c r="J3780" s="225" t="s">
        <v>2272</v>
      </c>
      <c r="K3780" s="225" t="s">
        <v>2272</v>
      </c>
      <c r="L3780" s="225" t="s">
        <v>2272</v>
      </c>
      <c r="M3780" s="225" t="s">
        <v>2272</v>
      </c>
      <c r="N3780" s="225" t="s">
        <v>2272</v>
      </c>
      <c r="O3780" s="225" t="s">
        <v>2272</v>
      </c>
      <c r="P3780" s="225" t="s">
        <v>2272</v>
      </c>
      <c r="Q3780" s="225" t="s">
        <v>2272</v>
      </c>
      <c r="R3780" s="225" t="s">
        <v>2272</v>
      </c>
      <c r="S3780" s="225" t="s">
        <v>2272</v>
      </c>
      <c r="T3780" s="225" t="s">
        <v>2272</v>
      </c>
      <c r="U3780" s="21">
        <f>23007.6*0.661/14</f>
        <v>1086.2873999999999</v>
      </c>
      <c r="V3780" s="225" t="s">
        <v>2272</v>
      </c>
      <c r="W3780" s="225" t="s">
        <v>2272</v>
      </c>
      <c r="X3780" s="225" t="s">
        <v>2272</v>
      </c>
      <c r="Y3780" s="21">
        <f>(U3780/'Record info'!K1524)</f>
        <v>2.2847947804358888E-3</v>
      </c>
      <c r="Z3780" s="225" t="s">
        <v>2272</v>
      </c>
      <c r="AA3780" s="225" t="s">
        <v>2272</v>
      </c>
      <c r="AB3780" s="225" t="s">
        <v>2272</v>
      </c>
      <c r="AC3780" s="225" t="s">
        <v>2272</v>
      </c>
      <c r="AD3780" s="198"/>
      <c r="AE3780" s="4" t="s">
        <v>9713</v>
      </c>
    </row>
    <row r="3781" spans="1:31" ht="40.5" customHeight="1">
      <c r="A3781" s="198" t="s">
        <v>9659</v>
      </c>
      <c r="B3781" s="198" t="s">
        <v>9709</v>
      </c>
      <c r="C3781" s="198" t="s">
        <v>2453</v>
      </c>
      <c r="D3781" s="198" t="s">
        <v>2272</v>
      </c>
      <c r="E3781" s="198" t="s">
        <v>2272</v>
      </c>
      <c r="F3781" s="198" t="s">
        <v>2272</v>
      </c>
      <c r="G3781" s="198" t="s">
        <v>73</v>
      </c>
      <c r="H3781" s="198" t="s">
        <v>521</v>
      </c>
      <c r="I3781" s="198"/>
      <c r="J3781" s="225" t="s">
        <v>2272</v>
      </c>
      <c r="K3781" s="225" t="s">
        <v>2272</v>
      </c>
      <c r="L3781" s="225" t="s">
        <v>2272</v>
      </c>
      <c r="M3781" s="225" t="s">
        <v>2272</v>
      </c>
      <c r="N3781" s="225" t="s">
        <v>2272</v>
      </c>
      <c r="O3781" s="225" t="s">
        <v>2272</v>
      </c>
      <c r="P3781" s="225" t="s">
        <v>2272</v>
      </c>
      <c r="Q3781" s="225" t="s">
        <v>2272</v>
      </c>
      <c r="R3781" s="225" t="s">
        <v>2272</v>
      </c>
      <c r="S3781" s="225" t="s">
        <v>2272</v>
      </c>
      <c r="T3781" s="225" t="s">
        <v>2272</v>
      </c>
      <c r="U3781" s="21">
        <f>42994*0.909/14</f>
        <v>2791.5390000000002</v>
      </c>
      <c r="V3781" s="225" t="s">
        <v>2272</v>
      </c>
      <c r="W3781" s="225" t="s">
        <v>2272</v>
      </c>
      <c r="X3781" s="225" t="s">
        <v>2272</v>
      </c>
      <c r="Y3781" s="21">
        <f>(U3781/'Record info'!K1525)</f>
        <v>4.4809160427876161E-3</v>
      </c>
      <c r="Z3781" s="225" t="s">
        <v>2272</v>
      </c>
      <c r="AA3781" s="225" t="s">
        <v>2272</v>
      </c>
      <c r="AB3781" s="225" t="s">
        <v>2272</v>
      </c>
      <c r="AC3781" s="225" t="s">
        <v>2272</v>
      </c>
      <c r="AD3781" s="198"/>
      <c r="AE3781" s="4" t="s">
        <v>9713</v>
      </c>
    </row>
    <row r="3782" spans="1:31" ht="40.5" customHeight="1">
      <c r="A3782" s="198" t="s">
        <v>9660</v>
      </c>
      <c r="B3782" s="198" t="s">
        <v>9710</v>
      </c>
      <c r="C3782" s="198" t="s">
        <v>2453</v>
      </c>
      <c r="D3782" s="198" t="s">
        <v>2272</v>
      </c>
      <c r="E3782" s="198" t="s">
        <v>2272</v>
      </c>
      <c r="F3782" s="198" t="s">
        <v>2272</v>
      </c>
      <c r="G3782" s="198" t="s">
        <v>73</v>
      </c>
      <c r="H3782" s="198" t="s">
        <v>521</v>
      </c>
      <c r="I3782" s="198"/>
      <c r="J3782" s="225" t="s">
        <v>2272</v>
      </c>
      <c r="K3782" s="225" t="s">
        <v>2272</v>
      </c>
      <c r="L3782" s="225" t="s">
        <v>2272</v>
      </c>
      <c r="M3782" s="225" t="s">
        <v>2272</v>
      </c>
      <c r="N3782" s="225" t="s">
        <v>2272</v>
      </c>
      <c r="O3782" s="225" t="s">
        <v>2272</v>
      </c>
      <c r="P3782" s="225" t="s">
        <v>2272</v>
      </c>
      <c r="Q3782" s="225" t="s">
        <v>2272</v>
      </c>
      <c r="R3782" s="225" t="s">
        <v>2272</v>
      </c>
      <c r="S3782" s="225" t="s">
        <v>2272</v>
      </c>
      <c r="T3782" s="225" t="s">
        <v>2272</v>
      </c>
      <c r="U3782" s="21">
        <f>15604*0.841/14</f>
        <v>937.35457142857138</v>
      </c>
      <c r="V3782" s="225" t="s">
        <v>2272</v>
      </c>
      <c r="W3782" s="225" t="s">
        <v>2272</v>
      </c>
      <c r="X3782" s="225" t="s">
        <v>2272</v>
      </c>
      <c r="Y3782" s="21">
        <f>(U3782/'Record info'!K1526)</f>
        <v>3.5019429792562079E-3</v>
      </c>
      <c r="Z3782" s="225" t="s">
        <v>2272</v>
      </c>
      <c r="AA3782" s="225" t="s">
        <v>2272</v>
      </c>
      <c r="AB3782" s="225" t="s">
        <v>2272</v>
      </c>
      <c r="AC3782" s="225" t="s">
        <v>2272</v>
      </c>
      <c r="AD3782" s="198"/>
      <c r="AE3782" s="4" t="s">
        <v>9713</v>
      </c>
    </row>
    <row r="3783" spans="1:31" ht="40.5" customHeight="1">
      <c r="A3783" s="198" t="s">
        <v>9662</v>
      </c>
      <c r="B3783" s="198" t="s">
        <v>9711</v>
      </c>
      <c r="C3783" s="198" t="s">
        <v>2453</v>
      </c>
      <c r="D3783" s="198" t="s">
        <v>2272</v>
      </c>
      <c r="E3783" s="198" t="s">
        <v>2272</v>
      </c>
      <c r="F3783" s="198" t="s">
        <v>2272</v>
      </c>
      <c r="G3783" s="198" t="s">
        <v>73</v>
      </c>
      <c r="H3783" s="198" t="s">
        <v>521</v>
      </c>
      <c r="I3783" s="198"/>
      <c r="J3783" s="225" t="s">
        <v>2272</v>
      </c>
      <c r="K3783" s="225" t="s">
        <v>2272</v>
      </c>
      <c r="L3783" s="225" t="s">
        <v>2272</v>
      </c>
      <c r="M3783" s="225" t="s">
        <v>2272</v>
      </c>
      <c r="N3783" s="225" t="s">
        <v>2272</v>
      </c>
      <c r="O3783" s="225" t="s">
        <v>2272</v>
      </c>
      <c r="P3783" s="225" t="s">
        <v>2272</v>
      </c>
      <c r="Q3783" s="225" t="s">
        <v>2272</v>
      </c>
      <c r="R3783" s="225" t="s">
        <v>2272</v>
      </c>
      <c r="S3783" s="225" t="s">
        <v>2272</v>
      </c>
      <c r="T3783" s="225" t="s">
        <v>2272</v>
      </c>
      <c r="U3783" s="21">
        <f>53086.8*0.712/14</f>
        <v>2699.8429714285712</v>
      </c>
      <c r="V3783" s="225" t="s">
        <v>2272</v>
      </c>
      <c r="W3783" s="225" t="s">
        <v>2272</v>
      </c>
      <c r="X3783" s="225" t="s">
        <v>2272</v>
      </c>
      <c r="Y3783" s="21">
        <f>(U3783/'Record info'!K1528)</f>
        <v>7.894277694235589E-3</v>
      </c>
      <c r="Z3783" s="225" t="s">
        <v>2272</v>
      </c>
      <c r="AA3783" s="225" t="s">
        <v>2272</v>
      </c>
      <c r="AB3783" s="225" t="s">
        <v>2272</v>
      </c>
      <c r="AC3783" s="225" t="s">
        <v>2272</v>
      </c>
      <c r="AD3783" s="198"/>
      <c r="AE3783" s="4" t="s">
        <v>9713</v>
      </c>
    </row>
    <row r="3784" spans="1:31" ht="45.5" customHeight="1">
      <c r="A3784" s="4" t="s">
        <v>9716</v>
      </c>
      <c r="B3784" s="4" t="s">
        <v>9718</v>
      </c>
      <c r="C3784" s="4" t="s">
        <v>2653</v>
      </c>
      <c r="D3784" s="4" t="s">
        <v>2272</v>
      </c>
      <c r="E3784" s="4" t="s">
        <v>2272</v>
      </c>
      <c r="F3784" s="4" t="s">
        <v>2272</v>
      </c>
      <c r="G3784" s="4" t="s">
        <v>27</v>
      </c>
      <c r="H3784" s="4" t="s">
        <v>521</v>
      </c>
      <c r="I3784" s="198"/>
      <c r="J3784" s="71" t="s">
        <v>2272</v>
      </c>
      <c r="K3784" s="71" t="s">
        <v>2272</v>
      </c>
      <c r="L3784" s="71" t="s">
        <v>2272</v>
      </c>
      <c r="M3784" s="71" t="s">
        <v>2272</v>
      </c>
      <c r="N3784" s="71" t="s">
        <v>2272</v>
      </c>
      <c r="O3784" s="71" t="s">
        <v>2272</v>
      </c>
      <c r="P3784" s="71" t="s">
        <v>2272</v>
      </c>
      <c r="Q3784" s="71" t="s">
        <v>2272</v>
      </c>
      <c r="R3784" s="71" t="s">
        <v>2272</v>
      </c>
      <c r="S3784" s="71" t="s">
        <v>2272</v>
      </c>
      <c r="T3784" s="71" t="s">
        <v>2272</v>
      </c>
      <c r="U3784" s="71" t="s">
        <v>2272</v>
      </c>
      <c r="V3784" s="71" t="s">
        <v>2272</v>
      </c>
      <c r="W3784" s="71" t="s">
        <v>2272</v>
      </c>
      <c r="X3784" s="71" t="s">
        <v>2272</v>
      </c>
      <c r="Y3784" s="71" t="s">
        <v>2272</v>
      </c>
      <c r="Z3784" s="71" t="s">
        <v>2272</v>
      </c>
      <c r="AA3784" s="71" t="s">
        <v>2272</v>
      </c>
      <c r="AB3784" s="71" t="s">
        <v>2272</v>
      </c>
      <c r="AC3784" s="71" t="s">
        <v>2272</v>
      </c>
      <c r="AD3784" s="198"/>
      <c r="AE3784" s="198"/>
    </row>
    <row r="3785" spans="1:31" ht="45.5" customHeight="1">
      <c r="A3785" s="4" t="s">
        <v>9716</v>
      </c>
      <c r="B3785" s="4" t="s">
        <v>9719</v>
      </c>
      <c r="C3785" s="198" t="s">
        <v>23</v>
      </c>
      <c r="D3785" s="198" t="s">
        <v>2337</v>
      </c>
      <c r="E3785" s="198" t="s">
        <v>860</v>
      </c>
      <c r="F3785" s="4" t="s">
        <v>73</v>
      </c>
      <c r="G3785" s="4" t="s">
        <v>73</v>
      </c>
      <c r="H3785" s="198" t="s">
        <v>522</v>
      </c>
      <c r="I3785" s="198"/>
      <c r="J3785" s="21">
        <v>0</v>
      </c>
      <c r="K3785" s="21">
        <v>0</v>
      </c>
      <c r="L3785" s="21">
        <v>0</v>
      </c>
      <c r="M3785" s="21">
        <v>0</v>
      </c>
      <c r="N3785" s="21">
        <v>0</v>
      </c>
      <c r="O3785" s="21">
        <v>0</v>
      </c>
      <c r="P3785" s="21">
        <v>0</v>
      </c>
      <c r="Q3785" s="21">
        <v>0</v>
      </c>
      <c r="R3785" s="21">
        <v>0</v>
      </c>
      <c r="S3785" s="21">
        <v>0</v>
      </c>
      <c r="T3785" s="21">
        <v>0</v>
      </c>
      <c r="U3785" s="21">
        <v>0</v>
      </c>
      <c r="V3785" s="21">
        <v>0</v>
      </c>
      <c r="W3785" s="21">
        <v>0</v>
      </c>
      <c r="X3785" s="21">
        <v>0</v>
      </c>
      <c r="Y3785" s="21">
        <v>0</v>
      </c>
      <c r="Z3785" s="71" t="s">
        <v>2272</v>
      </c>
      <c r="AA3785" s="71" t="s">
        <v>2272</v>
      </c>
      <c r="AB3785" s="71" t="s">
        <v>2272</v>
      </c>
      <c r="AC3785" s="71" t="s">
        <v>2272</v>
      </c>
      <c r="AD3785" s="4" t="s">
        <v>9720</v>
      </c>
      <c r="AE3785" s="198"/>
    </row>
    <row r="3786" spans="1:31" ht="40" customHeight="1">
      <c r="A3786" s="4" t="s">
        <v>9716</v>
      </c>
      <c r="B3786" s="4" t="s">
        <v>9723</v>
      </c>
      <c r="C3786" s="197" t="s">
        <v>2453</v>
      </c>
      <c r="D3786" s="4" t="s">
        <v>2272</v>
      </c>
      <c r="E3786" s="4" t="s">
        <v>2272</v>
      </c>
      <c r="F3786" s="4" t="s">
        <v>2272</v>
      </c>
      <c r="G3786" s="4" t="s">
        <v>73</v>
      </c>
      <c r="H3786" s="4" t="s">
        <v>521</v>
      </c>
      <c r="I3786" s="198"/>
      <c r="J3786" s="71" t="s">
        <v>2272</v>
      </c>
      <c r="K3786" s="71" t="s">
        <v>2272</v>
      </c>
      <c r="L3786" s="71" t="s">
        <v>2272</v>
      </c>
      <c r="M3786" s="71" t="s">
        <v>2272</v>
      </c>
      <c r="N3786" s="71" t="s">
        <v>2272</v>
      </c>
      <c r="O3786" s="21">
        <v>2000</v>
      </c>
      <c r="P3786" s="71" t="s">
        <v>2272</v>
      </c>
      <c r="Q3786" s="71" t="s">
        <v>2272</v>
      </c>
      <c r="R3786" s="71" t="s">
        <v>2272</v>
      </c>
      <c r="S3786" s="71" t="s">
        <v>2272</v>
      </c>
      <c r="T3786" s="71" t="s">
        <v>2272</v>
      </c>
      <c r="U3786" s="71" t="s">
        <v>2272</v>
      </c>
      <c r="V3786" s="71" t="s">
        <v>2272</v>
      </c>
      <c r="W3786" s="71" t="s">
        <v>2272</v>
      </c>
      <c r="X3786" s="71" t="s">
        <v>2272</v>
      </c>
      <c r="Y3786" s="71" t="s">
        <v>2272</v>
      </c>
      <c r="Z3786" s="71" t="s">
        <v>2272</v>
      </c>
      <c r="AA3786" s="71" t="s">
        <v>2272</v>
      </c>
      <c r="AB3786" s="71" t="s">
        <v>2272</v>
      </c>
      <c r="AC3786" s="71" t="s">
        <v>2272</v>
      </c>
      <c r="AD3786" s="198"/>
      <c r="AE3786" s="198"/>
    </row>
    <row r="3787" spans="1:31" ht="51" customHeight="1">
      <c r="A3787" s="4" t="s">
        <v>9725</v>
      </c>
      <c r="B3787" s="4" t="s">
        <v>9728</v>
      </c>
      <c r="C3787" s="198" t="s">
        <v>23</v>
      </c>
      <c r="D3787" s="198" t="s">
        <v>3471</v>
      </c>
      <c r="E3787" s="198" t="s">
        <v>860</v>
      </c>
      <c r="F3787" s="4" t="s">
        <v>2272</v>
      </c>
      <c r="G3787" s="4" t="s">
        <v>73</v>
      </c>
      <c r="H3787" s="4" t="s">
        <v>521</v>
      </c>
      <c r="I3787" s="198"/>
      <c r="J3787" s="71" t="s">
        <v>2272</v>
      </c>
      <c r="K3787" s="71" t="s">
        <v>2272</v>
      </c>
      <c r="L3787" s="71" t="s">
        <v>2272</v>
      </c>
      <c r="M3787" s="71" t="s">
        <v>2272</v>
      </c>
      <c r="N3787" s="71" t="s">
        <v>2272</v>
      </c>
      <c r="O3787" s="71" t="s">
        <v>2272</v>
      </c>
      <c r="P3787" s="71" t="s">
        <v>2272</v>
      </c>
      <c r="Q3787" s="71" t="s">
        <v>2272</v>
      </c>
      <c r="R3787" s="71" t="s">
        <v>2272</v>
      </c>
      <c r="S3787" s="71" t="s">
        <v>2272</v>
      </c>
      <c r="T3787" s="71" t="s">
        <v>2272</v>
      </c>
      <c r="U3787" s="71" t="s">
        <v>2272</v>
      </c>
      <c r="V3787" s="71" t="s">
        <v>2272</v>
      </c>
      <c r="W3787" s="71" t="s">
        <v>2272</v>
      </c>
      <c r="X3787" s="71" t="s">
        <v>2272</v>
      </c>
      <c r="Y3787" s="71" t="s">
        <v>2272</v>
      </c>
      <c r="Z3787" s="71" t="s">
        <v>2272</v>
      </c>
      <c r="AA3787" s="71" t="s">
        <v>2272</v>
      </c>
      <c r="AB3787" s="71" t="s">
        <v>2272</v>
      </c>
      <c r="AC3787" s="71" t="s">
        <v>2272</v>
      </c>
      <c r="AD3787" s="198"/>
      <c r="AE3787" s="71" t="s">
        <v>9730</v>
      </c>
    </row>
    <row r="3788" spans="1:31" ht="51" customHeight="1">
      <c r="A3788" s="198" t="s">
        <v>9750</v>
      </c>
      <c r="B3788" s="198" t="s">
        <v>9773</v>
      </c>
      <c r="C3788" s="198" t="s">
        <v>23</v>
      </c>
      <c r="D3788" s="198" t="s">
        <v>26</v>
      </c>
      <c r="E3788" s="198" t="s">
        <v>128</v>
      </c>
      <c r="F3788" s="4" t="s">
        <v>73</v>
      </c>
      <c r="G3788" s="4" t="s">
        <v>73</v>
      </c>
      <c r="H3788" s="4" t="s">
        <v>521</v>
      </c>
      <c r="I3788" s="198"/>
      <c r="J3788" s="71" t="s">
        <v>2272</v>
      </c>
      <c r="K3788" s="71" t="s">
        <v>2272</v>
      </c>
      <c r="L3788" s="71" t="s">
        <v>2272</v>
      </c>
      <c r="M3788" s="71" t="s">
        <v>2272</v>
      </c>
      <c r="N3788" s="71" t="s">
        <v>2272</v>
      </c>
      <c r="O3788" s="71" t="s">
        <v>2272</v>
      </c>
      <c r="P3788" s="71" t="s">
        <v>2272</v>
      </c>
      <c r="Q3788" s="71" t="s">
        <v>2272</v>
      </c>
      <c r="R3788" s="71" t="s">
        <v>2272</v>
      </c>
      <c r="S3788" s="71" t="s">
        <v>2272</v>
      </c>
      <c r="T3788" s="71" t="s">
        <v>2272</v>
      </c>
      <c r="U3788" s="21">
        <f>0.1062*2126200</f>
        <v>225802.44</v>
      </c>
      <c r="V3788" s="71" t="s">
        <v>2272</v>
      </c>
      <c r="W3788" s="21">
        <f>$U3788/('Record info'!$K1532*'Land use'!$R1532/100)/30</f>
        <v>0.376721278983284</v>
      </c>
      <c r="X3788" s="71" t="s">
        <v>2272</v>
      </c>
      <c r="Y3788" s="21">
        <f>$U3788/('Record info'!$K1532)/30</f>
        <v>0.35400000000000004</v>
      </c>
      <c r="Z3788" s="71" t="s">
        <v>2272</v>
      </c>
      <c r="AA3788" s="71" t="s">
        <v>2272</v>
      </c>
      <c r="AB3788" s="71" t="s">
        <v>2272</v>
      </c>
      <c r="AC3788" s="71" t="s">
        <v>2272</v>
      </c>
      <c r="AD3788" s="198"/>
      <c r="AE3788" s="198"/>
    </row>
    <row r="3789" spans="1:31" ht="51" customHeight="1">
      <c r="A3789" s="198" t="s">
        <v>9751</v>
      </c>
      <c r="B3789" s="198" t="s">
        <v>9774</v>
      </c>
      <c r="C3789" s="198" t="s">
        <v>23</v>
      </c>
      <c r="D3789" s="198" t="s">
        <v>26</v>
      </c>
      <c r="E3789" s="198" t="s">
        <v>128</v>
      </c>
      <c r="F3789" s="4" t="s">
        <v>73</v>
      </c>
      <c r="G3789" s="4" t="s">
        <v>73</v>
      </c>
      <c r="H3789" s="4" t="s">
        <v>521</v>
      </c>
      <c r="I3789" s="198"/>
      <c r="J3789" s="71" t="s">
        <v>2272</v>
      </c>
      <c r="K3789" s="71" t="s">
        <v>2272</v>
      </c>
      <c r="L3789" s="71" t="s">
        <v>2272</v>
      </c>
      <c r="M3789" s="71" t="s">
        <v>2272</v>
      </c>
      <c r="N3789" s="71" t="s">
        <v>2272</v>
      </c>
      <c r="O3789" s="71" t="s">
        <v>2272</v>
      </c>
      <c r="P3789" s="71" t="s">
        <v>2272</v>
      </c>
      <c r="Q3789" s="71" t="s">
        <v>2272</v>
      </c>
      <c r="R3789" s="71" t="s">
        <v>2272</v>
      </c>
      <c r="S3789" s="71" t="s">
        <v>2272</v>
      </c>
      <c r="T3789" s="71" t="s">
        <v>2272</v>
      </c>
      <c r="U3789" s="21">
        <f>0.1291*('Record info'!K1533*100)</f>
        <v>119975.21200000001</v>
      </c>
      <c r="V3789" s="71" t="s">
        <v>2272</v>
      </c>
      <c r="W3789" s="21">
        <f>$U3789/('Record info'!$K1533*'Land use'!$R1533/100)/30</f>
        <v>0.46041895652497605</v>
      </c>
      <c r="X3789" s="71" t="s">
        <v>2272</v>
      </c>
      <c r="Y3789" s="21">
        <f>$U3789/('Record info'!$K1533)/30</f>
        <v>0.43033333333333335</v>
      </c>
      <c r="Z3789" s="71" t="s">
        <v>2272</v>
      </c>
      <c r="AA3789" s="71" t="s">
        <v>2272</v>
      </c>
      <c r="AB3789" s="71" t="s">
        <v>2272</v>
      </c>
      <c r="AC3789" s="71" t="s">
        <v>2272</v>
      </c>
      <c r="AD3789" s="198"/>
      <c r="AE3789" s="198"/>
    </row>
    <row r="3790" spans="1:31" ht="51" customHeight="1">
      <c r="A3790" s="198" t="s">
        <v>9752</v>
      </c>
      <c r="B3790" s="198" t="s">
        <v>9775</v>
      </c>
      <c r="C3790" s="198" t="s">
        <v>23</v>
      </c>
      <c r="D3790" s="198" t="s">
        <v>26</v>
      </c>
      <c r="E3790" s="198" t="s">
        <v>128</v>
      </c>
      <c r="F3790" s="4" t="s">
        <v>73</v>
      </c>
      <c r="G3790" s="4" t="s">
        <v>73</v>
      </c>
      <c r="H3790" s="4" t="s">
        <v>521</v>
      </c>
      <c r="I3790" s="198"/>
      <c r="J3790" s="71" t="s">
        <v>2272</v>
      </c>
      <c r="K3790" s="71" t="s">
        <v>2272</v>
      </c>
      <c r="L3790" s="71" t="s">
        <v>2272</v>
      </c>
      <c r="M3790" s="71" t="s">
        <v>2272</v>
      </c>
      <c r="N3790" s="71" t="s">
        <v>2272</v>
      </c>
      <c r="O3790" s="71" t="s">
        <v>2272</v>
      </c>
      <c r="P3790" s="71" t="s">
        <v>2272</v>
      </c>
      <c r="Q3790" s="71" t="s">
        <v>2272</v>
      </c>
      <c r="R3790" s="71" t="s">
        <v>2272</v>
      </c>
      <c r="S3790" s="71" t="s">
        <v>2272</v>
      </c>
      <c r="T3790" s="71" t="s">
        <v>2272</v>
      </c>
      <c r="U3790" s="21">
        <f>0.1388*('Record info'!K1534*100)</f>
        <v>80982.86</v>
      </c>
      <c r="V3790" s="71" t="s">
        <v>2272</v>
      </c>
      <c r="W3790" s="21">
        <f>$U3790/('Record info'!$K1534*'Land use'!$R1534/100)/30</f>
        <v>0.49919486250589074</v>
      </c>
      <c r="X3790" s="71" t="s">
        <v>2272</v>
      </c>
      <c r="Y3790" s="21">
        <f>$U3790/('Record info'!$K1534)/30</f>
        <v>0.46266666666666667</v>
      </c>
      <c r="Z3790" s="71" t="s">
        <v>2272</v>
      </c>
      <c r="AA3790" s="71" t="s">
        <v>2272</v>
      </c>
      <c r="AB3790" s="71" t="s">
        <v>2272</v>
      </c>
      <c r="AC3790" s="71" t="s">
        <v>2272</v>
      </c>
      <c r="AD3790" s="198"/>
      <c r="AE3790" s="198"/>
    </row>
    <row r="3791" spans="1:31" ht="51" customHeight="1">
      <c r="A3791" s="198" t="s">
        <v>9753</v>
      </c>
      <c r="B3791" s="198" t="s">
        <v>9776</v>
      </c>
      <c r="C3791" s="198" t="s">
        <v>23</v>
      </c>
      <c r="D3791" s="198" t="s">
        <v>26</v>
      </c>
      <c r="E3791" s="198" t="s">
        <v>128</v>
      </c>
      <c r="F3791" s="4" t="s">
        <v>73</v>
      </c>
      <c r="G3791" s="4" t="s">
        <v>73</v>
      </c>
      <c r="H3791" s="4" t="s">
        <v>521</v>
      </c>
      <c r="I3791" s="198"/>
      <c r="J3791" s="71" t="s">
        <v>2272</v>
      </c>
      <c r="K3791" s="71" t="s">
        <v>2272</v>
      </c>
      <c r="L3791" s="71" t="s">
        <v>2272</v>
      </c>
      <c r="M3791" s="71" t="s">
        <v>2272</v>
      </c>
      <c r="N3791" s="71" t="s">
        <v>2272</v>
      </c>
      <c r="O3791" s="71" t="s">
        <v>2272</v>
      </c>
      <c r="P3791" s="71" t="s">
        <v>2272</v>
      </c>
      <c r="Q3791" s="71" t="s">
        <v>2272</v>
      </c>
      <c r="R3791" s="71" t="s">
        <v>2272</v>
      </c>
      <c r="S3791" s="71" t="s">
        <v>2272</v>
      </c>
      <c r="T3791" s="71" t="s">
        <v>2272</v>
      </c>
      <c r="U3791" s="21">
        <f>0.1205*('Record info'!K1535*100)</f>
        <v>52527.155000000006</v>
      </c>
      <c r="V3791" s="71" t="s">
        <v>2272</v>
      </c>
      <c r="W3791" s="21">
        <f>$U3791/('Record info'!$K1535*'Land use'!$R1535/100)/30</f>
        <v>0.43793376278678692</v>
      </c>
      <c r="X3791" s="71" t="s">
        <v>2272</v>
      </c>
      <c r="Y3791" s="21">
        <f>$U3791/('Record info'!$K1535)/30</f>
        <v>0.40166666666666667</v>
      </c>
      <c r="Z3791" s="71" t="s">
        <v>2272</v>
      </c>
      <c r="AA3791" s="71" t="s">
        <v>2272</v>
      </c>
      <c r="AB3791" s="71" t="s">
        <v>2272</v>
      </c>
      <c r="AC3791" s="71" t="s">
        <v>2272</v>
      </c>
      <c r="AD3791" s="198"/>
      <c r="AE3791" s="198"/>
    </row>
    <row r="3792" spans="1:31" ht="51" customHeight="1">
      <c r="A3792" s="198" t="s">
        <v>9754</v>
      </c>
      <c r="B3792" s="198" t="s">
        <v>9777</v>
      </c>
      <c r="C3792" s="198" t="s">
        <v>23</v>
      </c>
      <c r="D3792" s="198" t="s">
        <v>26</v>
      </c>
      <c r="E3792" s="198" t="s">
        <v>128</v>
      </c>
      <c r="F3792" s="4" t="s">
        <v>73</v>
      </c>
      <c r="G3792" s="4" t="s">
        <v>73</v>
      </c>
      <c r="H3792" s="4" t="s">
        <v>521</v>
      </c>
      <c r="I3792" s="198"/>
      <c r="J3792" s="71" t="s">
        <v>2272</v>
      </c>
      <c r="K3792" s="71" t="s">
        <v>2272</v>
      </c>
      <c r="L3792" s="71" t="s">
        <v>2272</v>
      </c>
      <c r="M3792" s="71" t="s">
        <v>2272</v>
      </c>
      <c r="N3792" s="71" t="s">
        <v>2272</v>
      </c>
      <c r="O3792" s="71" t="s">
        <v>2272</v>
      </c>
      <c r="P3792" s="71" t="s">
        <v>2272</v>
      </c>
      <c r="Q3792" s="71" t="s">
        <v>2272</v>
      </c>
      <c r="R3792" s="71" t="s">
        <v>2272</v>
      </c>
      <c r="S3792" s="71" t="s">
        <v>2272</v>
      </c>
      <c r="T3792" s="71" t="s">
        <v>2272</v>
      </c>
      <c r="U3792" s="21">
        <f>0.1729*('Record info'!K1536*100)</f>
        <v>121317.014</v>
      </c>
      <c r="V3792" s="71" t="s">
        <v>2272</v>
      </c>
      <c r="W3792" s="21">
        <f>$U3792/('Record info'!$K1536*'Land use'!$R1536/100)/30</f>
        <v>0.63824085925790308</v>
      </c>
      <c r="X3792" s="71" t="s">
        <v>2272</v>
      </c>
      <c r="Y3792" s="21">
        <f>$U3792/('Record info'!$K1536)/30</f>
        <v>0.57633333333333325</v>
      </c>
      <c r="Z3792" s="71" t="s">
        <v>2272</v>
      </c>
      <c r="AA3792" s="71" t="s">
        <v>2272</v>
      </c>
      <c r="AB3792" s="71" t="s">
        <v>2272</v>
      </c>
      <c r="AC3792" s="71" t="s">
        <v>2272</v>
      </c>
      <c r="AD3792" s="198"/>
      <c r="AE3792" s="198"/>
    </row>
    <row r="3793" spans="1:31" ht="51" customHeight="1">
      <c r="A3793" s="198" t="s">
        <v>9755</v>
      </c>
      <c r="B3793" s="198" t="s">
        <v>9778</v>
      </c>
      <c r="C3793" s="198" t="s">
        <v>23</v>
      </c>
      <c r="D3793" s="198" t="s">
        <v>26</v>
      </c>
      <c r="E3793" s="198" t="s">
        <v>128</v>
      </c>
      <c r="F3793" s="4" t="s">
        <v>73</v>
      </c>
      <c r="G3793" s="4" t="s">
        <v>73</v>
      </c>
      <c r="H3793" s="4" t="s">
        <v>521</v>
      </c>
      <c r="I3793" s="198"/>
      <c r="J3793" s="71" t="s">
        <v>2272</v>
      </c>
      <c r="K3793" s="71" t="s">
        <v>2272</v>
      </c>
      <c r="L3793" s="71" t="s">
        <v>2272</v>
      </c>
      <c r="M3793" s="71" t="s">
        <v>2272</v>
      </c>
      <c r="N3793" s="71" t="s">
        <v>2272</v>
      </c>
      <c r="O3793" s="71" t="s">
        <v>2272</v>
      </c>
      <c r="P3793" s="71" t="s">
        <v>2272</v>
      </c>
      <c r="Q3793" s="71" t="s">
        <v>2272</v>
      </c>
      <c r="R3793" s="71" t="s">
        <v>2272</v>
      </c>
      <c r="S3793" s="71" t="s">
        <v>2272</v>
      </c>
      <c r="T3793" s="71" t="s">
        <v>2272</v>
      </c>
      <c r="U3793" s="21">
        <f>0.0645*('Record info'!K1537*100)</f>
        <v>335026.54499999998</v>
      </c>
      <c r="V3793" s="71" t="s">
        <v>2272</v>
      </c>
      <c r="W3793" s="21">
        <f>$U3793/('Record info'!$K1537*'Land use'!$R1537/100)/30</f>
        <v>0.24234496178703599</v>
      </c>
      <c r="X3793" s="71" t="s">
        <v>2272</v>
      </c>
      <c r="Y3793" s="21">
        <f>$U3793/('Record info'!$K1537)/30</f>
        <v>0.215</v>
      </c>
      <c r="Z3793" s="71" t="s">
        <v>2272</v>
      </c>
      <c r="AA3793" s="71" t="s">
        <v>2272</v>
      </c>
      <c r="AB3793" s="71" t="s">
        <v>2272</v>
      </c>
      <c r="AC3793" s="71" t="s">
        <v>2272</v>
      </c>
      <c r="AD3793" s="198"/>
      <c r="AE3793" s="198"/>
    </row>
    <row r="3794" spans="1:31" ht="51" customHeight="1">
      <c r="A3794" s="198" t="s">
        <v>9756</v>
      </c>
      <c r="B3794" s="198" t="s">
        <v>9779</v>
      </c>
      <c r="C3794" s="198" t="s">
        <v>23</v>
      </c>
      <c r="D3794" s="198" t="s">
        <v>26</v>
      </c>
      <c r="E3794" s="198" t="s">
        <v>128</v>
      </c>
      <c r="F3794" s="4" t="s">
        <v>73</v>
      </c>
      <c r="G3794" s="4" t="s">
        <v>73</v>
      </c>
      <c r="H3794" s="4" t="s">
        <v>521</v>
      </c>
      <c r="I3794" s="198"/>
      <c r="J3794" s="71" t="s">
        <v>2272</v>
      </c>
      <c r="K3794" s="71" t="s">
        <v>2272</v>
      </c>
      <c r="L3794" s="71" t="s">
        <v>2272</v>
      </c>
      <c r="M3794" s="71" t="s">
        <v>2272</v>
      </c>
      <c r="N3794" s="71" t="s">
        <v>2272</v>
      </c>
      <c r="O3794" s="71" t="s">
        <v>2272</v>
      </c>
      <c r="P3794" s="71" t="s">
        <v>2272</v>
      </c>
      <c r="Q3794" s="71" t="s">
        <v>2272</v>
      </c>
      <c r="R3794" s="71" t="s">
        <v>2272</v>
      </c>
      <c r="S3794" s="71" t="s">
        <v>2272</v>
      </c>
      <c r="T3794" s="71" t="s">
        <v>2272</v>
      </c>
      <c r="U3794" s="21">
        <f>0.0503*('Record info'!K1538*100)</f>
        <v>126872.193</v>
      </c>
      <c r="V3794" s="71" t="s">
        <v>2272</v>
      </c>
      <c r="W3794" s="21">
        <f>$U3794/('Record info'!$K1538*'Land use'!$R1538/100)/30</f>
        <v>0.18580025960623239</v>
      </c>
      <c r="X3794" s="71" t="s">
        <v>2272</v>
      </c>
      <c r="Y3794" s="21">
        <f>$U3794/('Record info'!$K1538)/30</f>
        <v>0.16766666666666669</v>
      </c>
      <c r="Z3794" s="71" t="s">
        <v>2272</v>
      </c>
      <c r="AA3794" s="71" t="s">
        <v>2272</v>
      </c>
      <c r="AB3794" s="71" t="s">
        <v>2272</v>
      </c>
      <c r="AC3794" s="71" t="s">
        <v>2272</v>
      </c>
      <c r="AD3794" s="198"/>
      <c r="AE3794" s="198"/>
    </row>
    <row r="3795" spans="1:31" ht="51" customHeight="1">
      <c r="A3795" s="198" t="s">
        <v>9757</v>
      </c>
      <c r="B3795" s="198" t="s">
        <v>9780</v>
      </c>
      <c r="C3795" s="198" t="s">
        <v>23</v>
      </c>
      <c r="D3795" s="198" t="s">
        <v>26</v>
      </c>
      <c r="E3795" s="198" t="s">
        <v>128</v>
      </c>
      <c r="F3795" s="4" t="s">
        <v>73</v>
      </c>
      <c r="G3795" s="4" t="s">
        <v>73</v>
      </c>
      <c r="H3795" s="4" t="s">
        <v>521</v>
      </c>
      <c r="I3795" s="198"/>
      <c r="J3795" s="71" t="s">
        <v>2272</v>
      </c>
      <c r="K3795" s="71" t="s">
        <v>2272</v>
      </c>
      <c r="L3795" s="71" t="s">
        <v>2272</v>
      </c>
      <c r="M3795" s="71" t="s">
        <v>2272</v>
      </c>
      <c r="N3795" s="71" t="s">
        <v>2272</v>
      </c>
      <c r="O3795" s="71" t="s">
        <v>2272</v>
      </c>
      <c r="P3795" s="71" t="s">
        <v>2272</v>
      </c>
      <c r="Q3795" s="71" t="s">
        <v>2272</v>
      </c>
      <c r="R3795" s="71" t="s">
        <v>2272</v>
      </c>
      <c r="S3795" s="71" t="s">
        <v>2272</v>
      </c>
      <c r="T3795" s="71" t="s">
        <v>2272</v>
      </c>
      <c r="U3795" s="21">
        <f>0.1296*('Record info'!K1539*100)</f>
        <v>308722.75199999998</v>
      </c>
      <c r="V3795" s="71" t="s">
        <v>2272</v>
      </c>
      <c r="W3795" s="21">
        <f>$U3795/('Record info'!$K1539*'Land use'!$R1539/100)/30</f>
        <v>0.49413709925445543</v>
      </c>
      <c r="X3795" s="71" t="s">
        <v>2272</v>
      </c>
      <c r="Y3795" s="21">
        <f>$U3795/('Record info'!$K1539)/30</f>
        <v>0.432</v>
      </c>
      <c r="Z3795" s="71" t="s">
        <v>2272</v>
      </c>
      <c r="AA3795" s="71" t="s">
        <v>2272</v>
      </c>
      <c r="AB3795" s="71" t="s">
        <v>2272</v>
      </c>
      <c r="AC3795" s="71" t="s">
        <v>2272</v>
      </c>
      <c r="AD3795" s="198"/>
      <c r="AE3795" s="198"/>
    </row>
    <row r="3796" spans="1:31" ht="51" customHeight="1">
      <c r="A3796" s="198" t="s">
        <v>9758</v>
      </c>
      <c r="B3796" s="198" t="s">
        <v>9781</v>
      </c>
      <c r="C3796" s="198" t="s">
        <v>23</v>
      </c>
      <c r="D3796" s="198" t="s">
        <v>26</v>
      </c>
      <c r="E3796" s="198" t="s">
        <v>128</v>
      </c>
      <c r="F3796" s="4" t="s">
        <v>73</v>
      </c>
      <c r="G3796" s="4" t="s">
        <v>73</v>
      </c>
      <c r="H3796" s="4" t="s">
        <v>521</v>
      </c>
      <c r="I3796" s="198"/>
      <c r="J3796" s="71" t="s">
        <v>2272</v>
      </c>
      <c r="K3796" s="71" t="s">
        <v>2272</v>
      </c>
      <c r="L3796" s="71" t="s">
        <v>2272</v>
      </c>
      <c r="M3796" s="71" t="s">
        <v>2272</v>
      </c>
      <c r="N3796" s="71" t="s">
        <v>2272</v>
      </c>
      <c r="O3796" s="71" t="s">
        <v>2272</v>
      </c>
      <c r="P3796" s="71" t="s">
        <v>2272</v>
      </c>
      <c r="Q3796" s="71" t="s">
        <v>2272</v>
      </c>
      <c r="R3796" s="71" t="s">
        <v>2272</v>
      </c>
      <c r="S3796" s="71" t="s">
        <v>2272</v>
      </c>
      <c r="T3796" s="71" t="s">
        <v>2272</v>
      </c>
      <c r="U3796" s="21">
        <f>0.1467*('Record info'!K1540*100)</f>
        <v>166500.09899999999</v>
      </c>
      <c r="V3796" s="71" t="s">
        <v>2272</v>
      </c>
      <c r="W3796" s="21">
        <f>$U3796/('Record info'!$K1540*'Land use'!$R1540/100)/30</f>
        <v>0.56621853471912253</v>
      </c>
      <c r="X3796" s="71" t="s">
        <v>2272</v>
      </c>
      <c r="Y3796" s="21">
        <f>$U3796/('Record info'!$K1540)/30</f>
        <v>0.48899999999999993</v>
      </c>
      <c r="Z3796" s="71" t="s">
        <v>2272</v>
      </c>
      <c r="AA3796" s="71" t="s">
        <v>2272</v>
      </c>
      <c r="AB3796" s="71" t="s">
        <v>2272</v>
      </c>
      <c r="AC3796" s="71" t="s">
        <v>2272</v>
      </c>
      <c r="AD3796" s="198"/>
      <c r="AE3796" s="198"/>
    </row>
    <row r="3797" spans="1:31" ht="51" customHeight="1">
      <c r="A3797" s="198" t="s">
        <v>9759</v>
      </c>
      <c r="B3797" s="198" t="s">
        <v>9782</v>
      </c>
      <c r="C3797" s="198" t="s">
        <v>23</v>
      </c>
      <c r="D3797" s="198" t="s">
        <v>26</v>
      </c>
      <c r="E3797" s="198" t="s">
        <v>128</v>
      </c>
      <c r="F3797" s="4" t="s">
        <v>73</v>
      </c>
      <c r="G3797" s="4" t="s">
        <v>73</v>
      </c>
      <c r="H3797" s="4" t="s">
        <v>521</v>
      </c>
      <c r="I3797" s="198"/>
      <c r="J3797" s="71" t="s">
        <v>2272</v>
      </c>
      <c r="K3797" s="71" t="s">
        <v>2272</v>
      </c>
      <c r="L3797" s="71" t="s">
        <v>2272</v>
      </c>
      <c r="M3797" s="71" t="s">
        <v>2272</v>
      </c>
      <c r="N3797" s="71" t="s">
        <v>2272</v>
      </c>
      <c r="O3797" s="71" t="s">
        <v>2272</v>
      </c>
      <c r="P3797" s="71" t="s">
        <v>2272</v>
      </c>
      <c r="Q3797" s="71" t="s">
        <v>2272</v>
      </c>
      <c r="R3797" s="71" t="s">
        <v>2272</v>
      </c>
      <c r="S3797" s="71" t="s">
        <v>2272</v>
      </c>
      <c r="T3797" s="71" t="s">
        <v>2272</v>
      </c>
      <c r="U3797" s="21">
        <f>0.0944*('Record info'!K1541*100)</f>
        <v>169346.04800000001</v>
      </c>
      <c r="V3797" s="71" t="s">
        <v>2272</v>
      </c>
      <c r="W3797" s="21">
        <f>$U3797/('Record info'!$K1541*'Land use'!$R1541/100)/30</f>
        <v>0.34595214390637602</v>
      </c>
      <c r="X3797" s="71" t="s">
        <v>2272</v>
      </c>
      <c r="Y3797" s="21">
        <f>$U3797/('Record info'!$K1541)/30</f>
        <v>0.31466666666666665</v>
      </c>
      <c r="Z3797" s="71" t="s">
        <v>2272</v>
      </c>
      <c r="AA3797" s="71" t="s">
        <v>2272</v>
      </c>
      <c r="AB3797" s="71" t="s">
        <v>2272</v>
      </c>
      <c r="AC3797" s="71" t="s">
        <v>2272</v>
      </c>
      <c r="AD3797" s="198"/>
      <c r="AE3797" s="198"/>
    </row>
    <row r="3798" spans="1:31" ht="51" customHeight="1">
      <c r="A3798" s="198" t="s">
        <v>9760</v>
      </c>
      <c r="B3798" s="198" t="s">
        <v>9783</v>
      </c>
      <c r="C3798" s="198" t="s">
        <v>23</v>
      </c>
      <c r="D3798" s="198" t="s">
        <v>26</v>
      </c>
      <c r="E3798" s="198" t="s">
        <v>128</v>
      </c>
      <c r="F3798" s="4" t="s">
        <v>73</v>
      </c>
      <c r="G3798" s="4" t="s">
        <v>73</v>
      </c>
      <c r="H3798" s="4" t="s">
        <v>521</v>
      </c>
      <c r="I3798" s="198"/>
      <c r="J3798" s="71" t="s">
        <v>2272</v>
      </c>
      <c r="K3798" s="71" t="s">
        <v>2272</v>
      </c>
      <c r="L3798" s="71" t="s">
        <v>2272</v>
      </c>
      <c r="M3798" s="71" t="s">
        <v>2272</v>
      </c>
      <c r="N3798" s="71" t="s">
        <v>2272</v>
      </c>
      <c r="O3798" s="71" t="s">
        <v>2272</v>
      </c>
      <c r="P3798" s="71" t="s">
        <v>2272</v>
      </c>
      <c r="Q3798" s="71" t="s">
        <v>2272</v>
      </c>
      <c r="R3798" s="71" t="s">
        <v>2272</v>
      </c>
      <c r="S3798" s="71" t="s">
        <v>2272</v>
      </c>
      <c r="T3798" s="71" t="s">
        <v>2272</v>
      </c>
      <c r="U3798" s="21">
        <f>0.1577*('Record info'!K1542*100)</f>
        <v>416611.86000000004</v>
      </c>
      <c r="V3798" s="71" t="s">
        <v>2272</v>
      </c>
      <c r="W3798" s="21">
        <f>$U3798/('Record info'!$K1542*'Land use'!$R1542/100)/30</f>
        <v>0.6001044463146159</v>
      </c>
      <c r="X3798" s="71" t="s">
        <v>2272</v>
      </c>
      <c r="Y3798" s="21">
        <f>$U3798/('Record info'!$K1542)/30</f>
        <v>0.52566666666666673</v>
      </c>
      <c r="Z3798" s="71" t="s">
        <v>2272</v>
      </c>
      <c r="AA3798" s="71" t="s">
        <v>2272</v>
      </c>
      <c r="AB3798" s="71" t="s">
        <v>2272</v>
      </c>
      <c r="AC3798" s="71" t="s">
        <v>2272</v>
      </c>
      <c r="AD3798" s="198"/>
      <c r="AE3798" s="198"/>
    </row>
    <row r="3799" spans="1:31" ht="51" customHeight="1">
      <c r="A3799" s="198" t="s">
        <v>9761</v>
      </c>
      <c r="B3799" s="198" t="s">
        <v>9784</v>
      </c>
      <c r="C3799" s="198" t="s">
        <v>23</v>
      </c>
      <c r="D3799" s="198" t="s">
        <v>26</v>
      </c>
      <c r="E3799" s="198" t="s">
        <v>128</v>
      </c>
      <c r="F3799" s="4" t="s">
        <v>73</v>
      </c>
      <c r="G3799" s="4" t="s">
        <v>73</v>
      </c>
      <c r="H3799" s="4" t="s">
        <v>521</v>
      </c>
      <c r="I3799" s="198"/>
      <c r="J3799" s="71" t="s">
        <v>2272</v>
      </c>
      <c r="K3799" s="71" t="s">
        <v>2272</v>
      </c>
      <c r="L3799" s="71" t="s">
        <v>2272</v>
      </c>
      <c r="M3799" s="71" t="s">
        <v>2272</v>
      </c>
      <c r="N3799" s="71" t="s">
        <v>2272</v>
      </c>
      <c r="O3799" s="71" t="s">
        <v>2272</v>
      </c>
      <c r="P3799" s="71" t="s">
        <v>2272</v>
      </c>
      <c r="Q3799" s="71" t="s">
        <v>2272</v>
      </c>
      <c r="R3799" s="71" t="s">
        <v>2272</v>
      </c>
      <c r="S3799" s="71" t="s">
        <v>2272</v>
      </c>
      <c r="T3799" s="71" t="s">
        <v>2272</v>
      </c>
      <c r="U3799" s="21">
        <f>0.1513*('Record info'!K1543*100)</f>
        <v>366041.603</v>
      </c>
      <c r="V3799" s="71" t="s">
        <v>2272</v>
      </c>
      <c r="W3799" s="21">
        <f>$U3799/('Record info'!$K1543*'Land use'!$R1543/100)/30</f>
        <v>0.56223171251598281</v>
      </c>
      <c r="X3799" s="71" t="s">
        <v>2272</v>
      </c>
      <c r="Y3799" s="21">
        <f>$U3799/('Record info'!$K1543)/30</f>
        <v>0.50433333333333341</v>
      </c>
      <c r="Z3799" s="71" t="s">
        <v>2272</v>
      </c>
      <c r="AA3799" s="71" t="s">
        <v>2272</v>
      </c>
      <c r="AB3799" s="71" t="s">
        <v>2272</v>
      </c>
      <c r="AC3799" s="71" t="s">
        <v>2272</v>
      </c>
      <c r="AD3799" s="198"/>
      <c r="AE3799" s="198"/>
    </row>
    <row r="3800" spans="1:31" ht="51" customHeight="1">
      <c r="A3800" s="198" t="s">
        <v>9762</v>
      </c>
      <c r="B3800" s="198" t="s">
        <v>9785</v>
      </c>
      <c r="C3800" s="198" t="s">
        <v>23</v>
      </c>
      <c r="D3800" s="198" t="s">
        <v>26</v>
      </c>
      <c r="E3800" s="198" t="s">
        <v>128</v>
      </c>
      <c r="F3800" s="4" t="s">
        <v>73</v>
      </c>
      <c r="G3800" s="4" t="s">
        <v>73</v>
      </c>
      <c r="H3800" s="4" t="s">
        <v>521</v>
      </c>
      <c r="I3800" s="198"/>
      <c r="J3800" s="71" t="s">
        <v>2272</v>
      </c>
      <c r="K3800" s="71" t="s">
        <v>2272</v>
      </c>
      <c r="L3800" s="71" t="s">
        <v>2272</v>
      </c>
      <c r="M3800" s="71" t="s">
        <v>2272</v>
      </c>
      <c r="N3800" s="71" t="s">
        <v>2272</v>
      </c>
      <c r="O3800" s="71" t="s">
        <v>2272</v>
      </c>
      <c r="P3800" s="71" t="s">
        <v>2272</v>
      </c>
      <c r="Q3800" s="71" t="s">
        <v>2272</v>
      </c>
      <c r="R3800" s="71" t="s">
        <v>2272</v>
      </c>
      <c r="S3800" s="71" t="s">
        <v>2272</v>
      </c>
      <c r="T3800" s="71" t="s">
        <v>2272</v>
      </c>
      <c r="U3800" s="21">
        <f>0.1273*('Record info'!K1544*100)</f>
        <v>301855.033</v>
      </c>
      <c r="V3800" s="71" t="s">
        <v>2272</v>
      </c>
      <c r="W3800" s="21">
        <f>$U3800/('Record info'!$K1544*'Land use'!$R1544/100)/30</f>
        <v>0.46007915180407916</v>
      </c>
      <c r="X3800" s="71" t="s">
        <v>2272</v>
      </c>
      <c r="Y3800" s="21">
        <f>$U3800/('Record info'!$K1544)/30</f>
        <v>0.42433333333333334</v>
      </c>
      <c r="Z3800" s="71" t="s">
        <v>2272</v>
      </c>
      <c r="AA3800" s="71" t="s">
        <v>2272</v>
      </c>
      <c r="AB3800" s="71" t="s">
        <v>2272</v>
      </c>
      <c r="AC3800" s="71" t="s">
        <v>2272</v>
      </c>
      <c r="AD3800" s="198"/>
      <c r="AE3800" s="198"/>
    </row>
    <row r="3801" spans="1:31" ht="51" customHeight="1">
      <c r="A3801" s="198" t="s">
        <v>9763</v>
      </c>
      <c r="B3801" s="198" t="s">
        <v>9786</v>
      </c>
      <c r="C3801" s="198" t="s">
        <v>23</v>
      </c>
      <c r="D3801" s="198" t="s">
        <v>26</v>
      </c>
      <c r="E3801" s="198" t="s">
        <v>128</v>
      </c>
      <c r="F3801" s="4" t="s">
        <v>73</v>
      </c>
      <c r="G3801" s="4" t="s">
        <v>73</v>
      </c>
      <c r="H3801" s="4" t="s">
        <v>521</v>
      </c>
      <c r="I3801" s="198"/>
      <c r="J3801" s="71" t="s">
        <v>2272</v>
      </c>
      <c r="K3801" s="71" t="s">
        <v>2272</v>
      </c>
      <c r="L3801" s="71" t="s">
        <v>2272</v>
      </c>
      <c r="M3801" s="71" t="s">
        <v>2272</v>
      </c>
      <c r="N3801" s="71" t="s">
        <v>2272</v>
      </c>
      <c r="O3801" s="71" t="s">
        <v>2272</v>
      </c>
      <c r="P3801" s="71" t="s">
        <v>2272</v>
      </c>
      <c r="Q3801" s="71" t="s">
        <v>2272</v>
      </c>
      <c r="R3801" s="71" t="s">
        <v>2272</v>
      </c>
      <c r="S3801" s="71" t="s">
        <v>2272</v>
      </c>
      <c r="T3801" s="71" t="s">
        <v>2272</v>
      </c>
      <c r="U3801" s="21">
        <f>0.1017*('Record info'!K1545*100)</f>
        <v>315826.299</v>
      </c>
      <c r="V3801" s="71" t="s">
        <v>2272</v>
      </c>
      <c r="W3801" s="21">
        <f>$U3801/('Record info'!$K1545*'Land use'!$R1545/100)/30</f>
        <v>0.37641199235987804</v>
      </c>
      <c r="X3801" s="71" t="s">
        <v>2272</v>
      </c>
      <c r="Y3801" s="21">
        <f>$U3801/('Record info'!$K1545)/30</f>
        <v>0.33900000000000002</v>
      </c>
      <c r="Z3801" s="71" t="s">
        <v>2272</v>
      </c>
      <c r="AA3801" s="71" t="s">
        <v>2272</v>
      </c>
      <c r="AB3801" s="71" t="s">
        <v>2272</v>
      </c>
      <c r="AC3801" s="71" t="s">
        <v>2272</v>
      </c>
      <c r="AD3801" s="198"/>
      <c r="AE3801" s="198"/>
    </row>
    <row r="3802" spans="1:31" ht="51" customHeight="1">
      <c r="A3802" s="198" t="s">
        <v>9764</v>
      </c>
      <c r="B3802" s="198" t="s">
        <v>9787</v>
      </c>
      <c r="C3802" s="198" t="s">
        <v>23</v>
      </c>
      <c r="D3802" s="198" t="s">
        <v>26</v>
      </c>
      <c r="E3802" s="198" t="s">
        <v>128</v>
      </c>
      <c r="F3802" s="4" t="s">
        <v>73</v>
      </c>
      <c r="G3802" s="4" t="s">
        <v>73</v>
      </c>
      <c r="H3802" s="4" t="s">
        <v>521</v>
      </c>
      <c r="I3802" s="198"/>
      <c r="J3802" s="71" t="s">
        <v>2272</v>
      </c>
      <c r="K3802" s="71" t="s">
        <v>2272</v>
      </c>
      <c r="L3802" s="71" t="s">
        <v>2272</v>
      </c>
      <c r="M3802" s="71" t="s">
        <v>2272</v>
      </c>
      <c r="N3802" s="71" t="s">
        <v>2272</v>
      </c>
      <c r="O3802" s="71" t="s">
        <v>2272</v>
      </c>
      <c r="P3802" s="71" t="s">
        <v>2272</v>
      </c>
      <c r="Q3802" s="71" t="s">
        <v>2272</v>
      </c>
      <c r="R3802" s="71" t="s">
        <v>2272</v>
      </c>
      <c r="S3802" s="71" t="s">
        <v>2272</v>
      </c>
      <c r="T3802" s="71" t="s">
        <v>2272</v>
      </c>
      <c r="U3802" s="21">
        <f>0.1122*('Record info'!K1546*100)</f>
        <v>16908.54</v>
      </c>
      <c r="V3802" s="71" t="s">
        <v>2272</v>
      </c>
      <c r="W3802" s="21">
        <f>$U3802/('Record info'!$K1546*'Land use'!$R1546/100)/30</f>
        <v>0.44540522599483973</v>
      </c>
      <c r="X3802" s="71" t="s">
        <v>2272</v>
      </c>
      <c r="Y3802" s="21">
        <f>$U3802/('Record info'!$K1546)/30</f>
        <v>0.374</v>
      </c>
      <c r="Z3802" s="71" t="s">
        <v>2272</v>
      </c>
      <c r="AA3802" s="71" t="s">
        <v>2272</v>
      </c>
      <c r="AB3802" s="71" t="s">
        <v>2272</v>
      </c>
      <c r="AC3802" s="71" t="s">
        <v>2272</v>
      </c>
      <c r="AD3802" s="198"/>
      <c r="AE3802" s="198"/>
    </row>
    <row r="3803" spans="1:31" ht="51" customHeight="1">
      <c r="A3803" s="198" t="s">
        <v>9765</v>
      </c>
      <c r="B3803" s="198" t="s">
        <v>9788</v>
      </c>
      <c r="C3803" s="198" t="s">
        <v>23</v>
      </c>
      <c r="D3803" s="198" t="s">
        <v>26</v>
      </c>
      <c r="E3803" s="198" t="s">
        <v>128</v>
      </c>
      <c r="F3803" s="4" t="s">
        <v>73</v>
      </c>
      <c r="G3803" s="4" t="s">
        <v>73</v>
      </c>
      <c r="H3803" s="4" t="s">
        <v>521</v>
      </c>
      <c r="I3803" s="198"/>
      <c r="J3803" s="71" t="s">
        <v>2272</v>
      </c>
      <c r="K3803" s="71" t="s">
        <v>2272</v>
      </c>
      <c r="L3803" s="71" t="s">
        <v>2272</v>
      </c>
      <c r="M3803" s="71" t="s">
        <v>2272</v>
      </c>
      <c r="N3803" s="71" t="s">
        <v>2272</v>
      </c>
      <c r="O3803" s="71" t="s">
        <v>2272</v>
      </c>
      <c r="P3803" s="71" t="s">
        <v>2272</v>
      </c>
      <c r="Q3803" s="71" t="s">
        <v>2272</v>
      </c>
      <c r="R3803" s="71" t="s">
        <v>2272</v>
      </c>
      <c r="S3803" s="71" t="s">
        <v>2272</v>
      </c>
      <c r="T3803" s="71" t="s">
        <v>2272</v>
      </c>
      <c r="U3803" s="21">
        <f>0.0878*('Record info'!K1547*100)</f>
        <v>72049.558000000005</v>
      </c>
      <c r="V3803" s="71" t="s">
        <v>2272</v>
      </c>
      <c r="W3803" s="21">
        <f>$U3803/('Record info'!$K1547*'Land use'!$R1547/100)/30</f>
        <v>0.39762087155387388</v>
      </c>
      <c r="X3803" s="71" t="s">
        <v>2272</v>
      </c>
      <c r="Y3803" s="21">
        <f>$U3803/('Record info'!$K1547)/30</f>
        <v>0.29266666666666663</v>
      </c>
      <c r="Z3803" s="71" t="s">
        <v>2272</v>
      </c>
      <c r="AA3803" s="71" t="s">
        <v>2272</v>
      </c>
      <c r="AB3803" s="71" t="s">
        <v>2272</v>
      </c>
      <c r="AC3803" s="71" t="s">
        <v>2272</v>
      </c>
      <c r="AD3803" s="198"/>
      <c r="AE3803" s="198"/>
    </row>
    <row r="3804" spans="1:31" ht="51" customHeight="1">
      <c r="A3804" s="198" t="s">
        <v>9766</v>
      </c>
      <c r="B3804" s="198" t="s">
        <v>9789</v>
      </c>
      <c r="C3804" s="198" t="s">
        <v>23</v>
      </c>
      <c r="D3804" s="198" t="s">
        <v>26</v>
      </c>
      <c r="E3804" s="198" t="s">
        <v>128</v>
      </c>
      <c r="F3804" s="4" t="s">
        <v>73</v>
      </c>
      <c r="G3804" s="4" t="s">
        <v>73</v>
      </c>
      <c r="H3804" s="4" t="s">
        <v>521</v>
      </c>
      <c r="I3804" s="198"/>
      <c r="J3804" s="71" t="s">
        <v>2272</v>
      </c>
      <c r="K3804" s="71" t="s">
        <v>2272</v>
      </c>
      <c r="L3804" s="71" t="s">
        <v>2272</v>
      </c>
      <c r="M3804" s="71" t="s">
        <v>2272</v>
      </c>
      <c r="N3804" s="71" t="s">
        <v>2272</v>
      </c>
      <c r="O3804" s="71" t="s">
        <v>2272</v>
      </c>
      <c r="P3804" s="71" t="s">
        <v>2272</v>
      </c>
      <c r="Q3804" s="71" t="s">
        <v>2272</v>
      </c>
      <c r="R3804" s="71" t="s">
        <v>2272</v>
      </c>
      <c r="S3804" s="71" t="s">
        <v>2272</v>
      </c>
      <c r="T3804" s="71" t="s">
        <v>2272</v>
      </c>
      <c r="U3804" s="21">
        <f>0.0745*('Record info'!K1548*100)</f>
        <v>101240.28499999999</v>
      </c>
      <c r="V3804" s="71" t="s">
        <v>2272</v>
      </c>
      <c r="W3804" s="21">
        <f>$U3804/('Record info'!$K1548*'Land use'!$R1548/100)/30</f>
        <v>0.30073173195028013</v>
      </c>
      <c r="X3804" s="71" t="s">
        <v>2272</v>
      </c>
      <c r="Y3804" s="21">
        <f>$U3804/('Record info'!$K1548)/30</f>
        <v>0.24833333333333332</v>
      </c>
      <c r="Z3804" s="71" t="s">
        <v>2272</v>
      </c>
      <c r="AA3804" s="71" t="s">
        <v>2272</v>
      </c>
      <c r="AB3804" s="71" t="s">
        <v>2272</v>
      </c>
      <c r="AC3804" s="71" t="s">
        <v>2272</v>
      </c>
      <c r="AD3804" s="198"/>
      <c r="AE3804" s="198"/>
    </row>
    <row r="3805" spans="1:31" ht="51" customHeight="1">
      <c r="A3805" s="198" t="s">
        <v>9767</v>
      </c>
      <c r="B3805" s="198" t="s">
        <v>9790</v>
      </c>
      <c r="C3805" s="198" t="s">
        <v>23</v>
      </c>
      <c r="D3805" s="198" t="s">
        <v>26</v>
      </c>
      <c r="E3805" s="198" t="s">
        <v>128</v>
      </c>
      <c r="F3805" s="4" t="s">
        <v>73</v>
      </c>
      <c r="G3805" s="4" t="s">
        <v>73</v>
      </c>
      <c r="H3805" s="4" t="s">
        <v>521</v>
      </c>
      <c r="I3805" s="198"/>
      <c r="J3805" s="71" t="s">
        <v>2272</v>
      </c>
      <c r="K3805" s="71" t="s">
        <v>2272</v>
      </c>
      <c r="L3805" s="71" t="s">
        <v>2272</v>
      </c>
      <c r="M3805" s="71" t="s">
        <v>2272</v>
      </c>
      <c r="N3805" s="71" t="s">
        <v>2272</v>
      </c>
      <c r="O3805" s="71" t="s">
        <v>2272</v>
      </c>
      <c r="P3805" s="71" t="s">
        <v>2272</v>
      </c>
      <c r="Q3805" s="71" t="s">
        <v>2272</v>
      </c>
      <c r="R3805" s="71" t="s">
        <v>2272</v>
      </c>
      <c r="S3805" s="71" t="s">
        <v>2272</v>
      </c>
      <c r="T3805" s="71" t="s">
        <v>2272</v>
      </c>
      <c r="U3805" s="21">
        <f>0.0319*('Record info'!K1549*100)</f>
        <v>58948.009999999995</v>
      </c>
      <c r="V3805" s="71" t="s">
        <v>2272</v>
      </c>
      <c r="W3805" s="21">
        <f>$U3805/('Record info'!$K1549*'Land use'!$R1549/100)/30</f>
        <v>0.14527596279380406</v>
      </c>
      <c r="X3805" s="71" t="s">
        <v>2272</v>
      </c>
      <c r="Y3805" s="21">
        <f>$U3805/('Record info'!$K1549)/30</f>
        <v>0.10633333333333332</v>
      </c>
      <c r="Z3805" s="71" t="s">
        <v>2272</v>
      </c>
      <c r="AA3805" s="71" t="s">
        <v>2272</v>
      </c>
      <c r="AB3805" s="71" t="s">
        <v>2272</v>
      </c>
      <c r="AC3805" s="71" t="s">
        <v>2272</v>
      </c>
      <c r="AD3805" s="198"/>
      <c r="AE3805" s="198"/>
    </row>
    <row r="3806" spans="1:31" ht="50.5" customHeight="1">
      <c r="A3806" s="198" t="s">
        <v>9771</v>
      </c>
      <c r="B3806" s="198" t="s">
        <v>9791</v>
      </c>
      <c r="C3806" s="198" t="s">
        <v>23</v>
      </c>
      <c r="D3806" s="198" t="s">
        <v>26</v>
      </c>
      <c r="E3806" s="198" t="s">
        <v>128</v>
      </c>
      <c r="F3806" s="4" t="s">
        <v>73</v>
      </c>
      <c r="G3806" s="4" t="s">
        <v>73</v>
      </c>
      <c r="H3806" s="4" t="s">
        <v>521</v>
      </c>
      <c r="I3806" s="198"/>
      <c r="J3806" s="71" t="s">
        <v>2272</v>
      </c>
      <c r="K3806" s="71" t="s">
        <v>2272</v>
      </c>
      <c r="L3806" s="71" t="s">
        <v>2272</v>
      </c>
      <c r="M3806" s="71" t="s">
        <v>2272</v>
      </c>
      <c r="N3806" s="71" t="s">
        <v>2272</v>
      </c>
      <c r="O3806" s="71" t="s">
        <v>2272</v>
      </c>
      <c r="P3806" s="71" t="s">
        <v>2272</v>
      </c>
      <c r="Q3806" s="71" t="s">
        <v>2272</v>
      </c>
      <c r="R3806" s="71" t="s">
        <v>2272</v>
      </c>
      <c r="S3806" s="71" t="s">
        <v>2272</v>
      </c>
      <c r="T3806" s="71" t="s">
        <v>2272</v>
      </c>
      <c r="U3806" s="21">
        <f>0.3404*('Record info'!K1550*100)</f>
        <v>240860.23199999999</v>
      </c>
      <c r="V3806" s="71" t="s">
        <v>2272</v>
      </c>
      <c r="W3806" s="21">
        <f>$U3806/('Record info'!$K1550*'Land use'!$R1550/100)/30</f>
        <v>1.3673707148714622</v>
      </c>
      <c r="X3806" s="71" t="s">
        <v>2272</v>
      </c>
      <c r="Y3806" s="21">
        <f>$U3806/('Record info'!$K1550)/30</f>
        <v>1.1346666666666667</v>
      </c>
      <c r="Z3806" s="71" t="s">
        <v>2272</v>
      </c>
      <c r="AA3806" s="71" t="s">
        <v>2272</v>
      </c>
      <c r="AB3806" s="71" t="s">
        <v>2272</v>
      </c>
      <c r="AC3806" s="71" t="s">
        <v>2272</v>
      </c>
      <c r="AD3806" s="198"/>
      <c r="AE3806" s="198"/>
    </row>
    <row r="3807" spans="1:31" ht="50.5" customHeight="1">
      <c r="A3807" s="198" t="s">
        <v>9750</v>
      </c>
      <c r="B3807" s="198" t="s">
        <v>9792</v>
      </c>
      <c r="C3807" s="198" t="s">
        <v>2453</v>
      </c>
      <c r="D3807" s="198" t="s">
        <v>2272</v>
      </c>
      <c r="E3807" s="198" t="s">
        <v>2272</v>
      </c>
      <c r="F3807" s="4" t="s">
        <v>73</v>
      </c>
      <c r="G3807" s="4" t="s">
        <v>73</v>
      </c>
      <c r="H3807" s="4" t="s">
        <v>521</v>
      </c>
      <c r="I3807" s="198"/>
      <c r="J3807" s="71" t="s">
        <v>2272</v>
      </c>
      <c r="K3807" s="71" t="s">
        <v>2272</v>
      </c>
      <c r="L3807" s="71" t="s">
        <v>2272</v>
      </c>
      <c r="M3807" s="71" t="s">
        <v>2272</v>
      </c>
      <c r="N3807" s="71" t="s">
        <v>2272</v>
      </c>
      <c r="O3807" s="71" t="s">
        <v>2272</v>
      </c>
      <c r="P3807" s="71" t="s">
        <v>2272</v>
      </c>
      <c r="Q3807" s="71" t="s">
        <v>2272</v>
      </c>
      <c r="R3807" s="71" t="s">
        <v>2272</v>
      </c>
      <c r="S3807" s="71" t="s">
        <v>2272</v>
      </c>
      <c r="T3807" s="71" t="s">
        <v>2272</v>
      </c>
      <c r="U3807" s="21">
        <f>0.0089*'Record info'!K1532*100</f>
        <v>18923.18</v>
      </c>
      <c r="V3807" s="71" t="s">
        <v>2272</v>
      </c>
      <c r="W3807" s="21">
        <f>$U3807/('Record info'!$K1532*'Land use'!$R1532/100)/30</f>
        <v>3.1570803982591593E-2</v>
      </c>
      <c r="X3807" s="71" t="s">
        <v>2272</v>
      </c>
      <c r="Y3807" s="21">
        <f>$U3807/('Record info'!$K1532)/30</f>
        <v>2.9666666666666668E-2</v>
      </c>
      <c r="Z3807" s="71" t="s">
        <v>2272</v>
      </c>
      <c r="AA3807" s="71" t="s">
        <v>2272</v>
      </c>
      <c r="AB3807" s="71" t="s">
        <v>2272</v>
      </c>
      <c r="AC3807" s="71" t="s">
        <v>2272</v>
      </c>
      <c r="AD3807" s="198"/>
      <c r="AE3807" s="198"/>
    </row>
    <row r="3808" spans="1:31" ht="50.5" customHeight="1">
      <c r="A3808" s="198" t="s">
        <v>9751</v>
      </c>
      <c r="B3808" s="198" t="s">
        <v>9793</v>
      </c>
      <c r="C3808" s="198" t="s">
        <v>2453</v>
      </c>
      <c r="D3808" s="198" t="s">
        <v>2272</v>
      </c>
      <c r="E3808" s="198" t="s">
        <v>2272</v>
      </c>
      <c r="F3808" s="4" t="s">
        <v>73</v>
      </c>
      <c r="G3808" s="4" t="s">
        <v>73</v>
      </c>
      <c r="H3808" s="4" t="s">
        <v>521</v>
      </c>
      <c r="I3808" s="198"/>
      <c r="J3808" s="71" t="s">
        <v>2272</v>
      </c>
      <c r="K3808" s="71" t="s">
        <v>2272</v>
      </c>
      <c r="L3808" s="71" t="s">
        <v>2272</v>
      </c>
      <c r="M3808" s="71" t="s">
        <v>2272</v>
      </c>
      <c r="N3808" s="71" t="s">
        <v>2272</v>
      </c>
      <c r="O3808" s="71" t="s">
        <v>2272</v>
      </c>
      <c r="P3808" s="71" t="s">
        <v>2272</v>
      </c>
      <c r="Q3808" s="71" t="s">
        <v>2272</v>
      </c>
      <c r="R3808" s="71" t="s">
        <v>2272</v>
      </c>
      <c r="S3808" s="71" t="s">
        <v>2272</v>
      </c>
      <c r="T3808" s="71" t="s">
        <v>2272</v>
      </c>
      <c r="U3808" s="21">
        <f>0.0005*'Record info'!K1533*100</f>
        <v>464.66</v>
      </c>
      <c r="V3808" s="71" t="s">
        <v>2272</v>
      </c>
      <c r="W3808" s="21">
        <f>$U3808/('Record info'!$K1533*'Land use'!$R1533/100)/30</f>
        <v>1.7831872832105966E-3</v>
      </c>
      <c r="X3808" s="71" t="s">
        <v>2272</v>
      </c>
      <c r="Y3808" s="21">
        <f>$U3808/('Record info'!$K1533)/30</f>
        <v>1.6666666666666666E-3</v>
      </c>
      <c r="Z3808" s="71" t="s">
        <v>2272</v>
      </c>
      <c r="AA3808" s="71" t="s">
        <v>2272</v>
      </c>
      <c r="AB3808" s="71" t="s">
        <v>2272</v>
      </c>
      <c r="AC3808" s="71" t="s">
        <v>2272</v>
      </c>
      <c r="AD3808" s="198"/>
      <c r="AE3808" s="198"/>
    </row>
    <row r="3809" spans="1:31" ht="50.5" customHeight="1">
      <c r="A3809" s="198" t="s">
        <v>9752</v>
      </c>
      <c r="B3809" s="198" t="s">
        <v>9794</v>
      </c>
      <c r="C3809" s="198" t="s">
        <v>2453</v>
      </c>
      <c r="D3809" s="198" t="s">
        <v>2272</v>
      </c>
      <c r="E3809" s="198" t="s">
        <v>2272</v>
      </c>
      <c r="F3809" s="4" t="s">
        <v>73</v>
      </c>
      <c r="G3809" s="4" t="s">
        <v>73</v>
      </c>
      <c r="H3809" s="4" t="s">
        <v>521</v>
      </c>
      <c r="I3809" s="198"/>
      <c r="J3809" s="71" t="s">
        <v>2272</v>
      </c>
      <c r="K3809" s="71" t="s">
        <v>2272</v>
      </c>
      <c r="L3809" s="71" t="s">
        <v>2272</v>
      </c>
      <c r="M3809" s="71" t="s">
        <v>2272</v>
      </c>
      <c r="N3809" s="71" t="s">
        <v>2272</v>
      </c>
      <c r="O3809" s="71" t="s">
        <v>2272</v>
      </c>
      <c r="P3809" s="71" t="s">
        <v>2272</v>
      </c>
      <c r="Q3809" s="71" t="s">
        <v>2272</v>
      </c>
      <c r="R3809" s="71" t="s">
        <v>2272</v>
      </c>
      <c r="S3809" s="71" t="s">
        <v>2272</v>
      </c>
      <c r="T3809" s="71" t="s">
        <v>2272</v>
      </c>
      <c r="U3809" s="21">
        <f>0.0059*'Record info'!K1534*100</f>
        <v>3442.355</v>
      </c>
      <c r="V3809" s="71" t="s">
        <v>2272</v>
      </c>
      <c r="W3809" s="21">
        <f>$U3809/('Record info'!$K1534*'Land use'!$R1534/100)/30</f>
        <v>2.1219378161273453E-2</v>
      </c>
      <c r="X3809" s="71" t="s">
        <v>2272</v>
      </c>
      <c r="Y3809" s="21">
        <f>$U3809/('Record info'!$K1534)/30</f>
        <v>1.9666666666666666E-2</v>
      </c>
      <c r="Z3809" s="71" t="s">
        <v>2272</v>
      </c>
      <c r="AA3809" s="71" t="s">
        <v>2272</v>
      </c>
      <c r="AB3809" s="71" t="s">
        <v>2272</v>
      </c>
      <c r="AC3809" s="71" t="s">
        <v>2272</v>
      </c>
      <c r="AD3809" s="198"/>
      <c r="AE3809" s="198"/>
    </row>
    <row r="3810" spans="1:31" ht="50.5" customHeight="1">
      <c r="A3810" s="198" t="s">
        <v>9753</v>
      </c>
      <c r="B3810" s="198" t="s">
        <v>9795</v>
      </c>
      <c r="C3810" s="198" t="s">
        <v>2453</v>
      </c>
      <c r="D3810" s="198" t="s">
        <v>2272</v>
      </c>
      <c r="E3810" s="198" t="s">
        <v>2272</v>
      </c>
      <c r="F3810" s="4" t="s">
        <v>73</v>
      </c>
      <c r="G3810" s="4" t="s">
        <v>73</v>
      </c>
      <c r="H3810" s="4" t="s">
        <v>521</v>
      </c>
      <c r="I3810" s="198"/>
      <c r="J3810" s="71" t="s">
        <v>2272</v>
      </c>
      <c r="K3810" s="71" t="s">
        <v>2272</v>
      </c>
      <c r="L3810" s="71" t="s">
        <v>2272</v>
      </c>
      <c r="M3810" s="71" t="s">
        <v>2272</v>
      </c>
      <c r="N3810" s="71" t="s">
        <v>2272</v>
      </c>
      <c r="O3810" s="71" t="s">
        <v>2272</v>
      </c>
      <c r="P3810" s="71" t="s">
        <v>2272</v>
      </c>
      <c r="Q3810" s="71" t="s">
        <v>2272</v>
      </c>
      <c r="R3810" s="71" t="s">
        <v>2272</v>
      </c>
      <c r="S3810" s="71" t="s">
        <v>2272</v>
      </c>
      <c r="T3810" s="71" t="s">
        <v>2272</v>
      </c>
      <c r="U3810" s="21">
        <f>0.0451*'Record info'!K1535*100</f>
        <v>19659.541000000001</v>
      </c>
      <c r="V3810" s="71" t="s">
        <v>2272</v>
      </c>
      <c r="W3810" s="21">
        <f>$U3810/('Record info'!$K1535*'Land use'!$R1535/100)/30</f>
        <v>0.16390715935007544</v>
      </c>
      <c r="X3810" s="71" t="s">
        <v>2272</v>
      </c>
      <c r="Y3810" s="21">
        <f>$U3810/('Record info'!$K1535)/30</f>
        <v>0.15033333333333332</v>
      </c>
      <c r="Z3810" s="71" t="s">
        <v>2272</v>
      </c>
      <c r="AA3810" s="71" t="s">
        <v>2272</v>
      </c>
      <c r="AB3810" s="71" t="s">
        <v>2272</v>
      </c>
      <c r="AC3810" s="71" t="s">
        <v>2272</v>
      </c>
      <c r="AD3810" s="198"/>
      <c r="AE3810" s="198"/>
    </row>
    <row r="3811" spans="1:31" ht="50.5" customHeight="1">
      <c r="A3811" s="198" t="s">
        <v>9754</v>
      </c>
      <c r="B3811" s="198" t="s">
        <v>9796</v>
      </c>
      <c r="C3811" s="198" t="s">
        <v>2453</v>
      </c>
      <c r="D3811" s="198" t="s">
        <v>2272</v>
      </c>
      <c r="E3811" s="198" t="s">
        <v>2272</v>
      </c>
      <c r="F3811" s="4" t="s">
        <v>73</v>
      </c>
      <c r="G3811" s="4" t="s">
        <v>73</v>
      </c>
      <c r="H3811" s="4" t="s">
        <v>521</v>
      </c>
      <c r="I3811" s="198"/>
      <c r="J3811" s="71" t="s">
        <v>2272</v>
      </c>
      <c r="K3811" s="71" t="s">
        <v>2272</v>
      </c>
      <c r="L3811" s="71" t="s">
        <v>2272</v>
      </c>
      <c r="M3811" s="71" t="s">
        <v>2272</v>
      </c>
      <c r="N3811" s="71" t="s">
        <v>2272</v>
      </c>
      <c r="O3811" s="71" t="s">
        <v>2272</v>
      </c>
      <c r="P3811" s="71" t="s">
        <v>2272</v>
      </c>
      <c r="Q3811" s="71" t="s">
        <v>2272</v>
      </c>
      <c r="R3811" s="71" t="s">
        <v>2272</v>
      </c>
      <c r="S3811" s="71" t="s">
        <v>2272</v>
      </c>
      <c r="T3811" s="71" t="s">
        <v>2272</v>
      </c>
      <c r="U3811" s="21">
        <f>0.0068*'Record info'!K1536*100</f>
        <v>4771.2879999999996</v>
      </c>
      <c r="V3811" s="71" t="s">
        <v>2272</v>
      </c>
      <c r="W3811" s="21">
        <f>$U3811/('Record info'!$K1536*'Land use'!$R1536/100)/30</f>
        <v>2.5101433446811688E-2</v>
      </c>
      <c r="X3811" s="71" t="s">
        <v>2272</v>
      </c>
      <c r="Y3811" s="21">
        <f>$U3811/('Record info'!$K1536)/30</f>
        <v>2.2666666666666665E-2</v>
      </c>
      <c r="Z3811" s="71" t="s">
        <v>2272</v>
      </c>
      <c r="AA3811" s="71" t="s">
        <v>2272</v>
      </c>
      <c r="AB3811" s="71" t="s">
        <v>2272</v>
      </c>
      <c r="AC3811" s="71" t="s">
        <v>2272</v>
      </c>
      <c r="AD3811" s="198"/>
      <c r="AE3811" s="198"/>
    </row>
    <row r="3812" spans="1:31" ht="50.5" customHeight="1">
      <c r="A3812" s="198" t="s">
        <v>9755</v>
      </c>
      <c r="B3812" s="198" t="s">
        <v>9797</v>
      </c>
      <c r="C3812" s="198" t="s">
        <v>2453</v>
      </c>
      <c r="D3812" s="198" t="s">
        <v>2272</v>
      </c>
      <c r="E3812" s="198" t="s">
        <v>2272</v>
      </c>
      <c r="F3812" s="4" t="s">
        <v>73</v>
      </c>
      <c r="G3812" s="4" t="s">
        <v>73</v>
      </c>
      <c r="H3812" s="4" t="s">
        <v>521</v>
      </c>
      <c r="I3812" s="198"/>
      <c r="J3812" s="71" t="s">
        <v>2272</v>
      </c>
      <c r="K3812" s="71" t="s">
        <v>2272</v>
      </c>
      <c r="L3812" s="71" t="s">
        <v>2272</v>
      </c>
      <c r="M3812" s="71" t="s">
        <v>2272</v>
      </c>
      <c r="N3812" s="71" t="s">
        <v>2272</v>
      </c>
      <c r="O3812" s="71" t="s">
        <v>2272</v>
      </c>
      <c r="P3812" s="71" t="s">
        <v>2272</v>
      </c>
      <c r="Q3812" s="71" t="s">
        <v>2272</v>
      </c>
      <c r="R3812" s="71" t="s">
        <v>2272</v>
      </c>
      <c r="S3812" s="71" t="s">
        <v>2272</v>
      </c>
      <c r="T3812" s="71" t="s">
        <v>2272</v>
      </c>
      <c r="U3812" s="21">
        <f>0.029*'Record info'!K1537*100</f>
        <v>150632.09</v>
      </c>
      <c r="V3812" s="71" t="s">
        <v>2272</v>
      </c>
      <c r="W3812" s="21">
        <f>$U3812/('Record info'!$K1537*'Land use'!$R1537/100)/30</f>
        <v>0.1089613006484348</v>
      </c>
      <c r="X3812" s="71" t="s">
        <v>2272</v>
      </c>
      <c r="Y3812" s="21">
        <f>$U3812/('Record info'!$K1537)/30</f>
        <v>9.6666666666666665E-2</v>
      </c>
      <c r="Z3812" s="71" t="s">
        <v>2272</v>
      </c>
      <c r="AA3812" s="71" t="s">
        <v>2272</v>
      </c>
      <c r="AB3812" s="71" t="s">
        <v>2272</v>
      </c>
      <c r="AC3812" s="71" t="s">
        <v>2272</v>
      </c>
      <c r="AD3812" s="198"/>
      <c r="AE3812" s="198"/>
    </row>
    <row r="3813" spans="1:31" ht="50.5" customHeight="1">
      <c r="A3813" s="198" t="s">
        <v>9756</v>
      </c>
      <c r="B3813" s="198" t="s">
        <v>9798</v>
      </c>
      <c r="C3813" s="198" t="s">
        <v>2453</v>
      </c>
      <c r="D3813" s="198" t="s">
        <v>2272</v>
      </c>
      <c r="E3813" s="198" t="s">
        <v>2272</v>
      </c>
      <c r="F3813" s="4" t="s">
        <v>73</v>
      </c>
      <c r="G3813" s="4" t="s">
        <v>73</v>
      </c>
      <c r="H3813" s="4" t="s">
        <v>521</v>
      </c>
      <c r="I3813" s="198"/>
      <c r="J3813" s="71" t="s">
        <v>2272</v>
      </c>
      <c r="K3813" s="71" t="s">
        <v>2272</v>
      </c>
      <c r="L3813" s="71" t="s">
        <v>2272</v>
      </c>
      <c r="M3813" s="71" t="s">
        <v>2272</v>
      </c>
      <c r="N3813" s="71" t="s">
        <v>2272</v>
      </c>
      <c r="O3813" s="71" t="s">
        <v>2272</v>
      </c>
      <c r="P3813" s="71" t="s">
        <v>2272</v>
      </c>
      <c r="Q3813" s="71" t="s">
        <v>2272</v>
      </c>
      <c r="R3813" s="71" t="s">
        <v>2272</v>
      </c>
      <c r="S3813" s="71" t="s">
        <v>2272</v>
      </c>
      <c r="T3813" s="71" t="s">
        <v>2272</v>
      </c>
      <c r="U3813" s="21">
        <f>0.0002*'Record info'!K1538*100</f>
        <v>504.46199999999999</v>
      </c>
      <c r="V3813" s="71" t="s">
        <v>2272</v>
      </c>
      <c r="W3813" s="21">
        <f>$U3813/('Record info'!$K1538*'Land use'!$R1538/100)/30</f>
        <v>7.3876842785778284E-4</v>
      </c>
      <c r="X3813" s="71" t="s">
        <v>2272</v>
      </c>
      <c r="Y3813" s="21">
        <f>$U3813/('Record info'!$K1538)/30</f>
        <v>6.6666666666666664E-4</v>
      </c>
      <c r="Z3813" s="71" t="s">
        <v>2272</v>
      </c>
      <c r="AA3813" s="71" t="s">
        <v>2272</v>
      </c>
      <c r="AB3813" s="71" t="s">
        <v>2272</v>
      </c>
      <c r="AC3813" s="71" t="s">
        <v>2272</v>
      </c>
      <c r="AD3813" s="198"/>
      <c r="AE3813" s="198"/>
    </row>
    <row r="3814" spans="1:31" ht="50.5" customHeight="1">
      <c r="A3814" s="198" t="s">
        <v>9757</v>
      </c>
      <c r="B3814" s="198" t="s">
        <v>9799</v>
      </c>
      <c r="C3814" s="198" t="s">
        <v>2453</v>
      </c>
      <c r="D3814" s="198" t="s">
        <v>2272</v>
      </c>
      <c r="E3814" s="198" t="s">
        <v>2272</v>
      </c>
      <c r="F3814" s="4" t="s">
        <v>73</v>
      </c>
      <c r="G3814" s="4" t="s">
        <v>73</v>
      </c>
      <c r="H3814" s="4" t="s">
        <v>521</v>
      </c>
      <c r="I3814" s="198"/>
      <c r="J3814" s="71" t="s">
        <v>2272</v>
      </c>
      <c r="K3814" s="71" t="s">
        <v>2272</v>
      </c>
      <c r="L3814" s="71" t="s">
        <v>2272</v>
      </c>
      <c r="M3814" s="71" t="s">
        <v>2272</v>
      </c>
      <c r="N3814" s="71" t="s">
        <v>2272</v>
      </c>
      <c r="O3814" s="71" t="s">
        <v>2272</v>
      </c>
      <c r="P3814" s="71" t="s">
        <v>2272</v>
      </c>
      <c r="Q3814" s="71" t="s">
        <v>2272</v>
      </c>
      <c r="R3814" s="71" t="s">
        <v>2272</v>
      </c>
      <c r="S3814" s="71" t="s">
        <v>2272</v>
      </c>
      <c r="T3814" s="71" t="s">
        <v>2272</v>
      </c>
      <c r="U3814" s="21">
        <f>0.0101*'Record info'!K1539*100</f>
        <v>24059.412</v>
      </c>
      <c r="V3814" s="71" t="s">
        <v>2272</v>
      </c>
      <c r="W3814" s="21">
        <f>$U3814/('Record info'!$K1539*'Land use'!$R1539/100)/30</f>
        <v>3.8509141222762347E-2</v>
      </c>
      <c r="X3814" s="71" t="s">
        <v>2272</v>
      </c>
      <c r="Y3814" s="21">
        <f>$U3814/('Record info'!$K1539)/30</f>
        <v>3.3666666666666664E-2</v>
      </c>
      <c r="Z3814" s="71" t="s">
        <v>2272</v>
      </c>
      <c r="AA3814" s="71" t="s">
        <v>2272</v>
      </c>
      <c r="AB3814" s="71" t="s">
        <v>2272</v>
      </c>
      <c r="AC3814" s="71" t="s">
        <v>2272</v>
      </c>
      <c r="AD3814" s="198"/>
      <c r="AE3814" s="198"/>
    </row>
    <row r="3815" spans="1:31" ht="50.5" customHeight="1">
      <c r="A3815" s="198" t="s">
        <v>9758</v>
      </c>
      <c r="B3815" s="198" t="s">
        <v>9800</v>
      </c>
      <c r="C3815" s="198" t="s">
        <v>2453</v>
      </c>
      <c r="D3815" s="198" t="s">
        <v>2272</v>
      </c>
      <c r="E3815" s="198" t="s">
        <v>2272</v>
      </c>
      <c r="F3815" s="4" t="s">
        <v>73</v>
      </c>
      <c r="G3815" s="4" t="s">
        <v>73</v>
      </c>
      <c r="H3815" s="4" t="s">
        <v>521</v>
      </c>
      <c r="I3815" s="198"/>
      <c r="J3815" s="71" t="s">
        <v>2272</v>
      </c>
      <c r="K3815" s="71" t="s">
        <v>2272</v>
      </c>
      <c r="L3815" s="71" t="s">
        <v>2272</v>
      </c>
      <c r="M3815" s="71" t="s">
        <v>2272</v>
      </c>
      <c r="N3815" s="71" t="s">
        <v>2272</v>
      </c>
      <c r="O3815" s="71" t="s">
        <v>2272</v>
      </c>
      <c r="P3815" s="71" t="s">
        <v>2272</v>
      </c>
      <c r="Q3815" s="71" t="s">
        <v>2272</v>
      </c>
      <c r="R3815" s="71" t="s">
        <v>2272</v>
      </c>
      <c r="S3815" s="71" t="s">
        <v>2272</v>
      </c>
      <c r="T3815" s="71" t="s">
        <v>2272</v>
      </c>
      <c r="U3815" s="21">
        <f>0.00019*'Record info'!K1540*100</f>
        <v>215.64430000000004</v>
      </c>
      <c r="V3815" s="71" t="s">
        <v>2272</v>
      </c>
      <c r="W3815" s="21">
        <f>$U3815/('Record info'!$K1540*'Land use'!$R1540/100)/30</f>
        <v>7.333437054985229E-4</v>
      </c>
      <c r="X3815" s="71" t="s">
        <v>2272</v>
      </c>
      <c r="Y3815" s="21">
        <f>$U3815/('Record info'!$K1540)/30</f>
        <v>6.333333333333334E-4</v>
      </c>
      <c r="Z3815" s="71" t="s">
        <v>2272</v>
      </c>
      <c r="AA3815" s="71" t="s">
        <v>2272</v>
      </c>
      <c r="AB3815" s="71" t="s">
        <v>2272</v>
      </c>
      <c r="AC3815" s="71" t="s">
        <v>2272</v>
      </c>
      <c r="AD3815" s="198"/>
      <c r="AE3815" s="198"/>
    </row>
    <row r="3816" spans="1:31" ht="50.5" customHeight="1">
      <c r="A3816" s="198" t="s">
        <v>9759</v>
      </c>
      <c r="B3816" s="198" t="s">
        <v>9801</v>
      </c>
      <c r="C3816" s="198" t="s">
        <v>2453</v>
      </c>
      <c r="D3816" s="198" t="s">
        <v>2272</v>
      </c>
      <c r="E3816" s="198" t="s">
        <v>2272</v>
      </c>
      <c r="F3816" s="4" t="s">
        <v>73</v>
      </c>
      <c r="G3816" s="4" t="s">
        <v>73</v>
      </c>
      <c r="H3816" s="4" t="s">
        <v>521</v>
      </c>
      <c r="I3816" s="198"/>
      <c r="J3816" s="71" t="s">
        <v>2272</v>
      </c>
      <c r="K3816" s="71" t="s">
        <v>2272</v>
      </c>
      <c r="L3816" s="71" t="s">
        <v>2272</v>
      </c>
      <c r="M3816" s="71" t="s">
        <v>2272</v>
      </c>
      <c r="N3816" s="71" t="s">
        <v>2272</v>
      </c>
      <c r="O3816" s="71" t="s">
        <v>2272</v>
      </c>
      <c r="P3816" s="71" t="s">
        <v>2272</v>
      </c>
      <c r="Q3816" s="71" t="s">
        <v>2272</v>
      </c>
      <c r="R3816" s="71" t="s">
        <v>2272</v>
      </c>
      <c r="S3816" s="71" t="s">
        <v>2272</v>
      </c>
      <c r="T3816" s="71" t="s">
        <v>2272</v>
      </c>
      <c r="U3816" s="21">
        <f>0.0106*'Record info'!K1541*100</f>
        <v>19015.552</v>
      </c>
      <c r="V3816" s="71" t="s">
        <v>2272</v>
      </c>
      <c r="W3816" s="21">
        <f>$U3816/('Record info'!$K1541*'Land use'!$R1541/100)/30</f>
        <v>3.8846321243724426E-2</v>
      </c>
      <c r="X3816" s="71" t="s">
        <v>2272</v>
      </c>
      <c r="Y3816" s="21">
        <f>$U3816/('Record info'!$K1541)/30</f>
        <v>3.5333333333333328E-2</v>
      </c>
      <c r="Z3816" s="71" t="s">
        <v>2272</v>
      </c>
      <c r="AA3816" s="71" t="s">
        <v>2272</v>
      </c>
      <c r="AB3816" s="71" t="s">
        <v>2272</v>
      </c>
      <c r="AC3816" s="71" t="s">
        <v>2272</v>
      </c>
      <c r="AD3816" s="198"/>
      <c r="AE3816" s="198"/>
    </row>
    <row r="3817" spans="1:31" ht="50.5" customHeight="1">
      <c r="A3817" s="198" t="s">
        <v>9760</v>
      </c>
      <c r="B3817" s="198" t="s">
        <v>9802</v>
      </c>
      <c r="C3817" s="198" t="s">
        <v>2453</v>
      </c>
      <c r="D3817" s="198" t="s">
        <v>2272</v>
      </c>
      <c r="E3817" s="198" t="s">
        <v>2272</v>
      </c>
      <c r="F3817" s="4" t="s">
        <v>73</v>
      </c>
      <c r="G3817" s="4" t="s">
        <v>73</v>
      </c>
      <c r="H3817" s="4" t="s">
        <v>521</v>
      </c>
      <c r="I3817" s="198"/>
      <c r="J3817" s="71" t="s">
        <v>2272</v>
      </c>
      <c r="K3817" s="71" t="s">
        <v>2272</v>
      </c>
      <c r="L3817" s="71" t="s">
        <v>2272</v>
      </c>
      <c r="M3817" s="71" t="s">
        <v>2272</v>
      </c>
      <c r="N3817" s="71" t="s">
        <v>2272</v>
      </c>
      <c r="O3817" s="71" t="s">
        <v>2272</v>
      </c>
      <c r="P3817" s="71" t="s">
        <v>2272</v>
      </c>
      <c r="Q3817" s="71" t="s">
        <v>2272</v>
      </c>
      <c r="R3817" s="71" t="s">
        <v>2272</v>
      </c>
      <c r="S3817" s="71" t="s">
        <v>2272</v>
      </c>
      <c r="T3817" s="71" t="s">
        <v>2272</v>
      </c>
      <c r="U3817" s="21">
        <f>0.0184*'Record info'!K1542*100</f>
        <v>48609.120000000003</v>
      </c>
      <c r="V3817" s="71" t="s">
        <v>2272</v>
      </c>
      <c r="W3817" s="21">
        <f>$U3817/('Record info'!$K1542*'Land use'!$R1542/100)/30</f>
        <v>7.0018527661312183E-2</v>
      </c>
      <c r="X3817" s="71" t="s">
        <v>2272</v>
      </c>
      <c r="Y3817" s="21">
        <f>$U3817/('Record info'!$K1542)/30</f>
        <v>6.1333333333333337E-2</v>
      </c>
      <c r="Z3817" s="71" t="s">
        <v>2272</v>
      </c>
      <c r="AA3817" s="71" t="s">
        <v>2272</v>
      </c>
      <c r="AB3817" s="71" t="s">
        <v>2272</v>
      </c>
      <c r="AC3817" s="71" t="s">
        <v>2272</v>
      </c>
      <c r="AD3817" s="198"/>
      <c r="AE3817" s="198"/>
    </row>
    <row r="3818" spans="1:31" ht="50.5" customHeight="1">
      <c r="A3818" s="198" t="s">
        <v>9761</v>
      </c>
      <c r="B3818" s="198" t="s">
        <v>9803</v>
      </c>
      <c r="C3818" s="198" t="s">
        <v>2453</v>
      </c>
      <c r="D3818" s="198" t="s">
        <v>2272</v>
      </c>
      <c r="E3818" s="198" t="s">
        <v>2272</v>
      </c>
      <c r="F3818" s="4" t="s">
        <v>73</v>
      </c>
      <c r="G3818" s="4" t="s">
        <v>73</v>
      </c>
      <c r="H3818" s="4" t="s">
        <v>521</v>
      </c>
      <c r="I3818" s="198"/>
      <c r="J3818" s="71" t="s">
        <v>2272</v>
      </c>
      <c r="K3818" s="71" t="s">
        <v>2272</v>
      </c>
      <c r="L3818" s="71" t="s">
        <v>2272</v>
      </c>
      <c r="M3818" s="71" t="s">
        <v>2272</v>
      </c>
      <c r="N3818" s="71" t="s">
        <v>2272</v>
      </c>
      <c r="O3818" s="71" t="s">
        <v>2272</v>
      </c>
      <c r="P3818" s="71" t="s">
        <v>2272</v>
      </c>
      <c r="Q3818" s="71" t="s">
        <v>2272</v>
      </c>
      <c r="R3818" s="71" t="s">
        <v>2272</v>
      </c>
      <c r="S3818" s="71" t="s">
        <v>2272</v>
      </c>
      <c r="T3818" s="71" t="s">
        <v>2272</v>
      </c>
      <c r="U3818" s="21">
        <f>0.0049*'Record info'!K1543*100</f>
        <v>11854.618999999999</v>
      </c>
      <c r="V3818" s="71" t="s">
        <v>2272</v>
      </c>
      <c r="W3818" s="21">
        <f>$U3818/('Record info'!$K1543*'Land use'!$R1543/100)/30</f>
        <v>1.8208429552731761E-2</v>
      </c>
      <c r="X3818" s="71" t="s">
        <v>2272</v>
      </c>
      <c r="Y3818" s="21">
        <f>$U3818/('Record info'!$K1543)/30</f>
        <v>1.6333333333333332E-2</v>
      </c>
      <c r="Z3818" s="71" t="s">
        <v>2272</v>
      </c>
      <c r="AA3818" s="71" t="s">
        <v>2272</v>
      </c>
      <c r="AB3818" s="71" t="s">
        <v>2272</v>
      </c>
      <c r="AC3818" s="71" t="s">
        <v>2272</v>
      </c>
      <c r="AD3818" s="198"/>
      <c r="AE3818" s="198"/>
    </row>
    <row r="3819" spans="1:31" ht="50.5" customHeight="1">
      <c r="A3819" s="198" t="s">
        <v>9762</v>
      </c>
      <c r="B3819" s="198" t="s">
        <v>9804</v>
      </c>
      <c r="C3819" s="198" t="s">
        <v>2453</v>
      </c>
      <c r="D3819" s="198" t="s">
        <v>2272</v>
      </c>
      <c r="E3819" s="198" t="s">
        <v>2272</v>
      </c>
      <c r="F3819" s="4" t="s">
        <v>73</v>
      </c>
      <c r="G3819" s="4" t="s">
        <v>73</v>
      </c>
      <c r="H3819" s="4" t="s">
        <v>521</v>
      </c>
      <c r="I3819" s="198"/>
      <c r="J3819" s="71" t="s">
        <v>2272</v>
      </c>
      <c r="K3819" s="71" t="s">
        <v>2272</v>
      </c>
      <c r="L3819" s="71" t="s">
        <v>2272</v>
      </c>
      <c r="M3819" s="71" t="s">
        <v>2272</v>
      </c>
      <c r="N3819" s="71" t="s">
        <v>2272</v>
      </c>
      <c r="O3819" s="71" t="s">
        <v>2272</v>
      </c>
      <c r="P3819" s="71" t="s">
        <v>2272</v>
      </c>
      <c r="Q3819" s="71" t="s">
        <v>2272</v>
      </c>
      <c r="R3819" s="71" t="s">
        <v>2272</v>
      </c>
      <c r="S3819" s="71" t="s">
        <v>2272</v>
      </c>
      <c r="T3819" s="71" t="s">
        <v>2272</v>
      </c>
      <c r="U3819" s="21">
        <f>0.0036*'Record info'!K1544*100</f>
        <v>8536.3559999999998</v>
      </c>
      <c r="V3819" s="71" t="s">
        <v>2272</v>
      </c>
      <c r="W3819" s="21">
        <f>$U3819/('Record info'!$K1544*'Land use'!$R1544/100)/30</f>
        <v>1.3010879391160133E-2</v>
      </c>
      <c r="X3819" s="71" t="s">
        <v>2272</v>
      </c>
      <c r="Y3819" s="21">
        <f>$U3819/('Record info'!$K1544)/30</f>
        <v>1.2E-2</v>
      </c>
      <c r="Z3819" s="71" t="s">
        <v>2272</v>
      </c>
      <c r="AA3819" s="71" t="s">
        <v>2272</v>
      </c>
      <c r="AB3819" s="71" t="s">
        <v>2272</v>
      </c>
      <c r="AC3819" s="71" t="s">
        <v>2272</v>
      </c>
      <c r="AD3819" s="198"/>
      <c r="AE3819" s="198"/>
    </row>
    <row r="3820" spans="1:31" ht="50.5" customHeight="1">
      <c r="A3820" s="198" t="s">
        <v>9763</v>
      </c>
      <c r="B3820" s="198" t="s">
        <v>9805</v>
      </c>
      <c r="C3820" s="198" t="s">
        <v>2453</v>
      </c>
      <c r="D3820" s="198" t="s">
        <v>2272</v>
      </c>
      <c r="E3820" s="198" t="s">
        <v>2272</v>
      </c>
      <c r="F3820" s="4" t="s">
        <v>73</v>
      </c>
      <c r="G3820" s="4" t="s">
        <v>73</v>
      </c>
      <c r="H3820" s="4" t="s">
        <v>521</v>
      </c>
      <c r="I3820" s="198"/>
      <c r="J3820" s="71" t="s">
        <v>2272</v>
      </c>
      <c r="K3820" s="71" t="s">
        <v>2272</v>
      </c>
      <c r="L3820" s="71" t="s">
        <v>2272</v>
      </c>
      <c r="M3820" s="71" t="s">
        <v>2272</v>
      </c>
      <c r="N3820" s="71" t="s">
        <v>2272</v>
      </c>
      <c r="O3820" s="71" t="s">
        <v>2272</v>
      </c>
      <c r="P3820" s="71" t="s">
        <v>2272</v>
      </c>
      <c r="Q3820" s="71" t="s">
        <v>2272</v>
      </c>
      <c r="R3820" s="71" t="s">
        <v>2272</v>
      </c>
      <c r="S3820" s="71" t="s">
        <v>2272</v>
      </c>
      <c r="T3820" s="71" t="s">
        <v>2272</v>
      </c>
      <c r="U3820" s="21">
        <f>0.0058*'Record info'!K1545*100</f>
        <v>18011.725999999999</v>
      </c>
      <c r="V3820" s="71" t="s">
        <v>2272</v>
      </c>
      <c r="W3820" s="21">
        <f>$U3820/('Record info'!$K1545*'Land use'!$R1545/100)/30</f>
        <v>2.1466957283060892E-2</v>
      </c>
      <c r="X3820" s="71" t="s">
        <v>2272</v>
      </c>
      <c r="Y3820" s="21">
        <f>$U3820/('Record info'!$K1545)/30</f>
        <v>1.9333333333333331E-2</v>
      </c>
      <c r="Z3820" s="71" t="s">
        <v>2272</v>
      </c>
      <c r="AA3820" s="71" t="s">
        <v>2272</v>
      </c>
      <c r="AB3820" s="71" t="s">
        <v>2272</v>
      </c>
      <c r="AC3820" s="71" t="s">
        <v>2272</v>
      </c>
      <c r="AD3820" s="198"/>
      <c r="AE3820" s="198"/>
    </row>
    <row r="3821" spans="1:31" ht="50.5" customHeight="1">
      <c r="A3821" s="198" t="s">
        <v>9764</v>
      </c>
      <c r="B3821" s="198" t="s">
        <v>9806</v>
      </c>
      <c r="C3821" s="198" t="s">
        <v>2453</v>
      </c>
      <c r="D3821" s="198" t="s">
        <v>2272</v>
      </c>
      <c r="E3821" s="198" t="s">
        <v>2272</v>
      </c>
      <c r="F3821" s="4" t="s">
        <v>73</v>
      </c>
      <c r="G3821" s="4" t="s">
        <v>73</v>
      </c>
      <c r="H3821" s="4" t="s">
        <v>522</v>
      </c>
      <c r="I3821" s="198"/>
      <c r="J3821" s="21">
        <v>0</v>
      </c>
      <c r="K3821" s="21">
        <v>0</v>
      </c>
      <c r="L3821" s="21">
        <v>0</v>
      </c>
      <c r="M3821" s="21">
        <v>0</v>
      </c>
      <c r="N3821" s="21">
        <v>0</v>
      </c>
      <c r="O3821" s="21">
        <v>0</v>
      </c>
      <c r="P3821" s="21">
        <v>0</v>
      </c>
      <c r="Q3821" s="21">
        <v>0</v>
      </c>
      <c r="R3821" s="21">
        <v>0</v>
      </c>
      <c r="S3821" s="21">
        <v>0</v>
      </c>
      <c r="T3821" s="21">
        <v>0</v>
      </c>
      <c r="U3821" s="21">
        <v>0</v>
      </c>
      <c r="V3821" s="21">
        <v>0</v>
      </c>
      <c r="W3821" s="21">
        <v>0</v>
      </c>
      <c r="X3821" s="21">
        <v>0</v>
      </c>
      <c r="Y3821" s="21">
        <v>0</v>
      </c>
      <c r="Z3821" s="71" t="s">
        <v>2272</v>
      </c>
      <c r="AA3821" s="71" t="s">
        <v>2272</v>
      </c>
      <c r="AB3821" s="71" t="s">
        <v>2272</v>
      </c>
      <c r="AC3821" s="71" t="s">
        <v>2272</v>
      </c>
      <c r="AD3821" s="198"/>
      <c r="AE3821" s="198"/>
    </row>
    <row r="3822" spans="1:31" ht="50.5" customHeight="1">
      <c r="A3822" s="198" t="s">
        <v>9765</v>
      </c>
      <c r="B3822" s="198" t="s">
        <v>9807</v>
      </c>
      <c r="C3822" s="198" t="s">
        <v>2453</v>
      </c>
      <c r="D3822" s="198" t="s">
        <v>2272</v>
      </c>
      <c r="E3822" s="198" t="s">
        <v>2272</v>
      </c>
      <c r="F3822" s="4" t="s">
        <v>73</v>
      </c>
      <c r="G3822" s="4" t="s">
        <v>73</v>
      </c>
      <c r="H3822" s="4" t="s">
        <v>521</v>
      </c>
      <c r="I3822" s="198"/>
      <c r="J3822" s="71" t="s">
        <v>2272</v>
      </c>
      <c r="K3822" s="71" t="s">
        <v>2272</v>
      </c>
      <c r="L3822" s="71" t="s">
        <v>2272</v>
      </c>
      <c r="M3822" s="71" t="s">
        <v>2272</v>
      </c>
      <c r="N3822" s="71" t="s">
        <v>2272</v>
      </c>
      <c r="O3822" s="71" t="s">
        <v>2272</v>
      </c>
      <c r="P3822" s="71" t="s">
        <v>2272</v>
      </c>
      <c r="Q3822" s="71" t="s">
        <v>2272</v>
      </c>
      <c r="R3822" s="71" t="s">
        <v>2272</v>
      </c>
      <c r="S3822" s="71" t="s">
        <v>2272</v>
      </c>
      <c r="T3822" s="71" t="s">
        <v>2272</v>
      </c>
      <c r="U3822" s="21">
        <f>0.0085*'Record info'!K1547*100</f>
        <v>6975.1850000000004</v>
      </c>
      <c r="V3822" s="71" t="s">
        <v>2272</v>
      </c>
      <c r="W3822" s="21">
        <f>$U3822/('Record info'!$K1547*'Land use'!$R1547/100)/30</f>
        <v>3.8494047929475257E-2</v>
      </c>
      <c r="X3822" s="71" t="s">
        <v>2272</v>
      </c>
      <c r="Y3822" s="21">
        <f>$U3822/('Record info'!$K1547)/30</f>
        <v>2.8333333333333332E-2</v>
      </c>
      <c r="Z3822" s="71" t="s">
        <v>2272</v>
      </c>
      <c r="AA3822" s="71" t="s">
        <v>2272</v>
      </c>
      <c r="AB3822" s="71" t="s">
        <v>2272</v>
      </c>
      <c r="AC3822" s="71" t="s">
        <v>2272</v>
      </c>
      <c r="AD3822" s="198"/>
      <c r="AE3822" s="198"/>
    </row>
    <row r="3823" spans="1:31" ht="50.5" customHeight="1">
      <c r="A3823" s="198" t="s">
        <v>9766</v>
      </c>
      <c r="B3823" s="198" t="s">
        <v>9808</v>
      </c>
      <c r="C3823" s="198" t="s">
        <v>2453</v>
      </c>
      <c r="D3823" s="198" t="s">
        <v>2272</v>
      </c>
      <c r="E3823" s="198" t="s">
        <v>2272</v>
      </c>
      <c r="F3823" s="4" t="s">
        <v>73</v>
      </c>
      <c r="G3823" s="4" t="s">
        <v>73</v>
      </c>
      <c r="H3823" s="4" t="s">
        <v>522</v>
      </c>
      <c r="I3823" s="198"/>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21">
        <v>0</v>
      </c>
      <c r="Z3823" s="71" t="s">
        <v>2272</v>
      </c>
      <c r="AA3823" s="71" t="s">
        <v>2272</v>
      </c>
      <c r="AB3823" s="71" t="s">
        <v>2272</v>
      </c>
      <c r="AC3823" s="71" t="s">
        <v>2272</v>
      </c>
      <c r="AD3823" s="198"/>
      <c r="AE3823" s="198"/>
    </row>
    <row r="3824" spans="1:31" ht="50.5" customHeight="1">
      <c r="A3824" s="198" t="s">
        <v>9767</v>
      </c>
      <c r="B3824" s="198" t="s">
        <v>9809</v>
      </c>
      <c r="C3824" s="198" t="s">
        <v>2453</v>
      </c>
      <c r="D3824" s="198" t="s">
        <v>2272</v>
      </c>
      <c r="E3824" s="198" t="s">
        <v>2272</v>
      </c>
      <c r="F3824" s="4" t="s">
        <v>73</v>
      </c>
      <c r="G3824" s="4" t="s">
        <v>73</v>
      </c>
      <c r="H3824" s="4" t="s">
        <v>521</v>
      </c>
      <c r="I3824" s="198"/>
      <c r="J3824" s="71" t="s">
        <v>2272</v>
      </c>
      <c r="K3824" s="71" t="s">
        <v>2272</v>
      </c>
      <c r="L3824" s="71" t="s">
        <v>2272</v>
      </c>
      <c r="M3824" s="71" t="s">
        <v>2272</v>
      </c>
      <c r="N3824" s="71" t="s">
        <v>2272</v>
      </c>
      <c r="O3824" s="71" t="s">
        <v>2272</v>
      </c>
      <c r="P3824" s="71" t="s">
        <v>2272</v>
      </c>
      <c r="Q3824" s="71" t="s">
        <v>2272</v>
      </c>
      <c r="R3824" s="71" t="s">
        <v>2272</v>
      </c>
      <c r="S3824" s="71" t="s">
        <v>2272</v>
      </c>
      <c r="T3824" s="71" t="s">
        <v>2272</v>
      </c>
      <c r="U3824" s="21">
        <f>0.0049*'Record info'!K1549*100</f>
        <v>9054.7099999999991</v>
      </c>
      <c r="V3824" s="71" t="s">
        <v>2272</v>
      </c>
      <c r="W3824" s="21">
        <f>$U3824/('Record info'!$K1549*'Land use'!$R1549/100)/30</f>
        <v>2.231511654199498E-2</v>
      </c>
      <c r="X3824" s="71" t="s">
        <v>2272</v>
      </c>
      <c r="Y3824" s="21">
        <f>$U3824/('Record info'!$K1549)/30</f>
        <v>1.6333333333333332E-2</v>
      </c>
      <c r="Z3824" s="71" t="s">
        <v>2272</v>
      </c>
      <c r="AA3824" s="71" t="s">
        <v>2272</v>
      </c>
      <c r="AB3824" s="71" t="s">
        <v>2272</v>
      </c>
      <c r="AC3824" s="71" t="s">
        <v>2272</v>
      </c>
      <c r="AD3824" s="198"/>
      <c r="AE3824" s="198"/>
    </row>
    <row r="3825" spans="1:31" ht="54" customHeight="1">
      <c r="A3825" s="198" t="s">
        <v>9771</v>
      </c>
      <c r="B3825" s="198" t="s">
        <v>9810</v>
      </c>
      <c r="C3825" s="198" t="s">
        <v>2453</v>
      </c>
      <c r="D3825" s="198" t="s">
        <v>2272</v>
      </c>
      <c r="E3825" s="198" t="s">
        <v>2272</v>
      </c>
      <c r="F3825" s="4" t="s">
        <v>73</v>
      </c>
      <c r="G3825" s="4" t="s">
        <v>73</v>
      </c>
      <c r="H3825" s="4" t="s">
        <v>522</v>
      </c>
      <c r="I3825" s="198"/>
      <c r="J3825" s="21">
        <v>0</v>
      </c>
      <c r="K3825" s="21">
        <v>0</v>
      </c>
      <c r="L3825" s="21">
        <v>0</v>
      </c>
      <c r="M3825" s="21">
        <v>0</v>
      </c>
      <c r="N3825" s="21">
        <v>0</v>
      </c>
      <c r="O3825" s="21">
        <v>0</v>
      </c>
      <c r="P3825" s="21">
        <v>0</v>
      </c>
      <c r="Q3825" s="21">
        <v>0</v>
      </c>
      <c r="R3825" s="21">
        <v>0</v>
      </c>
      <c r="S3825" s="21">
        <v>0</v>
      </c>
      <c r="T3825" s="21">
        <v>0</v>
      </c>
      <c r="U3825" s="21">
        <v>0</v>
      </c>
      <c r="V3825" s="21">
        <v>0</v>
      </c>
      <c r="W3825" s="21">
        <v>0</v>
      </c>
      <c r="X3825" s="21">
        <v>0</v>
      </c>
      <c r="Y3825" s="21">
        <v>0</v>
      </c>
      <c r="Z3825" s="71" t="s">
        <v>2272</v>
      </c>
      <c r="AA3825" s="71" t="s">
        <v>2272</v>
      </c>
      <c r="AB3825" s="71" t="s">
        <v>2272</v>
      </c>
      <c r="AC3825" s="71" t="s">
        <v>2272</v>
      </c>
      <c r="AD3825" s="198"/>
      <c r="AE3825" s="198"/>
    </row>
    <row r="3826" spans="1:31" ht="54" customHeight="1">
      <c r="A3826" s="198" t="s">
        <v>9750</v>
      </c>
      <c r="B3826" s="198" t="s">
        <v>9811</v>
      </c>
      <c r="C3826" s="198" t="s">
        <v>23</v>
      </c>
      <c r="D3826" s="198" t="s">
        <v>26</v>
      </c>
      <c r="E3826" s="198" t="s">
        <v>128</v>
      </c>
      <c r="F3826" s="4" t="s">
        <v>158</v>
      </c>
      <c r="G3826" s="4" t="s">
        <v>158</v>
      </c>
      <c r="H3826" s="4" t="s">
        <v>521</v>
      </c>
      <c r="I3826" s="198"/>
      <c r="J3826" s="71" t="s">
        <v>2272</v>
      </c>
      <c r="K3826" s="71" t="s">
        <v>2272</v>
      </c>
      <c r="L3826" s="71" t="s">
        <v>2272</v>
      </c>
      <c r="M3826" s="71" t="s">
        <v>2272</v>
      </c>
      <c r="N3826" s="71" t="s">
        <v>2272</v>
      </c>
      <c r="O3826" s="71" t="s">
        <v>2272</v>
      </c>
      <c r="P3826" s="71" t="s">
        <v>2272</v>
      </c>
      <c r="Q3826" s="71" t="s">
        <v>2272</v>
      </c>
      <c r="R3826" s="71" t="s">
        <v>2272</v>
      </c>
      <c r="S3826" s="71" t="s">
        <v>2272</v>
      </c>
      <c r="T3826" s="71" t="s">
        <v>2272</v>
      </c>
      <c r="U3826" s="71" t="s">
        <v>2272</v>
      </c>
      <c r="V3826" s="71" t="s">
        <v>2272</v>
      </c>
      <c r="W3826" s="71" t="s">
        <v>2272</v>
      </c>
      <c r="X3826" s="71" t="s">
        <v>2272</v>
      </c>
      <c r="Y3826" s="71" t="s">
        <v>2272</v>
      </c>
      <c r="Z3826" s="71" t="s">
        <v>2272</v>
      </c>
      <c r="AA3826" s="71" t="s">
        <v>2272</v>
      </c>
      <c r="AB3826" s="71" t="s">
        <v>2272</v>
      </c>
      <c r="AC3826" s="71" t="s">
        <v>2272</v>
      </c>
      <c r="AD3826" s="198"/>
      <c r="AE3826" s="198"/>
    </row>
    <row r="3827" spans="1:31" ht="54" customHeight="1">
      <c r="A3827" s="198" t="s">
        <v>9751</v>
      </c>
      <c r="B3827" s="198" t="s">
        <v>9812</v>
      </c>
      <c r="C3827" s="198" t="s">
        <v>23</v>
      </c>
      <c r="D3827" s="198" t="s">
        <v>26</v>
      </c>
      <c r="E3827" s="198" t="s">
        <v>128</v>
      </c>
      <c r="F3827" s="4" t="s">
        <v>158</v>
      </c>
      <c r="G3827" s="4" t="s">
        <v>158</v>
      </c>
      <c r="H3827" s="4" t="s">
        <v>521</v>
      </c>
      <c r="I3827" s="198"/>
      <c r="J3827" s="71" t="s">
        <v>2272</v>
      </c>
      <c r="K3827" s="71" t="s">
        <v>2272</v>
      </c>
      <c r="L3827" s="71" t="s">
        <v>2272</v>
      </c>
      <c r="M3827" s="71" t="s">
        <v>2272</v>
      </c>
      <c r="N3827" s="71" t="s">
        <v>2272</v>
      </c>
      <c r="O3827" s="71" t="s">
        <v>2272</v>
      </c>
      <c r="P3827" s="71" t="s">
        <v>2272</v>
      </c>
      <c r="Q3827" s="71" t="s">
        <v>2272</v>
      </c>
      <c r="R3827" s="71" t="s">
        <v>2272</v>
      </c>
      <c r="S3827" s="71" t="s">
        <v>2272</v>
      </c>
      <c r="T3827" s="71" t="s">
        <v>2272</v>
      </c>
      <c r="U3827" s="71" t="s">
        <v>2272</v>
      </c>
      <c r="V3827" s="71" t="s">
        <v>2272</v>
      </c>
      <c r="W3827" s="71" t="s">
        <v>2272</v>
      </c>
      <c r="X3827" s="71" t="s">
        <v>2272</v>
      </c>
      <c r="Y3827" s="71" t="s">
        <v>2272</v>
      </c>
      <c r="Z3827" s="71" t="s">
        <v>2272</v>
      </c>
      <c r="AA3827" s="71" t="s">
        <v>2272</v>
      </c>
      <c r="AB3827" s="71" t="s">
        <v>2272</v>
      </c>
      <c r="AC3827" s="71" t="s">
        <v>2272</v>
      </c>
      <c r="AD3827" s="198"/>
      <c r="AE3827" s="198"/>
    </row>
    <row r="3828" spans="1:31" ht="54" customHeight="1">
      <c r="A3828" s="198" t="s">
        <v>9752</v>
      </c>
      <c r="B3828" s="198" t="s">
        <v>9813</v>
      </c>
      <c r="C3828" s="198" t="s">
        <v>23</v>
      </c>
      <c r="D3828" s="198" t="s">
        <v>26</v>
      </c>
      <c r="E3828" s="198" t="s">
        <v>128</v>
      </c>
      <c r="F3828" s="4" t="s">
        <v>158</v>
      </c>
      <c r="G3828" s="4" t="s">
        <v>158</v>
      </c>
      <c r="H3828" s="4" t="s">
        <v>521</v>
      </c>
      <c r="I3828" s="198"/>
      <c r="J3828" s="71" t="s">
        <v>2272</v>
      </c>
      <c r="K3828" s="71" t="s">
        <v>2272</v>
      </c>
      <c r="L3828" s="71" t="s">
        <v>2272</v>
      </c>
      <c r="M3828" s="71" t="s">
        <v>2272</v>
      </c>
      <c r="N3828" s="71" t="s">
        <v>2272</v>
      </c>
      <c r="O3828" s="71" t="s">
        <v>2272</v>
      </c>
      <c r="P3828" s="71" t="s">
        <v>2272</v>
      </c>
      <c r="Q3828" s="71" t="s">
        <v>2272</v>
      </c>
      <c r="R3828" s="71" t="s">
        <v>2272</v>
      </c>
      <c r="S3828" s="71" t="s">
        <v>2272</v>
      </c>
      <c r="T3828" s="71" t="s">
        <v>2272</v>
      </c>
      <c r="U3828" s="71" t="s">
        <v>2272</v>
      </c>
      <c r="V3828" s="71" t="s">
        <v>2272</v>
      </c>
      <c r="W3828" s="71" t="s">
        <v>2272</v>
      </c>
      <c r="X3828" s="71" t="s">
        <v>2272</v>
      </c>
      <c r="Y3828" s="71" t="s">
        <v>2272</v>
      </c>
      <c r="Z3828" s="71" t="s">
        <v>2272</v>
      </c>
      <c r="AA3828" s="71" t="s">
        <v>2272</v>
      </c>
      <c r="AB3828" s="71" t="s">
        <v>2272</v>
      </c>
      <c r="AC3828" s="71" t="s">
        <v>2272</v>
      </c>
      <c r="AD3828" s="198"/>
      <c r="AE3828" s="198"/>
    </row>
    <row r="3829" spans="1:31" ht="54" customHeight="1">
      <c r="A3829" s="198" t="s">
        <v>9753</v>
      </c>
      <c r="B3829" s="198" t="s">
        <v>9814</v>
      </c>
      <c r="C3829" s="198" t="s">
        <v>23</v>
      </c>
      <c r="D3829" s="198" t="s">
        <v>26</v>
      </c>
      <c r="E3829" s="198" t="s">
        <v>128</v>
      </c>
      <c r="F3829" s="4" t="s">
        <v>158</v>
      </c>
      <c r="G3829" s="4" t="s">
        <v>158</v>
      </c>
      <c r="H3829" s="4" t="s">
        <v>521</v>
      </c>
      <c r="I3829" s="198"/>
      <c r="J3829" s="71" t="s">
        <v>2272</v>
      </c>
      <c r="K3829" s="71" t="s">
        <v>2272</v>
      </c>
      <c r="L3829" s="71" t="s">
        <v>2272</v>
      </c>
      <c r="M3829" s="71" t="s">
        <v>2272</v>
      </c>
      <c r="N3829" s="71" t="s">
        <v>2272</v>
      </c>
      <c r="O3829" s="71" t="s">
        <v>2272</v>
      </c>
      <c r="P3829" s="71" t="s">
        <v>2272</v>
      </c>
      <c r="Q3829" s="71" t="s">
        <v>2272</v>
      </c>
      <c r="R3829" s="71" t="s">
        <v>2272</v>
      </c>
      <c r="S3829" s="71" t="s">
        <v>2272</v>
      </c>
      <c r="T3829" s="71" t="s">
        <v>2272</v>
      </c>
      <c r="U3829" s="71" t="s">
        <v>2272</v>
      </c>
      <c r="V3829" s="71" t="s">
        <v>2272</v>
      </c>
      <c r="W3829" s="71" t="s">
        <v>2272</v>
      </c>
      <c r="X3829" s="71" t="s">
        <v>2272</v>
      </c>
      <c r="Y3829" s="71" t="s">
        <v>2272</v>
      </c>
      <c r="Z3829" s="71" t="s">
        <v>2272</v>
      </c>
      <c r="AA3829" s="71" t="s">
        <v>2272</v>
      </c>
      <c r="AB3829" s="71" t="s">
        <v>2272</v>
      </c>
      <c r="AC3829" s="71" t="s">
        <v>2272</v>
      </c>
      <c r="AD3829" s="198"/>
      <c r="AE3829" s="198"/>
    </row>
    <row r="3830" spans="1:31" ht="54" customHeight="1">
      <c r="A3830" s="198" t="s">
        <v>9754</v>
      </c>
      <c r="B3830" s="198" t="s">
        <v>9815</v>
      </c>
      <c r="C3830" s="198" t="s">
        <v>23</v>
      </c>
      <c r="D3830" s="198" t="s">
        <v>26</v>
      </c>
      <c r="E3830" s="198" t="s">
        <v>128</v>
      </c>
      <c r="F3830" s="4" t="s">
        <v>158</v>
      </c>
      <c r="G3830" s="4" t="s">
        <v>158</v>
      </c>
      <c r="H3830" s="4" t="s">
        <v>521</v>
      </c>
      <c r="I3830" s="198"/>
      <c r="J3830" s="71" t="s">
        <v>2272</v>
      </c>
      <c r="K3830" s="71" t="s">
        <v>2272</v>
      </c>
      <c r="L3830" s="71" t="s">
        <v>2272</v>
      </c>
      <c r="M3830" s="71" t="s">
        <v>2272</v>
      </c>
      <c r="N3830" s="71" t="s">
        <v>2272</v>
      </c>
      <c r="O3830" s="71" t="s">
        <v>2272</v>
      </c>
      <c r="P3830" s="71" t="s">
        <v>2272</v>
      </c>
      <c r="Q3830" s="71" t="s">
        <v>2272</v>
      </c>
      <c r="R3830" s="71" t="s">
        <v>2272</v>
      </c>
      <c r="S3830" s="71" t="s">
        <v>2272</v>
      </c>
      <c r="T3830" s="71" t="s">
        <v>2272</v>
      </c>
      <c r="U3830" s="71" t="s">
        <v>2272</v>
      </c>
      <c r="V3830" s="71" t="s">
        <v>2272</v>
      </c>
      <c r="W3830" s="71" t="s">
        <v>2272</v>
      </c>
      <c r="X3830" s="71" t="s">
        <v>2272</v>
      </c>
      <c r="Y3830" s="71" t="s">
        <v>2272</v>
      </c>
      <c r="Z3830" s="71" t="s">
        <v>2272</v>
      </c>
      <c r="AA3830" s="71" t="s">
        <v>2272</v>
      </c>
      <c r="AB3830" s="71" t="s">
        <v>2272</v>
      </c>
      <c r="AC3830" s="71" t="s">
        <v>2272</v>
      </c>
      <c r="AD3830" s="198"/>
      <c r="AE3830" s="198"/>
    </row>
    <row r="3831" spans="1:31" ht="54" customHeight="1">
      <c r="A3831" s="198" t="s">
        <v>9755</v>
      </c>
      <c r="B3831" s="198" t="s">
        <v>9816</v>
      </c>
      <c r="C3831" s="198" t="s">
        <v>23</v>
      </c>
      <c r="D3831" s="198" t="s">
        <v>26</v>
      </c>
      <c r="E3831" s="198" t="s">
        <v>128</v>
      </c>
      <c r="F3831" s="4" t="s">
        <v>158</v>
      </c>
      <c r="G3831" s="4" t="s">
        <v>158</v>
      </c>
      <c r="H3831" s="4" t="s">
        <v>521</v>
      </c>
      <c r="I3831" s="198"/>
      <c r="J3831" s="71" t="s">
        <v>2272</v>
      </c>
      <c r="K3831" s="71" t="s">
        <v>2272</v>
      </c>
      <c r="L3831" s="71" t="s">
        <v>2272</v>
      </c>
      <c r="M3831" s="71" t="s">
        <v>2272</v>
      </c>
      <c r="N3831" s="71" t="s">
        <v>2272</v>
      </c>
      <c r="O3831" s="71" t="s">
        <v>2272</v>
      </c>
      <c r="P3831" s="71" t="s">
        <v>2272</v>
      </c>
      <c r="Q3831" s="71" t="s">
        <v>2272</v>
      </c>
      <c r="R3831" s="71" t="s">
        <v>2272</v>
      </c>
      <c r="S3831" s="71" t="s">
        <v>2272</v>
      </c>
      <c r="T3831" s="71" t="s">
        <v>2272</v>
      </c>
      <c r="U3831" s="71" t="s">
        <v>2272</v>
      </c>
      <c r="V3831" s="71" t="s">
        <v>2272</v>
      </c>
      <c r="W3831" s="71" t="s">
        <v>2272</v>
      </c>
      <c r="X3831" s="71" t="s">
        <v>2272</v>
      </c>
      <c r="Y3831" s="71" t="s">
        <v>2272</v>
      </c>
      <c r="Z3831" s="71" t="s">
        <v>2272</v>
      </c>
      <c r="AA3831" s="71" t="s">
        <v>2272</v>
      </c>
      <c r="AB3831" s="71" t="s">
        <v>2272</v>
      </c>
      <c r="AC3831" s="71" t="s">
        <v>2272</v>
      </c>
      <c r="AD3831" s="198"/>
      <c r="AE3831" s="198"/>
    </row>
    <row r="3832" spans="1:31" ht="54" customHeight="1">
      <c r="A3832" s="198" t="s">
        <v>9756</v>
      </c>
      <c r="B3832" s="198" t="s">
        <v>9817</v>
      </c>
      <c r="C3832" s="198" t="s">
        <v>23</v>
      </c>
      <c r="D3832" s="198" t="s">
        <v>26</v>
      </c>
      <c r="E3832" s="198" t="s">
        <v>128</v>
      </c>
      <c r="F3832" s="4" t="s">
        <v>158</v>
      </c>
      <c r="G3832" s="4" t="s">
        <v>158</v>
      </c>
      <c r="H3832" s="4" t="s">
        <v>521</v>
      </c>
      <c r="I3832" s="198"/>
      <c r="J3832" s="71" t="s">
        <v>2272</v>
      </c>
      <c r="K3832" s="71" t="s">
        <v>2272</v>
      </c>
      <c r="L3832" s="71" t="s">
        <v>2272</v>
      </c>
      <c r="M3832" s="71" t="s">
        <v>2272</v>
      </c>
      <c r="N3832" s="71" t="s">
        <v>2272</v>
      </c>
      <c r="O3832" s="71" t="s">
        <v>2272</v>
      </c>
      <c r="P3832" s="71" t="s">
        <v>2272</v>
      </c>
      <c r="Q3832" s="71" t="s">
        <v>2272</v>
      </c>
      <c r="R3832" s="71" t="s">
        <v>2272</v>
      </c>
      <c r="S3832" s="71" t="s">
        <v>2272</v>
      </c>
      <c r="T3832" s="71" t="s">
        <v>2272</v>
      </c>
      <c r="U3832" s="71" t="s">
        <v>2272</v>
      </c>
      <c r="V3832" s="71" t="s">
        <v>2272</v>
      </c>
      <c r="W3832" s="71" t="s">
        <v>2272</v>
      </c>
      <c r="X3832" s="71" t="s">
        <v>2272</v>
      </c>
      <c r="Y3832" s="71" t="s">
        <v>2272</v>
      </c>
      <c r="Z3832" s="71" t="s">
        <v>2272</v>
      </c>
      <c r="AA3832" s="71" t="s">
        <v>2272</v>
      </c>
      <c r="AB3832" s="71" t="s">
        <v>2272</v>
      </c>
      <c r="AC3832" s="71" t="s">
        <v>2272</v>
      </c>
      <c r="AD3832" s="198"/>
      <c r="AE3832" s="198"/>
    </row>
    <row r="3833" spans="1:31" ht="54" customHeight="1">
      <c r="A3833" s="198" t="s">
        <v>9757</v>
      </c>
      <c r="B3833" s="198" t="s">
        <v>9818</v>
      </c>
      <c r="C3833" s="198" t="s">
        <v>23</v>
      </c>
      <c r="D3833" s="198" t="s">
        <v>26</v>
      </c>
      <c r="E3833" s="198" t="s">
        <v>128</v>
      </c>
      <c r="F3833" s="4" t="s">
        <v>158</v>
      </c>
      <c r="G3833" s="4" t="s">
        <v>158</v>
      </c>
      <c r="H3833" s="4" t="s">
        <v>521</v>
      </c>
      <c r="I3833" s="198"/>
      <c r="J3833" s="71" t="s">
        <v>2272</v>
      </c>
      <c r="K3833" s="71" t="s">
        <v>2272</v>
      </c>
      <c r="L3833" s="71" t="s">
        <v>2272</v>
      </c>
      <c r="M3833" s="71" t="s">
        <v>2272</v>
      </c>
      <c r="N3833" s="71" t="s">
        <v>2272</v>
      </c>
      <c r="O3833" s="71" t="s">
        <v>2272</v>
      </c>
      <c r="P3833" s="71" t="s">
        <v>2272</v>
      </c>
      <c r="Q3833" s="71" t="s">
        <v>2272</v>
      </c>
      <c r="R3833" s="71" t="s">
        <v>2272</v>
      </c>
      <c r="S3833" s="71" t="s">
        <v>2272</v>
      </c>
      <c r="T3833" s="71" t="s">
        <v>2272</v>
      </c>
      <c r="U3833" s="71" t="s">
        <v>2272</v>
      </c>
      <c r="V3833" s="71" t="s">
        <v>2272</v>
      </c>
      <c r="W3833" s="71" t="s">
        <v>2272</v>
      </c>
      <c r="X3833" s="71" t="s">
        <v>2272</v>
      </c>
      <c r="Y3833" s="71" t="s">
        <v>2272</v>
      </c>
      <c r="Z3833" s="71" t="s">
        <v>2272</v>
      </c>
      <c r="AA3833" s="71" t="s">
        <v>2272</v>
      </c>
      <c r="AB3833" s="71" t="s">
        <v>2272</v>
      </c>
      <c r="AC3833" s="71" t="s">
        <v>2272</v>
      </c>
      <c r="AD3833" s="198"/>
      <c r="AE3833" s="198"/>
    </row>
    <row r="3834" spans="1:31" ht="54" customHeight="1">
      <c r="A3834" s="198" t="s">
        <v>9758</v>
      </c>
      <c r="B3834" s="198" t="s">
        <v>9819</v>
      </c>
      <c r="C3834" s="198" t="s">
        <v>23</v>
      </c>
      <c r="D3834" s="198" t="s">
        <v>26</v>
      </c>
      <c r="E3834" s="198" t="s">
        <v>128</v>
      </c>
      <c r="F3834" s="4" t="s">
        <v>158</v>
      </c>
      <c r="G3834" s="4" t="s">
        <v>158</v>
      </c>
      <c r="H3834" s="4" t="s">
        <v>521</v>
      </c>
      <c r="I3834" s="198"/>
      <c r="J3834" s="71" t="s">
        <v>2272</v>
      </c>
      <c r="K3834" s="71" t="s">
        <v>2272</v>
      </c>
      <c r="L3834" s="71" t="s">
        <v>2272</v>
      </c>
      <c r="M3834" s="71" t="s">
        <v>2272</v>
      </c>
      <c r="N3834" s="71" t="s">
        <v>2272</v>
      </c>
      <c r="O3834" s="71" t="s">
        <v>2272</v>
      </c>
      <c r="P3834" s="71" t="s">
        <v>2272</v>
      </c>
      <c r="Q3834" s="71" t="s">
        <v>2272</v>
      </c>
      <c r="R3834" s="71" t="s">
        <v>2272</v>
      </c>
      <c r="S3834" s="71" t="s">
        <v>2272</v>
      </c>
      <c r="T3834" s="71" t="s">
        <v>2272</v>
      </c>
      <c r="U3834" s="71" t="s">
        <v>2272</v>
      </c>
      <c r="V3834" s="71" t="s">
        <v>2272</v>
      </c>
      <c r="W3834" s="71" t="s">
        <v>2272</v>
      </c>
      <c r="X3834" s="71" t="s">
        <v>2272</v>
      </c>
      <c r="Y3834" s="71" t="s">
        <v>2272</v>
      </c>
      <c r="Z3834" s="71" t="s">
        <v>2272</v>
      </c>
      <c r="AA3834" s="71" t="s">
        <v>2272</v>
      </c>
      <c r="AB3834" s="71" t="s">
        <v>2272</v>
      </c>
      <c r="AC3834" s="71" t="s">
        <v>2272</v>
      </c>
      <c r="AD3834" s="198"/>
      <c r="AE3834" s="198"/>
    </row>
    <row r="3835" spans="1:31" ht="54" customHeight="1">
      <c r="A3835" s="198" t="s">
        <v>9759</v>
      </c>
      <c r="B3835" s="198" t="s">
        <v>9820</v>
      </c>
      <c r="C3835" s="198" t="s">
        <v>23</v>
      </c>
      <c r="D3835" s="198" t="s">
        <v>26</v>
      </c>
      <c r="E3835" s="198" t="s">
        <v>128</v>
      </c>
      <c r="F3835" s="4" t="s">
        <v>158</v>
      </c>
      <c r="G3835" s="4" t="s">
        <v>158</v>
      </c>
      <c r="H3835" s="4" t="s">
        <v>521</v>
      </c>
      <c r="I3835" s="198"/>
      <c r="J3835" s="71" t="s">
        <v>2272</v>
      </c>
      <c r="K3835" s="71" t="s">
        <v>2272</v>
      </c>
      <c r="L3835" s="71" t="s">
        <v>2272</v>
      </c>
      <c r="M3835" s="71" t="s">
        <v>2272</v>
      </c>
      <c r="N3835" s="71" t="s">
        <v>2272</v>
      </c>
      <c r="O3835" s="71" t="s">
        <v>2272</v>
      </c>
      <c r="P3835" s="71" t="s">
        <v>2272</v>
      </c>
      <c r="Q3835" s="71" t="s">
        <v>2272</v>
      </c>
      <c r="R3835" s="71" t="s">
        <v>2272</v>
      </c>
      <c r="S3835" s="71" t="s">
        <v>2272</v>
      </c>
      <c r="T3835" s="71" t="s">
        <v>2272</v>
      </c>
      <c r="U3835" s="71" t="s">
        <v>2272</v>
      </c>
      <c r="V3835" s="71" t="s">
        <v>2272</v>
      </c>
      <c r="W3835" s="71" t="s">
        <v>2272</v>
      </c>
      <c r="X3835" s="71" t="s">
        <v>2272</v>
      </c>
      <c r="Y3835" s="71" t="s">
        <v>2272</v>
      </c>
      <c r="Z3835" s="71" t="s">
        <v>2272</v>
      </c>
      <c r="AA3835" s="71" t="s">
        <v>2272</v>
      </c>
      <c r="AB3835" s="71" t="s">
        <v>2272</v>
      </c>
      <c r="AC3835" s="71" t="s">
        <v>2272</v>
      </c>
      <c r="AD3835" s="198"/>
      <c r="AE3835" s="198"/>
    </row>
    <row r="3836" spans="1:31" ht="54" customHeight="1">
      <c r="A3836" s="198" t="s">
        <v>9760</v>
      </c>
      <c r="B3836" s="198" t="s">
        <v>9821</v>
      </c>
      <c r="C3836" s="198" t="s">
        <v>23</v>
      </c>
      <c r="D3836" s="198" t="s">
        <v>26</v>
      </c>
      <c r="E3836" s="198" t="s">
        <v>128</v>
      </c>
      <c r="F3836" s="4" t="s">
        <v>158</v>
      </c>
      <c r="G3836" s="4" t="s">
        <v>158</v>
      </c>
      <c r="H3836" s="4" t="s">
        <v>521</v>
      </c>
      <c r="I3836" s="198"/>
      <c r="J3836" s="71" t="s">
        <v>2272</v>
      </c>
      <c r="K3836" s="71" t="s">
        <v>2272</v>
      </c>
      <c r="L3836" s="71" t="s">
        <v>2272</v>
      </c>
      <c r="M3836" s="71" t="s">
        <v>2272</v>
      </c>
      <c r="N3836" s="71" t="s">
        <v>2272</v>
      </c>
      <c r="O3836" s="71" t="s">
        <v>2272</v>
      </c>
      <c r="P3836" s="71" t="s">
        <v>2272</v>
      </c>
      <c r="Q3836" s="71" t="s">
        <v>2272</v>
      </c>
      <c r="R3836" s="71" t="s">
        <v>2272</v>
      </c>
      <c r="S3836" s="71" t="s">
        <v>2272</v>
      </c>
      <c r="T3836" s="71" t="s">
        <v>2272</v>
      </c>
      <c r="U3836" s="71" t="s">
        <v>2272</v>
      </c>
      <c r="V3836" s="71" t="s">
        <v>2272</v>
      </c>
      <c r="W3836" s="71" t="s">
        <v>2272</v>
      </c>
      <c r="X3836" s="71" t="s">
        <v>2272</v>
      </c>
      <c r="Y3836" s="71" t="s">
        <v>2272</v>
      </c>
      <c r="Z3836" s="71" t="s">
        <v>2272</v>
      </c>
      <c r="AA3836" s="71" t="s">
        <v>2272</v>
      </c>
      <c r="AB3836" s="71" t="s">
        <v>2272</v>
      </c>
      <c r="AC3836" s="71" t="s">
        <v>2272</v>
      </c>
      <c r="AD3836" s="198"/>
      <c r="AE3836" s="198"/>
    </row>
    <row r="3837" spans="1:31" ht="54" customHeight="1">
      <c r="A3837" s="198" t="s">
        <v>9761</v>
      </c>
      <c r="B3837" s="198" t="s">
        <v>9822</v>
      </c>
      <c r="C3837" s="198" t="s">
        <v>23</v>
      </c>
      <c r="D3837" s="198" t="s">
        <v>26</v>
      </c>
      <c r="E3837" s="198" t="s">
        <v>128</v>
      </c>
      <c r="F3837" s="4" t="s">
        <v>158</v>
      </c>
      <c r="G3837" s="4" t="s">
        <v>158</v>
      </c>
      <c r="H3837" s="4" t="s">
        <v>521</v>
      </c>
      <c r="I3837" s="198"/>
      <c r="J3837" s="71" t="s">
        <v>2272</v>
      </c>
      <c r="K3837" s="71" t="s">
        <v>2272</v>
      </c>
      <c r="L3837" s="71" t="s">
        <v>2272</v>
      </c>
      <c r="M3837" s="71" t="s">
        <v>2272</v>
      </c>
      <c r="N3837" s="71" t="s">
        <v>2272</v>
      </c>
      <c r="O3837" s="71" t="s">
        <v>2272</v>
      </c>
      <c r="P3837" s="71" t="s">
        <v>2272</v>
      </c>
      <c r="Q3837" s="71" t="s">
        <v>2272</v>
      </c>
      <c r="R3837" s="71" t="s">
        <v>2272</v>
      </c>
      <c r="S3837" s="71" t="s">
        <v>2272</v>
      </c>
      <c r="T3837" s="71" t="s">
        <v>2272</v>
      </c>
      <c r="U3837" s="71" t="s">
        <v>2272</v>
      </c>
      <c r="V3837" s="71" t="s">
        <v>2272</v>
      </c>
      <c r="W3837" s="71" t="s">
        <v>2272</v>
      </c>
      <c r="X3837" s="71" t="s">
        <v>2272</v>
      </c>
      <c r="Y3837" s="71" t="s">
        <v>2272</v>
      </c>
      <c r="Z3837" s="71" t="s">
        <v>2272</v>
      </c>
      <c r="AA3837" s="71" t="s">
        <v>2272</v>
      </c>
      <c r="AB3837" s="71" t="s">
        <v>2272</v>
      </c>
      <c r="AC3837" s="71" t="s">
        <v>2272</v>
      </c>
      <c r="AD3837" s="198"/>
      <c r="AE3837" s="198"/>
    </row>
    <row r="3838" spans="1:31" ht="54" customHeight="1">
      <c r="A3838" s="198" t="s">
        <v>9762</v>
      </c>
      <c r="B3838" s="198" t="s">
        <v>9823</v>
      </c>
      <c r="C3838" s="198" t="s">
        <v>23</v>
      </c>
      <c r="D3838" s="198" t="s">
        <v>26</v>
      </c>
      <c r="E3838" s="198" t="s">
        <v>128</v>
      </c>
      <c r="F3838" s="4" t="s">
        <v>158</v>
      </c>
      <c r="G3838" s="4" t="s">
        <v>158</v>
      </c>
      <c r="H3838" s="4" t="s">
        <v>521</v>
      </c>
      <c r="I3838" s="198"/>
      <c r="J3838" s="71" t="s">
        <v>2272</v>
      </c>
      <c r="K3838" s="71" t="s">
        <v>2272</v>
      </c>
      <c r="L3838" s="71" t="s">
        <v>2272</v>
      </c>
      <c r="M3838" s="71" t="s">
        <v>2272</v>
      </c>
      <c r="N3838" s="71" t="s">
        <v>2272</v>
      </c>
      <c r="O3838" s="71" t="s">
        <v>2272</v>
      </c>
      <c r="P3838" s="71" t="s">
        <v>2272</v>
      </c>
      <c r="Q3838" s="71" t="s">
        <v>2272</v>
      </c>
      <c r="R3838" s="71" t="s">
        <v>2272</v>
      </c>
      <c r="S3838" s="71" t="s">
        <v>2272</v>
      </c>
      <c r="T3838" s="71" t="s">
        <v>2272</v>
      </c>
      <c r="U3838" s="71" t="s">
        <v>2272</v>
      </c>
      <c r="V3838" s="71" t="s">
        <v>2272</v>
      </c>
      <c r="W3838" s="71" t="s">
        <v>2272</v>
      </c>
      <c r="X3838" s="71" t="s">
        <v>2272</v>
      </c>
      <c r="Y3838" s="71" t="s">
        <v>2272</v>
      </c>
      <c r="Z3838" s="71" t="s">
        <v>2272</v>
      </c>
      <c r="AA3838" s="71" t="s">
        <v>2272</v>
      </c>
      <c r="AB3838" s="71" t="s">
        <v>2272</v>
      </c>
      <c r="AC3838" s="71" t="s">
        <v>2272</v>
      </c>
      <c r="AD3838" s="198"/>
      <c r="AE3838" s="198"/>
    </row>
    <row r="3839" spans="1:31" ht="54" customHeight="1">
      <c r="A3839" s="198" t="s">
        <v>9763</v>
      </c>
      <c r="B3839" s="198" t="s">
        <v>9824</v>
      </c>
      <c r="C3839" s="198" t="s">
        <v>23</v>
      </c>
      <c r="D3839" s="198" t="s">
        <v>26</v>
      </c>
      <c r="E3839" s="198" t="s">
        <v>128</v>
      </c>
      <c r="F3839" s="4" t="s">
        <v>158</v>
      </c>
      <c r="G3839" s="4" t="s">
        <v>158</v>
      </c>
      <c r="H3839" s="4" t="s">
        <v>521</v>
      </c>
      <c r="I3839" s="198"/>
      <c r="J3839" s="71" t="s">
        <v>2272</v>
      </c>
      <c r="K3839" s="71" t="s">
        <v>2272</v>
      </c>
      <c r="L3839" s="71" t="s">
        <v>2272</v>
      </c>
      <c r="M3839" s="71" t="s">
        <v>2272</v>
      </c>
      <c r="N3839" s="71" t="s">
        <v>2272</v>
      </c>
      <c r="O3839" s="71" t="s">
        <v>2272</v>
      </c>
      <c r="P3839" s="71" t="s">
        <v>2272</v>
      </c>
      <c r="Q3839" s="71" t="s">
        <v>2272</v>
      </c>
      <c r="R3839" s="71" t="s">
        <v>2272</v>
      </c>
      <c r="S3839" s="71" t="s">
        <v>2272</v>
      </c>
      <c r="T3839" s="71" t="s">
        <v>2272</v>
      </c>
      <c r="U3839" s="71" t="s">
        <v>2272</v>
      </c>
      <c r="V3839" s="71" t="s">
        <v>2272</v>
      </c>
      <c r="W3839" s="71" t="s">
        <v>2272</v>
      </c>
      <c r="X3839" s="71" t="s">
        <v>2272</v>
      </c>
      <c r="Y3839" s="71" t="s">
        <v>2272</v>
      </c>
      <c r="Z3839" s="71" t="s">
        <v>2272</v>
      </c>
      <c r="AA3839" s="71" t="s">
        <v>2272</v>
      </c>
      <c r="AB3839" s="71" t="s">
        <v>2272</v>
      </c>
      <c r="AC3839" s="71" t="s">
        <v>2272</v>
      </c>
      <c r="AD3839" s="198"/>
      <c r="AE3839" s="198"/>
    </row>
    <row r="3840" spans="1:31" ht="54" customHeight="1">
      <c r="A3840" s="198" t="s">
        <v>9764</v>
      </c>
      <c r="B3840" s="198" t="s">
        <v>9825</v>
      </c>
      <c r="C3840" s="198" t="s">
        <v>23</v>
      </c>
      <c r="D3840" s="198" t="s">
        <v>26</v>
      </c>
      <c r="E3840" s="198" t="s">
        <v>128</v>
      </c>
      <c r="F3840" s="4" t="s">
        <v>158</v>
      </c>
      <c r="G3840" s="4" t="s">
        <v>158</v>
      </c>
      <c r="H3840" s="4" t="s">
        <v>521</v>
      </c>
      <c r="I3840" s="198"/>
      <c r="J3840" s="71" t="s">
        <v>2272</v>
      </c>
      <c r="K3840" s="71" t="s">
        <v>2272</v>
      </c>
      <c r="L3840" s="71" t="s">
        <v>2272</v>
      </c>
      <c r="M3840" s="71" t="s">
        <v>2272</v>
      </c>
      <c r="N3840" s="71" t="s">
        <v>2272</v>
      </c>
      <c r="O3840" s="71" t="s">
        <v>2272</v>
      </c>
      <c r="P3840" s="71" t="s">
        <v>2272</v>
      </c>
      <c r="Q3840" s="71" t="s">
        <v>2272</v>
      </c>
      <c r="R3840" s="71" t="s">
        <v>2272</v>
      </c>
      <c r="S3840" s="71" t="s">
        <v>2272</v>
      </c>
      <c r="T3840" s="71" t="s">
        <v>2272</v>
      </c>
      <c r="U3840" s="71" t="s">
        <v>2272</v>
      </c>
      <c r="V3840" s="71" t="s">
        <v>2272</v>
      </c>
      <c r="W3840" s="71" t="s">
        <v>2272</v>
      </c>
      <c r="X3840" s="71" t="s">
        <v>2272</v>
      </c>
      <c r="Y3840" s="71" t="s">
        <v>2272</v>
      </c>
      <c r="Z3840" s="71" t="s">
        <v>2272</v>
      </c>
      <c r="AA3840" s="71" t="s">
        <v>2272</v>
      </c>
      <c r="AB3840" s="71" t="s">
        <v>2272</v>
      </c>
      <c r="AC3840" s="71" t="s">
        <v>2272</v>
      </c>
      <c r="AD3840" s="198"/>
      <c r="AE3840" s="198"/>
    </row>
    <row r="3841" spans="1:31" ht="54" customHeight="1">
      <c r="A3841" s="198" t="s">
        <v>9765</v>
      </c>
      <c r="B3841" s="198" t="s">
        <v>9826</v>
      </c>
      <c r="C3841" s="198" t="s">
        <v>23</v>
      </c>
      <c r="D3841" s="198" t="s">
        <v>26</v>
      </c>
      <c r="E3841" s="198" t="s">
        <v>128</v>
      </c>
      <c r="F3841" s="4" t="s">
        <v>158</v>
      </c>
      <c r="G3841" s="4" t="s">
        <v>158</v>
      </c>
      <c r="H3841" s="4" t="s">
        <v>521</v>
      </c>
      <c r="I3841" s="198"/>
      <c r="J3841" s="71" t="s">
        <v>2272</v>
      </c>
      <c r="K3841" s="71" t="s">
        <v>2272</v>
      </c>
      <c r="L3841" s="71" t="s">
        <v>2272</v>
      </c>
      <c r="M3841" s="71" t="s">
        <v>2272</v>
      </c>
      <c r="N3841" s="71" t="s">
        <v>2272</v>
      </c>
      <c r="O3841" s="71" t="s">
        <v>2272</v>
      </c>
      <c r="P3841" s="71" t="s">
        <v>2272</v>
      </c>
      <c r="Q3841" s="71" t="s">
        <v>2272</v>
      </c>
      <c r="R3841" s="71" t="s">
        <v>2272</v>
      </c>
      <c r="S3841" s="71" t="s">
        <v>2272</v>
      </c>
      <c r="T3841" s="71" t="s">
        <v>2272</v>
      </c>
      <c r="U3841" s="71" t="s">
        <v>2272</v>
      </c>
      <c r="V3841" s="71" t="s">
        <v>2272</v>
      </c>
      <c r="W3841" s="71" t="s">
        <v>2272</v>
      </c>
      <c r="X3841" s="71" t="s">
        <v>2272</v>
      </c>
      <c r="Y3841" s="71" t="s">
        <v>2272</v>
      </c>
      <c r="Z3841" s="71" t="s">
        <v>2272</v>
      </c>
      <c r="AA3841" s="71" t="s">
        <v>2272</v>
      </c>
      <c r="AB3841" s="71" t="s">
        <v>2272</v>
      </c>
      <c r="AC3841" s="71" t="s">
        <v>2272</v>
      </c>
      <c r="AD3841" s="198"/>
      <c r="AE3841" s="198"/>
    </row>
    <row r="3842" spans="1:31" ht="54" customHeight="1">
      <c r="A3842" s="198" t="s">
        <v>9766</v>
      </c>
      <c r="B3842" s="198" t="s">
        <v>9827</v>
      </c>
      <c r="C3842" s="198" t="s">
        <v>23</v>
      </c>
      <c r="D3842" s="198" t="s">
        <v>26</v>
      </c>
      <c r="E3842" s="198" t="s">
        <v>128</v>
      </c>
      <c r="F3842" s="4" t="s">
        <v>158</v>
      </c>
      <c r="G3842" s="4" t="s">
        <v>158</v>
      </c>
      <c r="H3842" s="4" t="s">
        <v>521</v>
      </c>
      <c r="I3842" s="198"/>
      <c r="J3842" s="71" t="s">
        <v>2272</v>
      </c>
      <c r="K3842" s="71" t="s">
        <v>2272</v>
      </c>
      <c r="L3842" s="71" t="s">
        <v>2272</v>
      </c>
      <c r="M3842" s="71" t="s">
        <v>2272</v>
      </c>
      <c r="N3842" s="71" t="s">
        <v>2272</v>
      </c>
      <c r="O3842" s="71" t="s">
        <v>2272</v>
      </c>
      <c r="P3842" s="71" t="s">
        <v>2272</v>
      </c>
      <c r="Q3842" s="71" t="s">
        <v>2272</v>
      </c>
      <c r="R3842" s="71" t="s">
        <v>2272</v>
      </c>
      <c r="S3842" s="71" t="s">
        <v>2272</v>
      </c>
      <c r="T3842" s="71" t="s">
        <v>2272</v>
      </c>
      <c r="U3842" s="71" t="s">
        <v>2272</v>
      </c>
      <c r="V3842" s="71" t="s">
        <v>2272</v>
      </c>
      <c r="W3842" s="71" t="s">
        <v>2272</v>
      </c>
      <c r="X3842" s="71" t="s">
        <v>2272</v>
      </c>
      <c r="Y3842" s="71" t="s">
        <v>2272</v>
      </c>
      <c r="Z3842" s="71" t="s">
        <v>2272</v>
      </c>
      <c r="AA3842" s="71" t="s">
        <v>2272</v>
      </c>
      <c r="AB3842" s="71" t="s">
        <v>2272</v>
      </c>
      <c r="AC3842" s="71" t="s">
        <v>2272</v>
      </c>
      <c r="AD3842" s="198"/>
      <c r="AE3842" s="198"/>
    </row>
    <row r="3843" spans="1:31" ht="54" customHeight="1">
      <c r="A3843" s="198" t="s">
        <v>9767</v>
      </c>
      <c r="B3843" s="198" t="s">
        <v>9828</v>
      </c>
      <c r="C3843" s="198" t="s">
        <v>23</v>
      </c>
      <c r="D3843" s="198" t="s">
        <v>26</v>
      </c>
      <c r="E3843" s="198" t="s">
        <v>128</v>
      </c>
      <c r="F3843" s="4" t="s">
        <v>158</v>
      </c>
      <c r="G3843" s="4" t="s">
        <v>158</v>
      </c>
      <c r="H3843" s="4" t="s">
        <v>521</v>
      </c>
      <c r="I3843" s="198"/>
      <c r="J3843" s="71" t="s">
        <v>2272</v>
      </c>
      <c r="K3843" s="71" t="s">
        <v>2272</v>
      </c>
      <c r="L3843" s="71" t="s">
        <v>2272</v>
      </c>
      <c r="M3843" s="71" t="s">
        <v>2272</v>
      </c>
      <c r="N3843" s="71" t="s">
        <v>2272</v>
      </c>
      <c r="O3843" s="71" t="s">
        <v>2272</v>
      </c>
      <c r="P3843" s="71" t="s">
        <v>2272</v>
      </c>
      <c r="Q3843" s="71" t="s">
        <v>2272</v>
      </c>
      <c r="R3843" s="71" t="s">
        <v>2272</v>
      </c>
      <c r="S3843" s="71" t="s">
        <v>2272</v>
      </c>
      <c r="T3843" s="71" t="s">
        <v>2272</v>
      </c>
      <c r="U3843" s="71" t="s">
        <v>2272</v>
      </c>
      <c r="V3843" s="71" t="s">
        <v>2272</v>
      </c>
      <c r="W3843" s="71" t="s">
        <v>2272</v>
      </c>
      <c r="X3843" s="71" t="s">
        <v>2272</v>
      </c>
      <c r="Y3843" s="71" t="s">
        <v>2272</v>
      </c>
      <c r="Z3843" s="71" t="s">
        <v>2272</v>
      </c>
      <c r="AA3843" s="71" t="s">
        <v>2272</v>
      </c>
      <c r="AB3843" s="71" t="s">
        <v>2272</v>
      </c>
      <c r="AC3843" s="71" t="s">
        <v>2272</v>
      </c>
      <c r="AD3843" s="198"/>
      <c r="AE3843" s="198"/>
    </row>
    <row r="3844" spans="1:31" ht="54" customHeight="1">
      <c r="A3844" s="198" t="s">
        <v>9771</v>
      </c>
      <c r="B3844" s="198" t="s">
        <v>9829</v>
      </c>
      <c r="C3844" s="198" t="s">
        <v>23</v>
      </c>
      <c r="D3844" s="198" t="s">
        <v>26</v>
      </c>
      <c r="E3844" s="198" t="s">
        <v>128</v>
      </c>
      <c r="F3844" s="4" t="s">
        <v>158</v>
      </c>
      <c r="G3844" s="4" t="s">
        <v>158</v>
      </c>
      <c r="H3844" s="4" t="s">
        <v>521</v>
      </c>
      <c r="I3844" s="198"/>
      <c r="J3844" s="71" t="s">
        <v>2272</v>
      </c>
      <c r="K3844" s="71" t="s">
        <v>2272</v>
      </c>
      <c r="L3844" s="71" t="s">
        <v>2272</v>
      </c>
      <c r="M3844" s="71" t="s">
        <v>2272</v>
      </c>
      <c r="N3844" s="71" t="s">
        <v>2272</v>
      </c>
      <c r="O3844" s="71" t="s">
        <v>2272</v>
      </c>
      <c r="P3844" s="71" t="s">
        <v>2272</v>
      </c>
      <c r="Q3844" s="71" t="s">
        <v>2272</v>
      </c>
      <c r="R3844" s="71" t="s">
        <v>2272</v>
      </c>
      <c r="S3844" s="71" t="s">
        <v>2272</v>
      </c>
      <c r="T3844" s="71" t="s">
        <v>2272</v>
      </c>
      <c r="U3844" s="71" t="s">
        <v>2272</v>
      </c>
      <c r="V3844" s="71" t="s">
        <v>2272</v>
      </c>
      <c r="W3844" s="71" t="s">
        <v>2272</v>
      </c>
      <c r="X3844" s="71" t="s">
        <v>2272</v>
      </c>
      <c r="Y3844" s="71" t="s">
        <v>2272</v>
      </c>
      <c r="Z3844" s="71" t="s">
        <v>2272</v>
      </c>
      <c r="AA3844" s="71" t="s">
        <v>2272</v>
      </c>
      <c r="AB3844" s="71" t="s">
        <v>2272</v>
      </c>
      <c r="AC3844" s="71" t="s">
        <v>2272</v>
      </c>
      <c r="AD3844" s="198"/>
      <c r="AE3844" s="198"/>
    </row>
    <row r="3845" spans="1:31" ht="42.5" customHeight="1">
      <c r="A3845" s="198" t="s">
        <v>9757</v>
      </c>
      <c r="B3845" s="198" t="s">
        <v>9830</v>
      </c>
      <c r="C3845" s="198" t="s">
        <v>23</v>
      </c>
      <c r="D3845" s="198" t="s">
        <v>141</v>
      </c>
      <c r="E3845" s="198" t="s">
        <v>2644</v>
      </c>
      <c r="F3845" s="198" t="s">
        <v>73</v>
      </c>
      <c r="G3845" s="198" t="s">
        <v>73</v>
      </c>
      <c r="H3845" s="4" t="s">
        <v>521</v>
      </c>
      <c r="I3845" s="198"/>
      <c r="J3845" s="71" t="s">
        <v>2272</v>
      </c>
      <c r="K3845" s="71" t="s">
        <v>2272</v>
      </c>
      <c r="L3845" s="71" t="s">
        <v>2272</v>
      </c>
      <c r="M3845" s="71" t="s">
        <v>2272</v>
      </c>
      <c r="N3845" s="71" t="s">
        <v>2272</v>
      </c>
      <c r="O3845" s="71" t="s">
        <v>2272</v>
      </c>
      <c r="P3845" s="71" t="s">
        <v>2272</v>
      </c>
      <c r="Q3845" s="71" t="s">
        <v>2272</v>
      </c>
      <c r="R3845" s="71" t="s">
        <v>2272</v>
      </c>
      <c r="S3845" s="71" t="s">
        <v>2272</v>
      </c>
      <c r="T3845" s="71" t="s">
        <v>2272</v>
      </c>
      <c r="U3845" s="71" t="s">
        <v>2272</v>
      </c>
      <c r="V3845" s="71" t="s">
        <v>2272</v>
      </c>
      <c r="W3845" s="71" t="s">
        <v>2272</v>
      </c>
      <c r="X3845" s="71" t="s">
        <v>2272</v>
      </c>
      <c r="Y3845" s="71" t="s">
        <v>2272</v>
      </c>
      <c r="Z3845" s="71" t="s">
        <v>2272</v>
      </c>
      <c r="AA3845" s="71" t="s">
        <v>2272</v>
      </c>
      <c r="AB3845" s="71" t="s">
        <v>2272</v>
      </c>
      <c r="AC3845" s="71" t="s">
        <v>2272</v>
      </c>
      <c r="AD3845" s="198"/>
      <c r="AE3845" s="71" t="s">
        <v>9837</v>
      </c>
    </row>
    <row r="3846" spans="1:31" ht="40" customHeight="1">
      <c r="A3846" s="198" t="s">
        <v>9758</v>
      </c>
      <c r="B3846" s="198" t="s">
        <v>9831</v>
      </c>
      <c r="C3846" s="198" t="s">
        <v>23</v>
      </c>
      <c r="D3846" s="198" t="s">
        <v>141</v>
      </c>
      <c r="E3846" s="198" t="s">
        <v>2644</v>
      </c>
      <c r="F3846" s="198" t="s">
        <v>73</v>
      </c>
      <c r="G3846" s="198" t="s">
        <v>73</v>
      </c>
      <c r="H3846" s="4" t="s">
        <v>521</v>
      </c>
      <c r="I3846" s="198"/>
      <c r="J3846" s="71" t="s">
        <v>2272</v>
      </c>
      <c r="K3846" s="71" t="s">
        <v>2272</v>
      </c>
      <c r="L3846" s="71" t="s">
        <v>2272</v>
      </c>
      <c r="M3846" s="71" t="s">
        <v>2272</v>
      </c>
      <c r="N3846" s="71" t="s">
        <v>2272</v>
      </c>
      <c r="O3846" s="71" t="s">
        <v>2272</v>
      </c>
      <c r="P3846" s="71" t="s">
        <v>2272</v>
      </c>
      <c r="Q3846" s="71" t="s">
        <v>2272</v>
      </c>
      <c r="R3846" s="71" t="s">
        <v>2272</v>
      </c>
      <c r="S3846" s="71" t="s">
        <v>2272</v>
      </c>
      <c r="T3846" s="71" t="s">
        <v>2272</v>
      </c>
      <c r="U3846" s="71" t="s">
        <v>2272</v>
      </c>
      <c r="V3846" s="71" t="s">
        <v>2272</v>
      </c>
      <c r="W3846" s="71" t="s">
        <v>2272</v>
      </c>
      <c r="X3846" s="71" t="s">
        <v>2272</v>
      </c>
      <c r="Y3846" s="71" t="s">
        <v>2272</v>
      </c>
      <c r="Z3846" s="71" t="s">
        <v>2272</v>
      </c>
      <c r="AA3846" s="71" t="s">
        <v>2272</v>
      </c>
      <c r="AB3846" s="71" t="s">
        <v>2272</v>
      </c>
      <c r="AC3846" s="71" t="s">
        <v>2272</v>
      </c>
      <c r="AD3846" s="198"/>
      <c r="AE3846" s="71" t="s">
        <v>9837</v>
      </c>
    </row>
    <row r="3847" spans="1:31" ht="37" customHeight="1">
      <c r="A3847" s="198" t="s">
        <v>9759</v>
      </c>
      <c r="B3847" s="198" t="s">
        <v>9832</v>
      </c>
      <c r="C3847" s="198" t="s">
        <v>23</v>
      </c>
      <c r="D3847" s="198" t="s">
        <v>141</v>
      </c>
      <c r="E3847" s="198" t="s">
        <v>2644</v>
      </c>
      <c r="F3847" s="198" t="s">
        <v>73</v>
      </c>
      <c r="G3847" s="198" t="s">
        <v>73</v>
      </c>
      <c r="H3847" s="4" t="s">
        <v>521</v>
      </c>
      <c r="I3847" s="198"/>
      <c r="J3847" s="71" t="s">
        <v>2272</v>
      </c>
      <c r="K3847" s="71" t="s">
        <v>2272</v>
      </c>
      <c r="L3847" s="71" t="s">
        <v>2272</v>
      </c>
      <c r="M3847" s="71" t="s">
        <v>2272</v>
      </c>
      <c r="N3847" s="71" t="s">
        <v>2272</v>
      </c>
      <c r="O3847" s="71" t="s">
        <v>2272</v>
      </c>
      <c r="P3847" s="71" t="s">
        <v>2272</v>
      </c>
      <c r="Q3847" s="71" t="s">
        <v>2272</v>
      </c>
      <c r="R3847" s="71" t="s">
        <v>2272</v>
      </c>
      <c r="S3847" s="71" t="s">
        <v>2272</v>
      </c>
      <c r="T3847" s="71" t="s">
        <v>2272</v>
      </c>
      <c r="U3847" s="71" t="s">
        <v>2272</v>
      </c>
      <c r="V3847" s="71" t="s">
        <v>2272</v>
      </c>
      <c r="W3847" s="71" t="s">
        <v>2272</v>
      </c>
      <c r="X3847" s="71" t="s">
        <v>2272</v>
      </c>
      <c r="Y3847" s="71" t="s">
        <v>2272</v>
      </c>
      <c r="Z3847" s="71" t="s">
        <v>2272</v>
      </c>
      <c r="AA3847" s="71" t="s">
        <v>2272</v>
      </c>
      <c r="AB3847" s="71" t="s">
        <v>2272</v>
      </c>
      <c r="AC3847" s="71" t="s">
        <v>2272</v>
      </c>
      <c r="AD3847" s="198"/>
      <c r="AE3847" s="71" t="s">
        <v>9837</v>
      </c>
    </row>
    <row r="3848" spans="1:31" ht="36.5" customHeight="1">
      <c r="A3848" s="198" t="s">
        <v>9762</v>
      </c>
      <c r="B3848" s="198" t="s">
        <v>9833</v>
      </c>
      <c r="C3848" s="198" t="s">
        <v>23</v>
      </c>
      <c r="D3848" s="198" t="s">
        <v>141</v>
      </c>
      <c r="E3848" s="198" t="s">
        <v>2644</v>
      </c>
      <c r="F3848" s="198" t="s">
        <v>73</v>
      </c>
      <c r="G3848" s="198" t="s">
        <v>73</v>
      </c>
      <c r="H3848" s="4" t="s">
        <v>521</v>
      </c>
      <c r="I3848" s="198"/>
      <c r="J3848" s="71" t="s">
        <v>2272</v>
      </c>
      <c r="K3848" s="71" t="s">
        <v>2272</v>
      </c>
      <c r="L3848" s="71" t="s">
        <v>2272</v>
      </c>
      <c r="M3848" s="71" t="s">
        <v>2272</v>
      </c>
      <c r="N3848" s="71" t="s">
        <v>2272</v>
      </c>
      <c r="O3848" s="71" t="s">
        <v>2272</v>
      </c>
      <c r="P3848" s="71" t="s">
        <v>2272</v>
      </c>
      <c r="Q3848" s="71" t="s">
        <v>2272</v>
      </c>
      <c r="R3848" s="71" t="s">
        <v>2272</v>
      </c>
      <c r="S3848" s="71" t="s">
        <v>2272</v>
      </c>
      <c r="T3848" s="71" t="s">
        <v>2272</v>
      </c>
      <c r="U3848" s="71" t="s">
        <v>2272</v>
      </c>
      <c r="V3848" s="71" t="s">
        <v>2272</v>
      </c>
      <c r="W3848" s="71" t="s">
        <v>2272</v>
      </c>
      <c r="X3848" s="71" t="s">
        <v>2272</v>
      </c>
      <c r="Y3848" s="71" t="s">
        <v>2272</v>
      </c>
      <c r="Z3848" s="71" t="s">
        <v>2272</v>
      </c>
      <c r="AA3848" s="71" t="s">
        <v>2272</v>
      </c>
      <c r="AB3848" s="71" t="s">
        <v>2272</v>
      </c>
      <c r="AC3848" s="71" t="s">
        <v>2272</v>
      </c>
      <c r="AD3848" s="198"/>
      <c r="AE3848" s="71" t="s">
        <v>9837</v>
      </c>
    </row>
    <row r="3849" spans="1:31" ht="35.5" customHeight="1">
      <c r="A3849" s="198" t="s">
        <v>9765</v>
      </c>
      <c r="B3849" s="198" t="s">
        <v>9834</v>
      </c>
      <c r="C3849" s="198" t="s">
        <v>23</v>
      </c>
      <c r="D3849" s="198" t="s">
        <v>141</v>
      </c>
      <c r="E3849" s="198" t="s">
        <v>2644</v>
      </c>
      <c r="F3849" s="198" t="s">
        <v>73</v>
      </c>
      <c r="G3849" s="198" t="s">
        <v>73</v>
      </c>
      <c r="H3849" s="4" t="s">
        <v>521</v>
      </c>
      <c r="I3849" s="198"/>
      <c r="J3849" s="71" t="s">
        <v>2272</v>
      </c>
      <c r="K3849" s="71" t="s">
        <v>2272</v>
      </c>
      <c r="L3849" s="71" t="s">
        <v>2272</v>
      </c>
      <c r="M3849" s="71" t="s">
        <v>2272</v>
      </c>
      <c r="N3849" s="71" t="s">
        <v>2272</v>
      </c>
      <c r="O3849" s="71" t="s">
        <v>2272</v>
      </c>
      <c r="P3849" s="71" t="s">
        <v>2272</v>
      </c>
      <c r="Q3849" s="71" t="s">
        <v>2272</v>
      </c>
      <c r="R3849" s="71" t="s">
        <v>2272</v>
      </c>
      <c r="S3849" s="71" t="s">
        <v>2272</v>
      </c>
      <c r="T3849" s="71" t="s">
        <v>2272</v>
      </c>
      <c r="U3849" s="71" t="s">
        <v>2272</v>
      </c>
      <c r="V3849" s="71" t="s">
        <v>2272</v>
      </c>
      <c r="W3849" s="71" t="s">
        <v>2272</v>
      </c>
      <c r="X3849" s="71" t="s">
        <v>2272</v>
      </c>
      <c r="Y3849" s="71" t="s">
        <v>2272</v>
      </c>
      <c r="Z3849" s="71" t="s">
        <v>2272</v>
      </c>
      <c r="AA3849" s="71" t="s">
        <v>2272</v>
      </c>
      <c r="AB3849" s="71" t="s">
        <v>2272</v>
      </c>
      <c r="AC3849" s="71" t="s">
        <v>2272</v>
      </c>
      <c r="AD3849" s="198"/>
      <c r="AE3849" s="71" t="s">
        <v>9837</v>
      </c>
    </row>
    <row r="3850" spans="1:31" ht="39" customHeight="1">
      <c r="A3850" s="198" t="s">
        <v>9766</v>
      </c>
      <c r="B3850" s="198" t="s">
        <v>9835</v>
      </c>
      <c r="C3850" s="198" t="s">
        <v>23</v>
      </c>
      <c r="D3850" s="198" t="s">
        <v>141</v>
      </c>
      <c r="E3850" s="198" t="s">
        <v>2644</v>
      </c>
      <c r="F3850" s="198" t="s">
        <v>73</v>
      </c>
      <c r="G3850" s="198" t="s">
        <v>73</v>
      </c>
      <c r="H3850" s="4" t="s">
        <v>521</v>
      </c>
      <c r="I3850" s="198"/>
      <c r="J3850" s="71" t="s">
        <v>2272</v>
      </c>
      <c r="K3850" s="71" t="s">
        <v>2272</v>
      </c>
      <c r="L3850" s="71" t="s">
        <v>2272</v>
      </c>
      <c r="M3850" s="71" t="s">
        <v>2272</v>
      </c>
      <c r="N3850" s="71" t="s">
        <v>2272</v>
      </c>
      <c r="O3850" s="71" t="s">
        <v>2272</v>
      </c>
      <c r="P3850" s="71" t="s">
        <v>2272</v>
      </c>
      <c r="Q3850" s="71" t="s">
        <v>2272</v>
      </c>
      <c r="R3850" s="71" t="s">
        <v>2272</v>
      </c>
      <c r="S3850" s="71" t="s">
        <v>2272</v>
      </c>
      <c r="T3850" s="71" t="s">
        <v>2272</v>
      </c>
      <c r="U3850" s="71" t="s">
        <v>2272</v>
      </c>
      <c r="V3850" s="71" t="s">
        <v>2272</v>
      </c>
      <c r="W3850" s="71" t="s">
        <v>2272</v>
      </c>
      <c r="X3850" s="71" t="s">
        <v>2272</v>
      </c>
      <c r="Y3850" s="71" t="s">
        <v>2272</v>
      </c>
      <c r="Z3850" s="71" t="s">
        <v>2272</v>
      </c>
      <c r="AA3850" s="71" t="s">
        <v>2272</v>
      </c>
      <c r="AB3850" s="71" t="s">
        <v>2272</v>
      </c>
      <c r="AC3850" s="71" t="s">
        <v>2272</v>
      </c>
      <c r="AD3850" s="198"/>
      <c r="AE3850" s="71" t="s">
        <v>9837</v>
      </c>
    </row>
    <row r="3851" spans="1:31" ht="39" customHeight="1">
      <c r="A3851" s="198" t="s">
        <v>9767</v>
      </c>
      <c r="B3851" s="198" t="s">
        <v>9836</v>
      </c>
      <c r="C3851" s="198" t="s">
        <v>23</v>
      </c>
      <c r="D3851" s="198" t="s">
        <v>141</v>
      </c>
      <c r="E3851" s="198" t="s">
        <v>2644</v>
      </c>
      <c r="F3851" s="198" t="s">
        <v>73</v>
      </c>
      <c r="G3851" s="198" t="s">
        <v>73</v>
      </c>
      <c r="H3851" s="4" t="s">
        <v>521</v>
      </c>
      <c r="I3851" s="198"/>
      <c r="J3851" s="71" t="s">
        <v>2272</v>
      </c>
      <c r="K3851" s="71" t="s">
        <v>2272</v>
      </c>
      <c r="L3851" s="71" t="s">
        <v>2272</v>
      </c>
      <c r="M3851" s="71" t="s">
        <v>2272</v>
      </c>
      <c r="N3851" s="71" t="s">
        <v>2272</v>
      </c>
      <c r="O3851" s="71" t="s">
        <v>2272</v>
      </c>
      <c r="P3851" s="71" t="s">
        <v>2272</v>
      </c>
      <c r="Q3851" s="71" t="s">
        <v>2272</v>
      </c>
      <c r="R3851" s="71" t="s">
        <v>2272</v>
      </c>
      <c r="S3851" s="71" t="s">
        <v>2272</v>
      </c>
      <c r="T3851" s="71" t="s">
        <v>2272</v>
      </c>
      <c r="U3851" s="71" t="s">
        <v>2272</v>
      </c>
      <c r="V3851" s="71" t="s">
        <v>2272</v>
      </c>
      <c r="W3851" s="71" t="s">
        <v>2272</v>
      </c>
      <c r="X3851" s="71" t="s">
        <v>2272</v>
      </c>
      <c r="Y3851" s="71" t="s">
        <v>2272</v>
      </c>
      <c r="Z3851" s="71" t="s">
        <v>2272</v>
      </c>
      <c r="AA3851" s="71" t="s">
        <v>2272</v>
      </c>
      <c r="AB3851" s="71" t="s">
        <v>2272</v>
      </c>
      <c r="AC3851" s="71" t="s">
        <v>2272</v>
      </c>
      <c r="AD3851" s="198"/>
      <c r="AE3851" s="71" t="s">
        <v>9837</v>
      </c>
    </row>
    <row r="3852" spans="1:31" ht="50" customHeight="1">
      <c r="A3852" s="198" t="s">
        <v>9839</v>
      </c>
      <c r="B3852" s="198" t="s">
        <v>9842</v>
      </c>
      <c r="C3852" s="198" t="s">
        <v>2453</v>
      </c>
      <c r="D3852" s="198" t="s">
        <v>2272</v>
      </c>
      <c r="E3852" s="198" t="s">
        <v>114</v>
      </c>
      <c r="F3852" s="4" t="s">
        <v>2657</v>
      </c>
      <c r="G3852" s="198" t="s">
        <v>27</v>
      </c>
      <c r="H3852" s="4" t="s">
        <v>521</v>
      </c>
      <c r="I3852" s="198"/>
      <c r="J3852" s="71" t="s">
        <v>2272</v>
      </c>
      <c r="K3852" s="71" t="s">
        <v>2272</v>
      </c>
      <c r="L3852" s="71" t="s">
        <v>2272</v>
      </c>
      <c r="M3852" s="71" t="s">
        <v>2272</v>
      </c>
      <c r="N3852" s="71" t="s">
        <v>2272</v>
      </c>
      <c r="O3852" s="71" t="s">
        <v>2272</v>
      </c>
      <c r="P3852" s="71" t="s">
        <v>2272</v>
      </c>
      <c r="Q3852" s="71" t="s">
        <v>2272</v>
      </c>
      <c r="R3852" s="71" t="s">
        <v>2272</v>
      </c>
      <c r="S3852" s="71" t="s">
        <v>2272</v>
      </c>
      <c r="T3852" s="71" t="s">
        <v>2272</v>
      </c>
      <c r="U3852" s="21">
        <f>300/2.471/8</f>
        <v>15.17604208822339</v>
      </c>
      <c r="V3852" s="71" t="s">
        <v>2272</v>
      </c>
      <c r="W3852" s="21">
        <f>U3852/('Record info'!K1551*'Land use'!P1551/100)</f>
        <v>7.4999999999999982</v>
      </c>
      <c r="X3852" s="71" t="s">
        <v>2272</v>
      </c>
      <c r="Y3852" s="21">
        <f>U3852/'Record info'!K1551</f>
        <v>2.7512839325018339</v>
      </c>
      <c r="Z3852" s="71" t="s">
        <v>2272</v>
      </c>
      <c r="AA3852" s="71" t="s">
        <v>2272</v>
      </c>
      <c r="AB3852" s="71" t="s">
        <v>2272</v>
      </c>
      <c r="AC3852" s="71" t="s">
        <v>2272</v>
      </c>
      <c r="AD3852" s="198"/>
      <c r="AE3852" s="198"/>
    </row>
    <row r="3853" spans="1:31" ht="50" customHeight="1">
      <c r="A3853" s="198" t="s">
        <v>9839</v>
      </c>
      <c r="B3853" s="198" t="s">
        <v>9843</v>
      </c>
      <c r="C3853" s="198" t="s">
        <v>23</v>
      </c>
      <c r="D3853" s="198" t="s">
        <v>1241</v>
      </c>
      <c r="E3853" s="198" t="s">
        <v>114</v>
      </c>
      <c r="F3853" s="4" t="s">
        <v>2657</v>
      </c>
      <c r="G3853" s="4" t="s">
        <v>2657</v>
      </c>
      <c r="H3853" s="4" t="s">
        <v>521</v>
      </c>
      <c r="I3853" s="198"/>
      <c r="J3853" s="71" t="s">
        <v>2272</v>
      </c>
      <c r="K3853" s="71" t="s">
        <v>2272</v>
      </c>
      <c r="L3853" s="71" t="s">
        <v>2272</v>
      </c>
      <c r="M3853" s="71" t="s">
        <v>2272</v>
      </c>
      <c r="N3853" s="71" t="s">
        <v>2272</v>
      </c>
      <c r="O3853" s="71" t="s">
        <v>2272</v>
      </c>
      <c r="P3853" s="71" t="s">
        <v>2272</v>
      </c>
      <c r="Q3853" s="71" t="s">
        <v>2272</v>
      </c>
      <c r="R3853" s="71" t="s">
        <v>2272</v>
      </c>
      <c r="S3853" s="71" t="s">
        <v>2272</v>
      </c>
      <c r="T3853" s="71" t="s">
        <v>2272</v>
      </c>
      <c r="U3853" s="71" t="s">
        <v>2272</v>
      </c>
      <c r="V3853" s="71" t="s">
        <v>2272</v>
      </c>
      <c r="W3853" s="71" t="s">
        <v>2272</v>
      </c>
      <c r="X3853" s="71" t="s">
        <v>2272</v>
      </c>
      <c r="Y3853" s="71" t="s">
        <v>2272</v>
      </c>
      <c r="Z3853" s="71" t="s">
        <v>2272</v>
      </c>
      <c r="AA3853" s="71" t="s">
        <v>2272</v>
      </c>
      <c r="AB3853" s="71" t="s">
        <v>2272</v>
      </c>
      <c r="AC3853" s="71" t="s">
        <v>2272</v>
      </c>
      <c r="AD3853" s="4" t="s">
        <v>9850</v>
      </c>
      <c r="AE3853" s="198"/>
    </row>
    <row r="3854" spans="1:31" ht="50" customHeight="1">
      <c r="A3854" s="198" t="s">
        <v>9839</v>
      </c>
      <c r="B3854" s="198" t="s">
        <v>9844</v>
      </c>
      <c r="C3854" s="198" t="s">
        <v>23</v>
      </c>
      <c r="D3854" s="198" t="s">
        <v>1238</v>
      </c>
      <c r="E3854" s="198" t="s">
        <v>114</v>
      </c>
      <c r="F3854" s="4" t="s">
        <v>2657</v>
      </c>
      <c r="G3854" s="4" t="s">
        <v>2657</v>
      </c>
      <c r="H3854" s="4" t="s">
        <v>521</v>
      </c>
      <c r="I3854" s="198"/>
      <c r="J3854" s="71" t="s">
        <v>2272</v>
      </c>
      <c r="K3854" s="71" t="s">
        <v>2272</v>
      </c>
      <c r="L3854" s="71" t="s">
        <v>2272</v>
      </c>
      <c r="M3854" s="71" t="s">
        <v>2272</v>
      </c>
      <c r="N3854" s="71" t="s">
        <v>2272</v>
      </c>
      <c r="O3854" s="71" t="s">
        <v>2272</v>
      </c>
      <c r="P3854" s="71" t="s">
        <v>2272</v>
      </c>
      <c r="Q3854" s="71" t="s">
        <v>2272</v>
      </c>
      <c r="R3854" s="71" t="s">
        <v>2272</v>
      </c>
      <c r="S3854" s="71" t="s">
        <v>2272</v>
      </c>
      <c r="T3854" s="71" t="s">
        <v>2272</v>
      </c>
      <c r="U3854" s="71" t="s">
        <v>2272</v>
      </c>
      <c r="V3854" s="71" t="s">
        <v>2272</v>
      </c>
      <c r="W3854" s="71" t="s">
        <v>2272</v>
      </c>
      <c r="X3854" s="71" t="s">
        <v>2272</v>
      </c>
      <c r="Y3854" s="71" t="s">
        <v>2272</v>
      </c>
      <c r="Z3854" s="71" t="s">
        <v>2272</v>
      </c>
      <c r="AA3854" s="71" t="s">
        <v>2272</v>
      </c>
      <c r="AB3854" s="71" t="s">
        <v>2272</v>
      </c>
      <c r="AC3854" s="71" t="s">
        <v>2272</v>
      </c>
      <c r="AD3854" s="4" t="s">
        <v>9850</v>
      </c>
      <c r="AE3854" s="198"/>
    </row>
    <row r="3855" spans="1:31" ht="43.5" customHeight="1">
      <c r="A3855" s="198" t="s">
        <v>9839</v>
      </c>
      <c r="B3855" s="198" t="s">
        <v>9845</v>
      </c>
      <c r="C3855" s="198" t="s">
        <v>23</v>
      </c>
      <c r="D3855" s="198" t="s">
        <v>404</v>
      </c>
      <c r="E3855" s="198" t="s">
        <v>114</v>
      </c>
      <c r="F3855" s="4" t="s">
        <v>2657</v>
      </c>
      <c r="G3855" s="4" t="s">
        <v>2657</v>
      </c>
      <c r="H3855" s="4" t="s">
        <v>521</v>
      </c>
      <c r="I3855" s="198"/>
      <c r="J3855" s="71" t="s">
        <v>2272</v>
      </c>
      <c r="K3855" s="71" t="s">
        <v>2272</v>
      </c>
      <c r="L3855" s="71" t="s">
        <v>2272</v>
      </c>
      <c r="M3855" s="71" t="s">
        <v>2272</v>
      </c>
      <c r="N3855" s="71" t="s">
        <v>2272</v>
      </c>
      <c r="O3855" s="71" t="s">
        <v>2272</v>
      </c>
      <c r="P3855" s="71" t="s">
        <v>2272</v>
      </c>
      <c r="Q3855" s="71" t="s">
        <v>2272</v>
      </c>
      <c r="R3855" s="71" t="s">
        <v>2272</v>
      </c>
      <c r="S3855" s="71" t="s">
        <v>2272</v>
      </c>
      <c r="T3855" s="71" t="s">
        <v>2272</v>
      </c>
      <c r="U3855" s="71" t="s">
        <v>2272</v>
      </c>
      <c r="V3855" s="71" t="s">
        <v>2272</v>
      </c>
      <c r="W3855" s="71" t="s">
        <v>2272</v>
      </c>
      <c r="X3855" s="71" t="s">
        <v>2272</v>
      </c>
      <c r="Y3855" s="71" t="s">
        <v>2272</v>
      </c>
      <c r="Z3855" s="71" t="s">
        <v>2272</v>
      </c>
      <c r="AA3855" s="71" t="s">
        <v>2272</v>
      </c>
      <c r="AB3855" s="71" t="s">
        <v>2272</v>
      </c>
      <c r="AC3855" s="71" t="s">
        <v>2272</v>
      </c>
      <c r="AD3855" s="4" t="s">
        <v>9850</v>
      </c>
      <c r="AE3855" s="198"/>
    </row>
    <row r="3856" spans="1:31" ht="44.5" customHeight="1">
      <c r="A3856" s="198" t="s">
        <v>9839</v>
      </c>
      <c r="B3856" s="198" t="s">
        <v>9846</v>
      </c>
      <c r="C3856" s="198" t="s">
        <v>23</v>
      </c>
      <c r="D3856" s="198" t="s">
        <v>4157</v>
      </c>
      <c r="E3856" s="198" t="s">
        <v>860</v>
      </c>
      <c r="F3856" s="4" t="s">
        <v>2657</v>
      </c>
      <c r="G3856" s="4" t="s">
        <v>2657</v>
      </c>
      <c r="H3856" s="4" t="s">
        <v>521</v>
      </c>
      <c r="I3856" s="198"/>
      <c r="J3856" s="71" t="s">
        <v>2272</v>
      </c>
      <c r="K3856" s="71" t="s">
        <v>2272</v>
      </c>
      <c r="L3856" s="71" t="s">
        <v>2272</v>
      </c>
      <c r="M3856" s="71" t="s">
        <v>2272</v>
      </c>
      <c r="N3856" s="71" t="s">
        <v>2272</v>
      </c>
      <c r="O3856" s="71" t="s">
        <v>2272</v>
      </c>
      <c r="P3856" s="71" t="s">
        <v>2272</v>
      </c>
      <c r="Q3856" s="71" t="s">
        <v>2272</v>
      </c>
      <c r="R3856" s="71" t="s">
        <v>2272</v>
      </c>
      <c r="S3856" s="71" t="s">
        <v>2272</v>
      </c>
      <c r="T3856" s="71" t="s">
        <v>2272</v>
      </c>
      <c r="U3856" s="71" t="s">
        <v>2272</v>
      </c>
      <c r="V3856" s="71" t="s">
        <v>2272</v>
      </c>
      <c r="W3856" s="71" t="s">
        <v>2272</v>
      </c>
      <c r="X3856" s="71" t="s">
        <v>2272</v>
      </c>
      <c r="Y3856" s="71" t="s">
        <v>2272</v>
      </c>
      <c r="Z3856" s="71" t="s">
        <v>2272</v>
      </c>
      <c r="AA3856" s="71" t="s">
        <v>2272</v>
      </c>
      <c r="AB3856" s="71" t="s">
        <v>2272</v>
      </c>
      <c r="AC3856" s="71" t="s">
        <v>2272</v>
      </c>
      <c r="AD3856" s="71" t="s">
        <v>9847</v>
      </c>
      <c r="AE3856" s="198"/>
    </row>
    <row r="3857" spans="1:31" ht="40" customHeight="1">
      <c r="A3857" s="198" t="s">
        <v>9839</v>
      </c>
      <c r="B3857" s="198" t="s">
        <v>9848</v>
      </c>
      <c r="C3857" s="198" t="s">
        <v>2453</v>
      </c>
      <c r="D3857" s="198" t="s">
        <v>4157</v>
      </c>
      <c r="E3857" s="198" t="s">
        <v>860</v>
      </c>
      <c r="F3857" s="4" t="s">
        <v>2657</v>
      </c>
      <c r="G3857" s="4" t="s">
        <v>2657</v>
      </c>
      <c r="H3857" s="4" t="s">
        <v>521</v>
      </c>
      <c r="I3857" s="198"/>
      <c r="J3857" s="71" t="s">
        <v>2272</v>
      </c>
      <c r="K3857" s="71" t="s">
        <v>2272</v>
      </c>
      <c r="L3857" s="71" t="s">
        <v>2272</v>
      </c>
      <c r="M3857" s="71" t="s">
        <v>2272</v>
      </c>
      <c r="N3857" s="71" t="s">
        <v>2272</v>
      </c>
      <c r="O3857" s="71" t="s">
        <v>2272</v>
      </c>
      <c r="P3857" s="71" t="s">
        <v>2272</v>
      </c>
      <c r="Q3857" s="71" t="s">
        <v>2272</v>
      </c>
      <c r="R3857" s="71" t="s">
        <v>2272</v>
      </c>
      <c r="S3857" s="71" t="s">
        <v>2272</v>
      </c>
      <c r="T3857" s="71" t="s">
        <v>2272</v>
      </c>
      <c r="U3857" s="71" t="s">
        <v>2272</v>
      </c>
      <c r="V3857" s="71" t="s">
        <v>2272</v>
      </c>
      <c r="W3857" s="71" t="s">
        <v>2272</v>
      </c>
      <c r="X3857" s="71" t="s">
        <v>2272</v>
      </c>
      <c r="Y3857" s="71" t="s">
        <v>2272</v>
      </c>
      <c r="Z3857" s="71" t="s">
        <v>2272</v>
      </c>
      <c r="AA3857" s="71" t="s">
        <v>2272</v>
      </c>
      <c r="AB3857" s="71" t="s">
        <v>2272</v>
      </c>
      <c r="AC3857" s="71" t="s">
        <v>2272</v>
      </c>
      <c r="AD3857" s="198"/>
      <c r="AE3857" s="198"/>
    </row>
    <row r="3858" spans="1:31" ht="39" customHeight="1">
      <c r="A3858" s="198" t="s">
        <v>9839</v>
      </c>
      <c r="B3858" s="198" t="s">
        <v>9849</v>
      </c>
      <c r="C3858" s="198" t="s">
        <v>2453</v>
      </c>
      <c r="D3858" s="198" t="s">
        <v>1238</v>
      </c>
      <c r="E3858" s="198" t="s">
        <v>114</v>
      </c>
      <c r="F3858" s="4" t="s">
        <v>73</v>
      </c>
      <c r="G3858" s="4" t="s">
        <v>73</v>
      </c>
      <c r="H3858" s="4" t="s">
        <v>521</v>
      </c>
      <c r="I3858" s="198"/>
      <c r="J3858" s="71" t="s">
        <v>2272</v>
      </c>
      <c r="K3858" s="71" t="s">
        <v>2272</v>
      </c>
      <c r="L3858" s="71" t="s">
        <v>2272</v>
      </c>
      <c r="M3858" s="71" t="s">
        <v>2272</v>
      </c>
      <c r="N3858" s="71" t="s">
        <v>2272</v>
      </c>
      <c r="O3858" s="71" t="s">
        <v>2272</v>
      </c>
      <c r="P3858" s="71" t="s">
        <v>2272</v>
      </c>
      <c r="Q3858" s="71" t="s">
        <v>2272</v>
      </c>
      <c r="R3858" s="71" t="s">
        <v>2272</v>
      </c>
      <c r="S3858" s="71" t="s">
        <v>2272</v>
      </c>
      <c r="T3858" s="71" t="s">
        <v>2272</v>
      </c>
      <c r="U3858" s="71" t="s">
        <v>2272</v>
      </c>
      <c r="V3858" s="71" t="s">
        <v>2272</v>
      </c>
      <c r="W3858" s="71" t="s">
        <v>2272</v>
      </c>
      <c r="X3858" s="71" t="s">
        <v>2272</v>
      </c>
      <c r="Y3858" s="71" t="s">
        <v>2272</v>
      </c>
      <c r="Z3858" s="71" t="s">
        <v>2272</v>
      </c>
      <c r="AA3858" s="71" t="s">
        <v>2272</v>
      </c>
      <c r="AB3858" s="71" t="s">
        <v>2272</v>
      </c>
      <c r="AC3858" s="71" t="s">
        <v>2272</v>
      </c>
      <c r="AD3858" s="4" t="s">
        <v>9851</v>
      </c>
      <c r="AE3858" s="198"/>
    </row>
    <row r="3859" spans="1:31" ht="51" customHeight="1">
      <c r="A3859" s="198" t="s">
        <v>9859</v>
      </c>
      <c r="B3859" s="198" t="s">
        <v>9862</v>
      </c>
      <c r="C3859" s="198" t="s">
        <v>23</v>
      </c>
      <c r="D3859" s="198" t="s">
        <v>141</v>
      </c>
      <c r="E3859" s="198" t="s">
        <v>128</v>
      </c>
      <c r="F3859" s="4" t="s">
        <v>73</v>
      </c>
      <c r="G3859" s="4" t="s">
        <v>73</v>
      </c>
      <c r="H3859" s="4" t="s">
        <v>521</v>
      </c>
      <c r="I3859" s="198"/>
      <c r="J3859" s="71" t="s">
        <v>2272</v>
      </c>
      <c r="K3859" s="21">
        <f>$U3859/$Q3859/'Record info'!$K$1552</f>
        <v>0.15297017081669073</v>
      </c>
      <c r="L3859" s="71" t="s">
        <v>2272</v>
      </c>
      <c r="M3859" s="71" t="s">
        <v>2272</v>
      </c>
      <c r="N3859" s="71" t="s">
        <v>2272</v>
      </c>
      <c r="O3859" s="71" t="s">
        <v>2272</v>
      </c>
      <c r="P3859" s="71" t="s">
        <v>2272</v>
      </c>
      <c r="Q3859" s="21">
        <f>0.29/0.85</f>
        <v>0.3411764705882353</v>
      </c>
      <c r="R3859" s="71" t="s">
        <v>2272</v>
      </c>
      <c r="S3859" s="71" t="s">
        <v>2272</v>
      </c>
      <c r="T3859" s="71" t="s">
        <v>2272</v>
      </c>
      <c r="U3859" s="21">
        <f>20/0.35*0.29*(0.45/0.85)/5</f>
        <v>1.7546218487394956</v>
      </c>
      <c r="V3859" s="71" t="s">
        <v>2272</v>
      </c>
      <c r="W3859" s="71" t="s">
        <v>2272</v>
      </c>
      <c r="X3859" s="71" t="s">
        <v>2272</v>
      </c>
      <c r="Y3859" s="21">
        <f>U3859/'Record info'!K$1552</f>
        <v>5.2189822984518013E-2</v>
      </c>
      <c r="Z3859" s="71" t="s">
        <v>2272</v>
      </c>
      <c r="AA3859" s="71" t="s">
        <v>2272</v>
      </c>
      <c r="AB3859" s="71" t="s">
        <v>2272</v>
      </c>
      <c r="AC3859" s="71" t="s">
        <v>2272</v>
      </c>
      <c r="AD3859" s="198"/>
      <c r="AE3859" s="198" t="s">
        <v>9868</v>
      </c>
    </row>
    <row r="3860" spans="1:31" ht="59" customHeight="1">
      <c r="A3860" s="198" t="s">
        <v>9859</v>
      </c>
      <c r="B3860" s="198" t="s">
        <v>9863</v>
      </c>
      <c r="C3860" s="198" t="s">
        <v>23</v>
      </c>
      <c r="D3860" s="198" t="s">
        <v>26</v>
      </c>
      <c r="E3860" s="4" t="s">
        <v>395</v>
      </c>
      <c r="F3860" s="4" t="s">
        <v>73</v>
      </c>
      <c r="G3860" s="4" t="s">
        <v>73</v>
      </c>
      <c r="H3860" s="4" t="s">
        <v>521</v>
      </c>
      <c r="I3860" s="198"/>
      <c r="J3860" s="71" t="s">
        <v>2272</v>
      </c>
      <c r="K3860" s="21">
        <f>$U3860/$Q3860/'Record info'!$K$1552</f>
        <v>0.21447285048038656</v>
      </c>
      <c r="L3860" s="71" t="s">
        <v>2272</v>
      </c>
      <c r="M3860" s="71" t="s">
        <v>2272</v>
      </c>
      <c r="N3860" s="71" t="s">
        <v>2272</v>
      </c>
      <c r="O3860" s="71" t="s">
        <v>2272</v>
      </c>
      <c r="P3860" s="71" t="s">
        <v>2272</v>
      </c>
      <c r="Q3860" s="21">
        <f>AVERAGE(0.29/0.85, 0.09/0.5)</f>
        <v>0.26058823529411768</v>
      </c>
      <c r="R3860" s="71" t="s">
        <v>2272</v>
      </c>
      <c r="S3860" s="71" t="s">
        <v>2272</v>
      </c>
      <c r="T3860" s="71" t="s">
        <v>2272</v>
      </c>
      <c r="U3860" s="21">
        <f>20/0.35*((0.29*(0.35/0.85))+(0.09*(0.15/0.3)))/5</f>
        <v>1.8789915966386554</v>
      </c>
      <c r="V3860" s="71" t="s">
        <v>2272</v>
      </c>
      <c r="W3860" s="71" t="s">
        <v>2272</v>
      </c>
      <c r="X3860" s="71" t="s">
        <v>2272</v>
      </c>
      <c r="Y3860" s="21">
        <f>U3860/'Record info'!K$1552</f>
        <v>5.5889101625183096E-2</v>
      </c>
      <c r="Z3860" s="71" t="s">
        <v>2272</v>
      </c>
      <c r="AA3860" s="71" t="s">
        <v>2272</v>
      </c>
      <c r="AB3860" s="71" t="s">
        <v>2272</v>
      </c>
      <c r="AC3860" s="71" t="s">
        <v>2272</v>
      </c>
      <c r="AD3860" s="4" t="s">
        <v>9864</v>
      </c>
      <c r="AE3860" s="198" t="s">
        <v>9868</v>
      </c>
    </row>
    <row r="3861" spans="1:31" ht="55.5" customHeight="1">
      <c r="A3861" s="198" t="s">
        <v>9859</v>
      </c>
      <c r="B3861" s="198" t="s">
        <v>9865</v>
      </c>
      <c r="C3861" s="198" t="s">
        <v>23</v>
      </c>
      <c r="D3861" s="198" t="s">
        <v>141</v>
      </c>
      <c r="E3861" s="4" t="s">
        <v>2646</v>
      </c>
      <c r="F3861" s="4" t="s">
        <v>73</v>
      </c>
      <c r="G3861" s="4" t="s">
        <v>73</v>
      </c>
      <c r="H3861" s="4" t="s">
        <v>521</v>
      </c>
      <c r="I3861" s="198"/>
      <c r="J3861" s="71" t="s">
        <v>2272</v>
      </c>
      <c r="K3861" s="21">
        <f>$U3861/$Q3861/'Record info'!$K$1552</f>
        <v>4.483608454971969E-3</v>
      </c>
      <c r="L3861" s="71" t="s">
        <v>2272</v>
      </c>
      <c r="M3861" s="71" t="s">
        <v>2272</v>
      </c>
      <c r="N3861" s="71" t="s">
        <v>2272</v>
      </c>
      <c r="O3861" s="71" t="s">
        <v>2272</v>
      </c>
      <c r="P3861" s="71" t="s">
        <v>2272</v>
      </c>
      <c r="Q3861" s="21">
        <f>0.29/0.85</f>
        <v>0.3411764705882353</v>
      </c>
      <c r="R3861" s="71" t="s">
        <v>2272</v>
      </c>
      <c r="S3861" s="71" t="s">
        <v>2272</v>
      </c>
      <c r="T3861" s="71" t="s">
        <v>2272</v>
      </c>
      <c r="U3861" s="21">
        <f>20/0.35*0.009*(0.5)/5</f>
        <v>5.1428571428571421E-2</v>
      </c>
      <c r="V3861" s="71" t="s">
        <v>2272</v>
      </c>
      <c r="W3861" s="71" t="s">
        <v>2272</v>
      </c>
      <c r="X3861" s="71" t="s">
        <v>2272</v>
      </c>
      <c r="Y3861" s="21">
        <f>U3861/'Record info'!K$1552</f>
        <v>1.5297017081669073E-3</v>
      </c>
      <c r="Z3861" s="71" t="s">
        <v>2272</v>
      </c>
      <c r="AA3861" s="71" t="s">
        <v>2272</v>
      </c>
      <c r="AB3861" s="71" t="s">
        <v>2272</v>
      </c>
      <c r="AC3861" s="71" t="s">
        <v>2272</v>
      </c>
      <c r="AD3861" s="198"/>
      <c r="AE3861" s="198" t="s">
        <v>9868</v>
      </c>
    </row>
    <row r="3862" spans="1:31" ht="52.5" customHeight="1">
      <c r="A3862" s="198" t="s">
        <v>9874</v>
      </c>
      <c r="B3862" s="198" t="s">
        <v>9883</v>
      </c>
      <c r="C3862" s="198" t="s">
        <v>23</v>
      </c>
      <c r="D3862" s="198" t="s">
        <v>4157</v>
      </c>
      <c r="E3862" s="4" t="s">
        <v>114</v>
      </c>
      <c r="F3862" s="4" t="s">
        <v>73</v>
      </c>
      <c r="G3862" s="4" t="s">
        <v>73</v>
      </c>
      <c r="H3862" s="4" t="s">
        <v>521</v>
      </c>
      <c r="I3862" s="198"/>
      <c r="J3862" s="71" t="s">
        <v>2272</v>
      </c>
      <c r="K3862" s="71" t="s">
        <v>2272</v>
      </c>
      <c r="L3862" s="71" t="s">
        <v>2272</v>
      </c>
      <c r="M3862" s="71" t="s">
        <v>2272</v>
      </c>
      <c r="N3862" s="71" t="s">
        <v>2272</v>
      </c>
      <c r="O3862" s="71" t="s">
        <v>2272</v>
      </c>
      <c r="P3862" s="71" t="s">
        <v>2272</v>
      </c>
      <c r="Q3862" s="71" t="s">
        <v>2272</v>
      </c>
      <c r="R3862" s="71" t="s">
        <v>2272</v>
      </c>
      <c r="S3862" s="71" t="s">
        <v>2272</v>
      </c>
      <c r="T3862" s="71" t="s">
        <v>2272</v>
      </c>
      <c r="U3862" s="71" t="s">
        <v>2272</v>
      </c>
      <c r="V3862" s="71" t="s">
        <v>2272</v>
      </c>
      <c r="W3862" s="71" t="s">
        <v>2272</v>
      </c>
      <c r="X3862" s="71" t="s">
        <v>2272</v>
      </c>
      <c r="Y3862" s="71" t="s">
        <v>2272</v>
      </c>
      <c r="Z3862" s="71" t="s">
        <v>2272</v>
      </c>
      <c r="AA3862" s="71" t="s">
        <v>2272</v>
      </c>
      <c r="AB3862" s="71" t="s">
        <v>2272</v>
      </c>
      <c r="AC3862" s="71" t="s">
        <v>2272</v>
      </c>
      <c r="AD3862" s="4"/>
      <c r="AE3862" s="198"/>
    </row>
    <row r="3863" spans="1:31" ht="52.5" customHeight="1">
      <c r="A3863" s="198" t="s">
        <v>9874</v>
      </c>
      <c r="B3863" s="198" t="s">
        <v>9884</v>
      </c>
      <c r="C3863" s="198" t="s">
        <v>23</v>
      </c>
      <c r="D3863" s="198" t="s">
        <v>3475</v>
      </c>
      <c r="E3863" s="4" t="s">
        <v>114</v>
      </c>
      <c r="F3863" s="4" t="s">
        <v>73</v>
      </c>
      <c r="G3863" s="4" t="s">
        <v>73</v>
      </c>
      <c r="H3863" s="4" t="s">
        <v>521</v>
      </c>
      <c r="I3863" s="198"/>
      <c r="J3863" s="71" t="s">
        <v>2272</v>
      </c>
      <c r="K3863" s="71" t="s">
        <v>2272</v>
      </c>
      <c r="L3863" s="71" t="s">
        <v>2272</v>
      </c>
      <c r="M3863" s="71" t="s">
        <v>2272</v>
      </c>
      <c r="N3863" s="71" t="s">
        <v>2272</v>
      </c>
      <c r="O3863" s="71" t="s">
        <v>2272</v>
      </c>
      <c r="P3863" s="71" t="s">
        <v>2272</v>
      </c>
      <c r="Q3863" s="71" t="s">
        <v>2272</v>
      </c>
      <c r="R3863" s="71" t="s">
        <v>2272</v>
      </c>
      <c r="S3863" s="71" t="s">
        <v>2272</v>
      </c>
      <c r="T3863" s="71" t="s">
        <v>2272</v>
      </c>
      <c r="U3863" s="71" t="s">
        <v>2272</v>
      </c>
      <c r="V3863" s="71" t="s">
        <v>2272</v>
      </c>
      <c r="W3863" s="71" t="s">
        <v>2272</v>
      </c>
      <c r="X3863" s="71" t="s">
        <v>2272</v>
      </c>
      <c r="Y3863" s="71" t="s">
        <v>2272</v>
      </c>
      <c r="Z3863" s="71" t="s">
        <v>2272</v>
      </c>
      <c r="AA3863" s="71" t="s">
        <v>2272</v>
      </c>
      <c r="AB3863" s="71" t="s">
        <v>2272</v>
      </c>
      <c r="AC3863" s="71" t="s">
        <v>2272</v>
      </c>
      <c r="AD3863" s="4"/>
      <c r="AE3863" s="198"/>
    </row>
    <row r="3864" spans="1:31" ht="52.5" customHeight="1">
      <c r="A3864" s="198" t="s">
        <v>9874</v>
      </c>
      <c r="B3864" s="198" t="s">
        <v>9885</v>
      </c>
      <c r="C3864" s="198" t="s">
        <v>23</v>
      </c>
      <c r="D3864" s="198" t="s">
        <v>24</v>
      </c>
      <c r="E3864" s="4" t="s">
        <v>44</v>
      </c>
      <c r="F3864" s="4" t="s">
        <v>2657</v>
      </c>
      <c r="G3864" s="4" t="s">
        <v>2657</v>
      </c>
      <c r="H3864" s="4" t="s">
        <v>521</v>
      </c>
      <c r="I3864" s="198"/>
      <c r="J3864" s="71" t="s">
        <v>2272</v>
      </c>
      <c r="K3864" s="71" t="s">
        <v>2272</v>
      </c>
      <c r="L3864" s="71" t="s">
        <v>2272</v>
      </c>
      <c r="M3864" s="71" t="s">
        <v>2272</v>
      </c>
      <c r="N3864" s="71" t="s">
        <v>2272</v>
      </c>
      <c r="O3864" s="71" t="s">
        <v>2272</v>
      </c>
      <c r="P3864" s="71" t="s">
        <v>2272</v>
      </c>
      <c r="Q3864" s="71" t="s">
        <v>2272</v>
      </c>
      <c r="R3864" s="71" t="s">
        <v>2272</v>
      </c>
      <c r="S3864" s="71" t="s">
        <v>2272</v>
      </c>
      <c r="T3864" s="71" t="s">
        <v>2272</v>
      </c>
      <c r="U3864" s="71" t="s">
        <v>2272</v>
      </c>
      <c r="V3864" s="71" t="s">
        <v>2272</v>
      </c>
      <c r="W3864" s="71" t="s">
        <v>2272</v>
      </c>
      <c r="X3864" s="71" t="s">
        <v>2272</v>
      </c>
      <c r="Y3864" s="71" t="s">
        <v>2272</v>
      </c>
      <c r="Z3864" s="71" t="s">
        <v>2272</v>
      </c>
      <c r="AA3864" s="71" t="s">
        <v>2272</v>
      </c>
      <c r="AB3864" s="71" t="s">
        <v>2272</v>
      </c>
      <c r="AC3864" s="71" t="s">
        <v>2272</v>
      </c>
      <c r="AD3864" s="4"/>
      <c r="AE3864" s="198"/>
    </row>
    <row r="3865" spans="1:31" ht="52.5" customHeight="1">
      <c r="A3865" s="198" t="s">
        <v>9874</v>
      </c>
      <c r="B3865" s="198" t="s">
        <v>9886</v>
      </c>
      <c r="C3865" s="198" t="s">
        <v>23</v>
      </c>
      <c r="D3865" s="198" t="s">
        <v>1241</v>
      </c>
      <c r="E3865" s="4" t="s">
        <v>114</v>
      </c>
      <c r="F3865" s="4" t="s">
        <v>73</v>
      </c>
      <c r="G3865" s="4" t="s">
        <v>73</v>
      </c>
      <c r="H3865" s="4" t="s">
        <v>521</v>
      </c>
      <c r="I3865" s="198"/>
      <c r="J3865" s="71" t="s">
        <v>2272</v>
      </c>
      <c r="K3865" s="71" t="s">
        <v>2272</v>
      </c>
      <c r="L3865" s="71" t="s">
        <v>2272</v>
      </c>
      <c r="M3865" s="71" t="s">
        <v>2272</v>
      </c>
      <c r="N3865" s="71" t="s">
        <v>2272</v>
      </c>
      <c r="O3865" s="71" t="s">
        <v>2272</v>
      </c>
      <c r="P3865" s="71" t="s">
        <v>2272</v>
      </c>
      <c r="Q3865" s="71" t="s">
        <v>2272</v>
      </c>
      <c r="R3865" s="71" t="s">
        <v>2272</v>
      </c>
      <c r="S3865" s="71" t="s">
        <v>2272</v>
      </c>
      <c r="T3865" s="71" t="s">
        <v>2272</v>
      </c>
      <c r="U3865" s="71" t="s">
        <v>2272</v>
      </c>
      <c r="V3865" s="71" t="s">
        <v>2272</v>
      </c>
      <c r="W3865" s="71" t="s">
        <v>2272</v>
      </c>
      <c r="X3865" s="71" t="s">
        <v>2272</v>
      </c>
      <c r="Y3865" s="71" t="s">
        <v>2272</v>
      </c>
      <c r="Z3865" s="71" t="s">
        <v>2272</v>
      </c>
      <c r="AA3865" s="71" t="s">
        <v>2272</v>
      </c>
      <c r="AB3865" s="71" t="s">
        <v>2272</v>
      </c>
      <c r="AC3865" s="71" t="s">
        <v>2272</v>
      </c>
      <c r="AD3865" s="4"/>
      <c r="AE3865" s="198"/>
    </row>
    <row r="3866" spans="1:31" ht="52.5" customHeight="1">
      <c r="A3866" s="198" t="s">
        <v>9874</v>
      </c>
      <c r="B3866" s="198" t="s">
        <v>9888</v>
      </c>
      <c r="C3866" s="198" t="s">
        <v>23</v>
      </c>
      <c r="D3866" s="198" t="s">
        <v>25</v>
      </c>
      <c r="E3866" s="4" t="s">
        <v>44</v>
      </c>
      <c r="F3866" s="4" t="s">
        <v>2657</v>
      </c>
      <c r="G3866" s="4" t="s">
        <v>2657</v>
      </c>
      <c r="H3866" s="4" t="s">
        <v>521</v>
      </c>
      <c r="I3866" s="198"/>
      <c r="J3866" s="71" t="s">
        <v>2272</v>
      </c>
      <c r="K3866" s="71" t="s">
        <v>2272</v>
      </c>
      <c r="L3866" s="71" t="s">
        <v>2272</v>
      </c>
      <c r="M3866" s="71" t="s">
        <v>2272</v>
      </c>
      <c r="N3866" s="71" t="s">
        <v>2272</v>
      </c>
      <c r="O3866" s="71" t="s">
        <v>2272</v>
      </c>
      <c r="P3866" s="71" t="s">
        <v>2272</v>
      </c>
      <c r="Q3866" s="71" t="s">
        <v>2272</v>
      </c>
      <c r="R3866" s="71" t="s">
        <v>2272</v>
      </c>
      <c r="S3866" s="71" t="s">
        <v>2272</v>
      </c>
      <c r="T3866" s="71" t="s">
        <v>2272</v>
      </c>
      <c r="U3866" s="71" t="s">
        <v>2272</v>
      </c>
      <c r="V3866" s="71" t="s">
        <v>2272</v>
      </c>
      <c r="W3866" s="71" t="s">
        <v>2272</v>
      </c>
      <c r="X3866" s="71" t="s">
        <v>2272</v>
      </c>
      <c r="Y3866" s="71" t="s">
        <v>2272</v>
      </c>
      <c r="Z3866" s="71" t="s">
        <v>2272</v>
      </c>
      <c r="AA3866" s="71" t="s">
        <v>2272</v>
      </c>
      <c r="AB3866" s="71" t="s">
        <v>2272</v>
      </c>
      <c r="AC3866" s="71" t="s">
        <v>2272</v>
      </c>
      <c r="AD3866" s="4"/>
      <c r="AE3866" s="198"/>
    </row>
    <row r="3867" spans="1:31" ht="52.5" customHeight="1">
      <c r="A3867" s="198" t="s">
        <v>9874</v>
      </c>
      <c r="B3867" s="198" t="s">
        <v>9889</v>
      </c>
      <c r="C3867" s="198" t="s">
        <v>2453</v>
      </c>
      <c r="D3867" s="198" t="s">
        <v>2272</v>
      </c>
      <c r="E3867" s="4" t="s">
        <v>128</v>
      </c>
      <c r="F3867" s="4" t="s">
        <v>27</v>
      </c>
      <c r="G3867" s="4" t="s">
        <v>73</v>
      </c>
      <c r="H3867" s="4" t="s">
        <v>521</v>
      </c>
      <c r="I3867" s="198"/>
      <c r="J3867" s="71" t="s">
        <v>2272</v>
      </c>
      <c r="K3867" s="71" t="s">
        <v>2272</v>
      </c>
      <c r="L3867" s="71" t="s">
        <v>2272</v>
      </c>
      <c r="M3867" s="71" t="s">
        <v>2272</v>
      </c>
      <c r="N3867" s="71" t="s">
        <v>2272</v>
      </c>
      <c r="O3867" s="71" t="s">
        <v>2272</v>
      </c>
      <c r="P3867" s="71" t="s">
        <v>2272</v>
      </c>
      <c r="Q3867" s="71" t="s">
        <v>2272</v>
      </c>
      <c r="R3867" s="71" t="s">
        <v>2272</v>
      </c>
      <c r="S3867" s="71" t="s">
        <v>2272</v>
      </c>
      <c r="T3867" s="71" t="s">
        <v>2272</v>
      </c>
      <c r="U3867" s="71" t="s">
        <v>2272</v>
      </c>
      <c r="V3867" s="71" t="s">
        <v>2272</v>
      </c>
      <c r="W3867" s="71" t="s">
        <v>2272</v>
      </c>
      <c r="X3867" s="71" t="s">
        <v>2272</v>
      </c>
      <c r="Y3867" s="71" t="s">
        <v>2272</v>
      </c>
      <c r="Z3867" s="71" t="s">
        <v>2272</v>
      </c>
      <c r="AA3867" s="71" t="s">
        <v>2272</v>
      </c>
      <c r="AB3867" s="71" t="s">
        <v>2272</v>
      </c>
      <c r="AC3867" s="71" t="s">
        <v>2272</v>
      </c>
      <c r="AD3867" s="4"/>
      <c r="AE3867" s="198"/>
    </row>
    <row r="3868" spans="1:31" ht="52.5" customHeight="1">
      <c r="A3868" s="198" t="s">
        <v>9874</v>
      </c>
      <c r="B3868" s="198" t="s">
        <v>9890</v>
      </c>
      <c r="C3868" s="198" t="s">
        <v>23</v>
      </c>
      <c r="D3868" s="198" t="s">
        <v>2342</v>
      </c>
      <c r="E3868" s="4" t="s">
        <v>2272</v>
      </c>
      <c r="F3868" s="4" t="s">
        <v>73</v>
      </c>
      <c r="G3868" s="4" t="s">
        <v>73</v>
      </c>
      <c r="H3868" s="4" t="s">
        <v>521</v>
      </c>
      <c r="I3868" s="198"/>
      <c r="J3868" s="71" t="s">
        <v>2272</v>
      </c>
      <c r="K3868" s="71" t="s">
        <v>2272</v>
      </c>
      <c r="L3868" s="71" t="s">
        <v>2272</v>
      </c>
      <c r="M3868" s="71" t="s">
        <v>2272</v>
      </c>
      <c r="N3868" s="71" t="s">
        <v>2272</v>
      </c>
      <c r="O3868" s="71" t="s">
        <v>2272</v>
      </c>
      <c r="P3868" s="71" t="s">
        <v>2272</v>
      </c>
      <c r="Q3868" s="71" t="s">
        <v>2272</v>
      </c>
      <c r="R3868" s="71" t="s">
        <v>2272</v>
      </c>
      <c r="S3868" s="71" t="s">
        <v>2272</v>
      </c>
      <c r="T3868" s="71" t="s">
        <v>2272</v>
      </c>
      <c r="U3868" s="71" t="s">
        <v>2272</v>
      </c>
      <c r="V3868" s="71" t="s">
        <v>2272</v>
      </c>
      <c r="W3868" s="71" t="s">
        <v>2272</v>
      </c>
      <c r="X3868" s="71" t="s">
        <v>2272</v>
      </c>
      <c r="Y3868" s="71" t="s">
        <v>2272</v>
      </c>
      <c r="Z3868" s="71" t="s">
        <v>2272</v>
      </c>
      <c r="AA3868" s="71" t="s">
        <v>2272</v>
      </c>
      <c r="AB3868" s="71" t="s">
        <v>2272</v>
      </c>
      <c r="AC3868" s="71" t="s">
        <v>2272</v>
      </c>
      <c r="AD3868" s="4"/>
      <c r="AE3868" s="198"/>
    </row>
    <row r="3869" spans="1:31" ht="54.5" customHeight="1">
      <c r="A3869" s="198" t="s">
        <v>9878</v>
      </c>
      <c r="B3869" s="198" t="s">
        <v>9882</v>
      </c>
      <c r="C3869" s="198" t="s">
        <v>23</v>
      </c>
      <c r="D3869" s="198" t="s">
        <v>3475</v>
      </c>
      <c r="E3869" s="198" t="s">
        <v>114</v>
      </c>
      <c r="F3869" s="4" t="s">
        <v>73</v>
      </c>
      <c r="G3869" s="198" t="s">
        <v>73</v>
      </c>
      <c r="H3869" s="198" t="s">
        <v>521</v>
      </c>
      <c r="I3869" s="198"/>
      <c r="J3869" s="71" t="s">
        <v>2272</v>
      </c>
      <c r="K3869" s="71" t="s">
        <v>2272</v>
      </c>
      <c r="L3869" s="71" t="s">
        <v>2272</v>
      </c>
      <c r="M3869" s="71" t="s">
        <v>2272</v>
      </c>
      <c r="N3869" s="71" t="s">
        <v>2272</v>
      </c>
      <c r="O3869" s="71" t="s">
        <v>2272</v>
      </c>
      <c r="P3869" s="71" t="s">
        <v>2272</v>
      </c>
      <c r="Q3869" s="71" t="s">
        <v>2272</v>
      </c>
      <c r="R3869" s="71" t="s">
        <v>2272</v>
      </c>
      <c r="S3869" s="71" t="s">
        <v>2272</v>
      </c>
      <c r="T3869" s="71" t="s">
        <v>2272</v>
      </c>
      <c r="U3869" s="71" t="s">
        <v>2272</v>
      </c>
      <c r="V3869" s="71" t="s">
        <v>2272</v>
      </c>
      <c r="W3869" s="71" t="s">
        <v>2272</v>
      </c>
      <c r="X3869" s="71" t="s">
        <v>2272</v>
      </c>
      <c r="Y3869" s="71" t="s">
        <v>2272</v>
      </c>
      <c r="Z3869" s="71" t="s">
        <v>2272</v>
      </c>
      <c r="AA3869" s="71" t="s">
        <v>2272</v>
      </c>
      <c r="AB3869" s="71" t="s">
        <v>2272</v>
      </c>
      <c r="AC3869" s="71" t="s">
        <v>2272</v>
      </c>
      <c r="AD3869" s="198"/>
      <c r="AE3869" s="198"/>
    </row>
    <row r="3870" spans="1:31" ht="51.5" customHeight="1">
      <c r="A3870" s="198" t="s">
        <v>9891</v>
      </c>
      <c r="B3870" s="198" t="s">
        <v>9899</v>
      </c>
      <c r="C3870" s="198" t="s">
        <v>2453</v>
      </c>
      <c r="D3870" s="198" t="s">
        <v>2272</v>
      </c>
      <c r="E3870" s="198" t="s">
        <v>2272</v>
      </c>
      <c r="F3870" s="198" t="s">
        <v>2272</v>
      </c>
      <c r="G3870" s="198" t="s">
        <v>2272</v>
      </c>
      <c r="H3870" s="198" t="s">
        <v>521</v>
      </c>
      <c r="I3870" s="198"/>
      <c r="J3870" s="71" t="s">
        <v>2272</v>
      </c>
      <c r="K3870" s="21">
        <f>(0.53/2)*0.77*52/26/'Record info'!$K$1556</f>
        <v>3.412207357859532E-2</v>
      </c>
      <c r="L3870" s="71" t="s">
        <v>2272</v>
      </c>
      <c r="M3870" s="71" t="s">
        <v>2272</v>
      </c>
      <c r="N3870" s="71" t="s">
        <v>2272</v>
      </c>
      <c r="O3870" s="21">
        <v>20.7</v>
      </c>
      <c r="P3870" s="71" t="s">
        <v>2272</v>
      </c>
      <c r="Q3870" s="71" t="s">
        <v>2272</v>
      </c>
      <c r="R3870" s="71" t="s">
        <v>2272</v>
      </c>
      <c r="S3870" s="71" t="s">
        <v>2272</v>
      </c>
      <c r="T3870" s="71" t="s">
        <v>2272</v>
      </c>
      <c r="U3870" s="71" t="s">
        <v>2272</v>
      </c>
      <c r="V3870" s="71" t="s">
        <v>2272</v>
      </c>
      <c r="W3870" s="71" t="s">
        <v>2272</v>
      </c>
      <c r="X3870" s="71" t="s">
        <v>2272</v>
      </c>
      <c r="Y3870" s="21">
        <f>(0.53/2)*0.77*100*0.0022</f>
        <v>4.4891000000000007E-2</v>
      </c>
      <c r="Z3870" s="71" t="s">
        <v>2272</v>
      </c>
      <c r="AA3870" s="198" t="s">
        <v>187</v>
      </c>
      <c r="AB3870" s="198" t="s">
        <v>84</v>
      </c>
      <c r="AC3870" s="71" t="s">
        <v>2272</v>
      </c>
      <c r="AD3870" s="198"/>
      <c r="AE3870" s="198"/>
    </row>
    <row r="3871" spans="1:31" ht="51.5" customHeight="1">
      <c r="A3871" s="198" t="s">
        <v>9891</v>
      </c>
      <c r="B3871" s="198" t="s">
        <v>9900</v>
      </c>
      <c r="C3871" s="198" t="s">
        <v>2651</v>
      </c>
      <c r="D3871" s="198" t="s">
        <v>2272</v>
      </c>
      <c r="E3871" s="198" t="s">
        <v>2272</v>
      </c>
      <c r="F3871" s="198" t="s">
        <v>2272</v>
      </c>
      <c r="G3871" s="198" t="s">
        <v>2272</v>
      </c>
      <c r="H3871" s="198" t="s">
        <v>521</v>
      </c>
      <c r="I3871" s="198"/>
      <c r="J3871" s="71" t="s">
        <v>2272</v>
      </c>
      <c r="K3871" s="21">
        <f>(0.52/2)*0.02*52/26/'Record info'!$K$1556</f>
        <v>8.6956521739130438E-4</v>
      </c>
      <c r="L3871" s="71" t="s">
        <v>2272</v>
      </c>
      <c r="M3871" s="71" t="s">
        <v>2272</v>
      </c>
      <c r="N3871" s="71" t="s">
        <v>2272</v>
      </c>
      <c r="O3871" s="21">
        <v>20.7</v>
      </c>
      <c r="P3871" s="71" t="s">
        <v>2272</v>
      </c>
      <c r="Q3871" s="71" t="s">
        <v>2272</v>
      </c>
      <c r="R3871" s="71" t="s">
        <v>2272</v>
      </c>
      <c r="S3871" s="71" t="s">
        <v>2272</v>
      </c>
      <c r="T3871" s="71" t="s">
        <v>2272</v>
      </c>
      <c r="U3871" s="71" t="s">
        <v>2272</v>
      </c>
      <c r="V3871" s="71" t="s">
        <v>2272</v>
      </c>
      <c r="W3871" s="71" t="s">
        <v>2272</v>
      </c>
      <c r="X3871" s="71" t="s">
        <v>2272</v>
      </c>
      <c r="Y3871" s="21">
        <f>(0.52/2)*0.02*100*0.0022</f>
        <v>1.1440000000000001E-3</v>
      </c>
      <c r="Z3871" s="71" t="s">
        <v>2272</v>
      </c>
      <c r="AA3871" s="198" t="s">
        <v>187</v>
      </c>
      <c r="AB3871" s="198" t="s">
        <v>84</v>
      </c>
      <c r="AC3871" s="71" t="s">
        <v>2272</v>
      </c>
      <c r="AD3871" s="198"/>
      <c r="AE3871" s="198"/>
    </row>
    <row r="3872" spans="1:31" ht="51.5" customHeight="1">
      <c r="A3872" s="198" t="s">
        <v>9891</v>
      </c>
      <c r="B3872" s="198" t="s">
        <v>9901</v>
      </c>
      <c r="C3872" s="198" t="s">
        <v>2653</v>
      </c>
      <c r="D3872" s="198" t="s">
        <v>2272</v>
      </c>
      <c r="E3872" s="198" t="s">
        <v>2272</v>
      </c>
      <c r="F3872" s="198" t="s">
        <v>2272</v>
      </c>
      <c r="G3872" s="198" t="s">
        <v>2272</v>
      </c>
      <c r="H3872" s="198" t="s">
        <v>521</v>
      </c>
      <c r="I3872" s="198"/>
      <c r="J3872" s="71" t="s">
        <v>2272</v>
      </c>
      <c r="K3872" s="21">
        <f>(0.53/2)*0.21*52/26/'Record info'!$K$1556</f>
        <v>9.3060200668896292E-3</v>
      </c>
      <c r="L3872" s="71" t="s">
        <v>2272</v>
      </c>
      <c r="M3872" s="71" t="s">
        <v>2272</v>
      </c>
      <c r="N3872" s="71" t="s">
        <v>2272</v>
      </c>
      <c r="O3872" s="21">
        <v>20.7</v>
      </c>
      <c r="P3872" s="71" t="s">
        <v>2272</v>
      </c>
      <c r="Q3872" s="71" t="s">
        <v>2272</v>
      </c>
      <c r="R3872" s="71" t="s">
        <v>2272</v>
      </c>
      <c r="S3872" s="71" t="s">
        <v>2272</v>
      </c>
      <c r="T3872" s="71" t="s">
        <v>2272</v>
      </c>
      <c r="U3872" s="71" t="s">
        <v>2272</v>
      </c>
      <c r="V3872" s="71" t="s">
        <v>2272</v>
      </c>
      <c r="W3872" s="71" t="s">
        <v>2272</v>
      </c>
      <c r="X3872" s="71" t="s">
        <v>2272</v>
      </c>
      <c r="Y3872" s="21">
        <f>(0.53/2)*0.21*100*0.0022</f>
        <v>1.2243E-2</v>
      </c>
      <c r="Z3872" s="71" t="s">
        <v>2272</v>
      </c>
      <c r="AA3872" s="198" t="s">
        <v>187</v>
      </c>
      <c r="AB3872" s="198" t="s">
        <v>84</v>
      </c>
      <c r="AC3872" s="71" t="s">
        <v>2272</v>
      </c>
      <c r="AD3872" s="198"/>
      <c r="AE3872" s="198"/>
    </row>
    <row r="3873" spans="1:31" ht="51.5" customHeight="1">
      <c r="A3873" s="198" t="s">
        <v>9891</v>
      </c>
      <c r="B3873" s="198" t="s">
        <v>9902</v>
      </c>
      <c r="C3873" s="198" t="s">
        <v>2453</v>
      </c>
      <c r="D3873" s="198" t="s">
        <v>2272</v>
      </c>
      <c r="E3873" s="198" t="s">
        <v>2272</v>
      </c>
      <c r="F3873" s="198" t="s">
        <v>2272</v>
      </c>
      <c r="G3873" s="198" t="s">
        <v>2272</v>
      </c>
      <c r="H3873" s="198" t="s">
        <v>521</v>
      </c>
      <c r="I3873" s="198"/>
      <c r="J3873" s="71" t="s">
        <v>2272</v>
      </c>
      <c r="K3873" s="21">
        <f>0.47*0.77*52/26/'Record info'!$K$1556</f>
        <v>6.0518394648829424E-2</v>
      </c>
      <c r="L3873" s="71" t="s">
        <v>2272</v>
      </c>
      <c r="M3873" s="71" t="s">
        <v>2272</v>
      </c>
      <c r="N3873" s="71" t="s">
        <v>2272</v>
      </c>
      <c r="O3873" s="21">
        <v>20.7</v>
      </c>
      <c r="P3873" s="71" t="s">
        <v>2272</v>
      </c>
      <c r="Q3873" s="71" t="s">
        <v>2272</v>
      </c>
      <c r="R3873" s="71" t="s">
        <v>2272</v>
      </c>
      <c r="S3873" s="71" t="s">
        <v>2272</v>
      </c>
      <c r="T3873" s="71" t="s">
        <v>2272</v>
      </c>
      <c r="U3873" s="71" t="s">
        <v>2272</v>
      </c>
      <c r="V3873" s="71" t="s">
        <v>2272</v>
      </c>
      <c r="W3873" s="71" t="s">
        <v>2272</v>
      </c>
      <c r="X3873" s="71" t="s">
        <v>2272</v>
      </c>
      <c r="Y3873" s="21">
        <f>0.47*0.77*100*0.0022</f>
        <v>7.9617999999999994E-2</v>
      </c>
      <c r="Z3873" s="71" t="s">
        <v>2272</v>
      </c>
      <c r="AA3873" s="198" t="s">
        <v>33</v>
      </c>
      <c r="AB3873" s="198" t="s">
        <v>403</v>
      </c>
      <c r="AC3873" s="71" t="s">
        <v>2272</v>
      </c>
      <c r="AD3873" s="198"/>
      <c r="AE3873" s="198"/>
    </row>
    <row r="3874" spans="1:31" ht="51.5" customHeight="1">
      <c r="A3874" s="198" t="s">
        <v>9891</v>
      </c>
      <c r="B3874" s="198" t="s">
        <v>9903</v>
      </c>
      <c r="C3874" s="198" t="s">
        <v>2651</v>
      </c>
      <c r="D3874" s="198" t="s">
        <v>2272</v>
      </c>
      <c r="E3874" s="198" t="s">
        <v>2272</v>
      </c>
      <c r="F3874" s="198" t="s">
        <v>2272</v>
      </c>
      <c r="G3874" s="198" t="s">
        <v>2272</v>
      </c>
      <c r="H3874" s="198" t="s">
        <v>521</v>
      </c>
      <c r="I3874" s="198"/>
      <c r="J3874" s="71" t="s">
        <v>2272</v>
      </c>
      <c r="K3874" s="21">
        <f>0.47*0.02*52/26/'Record info'!$K$1556</f>
        <v>1.5719063545150502E-3</v>
      </c>
      <c r="L3874" s="71" t="s">
        <v>2272</v>
      </c>
      <c r="M3874" s="71" t="s">
        <v>2272</v>
      </c>
      <c r="N3874" s="71" t="s">
        <v>2272</v>
      </c>
      <c r="O3874" s="21">
        <v>20.7</v>
      </c>
      <c r="P3874" s="71" t="s">
        <v>2272</v>
      </c>
      <c r="Q3874" s="71" t="s">
        <v>2272</v>
      </c>
      <c r="R3874" s="71" t="s">
        <v>2272</v>
      </c>
      <c r="S3874" s="71" t="s">
        <v>2272</v>
      </c>
      <c r="T3874" s="71" t="s">
        <v>2272</v>
      </c>
      <c r="U3874" s="71" t="s">
        <v>2272</v>
      </c>
      <c r="V3874" s="71" t="s">
        <v>2272</v>
      </c>
      <c r="W3874" s="71" t="s">
        <v>2272</v>
      </c>
      <c r="X3874" s="71" t="s">
        <v>2272</v>
      </c>
      <c r="Y3874" s="21">
        <f>0.47*0.02*100*0.0022</f>
        <v>2.0680000000000004E-3</v>
      </c>
      <c r="Z3874" s="71" t="s">
        <v>2272</v>
      </c>
      <c r="AA3874" s="198" t="s">
        <v>33</v>
      </c>
      <c r="AB3874" s="198" t="s">
        <v>403</v>
      </c>
      <c r="AC3874" s="71" t="s">
        <v>2272</v>
      </c>
      <c r="AD3874" s="198"/>
      <c r="AE3874" s="198"/>
    </row>
    <row r="3875" spans="1:31" ht="59" customHeight="1">
      <c r="A3875" s="198" t="s">
        <v>9891</v>
      </c>
      <c r="B3875" s="198" t="s">
        <v>9904</v>
      </c>
      <c r="C3875" s="198" t="s">
        <v>2653</v>
      </c>
      <c r="D3875" s="198" t="s">
        <v>2272</v>
      </c>
      <c r="E3875" s="198" t="s">
        <v>2272</v>
      </c>
      <c r="F3875" s="198" t="s">
        <v>2272</v>
      </c>
      <c r="G3875" s="198" t="s">
        <v>2272</v>
      </c>
      <c r="H3875" s="198" t="s">
        <v>521</v>
      </c>
      <c r="I3875" s="198"/>
      <c r="J3875" s="71" t="s">
        <v>2272</v>
      </c>
      <c r="K3875" s="21">
        <f>0.47*0.21*52/26/'Record info'!$K$1556</f>
        <v>1.6505016722408027E-2</v>
      </c>
      <c r="L3875" s="71" t="s">
        <v>2272</v>
      </c>
      <c r="M3875" s="71" t="s">
        <v>2272</v>
      </c>
      <c r="N3875" s="71" t="s">
        <v>2272</v>
      </c>
      <c r="O3875" s="21">
        <v>20.7</v>
      </c>
      <c r="P3875" s="71" t="s">
        <v>2272</v>
      </c>
      <c r="Q3875" s="71" t="s">
        <v>2272</v>
      </c>
      <c r="R3875" s="71" t="s">
        <v>2272</v>
      </c>
      <c r="S3875" s="71" t="s">
        <v>2272</v>
      </c>
      <c r="T3875" s="71" t="s">
        <v>2272</v>
      </c>
      <c r="U3875" s="71" t="s">
        <v>2272</v>
      </c>
      <c r="V3875" s="71" t="s">
        <v>2272</v>
      </c>
      <c r="W3875" s="71" t="s">
        <v>2272</v>
      </c>
      <c r="X3875" s="71" t="s">
        <v>2272</v>
      </c>
      <c r="Y3875" s="21">
        <f>0.47*0.21*100*0.0022</f>
        <v>2.1714000000000001E-2</v>
      </c>
      <c r="Z3875" s="71" t="s">
        <v>2272</v>
      </c>
      <c r="AA3875" s="198" t="s">
        <v>33</v>
      </c>
      <c r="AB3875" s="198" t="s">
        <v>403</v>
      </c>
      <c r="AC3875" s="71" t="s">
        <v>2272</v>
      </c>
      <c r="AD3875" s="198"/>
      <c r="AE3875" s="198"/>
    </row>
    <row r="3876" spans="1:31" ht="59" customHeight="1">
      <c r="A3876" s="198" t="s">
        <v>9891</v>
      </c>
      <c r="B3876" s="198" t="s">
        <v>9905</v>
      </c>
      <c r="C3876" s="198" t="s">
        <v>2453</v>
      </c>
      <c r="D3876" s="198" t="s">
        <v>2272</v>
      </c>
      <c r="E3876" s="198" t="s">
        <v>2272</v>
      </c>
      <c r="F3876" s="198" t="s">
        <v>2272</v>
      </c>
      <c r="G3876" s="198" t="s">
        <v>2272</v>
      </c>
      <c r="H3876" s="198" t="s">
        <v>521</v>
      </c>
      <c r="I3876" s="198"/>
      <c r="J3876" s="71" t="s">
        <v>2272</v>
      </c>
      <c r="K3876" s="21">
        <f>(0.53/2)*0.77*52/26/'Record info'!$K$1556</f>
        <v>3.412207357859532E-2</v>
      </c>
      <c r="L3876" s="71" t="s">
        <v>2272</v>
      </c>
      <c r="M3876" s="71" t="s">
        <v>2272</v>
      </c>
      <c r="N3876" s="71" t="s">
        <v>2272</v>
      </c>
      <c r="O3876" s="21">
        <v>20.7</v>
      </c>
      <c r="P3876" s="71" t="s">
        <v>2272</v>
      </c>
      <c r="Q3876" s="71" t="s">
        <v>2272</v>
      </c>
      <c r="R3876" s="71" t="s">
        <v>2272</v>
      </c>
      <c r="S3876" s="71" t="s">
        <v>2272</v>
      </c>
      <c r="T3876" s="71" t="s">
        <v>2272</v>
      </c>
      <c r="U3876" s="71" t="s">
        <v>2272</v>
      </c>
      <c r="V3876" s="71" t="s">
        <v>2272</v>
      </c>
      <c r="W3876" s="71" t="s">
        <v>2272</v>
      </c>
      <c r="X3876" s="71" t="s">
        <v>2272</v>
      </c>
      <c r="Y3876" s="21">
        <f>(0.53/2)*0.77*100*0.0022</f>
        <v>4.4891000000000007E-2</v>
      </c>
      <c r="Z3876" s="71" t="s">
        <v>2272</v>
      </c>
      <c r="AA3876" s="198" t="s">
        <v>423</v>
      </c>
      <c r="AB3876" s="198" t="s">
        <v>34</v>
      </c>
      <c r="AC3876" s="71" t="s">
        <v>2272</v>
      </c>
      <c r="AD3876" s="198"/>
      <c r="AE3876" s="198"/>
    </row>
    <row r="3877" spans="1:31" ht="59" customHeight="1">
      <c r="A3877" s="198" t="s">
        <v>9891</v>
      </c>
      <c r="B3877" s="198" t="s">
        <v>9906</v>
      </c>
      <c r="C3877" s="198" t="s">
        <v>2651</v>
      </c>
      <c r="D3877" s="198" t="s">
        <v>2272</v>
      </c>
      <c r="E3877" s="198" t="s">
        <v>2272</v>
      </c>
      <c r="F3877" s="198" t="s">
        <v>2272</v>
      </c>
      <c r="G3877" s="198" t="s">
        <v>2272</v>
      </c>
      <c r="H3877" s="198" t="s">
        <v>521</v>
      </c>
      <c r="I3877" s="198"/>
      <c r="J3877" s="71" t="s">
        <v>2272</v>
      </c>
      <c r="K3877" s="21">
        <f>(0.52/2)*0.02*52/26/'Record info'!$K$1556</f>
        <v>8.6956521739130438E-4</v>
      </c>
      <c r="L3877" s="71" t="s">
        <v>2272</v>
      </c>
      <c r="M3877" s="71" t="s">
        <v>2272</v>
      </c>
      <c r="N3877" s="71" t="s">
        <v>2272</v>
      </c>
      <c r="O3877" s="21">
        <v>20.7</v>
      </c>
      <c r="P3877" s="71" t="s">
        <v>2272</v>
      </c>
      <c r="Q3877" s="71" t="s">
        <v>2272</v>
      </c>
      <c r="R3877" s="71" t="s">
        <v>2272</v>
      </c>
      <c r="S3877" s="71" t="s">
        <v>2272</v>
      </c>
      <c r="T3877" s="71" t="s">
        <v>2272</v>
      </c>
      <c r="U3877" s="71" t="s">
        <v>2272</v>
      </c>
      <c r="V3877" s="71" t="s">
        <v>2272</v>
      </c>
      <c r="W3877" s="71" t="s">
        <v>2272</v>
      </c>
      <c r="X3877" s="71" t="s">
        <v>2272</v>
      </c>
      <c r="Y3877" s="21">
        <f>(0.52/2)*0.02*100*0.0022</f>
        <v>1.1440000000000001E-3</v>
      </c>
      <c r="Z3877" s="71" t="s">
        <v>2272</v>
      </c>
      <c r="AA3877" s="198" t="s">
        <v>423</v>
      </c>
      <c r="AB3877" s="198" t="s">
        <v>34</v>
      </c>
      <c r="AC3877" s="71" t="s">
        <v>2272</v>
      </c>
      <c r="AD3877" s="198"/>
      <c r="AE3877" s="198"/>
    </row>
    <row r="3878" spans="1:31" ht="57" customHeight="1">
      <c r="A3878" s="198" t="s">
        <v>9891</v>
      </c>
      <c r="B3878" s="198" t="s">
        <v>9907</v>
      </c>
      <c r="C3878" s="198" t="s">
        <v>2653</v>
      </c>
      <c r="D3878" s="198" t="s">
        <v>2272</v>
      </c>
      <c r="E3878" s="198" t="s">
        <v>2272</v>
      </c>
      <c r="F3878" s="198" t="s">
        <v>2272</v>
      </c>
      <c r="G3878" s="198" t="s">
        <v>2272</v>
      </c>
      <c r="H3878" s="198" t="s">
        <v>521</v>
      </c>
      <c r="I3878" s="198"/>
      <c r="J3878" s="71" t="s">
        <v>2272</v>
      </c>
      <c r="K3878" s="21">
        <f>(0.53/2)*0.21*52/26/'Record info'!$K$1556</f>
        <v>9.3060200668896292E-3</v>
      </c>
      <c r="L3878" s="71" t="s">
        <v>2272</v>
      </c>
      <c r="M3878" s="71" t="s">
        <v>2272</v>
      </c>
      <c r="N3878" s="71" t="s">
        <v>2272</v>
      </c>
      <c r="O3878" s="21">
        <v>20.7</v>
      </c>
      <c r="P3878" s="71" t="s">
        <v>2272</v>
      </c>
      <c r="Q3878" s="71" t="s">
        <v>2272</v>
      </c>
      <c r="R3878" s="71" t="s">
        <v>2272</v>
      </c>
      <c r="S3878" s="71" t="s">
        <v>2272</v>
      </c>
      <c r="T3878" s="71" t="s">
        <v>2272</v>
      </c>
      <c r="U3878" s="71" t="s">
        <v>2272</v>
      </c>
      <c r="V3878" s="71" t="s">
        <v>2272</v>
      </c>
      <c r="W3878" s="71" t="s">
        <v>2272</v>
      </c>
      <c r="X3878" s="71" t="s">
        <v>2272</v>
      </c>
      <c r="Y3878" s="21">
        <f>(0.53/2)*0.21*100*0.0022</f>
        <v>1.2243E-2</v>
      </c>
      <c r="Z3878" s="71" t="s">
        <v>2272</v>
      </c>
      <c r="AA3878" s="198" t="s">
        <v>423</v>
      </c>
      <c r="AB3878" s="198" t="s">
        <v>34</v>
      </c>
      <c r="AC3878" s="71" t="s">
        <v>2272</v>
      </c>
      <c r="AD3878" s="198"/>
      <c r="AE3878" s="198"/>
    </row>
    <row r="3879" spans="1:31" ht="57" customHeight="1">
      <c r="A3879" s="198" t="s">
        <v>9894</v>
      </c>
      <c r="B3879" s="198" t="s">
        <v>9908</v>
      </c>
      <c r="C3879" s="198" t="s">
        <v>2453</v>
      </c>
      <c r="D3879" s="198" t="s">
        <v>2272</v>
      </c>
      <c r="E3879" s="198" t="s">
        <v>2272</v>
      </c>
      <c r="F3879" s="198" t="s">
        <v>2272</v>
      </c>
      <c r="G3879" s="198" t="s">
        <v>2272</v>
      </c>
      <c r="H3879" s="198" t="s">
        <v>521</v>
      </c>
      <c r="I3879" s="198"/>
      <c r="J3879" s="71" t="s">
        <v>2272</v>
      </c>
      <c r="K3879" s="21">
        <f>(0.29/2)*0.39*31/26/'Record info'!$K$1557</f>
        <v>2.2363184079601988E-3</v>
      </c>
      <c r="L3879" s="71" t="s">
        <v>2272</v>
      </c>
      <c r="M3879" s="71" t="s">
        <v>2272</v>
      </c>
      <c r="N3879" s="71" t="s">
        <v>2272</v>
      </c>
      <c r="O3879" s="21">
        <v>1257</v>
      </c>
      <c r="P3879" s="71" t="s">
        <v>2272</v>
      </c>
      <c r="Q3879" s="71" t="s">
        <v>2272</v>
      </c>
      <c r="R3879" s="71" t="s">
        <v>2272</v>
      </c>
      <c r="S3879" s="71" t="s">
        <v>2272</v>
      </c>
      <c r="T3879" s="71" t="s">
        <v>2272</v>
      </c>
      <c r="U3879" s="71" t="s">
        <v>2272</v>
      </c>
      <c r="V3879" s="71" t="s">
        <v>2272</v>
      </c>
      <c r="W3879" s="71" t="s">
        <v>2272</v>
      </c>
      <c r="X3879" s="71" t="s">
        <v>2272</v>
      </c>
      <c r="Y3879" s="21">
        <f>100*(0.29/2)*0.39*0.0212</f>
        <v>0.11988599999999999</v>
      </c>
      <c r="Z3879" s="71" t="s">
        <v>2272</v>
      </c>
      <c r="AA3879" s="198" t="s">
        <v>187</v>
      </c>
      <c r="AB3879" s="198" t="s">
        <v>84</v>
      </c>
      <c r="AC3879" s="71" t="s">
        <v>2272</v>
      </c>
      <c r="AD3879" s="198"/>
      <c r="AE3879" s="198"/>
    </row>
    <row r="3880" spans="1:31" ht="57" customHeight="1">
      <c r="A3880" s="198" t="s">
        <v>9894</v>
      </c>
      <c r="B3880" s="198" t="s">
        <v>9909</v>
      </c>
      <c r="C3880" s="198" t="s">
        <v>2651</v>
      </c>
      <c r="D3880" s="198" t="s">
        <v>2272</v>
      </c>
      <c r="E3880" s="198" t="s">
        <v>2272</v>
      </c>
      <c r="F3880" s="198" t="s">
        <v>2272</v>
      </c>
      <c r="G3880" s="198" t="s">
        <v>2272</v>
      </c>
      <c r="H3880" s="198" t="s">
        <v>521</v>
      </c>
      <c r="I3880" s="198"/>
      <c r="J3880" s="71" t="s">
        <v>2272</v>
      </c>
      <c r="K3880" s="21">
        <f>(0.29/2)*0.03*31/26/'Record info'!$K$1557</f>
        <v>1.720244929200153E-4</v>
      </c>
      <c r="L3880" s="71" t="s">
        <v>2272</v>
      </c>
      <c r="M3880" s="71" t="s">
        <v>2272</v>
      </c>
      <c r="N3880" s="71" t="s">
        <v>2272</v>
      </c>
      <c r="O3880" s="21">
        <v>1257</v>
      </c>
      <c r="P3880" s="71" t="s">
        <v>2272</v>
      </c>
      <c r="Q3880" s="71" t="s">
        <v>2272</v>
      </c>
      <c r="R3880" s="71" t="s">
        <v>2272</v>
      </c>
      <c r="S3880" s="71" t="s">
        <v>2272</v>
      </c>
      <c r="T3880" s="71" t="s">
        <v>2272</v>
      </c>
      <c r="U3880" s="71" t="s">
        <v>2272</v>
      </c>
      <c r="V3880" s="71" t="s">
        <v>2272</v>
      </c>
      <c r="W3880" s="71" t="s">
        <v>2272</v>
      </c>
      <c r="X3880" s="71" t="s">
        <v>2272</v>
      </c>
      <c r="Y3880" s="21">
        <f>(0.29/2)*0.03*100*0.0212</f>
        <v>9.2219999999999993E-3</v>
      </c>
      <c r="Z3880" s="71" t="s">
        <v>2272</v>
      </c>
      <c r="AA3880" s="198" t="s">
        <v>187</v>
      </c>
      <c r="AB3880" s="198" t="s">
        <v>84</v>
      </c>
      <c r="AC3880" s="71" t="s">
        <v>2272</v>
      </c>
      <c r="AD3880" s="198"/>
      <c r="AE3880" s="198"/>
    </row>
    <row r="3881" spans="1:31" ht="57" customHeight="1">
      <c r="A3881" s="198" t="s">
        <v>9894</v>
      </c>
      <c r="B3881" s="198" t="s">
        <v>9910</v>
      </c>
      <c r="C3881" s="198" t="s">
        <v>2653</v>
      </c>
      <c r="D3881" s="198" t="s">
        <v>2272</v>
      </c>
      <c r="E3881" s="198" t="s">
        <v>2272</v>
      </c>
      <c r="F3881" s="198" t="s">
        <v>2272</v>
      </c>
      <c r="G3881" s="198" t="s">
        <v>2272</v>
      </c>
      <c r="H3881" s="198" t="s">
        <v>521</v>
      </c>
      <c r="I3881" s="198"/>
      <c r="J3881" s="71" t="s">
        <v>2272</v>
      </c>
      <c r="K3881" s="21">
        <f>(0.29/2)*0.58*31/26/'Record info'!$K$1557</f>
        <v>3.3258068631202963E-3</v>
      </c>
      <c r="L3881" s="71" t="s">
        <v>2272</v>
      </c>
      <c r="M3881" s="71" t="s">
        <v>2272</v>
      </c>
      <c r="N3881" s="71" t="s">
        <v>2272</v>
      </c>
      <c r="O3881" s="21">
        <v>1257</v>
      </c>
      <c r="P3881" s="71" t="s">
        <v>2272</v>
      </c>
      <c r="Q3881" s="71" t="s">
        <v>2272</v>
      </c>
      <c r="R3881" s="71" t="s">
        <v>2272</v>
      </c>
      <c r="S3881" s="71" t="s">
        <v>2272</v>
      </c>
      <c r="T3881" s="71" t="s">
        <v>2272</v>
      </c>
      <c r="U3881" s="71" t="s">
        <v>2272</v>
      </c>
      <c r="V3881" s="71" t="s">
        <v>2272</v>
      </c>
      <c r="W3881" s="71" t="s">
        <v>2272</v>
      </c>
      <c r="X3881" s="71" t="s">
        <v>2272</v>
      </c>
      <c r="Y3881" s="21">
        <f>(0.29/2)*0.58*100*0.0212</f>
        <v>0.17829200000000001</v>
      </c>
      <c r="Z3881" s="71" t="s">
        <v>2272</v>
      </c>
      <c r="AA3881" s="198" t="s">
        <v>187</v>
      </c>
      <c r="AB3881" s="198" t="s">
        <v>84</v>
      </c>
      <c r="AC3881" s="71" t="s">
        <v>2272</v>
      </c>
      <c r="AD3881" s="198"/>
      <c r="AE3881" s="198"/>
    </row>
    <row r="3882" spans="1:31" ht="57" customHeight="1">
      <c r="A3882" s="198" t="s">
        <v>9894</v>
      </c>
      <c r="B3882" s="198" t="s">
        <v>9911</v>
      </c>
      <c r="C3882" s="198" t="s">
        <v>2453</v>
      </c>
      <c r="D3882" s="198" t="s">
        <v>2272</v>
      </c>
      <c r="E3882" s="198" t="s">
        <v>2272</v>
      </c>
      <c r="F3882" s="198" t="s">
        <v>2272</v>
      </c>
      <c r="G3882" s="198" t="s">
        <v>2272</v>
      </c>
      <c r="H3882" s="198" t="s">
        <v>521</v>
      </c>
      <c r="I3882" s="198"/>
      <c r="J3882" s="71" t="s">
        <v>2272</v>
      </c>
      <c r="K3882" s="21">
        <f>0.71*0.39*31/26/'Record info'!$K$1557</f>
        <v>1.0950248756218906E-2</v>
      </c>
      <c r="L3882" s="71" t="s">
        <v>2272</v>
      </c>
      <c r="M3882" s="71" t="s">
        <v>2272</v>
      </c>
      <c r="N3882" s="71" t="s">
        <v>2272</v>
      </c>
      <c r="O3882" s="21">
        <v>1257</v>
      </c>
      <c r="P3882" s="71" t="s">
        <v>2272</v>
      </c>
      <c r="Q3882" s="71" t="s">
        <v>2272</v>
      </c>
      <c r="R3882" s="71" t="s">
        <v>2272</v>
      </c>
      <c r="S3882" s="71" t="s">
        <v>2272</v>
      </c>
      <c r="T3882" s="71" t="s">
        <v>2272</v>
      </c>
      <c r="U3882" s="71" t="s">
        <v>2272</v>
      </c>
      <c r="V3882" s="71" t="s">
        <v>2272</v>
      </c>
      <c r="W3882" s="71" t="s">
        <v>2272</v>
      </c>
      <c r="X3882" s="71" t="s">
        <v>2272</v>
      </c>
      <c r="Y3882" s="21">
        <f>0.71*0.39*100*0.0212</f>
        <v>0.58702799999999999</v>
      </c>
      <c r="Z3882" s="71" t="s">
        <v>2272</v>
      </c>
      <c r="AA3882" s="198" t="s">
        <v>33</v>
      </c>
      <c r="AB3882" s="198" t="s">
        <v>403</v>
      </c>
      <c r="AC3882" s="71" t="s">
        <v>2272</v>
      </c>
      <c r="AD3882" s="198"/>
      <c r="AE3882" s="198"/>
    </row>
    <row r="3883" spans="1:31" ht="57" customHeight="1">
      <c r="A3883" s="198" t="s">
        <v>9894</v>
      </c>
      <c r="B3883" s="198" t="s">
        <v>9912</v>
      </c>
      <c r="C3883" s="198" t="s">
        <v>2651</v>
      </c>
      <c r="D3883" s="198" t="s">
        <v>2272</v>
      </c>
      <c r="E3883" s="198" t="s">
        <v>2272</v>
      </c>
      <c r="F3883" s="198" t="s">
        <v>2272</v>
      </c>
      <c r="G3883" s="198" t="s">
        <v>2272</v>
      </c>
      <c r="H3883" s="198" t="s">
        <v>521</v>
      </c>
      <c r="I3883" s="198"/>
      <c r="J3883" s="71" t="s">
        <v>2272</v>
      </c>
      <c r="K3883" s="21">
        <f>0.71*0.03*31/26/'Record info'!$K$1557</f>
        <v>8.4232682740145433E-4</v>
      </c>
      <c r="L3883" s="71" t="s">
        <v>2272</v>
      </c>
      <c r="M3883" s="71" t="s">
        <v>2272</v>
      </c>
      <c r="N3883" s="71" t="s">
        <v>2272</v>
      </c>
      <c r="O3883" s="21">
        <v>1257</v>
      </c>
      <c r="P3883" s="71" t="s">
        <v>2272</v>
      </c>
      <c r="Q3883" s="71" t="s">
        <v>2272</v>
      </c>
      <c r="R3883" s="71" t="s">
        <v>2272</v>
      </c>
      <c r="S3883" s="71" t="s">
        <v>2272</v>
      </c>
      <c r="T3883" s="71" t="s">
        <v>2272</v>
      </c>
      <c r="U3883" s="71" t="s">
        <v>2272</v>
      </c>
      <c r="V3883" s="71" t="s">
        <v>2272</v>
      </c>
      <c r="W3883" s="71" t="s">
        <v>2272</v>
      </c>
      <c r="X3883" s="71" t="s">
        <v>2272</v>
      </c>
      <c r="Y3883" s="21">
        <f>(0.71)*0.03*100*0.0212</f>
        <v>4.5155999999999995E-2</v>
      </c>
      <c r="Z3883" s="71" t="s">
        <v>2272</v>
      </c>
      <c r="AA3883" s="198" t="s">
        <v>33</v>
      </c>
      <c r="AB3883" s="198" t="s">
        <v>403</v>
      </c>
      <c r="AC3883" s="71" t="s">
        <v>2272</v>
      </c>
      <c r="AD3883" s="198"/>
      <c r="AE3883" s="198"/>
    </row>
    <row r="3884" spans="1:31" ht="57" customHeight="1">
      <c r="A3884" s="198" t="s">
        <v>9894</v>
      </c>
      <c r="B3884" s="198" t="s">
        <v>9913</v>
      </c>
      <c r="C3884" s="198" t="s">
        <v>2653</v>
      </c>
      <c r="D3884" s="198" t="s">
        <v>2272</v>
      </c>
      <c r="E3884" s="198" t="s">
        <v>2272</v>
      </c>
      <c r="F3884" s="198" t="s">
        <v>2272</v>
      </c>
      <c r="G3884" s="198" t="s">
        <v>2272</v>
      </c>
      <c r="H3884" s="198" t="s">
        <v>521</v>
      </c>
      <c r="I3884" s="198"/>
      <c r="J3884" s="71" t="s">
        <v>2272</v>
      </c>
      <c r="K3884" s="21">
        <f>0.71*0.58*31/26/'Record info'!$K$1557</f>
        <v>1.6284985329761449E-2</v>
      </c>
      <c r="L3884" s="71" t="s">
        <v>2272</v>
      </c>
      <c r="M3884" s="71" t="s">
        <v>2272</v>
      </c>
      <c r="N3884" s="71" t="s">
        <v>2272</v>
      </c>
      <c r="O3884" s="21">
        <v>1257</v>
      </c>
      <c r="P3884" s="71" t="s">
        <v>2272</v>
      </c>
      <c r="Q3884" s="71" t="s">
        <v>2272</v>
      </c>
      <c r="R3884" s="71" t="s">
        <v>2272</v>
      </c>
      <c r="S3884" s="71" t="s">
        <v>2272</v>
      </c>
      <c r="T3884" s="71" t="s">
        <v>2272</v>
      </c>
      <c r="U3884" s="71" t="s">
        <v>2272</v>
      </c>
      <c r="V3884" s="71" t="s">
        <v>2272</v>
      </c>
      <c r="W3884" s="71" t="s">
        <v>2272</v>
      </c>
      <c r="X3884" s="71" t="s">
        <v>2272</v>
      </c>
      <c r="Y3884" s="21">
        <f>(0.71)*0.58*100*0.0212</f>
        <v>0.87301599999999979</v>
      </c>
      <c r="Z3884" s="71" t="s">
        <v>2272</v>
      </c>
      <c r="AA3884" s="198" t="s">
        <v>33</v>
      </c>
      <c r="AB3884" s="198" t="s">
        <v>403</v>
      </c>
      <c r="AC3884" s="71" t="s">
        <v>2272</v>
      </c>
      <c r="AD3884" s="198"/>
      <c r="AE3884" s="198"/>
    </row>
    <row r="3885" spans="1:31" ht="57" customHeight="1">
      <c r="A3885" s="198" t="s">
        <v>9894</v>
      </c>
      <c r="B3885" s="198" t="s">
        <v>9914</v>
      </c>
      <c r="C3885" s="198" t="s">
        <v>2453</v>
      </c>
      <c r="D3885" s="198" t="s">
        <v>2272</v>
      </c>
      <c r="E3885" s="198" t="s">
        <v>2272</v>
      </c>
      <c r="F3885" s="198" t="s">
        <v>2272</v>
      </c>
      <c r="G3885" s="198" t="s">
        <v>2272</v>
      </c>
      <c r="H3885" s="198" t="s">
        <v>521</v>
      </c>
      <c r="I3885" s="198"/>
      <c r="J3885" s="71" t="s">
        <v>2272</v>
      </c>
      <c r="K3885" s="21">
        <f>(0.29/2)*0.39*31/26/'Record info'!$K$1557</f>
        <v>2.2363184079601988E-3</v>
      </c>
      <c r="L3885" s="71" t="s">
        <v>2272</v>
      </c>
      <c r="M3885" s="71" t="s">
        <v>2272</v>
      </c>
      <c r="N3885" s="71" t="s">
        <v>2272</v>
      </c>
      <c r="O3885" s="21">
        <v>1257</v>
      </c>
      <c r="P3885" s="71" t="s">
        <v>2272</v>
      </c>
      <c r="Q3885" s="71" t="s">
        <v>2272</v>
      </c>
      <c r="R3885" s="71" t="s">
        <v>2272</v>
      </c>
      <c r="S3885" s="71" t="s">
        <v>2272</v>
      </c>
      <c r="T3885" s="71" t="s">
        <v>2272</v>
      </c>
      <c r="U3885" s="71" t="s">
        <v>2272</v>
      </c>
      <c r="V3885" s="71" t="s">
        <v>2272</v>
      </c>
      <c r="W3885" s="71" t="s">
        <v>2272</v>
      </c>
      <c r="X3885" s="71" t="s">
        <v>2272</v>
      </c>
      <c r="Y3885" s="21">
        <f>(0.29/2)*0.39*100*0.0212</f>
        <v>0.11988599999999999</v>
      </c>
      <c r="Z3885" s="71" t="s">
        <v>2272</v>
      </c>
      <c r="AA3885" s="198" t="s">
        <v>423</v>
      </c>
      <c r="AB3885" s="198" t="s">
        <v>34</v>
      </c>
      <c r="AC3885" s="71" t="s">
        <v>2272</v>
      </c>
      <c r="AD3885" s="198"/>
      <c r="AE3885" s="198"/>
    </row>
    <row r="3886" spans="1:31" ht="57" customHeight="1">
      <c r="A3886" s="198" t="s">
        <v>9894</v>
      </c>
      <c r="B3886" s="198" t="s">
        <v>9915</v>
      </c>
      <c r="C3886" s="198" t="s">
        <v>2651</v>
      </c>
      <c r="D3886" s="198" t="s">
        <v>2272</v>
      </c>
      <c r="E3886" s="198" t="s">
        <v>2272</v>
      </c>
      <c r="F3886" s="198" t="s">
        <v>2272</v>
      </c>
      <c r="G3886" s="198" t="s">
        <v>2272</v>
      </c>
      <c r="H3886" s="198" t="s">
        <v>521</v>
      </c>
      <c r="I3886" s="198"/>
      <c r="J3886" s="71" t="s">
        <v>2272</v>
      </c>
      <c r="K3886" s="21">
        <f>(0.29/2)*0.03*31/26/'Record info'!$K$1557</f>
        <v>1.720244929200153E-4</v>
      </c>
      <c r="L3886" s="71" t="s">
        <v>2272</v>
      </c>
      <c r="M3886" s="71" t="s">
        <v>2272</v>
      </c>
      <c r="N3886" s="71" t="s">
        <v>2272</v>
      </c>
      <c r="O3886" s="21">
        <v>1257</v>
      </c>
      <c r="P3886" s="71" t="s">
        <v>2272</v>
      </c>
      <c r="Q3886" s="71" t="s">
        <v>2272</v>
      </c>
      <c r="R3886" s="71" t="s">
        <v>2272</v>
      </c>
      <c r="S3886" s="71" t="s">
        <v>2272</v>
      </c>
      <c r="T3886" s="71" t="s">
        <v>2272</v>
      </c>
      <c r="U3886" s="71" t="s">
        <v>2272</v>
      </c>
      <c r="V3886" s="71" t="s">
        <v>2272</v>
      </c>
      <c r="W3886" s="71" t="s">
        <v>2272</v>
      </c>
      <c r="X3886" s="71" t="s">
        <v>2272</v>
      </c>
      <c r="Y3886" s="21">
        <f>(0.29/2)*0.03*100*0.0212</f>
        <v>9.2219999999999993E-3</v>
      </c>
      <c r="Z3886" s="71" t="s">
        <v>2272</v>
      </c>
      <c r="AA3886" s="198" t="s">
        <v>423</v>
      </c>
      <c r="AB3886" s="198" t="s">
        <v>34</v>
      </c>
      <c r="AC3886" s="71" t="s">
        <v>2272</v>
      </c>
      <c r="AD3886" s="198"/>
      <c r="AE3886" s="198"/>
    </row>
    <row r="3887" spans="1:31" ht="57" customHeight="1">
      <c r="A3887" s="198" t="s">
        <v>9894</v>
      </c>
      <c r="B3887" s="198" t="s">
        <v>9916</v>
      </c>
      <c r="C3887" s="198" t="s">
        <v>2653</v>
      </c>
      <c r="D3887" s="198" t="s">
        <v>2272</v>
      </c>
      <c r="E3887" s="198" t="s">
        <v>2272</v>
      </c>
      <c r="F3887" s="198" t="s">
        <v>2272</v>
      </c>
      <c r="G3887" s="198" t="s">
        <v>2272</v>
      </c>
      <c r="H3887" s="198" t="s">
        <v>521</v>
      </c>
      <c r="I3887" s="198"/>
      <c r="J3887" s="71" t="s">
        <v>2272</v>
      </c>
      <c r="K3887" s="21">
        <f>(0.29/2)*0.58*31/26/'Record info'!$K$1557</f>
        <v>3.3258068631202963E-3</v>
      </c>
      <c r="L3887" s="71" t="s">
        <v>2272</v>
      </c>
      <c r="M3887" s="71" t="s">
        <v>2272</v>
      </c>
      <c r="N3887" s="71" t="s">
        <v>2272</v>
      </c>
      <c r="O3887" s="21">
        <v>1257</v>
      </c>
      <c r="P3887" s="71" t="s">
        <v>2272</v>
      </c>
      <c r="Q3887" s="71" t="s">
        <v>2272</v>
      </c>
      <c r="R3887" s="71" t="s">
        <v>2272</v>
      </c>
      <c r="S3887" s="71" t="s">
        <v>2272</v>
      </c>
      <c r="T3887" s="71" t="s">
        <v>2272</v>
      </c>
      <c r="U3887" s="71" t="s">
        <v>2272</v>
      </c>
      <c r="V3887" s="71" t="s">
        <v>2272</v>
      </c>
      <c r="W3887" s="71" t="s">
        <v>2272</v>
      </c>
      <c r="X3887" s="71" t="s">
        <v>2272</v>
      </c>
      <c r="Y3887" s="21">
        <f>(0.29/2)*0.58*100*0.0212</f>
        <v>0.17829200000000001</v>
      </c>
      <c r="Z3887" s="71" t="s">
        <v>2272</v>
      </c>
      <c r="AA3887" s="198" t="s">
        <v>423</v>
      </c>
      <c r="AB3887" s="198" t="s">
        <v>34</v>
      </c>
      <c r="AC3887" s="71" t="s">
        <v>2272</v>
      </c>
      <c r="AD3887" s="198"/>
      <c r="AE3887" s="198"/>
    </row>
    <row r="3888" spans="1:31" ht="55" customHeight="1">
      <c r="A3888" s="198" t="s">
        <v>9891</v>
      </c>
      <c r="B3888" s="198" t="s">
        <v>9917</v>
      </c>
      <c r="C3888" s="198" t="s">
        <v>23</v>
      </c>
      <c r="D3888" s="198" t="s">
        <v>3475</v>
      </c>
      <c r="E3888" s="198" t="s">
        <v>2645</v>
      </c>
      <c r="F3888" s="4" t="s">
        <v>2657</v>
      </c>
      <c r="G3888" s="4" t="s">
        <v>2657</v>
      </c>
      <c r="H3888" s="198" t="s">
        <v>521</v>
      </c>
      <c r="I3888" s="198"/>
      <c r="J3888" s="71" t="s">
        <v>2272</v>
      </c>
      <c r="K3888" s="71" t="s">
        <v>2272</v>
      </c>
      <c r="L3888" s="71" t="s">
        <v>2272</v>
      </c>
      <c r="M3888" s="71" t="s">
        <v>2272</v>
      </c>
      <c r="N3888" s="71" t="s">
        <v>2272</v>
      </c>
      <c r="O3888" s="71" t="s">
        <v>2272</v>
      </c>
      <c r="P3888" s="71" t="s">
        <v>2272</v>
      </c>
      <c r="Q3888" s="71" t="s">
        <v>2272</v>
      </c>
      <c r="R3888" s="71" t="s">
        <v>2272</v>
      </c>
      <c r="S3888" s="71" t="s">
        <v>2272</v>
      </c>
      <c r="T3888" s="71" t="s">
        <v>2272</v>
      </c>
      <c r="U3888" s="71" t="s">
        <v>2272</v>
      </c>
      <c r="V3888" s="71" t="s">
        <v>2272</v>
      </c>
      <c r="W3888" s="71" t="s">
        <v>2272</v>
      </c>
      <c r="X3888" s="71" t="s">
        <v>2272</v>
      </c>
      <c r="Y3888" s="71" t="s">
        <v>2272</v>
      </c>
      <c r="Z3888" s="71" t="s">
        <v>2272</v>
      </c>
      <c r="AA3888" s="71" t="s">
        <v>2272</v>
      </c>
      <c r="AB3888" s="71" t="s">
        <v>2272</v>
      </c>
      <c r="AC3888" s="71" t="s">
        <v>2272</v>
      </c>
      <c r="AD3888" s="198" t="s">
        <v>9929</v>
      </c>
      <c r="AE3888" s="198"/>
    </row>
    <row r="3889" spans="1:31" ht="55" customHeight="1">
      <c r="A3889" s="198" t="s">
        <v>9891</v>
      </c>
      <c r="B3889" s="198" t="s">
        <v>9919</v>
      </c>
      <c r="C3889" s="198" t="s">
        <v>23</v>
      </c>
      <c r="D3889" s="198" t="s">
        <v>2227</v>
      </c>
      <c r="E3889" s="4" t="s">
        <v>44</v>
      </c>
      <c r="F3889" s="4" t="s">
        <v>2657</v>
      </c>
      <c r="G3889" s="4" t="s">
        <v>2657</v>
      </c>
      <c r="H3889" s="198" t="s">
        <v>521</v>
      </c>
      <c r="I3889" s="198"/>
      <c r="J3889" s="71" t="s">
        <v>2272</v>
      </c>
      <c r="K3889" s="71" t="s">
        <v>2272</v>
      </c>
      <c r="L3889" s="71" t="s">
        <v>2272</v>
      </c>
      <c r="M3889" s="71" t="s">
        <v>2272</v>
      </c>
      <c r="N3889" s="71" t="s">
        <v>2272</v>
      </c>
      <c r="O3889" s="71" t="s">
        <v>2272</v>
      </c>
      <c r="P3889" s="71" t="s">
        <v>2272</v>
      </c>
      <c r="Q3889" s="71" t="s">
        <v>2272</v>
      </c>
      <c r="R3889" s="71" t="s">
        <v>2272</v>
      </c>
      <c r="S3889" s="71" t="s">
        <v>2272</v>
      </c>
      <c r="T3889" s="71" t="s">
        <v>2272</v>
      </c>
      <c r="U3889" s="71" t="s">
        <v>2272</v>
      </c>
      <c r="V3889" s="71" t="s">
        <v>2272</v>
      </c>
      <c r="W3889" s="71" t="s">
        <v>2272</v>
      </c>
      <c r="X3889" s="71" t="s">
        <v>2272</v>
      </c>
      <c r="Y3889" s="71" t="s">
        <v>2272</v>
      </c>
      <c r="Z3889" s="71" t="s">
        <v>2272</v>
      </c>
      <c r="AA3889" s="71" t="s">
        <v>2272</v>
      </c>
      <c r="AB3889" s="71" t="s">
        <v>2272</v>
      </c>
      <c r="AC3889" s="71" t="s">
        <v>2272</v>
      </c>
      <c r="AD3889" s="198"/>
      <c r="AE3889" s="198"/>
    </row>
    <row r="3890" spans="1:31" ht="42.5" customHeight="1">
      <c r="A3890" s="4" t="s">
        <v>9891</v>
      </c>
      <c r="B3890" s="4" t="s">
        <v>9921</v>
      </c>
      <c r="C3890" s="4" t="s">
        <v>23</v>
      </c>
      <c r="D3890" s="4" t="s">
        <v>24</v>
      </c>
      <c r="E3890" s="4" t="s">
        <v>44</v>
      </c>
      <c r="F3890" s="4" t="s">
        <v>28</v>
      </c>
      <c r="G3890" s="4" t="s">
        <v>28</v>
      </c>
      <c r="H3890" s="198" t="s">
        <v>521</v>
      </c>
      <c r="I3890" s="198"/>
      <c r="J3890" s="71" t="s">
        <v>2272</v>
      </c>
      <c r="K3890" s="71" t="s">
        <v>2272</v>
      </c>
      <c r="L3890" s="71" t="s">
        <v>2272</v>
      </c>
      <c r="M3890" s="71" t="s">
        <v>2272</v>
      </c>
      <c r="N3890" s="71" t="s">
        <v>2272</v>
      </c>
      <c r="O3890" s="71" t="s">
        <v>2272</v>
      </c>
      <c r="P3890" s="71" t="s">
        <v>2272</v>
      </c>
      <c r="Q3890" s="71" t="s">
        <v>2272</v>
      </c>
      <c r="R3890" s="71" t="s">
        <v>2272</v>
      </c>
      <c r="S3890" s="71" t="s">
        <v>2272</v>
      </c>
      <c r="T3890" s="71" t="s">
        <v>2272</v>
      </c>
      <c r="U3890" s="71" t="s">
        <v>2272</v>
      </c>
      <c r="V3890" s="71" t="s">
        <v>2272</v>
      </c>
      <c r="W3890" s="71" t="s">
        <v>2272</v>
      </c>
      <c r="X3890" s="71" t="s">
        <v>2272</v>
      </c>
      <c r="Y3890" s="71" t="s">
        <v>2272</v>
      </c>
      <c r="Z3890" s="71" t="s">
        <v>2272</v>
      </c>
      <c r="AA3890" s="71" t="s">
        <v>2272</v>
      </c>
      <c r="AB3890" s="71" t="s">
        <v>2272</v>
      </c>
      <c r="AC3890" s="71" t="s">
        <v>2272</v>
      </c>
      <c r="AD3890" s="198"/>
      <c r="AE3890" s="198"/>
    </row>
    <row r="3891" spans="1:31" ht="42.5" customHeight="1">
      <c r="A3891" s="4" t="s">
        <v>9891</v>
      </c>
      <c r="B3891" s="4" t="s">
        <v>9923</v>
      </c>
      <c r="C3891" s="4" t="s">
        <v>23</v>
      </c>
      <c r="D3891" s="4" t="s">
        <v>2227</v>
      </c>
      <c r="E3891" s="4" t="s">
        <v>394</v>
      </c>
      <c r="F3891" s="4" t="s">
        <v>2657</v>
      </c>
      <c r="G3891" s="4" t="s">
        <v>2657</v>
      </c>
      <c r="H3891" s="198" t="s">
        <v>521</v>
      </c>
      <c r="I3891" s="198"/>
      <c r="J3891" s="71" t="s">
        <v>2272</v>
      </c>
      <c r="K3891" s="71" t="s">
        <v>2272</v>
      </c>
      <c r="L3891" s="71" t="s">
        <v>2272</v>
      </c>
      <c r="M3891" s="71" t="s">
        <v>2272</v>
      </c>
      <c r="N3891" s="71" t="s">
        <v>2272</v>
      </c>
      <c r="O3891" s="71" t="s">
        <v>2272</v>
      </c>
      <c r="P3891" s="71" t="s">
        <v>2272</v>
      </c>
      <c r="Q3891" s="71" t="s">
        <v>2272</v>
      </c>
      <c r="R3891" s="71" t="s">
        <v>2272</v>
      </c>
      <c r="S3891" s="71" t="s">
        <v>2272</v>
      </c>
      <c r="T3891" s="71" t="s">
        <v>2272</v>
      </c>
      <c r="U3891" s="71" t="s">
        <v>2272</v>
      </c>
      <c r="V3891" s="71" t="s">
        <v>2272</v>
      </c>
      <c r="W3891" s="71" t="s">
        <v>2272</v>
      </c>
      <c r="X3891" s="71" t="s">
        <v>2272</v>
      </c>
      <c r="Y3891" s="71" t="s">
        <v>2272</v>
      </c>
      <c r="Z3891" s="71" t="s">
        <v>2272</v>
      </c>
      <c r="AA3891" s="71" t="s">
        <v>2272</v>
      </c>
      <c r="AB3891" s="71" t="s">
        <v>2272</v>
      </c>
      <c r="AC3891" s="71" t="s">
        <v>2272</v>
      </c>
      <c r="AD3891" s="198"/>
      <c r="AE3891" s="198"/>
    </row>
    <row r="3892" spans="1:31" ht="50.5" customHeight="1">
      <c r="A3892" s="4" t="s">
        <v>9894</v>
      </c>
      <c r="B3892" s="4" t="s">
        <v>9925</v>
      </c>
      <c r="C3892" s="4" t="s">
        <v>23</v>
      </c>
      <c r="D3892" s="4" t="s">
        <v>2654</v>
      </c>
      <c r="E3892" s="4" t="s">
        <v>394</v>
      </c>
      <c r="F3892" s="4" t="s">
        <v>27</v>
      </c>
      <c r="G3892" s="4" t="s">
        <v>27</v>
      </c>
      <c r="H3892" s="198" t="s">
        <v>521</v>
      </c>
      <c r="I3892" s="198"/>
      <c r="J3892" s="71" t="s">
        <v>2272</v>
      </c>
      <c r="K3892" s="71" t="s">
        <v>2272</v>
      </c>
      <c r="L3892" s="71" t="s">
        <v>2272</v>
      </c>
      <c r="M3892" s="71" t="s">
        <v>2272</v>
      </c>
      <c r="N3892" s="71" t="s">
        <v>2272</v>
      </c>
      <c r="O3892" s="71" t="s">
        <v>2272</v>
      </c>
      <c r="P3892" s="71" t="s">
        <v>2272</v>
      </c>
      <c r="Q3892" s="71" t="s">
        <v>2272</v>
      </c>
      <c r="R3892" s="71" t="s">
        <v>2272</v>
      </c>
      <c r="S3892" s="71" t="s">
        <v>2272</v>
      </c>
      <c r="T3892" s="71" t="s">
        <v>2272</v>
      </c>
      <c r="U3892" s="71" t="s">
        <v>2272</v>
      </c>
      <c r="V3892" s="71" t="s">
        <v>2272</v>
      </c>
      <c r="W3892" s="71" t="s">
        <v>2272</v>
      </c>
      <c r="X3892" s="71" t="s">
        <v>2272</v>
      </c>
      <c r="Y3892" s="71" t="s">
        <v>2272</v>
      </c>
      <c r="Z3892" s="71" t="s">
        <v>2272</v>
      </c>
      <c r="AA3892" s="71" t="s">
        <v>2272</v>
      </c>
      <c r="AB3892" s="71" t="s">
        <v>2272</v>
      </c>
      <c r="AC3892" s="71" t="s">
        <v>2272</v>
      </c>
      <c r="AD3892" s="198"/>
      <c r="AE3892" s="198"/>
    </row>
    <row r="3893" spans="1:31" ht="51.5" customHeight="1">
      <c r="A3893" s="198" t="s">
        <v>9891</v>
      </c>
      <c r="B3893" s="4" t="s">
        <v>9926</v>
      </c>
      <c r="C3893" s="4" t="s">
        <v>23</v>
      </c>
      <c r="D3893" s="198" t="s">
        <v>1241</v>
      </c>
      <c r="E3893" s="198" t="s">
        <v>2272</v>
      </c>
      <c r="F3893" s="4" t="s">
        <v>2657</v>
      </c>
      <c r="G3893" s="4" t="s">
        <v>2657</v>
      </c>
      <c r="H3893" s="198" t="s">
        <v>521</v>
      </c>
      <c r="I3893" s="198"/>
      <c r="J3893" s="71" t="s">
        <v>2272</v>
      </c>
      <c r="K3893" s="71" t="s">
        <v>2272</v>
      </c>
      <c r="L3893" s="71" t="s">
        <v>2272</v>
      </c>
      <c r="M3893" s="71" t="s">
        <v>2272</v>
      </c>
      <c r="N3893" s="71" t="s">
        <v>2272</v>
      </c>
      <c r="O3893" s="71" t="s">
        <v>2272</v>
      </c>
      <c r="P3893" s="71" t="s">
        <v>2272</v>
      </c>
      <c r="Q3893" s="71" t="s">
        <v>2272</v>
      </c>
      <c r="R3893" s="71" t="s">
        <v>2272</v>
      </c>
      <c r="S3893" s="71" t="s">
        <v>2272</v>
      </c>
      <c r="T3893" s="71" t="s">
        <v>2272</v>
      </c>
      <c r="U3893" s="71" t="s">
        <v>2272</v>
      </c>
      <c r="V3893" s="71" t="s">
        <v>2272</v>
      </c>
      <c r="W3893" s="71" t="s">
        <v>2272</v>
      </c>
      <c r="X3893" s="71" t="s">
        <v>2272</v>
      </c>
      <c r="Y3893" s="71" t="s">
        <v>2272</v>
      </c>
      <c r="Z3893" s="71" t="s">
        <v>2272</v>
      </c>
      <c r="AA3893" s="71" t="s">
        <v>2272</v>
      </c>
      <c r="AB3893" s="71" t="s">
        <v>2272</v>
      </c>
      <c r="AC3893" s="71" t="s">
        <v>2272</v>
      </c>
      <c r="AD3893" s="198"/>
      <c r="AE3893" s="198"/>
    </row>
    <row r="3894" spans="1:31" ht="45.5" customHeight="1">
      <c r="A3894" s="198" t="s">
        <v>9891</v>
      </c>
      <c r="B3894" s="4" t="s">
        <v>9927</v>
      </c>
      <c r="C3894" s="198" t="s">
        <v>23</v>
      </c>
      <c r="D3894" s="198" t="s">
        <v>25</v>
      </c>
      <c r="E3894" s="198" t="s">
        <v>2645</v>
      </c>
      <c r="F3894" s="4" t="s">
        <v>2657</v>
      </c>
      <c r="G3894" s="4" t="s">
        <v>2657</v>
      </c>
      <c r="H3894" s="198" t="s">
        <v>521</v>
      </c>
      <c r="I3894" s="198"/>
      <c r="J3894" s="71" t="s">
        <v>2272</v>
      </c>
      <c r="K3894" s="71" t="s">
        <v>2272</v>
      </c>
      <c r="L3894" s="71" t="s">
        <v>2272</v>
      </c>
      <c r="M3894" s="71" t="s">
        <v>2272</v>
      </c>
      <c r="N3894" s="71" t="s">
        <v>2272</v>
      </c>
      <c r="O3894" s="71" t="s">
        <v>2272</v>
      </c>
      <c r="P3894" s="71" t="s">
        <v>2272</v>
      </c>
      <c r="Q3894" s="71" t="s">
        <v>2272</v>
      </c>
      <c r="R3894" s="71" t="s">
        <v>2272</v>
      </c>
      <c r="S3894" s="71" t="s">
        <v>2272</v>
      </c>
      <c r="T3894" s="71" t="s">
        <v>2272</v>
      </c>
      <c r="U3894" s="71" t="s">
        <v>2272</v>
      </c>
      <c r="V3894" s="71" t="s">
        <v>2272</v>
      </c>
      <c r="W3894" s="71" t="s">
        <v>2272</v>
      </c>
      <c r="X3894" s="71" t="s">
        <v>2272</v>
      </c>
      <c r="Y3894" s="71" t="s">
        <v>2272</v>
      </c>
      <c r="Z3894" s="71" t="s">
        <v>2272</v>
      </c>
      <c r="AA3894" s="71" t="s">
        <v>2272</v>
      </c>
      <c r="AB3894" s="71" t="s">
        <v>2272</v>
      </c>
      <c r="AC3894" s="71" t="s">
        <v>2272</v>
      </c>
      <c r="AD3894" s="198" t="s">
        <v>9929</v>
      </c>
      <c r="AE3894" s="198"/>
    </row>
    <row r="3895" spans="1:31" ht="44" customHeight="1">
      <c r="A3895" s="198" t="s">
        <v>9891</v>
      </c>
      <c r="B3895" s="4" t="s">
        <v>9928</v>
      </c>
      <c r="C3895" s="198" t="s">
        <v>23</v>
      </c>
      <c r="D3895" s="198" t="s">
        <v>404</v>
      </c>
      <c r="E3895" s="198" t="s">
        <v>2645</v>
      </c>
      <c r="F3895" s="4" t="s">
        <v>2657</v>
      </c>
      <c r="G3895" s="4" t="s">
        <v>2657</v>
      </c>
      <c r="H3895" s="198" t="s">
        <v>521</v>
      </c>
      <c r="I3895" s="198"/>
      <c r="J3895" s="71" t="s">
        <v>2272</v>
      </c>
      <c r="K3895" s="71" t="s">
        <v>2272</v>
      </c>
      <c r="L3895" s="71" t="s">
        <v>2272</v>
      </c>
      <c r="M3895" s="71" t="s">
        <v>2272</v>
      </c>
      <c r="N3895" s="71" t="s">
        <v>2272</v>
      </c>
      <c r="O3895" s="71" t="s">
        <v>2272</v>
      </c>
      <c r="P3895" s="71" t="s">
        <v>2272</v>
      </c>
      <c r="Q3895" s="71" t="s">
        <v>2272</v>
      </c>
      <c r="R3895" s="71" t="s">
        <v>2272</v>
      </c>
      <c r="S3895" s="71" t="s">
        <v>2272</v>
      </c>
      <c r="T3895" s="71" t="s">
        <v>2272</v>
      </c>
      <c r="U3895" s="71" t="s">
        <v>2272</v>
      </c>
      <c r="V3895" s="71" t="s">
        <v>2272</v>
      </c>
      <c r="W3895" s="71" t="s">
        <v>2272</v>
      </c>
      <c r="X3895" s="71" t="s">
        <v>2272</v>
      </c>
      <c r="Y3895" s="71" t="s">
        <v>2272</v>
      </c>
      <c r="Z3895" s="71" t="s">
        <v>2272</v>
      </c>
      <c r="AA3895" s="71" t="s">
        <v>2272</v>
      </c>
      <c r="AB3895" s="71" t="s">
        <v>2272</v>
      </c>
      <c r="AC3895" s="71" t="s">
        <v>2272</v>
      </c>
      <c r="AD3895" s="198" t="s">
        <v>9929</v>
      </c>
      <c r="AE3895" s="198"/>
    </row>
    <row r="3896" spans="1:31" ht="47" customHeight="1">
      <c r="A3896" s="198" t="s">
        <v>9891</v>
      </c>
      <c r="B3896" s="4" t="s">
        <v>9930</v>
      </c>
      <c r="C3896" s="198" t="s">
        <v>23</v>
      </c>
      <c r="D3896" s="198" t="s">
        <v>1238</v>
      </c>
      <c r="E3896" s="198" t="s">
        <v>2645</v>
      </c>
      <c r="F3896" s="4" t="s">
        <v>2657</v>
      </c>
      <c r="G3896" s="4" t="s">
        <v>2657</v>
      </c>
      <c r="H3896" s="198" t="s">
        <v>521</v>
      </c>
      <c r="I3896" s="198"/>
      <c r="J3896" s="71" t="s">
        <v>2272</v>
      </c>
      <c r="K3896" s="71" t="s">
        <v>2272</v>
      </c>
      <c r="L3896" s="71" t="s">
        <v>2272</v>
      </c>
      <c r="M3896" s="71" t="s">
        <v>2272</v>
      </c>
      <c r="N3896" s="71" t="s">
        <v>2272</v>
      </c>
      <c r="O3896" s="71" t="s">
        <v>2272</v>
      </c>
      <c r="P3896" s="71" t="s">
        <v>2272</v>
      </c>
      <c r="Q3896" s="71" t="s">
        <v>2272</v>
      </c>
      <c r="R3896" s="71" t="s">
        <v>2272</v>
      </c>
      <c r="S3896" s="71" t="s">
        <v>2272</v>
      </c>
      <c r="T3896" s="71" t="s">
        <v>2272</v>
      </c>
      <c r="U3896" s="71" t="s">
        <v>2272</v>
      </c>
      <c r="V3896" s="71" t="s">
        <v>2272</v>
      </c>
      <c r="W3896" s="71" t="s">
        <v>2272</v>
      </c>
      <c r="X3896" s="71" t="s">
        <v>2272</v>
      </c>
      <c r="Y3896" s="71" t="s">
        <v>2272</v>
      </c>
      <c r="Z3896" s="71" t="s">
        <v>2272</v>
      </c>
      <c r="AA3896" s="71" t="s">
        <v>2272</v>
      </c>
      <c r="AB3896" s="71" t="s">
        <v>2272</v>
      </c>
      <c r="AC3896" s="71" t="s">
        <v>2272</v>
      </c>
      <c r="AD3896" s="198" t="s">
        <v>9929</v>
      </c>
      <c r="AE3896" s="198"/>
    </row>
    <row r="3897" spans="1:31" ht="55" customHeight="1">
      <c r="A3897" s="198" t="s">
        <v>9894</v>
      </c>
      <c r="B3897" s="198" t="s">
        <v>9918</v>
      </c>
      <c r="C3897" s="198" t="s">
        <v>23</v>
      </c>
      <c r="D3897" s="198" t="s">
        <v>2227</v>
      </c>
      <c r="E3897" s="4" t="s">
        <v>3850</v>
      </c>
      <c r="F3897" s="4" t="s">
        <v>2657</v>
      </c>
      <c r="G3897" s="4" t="s">
        <v>2657</v>
      </c>
      <c r="H3897" s="198" t="s">
        <v>521</v>
      </c>
      <c r="I3897" s="198"/>
      <c r="J3897" s="71" t="s">
        <v>2272</v>
      </c>
      <c r="K3897" s="71" t="s">
        <v>2272</v>
      </c>
      <c r="L3897" s="71" t="s">
        <v>2272</v>
      </c>
      <c r="M3897" s="71" t="s">
        <v>2272</v>
      </c>
      <c r="N3897" s="71" t="s">
        <v>2272</v>
      </c>
      <c r="O3897" s="71" t="s">
        <v>2272</v>
      </c>
      <c r="P3897" s="71" t="s">
        <v>2272</v>
      </c>
      <c r="Q3897" s="71" t="s">
        <v>2272</v>
      </c>
      <c r="R3897" s="71" t="s">
        <v>2272</v>
      </c>
      <c r="S3897" s="71" t="s">
        <v>2272</v>
      </c>
      <c r="T3897" s="71" t="s">
        <v>2272</v>
      </c>
      <c r="U3897" s="71" t="s">
        <v>2272</v>
      </c>
      <c r="V3897" s="71" t="s">
        <v>2272</v>
      </c>
      <c r="W3897" s="71" t="s">
        <v>2272</v>
      </c>
      <c r="X3897" s="71" t="s">
        <v>2272</v>
      </c>
      <c r="Y3897" s="71" t="s">
        <v>2272</v>
      </c>
      <c r="Z3897" s="71" t="s">
        <v>2272</v>
      </c>
      <c r="AA3897" s="71" t="s">
        <v>2272</v>
      </c>
      <c r="AB3897" s="71" t="s">
        <v>2272</v>
      </c>
      <c r="AC3897" s="71" t="s">
        <v>2272</v>
      </c>
      <c r="AD3897" s="198"/>
      <c r="AE3897" s="198"/>
    </row>
    <row r="3898" spans="1:31" ht="42.5" customHeight="1">
      <c r="A3898" s="4" t="s">
        <v>9894</v>
      </c>
      <c r="B3898" s="4" t="s">
        <v>9920</v>
      </c>
      <c r="C3898" s="4" t="s">
        <v>23</v>
      </c>
      <c r="D3898" s="4" t="s">
        <v>24</v>
      </c>
      <c r="E3898" s="4" t="s">
        <v>3850</v>
      </c>
      <c r="F3898" s="4" t="s">
        <v>28</v>
      </c>
      <c r="G3898" s="4" t="s">
        <v>28</v>
      </c>
      <c r="H3898" s="198" t="s">
        <v>521</v>
      </c>
      <c r="I3898" s="198"/>
      <c r="J3898" s="71" t="s">
        <v>2272</v>
      </c>
      <c r="K3898" s="71" t="s">
        <v>2272</v>
      </c>
      <c r="L3898" s="71" t="s">
        <v>2272</v>
      </c>
      <c r="M3898" s="71" t="s">
        <v>2272</v>
      </c>
      <c r="N3898" s="71" t="s">
        <v>2272</v>
      </c>
      <c r="O3898" s="71" t="s">
        <v>2272</v>
      </c>
      <c r="P3898" s="71" t="s">
        <v>2272</v>
      </c>
      <c r="Q3898" s="71" t="s">
        <v>2272</v>
      </c>
      <c r="R3898" s="71" t="s">
        <v>2272</v>
      </c>
      <c r="S3898" s="71" t="s">
        <v>2272</v>
      </c>
      <c r="T3898" s="71" t="s">
        <v>2272</v>
      </c>
      <c r="U3898" s="71" t="s">
        <v>2272</v>
      </c>
      <c r="V3898" s="71" t="s">
        <v>2272</v>
      </c>
      <c r="W3898" s="71" t="s">
        <v>2272</v>
      </c>
      <c r="X3898" s="71" t="s">
        <v>2272</v>
      </c>
      <c r="Y3898" s="71" t="s">
        <v>2272</v>
      </c>
      <c r="Z3898" s="71" t="s">
        <v>2272</v>
      </c>
      <c r="AA3898" s="71" t="s">
        <v>2272</v>
      </c>
      <c r="AB3898" s="71" t="s">
        <v>2272</v>
      </c>
      <c r="AC3898" s="71" t="s">
        <v>2272</v>
      </c>
      <c r="AD3898" s="198"/>
      <c r="AE3898" s="198"/>
    </row>
    <row r="3899" spans="1:31" ht="51.5" customHeight="1">
      <c r="A3899" s="198" t="s">
        <v>9894</v>
      </c>
      <c r="B3899" s="4" t="s">
        <v>9922</v>
      </c>
      <c r="C3899" s="4" t="s">
        <v>23</v>
      </c>
      <c r="D3899" s="4" t="s">
        <v>2654</v>
      </c>
      <c r="E3899" s="4" t="s">
        <v>3850</v>
      </c>
      <c r="F3899" s="4" t="s">
        <v>27</v>
      </c>
      <c r="G3899" s="4" t="s">
        <v>27</v>
      </c>
      <c r="H3899" s="198" t="s">
        <v>521</v>
      </c>
      <c r="I3899" s="198"/>
      <c r="J3899" s="71" t="s">
        <v>2272</v>
      </c>
      <c r="K3899" s="71" t="s">
        <v>2272</v>
      </c>
      <c r="L3899" s="71" t="s">
        <v>2272</v>
      </c>
      <c r="M3899" s="71" t="s">
        <v>2272</v>
      </c>
      <c r="N3899" s="71" t="s">
        <v>2272</v>
      </c>
      <c r="O3899" s="71" t="s">
        <v>2272</v>
      </c>
      <c r="P3899" s="71" t="s">
        <v>2272</v>
      </c>
      <c r="Q3899" s="71" t="s">
        <v>2272</v>
      </c>
      <c r="R3899" s="71" t="s">
        <v>2272</v>
      </c>
      <c r="S3899" s="71" t="s">
        <v>2272</v>
      </c>
      <c r="T3899" s="71" t="s">
        <v>2272</v>
      </c>
      <c r="U3899" s="71" t="s">
        <v>2272</v>
      </c>
      <c r="V3899" s="71" t="s">
        <v>2272</v>
      </c>
      <c r="W3899" s="71" t="s">
        <v>2272</v>
      </c>
      <c r="X3899" s="71" t="s">
        <v>2272</v>
      </c>
      <c r="Y3899" s="71" t="s">
        <v>2272</v>
      </c>
      <c r="Z3899" s="71" t="s">
        <v>2272</v>
      </c>
      <c r="AA3899" s="71" t="s">
        <v>2272</v>
      </c>
      <c r="AB3899" s="71" t="s">
        <v>2272</v>
      </c>
      <c r="AC3899" s="71" t="s">
        <v>2272</v>
      </c>
      <c r="AD3899" s="198"/>
      <c r="AE3899" s="198"/>
    </row>
    <row r="3900" spans="1:31" ht="51.5" customHeight="1">
      <c r="A3900" s="198" t="s">
        <v>9894</v>
      </c>
      <c r="B3900" s="4" t="s">
        <v>9924</v>
      </c>
      <c r="C3900" s="4" t="s">
        <v>23</v>
      </c>
      <c r="D3900" s="198" t="s">
        <v>1241</v>
      </c>
      <c r="E3900" s="198" t="s">
        <v>2272</v>
      </c>
      <c r="F3900" s="4" t="s">
        <v>2657</v>
      </c>
      <c r="G3900" s="4" t="s">
        <v>2657</v>
      </c>
      <c r="H3900" s="198" t="s">
        <v>521</v>
      </c>
      <c r="I3900" s="198"/>
      <c r="J3900" s="71" t="s">
        <v>2272</v>
      </c>
      <c r="K3900" s="71" t="s">
        <v>2272</v>
      </c>
      <c r="L3900" s="71" t="s">
        <v>2272</v>
      </c>
      <c r="M3900" s="71" t="s">
        <v>2272</v>
      </c>
      <c r="N3900" s="71" t="s">
        <v>2272</v>
      </c>
      <c r="O3900" s="71" t="s">
        <v>2272</v>
      </c>
      <c r="P3900" s="71" t="s">
        <v>2272</v>
      </c>
      <c r="Q3900" s="71" t="s">
        <v>2272</v>
      </c>
      <c r="R3900" s="71" t="s">
        <v>2272</v>
      </c>
      <c r="S3900" s="71" t="s">
        <v>2272</v>
      </c>
      <c r="T3900" s="71" t="s">
        <v>2272</v>
      </c>
      <c r="U3900" s="71" t="s">
        <v>2272</v>
      </c>
      <c r="V3900" s="71" t="s">
        <v>2272</v>
      </c>
      <c r="W3900" s="71" t="s">
        <v>2272</v>
      </c>
      <c r="X3900" s="71" t="s">
        <v>2272</v>
      </c>
      <c r="Y3900" s="71" t="s">
        <v>2272</v>
      </c>
      <c r="Z3900" s="71" t="s">
        <v>2272</v>
      </c>
      <c r="AA3900" s="71" t="s">
        <v>2272</v>
      </c>
      <c r="AB3900" s="71" t="s">
        <v>2272</v>
      </c>
      <c r="AC3900" s="71" t="s">
        <v>2272</v>
      </c>
      <c r="AD3900" s="198"/>
      <c r="AE3900" s="198"/>
    </row>
    <row r="3901" spans="1:31" ht="50" customHeight="1">
      <c r="A3901" s="198" t="s">
        <v>9974</v>
      </c>
      <c r="B3901" s="4" t="s">
        <v>9977</v>
      </c>
      <c r="C3901" s="4" t="s">
        <v>23</v>
      </c>
      <c r="D3901" s="198" t="s">
        <v>2272</v>
      </c>
      <c r="E3901" s="198" t="s">
        <v>114</v>
      </c>
      <c r="F3901" s="4" t="s">
        <v>2657</v>
      </c>
      <c r="G3901" s="4" t="s">
        <v>2657</v>
      </c>
      <c r="H3901" s="198" t="s">
        <v>521</v>
      </c>
      <c r="I3901" s="198"/>
      <c r="J3901" s="71" t="s">
        <v>2272</v>
      </c>
      <c r="K3901" s="71" t="s">
        <v>2272</v>
      </c>
      <c r="L3901" s="71" t="s">
        <v>2272</v>
      </c>
      <c r="M3901" s="71" t="s">
        <v>2272</v>
      </c>
      <c r="N3901" s="71" t="s">
        <v>2272</v>
      </c>
      <c r="O3901" s="71" t="s">
        <v>2272</v>
      </c>
      <c r="P3901" s="71" t="s">
        <v>2272</v>
      </c>
      <c r="Q3901" s="71" t="s">
        <v>2272</v>
      </c>
      <c r="R3901" s="71" t="s">
        <v>2272</v>
      </c>
      <c r="S3901" s="71" t="s">
        <v>2272</v>
      </c>
      <c r="T3901" s="71" t="s">
        <v>2272</v>
      </c>
      <c r="U3901" s="71" t="s">
        <v>2272</v>
      </c>
      <c r="V3901" s="71" t="s">
        <v>2272</v>
      </c>
      <c r="W3901" s="71" t="s">
        <v>2272</v>
      </c>
      <c r="X3901" s="71" t="s">
        <v>2272</v>
      </c>
      <c r="Y3901" s="71" t="s">
        <v>2272</v>
      </c>
      <c r="Z3901" s="71" t="s">
        <v>2272</v>
      </c>
      <c r="AA3901" s="71" t="s">
        <v>2272</v>
      </c>
      <c r="AB3901" s="71" t="s">
        <v>2272</v>
      </c>
      <c r="AC3901" s="71" t="s">
        <v>2272</v>
      </c>
      <c r="AD3901" s="71" t="s">
        <v>9978</v>
      </c>
      <c r="AE3901" s="198"/>
    </row>
    <row r="3902" spans="1:31" ht="46" customHeight="1">
      <c r="A3902" s="198" t="s">
        <v>9981</v>
      </c>
      <c r="B3902" s="4" t="s">
        <v>9984</v>
      </c>
      <c r="C3902" s="4" t="s">
        <v>23</v>
      </c>
      <c r="D3902" s="198" t="s">
        <v>3475</v>
      </c>
      <c r="E3902" s="198" t="s">
        <v>114</v>
      </c>
      <c r="F3902" s="4" t="s">
        <v>73</v>
      </c>
      <c r="G3902" s="4" t="s">
        <v>73</v>
      </c>
      <c r="H3902" s="198" t="s">
        <v>521</v>
      </c>
      <c r="I3902" s="198"/>
      <c r="J3902" s="71" t="s">
        <v>2272</v>
      </c>
      <c r="K3902" s="71" t="s">
        <v>2272</v>
      </c>
      <c r="L3902" s="71" t="s">
        <v>2272</v>
      </c>
      <c r="M3902" s="71" t="s">
        <v>2272</v>
      </c>
      <c r="N3902" s="71" t="s">
        <v>2272</v>
      </c>
      <c r="O3902" s="71" t="s">
        <v>2272</v>
      </c>
      <c r="P3902" s="71" t="s">
        <v>2272</v>
      </c>
      <c r="Q3902" s="71" t="s">
        <v>2272</v>
      </c>
      <c r="R3902" s="71" t="s">
        <v>2272</v>
      </c>
      <c r="S3902" s="71" t="s">
        <v>2272</v>
      </c>
      <c r="T3902" s="71" t="s">
        <v>2272</v>
      </c>
      <c r="U3902" s="71" t="s">
        <v>2272</v>
      </c>
      <c r="V3902" s="71" t="s">
        <v>2272</v>
      </c>
      <c r="W3902" s="71" t="s">
        <v>2272</v>
      </c>
      <c r="X3902" s="71" t="s">
        <v>2272</v>
      </c>
      <c r="Y3902" s="71" t="s">
        <v>2272</v>
      </c>
      <c r="Z3902" s="71" t="s">
        <v>2272</v>
      </c>
      <c r="AA3902" s="198" t="s">
        <v>186</v>
      </c>
      <c r="AB3902" s="198" t="s">
        <v>37</v>
      </c>
      <c r="AC3902" s="71" t="s">
        <v>2272</v>
      </c>
      <c r="AD3902" s="198" t="s">
        <v>9986</v>
      </c>
      <c r="AE3902" s="198"/>
    </row>
    <row r="3903" spans="1:31" ht="44.5" customHeight="1">
      <c r="A3903" s="198" t="s">
        <v>9981</v>
      </c>
      <c r="B3903" s="4" t="s">
        <v>9985</v>
      </c>
      <c r="C3903" s="4" t="s">
        <v>2453</v>
      </c>
      <c r="D3903" s="198" t="s">
        <v>3475</v>
      </c>
      <c r="E3903" s="198" t="s">
        <v>114</v>
      </c>
      <c r="F3903" s="4" t="s">
        <v>73</v>
      </c>
      <c r="G3903" s="4" t="s">
        <v>73</v>
      </c>
      <c r="H3903" s="198" t="s">
        <v>521</v>
      </c>
      <c r="I3903" s="198"/>
      <c r="J3903" s="71" t="s">
        <v>2272</v>
      </c>
      <c r="K3903" s="71" t="s">
        <v>2272</v>
      </c>
      <c r="L3903" s="71" t="s">
        <v>2272</v>
      </c>
      <c r="M3903" s="71" t="s">
        <v>2272</v>
      </c>
      <c r="N3903" s="71" t="s">
        <v>2272</v>
      </c>
      <c r="O3903" s="71" t="s">
        <v>2272</v>
      </c>
      <c r="P3903" s="71" t="s">
        <v>2272</v>
      </c>
      <c r="Q3903" s="71" t="s">
        <v>2272</v>
      </c>
      <c r="R3903" s="71" t="s">
        <v>2272</v>
      </c>
      <c r="S3903" s="71" t="s">
        <v>2272</v>
      </c>
      <c r="T3903" s="71" t="s">
        <v>2272</v>
      </c>
      <c r="U3903" s="71" t="s">
        <v>2272</v>
      </c>
      <c r="V3903" s="71" t="s">
        <v>2272</v>
      </c>
      <c r="W3903" s="71" t="s">
        <v>2272</v>
      </c>
      <c r="X3903" s="71" t="s">
        <v>2272</v>
      </c>
      <c r="Y3903" s="71" t="s">
        <v>2272</v>
      </c>
      <c r="Z3903" s="71" t="s">
        <v>2272</v>
      </c>
      <c r="AA3903" s="198" t="s">
        <v>186</v>
      </c>
      <c r="AB3903" s="198" t="s">
        <v>37</v>
      </c>
      <c r="AC3903" s="71" t="s">
        <v>2272</v>
      </c>
      <c r="AD3903" s="198" t="s">
        <v>9986</v>
      </c>
      <c r="AE3903" s="198"/>
    </row>
    <row r="3904" spans="1:31" ht="57.5" customHeight="1">
      <c r="A3904" s="198" t="s">
        <v>9988</v>
      </c>
      <c r="B3904" s="198" t="s">
        <v>9993</v>
      </c>
      <c r="C3904" s="198" t="s">
        <v>23</v>
      </c>
      <c r="D3904" s="198" t="s">
        <v>1238</v>
      </c>
      <c r="E3904" s="198" t="s">
        <v>2644</v>
      </c>
      <c r="F3904" s="4" t="s">
        <v>2657</v>
      </c>
      <c r="G3904" s="4" t="s">
        <v>2657</v>
      </c>
      <c r="H3904" s="198" t="s">
        <v>521</v>
      </c>
      <c r="I3904" s="198"/>
      <c r="J3904" s="71" t="s">
        <v>2272</v>
      </c>
      <c r="K3904" s="71" t="s">
        <v>2272</v>
      </c>
      <c r="L3904" s="71" t="s">
        <v>2272</v>
      </c>
      <c r="M3904" s="71" t="s">
        <v>2272</v>
      </c>
      <c r="N3904" s="71" t="s">
        <v>2272</v>
      </c>
      <c r="O3904" s="71" t="s">
        <v>2272</v>
      </c>
      <c r="P3904" s="71" t="s">
        <v>2272</v>
      </c>
      <c r="Q3904" s="71" t="s">
        <v>2272</v>
      </c>
      <c r="R3904" s="71" t="s">
        <v>2272</v>
      </c>
      <c r="S3904" s="71" t="s">
        <v>2272</v>
      </c>
      <c r="T3904" s="71" t="s">
        <v>2272</v>
      </c>
      <c r="U3904" s="71" t="s">
        <v>2272</v>
      </c>
      <c r="V3904" s="71" t="s">
        <v>2272</v>
      </c>
      <c r="W3904" s="71" t="s">
        <v>2272</v>
      </c>
      <c r="X3904" s="71" t="s">
        <v>2272</v>
      </c>
      <c r="Y3904" s="71" t="s">
        <v>2272</v>
      </c>
      <c r="Z3904" s="71" t="s">
        <v>2272</v>
      </c>
      <c r="AA3904" s="71" t="s">
        <v>2272</v>
      </c>
      <c r="AB3904" s="71" t="s">
        <v>2272</v>
      </c>
      <c r="AC3904" s="71" t="s">
        <v>2272</v>
      </c>
      <c r="AD3904" s="4" t="s">
        <v>9997</v>
      </c>
      <c r="AE3904" s="198"/>
    </row>
    <row r="3905" spans="1:31" ht="57.5" customHeight="1">
      <c r="A3905" s="198" t="s">
        <v>9989</v>
      </c>
      <c r="B3905" s="198" t="s">
        <v>9994</v>
      </c>
      <c r="C3905" s="198" t="s">
        <v>23</v>
      </c>
      <c r="D3905" s="198" t="s">
        <v>1238</v>
      </c>
      <c r="E3905" s="198" t="s">
        <v>2644</v>
      </c>
      <c r="F3905" s="4" t="s">
        <v>2657</v>
      </c>
      <c r="G3905" s="4" t="s">
        <v>2657</v>
      </c>
      <c r="H3905" s="198" t="s">
        <v>521</v>
      </c>
      <c r="I3905" s="198"/>
      <c r="J3905" s="71" t="s">
        <v>2272</v>
      </c>
      <c r="K3905" s="71" t="s">
        <v>2272</v>
      </c>
      <c r="L3905" s="71" t="s">
        <v>2272</v>
      </c>
      <c r="M3905" s="71" t="s">
        <v>2272</v>
      </c>
      <c r="N3905" s="71" t="s">
        <v>2272</v>
      </c>
      <c r="O3905" s="71" t="s">
        <v>2272</v>
      </c>
      <c r="P3905" s="71" t="s">
        <v>2272</v>
      </c>
      <c r="Q3905" s="71" t="s">
        <v>2272</v>
      </c>
      <c r="R3905" s="71" t="s">
        <v>2272</v>
      </c>
      <c r="S3905" s="71" t="s">
        <v>2272</v>
      </c>
      <c r="T3905" s="71" t="s">
        <v>2272</v>
      </c>
      <c r="U3905" s="71" t="s">
        <v>2272</v>
      </c>
      <c r="V3905" s="71" t="s">
        <v>2272</v>
      </c>
      <c r="W3905" s="71" t="s">
        <v>2272</v>
      </c>
      <c r="X3905" s="71" t="s">
        <v>2272</v>
      </c>
      <c r="Y3905" s="71" t="s">
        <v>2272</v>
      </c>
      <c r="Z3905" s="71" t="s">
        <v>2272</v>
      </c>
      <c r="AA3905" s="71" t="s">
        <v>2272</v>
      </c>
      <c r="AB3905" s="71" t="s">
        <v>2272</v>
      </c>
      <c r="AC3905" s="71" t="s">
        <v>2272</v>
      </c>
      <c r="AD3905" s="4" t="s">
        <v>9997</v>
      </c>
      <c r="AE3905" s="198"/>
    </row>
    <row r="3906" spans="1:31" ht="57.5" customHeight="1">
      <c r="A3906" s="198" t="s">
        <v>9990</v>
      </c>
      <c r="B3906" s="198" t="s">
        <v>9995</v>
      </c>
      <c r="C3906" s="198" t="s">
        <v>23</v>
      </c>
      <c r="D3906" s="198" t="s">
        <v>1238</v>
      </c>
      <c r="E3906" s="198" t="s">
        <v>2644</v>
      </c>
      <c r="F3906" s="4" t="s">
        <v>2657</v>
      </c>
      <c r="G3906" s="4" t="s">
        <v>2657</v>
      </c>
      <c r="H3906" s="198" t="s">
        <v>521</v>
      </c>
      <c r="I3906" s="198"/>
      <c r="J3906" s="71" t="s">
        <v>2272</v>
      </c>
      <c r="K3906" s="71" t="s">
        <v>2272</v>
      </c>
      <c r="L3906" s="71" t="s">
        <v>2272</v>
      </c>
      <c r="M3906" s="71" t="s">
        <v>2272</v>
      </c>
      <c r="N3906" s="71" t="s">
        <v>2272</v>
      </c>
      <c r="O3906" s="71" t="s">
        <v>2272</v>
      </c>
      <c r="P3906" s="71" t="s">
        <v>2272</v>
      </c>
      <c r="Q3906" s="71" t="s">
        <v>2272</v>
      </c>
      <c r="R3906" s="71" t="s">
        <v>2272</v>
      </c>
      <c r="S3906" s="71" t="s">
        <v>2272</v>
      </c>
      <c r="T3906" s="71" t="s">
        <v>2272</v>
      </c>
      <c r="U3906" s="71" t="s">
        <v>2272</v>
      </c>
      <c r="V3906" s="71" t="s">
        <v>2272</v>
      </c>
      <c r="W3906" s="71" t="s">
        <v>2272</v>
      </c>
      <c r="X3906" s="71" t="s">
        <v>2272</v>
      </c>
      <c r="Y3906" s="71" t="s">
        <v>2272</v>
      </c>
      <c r="Z3906" s="71" t="s">
        <v>2272</v>
      </c>
      <c r="AA3906" s="71" t="s">
        <v>2272</v>
      </c>
      <c r="AB3906" s="71" t="s">
        <v>2272</v>
      </c>
      <c r="AC3906" s="71" t="s">
        <v>2272</v>
      </c>
      <c r="AD3906" s="4" t="s">
        <v>9997</v>
      </c>
      <c r="AE3906" s="198"/>
    </row>
    <row r="3907" spans="1:31" ht="57.5" customHeight="1">
      <c r="A3907" s="198" t="s">
        <v>9991</v>
      </c>
      <c r="B3907" s="198" t="s">
        <v>9996</v>
      </c>
      <c r="C3907" s="198" t="s">
        <v>23</v>
      </c>
      <c r="D3907" s="198" t="s">
        <v>1238</v>
      </c>
      <c r="E3907" s="198" t="s">
        <v>2644</v>
      </c>
      <c r="F3907" s="4" t="s">
        <v>2657</v>
      </c>
      <c r="G3907" s="4" t="s">
        <v>2657</v>
      </c>
      <c r="H3907" s="198" t="s">
        <v>521</v>
      </c>
      <c r="I3907" s="198"/>
      <c r="J3907" s="71" t="s">
        <v>2272</v>
      </c>
      <c r="K3907" s="71" t="s">
        <v>2272</v>
      </c>
      <c r="L3907" s="71" t="s">
        <v>2272</v>
      </c>
      <c r="M3907" s="71" t="s">
        <v>2272</v>
      </c>
      <c r="N3907" s="71" t="s">
        <v>2272</v>
      </c>
      <c r="O3907" s="71" t="s">
        <v>2272</v>
      </c>
      <c r="P3907" s="71" t="s">
        <v>2272</v>
      </c>
      <c r="Q3907" s="71" t="s">
        <v>2272</v>
      </c>
      <c r="R3907" s="71" t="s">
        <v>2272</v>
      </c>
      <c r="S3907" s="71" t="s">
        <v>2272</v>
      </c>
      <c r="T3907" s="71" t="s">
        <v>2272</v>
      </c>
      <c r="U3907" s="71" t="s">
        <v>2272</v>
      </c>
      <c r="V3907" s="71" t="s">
        <v>2272</v>
      </c>
      <c r="W3907" s="71" t="s">
        <v>2272</v>
      </c>
      <c r="X3907" s="71" t="s">
        <v>2272</v>
      </c>
      <c r="Y3907" s="71" t="s">
        <v>2272</v>
      </c>
      <c r="Z3907" s="71" t="s">
        <v>2272</v>
      </c>
      <c r="AA3907" s="71" t="s">
        <v>2272</v>
      </c>
      <c r="AB3907" s="71" t="s">
        <v>2272</v>
      </c>
      <c r="AC3907" s="71" t="s">
        <v>2272</v>
      </c>
      <c r="AD3907" s="4" t="s">
        <v>9997</v>
      </c>
      <c r="AE3907" s="198"/>
    </row>
    <row r="3908" spans="1:31" ht="51.5" customHeight="1">
      <c r="A3908" s="198" t="s">
        <v>9990</v>
      </c>
      <c r="B3908" s="198" t="s">
        <v>9998</v>
      </c>
      <c r="C3908" s="198" t="s">
        <v>30</v>
      </c>
      <c r="D3908" s="198" t="s">
        <v>29</v>
      </c>
      <c r="E3908" s="198" t="s">
        <v>2644</v>
      </c>
      <c r="F3908" s="71" t="s">
        <v>2272</v>
      </c>
      <c r="G3908" s="4" t="s">
        <v>2657</v>
      </c>
      <c r="H3908" s="198" t="s">
        <v>521</v>
      </c>
      <c r="I3908" s="198"/>
      <c r="J3908" s="71" t="s">
        <v>2272</v>
      </c>
      <c r="K3908" s="71" t="s">
        <v>2272</v>
      </c>
      <c r="L3908" s="71" t="s">
        <v>2272</v>
      </c>
      <c r="M3908" s="71" t="s">
        <v>2272</v>
      </c>
      <c r="N3908" s="71" t="s">
        <v>2272</v>
      </c>
      <c r="O3908" s="71" t="s">
        <v>2272</v>
      </c>
      <c r="P3908" s="71" t="s">
        <v>2272</v>
      </c>
      <c r="Q3908" s="71" t="s">
        <v>2272</v>
      </c>
      <c r="R3908" s="71" t="s">
        <v>2272</v>
      </c>
      <c r="S3908" s="71" t="s">
        <v>2272</v>
      </c>
      <c r="T3908" s="71" t="s">
        <v>2272</v>
      </c>
      <c r="U3908" s="71" t="s">
        <v>2272</v>
      </c>
      <c r="V3908" s="71" t="s">
        <v>2272</v>
      </c>
      <c r="W3908" s="71" t="s">
        <v>2272</v>
      </c>
      <c r="X3908" s="71" t="s">
        <v>2272</v>
      </c>
      <c r="Y3908" s="71" t="s">
        <v>2272</v>
      </c>
      <c r="Z3908" s="71" t="s">
        <v>2272</v>
      </c>
      <c r="AA3908" s="71" t="s">
        <v>2272</v>
      </c>
      <c r="AB3908" s="71" t="s">
        <v>2272</v>
      </c>
      <c r="AC3908" s="71" t="s">
        <v>2272</v>
      </c>
      <c r="AD3908" s="4" t="s">
        <v>9999</v>
      </c>
      <c r="AE3908" s="198"/>
    </row>
    <row r="3909" spans="1:31" ht="55" customHeight="1">
      <c r="A3909" s="198" t="s">
        <v>10001</v>
      </c>
      <c r="B3909" s="198" t="s">
        <v>10005</v>
      </c>
      <c r="C3909" s="198" t="s">
        <v>23</v>
      </c>
      <c r="D3909" s="198" t="s">
        <v>4157</v>
      </c>
      <c r="E3909" s="198" t="s">
        <v>2644</v>
      </c>
      <c r="F3909" s="198" t="s">
        <v>73</v>
      </c>
      <c r="G3909" s="198" t="s">
        <v>73</v>
      </c>
      <c r="H3909" s="198" t="s">
        <v>521</v>
      </c>
      <c r="I3909" s="198"/>
      <c r="J3909" s="71" t="s">
        <v>2272</v>
      </c>
      <c r="K3909" s="71" t="s">
        <v>2272</v>
      </c>
      <c r="L3909" s="71" t="s">
        <v>2272</v>
      </c>
      <c r="M3909" s="71" t="s">
        <v>2272</v>
      </c>
      <c r="N3909" s="71" t="s">
        <v>2272</v>
      </c>
      <c r="O3909" s="71" t="s">
        <v>2272</v>
      </c>
      <c r="P3909" s="71" t="s">
        <v>2272</v>
      </c>
      <c r="Q3909" s="71" t="s">
        <v>2272</v>
      </c>
      <c r="R3909" s="71" t="s">
        <v>2272</v>
      </c>
      <c r="S3909" s="71" t="s">
        <v>2272</v>
      </c>
      <c r="T3909" s="71" t="s">
        <v>2272</v>
      </c>
      <c r="U3909" s="71" t="s">
        <v>2272</v>
      </c>
      <c r="V3909" s="71" t="s">
        <v>2272</v>
      </c>
      <c r="W3909" s="71" t="s">
        <v>2272</v>
      </c>
      <c r="X3909" s="71" t="s">
        <v>2272</v>
      </c>
      <c r="Y3909" s="71" t="s">
        <v>2272</v>
      </c>
      <c r="Z3909" s="71" t="s">
        <v>2272</v>
      </c>
      <c r="AA3909" s="71" t="s">
        <v>2272</v>
      </c>
      <c r="AB3909" s="71" t="s">
        <v>2272</v>
      </c>
      <c r="AC3909" s="71" t="s">
        <v>2272</v>
      </c>
      <c r="AD3909" s="198"/>
      <c r="AE3909" s="198"/>
    </row>
    <row r="3910" spans="1:31" ht="53" customHeight="1">
      <c r="A3910" s="198" t="s">
        <v>10009</v>
      </c>
      <c r="B3910" s="198" t="s">
        <v>10014</v>
      </c>
      <c r="C3910" s="198" t="s">
        <v>2651</v>
      </c>
      <c r="D3910" s="198" t="s">
        <v>2272</v>
      </c>
      <c r="E3910" s="198" t="s">
        <v>2272</v>
      </c>
      <c r="F3910" s="71" t="s">
        <v>2272</v>
      </c>
      <c r="G3910" s="198" t="s">
        <v>73</v>
      </c>
      <c r="H3910" s="198" t="s">
        <v>521</v>
      </c>
      <c r="I3910" s="198"/>
      <c r="J3910" s="71" t="s">
        <v>2272</v>
      </c>
      <c r="K3910" s="231">
        <f>3.644/15/'Record info'!$K$1565</f>
        <v>3.327853881278539E-6</v>
      </c>
      <c r="L3910" s="71" t="s">
        <v>2272</v>
      </c>
      <c r="M3910" s="71" t="s">
        <v>2272</v>
      </c>
      <c r="N3910" s="71" t="s">
        <v>2272</v>
      </c>
      <c r="O3910" s="21">
        <v>1300000</v>
      </c>
      <c r="P3910" s="71" t="s">
        <v>2272</v>
      </c>
      <c r="Q3910" s="21">
        <v>4864</v>
      </c>
      <c r="R3910" s="71" t="s">
        <v>2272</v>
      </c>
      <c r="S3910" s="71" t="s">
        <v>2272</v>
      </c>
      <c r="T3910" s="71" t="s">
        <v>2272</v>
      </c>
      <c r="U3910" s="71" t="s">
        <v>2272</v>
      </c>
      <c r="V3910" s="71" t="s">
        <v>2272</v>
      </c>
      <c r="W3910" s="71" t="s">
        <v>2272</v>
      </c>
      <c r="X3910" s="71" t="s">
        <v>2272</v>
      </c>
      <c r="Y3910" s="71" t="s">
        <v>2272</v>
      </c>
      <c r="Z3910" s="71" t="s">
        <v>2272</v>
      </c>
      <c r="AA3910" s="198" t="s">
        <v>187</v>
      </c>
      <c r="AB3910" s="198" t="s">
        <v>67</v>
      </c>
      <c r="AC3910" s="198" t="s">
        <v>2650</v>
      </c>
      <c r="AD3910" s="198"/>
      <c r="AE3910" s="4" t="s">
        <v>10023</v>
      </c>
    </row>
    <row r="3911" spans="1:31" ht="53" customHeight="1">
      <c r="A3911" s="198" t="s">
        <v>10009</v>
      </c>
      <c r="B3911" s="198" t="s">
        <v>10015</v>
      </c>
      <c r="C3911" s="198" t="s">
        <v>2453</v>
      </c>
      <c r="D3911" s="198" t="s">
        <v>2272</v>
      </c>
      <c r="E3911" s="198" t="s">
        <v>2272</v>
      </c>
      <c r="F3911" s="71" t="s">
        <v>2272</v>
      </c>
      <c r="G3911" s="198" t="s">
        <v>73</v>
      </c>
      <c r="H3911" s="198" t="s">
        <v>521</v>
      </c>
      <c r="I3911" s="198"/>
      <c r="J3911" s="71" t="s">
        <v>2272</v>
      </c>
      <c r="K3911" s="231">
        <f>4.173/15/'Record info'!$K$1565</f>
        <v>3.8109589041095891E-6</v>
      </c>
      <c r="L3911" s="71" t="s">
        <v>2272</v>
      </c>
      <c r="M3911" s="71" t="s">
        <v>2272</v>
      </c>
      <c r="N3911" s="71" t="s">
        <v>2272</v>
      </c>
      <c r="O3911" s="21">
        <v>1300000</v>
      </c>
      <c r="P3911" s="71" t="s">
        <v>2272</v>
      </c>
      <c r="Q3911" s="21">
        <v>4864</v>
      </c>
      <c r="R3911" s="71" t="s">
        <v>2272</v>
      </c>
      <c r="S3911" s="71" t="s">
        <v>2272</v>
      </c>
      <c r="T3911" s="71" t="s">
        <v>2272</v>
      </c>
      <c r="U3911" s="71" t="s">
        <v>2272</v>
      </c>
      <c r="V3911" s="71" t="s">
        <v>2272</v>
      </c>
      <c r="W3911" s="71" t="s">
        <v>2272</v>
      </c>
      <c r="X3911" s="71" t="s">
        <v>2272</v>
      </c>
      <c r="Y3911" s="71" t="s">
        <v>2272</v>
      </c>
      <c r="Z3911" s="71" t="s">
        <v>2272</v>
      </c>
      <c r="AA3911" s="198" t="s">
        <v>187</v>
      </c>
      <c r="AB3911" s="198" t="s">
        <v>67</v>
      </c>
      <c r="AC3911" s="198" t="s">
        <v>2650</v>
      </c>
      <c r="AD3911" s="198"/>
      <c r="AE3911" s="4" t="s">
        <v>10023</v>
      </c>
    </row>
    <row r="3912" spans="1:31" ht="53" customHeight="1">
      <c r="A3912" s="198" t="s">
        <v>10009</v>
      </c>
      <c r="B3912" s="198" t="s">
        <v>10016</v>
      </c>
      <c r="C3912" s="198" t="s">
        <v>2653</v>
      </c>
      <c r="D3912" s="198" t="s">
        <v>2272</v>
      </c>
      <c r="E3912" s="198" t="s">
        <v>2272</v>
      </c>
      <c r="F3912" s="71" t="s">
        <v>2272</v>
      </c>
      <c r="G3912" s="198" t="s">
        <v>73</v>
      </c>
      <c r="H3912" s="198" t="s">
        <v>521</v>
      </c>
      <c r="I3912" s="198"/>
      <c r="J3912" s="71" t="s">
        <v>2272</v>
      </c>
      <c r="K3912" s="231">
        <f>1.588/15/'Record info'!$K$1565</f>
        <v>1.4502283105022832E-6</v>
      </c>
      <c r="L3912" s="71" t="s">
        <v>2272</v>
      </c>
      <c r="M3912" s="71" t="s">
        <v>2272</v>
      </c>
      <c r="N3912" s="71" t="s">
        <v>2272</v>
      </c>
      <c r="O3912" s="21">
        <v>1300000</v>
      </c>
      <c r="P3912" s="71" t="s">
        <v>2272</v>
      </c>
      <c r="Q3912" s="21">
        <v>4864</v>
      </c>
      <c r="R3912" s="71" t="s">
        <v>2272</v>
      </c>
      <c r="S3912" s="71" t="s">
        <v>2272</v>
      </c>
      <c r="T3912" s="71" t="s">
        <v>2272</v>
      </c>
      <c r="U3912" s="71" t="s">
        <v>2272</v>
      </c>
      <c r="V3912" s="71" t="s">
        <v>2272</v>
      </c>
      <c r="W3912" s="71" t="s">
        <v>2272</v>
      </c>
      <c r="X3912" s="71" t="s">
        <v>2272</v>
      </c>
      <c r="Y3912" s="71" t="s">
        <v>2272</v>
      </c>
      <c r="Z3912" s="71" t="s">
        <v>2272</v>
      </c>
      <c r="AA3912" s="198" t="s">
        <v>187</v>
      </c>
      <c r="AB3912" s="198" t="s">
        <v>67</v>
      </c>
      <c r="AC3912" s="198" t="s">
        <v>2650</v>
      </c>
      <c r="AD3912" s="198"/>
      <c r="AE3912" s="4" t="s">
        <v>10023</v>
      </c>
    </row>
    <row r="3913" spans="1:31" ht="53" customHeight="1">
      <c r="A3913" s="198" t="s">
        <v>10013</v>
      </c>
      <c r="B3913" s="198" t="s">
        <v>10020</v>
      </c>
      <c r="C3913" s="198" t="s">
        <v>2651</v>
      </c>
      <c r="D3913" s="198" t="s">
        <v>2272</v>
      </c>
      <c r="E3913" s="198" t="s">
        <v>2272</v>
      </c>
      <c r="F3913" s="71" t="s">
        <v>2272</v>
      </c>
      <c r="G3913" s="198" t="s">
        <v>73</v>
      </c>
      <c r="H3913" s="198" t="s">
        <v>521</v>
      </c>
      <c r="I3913" s="198"/>
      <c r="J3913" s="71" t="s">
        <v>2272</v>
      </c>
      <c r="K3913" s="231">
        <f>17.3869/11/'Record info'!$K$1565</f>
        <v>2.1652428393524283E-5</v>
      </c>
      <c r="L3913" s="71" t="s">
        <v>2272</v>
      </c>
      <c r="M3913" s="71" t="s">
        <v>2272</v>
      </c>
      <c r="N3913" s="71" t="s">
        <v>2272</v>
      </c>
      <c r="O3913" s="71" t="s">
        <v>2272</v>
      </c>
      <c r="P3913" s="71" t="s">
        <v>2272</v>
      </c>
      <c r="Q3913" s="21">
        <v>4864</v>
      </c>
      <c r="R3913" s="71" t="s">
        <v>2272</v>
      </c>
      <c r="S3913" s="71" t="s">
        <v>2272</v>
      </c>
      <c r="T3913" s="71" t="s">
        <v>2272</v>
      </c>
      <c r="U3913" s="71" t="s">
        <v>2272</v>
      </c>
      <c r="V3913" s="71" t="s">
        <v>2272</v>
      </c>
      <c r="W3913" s="71" t="s">
        <v>2272</v>
      </c>
      <c r="X3913" s="71" t="s">
        <v>2272</v>
      </c>
      <c r="Y3913" s="71" t="s">
        <v>2272</v>
      </c>
      <c r="Z3913" s="71" t="s">
        <v>2272</v>
      </c>
      <c r="AA3913" s="198" t="s">
        <v>187</v>
      </c>
      <c r="AB3913" s="198" t="s">
        <v>67</v>
      </c>
      <c r="AC3913" s="198" t="s">
        <v>2650</v>
      </c>
      <c r="AD3913" s="198"/>
      <c r="AE3913" s="4" t="s">
        <v>10023</v>
      </c>
    </row>
    <row r="3914" spans="1:31" ht="53" customHeight="1">
      <c r="A3914" s="198" t="s">
        <v>10013</v>
      </c>
      <c r="B3914" s="198" t="s">
        <v>10021</v>
      </c>
      <c r="C3914" s="198" t="s">
        <v>2453</v>
      </c>
      <c r="D3914" s="198" t="s">
        <v>2272</v>
      </c>
      <c r="E3914" s="198" t="s">
        <v>2272</v>
      </c>
      <c r="F3914" s="71" t="s">
        <v>2272</v>
      </c>
      <c r="G3914" s="198" t="s">
        <v>73</v>
      </c>
      <c r="H3914" s="198" t="s">
        <v>521</v>
      </c>
      <c r="I3914" s="198"/>
      <c r="J3914" s="71" t="s">
        <v>2272</v>
      </c>
      <c r="K3914" s="231">
        <f>5.548/11/'Record info'!$K$1565</f>
        <v>6.9090909090909091E-6</v>
      </c>
      <c r="L3914" s="71" t="s">
        <v>2272</v>
      </c>
      <c r="M3914" s="71" t="s">
        <v>2272</v>
      </c>
      <c r="N3914" s="71" t="s">
        <v>2272</v>
      </c>
      <c r="O3914" s="71" t="s">
        <v>2272</v>
      </c>
      <c r="P3914" s="71" t="s">
        <v>2272</v>
      </c>
      <c r="Q3914" s="21">
        <v>4864</v>
      </c>
      <c r="R3914" s="71" t="s">
        <v>2272</v>
      </c>
      <c r="S3914" s="71" t="s">
        <v>2272</v>
      </c>
      <c r="T3914" s="71" t="s">
        <v>2272</v>
      </c>
      <c r="U3914" s="71" t="s">
        <v>2272</v>
      </c>
      <c r="V3914" s="71" t="s">
        <v>2272</v>
      </c>
      <c r="W3914" s="71" t="s">
        <v>2272</v>
      </c>
      <c r="X3914" s="71" t="s">
        <v>2272</v>
      </c>
      <c r="Y3914" s="71" t="s">
        <v>2272</v>
      </c>
      <c r="Z3914" s="71" t="s">
        <v>2272</v>
      </c>
      <c r="AA3914" s="198" t="s">
        <v>187</v>
      </c>
      <c r="AB3914" s="198" t="s">
        <v>67</v>
      </c>
      <c r="AC3914" s="198" t="s">
        <v>2650</v>
      </c>
      <c r="AD3914" s="198"/>
      <c r="AE3914" s="4" t="s">
        <v>10023</v>
      </c>
    </row>
    <row r="3915" spans="1:31" ht="53" customHeight="1">
      <c r="A3915" s="198" t="s">
        <v>10013</v>
      </c>
      <c r="B3915" s="198" t="s">
        <v>10022</v>
      </c>
      <c r="C3915" s="198" t="s">
        <v>2653</v>
      </c>
      <c r="D3915" s="198" t="s">
        <v>2272</v>
      </c>
      <c r="E3915" s="198" t="s">
        <v>2272</v>
      </c>
      <c r="F3915" s="71" t="s">
        <v>2272</v>
      </c>
      <c r="G3915" s="198" t="s">
        <v>73</v>
      </c>
      <c r="H3915" s="198" t="s">
        <v>521</v>
      </c>
      <c r="I3915" s="198"/>
      <c r="J3915" s="71" t="s">
        <v>2272</v>
      </c>
      <c r="K3915" s="231">
        <f>1.113/11/'Record info'!$K$1565</f>
        <v>1.386052303860523E-6</v>
      </c>
      <c r="L3915" s="71" t="s">
        <v>2272</v>
      </c>
      <c r="M3915" s="71" t="s">
        <v>2272</v>
      </c>
      <c r="N3915" s="71" t="s">
        <v>2272</v>
      </c>
      <c r="O3915" s="71" t="s">
        <v>2272</v>
      </c>
      <c r="P3915" s="71" t="s">
        <v>2272</v>
      </c>
      <c r="Q3915" s="21">
        <v>4864</v>
      </c>
      <c r="R3915" s="71" t="s">
        <v>2272</v>
      </c>
      <c r="S3915" s="71" t="s">
        <v>2272</v>
      </c>
      <c r="T3915" s="71" t="s">
        <v>2272</v>
      </c>
      <c r="U3915" s="71" t="s">
        <v>2272</v>
      </c>
      <c r="V3915" s="71" t="s">
        <v>2272</v>
      </c>
      <c r="W3915" s="71" t="s">
        <v>2272</v>
      </c>
      <c r="X3915" s="71" t="s">
        <v>2272</v>
      </c>
      <c r="Y3915" s="71" t="s">
        <v>2272</v>
      </c>
      <c r="Z3915" s="71" t="s">
        <v>2272</v>
      </c>
      <c r="AA3915" s="198" t="s">
        <v>187</v>
      </c>
      <c r="AB3915" s="198" t="s">
        <v>67</v>
      </c>
      <c r="AC3915" s="198" t="s">
        <v>2650</v>
      </c>
      <c r="AD3915" s="198"/>
      <c r="AE3915" s="4" t="s">
        <v>10023</v>
      </c>
    </row>
    <row r="3916" spans="1:31" ht="47" customHeight="1">
      <c r="A3916" s="198" t="s">
        <v>10009</v>
      </c>
      <c r="B3916" s="198" t="s">
        <v>10017</v>
      </c>
      <c r="C3916" s="198" t="s">
        <v>23</v>
      </c>
      <c r="D3916" s="198" t="s">
        <v>2654</v>
      </c>
      <c r="E3916" s="198" t="s">
        <v>82</v>
      </c>
      <c r="F3916" s="4" t="s">
        <v>27</v>
      </c>
      <c r="G3916" s="198" t="s">
        <v>73</v>
      </c>
      <c r="H3916" s="198" t="s">
        <v>521</v>
      </c>
      <c r="I3916" s="198"/>
      <c r="J3916" s="71" t="s">
        <v>2272</v>
      </c>
      <c r="K3916" s="71" t="s">
        <v>2272</v>
      </c>
      <c r="L3916" s="71" t="s">
        <v>2272</v>
      </c>
      <c r="M3916" s="71" t="s">
        <v>2272</v>
      </c>
      <c r="N3916" s="71" t="s">
        <v>2272</v>
      </c>
      <c r="O3916" s="71" t="s">
        <v>2272</v>
      </c>
      <c r="P3916" s="71" t="s">
        <v>2272</v>
      </c>
      <c r="Q3916" s="71" t="s">
        <v>2272</v>
      </c>
      <c r="R3916" s="71" t="s">
        <v>2272</v>
      </c>
      <c r="S3916" s="71" t="s">
        <v>2272</v>
      </c>
      <c r="T3916" s="71" t="s">
        <v>2272</v>
      </c>
      <c r="U3916" s="71" t="s">
        <v>2272</v>
      </c>
      <c r="V3916" s="71" t="s">
        <v>2272</v>
      </c>
      <c r="W3916" s="71" t="s">
        <v>2272</v>
      </c>
      <c r="X3916" s="71" t="s">
        <v>2272</v>
      </c>
      <c r="Y3916" s="71" t="s">
        <v>2272</v>
      </c>
      <c r="Z3916" s="71" t="s">
        <v>2272</v>
      </c>
      <c r="AA3916" s="198" t="s">
        <v>423</v>
      </c>
      <c r="AB3916" s="198" t="s">
        <v>67</v>
      </c>
      <c r="AC3916" s="198" t="s">
        <v>63</v>
      </c>
      <c r="AD3916" s="198"/>
      <c r="AE3916" s="198"/>
    </row>
    <row r="3917" spans="1:31" ht="47" customHeight="1">
      <c r="A3917" s="198" t="s">
        <v>10013</v>
      </c>
      <c r="B3917" s="198" t="s">
        <v>10024</v>
      </c>
      <c r="C3917" s="198" t="s">
        <v>23</v>
      </c>
      <c r="D3917" s="198" t="s">
        <v>2654</v>
      </c>
      <c r="E3917" s="198" t="s">
        <v>82</v>
      </c>
      <c r="F3917" s="4" t="s">
        <v>27</v>
      </c>
      <c r="G3917" s="198" t="s">
        <v>73</v>
      </c>
      <c r="H3917" s="198" t="s">
        <v>521</v>
      </c>
      <c r="I3917" s="198"/>
      <c r="J3917" s="71" t="s">
        <v>2272</v>
      </c>
      <c r="K3917" s="71" t="s">
        <v>2272</v>
      </c>
      <c r="L3917" s="71" t="s">
        <v>2272</v>
      </c>
      <c r="M3917" s="71" t="s">
        <v>2272</v>
      </c>
      <c r="N3917" s="71" t="s">
        <v>2272</v>
      </c>
      <c r="O3917" s="71" t="s">
        <v>2272</v>
      </c>
      <c r="P3917" s="71" t="s">
        <v>2272</v>
      </c>
      <c r="Q3917" s="71" t="s">
        <v>2272</v>
      </c>
      <c r="R3917" s="71" t="s">
        <v>2272</v>
      </c>
      <c r="S3917" s="71" t="s">
        <v>2272</v>
      </c>
      <c r="T3917" s="71" t="s">
        <v>2272</v>
      </c>
      <c r="U3917" s="71" t="s">
        <v>2272</v>
      </c>
      <c r="V3917" s="71" t="s">
        <v>2272</v>
      </c>
      <c r="W3917" s="71" t="s">
        <v>2272</v>
      </c>
      <c r="X3917" s="71" t="s">
        <v>2272</v>
      </c>
      <c r="Y3917" s="71" t="s">
        <v>2272</v>
      </c>
      <c r="Z3917" s="71" t="s">
        <v>2272</v>
      </c>
      <c r="AA3917" s="198" t="s">
        <v>423</v>
      </c>
      <c r="AB3917" s="198" t="s">
        <v>67</v>
      </c>
      <c r="AC3917" s="198" t="s">
        <v>63</v>
      </c>
      <c r="AD3917" s="198"/>
      <c r="AE3917" s="198"/>
    </row>
    <row r="3918" spans="1:31" ht="47" customHeight="1">
      <c r="A3918" s="198" t="s">
        <v>10009</v>
      </c>
      <c r="B3918" s="198" t="s">
        <v>10018</v>
      </c>
      <c r="C3918" s="198" t="s">
        <v>2453</v>
      </c>
      <c r="D3918" s="198" t="s">
        <v>2654</v>
      </c>
      <c r="E3918" s="198" t="s">
        <v>82</v>
      </c>
      <c r="F3918" s="4" t="s">
        <v>27</v>
      </c>
      <c r="G3918" s="198" t="s">
        <v>73</v>
      </c>
      <c r="H3918" s="198" t="s">
        <v>521</v>
      </c>
      <c r="I3918" s="198"/>
      <c r="J3918" s="71" t="s">
        <v>2272</v>
      </c>
      <c r="K3918" s="71" t="s">
        <v>2272</v>
      </c>
      <c r="L3918" s="71" t="s">
        <v>2272</v>
      </c>
      <c r="M3918" s="71" t="s">
        <v>2272</v>
      </c>
      <c r="N3918" s="71" t="s">
        <v>2272</v>
      </c>
      <c r="O3918" s="71" t="s">
        <v>2272</v>
      </c>
      <c r="P3918" s="71" t="s">
        <v>2272</v>
      </c>
      <c r="Q3918" s="71" t="s">
        <v>2272</v>
      </c>
      <c r="R3918" s="71" t="s">
        <v>2272</v>
      </c>
      <c r="S3918" s="71" t="s">
        <v>2272</v>
      </c>
      <c r="T3918" s="71" t="s">
        <v>2272</v>
      </c>
      <c r="U3918" s="71" t="s">
        <v>2272</v>
      </c>
      <c r="V3918" s="71" t="s">
        <v>2272</v>
      </c>
      <c r="W3918" s="71" t="s">
        <v>2272</v>
      </c>
      <c r="X3918" s="71" t="s">
        <v>2272</v>
      </c>
      <c r="Y3918" s="71" t="s">
        <v>2272</v>
      </c>
      <c r="Z3918" s="71" t="s">
        <v>2272</v>
      </c>
      <c r="AA3918" s="198" t="s">
        <v>423</v>
      </c>
      <c r="AB3918" s="198" t="s">
        <v>67</v>
      </c>
      <c r="AC3918" s="198" t="s">
        <v>63</v>
      </c>
      <c r="AD3918" s="198"/>
      <c r="AE3918" s="198"/>
    </row>
    <row r="3919" spans="1:31" ht="47" customHeight="1">
      <c r="A3919" s="198" t="s">
        <v>10013</v>
      </c>
      <c r="B3919" s="198" t="s">
        <v>10025</v>
      </c>
      <c r="C3919" s="198" t="s">
        <v>2453</v>
      </c>
      <c r="D3919" s="198" t="s">
        <v>2654</v>
      </c>
      <c r="E3919" s="198" t="s">
        <v>82</v>
      </c>
      <c r="F3919" s="4" t="s">
        <v>27</v>
      </c>
      <c r="G3919" s="198" t="s">
        <v>73</v>
      </c>
      <c r="H3919" s="198" t="s">
        <v>521</v>
      </c>
      <c r="I3919" s="198"/>
      <c r="J3919" s="71" t="s">
        <v>2272</v>
      </c>
      <c r="K3919" s="71" t="s">
        <v>2272</v>
      </c>
      <c r="L3919" s="71" t="s">
        <v>2272</v>
      </c>
      <c r="M3919" s="71" t="s">
        <v>2272</v>
      </c>
      <c r="N3919" s="71" t="s">
        <v>2272</v>
      </c>
      <c r="O3919" s="71" t="s">
        <v>2272</v>
      </c>
      <c r="P3919" s="71" t="s">
        <v>2272</v>
      </c>
      <c r="Q3919" s="71" t="s">
        <v>2272</v>
      </c>
      <c r="R3919" s="71" t="s">
        <v>2272</v>
      </c>
      <c r="S3919" s="71" t="s">
        <v>2272</v>
      </c>
      <c r="T3919" s="71" t="s">
        <v>2272</v>
      </c>
      <c r="U3919" s="71" t="s">
        <v>2272</v>
      </c>
      <c r="V3919" s="71" t="s">
        <v>2272</v>
      </c>
      <c r="W3919" s="71" t="s">
        <v>2272</v>
      </c>
      <c r="X3919" s="71" t="s">
        <v>2272</v>
      </c>
      <c r="Y3919" s="71" t="s">
        <v>2272</v>
      </c>
      <c r="Z3919" s="71" t="s">
        <v>2272</v>
      </c>
      <c r="AA3919" s="198" t="s">
        <v>423</v>
      </c>
      <c r="AB3919" s="198" t="s">
        <v>67</v>
      </c>
      <c r="AC3919" s="198" t="s">
        <v>63</v>
      </c>
      <c r="AD3919" s="198"/>
      <c r="AE3919" s="198"/>
    </row>
    <row r="3920" spans="1:31" ht="52" customHeight="1">
      <c r="A3920" s="198" t="s">
        <v>10009</v>
      </c>
      <c r="B3920" s="198" t="s">
        <v>10019</v>
      </c>
      <c r="C3920" s="198" t="s">
        <v>30</v>
      </c>
      <c r="D3920" s="198" t="s">
        <v>29</v>
      </c>
      <c r="E3920" s="198" t="s">
        <v>2648</v>
      </c>
      <c r="F3920" s="71" t="s">
        <v>2272</v>
      </c>
      <c r="G3920" s="198" t="s">
        <v>73</v>
      </c>
      <c r="H3920" s="198" t="s">
        <v>521</v>
      </c>
      <c r="I3920" s="198"/>
      <c r="J3920" s="71" t="s">
        <v>2272</v>
      </c>
      <c r="K3920" s="71" t="s">
        <v>2272</v>
      </c>
      <c r="L3920" s="71" t="s">
        <v>2272</v>
      </c>
      <c r="M3920" s="71" t="s">
        <v>2272</v>
      </c>
      <c r="N3920" s="71" t="s">
        <v>2272</v>
      </c>
      <c r="O3920" s="71" t="s">
        <v>2272</v>
      </c>
      <c r="P3920" s="71" t="s">
        <v>2272</v>
      </c>
      <c r="Q3920" s="71" t="s">
        <v>2272</v>
      </c>
      <c r="R3920" s="71" t="s">
        <v>2272</v>
      </c>
      <c r="S3920" s="71" t="s">
        <v>2272</v>
      </c>
      <c r="T3920" s="71" t="s">
        <v>2272</v>
      </c>
      <c r="U3920" s="71" t="s">
        <v>2272</v>
      </c>
      <c r="V3920" s="71" t="s">
        <v>2272</v>
      </c>
      <c r="W3920" s="71" t="s">
        <v>2272</v>
      </c>
      <c r="X3920" s="71" t="s">
        <v>2272</v>
      </c>
      <c r="Y3920" s="71" t="s">
        <v>2272</v>
      </c>
      <c r="Z3920" s="71" t="s">
        <v>2272</v>
      </c>
      <c r="AA3920" s="198" t="s">
        <v>2272</v>
      </c>
      <c r="AB3920" s="198" t="s">
        <v>2272</v>
      </c>
      <c r="AC3920" s="198" t="s">
        <v>2272</v>
      </c>
      <c r="AD3920" s="4" t="s">
        <v>10027</v>
      </c>
      <c r="AE3920" s="198"/>
    </row>
    <row r="3921" spans="1:31" ht="52" customHeight="1">
      <c r="A3921" s="198" t="s">
        <v>10013</v>
      </c>
      <c r="B3921" s="198" t="s">
        <v>10026</v>
      </c>
      <c r="C3921" s="198" t="s">
        <v>30</v>
      </c>
      <c r="D3921" s="198" t="s">
        <v>29</v>
      </c>
      <c r="E3921" s="198" t="s">
        <v>2648</v>
      </c>
      <c r="F3921" s="71" t="s">
        <v>2272</v>
      </c>
      <c r="G3921" s="198" t="s">
        <v>73</v>
      </c>
      <c r="H3921" s="198" t="s">
        <v>521</v>
      </c>
      <c r="I3921" s="198"/>
      <c r="J3921" s="71" t="s">
        <v>2272</v>
      </c>
      <c r="K3921" s="71" t="s">
        <v>2272</v>
      </c>
      <c r="L3921" s="71" t="s">
        <v>2272</v>
      </c>
      <c r="M3921" s="71" t="s">
        <v>2272</v>
      </c>
      <c r="N3921" s="71" t="s">
        <v>2272</v>
      </c>
      <c r="O3921" s="71" t="s">
        <v>2272</v>
      </c>
      <c r="P3921" s="71" t="s">
        <v>2272</v>
      </c>
      <c r="Q3921" s="71" t="s">
        <v>2272</v>
      </c>
      <c r="R3921" s="71" t="s">
        <v>2272</v>
      </c>
      <c r="S3921" s="71" t="s">
        <v>2272</v>
      </c>
      <c r="T3921" s="71" t="s">
        <v>2272</v>
      </c>
      <c r="U3921" s="71" t="s">
        <v>2272</v>
      </c>
      <c r="V3921" s="71" t="s">
        <v>2272</v>
      </c>
      <c r="W3921" s="71" t="s">
        <v>2272</v>
      </c>
      <c r="X3921" s="71" t="s">
        <v>2272</v>
      </c>
      <c r="Y3921" s="71" t="s">
        <v>2272</v>
      </c>
      <c r="Z3921" s="71" t="s">
        <v>2272</v>
      </c>
      <c r="AA3921" s="198" t="s">
        <v>2272</v>
      </c>
      <c r="AB3921" s="198" t="s">
        <v>2272</v>
      </c>
      <c r="AC3921" s="198" t="s">
        <v>2272</v>
      </c>
      <c r="AD3921" s="4" t="s">
        <v>10027</v>
      </c>
      <c r="AE3921" s="198"/>
    </row>
    <row r="3922" spans="1:31" ht="52" customHeight="1">
      <c r="A3922" s="198" t="s">
        <v>10031</v>
      </c>
      <c r="B3922" s="198" t="s">
        <v>11512</v>
      </c>
      <c r="C3922" s="198" t="s">
        <v>23</v>
      </c>
      <c r="D3922" s="198" t="s">
        <v>2227</v>
      </c>
      <c r="E3922" s="198" t="s">
        <v>82</v>
      </c>
      <c r="F3922" s="4" t="s">
        <v>2657</v>
      </c>
      <c r="G3922" s="4" t="s">
        <v>2657</v>
      </c>
      <c r="H3922" s="198" t="s">
        <v>521</v>
      </c>
      <c r="I3922" s="198"/>
      <c r="J3922" s="71" t="s">
        <v>2272</v>
      </c>
      <c r="K3922" s="71" t="s">
        <v>2272</v>
      </c>
      <c r="L3922" s="71" t="s">
        <v>2272</v>
      </c>
      <c r="M3922" s="71" t="s">
        <v>2272</v>
      </c>
      <c r="N3922" s="71" t="s">
        <v>2272</v>
      </c>
      <c r="O3922" s="71" t="s">
        <v>2272</v>
      </c>
      <c r="P3922" s="71" t="s">
        <v>2272</v>
      </c>
      <c r="Q3922" s="71" t="s">
        <v>2272</v>
      </c>
      <c r="R3922" s="71" t="s">
        <v>2272</v>
      </c>
      <c r="S3922" s="71" t="s">
        <v>2272</v>
      </c>
      <c r="T3922" s="71" t="s">
        <v>2272</v>
      </c>
      <c r="U3922" s="71" t="s">
        <v>2272</v>
      </c>
      <c r="V3922" s="71" t="s">
        <v>2272</v>
      </c>
      <c r="W3922" s="71" t="s">
        <v>2272</v>
      </c>
      <c r="X3922" s="71" t="s">
        <v>2272</v>
      </c>
      <c r="Y3922" s="71" t="s">
        <v>2272</v>
      </c>
      <c r="Z3922" s="71" t="s">
        <v>2272</v>
      </c>
      <c r="AA3922" s="71" t="s">
        <v>2272</v>
      </c>
      <c r="AB3922" s="71" t="s">
        <v>2272</v>
      </c>
      <c r="AC3922" s="71" t="s">
        <v>2272</v>
      </c>
      <c r="AD3922" s="4"/>
      <c r="AE3922" s="198"/>
    </row>
    <row r="3923" spans="1:31" ht="52.5" customHeight="1">
      <c r="A3923" s="198" t="s">
        <v>10033</v>
      </c>
      <c r="B3923" s="198" t="s">
        <v>10036</v>
      </c>
      <c r="C3923" s="198" t="s">
        <v>1102</v>
      </c>
      <c r="D3923" s="198" t="s">
        <v>1102</v>
      </c>
      <c r="E3923" s="198" t="s">
        <v>1102</v>
      </c>
      <c r="F3923" s="71" t="s">
        <v>2272</v>
      </c>
      <c r="G3923" s="198" t="s">
        <v>73</v>
      </c>
      <c r="H3923" s="198" t="s">
        <v>521</v>
      </c>
      <c r="I3923" s="198"/>
      <c r="J3923" s="71" t="s">
        <v>2272</v>
      </c>
      <c r="K3923" s="71" t="s">
        <v>2272</v>
      </c>
      <c r="L3923" s="71" t="s">
        <v>2272</v>
      </c>
      <c r="M3923" s="71" t="s">
        <v>2272</v>
      </c>
      <c r="N3923" s="71" t="s">
        <v>2272</v>
      </c>
      <c r="O3923" s="71" t="s">
        <v>2272</v>
      </c>
      <c r="P3923" s="71" t="s">
        <v>2272</v>
      </c>
      <c r="Q3923" s="71" t="s">
        <v>2272</v>
      </c>
      <c r="R3923" s="71" t="s">
        <v>2272</v>
      </c>
      <c r="S3923" s="71" t="s">
        <v>2272</v>
      </c>
      <c r="T3923" s="71" t="s">
        <v>2272</v>
      </c>
      <c r="U3923" s="71" t="s">
        <v>2272</v>
      </c>
      <c r="V3923" s="71" t="s">
        <v>2272</v>
      </c>
      <c r="W3923" s="71" t="s">
        <v>2272</v>
      </c>
      <c r="X3923" s="71" t="s">
        <v>2272</v>
      </c>
      <c r="Y3923" s="71" t="s">
        <v>2272</v>
      </c>
      <c r="Z3923" s="21">
        <v>500</v>
      </c>
      <c r="AA3923" s="198" t="s">
        <v>2272</v>
      </c>
      <c r="AB3923" s="198" t="s">
        <v>2272</v>
      </c>
      <c r="AC3923" s="198" t="s">
        <v>2272</v>
      </c>
      <c r="AD3923" s="4" t="s">
        <v>10037</v>
      </c>
      <c r="AE3923" s="198"/>
    </row>
    <row r="3924" spans="1:31" ht="53.5" customHeight="1">
      <c r="A3924" s="198" t="s">
        <v>10043</v>
      </c>
      <c r="B3924" s="198" t="s">
        <v>10045</v>
      </c>
      <c r="C3924" s="198" t="s">
        <v>1102</v>
      </c>
      <c r="D3924" s="198" t="s">
        <v>1102</v>
      </c>
      <c r="E3924" s="198" t="s">
        <v>1102</v>
      </c>
      <c r="F3924" s="71" t="s">
        <v>2272</v>
      </c>
      <c r="G3924" s="198" t="s">
        <v>2272</v>
      </c>
      <c r="H3924" s="198" t="s">
        <v>521</v>
      </c>
      <c r="I3924" s="198"/>
      <c r="J3924" s="71" t="s">
        <v>2272</v>
      </c>
      <c r="K3924" s="21">
        <f>210000/4/'Record info'!$K1569</f>
        <v>0.21649930926410854</v>
      </c>
      <c r="L3924" s="212">
        <v>1E-4</v>
      </c>
      <c r="M3924" s="212">
        <v>1E-4</v>
      </c>
      <c r="N3924" s="71" t="s">
        <v>2272</v>
      </c>
      <c r="O3924" s="71" t="s">
        <v>2272</v>
      </c>
      <c r="P3924" s="71" t="s">
        <v>2272</v>
      </c>
      <c r="Q3924" s="71" t="s">
        <v>2272</v>
      </c>
      <c r="R3924" s="71" t="s">
        <v>2272</v>
      </c>
      <c r="S3924" s="71" t="s">
        <v>2272</v>
      </c>
      <c r="T3924" s="71" t="s">
        <v>2272</v>
      </c>
      <c r="U3924" s="71" t="s">
        <v>2272</v>
      </c>
      <c r="V3924" s="71" t="s">
        <v>2272</v>
      </c>
      <c r="W3924" s="71" t="s">
        <v>2272</v>
      </c>
      <c r="X3924" s="71" t="s">
        <v>2272</v>
      </c>
      <c r="Y3924" s="21">
        <f>((71000/65000)*(210000/4))/'Record info'!K1569</f>
        <v>0.23648386088848777</v>
      </c>
      <c r="Z3924" s="198" t="s">
        <v>2272</v>
      </c>
      <c r="AA3924" s="198" t="s">
        <v>2272</v>
      </c>
      <c r="AB3924" s="198" t="s">
        <v>2272</v>
      </c>
      <c r="AC3924" s="198" t="s">
        <v>2272</v>
      </c>
      <c r="AD3924" s="4" t="s">
        <v>10046</v>
      </c>
      <c r="AE3924" s="198"/>
    </row>
    <row r="3925" spans="1:31" ht="34.5" customHeight="1">
      <c r="A3925" s="198" t="s">
        <v>10043</v>
      </c>
      <c r="B3925" s="198" t="s">
        <v>10047</v>
      </c>
      <c r="C3925" s="198" t="s">
        <v>23</v>
      </c>
      <c r="D3925" s="198" t="s">
        <v>2272</v>
      </c>
      <c r="E3925" s="198" t="s">
        <v>2648</v>
      </c>
      <c r="F3925" s="71" t="s">
        <v>2272</v>
      </c>
      <c r="G3925" s="198" t="s">
        <v>2272</v>
      </c>
      <c r="H3925" s="198" t="s">
        <v>521</v>
      </c>
      <c r="I3925" s="198"/>
      <c r="J3925" s="71" t="s">
        <v>2272</v>
      </c>
      <c r="K3925" s="71" t="s">
        <v>2272</v>
      </c>
      <c r="L3925" s="71" t="s">
        <v>2272</v>
      </c>
      <c r="M3925" s="71" t="s">
        <v>2272</v>
      </c>
      <c r="N3925" s="71" t="s">
        <v>2272</v>
      </c>
      <c r="O3925" s="71" t="s">
        <v>2272</v>
      </c>
      <c r="P3925" s="71" t="s">
        <v>2272</v>
      </c>
      <c r="Q3925" s="71" t="s">
        <v>2272</v>
      </c>
      <c r="R3925" s="71" t="s">
        <v>2272</v>
      </c>
      <c r="S3925" s="71" t="s">
        <v>2272</v>
      </c>
      <c r="T3925" s="71" t="s">
        <v>2272</v>
      </c>
      <c r="U3925" s="71" t="s">
        <v>2272</v>
      </c>
      <c r="V3925" s="71" t="s">
        <v>2272</v>
      </c>
      <c r="W3925" s="71" t="s">
        <v>2272</v>
      </c>
      <c r="X3925" s="71" t="s">
        <v>2272</v>
      </c>
      <c r="Y3925" s="71" t="s">
        <v>2272</v>
      </c>
      <c r="Z3925" s="71" t="s">
        <v>2272</v>
      </c>
      <c r="AA3925" s="71" t="s">
        <v>2272</v>
      </c>
      <c r="AB3925" s="71" t="s">
        <v>2272</v>
      </c>
      <c r="AC3925" s="71" t="s">
        <v>2272</v>
      </c>
      <c r="AD3925" s="4" t="s">
        <v>10050</v>
      </c>
      <c r="AE3925" s="198"/>
    </row>
    <row r="3926" spans="1:31" ht="34.5" customHeight="1">
      <c r="A3926" s="198" t="s">
        <v>10043</v>
      </c>
      <c r="B3926" s="198" t="s">
        <v>10048</v>
      </c>
      <c r="C3926" s="198" t="s">
        <v>2453</v>
      </c>
      <c r="D3926" s="198" t="s">
        <v>2272</v>
      </c>
      <c r="E3926" s="198" t="s">
        <v>2648</v>
      </c>
      <c r="F3926" s="71" t="s">
        <v>2272</v>
      </c>
      <c r="G3926" s="198" t="s">
        <v>2272</v>
      </c>
      <c r="H3926" s="198" t="s">
        <v>521</v>
      </c>
      <c r="I3926" s="198"/>
      <c r="J3926" s="71" t="s">
        <v>2272</v>
      </c>
      <c r="K3926" s="71" t="s">
        <v>2272</v>
      </c>
      <c r="L3926" s="71" t="s">
        <v>2272</v>
      </c>
      <c r="M3926" s="71" t="s">
        <v>2272</v>
      </c>
      <c r="N3926" s="71" t="s">
        <v>2272</v>
      </c>
      <c r="O3926" s="71" t="s">
        <v>2272</v>
      </c>
      <c r="P3926" s="71" t="s">
        <v>2272</v>
      </c>
      <c r="Q3926" s="71" t="s">
        <v>2272</v>
      </c>
      <c r="R3926" s="71" t="s">
        <v>2272</v>
      </c>
      <c r="S3926" s="71" t="s">
        <v>2272</v>
      </c>
      <c r="T3926" s="71" t="s">
        <v>2272</v>
      </c>
      <c r="U3926" s="71" t="s">
        <v>2272</v>
      </c>
      <c r="V3926" s="71" t="s">
        <v>2272</v>
      </c>
      <c r="W3926" s="71" t="s">
        <v>2272</v>
      </c>
      <c r="X3926" s="71" t="s">
        <v>2272</v>
      </c>
      <c r="Y3926" s="71" t="s">
        <v>2272</v>
      </c>
      <c r="Z3926" s="71" t="s">
        <v>2272</v>
      </c>
      <c r="AA3926" s="71" t="s">
        <v>2272</v>
      </c>
      <c r="AB3926" s="71" t="s">
        <v>2272</v>
      </c>
      <c r="AC3926" s="71" t="s">
        <v>2272</v>
      </c>
      <c r="AD3926" s="4" t="s">
        <v>10050</v>
      </c>
      <c r="AE3926" s="198"/>
    </row>
    <row r="3927" spans="1:31" ht="40.5" customHeight="1">
      <c r="A3927" s="198" t="s">
        <v>10043</v>
      </c>
      <c r="B3927" s="198" t="s">
        <v>10049</v>
      </c>
      <c r="C3927" s="198" t="s">
        <v>23</v>
      </c>
      <c r="D3927" s="198" t="s">
        <v>2272</v>
      </c>
      <c r="E3927" s="198" t="s">
        <v>2648</v>
      </c>
      <c r="F3927" s="71" t="s">
        <v>2272</v>
      </c>
      <c r="G3927" s="198" t="s">
        <v>2272</v>
      </c>
      <c r="H3927" s="198" t="s">
        <v>521</v>
      </c>
      <c r="I3927" s="198"/>
      <c r="J3927" s="71" t="s">
        <v>2272</v>
      </c>
      <c r="K3927" s="71" t="s">
        <v>2272</v>
      </c>
      <c r="L3927" s="71" t="s">
        <v>2272</v>
      </c>
      <c r="M3927" s="71" t="s">
        <v>2272</v>
      </c>
      <c r="N3927" s="71" t="s">
        <v>2272</v>
      </c>
      <c r="O3927" s="71" t="s">
        <v>2272</v>
      </c>
      <c r="P3927" s="71" t="s">
        <v>2272</v>
      </c>
      <c r="Q3927" s="71" t="s">
        <v>2272</v>
      </c>
      <c r="R3927" s="71" t="s">
        <v>2272</v>
      </c>
      <c r="S3927" s="71" t="s">
        <v>2272</v>
      </c>
      <c r="T3927" s="71" t="s">
        <v>2272</v>
      </c>
      <c r="U3927" s="71" t="s">
        <v>2272</v>
      </c>
      <c r="V3927" s="71" t="s">
        <v>2272</v>
      </c>
      <c r="W3927" s="71" t="s">
        <v>2272</v>
      </c>
      <c r="X3927" s="71" t="s">
        <v>2272</v>
      </c>
      <c r="Y3927" s="71" t="s">
        <v>2272</v>
      </c>
      <c r="Z3927" s="71" t="s">
        <v>2272</v>
      </c>
      <c r="AA3927" s="71" t="s">
        <v>2272</v>
      </c>
      <c r="AB3927" s="71" t="s">
        <v>2272</v>
      </c>
      <c r="AC3927" s="71" t="s">
        <v>2272</v>
      </c>
      <c r="AD3927" s="4" t="s">
        <v>10050</v>
      </c>
      <c r="AE3927" s="198"/>
    </row>
    <row r="3928" spans="1:31" ht="48" customHeight="1">
      <c r="A3928" s="198" t="s">
        <v>10052</v>
      </c>
      <c r="B3928" s="198" t="s">
        <v>10056</v>
      </c>
      <c r="C3928" s="198" t="s">
        <v>23</v>
      </c>
      <c r="D3928" s="198" t="s">
        <v>142</v>
      </c>
      <c r="E3928" s="198" t="s">
        <v>2647</v>
      </c>
      <c r="F3928" s="4" t="s">
        <v>2657</v>
      </c>
      <c r="G3928" s="4" t="s">
        <v>2657</v>
      </c>
      <c r="H3928" s="198" t="s">
        <v>521</v>
      </c>
      <c r="I3928" s="198"/>
      <c r="J3928" s="71" t="s">
        <v>2272</v>
      </c>
      <c r="K3928" s="71" t="s">
        <v>2272</v>
      </c>
      <c r="L3928" s="71" t="s">
        <v>2272</v>
      </c>
      <c r="M3928" s="71" t="s">
        <v>2272</v>
      </c>
      <c r="N3928" s="71" t="s">
        <v>2272</v>
      </c>
      <c r="O3928" s="71" t="s">
        <v>2272</v>
      </c>
      <c r="P3928" s="71" t="s">
        <v>2272</v>
      </c>
      <c r="Q3928" s="71" t="s">
        <v>2272</v>
      </c>
      <c r="R3928" s="71" t="s">
        <v>2272</v>
      </c>
      <c r="S3928" s="71" t="s">
        <v>2272</v>
      </c>
      <c r="T3928" s="71" t="s">
        <v>2272</v>
      </c>
      <c r="U3928" s="71" t="s">
        <v>2272</v>
      </c>
      <c r="V3928" s="71" t="s">
        <v>2272</v>
      </c>
      <c r="W3928" s="71" t="s">
        <v>2272</v>
      </c>
      <c r="X3928" s="71" t="s">
        <v>2272</v>
      </c>
      <c r="Y3928" s="71" t="s">
        <v>2272</v>
      </c>
      <c r="Z3928" s="71" t="s">
        <v>2272</v>
      </c>
      <c r="AA3928" s="71" t="s">
        <v>2272</v>
      </c>
      <c r="AB3928" s="71" t="s">
        <v>2272</v>
      </c>
      <c r="AC3928" s="71" t="s">
        <v>2272</v>
      </c>
      <c r="AD3928" s="198"/>
      <c r="AE3928" s="198"/>
    </row>
    <row r="3929" spans="1:31" ht="48" customHeight="1">
      <c r="A3929" s="198" t="s">
        <v>10052</v>
      </c>
      <c r="B3929" s="198" t="s">
        <v>10057</v>
      </c>
      <c r="C3929" s="198" t="s">
        <v>23</v>
      </c>
      <c r="D3929" s="198" t="s">
        <v>1241</v>
      </c>
      <c r="E3929" s="198" t="s">
        <v>2647</v>
      </c>
      <c r="F3929" s="4" t="s">
        <v>2657</v>
      </c>
      <c r="G3929" s="4" t="s">
        <v>2657</v>
      </c>
      <c r="H3929" s="198" t="s">
        <v>521</v>
      </c>
      <c r="I3929" s="198"/>
      <c r="J3929" s="71" t="s">
        <v>2272</v>
      </c>
      <c r="K3929" s="71" t="s">
        <v>2272</v>
      </c>
      <c r="L3929" s="71" t="s">
        <v>2272</v>
      </c>
      <c r="M3929" s="71" t="s">
        <v>2272</v>
      </c>
      <c r="N3929" s="71" t="s">
        <v>2272</v>
      </c>
      <c r="O3929" s="71" t="s">
        <v>2272</v>
      </c>
      <c r="P3929" s="71" t="s">
        <v>2272</v>
      </c>
      <c r="Q3929" s="71" t="s">
        <v>2272</v>
      </c>
      <c r="R3929" s="71" t="s">
        <v>2272</v>
      </c>
      <c r="S3929" s="71" t="s">
        <v>2272</v>
      </c>
      <c r="T3929" s="71" t="s">
        <v>2272</v>
      </c>
      <c r="U3929" s="71" t="s">
        <v>2272</v>
      </c>
      <c r="V3929" s="71" t="s">
        <v>2272</v>
      </c>
      <c r="W3929" s="71" t="s">
        <v>2272</v>
      </c>
      <c r="X3929" s="71" t="s">
        <v>2272</v>
      </c>
      <c r="Y3929" s="71" t="s">
        <v>2272</v>
      </c>
      <c r="Z3929" s="71" t="s">
        <v>2272</v>
      </c>
      <c r="AA3929" s="71" t="s">
        <v>2272</v>
      </c>
      <c r="AB3929" s="71" t="s">
        <v>2272</v>
      </c>
      <c r="AC3929" s="71" t="s">
        <v>2272</v>
      </c>
      <c r="AD3929" s="198"/>
      <c r="AE3929" s="198"/>
    </row>
    <row r="3930" spans="1:31" ht="48" customHeight="1">
      <c r="A3930" s="198" t="s">
        <v>10052</v>
      </c>
      <c r="B3930" s="198" t="s">
        <v>10058</v>
      </c>
      <c r="C3930" s="198" t="s">
        <v>23</v>
      </c>
      <c r="D3930" s="198" t="s">
        <v>2799</v>
      </c>
      <c r="E3930" s="198" t="s">
        <v>2647</v>
      </c>
      <c r="F3930" s="4" t="s">
        <v>2657</v>
      </c>
      <c r="G3930" s="4" t="s">
        <v>2657</v>
      </c>
      <c r="H3930" s="198" t="s">
        <v>521</v>
      </c>
      <c r="I3930" s="198"/>
      <c r="J3930" s="71" t="s">
        <v>2272</v>
      </c>
      <c r="K3930" s="71" t="s">
        <v>2272</v>
      </c>
      <c r="L3930" s="71" t="s">
        <v>2272</v>
      </c>
      <c r="M3930" s="71" t="s">
        <v>2272</v>
      </c>
      <c r="N3930" s="71" t="s">
        <v>2272</v>
      </c>
      <c r="O3930" s="71" t="s">
        <v>2272</v>
      </c>
      <c r="P3930" s="71" t="s">
        <v>2272</v>
      </c>
      <c r="Q3930" s="71" t="s">
        <v>2272</v>
      </c>
      <c r="R3930" s="71" t="s">
        <v>2272</v>
      </c>
      <c r="S3930" s="71" t="s">
        <v>2272</v>
      </c>
      <c r="T3930" s="71" t="s">
        <v>2272</v>
      </c>
      <c r="U3930" s="71" t="s">
        <v>2272</v>
      </c>
      <c r="V3930" s="71" t="s">
        <v>2272</v>
      </c>
      <c r="W3930" s="71" t="s">
        <v>2272</v>
      </c>
      <c r="X3930" s="71" t="s">
        <v>2272</v>
      </c>
      <c r="Y3930" s="71" t="s">
        <v>2272</v>
      </c>
      <c r="Z3930" s="71" t="s">
        <v>2272</v>
      </c>
      <c r="AA3930" s="71" t="s">
        <v>2272</v>
      </c>
      <c r="AB3930" s="71" t="s">
        <v>2272</v>
      </c>
      <c r="AC3930" s="71" t="s">
        <v>2272</v>
      </c>
      <c r="AD3930" s="198"/>
      <c r="AE3930" s="198"/>
    </row>
    <row r="3931" spans="1:31" ht="56" customHeight="1">
      <c r="A3931" s="198" t="s">
        <v>10063</v>
      </c>
      <c r="B3931" s="198" t="s">
        <v>10065</v>
      </c>
      <c r="C3931" s="198" t="s">
        <v>2453</v>
      </c>
      <c r="D3931" s="198" t="s">
        <v>2272</v>
      </c>
      <c r="E3931" s="4" t="s">
        <v>3850</v>
      </c>
      <c r="F3931" s="4" t="s">
        <v>54</v>
      </c>
      <c r="G3931" s="198" t="s">
        <v>73</v>
      </c>
      <c r="H3931" s="198" t="s">
        <v>521</v>
      </c>
      <c r="I3931" s="198"/>
      <c r="J3931" s="156">
        <f>0.226*0.5*(15985/23)/'Record info'!K$1572*'Land use'!R$1572/100</f>
        <v>3.2861915932289357E-4</v>
      </c>
      <c r="K3931" s="156">
        <f>J3931*(('Land use'!R$1572/100*'Record info'!K$1572)/'Record info'!K$1572)</f>
        <v>1.0844432257655488E-4</v>
      </c>
      <c r="L3931" s="71" t="s">
        <v>2272</v>
      </c>
      <c r="M3931" s="71" t="s">
        <v>2272</v>
      </c>
      <c r="N3931" s="71" t="s">
        <v>2272</v>
      </c>
      <c r="O3931" s="71" t="s">
        <v>2272</v>
      </c>
      <c r="P3931" s="71" t="s">
        <v>2272</v>
      </c>
      <c r="Q3931" s="21">
        <f>(0.221*0.5*7825)/(0.226*0.5*15985)</f>
        <v>0.47869130628548334</v>
      </c>
      <c r="R3931" s="71" t="s">
        <v>2272</v>
      </c>
      <c r="S3931" s="71" t="s">
        <v>2272</v>
      </c>
      <c r="T3931" s="71" t="s">
        <v>2272</v>
      </c>
      <c r="U3931" s="71" t="s">
        <v>2272</v>
      </c>
      <c r="V3931" s="71" t="s">
        <v>2272</v>
      </c>
      <c r="W3931" s="71" t="s">
        <v>2272</v>
      </c>
      <c r="X3931" s="71" t="s">
        <v>2272</v>
      </c>
      <c r="Y3931" s="71" t="s">
        <v>2272</v>
      </c>
      <c r="Z3931" s="71" t="s">
        <v>2272</v>
      </c>
      <c r="AA3931" s="198" t="s">
        <v>37</v>
      </c>
      <c r="AB3931" s="198" t="s">
        <v>403</v>
      </c>
      <c r="AC3931" s="71" t="s">
        <v>2272</v>
      </c>
      <c r="AD3931" s="198"/>
      <c r="AE3931" s="198"/>
    </row>
    <row r="3932" spans="1:31" ht="56" customHeight="1">
      <c r="A3932" s="198" t="s">
        <v>10063</v>
      </c>
      <c r="B3932" s="198" t="s">
        <v>10066</v>
      </c>
      <c r="C3932" s="198" t="s">
        <v>2453</v>
      </c>
      <c r="D3932" s="198" t="s">
        <v>2272</v>
      </c>
      <c r="E3932" s="4" t="s">
        <v>3850</v>
      </c>
      <c r="F3932" s="4" t="s">
        <v>27</v>
      </c>
      <c r="G3932" s="198" t="s">
        <v>73</v>
      </c>
      <c r="H3932" s="198" t="s">
        <v>521</v>
      </c>
      <c r="I3932" s="198"/>
      <c r="J3932" s="156">
        <f>0.226*0.5*(15985/23)/'Record info'!$K$1572*'Land use'!$R$1572/100</f>
        <v>3.2861915932289357E-4</v>
      </c>
      <c r="K3932" s="156">
        <f>J3932*(('Land use'!R$1572/100*'Record info'!K$1572)/'Record info'!K$1572)</f>
        <v>1.0844432257655488E-4</v>
      </c>
      <c r="L3932" s="71" t="s">
        <v>2272</v>
      </c>
      <c r="M3932" s="71" t="s">
        <v>2272</v>
      </c>
      <c r="N3932" s="71" t="s">
        <v>2272</v>
      </c>
      <c r="O3932" s="71" t="s">
        <v>2272</v>
      </c>
      <c r="P3932" s="71" t="s">
        <v>2272</v>
      </c>
      <c r="Q3932" s="21">
        <f>(0.221*0.5*7825)/(0.226*0.5*15985)</f>
        <v>0.47869130628548334</v>
      </c>
      <c r="R3932" s="71" t="s">
        <v>2272</v>
      </c>
      <c r="S3932" s="71" t="s">
        <v>2272</v>
      </c>
      <c r="T3932" s="71" t="s">
        <v>2272</v>
      </c>
      <c r="U3932" s="71" t="s">
        <v>2272</v>
      </c>
      <c r="V3932" s="71" t="s">
        <v>2272</v>
      </c>
      <c r="W3932" s="71" t="s">
        <v>2272</v>
      </c>
      <c r="X3932" s="71" t="s">
        <v>2272</v>
      </c>
      <c r="Y3932" s="71" t="s">
        <v>2272</v>
      </c>
      <c r="Z3932" s="71" t="s">
        <v>2272</v>
      </c>
      <c r="AA3932" s="198" t="s">
        <v>37</v>
      </c>
      <c r="AB3932" s="198" t="s">
        <v>403</v>
      </c>
      <c r="AC3932" s="71" t="s">
        <v>2272</v>
      </c>
      <c r="AD3932" s="198"/>
      <c r="AE3932" s="198"/>
    </row>
    <row r="3933" spans="1:31" ht="56" customHeight="1">
      <c r="A3933" s="198" t="s">
        <v>10063</v>
      </c>
      <c r="B3933" s="198" t="s">
        <v>10067</v>
      </c>
      <c r="C3933" s="198" t="s">
        <v>30</v>
      </c>
      <c r="D3933" s="198" t="s">
        <v>2272</v>
      </c>
      <c r="E3933" s="198" t="s">
        <v>2272</v>
      </c>
      <c r="F3933" s="198" t="s">
        <v>2272</v>
      </c>
      <c r="G3933" s="198" t="s">
        <v>73</v>
      </c>
      <c r="H3933" s="198" t="s">
        <v>521</v>
      </c>
      <c r="I3933" s="35"/>
      <c r="J3933" s="156">
        <f>(0.224+0.018+0.0083+0.0104)*(15985/23)/'Record info'!$K$1572*'Land use'!$R$1572/100</f>
        <v>7.5815057376529512E-4</v>
      </c>
      <c r="K3933" s="156">
        <f>J3933*(('Land use'!R$1572/100*'Record info'!K$1572)/'Record info'!K$1572)</f>
        <v>2.501896893425474E-4</v>
      </c>
      <c r="L3933" s="71" t="s">
        <v>2272</v>
      </c>
      <c r="M3933" s="71" t="s">
        <v>2272</v>
      </c>
      <c r="N3933" s="71" t="s">
        <v>2272</v>
      </c>
      <c r="O3933" s="71" t="s">
        <v>2272</v>
      </c>
      <c r="P3933" s="71" t="s">
        <v>2272</v>
      </c>
      <c r="Q3933" s="21">
        <f>(0.173*7825)/(0.224*15985)</f>
        <v>0.37806788730506274</v>
      </c>
      <c r="R3933" s="71" t="s">
        <v>2272</v>
      </c>
      <c r="S3933" s="71" t="s">
        <v>2272</v>
      </c>
      <c r="T3933" s="71" t="s">
        <v>2272</v>
      </c>
      <c r="U3933" s="71" t="s">
        <v>2272</v>
      </c>
      <c r="V3933" s="71" t="s">
        <v>2272</v>
      </c>
      <c r="W3933" s="71" t="s">
        <v>2272</v>
      </c>
      <c r="X3933" s="71" t="s">
        <v>2272</v>
      </c>
      <c r="Y3933" s="71" t="s">
        <v>2272</v>
      </c>
      <c r="Z3933" s="71" t="s">
        <v>2272</v>
      </c>
      <c r="AA3933" s="198" t="s">
        <v>37</v>
      </c>
      <c r="AB3933" s="198" t="s">
        <v>403</v>
      </c>
      <c r="AC3933" s="71" t="s">
        <v>2272</v>
      </c>
      <c r="AD3933" s="198"/>
      <c r="AE3933" s="198"/>
    </row>
    <row r="3934" spans="1:31" ht="56" customHeight="1">
      <c r="A3934" s="198" t="s">
        <v>10063</v>
      </c>
      <c r="B3934" s="198" t="s">
        <v>10068</v>
      </c>
      <c r="C3934" s="198" t="s">
        <v>23</v>
      </c>
      <c r="D3934" s="198" t="s">
        <v>2272</v>
      </c>
      <c r="E3934" s="198" t="s">
        <v>2644</v>
      </c>
      <c r="F3934" s="198" t="s">
        <v>73</v>
      </c>
      <c r="G3934" s="198" t="s">
        <v>73</v>
      </c>
      <c r="H3934" s="198" t="s">
        <v>521</v>
      </c>
      <c r="I3934" s="35"/>
      <c r="J3934" s="156">
        <f>0.101*(15985/23)/'Record info'!K$1572*'Land use'!R$1572/100</f>
        <v>2.9372154948329425E-4</v>
      </c>
      <c r="K3934" s="156">
        <f>J3934*(('Land use'!R$1572/100*'Record info'!K$1572)/'Record info'!K$1572)</f>
        <v>9.692811132948711E-5</v>
      </c>
      <c r="L3934" s="71" t="s">
        <v>2272</v>
      </c>
      <c r="M3934" s="71" t="s">
        <v>2272</v>
      </c>
      <c r="N3934" s="71" t="s">
        <v>2272</v>
      </c>
      <c r="O3934" s="71" t="s">
        <v>2272</v>
      </c>
      <c r="P3934" s="71" t="s">
        <v>2272</v>
      </c>
      <c r="Q3934" s="21">
        <f>(0.117*7825)/(0.101*15985)</f>
        <v>0.56706937506387489</v>
      </c>
      <c r="R3934" s="71" t="s">
        <v>2272</v>
      </c>
      <c r="S3934" s="71" t="s">
        <v>2272</v>
      </c>
      <c r="T3934" s="71" t="s">
        <v>2272</v>
      </c>
      <c r="U3934" s="71" t="s">
        <v>2272</v>
      </c>
      <c r="V3934" s="71" t="s">
        <v>2272</v>
      </c>
      <c r="W3934" s="71" t="s">
        <v>2272</v>
      </c>
      <c r="X3934" s="71" t="s">
        <v>2272</v>
      </c>
      <c r="Y3934" s="71" t="s">
        <v>2272</v>
      </c>
      <c r="Z3934" s="71" t="s">
        <v>2272</v>
      </c>
      <c r="AA3934" s="198" t="s">
        <v>37</v>
      </c>
      <c r="AB3934" s="198" t="s">
        <v>403</v>
      </c>
      <c r="AC3934" s="71" t="s">
        <v>2272</v>
      </c>
      <c r="AD3934" s="198"/>
      <c r="AE3934" s="198"/>
    </row>
    <row r="3935" spans="1:31" ht="57" customHeight="1">
      <c r="A3935" s="198" t="s">
        <v>10063</v>
      </c>
      <c r="B3935" s="198" t="s">
        <v>10069</v>
      </c>
      <c r="C3935" s="198" t="s">
        <v>2653</v>
      </c>
      <c r="D3935" s="198" t="s">
        <v>2272</v>
      </c>
      <c r="E3935" s="198" t="s">
        <v>2272</v>
      </c>
      <c r="F3935" s="198" t="s">
        <v>2272</v>
      </c>
      <c r="G3935" s="198" t="s">
        <v>73</v>
      </c>
      <c r="H3935" s="198" t="s">
        <v>521</v>
      </c>
      <c r="I3935" s="198"/>
      <c r="J3935" s="156">
        <f>(0.299+0.0144)*(15985/23)/'Record info'!K$1572*'Land use'!R$1572/100</f>
        <v>9.1140924364420232E-4</v>
      </c>
      <c r="K3935" s="156">
        <f>J3935*(('Land use'!R$1572/100*'Record info'!K$1572)/'Record info'!K$1572)</f>
        <v>3.0076505040258677E-4</v>
      </c>
      <c r="L3935" s="71" t="s">
        <v>2272</v>
      </c>
      <c r="M3935" s="71" t="s">
        <v>2272</v>
      </c>
      <c r="N3935" s="71" t="s">
        <v>2272</v>
      </c>
      <c r="O3935" s="71" t="s">
        <v>2272</v>
      </c>
      <c r="P3935" s="71" t="s">
        <v>2272</v>
      </c>
      <c r="Q3935" s="21">
        <f>(0.333*7825)/(0.299*15985)</f>
        <v>0.54518607013473142</v>
      </c>
      <c r="R3935" s="71" t="s">
        <v>2272</v>
      </c>
      <c r="S3935" s="71" t="s">
        <v>2272</v>
      </c>
      <c r="T3935" s="71" t="s">
        <v>2272</v>
      </c>
      <c r="U3935" s="71" t="s">
        <v>2272</v>
      </c>
      <c r="V3935" s="71" t="s">
        <v>2272</v>
      </c>
      <c r="W3935" s="71" t="s">
        <v>2272</v>
      </c>
      <c r="X3935" s="71" t="s">
        <v>2272</v>
      </c>
      <c r="Y3935" s="71" t="s">
        <v>2272</v>
      </c>
      <c r="Z3935" s="71" t="s">
        <v>2272</v>
      </c>
      <c r="AA3935" s="198" t="s">
        <v>37</v>
      </c>
      <c r="AB3935" s="198" t="s">
        <v>403</v>
      </c>
      <c r="AC3935" s="71" t="s">
        <v>2272</v>
      </c>
      <c r="AD3935" s="198"/>
      <c r="AE3935" s="198"/>
    </row>
    <row r="3936" spans="1:31" ht="58.5" customHeight="1">
      <c r="A3936" s="198" t="s">
        <v>10063</v>
      </c>
      <c r="B3936" s="198" t="s">
        <v>10072</v>
      </c>
      <c r="C3936" s="198" t="s">
        <v>23</v>
      </c>
      <c r="D3936" s="198" t="s">
        <v>2342</v>
      </c>
      <c r="E3936" s="198" t="s">
        <v>2272</v>
      </c>
      <c r="F3936" s="198" t="s">
        <v>2272</v>
      </c>
      <c r="G3936" s="198" t="s">
        <v>73</v>
      </c>
      <c r="H3936" s="198" t="s">
        <v>521</v>
      </c>
      <c r="I3936" s="198"/>
      <c r="J3936" s="156">
        <f>(0.046+0.0344)*(15985/23)/'Record info'!K$1572*'Land use'!R$1572/100</f>
        <v>2.3381398592531543E-4</v>
      </c>
      <c r="K3936" s="156">
        <f>J3936*(('Land use'!R$1572/100*'Record info'!K$1572)/'Record info'!K$1572)</f>
        <v>7.7158615355354097E-5</v>
      </c>
      <c r="L3936" s="71" t="s">
        <v>2272</v>
      </c>
      <c r="M3936" s="71" t="s">
        <v>2272</v>
      </c>
      <c r="N3936" s="71" t="s">
        <v>2272</v>
      </c>
      <c r="O3936" s="71" t="s">
        <v>2272</v>
      </c>
      <c r="P3936" s="71" t="s">
        <v>2272</v>
      </c>
      <c r="Q3936" s="21">
        <f>(0.031*7825)/(0.046*15985)</f>
        <v>0.32989487427071579</v>
      </c>
      <c r="R3936" s="71" t="s">
        <v>2272</v>
      </c>
      <c r="S3936" s="71" t="s">
        <v>2272</v>
      </c>
      <c r="T3936" s="71" t="s">
        <v>2272</v>
      </c>
      <c r="U3936" s="71" t="s">
        <v>2272</v>
      </c>
      <c r="V3936" s="71" t="s">
        <v>2272</v>
      </c>
      <c r="W3936" s="71" t="s">
        <v>2272</v>
      </c>
      <c r="X3936" s="71" t="s">
        <v>2272</v>
      </c>
      <c r="Y3936" s="71" t="s">
        <v>2272</v>
      </c>
      <c r="Z3936" s="71" t="s">
        <v>2272</v>
      </c>
      <c r="AA3936" s="198" t="s">
        <v>37</v>
      </c>
      <c r="AB3936" s="198" t="s">
        <v>403</v>
      </c>
      <c r="AC3936" s="71" t="s">
        <v>2272</v>
      </c>
      <c r="AD3936" s="198" t="s">
        <v>10070</v>
      </c>
      <c r="AE3936" s="198"/>
    </row>
    <row r="3937" spans="1:31" ht="50" customHeight="1">
      <c r="A3937" s="198" t="s">
        <v>10063</v>
      </c>
      <c r="B3937" s="198" t="s">
        <v>10073</v>
      </c>
      <c r="C3937" s="198" t="s">
        <v>2651</v>
      </c>
      <c r="D3937" s="198" t="s">
        <v>2272</v>
      </c>
      <c r="E3937" s="198" t="s">
        <v>2272</v>
      </c>
      <c r="F3937" s="198" t="s">
        <v>2272</v>
      </c>
      <c r="G3937" s="198" t="s">
        <v>73</v>
      </c>
      <c r="H3937" s="198" t="s">
        <v>521</v>
      </c>
      <c r="I3937" s="198"/>
      <c r="J3937" s="156">
        <f>(0.0139)*(15985/23)/'Record info'!K$1572*'Land use'!R$1572/100</f>
        <v>4.04230647308692E-5</v>
      </c>
      <c r="K3937" s="156">
        <f>J3937*(('Land use'!R$1572/100*'Record info'!K$1572)/'Record info'!K$1572)</f>
        <v>1.3339611361186836E-5</v>
      </c>
      <c r="L3937" s="71" t="s">
        <v>2272</v>
      </c>
      <c r="M3937" s="71" t="s">
        <v>2272</v>
      </c>
      <c r="N3937" s="71" t="s">
        <v>2272</v>
      </c>
      <c r="O3937" s="71" t="s">
        <v>2272</v>
      </c>
      <c r="P3937" s="71" t="s">
        <v>2272</v>
      </c>
      <c r="Q3937" s="21">
        <v>0.15</v>
      </c>
      <c r="R3937" s="71" t="s">
        <v>2272</v>
      </c>
      <c r="S3937" s="71" t="s">
        <v>2272</v>
      </c>
      <c r="T3937" s="71" t="s">
        <v>2272</v>
      </c>
      <c r="U3937" s="71" t="s">
        <v>2272</v>
      </c>
      <c r="V3937" s="71" t="s">
        <v>2272</v>
      </c>
      <c r="W3937" s="71" t="s">
        <v>2272</v>
      </c>
      <c r="X3937" s="71" t="s">
        <v>2272</v>
      </c>
      <c r="Y3937" s="71" t="s">
        <v>2272</v>
      </c>
      <c r="Z3937" s="71" t="s">
        <v>2272</v>
      </c>
      <c r="AA3937" s="198" t="s">
        <v>37</v>
      </c>
      <c r="AB3937" s="198" t="s">
        <v>84</v>
      </c>
      <c r="AC3937" s="198" t="s">
        <v>2650</v>
      </c>
      <c r="AD3937" s="198"/>
      <c r="AE3937" s="198"/>
    </row>
    <row r="3938" spans="1:31" ht="51" customHeight="1">
      <c r="A3938" s="198" t="s">
        <v>10075</v>
      </c>
      <c r="B3938" s="198" t="s">
        <v>10077</v>
      </c>
      <c r="C3938" s="198" t="s">
        <v>2453</v>
      </c>
      <c r="D3938" s="198" t="s">
        <v>2989</v>
      </c>
      <c r="E3938" s="198" t="s">
        <v>2648</v>
      </c>
      <c r="F3938" s="198" t="s">
        <v>2272</v>
      </c>
      <c r="G3938" s="198" t="s">
        <v>73</v>
      </c>
      <c r="H3938" s="198" t="s">
        <v>521</v>
      </c>
      <c r="I3938" s="198"/>
      <c r="J3938" s="71" t="s">
        <v>2272</v>
      </c>
      <c r="K3938" s="71" t="s">
        <v>2272</v>
      </c>
      <c r="L3938" s="71" t="s">
        <v>2272</v>
      </c>
      <c r="M3938" s="71" t="s">
        <v>2272</v>
      </c>
      <c r="N3938" s="71" t="s">
        <v>2272</v>
      </c>
      <c r="O3938" s="71" t="s">
        <v>2272</v>
      </c>
      <c r="P3938" s="71" t="s">
        <v>2272</v>
      </c>
      <c r="Q3938" s="71" t="s">
        <v>2272</v>
      </c>
      <c r="R3938" s="71" t="s">
        <v>2272</v>
      </c>
      <c r="S3938" s="71" t="s">
        <v>2272</v>
      </c>
      <c r="T3938" s="71" t="s">
        <v>2272</v>
      </c>
      <c r="U3938" s="21">
        <v>87000</v>
      </c>
      <c r="V3938" s="71" t="s">
        <v>2272</v>
      </c>
      <c r="W3938" s="71" t="s">
        <v>2272</v>
      </c>
      <c r="X3938" s="71" t="s">
        <v>2272</v>
      </c>
      <c r="Y3938" s="71" t="s">
        <v>2272</v>
      </c>
      <c r="Z3938" s="71" t="s">
        <v>2272</v>
      </c>
      <c r="AA3938" s="198" t="s">
        <v>125</v>
      </c>
      <c r="AB3938" s="198" t="s">
        <v>397</v>
      </c>
      <c r="AC3938" s="198" t="s">
        <v>63</v>
      </c>
      <c r="AD3938" s="198"/>
      <c r="AE3938" s="198"/>
    </row>
    <row r="3939" spans="1:31" ht="48" customHeight="1">
      <c r="A3939" s="198" t="s">
        <v>10079</v>
      </c>
      <c r="B3939" s="198" t="s">
        <v>10081</v>
      </c>
      <c r="C3939" s="198" t="s">
        <v>2453</v>
      </c>
      <c r="D3939" s="198" t="s">
        <v>2272</v>
      </c>
      <c r="E3939" s="198" t="s">
        <v>2272</v>
      </c>
      <c r="F3939" s="198" t="s">
        <v>2272</v>
      </c>
      <c r="G3939" s="4" t="s">
        <v>2657</v>
      </c>
      <c r="H3939" s="198" t="s">
        <v>521</v>
      </c>
      <c r="I3939" s="198"/>
      <c r="J3939" s="21">
        <f>0.97*800/31/'Record info'!$K$1574*'Land use'!$R$1574/100</f>
        <v>2.4902332849648396E-2</v>
      </c>
      <c r="K3939" s="156">
        <f>J3939*(('Land use'!R$1574/100*'Record info'!K$1574)/'Record info'!K$1574)</f>
        <v>1.6845695751232737E-2</v>
      </c>
      <c r="L3939" s="71" t="s">
        <v>2272</v>
      </c>
      <c r="M3939" s="71" t="s">
        <v>2272</v>
      </c>
      <c r="N3939" s="71" t="s">
        <v>2272</v>
      </c>
      <c r="O3939" s="71" t="s">
        <v>2272</v>
      </c>
      <c r="P3939" s="71" t="s">
        <v>2272</v>
      </c>
      <c r="Q3939" s="71" t="s">
        <v>2272</v>
      </c>
      <c r="R3939" s="71" t="s">
        <v>2272</v>
      </c>
      <c r="S3939" s="21">
        <v>0.05</v>
      </c>
      <c r="T3939" s="71" t="s">
        <v>2272</v>
      </c>
      <c r="U3939" s="71" t="s">
        <v>2272</v>
      </c>
      <c r="V3939" s="71" t="s">
        <v>2272</v>
      </c>
      <c r="W3939" s="71" t="s">
        <v>2272</v>
      </c>
      <c r="X3939" s="71" t="s">
        <v>2272</v>
      </c>
      <c r="Y3939" s="71" t="s">
        <v>2272</v>
      </c>
      <c r="Z3939" s="71" t="s">
        <v>2272</v>
      </c>
      <c r="AA3939" s="198" t="s">
        <v>33</v>
      </c>
      <c r="AB3939" s="198" t="s">
        <v>423</v>
      </c>
      <c r="AC3939" s="71" t="s">
        <v>2272</v>
      </c>
      <c r="AD3939" s="198" t="s">
        <v>10083</v>
      </c>
      <c r="AE3939" s="198"/>
    </row>
    <row r="3940" spans="1:31" ht="44.5" customHeight="1">
      <c r="A3940" s="198" t="s">
        <v>10079</v>
      </c>
      <c r="B3940" s="198" t="s">
        <v>10082</v>
      </c>
      <c r="C3940" s="198" t="s">
        <v>2651</v>
      </c>
      <c r="D3940" s="198" t="s">
        <v>2272</v>
      </c>
      <c r="E3940" s="198" t="s">
        <v>2272</v>
      </c>
      <c r="F3940" s="198" t="s">
        <v>2272</v>
      </c>
      <c r="G3940" s="4" t="s">
        <v>2657</v>
      </c>
      <c r="H3940" s="198" t="s">
        <v>521</v>
      </c>
      <c r="I3940" s="198"/>
      <c r="J3940" s="21">
        <f>0.03*800/31/'Record info'!K1574*'Land use'!R1574/100</f>
        <v>7.7017524277263078E-4</v>
      </c>
      <c r="K3940" s="156">
        <f>J3940*(('Land use'!R$1574/100*'Record info'!K$1574)/'Record info'!K$1574)</f>
        <v>5.2100089952266196E-4</v>
      </c>
      <c r="L3940" s="71" t="s">
        <v>2272</v>
      </c>
      <c r="M3940" s="71" t="s">
        <v>2272</v>
      </c>
      <c r="N3940" s="71" t="s">
        <v>2272</v>
      </c>
      <c r="O3940" s="71" t="s">
        <v>2272</v>
      </c>
      <c r="P3940" s="71" t="s">
        <v>2272</v>
      </c>
      <c r="Q3940" s="71" t="s">
        <v>2272</v>
      </c>
      <c r="R3940" s="71" t="s">
        <v>2272</v>
      </c>
      <c r="S3940" s="21">
        <v>0.05</v>
      </c>
      <c r="T3940" s="71" t="s">
        <v>2272</v>
      </c>
      <c r="U3940" s="71" t="s">
        <v>2272</v>
      </c>
      <c r="V3940" s="71" t="s">
        <v>2272</v>
      </c>
      <c r="W3940" s="71" t="s">
        <v>2272</v>
      </c>
      <c r="X3940" s="71" t="s">
        <v>2272</v>
      </c>
      <c r="Y3940" s="71" t="s">
        <v>2272</v>
      </c>
      <c r="Z3940" s="71" t="s">
        <v>2272</v>
      </c>
      <c r="AA3940" s="198" t="s">
        <v>33</v>
      </c>
      <c r="AB3940" s="198" t="s">
        <v>423</v>
      </c>
      <c r="AC3940" s="71" t="s">
        <v>2272</v>
      </c>
      <c r="AD3940" s="198" t="s">
        <v>10083</v>
      </c>
      <c r="AE3940" s="198"/>
    </row>
    <row r="3941" spans="1:31" ht="68.5" customHeight="1">
      <c r="A3941" s="198" t="s">
        <v>10084</v>
      </c>
      <c r="B3941" s="198" t="s">
        <v>10088</v>
      </c>
      <c r="C3941" s="198" t="s">
        <v>2453</v>
      </c>
      <c r="D3941" s="198" t="s">
        <v>2272</v>
      </c>
      <c r="E3941" s="198" t="s">
        <v>2272</v>
      </c>
      <c r="F3941" s="198" t="s">
        <v>2272</v>
      </c>
      <c r="G3941" s="198" t="s">
        <v>2658</v>
      </c>
      <c r="H3941" s="198" t="s">
        <v>521</v>
      </c>
      <c r="I3941" s="198"/>
      <c r="J3941" s="21">
        <f>('Land use'!N1575/('Land use'!N1575+'Land use'!R1575))*818/10/'Record info'!K1575</f>
        <v>2.6912554112554117E-3</v>
      </c>
      <c r="K3941" s="156">
        <f>((('Land use'!N1575/100)*'Record info'!K1575)/'Record info'!K1575)*J3941</f>
        <v>1.45220141991342E-3</v>
      </c>
      <c r="L3941" s="71" t="s">
        <v>2272</v>
      </c>
      <c r="M3941" s="71" t="s">
        <v>2272</v>
      </c>
      <c r="N3941" s="71" t="s">
        <v>2272</v>
      </c>
      <c r="O3941" s="71" t="s">
        <v>2272</v>
      </c>
      <c r="P3941" s="71" t="s">
        <v>2272</v>
      </c>
      <c r="Q3941" s="21">
        <f>8721.16/818</f>
        <v>10.661564792176039</v>
      </c>
      <c r="R3941" s="71" t="s">
        <v>2272</v>
      </c>
      <c r="S3941" s="71" t="s">
        <v>2272</v>
      </c>
      <c r="T3941" s="71" t="s">
        <v>2272</v>
      </c>
      <c r="U3941" s="71" t="s">
        <v>2272</v>
      </c>
      <c r="V3941" s="71" t="s">
        <v>2272</v>
      </c>
      <c r="W3941" s="71" t="s">
        <v>2272</v>
      </c>
      <c r="X3941" s="71" t="s">
        <v>2272</v>
      </c>
      <c r="Y3941" s="21">
        <f>('Land use'!N1575/('Land use'!N1575+'Land use'!R1575))*(4490.5+3105.78)/10/'Record info'!K$1575</f>
        <v>2.4992090043290043E-2</v>
      </c>
      <c r="Z3941" s="71" t="s">
        <v>2272</v>
      </c>
      <c r="AA3941" s="198" t="s">
        <v>397</v>
      </c>
      <c r="AB3941" s="198" t="s">
        <v>37</v>
      </c>
      <c r="AC3941" s="71" t="s">
        <v>2272</v>
      </c>
      <c r="AD3941" s="4" t="s">
        <v>10090</v>
      </c>
      <c r="AE3941" s="198"/>
    </row>
    <row r="3942" spans="1:31" ht="68.5" customHeight="1">
      <c r="A3942" s="198" t="s">
        <v>10084</v>
      </c>
      <c r="B3942" s="198" t="s">
        <v>10089</v>
      </c>
      <c r="C3942" s="198" t="s">
        <v>2453</v>
      </c>
      <c r="D3942" s="198" t="s">
        <v>2272</v>
      </c>
      <c r="E3942" s="198" t="s">
        <v>2272</v>
      </c>
      <c r="F3942" s="198" t="s">
        <v>2272</v>
      </c>
      <c r="G3942" s="198" t="s">
        <v>73</v>
      </c>
      <c r="H3942" s="198" t="s">
        <v>521</v>
      </c>
      <c r="I3942" s="198"/>
      <c r="J3942" s="21">
        <f>('Land use'!R1575/('Land use'!N1575+'Land use'!R1575))*818/10/'Record info'!K1575</f>
        <v>8.4987012987012981E-4</v>
      </c>
      <c r="K3942" s="156">
        <f>((('Land use'!R1575/100)*'Record info'!K1575)/'Record info'!K1575)*J3942</f>
        <v>1.4481787012987011E-4</v>
      </c>
      <c r="L3942" s="71" t="s">
        <v>2272</v>
      </c>
      <c r="M3942" s="71" t="s">
        <v>2272</v>
      </c>
      <c r="N3942" s="71" t="s">
        <v>2272</v>
      </c>
      <c r="O3942" s="71" t="s">
        <v>2272</v>
      </c>
      <c r="P3942" s="71" t="s">
        <v>2272</v>
      </c>
      <c r="Q3942" s="21">
        <f>8721.16/818</f>
        <v>10.661564792176039</v>
      </c>
      <c r="R3942" s="71" t="s">
        <v>2272</v>
      </c>
      <c r="S3942" s="71" t="s">
        <v>2272</v>
      </c>
      <c r="T3942" s="71" t="s">
        <v>2272</v>
      </c>
      <c r="U3942" s="71" t="s">
        <v>2272</v>
      </c>
      <c r="V3942" s="71" t="s">
        <v>2272</v>
      </c>
      <c r="W3942" s="71" t="s">
        <v>2272</v>
      </c>
      <c r="X3942" s="71" t="s">
        <v>2272</v>
      </c>
      <c r="Y3942" s="21">
        <f>('Land use'!R1575/('Land use'!N1575+'Land use'!R1575))*(4490.5+3105.78)/10/'Record info'!K$1575</f>
        <v>7.8922389610389613E-3</v>
      </c>
      <c r="Z3942" s="71" t="s">
        <v>2272</v>
      </c>
      <c r="AA3942" s="198" t="s">
        <v>397</v>
      </c>
      <c r="AB3942" s="198" t="s">
        <v>37</v>
      </c>
      <c r="AC3942" s="71" t="s">
        <v>2272</v>
      </c>
      <c r="AD3942" s="4" t="s">
        <v>10090</v>
      </c>
      <c r="AE3942" s="198"/>
    </row>
    <row r="3943" spans="1:31" ht="45.5" customHeight="1">
      <c r="A3943" s="198" t="s">
        <v>10091</v>
      </c>
      <c r="B3943" s="198" t="s">
        <v>10095</v>
      </c>
      <c r="C3943" s="198" t="s">
        <v>2653</v>
      </c>
      <c r="D3943" s="198" t="s">
        <v>2272</v>
      </c>
      <c r="E3943" s="198" t="s">
        <v>2272</v>
      </c>
      <c r="F3943" s="198" t="s">
        <v>2272</v>
      </c>
      <c r="G3943" s="4" t="s">
        <v>158</v>
      </c>
      <c r="H3943" s="198" t="s">
        <v>521</v>
      </c>
      <c r="I3943" s="198"/>
      <c r="J3943" s="71" t="s">
        <v>2272</v>
      </c>
      <c r="K3943" s="71" t="s">
        <v>2272</v>
      </c>
      <c r="L3943" s="71" t="s">
        <v>2272</v>
      </c>
      <c r="M3943" s="71" t="s">
        <v>2272</v>
      </c>
      <c r="N3943" s="71" t="s">
        <v>2272</v>
      </c>
      <c r="O3943" s="21">
        <f>18.49*100</f>
        <v>1848.9999999999998</v>
      </c>
      <c r="P3943" s="71" t="s">
        <v>2272</v>
      </c>
      <c r="Q3943" s="71" t="s">
        <v>2272</v>
      </c>
      <c r="R3943" s="71" t="s">
        <v>2272</v>
      </c>
      <c r="S3943" s="71" t="s">
        <v>2272</v>
      </c>
      <c r="T3943" s="71" t="s">
        <v>2272</v>
      </c>
      <c r="U3943" s="71" t="s">
        <v>2272</v>
      </c>
      <c r="V3943" s="71" t="s">
        <v>2272</v>
      </c>
      <c r="W3943" s="71" t="s">
        <v>2272</v>
      </c>
      <c r="X3943" s="71" t="s">
        <v>2272</v>
      </c>
      <c r="Y3943" s="71" t="s">
        <v>2272</v>
      </c>
      <c r="Z3943" s="71" t="s">
        <v>2272</v>
      </c>
      <c r="AA3943" s="71" t="s">
        <v>2272</v>
      </c>
      <c r="AB3943" s="71" t="s">
        <v>2272</v>
      </c>
      <c r="AC3943" s="71" t="s">
        <v>2272</v>
      </c>
      <c r="AD3943" s="198"/>
      <c r="AE3943" s="198"/>
    </row>
    <row r="3944" spans="1:31" ht="48" customHeight="1">
      <c r="A3944" s="198" t="s">
        <v>10097</v>
      </c>
      <c r="B3944" s="198" t="s">
        <v>10100</v>
      </c>
      <c r="C3944" s="198" t="s">
        <v>23</v>
      </c>
      <c r="D3944" s="198" t="s">
        <v>141</v>
      </c>
      <c r="E3944" s="198" t="s">
        <v>82</v>
      </c>
      <c r="F3944" s="198" t="s">
        <v>73</v>
      </c>
      <c r="G3944" s="198" t="s">
        <v>73</v>
      </c>
      <c r="H3944" s="198" t="s">
        <v>521</v>
      </c>
      <c r="I3944" s="198"/>
      <c r="J3944" s="71" t="s">
        <v>2272</v>
      </c>
      <c r="K3944" s="71" t="s">
        <v>2272</v>
      </c>
      <c r="L3944" s="71" t="s">
        <v>2272</v>
      </c>
      <c r="M3944" s="71" t="s">
        <v>2272</v>
      </c>
      <c r="N3944" s="71" t="s">
        <v>2272</v>
      </c>
      <c r="O3944" s="71" t="s">
        <v>2272</v>
      </c>
      <c r="P3944" s="71" t="s">
        <v>2272</v>
      </c>
      <c r="Q3944" s="71" t="s">
        <v>2272</v>
      </c>
      <c r="R3944" s="71" t="s">
        <v>2272</v>
      </c>
      <c r="S3944" s="71" t="s">
        <v>2272</v>
      </c>
      <c r="T3944" s="71" t="s">
        <v>2272</v>
      </c>
      <c r="U3944" s="71" t="s">
        <v>2272</v>
      </c>
      <c r="V3944" s="71" t="s">
        <v>2272</v>
      </c>
      <c r="W3944" s="71" t="s">
        <v>2272</v>
      </c>
      <c r="X3944" s="71" t="s">
        <v>2272</v>
      </c>
      <c r="Y3944" s="71" t="s">
        <v>2272</v>
      </c>
      <c r="Z3944" s="71" t="s">
        <v>2272</v>
      </c>
      <c r="AA3944" s="71" t="s">
        <v>2272</v>
      </c>
      <c r="AB3944" s="71" t="s">
        <v>2272</v>
      </c>
      <c r="AC3944" s="71" t="s">
        <v>2272</v>
      </c>
      <c r="AD3944" s="4" t="s">
        <v>10107</v>
      </c>
      <c r="AE3944" s="198"/>
    </row>
    <row r="3945" spans="1:31" ht="48" customHeight="1">
      <c r="A3945" s="198" t="s">
        <v>10097</v>
      </c>
      <c r="B3945" s="198" t="s">
        <v>10101</v>
      </c>
      <c r="C3945" s="198" t="s">
        <v>2453</v>
      </c>
      <c r="D3945" s="198" t="s">
        <v>141</v>
      </c>
      <c r="E3945" s="198" t="s">
        <v>82</v>
      </c>
      <c r="F3945" s="198" t="s">
        <v>73</v>
      </c>
      <c r="G3945" s="198" t="s">
        <v>73</v>
      </c>
      <c r="H3945" s="198" t="s">
        <v>521</v>
      </c>
      <c r="I3945" s="198"/>
      <c r="J3945" s="71" t="s">
        <v>2272</v>
      </c>
      <c r="K3945" s="71" t="s">
        <v>2272</v>
      </c>
      <c r="L3945" s="71" t="s">
        <v>2272</v>
      </c>
      <c r="M3945" s="71" t="s">
        <v>2272</v>
      </c>
      <c r="N3945" s="71" t="s">
        <v>2272</v>
      </c>
      <c r="O3945" s="71" t="s">
        <v>2272</v>
      </c>
      <c r="P3945" s="71" t="s">
        <v>2272</v>
      </c>
      <c r="Q3945" s="71" t="s">
        <v>2272</v>
      </c>
      <c r="R3945" s="71" t="s">
        <v>2272</v>
      </c>
      <c r="S3945" s="71" t="s">
        <v>2272</v>
      </c>
      <c r="T3945" s="71" t="s">
        <v>2272</v>
      </c>
      <c r="U3945" s="71" t="s">
        <v>2272</v>
      </c>
      <c r="V3945" s="71" t="s">
        <v>2272</v>
      </c>
      <c r="W3945" s="71" t="s">
        <v>2272</v>
      </c>
      <c r="X3945" s="71" t="s">
        <v>2272</v>
      </c>
      <c r="Y3945" s="71" t="s">
        <v>2272</v>
      </c>
      <c r="Z3945" s="71" t="s">
        <v>2272</v>
      </c>
      <c r="AA3945" s="71" t="s">
        <v>2272</v>
      </c>
      <c r="AB3945" s="71" t="s">
        <v>2272</v>
      </c>
      <c r="AC3945" s="71" t="s">
        <v>2272</v>
      </c>
      <c r="AD3945" s="4" t="s">
        <v>10107</v>
      </c>
      <c r="AE3945" s="198"/>
    </row>
    <row r="3946" spans="1:31" ht="48" customHeight="1">
      <c r="A3946" s="198" t="s">
        <v>10097</v>
      </c>
      <c r="B3946" s="198" t="s">
        <v>10102</v>
      </c>
      <c r="C3946" s="198" t="s">
        <v>23</v>
      </c>
      <c r="D3946" s="198" t="s">
        <v>141</v>
      </c>
      <c r="E3946" s="198" t="s">
        <v>2644</v>
      </c>
      <c r="F3946" s="4" t="s">
        <v>158</v>
      </c>
      <c r="G3946" s="4" t="s">
        <v>158</v>
      </c>
      <c r="H3946" s="198" t="s">
        <v>521</v>
      </c>
      <c r="I3946" s="198"/>
      <c r="J3946" s="71" t="s">
        <v>2272</v>
      </c>
      <c r="K3946" s="71" t="s">
        <v>2272</v>
      </c>
      <c r="L3946" s="71" t="s">
        <v>2272</v>
      </c>
      <c r="M3946" s="71" t="s">
        <v>2272</v>
      </c>
      <c r="N3946" s="71" t="s">
        <v>2272</v>
      </c>
      <c r="O3946" s="71" t="s">
        <v>2272</v>
      </c>
      <c r="P3946" s="71" t="s">
        <v>2272</v>
      </c>
      <c r="Q3946" s="71" t="s">
        <v>2272</v>
      </c>
      <c r="R3946" s="71" t="s">
        <v>2272</v>
      </c>
      <c r="S3946" s="71" t="s">
        <v>2272</v>
      </c>
      <c r="T3946" s="71" t="s">
        <v>2272</v>
      </c>
      <c r="U3946" s="71" t="s">
        <v>2272</v>
      </c>
      <c r="V3946" s="71" t="s">
        <v>2272</v>
      </c>
      <c r="W3946" s="71" t="s">
        <v>2272</v>
      </c>
      <c r="X3946" s="71" t="s">
        <v>2272</v>
      </c>
      <c r="Y3946" s="71" t="s">
        <v>2272</v>
      </c>
      <c r="Z3946" s="71" t="s">
        <v>2272</v>
      </c>
      <c r="AA3946" s="71" t="s">
        <v>2272</v>
      </c>
      <c r="AB3946" s="71" t="s">
        <v>2272</v>
      </c>
      <c r="AC3946" s="71" t="s">
        <v>2272</v>
      </c>
      <c r="AD3946" s="4" t="s">
        <v>10106</v>
      </c>
      <c r="AE3946" s="198"/>
    </row>
    <row r="3947" spans="1:31" ht="48" customHeight="1">
      <c r="A3947" s="198" t="s">
        <v>10097</v>
      </c>
      <c r="B3947" s="198" t="s">
        <v>10103</v>
      </c>
      <c r="C3947" s="198" t="s">
        <v>2453</v>
      </c>
      <c r="D3947" s="198" t="s">
        <v>141</v>
      </c>
      <c r="E3947" s="198" t="s">
        <v>2644</v>
      </c>
      <c r="F3947" s="4" t="s">
        <v>158</v>
      </c>
      <c r="G3947" s="4" t="s">
        <v>158</v>
      </c>
      <c r="H3947" s="198" t="s">
        <v>521</v>
      </c>
      <c r="I3947" s="198"/>
      <c r="J3947" s="71" t="s">
        <v>2272</v>
      </c>
      <c r="K3947" s="71" t="s">
        <v>2272</v>
      </c>
      <c r="L3947" s="71" t="s">
        <v>2272</v>
      </c>
      <c r="M3947" s="71" t="s">
        <v>2272</v>
      </c>
      <c r="N3947" s="71" t="s">
        <v>2272</v>
      </c>
      <c r="O3947" s="71" t="s">
        <v>2272</v>
      </c>
      <c r="P3947" s="71" t="s">
        <v>2272</v>
      </c>
      <c r="Q3947" s="71" t="s">
        <v>2272</v>
      </c>
      <c r="R3947" s="71" t="s">
        <v>2272</v>
      </c>
      <c r="S3947" s="71" t="s">
        <v>2272</v>
      </c>
      <c r="T3947" s="71" t="s">
        <v>2272</v>
      </c>
      <c r="U3947" s="71" t="s">
        <v>2272</v>
      </c>
      <c r="V3947" s="71" t="s">
        <v>2272</v>
      </c>
      <c r="W3947" s="71" t="s">
        <v>2272</v>
      </c>
      <c r="X3947" s="71" t="s">
        <v>2272</v>
      </c>
      <c r="Y3947" s="71" t="s">
        <v>2272</v>
      </c>
      <c r="Z3947" s="71" t="s">
        <v>2272</v>
      </c>
      <c r="AA3947" s="71" t="s">
        <v>2272</v>
      </c>
      <c r="AB3947" s="71" t="s">
        <v>2272</v>
      </c>
      <c r="AC3947" s="71" t="s">
        <v>2272</v>
      </c>
      <c r="AD3947" s="4" t="s">
        <v>10106</v>
      </c>
      <c r="AE3947" s="198"/>
    </row>
    <row r="3948" spans="1:31" ht="48" customHeight="1">
      <c r="A3948" s="198" t="s">
        <v>10097</v>
      </c>
      <c r="B3948" s="198" t="s">
        <v>10104</v>
      </c>
      <c r="C3948" s="198" t="s">
        <v>23</v>
      </c>
      <c r="D3948" s="198" t="s">
        <v>141</v>
      </c>
      <c r="E3948" s="198" t="s">
        <v>2644</v>
      </c>
      <c r="F3948" s="4" t="s">
        <v>73</v>
      </c>
      <c r="G3948" s="4" t="s">
        <v>73</v>
      </c>
      <c r="H3948" s="198" t="s">
        <v>521</v>
      </c>
      <c r="I3948" s="198"/>
      <c r="J3948" s="71" t="s">
        <v>2272</v>
      </c>
      <c r="K3948" s="71" t="s">
        <v>2272</v>
      </c>
      <c r="L3948" s="71" t="s">
        <v>2272</v>
      </c>
      <c r="M3948" s="71" t="s">
        <v>2272</v>
      </c>
      <c r="N3948" s="71" t="s">
        <v>2272</v>
      </c>
      <c r="O3948" s="71" t="s">
        <v>2272</v>
      </c>
      <c r="P3948" s="71" t="s">
        <v>2272</v>
      </c>
      <c r="Q3948" s="71" t="s">
        <v>2272</v>
      </c>
      <c r="R3948" s="71" t="s">
        <v>2272</v>
      </c>
      <c r="S3948" s="71" t="s">
        <v>2272</v>
      </c>
      <c r="T3948" s="71" t="s">
        <v>2272</v>
      </c>
      <c r="U3948" s="71" t="s">
        <v>2272</v>
      </c>
      <c r="V3948" s="71" t="s">
        <v>2272</v>
      </c>
      <c r="W3948" s="71" t="s">
        <v>2272</v>
      </c>
      <c r="X3948" s="71" t="s">
        <v>2272</v>
      </c>
      <c r="Y3948" s="71" t="s">
        <v>2272</v>
      </c>
      <c r="Z3948" s="71" t="s">
        <v>2272</v>
      </c>
      <c r="AA3948" s="71" t="s">
        <v>2272</v>
      </c>
      <c r="AB3948" s="71" t="s">
        <v>2272</v>
      </c>
      <c r="AC3948" s="71" t="s">
        <v>2272</v>
      </c>
      <c r="AD3948" s="4" t="s">
        <v>10106</v>
      </c>
      <c r="AE3948" s="198"/>
    </row>
    <row r="3949" spans="1:31" ht="48" customHeight="1">
      <c r="A3949" s="198" t="s">
        <v>10097</v>
      </c>
      <c r="B3949" s="198" t="s">
        <v>10105</v>
      </c>
      <c r="C3949" s="198" t="s">
        <v>2453</v>
      </c>
      <c r="D3949" s="198" t="s">
        <v>141</v>
      </c>
      <c r="E3949" s="198" t="s">
        <v>2644</v>
      </c>
      <c r="F3949" s="4" t="s">
        <v>73</v>
      </c>
      <c r="G3949" s="4" t="s">
        <v>73</v>
      </c>
      <c r="H3949" s="198" t="s">
        <v>521</v>
      </c>
      <c r="I3949" s="198"/>
      <c r="J3949" s="71" t="s">
        <v>2272</v>
      </c>
      <c r="K3949" s="71" t="s">
        <v>2272</v>
      </c>
      <c r="L3949" s="71" t="s">
        <v>2272</v>
      </c>
      <c r="M3949" s="71" t="s">
        <v>2272</v>
      </c>
      <c r="N3949" s="71" t="s">
        <v>2272</v>
      </c>
      <c r="O3949" s="71" t="s">
        <v>2272</v>
      </c>
      <c r="P3949" s="71" t="s">
        <v>2272</v>
      </c>
      <c r="Q3949" s="71" t="s">
        <v>2272</v>
      </c>
      <c r="R3949" s="71" t="s">
        <v>2272</v>
      </c>
      <c r="S3949" s="71" t="s">
        <v>2272</v>
      </c>
      <c r="T3949" s="71" t="s">
        <v>2272</v>
      </c>
      <c r="U3949" s="71" t="s">
        <v>2272</v>
      </c>
      <c r="V3949" s="71" t="s">
        <v>2272</v>
      </c>
      <c r="W3949" s="71" t="s">
        <v>2272</v>
      </c>
      <c r="X3949" s="71" t="s">
        <v>2272</v>
      </c>
      <c r="Y3949" s="71" t="s">
        <v>2272</v>
      </c>
      <c r="Z3949" s="71" t="s">
        <v>2272</v>
      </c>
      <c r="AA3949" s="71" t="s">
        <v>2272</v>
      </c>
      <c r="AB3949" s="71" t="s">
        <v>2272</v>
      </c>
      <c r="AC3949" s="71" t="s">
        <v>2272</v>
      </c>
      <c r="AD3949" s="4" t="s">
        <v>10106</v>
      </c>
      <c r="AE3949" s="198"/>
    </row>
    <row r="3950" spans="1:31" ht="46.5" customHeight="1">
      <c r="A3950" s="198" t="s">
        <v>10112</v>
      </c>
      <c r="B3950" s="198" t="s">
        <v>10114</v>
      </c>
      <c r="C3950" s="198" t="s">
        <v>1102</v>
      </c>
      <c r="D3950" s="198" t="s">
        <v>141</v>
      </c>
      <c r="E3950" s="198" t="s">
        <v>1102</v>
      </c>
      <c r="F3950" s="4" t="s">
        <v>2272</v>
      </c>
      <c r="G3950" s="4" t="s">
        <v>73</v>
      </c>
      <c r="H3950" s="198" t="s">
        <v>521</v>
      </c>
      <c r="I3950" s="198"/>
      <c r="J3950" s="71" t="s">
        <v>2272</v>
      </c>
      <c r="K3950" s="71" t="s">
        <v>2272</v>
      </c>
      <c r="L3950" s="71" t="s">
        <v>2272</v>
      </c>
      <c r="M3950" s="71" t="s">
        <v>2272</v>
      </c>
      <c r="N3950" s="71" t="s">
        <v>2272</v>
      </c>
      <c r="O3950" s="71" t="s">
        <v>2272</v>
      </c>
      <c r="P3950" s="71" t="s">
        <v>2272</v>
      </c>
      <c r="Q3950" s="71" t="s">
        <v>2272</v>
      </c>
      <c r="R3950" s="71" t="s">
        <v>2272</v>
      </c>
      <c r="S3950" s="71" t="s">
        <v>2272</v>
      </c>
      <c r="T3950" s="71" t="s">
        <v>2272</v>
      </c>
      <c r="U3950" s="71" t="s">
        <v>2272</v>
      </c>
      <c r="V3950" s="71" t="s">
        <v>2272</v>
      </c>
      <c r="W3950" s="71">
        <f>2.9*0.93</f>
        <v>2.6970000000000001</v>
      </c>
      <c r="X3950" s="71" t="s">
        <v>2272</v>
      </c>
      <c r="Y3950" s="71" t="s">
        <v>2272</v>
      </c>
      <c r="Z3950" s="71" t="s">
        <v>2272</v>
      </c>
      <c r="AA3950" s="71" t="s">
        <v>2272</v>
      </c>
      <c r="AB3950" s="71" t="s">
        <v>2272</v>
      </c>
      <c r="AC3950" s="71" t="s">
        <v>2272</v>
      </c>
      <c r="AD3950" s="198"/>
      <c r="AE3950" s="198"/>
    </row>
    <row r="3951" spans="1:31" ht="42.5" customHeight="1">
      <c r="A3951" s="198" t="s">
        <v>10112</v>
      </c>
      <c r="B3951" s="198" t="s">
        <v>10115</v>
      </c>
      <c r="C3951" s="198" t="s">
        <v>23</v>
      </c>
      <c r="D3951" s="198" t="s">
        <v>141</v>
      </c>
      <c r="E3951" s="198" t="s">
        <v>82</v>
      </c>
      <c r="F3951" s="4" t="s">
        <v>73</v>
      </c>
      <c r="G3951" s="4" t="s">
        <v>73</v>
      </c>
      <c r="H3951" s="198" t="s">
        <v>522</v>
      </c>
      <c r="I3951" s="198">
        <v>1988</v>
      </c>
      <c r="J3951" s="21">
        <v>0</v>
      </c>
      <c r="K3951" s="21">
        <v>0</v>
      </c>
      <c r="L3951" s="21">
        <v>0</v>
      </c>
      <c r="M3951" s="21">
        <v>0</v>
      </c>
      <c r="N3951" s="21">
        <v>0</v>
      </c>
      <c r="O3951" s="21">
        <v>0</v>
      </c>
      <c r="P3951" s="21">
        <v>0</v>
      </c>
      <c r="Q3951" s="21">
        <v>0</v>
      </c>
      <c r="R3951" s="21">
        <v>0</v>
      </c>
      <c r="S3951" s="21">
        <v>0</v>
      </c>
      <c r="T3951" s="21">
        <v>0</v>
      </c>
      <c r="U3951" s="21">
        <v>0</v>
      </c>
      <c r="V3951" s="21">
        <v>0</v>
      </c>
      <c r="W3951" s="21">
        <v>0</v>
      </c>
      <c r="X3951" s="21">
        <v>0</v>
      </c>
      <c r="Y3951" s="71" t="s">
        <v>2272</v>
      </c>
      <c r="Z3951" s="71" t="s">
        <v>2272</v>
      </c>
      <c r="AA3951" s="71" t="s">
        <v>2272</v>
      </c>
      <c r="AB3951" s="71" t="s">
        <v>2272</v>
      </c>
      <c r="AC3951" s="71" t="s">
        <v>2272</v>
      </c>
      <c r="AD3951" s="198"/>
      <c r="AE3951" s="198"/>
    </row>
    <row r="3952" spans="1:31" ht="42" customHeight="1">
      <c r="A3952" s="198" t="s">
        <v>10112</v>
      </c>
      <c r="B3952" s="198" t="s">
        <v>10117</v>
      </c>
      <c r="C3952" s="198" t="s">
        <v>23</v>
      </c>
      <c r="D3952" s="198" t="s">
        <v>141</v>
      </c>
      <c r="E3952" s="198" t="s">
        <v>82</v>
      </c>
      <c r="F3952" s="4" t="s">
        <v>73</v>
      </c>
      <c r="G3952" s="4" t="s">
        <v>73</v>
      </c>
      <c r="H3952" s="198" t="s">
        <v>521</v>
      </c>
      <c r="I3952" s="198">
        <v>1994</v>
      </c>
      <c r="J3952" s="71" t="s">
        <v>2272</v>
      </c>
      <c r="K3952" s="71" t="s">
        <v>2272</v>
      </c>
      <c r="L3952" s="71" t="s">
        <v>2272</v>
      </c>
      <c r="M3952" s="71" t="s">
        <v>2272</v>
      </c>
      <c r="N3952" s="71" t="s">
        <v>2272</v>
      </c>
      <c r="O3952" s="71" t="s">
        <v>2272</v>
      </c>
      <c r="P3952" s="71" t="s">
        <v>2272</v>
      </c>
      <c r="Q3952" s="71" t="s">
        <v>2272</v>
      </c>
      <c r="R3952" s="71" t="s">
        <v>2272</v>
      </c>
      <c r="S3952" s="71" t="s">
        <v>2272</v>
      </c>
      <c r="T3952" s="71" t="s">
        <v>2272</v>
      </c>
      <c r="U3952" s="71" t="s">
        <v>2272</v>
      </c>
      <c r="V3952" s="71" t="s">
        <v>2272</v>
      </c>
      <c r="W3952" s="71" t="s">
        <v>2272</v>
      </c>
      <c r="X3952" s="71" t="s">
        <v>2272</v>
      </c>
      <c r="Y3952" s="71" t="s">
        <v>2272</v>
      </c>
      <c r="Z3952" s="71" t="s">
        <v>2272</v>
      </c>
      <c r="AA3952" s="71" t="s">
        <v>2272</v>
      </c>
      <c r="AB3952" s="71" t="s">
        <v>2272</v>
      </c>
      <c r="AC3952" s="71" t="s">
        <v>2272</v>
      </c>
      <c r="AD3952" s="198"/>
      <c r="AE3952" s="198"/>
    </row>
    <row r="3953" spans="1:31" ht="38" customHeight="1">
      <c r="A3953" s="198" t="s">
        <v>10112</v>
      </c>
      <c r="B3953" s="198" t="s">
        <v>10118</v>
      </c>
      <c r="C3953" s="198" t="s">
        <v>2453</v>
      </c>
      <c r="D3953" s="4" t="s">
        <v>2272</v>
      </c>
      <c r="E3953" s="198" t="s">
        <v>82</v>
      </c>
      <c r="F3953" s="4" t="s">
        <v>27</v>
      </c>
      <c r="G3953" s="4" t="s">
        <v>73</v>
      </c>
      <c r="H3953" s="198" t="s">
        <v>521</v>
      </c>
      <c r="I3953" s="198"/>
      <c r="J3953" s="71" t="s">
        <v>2272</v>
      </c>
      <c r="K3953" s="71" t="s">
        <v>2272</v>
      </c>
      <c r="L3953" s="71" t="s">
        <v>2272</v>
      </c>
      <c r="M3953" s="71" t="s">
        <v>2272</v>
      </c>
      <c r="N3953" s="71" t="s">
        <v>2272</v>
      </c>
      <c r="O3953" s="71" t="s">
        <v>2272</v>
      </c>
      <c r="P3953" s="71" t="s">
        <v>2272</v>
      </c>
      <c r="Q3953" s="71" t="s">
        <v>2272</v>
      </c>
      <c r="R3953" s="71" t="s">
        <v>2272</v>
      </c>
      <c r="S3953" s="71" t="s">
        <v>2272</v>
      </c>
      <c r="T3953" s="71" t="s">
        <v>2272</v>
      </c>
      <c r="U3953" s="71" t="s">
        <v>2272</v>
      </c>
      <c r="V3953" s="71" t="s">
        <v>2272</v>
      </c>
      <c r="W3953" s="71" t="s">
        <v>2272</v>
      </c>
      <c r="X3953" s="71" t="s">
        <v>2272</v>
      </c>
      <c r="Y3953" s="71" t="s">
        <v>2272</v>
      </c>
      <c r="Z3953" s="71" t="s">
        <v>2272</v>
      </c>
      <c r="AA3953" s="71" t="s">
        <v>2272</v>
      </c>
      <c r="AB3953" s="71" t="s">
        <v>2272</v>
      </c>
      <c r="AC3953" s="71" t="s">
        <v>2272</v>
      </c>
      <c r="AD3953" s="198"/>
      <c r="AE3953" s="198"/>
    </row>
    <row r="3954" spans="1:31" ht="40" customHeight="1">
      <c r="A3954" s="198" t="s">
        <v>10112</v>
      </c>
      <c r="B3954" s="198" t="s">
        <v>10119</v>
      </c>
      <c r="C3954" s="198" t="s">
        <v>23</v>
      </c>
      <c r="D3954" s="198" t="s">
        <v>141</v>
      </c>
      <c r="E3954" s="4" t="s">
        <v>394</v>
      </c>
      <c r="F3954" s="4" t="s">
        <v>73</v>
      </c>
      <c r="G3954" s="4" t="s">
        <v>73</v>
      </c>
      <c r="H3954" s="198" t="s">
        <v>521</v>
      </c>
      <c r="I3954" s="198"/>
      <c r="J3954" s="71" t="s">
        <v>2272</v>
      </c>
      <c r="K3954" s="71" t="s">
        <v>2272</v>
      </c>
      <c r="L3954" s="71" t="s">
        <v>2272</v>
      </c>
      <c r="M3954" s="71" t="s">
        <v>2272</v>
      </c>
      <c r="N3954" s="71" t="s">
        <v>2272</v>
      </c>
      <c r="O3954" s="71" t="s">
        <v>2272</v>
      </c>
      <c r="P3954" s="71" t="s">
        <v>2272</v>
      </c>
      <c r="Q3954" s="71" t="s">
        <v>2272</v>
      </c>
      <c r="R3954" s="71" t="s">
        <v>2272</v>
      </c>
      <c r="S3954" s="71" t="s">
        <v>2272</v>
      </c>
      <c r="T3954" s="71" t="s">
        <v>2272</v>
      </c>
      <c r="U3954" s="71" t="s">
        <v>2272</v>
      </c>
      <c r="V3954" s="71" t="s">
        <v>2272</v>
      </c>
      <c r="W3954" s="71" t="s">
        <v>2272</v>
      </c>
      <c r="X3954" s="71" t="s">
        <v>2272</v>
      </c>
      <c r="Y3954" s="71" t="s">
        <v>2272</v>
      </c>
      <c r="Z3954" s="71" t="s">
        <v>2272</v>
      </c>
      <c r="AA3954" s="71" t="s">
        <v>2272</v>
      </c>
      <c r="AB3954" s="71" t="s">
        <v>2272</v>
      </c>
      <c r="AC3954" s="71" t="s">
        <v>2272</v>
      </c>
      <c r="AD3954" s="198"/>
      <c r="AE3954" s="198"/>
    </row>
    <row r="3955" spans="1:31" ht="41.5" customHeight="1">
      <c r="A3955" s="198" t="s">
        <v>10112</v>
      </c>
      <c r="B3955" s="198" t="s">
        <v>10120</v>
      </c>
      <c r="C3955" s="198" t="s">
        <v>23</v>
      </c>
      <c r="D3955" s="198" t="s">
        <v>26</v>
      </c>
      <c r="E3955" s="198" t="s">
        <v>128</v>
      </c>
      <c r="F3955" s="4" t="s">
        <v>73</v>
      </c>
      <c r="G3955" s="4" t="s">
        <v>73</v>
      </c>
      <c r="H3955" s="198" t="s">
        <v>521</v>
      </c>
      <c r="I3955" s="198"/>
      <c r="J3955" s="71" t="s">
        <v>2272</v>
      </c>
      <c r="K3955" s="71" t="s">
        <v>2272</v>
      </c>
      <c r="L3955" s="71" t="s">
        <v>2272</v>
      </c>
      <c r="M3955" s="71" t="s">
        <v>2272</v>
      </c>
      <c r="N3955" s="71" t="s">
        <v>2272</v>
      </c>
      <c r="O3955" s="71" t="s">
        <v>2272</v>
      </c>
      <c r="P3955" s="71" t="s">
        <v>2272</v>
      </c>
      <c r="Q3955" s="71" t="s">
        <v>2272</v>
      </c>
      <c r="R3955" s="71" t="s">
        <v>2272</v>
      </c>
      <c r="S3955" s="71" t="s">
        <v>2272</v>
      </c>
      <c r="T3955" s="71" t="s">
        <v>2272</v>
      </c>
      <c r="U3955" s="71" t="s">
        <v>2272</v>
      </c>
      <c r="V3955" s="71" t="s">
        <v>2272</v>
      </c>
      <c r="W3955" s="71" t="s">
        <v>2272</v>
      </c>
      <c r="X3955" s="71" t="s">
        <v>2272</v>
      </c>
      <c r="Y3955" s="71" t="s">
        <v>2272</v>
      </c>
      <c r="Z3955" s="71" t="s">
        <v>2272</v>
      </c>
      <c r="AA3955" s="71" t="s">
        <v>2272</v>
      </c>
      <c r="AB3955" s="71" t="s">
        <v>2272</v>
      </c>
      <c r="AC3955" s="71" t="s">
        <v>2272</v>
      </c>
      <c r="AD3955" s="198"/>
      <c r="AE3955" s="198"/>
    </row>
    <row r="3956" spans="1:31" ht="48" customHeight="1">
      <c r="A3956" s="198" t="s">
        <v>10121</v>
      </c>
      <c r="B3956" s="198" t="s">
        <v>10125</v>
      </c>
      <c r="C3956" s="198" t="s">
        <v>23</v>
      </c>
      <c r="D3956" s="198" t="s">
        <v>1238</v>
      </c>
      <c r="E3956" s="198" t="s">
        <v>135</v>
      </c>
      <c r="F3956" s="4" t="s">
        <v>2657</v>
      </c>
      <c r="G3956" s="4" t="s">
        <v>2657</v>
      </c>
      <c r="H3956" s="198" t="s">
        <v>521</v>
      </c>
      <c r="I3956" s="198"/>
      <c r="J3956" s="71" t="s">
        <v>2272</v>
      </c>
      <c r="K3956" s="71" t="s">
        <v>2272</v>
      </c>
      <c r="L3956" s="71" t="s">
        <v>2272</v>
      </c>
      <c r="M3956" s="71" t="s">
        <v>2272</v>
      </c>
      <c r="N3956" s="71" t="s">
        <v>2272</v>
      </c>
      <c r="O3956" s="71" t="s">
        <v>2272</v>
      </c>
      <c r="P3956" s="71" t="s">
        <v>2272</v>
      </c>
      <c r="Q3956" s="71" t="s">
        <v>2272</v>
      </c>
      <c r="R3956" s="71" t="s">
        <v>2272</v>
      </c>
      <c r="S3956" s="71" t="s">
        <v>2272</v>
      </c>
      <c r="T3956" s="71" t="s">
        <v>2272</v>
      </c>
      <c r="U3956" s="71" t="s">
        <v>2272</v>
      </c>
      <c r="V3956" s="71" t="s">
        <v>2272</v>
      </c>
      <c r="W3956" s="71" t="s">
        <v>2272</v>
      </c>
      <c r="X3956" s="71" t="s">
        <v>2272</v>
      </c>
      <c r="Y3956" s="71" t="s">
        <v>2272</v>
      </c>
      <c r="Z3956" s="71" t="s">
        <v>2272</v>
      </c>
      <c r="AA3956" s="71" t="s">
        <v>2272</v>
      </c>
      <c r="AB3956" s="71" t="s">
        <v>2272</v>
      </c>
      <c r="AC3956" s="71" t="s">
        <v>2272</v>
      </c>
      <c r="AD3956" s="198"/>
      <c r="AE3956" s="198"/>
    </row>
    <row r="3957" spans="1:31" ht="48" customHeight="1">
      <c r="A3957" s="198" t="s">
        <v>10133</v>
      </c>
      <c r="B3957" s="198" t="s">
        <v>10145</v>
      </c>
      <c r="C3957" s="198" t="s">
        <v>23</v>
      </c>
      <c r="D3957" s="198" t="s">
        <v>1238</v>
      </c>
      <c r="E3957" s="198" t="s">
        <v>2644</v>
      </c>
      <c r="F3957" s="4" t="s">
        <v>2658</v>
      </c>
      <c r="G3957" s="4" t="s">
        <v>2658</v>
      </c>
      <c r="H3957" s="198" t="s">
        <v>521</v>
      </c>
      <c r="I3957" s="198"/>
      <c r="J3957" s="71" t="s">
        <v>2272</v>
      </c>
      <c r="K3957" s="71" t="s">
        <v>2272</v>
      </c>
      <c r="L3957" s="71" t="s">
        <v>2272</v>
      </c>
      <c r="M3957" s="71" t="s">
        <v>2272</v>
      </c>
      <c r="N3957" s="71" t="s">
        <v>2272</v>
      </c>
      <c r="O3957" s="71" t="s">
        <v>2272</v>
      </c>
      <c r="P3957" s="71" t="s">
        <v>2272</v>
      </c>
      <c r="Q3957" s="71" t="s">
        <v>2272</v>
      </c>
      <c r="R3957" s="71" t="s">
        <v>2272</v>
      </c>
      <c r="S3957" s="71" t="s">
        <v>2272</v>
      </c>
      <c r="T3957" s="71" t="s">
        <v>2272</v>
      </c>
      <c r="U3957" s="71" t="s">
        <v>2272</v>
      </c>
      <c r="V3957" s="71" t="s">
        <v>2272</v>
      </c>
      <c r="W3957" s="71" t="s">
        <v>2272</v>
      </c>
      <c r="X3957" s="71" t="s">
        <v>2272</v>
      </c>
      <c r="Y3957" s="71" t="s">
        <v>2272</v>
      </c>
      <c r="Z3957" s="71" t="s">
        <v>2272</v>
      </c>
      <c r="AA3957" s="71" t="s">
        <v>2272</v>
      </c>
      <c r="AB3957" s="71" t="s">
        <v>2272</v>
      </c>
      <c r="AC3957" s="71" t="s">
        <v>2272</v>
      </c>
      <c r="AD3957" s="71" t="s">
        <v>10146</v>
      </c>
      <c r="AE3957" s="198"/>
    </row>
    <row r="3958" spans="1:31" ht="54.5" customHeight="1">
      <c r="A3958" s="198" t="s">
        <v>10151</v>
      </c>
      <c r="B3958" s="198" t="s">
        <v>10153</v>
      </c>
      <c r="C3958" s="198" t="s">
        <v>1102</v>
      </c>
      <c r="D3958" s="198" t="s">
        <v>1102</v>
      </c>
      <c r="E3958" s="198" t="s">
        <v>1102</v>
      </c>
      <c r="F3958" s="71" t="s">
        <v>2272</v>
      </c>
      <c r="G3958" s="198" t="s">
        <v>2272</v>
      </c>
      <c r="H3958" s="198" t="s">
        <v>521</v>
      </c>
      <c r="I3958" s="198"/>
      <c r="J3958" s="71" t="s">
        <v>2272</v>
      </c>
      <c r="K3958" s="21">
        <f>1.102/10</f>
        <v>0.11020000000000001</v>
      </c>
      <c r="L3958" s="71" t="s">
        <v>2272</v>
      </c>
      <c r="M3958" s="71" t="s">
        <v>2272</v>
      </c>
      <c r="N3958" s="71" t="s">
        <v>2272</v>
      </c>
      <c r="O3958" s="21">
        <v>43766</v>
      </c>
      <c r="P3958" s="71" t="s">
        <v>2272</v>
      </c>
      <c r="Q3958" s="71" t="s">
        <v>2272</v>
      </c>
      <c r="R3958" s="71" t="s">
        <v>2272</v>
      </c>
      <c r="S3958" s="71" t="s">
        <v>2272</v>
      </c>
      <c r="T3958" s="71" t="s">
        <v>2272</v>
      </c>
      <c r="U3958" s="71" t="s">
        <v>2272</v>
      </c>
      <c r="V3958" s="71" t="s">
        <v>2272</v>
      </c>
      <c r="W3958" s="71" t="s">
        <v>2272</v>
      </c>
      <c r="X3958" s="71" t="s">
        <v>2272</v>
      </c>
      <c r="Y3958" s="71" t="s">
        <v>2272</v>
      </c>
      <c r="Z3958" s="71" t="s">
        <v>2272</v>
      </c>
      <c r="AA3958" s="71" t="s">
        <v>2272</v>
      </c>
      <c r="AB3958" s="71" t="s">
        <v>2272</v>
      </c>
      <c r="AC3958" s="71" t="s">
        <v>2272</v>
      </c>
      <c r="AD3958" s="198"/>
      <c r="AE3958" s="198"/>
    </row>
    <row r="3959" spans="1:31" ht="130" customHeight="1">
      <c r="A3959" s="198" t="s">
        <v>10155</v>
      </c>
      <c r="B3959" s="198" t="s">
        <v>10157</v>
      </c>
      <c r="C3959" s="198" t="s">
        <v>2453</v>
      </c>
      <c r="D3959" s="198" t="s">
        <v>1102</v>
      </c>
      <c r="E3959" s="198" t="s">
        <v>1102</v>
      </c>
      <c r="F3959" s="71" t="s">
        <v>2272</v>
      </c>
      <c r="G3959" s="4" t="s">
        <v>73</v>
      </c>
      <c r="H3959" s="198" t="s">
        <v>521</v>
      </c>
      <c r="I3959" s="198">
        <v>1950</v>
      </c>
      <c r="J3959" s="71">
        <f>K3959/((('Land use'!R1586/100)*'Record info'!K1586)/'Record info'!K1586)</f>
        <v>9.2540397849678446E-3</v>
      </c>
      <c r="K3959" s="21">
        <f>14700/'Record info'!$K$1586</f>
        <v>1.5317286652078775E-3</v>
      </c>
      <c r="L3959" s="71" t="s">
        <v>2272</v>
      </c>
      <c r="M3959" s="71" t="s">
        <v>2272</v>
      </c>
      <c r="N3959" s="71" t="s">
        <v>2272</v>
      </c>
      <c r="O3959" s="71" t="s">
        <v>2272</v>
      </c>
      <c r="P3959" s="71" t="s">
        <v>2272</v>
      </c>
      <c r="Q3959" s="21">
        <f>(100*W3959*'Land use'!R$1586/100*'Record info'!K$1586/100)/14700</f>
        <v>95.741970057142851</v>
      </c>
      <c r="R3959" s="71" t="s">
        <v>2272</v>
      </c>
      <c r="S3959" s="71" t="s">
        <v>2272</v>
      </c>
      <c r="T3959" s="71" t="s">
        <v>2272</v>
      </c>
      <c r="U3959" s="71" t="s">
        <v>2272</v>
      </c>
      <c r="V3959" s="71" t="s">
        <v>2272</v>
      </c>
      <c r="W3959" s="21">
        <v>0.88600000000000001</v>
      </c>
      <c r="X3959" s="71" t="s">
        <v>2272</v>
      </c>
      <c r="Y3959" s="71" t="s">
        <v>2272</v>
      </c>
      <c r="Z3959" s="71" t="s">
        <v>2272</v>
      </c>
      <c r="AA3959" s="71" t="s">
        <v>2272</v>
      </c>
      <c r="AB3959" s="71" t="s">
        <v>2272</v>
      </c>
      <c r="AC3959" s="71" t="s">
        <v>2272</v>
      </c>
      <c r="AD3959" s="4" t="s">
        <v>10161</v>
      </c>
      <c r="AE3959" s="198"/>
    </row>
    <row r="3960" spans="1:31" ht="130" customHeight="1">
      <c r="A3960" s="198" t="s">
        <v>10155</v>
      </c>
      <c r="B3960" s="198" t="s">
        <v>10158</v>
      </c>
      <c r="C3960" s="198" t="s">
        <v>2453</v>
      </c>
      <c r="D3960" s="198" t="s">
        <v>1102</v>
      </c>
      <c r="E3960" s="198" t="s">
        <v>1102</v>
      </c>
      <c r="F3960" s="71" t="s">
        <v>2272</v>
      </c>
      <c r="G3960" s="4" t="s">
        <v>73</v>
      </c>
      <c r="H3960" s="198" t="s">
        <v>521</v>
      </c>
      <c r="I3960" s="198">
        <v>1988</v>
      </c>
      <c r="J3960" s="71">
        <f>K3960/((('Land use'!R1586/100)*'Record info'!K1586)/'Record info'!K1586)</f>
        <v>9.2540397849678446E-3</v>
      </c>
      <c r="K3960" s="21">
        <f>14700/'Record info'!$K$1586</f>
        <v>1.5317286652078775E-3</v>
      </c>
      <c r="L3960" s="71" t="s">
        <v>2272</v>
      </c>
      <c r="M3960" s="71" t="s">
        <v>2272</v>
      </c>
      <c r="N3960" s="71" t="s">
        <v>2272</v>
      </c>
      <c r="O3960" s="71" t="s">
        <v>2272</v>
      </c>
      <c r="P3960" s="71" t="s">
        <v>2272</v>
      </c>
      <c r="Q3960" s="21">
        <f>(100*W3960*'Land use'!R$1586/100*'Record info'!K$1586/100)/14700</f>
        <v>5.2949847999999999</v>
      </c>
      <c r="R3960" s="71" t="s">
        <v>2272</v>
      </c>
      <c r="S3960" s="71" t="s">
        <v>2272</v>
      </c>
      <c r="T3960" s="71" t="s">
        <v>2272</v>
      </c>
      <c r="U3960" s="71" t="s">
        <v>2272</v>
      </c>
      <c r="V3960" s="71" t="s">
        <v>2272</v>
      </c>
      <c r="W3960" s="21">
        <v>4.9000000000000002E-2</v>
      </c>
      <c r="X3960" s="71" t="s">
        <v>2272</v>
      </c>
      <c r="Y3960" s="71" t="s">
        <v>2272</v>
      </c>
      <c r="Z3960" s="71" t="s">
        <v>2272</v>
      </c>
      <c r="AA3960" s="71" t="s">
        <v>2272</v>
      </c>
      <c r="AB3960" s="71" t="s">
        <v>2272</v>
      </c>
      <c r="AC3960" s="71" t="s">
        <v>2272</v>
      </c>
      <c r="AD3960" s="4" t="s">
        <v>10161</v>
      </c>
      <c r="AE3960" s="198"/>
    </row>
    <row r="3961" spans="1:31" ht="44.5" customHeight="1">
      <c r="A3961" s="198" t="s">
        <v>10167</v>
      </c>
      <c r="B3961" s="198" t="s">
        <v>10180</v>
      </c>
      <c r="C3961" s="198" t="s">
        <v>2453</v>
      </c>
      <c r="D3961" s="198" t="s">
        <v>1102</v>
      </c>
      <c r="E3961" s="198" t="s">
        <v>1102</v>
      </c>
      <c r="F3961" s="71" t="s">
        <v>2272</v>
      </c>
      <c r="G3961" s="4" t="s">
        <v>73</v>
      </c>
      <c r="H3961" s="198" t="s">
        <v>521</v>
      </c>
      <c r="I3961" s="198"/>
      <c r="J3961" s="71" t="s">
        <v>2272</v>
      </c>
      <c r="K3961" s="71" t="s">
        <v>2272</v>
      </c>
      <c r="L3961" s="71" t="s">
        <v>2272</v>
      </c>
      <c r="M3961" s="71" t="s">
        <v>2272</v>
      </c>
      <c r="N3961" s="71" t="s">
        <v>2272</v>
      </c>
      <c r="O3961" s="71" t="s">
        <v>2272</v>
      </c>
      <c r="P3961" s="71" t="s">
        <v>2272</v>
      </c>
      <c r="Q3961" s="71" t="s">
        <v>2272</v>
      </c>
      <c r="R3961" s="71" t="s">
        <v>2272</v>
      </c>
      <c r="S3961" s="71" t="s">
        <v>2272</v>
      </c>
      <c r="T3961" s="71" t="s">
        <v>2272</v>
      </c>
      <c r="U3961" s="71" t="s">
        <v>2272</v>
      </c>
      <c r="V3961" s="71" t="s">
        <v>2272</v>
      </c>
      <c r="W3961" s="21">
        <f>(0.685*0.172)*('Record info'!K$1586/'Record info'!K1587)</f>
        <v>0.72665437923063425</v>
      </c>
      <c r="X3961" s="71" t="s">
        <v>2272</v>
      </c>
      <c r="Y3961" s="71" t="s">
        <v>2272</v>
      </c>
      <c r="Z3961" s="71" t="s">
        <v>2272</v>
      </c>
      <c r="AA3961" s="198" t="s">
        <v>2272</v>
      </c>
      <c r="AB3961" s="198" t="s">
        <v>2272</v>
      </c>
      <c r="AC3961" s="198" t="s">
        <v>2272</v>
      </c>
      <c r="AD3961" s="198"/>
      <c r="AE3961" s="4" t="s">
        <v>10186</v>
      </c>
    </row>
    <row r="3962" spans="1:31" ht="44.5" customHeight="1">
      <c r="A3962" s="198" t="s">
        <v>10168</v>
      </c>
      <c r="B3962" s="198" t="s">
        <v>10181</v>
      </c>
      <c r="C3962" s="198" t="s">
        <v>2453</v>
      </c>
      <c r="D3962" s="198" t="s">
        <v>1102</v>
      </c>
      <c r="E3962" s="198" t="s">
        <v>1102</v>
      </c>
      <c r="F3962" s="71" t="s">
        <v>2272</v>
      </c>
      <c r="G3962" s="4" t="s">
        <v>73</v>
      </c>
      <c r="H3962" s="198" t="s">
        <v>521</v>
      </c>
      <c r="I3962" s="198"/>
      <c r="J3962" s="71" t="s">
        <v>2272</v>
      </c>
      <c r="K3962" s="71" t="s">
        <v>2272</v>
      </c>
      <c r="L3962" s="71" t="s">
        <v>2272</v>
      </c>
      <c r="M3962" s="71" t="s">
        <v>2272</v>
      </c>
      <c r="N3962" s="71" t="s">
        <v>2272</v>
      </c>
      <c r="O3962" s="71" t="s">
        <v>2272</v>
      </c>
      <c r="P3962" s="71" t="s">
        <v>2272</v>
      </c>
      <c r="Q3962" s="71" t="s">
        <v>2272</v>
      </c>
      <c r="R3962" s="71" t="s">
        <v>2272</v>
      </c>
      <c r="S3962" s="71" t="s">
        <v>2272</v>
      </c>
      <c r="T3962" s="71" t="s">
        <v>2272</v>
      </c>
      <c r="U3962" s="71" t="s">
        <v>2272</v>
      </c>
      <c r="V3962" s="71" t="s">
        <v>2272</v>
      </c>
      <c r="W3962" s="21">
        <f>(0.685*0.075)*('Record info'!K$1586/'Record info'!K1588)</f>
        <v>0.61953122938491179</v>
      </c>
      <c r="X3962" s="71" t="s">
        <v>2272</v>
      </c>
      <c r="Y3962" s="71" t="s">
        <v>2272</v>
      </c>
      <c r="Z3962" s="71" t="s">
        <v>2272</v>
      </c>
      <c r="AA3962" s="198" t="s">
        <v>2272</v>
      </c>
      <c r="AB3962" s="198" t="s">
        <v>2272</v>
      </c>
      <c r="AC3962" s="198" t="s">
        <v>2272</v>
      </c>
      <c r="AD3962" s="198"/>
      <c r="AE3962" s="4" t="s">
        <v>10186</v>
      </c>
    </row>
    <row r="3963" spans="1:31" ht="44.5" customHeight="1">
      <c r="A3963" s="198" t="s">
        <v>10169</v>
      </c>
      <c r="B3963" s="198" t="s">
        <v>10182</v>
      </c>
      <c r="C3963" s="198" t="s">
        <v>2453</v>
      </c>
      <c r="D3963" s="198" t="s">
        <v>1102</v>
      </c>
      <c r="E3963" s="198" t="s">
        <v>1102</v>
      </c>
      <c r="F3963" s="71" t="s">
        <v>2272</v>
      </c>
      <c r="G3963" s="4" t="s">
        <v>73</v>
      </c>
      <c r="H3963" s="198" t="s">
        <v>521</v>
      </c>
      <c r="I3963" s="198"/>
      <c r="J3963" s="71" t="s">
        <v>2272</v>
      </c>
      <c r="K3963" s="71" t="s">
        <v>2272</v>
      </c>
      <c r="L3963" s="71" t="s">
        <v>2272</v>
      </c>
      <c r="M3963" s="71" t="s">
        <v>2272</v>
      </c>
      <c r="N3963" s="71" t="s">
        <v>2272</v>
      </c>
      <c r="O3963" s="71" t="s">
        <v>2272</v>
      </c>
      <c r="P3963" s="71" t="s">
        <v>2272</v>
      </c>
      <c r="Q3963" s="71" t="s">
        <v>2272</v>
      </c>
      <c r="R3963" s="71" t="s">
        <v>2272</v>
      </c>
      <c r="S3963" s="71" t="s">
        <v>2272</v>
      </c>
      <c r="T3963" s="71" t="s">
        <v>2272</v>
      </c>
      <c r="U3963" s="71" t="s">
        <v>2272</v>
      </c>
      <c r="V3963" s="71" t="s">
        <v>2272</v>
      </c>
      <c r="W3963" s="21">
        <f>(0.685*0.391)*('Record info'!K$1586/'Record info'!K1589)/2</f>
        <v>1.6324225168296713</v>
      </c>
      <c r="X3963" s="71" t="s">
        <v>2272</v>
      </c>
      <c r="Y3963" s="71" t="s">
        <v>2272</v>
      </c>
      <c r="Z3963" s="71" t="s">
        <v>2272</v>
      </c>
      <c r="AA3963" s="198" t="s">
        <v>187</v>
      </c>
      <c r="AB3963" s="198" t="s">
        <v>33</v>
      </c>
      <c r="AC3963" s="198" t="s">
        <v>2272</v>
      </c>
      <c r="AD3963" s="198"/>
      <c r="AE3963" s="4" t="s">
        <v>10188</v>
      </c>
    </row>
    <row r="3964" spans="1:31" ht="44.5" customHeight="1">
      <c r="A3964" s="198" t="s">
        <v>10169</v>
      </c>
      <c r="B3964" s="198" t="s">
        <v>10187</v>
      </c>
      <c r="C3964" s="198" t="s">
        <v>2453</v>
      </c>
      <c r="D3964" s="198" t="s">
        <v>1102</v>
      </c>
      <c r="E3964" s="198" t="s">
        <v>1102</v>
      </c>
      <c r="F3964" s="71" t="s">
        <v>2272</v>
      </c>
      <c r="G3964" s="4" t="s">
        <v>73</v>
      </c>
      <c r="H3964" s="198" t="s">
        <v>521</v>
      </c>
      <c r="I3964" s="198"/>
      <c r="J3964" s="71" t="s">
        <v>2272</v>
      </c>
      <c r="K3964" s="71" t="s">
        <v>2272</v>
      </c>
      <c r="L3964" s="71" t="s">
        <v>2272</v>
      </c>
      <c r="M3964" s="71" t="s">
        <v>2272</v>
      </c>
      <c r="N3964" s="71" t="s">
        <v>2272</v>
      </c>
      <c r="O3964" s="71" t="s">
        <v>2272</v>
      </c>
      <c r="P3964" s="71" t="s">
        <v>2272</v>
      </c>
      <c r="Q3964" s="71" t="s">
        <v>2272</v>
      </c>
      <c r="R3964" s="71" t="s">
        <v>2272</v>
      </c>
      <c r="S3964" s="71" t="s">
        <v>2272</v>
      </c>
      <c r="T3964" s="71" t="s">
        <v>2272</v>
      </c>
      <c r="U3964" s="71" t="s">
        <v>2272</v>
      </c>
      <c r="V3964" s="71" t="s">
        <v>2272</v>
      </c>
      <c r="W3964" s="21">
        <f>(0.685*0.391)*('Record info'!K$1586/'Record info'!K1589)/2</f>
        <v>1.6324225168296713</v>
      </c>
      <c r="X3964" s="71" t="s">
        <v>2272</v>
      </c>
      <c r="Y3964" s="71" t="s">
        <v>2272</v>
      </c>
      <c r="Z3964" s="71" t="s">
        <v>2272</v>
      </c>
      <c r="AA3964" s="198" t="s">
        <v>423</v>
      </c>
      <c r="AB3964" s="198" t="s">
        <v>34</v>
      </c>
      <c r="AC3964" s="198" t="s">
        <v>2272</v>
      </c>
      <c r="AD3964" s="198"/>
      <c r="AE3964" s="4" t="s">
        <v>10188</v>
      </c>
    </row>
    <row r="3965" spans="1:31" ht="44.5" customHeight="1">
      <c r="A3965" s="198" t="s">
        <v>10170</v>
      </c>
      <c r="B3965" s="198" t="s">
        <v>10183</v>
      </c>
      <c r="C3965" s="198" t="s">
        <v>2453</v>
      </c>
      <c r="D3965" s="198" t="s">
        <v>1102</v>
      </c>
      <c r="E3965" s="198" t="s">
        <v>1102</v>
      </c>
      <c r="F3965" s="71" t="s">
        <v>2272</v>
      </c>
      <c r="G3965" s="4" t="s">
        <v>73</v>
      </c>
      <c r="H3965" s="198" t="s">
        <v>521</v>
      </c>
      <c r="I3965" s="198"/>
      <c r="J3965" s="71" t="s">
        <v>2272</v>
      </c>
      <c r="K3965" s="71" t="s">
        <v>2272</v>
      </c>
      <c r="L3965" s="71" t="s">
        <v>2272</v>
      </c>
      <c r="M3965" s="71" t="s">
        <v>2272</v>
      </c>
      <c r="N3965" s="71" t="s">
        <v>2272</v>
      </c>
      <c r="O3965" s="71" t="s">
        <v>2272</v>
      </c>
      <c r="P3965" s="71" t="s">
        <v>2272</v>
      </c>
      <c r="Q3965" s="71" t="s">
        <v>2272</v>
      </c>
      <c r="R3965" s="71" t="s">
        <v>2272</v>
      </c>
      <c r="S3965" s="71" t="s">
        <v>2272</v>
      </c>
      <c r="T3965" s="71" t="s">
        <v>2272</v>
      </c>
      <c r="U3965" s="71" t="s">
        <v>2272</v>
      </c>
      <c r="V3965" s="71" t="s">
        <v>2272</v>
      </c>
      <c r="W3965" s="21">
        <f>(0.685*0.167)*('Record info'!K$1586/'Record info'!K1590)</f>
        <v>1.0826559046894924</v>
      </c>
      <c r="X3965" s="71" t="s">
        <v>2272</v>
      </c>
      <c r="Y3965" s="71" t="s">
        <v>2272</v>
      </c>
      <c r="Z3965" s="71" t="s">
        <v>2272</v>
      </c>
      <c r="AA3965" s="198" t="s">
        <v>34</v>
      </c>
      <c r="AB3965" s="198" t="s">
        <v>84</v>
      </c>
      <c r="AC3965" s="198" t="s">
        <v>2272</v>
      </c>
      <c r="AD3965" s="198"/>
      <c r="AE3965" s="4" t="s">
        <v>10186</v>
      </c>
    </row>
    <row r="3966" spans="1:31" ht="44.5" customHeight="1">
      <c r="A3966" s="198" t="s">
        <v>10171</v>
      </c>
      <c r="B3966" s="198" t="s">
        <v>10184</v>
      </c>
      <c r="C3966" s="198" t="s">
        <v>2453</v>
      </c>
      <c r="D3966" s="198" t="s">
        <v>1102</v>
      </c>
      <c r="E3966" s="198" t="s">
        <v>1102</v>
      </c>
      <c r="F3966" s="71" t="s">
        <v>2272</v>
      </c>
      <c r="G3966" s="4" t="s">
        <v>73</v>
      </c>
      <c r="H3966" s="198" t="s">
        <v>521</v>
      </c>
      <c r="I3966" s="198"/>
      <c r="J3966" s="71" t="s">
        <v>2272</v>
      </c>
      <c r="K3966" s="71" t="s">
        <v>2272</v>
      </c>
      <c r="L3966" s="71" t="s">
        <v>2272</v>
      </c>
      <c r="M3966" s="71" t="s">
        <v>2272</v>
      </c>
      <c r="N3966" s="71" t="s">
        <v>2272</v>
      </c>
      <c r="O3966" s="71" t="s">
        <v>2272</v>
      </c>
      <c r="P3966" s="71" t="s">
        <v>2272</v>
      </c>
      <c r="Q3966" s="71" t="s">
        <v>2272</v>
      </c>
      <c r="R3966" s="71" t="s">
        <v>2272</v>
      </c>
      <c r="S3966" s="71" t="s">
        <v>2272</v>
      </c>
      <c r="T3966" s="71" t="s">
        <v>2272</v>
      </c>
      <c r="U3966" s="71" t="s">
        <v>2272</v>
      </c>
      <c r="V3966" s="71" t="s">
        <v>2272</v>
      </c>
      <c r="W3966" s="21">
        <f>(0.685*0.009)*('Record info'!K$1586/'Record info'!K1591)</f>
        <v>1.903713279063033E-2</v>
      </c>
      <c r="X3966" s="71" t="s">
        <v>2272</v>
      </c>
      <c r="Y3966" s="71" t="s">
        <v>2272</v>
      </c>
      <c r="Z3966" s="71" t="s">
        <v>2272</v>
      </c>
      <c r="AA3966" s="198" t="s">
        <v>37</v>
      </c>
      <c r="AB3966" s="198" t="s">
        <v>67</v>
      </c>
      <c r="AC3966" s="198" t="s">
        <v>2272</v>
      </c>
      <c r="AD3966" s="198"/>
      <c r="AE3966" s="4" t="s">
        <v>10186</v>
      </c>
    </row>
    <row r="3967" spans="1:31" ht="44.5" customHeight="1">
      <c r="A3967" s="198" t="s">
        <v>10172</v>
      </c>
      <c r="B3967" s="198" t="s">
        <v>10185</v>
      </c>
      <c r="C3967" s="198" t="s">
        <v>2453</v>
      </c>
      <c r="D3967" s="198" t="s">
        <v>1102</v>
      </c>
      <c r="E3967" s="198" t="s">
        <v>1102</v>
      </c>
      <c r="F3967" s="71" t="s">
        <v>2272</v>
      </c>
      <c r="G3967" s="4" t="s">
        <v>73</v>
      </c>
      <c r="H3967" s="198" t="s">
        <v>521</v>
      </c>
      <c r="I3967" s="198"/>
      <c r="J3967" s="71" t="s">
        <v>2272</v>
      </c>
      <c r="K3967" s="71" t="s">
        <v>2272</v>
      </c>
      <c r="L3967" s="71" t="s">
        <v>2272</v>
      </c>
      <c r="M3967" s="71" t="s">
        <v>2272</v>
      </c>
      <c r="N3967" s="71" t="s">
        <v>2272</v>
      </c>
      <c r="O3967" s="71" t="s">
        <v>2272</v>
      </c>
      <c r="P3967" s="71" t="s">
        <v>2272</v>
      </c>
      <c r="Q3967" s="71" t="s">
        <v>2272</v>
      </c>
      <c r="R3967" s="71" t="s">
        <v>2272</v>
      </c>
      <c r="S3967" s="71" t="s">
        <v>2272</v>
      </c>
      <c r="T3967" s="71" t="s">
        <v>2272</v>
      </c>
      <c r="U3967" s="71" t="s">
        <v>2272</v>
      </c>
      <c r="V3967" s="71" t="s">
        <v>2272</v>
      </c>
      <c r="W3967" s="21">
        <f>(0.685*0.186)*('Record info'!K$1586/'Record info'!K1592)</f>
        <v>0.51686763748573361</v>
      </c>
      <c r="X3967" s="71" t="s">
        <v>2272</v>
      </c>
      <c r="Y3967" s="71" t="s">
        <v>2272</v>
      </c>
      <c r="Z3967" s="71" t="s">
        <v>2272</v>
      </c>
      <c r="AA3967" s="198" t="s">
        <v>2272</v>
      </c>
      <c r="AB3967" s="198" t="s">
        <v>2272</v>
      </c>
      <c r="AC3967" s="198" t="s">
        <v>2272</v>
      </c>
      <c r="AD3967" s="198"/>
      <c r="AE3967" s="4" t="s">
        <v>10186</v>
      </c>
    </row>
    <row r="3968" spans="1:31" ht="43" customHeight="1">
      <c r="A3968" s="198" t="s">
        <v>10172</v>
      </c>
      <c r="B3968" s="198" t="s">
        <v>10189</v>
      </c>
      <c r="C3968" s="198" t="s">
        <v>23</v>
      </c>
      <c r="D3968" s="198" t="s">
        <v>26</v>
      </c>
      <c r="E3968" s="198" t="s">
        <v>128</v>
      </c>
      <c r="F3968" s="4" t="s">
        <v>158</v>
      </c>
      <c r="G3968" s="4" t="s">
        <v>158</v>
      </c>
      <c r="H3968" s="198" t="s">
        <v>521</v>
      </c>
      <c r="I3968" s="198"/>
      <c r="J3968" s="71" t="s">
        <v>2272</v>
      </c>
      <c r="K3968" s="71" t="s">
        <v>2272</v>
      </c>
      <c r="L3968" s="71" t="s">
        <v>2272</v>
      </c>
      <c r="M3968" s="71" t="s">
        <v>2272</v>
      </c>
      <c r="N3968" s="71" t="s">
        <v>2272</v>
      </c>
      <c r="O3968" s="71" t="s">
        <v>2272</v>
      </c>
      <c r="P3968" s="71" t="s">
        <v>2272</v>
      </c>
      <c r="Q3968" s="71" t="s">
        <v>2272</v>
      </c>
      <c r="R3968" s="71" t="s">
        <v>2272</v>
      </c>
      <c r="S3968" s="71" t="s">
        <v>2272</v>
      </c>
      <c r="T3968" s="71" t="s">
        <v>2272</v>
      </c>
      <c r="U3968" s="71" t="s">
        <v>2272</v>
      </c>
      <c r="V3968" s="71" t="s">
        <v>2272</v>
      </c>
      <c r="W3968" s="71" t="s">
        <v>2272</v>
      </c>
      <c r="X3968" s="71" t="s">
        <v>2272</v>
      </c>
      <c r="Y3968" s="71" t="s">
        <v>2272</v>
      </c>
      <c r="Z3968" s="71" t="s">
        <v>2272</v>
      </c>
      <c r="AA3968" s="71" t="s">
        <v>2272</v>
      </c>
      <c r="AB3968" s="71" t="s">
        <v>2272</v>
      </c>
      <c r="AC3968" s="71" t="s">
        <v>2272</v>
      </c>
      <c r="AD3968" s="198"/>
      <c r="AE3968" s="198"/>
    </row>
    <row r="3969" spans="1:31" ht="47.5" customHeight="1">
      <c r="A3969" s="198" t="s">
        <v>10172</v>
      </c>
      <c r="B3969" s="198" t="s">
        <v>10190</v>
      </c>
      <c r="C3969" s="198" t="s">
        <v>23</v>
      </c>
      <c r="D3969" s="198" t="s">
        <v>26</v>
      </c>
      <c r="E3969" s="198" t="s">
        <v>128</v>
      </c>
      <c r="F3969" s="4" t="s">
        <v>73</v>
      </c>
      <c r="G3969" s="4" t="s">
        <v>73</v>
      </c>
      <c r="H3969" s="198" t="s">
        <v>521</v>
      </c>
      <c r="I3969" s="198"/>
      <c r="J3969" s="71" t="s">
        <v>2272</v>
      </c>
      <c r="K3969" s="71" t="s">
        <v>2272</v>
      </c>
      <c r="L3969" s="71" t="s">
        <v>2272</v>
      </c>
      <c r="M3969" s="71" t="s">
        <v>2272</v>
      </c>
      <c r="N3969" s="71" t="s">
        <v>2272</v>
      </c>
      <c r="O3969" s="71" t="s">
        <v>2272</v>
      </c>
      <c r="P3969" s="71" t="s">
        <v>2272</v>
      </c>
      <c r="Q3969" s="71" t="s">
        <v>2272</v>
      </c>
      <c r="R3969" s="71" t="s">
        <v>2272</v>
      </c>
      <c r="S3969" s="71" t="s">
        <v>2272</v>
      </c>
      <c r="T3969" s="71" t="s">
        <v>2272</v>
      </c>
      <c r="U3969" s="71" t="s">
        <v>2272</v>
      </c>
      <c r="V3969" s="71" t="s">
        <v>2272</v>
      </c>
      <c r="W3969" s="71" t="s">
        <v>2272</v>
      </c>
      <c r="X3969" s="71" t="s">
        <v>2272</v>
      </c>
      <c r="Y3969" s="71" t="s">
        <v>2272</v>
      </c>
      <c r="Z3969" s="71" t="s">
        <v>2272</v>
      </c>
      <c r="AA3969" s="71" t="s">
        <v>2272</v>
      </c>
      <c r="AB3969" s="71" t="s">
        <v>2272</v>
      </c>
      <c r="AC3969" s="71" t="s">
        <v>2272</v>
      </c>
      <c r="AD3969" s="198"/>
      <c r="AE3969" s="198"/>
    </row>
    <row r="3970" spans="1:31" ht="47.5" customHeight="1">
      <c r="A3970" s="198" t="s">
        <v>10169</v>
      </c>
      <c r="B3970" s="198" t="s">
        <v>10191</v>
      </c>
      <c r="C3970" s="198" t="s">
        <v>30</v>
      </c>
      <c r="D3970" s="198" t="s">
        <v>29</v>
      </c>
      <c r="E3970" s="198" t="s">
        <v>114</v>
      </c>
      <c r="F3970" s="71" t="s">
        <v>2272</v>
      </c>
      <c r="G3970" s="4" t="s">
        <v>73</v>
      </c>
      <c r="H3970" s="198" t="s">
        <v>521</v>
      </c>
      <c r="I3970" s="198"/>
      <c r="J3970" s="71" t="s">
        <v>2272</v>
      </c>
      <c r="K3970" s="71" t="s">
        <v>2272</v>
      </c>
      <c r="L3970" s="71" t="s">
        <v>2272</v>
      </c>
      <c r="M3970" s="71" t="s">
        <v>2272</v>
      </c>
      <c r="N3970" s="71" t="s">
        <v>2272</v>
      </c>
      <c r="O3970" s="71" t="s">
        <v>2272</v>
      </c>
      <c r="P3970" s="71" t="s">
        <v>2272</v>
      </c>
      <c r="Q3970" s="71" t="s">
        <v>2272</v>
      </c>
      <c r="R3970" s="71" t="s">
        <v>2272</v>
      </c>
      <c r="S3970" s="71" t="s">
        <v>2272</v>
      </c>
      <c r="T3970" s="71" t="s">
        <v>2272</v>
      </c>
      <c r="U3970" s="71" t="s">
        <v>2272</v>
      </c>
      <c r="V3970" s="71" t="s">
        <v>2272</v>
      </c>
      <c r="W3970" s="71" t="s">
        <v>2272</v>
      </c>
      <c r="X3970" s="71" t="s">
        <v>2272</v>
      </c>
      <c r="Y3970" s="71" t="s">
        <v>2272</v>
      </c>
      <c r="Z3970" s="71" t="s">
        <v>2272</v>
      </c>
      <c r="AA3970" s="71" t="s">
        <v>2272</v>
      </c>
      <c r="AB3970" s="71" t="s">
        <v>2272</v>
      </c>
      <c r="AC3970" s="71" t="s">
        <v>2272</v>
      </c>
      <c r="AD3970" s="198"/>
      <c r="AE3970" s="198"/>
    </row>
    <row r="3971" spans="1:31" ht="47.5" customHeight="1">
      <c r="A3971" s="198" t="s">
        <v>10169</v>
      </c>
      <c r="B3971" s="198" t="s">
        <v>10192</v>
      </c>
      <c r="C3971" s="198" t="s">
        <v>2453</v>
      </c>
      <c r="D3971" s="198" t="s">
        <v>2989</v>
      </c>
      <c r="E3971" s="198" t="s">
        <v>114</v>
      </c>
      <c r="F3971" s="71" t="s">
        <v>2272</v>
      </c>
      <c r="G3971" s="4" t="s">
        <v>73</v>
      </c>
      <c r="H3971" s="198" t="s">
        <v>521</v>
      </c>
      <c r="I3971" s="198"/>
      <c r="J3971" s="71" t="s">
        <v>2272</v>
      </c>
      <c r="K3971" s="71" t="s">
        <v>2272</v>
      </c>
      <c r="L3971" s="71" t="s">
        <v>2272</v>
      </c>
      <c r="M3971" s="71" t="s">
        <v>2272</v>
      </c>
      <c r="N3971" s="71" t="s">
        <v>2272</v>
      </c>
      <c r="O3971" s="71" t="s">
        <v>2272</v>
      </c>
      <c r="P3971" s="71" t="s">
        <v>2272</v>
      </c>
      <c r="Q3971" s="71" t="s">
        <v>2272</v>
      </c>
      <c r="R3971" s="71" t="s">
        <v>2272</v>
      </c>
      <c r="S3971" s="71" t="s">
        <v>2272</v>
      </c>
      <c r="T3971" s="71" t="s">
        <v>2272</v>
      </c>
      <c r="U3971" s="71" t="s">
        <v>2272</v>
      </c>
      <c r="V3971" s="71" t="s">
        <v>2272</v>
      </c>
      <c r="W3971" s="71" t="s">
        <v>2272</v>
      </c>
      <c r="X3971" s="71" t="s">
        <v>2272</v>
      </c>
      <c r="Y3971" s="71" t="s">
        <v>2272</v>
      </c>
      <c r="Z3971" s="71" t="s">
        <v>2272</v>
      </c>
      <c r="AA3971" s="71" t="s">
        <v>2272</v>
      </c>
      <c r="AB3971" s="71" t="s">
        <v>2272</v>
      </c>
      <c r="AC3971" s="71" t="s">
        <v>2272</v>
      </c>
      <c r="AD3971" s="198"/>
      <c r="AE3971" s="198"/>
    </row>
    <row r="3972" spans="1:31" ht="64.5" customHeight="1">
      <c r="A3972" s="198" t="s">
        <v>10196</v>
      </c>
      <c r="B3972" s="198" t="s">
        <v>10199</v>
      </c>
      <c r="C3972" s="198" t="s">
        <v>1102</v>
      </c>
      <c r="D3972" s="198" t="s">
        <v>1102</v>
      </c>
      <c r="E3972" s="198" t="s">
        <v>1102</v>
      </c>
      <c r="F3972" s="198" t="s">
        <v>1102</v>
      </c>
      <c r="G3972" s="4" t="s">
        <v>73</v>
      </c>
      <c r="H3972" s="198" t="s">
        <v>521</v>
      </c>
      <c r="I3972" s="198"/>
      <c r="J3972" s="71" t="s">
        <v>2272</v>
      </c>
      <c r="K3972" s="21">
        <f>214142/22/'Record info'!$K1593</f>
        <v>1.2479137529137528E-2</v>
      </c>
      <c r="L3972" s="71" t="s">
        <v>2272</v>
      </c>
      <c r="M3972" s="71" t="s">
        <v>2272</v>
      </c>
      <c r="N3972" s="71" t="s">
        <v>2272</v>
      </c>
      <c r="O3972" s="71" t="s">
        <v>2272</v>
      </c>
      <c r="P3972" s="71" t="s">
        <v>2272</v>
      </c>
      <c r="Q3972" s="71" t="s">
        <v>2272</v>
      </c>
      <c r="R3972" s="71" t="s">
        <v>2272</v>
      </c>
      <c r="S3972" s="71" t="s">
        <v>2272</v>
      </c>
      <c r="T3972" s="71" t="s">
        <v>2272</v>
      </c>
      <c r="U3972" s="71" t="s">
        <v>2272</v>
      </c>
      <c r="V3972" s="71" t="s">
        <v>2272</v>
      </c>
      <c r="W3972" s="71" t="s">
        <v>2272</v>
      </c>
      <c r="X3972" s="71" t="s">
        <v>2272</v>
      </c>
      <c r="Y3972" s="71" t="s">
        <v>2272</v>
      </c>
      <c r="Z3972" s="71" t="s">
        <v>2272</v>
      </c>
      <c r="AA3972" s="71" t="s">
        <v>2272</v>
      </c>
      <c r="AB3972" s="71" t="s">
        <v>2272</v>
      </c>
      <c r="AC3972" s="71" t="s">
        <v>2272</v>
      </c>
      <c r="AD3972" s="4" t="s">
        <v>10200</v>
      </c>
      <c r="AE3972" s="198"/>
    </row>
    <row r="3973" spans="1:31" ht="66" customHeight="1">
      <c r="A3973" s="198" t="s">
        <v>10204</v>
      </c>
      <c r="B3973" s="198" t="s">
        <v>10206</v>
      </c>
      <c r="C3973" s="198" t="s">
        <v>2453</v>
      </c>
      <c r="D3973" s="198" t="s">
        <v>24</v>
      </c>
      <c r="E3973" s="198" t="s">
        <v>44</v>
      </c>
      <c r="F3973" s="4" t="s">
        <v>28</v>
      </c>
      <c r="G3973" s="4" t="s">
        <v>2658</v>
      </c>
      <c r="H3973" s="198" t="s">
        <v>521</v>
      </c>
      <c r="I3973" s="198"/>
      <c r="J3973" s="71" t="s">
        <v>2272</v>
      </c>
      <c r="K3973" s="71" t="s">
        <v>2272</v>
      </c>
      <c r="L3973" s="71" t="s">
        <v>2272</v>
      </c>
      <c r="M3973" s="71" t="s">
        <v>2272</v>
      </c>
      <c r="N3973" s="71" t="s">
        <v>2272</v>
      </c>
      <c r="O3973" s="71" t="s">
        <v>2272</v>
      </c>
      <c r="P3973" s="71" t="s">
        <v>2272</v>
      </c>
      <c r="Q3973" s="71" t="s">
        <v>2272</v>
      </c>
      <c r="R3973" s="71" t="s">
        <v>2272</v>
      </c>
      <c r="S3973" s="71" t="s">
        <v>2272</v>
      </c>
      <c r="T3973" s="71" t="s">
        <v>2272</v>
      </c>
      <c r="U3973" s="71" t="s">
        <v>2272</v>
      </c>
      <c r="V3973" s="71" t="s">
        <v>2272</v>
      </c>
      <c r="W3973" s="71" t="s">
        <v>2272</v>
      </c>
      <c r="X3973" s="71" t="s">
        <v>2272</v>
      </c>
      <c r="Y3973" s="71" t="s">
        <v>2272</v>
      </c>
      <c r="Z3973" s="71" t="s">
        <v>2272</v>
      </c>
      <c r="AA3973" s="71" t="s">
        <v>2272</v>
      </c>
      <c r="AB3973" s="71" t="s">
        <v>2272</v>
      </c>
      <c r="AC3973" s="71" t="s">
        <v>2272</v>
      </c>
      <c r="AD3973" s="4" t="s">
        <v>10208</v>
      </c>
      <c r="AE3973" s="71" t="s">
        <v>10209</v>
      </c>
    </row>
    <row r="3974" spans="1:31" ht="68" customHeight="1">
      <c r="A3974" s="198" t="s">
        <v>10204</v>
      </c>
      <c r="B3974" s="198" t="s">
        <v>10207</v>
      </c>
      <c r="C3974" s="198" t="s">
        <v>2453</v>
      </c>
      <c r="D3974" s="198" t="s">
        <v>2799</v>
      </c>
      <c r="E3974" s="198" t="s">
        <v>44</v>
      </c>
      <c r="F3974" s="4" t="s">
        <v>2657</v>
      </c>
      <c r="G3974" s="4" t="s">
        <v>2658</v>
      </c>
      <c r="H3974" s="198" t="s">
        <v>521</v>
      </c>
      <c r="I3974" s="198"/>
      <c r="J3974" s="71" t="s">
        <v>2272</v>
      </c>
      <c r="K3974" s="71" t="s">
        <v>2272</v>
      </c>
      <c r="L3974" s="71" t="s">
        <v>2272</v>
      </c>
      <c r="M3974" s="71" t="s">
        <v>2272</v>
      </c>
      <c r="N3974" s="71" t="s">
        <v>2272</v>
      </c>
      <c r="O3974" s="71" t="s">
        <v>2272</v>
      </c>
      <c r="P3974" s="71" t="s">
        <v>2272</v>
      </c>
      <c r="Q3974" s="71" t="s">
        <v>2272</v>
      </c>
      <c r="R3974" s="71" t="s">
        <v>2272</v>
      </c>
      <c r="S3974" s="71" t="s">
        <v>2272</v>
      </c>
      <c r="T3974" s="71" t="s">
        <v>2272</v>
      </c>
      <c r="U3974" s="71" t="s">
        <v>2272</v>
      </c>
      <c r="V3974" s="71" t="s">
        <v>2272</v>
      </c>
      <c r="W3974" s="71" t="s">
        <v>2272</v>
      </c>
      <c r="X3974" s="71" t="s">
        <v>2272</v>
      </c>
      <c r="Y3974" s="71" t="s">
        <v>2272</v>
      </c>
      <c r="Z3974" s="71" t="s">
        <v>2272</v>
      </c>
      <c r="AA3974" s="71" t="s">
        <v>2272</v>
      </c>
      <c r="AB3974" s="71" t="s">
        <v>2272</v>
      </c>
      <c r="AC3974" s="71" t="s">
        <v>2272</v>
      </c>
      <c r="AD3974" s="4" t="s">
        <v>10208</v>
      </c>
      <c r="AE3974" s="71" t="s">
        <v>10209</v>
      </c>
    </row>
    <row r="3975" spans="1:31" ht="58.5" customHeight="1">
      <c r="A3975" s="198" t="s">
        <v>10204</v>
      </c>
      <c r="B3975" s="198" t="s">
        <v>10210</v>
      </c>
      <c r="C3975" s="198" t="s">
        <v>23</v>
      </c>
      <c r="D3975" s="198" t="s">
        <v>2799</v>
      </c>
      <c r="E3975" s="198" t="s">
        <v>44</v>
      </c>
      <c r="F3975" s="4" t="s">
        <v>2657</v>
      </c>
      <c r="G3975" s="4" t="s">
        <v>2657</v>
      </c>
      <c r="H3975" s="198" t="s">
        <v>521</v>
      </c>
      <c r="I3975" s="198"/>
      <c r="J3975" s="71" t="s">
        <v>2272</v>
      </c>
      <c r="K3975" s="71" t="s">
        <v>2272</v>
      </c>
      <c r="L3975" s="71" t="s">
        <v>2272</v>
      </c>
      <c r="M3975" s="71" t="s">
        <v>2272</v>
      </c>
      <c r="N3975" s="71" t="s">
        <v>2272</v>
      </c>
      <c r="O3975" s="71" t="s">
        <v>2272</v>
      </c>
      <c r="P3975" s="71" t="s">
        <v>2272</v>
      </c>
      <c r="Q3975" s="71" t="s">
        <v>2272</v>
      </c>
      <c r="R3975" s="71" t="s">
        <v>2272</v>
      </c>
      <c r="S3975" s="71" t="s">
        <v>2272</v>
      </c>
      <c r="T3975" s="71" t="s">
        <v>2272</v>
      </c>
      <c r="U3975" s="71" t="s">
        <v>2272</v>
      </c>
      <c r="V3975" s="71" t="s">
        <v>2272</v>
      </c>
      <c r="W3975" s="71" t="s">
        <v>2272</v>
      </c>
      <c r="X3975" s="71" t="s">
        <v>2272</v>
      </c>
      <c r="Y3975" s="71" t="s">
        <v>2272</v>
      </c>
      <c r="Z3975" s="71" t="s">
        <v>2272</v>
      </c>
      <c r="AA3975" s="71" t="s">
        <v>2272</v>
      </c>
      <c r="AB3975" s="71" t="s">
        <v>2272</v>
      </c>
      <c r="AC3975" s="71" t="s">
        <v>2272</v>
      </c>
      <c r="AD3975" s="198"/>
      <c r="AE3975" s="198"/>
    </row>
    <row r="3976" spans="1:31" ht="50" customHeight="1">
      <c r="A3976" s="198" t="s">
        <v>10244</v>
      </c>
      <c r="B3976" s="198" t="s">
        <v>11581</v>
      </c>
      <c r="C3976" s="198" t="s">
        <v>2653</v>
      </c>
      <c r="D3976" s="198" t="s">
        <v>1102</v>
      </c>
      <c r="E3976" s="198" t="s">
        <v>1102</v>
      </c>
      <c r="F3976" s="4" t="s">
        <v>2272</v>
      </c>
      <c r="G3976" s="4" t="s">
        <v>2657</v>
      </c>
      <c r="H3976" s="198" t="s">
        <v>521</v>
      </c>
      <c r="I3976" s="198"/>
      <c r="J3976" s="71" t="s">
        <v>2272</v>
      </c>
      <c r="K3976" s="21">
        <f>0.8*0.37*135000/6/'Record info'!$K$1598</f>
        <v>7.3999999999999996E-2</v>
      </c>
      <c r="L3976" s="71" t="s">
        <v>2272</v>
      </c>
      <c r="M3976" s="71" t="s">
        <v>2272</v>
      </c>
      <c r="N3976" s="71" t="s">
        <v>2272</v>
      </c>
      <c r="O3976" s="71" t="s">
        <v>2272</v>
      </c>
      <c r="P3976" s="71" t="s">
        <v>2272</v>
      </c>
      <c r="Q3976" s="71" t="s">
        <v>2272</v>
      </c>
      <c r="R3976" s="71" t="s">
        <v>2272</v>
      </c>
      <c r="S3976" s="71" t="s">
        <v>2272</v>
      </c>
      <c r="T3976" s="71" t="s">
        <v>2272</v>
      </c>
      <c r="U3976" s="71" t="s">
        <v>2272</v>
      </c>
      <c r="V3976" s="71" t="s">
        <v>2272</v>
      </c>
      <c r="W3976" s="71" t="s">
        <v>2272</v>
      </c>
      <c r="X3976" s="71" t="s">
        <v>2272</v>
      </c>
      <c r="Y3976" s="71" t="s">
        <v>2272</v>
      </c>
      <c r="Z3976" s="71" t="s">
        <v>2272</v>
      </c>
      <c r="AA3976" s="198" t="s">
        <v>33</v>
      </c>
      <c r="AB3976" s="198" t="s">
        <v>34</v>
      </c>
      <c r="AC3976" s="198" t="s">
        <v>2650</v>
      </c>
      <c r="AD3976" s="198"/>
      <c r="AE3976" s="198"/>
    </row>
    <row r="3977" spans="1:31" ht="57" customHeight="1">
      <c r="A3977" s="198" t="s">
        <v>10244</v>
      </c>
      <c r="B3977" s="198" t="s">
        <v>11582</v>
      </c>
      <c r="C3977" s="198" t="s">
        <v>2653</v>
      </c>
      <c r="D3977" s="198" t="s">
        <v>1102</v>
      </c>
      <c r="E3977" s="198" t="s">
        <v>1102</v>
      </c>
      <c r="F3977" s="4" t="s">
        <v>2272</v>
      </c>
      <c r="G3977" s="4" t="s">
        <v>73</v>
      </c>
      <c r="H3977" s="198" t="s">
        <v>521</v>
      </c>
      <c r="I3977" s="198"/>
      <c r="J3977" s="71" t="s">
        <v>2272</v>
      </c>
      <c r="K3977" s="21">
        <f>0.8*0.56*135000/6/'Record info'!$K$1598</f>
        <v>0.11200000000000002</v>
      </c>
      <c r="L3977" s="71" t="s">
        <v>2272</v>
      </c>
      <c r="M3977" s="71" t="s">
        <v>2272</v>
      </c>
      <c r="N3977" s="71" t="s">
        <v>2272</v>
      </c>
      <c r="O3977" s="71" t="s">
        <v>2272</v>
      </c>
      <c r="P3977" s="71" t="s">
        <v>2272</v>
      </c>
      <c r="Q3977" s="71" t="s">
        <v>2272</v>
      </c>
      <c r="R3977" s="71" t="s">
        <v>2272</v>
      </c>
      <c r="S3977" s="71" t="s">
        <v>2272</v>
      </c>
      <c r="T3977" s="71" t="s">
        <v>2272</v>
      </c>
      <c r="U3977" s="71" t="s">
        <v>2272</v>
      </c>
      <c r="V3977" s="71" t="s">
        <v>2272</v>
      </c>
      <c r="W3977" s="71" t="s">
        <v>2272</v>
      </c>
      <c r="X3977" s="71" t="s">
        <v>2272</v>
      </c>
      <c r="Y3977" s="71" t="s">
        <v>2272</v>
      </c>
      <c r="Z3977" s="71" t="s">
        <v>2272</v>
      </c>
      <c r="AA3977" s="198" t="s">
        <v>33</v>
      </c>
      <c r="AB3977" s="198" t="s">
        <v>34</v>
      </c>
      <c r="AC3977" s="198" t="s">
        <v>2650</v>
      </c>
      <c r="AD3977" s="198"/>
      <c r="AE3977" s="198"/>
    </row>
    <row r="3978" spans="1:31" ht="56.5" customHeight="1">
      <c r="A3978" s="198" t="s">
        <v>10244</v>
      </c>
      <c r="B3978" s="198" t="s">
        <v>11583</v>
      </c>
      <c r="C3978" s="198" t="s">
        <v>2653</v>
      </c>
      <c r="D3978" s="198" t="s">
        <v>1102</v>
      </c>
      <c r="E3978" s="198" t="s">
        <v>1102</v>
      </c>
      <c r="F3978" s="4" t="s">
        <v>2272</v>
      </c>
      <c r="G3978" s="4" t="s">
        <v>2272</v>
      </c>
      <c r="H3978" s="198" t="s">
        <v>521</v>
      </c>
      <c r="I3978" s="198"/>
      <c r="J3978" s="71" t="s">
        <v>2272</v>
      </c>
      <c r="K3978" s="21">
        <f>0.8*0.07*135000/6/'Record info'!$K$1598</f>
        <v>1.4000000000000002E-2</v>
      </c>
      <c r="L3978" s="71" t="s">
        <v>2272</v>
      </c>
      <c r="M3978" s="71" t="s">
        <v>2272</v>
      </c>
      <c r="N3978" s="71" t="s">
        <v>2272</v>
      </c>
      <c r="O3978" s="71" t="s">
        <v>2272</v>
      </c>
      <c r="P3978" s="71" t="s">
        <v>2272</v>
      </c>
      <c r="Q3978" s="71" t="s">
        <v>2272</v>
      </c>
      <c r="R3978" s="71" t="s">
        <v>2272</v>
      </c>
      <c r="S3978" s="71" t="s">
        <v>2272</v>
      </c>
      <c r="T3978" s="71" t="s">
        <v>2272</v>
      </c>
      <c r="U3978" s="71" t="s">
        <v>2272</v>
      </c>
      <c r="V3978" s="71" t="s">
        <v>2272</v>
      </c>
      <c r="W3978" s="71" t="s">
        <v>2272</v>
      </c>
      <c r="X3978" s="71" t="s">
        <v>2272</v>
      </c>
      <c r="Y3978" s="71" t="s">
        <v>2272</v>
      </c>
      <c r="Z3978" s="71" t="s">
        <v>2272</v>
      </c>
      <c r="AA3978" s="198" t="s">
        <v>33</v>
      </c>
      <c r="AB3978" s="198" t="s">
        <v>34</v>
      </c>
      <c r="AC3978" s="198" t="s">
        <v>2650</v>
      </c>
      <c r="AD3978" s="198"/>
      <c r="AE3978" s="198"/>
    </row>
    <row r="3979" spans="1:31" ht="54.5" customHeight="1">
      <c r="A3979" s="198" t="s">
        <v>10244</v>
      </c>
      <c r="B3979" s="198" t="s">
        <v>11584</v>
      </c>
      <c r="C3979" s="198" t="s">
        <v>23</v>
      </c>
      <c r="D3979" s="198" t="s">
        <v>24</v>
      </c>
      <c r="E3979" s="198" t="s">
        <v>44</v>
      </c>
      <c r="F3979" s="4" t="s">
        <v>2272</v>
      </c>
      <c r="G3979" s="4" t="s">
        <v>2657</v>
      </c>
      <c r="H3979" s="198" t="s">
        <v>521</v>
      </c>
      <c r="I3979" s="198"/>
      <c r="J3979" s="71" t="s">
        <v>2272</v>
      </c>
      <c r="K3979" s="21">
        <f>0.2*(0.78/0.96)*135000/6/'Record info'!$K$1598</f>
        <v>4.0625000000000008E-2</v>
      </c>
      <c r="L3979" s="71" t="s">
        <v>2272</v>
      </c>
      <c r="M3979" s="71" t="s">
        <v>2272</v>
      </c>
      <c r="N3979" s="71" t="s">
        <v>2272</v>
      </c>
      <c r="O3979" s="71" t="s">
        <v>2272</v>
      </c>
      <c r="P3979" s="71" t="s">
        <v>2272</v>
      </c>
      <c r="Q3979" s="71" t="s">
        <v>2272</v>
      </c>
      <c r="R3979" s="71" t="s">
        <v>2272</v>
      </c>
      <c r="S3979" s="71" t="s">
        <v>2272</v>
      </c>
      <c r="T3979" s="71" t="s">
        <v>2272</v>
      </c>
      <c r="U3979" s="71" t="s">
        <v>2272</v>
      </c>
      <c r="V3979" s="71" t="s">
        <v>2272</v>
      </c>
      <c r="W3979" s="71" t="s">
        <v>2272</v>
      </c>
      <c r="X3979" s="71" t="s">
        <v>2272</v>
      </c>
      <c r="Y3979" s="71" t="s">
        <v>2272</v>
      </c>
      <c r="Z3979" s="71" t="s">
        <v>2272</v>
      </c>
      <c r="AA3979" s="198" t="s">
        <v>402</v>
      </c>
      <c r="AB3979" s="198" t="s">
        <v>34</v>
      </c>
      <c r="AC3979" s="198" t="s">
        <v>63</v>
      </c>
      <c r="AD3979" s="4" t="s">
        <v>10247</v>
      </c>
      <c r="AE3979" s="198"/>
    </row>
    <row r="3980" spans="1:31" ht="57" customHeight="1">
      <c r="A3980" s="198" t="s">
        <v>10244</v>
      </c>
      <c r="B3980" s="198" t="s">
        <v>11585</v>
      </c>
      <c r="C3980" s="198" t="s">
        <v>2453</v>
      </c>
      <c r="D3980" s="198" t="s">
        <v>24</v>
      </c>
      <c r="E3980" s="198" t="s">
        <v>44</v>
      </c>
      <c r="F3980" s="4" t="s">
        <v>2272</v>
      </c>
      <c r="G3980" s="4" t="s">
        <v>73</v>
      </c>
      <c r="H3980" s="198" t="s">
        <v>521</v>
      </c>
      <c r="I3980" s="198"/>
      <c r="J3980" s="71" t="s">
        <v>2272</v>
      </c>
      <c r="K3980" s="21">
        <f>0.2*(0.18/0.96)*135000/6/'Record info'!$K$1598</f>
        <v>9.3750000000000014E-3</v>
      </c>
      <c r="L3980" s="71" t="s">
        <v>2272</v>
      </c>
      <c r="M3980" s="71" t="s">
        <v>2272</v>
      </c>
      <c r="N3980" s="71" t="s">
        <v>2272</v>
      </c>
      <c r="O3980" s="71" t="s">
        <v>2272</v>
      </c>
      <c r="P3980" s="71" t="s">
        <v>2272</v>
      </c>
      <c r="Q3980" s="71" t="s">
        <v>2272</v>
      </c>
      <c r="R3980" s="71" t="s">
        <v>2272</v>
      </c>
      <c r="S3980" s="71" t="s">
        <v>2272</v>
      </c>
      <c r="T3980" s="71" t="s">
        <v>2272</v>
      </c>
      <c r="U3980" s="71" t="s">
        <v>2272</v>
      </c>
      <c r="V3980" s="71" t="s">
        <v>2272</v>
      </c>
      <c r="W3980" s="71" t="s">
        <v>2272</v>
      </c>
      <c r="X3980" s="71" t="s">
        <v>2272</v>
      </c>
      <c r="Y3980" s="71" t="s">
        <v>2272</v>
      </c>
      <c r="Z3980" s="71" t="s">
        <v>2272</v>
      </c>
      <c r="AA3980" s="198" t="s">
        <v>402</v>
      </c>
      <c r="AB3980" s="198" t="s">
        <v>34</v>
      </c>
      <c r="AC3980" s="198" t="s">
        <v>63</v>
      </c>
      <c r="AD3980" s="4" t="s">
        <v>10247</v>
      </c>
      <c r="AE3980" s="198"/>
    </row>
    <row r="3981" spans="1:31" ht="50.5" customHeight="1">
      <c r="A3981" s="198" t="s">
        <v>10244</v>
      </c>
      <c r="B3981" s="198" t="s">
        <v>11586</v>
      </c>
      <c r="C3981" s="4" t="s">
        <v>23</v>
      </c>
      <c r="D3981" s="4" t="s">
        <v>2654</v>
      </c>
      <c r="E3981" s="4" t="s">
        <v>2272</v>
      </c>
      <c r="F3981" s="4" t="s">
        <v>27</v>
      </c>
      <c r="G3981" s="4" t="s">
        <v>27</v>
      </c>
      <c r="H3981" s="4" t="s">
        <v>521</v>
      </c>
      <c r="I3981" s="198"/>
      <c r="J3981" s="71" t="s">
        <v>2272</v>
      </c>
      <c r="K3981" s="71" t="s">
        <v>2272</v>
      </c>
      <c r="L3981" s="71" t="s">
        <v>2272</v>
      </c>
      <c r="M3981" s="71" t="s">
        <v>2272</v>
      </c>
      <c r="N3981" s="71" t="s">
        <v>2272</v>
      </c>
      <c r="O3981" s="71" t="s">
        <v>2272</v>
      </c>
      <c r="P3981" s="71" t="s">
        <v>2272</v>
      </c>
      <c r="Q3981" s="71" t="s">
        <v>2272</v>
      </c>
      <c r="R3981" s="71" t="s">
        <v>2272</v>
      </c>
      <c r="S3981" s="71" t="s">
        <v>2272</v>
      </c>
      <c r="T3981" s="71" t="s">
        <v>2272</v>
      </c>
      <c r="U3981" s="71" t="s">
        <v>2272</v>
      </c>
      <c r="V3981" s="71" t="s">
        <v>2272</v>
      </c>
      <c r="W3981" s="71" t="s">
        <v>2272</v>
      </c>
      <c r="X3981" s="71" t="s">
        <v>2272</v>
      </c>
      <c r="Y3981" s="71" t="s">
        <v>2272</v>
      </c>
      <c r="Z3981" s="71" t="s">
        <v>2272</v>
      </c>
      <c r="AA3981" s="71" t="s">
        <v>2272</v>
      </c>
      <c r="AB3981" s="71" t="s">
        <v>2272</v>
      </c>
      <c r="AC3981" s="71" t="s">
        <v>2272</v>
      </c>
      <c r="AD3981" s="198"/>
      <c r="AE3981" s="198"/>
    </row>
    <row r="3982" spans="1:31" ht="52" customHeight="1">
      <c r="A3982" s="198" t="s">
        <v>10244</v>
      </c>
      <c r="B3982" s="198" t="s">
        <v>11587</v>
      </c>
      <c r="C3982" s="4" t="s">
        <v>2453</v>
      </c>
      <c r="D3982" s="4" t="s">
        <v>2654</v>
      </c>
      <c r="E3982" s="4" t="s">
        <v>2272</v>
      </c>
      <c r="F3982" s="4" t="s">
        <v>27</v>
      </c>
      <c r="G3982" s="4" t="s">
        <v>2657</v>
      </c>
      <c r="H3982" s="4" t="s">
        <v>521</v>
      </c>
      <c r="I3982" s="198"/>
      <c r="J3982" s="71" t="s">
        <v>2272</v>
      </c>
      <c r="K3982" s="71" t="s">
        <v>2272</v>
      </c>
      <c r="L3982" s="71" t="s">
        <v>2272</v>
      </c>
      <c r="M3982" s="71" t="s">
        <v>2272</v>
      </c>
      <c r="N3982" s="71" t="s">
        <v>2272</v>
      </c>
      <c r="O3982" s="71" t="s">
        <v>2272</v>
      </c>
      <c r="P3982" s="71" t="s">
        <v>2272</v>
      </c>
      <c r="Q3982" s="71" t="s">
        <v>2272</v>
      </c>
      <c r="R3982" s="71" t="s">
        <v>2272</v>
      </c>
      <c r="S3982" s="71" t="s">
        <v>2272</v>
      </c>
      <c r="T3982" s="71" t="s">
        <v>2272</v>
      </c>
      <c r="U3982" s="71" t="s">
        <v>2272</v>
      </c>
      <c r="V3982" s="71" t="s">
        <v>2272</v>
      </c>
      <c r="W3982" s="71" t="s">
        <v>2272</v>
      </c>
      <c r="X3982" s="71" t="s">
        <v>2272</v>
      </c>
      <c r="Y3982" s="71" t="s">
        <v>2272</v>
      </c>
      <c r="Z3982" s="71" t="s">
        <v>2272</v>
      </c>
      <c r="AA3982" s="71" t="s">
        <v>2272</v>
      </c>
      <c r="AB3982" s="71" t="s">
        <v>2272</v>
      </c>
      <c r="AC3982" s="71" t="s">
        <v>2272</v>
      </c>
      <c r="AD3982" s="198"/>
      <c r="AE3982" s="198"/>
    </row>
    <row r="3983" spans="1:31" ht="49.5" customHeight="1">
      <c r="A3983" s="198" t="s">
        <v>10244</v>
      </c>
      <c r="B3983" s="198" t="s">
        <v>11588</v>
      </c>
      <c r="C3983" s="4" t="s">
        <v>2653</v>
      </c>
      <c r="D3983" s="4" t="s">
        <v>2272</v>
      </c>
      <c r="E3983" s="4" t="s">
        <v>2648</v>
      </c>
      <c r="F3983" s="4" t="s">
        <v>2272</v>
      </c>
      <c r="G3983" s="4" t="s">
        <v>2657</v>
      </c>
      <c r="H3983" s="4" t="s">
        <v>521</v>
      </c>
      <c r="I3983" s="198"/>
      <c r="J3983" s="71" t="s">
        <v>2272</v>
      </c>
      <c r="K3983" s="71" t="s">
        <v>2272</v>
      </c>
      <c r="L3983" s="71" t="s">
        <v>2272</v>
      </c>
      <c r="M3983" s="71" t="s">
        <v>2272</v>
      </c>
      <c r="N3983" s="71" t="s">
        <v>2272</v>
      </c>
      <c r="O3983" s="71" t="s">
        <v>2272</v>
      </c>
      <c r="P3983" s="71" t="s">
        <v>2272</v>
      </c>
      <c r="Q3983" s="71" t="s">
        <v>2272</v>
      </c>
      <c r="R3983" s="71" t="s">
        <v>2272</v>
      </c>
      <c r="S3983" s="71" t="s">
        <v>2272</v>
      </c>
      <c r="T3983" s="71" t="s">
        <v>2272</v>
      </c>
      <c r="U3983" s="71" t="s">
        <v>2272</v>
      </c>
      <c r="V3983" s="71" t="s">
        <v>2272</v>
      </c>
      <c r="W3983" s="71" t="s">
        <v>2272</v>
      </c>
      <c r="X3983" s="71" t="s">
        <v>2272</v>
      </c>
      <c r="Y3983" s="71" t="s">
        <v>2272</v>
      </c>
      <c r="Z3983" s="71" t="s">
        <v>2272</v>
      </c>
      <c r="AA3983" s="71" t="s">
        <v>2272</v>
      </c>
      <c r="AB3983" s="71" t="s">
        <v>2272</v>
      </c>
      <c r="AC3983" s="71" t="s">
        <v>2272</v>
      </c>
      <c r="AD3983" s="198"/>
      <c r="AE3983" s="4" t="s">
        <v>10248</v>
      </c>
    </row>
    <row r="3984" spans="1:31" ht="49.5" customHeight="1">
      <c r="A3984" s="4" t="s">
        <v>10249</v>
      </c>
      <c r="B3984" s="4" t="s">
        <v>11589</v>
      </c>
      <c r="C3984" s="198" t="s">
        <v>1102</v>
      </c>
      <c r="D3984" s="198" t="s">
        <v>1102</v>
      </c>
      <c r="E3984" s="198" t="s">
        <v>1102</v>
      </c>
      <c r="F3984" s="4" t="s">
        <v>2272</v>
      </c>
      <c r="G3984" s="4" t="s">
        <v>2272</v>
      </c>
      <c r="H3984" s="4" t="s">
        <v>521</v>
      </c>
      <c r="I3984" s="198"/>
      <c r="J3984" s="21">
        <f>13377/5/'Record info'!$K1599</f>
        <v>0.11105853051058531</v>
      </c>
      <c r="K3984" s="21">
        <f>13377/5/'Record info'!$K1599</f>
        <v>0.11105853051058531</v>
      </c>
      <c r="L3984" s="71" t="s">
        <v>2272</v>
      </c>
      <c r="M3984" s="71" t="s">
        <v>2272</v>
      </c>
      <c r="N3984" s="71" t="s">
        <v>2272</v>
      </c>
      <c r="O3984" s="71" t="s">
        <v>2272</v>
      </c>
      <c r="P3984" s="71" t="s">
        <v>2272</v>
      </c>
      <c r="Q3984" s="71" t="s">
        <v>2272</v>
      </c>
      <c r="R3984" s="71" t="s">
        <v>2272</v>
      </c>
      <c r="S3984" s="71" t="s">
        <v>2272</v>
      </c>
      <c r="T3984" s="71" t="s">
        <v>2272</v>
      </c>
      <c r="U3984" s="71" t="s">
        <v>2272</v>
      </c>
      <c r="V3984" s="71" t="s">
        <v>2272</v>
      </c>
      <c r="W3984" s="71" t="s">
        <v>2272</v>
      </c>
      <c r="X3984" s="71" t="s">
        <v>2272</v>
      </c>
      <c r="Y3984" s="71" t="s">
        <v>2272</v>
      </c>
      <c r="Z3984" s="71" t="s">
        <v>2272</v>
      </c>
      <c r="AA3984" s="71" t="s">
        <v>2272</v>
      </c>
      <c r="AB3984" s="71" t="s">
        <v>2272</v>
      </c>
      <c r="AC3984" s="71" t="s">
        <v>2272</v>
      </c>
      <c r="AD3984" s="198"/>
      <c r="AE3984" s="198"/>
    </row>
    <row r="3985" spans="1:31" ht="49.5" customHeight="1">
      <c r="A3985" s="4" t="s">
        <v>10250</v>
      </c>
      <c r="B3985" s="4" t="s">
        <v>11590</v>
      </c>
      <c r="C3985" s="198" t="s">
        <v>1102</v>
      </c>
      <c r="D3985" s="198" t="s">
        <v>1102</v>
      </c>
      <c r="E3985" s="198" t="s">
        <v>1102</v>
      </c>
      <c r="F3985" s="4" t="s">
        <v>2272</v>
      </c>
      <c r="G3985" s="4" t="s">
        <v>2272</v>
      </c>
      <c r="H3985" s="4" t="s">
        <v>521</v>
      </c>
      <c r="I3985" s="198"/>
      <c r="J3985" s="21">
        <f>3023/5/'Record info'!$K1600</f>
        <v>0.15317963009880922</v>
      </c>
      <c r="K3985" s="21">
        <f>3023/5/'Record info'!$K1600</f>
        <v>0.15317963009880922</v>
      </c>
      <c r="L3985" s="71" t="s">
        <v>2272</v>
      </c>
      <c r="M3985" s="71" t="s">
        <v>2272</v>
      </c>
      <c r="N3985" s="71" t="s">
        <v>2272</v>
      </c>
      <c r="O3985" s="71" t="s">
        <v>2272</v>
      </c>
      <c r="P3985" s="71" t="s">
        <v>2272</v>
      </c>
      <c r="Q3985" s="71" t="s">
        <v>2272</v>
      </c>
      <c r="R3985" s="71" t="s">
        <v>2272</v>
      </c>
      <c r="S3985" s="71" t="s">
        <v>2272</v>
      </c>
      <c r="T3985" s="71" t="s">
        <v>2272</v>
      </c>
      <c r="U3985" s="71" t="s">
        <v>2272</v>
      </c>
      <c r="V3985" s="71" t="s">
        <v>2272</v>
      </c>
      <c r="W3985" s="71" t="s">
        <v>2272</v>
      </c>
      <c r="X3985" s="71" t="s">
        <v>2272</v>
      </c>
      <c r="Y3985" s="71" t="s">
        <v>2272</v>
      </c>
      <c r="Z3985" s="71" t="s">
        <v>2272</v>
      </c>
      <c r="AA3985" s="71" t="s">
        <v>2272</v>
      </c>
      <c r="AB3985" s="71" t="s">
        <v>2272</v>
      </c>
      <c r="AC3985" s="71" t="s">
        <v>2272</v>
      </c>
      <c r="AD3985" s="198"/>
      <c r="AE3985" s="198"/>
    </row>
    <row r="3986" spans="1:31" ht="49.5" customHeight="1">
      <c r="A3986" s="4" t="s">
        <v>10251</v>
      </c>
      <c r="B3986" s="4" t="s">
        <v>11591</v>
      </c>
      <c r="C3986" s="198" t="s">
        <v>1102</v>
      </c>
      <c r="D3986" s="198" t="s">
        <v>1102</v>
      </c>
      <c r="E3986" s="198" t="s">
        <v>1102</v>
      </c>
      <c r="F3986" s="4" t="s">
        <v>2272</v>
      </c>
      <c r="G3986" s="4" t="s">
        <v>2272</v>
      </c>
      <c r="H3986" s="4" t="s">
        <v>521</v>
      </c>
      <c r="I3986" s="198"/>
      <c r="J3986" s="21">
        <f>1331/24/'Record info'!$K1601</f>
        <v>5.0444181674852949E-3</v>
      </c>
      <c r="K3986" s="21">
        <f>1331/24/'Record info'!$K1601</f>
        <v>5.0444181674852949E-3</v>
      </c>
      <c r="L3986" s="71" t="s">
        <v>2272</v>
      </c>
      <c r="M3986" s="71" t="s">
        <v>2272</v>
      </c>
      <c r="N3986" s="71" t="s">
        <v>2272</v>
      </c>
      <c r="O3986" s="71" t="s">
        <v>2272</v>
      </c>
      <c r="P3986" s="71" t="s">
        <v>2272</v>
      </c>
      <c r="Q3986" s="71" t="s">
        <v>2272</v>
      </c>
      <c r="R3986" s="71" t="s">
        <v>2272</v>
      </c>
      <c r="S3986" s="71" t="s">
        <v>2272</v>
      </c>
      <c r="T3986" s="71" t="s">
        <v>2272</v>
      </c>
      <c r="U3986" s="71" t="s">
        <v>2272</v>
      </c>
      <c r="V3986" s="71" t="s">
        <v>2272</v>
      </c>
      <c r="W3986" s="71" t="s">
        <v>2272</v>
      </c>
      <c r="X3986" s="71" t="s">
        <v>2272</v>
      </c>
      <c r="Y3986" s="71" t="s">
        <v>2272</v>
      </c>
      <c r="Z3986" s="71" t="s">
        <v>2272</v>
      </c>
      <c r="AA3986" s="71" t="s">
        <v>2272</v>
      </c>
      <c r="AB3986" s="71" t="s">
        <v>2272</v>
      </c>
      <c r="AC3986" s="71" t="s">
        <v>2272</v>
      </c>
      <c r="AD3986" s="198"/>
      <c r="AE3986" s="198"/>
    </row>
    <row r="3987" spans="1:31" ht="56.5" customHeight="1">
      <c r="A3987" s="4" t="s">
        <v>10255</v>
      </c>
      <c r="B3987" s="4" t="s">
        <v>10257</v>
      </c>
      <c r="C3987" s="198" t="s">
        <v>2651</v>
      </c>
      <c r="D3987" s="198" t="s">
        <v>1102</v>
      </c>
      <c r="E3987" s="198" t="s">
        <v>1102</v>
      </c>
      <c r="F3987" s="4" t="s">
        <v>2272</v>
      </c>
      <c r="G3987" s="198" t="s">
        <v>73</v>
      </c>
      <c r="H3987" s="4" t="s">
        <v>521</v>
      </c>
      <c r="I3987" s="198"/>
      <c r="J3987" s="71" t="s">
        <v>2272</v>
      </c>
      <c r="K3987" s="71" t="s">
        <v>2272</v>
      </c>
      <c r="L3987" s="71" t="s">
        <v>2272</v>
      </c>
      <c r="M3987" s="71" t="s">
        <v>2272</v>
      </c>
      <c r="N3987" s="71" t="s">
        <v>2272</v>
      </c>
      <c r="O3987" s="71" t="s">
        <v>2272</v>
      </c>
      <c r="P3987" s="71" t="s">
        <v>2272</v>
      </c>
      <c r="Q3987" s="71" t="s">
        <v>2272</v>
      </c>
      <c r="R3987" s="71" t="s">
        <v>2272</v>
      </c>
      <c r="S3987" s="71" t="s">
        <v>2272</v>
      </c>
      <c r="T3987" s="71" t="s">
        <v>2272</v>
      </c>
      <c r="U3987" s="71" t="s">
        <v>2272</v>
      </c>
      <c r="V3987" s="71" t="s">
        <v>2272</v>
      </c>
      <c r="W3987" s="71" t="s">
        <v>2272</v>
      </c>
      <c r="X3987" s="71" t="s">
        <v>2272</v>
      </c>
      <c r="Y3987" s="71" t="s">
        <v>2272</v>
      </c>
      <c r="Z3987" s="71" t="s">
        <v>2272</v>
      </c>
      <c r="AA3987" s="71" t="s">
        <v>2272</v>
      </c>
      <c r="AB3987" s="71" t="s">
        <v>2272</v>
      </c>
      <c r="AC3987" s="71" t="s">
        <v>2272</v>
      </c>
      <c r="AD3987" s="198"/>
      <c r="AE3987" s="198"/>
    </row>
    <row r="3988" spans="1:31" ht="51.5" customHeight="1">
      <c r="A3988" s="4" t="s">
        <v>10255</v>
      </c>
      <c r="B3988" s="4" t="s">
        <v>10258</v>
      </c>
      <c r="C3988" s="198" t="s">
        <v>6617</v>
      </c>
      <c r="D3988" s="198" t="s">
        <v>2272</v>
      </c>
      <c r="E3988" s="198" t="s">
        <v>2272</v>
      </c>
      <c r="F3988" s="198" t="s">
        <v>2272</v>
      </c>
      <c r="G3988" s="198" t="s">
        <v>73</v>
      </c>
      <c r="H3988" s="4" t="s">
        <v>521</v>
      </c>
      <c r="I3988" s="198"/>
      <c r="J3988" s="71" t="s">
        <v>2272</v>
      </c>
      <c r="K3988" s="71" t="s">
        <v>2272</v>
      </c>
      <c r="L3988" s="71" t="s">
        <v>2272</v>
      </c>
      <c r="M3988" s="71" t="s">
        <v>2272</v>
      </c>
      <c r="N3988" s="71" t="s">
        <v>2272</v>
      </c>
      <c r="O3988" s="71" t="s">
        <v>2272</v>
      </c>
      <c r="P3988" s="71" t="s">
        <v>2272</v>
      </c>
      <c r="Q3988" s="71" t="s">
        <v>2272</v>
      </c>
      <c r="R3988" s="71" t="s">
        <v>2272</v>
      </c>
      <c r="S3988" s="71" t="s">
        <v>2272</v>
      </c>
      <c r="T3988" s="71" t="s">
        <v>2272</v>
      </c>
      <c r="U3988" s="71" t="s">
        <v>2272</v>
      </c>
      <c r="V3988" s="71" t="s">
        <v>2272</v>
      </c>
      <c r="W3988" s="71" t="s">
        <v>2272</v>
      </c>
      <c r="X3988" s="71" t="s">
        <v>2272</v>
      </c>
      <c r="Y3988" s="71" t="s">
        <v>2272</v>
      </c>
      <c r="Z3988" s="71" t="s">
        <v>2272</v>
      </c>
      <c r="AA3988" s="71" t="s">
        <v>2272</v>
      </c>
      <c r="AB3988" s="71" t="s">
        <v>2272</v>
      </c>
      <c r="AC3988" s="71" t="s">
        <v>2272</v>
      </c>
      <c r="AD3988" s="198"/>
      <c r="AE3988" s="198"/>
    </row>
    <row r="3989" spans="1:31" ht="55.5" customHeight="1">
      <c r="A3989" s="4" t="s">
        <v>10255</v>
      </c>
      <c r="B3989" s="4" t="s">
        <v>10259</v>
      </c>
      <c r="C3989" s="198" t="s">
        <v>23</v>
      </c>
      <c r="D3989" s="198" t="s">
        <v>60</v>
      </c>
      <c r="E3989" s="198" t="s">
        <v>2644</v>
      </c>
      <c r="F3989" s="4" t="s">
        <v>2272</v>
      </c>
      <c r="G3989" s="198" t="s">
        <v>73</v>
      </c>
      <c r="H3989" s="198" t="s">
        <v>522</v>
      </c>
      <c r="I3989" s="198"/>
      <c r="J3989" s="21">
        <v>0</v>
      </c>
      <c r="K3989" s="21">
        <v>0</v>
      </c>
      <c r="L3989" s="21">
        <v>0</v>
      </c>
      <c r="M3989" s="21">
        <v>0</v>
      </c>
      <c r="N3989" s="21">
        <v>0</v>
      </c>
      <c r="O3989" s="21">
        <v>0</v>
      </c>
      <c r="P3989" s="21">
        <v>0</v>
      </c>
      <c r="Q3989" s="21">
        <v>0</v>
      </c>
      <c r="R3989" s="21">
        <v>0</v>
      </c>
      <c r="S3989" s="21">
        <v>0</v>
      </c>
      <c r="T3989" s="21">
        <v>0</v>
      </c>
      <c r="U3989" s="21">
        <v>0</v>
      </c>
      <c r="V3989" s="21">
        <v>0</v>
      </c>
      <c r="W3989" s="21">
        <v>0</v>
      </c>
      <c r="X3989" s="21">
        <v>0</v>
      </c>
      <c r="Y3989" s="21">
        <v>0</v>
      </c>
      <c r="Z3989" s="71" t="s">
        <v>2272</v>
      </c>
      <c r="AA3989" s="71" t="s">
        <v>2272</v>
      </c>
      <c r="AB3989" s="71" t="s">
        <v>2272</v>
      </c>
      <c r="AC3989" s="71" t="s">
        <v>2272</v>
      </c>
      <c r="AD3989" s="198"/>
      <c r="AE3989" s="198" t="s">
        <v>10262</v>
      </c>
    </row>
    <row r="3990" spans="1:31" ht="57" customHeight="1">
      <c r="A3990" s="4" t="s">
        <v>10255</v>
      </c>
      <c r="B3990" s="4" t="s">
        <v>10260</v>
      </c>
      <c r="C3990" s="198" t="s">
        <v>23</v>
      </c>
      <c r="D3990" s="198" t="s">
        <v>60</v>
      </c>
      <c r="E3990" s="198" t="s">
        <v>860</v>
      </c>
      <c r="F3990" s="4" t="s">
        <v>2272</v>
      </c>
      <c r="G3990" s="198" t="s">
        <v>73</v>
      </c>
      <c r="H3990" s="198" t="s">
        <v>522</v>
      </c>
      <c r="I3990" s="198"/>
      <c r="J3990" s="21">
        <v>0</v>
      </c>
      <c r="K3990" s="21">
        <v>0</v>
      </c>
      <c r="L3990" s="21">
        <v>0</v>
      </c>
      <c r="M3990" s="21">
        <v>0</v>
      </c>
      <c r="N3990" s="21">
        <v>0</v>
      </c>
      <c r="O3990" s="21">
        <v>0</v>
      </c>
      <c r="P3990" s="21">
        <v>0</v>
      </c>
      <c r="Q3990" s="21">
        <v>0</v>
      </c>
      <c r="R3990" s="21">
        <v>0</v>
      </c>
      <c r="S3990" s="21">
        <v>0</v>
      </c>
      <c r="T3990" s="21">
        <v>0</v>
      </c>
      <c r="U3990" s="21">
        <v>0</v>
      </c>
      <c r="V3990" s="21">
        <v>0</v>
      </c>
      <c r="W3990" s="21">
        <v>0</v>
      </c>
      <c r="X3990" s="21">
        <v>0</v>
      </c>
      <c r="Y3990" s="21">
        <v>0</v>
      </c>
      <c r="Z3990" s="71" t="s">
        <v>2272</v>
      </c>
      <c r="AA3990" s="71" t="s">
        <v>2272</v>
      </c>
      <c r="AB3990" s="71" t="s">
        <v>2272</v>
      </c>
      <c r="AC3990" s="71" t="s">
        <v>2272</v>
      </c>
      <c r="AD3990" s="198"/>
      <c r="AE3990" s="198" t="s">
        <v>10262</v>
      </c>
    </row>
    <row r="3991" spans="1:31" ht="59" customHeight="1">
      <c r="A3991" s="4" t="s">
        <v>10255</v>
      </c>
      <c r="B3991" s="4" t="s">
        <v>10261</v>
      </c>
      <c r="C3991" s="198" t="s">
        <v>23</v>
      </c>
      <c r="D3991" s="198" t="s">
        <v>2272</v>
      </c>
      <c r="E3991" s="198" t="s">
        <v>114</v>
      </c>
      <c r="F3991" s="4" t="s">
        <v>2272</v>
      </c>
      <c r="G3991" s="198" t="s">
        <v>73</v>
      </c>
      <c r="H3991" s="198" t="s">
        <v>522</v>
      </c>
      <c r="I3991" s="198">
        <v>1980</v>
      </c>
      <c r="J3991" s="21">
        <v>0</v>
      </c>
      <c r="K3991" s="21">
        <v>0</v>
      </c>
      <c r="L3991" s="21">
        <v>0</v>
      </c>
      <c r="M3991" s="21">
        <v>0</v>
      </c>
      <c r="N3991" s="21">
        <v>0</v>
      </c>
      <c r="O3991" s="21">
        <v>0</v>
      </c>
      <c r="P3991" s="21">
        <v>0</v>
      </c>
      <c r="Q3991" s="21">
        <v>0</v>
      </c>
      <c r="R3991" s="21">
        <v>0</v>
      </c>
      <c r="S3991" s="21">
        <v>0</v>
      </c>
      <c r="T3991" s="21">
        <v>0</v>
      </c>
      <c r="U3991" s="21">
        <v>0</v>
      </c>
      <c r="V3991" s="21">
        <v>0</v>
      </c>
      <c r="W3991" s="21">
        <v>0</v>
      </c>
      <c r="X3991" s="21">
        <v>0</v>
      </c>
      <c r="Y3991" s="21">
        <v>0</v>
      </c>
      <c r="Z3991" s="71" t="s">
        <v>2272</v>
      </c>
      <c r="AA3991" s="71" t="s">
        <v>2272</v>
      </c>
      <c r="AB3991" s="71" t="s">
        <v>2272</v>
      </c>
      <c r="AC3991" s="71" t="s">
        <v>2272</v>
      </c>
      <c r="AD3991" s="198"/>
      <c r="AE3991" s="4" t="s">
        <v>10263</v>
      </c>
    </row>
    <row r="3992" spans="1:31" ht="56.5" customHeight="1">
      <c r="A3992" s="4" t="s">
        <v>10255</v>
      </c>
      <c r="B3992" s="4" t="s">
        <v>10265</v>
      </c>
      <c r="C3992" s="198" t="s">
        <v>23</v>
      </c>
      <c r="D3992" s="198" t="s">
        <v>2272</v>
      </c>
      <c r="E3992" s="198" t="s">
        <v>114</v>
      </c>
      <c r="F3992" s="4" t="s">
        <v>2272</v>
      </c>
      <c r="G3992" s="198" t="s">
        <v>73</v>
      </c>
      <c r="H3992" s="198" t="s">
        <v>521</v>
      </c>
      <c r="I3992" s="198">
        <v>1968</v>
      </c>
      <c r="J3992" s="71" t="s">
        <v>2272</v>
      </c>
      <c r="K3992" s="71" t="s">
        <v>2272</v>
      </c>
      <c r="L3992" s="71" t="s">
        <v>2272</v>
      </c>
      <c r="M3992" s="71" t="s">
        <v>2272</v>
      </c>
      <c r="N3992" s="71" t="s">
        <v>2272</v>
      </c>
      <c r="O3992" s="71" t="s">
        <v>2272</v>
      </c>
      <c r="P3992" s="71" t="s">
        <v>2272</v>
      </c>
      <c r="Q3992" s="71" t="s">
        <v>2272</v>
      </c>
      <c r="R3992" s="71" t="s">
        <v>2272</v>
      </c>
      <c r="S3992" s="71" t="s">
        <v>2272</v>
      </c>
      <c r="T3992" s="71" t="s">
        <v>2272</v>
      </c>
      <c r="U3992" s="71" t="s">
        <v>2272</v>
      </c>
      <c r="V3992" s="71" t="s">
        <v>2272</v>
      </c>
      <c r="W3992" s="71" t="s">
        <v>2272</v>
      </c>
      <c r="X3992" s="71" t="s">
        <v>2272</v>
      </c>
      <c r="Y3992" s="71" t="s">
        <v>2272</v>
      </c>
      <c r="Z3992" s="71" t="s">
        <v>2272</v>
      </c>
      <c r="AA3992" s="71" t="s">
        <v>2272</v>
      </c>
      <c r="AB3992" s="71" t="s">
        <v>2272</v>
      </c>
      <c r="AC3992" s="71" t="s">
        <v>2272</v>
      </c>
      <c r="AD3992" s="198"/>
      <c r="AE3992" s="4" t="s">
        <v>10266</v>
      </c>
    </row>
    <row r="3993" spans="1:31" ht="50" customHeight="1">
      <c r="A3993" s="4" t="s">
        <v>10267</v>
      </c>
      <c r="B3993" s="4" t="s">
        <v>10271</v>
      </c>
      <c r="C3993" s="198" t="s">
        <v>2453</v>
      </c>
      <c r="D3993" s="198" t="s">
        <v>2272</v>
      </c>
      <c r="E3993" s="198" t="s">
        <v>114</v>
      </c>
      <c r="F3993" s="4" t="s">
        <v>2272</v>
      </c>
      <c r="G3993" s="198" t="s">
        <v>73</v>
      </c>
      <c r="H3993" s="198" t="s">
        <v>521</v>
      </c>
      <c r="I3993" s="198"/>
      <c r="J3993" s="71" t="s">
        <v>2272</v>
      </c>
      <c r="K3993" s="71" t="s">
        <v>2272</v>
      </c>
      <c r="L3993" s="71" t="s">
        <v>2272</v>
      </c>
      <c r="M3993" s="71" t="s">
        <v>2272</v>
      </c>
      <c r="N3993" s="71" t="s">
        <v>2272</v>
      </c>
      <c r="O3993" s="71" t="s">
        <v>2272</v>
      </c>
      <c r="P3993" s="71" t="s">
        <v>2272</v>
      </c>
      <c r="Q3993" s="71" t="s">
        <v>2272</v>
      </c>
      <c r="R3993" s="71" t="s">
        <v>2272</v>
      </c>
      <c r="S3993" s="71" t="s">
        <v>2272</v>
      </c>
      <c r="T3993" s="71" t="s">
        <v>2272</v>
      </c>
      <c r="U3993" s="71" t="s">
        <v>2272</v>
      </c>
      <c r="V3993" s="71" t="s">
        <v>2272</v>
      </c>
      <c r="W3993" s="71" t="s">
        <v>2272</v>
      </c>
      <c r="X3993" s="71" t="s">
        <v>2272</v>
      </c>
      <c r="Y3993" s="71" t="s">
        <v>2272</v>
      </c>
      <c r="Z3993" s="71" t="s">
        <v>2272</v>
      </c>
      <c r="AA3993" s="71" t="s">
        <v>2272</v>
      </c>
      <c r="AB3993" s="71" t="s">
        <v>2272</v>
      </c>
      <c r="AC3993" s="71" t="s">
        <v>2272</v>
      </c>
      <c r="AD3993" s="198"/>
      <c r="AE3993" s="198"/>
    </row>
    <row r="3994" spans="1:31" ht="45" customHeight="1">
      <c r="A3994" s="4" t="s">
        <v>10274</v>
      </c>
      <c r="B3994" s="4" t="s">
        <v>10278</v>
      </c>
      <c r="C3994" s="198" t="s">
        <v>1102</v>
      </c>
      <c r="D3994" s="198" t="s">
        <v>2272</v>
      </c>
      <c r="E3994" s="198" t="s">
        <v>2272</v>
      </c>
      <c r="F3994" s="198" t="s">
        <v>2272</v>
      </c>
      <c r="G3994" s="198" t="s">
        <v>73</v>
      </c>
      <c r="H3994" s="198" t="s">
        <v>521</v>
      </c>
      <c r="I3994" s="198"/>
      <c r="J3994" s="71" t="s">
        <v>2272</v>
      </c>
      <c r="K3994" s="21">
        <f>0.075/10</f>
        <v>7.4999999999999997E-3</v>
      </c>
      <c r="L3994" s="71" t="s">
        <v>2272</v>
      </c>
      <c r="M3994" s="71" t="s">
        <v>2272</v>
      </c>
      <c r="N3994" s="71" t="s">
        <v>2272</v>
      </c>
      <c r="O3994" s="71" t="s">
        <v>2272</v>
      </c>
      <c r="P3994" s="71" t="s">
        <v>2272</v>
      </c>
      <c r="Q3994" s="21">
        <v>1.54</v>
      </c>
      <c r="R3994" s="71" t="s">
        <v>2272</v>
      </c>
      <c r="S3994" s="71" t="s">
        <v>2272</v>
      </c>
      <c r="T3994" s="71" t="s">
        <v>2272</v>
      </c>
      <c r="U3994" s="71" t="s">
        <v>2272</v>
      </c>
      <c r="V3994" s="71" t="s">
        <v>2272</v>
      </c>
      <c r="W3994" s="71" t="s">
        <v>2272</v>
      </c>
      <c r="X3994" s="71" t="s">
        <v>2272</v>
      </c>
      <c r="Y3994" s="21">
        <f>0.115/10</f>
        <v>1.15E-2</v>
      </c>
      <c r="Z3994" s="71" t="s">
        <v>2272</v>
      </c>
      <c r="AA3994" s="71" t="s">
        <v>2272</v>
      </c>
      <c r="AB3994" s="71" t="s">
        <v>2272</v>
      </c>
      <c r="AC3994" s="71" t="s">
        <v>2272</v>
      </c>
      <c r="AD3994" s="198"/>
      <c r="AE3994" s="198"/>
    </row>
    <row r="3995" spans="1:31" ht="45" customHeight="1">
      <c r="A3995" s="4" t="s">
        <v>10274</v>
      </c>
      <c r="B3995" s="4" t="s">
        <v>10279</v>
      </c>
      <c r="C3995" s="198" t="s">
        <v>2453</v>
      </c>
      <c r="D3995" s="198" t="s">
        <v>2272</v>
      </c>
      <c r="E3995" s="198" t="s">
        <v>2272</v>
      </c>
      <c r="F3995" s="198" t="s">
        <v>2272</v>
      </c>
      <c r="G3995" s="198" t="s">
        <v>73</v>
      </c>
      <c r="H3995" s="198" t="s">
        <v>521</v>
      </c>
      <c r="I3995" s="198"/>
      <c r="J3995" s="71" t="s">
        <v>2272</v>
      </c>
      <c r="K3995" s="212">
        <f>0.001/10</f>
        <v>1E-4</v>
      </c>
      <c r="L3995" s="71" t="s">
        <v>2272</v>
      </c>
      <c r="M3995" s="21">
        <v>20</v>
      </c>
      <c r="N3995" s="71" t="s">
        <v>2272</v>
      </c>
      <c r="O3995" s="71" t="s">
        <v>2272</v>
      </c>
      <c r="P3995" s="71" t="s">
        <v>2272</v>
      </c>
      <c r="Q3995" s="21">
        <v>553.33339999999998</v>
      </c>
      <c r="R3995" s="71" t="s">
        <v>2272</v>
      </c>
      <c r="S3995" s="71" t="s">
        <v>2272</v>
      </c>
      <c r="T3995" s="71" t="s">
        <v>2272</v>
      </c>
      <c r="U3995" s="71" t="s">
        <v>2272</v>
      </c>
      <c r="V3995" s="71" t="s">
        <v>2272</v>
      </c>
      <c r="W3995" s="71" t="s">
        <v>2272</v>
      </c>
      <c r="X3995" s="71" t="s">
        <v>2272</v>
      </c>
      <c r="Y3995" s="21">
        <f>0.04/10</f>
        <v>4.0000000000000001E-3</v>
      </c>
      <c r="Z3995" s="71" t="s">
        <v>2272</v>
      </c>
      <c r="AA3995" s="71" t="s">
        <v>2272</v>
      </c>
      <c r="AB3995" s="71" t="s">
        <v>2272</v>
      </c>
      <c r="AC3995" s="71" t="s">
        <v>2272</v>
      </c>
      <c r="AD3995" s="4" t="s">
        <v>10282</v>
      </c>
      <c r="AE3995" s="198"/>
    </row>
    <row r="3996" spans="1:31" ht="45" customHeight="1">
      <c r="A3996" s="4" t="s">
        <v>10274</v>
      </c>
      <c r="B3996" s="4" t="s">
        <v>10280</v>
      </c>
      <c r="C3996" s="198" t="s">
        <v>23</v>
      </c>
      <c r="D3996" s="198" t="s">
        <v>2654</v>
      </c>
      <c r="E3996" s="198" t="s">
        <v>82</v>
      </c>
      <c r="F3996" s="4" t="s">
        <v>27</v>
      </c>
      <c r="G3996" s="4" t="s">
        <v>27</v>
      </c>
      <c r="H3996" s="198" t="s">
        <v>521</v>
      </c>
      <c r="I3996" s="198"/>
      <c r="J3996" s="71" t="s">
        <v>2272</v>
      </c>
      <c r="K3996" s="71" t="s">
        <v>2272</v>
      </c>
      <c r="L3996" s="71" t="s">
        <v>2272</v>
      </c>
      <c r="M3996" s="71" t="s">
        <v>2272</v>
      </c>
      <c r="N3996" s="71" t="s">
        <v>2272</v>
      </c>
      <c r="O3996" s="71" t="s">
        <v>2272</v>
      </c>
      <c r="P3996" s="71" t="s">
        <v>2272</v>
      </c>
      <c r="Q3996" s="71" t="s">
        <v>2272</v>
      </c>
      <c r="R3996" s="71" t="s">
        <v>2272</v>
      </c>
      <c r="S3996" s="71" t="s">
        <v>2272</v>
      </c>
      <c r="T3996" s="71" t="s">
        <v>2272</v>
      </c>
      <c r="U3996" s="71" t="s">
        <v>2272</v>
      </c>
      <c r="V3996" s="71" t="s">
        <v>2272</v>
      </c>
      <c r="W3996" s="71" t="s">
        <v>2272</v>
      </c>
      <c r="X3996" s="71" t="s">
        <v>2272</v>
      </c>
      <c r="Y3996" s="71" t="s">
        <v>2272</v>
      </c>
      <c r="Z3996" s="71" t="s">
        <v>2272</v>
      </c>
      <c r="AA3996" s="71" t="s">
        <v>2272</v>
      </c>
      <c r="AB3996" s="71" t="s">
        <v>2272</v>
      </c>
      <c r="AC3996" s="71" t="s">
        <v>2272</v>
      </c>
      <c r="AD3996" s="198"/>
      <c r="AE3996" s="198"/>
    </row>
    <row r="3997" spans="1:31" ht="45" customHeight="1">
      <c r="A3997" s="4" t="s">
        <v>10274</v>
      </c>
      <c r="B3997" s="4" t="s">
        <v>10281</v>
      </c>
      <c r="C3997" s="198" t="s">
        <v>2453</v>
      </c>
      <c r="D3997" s="198" t="s">
        <v>2654</v>
      </c>
      <c r="E3997" s="198" t="s">
        <v>82</v>
      </c>
      <c r="F3997" s="4" t="s">
        <v>27</v>
      </c>
      <c r="G3997" s="198" t="s">
        <v>73</v>
      </c>
      <c r="H3997" s="198" t="s">
        <v>521</v>
      </c>
      <c r="I3997" s="198"/>
      <c r="J3997" s="71" t="s">
        <v>2272</v>
      </c>
      <c r="K3997" s="21">
        <f>SUM(K3994:K3995)*0.25</f>
        <v>1.9E-3</v>
      </c>
      <c r="L3997" s="71" t="s">
        <v>2272</v>
      </c>
      <c r="M3997" s="71" t="s">
        <v>2272</v>
      </c>
      <c r="N3997" s="71" t="s">
        <v>2272</v>
      </c>
      <c r="O3997" s="71" t="s">
        <v>2272</v>
      </c>
      <c r="P3997" s="71" t="s">
        <v>2272</v>
      </c>
      <c r="Q3997" s="71" t="s">
        <v>2272</v>
      </c>
      <c r="R3997" s="71" t="s">
        <v>2272</v>
      </c>
      <c r="S3997" s="71" t="s">
        <v>2272</v>
      </c>
      <c r="T3997" s="71" t="s">
        <v>2272</v>
      </c>
      <c r="U3997" s="71" t="s">
        <v>2272</v>
      </c>
      <c r="V3997" s="71" t="s">
        <v>2272</v>
      </c>
      <c r="W3997" s="71" t="s">
        <v>2272</v>
      </c>
      <c r="X3997" s="71" t="s">
        <v>2272</v>
      </c>
      <c r="Y3997" s="71" t="s">
        <v>2272</v>
      </c>
      <c r="Z3997" s="71" t="s">
        <v>2272</v>
      </c>
      <c r="AA3997" s="71" t="s">
        <v>2272</v>
      </c>
      <c r="AB3997" s="71" t="s">
        <v>2272</v>
      </c>
      <c r="AC3997" s="71" t="s">
        <v>2272</v>
      </c>
      <c r="AD3997" s="4" t="s">
        <v>10283</v>
      </c>
      <c r="AE3997" s="198"/>
    </row>
    <row r="3998" spans="1:31" ht="139" customHeight="1">
      <c r="A3998" s="198" t="s">
        <v>10288</v>
      </c>
      <c r="B3998" s="198" t="s">
        <v>10290</v>
      </c>
      <c r="C3998" s="198" t="s">
        <v>2453</v>
      </c>
      <c r="D3998" s="198" t="s">
        <v>2272</v>
      </c>
      <c r="E3998" s="198" t="s">
        <v>2272</v>
      </c>
      <c r="F3998" s="198" t="s">
        <v>2272</v>
      </c>
      <c r="G3998" s="198" t="s">
        <v>2272</v>
      </c>
      <c r="H3998" s="198" t="s">
        <v>521</v>
      </c>
      <c r="I3998" s="198"/>
      <c r="J3998" s="71" t="s">
        <v>2272</v>
      </c>
      <c r="K3998" s="21">
        <f>13513/16/'Record info'!$K1605</f>
        <v>1.4561422413793103E-2</v>
      </c>
      <c r="L3998" s="71" t="s">
        <v>2272</v>
      </c>
      <c r="M3998" s="21">
        <v>4.0000000000000001E-3</v>
      </c>
      <c r="N3998" s="71" t="s">
        <v>2272</v>
      </c>
      <c r="O3998" s="21">
        <v>476</v>
      </c>
      <c r="P3998" s="71" t="s">
        <v>2272</v>
      </c>
      <c r="Q3998" s="21">
        <v>0.82</v>
      </c>
      <c r="R3998" s="71" t="s">
        <v>2272</v>
      </c>
      <c r="S3998" s="71" t="s">
        <v>2272</v>
      </c>
      <c r="T3998" s="71" t="s">
        <v>2272</v>
      </c>
      <c r="U3998" s="71">
        <v>713.4</v>
      </c>
      <c r="V3998" s="71" t="s">
        <v>2272</v>
      </c>
      <c r="W3998" s="71" t="s">
        <v>2272</v>
      </c>
      <c r="X3998" s="71" t="s">
        <v>2272</v>
      </c>
      <c r="Y3998" s="71">
        <v>1.23</v>
      </c>
      <c r="Z3998" s="71" t="s">
        <v>2272</v>
      </c>
      <c r="AA3998" s="198" t="s">
        <v>37</v>
      </c>
      <c r="AB3998" s="198" t="s">
        <v>67</v>
      </c>
      <c r="AC3998" s="198" t="s">
        <v>2650</v>
      </c>
      <c r="AD3998" s="4" t="s">
        <v>10291</v>
      </c>
      <c r="AE3998" s="198"/>
    </row>
    <row r="3999" spans="1:31" ht="41" customHeight="1">
      <c r="A3999" s="198" t="s">
        <v>10288</v>
      </c>
      <c r="B3999" s="198" t="s">
        <v>10292</v>
      </c>
      <c r="C3999" s="198" t="s">
        <v>23</v>
      </c>
      <c r="D3999" s="198" t="s">
        <v>2272</v>
      </c>
      <c r="E3999" s="198" t="s">
        <v>2272</v>
      </c>
      <c r="F3999" s="198" t="s">
        <v>2272</v>
      </c>
      <c r="G3999" s="198" t="s">
        <v>2272</v>
      </c>
      <c r="H3999" s="198" t="s">
        <v>521</v>
      </c>
      <c r="I3999" s="198"/>
      <c r="J3999" s="71" t="s">
        <v>2272</v>
      </c>
      <c r="K3999" s="71" t="s">
        <v>2272</v>
      </c>
      <c r="L3999" s="71" t="s">
        <v>2272</v>
      </c>
      <c r="M3999" s="71" t="s">
        <v>2272</v>
      </c>
      <c r="N3999" s="71" t="s">
        <v>2272</v>
      </c>
      <c r="O3999" s="71" t="s">
        <v>2272</v>
      </c>
      <c r="P3999" s="71" t="s">
        <v>2272</v>
      </c>
      <c r="Q3999" s="71" t="s">
        <v>2272</v>
      </c>
      <c r="R3999" s="71" t="s">
        <v>2272</v>
      </c>
      <c r="S3999" s="71" t="s">
        <v>2272</v>
      </c>
      <c r="T3999" s="71" t="s">
        <v>2272</v>
      </c>
      <c r="U3999" s="71" t="s">
        <v>2272</v>
      </c>
      <c r="V3999" s="71" t="s">
        <v>2272</v>
      </c>
      <c r="W3999" s="71" t="s">
        <v>2272</v>
      </c>
      <c r="X3999" s="71" t="s">
        <v>2272</v>
      </c>
      <c r="Y3999" s="71" t="s">
        <v>2272</v>
      </c>
      <c r="Z3999" s="71" t="s">
        <v>2272</v>
      </c>
      <c r="AA3999" s="71" t="s">
        <v>2272</v>
      </c>
      <c r="AB3999" s="71" t="s">
        <v>2272</v>
      </c>
      <c r="AC3999" s="71" t="s">
        <v>2272</v>
      </c>
      <c r="AD3999" s="198"/>
      <c r="AE3999" s="198"/>
    </row>
    <row r="4000" spans="1:31" ht="41" customHeight="1">
      <c r="A4000" s="4" t="s">
        <v>10288</v>
      </c>
      <c r="B4000" s="4" t="s">
        <v>10293</v>
      </c>
      <c r="C4000" s="198" t="s">
        <v>2653</v>
      </c>
      <c r="D4000" s="198" t="s">
        <v>2272</v>
      </c>
      <c r="E4000" s="198" t="s">
        <v>2642</v>
      </c>
      <c r="F4000" s="198" t="s">
        <v>2272</v>
      </c>
      <c r="G4000" s="198" t="s">
        <v>2272</v>
      </c>
      <c r="H4000" s="198" t="s">
        <v>521</v>
      </c>
      <c r="I4000" s="198"/>
      <c r="J4000" s="71" t="s">
        <v>2272</v>
      </c>
      <c r="K4000" s="71" t="s">
        <v>2272</v>
      </c>
      <c r="L4000" s="71" t="s">
        <v>2272</v>
      </c>
      <c r="M4000" s="71" t="s">
        <v>2272</v>
      </c>
      <c r="N4000" s="71" t="s">
        <v>2272</v>
      </c>
      <c r="O4000" s="71" t="s">
        <v>2272</v>
      </c>
      <c r="P4000" s="71" t="s">
        <v>2272</v>
      </c>
      <c r="Q4000" s="71" t="s">
        <v>2272</v>
      </c>
      <c r="R4000" s="71" t="s">
        <v>2272</v>
      </c>
      <c r="S4000" s="71" t="s">
        <v>2272</v>
      </c>
      <c r="T4000" s="71" t="s">
        <v>2272</v>
      </c>
      <c r="U4000" s="71" t="s">
        <v>2272</v>
      </c>
      <c r="V4000" s="71" t="s">
        <v>2272</v>
      </c>
      <c r="W4000" s="71" t="s">
        <v>2272</v>
      </c>
      <c r="X4000" s="71" t="s">
        <v>2272</v>
      </c>
      <c r="Y4000" s="71" t="s">
        <v>2272</v>
      </c>
      <c r="Z4000" s="71" t="s">
        <v>2272</v>
      </c>
      <c r="AA4000" s="71" t="s">
        <v>2272</v>
      </c>
      <c r="AB4000" s="71" t="s">
        <v>2272</v>
      </c>
      <c r="AC4000" s="71" t="s">
        <v>2272</v>
      </c>
      <c r="AD4000" s="4" t="s">
        <v>10297</v>
      </c>
      <c r="AE4000" s="198"/>
    </row>
    <row r="4001" spans="1:31" ht="41" customHeight="1">
      <c r="A4001" s="4" t="s">
        <v>10288</v>
      </c>
      <c r="B4001" s="4" t="s">
        <v>10294</v>
      </c>
      <c r="C4001" s="198" t="s">
        <v>2653</v>
      </c>
      <c r="D4001" s="198" t="s">
        <v>2272</v>
      </c>
      <c r="E4001" s="198" t="s">
        <v>82</v>
      </c>
      <c r="F4001" s="198" t="s">
        <v>2272</v>
      </c>
      <c r="G4001" s="198" t="s">
        <v>2272</v>
      </c>
      <c r="H4001" s="198" t="s">
        <v>521</v>
      </c>
      <c r="I4001" s="198"/>
      <c r="J4001" s="71" t="s">
        <v>2272</v>
      </c>
      <c r="K4001" s="71" t="s">
        <v>2272</v>
      </c>
      <c r="L4001" s="71" t="s">
        <v>2272</v>
      </c>
      <c r="M4001" s="71" t="s">
        <v>2272</v>
      </c>
      <c r="N4001" s="71" t="s">
        <v>2272</v>
      </c>
      <c r="O4001" s="71" t="s">
        <v>2272</v>
      </c>
      <c r="P4001" s="71" t="s">
        <v>2272</v>
      </c>
      <c r="Q4001" s="71" t="s">
        <v>2272</v>
      </c>
      <c r="R4001" s="71" t="s">
        <v>2272</v>
      </c>
      <c r="S4001" s="71" t="s">
        <v>2272</v>
      </c>
      <c r="T4001" s="71" t="s">
        <v>2272</v>
      </c>
      <c r="U4001" s="71" t="s">
        <v>2272</v>
      </c>
      <c r="V4001" s="71" t="s">
        <v>2272</v>
      </c>
      <c r="W4001" s="71" t="s">
        <v>2272</v>
      </c>
      <c r="X4001" s="71" t="s">
        <v>2272</v>
      </c>
      <c r="Y4001" s="71" t="s">
        <v>2272</v>
      </c>
      <c r="Z4001" s="71" t="s">
        <v>2272</v>
      </c>
      <c r="AA4001" s="71" t="s">
        <v>2272</v>
      </c>
      <c r="AB4001" s="71" t="s">
        <v>2272</v>
      </c>
      <c r="AC4001" s="71" t="s">
        <v>2272</v>
      </c>
      <c r="AD4001" s="4" t="s">
        <v>10297</v>
      </c>
      <c r="AE4001" s="198"/>
    </row>
    <row r="4002" spans="1:31" ht="41" customHeight="1">
      <c r="A4002" s="4" t="s">
        <v>10288</v>
      </c>
      <c r="B4002" s="4" t="s">
        <v>10295</v>
      </c>
      <c r="C4002" s="198" t="s">
        <v>2653</v>
      </c>
      <c r="D4002" s="198" t="s">
        <v>2272</v>
      </c>
      <c r="E4002" s="198" t="s">
        <v>2648</v>
      </c>
      <c r="F4002" s="198" t="s">
        <v>2272</v>
      </c>
      <c r="G4002" s="198" t="s">
        <v>2272</v>
      </c>
      <c r="H4002" s="198" t="s">
        <v>521</v>
      </c>
      <c r="I4002" s="198"/>
      <c r="J4002" s="71" t="s">
        <v>2272</v>
      </c>
      <c r="K4002" s="71" t="s">
        <v>2272</v>
      </c>
      <c r="L4002" s="71" t="s">
        <v>2272</v>
      </c>
      <c r="M4002" s="71" t="s">
        <v>2272</v>
      </c>
      <c r="N4002" s="71" t="s">
        <v>2272</v>
      </c>
      <c r="O4002" s="71" t="s">
        <v>2272</v>
      </c>
      <c r="P4002" s="71" t="s">
        <v>2272</v>
      </c>
      <c r="Q4002" s="71" t="s">
        <v>2272</v>
      </c>
      <c r="R4002" s="71" t="s">
        <v>2272</v>
      </c>
      <c r="S4002" s="71" t="s">
        <v>2272</v>
      </c>
      <c r="T4002" s="71" t="s">
        <v>2272</v>
      </c>
      <c r="U4002" s="71" t="s">
        <v>2272</v>
      </c>
      <c r="V4002" s="71" t="s">
        <v>2272</v>
      </c>
      <c r="W4002" s="71" t="s">
        <v>2272</v>
      </c>
      <c r="X4002" s="71" t="s">
        <v>2272</v>
      </c>
      <c r="Y4002" s="71" t="s">
        <v>2272</v>
      </c>
      <c r="Z4002" s="71" t="s">
        <v>2272</v>
      </c>
      <c r="AA4002" s="71" t="s">
        <v>2272</v>
      </c>
      <c r="AB4002" s="71" t="s">
        <v>2272</v>
      </c>
      <c r="AC4002" s="71" t="s">
        <v>2272</v>
      </c>
      <c r="AD4002" s="4" t="s">
        <v>10297</v>
      </c>
      <c r="AE4002" s="198"/>
    </row>
    <row r="4003" spans="1:31" ht="64" customHeight="1">
      <c r="A4003" s="4" t="s">
        <v>10288</v>
      </c>
      <c r="B4003" s="4" t="s">
        <v>10296</v>
      </c>
      <c r="C4003" s="198" t="s">
        <v>23</v>
      </c>
      <c r="D4003" s="198" t="s">
        <v>142</v>
      </c>
      <c r="E4003" s="198" t="s">
        <v>2644</v>
      </c>
      <c r="F4003" s="4" t="s">
        <v>73</v>
      </c>
      <c r="G4003" s="4" t="s">
        <v>73</v>
      </c>
      <c r="H4003" s="198" t="s">
        <v>522</v>
      </c>
      <c r="I4003" s="198"/>
      <c r="J4003" s="21">
        <v>0</v>
      </c>
      <c r="K4003" s="21">
        <v>0</v>
      </c>
      <c r="L4003" s="21">
        <v>0</v>
      </c>
      <c r="M4003" s="21">
        <v>0</v>
      </c>
      <c r="N4003" s="21">
        <v>0</v>
      </c>
      <c r="O4003" s="21">
        <v>0</v>
      </c>
      <c r="P4003" s="21">
        <v>0</v>
      </c>
      <c r="Q4003" s="21">
        <v>0</v>
      </c>
      <c r="R4003" s="21">
        <v>0</v>
      </c>
      <c r="S4003" s="21">
        <v>0</v>
      </c>
      <c r="T4003" s="21">
        <v>0</v>
      </c>
      <c r="U4003" s="21">
        <v>0</v>
      </c>
      <c r="V4003" s="21">
        <v>0</v>
      </c>
      <c r="W4003" s="21">
        <v>0</v>
      </c>
      <c r="X4003" s="21">
        <v>0</v>
      </c>
      <c r="Y4003" s="21">
        <v>0</v>
      </c>
      <c r="Z4003" s="71" t="s">
        <v>2272</v>
      </c>
      <c r="AA4003" s="71" t="s">
        <v>2272</v>
      </c>
      <c r="AB4003" s="71" t="s">
        <v>2272</v>
      </c>
      <c r="AC4003" s="71" t="s">
        <v>2272</v>
      </c>
      <c r="AD4003" s="4" t="s">
        <v>10302</v>
      </c>
      <c r="AE4003" s="198"/>
    </row>
    <row r="4004" spans="1:31" ht="62.5" customHeight="1">
      <c r="A4004" s="4" t="s">
        <v>10304</v>
      </c>
      <c r="B4004" s="4" t="s">
        <v>10311</v>
      </c>
      <c r="C4004" s="198" t="s">
        <v>2453</v>
      </c>
      <c r="D4004" s="198" t="s">
        <v>2272</v>
      </c>
      <c r="E4004" s="198" t="s">
        <v>2272</v>
      </c>
      <c r="F4004" s="198" t="s">
        <v>2272</v>
      </c>
      <c r="G4004" s="198" t="s">
        <v>2272</v>
      </c>
      <c r="H4004" s="198" t="s">
        <v>521</v>
      </c>
      <c r="I4004" s="198"/>
      <c r="J4004" s="71" t="s">
        <v>2272</v>
      </c>
      <c r="K4004" s="21">
        <f>1683.1/3/'Record info'!$K1606</f>
        <v>6.011071428571429E-3</v>
      </c>
      <c r="L4004" s="71" t="s">
        <v>2272</v>
      </c>
      <c r="M4004" s="71" t="s">
        <v>2272</v>
      </c>
      <c r="N4004" s="71" t="s">
        <v>2272</v>
      </c>
      <c r="O4004" s="71" t="s">
        <v>2272</v>
      </c>
      <c r="P4004" s="71" t="s">
        <v>2272</v>
      </c>
      <c r="Q4004" s="71" t="s">
        <v>2272</v>
      </c>
      <c r="R4004" s="71" t="s">
        <v>2272</v>
      </c>
      <c r="S4004" s="71" t="s">
        <v>2272</v>
      </c>
      <c r="T4004" s="71" t="s">
        <v>2272</v>
      </c>
      <c r="U4004" s="71" t="s">
        <v>2272</v>
      </c>
      <c r="V4004" s="71" t="s">
        <v>2272</v>
      </c>
      <c r="W4004" s="71" t="s">
        <v>2272</v>
      </c>
      <c r="X4004" s="71" t="s">
        <v>2272</v>
      </c>
      <c r="Y4004" s="71" t="s">
        <v>2272</v>
      </c>
      <c r="Z4004" s="71" t="s">
        <v>2272</v>
      </c>
      <c r="AA4004" s="198" t="s">
        <v>37</v>
      </c>
      <c r="AB4004" s="198" t="s">
        <v>34</v>
      </c>
      <c r="AC4004" s="198" t="s">
        <v>2650</v>
      </c>
      <c r="AD4004" s="4" t="s">
        <v>10312</v>
      </c>
      <c r="AE4004" s="198"/>
    </row>
    <row r="4005" spans="1:31" ht="44" customHeight="1">
      <c r="A4005" s="4" t="s">
        <v>10304</v>
      </c>
      <c r="B4005" s="4" t="s">
        <v>10313</v>
      </c>
      <c r="C4005" s="198" t="s">
        <v>23</v>
      </c>
      <c r="D4005" s="198" t="s">
        <v>2989</v>
      </c>
      <c r="E4005" s="198" t="s">
        <v>2272</v>
      </c>
      <c r="F4005" s="198" t="s">
        <v>2272</v>
      </c>
      <c r="G4005" s="198" t="s">
        <v>2272</v>
      </c>
      <c r="H4005" s="198" t="s">
        <v>521</v>
      </c>
      <c r="I4005" s="198"/>
      <c r="J4005" s="71" t="s">
        <v>2272</v>
      </c>
      <c r="K4005" s="71" t="s">
        <v>2272</v>
      </c>
      <c r="L4005" s="71" t="s">
        <v>2272</v>
      </c>
      <c r="M4005" s="71" t="s">
        <v>2272</v>
      </c>
      <c r="N4005" s="71" t="s">
        <v>2272</v>
      </c>
      <c r="O4005" s="71" t="s">
        <v>2272</v>
      </c>
      <c r="P4005" s="71" t="s">
        <v>2272</v>
      </c>
      <c r="Q4005" s="71" t="s">
        <v>2272</v>
      </c>
      <c r="R4005" s="71" t="s">
        <v>2272</v>
      </c>
      <c r="S4005" s="71" t="s">
        <v>2272</v>
      </c>
      <c r="T4005" s="71" t="s">
        <v>2272</v>
      </c>
      <c r="U4005" s="71" t="s">
        <v>2272</v>
      </c>
      <c r="V4005" s="71" t="s">
        <v>2272</v>
      </c>
      <c r="W4005" s="71" t="s">
        <v>2272</v>
      </c>
      <c r="X4005" s="71" t="s">
        <v>2272</v>
      </c>
      <c r="Y4005" s="71" t="s">
        <v>2272</v>
      </c>
      <c r="Z4005" s="71" t="s">
        <v>2272</v>
      </c>
      <c r="AA4005" s="71" t="s">
        <v>2272</v>
      </c>
      <c r="AB4005" s="71" t="s">
        <v>2272</v>
      </c>
      <c r="AC4005" s="71" t="s">
        <v>2272</v>
      </c>
      <c r="AD4005" s="198"/>
      <c r="AE4005" s="198"/>
    </row>
    <row r="4006" spans="1:31" ht="41.5" customHeight="1">
      <c r="A4006" s="4" t="s">
        <v>10304</v>
      </c>
      <c r="B4006" s="4" t="s">
        <v>10314</v>
      </c>
      <c r="C4006" s="198" t="s">
        <v>23</v>
      </c>
      <c r="D4006" s="198" t="s">
        <v>2227</v>
      </c>
      <c r="E4006" s="198" t="s">
        <v>2272</v>
      </c>
      <c r="F4006" s="198" t="s">
        <v>2272</v>
      </c>
      <c r="G4006" s="198" t="s">
        <v>2272</v>
      </c>
      <c r="H4006" s="198" t="s">
        <v>521</v>
      </c>
      <c r="I4006" s="198"/>
      <c r="J4006" s="71" t="s">
        <v>2272</v>
      </c>
      <c r="K4006" s="71" t="s">
        <v>2272</v>
      </c>
      <c r="L4006" s="71" t="s">
        <v>2272</v>
      </c>
      <c r="M4006" s="71" t="s">
        <v>2272</v>
      </c>
      <c r="N4006" s="71" t="s">
        <v>2272</v>
      </c>
      <c r="O4006" s="71" t="s">
        <v>2272</v>
      </c>
      <c r="P4006" s="71" t="s">
        <v>2272</v>
      </c>
      <c r="Q4006" s="71" t="s">
        <v>2272</v>
      </c>
      <c r="R4006" s="71" t="s">
        <v>2272</v>
      </c>
      <c r="S4006" s="71" t="s">
        <v>2272</v>
      </c>
      <c r="T4006" s="71" t="s">
        <v>2272</v>
      </c>
      <c r="U4006" s="71" t="s">
        <v>2272</v>
      </c>
      <c r="V4006" s="71" t="s">
        <v>2272</v>
      </c>
      <c r="W4006" s="71" t="s">
        <v>2272</v>
      </c>
      <c r="X4006" s="71" t="s">
        <v>2272</v>
      </c>
      <c r="Y4006" s="71" t="s">
        <v>2272</v>
      </c>
      <c r="Z4006" s="71" t="s">
        <v>2272</v>
      </c>
      <c r="AA4006" s="71" t="s">
        <v>2272</v>
      </c>
      <c r="AB4006" s="71" t="s">
        <v>2272</v>
      </c>
      <c r="AC4006" s="71" t="s">
        <v>2272</v>
      </c>
      <c r="AD4006" s="198"/>
      <c r="AE4006" s="198"/>
    </row>
    <row r="4007" spans="1:31" ht="41.5" customHeight="1">
      <c r="A4007" s="4" t="s">
        <v>10304</v>
      </c>
      <c r="B4007" s="4" t="s">
        <v>10315</v>
      </c>
      <c r="C4007" s="198" t="s">
        <v>23</v>
      </c>
      <c r="D4007" s="198" t="s">
        <v>2342</v>
      </c>
      <c r="E4007" s="198" t="s">
        <v>2272</v>
      </c>
      <c r="F4007" s="198" t="s">
        <v>2272</v>
      </c>
      <c r="G4007" s="198" t="s">
        <v>2272</v>
      </c>
      <c r="H4007" s="198" t="s">
        <v>521</v>
      </c>
      <c r="I4007" s="198"/>
      <c r="J4007" s="71" t="s">
        <v>2272</v>
      </c>
      <c r="K4007" s="71" t="s">
        <v>2272</v>
      </c>
      <c r="L4007" s="71" t="s">
        <v>2272</v>
      </c>
      <c r="M4007" s="71" t="s">
        <v>2272</v>
      </c>
      <c r="N4007" s="71" t="s">
        <v>2272</v>
      </c>
      <c r="O4007" s="71" t="s">
        <v>2272</v>
      </c>
      <c r="P4007" s="71" t="s">
        <v>2272</v>
      </c>
      <c r="Q4007" s="71" t="s">
        <v>2272</v>
      </c>
      <c r="R4007" s="71" t="s">
        <v>2272</v>
      </c>
      <c r="S4007" s="71" t="s">
        <v>2272</v>
      </c>
      <c r="T4007" s="71" t="s">
        <v>2272</v>
      </c>
      <c r="U4007" s="71" t="s">
        <v>2272</v>
      </c>
      <c r="V4007" s="71" t="s">
        <v>2272</v>
      </c>
      <c r="W4007" s="71" t="s">
        <v>2272</v>
      </c>
      <c r="X4007" s="71" t="s">
        <v>2272</v>
      </c>
      <c r="Y4007" s="71" t="s">
        <v>2272</v>
      </c>
      <c r="Z4007" s="71" t="s">
        <v>2272</v>
      </c>
      <c r="AA4007" s="71" t="s">
        <v>2272</v>
      </c>
      <c r="AB4007" s="71" t="s">
        <v>2272</v>
      </c>
      <c r="AC4007" s="71" t="s">
        <v>2272</v>
      </c>
      <c r="AD4007" s="198"/>
      <c r="AE4007" s="198"/>
    </row>
    <row r="4008" spans="1:31" ht="41.5" customHeight="1">
      <c r="A4008" s="4" t="s">
        <v>10304</v>
      </c>
      <c r="B4008" s="4" t="s">
        <v>10316</v>
      </c>
      <c r="C4008" s="198" t="s">
        <v>23</v>
      </c>
      <c r="D4008" s="198" t="s">
        <v>1241</v>
      </c>
      <c r="E4008" s="198" t="s">
        <v>2272</v>
      </c>
      <c r="F4008" s="198" t="s">
        <v>2272</v>
      </c>
      <c r="G4008" s="198" t="s">
        <v>2272</v>
      </c>
      <c r="H4008" s="198" t="s">
        <v>521</v>
      </c>
      <c r="I4008" s="198"/>
      <c r="J4008" s="71" t="s">
        <v>2272</v>
      </c>
      <c r="K4008" s="71" t="s">
        <v>2272</v>
      </c>
      <c r="L4008" s="71" t="s">
        <v>2272</v>
      </c>
      <c r="M4008" s="71" t="s">
        <v>2272</v>
      </c>
      <c r="N4008" s="71" t="s">
        <v>2272</v>
      </c>
      <c r="O4008" s="71" t="s">
        <v>2272</v>
      </c>
      <c r="P4008" s="71" t="s">
        <v>2272</v>
      </c>
      <c r="Q4008" s="71" t="s">
        <v>2272</v>
      </c>
      <c r="R4008" s="71" t="s">
        <v>2272</v>
      </c>
      <c r="S4008" s="71" t="s">
        <v>2272</v>
      </c>
      <c r="T4008" s="71" t="s">
        <v>2272</v>
      </c>
      <c r="U4008" s="71" t="s">
        <v>2272</v>
      </c>
      <c r="V4008" s="71" t="s">
        <v>2272</v>
      </c>
      <c r="W4008" s="71" t="s">
        <v>2272</v>
      </c>
      <c r="X4008" s="71" t="s">
        <v>2272</v>
      </c>
      <c r="Y4008" s="71" t="s">
        <v>2272</v>
      </c>
      <c r="Z4008" s="71" t="s">
        <v>2272</v>
      </c>
      <c r="AA4008" s="71" t="s">
        <v>2272</v>
      </c>
      <c r="AB4008" s="71" t="s">
        <v>2272</v>
      </c>
      <c r="AC4008" s="71" t="s">
        <v>2272</v>
      </c>
      <c r="AD4008" s="198"/>
      <c r="AE4008" s="198"/>
    </row>
    <row r="4009" spans="1:31" ht="41.5" customHeight="1">
      <c r="A4009" s="4" t="s">
        <v>10304</v>
      </c>
      <c r="B4009" s="4" t="s">
        <v>10317</v>
      </c>
      <c r="C4009" s="198" t="s">
        <v>2453</v>
      </c>
      <c r="D4009" s="198" t="s">
        <v>2989</v>
      </c>
      <c r="E4009" s="198" t="s">
        <v>2272</v>
      </c>
      <c r="F4009" s="198" t="s">
        <v>2272</v>
      </c>
      <c r="G4009" s="198" t="s">
        <v>2272</v>
      </c>
      <c r="H4009" s="198" t="s">
        <v>521</v>
      </c>
      <c r="I4009" s="198"/>
      <c r="J4009" s="71" t="s">
        <v>2272</v>
      </c>
      <c r="K4009" s="71" t="s">
        <v>2272</v>
      </c>
      <c r="L4009" s="71" t="s">
        <v>2272</v>
      </c>
      <c r="M4009" s="71" t="s">
        <v>2272</v>
      </c>
      <c r="N4009" s="71" t="s">
        <v>2272</v>
      </c>
      <c r="O4009" s="71" t="s">
        <v>2272</v>
      </c>
      <c r="P4009" s="71" t="s">
        <v>2272</v>
      </c>
      <c r="Q4009" s="71" t="s">
        <v>2272</v>
      </c>
      <c r="R4009" s="71" t="s">
        <v>2272</v>
      </c>
      <c r="S4009" s="71" t="s">
        <v>2272</v>
      </c>
      <c r="T4009" s="71" t="s">
        <v>2272</v>
      </c>
      <c r="U4009" s="71" t="s">
        <v>2272</v>
      </c>
      <c r="V4009" s="71" t="s">
        <v>2272</v>
      </c>
      <c r="W4009" s="71" t="s">
        <v>2272</v>
      </c>
      <c r="X4009" s="71" t="s">
        <v>2272</v>
      </c>
      <c r="Y4009" s="71" t="s">
        <v>2272</v>
      </c>
      <c r="Z4009" s="71" t="s">
        <v>2272</v>
      </c>
      <c r="AA4009" s="71" t="s">
        <v>2272</v>
      </c>
      <c r="AB4009" s="71" t="s">
        <v>2272</v>
      </c>
      <c r="AC4009" s="71" t="s">
        <v>2272</v>
      </c>
      <c r="AD4009" s="198"/>
      <c r="AE4009" s="198"/>
    </row>
    <row r="4010" spans="1:31" ht="41.5" customHeight="1">
      <c r="A4010" s="4" t="s">
        <v>10304</v>
      </c>
      <c r="B4010" s="4" t="s">
        <v>10318</v>
      </c>
      <c r="C4010" s="198" t="s">
        <v>2453</v>
      </c>
      <c r="D4010" s="198" t="s">
        <v>2227</v>
      </c>
      <c r="E4010" s="198" t="s">
        <v>2272</v>
      </c>
      <c r="F4010" s="198" t="s">
        <v>2272</v>
      </c>
      <c r="G4010" s="198" t="s">
        <v>2272</v>
      </c>
      <c r="H4010" s="198" t="s">
        <v>521</v>
      </c>
      <c r="I4010" s="198"/>
      <c r="J4010" s="71" t="s">
        <v>2272</v>
      </c>
      <c r="K4010" s="71" t="s">
        <v>2272</v>
      </c>
      <c r="L4010" s="71" t="s">
        <v>2272</v>
      </c>
      <c r="M4010" s="71" t="s">
        <v>2272</v>
      </c>
      <c r="N4010" s="71" t="s">
        <v>2272</v>
      </c>
      <c r="O4010" s="71" t="s">
        <v>2272</v>
      </c>
      <c r="P4010" s="71" t="s">
        <v>2272</v>
      </c>
      <c r="Q4010" s="71" t="s">
        <v>2272</v>
      </c>
      <c r="R4010" s="71" t="s">
        <v>2272</v>
      </c>
      <c r="S4010" s="71" t="s">
        <v>2272</v>
      </c>
      <c r="T4010" s="71" t="s">
        <v>2272</v>
      </c>
      <c r="U4010" s="71" t="s">
        <v>2272</v>
      </c>
      <c r="V4010" s="71" t="s">
        <v>2272</v>
      </c>
      <c r="W4010" s="71" t="s">
        <v>2272</v>
      </c>
      <c r="X4010" s="71" t="s">
        <v>2272</v>
      </c>
      <c r="Y4010" s="71" t="s">
        <v>2272</v>
      </c>
      <c r="Z4010" s="71" t="s">
        <v>2272</v>
      </c>
      <c r="AA4010" s="71" t="s">
        <v>2272</v>
      </c>
      <c r="AB4010" s="71" t="s">
        <v>2272</v>
      </c>
      <c r="AC4010" s="71" t="s">
        <v>2272</v>
      </c>
      <c r="AD4010" s="198"/>
      <c r="AE4010" s="198"/>
    </row>
    <row r="4011" spans="1:31" ht="41.5" customHeight="1">
      <c r="A4011" s="4" t="s">
        <v>10304</v>
      </c>
      <c r="B4011" s="4" t="s">
        <v>10319</v>
      </c>
      <c r="C4011" s="198" t="s">
        <v>2453</v>
      </c>
      <c r="D4011" s="198" t="s">
        <v>1241</v>
      </c>
      <c r="E4011" s="198" t="s">
        <v>2272</v>
      </c>
      <c r="F4011" s="198" t="s">
        <v>2272</v>
      </c>
      <c r="G4011" s="198" t="s">
        <v>2272</v>
      </c>
      <c r="H4011" s="198" t="s">
        <v>521</v>
      </c>
      <c r="I4011" s="198"/>
      <c r="J4011" s="71" t="s">
        <v>2272</v>
      </c>
      <c r="K4011" s="71" t="s">
        <v>2272</v>
      </c>
      <c r="L4011" s="71" t="s">
        <v>2272</v>
      </c>
      <c r="M4011" s="71" t="s">
        <v>2272</v>
      </c>
      <c r="N4011" s="71" t="s">
        <v>2272</v>
      </c>
      <c r="O4011" s="71" t="s">
        <v>2272</v>
      </c>
      <c r="P4011" s="71" t="s">
        <v>2272</v>
      </c>
      <c r="Q4011" s="71" t="s">
        <v>2272</v>
      </c>
      <c r="R4011" s="71" t="s">
        <v>2272</v>
      </c>
      <c r="S4011" s="71" t="s">
        <v>2272</v>
      </c>
      <c r="T4011" s="71" t="s">
        <v>2272</v>
      </c>
      <c r="U4011" s="71" t="s">
        <v>2272</v>
      </c>
      <c r="V4011" s="71" t="s">
        <v>2272</v>
      </c>
      <c r="W4011" s="71" t="s">
        <v>2272</v>
      </c>
      <c r="X4011" s="71" t="s">
        <v>2272</v>
      </c>
      <c r="Y4011" s="71" t="s">
        <v>2272</v>
      </c>
      <c r="Z4011" s="71" t="s">
        <v>2272</v>
      </c>
      <c r="AA4011" s="71" t="s">
        <v>2272</v>
      </c>
      <c r="AB4011" s="71" t="s">
        <v>2272</v>
      </c>
      <c r="AC4011" s="71" t="s">
        <v>2272</v>
      </c>
      <c r="AD4011" s="198"/>
      <c r="AE4011" s="198"/>
    </row>
    <row r="4012" spans="1:31" ht="43.5" customHeight="1">
      <c r="A4012" s="4" t="s">
        <v>10304</v>
      </c>
      <c r="B4012" s="4" t="s">
        <v>10320</v>
      </c>
      <c r="C4012" s="198" t="s">
        <v>2651</v>
      </c>
      <c r="D4012" s="198" t="s">
        <v>2272</v>
      </c>
      <c r="E4012" s="198" t="s">
        <v>2272</v>
      </c>
      <c r="F4012" s="198" t="s">
        <v>2272</v>
      </c>
      <c r="G4012" s="198" t="s">
        <v>2272</v>
      </c>
      <c r="H4012" s="198" t="s">
        <v>521</v>
      </c>
      <c r="I4012" s="198"/>
      <c r="J4012" s="71" t="s">
        <v>2272</v>
      </c>
      <c r="K4012" s="215">
        <f>K4004*0.028</f>
        <v>1.6831000000000002E-4</v>
      </c>
      <c r="L4012" s="71" t="s">
        <v>2272</v>
      </c>
      <c r="M4012" s="71" t="s">
        <v>2272</v>
      </c>
      <c r="N4012" s="71" t="s">
        <v>2272</v>
      </c>
      <c r="O4012" s="71" t="s">
        <v>2272</v>
      </c>
      <c r="P4012" s="71" t="s">
        <v>2272</v>
      </c>
      <c r="Q4012" s="71" t="s">
        <v>2272</v>
      </c>
      <c r="R4012" s="71" t="s">
        <v>2272</v>
      </c>
      <c r="S4012" s="71" t="s">
        <v>2272</v>
      </c>
      <c r="T4012" s="71" t="s">
        <v>2272</v>
      </c>
      <c r="U4012" s="71" t="s">
        <v>2272</v>
      </c>
      <c r="V4012" s="71" t="s">
        <v>2272</v>
      </c>
      <c r="W4012" s="71" t="s">
        <v>2272</v>
      </c>
      <c r="X4012" s="71" t="s">
        <v>2272</v>
      </c>
      <c r="Y4012" s="71" t="s">
        <v>2272</v>
      </c>
      <c r="Z4012" s="71" t="s">
        <v>2272</v>
      </c>
      <c r="AA4012" s="71" t="s">
        <v>2272</v>
      </c>
      <c r="AB4012" s="71" t="s">
        <v>2272</v>
      </c>
      <c r="AC4012" s="71" t="s">
        <v>2272</v>
      </c>
      <c r="AD4012" s="4" t="s">
        <v>10342</v>
      </c>
      <c r="AE4012" s="198"/>
    </row>
    <row r="4013" spans="1:31" ht="41" customHeight="1">
      <c r="A4013" s="4" t="s">
        <v>10304</v>
      </c>
      <c r="B4013" s="4" t="s">
        <v>10321</v>
      </c>
      <c r="C4013" s="198" t="s">
        <v>30</v>
      </c>
      <c r="D4013" s="198" t="s">
        <v>2272</v>
      </c>
      <c r="E4013" s="198" t="s">
        <v>2272</v>
      </c>
      <c r="F4013" s="198" t="s">
        <v>2272</v>
      </c>
      <c r="G4013" s="198" t="s">
        <v>2272</v>
      </c>
      <c r="H4013" s="198" t="s">
        <v>521</v>
      </c>
      <c r="I4013" s="198"/>
      <c r="J4013" s="71" t="s">
        <v>2272</v>
      </c>
      <c r="K4013" s="71" t="s">
        <v>2272</v>
      </c>
      <c r="L4013" s="71" t="s">
        <v>2272</v>
      </c>
      <c r="M4013" s="71" t="s">
        <v>2272</v>
      </c>
      <c r="N4013" s="71" t="s">
        <v>2272</v>
      </c>
      <c r="O4013" s="71" t="s">
        <v>2272</v>
      </c>
      <c r="P4013" s="71" t="s">
        <v>2272</v>
      </c>
      <c r="Q4013" s="71" t="s">
        <v>2272</v>
      </c>
      <c r="R4013" s="71" t="s">
        <v>2272</v>
      </c>
      <c r="S4013" s="71" t="s">
        <v>2272</v>
      </c>
      <c r="T4013" s="71" t="s">
        <v>2272</v>
      </c>
      <c r="U4013" s="71" t="s">
        <v>2272</v>
      </c>
      <c r="V4013" s="71" t="s">
        <v>2272</v>
      </c>
      <c r="W4013" s="71" t="s">
        <v>2272</v>
      </c>
      <c r="X4013" s="71" t="s">
        <v>2272</v>
      </c>
      <c r="Y4013" s="71" t="s">
        <v>2272</v>
      </c>
      <c r="Z4013" s="71" t="s">
        <v>2272</v>
      </c>
      <c r="AA4013" s="71" t="s">
        <v>2272</v>
      </c>
      <c r="AB4013" s="71" t="s">
        <v>2272</v>
      </c>
      <c r="AC4013" s="71" t="s">
        <v>2272</v>
      </c>
      <c r="AD4013" s="198"/>
      <c r="AE4013" s="198"/>
    </row>
    <row r="4014" spans="1:31" ht="63.5" customHeight="1">
      <c r="A4014" s="4" t="s">
        <v>10308</v>
      </c>
      <c r="B4014" s="4" t="s">
        <v>10322</v>
      </c>
      <c r="C4014" s="198" t="s">
        <v>2453</v>
      </c>
      <c r="D4014" s="198" t="s">
        <v>2272</v>
      </c>
      <c r="E4014" s="198" t="s">
        <v>2272</v>
      </c>
      <c r="F4014" s="198" t="s">
        <v>2272</v>
      </c>
      <c r="G4014" s="198" t="s">
        <v>2272</v>
      </c>
      <c r="H4014" s="198" t="s">
        <v>521</v>
      </c>
      <c r="I4014" s="198"/>
      <c r="J4014" s="21">
        <f>1683.1/3/'Record info'!$K$1606</f>
        <v>6.011071428571429E-3</v>
      </c>
      <c r="K4014" s="21">
        <f>1683.1/3/'Record info'!$K$1606</f>
        <v>6.011071428571429E-3</v>
      </c>
      <c r="L4014" s="71" t="s">
        <v>2272</v>
      </c>
      <c r="M4014" s="71" t="s">
        <v>2272</v>
      </c>
      <c r="N4014" s="71" t="s">
        <v>2272</v>
      </c>
      <c r="O4014" s="71" t="s">
        <v>2272</v>
      </c>
      <c r="P4014" s="71" t="s">
        <v>2272</v>
      </c>
      <c r="Q4014" s="71" t="s">
        <v>2272</v>
      </c>
      <c r="R4014" s="71" t="s">
        <v>2272</v>
      </c>
      <c r="S4014" s="71" t="s">
        <v>2272</v>
      </c>
      <c r="T4014" s="71" t="s">
        <v>2272</v>
      </c>
      <c r="U4014" s="71" t="s">
        <v>2272</v>
      </c>
      <c r="V4014" s="71" t="s">
        <v>2272</v>
      </c>
      <c r="W4014" s="71" t="s">
        <v>2272</v>
      </c>
      <c r="X4014" s="71" t="s">
        <v>2272</v>
      </c>
      <c r="Y4014" s="71" t="s">
        <v>2272</v>
      </c>
      <c r="Z4014" s="71" t="s">
        <v>2272</v>
      </c>
      <c r="AA4014" s="198" t="s">
        <v>37</v>
      </c>
      <c r="AB4014" s="198" t="s">
        <v>34</v>
      </c>
      <c r="AC4014" s="198" t="s">
        <v>2650</v>
      </c>
      <c r="AD4014" s="4" t="s">
        <v>10344</v>
      </c>
      <c r="AE4014" s="198"/>
    </row>
    <row r="4015" spans="1:31" ht="48" customHeight="1">
      <c r="A4015" s="4" t="s">
        <v>10308</v>
      </c>
      <c r="B4015" s="4" t="s">
        <v>10323</v>
      </c>
      <c r="C4015" s="198" t="s">
        <v>23</v>
      </c>
      <c r="D4015" s="198" t="s">
        <v>2989</v>
      </c>
      <c r="E4015" s="198" t="s">
        <v>2272</v>
      </c>
      <c r="F4015" s="198" t="s">
        <v>2272</v>
      </c>
      <c r="G4015" s="198" t="s">
        <v>2272</v>
      </c>
      <c r="H4015" s="198" t="s">
        <v>521</v>
      </c>
      <c r="I4015" s="198"/>
      <c r="J4015" s="71" t="s">
        <v>2272</v>
      </c>
      <c r="K4015" s="71" t="s">
        <v>2272</v>
      </c>
      <c r="L4015" s="71" t="s">
        <v>2272</v>
      </c>
      <c r="M4015" s="71" t="s">
        <v>2272</v>
      </c>
      <c r="N4015" s="71" t="s">
        <v>2272</v>
      </c>
      <c r="O4015" s="71" t="s">
        <v>2272</v>
      </c>
      <c r="P4015" s="71" t="s">
        <v>2272</v>
      </c>
      <c r="Q4015" s="71" t="s">
        <v>2272</v>
      </c>
      <c r="R4015" s="71" t="s">
        <v>2272</v>
      </c>
      <c r="S4015" s="71" t="s">
        <v>2272</v>
      </c>
      <c r="T4015" s="71" t="s">
        <v>2272</v>
      </c>
      <c r="U4015" s="71" t="s">
        <v>2272</v>
      </c>
      <c r="V4015" s="71" t="s">
        <v>2272</v>
      </c>
      <c r="W4015" s="71" t="s">
        <v>2272</v>
      </c>
      <c r="X4015" s="71" t="s">
        <v>2272</v>
      </c>
      <c r="Y4015" s="71" t="s">
        <v>2272</v>
      </c>
      <c r="Z4015" s="71" t="s">
        <v>2272</v>
      </c>
      <c r="AA4015" s="71" t="s">
        <v>2272</v>
      </c>
      <c r="AB4015" s="71" t="s">
        <v>2272</v>
      </c>
      <c r="AC4015" s="71" t="s">
        <v>2272</v>
      </c>
      <c r="AD4015" s="198"/>
      <c r="AE4015" s="198"/>
    </row>
    <row r="4016" spans="1:31" ht="48" customHeight="1">
      <c r="A4016" s="4" t="s">
        <v>10308</v>
      </c>
      <c r="B4016" s="4" t="s">
        <v>10324</v>
      </c>
      <c r="C4016" s="198" t="s">
        <v>23</v>
      </c>
      <c r="D4016" s="198" t="s">
        <v>2227</v>
      </c>
      <c r="E4016" s="198" t="s">
        <v>2272</v>
      </c>
      <c r="F4016" s="198" t="s">
        <v>2272</v>
      </c>
      <c r="G4016" s="198" t="s">
        <v>2272</v>
      </c>
      <c r="H4016" s="198" t="s">
        <v>521</v>
      </c>
      <c r="I4016" s="198"/>
      <c r="J4016" s="71" t="s">
        <v>2272</v>
      </c>
      <c r="K4016" s="71" t="s">
        <v>2272</v>
      </c>
      <c r="L4016" s="71" t="s">
        <v>2272</v>
      </c>
      <c r="M4016" s="71" t="s">
        <v>2272</v>
      </c>
      <c r="N4016" s="71" t="s">
        <v>2272</v>
      </c>
      <c r="O4016" s="71" t="s">
        <v>2272</v>
      </c>
      <c r="P4016" s="71" t="s">
        <v>2272</v>
      </c>
      <c r="Q4016" s="71" t="s">
        <v>2272</v>
      </c>
      <c r="R4016" s="71" t="s">
        <v>2272</v>
      </c>
      <c r="S4016" s="71" t="s">
        <v>2272</v>
      </c>
      <c r="T4016" s="71" t="s">
        <v>2272</v>
      </c>
      <c r="U4016" s="71" t="s">
        <v>2272</v>
      </c>
      <c r="V4016" s="71" t="s">
        <v>2272</v>
      </c>
      <c r="W4016" s="71" t="s">
        <v>2272</v>
      </c>
      <c r="X4016" s="71" t="s">
        <v>2272</v>
      </c>
      <c r="Y4016" s="71" t="s">
        <v>2272</v>
      </c>
      <c r="Z4016" s="71" t="s">
        <v>2272</v>
      </c>
      <c r="AA4016" s="71" t="s">
        <v>2272</v>
      </c>
      <c r="AB4016" s="71" t="s">
        <v>2272</v>
      </c>
      <c r="AC4016" s="71" t="s">
        <v>2272</v>
      </c>
      <c r="AD4016" s="198"/>
      <c r="AE4016" s="198"/>
    </row>
    <row r="4017" spans="1:31" ht="48" customHeight="1">
      <c r="A4017" s="4" t="s">
        <v>10308</v>
      </c>
      <c r="B4017" s="4" t="s">
        <v>10325</v>
      </c>
      <c r="C4017" s="198" t="s">
        <v>23</v>
      </c>
      <c r="D4017" s="198" t="s">
        <v>2342</v>
      </c>
      <c r="E4017" s="198" t="s">
        <v>2272</v>
      </c>
      <c r="F4017" s="198" t="s">
        <v>2272</v>
      </c>
      <c r="G4017" s="198" t="s">
        <v>2272</v>
      </c>
      <c r="H4017" s="198" t="s">
        <v>521</v>
      </c>
      <c r="I4017" s="198"/>
      <c r="J4017" s="71" t="s">
        <v>2272</v>
      </c>
      <c r="K4017" s="71" t="s">
        <v>2272</v>
      </c>
      <c r="L4017" s="71" t="s">
        <v>2272</v>
      </c>
      <c r="M4017" s="71" t="s">
        <v>2272</v>
      </c>
      <c r="N4017" s="71" t="s">
        <v>2272</v>
      </c>
      <c r="O4017" s="71" t="s">
        <v>2272</v>
      </c>
      <c r="P4017" s="71" t="s">
        <v>2272</v>
      </c>
      <c r="Q4017" s="71" t="s">
        <v>2272</v>
      </c>
      <c r="R4017" s="71" t="s">
        <v>2272</v>
      </c>
      <c r="S4017" s="71" t="s">
        <v>2272</v>
      </c>
      <c r="T4017" s="71" t="s">
        <v>2272</v>
      </c>
      <c r="U4017" s="71" t="s">
        <v>2272</v>
      </c>
      <c r="V4017" s="71" t="s">
        <v>2272</v>
      </c>
      <c r="W4017" s="71" t="s">
        <v>2272</v>
      </c>
      <c r="X4017" s="71" t="s">
        <v>2272</v>
      </c>
      <c r="Y4017" s="71" t="s">
        <v>2272</v>
      </c>
      <c r="Z4017" s="71" t="s">
        <v>2272</v>
      </c>
      <c r="AA4017" s="71" t="s">
        <v>2272</v>
      </c>
      <c r="AB4017" s="71" t="s">
        <v>2272</v>
      </c>
      <c r="AC4017" s="71" t="s">
        <v>2272</v>
      </c>
      <c r="AD4017" s="198"/>
      <c r="AE4017" s="198"/>
    </row>
    <row r="4018" spans="1:31" ht="48" customHeight="1">
      <c r="A4018" s="4" t="s">
        <v>10308</v>
      </c>
      <c r="B4018" s="4" t="s">
        <v>10326</v>
      </c>
      <c r="C4018" s="198" t="s">
        <v>23</v>
      </c>
      <c r="D4018" s="198" t="s">
        <v>1241</v>
      </c>
      <c r="E4018" s="198" t="s">
        <v>2272</v>
      </c>
      <c r="F4018" s="198" t="s">
        <v>2272</v>
      </c>
      <c r="G4018" s="198" t="s">
        <v>2272</v>
      </c>
      <c r="H4018" s="198" t="s">
        <v>521</v>
      </c>
      <c r="I4018" s="198"/>
      <c r="J4018" s="71" t="s">
        <v>2272</v>
      </c>
      <c r="K4018" s="71" t="s">
        <v>2272</v>
      </c>
      <c r="L4018" s="71" t="s">
        <v>2272</v>
      </c>
      <c r="M4018" s="71" t="s">
        <v>2272</v>
      </c>
      <c r="N4018" s="71" t="s">
        <v>2272</v>
      </c>
      <c r="O4018" s="71" t="s">
        <v>2272</v>
      </c>
      <c r="P4018" s="71" t="s">
        <v>2272</v>
      </c>
      <c r="Q4018" s="71" t="s">
        <v>2272</v>
      </c>
      <c r="R4018" s="71" t="s">
        <v>2272</v>
      </c>
      <c r="S4018" s="71" t="s">
        <v>2272</v>
      </c>
      <c r="T4018" s="71" t="s">
        <v>2272</v>
      </c>
      <c r="U4018" s="71" t="s">
        <v>2272</v>
      </c>
      <c r="V4018" s="71" t="s">
        <v>2272</v>
      </c>
      <c r="W4018" s="71" t="s">
        <v>2272</v>
      </c>
      <c r="X4018" s="71" t="s">
        <v>2272</v>
      </c>
      <c r="Y4018" s="71" t="s">
        <v>2272</v>
      </c>
      <c r="Z4018" s="71" t="s">
        <v>2272</v>
      </c>
      <c r="AA4018" s="71" t="s">
        <v>2272</v>
      </c>
      <c r="AB4018" s="71" t="s">
        <v>2272</v>
      </c>
      <c r="AC4018" s="71" t="s">
        <v>2272</v>
      </c>
      <c r="AD4018" s="198"/>
      <c r="AE4018" s="198"/>
    </row>
    <row r="4019" spans="1:31" ht="48" customHeight="1">
      <c r="A4019" s="4" t="s">
        <v>10308</v>
      </c>
      <c r="B4019" s="4" t="s">
        <v>10327</v>
      </c>
      <c r="C4019" s="198" t="s">
        <v>2453</v>
      </c>
      <c r="D4019" s="198" t="s">
        <v>2989</v>
      </c>
      <c r="E4019" s="198" t="s">
        <v>2272</v>
      </c>
      <c r="F4019" s="198" t="s">
        <v>2272</v>
      </c>
      <c r="G4019" s="198" t="s">
        <v>2272</v>
      </c>
      <c r="H4019" s="198" t="s">
        <v>521</v>
      </c>
      <c r="I4019" s="198"/>
      <c r="J4019" s="71" t="s">
        <v>2272</v>
      </c>
      <c r="K4019" s="71" t="s">
        <v>2272</v>
      </c>
      <c r="L4019" s="71" t="s">
        <v>2272</v>
      </c>
      <c r="M4019" s="71" t="s">
        <v>2272</v>
      </c>
      <c r="N4019" s="71" t="s">
        <v>2272</v>
      </c>
      <c r="O4019" s="71" t="s">
        <v>2272</v>
      </c>
      <c r="P4019" s="71" t="s">
        <v>2272</v>
      </c>
      <c r="Q4019" s="71" t="s">
        <v>2272</v>
      </c>
      <c r="R4019" s="71" t="s">
        <v>2272</v>
      </c>
      <c r="S4019" s="71" t="s">
        <v>2272</v>
      </c>
      <c r="T4019" s="71" t="s">
        <v>2272</v>
      </c>
      <c r="U4019" s="71" t="s">
        <v>2272</v>
      </c>
      <c r="V4019" s="71" t="s">
        <v>2272</v>
      </c>
      <c r="W4019" s="71" t="s">
        <v>2272</v>
      </c>
      <c r="X4019" s="71" t="s">
        <v>2272</v>
      </c>
      <c r="Y4019" s="71" t="s">
        <v>2272</v>
      </c>
      <c r="Z4019" s="71" t="s">
        <v>2272</v>
      </c>
      <c r="AA4019" s="71" t="s">
        <v>2272</v>
      </c>
      <c r="AB4019" s="71" t="s">
        <v>2272</v>
      </c>
      <c r="AC4019" s="71" t="s">
        <v>2272</v>
      </c>
      <c r="AD4019" s="198"/>
      <c r="AE4019" s="198"/>
    </row>
    <row r="4020" spans="1:31" ht="48" customHeight="1">
      <c r="A4020" s="4" t="s">
        <v>10308</v>
      </c>
      <c r="B4020" s="4" t="s">
        <v>10328</v>
      </c>
      <c r="C4020" s="198" t="s">
        <v>2453</v>
      </c>
      <c r="D4020" s="198" t="s">
        <v>2227</v>
      </c>
      <c r="E4020" s="198" t="s">
        <v>2272</v>
      </c>
      <c r="F4020" s="198" t="s">
        <v>2272</v>
      </c>
      <c r="G4020" s="198" t="s">
        <v>2272</v>
      </c>
      <c r="H4020" s="198" t="s">
        <v>521</v>
      </c>
      <c r="I4020" s="198"/>
      <c r="J4020" s="71" t="s">
        <v>2272</v>
      </c>
      <c r="K4020" s="71" t="s">
        <v>2272</v>
      </c>
      <c r="L4020" s="71" t="s">
        <v>2272</v>
      </c>
      <c r="M4020" s="71" t="s">
        <v>2272</v>
      </c>
      <c r="N4020" s="71" t="s">
        <v>2272</v>
      </c>
      <c r="O4020" s="71" t="s">
        <v>2272</v>
      </c>
      <c r="P4020" s="71" t="s">
        <v>2272</v>
      </c>
      <c r="Q4020" s="71" t="s">
        <v>2272</v>
      </c>
      <c r="R4020" s="71" t="s">
        <v>2272</v>
      </c>
      <c r="S4020" s="71" t="s">
        <v>2272</v>
      </c>
      <c r="T4020" s="71" t="s">
        <v>2272</v>
      </c>
      <c r="U4020" s="71" t="s">
        <v>2272</v>
      </c>
      <c r="V4020" s="71" t="s">
        <v>2272</v>
      </c>
      <c r="W4020" s="71" t="s">
        <v>2272</v>
      </c>
      <c r="X4020" s="71" t="s">
        <v>2272</v>
      </c>
      <c r="Y4020" s="71" t="s">
        <v>2272</v>
      </c>
      <c r="Z4020" s="71" t="s">
        <v>2272</v>
      </c>
      <c r="AA4020" s="71" t="s">
        <v>2272</v>
      </c>
      <c r="AB4020" s="71" t="s">
        <v>2272</v>
      </c>
      <c r="AC4020" s="71" t="s">
        <v>2272</v>
      </c>
      <c r="AD4020" s="198"/>
      <c r="AE4020" s="198"/>
    </row>
    <row r="4021" spans="1:31" ht="48" customHeight="1">
      <c r="A4021" s="4" t="s">
        <v>10308</v>
      </c>
      <c r="B4021" s="4" t="s">
        <v>10329</v>
      </c>
      <c r="C4021" s="198" t="s">
        <v>2453</v>
      </c>
      <c r="D4021" s="198" t="s">
        <v>1241</v>
      </c>
      <c r="E4021" s="198" t="s">
        <v>2272</v>
      </c>
      <c r="F4021" s="198" t="s">
        <v>2272</v>
      </c>
      <c r="G4021" s="198" t="s">
        <v>2272</v>
      </c>
      <c r="H4021" s="198" t="s">
        <v>521</v>
      </c>
      <c r="I4021" s="198"/>
      <c r="J4021" s="71" t="s">
        <v>2272</v>
      </c>
      <c r="K4021" s="71" t="s">
        <v>2272</v>
      </c>
      <c r="L4021" s="71" t="s">
        <v>2272</v>
      </c>
      <c r="M4021" s="71" t="s">
        <v>2272</v>
      </c>
      <c r="N4021" s="71" t="s">
        <v>2272</v>
      </c>
      <c r="O4021" s="71" t="s">
        <v>2272</v>
      </c>
      <c r="P4021" s="71" t="s">
        <v>2272</v>
      </c>
      <c r="Q4021" s="71" t="s">
        <v>2272</v>
      </c>
      <c r="R4021" s="71" t="s">
        <v>2272</v>
      </c>
      <c r="S4021" s="71" t="s">
        <v>2272</v>
      </c>
      <c r="T4021" s="71" t="s">
        <v>2272</v>
      </c>
      <c r="U4021" s="71" t="s">
        <v>2272</v>
      </c>
      <c r="V4021" s="71" t="s">
        <v>2272</v>
      </c>
      <c r="W4021" s="71" t="s">
        <v>2272</v>
      </c>
      <c r="X4021" s="71" t="s">
        <v>2272</v>
      </c>
      <c r="Y4021" s="71" t="s">
        <v>2272</v>
      </c>
      <c r="Z4021" s="71" t="s">
        <v>2272</v>
      </c>
      <c r="AA4021" s="71" t="s">
        <v>2272</v>
      </c>
      <c r="AB4021" s="71" t="s">
        <v>2272</v>
      </c>
      <c r="AC4021" s="71" t="s">
        <v>2272</v>
      </c>
      <c r="AD4021" s="198"/>
      <c r="AE4021" s="198"/>
    </row>
    <row r="4022" spans="1:31" ht="48" customHeight="1">
      <c r="A4022" s="4" t="s">
        <v>10308</v>
      </c>
      <c r="B4022" s="4" t="s">
        <v>10330</v>
      </c>
      <c r="C4022" s="198" t="s">
        <v>2651</v>
      </c>
      <c r="D4022" s="198" t="s">
        <v>2272</v>
      </c>
      <c r="E4022" s="198" t="s">
        <v>2272</v>
      </c>
      <c r="F4022" s="198" t="s">
        <v>2272</v>
      </c>
      <c r="G4022" s="198" t="s">
        <v>2272</v>
      </c>
      <c r="H4022" s="198" t="s">
        <v>521</v>
      </c>
      <c r="I4022" s="198"/>
      <c r="J4022" s="71" t="str">
        <f>$J$4021</f>
        <v>ND</v>
      </c>
      <c r="K4022" s="215">
        <f>K4014*0.028</f>
        <v>1.6831000000000002E-4</v>
      </c>
      <c r="L4022" s="71" t="s">
        <v>2272</v>
      </c>
      <c r="M4022" s="71" t="s">
        <v>2272</v>
      </c>
      <c r="N4022" s="71" t="s">
        <v>2272</v>
      </c>
      <c r="O4022" s="71" t="s">
        <v>2272</v>
      </c>
      <c r="P4022" s="71" t="s">
        <v>2272</v>
      </c>
      <c r="Q4022" s="71" t="s">
        <v>2272</v>
      </c>
      <c r="R4022" s="71" t="s">
        <v>2272</v>
      </c>
      <c r="S4022" s="71" t="s">
        <v>2272</v>
      </c>
      <c r="T4022" s="71" t="s">
        <v>2272</v>
      </c>
      <c r="U4022" s="71" t="s">
        <v>2272</v>
      </c>
      <c r="V4022" s="71" t="s">
        <v>2272</v>
      </c>
      <c r="W4022" s="71" t="s">
        <v>2272</v>
      </c>
      <c r="X4022" s="71" t="s">
        <v>2272</v>
      </c>
      <c r="Y4022" s="71" t="s">
        <v>2272</v>
      </c>
      <c r="Z4022" s="71" t="s">
        <v>2272</v>
      </c>
      <c r="AA4022" s="71" t="s">
        <v>2272</v>
      </c>
      <c r="AB4022" s="71" t="s">
        <v>2272</v>
      </c>
      <c r="AC4022" s="71" t="s">
        <v>2272</v>
      </c>
      <c r="AD4022" s="4" t="s">
        <v>10342</v>
      </c>
      <c r="AE4022" s="198"/>
    </row>
    <row r="4023" spans="1:31" ht="48" customHeight="1">
      <c r="A4023" s="4" t="s">
        <v>10308</v>
      </c>
      <c r="B4023" s="4" t="s">
        <v>10331</v>
      </c>
      <c r="C4023" s="198" t="s">
        <v>30</v>
      </c>
      <c r="D4023" s="198" t="s">
        <v>2272</v>
      </c>
      <c r="E4023" s="198" t="s">
        <v>2272</v>
      </c>
      <c r="F4023" s="198" t="s">
        <v>2272</v>
      </c>
      <c r="G4023" s="198" t="s">
        <v>2272</v>
      </c>
      <c r="H4023" s="198" t="s">
        <v>521</v>
      </c>
      <c r="I4023" s="198"/>
      <c r="J4023" s="71" t="s">
        <v>2272</v>
      </c>
      <c r="K4023" s="71" t="s">
        <v>2272</v>
      </c>
      <c r="L4023" s="71" t="s">
        <v>2272</v>
      </c>
      <c r="M4023" s="71" t="s">
        <v>2272</v>
      </c>
      <c r="N4023" s="71" t="s">
        <v>2272</v>
      </c>
      <c r="O4023" s="71" t="s">
        <v>2272</v>
      </c>
      <c r="P4023" s="71" t="s">
        <v>2272</v>
      </c>
      <c r="Q4023" s="71" t="s">
        <v>2272</v>
      </c>
      <c r="R4023" s="71" t="s">
        <v>2272</v>
      </c>
      <c r="S4023" s="71" t="s">
        <v>2272</v>
      </c>
      <c r="T4023" s="71" t="s">
        <v>2272</v>
      </c>
      <c r="U4023" s="71" t="s">
        <v>2272</v>
      </c>
      <c r="V4023" s="71" t="s">
        <v>2272</v>
      </c>
      <c r="W4023" s="71" t="s">
        <v>2272</v>
      </c>
      <c r="X4023" s="71" t="s">
        <v>2272</v>
      </c>
      <c r="Y4023" s="71" t="s">
        <v>2272</v>
      </c>
      <c r="Z4023" s="71" t="s">
        <v>2272</v>
      </c>
      <c r="AA4023" s="71" t="s">
        <v>2272</v>
      </c>
      <c r="AB4023" s="71" t="s">
        <v>2272</v>
      </c>
      <c r="AC4023" s="71" t="s">
        <v>2272</v>
      </c>
      <c r="AD4023" s="198"/>
      <c r="AE4023" s="198"/>
    </row>
    <row r="4024" spans="1:31" ht="48" customHeight="1">
      <c r="A4024" s="4" t="s">
        <v>10309</v>
      </c>
      <c r="B4024" s="4" t="s">
        <v>10332</v>
      </c>
      <c r="C4024" s="198" t="s">
        <v>2453</v>
      </c>
      <c r="D4024" s="198" t="s">
        <v>2272</v>
      </c>
      <c r="E4024" s="198" t="s">
        <v>2272</v>
      </c>
      <c r="F4024" s="198" t="s">
        <v>2272</v>
      </c>
      <c r="G4024" s="198" t="s">
        <v>2272</v>
      </c>
      <c r="H4024" s="198" t="s">
        <v>521</v>
      </c>
      <c r="I4024" s="198"/>
      <c r="J4024" s="71" t="s">
        <v>2272</v>
      </c>
      <c r="K4024" s="21">
        <f>1683.1/3/'Record info'!$K$1606</f>
        <v>6.011071428571429E-3</v>
      </c>
      <c r="L4024" s="71" t="s">
        <v>2272</v>
      </c>
      <c r="M4024" s="71" t="s">
        <v>2272</v>
      </c>
      <c r="N4024" s="71" t="s">
        <v>2272</v>
      </c>
      <c r="O4024" s="71" t="s">
        <v>2272</v>
      </c>
      <c r="P4024" s="71" t="s">
        <v>2272</v>
      </c>
      <c r="Q4024" s="71" t="s">
        <v>2272</v>
      </c>
      <c r="R4024" s="71" t="s">
        <v>2272</v>
      </c>
      <c r="S4024" s="71" t="s">
        <v>2272</v>
      </c>
      <c r="T4024" s="71" t="s">
        <v>2272</v>
      </c>
      <c r="U4024" s="71" t="s">
        <v>2272</v>
      </c>
      <c r="V4024" s="71" t="s">
        <v>2272</v>
      </c>
      <c r="W4024" s="71" t="s">
        <v>2272</v>
      </c>
      <c r="X4024" s="71" t="s">
        <v>2272</v>
      </c>
      <c r="Y4024" s="71" t="s">
        <v>2272</v>
      </c>
      <c r="Z4024" s="71" t="s">
        <v>2272</v>
      </c>
      <c r="AA4024" s="198" t="s">
        <v>37</v>
      </c>
      <c r="AB4024" s="198" t="s">
        <v>34</v>
      </c>
      <c r="AC4024" s="198" t="s">
        <v>2650</v>
      </c>
      <c r="AD4024" s="4" t="s">
        <v>10345</v>
      </c>
      <c r="AE4024" s="198"/>
    </row>
    <row r="4025" spans="1:31" ht="48" customHeight="1">
      <c r="A4025" s="4" t="s">
        <v>10309</v>
      </c>
      <c r="B4025" s="4" t="s">
        <v>10333</v>
      </c>
      <c r="C4025" s="198" t="s">
        <v>23</v>
      </c>
      <c r="D4025" s="198" t="s">
        <v>2989</v>
      </c>
      <c r="E4025" s="198" t="s">
        <v>2272</v>
      </c>
      <c r="F4025" s="198" t="s">
        <v>2272</v>
      </c>
      <c r="G4025" s="198" t="s">
        <v>2272</v>
      </c>
      <c r="H4025" s="198" t="s">
        <v>521</v>
      </c>
      <c r="I4025" s="198"/>
      <c r="J4025" s="71" t="s">
        <v>2272</v>
      </c>
      <c r="K4025" s="71" t="s">
        <v>2272</v>
      </c>
      <c r="L4025" s="71" t="s">
        <v>2272</v>
      </c>
      <c r="M4025" s="71" t="s">
        <v>2272</v>
      </c>
      <c r="N4025" s="71" t="s">
        <v>2272</v>
      </c>
      <c r="O4025" s="71" t="s">
        <v>2272</v>
      </c>
      <c r="P4025" s="71" t="s">
        <v>2272</v>
      </c>
      <c r="Q4025" s="71" t="s">
        <v>2272</v>
      </c>
      <c r="R4025" s="71" t="s">
        <v>2272</v>
      </c>
      <c r="S4025" s="71" t="s">
        <v>2272</v>
      </c>
      <c r="T4025" s="71" t="s">
        <v>2272</v>
      </c>
      <c r="U4025" s="71" t="s">
        <v>2272</v>
      </c>
      <c r="V4025" s="71" t="s">
        <v>2272</v>
      </c>
      <c r="W4025" s="71" t="s">
        <v>2272</v>
      </c>
      <c r="X4025" s="71" t="s">
        <v>2272</v>
      </c>
      <c r="Y4025" s="71" t="s">
        <v>2272</v>
      </c>
      <c r="Z4025" s="71" t="s">
        <v>2272</v>
      </c>
      <c r="AA4025" s="71" t="s">
        <v>2272</v>
      </c>
      <c r="AB4025" s="71" t="s">
        <v>2272</v>
      </c>
      <c r="AC4025" s="71" t="s">
        <v>2272</v>
      </c>
      <c r="AD4025" s="198"/>
      <c r="AE4025" s="198"/>
    </row>
    <row r="4026" spans="1:31" ht="48" customHeight="1">
      <c r="A4026" s="4" t="s">
        <v>10309</v>
      </c>
      <c r="B4026" s="4" t="s">
        <v>10334</v>
      </c>
      <c r="C4026" s="198" t="s">
        <v>23</v>
      </c>
      <c r="D4026" s="198" t="s">
        <v>2227</v>
      </c>
      <c r="E4026" s="198" t="s">
        <v>2272</v>
      </c>
      <c r="F4026" s="198" t="s">
        <v>2272</v>
      </c>
      <c r="G4026" s="198" t="s">
        <v>2272</v>
      </c>
      <c r="H4026" s="198" t="s">
        <v>521</v>
      </c>
      <c r="I4026" s="198"/>
      <c r="J4026" s="71" t="s">
        <v>2272</v>
      </c>
      <c r="K4026" s="71" t="s">
        <v>2272</v>
      </c>
      <c r="L4026" s="71" t="s">
        <v>2272</v>
      </c>
      <c r="M4026" s="71" t="s">
        <v>2272</v>
      </c>
      <c r="N4026" s="71" t="s">
        <v>2272</v>
      </c>
      <c r="O4026" s="71" t="s">
        <v>2272</v>
      </c>
      <c r="P4026" s="71" t="s">
        <v>2272</v>
      </c>
      <c r="Q4026" s="71" t="s">
        <v>2272</v>
      </c>
      <c r="R4026" s="71" t="s">
        <v>2272</v>
      </c>
      <c r="S4026" s="71" t="s">
        <v>2272</v>
      </c>
      <c r="T4026" s="71" t="s">
        <v>2272</v>
      </c>
      <c r="U4026" s="71" t="s">
        <v>2272</v>
      </c>
      <c r="V4026" s="71" t="s">
        <v>2272</v>
      </c>
      <c r="W4026" s="71" t="s">
        <v>2272</v>
      </c>
      <c r="X4026" s="71" t="s">
        <v>2272</v>
      </c>
      <c r="Y4026" s="71" t="s">
        <v>2272</v>
      </c>
      <c r="Z4026" s="71" t="s">
        <v>2272</v>
      </c>
      <c r="AA4026" s="71" t="s">
        <v>2272</v>
      </c>
      <c r="AB4026" s="71" t="s">
        <v>2272</v>
      </c>
      <c r="AC4026" s="71" t="s">
        <v>2272</v>
      </c>
      <c r="AD4026" s="198"/>
      <c r="AE4026" s="198"/>
    </row>
    <row r="4027" spans="1:31" ht="48" customHeight="1">
      <c r="A4027" s="4" t="s">
        <v>10309</v>
      </c>
      <c r="B4027" s="4" t="s">
        <v>10335</v>
      </c>
      <c r="C4027" s="198" t="s">
        <v>23</v>
      </c>
      <c r="D4027" s="198" t="s">
        <v>2342</v>
      </c>
      <c r="E4027" s="198" t="s">
        <v>2272</v>
      </c>
      <c r="F4027" s="198" t="s">
        <v>2272</v>
      </c>
      <c r="G4027" s="198" t="s">
        <v>2272</v>
      </c>
      <c r="H4027" s="198" t="s">
        <v>521</v>
      </c>
      <c r="I4027" s="198"/>
      <c r="J4027" s="71" t="s">
        <v>2272</v>
      </c>
      <c r="K4027" s="71" t="s">
        <v>2272</v>
      </c>
      <c r="L4027" s="71" t="s">
        <v>2272</v>
      </c>
      <c r="M4027" s="71" t="s">
        <v>2272</v>
      </c>
      <c r="N4027" s="71" t="s">
        <v>2272</v>
      </c>
      <c r="O4027" s="71" t="s">
        <v>2272</v>
      </c>
      <c r="P4027" s="71" t="s">
        <v>2272</v>
      </c>
      <c r="Q4027" s="71" t="s">
        <v>2272</v>
      </c>
      <c r="R4027" s="71" t="s">
        <v>2272</v>
      </c>
      <c r="S4027" s="71" t="s">
        <v>2272</v>
      </c>
      <c r="T4027" s="71" t="s">
        <v>2272</v>
      </c>
      <c r="U4027" s="71" t="s">
        <v>2272</v>
      </c>
      <c r="V4027" s="71" t="s">
        <v>2272</v>
      </c>
      <c r="W4027" s="71" t="s">
        <v>2272</v>
      </c>
      <c r="X4027" s="71" t="s">
        <v>2272</v>
      </c>
      <c r="Y4027" s="71" t="s">
        <v>2272</v>
      </c>
      <c r="Z4027" s="71" t="s">
        <v>2272</v>
      </c>
      <c r="AA4027" s="71" t="s">
        <v>2272</v>
      </c>
      <c r="AB4027" s="71" t="s">
        <v>2272</v>
      </c>
      <c r="AC4027" s="71" t="s">
        <v>2272</v>
      </c>
      <c r="AD4027" s="198"/>
      <c r="AE4027" s="198"/>
    </row>
    <row r="4028" spans="1:31" ht="48" customHeight="1">
      <c r="A4028" s="4" t="s">
        <v>10309</v>
      </c>
      <c r="B4028" s="4" t="s">
        <v>10336</v>
      </c>
      <c r="C4028" s="198" t="s">
        <v>23</v>
      </c>
      <c r="D4028" s="198" t="s">
        <v>1241</v>
      </c>
      <c r="E4028" s="198" t="s">
        <v>2272</v>
      </c>
      <c r="F4028" s="198" t="s">
        <v>2272</v>
      </c>
      <c r="G4028" s="198" t="s">
        <v>2272</v>
      </c>
      <c r="H4028" s="198" t="s">
        <v>521</v>
      </c>
      <c r="I4028" s="198"/>
      <c r="J4028" s="71" t="s">
        <v>2272</v>
      </c>
      <c r="K4028" s="71" t="s">
        <v>2272</v>
      </c>
      <c r="L4028" s="71" t="s">
        <v>2272</v>
      </c>
      <c r="M4028" s="71" t="s">
        <v>2272</v>
      </c>
      <c r="N4028" s="71" t="s">
        <v>2272</v>
      </c>
      <c r="O4028" s="71" t="s">
        <v>2272</v>
      </c>
      <c r="P4028" s="71" t="s">
        <v>2272</v>
      </c>
      <c r="Q4028" s="71" t="s">
        <v>2272</v>
      </c>
      <c r="R4028" s="71" t="s">
        <v>2272</v>
      </c>
      <c r="S4028" s="71" t="s">
        <v>2272</v>
      </c>
      <c r="T4028" s="71" t="s">
        <v>2272</v>
      </c>
      <c r="U4028" s="71" t="s">
        <v>2272</v>
      </c>
      <c r="V4028" s="71" t="s">
        <v>2272</v>
      </c>
      <c r="W4028" s="71" t="s">
        <v>2272</v>
      </c>
      <c r="X4028" s="71" t="s">
        <v>2272</v>
      </c>
      <c r="Y4028" s="71" t="s">
        <v>2272</v>
      </c>
      <c r="Z4028" s="71" t="s">
        <v>2272</v>
      </c>
      <c r="AA4028" s="71" t="s">
        <v>2272</v>
      </c>
      <c r="AB4028" s="71" t="s">
        <v>2272</v>
      </c>
      <c r="AC4028" s="71" t="s">
        <v>2272</v>
      </c>
      <c r="AD4028" s="198"/>
      <c r="AE4028" s="198"/>
    </row>
    <row r="4029" spans="1:31" ht="48" customHeight="1">
      <c r="A4029" s="4" t="s">
        <v>10309</v>
      </c>
      <c r="B4029" s="4" t="s">
        <v>10337</v>
      </c>
      <c r="C4029" s="198" t="s">
        <v>2453</v>
      </c>
      <c r="D4029" s="198" t="s">
        <v>2989</v>
      </c>
      <c r="E4029" s="198" t="s">
        <v>2272</v>
      </c>
      <c r="F4029" s="198" t="s">
        <v>2272</v>
      </c>
      <c r="G4029" s="198" t="s">
        <v>2272</v>
      </c>
      <c r="H4029" s="198" t="s">
        <v>521</v>
      </c>
      <c r="I4029" s="198"/>
      <c r="J4029" s="71" t="s">
        <v>2272</v>
      </c>
      <c r="K4029" s="71" t="s">
        <v>2272</v>
      </c>
      <c r="L4029" s="71" t="s">
        <v>2272</v>
      </c>
      <c r="M4029" s="71" t="s">
        <v>2272</v>
      </c>
      <c r="N4029" s="71" t="s">
        <v>2272</v>
      </c>
      <c r="O4029" s="71" t="s">
        <v>2272</v>
      </c>
      <c r="P4029" s="71" t="s">
        <v>2272</v>
      </c>
      <c r="Q4029" s="71" t="s">
        <v>2272</v>
      </c>
      <c r="R4029" s="71" t="s">
        <v>2272</v>
      </c>
      <c r="S4029" s="71" t="s">
        <v>2272</v>
      </c>
      <c r="T4029" s="71" t="s">
        <v>2272</v>
      </c>
      <c r="U4029" s="71" t="s">
        <v>2272</v>
      </c>
      <c r="V4029" s="71" t="s">
        <v>2272</v>
      </c>
      <c r="W4029" s="71" t="s">
        <v>2272</v>
      </c>
      <c r="X4029" s="71" t="s">
        <v>2272</v>
      </c>
      <c r="Y4029" s="71" t="s">
        <v>2272</v>
      </c>
      <c r="Z4029" s="71" t="s">
        <v>2272</v>
      </c>
      <c r="AA4029" s="71" t="s">
        <v>2272</v>
      </c>
      <c r="AB4029" s="71" t="s">
        <v>2272</v>
      </c>
      <c r="AC4029" s="71" t="s">
        <v>2272</v>
      </c>
      <c r="AD4029" s="198"/>
      <c r="AE4029" s="198"/>
    </row>
    <row r="4030" spans="1:31" ht="48" customHeight="1">
      <c r="A4030" s="4" t="s">
        <v>10309</v>
      </c>
      <c r="B4030" s="4" t="s">
        <v>10338</v>
      </c>
      <c r="C4030" s="198" t="s">
        <v>2453</v>
      </c>
      <c r="D4030" s="198" t="s">
        <v>2227</v>
      </c>
      <c r="E4030" s="198" t="s">
        <v>2272</v>
      </c>
      <c r="F4030" s="198" t="s">
        <v>2272</v>
      </c>
      <c r="G4030" s="198" t="s">
        <v>2272</v>
      </c>
      <c r="H4030" s="198" t="s">
        <v>521</v>
      </c>
      <c r="I4030" s="198"/>
      <c r="J4030" s="71" t="s">
        <v>2272</v>
      </c>
      <c r="K4030" s="71" t="s">
        <v>2272</v>
      </c>
      <c r="L4030" s="71" t="s">
        <v>2272</v>
      </c>
      <c r="M4030" s="71" t="s">
        <v>2272</v>
      </c>
      <c r="N4030" s="71" t="s">
        <v>2272</v>
      </c>
      <c r="O4030" s="71" t="s">
        <v>2272</v>
      </c>
      <c r="P4030" s="71" t="s">
        <v>2272</v>
      </c>
      <c r="Q4030" s="71" t="s">
        <v>2272</v>
      </c>
      <c r="R4030" s="71" t="s">
        <v>2272</v>
      </c>
      <c r="S4030" s="71" t="s">
        <v>2272</v>
      </c>
      <c r="T4030" s="71" t="s">
        <v>2272</v>
      </c>
      <c r="U4030" s="71" t="s">
        <v>2272</v>
      </c>
      <c r="V4030" s="71" t="s">
        <v>2272</v>
      </c>
      <c r="W4030" s="71" t="s">
        <v>2272</v>
      </c>
      <c r="X4030" s="71" t="s">
        <v>2272</v>
      </c>
      <c r="Y4030" s="71" t="s">
        <v>2272</v>
      </c>
      <c r="Z4030" s="71" t="s">
        <v>2272</v>
      </c>
      <c r="AA4030" s="71" t="s">
        <v>2272</v>
      </c>
      <c r="AB4030" s="71" t="s">
        <v>2272</v>
      </c>
      <c r="AC4030" s="71" t="s">
        <v>2272</v>
      </c>
      <c r="AD4030" s="198"/>
      <c r="AE4030" s="198"/>
    </row>
    <row r="4031" spans="1:31" ht="48" customHeight="1">
      <c r="A4031" s="4" t="s">
        <v>10309</v>
      </c>
      <c r="B4031" s="4" t="s">
        <v>10339</v>
      </c>
      <c r="C4031" s="198" t="s">
        <v>2453</v>
      </c>
      <c r="D4031" s="198" t="s">
        <v>1241</v>
      </c>
      <c r="E4031" s="198" t="s">
        <v>2272</v>
      </c>
      <c r="F4031" s="198" t="s">
        <v>2272</v>
      </c>
      <c r="G4031" s="198" t="s">
        <v>2272</v>
      </c>
      <c r="H4031" s="198" t="s">
        <v>521</v>
      </c>
      <c r="I4031" s="198"/>
      <c r="J4031" s="71" t="s">
        <v>2272</v>
      </c>
      <c r="K4031" s="71" t="s">
        <v>2272</v>
      </c>
      <c r="L4031" s="71" t="s">
        <v>2272</v>
      </c>
      <c r="M4031" s="71" t="s">
        <v>2272</v>
      </c>
      <c r="N4031" s="71" t="s">
        <v>2272</v>
      </c>
      <c r="O4031" s="71" t="s">
        <v>2272</v>
      </c>
      <c r="P4031" s="71" t="s">
        <v>2272</v>
      </c>
      <c r="Q4031" s="71" t="s">
        <v>2272</v>
      </c>
      <c r="R4031" s="71" t="s">
        <v>2272</v>
      </c>
      <c r="S4031" s="71" t="s">
        <v>2272</v>
      </c>
      <c r="T4031" s="71" t="s">
        <v>2272</v>
      </c>
      <c r="U4031" s="71" t="s">
        <v>2272</v>
      </c>
      <c r="V4031" s="71" t="s">
        <v>2272</v>
      </c>
      <c r="W4031" s="71" t="s">
        <v>2272</v>
      </c>
      <c r="X4031" s="71" t="s">
        <v>2272</v>
      </c>
      <c r="Y4031" s="71" t="s">
        <v>2272</v>
      </c>
      <c r="Z4031" s="71" t="s">
        <v>2272</v>
      </c>
      <c r="AA4031" s="71" t="s">
        <v>2272</v>
      </c>
      <c r="AB4031" s="71" t="s">
        <v>2272</v>
      </c>
      <c r="AC4031" s="71" t="s">
        <v>2272</v>
      </c>
      <c r="AD4031" s="198"/>
      <c r="AE4031" s="198"/>
    </row>
    <row r="4032" spans="1:31" ht="48" customHeight="1">
      <c r="A4032" s="4" t="s">
        <v>10309</v>
      </c>
      <c r="B4032" s="4" t="s">
        <v>10340</v>
      </c>
      <c r="C4032" s="198" t="s">
        <v>2651</v>
      </c>
      <c r="D4032" s="198" t="s">
        <v>2272</v>
      </c>
      <c r="E4032" s="198" t="s">
        <v>2272</v>
      </c>
      <c r="F4032" s="198" t="s">
        <v>2272</v>
      </c>
      <c r="G4032" s="198" t="s">
        <v>2272</v>
      </c>
      <c r="H4032" s="198" t="s">
        <v>521</v>
      </c>
      <c r="I4032" s="198"/>
      <c r="J4032" s="71" t="s">
        <v>2272</v>
      </c>
      <c r="K4032" s="215">
        <f>K4024*0.028</f>
        <v>1.6831000000000002E-4</v>
      </c>
      <c r="L4032" s="71" t="s">
        <v>2272</v>
      </c>
      <c r="M4032" s="71" t="s">
        <v>2272</v>
      </c>
      <c r="N4032" s="71" t="s">
        <v>2272</v>
      </c>
      <c r="O4032" s="71" t="s">
        <v>2272</v>
      </c>
      <c r="P4032" s="71" t="s">
        <v>2272</v>
      </c>
      <c r="Q4032" s="71" t="s">
        <v>2272</v>
      </c>
      <c r="R4032" s="71" t="s">
        <v>2272</v>
      </c>
      <c r="S4032" s="71" t="s">
        <v>2272</v>
      </c>
      <c r="T4032" s="71" t="s">
        <v>2272</v>
      </c>
      <c r="U4032" s="71" t="s">
        <v>2272</v>
      </c>
      <c r="V4032" s="71" t="s">
        <v>2272</v>
      </c>
      <c r="W4032" s="71" t="s">
        <v>2272</v>
      </c>
      <c r="X4032" s="71" t="s">
        <v>2272</v>
      </c>
      <c r="Y4032" s="71" t="s">
        <v>2272</v>
      </c>
      <c r="Z4032" s="71" t="s">
        <v>2272</v>
      </c>
      <c r="AA4032" s="71" t="s">
        <v>2272</v>
      </c>
      <c r="AB4032" s="71" t="s">
        <v>2272</v>
      </c>
      <c r="AC4032" s="71" t="s">
        <v>2272</v>
      </c>
      <c r="AD4032" s="4" t="s">
        <v>10342</v>
      </c>
      <c r="AE4032" s="198"/>
    </row>
    <row r="4033" spans="1:31" ht="48" customHeight="1">
      <c r="A4033" s="4" t="s">
        <v>10309</v>
      </c>
      <c r="B4033" s="4" t="s">
        <v>10341</v>
      </c>
      <c r="C4033" s="198" t="s">
        <v>30</v>
      </c>
      <c r="D4033" s="198" t="s">
        <v>2272</v>
      </c>
      <c r="E4033" s="198" t="s">
        <v>2272</v>
      </c>
      <c r="F4033" s="198" t="s">
        <v>2272</v>
      </c>
      <c r="G4033" s="198" t="s">
        <v>2272</v>
      </c>
      <c r="H4033" s="198" t="s">
        <v>521</v>
      </c>
      <c r="I4033" s="198"/>
      <c r="J4033" s="71" t="s">
        <v>2272</v>
      </c>
      <c r="K4033" s="71" t="s">
        <v>2272</v>
      </c>
      <c r="L4033" s="71" t="s">
        <v>2272</v>
      </c>
      <c r="M4033" s="71" t="s">
        <v>2272</v>
      </c>
      <c r="N4033" s="71" t="s">
        <v>2272</v>
      </c>
      <c r="O4033" s="71" t="s">
        <v>2272</v>
      </c>
      <c r="P4033" s="71" t="s">
        <v>2272</v>
      </c>
      <c r="Q4033" s="71" t="s">
        <v>2272</v>
      </c>
      <c r="R4033" s="71" t="s">
        <v>2272</v>
      </c>
      <c r="S4033" s="71" t="s">
        <v>2272</v>
      </c>
      <c r="T4033" s="71" t="s">
        <v>2272</v>
      </c>
      <c r="U4033" s="71" t="s">
        <v>2272</v>
      </c>
      <c r="V4033" s="71" t="s">
        <v>2272</v>
      </c>
      <c r="W4033" s="71" t="s">
        <v>2272</v>
      </c>
      <c r="X4033" s="71" t="s">
        <v>2272</v>
      </c>
      <c r="Y4033" s="71" t="s">
        <v>2272</v>
      </c>
      <c r="Z4033" s="71" t="s">
        <v>2272</v>
      </c>
      <c r="AA4033" s="71" t="s">
        <v>2272</v>
      </c>
      <c r="AB4033" s="71" t="s">
        <v>2272</v>
      </c>
      <c r="AC4033" s="71" t="s">
        <v>2272</v>
      </c>
      <c r="AD4033" s="198"/>
      <c r="AE4033" s="198"/>
    </row>
    <row r="4034" spans="1:31" ht="50.5" customHeight="1">
      <c r="A4034" s="4" t="s">
        <v>10348</v>
      </c>
      <c r="B4034" s="4" t="s">
        <v>10350</v>
      </c>
      <c r="C4034" s="198" t="s">
        <v>23</v>
      </c>
      <c r="D4034" s="198" t="s">
        <v>142</v>
      </c>
      <c r="E4034" s="198" t="s">
        <v>135</v>
      </c>
      <c r="F4034" s="4" t="s">
        <v>2657</v>
      </c>
      <c r="G4034" s="4" t="s">
        <v>2657</v>
      </c>
      <c r="H4034" s="198" t="s">
        <v>521</v>
      </c>
      <c r="I4034" s="198">
        <v>1970</v>
      </c>
      <c r="J4034" s="71" t="s">
        <v>2272</v>
      </c>
      <c r="K4034" s="71" t="s">
        <v>2272</v>
      </c>
      <c r="L4034" s="71" t="s">
        <v>2272</v>
      </c>
      <c r="M4034" s="71" t="s">
        <v>2272</v>
      </c>
      <c r="N4034" s="71" t="s">
        <v>2272</v>
      </c>
      <c r="O4034" s="71" t="s">
        <v>2272</v>
      </c>
      <c r="P4034" s="71" t="s">
        <v>2272</v>
      </c>
      <c r="Q4034" s="71" t="s">
        <v>2272</v>
      </c>
      <c r="R4034" s="71" t="s">
        <v>2272</v>
      </c>
      <c r="S4034" s="71" t="s">
        <v>2272</v>
      </c>
      <c r="T4034" s="71" t="s">
        <v>2272</v>
      </c>
      <c r="U4034" s="71" t="s">
        <v>2272</v>
      </c>
      <c r="V4034" s="71">
        <f>100*1/Z4034</f>
        <v>8.3333333333333339</v>
      </c>
      <c r="W4034" s="71" t="s">
        <v>2272</v>
      </c>
      <c r="X4034" s="71" t="s">
        <v>2272</v>
      </c>
      <c r="Y4034" s="71" t="s">
        <v>2272</v>
      </c>
      <c r="Z4034" s="71">
        <v>12</v>
      </c>
      <c r="AA4034" s="198" t="s">
        <v>423</v>
      </c>
      <c r="AB4034" s="198" t="s">
        <v>67</v>
      </c>
      <c r="AC4034" s="198" t="s">
        <v>63</v>
      </c>
      <c r="AD4034" s="198"/>
      <c r="AE4034" s="198"/>
    </row>
    <row r="4035" spans="1:31" ht="51" customHeight="1">
      <c r="A4035" s="4" t="s">
        <v>10348</v>
      </c>
      <c r="B4035" s="4" t="s">
        <v>10358</v>
      </c>
      <c r="C4035" s="198" t="s">
        <v>23</v>
      </c>
      <c r="D4035" s="198" t="s">
        <v>142</v>
      </c>
      <c r="E4035" s="198" t="s">
        <v>135</v>
      </c>
      <c r="F4035" s="4" t="s">
        <v>2657</v>
      </c>
      <c r="G4035" s="4" t="s">
        <v>2657</v>
      </c>
      <c r="H4035" s="198" t="s">
        <v>521</v>
      </c>
      <c r="I4035" s="198">
        <v>1988</v>
      </c>
      <c r="J4035" s="71" t="s">
        <v>2272</v>
      </c>
      <c r="K4035" s="71" t="s">
        <v>2272</v>
      </c>
      <c r="L4035" s="71" t="s">
        <v>2272</v>
      </c>
      <c r="M4035" s="71" t="s">
        <v>2272</v>
      </c>
      <c r="N4035" s="71" t="s">
        <v>2272</v>
      </c>
      <c r="O4035" s="71" t="s">
        <v>2272</v>
      </c>
      <c r="P4035" s="71" t="s">
        <v>2272</v>
      </c>
      <c r="Q4035" s="71" t="s">
        <v>2272</v>
      </c>
      <c r="R4035" s="71" t="s">
        <v>2272</v>
      </c>
      <c r="S4035" s="71" t="s">
        <v>2272</v>
      </c>
      <c r="T4035" s="71" t="s">
        <v>2272</v>
      </c>
      <c r="U4035" s="71" t="s">
        <v>2272</v>
      </c>
      <c r="V4035" s="71">
        <f>V4034*0.25</f>
        <v>2.0833333333333335</v>
      </c>
      <c r="W4035" s="71" t="s">
        <v>2272</v>
      </c>
      <c r="X4035" s="71" t="s">
        <v>2272</v>
      </c>
      <c r="Y4035" s="71" t="s">
        <v>2272</v>
      </c>
      <c r="Z4035" s="71" t="s">
        <v>2272</v>
      </c>
      <c r="AA4035" s="198" t="s">
        <v>187</v>
      </c>
      <c r="AB4035" s="198" t="s">
        <v>37</v>
      </c>
      <c r="AC4035" s="198" t="s">
        <v>63</v>
      </c>
      <c r="AD4035" s="198"/>
      <c r="AE4035" s="198"/>
    </row>
    <row r="4036" spans="1:31" ht="64.5" customHeight="1">
      <c r="A4036" s="4" t="s">
        <v>10354</v>
      </c>
      <c r="B4036" s="4" t="s">
        <v>10356</v>
      </c>
      <c r="C4036" s="198" t="s">
        <v>23</v>
      </c>
      <c r="D4036" s="198" t="s">
        <v>142</v>
      </c>
      <c r="E4036" s="198" t="s">
        <v>135</v>
      </c>
      <c r="F4036" s="4" t="s">
        <v>2657</v>
      </c>
      <c r="G4036" s="4" t="s">
        <v>2657</v>
      </c>
      <c r="H4036" s="198" t="s">
        <v>521</v>
      </c>
      <c r="I4036" s="198">
        <v>1970</v>
      </c>
      <c r="J4036" s="71" t="s">
        <v>2272</v>
      </c>
      <c r="K4036" s="71" t="s">
        <v>2272</v>
      </c>
      <c r="L4036" s="71" t="s">
        <v>2272</v>
      </c>
      <c r="M4036" s="71" t="s">
        <v>2272</v>
      </c>
      <c r="N4036" s="71" t="s">
        <v>2272</v>
      </c>
      <c r="O4036" s="71" t="s">
        <v>2272</v>
      </c>
      <c r="P4036" s="71" t="s">
        <v>2272</v>
      </c>
      <c r="Q4036" s="71" t="s">
        <v>2272</v>
      </c>
      <c r="R4036" s="71" t="s">
        <v>2272</v>
      </c>
      <c r="S4036" s="71" t="s">
        <v>2272</v>
      </c>
      <c r="T4036" s="71" t="s">
        <v>2272</v>
      </c>
      <c r="U4036" s="71" t="s">
        <v>2272</v>
      </c>
      <c r="V4036" s="71" t="s">
        <v>2272</v>
      </c>
      <c r="W4036" s="71" t="s">
        <v>2272</v>
      </c>
      <c r="X4036" s="71" t="s">
        <v>2272</v>
      </c>
      <c r="Y4036" s="71" t="s">
        <v>2272</v>
      </c>
      <c r="Z4036" s="71" t="s">
        <v>2272</v>
      </c>
      <c r="AA4036" s="71" t="s">
        <v>2272</v>
      </c>
      <c r="AB4036" s="71" t="s">
        <v>2272</v>
      </c>
      <c r="AC4036" s="71" t="s">
        <v>2272</v>
      </c>
      <c r="AD4036" s="198"/>
      <c r="AE4036" s="198"/>
    </row>
    <row r="4037" spans="1:31" ht="57" customHeight="1">
      <c r="A4037" s="4" t="s">
        <v>10354</v>
      </c>
      <c r="B4037" s="4" t="s">
        <v>10357</v>
      </c>
      <c r="C4037" s="198" t="s">
        <v>23</v>
      </c>
      <c r="D4037" s="198" t="s">
        <v>142</v>
      </c>
      <c r="E4037" s="198" t="s">
        <v>135</v>
      </c>
      <c r="F4037" s="4" t="s">
        <v>2657</v>
      </c>
      <c r="G4037" s="4" t="s">
        <v>2657</v>
      </c>
      <c r="H4037" s="198" t="s">
        <v>521</v>
      </c>
      <c r="I4037" s="198">
        <v>2004</v>
      </c>
      <c r="J4037" s="71" t="s">
        <v>2272</v>
      </c>
      <c r="K4037" s="71" t="s">
        <v>2272</v>
      </c>
      <c r="L4037" s="226" t="s">
        <v>2272</v>
      </c>
      <c r="M4037" s="226" t="s">
        <v>2272</v>
      </c>
      <c r="N4037" s="226" t="s">
        <v>2272</v>
      </c>
      <c r="O4037" s="226" t="s">
        <v>2272</v>
      </c>
      <c r="P4037" s="226" t="s">
        <v>2272</v>
      </c>
      <c r="Q4037" s="226" t="s">
        <v>2272</v>
      </c>
      <c r="R4037" s="226" t="s">
        <v>2272</v>
      </c>
      <c r="S4037" s="226" t="s">
        <v>2272</v>
      </c>
      <c r="T4037" s="226" t="s">
        <v>2272</v>
      </c>
      <c r="U4037" s="226" t="s">
        <v>2272</v>
      </c>
      <c r="V4037" s="226" t="s">
        <v>2272</v>
      </c>
      <c r="W4037" s="226" t="s">
        <v>2272</v>
      </c>
      <c r="X4037" s="226" t="s">
        <v>2272</v>
      </c>
      <c r="Y4037" s="226" t="s">
        <v>2272</v>
      </c>
      <c r="Z4037" s="226" t="s">
        <v>2272</v>
      </c>
      <c r="AA4037" s="226" t="s">
        <v>2272</v>
      </c>
      <c r="AB4037" s="226" t="s">
        <v>2272</v>
      </c>
      <c r="AC4037" s="226" t="s">
        <v>2272</v>
      </c>
      <c r="AD4037" s="35"/>
      <c r="AE4037" s="35"/>
    </row>
    <row r="4038" spans="1:31" ht="57" customHeight="1">
      <c r="A4038" s="198" t="s">
        <v>10362</v>
      </c>
      <c r="B4038" s="198" t="s">
        <v>10383</v>
      </c>
      <c r="C4038" s="198" t="s">
        <v>1102</v>
      </c>
      <c r="D4038" s="198" t="s">
        <v>1102</v>
      </c>
      <c r="E4038" s="4" t="s">
        <v>2272</v>
      </c>
      <c r="F4038" s="4" t="s">
        <v>2272</v>
      </c>
      <c r="G4038" s="4" t="s">
        <v>2657</v>
      </c>
      <c r="H4038" s="198" t="s">
        <v>521</v>
      </c>
      <c r="I4038" s="198"/>
      <c r="J4038" s="71" t="s">
        <v>2272</v>
      </c>
      <c r="K4038" s="21">
        <f>373/(1+'Record info'!$M1611-'Record info'!$L1611)/'Record info'!$K1611</f>
        <v>3.6965389296091777E-2</v>
      </c>
      <c r="L4038" s="226" t="s">
        <v>2272</v>
      </c>
      <c r="M4038" s="226" t="s">
        <v>2272</v>
      </c>
      <c r="N4038" s="226" t="s">
        <v>2272</v>
      </c>
      <c r="O4038" s="226" t="s">
        <v>2272</v>
      </c>
      <c r="P4038" s="226" t="s">
        <v>2272</v>
      </c>
      <c r="Q4038" s="21" t="e">
        <f>U4038/(J4038*'Record info'!K1611)</f>
        <v>#VALUE!</v>
      </c>
      <c r="R4038" s="226" t="s">
        <v>2272</v>
      </c>
      <c r="S4038" s="226" t="s">
        <v>2272</v>
      </c>
      <c r="T4038" s="226" t="s">
        <v>2272</v>
      </c>
      <c r="U4038" s="21">
        <f>45757/(1+'Record info'!M1611-'Record info'!L1611)</f>
        <v>1204.1315789473683</v>
      </c>
      <c r="V4038" s="226" t="s">
        <v>2272</v>
      </c>
      <c r="W4038" s="21">
        <f>U4038/('Land use'!R1611/100*'Record info'!K1611)</f>
        <v>4.9129494335154664</v>
      </c>
      <c r="X4038" s="226" t="s">
        <v>2272</v>
      </c>
      <c r="Y4038" s="21">
        <f>U4038/('Record info'!K1611)</f>
        <v>4.5346523271347756</v>
      </c>
      <c r="Z4038" s="21">
        <v>12</v>
      </c>
      <c r="AA4038" s="226" t="s">
        <v>2272</v>
      </c>
      <c r="AB4038" s="226" t="s">
        <v>2272</v>
      </c>
      <c r="AC4038" s="226" t="s">
        <v>2272</v>
      </c>
      <c r="AD4038" s="198"/>
      <c r="AE4038" s="198"/>
    </row>
    <row r="4039" spans="1:31" ht="57" customHeight="1">
      <c r="A4039" s="198" t="s">
        <v>10373</v>
      </c>
      <c r="B4039" s="198" t="s">
        <v>10384</v>
      </c>
      <c r="C4039" s="198" t="s">
        <v>1102</v>
      </c>
      <c r="D4039" s="198" t="s">
        <v>1102</v>
      </c>
      <c r="E4039" s="4" t="s">
        <v>2272</v>
      </c>
      <c r="F4039" s="4" t="s">
        <v>2272</v>
      </c>
      <c r="G4039" s="4" t="s">
        <v>2657</v>
      </c>
      <c r="H4039" s="198" t="s">
        <v>521</v>
      </c>
      <c r="I4039" s="198"/>
      <c r="J4039" s="71" t="s">
        <v>2272</v>
      </c>
      <c r="K4039" s="21">
        <f>373/(1+'Record info'!$M1612-'Record info'!$L1612)/'Record info'!$K1612</f>
        <v>2.5932708445441894E-2</v>
      </c>
      <c r="L4039" s="226" t="s">
        <v>2272</v>
      </c>
      <c r="M4039" s="226" t="s">
        <v>2272</v>
      </c>
      <c r="N4039" s="226" t="s">
        <v>2272</v>
      </c>
      <c r="O4039" s="226" t="s">
        <v>2272</v>
      </c>
      <c r="P4039" s="226" t="s">
        <v>2272</v>
      </c>
      <c r="Q4039" s="21" t="e">
        <f>U4039/(J4039*'Record info'!K1612)</f>
        <v>#VALUE!</v>
      </c>
      <c r="R4039" s="226" t="s">
        <v>2272</v>
      </c>
      <c r="S4039" s="226" t="s">
        <v>2272</v>
      </c>
      <c r="T4039" s="226" t="s">
        <v>2272</v>
      </c>
      <c r="U4039" s="21">
        <f>71826/(1+'Record info'!M1612-'Record info'!L1612)</f>
        <v>1890.1578947368421</v>
      </c>
      <c r="V4039" s="226" t="s">
        <v>2272</v>
      </c>
      <c r="W4039" s="21">
        <f>U4039/('Land use'!R1612/100*'Record info'!K1612)</f>
        <v>5.0852140589656969</v>
      </c>
      <c r="X4039" s="226" t="s">
        <v>2272</v>
      </c>
      <c r="Y4039" s="21">
        <f>U4039/('Record info'!K1612)</f>
        <v>4.9936802059043144</v>
      </c>
      <c r="Z4039" s="21">
        <v>16</v>
      </c>
      <c r="AA4039" s="226" t="s">
        <v>2272</v>
      </c>
      <c r="AB4039" s="226" t="s">
        <v>2272</v>
      </c>
      <c r="AC4039" s="226" t="s">
        <v>2272</v>
      </c>
      <c r="AD4039" s="198"/>
      <c r="AE4039" s="198"/>
    </row>
    <row r="4040" spans="1:31" ht="57" customHeight="1">
      <c r="A4040" s="198" t="s">
        <v>10374</v>
      </c>
      <c r="B4040" s="198" t="s">
        <v>10385</v>
      </c>
      <c r="C4040" s="198" t="s">
        <v>1102</v>
      </c>
      <c r="D4040" s="198" t="s">
        <v>1102</v>
      </c>
      <c r="E4040" s="4" t="s">
        <v>2272</v>
      </c>
      <c r="F4040" s="4" t="s">
        <v>2272</v>
      </c>
      <c r="G4040" s="4" t="s">
        <v>2657</v>
      </c>
      <c r="H4040" s="198" t="s">
        <v>521</v>
      </c>
      <c r="I4040" s="198"/>
      <c r="J4040" s="71" t="s">
        <v>2272</v>
      </c>
      <c r="K4040" s="21">
        <f>373/(1+'Record info'!$M1613-'Record info'!$L1613)/'Record info'!$K1613</f>
        <v>1.4216304309712669E-2</v>
      </c>
      <c r="L4040" s="226" t="s">
        <v>2272</v>
      </c>
      <c r="M4040" s="226" t="s">
        <v>2272</v>
      </c>
      <c r="N4040" s="226" t="s">
        <v>2272</v>
      </c>
      <c r="O4040" s="226" t="s">
        <v>2272</v>
      </c>
      <c r="P4040" s="226" t="s">
        <v>2272</v>
      </c>
      <c r="Q4040" s="21" t="e">
        <f>U4040/(J4040*'Record info'!K1613)</f>
        <v>#VALUE!</v>
      </c>
      <c r="R4040" s="226" t="s">
        <v>2272</v>
      </c>
      <c r="S4040" s="226" t="s">
        <v>2272</v>
      </c>
      <c r="T4040" s="226" t="s">
        <v>2272</v>
      </c>
      <c r="U4040" s="21">
        <f>124931/(1+'Record info'!M1613-'Record info'!L1613)</f>
        <v>3287.6578947368421</v>
      </c>
      <c r="V4040" s="226" t="s">
        <v>2272</v>
      </c>
      <c r="W4040" s="21">
        <f>U4040/('Land use'!R1613/100*'Record info'!K1613)</f>
        <v>5.1254544905927082</v>
      </c>
      <c r="X4040" s="226" t="s">
        <v>2272</v>
      </c>
      <c r="Y4040" s="21">
        <f>U4040/('Record info'!K1613)</f>
        <v>4.7615472217606261</v>
      </c>
      <c r="Z4040" s="21">
        <v>10</v>
      </c>
      <c r="AA4040" s="226" t="s">
        <v>2272</v>
      </c>
      <c r="AB4040" s="226" t="s">
        <v>2272</v>
      </c>
      <c r="AC4040" s="226" t="s">
        <v>2272</v>
      </c>
      <c r="AD4040" s="198"/>
      <c r="AE4040" s="198"/>
    </row>
    <row r="4041" spans="1:31" ht="57" customHeight="1">
      <c r="A4041" s="198" t="s">
        <v>10375</v>
      </c>
      <c r="B4041" s="198" t="s">
        <v>10386</v>
      </c>
      <c r="C4041" s="198" t="s">
        <v>1102</v>
      </c>
      <c r="D4041" s="198" t="s">
        <v>1102</v>
      </c>
      <c r="E4041" s="4" t="s">
        <v>2272</v>
      </c>
      <c r="F4041" s="4" t="s">
        <v>2272</v>
      </c>
      <c r="G4041" s="4" t="s">
        <v>2657</v>
      </c>
      <c r="H4041" s="198" t="s">
        <v>521</v>
      </c>
      <c r="I4041" s="198"/>
      <c r="J4041" s="71" t="s">
        <v>2272</v>
      </c>
      <c r="K4041" s="21">
        <f>373/(1+'Record info'!$M1614-'Record info'!$L1614)/'Record info'!$K1614</f>
        <v>1.7286957940321528E-2</v>
      </c>
      <c r="L4041" s="226" t="s">
        <v>2272</v>
      </c>
      <c r="M4041" s="226" t="s">
        <v>2272</v>
      </c>
      <c r="N4041" s="226" t="s">
        <v>2272</v>
      </c>
      <c r="O4041" s="226" t="s">
        <v>2272</v>
      </c>
      <c r="P4041" s="226" t="s">
        <v>2272</v>
      </c>
      <c r="Q4041" s="21" t="e">
        <f>U4041/(J4041*'Record info'!K1614)</f>
        <v>#VALUE!</v>
      </c>
      <c r="R4041" s="226" t="s">
        <v>2272</v>
      </c>
      <c r="S4041" s="226" t="s">
        <v>2272</v>
      </c>
      <c r="T4041" s="226" t="s">
        <v>2272</v>
      </c>
      <c r="U4041" s="21">
        <f>114585/(1+'Record info'!M1614-'Record info'!L1614)</f>
        <v>3182.9166666666665</v>
      </c>
      <c r="V4041" s="226" t="s">
        <v>2272</v>
      </c>
      <c r="W4041" s="21">
        <f>U4041/('Land use'!R1614/100*'Record info'!K1614)</f>
        <v>5.9468372584856963</v>
      </c>
      <c r="X4041" s="226" t="s">
        <v>2272</v>
      </c>
      <c r="Y4041" s="21">
        <f>U4041/('Record info'!K1614)</f>
        <v>5.3105256718277269</v>
      </c>
      <c r="Z4041" s="21">
        <v>11</v>
      </c>
      <c r="AA4041" s="226" t="s">
        <v>2272</v>
      </c>
      <c r="AB4041" s="226" t="s">
        <v>2272</v>
      </c>
      <c r="AC4041" s="226" t="s">
        <v>2272</v>
      </c>
      <c r="AD4041" s="198"/>
      <c r="AE4041" s="198"/>
    </row>
    <row r="4042" spans="1:31" ht="57" customHeight="1">
      <c r="A4042" s="198" t="s">
        <v>10376</v>
      </c>
      <c r="B4042" s="198" t="s">
        <v>10387</v>
      </c>
      <c r="C4042" s="198" t="s">
        <v>1102</v>
      </c>
      <c r="D4042" s="198" t="s">
        <v>1102</v>
      </c>
      <c r="E4042" s="4" t="s">
        <v>2272</v>
      </c>
      <c r="F4042" s="4" t="s">
        <v>2272</v>
      </c>
      <c r="G4042" s="4" t="s">
        <v>2657</v>
      </c>
      <c r="H4042" s="198" t="s">
        <v>521</v>
      </c>
      <c r="I4042" s="198"/>
      <c r="J4042" s="71" t="s">
        <v>2272</v>
      </c>
      <c r="K4042" s="21">
        <f>373/(1+'Record info'!$M1615-'Record info'!$L1615)/'Record info'!$K1615</f>
        <v>1.0152781671643255E-2</v>
      </c>
      <c r="L4042" s="226" t="s">
        <v>2272</v>
      </c>
      <c r="M4042" s="226" t="s">
        <v>2272</v>
      </c>
      <c r="N4042" s="226" t="s">
        <v>2272</v>
      </c>
      <c r="O4042" s="226" t="s">
        <v>2272</v>
      </c>
      <c r="P4042" s="226" t="s">
        <v>2272</v>
      </c>
      <c r="Q4042" s="21" t="e">
        <f>U4042/(J4042*'Record info'!K1615)</f>
        <v>#VALUE!</v>
      </c>
      <c r="R4042" s="226" t="s">
        <v>2272</v>
      </c>
      <c r="S4042" s="226" t="s">
        <v>2272</v>
      </c>
      <c r="T4042" s="226" t="s">
        <v>2272</v>
      </c>
      <c r="U4042" s="21">
        <f>192064/(1+'Record info'!M1615-'Record info'!L1615)</f>
        <v>5648.9411764705883</v>
      </c>
      <c r="V4042" s="226" t="s">
        <v>2272</v>
      </c>
      <c r="W4042" s="21">
        <f>U4042/('Land use'!R1615/100*'Record info'!K1615)</f>
        <v>5.3399783085067654</v>
      </c>
      <c r="X4042" s="226" t="s">
        <v>2272</v>
      </c>
      <c r="Y4042" s="21">
        <f>U4042/('Record info'!K1615)</f>
        <v>5.2278387640281236</v>
      </c>
      <c r="Z4042" s="21">
        <v>12</v>
      </c>
      <c r="AA4042" s="226" t="s">
        <v>2272</v>
      </c>
      <c r="AB4042" s="226" t="s">
        <v>2272</v>
      </c>
      <c r="AC4042" s="226" t="s">
        <v>2272</v>
      </c>
      <c r="AD4042" s="198"/>
      <c r="AE4042" s="198"/>
    </row>
    <row r="4043" spans="1:31" ht="57" customHeight="1">
      <c r="A4043" s="198" t="s">
        <v>10377</v>
      </c>
      <c r="B4043" s="198" t="s">
        <v>10388</v>
      </c>
      <c r="C4043" s="198" t="s">
        <v>1102</v>
      </c>
      <c r="D4043" s="198" t="s">
        <v>1102</v>
      </c>
      <c r="E4043" s="4" t="s">
        <v>2272</v>
      </c>
      <c r="F4043" s="4" t="s">
        <v>2272</v>
      </c>
      <c r="G4043" s="4" t="s">
        <v>2657</v>
      </c>
      <c r="H4043" s="198" t="s">
        <v>521</v>
      </c>
      <c r="I4043" s="198"/>
      <c r="J4043" s="71" t="s">
        <v>2272</v>
      </c>
      <c r="K4043" s="21">
        <f>373/(1+'Record info'!$M1616-'Record info'!$L1616)/'Record info'!$K1616</f>
        <v>1.1506720171373006E-2</v>
      </c>
      <c r="L4043" s="226" t="s">
        <v>2272</v>
      </c>
      <c r="M4043" s="226" t="s">
        <v>2272</v>
      </c>
      <c r="N4043" s="226" t="s">
        <v>2272</v>
      </c>
      <c r="O4043" s="226" t="s">
        <v>2272</v>
      </c>
      <c r="P4043" s="226" t="s">
        <v>2272</v>
      </c>
      <c r="Q4043" s="21" t="e">
        <f>U4043/(J4043*'Record info'!K1616)</f>
        <v>#VALUE!</v>
      </c>
      <c r="R4043" s="226" t="s">
        <v>2272</v>
      </c>
      <c r="S4043" s="226" t="s">
        <v>2272</v>
      </c>
      <c r="T4043" s="226" t="s">
        <v>2272</v>
      </c>
      <c r="U4043" s="21">
        <f>229621/(1+'Record info'!M1616-'Record info'!L1616)</f>
        <v>6378.3611111111113</v>
      </c>
      <c r="V4043" s="226" t="s">
        <v>2272</v>
      </c>
      <c r="W4043" s="21">
        <f>U4043/('Land use'!R1616/100*'Record info'!K1616)</f>
        <v>8.236749773897504</v>
      </c>
      <c r="X4043" s="226" t="s">
        <v>2272</v>
      </c>
      <c r="Y4043" s="21">
        <f>U4043/('Record info'!K1616)</f>
        <v>7.0836048055518539</v>
      </c>
      <c r="Z4043" s="21">
        <v>10</v>
      </c>
      <c r="AA4043" s="226" t="s">
        <v>2272</v>
      </c>
      <c r="AB4043" s="226" t="s">
        <v>2272</v>
      </c>
      <c r="AC4043" s="226" t="s">
        <v>2272</v>
      </c>
      <c r="AD4043" s="198"/>
      <c r="AE4043" s="198"/>
    </row>
    <row r="4044" spans="1:31" ht="57" customHeight="1">
      <c r="A4044" s="198" t="s">
        <v>10378</v>
      </c>
      <c r="B4044" s="198" t="s">
        <v>10389</v>
      </c>
      <c r="C4044" s="198" t="s">
        <v>1102</v>
      </c>
      <c r="D4044" s="198" t="s">
        <v>1102</v>
      </c>
      <c r="E4044" s="4" t="s">
        <v>2272</v>
      </c>
      <c r="F4044" s="4" t="s">
        <v>2272</v>
      </c>
      <c r="G4044" s="4" t="s">
        <v>2657</v>
      </c>
      <c r="H4044" s="198" t="s">
        <v>521</v>
      </c>
      <c r="I4044" s="198"/>
      <c r="J4044" s="71" t="s">
        <v>2272</v>
      </c>
      <c r="K4044" s="21">
        <f>373/(1+'Record info'!$M1617-'Record info'!$L1617)/'Record info'!$K1617</f>
        <v>8.21369705551072E-3</v>
      </c>
      <c r="L4044" s="226" t="s">
        <v>2272</v>
      </c>
      <c r="M4044" s="226" t="s">
        <v>2272</v>
      </c>
      <c r="N4044" s="226" t="s">
        <v>2272</v>
      </c>
      <c r="O4044" s="226" t="s">
        <v>2272</v>
      </c>
      <c r="P4044" s="226" t="s">
        <v>2272</v>
      </c>
      <c r="Q4044" s="21" t="e">
        <f>U4044/(J4044*'Record info'!K1617)</f>
        <v>#VALUE!</v>
      </c>
      <c r="R4044" s="226" t="s">
        <v>2272</v>
      </c>
      <c r="S4044" s="226" t="s">
        <v>2272</v>
      </c>
      <c r="T4044" s="226" t="s">
        <v>2272</v>
      </c>
      <c r="U4044" s="21">
        <f>241749/(1+'Record info'!M1617-'Record info'!L1617)</f>
        <v>6533.7567567567567</v>
      </c>
      <c r="V4044" s="226" t="s">
        <v>2272</v>
      </c>
      <c r="W4044" s="21">
        <f>U4044/('Land use'!R1617/100*'Record info'!K1617)</f>
        <v>5.3881241098888024</v>
      </c>
      <c r="X4044" s="226" t="s">
        <v>2272</v>
      </c>
      <c r="Y4044" s="21">
        <f>U4044/('Record info'!K1617)</f>
        <v>5.3234666205701364</v>
      </c>
      <c r="Z4044" s="21">
        <v>13</v>
      </c>
      <c r="AA4044" s="226" t="s">
        <v>2272</v>
      </c>
      <c r="AB4044" s="226" t="s">
        <v>2272</v>
      </c>
      <c r="AC4044" s="226" t="s">
        <v>2272</v>
      </c>
      <c r="AD4044" s="198"/>
      <c r="AE4044" s="198"/>
    </row>
    <row r="4045" spans="1:31" ht="57" customHeight="1">
      <c r="A4045" s="198" t="s">
        <v>10379</v>
      </c>
      <c r="B4045" s="198" t="s">
        <v>10390</v>
      </c>
      <c r="C4045" s="198" t="s">
        <v>1102</v>
      </c>
      <c r="D4045" s="198" t="s">
        <v>1102</v>
      </c>
      <c r="E4045" s="4" t="s">
        <v>2272</v>
      </c>
      <c r="F4045" s="4" t="s">
        <v>2272</v>
      </c>
      <c r="G4045" s="4" t="s">
        <v>2657</v>
      </c>
      <c r="H4045" s="198" t="s">
        <v>521</v>
      </c>
      <c r="I4045" s="198"/>
      <c r="J4045" s="71" t="s">
        <v>2272</v>
      </c>
      <c r="K4045" s="21">
        <f>373/(1+'Record info'!$M1618-'Record info'!$L1618)/'Record info'!$K1618</f>
        <v>2.4024310283306517E-2</v>
      </c>
      <c r="L4045" s="226" t="s">
        <v>2272</v>
      </c>
      <c r="M4045" s="226" t="s">
        <v>2272</v>
      </c>
      <c r="N4045" s="226" t="s">
        <v>2272</v>
      </c>
      <c r="O4045" s="226" t="s">
        <v>2272</v>
      </c>
      <c r="P4045" s="226" t="s">
        <v>2272</v>
      </c>
      <c r="Q4045" s="21" t="e">
        <f>U4045/(J4045*'Record info'!K1618)</f>
        <v>#VALUE!</v>
      </c>
      <c r="R4045" s="71" t="s">
        <v>2272</v>
      </c>
      <c r="S4045" s="71" t="s">
        <v>2272</v>
      </c>
      <c r="T4045" s="71" t="s">
        <v>2272</v>
      </c>
      <c r="U4045" s="21">
        <f>80867/(1+'Record info'!M1618-'Record info'!L1618)</f>
        <v>2185.5945945945946</v>
      </c>
      <c r="V4045" s="71" t="s">
        <v>2272</v>
      </c>
      <c r="W4045" s="21">
        <f>U4045/('Land use'!R1618/100*'Record info'!K1618)</f>
        <v>5.7299330191683051</v>
      </c>
      <c r="X4045" s="226" t="s">
        <v>2272</v>
      </c>
      <c r="Y4045" s="21">
        <f>U4045/('Record info'!K1618)</f>
        <v>5.2085091144239897</v>
      </c>
      <c r="Z4045" s="21">
        <v>18</v>
      </c>
      <c r="AA4045" s="226" t="s">
        <v>2272</v>
      </c>
      <c r="AB4045" s="226" t="s">
        <v>2272</v>
      </c>
      <c r="AC4045" s="226" t="s">
        <v>2272</v>
      </c>
      <c r="AD4045" s="198"/>
      <c r="AE4045" s="198"/>
    </row>
    <row r="4046" spans="1:31" ht="57" customHeight="1">
      <c r="A4046" s="198" t="s">
        <v>10380</v>
      </c>
      <c r="B4046" s="198" t="s">
        <v>10391</v>
      </c>
      <c r="C4046" s="198" t="s">
        <v>1102</v>
      </c>
      <c r="D4046" s="198" t="s">
        <v>1102</v>
      </c>
      <c r="E4046" s="4" t="s">
        <v>2272</v>
      </c>
      <c r="F4046" s="4" t="s">
        <v>2272</v>
      </c>
      <c r="G4046" s="4" t="s">
        <v>2657</v>
      </c>
      <c r="H4046" s="198" t="s">
        <v>521</v>
      </c>
      <c r="I4046" s="198"/>
      <c r="J4046" s="71" t="s">
        <v>2272</v>
      </c>
      <c r="K4046" s="21">
        <f>373/(1+'Record info'!$M1619-'Record info'!$L1619)/'Record info'!$K1619</f>
        <v>2.0328448873951081E-2</v>
      </c>
      <c r="L4046" s="226" t="s">
        <v>2272</v>
      </c>
      <c r="M4046" s="226" t="s">
        <v>2272</v>
      </c>
      <c r="N4046" s="226" t="s">
        <v>2272</v>
      </c>
      <c r="O4046" s="226" t="s">
        <v>2272</v>
      </c>
      <c r="P4046" s="226" t="s">
        <v>2272</v>
      </c>
      <c r="Q4046" s="21" t="e">
        <f>U4046/(J4046*'Record info'!K1619)</f>
        <v>#VALUE!</v>
      </c>
      <c r="R4046" s="71" t="s">
        <v>2272</v>
      </c>
      <c r="S4046" s="71" t="s">
        <v>2272</v>
      </c>
      <c r="T4046" s="71" t="s">
        <v>2272</v>
      </c>
      <c r="U4046" s="21">
        <f>86657/(1+'Record info'!M1619-'Record info'!L1619)</f>
        <v>2342.0810810810813</v>
      </c>
      <c r="V4046" s="71" t="s">
        <v>2272</v>
      </c>
      <c r="W4046" s="21">
        <f>U4046/('Land use'!R1619/100*'Record info'!K1619)</f>
        <v>4.8789200642267829</v>
      </c>
      <c r="X4046" s="226" t="s">
        <v>2272</v>
      </c>
      <c r="Y4046" s="21">
        <f>U4046/('Record info'!K1619)</f>
        <v>4.7227946221715253</v>
      </c>
      <c r="Z4046" s="21">
        <v>11</v>
      </c>
      <c r="AA4046" s="71" t="s">
        <v>2272</v>
      </c>
      <c r="AB4046" s="71" t="s">
        <v>2272</v>
      </c>
      <c r="AC4046" s="71" t="s">
        <v>2272</v>
      </c>
      <c r="AD4046" s="198"/>
      <c r="AE4046" s="198"/>
    </row>
    <row r="4047" spans="1:31" ht="57" customHeight="1">
      <c r="A4047" s="198" t="s">
        <v>10381</v>
      </c>
      <c r="B4047" s="198" t="s">
        <v>10392</v>
      </c>
      <c r="C4047" s="198" t="s">
        <v>1102</v>
      </c>
      <c r="D4047" s="198" t="s">
        <v>1102</v>
      </c>
      <c r="E4047" s="4" t="s">
        <v>2272</v>
      </c>
      <c r="F4047" s="4" t="s">
        <v>2272</v>
      </c>
      <c r="G4047" s="4" t="s">
        <v>2657</v>
      </c>
      <c r="H4047" s="198" t="s">
        <v>521</v>
      </c>
      <c r="I4047" s="198"/>
      <c r="J4047" s="71" t="s">
        <v>2272</v>
      </c>
      <c r="K4047" s="21">
        <f>373/(1+'Record info'!$M1620-'Record info'!$L1620)/'Record info'!$K1620</f>
        <v>8.3718783891518402E-3</v>
      </c>
      <c r="L4047" s="71" t="s">
        <v>2272</v>
      </c>
      <c r="M4047" s="71" t="s">
        <v>2272</v>
      </c>
      <c r="N4047" s="71" t="s">
        <v>2272</v>
      </c>
      <c r="O4047" s="71" t="s">
        <v>2272</v>
      </c>
      <c r="P4047" s="71" t="s">
        <v>2272</v>
      </c>
      <c r="Q4047" s="21" t="e">
        <f>U4047/(J4047*'Record info'!K1620)</f>
        <v>#VALUE!</v>
      </c>
      <c r="R4047" s="71" t="s">
        <v>2272</v>
      </c>
      <c r="S4047" s="71" t="s">
        <v>2272</v>
      </c>
      <c r="T4047" s="71" t="s">
        <v>2272</v>
      </c>
      <c r="U4047" s="21">
        <f>157878/(1+'Record info'!M1620-'Record info'!L1620)</f>
        <v>4266.9729729729734</v>
      </c>
      <c r="V4047" s="71" t="s">
        <v>2272</v>
      </c>
      <c r="W4047" s="21">
        <f>U4047/('Land use'!R1620/100*'Record info'!K1620)</f>
        <v>3.5506278409970462</v>
      </c>
      <c r="X4047" s="71" t="s">
        <v>2272</v>
      </c>
      <c r="Y4047" s="21">
        <f>U4047/('Record info'!K1620)</f>
        <v>3.5435265853150519</v>
      </c>
      <c r="Z4047" s="21">
        <v>21</v>
      </c>
      <c r="AA4047" s="71" t="s">
        <v>2272</v>
      </c>
      <c r="AB4047" s="71" t="s">
        <v>2272</v>
      </c>
      <c r="AC4047" s="71" t="s">
        <v>2272</v>
      </c>
      <c r="AD4047" s="198"/>
      <c r="AE4047" s="198"/>
    </row>
    <row r="4048" spans="1:31" ht="60" customHeight="1">
      <c r="A4048" s="198" t="s">
        <v>10362</v>
      </c>
      <c r="B4048" s="198" t="s">
        <v>10393</v>
      </c>
      <c r="C4048" s="198" t="s">
        <v>23</v>
      </c>
      <c r="D4048" s="198" t="s">
        <v>142</v>
      </c>
      <c r="E4048" s="198" t="s">
        <v>135</v>
      </c>
      <c r="F4048" s="4" t="s">
        <v>2657</v>
      </c>
      <c r="G4048" s="4" t="s">
        <v>2657</v>
      </c>
      <c r="H4048" s="198" t="s">
        <v>521</v>
      </c>
      <c r="I4048" s="198"/>
      <c r="J4048" s="71" t="s">
        <v>2272</v>
      </c>
      <c r="K4048" s="71" t="s">
        <v>2272</v>
      </c>
      <c r="L4048" s="71" t="s">
        <v>2272</v>
      </c>
      <c r="M4048" s="71" t="s">
        <v>2272</v>
      </c>
      <c r="N4048" s="71" t="s">
        <v>2272</v>
      </c>
      <c r="O4048" s="71" t="s">
        <v>2272</v>
      </c>
      <c r="P4048" s="71" t="s">
        <v>2272</v>
      </c>
      <c r="Q4048" s="71" t="s">
        <v>2272</v>
      </c>
      <c r="R4048" s="71" t="s">
        <v>2272</v>
      </c>
      <c r="S4048" s="71" t="s">
        <v>2272</v>
      </c>
      <c r="T4048" s="71" t="s">
        <v>2272</v>
      </c>
      <c r="U4048" s="21">
        <f>U4038*0.146</f>
        <v>175.80321052631575</v>
      </c>
      <c r="V4048" s="71" t="s">
        <v>2272</v>
      </c>
      <c r="W4048" s="21">
        <f>U4048/('Land use'!R1611/100*'Record info'!K1611)</f>
        <v>0.71729061729325805</v>
      </c>
      <c r="X4048" s="71" t="s">
        <v>2272</v>
      </c>
      <c r="Y4048" s="21">
        <f>U4048/('Record info'!K1611)</f>
        <v>0.66205923976167713</v>
      </c>
      <c r="Z4048" s="226" t="s">
        <v>2272</v>
      </c>
      <c r="AA4048" s="198" t="s">
        <v>37</v>
      </c>
      <c r="AB4048" s="198" t="s">
        <v>423</v>
      </c>
      <c r="AC4048" s="71" t="s">
        <v>2272</v>
      </c>
      <c r="AD4048" s="4" t="s">
        <v>10403</v>
      </c>
      <c r="AE4048" s="198"/>
    </row>
    <row r="4049" spans="1:31" ht="60" customHeight="1">
      <c r="A4049" s="198" t="s">
        <v>10373</v>
      </c>
      <c r="B4049" s="198" t="s">
        <v>10394</v>
      </c>
      <c r="C4049" s="198" t="s">
        <v>23</v>
      </c>
      <c r="D4049" s="198" t="s">
        <v>142</v>
      </c>
      <c r="E4049" s="198" t="s">
        <v>135</v>
      </c>
      <c r="F4049" s="4" t="s">
        <v>2657</v>
      </c>
      <c r="G4049" s="4" t="s">
        <v>2657</v>
      </c>
      <c r="H4049" s="198" t="s">
        <v>521</v>
      </c>
      <c r="I4049" s="198"/>
      <c r="J4049" s="71" t="s">
        <v>2272</v>
      </c>
      <c r="K4049" s="71" t="s">
        <v>2272</v>
      </c>
      <c r="L4049" s="71" t="s">
        <v>2272</v>
      </c>
      <c r="M4049" s="71" t="s">
        <v>2272</v>
      </c>
      <c r="N4049" s="71" t="s">
        <v>2272</v>
      </c>
      <c r="O4049" s="71" t="s">
        <v>2272</v>
      </c>
      <c r="P4049" s="71" t="s">
        <v>2272</v>
      </c>
      <c r="Q4049" s="71" t="s">
        <v>2272</v>
      </c>
      <c r="R4049" s="71" t="s">
        <v>2272</v>
      </c>
      <c r="S4049" s="71" t="s">
        <v>2272</v>
      </c>
      <c r="T4049" s="71" t="s">
        <v>2272</v>
      </c>
      <c r="U4049" s="21">
        <f>U4039*0.149</f>
        <v>281.63352631578948</v>
      </c>
      <c r="V4049" s="71" t="s">
        <v>2272</v>
      </c>
      <c r="W4049" s="21">
        <f>U4049/('Land use'!R1612/100*'Record info'!K1612)</f>
        <v>0.75769689478588886</v>
      </c>
      <c r="X4049" s="71" t="s">
        <v>2272</v>
      </c>
      <c r="Y4049" s="21">
        <f>U4049/('Record info'!K1612)</f>
        <v>0.74405835067974291</v>
      </c>
      <c r="Z4049" s="226" t="s">
        <v>2272</v>
      </c>
      <c r="AA4049" s="198" t="s">
        <v>37</v>
      </c>
      <c r="AB4049" s="198" t="s">
        <v>423</v>
      </c>
      <c r="AC4049" s="71" t="s">
        <v>2272</v>
      </c>
      <c r="AD4049" s="4" t="s">
        <v>10403</v>
      </c>
      <c r="AE4049" s="198"/>
    </row>
    <row r="4050" spans="1:31" ht="60" customHeight="1">
      <c r="A4050" s="198" t="s">
        <v>10374</v>
      </c>
      <c r="B4050" s="198" t="s">
        <v>10395</v>
      </c>
      <c r="C4050" s="198" t="s">
        <v>23</v>
      </c>
      <c r="D4050" s="198" t="s">
        <v>142</v>
      </c>
      <c r="E4050" s="198" t="s">
        <v>135</v>
      </c>
      <c r="F4050" s="4" t="s">
        <v>2657</v>
      </c>
      <c r="G4050" s="4" t="s">
        <v>2657</v>
      </c>
      <c r="H4050" s="198" t="s">
        <v>521</v>
      </c>
      <c r="I4050" s="198"/>
      <c r="J4050" s="71" t="s">
        <v>2272</v>
      </c>
      <c r="K4050" s="71" t="s">
        <v>2272</v>
      </c>
      <c r="L4050" s="71" t="s">
        <v>2272</v>
      </c>
      <c r="M4050" s="71" t="s">
        <v>2272</v>
      </c>
      <c r="N4050" s="71" t="s">
        <v>2272</v>
      </c>
      <c r="O4050" s="71" t="s">
        <v>2272</v>
      </c>
      <c r="P4050" s="71" t="s">
        <v>2272</v>
      </c>
      <c r="Q4050" s="71" t="s">
        <v>2272</v>
      </c>
      <c r="R4050" s="71" t="s">
        <v>2272</v>
      </c>
      <c r="S4050" s="71" t="s">
        <v>2272</v>
      </c>
      <c r="T4050" s="71" t="s">
        <v>2272</v>
      </c>
      <c r="U4050" s="21">
        <f>U4040*0.324</f>
        <v>1065.201157894737</v>
      </c>
      <c r="V4050" s="71" t="s">
        <v>2272</v>
      </c>
      <c r="W4050" s="21">
        <f>U4050/('Land use'!R1613/100*'Record info'!K1613)</f>
        <v>1.6606472549520377</v>
      </c>
      <c r="X4050" s="71" t="s">
        <v>2272</v>
      </c>
      <c r="Y4050" s="21">
        <f>U4050/('Record info'!K1613)</f>
        <v>1.5427412998504431</v>
      </c>
      <c r="Z4050" s="226" t="s">
        <v>2272</v>
      </c>
      <c r="AA4050" s="198" t="s">
        <v>37</v>
      </c>
      <c r="AB4050" s="198" t="s">
        <v>423</v>
      </c>
      <c r="AC4050" s="71" t="s">
        <v>2272</v>
      </c>
      <c r="AD4050" s="4" t="s">
        <v>10403</v>
      </c>
      <c r="AE4050" s="198"/>
    </row>
    <row r="4051" spans="1:31" ht="60" customHeight="1">
      <c r="A4051" s="198" t="s">
        <v>10375</v>
      </c>
      <c r="B4051" s="198" t="s">
        <v>10396</v>
      </c>
      <c r="C4051" s="198" t="s">
        <v>23</v>
      </c>
      <c r="D4051" s="198" t="s">
        <v>142</v>
      </c>
      <c r="E4051" s="198" t="s">
        <v>135</v>
      </c>
      <c r="F4051" s="4" t="s">
        <v>2657</v>
      </c>
      <c r="G4051" s="4" t="s">
        <v>2657</v>
      </c>
      <c r="H4051" s="198" t="s">
        <v>521</v>
      </c>
      <c r="I4051" s="198"/>
      <c r="J4051" s="71" t="s">
        <v>2272</v>
      </c>
      <c r="K4051" s="71" t="s">
        <v>2272</v>
      </c>
      <c r="L4051" s="71" t="s">
        <v>2272</v>
      </c>
      <c r="M4051" s="71" t="s">
        <v>2272</v>
      </c>
      <c r="N4051" s="71" t="s">
        <v>2272</v>
      </c>
      <c r="O4051" s="71" t="s">
        <v>2272</v>
      </c>
      <c r="P4051" s="71" t="s">
        <v>2272</v>
      </c>
      <c r="Q4051" s="71" t="s">
        <v>2272</v>
      </c>
      <c r="R4051" s="71" t="s">
        <v>2272</v>
      </c>
      <c r="S4051" s="71" t="s">
        <v>2272</v>
      </c>
      <c r="T4051" s="71" t="s">
        <v>2272</v>
      </c>
      <c r="U4051" s="21">
        <f>U4041*0.065</f>
        <v>206.88958333333332</v>
      </c>
      <c r="V4051" s="71" t="s">
        <v>2272</v>
      </c>
      <c r="W4051" s="21">
        <f>U4051/('Land use'!R1614/100*'Record info'!K1614)</f>
        <v>0.38654442180157028</v>
      </c>
      <c r="X4051" s="71" t="s">
        <v>2272</v>
      </c>
      <c r="Y4051" s="21">
        <f>U4051/('Record info'!K1614)</f>
        <v>0.34518416866880225</v>
      </c>
      <c r="Z4051" s="226" t="s">
        <v>2272</v>
      </c>
      <c r="AA4051" s="198" t="s">
        <v>37</v>
      </c>
      <c r="AB4051" s="198" t="s">
        <v>423</v>
      </c>
      <c r="AC4051" s="71" t="s">
        <v>2272</v>
      </c>
      <c r="AD4051" s="4" t="s">
        <v>10403</v>
      </c>
      <c r="AE4051" s="198"/>
    </row>
    <row r="4052" spans="1:31" ht="60" customHeight="1">
      <c r="A4052" s="198" t="s">
        <v>10376</v>
      </c>
      <c r="B4052" s="198" t="s">
        <v>10397</v>
      </c>
      <c r="C4052" s="198" t="s">
        <v>23</v>
      </c>
      <c r="D4052" s="198" t="s">
        <v>142</v>
      </c>
      <c r="E4052" s="198" t="s">
        <v>135</v>
      </c>
      <c r="F4052" s="4" t="s">
        <v>2657</v>
      </c>
      <c r="G4052" s="4" t="s">
        <v>2657</v>
      </c>
      <c r="H4052" s="198" t="s">
        <v>521</v>
      </c>
      <c r="I4052" s="198"/>
      <c r="J4052" s="71" t="s">
        <v>2272</v>
      </c>
      <c r="K4052" s="71" t="s">
        <v>2272</v>
      </c>
      <c r="L4052" s="71" t="s">
        <v>2272</v>
      </c>
      <c r="M4052" s="71" t="s">
        <v>2272</v>
      </c>
      <c r="N4052" s="71" t="s">
        <v>2272</v>
      </c>
      <c r="O4052" s="71" t="s">
        <v>2272</v>
      </c>
      <c r="P4052" s="71" t="s">
        <v>2272</v>
      </c>
      <c r="Q4052" s="71" t="s">
        <v>2272</v>
      </c>
      <c r="R4052" s="71" t="s">
        <v>2272</v>
      </c>
      <c r="S4052" s="71" t="s">
        <v>2272</v>
      </c>
      <c r="T4052" s="71" t="s">
        <v>2272</v>
      </c>
      <c r="U4052" s="21">
        <f>U4042*0.046</f>
        <v>259.85129411764706</v>
      </c>
      <c r="V4052" s="71" t="s">
        <v>2272</v>
      </c>
      <c r="W4052" s="21">
        <f>U4052/('Land use'!R1615/100*'Record info'!K1615)</f>
        <v>0.24563900219131121</v>
      </c>
      <c r="X4052" s="71" t="s">
        <v>2272</v>
      </c>
      <c r="Y4052" s="21">
        <f>U4052/('Record info'!K1615)</f>
        <v>0.24048058314529366</v>
      </c>
      <c r="Z4052" s="226" t="s">
        <v>2272</v>
      </c>
      <c r="AA4052" s="198" t="s">
        <v>37</v>
      </c>
      <c r="AB4052" s="198" t="s">
        <v>423</v>
      </c>
      <c r="AC4052" s="71" t="s">
        <v>2272</v>
      </c>
      <c r="AD4052" s="4" t="s">
        <v>10403</v>
      </c>
      <c r="AE4052" s="198"/>
    </row>
    <row r="4053" spans="1:31" ht="60" customHeight="1">
      <c r="A4053" s="198" t="s">
        <v>10377</v>
      </c>
      <c r="B4053" s="198" t="s">
        <v>10398</v>
      </c>
      <c r="C4053" s="198" t="s">
        <v>23</v>
      </c>
      <c r="D4053" s="198" t="s">
        <v>142</v>
      </c>
      <c r="E4053" s="198" t="s">
        <v>135</v>
      </c>
      <c r="F4053" s="4" t="s">
        <v>2657</v>
      </c>
      <c r="G4053" s="4" t="s">
        <v>2657</v>
      </c>
      <c r="H4053" s="198" t="s">
        <v>521</v>
      </c>
      <c r="I4053" s="198"/>
      <c r="J4053" s="71" t="s">
        <v>2272</v>
      </c>
      <c r="K4053" s="71" t="s">
        <v>2272</v>
      </c>
      <c r="L4053" s="71" t="s">
        <v>2272</v>
      </c>
      <c r="M4053" s="71" t="s">
        <v>2272</v>
      </c>
      <c r="N4053" s="71" t="s">
        <v>2272</v>
      </c>
      <c r="O4053" s="71" t="s">
        <v>2272</v>
      </c>
      <c r="P4053" s="71" t="s">
        <v>2272</v>
      </c>
      <c r="Q4053" s="71" t="s">
        <v>2272</v>
      </c>
      <c r="R4053" s="71" t="s">
        <v>2272</v>
      </c>
      <c r="S4053" s="71" t="s">
        <v>2272</v>
      </c>
      <c r="T4053" s="71" t="s">
        <v>2272</v>
      </c>
      <c r="U4053" s="21">
        <f>U4043*0.112</f>
        <v>714.37644444444447</v>
      </c>
      <c r="V4053" s="71" t="s">
        <v>2272</v>
      </c>
      <c r="W4053" s="21">
        <f>U4053/('Land use'!R1616/100*'Record info'!K1616)</f>
        <v>0.92251597467652047</v>
      </c>
      <c r="X4053" s="71" t="s">
        <v>2272</v>
      </c>
      <c r="Y4053" s="21">
        <f>U4053/('Record info'!K1616)</f>
        <v>0.79336373822180761</v>
      </c>
      <c r="Z4053" s="226" t="s">
        <v>2272</v>
      </c>
      <c r="AA4053" s="198" t="s">
        <v>37</v>
      </c>
      <c r="AB4053" s="198" t="s">
        <v>423</v>
      </c>
      <c r="AC4053" s="71" t="s">
        <v>2272</v>
      </c>
      <c r="AD4053" s="4" t="s">
        <v>10403</v>
      </c>
      <c r="AE4053" s="198"/>
    </row>
    <row r="4054" spans="1:31" ht="60" customHeight="1">
      <c r="A4054" s="198" t="s">
        <v>10378</v>
      </c>
      <c r="B4054" s="198" t="s">
        <v>10399</v>
      </c>
      <c r="C4054" s="198" t="s">
        <v>23</v>
      </c>
      <c r="D4054" s="198" t="s">
        <v>142</v>
      </c>
      <c r="E4054" s="198" t="s">
        <v>135</v>
      </c>
      <c r="F4054" s="4" t="s">
        <v>2657</v>
      </c>
      <c r="G4054" s="4" t="s">
        <v>2657</v>
      </c>
      <c r="H4054" s="198" t="s">
        <v>521</v>
      </c>
      <c r="I4054" s="198"/>
      <c r="J4054" s="71" t="s">
        <v>2272</v>
      </c>
      <c r="K4054" s="71" t="s">
        <v>2272</v>
      </c>
      <c r="L4054" s="71" t="s">
        <v>2272</v>
      </c>
      <c r="M4054" s="71" t="s">
        <v>2272</v>
      </c>
      <c r="N4054" s="71" t="s">
        <v>2272</v>
      </c>
      <c r="O4054" s="71" t="s">
        <v>2272</v>
      </c>
      <c r="P4054" s="71" t="s">
        <v>2272</v>
      </c>
      <c r="Q4054" s="71" t="s">
        <v>2272</v>
      </c>
      <c r="R4054" s="71" t="s">
        <v>2272</v>
      </c>
      <c r="S4054" s="71" t="s">
        <v>2272</v>
      </c>
      <c r="T4054" s="71" t="s">
        <v>2272</v>
      </c>
      <c r="U4054" s="21">
        <f>U4044*0.116</f>
        <v>757.91578378378381</v>
      </c>
      <c r="V4054" s="71" t="s">
        <v>2272</v>
      </c>
      <c r="W4054" s="21">
        <f>U4054/('Land use'!R1617/100*'Record info'!K1617)</f>
        <v>0.62502239674710114</v>
      </c>
      <c r="X4054" s="71" t="s">
        <v>2272</v>
      </c>
      <c r="Y4054" s="21">
        <f>U4054/('Record info'!K1617)</f>
        <v>0.61752212798613593</v>
      </c>
      <c r="Z4054" s="226" t="s">
        <v>2272</v>
      </c>
      <c r="AA4054" s="198" t="s">
        <v>37</v>
      </c>
      <c r="AB4054" s="198" t="s">
        <v>423</v>
      </c>
      <c r="AC4054" s="71" t="s">
        <v>2272</v>
      </c>
      <c r="AD4054" s="4" t="s">
        <v>10403</v>
      </c>
      <c r="AE4054" s="198"/>
    </row>
    <row r="4055" spans="1:31" ht="60" customHeight="1">
      <c r="A4055" s="198" t="s">
        <v>10379</v>
      </c>
      <c r="B4055" s="198" t="s">
        <v>10400</v>
      </c>
      <c r="C4055" s="198" t="s">
        <v>23</v>
      </c>
      <c r="D4055" s="198" t="s">
        <v>142</v>
      </c>
      <c r="E4055" s="198" t="s">
        <v>135</v>
      </c>
      <c r="F4055" s="4" t="s">
        <v>2657</v>
      </c>
      <c r="G4055" s="4" t="s">
        <v>2657</v>
      </c>
      <c r="H4055" s="198" t="s">
        <v>521</v>
      </c>
      <c r="I4055" s="198"/>
      <c r="J4055" s="71" t="s">
        <v>2272</v>
      </c>
      <c r="K4055" s="71" t="s">
        <v>2272</v>
      </c>
      <c r="L4055" s="71" t="s">
        <v>2272</v>
      </c>
      <c r="M4055" s="71" t="s">
        <v>2272</v>
      </c>
      <c r="N4055" s="71" t="s">
        <v>2272</v>
      </c>
      <c r="O4055" s="71" t="s">
        <v>2272</v>
      </c>
      <c r="P4055" s="71" t="s">
        <v>2272</v>
      </c>
      <c r="Q4055" s="71" t="s">
        <v>2272</v>
      </c>
      <c r="R4055" s="71" t="s">
        <v>2272</v>
      </c>
      <c r="S4055" s="71" t="s">
        <v>2272</v>
      </c>
      <c r="T4055" s="71" t="s">
        <v>2272</v>
      </c>
      <c r="U4055" s="21">
        <f>U4045*0.261</f>
        <v>570.44018918918925</v>
      </c>
      <c r="V4055" s="71" t="s">
        <v>2272</v>
      </c>
      <c r="W4055" s="21">
        <f>U4055/('Land use'!R1618/100*'Record info'!K1618)</f>
        <v>1.4955125180029278</v>
      </c>
      <c r="X4055" s="71" t="s">
        <v>2272</v>
      </c>
      <c r="Y4055" s="21">
        <f>U4055/('Record info'!K1618)</f>
        <v>1.3594208788646616</v>
      </c>
      <c r="Z4055" s="226" t="s">
        <v>2272</v>
      </c>
      <c r="AA4055" s="198" t="s">
        <v>37</v>
      </c>
      <c r="AB4055" s="198" t="s">
        <v>423</v>
      </c>
      <c r="AC4055" s="71" t="s">
        <v>2272</v>
      </c>
      <c r="AD4055" s="4" t="s">
        <v>10403</v>
      </c>
      <c r="AE4055" s="198"/>
    </row>
    <row r="4056" spans="1:31" ht="60" customHeight="1">
      <c r="A4056" s="198" t="s">
        <v>10380</v>
      </c>
      <c r="B4056" s="198" t="s">
        <v>10401</v>
      </c>
      <c r="C4056" s="198" t="s">
        <v>23</v>
      </c>
      <c r="D4056" s="198" t="s">
        <v>142</v>
      </c>
      <c r="E4056" s="198" t="s">
        <v>135</v>
      </c>
      <c r="F4056" s="4" t="s">
        <v>2657</v>
      </c>
      <c r="G4056" s="4" t="s">
        <v>2657</v>
      </c>
      <c r="H4056" s="198" t="s">
        <v>521</v>
      </c>
      <c r="I4056" s="198"/>
      <c r="J4056" s="71" t="s">
        <v>2272</v>
      </c>
      <c r="K4056" s="71" t="s">
        <v>2272</v>
      </c>
      <c r="L4056" s="71" t="s">
        <v>2272</v>
      </c>
      <c r="M4056" s="71" t="s">
        <v>2272</v>
      </c>
      <c r="N4056" s="71" t="s">
        <v>2272</v>
      </c>
      <c r="O4056" s="71" t="s">
        <v>2272</v>
      </c>
      <c r="P4056" s="71" t="s">
        <v>2272</v>
      </c>
      <c r="Q4056" s="71" t="s">
        <v>2272</v>
      </c>
      <c r="R4056" s="71" t="s">
        <v>2272</v>
      </c>
      <c r="S4056" s="71" t="s">
        <v>2272</v>
      </c>
      <c r="T4056" s="71" t="s">
        <v>2272</v>
      </c>
      <c r="U4056" s="21">
        <f>U4046*0.042</f>
        <v>98.367405405405421</v>
      </c>
      <c r="V4056" s="71" t="s">
        <v>2272</v>
      </c>
      <c r="W4056" s="21">
        <f>U4056/('Land use'!R1619/100*'Record info'!K1619)</f>
        <v>0.20491464269752488</v>
      </c>
      <c r="X4056" s="71" t="s">
        <v>2272</v>
      </c>
      <c r="Y4056" s="21">
        <f>U4056/('Record info'!K1619)</f>
        <v>0.19835737413120408</v>
      </c>
      <c r="Z4056" s="71" t="s">
        <v>2272</v>
      </c>
      <c r="AA4056" s="198" t="s">
        <v>37</v>
      </c>
      <c r="AB4056" s="198" t="s">
        <v>423</v>
      </c>
      <c r="AC4056" s="71" t="s">
        <v>2272</v>
      </c>
      <c r="AD4056" s="4" t="s">
        <v>10403</v>
      </c>
      <c r="AE4056" s="198"/>
    </row>
    <row r="4057" spans="1:31" ht="60" customHeight="1">
      <c r="A4057" s="198" t="s">
        <v>10381</v>
      </c>
      <c r="B4057" s="198" t="s">
        <v>10402</v>
      </c>
      <c r="C4057" s="198" t="s">
        <v>23</v>
      </c>
      <c r="D4057" s="198" t="s">
        <v>142</v>
      </c>
      <c r="E4057" s="198" t="s">
        <v>135</v>
      </c>
      <c r="F4057" s="4" t="s">
        <v>2657</v>
      </c>
      <c r="G4057" s="4" t="s">
        <v>2657</v>
      </c>
      <c r="H4057" s="198" t="s">
        <v>522</v>
      </c>
      <c r="I4057" s="198"/>
      <c r="J4057" s="71">
        <v>0</v>
      </c>
      <c r="K4057" s="71">
        <v>0</v>
      </c>
      <c r="L4057" s="71">
        <v>0</v>
      </c>
      <c r="M4057" s="71">
        <v>0</v>
      </c>
      <c r="N4057" s="71">
        <v>0</v>
      </c>
      <c r="O4057" s="71">
        <v>0</v>
      </c>
      <c r="P4057" s="71">
        <v>0</v>
      </c>
      <c r="Q4057" s="71">
        <v>0</v>
      </c>
      <c r="R4057" s="71">
        <v>0</v>
      </c>
      <c r="S4057" s="71">
        <v>0</v>
      </c>
      <c r="T4057" s="71">
        <v>0</v>
      </c>
      <c r="U4057" s="71">
        <v>0</v>
      </c>
      <c r="V4057" s="71">
        <v>0</v>
      </c>
      <c r="W4057" s="71">
        <v>0</v>
      </c>
      <c r="X4057" s="71">
        <v>0</v>
      </c>
      <c r="Y4057" s="71">
        <v>0</v>
      </c>
      <c r="Z4057" s="71" t="s">
        <v>2272</v>
      </c>
      <c r="AA4057" s="198" t="s">
        <v>37</v>
      </c>
      <c r="AB4057" s="198" t="s">
        <v>423</v>
      </c>
      <c r="AC4057" s="71" t="s">
        <v>2272</v>
      </c>
      <c r="AD4057" s="4" t="s">
        <v>10403</v>
      </c>
      <c r="AE4057" s="198"/>
    </row>
    <row r="4058" spans="1:31" ht="48" customHeight="1">
      <c r="A4058" s="198" t="s">
        <v>10406</v>
      </c>
      <c r="B4058" s="198" t="s">
        <v>10407</v>
      </c>
      <c r="C4058" s="198" t="s">
        <v>23</v>
      </c>
      <c r="D4058" s="198" t="s">
        <v>142</v>
      </c>
      <c r="E4058" s="198" t="s">
        <v>135</v>
      </c>
      <c r="F4058" s="4" t="s">
        <v>2657</v>
      </c>
      <c r="G4058" s="4" t="s">
        <v>2657</v>
      </c>
      <c r="H4058" s="198" t="s">
        <v>521</v>
      </c>
      <c r="I4058" s="198">
        <v>1957</v>
      </c>
      <c r="J4058" s="71" t="s">
        <v>2272</v>
      </c>
      <c r="K4058" s="71" t="s">
        <v>2272</v>
      </c>
      <c r="L4058" s="71" t="s">
        <v>2272</v>
      </c>
      <c r="M4058" s="71" t="s">
        <v>2272</v>
      </c>
      <c r="N4058" s="71" t="s">
        <v>2272</v>
      </c>
      <c r="O4058" s="71" t="s">
        <v>2272</v>
      </c>
      <c r="P4058" s="21">
        <v>4000</v>
      </c>
      <c r="Q4058" s="71" t="s">
        <v>2272</v>
      </c>
      <c r="R4058" s="71" t="s">
        <v>2272</v>
      </c>
      <c r="S4058" s="71" t="s">
        <v>2272</v>
      </c>
      <c r="T4058" s="71" t="s">
        <v>2272</v>
      </c>
      <c r="U4058" s="71" t="s">
        <v>2272</v>
      </c>
      <c r="V4058" s="71" t="s">
        <v>2272</v>
      </c>
      <c r="W4058" s="71" t="s">
        <v>2272</v>
      </c>
      <c r="X4058" s="71" t="s">
        <v>2272</v>
      </c>
      <c r="Y4058" s="71" t="s">
        <v>2272</v>
      </c>
      <c r="Z4058" s="21">
        <v>3</v>
      </c>
      <c r="AA4058" s="198" t="s">
        <v>187</v>
      </c>
      <c r="AB4058" s="198" t="s">
        <v>37</v>
      </c>
      <c r="AC4058" s="198" t="s">
        <v>2650</v>
      </c>
      <c r="AD4058" s="198" t="s">
        <v>10413</v>
      </c>
      <c r="AE4058" s="198"/>
    </row>
    <row r="4059" spans="1:31" ht="49.5" customHeight="1">
      <c r="A4059" s="198" t="s">
        <v>10406</v>
      </c>
      <c r="B4059" s="198" t="s">
        <v>10408</v>
      </c>
      <c r="C4059" s="198" t="s">
        <v>23</v>
      </c>
      <c r="D4059" s="198" t="s">
        <v>142</v>
      </c>
      <c r="E4059" s="198" t="s">
        <v>135</v>
      </c>
      <c r="F4059" s="4" t="s">
        <v>2657</v>
      </c>
      <c r="G4059" s="4" t="s">
        <v>2657</v>
      </c>
      <c r="H4059" s="198" t="s">
        <v>521</v>
      </c>
      <c r="I4059" s="198">
        <v>1981</v>
      </c>
      <c r="J4059" s="71" t="s">
        <v>2272</v>
      </c>
      <c r="K4059" s="71" t="s">
        <v>2272</v>
      </c>
      <c r="L4059" s="71" t="s">
        <v>2272</v>
      </c>
      <c r="M4059" s="71" t="s">
        <v>2272</v>
      </c>
      <c r="N4059" s="71" t="s">
        <v>2272</v>
      </c>
      <c r="O4059" s="71" t="s">
        <v>2272</v>
      </c>
      <c r="P4059" s="71" t="s">
        <v>2272</v>
      </c>
      <c r="Q4059" s="71" t="s">
        <v>2272</v>
      </c>
      <c r="R4059" s="71" t="s">
        <v>2272</v>
      </c>
      <c r="S4059" s="71" t="s">
        <v>2272</v>
      </c>
      <c r="T4059" s="71" t="s">
        <v>2272</v>
      </c>
      <c r="U4059" s="71" t="s">
        <v>2272</v>
      </c>
      <c r="V4059" s="71" t="s">
        <v>2272</v>
      </c>
      <c r="W4059" s="71" t="s">
        <v>2272</v>
      </c>
      <c r="X4059" s="71" t="s">
        <v>2272</v>
      </c>
      <c r="Y4059" s="71" t="s">
        <v>2272</v>
      </c>
      <c r="Z4059" s="71" t="s">
        <v>2272</v>
      </c>
      <c r="AA4059" s="198" t="s">
        <v>187</v>
      </c>
      <c r="AB4059" s="198" t="s">
        <v>423</v>
      </c>
      <c r="AC4059" s="198" t="s">
        <v>63</v>
      </c>
      <c r="AD4059" s="198"/>
      <c r="AE4059" s="198"/>
    </row>
    <row r="4060" spans="1:31" ht="49.5" customHeight="1">
      <c r="A4060" s="198" t="s">
        <v>10406</v>
      </c>
      <c r="B4060" s="198" t="s">
        <v>10409</v>
      </c>
      <c r="C4060" s="198" t="s">
        <v>23</v>
      </c>
      <c r="D4060" s="198" t="s">
        <v>142</v>
      </c>
      <c r="E4060" s="198" t="s">
        <v>135</v>
      </c>
      <c r="F4060" s="4" t="s">
        <v>2657</v>
      </c>
      <c r="G4060" s="4" t="s">
        <v>2657</v>
      </c>
      <c r="H4060" s="198" t="s">
        <v>522</v>
      </c>
      <c r="I4060" s="198">
        <v>1992</v>
      </c>
      <c r="J4060" s="71">
        <v>0</v>
      </c>
      <c r="K4060" s="71">
        <v>0</v>
      </c>
      <c r="L4060" s="71">
        <v>0</v>
      </c>
      <c r="M4060" s="71">
        <v>0</v>
      </c>
      <c r="N4060" s="71">
        <v>0</v>
      </c>
      <c r="O4060" s="71">
        <v>0</v>
      </c>
      <c r="P4060" s="71">
        <v>0</v>
      </c>
      <c r="Q4060" s="71">
        <v>0</v>
      </c>
      <c r="R4060" s="71">
        <v>0</v>
      </c>
      <c r="S4060" s="71">
        <v>0</v>
      </c>
      <c r="T4060" s="71">
        <v>0</v>
      </c>
      <c r="U4060" s="71">
        <v>0</v>
      </c>
      <c r="V4060" s="71">
        <v>0</v>
      </c>
      <c r="W4060" s="71">
        <v>0</v>
      </c>
      <c r="X4060" s="71">
        <v>0</v>
      </c>
      <c r="Y4060" s="71">
        <v>0</v>
      </c>
      <c r="Z4060" s="71" t="s">
        <v>2272</v>
      </c>
      <c r="AA4060" s="71" t="s">
        <v>2272</v>
      </c>
      <c r="AB4060" s="71" t="s">
        <v>2272</v>
      </c>
      <c r="AC4060" s="71" t="s">
        <v>2272</v>
      </c>
      <c r="AD4060" s="4" t="s">
        <v>10416</v>
      </c>
      <c r="AE4060" s="198"/>
    </row>
    <row r="4061" spans="1:31" ht="49.5" customHeight="1">
      <c r="A4061" s="198" t="s">
        <v>10406</v>
      </c>
      <c r="B4061" s="198" t="s">
        <v>10410</v>
      </c>
      <c r="C4061" s="198" t="s">
        <v>1102</v>
      </c>
      <c r="D4061" s="198" t="s">
        <v>1102</v>
      </c>
      <c r="E4061" s="4" t="s">
        <v>2272</v>
      </c>
      <c r="F4061" s="4" t="s">
        <v>2272</v>
      </c>
      <c r="G4061" s="4" t="s">
        <v>2657</v>
      </c>
      <c r="H4061" s="198" t="s">
        <v>521</v>
      </c>
      <c r="I4061" s="198"/>
      <c r="J4061" s="71" t="s">
        <v>2272</v>
      </c>
      <c r="K4061" s="71" t="s">
        <v>2272</v>
      </c>
      <c r="L4061" s="71" t="s">
        <v>2272</v>
      </c>
      <c r="M4061" s="71" t="s">
        <v>2272</v>
      </c>
      <c r="N4061" s="71" t="s">
        <v>2272</v>
      </c>
      <c r="O4061" s="71" t="s">
        <v>2272</v>
      </c>
      <c r="P4061" s="71" t="s">
        <v>2272</v>
      </c>
      <c r="Q4061" s="71" t="s">
        <v>2272</v>
      </c>
      <c r="R4061" s="71" t="s">
        <v>2272</v>
      </c>
      <c r="S4061" s="71" t="s">
        <v>2272</v>
      </c>
      <c r="T4061" s="71" t="s">
        <v>2272</v>
      </c>
      <c r="U4061" s="71" t="s">
        <v>2272</v>
      </c>
      <c r="V4061" s="71" t="s">
        <v>2272</v>
      </c>
      <c r="W4061" s="71" t="s">
        <v>2272</v>
      </c>
      <c r="X4061" s="71" t="s">
        <v>2272</v>
      </c>
      <c r="Y4061" s="71" t="s">
        <v>2272</v>
      </c>
      <c r="Z4061" s="21">
        <v>6.09</v>
      </c>
      <c r="AA4061" s="71" t="s">
        <v>2272</v>
      </c>
      <c r="AB4061" s="71" t="s">
        <v>2272</v>
      </c>
      <c r="AC4061" s="71" t="s">
        <v>2272</v>
      </c>
      <c r="AD4061" s="198"/>
      <c r="AE4061" s="198"/>
    </row>
    <row r="4062" spans="1:31" ht="49.5" customHeight="1">
      <c r="A4062" s="198" t="s">
        <v>10406</v>
      </c>
      <c r="B4062" s="198" t="s">
        <v>10411</v>
      </c>
      <c r="C4062" s="198" t="s">
        <v>1102</v>
      </c>
      <c r="D4062" s="198" t="s">
        <v>1102</v>
      </c>
      <c r="E4062" s="4" t="s">
        <v>2272</v>
      </c>
      <c r="F4062" s="4" t="s">
        <v>2272</v>
      </c>
      <c r="G4062" s="4" t="s">
        <v>2657</v>
      </c>
      <c r="H4062" s="198" t="s">
        <v>521</v>
      </c>
      <c r="I4062" s="198"/>
      <c r="J4062" s="71" t="s">
        <v>2272</v>
      </c>
      <c r="K4062" s="71" t="s">
        <v>2272</v>
      </c>
      <c r="L4062" s="71" t="s">
        <v>2272</v>
      </c>
      <c r="M4062" s="71" t="s">
        <v>2272</v>
      </c>
      <c r="N4062" s="71" t="s">
        <v>2272</v>
      </c>
      <c r="O4062" s="71" t="s">
        <v>2272</v>
      </c>
      <c r="P4062" s="71" t="s">
        <v>2272</v>
      </c>
      <c r="Q4062" s="71" t="s">
        <v>2272</v>
      </c>
      <c r="R4062" s="71" t="s">
        <v>2272</v>
      </c>
      <c r="S4062" s="71" t="s">
        <v>2272</v>
      </c>
      <c r="T4062" s="71" t="s">
        <v>2272</v>
      </c>
      <c r="U4062" s="71" t="s">
        <v>2272</v>
      </c>
      <c r="V4062" s="71" t="s">
        <v>2272</v>
      </c>
      <c r="W4062" s="71" t="s">
        <v>2272</v>
      </c>
      <c r="X4062" s="71" t="s">
        <v>2272</v>
      </c>
      <c r="Y4062" s="71" t="s">
        <v>2272</v>
      </c>
      <c r="Z4062" s="21">
        <v>7.28</v>
      </c>
      <c r="AA4062" s="71" t="s">
        <v>2272</v>
      </c>
      <c r="AB4062" s="71" t="s">
        <v>2272</v>
      </c>
      <c r="AC4062" s="71" t="s">
        <v>2272</v>
      </c>
      <c r="AD4062" s="198"/>
      <c r="AE4062" s="198"/>
    </row>
    <row r="4063" spans="1:31" ht="49.5" customHeight="1">
      <c r="A4063" s="198" t="s">
        <v>10406</v>
      </c>
      <c r="B4063" s="198" t="s">
        <v>10412</v>
      </c>
      <c r="C4063" s="198" t="s">
        <v>2651</v>
      </c>
      <c r="D4063" s="4" t="s">
        <v>2272</v>
      </c>
      <c r="E4063" s="198" t="s">
        <v>135</v>
      </c>
      <c r="F4063" s="4" t="s">
        <v>2272</v>
      </c>
      <c r="G4063" s="4" t="s">
        <v>2657</v>
      </c>
      <c r="H4063" s="198" t="s">
        <v>521</v>
      </c>
      <c r="I4063" s="198"/>
      <c r="J4063" s="71" t="s">
        <v>2272</v>
      </c>
      <c r="K4063" s="71" t="s">
        <v>2272</v>
      </c>
      <c r="L4063" s="71" t="s">
        <v>2272</v>
      </c>
      <c r="M4063" s="71" t="s">
        <v>2272</v>
      </c>
      <c r="N4063" s="71" t="s">
        <v>2272</v>
      </c>
      <c r="O4063" s="71" t="s">
        <v>2272</v>
      </c>
      <c r="P4063" s="71" t="s">
        <v>2272</v>
      </c>
      <c r="Q4063" s="71" t="s">
        <v>2272</v>
      </c>
      <c r="R4063" s="71" t="s">
        <v>2272</v>
      </c>
      <c r="S4063" s="71" t="s">
        <v>2272</v>
      </c>
      <c r="T4063" s="71" t="s">
        <v>2272</v>
      </c>
      <c r="U4063" s="71" t="s">
        <v>2272</v>
      </c>
      <c r="V4063" s="71" t="s">
        <v>2272</v>
      </c>
      <c r="W4063" s="71" t="s">
        <v>2272</v>
      </c>
      <c r="X4063" s="71" t="s">
        <v>2272</v>
      </c>
      <c r="Y4063" s="71" t="s">
        <v>2272</v>
      </c>
      <c r="Z4063" s="21">
        <v>5.62</v>
      </c>
      <c r="AA4063" s="71" t="s">
        <v>2272</v>
      </c>
      <c r="AB4063" s="71" t="s">
        <v>2272</v>
      </c>
      <c r="AC4063" s="71" t="s">
        <v>2272</v>
      </c>
      <c r="AD4063" s="198"/>
      <c r="AE4063" s="198"/>
    </row>
    <row r="4064" spans="1:31" ht="55" customHeight="1">
      <c r="A4064" s="198" t="s">
        <v>10425</v>
      </c>
      <c r="B4064" s="198" t="s">
        <v>10434</v>
      </c>
      <c r="C4064" s="198" t="s">
        <v>23</v>
      </c>
      <c r="D4064" s="198" t="s">
        <v>24</v>
      </c>
      <c r="E4064" s="4" t="s">
        <v>3849</v>
      </c>
      <c r="F4064" s="4" t="s">
        <v>54</v>
      </c>
      <c r="G4064" s="4" t="s">
        <v>54</v>
      </c>
      <c r="H4064" s="198" t="s">
        <v>521</v>
      </c>
      <c r="I4064" s="198"/>
      <c r="J4064" s="71" t="s">
        <v>2272</v>
      </c>
      <c r="K4064" s="71" t="s">
        <v>2272</v>
      </c>
      <c r="L4064" s="71" t="s">
        <v>2272</v>
      </c>
      <c r="M4064" s="71" t="s">
        <v>2272</v>
      </c>
      <c r="N4064" s="71" t="s">
        <v>2272</v>
      </c>
      <c r="O4064" s="71" t="s">
        <v>2272</v>
      </c>
      <c r="P4064" s="71" t="s">
        <v>2272</v>
      </c>
      <c r="Q4064" s="71" t="s">
        <v>2272</v>
      </c>
      <c r="R4064" s="71" t="s">
        <v>2272</v>
      </c>
      <c r="S4064" s="71" t="s">
        <v>2272</v>
      </c>
      <c r="T4064" s="71" t="s">
        <v>2272</v>
      </c>
      <c r="U4064" s="71" t="s">
        <v>2272</v>
      </c>
      <c r="V4064" s="71" t="s">
        <v>2272</v>
      </c>
      <c r="W4064" s="71" t="s">
        <v>2272</v>
      </c>
      <c r="X4064" s="71" t="s">
        <v>2272</v>
      </c>
      <c r="Y4064" s="71" t="s">
        <v>2272</v>
      </c>
      <c r="Z4064" s="71" t="s">
        <v>2272</v>
      </c>
      <c r="AA4064" s="71" t="s">
        <v>2272</v>
      </c>
      <c r="AB4064" s="71" t="s">
        <v>2272</v>
      </c>
      <c r="AC4064" s="71" t="s">
        <v>2272</v>
      </c>
      <c r="AD4064" s="198" t="s">
        <v>10438</v>
      </c>
      <c r="AE4064" s="198"/>
    </row>
    <row r="4065" spans="1:31" ht="50.5" customHeight="1">
      <c r="A4065" s="198" t="s">
        <v>10428</v>
      </c>
      <c r="B4065" s="198" t="s">
        <v>10435</v>
      </c>
      <c r="C4065" s="198" t="s">
        <v>23</v>
      </c>
      <c r="D4065" s="198" t="s">
        <v>142</v>
      </c>
      <c r="E4065" s="198" t="s">
        <v>135</v>
      </c>
      <c r="F4065" s="4" t="s">
        <v>54</v>
      </c>
      <c r="G4065" s="4" t="s">
        <v>54</v>
      </c>
      <c r="H4065" s="198" t="s">
        <v>522</v>
      </c>
      <c r="I4065" s="198"/>
      <c r="J4065" s="21">
        <v>0</v>
      </c>
      <c r="K4065" s="21">
        <v>0</v>
      </c>
      <c r="L4065" s="21">
        <v>0</v>
      </c>
      <c r="M4065" s="21">
        <v>0</v>
      </c>
      <c r="N4065" s="21">
        <v>0</v>
      </c>
      <c r="O4065" s="21">
        <v>0</v>
      </c>
      <c r="P4065" s="21">
        <v>0</v>
      </c>
      <c r="Q4065" s="21">
        <v>0</v>
      </c>
      <c r="R4065" s="21">
        <v>0</v>
      </c>
      <c r="S4065" s="21">
        <v>0</v>
      </c>
      <c r="T4065" s="21">
        <v>0</v>
      </c>
      <c r="U4065" s="21">
        <v>0</v>
      </c>
      <c r="V4065" s="21">
        <v>0</v>
      </c>
      <c r="W4065" s="21">
        <v>0</v>
      </c>
      <c r="X4065" s="21">
        <v>0</v>
      </c>
      <c r="Y4065" s="21">
        <v>0</v>
      </c>
      <c r="Z4065" s="71" t="s">
        <v>2272</v>
      </c>
      <c r="AA4065" s="71" t="s">
        <v>2272</v>
      </c>
      <c r="AB4065" s="71" t="s">
        <v>2272</v>
      </c>
      <c r="AC4065" s="71" t="s">
        <v>2272</v>
      </c>
      <c r="AD4065" s="198"/>
      <c r="AE4065" s="198"/>
    </row>
    <row r="4066" spans="1:31" ht="50.5" customHeight="1">
      <c r="A4066" s="198" t="s">
        <v>10430</v>
      </c>
      <c r="B4066" s="198" t="s">
        <v>10436</v>
      </c>
      <c r="C4066" s="198" t="s">
        <v>23</v>
      </c>
      <c r="D4066" s="198" t="s">
        <v>142</v>
      </c>
      <c r="E4066" s="198" t="s">
        <v>135</v>
      </c>
      <c r="F4066" s="4" t="s">
        <v>54</v>
      </c>
      <c r="G4066" s="4" t="s">
        <v>54</v>
      </c>
      <c r="H4066" s="198" t="s">
        <v>522</v>
      </c>
      <c r="I4066" s="198"/>
      <c r="J4066" s="21">
        <v>0</v>
      </c>
      <c r="K4066" s="21">
        <v>0</v>
      </c>
      <c r="L4066" s="21">
        <v>0</v>
      </c>
      <c r="M4066" s="21">
        <v>0</v>
      </c>
      <c r="N4066" s="21">
        <v>0</v>
      </c>
      <c r="O4066" s="21">
        <v>0</v>
      </c>
      <c r="P4066" s="21">
        <v>0</v>
      </c>
      <c r="Q4066" s="21">
        <v>0</v>
      </c>
      <c r="R4066" s="21">
        <v>0</v>
      </c>
      <c r="S4066" s="21">
        <v>0</v>
      </c>
      <c r="T4066" s="21">
        <v>0</v>
      </c>
      <c r="U4066" s="21">
        <v>0</v>
      </c>
      <c r="V4066" s="21">
        <v>0</v>
      </c>
      <c r="W4066" s="21">
        <v>0</v>
      </c>
      <c r="X4066" s="21">
        <v>0</v>
      </c>
      <c r="Y4066" s="21">
        <v>0</v>
      </c>
      <c r="Z4066" s="71" t="s">
        <v>2272</v>
      </c>
      <c r="AA4066" s="71" t="s">
        <v>2272</v>
      </c>
      <c r="AB4066" s="71" t="s">
        <v>2272</v>
      </c>
      <c r="AC4066" s="71" t="s">
        <v>2272</v>
      </c>
      <c r="AD4066" s="198"/>
      <c r="AE4066" s="198"/>
    </row>
    <row r="4067" spans="1:31" ht="50.5" customHeight="1">
      <c r="A4067" s="198" t="s">
        <v>10431</v>
      </c>
      <c r="B4067" s="198" t="s">
        <v>10437</v>
      </c>
      <c r="C4067" s="198" t="s">
        <v>23</v>
      </c>
      <c r="D4067" s="198" t="s">
        <v>142</v>
      </c>
      <c r="E4067" s="198" t="s">
        <v>135</v>
      </c>
      <c r="F4067" s="4" t="s">
        <v>54</v>
      </c>
      <c r="G4067" s="4" t="s">
        <v>54</v>
      </c>
      <c r="H4067" s="198" t="s">
        <v>522</v>
      </c>
      <c r="I4067" s="198"/>
      <c r="J4067" s="21">
        <v>0</v>
      </c>
      <c r="K4067" s="21">
        <v>0</v>
      </c>
      <c r="L4067" s="21">
        <v>0</v>
      </c>
      <c r="M4067" s="21">
        <v>0</v>
      </c>
      <c r="N4067" s="21">
        <v>0</v>
      </c>
      <c r="O4067" s="21">
        <v>0</v>
      </c>
      <c r="P4067" s="21">
        <v>0</v>
      </c>
      <c r="Q4067" s="21">
        <v>0</v>
      </c>
      <c r="R4067" s="21">
        <v>0</v>
      </c>
      <c r="S4067" s="21">
        <v>0</v>
      </c>
      <c r="T4067" s="21">
        <v>0</v>
      </c>
      <c r="U4067" s="21">
        <v>0</v>
      </c>
      <c r="V4067" s="21">
        <v>0</v>
      </c>
      <c r="W4067" s="21">
        <v>0</v>
      </c>
      <c r="X4067" s="21">
        <v>0</v>
      </c>
      <c r="Y4067" s="21">
        <v>0</v>
      </c>
      <c r="Z4067" s="71" t="s">
        <v>2272</v>
      </c>
      <c r="AA4067" s="71" t="s">
        <v>2272</v>
      </c>
      <c r="AB4067" s="71" t="s">
        <v>2272</v>
      </c>
      <c r="AC4067" s="71" t="s">
        <v>2272</v>
      </c>
      <c r="AD4067" s="198"/>
      <c r="AE4067" s="198"/>
    </row>
    <row r="4068" spans="1:31" ht="38" customHeight="1">
      <c r="A4068" s="71" t="s">
        <v>10441</v>
      </c>
      <c r="B4068" s="71" t="s">
        <v>10444</v>
      </c>
      <c r="C4068" s="4" t="s">
        <v>23</v>
      </c>
      <c r="D4068" s="4" t="s">
        <v>2272</v>
      </c>
      <c r="E4068" s="4" t="s">
        <v>395</v>
      </c>
      <c r="F4068" s="4" t="s">
        <v>2272</v>
      </c>
      <c r="G4068" s="4" t="s">
        <v>2272</v>
      </c>
      <c r="H4068" s="198" t="s">
        <v>521</v>
      </c>
      <c r="I4068" s="198"/>
      <c r="J4068" s="71" t="s">
        <v>2272</v>
      </c>
      <c r="K4068" s="71" t="s">
        <v>2272</v>
      </c>
      <c r="L4068" s="71" t="s">
        <v>2272</v>
      </c>
      <c r="M4068" s="71" t="s">
        <v>2272</v>
      </c>
      <c r="N4068" s="71" t="s">
        <v>2272</v>
      </c>
      <c r="O4068" s="71" t="s">
        <v>2272</v>
      </c>
      <c r="P4068" s="71" t="s">
        <v>2272</v>
      </c>
      <c r="Q4068" s="71" t="s">
        <v>2272</v>
      </c>
      <c r="R4068" s="71" t="s">
        <v>2272</v>
      </c>
      <c r="S4068" s="71" t="s">
        <v>2272</v>
      </c>
      <c r="T4068" s="71" t="s">
        <v>2272</v>
      </c>
      <c r="U4068" s="71" t="s">
        <v>2272</v>
      </c>
      <c r="V4068" s="71" t="s">
        <v>2272</v>
      </c>
      <c r="W4068" s="71" t="s">
        <v>2272</v>
      </c>
      <c r="X4068" s="71" t="s">
        <v>2272</v>
      </c>
      <c r="Y4068" s="71" t="s">
        <v>2272</v>
      </c>
      <c r="Z4068" s="71" t="s">
        <v>2272</v>
      </c>
      <c r="AA4068" s="71" t="s">
        <v>2272</v>
      </c>
      <c r="AB4068" s="71" t="s">
        <v>2272</v>
      </c>
      <c r="AC4068" s="71" t="s">
        <v>2272</v>
      </c>
      <c r="AD4068" s="198"/>
      <c r="AE4068" s="198"/>
    </row>
    <row r="4069" spans="1:31" ht="38" customHeight="1">
      <c r="A4069" s="71" t="s">
        <v>10441</v>
      </c>
      <c r="B4069" s="71" t="s">
        <v>10445</v>
      </c>
      <c r="C4069" s="4" t="s">
        <v>23</v>
      </c>
      <c r="D4069" s="4" t="s">
        <v>2272</v>
      </c>
      <c r="E4069" s="4" t="s">
        <v>44</v>
      </c>
      <c r="F4069" s="4" t="s">
        <v>2272</v>
      </c>
      <c r="G4069" s="4" t="s">
        <v>2272</v>
      </c>
      <c r="H4069" s="198" t="s">
        <v>521</v>
      </c>
      <c r="I4069" s="198"/>
      <c r="J4069" s="71" t="s">
        <v>2272</v>
      </c>
      <c r="K4069" s="71" t="s">
        <v>2272</v>
      </c>
      <c r="L4069" s="71" t="s">
        <v>2272</v>
      </c>
      <c r="M4069" s="71" t="s">
        <v>2272</v>
      </c>
      <c r="N4069" s="71" t="s">
        <v>2272</v>
      </c>
      <c r="O4069" s="71" t="s">
        <v>2272</v>
      </c>
      <c r="P4069" s="71" t="s">
        <v>2272</v>
      </c>
      <c r="Q4069" s="71" t="s">
        <v>2272</v>
      </c>
      <c r="R4069" s="71" t="s">
        <v>2272</v>
      </c>
      <c r="S4069" s="71" t="s">
        <v>2272</v>
      </c>
      <c r="T4069" s="71" t="s">
        <v>2272</v>
      </c>
      <c r="U4069" s="71" t="s">
        <v>2272</v>
      </c>
      <c r="V4069" s="71" t="s">
        <v>2272</v>
      </c>
      <c r="W4069" s="71" t="s">
        <v>2272</v>
      </c>
      <c r="X4069" s="71" t="s">
        <v>2272</v>
      </c>
      <c r="Y4069" s="71" t="s">
        <v>2272</v>
      </c>
      <c r="Z4069" s="71" t="s">
        <v>2272</v>
      </c>
      <c r="AA4069" s="71" t="s">
        <v>2272</v>
      </c>
      <c r="AB4069" s="71" t="s">
        <v>2272</v>
      </c>
      <c r="AC4069" s="71" t="s">
        <v>2272</v>
      </c>
      <c r="AD4069" s="198"/>
      <c r="AE4069" s="198"/>
    </row>
    <row r="4070" spans="1:31" ht="38" customHeight="1">
      <c r="A4070" s="71" t="s">
        <v>10441</v>
      </c>
      <c r="B4070" s="71" t="s">
        <v>10446</v>
      </c>
      <c r="C4070" s="4" t="s">
        <v>23</v>
      </c>
      <c r="D4070" s="4" t="s">
        <v>2272</v>
      </c>
      <c r="E4070" s="4" t="s">
        <v>114</v>
      </c>
      <c r="F4070" s="4" t="s">
        <v>2272</v>
      </c>
      <c r="G4070" s="4" t="s">
        <v>2272</v>
      </c>
      <c r="H4070" s="198" t="s">
        <v>521</v>
      </c>
      <c r="I4070" s="198"/>
      <c r="J4070" s="71" t="s">
        <v>2272</v>
      </c>
      <c r="K4070" s="71" t="s">
        <v>2272</v>
      </c>
      <c r="L4070" s="71" t="s">
        <v>2272</v>
      </c>
      <c r="M4070" s="71" t="s">
        <v>2272</v>
      </c>
      <c r="N4070" s="71" t="s">
        <v>2272</v>
      </c>
      <c r="O4070" s="71" t="s">
        <v>2272</v>
      </c>
      <c r="P4070" s="71" t="s">
        <v>2272</v>
      </c>
      <c r="Q4070" s="71" t="s">
        <v>2272</v>
      </c>
      <c r="R4070" s="71" t="s">
        <v>2272</v>
      </c>
      <c r="S4070" s="71" t="s">
        <v>2272</v>
      </c>
      <c r="T4070" s="71" t="s">
        <v>2272</v>
      </c>
      <c r="U4070" s="71" t="s">
        <v>2272</v>
      </c>
      <c r="V4070" s="71" t="s">
        <v>2272</v>
      </c>
      <c r="W4070" s="71" t="s">
        <v>2272</v>
      </c>
      <c r="X4070" s="71" t="s">
        <v>2272</v>
      </c>
      <c r="Y4070" s="71" t="s">
        <v>2272</v>
      </c>
      <c r="Z4070" s="71" t="s">
        <v>2272</v>
      </c>
      <c r="AA4070" s="71" t="s">
        <v>2272</v>
      </c>
      <c r="AB4070" s="71" t="s">
        <v>2272</v>
      </c>
      <c r="AC4070" s="71" t="s">
        <v>2272</v>
      </c>
      <c r="AD4070" s="198"/>
      <c r="AE4070" s="198"/>
    </row>
    <row r="4071" spans="1:31" ht="38" customHeight="1">
      <c r="A4071" s="71" t="s">
        <v>10441</v>
      </c>
      <c r="B4071" s="71" t="s">
        <v>10447</v>
      </c>
      <c r="C4071" s="4" t="s">
        <v>2453</v>
      </c>
      <c r="D4071" s="4" t="s">
        <v>2272</v>
      </c>
      <c r="E4071" s="4" t="s">
        <v>395</v>
      </c>
      <c r="F4071" s="4" t="s">
        <v>2272</v>
      </c>
      <c r="G4071" s="198" t="s">
        <v>73</v>
      </c>
      <c r="H4071" s="198" t="s">
        <v>521</v>
      </c>
      <c r="I4071" s="198"/>
      <c r="J4071" s="71" t="s">
        <v>2272</v>
      </c>
      <c r="K4071" s="71" t="s">
        <v>2272</v>
      </c>
      <c r="L4071" s="71" t="s">
        <v>2272</v>
      </c>
      <c r="M4071" s="71" t="s">
        <v>2272</v>
      </c>
      <c r="N4071" s="71" t="s">
        <v>2272</v>
      </c>
      <c r="O4071" s="71" t="s">
        <v>2272</v>
      </c>
      <c r="P4071" s="71" t="s">
        <v>2272</v>
      </c>
      <c r="Q4071" s="71" t="s">
        <v>2272</v>
      </c>
      <c r="R4071" s="71" t="s">
        <v>2272</v>
      </c>
      <c r="S4071" s="71" t="s">
        <v>2272</v>
      </c>
      <c r="T4071" s="71" t="s">
        <v>2272</v>
      </c>
      <c r="U4071" s="71" t="s">
        <v>2272</v>
      </c>
      <c r="V4071" s="71" t="s">
        <v>2272</v>
      </c>
      <c r="W4071" s="71" t="s">
        <v>2272</v>
      </c>
      <c r="X4071" s="71" t="s">
        <v>2272</v>
      </c>
      <c r="Y4071" s="71" t="s">
        <v>2272</v>
      </c>
      <c r="Z4071" s="71" t="s">
        <v>2272</v>
      </c>
      <c r="AA4071" s="71" t="s">
        <v>2272</v>
      </c>
      <c r="AB4071" s="71" t="s">
        <v>2272</v>
      </c>
      <c r="AC4071" s="71" t="s">
        <v>2272</v>
      </c>
      <c r="AD4071" s="198"/>
      <c r="AE4071" s="198"/>
    </row>
    <row r="4072" spans="1:31" ht="38" customHeight="1">
      <c r="A4072" s="71" t="s">
        <v>10441</v>
      </c>
      <c r="B4072" s="71" t="s">
        <v>10448</v>
      </c>
      <c r="C4072" s="4" t="s">
        <v>2453</v>
      </c>
      <c r="D4072" s="4" t="s">
        <v>2272</v>
      </c>
      <c r="E4072" s="4" t="s">
        <v>44</v>
      </c>
      <c r="F4072" s="4" t="s">
        <v>2272</v>
      </c>
      <c r="G4072" s="198" t="s">
        <v>73</v>
      </c>
      <c r="H4072" s="198" t="s">
        <v>521</v>
      </c>
      <c r="I4072" s="198"/>
      <c r="J4072" s="71" t="s">
        <v>2272</v>
      </c>
      <c r="K4072" s="71" t="s">
        <v>2272</v>
      </c>
      <c r="L4072" s="71" t="s">
        <v>2272</v>
      </c>
      <c r="M4072" s="71" t="s">
        <v>2272</v>
      </c>
      <c r="N4072" s="71" t="s">
        <v>2272</v>
      </c>
      <c r="O4072" s="71" t="s">
        <v>2272</v>
      </c>
      <c r="P4072" s="71" t="s">
        <v>2272</v>
      </c>
      <c r="Q4072" s="71" t="s">
        <v>2272</v>
      </c>
      <c r="R4072" s="71" t="s">
        <v>2272</v>
      </c>
      <c r="S4072" s="71" t="s">
        <v>2272</v>
      </c>
      <c r="T4072" s="71" t="s">
        <v>2272</v>
      </c>
      <c r="U4072" s="71" t="s">
        <v>2272</v>
      </c>
      <c r="V4072" s="71" t="s">
        <v>2272</v>
      </c>
      <c r="W4072" s="71" t="s">
        <v>2272</v>
      </c>
      <c r="X4072" s="71" t="s">
        <v>2272</v>
      </c>
      <c r="Y4072" s="71" t="s">
        <v>2272</v>
      </c>
      <c r="Z4072" s="71" t="s">
        <v>2272</v>
      </c>
      <c r="AA4072" s="71" t="s">
        <v>2272</v>
      </c>
      <c r="AB4072" s="71" t="s">
        <v>2272</v>
      </c>
      <c r="AC4072" s="71" t="s">
        <v>2272</v>
      </c>
      <c r="AD4072" s="198"/>
      <c r="AE4072" s="198"/>
    </row>
    <row r="4073" spans="1:31" ht="38" customHeight="1">
      <c r="A4073" s="226" t="s">
        <v>10441</v>
      </c>
      <c r="B4073" s="226" t="s">
        <v>10449</v>
      </c>
      <c r="C4073" s="163" t="s">
        <v>2453</v>
      </c>
      <c r="D4073" s="163" t="s">
        <v>2272</v>
      </c>
      <c r="E4073" s="163" t="s">
        <v>114</v>
      </c>
      <c r="F4073" s="4" t="s">
        <v>2272</v>
      </c>
      <c r="G4073" s="198" t="s">
        <v>73</v>
      </c>
      <c r="H4073" s="35" t="s">
        <v>521</v>
      </c>
      <c r="I4073" s="35"/>
      <c r="J4073" s="226" t="s">
        <v>2272</v>
      </c>
      <c r="K4073" s="226" t="s">
        <v>2272</v>
      </c>
      <c r="L4073" s="226" t="s">
        <v>2272</v>
      </c>
      <c r="M4073" s="226" t="s">
        <v>2272</v>
      </c>
      <c r="N4073" s="226" t="s">
        <v>2272</v>
      </c>
      <c r="O4073" s="226" t="s">
        <v>2272</v>
      </c>
      <c r="P4073" s="226" t="s">
        <v>2272</v>
      </c>
      <c r="Q4073" s="226" t="s">
        <v>2272</v>
      </c>
      <c r="R4073" s="226" t="s">
        <v>2272</v>
      </c>
      <c r="S4073" s="226" t="s">
        <v>2272</v>
      </c>
      <c r="T4073" s="226" t="s">
        <v>2272</v>
      </c>
      <c r="U4073" s="226" t="s">
        <v>2272</v>
      </c>
      <c r="V4073" s="226" t="s">
        <v>2272</v>
      </c>
      <c r="W4073" s="226" t="s">
        <v>2272</v>
      </c>
      <c r="X4073" s="226" t="s">
        <v>2272</v>
      </c>
      <c r="Y4073" s="226" t="s">
        <v>2272</v>
      </c>
      <c r="Z4073" s="226" t="s">
        <v>2272</v>
      </c>
      <c r="AA4073" s="226" t="s">
        <v>2272</v>
      </c>
      <c r="AB4073" s="226" t="s">
        <v>2272</v>
      </c>
      <c r="AC4073" s="226" t="s">
        <v>2272</v>
      </c>
      <c r="AD4073" s="35"/>
      <c r="AE4073" s="35"/>
    </row>
    <row r="4074" spans="1:31" ht="39" customHeight="1">
      <c r="A4074" s="71" t="s">
        <v>10452</v>
      </c>
      <c r="B4074" s="71" t="s">
        <v>10460</v>
      </c>
      <c r="C4074" s="198" t="s">
        <v>23</v>
      </c>
      <c r="D4074" s="4" t="s">
        <v>2272</v>
      </c>
      <c r="E4074" s="4" t="s">
        <v>2272</v>
      </c>
      <c r="F4074" s="4" t="s">
        <v>2272</v>
      </c>
      <c r="G4074" s="4" t="s">
        <v>2272</v>
      </c>
      <c r="H4074" s="198" t="s">
        <v>521</v>
      </c>
      <c r="I4074" s="198"/>
      <c r="J4074" s="226" t="s">
        <v>2272</v>
      </c>
      <c r="K4074" s="226" t="s">
        <v>2272</v>
      </c>
      <c r="L4074" s="226" t="s">
        <v>2272</v>
      </c>
      <c r="M4074" s="226" t="s">
        <v>2272</v>
      </c>
      <c r="N4074" s="226" t="s">
        <v>2272</v>
      </c>
      <c r="O4074" s="226" t="s">
        <v>2272</v>
      </c>
      <c r="P4074" s="226" t="s">
        <v>2272</v>
      </c>
      <c r="Q4074" s="21">
        <f>(2000000*0.404)/16626</f>
        <v>48.598580536509083</v>
      </c>
      <c r="R4074" s="226" t="s">
        <v>2272</v>
      </c>
      <c r="S4074" s="226" t="s">
        <v>2272</v>
      </c>
      <c r="T4074" s="226" t="s">
        <v>2272</v>
      </c>
      <c r="U4074" s="226" t="s">
        <v>2272</v>
      </c>
      <c r="V4074" s="226" t="s">
        <v>2272</v>
      </c>
      <c r="W4074" s="226" t="s">
        <v>2272</v>
      </c>
      <c r="X4074" s="226" t="s">
        <v>2272</v>
      </c>
      <c r="Y4074" s="226" t="s">
        <v>2272</v>
      </c>
      <c r="Z4074" s="226" t="s">
        <v>2272</v>
      </c>
      <c r="AA4074" s="226" t="s">
        <v>2272</v>
      </c>
      <c r="AB4074" s="226" t="s">
        <v>2272</v>
      </c>
      <c r="AC4074" s="226" t="s">
        <v>2272</v>
      </c>
      <c r="AD4074" s="198"/>
      <c r="AE4074" s="198"/>
    </row>
    <row r="4075" spans="1:31" ht="39" customHeight="1">
      <c r="A4075" s="71" t="s">
        <v>10455</v>
      </c>
      <c r="B4075" s="71" t="s">
        <v>10463</v>
      </c>
      <c r="C4075" s="198" t="s">
        <v>23</v>
      </c>
      <c r="D4075" s="4" t="s">
        <v>2272</v>
      </c>
      <c r="E4075" s="4" t="s">
        <v>2272</v>
      </c>
      <c r="F4075" s="4" t="s">
        <v>2272</v>
      </c>
      <c r="G4075" s="4" t="s">
        <v>2272</v>
      </c>
      <c r="H4075" s="198" t="s">
        <v>521</v>
      </c>
      <c r="I4075" s="198"/>
      <c r="J4075" s="226" t="s">
        <v>2272</v>
      </c>
      <c r="K4075" s="226" t="s">
        <v>2272</v>
      </c>
      <c r="L4075" s="226" t="s">
        <v>2272</v>
      </c>
      <c r="M4075" s="226" t="s">
        <v>2272</v>
      </c>
      <c r="N4075" s="226" t="s">
        <v>2272</v>
      </c>
      <c r="O4075" s="226" t="s">
        <v>2272</v>
      </c>
      <c r="P4075" s="226" t="s">
        <v>2272</v>
      </c>
      <c r="Q4075" s="226" t="s">
        <v>2272</v>
      </c>
      <c r="R4075" s="226" t="s">
        <v>2272</v>
      </c>
      <c r="S4075" s="226" t="s">
        <v>2272</v>
      </c>
      <c r="T4075" s="226" t="s">
        <v>2272</v>
      </c>
      <c r="U4075" s="226" t="s">
        <v>2272</v>
      </c>
      <c r="V4075" s="226" t="s">
        <v>2272</v>
      </c>
      <c r="W4075" s="226" t="s">
        <v>2272</v>
      </c>
      <c r="X4075" s="226" t="s">
        <v>2272</v>
      </c>
      <c r="Y4075" s="226" t="s">
        <v>2272</v>
      </c>
      <c r="Z4075" s="226" t="s">
        <v>2272</v>
      </c>
      <c r="AA4075" s="226" t="s">
        <v>2272</v>
      </c>
      <c r="AB4075" s="226" t="s">
        <v>2272</v>
      </c>
      <c r="AC4075" s="226" t="s">
        <v>2272</v>
      </c>
      <c r="AD4075" s="198"/>
      <c r="AE4075" s="198"/>
    </row>
    <row r="4076" spans="1:31" ht="39" customHeight="1">
      <c r="A4076" s="71" t="s">
        <v>10456</v>
      </c>
      <c r="B4076" s="71" t="s">
        <v>10464</v>
      </c>
      <c r="C4076" s="198" t="s">
        <v>23</v>
      </c>
      <c r="D4076" s="4" t="s">
        <v>2272</v>
      </c>
      <c r="E4076" s="4" t="s">
        <v>2272</v>
      </c>
      <c r="F4076" s="4" t="s">
        <v>2272</v>
      </c>
      <c r="G4076" s="4" t="s">
        <v>2272</v>
      </c>
      <c r="H4076" s="198" t="s">
        <v>521</v>
      </c>
      <c r="I4076" s="198"/>
      <c r="J4076" s="226" t="s">
        <v>2272</v>
      </c>
      <c r="K4076" s="226" t="s">
        <v>2272</v>
      </c>
      <c r="L4076" s="226" t="s">
        <v>2272</v>
      </c>
      <c r="M4076" s="226" t="s">
        <v>2272</v>
      </c>
      <c r="N4076" s="226" t="s">
        <v>2272</v>
      </c>
      <c r="O4076" s="226" t="s">
        <v>2272</v>
      </c>
      <c r="P4076" s="226" t="s">
        <v>2272</v>
      </c>
      <c r="Q4076" s="21">
        <f>150000*0.404/200</f>
        <v>303.00000000000006</v>
      </c>
      <c r="R4076" s="226" t="s">
        <v>2272</v>
      </c>
      <c r="S4076" s="226" t="s">
        <v>2272</v>
      </c>
      <c r="T4076" s="226" t="s">
        <v>2272</v>
      </c>
      <c r="U4076" s="226" t="s">
        <v>2272</v>
      </c>
      <c r="V4076" s="226" t="s">
        <v>2272</v>
      </c>
      <c r="W4076" s="226" t="s">
        <v>2272</v>
      </c>
      <c r="X4076" s="226" t="s">
        <v>2272</v>
      </c>
      <c r="Y4076" s="226" t="s">
        <v>2272</v>
      </c>
      <c r="Z4076" s="226" t="s">
        <v>2272</v>
      </c>
      <c r="AA4076" s="226" t="s">
        <v>2272</v>
      </c>
      <c r="AB4076" s="226" t="s">
        <v>2272</v>
      </c>
      <c r="AC4076" s="226" t="s">
        <v>2272</v>
      </c>
      <c r="AD4076" s="198"/>
      <c r="AE4076" s="198"/>
    </row>
    <row r="4077" spans="1:31" ht="39" customHeight="1">
      <c r="A4077" s="71" t="s">
        <v>10457</v>
      </c>
      <c r="B4077" s="71" t="s">
        <v>10465</v>
      </c>
      <c r="C4077" s="198" t="s">
        <v>23</v>
      </c>
      <c r="D4077" s="4" t="s">
        <v>2272</v>
      </c>
      <c r="E4077" s="4" t="s">
        <v>2272</v>
      </c>
      <c r="F4077" s="4" t="s">
        <v>2272</v>
      </c>
      <c r="G4077" s="4" t="s">
        <v>2272</v>
      </c>
      <c r="H4077" s="198" t="s">
        <v>521</v>
      </c>
      <c r="I4077" s="198"/>
      <c r="J4077" s="226" t="s">
        <v>2272</v>
      </c>
      <c r="K4077" s="226" t="s">
        <v>2272</v>
      </c>
      <c r="L4077" s="226" t="s">
        <v>2272</v>
      </c>
      <c r="M4077" s="226" t="s">
        <v>2272</v>
      </c>
      <c r="N4077" s="226" t="s">
        <v>2272</v>
      </c>
      <c r="O4077" s="226" t="s">
        <v>2272</v>
      </c>
      <c r="P4077" s="226" t="s">
        <v>2272</v>
      </c>
      <c r="Q4077" s="21">
        <f>AVERAGE(500000*0.404/1094, 569923*0.404/1530)</f>
        <v>167.56649097513474</v>
      </c>
      <c r="R4077" s="226" t="s">
        <v>2272</v>
      </c>
      <c r="S4077" s="226" t="s">
        <v>2272</v>
      </c>
      <c r="T4077" s="226" t="s">
        <v>2272</v>
      </c>
      <c r="U4077" s="226" t="s">
        <v>2272</v>
      </c>
      <c r="V4077" s="226" t="s">
        <v>2272</v>
      </c>
      <c r="W4077" s="226" t="s">
        <v>2272</v>
      </c>
      <c r="X4077" s="226" t="s">
        <v>2272</v>
      </c>
      <c r="Y4077" s="226" t="s">
        <v>2272</v>
      </c>
      <c r="Z4077" s="226" t="s">
        <v>2272</v>
      </c>
      <c r="AA4077" s="226" t="s">
        <v>2272</v>
      </c>
      <c r="AB4077" s="226" t="s">
        <v>2272</v>
      </c>
      <c r="AC4077" s="226" t="s">
        <v>2272</v>
      </c>
      <c r="AD4077" s="198"/>
      <c r="AE4077" s="198"/>
    </row>
    <row r="4078" spans="1:31" ht="40" customHeight="1">
      <c r="A4078" s="71" t="s">
        <v>10452</v>
      </c>
      <c r="B4078" s="71" t="s">
        <v>10462</v>
      </c>
      <c r="C4078" s="198" t="s">
        <v>2453</v>
      </c>
      <c r="D4078" s="4" t="s">
        <v>2272</v>
      </c>
      <c r="E4078" s="4" t="s">
        <v>2272</v>
      </c>
      <c r="F4078" s="4" t="s">
        <v>2272</v>
      </c>
      <c r="G4078" s="4" t="s">
        <v>2272</v>
      </c>
      <c r="H4078" s="198" t="s">
        <v>521</v>
      </c>
      <c r="I4078" s="198"/>
      <c r="J4078" s="226" t="s">
        <v>2272</v>
      </c>
      <c r="K4078" s="226" t="s">
        <v>2272</v>
      </c>
      <c r="L4078" s="226" t="s">
        <v>2272</v>
      </c>
      <c r="M4078" s="226" t="s">
        <v>2272</v>
      </c>
      <c r="N4078" s="226" t="s">
        <v>2272</v>
      </c>
      <c r="O4078" s="226" t="s">
        <v>2272</v>
      </c>
      <c r="P4078" s="226" t="s">
        <v>2272</v>
      </c>
      <c r="Q4078" s="226" t="s">
        <v>2272</v>
      </c>
      <c r="R4078" s="226" t="s">
        <v>2272</v>
      </c>
      <c r="S4078" s="226" t="s">
        <v>2272</v>
      </c>
      <c r="T4078" s="226" t="s">
        <v>2272</v>
      </c>
      <c r="U4078" s="226" t="s">
        <v>2272</v>
      </c>
      <c r="V4078" s="226" t="s">
        <v>2272</v>
      </c>
      <c r="W4078" s="226" t="s">
        <v>2272</v>
      </c>
      <c r="X4078" s="226" t="s">
        <v>2272</v>
      </c>
      <c r="Y4078" s="226" t="s">
        <v>2272</v>
      </c>
      <c r="Z4078" s="226" t="s">
        <v>2272</v>
      </c>
      <c r="AA4078" s="226" t="s">
        <v>2272</v>
      </c>
      <c r="AB4078" s="226" t="s">
        <v>2272</v>
      </c>
      <c r="AC4078" s="226" t="s">
        <v>2272</v>
      </c>
      <c r="AD4078" s="198"/>
      <c r="AE4078" s="198"/>
    </row>
    <row r="4079" spans="1:31" ht="40" customHeight="1">
      <c r="A4079" s="71" t="s">
        <v>10455</v>
      </c>
      <c r="B4079" s="71" t="s">
        <v>10461</v>
      </c>
      <c r="C4079" s="198" t="s">
        <v>2453</v>
      </c>
      <c r="D4079" s="4" t="s">
        <v>2272</v>
      </c>
      <c r="E4079" s="4" t="s">
        <v>2272</v>
      </c>
      <c r="F4079" s="4" t="s">
        <v>2272</v>
      </c>
      <c r="G4079" s="4" t="s">
        <v>2272</v>
      </c>
      <c r="H4079" s="198" t="s">
        <v>521</v>
      </c>
      <c r="I4079" s="198"/>
      <c r="J4079" s="226" t="s">
        <v>2272</v>
      </c>
      <c r="K4079" s="226" t="s">
        <v>2272</v>
      </c>
      <c r="L4079" s="226" t="s">
        <v>2272</v>
      </c>
      <c r="M4079" s="226" t="s">
        <v>2272</v>
      </c>
      <c r="N4079" s="226" t="s">
        <v>2272</v>
      </c>
      <c r="O4079" s="226" t="s">
        <v>2272</v>
      </c>
      <c r="P4079" s="226" t="s">
        <v>2272</v>
      </c>
      <c r="Q4079" s="226" t="s">
        <v>2272</v>
      </c>
      <c r="R4079" s="226" t="s">
        <v>2272</v>
      </c>
      <c r="S4079" s="226" t="s">
        <v>2272</v>
      </c>
      <c r="T4079" s="226" t="s">
        <v>2272</v>
      </c>
      <c r="U4079" s="226" t="s">
        <v>2272</v>
      </c>
      <c r="V4079" s="226" t="s">
        <v>2272</v>
      </c>
      <c r="W4079" s="226" t="s">
        <v>2272</v>
      </c>
      <c r="X4079" s="226" t="s">
        <v>2272</v>
      </c>
      <c r="Y4079" s="226" t="s">
        <v>2272</v>
      </c>
      <c r="Z4079" s="226" t="s">
        <v>2272</v>
      </c>
      <c r="AA4079" s="226" t="s">
        <v>2272</v>
      </c>
      <c r="AB4079" s="226" t="s">
        <v>2272</v>
      </c>
      <c r="AC4079" s="226" t="s">
        <v>2272</v>
      </c>
      <c r="AD4079" s="198"/>
      <c r="AE4079" s="198"/>
    </row>
    <row r="4080" spans="1:31" ht="40" customHeight="1">
      <c r="A4080" s="71" t="s">
        <v>10456</v>
      </c>
      <c r="B4080" s="71" t="s">
        <v>10466</v>
      </c>
      <c r="C4080" s="198" t="s">
        <v>2453</v>
      </c>
      <c r="D4080" s="4" t="s">
        <v>2272</v>
      </c>
      <c r="E4080" s="4" t="s">
        <v>2272</v>
      </c>
      <c r="F4080" s="4" t="s">
        <v>2272</v>
      </c>
      <c r="G4080" s="4" t="s">
        <v>2272</v>
      </c>
      <c r="H4080" s="198" t="s">
        <v>522</v>
      </c>
      <c r="I4080" s="198"/>
      <c r="J4080" s="21">
        <v>0</v>
      </c>
      <c r="K4080" s="21">
        <v>0</v>
      </c>
      <c r="L4080" s="21">
        <v>0</v>
      </c>
      <c r="M4080" s="21">
        <v>0</v>
      </c>
      <c r="N4080" s="21">
        <v>0</v>
      </c>
      <c r="O4080" s="21">
        <v>0</v>
      </c>
      <c r="P4080" s="21">
        <v>0</v>
      </c>
      <c r="Q4080" s="21">
        <v>0</v>
      </c>
      <c r="R4080" s="21">
        <v>0</v>
      </c>
      <c r="S4080" s="21">
        <v>0</v>
      </c>
      <c r="T4080" s="21">
        <v>0</v>
      </c>
      <c r="U4080" s="21">
        <v>0</v>
      </c>
      <c r="V4080" s="21">
        <v>0</v>
      </c>
      <c r="W4080" s="21">
        <v>0</v>
      </c>
      <c r="X4080" s="21">
        <v>0</v>
      </c>
      <c r="Y4080" s="21">
        <v>0</v>
      </c>
      <c r="Z4080" s="226" t="s">
        <v>2272</v>
      </c>
      <c r="AA4080" s="226" t="s">
        <v>2272</v>
      </c>
      <c r="AB4080" s="226" t="s">
        <v>2272</v>
      </c>
      <c r="AC4080" s="226" t="s">
        <v>2272</v>
      </c>
      <c r="AD4080" s="198"/>
      <c r="AE4080" s="198"/>
    </row>
    <row r="4081" spans="1:31" ht="40" customHeight="1">
      <c r="A4081" s="71" t="s">
        <v>10457</v>
      </c>
      <c r="B4081" s="71" t="s">
        <v>10467</v>
      </c>
      <c r="C4081" s="198" t="s">
        <v>2453</v>
      </c>
      <c r="D4081" s="4" t="s">
        <v>2272</v>
      </c>
      <c r="E4081" s="4" t="s">
        <v>2272</v>
      </c>
      <c r="F4081" s="4" t="s">
        <v>2272</v>
      </c>
      <c r="G4081" s="4" t="s">
        <v>2272</v>
      </c>
      <c r="H4081" s="198" t="s">
        <v>522</v>
      </c>
      <c r="I4081" s="198"/>
      <c r="J4081" s="21">
        <v>0</v>
      </c>
      <c r="K4081" s="21">
        <v>0</v>
      </c>
      <c r="L4081" s="21">
        <v>0</v>
      </c>
      <c r="M4081" s="21">
        <v>0</v>
      </c>
      <c r="N4081" s="21">
        <v>0</v>
      </c>
      <c r="O4081" s="21">
        <v>0</v>
      </c>
      <c r="P4081" s="21">
        <v>0</v>
      </c>
      <c r="Q4081" s="21">
        <v>0</v>
      </c>
      <c r="R4081" s="21">
        <v>0</v>
      </c>
      <c r="S4081" s="21">
        <v>0</v>
      </c>
      <c r="T4081" s="21">
        <v>0</v>
      </c>
      <c r="U4081" s="21">
        <v>0</v>
      </c>
      <c r="V4081" s="21">
        <v>0</v>
      </c>
      <c r="W4081" s="21">
        <v>0</v>
      </c>
      <c r="X4081" s="21">
        <v>0</v>
      </c>
      <c r="Y4081" s="21">
        <v>0</v>
      </c>
      <c r="Z4081" s="226" t="s">
        <v>2272</v>
      </c>
      <c r="AA4081" s="226" t="s">
        <v>2272</v>
      </c>
      <c r="AB4081" s="226" t="s">
        <v>2272</v>
      </c>
      <c r="AC4081" s="226" t="s">
        <v>2272</v>
      </c>
      <c r="AD4081" s="198"/>
      <c r="AE4081" s="198"/>
    </row>
    <row r="4082" spans="1:31" ht="43.5" customHeight="1">
      <c r="A4082" s="71" t="s">
        <v>10474</v>
      </c>
      <c r="B4082" s="71" t="s">
        <v>10478</v>
      </c>
      <c r="C4082" s="198" t="s">
        <v>23</v>
      </c>
      <c r="D4082" s="198" t="s">
        <v>142</v>
      </c>
      <c r="E4082" s="198" t="s">
        <v>135</v>
      </c>
      <c r="F4082" s="4" t="s">
        <v>2657</v>
      </c>
      <c r="G4082" s="4" t="s">
        <v>2272</v>
      </c>
      <c r="H4082" s="198" t="s">
        <v>522</v>
      </c>
      <c r="I4082" s="198"/>
      <c r="J4082" s="21">
        <v>0</v>
      </c>
      <c r="K4082" s="21">
        <v>0</v>
      </c>
      <c r="L4082" s="21">
        <v>0</v>
      </c>
      <c r="M4082" s="21">
        <v>0</v>
      </c>
      <c r="N4082" s="21">
        <v>0</v>
      </c>
      <c r="O4082" s="21">
        <v>0</v>
      </c>
      <c r="P4082" s="21">
        <v>0</v>
      </c>
      <c r="Q4082" s="21">
        <v>0</v>
      </c>
      <c r="R4082" s="21">
        <v>0</v>
      </c>
      <c r="S4082" s="21">
        <v>0</v>
      </c>
      <c r="T4082" s="21">
        <v>0</v>
      </c>
      <c r="U4082" s="21">
        <v>0</v>
      </c>
      <c r="V4082" s="21">
        <v>0</v>
      </c>
      <c r="W4082" s="21">
        <v>0</v>
      </c>
      <c r="X4082" s="21">
        <v>0</v>
      </c>
      <c r="Y4082" s="21">
        <v>0</v>
      </c>
      <c r="Z4082" s="71" t="s">
        <v>2272</v>
      </c>
      <c r="AA4082" s="71" t="s">
        <v>2272</v>
      </c>
      <c r="AB4082" s="71" t="s">
        <v>2272</v>
      </c>
      <c r="AC4082" s="71" t="s">
        <v>2272</v>
      </c>
      <c r="AD4082" s="198"/>
      <c r="AE4082" s="198"/>
    </row>
    <row r="4083" spans="1:31" ht="43.5" customHeight="1">
      <c r="A4083" s="71" t="s">
        <v>10474</v>
      </c>
      <c r="B4083" s="71" t="s">
        <v>10480</v>
      </c>
      <c r="C4083" s="198" t="s">
        <v>23</v>
      </c>
      <c r="D4083" s="198" t="s">
        <v>142</v>
      </c>
      <c r="E4083" s="198" t="s">
        <v>2647</v>
      </c>
      <c r="F4083" s="4" t="s">
        <v>2657</v>
      </c>
      <c r="G4083" s="4" t="s">
        <v>2272</v>
      </c>
      <c r="H4083" s="198" t="s">
        <v>522</v>
      </c>
      <c r="I4083" s="198"/>
      <c r="J4083" s="21">
        <v>0</v>
      </c>
      <c r="K4083" s="21">
        <v>0</v>
      </c>
      <c r="L4083" s="21">
        <v>0</v>
      </c>
      <c r="M4083" s="21">
        <v>0</v>
      </c>
      <c r="N4083" s="21">
        <v>0</v>
      </c>
      <c r="O4083" s="21">
        <v>0</v>
      </c>
      <c r="P4083" s="21">
        <v>0</v>
      </c>
      <c r="Q4083" s="21">
        <v>0</v>
      </c>
      <c r="R4083" s="21">
        <v>0</v>
      </c>
      <c r="S4083" s="21">
        <v>0</v>
      </c>
      <c r="T4083" s="21">
        <v>0</v>
      </c>
      <c r="U4083" s="21">
        <v>0</v>
      </c>
      <c r="V4083" s="21">
        <v>0</v>
      </c>
      <c r="W4083" s="21">
        <v>0</v>
      </c>
      <c r="X4083" s="21">
        <v>0</v>
      </c>
      <c r="Y4083" s="21">
        <v>0</v>
      </c>
      <c r="Z4083" s="71" t="s">
        <v>2272</v>
      </c>
      <c r="AA4083" s="71" t="s">
        <v>2272</v>
      </c>
      <c r="AB4083" s="71" t="s">
        <v>2272</v>
      </c>
      <c r="AC4083" s="71" t="s">
        <v>2272</v>
      </c>
      <c r="AD4083" s="198"/>
      <c r="AE4083" s="198"/>
    </row>
    <row r="4084" spans="1:31" ht="42" customHeight="1">
      <c r="A4084" s="71" t="s">
        <v>10477</v>
      </c>
      <c r="B4084" s="71" t="s">
        <v>10479</v>
      </c>
      <c r="C4084" s="198" t="s">
        <v>23</v>
      </c>
      <c r="D4084" s="198" t="s">
        <v>2799</v>
      </c>
      <c r="E4084" s="198" t="s">
        <v>44</v>
      </c>
      <c r="F4084" s="4" t="s">
        <v>2657</v>
      </c>
      <c r="G4084" s="4" t="s">
        <v>2657</v>
      </c>
      <c r="H4084" s="198" t="s">
        <v>521</v>
      </c>
      <c r="I4084" s="198"/>
      <c r="J4084" s="71" t="s">
        <v>2272</v>
      </c>
      <c r="K4084" s="71" t="s">
        <v>2272</v>
      </c>
      <c r="L4084" s="71" t="s">
        <v>2272</v>
      </c>
      <c r="M4084" s="71" t="s">
        <v>2272</v>
      </c>
      <c r="N4084" s="71" t="s">
        <v>2272</v>
      </c>
      <c r="O4084" s="71" t="s">
        <v>2272</v>
      </c>
      <c r="P4084" s="71" t="s">
        <v>2272</v>
      </c>
      <c r="Q4084" s="71" t="s">
        <v>2272</v>
      </c>
      <c r="R4084" s="71" t="s">
        <v>2272</v>
      </c>
      <c r="S4084" s="71" t="s">
        <v>2272</v>
      </c>
      <c r="T4084" s="71" t="s">
        <v>2272</v>
      </c>
      <c r="U4084" s="71" t="s">
        <v>2272</v>
      </c>
      <c r="V4084" s="71" t="s">
        <v>2272</v>
      </c>
      <c r="W4084" s="71" t="s">
        <v>2272</v>
      </c>
      <c r="X4084" s="71" t="s">
        <v>2272</v>
      </c>
      <c r="Y4084" s="71" t="s">
        <v>2272</v>
      </c>
      <c r="Z4084" s="71" t="s">
        <v>2272</v>
      </c>
      <c r="AA4084" s="71" t="s">
        <v>2272</v>
      </c>
      <c r="AB4084" s="71" t="s">
        <v>2272</v>
      </c>
      <c r="AC4084" s="71" t="s">
        <v>2272</v>
      </c>
      <c r="AD4084" s="198"/>
      <c r="AE4084" s="198"/>
    </row>
    <row r="4085" spans="1:31" ht="38" customHeight="1">
      <c r="A4085" s="71" t="s">
        <v>10483</v>
      </c>
      <c r="B4085" s="71" t="s">
        <v>10490</v>
      </c>
      <c r="C4085" s="198" t="s">
        <v>1102</v>
      </c>
      <c r="D4085" s="4" t="s">
        <v>2272</v>
      </c>
      <c r="E4085" s="4" t="s">
        <v>2272</v>
      </c>
      <c r="F4085" s="4" t="s">
        <v>2272</v>
      </c>
      <c r="G4085" s="4" t="s">
        <v>2272</v>
      </c>
      <c r="H4085" s="198" t="s">
        <v>521</v>
      </c>
      <c r="I4085" s="198"/>
      <c r="J4085" s="71" t="s">
        <v>2272</v>
      </c>
      <c r="K4085" s="71" t="s">
        <v>2272</v>
      </c>
      <c r="L4085" s="71" t="s">
        <v>2272</v>
      </c>
      <c r="M4085" s="71" t="s">
        <v>2272</v>
      </c>
      <c r="N4085" s="71" t="s">
        <v>2272</v>
      </c>
      <c r="O4085" s="71" t="s">
        <v>2272</v>
      </c>
      <c r="P4085" s="71" t="s">
        <v>2272</v>
      </c>
      <c r="Q4085" s="71" t="s">
        <v>2272</v>
      </c>
      <c r="R4085" s="71" t="s">
        <v>2272</v>
      </c>
      <c r="S4085" s="71" t="s">
        <v>2272</v>
      </c>
      <c r="T4085" s="71" t="s">
        <v>2272</v>
      </c>
      <c r="U4085" s="21">
        <v>22069</v>
      </c>
      <c r="V4085" s="71" t="s">
        <v>2272</v>
      </c>
      <c r="W4085" s="71" t="s">
        <v>2272</v>
      </c>
      <c r="X4085" s="71" t="s">
        <v>2272</v>
      </c>
      <c r="Y4085" s="21">
        <f>U4085/'Record info'!K1633</f>
        <v>30.864439254297025</v>
      </c>
      <c r="Z4085" s="71" t="s">
        <v>2272</v>
      </c>
      <c r="AA4085" s="198" t="s">
        <v>402</v>
      </c>
      <c r="AB4085" s="198" t="s">
        <v>34</v>
      </c>
      <c r="AC4085" s="198" t="s">
        <v>63</v>
      </c>
      <c r="AD4085" s="198"/>
      <c r="AE4085" s="198"/>
    </row>
    <row r="4086" spans="1:31" ht="38" customHeight="1">
      <c r="A4086" s="71" t="s">
        <v>10485</v>
      </c>
      <c r="B4086" s="71" t="s">
        <v>10491</v>
      </c>
      <c r="C4086" s="198" t="s">
        <v>1102</v>
      </c>
      <c r="D4086" s="4" t="s">
        <v>2272</v>
      </c>
      <c r="E4086" s="4" t="s">
        <v>2272</v>
      </c>
      <c r="F4086" s="4" t="s">
        <v>2272</v>
      </c>
      <c r="G4086" s="4" t="s">
        <v>2272</v>
      </c>
      <c r="H4086" s="198" t="s">
        <v>521</v>
      </c>
      <c r="I4086" s="198"/>
      <c r="J4086" s="71" t="s">
        <v>2272</v>
      </c>
      <c r="K4086" s="71" t="s">
        <v>2272</v>
      </c>
      <c r="L4086" s="71" t="s">
        <v>2272</v>
      </c>
      <c r="M4086" s="71" t="s">
        <v>2272</v>
      </c>
      <c r="N4086" s="71" t="s">
        <v>2272</v>
      </c>
      <c r="O4086" s="71" t="s">
        <v>2272</v>
      </c>
      <c r="P4086" s="71" t="s">
        <v>2272</v>
      </c>
      <c r="Q4086" s="71" t="s">
        <v>2272</v>
      </c>
      <c r="R4086" s="71" t="s">
        <v>2272</v>
      </c>
      <c r="S4086" s="71" t="s">
        <v>2272</v>
      </c>
      <c r="T4086" s="71" t="s">
        <v>2272</v>
      </c>
      <c r="U4086" s="21">
        <v>20826</v>
      </c>
      <c r="V4086" s="71" t="s">
        <v>2272</v>
      </c>
      <c r="W4086" s="71" t="s">
        <v>2272</v>
      </c>
      <c r="X4086" s="71" t="s">
        <v>2272</v>
      </c>
      <c r="Y4086" s="21">
        <f>U4086/'Record info'!K1634</f>
        <v>44.000760600874692</v>
      </c>
      <c r="Z4086" s="71" t="s">
        <v>2272</v>
      </c>
      <c r="AA4086" s="198" t="s">
        <v>397</v>
      </c>
      <c r="AB4086" s="198" t="s">
        <v>34</v>
      </c>
      <c r="AC4086" s="198" t="s">
        <v>75</v>
      </c>
      <c r="AD4086" s="198"/>
      <c r="AE4086" s="198"/>
    </row>
    <row r="4087" spans="1:31" ht="38" customHeight="1">
      <c r="A4087" s="71" t="s">
        <v>10489</v>
      </c>
      <c r="B4087" s="71" t="s">
        <v>10492</v>
      </c>
      <c r="C4087" s="198" t="s">
        <v>1102</v>
      </c>
      <c r="D4087" s="4" t="s">
        <v>2272</v>
      </c>
      <c r="E4087" s="4" t="s">
        <v>2272</v>
      </c>
      <c r="F4087" s="4" t="s">
        <v>2272</v>
      </c>
      <c r="G4087" s="4" t="s">
        <v>2272</v>
      </c>
      <c r="H4087" s="198" t="s">
        <v>521</v>
      </c>
      <c r="I4087" s="198"/>
      <c r="J4087" s="71" t="s">
        <v>2272</v>
      </c>
      <c r="K4087" s="71" t="s">
        <v>2272</v>
      </c>
      <c r="L4087" s="71" t="s">
        <v>2272</v>
      </c>
      <c r="M4087" s="71" t="s">
        <v>2272</v>
      </c>
      <c r="N4087" s="71" t="s">
        <v>2272</v>
      </c>
      <c r="O4087" s="71" t="s">
        <v>2272</v>
      </c>
      <c r="P4087" s="71" t="s">
        <v>2272</v>
      </c>
      <c r="Q4087" s="71" t="s">
        <v>2272</v>
      </c>
      <c r="R4087" s="71" t="s">
        <v>2272</v>
      </c>
      <c r="S4087" s="71" t="s">
        <v>2272</v>
      </c>
      <c r="T4087" s="71" t="s">
        <v>2272</v>
      </c>
      <c r="U4087" s="21">
        <v>14952</v>
      </c>
      <c r="V4087" s="71" t="s">
        <v>2272</v>
      </c>
      <c r="W4087" s="71" t="s">
        <v>2272</v>
      </c>
      <c r="X4087" s="71" t="s">
        <v>2272</v>
      </c>
      <c r="Y4087" s="21">
        <f>U4087/'Record info'!K1635</f>
        <v>18.904327816620942</v>
      </c>
      <c r="Z4087" s="71" t="s">
        <v>2272</v>
      </c>
      <c r="AA4087" s="198" t="s">
        <v>397</v>
      </c>
      <c r="AB4087" s="198" t="s">
        <v>34</v>
      </c>
      <c r="AC4087" s="198" t="s">
        <v>63</v>
      </c>
      <c r="AD4087" s="198"/>
      <c r="AE4087" s="198"/>
    </row>
    <row r="4088" spans="1:31" ht="42.5" customHeight="1">
      <c r="A4088" s="71" t="s">
        <v>10483</v>
      </c>
      <c r="B4088" s="71" t="s">
        <v>10494</v>
      </c>
      <c r="C4088" s="198" t="s">
        <v>23</v>
      </c>
      <c r="D4088" s="198" t="s">
        <v>1238</v>
      </c>
      <c r="E4088" s="198" t="s">
        <v>135</v>
      </c>
      <c r="F4088" s="4" t="s">
        <v>2657</v>
      </c>
      <c r="G4088" s="4" t="s">
        <v>2657</v>
      </c>
      <c r="H4088" s="198" t="s">
        <v>522</v>
      </c>
      <c r="I4088" s="198"/>
      <c r="J4088" s="21">
        <v>0</v>
      </c>
      <c r="K4088" s="21">
        <v>0</v>
      </c>
      <c r="L4088" s="21">
        <v>0</v>
      </c>
      <c r="M4088" s="21">
        <v>0</v>
      </c>
      <c r="N4088" s="21">
        <v>0</v>
      </c>
      <c r="O4088" s="21">
        <v>0</v>
      </c>
      <c r="P4088" s="21">
        <v>0</v>
      </c>
      <c r="Q4088" s="21">
        <v>0</v>
      </c>
      <c r="R4088" s="21">
        <v>0</v>
      </c>
      <c r="S4088" s="21">
        <v>0</v>
      </c>
      <c r="T4088" s="21">
        <v>0</v>
      </c>
      <c r="U4088" s="21">
        <v>0</v>
      </c>
      <c r="V4088" s="21">
        <v>0</v>
      </c>
      <c r="W4088" s="21">
        <v>0</v>
      </c>
      <c r="X4088" s="21">
        <v>0</v>
      </c>
      <c r="Y4088" s="21">
        <v>0</v>
      </c>
      <c r="Z4088" s="71" t="s">
        <v>2272</v>
      </c>
      <c r="AA4088" s="71" t="s">
        <v>2272</v>
      </c>
      <c r="AB4088" s="71" t="s">
        <v>2272</v>
      </c>
      <c r="AC4088" s="71" t="s">
        <v>2272</v>
      </c>
      <c r="AD4088" s="198"/>
      <c r="AE4088" s="198"/>
    </row>
    <row r="4089" spans="1:31" ht="42.5" customHeight="1">
      <c r="A4089" s="71" t="s">
        <v>10485</v>
      </c>
      <c r="B4089" s="71" t="s">
        <v>10495</v>
      </c>
      <c r="C4089" s="198" t="s">
        <v>23</v>
      </c>
      <c r="D4089" s="198" t="s">
        <v>24</v>
      </c>
      <c r="E4089" s="198" t="s">
        <v>44</v>
      </c>
      <c r="F4089" s="4" t="s">
        <v>2657</v>
      </c>
      <c r="G4089" s="4" t="s">
        <v>2657</v>
      </c>
      <c r="H4089" s="198" t="s">
        <v>521</v>
      </c>
      <c r="I4089" s="198"/>
      <c r="J4089" s="71" t="s">
        <v>2272</v>
      </c>
      <c r="K4089" s="71" t="s">
        <v>2272</v>
      </c>
      <c r="L4089" s="71" t="s">
        <v>2272</v>
      </c>
      <c r="M4089" s="71" t="s">
        <v>2272</v>
      </c>
      <c r="N4089" s="71" t="s">
        <v>2272</v>
      </c>
      <c r="O4089" s="71" t="s">
        <v>2272</v>
      </c>
      <c r="P4089" s="71" t="s">
        <v>2272</v>
      </c>
      <c r="Q4089" s="71" t="s">
        <v>2272</v>
      </c>
      <c r="R4089" s="71" t="s">
        <v>2272</v>
      </c>
      <c r="S4089" s="71" t="s">
        <v>2272</v>
      </c>
      <c r="T4089" s="71" t="s">
        <v>2272</v>
      </c>
      <c r="U4089" s="71" t="s">
        <v>2272</v>
      </c>
      <c r="V4089" s="71" t="s">
        <v>2272</v>
      </c>
      <c r="W4089" s="71" t="s">
        <v>2272</v>
      </c>
      <c r="X4089" s="71" t="s">
        <v>2272</v>
      </c>
      <c r="Y4089" s="71" t="s">
        <v>2272</v>
      </c>
      <c r="Z4089" s="71" t="s">
        <v>2272</v>
      </c>
      <c r="AA4089" s="71" t="s">
        <v>2272</v>
      </c>
      <c r="AB4089" s="71" t="s">
        <v>2272</v>
      </c>
      <c r="AC4089" s="71" t="s">
        <v>2272</v>
      </c>
      <c r="AD4089" s="198"/>
      <c r="AE4089" s="198"/>
    </row>
    <row r="4090" spans="1:31" ht="42.5" customHeight="1">
      <c r="A4090" s="71" t="s">
        <v>10489</v>
      </c>
      <c r="B4090" s="71" t="s">
        <v>10496</v>
      </c>
      <c r="C4090" s="198" t="s">
        <v>23</v>
      </c>
      <c r="D4090" s="198" t="s">
        <v>24</v>
      </c>
      <c r="E4090" s="198" t="s">
        <v>44</v>
      </c>
      <c r="F4090" s="4" t="s">
        <v>2657</v>
      </c>
      <c r="G4090" s="4" t="s">
        <v>2657</v>
      </c>
      <c r="H4090" s="198" t="s">
        <v>521</v>
      </c>
      <c r="I4090" s="198"/>
      <c r="J4090" s="71" t="s">
        <v>2272</v>
      </c>
      <c r="K4090" s="71" t="s">
        <v>2272</v>
      </c>
      <c r="L4090" s="71" t="s">
        <v>2272</v>
      </c>
      <c r="M4090" s="71" t="s">
        <v>2272</v>
      </c>
      <c r="N4090" s="71" t="s">
        <v>2272</v>
      </c>
      <c r="O4090" s="71" t="s">
        <v>2272</v>
      </c>
      <c r="P4090" s="71" t="s">
        <v>2272</v>
      </c>
      <c r="Q4090" s="71" t="s">
        <v>2272</v>
      </c>
      <c r="R4090" s="71" t="s">
        <v>2272</v>
      </c>
      <c r="S4090" s="71" t="s">
        <v>2272</v>
      </c>
      <c r="T4090" s="71" t="s">
        <v>2272</v>
      </c>
      <c r="U4090" s="71" t="s">
        <v>2272</v>
      </c>
      <c r="V4090" s="71" t="s">
        <v>2272</v>
      </c>
      <c r="W4090" s="71" t="s">
        <v>2272</v>
      </c>
      <c r="X4090" s="71" t="s">
        <v>2272</v>
      </c>
      <c r="Y4090" s="71" t="s">
        <v>2272</v>
      </c>
      <c r="Z4090" s="71" t="s">
        <v>2272</v>
      </c>
      <c r="AA4090" s="71" t="s">
        <v>2272</v>
      </c>
      <c r="AB4090" s="71" t="s">
        <v>2272</v>
      </c>
      <c r="AC4090" s="71" t="s">
        <v>2272</v>
      </c>
      <c r="AD4090" s="198"/>
      <c r="AE4090" s="198"/>
    </row>
    <row r="4091" spans="1:31" ht="42.5" customHeight="1">
      <c r="A4091" s="71" t="s">
        <v>10483</v>
      </c>
      <c r="B4091" s="71" t="s">
        <v>10497</v>
      </c>
      <c r="C4091" s="198" t="s">
        <v>23</v>
      </c>
      <c r="D4091" s="198" t="s">
        <v>142</v>
      </c>
      <c r="E4091" s="198" t="s">
        <v>135</v>
      </c>
      <c r="F4091" s="4" t="s">
        <v>2657</v>
      </c>
      <c r="G4091" s="4" t="s">
        <v>2657</v>
      </c>
      <c r="H4091" s="198" t="s">
        <v>522</v>
      </c>
      <c r="I4091" s="198"/>
      <c r="J4091" s="21">
        <v>0</v>
      </c>
      <c r="K4091" s="21">
        <v>0</v>
      </c>
      <c r="L4091" s="21">
        <v>0</v>
      </c>
      <c r="M4091" s="21">
        <v>0</v>
      </c>
      <c r="N4091" s="21">
        <v>0</v>
      </c>
      <c r="O4091" s="21">
        <v>0</v>
      </c>
      <c r="P4091" s="21">
        <v>0</v>
      </c>
      <c r="Q4091" s="21">
        <v>0</v>
      </c>
      <c r="R4091" s="21">
        <v>0</v>
      </c>
      <c r="S4091" s="21">
        <v>0</v>
      </c>
      <c r="T4091" s="21">
        <v>0</v>
      </c>
      <c r="U4091" s="21">
        <v>0</v>
      </c>
      <c r="V4091" s="21">
        <v>0</v>
      </c>
      <c r="W4091" s="21">
        <v>0</v>
      </c>
      <c r="X4091" s="21">
        <v>0</v>
      </c>
      <c r="Y4091" s="21">
        <v>0</v>
      </c>
      <c r="Z4091" s="71" t="s">
        <v>2272</v>
      </c>
      <c r="AA4091" s="71" t="s">
        <v>2272</v>
      </c>
      <c r="AB4091" s="71" t="s">
        <v>2272</v>
      </c>
      <c r="AC4091" s="71" t="s">
        <v>2272</v>
      </c>
      <c r="AD4091" s="198"/>
      <c r="AE4091" s="198"/>
    </row>
    <row r="4092" spans="1:31" ht="42.5" customHeight="1">
      <c r="A4092" s="71" t="s">
        <v>10485</v>
      </c>
      <c r="B4092" s="71" t="s">
        <v>10498</v>
      </c>
      <c r="C4092" s="198" t="s">
        <v>23</v>
      </c>
      <c r="D4092" s="198" t="s">
        <v>2272</v>
      </c>
      <c r="E4092" s="4" t="s">
        <v>395</v>
      </c>
      <c r="F4092" s="4" t="s">
        <v>2657</v>
      </c>
      <c r="G4092" s="4" t="s">
        <v>2657</v>
      </c>
      <c r="H4092" s="198" t="s">
        <v>521</v>
      </c>
      <c r="I4092" s="198"/>
      <c r="J4092" s="71" t="s">
        <v>2272</v>
      </c>
      <c r="K4092" s="71" t="s">
        <v>2272</v>
      </c>
      <c r="L4092" s="71" t="s">
        <v>2272</v>
      </c>
      <c r="M4092" s="71" t="s">
        <v>2272</v>
      </c>
      <c r="N4092" s="71" t="s">
        <v>2272</v>
      </c>
      <c r="O4092" s="71" t="s">
        <v>2272</v>
      </c>
      <c r="P4092" s="71" t="s">
        <v>2272</v>
      </c>
      <c r="Q4092" s="71" t="s">
        <v>2272</v>
      </c>
      <c r="R4092" s="71" t="s">
        <v>2272</v>
      </c>
      <c r="S4092" s="71" t="s">
        <v>2272</v>
      </c>
      <c r="T4092" s="71" t="s">
        <v>2272</v>
      </c>
      <c r="U4092" s="71" t="s">
        <v>2272</v>
      </c>
      <c r="V4092" s="71" t="s">
        <v>2272</v>
      </c>
      <c r="W4092" s="71" t="s">
        <v>2272</v>
      </c>
      <c r="X4092" s="71" t="s">
        <v>2272</v>
      </c>
      <c r="Y4092" s="71" t="s">
        <v>2272</v>
      </c>
      <c r="Z4092" s="71" t="s">
        <v>2272</v>
      </c>
      <c r="AA4092" s="71" t="s">
        <v>2272</v>
      </c>
      <c r="AB4092" s="71" t="s">
        <v>2272</v>
      </c>
      <c r="AC4092" s="71" t="s">
        <v>2272</v>
      </c>
      <c r="AD4092" s="198"/>
      <c r="AE4092" s="198"/>
    </row>
    <row r="4093" spans="1:31" ht="42.5" customHeight="1">
      <c r="A4093" s="71" t="s">
        <v>10489</v>
      </c>
      <c r="B4093" s="71" t="s">
        <v>10499</v>
      </c>
      <c r="C4093" s="198" t="s">
        <v>23</v>
      </c>
      <c r="D4093" s="198" t="s">
        <v>2272</v>
      </c>
      <c r="E4093" s="4" t="s">
        <v>395</v>
      </c>
      <c r="F4093" s="4" t="s">
        <v>2657</v>
      </c>
      <c r="G4093" s="4" t="s">
        <v>2657</v>
      </c>
      <c r="H4093" s="198" t="s">
        <v>521</v>
      </c>
      <c r="I4093" s="198"/>
      <c r="J4093" s="71" t="s">
        <v>2272</v>
      </c>
      <c r="K4093" s="71" t="s">
        <v>2272</v>
      </c>
      <c r="L4093" s="71" t="s">
        <v>2272</v>
      </c>
      <c r="M4093" s="71" t="s">
        <v>2272</v>
      </c>
      <c r="N4093" s="71" t="s">
        <v>2272</v>
      </c>
      <c r="O4093" s="71" t="s">
        <v>2272</v>
      </c>
      <c r="P4093" s="71" t="s">
        <v>2272</v>
      </c>
      <c r="Q4093" s="71" t="s">
        <v>2272</v>
      </c>
      <c r="R4093" s="71" t="s">
        <v>2272</v>
      </c>
      <c r="S4093" s="71" t="s">
        <v>2272</v>
      </c>
      <c r="T4093" s="71" t="s">
        <v>2272</v>
      </c>
      <c r="U4093" s="71" t="s">
        <v>2272</v>
      </c>
      <c r="V4093" s="71" t="s">
        <v>2272</v>
      </c>
      <c r="W4093" s="71" t="s">
        <v>2272</v>
      </c>
      <c r="X4093" s="71" t="s">
        <v>2272</v>
      </c>
      <c r="Y4093" s="71" t="s">
        <v>2272</v>
      </c>
      <c r="Z4093" s="71" t="s">
        <v>2272</v>
      </c>
      <c r="AA4093" s="71" t="s">
        <v>2272</v>
      </c>
      <c r="AB4093" s="71" t="s">
        <v>2272</v>
      </c>
      <c r="AC4093" s="71" t="s">
        <v>2272</v>
      </c>
      <c r="AD4093" s="198"/>
      <c r="AE4093" s="198"/>
    </row>
    <row r="4094" spans="1:31" ht="46.5" customHeight="1">
      <c r="A4094" s="71" t="s">
        <v>10485</v>
      </c>
      <c r="B4094" s="71" t="s">
        <v>10502</v>
      </c>
      <c r="C4094" s="198" t="s">
        <v>2453</v>
      </c>
      <c r="D4094" s="198" t="s">
        <v>24</v>
      </c>
      <c r="E4094" s="198" t="s">
        <v>44</v>
      </c>
      <c r="F4094" s="4" t="s">
        <v>2657</v>
      </c>
      <c r="G4094" s="4" t="s">
        <v>2272</v>
      </c>
      <c r="H4094" s="198" t="s">
        <v>521</v>
      </c>
      <c r="I4094" s="198"/>
      <c r="J4094" s="71" t="s">
        <v>2272</v>
      </c>
      <c r="K4094" s="71" t="s">
        <v>2272</v>
      </c>
      <c r="L4094" s="71" t="s">
        <v>2272</v>
      </c>
      <c r="M4094" s="71" t="s">
        <v>2272</v>
      </c>
      <c r="N4094" s="71" t="s">
        <v>2272</v>
      </c>
      <c r="O4094" s="71" t="s">
        <v>2272</v>
      </c>
      <c r="P4094" s="71" t="s">
        <v>2272</v>
      </c>
      <c r="Q4094" s="71" t="s">
        <v>2272</v>
      </c>
      <c r="R4094" s="71" t="s">
        <v>2272</v>
      </c>
      <c r="S4094" s="71" t="s">
        <v>2272</v>
      </c>
      <c r="T4094" s="71" t="s">
        <v>2272</v>
      </c>
      <c r="U4094" s="71" t="s">
        <v>2272</v>
      </c>
      <c r="V4094" s="71" t="s">
        <v>2272</v>
      </c>
      <c r="W4094" s="71" t="s">
        <v>2272</v>
      </c>
      <c r="X4094" s="71" t="s">
        <v>2272</v>
      </c>
      <c r="Y4094" s="71" t="s">
        <v>2272</v>
      </c>
      <c r="Z4094" s="71" t="s">
        <v>2272</v>
      </c>
      <c r="AA4094" s="71" t="s">
        <v>2272</v>
      </c>
      <c r="AB4094" s="71" t="s">
        <v>2272</v>
      </c>
      <c r="AC4094" s="71" t="s">
        <v>2272</v>
      </c>
      <c r="AD4094" s="198"/>
      <c r="AE4094" s="198"/>
    </row>
    <row r="4095" spans="1:31" ht="40" customHeight="1">
      <c r="A4095" s="71" t="s">
        <v>10483</v>
      </c>
      <c r="B4095" s="71" t="s">
        <v>10503</v>
      </c>
      <c r="C4095" s="198" t="s">
        <v>23</v>
      </c>
      <c r="D4095" s="198" t="s">
        <v>2342</v>
      </c>
      <c r="E4095" s="198" t="s">
        <v>44</v>
      </c>
      <c r="F4095" s="4" t="s">
        <v>2657</v>
      </c>
      <c r="G4095" s="4" t="s">
        <v>2657</v>
      </c>
      <c r="H4095" s="198" t="s">
        <v>521</v>
      </c>
      <c r="I4095" s="198"/>
      <c r="J4095" s="71" t="s">
        <v>2272</v>
      </c>
      <c r="K4095" s="71" t="s">
        <v>2272</v>
      </c>
      <c r="L4095" s="71" t="s">
        <v>2272</v>
      </c>
      <c r="M4095" s="71" t="s">
        <v>2272</v>
      </c>
      <c r="N4095" s="71" t="s">
        <v>2272</v>
      </c>
      <c r="O4095" s="71" t="s">
        <v>2272</v>
      </c>
      <c r="P4095" s="71" t="s">
        <v>2272</v>
      </c>
      <c r="Q4095" s="71" t="s">
        <v>2272</v>
      </c>
      <c r="R4095" s="71" t="s">
        <v>2272</v>
      </c>
      <c r="S4095" s="71" t="s">
        <v>2272</v>
      </c>
      <c r="T4095" s="71" t="s">
        <v>2272</v>
      </c>
      <c r="U4095" s="71" t="s">
        <v>2272</v>
      </c>
      <c r="V4095" s="71" t="s">
        <v>2272</v>
      </c>
      <c r="W4095" s="71" t="s">
        <v>2272</v>
      </c>
      <c r="X4095" s="71" t="s">
        <v>2272</v>
      </c>
      <c r="Y4095" s="71" t="s">
        <v>2272</v>
      </c>
      <c r="Z4095" s="71" t="s">
        <v>2272</v>
      </c>
      <c r="AA4095" s="198" t="s">
        <v>37</v>
      </c>
      <c r="AB4095" s="198" t="s">
        <v>67</v>
      </c>
      <c r="AC4095" s="71" t="s">
        <v>2272</v>
      </c>
      <c r="AD4095" s="198"/>
      <c r="AE4095" s="198"/>
    </row>
    <row r="4096" spans="1:31" ht="40" customHeight="1">
      <c r="A4096" s="71" t="s">
        <v>10485</v>
      </c>
      <c r="B4096" s="71" t="s">
        <v>10504</v>
      </c>
      <c r="C4096" s="198" t="s">
        <v>23</v>
      </c>
      <c r="D4096" s="198" t="s">
        <v>2342</v>
      </c>
      <c r="E4096" s="198" t="s">
        <v>44</v>
      </c>
      <c r="F4096" s="4" t="s">
        <v>2657</v>
      </c>
      <c r="G4096" s="4" t="s">
        <v>2657</v>
      </c>
      <c r="H4096" s="198" t="s">
        <v>521</v>
      </c>
      <c r="I4096" s="198"/>
      <c r="J4096" s="71" t="s">
        <v>2272</v>
      </c>
      <c r="K4096" s="71" t="s">
        <v>2272</v>
      </c>
      <c r="L4096" s="71" t="s">
        <v>2272</v>
      </c>
      <c r="M4096" s="71" t="s">
        <v>2272</v>
      </c>
      <c r="N4096" s="71" t="s">
        <v>2272</v>
      </c>
      <c r="O4096" s="71" t="s">
        <v>2272</v>
      </c>
      <c r="P4096" s="71" t="s">
        <v>2272</v>
      </c>
      <c r="Q4096" s="71" t="s">
        <v>2272</v>
      </c>
      <c r="R4096" s="71" t="s">
        <v>2272</v>
      </c>
      <c r="S4096" s="71" t="s">
        <v>2272</v>
      </c>
      <c r="T4096" s="71" t="s">
        <v>2272</v>
      </c>
      <c r="U4096" s="71" t="s">
        <v>2272</v>
      </c>
      <c r="V4096" s="71" t="s">
        <v>2272</v>
      </c>
      <c r="W4096" s="71" t="s">
        <v>2272</v>
      </c>
      <c r="X4096" s="71" t="s">
        <v>2272</v>
      </c>
      <c r="Y4096" s="71" t="s">
        <v>2272</v>
      </c>
      <c r="Z4096" s="71" t="s">
        <v>2272</v>
      </c>
      <c r="AA4096" s="198" t="s">
        <v>37</v>
      </c>
      <c r="AB4096" s="198" t="s">
        <v>67</v>
      </c>
      <c r="AC4096" s="71" t="s">
        <v>2272</v>
      </c>
      <c r="AD4096" s="198"/>
      <c r="AE4096" s="198"/>
    </row>
    <row r="4097" spans="1:31" ht="39" customHeight="1">
      <c r="A4097" s="71" t="s">
        <v>10510</v>
      </c>
      <c r="B4097" s="71" t="s">
        <v>10512</v>
      </c>
      <c r="C4097" s="198" t="s">
        <v>23</v>
      </c>
      <c r="D4097" s="198" t="s">
        <v>142</v>
      </c>
      <c r="E4097" s="198" t="s">
        <v>2642</v>
      </c>
      <c r="F4097" s="4" t="s">
        <v>2657</v>
      </c>
      <c r="G4097" s="4" t="s">
        <v>2657</v>
      </c>
      <c r="H4097" s="198" t="s">
        <v>521</v>
      </c>
      <c r="I4097" s="198"/>
      <c r="J4097" s="71" t="s">
        <v>2272</v>
      </c>
      <c r="K4097" s="71" t="s">
        <v>2272</v>
      </c>
      <c r="L4097" s="71" t="s">
        <v>2272</v>
      </c>
      <c r="M4097" s="71" t="s">
        <v>2272</v>
      </c>
      <c r="N4097" s="71" t="s">
        <v>2272</v>
      </c>
      <c r="O4097" s="71" t="s">
        <v>2272</v>
      </c>
      <c r="P4097" s="71" t="s">
        <v>2272</v>
      </c>
      <c r="Q4097" s="71" t="s">
        <v>2272</v>
      </c>
      <c r="R4097" s="71" t="s">
        <v>2272</v>
      </c>
      <c r="S4097" s="71" t="s">
        <v>2272</v>
      </c>
      <c r="T4097" s="71" t="s">
        <v>2272</v>
      </c>
      <c r="U4097" s="21">
        <f>597000/9</f>
        <v>66333.333333333328</v>
      </c>
      <c r="V4097" s="71" t="s">
        <v>2272</v>
      </c>
      <c r="W4097" s="71" t="s">
        <v>2272</v>
      </c>
      <c r="X4097" s="71" t="s">
        <v>2272</v>
      </c>
      <c r="Y4097" s="21">
        <f>U4097/'Record info'!K1636</f>
        <v>6.7453054030235235E-3</v>
      </c>
      <c r="Z4097" s="71" t="s">
        <v>2272</v>
      </c>
      <c r="AA4097" s="71" t="s">
        <v>2272</v>
      </c>
      <c r="AB4097" s="71" t="s">
        <v>2272</v>
      </c>
      <c r="AC4097" s="71" t="s">
        <v>2272</v>
      </c>
      <c r="AD4097" s="198"/>
      <c r="AE4097" s="198"/>
    </row>
    <row r="4098" spans="1:31" ht="41.5" customHeight="1">
      <c r="A4098" s="198" t="s">
        <v>10516</v>
      </c>
      <c r="B4098" s="71" t="s">
        <v>10519</v>
      </c>
      <c r="C4098" s="198" t="s">
        <v>23</v>
      </c>
      <c r="D4098" s="198" t="s">
        <v>142</v>
      </c>
      <c r="E4098" s="198" t="s">
        <v>135</v>
      </c>
      <c r="F4098" s="4" t="s">
        <v>2657</v>
      </c>
      <c r="G4098" s="4" t="s">
        <v>2657</v>
      </c>
      <c r="H4098" s="198" t="s">
        <v>521</v>
      </c>
      <c r="I4098" s="198"/>
      <c r="J4098" s="71" t="s">
        <v>2272</v>
      </c>
      <c r="K4098" s="71" t="s">
        <v>2272</v>
      </c>
      <c r="L4098" s="21">
        <v>60</v>
      </c>
      <c r="M4098" s="21">
        <v>60</v>
      </c>
      <c r="N4098" s="21">
        <f>400</f>
        <v>400</v>
      </c>
      <c r="O4098" s="21">
        <f>400</f>
        <v>400</v>
      </c>
      <c r="P4098" s="21">
        <f>1.8*100</f>
        <v>180</v>
      </c>
      <c r="Q4098" s="21">
        <f>1.8*100</f>
        <v>180</v>
      </c>
      <c r="R4098" s="71" t="s">
        <v>2272</v>
      </c>
      <c r="S4098" s="71" t="s">
        <v>2272</v>
      </c>
      <c r="T4098" s="21">
        <f>18.3*100/5</f>
        <v>366</v>
      </c>
      <c r="U4098" s="21">
        <f>18.3*100/5</f>
        <v>366</v>
      </c>
      <c r="V4098" s="71" t="s">
        <v>2272</v>
      </c>
      <c r="W4098" s="71" t="s">
        <v>2272</v>
      </c>
      <c r="X4098" s="71" t="s">
        <v>2272</v>
      </c>
      <c r="Y4098" s="21">
        <f>U4098/'Record info'!K1637</f>
        <v>7.7872340425531918</v>
      </c>
      <c r="Z4098" s="71" t="s">
        <v>2272</v>
      </c>
      <c r="AA4098" s="71" t="s">
        <v>2272</v>
      </c>
      <c r="AB4098" s="71" t="s">
        <v>2272</v>
      </c>
      <c r="AC4098" s="71" t="s">
        <v>2272</v>
      </c>
      <c r="AD4098" s="198"/>
      <c r="AE4098" s="198"/>
    </row>
    <row r="4099" spans="1:31" ht="36.5" customHeight="1">
      <c r="A4099" s="71" t="s">
        <v>10523</v>
      </c>
      <c r="B4099" s="71" t="s">
        <v>10527</v>
      </c>
      <c r="C4099" s="198" t="s">
        <v>23</v>
      </c>
      <c r="D4099" s="198" t="s">
        <v>2654</v>
      </c>
      <c r="E4099" s="198" t="s">
        <v>82</v>
      </c>
      <c r="F4099" s="4" t="s">
        <v>27</v>
      </c>
      <c r="G4099" s="71" t="s">
        <v>2272</v>
      </c>
      <c r="H4099" s="198" t="s">
        <v>521</v>
      </c>
      <c r="I4099" s="198"/>
      <c r="J4099" s="71" t="s">
        <v>2272</v>
      </c>
      <c r="K4099" s="71" t="s">
        <v>2272</v>
      </c>
      <c r="L4099" s="71" t="s">
        <v>2272</v>
      </c>
      <c r="M4099" s="71" t="s">
        <v>2272</v>
      </c>
      <c r="N4099" s="71" t="s">
        <v>2272</v>
      </c>
      <c r="O4099" s="71" t="s">
        <v>2272</v>
      </c>
      <c r="P4099" s="71" t="s">
        <v>2272</v>
      </c>
      <c r="Q4099" s="71" t="s">
        <v>2272</v>
      </c>
      <c r="R4099" s="71" t="s">
        <v>2272</v>
      </c>
      <c r="S4099" s="71" t="s">
        <v>2272</v>
      </c>
      <c r="T4099" s="71" t="s">
        <v>2272</v>
      </c>
      <c r="U4099" s="71" t="s">
        <v>2272</v>
      </c>
      <c r="V4099" s="71" t="s">
        <v>2272</v>
      </c>
      <c r="W4099" s="71" t="s">
        <v>2272</v>
      </c>
      <c r="X4099" s="71" t="s">
        <v>2272</v>
      </c>
      <c r="Y4099" s="71" t="s">
        <v>2272</v>
      </c>
      <c r="Z4099" s="71" t="s">
        <v>2272</v>
      </c>
      <c r="AA4099" s="198" t="s">
        <v>187</v>
      </c>
      <c r="AB4099" s="198" t="s">
        <v>84</v>
      </c>
      <c r="AC4099" s="71" t="s">
        <v>2272</v>
      </c>
      <c r="AD4099" s="198"/>
      <c r="AE4099" s="198"/>
    </row>
    <row r="4100" spans="1:31" ht="36.5" customHeight="1">
      <c r="A4100" s="71" t="s">
        <v>10523</v>
      </c>
      <c r="B4100" s="71" t="s">
        <v>10531</v>
      </c>
      <c r="C4100" s="198" t="s">
        <v>23</v>
      </c>
      <c r="D4100" s="198" t="s">
        <v>2989</v>
      </c>
      <c r="E4100" s="198" t="s">
        <v>82</v>
      </c>
      <c r="F4100" s="4" t="s">
        <v>27</v>
      </c>
      <c r="G4100" s="71" t="s">
        <v>2272</v>
      </c>
      <c r="H4100" s="198" t="s">
        <v>521</v>
      </c>
      <c r="I4100" s="198"/>
      <c r="J4100" s="71" t="s">
        <v>2272</v>
      </c>
      <c r="K4100" s="71" t="s">
        <v>2272</v>
      </c>
      <c r="L4100" s="71" t="s">
        <v>2272</v>
      </c>
      <c r="M4100" s="71" t="s">
        <v>2272</v>
      </c>
      <c r="N4100" s="71" t="s">
        <v>2272</v>
      </c>
      <c r="O4100" s="71" t="s">
        <v>2272</v>
      </c>
      <c r="P4100" s="21">
        <f>10/(100^2)</f>
        <v>1E-3</v>
      </c>
      <c r="Q4100" s="21">
        <f>10/(100^2)</f>
        <v>1E-3</v>
      </c>
      <c r="R4100" s="71" t="s">
        <v>2272</v>
      </c>
      <c r="S4100" s="71" t="s">
        <v>2272</v>
      </c>
      <c r="T4100" s="71" t="s">
        <v>2272</v>
      </c>
      <c r="U4100" s="71" t="s">
        <v>2272</v>
      </c>
      <c r="V4100" s="71" t="s">
        <v>2272</v>
      </c>
      <c r="W4100" s="71" t="s">
        <v>2272</v>
      </c>
      <c r="X4100" s="71" t="s">
        <v>2272</v>
      </c>
      <c r="Y4100" s="71" t="s">
        <v>2272</v>
      </c>
      <c r="Z4100" s="71" t="s">
        <v>2272</v>
      </c>
      <c r="AA4100" s="198" t="s">
        <v>397</v>
      </c>
      <c r="AB4100" s="198" t="s">
        <v>125</v>
      </c>
      <c r="AC4100" s="198" t="s">
        <v>2308</v>
      </c>
      <c r="AD4100" s="198" t="s">
        <v>10552</v>
      </c>
      <c r="AE4100" s="198"/>
    </row>
    <row r="4101" spans="1:31" ht="36.5" customHeight="1">
      <c r="A4101" s="71" t="s">
        <v>10523</v>
      </c>
      <c r="B4101" s="71" t="s">
        <v>10532</v>
      </c>
      <c r="C4101" s="198" t="s">
        <v>23</v>
      </c>
      <c r="D4101" s="198" t="s">
        <v>26</v>
      </c>
      <c r="E4101" s="198" t="s">
        <v>82</v>
      </c>
      <c r="F4101" s="4" t="s">
        <v>27</v>
      </c>
      <c r="G4101" s="71" t="s">
        <v>2272</v>
      </c>
      <c r="H4101" s="198" t="s">
        <v>521</v>
      </c>
      <c r="I4101" s="198"/>
      <c r="J4101" s="71" t="s">
        <v>2272</v>
      </c>
      <c r="K4101" s="71" t="s">
        <v>2272</v>
      </c>
      <c r="L4101" s="71" t="s">
        <v>2272</v>
      </c>
      <c r="M4101" s="71" t="s">
        <v>2272</v>
      </c>
      <c r="N4101" s="71" t="s">
        <v>2272</v>
      </c>
      <c r="O4101" s="71" t="s">
        <v>2272</v>
      </c>
      <c r="P4101" s="71" t="s">
        <v>2272</v>
      </c>
      <c r="Q4101" s="71" t="s">
        <v>2272</v>
      </c>
      <c r="R4101" s="71" t="s">
        <v>2272</v>
      </c>
      <c r="S4101" s="71" t="s">
        <v>2272</v>
      </c>
      <c r="T4101" s="71" t="s">
        <v>2272</v>
      </c>
      <c r="U4101" s="71" t="s">
        <v>2272</v>
      </c>
      <c r="V4101" s="71" t="s">
        <v>2272</v>
      </c>
      <c r="W4101" s="71" t="s">
        <v>2272</v>
      </c>
      <c r="X4101" s="71" t="s">
        <v>2272</v>
      </c>
      <c r="Y4101" s="71" t="s">
        <v>2272</v>
      </c>
      <c r="Z4101" s="71" t="s">
        <v>2272</v>
      </c>
      <c r="AA4101" s="198" t="s">
        <v>423</v>
      </c>
      <c r="AB4101" s="198" t="s">
        <v>34</v>
      </c>
      <c r="AC4101" s="71" t="s">
        <v>2272</v>
      </c>
      <c r="AD4101" s="4" t="s">
        <v>10541</v>
      </c>
      <c r="AE4101" s="198"/>
    </row>
    <row r="4102" spans="1:31" ht="36.5" customHeight="1">
      <c r="A4102" s="71" t="s">
        <v>10523</v>
      </c>
      <c r="B4102" s="71" t="s">
        <v>10533</v>
      </c>
      <c r="C4102" s="198" t="s">
        <v>23</v>
      </c>
      <c r="D4102" s="198" t="s">
        <v>4157</v>
      </c>
      <c r="E4102" s="198" t="s">
        <v>2644</v>
      </c>
      <c r="F4102" s="4" t="s">
        <v>2658</v>
      </c>
      <c r="G4102" s="71" t="s">
        <v>2272</v>
      </c>
      <c r="H4102" s="198" t="s">
        <v>521</v>
      </c>
      <c r="I4102" s="198"/>
      <c r="J4102" s="71" t="s">
        <v>2272</v>
      </c>
      <c r="K4102" s="71" t="s">
        <v>2272</v>
      </c>
      <c r="L4102" s="71" t="s">
        <v>2272</v>
      </c>
      <c r="M4102" s="71" t="s">
        <v>2272</v>
      </c>
      <c r="N4102" s="71" t="s">
        <v>2272</v>
      </c>
      <c r="O4102" s="71" t="s">
        <v>2272</v>
      </c>
      <c r="P4102" s="71" t="s">
        <v>2272</v>
      </c>
      <c r="Q4102" s="71" t="s">
        <v>2272</v>
      </c>
      <c r="R4102" s="71" t="s">
        <v>2272</v>
      </c>
      <c r="S4102" s="71" t="s">
        <v>2272</v>
      </c>
      <c r="T4102" s="71" t="s">
        <v>2272</v>
      </c>
      <c r="U4102" s="71" t="s">
        <v>2272</v>
      </c>
      <c r="V4102" s="71" t="s">
        <v>2272</v>
      </c>
      <c r="W4102" s="71" t="s">
        <v>2272</v>
      </c>
      <c r="X4102" s="71" t="s">
        <v>2272</v>
      </c>
      <c r="Y4102" s="71" t="s">
        <v>2272</v>
      </c>
      <c r="Z4102" s="71" t="s">
        <v>2272</v>
      </c>
      <c r="AA4102" s="198" t="s">
        <v>187</v>
      </c>
      <c r="AB4102" s="198" t="s">
        <v>423</v>
      </c>
      <c r="AC4102" s="198"/>
      <c r="AD4102" s="18" t="s">
        <v>10545</v>
      </c>
      <c r="AE4102" s="198"/>
    </row>
    <row r="4103" spans="1:31" ht="36.5" customHeight="1">
      <c r="A4103" s="71" t="s">
        <v>10523</v>
      </c>
      <c r="B4103" s="71" t="s">
        <v>10534</v>
      </c>
      <c r="C4103" s="198" t="s">
        <v>23</v>
      </c>
      <c r="D4103" s="198" t="s">
        <v>2989</v>
      </c>
      <c r="E4103" s="198" t="s">
        <v>2644</v>
      </c>
      <c r="F4103" s="4" t="s">
        <v>2658</v>
      </c>
      <c r="G4103" s="71" t="s">
        <v>2272</v>
      </c>
      <c r="H4103" s="198" t="s">
        <v>521</v>
      </c>
      <c r="I4103" s="198"/>
      <c r="J4103" s="71" t="s">
        <v>2272</v>
      </c>
      <c r="K4103" s="71" t="s">
        <v>2272</v>
      </c>
      <c r="L4103" s="71" t="s">
        <v>2272</v>
      </c>
      <c r="M4103" s="71" t="s">
        <v>2272</v>
      </c>
      <c r="N4103" s="71" t="s">
        <v>2272</v>
      </c>
      <c r="O4103" s="71" t="s">
        <v>2272</v>
      </c>
      <c r="P4103" s="21">
        <f>25/(100^2)</f>
        <v>2.5000000000000001E-3</v>
      </c>
      <c r="Q4103" s="21">
        <f>25/(100^2)</f>
        <v>2.5000000000000001E-3</v>
      </c>
      <c r="R4103" s="71" t="s">
        <v>2272</v>
      </c>
      <c r="S4103" s="71" t="s">
        <v>2272</v>
      </c>
      <c r="T4103" s="71" t="s">
        <v>2272</v>
      </c>
      <c r="U4103" s="71" t="s">
        <v>2272</v>
      </c>
      <c r="V4103" s="71" t="s">
        <v>2272</v>
      </c>
      <c r="W4103" s="71" t="s">
        <v>2272</v>
      </c>
      <c r="X4103" s="71" t="s">
        <v>2272</v>
      </c>
      <c r="Y4103" s="71" t="s">
        <v>2272</v>
      </c>
      <c r="Z4103" s="71" t="s">
        <v>2272</v>
      </c>
      <c r="AA4103" s="198" t="s">
        <v>187</v>
      </c>
      <c r="AB4103" s="198" t="s">
        <v>423</v>
      </c>
      <c r="AC4103" s="198"/>
      <c r="AD4103" s="18" t="s">
        <v>10547</v>
      </c>
      <c r="AE4103" s="198"/>
    </row>
    <row r="4104" spans="1:31" ht="36.5" customHeight="1">
      <c r="A4104" s="71" t="s">
        <v>10523</v>
      </c>
      <c r="B4104" s="71" t="s">
        <v>10535</v>
      </c>
      <c r="C4104" s="198" t="s">
        <v>23</v>
      </c>
      <c r="D4104" s="198" t="s">
        <v>2227</v>
      </c>
      <c r="E4104" s="198" t="s">
        <v>2644</v>
      </c>
      <c r="F4104" s="4" t="s">
        <v>2658</v>
      </c>
      <c r="G4104" s="71" t="s">
        <v>2272</v>
      </c>
      <c r="H4104" s="198" t="s">
        <v>521</v>
      </c>
      <c r="I4104" s="198"/>
      <c r="J4104" s="71" t="s">
        <v>2272</v>
      </c>
      <c r="K4104" s="71" t="s">
        <v>2272</v>
      </c>
      <c r="L4104" s="71" t="s">
        <v>2272</v>
      </c>
      <c r="M4104" s="71" t="s">
        <v>2272</v>
      </c>
      <c r="N4104" s="71" t="s">
        <v>2272</v>
      </c>
      <c r="O4104" s="71" t="s">
        <v>2272</v>
      </c>
      <c r="P4104" s="71" t="s">
        <v>2272</v>
      </c>
      <c r="Q4104" s="71" t="s">
        <v>2272</v>
      </c>
      <c r="R4104" s="71" t="s">
        <v>2272</v>
      </c>
      <c r="S4104" s="71" t="s">
        <v>2272</v>
      </c>
      <c r="T4104" s="71" t="s">
        <v>2272</v>
      </c>
      <c r="U4104" s="71" t="s">
        <v>2272</v>
      </c>
      <c r="V4104" s="71" t="s">
        <v>2272</v>
      </c>
      <c r="W4104" s="71" t="s">
        <v>2272</v>
      </c>
      <c r="X4104" s="71" t="s">
        <v>2272</v>
      </c>
      <c r="Y4104" s="71" t="s">
        <v>2272</v>
      </c>
      <c r="Z4104" s="71" t="s">
        <v>2272</v>
      </c>
      <c r="AA4104" s="198" t="s">
        <v>187</v>
      </c>
      <c r="AB4104" s="198" t="s">
        <v>423</v>
      </c>
      <c r="AC4104" s="198"/>
      <c r="AD4104" s="198" t="s">
        <v>10546</v>
      </c>
      <c r="AE4104" s="198"/>
    </row>
    <row r="4105" spans="1:31" ht="36.5" customHeight="1">
      <c r="A4105" s="71" t="s">
        <v>10523</v>
      </c>
      <c r="B4105" s="71" t="s">
        <v>10536</v>
      </c>
      <c r="C4105" s="198" t="s">
        <v>23</v>
      </c>
      <c r="D4105" s="198" t="s">
        <v>2227</v>
      </c>
      <c r="E4105" s="198" t="s">
        <v>44</v>
      </c>
      <c r="F4105" s="4" t="s">
        <v>54</v>
      </c>
      <c r="G4105" s="71" t="s">
        <v>2272</v>
      </c>
      <c r="H4105" s="198" t="s">
        <v>521</v>
      </c>
      <c r="I4105" s="198"/>
      <c r="J4105" s="71" t="s">
        <v>2272</v>
      </c>
      <c r="K4105" s="71" t="s">
        <v>2272</v>
      </c>
      <c r="L4105" s="71" t="s">
        <v>2272</v>
      </c>
      <c r="M4105" s="71" t="s">
        <v>2272</v>
      </c>
      <c r="N4105" s="71" t="s">
        <v>2272</v>
      </c>
      <c r="O4105" s="71" t="s">
        <v>2272</v>
      </c>
      <c r="P4105" s="71" t="s">
        <v>2272</v>
      </c>
      <c r="Q4105" s="71" t="s">
        <v>2272</v>
      </c>
      <c r="R4105" s="71" t="s">
        <v>2272</v>
      </c>
      <c r="S4105" s="71" t="s">
        <v>2272</v>
      </c>
      <c r="T4105" s="71" t="s">
        <v>2272</v>
      </c>
      <c r="U4105" s="71" t="s">
        <v>2272</v>
      </c>
      <c r="V4105" s="71" t="s">
        <v>2272</v>
      </c>
      <c r="W4105" s="71" t="s">
        <v>2272</v>
      </c>
      <c r="X4105" s="71" t="s">
        <v>2272</v>
      </c>
      <c r="Y4105" s="71" t="s">
        <v>2272</v>
      </c>
      <c r="Z4105" s="71" t="s">
        <v>2272</v>
      </c>
      <c r="AA4105" s="198" t="s">
        <v>397</v>
      </c>
      <c r="AB4105" s="198" t="s">
        <v>125</v>
      </c>
      <c r="AC4105" s="198" t="s">
        <v>2308</v>
      </c>
      <c r="AD4105" s="198"/>
      <c r="AE4105" s="198"/>
    </row>
    <row r="4106" spans="1:31" ht="36.5" customHeight="1">
      <c r="A4106" s="71" t="s">
        <v>10523</v>
      </c>
      <c r="B4106" s="71" t="s">
        <v>10537</v>
      </c>
      <c r="C4106" s="198" t="s">
        <v>23</v>
      </c>
      <c r="D4106" s="198" t="s">
        <v>2989</v>
      </c>
      <c r="E4106" s="198" t="s">
        <v>44</v>
      </c>
      <c r="F4106" s="4" t="s">
        <v>54</v>
      </c>
      <c r="G4106" s="71" t="s">
        <v>2272</v>
      </c>
      <c r="H4106" s="198" t="s">
        <v>521</v>
      </c>
      <c r="I4106" s="198"/>
      <c r="J4106" s="71" t="s">
        <v>2272</v>
      </c>
      <c r="K4106" s="71" t="s">
        <v>2272</v>
      </c>
      <c r="L4106" s="71" t="s">
        <v>2272</v>
      </c>
      <c r="M4106" s="71" t="s">
        <v>2272</v>
      </c>
      <c r="N4106" s="71" t="s">
        <v>2272</v>
      </c>
      <c r="O4106" s="71" t="s">
        <v>2272</v>
      </c>
      <c r="P4106" s="21">
        <f>20/(100^2)</f>
        <v>2E-3</v>
      </c>
      <c r="Q4106" s="21">
        <f>20/(100^2)</f>
        <v>2E-3</v>
      </c>
      <c r="R4106" s="71" t="s">
        <v>2272</v>
      </c>
      <c r="S4106" s="71" t="s">
        <v>2272</v>
      </c>
      <c r="T4106" s="71" t="s">
        <v>2272</v>
      </c>
      <c r="U4106" s="71" t="s">
        <v>2272</v>
      </c>
      <c r="V4106" s="71" t="s">
        <v>2272</v>
      </c>
      <c r="W4106" s="71" t="s">
        <v>2272</v>
      </c>
      <c r="X4106" s="71" t="s">
        <v>2272</v>
      </c>
      <c r="Y4106" s="71" t="s">
        <v>2272</v>
      </c>
      <c r="Z4106" s="71" t="s">
        <v>2272</v>
      </c>
      <c r="AA4106" s="198" t="s">
        <v>397</v>
      </c>
      <c r="AB4106" s="198" t="s">
        <v>125</v>
      </c>
      <c r="AC4106" s="198" t="s">
        <v>2308</v>
      </c>
      <c r="AD4106" s="198" t="s">
        <v>10553</v>
      </c>
      <c r="AE4106" s="198"/>
    </row>
    <row r="4107" spans="1:31" ht="36.5" customHeight="1">
      <c r="A4107" s="71" t="s">
        <v>10523</v>
      </c>
      <c r="B4107" s="71" t="s">
        <v>10538</v>
      </c>
      <c r="C4107" s="198" t="s">
        <v>23</v>
      </c>
      <c r="D4107" s="198" t="s">
        <v>2799</v>
      </c>
      <c r="E4107" s="198" t="s">
        <v>44</v>
      </c>
      <c r="F4107" s="4" t="s">
        <v>54</v>
      </c>
      <c r="G4107" s="71" t="s">
        <v>2272</v>
      </c>
      <c r="H4107" s="198" t="s">
        <v>521</v>
      </c>
      <c r="I4107" s="198"/>
      <c r="J4107" s="71" t="s">
        <v>2272</v>
      </c>
      <c r="K4107" s="71" t="s">
        <v>2272</v>
      </c>
      <c r="L4107" s="71" t="s">
        <v>2272</v>
      </c>
      <c r="M4107" s="71" t="s">
        <v>2272</v>
      </c>
      <c r="N4107" s="71" t="s">
        <v>2272</v>
      </c>
      <c r="O4107" s="71" t="s">
        <v>2272</v>
      </c>
      <c r="P4107" s="71" t="s">
        <v>2272</v>
      </c>
      <c r="Q4107" s="71" t="s">
        <v>2272</v>
      </c>
      <c r="R4107" s="71" t="s">
        <v>2272</v>
      </c>
      <c r="S4107" s="71" t="s">
        <v>2272</v>
      </c>
      <c r="T4107" s="71" t="s">
        <v>2272</v>
      </c>
      <c r="U4107" s="71" t="s">
        <v>2272</v>
      </c>
      <c r="V4107" s="71" t="s">
        <v>2272</v>
      </c>
      <c r="W4107" s="71" t="s">
        <v>2272</v>
      </c>
      <c r="X4107" s="71" t="s">
        <v>2272</v>
      </c>
      <c r="Y4107" s="71" t="s">
        <v>2272</v>
      </c>
      <c r="Z4107" s="71" t="s">
        <v>2272</v>
      </c>
      <c r="AA4107" s="198" t="s">
        <v>397</v>
      </c>
      <c r="AB4107" s="198" t="s">
        <v>125</v>
      </c>
      <c r="AC4107" s="198" t="s">
        <v>2308</v>
      </c>
      <c r="AD4107" s="198"/>
      <c r="AE4107" s="198"/>
    </row>
    <row r="4108" spans="1:31" ht="36.5" customHeight="1">
      <c r="A4108" s="71" t="s">
        <v>10523</v>
      </c>
      <c r="B4108" s="71" t="s">
        <v>10539</v>
      </c>
      <c r="C4108" s="198" t="s">
        <v>23</v>
      </c>
      <c r="D4108" s="198" t="s">
        <v>2654</v>
      </c>
      <c r="E4108" s="198" t="s">
        <v>44</v>
      </c>
      <c r="F4108" s="4" t="s">
        <v>54</v>
      </c>
      <c r="G4108" s="71" t="s">
        <v>2272</v>
      </c>
      <c r="H4108" s="198" t="s">
        <v>521</v>
      </c>
      <c r="I4108" s="198"/>
      <c r="J4108" s="71" t="s">
        <v>2272</v>
      </c>
      <c r="K4108" s="71" t="s">
        <v>2272</v>
      </c>
      <c r="L4108" s="71" t="s">
        <v>2272</v>
      </c>
      <c r="M4108" s="71" t="s">
        <v>2272</v>
      </c>
      <c r="N4108" s="71" t="s">
        <v>2272</v>
      </c>
      <c r="O4108" s="71" t="s">
        <v>2272</v>
      </c>
      <c r="P4108" s="71" t="s">
        <v>2272</v>
      </c>
      <c r="Q4108" s="71" t="s">
        <v>2272</v>
      </c>
      <c r="R4108" s="71" t="s">
        <v>2272</v>
      </c>
      <c r="S4108" s="71" t="s">
        <v>2272</v>
      </c>
      <c r="T4108" s="71" t="s">
        <v>2272</v>
      </c>
      <c r="U4108" s="71" t="s">
        <v>2272</v>
      </c>
      <c r="V4108" s="71" t="s">
        <v>2272</v>
      </c>
      <c r="W4108" s="71" t="s">
        <v>2272</v>
      </c>
      <c r="X4108" s="71" t="s">
        <v>2272</v>
      </c>
      <c r="Y4108" s="71" t="s">
        <v>2272</v>
      </c>
      <c r="Z4108" s="71" t="s">
        <v>2272</v>
      </c>
      <c r="AA4108" s="198" t="s">
        <v>397</v>
      </c>
      <c r="AB4108" s="198" t="s">
        <v>125</v>
      </c>
      <c r="AC4108" s="198" t="s">
        <v>2308</v>
      </c>
      <c r="AD4108" s="198"/>
      <c r="AE4108" s="198"/>
    </row>
    <row r="4109" spans="1:31" ht="36.5" customHeight="1">
      <c r="A4109" s="71" t="s">
        <v>10523</v>
      </c>
      <c r="B4109" s="71" t="s">
        <v>10540</v>
      </c>
      <c r="C4109" s="198" t="s">
        <v>23</v>
      </c>
      <c r="D4109" s="198" t="s">
        <v>1238</v>
      </c>
      <c r="E4109" s="198" t="s">
        <v>44</v>
      </c>
      <c r="F4109" s="4" t="s">
        <v>54</v>
      </c>
      <c r="G4109" s="71" t="s">
        <v>2272</v>
      </c>
      <c r="H4109" s="198" t="s">
        <v>521</v>
      </c>
      <c r="I4109" s="71"/>
      <c r="J4109" s="71" t="s">
        <v>2272</v>
      </c>
      <c r="K4109" s="71" t="s">
        <v>2272</v>
      </c>
      <c r="L4109" s="71" t="s">
        <v>2272</v>
      </c>
      <c r="M4109" s="71" t="s">
        <v>2272</v>
      </c>
      <c r="N4109" s="71" t="s">
        <v>2272</v>
      </c>
      <c r="O4109" s="71" t="s">
        <v>2272</v>
      </c>
      <c r="P4109" s="71" t="s">
        <v>2272</v>
      </c>
      <c r="Q4109" s="71" t="s">
        <v>2272</v>
      </c>
      <c r="R4109" s="71" t="s">
        <v>2272</v>
      </c>
      <c r="S4109" s="71" t="s">
        <v>2272</v>
      </c>
      <c r="T4109" s="71" t="s">
        <v>2272</v>
      </c>
      <c r="U4109" s="71" t="s">
        <v>2272</v>
      </c>
      <c r="V4109" s="71" t="s">
        <v>2272</v>
      </c>
      <c r="W4109" s="71" t="s">
        <v>2272</v>
      </c>
      <c r="X4109" s="71" t="s">
        <v>2272</v>
      </c>
      <c r="Y4109" s="71" t="s">
        <v>2272</v>
      </c>
      <c r="Z4109" s="71" t="s">
        <v>2272</v>
      </c>
      <c r="AA4109" s="198" t="s">
        <v>187</v>
      </c>
      <c r="AB4109" s="198" t="s">
        <v>423</v>
      </c>
      <c r="AC4109" s="198"/>
      <c r="AD4109" s="198"/>
      <c r="AE4109" s="198"/>
    </row>
    <row r="4110" spans="1:31" ht="36.5" customHeight="1">
      <c r="A4110" s="71" t="s">
        <v>10523</v>
      </c>
      <c r="B4110" s="71" t="s">
        <v>10542</v>
      </c>
      <c r="C4110" s="198" t="s">
        <v>23</v>
      </c>
      <c r="D4110" s="198" t="s">
        <v>2227</v>
      </c>
      <c r="E4110" s="198" t="s">
        <v>5001</v>
      </c>
      <c r="F4110" s="4" t="s">
        <v>27</v>
      </c>
      <c r="G4110" s="71" t="s">
        <v>2272</v>
      </c>
      <c r="H4110" s="198" t="s">
        <v>521</v>
      </c>
      <c r="I4110" s="71"/>
      <c r="J4110" s="71" t="s">
        <v>2272</v>
      </c>
      <c r="K4110" s="71" t="s">
        <v>2272</v>
      </c>
      <c r="L4110" s="71" t="s">
        <v>2272</v>
      </c>
      <c r="M4110" s="71" t="s">
        <v>2272</v>
      </c>
      <c r="N4110" s="71" t="s">
        <v>2272</v>
      </c>
      <c r="O4110" s="71" t="s">
        <v>2272</v>
      </c>
      <c r="P4110" s="21">
        <f>10/(100^2)</f>
        <v>1E-3</v>
      </c>
      <c r="Q4110" s="21">
        <f>10/(100^2)</f>
        <v>1E-3</v>
      </c>
      <c r="R4110" s="71" t="s">
        <v>2272</v>
      </c>
      <c r="S4110" s="71" t="s">
        <v>2272</v>
      </c>
      <c r="T4110" s="71" t="s">
        <v>2272</v>
      </c>
      <c r="U4110" s="71" t="s">
        <v>2272</v>
      </c>
      <c r="V4110" s="71" t="s">
        <v>2272</v>
      </c>
      <c r="W4110" s="71" t="s">
        <v>2272</v>
      </c>
      <c r="X4110" s="71" t="s">
        <v>2272</v>
      </c>
      <c r="Y4110" s="71" t="s">
        <v>2272</v>
      </c>
      <c r="Z4110" s="71" t="s">
        <v>2272</v>
      </c>
      <c r="AA4110" s="198" t="s">
        <v>423</v>
      </c>
      <c r="AB4110" s="198" t="s">
        <v>34</v>
      </c>
      <c r="AC4110" s="71" t="s">
        <v>2272</v>
      </c>
      <c r="AD4110" s="198"/>
      <c r="AE4110" s="198"/>
    </row>
    <row r="4111" spans="1:31" ht="36.5" customHeight="1">
      <c r="A4111" s="71" t="s">
        <v>10523</v>
      </c>
      <c r="B4111" s="71" t="s">
        <v>10543</v>
      </c>
      <c r="C4111" s="198" t="s">
        <v>23</v>
      </c>
      <c r="D4111" s="198" t="s">
        <v>2989</v>
      </c>
      <c r="E4111" s="198" t="s">
        <v>5001</v>
      </c>
      <c r="F4111" s="4" t="s">
        <v>27</v>
      </c>
      <c r="G4111" s="71" t="s">
        <v>2272</v>
      </c>
      <c r="H4111" s="198" t="s">
        <v>521</v>
      </c>
      <c r="I4111" s="71"/>
      <c r="J4111" s="71" t="s">
        <v>2272</v>
      </c>
      <c r="K4111" s="71" t="s">
        <v>2272</v>
      </c>
      <c r="L4111" s="71" t="s">
        <v>2272</v>
      </c>
      <c r="M4111" s="71" t="s">
        <v>2272</v>
      </c>
      <c r="N4111" s="71" t="s">
        <v>2272</v>
      </c>
      <c r="O4111" s="71" t="s">
        <v>2272</v>
      </c>
      <c r="P4111" s="21">
        <f>10/(100^2)</f>
        <v>1E-3</v>
      </c>
      <c r="Q4111" s="21">
        <f>10/(100^2)</f>
        <v>1E-3</v>
      </c>
      <c r="R4111" s="71" t="s">
        <v>2272</v>
      </c>
      <c r="S4111" s="71" t="s">
        <v>2272</v>
      </c>
      <c r="T4111" s="71" t="s">
        <v>2272</v>
      </c>
      <c r="U4111" s="71" t="s">
        <v>2272</v>
      </c>
      <c r="V4111" s="71" t="s">
        <v>2272</v>
      </c>
      <c r="W4111" s="71" t="s">
        <v>2272</v>
      </c>
      <c r="X4111" s="71" t="s">
        <v>2272</v>
      </c>
      <c r="Y4111" s="71" t="s">
        <v>2272</v>
      </c>
      <c r="Z4111" s="71" t="s">
        <v>2272</v>
      </c>
      <c r="AA4111" s="198" t="s">
        <v>423</v>
      </c>
      <c r="AB4111" s="198" t="s">
        <v>34</v>
      </c>
      <c r="AC4111" s="71" t="s">
        <v>2272</v>
      </c>
      <c r="AD4111" s="198" t="s">
        <v>10553</v>
      </c>
      <c r="AE4111" s="198"/>
    </row>
    <row r="4112" spans="1:31" ht="36.5" customHeight="1">
      <c r="A4112" s="71" t="s">
        <v>10523</v>
      </c>
      <c r="B4112" s="71" t="s">
        <v>10544</v>
      </c>
      <c r="C4112" s="198" t="s">
        <v>23</v>
      </c>
      <c r="D4112" s="198" t="s">
        <v>2799</v>
      </c>
      <c r="E4112" s="198" t="s">
        <v>5001</v>
      </c>
      <c r="F4112" s="4" t="s">
        <v>54</v>
      </c>
      <c r="G4112" s="71" t="s">
        <v>2272</v>
      </c>
      <c r="H4112" s="198" t="s">
        <v>521</v>
      </c>
      <c r="I4112" s="71"/>
      <c r="J4112" s="71" t="s">
        <v>2272</v>
      </c>
      <c r="K4112" s="71" t="s">
        <v>2272</v>
      </c>
      <c r="L4112" s="71" t="s">
        <v>2272</v>
      </c>
      <c r="M4112" s="71" t="s">
        <v>2272</v>
      </c>
      <c r="N4112" s="71" t="s">
        <v>2272</v>
      </c>
      <c r="O4112" s="71" t="s">
        <v>2272</v>
      </c>
      <c r="P4112" s="71" t="s">
        <v>2272</v>
      </c>
      <c r="Q4112" s="71" t="s">
        <v>2272</v>
      </c>
      <c r="R4112" s="71" t="s">
        <v>2272</v>
      </c>
      <c r="S4112" s="71" t="s">
        <v>2272</v>
      </c>
      <c r="T4112" s="71" t="s">
        <v>2272</v>
      </c>
      <c r="U4112" s="71" t="s">
        <v>2272</v>
      </c>
      <c r="V4112" s="71" t="s">
        <v>2272</v>
      </c>
      <c r="W4112" s="71" t="s">
        <v>2272</v>
      </c>
      <c r="X4112" s="71" t="s">
        <v>2272</v>
      </c>
      <c r="Y4112" s="71" t="s">
        <v>2272</v>
      </c>
      <c r="Z4112" s="71" t="s">
        <v>2272</v>
      </c>
      <c r="AA4112" s="198" t="s">
        <v>423</v>
      </c>
      <c r="AB4112" s="198" t="s">
        <v>34</v>
      </c>
      <c r="AC4112" s="71" t="s">
        <v>2272</v>
      </c>
      <c r="AD4112" s="198"/>
      <c r="AE4112" s="198"/>
    </row>
    <row r="4113" spans="1:31" ht="36.5" customHeight="1">
      <c r="A4113" s="71" t="s">
        <v>10523</v>
      </c>
      <c r="B4113" s="71" t="s">
        <v>10548</v>
      </c>
      <c r="C4113" s="198" t="s">
        <v>23</v>
      </c>
      <c r="D4113" s="198" t="s">
        <v>1102</v>
      </c>
      <c r="E4113" s="198" t="s">
        <v>82</v>
      </c>
      <c r="F4113" s="71" t="s">
        <v>2272</v>
      </c>
      <c r="G4113" s="71" t="s">
        <v>2272</v>
      </c>
      <c r="H4113" s="198" t="s">
        <v>521</v>
      </c>
      <c r="I4113" s="71"/>
      <c r="J4113" s="71" t="s">
        <v>2272</v>
      </c>
      <c r="K4113" s="71" t="s">
        <v>2272</v>
      </c>
      <c r="L4113" s="71" t="s">
        <v>2272</v>
      </c>
      <c r="M4113" s="71" t="s">
        <v>2272</v>
      </c>
      <c r="N4113" s="71" t="s">
        <v>2272</v>
      </c>
      <c r="O4113" s="71" t="s">
        <v>2272</v>
      </c>
      <c r="P4113" s="71" t="s">
        <v>2272</v>
      </c>
      <c r="Q4113" s="71" t="s">
        <v>2272</v>
      </c>
      <c r="R4113" s="71" t="s">
        <v>2272</v>
      </c>
      <c r="S4113" s="71" t="s">
        <v>2272</v>
      </c>
      <c r="T4113" s="71" t="s">
        <v>2272</v>
      </c>
      <c r="U4113" s="71" t="s">
        <v>2272</v>
      </c>
      <c r="V4113" s="71" t="s">
        <v>2272</v>
      </c>
      <c r="W4113" s="71" t="s">
        <v>2272</v>
      </c>
      <c r="X4113" s="71" t="s">
        <v>2272</v>
      </c>
      <c r="Y4113" s="71" t="s">
        <v>2272</v>
      </c>
      <c r="Z4113" s="71" t="s">
        <v>2272</v>
      </c>
      <c r="AA4113" s="71" t="s">
        <v>2272</v>
      </c>
      <c r="AB4113" s="71" t="s">
        <v>2272</v>
      </c>
      <c r="AC4113" s="71" t="s">
        <v>2272</v>
      </c>
      <c r="AD4113" s="198"/>
      <c r="AE4113" s="198"/>
    </row>
    <row r="4114" spans="1:31" ht="36.5" customHeight="1">
      <c r="A4114" s="71" t="s">
        <v>10523</v>
      </c>
      <c r="B4114" s="71" t="s">
        <v>10549</v>
      </c>
      <c r="C4114" s="198" t="s">
        <v>23</v>
      </c>
      <c r="D4114" s="198" t="s">
        <v>1102</v>
      </c>
      <c r="E4114" s="198" t="s">
        <v>2644</v>
      </c>
      <c r="F4114" s="71" t="s">
        <v>2272</v>
      </c>
      <c r="G4114" s="71" t="s">
        <v>2272</v>
      </c>
      <c r="H4114" s="198" t="s">
        <v>521</v>
      </c>
      <c r="I4114" s="71"/>
      <c r="J4114" s="71" t="s">
        <v>2272</v>
      </c>
      <c r="K4114" s="71" t="s">
        <v>2272</v>
      </c>
      <c r="L4114" s="71" t="s">
        <v>2272</v>
      </c>
      <c r="M4114" s="71" t="s">
        <v>2272</v>
      </c>
      <c r="N4114" s="71" t="s">
        <v>2272</v>
      </c>
      <c r="O4114" s="71" t="s">
        <v>2272</v>
      </c>
      <c r="P4114" s="71" t="s">
        <v>2272</v>
      </c>
      <c r="Q4114" s="71" t="s">
        <v>2272</v>
      </c>
      <c r="R4114" s="71" t="s">
        <v>2272</v>
      </c>
      <c r="S4114" s="71" t="s">
        <v>2272</v>
      </c>
      <c r="T4114" s="71" t="s">
        <v>2272</v>
      </c>
      <c r="U4114" s="71" t="s">
        <v>2272</v>
      </c>
      <c r="V4114" s="71" t="s">
        <v>2272</v>
      </c>
      <c r="W4114" s="71" t="s">
        <v>2272</v>
      </c>
      <c r="X4114" s="71" t="s">
        <v>2272</v>
      </c>
      <c r="Y4114" s="71" t="s">
        <v>2272</v>
      </c>
      <c r="Z4114" s="71" t="s">
        <v>2272</v>
      </c>
      <c r="AA4114" s="71" t="s">
        <v>2272</v>
      </c>
      <c r="AB4114" s="71" t="s">
        <v>2272</v>
      </c>
      <c r="AC4114" s="71" t="s">
        <v>2272</v>
      </c>
      <c r="AD4114" s="198"/>
      <c r="AE4114" s="198"/>
    </row>
    <row r="4115" spans="1:31" ht="36.5" customHeight="1">
      <c r="A4115" s="71" t="s">
        <v>10523</v>
      </c>
      <c r="B4115" s="71" t="s">
        <v>10550</v>
      </c>
      <c r="C4115" s="198" t="s">
        <v>23</v>
      </c>
      <c r="D4115" s="198" t="s">
        <v>1102</v>
      </c>
      <c r="E4115" s="198" t="s">
        <v>44</v>
      </c>
      <c r="F4115" s="71" t="s">
        <v>2272</v>
      </c>
      <c r="G4115" s="71" t="s">
        <v>2272</v>
      </c>
      <c r="H4115" s="198" t="s">
        <v>521</v>
      </c>
      <c r="I4115" s="71"/>
      <c r="J4115" s="71" t="s">
        <v>2272</v>
      </c>
      <c r="K4115" s="71" t="s">
        <v>2272</v>
      </c>
      <c r="L4115" s="71" t="s">
        <v>2272</v>
      </c>
      <c r="M4115" s="71" t="s">
        <v>2272</v>
      </c>
      <c r="N4115" s="71" t="s">
        <v>2272</v>
      </c>
      <c r="O4115" s="71" t="s">
        <v>2272</v>
      </c>
      <c r="P4115" s="71" t="s">
        <v>2272</v>
      </c>
      <c r="Q4115" s="71" t="s">
        <v>2272</v>
      </c>
      <c r="R4115" s="71" t="s">
        <v>2272</v>
      </c>
      <c r="S4115" s="71" t="s">
        <v>2272</v>
      </c>
      <c r="T4115" s="71" t="s">
        <v>2272</v>
      </c>
      <c r="U4115" s="71" t="s">
        <v>2272</v>
      </c>
      <c r="V4115" s="71" t="s">
        <v>2272</v>
      </c>
      <c r="W4115" s="71" t="s">
        <v>2272</v>
      </c>
      <c r="X4115" s="71" t="s">
        <v>2272</v>
      </c>
      <c r="Y4115" s="71" t="s">
        <v>2272</v>
      </c>
      <c r="Z4115" s="71" t="s">
        <v>2272</v>
      </c>
      <c r="AA4115" s="71" t="s">
        <v>2272</v>
      </c>
      <c r="AB4115" s="71" t="s">
        <v>2272</v>
      </c>
      <c r="AC4115" s="71" t="s">
        <v>2272</v>
      </c>
      <c r="AD4115" s="198"/>
      <c r="AE4115" s="198"/>
    </row>
    <row r="4116" spans="1:31" ht="36.5" customHeight="1">
      <c r="A4116" s="71" t="s">
        <v>10523</v>
      </c>
      <c r="B4116" s="71" t="s">
        <v>10551</v>
      </c>
      <c r="C4116" s="198" t="s">
        <v>23</v>
      </c>
      <c r="D4116" s="198" t="s">
        <v>1102</v>
      </c>
      <c r="E4116" s="198" t="s">
        <v>5001</v>
      </c>
      <c r="F4116" s="71" t="s">
        <v>2272</v>
      </c>
      <c r="G4116" s="71" t="s">
        <v>2272</v>
      </c>
      <c r="H4116" s="198" t="s">
        <v>521</v>
      </c>
      <c r="I4116" s="71"/>
      <c r="J4116" s="71" t="s">
        <v>2272</v>
      </c>
      <c r="K4116" s="71" t="s">
        <v>2272</v>
      </c>
      <c r="L4116" s="71" t="s">
        <v>2272</v>
      </c>
      <c r="M4116" s="71" t="s">
        <v>2272</v>
      </c>
      <c r="N4116" s="71" t="s">
        <v>2272</v>
      </c>
      <c r="O4116" s="71" t="s">
        <v>2272</v>
      </c>
      <c r="P4116" s="71" t="s">
        <v>2272</v>
      </c>
      <c r="Q4116" s="71" t="s">
        <v>2272</v>
      </c>
      <c r="R4116" s="71" t="s">
        <v>2272</v>
      </c>
      <c r="S4116" s="71" t="s">
        <v>2272</v>
      </c>
      <c r="T4116" s="71" t="s">
        <v>2272</v>
      </c>
      <c r="U4116" s="71" t="s">
        <v>2272</v>
      </c>
      <c r="V4116" s="71" t="s">
        <v>2272</v>
      </c>
      <c r="W4116" s="71" t="s">
        <v>2272</v>
      </c>
      <c r="X4116" s="71" t="s">
        <v>2272</v>
      </c>
      <c r="Y4116" s="71" t="s">
        <v>2272</v>
      </c>
      <c r="Z4116" s="71" t="s">
        <v>2272</v>
      </c>
      <c r="AA4116" s="71" t="s">
        <v>2272</v>
      </c>
      <c r="AB4116" s="71" t="s">
        <v>2272</v>
      </c>
      <c r="AC4116" s="71" t="s">
        <v>2272</v>
      </c>
      <c r="AD4116" s="198"/>
      <c r="AE4116" s="198"/>
    </row>
    <row r="4117" spans="1:31" ht="36.5" customHeight="1">
      <c r="A4117" s="71" t="s">
        <v>10523</v>
      </c>
      <c r="B4117" s="71" t="s">
        <v>10569</v>
      </c>
      <c r="C4117" s="198" t="s">
        <v>2453</v>
      </c>
      <c r="D4117" s="198" t="s">
        <v>1102</v>
      </c>
      <c r="E4117" s="198" t="s">
        <v>1102</v>
      </c>
      <c r="F4117" s="198" t="s">
        <v>1102</v>
      </c>
      <c r="G4117" s="198" t="s">
        <v>2272</v>
      </c>
      <c r="H4117" s="198" t="s">
        <v>521</v>
      </c>
      <c r="I4117" s="71"/>
      <c r="J4117" s="71" t="s">
        <v>2272</v>
      </c>
      <c r="K4117" s="71">
        <f>AVERAGE(3060, 4580)/'Record info'!$K1638</f>
        <v>1.4252614533935774E-2</v>
      </c>
      <c r="L4117" s="71" t="s">
        <v>2272</v>
      </c>
      <c r="M4117" s="71" t="s">
        <v>2272</v>
      </c>
      <c r="N4117" s="71" t="s">
        <v>2272</v>
      </c>
      <c r="O4117" s="71">
        <v>7800</v>
      </c>
      <c r="P4117" s="71" t="s">
        <v>2272</v>
      </c>
      <c r="Q4117" s="71">
        <f>5220/AVERAGE(3060, 4850)</f>
        <v>1.3198482932996207</v>
      </c>
      <c r="R4117" s="71" t="s">
        <v>2272</v>
      </c>
      <c r="S4117" s="71" t="s">
        <v>2272</v>
      </c>
      <c r="T4117" s="71" t="s">
        <v>2272</v>
      </c>
      <c r="U4117" s="71" t="s">
        <v>2272</v>
      </c>
      <c r="V4117" s="71" t="s">
        <v>2272</v>
      </c>
      <c r="W4117" s="71" t="s">
        <v>2272</v>
      </c>
      <c r="X4117" s="71" t="s">
        <v>2272</v>
      </c>
      <c r="Y4117" s="71" t="s">
        <v>2272</v>
      </c>
      <c r="Z4117" s="71" t="s">
        <v>2272</v>
      </c>
      <c r="AA4117" s="71" t="s">
        <v>2272</v>
      </c>
      <c r="AB4117" s="71" t="s">
        <v>2272</v>
      </c>
      <c r="AC4117" s="71" t="s">
        <v>2272</v>
      </c>
      <c r="AD4117" s="198"/>
      <c r="AE4117" s="198"/>
    </row>
    <row r="4118" spans="1:31" ht="36.5" customHeight="1">
      <c r="A4118" s="71" t="s">
        <v>10524</v>
      </c>
      <c r="B4118" s="71" t="s">
        <v>10528</v>
      </c>
      <c r="C4118" s="198" t="s">
        <v>23</v>
      </c>
      <c r="D4118" s="198" t="s">
        <v>2654</v>
      </c>
      <c r="E4118" s="198" t="s">
        <v>82</v>
      </c>
      <c r="F4118" s="4" t="s">
        <v>27</v>
      </c>
      <c r="G4118" s="4" t="s">
        <v>27</v>
      </c>
      <c r="H4118" s="198" t="s">
        <v>521</v>
      </c>
      <c r="I4118" s="198"/>
      <c r="J4118" s="71" t="s">
        <v>2272</v>
      </c>
      <c r="K4118" s="71" t="s">
        <v>2272</v>
      </c>
      <c r="L4118" s="71" t="s">
        <v>2272</v>
      </c>
      <c r="M4118" s="71" t="s">
        <v>2272</v>
      </c>
      <c r="N4118" s="71" t="s">
        <v>2272</v>
      </c>
      <c r="O4118" s="71" t="s">
        <v>2272</v>
      </c>
      <c r="P4118" s="71" t="s">
        <v>2272</v>
      </c>
      <c r="Q4118" s="71" t="s">
        <v>2272</v>
      </c>
      <c r="R4118" s="71" t="s">
        <v>2272</v>
      </c>
      <c r="S4118" s="71" t="s">
        <v>2272</v>
      </c>
      <c r="T4118" s="71" t="s">
        <v>2272</v>
      </c>
      <c r="U4118" s="21">
        <v>50172</v>
      </c>
      <c r="V4118" s="71" t="s">
        <v>2272</v>
      </c>
      <c r="W4118" s="71" t="s">
        <v>2272</v>
      </c>
      <c r="X4118" s="71" t="s">
        <v>2272</v>
      </c>
      <c r="Y4118" s="21">
        <f>U4118/'Record info'!K1639</f>
        <v>0.18719428701482346</v>
      </c>
      <c r="Z4118" s="71" t="s">
        <v>2272</v>
      </c>
      <c r="AA4118" s="71" t="s">
        <v>2272</v>
      </c>
      <c r="AB4118" s="71" t="s">
        <v>2272</v>
      </c>
      <c r="AC4118" s="71" t="s">
        <v>2272</v>
      </c>
      <c r="AD4118" s="4" t="s">
        <v>10529</v>
      </c>
      <c r="AE4118" s="198"/>
    </row>
    <row r="4119" spans="1:31" ht="59" customHeight="1">
      <c r="A4119" s="198" t="s">
        <v>10554</v>
      </c>
      <c r="B4119" s="198" t="s">
        <v>11034</v>
      </c>
      <c r="C4119" s="198" t="s">
        <v>1102</v>
      </c>
      <c r="D4119" s="71" t="s">
        <v>2272</v>
      </c>
      <c r="E4119" s="71" t="s">
        <v>2272</v>
      </c>
      <c r="F4119" s="71" t="s">
        <v>2272</v>
      </c>
      <c r="G4119" s="71" t="s">
        <v>2272</v>
      </c>
      <c r="H4119" s="198" t="s">
        <v>521</v>
      </c>
      <c r="I4119" s="198"/>
      <c r="J4119" s="71" t="s">
        <v>2272</v>
      </c>
      <c r="K4119" s="71" t="s">
        <v>2272</v>
      </c>
      <c r="L4119" s="71" t="s">
        <v>2272</v>
      </c>
      <c r="M4119" s="71" t="s">
        <v>2272</v>
      </c>
      <c r="N4119" s="71" t="s">
        <v>2272</v>
      </c>
      <c r="O4119" s="71">
        <v>225895</v>
      </c>
      <c r="P4119" s="71" t="s">
        <v>2272</v>
      </c>
      <c r="Q4119" s="71" t="s">
        <v>2272</v>
      </c>
      <c r="R4119" s="71" t="s">
        <v>2272</v>
      </c>
      <c r="S4119" s="71" t="s">
        <v>2272</v>
      </c>
      <c r="T4119" s="71" t="s">
        <v>2272</v>
      </c>
      <c r="U4119" s="71" t="s">
        <v>2272</v>
      </c>
      <c r="V4119" s="71" t="s">
        <v>2272</v>
      </c>
      <c r="W4119" s="71" t="s">
        <v>2272</v>
      </c>
      <c r="X4119" s="71" t="s">
        <v>2272</v>
      </c>
      <c r="Y4119" s="71" t="s">
        <v>2272</v>
      </c>
      <c r="Z4119" s="71" t="s">
        <v>2272</v>
      </c>
      <c r="AA4119" s="71" t="s">
        <v>2272</v>
      </c>
      <c r="AB4119" s="71" t="s">
        <v>2272</v>
      </c>
      <c r="AC4119" s="71" t="s">
        <v>2272</v>
      </c>
      <c r="AD4119" s="4" t="s">
        <v>11520</v>
      </c>
      <c r="AE4119" s="198"/>
    </row>
    <row r="4120" spans="1:31" ht="59" customHeight="1">
      <c r="A4120" s="198" t="s">
        <v>10651</v>
      </c>
      <c r="B4120" s="198" t="s">
        <v>11035</v>
      </c>
      <c r="C4120" s="198" t="s">
        <v>1102</v>
      </c>
      <c r="D4120" s="71" t="s">
        <v>2272</v>
      </c>
      <c r="E4120" s="71" t="s">
        <v>2272</v>
      </c>
      <c r="F4120" s="71" t="s">
        <v>2272</v>
      </c>
      <c r="G4120" s="71" t="s">
        <v>2272</v>
      </c>
      <c r="H4120" s="198" t="s">
        <v>521</v>
      </c>
      <c r="I4120" s="198"/>
      <c r="J4120" s="71" t="s">
        <v>2272</v>
      </c>
      <c r="K4120" s="71" t="s">
        <v>2272</v>
      </c>
      <c r="L4120" s="71" t="s">
        <v>2272</v>
      </c>
      <c r="M4120" s="71" t="s">
        <v>2272</v>
      </c>
      <c r="N4120" s="71" t="s">
        <v>2272</v>
      </c>
      <c r="O4120" s="71">
        <v>89048</v>
      </c>
      <c r="P4120" s="71" t="s">
        <v>2272</v>
      </c>
      <c r="Q4120" s="71" t="s">
        <v>2272</v>
      </c>
      <c r="R4120" s="71" t="s">
        <v>2272</v>
      </c>
      <c r="S4120" s="71" t="s">
        <v>2272</v>
      </c>
      <c r="T4120" s="71" t="s">
        <v>2272</v>
      </c>
      <c r="U4120" s="71" t="s">
        <v>2272</v>
      </c>
      <c r="V4120" s="71" t="s">
        <v>2272</v>
      </c>
      <c r="W4120" s="71" t="s">
        <v>2272</v>
      </c>
      <c r="X4120" s="71" t="s">
        <v>2272</v>
      </c>
      <c r="Y4120" s="71" t="s">
        <v>2272</v>
      </c>
      <c r="Z4120" s="71" t="s">
        <v>2272</v>
      </c>
      <c r="AA4120" s="71" t="s">
        <v>2272</v>
      </c>
      <c r="AB4120" s="71" t="s">
        <v>2272</v>
      </c>
      <c r="AC4120" s="71" t="s">
        <v>2272</v>
      </c>
      <c r="AD4120" s="4" t="s">
        <v>11521</v>
      </c>
      <c r="AE4120" s="198"/>
    </row>
    <row r="4121" spans="1:31" ht="59" customHeight="1">
      <c r="A4121" s="198" t="s">
        <v>10652</v>
      </c>
      <c r="B4121" s="198" t="s">
        <v>11036</v>
      </c>
      <c r="C4121" s="198" t="s">
        <v>1102</v>
      </c>
      <c r="D4121" s="71" t="s">
        <v>2272</v>
      </c>
      <c r="E4121" s="71" t="s">
        <v>2272</v>
      </c>
      <c r="F4121" s="71" t="s">
        <v>2272</v>
      </c>
      <c r="G4121" s="71" t="s">
        <v>2272</v>
      </c>
      <c r="H4121" s="198" t="s">
        <v>521</v>
      </c>
      <c r="I4121" s="198"/>
      <c r="J4121" s="71" t="s">
        <v>2272</v>
      </c>
      <c r="K4121" s="71" t="s">
        <v>2272</v>
      </c>
      <c r="L4121" s="71" t="s">
        <v>2272</v>
      </c>
      <c r="M4121" s="71" t="s">
        <v>2272</v>
      </c>
      <c r="N4121" s="71" t="s">
        <v>2272</v>
      </c>
      <c r="O4121" s="71">
        <v>30149</v>
      </c>
      <c r="P4121" s="71" t="s">
        <v>2272</v>
      </c>
      <c r="Q4121" s="71" t="s">
        <v>2272</v>
      </c>
      <c r="R4121" s="71" t="s">
        <v>2272</v>
      </c>
      <c r="S4121" s="71" t="s">
        <v>2272</v>
      </c>
      <c r="T4121" s="71" t="s">
        <v>2272</v>
      </c>
      <c r="U4121" s="71" t="s">
        <v>2272</v>
      </c>
      <c r="V4121" s="71" t="s">
        <v>2272</v>
      </c>
      <c r="W4121" s="71" t="s">
        <v>2272</v>
      </c>
      <c r="X4121" s="71" t="s">
        <v>2272</v>
      </c>
      <c r="Y4121" s="71" t="s">
        <v>2272</v>
      </c>
      <c r="Z4121" s="71" t="s">
        <v>2272</v>
      </c>
      <c r="AA4121" s="71" t="s">
        <v>2272</v>
      </c>
      <c r="AB4121" s="71" t="s">
        <v>2272</v>
      </c>
      <c r="AC4121" s="71" t="s">
        <v>2272</v>
      </c>
      <c r="AD4121" s="4" t="s">
        <v>11522</v>
      </c>
      <c r="AE4121" s="198"/>
    </row>
    <row r="4122" spans="1:31" ht="59" customHeight="1">
      <c r="A4122" s="198" t="s">
        <v>10653</v>
      </c>
      <c r="B4122" s="198" t="s">
        <v>11037</v>
      </c>
      <c r="C4122" s="198" t="s">
        <v>1102</v>
      </c>
      <c r="D4122" s="71" t="s">
        <v>2272</v>
      </c>
      <c r="E4122" s="71" t="s">
        <v>2272</v>
      </c>
      <c r="F4122" s="71" t="s">
        <v>2272</v>
      </c>
      <c r="G4122" s="71" t="s">
        <v>2272</v>
      </c>
      <c r="H4122" s="198" t="s">
        <v>521</v>
      </c>
      <c r="I4122" s="198"/>
      <c r="J4122" s="71" t="s">
        <v>2272</v>
      </c>
      <c r="K4122" s="71" t="s">
        <v>2272</v>
      </c>
      <c r="L4122" s="71" t="s">
        <v>2272</v>
      </c>
      <c r="M4122" s="71" t="s">
        <v>2272</v>
      </c>
      <c r="N4122" s="71" t="s">
        <v>2272</v>
      </c>
      <c r="O4122" s="71">
        <v>28733</v>
      </c>
      <c r="P4122" s="71" t="s">
        <v>2272</v>
      </c>
      <c r="Q4122" s="71" t="s">
        <v>2272</v>
      </c>
      <c r="R4122" s="71" t="s">
        <v>2272</v>
      </c>
      <c r="S4122" s="71" t="s">
        <v>2272</v>
      </c>
      <c r="T4122" s="71" t="s">
        <v>2272</v>
      </c>
      <c r="U4122" s="71" t="s">
        <v>2272</v>
      </c>
      <c r="V4122" s="71" t="s">
        <v>2272</v>
      </c>
      <c r="W4122" s="71" t="s">
        <v>2272</v>
      </c>
      <c r="X4122" s="71" t="s">
        <v>2272</v>
      </c>
      <c r="Y4122" s="71" t="s">
        <v>2272</v>
      </c>
      <c r="Z4122" s="71" t="s">
        <v>2272</v>
      </c>
      <c r="AA4122" s="71" t="s">
        <v>2272</v>
      </c>
      <c r="AB4122" s="71" t="s">
        <v>2272</v>
      </c>
      <c r="AC4122" s="71" t="s">
        <v>2272</v>
      </c>
      <c r="AD4122" s="4" t="s">
        <v>11523</v>
      </c>
      <c r="AE4122" s="198"/>
    </row>
    <row r="4123" spans="1:31" ht="59" customHeight="1">
      <c r="A4123" s="198" t="s">
        <v>10654</v>
      </c>
      <c r="B4123" s="198" t="s">
        <v>11038</v>
      </c>
      <c r="C4123" s="198" t="s">
        <v>1102</v>
      </c>
      <c r="D4123" s="71" t="s">
        <v>2272</v>
      </c>
      <c r="E4123" s="71" t="s">
        <v>2272</v>
      </c>
      <c r="F4123" s="71" t="s">
        <v>2272</v>
      </c>
      <c r="G4123" s="71" t="s">
        <v>2272</v>
      </c>
      <c r="H4123" s="198" t="s">
        <v>521</v>
      </c>
      <c r="I4123" s="198"/>
      <c r="J4123" s="71" t="s">
        <v>2272</v>
      </c>
      <c r="K4123" s="71" t="s">
        <v>2272</v>
      </c>
      <c r="L4123" s="71" t="s">
        <v>2272</v>
      </c>
      <c r="M4123" s="71" t="s">
        <v>2272</v>
      </c>
      <c r="N4123" s="71" t="s">
        <v>2272</v>
      </c>
      <c r="O4123" s="71">
        <v>111677</v>
      </c>
      <c r="P4123" s="71" t="s">
        <v>2272</v>
      </c>
      <c r="Q4123" s="71" t="s">
        <v>2272</v>
      </c>
      <c r="R4123" s="71" t="s">
        <v>2272</v>
      </c>
      <c r="S4123" s="71" t="s">
        <v>2272</v>
      </c>
      <c r="T4123" s="71" t="s">
        <v>2272</v>
      </c>
      <c r="U4123" s="71" t="s">
        <v>2272</v>
      </c>
      <c r="V4123" s="71" t="s">
        <v>2272</v>
      </c>
      <c r="W4123" s="71" t="s">
        <v>2272</v>
      </c>
      <c r="X4123" s="71" t="s">
        <v>2272</v>
      </c>
      <c r="Y4123" s="71" t="s">
        <v>2272</v>
      </c>
      <c r="Z4123" s="71" t="s">
        <v>2272</v>
      </c>
      <c r="AA4123" s="71" t="s">
        <v>2272</v>
      </c>
      <c r="AB4123" s="71" t="s">
        <v>2272</v>
      </c>
      <c r="AC4123" s="71" t="s">
        <v>2272</v>
      </c>
      <c r="AD4123" s="4" t="s">
        <v>11524</v>
      </c>
      <c r="AE4123" s="198"/>
    </row>
    <row r="4124" spans="1:31" ht="59" customHeight="1">
      <c r="A4124" s="198" t="s">
        <v>10655</v>
      </c>
      <c r="B4124" s="198" t="s">
        <v>11039</v>
      </c>
      <c r="C4124" s="198" t="s">
        <v>1102</v>
      </c>
      <c r="D4124" s="71" t="s">
        <v>2272</v>
      </c>
      <c r="E4124" s="71" t="s">
        <v>2272</v>
      </c>
      <c r="F4124" s="71" t="s">
        <v>2272</v>
      </c>
      <c r="G4124" s="71" t="s">
        <v>2272</v>
      </c>
      <c r="H4124" s="198" t="s">
        <v>521</v>
      </c>
      <c r="I4124" s="198"/>
      <c r="J4124" s="71" t="s">
        <v>2272</v>
      </c>
      <c r="K4124" s="71" t="s">
        <v>2272</v>
      </c>
      <c r="L4124" s="71" t="s">
        <v>2272</v>
      </c>
      <c r="M4124" s="71" t="s">
        <v>2272</v>
      </c>
      <c r="N4124" s="71" t="s">
        <v>2272</v>
      </c>
      <c r="O4124" s="71">
        <v>144548</v>
      </c>
      <c r="P4124" s="71" t="s">
        <v>2272</v>
      </c>
      <c r="Q4124" s="71" t="s">
        <v>2272</v>
      </c>
      <c r="R4124" s="71" t="s">
        <v>2272</v>
      </c>
      <c r="S4124" s="71" t="s">
        <v>2272</v>
      </c>
      <c r="T4124" s="71" t="s">
        <v>2272</v>
      </c>
      <c r="U4124" s="71" t="s">
        <v>2272</v>
      </c>
      <c r="V4124" s="71" t="s">
        <v>2272</v>
      </c>
      <c r="W4124" s="71" t="s">
        <v>2272</v>
      </c>
      <c r="X4124" s="71" t="s">
        <v>2272</v>
      </c>
      <c r="Y4124" s="71" t="s">
        <v>2272</v>
      </c>
      <c r="Z4124" s="71" t="s">
        <v>2272</v>
      </c>
      <c r="AA4124" s="71" t="s">
        <v>2272</v>
      </c>
      <c r="AB4124" s="71" t="s">
        <v>2272</v>
      </c>
      <c r="AC4124" s="71" t="s">
        <v>2272</v>
      </c>
      <c r="AD4124" s="4" t="s">
        <v>11525</v>
      </c>
      <c r="AE4124" s="198"/>
    </row>
    <row r="4125" spans="1:31" ht="59" customHeight="1">
      <c r="A4125" s="198" t="s">
        <v>10656</v>
      </c>
      <c r="B4125" s="198" t="s">
        <v>11040</v>
      </c>
      <c r="C4125" s="198" t="s">
        <v>1102</v>
      </c>
      <c r="D4125" s="71" t="s">
        <v>2272</v>
      </c>
      <c r="E4125" s="71" t="s">
        <v>2272</v>
      </c>
      <c r="F4125" s="71" t="s">
        <v>2272</v>
      </c>
      <c r="G4125" s="71" t="s">
        <v>2272</v>
      </c>
      <c r="H4125" s="198" t="s">
        <v>521</v>
      </c>
      <c r="I4125" s="198"/>
      <c r="J4125" s="71" t="s">
        <v>2272</v>
      </c>
      <c r="K4125" s="71" t="s">
        <v>2272</v>
      </c>
      <c r="L4125" s="71" t="s">
        <v>2272</v>
      </c>
      <c r="M4125" s="71" t="s">
        <v>2272</v>
      </c>
      <c r="N4125" s="71" t="s">
        <v>2272</v>
      </c>
      <c r="O4125" s="71">
        <v>66322</v>
      </c>
      <c r="P4125" s="71" t="s">
        <v>2272</v>
      </c>
      <c r="Q4125" s="71" t="s">
        <v>2272</v>
      </c>
      <c r="R4125" s="71" t="s">
        <v>2272</v>
      </c>
      <c r="S4125" s="71" t="s">
        <v>2272</v>
      </c>
      <c r="T4125" s="71" t="s">
        <v>2272</v>
      </c>
      <c r="U4125" s="71" t="s">
        <v>2272</v>
      </c>
      <c r="V4125" s="71" t="s">
        <v>2272</v>
      </c>
      <c r="W4125" s="71" t="s">
        <v>2272</v>
      </c>
      <c r="X4125" s="71" t="s">
        <v>2272</v>
      </c>
      <c r="Y4125" s="71" t="s">
        <v>2272</v>
      </c>
      <c r="Z4125" s="71" t="s">
        <v>2272</v>
      </c>
      <c r="AA4125" s="71" t="s">
        <v>2272</v>
      </c>
      <c r="AB4125" s="71" t="s">
        <v>2272</v>
      </c>
      <c r="AC4125" s="71" t="s">
        <v>2272</v>
      </c>
      <c r="AD4125" s="4" t="s">
        <v>11526</v>
      </c>
      <c r="AE4125" s="198"/>
    </row>
    <row r="4126" spans="1:31" ht="59" customHeight="1">
      <c r="A4126" s="198" t="s">
        <v>10657</v>
      </c>
      <c r="B4126" s="198" t="s">
        <v>11041</v>
      </c>
      <c r="C4126" s="198" t="s">
        <v>1102</v>
      </c>
      <c r="D4126" s="71" t="s">
        <v>2272</v>
      </c>
      <c r="E4126" s="71" t="s">
        <v>2272</v>
      </c>
      <c r="F4126" s="71" t="s">
        <v>2272</v>
      </c>
      <c r="G4126" s="71" t="s">
        <v>2272</v>
      </c>
      <c r="H4126" s="198" t="s">
        <v>521</v>
      </c>
      <c r="I4126" s="198"/>
      <c r="J4126" s="71" t="s">
        <v>2272</v>
      </c>
      <c r="K4126" s="71" t="s">
        <v>2272</v>
      </c>
      <c r="L4126" s="71" t="s">
        <v>2272</v>
      </c>
      <c r="M4126" s="71" t="s">
        <v>2272</v>
      </c>
      <c r="N4126" s="71" t="s">
        <v>2272</v>
      </c>
      <c r="O4126" s="71">
        <v>173083</v>
      </c>
      <c r="P4126" s="71" t="s">
        <v>2272</v>
      </c>
      <c r="Q4126" s="71" t="s">
        <v>2272</v>
      </c>
      <c r="R4126" s="71" t="s">
        <v>2272</v>
      </c>
      <c r="S4126" s="71" t="s">
        <v>2272</v>
      </c>
      <c r="T4126" s="71" t="s">
        <v>2272</v>
      </c>
      <c r="U4126" s="71" t="s">
        <v>2272</v>
      </c>
      <c r="V4126" s="71" t="s">
        <v>2272</v>
      </c>
      <c r="W4126" s="71" t="s">
        <v>2272</v>
      </c>
      <c r="X4126" s="71" t="s">
        <v>2272</v>
      </c>
      <c r="Y4126" s="71" t="s">
        <v>2272</v>
      </c>
      <c r="Z4126" s="71" t="s">
        <v>2272</v>
      </c>
      <c r="AA4126" s="71" t="s">
        <v>2272</v>
      </c>
      <c r="AB4126" s="71" t="s">
        <v>2272</v>
      </c>
      <c r="AC4126" s="71" t="s">
        <v>2272</v>
      </c>
      <c r="AD4126" s="4" t="s">
        <v>11527</v>
      </c>
      <c r="AE4126" s="198"/>
    </row>
    <row r="4127" spans="1:31" ht="59" customHeight="1">
      <c r="A4127" s="198" t="s">
        <v>10658</v>
      </c>
      <c r="B4127" s="198" t="s">
        <v>11042</v>
      </c>
      <c r="C4127" s="198" t="s">
        <v>1102</v>
      </c>
      <c r="D4127" s="71" t="s">
        <v>2272</v>
      </c>
      <c r="E4127" s="71" t="s">
        <v>2272</v>
      </c>
      <c r="F4127" s="71" t="s">
        <v>2272</v>
      </c>
      <c r="G4127" s="71" t="s">
        <v>2272</v>
      </c>
      <c r="H4127" s="198" t="s">
        <v>521</v>
      </c>
      <c r="I4127" s="198"/>
      <c r="J4127" s="71" t="s">
        <v>2272</v>
      </c>
      <c r="K4127" s="71" t="s">
        <v>2272</v>
      </c>
      <c r="L4127" s="71" t="s">
        <v>2272</v>
      </c>
      <c r="M4127" s="71" t="s">
        <v>2272</v>
      </c>
      <c r="N4127" s="71" t="s">
        <v>2272</v>
      </c>
      <c r="O4127" s="71">
        <v>127251</v>
      </c>
      <c r="P4127" s="71" t="s">
        <v>2272</v>
      </c>
      <c r="Q4127" s="71" t="s">
        <v>2272</v>
      </c>
      <c r="R4127" s="71" t="s">
        <v>2272</v>
      </c>
      <c r="S4127" s="71" t="s">
        <v>2272</v>
      </c>
      <c r="T4127" s="71" t="s">
        <v>2272</v>
      </c>
      <c r="U4127" s="71" t="s">
        <v>2272</v>
      </c>
      <c r="V4127" s="71" t="s">
        <v>2272</v>
      </c>
      <c r="W4127" s="71" t="s">
        <v>2272</v>
      </c>
      <c r="X4127" s="71" t="s">
        <v>2272</v>
      </c>
      <c r="Y4127" s="71" t="s">
        <v>2272</v>
      </c>
      <c r="Z4127" s="71" t="s">
        <v>2272</v>
      </c>
      <c r="AA4127" s="71" t="s">
        <v>2272</v>
      </c>
      <c r="AB4127" s="71" t="s">
        <v>2272</v>
      </c>
      <c r="AC4127" s="71" t="s">
        <v>2272</v>
      </c>
      <c r="AD4127" s="4" t="s">
        <v>11528</v>
      </c>
      <c r="AE4127" s="198"/>
    </row>
    <row r="4128" spans="1:31" ht="59" customHeight="1">
      <c r="A4128" s="198" t="s">
        <v>10659</v>
      </c>
      <c r="B4128" s="198" t="s">
        <v>11043</v>
      </c>
      <c r="C4128" s="198" t="s">
        <v>1102</v>
      </c>
      <c r="D4128" s="71" t="s">
        <v>2272</v>
      </c>
      <c r="E4128" s="71" t="s">
        <v>2272</v>
      </c>
      <c r="F4128" s="71" t="s">
        <v>2272</v>
      </c>
      <c r="G4128" s="71" t="s">
        <v>2272</v>
      </c>
      <c r="H4128" s="198" t="s">
        <v>521</v>
      </c>
      <c r="I4128" s="198"/>
      <c r="J4128" s="71" t="s">
        <v>2272</v>
      </c>
      <c r="K4128" s="71" t="s">
        <v>2272</v>
      </c>
      <c r="L4128" s="71" t="s">
        <v>2272</v>
      </c>
      <c r="M4128" s="71" t="s">
        <v>2272</v>
      </c>
      <c r="N4128" s="71" t="s">
        <v>2272</v>
      </c>
      <c r="O4128" s="71">
        <v>103428</v>
      </c>
      <c r="P4128" s="71" t="s">
        <v>2272</v>
      </c>
      <c r="Q4128" s="71" t="s">
        <v>2272</v>
      </c>
      <c r="R4128" s="71" t="s">
        <v>2272</v>
      </c>
      <c r="S4128" s="71" t="s">
        <v>2272</v>
      </c>
      <c r="T4128" s="71" t="s">
        <v>2272</v>
      </c>
      <c r="U4128" s="71" t="s">
        <v>2272</v>
      </c>
      <c r="V4128" s="71" t="s">
        <v>2272</v>
      </c>
      <c r="W4128" s="71" t="s">
        <v>2272</v>
      </c>
      <c r="X4128" s="71" t="s">
        <v>2272</v>
      </c>
      <c r="Y4128" s="71" t="s">
        <v>2272</v>
      </c>
      <c r="Z4128" s="71" t="s">
        <v>2272</v>
      </c>
      <c r="AA4128" s="71" t="s">
        <v>2272</v>
      </c>
      <c r="AB4128" s="71" t="s">
        <v>2272</v>
      </c>
      <c r="AC4128" s="71" t="s">
        <v>2272</v>
      </c>
      <c r="AD4128" s="4" t="s">
        <v>11529</v>
      </c>
      <c r="AE4128" s="198"/>
    </row>
    <row r="4129" spans="1:31" ht="59" customHeight="1">
      <c r="A4129" s="198" t="s">
        <v>10660</v>
      </c>
      <c r="B4129" s="198" t="s">
        <v>11044</v>
      </c>
      <c r="C4129" s="198" t="s">
        <v>1102</v>
      </c>
      <c r="D4129" s="71" t="s">
        <v>2272</v>
      </c>
      <c r="E4129" s="71" t="s">
        <v>2272</v>
      </c>
      <c r="F4129" s="71" t="s">
        <v>2272</v>
      </c>
      <c r="G4129" s="71" t="s">
        <v>2272</v>
      </c>
      <c r="H4129" s="198" t="s">
        <v>521</v>
      </c>
      <c r="I4129" s="198"/>
      <c r="J4129" s="71" t="s">
        <v>2272</v>
      </c>
      <c r="K4129" s="71" t="s">
        <v>2272</v>
      </c>
      <c r="L4129" s="71" t="s">
        <v>2272</v>
      </c>
      <c r="M4129" s="71" t="s">
        <v>2272</v>
      </c>
      <c r="N4129" s="71" t="s">
        <v>2272</v>
      </c>
      <c r="O4129" s="71">
        <v>63940</v>
      </c>
      <c r="P4129" s="71" t="s">
        <v>2272</v>
      </c>
      <c r="Q4129" s="71" t="s">
        <v>2272</v>
      </c>
      <c r="R4129" s="71" t="s">
        <v>2272</v>
      </c>
      <c r="S4129" s="71" t="s">
        <v>2272</v>
      </c>
      <c r="T4129" s="71" t="s">
        <v>2272</v>
      </c>
      <c r="U4129" s="71" t="s">
        <v>2272</v>
      </c>
      <c r="V4129" s="71" t="s">
        <v>2272</v>
      </c>
      <c r="W4129" s="71" t="s">
        <v>2272</v>
      </c>
      <c r="X4129" s="71" t="s">
        <v>2272</v>
      </c>
      <c r="Y4129" s="71" t="s">
        <v>2272</v>
      </c>
      <c r="Z4129" s="71" t="s">
        <v>2272</v>
      </c>
      <c r="AA4129" s="71" t="s">
        <v>2272</v>
      </c>
      <c r="AB4129" s="71" t="s">
        <v>2272</v>
      </c>
      <c r="AC4129" s="71" t="s">
        <v>2272</v>
      </c>
      <c r="AD4129" s="4" t="s">
        <v>11530</v>
      </c>
      <c r="AE4129" s="198"/>
    </row>
    <row r="4130" spans="1:31" ht="59" customHeight="1">
      <c r="A4130" s="198" t="s">
        <v>10661</v>
      </c>
      <c r="B4130" s="198" t="s">
        <v>11045</v>
      </c>
      <c r="C4130" s="198" t="s">
        <v>1102</v>
      </c>
      <c r="D4130" s="71" t="s">
        <v>2272</v>
      </c>
      <c r="E4130" s="71" t="s">
        <v>2272</v>
      </c>
      <c r="F4130" s="71" t="s">
        <v>2272</v>
      </c>
      <c r="G4130" s="71" t="s">
        <v>2272</v>
      </c>
      <c r="H4130" s="198" t="s">
        <v>521</v>
      </c>
      <c r="I4130" s="198"/>
      <c r="J4130" s="71" t="s">
        <v>2272</v>
      </c>
      <c r="K4130" s="71" t="s">
        <v>2272</v>
      </c>
      <c r="L4130" s="71" t="s">
        <v>2272</v>
      </c>
      <c r="M4130" s="71" t="s">
        <v>2272</v>
      </c>
      <c r="N4130" s="71" t="s">
        <v>2272</v>
      </c>
      <c r="O4130" s="71">
        <v>90226</v>
      </c>
      <c r="P4130" s="71" t="s">
        <v>2272</v>
      </c>
      <c r="Q4130" s="71" t="s">
        <v>2272</v>
      </c>
      <c r="R4130" s="71" t="s">
        <v>2272</v>
      </c>
      <c r="S4130" s="71" t="s">
        <v>2272</v>
      </c>
      <c r="T4130" s="71" t="s">
        <v>2272</v>
      </c>
      <c r="U4130" s="71" t="s">
        <v>2272</v>
      </c>
      <c r="V4130" s="71" t="s">
        <v>2272</v>
      </c>
      <c r="W4130" s="71" t="s">
        <v>2272</v>
      </c>
      <c r="X4130" s="71" t="s">
        <v>2272</v>
      </c>
      <c r="Y4130" s="71" t="s">
        <v>2272</v>
      </c>
      <c r="Z4130" s="71" t="s">
        <v>2272</v>
      </c>
      <c r="AA4130" s="71" t="s">
        <v>2272</v>
      </c>
      <c r="AB4130" s="71" t="s">
        <v>2272</v>
      </c>
      <c r="AC4130" s="71" t="s">
        <v>2272</v>
      </c>
      <c r="AD4130" s="4" t="s">
        <v>11525</v>
      </c>
      <c r="AE4130" s="198"/>
    </row>
    <row r="4131" spans="1:31" ht="59" customHeight="1">
      <c r="A4131" s="198" t="s">
        <v>10662</v>
      </c>
      <c r="B4131" s="198" t="s">
        <v>11046</v>
      </c>
      <c r="C4131" s="198" t="s">
        <v>1102</v>
      </c>
      <c r="D4131" s="71" t="s">
        <v>2272</v>
      </c>
      <c r="E4131" s="71" t="s">
        <v>2272</v>
      </c>
      <c r="F4131" s="71" t="s">
        <v>2272</v>
      </c>
      <c r="G4131" s="71" t="s">
        <v>2272</v>
      </c>
      <c r="H4131" s="198" t="s">
        <v>521</v>
      </c>
      <c r="I4131" s="198"/>
      <c r="J4131" s="71" t="s">
        <v>2272</v>
      </c>
      <c r="K4131" s="71" t="s">
        <v>2272</v>
      </c>
      <c r="L4131" s="71" t="s">
        <v>2272</v>
      </c>
      <c r="M4131" s="71" t="s">
        <v>2272</v>
      </c>
      <c r="N4131" s="71" t="s">
        <v>2272</v>
      </c>
      <c r="O4131" s="71">
        <v>96339</v>
      </c>
      <c r="P4131" s="71" t="s">
        <v>2272</v>
      </c>
      <c r="Q4131" s="71" t="s">
        <v>2272</v>
      </c>
      <c r="R4131" s="71" t="s">
        <v>2272</v>
      </c>
      <c r="S4131" s="71" t="s">
        <v>2272</v>
      </c>
      <c r="T4131" s="71" t="s">
        <v>2272</v>
      </c>
      <c r="U4131" s="71" t="s">
        <v>2272</v>
      </c>
      <c r="V4131" s="71" t="s">
        <v>2272</v>
      </c>
      <c r="W4131" s="71" t="s">
        <v>2272</v>
      </c>
      <c r="X4131" s="71" t="s">
        <v>2272</v>
      </c>
      <c r="Y4131" s="71" t="s">
        <v>2272</v>
      </c>
      <c r="Z4131" s="71" t="s">
        <v>2272</v>
      </c>
      <c r="AA4131" s="71" t="s">
        <v>2272</v>
      </c>
      <c r="AB4131" s="71" t="s">
        <v>2272</v>
      </c>
      <c r="AC4131" s="71" t="s">
        <v>2272</v>
      </c>
      <c r="AD4131" s="4" t="s">
        <v>11531</v>
      </c>
      <c r="AE4131" s="198"/>
    </row>
    <row r="4132" spans="1:31" ht="59" customHeight="1">
      <c r="A4132" s="198" t="s">
        <v>10663</v>
      </c>
      <c r="B4132" s="198" t="s">
        <v>11047</v>
      </c>
      <c r="C4132" s="198" t="s">
        <v>1102</v>
      </c>
      <c r="D4132" s="71" t="s">
        <v>2272</v>
      </c>
      <c r="E4132" s="71" t="s">
        <v>2272</v>
      </c>
      <c r="F4132" s="71" t="s">
        <v>2272</v>
      </c>
      <c r="G4132" s="71" t="s">
        <v>2272</v>
      </c>
      <c r="H4132" s="198" t="s">
        <v>521</v>
      </c>
      <c r="I4132" s="198"/>
      <c r="J4132" s="71" t="s">
        <v>2272</v>
      </c>
      <c r="K4132" s="71" t="s">
        <v>2272</v>
      </c>
      <c r="L4132" s="71" t="s">
        <v>2272</v>
      </c>
      <c r="M4132" s="71" t="s">
        <v>2272</v>
      </c>
      <c r="N4132" s="71" t="s">
        <v>2272</v>
      </c>
      <c r="O4132" s="71">
        <v>7156</v>
      </c>
      <c r="P4132" s="71" t="s">
        <v>2272</v>
      </c>
      <c r="Q4132" s="71" t="s">
        <v>2272</v>
      </c>
      <c r="R4132" s="71" t="s">
        <v>2272</v>
      </c>
      <c r="S4132" s="71" t="s">
        <v>2272</v>
      </c>
      <c r="T4132" s="71" t="s">
        <v>2272</v>
      </c>
      <c r="U4132" s="71" t="s">
        <v>2272</v>
      </c>
      <c r="V4132" s="71" t="s">
        <v>2272</v>
      </c>
      <c r="W4132" s="71" t="s">
        <v>2272</v>
      </c>
      <c r="X4132" s="71" t="s">
        <v>2272</v>
      </c>
      <c r="Y4132" s="71" t="s">
        <v>2272</v>
      </c>
      <c r="Z4132" s="71" t="s">
        <v>2272</v>
      </c>
      <c r="AA4132" s="71" t="s">
        <v>2272</v>
      </c>
      <c r="AB4132" s="71" t="s">
        <v>2272</v>
      </c>
      <c r="AC4132" s="71" t="s">
        <v>2272</v>
      </c>
      <c r="AD4132" s="4" t="s">
        <v>11532</v>
      </c>
      <c r="AE4132" s="198"/>
    </row>
    <row r="4133" spans="1:31" ht="59" customHeight="1">
      <c r="A4133" s="198" t="s">
        <v>10664</v>
      </c>
      <c r="B4133" s="198" t="s">
        <v>11048</v>
      </c>
      <c r="C4133" s="198" t="s">
        <v>1102</v>
      </c>
      <c r="D4133" s="71" t="s">
        <v>2272</v>
      </c>
      <c r="E4133" s="71" t="s">
        <v>2272</v>
      </c>
      <c r="F4133" s="71" t="s">
        <v>2272</v>
      </c>
      <c r="G4133" s="71" t="s">
        <v>2272</v>
      </c>
      <c r="H4133" s="198" t="s">
        <v>521</v>
      </c>
      <c r="I4133" s="198"/>
      <c r="J4133" s="71" t="s">
        <v>2272</v>
      </c>
      <c r="K4133" s="71" t="s">
        <v>2272</v>
      </c>
      <c r="L4133" s="71" t="s">
        <v>2272</v>
      </c>
      <c r="M4133" s="71" t="s">
        <v>2272</v>
      </c>
      <c r="N4133" s="71" t="s">
        <v>2272</v>
      </c>
      <c r="O4133" s="71">
        <v>89031</v>
      </c>
      <c r="P4133" s="71" t="s">
        <v>2272</v>
      </c>
      <c r="Q4133" s="71" t="s">
        <v>2272</v>
      </c>
      <c r="R4133" s="71" t="s">
        <v>2272</v>
      </c>
      <c r="S4133" s="71" t="s">
        <v>2272</v>
      </c>
      <c r="T4133" s="71" t="s">
        <v>2272</v>
      </c>
      <c r="U4133" s="71" t="s">
        <v>2272</v>
      </c>
      <c r="V4133" s="71" t="s">
        <v>2272</v>
      </c>
      <c r="W4133" s="71" t="s">
        <v>2272</v>
      </c>
      <c r="X4133" s="71" t="s">
        <v>2272</v>
      </c>
      <c r="Y4133" s="71" t="s">
        <v>2272</v>
      </c>
      <c r="Z4133" s="71" t="s">
        <v>2272</v>
      </c>
      <c r="AA4133" s="71" t="s">
        <v>2272</v>
      </c>
      <c r="AB4133" s="71" t="s">
        <v>2272</v>
      </c>
      <c r="AC4133" s="71" t="s">
        <v>2272</v>
      </c>
      <c r="AD4133" s="4" t="s">
        <v>11533</v>
      </c>
      <c r="AE4133" s="198"/>
    </row>
    <row r="4134" spans="1:31" ht="59" customHeight="1">
      <c r="A4134" s="198" t="s">
        <v>10665</v>
      </c>
      <c r="B4134" s="198" t="s">
        <v>11049</v>
      </c>
      <c r="C4134" s="198" t="s">
        <v>1102</v>
      </c>
      <c r="D4134" s="71" t="s">
        <v>2272</v>
      </c>
      <c r="E4134" s="71" t="s">
        <v>2272</v>
      </c>
      <c r="F4134" s="71" t="s">
        <v>2272</v>
      </c>
      <c r="G4134" s="71" t="s">
        <v>2272</v>
      </c>
      <c r="H4134" s="198" t="s">
        <v>521</v>
      </c>
      <c r="I4134" s="198"/>
      <c r="J4134" s="71" t="s">
        <v>2272</v>
      </c>
      <c r="K4134" s="71" t="s">
        <v>2272</v>
      </c>
      <c r="L4134" s="71" t="s">
        <v>2272</v>
      </c>
      <c r="M4134" s="71" t="s">
        <v>2272</v>
      </c>
      <c r="N4134" s="71" t="s">
        <v>2272</v>
      </c>
      <c r="O4134" s="71">
        <v>47846</v>
      </c>
      <c r="P4134" s="71" t="s">
        <v>2272</v>
      </c>
      <c r="Q4134" s="71" t="s">
        <v>2272</v>
      </c>
      <c r="R4134" s="71" t="s">
        <v>2272</v>
      </c>
      <c r="S4134" s="71" t="s">
        <v>2272</v>
      </c>
      <c r="T4134" s="71" t="s">
        <v>2272</v>
      </c>
      <c r="U4134" s="71" t="s">
        <v>2272</v>
      </c>
      <c r="V4134" s="71" t="s">
        <v>2272</v>
      </c>
      <c r="W4134" s="71" t="s">
        <v>2272</v>
      </c>
      <c r="X4134" s="71" t="s">
        <v>2272</v>
      </c>
      <c r="Y4134" s="71" t="s">
        <v>2272</v>
      </c>
      <c r="Z4134" s="71" t="s">
        <v>2272</v>
      </c>
      <c r="AA4134" s="71" t="s">
        <v>2272</v>
      </c>
      <c r="AB4134" s="71" t="s">
        <v>2272</v>
      </c>
      <c r="AC4134" s="71" t="s">
        <v>2272</v>
      </c>
      <c r="AD4134" s="4" t="s">
        <v>11534</v>
      </c>
      <c r="AE4134" s="198"/>
    </row>
    <row r="4135" spans="1:31" ht="59" customHeight="1">
      <c r="A4135" s="198" t="s">
        <v>10666</v>
      </c>
      <c r="B4135" s="198" t="s">
        <v>11050</v>
      </c>
      <c r="C4135" s="198" t="s">
        <v>1102</v>
      </c>
      <c r="D4135" s="71" t="s">
        <v>2272</v>
      </c>
      <c r="E4135" s="71" t="s">
        <v>2272</v>
      </c>
      <c r="F4135" s="71" t="s">
        <v>2272</v>
      </c>
      <c r="G4135" s="71" t="s">
        <v>2272</v>
      </c>
      <c r="H4135" s="198" t="s">
        <v>521</v>
      </c>
      <c r="I4135" s="198"/>
      <c r="J4135" s="71" t="s">
        <v>2272</v>
      </c>
      <c r="K4135" s="71" t="s">
        <v>2272</v>
      </c>
      <c r="L4135" s="71" t="s">
        <v>2272</v>
      </c>
      <c r="M4135" s="71" t="s">
        <v>2272</v>
      </c>
      <c r="N4135" s="71" t="s">
        <v>2272</v>
      </c>
      <c r="O4135" s="71">
        <v>65843</v>
      </c>
      <c r="P4135" s="71" t="s">
        <v>2272</v>
      </c>
      <c r="Q4135" s="71" t="s">
        <v>2272</v>
      </c>
      <c r="R4135" s="71" t="s">
        <v>2272</v>
      </c>
      <c r="S4135" s="71" t="s">
        <v>2272</v>
      </c>
      <c r="T4135" s="71" t="s">
        <v>2272</v>
      </c>
      <c r="U4135" s="71" t="s">
        <v>2272</v>
      </c>
      <c r="V4135" s="71" t="s">
        <v>2272</v>
      </c>
      <c r="W4135" s="71" t="s">
        <v>2272</v>
      </c>
      <c r="X4135" s="71" t="s">
        <v>2272</v>
      </c>
      <c r="Y4135" s="71" t="s">
        <v>2272</v>
      </c>
      <c r="Z4135" s="71" t="s">
        <v>2272</v>
      </c>
      <c r="AA4135" s="71" t="s">
        <v>2272</v>
      </c>
      <c r="AB4135" s="71" t="s">
        <v>2272</v>
      </c>
      <c r="AC4135" s="71" t="s">
        <v>2272</v>
      </c>
      <c r="AD4135" s="4" t="s">
        <v>11534</v>
      </c>
      <c r="AE4135" s="198"/>
    </row>
    <row r="4136" spans="1:31" ht="59" customHeight="1">
      <c r="A4136" s="198" t="s">
        <v>10667</v>
      </c>
      <c r="B4136" s="198" t="s">
        <v>11051</v>
      </c>
      <c r="C4136" s="198" t="s">
        <v>1102</v>
      </c>
      <c r="D4136" s="71" t="s">
        <v>2272</v>
      </c>
      <c r="E4136" s="71" t="s">
        <v>2272</v>
      </c>
      <c r="F4136" s="71" t="s">
        <v>2272</v>
      </c>
      <c r="G4136" s="71" t="s">
        <v>2272</v>
      </c>
      <c r="H4136" s="198" t="s">
        <v>521</v>
      </c>
      <c r="I4136" s="198"/>
      <c r="J4136" s="71" t="s">
        <v>2272</v>
      </c>
      <c r="K4136" s="71" t="s">
        <v>2272</v>
      </c>
      <c r="L4136" s="71" t="s">
        <v>2272</v>
      </c>
      <c r="M4136" s="71" t="s">
        <v>2272</v>
      </c>
      <c r="N4136" s="71" t="s">
        <v>2272</v>
      </c>
      <c r="O4136" s="71">
        <v>37389</v>
      </c>
      <c r="P4136" s="71" t="s">
        <v>2272</v>
      </c>
      <c r="Q4136" s="71" t="s">
        <v>2272</v>
      </c>
      <c r="R4136" s="71" t="s">
        <v>2272</v>
      </c>
      <c r="S4136" s="71" t="s">
        <v>2272</v>
      </c>
      <c r="T4136" s="71" t="s">
        <v>2272</v>
      </c>
      <c r="U4136" s="71" t="s">
        <v>2272</v>
      </c>
      <c r="V4136" s="71" t="s">
        <v>2272</v>
      </c>
      <c r="W4136" s="71" t="s">
        <v>2272</v>
      </c>
      <c r="X4136" s="71" t="s">
        <v>2272</v>
      </c>
      <c r="Y4136" s="71" t="s">
        <v>2272</v>
      </c>
      <c r="Z4136" s="71" t="s">
        <v>2272</v>
      </c>
      <c r="AA4136" s="71" t="s">
        <v>2272</v>
      </c>
      <c r="AB4136" s="71" t="s">
        <v>2272</v>
      </c>
      <c r="AC4136" s="71" t="s">
        <v>2272</v>
      </c>
      <c r="AD4136" s="4" t="s">
        <v>11528</v>
      </c>
      <c r="AE4136" s="198"/>
    </row>
    <row r="4137" spans="1:31" ht="59" customHeight="1">
      <c r="A4137" s="198" t="s">
        <v>10668</v>
      </c>
      <c r="B4137" s="198" t="s">
        <v>11052</v>
      </c>
      <c r="C4137" s="198" t="s">
        <v>1102</v>
      </c>
      <c r="D4137" s="71" t="s">
        <v>2272</v>
      </c>
      <c r="E4137" s="71" t="s">
        <v>2272</v>
      </c>
      <c r="F4137" s="71" t="s">
        <v>2272</v>
      </c>
      <c r="G4137" s="71" t="s">
        <v>2272</v>
      </c>
      <c r="H4137" s="198" t="s">
        <v>521</v>
      </c>
      <c r="I4137" s="198"/>
      <c r="J4137" s="71" t="s">
        <v>2272</v>
      </c>
      <c r="K4137" s="71" t="s">
        <v>2272</v>
      </c>
      <c r="L4137" s="71" t="s">
        <v>2272</v>
      </c>
      <c r="M4137" s="71" t="s">
        <v>2272</v>
      </c>
      <c r="N4137" s="71" t="s">
        <v>2272</v>
      </c>
      <c r="O4137" s="71">
        <v>100994</v>
      </c>
      <c r="P4137" s="71" t="s">
        <v>2272</v>
      </c>
      <c r="Q4137" s="71" t="s">
        <v>2272</v>
      </c>
      <c r="R4137" s="71" t="s">
        <v>2272</v>
      </c>
      <c r="S4137" s="71" t="s">
        <v>2272</v>
      </c>
      <c r="T4137" s="71" t="s">
        <v>2272</v>
      </c>
      <c r="U4137" s="71" t="s">
        <v>2272</v>
      </c>
      <c r="V4137" s="71" t="s">
        <v>2272</v>
      </c>
      <c r="W4137" s="71" t="s">
        <v>2272</v>
      </c>
      <c r="X4137" s="71" t="s">
        <v>2272</v>
      </c>
      <c r="Y4137" s="71" t="s">
        <v>2272</v>
      </c>
      <c r="Z4137" s="71" t="s">
        <v>2272</v>
      </c>
      <c r="AA4137" s="71" t="s">
        <v>2272</v>
      </c>
      <c r="AB4137" s="71" t="s">
        <v>2272</v>
      </c>
      <c r="AC4137" s="71" t="s">
        <v>2272</v>
      </c>
      <c r="AD4137" s="4" t="s">
        <v>11535</v>
      </c>
      <c r="AE4137" s="198"/>
    </row>
    <row r="4138" spans="1:31" ht="59" customHeight="1">
      <c r="A4138" s="198" t="s">
        <v>10669</v>
      </c>
      <c r="B4138" s="198" t="s">
        <v>11053</v>
      </c>
      <c r="C4138" s="198" t="s">
        <v>1102</v>
      </c>
      <c r="D4138" s="71" t="s">
        <v>2272</v>
      </c>
      <c r="E4138" s="71" t="s">
        <v>2272</v>
      </c>
      <c r="F4138" s="71" t="s">
        <v>2272</v>
      </c>
      <c r="G4138" s="71" t="s">
        <v>2272</v>
      </c>
      <c r="H4138" s="198" t="s">
        <v>521</v>
      </c>
      <c r="I4138" s="198"/>
      <c r="J4138" s="71" t="s">
        <v>2272</v>
      </c>
      <c r="K4138" s="71" t="s">
        <v>2272</v>
      </c>
      <c r="L4138" s="71" t="s">
        <v>2272</v>
      </c>
      <c r="M4138" s="71" t="s">
        <v>2272</v>
      </c>
      <c r="N4138" s="71" t="s">
        <v>2272</v>
      </c>
      <c r="O4138" s="71">
        <v>83817</v>
      </c>
      <c r="P4138" s="71" t="s">
        <v>2272</v>
      </c>
      <c r="Q4138" s="71" t="s">
        <v>2272</v>
      </c>
      <c r="R4138" s="71" t="s">
        <v>2272</v>
      </c>
      <c r="S4138" s="71" t="s">
        <v>2272</v>
      </c>
      <c r="T4138" s="71" t="s">
        <v>2272</v>
      </c>
      <c r="U4138" s="71" t="s">
        <v>2272</v>
      </c>
      <c r="V4138" s="71" t="s">
        <v>2272</v>
      </c>
      <c r="W4138" s="71" t="s">
        <v>2272</v>
      </c>
      <c r="X4138" s="71" t="s">
        <v>2272</v>
      </c>
      <c r="Y4138" s="71" t="s">
        <v>2272</v>
      </c>
      <c r="Z4138" s="71" t="s">
        <v>2272</v>
      </c>
      <c r="AA4138" s="71" t="s">
        <v>2272</v>
      </c>
      <c r="AB4138" s="71" t="s">
        <v>2272</v>
      </c>
      <c r="AC4138" s="71" t="s">
        <v>2272</v>
      </c>
      <c r="AD4138" s="4" t="s">
        <v>11536</v>
      </c>
      <c r="AE4138" s="198"/>
    </row>
    <row r="4139" spans="1:31" ht="59" customHeight="1">
      <c r="A4139" s="198" t="s">
        <v>10670</v>
      </c>
      <c r="B4139" s="198" t="s">
        <v>11054</v>
      </c>
      <c r="C4139" s="198" t="s">
        <v>1102</v>
      </c>
      <c r="D4139" s="71" t="s">
        <v>2272</v>
      </c>
      <c r="E4139" s="71" t="s">
        <v>2272</v>
      </c>
      <c r="F4139" s="71" t="s">
        <v>2272</v>
      </c>
      <c r="G4139" s="71" t="s">
        <v>2272</v>
      </c>
      <c r="H4139" s="198" t="s">
        <v>521</v>
      </c>
      <c r="I4139" s="198"/>
      <c r="J4139" s="71" t="s">
        <v>2272</v>
      </c>
      <c r="K4139" s="71" t="s">
        <v>2272</v>
      </c>
      <c r="L4139" s="71" t="s">
        <v>2272</v>
      </c>
      <c r="M4139" s="71" t="s">
        <v>2272</v>
      </c>
      <c r="N4139" s="71" t="s">
        <v>2272</v>
      </c>
      <c r="O4139" s="71">
        <v>217741</v>
      </c>
      <c r="P4139" s="71" t="s">
        <v>2272</v>
      </c>
      <c r="Q4139" s="71" t="s">
        <v>2272</v>
      </c>
      <c r="R4139" s="71" t="s">
        <v>2272</v>
      </c>
      <c r="S4139" s="71" t="s">
        <v>2272</v>
      </c>
      <c r="T4139" s="71" t="s">
        <v>2272</v>
      </c>
      <c r="U4139" s="71" t="s">
        <v>2272</v>
      </c>
      <c r="V4139" s="71" t="s">
        <v>2272</v>
      </c>
      <c r="W4139" s="71" t="s">
        <v>2272</v>
      </c>
      <c r="X4139" s="71" t="s">
        <v>2272</v>
      </c>
      <c r="Y4139" s="71" t="s">
        <v>2272</v>
      </c>
      <c r="Z4139" s="71" t="s">
        <v>2272</v>
      </c>
      <c r="AA4139" s="71" t="s">
        <v>2272</v>
      </c>
      <c r="AB4139" s="71" t="s">
        <v>2272</v>
      </c>
      <c r="AC4139" s="71" t="s">
        <v>2272</v>
      </c>
      <c r="AD4139" s="4" t="s">
        <v>11529</v>
      </c>
      <c r="AE4139" s="198"/>
    </row>
    <row r="4140" spans="1:31" ht="59" customHeight="1">
      <c r="A4140" s="198" t="s">
        <v>10671</v>
      </c>
      <c r="B4140" s="198" t="s">
        <v>11055</v>
      </c>
      <c r="C4140" s="198" t="s">
        <v>1102</v>
      </c>
      <c r="D4140" s="71" t="s">
        <v>2272</v>
      </c>
      <c r="E4140" s="71" t="s">
        <v>2272</v>
      </c>
      <c r="F4140" s="71" t="s">
        <v>2272</v>
      </c>
      <c r="G4140" s="71" t="s">
        <v>2272</v>
      </c>
      <c r="H4140" s="198" t="s">
        <v>521</v>
      </c>
      <c r="I4140" s="198"/>
      <c r="J4140" s="71" t="s">
        <v>2272</v>
      </c>
      <c r="K4140" s="71" t="s">
        <v>2272</v>
      </c>
      <c r="L4140" s="71" t="s">
        <v>2272</v>
      </c>
      <c r="M4140" s="71" t="s">
        <v>2272</v>
      </c>
      <c r="N4140" s="71" t="s">
        <v>2272</v>
      </c>
      <c r="O4140" s="71">
        <v>202321</v>
      </c>
      <c r="P4140" s="71" t="s">
        <v>2272</v>
      </c>
      <c r="Q4140" s="71" t="s">
        <v>2272</v>
      </c>
      <c r="R4140" s="71" t="s">
        <v>2272</v>
      </c>
      <c r="S4140" s="71" t="s">
        <v>2272</v>
      </c>
      <c r="T4140" s="71" t="s">
        <v>2272</v>
      </c>
      <c r="U4140" s="71" t="s">
        <v>2272</v>
      </c>
      <c r="V4140" s="71" t="s">
        <v>2272</v>
      </c>
      <c r="W4140" s="71" t="s">
        <v>2272</v>
      </c>
      <c r="X4140" s="71" t="s">
        <v>2272</v>
      </c>
      <c r="Y4140" s="71" t="s">
        <v>2272</v>
      </c>
      <c r="Z4140" s="71" t="s">
        <v>2272</v>
      </c>
      <c r="AA4140" s="71" t="s">
        <v>2272</v>
      </c>
      <c r="AB4140" s="71" t="s">
        <v>2272</v>
      </c>
      <c r="AC4140" s="71" t="s">
        <v>2272</v>
      </c>
      <c r="AD4140" s="4" t="s">
        <v>11537</v>
      </c>
      <c r="AE4140" s="198"/>
    </row>
    <row r="4141" spans="1:31" ht="59" customHeight="1">
      <c r="A4141" s="198" t="s">
        <v>10672</v>
      </c>
      <c r="B4141" s="198" t="s">
        <v>11056</v>
      </c>
      <c r="C4141" s="198" t="s">
        <v>1102</v>
      </c>
      <c r="D4141" s="71" t="s">
        <v>2272</v>
      </c>
      <c r="E4141" s="71" t="s">
        <v>2272</v>
      </c>
      <c r="F4141" s="71" t="s">
        <v>2272</v>
      </c>
      <c r="G4141" s="71" t="s">
        <v>2272</v>
      </c>
      <c r="H4141" s="198" t="s">
        <v>521</v>
      </c>
      <c r="I4141" s="198"/>
      <c r="J4141" s="71" t="s">
        <v>2272</v>
      </c>
      <c r="K4141" s="71" t="s">
        <v>2272</v>
      </c>
      <c r="L4141" s="71" t="s">
        <v>2272</v>
      </c>
      <c r="M4141" s="71" t="s">
        <v>2272</v>
      </c>
      <c r="N4141" s="71" t="s">
        <v>2272</v>
      </c>
      <c r="O4141" s="71">
        <v>12141</v>
      </c>
      <c r="P4141" s="71" t="s">
        <v>2272</v>
      </c>
      <c r="Q4141" s="71" t="s">
        <v>2272</v>
      </c>
      <c r="R4141" s="71" t="s">
        <v>2272</v>
      </c>
      <c r="S4141" s="71" t="s">
        <v>2272</v>
      </c>
      <c r="T4141" s="71" t="s">
        <v>2272</v>
      </c>
      <c r="U4141" s="71" t="s">
        <v>2272</v>
      </c>
      <c r="V4141" s="71" t="s">
        <v>2272</v>
      </c>
      <c r="W4141" s="71" t="s">
        <v>2272</v>
      </c>
      <c r="X4141" s="71" t="s">
        <v>2272</v>
      </c>
      <c r="Y4141" s="71" t="s">
        <v>2272</v>
      </c>
      <c r="Z4141" s="71" t="s">
        <v>2272</v>
      </c>
      <c r="AA4141" s="71" t="s">
        <v>2272</v>
      </c>
      <c r="AB4141" s="71" t="s">
        <v>2272</v>
      </c>
      <c r="AC4141" s="71" t="s">
        <v>2272</v>
      </c>
      <c r="AD4141" s="4" t="s">
        <v>11538</v>
      </c>
      <c r="AE4141" s="198"/>
    </row>
    <row r="4142" spans="1:31" ht="59" customHeight="1">
      <c r="A4142" s="198" t="s">
        <v>10673</v>
      </c>
      <c r="B4142" s="198" t="s">
        <v>11057</v>
      </c>
      <c r="C4142" s="198" t="s">
        <v>1102</v>
      </c>
      <c r="D4142" s="71" t="s">
        <v>2272</v>
      </c>
      <c r="E4142" s="71" t="s">
        <v>2272</v>
      </c>
      <c r="F4142" s="71" t="s">
        <v>2272</v>
      </c>
      <c r="G4142" s="71" t="s">
        <v>2272</v>
      </c>
      <c r="H4142" s="198" t="s">
        <v>521</v>
      </c>
      <c r="I4142" s="198"/>
      <c r="J4142" s="71" t="s">
        <v>2272</v>
      </c>
      <c r="K4142" s="71" t="s">
        <v>2272</v>
      </c>
      <c r="L4142" s="71" t="s">
        <v>2272</v>
      </c>
      <c r="M4142" s="71" t="s">
        <v>2272</v>
      </c>
      <c r="N4142" s="71" t="s">
        <v>2272</v>
      </c>
      <c r="O4142" s="71">
        <v>55470</v>
      </c>
      <c r="P4142" s="71" t="s">
        <v>2272</v>
      </c>
      <c r="Q4142" s="71" t="s">
        <v>2272</v>
      </c>
      <c r="R4142" s="71" t="s">
        <v>2272</v>
      </c>
      <c r="S4142" s="71" t="s">
        <v>2272</v>
      </c>
      <c r="T4142" s="71" t="s">
        <v>2272</v>
      </c>
      <c r="U4142" s="71" t="s">
        <v>2272</v>
      </c>
      <c r="V4142" s="71" t="s">
        <v>2272</v>
      </c>
      <c r="W4142" s="71" t="s">
        <v>2272</v>
      </c>
      <c r="X4142" s="71" t="s">
        <v>2272</v>
      </c>
      <c r="Y4142" s="71" t="s">
        <v>2272</v>
      </c>
      <c r="Z4142" s="71" t="s">
        <v>2272</v>
      </c>
      <c r="AA4142" s="71" t="s">
        <v>2272</v>
      </c>
      <c r="AB4142" s="71" t="s">
        <v>2272</v>
      </c>
      <c r="AC4142" s="71" t="s">
        <v>2272</v>
      </c>
      <c r="AD4142" s="4" t="s">
        <v>11539</v>
      </c>
      <c r="AE4142" s="198"/>
    </row>
    <row r="4143" spans="1:31" ht="59" customHeight="1">
      <c r="A4143" s="198" t="s">
        <v>10674</v>
      </c>
      <c r="B4143" s="198" t="s">
        <v>11058</v>
      </c>
      <c r="C4143" s="198" t="s">
        <v>1102</v>
      </c>
      <c r="D4143" s="71" t="s">
        <v>2272</v>
      </c>
      <c r="E4143" s="71" t="s">
        <v>2272</v>
      </c>
      <c r="F4143" s="71" t="s">
        <v>2272</v>
      </c>
      <c r="G4143" s="71" t="s">
        <v>2272</v>
      </c>
      <c r="H4143" s="198" t="s">
        <v>521</v>
      </c>
      <c r="I4143" s="198"/>
      <c r="J4143" s="71" t="s">
        <v>2272</v>
      </c>
      <c r="K4143" s="71" t="s">
        <v>2272</v>
      </c>
      <c r="L4143" s="71" t="s">
        <v>2272</v>
      </c>
      <c r="M4143" s="71" t="s">
        <v>2272</v>
      </c>
      <c r="N4143" s="71" t="s">
        <v>2272</v>
      </c>
      <c r="O4143" s="71">
        <v>19177</v>
      </c>
      <c r="P4143" s="71" t="s">
        <v>2272</v>
      </c>
      <c r="Q4143" s="71" t="s">
        <v>2272</v>
      </c>
      <c r="R4143" s="71" t="s">
        <v>2272</v>
      </c>
      <c r="S4143" s="71" t="s">
        <v>2272</v>
      </c>
      <c r="T4143" s="71" t="s">
        <v>2272</v>
      </c>
      <c r="U4143" s="71" t="s">
        <v>2272</v>
      </c>
      <c r="V4143" s="71" t="s">
        <v>2272</v>
      </c>
      <c r="W4143" s="71" t="s">
        <v>2272</v>
      </c>
      <c r="X4143" s="71" t="s">
        <v>2272</v>
      </c>
      <c r="Y4143" s="71" t="s">
        <v>2272</v>
      </c>
      <c r="Z4143" s="71" t="s">
        <v>2272</v>
      </c>
      <c r="AA4143" s="71" t="s">
        <v>2272</v>
      </c>
      <c r="AB4143" s="71" t="s">
        <v>2272</v>
      </c>
      <c r="AC4143" s="71" t="s">
        <v>2272</v>
      </c>
      <c r="AD4143" s="4" t="s">
        <v>11540</v>
      </c>
      <c r="AE4143" s="198"/>
    </row>
    <row r="4144" spans="1:31" ht="59" customHeight="1">
      <c r="A4144" s="198" t="s">
        <v>10675</v>
      </c>
      <c r="B4144" s="198" t="s">
        <v>11059</v>
      </c>
      <c r="C4144" s="198" t="s">
        <v>1102</v>
      </c>
      <c r="D4144" s="71" t="s">
        <v>2272</v>
      </c>
      <c r="E4144" s="71" t="s">
        <v>2272</v>
      </c>
      <c r="F4144" s="71" t="s">
        <v>2272</v>
      </c>
      <c r="G4144" s="71" t="s">
        <v>2272</v>
      </c>
      <c r="H4144" s="198" t="s">
        <v>521</v>
      </c>
      <c r="I4144" s="198"/>
      <c r="J4144" s="71" t="s">
        <v>2272</v>
      </c>
      <c r="K4144" s="71" t="s">
        <v>2272</v>
      </c>
      <c r="L4144" s="71" t="s">
        <v>2272</v>
      </c>
      <c r="M4144" s="71" t="s">
        <v>2272</v>
      </c>
      <c r="N4144" s="71" t="s">
        <v>2272</v>
      </c>
      <c r="O4144" s="71">
        <v>63371</v>
      </c>
      <c r="P4144" s="71" t="s">
        <v>2272</v>
      </c>
      <c r="Q4144" s="71" t="s">
        <v>2272</v>
      </c>
      <c r="R4144" s="71" t="s">
        <v>2272</v>
      </c>
      <c r="S4144" s="71" t="s">
        <v>2272</v>
      </c>
      <c r="T4144" s="71" t="s">
        <v>2272</v>
      </c>
      <c r="U4144" s="71" t="s">
        <v>2272</v>
      </c>
      <c r="V4144" s="71" t="s">
        <v>2272</v>
      </c>
      <c r="W4144" s="71" t="s">
        <v>2272</v>
      </c>
      <c r="X4144" s="71" t="s">
        <v>2272</v>
      </c>
      <c r="Y4144" s="71" t="s">
        <v>2272</v>
      </c>
      <c r="Z4144" s="71" t="s">
        <v>2272</v>
      </c>
      <c r="AA4144" s="71" t="s">
        <v>2272</v>
      </c>
      <c r="AB4144" s="71" t="s">
        <v>2272</v>
      </c>
      <c r="AC4144" s="71" t="s">
        <v>2272</v>
      </c>
      <c r="AD4144" s="4" t="s">
        <v>11537</v>
      </c>
      <c r="AE4144" s="198"/>
    </row>
    <row r="4145" spans="1:31" ht="59" customHeight="1">
      <c r="A4145" s="198" t="s">
        <v>10676</v>
      </c>
      <c r="B4145" s="198" t="s">
        <v>11060</v>
      </c>
      <c r="C4145" s="198" t="s">
        <v>1102</v>
      </c>
      <c r="D4145" s="71" t="s">
        <v>2272</v>
      </c>
      <c r="E4145" s="71" t="s">
        <v>2272</v>
      </c>
      <c r="F4145" s="71" t="s">
        <v>2272</v>
      </c>
      <c r="G4145" s="71" t="s">
        <v>2272</v>
      </c>
      <c r="H4145" s="198" t="s">
        <v>521</v>
      </c>
      <c r="I4145" s="198"/>
      <c r="J4145" s="71" t="s">
        <v>2272</v>
      </c>
      <c r="K4145" s="71" t="s">
        <v>2272</v>
      </c>
      <c r="L4145" s="71" t="s">
        <v>2272</v>
      </c>
      <c r="M4145" s="71" t="s">
        <v>2272</v>
      </c>
      <c r="N4145" s="71" t="s">
        <v>2272</v>
      </c>
      <c r="O4145" s="71">
        <v>2226</v>
      </c>
      <c r="P4145" s="71" t="s">
        <v>2272</v>
      </c>
      <c r="Q4145" s="71" t="s">
        <v>2272</v>
      </c>
      <c r="R4145" s="71" t="s">
        <v>2272</v>
      </c>
      <c r="S4145" s="71" t="s">
        <v>2272</v>
      </c>
      <c r="T4145" s="71" t="s">
        <v>2272</v>
      </c>
      <c r="U4145" s="71" t="s">
        <v>2272</v>
      </c>
      <c r="V4145" s="71" t="s">
        <v>2272</v>
      </c>
      <c r="W4145" s="71" t="s">
        <v>2272</v>
      </c>
      <c r="X4145" s="71" t="s">
        <v>2272</v>
      </c>
      <c r="Y4145" s="71" t="s">
        <v>2272</v>
      </c>
      <c r="Z4145" s="71" t="s">
        <v>2272</v>
      </c>
      <c r="AA4145" s="71" t="s">
        <v>2272</v>
      </c>
      <c r="AB4145" s="71" t="s">
        <v>2272</v>
      </c>
      <c r="AC4145" s="71" t="s">
        <v>2272</v>
      </c>
      <c r="AD4145" s="4" t="s">
        <v>11541</v>
      </c>
      <c r="AE4145" s="198"/>
    </row>
    <row r="4146" spans="1:31" ht="59" customHeight="1">
      <c r="A4146" s="198" t="s">
        <v>10677</v>
      </c>
      <c r="B4146" s="198" t="s">
        <v>11061</v>
      </c>
      <c r="C4146" s="198" t="s">
        <v>1102</v>
      </c>
      <c r="D4146" s="71" t="s">
        <v>2272</v>
      </c>
      <c r="E4146" s="71" t="s">
        <v>2272</v>
      </c>
      <c r="F4146" s="71" t="s">
        <v>2272</v>
      </c>
      <c r="G4146" s="71" t="s">
        <v>2272</v>
      </c>
      <c r="H4146" s="198" t="s">
        <v>521</v>
      </c>
      <c r="I4146" s="198"/>
      <c r="J4146" s="71" t="s">
        <v>2272</v>
      </c>
      <c r="K4146" s="71" t="s">
        <v>2272</v>
      </c>
      <c r="L4146" s="71" t="s">
        <v>2272</v>
      </c>
      <c r="M4146" s="71" t="s">
        <v>2272</v>
      </c>
      <c r="N4146" s="71" t="s">
        <v>2272</v>
      </c>
      <c r="O4146" s="71">
        <v>51287</v>
      </c>
      <c r="P4146" s="71" t="s">
        <v>2272</v>
      </c>
      <c r="Q4146" s="71" t="s">
        <v>2272</v>
      </c>
      <c r="R4146" s="71" t="s">
        <v>2272</v>
      </c>
      <c r="S4146" s="71" t="s">
        <v>2272</v>
      </c>
      <c r="T4146" s="71" t="s">
        <v>2272</v>
      </c>
      <c r="U4146" s="71" t="s">
        <v>2272</v>
      </c>
      <c r="V4146" s="71" t="s">
        <v>2272</v>
      </c>
      <c r="W4146" s="71" t="s">
        <v>2272</v>
      </c>
      <c r="X4146" s="71" t="s">
        <v>2272</v>
      </c>
      <c r="Y4146" s="71" t="s">
        <v>2272</v>
      </c>
      <c r="Z4146" s="71" t="s">
        <v>2272</v>
      </c>
      <c r="AA4146" s="71" t="s">
        <v>2272</v>
      </c>
      <c r="AB4146" s="71" t="s">
        <v>2272</v>
      </c>
      <c r="AC4146" s="71" t="s">
        <v>2272</v>
      </c>
      <c r="AD4146" s="4" t="s">
        <v>11542</v>
      </c>
      <c r="AE4146" s="198"/>
    </row>
    <row r="4147" spans="1:31" ht="59" customHeight="1">
      <c r="A4147" s="198" t="s">
        <v>10678</v>
      </c>
      <c r="B4147" s="198" t="s">
        <v>11062</v>
      </c>
      <c r="C4147" s="198" t="s">
        <v>1102</v>
      </c>
      <c r="D4147" s="71" t="s">
        <v>2272</v>
      </c>
      <c r="E4147" s="71" t="s">
        <v>2272</v>
      </c>
      <c r="F4147" s="71" t="s">
        <v>2272</v>
      </c>
      <c r="G4147" s="71" t="s">
        <v>2272</v>
      </c>
      <c r="H4147" s="198" t="s">
        <v>521</v>
      </c>
      <c r="I4147" s="198"/>
      <c r="J4147" s="71" t="s">
        <v>2272</v>
      </c>
      <c r="K4147" s="71" t="s">
        <v>2272</v>
      </c>
      <c r="L4147" s="71" t="s">
        <v>2272</v>
      </c>
      <c r="M4147" s="71" t="s">
        <v>2272</v>
      </c>
      <c r="N4147" s="71" t="s">
        <v>2272</v>
      </c>
      <c r="O4147" s="71">
        <v>103542</v>
      </c>
      <c r="P4147" s="71" t="s">
        <v>2272</v>
      </c>
      <c r="Q4147" s="71" t="s">
        <v>2272</v>
      </c>
      <c r="R4147" s="71" t="s">
        <v>2272</v>
      </c>
      <c r="S4147" s="71" t="s">
        <v>2272</v>
      </c>
      <c r="T4147" s="71" t="s">
        <v>2272</v>
      </c>
      <c r="U4147" s="71" t="s">
        <v>2272</v>
      </c>
      <c r="V4147" s="71" t="s">
        <v>2272</v>
      </c>
      <c r="W4147" s="71" t="s">
        <v>2272</v>
      </c>
      <c r="X4147" s="71" t="s">
        <v>2272</v>
      </c>
      <c r="Y4147" s="71" t="s">
        <v>2272</v>
      </c>
      <c r="Z4147" s="71" t="s">
        <v>2272</v>
      </c>
      <c r="AA4147" s="71" t="s">
        <v>2272</v>
      </c>
      <c r="AB4147" s="71" t="s">
        <v>2272</v>
      </c>
      <c r="AC4147" s="71" t="s">
        <v>2272</v>
      </c>
      <c r="AD4147" s="4" t="s">
        <v>11543</v>
      </c>
      <c r="AE4147" s="198"/>
    </row>
    <row r="4148" spans="1:31" ht="59" customHeight="1">
      <c r="A4148" s="198" t="s">
        <v>10679</v>
      </c>
      <c r="B4148" s="198" t="s">
        <v>11063</v>
      </c>
      <c r="C4148" s="198" t="s">
        <v>1102</v>
      </c>
      <c r="D4148" s="71" t="s">
        <v>2272</v>
      </c>
      <c r="E4148" s="71" t="s">
        <v>2272</v>
      </c>
      <c r="F4148" s="71" t="s">
        <v>2272</v>
      </c>
      <c r="G4148" s="71" t="s">
        <v>2272</v>
      </c>
      <c r="H4148" s="198" t="s">
        <v>521</v>
      </c>
      <c r="I4148" s="198"/>
      <c r="J4148" s="71" t="s">
        <v>2272</v>
      </c>
      <c r="K4148" s="71" t="s">
        <v>2272</v>
      </c>
      <c r="L4148" s="71" t="s">
        <v>2272</v>
      </c>
      <c r="M4148" s="71" t="s">
        <v>2272</v>
      </c>
      <c r="N4148" s="71" t="s">
        <v>2272</v>
      </c>
      <c r="O4148" s="71">
        <v>113336</v>
      </c>
      <c r="P4148" s="71" t="s">
        <v>2272</v>
      </c>
      <c r="Q4148" s="71" t="s">
        <v>2272</v>
      </c>
      <c r="R4148" s="71" t="s">
        <v>2272</v>
      </c>
      <c r="S4148" s="71" t="s">
        <v>2272</v>
      </c>
      <c r="T4148" s="71" t="s">
        <v>2272</v>
      </c>
      <c r="U4148" s="71" t="s">
        <v>2272</v>
      </c>
      <c r="V4148" s="71" t="s">
        <v>2272</v>
      </c>
      <c r="W4148" s="71" t="s">
        <v>2272</v>
      </c>
      <c r="X4148" s="71" t="s">
        <v>2272</v>
      </c>
      <c r="Y4148" s="71" t="s">
        <v>2272</v>
      </c>
      <c r="Z4148" s="71" t="s">
        <v>2272</v>
      </c>
      <c r="AA4148" s="71" t="s">
        <v>2272</v>
      </c>
      <c r="AB4148" s="71" t="s">
        <v>2272</v>
      </c>
      <c r="AC4148" s="71" t="s">
        <v>2272</v>
      </c>
      <c r="AD4148" s="4" t="s">
        <v>11544</v>
      </c>
      <c r="AE4148" s="198"/>
    </row>
    <row r="4149" spans="1:31" ht="59" customHeight="1">
      <c r="A4149" s="198" t="s">
        <v>10680</v>
      </c>
      <c r="B4149" s="198" t="s">
        <v>11064</v>
      </c>
      <c r="C4149" s="198" t="s">
        <v>1102</v>
      </c>
      <c r="D4149" s="71" t="s">
        <v>2272</v>
      </c>
      <c r="E4149" s="71" t="s">
        <v>2272</v>
      </c>
      <c r="F4149" s="71" t="s">
        <v>2272</v>
      </c>
      <c r="G4149" s="71" t="s">
        <v>2272</v>
      </c>
      <c r="H4149" s="198" t="s">
        <v>521</v>
      </c>
      <c r="I4149" s="198"/>
      <c r="J4149" s="71" t="s">
        <v>2272</v>
      </c>
      <c r="K4149" s="71" t="s">
        <v>2272</v>
      </c>
      <c r="L4149" s="71" t="s">
        <v>2272</v>
      </c>
      <c r="M4149" s="71" t="s">
        <v>2272</v>
      </c>
      <c r="N4149" s="71" t="s">
        <v>2272</v>
      </c>
      <c r="O4149" s="71">
        <v>15683</v>
      </c>
      <c r="P4149" s="71" t="s">
        <v>2272</v>
      </c>
      <c r="Q4149" s="71" t="s">
        <v>2272</v>
      </c>
      <c r="R4149" s="71" t="s">
        <v>2272</v>
      </c>
      <c r="S4149" s="71" t="s">
        <v>2272</v>
      </c>
      <c r="T4149" s="71" t="s">
        <v>2272</v>
      </c>
      <c r="U4149" s="71" t="s">
        <v>2272</v>
      </c>
      <c r="V4149" s="71" t="s">
        <v>2272</v>
      </c>
      <c r="W4149" s="71" t="s">
        <v>2272</v>
      </c>
      <c r="X4149" s="71" t="s">
        <v>2272</v>
      </c>
      <c r="Y4149" s="71" t="s">
        <v>2272</v>
      </c>
      <c r="Z4149" s="71" t="s">
        <v>2272</v>
      </c>
      <c r="AA4149" s="71" t="s">
        <v>2272</v>
      </c>
      <c r="AB4149" s="71" t="s">
        <v>2272</v>
      </c>
      <c r="AC4149" s="71" t="s">
        <v>2272</v>
      </c>
      <c r="AD4149" s="4" t="s">
        <v>11545</v>
      </c>
      <c r="AE4149" s="198"/>
    </row>
    <row r="4150" spans="1:31" ht="59" customHeight="1">
      <c r="A4150" s="198" t="s">
        <v>10681</v>
      </c>
      <c r="B4150" s="198" t="s">
        <v>11065</v>
      </c>
      <c r="C4150" s="198" t="s">
        <v>1102</v>
      </c>
      <c r="D4150" s="71" t="s">
        <v>2272</v>
      </c>
      <c r="E4150" s="71" t="s">
        <v>2272</v>
      </c>
      <c r="F4150" s="71" t="s">
        <v>2272</v>
      </c>
      <c r="G4150" s="71" t="s">
        <v>2272</v>
      </c>
      <c r="H4150" s="198" t="s">
        <v>521</v>
      </c>
      <c r="I4150" s="198"/>
      <c r="J4150" s="71" t="s">
        <v>2272</v>
      </c>
      <c r="K4150" s="71" t="s">
        <v>2272</v>
      </c>
      <c r="L4150" s="71" t="s">
        <v>2272</v>
      </c>
      <c r="M4150" s="71" t="s">
        <v>2272</v>
      </c>
      <c r="N4150" s="71" t="s">
        <v>2272</v>
      </c>
      <c r="O4150" s="71">
        <v>13483</v>
      </c>
      <c r="P4150" s="71" t="s">
        <v>2272</v>
      </c>
      <c r="Q4150" s="71" t="s">
        <v>2272</v>
      </c>
      <c r="R4150" s="71" t="s">
        <v>2272</v>
      </c>
      <c r="S4150" s="71" t="s">
        <v>2272</v>
      </c>
      <c r="T4150" s="71" t="s">
        <v>2272</v>
      </c>
      <c r="U4150" s="71" t="s">
        <v>2272</v>
      </c>
      <c r="V4150" s="71" t="s">
        <v>2272</v>
      </c>
      <c r="W4150" s="71" t="s">
        <v>2272</v>
      </c>
      <c r="X4150" s="71" t="s">
        <v>2272</v>
      </c>
      <c r="Y4150" s="71" t="s">
        <v>2272</v>
      </c>
      <c r="Z4150" s="71" t="s">
        <v>2272</v>
      </c>
      <c r="AA4150" s="71" t="s">
        <v>2272</v>
      </c>
      <c r="AB4150" s="71" t="s">
        <v>2272</v>
      </c>
      <c r="AC4150" s="71" t="s">
        <v>2272</v>
      </c>
      <c r="AD4150" s="4" t="s">
        <v>11546</v>
      </c>
      <c r="AE4150" s="198"/>
    </row>
    <row r="4151" spans="1:31" ht="59" customHeight="1">
      <c r="A4151" s="198" t="s">
        <v>10682</v>
      </c>
      <c r="B4151" s="198" t="s">
        <v>11066</v>
      </c>
      <c r="C4151" s="198" t="s">
        <v>1102</v>
      </c>
      <c r="D4151" s="71" t="s">
        <v>2272</v>
      </c>
      <c r="E4151" s="71" t="s">
        <v>2272</v>
      </c>
      <c r="F4151" s="71" t="s">
        <v>2272</v>
      </c>
      <c r="G4151" s="71" t="s">
        <v>2272</v>
      </c>
      <c r="H4151" s="198" t="s">
        <v>521</v>
      </c>
      <c r="I4151" s="198"/>
      <c r="J4151" s="71" t="s">
        <v>2272</v>
      </c>
      <c r="K4151" s="71" t="s">
        <v>2272</v>
      </c>
      <c r="L4151" s="71" t="s">
        <v>2272</v>
      </c>
      <c r="M4151" s="71" t="s">
        <v>2272</v>
      </c>
      <c r="N4151" s="71" t="s">
        <v>2272</v>
      </c>
      <c r="O4151" s="71">
        <v>16150</v>
      </c>
      <c r="P4151" s="71" t="s">
        <v>2272</v>
      </c>
      <c r="Q4151" s="71" t="s">
        <v>2272</v>
      </c>
      <c r="R4151" s="71" t="s">
        <v>2272</v>
      </c>
      <c r="S4151" s="71" t="s">
        <v>2272</v>
      </c>
      <c r="T4151" s="71" t="s">
        <v>2272</v>
      </c>
      <c r="U4151" s="71" t="s">
        <v>2272</v>
      </c>
      <c r="V4151" s="71" t="s">
        <v>2272</v>
      </c>
      <c r="W4151" s="71" t="s">
        <v>2272</v>
      </c>
      <c r="X4151" s="71" t="s">
        <v>2272</v>
      </c>
      <c r="Y4151" s="71" t="s">
        <v>2272</v>
      </c>
      <c r="Z4151" s="71" t="s">
        <v>2272</v>
      </c>
      <c r="AA4151" s="71" t="s">
        <v>2272</v>
      </c>
      <c r="AB4151" s="71" t="s">
        <v>2272</v>
      </c>
      <c r="AC4151" s="71" t="s">
        <v>2272</v>
      </c>
      <c r="AD4151" s="4" t="s">
        <v>11533</v>
      </c>
      <c r="AE4151" s="198"/>
    </row>
    <row r="4152" spans="1:31" ht="59" customHeight="1">
      <c r="A4152" s="198" t="s">
        <v>10683</v>
      </c>
      <c r="B4152" s="198" t="s">
        <v>11067</v>
      </c>
      <c r="C4152" s="198" t="s">
        <v>1102</v>
      </c>
      <c r="D4152" s="71" t="s">
        <v>2272</v>
      </c>
      <c r="E4152" s="71" t="s">
        <v>2272</v>
      </c>
      <c r="F4152" s="71" t="s">
        <v>2272</v>
      </c>
      <c r="G4152" s="71" t="s">
        <v>2272</v>
      </c>
      <c r="H4152" s="198" t="s">
        <v>521</v>
      </c>
      <c r="I4152" s="198"/>
      <c r="J4152" s="71" t="s">
        <v>2272</v>
      </c>
      <c r="K4152" s="71" t="s">
        <v>2272</v>
      </c>
      <c r="L4152" s="71" t="s">
        <v>2272</v>
      </c>
      <c r="M4152" s="71" t="s">
        <v>2272</v>
      </c>
      <c r="N4152" s="71" t="s">
        <v>2272</v>
      </c>
      <c r="O4152" s="71">
        <v>27316</v>
      </c>
      <c r="P4152" s="71" t="s">
        <v>2272</v>
      </c>
      <c r="Q4152" s="71" t="s">
        <v>2272</v>
      </c>
      <c r="R4152" s="71" t="s">
        <v>2272</v>
      </c>
      <c r="S4152" s="71" t="s">
        <v>2272</v>
      </c>
      <c r="T4152" s="71" t="s">
        <v>2272</v>
      </c>
      <c r="U4152" s="71" t="s">
        <v>2272</v>
      </c>
      <c r="V4152" s="71" t="s">
        <v>2272</v>
      </c>
      <c r="W4152" s="71" t="s">
        <v>2272</v>
      </c>
      <c r="X4152" s="71" t="s">
        <v>2272</v>
      </c>
      <c r="Y4152" s="71" t="s">
        <v>2272</v>
      </c>
      <c r="Z4152" s="71" t="s">
        <v>2272</v>
      </c>
      <c r="AA4152" s="71" t="s">
        <v>2272</v>
      </c>
      <c r="AB4152" s="71" t="s">
        <v>2272</v>
      </c>
      <c r="AC4152" s="71" t="s">
        <v>2272</v>
      </c>
      <c r="AD4152" s="4" t="s">
        <v>11547</v>
      </c>
      <c r="AE4152" s="198"/>
    </row>
    <row r="4153" spans="1:31" ht="59" customHeight="1">
      <c r="A4153" s="198" t="s">
        <v>10684</v>
      </c>
      <c r="B4153" s="198" t="s">
        <v>11068</v>
      </c>
      <c r="C4153" s="198" t="s">
        <v>1102</v>
      </c>
      <c r="D4153" s="71" t="s">
        <v>2272</v>
      </c>
      <c r="E4153" s="71" t="s">
        <v>2272</v>
      </c>
      <c r="F4153" s="71" t="s">
        <v>2272</v>
      </c>
      <c r="G4153" s="71" t="s">
        <v>2272</v>
      </c>
      <c r="H4153" s="198" t="s">
        <v>521</v>
      </c>
      <c r="I4153" s="198"/>
      <c r="J4153" s="71" t="s">
        <v>2272</v>
      </c>
      <c r="K4153" s="71" t="s">
        <v>2272</v>
      </c>
      <c r="L4153" s="71" t="s">
        <v>2272</v>
      </c>
      <c r="M4153" s="71" t="s">
        <v>2272</v>
      </c>
      <c r="N4153" s="71" t="s">
        <v>2272</v>
      </c>
      <c r="O4153" s="71">
        <v>88277</v>
      </c>
      <c r="P4153" s="71" t="s">
        <v>2272</v>
      </c>
      <c r="Q4153" s="71" t="s">
        <v>2272</v>
      </c>
      <c r="R4153" s="71" t="s">
        <v>2272</v>
      </c>
      <c r="S4153" s="71" t="s">
        <v>2272</v>
      </c>
      <c r="T4153" s="71" t="s">
        <v>2272</v>
      </c>
      <c r="U4153" s="71" t="s">
        <v>2272</v>
      </c>
      <c r="V4153" s="71" t="s">
        <v>2272</v>
      </c>
      <c r="W4153" s="71" t="s">
        <v>2272</v>
      </c>
      <c r="X4153" s="71" t="s">
        <v>2272</v>
      </c>
      <c r="Y4153" s="71" t="s">
        <v>2272</v>
      </c>
      <c r="Z4153" s="71" t="s">
        <v>2272</v>
      </c>
      <c r="AA4153" s="71" t="s">
        <v>2272</v>
      </c>
      <c r="AB4153" s="71" t="s">
        <v>2272</v>
      </c>
      <c r="AC4153" s="71" t="s">
        <v>2272</v>
      </c>
      <c r="AD4153" s="4" t="s">
        <v>11537</v>
      </c>
      <c r="AE4153" s="198"/>
    </row>
    <row r="4154" spans="1:31" ht="59" customHeight="1">
      <c r="A4154" s="198" t="s">
        <v>10685</v>
      </c>
      <c r="B4154" s="198" t="s">
        <v>11069</v>
      </c>
      <c r="C4154" s="198" t="s">
        <v>1102</v>
      </c>
      <c r="D4154" s="71" t="s">
        <v>2272</v>
      </c>
      <c r="E4154" s="71" t="s">
        <v>2272</v>
      </c>
      <c r="F4154" s="71" t="s">
        <v>2272</v>
      </c>
      <c r="G4154" s="71" t="s">
        <v>2272</v>
      </c>
      <c r="H4154" s="198" t="s">
        <v>521</v>
      </c>
      <c r="I4154" s="198"/>
      <c r="J4154" s="71" t="s">
        <v>2272</v>
      </c>
      <c r="K4154" s="71" t="s">
        <v>2272</v>
      </c>
      <c r="L4154" s="71" t="s">
        <v>2272</v>
      </c>
      <c r="M4154" s="71" t="s">
        <v>2272</v>
      </c>
      <c r="N4154" s="71" t="s">
        <v>2272</v>
      </c>
      <c r="O4154" s="71">
        <v>37626</v>
      </c>
      <c r="P4154" s="71" t="s">
        <v>2272</v>
      </c>
      <c r="Q4154" s="71" t="s">
        <v>2272</v>
      </c>
      <c r="R4154" s="71" t="s">
        <v>2272</v>
      </c>
      <c r="S4154" s="71" t="s">
        <v>2272</v>
      </c>
      <c r="T4154" s="71" t="s">
        <v>2272</v>
      </c>
      <c r="U4154" s="71" t="s">
        <v>2272</v>
      </c>
      <c r="V4154" s="71" t="s">
        <v>2272</v>
      </c>
      <c r="W4154" s="71" t="s">
        <v>2272</v>
      </c>
      <c r="X4154" s="71" t="s">
        <v>2272</v>
      </c>
      <c r="Y4154" s="71" t="s">
        <v>2272</v>
      </c>
      <c r="Z4154" s="71" t="s">
        <v>2272</v>
      </c>
      <c r="AA4154" s="71" t="s">
        <v>2272</v>
      </c>
      <c r="AB4154" s="71" t="s">
        <v>2272</v>
      </c>
      <c r="AC4154" s="71" t="s">
        <v>2272</v>
      </c>
      <c r="AD4154" s="4" t="s">
        <v>11543</v>
      </c>
      <c r="AE4154" s="198"/>
    </row>
    <row r="4155" spans="1:31" ht="59" customHeight="1">
      <c r="A4155" s="198" t="s">
        <v>10686</v>
      </c>
      <c r="B4155" s="198" t="s">
        <v>11070</v>
      </c>
      <c r="C4155" s="198" t="s">
        <v>1102</v>
      </c>
      <c r="D4155" s="71" t="s">
        <v>2272</v>
      </c>
      <c r="E4155" s="71" t="s">
        <v>2272</v>
      </c>
      <c r="F4155" s="71" t="s">
        <v>2272</v>
      </c>
      <c r="G4155" s="71" t="s">
        <v>2272</v>
      </c>
      <c r="H4155" s="198" t="s">
        <v>521</v>
      </c>
      <c r="I4155" s="198"/>
      <c r="J4155" s="71" t="s">
        <v>2272</v>
      </c>
      <c r="K4155" s="71" t="s">
        <v>2272</v>
      </c>
      <c r="L4155" s="71" t="s">
        <v>2272</v>
      </c>
      <c r="M4155" s="71" t="s">
        <v>2272</v>
      </c>
      <c r="N4155" s="71" t="s">
        <v>2272</v>
      </c>
      <c r="O4155" s="71">
        <v>35783</v>
      </c>
      <c r="P4155" s="71" t="s">
        <v>2272</v>
      </c>
      <c r="Q4155" s="71" t="s">
        <v>2272</v>
      </c>
      <c r="R4155" s="71" t="s">
        <v>2272</v>
      </c>
      <c r="S4155" s="71" t="s">
        <v>2272</v>
      </c>
      <c r="T4155" s="71" t="s">
        <v>2272</v>
      </c>
      <c r="U4155" s="71" t="s">
        <v>2272</v>
      </c>
      <c r="V4155" s="71" t="s">
        <v>2272</v>
      </c>
      <c r="W4155" s="71" t="s">
        <v>2272</v>
      </c>
      <c r="X4155" s="71" t="s">
        <v>2272</v>
      </c>
      <c r="Y4155" s="71" t="s">
        <v>2272</v>
      </c>
      <c r="Z4155" s="71" t="s">
        <v>2272</v>
      </c>
      <c r="AA4155" s="71" t="s">
        <v>2272</v>
      </c>
      <c r="AB4155" s="71" t="s">
        <v>2272</v>
      </c>
      <c r="AC4155" s="71" t="s">
        <v>2272</v>
      </c>
      <c r="AD4155" s="4" t="s">
        <v>11529</v>
      </c>
      <c r="AE4155" s="198"/>
    </row>
    <row r="4156" spans="1:31" ht="59" customHeight="1">
      <c r="A4156" s="198" t="s">
        <v>10687</v>
      </c>
      <c r="B4156" s="198" t="s">
        <v>11071</v>
      </c>
      <c r="C4156" s="198" t="s">
        <v>1102</v>
      </c>
      <c r="D4156" s="71" t="s">
        <v>2272</v>
      </c>
      <c r="E4156" s="71" t="s">
        <v>2272</v>
      </c>
      <c r="F4156" s="71" t="s">
        <v>2272</v>
      </c>
      <c r="G4156" s="71" t="s">
        <v>2272</v>
      </c>
      <c r="H4156" s="198" t="s">
        <v>521</v>
      </c>
      <c r="I4156" s="198"/>
      <c r="J4156" s="71" t="s">
        <v>2272</v>
      </c>
      <c r="K4156" s="71" t="s">
        <v>2272</v>
      </c>
      <c r="L4156" s="71" t="s">
        <v>2272</v>
      </c>
      <c r="M4156" s="71" t="s">
        <v>2272</v>
      </c>
      <c r="N4156" s="71" t="s">
        <v>2272</v>
      </c>
      <c r="O4156" s="71">
        <v>14423</v>
      </c>
      <c r="P4156" s="71" t="s">
        <v>2272</v>
      </c>
      <c r="Q4156" s="71" t="s">
        <v>2272</v>
      </c>
      <c r="R4156" s="71" t="s">
        <v>2272</v>
      </c>
      <c r="S4156" s="71" t="s">
        <v>2272</v>
      </c>
      <c r="T4156" s="71" t="s">
        <v>2272</v>
      </c>
      <c r="U4156" s="71" t="s">
        <v>2272</v>
      </c>
      <c r="V4156" s="71" t="s">
        <v>2272</v>
      </c>
      <c r="W4156" s="71" t="s">
        <v>2272</v>
      </c>
      <c r="X4156" s="71" t="s">
        <v>2272</v>
      </c>
      <c r="Y4156" s="71" t="s">
        <v>2272</v>
      </c>
      <c r="Z4156" s="71" t="s">
        <v>2272</v>
      </c>
      <c r="AA4156" s="71" t="s">
        <v>2272</v>
      </c>
      <c r="AB4156" s="71" t="s">
        <v>2272</v>
      </c>
      <c r="AC4156" s="71" t="s">
        <v>2272</v>
      </c>
      <c r="AD4156" s="4" t="s">
        <v>11548</v>
      </c>
      <c r="AE4156" s="198"/>
    </row>
    <row r="4157" spans="1:31" ht="59" customHeight="1">
      <c r="A4157" s="198" t="s">
        <v>10688</v>
      </c>
      <c r="B4157" s="198" t="s">
        <v>11072</v>
      </c>
      <c r="C4157" s="198" t="s">
        <v>1102</v>
      </c>
      <c r="D4157" s="71" t="s">
        <v>2272</v>
      </c>
      <c r="E4157" s="71" t="s">
        <v>2272</v>
      </c>
      <c r="F4157" s="71" t="s">
        <v>2272</v>
      </c>
      <c r="G4157" s="71" t="s">
        <v>2272</v>
      </c>
      <c r="H4157" s="198" t="s">
        <v>521</v>
      </c>
      <c r="I4157" s="198"/>
      <c r="J4157" s="71" t="s">
        <v>2272</v>
      </c>
      <c r="K4157" s="71" t="s">
        <v>2272</v>
      </c>
      <c r="L4157" s="71" t="s">
        <v>2272</v>
      </c>
      <c r="M4157" s="71" t="s">
        <v>2272</v>
      </c>
      <c r="N4157" s="71" t="s">
        <v>2272</v>
      </c>
      <c r="O4157" s="71">
        <v>4047</v>
      </c>
      <c r="P4157" s="71" t="s">
        <v>2272</v>
      </c>
      <c r="Q4157" s="71" t="s">
        <v>2272</v>
      </c>
      <c r="R4157" s="71" t="s">
        <v>2272</v>
      </c>
      <c r="S4157" s="71" t="s">
        <v>2272</v>
      </c>
      <c r="T4157" s="71" t="s">
        <v>2272</v>
      </c>
      <c r="U4157" s="71" t="s">
        <v>2272</v>
      </c>
      <c r="V4157" s="71" t="s">
        <v>2272</v>
      </c>
      <c r="W4157" s="71" t="s">
        <v>2272</v>
      </c>
      <c r="X4157" s="71" t="s">
        <v>2272</v>
      </c>
      <c r="Y4157" s="71" t="s">
        <v>2272</v>
      </c>
      <c r="Z4157" s="71" t="s">
        <v>2272</v>
      </c>
      <c r="AA4157" s="71" t="s">
        <v>2272</v>
      </c>
      <c r="AB4157" s="71" t="s">
        <v>2272</v>
      </c>
      <c r="AC4157" s="71" t="s">
        <v>2272</v>
      </c>
      <c r="AD4157" s="4" t="s">
        <v>11549</v>
      </c>
      <c r="AE4157" s="198"/>
    </row>
    <row r="4158" spans="1:31" ht="59" customHeight="1">
      <c r="A4158" s="198" t="s">
        <v>10689</v>
      </c>
      <c r="B4158" s="198" t="s">
        <v>11073</v>
      </c>
      <c r="C4158" s="198" t="s">
        <v>1102</v>
      </c>
      <c r="D4158" s="71" t="s">
        <v>2272</v>
      </c>
      <c r="E4158" s="71" t="s">
        <v>2272</v>
      </c>
      <c r="F4158" s="71" t="s">
        <v>2272</v>
      </c>
      <c r="G4158" s="71" t="s">
        <v>2272</v>
      </c>
      <c r="H4158" s="198" t="s">
        <v>521</v>
      </c>
      <c r="I4158" s="198"/>
      <c r="J4158" s="71" t="s">
        <v>2272</v>
      </c>
      <c r="K4158" s="71" t="s">
        <v>2272</v>
      </c>
      <c r="L4158" s="71" t="s">
        <v>2272</v>
      </c>
      <c r="M4158" s="71" t="s">
        <v>2272</v>
      </c>
      <c r="N4158" s="71" t="s">
        <v>2272</v>
      </c>
      <c r="O4158" s="71">
        <v>3108</v>
      </c>
      <c r="P4158" s="71" t="s">
        <v>2272</v>
      </c>
      <c r="Q4158" s="71" t="s">
        <v>2272</v>
      </c>
      <c r="R4158" s="71" t="s">
        <v>2272</v>
      </c>
      <c r="S4158" s="71" t="s">
        <v>2272</v>
      </c>
      <c r="T4158" s="71" t="s">
        <v>2272</v>
      </c>
      <c r="U4158" s="71" t="s">
        <v>2272</v>
      </c>
      <c r="V4158" s="71" t="s">
        <v>2272</v>
      </c>
      <c r="W4158" s="71" t="s">
        <v>2272</v>
      </c>
      <c r="X4158" s="71" t="s">
        <v>2272</v>
      </c>
      <c r="Y4158" s="71" t="s">
        <v>2272</v>
      </c>
      <c r="Z4158" s="71" t="s">
        <v>2272</v>
      </c>
      <c r="AA4158" s="71" t="s">
        <v>2272</v>
      </c>
      <c r="AB4158" s="71" t="s">
        <v>2272</v>
      </c>
      <c r="AC4158" s="71" t="s">
        <v>2272</v>
      </c>
      <c r="AD4158" s="4" t="s">
        <v>11525</v>
      </c>
      <c r="AE4158" s="198"/>
    </row>
    <row r="4159" spans="1:31" ht="59" customHeight="1">
      <c r="A4159" s="198" t="s">
        <v>10690</v>
      </c>
      <c r="B4159" s="198" t="s">
        <v>11074</v>
      </c>
      <c r="C4159" s="198" t="s">
        <v>1102</v>
      </c>
      <c r="D4159" s="71" t="s">
        <v>2272</v>
      </c>
      <c r="E4159" s="71" t="s">
        <v>2272</v>
      </c>
      <c r="F4159" s="71" t="s">
        <v>2272</v>
      </c>
      <c r="G4159" s="71" t="s">
        <v>2272</v>
      </c>
      <c r="H4159" s="198" t="s">
        <v>521</v>
      </c>
      <c r="I4159" s="198"/>
      <c r="J4159" s="71" t="s">
        <v>2272</v>
      </c>
      <c r="K4159" s="71" t="s">
        <v>2272</v>
      </c>
      <c r="L4159" s="71" t="s">
        <v>2272</v>
      </c>
      <c r="M4159" s="71" t="s">
        <v>2272</v>
      </c>
      <c r="N4159" s="71" t="s">
        <v>2272</v>
      </c>
      <c r="O4159" s="71">
        <v>125129</v>
      </c>
      <c r="P4159" s="71" t="s">
        <v>2272</v>
      </c>
      <c r="Q4159" s="71" t="s">
        <v>2272</v>
      </c>
      <c r="R4159" s="71" t="s">
        <v>2272</v>
      </c>
      <c r="S4159" s="71" t="s">
        <v>2272</v>
      </c>
      <c r="T4159" s="71" t="s">
        <v>2272</v>
      </c>
      <c r="U4159" s="71" t="s">
        <v>2272</v>
      </c>
      <c r="V4159" s="71" t="s">
        <v>2272</v>
      </c>
      <c r="W4159" s="71" t="s">
        <v>2272</v>
      </c>
      <c r="X4159" s="71" t="s">
        <v>2272</v>
      </c>
      <c r="Y4159" s="71" t="s">
        <v>2272</v>
      </c>
      <c r="Z4159" s="71" t="s">
        <v>2272</v>
      </c>
      <c r="AA4159" s="71" t="s">
        <v>2272</v>
      </c>
      <c r="AB4159" s="71" t="s">
        <v>2272</v>
      </c>
      <c r="AC4159" s="71" t="s">
        <v>2272</v>
      </c>
      <c r="AD4159" s="4" t="s">
        <v>11550</v>
      </c>
      <c r="AE4159" s="198"/>
    </row>
    <row r="4160" spans="1:31" ht="59" customHeight="1">
      <c r="A4160" s="198" t="s">
        <v>10691</v>
      </c>
      <c r="B4160" s="198" t="s">
        <v>11075</v>
      </c>
      <c r="C4160" s="198" t="s">
        <v>1102</v>
      </c>
      <c r="D4160" s="71" t="s">
        <v>2272</v>
      </c>
      <c r="E4160" s="71" t="s">
        <v>2272</v>
      </c>
      <c r="F4160" s="71" t="s">
        <v>2272</v>
      </c>
      <c r="G4160" s="71" t="s">
        <v>2272</v>
      </c>
      <c r="H4160" s="198" t="s">
        <v>521</v>
      </c>
      <c r="I4160" s="198"/>
      <c r="J4160" s="71" t="s">
        <v>2272</v>
      </c>
      <c r="K4160" s="71" t="s">
        <v>2272</v>
      </c>
      <c r="L4160" s="71" t="s">
        <v>2272</v>
      </c>
      <c r="M4160" s="71" t="s">
        <v>2272</v>
      </c>
      <c r="N4160" s="71" t="s">
        <v>2272</v>
      </c>
      <c r="O4160" s="71">
        <v>32267</v>
      </c>
      <c r="P4160" s="71" t="s">
        <v>2272</v>
      </c>
      <c r="Q4160" s="71" t="s">
        <v>2272</v>
      </c>
      <c r="R4160" s="71" t="s">
        <v>2272</v>
      </c>
      <c r="S4160" s="71" t="s">
        <v>2272</v>
      </c>
      <c r="T4160" s="71" t="s">
        <v>2272</v>
      </c>
      <c r="U4160" s="71" t="s">
        <v>2272</v>
      </c>
      <c r="V4160" s="71" t="s">
        <v>2272</v>
      </c>
      <c r="W4160" s="71" t="s">
        <v>2272</v>
      </c>
      <c r="X4160" s="71" t="s">
        <v>2272</v>
      </c>
      <c r="Y4160" s="71" t="s">
        <v>2272</v>
      </c>
      <c r="Z4160" s="71" t="s">
        <v>2272</v>
      </c>
      <c r="AA4160" s="71" t="s">
        <v>2272</v>
      </c>
      <c r="AB4160" s="71" t="s">
        <v>2272</v>
      </c>
      <c r="AC4160" s="71" t="s">
        <v>2272</v>
      </c>
      <c r="AD4160" s="4" t="s">
        <v>11551</v>
      </c>
      <c r="AE4160" s="198"/>
    </row>
    <row r="4161" spans="1:31" ht="59" customHeight="1">
      <c r="A4161" s="198" t="s">
        <v>10692</v>
      </c>
      <c r="B4161" s="198" t="s">
        <v>11076</v>
      </c>
      <c r="C4161" s="198" t="s">
        <v>1102</v>
      </c>
      <c r="D4161" s="71" t="s">
        <v>2272</v>
      </c>
      <c r="E4161" s="71" t="s">
        <v>2272</v>
      </c>
      <c r="F4161" s="71" t="s">
        <v>2272</v>
      </c>
      <c r="G4161" s="71" t="s">
        <v>2272</v>
      </c>
      <c r="H4161" s="198" t="s">
        <v>521</v>
      </c>
      <c r="I4161" s="198"/>
      <c r="J4161" s="71" t="s">
        <v>2272</v>
      </c>
      <c r="K4161" s="71" t="s">
        <v>2272</v>
      </c>
      <c r="L4161" s="71" t="s">
        <v>2272</v>
      </c>
      <c r="M4161" s="71" t="s">
        <v>2272</v>
      </c>
      <c r="N4161" s="71" t="s">
        <v>2272</v>
      </c>
      <c r="O4161" s="71">
        <v>3845</v>
      </c>
      <c r="P4161" s="71" t="s">
        <v>2272</v>
      </c>
      <c r="Q4161" s="71" t="s">
        <v>2272</v>
      </c>
      <c r="R4161" s="71" t="s">
        <v>2272</v>
      </c>
      <c r="S4161" s="71" t="s">
        <v>2272</v>
      </c>
      <c r="T4161" s="71" t="s">
        <v>2272</v>
      </c>
      <c r="U4161" s="71" t="s">
        <v>2272</v>
      </c>
      <c r="V4161" s="71" t="s">
        <v>2272</v>
      </c>
      <c r="W4161" s="71" t="s">
        <v>2272</v>
      </c>
      <c r="X4161" s="71" t="s">
        <v>2272</v>
      </c>
      <c r="Y4161" s="71" t="s">
        <v>2272</v>
      </c>
      <c r="Z4161" s="71" t="s">
        <v>2272</v>
      </c>
      <c r="AA4161" s="71" t="s">
        <v>2272</v>
      </c>
      <c r="AB4161" s="71" t="s">
        <v>2272</v>
      </c>
      <c r="AC4161" s="71" t="s">
        <v>2272</v>
      </c>
      <c r="AD4161" s="4" t="s">
        <v>11547</v>
      </c>
      <c r="AE4161" s="198"/>
    </row>
    <row r="4162" spans="1:31" ht="59" customHeight="1">
      <c r="A4162" s="198" t="s">
        <v>10693</v>
      </c>
      <c r="B4162" s="198" t="s">
        <v>11077</v>
      </c>
      <c r="C4162" s="198" t="s">
        <v>1102</v>
      </c>
      <c r="D4162" s="71" t="s">
        <v>2272</v>
      </c>
      <c r="E4162" s="71" t="s">
        <v>2272</v>
      </c>
      <c r="F4162" s="71" t="s">
        <v>2272</v>
      </c>
      <c r="G4162" s="71" t="s">
        <v>2272</v>
      </c>
      <c r="H4162" s="198" t="s">
        <v>521</v>
      </c>
      <c r="I4162" s="198"/>
      <c r="J4162" s="71" t="s">
        <v>2272</v>
      </c>
      <c r="K4162" s="71" t="s">
        <v>2272</v>
      </c>
      <c r="L4162" s="71" t="s">
        <v>2272</v>
      </c>
      <c r="M4162" s="71" t="s">
        <v>2272</v>
      </c>
      <c r="N4162" s="71" t="s">
        <v>2272</v>
      </c>
      <c r="O4162" s="71">
        <v>9222</v>
      </c>
      <c r="P4162" s="71" t="s">
        <v>2272</v>
      </c>
      <c r="Q4162" s="71" t="s">
        <v>2272</v>
      </c>
      <c r="R4162" s="71" t="s">
        <v>2272</v>
      </c>
      <c r="S4162" s="71" t="s">
        <v>2272</v>
      </c>
      <c r="T4162" s="71" t="s">
        <v>2272</v>
      </c>
      <c r="U4162" s="71" t="s">
        <v>2272</v>
      </c>
      <c r="V4162" s="71" t="s">
        <v>2272</v>
      </c>
      <c r="W4162" s="71" t="s">
        <v>2272</v>
      </c>
      <c r="X4162" s="71" t="s">
        <v>2272</v>
      </c>
      <c r="Y4162" s="71" t="s">
        <v>2272</v>
      </c>
      <c r="Z4162" s="71" t="s">
        <v>2272</v>
      </c>
      <c r="AA4162" s="71" t="s">
        <v>2272</v>
      </c>
      <c r="AB4162" s="71" t="s">
        <v>2272</v>
      </c>
      <c r="AC4162" s="71" t="s">
        <v>2272</v>
      </c>
      <c r="AD4162" s="4" t="s">
        <v>11525</v>
      </c>
      <c r="AE4162" s="198"/>
    </row>
    <row r="4163" spans="1:31" ht="59" customHeight="1">
      <c r="A4163" s="198" t="s">
        <v>10694</v>
      </c>
      <c r="B4163" s="198" t="s">
        <v>11078</v>
      </c>
      <c r="C4163" s="198" t="s">
        <v>1102</v>
      </c>
      <c r="D4163" s="71" t="s">
        <v>2272</v>
      </c>
      <c r="E4163" s="71" t="s">
        <v>2272</v>
      </c>
      <c r="F4163" s="71" t="s">
        <v>2272</v>
      </c>
      <c r="G4163" s="71" t="s">
        <v>2272</v>
      </c>
      <c r="H4163" s="198" t="s">
        <v>521</v>
      </c>
      <c r="I4163" s="198"/>
      <c r="J4163" s="71" t="s">
        <v>2272</v>
      </c>
      <c r="K4163" s="71" t="s">
        <v>2272</v>
      </c>
      <c r="L4163" s="71" t="s">
        <v>2272</v>
      </c>
      <c r="M4163" s="71" t="s">
        <v>2272</v>
      </c>
      <c r="N4163" s="71" t="s">
        <v>2272</v>
      </c>
      <c r="O4163" s="71">
        <v>29137</v>
      </c>
      <c r="P4163" s="71" t="s">
        <v>2272</v>
      </c>
      <c r="Q4163" s="71" t="s">
        <v>2272</v>
      </c>
      <c r="R4163" s="71" t="s">
        <v>2272</v>
      </c>
      <c r="S4163" s="71" t="s">
        <v>2272</v>
      </c>
      <c r="T4163" s="71" t="s">
        <v>2272</v>
      </c>
      <c r="U4163" s="71" t="s">
        <v>2272</v>
      </c>
      <c r="V4163" s="71" t="s">
        <v>2272</v>
      </c>
      <c r="W4163" s="71" t="s">
        <v>2272</v>
      </c>
      <c r="X4163" s="71" t="s">
        <v>2272</v>
      </c>
      <c r="Y4163" s="71" t="s">
        <v>2272</v>
      </c>
      <c r="Z4163" s="71" t="s">
        <v>2272</v>
      </c>
      <c r="AA4163" s="71" t="s">
        <v>2272</v>
      </c>
      <c r="AB4163" s="71" t="s">
        <v>2272</v>
      </c>
      <c r="AC4163" s="71" t="s">
        <v>2272</v>
      </c>
      <c r="AD4163" s="4" t="s">
        <v>11534</v>
      </c>
      <c r="AE4163" s="198"/>
    </row>
    <row r="4164" spans="1:31" ht="59" customHeight="1">
      <c r="A4164" s="198" t="s">
        <v>10695</v>
      </c>
      <c r="B4164" s="198" t="s">
        <v>11079</v>
      </c>
      <c r="C4164" s="198" t="s">
        <v>1102</v>
      </c>
      <c r="D4164" s="71" t="s">
        <v>2272</v>
      </c>
      <c r="E4164" s="71" t="s">
        <v>2272</v>
      </c>
      <c r="F4164" s="71" t="s">
        <v>2272</v>
      </c>
      <c r="G4164" s="71" t="s">
        <v>2272</v>
      </c>
      <c r="H4164" s="198" t="s">
        <v>521</v>
      </c>
      <c r="I4164" s="198"/>
      <c r="J4164" s="71" t="s">
        <v>2272</v>
      </c>
      <c r="K4164" s="71" t="s">
        <v>2272</v>
      </c>
      <c r="L4164" s="71" t="s">
        <v>2272</v>
      </c>
      <c r="M4164" s="71" t="s">
        <v>2272</v>
      </c>
      <c r="N4164" s="71" t="s">
        <v>2272</v>
      </c>
      <c r="O4164" s="71">
        <v>473</v>
      </c>
      <c r="P4164" s="71" t="s">
        <v>2272</v>
      </c>
      <c r="Q4164" s="71" t="s">
        <v>2272</v>
      </c>
      <c r="R4164" s="71" t="s">
        <v>2272</v>
      </c>
      <c r="S4164" s="71" t="s">
        <v>2272</v>
      </c>
      <c r="T4164" s="71" t="s">
        <v>2272</v>
      </c>
      <c r="U4164" s="71" t="s">
        <v>2272</v>
      </c>
      <c r="V4164" s="71" t="s">
        <v>2272</v>
      </c>
      <c r="W4164" s="71" t="s">
        <v>2272</v>
      </c>
      <c r="X4164" s="71" t="s">
        <v>2272</v>
      </c>
      <c r="Y4164" s="71" t="s">
        <v>2272</v>
      </c>
      <c r="Z4164" s="71" t="s">
        <v>2272</v>
      </c>
      <c r="AA4164" s="71" t="s">
        <v>2272</v>
      </c>
      <c r="AB4164" s="71" t="s">
        <v>2272</v>
      </c>
      <c r="AC4164" s="71" t="s">
        <v>2272</v>
      </c>
      <c r="AD4164" s="4" t="s">
        <v>11528</v>
      </c>
      <c r="AE4164" s="198"/>
    </row>
    <row r="4165" spans="1:31" ht="59" customHeight="1">
      <c r="A4165" s="198" t="s">
        <v>10696</v>
      </c>
      <c r="B4165" s="198" t="s">
        <v>11080</v>
      </c>
      <c r="C4165" s="198" t="s">
        <v>1102</v>
      </c>
      <c r="D4165" s="71" t="s">
        <v>2272</v>
      </c>
      <c r="E4165" s="71" t="s">
        <v>2272</v>
      </c>
      <c r="F4165" s="71" t="s">
        <v>2272</v>
      </c>
      <c r="G4165" s="71" t="s">
        <v>2272</v>
      </c>
      <c r="H4165" s="198" t="s">
        <v>521</v>
      </c>
      <c r="I4165" s="198"/>
      <c r="J4165" s="71" t="s">
        <v>2272</v>
      </c>
      <c r="K4165" s="71" t="s">
        <v>2272</v>
      </c>
      <c r="L4165" s="71" t="s">
        <v>2272</v>
      </c>
      <c r="M4165" s="71" t="s">
        <v>2272</v>
      </c>
      <c r="N4165" s="71" t="s">
        <v>2272</v>
      </c>
      <c r="O4165" s="71">
        <v>1578</v>
      </c>
      <c r="P4165" s="71" t="s">
        <v>2272</v>
      </c>
      <c r="Q4165" s="71" t="s">
        <v>2272</v>
      </c>
      <c r="R4165" s="71" t="s">
        <v>2272</v>
      </c>
      <c r="S4165" s="71" t="s">
        <v>2272</v>
      </c>
      <c r="T4165" s="71" t="s">
        <v>2272</v>
      </c>
      <c r="U4165" s="71" t="s">
        <v>2272</v>
      </c>
      <c r="V4165" s="71" t="s">
        <v>2272</v>
      </c>
      <c r="W4165" s="71" t="s">
        <v>2272</v>
      </c>
      <c r="X4165" s="71" t="s">
        <v>2272</v>
      </c>
      <c r="Y4165" s="71" t="s">
        <v>2272</v>
      </c>
      <c r="Z4165" s="71" t="s">
        <v>2272</v>
      </c>
      <c r="AA4165" s="71" t="s">
        <v>2272</v>
      </c>
      <c r="AB4165" s="71" t="s">
        <v>2272</v>
      </c>
      <c r="AC4165" s="71" t="s">
        <v>2272</v>
      </c>
      <c r="AD4165" s="4" t="s">
        <v>11525</v>
      </c>
      <c r="AE4165" s="198"/>
    </row>
    <row r="4166" spans="1:31" ht="59" customHeight="1">
      <c r="A4166" s="198" t="s">
        <v>10697</v>
      </c>
      <c r="B4166" s="198" t="s">
        <v>11081</v>
      </c>
      <c r="C4166" s="198" t="s">
        <v>1102</v>
      </c>
      <c r="D4166" s="71" t="s">
        <v>2272</v>
      </c>
      <c r="E4166" s="71" t="s">
        <v>2272</v>
      </c>
      <c r="F4166" s="71" t="s">
        <v>2272</v>
      </c>
      <c r="G4166" s="71" t="s">
        <v>2272</v>
      </c>
      <c r="H4166" s="198" t="s">
        <v>521</v>
      </c>
      <c r="I4166" s="198"/>
      <c r="J4166" s="71" t="s">
        <v>2272</v>
      </c>
      <c r="K4166" s="71" t="s">
        <v>2272</v>
      </c>
      <c r="L4166" s="71" t="s">
        <v>2272</v>
      </c>
      <c r="M4166" s="71" t="s">
        <v>2272</v>
      </c>
      <c r="N4166" s="71" t="s">
        <v>2272</v>
      </c>
      <c r="O4166" s="71">
        <v>19020</v>
      </c>
      <c r="P4166" s="71" t="s">
        <v>2272</v>
      </c>
      <c r="Q4166" s="71" t="s">
        <v>2272</v>
      </c>
      <c r="R4166" s="71" t="s">
        <v>2272</v>
      </c>
      <c r="S4166" s="71" t="s">
        <v>2272</v>
      </c>
      <c r="T4166" s="71" t="s">
        <v>2272</v>
      </c>
      <c r="U4166" s="71" t="s">
        <v>2272</v>
      </c>
      <c r="V4166" s="71" t="s">
        <v>2272</v>
      </c>
      <c r="W4166" s="71" t="s">
        <v>2272</v>
      </c>
      <c r="X4166" s="71" t="s">
        <v>2272</v>
      </c>
      <c r="Y4166" s="71" t="s">
        <v>2272</v>
      </c>
      <c r="Z4166" s="71" t="s">
        <v>2272</v>
      </c>
      <c r="AA4166" s="71" t="s">
        <v>2272</v>
      </c>
      <c r="AB4166" s="71" t="s">
        <v>2272</v>
      </c>
      <c r="AC4166" s="71" t="s">
        <v>2272</v>
      </c>
      <c r="AD4166" s="4" t="s">
        <v>11536</v>
      </c>
      <c r="AE4166" s="198"/>
    </row>
    <row r="4167" spans="1:31" ht="59" customHeight="1">
      <c r="A4167" s="198" t="s">
        <v>10698</v>
      </c>
      <c r="B4167" s="198" t="s">
        <v>11082</v>
      </c>
      <c r="C4167" s="198" t="s">
        <v>1102</v>
      </c>
      <c r="D4167" s="71" t="s">
        <v>2272</v>
      </c>
      <c r="E4167" s="71" t="s">
        <v>2272</v>
      </c>
      <c r="F4167" s="71" t="s">
        <v>2272</v>
      </c>
      <c r="G4167" s="71" t="s">
        <v>2272</v>
      </c>
      <c r="H4167" s="198" t="s">
        <v>521</v>
      </c>
      <c r="I4167" s="198"/>
      <c r="J4167" s="71" t="s">
        <v>2272</v>
      </c>
      <c r="K4167" s="71" t="s">
        <v>2272</v>
      </c>
      <c r="L4167" s="71" t="s">
        <v>2272</v>
      </c>
      <c r="M4167" s="71" t="s">
        <v>2272</v>
      </c>
      <c r="N4167" s="71" t="s">
        <v>2272</v>
      </c>
      <c r="O4167" s="71">
        <v>2967</v>
      </c>
      <c r="P4167" s="71" t="s">
        <v>2272</v>
      </c>
      <c r="Q4167" s="71" t="s">
        <v>2272</v>
      </c>
      <c r="R4167" s="71" t="s">
        <v>2272</v>
      </c>
      <c r="S4167" s="71" t="s">
        <v>2272</v>
      </c>
      <c r="T4167" s="71" t="s">
        <v>2272</v>
      </c>
      <c r="U4167" s="71" t="s">
        <v>2272</v>
      </c>
      <c r="V4167" s="71" t="s">
        <v>2272</v>
      </c>
      <c r="W4167" s="71" t="s">
        <v>2272</v>
      </c>
      <c r="X4167" s="71" t="s">
        <v>2272</v>
      </c>
      <c r="Y4167" s="71" t="s">
        <v>2272</v>
      </c>
      <c r="Z4167" s="71" t="s">
        <v>2272</v>
      </c>
      <c r="AA4167" s="71" t="s">
        <v>2272</v>
      </c>
      <c r="AB4167" s="71" t="s">
        <v>2272</v>
      </c>
      <c r="AC4167" s="71" t="s">
        <v>2272</v>
      </c>
      <c r="AD4167" s="4" t="s">
        <v>11552</v>
      </c>
      <c r="AE4167" s="198"/>
    </row>
    <row r="4168" spans="1:31" ht="59" customHeight="1">
      <c r="A4168" s="198" t="s">
        <v>10699</v>
      </c>
      <c r="B4168" s="198" t="s">
        <v>11083</v>
      </c>
      <c r="C4168" s="198" t="s">
        <v>1102</v>
      </c>
      <c r="D4168" s="71" t="s">
        <v>2272</v>
      </c>
      <c r="E4168" s="71" t="s">
        <v>2272</v>
      </c>
      <c r="F4168" s="71" t="s">
        <v>2272</v>
      </c>
      <c r="G4168" s="71" t="s">
        <v>2272</v>
      </c>
      <c r="H4168" s="198" t="s">
        <v>521</v>
      </c>
      <c r="I4168" s="198"/>
      <c r="J4168" s="71" t="s">
        <v>2272</v>
      </c>
      <c r="K4168" s="71" t="s">
        <v>2272</v>
      </c>
      <c r="L4168" s="71" t="s">
        <v>2272</v>
      </c>
      <c r="M4168" s="71" t="s">
        <v>2272</v>
      </c>
      <c r="N4168" s="71" t="s">
        <v>2272</v>
      </c>
      <c r="O4168" s="71">
        <v>1927</v>
      </c>
      <c r="P4168" s="71" t="s">
        <v>2272</v>
      </c>
      <c r="Q4168" s="71" t="s">
        <v>2272</v>
      </c>
      <c r="R4168" s="71" t="s">
        <v>2272</v>
      </c>
      <c r="S4168" s="71" t="s">
        <v>2272</v>
      </c>
      <c r="T4168" s="71" t="s">
        <v>2272</v>
      </c>
      <c r="U4168" s="71" t="s">
        <v>2272</v>
      </c>
      <c r="V4168" s="71" t="s">
        <v>2272</v>
      </c>
      <c r="W4168" s="71" t="s">
        <v>2272</v>
      </c>
      <c r="X4168" s="71" t="s">
        <v>2272</v>
      </c>
      <c r="Y4168" s="71" t="s">
        <v>2272</v>
      </c>
      <c r="Z4168" s="71" t="s">
        <v>2272</v>
      </c>
      <c r="AA4168" s="71" t="s">
        <v>2272</v>
      </c>
      <c r="AB4168" s="71" t="s">
        <v>2272</v>
      </c>
      <c r="AC4168" s="71" t="s">
        <v>2272</v>
      </c>
      <c r="AD4168" s="4" t="s">
        <v>11547</v>
      </c>
      <c r="AE4168" s="198"/>
    </row>
    <row r="4169" spans="1:31" ht="59" customHeight="1">
      <c r="A4169" s="198" t="s">
        <v>10700</v>
      </c>
      <c r="B4169" s="198" t="s">
        <v>11084</v>
      </c>
      <c r="C4169" s="198" t="s">
        <v>1102</v>
      </c>
      <c r="D4169" s="71" t="s">
        <v>2272</v>
      </c>
      <c r="E4169" s="71" t="s">
        <v>2272</v>
      </c>
      <c r="F4169" s="71" t="s">
        <v>2272</v>
      </c>
      <c r="G4169" s="71" t="s">
        <v>2272</v>
      </c>
      <c r="H4169" s="198" t="s">
        <v>521</v>
      </c>
      <c r="I4169" s="198"/>
      <c r="J4169" s="71" t="s">
        <v>2272</v>
      </c>
      <c r="K4169" s="71" t="s">
        <v>2272</v>
      </c>
      <c r="L4169" s="71" t="s">
        <v>2272</v>
      </c>
      <c r="M4169" s="71" t="s">
        <v>2272</v>
      </c>
      <c r="N4169" s="71" t="s">
        <v>2272</v>
      </c>
      <c r="O4169" s="71">
        <v>1619</v>
      </c>
      <c r="P4169" s="71" t="s">
        <v>2272</v>
      </c>
      <c r="Q4169" s="71" t="s">
        <v>2272</v>
      </c>
      <c r="R4169" s="71" t="s">
        <v>2272</v>
      </c>
      <c r="S4169" s="71" t="s">
        <v>2272</v>
      </c>
      <c r="T4169" s="71" t="s">
        <v>2272</v>
      </c>
      <c r="U4169" s="71" t="s">
        <v>2272</v>
      </c>
      <c r="V4169" s="71" t="s">
        <v>2272</v>
      </c>
      <c r="W4169" s="71" t="s">
        <v>2272</v>
      </c>
      <c r="X4169" s="71" t="s">
        <v>2272</v>
      </c>
      <c r="Y4169" s="71" t="s">
        <v>2272</v>
      </c>
      <c r="Z4169" s="71" t="s">
        <v>2272</v>
      </c>
      <c r="AA4169" s="71" t="s">
        <v>2272</v>
      </c>
      <c r="AB4169" s="71" t="s">
        <v>2272</v>
      </c>
      <c r="AC4169" s="71" t="s">
        <v>2272</v>
      </c>
      <c r="AD4169" s="4" t="s">
        <v>11553</v>
      </c>
      <c r="AE4169" s="198"/>
    </row>
    <row r="4170" spans="1:31" ht="59" customHeight="1">
      <c r="A4170" s="198" t="s">
        <v>10701</v>
      </c>
      <c r="B4170" s="198" t="s">
        <v>11085</v>
      </c>
      <c r="C4170" s="198" t="s">
        <v>1102</v>
      </c>
      <c r="D4170" s="71" t="s">
        <v>2272</v>
      </c>
      <c r="E4170" s="71" t="s">
        <v>2272</v>
      </c>
      <c r="F4170" s="71" t="s">
        <v>2272</v>
      </c>
      <c r="G4170" s="71" t="s">
        <v>2272</v>
      </c>
      <c r="H4170" s="198" t="s">
        <v>521</v>
      </c>
      <c r="I4170" s="198"/>
      <c r="J4170" s="71" t="s">
        <v>2272</v>
      </c>
      <c r="K4170" s="71" t="s">
        <v>2272</v>
      </c>
      <c r="L4170" s="71" t="s">
        <v>2272</v>
      </c>
      <c r="M4170" s="71" t="s">
        <v>2272</v>
      </c>
      <c r="N4170" s="71" t="s">
        <v>2272</v>
      </c>
      <c r="O4170" s="71">
        <v>1880</v>
      </c>
      <c r="P4170" s="71" t="s">
        <v>2272</v>
      </c>
      <c r="Q4170" s="71" t="s">
        <v>2272</v>
      </c>
      <c r="R4170" s="71" t="s">
        <v>2272</v>
      </c>
      <c r="S4170" s="71" t="s">
        <v>2272</v>
      </c>
      <c r="T4170" s="71" t="s">
        <v>2272</v>
      </c>
      <c r="U4170" s="71" t="s">
        <v>2272</v>
      </c>
      <c r="V4170" s="71" t="s">
        <v>2272</v>
      </c>
      <c r="W4170" s="71" t="s">
        <v>2272</v>
      </c>
      <c r="X4170" s="71" t="s">
        <v>2272</v>
      </c>
      <c r="Y4170" s="71" t="s">
        <v>2272</v>
      </c>
      <c r="Z4170" s="71" t="s">
        <v>2272</v>
      </c>
      <c r="AA4170" s="71" t="s">
        <v>2272</v>
      </c>
      <c r="AB4170" s="71" t="s">
        <v>2272</v>
      </c>
      <c r="AC4170" s="71" t="s">
        <v>2272</v>
      </c>
      <c r="AD4170" s="4" t="s">
        <v>11553</v>
      </c>
      <c r="AE4170" s="198"/>
    </row>
    <row r="4171" spans="1:31" ht="59" customHeight="1">
      <c r="A4171" s="198" t="s">
        <v>10702</v>
      </c>
      <c r="B4171" s="198" t="s">
        <v>11086</v>
      </c>
      <c r="C4171" s="198" t="s">
        <v>1102</v>
      </c>
      <c r="D4171" s="71" t="s">
        <v>2272</v>
      </c>
      <c r="E4171" s="71" t="s">
        <v>2272</v>
      </c>
      <c r="F4171" s="71" t="s">
        <v>2272</v>
      </c>
      <c r="G4171" s="71" t="s">
        <v>2272</v>
      </c>
      <c r="H4171" s="198" t="s">
        <v>521</v>
      </c>
      <c r="I4171" s="198"/>
      <c r="J4171" s="71" t="s">
        <v>2272</v>
      </c>
      <c r="K4171" s="71" t="s">
        <v>2272</v>
      </c>
      <c r="L4171" s="71" t="s">
        <v>2272</v>
      </c>
      <c r="M4171" s="71" t="s">
        <v>2272</v>
      </c>
      <c r="N4171" s="71" t="s">
        <v>2272</v>
      </c>
      <c r="O4171" s="71">
        <v>13787</v>
      </c>
      <c r="P4171" s="71" t="s">
        <v>2272</v>
      </c>
      <c r="Q4171" s="71" t="s">
        <v>2272</v>
      </c>
      <c r="R4171" s="71" t="s">
        <v>2272</v>
      </c>
      <c r="S4171" s="71" t="s">
        <v>2272</v>
      </c>
      <c r="T4171" s="71" t="s">
        <v>2272</v>
      </c>
      <c r="U4171" s="71" t="s">
        <v>2272</v>
      </c>
      <c r="V4171" s="71" t="s">
        <v>2272</v>
      </c>
      <c r="W4171" s="71" t="s">
        <v>2272</v>
      </c>
      <c r="X4171" s="71" t="s">
        <v>2272</v>
      </c>
      <c r="Y4171" s="71" t="s">
        <v>2272</v>
      </c>
      <c r="Z4171" s="71" t="s">
        <v>2272</v>
      </c>
      <c r="AA4171" s="71" t="s">
        <v>2272</v>
      </c>
      <c r="AB4171" s="71" t="s">
        <v>2272</v>
      </c>
      <c r="AC4171" s="71" t="s">
        <v>2272</v>
      </c>
      <c r="AD4171" s="4" t="s">
        <v>11554</v>
      </c>
      <c r="AE4171" s="198"/>
    </row>
    <row r="4172" spans="1:31" ht="59" customHeight="1">
      <c r="A4172" s="198" t="s">
        <v>10703</v>
      </c>
      <c r="B4172" s="198" t="s">
        <v>11087</v>
      </c>
      <c r="C4172" s="198" t="s">
        <v>1102</v>
      </c>
      <c r="D4172" s="71" t="s">
        <v>2272</v>
      </c>
      <c r="E4172" s="71" t="s">
        <v>2272</v>
      </c>
      <c r="F4172" s="71" t="s">
        <v>2272</v>
      </c>
      <c r="G4172" s="71" t="s">
        <v>2272</v>
      </c>
      <c r="H4172" s="198" t="s">
        <v>521</v>
      </c>
      <c r="I4172" s="198"/>
      <c r="J4172" s="71" t="s">
        <v>2272</v>
      </c>
      <c r="K4172" s="71" t="s">
        <v>2272</v>
      </c>
      <c r="L4172" s="71" t="s">
        <v>2272</v>
      </c>
      <c r="M4172" s="71" t="s">
        <v>2272</v>
      </c>
      <c r="N4172" s="71" t="s">
        <v>2272</v>
      </c>
      <c r="O4172" s="71">
        <v>731</v>
      </c>
      <c r="P4172" s="71" t="s">
        <v>2272</v>
      </c>
      <c r="Q4172" s="71" t="s">
        <v>2272</v>
      </c>
      <c r="R4172" s="71" t="s">
        <v>2272</v>
      </c>
      <c r="S4172" s="71" t="s">
        <v>2272</v>
      </c>
      <c r="T4172" s="71" t="s">
        <v>2272</v>
      </c>
      <c r="U4172" s="71" t="s">
        <v>2272</v>
      </c>
      <c r="V4172" s="71" t="s">
        <v>2272</v>
      </c>
      <c r="W4172" s="71" t="s">
        <v>2272</v>
      </c>
      <c r="X4172" s="71" t="s">
        <v>2272</v>
      </c>
      <c r="Y4172" s="71" t="s">
        <v>2272</v>
      </c>
      <c r="Z4172" s="71" t="s">
        <v>2272</v>
      </c>
      <c r="AA4172" s="71" t="s">
        <v>2272</v>
      </c>
      <c r="AB4172" s="71" t="s">
        <v>2272</v>
      </c>
      <c r="AC4172" s="71" t="s">
        <v>2272</v>
      </c>
      <c r="AD4172" s="4" t="s">
        <v>11547</v>
      </c>
      <c r="AE4172" s="198"/>
    </row>
    <row r="4173" spans="1:31" ht="59" customHeight="1">
      <c r="A4173" s="198" t="s">
        <v>10704</v>
      </c>
      <c r="B4173" s="198" t="s">
        <v>11088</v>
      </c>
      <c r="C4173" s="198" t="s">
        <v>1102</v>
      </c>
      <c r="D4173" s="71" t="s">
        <v>2272</v>
      </c>
      <c r="E4173" s="71" t="s">
        <v>2272</v>
      </c>
      <c r="F4173" s="71" t="s">
        <v>2272</v>
      </c>
      <c r="G4173" s="71" t="s">
        <v>2272</v>
      </c>
      <c r="H4173" s="198" t="s">
        <v>521</v>
      </c>
      <c r="I4173" s="198"/>
      <c r="J4173" s="71" t="s">
        <v>2272</v>
      </c>
      <c r="K4173" s="71" t="s">
        <v>2272</v>
      </c>
      <c r="L4173" s="71" t="s">
        <v>2272</v>
      </c>
      <c r="M4173" s="71" t="s">
        <v>2272</v>
      </c>
      <c r="N4173" s="71" t="s">
        <v>2272</v>
      </c>
      <c r="O4173" s="71">
        <v>18330</v>
      </c>
      <c r="P4173" s="71" t="s">
        <v>2272</v>
      </c>
      <c r="Q4173" s="71" t="s">
        <v>2272</v>
      </c>
      <c r="R4173" s="71" t="s">
        <v>2272</v>
      </c>
      <c r="S4173" s="71" t="s">
        <v>2272</v>
      </c>
      <c r="T4173" s="71" t="s">
        <v>2272</v>
      </c>
      <c r="U4173" s="71" t="s">
        <v>2272</v>
      </c>
      <c r="V4173" s="71" t="s">
        <v>2272</v>
      </c>
      <c r="W4173" s="71" t="s">
        <v>2272</v>
      </c>
      <c r="X4173" s="71" t="s">
        <v>2272</v>
      </c>
      <c r="Y4173" s="71" t="s">
        <v>2272</v>
      </c>
      <c r="Z4173" s="71" t="s">
        <v>2272</v>
      </c>
      <c r="AA4173" s="71" t="s">
        <v>2272</v>
      </c>
      <c r="AB4173" s="71" t="s">
        <v>2272</v>
      </c>
      <c r="AC4173" s="71" t="s">
        <v>2272</v>
      </c>
      <c r="AD4173" s="4" t="s">
        <v>11555</v>
      </c>
      <c r="AE4173" s="198"/>
    </row>
    <row r="4174" spans="1:31" ht="59" customHeight="1">
      <c r="A4174" s="198" t="s">
        <v>10705</v>
      </c>
      <c r="B4174" s="198" t="s">
        <v>11089</v>
      </c>
      <c r="C4174" s="198" t="s">
        <v>1102</v>
      </c>
      <c r="D4174" s="71" t="s">
        <v>2272</v>
      </c>
      <c r="E4174" s="71" t="s">
        <v>2272</v>
      </c>
      <c r="F4174" s="71" t="s">
        <v>2272</v>
      </c>
      <c r="G4174" s="71" t="s">
        <v>2272</v>
      </c>
      <c r="H4174" s="198" t="s">
        <v>521</v>
      </c>
      <c r="I4174" s="198"/>
      <c r="J4174" s="71" t="s">
        <v>2272</v>
      </c>
      <c r="K4174" s="71" t="s">
        <v>2272</v>
      </c>
      <c r="L4174" s="71" t="s">
        <v>2272</v>
      </c>
      <c r="M4174" s="71" t="s">
        <v>2272</v>
      </c>
      <c r="N4174" s="71" t="s">
        <v>2272</v>
      </c>
      <c r="O4174" s="71">
        <v>597</v>
      </c>
      <c r="P4174" s="71" t="s">
        <v>2272</v>
      </c>
      <c r="Q4174" s="71" t="s">
        <v>2272</v>
      </c>
      <c r="R4174" s="71" t="s">
        <v>2272</v>
      </c>
      <c r="S4174" s="71" t="s">
        <v>2272</v>
      </c>
      <c r="T4174" s="71" t="s">
        <v>2272</v>
      </c>
      <c r="U4174" s="71" t="s">
        <v>2272</v>
      </c>
      <c r="V4174" s="71" t="s">
        <v>2272</v>
      </c>
      <c r="W4174" s="71" t="s">
        <v>2272</v>
      </c>
      <c r="X4174" s="71" t="s">
        <v>2272</v>
      </c>
      <c r="Y4174" s="71" t="s">
        <v>2272</v>
      </c>
      <c r="Z4174" s="71" t="s">
        <v>2272</v>
      </c>
      <c r="AA4174" s="71" t="s">
        <v>2272</v>
      </c>
      <c r="AB4174" s="71" t="s">
        <v>2272</v>
      </c>
      <c r="AC4174" s="71" t="s">
        <v>2272</v>
      </c>
      <c r="AD4174" s="4" t="s">
        <v>11554</v>
      </c>
      <c r="AE4174" s="198"/>
    </row>
    <row r="4175" spans="1:31" ht="59" customHeight="1">
      <c r="A4175" s="198" t="s">
        <v>10706</v>
      </c>
      <c r="B4175" s="198" t="s">
        <v>11090</v>
      </c>
      <c r="C4175" s="198" t="s">
        <v>1102</v>
      </c>
      <c r="D4175" s="71" t="s">
        <v>2272</v>
      </c>
      <c r="E4175" s="71" t="s">
        <v>2272</v>
      </c>
      <c r="F4175" s="71" t="s">
        <v>2272</v>
      </c>
      <c r="G4175" s="71" t="s">
        <v>2272</v>
      </c>
      <c r="H4175" s="198" t="s">
        <v>521</v>
      </c>
      <c r="I4175" s="198"/>
      <c r="J4175" s="71" t="s">
        <v>2272</v>
      </c>
      <c r="K4175" s="71" t="s">
        <v>2272</v>
      </c>
      <c r="L4175" s="71" t="s">
        <v>2272</v>
      </c>
      <c r="M4175" s="71" t="s">
        <v>2272</v>
      </c>
      <c r="N4175" s="71" t="s">
        <v>2272</v>
      </c>
      <c r="O4175" s="71">
        <v>6483</v>
      </c>
      <c r="P4175" s="71" t="s">
        <v>2272</v>
      </c>
      <c r="Q4175" s="71" t="s">
        <v>2272</v>
      </c>
      <c r="R4175" s="71" t="s">
        <v>2272</v>
      </c>
      <c r="S4175" s="71" t="s">
        <v>2272</v>
      </c>
      <c r="T4175" s="71" t="s">
        <v>2272</v>
      </c>
      <c r="U4175" s="71" t="s">
        <v>2272</v>
      </c>
      <c r="V4175" s="71" t="s">
        <v>2272</v>
      </c>
      <c r="W4175" s="71" t="s">
        <v>2272</v>
      </c>
      <c r="X4175" s="71" t="s">
        <v>2272</v>
      </c>
      <c r="Y4175" s="71" t="s">
        <v>2272</v>
      </c>
      <c r="Z4175" s="71" t="s">
        <v>2272</v>
      </c>
      <c r="AA4175" s="71" t="s">
        <v>2272</v>
      </c>
      <c r="AB4175" s="71" t="s">
        <v>2272</v>
      </c>
      <c r="AC4175" s="71" t="s">
        <v>2272</v>
      </c>
      <c r="AD4175" s="4" t="s">
        <v>11556</v>
      </c>
      <c r="AE4175" s="198"/>
    </row>
    <row r="4176" spans="1:31" ht="59" customHeight="1">
      <c r="A4176" s="198" t="s">
        <v>10707</v>
      </c>
      <c r="B4176" s="198" t="s">
        <v>11091</v>
      </c>
      <c r="C4176" s="198" t="s">
        <v>1102</v>
      </c>
      <c r="D4176" s="71" t="s">
        <v>2272</v>
      </c>
      <c r="E4176" s="71" t="s">
        <v>2272</v>
      </c>
      <c r="F4176" s="71" t="s">
        <v>2272</v>
      </c>
      <c r="G4176" s="71" t="s">
        <v>2272</v>
      </c>
      <c r="H4176" s="198" t="s">
        <v>521</v>
      </c>
      <c r="I4176" s="198"/>
      <c r="J4176" s="71" t="s">
        <v>2272</v>
      </c>
      <c r="K4176" s="71" t="s">
        <v>2272</v>
      </c>
      <c r="L4176" s="71" t="s">
        <v>2272</v>
      </c>
      <c r="M4176" s="71" t="s">
        <v>2272</v>
      </c>
      <c r="N4176" s="71" t="s">
        <v>2272</v>
      </c>
      <c r="O4176" s="71">
        <v>352</v>
      </c>
      <c r="P4176" s="71" t="s">
        <v>2272</v>
      </c>
      <c r="Q4176" s="71" t="s">
        <v>2272</v>
      </c>
      <c r="R4176" s="71" t="s">
        <v>2272</v>
      </c>
      <c r="S4176" s="71" t="s">
        <v>2272</v>
      </c>
      <c r="T4176" s="71" t="s">
        <v>2272</v>
      </c>
      <c r="U4176" s="71" t="s">
        <v>2272</v>
      </c>
      <c r="V4176" s="71" t="s">
        <v>2272</v>
      </c>
      <c r="W4176" s="71" t="s">
        <v>2272</v>
      </c>
      <c r="X4176" s="71" t="s">
        <v>2272</v>
      </c>
      <c r="Y4176" s="71" t="s">
        <v>2272</v>
      </c>
      <c r="Z4176" s="71" t="s">
        <v>2272</v>
      </c>
      <c r="AA4176" s="71" t="s">
        <v>2272</v>
      </c>
      <c r="AB4176" s="71" t="s">
        <v>2272</v>
      </c>
      <c r="AC4176" s="71" t="s">
        <v>2272</v>
      </c>
      <c r="AD4176" s="4" t="s">
        <v>11555</v>
      </c>
      <c r="AE4176" s="198"/>
    </row>
    <row r="4177" spans="1:31" ht="59" customHeight="1">
      <c r="A4177" s="198" t="s">
        <v>10708</v>
      </c>
      <c r="B4177" s="198" t="s">
        <v>11092</v>
      </c>
      <c r="C4177" s="198" t="s">
        <v>1102</v>
      </c>
      <c r="D4177" s="71" t="s">
        <v>2272</v>
      </c>
      <c r="E4177" s="71" t="s">
        <v>2272</v>
      </c>
      <c r="F4177" s="71" t="s">
        <v>2272</v>
      </c>
      <c r="G4177" s="71" t="s">
        <v>2272</v>
      </c>
      <c r="H4177" s="198" t="s">
        <v>521</v>
      </c>
      <c r="I4177" s="198"/>
      <c r="J4177" s="71" t="s">
        <v>2272</v>
      </c>
      <c r="K4177" s="71" t="s">
        <v>2272</v>
      </c>
      <c r="L4177" s="71" t="s">
        <v>2272</v>
      </c>
      <c r="M4177" s="71" t="s">
        <v>2272</v>
      </c>
      <c r="N4177" s="71" t="s">
        <v>2272</v>
      </c>
      <c r="O4177" s="71">
        <v>37507</v>
      </c>
      <c r="P4177" s="71" t="s">
        <v>2272</v>
      </c>
      <c r="Q4177" s="71" t="s">
        <v>2272</v>
      </c>
      <c r="R4177" s="71" t="s">
        <v>2272</v>
      </c>
      <c r="S4177" s="71" t="s">
        <v>2272</v>
      </c>
      <c r="T4177" s="71" t="s">
        <v>2272</v>
      </c>
      <c r="U4177" s="71" t="s">
        <v>2272</v>
      </c>
      <c r="V4177" s="71" t="s">
        <v>2272</v>
      </c>
      <c r="W4177" s="71" t="s">
        <v>2272</v>
      </c>
      <c r="X4177" s="71" t="s">
        <v>2272</v>
      </c>
      <c r="Y4177" s="71" t="s">
        <v>2272</v>
      </c>
      <c r="Z4177" s="71" t="s">
        <v>2272</v>
      </c>
      <c r="AA4177" s="71" t="s">
        <v>2272</v>
      </c>
      <c r="AB4177" s="71" t="s">
        <v>2272</v>
      </c>
      <c r="AC4177" s="71" t="s">
        <v>2272</v>
      </c>
      <c r="AD4177" s="4" t="s">
        <v>11534</v>
      </c>
      <c r="AE4177" s="198"/>
    </row>
    <row r="4178" spans="1:31" ht="59" customHeight="1">
      <c r="A4178" s="198" t="s">
        <v>10709</v>
      </c>
      <c r="B4178" s="198" t="s">
        <v>11093</v>
      </c>
      <c r="C4178" s="198" t="s">
        <v>1102</v>
      </c>
      <c r="D4178" s="71" t="s">
        <v>2272</v>
      </c>
      <c r="E4178" s="71" t="s">
        <v>2272</v>
      </c>
      <c r="F4178" s="71" t="s">
        <v>2272</v>
      </c>
      <c r="G4178" s="71" t="s">
        <v>2272</v>
      </c>
      <c r="H4178" s="198" t="s">
        <v>521</v>
      </c>
      <c r="I4178" s="198"/>
      <c r="J4178" s="71" t="s">
        <v>2272</v>
      </c>
      <c r="K4178" s="71" t="s">
        <v>2272</v>
      </c>
      <c r="L4178" s="71" t="s">
        <v>2272</v>
      </c>
      <c r="M4178" s="71" t="s">
        <v>2272</v>
      </c>
      <c r="N4178" s="71" t="s">
        <v>2272</v>
      </c>
      <c r="O4178" s="71">
        <v>16612</v>
      </c>
      <c r="P4178" s="71" t="s">
        <v>2272</v>
      </c>
      <c r="Q4178" s="71" t="s">
        <v>2272</v>
      </c>
      <c r="R4178" s="71" t="s">
        <v>2272</v>
      </c>
      <c r="S4178" s="71" t="s">
        <v>2272</v>
      </c>
      <c r="T4178" s="71" t="s">
        <v>2272</v>
      </c>
      <c r="U4178" s="71" t="s">
        <v>2272</v>
      </c>
      <c r="V4178" s="71" t="s">
        <v>2272</v>
      </c>
      <c r="W4178" s="71" t="s">
        <v>2272</v>
      </c>
      <c r="X4178" s="71" t="s">
        <v>2272</v>
      </c>
      <c r="Y4178" s="71" t="s">
        <v>2272</v>
      </c>
      <c r="Z4178" s="71" t="s">
        <v>2272</v>
      </c>
      <c r="AA4178" s="71" t="s">
        <v>2272</v>
      </c>
      <c r="AB4178" s="71" t="s">
        <v>2272</v>
      </c>
      <c r="AC4178" s="71" t="s">
        <v>2272</v>
      </c>
      <c r="AD4178" s="4" t="s">
        <v>11531</v>
      </c>
      <c r="AE4178" s="198"/>
    </row>
    <row r="4179" spans="1:31" ht="59" customHeight="1">
      <c r="A4179" s="198" t="s">
        <v>10710</v>
      </c>
      <c r="B4179" s="198" t="s">
        <v>11094</v>
      </c>
      <c r="C4179" s="198" t="s">
        <v>1102</v>
      </c>
      <c r="D4179" s="71" t="s">
        <v>2272</v>
      </c>
      <c r="E4179" s="71" t="s">
        <v>2272</v>
      </c>
      <c r="F4179" s="71" t="s">
        <v>2272</v>
      </c>
      <c r="G4179" s="71" t="s">
        <v>2272</v>
      </c>
      <c r="H4179" s="198" t="s">
        <v>521</v>
      </c>
      <c r="I4179" s="198"/>
      <c r="J4179" s="71" t="s">
        <v>2272</v>
      </c>
      <c r="K4179" s="71" t="s">
        <v>2272</v>
      </c>
      <c r="L4179" s="71" t="s">
        <v>2272</v>
      </c>
      <c r="M4179" s="71" t="s">
        <v>2272</v>
      </c>
      <c r="N4179" s="71" t="s">
        <v>2272</v>
      </c>
      <c r="O4179" s="71">
        <v>6254</v>
      </c>
      <c r="P4179" s="71" t="s">
        <v>2272</v>
      </c>
      <c r="Q4179" s="71" t="s">
        <v>2272</v>
      </c>
      <c r="R4179" s="71" t="s">
        <v>2272</v>
      </c>
      <c r="S4179" s="71" t="s">
        <v>2272</v>
      </c>
      <c r="T4179" s="71" t="s">
        <v>2272</v>
      </c>
      <c r="U4179" s="71" t="s">
        <v>2272</v>
      </c>
      <c r="V4179" s="71" t="s">
        <v>2272</v>
      </c>
      <c r="W4179" s="71" t="s">
        <v>2272</v>
      </c>
      <c r="X4179" s="71" t="s">
        <v>2272</v>
      </c>
      <c r="Y4179" s="71" t="s">
        <v>2272</v>
      </c>
      <c r="Z4179" s="71" t="s">
        <v>2272</v>
      </c>
      <c r="AA4179" s="71" t="s">
        <v>2272</v>
      </c>
      <c r="AB4179" s="71" t="s">
        <v>2272</v>
      </c>
      <c r="AC4179" s="71" t="s">
        <v>2272</v>
      </c>
      <c r="AD4179" s="4" t="s">
        <v>11557</v>
      </c>
      <c r="AE4179" s="198"/>
    </row>
    <row r="4180" spans="1:31" ht="59" customHeight="1">
      <c r="A4180" s="198" t="s">
        <v>10711</v>
      </c>
      <c r="B4180" s="198" t="s">
        <v>11095</v>
      </c>
      <c r="C4180" s="198" t="s">
        <v>1102</v>
      </c>
      <c r="D4180" s="71" t="s">
        <v>2272</v>
      </c>
      <c r="E4180" s="71" t="s">
        <v>2272</v>
      </c>
      <c r="F4180" s="71" t="s">
        <v>2272</v>
      </c>
      <c r="G4180" s="71" t="s">
        <v>2272</v>
      </c>
      <c r="H4180" s="198" t="s">
        <v>521</v>
      </c>
      <c r="I4180" s="198"/>
      <c r="J4180" s="71" t="s">
        <v>2272</v>
      </c>
      <c r="K4180" s="71" t="s">
        <v>2272</v>
      </c>
      <c r="L4180" s="71" t="s">
        <v>2272</v>
      </c>
      <c r="M4180" s="71" t="s">
        <v>2272</v>
      </c>
      <c r="N4180" s="71" t="s">
        <v>2272</v>
      </c>
      <c r="O4180" s="71">
        <v>243</v>
      </c>
      <c r="P4180" s="71" t="s">
        <v>2272</v>
      </c>
      <c r="Q4180" s="71" t="s">
        <v>2272</v>
      </c>
      <c r="R4180" s="71" t="s">
        <v>2272</v>
      </c>
      <c r="S4180" s="71" t="s">
        <v>2272</v>
      </c>
      <c r="T4180" s="71" t="s">
        <v>2272</v>
      </c>
      <c r="U4180" s="71" t="s">
        <v>2272</v>
      </c>
      <c r="V4180" s="71" t="s">
        <v>2272</v>
      </c>
      <c r="W4180" s="71" t="s">
        <v>2272</v>
      </c>
      <c r="X4180" s="71" t="s">
        <v>2272</v>
      </c>
      <c r="Y4180" s="71" t="s">
        <v>2272</v>
      </c>
      <c r="Z4180" s="71" t="s">
        <v>2272</v>
      </c>
      <c r="AA4180" s="71" t="s">
        <v>2272</v>
      </c>
      <c r="AB4180" s="71" t="s">
        <v>2272</v>
      </c>
      <c r="AC4180" s="71" t="s">
        <v>2272</v>
      </c>
      <c r="AD4180" s="4" t="s">
        <v>11531</v>
      </c>
      <c r="AE4180" s="198"/>
    </row>
    <row r="4181" spans="1:31" ht="59" customHeight="1">
      <c r="A4181" s="198" t="s">
        <v>10712</v>
      </c>
      <c r="B4181" s="198" t="s">
        <v>11096</v>
      </c>
      <c r="C4181" s="198" t="s">
        <v>1102</v>
      </c>
      <c r="D4181" s="71" t="s">
        <v>2272</v>
      </c>
      <c r="E4181" s="71" t="s">
        <v>2272</v>
      </c>
      <c r="F4181" s="71" t="s">
        <v>2272</v>
      </c>
      <c r="G4181" s="71" t="s">
        <v>2272</v>
      </c>
      <c r="H4181" s="198" t="s">
        <v>521</v>
      </c>
      <c r="I4181" s="198"/>
      <c r="J4181" s="71" t="s">
        <v>2272</v>
      </c>
      <c r="K4181" s="71" t="s">
        <v>2272</v>
      </c>
      <c r="L4181" s="71" t="s">
        <v>2272</v>
      </c>
      <c r="M4181" s="71" t="s">
        <v>2272</v>
      </c>
      <c r="N4181" s="71" t="s">
        <v>2272</v>
      </c>
      <c r="O4181" s="71">
        <v>1680</v>
      </c>
      <c r="P4181" s="71" t="s">
        <v>2272</v>
      </c>
      <c r="Q4181" s="71" t="s">
        <v>2272</v>
      </c>
      <c r="R4181" s="71" t="s">
        <v>2272</v>
      </c>
      <c r="S4181" s="71" t="s">
        <v>2272</v>
      </c>
      <c r="T4181" s="71" t="s">
        <v>2272</v>
      </c>
      <c r="U4181" s="71" t="s">
        <v>2272</v>
      </c>
      <c r="V4181" s="71" t="s">
        <v>2272</v>
      </c>
      <c r="W4181" s="71" t="s">
        <v>2272</v>
      </c>
      <c r="X4181" s="71" t="s">
        <v>2272</v>
      </c>
      <c r="Y4181" s="71" t="s">
        <v>2272</v>
      </c>
      <c r="Z4181" s="71" t="s">
        <v>2272</v>
      </c>
      <c r="AA4181" s="71" t="s">
        <v>2272</v>
      </c>
      <c r="AB4181" s="71" t="s">
        <v>2272</v>
      </c>
      <c r="AC4181" s="71" t="s">
        <v>2272</v>
      </c>
      <c r="AD4181" s="4" t="s">
        <v>11553</v>
      </c>
      <c r="AE4181" s="198"/>
    </row>
    <row r="4182" spans="1:31" ht="59" customHeight="1">
      <c r="A4182" s="198" t="s">
        <v>10713</v>
      </c>
      <c r="B4182" s="198" t="s">
        <v>11097</v>
      </c>
      <c r="C4182" s="198" t="s">
        <v>1102</v>
      </c>
      <c r="D4182" s="71" t="s">
        <v>2272</v>
      </c>
      <c r="E4182" s="71" t="s">
        <v>2272</v>
      </c>
      <c r="F4182" s="71" t="s">
        <v>2272</v>
      </c>
      <c r="G4182" s="71" t="s">
        <v>2272</v>
      </c>
      <c r="H4182" s="198" t="s">
        <v>521</v>
      </c>
      <c r="I4182" s="198"/>
      <c r="J4182" s="71" t="s">
        <v>2272</v>
      </c>
      <c r="K4182" s="71" t="s">
        <v>2272</v>
      </c>
      <c r="L4182" s="71" t="s">
        <v>2272</v>
      </c>
      <c r="M4182" s="71" t="s">
        <v>2272</v>
      </c>
      <c r="N4182" s="71" t="s">
        <v>2272</v>
      </c>
      <c r="O4182" s="71">
        <v>5603</v>
      </c>
      <c r="P4182" s="71" t="s">
        <v>2272</v>
      </c>
      <c r="Q4182" s="71" t="s">
        <v>2272</v>
      </c>
      <c r="R4182" s="71" t="s">
        <v>2272</v>
      </c>
      <c r="S4182" s="71" t="s">
        <v>2272</v>
      </c>
      <c r="T4182" s="71" t="s">
        <v>2272</v>
      </c>
      <c r="U4182" s="71" t="s">
        <v>2272</v>
      </c>
      <c r="V4182" s="71" t="s">
        <v>2272</v>
      </c>
      <c r="W4182" s="71" t="s">
        <v>2272</v>
      </c>
      <c r="X4182" s="71" t="s">
        <v>2272</v>
      </c>
      <c r="Y4182" s="71" t="s">
        <v>2272</v>
      </c>
      <c r="Z4182" s="71" t="s">
        <v>2272</v>
      </c>
      <c r="AA4182" s="71" t="s">
        <v>2272</v>
      </c>
      <c r="AB4182" s="71" t="s">
        <v>2272</v>
      </c>
      <c r="AC4182" s="71" t="s">
        <v>2272</v>
      </c>
      <c r="AD4182" s="4" t="s">
        <v>11543</v>
      </c>
      <c r="AE4182" s="198"/>
    </row>
    <row r="4183" spans="1:31" ht="59" customHeight="1">
      <c r="A4183" s="198" t="s">
        <v>10714</v>
      </c>
      <c r="B4183" s="198" t="s">
        <v>11098</v>
      </c>
      <c r="C4183" s="198" t="s">
        <v>1102</v>
      </c>
      <c r="D4183" s="71" t="s">
        <v>2272</v>
      </c>
      <c r="E4183" s="71" t="s">
        <v>2272</v>
      </c>
      <c r="F4183" s="71" t="s">
        <v>2272</v>
      </c>
      <c r="G4183" s="71" t="s">
        <v>2272</v>
      </c>
      <c r="H4183" s="198" t="s">
        <v>521</v>
      </c>
      <c r="I4183" s="198"/>
      <c r="J4183" s="71" t="s">
        <v>2272</v>
      </c>
      <c r="K4183" s="71" t="s">
        <v>2272</v>
      </c>
      <c r="L4183" s="71" t="s">
        <v>2272</v>
      </c>
      <c r="M4183" s="71" t="s">
        <v>2272</v>
      </c>
      <c r="N4183" s="71" t="s">
        <v>2272</v>
      </c>
      <c r="O4183" s="71">
        <v>2428</v>
      </c>
      <c r="P4183" s="71" t="s">
        <v>2272</v>
      </c>
      <c r="Q4183" s="71" t="s">
        <v>2272</v>
      </c>
      <c r="R4183" s="71" t="s">
        <v>2272</v>
      </c>
      <c r="S4183" s="71" t="s">
        <v>2272</v>
      </c>
      <c r="T4183" s="71" t="s">
        <v>2272</v>
      </c>
      <c r="U4183" s="71" t="s">
        <v>2272</v>
      </c>
      <c r="V4183" s="71" t="s">
        <v>2272</v>
      </c>
      <c r="W4183" s="71" t="s">
        <v>2272</v>
      </c>
      <c r="X4183" s="71" t="s">
        <v>2272</v>
      </c>
      <c r="Y4183" s="71" t="s">
        <v>2272</v>
      </c>
      <c r="Z4183" s="71" t="s">
        <v>2272</v>
      </c>
      <c r="AA4183" s="71" t="s">
        <v>2272</v>
      </c>
      <c r="AB4183" s="71" t="s">
        <v>2272</v>
      </c>
      <c r="AC4183" s="71" t="s">
        <v>2272</v>
      </c>
      <c r="AD4183" s="4" t="s">
        <v>11531</v>
      </c>
      <c r="AE4183" s="198"/>
    </row>
    <row r="4184" spans="1:31" ht="59" customHeight="1">
      <c r="A4184" s="198" t="s">
        <v>10715</v>
      </c>
      <c r="B4184" s="198" t="s">
        <v>11099</v>
      </c>
      <c r="C4184" s="198" t="s">
        <v>1102</v>
      </c>
      <c r="D4184" s="71" t="s">
        <v>2272</v>
      </c>
      <c r="E4184" s="71" t="s">
        <v>2272</v>
      </c>
      <c r="F4184" s="71" t="s">
        <v>2272</v>
      </c>
      <c r="G4184" s="71" t="s">
        <v>2272</v>
      </c>
      <c r="H4184" s="198" t="s">
        <v>521</v>
      </c>
      <c r="I4184" s="198"/>
      <c r="J4184" s="71" t="s">
        <v>2272</v>
      </c>
      <c r="K4184" s="71" t="s">
        <v>2272</v>
      </c>
      <c r="L4184" s="71" t="s">
        <v>2272</v>
      </c>
      <c r="M4184" s="71" t="s">
        <v>2272</v>
      </c>
      <c r="N4184" s="71" t="s">
        <v>2272</v>
      </c>
      <c r="O4184" s="71">
        <v>850</v>
      </c>
      <c r="P4184" s="71" t="s">
        <v>2272</v>
      </c>
      <c r="Q4184" s="71" t="s">
        <v>2272</v>
      </c>
      <c r="R4184" s="71" t="s">
        <v>2272</v>
      </c>
      <c r="S4184" s="71" t="s">
        <v>2272</v>
      </c>
      <c r="T4184" s="71" t="s">
        <v>2272</v>
      </c>
      <c r="U4184" s="71" t="s">
        <v>2272</v>
      </c>
      <c r="V4184" s="71" t="s">
        <v>2272</v>
      </c>
      <c r="W4184" s="71" t="s">
        <v>2272</v>
      </c>
      <c r="X4184" s="71" t="s">
        <v>2272</v>
      </c>
      <c r="Y4184" s="71" t="s">
        <v>2272</v>
      </c>
      <c r="Z4184" s="71" t="s">
        <v>2272</v>
      </c>
      <c r="AA4184" s="71" t="s">
        <v>2272</v>
      </c>
      <c r="AB4184" s="71" t="s">
        <v>2272</v>
      </c>
      <c r="AC4184" s="71" t="s">
        <v>2272</v>
      </c>
      <c r="AD4184" s="4" t="s">
        <v>11531</v>
      </c>
      <c r="AE4184" s="198"/>
    </row>
    <row r="4185" spans="1:31" ht="59" customHeight="1">
      <c r="A4185" s="198" t="s">
        <v>10716</v>
      </c>
      <c r="B4185" s="198" t="s">
        <v>11100</v>
      </c>
      <c r="C4185" s="198" t="s">
        <v>1102</v>
      </c>
      <c r="D4185" s="71" t="s">
        <v>2272</v>
      </c>
      <c r="E4185" s="71" t="s">
        <v>2272</v>
      </c>
      <c r="F4185" s="71" t="s">
        <v>2272</v>
      </c>
      <c r="G4185" s="71" t="s">
        <v>2272</v>
      </c>
      <c r="H4185" s="198" t="s">
        <v>521</v>
      </c>
      <c r="I4185" s="198"/>
      <c r="J4185" s="71" t="s">
        <v>2272</v>
      </c>
      <c r="K4185" s="71" t="s">
        <v>2272</v>
      </c>
      <c r="L4185" s="71" t="s">
        <v>2272</v>
      </c>
      <c r="M4185" s="71" t="s">
        <v>2272</v>
      </c>
      <c r="N4185" s="71" t="s">
        <v>2272</v>
      </c>
      <c r="O4185" s="71">
        <v>445</v>
      </c>
      <c r="P4185" s="71" t="s">
        <v>2272</v>
      </c>
      <c r="Q4185" s="71" t="s">
        <v>2272</v>
      </c>
      <c r="R4185" s="71" t="s">
        <v>2272</v>
      </c>
      <c r="S4185" s="71" t="s">
        <v>2272</v>
      </c>
      <c r="T4185" s="71" t="s">
        <v>2272</v>
      </c>
      <c r="U4185" s="71" t="s">
        <v>2272</v>
      </c>
      <c r="V4185" s="71" t="s">
        <v>2272</v>
      </c>
      <c r="W4185" s="71" t="s">
        <v>2272</v>
      </c>
      <c r="X4185" s="71" t="s">
        <v>2272</v>
      </c>
      <c r="Y4185" s="71" t="s">
        <v>2272</v>
      </c>
      <c r="Z4185" s="71" t="s">
        <v>2272</v>
      </c>
      <c r="AA4185" s="71" t="s">
        <v>2272</v>
      </c>
      <c r="AB4185" s="71" t="s">
        <v>2272</v>
      </c>
      <c r="AC4185" s="71" t="s">
        <v>2272</v>
      </c>
      <c r="AD4185" s="4" t="s">
        <v>11558</v>
      </c>
      <c r="AE4185" s="198"/>
    </row>
    <row r="4186" spans="1:31" ht="59" customHeight="1">
      <c r="A4186" s="198" t="s">
        <v>10717</v>
      </c>
      <c r="B4186" s="198" t="s">
        <v>11101</v>
      </c>
      <c r="C4186" s="198" t="s">
        <v>1102</v>
      </c>
      <c r="D4186" s="71" t="s">
        <v>2272</v>
      </c>
      <c r="E4186" s="71" t="s">
        <v>2272</v>
      </c>
      <c r="F4186" s="71" t="s">
        <v>2272</v>
      </c>
      <c r="G4186" s="71" t="s">
        <v>2272</v>
      </c>
      <c r="H4186" s="198" t="s">
        <v>521</v>
      </c>
      <c r="I4186" s="198"/>
      <c r="J4186" s="71" t="s">
        <v>2272</v>
      </c>
      <c r="K4186" s="71" t="s">
        <v>2272</v>
      </c>
      <c r="L4186" s="71" t="s">
        <v>2272</v>
      </c>
      <c r="M4186" s="71" t="s">
        <v>2272</v>
      </c>
      <c r="N4186" s="71" t="s">
        <v>2272</v>
      </c>
      <c r="O4186" s="71">
        <v>1619</v>
      </c>
      <c r="P4186" s="71" t="s">
        <v>2272</v>
      </c>
      <c r="Q4186" s="71" t="s">
        <v>2272</v>
      </c>
      <c r="R4186" s="71" t="s">
        <v>2272</v>
      </c>
      <c r="S4186" s="71" t="s">
        <v>2272</v>
      </c>
      <c r="T4186" s="71" t="s">
        <v>2272</v>
      </c>
      <c r="U4186" s="71" t="s">
        <v>2272</v>
      </c>
      <c r="V4186" s="71" t="s">
        <v>2272</v>
      </c>
      <c r="W4186" s="71" t="s">
        <v>2272</v>
      </c>
      <c r="X4186" s="71" t="s">
        <v>2272</v>
      </c>
      <c r="Y4186" s="71" t="s">
        <v>2272</v>
      </c>
      <c r="Z4186" s="71" t="s">
        <v>2272</v>
      </c>
      <c r="AA4186" s="71" t="s">
        <v>2272</v>
      </c>
      <c r="AB4186" s="71" t="s">
        <v>2272</v>
      </c>
      <c r="AC4186" s="71" t="s">
        <v>2272</v>
      </c>
      <c r="AD4186" s="4" t="s">
        <v>11536</v>
      </c>
      <c r="AE4186" s="198"/>
    </row>
    <row r="4187" spans="1:31" ht="59" customHeight="1">
      <c r="A4187" s="198" t="s">
        <v>10718</v>
      </c>
      <c r="B4187" s="198" t="s">
        <v>11102</v>
      </c>
      <c r="C4187" s="198" t="s">
        <v>1102</v>
      </c>
      <c r="D4187" s="71" t="s">
        <v>2272</v>
      </c>
      <c r="E4187" s="71" t="s">
        <v>2272</v>
      </c>
      <c r="F4187" s="71" t="s">
        <v>2272</v>
      </c>
      <c r="G4187" s="71" t="s">
        <v>2272</v>
      </c>
      <c r="H4187" s="198" t="s">
        <v>521</v>
      </c>
      <c r="I4187" s="198"/>
      <c r="J4187" s="71" t="s">
        <v>2272</v>
      </c>
      <c r="K4187" s="71" t="s">
        <v>2272</v>
      </c>
      <c r="L4187" s="71" t="s">
        <v>2272</v>
      </c>
      <c r="M4187" s="71" t="s">
        <v>2272</v>
      </c>
      <c r="N4187" s="71" t="s">
        <v>2272</v>
      </c>
      <c r="O4187" s="71">
        <v>3445</v>
      </c>
      <c r="P4187" s="71" t="s">
        <v>2272</v>
      </c>
      <c r="Q4187" s="71" t="s">
        <v>2272</v>
      </c>
      <c r="R4187" s="71" t="s">
        <v>2272</v>
      </c>
      <c r="S4187" s="71" t="s">
        <v>2272</v>
      </c>
      <c r="T4187" s="71" t="s">
        <v>2272</v>
      </c>
      <c r="U4187" s="71" t="s">
        <v>2272</v>
      </c>
      <c r="V4187" s="71" t="s">
        <v>2272</v>
      </c>
      <c r="W4187" s="71" t="s">
        <v>2272</v>
      </c>
      <c r="X4187" s="71" t="s">
        <v>2272</v>
      </c>
      <c r="Y4187" s="71" t="s">
        <v>2272</v>
      </c>
      <c r="Z4187" s="71" t="s">
        <v>2272</v>
      </c>
      <c r="AA4187" s="71" t="s">
        <v>2272</v>
      </c>
      <c r="AB4187" s="71" t="s">
        <v>2272</v>
      </c>
      <c r="AC4187" s="71" t="s">
        <v>2272</v>
      </c>
      <c r="AD4187" s="4" t="s">
        <v>11544</v>
      </c>
      <c r="AE4187" s="198"/>
    </row>
    <row r="4188" spans="1:31" ht="59" customHeight="1">
      <c r="A4188" s="198" t="s">
        <v>10719</v>
      </c>
      <c r="B4188" s="198" t="s">
        <v>11103</v>
      </c>
      <c r="C4188" s="198" t="s">
        <v>1102</v>
      </c>
      <c r="D4188" s="71" t="s">
        <v>2272</v>
      </c>
      <c r="E4188" s="71" t="s">
        <v>2272</v>
      </c>
      <c r="F4188" s="71" t="s">
        <v>2272</v>
      </c>
      <c r="G4188" s="71" t="s">
        <v>2272</v>
      </c>
      <c r="H4188" s="198" t="s">
        <v>521</v>
      </c>
      <c r="I4188" s="198"/>
      <c r="J4188" s="71" t="s">
        <v>2272</v>
      </c>
      <c r="K4188" s="71" t="s">
        <v>2272</v>
      </c>
      <c r="L4188" s="71" t="s">
        <v>2272</v>
      </c>
      <c r="M4188" s="71" t="s">
        <v>2272</v>
      </c>
      <c r="N4188" s="71" t="s">
        <v>2272</v>
      </c>
      <c r="O4188" s="71">
        <v>1027</v>
      </c>
      <c r="P4188" s="71" t="s">
        <v>2272</v>
      </c>
      <c r="Q4188" s="71" t="s">
        <v>2272</v>
      </c>
      <c r="R4188" s="71" t="s">
        <v>2272</v>
      </c>
      <c r="S4188" s="71" t="s">
        <v>2272</v>
      </c>
      <c r="T4188" s="71" t="s">
        <v>2272</v>
      </c>
      <c r="U4188" s="71" t="s">
        <v>2272</v>
      </c>
      <c r="V4188" s="71" t="s">
        <v>2272</v>
      </c>
      <c r="W4188" s="71" t="s">
        <v>2272</v>
      </c>
      <c r="X4188" s="71" t="s">
        <v>2272</v>
      </c>
      <c r="Y4188" s="71" t="s">
        <v>2272</v>
      </c>
      <c r="Z4188" s="71" t="s">
        <v>2272</v>
      </c>
      <c r="AA4188" s="71" t="s">
        <v>2272</v>
      </c>
      <c r="AB4188" s="71" t="s">
        <v>2272</v>
      </c>
      <c r="AC4188" s="71" t="s">
        <v>2272</v>
      </c>
      <c r="AD4188" s="4" t="s">
        <v>11531</v>
      </c>
      <c r="AE4188" s="198"/>
    </row>
    <row r="4189" spans="1:31" ht="59" customHeight="1">
      <c r="A4189" s="198" t="s">
        <v>10720</v>
      </c>
      <c r="B4189" s="198" t="s">
        <v>11104</v>
      </c>
      <c r="C4189" s="198" t="s">
        <v>1102</v>
      </c>
      <c r="D4189" s="71" t="s">
        <v>2272</v>
      </c>
      <c r="E4189" s="71" t="s">
        <v>2272</v>
      </c>
      <c r="F4189" s="71" t="s">
        <v>2272</v>
      </c>
      <c r="G4189" s="71" t="s">
        <v>2272</v>
      </c>
      <c r="H4189" s="198" t="s">
        <v>521</v>
      </c>
      <c r="I4189" s="198"/>
      <c r="J4189" s="71" t="s">
        <v>2272</v>
      </c>
      <c r="K4189" s="71" t="s">
        <v>2272</v>
      </c>
      <c r="L4189" s="71" t="s">
        <v>2272</v>
      </c>
      <c r="M4189" s="71" t="s">
        <v>2272</v>
      </c>
      <c r="N4189" s="71" t="s">
        <v>2272</v>
      </c>
      <c r="O4189" s="71">
        <v>2314</v>
      </c>
      <c r="P4189" s="71" t="s">
        <v>2272</v>
      </c>
      <c r="Q4189" s="71" t="s">
        <v>2272</v>
      </c>
      <c r="R4189" s="71" t="s">
        <v>2272</v>
      </c>
      <c r="S4189" s="71" t="s">
        <v>2272</v>
      </c>
      <c r="T4189" s="71" t="s">
        <v>2272</v>
      </c>
      <c r="U4189" s="71" t="s">
        <v>2272</v>
      </c>
      <c r="V4189" s="71" t="s">
        <v>2272</v>
      </c>
      <c r="W4189" s="71" t="s">
        <v>2272</v>
      </c>
      <c r="X4189" s="71" t="s">
        <v>2272</v>
      </c>
      <c r="Y4189" s="71" t="s">
        <v>2272</v>
      </c>
      <c r="Z4189" s="71" t="s">
        <v>2272</v>
      </c>
      <c r="AA4189" s="71" t="s">
        <v>2272</v>
      </c>
      <c r="AB4189" s="71" t="s">
        <v>2272</v>
      </c>
      <c r="AC4189" s="71" t="s">
        <v>2272</v>
      </c>
      <c r="AD4189" s="4" t="s">
        <v>11559</v>
      </c>
      <c r="AE4189" s="198"/>
    </row>
    <row r="4190" spans="1:31" ht="59" customHeight="1">
      <c r="A4190" s="198" t="s">
        <v>10721</v>
      </c>
      <c r="B4190" s="198" t="s">
        <v>11105</v>
      </c>
      <c r="C4190" s="198" t="s">
        <v>1102</v>
      </c>
      <c r="D4190" s="71" t="s">
        <v>2272</v>
      </c>
      <c r="E4190" s="71" t="s">
        <v>2272</v>
      </c>
      <c r="F4190" s="71" t="s">
        <v>2272</v>
      </c>
      <c r="G4190" s="71" t="s">
        <v>2272</v>
      </c>
      <c r="H4190" s="198" t="s">
        <v>521</v>
      </c>
      <c r="I4190" s="198"/>
      <c r="J4190" s="71" t="s">
        <v>2272</v>
      </c>
      <c r="K4190" s="71" t="s">
        <v>2272</v>
      </c>
      <c r="L4190" s="71" t="s">
        <v>2272</v>
      </c>
      <c r="M4190" s="71" t="s">
        <v>2272</v>
      </c>
      <c r="N4190" s="71" t="s">
        <v>2272</v>
      </c>
      <c r="O4190" s="71">
        <v>112</v>
      </c>
      <c r="P4190" s="71" t="s">
        <v>2272</v>
      </c>
      <c r="Q4190" s="71" t="s">
        <v>2272</v>
      </c>
      <c r="R4190" s="71" t="s">
        <v>2272</v>
      </c>
      <c r="S4190" s="71" t="s">
        <v>2272</v>
      </c>
      <c r="T4190" s="71" t="s">
        <v>2272</v>
      </c>
      <c r="U4190" s="71" t="s">
        <v>2272</v>
      </c>
      <c r="V4190" s="71" t="s">
        <v>2272</v>
      </c>
      <c r="W4190" s="71" t="s">
        <v>2272</v>
      </c>
      <c r="X4190" s="71" t="s">
        <v>2272</v>
      </c>
      <c r="Y4190" s="71" t="s">
        <v>2272</v>
      </c>
      <c r="Z4190" s="71" t="s">
        <v>2272</v>
      </c>
      <c r="AA4190" s="71" t="s">
        <v>2272</v>
      </c>
      <c r="AB4190" s="71" t="s">
        <v>2272</v>
      </c>
      <c r="AC4190" s="71" t="s">
        <v>2272</v>
      </c>
      <c r="AD4190" s="4" t="s">
        <v>11545</v>
      </c>
      <c r="AE4190" s="198"/>
    </row>
    <row r="4191" spans="1:31" ht="59" customHeight="1">
      <c r="A4191" s="198" t="s">
        <v>10722</v>
      </c>
      <c r="B4191" s="198" t="s">
        <v>11106</v>
      </c>
      <c r="C4191" s="198" t="s">
        <v>1102</v>
      </c>
      <c r="D4191" s="71" t="s">
        <v>2272</v>
      </c>
      <c r="E4191" s="71" t="s">
        <v>2272</v>
      </c>
      <c r="F4191" s="71" t="s">
        <v>2272</v>
      </c>
      <c r="G4191" s="71" t="s">
        <v>2272</v>
      </c>
      <c r="H4191" s="198" t="s">
        <v>521</v>
      </c>
      <c r="I4191" s="198"/>
      <c r="J4191" s="71" t="s">
        <v>2272</v>
      </c>
      <c r="K4191" s="71" t="s">
        <v>2272</v>
      </c>
      <c r="L4191" s="71" t="s">
        <v>2272</v>
      </c>
      <c r="M4191" s="71" t="s">
        <v>2272</v>
      </c>
      <c r="N4191" s="71" t="s">
        <v>2272</v>
      </c>
      <c r="O4191" s="71">
        <v>136</v>
      </c>
      <c r="P4191" s="71" t="s">
        <v>2272</v>
      </c>
      <c r="Q4191" s="71" t="s">
        <v>2272</v>
      </c>
      <c r="R4191" s="71" t="s">
        <v>2272</v>
      </c>
      <c r="S4191" s="71" t="s">
        <v>2272</v>
      </c>
      <c r="T4191" s="71" t="s">
        <v>2272</v>
      </c>
      <c r="U4191" s="71" t="s">
        <v>2272</v>
      </c>
      <c r="V4191" s="71" t="s">
        <v>2272</v>
      </c>
      <c r="W4191" s="71" t="s">
        <v>2272</v>
      </c>
      <c r="X4191" s="71" t="s">
        <v>2272</v>
      </c>
      <c r="Y4191" s="71" t="s">
        <v>2272</v>
      </c>
      <c r="Z4191" s="71" t="s">
        <v>2272</v>
      </c>
      <c r="AA4191" s="71" t="s">
        <v>2272</v>
      </c>
      <c r="AB4191" s="71" t="s">
        <v>2272</v>
      </c>
      <c r="AC4191" s="71" t="s">
        <v>2272</v>
      </c>
      <c r="AD4191" s="4" t="s">
        <v>11560</v>
      </c>
      <c r="AE4191" s="198"/>
    </row>
    <row r="4192" spans="1:31" ht="59" customHeight="1">
      <c r="A4192" s="198" t="s">
        <v>10723</v>
      </c>
      <c r="B4192" s="198" t="s">
        <v>11107</v>
      </c>
      <c r="C4192" s="198" t="s">
        <v>1102</v>
      </c>
      <c r="D4192" s="71" t="s">
        <v>2272</v>
      </c>
      <c r="E4192" s="71" t="s">
        <v>2272</v>
      </c>
      <c r="F4192" s="71" t="s">
        <v>2272</v>
      </c>
      <c r="G4192" s="71" t="s">
        <v>2272</v>
      </c>
      <c r="H4192" s="198" t="s">
        <v>521</v>
      </c>
      <c r="I4192" s="198"/>
      <c r="J4192" s="71" t="s">
        <v>2272</v>
      </c>
      <c r="K4192" s="71" t="s">
        <v>2272</v>
      </c>
      <c r="L4192" s="71" t="s">
        <v>2272</v>
      </c>
      <c r="M4192" s="71" t="s">
        <v>2272</v>
      </c>
      <c r="N4192" s="71" t="s">
        <v>2272</v>
      </c>
      <c r="O4192" s="71">
        <v>7780</v>
      </c>
      <c r="P4192" s="71" t="s">
        <v>2272</v>
      </c>
      <c r="Q4192" s="71" t="s">
        <v>2272</v>
      </c>
      <c r="R4192" s="71" t="s">
        <v>2272</v>
      </c>
      <c r="S4192" s="71" t="s">
        <v>2272</v>
      </c>
      <c r="T4192" s="71" t="s">
        <v>2272</v>
      </c>
      <c r="U4192" s="71" t="s">
        <v>2272</v>
      </c>
      <c r="V4192" s="71" t="s">
        <v>2272</v>
      </c>
      <c r="W4192" s="71" t="s">
        <v>2272</v>
      </c>
      <c r="X4192" s="71" t="s">
        <v>2272</v>
      </c>
      <c r="Y4192" s="71" t="s">
        <v>2272</v>
      </c>
      <c r="Z4192" s="71" t="s">
        <v>2272</v>
      </c>
      <c r="AA4192" s="71" t="s">
        <v>2272</v>
      </c>
      <c r="AB4192" s="71" t="s">
        <v>2272</v>
      </c>
      <c r="AC4192" s="71" t="s">
        <v>2272</v>
      </c>
      <c r="AD4192" s="4" t="s">
        <v>11561</v>
      </c>
      <c r="AE4192" s="198"/>
    </row>
    <row r="4193" spans="1:31" ht="59" customHeight="1">
      <c r="A4193" s="198" t="s">
        <v>10724</v>
      </c>
      <c r="B4193" s="198" t="s">
        <v>11108</v>
      </c>
      <c r="C4193" s="198" t="s">
        <v>1102</v>
      </c>
      <c r="D4193" s="71" t="s">
        <v>2272</v>
      </c>
      <c r="E4193" s="71" t="s">
        <v>2272</v>
      </c>
      <c r="F4193" s="71" t="s">
        <v>2272</v>
      </c>
      <c r="G4193" s="71" t="s">
        <v>2272</v>
      </c>
      <c r="H4193" s="198" t="s">
        <v>521</v>
      </c>
      <c r="I4193" s="198"/>
      <c r="J4193" s="71" t="s">
        <v>2272</v>
      </c>
      <c r="K4193" s="71" t="s">
        <v>2272</v>
      </c>
      <c r="L4193" s="71" t="s">
        <v>2272</v>
      </c>
      <c r="M4193" s="71" t="s">
        <v>2272</v>
      </c>
      <c r="N4193" s="71" t="s">
        <v>2272</v>
      </c>
      <c r="O4193" s="71">
        <v>3035</v>
      </c>
      <c r="P4193" s="71" t="s">
        <v>2272</v>
      </c>
      <c r="Q4193" s="71" t="s">
        <v>2272</v>
      </c>
      <c r="R4193" s="71" t="s">
        <v>2272</v>
      </c>
      <c r="S4193" s="71" t="s">
        <v>2272</v>
      </c>
      <c r="T4193" s="71" t="s">
        <v>2272</v>
      </c>
      <c r="U4193" s="71" t="s">
        <v>2272</v>
      </c>
      <c r="V4193" s="71" t="s">
        <v>2272</v>
      </c>
      <c r="W4193" s="71" t="s">
        <v>2272</v>
      </c>
      <c r="X4193" s="71" t="s">
        <v>2272</v>
      </c>
      <c r="Y4193" s="71" t="s">
        <v>2272</v>
      </c>
      <c r="Z4193" s="71" t="s">
        <v>2272</v>
      </c>
      <c r="AA4193" s="71" t="s">
        <v>2272</v>
      </c>
      <c r="AB4193" s="71" t="s">
        <v>2272</v>
      </c>
      <c r="AC4193" s="71" t="s">
        <v>2272</v>
      </c>
      <c r="AD4193" s="4" t="s">
        <v>11543</v>
      </c>
      <c r="AE4193" s="198"/>
    </row>
    <row r="4194" spans="1:31" ht="59" customHeight="1">
      <c r="A4194" s="198" t="s">
        <v>10725</v>
      </c>
      <c r="B4194" s="198" t="s">
        <v>11109</v>
      </c>
      <c r="C4194" s="198" t="s">
        <v>1102</v>
      </c>
      <c r="D4194" s="71" t="s">
        <v>2272</v>
      </c>
      <c r="E4194" s="71" t="s">
        <v>2272</v>
      </c>
      <c r="F4194" s="71" t="s">
        <v>2272</v>
      </c>
      <c r="G4194" s="71" t="s">
        <v>2272</v>
      </c>
      <c r="H4194" s="198" t="s">
        <v>521</v>
      </c>
      <c r="I4194" s="198"/>
      <c r="J4194" s="71" t="s">
        <v>2272</v>
      </c>
      <c r="K4194" s="71" t="s">
        <v>2272</v>
      </c>
      <c r="L4194" s="71" t="s">
        <v>2272</v>
      </c>
      <c r="M4194" s="71" t="s">
        <v>2272</v>
      </c>
      <c r="N4194" s="71" t="s">
        <v>2272</v>
      </c>
      <c r="O4194" s="71">
        <v>567</v>
      </c>
      <c r="P4194" s="71" t="s">
        <v>2272</v>
      </c>
      <c r="Q4194" s="71" t="s">
        <v>2272</v>
      </c>
      <c r="R4194" s="71" t="s">
        <v>2272</v>
      </c>
      <c r="S4194" s="71" t="s">
        <v>2272</v>
      </c>
      <c r="T4194" s="71" t="s">
        <v>2272</v>
      </c>
      <c r="U4194" s="71" t="s">
        <v>2272</v>
      </c>
      <c r="V4194" s="71" t="s">
        <v>2272</v>
      </c>
      <c r="W4194" s="71" t="s">
        <v>2272</v>
      </c>
      <c r="X4194" s="71" t="s">
        <v>2272</v>
      </c>
      <c r="Y4194" s="71" t="s">
        <v>2272</v>
      </c>
      <c r="Z4194" s="71" t="s">
        <v>2272</v>
      </c>
      <c r="AA4194" s="71" t="s">
        <v>2272</v>
      </c>
      <c r="AB4194" s="71" t="s">
        <v>2272</v>
      </c>
      <c r="AC4194" s="71" t="s">
        <v>2272</v>
      </c>
      <c r="AD4194" s="4" t="s">
        <v>11562</v>
      </c>
      <c r="AE4194" s="198"/>
    </row>
    <row r="4195" spans="1:31" ht="59" customHeight="1">
      <c r="A4195" s="198" t="s">
        <v>10726</v>
      </c>
      <c r="B4195" s="198" t="s">
        <v>11110</v>
      </c>
      <c r="C4195" s="198" t="s">
        <v>1102</v>
      </c>
      <c r="D4195" s="71" t="s">
        <v>2272</v>
      </c>
      <c r="E4195" s="71" t="s">
        <v>2272</v>
      </c>
      <c r="F4195" s="71" t="s">
        <v>2272</v>
      </c>
      <c r="G4195" s="71" t="s">
        <v>2272</v>
      </c>
      <c r="H4195" s="198" t="s">
        <v>521</v>
      </c>
      <c r="I4195" s="198"/>
      <c r="J4195" s="71" t="s">
        <v>2272</v>
      </c>
      <c r="K4195" s="71" t="s">
        <v>2272</v>
      </c>
      <c r="L4195" s="71" t="s">
        <v>2272</v>
      </c>
      <c r="M4195" s="71" t="s">
        <v>2272</v>
      </c>
      <c r="N4195" s="71" t="s">
        <v>2272</v>
      </c>
      <c r="O4195" s="71">
        <v>1823</v>
      </c>
      <c r="P4195" s="71" t="s">
        <v>2272</v>
      </c>
      <c r="Q4195" s="71" t="s">
        <v>2272</v>
      </c>
      <c r="R4195" s="71" t="s">
        <v>2272</v>
      </c>
      <c r="S4195" s="71" t="s">
        <v>2272</v>
      </c>
      <c r="T4195" s="71" t="s">
        <v>2272</v>
      </c>
      <c r="U4195" s="71" t="s">
        <v>2272</v>
      </c>
      <c r="V4195" s="71" t="s">
        <v>2272</v>
      </c>
      <c r="W4195" s="71" t="s">
        <v>2272</v>
      </c>
      <c r="X4195" s="71" t="s">
        <v>2272</v>
      </c>
      <c r="Y4195" s="71" t="s">
        <v>2272</v>
      </c>
      <c r="Z4195" s="71" t="s">
        <v>2272</v>
      </c>
      <c r="AA4195" s="71" t="s">
        <v>2272</v>
      </c>
      <c r="AB4195" s="71" t="s">
        <v>2272</v>
      </c>
      <c r="AC4195" s="71" t="s">
        <v>2272</v>
      </c>
      <c r="AD4195" s="4" t="s">
        <v>11563</v>
      </c>
      <c r="AE4195" s="198"/>
    </row>
    <row r="4196" spans="1:31" ht="59" customHeight="1">
      <c r="A4196" s="198" t="s">
        <v>10727</v>
      </c>
      <c r="B4196" s="198" t="s">
        <v>11111</v>
      </c>
      <c r="C4196" s="198" t="s">
        <v>1102</v>
      </c>
      <c r="D4196" s="71" t="s">
        <v>2272</v>
      </c>
      <c r="E4196" s="71" t="s">
        <v>2272</v>
      </c>
      <c r="F4196" s="71" t="s">
        <v>2272</v>
      </c>
      <c r="G4196" s="71" t="s">
        <v>2272</v>
      </c>
      <c r="H4196" s="198" t="s">
        <v>521</v>
      </c>
      <c r="I4196" s="198"/>
      <c r="J4196" s="71" t="s">
        <v>2272</v>
      </c>
      <c r="K4196" s="71" t="s">
        <v>2272</v>
      </c>
      <c r="L4196" s="71" t="s">
        <v>2272</v>
      </c>
      <c r="M4196" s="71" t="s">
        <v>2272</v>
      </c>
      <c r="N4196" s="71" t="s">
        <v>2272</v>
      </c>
      <c r="O4196" s="71">
        <v>312</v>
      </c>
      <c r="P4196" s="71" t="s">
        <v>2272</v>
      </c>
      <c r="Q4196" s="71" t="s">
        <v>2272</v>
      </c>
      <c r="R4196" s="71" t="s">
        <v>2272</v>
      </c>
      <c r="S4196" s="71" t="s">
        <v>2272</v>
      </c>
      <c r="T4196" s="71" t="s">
        <v>2272</v>
      </c>
      <c r="U4196" s="71" t="s">
        <v>2272</v>
      </c>
      <c r="V4196" s="71" t="s">
        <v>2272</v>
      </c>
      <c r="W4196" s="71" t="s">
        <v>2272</v>
      </c>
      <c r="X4196" s="71" t="s">
        <v>2272</v>
      </c>
      <c r="Y4196" s="71" t="s">
        <v>2272</v>
      </c>
      <c r="Z4196" s="71" t="s">
        <v>2272</v>
      </c>
      <c r="AA4196" s="71" t="s">
        <v>2272</v>
      </c>
      <c r="AB4196" s="71" t="s">
        <v>2272</v>
      </c>
      <c r="AC4196" s="71" t="s">
        <v>2272</v>
      </c>
      <c r="AD4196" s="4" t="s">
        <v>11537</v>
      </c>
      <c r="AE4196" s="198"/>
    </row>
    <row r="4197" spans="1:31" ht="59" customHeight="1">
      <c r="A4197" s="198" t="s">
        <v>10728</v>
      </c>
      <c r="B4197" s="198" t="s">
        <v>11112</v>
      </c>
      <c r="C4197" s="198" t="s">
        <v>1102</v>
      </c>
      <c r="D4197" s="71" t="s">
        <v>2272</v>
      </c>
      <c r="E4197" s="71" t="s">
        <v>2272</v>
      </c>
      <c r="F4197" s="71" t="s">
        <v>2272</v>
      </c>
      <c r="G4197" s="71" t="s">
        <v>2272</v>
      </c>
      <c r="H4197" s="198" t="s">
        <v>521</v>
      </c>
      <c r="I4197" s="198"/>
      <c r="J4197" s="71" t="s">
        <v>2272</v>
      </c>
      <c r="K4197" s="71" t="s">
        <v>2272</v>
      </c>
      <c r="L4197" s="71" t="s">
        <v>2272</v>
      </c>
      <c r="M4197" s="71" t="s">
        <v>2272</v>
      </c>
      <c r="N4197" s="71" t="s">
        <v>2272</v>
      </c>
      <c r="O4197" s="71">
        <v>442</v>
      </c>
      <c r="P4197" s="71" t="s">
        <v>2272</v>
      </c>
      <c r="Q4197" s="71" t="s">
        <v>2272</v>
      </c>
      <c r="R4197" s="71" t="s">
        <v>2272</v>
      </c>
      <c r="S4197" s="71" t="s">
        <v>2272</v>
      </c>
      <c r="T4197" s="71" t="s">
        <v>2272</v>
      </c>
      <c r="U4197" s="71" t="s">
        <v>2272</v>
      </c>
      <c r="V4197" s="71" t="s">
        <v>2272</v>
      </c>
      <c r="W4197" s="71" t="s">
        <v>2272</v>
      </c>
      <c r="X4197" s="71" t="s">
        <v>2272</v>
      </c>
      <c r="Y4197" s="71" t="s">
        <v>2272</v>
      </c>
      <c r="Z4197" s="71" t="s">
        <v>2272</v>
      </c>
      <c r="AA4197" s="71" t="s">
        <v>2272</v>
      </c>
      <c r="AB4197" s="71" t="s">
        <v>2272</v>
      </c>
      <c r="AC4197" s="71" t="s">
        <v>2272</v>
      </c>
      <c r="AD4197" s="4" t="s">
        <v>11564</v>
      </c>
      <c r="AE4197" s="198"/>
    </row>
    <row r="4198" spans="1:31" ht="59" customHeight="1">
      <c r="A4198" s="198" t="s">
        <v>10729</v>
      </c>
      <c r="B4198" s="198" t="s">
        <v>11113</v>
      </c>
      <c r="C4198" s="198" t="s">
        <v>1102</v>
      </c>
      <c r="D4198" s="71" t="s">
        <v>2272</v>
      </c>
      <c r="E4198" s="71" t="s">
        <v>2272</v>
      </c>
      <c r="F4198" s="71" t="s">
        <v>2272</v>
      </c>
      <c r="G4198" s="71" t="s">
        <v>2272</v>
      </c>
      <c r="H4198" s="198" t="s">
        <v>521</v>
      </c>
      <c r="I4198" s="198"/>
      <c r="J4198" s="71" t="s">
        <v>2272</v>
      </c>
      <c r="K4198" s="71" t="s">
        <v>2272</v>
      </c>
      <c r="L4198" s="71" t="s">
        <v>2272</v>
      </c>
      <c r="M4198" s="71" t="s">
        <v>2272</v>
      </c>
      <c r="N4198" s="71" t="s">
        <v>2272</v>
      </c>
      <c r="O4198" s="71">
        <v>405</v>
      </c>
      <c r="P4198" s="71" t="s">
        <v>2272</v>
      </c>
      <c r="Q4198" s="71" t="s">
        <v>2272</v>
      </c>
      <c r="R4198" s="71" t="s">
        <v>2272</v>
      </c>
      <c r="S4198" s="71" t="s">
        <v>2272</v>
      </c>
      <c r="T4198" s="71" t="s">
        <v>2272</v>
      </c>
      <c r="U4198" s="71" t="s">
        <v>2272</v>
      </c>
      <c r="V4198" s="71" t="s">
        <v>2272</v>
      </c>
      <c r="W4198" s="71" t="s">
        <v>2272</v>
      </c>
      <c r="X4198" s="71" t="s">
        <v>2272</v>
      </c>
      <c r="Y4198" s="71" t="s">
        <v>2272</v>
      </c>
      <c r="Z4198" s="71" t="s">
        <v>2272</v>
      </c>
      <c r="AA4198" s="71" t="s">
        <v>2272</v>
      </c>
      <c r="AB4198" s="71" t="s">
        <v>2272</v>
      </c>
      <c r="AC4198" s="71" t="s">
        <v>2272</v>
      </c>
      <c r="AD4198" s="4" t="s">
        <v>11543</v>
      </c>
      <c r="AE4198" s="198"/>
    </row>
    <row r="4199" spans="1:31" ht="59" customHeight="1">
      <c r="A4199" s="198" t="s">
        <v>10730</v>
      </c>
      <c r="B4199" s="198" t="s">
        <v>11114</v>
      </c>
      <c r="C4199" s="198" t="s">
        <v>1102</v>
      </c>
      <c r="D4199" s="71" t="s">
        <v>2272</v>
      </c>
      <c r="E4199" s="71" t="s">
        <v>2272</v>
      </c>
      <c r="F4199" s="71" t="s">
        <v>2272</v>
      </c>
      <c r="G4199" s="71" t="s">
        <v>2272</v>
      </c>
      <c r="H4199" s="198" t="s">
        <v>521</v>
      </c>
      <c r="I4199" s="198"/>
      <c r="J4199" s="71" t="s">
        <v>2272</v>
      </c>
      <c r="K4199" s="71" t="s">
        <v>2272</v>
      </c>
      <c r="L4199" s="71" t="s">
        <v>2272</v>
      </c>
      <c r="M4199" s="71" t="s">
        <v>2272</v>
      </c>
      <c r="N4199" s="71" t="s">
        <v>2272</v>
      </c>
      <c r="O4199" s="71">
        <v>240</v>
      </c>
      <c r="P4199" s="71" t="s">
        <v>2272</v>
      </c>
      <c r="Q4199" s="71" t="s">
        <v>2272</v>
      </c>
      <c r="R4199" s="71" t="s">
        <v>2272</v>
      </c>
      <c r="S4199" s="71" t="s">
        <v>2272</v>
      </c>
      <c r="T4199" s="71" t="s">
        <v>2272</v>
      </c>
      <c r="U4199" s="71" t="s">
        <v>2272</v>
      </c>
      <c r="V4199" s="71" t="s">
        <v>2272</v>
      </c>
      <c r="W4199" s="71" t="s">
        <v>2272</v>
      </c>
      <c r="X4199" s="71" t="s">
        <v>2272</v>
      </c>
      <c r="Y4199" s="71" t="s">
        <v>2272</v>
      </c>
      <c r="Z4199" s="71" t="s">
        <v>2272</v>
      </c>
      <c r="AA4199" s="71" t="s">
        <v>2272</v>
      </c>
      <c r="AB4199" s="71" t="s">
        <v>2272</v>
      </c>
      <c r="AC4199" s="71" t="s">
        <v>2272</v>
      </c>
      <c r="AD4199" s="4" t="s">
        <v>11543</v>
      </c>
      <c r="AE4199" s="198"/>
    </row>
    <row r="4200" spans="1:31" ht="59" customHeight="1">
      <c r="A4200" s="198" t="s">
        <v>10731</v>
      </c>
      <c r="B4200" s="198" t="s">
        <v>11115</v>
      </c>
      <c r="C4200" s="198" t="s">
        <v>1102</v>
      </c>
      <c r="D4200" s="71" t="s">
        <v>2272</v>
      </c>
      <c r="E4200" s="71" t="s">
        <v>2272</v>
      </c>
      <c r="F4200" s="71" t="s">
        <v>2272</v>
      </c>
      <c r="G4200" s="71" t="s">
        <v>2272</v>
      </c>
      <c r="H4200" s="198" t="s">
        <v>521</v>
      </c>
      <c r="I4200" s="198"/>
      <c r="J4200" s="71" t="s">
        <v>2272</v>
      </c>
      <c r="K4200" s="71" t="s">
        <v>2272</v>
      </c>
      <c r="L4200" s="71" t="s">
        <v>2272</v>
      </c>
      <c r="M4200" s="71" t="s">
        <v>2272</v>
      </c>
      <c r="N4200" s="71" t="s">
        <v>2272</v>
      </c>
      <c r="O4200" s="71">
        <v>69</v>
      </c>
      <c r="P4200" s="71" t="s">
        <v>2272</v>
      </c>
      <c r="Q4200" s="71" t="s">
        <v>2272</v>
      </c>
      <c r="R4200" s="71" t="s">
        <v>2272</v>
      </c>
      <c r="S4200" s="71" t="s">
        <v>2272</v>
      </c>
      <c r="T4200" s="71" t="s">
        <v>2272</v>
      </c>
      <c r="U4200" s="71" t="s">
        <v>2272</v>
      </c>
      <c r="V4200" s="71" t="s">
        <v>2272</v>
      </c>
      <c r="W4200" s="71" t="s">
        <v>2272</v>
      </c>
      <c r="X4200" s="71" t="s">
        <v>2272</v>
      </c>
      <c r="Y4200" s="71" t="s">
        <v>2272</v>
      </c>
      <c r="Z4200" s="71" t="s">
        <v>2272</v>
      </c>
      <c r="AA4200" s="71" t="s">
        <v>2272</v>
      </c>
      <c r="AB4200" s="71" t="s">
        <v>2272</v>
      </c>
      <c r="AC4200" s="71" t="s">
        <v>2272</v>
      </c>
      <c r="AD4200" s="4" t="s">
        <v>11565</v>
      </c>
      <c r="AE4200" s="198"/>
    </row>
    <row r="4201" spans="1:31" ht="59" customHeight="1">
      <c r="A4201" s="198" t="s">
        <v>10732</v>
      </c>
      <c r="B4201" s="198" t="s">
        <v>11116</v>
      </c>
      <c r="C4201" s="198" t="s">
        <v>1102</v>
      </c>
      <c r="D4201" s="71" t="s">
        <v>2272</v>
      </c>
      <c r="E4201" s="71" t="s">
        <v>2272</v>
      </c>
      <c r="F4201" s="71" t="s">
        <v>2272</v>
      </c>
      <c r="G4201" s="71" t="s">
        <v>2272</v>
      </c>
      <c r="H4201" s="198" t="s">
        <v>521</v>
      </c>
      <c r="I4201" s="198"/>
      <c r="J4201" s="71" t="s">
        <v>2272</v>
      </c>
      <c r="K4201" s="71" t="s">
        <v>2272</v>
      </c>
      <c r="L4201" s="71" t="s">
        <v>2272</v>
      </c>
      <c r="M4201" s="71" t="s">
        <v>2272</v>
      </c>
      <c r="N4201" s="71" t="s">
        <v>2272</v>
      </c>
      <c r="O4201" s="71">
        <v>61</v>
      </c>
      <c r="P4201" s="71" t="s">
        <v>2272</v>
      </c>
      <c r="Q4201" s="71" t="s">
        <v>2272</v>
      </c>
      <c r="R4201" s="71" t="s">
        <v>2272</v>
      </c>
      <c r="S4201" s="71" t="s">
        <v>2272</v>
      </c>
      <c r="T4201" s="71" t="s">
        <v>2272</v>
      </c>
      <c r="U4201" s="71" t="s">
        <v>2272</v>
      </c>
      <c r="V4201" s="71" t="s">
        <v>2272</v>
      </c>
      <c r="W4201" s="71" t="s">
        <v>2272</v>
      </c>
      <c r="X4201" s="71" t="s">
        <v>2272</v>
      </c>
      <c r="Y4201" s="71" t="s">
        <v>2272</v>
      </c>
      <c r="Z4201" s="71" t="s">
        <v>2272</v>
      </c>
      <c r="AA4201" s="71" t="s">
        <v>2272</v>
      </c>
      <c r="AB4201" s="71" t="s">
        <v>2272</v>
      </c>
      <c r="AC4201" s="71" t="s">
        <v>2272</v>
      </c>
      <c r="AD4201" s="4" t="s">
        <v>11565</v>
      </c>
      <c r="AE4201" s="198"/>
    </row>
    <row r="4202" spans="1:31" ht="59" customHeight="1">
      <c r="A4202" s="198" t="s">
        <v>10733</v>
      </c>
      <c r="B4202" s="198" t="s">
        <v>11117</v>
      </c>
      <c r="C4202" s="198" t="s">
        <v>1102</v>
      </c>
      <c r="D4202" s="71" t="s">
        <v>2272</v>
      </c>
      <c r="E4202" s="71" t="s">
        <v>2272</v>
      </c>
      <c r="F4202" s="71" t="s">
        <v>2272</v>
      </c>
      <c r="G4202" s="71" t="s">
        <v>2272</v>
      </c>
      <c r="H4202" s="198" t="s">
        <v>521</v>
      </c>
      <c r="I4202" s="198"/>
      <c r="J4202" s="71" t="s">
        <v>2272</v>
      </c>
      <c r="K4202" s="71" t="s">
        <v>2272</v>
      </c>
      <c r="L4202" s="71" t="s">
        <v>2272</v>
      </c>
      <c r="M4202" s="71" t="s">
        <v>2272</v>
      </c>
      <c r="N4202" s="71" t="s">
        <v>2272</v>
      </c>
      <c r="O4202" s="71">
        <v>146</v>
      </c>
      <c r="P4202" s="71" t="s">
        <v>2272</v>
      </c>
      <c r="Q4202" s="71" t="s">
        <v>2272</v>
      </c>
      <c r="R4202" s="71" t="s">
        <v>2272</v>
      </c>
      <c r="S4202" s="71" t="s">
        <v>2272</v>
      </c>
      <c r="T4202" s="71" t="s">
        <v>2272</v>
      </c>
      <c r="U4202" s="71" t="s">
        <v>2272</v>
      </c>
      <c r="V4202" s="71" t="s">
        <v>2272</v>
      </c>
      <c r="W4202" s="71" t="s">
        <v>2272</v>
      </c>
      <c r="X4202" s="71" t="s">
        <v>2272</v>
      </c>
      <c r="Y4202" s="71" t="s">
        <v>2272</v>
      </c>
      <c r="Z4202" s="71" t="s">
        <v>2272</v>
      </c>
      <c r="AA4202" s="71" t="s">
        <v>2272</v>
      </c>
      <c r="AB4202" s="71" t="s">
        <v>2272</v>
      </c>
      <c r="AC4202" s="71" t="s">
        <v>2272</v>
      </c>
      <c r="AD4202" s="4" t="s">
        <v>11566</v>
      </c>
      <c r="AE4202" s="198"/>
    </row>
    <row r="4203" spans="1:31" ht="52" customHeight="1">
      <c r="A4203" s="71" t="s">
        <v>10556</v>
      </c>
      <c r="B4203" s="71" t="s">
        <v>10559</v>
      </c>
      <c r="C4203" s="198" t="s">
        <v>23</v>
      </c>
      <c r="D4203" s="198" t="s">
        <v>2799</v>
      </c>
      <c r="E4203" s="198" t="s">
        <v>2642</v>
      </c>
      <c r="F4203" s="4" t="s">
        <v>54</v>
      </c>
      <c r="G4203" s="4" t="s">
        <v>54</v>
      </c>
      <c r="H4203" s="198" t="s">
        <v>521</v>
      </c>
      <c r="I4203" s="198"/>
      <c r="J4203" s="71" t="s">
        <v>2272</v>
      </c>
      <c r="K4203" s="71" t="s">
        <v>2272</v>
      </c>
      <c r="L4203" s="71" t="s">
        <v>2272</v>
      </c>
      <c r="M4203" s="71" t="s">
        <v>2272</v>
      </c>
      <c r="N4203" s="71" t="s">
        <v>2272</v>
      </c>
      <c r="O4203" s="71" t="s">
        <v>2272</v>
      </c>
      <c r="P4203" s="71" t="s">
        <v>2272</v>
      </c>
      <c r="Q4203" s="71" t="s">
        <v>2272</v>
      </c>
      <c r="R4203" s="71" t="s">
        <v>2272</v>
      </c>
      <c r="S4203" s="71" t="s">
        <v>2272</v>
      </c>
      <c r="T4203" s="71" t="s">
        <v>2272</v>
      </c>
      <c r="U4203" s="71" t="s">
        <v>2272</v>
      </c>
      <c r="V4203" s="71" t="s">
        <v>2272</v>
      </c>
      <c r="W4203" s="71" t="s">
        <v>2272</v>
      </c>
      <c r="X4203" s="71" t="s">
        <v>2272</v>
      </c>
      <c r="Y4203" s="71" t="s">
        <v>2272</v>
      </c>
      <c r="Z4203" s="71" t="s">
        <v>2272</v>
      </c>
      <c r="AA4203" s="71" t="s">
        <v>2272</v>
      </c>
      <c r="AB4203" s="71" t="s">
        <v>2272</v>
      </c>
      <c r="AC4203" s="71" t="s">
        <v>2272</v>
      </c>
      <c r="AD4203" s="71" t="s">
        <v>10560</v>
      </c>
      <c r="AE4203" s="4" t="s">
        <v>11517</v>
      </c>
    </row>
    <row r="4204" spans="1:31" ht="52" customHeight="1">
      <c r="A4204" s="71" t="s">
        <v>10562</v>
      </c>
      <c r="B4204" s="71" t="s">
        <v>10563</v>
      </c>
      <c r="C4204" s="198" t="s">
        <v>23</v>
      </c>
      <c r="D4204" s="198" t="s">
        <v>2799</v>
      </c>
      <c r="E4204" s="198" t="s">
        <v>2642</v>
      </c>
      <c r="F4204" s="4" t="s">
        <v>54</v>
      </c>
      <c r="G4204" s="4" t="s">
        <v>54</v>
      </c>
      <c r="H4204" s="198" t="s">
        <v>521</v>
      </c>
      <c r="I4204" s="198"/>
      <c r="J4204" s="71" t="s">
        <v>2272</v>
      </c>
      <c r="K4204" s="71" t="s">
        <v>2272</v>
      </c>
      <c r="L4204" s="71" t="s">
        <v>2272</v>
      </c>
      <c r="M4204" s="71" t="s">
        <v>2272</v>
      </c>
      <c r="N4204" s="71" t="s">
        <v>2272</v>
      </c>
      <c r="O4204" s="71" t="s">
        <v>2272</v>
      </c>
      <c r="P4204" s="71" t="s">
        <v>2272</v>
      </c>
      <c r="Q4204" s="71" t="s">
        <v>2272</v>
      </c>
      <c r="R4204" s="71" t="s">
        <v>2272</v>
      </c>
      <c r="S4204" s="71" t="s">
        <v>2272</v>
      </c>
      <c r="T4204" s="71" t="s">
        <v>2272</v>
      </c>
      <c r="U4204" s="71" t="s">
        <v>2272</v>
      </c>
      <c r="V4204" s="71" t="s">
        <v>2272</v>
      </c>
      <c r="W4204" s="71" t="s">
        <v>2272</v>
      </c>
      <c r="X4204" s="71" t="s">
        <v>2272</v>
      </c>
      <c r="Y4204" s="71" t="s">
        <v>2272</v>
      </c>
      <c r="Z4204" s="71" t="s">
        <v>2272</v>
      </c>
      <c r="AA4204" s="71" t="s">
        <v>2272</v>
      </c>
      <c r="AB4204" s="71" t="s">
        <v>2272</v>
      </c>
      <c r="AC4204" s="71" t="s">
        <v>2272</v>
      </c>
      <c r="AD4204" s="4" t="s">
        <v>10565</v>
      </c>
      <c r="AE4204" s="4" t="s">
        <v>10564</v>
      </c>
    </row>
    <row r="4205" spans="1:31" ht="52" customHeight="1">
      <c r="A4205" s="71" t="s">
        <v>10573</v>
      </c>
      <c r="B4205" s="71" t="s">
        <v>10575</v>
      </c>
      <c r="C4205" s="198" t="s">
        <v>23</v>
      </c>
      <c r="D4205" s="198" t="s">
        <v>141</v>
      </c>
      <c r="E4205" s="198" t="s">
        <v>82</v>
      </c>
      <c r="F4205" s="4" t="s">
        <v>73</v>
      </c>
      <c r="G4205" s="4" t="s">
        <v>73</v>
      </c>
      <c r="H4205" s="198" t="s">
        <v>521</v>
      </c>
      <c r="I4205" s="198"/>
      <c r="J4205" s="71" t="s">
        <v>2272</v>
      </c>
      <c r="K4205" s="71" t="s">
        <v>2272</v>
      </c>
      <c r="L4205" s="71" t="s">
        <v>2272</v>
      </c>
      <c r="M4205" s="71" t="s">
        <v>2272</v>
      </c>
      <c r="N4205" s="71" t="s">
        <v>2272</v>
      </c>
      <c r="O4205" s="71" t="s">
        <v>2272</v>
      </c>
      <c r="P4205" s="71" t="s">
        <v>2272</v>
      </c>
      <c r="Q4205" s="71" t="s">
        <v>2272</v>
      </c>
      <c r="R4205" s="71" t="s">
        <v>2272</v>
      </c>
      <c r="S4205" s="71" t="s">
        <v>2272</v>
      </c>
      <c r="T4205" s="71" t="s">
        <v>2272</v>
      </c>
      <c r="U4205" s="71" t="s">
        <v>2272</v>
      </c>
      <c r="V4205" s="71" t="s">
        <v>2272</v>
      </c>
      <c r="W4205" s="71" t="s">
        <v>2272</v>
      </c>
      <c r="X4205" s="71" t="s">
        <v>2272</v>
      </c>
      <c r="Y4205" s="71" t="s">
        <v>2272</v>
      </c>
      <c r="Z4205" s="71" t="s">
        <v>2272</v>
      </c>
      <c r="AA4205" s="71" t="s">
        <v>2272</v>
      </c>
      <c r="AB4205" s="71" t="s">
        <v>2272</v>
      </c>
      <c r="AC4205" s="71" t="s">
        <v>2272</v>
      </c>
      <c r="AD4205" s="35"/>
      <c r="AE4205" s="35"/>
    </row>
    <row r="4206" spans="1:31" ht="63.5" customHeight="1">
      <c r="A4206" s="71" t="s">
        <v>10735</v>
      </c>
      <c r="B4206" s="71" t="s">
        <v>10740</v>
      </c>
      <c r="C4206" s="198" t="s">
        <v>1102</v>
      </c>
      <c r="D4206" s="198" t="s">
        <v>2272</v>
      </c>
      <c r="E4206" s="198" t="s">
        <v>2272</v>
      </c>
      <c r="F4206" s="198" t="s">
        <v>2272</v>
      </c>
      <c r="G4206" s="198" t="s">
        <v>2272</v>
      </c>
      <c r="H4206" s="198" t="s">
        <v>521</v>
      </c>
      <c r="I4206" s="198"/>
      <c r="J4206" s="71" t="s">
        <v>2272</v>
      </c>
      <c r="K4206" s="71" t="s">
        <v>2272</v>
      </c>
      <c r="L4206" s="71" t="s">
        <v>2272</v>
      </c>
      <c r="M4206" s="71" t="s">
        <v>2272</v>
      </c>
      <c r="N4206" s="71" t="s">
        <v>2272</v>
      </c>
      <c r="O4206" s="71" t="s">
        <v>2272</v>
      </c>
      <c r="P4206" s="71" t="s">
        <v>2272</v>
      </c>
      <c r="Q4206" s="71" t="s">
        <v>2272</v>
      </c>
      <c r="R4206" s="71" t="s">
        <v>2272</v>
      </c>
      <c r="S4206" s="71" t="s">
        <v>2272</v>
      </c>
      <c r="T4206" s="71" t="s">
        <v>2272</v>
      </c>
      <c r="U4206" s="71" t="s">
        <v>2272</v>
      </c>
      <c r="V4206" s="71" t="s">
        <v>2272</v>
      </c>
      <c r="W4206" s="71" t="s">
        <v>2272</v>
      </c>
      <c r="X4206" s="71" t="s">
        <v>2272</v>
      </c>
      <c r="Y4206" s="71" t="s">
        <v>2272</v>
      </c>
      <c r="Z4206" s="71" t="s">
        <v>2272</v>
      </c>
      <c r="AA4206" s="71" t="s">
        <v>2272</v>
      </c>
      <c r="AB4206" s="71" t="s">
        <v>2272</v>
      </c>
      <c r="AC4206" s="71" t="s">
        <v>2272</v>
      </c>
      <c r="AD4206" s="198"/>
      <c r="AE4206" s="4" t="s">
        <v>10746</v>
      </c>
    </row>
    <row r="4207" spans="1:31" ht="63.5" customHeight="1">
      <c r="A4207" s="71" t="s">
        <v>10738</v>
      </c>
      <c r="B4207" s="71" t="s">
        <v>10741</v>
      </c>
      <c r="C4207" s="198" t="s">
        <v>1102</v>
      </c>
      <c r="D4207" s="198" t="s">
        <v>2272</v>
      </c>
      <c r="E4207" s="198" t="s">
        <v>2272</v>
      </c>
      <c r="F4207" s="198" t="s">
        <v>2272</v>
      </c>
      <c r="G4207" s="198" t="s">
        <v>2272</v>
      </c>
      <c r="H4207" s="198" t="s">
        <v>521</v>
      </c>
      <c r="I4207" s="198"/>
      <c r="J4207" s="71" t="s">
        <v>2272</v>
      </c>
      <c r="K4207" s="71" t="s">
        <v>2272</v>
      </c>
      <c r="L4207" s="71" t="s">
        <v>2272</v>
      </c>
      <c r="M4207" s="71" t="s">
        <v>2272</v>
      </c>
      <c r="N4207" s="71" t="s">
        <v>2272</v>
      </c>
      <c r="O4207" s="71" t="s">
        <v>2272</v>
      </c>
      <c r="P4207" s="71" t="s">
        <v>2272</v>
      </c>
      <c r="Q4207" s="71" t="s">
        <v>2272</v>
      </c>
      <c r="R4207" s="71" t="s">
        <v>2272</v>
      </c>
      <c r="S4207" s="71" t="s">
        <v>2272</v>
      </c>
      <c r="T4207" s="71" t="s">
        <v>2272</v>
      </c>
      <c r="U4207" s="71" t="s">
        <v>2272</v>
      </c>
      <c r="V4207" s="71" t="s">
        <v>2272</v>
      </c>
      <c r="W4207" s="71" t="s">
        <v>2272</v>
      </c>
      <c r="X4207" s="71" t="s">
        <v>2272</v>
      </c>
      <c r="Y4207" s="71" t="s">
        <v>2272</v>
      </c>
      <c r="Z4207" s="71" t="s">
        <v>2272</v>
      </c>
      <c r="AA4207" s="71" t="s">
        <v>2272</v>
      </c>
      <c r="AB4207" s="71" t="s">
        <v>2272</v>
      </c>
      <c r="AC4207" s="71" t="s">
        <v>2272</v>
      </c>
      <c r="AD4207" s="198"/>
      <c r="AE4207" s="4" t="s">
        <v>10746</v>
      </c>
    </row>
    <row r="4208" spans="1:31" ht="37.5" customHeight="1">
      <c r="A4208" s="71" t="s">
        <v>10738</v>
      </c>
      <c r="B4208" s="71" t="s">
        <v>10742</v>
      </c>
      <c r="C4208" s="198" t="s">
        <v>30</v>
      </c>
      <c r="D4208" s="198" t="s">
        <v>29</v>
      </c>
      <c r="E4208" s="198" t="s">
        <v>2648</v>
      </c>
      <c r="F4208" s="198" t="s">
        <v>2272</v>
      </c>
      <c r="G4208" s="198" t="s">
        <v>2658</v>
      </c>
      <c r="H4208" s="198" t="s">
        <v>521</v>
      </c>
      <c r="I4208" s="198"/>
      <c r="J4208" s="71" t="s">
        <v>2272</v>
      </c>
      <c r="K4208" s="71" t="s">
        <v>2272</v>
      </c>
      <c r="L4208" s="71" t="s">
        <v>2272</v>
      </c>
      <c r="M4208" s="71" t="s">
        <v>2272</v>
      </c>
      <c r="N4208" s="71" t="s">
        <v>2272</v>
      </c>
      <c r="O4208" s="71" t="s">
        <v>2272</v>
      </c>
      <c r="P4208" s="71" t="s">
        <v>2272</v>
      </c>
      <c r="Q4208" s="71" t="s">
        <v>2272</v>
      </c>
      <c r="R4208" s="71" t="s">
        <v>2272</v>
      </c>
      <c r="S4208" s="71" t="s">
        <v>2272</v>
      </c>
      <c r="T4208" s="71" t="s">
        <v>2272</v>
      </c>
      <c r="U4208" s="71" t="s">
        <v>2272</v>
      </c>
      <c r="V4208" s="71" t="s">
        <v>2272</v>
      </c>
      <c r="W4208" s="71" t="s">
        <v>2272</v>
      </c>
      <c r="X4208" s="71" t="s">
        <v>2272</v>
      </c>
      <c r="Y4208" s="71" t="s">
        <v>2272</v>
      </c>
      <c r="Z4208" s="71" t="s">
        <v>2272</v>
      </c>
      <c r="AA4208" s="71" t="s">
        <v>2272</v>
      </c>
      <c r="AB4208" s="71" t="s">
        <v>2272</v>
      </c>
      <c r="AC4208" s="71" t="s">
        <v>2272</v>
      </c>
      <c r="AD4208" s="198"/>
      <c r="AE4208" s="198"/>
    </row>
    <row r="4209" spans="1:31" ht="37.5" customHeight="1">
      <c r="A4209" s="71" t="s">
        <v>10738</v>
      </c>
      <c r="B4209" s="71" t="s">
        <v>10743</v>
      </c>
      <c r="C4209" s="198" t="s">
        <v>2453</v>
      </c>
      <c r="D4209" s="198" t="s">
        <v>2272</v>
      </c>
      <c r="E4209" s="198" t="s">
        <v>2648</v>
      </c>
      <c r="F4209" s="198" t="s">
        <v>2272</v>
      </c>
      <c r="G4209" s="198" t="s">
        <v>2658</v>
      </c>
      <c r="H4209" s="198" t="s">
        <v>521</v>
      </c>
      <c r="I4209" s="198"/>
      <c r="J4209" s="71" t="s">
        <v>2272</v>
      </c>
      <c r="K4209" s="71" t="s">
        <v>2272</v>
      </c>
      <c r="L4209" s="71" t="s">
        <v>2272</v>
      </c>
      <c r="M4209" s="71" t="s">
        <v>2272</v>
      </c>
      <c r="N4209" s="71" t="s">
        <v>2272</v>
      </c>
      <c r="O4209" s="71" t="s">
        <v>2272</v>
      </c>
      <c r="P4209" s="71" t="s">
        <v>2272</v>
      </c>
      <c r="Q4209" s="71" t="s">
        <v>2272</v>
      </c>
      <c r="R4209" s="71" t="s">
        <v>2272</v>
      </c>
      <c r="S4209" s="71" t="s">
        <v>2272</v>
      </c>
      <c r="T4209" s="71" t="s">
        <v>2272</v>
      </c>
      <c r="U4209" s="71" t="s">
        <v>2272</v>
      </c>
      <c r="V4209" s="71" t="s">
        <v>2272</v>
      </c>
      <c r="W4209" s="71" t="s">
        <v>2272</v>
      </c>
      <c r="X4209" s="71" t="s">
        <v>2272</v>
      </c>
      <c r="Y4209" s="71" t="s">
        <v>2272</v>
      </c>
      <c r="Z4209" s="71" t="s">
        <v>2272</v>
      </c>
      <c r="AA4209" s="71" t="s">
        <v>2272</v>
      </c>
      <c r="AB4209" s="71" t="s">
        <v>2272</v>
      </c>
      <c r="AC4209" s="71" t="s">
        <v>2272</v>
      </c>
      <c r="AD4209" s="198"/>
      <c r="AE4209" s="198"/>
    </row>
    <row r="4210" spans="1:31" ht="37.5" customHeight="1">
      <c r="A4210" s="71" t="s">
        <v>10738</v>
      </c>
      <c r="B4210" s="71" t="s">
        <v>10744</v>
      </c>
      <c r="C4210" s="198" t="s">
        <v>30</v>
      </c>
      <c r="D4210" s="198" t="s">
        <v>29</v>
      </c>
      <c r="E4210" s="198" t="s">
        <v>2648</v>
      </c>
      <c r="F4210" s="198" t="s">
        <v>2272</v>
      </c>
      <c r="G4210" s="4" t="s">
        <v>2657</v>
      </c>
      <c r="H4210" s="198" t="s">
        <v>521</v>
      </c>
      <c r="I4210" s="198"/>
      <c r="J4210" s="71" t="s">
        <v>2272</v>
      </c>
      <c r="K4210" s="71" t="s">
        <v>2272</v>
      </c>
      <c r="L4210" s="71" t="s">
        <v>2272</v>
      </c>
      <c r="M4210" s="71" t="s">
        <v>2272</v>
      </c>
      <c r="N4210" s="71" t="s">
        <v>2272</v>
      </c>
      <c r="O4210" s="71" t="s">
        <v>2272</v>
      </c>
      <c r="P4210" s="71" t="s">
        <v>2272</v>
      </c>
      <c r="Q4210" s="71" t="s">
        <v>2272</v>
      </c>
      <c r="R4210" s="71" t="s">
        <v>2272</v>
      </c>
      <c r="S4210" s="71" t="s">
        <v>2272</v>
      </c>
      <c r="T4210" s="71" t="s">
        <v>2272</v>
      </c>
      <c r="U4210" s="71" t="s">
        <v>2272</v>
      </c>
      <c r="V4210" s="71" t="s">
        <v>2272</v>
      </c>
      <c r="W4210" s="71" t="s">
        <v>2272</v>
      </c>
      <c r="X4210" s="71" t="s">
        <v>2272</v>
      </c>
      <c r="Y4210" s="71" t="s">
        <v>2272</v>
      </c>
      <c r="Z4210" s="71" t="s">
        <v>2272</v>
      </c>
      <c r="AA4210" s="71" t="s">
        <v>2272</v>
      </c>
      <c r="AB4210" s="71" t="s">
        <v>2272</v>
      </c>
      <c r="AC4210" s="71" t="s">
        <v>2272</v>
      </c>
      <c r="AD4210" s="198"/>
      <c r="AE4210" s="198"/>
    </row>
    <row r="4211" spans="1:31" ht="37.5" customHeight="1">
      <c r="A4211" s="71" t="s">
        <v>10738</v>
      </c>
      <c r="B4211" s="71" t="s">
        <v>10745</v>
      </c>
      <c r="C4211" s="198" t="s">
        <v>2453</v>
      </c>
      <c r="D4211" s="198" t="s">
        <v>2272</v>
      </c>
      <c r="E4211" s="198" t="s">
        <v>2648</v>
      </c>
      <c r="F4211" s="198" t="s">
        <v>2272</v>
      </c>
      <c r="G4211" s="4" t="s">
        <v>2657</v>
      </c>
      <c r="H4211" s="198" t="s">
        <v>521</v>
      </c>
      <c r="I4211" s="198"/>
      <c r="J4211" s="71" t="s">
        <v>2272</v>
      </c>
      <c r="K4211" s="71" t="s">
        <v>2272</v>
      </c>
      <c r="L4211" s="71" t="s">
        <v>2272</v>
      </c>
      <c r="M4211" s="71" t="s">
        <v>2272</v>
      </c>
      <c r="N4211" s="71" t="s">
        <v>2272</v>
      </c>
      <c r="O4211" s="71" t="s">
        <v>2272</v>
      </c>
      <c r="P4211" s="71" t="s">
        <v>2272</v>
      </c>
      <c r="Q4211" s="71" t="s">
        <v>2272</v>
      </c>
      <c r="R4211" s="71" t="s">
        <v>2272</v>
      </c>
      <c r="S4211" s="71" t="s">
        <v>2272</v>
      </c>
      <c r="T4211" s="71" t="s">
        <v>2272</v>
      </c>
      <c r="U4211" s="71" t="s">
        <v>2272</v>
      </c>
      <c r="V4211" s="71" t="s">
        <v>2272</v>
      </c>
      <c r="W4211" s="71" t="s">
        <v>2272</v>
      </c>
      <c r="X4211" s="71" t="s">
        <v>2272</v>
      </c>
      <c r="Y4211" s="71" t="s">
        <v>2272</v>
      </c>
      <c r="Z4211" s="71" t="s">
        <v>2272</v>
      </c>
      <c r="AA4211" s="71" t="s">
        <v>2272</v>
      </c>
      <c r="AB4211" s="71" t="s">
        <v>2272</v>
      </c>
      <c r="AC4211" s="71" t="s">
        <v>2272</v>
      </c>
      <c r="AD4211" s="198"/>
      <c r="AE4211" s="198"/>
    </row>
    <row r="4212" spans="1:31" ht="37.5" customHeight="1">
      <c r="A4212" s="71" t="s">
        <v>10751</v>
      </c>
      <c r="B4212" s="71" t="s">
        <v>10754</v>
      </c>
      <c r="C4212" s="198" t="s">
        <v>1102</v>
      </c>
      <c r="D4212" s="198" t="s">
        <v>2272</v>
      </c>
      <c r="E4212" s="198" t="s">
        <v>2272</v>
      </c>
      <c r="F4212" s="198" t="s">
        <v>2272</v>
      </c>
      <c r="G4212" s="198" t="s">
        <v>2272</v>
      </c>
      <c r="H4212" s="198" t="s">
        <v>521</v>
      </c>
      <c r="I4212" s="198"/>
      <c r="J4212" s="71"/>
      <c r="K4212" s="71"/>
      <c r="L4212" s="71"/>
      <c r="M4212" s="71"/>
      <c r="N4212" s="71"/>
      <c r="O4212" s="71"/>
      <c r="P4212" s="71"/>
      <c r="Q4212" s="71"/>
      <c r="R4212" s="71"/>
      <c r="S4212" s="71"/>
      <c r="T4212" s="71"/>
      <c r="U4212" s="71"/>
      <c r="V4212" s="71"/>
      <c r="W4212" s="71"/>
      <c r="X4212" s="71"/>
      <c r="Y4212" s="71"/>
      <c r="Z4212" s="71"/>
      <c r="AA4212" s="71"/>
      <c r="AB4212" s="71"/>
      <c r="AC4212" s="71"/>
      <c r="AD4212" s="198"/>
      <c r="AE4212" s="198"/>
    </row>
    <row r="4213" spans="1:31" ht="44.5" customHeight="1">
      <c r="A4213" s="71" t="s">
        <v>10751</v>
      </c>
      <c r="B4213" s="71" t="s">
        <v>10755</v>
      </c>
      <c r="C4213" s="198" t="s">
        <v>1102</v>
      </c>
      <c r="D4213" s="198" t="s">
        <v>2272</v>
      </c>
      <c r="E4213" s="198" t="s">
        <v>2648</v>
      </c>
      <c r="F4213" s="198" t="s">
        <v>2272</v>
      </c>
      <c r="G4213" s="198" t="s">
        <v>2272</v>
      </c>
      <c r="H4213" s="198" t="s">
        <v>521</v>
      </c>
      <c r="I4213" s="198"/>
      <c r="J4213" s="71" t="s">
        <v>2272</v>
      </c>
      <c r="K4213" s="71" t="s">
        <v>2272</v>
      </c>
      <c r="L4213" s="71" t="s">
        <v>2272</v>
      </c>
      <c r="M4213" s="71" t="s">
        <v>2272</v>
      </c>
      <c r="N4213" s="71" t="s">
        <v>2272</v>
      </c>
      <c r="O4213" s="71">
        <v>1000</v>
      </c>
      <c r="P4213" s="71" t="s">
        <v>2272</v>
      </c>
      <c r="Q4213" s="71" t="s">
        <v>2272</v>
      </c>
      <c r="R4213" s="71" t="s">
        <v>2272</v>
      </c>
      <c r="S4213" s="71" t="s">
        <v>2272</v>
      </c>
      <c r="T4213" s="71" t="s">
        <v>2272</v>
      </c>
      <c r="U4213" s="71" t="s">
        <v>2272</v>
      </c>
      <c r="V4213" s="71" t="s">
        <v>2272</v>
      </c>
      <c r="W4213" s="71" t="s">
        <v>2272</v>
      </c>
      <c r="X4213" s="71" t="s">
        <v>2272</v>
      </c>
      <c r="Y4213" s="71" t="s">
        <v>2272</v>
      </c>
      <c r="Z4213" s="71" t="s">
        <v>2272</v>
      </c>
      <c r="AA4213" s="198" t="s">
        <v>67</v>
      </c>
      <c r="AB4213" s="198" t="s">
        <v>187</v>
      </c>
      <c r="AC4213" s="71" t="s">
        <v>2272</v>
      </c>
      <c r="AD4213" s="198"/>
      <c r="AE4213" s="198"/>
    </row>
    <row r="4214" spans="1:31" ht="44.5" customHeight="1">
      <c r="A4214" s="71" t="s">
        <v>10751</v>
      </c>
      <c r="B4214" s="71" t="s">
        <v>10756</v>
      </c>
      <c r="C4214" s="198" t="s">
        <v>2453</v>
      </c>
      <c r="D4214" s="198" t="s">
        <v>2272</v>
      </c>
      <c r="E4214" s="198" t="s">
        <v>2648</v>
      </c>
      <c r="F4214" s="198" t="s">
        <v>2272</v>
      </c>
      <c r="G4214" s="4" t="s">
        <v>2657</v>
      </c>
      <c r="H4214" s="198" t="s">
        <v>521</v>
      </c>
      <c r="I4214" s="198"/>
      <c r="J4214" s="71" t="s">
        <v>2272</v>
      </c>
      <c r="K4214" s="71" t="s">
        <v>2272</v>
      </c>
      <c r="L4214" s="71" t="s">
        <v>2272</v>
      </c>
      <c r="M4214" s="71" t="s">
        <v>2272</v>
      </c>
      <c r="N4214" s="71" t="s">
        <v>2272</v>
      </c>
      <c r="O4214" s="71" t="s">
        <v>2272</v>
      </c>
      <c r="P4214" s="71" t="s">
        <v>2272</v>
      </c>
      <c r="Q4214" s="71" t="s">
        <v>2272</v>
      </c>
      <c r="R4214" s="71" t="s">
        <v>2272</v>
      </c>
      <c r="S4214" s="71" t="s">
        <v>2272</v>
      </c>
      <c r="T4214" s="71" t="s">
        <v>2272</v>
      </c>
      <c r="U4214" s="71" t="s">
        <v>2272</v>
      </c>
      <c r="V4214" s="71" t="s">
        <v>2272</v>
      </c>
      <c r="W4214" s="71" t="s">
        <v>2272</v>
      </c>
      <c r="X4214" s="71" t="s">
        <v>2272</v>
      </c>
      <c r="Y4214" s="71" t="s">
        <v>2272</v>
      </c>
      <c r="Z4214" s="71" t="s">
        <v>2272</v>
      </c>
      <c r="AA4214" s="198" t="s">
        <v>67</v>
      </c>
      <c r="AB4214" s="198" t="s">
        <v>187</v>
      </c>
      <c r="AC4214" s="71" t="s">
        <v>2272</v>
      </c>
      <c r="AD4214" s="198"/>
      <c r="AE4214" s="198"/>
    </row>
    <row r="4215" spans="1:31" ht="44.5" customHeight="1">
      <c r="A4215" s="71" t="s">
        <v>10751</v>
      </c>
      <c r="B4215" s="71" t="s">
        <v>10758</v>
      </c>
      <c r="C4215" s="198" t="s">
        <v>23</v>
      </c>
      <c r="D4215" s="198" t="s">
        <v>60</v>
      </c>
      <c r="E4215" s="198" t="s">
        <v>2644</v>
      </c>
      <c r="F4215" s="4" t="s">
        <v>2658</v>
      </c>
      <c r="G4215" s="4" t="s">
        <v>2658</v>
      </c>
      <c r="H4215" s="198" t="s">
        <v>521</v>
      </c>
      <c r="I4215" s="198"/>
      <c r="J4215" s="71" t="s">
        <v>2272</v>
      </c>
      <c r="K4215" s="71" t="s">
        <v>2272</v>
      </c>
      <c r="L4215" s="71" t="s">
        <v>2272</v>
      </c>
      <c r="M4215" s="71" t="s">
        <v>2272</v>
      </c>
      <c r="N4215" s="71" t="s">
        <v>2272</v>
      </c>
      <c r="O4215" s="71" t="s">
        <v>2272</v>
      </c>
      <c r="P4215" s="71" t="s">
        <v>2272</v>
      </c>
      <c r="Q4215" s="71" t="s">
        <v>2272</v>
      </c>
      <c r="R4215" s="71" t="s">
        <v>2272</v>
      </c>
      <c r="S4215" s="71" t="s">
        <v>2272</v>
      </c>
      <c r="T4215" s="71" t="s">
        <v>2272</v>
      </c>
      <c r="U4215" s="71" t="s">
        <v>2272</v>
      </c>
      <c r="V4215" s="71" t="s">
        <v>2272</v>
      </c>
      <c r="W4215" s="71" t="s">
        <v>2272</v>
      </c>
      <c r="X4215" s="71" t="s">
        <v>2272</v>
      </c>
      <c r="Y4215" s="71" t="s">
        <v>2272</v>
      </c>
      <c r="Z4215" s="71" t="s">
        <v>2272</v>
      </c>
      <c r="AA4215" s="71" t="s">
        <v>2272</v>
      </c>
      <c r="AB4215" s="71" t="s">
        <v>2272</v>
      </c>
      <c r="AC4215" s="71" t="s">
        <v>2272</v>
      </c>
      <c r="AD4215" s="71" t="s">
        <v>10757</v>
      </c>
      <c r="AE4215" s="198"/>
    </row>
    <row r="4216" spans="1:31" ht="44.5" customHeight="1">
      <c r="A4216" s="71" t="s">
        <v>10751</v>
      </c>
      <c r="B4216" s="71" t="s">
        <v>10759</v>
      </c>
      <c r="C4216" s="198" t="s">
        <v>23</v>
      </c>
      <c r="D4216" s="198" t="s">
        <v>2227</v>
      </c>
      <c r="E4216" s="198" t="s">
        <v>2648</v>
      </c>
      <c r="F4216" s="198" t="s">
        <v>2272</v>
      </c>
      <c r="G4216" s="198" t="s">
        <v>2272</v>
      </c>
      <c r="H4216" s="198" t="s">
        <v>521</v>
      </c>
      <c r="I4216" s="198"/>
      <c r="J4216" s="71" t="s">
        <v>2272</v>
      </c>
      <c r="K4216" s="71" t="s">
        <v>2272</v>
      </c>
      <c r="L4216" s="71" t="s">
        <v>2272</v>
      </c>
      <c r="M4216" s="71" t="s">
        <v>2272</v>
      </c>
      <c r="N4216" s="71" t="s">
        <v>2272</v>
      </c>
      <c r="O4216" s="71" t="s">
        <v>2272</v>
      </c>
      <c r="P4216" s="71" t="s">
        <v>2272</v>
      </c>
      <c r="Q4216" s="71" t="s">
        <v>2272</v>
      </c>
      <c r="R4216" s="71" t="s">
        <v>2272</v>
      </c>
      <c r="S4216" s="71" t="s">
        <v>2272</v>
      </c>
      <c r="T4216" s="71" t="s">
        <v>2272</v>
      </c>
      <c r="U4216" s="71" t="s">
        <v>2272</v>
      </c>
      <c r="V4216" s="71" t="s">
        <v>2272</v>
      </c>
      <c r="W4216" s="71" t="s">
        <v>2272</v>
      </c>
      <c r="X4216" s="71" t="s">
        <v>2272</v>
      </c>
      <c r="Y4216" s="71" t="s">
        <v>2272</v>
      </c>
      <c r="Z4216" s="71" t="s">
        <v>2272</v>
      </c>
      <c r="AA4216" s="71" t="s">
        <v>2272</v>
      </c>
      <c r="AB4216" s="71" t="s">
        <v>2272</v>
      </c>
      <c r="AC4216" s="71" t="s">
        <v>2272</v>
      </c>
      <c r="AD4216" s="198"/>
      <c r="AE4216" s="198"/>
    </row>
    <row r="4217" spans="1:31" ht="44.5" customHeight="1">
      <c r="A4217" s="71" t="s">
        <v>10751</v>
      </c>
      <c r="B4217" s="71" t="s">
        <v>11600</v>
      </c>
      <c r="C4217" s="198" t="s">
        <v>23</v>
      </c>
      <c r="D4217" s="198" t="s">
        <v>2342</v>
      </c>
      <c r="E4217" s="198" t="s">
        <v>2648</v>
      </c>
      <c r="F4217" s="198" t="s">
        <v>2272</v>
      </c>
      <c r="G4217" s="198" t="s">
        <v>2272</v>
      </c>
      <c r="H4217" s="198" t="s">
        <v>521</v>
      </c>
      <c r="I4217" s="198"/>
      <c r="J4217" s="71" t="s">
        <v>2272</v>
      </c>
      <c r="K4217" s="71" t="s">
        <v>2272</v>
      </c>
      <c r="L4217" s="71" t="s">
        <v>2272</v>
      </c>
      <c r="M4217" s="71" t="s">
        <v>2272</v>
      </c>
      <c r="N4217" s="71" t="s">
        <v>2272</v>
      </c>
      <c r="O4217" s="71" t="s">
        <v>2272</v>
      </c>
      <c r="P4217" s="71" t="s">
        <v>2272</v>
      </c>
      <c r="Q4217" s="71" t="s">
        <v>2272</v>
      </c>
      <c r="R4217" s="71" t="s">
        <v>2272</v>
      </c>
      <c r="S4217" s="71" t="s">
        <v>2272</v>
      </c>
      <c r="T4217" s="71" t="s">
        <v>2272</v>
      </c>
      <c r="U4217" s="71" t="s">
        <v>2272</v>
      </c>
      <c r="V4217" s="71" t="s">
        <v>2272</v>
      </c>
      <c r="W4217" s="71" t="s">
        <v>2272</v>
      </c>
      <c r="X4217" s="71" t="s">
        <v>2272</v>
      </c>
      <c r="Y4217" s="71" t="s">
        <v>2272</v>
      </c>
      <c r="Z4217" s="71" t="s">
        <v>2272</v>
      </c>
      <c r="AA4217" s="71" t="s">
        <v>2272</v>
      </c>
      <c r="AB4217" s="71" t="s">
        <v>2272</v>
      </c>
      <c r="AC4217" s="71" t="s">
        <v>2272</v>
      </c>
      <c r="AD4217" s="71" t="s">
        <v>10760</v>
      </c>
      <c r="AE4217" s="198"/>
    </row>
    <row r="4218" spans="1:31" ht="49" customHeight="1">
      <c r="A4218" s="71" t="s">
        <v>10765</v>
      </c>
      <c r="B4218" s="71" t="s">
        <v>10769</v>
      </c>
      <c r="C4218" s="198" t="s">
        <v>23</v>
      </c>
      <c r="D4218" s="198" t="s">
        <v>24</v>
      </c>
      <c r="E4218" s="198" t="s">
        <v>44</v>
      </c>
      <c r="F4218" s="4" t="s">
        <v>54</v>
      </c>
      <c r="G4218" s="4" t="s">
        <v>54</v>
      </c>
      <c r="H4218" s="198" t="s">
        <v>521</v>
      </c>
      <c r="I4218" s="198"/>
      <c r="J4218" s="71" t="s">
        <v>2272</v>
      </c>
      <c r="K4218" s="71" t="s">
        <v>2272</v>
      </c>
      <c r="L4218" s="71" t="s">
        <v>2272</v>
      </c>
      <c r="M4218" s="71" t="s">
        <v>2272</v>
      </c>
      <c r="N4218" s="71" t="s">
        <v>2272</v>
      </c>
      <c r="O4218" s="71" t="s">
        <v>2272</v>
      </c>
      <c r="P4218" s="71" t="s">
        <v>2272</v>
      </c>
      <c r="Q4218" s="71" t="s">
        <v>2272</v>
      </c>
      <c r="R4218" s="71" t="s">
        <v>2272</v>
      </c>
      <c r="S4218" s="71" t="s">
        <v>2272</v>
      </c>
      <c r="T4218" s="71" t="s">
        <v>2272</v>
      </c>
      <c r="U4218" s="71" t="s">
        <v>2272</v>
      </c>
      <c r="V4218" s="71" t="s">
        <v>2272</v>
      </c>
      <c r="W4218" s="71" t="s">
        <v>2272</v>
      </c>
      <c r="X4218" s="71" t="s">
        <v>2272</v>
      </c>
      <c r="Y4218" s="71" t="s">
        <v>2272</v>
      </c>
      <c r="Z4218" s="71" t="s">
        <v>2272</v>
      </c>
      <c r="AA4218" s="71" t="s">
        <v>2272</v>
      </c>
      <c r="AB4218" s="71" t="s">
        <v>2272</v>
      </c>
      <c r="AC4218" s="71" t="s">
        <v>2272</v>
      </c>
      <c r="AD4218" s="198"/>
      <c r="AE4218" s="198"/>
    </row>
    <row r="4219" spans="1:31" ht="49" customHeight="1">
      <c r="A4219" s="71" t="s">
        <v>10765</v>
      </c>
      <c r="B4219" s="71" t="s">
        <v>10770</v>
      </c>
      <c r="C4219" s="198" t="s">
        <v>2453</v>
      </c>
      <c r="D4219" s="198" t="s">
        <v>2227</v>
      </c>
      <c r="E4219" s="198" t="s">
        <v>2272</v>
      </c>
      <c r="F4219" s="198" t="s">
        <v>2272</v>
      </c>
      <c r="G4219" s="4" t="s">
        <v>54</v>
      </c>
      <c r="H4219" s="198" t="s">
        <v>521</v>
      </c>
      <c r="I4219" s="198"/>
      <c r="J4219" s="71" t="s">
        <v>2272</v>
      </c>
      <c r="K4219" s="71" t="s">
        <v>2272</v>
      </c>
      <c r="L4219" s="71" t="s">
        <v>2272</v>
      </c>
      <c r="M4219" s="71" t="s">
        <v>2272</v>
      </c>
      <c r="N4219" s="71" t="s">
        <v>2272</v>
      </c>
      <c r="O4219" s="71" t="s">
        <v>2272</v>
      </c>
      <c r="P4219" s="71" t="s">
        <v>2272</v>
      </c>
      <c r="Q4219" s="71" t="s">
        <v>2272</v>
      </c>
      <c r="R4219" s="71" t="s">
        <v>2272</v>
      </c>
      <c r="S4219" s="71" t="s">
        <v>2272</v>
      </c>
      <c r="T4219" s="71" t="s">
        <v>2272</v>
      </c>
      <c r="U4219" s="71" t="s">
        <v>2272</v>
      </c>
      <c r="V4219" s="71" t="s">
        <v>2272</v>
      </c>
      <c r="W4219" s="71" t="s">
        <v>2272</v>
      </c>
      <c r="X4219" s="71" t="s">
        <v>2272</v>
      </c>
      <c r="Y4219" s="71" t="s">
        <v>2272</v>
      </c>
      <c r="Z4219" s="71" t="s">
        <v>2272</v>
      </c>
      <c r="AA4219" s="71" t="s">
        <v>2272</v>
      </c>
      <c r="AB4219" s="71" t="s">
        <v>2272</v>
      </c>
      <c r="AC4219" s="227" t="s">
        <v>2272</v>
      </c>
      <c r="AD4219" s="198"/>
      <c r="AE4219" s="198"/>
    </row>
    <row r="4220" spans="1:31" ht="49" customHeight="1">
      <c r="A4220" s="71" t="s">
        <v>10765</v>
      </c>
      <c r="B4220" s="71" t="s">
        <v>10771</v>
      </c>
      <c r="C4220" s="198" t="s">
        <v>23</v>
      </c>
      <c r="D4220" s="198" t="s">
        <v>2342</v>
      </c>
      <c r="E4220" s="198" t="s">
        <v>2272</v>
      </c>
      <c r="F4220" s="198" t="s">
        <v>2272</v>
      </c>
      <c r="G4220" s="4" t="s">
        <v>54</v>
      </c>
      <c r="H4220" s="198" t="s">
        <v>521</v>
      </c>
      <c r="I4220" s="198"/>
      <c r="J4220" s="71" t="s">
        <v>2272</v>
      </c>
      <c r="K4220" s="71" t="s">
        <v>2272</v>
      </c>
      <c r="L4220" s="71" t="s">
        <v>2272</v>
      </c>
      <c r="M4220" s="71" t="s">
        <v>2272</v>
      </c>
      <c r="N4220" s="71" t="s">
        <v>2272</v>
      </c>
      <c r="O4220" s="71" t="s">
        <v>2272</v>
      </c>
      <c r="P4220" s="71" t="s">
        <v>2272</v>
      </c>
      <c r="Q4220" s="71" t="s">
        <v>2272</v>
      </c>
      <c r="R4220" s="71" t="s">
        <v>2272</v>
      </c>
      <c r="S4220" s="71" t="s">
        <v>2272</v>
      </c>
      <c r="T4220" s="71" t="s">
        <v>2272</v>
      </c>
      <c r="U4220" s="71" t="s">
        <v>2272</v>
      </c>
      <c r="V4220" s="71" t="s">
        <v>2272</v>
      </c>
      <c r="W4220" s="71" t="s">
        <v>2272</v>
      </c>
      <c r="X4220" s="71" t="s">
        <v>2272</v>
      </c>
      <c r="Y4220" s="71" t="s">
        <v>2272</v>
      </c>
      <c r="Z4220" s="71" t="s">
        <v>2272</v>
      </c>
      <c r="AA4220" s="71" t="s">
        <v>2272</v>
      </c>
      <c r="AB4220" s="71" t="s">
        <v>2272</v>
      </c>
      <c r="AC4220" s="227" t="s">
        <v>2272</v>
      </c>
      <c r="AD4220" s="198"/>
      <c r="AE4220" s="198"/>
    </row>
    <row r="4221" spans="1:31" ht="41" customHeight="1">
      <c r="A4221" s="71" t="s">
        <v>10773</v>
      </c>
      <c r="B4221" s="71" t="s">
        <v>10777</v>
      </c>
      <c r="C4221" s="4" t="s">
        <v>2453</v>
      </c>
      <c r="D4221" s="4" t="s">
        <v>2272</v>
      </c>
      <c r="E4221" s="4" t="s">
        <v>2272</v>
      </c>
      <c r="F4221" s="4" t="s">
        <v>2272</v>
      </c>
      <c r="G4221" s="4" t="s">
        <v>2657</v>
      </c>
      <c r="H4221" s="4" t="s">
        <v>521</v>
      </c>
      <c r="I4221" s="198"/>
      <c r="J4221" s="71" t="s">
        <v>2272</v>
      </c>
      <c r="K4221" s="21" cm="1">
        <f t="array" ref="K4221">(2375)/20/SUM('Record info'!$K$1731:$K$1732/2)</f>
        <v>2.7050113895216402E-2</v>
      </c>
      <c r="L4221" s="225" t="s">
        <v>2272</v>
      </c>
      <c r="M4221" s="71" t="s">
        <v>2272</v>
      </c>
      <c r="N4221" s="71" t="s">
        <v>2272</v>
      </c>
      <c r="O4221" s="71" t="s">
        <v>2272</v>
      </c>
      <c r="P4221" s="71" t="s">
        <v>2272</v>
      </c>
      <c r="Q4221" s="71" t="s">
        <v>2272</v>
      </c>
      <c r="R4221" s="71" t="s">
        <v>2272</v>
      </c>
      <c r="S4221" s="71" t="s">
        <v>2272</v>
      </c>
      <c r="T4221" s="71" t="s">
        <v>2272</v>
      </c>
      <c r="U4221" s="71" t="s">
        <v>2272</v>
      </c>
      <c r="V4221" s="71" t="s">
        <v>2272</v>
      </c>
      <c r="W4221" s="71" t="s">
        <v>2272</v>
      </c>
      <c r="X4221" s="71" t="s">
        <v>2272</v>
      </c>
      <c r="Y4221" s="71" t="s">
        <v>2272</v>
      </c>
      <c r="Z4221" s="71" t="s">
        <v>2272</v>
      </c>
      <c r="AA4221" s="198" t="s">
        <v>67</v>
      </c>
      <c r="AB4221" s="198" t="s">
        <v>187</v>
      </c>
      <c r="AC4221" s="227" t="s">
        <v>2272</v>
      </c>
      <c r="AD4221" s="198"/>
      <c r="AE4221" s="198"/>
    </row>
    <row r="4222" spans="1:31" ht="41" customHeight="1">
      <c r="A4222" s="71" t="s">
        <v>10776</v>
      </c>
      <c r="B4222" s="71" t="s">
        <v>10778</v>
      </c>
      <c r="C4222" s="4" t="s">
        <v>2453</v>
      </c>
      <c r="D4222" s="4" t="s">
        <v>2272</v>
      </c>
      <c r="E4222" s="4" t="s">
        <v>2272</v>
      </c>
      <c r="F4222" s="4" t="s">
        <v>2272</v>
      </c>
      <c r="G4222" s="4" t="s">
        <v>2657</v>
      </c>
      <c r="H4222" s="4" t="s">
        <v>521</v>
      </c>
      <c r="I4222" s="198"/>
      <c r="J4222" s="71" t="s">
        <v>2272</v>
      </c>
      <c r="K4222" s="21" cm="1">
        <f t="array" ref="K4222">(2375)/20/SUM('Record info'!$K$1731:$K$1732/2)</f>
        <v>2.7050113895216402E-2</v>
      </c>
      <c r="L4222" s="225" t="s">
        <v>2272</v>
      </c>
      <c r="M4222" s="71" t="s">
        <v>2272</v>
      </c>
      <c r="N4222" s="71" t="s">
        <v>2272</v>
      </c>
      <c r="O4222" s="71" t="s">
        <v>2272</v>
      </c>
      <c r="P4222" s="71" t="s">
        <v>2272</v>
      </c>
      <c r="Q4222" s="71" t="s">
        <v>2272</v>
      </c>
      <c r="R4222" s="71" t="s">
        <v>2272</v>
      </c>
      <c r="S4222" s="71" t="s">
        <v>2272</v>
      </c>
      <c r="T4222" s="71" t="s">
        <v>2272</v>
      </c>
      <c r="U4222" s="71" t="s">
        <v>2272</v>
      </c>
      <c r="V4222" s="71" t="s">
        <v>2272</v>
      </c>
      <c r="W4222" s="71" t="s">
        <v>2272</v>
      </c>
      <c r="X4222" s="71" t="s">
        <v>2272</v>
      </c>
      <c r="Y4222" s="71" t="s">
        <v>2272</v>
      </c>
      <c r="Z4222" s="71" t="s">
        <v>2272</v>
      </c>
      <c r="AA4222" s="198" t="s">
        <v>67</v>
      </c>
      <c r="AB4222" s="198" t="s">
        <v>187</v>
      </c>
      <c r="AC4222" s="227" t="s">
        <v>2272</v>
      </c>
      <c r="AD4222" s="198"/>
      <c r="AE4222" s="198"/>
    </row>
    <row r="4223" spans="1:31" ht="35.5" customHeight="1">
      <c r="A4223" s="71" t="s">
        <v>10773</v>
      </c>
      <c r="B4223" s="71" t="s">
        <v>11593</v>
      </c>
      <c r="C4223" s="4" t="s">
        <v>2453</v>
      </c>
      <c r="D4223" s="4" t="s">
        <v>2272</v>
      </c>
      <c r="E4223" s="4" t="s">
        <v>2272</v>
      </c>
      <c r="F4223" s="4" t="s">
        <v>2272</v>
      </c>
      <c r="G4223" s="4" t="s">
        <v>73</v>
      </c>
      <c r="H4223" s="4" t="s">
        <v>521</v>
      </c>
      <c r="I4223" s="198"/>
      <c r="J4223" s="71" t="s">
        <v>2272</v>
      </c>
      <c r="K4223" s="21" cm="1">
        <f t="array" ref="K4223">(642)/20/SUM('Record info'!$K$1731:$K$1732/2)</f>
        <v>7.3120728929384968E-3</v>
      </c>
      <c r="L4223" s="225" t="s">
        <v>2272</v>
      </c>
      <c r="M4223" s="71" t="s">
        <v>2272</v>
      </c>
      <c r="N4223" s="71" t="s">
        <v>2272</v>
      </c>
      <c r="O4223" s="21">
        <v>8000</v>
      </c>
      <c r="P4223" s="71" t="s">
        <v>2272</v>
      </c>
      <c r="Q4223" s="71" t="s">
        <v>2272</v>
      </c>
      <c r="R4223" s="71" t="s">
        <v>2272</v>
      </c>
      <c r="S4223" s="71" t="s">
        <v>2272</v>
      </c>
      <c r="T4223" s="71" t="s">
        <v>2272</v>
      </c>
      <c r="U4223" s="71" t="s">
        <v>2272</v>
      </c>
      <c r="V4223" s="71" t="s">
        <v>2272</v>
      </c>
      <c r="W4223" s="71" t="s">
        <v>2272</v>
      </c>
      <c r="X4223" s="71" t="s">
        <v>2272</v>
      </c>
      <c r="Y4223" s="71" t="s">
        <v>2272</v>
      </c>
      <c r="Z4223" s="71" t="s">
        <v>2272</v>
      </c>
      <c r="AA4223" s="198" t="s">
        <v>67</v>
      </c>
      <c r="AB4223" s="198" t="s">
        <v>187</v>
      </c>
      <c r="AC4223" s="227" t="s">
        <v>2272</v>
      </c>
      <c r="AD4223" s="198"/>
      <c r="AE4223" s="198"/>
    </row>
    <row r="4224" spans="1:31" ht="35.5" customHeight="1">
      <c r="A4224" s="71" t="s">
        <v>10776</v>
      </c>
      <c r="B4224" s="71" t="s">
        <v>11594</v>
      </c>
      <c r="C4224" s="4" t="s">
        <v>2453</v>
      </c>
      <c r="D4224" s="4" t="s">
        <v>2272</v>
      </c>
      <c r="E4224" s="4" t="s">
        <v>2272</v>
      </c>
      <c r="F4224" s="4" t="s">
        <v>2272</v>
      </c>
      <c r="G4224" s="4" t="s">
        <v>73</v>
      </c>
      <c r="H4224" s="4" t="s">
        <v>521</v>
      </c>
      <c r="I4224" s="198"/>
      <c r="J4224" s="71" t="s">
        <v>2272</v>
      </c>
      <c r="K4224" s="21" cm="1">
        <f t="array" ref="K4224">(642)/20/SUM('Record info'!$K$1731:$K$1732/2)</f>
        <v>7.3120728929384968E-3</v>
      </c>
      <c r="L4224" s="225" t="s">
        <v>2272</v>
      </c>
      <c r="M4224" s="71" t="s">
        <v>2272</v>
      </c>
      <c r="N4224" s="71" t="s">
        <v>2272</v>
      </c>
      <c r="O4224" s="21">
        <v>8000</v>
      </c>
      <c r="P4224" s="71" t="s">
        <v>2272</v>
      </c>
      <c r="Q4224" s="71" t="s">
        <v>2272</v>
      </c>
      <c r="R4224" s="71" t="s">
        <v>2272</v>
      </c>
      <c r="S4224" s="71" t="s">
        <v>2272</v>
      </c>
      <c r="T4224" s="71" t="s">
        <v>2272</v>
      </c>
      <c r="U4224" s="71" t="s">
        <v>2272</v>
      </c>
      <c r="V4224" s="71" t="s">
        <v>2272</v>
      </c>
      <c r="W4224" s="71" t="s">
        <v>2272</v>
      </c>
      <c r="X4224" s="71" t="s">
        <v>2272</v>
      </c>
      <c r="Y4224" s="71" t="s">
        <v>2272</v>
      </c>
      <c r="Z4224" s="71" t="s">
        <v>2272</v>
      </c>
      <c r="AA4224" s="198" t="s">
        <v>67</v>
      </c>
      <c r="AB4224" s="198" t="s">
        <v>187</v>
      </c>
      <c r="AC4224" s="227" t="s">
        <v>2272</v>
      </c>
      <c r="AD4224" s="198"/>
      <c r="AE4224" s="198"/>
    </row>
    <row r="4225" spans="1:31" ht="38" customHeight="1">
      <c r="A4225" s="71" t="s">
        <v>10776</v>
      </c>
      <c r="B4225" s="71" t="s">
        <v>11595</v>
      </c>
      <c r="C4225" s="4" t="s">
        <v>2453</v>
      </c>
      <c r="D4225" s="4" t="s">
        <v>2272</v>
      </c>
      <c r="E4225" s="198" t="s">
        <v>2648</v>
      </c>
      <c r="F4225" s="4" t="s">
        <v>2272</v>
      </c>
      <c r="G4225" s="4" t="s">
        <v>2272</v>
      </c>
      <c r="H4225" s="4" t="s">
        <v>521</v>
      </c>
      <c r="I4225" s="198"/>
      <c r="J4225" s="71" t="s">
        <v>2272</v>
      </c>
      <c r="K4225" s="21">
        <f>SUM(K4222:K4223)*0.55*0.81</f>
        <v>1.5308354214123011E-2</v>
      </c>
      <c r="L4225" s="225" t="s">
        <v>2272</v>
      </c>
      <c r="M4225" s="225" t="s">
        <v>2272</v>
      </c>
      <c r="N4225" s="225" t="s">
        <v>2272</v>
      </c>
      <c r="O4225" s="225" t="s">
        <v>2272</v>
      </c>
      <c r="P4225" s="225" t="s">
        <v>2272</v>
      </c>
      <c r="Q4225" s="225" t="s">
        <v>2272</v>
      </c>
      <c r="R4225" s="225" t="s">
        <v>2272</v>
      </c>
      <c r="S4225" s="225" t="s">
        <v>2272</v>
      </c>
      <c r="T4225" s="225" t="s">
        <v>2272</v>
      </c>
      <c r="U4225" s="225" t="s">
        <v>2272</v>
      </c>
      <c r="V4225" s="225" t="s">
        <v>2272</v>
      </c>
      <c r="W4225" s="225" t="s">
        <v>2272</v>
      </c>
      <c r="X4225" s="225" t="s">
        <v>2272</v>
      </c>
      <c r="Y4225" s="225" t="s">
        <v>2272</v>
      </c>
      <c r="Z4225" s="225" t="s">
        <v>2272</v>
      </c>
      <c r="AA4225" s="198" t="s">
        <v>67</v>
      </c>
      <c r="AB4225" s="198" t="s">
        <v>187</v>
      </c>
      <c r="AC4225" s="227" t="s">
        <v>2272</v>
      </c>
      <c r="AD4225" s="198"/>
      <c r="AE4225" s="198"/>
    </row>
    <row r="4226" spans="1:31" ht="42.5" customHeight="1">
      <c r="A4226" s="71" t="s">
        <v>10781</v>
      </c>
      <c r="B4226" s="71" t="s">
        <v>10784</v>
      </c>
      <c r="C4226" s="198" t="s">
        <v>23</v>
      </c>
      <c r="D4226" s="198" t="s">
        <v>24</v>
      </c>
      <c r="E4226" s="198" t="s">
        <v>44</v>
      </c>
      <c r="F4226" s="198" t="s">
        <v>54</v>
      </c>
      <c r="G4226" s="198" t="s">
        <v>54</v>
      </c>
      <c r="H4226" s="4" t="s">
        <v>521</v>
      </c>
      <c r="I4226" s="198"/>
      <c r="J4226" s="71" t="s">
        <v>2272</v>
      </c>
      <c r="K4226" s="71" t="s">
        <v>2272</v>
      </c>
      <c r="L4226" s="71" t="s">
        <v>2272</v>
      </c>
      <c r="M4226" s="225" t="s">
        <v>2272</v>
      </c>
      <c r="N4226" s="225" t="s">
        <v>2272</v>
      </c>
      <c r="O4226" s="225" t="s">
        <v>2272</v>
      </c>
      <c r="P4226" s="225" t="s">
        <v>2272</v>
      </c>
      <c r="Q4226" s="225" t="s">
        <v>2272</v>
      </c>
      <c r="R4226" s="225" t="s">
        <v>2272</v>
      </c>
      <c r="S4226" s="225" t="s">
        <v>2272</v>
      </c>
      <c r="T4226" s="225" t="s">
        <v>2272</v>
      </c>
      <c r="U4226" s="225" t="s">
        <v>2272</v>
      </c>
      <c r="V4226" s="225" t="s">
        <v>2272</v>
      </c>
      <c r="W4226" s="225" t="s">
        <v>2272</v>
      </c>
      <c r="X4226" s="225" t="s">
        <v>2272</v>
      </c>
      <c r="Y4226" s="225" t="s">
        <v>2272</v>
      </c>
      <c r="Z4226" s="225" t="s">
        <v>2272</v>
      </c>
      <c r="AA4226" s="225" t="s">
        <v>2272</v>
      </c>
      <c r="AB4226" s="225" t="s">
        <v>2272</v>
      </c>
      <c r="AC4226" s="237" t="s">
        <v>2272</v>
      </c>
      <c r="AD4226" s="198"/>
      <c r="AE4226" s="198"/>
    </row>
    <row r="4227" spans="1:31" ht="42.5" customHeight="1">
      <c r="A4227" s="71" t="s">
        <v>10781</v>
      </c>
      <c r="B4227" s="71" t="s">
        <v>10786</v>
      </c>
      <c r="C4227" s="198" t="s">
        <v>2453</v>
      </c>
      <c r="D4227" s="198" t="s">
        <v>24</v>
      </c>
      <c r="E4227" s="198" t="s">
        <v>44</v>
      </c>
      <c r="F4227" s="198" t="s">
        <v>54</v>
      </c>
      <c r="G4227" s="198" t="s">
        <v>54</v>
      </c>
      <c r="H4227" s="4" t="s">
        <v>521</v>
      </c>
      <c r="I4227" s="198"/>
      <c r="J4227" s="71" t="s">
        <v>2272</v>
      </c>
      <c r="K4227" s="71" t="s">
        <v>2272</v>
      </c>
      <c r="L4227" s="71" t="s">
        <v>2272</v>
      </c>
      <c r="M4227" s="71" t="s">
        <v>2272</v>
      </c>
      <c r="N4227" s="71" t="s">
        <v>2272</v>
      </c>
      <c r="O4227" s="71" t="s">
        <v>2272</v>
      </c>
      <c r="P4227" s="71" t="s">
        <v>2272</v>
      </c>
      <c r="Q4227" s="71" t="s">
        <v>2272</v>
      </c>
      <c r="R4227" s="71" t="s">
        <v>2272</v>
      </c>
      <c r="S4227" s="71" t="s">
        <v>2272</v>
      </c>
      <c r="T4227" s="71" t="s">
        <v>2272</v>
      </c>
      <c r="U4227" s="71" t="s">
        <v>2272</v>
      </c>
      <c r="V4227" s="71" t="s">
        <v>2272</v>
      </c>
      <c r="W4227" s="71" t="s">
        <v>2272</v>
      </c>
      <c r="X4227" s="71" t="s">
        <v>2272</v>
      </c>
      <c r="Y4227" s="71" t="s">
        <v>2272</v>
      </c>
      <c r="Z4227" s="71" t="s">
        <v>2272</v>
      </c>
      <c r="AA4227" s="71" t="s">
        <v>2272</v>
      </c>
      <c r="AB4227" s="71" t="s">
        <v>2272</v>
      </c>
      <c r="AC4227" s="71" t="s">
        <v>2272</v>
      </c>
      <c r="AD4227" s="198"/>
      <c r="AE4227" s="198"/>
    </row>
    <row r="4228" spans="1:31" ht="42.5" customHeight="1">
      <c r="A4228" s="71" t="s">
        <v>10781</v>
      </c>
      <c r="B4228" s="71" t="s">
        <v>10787</v>
      </c>
      <c r="C4228" s="198" t="s">
        <v>23</v>
      </c>
      <c r="D4228" s="198" t="s">
        <v>2342</v>
      </c>
      <c r="E4228" s="198" t="s">
        <v>2648</v>
      </c>
      <c r="F4228" s="4" t="s">
        <v>2272</v>
      </c>
      <c r="G4228" s="198" t="s">
        <v>54</v>
      </c>
      <c r="H4228" s="4" t="s">
        <v>521</v>
      </c>
      <c r="I4228" s="198"/>
      <c r="J4228" s="71" t="s">
        <v>2272</v>
      </c>
      <c r="K4228" s="71" t="s">
        <v>2272</v>
      </c>
      <c r="L4228" s="71" t="s">
        <v>2272</v>
      </c>
      <c r="M4228" s="71" t="s">
        <v>2272</v>
      </c>
      <c r="N4228" s="71" t="s">
        <v>2272</v>
      </c>
      <c r="O4228" s="71" t="s">
        <v>2272</v>
      </c>
      <c r="P4228" s="71" t="s">
        <v>2272</v>
      </c>
      <c r="Q4228" s="71" t="s">
        <v>2272</v>
      </c>
      <c r="R4228" s="71" t="s">
        <v>2272</v>
      </c>
      <c r="S4228" s="71" t="s">
        <v>2272</v>
      </c>
      <c r="T4228" s="71" t="s">
        <v>2272</v>
      </c>
      <c r="U4228" s="71" t="s">
        <v>2272</v>
      </c>
      <c r="V4228" s="71" t="s">
        <v>2272</v>
      </c>
      <c r="W4228" s="71" t="s">
        <v>2272</v>
      </c>
      <c r="X4228" s="71" t="s">
        <v>2272</v>
      </c>
      <c r="Y4228" s="71" t="s">
        <v>2272</v>
      </c>
      <c r="Z4228" s="71" t="s">
        <v>2272</v>
      </c>
      <c r="AA4228" s="71" t="s">
        <v>2272</v>
      </c>
      <c r="AB4228" s="71" t="s">
        <v>2272</v>
      </c>
      <c r="AC4228" s="71" t="s">
        <v>2272</v>
      </c>
      <c r="AD4228" s="198" t="s">
        <v>10789</v>
      </c>
      <c r="AE4228" s="198"/>
    </row>
    <row r="4229" spans="1:31" ht="42.5" customHeight="1">
      <c r="A4229" s="71" t="s">
        <v>10781</v>
      </c>
      <c r="B4229" s="71" t="s">
        <v>10788</v>
      </c>
      <c r="C4229" s="198" t="s">
        <v>23</v>
      </c>
      <c r="D4229" s="198" t="s">
        <v>142</v>
      </c>
      <c r="E4229" s="198" t="s">
        <v>135</v>
      </c>
      <c r="F4229" s="198" t="s">
        <v>54</v>
      </c>
      <c r="G4229" s="198" t="s">
        <v>54</v>
      </c>
      <c r="H4229" s="198" t="s">
        <v>522</v>
      </c>
      <c r="I4229" s="198"/>
      <c r="J4229" s="198">
        <v>0</v>
      </c>
      <c r="K4229" s="198">
        <v>0</v>
      </c>
      <c r="L4229" s="198">
        <v>0</v>
      </c>
      <c r="M4229" s="198">
        <v>0</v>
      </c>
      <c r="N4229" s="198">
        <v>0</v>
      </c>
      <c r="O4229" s="198">
        <v>0</v>
      </c>
      <c r="P4229" s="198">
        <v>0</v>
      </c>
      <c r="Q4229" s="198">
        <v>0</v>
      </c>
      <c r="R4229" s="198">
        <v>0</v>
      </c>
      <c r="S4229" s="198">
        <v>0</v>
      </c>
      <c r="T4229" s="198">
        <v>0</v>
      </c>
      <c r="U4229" s="198">
        <v>0</v>
      </c>
      <c r="V4229" s="198">
        <v>0</v>
      </c>
      <c r="W4229" s="198">
        <v>0</v>
      </c>
      <c r="X4229" s="198">
        <v>0</v>
      </c>
      <c r="Y4229" s="198">
        <v>0</v>
      </c>
      <c r="Z4229" s="71" t="s">
        <v>2272</v>
      </c>
      <c r="AA4229" s="71" t="s">
        <v>2272</v>
      </c>
      <c r="AB4229" s="71" t="s">
        <v>2272</v>
      </c>
      <c r="AC4229" s="71" t="s">
        <v>2272</v>
      </c>
      <c r="AD4229" s="198"/>
      <c r="AE4229" s="198"/>
    </row>
    <row r="4230" spans="1:31" ht="42" customHeight="1">
      <c r="A4230" s="71" t="s">
        <v>10781</v>
      </c>
      <c r="B4230" s="71" t="s">
        <v>10790</v>
      </c>
      <c r="C4230" s="4" t="s">
        <v>23</v>
      </c>
      <c r="D4230" s="4" t="s">
        <v>141</v>
      </c>
      <c r="E4230" s="4" t="s">
        <v>44</v>
      </c>
      <c r="F4230" s="4" t="s">
        <v>73</v>
      </c>
      <c r="G4230" s="4" t="s">
        <v>73</v>
      </c>
      <c r="H4230" s="4" t="s">
        <v>521</v>
      </c>
      <c r="I4230" s="4"/>
      <c r="J4230" s="71" t="s">
        <v>2272</v>
      </c>
      <c r="K4230" s="71" t="s">
        <v>2272</v>
      </c>
      <c r="L4230" s="71" t="s">
        <v>2272</v>
      </c>
      <c r="M4230" s="71" t="s">
        <v>2272</v>
      </c>
      <c r="N4230" s="71" t="s">
        <v>2272</v>
      </c>
      <c r="O4230" s="71" t="s">
        <v>2272</v>
      </c>
      <c r="P4230" s="71" t="s">
        <v>2272</v>
      </c>
      <c r="Q4230" s="71" t="s">
        <v>2272</v>
      </c>
      <c r="R4230" s="71" t="s">
        <v>2272</v>
      </c>
      <c r="S4230" s="71" t="s">
        <v>2272</v>
      </c>
      <c r="T4230" s="71" t="s">
        <v>2272</v>
      </c>
      <c r="U4230" s="71" t="s">
        <v>2272</v>
      </c>
      <c r="V4230" s="71" t="s">
        <v>2272</v>
      </c>
      <c r="W4230" s="71" t="s">
        <v>2272</v>
      </c>
      <c r="X4230" s="71" t="s">
        <v>2272</v>
      </c>
      <c r="Y4230" s="71" t="s">
        <v>2272</v>
      </c>
      <c r="Z4230" s="71" t="s">
        <v>2272</v>
      </c>
      <c r="AA4230" s="71" t="s">
        <v>2272</v>
      </c>
      <c r="AB4230" s="71" t="s">
        <v>2272</v>
      </c>
      <c r="AC4230" s="71" t="s">
        <v>2272</v>
      </c>
      <c r="AD4230" s="4"/>
      <c r="AE4230" s="4"/>
    </row>
    <row r="4231" spans="1:31" ht="41.5" customHeight="1">
      <c r="A4231" s="71" t="s">
        <v>10781</v>
      </c>
      <c r="B4231" s="71" t="s">
        <v>10791</v>
      </c>
      <c r="C4231" s="4" t="s">
        <v>23</v>
      </c>
      <c r="D4231" s="4" t="s">
        <v>1241</v>
      </c>
      <c r="E4231" s="4" t="s">
        <v>114</v>
      </c>
      <c r="F4231" s="4" t="s">
        <v>2657</v>
      </c>
      <c r="G4231" s="4" t="s">
        <v>2657</v>
      </c>
      <c r="H4231" s="4" t="s">
        <v>521</v>
      </c>
      <c r="I4231" s="4"/>
      <c r="J4231" s="71" t="s">
        <v>2272</v>
      </c>
      <c r="K4231" s="71" t="s">
        <v>2272</v>
      </c>
      <c r="L4231" s="71" t="s">
        <v>2272</v>
      </c>
      <c r="M4231" s="71" t="s">
        <v>2272</v>
      </c>
      <c r="N4231" s="71" t="s">
        <v>2272</v>
      </c>
      <c r="O4231" s="71" t="s">
        <v>2272</v>
      </c>
      <c r="P4231" s="71" t="s">
        <v>2272</v>
      </c>
      <c r="Q4231" s="71" t="s">
        <v>2272</v>
      </c>
      <c r="R4231" s="71" t="s">
        <v>2272</v>
      </c>
      <c r="S4231" s="71" t="s">
        <v>2272</v>
      </c>
      <c r="T4231" s="71" t="s">
        <v>2272</v>
      </c>
      <c r="U4231" s="71" t="s">
        <v>2272</v>
      </c>
      <c r="V4231" s="71" t="s">
        <v>2272</v>
      </c>
      <c r="W4231" s="71" t="s">
        <v>2272</v>
      </c>
      <c r="X4231" s="71" t="s">
        <v>2272</v>
      </c>
      <c r="Y4231" s="71" t="s">
        <v>2272</v>
      </c>
      <c r="Z4231" s="71" t="s">
        <v>2272</v>
      </c>
      <c r="AA4231" s="71" t="s">
        <v>2272</v>
      </c>
      <c r="AB4231" s="71" t="s">
        <v>2272</v>
      </c>
      <c r="AC4231" s="71" t="s">
        <v>2272</v>
      </c>
      <c r="AD4231" s="4"/>
      <c r="AE4231" s="4"/>
    </row>
    <row r="4232" spans="1:31" ht="44.5" customHeight="1">
      <c r="A4232" s="71" t="s">
        <v>10781</v>
      </c>
      <c r="B4232" s="71" t="s">
        <v>10792</v>
      </c>
      <c r="C4232" s="4" t="s">
        <v>23</v>
      </c>
      <c r="D4232" s="4" t="s">
        <v>3471</v>
      </c>
      <c r="E4232" s="4" t="s">
        <v>114</v>
      </c>
      <c r="F4232" s="4" t="s">
        <v>2657</v>
      </c>
      <c r="G4232" s="4" t="s">
        <v>2657</v>
      </c>
      <c r="H4232" s="4" t="s">
        <v>521</v>
      </c>
      <c r="I4232" s="4"/>
      <c r="J4232" s="71" t="s">
        <v>2272</v>
      </c>
      <c r="K4232" s="71" t="s">
        <v>2272</v>
      </c>
      <c r="L4232" s="71" t="s">
        <v>2272</v>
      </c>
      <c r="M4232" s="71" t="s">
        <v>2272</v>
      </c>
      <c r="N4232" s="71" t="s">
        <v>2272</v>
      </c>
      <c r="O4232" s="71" t="s">
        <v>2272</v>
      </c>
      <c r="P4232" s="71" t="s">
        <v>2272</v>
      </c>
      <c r="Q4232" s="71" t="s">
        <v>2272</v>
      </c>
      <c r="R4232" s="71" t="s">
        <v>2272</v>
      </c>
      <c r="S4232" s="71" t="s">
        <v>2272</v>
      </c>
      <c r="T4232" s="71" t="s">
        <v>2272</v>
      </c>
      <c r="U4232" s="71" t="s">
        <v>2272</v>
      </c>
      <c r="V4232" s="71" t="s">
        <v>2272</v>
      </c>
      <c r="W4232" s="71" t="s">
        <v>2272</v>
      </c>
      <c r="X4232" s="71" t="s">
        <v>2272</v>
      </c>
      <c r="Y4232" s="71" t="s">
        <v>2272</v>
      </c>
      <c r="Z4232" s="71" t="s">
        <v>2272</v>
      </c>
      <c r="AA4232" s="71" t="s">
        <v>2272</v>
      </c>
      <c r="AB4232" s="71" t="s">
        <v>2272</v>
      </c>
      <c r="AC4232" s="71" t="s">
        <v>2272</v>
      </c>
      <c r="AD4232" s="4"/>
      <c r="AE4232" s="4"/>
    </row>
    <row r="4233" spans="1:31" ht="43.5" customHeight="1">
      <c r="A4233" s="71" t="s">
        <v>10781</v>
      </c>
      <c r="B4233" s="71" t="s">
        <v>10795</v>
      </c>
      <c r="C4233" s="4" t="s">
        <v>23</v>
      </c>
      <c r="D4233" s="4" t="s">
        <v>1238</v>
      </c>
      <c r="E4233" s="4" t="s">
        <v>114</v>
      </c>
      <c r="F4233" s="4" t="s">
        <v>2657</v>
      </c>
      <c r="G4233" s="4" t="s">
        <v>2657</v>
      </c>
      <c r="H4233" s="4" t="s">
        <v>522</v>
      </c>
      <c r="I4233" s="198"/>
      <c r="J4233" s="198">
        <v>0</v>
      </c>
      <c r="K4233" s="198">
        <v>0</v>
      </c>
      <c r="L4233" s="198">
        <v>0</v>
      </c>
      <c r="M4233" s="198">
        <v>0</v>
      </c>
      <c r="N4233" s="198">
        <v>0</v>
      </c>
      <c r="O4233" s="198">
        <v>0</v>
      </c>
      <c r="P4233" s="198">
        <v>0</v>
      </c>
      <c r="Q4233" s="198">
        <v>0</v>
      </c>
      <c r="R4233" s="198">
        <v>0</v>
      </c>
      <c r="S4233" s="198">
        <v>0</v>
      </c>
      <c r="T4233" s="198">
        <v>0</v>
      </c>
      <c r="U4233" s="198">
        <v>0</v>
      </c>
      <c r="V4233" s="198">
        <v>0</v>
      </c>
      <c r="W4233" s="198">
        <v>0</v>
      </c>
      <c r="X4233" s="198">
        <v>0</v>
      </c>
      <c r="Y4233" s="198">
        <v>0</v>
      </c>
      <c r="Z4233" s="71" t="s">
        <v>2272</v>
      </c>
      <c r="AA4233" s="71" t="s">
        <v>2272</v>
      </c>
      <c r="AB4233" s="71" t="s">
        <v>2272</v>
      </c>
      <c r="AC4233" s="71" t="s">
        <v>2272</v>
      </c>
      <c r="AD4233" s="198"/>
      <c r="AE4233" s="198"/>
    </row>
    <row r="4234" spans="1:31" ht="47" customHeight="1">
      <c r="A4234" s="71" t="s">
        <v>10803</v>
      </c>
      <c r="B4234" s="71" t="s">
        <v>10804</v>
      </c>
      <c r="C4234" s="198" t="s">
        <v>2453</v>
      </c>
      <c r="D4234" s="198" t="s">
        <v>1102</v>
      </c>
      <c r="E4234" s="198" t="s">
        <v>1102</v>
      </c>
      <c r="F4234" s="198" t="s">
        <v>2272</v>
      </c>
      <c r="G4234" s="198" t="s">
        <v>2272</v>
      </c>
      <c r="H4234" s="4" t="s">
        <v>521</v>
      </c>
      <c r="I4234" s="198"/>
      <c r="J4234" s="71" t="s">
        <v>2272</v>
      </c>
      <c r="K4234" s="21">
        <f>7700/12/'Record info'!$K1735</f>
        <v>3.283694113232008E-2</v>
      </c>
      <c r="L4234" s="71" t="s">
        <v>2272</v>
      </c>
      <c r="M4234" s="71" t="s">
        <v>2272</v>
      </c>
      <c r="N4234" s="71" t="s">
        <v>2272</v>
      </c>
      <c r="O4234" s="71" t="s">
        <v>2272</v>
      </c>
      <c r="P4234" s="71" t="s">
        <v>2272</v>
      </c>
      <c r="Q4234" s="21">
        <f>68200/7700</f>
        <v>8.8571428571428577</v>
      </c>
      <c r="R4234" s="71" t="s">
        <v>2272</v>
      </c>
      <c r="S4234" s="71" t="s">
        <v>2272</v>
      </c>
      <c r="T4234" s="71" t="s">
        <v>2272</v>
      </c>
      <c r="U4234" s="21">
        <f>68200/12</f>
        <v>5683.333333333333</v>
      </c>
      <c r="V4234" s="71" t="s">
        <v>2272</v>
      </c>
      <c r="W4234" s="71" t="s">
        <v>2272</v>
      </c>
      <c r="X4234" s="71" t="s">
        <v>2272</v>
      </c>
      <c r="Y4234" s="21">
        <f>U4234/'Record info'!K1735</f>
        <v>0.29084147860054926</v>
      </c>
      <c r="Z4234" s="71" t="s">
        <v>2272</v>
      </c>
      <c r="AA4234" s="71" t="s">
        <v>2272</v>
      </c>
      <c r="AB4234" s="71" t="s">
        <v>2272</v>
      </c>
      <c r="AC4234" s="71" t="s">
        <v>2272</v>
      </c>
      <c r="AD4234" s="198"/>
      <c r="AE4234" s="198"/>
    </row>
    <row r="4235" spans="1:31" ht="47" customHeight="1">
      <c r="A4235" s="71" t="s">
        <v>10803</v>
      </c>
      <c r="B4235" s="71" t="s">
        <v>10805</v>
      </c>
      <c r="C4235" s="198" t="s">
        <v>30</v>
      </c>
      <c r="D4235" s="198" t="s">
        <v>2272</v>
      </c>
      <c r="E4235" s="198" t="s">
        <v>2272</v>
      </c>
      <c r="F4235" s="198" t="s">
        <v>2272</v>
      </c>
      <c r="G4235" s="198" t="s">
        <v>2272</v>
      </c>
      <c r="H4235" s="4" t="s">
        <v>521</v>
      </c>
      <c r="I4235" s="198"/>
      <c r="J4235" s="71" t="s">
        <v>2272</v>
      </c>
      <c r="K4235" s="71" t="s">
        <v>2272</v>
      </c>
      <c r="L4235" s="71" t="s">
        <v>2272</v>
      </c>
      <c r="M4235" s="71" t="s">
        <v>2272</v>
      </c>
      <c r="N4235" s="71" t="s">
        <v>2272</v>
      </c>
      <c r="O4235" s="71" t="s">
        <v>2272</v>
      </c>
      <c r="P4235" s="71" t="s">
        <v>2272</v>
      </c>
      <c r="Q4235" s="71" t="s">
        <v>2272</v>
      </c>
      <c r="R4235" s="71" t="s">
        <v>2272</v>
      </c>
      <c r="S4235" s="71" t="s">
        <v>2272</v>
      </c>
      <c r="T4235" s="71" t="s">
        <v>2272</v>
      </c>
      <c r="U4235" s="71" t="s">
        <v>2272</v>
      </c>
      <c r="V4235" s="71" t="s">
        <v>2272</v>
      </c>
      <c r="W4235" s="71" t="s">
        <v>2272</v>
      </c>
      <c r="X4235" s="71" t="s">
        <v>2272</v>
      </c>
      <c r="Y4235" s="71" t="s">
        <v>2272</v>
      </c>
      <c r="Z4235" s="71" t="s">
        <v>2272</v>
      </c>
      <c r="AA4235" s="71" t="s">
        <v>2272</v>
      </c>
      <c r="AB4235" s="71" t="s">
        <v>2272</v>
      </c>
      <c r="AC4235" s="71" t="s">
        <v>2272</v>
      </c>
      <c r="AD4235" s="18" t="s">
        <v>10807</v>
      </c>
      <c r="AE4235" s="198"/>
    </row>
    <row r="4236" spans="1:31" ht="47" customHeight="1">
      <c r="A4236" s="71" t="s">
        <v>10803</v>
      </c>
      <c r="B4236" s="71" t="s">
        <v>10806</v>
      </c>
      <c r="C4236" s="198" t="s">
        <v>23</v>
      </c>
      <c r="D4236" s="198" t="s">
        <v>2342</v>
      </c>
      <c r="E4236" s="198" t="s">
        <v>2272</v>
      </c>
      <c r="F4236" s="198" t="s">
        <v>2272</v>
      </c>
      <c r="G4236" s="198" t="s">
        <v>2272</v>
      </c>
      <c r="H4236" s="4" t="s">
        <v>521</v>
      </c>
      <c r="I4236" s="198"/>
      <c r="J4236" s="71" t="s">
        <v>2272</v>
      </c>
      <c r="K4236" s="71" t="s">
        <v>2272</v>
      </c>
      <c r="L4236" s="71" t="s">
        <v>2272</v>
      </c>
      <c r="M4236" s="71" t="s">
        <v>2272</v>
      </c>
      <c r="N4236" s="71" t="s">
        <v>2272</v>
      </c>
      <c r="O4236" s="71" t="s">
        <v>2272</v>
      </c>
      <c r="P4236" s="71" t="s">
        <v>2272</v>
      </c>
      <c r="Q4236" s="71" t="s">
        <v>2272</v>
      </c>
      <c r="R4236" s="71" t="s">
        <v>2272</v>
      </c>
      <c r="S4236" s="71" t="s">
        <v>2272</v>
      </c>
      <c r="T4236" s="71" t="s">
        <v>2272</v>
      </c>
      <c r="U4236" s="71" t="s">
        <v>2272</v>
      </c>
      <c r="V4236" s="71" t="s">
        <v>2272</v>
      </c>
      <c r="W4236" s="71" t="s">
        <v>2272</v>
      </c>
      <c r="X4236" s="71" t="s">
        <v>2272</v>
      </c>
      <c r="Y4236" s="71" t="s">
        <v>2272</v>
      </c>
      <c r="Z4236" s="71" t="s">
        <v>2272</v>
      </c>
      <c r="AA4236" s="71" t="s">
        <v>2272</v>
      </c>
      <c r="AB4236" s="71" t="s">
        <v>2272</v>
      </c>
      <c r="AC4236" s="71" t="s">
        <v>2272</v>
      </c>
      <c r="AD4236" s="18" t="s">
        <v>10807</v>
      </c>
      <c r="AE4236" s="198"/>
    </row>
    <row r="4237" spans="1:31" ht="40" customHeight="1">
      <c r="A4237" s="71" t="s">
        <v>10810</v>
      </c>
      <c r="B4237" s="71" t="s">
        <v>10812</v>
      </c>
      <c r="C4237" s="198" t="s">
        <v>2651</v>
      </c>
      <c r="D4237" s="198" t="s">
        <v>2272</v>
      </c>
      <c r="E4237" s="198" t="s">
        <v>2272</v>
      </c>
      <c r="F4237" s="198" t="s">
        <v>2272</v>
      </c>
      <c r="G4237" s="198" t="s">
        <v>2272</v>
      </c>
      <c r="H4237" s="4" t="s">
        <v>521</v>
      </c>
      <c r="I4237" s="198"/>
      <c r="J4237" s="71" t="s">
        <v>2272</v>
      </c>
      <c r="K4237" s="212">
        <f>2326*0.18/17/'Record info'!$K$1736</f>
        <v>4.2721010414955413E-4</v>
      </c>
      <c r="L4237" s="71" t="s">
        <v>2272</v>
      </c>
      <c r="M4237" s="71" t="s">
        <v>2272</v>
      </c>
      <c r="N4237" s="71" t="s">
        <v>2272</v>
      </c>
      <c r="O4237" s="71" t="s">
        <v>2272</v>
      </c>
      <c r="P4237" s="71" t="s">
        <v>2272</v>
      </c>
      <c r="Q4237" s="21">
        <f>(193126/17)/(855*0.18)</f>
        <v>73.816458357222032</v>
      </c>
      <c r="R4237" s="71" t="s">
        <v>2272</v>
      </c>
      <c r="S4237" s="71" t="s">
        <v>2272</v>
      </c>
      <c r="T4237" s="71" t="s">
        <v>2272</v>
      </c>
      <c r="U4237" s="21">
        <f>193126/17*(2326/855)</f>
        <v>30905.474785001719</v>
      </c>
      <c r="V4237" s="71" t="s">
        <v>2272</v>
      </c>
      <c r="W4237" s="71" t="s">
        <v>2272</v>
      </c>
      <c r="X4237" s="71" t="s">
        <v>2272</v>
      </c>
      <c r="Y4237" s="21">
        <f>U4237/'Record info'!K$1736</f>
        <v>0.53609732666658083</v>
      </c>
      <c r="Z4237" s="71" t="s">
        <v>2272</v>
      </c>
      <c r="AA4237" s="71" t="s">
        <v>2272</v>
      </c>
      <c r="AB4237" s="71" t="s">
        <v>2272</v>
      </c>
      <c r="AC4237" s="71" t="s">
        <v>2272</v>
      </c>
      <c r="AD4237" s="198"/>
      <c r="AE4237" s="198"/>
    </row>
    <row r="4238" spans="1:31" ht="40" customHeight="1">
      <c r="A4238" s="71" t="s">
        <v>10810</v>
      </c>
      <c r="B4238" s="71" t="s">
        <v>10813</v>
      </c>
      <c r="C4238" s="198" t="s">
        <v>2453</v>
      </c>
      <c r="D4238" s="198" t="s">
        <v>2272</v>
      </c>
      <c r="E4238" s="198" t="s">
        <v>2272</v>
      </c>
      <c r="F4238" s="198" t="s">
        <v>2272</v>
      </c>
      <c r="G4238" s="198" t="s">
        <v>2272</v>
      </c>
      <c r="H4238" s="4" t="s">
        <v>521</v>
      </c>
      <c r="I4238" s="198"/>
      <c r="J4238" s="71" t="s">
        <v>2272</v>
      </c>
      <c r="K4238" s="21">
        <f>2326*0.65/17/'Record info'!$K$1736</f>
        <v>1.54270315387339E-3</v>
      </c>
      <c r="L4238" s="71" t="s">
        <v>2272</v>
      </c>
      <c r="M4238" s="71" t="s">
        <v>2272</v>
      </c>
      <c r="N4238" s="71" t="s">
        <v>2272</v>
      </c>
      <c r="O4238" s="71" t="s">
        <v>2272</v>
      </c>
      <c r="P4238" s="71" t="s">
        <v>2272</v>
      </c>
      <c r="Q4238" s="21">
        <f>(160635/17)/(855*0.65)</f>
        <v>17.002460903389697</v>
      </c>
      <c r="R4238" s="71" t="s">
        <v>2272</v>
      </c>
      <c r="S4238" s="71" t="s">
        <v>2272</v>
      </c>
      <c r="T4238" s="71" t="s">
        <v>2272</v>
      </c>
      <c r="U4238" s="21">
        <f>160635/17*(2326/855)</f>
        <v>25706.020639834878</v>
      </c>
      <c r="V4238" s="71" t="s">
        <v>2272</v>
      </c>
      <c r="W4238" s="71" t="s">
        <v>2272</v>
      </c>
      <c r="X4238" s="71" t="s">
        <v>2272</v>
      </c>
      <c r="Y4238" s="21">
        <f>U4238/'Record info'!K$1736</f>
        <v>0.44590575100756091</v>
      </c>
      <c r="Z4238" s="71" t="s">
        <v>2272</v>
      </c>
      <c r="AA4238" s="71" t="s">
        <v>2272</v>
      </c>
      <c r="AB4238" s="71" t="s">
        <v>2272</v>
      </c>
      <c r="AC4238" s="71" t="s">
        <v>2272</v>
      </c>
      <c r="AD4238" s="198"/>
      <c r="AE4238" s="198"/>
    </row>
    <row r="4239" spans="1:31" ht="40" customHeight="1">
      <c r="A4239" s="71" t="s">
        <v>10810</v>
      </c>
      <c r="B4239" s="71" t="s">
        <v>10814</v>
      </c>
      <c r="C4239" s="198" t="s">
        <v>23</v>
      </c>
      <c r="D4239" s="198" t="s">
        <v>2342</v>
      </c>
      <c r="E4239" s="198" t="s">
        <v>2272</v>
      </c>
      <c r="F4239" s="198" t="s">
        <v>2272</v>
      </c>
      <c r="G4239" s="198" t="s">
        <v>2272</v>
      </c>
      <c r="H4239" s="4" t="s">
        <v>521</v>
      </c>
      <c r="I4239" s="198"/>
      <c r="J4239" s="71" t="s">
        <v>2272</v>
      </c>
      <c r="K4239" s="212">
        <f>2326*0.07/17/'Record info'!$K$1736</f>
        <v>1.6613726272482663E-4</v>
      </c>
      <c r="L4239" s="71" t="s">
        <v>2272</v>
      </c>
      <c r="M4239" s="71" t="s">
        <v>2272</v>
      </c>
      <c r="N4239" s="71" t="s">
        <v>2272</v>
      </c>
      <c r="O4239" s="71" t="s">
        <v>2272</v>
      </c>
      <c r="P4239" s="71" t="s">
        <v>2272</v>
      </c>
      <c r="Q4239" s="71" t="s">
        <v>2272</v>
      </c>
      <c r="R4239" s="71" t="s">
        <v>2272</v>
      </c>
      <c r="S4239" s="71" t="s">
        <v>2272</v>
      </c>
      <c r="T4239" s="71" t="s">
        <v>2272</v>
      </c>
      <c r="U4239" s="71" t="s">
        <v>2272</v>
      </c>
      <c r="V4239" s="71" t="s">
        <v>2272</v>
      </c>
      <c r="W4239" s="71" t="s">
        <v>2272</v>
      </c>
      <c r="X4239" s="71" t="s">
        <v>2272</v>
      </c>
      <c r="Y4239" s="71" t="s">
        <v>2272</v>
      </c>
      <c r="Z4239" s="71" t="s">
        <v>2272</v>
      </c>
      <c r="AA4239" s="71" t="s">
        <v>2272</v>
      </c>
      <c r="AB4239" s="71" t="s">
        <v>2272</v>
      </c>
      <c r="AC4239" s="71" t="s">
        <v>2272</v>
      </c>
      <c r="AD4239" s="198"/>
      <c r="AE4239" s="198"/>
    </row>
    <row r="4240" spans="1:31" ht="40" customHeight="1">
      <c r="A4240" s="71" t="s">
        <v>10810</v>
      </c>
      <c r="B4240" s="71" t="s">
        <v>10815</v>
      </c>
      <c r="C4240" s="198" t="s">
        <v>2653</v>
      </c>
      <c r="D4240" s="198" t="s">
        <v>2272</v>
      </c>
      <c r="E4240" s="198" t="s">
        <v>2272</v>
      </c>
      <c r="F4240" s="198" t="s">
        <v>2272</v>
      </c>
      <c r="G4240" s="198" t="s">
        <v>2272</v>
      </c>
      <c r="H4240" s="4" t="s">
        <v>521</v>
      </c>
      <c r="I4240" s="198"/>
      <c r="J4240" s="71" t="s">
        <v>2272</v>
      </c>
      <c r="K4240" s="212">
        <f>2326*0.1/17/'Record info'!$K$1736</f>
        <v>2.3733894674975232E-4</v>
      </c>
      <c r="L4240" s="71" t="s">
        <v>2272</v>
      </c>
      <c r="M4240" s="71" t="s">
        <v>2272</v>
      </c>
      <c r="N4240" s="71" t="s">
        <v>2272</v>
      </c>
      <c r="O4240" s="71" t="s">
        <v>2272</v>
      </c>
      <c r="P4240" s="71" t="s">
        <v>2272</v>
      </c>
      <c r="Q4240" s="71" t="s">
        <v>2272</v>
      </c>
      <c r="R4240" s="71" t="s">
        <v>2272</v>
      </c>
      <c r="S4240" s="71" t="s">
        <v>2272</v>
      </c>
      <c r="T4240" s="71" t="s">
        <v>2272</v>
      </c>
      <c r="U4240" s="71" t="s">
        <v>2272</v>
      </c>
      <c r="V4240" s="71" t="s">
        <v>2272</v>
      </c>
      <c r="W4240" s="71" t="s">
        <v>2272</v>
      </c>
      <c r="X4240" s="71" t="s">
        <v>2272</v>
      </c>
      <c r="Y4240" s="71" t="s">
        <v>2272</v>
      </c>
      <c r="Z4240" s="71" t="s">
        <v>2272</v>
      </c>
      <c r="AA4240" s="71" t="s">
        <v>2272</v>
      </c>
      <c r="AB4240" s="71" t="s">
        <v>2272</v>
      </c>
      <c r="AC4240" s="71" t="s">
        <v>2272</v>
      </c>
      <c r="AD4240" s="198"/>
      <c r="AE4240" s="198"/>
    </row>
    <row r="4241" spans="1:31" ht="41.5" customHeight="1">
      <c r="A4241" s="71" t="s">
        <v>10810</v>
      </c>
      <c r="B4241" s="71" t="s">
        <v>10816</v>
      </c>
      <c r="C4241" s="198" t="s">
        <v>23</v>
      </c>
      <c r="D4241" s="198" t="s">
        <v>2272</v>
      </c>
      <c r="E4241" s="198" t="s">
        <v>2648</v>
      </c>
      <c r="F4241" s="198" t="s">
        <v>2272</v>
      </c>
      <c r="G4241" s="198" t="s">
        <v>2272</v>
      </c>
      <c r="H4241" s="4" t="s">
        <v>521</v>
      </c>
      <c r="I4241" s="198"/>
      <c r="J4241" s="71" t="s">
        <v>2272</v>
      </c>
      <c r="K4241" s="71" t="s">
        <v>2272</v>
      </c>
      <c r="L4241" s="71" t="s">
        <v>2272</v>
      </c>
      <c r="M4241" s="71" t="s">
        <v>2272</v>
      </c>
      <c r="N4241" s="71" t="s">
        <v>2272</v>
      </c>
      <c r="O4241" s="71" t="s">
        <v>2272</v>
      </c>
      <c r="P4241" s="71" t="s">
        <v>2272</v>
      </c>
      <c r="Q4241" s="71" t="s">
        <v>2272</v>
      </c>
      <c r="R4241" s="71" t="s">
        <v>2272</v>
      </c>
      <c r="S4241" s="71" t="s">
        <v>2272</v>
      </c>
      <c r="T4241" s="71" t="s">
        <v>2272</v>
      </c>
      <c r="U4241" s="71" t="s">
        <v>2272</v>
      </c>
      <c r="V4241" s="71" t="s">
        <v>2272</v>
      </c>
      <c r="W4241" s="71" t="s">
        <v>2272</v>
      </c>
      <c r="X4241" s="71" t="s">
        <v>2272</v>
      </c>
      <c r="Y4241" s="71" t="s">
        <v>2272</v>
      </c>
      <c r="Z4241" s="71" t="s">
        <v>2272</v>
      </c>
      <c r="AA4241" s="71" t="s">
        <v>2272</v>
      </c>
      <c r="AB4241" s="71" t="s">
        <v>2272</v>
      </c>
      <c r="AC4241" s="71" t="s">
        <v>2272</v>
      </c>
      <c r="AD4241" s="4" t="s">
        <v>10818</v>
      </c>
      <c r="AE4241" s="198"/>
    </row>
    <row r="4242" spans="1:31" ht="41.5" customHeight="1">
      <c r="A4242" s="71" t="s">
        <v>10810</v>
      </c>
      <c r="B4242" s="71" t="s">
        <v>10817</v>
      </c>
      <c r="C4242" s="198" t="s">
        <v>23</v>
      </c>
      <c r="D4242" s="198" t="s">
        <v>2272</v>
      </c>
      <c r="E4242" s="198" t="s">
        <v>2644</v>
      </c>
      <c r="F4242" s="198" t="s">
        <v>2272</v>
      </c>
      <c r="G4242" s="198" t="s">
        <v>2658</v>
      </c>
      <c r="H4242" s="4" t="s">
        <v>521</v>
      </c>
      <c r="I4242" s="198"/>
      <c r="J4242" s="71" t="s">
        <v>2272</v>
      </c>
      <c r="K4242" s="71" t="s">
        <v>2272</v>
      </c>
      <c r="L4242" s="71" t="s">
        <v>2272</v>
      </c>
      <c r="M4242" s="71" t="s">
        <v>2272</v>
      </c>
      <c r="N4242" s="71" t="s">
        <v>2272</v>
      </c>
      <c r="O4242" s="71" t="s">
        <v>2272</v>
      </c>
      <c r="P4242" s="71" t="s">
        <v>2272</v>
      </c>
      <c r="Q4242" s="71" t="s">
        <v>2272</v>
      </c>
      <c r="R4242" s="71" t="s">
        <v>2272</v>
      </c>
      <c r="S4242" s="71" t="s">
        <v>2272</v>
      </c>
      <c r="T4242" s="71" t="s">
        <v>2272</v>
      </c>
      <c r="U4242" s="71" t="s">
        <v>2272</v>
      </c>
      <c r="V4242" s="71" t="s">
        <v>2272</v>
      </c>
      <c r="W4242" s="71" t="s">
        <v>2272</v>
      </c>
      <c r="X4242" s="71" t="s">
        <v>2272</v>
      </c>
      <c r="Y4242" s="71" t="s">
        <v>2272</v>
      </c>
      <c r="Z4242" s="71" t="s">
        <v>2272</v>
      </c>
      <c r="AA4242" s="71" t="s">
        <v>2272</v>
      </c>
      <c r="AB4242" s="71" t="s">
        <v>2272</v>
      </c>
      <c r="AC4242" s="71" t="s">
        <v>2272</v>
      </c>
      <c r="AD4242" s="4" t="s">
        <v>10818</v>
      </c>
      <c r="AE4242" s="198"/>
    </row>
    <row r="4243" spans="1:31" ht="57" customHeight="1">
      <c r="A4243" s="71" t="s">
        <v>10810</v>
      </c>
      <c r="B4243" s="71" t="s">
        <v>10821</v>
      </c>
      <c r="C4243" s="198" t="s">
        <v>23</v>
      </c>
      <c r="D4243" s="198" t="s">
        <v>2272</v>
      </c>
      <c r="E4243" s="198" t="s">
        <v>44</v>
      </c>
      <c r="F4243" s="198" t="s">
        <v>2272</v>
      </c>
      <c r="G4243" s="4" t="s">
        <v>2657</v>
      </c>
      <c r="H4243" s="4" t="s">
        <v>521</v>
      </c>
      <c r="I4243" s="198"/>
      <c r="J4243" s="71" t="s">
        <v>2272</v>
      </c>
      <c r="K4243" s="71" t="s">
        <v>2272</v>
      </c>
      <c r="L4243" s="71" t="s">
        <v>2272</v>
      </c>
      <c r="M4243" s="71" t="s">
        <v>2272</v>
      </c>
      <c r="N4243" s="71" t="s">
        <v>2272</v>
      </c>
      <c r="O4243" s="71" t="s">
        <v>2272</v>
      </c>
      <c r="P4243" s="71" t="s">
        <v>2272</v>
      </c>
      <c r="Q4243" s="71" t="s">
        <v>2272</v>
      </c>
      <c r="R4243" s="71" t="s">
        <v>2272</v>
      </c>
      <c r="S4243" s="71" t="s">
        <v>2272</v>
      </c>
      <c r="T4243" s="71" t="s">
        <v>2272</v>
      </c>
      <c r="U4243" s="71" t="s">
        <v>2272</v>
      </c>
      <c r="V4243" s="71" t="s">
        <v>2272</v>
      </c>
      <c r="W4243" s="71" t="s">
        <v>2272</v>
      </c>
      <c r="X4243" s="71" t="s">
        <v>2272</v>
      </c>
      <c r="Y4243" s="71" t="s">
        <v>2272</v>
      </c>
      <c r="Z4243" s="71" t="s">
        <v>2272</v>
      </c>
      <c r="AA4243" s="71" t="s">
        <v>2272</v>
      </c>
      <c r="AB4243" s="71" t="s">
        <v>2272</v>
      </c>
      <c r="AC4243" s="71" t="s">
        <v>2272</v>
      </c>
      <c r="AD4243" s="71" t="s">
        <v>10822</v>
      </c>
      <c r="AE4243" s="198"/>
    </row>
    <row r="4244" spans="1:31" ht="46.5" customHeight="1">
      <c r="A4244" s="71" t="s">
        <v>10824</v>
      </c>
      <c r="B4244" s="71" t="s">
        <v>10827</v>
      </c>
      <c r="C4244" s="198" t="s">
        <v>2453</v>
      </c>
      <c r="D4244" s="198" t="s">
        <v>1102</v>
      </c>
      <c r="E4244" s="198" t="s">
        <v>1102</v>
      </c>
      <c r="F4244" s="198" t="s">
        <v>1102</v>
      </c>
      <c r="G4244" s="198" t="s">
        <v>2658</v>
      </c>
      <c r="H4244" s="4" t="s">
        <v>521</v>
      </c>
      <c r="I4244" s="198"/>
      <c r="J4244" s="71" t="s">
        <v>2272</v>
      </c>
      <c r="K4244" s="21">
        <f>3231/10/'Record info'!$K$1737-K4247</f>
        <v>2.0073084970986046E-2</v>
      </c>
      <c r="L4244" s="71" t="s">
        <v>2272</v>
      </c>
      <c r="M4244" s="71" t="s">
        <v>2272</v>
      </c>
      <c r="N4244" s="71" t="s">
        <v>2272</v>
      </c>
      <c r="O4244" s="71" t="s">
        <v>2272</v>
      </c>
      <c r="P4244" s="71" t="s">
        <v>2272</v>
      </c>
      <c r="Q4244" s="21">
        <v>1.34</v>
      </c>
      <c r="R4244" s="71" t="s">
        <v>2272</v>
      </c>
      <c r="S4244" s="71" t="s">
        <v>2272</v>
      </c>
      <c r="T4244" s="71" t="s">
        <v>2272</v>
      </c>
      <c r="U4244" s="21">
        <f>4343/10</f>
        <v>434.3</v>
      </c>
      <c r="V4244" s="71" t="s">
        <v>2272</v>
      </c>
      <c r="W4244" s="71" t="s">
        <v>2272</v>
      </c>
      <c r="X4244" s="71" t="s">
        <v>2272</v>
      </c>
      <c r="Y4244" s="21">
        <f>U4244/'Record info'!K1737</f>
        <v>3.7474383588239103E-2</v>
      </c>
      <c r="Z4244" s="71" t="s">
        <v>2272</v>
      </c>
      <c r="AA4244" s="198" t="s">
        <v>84</v>
      </c>
      <c r="AB4244" s="198" t="s">
        <v>67</v>
      </c>
      <c r="AC4244" s="198" t="s">
        <v>75</v>
      </c>
      <c r="AD4244" s="198"/>
      <c r="AE4244" s="198"/>
    </row>
    <row r="4245" spans="1:31" ht="39" customHeight="1">
      <c r="A4245" s="71" t="s">
        <v>10824</v>
      </c>
      <c r="B4245" s="71" t="s">
        <v>10828</v>
      </c>
      <c r="C4245" s="198" t="s">
        <v>2453</v>
      </c>
      <c r="D4245" s="198" t="s">
        <v>2989</v>
      </c>
      <c r="E4245" s="198" t="s">
        <v>5000</v>
      </c>
      <c r="F4245" s="198" t="s">
        <v>2272</v>
      </c>
      <c r="G4245" s="198" t="s">
        <v>2658</v>
      </c>
      <c r="H4245" s="4" t="s">
        <v>521</v>
      </c>
      <c r="I4245" s="198"/>
      <c r="J4245" s="71" t="s">
        <v>2272</v>
      </c>
      <c r="K4245" s="71" t="s">
        <v>2272</v>
      </c>
      <c r="L4245" s="71" t="s">
        <v>2272</v>
      </c>
      <c r="M4245" s="71" t="s">
        <v>2272</v>
      </c>
      <c r="N4245" s="71" t="s">
        <v>2272</v>
      </c>
      <c r="O4245" s="71" t="s">
        <v>2272</v>
      </c>
      <c r="P4245" s="71" t="s">
        <v>2272</v>
      </c>
      <c r="Q4245" s="71" t="s">
        <v>2272</v>
      </c>
      <c r="R4245" s="71" t="s">
        <v>2272</v>
      </c>
      <c r="S4245" s="71" t="s">
        <v>2272</v>
      </c>
      <c r="T4245" s="71" t="s">
        <v>2272</v>
      </c>
      <c r="U4245" s="71" t="s">
        <v>2272</v>
      </c>
      <c r="V4245" s="71" t="s">
        <v>2272</v>
      </c>
      <c r="W4245" s="71" t="s">
        <v>2272</v>
      </c>
      <c r="X4245" s="71" t="s">
        <v>2272</v>
      </c>
      <c r="Y4245" s="71" t="s">
        <v>2272</v>
      </c>
      <c r="Z4245" s="71" t="s">
        <v>2272</v>
      </c>
      <c r="AA4245" s="198" t="s">
        <v>37</v>
      </c>
      <c r="AB4245" s="198" t="s">
        <v>84</v>
      </c>
      <c r="AC4245" s="71" t="s">
        <v>2272</v>
      </c>
      <c r="AD4245" s="198"/>
      <c r="AE4245" s="198"/>
    </row>
    <row r="4246" spans="1:31" ht="45.5" customHeight="1">
      <c r="A4246" s="71" t="s">
        <v>10824</v>
      </c>
      <c r="B4246" s="71" t="s">
        <v>10829</v>
      </c>
      <c r="C4246" s="198" t="s">
        <v>2453</v>
      </c>
      <c r="D4246" s="198" t="s">
        <v>2654</v>
      </c>
      <c r="E4246" s="198" t="s">
        <v>2272</v>
      </c>
      <c r="F4246" s="198" t="s">
        <v>2272</v>
      </c>
      <c r="G4246" s="198" t="s">
        <v>2658</v>
      </c>
      <c r="H4246" s="4" t="s">
        <v>521</v>
      </c>
      <c r="I4246" s="198"/>
      <c r="J4246" s="71" t="s">
        <v>2272</v>
      </c>
      <c r="K4246" s="71" t="s">
        <v>2272</v>
      </c>
      <c r="L4246" s="71" t="s">
        <v>2272</v>
      </c>
      <c r="M4246" s="71" t="s">
        <v>2272</v>
      </c>
      <c r="N4246" s="71" t="s">
        <v>2272</v>
      </c>
      <c r="O4246" s="71" t="s">
        <v>2272</v>
      </c>
      <c r="P4246" s="71" t="s">
        <v>2272</v>
      </c>
      <c r="Q4246" s="71" t="s">
        <v>2272</v>
      </c>
      <c r="R4246" s="71" t="s">
        <v>2272</v>
      </c>
      <c r="S4246" s="71" t="s">
        <v>2272</v>
      </c>
      <c r="T4246" s="71" t="s">
        <v>2272</v>
      </c>
      <c r="U4246" s="71" t="s">
        <v>2272</v>
      </c>
      <c r="V4246" s="71" t="s">
        <v>2272</v>
      </c>
      <c r="W4246" s="71" t="s">
        <v>2272</v>
      </c>
      <c r="X4246" s="71" t="s">
        <v>2272</v>
      </c>
      <c r="Y4246" s="71" t="s">
        <v>2272</v>
      </c>
      <c r="Z4246" s="71" t="s">
        <v>2272</v>
      </c>
      <c r="AA4246" s="198" t="s">
        <v>67</v>
      </c>
      <c r="AB4246" s="198" t="s">
        <v>34</v>
      </c>
      <c r="AC4246" s="198" t="s">
        <v>2272</v>
      </c>
      <c r="AD4246" s="198"/>
      <c r="AE4246" s="198"/>
    </row>
    <row r="4247" spans="1:31" ht="42.5" customHeight="1">
      <c r="A4247" s="71" t="s">
        <v>10824</v>
      </c>
      <c r="B4247" s="71" t="s">
        <v>10830</v>
      </c>
      <c r="C4247" s="198" t="s">
        <v>2651</v>
      </c>
      <c r="D4247" s="198" t="s">
        <v>2272</v>
      </c>
      <c r="E4247" s="198" t="s">
        <v>2272</v>
      </c>
      <c r="F4247" s="198" t="s">
        <v>2272</v>
      </c>
      <c r="G4247" s="198" t="s">
        <v>2658</v>
      </c>
      <c r="H4247" s="4" t="s">
        <v>521</v>
      </c>
      <c r="I4247" s="198"/>
      <c r="J4247" s="71" t="s">
        <v>2272</v>
      </c>
      <c r="K4247" s="21">
        <f>3231*0.28/10/'Record info'!$K$1737</f>
        <v>7.8061997109390166E-3</v>
      </c>
      <c r="L4247" s="71" t="s">
        <v>2272</v>
      </c>
      <c r="M4247" s="71" t="s">
        <v>2272</v>
      </c>
      <c r="N4247" s="71" t="s">
        <v>2272</v>
      </c>
      <c r="O4247" s="71" t="s">
        <v>2272</v>
      </c>
      <c r="P4247" s="71" t="s">
        <v>2272</v>
      </c>
      <c r="Q4247" s="71" t="s">
        <v>2272</v>
      </c>
      <c r="R4247" s="71" t="s">
        <v>2272</v>
      </c>
      <c r="S4247" s="71" t="s">
        <v>2272</v>
      </c>
      <c r="T4247" s="71" t="s">
        <v>2272</v>
      </c>
      <c r="U4247" s="71" t="s">
        <v>2272</v>
      </c>
      <c r="V4247" s="71" t="s">
        <v>2272</v>
      </c>
      <c r="W4247" s="71" t="s">
        <v>2272</v>
      </c>
      <c r="X4247" s="71" t="s">
        <v>2272</v>
      </c>
      <c r="Y4247" s="71" t="s">
        <v>2272</v>
      </c>
      <c r="Z4247" s="71" t="s">
        <v>2272</v>
      </c>
      <c r="AA4247" s="71" t="s">
        <v>2272</v>
      </c>
      <c r="AB4247" s="71" t="s">
        <v>2272</v>
      </c>
      <c r="AC4247" s="71" t="s">
        <v>2272</v>
      </c>
      <c r="AD4247" s="198"/>
      <c r="AE4247" s="198"/>
    </row>
    <row r="4248" spans="1:31" ht="42.5" customHeight="1">
      <c r="A4248" s="71" t="s">
        <v>10824</v>
      </c>
      <c r="B4248" s="71" t="s">
        <v>10831</v>
      </c>
      <c r="C4248" s="198" t="s">
        <v>23</v>
      </c>
      <c r="D4248" s="198" t="s">
        <v>2342</v>
      </c>
      <c r="E4248" s="198" t="s">
        <v>2272</v>
      </c>
      <c r="F4248" s="198" t="s">
        <v>2272</v>
      </c>
      <c r="G4248" s="198" t="s">
        <v>2658</v>
      </c>
      <c r="H4248" s="4" t="s">
        <v>521</v>
      </c>
      <c r="I4248" s="198"/>
      <c r="J4248" s="71" t="s">
        <v>2272</v>
      </c>
      <c r="K4248" s="71" t="s">
        <v>2272</v>
      </c>
      <c r="L4248" s="71" t="s">
        <v>2272</v>
      </c>
      <c r="M4248" s="71" t="s">
        <v>2272</v>
      </c>
      <c r="N4248" s="71" t="s">
        <v>2272</v>
      </c>
      <c r="O4248" s="71" t="s">
        <v>2272</v>
      </c>
      <c r="P4248" s="71" t="s">
        <v>2272</v>
      </c>
      <c r="Q4248" s="71" t="s">
        <v>2272</v>
      </c>
      <c r="R4248" s="71" t="s">
        <v>2272</v>
      </c>
      <c r="S4248" s="71" t="s">
        <v>2272</v>
      </c>
      <c r="T4248" s="71" t="s">
        <v>2272</v>
      </c>
      <c r="U4248" s="71" t="s">
        <v>2272</v>
      </c>
      <c r="V4248" s="71" t="s">
        <v>2272</v>
      </c>
      <c r="W4248" s="71" t="s">
        <v>2272</v>
      </c>
      <c r="X4248" s="71" t="s">
        <v>2272</v>
      </c>
      <c r="Y4248" s="71" t="s">
        <v>2272</v>
      </c>
      <c r="Z4248" s="71" t="s">
        <v>2272</v>
      </c>
      <c r="AA4248" s="71" t="s">
        <v>2272</v>
      </c>
      <c r="AB4248" s="71" t="s">
        <v>2272</v>
      </c>
      <c r="AC4248" s="71" t="s">
        <v>2272</v>
      </c>
      <c r="AD4248" s="198"/>
      <c r="AE4248" s="198"/>
    </row>
    <row r="4249" spans="1:31" ht="42.5" customHeight="1">
      <c r="A4249" s="71" t="s">
        <v>10824</v>
      </c>
      <c r="B4249" s="71" t="s">
        <v>10832</v>
      </c>
      <c r="C4249" s="198" t="s">
        <v>23</v>
      </c>
      <c r="D4249" s="198" t="s">
        <v>1241</v>
      </c>
      <c r="E4249" s="198" t="s">
        <v>114</v>
      </c>
      <c r="F4249" s="198" t="s">
        <v>2272</v>
      </c>
      <c r="G4249" s="198" t="s">
        <v>2658</v>
      </c>
      <c r="H4249" s="4" t="s">
        <v>521</v>
      </c>
      <c r="I4249" s="198"/>
      <c r="J4249" s="71" t="s">
        <v>2272</v>
      </c>
      <c r="K4249" s="71" t="s">
        <v>2272</v>
      </c>
      <c r="L4249" s="71" t="s">
        <v>2272</v>
      </c>
      <c r="M4249" s="71" t="s">
        <v>2272</v>
      </c>
      <c r="N4249" s="71" t="s">
        <v>2272</v>
      </c>
      <c r="O4249" s="71" t="s">
        <v>2272</v>
      </c>
      <c r="P4249" s="71" t="s">
        <v>2272</v>
      </c>
      <c r="Q4249" s="71" t="s">
        <v>2272</v>
      </c>
      <c r="R4249" s="71" t="s">
        <v>2272</v>
      </c>
      <c r="S4249" s="71" t="s">
        <v>2272</v>
      </c>
      <c r="T4249" s="71" t="s">
        <v>2272</v>
      </c>
      <c r="U4249" s="71" t="s">
        <v>2272</v>
      </c>
      <c r="V4249" s="71" t="s">
        <v>2272</v>
      </c>
      <c r="W4249" s="71" t="s">
        <v>2272</v>
      </c>
      <c r="X4249" s="71" t="s">
        <v>2272</v>
      </c>
      <c r="Y4249" s="71" t="s">
        <v>2272</v>
      </c>
      <c r="Z4249" s="71" t="s">
        <v>2272</v>
      </c>
      <c r="AA4249" s="71" t="s">
        <v>2272</v>
      </c>
      <c r="AB4249" s="71" t="s">
        <v>2272</v>
      </c>
      <c r="AC4249" s="71" t="s">
        <v>2272</v>
      </c>
      <c r="AD4249" s="198"/>
      <c r="AE4249" s="198"/>
    </row>
    <row r="4250" spans="1:31" ht="42.5" customHeight="1">
      <c r="A4250" s="71" t="s">
        <v>10824</v>
      </c>
      <c r="B4250" s="71" t="s">
        <v>10833</v>
      </c>
      <c r="C4250" s="198" t="s">
        <v>2453</v>
      </c>
      <c r="D4250" s="198" t="s">
        <v>2989</v>
      </c>
      <c r="E4250" s="198" t="s">
        <v>2647</v>
      </c>
      <c r="F4250" s="198" t="s">
        <v>2272</v>
      </c>
      <c r="G4250" s="198" t="s">
        <v>2658</v>
      </c>
      <c r="H4250" s="4" t="s">
        <v>521</v>
      </c>
      <c r="I4250" s="198"/>
      <c r="J4250" s="71" t="s">
        <v>2272</v>
      </c>
      <c r="K4250" s="71" t="s">
        <v>2272</v>
      </c>
      <c r="L4250" s="71" t="s">
        <v>2272</v>
      </c>
      <c r="M4250" s="71" t="s">
        <v>2272</v>
      </c>
      <c r="N4250" s="71" t="s">
        <v>2272</v>
      </c>
      <c r="O4250" s="71" t="s">
        <v>2272</v>
      </c>
      <c r="P4250" s="71" t="s">
        <v>2272</v>
      </c>
      <c r="Q4250" s="71" t="s">
        <v>2272</v>
      </c>
      <c r="R4250" s="71" t="s">
        <v>2272</v>
      </c>
      <c r="S4250" s="71" t="s">
        <v>2272</v>
      </c>
      <c r="T4250" s="71" t="s">
        <v>2272</v>
      </c>
      <c r="U4250" s="71" t="s">
        <v>2272</v>
      </c>
      <c r="V4250" s="71" t="s">
        <v>2272</v>
      </c>
      <c r="W4250" s="71" t="s">
        <v>2272</v>
      </c>
      <c r="X4250" s="71" t="s">
        <v>2272</v>
      </c>
      <c r="Y4250" s="71" t="s">
        <v>2272</v>
      </c>
      <c r="Z4250" s="71" t="s">
        <v>2272</v>
      </c>
      <c r="AA4250" s="71" t="s">
        <v>2272</v>
      </c>
      <c r="AB4250" s="71" t="s">
        <v>2272</v>
      </c>
      <c r="AC4250" s="71" t="s">
        <v>2272</v>
      </c>
      <c r="AD4250" s="198"/>
      <c r="AE4250" s="198"/>
    </row>
    <row r="4251" spans="1:31" ht="42.5" customHeight="1">
      <c r="A4251" s="71" t="s">
        <v>10824</v>
      </c>
      <c r="B4251" s="71" t="s">
        <v>10834</v>
      </c>
      <c r="C4251" s="198" t="s">
        <v>30</v>
      </c>
      <c r="D4251" s="198" t="s">
        <v>29</v>
      </c>
      <c r="E4251" s="198" t="s">
        <v>2648</v>
      </c>
      <c r="F4251" s="198" t="s">
        <v>2272</v>
      </c>
      <c r="G4251" s="198" t="s">
        <v>2658</v>
      </c>
      <c r="H4251" s="4" t="s">
        <v>521</v>
      </c>
      <c r="I4251" s="198"/>
      <c r="J4251" s="71" t="s">
        <v>2272</v>
      </c>
      <c r="K4251" s="71" t="s">
        <v>2272</v>
      </c>
      <c r="L4251" s="71" t="s">
        <v>2272</v>
      </c>
      <c r="M4251" s="71" t="s">
        <v>2272</v>
      </c>
      <c r="N4251" s="71" t="s">
        <v>2272</v>
      </c>
      <c r="O4251" s="71" t="s">
        <v>2272</v>
      </c>
      <c r="P4251" s="71" t="s">
        <v>2272</v>
      </c>
      <c r="Q4251" s="71" t="s">
        <v>2272</v>
      </c>
      <c r="R4251" s="71" t="s">
        <v>2272</v>
      </c>
      <c r="S4251" s="71" t="s">
        <v>2272</v>
      </c>
      <c r="T4251" s="71" t="s">
        <v>2272</v>
      </c>
      <c r="U4251" s="71" t="s">
        <v>2272</v>
      </c>
      <c r="V4251" s="71" t="s">
        <v>2272</v>
      </c>
      <c r="W4251" s="71" t="s">
        <v>2272</v>
      </c>
      <c r="X4251" s="71" t="s">
        <v>2272</v>
      </c>
      <c r="Y4251" s="71" t="s">
        <v>2272</v>
      </c>
      <c r="Z4251" s="71" t="s">
        <v>2272</v>
      </c>
      <c r="AA4251" s="71" t="s">
        <v>2272</v>
      </c>
      <c r="AB4251" s="71" t="s">
        <v>2272</v>
      </c>
      <c r="AC4251" s="71" t="s">
        <v>2272</v>
      </c>
      <c r="AD4251" s="198"/>
      <c r="AE4251" s="198"/>
    </row>
    <row r="4252" spans="1:31" ht="40.5" customHeight="1">
      <c r="A4252" s="71" t="s">
        <v>10845</v>
      </c>
      <c r="B4252" s="71" t="s">
        <v>10850</v>
      </c>
      <c r="C4252" s="198" t="s">
        <v>30</v>
      </c>
      <c r="D4252" s="198" t="s">
        <v>29</v>
      </c>
      <c r="E4252" s="198" t="s">
        <v>2647</v>
      </c>
      <c r="F4252" s="198" t="s">
        <v>2272</v>
      </c>
      <c r="G4252" s="198" t="s">
        <v>73</v>
      </c>
      <c r="H4252" s="4" t="s">
        <v>521</v>
      </c>
      <c r="I4252" s="198"/>
      <c r="J4252" s="71" t="s">
        <v>2272</v>
      </c>
      <c r="K4252" s="71" t="s">
        <v>2272</v>
      </c>
      <c r="L4252" s="71" t="s">
        <v>2272</v>
      </c>
      <c r="M4252" s="71" t="s">
        <v>2272</v>
      </c>
      <c r="N4252" s="71" t="s">
        <v>2272</v>
      </c>
      <c r="O4252" s="71" t="s">
        <v>2272</v>
      </c>
      <c r="P4252" s="71" t="s">
        <v>2272</v>
      </c>
      <c r="Q4252" s="71" t="s">
        <v>2272</v>
      </c>
      <c r="R4252" s="71" t="s">
        <v>2272</v>
      </c>
      <c r="S4252" s="71" t="s">
        <v>2272</v>
      </c>
      <c r="T4252" s="71" t="s">
        <v>2272</v>
      </c>
      <c r="U4252" s="71" t="s">
        <v>2272</v>
      </c>
      <c r="V4252" s="71" t="s">
        <v>2272</v>
      </c>
      <c r="W4252" s="71" t="s">
        <v>2272</v>
      </c>
      <c r="X4252" s="71" t="s">
        <v>2272</v>
      </c>
      <c r="Y4252" s="71" t="s">
        <v>2272</v>
      </c>
      <c r="Z4252" s="71" t="s">
        <v>2272</v>
      </c>
      <c r="AA4252" s="198" t="s">
        <v>187</v>
      </c>
      <c r="AB4252" s="198" t="s">
        <v>84</v>
      </c>
      <c r="AC4252" s="71" t="s">
        <v>2272</v>
      </c>
      <c r="AD4252" s="71" t="s">
        <v>10855</v>
      </c>
      <c r="AE4252" s="198"/>
    </row>
    <row r="4253" spans="1:31" ht="39" customHeight="1">
      <c r="A4253" s="71" t="s">
        <v>10845</v>
      </c>
      <c r="B4253" s="71" t="s">
        <v>10849</v>
      </c>
      <c r="C4253" s="198" t="s">
        <v>30</v>
      </c>
      <c r="D4253" s="198" t="s">
        <v>29</v>
      </c>
      <c r="E4253" s="198" t="s">
        <v>2648</v>
      </c>
      <c r="F4253" s="198" t="s">
        <v>2272</v>
      </c>
      <c r="G4253" s="198" t="s">
        <v>73</v>
      </c>
      <c r="H4253" s="4" t="s">
        <v>521</v>
      </c>
      <c r="I4253" s="198"/>
      <c r="J4253" s="71" t="s">
        <v>2272</v>
      </c>
      <c r="K4253" s="71" t="s">
        <v>2272</v>
      </c>
      <c r="L4253" s="71" t="s">
        <v>2272</v>
      </c>
      <c r="M4253" s="71" t="s">
        <v>2272</v>
      </c>
      <c r="N4253" s="71" t="s">
        <v>2272</v>
      </c>
      <c r="O4253" s="71" t="s">
        <v>2272</v>
      </c>
      <c r="P4253" s="71" t="s">
        <v>2272</v>
      </c>
      <c r="Q4253" s="71" t="s">
        <v>2272</v>
      </c>
      <c r="R4253" s="71" t="s">
        <v>2272</v>
      </c>
      <c r="S4253" s="71" t="s">
        <v>2272</v>
      </c>
      <c r="T4253" s="71" t="s">
        <v>2272</v>
      </c>
      <c r="U4253" s="71" t="s">
        <v>2272</v>
      </c>
      <c r="V4253" s="71" t="s">
        <v>2272</v>
      </c>
      <c r="W4253" s="71" t="s">
        <v>2272</v>
      </c>
      <c r="X4253" s="71" t="s">
        <v>2272</v>
      </c>
      <c r="Y4253" s="71" t="s">
        <v>2272</v>
      </c>
      <c r="Z4253" s="71" t="s">
        <v>2272</v>
      </c>
      <c r="AA4253" s="198" t="s">
        <v>187</v>
      </c>
      <c r="AB4253" s="198" t="s">
        <v>84</v>
      </c>
      <c r="AC4253" s="71" t="s">
        <v>2272</v>
      </c>
      <c r="AD4253" s="71" t="s">
        <v>10856</v>
      </c>
      <c r="AE4253" s="198"/>
    </row>
    <row r="4254" spans="1:31" ht="40" customHeight="1">
      <c r="A4254" s="71" t="s">
        <v>10845</v>
      </c>
      <c r="B4254" s="71" t="s">
        <v>10853</v>
      </c>
      <c r="C4254" s="198" t="s">
        <v>30</v>
      </c>
      <c r="D4254" s="198" t="s">
        <v>29</v>
      </c>
      <c r="E4254" s="198" t="s">
        <v>2644</v>
      </c>
      <c r="F4254" s="198" t="s">
        <v>2272</v>
      </c>
      <c r="G4254" s="198" t="s">
        <v>73</v>
      </c>
      <c r="H4254" s="4" t="s">
        <v>521</v>
      </c>
      <c r="I4254" s="198"/>
      <c r="J4254" s="71" t="s">
        <v>2272</v>
      </c>
      <c r="K4254" s="71" t="s">
        <v>2272</v>
      </c>
      <c r="L4254" s="71" t="s">
        <v>2272</v>
      </c>
      <c r="M4254" s="71" t="s">
        <v>2272</v>
      </c>
      <c r="N4254" s="71" t="s">
        <v>2272</v>
      </c>
      <c r="O4254" s="71" t="s">
        <v>2272</v>
      </c>
      <c r="P4254" s="71" t="s">
        <v>2272</v>
      </c>
      <c r="Q4254" s="71" t="s">
        <v>2272</v>
      </c>
      <c r="R4254" s="71" t="s">
        <v>2272</v>
      </c>
      <c r="S4254" s="71" t="s">
        <v>2272</v>
      </c>
      <c r="T4254" s="71" t="s">
        <v>2272</v>
      </c>
      <c r="U4254" s="71" t="s">
        <v>2272</v>
      </c>
      <c r="V4254" s="71" t="s">
        <v>2272</v>
      </c>
      <c r="W4254" s="71" t="s">
        <v>2272</v>
      </c>
      <c r="X4254" s="71" t="s">
        <v>2272</v>
      </c>
      <c r="Y4254" s="71" t="s">
        <v>2272</v>
      </c>
      <c r="Z4254" s="71" t="s">
        <v>2272</v>
      </c>
      <c r="AA4254" s="198" t="s">
        <v>187</v>
      </c>
      <c r="AB4254" s="198" t="s">
        <v>84</v>
      </c>
      <c r="AC4254" s="71" t="s">
        <v>2272</v>
      </c>
      <c r="AD4254" s="71" t="s">
        <v>10855</v>
      </c>
      <c r="AE4254" s="198"/>
    </row>
    <row r="4255" spans="1:31" ht="40.5" customHeight="1">
      <c r="A4255" s="71" t="s">
        <v>10862</v>
      </c>
      <c r="B4255" s="71" t="s">
        <v>10870</v>
      </c>
      <c r="C4255" s="198" t="s">
        <v>23</v>
      </c>
      <c r="D4255" s="198" t="s">
        <v>142</v>
      </c>
      <c r="E4255" s="4" t="s">
        <v>135</v>
      </c>
      <c r="F4255" s="4" t="s">
        <v>2657</v>
      </c>
      <c r="G4255" s="4" t="s">
        <v>2657</v>
      </c>
      <c r="H4255" s="4" t="s">
        <v>521</v>
      </c>
      <c r="I4255" s="198"/>
      <c r="J4255" s="71" t="s">
        <v>2272</v>
      </c>
      <c r="K4255" s="71" t="s">
        <v>2272</v>
      </c>
      <c r="L4255" s="71" t="s">
        <v>2272</v>
      </c>
      <c r="M4255" s="71" t="s">
        <v>2272</v>
      </c>
      <c r="N4255" s="71" t="s">
        <v>2272</v>
      </c>
      <c r="O4255" s="71" t="s">
        <v>2272</v>
      </c>
      <c r="P4255" s="71" t="s">
        <v>2272</v>
      </c>
      <c r="Q4255" s="71" t="s">
        <v>2272</v>
      </c>
      <c r="R4255" s="71" t="s">
        <v>2272</v>
      </c>
      <c r="S4255" s="71" t="s">
        <v>2272</v>
      </c>
      <c r="T4255" s="71" t="s">
        <v>2272</v>
      </c>
      <c r="U4255" s="71" t="s">
        <v>2272</v>
      </c>
      <c r="V4255" s="71" t="s">
        <v>2272</v>
      </c>
      <c r="W4255" s="71" t="s">
        <v>2272</v>
      </c>
      <c r="X4255" s="71" t="s">
        <v>2272</v>
      </c>
      <c r="Y4255" s="71" t="s">
        <v>2272</v>
      </c>
      <c r="Z4255" s="71" t="s">
        <v>2272</v>
      </c>
      <c r="AA4255" s="71" t="s">
        <v>2272</v>
      </c>
      <c r="AB4255" s="71" t="s">
        <v>2272</v>
      </c>
      <c r="AC4255" s="71" t="s">
        <v>2272</v>
      </c>
      <c r="AD4255" s="198"/>
      <c r="AE4255" s="198"/>
    </row>
    <row r="4256" spans="1:31" ht="60.5" customHeight="1">
      <c r="A4256" s="71" t="s">
        <v>10876</v>
      </c>
      <c r="B4256" s="71" t="s">
        <v>10951</v>
      </c>
      <c r="C4256" s="198" t="s">
        <v>23</v>
      </c>
      <c r="D4256" s="198" t="s">
        <v>2654</v>
      </c>
      <c r="E4256" s="198" t="s">
        <v>2272</v>
      </c>
      <c r="F4256" s="198" t="s">
        <v>27</v>
      </c>
      <c r="G4256" s="198" t="s">
        <v>27</v>
      </c>
      <c r="H4256" s="4" t="s">
        <v>521</v>
      </c>
      <c r="I4256" s="198"/>
      <c r="J4256" s="71" t="s">
        <v>2272</v>
      </c>
      <c r="K4256" s="71" t="s">
        <v>2272</v>
      </c>
      <c r="L4256" s="71" t="s">
        <v>2272</v>
      </c>
      <c r="M4256" s="71" t="s">
        <v>2272</v>
      </c>
      <c r="N4256" s="71" t="s">
        <v>2272</v>
      </c>
      <c r="O4256" s="71" t="s">
        <v>2272</v>
      </c>
      <c r="P4256" s="71" t="s">
        <v>2272</v>
      </c>
      <c r="Q4256" s="71" t="s">
        <v>2272</v>
      </c>
      <c r="R4256" s="71" t="s">
        <v>2272</v>
      </c>
      <c r="S4256" s="71" t="s">
        <v>2272</v>
      </c>
      <c r="T4256" s="71" t="s">
        <v>2272</v>
      </c>
      <c r="U4256" s="71" t="s">
        <v>2272</v>
      </c>
      <c r="V4256" s="71" t="s">
        <v>2272</v>
      </c>
      <c r="W4256" s="71" t="s">
        <v>2272</v>
      </c>
      <c r="X4256" s="71" t="s">
        <v>2272</v>
      </c>
      <c r="Y4256" s="71" t="s">
        <v>2272</v>
      </c>
      <c r="Z4256" s="71" t="s">
        <v>2272</v>
      </c>
      <c r="AA4256" s="198" t="s">
        <v>187</v>
      </c>
      <c r="AB4256" s="198" t="s">
        <v>84</v>
      </c>
      <c r="AC4256" s="71" t="s">
        <v>2272</v>
      </c>
      <c r="AD4256" s="4" t="s">
        <v>10953</v>
      </c>
      <c r="AE4256" s="198"/>
    </row>
    <row r="4257" spans="1:31" ht="60.5" customHeight="1">
      <c r="A4257" s="71" t="s">
        <v>10876</v>
      </c>
      <c r="B4257" s="71" t="s">
        <v>10952</v>
      </c>
      <c r="C4257" s="198" t="s">
        <v>2453</v>
      </c>
      <c r="D4257" s="198" t="s">
        <v>2654</v>
      </c>
      <c r="E4257" s="198" t="s">
        <v>2272</v>
      </c>
      <c r="F4257" s="198" t="s">
        <v>27</v>
      </c>
      <c r="G4257" s="198" t="s">
        <v>73</v>
      </c>
      <c r="H4257" s="4" t="s">
        <v>521</v>
      </c>
      <c r="I4257" s="198"/>
      <c r="J4257" s="71" t="s">
        <v>2272</v>
      </c>
      <c r="K4257" s="71" t="s">
        <v>2272</v>
      </c>
      <c r="L4257" s="71" t="s">
        <v>2272</v>
      </c>
      <c r="M4257" s="71" t="s">
        <v>2272</v>
      </c>
      <c r="N4257" s="71" t="s">
        <v>2272</v>
      </c>
      <c r="O4257" s="71" t="s">
        <v>2272</v>
      </c>
      <c r="P4257" s="71" t="s">
        <v>2272</v>
      </c>
      <c r="Q4257" s="71" t="s">
        <v>2272</v>
      </c>
      <c r="R4257" s="71" t="s">
        <v>2272</v>
      </c>
      <c r="S4257" s="71" t="s">
        <v>2272</v>
      </c>
      <c r="T4257" s="71" t="s">
        <v>2272</v>
      </c>
      <c r="U4257" s="71" t="s">
        <v>2272</v>
      </c>
      <c r="V4257" s="71" t="s">
        <v>2272</v>
      </c>
      <c r="W4257" s="71" t="s">
        <v>2272</v>
      </c>
      <c r="X4257" s="71" t="s">
        <v>2272</v>
      </c>
      <c r="Y4257" s="71" t="s">
        <v>2272</v>
      </c>
      <c r="Z4257" s="71" t="s">
        <v>2272</v>
      </c>
      <c r="AA4257" s="198" t="s">
        <v>187</v>
      </c>
      <c r="AB4257" s="198" t="s">
        <v>84</v>
      </c>
      <c r="AC4257" s="71" t="s">
        <v>2272</v>
      </c>
      <c r="AD4257" s="4" t="s">
        <v>10953</v>
      </c>
      <c r="AE4257" s="198"/>
    </row>
    <row r="4258" spans="1:31" ht="45" customHeight="1">
      <c r="A4258" s="71" t="s">
        <v>10876</v>
      </c>
      <c r="B4258" s="71" t="s">
        <v>10961</v>
      </c>
      <c r="C4258" s="198" t="s">
        <v>23</v>
      </c>
      <c r="D4258" s="198" t="s">
        <v>1238</v>
      </c>
      <c r="E4258" s="198" t="s">
        <v>2644</v>
      </c>
      <c r="F4258" s="198" t="s">
        <v>2272</v>
      </c>
      <c r="G4258" s="198" t="s">
        <v>73</v>
      </c>
      <c r="H4258" s="4" t="s">
        <v>522</v>
      </c>
      <c r="I4258" s="198"/>
      <c r="J4258" s="21">
        <v>0</v>
      </c>
      <c r="K4258" s="21">
        <v>0</v>
      </c>
      <c r="L4258" s="21">
        <v>0</v>
      </c>
      <c r="M4258" s="21">
        <v>0</v>
      </c>
      <c r="N4258" s="21">
        <v>0</v>
      </c>
      <c r="O4258" s="21">
        <v>0</v>
      </c>
      <c r="P4258" s="21">
        <v>0</v>
      </c>
      <c r="Q4258" s="21">
        <v>0</v>
      </c>
      <c r="R4258" s="21">
        <v>0</v>
      </c>
      <c r="S4258" s="21">
        <v>0</v>
      </c>
      <c r="T4258" s="21">
        <v>0</v>
      </c>
      <c r="U4258" s="21">
        <v>0</v>
      </c>
      <c r="V4258" s="21">
        <v>0</v>
      </c>
      <c r="W4258" s="21">
        <v>0</v>
      </c>
      <c r="X4258" s="21">
        <v>0</v>
      </c>
      <c r="Y4258" s="21">
        <v>0</v>
      </c>
      <c r="Z4258" s="71" t="s">
        <v>2272</v>
      </c>
      <c r="AA4258" s="71" t="s">
        <v>2272</v>
      </c>
      <c r="AB4258" s="71" t="s">
        <v>2272</v>
      </c>
      <c r="AC4258" s="71" t="s">
        <v>2272</v>
      </c>
      <c r="AD4258" s="4"/>
      <c r="AE4258" s="198"/>
    </row>
    <row r="4259" spans="1:31" ht="46.5" customHeight="1">
      <c r="A4259" s="71" t="s">
        <v>10876</v>
      </c>
      <c r="B4259" s="71" t="s">
        <v>10962</v>
      </c>
      <c r="C4259" s="198" t="s">
        <v>23</v>
      </c>
      <c r="D4259" s="198" t="s">
        <v>60</v>
      </c>
      <c r="E4259" s="198" t="s">
        <v>2644</v>
      </c>
      <c r="F4259" s="198" t="s">
        <v>2272</v>
      </c>
      <c r="G4259" s="198" t="s">
        <v>73</v>
      </c>
      <c r="H4259" s="4" t="s">
        <v>522</v>
      </c>
      <c r="I4259" s="198"/>
      <c r="J4259" s="21">
        <v>0</v>
      </c>
      <c r="K4259" s="21">
        <v>0</v>
      </c>
      <c r="L4259" s="21">
        <v>0</v>
      </c>
      <c r="M4259" s="21">
        <v>0</v>
      </c>
      <c r="N4259" s="21">
        <v>0</v>
      </c>
      <c r="O4259" s="21">
        <v>0</v>
      </c>
      <c r="P4259" s="21">
        <v>0</v>
      </c>
      <c r="Q4259" s="21">
        <v>0</v>
      </c>
      <c r="R4259" s="21">
        <v>0</v>
      </c>
      <c r="S4259" s="21">
        <v>0</v>
      </c>
      <c r="T4259" s="21">
        <v>0</v>
      </c>
      <c r="U4259" s="21">
        <v>0</v>
      </c>
      <c r="V4259" s="21">
        <v>0</v>
      </c>
      <c r="W4259" s="21">
        <v>0</v>
      </c>
      <c r="X4259" s="21">
        <v>0</v>
      </c>
      <c r="Y4259" s="21">
        <v>0</v>
      </c>
      <c r="Z4259" s="71" t="s">
        <v>2272</v>
      </c>
      <c r="AA4259" s="71" t="s">
        <v>2272</v>
      </c>
      <c r="AB4259" s="71" t="s">
        <v>2272</v>
      </c>
      <c r="AC4259" s="71" t="s">
        <v>2272</v>
      </c>
      <c r="AD4259" s="4"/>
      <c r="AE4259" s="198"/>
    </row>
    <row r="4260" spans="1:31" ht="46.5" customHeight="1">
      <c r="A4260" s="71" t="s">
        <v>10876</v>
      </c>
      <c r="B4260" s="71" t="s">
        <v>10966</v>
      </c>
      <c r="C4260" s="198" t="s">
        <v>1102</v>
      </c>
      <c r="D4260" s="198" t="s">
        <v>2272</v>
      </c>
      <c r="E4260" s="198" t="s">
        <v>2272</v>
      </c>
      <c r="F4260" s="198" t="s">
        <v>2272</v>
      </c>
      <c r="G4260" s="198" t="s">
        <v>2272</v>
      </c>
      <c r="H4260" s="4" t="s">
        <v>521</v>
      </c>
      <c r="I4260" s="198"/>
      <c r="J4260" s="71" t="s">
        <v>2272</v>
      </c>
      <c r="K4260" s="71" t="s">
        <v>2272</v>
      </c>
      <c r="L4260" s="71" t="s">
        <v>2272</v>
      </c>
      <c r="M4260" s="71" t="s">
        <v>2272</v>
      </c>
      <c r="N4260" s="71" t="s">
        <v>2272</v>
      </c>
      <c r="O4260" s="71" t="s">
        <v>2272</v>
      </c>
      <c r="P4260" s="71" t="s">
        <v>2272</v>
      </c>
      <c r="Q4260" s="71" t="s">
        <v>2272</v>
      </c>
      <c r="R4260" s="71" t="s">
        <v>2272</v>
      </c>
      <c r="S4260" s="71" t="s">
        <v>2272</v>
      </c>
      <c r="T4260" s="71" t="s">
        <v>2272</v>
      </c>
      <c r="U4260" s="71" t="s">
        <v>2272</v>
      </c>
      <c r="V4260" s="71" t="s">
        <v>2272</v>
      </c>
      <c r="W4260" s="71" t="s">
        <v>2272</v>
      </c>
      <c r="X4260" s="71" t="s">
        <v>2272</v>
      </c>
      <c r="Y4260" s="71">
        <v>1.25</v>
      </c>
      <c r="Z4260" s="71" t="s">
        <v>2272</v>
      </c>
      <c r="AA4260" s="71" t="s">
        <v>2272</v>
      </c>
      <c r="AB4260" s="71" t="s">
        <v>2272</v>
      </c>
      <c r="AC4260" s="71" t="s">
        <v>2272</v>
      </c>
      <c r="AD4260" s="4" t="s">
        <v>10967</v>
      </c>
      <c r="AE4260" s="198"/>
    </row>
    <row r="4261" spans="1:31" ht="44" customHeight="1">
      <c r="A4261" s="71" t="s">
        <v>10958</v>
      </c>
      <c r="B4261" s="71" t="s">
        <v>10963</v>
      </c>
      <c r="C4261" s="198" t="s">
        <v>23</v>
      </c>
      <c r="D4261" s="198" t="s">
        <v>2654</v>
      </c>
      <c r="E4261" s="198" t="s">
        <v>82</v>
      </c>
      <c r="F4261" s="198" t="s">
        <v>27</v>
      </c>
      <c r="G4261" s="198" t="s">
        <v>27</v>
      </c>
      <c r="H4261" s="4" t="s">
        <v>521</v>
      </c>
      <c r="I4261" s="198"/>
      <c r="J4261" s="71" t="s">
        <v>2272</v>
      </c>
      <c r="K4261" s="71" t="s">
        <v>2272</v>
      </c>
      <c r="L4261" s="71" t="s">
        <v>2272</v>
      </c>
      <c r="M4261" s="71" t="s">
        <v>2272</v>
      </c>
      <c r="N4261" s="71" t="s">
        <v>2272</v>
      </c>
      <c r="O4261" s="71" t="s">
        <v>2272</v>
      </c>
      <c r="P4261" s="71" t="s">
        <v>2272</v>
      </c>
      <c r="Q4261" s="71" t="s">
        <v>2272</v>
      </c>
      <c r="R4261" s="71" t="s">
        <v>2272</v>
      </c>
      <c r="S4261" s="71" t="s">
        <v>2272</v>
      </c>
      <c r="T4261" s="71" t="s">
        <v>2272</v>
      </c>
      <c r="U4261" s="71" t="s">
        <v>2272</v>
      </c>
      <c r="V4261" s="71" t="s">
        <v>2272</v>
      </c>
      <c r="W4261" s="71" t="s">
        <v>2272</v>
      </c>
      <c r="X4261" s="71" t="s">
        <v>2272</v>
      </c>
      <c r="Y4261" s="71" t="s">
        <v>2272</v>
      </c>
      <c r="Z4261" s="71" t="s">
        <v>2272</v>
      </c>
      <c r="AA4261" s="71" t="s">
        <v>2272</v>
      </c>
      <c r="AB4261" s="71" t="s">
        <v>2272</v>
      </c>
      <c r="AC4261" s="71" t="s">
        <v>2272</v>
      </c>
      <c r="AD4261" s="4"/>
      <c r="AE4261" s="198"/>
    </row>
    <row r="4262" spans="1:31" ht="43" customHeight="1">
      <c r="A4262" s="71" t="s">
        <v>10958</v>
      </c>
      <c r="B4262" s="71" t="s">
        <v>10964</v>
      </c>
      <c r="C4262" s="198" t="s">
        <v>2453</v>
      </c>
      <c r="D4262" s="198" t="s">
        <v>2654</v>
      </c>
      <c r="E4262" s="198" t="s">
        <v>82</v>
      </c>
      <c r="F4262" s="198" t="s">
        <v>27</v>
      </c>
      <c r="G4262" s="198" t="s">
        <v>73</v>
      </c>
      <c r="H4262" s="4" t="s">
        <v>521</v>
      </c>
      <c r="I4262" s="198"/>
      <c r="J4262" s="71" t="s">
        <v>2272</v>
      </c>
      <c r="K4262" s="71" t="s">
        <v>2272</v>
      </c>
      <c r="L4262" s="71" t="s">
        <v>2272</v>
      </c>
      <c r="M4262" s="71" t="s">
        <v>2272</v>
      </c>
      <c r="N4262" s="71" t="s">
        <v>2272</v>
      </c>
      <c r="O4262" s="71" t="s">
        <v>2272</v>
      </c>
      <c r="P4262" s="71" t="s">
        <v>2272</v>
      </c>
      <c r="Q4262" s="71" t="s">
        <v>2272</v>
      </c>
      <c r="R4262" s="71" t="s">
        <v>2272</v>
      </c>
      <c r="S4262" s="71" t="s">
        <v>2272</v>
      </c>
      <c r="T4262" s="71" t="s">
        <v>2272</v>
      </c>
      <c r="U4262" s="71" t="s">
        <v>2272</v>
      </c>
      <c r="V4262" s="71" t="s">
        <v>2272</v>
      </c>
      <c r="W4262" s="71" t="s">
        <v>2272</v>
      </c>
      <c r="X4262" s="71" t="s">
        <v>2272</v>
      </c>
      <c r="Y4262" s="71" t="s">
        <v>2272</v>
      </c>
      <c r="Z4262" s="71" t="s">
        <v>2272</v>
      </c>
      <c r="AA4262" s="71" t="s">
        <v>2272</v>
      </c>
      <c r="AB4262" s="71" t="s">
        <v>2272</v>
      </c>
      <c r="AC4262" s="71" t="s">
        <v>2272</v>
      </c>
      <c r="AD4262" s="4"/>
      <c r="AE4262" s="198"/>
    </row>
    <row r="4263" spans="1:31" ht="47" customHeight="1">
      <c r="A4263" s="198" t="s">
        <v>10881</v>
      </c>
      <c r="B4263" s="71" t="s">
        <v>10886</v>
      </c>
      <c r="C4263" s="198" t="s">
        <v>2453</v>
      </c>
      <c r="D4263" s="198" t="s">
        <v>2272</v>
      </c>
      <c r="E4263" s="198" t="s">
        <v>2272</v>
      </c>
      <c r="F4263" s="198" t="s">
        <v>2272</v>
      </c>
      <c r="G4263" s="198" t="s">
        <v>73</v>
      </c>
      <c r="H4263" s="4" t="s">
        <v>521</v>
      </c>
      <c r="I4263" s="198"/>
      <c r="J4263" s="212">
        <f>612/21/'Record info'!$K1746</f>
        <v>4.4629183985998687E-4</v>
      </c>
      <c r="K4263" s="212">
        <f>612/21/'Record info'!$K1746</f>
        <v>4.4629183985998687E-4</v>
      </c>
      <c r="L4263" s="71" t="s">
        <v>2272</v>
      </c>
      <c r="M4263" s="71" t="s">
        <v>2272</v>
      </c>
      <c r="N4263" s="71" t="s">
        <v>2272</v>
      </c>
      <c r="O4263" s="71" t="s">
        <v>2272</v>
      </c>
      <c r="P4263" s="71" t="s">
        <v>2272</v>
      </c>
      <c r="Q4263" s="21">
        <f>342/612.76</f>
        <v>0.55813042626803322</v>
      </c>
      <c r="R4263" s="71" t="s">
        <v>2272</v>
      </c>
      <c r="S4263" s="71" t="s">
        <v>2272</v>
      </c>
      <c r="T4263" s="71" t="s">
        <v>2272</v>
      </c>
      <c r="U4263" s="21">
        <f>342</f>
        <v>342</v>
      </c>
      <c r="V4263" s="71" t="s">
        <v>2272</v>
      </c>
      <c r="W4263" s="71" t="s">
        <v>2272</v>
      </c>
      <c r="X4263" s="71" t="s">
        <v>2272</v>
      </c>
      <c r="Y4263" s="71" t="s">
        <v>2272</v>
      </c>
      <c r="Z4263" s="71" t="s">
        <v>2272</v>
      </c>
      <c r="AA4263" s="71" t="s">
        <v>2272</v>
      </c>
      <c r="AB4263" s="71" t="s">
        <v>2272</v>
      </c>
      <c r="AC4263" s="71" t="s">
        <v>2272</v>
      </c>
      <c r="AD4263" s="4" t="s">
        <v>10890</v>
      </c>
      <c r="AE4263" s="198"/>
    </row>
    <row r="4264" spans="1:31" ht="39" customHeight="1">
      <c r="A4264" s="198" t="s">
        <v>10882</v>
      </c>
      <c r="B4264" s="198" t="s">
        <v>10887</v>
      </c>
      <c r="C4264" s="198" t="s">
        <v>2453</v>
      </c>
      <c r="D4264" s="198" t="s">
        <v>2272</v>
      </c>
      <c r="E4264" s="198" t="s">
        <v>2272</v>
      </c>
      <c r="F4264" s="198" t="s">
        <v>2272</v>
      </c>
      <c r="G4264" s="198" t="s">
        <v>2658</v>
      </c>
      <c r="H4264" s="4" t="s">
        <v>521</v>
      </c>
      <c r="I4264" s="198"/>
      <c r="J4264" s="71" t="s">
        <v>2272</v>
      </c>
      <c r="K4264" s="71" t="s">
        <v>2272</v>
      </c>
      <c r="L4264" s="71" t="s">
        <v>2272</v>
      </c>
      <c r="M4264" s="71" t="s">
        <v>2272</v>
      </c>
      <c r="N4264" s="71" t="s">
        <v>2272</v>
      </c>
      <c r="O4264" s="71" t="s">
        <v>2272</v>
      </c>
      <c r="P4264" s="71" t="s">
        <v>2272</v>
      </c>
      <c r="Q4264" s="71" t="s">
        <v>2272</v>
      </c>
      <c r="R4264" s="71" t="s">
        <v>2272</v>
      </c>
      <c r="S4264" s="71" t="s">
        <v>2272</v>
      </c>
      <c r="T4264" s="71" t="s">
        <v>2272</v>
      </c>
      <c r="U4264" s="71" t="s">
        <v>2272</v>
      </c>
      <c r="V4264" s="71" t="s">
        <v>2272</v>
      </c>
      <c r="W4264" s="71" t="s">
        <v>2272</v>
      </c>
      <c r="X4264" s="71" t="s">
        <v>2272</v>
      </c>
      <c r="Y4264" s="71" t="s">
        <v>2272</v>
      </c>
      <c r="Z4264" s="71" t="s">
        <v>2272</v>
      </c>
      <c r="AA4264" s="71" t="s">
        <v>2272</v>
      </c>
      <c r="AB4264" s="71" t="s">
        <v>2272</v>
      </c>
      <c r="AC4264" s="71" t="s">
        <v>2272</v>
      </c>
      <c r="AD4264" s="198"/>
      <c r="AE4264" s="198"/>
    </row>
    <row r="4265" spans="1:31" ht="39" customHeight="1">
      <c r="A4265" s="198" t="s">
        <v>10883</v>
      </c>
      <c r="B4265" s="198" t="s">
        <v>10888</v>
      </c>
      <c r="C4265" s="198" t="s">
        <v>2453</v>
      </c>
      <c r="D4265" s="198" t="s">
        <v>2272</v>
      </c>
      <c r="E4265" s="198" t="s">
        <v>2272</v>
      </c>
      <c r="F4265" s="198" t="s">
        <v>2272</v>
      </c>
      <c r="G4265" s="198" t="s">
        <v>2658</v>
      </c>
      <c r="H4265" s="4" t="s">
        <v>521</v>
      </c>
      <c r="I4265" s="198"/>
      <c r="J4265" s="71" t="s">
        <v>2272</v>
      </c>
      <c r="K4265" s="71" t="s">
        <v>2272</v>
      </c>
      <c r="L4265" s="71" t="s">
        <v>2272</v>
      </c>
      <c r="M4265" s="71" t="s">
        <v>2272</v>
      </c>
      <c r="N4265" s="71" t="s">
        <v>2272</v>
      </c>
      <c r="O4265" s="71" t="s">
        <v>2272</v>
      </c>
      <c r="P4265" s="71" t="s">
        <v>2272</v>
      </c>
      <c r="Q4265" s="71" t="s">
        <v>2272</v>
      </c>
      <c r="R4265" s="71" t="s">
        <v>2272</v>
      </c>
      <c r="S4265" s="71" t="s">
        <v>2272</v>
      </c>
      <c r="T4265" s="71" t="s">
        <v>2272</v>
      </c>
      <c r="U4265" s="71" t="s">
        <v>2272</v>
      </c>
      <c r="V4265" s="71" t="s">
        <v>2272</v>
      </c>
      <c r="W4265" s="71" t="s">
        <v>2272</v>
      </c>
      <c r="X4265" s="71" t="s">
        <v>2272</v>
      </c>
      <c r="Y4265" s="71" t="s">
        <v>2272</v>
      </c>
      <c r="Z4265" s="71" t="s">
        <v>2272</v>
      </c>
      <c r="AA4265" s="71" t="s">
        <v>2272</v>
      </c>
      <c r="AB4265" s="71" t="s">
        <v>2272</v>
      </c>
      <c r="AC4265" s="71" t="s">
        <v>2272</v>
      </c>
      <c r="AD4265" s="198"/>
      <c r="AE4265" s="198"/>
    </row>
    <row r="4266" spans="1:31" ht="39" customHeight="1">
      <c r="A4266" s="198" t="s">
        <v>10884</v>
      </c>
      <c r="B4266" s="198" t="s">
        <v>10889</v>
      </c>
      <c r="C4266" s="198" t="s">
        <v>2453</v>
      </c>
      <c r="D4266" s="198" t="s">
        <v>2272</v>
      </c>
      <c r="E4266" s="198" t="s">
        <v>2272</v>
      </c>
      <c r="F4266" s="198" t="s">
        <v>2272</v>
      </c>
      <c r="G4266" s="198" t="s">
        <v>2658</v>
      </c>
      <c r="H4266" s="4" t="s">
        <v>521</v>
      </c>
      <c r="I4266" s="198"/>
      <c r="J4266" s="71" t="s">
        <v>2272</v>
      </c>
      <c r="K4266" s="71" t="s">
        <v>2272</v>
      </c>
      <c r="L4266" s="71" t="s">
        <v>2272</v>
      </c>
      <c r="M4266" s="71" t="s">
        <v>2272</v>
      </c>
      <c r="N4266" s="71" t="s">
        <v>2272</v>
      </c>
      <c r="O4266" s="71" t="s">
        <v>2272</v>
      </c>
      <c r="P4266" s="71" t="s">
        <v>2272</v>
      </c>
      <c r="Q4266" s="71" t="s">
        <v>2272</v>
      </c>
      <c r="R4266" s="71" t="s">
        <v>2272</v>
      </c>
      <c r="S4266" s="71" t="s">
        <v>2272</v>
      </c>
      <c r="T4266" s="71" t="s">
        <v>2272</v>
      </c>
      <c r="U4266" s="71" t="s">
        <v>2272</v>
      </c>
      <c r="V4266" s="71" t="s">
        <v>2272</v>
      </c>
      <c r="W4266" s="71" t="s">
        <v>2272</v>
      </c>
      <c r="X4266" s="71" t="s">
        <v>2272</v>
      </c>
      <c r="Y4266" s="71" t="s">
        <v>2272</v>
      </c>
      <c r="Z4266" s="71" t="s">
        <v>2272</v>
      </c>
      <c r="AA4266" s="71" t="s">
        <v>2272</v>
      </c>
      <c r="AB4266" s="71" t="s">
        <v>2272</v>
      </c>
      <c r="AC4266" s="71" t="s">
        <v>2272</v>
      </c>
      <c r="AD4266" s="198"/>
      <c r="AE4266" s="198"/>
    </row>
    <row r="4267" spans="1:31" ht="74.5" customHeight="1">
      <c r="A4267" s="198" t="s">
        <v>10881</v>
      </c>
      <c r="B4267" s="71" t="s">
        <v>10891</v>
      </c>
      <c r="C4267" s="198" t="s">
        <v>23</v>
      </c>
      <c r="D4267" s="198" t="s">
        <v>2272</v>
      </c>
      <c r="E4267" s="198" t="s">
        <v>2644</v>
      </c>
      <c r="F4267" s="198" t="s">
        <v>2272</v>
      </c>
      <c r="G4267" s="198" t="s">
        <v>73</v>
      </c>
      <c r="H4267" s="198" t="s">
        <v>522</v>
      </c>
      <c r="I4267" s="198"/>
      <c r="J4267" s="21">
        <v>0</v>
      </c>
      <c r="K4267" s="21">
        <v>0</v>
      </c>
      <c r="L4267" s="21">
        <v>0</v>
      </c>
      <c r="M4267" s="21">
        <v>0</v>
      </c>
      <c r="N4267" s="21">
        <v>0</v>
      </c>
      <c r="O4267" s="21">
        <v>0</v>
      </c>
      <c r="P4267" s="21">
        <v>0</v>
      </c>
      <c r="Q4267" s="21">
        <v>0</v>
      </c>
      <c r="R4267" s="21">
        <v>0</v>
      </c>
      <c r="S4267" s="21">
        <v>0</v>
      </c>
      <c r="T4267" s="21">
        <v>0</v>
      </c>
      <c r="U4267" s="21">
        <v>0</v>
      </c>
      <c r="V4267" s="21">
        <v>0</v>
      </c>
      <c r="W4267" s="21">
        <v>0</v>
      </c>
      <c r="X4267" s="21">
        <v>0</v>
      </c>
      <c r="Y4267" s="21">
        <v>0</v>
      </c>
      <c r="Z4267" s="71" t="s">
        <v>2272</v>
      </c>
      <c r="AA4267" s="71" t="s">
        <v>2272</v>
      </c>
      <c r="AB4267" s="71" t="s">
        <v>2272</v>
      </c>
      <c r="AC4267" s="71" t="s">
        <v>2272</v>
      </c>
      <c r="AD4267" s="4" t="s">
        <v>10895</v>
      </c>
      <c r="AE4267" s="198"/>
    </row>
    <row r="4268" spans="1:31" ht="74.5" customHeight="1">
      <c r="A4268" s="198" t="s">
        <v>10881</v>
      </c>
      <c r="B4268" s="71" t="s">
        <v>10892</v>
      </c>
      <c r="C4268" s="198" t="s">
        <v>23</v>
      </c>
      <c r="D4268" s="198" t="s">
        <v>2272</v>
      </c>
      <c r="E4268" s="198" t="s">
        <v>2644</v>
      </c>
      <c r="F4268" s="198" t="s">
        <v>2272</v>
      </c>
      <c r="G4268" s="198" t="s">
        <v>2658</v>
      </c>
      <c r="H4268" s="198" t="s">
        <v>522</v>
      </c>
      <c r="I4268" s="198"/>
      <c r="J4268" s="21">
        <v>0</v>
      </c>
      <c r="K4268" s="21">
        <v>0</v>
      </c>
      <c r="L4268" s="21">
        <v>0</v>
      </c>
      <c r="M4268" s="21">
        <v>0</v>
      </c>
      <c r="N4268" s="21">
        <v>0</v>
      </c>
      <c r="O4268" s="21">
        <v>0</v>
      </c>
      <c r="P4268" s="21">
        <v>0</v>
      </c>
      <c r="Q4268" s="21">
        <v>0</v>
      </c>
      <c r="R4268" s="21">
        <v>0</v>
      </c>
      <c r="S4268" s="21">
        <v>0</v>
      </c>
      <c r="T4268" s="21">
        <v>0</v>
      </c>
      <c r="U4268" s="21">
        <v>0</v>
      </c>
      <c r="V4268" s="21">
        <v>0</v>
      </c>
      <c r="W4268" s="21">
        <v>0</v>
      </c>
      <c r="X4268" s="21">
        <v>0</v>
      </c>
      <c r="Y4268" s="21">
        <v>0</v>
      </c>
      <c r="Z4268" s="71" t="s">
        <v>2272</v>
      </c>
      <c r="AA4268" s="71" t="s">
        <v>2272</v>
      </c>
      <c r="AB4268" s="71" t="s">
        <v>2272</v>
      </c>
      <c r="AC4268" s="71" t="s">
        <v>2272</v>
      </c>
      <c r="AD4268" s="4" t="s">
        <v>10895</v>
      </c>
      <c r="AE4268" s="198"/>
    </row>
    <row r="4269" spans="1:31" ht="74.5" customHeight="1">
      <c r="A4269" s="198" t="s">
        <v>10881</v>
      </c>
      <c r="B4269" s="71" t="s">
        <v>10893</v>
      </c>
      <c r="C4269" s="198" t="s">
        <v>23</v>
      </c>
      <c r="D4269" s="198" t="s">
        <v>2272</v>
      </c>
      <c r="E4269" s="198" t="s">
        <v>135</v>
      </c>
      <c r="F4269" s="198" t="s">
        <v>2272</v>
      </c>
      <c r="G4269" s="198" t="s">
        <v>73</v>
      </c>
      <c r="H4269" s="198" t="s">
        <v>522</v>
      </c>
      <c r="I4269" s="198"/>
      <c r="J4269" s="21">
        <v>0</v>
      </c>
      <c r="K4269" s="21">
        <v>0</v>
      </c>
      <c r="L4269" s="21">
        <v>0</v>
      </c>
      <c r="M4269" s="21">
        <v>0</v>
      </c>
      <c r="N4269" s="21">
        <v>0</v>
      </c>
      <c r="O4269" s="21">
        <v>0</v>
      </c>
      <c r="P4269" s="21">
        <v>0</v>
      </c>
      <c r="Q4269" s="21">
        <v>0</v>
      </c>
      <c r="R4269" s="21">
        <v>0</v>
      </c>
      <c r="S4269" s="21">
        <v>0</v>
      </c>
      <c r="T4269" s="21">
        <v>0</v>
      </c>
      <c r="U4269" s="21">
        <v>0</v>
      </c>
      <c r="V4269" s="21">
        <v>0</v>
      </c>
      <c r="W4269" s="21">
        <v>0</v>
      </c>
      <c r="X4269" s="21">
        <v>0</v>
      </c>
      <c r="Y4269" s="21">
        <v>0</v>
      </c>
      <c r="Z4269" s="71" t="s">
        <v>2272</v>
      </c>
      <c r="AA4269" s="71" t="s">
        <v>2272</v>
      </c>
      <c r="AB4269" s="71" t="s">
        <v>2272</v>
      </c>
      <c r="AC4269" s="71" t="s">
        <v>2272</v>
      </c>
      <c r="AD4269" s="4" t="s">
        <v>10895</v>
      </c>
      <c r="AE4269" s="198"/>
    </row>
    <row r="4270" spans="1:31" ht="74.5" customHeight="1">
      <c r="A4270" s="198" t="s">
        <v>10881</v>
      </c>
      <c r="B4270" s="71" t="s">
        <v>10894</v>
      </c>
      <c r="C4270" s="198" t="s">
        <v>23</v>
      </c>
      <c r="D4270" s="198" t="s">
        <v>2272</v>
      </c>
      <c r="E4270" s="198" t="s">
        <v>135</v>
      </c>
      <c r="F4270" s="198" t="s">
        <v>2272</v>
      </c>
      <c r="G4270" s="198" t="s">
        <v>2658</v>
      </c>
      <c r="H4270" s="198" t="s">
        <v>522</v>
      </c>
      <c r="I4270" s="198"/>
      <c r="J4270" s="21">
        <v>0</v>
      </c>
      <c r="K4270" s="21">
        <v>0</v>
      </c>
      <c r="L4270" s="21">
        <v>0</v>
      </c>
      <c r="M4270" s="21">
        <v>0</v>
      </c>
      <c r="N4270" s="21">
        <v>0</v>
      </c>
      <c r="O4270" s="21">
        <v>0</v>
      </c>
      <c r="P4270" s="21">
        <v>0</v>
      </c>
      <c r="Q4270" s="21">
        <v>0</v>
      </c>
      <c r="R4270" s="21">
        <v>0</v>
      </c>
      <c r="S4270" s="21">
        <v>0</v>
      </c>
      <c r="T4270" s="21">
        <v>0</v>
      </c>
      <c r="U4270" s="21">
        <v>0</v>
      </c>
      <c r="V4270" s="21">
        <v>0</v>
      </c>
      <c r="W4270" s="21">
        <v>0</v>
      </c>
      <c r="X4270" s="21">
        <v>0</v>
      </c>
      <c r="Y4270" s="21">
        <v>0</v>
      </c>
      <c r="Z4270" s="71" t="s">
        <v>2272</v>
      </c>
      <c r="AA4270" s="71" t="s">
        <v>2272</v>
      </c>
      <c r="AB4270" s="71" t="s">
        <v>2272</v>
      </c>
      <c r="AC4270" s="71" t="s">
        <v>2272</v>
      </c>
      <c r="AD4270" s="4" t="s">
        <v>10895</v>
      </c>
      <c r="AE4270" s="198"/>
    </row>
    <row r="4271" spans="1:31" ht="42" customHeight="1">
      <c r="A4271" s="198" t="s">
        <v>10903</v>
      </c>
      <c r="B4271" s="198" t="s">
        <v>10905</v>
      </c>
      <c r="C4271" s="198" t="s">
        <v>2453</v>
      </c>
      <c r="D4271" s="198" t="s">
        <v>1102</v>
      </c>
      <c r="E4271" s="198" t="s">
        <v>2272</v>
      </c>
      <c r="F4271" s="198" t="s">
        <v>2272</v>
      </c>
      <c r="G4271" s="4" t="s">
        <v>2657</v>
      </c>
      <c r="H4271" s="4" t="s">
        <v>521</v>
      </c>
      <c r="I4271" s="198">
        <v>1956</v>
      </c>
      <c r="J4271" s="71" t="s">
        <v>2272</v>
      </c>
      <c r="K4271" s="71" t="s">
        <v>2272</v>
      </c>
      <c r="L4271" s="71" t="s">
        <v>2272</v>
      </c>
      <c r="M4271" s="71" t="s">
        <v>2272</v>
      </c>
      <c r="N4271" s="71" t="s">
        <v>2272</v>
      </c>
      <c r="O4271" s="71" t="s">
        <v>2272</v>
      </c>
      <c r="P4271" s="71" t="s">
        <v>2272</v>
      </c>
      <c r="Q4271" s="71" t="s">
        <v>2272</v>
      </c>
      <c r="R4271" s="71" t="s">
        <v>2272</v>
      </c>
      <c r="S4271" s="71" t="s">
        <v>2272</v>
      </c>
      <c r="T4271" s="71" t="s">
        <v>2272</v>
      </c>
      <c r="U4271" s="21">
        <v>67396</v>
      </c>
      <c r="V4271" s="71" t="s">
        <v>2272</v>
      </c>
      <c r="W4271" s="71" t="s">
        <v>2272</v>
      </c>
      <c r="X4271" s="71" t="s">
        <v>2272</v>
      </c>
      <c r="Y4271" s="21">
        <f>U4271/'Record info'!K$1750</f>
        <v>2.8296947485054E-2</v>
      </c>
      <c r="Z4271" s="71" t="s">
        <v>2272</v>
      </c>
      <c r="AA4271" s="198" t="s">
        <v>33</v>
      </c>
      <c r="AB4271" s="198" t="s">
        <v>67</v>
      </c>
      <c r="AC4271" s="198" t="s">
        <v>2650</v>
      </c>
      <c r="AD4271" s="198"/>
      <c r="AE4271" s="198"/>
    </row>
    <row r="4272" spans="1:31" ht="42" customHeight="1">
      <c r="A4272" s="198" t="s">
        <v>10903</v>
      </c>
      <c r="B4272" s="198" t="s">
        <v>10906</v>
      </c>
      <c r="C4272" s="198" t="s">
        <v>2453</v>
      </c>
      <c r="D4272" s="198" t="s">
        <v>1102</v>
      </c>
      <c r="E4272" s="198" t="s">
        <v>2272</v>
      </c>
      <c r="F4272" s="198" t="s">
        <v>2272</v>
      </c>
      <c r="G4272" s="4" t="s">
        <v>2657</v>
      </c>
      <c r="H4272" s="4" t="s">
        <v>521</v>
      </c>
      <c r="I4272" s="198">
        <v>1966</v>
      </c>
      <c r="J4272" s="71" t="s">
        <v>2272</v>
      </c>
      <c r="K4272" s="71" t="s">
        <v>2272</v>
      </c>
      <c r="L4272" s="71" t="s">
        <v>2272</v>
      </c>
      <c r="M4272" s="71" t="s">
        <v>2272</v>
      </c>
      <c r="N4272" s="71" t="s">
        <v>2272</v>
      </c>
      <c r="O4272" s="71" t="s">
        <v>2272</v>
      </c>
      <c r="P4272" s="71" t="s">
        <v>2272</v>
      </c>
      <c r="Q4272" s="71" t="s">
        <v>2272</v>
      </c>
      <c r="R4272" s="71" t="s">
        <v>2272</v>
      </c>
      <c r="S4272" s="71" t="s">
        <v>2272</v>
      </c>
      <c r="T4272" s="71" t="s">
        <v>2272</v>
      </c>
      <c r="U4272" s="21">
        <v>25516</v>
      </c>
      <c r="V4272" s="71" t="s">
        <v>2272</v>
      </c>
      <c r="W4272" s="71" t="s">
        <v>2272</v>
      </c>
      <c r="X4272" s="71" t="s">
        <v>2272</v>
      </c>
      <c r="Y4272" s="21">
        <f>U4272/'Record info'!K$1750</f>
        <v>1.0713171583308177E-2</v>
      </c>
      <c r="Z4272" s="71" t="s">
        <v>2272</v>
      </c>
      <c r="AA4272" s="198" t="s">
        <v>33</v>
      </c>
      <c r="AB4272" s="198" t="s">
        <v>67</v>
      </c>
      <c r="AC4272" s="198" t="s">
        <v>2650</v>
      </c>
      <c r="AD4272" s="198"/>
      <c r="AE4272" s="198"/>
    </row>
    <row r="4273" spans="1:31" ht="42" customHeight="1">
      <c r="A4273" s="198" t="s">
        <v>10903</v>
      </c>
      <c r="B4273" s="198" t="s">
        <v>10907</v>
      </c>
      <c r="C4273" s="198" t="s">
        <v>2453</v>
      </c>
      <c r="D4273" s="198" t="s">
        <v>1102</v>
      </c>
      <c r="E4273" s="198" t="s">
        <v>2272</v>
      </c>
      <c r="F4273" s="198" t="s">
        <v>2272</v>
      </c>
      <c r="G4273" s="4" t="s">
        <v>2657</v>
      </c>
      <c r="H4273" s="4" t="s">
        <v>521</v>
      </c>
      <c r="I4273" s="198">
        <v>1976</v>
      </c>
      <c r="J4273" s="71" t="s">
        <v>2272</v>
      </c>
      <c r="K4273" s="71" t="s">
        <v>2272</v>
      </c>
      <c r="L4273" s="71" t="s">
        <v>2272</v>
      </c>
      <c r="M4273" s="71" t="s">
        <v>2272</v>
      </c>
      <c r="N4273" s="71" t="s">
        <v>2272</v>
      </c>
      <c r="O4273" s="71" t="s">
        <v>2272</v>
      </c>
      <c r="P4273" s="71" t="s">
        <v>2272</v>
      </c>
      <c r="Q4273" s="71" t="s">
        <v>2272</v>
      </c>
      <c r="R4273" s="71" t="s">
        <v>2272</v>
      </c>
      <c r="S4273" s="71" t="s">
        <v>2272</v>
      </c>
      <c r="T4273" s="71" t="s">
        <v>2272</v>
      </c>
      <c r="U4273" s="21">
        <v>42172</v>
      </c>
      <c r="V4273" s="71" t="s">
        <v>2272</v>
      </c>
      <c r="W4273" s="71" t="s">
        <v>2272</v>
      </c>
      <c r="X4273" s="71" t="s">
        <v>2272</v>
      </c>
      <c r="Y4273" s="21">
        <f>U4273/'Record info'!K$1750</f>
        <v>1.7706375294374996E-2</v>
      </c>
      <c r="Z4273" s="71" t="s">
        <v>2272</v>
      </c>
      <c r="AA4273" s="198" t="s">
        <v>33</v>
      </c>
      <c r="AB4273" s="198" t="s">
        <v>67</v>
      </c>
      <c r="AC4273" s="198" t="s">
        <v>2650</v>
      </c>
      <c r="AD4273" s="198"/>
      <c r="AE4273" s="198"/>
    </row>
    <row r="4274" spans="1:31" ht="45.5" customHeight="1">
      <c r="A4274" s="198" t="s">
        <v>10903</v>
      </c>
      <c r="B4274" s="198" t="s">
        <v>10908</v>
      </c>
      <c r="C4274" s="198" t="s">
        <v>2453</v>
      </c>
      <c r="D4274" s="198" t="s">
        <v>1102</v>
      </c>
      <c r="E4274" s="198" t="s">
        <v>2272</v>
      </c>
      <c r="F4274" s="198" t="s">
        <v>2272</v>
      </c>
      <c r="G4274" s="4" t="s">
        <v>2657</v>
      </c>
      <c r="H4274" s="4" t="s">
        <v>521</v>
      </c>
      <c r="I4274" s="198">
        <v>1986</v>
      </c>
      <c r="J4274" s="71" t="s">
        <v>2272</v>
      </c>
      <c r="K4274" s="71" t="s">
        <v>2272</v>
      </c>
      <c r="L4274" s="71" t="s">
        <v>2272</v>
      </c>
      <c r="M4274" s="71" t="s">
        <v>2272</v>
      </c>
      <c r="N4274" s="71" t="s">
        <v>2272</v>
      </c>
      <c r="O4274" s="71" t="s">
        <v>2272</v>
      </c>
      <c r="P4274" s="71" t="s">
        <v>2272</v>
      </c>
      <c r="Q4274" s="71" t="s">
        <v>2272</v>
      </c>
      <c r="R4274" s="71" t="s">
        <v>2272</v>
      </c>
      <c r="S4274" s="71" t="s">
        <v>2272</v>
      </c>
      <c r="T4274" s="71" t="s">
        <v>2272</v>
      </c>
      <c r="U4274" s="21">
        <v>50511</v>
      </c>
      <c r="V4274" s="71" t="s">
        <v>2272</v>
      </c>
      <c r="W4274" s="71" t="s">
        <v>2272</v>
      </c>
      <c r="X4274" s="71" t="s">
        <v>2272</v>
      </c>
      <c r="Y4274" s="21">
        <f>U4274/'Record info'!K$1750</f>
        <v>2.1207595620178685E-2</v>
      </c>
      <c r="Z4274" s="71" t="s">
        <v>2272</v>
      </c>
      <c r="AA4274" s="198" t="s">
        <v>33</v>
      </c>
      <c r="AB4274" s="198" t="s">
        <v>67</v>
      </c>
      <c r="AC4274" s="198" t="s">
        <v>2650</v>
      </c>
      <c r="AD4274" s="198"/>
      <c r="AE4274" s="198"/>
    </row>
    <row r="4275" spans="1:31" ht="43.5" customHeight="1">
      <c r="A4275" s="198" t="s">
        <v>10903</v>
      </c>
      <c r="B4275" s="198" t="s">
        <v>10909</v>
      </c>
      <c r="C4275" s="198" t="s">
        <v>2453</v>
      </c>
      <c r="D4275" s="198" t="s">
        <v>1102</v>
      </c>
      <c r="E4275" s="198" t="s">
        <v>2272</v>
      </c>
      <c r="F4275" s="198" t="s">
        <v>2272</v>
      </c>
      <c r="G4275" s="4" t="s">
        <v>2657</v>
      </c>
      <c r="H4275" s="4" t="s">
        <v>521</v>
      </c>
      <c r="I4275" s="198">
        <v>1996</v>
      </c>
      <c r="J4275" s="71" t="s">
        <v>2272</v>
      </c>
      <c r="K4275" s="71" t="s">
        <v>2272</v>
      </c>
      <c r="L4275" s="71" t="s">
        <v>2272</v>
      </c>
      <c r="M4275" s="71" t="s">
        <v>2272</v>
      </c>
      <c r="N4275" s="71" t="s">
        <v>2272</v>
      </c>
      <c r="O4275" s="71" t="s">
        <v>2272</v>
      </c>
      <c r="P4275" s="71" t="s">
        <v>2272</v>
      </c>
      <c r="Q4275" s="71" t="s">
        <v>2272</v>
      </c>
      <c r="R4275" s="71" t="s">
        <v>2272</v>
      </c>
      <c r="S4275" s="71" t="s">
        <v>2272</v>
      </c>
      <c r="T4275" s="71" t="s">
        <v>2272</v>
      </c>
      <c r="U4275" s="21">
        <v>24602</v>
      </c>
      <c r="V4275" s="71" t="s">
        <v>2272</v>
      </c>
      <c r="W4275" s="71" t="s">
        <v>2272</v>
      </c>
      <c r="X4275" s="71" t="s">
        <v>2272</v>
      </c>
      <c r="Y4275" s="21">
        <f>U4275/'Record info'!K$1750</f>
        <v>1.0329418689941517E-2</v>
      </c>
      <c r="Z4275" s="71" t="s">
        <v>2272</v>
      </c>
      <c r="AA4275" s="198" t="s">
        <v>33</v>
      </c>
      <c r="AB4275" s="198" t="s">
        <v>67</v>
      </c>
      <c r="AC4275" s="198" t="s">
        <v>2650</v>
      </c>
      <c r="AD4275" s="198"/>
      <c r="AE4275" s="198"/>
    </row>
    <row r="4276" spans="1:31" ht="41.5" customHeight="1">
      <c r="A4276" s="198" t="s">
        <v>10903</v>
      </c>
      <c r="B4276" s="198" t="s">
        <v>10910</v>
      </c>
      <c r="C4276" s="198" t="s">
        <v>2453</v>
      </c>
      <c r="D4276" s="198" t="s">
        <v>2272</v>
      </c>
      <c r="E4276" s="198" t="s">
        <v>114</v>
      </c>
      <c r="F4276" s="198" t="s">
        <v>2272</v>
      </c>
      <c r="G4276" s="4" t="s">
        <v>2657</v>
      </c>
      <c r="H4276" s="4" t="s">
        <v>521</v>
      </c>
      <c r="I4276" s="198">
        <v>2005</v>
      </c>
      <c r="J4276" s="212">
        <f>0.012*AVERAGE(SUM(660, 888, 465), SUM(940, 803, 286))/'Record info'!$K$1750</f>
        <v>1.0182467363159973E-5</v>
      </c>
      <c r="K4276" s="212">
        <f>0.012*AVERAGE(SUM(660, 888, 465), SUM(940, 803, 286))/'Record info'!$K$1750</f>
        <v>1.0182467363159973E-5</v>
      </c>
      <c r="L4276" s="71" t="s">
        <v>2272</v>
      </c>
      <c r="M4276" s="71" t="s">
        <v>2272</v>
      </c>
      <c r="N4276" s="71" t="s">
        <v>2272</v>
      </c>
      <c r="O4276" s="71" t="s">
        <v>2272</v>
      </c>
      <c r="P4276" s="71" t="s">
        <v>2272</v>
      </c>
      <c r="Q4276" s="21">
        <f>SUM(7003.88, 5527.7, 2427.43, 7802.01, 8725.29, 11852.76)/SUM(940, 803, 286, 660, 888, 465)</f>
        <v>10.722184562097972</v>
      </c>
      <c r="R4276" s="71" t="s">
        <v>2272</v>
      </c>
      <c r="S4276" s="71" t="s">
        <v>2272</v>
      </c>
      <c r="T4276" s="71" t="s">
        <v>2272</v>
      </c>
      <c r="U4276" s="71" t="s">
        <v>2272</v>
      </c>
      <c r="V4276" s="71" t="s">
        <v>2272</v>
      </c>
      <c r="W4276" s="71" t="s">
        <v>2272</v>
      </c>
      <c r="X4276" s="71" t="s">
        <v>2272</v>
      </c>
      <c r="Y4276" s="71" t="s">
        <v>2272</v>
      </c>
      <c r="Z4276" s="71" t="s">
        <v>2272</v>
      </c>
      <c r="AA4276" s="71" t="s">
        <v>2272</v>
      </c>
      <c r="AB4276" s="71" t="s">
        <v>2272</v>
      </c>
      <c r="AC4276" s="71" t="s">
        <v>2272</v>
      </c>
      <c r="AD4276" s="198"/>
      <c r="AE4276" s="198"/>
    </row>
    <row r="4277" spans="1:31" ht="45.5" customHeight="1">
      <c r="A4277" s="198" t="s">
        <v>10903</v>
      </c>
      <c r="B4277" s="198" t="s">
        <v>10911</v>
      </c>
      <c r="C4277" s="198" t="s">
        <v>23</v>
      </c>
      <c r="D4277" s="198" t="s">
        <v>2342</v>
      </c>
      <c r="E4277" s="198" t="s">
        <v>2272</v>
      </c>
      <c r="F4277" s="198" t="s">
        <v>2272</v>
      </c>
      <c r="G4277" s="4" t="s">
        <v>2657</v>
      </c>
      <c r="H4277" s="4" t="s">
        <v>521</v>
      </c>
      <c r="I4277" s="198">
        <v>2005</v>
      </c>
      <c r="J4277" s="212">
        <f>0.2896*AVERAGE(SUM(660, 888, 465), SUM(940, 803, 286))/'Record info'!$K$1750</f>
        <v>2.457368790309274E-4</v>
      </c>
      <c r="K4277" s="212">
        <f>0.2896*AVERAGE(SUM(660, 888, 465), SUM(940, 803, 286))/'Record info'!$K$1750</f>
        <v>2.457368790309274E-4</v>
      </c>
      <c r="L4277" s="71" t="s">
        <v>2272</v>
      </c>
      <c r="M4277" s="71" t="s">
        <v>2272</v>
      </c>
      <c r="N4277" s="71" t="s">
        <v>2272</v>
      </c>
      <c r="O4277" s="71" t="s">
        <v>2272</v>
      </c>
      <c r="P4277" s="71" t="s">
        <v>2272</v>
      </c>
      <c r="Q4277" s="21">
        <f>SUM(7003.88, 5527.7, 2427.43, 7802.01, 8725.29, 11852.76)/SUM(940, 803, 286, 660, 888, 465)</f>
        <v>10.722184562097972</v>
      </c>
      <c r="R4277" s="71" t="s">
        <v>2272</v>
      </c>
      <c r="S4277" s="71" t="s">
        <v>2272</v>
      </c>
      <c r="T4277" s="71" t="s">
        <v>2272</v>
      </c>
      <c r="U4277" s="71" t="s">
        <v>2272</v>
      </c>
      <c r="V4277" s="71" t="s">
        <v>2272</v>
      </c>
      <c r="W4277" s="71" t="s">
        <v>2272</v>
      </c>
      <c r="X4277" s="71" t="s">
        <v>2272</v>
      </c>
      <c r="Y4277" s="71" t="s">
        <v>2272</v>
      </c>
      <c r="Z4277" s="71" t="s">
        <v>2272</v>
      </c>
      <c r="AA4277" s="71" t="s">
        <v>2272</v>
      </c>
      <c r="AB4277" s="71" t="s">
        <v>2272</v>
      </c>
      <c r="AC4277" s="71" t="s">
        <v>2272</v>
      </c>
      <c r="AD4277" s="198"/>
      <c r="AE4277" s="198"/>
    </row>
    <row r="4278" spans="1:31" ht="44.5" customHeight="1">
      <c r="A4278" s="198" t="s">
        <v>10903</v>
      </c>
      <c r="B4278" s="198" t="s">
        <v>10912</v>
      </c>
      <c r="C4278" s="198" t="s">
        <v>2653</v>
      </c>
      <c r="D4278" s="198" t="s">
        <v>1102</v>
      </c>
      <c r="E4278" s="198" t="s">
        <v>2272</v>
      </c>
      <c r="F4278" s="198" t="s">
        <v>2272</v>
      </c>
      <c r="G4278" s="4" t="s">
        <v>2657</v>
      </c>
      <c r="H4278" s="4" t="s">
        <v>521</v>
      </c>
      <c r="I4278" s="198">
        <v>2005</v>
      </c>
      <c r="J4278" s="212">
        <f>0.6992*AVERAGE(SUM(660, 888, 465), SUM(940, 803, 286))/'Record info'!$K$1750</f>
        <v>5.9329843169345455E-4</v>
      </c>
      <c r="K4278" s="212">
        <f>0.6992*AVERAGE(SUM(660, 888, 465), SUM(940, 803, 286))/'Record info'!$K$1750</f>
        <v>5.9329843169345455E-4</v>
      </c>
      <c r="L4278" s="71" t="s">
        <v>2272</v>
      </c>
      <c r="M4278" s="71" t="s">
        <v>2272</v>
      </c>
      <c r="N4278" s="71" t="s">
        <v>2272</v>
      </c>
      <c r="O4278" s="71" t="s">
        <v>2272</v>
      </c>
      <c r="P4278" s="71" t="s">
        <v>2272</v>
      </c>
      <c r="Q4278" s="21">
        <f>SUM(7003.88, 5527.7, 2427.43, 7802.01, 8725.29, 11852.76)/SUM(940, 803, 286, 660, 888, 465)</f>
        <v>10.722184562097972</v>
      </c>
      <c r="R4278" s="71" t="s">
        <v>2272</v>
      </c>
      <c r="S4278" s="71" t="s">
        <v>2272</v>
      </c>
      <c r="T4278" s="71" t="s">
        <v>2272</v>
      </c>
      <c r="U4278" s="71" t="s">
        <v>2272</v>
      </c>
      <c r="V4278" s="71" t="s">
        <v>2272</v>
      </c>
      <c r="W4278" s="71" t="s">
        <v>2272</v>
      </c>
      <c r="X4278" s="71" t="s">
        <v>2272</v>
      </c>
      <c r="Y4278" s="71" t="s">
        <v>2272</v>
      </c>
      <c r="Z4278" s="71" t="s">
        <v>2272</v>
      </c>
      <c r="AA4278" s="71" t="s">
        <v>2272</v>
      </c>
      <c r="AB4278" s="71" t="s">
        <v>2272</v>
      </c>
      <c r="AC4278" s="71" t="s">
        <v>2272</v>
      </c>
      <c r="AD4278" s="198"/>
      <c r="AE4278" s="198"/>
    </row>
    <row r="4279" spans="1:31" ht="40" customHeight="1">
      <c r="A4279" s="198" t="s">
        <v>10903</v>
      </c>
      <c r="B4279" s="198" t="s">
        <v>10913</v>
      </c>
      <c r="C4279" s="198" t="s">
        <v>23</v>
      </c>
      <c r="D4279" s="198" t="s">
        <v>141</v>
      </c>
      <c r="E4279" s="198" t="s">
        <v>2272</v>
      </c>
      <c r="F4279" s="198" t="s">
        <v>2272</v>
      </c>
      <c r="G4279" s="4" t="s">
        <v>73</v>
      </c>
      <c r="H4279" s="4" t="s">
        <v>521</v>
      </c>
      <c r="I4279" s="198"/>
      <c r="J4279" s="71" t="s">
        <v>2272</v>
      </c>
      <c r="K4279" s="71" t="s">
        <v>2272</v>
      </c>
      <c r="L4279" s="71" t="s">
        <v>2272</v>
      </c>
      <c r="M4279" s="71" t="s">
        <v>2272</v>
      </c>
      <c r="N4279" s="71" t="s">
        <v>2272</v>
      </c>
      <c r="O4279" s="71" t="s">
        <v>2272</v>
      </c>
      <c r="P4279" s="71" t="s">
        <v>2272</v>
      </c>
      <c r="Q4279" s="71" t="s">
        <v>2272</v>
      </c>
      <c r="R4279" s="71" t="s">
        <v>2272</v>
      </c>
      <c r="S4279" s="71" t="s">
        <v>2272</v>
      </c>
      <c r="T4279" s="71" t="s">
        <v>2272</v>
      </c>
      <c r="U4279" s="71" t="s">
        <v>2272</v>
      </c>
      <c r="V4279" s="71" t="s">
        <v>2272</v>
      </c>
      <c r="W4279" s="71" t="s">
        <v>2272</v>
      </c>
      <c r="X4279" s="71" t="s">
        <v>2272</v>
      </c>
      <c r="Y4279" s="71" t="s">
        <v>2272</v>
      </c>
      <c r="Z4279" s="71" t="s">
        <v>2272</v>
      </c>
      <c r="AA4279" s="71" t="s">
        <v>2272</v>
      </c>
      <c r="AB4279" s="71" t="s">
        <v>2272</v>
      </c>
      <c r="AC4279" s="71" t="s">
        <v>2272</v>
      </c>
      <c r="AD4279" s="71" t="s">
        <v>10914</v>
      </c>
      <c r="AE4279" s="198"/>
    </row>
    <row r="4280" spans="1:31" ht="37" customHeight="1">
      <c r="A4280" s="198" t="s">
        <v>10903</v>
      </c>
      <c r="B4280" s="198" t="s">
        <v>10918</v>
      </c>
      <c r="C4280" s="198" t="s">
        <v>2651</v>
      </c>
      <c r="D4280" s="198" t="s">
        <v>2272</v>
      </c>
      <c r="E4280" s="198" t="s">
        <v>2272</v>
      </c>
      <c r="F4280" s="198" t="s">
        <v>2272</v>
      </c>
      <c r="G4280" s="4" t="s">
        <v>2657</v>
      </c>
      <c r="H4280" s="198" t="s">
        <v>522</v>
      </c>
      <c r="I4280" s="198">
        <v>1980</v>
      </c>
      <c r="J4280" s="21">
        <v>0</v>
      </c>
      <c r="K4280" s="21">
        <v>0</v>
      </c>
      <c r="L4280" s="21">
        <v>0</v>
      </c>
      <c r="M4280" s="21">
        <v>0</v>
      </c>
      <c r="N4280" s="21">
        <v>0</v>
      </c>
      <c r="O4280" s="21">
        <v>0</v>
      </c>
      <c r="P4280" s="21">
        <v>0</v>
      </c>
      <c r="Q4280" s="21">
        <v>0</v>
      </c>
      <c r="R4280" s="21">
        <v>0</v>
      </c>
      <c r="S4280" s="21">
        <v>0</v>
      </c>
      <c r="T4280" s="21">
        <v>0</v>
      </c>
      <c r="U4280" s="21">
        <v>0</v>
      </c>
      <c r="V4280" s="21">
        <v>0</v>
      </c>
      <c r="W4280" s="21">
        <v>0</v>
      </c>
      <c r="X4280" s="21">
        <v>0</v>
      </c>
      <c r="Y4280" s="21">
        <v>0</v>
      </c>
      <c r="Z4280" s="71" t="s">
        <v>2272</v>
      </c>
      <c r="AA4280" s="71" t="s">
        <v>2272</v>
      </c>
      <c r="AB4280" s="71" t="s">
        <v>2272</v>
      </c>
      <c r="AC4280" s="71" t="s">
        <v>2272</v>
      </c>
      <c r="AD4280" s="4" t="s">
        <v>10919</v>
      </c>
      <c r="AE4280" s="198"/>
    </row>
    <row r="4281" spans="1:31" ht="50.5" customHeight="1">
      <c r="A4281" s="198" t="s">
        <v>10921</v>
      </c>
      <c r="B4281" s="198" t="s">
        <v>10924</v>
      </c>
      <c r="C4281" s="198" t="s">
        <v>2453</v>
      </c>
      <c r="D4281" s="198" t="s">
        <v>2272</v>
      </c>
      <c r="E4281" s="198" t="s">
        <v>2272</v>
      </c>
      <c r="F4281" s="198" t="s">
        <v>2272</v>
      </c>
      <c r="G4281" s="4" t="s">
        <v>2657</v>
      </c>
      <c r="H4281" s="4" t="s">
        <v>521</v>
      </c>
      <c r="I4281" s="198"/>
      <c r="J4281" s="71" t="s">
        <v>2272</v>
      </c>
      <c r="K4281" s="71" t="s">
        <v>2272</v>
      </c>
      <c r="L4281" s="71" t="s">
        <v>2272</v>
      </c>
      <c r="M4281" s="71" t="s">
        <v>2272</v>
      </c>
      <c r="N4281" s="71" t="s">
        <v>2272</v>
      </c>
      <c r="O4281" s="71" t="s">
        <v>2272</v>
      </c>
      <c r="P4281" s="71" t="s">
        <v>2272</v>
      </c>
      <c r="Q4281" s="71" t="s">
        <v>2272</v>
      </c>
      <c r="R4281" s="71" t="s">
        <v>2272</v>
      </c>
      <c r="S4281" s="71" t="s">
        <v>2272</v>
      </c>
      <c r="T4281" s="71" t="s">
        <v>2272</v>
      </c>
      <c r="U4281" s="71" t="s">
        <v>2272</v>
      </c>
      <c r="V4281" s="71" t="s">
        <v>2272</v>
      </c>
      <c r="W4281" s="71" t="s">
        <v>2272</v>
      </c>
      <c r="X4281" s="71" t="s">
        <v>2272</v>
      </c>
      <c r="Y4281" s="71" t="s">
        <v>2272</v>
      </c>
      <c r="Z4281" s="71" t="s">
        <v>2272</v>
      </c>
      <c r="AA4281" s="198" t="s">
        <v>423</v>
      </c>
      <c r="AB4281" s="198" t="s">
        <v>125</v>
      </c>
      <c r="AC4281" s="198" t="s">
        <v>2650</v>
      </c>
      <c r="AD4281" s="4" t="s">
        <v>10925</v>
      </c>
      <c r="AE4281" s="198"/>
    </row>
    <row r="4282" spans="1:31" ht="37" customHeight="1">
      <c r="A4282" s="198" t="s">
        <v>10927</v>
      </c>
      <c r="B4282" s="198" t="s">
        <v>10929</v>
      </c>
      <c r="C4282" s="198" t="s">
        <v>30</v>
      </c>
      <c r="D4282" s="198" t="s">
        <v>29</v>
      </c>
      <c r="E4282" s="198" t="s">
        <v>2647</v>
      </c>
      <c r="F4282" s="198" t="s">
        <v>2272</v>
      </c>
      <c r="G4282" s="4" t="s">
        <v>2657</v>
      </c>
      <c r="H4282" s="4" t="s">
        <v>521</v>
      </c>
      <c r="I4282" s="198"/>
      <c r="J4282" s="71" t="s">
        <v>2272</v>
      </c>
      <c r="K4282" s="71" t="s">
        <v>2272</v>
      </c>
      <c r="L4282" s="71" t="s">
        <v>2272</v>
      </c>
      <c r="M4282" s="71" t="s">
        <v>2272</v>
      </c>
      <c r="N4282" s="71" t="s">
        <v>2272</v>
      </c>
      <c r="O4282" s="71" t="s">
        <v>2272</v>
      </c>
      <c r="P4282" s="71" t="s">
        <v>2272</v>
      </c>
      <c r="Q4282" s="71" t="s">
        <v>2272</v>
      </c>
      <c r="R4282" s="71" t="s">
        <v>2272</v>
      </c>
      <c r="S4282" s="71" t="s">
        <v>2272</v>
      </c>
      <c r="T4282" s="71" t="s">
        <v>2272</v>
      </c>
      <c r="U4282" s="71" t="s">
        <v>2272</v>
      </c>
      <c r="V4282" s="71" t="s">
        <v>2272</v>
      </c>
      <c r="W4282" s="71" t="s">
        <v>2272</v>
      </c>
      <c r="X4282" s="71" t="s">
        <v>2272</v>
      </c>
      <c r="Y4282" s="71" t="s">
        <v>2272</v>
      </c>
      <c r="Z4282" s="71" t="s">
        <v>2272</v>
      </c>
      <c r="AA4282" s="71" t="s">
        <v>2272</v>
      </c>
      <c r="AB4282" s="71" t="s">
        <v>2272</v>
      </c>
      <c r="AC4282" s="71" t="s">
        <v>2272</v>
      </c>
      <c r="AD4282" s="198"/>
      <c r="AE4282" s="198"/>
    </row>
    <row r="4283" spans="1:31" ht="34.5" customHeight="1">
      <c r="A4283" s="198" t="s">
        <v>10927</v>
      </c>
      <c r="B4283" s="198" t="s">
        <v>10930</v>
      </c>
      <c r="C4283" s="198" t="s">
        <v>2453</v>
      </c>
      <c r="D4283" s="198" t="s">
        <v>2989</v>
      </c>
      <c r="E4283" s="198" t="s">
        <v>2647</v>
      </c>
      <c r="F4283" s="198" t="s">
        <v>2272</v>
      </c>
      <c r="G4283" s="4" t="s">
        <v>2657</v>
      </c>
      <c r="H4283" s="4" t="s">
        <v>521</v>
      </c>
      <c r="I4283" s="198"/>
      <c r="J4283" s="71" t="s">
        <v>2272</v>
      </c>
      <c r="K4283" s="71" t="s">
        <v>2272</v>
      </c>
      <c r="L4283" s="71" t="s">
        <v>2272</v>
      </c>
      <c r="M4283" s="71" t="s">
        <v>2272</v>
      </c>
      <c r="N4283" s="71" t="s">
        <v>2272</v>
      </c>
      <c r="O4283" s="71" t="s">
        <v>2272</v>
      </c>
      <c r="P4283" s="71" t="s">
        <v>2272</v>
      </c>
      <c r="Q4283" s="71" t="s">
        <v>2272</v>
      </c>
      <c r="R4283" s="71" t="s">
        <v>2272</v>
      </c>
      <c r="S4283" s="71" t="s">
        <v>2272</v>
      </c>
      <c r="T4283" s="71" t="s">
        <v>2272</v>
      </c>
      <c r="U4283" s="71" t="s">
        <v>2272</v>
      </c>
      <c r="V4283" s="71" t="s">
        <v>2272</v>
      </c>
      <c r="W4283" s="71" t="s">
        <v>2272</v>
      </c>
      <c r="X4283" s="71" t="s">
        <v>2272</v>
      </c>
      <c r="Y4283" s="71" t="s">
        <v>2272</v>
      </c>
      <c r="Z4283" s="71" t="s">
        <v>2272</v>
      </c>
      <c r="AA4283" s="71" t="s">
        <v>2272</v>
      </c>
      <c r="AB4283" s="71" t="s">
        <v>2272</v>
      </c>
      <c r="AC4283" s="71" t="s">
        <v>2272</v>
      </c>
      <c r="AD4283" s="198"/>
      <c r="AE4283" s="198"/>
    </row>
    <row r="4284" spans="1:31" ht="33.5" customHeight="1">
      <c r="A4284" s="198" t="s">
        <v>10927</v>
      </c>
      <c r="B4284" s="198" t="s">
        <v>10931</v>
      </c>
      <c r="C4284" s="198" t="s">
        <v>30</v>
      </c>
      <c r="D4284" s="198" t="s">
        <v>29</v>
      </c>
      <c r="E4284" s="198" t="s">
        <v>2648</v>
      </c>
      <c r="F4284" s="198" t="s">
        <v>2272</v>
      </c>
      <c r="G4284" s="4" t="s">
        <v>2657</v>
      </c>
      <c r="H4284" s="4" t="s">
        <v>521</v>
      </c>
      <c r="I4284" s="198"/>
      <c r="J4284" s="71" t="s">
        <v>2272</v>
      </c>
      <c r="K4284" s="71" t="s">
        <v>2272</v>
      </c>
      <c r="L4284" s="71" t="s">
        <v>2272</v>
      </c>
      <c r="M4284" s="71" t="s">
        <v>2272</v>
      </c>
      <c r="N4284" s="71" t="s">
        <v>2272</v>
      </c>
      <c r="O4284" s="71" t="s">
        <v>2272</v>
      </c>
      <c r="P4284" s="71" t="s">
        <v>2272</v>
      </c>
      <c r="Q4284" s="71" t="s">
        <v>2272</v>
      </c>
      <c r="R4284" s="71" t="s">
        <v>2272</v>
      </c>
      <c r="S4284" s="71" t="s">
        <v>2272</v>
      </c>
      <c r="T4284" s="71" t="s">
        <v>2272</v>
      </c>
      <c r="U4284" s="71" t="s">
        <v>2272</v>
      </c>
      <c r="V4284" s="71" t="s">
        <v>2272</v>
      </c>
      <c r="W4284" s="71" t="s">
        <v>2272</v>
      </c>
      <c r="X4284" s="71" t="s">
        <v>2272</v>
      </c>
      <c r="Y4284" s="71" t="s">
        <v>2272</v>
      </c>
      <c r="Z4284" s="71" t="s">
        <v>2272</v>
      </c>
      <c r="AA4284" s="71" t="s">
        <v>2272</v>
      </c>
      <c r="AB4284" s="71" t="s">
        <v>2272</v>
      </c>
      <c r="AC4284" s="71" t="s">
        <v>2272</v>
      </c>
      <c r="AD4284" s="198" t="s">
        <v>10933</v>
      </c>
      <c r="AE4284" s="198"/>
    </row>
    <row r="4285" spans="1:31" ht="33.5" customHeight="1">
      <c r="A4285" s="198" t="s">
        <v>10927</v>
      </c>
      <c r="B4285" s="198" t="s">
        <v>10932</v>
      </c>
      <c r="C4285" s="198" t="s">
        <v>2453</v>
      </c>
      <c r="D4285" s="198" t="s">
        <v>2989</v>
      </c>
      <c r="E4285" s="198" t="s">
        <v>2648</v>
      </c>
      <c r="F4285" s="198" t="s">
        <v>2272</v>
      </c>
      <c r="G4285" s="4" t="s">
        <v>2657</v>
      </c>
      <c r="H4285" s="4" t="s">
        <v>521</v>
      </c>
      <c r="I4285" s="198"/>
      <c r="J4285" s="71" t="s">
        <v>2272</v>
      </c>
      <c r="K4285" s="71" t="s">
        <v>2272</v>
      </c>
      <c r="L4285" s="71" t="s">
        <v>2272</v>
      </c>
      <c r="M4285" s="71" t="s">
        <v>2272</v>
      </c>
      <c r="N4285" s="71" t="s">
        <v>2272</v>
      </c>
      <c r="O4285" s="71" t="s">
        <v>2272</v>
      </c>
      <c r="P4285" s="71" t="s">
        <v>2272</v>
      </c>
      <c r="Q4285" s="71" t="s">
        <v>2272</v>
      </c>
      <c r="R4285" s="71" t="s">
        <v>2272</v>
      </c>
      <c r="S4285" s="71" t="s">
        <v>2272</v>
      </c>
      <c r="T4285" s="71" t="s">
        <v>2272</v>
      </c>
      <c r="U4285" s="71" t="s">
        <v>2272</v>
      </c>
      <c r="V4285" s="71" t="s">
        <v>2272</v>
      </c>
      <c r="W4285" s="71" t="s">
        <v>2272</v>
      </c>
      <c r="X4285" s="71" t="s">
        <v>2272</v>
      </c>
      <c r="Y4285" s="71" t="s">
        <v>2272</v>
      </c>
      <c r="Z4285" s="71" t="s">
        <v>2272</v>
      </c>
      <c r="AA4285" s="71" t="s">
        <v>2272</v>
      </c>
      <c r="AB4285" s="71" t="s">
        <v>2272</v>
      </c>
      <c r="AC4285" s="71" t="s">
        <v>2272</v>
      </c>
      <c r="AD4285" s="198" t="s">
        <v>10933</v>
      </c>
      <c r="AE4285" s="198"/>
    </row>
    <row r="4286" spans="1:31" ht="36" customHeight="1">
      <c r="A4286" s="198" t="s">
        <v>10927</v>
      </c>
      <c r="B4286" s="198" t="s">
        <v>10934</v>
      </c>
      <c r="C4286" s="198" t="s">
        <v>2453</v>
      </c>
      <c r="D4286" s="198" t="s">
        <v>2272</v>
      </c>
      <c r="E4286" s="198" t="s">
        <v>2272</v>
      </c>
      <c r="F4286" s="198" t="s">
        <v>2272</v>
      </c>
      <c r="G4286" s="4" t="s">
        <v>2657</v>
      </c>
      <c r="H4286" s="4" t="s">
        <v>521</v>
      </c>
      <c r="I4286" s="198"/>
      <c r="J4286" s="71" t="s">
        <v>2272</v>
      </c>
      <c r="K4286" s="71" t="s">
        <v>2272</v>
      </c>
      <c r="L4286" s="71" t="s">
        <v>2272</v>
      </c>
      <c r="M4286" s="71" t="s">
        <v>2272</v>
      </c>
      <c r="N4286" s="71" t="s">
        <v>2272</v>
      </c>
      <c r="O4286" s="71" t="s">
        <v>2272</v>
      </c>
      <c r="P4286" s="71" t="s">
        <v>2272</v>
      </c>
      <c r="Q4286" s="71" t="s">
        <v>2272</v>
      </c>
      <c r="R4286" s="71" t="s">
        <v>2272</v>
      </c>
      <c r="S4286" s="71" t="s">
        <v>2272</v>
      </c>
      <c r="T4286" s="71" t="s">
        <v>2272</v>
      </c>
      <c r="U4286" s="21">
        <v>4517</v>
      </c>
      <c r="V4286" s="71" t="s">
        <v>2272</v>
      </c>
      <c r="W4286" s="71" t="s">
        <v>2272</v>
      </c>
      <c r="X4286" s="71" t="s">
        <v>2272</v>
      </c>
      <c r="Y4286" s="21">
        <f>U4286/'Record info'!K1752</f>
        <v>4.5170000000000003</v>
      </c>
      <c r="Z4286" s="71" t="s">
        <v>2272</v>
      </c>
      <c r="AA4286" s="71" t="s">
        <v>2272</v>
      </c>
      <c r="AB4286" s="71" t="s">
        <v>2272</v>
      </c>
      <c r="AC4286" s="71" t="s">
        <v>2272</v>
      </c>
      <c r="AD4286" s="198"/>
      <c r="AE4286" s="198"/>
    </row>
    <row r="4287" spans="1:31" ht="38" customHeight="1">
      <c r="A4287" s="198" t="s">
        <v>10927</v>
      </c>
      <c r="B4287" s="198" t="s">
        <v>10935</v>
      </c>
      <c r="C4287" s="198" t="s">
        <v>2651</v>
      </c>
      <c r="D4287" s="198" t="s">
        <v>2272</v>
      </c>
      <c r="E4287" s="198" t="s">
        <v>2272</v>
      </c>
      <c r="F4287" s="198" t="s">
        <v>2272</v>
      </c>
      <c r="G4287" s="4" t="s">
        <v>2657</v>
      </c>
      <c r="H4287" s="198" t="s">
        <v>522</v>
      </c>
      <c r="I4287" s="198"/>
      <c r="J4287" s="21">
        <v>0</v>
      </c>
      <c r="K4287" s="21">
        <v>0</v>
      </c>
      <c r="L4287" s="172">
        <v>0</v>
      </c>
      <c r="M4287" s="21">
        <v>0</v>
      </c>
      <c r="N4287" s="21">
        <v>0</v>
      </c>
      <c r="O4287" s="21">
        <v>0</v>
      </c>
      <c r="P4287" s="21">
        <v>0</v>
      </c>
      <c r="Q4287" s="21">
        <v>0</v>
      </c>
      <c r="R4287" s="21">
        <v>0</v>
      </c>
      <c r="S4287" s="21">
        <v>0</v>
      </c>
      <c r="T4287" s="21">
        <v>0</v>
      </c>
      <c r="U4287" s="21">
        <v>0</v>
      </c>
      <c r="V4287" s="21">
        <v>0</v>
      </c>
      <c r="W4287" s="21">
        <v>0</v>
      </c>
      <c r="X4287" s="21">
        <v>0</v>
      </c>
      <c r="Y4287" s="21">
        <v>0</v>
      </c>
      <c r="Z4287" s="71" t="s">
        <v>2272</v>
      </c>
      <c r="AA4287" s="71" t="s">
        <v>2272</v>
      </c>
      <c r="AB4287" s="71" t="s">
        <v>2272</v>
      </c>
      <c r="AC4287" s="71" t="s">
        <v>2272</v>
      </c>
      <c r="AD4287" s="198"/>
      <c r="AE4287" s="198"/>
    </row>
    <row r="4288" spans="1:31" ht="39" customHeight="1">
      <c r="A4288" s="198" t="s">
        <v>10927</v>
      </c>
      <c r="B4288" s="198" t="s">
        <v>10936</v>
      </c>
      <c r="C4288" s="198" t="s">
        <v>2651</v>
      </c>
      <c r="D4288" s="198" t="s">
        <v>2272</v>
      </c>
      <c r="E4288" s="198" t="s">
        <v>2272</v>
      </c>
      <c r="F4288" s="198" t="s">
        <v>2272</v>
      </c>
      <c r="G4288" s="4" t="s">
        <v>2657</v>
      </c>
      <c r="H4288" s="4" t="s">
        <v>521</v>
      </c>
      <c r="I4288" s="198"/>
      <c r="J4288" s="71" t="s">
        <v>2272</v>
      </c>
      <c r="K4288" s="71" t="s">
        <v>2272</v>
      </c>
      <c r="L4288" s="225" t="s">
        <v>2272</v>
      </c>
      <c r="M4288" s="71" t="s">
        <v>2272</v>
      </c>
      <c r="N4288" s="71" t="s">
        <v>2272</v>
      </c>
      <c r="O4288" s="71">
        <v>300</v>
      </c>
      <c r="P4288" s="71" t="s">
        <v>2272</v>
      </c>
      <c r="Q4288" s="71" t="s">
        <v>2272</v>
      </c>
      <c r="R4288" s="71" t="s">
        <v>2272</v>
      </c>
      <c r="S4288" s="71" t="s">
        <v>2272</v>
      </c>
      <c r="T4288" s="71" t="s">
        <v>2272</v>
      </c>
      <c r="U4288" s="71" t="s">
        <v>2272</v>
      </c>
      <c r="V4288" s="71" t="s">
        <v>2272</v>
      </c>
      <c r="W4288" s="71" t="s">
        <v>2272</v>
      </c>
      <c r="X4288" s="71" t="s">
        <v>2272</v>
      </c>
      <c r="Y4288" s="71" t="s">
        <v>2272</v>
      </c>
      <c r="Z4288" s="71" t="s">
        <v>2272</v>
      </c>
      <c r="AA4288" s="198" t="s">
        <v>67</v>
      </c>
      <c r="AB4288" s="198" t="s">
        <v>67</v>
      </c>
      <c r="AC4288" s="71" t="s">
        <v>2272</v>
      </c>
      <c r="AD4288" s="198"/>
      <c r="AE4288" s="198"/>
    </row>
    <row r="4289" spans="1:31" ht="37" customHeight="1">
      <c r="A4289" s="198" t="s">
        <v>10937</v>
      </c>
      <c r="B4289" s="198" t="s">
        <v>10940</v>
      </c>
      <c r="C4289" s="198" t="s">
        <v>1102</v>
      </c>
      <c r="D4289" s="198" t="s">
        <v>2272</v>
      </c>
      <c r="E4289" s="198" t="s">
        <v>2272</v>
      </c>
      <c r="F4289" s="198" t="s">
        <v>2272</v>
      </c>
      <c r="G4289" s="4" t="s">
        <v>2657</v>
      </c>
      <c r="H4289" s="4" t="s">
        <v>521</v>
      </c>
      <c r="I4289" s="198"/>
      <c r="J4289" s="71" t="s">
        <v>2272</v>
      </c>
      <c r="K4289" s="71" t="s">
        <v>2272</v>
      </c>
      <c r="L4289" s="71" t="s">
        <v>2272</v>
      </c>
      <c r="M4289" s="71" t="s">
        <v>2272</v>
      </c>
      <c r="N4289" s="71" t="s">
        <v>2272</v>
      </c>
      <c r="O4289" s="21">
        <v>2530</v>
      </c>
      <c r="P4289" s="71" t="s">
        <v>2272</v>
      </c>
      <c r="Q4289" s="71" t="s">
        <v>2272</v>
      </c>
      <c r="R4289" s="71" t="s">
        <v>2272</v>
      </c>
      <c r="S4289" s="71" t="s">
        <v>2272</v>
      </c>
      <c r="T4289" s="71" t="s">
        <v>2272</v>
      </c>
      <c r="U4289" s="71" t="s">
        <v>2272</v>
      </c>
      <c r="V4289" s="71" t="s">
        <v>2272</v>
      </c>
      <c r="W4289" s="71" t="s">
        <v>2272</v>
      </c>
      <c r="X4289" s="71" t="s">
        <v>2272</v>
      </c>
      <c r="Y4289" s="71" t="s">
        <v>2272</v>
      </c>
      <c r="Z4289" s="71" t="s">
        <v>2272</v>
      </c>
      <c r="AA4289" s="71" t="s">
        <v>2272</v>
      </c>
      <c r="AB4289" s="71" t="s">
        <v>2272</v>
      </c>
      <c r="AC4289" s="71" t="s">
        <v>2272</v>
      </c>
      <c r="AD4289" s="198"/>
      <c r="AE4289" s="198"/>
    </row>
    <row r="4290" spans="1:31" ht="41.5" customHeight="1">
      <c r="A4290" s="198" t="s">
        <v>10937</v>
      </c>
      <c r="B4290" s="198" t="s">
        <v>10941</v>
      </c>
      <c r="C4290" s="198" t="s">
        <v>1102</v>
      </c>
      <c r="D4290" s="198" t="s">
        <v>2272</v>
      </c>
      <c r="E4290" s="198" t="s">
        <v>2272</v>
      </c>
      <c r="F4290" s="198" t="s">
        <v>2272</v>
      </c>
      <c r="G4290" s="4" t="s">
        <v>2657</v>
      </c>
      <c r="H4290" s="4" t="s">
        <v>521</v>
      </c>
      <c r="I4290" s="198"/>
      <c r="J4290" s="71" t="s">
        <v>2272</v>
      </c>
      <c r="K4290" s="71" t="s">
        <v>2272</v>
      </c>
      <c r="L4290" s="71" t="s">
        <v>2272</v>
      </c>
      <c r="M4290" s="71" t="s">
        <v>2272</v>
      </c>
      <c r="N4290" s="71" t="s">
        <v>2272</v>
      </c>
      <c r="O4290" s="71" t="s">
        <v>2272</v>
      </c>
      <c r="P4290" s="71" t="s">
        <v>2272</v>
      </c>
      <c r="Q4290" s="71" t="s">
        <v>2272</v>
      </c>
      <c r="R4290" s="71" t="s">
        <v>2272</v>
      </c>
      <c r="S4290" s="71" t="s">
        <v>2272</v>
      </c>
      <c r="T4290" s="71" t="s">
        <v>2272</v>
      </c>
      <c r="U4290" s="71" t="s">
        <v>2272</v>
      </c>
      <c r="V4290" s="71" t="s">
        <v>2272</v>
      </c>
      <c r="W4290" s="71" t="s">
        <v>2272</v>
      </c>
      <c r="X4290" s="71" t="s">
        <v>2272</v>
      </c>
      <c r="Y4290" s="71" t="s">
        <v>2272</v>
      </c>
      <c r="Z4290" s="71" t="s">
        <v>2272</v>
      </c>
      <c r="AA4290" s="71" t="s">
        <v>2272</v>
      </c>
      <c r="AB4290" s="71" t="s">
        <v>2272</v>
      </c>
      <c r="AC4290" s="71" t="s">
        <v>2272</v>
      </c>
      <c r="AD4290" s="198"/>
      <c r="AE4290" s="198"/>
    </row>
    <row r="4291" spans="1:31" ht="41.5" customHeight="1">
      <c r="A4291" s="198" t="s">
        <v>10970</v>
      </c>
      <c r="B4291" s="198" t="s">
        <v>10993</v>
      </c>
      <c r="C4291" s="198" t="s">
        <v>1102</v>
      </c>
      <c r="D4291" s="198" t="s">
        <v>2272</v>
      </c>
      <c r="E4291" s="198" t="s">
        <v>2272</v>
      </c>
      <c r="F4291" s="198" t="s">
        <v>2272</v>
      </c>
      <c r="G4291" s="198" t="s">
        <v>2272</v>
      </c>
      <c r="H4291" s="4" t="s">
        <v>521</v>
      </c>
      <c r="I4291" s="198"/>
      <c r="J4291" s="71" t="s">
        <v>2272</v>
      </c>
      <c r="K4291" s="71" t="s">
        <v>2272</v>
      </c>
      <c r="L4291" s="71" t="s">
        <v>2272</v>
      </c>
      <c r="M4291" s="71" t="s">
        <v>2272</v>
      </c>
      <c r="N4291" s="71" t="s">
        <v>2272</v>
      </c>
      <c r="O4291" s="71" t="s">
        <v>2272</v>
      </c>
      <c r="P4291" s="71" t="s">
        <v>2272</v>
      </c>
      <c r="Q4291" s="71" t="s">
        <v>2272</v>
      </c>
      <c r="R4291" s="71" t="s">
        <v>2272</v>
      </c>
      <c r="S4291" s="71" t="s">
        <v>2272</v>
      </c>
      <c r="T4291" s="71" t="s">
        <v>2272</v>
      </c>
      <c r="U4291" s="21">
        <v>875.5</v>
      </c>
      <c r="V4291" s="71" t="s">
        <v>2272</v>
      </c>
      <c r="W4291" s="71" t="s">
        <v>2272</v>
      </c>
      <c r="X4291" s="71" t="s">
        <v>2272</v>
      </c>
      <c r="Y4291" s="21">
        <f>U4291/'Record info'!K1754</f>
        <v>0.01</v>
      </c>
      <c r="Z4291" s="21"/>
      <c r="AA4291" s="71" t="s">
        <v>2272</v>
      </c>
      <c r="AB4291" s="71" t="s">
        <v>2272</v>
      </c>
      <c r="AC4291" s="71" t="s">
        <v>2272</v>
      </c>
      <c r="AD4291" s="198"/>
      <c r="AE4291" s="198"/>
    </row>
    <row r="4292" spans="1:31" ht="41.5" customHeight="1">
      <c r="A4292" s="198" t="s">
        <v>10983</v>
      </c>
      <c r="B4292" s="198" t="s">
        <v>10994</v>
      </c>
      <c r="C4292" s="198" t="s">
        <v>1102</v>
      </c>
      <c r="D4292" s="198" t="s">
        <v>2272</v>
      </c>
      <c r="E4292" s="198" t="s">
        <v>2272</v>
      </c>
      <c r="F4292" s="198" t="s">
        <v>2272</v>
      </c>
      <c r="G4292" s="198" t="s">
        <v>2272</v>
      </c>
      <c r="H4292" s="4" t="s">
        <v>521</v>
      </c>
      <c r="I4292" s="198"/>
      <c r="J4292" s="71" t="s">
        <v>2272</v>
      </c>
      <c r="K4292" s="71" t="s">
        <v>2272</v>
      </c>
      <c r="L4292" s="71" t="s">
        <v>2272</v>
      </c>
      <c r="M4292" s="71" t="s">
        <v>2272</v>
      </c>
      <c r="N4292" s="71" t="s">
        <v>2272</v>
      </c>
      <c r="O4292" s="71" t="s">
        <v>2272</v>
      </c>
      <c r="P4292" s="71" t="s">
        <v>2272</v>
      </c>
      <c r="Q4292" s="71" t="s">
        <v>2272</v>
      </c>
      <c r="R4292" s="71" t="s">
        <v>2272</v>
      </c>
      <c r="S4292" s="71" t="s">
        <v>2272</v>
      </c>
      <c r="T4292" s="71" t="s">
        <v>2272</v>
      </c>
      <c r="U4292" s="21">
        <v>94360</v>
      </c>
      <c r="V4292" s="71" t="s">
        <v>2272</v>
      </c>
      <c r="W4292" s="71" t="s">
        <v>2272</v>
      </c>
      <c r="X4292" s="71" t="s">
        <v>2272</v>
      </c>
      <c r="Y4292" s="21">
        <f>U4292/'Record info'!K1755</f>
        <v>0.22999999999999998</v>
      </c>
      <c r="Z4292" s="21"/>
      <c r="AA4292" s="71" t="s">
        <v>2272</v>
      </c>
      <c r="AB4292" s="71" t="s">
        <v>2272</v>
      </c>
      <c r="AC4292" s="71" t="s">
        <v>2272</v>
      </c>
      <c r="AD4292" s="198"/>
      <c r="AE4292" s="198"/>
    </row>
    <row r="4293" spans="1:31" ht="41.5" customHeight="1">
      <c r="A4293" s="198" t="s">
        <v>10984</v>
      </c>
      <c r="B4293" s="198" t="s">
        <v>10995</v>
      </c>
      <c r="C4293" s="198" t="s">
        <v>1102</v>
      </c>
      <c r="D4293" s="198" t="s">
        <v>2272</v>
      </c>
      <c r="E4293" s="198" t="s">
        <v>2272</v>
      </c>
      <c r="F4293" s="198" t="s">
        <v>2272</v>
      </c>
      <c r="G4293" s="198" t="s">
        <v>2272</v>
      </c>
      <c r="H4293" s="4" t="s">
        <v>521</v>
      </c>
      <c r="I4293" s="198"/>
      <c r="J4293" s="71" t="s">
        <v>2272</v>
      </c>
      <c r="K4293" s="71" t="s">
        <v>2272</v>
      </c>
      <c r="L4293" s="71" t="s">
        <v>2272</v>
      </c>
      <c r="M4293" s="71" t="s">
        <v>2272</v>
      </c>
      <c r="N4293" s="71" t="s">
        <v>2272</v>
      </c>
      <c r="O4293" s="71" t="s">
        <v>2272</v>
      </c>
      <c r="P4293" s="71" t="s">
        <v>2272</v>
      </c>
      <c r="Q4293" s="71" t="s">
        <v>2272</v>
      </c>
      <c r="R4293" s="71" t="s">
        <v>2272</v>
      </c>
      <c r="S4293" s="71" t="s">
        <v>2272</v>
      </c>
      <c r="T4293" s="71" t="s">
        <v>2272</v>
      </c>
      <c r="U4293" s="21">
        <v>158449.4</v>
      </c>
      <c r="V4293" s="71" t="s">
        <v>2272</v>
      </c>
      <c r="W4293" s="71" t="s">
        <v>2272</v>
      </c>
      <c r="X4293" s="71" t="s">
        <v>2272</v>
      </c>
      <c r="Y4293" s="21">
        <f>U4293/'Record info'!K1756</f>
        <v>0.3</v>
      </c>
      <c r="Z4293" s="21"/>
      <c r="AA4293" s="71" t="s">
        <v>2272</v>
      </c>
      <c r="AB4293" s="71" t="s">
        <v>2272</v>
      </c>
      <c r="AC4293" s="71" t="s">
        <v>2272</v>
      </c>
      <c r="AD4293" s="198"/>
      <c r="AE4293" s="198"/>
    </row>
    <row r="4294" spans="1:31" ht="41.5" customHeight="1">
      <c r="A4294" s="198" t="s">
        <v>10985</v>
      </c>
      <c r="B4294" s="198" t="s">
        <v>10996</v>
      </c>
      <c r="C4294" s="198" t="s">
        <v>1102</v>
      </c>
      <c r="D4294" s="198" t="s">
        <v>2272</v>
      </c>
      <c r="E4294" s="198" t="s">
        <v>2272</v>
      </c>
      <c r="F4294" s="198" t="s">
        <v>2272</v>
      </c>
      <c r="G4294" s="198" t="s">
        <v>2272</v>
      </c>
      <c r="H4294" s="4" t="s">
        <v>521</v>
      </c>
      <c r="I4294" s="198"/>
      <c r="J4294" s="71" t="s">
        <v>2272</v>
      </c>
      <c r="K4294" s="71" t="s">
        <v>2272</v>
      </c>
      <c r="L4294" s="71" t="s">
        <v>2272</v>
      </c>
      <c r="M4294" s="71" t="s">
        <v>2272</v>
      </c>
      <c r="N4294" s="71" t="s">
        <v>2272</v>
      </c>
      <c r="O4294" s="71" t="s">
        <v>2272</v>
      </c>
      <c r="P4294" s="71" t="s">
        <v>2272</v>
      </c>
      <c r="Q4294" s="71" t="s">
        <v>2272</v>
      </c>
      <c r="R4294" s="71" t="s">
        <v>2272</v>
      </c>
      <c r="S4294" s="71" t="s">
        <v>2272</v>
      </c>
      <c r="T4294" s="71" t="s">
        <v>2272</v>
      </c>
      <c r="U4294" s="21">
        <v>136875.5</v>
      </c>
      <c r="V4294" s="71" t="s">
        <v>2272</v>
      </c>
      <c r="W4294" s="71" t="s">
        <v>2272</v>
      </c>
      <c r="X4294" s="71" t="s">
        <v>2272</v>
      </c>
      <c r="Y4294" s="21">
        <f>U4294/'Record info'!K1757</f>
        <v>0.15</v>
      </c>
      <c r="Z4294" s="21"/>
      <c r="AA4294" s="71" t="s">
        <v>2272</v>
      </c>
      <c r="AB4294" s="71" t="s">
        <v>2272</v>
      </c>
      <c r="AC4294" s="71" t="s">
        <v>2272</v>
      </c>
      <c r="AD4294" s="198"/>
      <c r="AE4294" s="198"/>
    </row>
    <row r="4295" spans="1:31" ht="41.5" customHeight="1">
      <c r="A4295" s="198" t="s">
        <v>10986</v>
      </c>
      <c r="B4295" s="198" t="s">
        <v>10997</v>
      </c>
      <c r="C4295" s="198" t="s">
        <v>1102</v>
      </c>
      <c r="D4295" s="198" t="s">
        <v>2272</v>
      </c>
      <c r="E4295" s="198" t="s">
        <v>2272</v>
      </c>
      <c r="F4295" s="198" t="s">
        <v>2272</v>
      </c>
      <c r="G4295" s="198" t="s">
        <v>2272</v>
      </c>
      <c r="H4295" s="4" t="s">
        <v>521</v>
      </c>
      <c r="I4295" s="198"/>
      <c r="J4295" s="71" t="s">
        <v>2272</v>
      </c>
      <c r="K4295" s="71" t="s">
        <v>2272</v>
      </c>
      <c r="L4295" s="71" t="s">
        <v>2272</v>
      </c>
      <c r="M4295" s="71" t="s">
        <v>2272</v>
      </c>
      <c r="N4295" s="71" t="s">
        <v>2272</v>
      </c>
      <c r="O4295" s="71" t="s">
        <v>2272</v>
      </c>
      <c r="P4295" s="71" t="s">
        <v>2272</v>
      </c>
      <c r="Q4295" s="71" t="s">
        <v>2272</v>
      </c>
      <c r="R4295" s="71" t="s">
        <v>2272</v>
      </c>
      <c r="S4295" s="71" t="s">
        <v>2272</v>
      </c>
      <c r="T4295" s="71" t="s">
        <v>2272</v>
      </c>
      <c r="U4295" s="21">
        <v>432440.6</v>
      </c>
      <c r="V4295" s="71" t="s">
        <v>2272</v>
      </c>
      <c r="W4295" s="71" t="s">
        <v>2272</v>
      </c>
      <c r="X4295" s="71" t="s">
        <v>2272</v>
      </c>
      <c r="Y4295" s="21">
        <f>U4295/'Record info'!K1758</f>
        <v>0.67</v>
      </c>
      <c r="Z4295" s="21"/>
      <c r="AA4295" s="71" t="s">
        <v>2272</v>
      </c>
      <c r="AB4295" s="71" t="s">
        <v>2272</v>
      </c>
      <c r="AC4295" s="71" t="s">
        <v>2272</v>
      </c>
      <c r="AD4295" s="198"/>
      <c r="AE4295" s="198"/>
    </row>
    <row r="4296" spans="1:31" ht="41.5" customHeight="1">
      <c r="A4296" s="198" t="s">
        <v>10987</v>
      </c>
      <c r="B4296" s="198" t="s">
        <v>10998</v>
      </c>
      <c r="C4296" s="198" t="s">
        <v>1102</v>
      </c>
      <c r="D4296" s="198" t="s">
        <v>2272</v>
      </c>
      <c r="E4296" s="198" t="s">
        <v>2272</v>
      </c>
      <c r="F4296" s="198" t="s">
        <v>2272</v>
      </c>
      <c r="G4296" s="198" t="s">
        <v>2272</v>
      </c>
      <c r="H4296" s="4" t="s">
        <v>521</v>
      </c>
      <c r="I4296" s="198"/>
      <c r="J4296" s="71" t="s">
        <v>2272</v>
      </c>
      <c r="K4296" s="71" t="s">
        <v>2272</v>
      </c>
      <c r="L4296" s="71" t="s">
        <v>2272</v>
      </c>
      <c r="M4296" s="71" t="s">
        <v>2272</v>
      </c>
      <c r="N4296" s="71" t="s">
        <v>2272</v>
      </c>
      <c r="O4296" s="71" t="s">
        <v>2272</v>
      </c>
      <c r="P4296" s="71" t="s">
        <v>2272</v>
      </c>
      <c r="Q4296" s="71" t="s">
        <v>2272</v>
      </c>
      <c r="R4296" s="71" t="s">
        <v>2272</v>
      </c>
      <c r="S4296" s="71" t="s">
        <v>2272</v>
      </c>
      <c r="T4296" s="71" t="s">
        <v>2272</v>
      </c>
      <c r="U4296" s="21">
        <v>75545.100000000006</v>
      </c>
      <c r="V4296" s="71" t="s">
        <v>2272</v>
      </c>
      <c r="W4296" s="71" t="s">
        <v>2272</v>
      </c>
      <c r="X4296" s="71" t="s">
        <v>2272</v>
      </c>
      <c r="Y4296" s="21">
        <f>U4296/'Record info'!K1759</f>
        <v>0.22000029121715534</v>
      </c>
      <c r="Z4296" s="21"/>
      <c r="AA4296" s="71" t="s">
        <v>2272</v>
      </c>
      <c r="AB4296" s="71" t="s">
        <v>2272</v>
      </c>
      <c r="AC4296" s="71" t="s">
        <v>2272</v>
      </c>
      <c r="AD4296" s="198"/>
      <c r="AE4296" s="198"/>
    </row>
    <row r="4297" spans="1:31" ht="41.5" customHeight="1">
      <c r="A4297" s="198" t="s">
        <v>10988</v>
      </c>
      <c r="B4297" s="198" t="s">
        <v>10999</v>
      </c>
      <c r="C4297" s="198" t="s">
        <v>1102</v>
      </c>
      <c r="D4297" s="198" t="s">
        <v>2272</v>
      </c>
      <c r="E4297" s="198" t="s">
        <v>2272</v>
      </c>
      <c r="F4297" s="198" t="s">
        <v>2272</v>
      </c>
      <c r="G4297" s="198" t="s">
        <v>2272</v>
      </c>
      <c r="H4297" s="4" t="s">
        <v>521</v>
      </c>
      <c r="I4297" s="198"/>
      <c r="J4297" s="71" t="s">
        <v>2272</v>
      </c>
      <c r="K4297" s="71" t="s">
        <v>2272</v>
      </c>
      <c r="L4297" s="71" t="s">
        <v>2272</v>
      </c>
      <c r="M4297" s="71" t="s">
        <v>2272</v>
      </c>
      <c r="N4297" s="71" t="s">
        <v>2272</v>
      </c>
      <c r="O4297" s="71" t="s">
        <v>2272</v>
      </c>
      <c r="P4297" s="71" t="s">
        <v>2272</v>
      </c>
      <c r="Q4297" s="71" t="s">
        <v>2272</v>
      </c>
      <c r="R4297" s="71" t="s">
        <v>2272</v>
      </c>
      <c r="S4297" s="71" t="s">
        <v>2272</v>
      </c>
      <c r="T4297" s="71" t="s">
        <v>2272</v>
      </c>
      <c r="U4297" s="21">
        <v>29332.3</v>
      </c>
      <c r="V4297" s="71" t="s">
        <v>2272</v>
      </c>
      <c r="W4297" s="71" t="s">
        <v>2272</v>
      </c>
      <c r="X4297" s="71" t="s">
        <v>2272</v>
      </c>
      <c r="Y4297" s="21">
        <f>U4297/'Record info'!K1760</f>
        <v>7.0000000000000007E-2</v>
      </c>
      <c r="Z4297" s="21"/>
      <c r="AA4297" s="71" t="s">
        <v>2272</v>
      </c>
      <c r="AB4297" s="71" t="s">
        <v>2272</v>
      </c>
      <c r="AC4297" s="71" t="s">
        <v>2272</v>
      </c>
      <c r="AD4297" s="198"/>
      <c r="AE4297" s="198"/>
    </row>
    <row r="4298" spans="1:31" ht="41.5" customHeight="1">
      <c r="A4298" s="198" t="s">
        <v>10989</v>
      </c>
      <c r="B4298" s="198" t="s">
        <v>11000</v>
      </c>
      <c r="C4298" s="198" t="s">
        <v>1102</v>
      </c>
      <c r="D4298" s="198" t="s">
        <v>2272</v>
      </c>
      <c r="E4298" s="198" t="s">
        <v>2272</v>
      </c>
      <c r="F4298" s="198" t="s">
        <v>2272</v>
      </c>
      <c r="G4298" s="198" t="s">
        <v>2272</v>
      </c>
      <c r="H4298" s="4" t="s">
        <v>521</v>
      </c>
      <c r="I4298" s="198"/>
      <c r="J4298" s="71" t="s">
        <v>2272</v>
      </c>
      <c r="K4298" s="71" t="s">
        <v>2272</v>
      </c>
      <c r="L4298" s="71" t="s">
        <v>2272</v>
      </c>
      <c r="M4298" s="71" t="s">
        <v>2272</v>
      </c>
      <c r="N4298" s="71" t="s">
        <v>2272</v>
      </c>
      <c r="O4298" s="71" t="s">
        <v>2272</v>
      </c>
      <c r="P4298" s="71" t="s">
        <v>2272</v>
      </c>
      <c r="Q4298" s="71" t="s">
        <v>2272</v>
      </c>
      <c r="R4298" s="71" t="s">
        <v>2272</v>
      </c>
      <c r="S4298" s="71" t="s">
        <v>2272</v>
      </c>
      <c r="T4298" s="71" t="s">
        <v>2272</v>
      </c>
      <c r="U4298" s="21">
        <v>1401.7</v>
      </c>
      <c r="V4298" s="71" t="s">
        <v>2272</v>
      </c>
      <c r="W4298" s="71" t="s">
        <v>2272</v>
      </c>
      <c r="X4298" s="71" t="s">
        <v>2272</v>
      </c>
      <c r="Y4298" s="21">
        <f>U4298/'Record info'!K1761</f>
        <v>0.01</v>
      </c>
      <c r="Z4298" s="21"/>
      <c r="AA4298" s="71" t="s">
        <v>2272</v>
      </c>
      <c r="AB4298" s="71" t="s">
        <v>2272</v>
      </c>
      <c r="AC4298" s="71" t="s">
        <v>2272</v>
      </c>
      <c r="AD4298" s="198"/>
      <c r="AE4298" s="198"/>
    </row>
    <row r="4299" spans="1:31" ht="41.5" customHeight="1">
      <c r="A4299" s="198" t="s">
        <v>10990</v>
      </c>
      <c r="B4299" s="198" t="s">
        <v>11001</v>
      </c>
      <c r="C4299" s="198" t="s">
        <v>1102</v>
      </c>
      <c r="D4299" s="198" t="s">
        <v>2272</v>
      </c>
      <c r="E4299" s="198" t="s">
        <v>2272</v>
      </c>
      <c r="F4299" s="198" t="s">
        <v>2272</v>
      </c>
      <c r="G4299" s="198" t="s">
        <v>2272</v>
      </c>
      <c r="H4299" s="4" t="s">
        <v>521</v>
      </c>
      <c r="I4299" s="198"/>
      <c r="J4299" s="71" t="s">
        <v>2272</v>
      </c>
      <c r="K4299" s="71" t="s">
        <v>2272</v>
      </c>
      <c r="L4299" s="71" t="s">
        <v>2272</v>
      </c>
      <c r="M4299" s="71" t="s">
        <v>2272</v>
      </c>
      <c r="N4299" s="71" t="s">
        <v>2272</v>
      </c>
      <c r="O4299" s="71" t="s">
        <v>2272</v>
      </c>
      <c r="P4299" s="71" t="s">
        <v>2272</v>
      </c>
      <c r="Q4299" s="71" t="s">
        <v>2272</v>
      </c>
      <c r="R4299" s="71" t="s">
        <v>2272</v>
      </c>
      <c r="S4299" s="71" t="s">
        <v>2272</v>
      </c>
      <c r="T4299" s="71" t="s">
        <v>2272</v>
      </c>
      <c r="U4299" s="21">
        <v>33619.699999999997</v>
      </c>
      <c r="V4299" s="71" t="s">
        <v>2272</v>
      </c>
      <c r="W4299" s="71" t="s">
        <v>2272</v>
      </c>
      <c r="X4299" s="71" t="s">
        <v>2272</v>
      </c>
      <c r="Y4299" s="21">
        <f>U4299/'Record info'!K1762</f>
        <v>0.14000000000000001</v>
      </c>
      <c r="Z4299" s="21"/>
      <c r="AA4299" s="71" t="s">
        <v>2272</v>
      </c>
      <c r="AB4299" s="71" t="s">
        <v>2272</v>
      </c>
      <c r="AC4299" s="71" t="s">
        <v>2272</v>
      </c>
      <c r="AD4299" s="198"/>
      <c r="AE4299" s="198"/>
    </row>
    <row r="4300" spans="1:31" ht="41.5" customHeight="1">
      <c r="A4300" s="198" t="s">
        <v>10991</v>
      </c>
      <c r="B4300" s="198" t="s">
        <v>11002</v>
      </c>
      <c r="C4300" s="198" t="s">
        <v>1102</v>
      </c>
      <c r="D4300" s="198" t="s">
        <v>2272</v>
      </c>
      <c r="E4300" s="198" t="s">
        <v>2272</v>
      </c>
      <c r="F4300" s="198" t="s">
        <v>2272</v>
      </c>
      <c r="G4300" s="198" t="s">
        <v>2272</v>
      </c>
      <c r="H4300" s="4" t="s">
        <v>521</v>
      </c>
      <c r="I4300" s="198"/>
      <c r="J4300" s="71" t="s">
        <v>2272</v>
      </c>
      <c r="K4300" s="71" t="s">
        <v>2272</v>
      </c>
      <c r="L4300" s="71" t="s">
        <v>2272</v>
      </c>
      <c r="M4300" s="71" t="s">
        <v>2272</v>
      </c>
      <c r="N4300" s="71" t="s">
        <v>2272</v>
      </c>
      <c r="O4300" s="71" t="s">
        <v>2272</v>
      </c>
      <c r="P4300" s="71" t="s">
        <v>2272</v>
      </c>
      <c r="Q4300" s="71" t="s">
        <v>2272</v>
      </c>
      <c r="R4300" s="71" t="s">
        <v>2272</v>
      </c>
      <c r="S4300" s="71" t="s">
        <v>2272</v>
      </c>
      <c r="T4300" s="71" t="s">
        <v>2272</v>
      </c>
      <c r="U4300" s="21">
        <v>269631.2</v>
      </c>
      <c r="V4300" s="71" t="s">
        <v>2272</v>
      </c>
      <c r="W4300" s="71" t="s">
        <v>2272</v>
      </c>
      <c r="X4300" s="71" t="s">
        <v>2272</v>
      </c>
      <c r="Y4300" s="21">
        <f>U4300/'Record info'!K1763</f>
        <v>0.52</v>
      </c>
      <c r="Z4300" s="21"/>
      <c r="AA4300" s="71" t="s">
        <v>2272</v>
      </c>
      <c r="AB4300" s="71" t="s">
        <v>2272</v>
      </c>
      <c r="AC4300" s="71" t="s">
        <v>2272</v>
      </c>
      <c r="AD4300" s="198"/>
      <c r="AE4300" s="198"/>
    </row>
    <row r="4301" spans="1:31" ht="41.5" customHeight="1">
      <c r="A4301" s="198" t="s">
        <v>10992</v>
      </c>
      <c r="B4301" s="198" t="s">
        <v>11003</v>
      </c>
      <c r="C4301" s="198" t="s">
        <v>1102</v>
      </c>
      <c r="D4301" s="198" t="s">
        <v>2272</v>
      </c>
      <c r="E4301" s="198" t="s">
        <v>2272</v>
      </c>
      <c r="F4301" s="198" t="s">
        <v>2272</v>
      </c>
      <c r="G4301" s="198" t="s">
        <v>2272</v>
      </c>
      <c r="H4301" s="4" t="s">
        <v>521</v>
      </c>
      <c r="I4301" s="198"/>
      <c r="J4301" s="71" t="s">
        <v>2272</v>
      </c>
      <c r="K4301" s="71" t="s">
        <v>2272</v>
      </c>
      <c r="L4301" s="71" t="s">
        <v>2272</v>
      </c>
      <c r="M4301" s="71" t="s">
        <v>2272</v>
      </c>
      <c r="N4301" s="71" t="s">
        <v>2272</v>
      </c>
      <c r="O4301" s="71" t="s">
        <v>2272</v>
      </c>
      <c r="P4301" s="71" t="s">
        <v>2272</v>
      </c>
      <c r="Q4301" s="71" t="s">
        <v>2272</v>
      </c>
      <c r="R4301" s="71" t="s">
        <v>2272</v>
      </c>
      <c r="S4301" s="71" t="s">
        <v>2272</v>
      </c>
      <c r="T4301" s="71" t="s">
        <v>2272</v>
      </c>
      <c r="U4301" s="21">
        <v>136524.70000000001</v>
      </c>
      <c r="V4301" s="71" t="s">
        <v>2272</v>
      </c>
      <c r="W4301" s="71" t="s">
        <v>2272</v>
      </c>
      <c r="X4301" s="71" t="s">
        <v>2272</v>
      </c>
      <c r="Y4301" s="21">
        <f>U4301/'Record info'!K1764</f>
        <v>0.24</v>
      </c>
      <c r="Z4301" s="21"/>
      <c r="AA4301" s="71" t="s">
        <v>2272</v>
      </c>
      <c r="AB4301" s="71" t="s">
        <v>2272</v>
      </c>
      <c r="AC4301" s="71" t="s">
        <v>2272</v>
      </c>
      <c r="AD4301" s="198"/>
      <c r="AE4301" s="198"/>
    </row>
    <row r="4302" spans="1:31" ht="36.5" customHeight="1">
      <c r="A4302" s="198" t="s">
        <v>11007</v>
      </c>
      <c r="B4302" s="198" t="s">
        <v>11008</v>
      </c>
      <c r="C4302" s="198" t="s">
        <v>1102</v>
      </c>
      <c r="D4302" s="198" t="s">
        <v>2272</v>
      </c>
      <c r="E4302" s="198" t="s">
        <v>2272</v>
      </c>
      <c r="F4302" s="198" t="s">
        <v>2272</v>
      </c>
      <c r="G4302" s="198" t="s">
        <v>2272</v>
      </c>
      <c r="H4302" s="4" t="s">
        <v>521</v>
      </c>
      <c r="I4302" s="198"/>
      <c r="J4302" s="71" t="s">
        <v>2272</v>
      </c>
      <c r="K4302" s="71" t="s">
        <v>2272</v>
      </c>
      <c r="L4302" s="71" t="s">
        <v>2272</v>
      </c>
      <c r="M4302" s="71" t="s">
        <v>2272</v>
      </c>
      <c r="N4302" s="71" t="s">
        <v>2272</v>
      </c>
      <c r="O4302" s="71" t="s">
        <v>2272</v>
      </c>
      <c r="P4302" s="71" t="s">
        <v>2272</v>
      </c>
      <c r="Q4302" s="71" t="s">
        <v>2272</v>
      </c>
      <c r="R4302" s="71" t="s">
        <v>2272</v>
      </c>
      <c r="S4302" s="71" t="s">
        <v>2272</v>
      </c>
      <c r="T4302" s="71" t="s">
        <v>2272</v>
      </c>
      <c r="U4302" s="21">
        <v>282762.3</v>
      </c>
      <c r="V4302" s="71" t="s">
        <v>2272</v>
      </c>
      <c r="W4302" s="71" t="s">
        <v>2272</v>
      </c>
      <c r="X4302" s="71" t="s">
        <v>2272</v>
      </c>
      <c r="Y4302" s="21">
        <f>U4302/'Record info'!K1765</f>
        <v>0.67999999999999994</v>
      </c>
      <c r="Z4302" s="21"/>
      <c r="AA4302" s="71" t="s">
        <v>2272</v>
      </c>
      <c r="AB4302" s="71" t="s">
        <v>2272</v>
      </c>
      <c r="AC4302" s="71" t="s">
        <v>2272</v>
      </c>
      <c r="AD4302" s="198"/>
      <c r="AE4302" s="198"/>
    </row>
    <row r="4303" spans="1:31" ht="38" customHeight="1">
      <c r="A4303" s="198" t="s">
        <v>11011</v>
      </c>
      <c r="B4303" s="198" t="s">
        <v>11012</v>
      </c>
      <c r="C4303" s="198" t="s">
        <v>30</v>
      </c>
      <c r="D4303" s="198" t="s">
        <v>29</v>
      </c>
      <c r="E4303" s="198" t="s">
        <v>2648</v>
      </c>
      <c r="F4303" s="198" t="s">
        <v>2272</v>
      </c>
      <c r="G4303" s="4" t="s">
        <v>2657</v>
      </c>
      <c r="H4303" s="4" t="s">
        <v>521</v>
      </c>
      <c r="I4303" s="198"/>
      <c r="J4303" s="71" t="s">
        <v>2272</v>
      </c>
      <c r="K4303" s="71" t="s">
        <v>2272</v>
      </c>
      <c r="L4303" s="71" t="s">
        <v>2272</v>
      </c>
      <c r="M4303" s="71" t="s">
        <v>2272</v>
      </c>
      <c r="N4303" s="71" t="s">
        <v>2272</v>
      </c>
      <c r="O4303" s="71" t="s">
        <v>2272</v>
      </c>
      <c r="P4303" s="71" t="s">
        <v>2272</v>
      </c>
      <c r="Q4303" s="71" t="s">
        <v>2272</v>
      </c>
      <c r="R4303" s="71" t="s">
        <v>2272</v>
      </c>
      <c r="S4303" s="71" t="s">
        <v>2272</v>
      </c>
      <c r="T4303" s="71" t="s">
        <v>2272</v>
      </c>
      <c r="U4303" s="71" t="s">
        <v>2272</v>
      </c>
      <c r="V4303" s="71" t="s">
        <v>2272</v>
      </c>
      <c r="W4303" s="71" t="s">
        <v>2272</v>
      </c>
      <c r="X4303" s="71" t="s">
        <v>2272</v>
      </c>
      <c r="Y4303" s="71" t="s">
        <v>2272</v>
      </c>
      <c r="Z4303" s="71" t="s">
        <v>2272</v>
      </c>
      <c r="AA4303" s="71" t="s">
        <v>2272</v>
      </c>
      <c r="AB4303" s="71" t="s">
        <v>2272</v>
      </c>
      <c r="AC4303" s="71" t="s">
        <v>2272</v>
      </c>
      <c r="AD4303" s="198"/>
      <c r="AE4303" s="198"/>
    </row>
    <row r="4304" spans="1:31" ht="38" customHeight="1">
      <c r="A4304" s="198" t="s">
        <v>11011</v>
      </c>
      <c r="B4304" s="198" t="s">
        <v>11013</v>
      </c>
      <c r="C4304" s="198" t="s">
        <v>23</v>
      </c>
      <c r="D4304" s="198" t="s">
        <v>2342</v>
      </c>
      <c r="E4304" s="198" t="s">
        <v>2272</v>
      </c>
      <c r="F4304" s="198" t="s">
        <v>2272</v>
      </c>
      <c r="G4304" s="4" t="s">
        <v>2657</v>
      </c>
      <c r="H4304" s="4" t="s">
        <v>521</v>
      </c>
      <c r="I4304" s="198"/>
      <c r="J4304" s="71" t="s">
        <v>2272</v>
      </c>
      <c r="K4304" s="71" t="s">
        <v>2272</v>
      </c>
      <c r="L4304" s="71" t="s">
        <v>2272</v>
      </c>
      <c r="M4304" s="71" t="s">
        <v>2272</v>
      </c>
      <c r="N4304" s="71" t="s">
        <v>2272</v>
      </c>
      <c r="O4304" s="71" t="s">
        <v>2272</v>
      </c>
      <c r="P4304" s="71" t="s">
        <v>2272</v>
      </c>
      <c r="Q4304" s="71" t="s">
        <v>2272</v>
      </c>
      <c r="R4304" s="71" t="s">
        <v>2272</v>
      </c>
      <c r="S4304" s="71" t="s">
        <v>2272</v>
      </c>
      <c r="T4304" s="71" t="s">
        <v>2272</v>
      </c>
      <c r="U4304" s="71" t="s">
        <v>2272</v>
      </c>
      <c r="V4304" s="71" t="s">
        <v>2272</v>
      </c>
      <c r="W4304" s="71" t="s">
        <v>2272</v>
      </c>
      <c r="X4304" s="71" t="s">
        <v>2272</v>
      </c>
      <c r="Y4304" s="71" t="s">
        <v>2272</v>
      </c>
      <c r="Z4304" s="71" t="s">
        <v>2272</v>
      </c>
      <c r="AA4304" s="71" t="s">
        <v>2272</v>
      </c>
      <c r="AB4304" s="71" t="s">
        <v>2272</v>
      </c>
      <c r="AC4304" s="71" t="s">
        <v>2272</v>
      </c>
      <c r="AD4304" s="198"/>
      <c r="AE4304" s="198"/>
    </row>
    <row r="4305" spans="1:31" ht="41.5" customHeight="1">
      <c r="A4305" s="198" t="s">
        <v>11032</v>
      </c>
      <c r="B4305" s="198" t="s">
        <v>11118</v>
      </c>
      <c r="C4305" s="198" t="s">
        <v>2651</v>
      </c>
      <c r="D4305" s="198" t="s">
        <v>2272</v>
      </c>
      <c r="E4305" s="198" t="s">
        <v>2272</v>
      </c>
      <c r="F4305" s="198" t="s">
        <v>2272</v>
      </c>
      <c r="G4305" s="198" t="s">
        <v>73</v>
      </c>
      <c r="H4305" s="4" t="s">
        <v>521</v>
      </c>
      <c r="I4305" s="198"/>
      <c r="J4305" s="212">
        <f>236/18/('Record info'!$K1767*'Land use'!$R1767/100)</f>
        <v>3.2696037683568852E-4</v>
      </c>
      <c r="K4305" s="212">
        <f>236/18/('Record info'!$K1767*'Land use'!$R1767/100)</f>
        <v>3.2696037683568852E-4</v>
      </c>
      <c r="L4305" s="71" t="s">
        <v>2272</v>
      </c>
      <c r="M4305" s="71" t="s">
        <v>2272</v>
      </c>
      <c r="N4305" s="71" t="s">
        <v>2272</v>
      </c>
      <c r="O4305" s="71" t="s">
        <v>2272</v>
      </c>
      <c r="P4305" s="71" t="s">
        <v>2272</v>
      </c>
      <c r="Q4305" s="71" t="s">
        <v>2272</v>
      </c>
      <c r="R4305" s="21">
        <v>0.02</v>
      </c>
      <c r="S4305" s="71" t="s">
        <v>2272</v>
      </c>
      <c r="T4305" s="71" t="s">
        <v>2272</v>
      </c>
      <c r="U4305" s="71" t="s">
        <v>2272</v>
      </c>
      <c r="V4305" s="71" t="s">
        <v>2272</v>
      </c>
      <c r="W4305" s="71" t="s">
        <v>2272</v>
      </c>
      <c r="X4305" s="71" t="s">
        <v>2272</v>
      </c>
      <c r="Y4305" s="71" t="s">
        <v>2272</v>
      </c>
      <c r="Z4305" s="71" t="s">
        <v>2272</v>
      </c>
      <c r="AA4305" s="198" t="s">
        <v>84</v>
      </c>
      <c r="AB4305" s="198" t="s">
        <v>423</v>
      </c>
      <c r="AC4305" s="71" t="s">
        <v>2272</v>
      </c>
      <c r="AD4305" s="198"/>
      <c r="AE4305" s="198"/>
    </row>
    <row r="4306" spans="1:31" ht="41.5" customHeight="1">
      <c r="A4306" s="198" t="s">
        <v>11032</v>
      </c>
      <c r="B4306" s="198" t="s">
        <v>11119</v>
      </c>
      <c r="C4306" s="198" t="s">
        <v>2453</v>
      </c>
      <c r="D4306" s="198" t="s">
        <v>2272</v>
      </c>
      <c r="E4306" s="198" t="s">
        <v>2272</v>
      </c>
      <c r="F4306" s="198" t="s">
        <v>2272</v>
      </c>
      <c r="G4306" s="198" t="s">
        <v>73</v>
      </c>
      <c r="H4306" s="4" t="s">
        <v>521</v>
      </c>
      <c r="I4306" s="198"/>
      <c r="J4306" s="212">
        <f>(1591-236)/18/('Record info'!$K$1767*'Land use'!$R1767/100)</f>
        <v>1.8772513161540592E-3</v>
      </c>
      <c r="K4306" s="212">
        <f>(1591-236)/18/('Record info'!$K$1767*'Land use'!$R1767/100)</f>
        <v>1.8772513161540592E-3</v>
      </c>
      <c r="L4306" s="71" t="s">
        <v>2272</v>
      </c>
      <c r="M4306" s="71" t="s">
        <v>2272</v>
      </c>
      <c r="N4306" s="71" t="s">
        <v>2272</v>
      </c>
      <c r="O4306" s="71" t="s">
        <v>2272</v>
      </c>
      <c r="P4306" s="71" t="s">
        <v>2272</v>
      </c>
      <c r="Q4306" s="71" t="s">
        <v>2272</v>
      </c>
      <c r="R4306" s="21">
        <v>0.05</v>
      </c>
      <c r="S4306" s="71" t="s">
        <v>2272</v>
      </c>
      <c r="T4306" s="71" t="s">
        <v>2272</v>
      </c>
      <c r="U4306" s="71" t="s">
        <v>2272</v>
      </c>
      <c r="V4306" s="71" t="s">
        <v>2272</v>
      </c>
      <c r="W4306" s="71" t="s">
        <v>2272</v>
      </c>
      <c r="X4306" s="71" t="s">
        <v>2272</v>
      </c>
      <c r="Y4306" s="71" t="s">
        <v>2272</v>
      </c>
      <c r="Z4306" s="71" t="s">
        <v>2272</v>
      </c>
      <c r="AA4306" s="71" t="s">
        <v>2272</v>
      </c>
      <c r="AB4306" s="71" t="s">
        <v>2272</v>
      </c>
      <c r="AC4306" s="71" t="s">
        <v>2272</v>
      </c>
      <c r="AD4306" s="198"/>
      <c r="AE4306" s="198"/>
    </row>
    <row r="4307" spans="1:31" ht="45" customHeight="1">
      <c r="A4307" s="198" t="s">
        <v>11032</v>
      </c>
      <c r="B4307" s="198" t="s">
        <v>11120</v>
      </c>
      <c r="C4307" s="198" t="s">
        <v>23</v>
      </c>
      <c r="D4307" s="198" t="s">
        <v>24</v>
      </c>
      <c r="E4307" s="4" t="s">
        <v>3850</v>
      </c>
      <c r="F4307" s="198" t="s">
        <v>28</v>
      </c>
      <c r="G4307" s="198" t="s">
        <v>28</v>
      </c>
      <c r="H4307" s="4" t="s">
        <v>521</v>
      </c>
      <c r="I4307" s="198"/>
      <c r="J4307" s="71" t="s">
        <v>2272</v>
      </c>
      <c r="K4307" s="71" t="s">
        <v>2272</v>
      </c>
      <c r="L4307" s="71" t="s">
        <v>2272</v>
      </c>
      <c r="M4307" s="71" t="s">
        <v>2272</v>
      </c>
      <c r="N4307" s="71" t="s">
        <v>2272</v>
      </c>
      <c r="O4307" s="71" t="s">
        <v>2272</v>
      </c>
      <c r="P4307" s="71" t="s">
        <v>2272</v>
      </c>
      <c r="Q4307" s="71" t="s">
        <v>2272</v>
      </c>
      <c r="R4307" s="71" t="s">
        <v>2272</v>
      </c>
      <c r="S4307" s="71" t="s">
        <v>2272</v>
      </c>
      <c r="T4307" s="71" t="s">
        <v>2272</v>
      </c>
      <c r="U4307" s="71" t="s">
        <v>2272</v>
      </c>
      <c r="V4307" s="71" t="s">
        <v>2272</v>
      </c>
      <c r="W4307" s="71" t="s">
        <v>2272</v>
      </c>
      <c r="X4307" s="71" t="s">
        <v>2272</v>
      </c>
      <c r="Y4307" s="71" t="s">
        <v>2272</v>
      </c>
      <c r="Z4307" s="71" t="s">
        <v>2272</v>
      </c>
      <c r="AA4307" s="71" t="s">
        <v>2272</v>
      </c>
      <c r="AB4307" s="71" t="s">
        <v>2272</v>
      </c>
      <c r="AC4307" s="71" t="s">
        <v>2272</v>
      </c>
      <c r="AD4307" s="198"/>
      <c r="AE4307" s="198"/>
    </row>
    <row r="4308" spans="1:31" ht="45" customHeight="1">
      <c r="A4308" s="198" t="s">
        <v>11032</v>
      </c>
      <c r="B4308" s="198" t="s">
        <v>11121</v>
      </c>
      <c r="C4308" s="198" t="s">
        <v>23</v>
      </c>
      <c r="D4308" s="198" t="s">
        <v>2654</v>
      </c>
      <c r="E4308" s="4" t="s">
        <v>3850</v>
      </c>
      <c r="F4308" s="198" t="s">
        <v>27</v>
      </c>
      <c r="G4308" s="198" t="s">
        <v>27</v>
      </c>
      <c r="H4308" s="4" t="s">
        <v>521</v>
      </c>
      <c r="I4308" s="198"/>
      <c r="J4308" s="71" t="s">
        <v>2272</v>
      </c>
      <c r="K4308" s="71" t="s">
        <v>2272</v>
      </c>
      <c r="L4308" s="71" t="s">
        <v>2272</v>
      </c>
      <c r="M4308" s="71" t="s">
        <v>2272</v>
      </c>
      <c r="N4308" s="71" t="s">
        <v>2272</v>
      </c>
      <c r="O4308" s="71" t="s">
        <v>2272</v>
      </c>
      <c r="P4308" s="71" t="s">
        <v>2272</v>
      </c>
      <c r="Q4308" s="71" t="s">
        <v>2272</v>
      </c>
      <c r="R4308" s="71" t="s">
        <v>2272</v>
      </c>
      <c r="S4308" s="71" t="s">
        <v>2272</v>
      </c>
      <c r="T4308" s="71" t="s">
        <v>2272</v>
      </c>
      <c r="U4308" s="71" t="s">
        <v>2272</v>
      </c>
      <c r="V4308" s="71" t="s">
        <v>2272</v>
      </c>
      <c r="W4308" s="71" t="s">
        <v>2272</v>
      </c>
      <c r="X4308" s="71" t="s">
        <v>2272</v>
      </c>
      <c r="Y4308" s="71" t="s">
        <v>2272</v>
      </c>
      <c r="Z4308" s="71" t="s">
        <v>2272</v>
      </c>
      <c r="AA4308" s="71" t="s">
        <v>2272</v>
      </c>
      <c r="AB4308" s="71" t="s">
        <v>2272</v>
      </c>
      <c r="AC4308" s="71" t="s">
        <v>2272</v>
      </c>
      <c r="AD4308" s="198"/>
      <c r="AE4308" s="198"/>
    </row>
    <row r="4309" spans="1:31" ht="45" customHeight="1">
      <c r="A4309" s="198" t="s">
        <v>11032</v>
      </c>
      <c r="B4309" s="198" t="s">
        <v>11122</v>
      </c>
      <c r="C4309" s="198" t="s">
        <v>2453</v>
      </c>
      <c r="D4309" s="198" t="s">
        <v>24</v>
      </c>
      <c r="E4309" s="4" t="s">
        <v>3850</v>
      </c>
      <c r="F4309" s="198" t="s">
        <v>28</v>
      </c>
      <c r="G4309" s="198" t="s">
        <v>73</v>
      </c>
      <c r="H4309" s="4" t="s">
        <v>521</v>
      </c>
      <c r="I4309" s="198"/>
      <c r="J4309" s="71" t="s">
        <v>2272</v>
      </c>
      <c r="K4309" s="71" t="s">
        <v>2272</v>
      </c>
      <c r="L4309" s="71" t="s">
        <v>2272</v>
      </c>
      <c r="M4309" s="71" t="s">
        <v>2272</v>
      </c>
      <c r="N4309" s="71" t="s">
        <v>2272</v>
      </c>
      <c r="O4309" s="71" t="s">
        <v>2272</v>
      </c>
      <c r="P4309" s="71" t="s">
        <v>2272</v>
      </c>
      <c r="Q4309" s="71" t="s">
        <v>2272</v>
      </c>
      <c r="R4309" s="71" t="s">
        <v>2272</v>
      </c>
      <c r="S4309" s="71" t="s">
        <v>2272</v>
      </c>
      <c r="T4309" s="71" t="s">
        <v>2272</v>
      </c>
      <c r="U4309" s="71" t="s">
        <v>2272</v>
      </c>
      <c r="V4309" s="71" t="s">
        <v>2272</v>
      </c>
      <c r="W4309" s="71" t="s">
        <v>2272</v>
      </c>
      <c r="X4309" s="71" t="s">
        <v>2272</v>
      </c>
      <c r="Y4309" s="71" t="s">
        <v>2272</v>
      </c>
      <c r="Z4309" s="71" t="s">
        <v>2272</v>
      </c>
      <c r="AA4309" s="71" t="s">
        <v>2272</v>
      </c>
      <c r="AB4309" s="71" t="s">
        <v>2272</v>
      </c>
      <c r="AC4309" s="71" t="s">
        <v>2272</v>
      </c>
      <c r="AD4309" s="198"/>
      <c r="AE4309" s="198"/>
    </row>
    <row r="4310" spans="1:31" ht="45" customHeight="1">
      <c r="A4310" s="198" t="s">
        <v>11032</v>
      </c>
      <c r="B4310" s="198" t="s">
        <v>11123</v>
      </c>
      <c r="C4310" s="198" t="s">
        <v>2453</v>
      </c>
      <c r="D4310" s="198" t="s">
        <v>2654</v>
      </c>
      <c r="E4310" s="4" t="s">
        <v>3850</v>
      </c>
      <c r="F4310" s="198" t="s">
        <v>27</v>
      </c>
      <c r="G4310" s="198" t="s">
        <v>73</v>
      </c>
      <c r="H4310" s="4" t="s">
        <v>521</v>
      </c>
      <c r="I4310" s="198"/>
      <c r="J4310" s="71" t="s">
        <v>2272</v>
      </c>
      <c r="K4310" s="71" t="s">
        <v>2272</v>
      </c>
      <c r="L4310" s="71" t="s">
        <v>2272</v>
      </c>
      <c r="M4310" s="71" t="s">
        <v>2272</v>
      </c>
      <c r="N4310" s="71" t="s">
        <v>2272</v>
      </c>
      <c r="O4310" s="71" t="s">
        <v>2272</v>
      </c>
      <c r="P4310" s="71" t="s">
        <v>2272</v>
      </c>
      <c r="Q4310" s="71" t="s">
        <v>2272</v>
      </c>
      <c r="R4310" s="71" t="s">
        <v>2272</v>
      </c>
      <c r="S4310" s="71" t="s">
        <v>2272</v>
      </c>
      <c r="T4310" s="71" t="s">
        <v>2272</v>
      </c>
      <c r="U4310" s="71" t="s">
        <v>2272</v>
      </c>
      <c r="V4310" s="71" t="s">
        <v>2272</v>
      </c>
      <c r="W4310" s="71" t="s">
        <v>2272</v>
      </c>
      <c r="X4310" s="71" t="s">
        <v>2272</v>
      </c>
      <c r="Y4310" s="71" t="s">
        <v>2272</v>
      </c>
      <c r="Z4310" s="71" t="s">
        <v>2272</v>
      </c>
      <c r="AA4310" s="71" t="s">
        <v>2272</v>
      </c>
      <c r="AB4310" s="71" t="s">
        <v>2272</v>
      </c>
      <c r="AC4310" s="71" t="s">
        <v>2272</v>
      </c>
      <c r="AD4310" s="198"/>
      <c r="AE4310" s="198"/>
    </row>
    <row r="4311" spans="1:31" ht="42" customHeight="1">
      <c r="A4311" s="4" t="s">
        <v>11126</v>
      </c>
      <c r="B4311" s="4" t="s">
        <v>11130</v>
      </c>
      <c r="C4311" s="4" t="s">
        <v>1102</v>
      </c>
      <c r="D4311" s="4" t="s">
        <v>2272</v>
      </c>
      <c r="E4311" s="4" t="s">
        <v>2272</v>
      </c>
      <c r="F4311" s="4" t="s">
        <v>2272</v>
      </c>
      <c r="G4311" s="4" t="s">
        <v>2657</v>
      </c>
      <c r="H4311" s="4" t="s">
        <v>521</v>
      </c>
      <c r="I4311" s="198"/>
      <c r="J4311" s="71" t="s">
        <v>2272</v>
      </c>
      <c r="K4311" s="71" t="s">
        <v>2272</v>
      </c>
      <c r="L4311" s="71" t="s">
        <v>2272</v>
      </c>
      <c r="M4311" s="71" t="s">
        <v>2272</v>
      </c>
      <c r="N4311" s="71" t="s">
        <v>2272</v>
      </c>
      <c r="O4311" s="71" t="s">
        <v>2272</v>
      </c>
      <c r="P4311" s="71" t="s">
        <v>2272</v>
      </c>
      <c r="Q4311" s="71" t="s">
        <v>2272</v>
      </c>
      <c r="R4311" s="71" t="s">
        <v>2272</v>
      </c>
      <c r="S4311" s="71" t="s">
        <v>2272</v>
      </c>
      <c r="T4311" s="71" t="s">
        <v>2272</v>
      </c>
      <c r="U4311" s="21">
        <f>(8300+1400+400+80)*100/50</f>
        <v>20360</v>
      </c>
      <c r="V4311" s="71" t="s">
        <v>2272</v>
      </c>
      <c r="W4311" s="71" t="s">
        <v>2272</v>
      </c>
      <c r="X4311" s="71" t="s">
        <v>2272</v>
      </c>
      <c r="Y4311" s="21">
        <f>U4311/'Record info'!K1768</f>
        <v>1.018</v>
      </c>
      <c r="Z4311" s="71" t="s">
        <v>2272</v>
      </c>
      <c r="AA4311" s="71" t="s">
        <v>2272</v>
      </c>
      <c r="AB4311" s="71" t="s">
        <v>2272</v>
      </c>
      <c r="AC4311" s="71" t="s">
        <v>2272</v>
      </c>
      <c r="AD4311" s="198"/>
      <c r="AE4311" s="4" t="s">
        <v>11131</v>
      </c>
    </row>
    <row r="4312" spans="1:31" ht="39.5" customHeight="1">
      <c r="A4312" s="198" t="s">
        <v>11126</v>
      </c>
      <c r="B4312" s="4" t="s">
        <v>11132</v>
      </c>
      <c r="C4312" s="198" t="s">
        <v>30</v>
      </c>
      <c r="D4312" s="198" t="s">
        <v>2272</v>
      </c>
      <c r="E4312" s="198" t="s">
        <v>2648</v>
      </c>
      <c r="F4312" s="4" t="s">
        <v>2272</v>
      </c>
      <c r="G4312" s="4" t="s">
        <v>2657</v>
      </c>
      <c r="H4312" s="4" t="s">
        <v>521</v>
      </c>
      <c r="I4312" s="198"/>
      <c r="J4312" s="71" t="s">
        <v>2272</v>
      </c>
      <c r="K4312" s="71" t="s">
        <v>2272</v>
      </c>
      <c r="L4312" s="71" t="s">
        <v>2272</v>
      </c>
      <c r="M4312" s="71" t="s">
        <v>2272</v>
      </c>
      <c r="N4312" s="71" t="s">
        <v>2272</v>
      </c>
      <c r="O4312" s="71" t="s">
        <v>2272</v>
      </c>
      <c r="P4312" s="71" t="s">
        <v>2272</v>
      </c>
      <c r="Q4312" s="71" t="s">
        <v>2272</v>
      </c>
      <c r="R4312" s="71" t="s">
        <v>2272</v>
      </c>
      <c r="S4312" s="71" t="s">
        <v>2272</v>
      </c>
      <c r="T4312" s="71" t="s">
        <v>2272</v>
      </c>
      <c r="U4312" s="71" t="s">
        <v>2272</v>
      </c>
      <c r="V4312" s="71" t="s">
        <v>2272</v>
      </c>
      <c r="W4312" s="71" t="s">
        <v>2272</v>
      </c>
      <c r="X4312" s="71" t="s">
        <v>2272</v>
      </c>
      <c r="Y4312" s="71" t="s">
        <v>2272</v>
      </c>
      <c r="Z4312" s="71" t="s">
        <v>2272</v>
      </c>
      <c r="AA4312" s="71" t="s">
        <v>2272</v>
      </c>
      <c r="AB4312" s="71" t="s">
        <v>2272</v>
      </c>
      <c r="AC4312" s="71" t="s">
        <v>2272</v>
      </c>
      <c r="AD4312" s="71" t="s">
        <v>11134</v>
      </c>
      <c r="AE4312" s="198"/>
    </row>
    <row r="4313" spans="1:31" ht="42" customHeight="1">
      <c r="A4313" s="198" t="s">
        <v>11126</v>
      </c>
      <c r="B4313" s="4" t="s">
        <v>11133</v>
      </c>
      <c r="C4313" s="198" t="s">
        <v>2453</v>
      </c>
      <c r="D4313" s="198" t="s">
        <v>2272</v>
      </c>
      <c r="E4313" s="198" t="s">
        <v>2648</v>
      </c>
      <c r="F4313" s="4" t="s">
        <v>2272</v>
      </c>
      <c r="G4313" s="4" t="s">
        <v>2657</v>
      </c>
      <c r="H4313" s="4" t="s">
        <v>521</v>
      </c>
      <c r="I4313" s="198"/>
      <c r="J4313" s="71" t="s">
        <v>2272</v>
      </c>
      <c r="K4313" s="71" t="s">
        <v>2272</v>
      </c>
      <c r="L4313" s="71" t="s">
        <v>2272</v>
      </c>
      <c r="M4313" s="71" t="s">
        <v>2272</v>
      </c>
      <c r="N4313" s="71" t="s">
        <v>2272</v>
      </c>
      <c r="O4313" s="71" t="s">
        <v>2272</v>
      </c>
      <c r="P4313" s="71" t="s">
        <v>2272</v>
      </c>
      <c r="Q4313" s="71" t="s">
        <v>2272</v>
      </c>
      <c r="R4313" s="71" t="s">
        <v>2272</v>
      </c>
      <c r="S4313" s="71" t="s">
        <v>2272</v>
      </c>
      <c r="T4313" s="71" t="s">
        <v>2272</v>
      </c>
      <c r="U4313" s="71" t="s">
        <v>2272</v>
      </c>
      <c r="V4313" s="71" t="s">
        <v>2272</v>
      </c>
      <c r="W4313" s="71" t="s">
        <v>2272</v>
      </c>
      <c r="X4313" s="71" t="s">
        <v>2272</v>
      </c>
      <c r="Y4313" s="71" t="s">
        <v>2272</v>
      </c>
      <c r="Z4313" s="71" t="s">
        <v>2272</v>
      </c>
      <c r="AA4313" s="71" t="s">
        <v>2272</v>
      </c>
      <c r="AB4313" s="71" t="s">
        <v>2272</v>
      </c>
      <c r="AC4313" s="71" t="s">
        <v>2272</v>
      </c>
      <c r="AD4313" s="71" t="s">
        <v>11134</v>
      </c>
      <c r="AE4313" s="198"/>
    </row>
    <row r="4314" spans="1:31" ht="44.5" customHeight="1">
      <c r="A4314" s="198" t="s">
        <v>11136</v>
      </c>
      <c r="B4314" s="4" t="s">
        <v>11137</v>
      </c>
      <c r="C4314" s="4" t="s">
        <v>1102</v>
      </c>
      <c r="D4314" s="4" t="s">
        <v>2272</v>
      </c>
      <c r="E4314" s="4" t="s">
        <v>2272</v>
      </c>
      <c r="F4314" s="4" t="s">
        <v>2272</v>
      </c>
      <c r="G4314" s="4" t="s">
        <v>2657</v>
      </c>
      <c r="H4314" s="4" t="s">
        <v>521</v>
      </c>
      <c r="I4314" s="198"/>
      <c r="J4314" s="71" t="s">
        <v>2272</v>
      </c>
      <c r="K4314" s="21">
        <f>2940/'Record info'!$K1769</f>
        <v>3.6521739130434785E-2</v>
      </c>
      <c r="L4314" s="71" t="s">
        <v>2272</v>
      </c>
      <c r="M4314" s="71" t="s">
        <v>2272</v>
      </c>
      <c r="N4314" s="71" t="s">
        <v>2272</v>
      </c>
      <c r="O4314" s="71" t="s">
        <v>2272</v>
      </c>
      <c r="P4314" s="71" t="s">
        <v>2272</v>
      </c>
      <c r="Q4314" s="21">
        <f>U4314/2940</f>
        <v>1.2244897959183673E-2</v>
      </c>
      <c r="R4314" s="71" t="s">
        <v>2272</v>
      </c>
      <c r="S4314" s="71" t="s">
        <v>2272</v>
      </c>
      <c r="T4314" s="71" t="s">
        <v>2272</v>
      </c>
      <c r="U4314" s="21">
        <f>0.36*100</f>
        <v>36</v>
      </c>
      <c r="V4314" s="71" t="s">
        <v>2272</v>
      </c>
      <c r="W4314" s="71" t="s">
        <v>2272</v>
      </c>
      <c r="X4314" s="71" t="s">
        <v>2272</v>
      </c>
      <c r="Y4314" s="212">
        <f>U4314/'Record info'!K1769</f>
        <v>4.4720496894409936E-4</v>
      </c>
      <c r="Z4314" s="71" t="s">
        <v>2272</v>
      </c>
      <c r="AA4314" s="198" t="s">
        <v>186</v>
      </c>
      <c r="AB4314" s="198" t="s">
        <v>423</v>
      </c>
      <c r="AC4314" s="198" t="s">
        <v>75</v>
      </c>
      <c r="AD4314" s="198"/>
      <c r="AE4314" s="198"/>
    </row>
    <row r="4315" spans="1:31" ht="44.5" customHeight="1">
      <c r="A4315" s="198" t="s">
        <v>11136</v>
      </c>
      <c r="B4315" s="4" t="s">
        <v>11138</v>
      </c>
      <c r="C4315" s="4" t="s">
        <v>23</v>
      </c>
      <c r="D4315" s="4" t="s">
        <v>2272</v>
      </c>
      <c r="E4315" s="4" t="s">
        <v>3850</v>
      </c>
      <c r="F4315" s="4" t="s">
        <v>2272</v>
      </c>
      <c r="G4315" s="4" t="s">
        <v>2272</v>
      </c>
      <c r="H4315" s="4" t="s">
        <v>521</v>
      </c>
      <c r="I4315" s="198"/>
      <c r="J4315" s="71" t="s">
        <v>2272</v>
      </c>
      <c r="K4315" s="71" t="s">
        <v>2272</v>
      </c>
      <c r="L4315" s="71" t="s">
        <v>2272</v>
      </c>
      <c r="M4315" s="71" t="s">
        <v>2272</v>
      </c>
      <c r="N4315" s="71" t="s">
        <v>2272</v>
      </c>
      <c r="O4315" s="71" t="s">
        <v>2272</v>
      </c>
      <c r="P4315" s="71" t="s">
        <v>2272</v>
      </c>
      <c r="Q4315" s="71" t="s">
        <v>2272</v>
      </c>
      <c r="R4315" s="71" t="s">
        <v>2272</v>
      </c>
      <c r="S4315" s="71" t="s">
        <v>2272</v>
      </c>
      <c r="T4315" s="71" t="s">
        <v>2272</v>
      </c>
      <c r="U4315" s="71" t="s">
        <v>2272</v>
      </c>
      <c r="V4315" s="71" t="s">
        <v>2272</v>
      </c>
      <c r="W4315" s="71" t="s">
        <v>2272</v>
      </c>
      <c r="X4315" s="71" t="s">
        <v>2272</v>
      </c>
      <c r="Y4315" s="71" t="s">
        <v>2272</v>
      </c>
      <c r="Z4315" s="71" t="s">
        <v>2272</v>
      </c>
      <c r="AA4315" s="71" t="s">
        <v>2272</v>
      </c>
      <c r="AB4315" s="71" t="s">
        <v>2272</v>
      </c>
      <c r="AC4315" s="71" t="s">
        <v>2272</v>
      </c>
      <c r="AD4315" s="198"/>
      <c r="AE4315" s="198"/>
    </row>
    <row r="4316" spans="1:31" ht="44.5" customHeight="1">
      <c r="A4316" s="198" t="s">
        <v>11143</v>
      </c>
      <c r="B4316" s="4" t="s">
        <v>11144</v>
      </c>
      <c r="C4316" s="4" t="s">
        <v>1102</v>
      </c>
      <c r="D4316" s="4" t="s">
        <v>2272</v>
      </c>
      <c r="E4316" s="4" t="s">
        <v>2272</v>
      </c>
      <c r="F4316" s="4" t="s">
        <v>2272</v>
      </c>
      <c r="G4316" s="4" t="s">
        <v>2657</v>
      </c>
      <c r="H4316" s="4" t="s">
        <v>521</v>
      </c>
      <c r="I4316" s="198"/>
      <c r="J4316" s="71" t="s">
        <v>2272</v>
      </c>
      <c r="K4316" s="21">
        <v>2.8000000000000001E-2</v>
      </c>
      <c r="L4316" s="71" t="s">
        <v>2272</v>
      </c>
      <c r="M4316" s="71" t="s">
        <v>2272</v>
      </c>
      <c r="N4316" s="71" t="s">
        <v>2272</v>
      </c>
      <c r="O4316" s="71" t="s">
        <v>2272</v>
      </c>
      <c r="P4316" s="71" t="s">
        <v>2272</v>
      </c>
      <c r="Q4316" s="21">
        <f>U4316/2232</f>
        <v>6.7204301075268818E-3</v>
      </c>
      <c r="R4316" s="71" t="s">
        <v>2272</v>
      </c>
      <c r="S4316" s="71" t="s">
        <v>2272</v>
      </c>
      <c r="T4316" s="71" t="s">
        <v>2272</v>
      </c>
      <c r="U4316" s="21">
        <f>0.15*100</f>
        <v>15</v>
      </c>
      <c r="V4316" s="71" t="s">
        <v>2272</v>
      </c>
      <c r="W4316" s="71" t="s">
        <v>2272</v>
      </c>
      <c r="X4316" s="71" t="s">
        <v>2272</v>
      </c>
      <c r="Y4316" s="212">
        <f>U4316/'Record info'!K1769</f>
        <v>1.8633540372670808E-4</v>
      </c>
      <c r="Z4316" s="71" t="s">
        <v>2272</v>
      </c>
      <c r="AA4316" s="198" t="s">
        <v>186</v>
      </c>
      <c r="AB4316" s="198" t="s">
        <v>423</v>
      </c>
      <c r="AC4316" s="198" t="s">
        <v>75</v>
      </c>
      <c r="AD4316" s="198"/>
      <c r="AE4316" s="198"/>
    </row>
    <row r="4317" spans="1:31" ht="42" customHeight="1">
      <c r="A4317" s="198" t="s">
        <v>11143</v>
      </c>
      <c r="B4317" s="4" t="s">
        <v>11145</v>
      </c>
      <c r="C4317" s="198" t="s">
        <v>30</v>
      </c>
      <c r="D4317" s="198" t="s">
        <v>29</v>
      </c>
      <c r="E4317" s="198" t="s">
        <v>2648</v>
      </c>
      <c r="F4317" s="4" t="s">
        <v>2272</v>
      </c>
      <c r="G4317" s="4" t="s">
        <v>2657</v>
      </c>
      <c r="H4317" s="4" t="s">
        <v>521</v>
      </c>
      <c r="I4317" s="198"/>
      <c r="J4317" s="71" t="s">
        <v>2272</v>
      </c>
      <c r="K4317" s="71" t="s">
        <v>2272</v>
      </c>
      <c r="L4317" s="71" t="s">
        <v>2272</v>
      </c>
      <c r="M4317" s="71" t="s">
        <v>2272</v>
      </c>
      <c r="N4317" s="71" t="s">
        <v>2272</v>
      </c>
      <c r="O4317" s="71" t="s">
        <v>2272</v>
      </c>
      <c r="P4317" s="71" t="s">
        <v>2272</v>
      </c>
      <c r="Q4317" s="71" t="s">
        <v>2272</v>
      </c>
      <c r="R4317" s="71" t="s">
        <v>2272</v>
      </c>
      <c r="S4317" s="71" t="s">
        <v>2272</v>
      </c>
      <c r="T4317" s="71" t="s">
        <v>2272</v>
      </c>
      <c r="U4317" s="71" t="s">
        <v>2272</v>
      </c>
      <c r="V4317" s="71" t="s">
        <v>2272</v>
      </c>
      <c r="W4317" s="71" t="s">
        <v>2272</v>
      </c>
      <c r="X4317" s="71" t="s">
        <v>2272</v>
      </c>
      <c r="Y4317" s="71" t="s">
        <v>2272</v>
      </c>
      <c r="Z4317" s="71" t="s">
        <v>2272</v>
      </c>
      <c r="AA4317" s="71" t="s">
        <v>2272</v>
      </c>
      <c r="AB4317" s="71" t="s">
        <v>2272</v>
      </c>
      <c r="AC4317" s="71" t="s">
        <v>2272</v>
      </c>
      <c r="AD4317" s="198"/>
      <c r="AE4317" s="198"/>
    </row>
    <row r="4318" spans="1:31" ht="42" customHeight="1">
      <c r="A4318" s="198" t="s">
        <v>11143</v>
      </c>
      <c r="B4318" s="4" t="s">
        <v>11146</v>
      </c>
      <c r="C4318" s="198" t="s">
        <v>30</v>
      </c>
      <c r="D4318" s="198" t="s">
        <v>29</v>
      </c>
      <c r="E4318" s="198" t="s">
        <v>2647</v>
      </c>
      <c r="F4318" s="4" t="s">
        <v>2272</v>
      </c>
      <c r="G4318" s="4" t="s">
        <v>2657</v>
      </c>
      <c r="H4318" s="4" t="s">
        <v>521</v>
      </c>
      <c r="I4318" s="198"/>
      <c r="J4318" s="71" t="s">
        <v>2272</v>
      </c>
      <c r="K4318" s="71" t="s">
        <v>2272</v>
      </c>
      <c r="L4318" s="71" t="s">
        <v>2272</v>
      </c>
      <c r="M4318" s="71" t="s">
        <v>2272</v>
      </c>
      <c r="N4318" s="71" t="s">
        <v>2272</v>
      </c>
      <c r="O4318" s="71" t="s">
        <v>2272</v>
      </c>
      <c r="P4318" s="71" t="s">
        <v>2272</v>
      </c>
      <c r="Q4318" s="71" t="s">
        <v>2272</v>
      </c>
      <c r="R4318" s="71" t="s">
        <v>2272</v>
      </c>
      <c r="S4318" s="71" t="s">
        <v>2272</v>
      </c>
      <c r="T4318" s="71" t="s">
        <v>2272</v>
      </c>
      <c r="U4318" s="71" t="s">
        <v>2272</v>
      </c>
      <c r="V4318" s="71" t="s">
        <v>2272</v>
      </c>
      <c r="W4318" s="71" t="s">
        <v>2272</v>
      </c>
      <c r="X4318" s="71" t="s">
        <v>2272</v>
      </c>
      <c r="Y4318" s="71" t="s">
        <v>2272</v>
      </c>
      <c r="Z4318" s="71" t="s">
        <v>2272</v>
      </c>
      <c r="AA4318" s="71" t="s">
        <v>2272</v>
      </c>
      <c r="AB4318" s="71" t="s">
        <v>2272</v>
      </c>
      <c r="AC4318" s="71" t="s">
        <v>2272</v>
      </c>
      <c r="AD4318" s="198"/>
      <c r="AE4318" s="198"/>
    </row>
    <row r="4319" spans="1:31" ht="44.5" customHeight="1">
      <c r="A4319" s="198" t="s">
        <v>11143</v>
      </c>
      <c r="B4319" s="4" t="s">
        <v>11147</v>
      </c>
      <c r="C4319" s="4" t="s">
        <v>23</v>
      </c>
      <c r="D4319" s="4" t="s">
        <v>2272</v>
      </c>
      <c r="E4319" s="4" t="s">
        <v>3850</v>
      </c>
      <c r="F4319" s="4" t="s">
        <v>2272</v>
      </c>
      <c r="G4319" s="4" t="s">
        <v>2272</v>
      </c>
      <c r="H4319" s="198" t="s">
        <v>522</v>
      </c>
      <c r="I4319" s="198"/>
      <c r="J4319" s="21">
        <v>0</v>
      </c>
      <c r="K4319" s="21">
        <v>0</v>
      </c>
      <c r="L4319" s="21">
        <v>0</v>
      </c>
      <c r="M4319" s="21">
        <v>0</v>
      </c>
      <c r="N4319" s="21">
        <v>0</v>
      </c>
      <c r="O4319" s="21">
        <v>0</v>
      </c>
      <c r="P4319" s="21">
        <v>0</v>
      </c>
      <c r="Q4319" s="21">
        <v>0</v>
      </c>
      <c r="R4319" s="21">
        <v>0</v>
      </c>
      <c r="S4319" s="21">
        <v>0</v>
      </c>
      <c r="T4319" s="21">
        <v>0</v>
      </c>
      <c r="U4319" s="21">
        <v>0</v>
      </c>
      <c r="V4319" s="21">
        <v>0</v>
      </c>
      <c r="W4319" s="21">
        <v>0</v>
      </c>
      <c r="X4319" s="21">
        <v>0</v>
      </c>
      <c r="Y4319" s="21">
        <v>0</v>
      </c>
      <c r="Z4319" s="71" t="s">
        <v>2272</v>
      </c>
      <c r="AA4319" s="71" t="s">
        <v>2272</v>
      </c>
      <c r="AB4319" s="71" t="s">
        <v>2272</v>
      </c>
      <c r="AC4319" s="71" t="s">
        <v>2272</v>
      </c>
      <c r="AD4319" s="198"/>
      <c r="AE4319" s="198"/>
    </row>
    <row r="4320" spans="1:31" ht="45.5" customHeight="1">
      <c r="A4320" s="198" t="s">
        <v>11152</v>
      </c>
      <c r="B4320" s="4" t="s">
        <v>11154</v>
      </c>
      <c r="C4320" s="198" t="s">
        <v>23</v>
      </c>
      <c r="D4320" s="198" t="s">
        <v>1238</v>
      </c>
      <c r="E4320" s="198" t="s">
        <v>3204</v>
      </c>
      <c r="F4320" s="4" t="s">
        <v>2272</v>
      </c>
      <c r="G4320" s="198" t="s">
        <v>158</v>
      </c>
      <c r="H4320" s="4" t="s">
        <v>521</v>
      </c>
      <c r="I4320" s="198"/>
      <c r="J4320" s="71" t="s">
        <v>2272</v>
      </c>
      <c r="K4320" s="71" t="s">
        <v>2272</v>
      </c>
      <c r="L4320" s="71" t="s">
        <v>2272</v>
      </c>
      <c r="M4320" s="71" t="s">
        <v>2272</v>
      </c>
      <c r="N4320" s="71" t="s">
        <v>2272</v>
      </c>
      <c r="O4320" s="71" t="s">
        <v>2272</v>
      </c>
      <c r="P4320" s="71" t="s">
        <v>2272</v>
      </c>
      <c r="Q4320" s="71" t="s">
        <v>2272</v>
      </c>
      <c r="R4320" s="71" t="s">
        <v>2272</v>
      </c>
      <c r="S4320" s="71" t="s">
        <v>2272</v>
      </c>
      <c r="T4320" s="71" t="s">
        <v>2272</v>
      </c>
      <c r="U4320" s="71" t="s">
        <v>2272</v>
      </c>
      <c r="V4320" s="71" t="s">
        <v>2272</v>
      </c>
      <c r="W4320" s="71" t="s">
        <v>2272</v>
      </c>
      <c r="X4320" s="71" t="s">
        <v>2272</v>
      </c>
      <c r="Y4320" s="71" t="s">
        <v>2272</v>
      </c>
      <c r="Z4320" s="71" t="s">
        <v>2272</v>
      </c>
      <c r="AA4320" s="198" t="s">
        <v>34</v>
      </c>
      <c r="AB4320" s="198" t="s">
        <v>187</v>
      </c>
      <c r="AC4320" s="71" t="s">
        <v>2272</v>
      </c>
      <c r="AD4320" s="4" t="s">
        <v>11156</v>
      </c>
      <c r="AE4320" s="198"/>
    </row>
    <row r="4321" spans="1:31" ht="48.5" customHeight="1">
      <c r="A4321" s="198" t="s">
        <v>11152</v>
      </c>
      <c r="B4321" s="4" t="s">
        <v>11155</v>
      </c>
      <c r="C4321" s="198" t="s">
        <v>23</v>
      </c>
      <c r="D4321" s="198" t="s">
        <v>24</v>
      </c>
      <c r="E4321" s="198" t="s">
        <v>3204</v>
      </c>
      <c r="F4321" s="4" t="s">
        <v>2272</v>
      </c>
      <c r="G4321" s="198" t="s">
        <v>158</v>
      </c>
      <c r="H4321" s="4" t="s">
        <v>521</v>
      </c>
      <c r="I4321" s="198"/>
      <c r="J4321" s="71" t="s">
        <v>2272</v>
      </c>
      <c r="K4321" s="71" t="s">
        <v>2272</v>
      </c>
      <c r="L4321" s="71" t="s">
        <v>2272</v>
      </c>
      <c r="M4321" s="71" t="s">
        <v>2272</v>
      </c>
      <c r="N4321" s="71" t="s">
        <v>2272</v>
      </c>
      <c r="O4321" s="71" t="s">
        <v>2272</v>
      </c>
      <c r="P4321" s="71" t="s">
        <v>2272</v>
      </c>
      <c r="Q4321" s="71" t="s">
        <v>2272</v>
      </c>
      <c r="R4321" s="71" t="s">
        <v>2272</v>
      </c>
      <c r="S4321" s="71" t="s">
        <v>2272</v>
      </c>
      <c r="T4321" s="71" t="s">
        <v>2272</v>
      </c>
      <c r="U4321" s="71" t="s">
        <v>2272</v>
      </c>
      <c r="V4321" s="71" t="s">
        <v>2272</v>
      </c>
      <c r="W4321" s="71" t="s">
        <v>2272</v>
      </c>
      <c r="X4321" s="71" t="s">
        <v>2272</v>
      </c>
      <c r="Y4321" s="71" t="s">
        <v>2272</v>
      </c>
      <c r="Z4321" s="71" t="s">
        <v>2272</v>
      </c>
      <c r="AA4321" s="198" t="s">
        <v>34</v>
      </c>
      <c r="AB4321" s="198" t="s">
        <v>187</v>
      </c>
      <c r="AC4321" s="71" t="s">
        <v>2272</v>
      </c>
      <c r="AD4321" s="4" t="s">
        <v>11156</v>
      </c>
      <c r="AE4321" s="198"/>
    </row>
    <row r="4322" spans="1:31" ht="48.5" customHeight="1">
      <c r="A4322" s="198" t="s">
        <v>11158</v>
      </c>
      <c r="B4322" s="4" t="s">
        <v>11162</v>
      </c>
      <c r="C4322" s="198" t="s">
        <v>23</v>
      </c>
      <c r="D4322" s="4" t="s">
        <v>2272</v>
      </c>
      <c r="E4322" s="4" t="s">
        <v>2272</v>
      </c>
      <c r="F4322" s="4" t="s">
        <v>2272</v>
      </c>
      <c r="G4322" s="4" t="s">
        <v>2272</v>
      </c>
      <c r="H4322" s="4" t="s">
        <v>521</v>
      </c>
      <c r="I4322" s="198"/>
      <c r="J4322" s="71" t="s">
        <v>2272</v>
      </c>
      <c r="K4322" s="21">
        <f>99923/13/'Record info'!$K1772*(17.09/21.41)</f>
        <v>0.20836187171486922</v>
      </c>
      <c r="L4322" s="71" t="s">
        <v>2272</v>
      </c>
      <c r="M4322" s="71" t="s">
        <v>2272</v>
      </c>
      <c r="N4322" s="71" t="s">
        <v>2272</v>
      </c>
      <c r="O4322" s="71" t="s">
        <v>2272</v>
      </c>
      <c r="P4322" s="71" t="s">
        <v>2272</v>
      </c>
      <c r="Q4322" s="21">
        <f>U4322/(99923*(17.09/21.41))</f>
        <v>3.8782062187884669</v>
      </c>
      <c r="R4322" s="71" t="s">
        <v>2272</v>
      </c>
      <c r="S4322" s="71" t="s">
        <v>2272</v>
      </c>
      <c r="T4322" s="71" t="s">
        <v>2272</v>
      </c>
      <c r="U4322" s="21">
        <f>387522*(17.09/21.41)</f>
        <v>309329.79822512844</v>
      </c>
      <c r="V4322" s="71" t="s">
        <v>2272</v>
      </c>
      <c r="W4322" s="71" t="s">
        <v>2272</v>
      </c>
      <c r="X4322" s="71" t="s">
        <v>2272</v>
      </c>
      <c r="Y4322" s="71" t="s">
        <v>2272</v>
      </c>
      <c r="Z4322" s="71" t="s">
        <v>2272</v>
      </c>
      <c r="AA4322" s="71" t="s">
        <v>2272</v>
      </c>
      <c r="AB4322" s="71" t="s">
        <v>2272</v>
      </c>
      <c r="AC4322" s="71" t="s">
        <v>2272</v>
      </c>
      <c r="AD4322" s="4"/>
      <c r="AE4322" s="198"/>
    </row>
    <row r="4323" spans="1:31" ht="51" customHeight="1">
      <c r="A4323" s="198" t="s">
        <v>11158</v>
      </c>
      <c r="B4323" s="4" t="s">
        <v>11163</v>
      </c>
      <c r="C4323" s="198" t="s">
        <v>2653</v>
      </c>
      <c r="D4323" s="4" t="s">
        <v>2272</v>
      </c>
      <c r="E4323" s="4" t="s">
        <v>2272</v>
      </c>
      <c r="F4323" s="4" t="s">
        <v>2272</v>
      </c>
      <c r="G4323" s="4" t="s">
        <v>2272</v>
      </c>
      <c r="H4323" s="4" t="s">
        <v>521</v>
      </c>
      <c r="I4323" s="198"/>
      <c r="J4323" s="71" t="s">
        <v>2272</v>
      </c>
      <c r="K4323" s="21">
        <f>99923/13/'Record info'!$K1772*(1-(17.09/21.41))</f>
        <v>5.2669589573331496E-2</v>
      </c>
      <c r="L4323" s="71" t="s">
        <v>2272</v>
      </c>
      <c r="M4323" s="71" t="s">
        <v>2272</v>
      </c>
      <c r="N4323" s="71" t="s">
        <v>2272</v>
      </c>
      <c r="O4323" s="71" t="s">
        <v>2272</v>
      </c>
      <c r="P4323" s="71" t="s">
        <v>2272</v>
      </c>
      <c r="Q4323" s="21">
        <f>U4323/(99923*(1 - 17.09/21.41))</f>
        <v>3.8782062187884674</v>
      </c>
      <c r="R4323" s="71" t="s">
        <v>2272</v>
      </c>
      <c r="S4323" s="71" t="s">
        <v>2272</v>
      </c>
      <c r="T4323" s="71" t="s">
        <v>2272</v>
      </c>
      <c r="U4323" s="21">
        <f>387522*(1-(17.09/21.41))</f>
        <v>78192.201774871573</v>
      </c>
      <c r="V4323" s="71" t="s">
        <v>2272</v>
      </c>
      <c r="W4323" s="71" t="s">
        <v>2272</v>
      </c>
      <c r="X4323" s="71" t="s">
        <v>2272</v>
      </c>
      <c r="Y4323" s="71" t="s">
        <v>2272</v>
      </c>
      <c r="Z4323" s="71" t="s">
        <v>2272</v>
      </c>
      <c r="AA4323" s="71" t="s">
        <v>2272</v>
      </c>
      <c r="AB4323" s="71" t="s">
        <v>2272</v>
      </c>
      <c r="AC4323" s="71" t="s">
        <v>2272</v>
      </c>
      <c r="AD4323" s="198"/>
      <c r="AE4323" s="198"/>
    </row>
    <row r="4324" spans="1:31" ht="46.5" customHeight="1">
      <c r="A4324" s="198" t="s">
        <v>11158</v>
      </c>
      <c r="B4324" s="4" t="s">
        <v>11164</v>
      </c>
      <c r="C4324" s="198" t="s">
        <v>30</v>
      </c>
      <c r="D4324" s="4" t="s">
        <v>2272</v>
      </c>
      <c r="E4324" s="198" t="s">
        <v>2648</v>
      </c>
      <c r="F4324" s="4" t="s">
        <v>2272</v>
      </c>
      <c r="G4324" s="4" t="s">
        <v>2272</v>
      </c>
      <c r="H4324" s="4" t="s">
        <v>521</v>
      </c>
      <c r="I4324" s="198"/>
      <c r="J4324" s="71" t="s">
        <v>2272</v>
      </c>
      <c r="K4324" s="71" t="s">
        <v>2272</v>
      </c>
      <c r="L4324" s="71" t="s">
        <v>2272</v>
      </c>
      <c r="M4324" s="71" t="s">
        <v>2272</v>
      </c>
      <c r="N4324" s="71" t="s">
        <v>2272</v>
      </c>
      <c r="O4324" s="71" t="s">
        <v>2272</v>
      </c>
      <c r="P4324" s="71" t="s">
        <v>2272</v>
      </c>
      <c r="Q4324" s="71" t="s">
        <v>2272</v>
      </c>
      <c r="R4324" s="71" t="s">
        <v>2272</v>
      </c>
      <c r="S4324" s="71" t="s">
        <v>2272</v>
      </c>
      <c r="T4324" s="71" t="s">
        <v>2272</v>
      </c>
      <c r="U4324" s="71" t="s">
        <v>2272</v>
      </c>
      <c r="V4324" s="71" t="s">
        <v>2272</v>
      </c>
      <c r="W4324" s="71" t="s">
        <v>2272</v>
      </c>
      <c r="X4324" s="71" t="s">
        <v>2272</v>
      </c>
      <c r="Y4324" s="71" t="s">
        <v>2272</v>
      </c>
      <c r="Z4324" s="71" t="s">
        <v>2272</v>
      </c>
      <c r="AA4324" s="71" t="s">
        <v>2272</v>
      </c>
      <c r="AB4324" s="71" t="s">
        <v>2272</v>
      </c>
      <c r="AC4324" s="71" t="s">
        <v>2272</v>
      </c>
      <c r="AD4324" s="198"/>
      <c r="AE4324" s="198"/>
    </row>
    <row r="4325" spans="1:31" ht="49" customHeight="1">
      <c r="A4325" s="198" t="s">
        <v>11168</v>
      </c>
      <c r="B4325" s="4" t="s">
        <v>11169</v>
      </c>
      <c r="C4325" s="198" t="s">
        <v>23</v>
      </c>
      <c r="D4325" s="4" t="s">
        <v>2272</v>
      </c>
      <c r="E4325" s="198" t="s">
        <v>2648</v>
      </c>
      <c r="F4325" s="4" t="s">
        <v>2272</v>
      </c>
      <c r="G4325" s="4" t="s">
        <v>2657</v>
      </c>
      <c r="H4325" s="4" t="s">
        <v>521</v>
      </c>
      <c r="I4325" s="198"/>
      <c r="J4325" s="71" t="s">
        <v>2272</v>
      </c>
      <c r="K4325" s="21">
        <f>(0.72*1854)/3/'Record info'!$K$1773</f>
        <v>1.697859337299126E-2</v>
      </c>
      <c r="L4325" s="71" t="s">
        <v>2272</v>
      </c>
      <c r="M4325" s="71" t="s">
        <v>2272</v>
      </c>
      <c r="N4325" s="71" t="s">
        <v>2272</v>
      </c>
      <c r="O4325" s="71" t="s">
        <v>2272</v>
      </c>
      <c r="P4325" s="71" t="s">
        <v>2272</v>
      </c>
      <c r="Q4325" s="71" t="s">
        <v>2272</v>
      </c>
      <c r="R4325" s="71" t="s">
        <v>2272</v>
      </c>
      <c r="S4325" s="71" t="s">
        <v>2272</v>
      </c>
      <c r="T4325" s="71" t="s">
        <v>2272</v>
      </c>
      <c r="U4325" s="71" t="s">
        <v>2272</v>
      </c>
      <c r="V4325" s="71" t="s">
        <v>2272</v>
      </c>
      <c r="W4325" s="71" t="s">
        <v>2272</v>
      </c>
      <c r="X4325" s="71" t="s">
        <v>2272</v>
      </c>
      <c r="Y4325" s="71" t="s">
        <v>2272</v>
      </c>
      <c r="Z4325" s="71" t="s">
        <v>2272</v>
      </c>
      <c r="AA4325" s="71" t="s">
        <v>2272</v>
      </c>
      <c r="AB4325" s="71" t="s">
        <v>2272</v>
      </c>
      <c r="AC4325" s="71" t="s">
        <v>2272</v>
      </c>
      <c r="AD4325" s="198"/>
      <c r="AE4325" s="198"/>
    </row>
    <row r="4326" spans="1:31" ht="49" customHeight="1">
      <c r="A4326" s="198" t="s">
        <v>11168</v>
      </c>
      <c r="B4326" s="4" t="s">
        <v>11170</v>
      </c>
      <c r="C4326" s="198" t="s">
        <v>23</v>
      </c>
      <c r="D4326" s="4" t="s">
        <v>2272</v>
      </c>
      <c r="E4326" s="4" t="s">
        <v>2272</v>
      </c>
      <c r="F4326" s="4" t="s">
        <v>2272</v>
      </c>
      <c r="G4326" s="4" t="s">
        <v>2657</v>
      </c>
      <c r="H4326" s="4" t="s">
        <v>521</v>
      </c>
      <c r="I4326" s="198"/>
      <c r="J4326" s="71" t="s">
        <v>2272</v>
      </c>
      <c r="K4326" s="21">
        <f>(12702-1854)*0.72/3/'Record info'!$K$1773</f>
        <v>9.9344002648440774E-2</v>
      </c>
      <c r="L4326" s="71" t="s">
        <v>2272</v>
      </c>
      <c r="M4326" s="71" t="s">
        <v>2272</v>
      </c>
      <c r="N4326" s="71" t="s">
        <v>2272</v>
      </c>
      <c r="O4326" s="71" t="s">
        <v>2272</v>
      </c>
      <c r="P4326" s="71" t="s">
        <v>2272</v>
      </c>
      <c r="Q4326" s="71" t="s">
        <v>2272</v>
      </c>
      <c r="R4326" s="71" t="s">
        <v>2272</v>
      </c>
      <c r="S4326" s="71" t="s">
        <v>2272</v>
      </c>
      <c r="T4326" s="71" t="s">
        <v>2272</v>
      </c>
      <c r="U4326" s="71" t="s">
        <v>2272</v>
      </c>
      <c r="V4326" s="71" t="s">
        <v>2272</v>
      </c>
      <c r="W4326" s="71" t="s">
        <v>2272</v>
      </c>
      <c r="X4326" s="71" t="s">
        <v>2272</v>
      </c>
      <c r="Y4326" s="71" t="s">
        <v>2272</v>
      </c>
      <c r="Z4326" s="71" t="s">
        <v>2272</v>
      </c>
      <c r="AA4326" s="71" t="s">
        <v>2272</v>
      </c>
      <c r="AB4326" s="71" t="s">
        <v>2272</v>
      </c>
      <c r="AC4326" s="71" t="s">
        <v>2272</v>
      </c>
      <c r="AD4326" s="198"/>
      <c r="AE4326" s="198"/>
    </row>
    <row r="4327" spans="1:31" ht="49" customHeight="1">
      <c r="A4327" s="198" t="s">
        <v>11168</v>
      </c>
      <c r="B4327" s="4" t="s">
        <v>11171</v>
      </c>
      <c r="C4327" s="198" t="s">
        <v>2653</v>
      </c>
      <c r="D4327" s="4" t="s">
        <v>2272</v>
      </c>
      <c r="E4327" s="198" t="s">
        <v>2648</v>
      </c>
      <c r="F4327" s="4" t="s">
        <v>2272</v>
      </c>
      <c r="G4327" s="4" t="s">
        <v>2657</v>
      </c>
      <c r="H4327" s="4" t="s">
        <v>521</v>
      </c>
      <c r="I4327" s="198"/>
      <c r="J4327" s="71" t="s">
        <v>2272</v>
      </c>
      <c r="K4327" s="21">
        <f>(1854*(1-0.72))/3/'Record info'!$K1773</f>
        <v>6.6027863117188229E-3</v>
      </c>
      <c r="L4327" s="71" t="s">
        <v>2272</v>
      </c>
      <c r="M4327" s="71" t="s">
        <v>2272</v>
      </c>
      <c r="N4327" s="71" t="s">
        <v>2272</v>
      </c>
      <c r="O4327" s="71" t="s">
        <v>2272</v>
      </c>
      <c r="P4327" s="71" t="s">
        <v>2272</v>
      </c>
      <c r="Q4327" s="71" t="s">
        <v>2272</v>
      </c>
      <c r="R4327" s="71" t="s">
        <v>2272</v>
      </c>
      <c r="S4327" s="71" t="s">
        <v>2272</v>
      </c>
      <c r="T4327" s="71" t="s">
        <v>2272</v>
      </c>
      <c r="U4327" s="71" t="s">
        <v>2272</v>
      </c>
      <c r="V4327" s="71" t="s">
        <v>2272</v>
      </c>
      <c r="W4327" s="71" t="s">
        <v>2272</v>
      </c>
      <c r="X4327" s="71" t="s">
        <v>2272</v>
      </c>
      <c r="Y4327" s="71" t="s">
        <v>2272</v>
      </c>
      <c r="Z4327" s="71" t="s">
        <v>2272</v>
      </c>
      <c r="AA4327" s="71" t="s">
        <v>2272</v>
      </c>
      <c r="AB4327" s="71" t="s">
        <v>2272</v>
      </c>
      <c r="AC4327" s="71" t="s">
        <v>2272</v>
      </c>
      <c r="AD4327" s="198"/>
      <c r="AE4327" s="198"/>
    </row>
    <row r="4328" spans="1:31" ht="45" customHeight="1">
      <c r="A4328" s="198" t="s">
        <v>11168</v>
      </c>
      <c r="B4328" s="4" t="s">
        <v>11172</v>
      </c>
      <c r="C4328" s="198" t="s">
        <v>2653</v>
      </c>
      <c r="D4328" s="4" t="s">
        <v>2272</v>
      </c>
      <c r="E4328" s="4" t="s">
        <v>2272</v>
      </c>
      <c r="F4328" s="4" t="s">
        <v>2272</v>
      </c>
      <c r="G4328" s="4" t="s">
        <v>2657</v>
      </c>
      <c r="H4328" s="4" t="s">
        <v>521</v>
      </c>
      <c r="I4328" s="198"/>
      <c r="J4328" s="71" t="s">
        <v>2272</v>
      </c>
      <c r="K4328" s="21">
        <f>(12702-1854)*(1-0.72)/3/'Record info'!$K$1773</f>
        <v>3.8633778807726969E-2</v>
      </c>
      <c r="L4328" s="71" t="s">
        <v>2272</v>
      </c>
      <c r="M4328" s="71" t="s">
        <v>2272</v>
      </c>
      <c r="N4328" s="71" t="s">
        <v>2272</v>
      </c>
      <c r="O4328" s="71" t="s">
        <v>2272</v>
      </c>
      <c r="P4328" s="71" t="s">
        <v>2272</v>
      </c>
      <c r="Q4328" s="71" t="s">
        <v>2272</v>
      </c>
      <c r="R4328" s="71" t="s">
        <v>2272</v>
      </c>
      <c r="S4328" s="71" t="s">
        <v>2272</v>
      </c>
      <c r="T4328" s="71" t="s">
        <v>2272</v>
      </c>
      <c r="U4328" s="71" t="s">
        <v>2272</v>
      </c>
      <c r="V4328" s="71" t="s">
        <v>2272</v>
      </c>
      <c r="W4328" s="71" t="s">
        <v>2272</v>
      </c>
      <c r="X4328" s="71" t="s">
        <v>2272</v>
      </c>
      <c r="Y4328" s="71" t="s">
        <v>2272</v>
      </c>
      <c r="Z4328" s="71" t="s">
        <v>2272</v>
      </c>
      <c r="AA4328" s="71" t="s">
        <v>2272</v>
      </c>
      <c r="AB4328" s="71" t="s">
        <v>2272</v>
      </c>
      <c r="AC4328" s="71" t="s">
        <v>2272</v>
      </c>
      <c r="AD4328" s="198"/>
      <c r="AE4328" s="198"/>
    </row>
    <row r="4329" spans="1:31" ht="50" customHeight="1">
      <c r="A4329" s="198" t="s">
        <v>11168</v>
      </c>
      <c r="B4329" s="4" t="s">
        <v>11173</v>
      </c>
      <c r="C4329" s="198" t="s">
        <v>23</v>
      </c>
      <c r="D4329" s="198" t="s">
        <v>2654</v>
      </c>
      <c r="E4329" s="4" t="s">
        <v>3850</v>
      </c>
      <c r="F4329" s="4" t="s">
        <v>27</v>
      </c>
      <c r="G4329" s="4" t="s">
        <v>27</v>
      </c>
      <c r="H4329" s="4" t="s">
        <v>521</v>
      </c>
      <c r="I4329" s="198"/>
      <c r="J4329" s="71" t="s">
        <v>2272</v>
      </c>
      <c r="K4329" s="71" t="s">
        <v>2272</v>
      </c>
      <c r="L4329" s="71" t="s">
        <v>2272</v>
      </c>
      <c r="M4329" s="71" t="s">
        <v>2272</v>
      </c>
      <c r="N4329" s="71" t="s">
        <v>2272</v>
      </c>
      <c r="O4329" s="71" t="s">
        <v>2272</v>
      </c>
      <c r="P4329" s="71" t="s">
        <v>2272</v>
      </c>
      <c r="Q4329" s="71" t="s">
        <v>2272</v>
      </c>
      <c r="R4329" s="71" t="s">
        <v>2272</v>
      </c>
      <c r="S4329" s="71" t="s">
        <v>2272</v>
      </c>
      <c r="T4329" s="71" t="s">
        <v>2272</v>
      </c>
      <c r="U4329" s="71" t="s">
        <v>2272</v>
      </c>
      <c r="V4329" s="71" t="s">
        <v>2272</v>
      </c>
      <c r="W4329" s="71" t="s">
        <v>2272</v>
      </c>
      <c r="X4329" s="71" t="s">
        <v>2272</v>
      </c>
      <c r="Y4329" s="71" t="s">
        <v>2272</v>
      </c>
      <c r="Z4329" s="71" t="s">
        <v>2272</v>
      </c>
      <c r="AA4329" s="71" t="s">
        <v>2272</v>
      </c>
      <c r="AB4329" s="71" t="s">
        <v>2272</v>
      </c>
      <c r="AC4329" s="71" t="s">
        <v>2272</v>
      </c>
      <c r="AD4329" s="71"/>
      <c r="AE4329" s="198"/>
    </row>
    <row r="4330" spans="1:31" ht="50" customHeight="1">
      <c r="A4330" s="198" t="s">
        <v>11168</v>
      </c>
      <c r="B4330" s="4" t="s">
        <v>11174</v>
      </c>
      <c r="C4330" s="198" t="s">
        <v>23</v>
      </c>
      <c r="D4330" s="198" t="s">
        <v>2227</v>
      </c>
      <c r="E4330" s="4" t="s">
        <v>3850</v>
      </c>
      <c r="F4330" s="4" t="s">
        <v>2657</v>
      </c>
      <c r="G4330" s="4" t="s">
        <v>2657</v>
      </c>
      <c r="H4330" s="4" t="s">
        <v>521</v>
      </c>
      <c r="I4330" s="198"/>
      <c r="J4330" s="71" t="s">
        <v>2272</v>
      </c>
      <c r="K4330" s="71" t="s">
        <v>2272</v>
      </c>
      <c r="L4330" s="71" t="s">
        <v>2272</v>
      </c>
      <c r="M4330" s="71" t="s">
        <v>2272</v>
      </c>
      <c r="N4330" s="71" t="s">
        <v>2272</v>
      </c>
      <c r="O4330" s="71" t="s">
        <v>2272</v>
      </c>
      <c r="P4330" s="71" t="s">
        <v>2272</v>
      </c>
      <c r="Q4330" s="71" t="s">
        <v>2272</v>
      </c>
      <c r="R4330" s="71" t="s">
        <v>2272</v>
      </c>
      <c r="S4330" s="71" t="s">
        <v>2272</v>
      </c>
      <c r="T4330" s="71" t="s">
        <v>2272</v>
      </c>
      <c r="U4330" s="71" t="s">
        <v>2272</v>
      </c>
      <c r="V4330" s="71" t="s">
        <v>2272</v>
      </c>
      <c r="W4330" s="71" t="s">
        <v>2272</v>
      </c>
      <c r="X4330" s="71" t="s">
        <v>2272</v>
      </c>
      <c r="Y4330" s="71" t="s">
        <v>2272</v>
      </c>
      <c r="Z4330" s="71" t="s">
        <v>2272</v>
      </c>
      <c r="AA4330" s="71" t="s">
        <v>2272</v>
      </c>
      <c r="AB4330" s="71" t="s">
        <v>2272</v>
      </c>
      <c r="AC4330" s="71" t="s">
        <v>2272</v>
      </c>
      <c r="AD4330" s="71"/>
      <c r="AE4330" s="198"/>
    </row>
    <row r="4331" spans="1:31" ht="50" customHeight="1">
      <c r="A4331" s="198" t="s">
        <v>11168</v>
      </c>
      <c r="B4331" s="4" t="s">
        <v>11175</v>
      </c>
      <c r="C4331" s="198" t="s">
        <v>23</v>
      </c>
      <c r="D4331" s="198" t="s">
        <v>2342</v>
      </c>
      <c r="E4331" s="4" t="s">
        <v>3850</v>
      </c>
      <c r="F4331" s="4" t="s">
        <v>2657</v>
      </c>
      <c r="G4331" s="4" t="s">
        <v>2657</v>
      </c>
      <c r="H4331" s="4" t="s">
        <v>521</v>
      </c>
      <c r="I4331" s="198"/>
      <c r="J4331" s="71" t="s">
        <v>2272</v>
      </c>
      <c r="K4331" s="71" t="s">
        <v>2272</v>
      </c>
      <c r="L4331" s="71" t="s">
        <v>2272</v>
      </c>
      <c r="M4331" s="71" t="s">
        <v>2272</v>
      </c>
      <c r="N4331" s="71" t="s">
        <v>2272</v>
      </c>
      <c r="O4331" s="71" t="s">
        <v>2272</v>
      </c>
      <c r="P4331" s="71" t="s">
        <v>2272</v>
      </c>
      <c r="Q4331" s="71" t="s">
        <v>2272</v>
      </c>
      <c r="R4331" s="71" t="s">
        <v>2272</v>
      </c>
      <c r="S4331" s="71" t="s">
        <v>2272</v>
      </c>
      <c r="T4331" s="71" t="s">
        <v>2272</v>
      </c>
      <c r="U4331" s="71" t="s">
        <v>2272</v>
      </c>
      <c r="V4331" s="71" t="s">
        <v>2272</v>
      </c>
      <c r="W4331" s="71" t="s">
        <v>2272</v>
      </c>
      <c r="X4331" s="71" t="s">
        <v>2272</v>
      </c>
      <c r="Y4331" s="71" t="s">
        <v>2272</v>
      </c>
      <c r="Z4331" s="71" t="s">
        <v>2272</v>
      </c>
      <c r="AA4331" s="71" t="s">
        <v>2272</v>
      </c>
      <c r="AB4331" s="71" t="s">
        <v>2272</v>
      </c>
      <c r="AC4331" s="71" t="s">
        <v>2272</v>
      </c>
      <c r="AD4331" s="71"/>
      <c r="AE4331" s="198"/>
    </row>
    <row r="4332" spans="1:31" ht="50" customHeight="1">
      <c r="A4332" s="198" t="s">
        <v>11168</v>
      </c>
      <c r="B4332" s="4" t="s">
        <v>11176</v>
      </c>
      <c r="C4332" s="198" t="s">
        <v>2453</v>
      </c>
      <c r="D4332" s="198" t="s">
        <v>2654</v>
      </c>
      <c r="E4332" s="4" t="s">
        <v>3850</v>
      </c>
      <c r="F4332" s="4" t="s">
        <v>27</v>
      </c>
      <c r="G4332" s="4" t="s">
        <v>2657</v>
      </c>
      <c r="H4332" s="4" t="s">
        <v>521</v>
      </c>
      <c r="I4332" s="198"/>
      <c r="J4332" s="71" t="s">
        <v>2272</v>
      </c>
      <c r="K4332" s="71" t="s">
        <v>2272</v>
      </c>
      <c r="L4332" s="71" t="s">
        <v>2272</v>
      </c>
      <c r="M4332" s="71" t="s">
        <v>2272</v>
      </c>
      <c r="N4332" s="71" t="s">
        <v>2272</v>
      </c>
      <c r="O4332" s="71" t="s">
        <v>2272</v>
      </c>
      <c r="P4332" s="71" t="s">
        <v>2272</v>
      </c>
      <c r="Q4332" s="71" t="s">
        <v>2272</v>
      </c>
      <c r="R4332" s="71" t="s">
        <v>2272</v>
      </c>
      <c r="S4332" s="71" t="s">
        <v>2272</v>
      </c>
      <c r="T4332" s="71" t="s">
        <v>2272</v>
      </c>
      <c r="U4332" s="71" t="s">
        <v>2272</v>
      </c>
      <c r="V4332" s="71" t="s">
        <v>2272</v>
      </c>
      <c r="W4332" s="71" t="s">
        <v>2272</v>
      </c>
      <c r="X4332" s="71" t="s">
        <v>2272</v>
      </c>
      <c r="Y4332" s="71" t="s">
        <v>2272</v>
      </c>
      <c r="Z4332" s="71" t="s">
        <v>2272</v>
      </c>
      <c r="AA4332" s="71" t="s">
        <v>2272</v>
      </c>
      <c r="AB4332" s="71" t="s">
        <v>2272</v>
      </c>
      <c r="AC4332" s="71" t="s">
        <v>2272</v>
      </c>
      <c r="AD4332" s="71"/>
      <c r="AE4332" s="198"/>
    </row>
    <row r="4333" spans="1:31" ht="50" customHeight="1">
      <c r="A4333" s="198" t="s">
        <v>11168</v>
      </c>
      <c r="B4333" s="4" t="s">
        <v>11177</v>
      </c>
      <c r="C4333" s="198" t="s">
        <v>2453</v>
      </c>
      <c r="D4333" s="198" t="s">
        <v>2227</v>
      </c>
      <c r="E4333" s="4" t="s">
        <v>3850</v>
      </c>
      <c r="F4333" s="4" t="s">
        <v>2272</v>
      </c>
      <c r="G4333" s="4" t="s">
        <v>2657</v>
      </c>
      <c r="H4333" s="4" t="s">
        <v>521</v>
      </c>
      <c r="I4333" s="198"/>
      <c r="J4333" s="71" t="s">
        <v>2272</v>
      </c>
      <c r="K4333" s="71" t="s">
        <v>2272</v>
      </c>
      <c r="L4333" s="71" t="s">
        <v>2272</v>
      </c>
      <c r="M4333" s="71" t="s">
        <v>2272</v>
      </c>
      <c r="N4333" s="71" t="s">
        <v>2272</v>
      </c>
      <c r="O4333" s="71" t="s">
        <v>2272</v>
      </c>
      <c r="P4333" s="71" t="s">
        <v>2272</v>
      </c>
      <c r="Q4333" s="71" t="s">
        <v>2272</v>
      </c>
      <c r="R4333" s="71" t="s">
        <v>2272</v>
      </c>
      <c r="S4333" s="71" t="s">
        <v>2272</v>
      </c>
      <c r="T4333" s="71" t="s">
        <v>2272</v>
      </c>
      <c r="U4333" s="71" t="s">
        <v>2272</v>
      </c>
      <c r="V4333" s="71" t="s">
        <v>2272</v>
      </c>
      <c r="W4333" s="71" t="s">
        <v>2272</v>
      </c>
      <c r="X4333" s="71" t="s">
        <v>2272</v>
      </c>
      <c r="Y4333" s="71" t="s">
        <v>2272</v>
      </c>
      <c r="Z4333" s="71" t="s">
        <v>2272</v>
      </c>
      <c r="AA4333" s="71" t="s">
        <v>2272</v>
      </c>
      <c r="AB4333" s="71" t="s">
        <v>2272</v>
      </c>
      <c r="AC4333" s="71" t="s">
        <v>2272</v>
      </c>
      <c r="AD4333" s="71"/>
      <c r="AE4333" s="198"/>
    </row>
    <row r="4334" spans="1:31" ht="49" customHeight="1">
      <c r="A4334" s="198" t="s">
        <v>11179</v>
      </c>
      <c r="B4334" s="4" t="s">
        <v>11182</v>
      </c>
      <c r="C4334" s="198" t="s">
        <v>23</v>
      </c>
      <c r="D4334" s="4" t="s">
        <v>2272</v>
      </c>
      <c r="E4334" s="4" t="s">
        <v>2272</v>
      </c>
      <c r="F4334" s="4" t="s">
        <v>2272</v>
      </c>
      <c r="G4334" s="198" t="s">
        <v>73</v>
      </c>
      <c r="H4334" s="4" t="s">
        <v>521</v>
      </c>
      <c r="I4334" s="198"/>
      <c r="J4334" s="71" t="s">
        <v>2272</v>
      </c>
      <c r="K4334" s="71" t="s">
        <v>2272</v>
      </c>
      <c r="L4334" s="71" t="s">
        <v>2272</v>
      </c>
      <c r="M4334" s="71" t="s">
        <v>2272</v>
      </c>
      <c r="N4334" s="71" t="s">
        <v>2272</v>
      </c>
      <c r="O4334" s="71" t="s">
        <v>2272</v>
      </c>
      <c r="P4334" s="71" t="s">
        <v>2272</v>
      </c>
      <c r="Q4334" s="71" t="s">
        <v>2272</v>
      </c>
      <c r="R4334" s="71" t="s">
        <v>2272</v>
      </c>
      <c r="S4334" s="71" t="s">
        <v>2272</v>
      </c>
      <c r="T4334" s="71" t="s">
        <v>2272</v>
      </c>
      <c r="U4334" s="71" t="s">
        <v>2272</v>
      </c>
      <c r="V4334" s="71" t="s">
        <v>2272</v>
      </c>
      <c r="W4334" s="71" t="s">
        <v>2272</v>
      </c>
      <c r="X4334" s="71" t="s">
        <v>2272</v>
      </c>
      <c r="Y4334" s="71" t="s">
        <v>2272</v>
      </c>
      <c r="Z4334" s="21">
        <f>AVERAGE(10.2, 10.2, 13.6)</f>
        <v>11.333333333333334</v>
      </c>
      <c r="AA4334" s="71" t="s">
        <v>2272</v>
      </c>
      <c r="AB4334" s="71" t="s">
        <v>2272</v>
      </c>
      <c r="AC4334" s="71" t="s">
        <v>2272</v>
      </c>
      <c r="AD4334" s="198"/>
      <c r="AE4334" s="198"/>
    </row>
    <row r="4335" spans="1:31" ht="34.5" customHeight="1">
      <c r="A4335" s="198" t="s">
        <v>11179</v>
      </c>
      <c r="B4335" s="4" t="s">
        <v>11183</v>
      </c>
      <c r="C4335" s="198" t="s">
        <v>23</v>
      </c>
      <c r="D4335" s="198" t="s">
        <v>26</v>
      </c>
      <c r="E4335" s="198" t="s">
        <v>128</v>
      </c>
      <c r="F4335" s="4" t="s">
        <v>2272</v>
      </c>
      <c r="G4335" s="4" t="s">
        <v>2272</v>
      </c>
      <c r="H4335" s="4" t="s">
        <v>521</v>
      </c>
      <c r="I4335" s="198"/>
      <c r="J4335" s="71" t="s">
        <v>2272</v>
      </c>
      <c r="K4335" s="71" t="s">
        <v>2272</v>
      </c>
      <c r="L4335" s="71" t="s">
        <v>2272</v>
      </c>
      <c r="M4335" s="71" t="s">
        <v>2272</v>
      </c>
      <c r="N4335" s="71" t="s">
        <v>2272</v>
      </c>
      <c r="O4335" s="71" t="s">
        <v>2272</v>
      </c>
      <c r="P4335" s="71" t="s">
        <v>2272</v>
      </c>
      <c r="Q4335" s="71" t="s">
        <v>2272</v>
      </c>
      <c r="R4335" s="71" t="s">
        <v>2272</v>
      </c>
      <c r="S4335" s="71" t="s">
        <v>2272</v>
      </c>
      <c r="T4335" s="71" t="s">
        <v>2272</v>
      </c>
      <c r="U4335" s="71" t="s">
        <v>2272</v>
      </c>
      <c r="V4335" s="71" t="s">
        <v>2272</v>
      </c>
      <c r="W4335" s="71" t="s">
        <v>2272</v>
      </c>
      <c r="X4335" s="71" t="s">
        <v>2272</v>
      </c>
      <c r="Y4335" s="71" t="s">
        <v>2272</v>
      </c>
      <c r="Z4335" s="71" t="s">
        <v>2272</v>
      </c>
      <c r="AA4335" s="71" t="s">
        <v>2272</v>
      </c>
      <c r="AB4335" s="71" t="s">
        <v>2272</v>
      </c>
      <c r="AC4335" s="71" t="s">
        <v>2272</v>
      </c>
      <c r="AD4335" s="198"/>
      <c r="AE4335" s="198"/>
    </row>
    <row r="4336" spans="1:31" ht="36.5" customHeight="1">
      <c r="A4336" s="198" t="s">
        <v>11179</v>
      </c>
      <c r="B4336" s="4" t="s">
        <v>11184</v>
      </c>
      <c r="C4336" s="198" t="s">
        <v>23</v>
      </c>
      <c r="D4336" s="198" t="s">
        <v>24</v>
      </c>
      <c r="E4336" s="198" t="s">
        <v>44</v>
      </c>
      <c r="F4336" s="4" t="s">
        <v>2272</v>
      </c>
      <c r="G4336" s="4" t="s">
        <v>2272</v>
      </c>
      <c r="H4336" s="4" t="s">
        <v>521</v>
      </c>
      <c r="I4336" s="198"/>
      <c r="J4336" s="71" t="s">
        <v>2272</v>
      </c>
      <c r="K4336" s="71" t="s">
        <v>2272</v>
      </c>
      <c r="L4336" s="71" t="s">
        <v>2272</v>
      </c>
      <c r="M4336" s="71" t="s">
        <v>2272</v>
      </c>
      <c r="N4336" s="71" t="s">
        <v>2272</v>
      </c>
      <c r="O4336" s="71" t="s">
        <v>2272</v>
      </c>
      <c r="P4336" s="71" t="s">
        <v>2272</v>
      </c>
      <c r="Q4336" s="71" t="s">
        <v>2272</v>
      </c>
      <c r="R4336" s="71" t="s">
        <v>2272</v>
      </c>
      <c r="S4336" s="71" t="s">
        <v>2272</v>
      </c>
      <c r="T4336" s="71" t="s">
        <v>2272</v>
      </c>
      <c r="U4336" s="71" t="s">
        <v>2272</v>
      </c>
      <c r="V4336" s="71" t="s">
        <v>2272</v>
      </c>
      <c r="W4336" s="71" t="s">
        <v>2272</v>
      </c>
      <c r="X4336" s="71" t="s">
        <v>2272</v>
      </c>
      <c r="Y4336" s="71" t="s">
        <v>2272</v>
      </c>
      <c r="Z4336" s="71" t="s">
        <v>2272</v>
      </c>
      <c r="AA4336" s="71" t="s">
        <v>2272</v>
      </c>
      <c r="AB4336" s="71" t="s">
        <v>2272</v>
      </c>
      <c r="AC4336" s="71" t="s">
        <v>2272</v>
      </c>
      <c r="AD4336" s="198"/>
      <c r="AE4336" s="198"/>
    </row>
    <row r="4337" spans="1:31" ht="36.5" customHeight="1">
      <c r="A4337" s="198" t="s">
        <v>11179</v>
      </c>
      <c r="B4337" s="4" t="s">
        <v>11185</v>
      </c>
      <c r="C4337" s="198" t="s">
        <v>23</v>
      </c>
      <c r="D4337" s="198" t="s">
        <v>1241</v>
      </c>
      <c r="E4337" s="198" t="s">
        <v>114</v>
      </c>
      <c r="F4337" s="4" t="s">
        <v>2272</v>
      </c>
      <c r="G4337" s="4" t="s">
        <v>2272</v>
      </c>
      <c r="H4337" s="4" t="s">
        <v>521</v>
      </c>
      <c r="I4337" s="198"/>
      <c r="J4337" s="71" t="s">
        <v>2272</v>
      </c>
      <c r="K4337" s="71" t="s">
        <v>2272</v>
      </c>
      <c r="L4337" s="71" t="s">
        <v>2272</v>
      </c>
      <c r="M4337" s="71" t="s">
        <v>2272</v>
      </c>
      <c r="N4337" s="71" t="s">
        <v>2272</v>
      </c>
      <c r="O4337" s="71" t="s">
        <v>2272</v>
      </c>
      <c r="P4337" s="71" t="s">
        <v>2272</v>
      </c>
      <c r="Q4337" s="71" t="s">
        <v>2272</v>
      </c>
      <c r="R4337" s="71" t="s">
        <v>2272</v>
      </c>
      <c r="S4337" s="71" t="s">
        <v>2272</v>
      </c>
      <c r="T4337" s="71" t="s">
        <v>2272</v>
      </c>
      <c r="U4337" s="71" t="s">
        <v>2272</v>
      </c>
      <c r="V4337" s="71" t="s">
        <v>2272</v>
      </c>
      <c r="W4337" s="71" t="s">
        <v>2272</v>
      </c>
      <c r="X4337" s="71" t="s">
        <v>2272</v>
      </c>
      <c r="Y4337" s="71" t="s">
        <v>2272</v>
      </c>
      <c r="Z4337" s="71" t="s">
        <v>2272</v>
      </c>
      <c r="AA4337" s="71" t="s">
        <v>2272</v>
      </c>
      <c r="AB4337" s="71" t="s">
        <v>2272</v>
      </c>
      <c r="AC4337" s="71" t="s">
        <v>2272</v>
      </c>
      <c r="AD4337" s="198"/>
      <c r="AE4337" s="198"/>
    </row>
    <row r="4338" spans="1:31" ht="36.5" customHeight="1">
      <c r="A4338" s="198" t="s">
        <v>11179</v>
      </c>
      <c r="B4338" s="4" t="s">
        <v>11186</v>
      </c>
      <c r="C4338" s="198" t="s">
        <v>23</v>
      </c>
      <c r="D4338" s="198" t="s">
        <v>3475</v>
      </c>
      <c r="E4338" s="198" t="s">
        <v>114</v>
      </c>
      <c r="F4338" s="4" t="s">
        <v>2272</v>
      </c>
      <c r="G4338" s="4" t="s">
        <v>2272</v>
      </c>
      <c r="H4338" s="4" t="s">
        <v>521</v>
      </c>
      <c r="I4338" s="198"/>
      <c r="J4338" s="71" t="s">
        <v>2272</v>
      </c>
      <c r="K4338" s="71" t="s">
        <v>2272</v>
      </c>
      <c r="L4338" s="71" t="s">
        <v>2272</v>
      </c>
      <c r="M4338" s="71" t="s">
        <v>2272</v>
      </c>
      <c r="N4338" s="71" t="s">
        <v>2272</v>
      </c>
      <c r="O4338" s="71" t="s">
        <v>2272</v>
      </c>
      <c r="P4338" s="71" t="s">
        <v>2272</v>
      </c>
      <c r="Q4338" s="71" t="s">
        <v>2272</v>
      </c>
      <c r="R4338" s="71" t="s">
        <v>2272</v>
      </c>
      <c r="S4338" s="71" t="s">
        <v>2272</v>
      </c>
      <c r="T4338" s="71" t="s">
        <v>2272</v>
      </c>
      <c r="U4338" s="71" t="s">
        <v>2272</v>
      </c>
      <c r="V4338" s="71" t="s">
        <v>2272</v>
      </c>
      <c r="W4338" s="71" t="s">
        <v>2272</v>
      </c>
      <c r="X4338" s="71" t="s">
        <v>2272</v>
      </c>
      <c r="Y4338" s="71" t="s">
        <v>2272</v>
      </c>
      <c r="Z4338" s="71" t="s">
        <v>2272</v>
      </c>
      <c r="AA4338" s="71" t="s">
        <v>2272</v>
      </c>
      <c r="AB4338" s="71" t="s">
        <v>2272</v>
      </c>
      <c r="AC4338" s="71" t="s">
        <v>2272</v>
      </c>
      <c r="AD4338" s="198"/>
      <c r="AE4338" s="198"/>
    </row>
    <row r="4339" spans="1:31" ht="36.5" customHeight="1">
      <c r="A4339" s="198" t="s">
        <v>11179</v>
      </c>
      <c r="B4339" s="4" t="s">
        <v>11187</v>
      </c>
      <c r="C4339" s="198" t="s">
        <v>23</v>
      </c>
      <c r="D4339" s="198" t="s">
        <v>4157</v>
      </c>
      <c r="E4339" s="198" t="s">
        <v>114</v>
      </c>
      <c r="F4339" s="4" t="s">
        <v>2272</v>
      </c>
      <c r="G4339" s="4" t="s">
        <v>2272</v>
      </c>
      <c r="H4339" s="4" t="s">
        <v>521</v>
      </c>
      <c r="I4339" s="198"/>
      <c r="J4339" s="71" t="s">
        <v>2272</v>
      </c>
      <c r="K4339" s="71" t="s">
        <v>2272</v>
      </c>
      <c r="L4339" s="71" t="s">
        <v>2272</v>
      </c>
      <c r="M4339" s="71" t="s">
        <v>2272</v>
      </c>
      <c r="N4339" s="71" t="s">
        <v>2272</v>
      </c>
      <c r="O4339" s="71" t="s">
        <v>2272</v>
      </c>
      <c r="P4339" s="71" t="s">
        <v>2272</v>
      </c>
      <c r="Q4339" s="71" t="s">
        <v>2272</v>
      </c>
      <c r="R4339" s="71" t="s">
        <v>2272</v>
      </c>
      <c r="S4339" s="71" t="s">
        <v>2272</v>
      </c>
      <c r="T4339" s="71" t="s">
        <v>2272</v>
      </c>
      <c r="U4339" s="71" t="s">
        <v>2272</v>
      </c>
      <c r="V4339" s="71" t="s">
        <v>2272</v>
      </c>
      <c r="W4339" s="71" t="s">
        <v>2272</v>
      </c>
      <c r="X4339" s="71" t="s">
        <v>2272</v>
      </c>
      <c r="Y4339" s="71" t="s">
        <v>2272</v>
      </c>
      <c r="Z4339" s="71" t="s">
        <v>2272</v>
      </c>
      <c r="AA4339" s="71" t="s">
        <v>2272</v>
      </c>
      <c r="AB4339" s="71" t="s">
        <v>2272</v>
      </c>
      <c r="AC4339" s="71" t="s">
        <v>2272</v>
      </c>
      <c r="AD4339" s="198"/>
      <c r="AE4339" s="198"/>
    </row>
    <row r="4340" spans="1:31" ht="36.5" customHeight="1">
      <c r="A4340" s="198" t="s">
        <v>11179</v>
      </c>
      <c r="B4340" s="4" t="s">
        <v>11188</v>
      </c>
      <c r="C4340" s="198" t="s">
        <v>23</v>
      </c>
      <c r="D4340" s="198" t="s">
        <v>2989</v>
      </c>
      <c r="E4340" s="4" t="s">
        <v>2272</v>
      </c>
      <c r="F4340" s="4" t="s">
        <v>2272</v>
      </c>
      <c r="G4340" s="4" t="s">
        <v>2272</v>
      </c>
      <c r="H4340" s="4" t="s">
        <v>521</v>
      </c>
      <c r="I4340" s="198"/>
      <c r="J4340" s="71" t="s">
        <v>2272</v>
      </c>
      <c r="K4340" s="71" t="s">
        <v>2272</v>
      </c>
      <c r="L4340" s="71" t="s">
        <v>2272</v>
      </c>
      <c r="M4340" s="71" t="s">
        <v>2272</v>
      </c>
      <c r="N4340" s="71" t="s">
        <v>2272</v>
      </c>
      <c r="O4340" s="71" t="s">
        <v>2272</v>
      </c>
      <c r="P4340" s="71" t="s">
        <v>2272</v>
      </c>
      <c r="Q4340" s="71" t="s">
        <v>2272</v>
      </c>
      <c r="R4340" s="71" t="s">
        <v>2272</v>
      </c>
      <c r="S4340" s="71" t="s">
        <v>2272</v>
      </c>
      <c r="T4340" s="71" t="s">
        <v>2272</v>
      </c>
      <c r="U4340" s="71" t="s">
        <v>2272</v>
      </c>
      <c r="V4340" s="71" t="s">
        <v>2272</v>
      </c>
      <c r="W4340" s="71" t="s">
        <v>2272</v>
      </c>
      <c r="X4340" s="71" t="s">
        <v>2272</v>
      </c>
      <c r="Y4340" s="71" t="s">
        <v>2272</v>
      </c>
      <c r="Z4340" s="71" t="s">
        <v>2272</v>
      </c>
      <c r="AA4340" s="71" t="s">
        <v>2272</v>
      </c>
      <c r="AB4340" s="71" t="s">
        <v>2272</v>
      </c>
      <c r="AC4340" s="71" t="s">
        <v>2272</v>
      </c>
      <c r="AD4340" s="198"/>
      <c r="AE4340" s="198"/>
    </row>
    <row r="4341" spans="1:31" ht="36.5" customHeight="1">
      <c r="A4341" s="198" t="s">
        <v>11179</v>
      </c>
      <c r="B4341" s="4" t="s">
        <v>11189</v>
      </c>
      <c r="C4341" s="198" t="s">
        <v>23</v>
      </c>
      <c r="D4341" s="198" t="s">
        <v>404</v>
      </c>
      <c r="E4341" s="4" t="s">
        <v>2272</v>
      </c>
      <c r="F4341" s="4" t="s">
        <v>2272</v>
      </c>
      <c r="G4341" s="4" t="s">
        <v>2272</v>
      </c>
      <c r="H4341" s="4" t="s">
        <v>521</v>
      </c>
      <c r="I4341" s="198"/>
      <c r="J4341" s="71" t="s">
        <v>2272</v>
      </c>
      <c r="K4341" s="71" t="s">
        <v>2272</v>
      </c>
      <c r="L4341" s="71" t="s">
        <v>2272</v>
      </c>
      <c r="M4341" s="71" t="s">
        <v>2272</v>
      </c>
      <c r="N4341" s="71" t="s">
        <v>2272</v>
      </c>
      <c r="O4341" s="71" t="s">
        <v>2272</v>
      </c>
      <c r="P4341" s="71" t="s">
        <v>2272</v>
      </c>
      <c r="Q4341" s="71" t="s">
        <v>2272</v>
      </c>
      <c r="R4341" s="71" t="s">
        <v>2272</v>
      </c>
      <c r="S4341" s="71" t="s">
        <v>2272</v>
      </c>
      <c r="T4341" s="71" t="s">
        <v>2272</v>
      </c>
      <c r="U4341" s="71" t="s">
        <v>2272</v>
      </c>
      <c r="V4341" s="71" t="s">
        <v>2272</v>
      </c>
      <c r="W4341" s="71" t="s">
        <v>2272</v>
      </c>
      <c r="X4341" s="71" t="s">
        <v>2272</v>
      </c>
      <c r="Y4341" s="71" t="s">
        <v>2272</v>
      </c>
      <c r="Z4341" s="71" t="s">
        <v>2272</v>
      </c>
      <c r="AA4341" s="71" t="s">
        <v>2272</v>
      </c>
      <c r="AB4341" s="71" t="s">
        <v>2272</v>
      </c>
      <c r="AC4341" s="71" t="s">
        <v>2272</v>
      </c>
      <c r="AD4341" s="198"/>
      <c r="AE4341" s="198"/>
    </row>
    <row r="4342" spans="1:31" ht="36.5" customHeight="1">
      <c r="A4342" s="198" t="s">
        <v>11192</v>
      </c>
      <c r="B4342" s="198" t="s">
        <v>11196</v>
      </c>
      <c r="C4342" s="198" t="s">
        <v>23</v>
      </c>
      <c r="D4342" s="198" t="s">
        <v>26</v>
      </c>
      <c r="E4342" s="198" t="s">
        <v>128</v>
      </c>
      <c r="F4342" s="4" t="s">
        <v>158</v>
      </c>
      <c r="G4342" s="4" t="s">
        <v>158</v>
      </c>
      <c r="H4342" s="4" t="s">
        <v>521</v>
      </c>
      <c r="I4342" s="198"/>
      <c r="J4342" s="71" t="s">
        <v>2272</v>
      </c>
      <c r="K4342" s="71" t="s">
        <v>2272</v>
      </c>
      <c r="L4342" s="71" t="s">
        <v>2272</v>
      </c>
      <c r="M4342" s="71" t="s">
        <v>2272</v>
      </c>
      <c r="N4342" s="71" t="s">
        <v>2272</v>
      </c>
      <c r="O4342" s="71" t="s">
        <v>2272</v>
      </c>
      <c r="P4342" s="71" t="s">
        <v>2272</v>
      </c>
      <c r="Q4342" s="71" t="s">
        <v>2272</v>
      </c>
      <c r="R4342" s="71" t="s">
        <v>2272</v>
      </c>
      <c r="S4342" s="71" t="s">
        <v>2272</v>
      </c>
      <c r="T4342" s="71" t="s">
        <v>2272</v>
      </c>
      <c r="U4342" s="71" t="s">
        <v>2272</v>
      </c>
      <c r="V4342" s="71" t="s">
        <v>2272</v>
      </c>
      <c r="W4342" s="71" t="s">
        <v>2272</v>
      </c>
      <c r="X4342" s="71" t="s">
        <v>2272</v>
      </c>
      <c r="Y4342" s="71" t="s">
        <v>2272</v>
      </c>
      <c r="Z4342" s="71" t="s">
        <v>2272</v>
      </c>
      <c r="AA4342" s="71" t="s">
        <v>2272</v>
      </c>
      <c r="AB4342" s="71" t="s">
        <v>2272</v>
      </c>
      <c r="AC4342" s="71" t="s">
        <v>2272</v>
      </c>
      <c r="AD4342" s="198"/>
      <c r="AE4342" s="198"/>
    </row>
    <row r="4343" spans="1:31" ht="36.5" customHeight="1">
      <c r="A4343" s="198" t="s">
        <v>11192</v>
      </c>
      <c r="B4343" s="198" t="s">
        <v>11197</v>
      </c>
      <c r="C4343" s="198" t="s">
        <v>23</v>
      </c>
      <c r="D4343" s="198" t="s">
        <v>24</v>
      </c>
      <c r="E4343" s="198" t="s">
        <v>44</v>
      </c>
      <c r="F4343" s="4" t="s">
        <v>54</v>
      </c>
      <c r="G4343" s="4" t="s">
        <v>54</v>
      </c>
      <c r="H4343" s="4" t="s">
        <v>521</v>
      </c>
      <c r="I4343" s="198"/>
      <c r="J4343" s="71" t="s">
        <v>2272</v>
      </c>
      <c r="K4343" s="71" t="s">
        <v>2272</v>
      </c>
      <c r="L4343" s="71" t="s">
        <v>2272</v>
      </c>
      <c r="M4343" s="71" t="s">
        <v>2272</v>
      </c>
      <c r="N4343" s="71" t="s">
        <v>2272</v>
      </c>
      <c r="O4343" s="71" t="s">
        <v>2272</v>
      </c>
      <c r="P4343" s="71" t="s">
        <v>2272</v>
      </c>
      <c r="Q4343" s="71" t="s">
        <v>2272</v>
      </c>
      <c r="R4343" s="71" t="s">
        <v>2272</v>
      </c>
      <c r="S4343" s="71" t="s">
        <v>2272</v>
      </c>
      <c r="T4343" s="71" t="s">
        <v>2272</v>
      </c>
      <c r="U4343" s="71" t="s">
        <v>2272</v>
      </c>
      <c r="V4343" s="71" t="s">
        <v>2272</v>
      </c>
      <c r="W4343" s="71" t="s">
        <v>2272</v>
      </c>
      <c r="X4343" s="71" t="s">
        <v>2272</v>
      </c>
      <c r="Y4343" s="71" t="s">
        <v>2272</v>
      </c>
      <c r="Z4343" s="21">
        <v>1</v>
      </c>
      <c r="AA4343" s="198" t="s">
        <v>37</v>
      </c>
      <c r="AB4343" s="198" t="s">
        <v>67</v>
      </c>
      <c r="AC4343" s="71" t="s">
        <v>2272</v>
      </c>
      <c r="AD4343" s="198"/>
      <c r="AE4343" s="198"/>
    </row>
    <row r="4344" spans="1:31" ht="36.5" customHeight="1">
      <c r="A4344" s="198" t="s">
        <v>11192</v>
      </c>
      <c r="B4344" s="198" t="s">
        <v>11200</v>
      </c>
      <c r="C4344" s="198" t="s">
        <v>23</v>
      </c>
      <c r="D4344" s="198" t="s">
        <v>1241</v>
      </c>
      <c r="E4344" s="198" t="s">
        <v>114</v>
      </c>
      <c r="F4344" s="4" t="s">
        <v>54</v>
      </c>
      <c r="G4344" s="4" t="s">
        <v>54</v>
      </c>
      <c r="H4344" s="4" t="s">
        <v>521</v>
      </c>
      <c r="I4344" s="198"/>
      <c r="J4344" s="71" t="s">
        <v>2272</v>
      </c>
      <c r="K4344" s="71" t="s">
        <v>2272</v>
      </c>
      <c r="L4344" s="71" t="s">
        <v>2272</v>
      </c>
      <c r="M4344" s="71" t="s">
        <v>2272</v>
      </c>
      <c r="N4344" s="71" t="s">
        <v>2272</v>
      </c>
      <c r="O4344" s="71" t="s">
        <v>2272</v>
      </c>
      <c r="P4344" s="71" t="s">
        <v>2272</v>
      </c>
      <c r="Q4344" s="71" t="s">
        <v>2272</v>
      </c>
      <c r="R4344" s="71" t="s">
        <v>2272</v>
      </c>
      <c r="S4344" s="71" t="s">
        <v>2272</v>
      </c>
      <c r="T4344" s="71" t="s">
        <v>2272</v>
      </c>
      <c r="U4344" s="71" t="s">
        <v>2272</v>
      </c>
      <c r="V4344" s="71" t="s">
        <v>2272</v>
      </c>
      <c r="W4344" s="71" t="s">
        <v>2272</v>
      </c>
      <c r="X4344" s="71" t="s">
        <v>2272</v>
      </c>
      <c r="Y4344" s="71" t="s">
        <v>2272</v>
      </c>
      <c r="Z4344" s="21">
        <v>1</v>
      </c>
      <c r="AA4344" s="198" t="s">
        <v>37</v>
      </c>
      <c r="AB4344" s="198" t="s">
        <v>67</v>
      </c>
      <c r="AC4344" s="71" t="s">
        <v>2272</v>
      </c>
      <c r="AD4344" s="198"/>
      <c r="AE4344" s="198"/>
    </row>
    <row r="4345" spans="1:31" ht="36.5" customHeight="1">
      <c r="A4345" s="198" t="s">
        <v>11193</v>
      </c>
      <c r="B4345" s="198" t="s">
        <v>11198</v>
      </c>
      <c r="C4345" s="198" t="s">
        <v>23</v>
      </c>
      <c r="D4345" s="198" t="s">
        <v>26</v>
      </c>
      <c r="E4345" s="198" t="s">
        <v>128</v>
      </c>
      <c r="F4345" s="4" t="s">
        <v>158</v>
      </c>
      <c r="G4345" s="4" t="s">
        <v>158</v>
      </c>
      <c r="H4345" s="4" t="s">
        <v>521</v>
      </c>
      <c r="I4345" s="198"/>
      <c r="J4345" s="71" t="s">
        <v>2272</v>
      </c>
      <c r="K4345" s="71" t="s">
        <v>2272</v>
      </c>
      <c r="L4345" s="71" t="s">
        <v>2272</v>
      </c>
      <c r="M4345" s="71" t="s">
        <v>2272</v>
      </c>
      <c r="N4345" s="71" t="s">
        <v>2272</v>
      </c>
      <c r="O4345" s="71" t="s">
        <v>2272</v>
      </c>
      <c r="P4345" s="71" t="s">
        <v>2272</v>
      </c>
      <c r="Q4345" s="71" t="s">
        <v>2272</v>
      </c>
      <c r="R4345" s="71" t="s">
        <v>2272</v>
      </c>
      <c r="S4345" s="71" t="s">
        <v>2272</v>
      </c>
      <c r="T4345" s="71" t="s">
        <v>2272</v>
      </c>
      <c r="U4345" s="71" t="s">
        <v>2272</v>
      </c>
      <c r="V4345" s="71" t="s">
        <v>2272</v>
      </c>
      <c r="W4345" s="71" t="s">
        <v>2272</v>
      </c>
      <c r="X4345" s="71" t="s">
        <v>2272</v>
      </c>
      <c r="Y4345" s="71" t="s">
        <v>2272</v>
      </c>
      <c r="Z4345" s="71" t="s">
        <v>2272</v>
      </c>
      <c r="AA4345" s="71" t="s">
        <v>2272</v>
      </c>
      <c r="AB4345" s="71" t="s">
        <v>2272</v>
      </c>
      <c r="AC4345" s="71" t="s">
        <v>2272</v>
      </c>
      <c r="AD4345" s="198"/>
      <c r="AE4345" s="198"/>
    </row>
    <row r="4346" spans="1:31" ht="36.5" customHeight="1">
      <c r="A4346" s="198" t="s">
        <v>11193</v>
      </c>
      <c r="B4346" s="198" t="s">
        <v>11199</v>
      </c>
      <c r="C4346" s="198" t="s">
        <v>23</v>
      </c>
      <c r="D4346" s="198" t="s">
        <v>24</v>
      </c>
      <c r="E4346" s="198" t="s">
        <v>44</v>
      </c>
      <c r="F4346" s="4" t="s">
        <v>54</v>
      </c>
      <c r="G4346" s="4" t="s">
        <v>54</v>
      </c>
      <c r="H4346" s="4" t="s">
        <v>521</v>
      </c>
      <c r="I4346" s="198"/>
      <c r="J4346" s="71" t="s">
        <v>2272</v>
      </c>
      <c r="K4346" s="71" t="s">
        <v>2272</v>
      </c>
      <c r="L4346" s="71" t="s">
        <v>2272</v>
      </c>
      <c r="M4346" s="71" t="s">
        <v>2272</v>
      </c>
      <c r="N4346" s="71" t="s">
        <v>2272</v>
      </c>
      <c r="O4346" s="71" t="s">
        <v>2272</v>
      </c>
      <c r="P4346" s="71" t="s">
        <v>2272</v>
      </c>
      <c r="Q4346" s="71" t="s">
        <v>2272</v>
      </c>
      <c r="R4346" s="71" t="s">
        <v>2272</v>
      </c>
      <c r="S4346" s="71" t="s">
        <v>2272</v>
      </c>
      <c r="T4346" s="71" t="s">
        <v>2272</v>
      </c>
      <c r="U4346" s="71" t="s">
        <v>2272</v>
      </c>
      <c r="V4346" s="71" t="s">
        <v>2272</v>
      </c>
      <c r="W4346" s="71" t="s">
        <v>2272</v>
      </c>
      <c r="X4346" s="71" t="s">
        <v>2272</v>
      </c>
      <c r="Y4346" s="71" t="s">
        <v>2272</v>
      </c>
      <c r="Z4346" s="21">
        <v>1</v>
      </c>
      <c r="AA4346" s="198" t="s">
        <v>37</v>
      </c>
      <c r="AB4346" s="198" t="s">
        <v>67</v>
      </c>
      <c r="AC4346" s="71" t="s">
        <v>2272</v>
      </c>
      <c r="AD4346" s="198"/>
      <c r="AE4346" s="198"/>
    </row>
    <row r="4347" spans="1:31" ht="36.5" customHeight="1">
      <c r="A4347" s="198" t="s">
        <v>11193</v>
      </c>
      <c r="B4347" s="198" t="s">
        <v>11201</v>
      </c>
      <c r="C4347" s="198" t="s">
        <v>23</v>
      </c>
      <c r="D4347" s="198" t="s">
        <v>1241</v>
      </c>
      <c r="E4347" s="198" t="s">
        <v>114</v>
      </c>
      <c r="F4347" s="4" t="s">
        <v>54</v>
      </c>
      <c r="G4347" s="4" t="s">
        <v>54</v>
      </c>
      <c r="H4347" s="4" t="s">
        <v>521</v>
      </c>
      <c r="I4347" s="198"/>
      <c r="J4347" s="71" t="s">
        <v>2272</v>
      </c>
      <c r="K4347" s="71" t="s">
        <v>2272</v>
      </c>
      <c r="L4347" s="71" t="s">
        <v>2272</v>
      </c>
      <c r="M4347" s="71" t="s">
        <v>2272</v>
      </c>
      <c r="N4347" s="71" t="s">
        <v>2272</v>
      </c>
      <c r="O4347" s="71" t="s">
        <v>2272</v>
      </c>
      <c r="P4347" s="71" t="s">
        <v>2272</v>
      </c>
      <c r="Q4347" s="71" t="s">
        <v>2272</v>
      </c>
      <c r="R4347" s="71" t="s">
        <v>2272</v>
      </c>
      <c r="S4347" s="71" t="s">
        <v>2272</v>
      </c>
      <c r="T4347" s="71" t="s">
        <v>2272</v>
      </c>
      <c r="U4347" s="71" t="s">
        <v>2272</v>
      </c>
      <c r="V4347" s="71" t="s">
        <v>2272</v>
      </c>
      <c r="W4347" s="71" t="s">
        <v>2272</v>
      </c>
      <c r="X4347" s="71" t="s">
        <v>2272</v>
      </c>
      <c r="Y4347" s="71" t="s">
        <v>2272</v>
      </c>
      <c r="Z4347" s="21">
        <v>1</v>
      </c>
      <c r="AA4347" s="198" t="s">
        <v>37</v>
      </c>
      <c r="AB4347" s="198" t="s">
        <v>67</v>
      </c>
      <c r="AC4347" s="71" t="s">
        <v>2272</v>
      </c>
      <c r="AD4347" s="198"/>
      <c r="AE4347" s="198"/>
    </row>
    <row r="4348" spans="1:31" ht="36.5" customHeight="1">
      <c r="A4348" s="198" t="s">
        <v>11192</v>
      </c>
      <c r="B4348" s="198" t="s">
        <v>11205</v>
      </c>
      <c r="C4348" s="198" t="s">
        <v>2453</v>
      </c>
      <c r="D4348" s="4" t="s">
        <v>2272</v>
      </c>
      <c r="E4348" s="198" t="s">
        <v>44</v>
      </c>
      <c r="F4348" s="4" t="s">
        <v>54</v>
      </c>
      <c r="G4348" s="4" t="s">
        <v>158</v>
      </c>
      <c r="H4348" s="4" t="s">
        <v>521</v>
      </c>
      <c r="I4348" s="198"/>
      <c r="J4348" s="71" t="s">
        <v>2272</v>
      </c>
      <c r="K4348" s="71" t="s">
        <v>2272</v>
      </c>
      <c r="L4348" s="71" t="s">
        <v>2272</v>
      </c>
      <c r="M4348" s="71" t="s">
        <v>2272</v>
      </c>
      <c r="N4348" s="71" t="s">
        <v>2272</v>
      </c>
      <c r="O4348" s="71" t="s">
        <v>2272</v>
      </c>
      <c r="P4348" s="71" t="s">
        <v>2272</v>
      </c>
      <c r="Q4348" s="71" t="s">
        <v>2272</v>
      </c>
      <c r="R4348" s="71" t="s">
        <v>2272</v>
      </c>
      <c r="S4348" s="71" t="s">
        <v>2272</v>
      </c>
      <c r="T4348" s="71" t="s">
        <v>2272</v>
      </c>
      <c r="U4348" s="71" t="s">
        <v>2272</v>
      </c>
      <c r="V4348" s="71" t="s">
        <v>2272</v>
      </c>
      <c r="W4348" s="71" t="s">
        <v>2272</v>
      </c>
      <c r="X4348" s="71" t="s">
        <v>2272</v>
      </c>
      <c r="Y4348" s="71" t="s">
        <v>2272</v>
      </c>
      <c r="Z4348" s="71" t="s">
        <v>2272</v>
      </c>
      <c r="AA4348" s="198" t="s">
        <v>37</v>
      </c>
      <c r="AB4348" s="198" t="s">
        <v>67</v>
      </c>
      <c r="AC4348" s="71" t="s">
        <v>2272</v>
      </c>
      <c r="AD4348" s="198"/>
      <c r="AE4348" s="198"/>
    </row>
    <row r="4349" spans="1:31" ht="43" customHeight="1">
      <c r="A4349" s="198" t="s">
        <v>11193</v>
      </c>
      <c r="B4349" s="198" t="s">
        <v>11206</v>
      </c>
      <c r="C4349" s="198" t="s">
        <v>2453</v>
      </c>
      <c r="D4349" s="4" t="s">
        <v>2272</v>
      </c>
      <c r="E4349" s="198" t="s">
        <v>44</v>
      </c>
      <c r="F4349" s="4" t="s">
        <v>54</v>
      </c>
      <c r="G4349" s="4" t="s">
        <v>158</v>
      </c>
      <c r="H4349" s="4" t="s">
        <v>521</v>
      </c>
      <c r="I4349" s="198"/>
      <c r="J4349" s="71" t="s">
        <v>2272</v>
      </c>
      <c r="K4349" s="71" t="s">
        <v>2272</v>
      </c>
      <c r="L4349" s="71" t="s">
        <v>2272</v>
      </c>
      <c r="M4349" s="71" t="s">
        <v>2272</v>
      </c>
      <c r="N4349" s="71" t="s">
        <v>2272</v>
      </c>
      <c r="O4349" s="71" t="s">
        <v>2272</v>
      </c>
      <c r="P4349" s="71" t="s">
        <v>2272</v>
      </c>
      <c r="Q4349" s="71" t="s">
        <v>2272</v>
      </c>
      <c r="R4349" s="71" t="s">
        <v>2272</v>
      </c>
      <c r="S4349" s="71" t="s">
        <v>2272</v>
      </c>
      <c r="T4349" s="71" t="s">
        <v>2272</v>
      </c>
      <c r="U4349" s="71" t="s">
        <v>2272</v>
      </c>
      <c r="V4349" s="71" t="s">
        <v>2272</v>
      </c>
      <c r="W4349" s="71" t="s">
        <v>2272</v>
      </c>
      <c r="X4349" s="71" t="s">
        <v>2272</v>
      </c>
      <c r="Y4349" s="71" t="s">
        <v>2272</v>
      </c>
      <c r="Z4349" s="71" t="s">
        <v>2272</v>
      </c>
      <c r="AA4349" s="198" t="s">
        <v>37</v>
      </c>
      <c r="AB4349" s="198" t="s">
        <v>67</v>
      </c>
      <c r="AC4349" s="71" t="s">
        <v>2272</v>
      </c>
      <c r="AD4349" s="198"/>
      <c r="AE4349" s="198"/>
    </row>
    <row r="4350" spans="1:31" ht="43" customHeight="1">
      <c r="A4350" s="198" t="s">
        <v>11210</v>
      </c>
      <c r="B4350" s="198" t="s">
        <v>11212</v>
      </c>
      <c r="C4350" s="198" t="s">
        <v>23</v>
      </c>
      <c r="D4350" s="198" t="s">
        <v>1238</v>
      </c>
      <c r="E4350" s="198" t="s">
        <v>114</v>
      </c>
      <c r="F4350" s="4" t="s">
        <v>2657</v>
      </c>
      <c r="G4350" s="4" t="s">
        <v>2657</v>
      </c>
      <c r="H4350" s="4" t="s">
        <v>521</v>
      </c>
      <c r="I4350" s="198"/>
      <c r="J4350" s="71" t="s">
        <v>2272</v>
      </c>
      <c r="K4350" s="71" t="s">
        <v>2272</v>
      </c>
      <c r="L4350" s="71" t="s">
        <v>2272</v>
      </c>
      <c r="M4350" s="71" t="s">
        <v>2272</v>
      </c>
      <c r="N4350" s="71" t="s">
        <v>2272</v>
      </c>
      <c r="O4350" s="71" t="s">
        <v>2272</v>
      </c>
      <c r="P4350" s="71" t="s">
        <v>2272</v>
      </c>
      <c r="Q4350" s="71" t="s">
        <v>2272</v>
      </c>
      <c r="R4350" s="71" t="s">
        <v>2272</v>
      </c>
      <c r="S4350" s="71" t="s">
        <v>2272</v>
      </c>
      <c r="T4350" s="71" t="s">
        <v>2272</v>
      </c>
      <c r="U4350" s="71" t="s">
        <v>2272</v>
      </c>
      <c r="V4350" s="71" t="s">
        <v>2272</v>
      </c>
      <c r="W4350" s="71" t="s">
        <v>2272</v>
      </c>
      <c r="X4350" s="71" t="s">
        <v>2272</v>
      </c>
      <c r="Y4350" s="71" t="s">
        <v>2272</v>
      </c>
      <c r="Z4350" s="71" t="s">
        <v>2272</v>
      </c>
      <c r="AA4350" s="198" t="s">
        <v>397</v>
      </c>
      <c r="AB4350" s="198" t="s">
        <v>423</v>
      </c>
      <c r="AC4350" s="198" t="s">
        <v>75</v>
      </c>
      <c r="AD4350" s="198"/>
      <c r="AE4350" s="4" t="s">
        <v>11224</v>
      </c>
    </row>
    <row r="4351" spans="1:31" ht="43" customHeight="1">
      <c r="A4351" s="198" t="s">
        <v>11210</v>
      </c>
      <c r="B4351" s="198" t="s">
        <v>11213</v>
      </c>
      <c r="C4351" s="198" t="s">
        <v>23</v>
      </c>
      <c r="D4351" s="198" t="s">
        <v>142</v>
      </c>
      <c r="E4351" s="198" t="s">
        <v>114</v>
      </c>
      <c r="F4351" s="4" t="s">
        <v>2657</v>
      </c>
      <c r="G4351" s="4" t="s">
        <v>2657</v>
      </c>
      <c r="H4351" s="4" t="s">
        <v>521</v>
      </c>
      <c r="I4351" s="198"/>
      <c r="J4351" s="71" t="s">
        <v>2272</v>
      </c>
      <c r="K4351" s="71" t="s">
        <v>2272</v>
      </c>
      <c r="L4351" s="71" t="s">
        <v>2272</v>
      </c>
      <c r="M4351" s="71" t="s">
        <v>2272</v>
      </c>
      <c r="N4351" s="71" t="s">
        <v>2272</v>
      </c>
      <c r="O4351" s="71" t="s">
        <v>2272</v>
      </c>
      <c r="P4351" s="71" t="s">
        <v>2272</v>
      </c>
      <c r="Q4351" s="71" t="s">
        <v>2272</v>
      </c>
      <c r="R4351" s="71" t="s">
        <v>2272</v>
      </c>
      <c r="S4351" s="71" t="s">
        <v>2272</v>
      </c>
      <c r="T4351" s="71" t="s">
        <v>2272</v>
      </c>
      <c r="U4351" s="71" t="s">
        <v>2272</v>
      </c>
      <c r="V4351" s="71" t="s">
        <v>2272</v>
      </c>
      <c r="W4351" s="71" t="s">
        <v>2272</v>
      </c>
      <c r="X4351" s="71" t="s">
        <v>2272</v>
      </c>
      <c r="Y4351" s="71" t="s">
        <v>2272</v>
      </c>
      <c r="Z4351" s="71" t="s">
        <v>2272</v>
      </c>
      <c r="AA4351" s="198" t="s">
        <v>397</v>
      </c>
      <c r="AB4351" s="198" t="s">
        <v>423</v>
      </c>
      <c r="AC4351" s="198" t="s">
        <v>75</v>
      </c>
      <c r="AD4351" s="198"/>
      <c r="AE4351" s="4" t="s">
        <v>11224</v>
      </c>
    </row>
    <row r="4352" spans="1:31" ht="46.5" customHeight="1">
      <c r="A4352" s="198" t="s">
        <v>11210</v>
      </c>
      <c r="B4352" s="198" t="s">
        <v>11214</v>
      </c>
      <c r="C4352" s="198" t="s">
        <v>23</v>
      </c>
      <c r="D4352" s="198" t="s">
        <v>404</v>
      </c>
      <c r="E4352" s="198" t="s">
        <v>114</v>
      </c>
      <c r="F4352" s="4" t="s">
        <v>2657</v>
      </c>
      <c r="G4352" s="4" t="s">
        <v>2657</v>
      </c>
      <c r="H4352" s="4" t="s">
        <v>521</v>
      </c>
      <c r="I4352" s="198"/>
      <c r="J4352" s="71" t="s">
        <v>2272</v>
      </c>
      <c r="K4352" s="71" t="s">
        <v>2272</v>
      </c>
      <c r="L4352" s="71" t="s">
        <v>2272</v>
      </c>
      <c r="M4352" s="71" t="s">
        <v>2272</v>
      </c>
      <c r="N4352" s="71" t="s">
        <v>2272</v>
      </c>
      <c r="O4352" s="71" t="s">
        <v>2272</v>
      </c>
      <c r="P4352" s="71" t="s">
        <v>2272</v>
      </c>
      <c r="Q4352" s="71" t="s">
        <v>2272</v>
      </c>
      <c r="R4352" s="71" t="s">
        <v>2272</v>
      </c>
      <c r="S4352" s="71" t="s">
        <v>2272</v>
      </c>
      <c r="T4352" s="71" t="s">
        <v>2272</v>
      </c>
      <c r="U4352" s="71" t="s">
        <v>2272</v>
      </c>
      <c r="V4352" s="71" t="s">
        <v>2272</v>
      </c>
      <c r="W4352" s="71" t="s">
        <v>2272</v>
      </c>
      <c r="X4352" s="71" t="s">
        <v>2272</v>
      </c>
      <c r="Y4352" s="71" t="s">
        <v>2272</v>
      </c>
      <c r="Z4352" s="71" t="s">
        <v>2272</v>
      </c>
      <c r="AA4352" s="198" t="s">
        <v>397</v>
      </c>
      <c r="AB4352" s="198" t="s">
        <v>423</v>
      </c>
      <c r="AC4352" s="198" t="s">
        <v>75</v>
      </c>
      <c r="AD4352" s="198"/>
      <c r="AE4352" s="4" t="s">
        <v>11224</v>
      </c>
    </row>
    <row r="4353" spans="1:31" ht="43.5" customHeight="1">
      <c r="A4353" s="198" t="s">
        <v>11210</v>
      </c>
      <c r="B4353" s="198" t="s">
        <v>11217</v>
      </c>
      <c r="C4353" s="198" t="s">
        <v>23</v>
      </c>
      <c r="D4353" s="198" t="s">
        <v>1241</v>
      </c>
      <c r="E4353" s="198" t="s">
        <v>114</v>
      </c>
      <c r="F4353" s="4" t="s">
        <v>2657</v>
      </c>
      <c r="G4353" s="4" t="s">
        <v>2657</v>
      </c>
      <c r="H4353" s="4" t="s">
        <v>521</v>
      </c>
      <c r="I4353" s="198"/>
      <c r="J4353" s="71" t="s">
        <v>2272</v>
      </c>
      <c r="K4353" s="71" t="s">
        <v>2272</v>
      </c>
      <c r="L4353" s="71" t="s">
        <v>2272</v>
      </c>
      <c r="M4353" s="71" t="s">
        <v>2272</v>
      </c>
      <c r="N4353" s="71" t="s">
        <v>2272</v>
      </c>
      <c r="O4353" s="71" t="s">
        <v>2272</v>
      </c>
      <c r="P4353" s="71" t="s">
        <v>2272</v>
      </c>
      <c r="Q4353" s="71" t="s">
        <v>2272</v>
      </c>
      <c r="R4353" s="71" t="s">
        <v>2272</v>
      </c>
      <c r="S4353" s="71" t="s">
        <v>2272</v>
      </c>
      <c r="T4353" s="71" t="s">
        <v>2272</v>
      </c>
      <c r="U4353" s="71" t="s">
        <v>2272</v>
      </c>
      <c r="V4353" s="71" t="s">
        <v>2272</v>
      </c>
      <c r="W4353" s="71" t="s">
        <v>2272</v>
      </c>
      <c r="X4353" s="71" t="s">
        <v>2272</v>
      </c>
      <c r="Y4353" s="71" t="s">
        <v>2272</v>
      </c>
      <c r="Z4353" s="71" t="s">
        <v>2272</v>
      </c>
      <c r="AA4353" s="198" t="s">
        <v>397</v>
      </c>
      <c r="AB4353" s="198" t="s">
        <v>423</v>
      </c>
      <c r="AC4353" s="198" t="s">
        <v>75</v>
      </c>
      <c r="AD4353" s="198"/>
      <c r="AE4353" s="4" t="s">
        <v>11224</v>
      </c>
    </row>
    <row r="4354" spans="1:31" ht="43" customHeight="1">
      <c r="A4354" s="35" t="s">
        <v>11210</v>
      </c>
      <c r="B4354" s="35" t="s">
        <v>11218</v>
      </c>
      <c r="C4354" s="35" t="s">
        <v>23</v>
      </c>
      <c r="D4354" s="35" t="s">
        <v>3475</v>
      </c>
      <c r="E4354" s="35" t="s">
        <v>114</v>
      </c>
      <c r="F4354" s="163" t="s">
        <v>2657</v>
      </c>
      <c r="G4354" s="163" t="s">
        <v>2657</v>
      </c>
      <c r="H4354" s="4" t="s">
        <v>521</v>
      </c>
      <c r="I4354" s="198"/>
      <c r="J4354" s="71" t="s">
        <v>2272</v>
      </c>
      <c r="K4354" s="71" t="s">
        <v>2272</v>
      </c>
      <c r="L4354" s="226" t="s">
        <v>2272</v>
      </c>
      <c r="M4354" s="226" t="s">
        <v>2272</v>
      </c>
      <c r="N4354" s="226" t="s">
        <v>2272</v>
      </c>
      <c r="O4354" s="226" t="s">
        <v>2272</v>
      </c>
      <c r="P4354" s="226" t="s">
        <v>2272</v>
      </c>
      <c r="Q4354" s="226" t="s">
        <v>2272</v>
      </c>
      <c r="R4354" s="226" t="s">
        <v>2272</v>
      </c>
      <c r="S4354" s="226" t="s">
        <v>2272</v>
      </c>
      <c r="T4354" s="226" t="s">
        <v>2272</v>
      </c>
      <c r="U4354" s="226" t="s">
        <v>2272</v>
      </c>
      <c r="V4354" s="226" t="s">
        <v>2272</v>
      </c>
      <c r="W4354" s="226" t="s">
        <v>2272</v>
      </c>
      <c r="X4354" s="226" t="s">
        <v>2272</v>
      </c>
      <c r="Y4354" s="226" t="s">
        <v>2272</v>
      </c>
      <c r="Z4354" s="226" t="s">
        <v>2272</v>
      </c>
      <c r="AA4354" s="198" t="s">
        <v>397</v>
      </c>
      <c r="AB4354" s="198" t="s">
        <v>187</v>
      </c>
      <c r="AC4354" s="198" t="s">
        <v>75</v>
      </c>
      <c r="AD4354" s="4" t="s">
        <v>11225</v>
      </c>
      <c r="AE4354" s="4" t="s">
        <v>11224</v>
      </c>
    </row>
    <row r="4355" spans="1:31" ht="43" customHeight="1">
      <c r="A4355" s="198" t="s">
        <v>11210</v>
      </c>
      <c r="B4355" s="198" t="s">
        <v>11220</v>
      </c>
      <c r="C4355" s="198" t="s">
        <v>23</v>
      </c>
      <c r="D4355" s="198" t="s">
        <v>24</v>
      </c>
      <c r="E4355" s="198" t="s">
        <v>44</v>
      </c>
      <c r="F4355" s="4" t="s">
        <v>54</v>
      </c>
      <c r="G4355" s="4" t="s">
        <v>54</v>
      </c>
      <c r="H4355" s="4" t="s">
        <v>521</v>
      </c>
      <c r="I4355" s="198"/>
      <c r="J4355" s="71" t="s">
        <v>2272</v>
      </c>
      <c r="K4355" s="71" t="s">
        <v>2272</v>
      </c>
      <c r="L4355" s="71" t="s">
        <v>2272</v>
      </c>
      <c r="M4355" s="71" t="s">
        <v>2272</v>
      </c>
      <c r="N4355" s="71" t="s">
        <v>2272</v>
      </c>
      <c r="O4355" s="71" t="s">
        <v>2272</v>
      </c>
      <c r="P4355" s="71" t="s">
        <v>2272</v>
      </c>
      <c r="Q4355" s="71">
        <v>1000</v>
      </c>
      <c r="R4355" s="71" t="s">
        <v>2272</v>
      </c>
      <c r="S4355" s="71" t="s">
        <v>2272</v>
      </c>
      <c r="T4355" s="71" t="s">
        <v>2272</v>
      </c>
      <c r="U4355" s="71" t="s">
        <v>2272</v>
      </c>
      <c r="V4355" s="71" t="s">
        <v>2272</v>
      </c>
      <c r="W4355" s="71" t="s">
        <v>2272</v>
      </c>
      <c r="X4355" s="71" t="s">
        <v>2272</v>
      </c>
      <c r="Y4355" s="71" t="s">
        <v>2272</v>
      </c>
      <c r="Z4355" s="71" t="s">
        <v>2272</v>
      </c>
      <c r="AA4355" s="198" t="s">
        <v>34</v>
      </c>
      <c r="AB4355" s="198" t="s">
        <v>34</v>
      </c>
      <c r="AC4355" s="71" t="s">
        <v>2272</v>
      </c>
      <c r="AD4355" s="198"/>
      <c r="AE4355" s="198"/>
    </row>
    <row r="4356" spans="1:31" ht="42" customHeight="1">
      <c r="A4356" s="198" t="s">
        <v>11210</v>
      </c>
      <c r="B4356" s="198" t="s">
        <v>11221</v>
      </c>
      <c r="C4356" s="198" t="s">
        <v>23</v>
      </c>
      <c r="D4356" s="198" t="s">
        <v>141</v>
      </c>
      <c r="E4356" s="198" t="s">
        <v>82</v>
      </c>
      <c r="F4356" s="198" t="s">
        <v>73</v>
      </c>
      <c r="G4356" s="198" t="s">
        <v>73</v>
      </c>
      <c r="H4356" s="4" t="s">
        <v>521</v>
      </c>
      <c r="I4356" s="198"/>
      <c r="J4356" s="71" t="s">
        <v>2272</v>
      </c>
      <c r="K4356" s="71" t="s">
        <v>2272</v>
      </c>
      <c r="L4356" s="71" t="s">
        <v>2272</v>
      </c>
      <c r="M4356" s="71" t="s">
        <v>2272</v>
      </c>
      <c r="N4356" s="71" t="s">
        <v>2272</v>
      </c>
      <c r="O4356" s="71" t="s">
        <v>2272</v>
      </c>
      <c r="P4356" s="71" t="s">
        <v>2272</v>
      </c>
      <c r="Q4356" s="71" t="s">
        <v>2272</v>
      </c>
      <c r="R4356" s="71" t="s">
        <v>2272</v>
      </c>
      <c r="S4356" s="71" t="s">
        <v>2272</v>
      </c>
      <c r="T4356" s="71" t="s">
        <v>2272</v>
      </c>
      <c r="U4356" s="71" t="s">
        <v>2272</v>
      </c>
      <c r="V4356" s="71" t="s">
        <v>2272</v>
      </c>
      <c r="W4356" s="71" t="s">
        <v>2272</v>
      </c>
      <c r="X4356" s="71" t="s">
        <v>2272</v>
      </c>
      <c r="Y4356" s="71" t="s">
        <v>2272</v>
      </c>
      <c r="Z4356" s="71" t="s">
        <v>2272</v>
      </c>
      <c r="AA4356" s="198" t="s">
        <v>402</v>
      </c>
      <c r="AB4356" s="198" t="s">
        <v>125</v>
      </c>
      <c r="AC4356" s="71" t="s">
        <v>2272</v>
      </c>
      <c r="AD4356" s="198"/>
      <c r="AE4356" s="198"/>
    </row>
    <row r="4357" spans="1:31" ht="42" customHeight="1">
      <c r="A4357" s="198" t="s">
        <v>11210</v>
      </c>
      <c r="B4357" s="198" t="s">
        <v>11222</v>
      </c>
      <c r="C4357" s="198" t="s">
        <v>23</v>
      </c>
      <c r="D4357" s="198" t="s">
        <v>1102</v>
      </c>
      <c r="E4357" s="198" t="s">
        <v>2647</v>
      </c>
      <c r="F4357" s="4" t="s">
        <v>2657</v>
      </c>
      <c r="G4357" s="4" t="s">
        <v>2657</v>
      </c>
      <c r="H4357" s="4" t="s">
        <v>522</v>
      </c>
      <c r="I4357" s="198"/>
      <c r="J4357" s="21">
        <v>0</v>
      </c>
      <c r="K4357" s="21">
        <v>0</v>
      </c>
      <c r="L4357" s="21">
        <v>0</v>
      </c>
      <c r="M4357" s="21">
        <v>0</v>
      </c>
      <c r="N4357" s="21">
        <v>0</v>
      </c>
      <c r="O4357" s="21">
        <v>0</v>
      </c>
      <c r="P4357" s="21">
        <v>0</v>
      </c>
      <c r="Q4357" s="21">
        <v>0</v>
      </c>
      <c r="R4357" s="21">
        <v>0</v>
      </c>
      <c r="S4357" s="21">
        <v>0</v>
      </c>
      <c r="T4357" s="21">
        <v>0</v>
      </c>
      <c r="U4357" s="21">
        <v>0</v>
      </c>
      <c r="V4357" s="21">
        <v>0</v>
      </c>
      <c r="W4357" s="21">
        <v>0</v>
      </c>
      <c r="X4357" s="21">
        <v>0</v>
      </c>
      <c r="Y4357" s="21">
        <v>0</v>
      </c>
      <c r="Z4357" s="71" t="s">
        <v>2272</v>
      </c>
      <c r="AA4357" s="198" t="s">
        <v>33</v>
      </c>
      <c r="AB4357" s="198" t="s">
        <v>423</v>
      </c>
      <c r="AC4357" s="71" t="s">
        <v>2272</v>
      </c>
      <c r="AD4357" s="198"/>
      <c r="AE4357" s="198"/>
    </row>
    <row r="4358" spans="1:31" ht="42" customHeight="1">
      <c r="A4358" s="198" t="s">
        <v>11210</v>
      </c>
      <c r="B4358" s="198" t="s">
        <v>11223</v>
      </c>
      <c r="C4358" s="198" t="s">
        <v>23</v>
      </c>
      <c r="D4358" s="198" t="s">
        <v>1238</v>
      </c>
      <c r="E4358" s="198" t="s">
        <v>135</v>
      </c>
      <c r="F4358" s="4" t="s">
        <v>2657</v>
      </c>
      <c r="G4358" s="4" t="s">
        <v>2657</v>
      </c>
      <c r="H4358" s="4" t="s">
        <v>521</v>
      </c>
      <c r="I4358" s="198"/>
      <c r="J4358" s="71" t="s">
        <v>2272</v>
      </c>
      <c r="K4358" s="71" t="s">
        <v>2272</v>
      </c>
      <c r="L4358" s="71" t="s">
        <v>2272</v>
      </c>
      <c r="M4358" s="71" t="s">
        <v>2272</v>
      </c>
      <c r="N4358" s="71" t="s">
        <v>2272</v>
      </c>
      <c r="O4358" s="71" t="s">
        <v>2272</v>
      </c>
      <c r="P4358" s="71" t="s">
        <v>2272</v>
      </c>
      <c r="Q4358" s="71" t="s">
        <v>2272</v>
      </c>
      <c r="R4358" s="71" t="s">
        <v>2272</v>
      </c>
      <c r="S4358" s="71" t="s">
        <v>2272</v>
      </c>
      <c r="T4358" s="71" t="s">
        <v>2272</v>
      </c>
      <c r="U4358" s="71" t="s">
        <v>2272</v>
      </c>
      <c r="V4358" s="71" t="s">
        <v>2272</v>
      </c>
      <c r="W4358" s="71" t="s">
        <v>2272</v>
      </c>
      <c r="X4358" s="71" t="s">
        <v>2272</v>
      </c>
      <c r="Y4358" s="71" t="s">
        <v>2272</v>
      </c>
      <c r="Z4358" s="71" t="s">
        <v>2272</v>
      </c>
      <c r="AA4358" s="71" t="s">
        <v>2272</v>
      </c>
      <c r="AB4358" s="71" t="s">
        <v>2272</v>
      </c>
      <c r="AC4358" s="71" t="s">
        <v>2272</v>
      </c>
      <c r="AD4358" s="198"/>
      <c r="AE4358" s="198"/>
    </row>
    <row r="4359" spans="1:31" ht="40.5" customHeight="1">
      <c r="A4359" s="198" t="s">
        <v>11233</v>
      </c>
      <c r="B4359" s="198" t="s">
        <v>11237</v>
      </c>
      <c r="C4359" s="198" t="s">
        <v>23</v>
      </c>
      <c r="D4359" s="198" t="s">
        <v>1241</v>
      </c>
      <c r="E4359" s="198" t="s">
        <v>114</v>
      </c>
      <c r="F4359" s="4" t="s">
        <v>54</v>
      </c>
      <c r="G4359" s="4" t="s">
        <v>54</v>
      </c>
      <c r="H4359" s="4" t="s">
        <v>521</v>
      </c>
      <c r="I4359" s="198"/>
      <c r="J4359" s="71" t="s">
        <v>2272</v>
      </c>
      <c r="K4359" s="71" t="s">
        <v>2272</v>
      </c>
      <c r="L4359" s="71" t="s">
        <v>2272</v>
      </c>
      <c r="M4359" s="71" t="s">
        <v>2272</v>
      </c>
      <c r="N4359" s="71" t="s">
        <v>2272</v>
      </c>
      <c r="O4359" s="71" t="s">
        <v>2272</v>
      </c>
      <c r="P4359" s="71" t="s">
        <v>2272</v>
      </c>
      <c r="Q4359" s="71" t="s">
        <v>2272</v>
      </c>
      <c r="R4359" s="71" t="s">
        <v>2272</v>
      </c>
      <c r="S4359" s="71" t="s">
        <v>2272</v>
      </c>
      <c r="T4359" s="71" t="s">
        <v>2272</v>
      </c>
      <c r="U4359" s="71" t="s">
        <v>2272</v>
      </c>
      <c r="V4359" s="71" t="s">
        <v>2272</v>
      </c>
      <c r="W4359" s="71" t="s">
        <v>2272</v>
      </c>
      <c r="X4359" s="71" t="s">
        <v>2272</v>
      </c>
      <c r="Y4359" s="71" t="s">
        <v>2272</v>
      </c>
      <c r="Z4359" s="21">
        <v>1.5</v>
      </c>
      <c r="AA4359" s="71" t="s">
        <v>2272</v>
      </c>
      <c r="AB4359" s="71" t="s">
        <v>2272</v>
      </c>
      <c r="AC4359" s="71" t="s">
        <v>2272</v>
      </c>
      <c r="AD4359" s="18" t="s">
        <v>11245</v>
      </c>
      <c r="AE4359" s="198"/>
    </row>
    <row r="4360" spans="1:31" ht="40.5" customHeight="1">
      <c r="A4360" s="198" t="s">
        <v>11233</v>
      </c>
      <c r="B4360" s="198" t="s">
        <v>11238</v>
      </c>
      <c r="C4360" s="198" t="s">
        <v>23</v>
      </c>
      <c r="D4360" s="198" t="s">
        <v>3475</v>
      </c>
      <c r="E4360" s="198" t="s">
        <v>114</v>
      </c>
      <c r="F4360" s="4" t="s">
        <v>2657</v>
      </c>
      <c r="G4360" s="4" t="s">
        <v>2657</v>
      </c>
      <c r="H4360" s="4" t="s">
        <v>521</v>
      </c>
      <c r="I4360" s="198"/>
      <c r="J4360" s="71" t="s">
        <v>2272</v>
      </c>
      <c r="K4360" s="71" t="s">
        <v>2272</v>
      </c>
      <c r="L4360" s="71" t="s">
        <v>2272</v>
      </c>
      <c r="M4360" s="71" t="s">
        <v>2272</v>
      </c>
      <c r="N4360" s="71" t="s">
        <v>2272</v>
      </c>
      <c r="O4360" s="71" t="s">
        <v>2272</v>
      </c>
      <c r="P4360" s="21">
        <v>1</v>
      </c>
      <c r="Q4360" s="21">
        <v>1</v>
      </c>
      <c r="R4360" s="71" t="s">
        <v>2272</v>
      </c>
      <c r="S4360" s="71" t="s">
        <v>2272</v>
      </c>
      <c r="T4360" s="71" t="s">
        <v>2272</v>
      </c>
      <c r="U4360" s="71" t="s">
        <v>2272</v>
      </c>
      <c r="V4360" s="71" t="s">
        <v>2272</v>
      </c>
      <c r="W4360" s="71" t="s">
        <v>2272</v>
      </c>
      <c r="X4360" s="71" t="s">
        <v>2272</v>
      </c>
      <c r="Y4360" s="71" t="s">
        <v>2272</v>
      </c>
      <c r="Z4360" s="21">
        <f>AVERAGE(10, 3)</f>
        <v>6.5</v>
      </c>
      <c r="AA4360" s="71" t="s">
        <v>2272</v>
      </c>
      <c r="AB4360" s="71" t="s">
        <v>2272</v>
      </c>
      <c r="AC4360" s="71" t="s">
        <v>2272</v>
      </c>
      <c r="AD4360" s="198"/>
      <c r="AE4360" s="198"/>
    </row>
    <row r="4361" spans="1:31" ht="40.5" customHeight="1">
      <c r="A4361" s="198" t="s">
        <v>11233</v>
      </c>
      <c r="B4361" s="198" t="s">
        <v>11239</v>
      </c>
      <c r="C4361" s="198" t="s">
        <v>23</v>
      </c>
      <c r="D4361" s="198" t="s">
        <v>2337</v>
      </c>
      <c r="E4361" s="198" t="s">
        <v>114</v>
      </c>
      <c r="F4361" s="4" t="s">
        <v>2657</v>
      </c>
      <c r="G4361" s="4" t="s">
        <v>2657</v>
      </c>
      <c r="H4361" s="4" t="s">
        <v>521</v>
      </c>
      <c r="I4361" s="198"/>
      <c r="J4361" s="71" t="s">
        <v>2272</v>
      </c>
      <c r="K4361" s="71" t="s">
        <v>2272</v>
      </c>
      <c r="L4361" s="71" t="s">
        <v>2272</v>
      </c>
      <c r="M4361" s="71" t="s">
        <v>2272</v>
      </c>
      <c r="N4361" s="71" t="s">
        <v>2272</v>
      </c>
      <c r="O4361" s="71" t="s">
        <v>2272</v>
      </c>
      <c r="P4361" s="71" t="s">
        <v>2272</v>
      </c>
      <c r="Q4361" s="71" t="s">
        <v>2272</v>
      </c>
      <c r="R4361" s="71" t="s">
        <v>2272</v>
      </c>
      <c r="S4361" s="71" t="s">
        <v>2272</v>
      </c>
      <c r="T4361" s="71" t="s">
        <v>2272</v>
      </c>
      <c r="U4361" s="71" t="s">
        <v>2272</v>
      </c>
      <c r="V4361" s="71" t="s">
        <v>2272</v>
      </c>
      <c r="W4361" s="71" t="s">
        <v>2272</v>
      </c>
      <c r="X4361" s="71" t="s">
        <v>2272</v>
      </c>
      <c r="Y4361" s="71" t="s">
        <v>2272</v>
      </c>
      <c r="Z4361" s="21">
        <v>7</v>
      </c>
      <c r="AA4361" s="71" t="s">
        <v>2272</v>
      </c>
      <c r="AB4361" s="71" t="s">
        <v>2272</v>
      </c>
      <c r="AC4361" s="71" t="s">
        <v>2272</v>
      </c>
      <c r="AD4361" s="198"/>
      <c r="AE4361" s="198"/>
    </row>
    <row r="4362" spans="1:31" ht="40.5" customHeight="1">
      <c r="A4362" s="198" t="s">
        <v>11233</v>
      </c>
      <c r="B4362" s="198" t="s">
        <v>11240</v>
      </c>
      <c r="C4362" s="198" t="s">
        <v>23</v>
      </c>
      <c r="D4362" s="198" t="s">
        <v>1241</v>
      </c>
      <c r="E4362" s="198" t="s">
        <v>114</v>
      </c>
      <c r="F4362" s="4" t="s">
        <v>2657</v>
      </c>
      <c r="G4362" s="4" t="s">
        <v>2657</v>
      </c>
      <c r="H4362" s="4" t="s">
        <v>521</v>
      </c>
      <c r="I4362" s="198"/>
      <c r="J4362" s="71" t="s">
        <v>2272</v>
      </c>
      <c r="K4362" s="71" t="s">
        <v>2272</v>
      </c>
      <c r="L4362" s="71" t="s">
        <v>2272</v>
      </c>
      <c r="M4362" s="71" t="s">
        <v>2272</v>
      </c>
      <c r="N4362" s="71" t="s">
        <v>2272</v>
      </c>
      <c r="O4362" s="71" t="s">
        <v>2272</v>
      </c>
      <c r="P4362" s="71" t="s">
        <v>2272</v>
      </c>
      <c r="Q4362" s="71" t="s">
        <v>2272</v>
      </c>
      <c r="R4362" s="71" t="s">
        <v>2272</v>
      </c>
      <c r="S4362" s="71" t="s">
        <v>2272</v>
      </c>
      <c r="T4362" s="71" t="s">
        <v>2272</v>
      </c>
      <c r="U4362" s="71" t="s">
        <v>2272</v>
      </c>
      <c r="V4362" s="71" t="s">
        <v>2272</v>
      </c>
      <c r="W4362" s="71" t="s">
        <v>2272</v>
      </c>
      <c r="X4362" s="71" t="s">
        <v>2272</v>
      </c>
      <c r="Y4362" s="71" t="s">
        <v>2272</v>
      </c>
      <c r="Z4362" s="21">
        <f>AVERAGE(7.5, 7)</f>
        <v>7.25</v>
      </c>
      <c r="AA4362" s="71" t="s">
        <v>2272</v>
      </c>
      <c r="AB4362" s="71" t="s">
        <v>2272</v>
      </c>
      <c r="AC4362" s="71" t="s">
        <v>2272</v>
      </c>
      <c r="AD4362" s="198"/>
      <c r="AE4362" s="198"/>
    </row>
    <row r="4363" spans="1:31" ht="44" customHeight="1">
      <c r="A4363" s="198" t="s">
        <v>11233</v>
      </c>
      <c r="B4363" s="198" t="s">
        <v>11241</v>
      </c>
      <c r="C4363" s="198" t="s">
        <v>23</v>
      </c>
      <c r="D4363" s="198" t="s">
        <v>1238</v>
      </c>
      <c r="E4363" s="198" t="s">
        <v>114</v>
      </c>
      <c r="F4363" s="4" t="s">
        <v>73</v>
      </c>
      <c r="G4363" s="4" t="s">
        <v>73</v>
      </c>
      <c r="H4363" s="4" t="s">
        <v>521</v>
      </c>
      <c r="I4363" s="198"/>
      <c r="J4363" s="71" t="s">
        <v>2272</v>
      </c>
      <c r="K4363" s="71" t="s">
        <v>2272</v>
      </c>
      <c r="L4363" s="71" t="s">
        <v>2272</v>
      </c>
      <c r="M4363" s="71" t="s">
        <v>2272</v>
      </c>
      <c r="N4363" s="71" t="s">
        <v>2272</v>
      </c>
      <c r="O4363" s="71" t="s">
        <v>2272</v>
      </c>
      <c r="P4363" s="71" t="s">
        <v>2272</v>
      </c>
      <c r="Q4363" s="71" t="s">
        <v>2272</v>
      </c>
      <c r="R4363" s="71" t="s">
        <v>2272</v>
      </c>
      <c r="S4363" s="71" t="s">
        <v>2272</v>
      </c>
      <c r="T4363" s="71" t="s">
        <v>2272</v>
      </c>
      <c r="U4363" s="71" t="s">
        <v>2272</v>
      </c>
      <c r="V4363" s="71" t="s">
        <v>2272</v>
      </c>
      <c r="W4363" s="71" t="s">
        <v>2272</v>
      </c>
      <c r="X4363" s="71" t="s">
        <v>2272</v>
      </c>
      <c r="Y4363" s="71" t="s">
        <v>2272</v>
      </c>
      <c r="Z4363" s="71" t="s">
        <v>2272</v>
      </c>
      <c r="AA4363" s="71" t="s">
        <v>2272</v>
      </c>
      <c r="AB4363" s="71" t="s">
        <v>2272</v>
      </c>
      <c r="AC4363" s="71" t="s">
        <v>2272</v>
      </c>
      <c r="AD4363" s="71" t="s">
        <v>11243</v>
      </c>
      <c r="AE4363" s="198"/>
    </row>
    <row r="4364" spans="1:31" ht="41.5" customHeight="1">
      <c r="A4364" s="198" t="s">
        <v>11233</v>
      </c>
      <c r="B4364" s="198" t="s">
        <v>11242</v>
      </c>
      <c r="C4364" s="198" t="s">
        <v>23</v>
      </c>
      <c r="D4364" s="198" t="s">
        <v>2227</v>
      </c>
      <c r="E4364" s="198" t="s">
        <v>114</v>
      </c>
      <c r="F4364" s="4" t="s">
        <v>73</v>
      </c>
      <c r="G4364" s="4" t="s">
        <v>73</v>
      </c>
      <c r="H4364" s="4" t="s">
        <v>521</v>
      </c>
      <c r="I4364" s="198"/>
      <c r="J4364" s="71" t="s">
        <v>2272</v>
      </c>
      <c r="K4364" s="71" t="s">
        <v>2272</v>
      </c>
      <c r="L4364" s="71" t="s">
        <v>2272</v>
      </c>
      <c r="M4364" s="71" t="s">
        <v>2272</v>
      </c>
      <c r="N4364" s="71" t="s">
        <v>2272</v>
      </c>
      <c r="O4364" s="71" t="s">
        <v>2272</v>
      </c>
      <c r="P4364" s="71" t="s">
        <v>2272</v>
      </c>
      <c r="Q4364" s="71" t="s">
        <v>2272</v>
      </c>
      <c r="R4364" s="71" t="s">
        <v>2272</v>
      </c>
      <c r="S4364" s="71" t="s">
        <v>2272</v>
      </c>
      <c r="T4364" s="71" t="s">
        <v>2272</v>
      </c>
      <c r="U4364" s="71" t="s">
        <v>2272</v>
      </c>
      <c r="V4364" s="71" t="s">
        <v>2272</v>
      </c>
      <c r="W4364" s="71" t="s">
        <v>2272</v>
      </c>
      <c r="X4364" s="71" t="s">
        <v>2272</v>
      </c>
      <c r="Y4364" s="71" t="s">
        <v>2272</v>
      </c>
      <c r="Z4364" s="71" t="s">
        <v>2272</v>
      </c>
      <c r="AA4364" s="71" t="s">
        <v>2272</v>
      </c>
      <c r="AB4364" s="71" t="s">
        <v>2272</v>
      </c>
      <c r="AC4364" s="71" t="s">
        <v>2272</v>
      </c>
      <c r="AD4364" s="71" t="s">
        <v>11244</v>
      </c>
      <c r="AE4364" s="198"/>
    </row>
    <row r="4365" spans="1:31" ht="42.5" customHeight="1">
      <c r="A4365" s="198" t="s">
        <v>11233</v>
      </c>
      <c r="B4365" s="198" t="s">
        <v>11246</v>
      </c>
      <c r="C4365" s="198" t="s">
        <v>23</v>
      </c>
      <c r="D4365" s="198" t="s">
        <v>404</v>
      </c>
      <c r="E4365" s="198" t="s">
        <v>114</v>
      </c>
      <c r="F4365" s="4" t="s">
        <v>2657</v>
      </c>
      <c r="G4365" s="4" t="s">
        <v>2657</v>
      </c>
      <c r="H4365" s="4" t="s">
        <v>521</v>
      </c>
      <c r="I4365" s="198"/>
      <c r="J4365" s="71" t="s">
        <v>2272</v>
      </c>
      <c r="K4365" s="71" t="s">
        <v>2272</v>
      </c>
      <c r="L4365" s="71" t="s">
        <v>2272</v>
      </c>
      <c r="M4365" s="71" t="s">
        <v>2272</v>
      </c>
      <c r="N4365" s="71" t="s">
        <v>2272</v>
      </c>
      <c r="O4365" s="71" t="s">
        <v>2272</v>
      </c>
      <c r="P4365" s="71" t="s">
        <v>2272</v>
      </c>
      <c r="Q4365" s="71" t="s">
        <v>2272</v>
      </c>
      <c r="R4365" s="71" t="s">
        <v>2272</v>
      </c>
      <c r="S4365" s="71" t="s">
        <v>2272</v>
      </c>
      <c r="T4365" s="71" t="s">
        <v>2272</v>
      </c>
      <c r="U4365" s="71" t="s">
        <v>2272</v>
      </c>
      <c r="V4365" s="71" t="s">
        <v>2272</v>
      </c>
      <c r="W4365" s="71" t="s">
        <v>2272</v>
      </c>
      <c r="X4365" s="71" t="s">
        <v>2272</v>
      </c>
      <c r="Y4365" s="71" t="s">
        <v>2272</v>
      </c>
      <c r="Z4365" s="71" t="s">
        <v>2272</v>
      </c>
      <c r="AA4365" s="71" t="s">
        <v>2272</v>
      </c>
      <c r="AB4365" s="71" t="s">
        <v>2272</v>
      </c>
      <c r="AC4365" s="71" t="s">
        <v>2272</v>
      </c>
      <c r="AD4365" s="198"/>
      <c r="AE4365" s="198"/>
    </row>
    <row r="4366" spans="1:31" ht="40" customHeight="1">
      <c r="A4366" s="198" t="s">
        <v>11233</v>
      </c>
      <c r="B4366" s="198" t="s">
        <v>11247</v>
      </c>
      <c r="C4366" s="198" t="s">
        <v>2651</v>
      </c>
      <c r="D4366" s="198" t="s">
        <v>2272</v>
      </c>
      <c r="E4366" s="198" t="s">
        <v>2272</v>
      </c>
      <c r="F4366" s="4" t="s">
        <v>2657</v>
      </c>
      <c r="G4366" s="4" t="s">
        <v>2657</v>
      </c>
      <c r="H4366" s="4" t="s">
        <v>521</v>
      </c>
      <c r="I4366" s="198"/>
      <c r="J4366" s="71" t="s">
        <v>2272</v>
      </c>
      <c r="K4366" s="71" t="s">
        <v>2272</v>
      </c>
      <c r="L4366" s="71" t="s">
        <v>2272</v>
      </c>
      <c r="M4366" s="71" t="s">
        <v>2272</v>
      </c>
      <c r="N4366" s="71" t="s">
        <v>2272</v>
      </c>
      <c r="O4366" s="71" t="s">
        <v>2272</v>
      </c>
      <c r="P4366" s="71" t="s">
        <v>2272</v>
      </c>
      <c r="Q4366" s="71" t="s">
        <v>2272</v>
      </c>
      <c r="R4366" s="71" t="s">
        <v>2272</v>
      </c>
      <c r="S4366" s="71" t="s">
        <v>2272</v>
      </c>
      <c r="T4366" s="71" t="s">
        <v>2272</v>
      </c>
      <c r="U4366" s="71" t="s">
        <v>2272</v>
      </c>
      <c r="V4366" s="71" t="s">
        <v>2272</v>
      </c>
      <c r="W4366" s="71" t="s">
        <v>2272</v>
      </c>
      <c r="X4366" s="71" t="s">
        <v>2272</v>
      </c>
      <c r="Y4366" s="71" t="s">
        <v>2272</v>
      </c>
      <c r="Z4366" s="71" t="s">
        <v>2272</v>
      </c>
      <c r="AA4366" s="198" t="s">
        <v>34</v>
      </c>
      <c r="AB4366" s="198" t="s">
        <v>187</v>
      </c>
      <c r="AC4366" s="71" t="s">
        <v>2272</v>
      </c>
      <c r="AD4366" s="198"/>
      <c r="AE4366" s="198"/>
    </row>
    <row r="4367" spans="1:31" ht="38" customHeight="1">
      <c r="A4367" s="198" t="s">
        <v>11251</v>
      </c>
      <c r="B4367" s="198" t="s">
        <v>11254</v>
      </c>
      <c r="C4367" s="198" t="s">
        <v>23</v>
      </c>
      <c r="D4367" s="198" t="s">
        <v>2227</v>
      </c>
      <c r="E4367" s="198" t="s">
        <v>128</v>
      </c>
      <c r="F4367" s="4" t="s">
        <v>2657</v>
      </c>
      <c r="G4367" s="4" t="s">
        <v>2657</v>
      </c>
      <c r="H4367" s="4" t="s">
        <v>521</v>
      </c>
      <c r="I4367" s="198"/>
      <c r="J4367" s="71" t="s">
        <v>2272</v>
      </c>
      <c r="K4367" s="71" t="s">
        <v>2272</v>
      </c>
      <c r="L4367" s="71" t="s">
        <v>2272</v>
      </c>
      <c r="M4367" s="71" t="s">
        <v>2272</v>
      </c>
      <c r="N4367" s="21">
        <v>5</v>
      </c>
      <c r="O4367" s="21">
        <v>5</v>
      </c>
      <c r="P4367" s="71" t="s">
        <v>2272</v>
      </c>
      <c r="Q4367" s="71" t="s">
        <v>2272</v>
      </c>
      <c r="R4367" s="71" t="s">
        <v>2272</v>
      </c>
      <c r="S4367" s="71" t="s">
        <v>2272</v>
      </c>
      <c r="T4367" s="71" t="s">
        <v>2272</v>
      </c>
      <c r="U4367" s="71" t="s">
        <v>2272</v>
      </c>
      <c r="V4367" s="71" t="s">
        <v>2272</v>
      </c>
      <c r="W4367" s="71" t="s">
        <v>2272</v>
      </c>
      <c r="X4367" s="71" t="s">
        <v>2272</v>
      </c>
      <c r="Y4367" s="71" t="s">
        <v>2272</v>
      </c>
      <c r="Z4367" s="71" t="s">
        <v>2272</v>
      </c>
      <c r="AA4367" s="198" t="s">
        <v>37</v>
      </c>
      <c r="AB4367" s="198" t="s">
        <v>84</v>
      </c>
      <c r="AC4367" s="71" t="s">
        <v>2272</v>
      </c>
      <c r="AD4367" s="4" t="s">
        <v>11260</v>
      </c>
      <c r="AE4367" s="198"/>
    </row>
    <row r="4368" spans="1:31" ht="38" customHeight="1">
      <c r="A4368" s="198" t="s">
        <v>11251</v>
      </c>
      <c r="B4368" s="198" t="s">
        <v>11255</v>
      </c>
      <c r="C4368" s="198" t="s">
        <v>23</v>
      </c>
      <c r="D4368" s="198" t="s">
        <v>26</v>
      </c>
      <c r="E4368" s="198" t="s">
        <v>128</v>
      </c>
      <c r="F4368" s="4" t="s">
        <v>27</v>
      </c>
      <c r="G4368" s="4" t="s">
        <v>27</v>
      </c>
      <c r="H4368" s="4" t="s">
        <v>521</v>
      </c>
      <c r="I4368" s="198"/>
      <c r="J4368" s="71" t="s">
        <v>2272</v>
      </c>
      <c r="K4368" s="71" t="s">
        <v>2272</v>
      </c>
      <c r="L4368" s="71" t="s">
        <v>2272</v>
      </c>
      <c r="M4368" s="71" t="s">
        <v>2272</v>
      </c>
      <c r="N4368" s="21">
        <v>5</v>
      </c>
      <c r="O4368" s="21">
        <v>5</v>
      </c>
      <c r="P4368" s="71" t="s">
        <v>2272</v>
      </c>
      <c r="Q4368" s="71" t="s">
        <v>2272</v>
      </c>
      <c r="R4368" s="71" t="s">
        <v>2272</v>
      </c>
      <c r="S4368" s="71" t="s">
        <v>2272</v>
      </c>
      <c r="T4368" s="71" t="s">
        <v>2272</v>
      </c>
      <c r="U4368" s="71" t="s">
        <v>2272</v>
      </c>
      <c r="V4368" s="71" t="s">
        <v>2272</v>
      </c>
      <c r="W4368" s="71" t="s">
        <v>2272</v>
      </c>
      <c r="X4368" s="71" t="s">
        <v>2272</v>
      </c>
      <c r="Y4368" s="71" t="s">
        <v>2272</v>
      </c>
      <c r="Z4368" s="21">
        <v>4.5</v>
      </c>
      <c r="AA4368" s="198" t="s">
        <v>186</v>
      </c>
      <c r="AB4368" s="198" t="s">
        <v>186</v>
      </c>
      <c r="AC4368" s="71" t="s">
        <v>2272</v>
      </c>
      <c r="AD4368" s="4" t="s">
        <v>11272</v>
      </c>
      <c r="AE4368" s="198"/>
    </row>
    <row r="4369" spans="1:31" ht="38" customHeight="1">
      <c r="A4369" s="198" t="s">
        <v>11251</v>
      </c>
      <c r="B4369" s="198" t="s">
        <v>11256</v>
      </c>
      <c r="C4369" s="198" t="s">
        <v>23</v>
      </c>
      <c r="D4369" s="198" t="s">
        <v>26</v>
      </c>
      <c r="E4369" s="198" t="s">
        <v>128</v>
      </c>
      <c r="F4369" s="4" t="s">
        <v>158</v>
      </c>
      <c r="G4369" s="4" t="s">
        <v>158</v>
      </c>
      <c r="H4369" s="4" t="s">
        <v>521</v>
      </c>
      <c r="I4369" s="198"/>
      <c r="J4369" s="71" t="s">
        <v>2272</v>
      </c>
      <c r="K4369" s="71" t="s">
        <v>2272</v>
      </c>
      <c r="L4369" s="71" t="s">
        <v>2272</v>
      </c>
      <c r="M4369" s="71" t="s">
        <v>2272</v>
      </c>
      <c r="N4369" s="21">
        <v>5</v>
      </c>
      <c r="O4369" s="21">
        <v>5</v>
      </c>
      <c r="P4369" s="71" t="s">
        <v>2272</v>
      </c>
      <c r="Q4369" s="71" t="s">
        <v>2272</v>
      </c>
      <c r="R4369" s="71" t="s">
        <v>2272</v>
      </c>
      <c r="S4369" s="71" t="s">
        <v>2272</v>
      </c>
      <c r="T4369" s="71" t="s">
        <v>2272</v>
      </c>
      <c r="U4369" s="71" t="s">
        <v>2272</v>
      </c>
      <c r="V4369" s="71" t="s">
        <v>2272</v>
      </c>
      <c r="W4369" s="71" t="s">
        <v>2272</v>
      </c>
      <c r="X4369" s="71" t="s">
        <v>2272</v>
      </c>
      <c r="Y4369" s="71" t="s">
        <v>2272</v>
      </c>
      <c r="Z4369" s="21">
        <v>4.5</v>
      </c>
      <c r="AA4369" s="198" t="s">
        <v>67</v>
      </c>
      <c r="AB4369" s="198" t="s">
        <v>34</v>
      </c>
      <c r="AC4369" s="71" t="s">
        <v>2272</v>
      </c>
      <c r="AD4369" s="198"/>
      <c r="AE4369" s="198"/>
    </row>
    <row r="4370" spans="1:31" ht="137" customHeight="1">
      <c r="A4370" s="198" t="s">
        <v>11251</v>
      </c>
      <c r="B4370" s="198" t="s">
        <v>11257</v>
      </c>
      <c r="C4370" s="198" t="s">
        <v>23</v>
      </c>
      <c r="D4370" s="198" t="s">
        <v>24</v>
      </c>
      <c r="E4370" s="198" t="s">
        <v>44</v>
      </c>
      <c r="F4370" s="4" t="s">
        <v>2657</v>
      </c>
      <c r="G4370" s="4" t="s">
        <v>2657</v>
      </c>
      <c r="H4370" s="4" t="s">
        <v>521</v>
      </c>
      <c r="I4370" s="198"/>
      <c r="J4370" s="71" t="s">
        <v>2272</v>
      </c>
      <c r="K4370" s="71" t="s">
        <v>2272</v>
      </c>
      <c r="L4370" s="71" t="s">
        <v>2272</v>
      </c>
      <c r="M4370" s="71" t="s">
        <v>2272</v>
      </c>
      <c r="N4370" s="71" t="s">
        <v>2272</v>
      </c>
      <c r="O4370" s="71" t="s">
        <v>2272</v>
      </c>
      <c r="P4370" s="71" t="s">
        <v>2272</v>
      </c>
      <c r="Q4370" s="71" t="s">
        <v>2272</v>
      </c>
      <c r="R4370" s="71" t="s">
        <v>2272</v>
      </c>
      <c r="S4370" s="71" t="s">
        <v>2272</v>
      </c>
      <c r="T4370" s="71" t="s">
        <v>2272</v>
      </c>
      <c r="U4370" s="71" t="s">
        <v>2272</v>
      </c>
      <c r="V4370" s="71" t="s">
        <v>2272</v>
      </c>
      <c r="W4370" s="71" t="s">
        <v>2272</v>
      </c>
      <c r="X4370" s="71" t="s">
        <v>2272</v>
      </c>
      <c r="Y4370" s="71" t="s">
        <v>2272</v>
      </c>
      <c r="Z4370" s="21">
        <v>2.3330000000000002</v>
      </c>
      <c r="AA4370" s="198" t="s">
        <v>186</v>
      </c>
      <c r="AB4370" s="198" t="s">
        <v>186</v>
      </c>
      <c r="AC4370" s="71" t="s">
        <v>2272</v>
      </c>
      <c r="AD4370" s="4" t="s">
        <v>11279</v>
      </c>
      <c r="AE4370" s="198"/>
    </row>
    <row r="4371" spans="1:31" ht="38" customHeight="1">
      <c r="A4371" s="198" t="s">
        <v>11251</v>
      </c>
      <c r="B4371" s="198" t="s">
        <v>11258</v>
      </c>
      <c r="C4371" s="198" t="s">
        <v>23</v>
      </c>
      <c r="D4371" s="198" t="s">
        <v>3475</v>
      </c>
      <c r="E4371" s="198" t="s">
        <v>114</v>
      </c>
      <c r="F4371" s="4" t="s">
        <v>73</v>
      </c>
      <c r="G4371" s="4" t="s">
        <v>73</v>
      </c>
      <c r="H4371" s="4" t="s">
        <v>521</v>
      </c>
      <c r="I4371" s="198"/>
      <c r="J4371" s="71" t="s">
        <v>2272</v>
      </c>
      <c r="K4371" s="71" t="s">
        <v>2272</v>
      </c>
      <c r="L4371" s="71" t="s">
        <v>2272</v>
      </c>
      <c r="M4371" s="71" t="s">
        <v>2272</v>
      </c>
      <c r="N4371" s="71" t="s">
        <v>2272</v>
      </c>
      <c r="O4371" s="71" t="s">
        <v>2272</v>
      </c>
      <c r="P4371" s="212">
        <f>2/(100*100)</f>
        <v>2.0000000000000001E-4</v>
      </c>
      <c r="Q4371" s="212">
        <f>2/(100*100)</f>
        <v>2.0000000000000001E-4</v>
      </c>
      <c r="R4371" s="71" t="s">
        <v>2272</v>
      </c>
      <c r="S4371" s="71" t="s">
        <v>2272</v>
      </c>
      <c r="T4371" s="71" t="s">
        <v>2272</v>
      </c>
      <c r="U4371" s="71" t="s">
        <v>2272</v>
      </c>
      <c r="V4371" s="71" t="s">
        <v>2272</v>
      </c>
      <c r="W4371" s="71" t="s">
        <v>2272</v>
      </c>
      <c r="X4371" s="71" t="s">
        <v>2272</v>
      </c>
      <c r="Y4371" s="71" t="s">
        <v>2272</v>
      </c>
      <c r="Z4371" s="21">
        <v>1</v>
      </c>
      <c r="AA4371" s="198" t="s">
        <v>34</v>
      </c>
      <c r="AB4371" s="198" t="s">
        <v>125</v>
      </c>
      <c r="AC4371" s="71" t="s">
        <v>2272</v>
      </c>
      <c r="AD4371" s="198" t="s">
        <v>11263</v>
      </c>
      <c r="AE4371" s="4" t="s">
        <v>11265</v>
      </c>
    </row>
    <row r="4372" spans="1:31" ht="38" customHeight="1">
      <c r="A4372" s="198" t="s">
        <v>11251</v>
      </c>
      <c r="B4372" s="198" t="s">
        <v>11259</v>
      </c>
      <c r="C4372" s="198" t="s">
        <v>23</v>
      </c>
      <c r="D4372" s="198" t="s">
        <v>3475</v>
      </c>
      <c r="E4372" s="198" t="s">
        <v>114</v>
      </c>
      <c r="F4372" s="4" t="s">
        <v>2658</v>
      </c>
      <c r="G4372" s="4" t="s">
        <v>2658</v>
      </c>
      <c r="H4372" s="4" t="s">
        <v>521</v>
      </c>
      <c r="I4372" s="198"/>
      <c r="J4372" s="71" t="s">
        <v>2272</v>
      </c>
      <c r="K4372" s="71" t="s">
        <v>2272</v>
      </c>
      <c r="L4372" s="71" t="s">
        <v>2272</v>
      </c>
      <c r="M4372" s="71" t="s">
        <v>2272</v>
      </c>
      <c r="N4372" s="71" t="s">
        <v>2272</v>
      </c>
      <c r="O4372" s="71" t="s">
        <v>2272</v>
      </c>
      <c r="P4372" s="212">
        <f>2/(100*100)</f>
        <v>2.0000000000000001E-4</v>
      </c>
      <c r="Q4372" s="212">
        <f>2/(100*100)</f>
        <v>2.0000000000000001E-4</v>
      </c>
      <c r="R4372" s="71" t="s">
        <v>2272</v>
      </c>
      <c r="S4372" s="71" t="s">
        <v>2272</v>
      </c>
      <c r="T4372" s="71" t="s">
        <v>2272</v>
      </c>
      <c r="U4372" s="71" t="s">
        <v>2272</v>
      </c>
      <c r="V4372" s="71" t="s">
        <v>2272</v>
      </c>
      <c r="W4372" s="71" t="s">
        <v>2272</v>
      </c>
      <c r="X4372" s="71" t="s">
        <v>2272</v>
      </c>
      <c r="Y4372" s="71" t="s">
        <v>2272</v>
      </c>
      <c r="Z4372" s="21">
        <v>1</v>
      </c>
      <c r="AA4372" s="198" t="s">
        <v>33</v>
      </c>
      <c r="AB4372" s="198" t="s">
        <v>402</v>
      </c>
      <c r="AC4372" s="71" t="s">
        <v>2272</v>
      </c>
      <c r="AD4372" s="198" t="s">
        <v>11263</v>
      </c>
      <c r="AE4372" s="4" t="s">
        <v>11265</v>
      </c>
    </row>
    <row r="4373" spans="1:31" ht="38" customHeight="1">
      <c r="A4373" s="198" t="s">
        <v>11251</v>
      </c>
      <c r="B4373" s="198" t="s">
        <v>11261</v>
      </c>
      <c r="C4373" s="198" t="s">
        <v>23</v>
      </c>
      <c r="D4373" s="198" t="s">
        <v>1241</v>
      </c>
      <c r="E4373" s="198" t="s">
        <v>114</v>
      </c>
      <c r="F4373" s="4" t="s">
        <v>2657</v>
      </c>
      <c r="G4373" s="4" t="s">
        <v>2657</v>
      </c>
      <c r="H4373" s="4" t="s">
        <v>521</v>
      </c>
      <c r="I4373" s="198"/>
      <c r="J4373" s="71" t="s">
        <v>2272</v>
      </c>
      <c r="K4373" s="71" t="s">
        <v>2272</v>
      </c>
      <c r="L4373" s="71" t="s">
        <v>2272</v>
      </c>
      <c r="M4373" s="71" t="s">
        <v>2272</v>
      </c>
      <c r="N4373" s="71" t="s">
        <v>2272</v>
      </c>
      <c r="O4373" s="71" t="s">
        <v>2272</v>
      </c>
      <c r="P4373" s="71" t="s">
        <v>2272</v>
      </c>
      <c r="Q4373" s="71" t="s">
        <v>2272</v>
      </c>
      <c r="R4373" s="71" t="s">
        <v>2272</v>
      </c>
      <c r="S4373" s="71" t="s">
        <v>2272</v>
      </c>
      <c r="T4373" s="71" t="s">
        <v>2272</v>
      </c>
      <c r="U4373" s="71" t="s">
        <v>2272</v>
      </c>
      <c r="V4373" s="71" t="s">
        <v>2272</v>
      </c>
      <c r="W4373" s="71" t="s">
        <v>2272</v>
      </c>
      <c r="X4373" s="71" t="s">
        <v>2272</v>
      </c>
      <c r="Y4373" s="71" t="s">
        <v>2272</v>
      </c>
      <c r="Z4373" s="71" t="s">
        <v>2272</v>
      </c>
      <c r="AA4373" s="198" t="s">
        <v>397</v>
      </c>
      <c r="AB4373" s="198" t="s">
        <v>125</v>
      </c>
      <c r="AC4373" s="198" t="s">
        <v>2308</v>
      </c>
      <c r="AD4373" s="198"/>
      <c r="AE4373" s="198"/>
    </row>
    <row r="4374" spans="1:31" ht="38" customHeight="1">
      <c r="A4374" s="198" t="s">
        <v>11251</v>
      </c>
      <c r="B4374" s="198" t="s">
        <v>11266</v>
      </c>
      <c r="C4374" s="198" t="s">
        <v>23</v>
      </c>
      <c r="D4374" s="198" t="s">
        <v>3475</v>
      </c>
      <c r="E4374" s="198" t="s">
        <v>114</v>
      </c>
      <c r="F4374" s="4" t="s">
        <v>2657</v>
      </c>
      <c r="G4374" s="4" t="s">
        <v>2657</v>
      </c>
      <c r="H4374" s="4" t="s">
        <v>521</v>
      </c>
      <c r="I4374" s="198"/>
      <c r="J4374" s="71" t="s">
        <v>2272</v>
      </c>
      <c r="K4374" s="71" t="s">
        <v>2272</v>
      </c>
      <c r="L4374" s="71" t="s">
        <v>2272</v>
      </c>
      <c r="M4374" s="71" t="s">
        <v>2272</v>
      </c>
      <c r="N4374" s="71" t="s">
        <v>2272</v>
      </c>
      <c r="O4374" s="71" t="s">
        <v>2272</v>
      </c>
      <c r="P4374" s="71" t="s">
        <v>2272</v>
      </c>
      <c r="Q4374" s="71" t="s">
        <v>2272</v>
      </c>
      <c r="R4374" s="71" t="s">
        <v>2272</v>
      </c>
      <c r="S4374" s="71" t="s">
        <v>2272</v>
      </c>
      <c r="T4374" s="71" t="s">
        <v>2272</v>
      </c>
      <c r="U4374" s="71" t="s">
        <v>2272</v>
      </c>
      <c r="V4374" s="71" t="s">
        <v>2272</v>
      </c>
      <c r="W4374" s="71" t="s">
        <v>2272</v>
      </c>
      <c r="X4374" s="71" t="s">
        <v>2272</v>
      </c>
      <c r="Y4374" s="71" t="s">
        <v>2272</v>
      </c>
      <c r="Z4374" s="71" t="s">
        <v>2272</v>
      </c>
      <c r="AA4374" s="198" t="s">
        <v>397</v>
      </c>
      <c r="AB4374" s="198" t="s">
        <v>125</v>
      </c>
      <c r="AC4374" s="198" t="s">
        <v>2308</v>
      </c>
      <c r="AD4374" s="198" t="s">
        <v>11264</v>
      </c>
      <c r="AE4374" s="198"/>
    </row>
    <row r="4375" spans="1:31" ht="35.5" customHeight="1">
      <c r="A4375" s="4" t="s">
        <v>11251</v>
      </c>
      <c r="B4375" s="198" t="s">
        <v>11267</v>
      </c>
      <c r="C4375" s="4" t="s">
        <v>30</v>
      </c>
      <c r="D4375" s="4" t="s">
        <v>29</v>
      </c>
      <c r="E4375" s="4" t="s">
        <v>2272</v>
      </c>
      <c r="F4375" s="4" t="s">
        <v>2272</v>
      </c>
      <c r="G4375" s="4" t="s">
        <v>2657</v>
      </c>
      <c r="H4375" s="4" t="s">
        <v>521</v>
      </c>
      <c r="I4375" s="198"/>
      <c r="J4375" s="71" t="s">
        <v>2272</v>
      </c>
      <c r="K4375" s="71" t="s">
        <v>2272</v>
      </c>
      <c r="L4375" s="71" t="s">
        <v>2272</v>
      </c>
      <c r="M4375" s="71" t="s">
        <v>2272</v>
      </c>
      <c r="N4375" s="71" t="s">
        <v>2272</v>
      </c>
      <c r="O4375" s="71" t="s">
        <v>2272</v>
      </c>
      <c r="P4375" s="71" t="s">
        <v>2272</v>
      </c>
      <c r="Q4375" s="71" t="s">
        <v>2272</v>
      </c>
      <c r="R4375" s="71" t="s">
        <v>2272</v>
      </c>
      <c r="S4375" s="71" t="s">
        <v>2272</v>
      </c>
      <c r="T4375" s="71" t="s">
        <v>2272</v>
      </c>
      <c r="U4375" s="71" t="s">
        <v>2272</v>
      </c>
      <c r="V4375" s="71" t="s">
        <v>2272</v>
      </c>
      <c r="W4375" s="71" t="s">
        <v>2272</v>
      </c>
      <c r="X4375" s="71" t="s">
        <v>2272</v>
      </c>
      <c r="Y4375" s="71" t="s">
        <v>2272</v>
      </c>
      <c r="Z4375" s="71" t="s">
        <v>2272</v>
      </c>
      <c r="AA4375" s="71" t="s">
        <v>2272</v>
      </c>
      <c r="AB4375" s="71" t="s">
        <v>2272</v>
      </c>
      <c r="AC4375" s="71" t="s">
        <v>2272</v>
      </c>
      <c r="AD4375" s="198"/>
      <c r="AE4375" s="198"/>
    </row>
    <row r="4376" spans="1:31" ht="35.5" customHeight="1">
      <c r="A4376" s="4" t="s">
        <v>11251</v>
      </c>
      <c r="B4376" s="198" t="s">
        <v>11268</v>
      </c>
      <c r="C4376" s="4" t="s">
        <v>23</v>
      </c>
      <c r="D4376" s="4" t="s">
        <v>2342</v>
      </c>
      <c r="E4376" s="4" t="s">
        <v>2272</v>
      </c>
      <c r="F4376" s="4" t="s">
        <v>2272</v>
      </c>
      <c r="G4376" s="4" t="s">
        <v>2657</v>
      </c>
      <c r="H4376" s="4" t="s">
        <v>521</v>
      </c>
      <c r="I4376" s="198"/>
      <c r="J4376" s="71" t="s">
        <v>2272</v>
      </c>
      <c r="K4376" s="71" t="s">
        <v>2272</v>
      </c>
      <c r="L4376" s="71" t="s">
        <v>2272</v>
      </c>
      <c r="M4376" s="71" t="s">
        <v>2272</v>
      </c>
      <c r="N4376" s="71" t="s">
        <v>2272</v>
      </c>
      <c r="O4376" s="71" t="s">
        <v>2272</v>
      </c>
      <c r="P4376" s="71" t="s">
        <v>2272</v>
      </c>
      <c r="Q4376" s="71" t="s">
        <v>2272</v>
      </c>
      <c r="R4376" s="71" t="s">
        <v>2272</v>
      </c>
      <c r="S4376" s="71" t="s">
        <v>2272</v>
      </c>
      <c r="T4376" s="71" t="s">
        <v>2272</v>
      </c>
      <c r="U4376" s="71" t="s">
        <v>2272</v>
      </c>
      <c r="V4376" s="71" t="s">
        <v>2272</v>
      </c>
      <c r="W4376" s="71" t="s">
        <v>2272</v>
      </c>
      <c r="X4376" s="71" t="s">
        <v>2272</v>
      </c>
      <c r="Y4376" s="71" t="s">
        <v>2272</v>
      </c>
      <c r="Z4376" s="71" t="s">
        <v>2272</v>
      </c>
      <c r="AA4376" s="71" t="s">
        <v>2272</v>
      </c>
      <c r="AB4376" s="71" t="s">
        <v>2272</v>
      </c>
      <c r="AC4376" s="71" t="s">
        <v>2272</v>
      </c>
      <c r="AD4376" s="198"/>
      <c r="AE4376" s="198"/>
    </row>
    <row r="4377" spans="1:31" ht="35.5" customHeight="1">
      <c r="A4377" s="4" t="s">
        <v>11251</v>
      </c>
      <c r="B4377" s="198" t="s">
        <v>11269</v>
      </c>
      <c r="C4377" s="4" t="s">
        <v>23</v>
      </c>
      <c r="D4377" s="4" t="s">
        <v>25</v>
      </c>
      <c r="E4377" s="4" t="s">
        <v>2272</v>
      </c>
      <c r="F4377" s="4" t="s">
        <v>2272</v>
      </c>
      <c r="G4377" s="4" t="s">
        <v>2657</v>
      </c>
      <c r="H4377" s="4" t="s">
        <v>521</v>
      </c>
      <c r="I4377" s="198"/>
      <c r="J4377" s="71" t="s">
        <v>2272</v>
      </c>
      <c r="K4377" s="71" t="s">
        <v>2272</v>
      </c>
      <c r="L4377" s="71" t="s">
        <v>2272</v>
      </c>
      <c r="M4377" s="71" t="s">
        <v>2272</v>
      </c>
      <c r="N4377" s="71" t="s">
        <v>2272</v>
      </c>
      <c r="O4377" s="71" t="s">
        <v>2272</v>
      </c>
      <c r="P4377" s="71" t="s">
        <v>2272</v>
      </c>
      <c r="Q4377" s="71" t="s">
        <v>2272</v>
      </c>
      <c r="R4377" s="71" t="s">
        <v>2272</v>
      </c>
      <c r="S4377" s="71" t="s">
        <v>2272</v>
      </c>
      <c r="T4377" s="71" t="s">
        <v>2272</v>
      </c>
      <c r="U4377" s="71" t="s">
        <v>2272</v>
      </c>
      <c r="V4377" s="71" t="s">
        <v>2272</v>
      </c>
      <c r="W4377" s="71" t="s">
        <v>2272</v>
      </c>
      <c r="X4377" s="71" t="s">
        <v>2272</v>
      </c>
      <c r="Y4377" s="71" t="s">
        <v>2272</v>
      </c>
      <c r="Z4377" s="71" t="s">
        <v>2272</v>
      </c>
      <c r="AA4377" s="71" t="s">
        <v>2272</v>
      </c>
      <c r="AB4377" s="71" t="s">
        <v>2272</v>
      </c>
      <c r="AC4377" s="71" t="s">
        <v>2272</v>
      </c>
      <c r="AD4377" s="4" t="s">
        <v>11271</v>
      </c>
      <c r="AE4377" s="198"/>
    </row>
    <row r="4378" spans="1:31" ht="35.5" customHeight="1">
      <c r="A4378" s="4" t="s">
        <v>11251</v>
      </c>
      <c r="B4378" s="198" t="s">
        <v>11270</v>
      </c>
      <c r="C4378" s="4" t="s">
        <v>23</v>
      </c>
      <c r="D4378" s="4" t="s">
        <v>3471</v>
      </c>
      <c r="E4378" s="4" t="s">
        <v>860</v>
      </c>
      <c r="F4378" s="4" t="s">
        <v>2272</v>
      </c>
      <c r="G4378" s="4" t="s">
        <v>2657</v>
      </c>
      <c r="H4378" s="4" t="s">
        <v>521</v>
      </c>
      <c r="I4378" s="198"/>
      <c r="J4378" s="71" t="s">
        <v>2272</v>
      </c>
      <c r="K4378" s="71" t="s">
        <v>2272</v>
      </c>
      <c r="L4378" s="71" t="s">
        <v>2272</v>
      </c>
      <c r="M4378" s="71" t="s">
        <v>2272</v>
      </c>
      <c r="N4378" s="71" t="s">
        <v>2272</v>
      </c>
      <c r="O4378" s="71" t="s">
        <v>2272</v>
      </c>
      <c r="P4378" s="71" t="s">
        <v>2272</v>
      </c>
      <c r="Q4378" s="71" t="s">
        <v>2272</v>
      </c>
      <c r="R4378" s="71" t="s">
        <v>2272</v>
      </c>
      <c r="S4378" s="71" t="s">
        <v>2272</v>
      </c>
      <c r="T4378" s="71" t="s">
        <v>2272</v>
      </c>
      <c r="U4378" s="71" t="s">
        <v>2272</v>
      </c>
      <c r="V4378" s="71" t="s">
        <v>2272</v>
      </c>
      <c r="W4378" s="71" t="s">
        <v>2272</v>
      </c>
      <c r="X4378" s="71" t="s">
        <v>2272</v>
      </c>
      <c r="Y4378" s="71" t="s">
        <v>2272</v>
      </c>
      <c r="Z4378" s="71" t="s">
        <v>2272</v>
      </c>
      <c r="AA4378" s="71" t="s">
        <v>2272</v>
      </c>
      <c r="AB4378" s="71" t="s">
        <v>2272</v>
      </c>
      <c r="AC4378" s="71" t="s">
        <v>2272</v>
      </c>
      <c r="AD4378" s="198"/>
      <c r="AE4378" s="198"/>
    </row>
    <row r="4379" spans="1:31" ht="50.5" customHeight="1">
      <c r="A4379" s="4" t="s">
        <v>11344</v>
      </c>
      <c r="B4379" s="4" t="s">
        <v>11348</v>
      </c>
      <c r="C4379" s="198" t="s">
        <v>23</v>
      </c>
      <c r="D4379" s="198" t="s">
        <v>142</v>
      </c>
      <c r="E4379" s="198" t="s">
        <v>135</v>
      </c>
      <c r="F4379" s="4" t="s">
        <v>2657</v>
      </c>
      <c r="G4379" s="4" t="s">
        <v>2657</v>
      </c>
      <c r="H4379" s="198" t="s">
        <v>521</v>
      </c>
      <c r="I4379" s="98"/>
      <c r="J4379" s="198" t="s">
        <v>2272</v>
      </c>
      <c r="K4379" s="198" t="s">
        <v>2272</v>
      </c>
      <c r="L4379" s="198" t="s">
        <v>2272</v>
      </c>
      <c r="M4379" s="198" t="s">
        <v>2272</v>
      </c>
      <c r="N4379" s="198" t="s">
        <v>2272</v>
      </c>
      <c r="O4379" s="198" t="s">
        <v>2272</v>
      </c>
      <c r="P4379" s="198" t="s">
        <v>2272</v>
      </c>
      <c r="Q4379" s="198" t="s">
        <v>2272</v>
      </c>
      <c r="R4379" s="198" t="s">
        <v>2272</v>
      </c>
      <c r="S4379" s="198" t="s">
        <v>2272</v>
      </c>
      <c r="T4379" s="198" t="s">
        <v>2272</v>
      </c>
      <c r="U4379" s="198" t="s">
        <v>2272</v>
      </c>
      <c r="V4379" s="198" t="s">
        <v>2272</v>
      </c>
      <c r="W4379" s="198" t="s">
        <v>2272</v>
      </c>
      <c r="X4379" s="198" t="s">
        <v>2272</v>
      </c>
      <c r="Y4379" s="198" t="s">
        <v>2272</v>
      </c>
      <c r="Z4379" s="198" t="s">
        <v>2272</v>
      </c>
      <c r="AA4379" s="198" t="s">
        <v>2272</v>
      </c>
      <c r="AB4379" s="198" t="s">
        <v>2272</v>
      </c>
      <c r="AC4379" s="198" t="s">
        <v>2272</v>
      </c>
      <c r="AD4379" s="4"/>
      <c r="AE4379" s="4"/>
    </row>
    <row r="4380" spans="1:31" ht="50.5" customHeight="1">
      <c r="A4380" s="4" t="s">
        <v>11345</v>
      </c>
      <c r="B4380" s="4" t="s">
        <v>11349</v>
      </c>
      <c r="C4380" s="198" t="s">
        <v>23</v>
      </c>
      <c r="D4380" s="198" t="s">
        <v>1241</v>
      </c>
      <c r="E4380" s="198" t="s">
        <v>2647</v>
      </c>
      <c r="F4380" s="4" t="s">
        <v>2657</v>
      </c>
      <c r="G4380" s="4" t="s">
        <v>2657</v>
      </c>
      <c r="H4380" s="198" t="s">
        <v>521</v>
      </c>
      <c r="I4380" s="98"/>
      <c r="J4380" s="198" t="s">
        <v>2272</v>
      </c>
      <c r="K4380" s="198" t="s">
        <v>2272</v>
      </c>
      <c r="L4380" s="198" t="s">
        <v>2272</v>
      </c>
      <c r="M4380" s="198" t="s">
        <v>2272</v>
      </c>
      <c r="N4380" s="21">
        <v>0.5</v>
      </c>
      <c r="O4380" s="198" t="s">
        <v>2272</v>
      </c>
      <c r="P4380" s="198" t="s">
        <v>2272</v>
      </c>
      <c r="Q4380" s="198" t="s">
        <v>2272</v>
      </c>
      <c r="R4380" s="198" t="s">
        <v>2272</v>
      </c>
      <c r="S4380" s="198" t="s">
        <v>2272</v>
      </c>
      <c r="T4380" s="198" t="s">
        <v>2272</v>
      </c>
      <c r="U4380" s="198" t="s">
        <v>2272</v>
      </c>
      <c r="V4380" s="198" t="s">
        <v>2272</v>
      </c>
      <c r="W4380" s="198" t="s">
        <v>2272</v>
      </c>
      <c r="X4380" s="198" t="s">
        <v>2272</v>
      </c>
      <c r="Y4380" s="198" t="s">
        <v>2272</v>
      </c>
      <c r="Z4380" s="21" t="s">
        <v>2398</v>
      </c>
      <c r="AA4380" s="198" t="s">
        <v>2272</v>
      </c>
      <c r="AB4380" s="198" t="s">
        <v>2272</v>
      </c>
      <c r="AC4380" s="198" t="s">
        <v>2272</v>
      </c>
      <c r="AD4380" s="4"/>
      <c r="AE4380" s="4"/>
    </row>
    <row r="4381" spans="1:31" ht="50.5" customHeight="1">
      <c r="A4381" s="4" t="s">
        <v>11345</v>
      </c>
      <c r="B4381" s="4" t="s">
        <v>11350</v>
      </c>
      <c r="C4381" s="198" t="s">
        <v>23</v>
      </c>
      <c r="D4381" s="198" t="s">
        <v>1102</v>
      </c>
      <c r="E4381" s="198" t="s">
        <v>135</v>
      </c>
      <c r="F4381" s="4" t="s">
        <v>73</v>
      </c>
      <c r="G4381" s="4" t="s">
        <v>73</v>
      </c>
      <c r="H4381" s="198" t="s">
        <v>522</v>
      </c>
      <c r="I4381" s="98"/>
      <c r="J4381" s="21">
        <v>0</v>
      </c>
      <c r="K4381" s="21">
        <v>0</v>
      </c>
      <c r="L4381" s="21">
        <v>0</v>
      </c>
      <c r="M4381" s="21">
        <v>0</v>
      </c>
      <c r="N4381" s="21">
        <v>0</v>
      </c>
      <c r="O4381" s="21">
        <v>0</v>
      </c>
      <c r="P4381" s="21">
        <v>0</v>
      </c>
      <c r="Q4381" s="21">
        <v>0</v>
      </c>
      <c r="R4381" s="21">
        <v>0</v>
      </c>
      <c r="S4381" s="21">
        <v>0</v>
      </c>
      <c r="T4381" s="21">
        <v>0</v>
      </c>
      <c r="U4381" s="21">
        <v>0</v>
      </c>
      <c r="V4381" s="21">
        <v>0</v>
      </c>
      <c r="W4381" s="21">
        <v>0</v>
      </c>
      <c r="X4381" s="21">
        <v>0</v>
      </c>
      <c r="Y4381" s="21">
        <v>0</v>
      </c>
      <c r="Z4381" s="198" t="s">
        <v>2272</v>
      </c>
      <c r="AA4381" s="198" t="s">
        <v>2272</v>
      </c>
      <c r="AB4381" s="198" t="s">
        <v>2272</v>
      </c>
      <c r="AC4381" s="198" t="s">
        <v>2272</v>
      </c>
      <c r="AD4381" s="4"/>
      <c r="AE4381" s="4"/>
    </row>
    <row r="4382" spans="1:31" ht="50.5" customHeight="1">
      <c r="A4382" s="4" t="s">
        <v>11346</v>
      </c>
      <c r="B4382" s="4" t="s">
        <v>11351</v>
      </c>
      <c r="C4382" s="198" t="s">
        <v>23</v>
      </c>
      <c r="D4382" s="198" t="s">
        <v>142</v>
      </c>
      <c r="E4382" s="198" t="s">
        <v>135</v>
      </c>
      <c r="F4382" s="4" t="s">
        <v>2657</v>
      </c>
      <c r="G4382" s="4" t="s">
        <v>2657</v>
      </c>
      <c r="H4382" s="198" t="s">
        <v>522</v>
      </c>
      <c r="I4382" s="98" t="s">
        <v>9965</v>
      </c>
      <c r="J4382" s="21">
        <v>0</v>
      </c>
      <c r="K4382" s="21">
        <v>0</v>
      </c>
      <c r="L4382" s="21">
        <v>0</v>
      </c>
      <c r="M4382" s="21">
        <v>0</v>
      </c>
      <c r="N4382" s="21">
        <v>0</v>
      </c>
      <c r="O4382" s="21">
        <v>0</v>
      </c>
      <c r="P4382" s="21">
        <v>0</v>
      </c>
      <c r="Q4382" s="21">
        <v>0</v>
      </c>
      <c r="R4382" s="21">
        <v>0</v>
      </c>
      <c r="S4382" s="21">
        <v>0</v>
      </c>
      <c r="T4382" s="21">
        <v>0</v>
      </c>
      <c r="U4382" s="21">
        <v>0</v>
      </c>
      <c r="V4382" s="21">
        <v>0</v>
      </c>
      <c r="W4382" s="21">
        <v>0</v>
      </c>
      <c r="X4382" s="21">
        <v>0</v>
      </c>
      <c r="Y4382" s="21">
        <v>0</v>
      </c>
      <c r="Z4382" s="198" t="s">
        <v>2272</v>
      </c>
      <c r="AA4382" s="198" t="s">
        <v>2272</v>
      </c>
      <c r="AB4382" s="198" t="s">
        <v>2272</v>
      </c>
      <c r="AC4382" s="198" t="s">
        <v>2272</v>
      </c>
      <c r="AD4382" s="4"/>
      <c r="AE4382" s="4"/>
    </row>
    <row r="4383" spans="1:31" ht="50.5" customHeight="1">
      <c r="A4383" s="4" t="s">
        <v>11346</v>
      </c>
      <c r="B4383" s="4" t="s">
        <v>11352</v>
      </c>
      <c r="C4383" s="198" t="s">
        <v>23</v>
      </c>
      <c r="D4383" s="198" t="s">
        <v>142</v>
      </c>
      <c r="E4383" s="198" t="s">
        <v>135</v>
      </c>
      <c r="F4383" s="4" t="s">
        <v>2657</v>
      </c>
      <c r="G4383" s="4" t="s">
        <v>2657</v>
      </c>
      <c r="H4383" s="198" t="s">
        <v>521</v>
      </c>
      <c r="I4383" s="98" t="s">
        <v>9966</v>
      </c>
      <c r="J4383" s="198" t="s">
        <v>2272</v>
      </c>
      <c r="K4383" s="198" t="s">
        <v>2272</v>
      </c>
      <c r="L4383" s="198" t="s">
        <v>2272</v>
      </c>
      <c r="M4383" s="198" t="s">
        <v>2272</v>
      </c>
      <c r="N4383" s="198" t="s">
        <v>2272</v>
      </c>
      <c r="O4383" s="198" t="s">
        <v>2272</v>
      </c>
      <c r="P4383" s="198" t="s">
        <v>2272</v>
      </c>
      <c r="Q4383" s="198" t="s">
        <v>2272</v>
      </c>
      <c r="R4383" s="198" t="s">
        <v>2272</v>
      </c>
      <c r="S4383" s="198" t="s">
        <v>2272</v>
      </c>
      <c r="T4383" s="198" t="s">
        <v>2272</v>
      </c>
      <c r="U4383" s="21">
        <v>10</v>
      </c>
      <c r="V4383" s="198" t="s">
        <v>2272</v>
      </c>
      <c r="W4383" s="21">
        <f>100*U4383/150</f>
        <v>6.666666666666667</v>
      </c>
      <c r="X4383" s="198" t="s">
        <v>2272</v>
      </c>
      <c r="Y4383" s="21">
        <f>U4383/'Record info'!K1782</f>
        <v>1.4705882352941178</v>
      </c>
      <c r="Z4383" s="198" t="s">
        <v>2272</v>
      </c>
      <c r="AA4383" s="198" t="s">
        <v>397</v>
      </c>
      <c r="AB4383" s="198" t="s">
        <v>187</v>
      </c>
      <c r="AC4383" s="198" t="s">
        <v>2272</v>
      </c>
      <c r="AD4383" s="4"/>
      <c r="AE4383" s="4"/>
    </row>
    <row r="4384" spans="1:31" ht="50.5" customHeight="1">
      <c r="A4384" s="4" t="s">
        <v>11347</v>
      </c>
      <c r="B4384" s="4" t="s">
        <v>11353</v>
      </c>
      <c r="C4384" s="198" t="s">
        <v>23</v>
      </c>
      <c r="D4384" s="198" t="s">
        <v>2654</v>
      </c>
      <c r="E4384" s="198" t="s">
        <v>82</v>
      </c>
      <c r="F4384" s="4" t="s">
        <v>27</v>
      </c>
      <c r="G4384" s="4" t="s">
        <v>27</v>
      </c>
      <c r="H4384" s="198" t="s">
        <v>521</v>
      </c>
      <c r="I4384" s="98" t="s">
        <v>9969</v>
      </c>
      <c r="J4384" s="198" t="s">
        <v>2272</v>
      </c>
      <c r="K4384" s="198" t="s">
        <v>2272</v>
      </c>
      <c r="L4384" s="198" t="s">
        <v>2272</v>
      </c>
      <c r="M4384" s="198" t="s">
        <v>2272</v>
      </c>
      <c r="N4384" s="198" t="s">
        <v>2272</v>
      </c>
      <c r="O4384" s="198" t="s">
        <v>2272</v>
      </c>
      <c r="P4384" s="198" t="s">
        <v>2272</v>
      </c>
      <c r="Q4384" s="198" t="s">
        <v>2272</v>
      </c>
      <c r="R4384" s="198" t="s">
        <v>2272</v>
      </c>
      <c r="S4384" s="198" t="s">
        <v>2272</v>
      </c>
      <c r="T4384" s="198" t="s">
        <v>2272</v>
      </c>
      <c r="U4384" s="198" t="s">
        <v>2272</v>
      </c>
      <c r="V4384" s="198" t="s">
        <v>2272</v>
      </c>
      <c r="W4384" s="198" t="s">
        <v>2272</v>
      </c>
      <c r="X4384" s="198" t="s">
        <v>2272</v>
      </c>
      <c r="Y4384" s="198" t="s">
        <v>2272</v>
      </c>
      <c r="Z4384" s="198" t="s">
        <v>2272</v>
      </c>
      <c r="AA4384" s="198" t="s">
        <v>2272</v>
      </c>
      <c r="AB4384" s="198" t="s">
        <v>2272</v>
      </c>
      <c r="AC4384" s="198" t="s">
        <v>2272</v>
      </c>
      <c r="AD4384" s="4"/>
      <c r="AE4384" s="4"/>
    </row>
    <row r="4385" spans="1:31" ht="50.5" customHeight="1">
      <c r="A4385" s="4" t="s">
        <v>11347</v>
      </c>
      <c r="B4385" s="4" t="s">
        <v>11354</v>
      </c>
      <c r="C4385" s="198" t="s">
        <v>23</v>
      </c>
      <c r="D4385" s="198" t="s">
        <v>4157</v>
      </c>
      <c r="E4385" s="198" t="s">
        <v>2644</v>
      </c>
      <c r="F4385" s="4" t="s">
        <v>73</v>
      </c>
      <c r="G4385" s="4" t="s">
        <v>73</v>
      </c>
      <c r="H4385" s="198" t="s">
        <v>521</v>
      </c>
      <c r="I4385" s="98" t="s">
        <v>9969</v>
      </c>
      <c r="J4385" s="198" t="s">
        <v>2272</v>
      </c>
      <c r="K4385" s="198" t="s">
        <v>2272</v>
      </c>
      <c r="L4385" s="198" t="s">
        <v>2272</v>
      </c>
      <c r="M4385" s="198" t="s">
        <v>2272</v>
      </c>
      <c r="N4385" s="198" t="s">
        <v>2272</v>
      </c>
      <c r="O4385" s="198" t="s">
        <v>2272</v>
      </c>
      <c r="P4385" s="198" t="s">
        <v>2272</v>
      </c>
      <c r="Q4385" s="198" t="s">
        <v>2272</v>
      </c>
      <c r="R4385" s="198" t="s">
        <v>2272</v>
      </c>
      <c r="S4385" s="198" t="s">
        <v>2272</v>
      </c>
      <c r="T4385" s="198" t="s">
        <v>2272</v>
      </c>
      <c r="U4385" s="198" t="s">
        <v>2272</v>
      </c>
      <c r="V4385" s="198" t="s">
        <v>2272</v>
      </c>
      <c r="W4385" s="198" t="s">
        <v>2272</v>
      </c>
      <c r="X4385" s="198" t="s">
        <v>2272</v>
      </c>
      <c r="Y4385" s="198" t="s">
        <v>2272</v>
      </c>
      <c r="Z4385" s="198" t="s">
        <v>2272</v>
      </c>
      <c r="AA4385" s="198" t="s">
        <v>2272</v>
      </c>
      <c r="AB4385" s="198" t="s">
        <v>2272</v>
      </c>
      <c r="AC4385" s="198" t="s">
        <v>2272</v>
      </c>
      <c r="AD4385" s="4"/>
      <c r="AE4385" s="4"/>
    </row>
    <row r="4386" spans="1:31" ht="50.5" customHeight="1">
      <c r="A4386" s="4" t="s">
        <v>11347</v>
      </c>
      <c r="B4386" s="4" t="s">
        <v>11355</v>
      </c>
      <c r="C4386" s="198" t="s">
        <v>23</v>
      </c>
      <c r="D4386" s="198" t="s">
        <v>2654</v>
      </c>
      <c r="E4386" s="198" t="s">
        <v>82</v>
      </c>
      <c r="F4386" s="4" t="s">
        <v>27</v>
      </c>
      <c r="G4386" s="4" t="s">
        <v>27</v>
      </c>
      <c r="H4386" s="198" t="s">
        <v>522</v>
      </c>
      <c r="I4386" s="98" t="s">
        <v>9970</v>
      </c>
      <c r="J4386" s="21">
        <v>0</v>
      </c>
      <c r="K4386" s="21">
        <v>0</v>
      </c>
      <c r="L4386" s="21">
        <v>0</v>
      </c>
      <c r="M4386" s="21">
        <v>0</v>
      </c>
      <c r="N4386" s="21">
        <v>0</v>
      </c>
      <c r="O4386" s="21">
        <v>0</v>
      </c>
      <c r="P4386" s="21">
        <v>0</v>
      </c>
      <c r="Q4386" s="21">
        <v>0</v>
      </c>
      <c r="R4386" s="21">
        <v>0</v>
      </c>
      <c r="S4386" s="21">
        <v>0</v>
      </c>
      <c r="T4386" s="21">
        <v>0</v>
      </c>
      <c r="U4386" s="21">
        <v>0</v>
      </c>
      <c r="V4386" s="21">
        <v>0</v>
      </c>
      <c r="W4386" s="21">
        <v>0</v>
      </c>
      <c r="X4386" s="21">
        <v>0</v>
      </c>
      <c r="Y4386" s="21">
        <v>0</v>
      </c>
      <c r="Z4386" s="198" t="s">
        <v>2272</v>
      </c>
      <c r="AA4386" s="198" t="s">
        <v>2272</v>
      </c>
      <c r="AB4386" s="198" t="s">
        <v>2272</v>
      </c>
      <c r="AC4386" s="198" t="s">
        <v>2272</v>
      </c>
      <c r="AD4386" s="4"/>
      <c r="AE4386" s="4"/>
    </row>
    <row r="4387" spans="1:31" ht="50.5" customHeight="1">
      <c r="A4387" s="4" t="s">
        <v>11347</v>
      </c>
      <c r="B4387" s="4" t="s">
        <v>11356</v>
      </c>
      <c r="C4387" s="198" t="s">
        <v>23</v>
      </c>
      <c r="D4387" s="198" t="s">
        <v>4157</v>
      </c>
      <c r="E4387" s="198" t="s">
        <v>2644</v>
      </c>
      <c r="F4387" s="4" t="s">
        <v>73</v>
      </c>
      <c r="G4387" s="4" t="s">
        <v>73</v>
      </c>
      <c r="H4387" s="198" t="s">
        <v>522</v>
      </c>
      <c r="I4387" s="98" t="s">
        <v>9970</v>
      </c>
      <c r="J4387" s="21">
        <v>0</v>
      </c>
      <c r="K4387" s="21">
        <v>0</v>
      </c>
      <c r="L4387" s="21">
        <v>0</v>
      </c>
      <c r="M4387" s="21">
        <v>0</v>
      </c>
      <c r="N4387" s="21">
        <v>0</v>
      </c>
      <c r="O4387" s="21">
        <v>0</v>
      </c>
      <c r="P4387" s="21">
        <v>0</v>
      </c>
      <c r="Q4387" s="21">
        <v>0</v>
      </c>
      <c r="R4387" s="21">
        <v>0</v>
      </c>
      <c r="S4387" s="21">
        <v>0</v>
      </c>
      <c r="T4387" s="21">
        <v>0</v>
      </c>
      <c r="U4387" s="21">
        <v>0</v>
      </c>
      <c r="V4387" s="21">
        <v>0</v>
      </c>
      <c r="W4387" s="21">
        <v>0</v>
      </c>
      <c r="X4387" s="21">
        <v>0</v>
      </c>
      <c r="Y4387" s="21">
        <v>0</v>
      </c>
      <c r="Z4387" s="198" t="s">
        <v>2272</v>
      </c>
      <c r="AA4387" s="198" t="s">
        <v>2272</v>
      </c>
      <c r="AB4387" s="198" t="s">
        <v>2272</v>
      </c>
      <c r="AC4387" s="198" t="s">
        <v>2272</v>
      </c>
      <c r="AD4387" s="4"/>
      <c r="AE4387" s="4"/>
    </row>
    <row r="4388" spans="1:31" ht="44.5" customHeight="1">
      <c r="A4388" s="4" t="s">
        <v>11357</v>
      </c>
      <c r="B4388" s="4" t="s">
        <v>11359</v>
      </c>
      <c r="C4388" s="198" t="s">
        <v>2651</v>
      </c>
      <c r="D4388" s="198" t="s">
        <v>2272</v>
      </c>
      <c r="E4388" s="198" t="s">
        <v>2272</v>
      </c>
      <c r="F4388" s="198" t="s">
        <v>2272</v>
      </c>
      <c r="G4388" s="4" t="s">
        <v>2657</v>
      </c>
      <c r="H4388" s="198" t="s">
        <v>521</v>
      </c>
      <c r="I4388" s="198"/>
      <c r="J4388" s="198" t="s">
        <v>2272</v>
      </c>
      <c r="K4388" s="198" t="s">
        <v>2272</v>
      </c>
      <c r="L4388" s="198" t="s">
        <v>2272</v>
      </c>
      <c r="M4388" s="198" t="s">
        <v>2272</v>
      </c>
      <c r="N4388" s="198" t="s">
        <v>2272</v>
      </c>
      <c r="O4388" s="198" t="s">
        <v>2272</v>
      </c>
      <c r="P4388" s="198" t="s">
        <v>2272</v>
      </c>
      <c r="Q4388" s="198" t="s">
        <v>2272</v>
      </c>
      <c r="R4388" s="198" t="s">
        <v>2272</v>
      </c>
      <c r="S4388" s="198" t="s">
        <v>2272</v>
      </c>
      <c r="T4388" s="198" t="s">
        <v>2272</v>
      </c>
      <c r="U4388" s="198" t="s">
        <v>2272</v>
      </c>
      <c r="V4388" s="198" t="s">
        <v>2272</v>
      </c>
      <c r="W4388" s="198" t="s">
        <v>2272</v>
      </c>
      <c r="X4388" s="198" t="s">
        <v>2272</v>
      </c>
      <c r="Y4388" s="198" t="s">
        <v>2272</v>
      </c>
      <c r="Z4388" s="198" t="s">
        <v>2272</v>
      </c>
      <c r="AA4388" s="198" t="s">
        <v>67</v>
      </c>
      <c r="AB4388" s="198" t="s">
        <v>34</v>
      </c>
      <c r="AC4388" s="198" t="s">
        <v>2272</v>
      </c>
      <c r="AD4388" s="198"/>
      <c r="AE4388" s="198"/>
    </row>
    <row r="4389" spans="1:31" ht="54.5" customHeight="1">
      <c r="A4389" s="4" t="s">
        <v>11357</v>
      </c>
      <c r="B4389" s="4" t="s">
        <v>11360</v>
      </c>
      <c r="C4389" s="198" t="s">
        <v>23</v>
      </c>
      <c r="D4389" s="198" t="s">
        <v>1238</v>
      </c>
      <c r="E4389" s="198" t="s">
        <v>114</v>
      </c>
      <c r="F4389" s="4" t="s">
        <v>2657</v>
      </c>
      <c r="G4389" s="4" t="s">
        <v>2657</v>
      </c>
      <c r="H4389" s="198" t="s">
        <v>521</v>
      </c>
      <c r="I4389" s="198">
        <v>1979</v>
      </c>
      <c r="J4389" s="198" t="s">
        <v>2272</v>
      </c>
      <c r="K4389" s="198" t="s">
        <v>2272</v>
      </c>
      <c r="L4389" s="198" t="s">
        <v>2272</v>
      </c>
      <c r="M4389" s="198" t="s">
        <v>2272</v>
      </c>
      <c r="N4389" s="198" t="s">
        <v>2272</v>
      </c>
      <c r="O4389" s="198" t="s">
        <v>2272</v>
      </c>
      <c r="P4389" s="198" t="s">
        <v>2272</v>
      </c>
      <c r="Q4389" s="198" t="s">
        <v>2272</v>
      </c>
      <c r="R4389" s="198" t="s">
        <v>2272</v>
      </c>
      <c r="S4389" s="198" t="s">
        <v>2272</v>
      </c>
      <c r="T4389" s="198" t="s">
        <v>2272</v>
      </c>
      <c r="U4389" s="198" t="s">
        <v>2272</v>
      </c>
      <c r="V4389" s="198" t="s">
        <v>2272</v>
      </c>
      <c r="W4389" s="198" t="s">
        <v>2272</v>
      </c>
      <c r="X4389" s="198" t="s">
        <v>2272</v>
      </c>
      <c r="Y4389" s="198" t="s">
        <v>2272</v>
      </c>
      <c r="Z4389" s="198" t="s">
        <v>2272</v>
      </c>
      <c r="AA4389" s="198" t="s">
        <v>84</v>
      </c>
      <c r="AB4389" s="198" t="s">
        <v>125</v>
      </c>
      <c r="AC4389" s="198" t="s">
        <v>2272</v>
      </c>
      <c r="AD4389" s="4" t="s">
        <v>11365</v>
      </c>
      <c r="AE4389" s="198"/>
    </row>
    <row r="4390" spans="1:31" ht="54.5" customHeight="1">
      <c r="A4390" s="4" t="s">
        <v>11357</v>
      </c>
      <c r="B4390" s="4" t="s">
        <v>11361</v>
      </c>
      <c r="C4390" s="198" t="s">
        <v>23</v>
      </c>
      <c r="D4390" s="198" t="s">
        <v>1238</v>
      </c>
      <c r="E4390" s="198" t="s">
        <v>135</v>
      </c>
      <c r="F4390" s="4" t="s">
        <v>2657</v>
      </c>
      <c r="G4390" s="4" t="s">
        <v>2657</v>
      </c>
      <c r="H4390" s="198" t="s">
        <v>521</v>
      </c>
      <c r="I4390" s="198">
        <v>1979</v>
      </c>
      <c r="J4390" s="198" t="s">
        <v>2272</v>
      </c>
      <c r="K4390" s="198" t="s">
        <v>2272</v>
      </c>
      <c r="L4390" s="198" t="s">
        <v>2272</v>
      </c>
      <c r="M4390" s="198" t="s">
        <v>2272</v>
      </c>
      <c r="N4390" s="198" t="s">
        <v>2272</v>
      </c>
      <c r="O4390" s="198" t="s">
        <v>2272</v>
      </c>
      <c r="P4390" s="198" t="s">
        <v>2272</v>
      </c>
      <c r="Q4390" s="198" t="s">
        <v>2272</v>
      </c>
      <c r="R4390" s="198" t="s">
        <v>2272</v>
      </c>
      <c r="S4390" s="198" t="s">
        <v>2272</v>
      </c>
      <c r="T4390" s="198" t="s">
        <v>2272</v>
      </c>
      <c r="U4390" s="198" t="s">
        <v>2272</v>
      </c>
      <c r="V4390" s="198" t="s">
        <v>2272</v>
      </c>
      <c r="W4390" s="198" t="s">
        <v>2272</v>
      </c>
      <c r="X4390" s="198" t="s">
        <v>2272</v>
      </c>
      <c r="Y4390" s="198" t="s">
        <v>2272</v>
      </c>
      <c r="Z4390" s="198" t="s">
        <v>2272</v>
      </c>
      <c r="AA4390" s="198" t="s">
        <v>84</v>
      </c>
      <c r="AB4390" s="198" t="s">
        <v>402</v>
      </c>
      <c r="AC4390" s="198" t="s">
        <v>2272</v>
      </c>
      <c r="AD4390" s="4" t="s">
        <v>11365</v>
      </c>
      <c r="AE4390" s="198"/>
    </row>
    <row r="4391" spans="1:31" ht="41" customHeight="1">
      <c r="A4391" s="4" t="s">
        <v>11367</v>
      </c>
      <c r="B4391" s="4" t="s">
        <v>11370</v>
      </c>
      <c r="C4391" s="198" t="s">
        <v>23</v>
      </c>
      <c r="D4391" s="198" t="s">
        <v>3475</v>
      </c>
      <c r="E4391" s="198" t="s">
        <v>114</v>
      </c>
      <c r="F4391" s="4" t="s">
        <v>2657</v>
      </c>
      <c r="G4391" s="4" t="s">
        <v>2657</v>
      </c>
      <c r="H4391" s="198" t="s">
        <v>521</v>
      </c>
      <c r="I4391" s="198"/>
      <c r="J4391" s="198" t="s">
        <v>2272</v>
      </c>
      <c r="K4391" s="198" t="s">
        <v>2272</v>
      </c>
      <c r="L4391" s="198" t="s">
        <v>2272</v>
      </c>
      <c r="M4391" s="198" t="s">
        <v>2272</v>
      </c>
      <c r="N4391" s="198" t="s">
        <v>2272</v>
      </c>
      <c r="O4391" s="198" t="s">
        <v>2272</v>
      </c>
      <c r="P4391" s="198" t="s">
        <v>2272</v>
      </c>
      <c r="Q4391" s="198" t="s">
        <v>2272</v>
      </c>
      <c r="R4391" s="198" t="s">
        <v>2272</v>
      </c>
      <c r="S4391" s="198" t="s">
        <v>2272</v>
      </c>
      <c r="T4391" s="198" t="s">
        <v>2272</v>
      </c>
      <c r="U4391" s="198" t="s">
        <v>2272</v>
      </c>
      <c r="V4391" s="198" t="s">
        <v>2272</v>
      </c>
      <c r="W4391" s="198" t="s">
        <v>2272</v>
      </c>
      <c r="X4391" s="198" t="s">
        <v>2272</v>
      </c>
      <c r="Y4391" s="198" t="s">
        <v>2272</v>
      </c>
      <c r="Z4391" s="198" t="s">
        <v>2272</v>
      </c>
      <c r="AA4391" s="198" t="s">
        <v>2272</v>
      </c>
      <c r="AB4391" s="198" t="s">
        <v>2272</v>
      </c>
      <c r="AC4391" s="198" t="s">
        <v>2272</v>
      </c>
      <c r="AD4391" s="198"/>
      <c r="AE4391" s="198"/>
    </row>
    <row r="4392" spans="1:31" ht="41" customHeight="1">
      <c r="A4392" s="4" t="s">
        <v>11367</v>
      </c>
      <c r="B4392" s="4" t="s">
        <v>11371</v>
      </c>
      <c r="C4392" s="198" t="s">
        <v>23</v>
      </c>
      <c r="D4392" s="198" t="s">
        <v>25</v>
      </c>
      <c r="E4392" s="198" t="s">
        <v>114</v>
      </c>
      <c r="F4392" s="4" t="s">
        <v>2657</v>
      </c>
      <c r="G4392" s="4" t="s">
        <v>2657</v>
      </c>
      <c r="H4392" s="198" t="s">
        <v>521</v>
      </c>
      <c r="I4392" s="198"/>
      <c r="J4392" s="198" t="s">
        <v>2272</v>
      </c>
      <c r="K4392" s="198" t="s">
        <v>2272</v>
      </c>
      <c r="L4392" s="198" t="s">
        <v>2272</v>
      </c>
      <c r="M4392" s="198" t="s">
        <v>2272</v>
      </c>
      <c r="N4392" s="198" t="s">
        <v>2272</v>
      </c>
      <c r="O4392" s="198" t="s">
        <v>2272</v>
      </c>
      <c r="P4392" s="198" t="s">
        <v>2272</v>
      </c>
      <c r="Q4392" s="198" t="s">
        <v>2272</v>
      </c>
      <c r="R4392" s="198" t="s">
        <v>2272</v>
      </c>
      <c r="S4392" s="198" t="s">
        <v>2272</v>
      </c>
      <c r="T4392" s="198" t="s">
        <v>2272</v>
      </c>
      <c r="U4392" s="198" t="s">
        <v>2272</v>
      </c>
      <c r="V4392" s="198" t="s">
        <v>2272</v>
      </c>
      <c r="W4392" s="198" t="s">
        <v>2272</v>
      </c>
      <c r="X4392" s="198" t="s">
        <v>2272</v>
      </c>
      <c r="Y4392" s="198" t="s">
        <v>2272</v>
      </c>
      <c r="Z4392" s="198" t="s">
        <v>2272</v>
      </c>
      <c r="AA4392" s="198" t="s">
        <v>2272</v>
      </c>
      <c r="AB4392" s="198" t="s">
        <v>2272</v>
      </c>
      <c r="AC4392" s="198" t="s">
        <v>2272</v>
      </c>
      <c r="AD4392" s="198"/>
      <c r="AE4392" s="198"/>
    </row>
    <row r="4393" spans="1:31" ht="41" customHeight="1">
      <c r="A4393" s="4" t="s">
        <v>11367</v>
      </c>
      <c r="B4393" s="4" t="s">
        <v>11374</v>
      </c>
      <c r="C4393" s="198" t="s">
        <v>23</v>
      </c>
      <c r="D4393" s="198" t="s">
        <v>1238</v>
      </c>
      <c r="E4393" s="198" t="s">
        <v>114</v>
      </c>
      <c r="F4393" s="4" t="s">
        <v>2657</v>
      </c>
      <c r="G4393" s="4" t="s">
        <v>2657</v>
      </c>
      <c r="H4393" s="198" t="s">
        <v>521</v>
      </c>
      <c r="I4393" s="198"/>
      <c r="J4393" s="198" t="s">
        <v>2272</v>
      </c>
      <c r="K4393" s="198" t="s">
        <v>2272</v>
      </c>
      <c r="L4393" s="198" t="s">
        <v>2272</v>
      </c>
      <c r="M4393" s="198" t="s">
        <v>2272</v>
      </c>
      <c r="N4393" s="198" t="s">
        <v>2272</v>
      </c>
      <c r="O4393" s="198" t="s">
        <v>2272</v>
      </c>
      <c r="P4393" s="198" t="s">
        <v>2272</v>
      </c>
      <c r="Q4393" s="198" t="s">
        <v>2272</v>
      </c>
      <c r="R4393" s="198" t="s">
        <v>2272</v>
      </c>
      <c r="S4393" s="198" t="s">
        <v>2272</v>
      </c>
      <c r="T4393" s="198" t="s">
        <v>2272</v>
      </c>
      <c r="U4393" s="198" t="s">
        <v>2272</v>
      </c>
      <c r="V4393" s="198" t="s">
        <v>2272</v>
      </c>
      <c r="W4393" s="198" t="s">
        <v>2272</v>
      </c>
      <c r="X4393" s="198" t="s">
        <v>2272</v>
      </c>
      <c r="Y4393" s="198" t="s">
        <v>2272</v>
      </c>
      <c r="Z4393" s="198" t="s">
        <v>2272</v>
      </c>
      <c r="AA4393" s="198" t="s">
        <v>2272</v>
      </c>
      <c r="AB4393" s="198" t="s">
        <v>2272</v>
      </c>
      <c r="AC4393" s="198" t="s">
        <v>2272</v>
      </c>
      <c r="AD4393" s="198"/>
      <c r="AE4393" s="198"/>
    </row>
    <row r="4394" spans="1:31" ht="41" customHeight="1">
      <c r="A4394" s="4" t="s">
        <v>11367</v>
      </c>
      <c r="B4394" s="4" t="s">
        <v>11375</v>
      </c>
      <c r="C4394" s="198" t="s">
        <v>23</v>
      </c>
      <c r="D4394" s="198" t="s">
        <v>142</v>
      </c>
      <c r="E4394" s="198" t="s">
        <v>114</v>
      </c>
      <c r="F4394" s="4" t="s">
        <v>2657</v>
      </c>
      <c r="G4394" s="4" t="s">
        <v>2657</v>
      </c>
      <c r="H4394" s="198" t="s">
        <v>521</v>
      </c>
      <c r="I4394" s="198"/>
      <c r="J4394" s="198" t="s">
        <v>2272</v>
      </c>
      <c r="K4394" s="198" t="s">
        <v>2272</v>
      </c>
      <c r="L4394" s="198" t="s">
        <v>2272</v>
      </c>
      <c r="M4394" s="198" t="s">
        <v>2272</v>
      </c>
      <c r="N4394" s="198" t="s">
        <v>2272</v>
      </c>
      <c r="O4394" s="198" t="s">
        <v>2272</v>
      </c>
      <c r="P4394" s="198" t="s">
        <v>2272</v>
      </c>
      <c r="Q4394" s="198" t="s">
        <v>2272</v>
      </c>
      <c r="R4394" s="198" t="s">
        <v>2272</v>
      </c>
      <c r="S4394" s="198" t="s">
        <v>2272</v>
      </c>
      <c r="T4394" s="198" t="s">
        <v>2272</v>
      </c>
      <c r="U4394" s="198" t="s">
        <v>2272</v>
      </c>
      <c r="V4394" s="198" t="s">
        <v>2272</v>
      </c>
      <c r="W4394" s="198" t="s">
        <v>2272</v>
      </c>
      <c r="X4394" s="198" t="s">
        <v>2272</v>
      </c>
      <c r="Y4394" s="198" t="s">
        <v>2272</v>
      </c>
      <c r="Z4394" s="198" t="s">
        <v>2272</v>
      </c>
      <c r="AA4394" s="198" t="s">
        <v>2272</v>
      </c>
      <c r="AB4394" s="198" t="s">
        <v>2272</v>
      </c>
      <c r="AC4394" s="198" t="s">
        <v>2272</v>
      </c>
      <c r="AD4394" s="198"/>
      <c r="AE4394" s="198"/>
    </row>
    <row r="4395" spans="1:31" ht="39" customHeight="1">
      <c r="A4395" s="4" t="s">
        <v>11378</v>
      </c>
      <c r="B4395" s="4" t="s">
        <v>11382</v>
      </c>
      <c r="C4395" s="198" t="s">
        <v>23</v>
      </c>
      <c r="D4395" s="198" t="s">
        <v>1241</v>
      </c>
      <c r="E4395" s="198" t="s">
        <v>114</v>
      </c>
      <c r="F4395" s="4" t="s">
        <v>2657</v>
      </c>
      <c r="G4395" s="4" t="s">
        <v>2657</v>
      </c>
      <c r="H4395" s="198" t="s">
        <v>521</v>
      </c>
      <c r="I4395" s="198"/>
      <c r="J4395" s="198" t="s">
        <v>2272</v>
      </c>
      <c r="K4395" s="198" t="s">
        <v>2272</v>
      </c>
      <c r="L4395" s="198" t="s">
        <v>2272</v>
      </c>
      <c r="M4395" s="198" t="s">
        <v>2272</v>
      </c>
      <c r="N4395" s="198" t="s">
        <v>2272</v>
      </c>
      <c r="O4395" s="198" t="s">
        <v>2272</v>
      </c>
      <c r="P4395" s="198" t="s">
        <v>2272</v>
      </c>
      <c r="Q4395" s="198" t="s">
        <v>2272</v>
      </c>
      <c r="R4395" s="198" t="s">
        <v>2272</v>
      </c>
      <c r="S4395" s="198" t="s">
        <v>2272</v>
      </c>
      <c r="T4395" s="198" t="s">
        <v>2272</v>
      </c>
      <c r="U4395" s="198" t="s">
        <v>2272</v>
      </c>
      <c r="V4395" s="198" t="s">
        <v>2272</v>
      </c>
      <c r="W4395" s="198" t="s">
        <v>2272</v>
      </c>
      <c r="X4395" s="198" t="s">
        <v>2272</v>
      </c>
      <c r="Y4395" s="198" t="s">
        <v>2272</v>
      </c>
      <c r="Z4395" s="198" t="s">
        <v>2272</v>
      </c>
      <c r="AA4395" s="198" t="s">
        <v>2272</v>
      </c>
      <c r="AB4395" s="198" t="s">
        <v>2272</v>
      </c>
      <c r="AC4395" s="198" t="s">
        <v>2272</v>
      </c>
      <c r="AD4395" s="198"/>
      <c r="AE4395" s="198"/>
    </row>
    <row r="4396" spans="1:31" ht="38.5" customHeight="1">
      <c r="A4396" s="4" t="s">
        <v>11378</v>
      </c>
      <c r="B4396" s="4" t="s">
        <v>11383</v>
      </c>
      <c r="C4396" s="198" t="s">
        <v>23</v>
      </c>
      <c r="D4396" s="198" t="s">
        <v>3475</v>
      </c>
      <c r="E4396" s="198" t="s">
        <v>114</v>
      </c>
      <c r="F4396" s="4" t="s">
        <v>2657</v>
      </c>
      <c r="G4396" s="4" t="s">
        <v>2657</v>
      </c>
      <c r="H4396" s="198" t="s">
        <v>521</v>
      </c>
      <c r="I4396" s="198"/>
      <c r="J4396" s="198" t="s">
        <v>2272</v>
      </c>
      <c r="K4396" s="198" t="s">
        <v>2272</v>
      </c>
      <c r="L4396" s="198" t="s">
        <v>2272</v>
      </c>
      <c r="M4396" s="198" t="s">
        <v>2272</v>
      </c>
      <c r="N4396" s="198" t="s">
        <v>2272</v>
      </c>
      <c r="O4396" s="198" t="s">
        <v>2272</v>
      </c>
      <c r="P4396" s="198" t="s">
        <v>2272</v>
      </c>
      <c r="Q4396" s="198" t="s">
        <v>2272</v>
      </c>
      <c r="R4396" s="198" t="s">
        <v>2272</v>
      </c>
      <c r="S4396" s="198" t="s">
        <v>2272</v>
      </c>
      <c r="T4396" s="198" t="s">
        <v>2272</v>
      </c>
      <c r="U4396" s="198" t="s">
        <v>2272</v>
      </c>
      <c r="V4396" s="198" t="s">
        <v>2272</v>
      </c>
      <c r="W4396" s="198" t="s">
        <v>2272</v>
      </c>
      <c r="X4396" s="198" t="s">
        <v>2272</v>
      </c>
      <c r="Y4396" s="198" t="s">
        <v>2272</v>
      </c>
      <c r="Z4396" s="198" t="s">
        <v>2272</v>
      </c>
      <c r="AA4396" s="198" t="s">
        <v>2272</v>
      </c>
      <c r="AB4396" s="198" t="s">
        <v>2272</v>
      </c>
      <c r="AC4396" s="198" t="s">
        <v>2272</v>
      </c>
      <c r="AD4396" s="198"/>
      <c r="AE4396" s="198"/>
    </row>
    <row r="4397" spans="1:31" ht="38" customHeight="1">
      <c r="A4397" s="4" t="s">
        <v>11378</v>
      </c>
      <c r="B4397" s="4" t="s">
        <v>11384</v>
      </c>
      <c r="C4397" s="198" t="s">
        <v>23</v>
      </c>
      <c r="D4397" s="198" t="s">
        <v>1238</v>
      </c>
      <c r="E4397" s="198" t="s">
        <v>2644</v>
      </c>
      <c r="F4397" s="4" t="s">
        <v>73</v>
      </c>
      <c r="G4397" s="4" t="s">
        <v>73</v>
      </c>
      <c r="H4397" s="198" t="s">
        <v>521</v>
      </c>
      <c r="I4397" s="198"/>
      <c r="J4397" s="198" t="s">
        <v>2272</v>
      </c>
      <c r="K4397" s="198" t="s">
        <v>2272</v>
      </c>
      <c r="L4397" s="198" t="s">
        <v>2272</v>
      </c>
      <c r="M4397" s="198" t="s">
        <v>2272</v>
      </c>
      <c r="N4397" s="198" t="s">
        <v>2272</v>
      </c>
      <c r="O4397" s="198" t="s">
        <v>2272</v>
      </c>
      <c r="P4397" s="198" t="s">
        <v>2272</v>
      </c>
      <c r="Q4397" s="198" t="s">
        <v>2272</v>
      </c>
      <c r="R4397" s="198" t="s">
        <v>2272</v>
      </c>
      <c r="S4397" s="198" t="s">
        <v>2272</v>
      </c>
      <c r="T4397" s="198" t="s">
        <v>2272</v>
      </c>
      <c r="U4397" s="198" t="s">
        <v>2272</v>
      </c>
      <c r="V4397" s="198" t="s">
        <v>2272</v>
      </c>
      <c r="W4397" s="198" t="s">
        <v>2272</v>
      </c>
      <c r="X4397" s="198" t="s">
        <v>2272</v>
      </c>
      <c r="Y4397" s="198" t="s">
        <v>2272</v>
      </c>
      <c r="Z4397" s="198" t="s">
        <v>2272</v>
      </c>
      <c r="AA4397" s="198" t="s">
        <v>2272</v>
      </c>
      <c r="AB4397" s="198" t="s">
        <v>2272</v>
      </c>
      <c r="AC4397" s="198" t="s">
        <v>2272</v>
      </c>
      <c r="AD4397" s="198"/>
      <c r="AE4397" s="198"/>
    </row>
    <row r="4398" spans="1:31" ht="60" customHeight="1">
      <c r="A4398" s="4" t="s">
        <v>11386</v>
      </c>
      <c r="B4398" s="4" t="s">
        <v>11389</v>
      </c>
      <c r="C4398" s="198" t="s">
        <v>23</v>
      </c>
      <c r="D4398" s="198" t="s">
        <v>24</v>
      </c>
      <c r="E4398" s="198" t="s">
        <v>5000</v>
      </c>
      <c r="F4398" s="4" t="s">
        <v>2657</v>
      </c>
      <c r="G4398" s="4" t="s">
        <v>2657</v>
      </c>
      <c r="H4398" s="198" t="s">
        <v>521</v>
      </c>
      <c r="I4398" s="198"/>
      <c r="J4398" s="198" t="s">
        <v>2272</v>
      </c>
      <c r="K4398" s="198" t="s">
        <v>2272</v>
      </c>
      <c r="L4398" s="198" t="s">
        <v>2272</v>
      </c>
      <c r="M4398" s="198" t="s">
        <v>2272</v>
      </c>
      <c r="N4398" s="198" t="s">
        <v>2272</v>
      </c>
      <c r="O4398" s="198" t="s">
        <v>2272</v>
      </c>
      <c r="P4398" s="198" t="s">
        <v>2272</v>
      </c>
      <c r="Q4398" s="198" t="s">
        <v>2272</v>
      </c>
      <c r="R4398" s="198" t="s">
        <v>2272</v>
      </c>
      <c r="S4398" s="198" t="s">
        <v>2272</v>
      </c>
      <c r="T4398" s="198" t="s">
        <v>2272</v>
      </c>
      <c r="U4398" s="198" t="s">
        <v>2272</v>
      </c>
      <c r="V4398" s="198" t="s">
        <v>2272</v>
      </c>
      <c r="W4398" s="198" t="s">
        <v>2272</v>
      </c>
      <c r="X4398" s="198" t="s">
        <v>2272</v>
      </c>
      <c r="Y4398" s="198" t="s">
        <v>2272</v>
      </c>
      <c r="Z4398" s="198" t="s">
        <v>2272</v>
      </c>
      <c r="AA4398" s="198" t="s">
        <v>37</v>
      </c>
      <c r="AB4398" s="198" t="s">
        <v>84</v>
      </c>
      <c r="AC4398" s="198" t="s">
        <v>2272</v>
      </c>
      <c r="AD4398" s="36" t="s">
        <v>11395</v>
      </c>
      <c r="AE4398" s="198"/>
    </row>
    <row r="4399" spans="1:31" ht="62" customHeight="1">
      <c r="A4399" s="4" t="s">
        <v>11386</v>
      </c>
      <c r="B4399" s="4" t="s">
        <v>11393</v>
      </c>
      <c r="C4399" s="198" t="s">
        <v>23</v>
      </c>
      <c r="D4399" s="198" t="s">
        <v>1241</v>
      </c>
      <c r="E4399" s="198" t="s">
        <v>114</v>
      </c>
      <c r="F4399" s="4" t="s">
        <v>2657</v>
      </c>
      <c r="G4399" s="4" t="s">
        <v>2657</v>
      </c>
      <c r="H4399" s="198" t="s">
        <v>521</v>
      </c>
      <c r="I4399" s="198"/>
      <c r="J4399" s="198" t="s">
        <v>2272</v>
      </c>
      <c r="K4399" s="198" t="s">
        <v>2272</v>
      </c>
      <c r="L4399" s="198" t="s">
        <v>2272</v>
      </c>
      <c r="M4399" s="198" t="s">
        <v>2272</v>
      </c>
      <c r="N4399" s="198" t="s">
        <v>2272</v>
      </c>
      <c r="O4399" s="198" t="s">
        <v>2272</v>
      </c>
      <c r="P4399" s="198" t="s">
        <v>2272</v>
      </c>
      <c r="Q4399" s="198" t="s">
        <v>2272</v>
      </c>
      <c r="R4399" s="198" t="s">
        <v>2272</v>
      </c>
      <c r="S4399" s="198" t="s">
        <v>2272</v>
      </c>
      <c r="T4399" s="198" t="s">
        <v>2272</v>
      </c>
      <c r="U4399" s="198" t="s">
        <v>2272</v>
      </c>
      <c r="V4399" s="198" t="s">
        <v>2272</v>
      </c>
      <c r="W4399" s="198" t="s">
        <v>2272</v>
      </c>
      <c r="X4399" s="198" t="s">
        <v>2272</v>
      </c>
      <c r="Y4399" s="198" t="s">
        <v>2272</v>
      </c>
      <c r="Z4399" s="198" t="s">
        <v>2272</v>
      </c>
      <c r="AA4399" s="198" t="s">
        <v>84</v>
      </c>
      <c r="AB4399" s="198" t="s">
        <v>423</v>
      </c>
      <c r="AC4399" s="198" t="s">
        <v>2650</v>
      </c>
      <c r="AD4399" s="18" t="s">
        <v>11396</v>
      </c>
      <c r="AE4399" s="198"/>
    </row>
    <row r="4400" spans="1:31" ht="62" customHeight="1">
      <c r="A4400" s="4" t="s">
        <v>11386</v>
      </c>
      <c r="B4400" s="4" t="s">
        <v>11394</v>
      </c>
      <c r="C4400" s="198" t="s">
        <v>23</v>
      </c>
      <c r="D4400" s="198" t="s">
        <v>142</v>
      </c>
      <c r="E4400" s="198" t="s">
        <v>114</v>
      </c>
      <c r="F4400" s="4" t="s">
        <v>2657</v>
      </c>
      <c r="G4400" s="4" t="s">
        <v>2657</v>
      </c>
      <c r="H4400" s="198" t="s">
        <v>521</v>
      </c>
      <c r="I4400" s="198"/>
      <c r="J4400" s="198" t="s">
        <v>2272</v>
      </c>
      <c r="K4400" s="198" t="s">
        <v>2272</v>
      </c>
      <c r="L4400" s="198" t="s">
        <v>2272</v>
      </c>
      <c r="M4400" s="198" t="s">
        <v>2272</v>
      </c>
      <c r="N4400" s="198" t="s">
        <v>2272</v>
      </c>
      <c r="O4400" s="198" t="s">
        <v>2272</v>
      </c>
      <c r="P4400" s="198" t="s">
        <v>2272</v>
      </c>
      <c r="Q4400" s="198" t="s">
        <v>2272</v>
      </c>
      <c r="R4400" s="198" t="s">
        <v>2272</v>
      </c>
      <c r="S4400" s="198" t="s">
        <v>2272</v>
      </c>
      <c r="T4400" s="198" t="s">
        <v>2272</v>
      </c>
      <c r="U4400" s="198" t="s">
        <v>2272</v>
      </c>
      <c r="V4400" s="198" t="s">
        <v>2272</v>
      </c>
      <c r="W4400" s="198" t="s">
        <v>2272</v>
      </c>
      <c r="X4400" s="198" t="s">
        <v>2272</v>
      </c>
      <c r="Y4400" s="198" t="s">
        <v>2272</v>
      </c>
      <c r="Z4400" s="198" t="s">
        <v>2272</v>
      </c>
      <c r="AA4400" s="198" t="s">
        <v>84</v>
      </c>
      <c r="AB4400" s="198" t="s">
        <v>423</v>
      </c>
      <c r="AC4400" s="198" t="s">
        <v>2650</v>
      </c>
      <c r="AD4400" s="18" t="s">
        <v>11396</v>
      </c>
      <c r="AE4400" s="198"/>
    </row>
    <row r="4401" spans="1:31" ht="47.5" customHeight="1">
      <c r="A4401" s="4" t="s">
        <v>11388</v>
      </c>
      <c r="B4401" s="4" t="s">
        <v>11390</v>
      </c>
      <c r="C4401" s="198" t="s">
        <v>2651</v>
      </c>
      <c r="D4401" s="198" t="s">
        <v>2272</v>
      </c>
      <c r="E4401" s="198" t="s">
        <v>5795</v>
      </c>
      <c r="F4401" s="4" t="s">
        <v>2657</v>
      </c>
      <c r="G4401" s="4" t="s">
        <v>2657</v>
      </c>
      <c r="H4401" s="198" t="s">
        <v>521</v>
      </c>
      <c r="I4401" s="198"/>
      <c r="J4401" s="198" t="s">
        <v>2272</v>
      </c>
      <c r="K4401" s="198" t="s">
        <v>2272</v>
      </c>
      <c r="L4401" s="198" t="s">
        <v>2272</v>
      </c>
      <c r="M4401" s="198" t="s">
        <v>2272</v>
      </c>
      <c r="N4401" s="198" t="s">
        <v>2272</v>
      </c>
      <c r="O4401" s="198">
        <v>1000000</v>
      </c>
      <c r="P4401" s="198" t="s">
        <v>2272</v>
      </c>
      <c r="Q4401" s="198" t="s">
        <v>2272</v>
      </c>
      <c r="R4401" s="198" t="s">
        <v>2272</v>
      </c>
      <c r="S4401" s="198" t="s">
        <v>2272</v>
      </c>
      <c r="T4401" s="198" t="s">
        <v>2272</v>
      </c>
      <c r="U4401" s="198" t="s">
        <v>2272</v>
      </c>
      <c r="V4401" s="198" t="s">
        <v>2272</v>
      </c>
      <c r="W4401" s="198" t="s">
        <v>2272</v>
      </c>
      <c r="X4401" s="198" t="s">
        <v>2272</v>
      </c>
      <c r="Y4401" s="198" t="s">
        <v>2272</v>
      </c>
      <c r="Z4401" s="198" t="s">
        <v>2272</v>
      </c>
      <c r="AA4401" s="198" t="s">
        <v>423</v>
      </c>
      <c r="AB4401" s="198" t="s">
        <v>67</v>
      </c>
      <c r="AC4401" s="198" t="s">
        <v>2272</v>
      </c>
      <c r="AD4401" s="198"/>
      <c r="AE4401" s="198"/>
    </row>
    <row r="4402" spans="1:31" ht="49" customHeight="1">
      <c r="A4402" s="4" t="s">
        <v>11414</v>
      </c>
      <c r="B4402" s="4" t="s">
        <v>11418</v>
      </c>
      <c r="C4402" s="198" t="s">
        <v>23</v>
      </c>
      <c r="D4402" s="198" t="s">
        <v>1241</v>
      </c>
      <c r="E4402" s="198" t="s">
        <v>2647</v>
      </c>
      <c r="F4402" s="4" t="s">
        <v>158</v>
      </c>
      <c r="G4402" s="4" t="s">
        <v>158</v>
      </c>
      <c r="H4402" s="198" t="s">
        <v>521</v>
      </c>
      <c r="I4402" s="198"/>
      <c r="J4402" s="198" t="s">
        <v>2272</v>
      </c>
      <c r="K4402" s="198" t="s">
        <v>2272</v>
      </c>
      <c r="L4402" s="198" t="s">
        <v>2272</v>
      </c>
      <c r="M4402" s="198" t="s">
        <v>2272</v>
      </c>
      <c r="N4402" s="198" t="s">
        <v>2272</v>
      </c>
      <c r="O4402" s="198" t="s">
        <v>2272</v>
      </c>
      <c r="P4402" s="198" t="s">
        <v>2272</v>
      </c>
      <c r="Q4402" s="198" t="s">
        <v>2272</v>
      </c>
      <c r="R4402" s="198" t="s">
        <v>2272</v>
      </c>
      <c r="S4402" s="198" t="s">
        <v>2272</v>
      </c>
      <c r="T4402" s="198" t="s">
        <v>2272</v>
      </c>
      <c r="U4402" s="198" t="s">
        <v>2272</v>
      </c>
      <c r="V4402" s="198" t="s">
        <v>2272</v>
      </c>
      <c r="W4402" s="21">
        <f>17.3/4</f>
        <v>4.3250000000000002</v>
      </c>
      <c r="X4402" s="198" t="s">
        <v>2272</v>
      </c>
      <c r="Y4402" s="21">
        <f>W4402*('Land use'!Q1790/100)</f>
        <v>1.038</v>
      </c>
      <c r="Z4402" s="198" t="s">
        <v>2272</v>
      </c>
      <c r="AA4402" s="198" t="s">
        <v>2272</v>
      </c>
      <c r="AB4402" s="198" t="s">
        <v>2272</v>
      </c>
      <c r="AC4402" s="198" t="s">
        <v>2272</v>
      </c>
      <c r="AD4402" s="198"/>
      <c r="AE4402" s="198"/>
    </row>
    <row r="4403" spans="1:31" ht="44.5" customHeight="1">
      <c r="A4403" s="4" t="s">
        <v>11421</v>
      </c>
      <c r="B4403" s="4" t="s">
        <v>11422</v>
      </c>
      <c r="C4403" s="198" t="s">
        <v>23</v>
      </c>
      <c r="D4403" s="4" t="s">
        <v>2654</v>
      </c>
      <c r="E4403" s="4" t="s">
        <v>394</v>
      </c>
      <c r="F4403" s="4" t="s">
        <v>27</v>
      </c>
      <c r="G4403" s="4" t="s">
        <v>27</v>
      </c>
      <c r="H4403" s="198" t="s">
        <v>521</v>
      </c>
      <c r="I4403" s="198">
        <v>1990</v>
      </c>
      <c r="J4403" s="198" t="s">
        <v>2272</v>
      </c>
      <c r="K4403" s="198" t="s">
        <v>2272</v>
      </c>
      <c r="L4403" s="198" t="s">
        <v>2272</v>
      </c>
      <c r="M4403" s="198" t="s">
        <v>2272</v>
      </c>
      <c r="N4403" s="198" t="s">
        <v>2272</v>
      </c>
      <c r="O4403" s="198" t="s">
        <v>2272</v>
      </c>
      <c r="P4403" s="198" t="s">
        <v>2272</v>
      </c>
      <c r="Q4403" s="198" t="s">
        <v>2272</v>
      </c>
      <c r="R4403" s="198" t="s">
        <v>2272</v>
      </c>
      <c r="S4403" s="198" t="s">
        <v>2272</v>
      </c>
      <c r="T4403" s="198" t="s">
        <v>2272</v>
      </c>
      <c r="U4403" s="198" t="s">
        <v>2272</v>
      </c>
      <c r="V4403" s="198" t="s">
        <v>2272</v>
      </c>
      <c r="W4403" s="198" t="s">
        <v>2272</v>
      </c>
      <c r="X4403" s="198" t="s">
        <v>2272</v>
      </c>
      <c r="Y4403" s="198" t="s">
        <v>2272</v>
      </c>
      <c r="Z4403" s="198" t="s">
        <v>2272</v>
      </c>
      <c r="AA4403" s="198" t="s">
        <v>84</v>
      </c>
      <c r="AB4403" s="198" t="s">
        <v>67</v>
      </c>
      <c r="AC4403" s="198" t="s">
        <v>2272</v>
      </c>
      <c r="AD4403" s="36" t="s">
        <v>11426</v>
      </c>
      <c r="AE4403" s="4" t="s">
        <v>11427</v>
      </c>
    </row>
    <row r="4404" spans="1:31" ht="44.5" customHeight="1">
      <c r="A4404" s="4" t="s">
        <v>11421</v>
      </c>
      <c r="B4404" s="4" t="s">
        <v>11423</v>
      </c>
      <c r="C4404" s="198" t="s">
        <v>23</v>
      </c>
      <c r="D4404" s="4" t="s">
        <v>2654</v>
      </c>
      <c r="E4404" s="4" t="s">
        <v>394</v>
      </c>
      <c r="F4404" s="4" t="s">
        <v>27</v>
      </c>
      <c r="G4404" s="4" t="s">
        <v>27</v>
      </c>
      <c r="H4404" s="198" t="s">
        <v>521</v>
      </c>
      <c r="I4404" s="198">
        <v>2006</v>
      </c>
      <c r="J4404" s="198" t="s">
        <v>2272</v>
      </c>
      <c r="K4404" s="198" t="s">
        <v>2272</v>
      </c>
      <c r="L4404" s="198" t="s">
        <v>2272</v>
      </c>
      <c r="M4404" s="198" t="s">
        <v>2272</v>
      </c>
      <c r="N4404" s="198" t="s">
        <v>2272</v>
      </c>
      <c r="O4404" s="198" t="s">
        <v>2272</v>
      </c>
      <c r="P4404" s="198" t="s">
        <v>2272</v>
      </c>
      <c r="Q4404" s="198" t="s">
        <v>2272</v>
      </c>
      <c r="R4404" s="198" t="s">
        <v>2272</v>
      </c>
      <c r="S4404" s="198" t="s">
        <v>2272</v>
      </c>
      <c r="T4404" s="198" t="s">
        <v>2272</v>
      </c>
      <c r="U4404" s="198" t="s">
        <v>2272</v>
      </c>
      <c r="V4404" s="198" t="s">
        <v>2272</v>
      </c>
      <c r="W4404" s="198" t="s">
        <v>2272</v>
      </c>
      <c r="X4404" s="198" t="s">
        <v>2272</v>
      </c>
      <c r="Y4404" s="198" t="s">
        <v>2272</v>
      </c>
      <c r="Z4404" s="198" t="s">
        <v>2272</v>
      </c>
      <c r="AA4404" s="198" t="s">
        <v>84</v>
      </c>
      <c r="AB4404" s="198" t="s">
        <v>67</v>
      </c>
      <c r="AC4404" s="198" t="s">
        <v>2272</v>
      </c>
      <c r="AD4404" s="36" t="s">
        <v>11426</v>
      </c>
      <c r="AE4404" s="4" t="s">
        <v>11427</v>
      </c>
    </row>
    <row r="4405" spans="1:31" ht="44.5" customHeight="1">
      <c r="A4405" s="4" t="s">
        <v>11421</v>
      </c>
      <c r="B4405" s="4" t="s">
        <v>11424</v>
      </c>
      <c r="C4405" s="198" t="s">
        <v>23</v>
      </c>
      <c r="D4405" s="198" t="s">
        <v>1128</v>
      </c>
      <c r="E4405" s="198" t="s">
        <v>82</v>
      </c>
      <c r="F4405" s="4" t="s">
        <v>27</v>
      </c>
      <c r="G4405" s="4" t="s">
        <v>27</v>
      </c>
      <c r="H4405" s="198" t="s">
        <v>522</v>
      </c>
      <c r="I4405" s="198"/>
      <c r="J4405" s="21">
        <v>0</v>
      </c>
      <c r="K4405" s="21">
        <v>0</v>
      </c>
      <c r="L4405" s="21">
        <v>0</v>
      </c>
      <c r="M4405" s="21">
        <v>0</v>
      </c>
      <c r="N4405" s="21">
        <v>0</v>
      </c>
      <c r="O4405" s="21">
        <v>0</v>
      </c>
      <c r="P4405" s="21">
        <v>0</v>
      </c>
      <c r="Q4405" s="21">
        <v>0</v>
      </c>
      <c r="R4405" s="21">
        <v>0</v>
      </c>
      <c r="S4405" s="21">
        <v>0</v>
      </c>
      <c r="T4405" s="21">
        <v>0</v>
      </c>
      <c r="U4405" s="21">
        <v>0</v>
      </c>
      <c r="V4405" s="21">
        <v>0</v>
      </c>
      <c r="W4405" s="21">
        <v>0</v>
      </c>
      <c r="X4405" s="21">
        <v>0</v>
      </c>
      <c r="Y4405" s="21">
        <v>0</v>
      </c>
      <c r="Z4405" s="198" t="s">
        <v>2272</v>
      </c>
      <c r="AA4405" s="198" t="s">
        <v>84</v>
      </c>
      <c r="AB4405" s="198" t="s">
        <v>67</v>
      </c>
      <c r="AC4405" s="198" t="s">
        <v>2272</v>
      </c>
      <c r="AD4405" s="198" t="s">
        <v>11425</v>
      </c>
      <c r="AE4405" s="198"/>
    </row>
    <row r="4406" spans="1:31" ht="44.5" customHeight="1">
      <c r="A4406" s="4" t="s">
        <v>11431</v>
      </c>
      <c r="B4406" s="4" t="s">
        <v>11433</v>
      </c>
      <c r="C4406" s="198" t="s">
        <v>2453</v>
      </c>
      <c r="D4406" s="198" t="s">
        <v>2989</v>
      </c>
      <c r="E4406" s="198" t="s">
        <v>2648</v>
      </c>
      <c r="F4406" s="4" t="s">
        <v>2272</v>
      </c>
      <c r="G4406" s="4" t="s">
        <v>2657</v>
      </c>
      <c r="H4406" s="198" t="s">
        <v>521</v>
      </c>
      <c r="I4406" s="198"/>
      <c r="J4406" s="198" t="s">
        <v>2272</v>
      </c>
      <c r="K4406" s="198" t="s">
        <v>2272</v>
      </c>
      <c r="L4406" s="198" t="s">
        <v>2272</v>
      </c>
      <c r="M4406" s="198" t="s">
        <v>2272</v>
      </c>
      <c r="N4406" s="198" t="s">
        <v>2272</v>
      </c>
      <c r="O4406" s="198" t="s">
        <v>2272</v>
      </c>
      <c r="P4406" s="198" t="s">
        <v>2272</v>
      </c>
      <c r="Q4406" s="198" t="s">
        <v>2272</v>
      </c>
      <c r="R4406" s="198" t="s">
        <v>2272</v>
      </c>
      <c r="S4406" s="198" t="s">
        <v>2272</v>
      </c>
      <c r="T4406" s="198" t="s">
        <v>2272</v>
      </c>
      <c r="U4406" s="198" t="s">
        <v>2272</v>
      </c>
      <c r="V4406" s="198" t="s">
        <v>2272</v>
      </c>
      <c r="W4406" s="198" t="s">
        <v>2272</v>
      </c>
      <c r="X4406" s="198" t="s">
        <v>2272</v>
      </c>
      <c r="Y4406" s="198" t="s">
        <v>2272</v>
      </c>
      <c r="Z4406" s="198" t="s">
        <v>2272</v>
      </c>
      <c r="AA4406" s="198" t="s">
        <v>2272</v>
      </c>
      <c r="AB4406" s="198" t="s">
        <v>2272</v>
      </c>
      <c r="AC4406" s="198" t="s">
        <v>2272</v>
      </c>
      <c r="AD4406" s="198"/>
      <c r="AE4406" s="173"/>
    </row>
    <row r="4407" spans="1:31" ht="44.5" customHeight="1">
      <c r="A4407" s="4" t="s">
        <v>11431</v>
      </c>
      <c r="B4407" s="4" t="s">
        <v>11444</v>
      </c>
      <c r="C4407" s="198" t="s">
        <v>2453</v>
      </c>
      <c r="D4407" s="198" t="s">
        <v>2989</v>
      </c>
      <c r="E4407" s="198" t="s">
        <v>2647</v>
      </c>
      <c r="F4407" s="4" t="s">
        <v>2272</v>
      </c>
      <c r="G4407" s="4" t="s">
        <v>2657</v>
      </c>
      <c r="H4407" s="198" t="s">
        <v>521</v>
      </c>
      <c r="I4407" s="198"/>
      <c r="J4407" s="198" t="s">
        <v>2272</v>
      </c>
      <c r="K4407" s="198" t="s">
        <v>2272</v>
      </c>
      <c r="L4407" s="198" t="s">
        <v>2272</v>
      </c>
      <c r="M4407" s="198" t="s">
        <v>2272</v>
      </c>
      <c r="N4407" s="198" t="s">
        <v>2272</v>
      </c>
      <c r="O4407" s="198" t="s">
        <v>2272</v>
      </c>
      <c r="P4407" s="198" t="s">
        <v>2272</v>
      </c>
      <c r="Q4407" s="198" t="s">
        <v>2272</v>
      </c>
      <c r="R4407" s="198" t="s">
        <v>2272</v>
      </c>
      <c r="S4407" s="198" t="s">
        <v>2272</v>
      </c>
      <c r="T4407" s="198" t="s">
        <v>2272</v>
      </c>
      <c r="U4407" s="198" t="s">
        <v>2272</v>
      </c>
      <c r="V4407" s="198" t="s">
        <v>2272</v>
      </c>
      <c r="W4407" s="198" t="s">
        <v>2272</v>
      </c>
      <c r="X4407" s="198" t="s">
        <v>2272</v>
      </c>
      <c r="Y4407" s="198" t="s">
        <v>2272</v>
      </c>
      <c r="Z4407" s="198" t="s">
        <v>2272</v>
      </c>
      <c r="AA4407" s="198" t="s">
        <v>2272</v>
      </c>
      <c r="AB4407" s="198" t="s">
        <v>2272</v>
      </c>
      <c r="AC4407" s="198" t="s">
        <v>2272</v>
      </c>
      <c r="AD4407" s="198"/>
      <c r="AE4407" s="173"/>
    </row>
    <row r="4408" spans="1:31" ht="79.5" customHeight="1">
      <c r="A4408" s="4" t="s">
        <v>11431</v>
      </c>
      <c r="B4408" s="4" t="s">
        <v>11445</v>
      </c>
      <c r="C4408" s="198" t="s">
        <v>23</v>
      </c>
      <c r="D4408" s="198" t="s">
        <v>4157</v>
      </c>
      <c r="E4408" s="198" t="s">
        <v>860</v>
      </c>
      <c r="F4408" s="4" t="s">
        <v>73</v>
      </c>
      <c r="G4408" s="4" t="s">
        <v>73</v>
      </c>
      <c r="H4408" s="198" t="s">
        <v>521</v>
      </c>
      <c r="I4408" s="198"/>
      <c r="J4408" s="198" t="s">
        <v>2272</v>
      </c>
      <c r="K4408" s="198" t="s">
        <v>2272</v>
      </c>
      <c r="L4408" s="198" t="s">
        <v>2272</v>
      </c>
      <c r="M4408" s="198" t="s">
        <v>2272</v>
      </c>
      <c r="N4408" s="198" t="s">
        <v>2272</v>
      </c>
      <c r="O4408" s="198" t="s">
        <v>2272</v>
      </c>
      <c r="P4408" s="198" t="s">
        <v>2272</v>
      </c>
      <c r="Q4408" s="198" t="s">
        <v>2272</v>
      </c>
      <c r="R4408" s="198" t="s">
        <v>2272</v>
      </c>
      <c r="S4408" s="198" t="s">
        <v>2272</v>
      </c>
      <c r="T4408" s="198" t="s">
        <v>2272</v>
      </c>
      <c r="U4408" s="198" t="s">
        <v>2272</v>
      </c>
      <c r="V4408" s="198" t="s">
        <v>2272</v>
      </c>
      <c r="W4408" s="198" t="s">
        <v>2272</v>
      </c>
      <c r="X4408" s="198" t="s">
        <v>2272</v>
      </c>
      <c r="Y4408" s="198" t="s">
        <v>2272</v>
      </c>
      <c r="Z4408" s="198" t="s">
        <v>2272</v>
      </c>
      <c r="AA4408" s="198" t="s">
        <v>2272</v>
      </c>
      <c r="AB4408" s="198" t="s">
        <v>2272</v>
      </c>
      <c r="AC4408" s="198" t="s">
        <v>2272</v>
      </c>
      <c r="AD4408" s="18" t="s">
        <v>11449</v>
      </c>
      <c r="AE4408" s="181"/>
    </row>
    <row r="4409" spans="1:31" ht="88.5" customHeight="1">
      <c r="A4409" s="4" t="s">
        <v>11435</v>
      </c>
      <c r="B4409" s="4" t="s">
        <v>11436</v>
      </c>
      <c r="C4409" s="198" t="s">
        <v>1102</v>
      </c>
      <c r="D4409" s="198" t="s">
        <v>1102</v>
      </c>
      <c r="E4409" s="198" t="s">
        <v>1102</v>
      </c>
      <c r="F4409" s="198" t="s">
        <v>1102</v>
      </c>
      <c r="G4409" s="198" t="s">
        <v>2272</v>
      </c>
      <c r="H4409" s="198" t="s">
        <v>521</v>
      </c>
      <c r="I4409" s="198">
        <v>2006</v>
      </c>
      <c r="J4409" s="198" t="s">
        <v>2272</v>
      </c>
      <c r="K4409" s="198" t="s">
        <v>2272</v>
      </c>
      <c r="L4409" s="198" t="s">
        <v>2272</v>
      </c>
      <c r="M4409" s="198" t="s">
        <v>2272</v>
      </c>
      <c r="N4409" s="198" t="s">
        <v>2272</v>
      </c>
      <c r="O4409" s="198" t="s">
        <v>2272</v>
      </c>
      <c r="P4409" s="198" t="s">
        <v>2272</v>
      </c>
      <c r="Q4409" s="198" t="s">
        <v>2272</v>
      </c>
      <c r="R4409" s="198" t="s">
        <v>2272</v>
      </c>
      <c r="S4409" s="198" t="s">
        <v>2272</v>
      </c>
      <c r="T4409" s="198" t="s">
        <v>2272</v>
      </c>
      <c r="U4409" s="198" t="s">
        <v>2272</v>
      </c>
      <c r="V4409" s="198" t="s">
        <v>2272</v>
      </c>
      <c r="W4409" s="198" t="s">
        <v>2272</v>
      </c>
      <c r="X4409" s="198" t="s">
        <v>2272</v>
      </c>
      <c r="Y4409" s="21">
        <f>100*AVERAGE(17.8, 12.7, 22.9, 14.7, 12.9, 26.4, 38.3)*(1000000/100)/'Record info'!K1793</f>
        <v>1.2172096908939014</v>
      </c>
      <c r="Z4409" s="198" t="s">
        <v>2272</v>
      </c>
      <c r="AA4409" s="198" t="s">
        <v>2272</v>
      </c>
      <c r="AB4409" s="198" t="s">
        <v>2272</v>
      </c>
      <c r="AC4409" s="198" t="s">
        <v>2272</v>
      </c>
      <c r="AD4409" s="4" t="s">
        <v>11437</v>
      </c>
      <c r="AE4409" s="181" t="s">
        <v>11434</v>
      </c>
    </row>
    <row r="4410" spans="1:31" ht="53" customHeight="1">
      <c r="A4410" s="4" t="s">
        <v>11435</v>
      </c>
      <c r="B4410" s="4" t="s">
        <v>11438</v>
      </c>
      <c r="C4410" s="198" t="s">
        <v>23</v>
      </c>
      <c r="D4410" s="198" t="s">
        <v>2272</v>
      </c>
      <c r="E4410" s="198" t="s">
        <v>2272</v>
      </c>
      <c r="F4410" s="4" t="s">
        <v>27</v>
      </c>
      <c r="G4410" s="4" t="s">
        <v>27</v>
      </c>
      <c r="H4410" s="198" t="s">
        <v>521</v>
      </c>
      <c r="I4410" s="198"/>
      <c r="J4410" s="198" t="s">
        <v>2272</v>
      </c>
      <c r="K4410" s="198" t="s">
        <v>2272</v>
      </c>
      <c r="L4410" s="198" t="s">
        <v>2272</v>
      </c>
      <c r="M4410" s="198" t="s">
        <v>2272</v>
      </c>
      <c r="N4410" s="198" t="s">
        <v>2272</v>
      </c>
      <c r="O4410" s="198" t="s">
        <v>2272</v>
      </c>
      <c r="P4410" s="198" t="s">
        <v>2272</v>
      </c>
      <c r="Q4410" s="198" t="s">
        <v>2272</v>
      </c>
      <c r="R4410" s="198" t="s">
        <v>2272</v>
      </c>
      <c r="S4410" s="198" t="s">
        <v>2272</v>
      </c>
      <c r="T4410" s="198" t="s">
        <v>2272</v>
      </c>
      <c r="U4410" s="198" t="s">
        <v>2272</v>
      </c>
      <c r="V4410" s="198" t="s">
        <v>2272</v>
      </c>
      <c r="W4410" s="198" t="s">
        <v>2272</v>
      </c>
      <c r="X4410" s="198" t="s">
        <v>2272</v>
      </c>
      <c r="Y4410" s="198" t="s">
        <v>2272</v>
      </c>
      <c r="Z4410" s="198" t="s">
        <v>2272</v>
      </c>
      <c r="AA4410" s="198" t="s">
        <v>187</v>
      </c>
      <c r="AB4410" s="198" t="s">
        <v>84</v>
      </c>
      <c r="AC4410" s="198" t="s">
        <v>2272</v>
      </c>
      <c r="AD4410" s="18" t="s">
        <v>11439</v>
      </c>
      <c r="AE4410" s="181"/>
    </row>
    <row r="4411" spans="1:31" ht="79" customHeight="1">
      <c r="A4411" s="4" t="s">
        <v>11435</v>
      </c>
      <c r="B4411" s="4" t="s">
        <v>11448</v>
      </c>
      <c r="C4411" s="198" t="s">
        <v>23</v>
      </c>
      <c r="D4411" s="198" t="s">
        <v>4157</v>
      </c>
      <c r="E4411" s="198" t="s">
        <v>860</v>
      </c>
      <c r="F4411" s="4" t="s">
        <v>73</v>
      </c>
      <c r="G4411" s="4" t="s">
        <v>73</v>
      </c>
      <c r="H4411" s="198" t="s">
        <v>521</v>
      </c>
      <c r="I4411" s="198"/>
      <c r="J4411" s="198" t="s">
        <v>2272</v>
      </c>
      <c r="K4411" s="198" t="s">
        <v>2272</v>
      </c>
      <c r="L4411" s="198" t="s">
        <v>2272</v>
      </c>
      <c r="M4411" s="198" t="s">
        <v>2272</v>
      </c>
      <c r="N4411" s="198" t="s">
        <v>2272</v>
      </c>
      <c r="O4411" s="198" t="s">
        <v>2272</v>
      </c>
      <c r="P4411" s="198" t="s">
        <v>2272</v>
      </c>
      <c r="Q4411" s="198" t="s">
        <v>2272</v>
      </c>
      <c r="R4411" s="198" t="s">
        <v>2272</v>
      </c>
      <c r="S4411" s="198" t="s">
        <v>2272</v>
      </c>
      <c r="T4411" s="198" t="s">
        <v>2272</v>
      </c>
      <c r="U4411" s="198" t="s">
        <v>2272</v>
      </c>
      <c r="V4411" s="198" t="s">
        <v>2272</v>
      </c>
      <c r="W4411" s="198" t="s">
        <v>2272</v>
      </c>
      <c r="X4411" s="198" t="s">
        <v>2272</v>
      </c>
      <c r="Y4411" s="198" t="s">
        <v>2272</v>
      </c>
      <c r="Z4411" s="198" t="s">
        <v>2272</v>
      </c>
      <c r="AA4411" s="198" t="s">
        <v>2272</v>
      </c>
      <c r="AB4411" s="198" t="s">
        <v>2272</v>
      </c>
      <c r="AC4411" s="198" t="s">
        <v>2272</v>
      </c>
      <c r="AD4411" s="18" t="s">
        <v>11449</v>
      </c>
      <c r="AE4411" s="4"/>
    </row>
    <row r="4412" spans="1:31" ht="50" customHeight="1">
      <c r="A4412" s="4" t="s">
        <v>11451</v>
      </c>
      <c r="B4412" s="4" t="s">
        <v>11454</v>
      </c>
      <c r="C4412" s="4" t="s">
        <v>23</v>
      </c>
      <c r="D4412" s="4" t="s">
        <v>2654</v>
      </c>
      <c r="E4412" s="4" t="s">
        <v>2272</v>
      </c>
      <c r="F4412" s="4" t="s">
        <v>27</v>
      </c>
      <c r="G4412" s="4" t="s">
        <v>27</v>
      </c>
      <c r="H4412" s="4" t="s">
        <v>521</v>
      </c>
      <c r="I4412" s="198"/>
      <c r="J4412" s="198" t="s">
        <v>2272</v>
      </c>
      <c r="K4412" s="198" t="s">
        <v>2272</v>
      </c>
      <c r="L4412" s="198" t="s">
        <v>2272</v>
      </c>
      <c r="M4412" s="198" t="s">
        <v>2272</v>
      </c>
      <c r="N4412" s="198" t="s">
        <v>2272</v>
      </c>
      <c r="O4412" s="198" t="s">
        <v>2272</v>
      </c>
      <c r="P4412" s="198" t="s">
        <v>2272</v>
      </c>
      <c r="Q4412" s="198" t="s">
        <v>2272</v>
      </c>
      <c r="R4412" s="198" t="s">
        <v>2272</v>
      </c>
      <c r="S4412" s="198" t="s">
        <v>2272</v>
      </c>
      <c r="T4412" s="198" t="s">
        <v>2272</v>
      </c>
      <c r="U4412" s="198" t="s">
        <v>2272</v>
      </c>
      <c r="V4412" s="198" t="s">
        <v>2272</v>
      </c>
      <c r="W4412" s="198" t="s">
        <v>2272</v>
      </c>
      <c r="X4412" s="198" t="s">
        <v>2272</v>
      </c>
      <c r="Y4412" s="198" t="s">
        <v>2272</v>
      </c>
      <c r="Z4412" s="198" t="s">
        <v>2272</v>
      </c>
      <c r="AA4412" s="198" t="s">
        <v>2272</v>
      </c>
      <c r="AB4412" s="198" t="s">
        <v>2272</v>
      </c>
      <c r="AC4412" s="198" t="s">
        <v>2272</v>
      </c>
      <c r="AD4412" s="198"/>
      <c r="AE4412" s="198"/>
    </row>
    <row r="4413" spans="1:31" ht="50" customHeight="1">
      <c r="A4413" s="4" t="s">
        <v>11451</v>
      </c>
      <c r="B4413" s="4" t="s">
        <v>11455</v>
      </c>
      <c r="C4413" s="4" t="s">
        <v>2453</v>
      </c>
      <c r="D4413" s="4" t="s">
        <v>2654</v>
      </c>
      <c r="E4413" s="4" t="s">
        <v>2272</v>
      </c>
      <c r="F4413" s="4" t="s">
        <v>27</v>
      </c>
      <c r="G4413" s="4" t="s">
        <v>2657</v>
      </c>
      <c r="H4413" s="4" t="s">
        <v>521</v>
      </c>
      <c r="I4413" s="198"/>
      <c r="J4413" s="198" t="s">
        <v>2272</v>
      </c>
      <c r="K4413" s="198" t="s">
        <v>2272</v>
      </c>
      <c r="L4413" s="198" t="s">
        <v>2272</v>
      </c>
      <c r="M4413" s="198" t="s">
        <v>2272</v>
      </c>
      <c r="N4413" s="198" t="s">
        <v>2272</v>
      </c>
      <c r="O4413" s="198" t="s">
        <v>2272</v>
      </c>
      <c r="P4413" s="198" t="s">
        <v>2272</v>
      </c>
      <c r="Q4413" s="198" t="s">
        <v>2272</v>
      </c>
      <c r="R4413" s="198" t="s">
        <v>2272</v>
      </c>
      <c r="S4413" s="198" t="s">
        <v>2272</v>
      </c>
      <c r="T4413" s="198" t="s">
        <v>2272</v>
      </c>
      <c r="U4413" s="198" t="s">
        <v>2272</v>
      </c>
      <c r="V4413" s="198" t="s">
        <v>2272</v>
      </c>
      <c r="W4413" s="198" t="s">
        <v>2272</v>
      </c>
      <c r="X4413" s="198" t="s">
        <v>2272</v>
      </c>
      <c r="Y4413" s="198" t="s">
        <v>2272</v>
      </c>
      <c r="Z4413" s="198" t="s">
        <v>2272</v>
      </c>
      <c r="AA4413" s="198" t="s">
        <v>33</v>
      </c>
      <c r="AB4413" s="198" t="s">
        <v>403</v>
      </c>
      <c r="AC4413" s="198" t="s">
        <v>2272</v>
      </c>
      <c r="AD4413" s="18" t="s">
        <v>11456</v>
      </c>
      <c r="AE4413" s="198"/>
    </row>
    <row r="4414" spans="1:31" ht="50" customHeight="1">
      <c r="A4414" s="4" t="s">
        <v>11458</v>
      </c>
      <c r="B4414" s="4" t="s">
        <v>11462</v>
      </c>
      <c r="C4414" s="4" t="s">
        <v>1102</v>
      </c>
      <c r="D4414" s="4" t="s">
        <v>2272</v>
      </c>
      <c r="E4414" s="4" t="s">
        <v>2272</v>
      </c>
      <c r="F4414" s="4" t="s">
        <v>2272</v>
      </c>
      <c r="G4414" s="4" t="s">
        <v>73</v>
      </c>
      <c r="H4414" s="4" t="s">
        <v>521</v>
      </c>
      <c r="I4414" s="198">
        <v>2003</v>
      </c>
      <c r="J4414" s="198" t="s">
        <v>2272</v>
      </c>
      <c r="K4414" s="198" t="s">
        <v>2272</v>
      </c>
      <c r="L4414" s="198" t="s">
        <v>2272</v>
      </c>
      <c r="M4414" s="198" t="s">
        <v>2272</v>
      </c>
      <c r="N4414" s="198" t="s">
        <v>2272</v>
      </c>
      <c r="O4414" s="198" t="s">
        <v>2272</v>
      </c>
      <c r="P4414" s="198" t="s">
        <v>2272</v>
      </c>
      <c r="Q4414" s="198" t="s">
        <v>2272</v>
      </c>
      <c r="R4414" s="198" t="s">
        <v>2272</v>
      </c>
      <c r="S4414" s="198" t="s">
        <v>2272</v>
      </c>
      <c r="T4414" s="198" t="s">
        <v>2272</v>
      </c>
      <c r="U4414" s="21">
        <f>20.2*1000000*0.714</f>
        <v>14422800</v>
      </c>
      <c r="V4414" s="198" t="s">
        <v>2272</v>
      </c>
      <c r="W4414" s="198" t="s">
        <v>2272</v>
      </c>
      <c r="X4414" s="198" t="s">
        <v>2272</v>
      </c>
      <c r="Y4414" s="21">
        <f>U4414/'Record info'!K1796</f>
        <v>11.094461538461539</v>
      </c>
      <c r="Z4414" s="198" t="s">
        <v>2272</v>
      </c>
      <c r="AA4414" s="198" t="s">
        <v>187</v>
      </c>
      <c r="AB4414" s="198" t="s">
        <v>403</v>
      </c>
      <c r="AC4414" s="198" t="s">
        <v>2272</v>
      </c>
      <c r="AD4414" s="198"/>
      <c r="AE4414" s="198"/>
    </row>
    <row r="4415" spans="1:31" ht="50" customHeight="1">
      <c r="A4415" s="4" t="s">
        <v>11458</v>
      </c>
      <c r="B4415" s="4" t="s">
        <v>11463</v>
      </c>
      <c r="C4415" s="4" t="s">
        <v>1102</v>
      </c>
      <c r="D4415" s="4" t="s">
        <v>2272</v>
      </c>
      <c r="E4415" s="4" t="s">
        <v>2272</v>
      </c>
      <c r="F4415" s="4" t="s">
        <v>2272</v>
      </c>
      <c r="G4415" s="4" t="s">
        <v>54</v>
      </c>
      <c r="H4415" s="4" t="s">
        <v>521</v>
      </c>
      <c r="I4415" s="198">
        <v>2003</v>
      </c>
      <c r="J4415" s="198" t="s">
        <v>2272</v>
      </c>
      <c r="K4415" s="198" t="s">
        <v>2272</v>
      </c>
      <c r="L4415" s="198" t="s">
        <v>2272</v>
      </c>
      <c r="M4415" s="198" t="s">
        <v>2272</v>
      </c>
      <c r="N4415" s="198" t="s">
        <v>2272</v>
      </c>
      <c r="O4415" s="198" t="s">
        <v>2272</v>
      </c>
      <c r="P4415" s="198" t="s">
        <v>2272</v>
      </c>
      <c r="Q4415" s="198" t="s">
        <v>2272</v>
      </c>
      <c r="R4415" s="198" t="s">
        <v>2272</v>
      </c>
      <c r="S4415" s="198" t="s">
        <v>2272</v>
      </c>
      <c r="T4415" s="198" t="s">
        <v>2272</v>
      </c>
      <c r="U4415" s="21">
        <f>20.2*1000000*(1-0.714)</f>
        <v>5777200.0000000009</v>
      </c>
      <c r="V4415" s="198" t="s">
        <v>2272</v>
      </c>
      <c r="W4415" s="198" t="s">
        <v>2272</v>
      </c>
      <c r="X4415" s="198" t="s">
        <v>2272</v>
      </c>
      <c r="Y4415" s="21">
        <f>U4415/'Record info'!K1796</f>
        <v>4.4440000000000008</v>
      </c>
      <c r="Z4415" s="198" t="s">
        <v>2272</v>
      </c>
      <c r="AA4415" s="198" t="s">
        <v>187</v>
      </c>
      <c r="AB4415" s="198" t="s">
        <v>403</v>
      </c>
      <c r="AC4415" s="198" t="s">
        <v>2272</v>
      </c>
      <c r="AD4415" s="198"/>
      <c r="AE4415" s="198"/>
    </row>
    <row r="4416" spans="1:31" ht="75.5" customHeight="1">
      <c r="A4416" s="4" t="s">
        <v>11458</v>
      </c>
      <c r="B4416" s="4" t="s">
        <v>11464</v>
      </c>
      <c r="C4416" s="4" t="s">
        <v>23</v>
      </c>
      <c r="D4416" s="198" t="s">
        <v>4157</v>
      </c>
      <c r="E4416" s="198" t="s">
        <v>860</v>
      </c>
      <c r="F4416" s="4" t="s">
        <v>73</v>
      </c>
      <c r="G4416" s="4" t="s">
        <v>73</v>
      </c>
      <c r="H4416" s="4" t="s">
        <v>521</v>
      </c>
      <c r="I4416" s="198"/>
      <c r="J4416" s="198" t="s">
        <v>2272</v>
      </c>
      <c r="K4416" s="198" t="s">
        <v>2272</v>
      </c>
      <c r="L4416" s="198" t="s">
        <v>2272</v>
      </c>
      <c r="M4416" s="198" t="s">
        <v>2272</v>
      </c>
      <c r="N4416" s="198" t="s">
        <v>2272</v>
      </c>
      <c r="O4416" s="198" t="s">
        <v>2272</v>
      </c>
      <c r="P4416" s="198" t="s">
        <v>2272</v>
      </c>
      <c r="Q4416" s="198" t="s">
        <v>2272</v>
      </c>
      <c r="R4416" s="198" t="s">
        <v>2272</v>
      </c>
      <c r="S4416" s="198" t="s">
        <v>2272</v>
      </c>
      <c r="T4416" s="198" t="s">
        <v>2272</v>
      </c>
      <c r="U4416" s="198" t="s">
        <v>2272</v>
      </c>
      <c r="V4416" s="198" t="s">
        <v>2272</v>
      </c>
      <c r="W4416" s="198" t="s">
        <v>2272</v>
      </c>
      <c r="X4416" s="198" t="s">
        <v>2272</v>
      </c>
      <c r="Y4416" s="198" t="s">
        <v>2272</v>
      </c>
      <c r="Z4416" s="198" t="s">
        <v>2272</v>
      </c>
      <c r="AA4416" s="198" t="s">
        <v>2272</v>
      </c>
      <c r="AB4416" s="198" t="s">
        <v>2272</v>
      </c>
      <c r="AC4416" s="198" t="s">
        <v>2272</v>
      </c>
      <c r="AD4416" s="18" t="s">
        <v>11467</v>
      </c>
      <c r="AE4416" s="198"/>
    </row>
    <row r="4417" spans="1:31" ht="48" customHeight="1">
      <c r="A4417" s="4" t="s">
        <v>11458</v>
      </c>
      <c r="B4417" s="4" t="s">
        <v>11465</v>
      </c>
      <c r="C4417" s="4" t="s">
        <v>23</v>
      </c>
      <c r="D4417" s="198" t="s">
        <v>24</v>
      </c>
      <c r="E4417" s="4" t="s">
        <v>2272</v>
      </c>
      <c r="F4417" s="4" t="s">
        <v>54</v>
      </c>
      <c r="G4417" s="4" t="s">
        <v>54</v>
      </c>
      <c r="H4417" s="4" t="s">
        <v>521</v>
      </c>
      <c r="I4417" s="198"/>
      <c r="J4417" s="198" t="s">
        <v>2272</v>
      </c>
      <c r="K4417" s="198" t="s">
        <v>2272</v>
      </c>
      <c r="L4417" s="198" t="s">
        <v>2272</v>
      </c>
      <c r="M4417" s="198" t="s">
        <v>2272</v>
      </c>
      <c r="N4417" s="198" t="s">
        <v>2272</v>
      </c>
      <c r="O4417" s="198" t="s">
        <v>2272</v>
      </c>
      <c r="P4417" s="198" t="s">
        <v>2272</v>
      </c>
      <c r="Q4417" s="198" t="s">
        <v>2272</v>
      </c>
      <c r="R4417" s="198" t="s">
        <v>2272</v>
      </c>
      <c r="S4417" s="198" t="s">
        <v>2272</v>
      </c>
      <c r="T4417" s="198" t="s">
        <v>2272</v>
      </c>
      <c r="U4417" s="198" t="s">
        <v>2272</v>
      </c>
      <c r="V4417" s="198" t="s">
        <v>2272</v>
      </c>
      <c r="W4417" s="198" t="s">
        <v>2272</v>
      </c>
      <c r="X4417" s="198" t="s">
        <v>2272</v>
      </c>
      <c r="Y4417" s="198" t="s">
        <v>2272</v>
      </c>
      <c r="Z4417" s="198" t="s">
        <v>2272</v>
      </c>
      <c r="AA4417" s="198" t="s">
        <v>2272</v>
      </c>
      <c r="AB4417" s="198" t="s">
        <v>2272</v>
      </c>
      <c r="AC4417" s="198" t="s">
        <v>2272</v>
      </c>
      <c r="AD4417" s="18" t="s">
        <v>11466</v>
      </c>
      <c r="AE4417" s="198"/>
    </row>
    <row r="4418" spans="1:31" ht="58" customHeight="1">
      <c r="A4418" s="4" t="s">
        <v>11473</v>
      </c>
      <c r="B4418" s="4" t="s">
        <v>11480</v>
      </c>
      <c r="C4418" s="4" t="s">
        <v>23</v>
      </c>
      <c r="D4418" s="198" t="s">
        <v>26</v>
      </c>
      <c r="E4418" s="4" t="s">
        <v>128</v>
      </c>
      <c r="F4418" s="4" t="s">
        <v>158</v>
      </c>
      <c r="G4418" s="4" t="s">
        <v>158</v>
      </c>
      <c r="H4418" s="4" t="s">
        <v>521</v>
      </c>
      <c r="I4418" s="198"/>
      <c r="J4418" s="198" t="s">
        <v>2272</v>
      </c>
      <c r="K4418" s="198" t="s">
        <v>2272</v>
      </c>
      <c r="L4418" s="198" t="s">
        <v>2272</v>
      </c>
      <c r="M4418" s="198" t="s">
        <v>2272</v>
      </c>
      <c r="N4418" s="198" t="s">
        <v>2272</v>
      </c>
      <c r="O4418" s="198" t="s">
        <v>2272</v>
      </c>
      <c r="P4418" s="198" t="s">
        <v>2272</v>
      </c>
      <c r="Q4418" s="198" t="s">
        <v>2272</v>
      </c>
      <c r="R4418" s="198" t="s">
        <v>2272</v>
      </c>
      <c r="S4418" s="198" t="s">
        <v>2272</v>
      </c>
      <c r="T4418" s="198" t="s">
        <v>2272</v>
      </c>
      <c r="U4418" s="198" t="s">
        <v>2272</v>
      </c>
      <c r="V4418" s="198" t="s">
        <v>2272</v>
      </c>
      <c r="W4418" s="198" t="s">
        <v>2272</v>
      </c>
      <c r="X4418" s="198" t="s">
        <v>2272</v>
      </c>
      <c r="Y4418" s="198" t="s">
        <v>2272</v>
      </c>
      <c r="Z4418" s="198" t="s">
        <v>2272</v>
      </c>
      <c r="AA4418" s="198" t="s">
        <v>2272</v>
      </c>
      <c r="AB4418" s="198" t="s">
        <v>2272</v>
      </c>
      <c r="AC4418" s="198" t="s">
        <v>2272</v>
      </c>
      <c r="AD4418" s="18" t="s">
        <v>11486</v>
      </c>
      <c r="AE4418" s="198"/>
    </row>
    <row r="4419" spans="1:31" ht="80" customHeight="1">
      <c r="A4419" s="4" t="s">
        <v>11473</v>
      </c>
      <c r="B4419" s="4" t="s">
        <v>11481</v>
      </c>
      <c r="C4419" s="4" t="s">
        <v>23</v>
      </c>
      <c r="D4419" s="198" t="s">
        <v>26</v>
      </c>
      <c r="E4419" s="4" t="s">
        <v>395</v>
      </c>
      <c r="F4419" s="4" t="s">
        <v>158</v>
      </c>
      <c r="G4419" s="4" t="s">
        <v>158</v>
      </c>
      <c r="H4419" s="4" t="s">
        <v>521</v>
      </c>
      <c r="I4419" s="198"/>
      <c r="J4419" s="198" t="s">
        <v>2272</v>
      </c>
      <c r="K4419" s="198" t="s">
        <v>2272</v>
      </c>
      <c r="L4419" s="198" t="s">
        <v>2272</v>
      </c>
      <c r="M4419" s="198" t="s">
        <v>2272</v>
      </c>
      <c r="N4419" s="198" t="s">
        <v>2272</v>
      </c>
      <c r="O4419" s="198" t="s">
        <v>2272</v>
      </c>
      <c r="P4419" s="198" t="s">
        <v>2272</v>
      </c>
      <c r="Q4419" s="198" t="s">
        <v>2272</v>
      </c>
      <c r="R4419" s="198" t="s">
        <v>2272</v>
      </c>
      <c r="S4419" s="198" t="s">
        <v>2272</v>
      </c>
      <c r="T4419" s="198" t="s">
        <v>2272</v>
      </c>
      <c r="U4419" s="198" t="s">
        <v>2272</v>
      </c>
      <c r="V4419" s="198" t="s">
        <v>2272</v>
      </c>
      <c r="W4419" s="198" t="s">
        <v>2272</v>
      </c>
      <c r="X4419" s="198" t="s">
        <v>2272</v>
      </c>
      <c r="Y4419" s="198" t="s">
        <v>2272</v>
      </c>
      <c r="Z4419" s="198" t="s">
        <v>2272</v>
      </c>
      <c r="AA4419" s="198" t="s">
        <v>2272</v>
      </c>
      <c r="AB4419" s="198" t="s">
        <v>2272</v>
      </c>
      <c r="AC4419" s="198" t="s">
        <v>2272</v>
      </c>
      <c r="AD4419" s="18" t="s">
        <v>11485</v>
      </c>
      <c r="AE4419" s="198"/>
    </row>
    <row r="4420" spans="1:31" ht="55.5" customHeight="1">
      <c r="A4420" s="4" t="s">
        <v>11473</v>
      </c>
      <c r="B4420" s="4" t="s">
        <v>11482</v>
      </c>
      <c r="C4420" s="4" t="s">
        <v>23</v>
      </c>
      <c r="D4420" s="198" t="s">
        <v>26</v>
      </c>
      <c r="E4420" s="4" t="s">
        <v>3850</v>
      </c>
      <c r="F4420" s="4" t="s">
        <v>158</v>
      </c>
      <c r="G4420" s="4" t="s">
        <v>158</v>
      </c>
      <c r="H4420" s="4" t="s">
        <v>522</v>
      </c>
      <c r="I4420" s="198"/>
      <c r="J4420" s="198">
        <v>0</v>
      </c>
      <c r="K4420" s="198">
        <v>0</v>
      </c>
      <c r="L4420" s="198">
        <v>0</v>
      </c>
      <c r="M4420" s="198">
        <v>0</v>
      </c>
      <c r="N4420" s="198">
        <v>0</v>
      </c>
      <c r="O4420" s="198">
        <v>0</v>
      </c>
      <c r="P4420" s="198">
        <v>0</v>
      </c>
      <c r="Q4420" s="198">
        <v>0</v>
      </c>
      <c r="R4420" s="198">
        <v>0</v>
      </c>
      <c r="S4420" s="198">
        <v>0</v>
      </c>
      <c r="T4420" s="198">
        <v>0</v>
      </c>
      <c r="U4420" s="198">
        <v>0</v>
      </c>
      <c r="V4420" s="198">
        <v>0</v>
      </c>
      <c r="W4420" s="198">
        <v>0</v>
      </c>
      <c r="X4420" s="198">
        <v>0</v>
      </c>
      <c r="Y4420" s="198">
        <v>0</v>
      </c>
      <c r="Z4420" s="198" t="s">
        <v>2272</v>
      </c>
      <c r="AA4420" s="198" t="s">
        <v>2272</v>
      </c>
      <c r="AB4420" s="198" t="s">
        <v>2272</v>
      </c>
      <c r="AC4420" s="198" t="s">
        <v>2272</v>
      </c>
      <c r="AD4420" s="18" t="s">
        <v>11487</v>
      </c>
      <c r="AE4420" s="198"/>
    </row>
    <row r="4421" spans="1:31" ht="42" customHeight="1">
      <c r="A4421" s="4" t="s">
        <v>11475</v>
      </c>
      <c r="B4421" s="4" t="s">
        <v>11477</v>
      </c>
      <c r="C4421" s="198" t="s">
        <v>23</v>
      </c>
      <c r="D4421" s="198" t="s">
        <v>2799</v>
      </c>
      <c r="E4421" s="198" t="s">
        <v>5000</v>
      </c>
      <c r="F4421" s="4" t="s">
        <v>2657</v>
      </c>
      <c r="G4421" s="4" t="s">
        <v>2657</v>
      </c>
      <c r="H4421" s="4" t="s">
        <v>521</v>
      </c>
      <c r="I4421" s="198"/>
      <c r="J4421" s="198" t="s">
        <v>2272</v>
      </c>
      <c r="K4421" s="198" t="s">
        <v>2272</v>
      </c>
      <c r="L4421" s="198" t="s">
        <v>2272</v>
      </c>
      <c r="M4421" s="198" t="s">
        <v>2272</v>
      </c>
      <c r="N4421" s="198" t="s">
        <v>2272</v>
      </c>
      <c r="O4421" s="198" t="s">
        <v>2272</v>
      </c>
      <c r="P4421" s="198" t="s">
        <v>2272</v>
      </c>
      <c r="Q4421" s="198" t="s">
        <v>2272</v>
      </c>
      <c r="R4421" s="198" t="s">
        <v>2272</v>
      </c>
      <c r="S4421" s="198" t="s">
        <v>2272</v>
      </c>
      <c r="T4421" s="198" t="s">
        <v>2272</v>
      </c>
      <c r="U4421" s="198" t="s">
        <v>2272</v>
      </c>
      <c r="V4421" s="198" t="s">
        <v>2272</v>
      </c>
      <c r="W4421" s="198" t="s">
        <v>2272</v>
      </c>
      <c r="X4421" s="198" t="s">
        <v>2272</v>
      </c>
      <c r="Y4421" s="198" t="s">
        <v>2272</v>
      </c>
      <c r="Z4421" s="198" t="s">
        <v>2272</v>
      </c>
      <c r="AA4421" s="198" t="s">
        <v>2272</v>
      </c>
      <c r="AB4421" s="198" t="s">
        <v>2272</v>
      </c>
      <c r="AC4421" s="198" t="s">
        <v>2272</v>
      </c>
      <c r="AD4421" s="198"/>
      <c r="AE4421" s="198"/>
    </row>
    <row r="4422" spans="1:31" ht="43" customHeight="1">
      <c r="A4422" s="4" t="s">
        <v>11475</v>
      </c>
      <c r="B4422" s="4" t="s">
        <v>11478</v>
      </c>
      <c r="C4422" s="198" t="s">
        <v>2453</v>
      </c>
      <c r="D4422" s="198" t="s">
        <v>2799</v>
      </c>
      <c r="E4422" s="198" t="s">
        <v>5000</v>
      </c>
      <c r="F4422" s="4" t="s">
        <v>2657</v>
      </c>
      <c r="G4422" s="4" t="s">
        <v>27</v>
      </c>
      <c r="H4422" s="4" t="s">
        <v>521</v>
      </c>
      <c r="I4422" s="198"/>
      <c r="J4422" s="198" t="s">
        <v>2272</v>
      </c>
      <c r="K4422" s="198" t="s">
        <v>2272</v>
      </c>
      <c r="L4422" s="198" t="s">
        <v>2272</v>
      </c>
      <c r="M4422" s="198" t="s">
        <v>2272</v>
      </c>
      <c r="N4422" s="198" t="s">
        <v>2272</v>
      </c>
      <c r="O4422" s="198" t="s">
        <v>2272</v>
      </c>
      <c r="P4422" s="198" t="s">
        <v>2272</v>
      </c>
      <c r="Q4422" s="198" t="s">
        <v>2272</v>
      </c>
      <c r="R4422" s="198" t="s">
        <v>2272</v>
      </c>
      <c r="S4422" s="198" t="s">
        <v>2272</v>
      </c>
      <c r="T4422" s="198" t="s">
        <v>2272</v>
      </c>
      <c r="U4422" s="198" t="s">
        <v>2272</v>
      </c>
      <c r="V4422" s="198" t="s">
        <v>2272</v>
      </c>
      <c r="W4422" s="198" t="s">
        <v>2272</v>
      </c>
      <c r="X4422" s="198" t="s">
        <v>2272</v>
      </c>
      <c r="Y4422" s="198" t="s">
        <v>2272</v>
      </c>
      <c r="Z4422" s="198" t="s">
        <v>2272</v>
      </c>
      <c r="AA4422" s="198" t="s">
        <v>2272</v>
      </c>
      <c r="AB4422" s="198" t="s">
        <v>2272</v>
      </c>
      <c r="AC4422" s="198" t="s">
        <v>2272</v>
      </c>
      <c r="AD4422" s="198"/>
      <c r="AE4422" s="198"/>
    </row>
    <row r="4423" spans="1:31" ht="40" customHeight="1">
      <c r="A4423" s="4" t="s">
        <v>11489</v>
      </c>
      <c r="B4423" s="4" t="s">
        <v>11493</v>
      </c>
      <c r="C4423" s="198" t="s">
        <v>2651</v>
      </c>
      <c r="D4423" s="4" t="s">
        <v>2272</v>
      </c>
      <c r="E4423" s="4" t="s">
        <v>2272</v>
      </c>
      <c r="F4423" s="4" t="s">
        <v>2272</v>
      </c>
      <c r="G4423" s="4" t="s">
        <v>2657</v>
      </c>
      <c r="H4423" s="4" t="s">
        <v>521</v>
      </c>
      <c r="I4423" s="198"/>
      <c r="J4423" s="198" t="s">
        <v>2272</v>
      </c>
      <c r="K4423" s="198" t="s">
        <v>2272</v>
      </c>
      <c r="L4423" s="198" t="s">
        <v>2272</v>
      </c>
      <c r="M4423" s="198" t="s">
        <v>2272</v>
      </c>
      <c r="N4423" s="198" t="s">
        <v>2272</v>
      </c>
      <c r="O4423" s="198" t="s">
        <v>2272</v>
      </c>
      <c r="P4423" s="198" t="s">
        <v>2272</v>
      </c>
      <c r="Q4423" s="198" t="s">
        <v>2272</v>
      </c>
      <c r="R4423" s="198" t="s">
        <v>2272</v>
      </c>
      <c r="S4423" s="198" t="s">
        <v>2272</v>
      </c>
      <c r="T4423" s="198" t="s">
        <v>2272</v>
      </c>
      <c r="U4423" s="198" t="s">
        <v>2272</v>
      </c>
      <c r="V4423" s="198" t="s">
        <v>2272</v>
      </c>
      <c r="W4423" s="198" t="s">
        <v>2272</v>
      </c>
      <c r="X4423" s="198" t="s">
        <v>2272</v>
      </c>
      <c r="Y4423" s="198" t="s">
        <v>2272</v>
      </c>
      <c r="Z4423" s="198" t="s">
        <v>2272</v>
      </c>
      <c r="AA4423" s="198" t="s">
        <v>403</v>
      </c>
      <c r="AB4423" s="198" t="s">
        <v>67</v>
      </c>
      <c r="AC4423" s="198" t="s">
        <v>2272</v>
      </c>
      <c r="AD4423" s="4" t="s">
        <v>11494</v>
      </c>
      <c r="AE4423" s="198"/>
    </row>
    <row r="4424" spans="1:31" ht="36.5" customHeight="1">
      <c r="A4424" s="4" t="s">
        <v>11489</v>
      </c>
      <c r="B4424" s="4" t="s">
        <v>11495</v>
      </c>
      <c r="C4424" s="198" t="s">
        <v>23</v>
      </c>
      <c r="D4424" s="198" t="s">
        <v>2227</v>
      </c>
      <c r="E4424" s="198" t="s">
        <v>82</v>
      </c>
      <c r="F4424" s="4" t="s">
        <v>2657</v>
      </c>
      <c r="G4424" s="4" t="s">
        <v>2657</v>
      </c>
      <c r="H4424" s="4" t="s">
        <v>521</v>
      </c>
      <c r="I4424" s="198"/>
      <c r="J4424" s="198" t="s">
        <v>2272</v>
      </c>
      <c r="K4424" s="198" t="s">
        <v>2272</v>
      </c>
      <c r="L4424" s="198" t="s">
        <v>2272</v>
      </c>
      <c r="M4424" s="198" t="s">
        <v>2272</v>
      </c>
      <c r="N4424" s="198" t="s">
        <v>2272</v>
      </c>
      <c r="O4424" s="198" t="s">
        <v>2272</v>
      </c>
      <c r="P4424" s="198" t="s">
        <v>2272</v>
      </c>
      <c r="Q4424" s="198" t="s">
        <v>2272</v>
      </c>
      <c r="R4424" s="198" t="s">
        <v>2272</v>
      </c>
      <c r="S4424" s="198" t="s">
        <v>2272</v>
      </c>
      <c r="T4424" s="198" t="s">
        <v>2272</v>
      </c>
      <c r="U4424" s="198" t="s">
        <v>2272</v>
      </c>
      <c r="V4424" s="198" t="s">
        <v>2272</v>
      </c>
      <c r="W4424" s="198" t="s">
        <v>2272</v>
      </c>
      <c r="X4424" s="198" t="s">
        <v>2272</v>
      </c>
      <c r="Y4424" s="198" t="s">
        <v>2272</v>
      </c>
      <c r="Z4424" s="198" t="s">
        <v>2272</v>
      </c>
      <c r="AA4424" s="198" t="s">
        <v>186</v>
      </c>
      <c r="AB4424" s="198" t="s">
        <v>84</v>
      </c>
      <c r="AC4424" s="198" t="s">
        <v>2272</v>
      </c>
      <c r="AD4424" s="198"/>
      <c r="AE4424" s="198"/>
    </row>
    <row r="4425" spans="1:31" ht="42" customHeight="1">
      <c r="A4425" s="4" t="s">
        <v>11489</v>
      </c>
      <c r="B4425" s="4" t="s">
        <v>11496</v>
      </c>
      <c r="C4425" s="198" t="s">
        <v>23</v>
      </c>
      <c r="D4425" s="198" t="s">
        <v>24</v>
      </c>
      <c r="E4425" s="198" t="s">
        <v>44</v>
      </c>
      <c r="F4425" s="198" t="s">
        <v>28</v>
      </c>
      <c r="G4425" s="198" t="s">
        <v>28</v>
      </c>
      <c r="H4425" s="4" t="s">
        <v>521</v>
      </c>
      <c r="I4425" s="198"/>
      <c r="J4425" s="198" t="s">
        <v>2272</v>
      </c>
      <c r="K4425" s="198" t="s">
        <v>2272</v>
      </c>
      <c r="L4425" s="198" t="s">
        <v>2272</v>
      </c>
      <c r="M4425" s="198" t="s">
        <v>2272</v>
      </c>
      <c r="N4425" s="198" t="s">
        <v>2272</v>
      </c>
      <c r="O4425" s="198" t="s">
        <v>2272</v>
      </c>
      <c r="P4425" s="198" t="s">
        <v>2272</v>
      </c>
      <c r="Q4425" s="198" t="s">
        <v>2272</v>
      </c>
      <c r="R4425" s="198" t="s">
        <v>2272</v>
      </c>
      <c r="S4425" s="198" t="s">
        <v>2272</v>
      </c>
      <c r="T4425" s="198" t="s">
        <v>2272</v>
      </c>
      <c r="U4425" s="198" t="s">
        <v>2272</v>
      </c>
      <c r="V4425" s="198" t="s">
        <v>2272</v>
      </c>
      <c r="W4425" s="198" t="s">
        <v>2272</v>
      </c>
      <c r="X4425" s="198" t="s">
        <v>2272</v>
      </c>
      <c r="Y4425" s="198" t="s">
        <v>2272</v>
      </c>
      <c r="Z4425" s="198" t="s">
        <v>2272</v>
      </c>
      <c r="AA4425" s="198" t="s">
        <v>403</v>
      </c>
      <c r="AB4425" s="198" t="s">
        <v>67</v>
      </c>
      <c r="AC4425" s="198" t="s">
        <v>2272</v>
      </c>
      <c r="AD4425" s="198"/>
      <c r="AE4425" s="198"/>
    </row>
    <row r="4426" spans="1:31" ht="42" customHeight="1">
      <c r="A4426" s="4" t="s">
        <v>11489</v>
      </c>
      <c r="B4426" s="4" t="s">
        <v>11497</v>
      </c>
      <c r="C4426" s="198" t="s">
        <v>2453</v>
      </c>
      <c r="D4426" s="198" t="s">
        <v>24</v>
      </c>
      <c r="E4426" s="198" t="s">
        <v>44</v>
      </c>
      <c r="F4426" s="198" t="s">
        <v>28</v>
      </c>
      <c r="G4426" s="4" t="s">
        <v>2657</v>
      </c>
      <c r="H4426" s="4" t="s">
        <v>521</v>
      </c>
      <c r="I4426" s="198"/>
      <c r="J4426" s="198" t="s">
        <v>2272</v>
      </c>
      <c r="K4426" s="198" t="s">
        <v>2272</v>
      </c>
      <c r="L4426" s="198" t="s">
        <v>2272</v>
      </c>
      <c r="M4426" s="198" t="s">
        <v>2272</v>
      </c>
      <c r="N4426" s="198" t="s">
        <v>2272</v>
      </c>
      <c r="O4426" s="198" t="s">
        <v>2272</v>
      </c>
      <c r="P4426" s="198" t="s">
        <v>2272</v>
      </c>
      <c r="Q4426" s="198" t="s">
        <v>2272</v>
      </c>
      <c r="R4426" s="198" t="s">
        <v>2272</v>
      </c>
      <c r="S4426" s="198" t="s">
        <v>2272</v>
      </c>
      <c r="T4426" s="198" t="s">
        <v>2272</v>
      </c>
      <c r="U4426" s="198" t="s">
        <v>2272</v>
      </c>
      <c r="V4426" s="198" t="s">
        <v>2272</v>
      </c>
      <c r="W4426" s="198" t="s">
        <v>2272</v>
      </c>
      <c r="X4426" s="198" t="s">
        <v>2272</v>
      </c>
      <c r="Y4426" s="198" t="s">
        <v>2272</v>
      </c>
      <c r="Z4426" s="198" t="s">
        <v>2272</v>
      </c>
      <c r="AA4426" s="198" t="s">
        <v>403</v>
      </c>
      <c r="AB4426" s="198" t="s">
        <v>67</v>
      </c>
      <c r="AC4426" s="198" t="s">
        <v>2272</v>
      </c>
      <c r="AD4426" s="198"/>
      <c r="AE4426" s="198"/>
    </row>
    <row r="4427" spans="1:31" ht="42" customHeight="1">
      <c r="A4427" s="4" t="s">
        <v>11489</v>
      </c>
      <c r="B4427" s="4" t="s">
        <v>11498</v>
      </c>
      <c r="C4427" s="198" t="s">
        <v>23</v>
      </c>
      <c r="D4427" s="4" t="s">
        <v>2272</v>
      </c>
      <c r="E4427" s="198" t="s">
        <v>82</v>
      </c>
      <c r="F4427" s="4" t="s">
        <v>27</v>
      </c>
      <c r="G4427" s="4" t="s">
        <v>27</v>
      </c>
      <c r="H4427" s="4" t="s">
        <v>521</v>
      </c>
      <c r="I4427" s="198"/>
      <c r="J4427" s="198" t="s">
        <v>2272</v>
      </c>
      <c r="K4427" s="198" t="s">
        <v>2272</v>
      </c>
      <c r="L4427" s="198" t="s">
        <v>2272</v>
      </c>
      <c r="M4427" s="198" t="s">
        <v>2272</v>
      </c>
      <c r="N4427" s="198" t="s">
        <v>2272</v>
      </c>
      <c r="O4427" s="198" t="s">
        <v>2272</v>
      </c>
      <c r="P4427" s="198" t="s">
        <v>2272</v>
      </c>
      <c r="Q4427" s="198" t="s">
        <v>2272</v>
      </c>
      <c r="R4427" s="198" t="s">
        <v>2272</v>
      </c>
      <c r="S4427" s="198" t="s">
        <v>2272</v>
      </c>
      <c r="T4427" s="198" t="s">
        <v>2272</v>
      </c>
      <c r="U4427" s="198" t="s">
        <v>2272</v>
      </c>
      <c r="V4427" s="198" t="s">
        <v>2272</v>
      </c>
      <c r="W4427" s="198" t="s">
        <v>2272</v>
      </c>
      <c r="X4427" s="198" t="s">
        <v>2272</v>
      </c>
      <c r="Y4427" s="198" t="s">
        <v>2272</v>
      </c>
      <c r="Z4427" s="198" t="s">
        <v>2272</v>
      </c>
      <c r="AA4427" s="198" t="s">
        <v>403</v>
      </c>
      <c r="AB4427" s="198" t="s">
        <v>67</v>
      </c>
      <c r="AC4427" s="198" t="s">
        <v>2272</v>
      </c>
      <c r="AD4427" s="4" t="s">
        <v>11502</v>
      </c>
      <c r="AE4427" s="198"/>
    </row>
    <row r="4428" spans="1:31" ht="42" customHeight="1">
      <c r="A4428" s="4" t="s">
        <v>11489</v>
      </c>
      <c r="B4428" s="4" t="s">
        <v>11499</v>
      </c>
      <c r="C4428" s="198" t="s">
        <v>2453</v>
      </c>
      <c r="D4428" s="4" t="s">
        <v>2272</v>
      </c>
      <c r="E4428" s="198" t="s">
        <v>82</v>
      </c>
      <c r="F4428" s="4" t="s">
        <v>27</v>
      </c>
      <c r="G4428" s="4" t="s">
        <v>2657</v>
      </c>
      <c r="H4428" s="4" t="s">
        <v>521</v>
      </c>
      <c r="I4428" s="198"/>
      <c r="J4428" s="198" t="s">
        <v>2272</v>
      </c>
      <c r="K4428" s="198" t="s">
        <v>2272</v>
      </c>
      <c r="L4428" s="198" t="s">
        <v>2272</v>
      </c>
      <c r="M4428" s="198" t="s">
        <v>2272</v>
      </c>
      <c r="N4428" s="198" t="s">
        <v>2272</v>
      </c>
      <c r="O4428" s="198" t="s">
        <v>2272</v>
      </c>
      <c r="P4428" s="198" t="s">
        <v>2272</v>
      </c>
      <c r="Q4428" s="198" t="s">
        <v>2272</v>
      </c>
      <c r="R4428" s="198" t="s">
        <v>2272</v>
      </c>
      <c r="S4428" s="198" t="s">
        <v>2272</v>
      </c>
      <c r="T4428" s="198" t="s">
        <v>2272</v>
      </c>
      <c r="U4428" s="198" t="s">
        <v>2272</v>
      </c>
      <c r="V4428" s="198" t="s">
        <v>2272</v>
      </c>
      <c r="W4428" s="198" t="s">
        <v>2272</v>
      </c>
      <c r="X4428" s="198" t="s">
        <v>2272</v>
      </c>
      <c r="Y4428" s="198" t="s">
        <v>2272</v>
      </c>
      <c r="Z4428" s="198" t="s">
        <v>2272</v>
      </c>
      <c r="AA4428" s="198" t="s">
        <v>403</v>
      </c>
      <c r="AB4428" s="198" t="s">
        <v>67</v>
      </c>
      <c r="AC4428" s="198" t="s">
        <v>2272</v>
      </c>
      <c r="AD4428" s="4" t="s">
        <v>11502</v>
      </c>
      <c r="AE4428" s="198"/>
    </row>
    <row r="4429" spans="1:31" ht="41.5" customHeight="1">
      <c r="A4429" s="4" t="s">
        <v>11489</v>
      </c>
      <c r="B4429" s="4" t="s">
        <v>11500</v>
      </c>
      <c r="C4429" s="198" t="s">
        <v>23</v>
      </c>
      <c r="D4429" s="198" t="s">
        <v>1238</v>
      </c>
      <c r="E4429" s="198" t="s">
        <v>114</v>
      </c>
      <c r="F4429" s="4" t="s">
        <v>2657</v>
      </c>
      <c r="G4429" s="4" t="s">
        <v>2657</v>
      </c>
      <c r="H4429" s="4" t="s">
        <v>521</v>
      </c>
      <c r="I4429" s="198"/>
      <c r="J4429" s="198" t="s">
        <v>2272</v>
      </c>
      <c r="K4429" s="198" t="s">
        <v>2272</v>
      </c>
      <c r="L4429" s="198" t="s">
        <v>2272</v>
      </c>
      <c r="M4429" s="198" t="s">
        <v>2272</v>
      </c>
      <c r="N4429" s="198" t="s">
        <v>2272</v>
      </c>
      <c r="O4429" s="198" t="s">
        <v>2272</v>
      </c>
      <c r="P4429" s="198" t="s">
        <v>2272</v>
      </c>
      <c r="Q4429" s="198" t="s">
        <v>2272</v>
      </c>
      <c r="R4429" s="198" t="s">
        <v>2272</v>
      </c>
      <c r="S4429" s="198" t="s">
        <v>2272</v>
      </c>
      <c r="T4429" s="198" t="s">
        <v>2272</v>
      </c>
      <c r="U4429" s="198" t="s">
        <v>2272</v>
      </c>
      <c r="V4429" s="198" t="s">
        <v>2272</v>
      </c>
      <c r="W4429" s="198" t="s">
        <v>2272</v>
      </c>
      <c r="X4429" s="198" t="s">
        <v>2272</v>
      </c>
      <c r="Y4429" s="198" t="s">
        <v>2272</v>
      </c>
      <c r="Z4429" s="198" t="s">
        <v>2272</v>
      </c>
      <c r="AA4429" s="198" t="s">
        <v>2272</v>
      </c>
      <c r="AB4429" s="198" t="s">
        <v>2272</v>
      </c>
      <c r="AC4429" s="198" t="s">
        <v>2272</v>
      </c>
      <c r="AD4429" s="198"/>
      <c r="AE4429" s="198"/>
    </row>
    <row r="4430" spans="1:31" ht="39.5" customHeight="1">
      <c r="A4430" s="4" t="s">
        <v>11489</v>
      </c>
      <c r="B4430" s="4" t="s">
        <v>11501</v>
      </c>
      <c r="C4430" s="198" t="s">
        <v>23</v>
      </c>
      <c r="D4430" s="198" t="s">
        <v>2342</v>
      </c>
      <c r="E4430" s="4" t="s">
        <v>2272</v>
      </c>
      <c r="F4430" s="4" t="s">
        <v>2272</v>
      </c>
      <c r="G4430" s="4" t="s">
        <v>2272</v>
      </c>
      <c r="H4430" s="4" t="s">
        <v>521</v>
      </c>
      <c r="I4430" s="198"/>
      <c r="J4430" s="198" t="s">
        <v>2272</v>
      </c>
      <c r="K4430" s="198" t="s">
        <v>2272</v>
      </c>
      <c r="L4430" s="198" t="s">
        <v>2272</v>
      </c>
      <c r="M4430" s="198" t="s">
        <v>2272</v>
      </c>
      <c r="N4430" s="198" t="s">
        <v>2272</v>
      </c>
      <c r="O4430" s="198" t="s">
        <v>2272</v>
      </c>
      <c r="P4430" s="198" t="s">
        <v>2272</v>
      </c>
      <c r="Q4430" s="198" t="s">
        <v>2272</v>
      </c>
      <c r="R4430" s="198" t="s">
        <v>2272</v>
      </c>
      <c r="S4430" s="198" t="s">
        <v>2272</v>
      </c>
      <c r="T4430" s="198" t="s">
        <v>2272</v>
      </c>
      <c r="U4430" s="198" t="s">
        <v>2272</v>
      </c>
      <c r="V4430" s="198" t="s">
        <v>2272</v>
      </c>
      <c r="W4430" s="198" t="s">
        <v>2272</v>
      </c>
      <c r="X4430" s="198" t="s">
        <v>2272</v>
      </c>
      <c r="Y4430" s="198" t="s">
        <v>2272</v>
      </c>
      <c r="Z4430" s="198" t="s">
        <v>2272</v>
      </c>
      <c r="AA4430" s="198" t="s">
        <v>2272</v>
      </c>
      <c r="AB4430" s="198" t="s">
        <v>2272</v>
      </c>
      <c r="AC4430" s="198" t="s">
        <v>2272</v>
      </c>
      <c r="AD4430" s="198"/>
      <c r="AE4430" s="198"/>
    </row>
    <row r="4431" spans="1:31" ht="36.5" customHeight="1">
      <c r="A4431" s="199"/>
      <c r="B4431" s="199"/>
    </row>
  </sheetData>
  <autoFilter ref="A1:A2948" xr:uid="{D405E82D-CEF6-4829-BDC0-0DC5C7DCFB8A}"/>
  <phoneticPr fontId="6" type="noConversion"/>
  <conditionalFormatting sqref="AD238:AE238 AE241">
    <cfRule type="duplicateValues" dxfId="304" priority="34"/>
    <cfRule type="duplicateValues" dxfId="303" priority="35"/>
  </conditionalFormatting>
  <conditionalFormatting sqref="AE231 AE233">
    <cfRule type="duplicateValues" dxfId="302" priority="32"/>
    <cfRule type="duplicateValues" dxfId="301" priority="33"/>
  </conditionalFormatting>
  <conditionalFormatting sqref="AE237">
    <cfRule type="duplicateValues" dxfId="300" priority="30"/>
    <cfRule type="duplicateValues" dxfId="299" priority="31"/>
  </conditionalFormatting>
  <conditionalFormatting sqref="AD239:AE239">
    <cfRule type="duplicateValues" dxfId="298" priority="28"/>
    <cfRule type="duplicateValues" dxfId="297" priority="29"/>
  </conditionalFormatting>
  <conditionalFormatting sqref="AD240">
    <cfRule type="duplicateValues" dxfId="296" priority="26"/>
    <cfRule type="duplicateValues" dxfId="295" priority="27"/>
  </conditionalFormatting>
  <conditionalFormatting sqref="AD241">
    <cfRule type="duplicateValues" dxfId="294" priority="24"/>
    <cfRule type="duplicateValues" dxfId="293" priority="25"/>
  </conditionalFormatting>
  <conditionalFormatting sqref="AD242">
    <cfRule type="duplicateValues" dxfId="292" priority="22"/>
    <cfRule type="duplicateValues" dxfId="291" priority="23"/>
  </conditionalFormatting>
  <conditionalFormatting sqref="AE235:AE236">
    <cfRule type="duplicateValues" dxfId="290" priority="20"/>
    <cfRule type="duplicateValues" dxfId="289" priority="21"/>
  </conditionalFormatting>
  <conditionalFormatting sqref="AE240">
    <cfRule type="duplicateValues" dxfId="288" priority="18"/>
    <cfRule type="duplicateValues" dxfId="287" priority="19"/>
  </conditionalFormatting>
  <conditionalFormatting sqref="AE242">
    <cfRule type="duplicateValues" dxfId="286" priority="16"/>
    <cfRule type="duplicateValues" dxfId="285" priority="17"/>
  </conditionalFormatting>
  <conditionalFormatting sqref="A525 A515:A522">
    <cfRule type="duplicateValues" dxfId="284" priority="15"/>
  </conditionalFormatting>
  <conditionalFormatting sqref="A523">
    <cfRule type="duplicateValues" dxfId="283" priority="14"/>
  </conditionalFormatting>
  <conditionalFormatting sqref="A524">
    <cfRule type="duplicateValues" dxfId="282" priority="13"/>
  </conditionalFormatting>
  <conditionalFormatting sqref="A526">
    <cfRule type="duplicateValues" dxfId="281" priority="12"/>
  </conditionalFormatting>
  <conditionalFormatting sqref="B526">
    <cfRule type="duplicateValues" dxfId="280" priority="11"/>
  </conditionalFormatting>
  <conditionalFormatting sqref="A527">
    <cfRule type="duplicateValues" dxfId="279" priority="10"/>
  </conditionalFormatting>
  <conditionalFormatting sqref="B527">
    <cfRule type="duplicateValues" dxfId="278" priority="9"/>
  </conditionalFormatting>
  <conditionalFormatting sqref="A592:A594 A528:A531 A533:A538 A589:A590 A596:A598">
    <cfRule type="duplicateValues" dxfId="277" priority="36"/>
  </conditionalFormatting>
  <conditionalFormatting sqref="B592:B594 B528:B531 B533:B537 B589:B590 B596:B598">
    <cfRule type="duplicateValues" dxfId="276" priority="37"/>
  </conditionalFormatting>
  <conditionalFormatting sqref="A591">
    <cfRule type="duplicateValues" dxfId="275" priority="7"/>
  </conditionalFormatting>
  <conditionalFormatting sqref="B591">
    <cfRule type="duplicateValues" dxfId="274" priority="8"/>
  </conditionalFormatting>
  <conditionalFormatting sqref="AE234">
    <cfRule type="duplicateValues" dxfId="273" priority="5"/>
    <cfRule type="duplicateValues" dxfId="272" priority="6"/>
  </conditionalFormatting>
  <conditionalFormatting sqref="AE232">
    <cfRule type="duplicateValues" dxfId="271" priority="3"/>
    <cfRule type="duplicateValues" dxfId="270" priority="4"/>
  </conditionalFormatting>
  <conditionalFormatting sqref="B515:B525">
    <cfRule type="duplicateValues" dxfId="269" priority="38"/>
  </conditionalFormatting>
  <conditionalFormatting sqref="B538">
    <cfRule type="duplicateValues" dxfId="268" priority="39"/>
  </conditionalFormatting>
  <conditionalFormatting sqref="A538">
    <cfRule type="duplicateValues" dxfId="267" priority="40"/>
  </conditionalFormatting>
  <conditionalFormatting sqref="A539">
    <cfRule type="duplicateValues" dxfId="266" priority="41"/>
  </conditionalFormatting>
  <conditionalFormatting sqref="B539">
    <cfRule type="duplicateValues" dxfId="265" priority="42"/>
  </conditionalFormatting>
  <conditionalFormatting sqref="A540">
    <cfRule type="duplicateValues" dxfId="264" priority="43"/>
  </conditionalFormatting>
  <conditionalFormatting sqref="B540">
    <cfRule type="duplicateValues" dxfId="263" priority="44"/>
  </conditionalFormatting>
  <conditionalFormatting sqref="A541">
    <cfRule type="duplicateValues" dxfId="262" priority="45"/>
  </conditionalFormatting>
  <conditionalFormatting sqref="B541">
    <cfRule type="duplicateValues" dxfId="261" priority="46"/>
  </conditionalFormatting>
  <conditionalFormatting sqref="A542">
    <cfRule type="duplicateValues" dxfId="260" priority="47"/>
  </conditionalFormatting>
  <conditionalFormatting sqref="B542">
    <cfRule type="duplicateValues" dxfId="259" priority="48"/>
  </conditionalFormatting>
  <conditionalFormatting sqref="A543">
    <cfRule type="duplicateValues" dxfId="258" priority="49"/>
  </conditionalFormatting>
  <conditionalFormatting sqref="B543">
    <cfRule type="duplicateValues" dxfId="257" priority="50"/>
  </conditionalFormatting>
  <conditionalFormatting sqref="A544">
    <cfRule type="duplicateValues" dxfId="256" priority="51"/>
  </conditionalFormatting>
  <conditionalFormatting sqref="B544">
    <cfRule type="duplicateValues" dxfId="255" priority="52"/>
  </conditionalFormatting>
  <conditionalFormatting sqref="A545">
    <cfRule type="duplicateValues" dxfId="254" priority="53"/>
  </conditionalFormatting>
  <conditionalFormatting sqref="B545">
    <cfRule type="duplicateValues" dxfId="253" priority="54"/>
  </conditionalFormatting>
  <conditionalFormatting sqref="A546">
    <cfRule type="duplicateValues" dxfId="252" priority="55"/>
  </conditionalFormatting>
  <conditionalFormatting sqref="B546">
    <cfRule type="duplicateValues" dxfId="251" priority="56"/>
  </conditionalFormatting>
  <conditionalFormatting sqref="A547">
    <cfRule type="duplicateValues" dxfId="250" priority="57"/>
  </conditionalFormatting>
  <conditionalFormatting sqref="B547">
    <cfRule type="duplicateValues" dxfId="249" priority="58"/>
  </conditionalFormatting>
  <conditionalFormatting sqref="A548">
    <cfRule type="duplicateValues" dxfId="248" priority="59"/>
  </conditionalFormatting>
  <conditionalFormatting sqref="B548">
    <cfRule type="duplicateValues" dxfId="247" priority="60"/>
  </conditionalFormatting>
  <conditionalFormatting sqref="A549">
    <cfRule type="duplicateValues" dxfId="246" priority="61"/>
  </conditionalFormatting>
  <conditionalFormatting sqref="B549">
    <cfRule type="duplicateValues" dxfId="245" priority="62"/>
  </conditionalFormatting>
  <conditionalFormatting sqref="A550">
    <cfRule type="duplicateValues" dxfId="244" priority="63"/>
  </conditionalFormatting>
  <conditionalFormatting sqref="B550">
    <cfRule type="duplicateValues" dxfId="243" priority="64"/>
  </conditionalFormatting>
  <conditionalFormatting sqref="A551">
    <cfRule type="duplicateValues" dxfId="242" priority="65"/>
  </conditionalFormatting>
  <conditionalFormatting sqref="B551">
    <cfRule type="duplicateValues" dxfId="241" priority="66"/>
  </conditionalFormatting>
  <conditionalFormatting sqref="A552">
    <cfRule type="duplicateValues" dxfId="240" priority="67"/>
  </conditionalFormatting>
  <conditionalFormatting sqref="B552">
    <cfRule type="duplicateValues" dxfId="239" priority="68"/>
  </conditionalFormatting>
  <conditionalFormatting sqref="A553">
    <cfRule type="duplicateValues" dxfId="238" priority="69"/>
  </conditionalFormatting>
  <conditionalFormatting sqref="B553">
    <cfRule type="duplicateValues" dxfId="237" priority="70"/>
  </conditionalFormatting>
  <conditionalFormatting sqref="A554">
    <cfRule type="duplicateValues" dxfId="236" priority="71"/>
  </conditionalFormatting>
  <conditionalFormatting sqref="B554">
    <cfRule type="duplicateValues" dxfId="235" priority="72"/>
  </conditionalFormatting>
  <conditionalFormatting sqref="A555">
    <cfRule type="duplicateValues" dxfId="234" priority="73"/>
  </conditionalFormatting>
  <conditionalFormatting sqref="B555">
    <cfRule type="duplicateValues" dxfId="233" priority="74"/>
  </conditionalFormatting>
  <conditionalFormatting sqref="A556">
    <cfRule type="duplicateValues" dxfId="232" priority="75"/>
  </conditionalFormatting>
  <conditionalFormatting sqref="B556">
    <cfRule type="duplicateValues" dxfId="231" priority="76"/>
  </conditionalFormatting>
  <conditionalFormatting sqref="A557">
    <cfRule type="duplicateValues" dxfId="230" priority="77"/>
  </conditionalFormatting>
  <conditionalFormatting sqref="B557">
    <cfRule type="duplicateValues" dxfId="229" priority="78"/>
  </conditionalFormatting>
  <conditionalFormatting sqref="A558">
    <cfRule type="duplicateValues" dxfId="228" priority="79"/>
  </conditionalFormatting>
  <conditionalFormatting sqref="B558">
    <cfRule type="duplicateValues" dxfId="227" priority="80"/>
  </conditionalFormatting>
  <conditionalFormatting sqref="A559">
    <cfRule type="duplicateValues" dxfId="226" priority="81"/>
  </conditionalFormatting>
  <conditionalFormatting sqref="B559">
    <cfRule type="duplicateValues" dxfId="225" priority="82"/>
  </conditionalFormatting>
  <conditionalFormatting sqref="A560">
    <cfRule type="duplicateValues" dxfId="224" priority="83"/>
  </conditionalFormatting>
  <conditionalFormatting sqref="B560">
    <cfRule type="duplicateValues" dxfId="223" priority="84"/>
  </conditionalFormatting>
  <conditionalFormatting sqref="A561">
    <cfRule type="duplicateValues" dxfId="222" priority="85"/>
  </conditionalFormatting>
  <conditionalFormatting sqref="B561">
    <cfRule type="duplicateValues" dxfId="221" priority="86"/>
  </conditionalFormatting>
  <conditionalFormatting sqref="A562">
    <cfRule type="duplicateValues" dxfId="220" priority="87"/>
  </conditionalFormatting>
  <conditionalFormatting sqref="B562">
    <cfRule type="duplicateValues" dxfId="219" priority="88"/>
  </conditionalFormatting>
  <conditionalFormatting sqref="B563">
    <cfRule type="duplicateValues" dxfId="218" priority="89"/>
  </conditionalFormatting>
  <conditionalFormatting sqref="B564">
    <cfRule type="duplicateValues" dxfId="217" priority="90"/>
  </conditionalFormatting>
  <conditionalFormatting sqref="A564">
    <cfRule type="duplicateValues" dxfId="216" priority="91"/>
  </conditionalFormatting>
  <conditionalFormatting sqref="A563:A564">
    <cfRule type="duplicateValues" dxfId="215" priority="92"/>
  </conditionalFormatting>
  <conditionalFormatting sqref="A565">
    <cfRule type="duplicateValues" dxfId="214" priority="93"/>
  </conditionalFormatting>
  <conditionalFormatting sqref="B565">
    <cfRule type="duplicateValues" dxfId="213" priority="94"/>
  </conditionalFormatting>
  <conditionalFormatting sqref="A566">
    <cfRule type="duplicateValues" dxfId="212" priority="95"/>
  </conditionalFormatting>
  <conditionalFormatting sqref="B566">
    <cfRule type="duplicateValues" dxfId="211" priority="96"/>
  </conditionalFormatting>
  <conditionalFormatting sqref="A567">
    <cfRule type="duplicateValues" dxfId="210" priority="97"/>
  </conditionalFormatting>
  <conditionalFormatting sqref="B567">
    <cfRule type="duplicateValues" dxfId="209" priority="98"/>
  </conditionalFormatting>
  <conditionalFormatting sqref="A568">
    <cfRule type="duplicateValues" dxfId="208" priority="99"/>
  </conditionalFormatting>
  <conditionalFormatting sqref="B568">
    <cfRule type="duplicateValues" dxfId="207" priority="100"/>
  </conditionalFormatting>
  <conditionalFormatting sqref="A569">
    <cfRule type="duplicateValues" dxfId="206" priority="101"/>
  </conditionalFormatting>
  <conditionalFormatting sqref="B569">
    <cfRule type="duplicateValues" dxfId="205" priority="102"/>
  </conditionalFormatting>
  <conditionalFormatting sqref="A570">
    <cfRule type="duplicateValues" dxfId="204" priority="103"/>
  </conditionalFormatting>
  <conditionalFormatting sqref="B570">
    <cfRule type="duplicateValues" dxfId="203" priority="104"/>
  </conditionalFormatting>
  <conditionalFormatting sqref="A571">
    <cfRule type="duplicateValues" dxfId="202" priority="105"/>
  </conditionalFormatting>
  <conditionalFormatting sqref="B571">
    <cfRule type="duplicateValues" dxfId="201" priority="106"/>
  </conditionalFormatting>
  <conditionalFormatting sqref="A572">
    <cfRule type="duplicateValues" dxfId="200" priority="107"/>
  </conditionalFormatting>
  <conditionalFormatting sqref="B572">
    <cfRule type="duplicateValues" dxfId="199" priority="108"/>
  </conditionalFormatting>
  <conditionalFormatting sqref="A573">
    <cfRule type="duplicateValues" dxfId="198" priority="109"/>
  </conditionalFormatting>
  <conditionalFormatting sqref="B573">
    <cfRule type="duplicateValues" dxfId="197" priority="110"/>
  </conditionalFormatting>
  <conditionalFormatting sqref="A574">
    <cfRule type="duplicateValues" dxfId="196" priority="111"/>
  </conditionalFormatting>
  <conditionalFormatting sqref="B574">
    <cfRule type="duplicateValues" dxfId="195" priority="112"/>
  </conditionalFormatting>
  <conditionalFormatting sqref="A575">
    <cfRule type="duplicateValues" dxfId="194" priority="113"/>
  </conditionalFormatting>
  <conditionalFormatting sqref="B575">
    <cfRule type="duplicateValues" dxfId="193" priority="114"/>
  </conditionalFormatting>
  <conditionalFormatting sqref="A576">
    <cfRule type="duplicateValues" dxfId="192" priority="115"/>
  </conditionalFormatting>
  <conditionalFormatting sqref="B576">
    <cfRule type="duplicateValues" dxfId="191" priority="116"/>
  </conditionalFormatting>
  <conditionalFormatting sqref="A577">
    <cfRule type="duplicateValues" dxfId="190" priority="117"/>
  </conditionalFormatting>
  <conditionalFormatting sqref="B577">
    <cfRule type="duplicateValues" dxfId="189" priority="118"/>
  </conditionalFormatting>
  <conditionalFormatting sqref="A578">
    <cfRule type="duplicateValues" dxfId="188" priority="119"/>
  </conditionalFormatting>
  <conditionalFormatting sqref="B578">
    <cfRule type="duplicateValues" dxfId="187" priority="120"/>
  </conditionalFormatting>
  <conditionalFormatting sqref="A579">
    <cfRule type="duplicateValues" dxfId="186" priority="121"/>
  </conditionalFormatting>
  <conditionalFormatting sqref="B579">
    <cfRule type="duplicateValues" dxfId="185" priority="122"/>
  </conditionalFormatting>
  <conditionalFormatting sqref="A580">
    <cfRule type="duplicateValues" dxfId="184" priority="123"/>
  </conditionalFormatting>
  <conditionalFormatting sqref="B580">
    <cfRule type="duplicateValues" dxfId="183" priority="124"/>
  </conditionalFormatting>
  <conditionalFormatting sqref="A581">
    <cfRule type="duplicateValues" dxfId="182" priority="125"/>
  </conditionalFormatting>
  <conditionalFormatting sqref="B581">
    <cfRule type="duplicateValues" dxfId="181" priority="126"/>
  </conditionalFormatting>
  <conditionalFormatting sqref="A582">
    <cfRule type="duplicateValues" dxfId="180" priority="127"/>
  </conditionalFormatting>
  <conditionalFormatting sqref="B582">
    <cfRule type="duplicateValues" dxfId="179" priority="128"/>
  </conditionalFormatting>
  <conditionalFormatting sqref="A583">
    <cfRule type="duplicateValues" dxfId="178" priority="129"/>
  </conditionalFormatting>
  <conditionalFormatting sqref="B583">
    <cfRule type="duplicateValues" dxfId="177" priority="130"/>
  </conditionalFormatting>
  <conditionalFormatting sqref="A584">
    <cfRule type="duplicateValues" dxfId="176" priority="131"/>
  </conditionalFormatting>
  <conditionalFormatting sqref="B584">
    <cfRule type="duplicateValues" dxfId="175" priority="132"/>
  </conditionalFormatting>
  <conditionalFormatting sqref="A585">
    <cfRule type="duplicateValues" dxfId="174" priority="133"/>
  </conditionalFormatting>
  <conditionalFormatting sqref="B585">
    <cfRule type="duplicateValues" dxfId="173" priority="134"/>
  </conditionalFormatting>
  <conditionalFormatting sqref="A586">
    <cfRule type="duplicateValues" dxfId="172" priority="135"/>
  </conditionalFormatting>
  <conditionalFormatting sqref="B586">
    <cfRule type="duplicateValues" dxfId="171" priority="136"/>
  </conditionalFormatting>
  <conditionalFormatting sqref="A587">
    <cfRule type="duplicateValues" dxfId="170" priority="137"/>
  </conditionalFormatting>
  <conditionalFormatting sqref="B587">
    <cfRule type="duplicateValues" dxfId="169" priority="138"/>
  </conditionalFormatting>
  <conditionalFormatting sqref="A588">
    <cfRule type="duplicateValues" dxfId="168" priority="139"/>
  </conditionalFormatting>
  <conditionalFormatting sqref="B588">
    <cfRule type="duplicateValues" dxfId="167" priority="140"/>
  </conditionalFormatting>
  <conditionalFormatting sqref="A595">
    <cfRule type="duplicateValues" dxfId="166" priority="1"/>
  </conditionalFormatting>
  <conditionalFormatting sqref="B595">
    <cfRule type="duplicateValues" dxfId="165" priority="2"/>
  </conditionalFormatting>
  <dataValidations xWindow="893" yWindow="555" count="17">
    <dataValidation type="decimal" allowBlank="1" showInputMessage="1" showErrorMessage="1" prompt="Float" sqref="T671:X674 P4119:AC4212 Z671:Z673 Z593 K150:N150 J622:K651 L529:N529 P676:Q682 L1240:M1242 Z4348:Z4357 J654:K669 J676:K788 V4423:Z4430 Z676:Z677 J890:K895 Z891:Z895 Z679:Z682 P593:Q593 P506:Q506 P274:Q282 P671:Q674 P654:Q654 P1091:X1091 AC891:AC894 Z277:Z278 J971:K971 Z274:Z275 P4118:T4118 J978:K978 J526:K589 P1111:X1112 P1123:X1124 P1154:T1159 L3922:O3922 J3859:J3861 P3910:P3950 Q3916:Y3923 F3920:F3921 J505:K524 P1326:X1329 Z1172:AC1178 Z1179:Z1186 Z1187:AC1207 Z1224:AC1225 Z1227:AC1227 Z280:Z281 Z1279 P1350:X1357 P1364:X1366 P1372:X1372 P1407:X1407 P1469:X1469 P150:X150 P1489:X1497 P1502:X1502 P1517:X1519 P1528:X1528 P1561:X1561 P1565:X1568 P1570:X1570 P1572:X1572 P1574:X1584 P1592:X1592 P1594:X1594 P1649:X1649 U4416:U4430 J4320:Y4321 Y4416:AB4417 V4418:AB4422 P1668:X1668 P1672:X1674 J1152:K1195 P1849:T1850 Z603:Z618 AA4412:AB4412 J591:K620 P1922:X1937 P1972:X1975 P1990:X1990 P1995:X1998 P2030:X2031 P2027:X2028 P2033:X2034 P2057:T2058 AA2041:AB2049 AC2041:AC2058 J2163:J2170 V2057:W2057 X2056:X2058 U2058:W2058 P2072:X2074 Z2041:Z2058 K2177:K2179 P2056:W2056 P2089:X2090 P2123:X2126 P2129:X2129 P2132:X2132 K2309:K2310 K231:K442 P603:X618 P2041:X2055 V1849:X1850 P1627:X1629 P1612:X1622 P1608:X1608 P1603:X1603 P1597:X1597 P1605:X1605 P1279:X1280 P1277:X1277 P1243:X1250 P1227:X1227 P1224:X1225 P1160:X1207 P1145:X1145 P1131:X1131 P1137:X1137 P1135:X1135 P1133:X1133 P1129:X1129 P978:X978 P971:X971 P950:X950 P891:X895 P2942:Y2942 T654:X654 T676:X682 T593:X593 T274:X282 T506:X506 Z506 J2040:K2058 Q2171 Q2173:Q2175 Q2177:Q2179 K2189:K2201 P2550:Y2551 P2565:Y2565 P2560:Y2560 P2583:Y2584 P2592:Y2599 P2679:X2681 P2841:T2843 U2675:U2854 V2841:X2843 P2823:T2825 P2805:T2807 P2787:T2789 P2769:T2771 P2751:T2753 P2733:T2735 P2715:T2717 P2697:T2699 L4412:Z4413 V2697:X2699 V2715:X2717 V2733:X2735 V2751:X2753 V2769:X2771 V2787:X2789 V2805:X2807 V2823:X2825 P2915:Y2915 P2932:Y2932 P2496:S2499 J2510:K2510 K2531 J2506:K2506 Z2509 P2500:P2510 P2963:X2964 R2500:S2510 Q2501:Q2510 T2499:X2510 X2496:X2497 Y2501:Y2510 Z2499:Z2503 Z2505 Z2507 J2508:K2508 K2500:K2504 Y2499 K2528 T2496:T2497 V2496:V2497 P2973:X2974 P3011:X3011 J2973:N2974 P3013:X3013 P3026:Y3026 P3033:Y3033 P3081:Y3081 P3084:Y3090 P3116:Y3116 J3084:N3090 Q3102:Q3105 P3145:Y3145 P3153:Y3153 P2439:X2439 J3153:N3153 P2436:X2436 P2433:X2433 P2430:X2430 P2427:X2427 P2442:X2442 P2447:Y2447 P2454:Y2455 P3183:Y3183 AC4366:AC4372 P3185:Y3185 P3202:Y3202 P3216:Y3226 P3228:Y3228 P3231:Y3233 P3259:X3260 P3293:U3294 J3259:N3260 P3295:Z3296 P3297:T3298 Z3297:AC3298 P3299:AC3302 V3297:X3298 V3303:X3304 AC3303:AC3329 P3303:T3304 P3305:Y3314 P3325:T3325 P3315:T3323 V3315:V3323 V3325 X3327:Y3329 X3325:Y3325 X3315:Y3323 P3327:T3329 P3330:U3340 K3278:K3285 Z3303:Z3344 V3327:V3340 W3330:Y3340 P3343:Y3343 P3345:Y3346 P3349:AC3349 Z3345:AC3348 Z3350:AC3351 P3352:AC3352 Z3353:AC3354 Z3356:AC3357 Z3359:AC3360 P3355:AC3355 P3358:AC3358 P3361:T3362 V3361:AC3362 R3371:AC3371 P3363:P3371 P3372:AC3398 Q3370:AC3370 Q3368:AC3368 R3363:AC3367 R3369:AC3369 R3399:V3399 P3399 X3399:AC3399 P3400:AC3409 V3410:X3411 P3410:T3411 Z3410:AC3411 P3412:AC3418 P3436:U3437 U3419 W3419 AD3421:AE3429 Y3419:AB3419 AC3419:AC3532 AA3420:AB3420 AD3433:AE3441 X3451:X3459 P3419:T3435 P3438:T3447 V3451:V3459 W3436:W3437 P3451:T3459 X3419:X3447 V3419:V3447 P3511:U3512 AD3469:AE3477 AD3481:AE3489 AD3493:AE3501 AD3505:AE3513 P3462:T3510 Y3529:Y3532 P3536:U3539 W3511:W3512 Y3511:Y3512 AD3517:AE3525 P3513:T3535 P3540:T3542 W3529:W3534 W3536:W3542 Y3536:Y3539 X3462:X3542 V3462:V3542 Z3420:Z3582 P3546:P3551 P3553:P3574 R3553:Y3574 R3546:T3551 V3546:Y3551 P3575:Y3583 AA3533:AC3583 V3584:V3597 X3584:Z3584 Z3585:AB3586 W3586:W3592 AA3592:AB3592 W3594:W3673 P3594:U3598 Y3592 P3584:T3593 U3592 Y3594:Y3612 Z3587:Z3632 U3600:U3673 AA3594:AB3616 Y3614:Y3673 AA3619:AB3619 AC3584:AC3647 AA3621:AB3637 Z3638:AB3647 Z3648:Z3651 Z3656:AC3665 W3678:W3693 Y3678:Y3681 W3675:W3676 X3585:X3693 AA3668:AC3681 Z3666:Z3693 V3599:V3693 P3678:U3681 P3599:T3677 V3706:V3724 X3709:X3724 V3694:X3697 V3700:X3703 P3705:T3713 P3682:T3703 V3705:X3705 W3706:X3708 Z3694:AC3713 K3546:K3627 P3714:U3715 W3714:W3724 P3716:S3724 T3717:T3724 U3716 U3719:U3724 AA3682:AB3693 Y3714:AC3724 P3725:AC3737 P3738:T3738 X3738:Y3738 P3739:U3741 Z3738:Z3741 V3738:V3741 P3742:R3760 W3739:Y3741 AA3739:AC3741 U3748:AC3753 V3742:X3747 Z3742:AC3747 Z3754:AC3756 V3754:X3756 U3757:AC3761 S3757:S3760 V3779:X3783 U3768:AC3772 U3762:AE3767 Z3779:AC3783 U3773:AE3778 P3826:Y3844 U3784:AC3787 P3761:S3820 V3788:V3820 X3788:X3820 P3822:T3822 T3742:T3820 V3822 X3822 P3824:T3824 P3845:AC3851 Z3788:AC3844 V3824 X3824 P3852:T3852 P3853:U3858 Z3852:AC3852 Z3859:AC3861 P3859:P3861 Y3853:AC3858 R3859:T3861 Y3862:AC3869 Y3870:Z3887 X3852:X3897 V3852:V3897 W3853:W3897 AC3870:AC3897 P3891:AC3896 Y3888:AB3897 O3897 P4386:Y4387 P2947:Y2947 P4381:T4382 P3898:AC3901 V4381:V4382 X4381:X4382 Y4381:Y4383 W4381:W4383 U4381:U4383 P3902:Z3903 AC3902:AC3909 P3904:AB3909 F3908 F3910:F3915 P3952:X3954 R3910:Z3915 AA4429:AB4430 Q3924:X3924 Z3916:Z3922 Q3925:AC3930 AC3931:AC3936 R3931:Z3937 V3938:Z3938 Q3938:T3938 T3939:Z3940 Q3939:R3940 R3941:X3942 Q3943:Y3950 Z3941:Z3950 AC3939:AC3950 AA3943:AB3950 L3925:M3950 Y3951:AC3954 N3924:N3950 L3923:N3923 P3959:P3960 P3955:AC3958 P3961:V3967 R3959:V3960 X3959:AC3960 F3958:F3967 P3968:AC3975 X3961:Z3967 F3970:F3971 P3976:Z3980 P3981:AC3988 Z3989:AC3991 P3992:AC3993 P3994:P3995 P3996:Q3997 J3994:L4002 N3998:N4002 P3998:P4002 R3994:X3998 M3999:M4002 Z3994:Z4037 AA3994:AC3997 Q3999:X4002 J3992:N3993 Y3996:Y4002 AA3999:AC4003 AA4005:AC4013 AA4015:AC4023 AA4025:AC4033 P4004:Y4037 P4038:P4056 AA4036:AC4047 R4038:V4047 P4057:Z4057 Z4048:Z4056 Q4048:T4056 AC4048:AC4057 P4059:Z4060 V4048:V4056 X4038:X4056 P4061:Y4067 Q4058:Y4058 AA4060:AC4063 Z4064:AC4067 P4068:AC4073 P4074 R4076:Y4077 P4075:Y4075 P4076:P4077 P4078:Y4083 R4074:Y4074 Z4074:AC4083 P4084:AC4084 Z4085:Z4107 P4085:T4087 V4085:X4087 P4088:Y4096 AA4088:AC4094 P4097:T4097 AC4095:AC4099 V4097:X4098 V4118:X4118 R4098:S4098 AA4097:AB4098 Z4118:AC4118 L4099:N4228 AC4101 G4099:G4116 AA4113:AB4116 F4113:F4116 I4109:I4117 P4107:Q4107 R4110:Z4116 R4099:Y4107 P4099:Q4099 P4108:Z4109 P4104:Q4105 P4101:Q4102 P4112:Q4117 R4117:AB4117 AC4110:AC4117 P4213:Z4214 AC4213:AC4214 P4215:AC4220 P4226:AB4228 AC4221:AC4243 P4221:Z4225 P4230:AB4232 Z4229:AB4229 P4234 P4235:AB4236 R4234:T4234 Z4233:AB4234 P4237:P4244 V4234:X4234 R4237:T4240 AA4237:AB4240 U4239:Z4240 V4237:X4238 Z4237:Z4238 Q4239:Q4243 R4241:AB4243 P4263 V4244:X4244 R4244:T4244 Z4244 AA4247:AC4251 AC4245 V4263:AC4263 AA4255:AB4255 R4263:T4263 P4264:AC4270 P4276:P4278 P4271:T4275 P4279:AC4280 V4271:X4275 R4276:AC4278 P4281:Z4281 Z4271:Z4275 P4282:AC4285 P4286:T4286 Z4286:AC4286 P4287:Z4288 V4286:X4286 AA4287:AB4287 AC4287:AC4313 P4289:AB4290 P4245:Z4257 P4258:AB4262 AA4291:AB4302 AC4252:AC4262 P4291:T4302 V4291:X4302 P4303:AB4304 L531:N531 D4119:G4202 L4234:N4304 AA3922:AC3922 M3996:N3997 M3994:N3994 N3995 J3952:N3988 F3923:F3927 K4386:N4387 P3862:U3897 O3888:O3890 K3629:K3703 L3553:N3703 L3546:N3551 L3293:N3323 J3145:N3145 K3102:K3105 K3034:K3037 K3033:N3033 J3001 J2949:N2952 M2500:N2510 K2496:N2499 K2537:K2539 L891:N895 M971:N971 M978:N978 L603:N618 L2041:N2058 J1665:J1666 J1131:N1131 L1154:N1195 L654:N654 K482:K499 L274:N282 L506:N506 L593:N593 L676:N682 V4311:X4311 L4305:Q4310 S4305:U4306 R4307:U4310 V4305:Z4310 AA4306:AB4310 Z4311:AB4311 L4311:T4311 L4312:AB4313 R4316:T4316 L4316:P4316 L4317:Y4318 Z4314:Z4325 AA4317:AC4319 L4314:P4314 R4314:T4314 V4314:X4314 V4316:X4316 L4315:Y4315 AA4315:AC4315 AC4320:AC4325 J4234:K4318 K4322:P4323 R4322:T4323 V4322:Y4323 AA4322:AB4325 L4326:AC4328 L4324:Y4325 L4329:AD4333 AA4334:AC4334 L4334:Y4334 L4335:AC4341 Z4342:AC4342 Z4345:AC4345 AC4343:AC4344 L4342:Y4357 L4358:AC4358 AC4346:AC4349 AA4359:AC4364 P2949:Y2952 AC4355:AC4357 L4363:Z4364 P4361:Y4362 L4359:O4362 P4359:Y4359 R4360:Y4360 L4365:AC4365 Z4373:Z4378 L4366:Z4366 N4370:O4374 P4373:Q4374 R4367:Z4367 AA4375:AC4378 L4375:Y4378 J2313:K2313 P4367:Q4370 L4367:M4374 R4368:Y4374 L4388:Z4390 L4391:AC4397 Z4402:AB4402 L4398:Z4401 AC4398 X4402:X4403 L4402:V4402 Z4409:AB4409 Y4403:Z4403 L4403:W4403 L4409:X4409 L4410:Z4410 Z4414:Z4415 L4406:AB4408 L4404:Z4405 L4411:AB4411 AD4414:AE4415 J2:J150 J157:J442 J452:J499 K458 K466 K473 J671:N674 J1091:N1091 J1111:N1112 J1123:N1124 J950:N950 K1138 K1136 K1130 K1132 K1134 J1137:N1137 J1135:N1135 J1133:N1133 J1129:N1129 J1326:N1329 J1350:N1357 J1364:N1366 J1372:N1372 J1407:N1407 J1469:N1469 J1489:N1497 J1502:N1502 J1517:N1519 J1528:N1528 J1561:N1561 J1565:N1568 J1570:N1570 J1572:N1572 J1574:N1584 J1592:N1592 J1594:N1594 J1649:N1649 J1627:N1629 J1612:N1622 J1608:N1608 J1603:N1603 J1597:N1597 J1605:N1605 J1279:N1280 J1277:N1277 J1243:N1250 J1227:N1227 J1224:N1225 J1196:N1207 J1145:N1145 J1668:N1668 J1672:N1674 J1849:N1850 J1922:N1937 J1972:N1975 J1990:N1990 J1995:N1998 J2030:N2031 J2027:N2028 J2033:N2034 J2072:N2074 J2089:N2090 J2123:N2126 J2129:N2129 J2132:N2132 Q2163 K2173:K2175 K2163:K2171 J2189:J2197 J2454:N2455 J2439:N2439 J2436:N2436 J2433:N2433 J2430:N2430 J2427:N2427 J2442:N2442 J2447:N2447 J2496:J2504 J2947:N2947 J2550:N2551 J2565:N2565 J2560:N2560 J2583:N2584 J2592:N2599 J2679:N2681 J2841:N2843 J2823:N2825 J2805:N2807 J2787:N2789 J2769:N2771 J2751:N2753 J2733:N2735 J2715:N2717 J2697:N2699 J2915:N2915 J2932:N2932 J2942:N2942 J2963:N2964 J3011:N3011 J3013:N3013 J3026:N3026 J3033:J3037 J3081:N3081 J3116:N3116 J3183:N3183 J3185:N3185 J3202:N3202 J3216:N3226 J3228:N3228 J3231:N3233 J3291:K3323 J3325:N3325 J3327:N3340 J3343:N3343 J3345:N3346 J3349:N3349 J3352:N3352 J3355:N3355 J3358:N3358 J3361:N3447 J3451:N3459 K3462:N3542 J3462:J3703 J3705:N3820 J3822:N3822 J3824:N3824 J3826:K3858 L3826:N3921 J3862:K3950 L4004:N4097 J4004:K4228 J4230:N4232 J4381:N4382 L4414:T4430 K4324:K1048576 V4414:X4417 AC4401:AC4430 J4322:J1048576" xr:uid="{A31F19C7-1415-4EDA-80C2-FBCDB9D5E515}">
      <formula1>0</formula1>
      <formula2>9999</formula2>
    </dataValidation>
    <dataValidation type="decimal" allowBlank="1" showInputMessage="1" showErrorMessage="1" prompt="Float_x000a_" sqref="P655:Q669 P283:Q386 P390:Q390 Z522 P394:Q442 J789:K895 Q452:Q471 P453:P471 P503:Q503 P505:Q505 P507:Q524 L526:N528 Z787 K3543:N3545 L530:N530 L532:N589 P591:Q592 P683:Q768 L622:N651 P2:Q149 T628:T630 Q3998 P772:Q786 Z155:Z156 L4431:N1048576 R860:T863 Z887:Z895 AC869:AC894 P4098:Q4098 P845:Q886 L683:N895 AC845:AC862 Z811:Z814 M3998 M957:M960 U4048:U4056 Q4038:Q4047 P4058 M969 M964:M967 M962 L971 L978 Q4074 S1130 S1136 Q1136 M1127:M1128 M1130 M1136 M1134 M1132 Q4076:Q4077 S1134 L594:N602 L151:N273 L1227:N1227 Q1134 S1127:S1128 Q1132 Q1130 Q1128 L1219:N1225 P619:Q651 Q1138 P1219:S1225 S1138 M1138 L1152:L1153 P1227:S1227 P151:Q273 M1297:N1297 L1417 N1417 R1503:R1508 M1660 Q1660 R231:S231 P594:Q602 K2:N149 L619:N620 Q4276:Q4278 P1837:P1838 Q1837:Q1839 P473:Q499 Q2087:Q2088 Q2109:Q2110 S2109:S2110 M2109:M2110 S2112:S2113 Q2112:Q2113 P2130:P2131 R482:S482 L452:N499 P4110:Q4111 R484:S484 R487:S488 R490:S490 R492:S492 R494:S494 R498:S498 W2374 R845:X859 V860:X860 U861:X862 R864:X886 P887:X895 W863:X863 T155:X156 P787:X844 T522:X522 T634:X649 Z634:Z649 U2329 J2316:K2320 U2316 J503:N503 Y2316 W2316 Q2316 Q2329 Q2338 Q2347 Q2356 Q2365 Q2374 W2347 W2329 W2365 W2338 W2356 Q2547 P2553:Q2553 P2561:P2562 P4371:Q4372 N4367:N4369 U2880:U2881 Y2880:Y2881 Q2874:Q2881 P4100:Q4100 Q2531:Q2532 Q2528:Q2529 Q2500 S2538:S2539 P4106:Q4106 M2537 Q2537:Q2539 L2953:L2955 N2955 P2953:P2955 S2999 S3001 R3023:R3024 L3023:L3024 N3023:N3024 N3063 L3063 Q3064 L3552:N3552 Q3082 S3117 K2329:K2382 M3261:M3262 Y3278:Y3285 U3278:U3285 Q3278:Q3285 Q3291:S3292 N3289:N3292 M3291:M3292 L3289:L3292 P3543:Y3545 P3286:P3292 Q3399 Q3546:Q3558 R3552:Y3552 P3552 P4103:Q4103 Q3560:Q3574 U3742:U3747 U3754:U3756 S3742:S3756 U3779:U3783 Q4234 Q4244 K151:K230 Q3910:Q3915 L3924:M3924 Q3931:Q3937 S3939:S3940 Q3941:Q3942 Q4263 L4098:N4098 Q3959:Q3960 M3995 Q3994:Q3995 L591:N592 L507:N524 L505:N505 L394:N442 L390:N390 L283:N386 L655:N669 R4305:R4306 Q4316 Q4314 P4431:S1048576 Q4322:Q4323 P4360:Q4360 L4379:N4387 P4379:S4387 Z789:Z808 Z816:Z882 J151:J156 J621:N621 J2356:J2364 Q526:Q589 P526:P536 P589" xr:uid="{527C52A9-DE02-4C4B-B7CB-B9D5B3B133F3}">
      <formula1>0</formula1>
      <formula2>999999999</formula2>
    </dataValidation>
    <dataValidation type="decimal" allowBlank="1" showInputMessage="1" showErrorMessage="1" prompt="Float_x000a__x000a_" sqref="R390:U390 V244:X244 V241:X242 T655:U669 T631:T633 V114:V137 V14 V139:V147 T151:U154 T283:U386 T394:U442 U619:U633 T452:U471 V489 V481 V483 V485 V487 R503:U503 R505:U505 T507:U521 T523:U524 T157:U273 T591:U592 V631 T683:U768 R504:S504 T148:T149 U773:U786 T772:T786 U860 U863 U974 U1154:U1159 T1219:U1225 T1227:U1227 U1474:U1475 R232:S389 R151:S230 U1510 U1660 Q1665:Q1666 U1665:U1666 U2374 T526:U589 T2:U137 R2:S149 U139:U149 R506:S602 T594:U602 T619:T627 R619:S786 U1809:U1810 U1813:U1822 U1849:U1851 U2057 R483:S483 T473:U499 R499:S502 R485:S486 R489:S489 R491:S491 R493:S493 R495:S497 R391:S481 U2177:U2179 Y2177:Y2178 Q2187:Q2188 U2211:U2216 V157:X159 Y2163:Y2170 P3344:Y3344 U2338 U2347 U2356 U2365 Y2582 U2582 T2587 Y2600:Y2674 U2601:U2674 U2855:U2873 U2528:U2529 U2531:U2532 U2534:U2539 U4322:U4323 T2498 U2496:U2498 U3204:U3215 U3227 U3241:U3244 T3266:T3270 T3286:T3288 T3291:U3292 U3297:U3298 U3303:U3304 U3315:U3323 V3326:Y3326 P3326:T3326 P3341:Y3342 U3325:U3329 U4118 P3347:Y3348 P3350:Y3351 P3359:Y3360 P3353:Y3354 P3356:Y3357 U3361:U3362 U3410:U3411 U3420:U3435 U3451:U3459 U3438:U3447 U3462:U3510 U3513:U3535 Q3567:Q3568 Q3555:Q3556 U3540:U3542 Q3562:Q3563 U3584:U3591 U3593 U3599 U3674:U3677 W3674 W3677 P3704:T3704 V3698:X3699 V3704:X3704 P3821:T3821 U3682:U3713 T3716 U3717:U3718 U3738 U3754:U3756 U3742:U3747 U3779:U3783 V3825:Y3825 U3788:U3825 P3823:T3823 V3821:Y3821 V3823:Y3823 P3825:T3825 P3951:X3951 U3852 Q3859:Q3861 J3704:N3704 U3859:U3861 U3938 P3989:Y3991 P4003:Y4003 P3324:Y3324 U4085:U4087 U4097:U4098 T4098 T4431:U1048576 U4234 Q4237:Q4238 U4237:U4238 U4244 U4263 U4286 U4271:U4275 U4291:U4302 J3989:N3991 J3951:N3951 K3859:K3861 J3356:N3357 Y2538:Y2539 U4311 U4316 U4314 T4379:U4387 U4414:U4415 U2163:U2175 J3324:N3324 J3326:N3326 J3341:N3342 J3344:N3344 J3347:N3348 J3350:N3351 J3359:N3360 J3353:N3354 J3821:N3821 J3823:N3823 J3825:N3825 J4003:N4003" xr:uid="{E87CC64E-AFD0-4CFE-8752-EBEEA36DDE6A}">
      <formula1>0</formula1>
      <formula2>9999999</formula2>
    </dataValidation>
    <dataValidation type="decimal" allowBlank="1" showInputMessage="1" showErrorMessage="1" prompt="Preferably an integer, but a float acceptible if reported as a mean. 1 = Fire returns each year." sqref="Z627:Z633 Z619:Z625 Z231:Z273 Z157:Z228 Z678 Z2:Z13 Z283:Z442 Z455:Z463 Z465:Z467 Z488 Z490 Z473:Z486 Z498 Z492 Z503 Z505 Z507:Z514 Z516:Z518 Z521 Z523:Z526 Z528 Z530 Z532:Z533 Z535:Z589 Z591 Z594:Z599 Z113:Z154 Z674 Z655:Z669 Z788 Z683:Z786 Z815 Z883:Z886 Z926:Z927 Z452:Z453 Z1053 Z1055 Z1070:Z1077 Z1160 Z1162:Z1171 AA1224:AC1225 Z1219:Z1225 Z1227:AC1227 Z1242 Z1367 Z1501 Z1499 Z1520:Z1524 Z1560 Z1571 Z1632:Z1634 Z601:Z602 Z1693:Z1702 Z1855:Z1857 Z1895 Z1905 Z2130:Z2131 Z2495 Z2506 Z2504 Z2510 Z2508 Z2966:Z2972 Z3012 Z3029 Z3066 Z3082 Z3110 Z2389:Z2400 Z3176:Z3182 AC4366:AC4372 Z3184 Z3203 Z3286 Q3568 Z3583 Z3633:Z3637 Z3652:Z3655 Z3923 P3959:P3960 R3959:V3960 P3961:V3967 AA3955:AC3960 F3958:F3967 Y3951:Y3978 X3959:X3978 F3970:F3971 AA3968:AC3975 P3968:W3978 J3976:J3980 P3979:Y3988 P3992:Y3993 L3994:L4002 P3994:P3995 P3996:Q3997 J3992:N3993 L4004:N4004 P3998:P4002 N3998:N4002 R3994:X3998 J3997:J3998 M3999:M4002 AA3981:AC3997 Q3999:X4002 Y3996:Y4002 AA3999:AC4003 AA4005:AC4013 AA4015:AC4023 AA4025:AC4033 P4048:T4056 P4004:Y4037 P4038:P4047 R4038:T4047 P4060:AC4060 AA4036:AC4047 V4038:V4056 Z3951:Z4056 P4057:Z4057 AC4048:AC4057 P4061:Y4064 X4038:X4056 P4059:Y4059 Z4058:Z4059 P4068:AC4072 Q4058:Y4058 Z4061:AC4067 P4073:Y4073 P4078:Y4079 R4076:Y4077 P4074 P4075:Y4075 P4076:P4077 P4084:Y4084 R4074:Y4074 Z4073:AC4084 P4089:Y4090 P4085:T4087 P4092:Y4096 V4085:X4087 AA4088:AC4094 P4097:T4097 AC4095:AC4099 J4092:J4108 V4118:X4118 R4098:S4098 V4097:X4098 AA4097:AB4098 AC4101 G4099:G4116 P4109:Z4109 F4113:F4116 R4110:Y4111 P4099:Q4099 Z4085:Z4108 R4099:Y4108 P4107:Q4108 P4104:Q4105 P4101:Q4102 P4112:Y4117 AA4113:AB4117 AC4110:AC4117 AC4213:AC4214 AA4215:AC4220 AC4221:AC4243 P4230:Y4232 P4234 P4235:Y4236 R4234:T4234 V4234:X4234 U4239:Y4240 V4237:X4238 R4237:T4240 Q4239:Q4243 V4244:X4244 P4237:P4244 R4241:Y4243 AA4226:AB4243 P4263 J4241:N4243 R4244:T4244 AA4247:AC4251 AC4245 P4264:Y4266 AA4255:AB4255 R4263:T4263 V4263:Y4263 P4271:T4275 P4279:Y4279 P4276:P4278 R4276:Y4278 P4281:Y4285 V4271:X4275 AA4263:AC4270 AA4276:AC4280 V4286:X4286 P4286:T4286 P4290:AC4290 AA4282:AC4287 P4289:AB4289 P4288:Z4288 P4291:T4302 AC4288:AC4289 P4245:Y4257 P4260:Y4262 AC4252:AC4262 I4109:J4117 P4303:Y4304 AA4258:AB4262 V4291:X4302 R4307:U4310 D4119:G4202 Z4291:AC4304 J4244:J4247 L4276:N4278 J4271:N4275 J4248:K4257 L4263:N4263 L4244:N4257 J4237:J4240 L4237:N4240 L4234:N4234 L4099:N4225 K4092:N4097 Z4431:Z1048576 K4048:N4064 L4038:N4047 K4025:N4037 K4005:N4013 J3999:K4002 M3996:N3997 N3995 M3994:N3994 J3987:N3988 J3981:K3983 L3976:N3986 J3972 L3972:N3972 J3958:J3960 L3958:N3960 AA4118:AC4212 P3952:X3958 J4288:N4304 L4305:Q4310 S4305:U4306 V4305:Z4309 V4310:Y4310 AC4305:AC4313 L4311:T4311 V4311:X4311 L4312:Y4313 AA4306:AB4313 L4316:P4316 V4316:X4316 AA4315:AC4315 V4314:X4314 L4314:P4314 R4314:T4314 R4316:T4316 J4307:K4313 AA4317:AC4319 AC4320:AC4325 R4322:T4323 J4316:J4318 L4322:P4323 V4322:Y4323 J4320:Y4321 AA4326:AC4328 AA4322:AB4325 L4325:Y4328 AA4329:AD4333 AA4334:AC4341 AA4342:AB4342 AA4345:AC4345 AC4342:AC4344 Z4310:Z4357 K4358:Y4358 AC4346:AC4349 K4359:O4362 AC4355:AC4357 P4361:Y4362 K4363:Y4366 P4359:Y4359 R4360:Y4360 Z4358:AC4365 K4375:Y4378 R4369:Y4374 P4369:Q4370 N4370:O4374 P4373:Q4374 AA4375:AC4378 K4367:M4374 P4367:Y4368 J4322:J4323 Z4366:Z4387 Z4110:Z4287 P4118:T4118 P4119:Y4228 J3952:N3957 J3961:N3971 J3973:N3975 J3996:K3996 J3994:J3995 J4004:J4013 J4015:K4023 L4014:N4024 J4024:J4064 J4068:N4079 J4084:N4087 J4089:N4090 K4098:K4220 J4118:J4225 J4230:N4232 J4235:N4236 J4226:N4228 J4234 K4245:K4246 J4260:N4262 J4264:N4266 J4279:N4279 J4281:N4286 K4317:Y4318 J4315:Y4315 J4314 J4324:Y4324 J4358:J4378 J4329:Y4356 J4325:J4328" xr:uid="{DB0CF41C-C919-4286-B69F-EBFA0046E5D7}">
      <formula1>0</formula1>
      <formula2>50</formula2>
    </dataValidation>
    <dataValidation type="decimal" allowBlank="1" showInputMessage="1" showErrorMessage="1" prompt="Float between 0-100" sqref="V683:X768 Z670 W1128 V245:X273 V523:X589 T387:X389 V2:V13 T590:X590 T139:T147 T138:V138 Z229:Z230 V243:X243 T391:U393 V283:X386 T472:W472 V390:X442 V503:X503 Z468:Z472 Z464 V452:W471 T525:U525 V473:V480 V482 V484 V486 V488 Z493:Z497 Z491 Z489 Z487 V505:X505 V507:X521 Z519:Z520 Z515 Z590 V591:X592 Z527 Z529 Z531 Z534 V160:X240 Z592 T769:X771 V151:X154 Z626 Z600 V632:V633 V655:X669 T675:X675 Z675 U772 Z650:Z654 W1813:W1822 P590:Q590 P525:Q525 P472:Q472 P391:Q393 P387:Q389 P652:Q653 P670:Q670 P675:Q675 P3448:V3450 W2003:W2005 V772:X786 V863 Y2171:Y2175 Z454 W619:X633 W1138 V1219:X1225 W1130 W1132 W1134 W1136 V1227:X1227 W473:W499 W1409:W1410 X452:X499 X1560 W2:X149 W1665:W1666 Z14:Z112 V15:V113 V594:X602 V148:V149 W2130:W2131 V619:V630 V490:V499 W1809:W1810 T650:X653 T670:X670 W2172:W2173 V2383:V2388 W2544 Y2552 W2552 X2587 Y2496:Y2498 Y2534:Y2537 J590:N590 V2498 X2498 W2976 W3160:W3167 X2449 W2496:W2498 Y3184 Y3186:Y3191 Y3204:Y3205 W3204:W3215 W3227 W3244 V3246 V3258 V3266:V3270 J670:N670 J675:N675 W3325 W3315:W3323 W3327:W3329 W3399 Y3410:Y3411 P3460:V3461 W3421:W3435 X3460:X3461 W3513:W3528 X3448:X3450 Y3513:Y3528 P769:Q771 W3438:W3510 Y3421:Y3510 Q3557:Q3558 Q3564:Q3566 Y3585 W3584:W3585 W3593 V3598 W3709:W3713 W3738 W3824 Y3824 W3788:W3820 Y3788:Y3820 Y3822 W3822 W3852 W3959:W3967 W4038:W4056 Y4038:Y4056 J652:N653 L387:N389 L391:N393 V4431:X1048576 V4379:X4387 W4402 J525:N525 J3448:N3450 J3460:N3461"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B4379:B4387 B2540:B2543 B2157:B2162 A2189:A2400 B2145:B2148 B2547:B2551 F2561:F2562 B2568:B2573 B2582:B2584 A2443:A2444 A2764 A2782 A2855:A2875 F2592:F2873 G2565:G2873 A2953:A2965 B2995:B2996 B3006:B3008 B3011:B3013 B3016:B3017 A3063:A3083 B3098:B3109 B3120:B3126 B3134:B3159 B3176:B3183 A2403:A2424 B2454:B2455 B3186:B3191 A3098:A3204 A3231:A3237 B3236:B3237 A3239 A3244:A3246 A3258:A3265 B3289:B3294 B3307:B3314 A3271:A3314 B3352:B3354 B3381:B3389 B3412:B3417 A3341:A3420 B3531:B3532 A3529:A3540 B3582:B3583 A3576:A3585 B3592:B3597 B3624:B3632 A3592:A3632 B3663:B3665 A3656:A3681 B3716:B3718 A3714:A3726 B3736:B3739 B3742:B3744 B3748:B3750 B3754:B3758 B3762:B3764 B3773:B3775 B3768:B3769 A3733:A3783 B3779:B3783 A3787 B3862:B3868 B3879:B3887 A3845:A3903 B3956 A3908:A3960 B2998:B3001 B4074:B4081 B4303:B4310 A4302:A1048576 A4271:B4280 B4256:B4262 A4289:A4290 A4203:A4205 A4074:A4118 B4342:B4349 A2450:A2455 A2494:A2591 B4402 B4391:B4400 B4418:B4420 A2974:A3033 A3968:A4037 A4207:A4262 B4212:B4217"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44:B2546 B2552:B2567 B2574:B2581 B2585:B2591 B2764 B2782 B2855:B2875 B4421:B1048576 B2997 B3002:B3005 B3009:B3010 B3014:B3015 B3018:B3033 B3063:B3084 B3091 B3110:B3119 B3127:B3133 B3160:B3175 B2383:B2453 B3184:B3185 B3192:B3204 B3231:B3235 B3238:B3239 B3244:B3246 B3258:B3265 B3271:B3288 B3295:B3306 B3341:B3351 B3355:B3380 B3390:B3411 B3418:B3420 B3529:B3530 B3533:B3542 B3575:B3581 B3584:B3585 B3598:B3623 B3656:B3662 B3666:B3681 B3714:B3715 B3719:B3726 B3740:B3741 B3745:B3747 B3751:B3753 B3759:B3761 B3765:B3767 B3770:B3772 B3776:B3778 B3784:B3787 B3845:B3861 B3869:B3878 B3888:B3903 B3908:B3955 B3957:B3960 B2974:B2994 B4064:B4067 B4403:B4417 B4263 B4267:B4270 B3970:B4037 B4289:B4290 B4302 B4082:B4118 B4311:B4341 B2456:B2539 B2882:B2965 B4350:B4378 B4388:B4390 B4401 B4218:B4255 B4203:B4211" xr:uid="{541A34AB-F85A-479B-8A8B-BFF4F6715F99}"/>
    <dataValidation type="textLength" allowBlank="1" showInputMessage="1" showErrorMessage="1" sqref="Z504 T504:X504 P504:Q504 J504:N504" xr:uid="{B64E2CAF-51AB-4E71-8254-0196FCA4F53F}">
      <formula1>3</formula1>
      <formula2>12</formula2>
    </dataValidation>
    <dataValidation allowBlank="1" showInputMessage="1" showErrorMessage="1" prompt="One of: Seasonal + (Consistent, Backloaded, Frontloaded) or Uniform" sqref="P500:Q502 Z443:Z451 Z499:Z502 P452 T500:X502 T443:X451 K474:K481 P443:Q451 J443:J451 L443:N451 K443:K457 K459:K465 K467:K472 J500:N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92:B2763 A2765:B2781 A2783:B2854 A2876:B2881 A3844:B3844 A2966:B2973 A3084:A3097 B3085:B3090 B3092:B3097 A2445:A2449 A3247:B3254 A3266:B3270 A3315:B3340 A3421:B3528 A3543:B3574 A3633:B3655 A3682:B3713 A3727:B3732 B3733:B3735 A3806:B3823 A3788:B3804 A3825:B3842 A3904:B3907 A3961:B3967 B3968:B3969 A4038:B4063 A4068:B4073 A4263:A4270 B4264:B4266 A4281:B4288 A4291:B4301 A4119:B4202 A2456:A2493 A2882:A2952 A4379:B4387" xr:uid="{92873730-7446-4072-8117-21B15C75E604}"/>
    <dataValidation type="whole" allowBlank="1" showInputMessage="1" showErrorMessage="1" prompt="Integer: leave blank if all study years" sqref="H526 I1377:I1410 I1:I942 I1412:I1730 AD2135 AD2132 AE2130:AE2132 I944:I1372 Q1455 Q1460 Q1465 I1732:I2148 I2229:I2234 I2152 I2292:I2297 I2250:I2255 I2236:I2241 I2243:I2248 I2257:I2262 I2264:I2269 I2271:I2276 I2278:I2283 I2285:I2290 I2299:I2304 AD2599 U2600 AE2592:AE2604 I3951:I4108 I2313:I2532 I2534:I3949 I2155:I2227 I4118: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34:B3062 A2425:A2442 A3205:B3230 A3240:B3243 A3255:B3257 A3541:A3542 A3586:B3591 A3806:B3806 A3825:B3825 A3844:B3844 A4064:A4067"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Y2149:Y2162 Y2179:Y2187 Y2202:Y2204 Y2211:Y2213 W2214:W2216 Y2309:Y2310 Y2313 Y4118 W2546 Y2544:Y2546 Y2585 Y2675:Y2873 Y1:Y2144 Y2528:Y2529 Y2531:Y2532 Y2500 Y2976 Y2993:Y2998 Y3001 Y3082 Y3091:Y3097 Y3160:Y3167 Y3194:Y3198 Y3203 Y3206:Y3215 Y3227 Y3244 X3258 Y3297:Y3298 Y3303:Y3304 W3420 Y3420 Y3533:Y3535 W3535 Q3567 Y3540:Y3542 Y3586:Y3591 Y3593 Y3613 Y3674:Y3677 Y3682:Y3713 Y3754:Y3756 Y3742:Y3747 Y3779:Y3783 Y3852 Y3859:Y3861 Y3924 Y3941:Y3942 Y3994:Y3995 Y4085:Y4087 Y4097:Y4098 Y4431:Y1048576 Y4234 Y4237:Y4238 Y4244 Y4286 Y4271:Y4275 Y4291:Y4302 Y4311 Y4314 Y4316 Y4379:Y4387 Y4402 Y4409 Y4414:Y4415 J4319:Y4319" xr:uid="{587A3FE1-607A-450B-8FA6-4B088290225A}">
      <formula1>0</formula1>
      <formula2>100</formula2>
    </dataValidation>
    <dataValidation type="decimal" allowBlank="1" showInputMessage="1" showErrorMessage="1" prompt="Float_x000a__x000a_" sqref="U3258" xr:uid="{26B86C97-6FB5-4D63-B9A2-A33FE3DF3273}">
      <formula1>0</formula1>
      <formula2>999999999</formula2>
    </dataValidation>
    <dataValidation type="decimal" allowBlank="1" showInputMessage="1" showErrorMessage="1" sqref="O4367:O4369 O1:O2455 O4431:O1048576 O4379:O4387 O3923:O4304 O2494:O2993 O2997:O3921 P537:P588"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93" yWindow="555" count="13">
        <x14:dataValidation type="list" allowBlank="1" showInputMessage="1" showErrorMessage="1" xr:uid="{ECCA9A90-D197-45A3-A1EA-F193DA92835E}">
          <x14:formula1>
            <xm:f>'IGNORE Lookups'!#REF!</xm:f>
          </x14:formula1>
          <xm:sqref>AC863:AC868 AC1693:AC1725 S2114:X2122 T2112:X2113 P2114:Q2122 P2133:X2140 X2130:X2131 Q2130:V2131 P2148:Y2148 Z2148:Z2151 AC2177:AC2178 AC2135:AC2148 AA2148:AB2148 AA2151:AB2152 P2142:X2144 Z1723:AB1725 AC2171:AC2175 Z2146:AB2146 Z2132:Z2145 P2149:X2151 P2145:Y2146 P2127:X2128 AC3029 AC3102:AC3115 AC3186:AC3191 AC3244:AC3245 AC3291:AC3292 AC3294:AC3296 AC3330:AC3344 AC3682:AC3693 AC2952 AC3937:AC3938 AC4058:AC4059 AC4102:AC4109 AC4100 AC4246 AC4244 AC4350:AC4354 AC4373:AC4374 AC4399:AC4400 J2127:N2128 J2133:N2140 J2142:N2151 J2130:N2131 Z2959 Z2956 Z2954 Z4380 P2528:P2529 AA2515:AC2527 P2511:Z2527 L2500:L2504 L2506 L2508 L2510 Z2528:Z2529 R2528:T2529 V2528:X2529 J2509:L2509 J2505:L2505 J2507:L2507 K2529:K2530 J2532:K2532 K2511:N2527 C2374:D2374 E1:E2148 E2192:E2197 E2203:E2205 E2208:E2210 G2209:G2213 C2309:C2310 F2209:F2221 D2309:E2312 G2217:G2221 E2226:E2308 C2329:D2329 C2338:D2338 C2347:D2347 C2356:D2356 C2365:D2365 E2321:E2382 E3038:E3063 E3065:E3068 E3081:E3090 E3098:E3101 E3110:E3116 E2413:E2424 E2445:E2446 E3118:E3360 Q3369 Q3371 Q3363:Q3367 E3614:E3628 C3628:F3632 E3888:E3910 E4088:E4116 F4219:F4220 D4212:D4233 E4225:E4233 E4241:E4243 E2456:E2485 AE610 P1411:W1417 N1412:N1416 P1476:U1479 L1412:L1416 AD1427 AD1425 AD1434 AD1436 AD1443 AD1445 T2109:X2110 V1466:X1479 J1412:K1465 D1518:D1659 X1409:X1465 L1418:L1465 M1412:M1465 W1456:W1459 U1461:U1473 Q1456:Q1459 P1809:T1822 W1461:W1464 D1661:D1697 Z1726:AC1833 S2111:X2111 W1811:W1812 P2078:P2088 V1809:V1822 U1811:U1812 D1713:D2002 D2006:D2052 D2054:D2056 P2112:P2113 Q2078:R2086 R2087:R2088 P2111:Q2111 Z2107:Z2129 D2059:D2148 R2109:R2122 P2109:P2110 P1418:P1475 Q1466:Q1475 W1418:W1454 R1418:V1460 Q1418:Q1454 P2091:X2108 R1461:T1475 Q1461:Q1464 V1461:V1465 D2379:D2382 P2075:X2077 S2078:X2088 P2059:X2071 X1809:X1822 P1408:X1408 P1358:X1363 P1367:X1371 P1373:X1406 G3959:G3997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D2334:D2337 D2343:D2346 D2352:D2355 D2361:D2364 D2370:D2373 E2496:G2503 F2977:F2987 E2504:E2987 E3034:F3037 E3064:F3064 E3532:F3532 E3412:E3531 E3533:E3585 E3586:G3586 E3587:F3613 C3617 E3633:E3722 E3723:F3887 D3667:D3909 D3910:E3914 E3915:E3932 D3968:E3971 D2496:D3068 D3988:D4037 D4048:D4060 E4221:F4224 C4119:C4202 E4235:G4240 F4242:F4243 F4241:G4241 D4235:D4243 D4245:F4302 P1409:V1410 N2109:N2110 J1466:M1479 N1418:N1479 E4303:F4328 E4329:E4387 D4303:D4408 D2456:D2493 J2109:L2110 D3081:D3665 D4410:G1048576 J1408:N1410 I1411:N1411 J1358:N1363 J1367:N1371 I1373:N1376 J1377:N1406 I1731:N1731 J2075:N2088 J2111:N2122 J2091:N2108 D1:D1516 AC895:AC935 AA943:AE943 AE944 I943 U972:U973 N962 N964:N967 N969 N957:N960 K962:L962 K964:L967 K969:L969 V972:X977 U975:U977 P1113:X1122 Z1054 Z1056:AC1069 Z1078:Z1080 K1127:L1128 L1130 L1132 L1134 L1136 L1138 N1130 N1132 N1134 N1136 N1138 P1130 P1132 P1134 P1136 P1138 R1130 R1134 R1136 R1138 T1127:V1128 R1127:R1128 W1127 N1127:N1128 T1130:V1130 R1132:V1132 T1134:V1134 T1136:V1136 T1138:V1138 Z1280:AC1498 F1160:G1516 AA944:AC1055 Z928:Z1052 Q1127 P1127:P1128 P979:X1090 G3923:G3927 Z896:Z925 P1125:X1126 P1480:X1488 P1092:X1110 X1138 X1134 X1132 X1130 X1127:X1128 X1136 P951:X970 P896:X949 G2314 G2174:G2180 G3034:G3046 E3361:F3411 F3579:G3585 F3638:G3656 F3909:F3910 E3913:F3913 E3933:F3943 E4212:E4220 G4219:G4224 F4225:G4234 K961:N961 K970:N970 K968:N968 K963:N963 K1125:N1126 J957:L960 P972:T977 F4329:G4372 J972:N977 J1113:N1122 J1092:N1110 J951:N956 J896:N949 J1125:J1128 J979:N1090 J961:J970 J1480:N1488 G2163 G2171 G4242:G4328 AA936:AC942 AA1070:AC1080 Z1081:AC1138 AA1:AC618 AA1139:AC1145 AA1147:AC1148 AA1160:AC1160 AA1162:AC1171 AA1179:AC1186 AA1229:AC1242 Z1243:AC1278 AA1529:AC1560 Z1572:AC1603 AA1604:AC1634 AC619:AC844 AA619:AB935 AA1693:AB1722 AA1847:AB1848 Z1972:AC2106 AA2107:AC2134 P2147:AB2147 AB2153:AB2154 AA2187:AB2188 AA2211:AB2220 AA2135:AB2145 AA2496:AB2499 W2533:Y2533 Q2548:Q2549 P2544:V2546 P2547:P2549 Z2544:AC2546 X2544:X2546 W2545 P2552:V2552 R2547:AC2549 X2552:X2559 P2554:W2559 R2553:W2553 Z2550:AC2552 Y2557:Y2559 Y2553:AC2556 Z2557:AC2560 Q2561:Z2562 AA2561:AC2564 P2585:X2585 P2563:Z2564 P2566:T2582 P2586:AC2586 U2566:U2581 V2566:X2582 Y2566:Y2581 P2587:S2587 Z2565:AC2585 U2587:W2587 P2588:AC2591 Y2587:AC2587 P2600:T2674 V2600:X2674 P2675:X2678 P2682:X2692 U2844:U2854 U2808:X2822 U2826:X2840 U2693:X2696 P2530:Z2530 U2700:X2714 U2718:X2732 U2736:X2750 U2754:X2768 U2772:X2786 U2790:X2804 AA2592:AC2879 Z2592:Z2875 AA2528:AB2533 P2531:P2532 Z2531:Z2539 R2531:T2532 P2533:U2533 P2534:T2536 V2531:V2533 W2531:X2532 AA2537:AC2537 L2537:L2539 P2540:AC2543 N2537 P2537:P2539 R2537:R2539 S2537:T2537 T2538:T2539 AA2966:AC2972 AA2978:AC2992 AA3012:AB3012 AA3014:AB3015 AA3025:AB3032 AA3063:AB3063 AA3065:AC3081 AA3083:AC3083 AA3098:AB3115 AB3118:AC3119 AA3134:AC3144 AA3146:AC3152 AA3154:AC3171 AA2401:AB2424 AA3176:AB3183 AA3186:AB3192 AA3194:AB3201 AA3203:AB3203 AA3205:AC3215 AA3227:AC3227 AA3240:AB3254 AA3261:AB3265 AA3271:AB3276 AA3281:AC3282 AA3286:AB3296 AA3303:AB3344 AA3421:AB3532 Q3569:Q3571 AA3584:AB3584 AA3587:AB3591 AA3593:AB3593 AA3617:AB3618 AA3620:AB3620 AA3648:AC3655 AA3666:AC3667 AA3738:AC3738 AA3870:AB3887 AA2952:AB2960 AA3902:AB3903 Z3924 AA4431:AC1048576 AA3931:AB3942 AA3951:AC3954 AA3961:AC3967 AA3976:AC3980 AA3998:AC3998 AA4004:AC4004 AA4014:AC4014 AA4024:AC4024 AA4034:AC4035 AA4048:AB4059 AA4085:AC4087 AA4095:AB4096 AA4099:AB4112 AA4213:AB4214 AA4221:AB4225 AA4244:AB4246 AA4252:AB4254 AA4256:AB4257 AA4271:AC4275 AA4281:AC4281 AA4288:AB4288 M2538:N2539 J2511:J2531 Z809:Z810 I2533:N2533 K2540:N2549 V2534:X2539 AA4305:AB4305 AA4316:AC4316 AA4314:AC4314 AA4320:AB4321 AA4343:AB4344 AA4346:AB4357 AA2456:AB2479 AA4366:AB4374 AA2494:AB2494 AA4379:AC4390 AA4398:AB4401 AA4403:AB4405 AA4410:AB4410 AA4413:AB4415 AA4423:AB4428 AA3910:AC3921 AA3923:AC3924 Z276 Z279 Z282 L2528:N2532 J2534:N2536 J2537:J2549 J2552:N2559 J2585:N2591 J2566:N2582 J2600:N2678 J2682:N2692 J2561:N2564 F945:G945 G946:G1138 F3922:G3922 F1131 F1133 F1135 F1137 F1139:G1141 G1150:G1153 F1143:F1153 Z1226:AC1226 Z1228:AC1228 Z1229:Z1241 AA1279:AC1279 J1229:K1242 M1293:N1296 P1503:Q1508 AA1499:AC1499 Z1500:AC1500 AA1501:AC1501 P1510:T1510 Z1502:AC1519 P1520:X1527 P1560:W1560 Z1525:AC1528 Z1529:Z1559 AA1520:AC1524 P1571:X1571 Z1561:AC1570 AA1571:AC1571 F1520:G1659 Q1661:X1661 V1660:X1660 L1660:L1661 N1660:N1661 P1660:P1661 R1660:T1660 M1661 P1665:P1666 R1665:T1666 P1667:U1680 Z1635:AC1692 L1229:N1239 N1240:N1242 F946:F1129 F527:F944 V1665:V1680 Z1703:Z1722 P1839 P1851:T1853 Z1834:AB1846 AC1834:AC1848 Z1847:Z1854 P2003:V2005 Z1889:AB1889 AA1849:AC1862 U1852:U1853 Z1890:Z1904 Z1858:Z1888 AA1863:AB1888 AC1863:AC1971 AA1890:AB1905 Z1906:AB1971 F1661:G1954 F1955:F2002 P2006:W2026 X2003:X2026 P2057:T2058 F2377:F2382 F2006:F2069 G1955:G2069 V2057:W2057 X2057:X2058 U2058:W2058 F2070:G2148 P2050:X2055 P2047:X2048 P2035:X2042 P2044:X2045 P2032:X2032 P2029:X2029 P1999:X2002 P1991:X1994 P1976:X1989 P1938:X1971 P1854:X1921 P1840:X1848 V1851:X1853 R1837:X1839 P1823:X1836 P1693:X1808 P1683:X1687 P1662:X1664 W1667:X1680 X1665:X1666 P1609:X1659 P1604:X1604 P1598:X1602 P1606:X1607 P1593:X1593 P1595:X1596 P1585:X1591 P1573:X1573 P1569:X1569 P1562:X1564 P1529:X1559 P1509:X1509 V1510:X1510 P1511:X1516 P1330:X1349 S1503:X1508 P1281:X1325 P1278:X1278 P1251:X1276 P1228:X1242 P1226:X1226 P1208:X1223 Z1208:AC1223 F2203 F2205 F2306:G2308 F2322:F2328 G2326:G2328 G2322 G2324 F2341:F2346 F2332:F2337 G2336:G2337 G2334 G2343 G2345:G2346 G2352 F2350:F2355 G2354:G2355 F2359:F2364 G2361 G2363:G2364 G2370 F2368:F2373 G2372:G2373 G2381:G2382 G2379 F2504:G2556 G2557:G2564 F2557:F2560 F2563:F2591 F3888:G3900 G2965:G2987 F2965:F2975 F3038:F3046 F3047:G3063 G3064:G3133 G3160:G3175 G3244:G3245 G3271:G3296 F3065:F3296 F3297:G3312 F3313:F3360 G3313:G3411 F3412:G3412 F3413:F3531 G3413:G3578 F3533:F3578 F3657:F3722 G3657:G3887 G3901:G3921 F3901:F3907 F3916:F3919 G3930:G3943 F3928:G3929 F3930:F3932 D3915:D3957 E3944:G3957 F3968:F3969 D3973:E3983 F3973:F3987 E2988:G3033 E3988:F3997 E3998:G4087 D4063:D4118 G4088:G4098 F4088:F4112 P1498:X1501 E4117:G4118 M1298:N1299 J1293:L1299 J1683:N1687 F2874:G2964 G2456:G2491 F2456:F2479 F4373:F4387 E4388:F4408 G4373:G4408 F1:F525 Z1604:Z1631 G1:G944 J1498:N1501 J1503:N1516 J1520:N1527 J1529:N1560 J1571:N1571 G3587:G3637 J1604:N1604 J1598:N1602 J1606:N1607 J1593:N1593 J1595:N1596 J1585:N1591 J1573:N1573 J1569:N1569 J1562:N1564 J1330:N1349 J1300:N1325 J1281:N1292 J1278:N1278 J1251:N1276 J1228:N1228 J1226:N1226 J1208:N1223 J1662:N1664 J1661:K1661 J1667:N1680 J1732:N1848 J1851:N1921 J1999:N2026 J2057:N2071 J2050:N2055 J2047:N2048 J2035:N2042 J2044:N2045 J2032:N2032 J2029:N2029 J1991:N1994 J1976:N1989 J1938:N1971 J1693:N1730 L1665:N1666 F3614:F3637 J1609:J1660 L1609:N1659 K1609:K1634 K1636:K1659 D4203:E4211 F4203:G4218</xm:sqref>
        </x14:dataValidation>
        <x14:dataValidation type="list" allowBlank="1" showInputMessage="1" showErrorMessage="1" prompt="Presence or absence" xr:uid="{51AE9654-4FD4-4F67-B9F6-46106A866744}">
          <x14:formula1>
            <xm:f>'IGNORE Lookups'!#REF!</xm:f>
          </x14:formula1>
          <xm:sqref>F526 H972:H977 H527:H970 H1:H525 H2295 H979:H2148 H2223 H2225 H2230 H2232 H2237 H2239 H2244 H2246 H2251 H2253 H2258 H2260 H2265 H2267 H2272 H2274 H2279 H2281 H2286 H2288 H2300 H2302 H2293 H2423:H2424 H2406 H2409:H2411 H2413:H2414 H2427 H2430 H2433 H2436 H2439 H2442 H2447 H2454:H2493 H2496:H1048576</xm:sqref>
        </x14:dataValidation>
        <x14:dataValidation type="list" allowBlank="1" showInputMessage="1" showErrorMessage="1" prompt="One of: Human Deliberate, Human Accidental, Human Escaped, Lightning, Other Natural, Unknown" xr:uid="{343137CA-AF82-4E65-8843-5C96DC32839D}">
          <x14:formula1>
            <xm:f>'IGNORE Lookups'!#REF!</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D3069:E3080 E3091:E3097 E3102:E3109 E3117 D3666 G3958 D3958:E3967 D3972:F3972 D3984:E3987 D4038:D4047 D4061:D4062 C4234:E4234 C4235:C1048576 D4244:F4244 C2462:C2493 C3618:C4118 D4409:G4409 C2496:C3616 C4203:C4233</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Lookups'!#REF!</xm:f>
          </x14:formula1>
          <xm:sqref>AA1149:AC1149 Z1227:AC1227 Z1224:AC1225 Z1179:Z1186 P1160:X1160 Z1172:AC1178 P1154:T1159 Z1161:AC1161 Z1150:AC1159 P1139:X1144 G1143:G1149 Z1139:Z1149 AA1146:AC1146 F1142:G1142 P1146:X1153 P1192:X1196 V1154:X1159 P1179:X1190 P1201:X1207 Z1187:AC1207 K1139:N1144 J1130 P1162:X1171 J1136 J1134 J1132 J1162:N1171 J1146:N1160 J1138:J1144 J1192:N1196 J1179:N1190 J1201:N1207</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Z2152:Z2221 AC2149:AC2170 D2149:E2162 P2172:T2172 P2163:P2171 R2163:T2171 U2180:U2187 P2173:P2175 W2152:W2171 P2176:Q2176 Y2176 D2176:E2177 U2176 P2177:P2201 AC2176 J2177:J2179 V2163:V2201 R2173:T2187 W2174:W2201 R2188:U2188 Q2180:Q2186 AA2155:AB2186 E2187:E2191 Y2188:Y2197 R2189:T2201 Q2189:Q2197 X2152:X2201 U2189:U2197 P2202:X2204 E2198:E2200 D2187:D2200 D2202:E2202 P2205:Y2210 D2204 D2206:G2206 F2149:F2202 F2204 Q2164:Q2170 E2207 F2207:G2208 P2313:X2313 AA2189:AB2210 W2211:W2213 P2211:T2216 Q2217:Q2219 P2309:X2310 D2222 D2224 E2222:E2225 I2235 I2228 D2231 D2235:D2236 D2238 I2242 D2294 D2242:D2243 D2245 Z2309:AC2310 I2256 I2249 D2249:D2250 D2252 AD2309 D2256:D2257 D2259 I2263 D2228:D2229 D2266 D2263:D2264 I2270 P2221:U2221 D2270:D2271 D2273 D2305 I2277 D2277:D2278 D2280 I2284 D2287 D2330:D2333 D2284:D2285 I2291 I2305:I2308 D2291:D2292 D2301 D2298:D2299 C2313:D2313 I2298 J2198:J2201 P2217:P2220 U2217:U2219 Y2214:Y2219 R2217:T2220 P2315:Q2315 AA2221:AC2221 Y2221 AC2179:AC2220 X2211:X2221 W2217:W2221 V2211:V2221 F2222:G2305 F2329:G2331 G2332:G2333 G2325 G2323 K2222 D2316:D2320 J2448:N2453 E2313:E2320 S2315:U2315 W2315 J2365:J2382 Y2315 Z2315:AC2328 Q2317:Q2328 U2317:U2328 W2317:W2328 G2380 X2315:X2329 D2339:D2342 F2338:G2340 G2341:G2342 G2335 G2344 D2348:D2351 F2347:G2349 G2350:G2351 G2353 D2357:D2360 F2356:G2358 G2359:G2360 G2362 D2366:D2369 F2365:G2367 G2368:G2369 G2371 D2375:D2378 F2374:G2376 G2377:G2378 Q2330:Q2337 Y2329:AC2329 Q2339:Q2346 Q2348:Q2355 Q2357:Q2364 Q2366:Q2373 AC2356:AC2364 S2316:T2382 AC2374:AC2382 P2316:P2422 V2315:V2329 V2338 X2338:AC2338 V2347 X2347:AC2347 V2356 X2356:AB2356 V2365 X2365:AC2365 V2374:V2382 Y2317:Y2328 U2330:AC2337 U2339:AC2346 U2348:AC2355 U2357:AB2364 U2366:AC2373 X2374:AB2374 S2383:U2388 U2375:U2382 W2375:AB2382 W2383:Z2388 S2389:Y2400 E2401:E2424 R2315:R2422 Q2375:Q2422 S2401:Z2422 AA2391:AB2400 P2440:X2441 Z2423:Z2446 Y2425:Y2446 P2437:X2438 P2434:X2435 P2431:X2432 P2428:X2429 P2425:X2426 P2443:X2446 E2443:E2446 P2448:U2451 Y2448:Z2451 V2450:X2451 V2448:X2448 V2449:W2449 P2452:Z2452 E2450:E2453 Z2447:AC2447 AA2425:AB2444 AA2450:AB2451 P2453:Y2453 P2152:V2162 L2315:N2382 J2202:K2219 L2309:N2310 L2313:N2313 L2177:N2220 J2173:J2175 L2173:N2175 L2163:N2171 G2172:G2173 AA2480:AC2491 G2383:G2455 G2494:G2495 E2486:E2491 Z2453:Z2485 F2480:F2491 J2329:J2355 J2152:N2162 G2149:G2162 G2164:G2170 G2181:G2205 J2172:N2172 J2171 J2176:N2176 J2180:K2188 J2220:J2222 K2221:N2221 J2321:K2328 J2456:Y2488 J2490:Y2493 J2383:N2422 J2440:N2441 J2437:N2438 J2434:N2435 J2431:N2432 J2428:N2429 J2425:N2426 J2443:N2446 F2309:F2321 G2309:G2313 G2315:G2321</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AA2538:AC2539 AA2383:AB2390 AC2528:AC2536 AA2534:AB2536 Z2496:Z2498 AA2500:AB2514 E2383:E2400 P2494:Z2494 E2425:E2442 AC2383:AC2446 E2447:E2449 AA2445:AB2446 AA2448:AB2449 P2495:Y2495 D2494:F2495 D2383:D2455 AA2495:AB2495 P2423:Y2424 AA2452:AB2455 E2454:E2455 F2383:F2455 E2492:G2493 AA2493:AB2493 Z2486:Z2488 AC2448:AC2479 AC2493:AC2514 Z2490:Z2493 AA2492:AC2492 J2489:Z2489 J2423:N2424 J2494:N2495</xm:sqref>
        </x14:dataValidation>
        <x14:dataValidation type="list" allowBlank="1" showInputMessage="1" showErrorMessage="1" xr:uid="{13B3BBFC-2A9E-4E8C-8C13-03D4064A27F2}">
          <x14:formula1>
            <xm:f>'C:\Users\Admin\Documents\[fire db.xlsx]IGNORE Lookups'!#REF!</xm:f>
          </x14:formula1>
          <xm:sqref>AA2149:AB2150 AA2153:AA2154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Lookups'!#REF!</xm:f>
          </x14:formula1>
          <xm:sqref>V2844:X2873 P2844:T2873 P2826:T2840 P2808:T2822 P2790:T2804 P2772:T2786 P2754:T2768 P2736:T2750 P2718:T2732 P2700:T2714 R2874:Y2875 P2916:Z2931 R2876:Z2879 Z2880:AC2881 R2880:T2881 P2874:P2914 V2880:X2881 P2933:Z2941 P2943:Z2946 P2965:X2972 AC3293 Q2882:Z2914 L2956:L2962 N2956:N2962 P2956:P2962 Z2957:Z2958 Z2955 Q2953:Y2962 AA2961:AB2965 Y2963:Y2975 Z2960:Z2965 P2975:V2976 F2976 Z2973:AC2976 W2975 P2977:AC2977 P2978:Z2992 X2975:X2976 P3002:AC3010 S3000:X3000 Y2999:Y3000 L2997:N3001 T3001:X3001 P3012:Y3012 Y3011:AC3011 AC3012 P3014:Z3015 Y3013:AC3013 P3016:AB3024 AC3014:AC3028 P3027:Y3029 P3025:Y3025 P3030:Z3032 Z3025:Z3028 AC3030:AC3064 Z3033:AB3033 P3034:AB3062 P3063:Z3063 M3063:M3080 P3064 L3064:L3080 P3065:Y3080 R3064:AB3064 Z3067:Z3081 Z3065 P3082:P3083 AA3082:AC3082 R3082:X3082 P3091:X3097 Q3083:Z3083 Z3084:AC3097 P3098:Z3101 AC3098:AC3101 P3102:P3105 P3117:R3117 R3102:Z3105 Z3106:Z3109 Z3111:Z3145 T3117:Y3117 P3106:Y3116 P3146:Z3152 AA3116:AA3133 AB3116:AC3117 AB3120:AC3133 G3134:G3159 P3118:Y3145 P3154:Z3159 AA3145:AC3145 P3153:AC3153 P3160:V3167 Y3168:Y3182 P3168:W3182 P3184:X3184 Z3160:Z3175 Z3183 X3160:X3182 AA3172:AB3175 P3186:X3191 Z3185:Z3202 AA3184:AB3185 AC3172:AC3185 P3192:Y3193 AC3192:AC3204 P3194:X3201 AA3193:AB3193 P3203:X3203 AA3202:AB3202 Y3199:Y3201 P3204:T3215 V3204:V3215 X3204:X3215 Z3204:AB3204 P3227:T3227 V3241:Z3243 Z3205:Z3233 AA3216:AC3226 V3227 X3227 P3229:Y3230 P3234:AC3239 AA3228:AC3233 P3240:T3244 U3240:Z3240 AC3240:AC3243 G3176:G3243 P3258:T3258 P3245:U3257 V3244:V3257 W3245:W3258 X3244:X3257 G3246:G3270 AC3246:AE3246 AA3266:AB3270 AA3255:AB3260 P3261:X3265 W3266:X3270 P3266:S3270 V3271:X3285 M3263:M3290 N3261:N3288 P2948:Z2948 Z3244:Z3285 Y3245:Y3277 P3271:T3277 L3278:L3288 P3278:P3285 R3278:T3285 U3266:U3277 AA3277:AB3280 AC3247:AC3280 AA3283:AC3285 Z3287:Z3294 AC3286:AC3290 Q3286:S3288 U3286:U3290 K3286:K3290 Q3289:T3290 P4379:Y4380 AA2882:AC2951 M2953:M2962 N2953:N2954 N4379 P4383:T4383 X4383:X4385 AA4379:AC4381 P4384:U4385 V4383:V4385 AA4382:AB4382 W4384:W4385 Y4384:Y4385 AA4384:AB4387 K4388:Y4401 K3106:K3182 N3064:N3080 J3027:N3032 L3034:N3037 K2993:K3001 J2948:N2948 Z2949:Z2953 P2693:T2696 AC2953:AC2965 Z4379 AA4391:AB4397 K4402:V4402 AC4382:AC4398 X4402:X4403 AA4402:AB4402 J4403:K4404 K4409:X4409 Y4403 L4404:Y4404 L4403:W4403 K4406:Y4408 Z4381:Z4415 K4410:Y4413 AA4406:AB4409 AA4411:AB4412 AD4414:AE4415 Y4416:AB4417 U4416:U4430 V4418:AB4422 J3278:J3290 V4423:Z4430 AA4429:AB4430 Z2915 Z2932 Z2942 Z2947 J2693:N2696 J2844:N2914 J2826:N2840 J2808:N2822 J2790:N2804 J2772:N2786 J2754:N2768 J2736:N2750 J2718:N2732 J2700:N2714 J2916:N2931 J2933:N2941 J2943:N2946 J2965:N2972 J2953:K2962 J2993:J3000 J2975:K2992 L2975:N2993 S2993:S2998 P2993:R2993 P2997:R3001 L2994:R2996 Z2993:AC3001 T2993:X2999 J3002:N3010 J3012:N3012 J3014:N3025 J3038:N3062 J3091:N3101 J3082:N3083 J3063:K3080 J3102:J3182 L3102:N3182 J3184:N3184 J3186:N3201 J3203:N3215 J3227:N3227 J3229:N3230 J3234:N3258 J3261:L3277 V3286:Y3294 J4379:M4380 J4388:J4402 J4383:N4385 K4414:T4430 J4406:J4430 AC4401:AC4430 V4414:X4417</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H2494:H2495</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C2383:C2461 C2494:C2495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E5141"/>
  <sheetViews>
    <sheetView zoomScale="55" zoomScaleNormal="55" workbookViewId="0">
      <pane ySplit="1" topLeftCell="A850" activePane="bottomLeft" state="frozen"/>
      <selection pane="bottomLeft" activeCell="X857" sqref="X857:X858"/>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1" width="23.90625" style="14" customWidth="1"/>
    <col min="12" max="12" width="23" style="95" customWidth="1"/>
    <col min="13" max="13" width="21.81640625" style="14" customWidth="1"/>
    <col min="14" max="14" width="19.36328125" style="14" customWidth="1"/>
    <col min="15" max="19" width="18.6328125" style="14" customWidth="1"/>
    <col min="20" max="20" width="19.90625" style="14" customWidth="1"/>
    <col min="21" max="22" width="21.81640625" style="14" customWidth="1"/>
    <col min="23" max="23" width="23" style="14" customWidth="1"/>
    <col min="24" max="24" width="21.1796875" style="14" customWidth="1"/>
    <col min="25" max="25" width="22.54296875" customWidth="1"/>
    <col min="26" max="26" width="23.26953125" customWidth="1"/>
    <col min="27" max="27" width="29.26953125" customWidth="1"/>
    <col min="28" max="28" width="50.54296875" customWidth="1"/>
    <col min="29" max="29" width="48" customWidth="1"/>
  </cols>
  <sheetData>
    <row r="1" spans="1:29" ht="72.5" customHeight="1" thickBot="1">
      <c r="A1" s="78" t="s">
        <v>2260</v>
      </c>
      <c r="B1" s="15" t="s">
        <v>5048</v>
      </c>
      <c r="C1" s="2" t="s">
        <v>6</v>
      </c>
      <c r="D1" s="2" t="s">
        <v>7</v>
      </c>
      <c r="E1" s="2" t="s">
        <v>2281</v>
      </c>
      <c r="F1" s="15" t="s">
        <v>2435</v>
      </c>
      <c r="G1" s="15" t="s">
        <v>2445</v>
      </c>
      <c r="H1" s="15" t="s">
        <v>520</v>
      </c>
      <c r="I1" s="2" t="s">
        <v>166</v>
      </c>
      <c r="J1" s="67" t="s">
        <v>11573</v>
      </c>
      <c r="K1" s="67" t="s">
        <v>11574</v>
      </c>
      <c r="L1" s="102" t="s">
        <v>1246</v>
      </c>
      <c r="M1" s="67" t="s">
        <v>2353</v>
      </c>
      <c r="N1" s="67" t="s">
        <v>1245</v>
      </c>
      <c r="O1" s="67" t="s">
        <v>2352</v>
      </c>
      <c r="P1" s="67" t="s">
        <v>1244</v>
      </c>
      <c r="Q1" s="67" t="s">
        <v>2354</v>
      </c>
      <c r="R1" s="67" t="s">
        <v>2433</v>
      </c>
      <c r="S1" s="67" t="s">
        <v>2434</v>
      </c>
      <c r="T1" s="67" t="s">
        <v>1224</v>
      </c>
      <c r="U1" s="67" t="s">
        <v>2356</v>
      </c>
      <c r="V1" s="67" t="s">
        <v>1461</v>
      </c>
      <c r="W1" s="67" t="s">
        <v>2357</v>
      </c>
      <c r="X1" s="67" t="s">
        <v>35</v>
      </c>
      <c r="Y1" s="2" t="s">
        <v>8</v>
      </c>
      <c r="Z1" s="2" t="s">
        <v>9</v>
      </c>
      <c r="AA1" s="17" t="s">
        <v>36</v>
      </c>
      <c r="AB1" s="17" t="s">
        <v>0</v>
      </c>
      <c r="AC1" s="16" t="s">
        <v>115</v>
      </c>
    </row>
    <row r="2" spans="1:29"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t="str">
        <f>'Reported burning'!G2</f>
        <v>Pasture</v>
      </c>
      <c r="H2" s="6" t="str">
        <f>'Reported burning'!H2</f>
        <v>Presence</v>
      </c>
      <c r="I2" s="32"/>
      <c r="J2" s="97" t="s">
        <v>2272</v>
      </c>
      <c r="K2" s="97" t="s">
        <v>2272</v>
      </c>
      <c r="L2" s="103" t="s">
        <v>2272</v>
      </c>
      <c r="M2" s="97" t="s">
        <v>2272</v>
      </c>
      <c r="N2" s="97" t="s">
        <v>2272</v>
      </c>
      <c r="O2" s="97" t="s">
        <v>2272</v>
      </c>
      <c r="P2" s="97" t="s">
        <v>2272</v>
      </c>
      <c r="Q2" s="97" t="s">
        <v>2272</v>
      </c>
      <c r="R2" s="97" t="s">
        <v>2272</v>
      </c>
      <c r="S2" s="97" t="s">
        <v>2272</v>
      </c>
      <c r="T2" s="97" t="s">
        <v>2272</v>
      </c>
      <c r="U2" s="97" t="s">
        <v>2272</v>
      </c>
      <c r="V2" s="97" t="s">
        <v>2272</v>
      </c>
      <c r="W2" s="97" t="s">
        <v>2272</v>
      </c>
      <c r="X2" s="97" t="s">
        <v>2272</v>
      </c>
      <c r="Y2" s="32" t="s">
        <v>33</v>
      </c>
      <c r="Z2" s="32" t="s">
        <v>34</v>
      </c>
      <c r="AA2" s="32" t="s">
        <v>63</v>
      </c>
      <c r="AB2" s="32"/>
      <c r="AC2" s="32"/>
    </row>
    <row r="3" spans="1:29"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t="str">
        <f>'Reported burning'!G3</f>
        <v>Pasture</v>
      </c>
      <c r="H3" s="6" t="str">
        <f>'Reported burning'!H3</f>
        <v>Presence</v>
      </c>
      <c r="I3" s="3"/>
      <c r="J3" s="73" t="s">
        <v>2272</v>
      </c>
      <c r="K3" s="73" t="s">
        <v>2272</v>
      </c>
      <c r="L3" s="104" t="s">
        <v>2272</v>
      </c>
      <c r="M3" s="73" t="s">
        <v>2272</v>
      </c>
      <c r="N3" s="73" t="s">
        <v>2272</v>
      </c>
      <c r="O3" s="73" t="s">
        <v>2272</v>
      </c>
      <c r="P3" s="73" t="s">
        <v>2272</v>
      </c>
      <c r="Q3" s="73" t="s">
        <v>2272</v>
      </c>
      <c r="R3" s="97" t="s">
        <v>2272</v>
      </c>
      <c r="S3" s="97" t="s">
        <v>2272</v>
      </c>
      <c r="T3" s="73" t="s">
        <v>2272</v>
      </c>
      <c r="U3" s="73" t="s">
        <v>2272</v>
      </c>
      <c r="V3" s="73" t="s">
        <v>2272</v>
      </c>
      <c r="W3" s="73" t="s">
        <v>2272</v>
      </c>
      <c r="X3" s="73" t="s">
        <v>2272</v>
      </c>
      <c r="Y3" s="3" t="s">
        <v>37</v>
      </c>
      <c r="Z3" s="3" t="s">
        <v>33</v>
      </c>
      <c r="AA3" s="3" t="s">
        <v>63</v>
      </c>
      <c r="AB3" s="4" t="s">
        <v>38</v>
      </c>
      <c r="AC3" s="3"/>
    </row>
    <row r="4" spans="1:29"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t="str">
        <f>'Reported burning'!G4</f>
        <v>Secondary Vegetation</v>
      </c>
      <c r="H4" s="6" t="str">
        <f>'Reported burning'!H4</f>
        <v>Presence</v>
      </c>
      <c r="I4" s="22"/>
      <c r="J4" s="73" t="s">
        <v>2272</v>
      </c>
      <c r="K4" s="73" t="s">
        <v>2272</v>
      </c>
      <c r="L4" s="104" t="s">
        <v>2272</v>
      </c>
      <c r="M4" s="73" t="s">
        <v>2272</v>
      </c>
      <c r="N4" s="73" t="s">
        <v>2272</v>
      </c>
      <c r="O4" s="73" t="s">
        <v>2272</v>
      </c>
      <c r="P4" s="73" t="s">
        <v>2272</v>
      </c>
      <c r="Q4" s="73" t="s">
        <v>2272</v>
      </c>
      <c r="R4" s="97" t="s">
        <v>2272</v>
      </c>
      <c r="S4" s="97" t="s">
        <v>2272</v>
      </c>
      <c r="T4" s="73" t="s">
        <v>2272</v>
      </c>
      <c r="U4" s="73" t="s">
        <v>2272</v>
      </c>
      <c r="V4" s="73" t="s">
        <v>2272</v>
      </c>
      <c r="W4" s="73" t="s">
        <v>2272</v>
      </c>
      <c r="X4" s="73" t="s">
        <v>2272</v>
      </c>
      <c r="Y4" s="22" t="s">
        <v>67</v>
      </c>
      <c r="Z4" s="22" t="s">
        <v>34</v>
      </c>
      <c r="AA4" s="22" t="s">
        <v>63</v>
      </c>
      <c r="AB4" s="22"/>
      <c r="AC4" s="22"/>
    </row>
    <row r="5" spans="1:29"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Shrubland (Mixed forest &amp; grassland)</v>
      </c>
      <c r="G5" s="6" t="str">
        <f>'Reported burning'!G5</f>
        <v>Shrubland (Mixed forest &amp; grassland)</v>
      </c>
      <c r="H5" s="6" t="str">
        <f>'Reported burning'!H5</f>
        <v>Presence</v>
      </c>
      <c r="I5" s="3"/>
      <c r="J5" s="73" t="s">
        <v>2272</v>
      </c>
      <c r="K5" s="73" t="s">
        <v>2272</v>
      </c>
      <c r="L5" s="104" t="s">
        <v>2272</v>
      </c>
      <c r="M5" s="73" t="s">
        <v>2272</v>
      </c>
      <c r="N5" s="73" t="s">
        <v>2272</v>
      </c>
      <c r="O5" s="73" t="s">
        <v>2272</v>
      </c>
      <c r="P5" s="73" t="s">
        <v>2272</v>
      </c>
      <c r="Q5" s="73" t="s">
        <v>2272</v>
      </c>
      <c r="R5" s="97" t="s">
        <v>2272</v>
      </c>
      <c r="S5" s="97" t="s">
        <v>2272</v>
      </c>
      <c r="T5" s="73" t="s">
        <v>2272</v>
      </c>
      <c r="U5" s="73" t="s">
        <v>2272</v>
      </c>
      <c r="V5" s="73" t="s">
        <v>2272</v>
      </c>
      <c r="W5" s="73" t="s">
        <v>2272</v>
      </c>
      <c r="X5" s="73" t="s">
        <v>2272</v>
      </c>
      <c r="Y5" s="3" t="s">
        <v>33</v>
      </c>
      <c r="Z5" s="3" t="s">
        <v>34</v>
      </c>
      <c r="AA5" s="3" t="s">
        <v>63</v>
      </c>
      <c r="AB5" s="3"/>
      <c r="AC5" s="3"/>
    </row>
    <row r="6" spans="1:29"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Shrubland (Mixed forest &amp; grassland)</v>
      </c>
      <c r="G6" s="6" t="str">
        <f>'Reported burning'!G6</f>
        <v>Shrubland (Mixed forest &amp; grassland)</v>
      </c>
      <c r="H6" s="6" t="str">
        <f>'Reported burning'!H6</f>
        <v>Presence</v>
      </c>
      <c r="I6" s="3"/>
      <c r="J6" s="73" t="s">
        <v>2272</v>
      </c>
      <c r="K6" s="73" t="s">
        <v>2272</v>
      </c>
      <c r="L6" s="104" t="s">
        <v>2272</v>
      </c>
      <c r="M6" s="73" t="s">
        <v>2272</v>
      </c>
      <c r="N6" s="73" t="s">
        <v>2272</v>
      </c>
      <c r="O6" s="73" t="s">
        <v>2272</v>
      </c>
      <c r="P6" s="73" t="s">
        <v>2272</v>
      </c>
      <c r="Q6" s="73" t="s">
        <v>2272</v>
      </c>
      <c r="R6" s="97" t="s">
        <v>2272</v>
      </c>
      <c r="S6" s="97" t="s">
        <v>2272</v>
      </c>
      <c r="T6" s="73" t="s">
        <v>2272</v>
      </c>
      <c r="U6" s="73" t="s">
        <v>2272</v>
      </c>
      <c r="V6" s="73" t="s">
        <v>2272</v>
      </c>
      <c r="W6" s="73" t="s">
        <v>2272</v>
      </c>
      <c r="X6" s="73" t="s">
        <v>2272</v>
      </c>
      <c r="Y6" s="3" t="s">
        <v>33</v>
      </c>
      <c r="Z6" s="3" t="s">
        <v>34</v>
      </c>
      <c r="AA6" s="3" t="s">
        <v>63</v>
      </c>
      <c r="AB6" s="3"/>
      <c r="AC6" s="3"/>
    </row>
    <row r="7" spans="1:29"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t="str">
        <f>'Reported burning'!G7</f>
        <v>Shrubland (Mixed forest &amp; grassland)</v>
      </c>
      <c r="H7" s="6" t="str">
        <f>'Reported burning'!H7</f>
        <v>Presence</v>
      </c>
      <c r="I7" s="3"/>
      <c r="J7" s="21" t="s">
        <v>2272</v>
      </c>
      <c r="K7" s="21" t="s">
        <v>2272</v>
      </c>
      <c r="L7" s="98" t="s">
        <v>2272</v>
      </c>
      <c r="M7" s="21" t="s">
        <v>2272</v>
      </c>
      <c r="N7" s="21" t="s">
        <v>2272</v>
      </c>
      <c r="O7" s="21" t="s">
        <v>2272</v>
      </c>
      <c r="P7" s="21" t="s">
        <v>2272</v>
      </c>
      <c r="Q7" s="21" t="s">
        <v>2272</v>
      </c>
      <c r="R7" s="97" t="s">
        <v>2272</v>
      </c>
      <c r="S7" s="97" t="s">
        <v>2272</v>
      </c>
      <c r="T7" s="21" t="s">
        <v>2272</v>
      </c>
      <c r="U7" s="21" t="s">
        <v>2272</v>
      </c>
      <c r="V7" s="21" t="s">
        <v>2272</v>
      </c>
      <c r="W7" s="21" t="s">
        <v>2272</v>
      </c>
      <c r="X7" s="21" t="s">
        <v>2272</v>
      </c>
      <c r="Y7" s="3" t="s">
        <v>37</v>
      </c>
      <c r="Z7" s="3" t="s">
        <v>34</v>
      </c>
      <c r="AA7" s="3" t="s">
        <v>63</v>
      </c>
      <c r="AB7" s="4" t="s">
        <v>62</v>
      </c>
      <c r="AC7" s="3"/>
    </row>
    <row r="8" spans="1:29"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t="str">
        <f>'Reported burning'!G8</f>
        <v>Pasture</v>
      </c>
      <c r="H8" s="6" t="str">
        <f>'Reported burning'!H8</f>
        <v>Presence</v>
      </c>
      <c r="I8" s="11"/>
      <c r="J8" s="21" t="s">
        <v>2272</v>
      </c>
      <c r="K8" s="21" t="s">
        <v>2272</v>
      </c>
      <c r="L8" s="98" t="s">
        <v>2272</v>
      </c>
      <c r="M8" s="21" t="s">
        <v>2272</v>
      </c>
      <c r="N8" s="21" t="s">
        <v>2272</v>
      </c>
      <c r="O8" s="21" t="s">
        <v>2272</v>
      </c>
      <c r="P8" s="21" t="s">
        <v>2272</v>
      </c>
      <c r="Q8" s="21" t="s">
        <v>2272</v>
      </c>
      <c r="R8" s="97" t="s">
        <v>2272</v>
      </c>
      <c r="S8" s="97" t="s">
        <v>2272</v>
      </c>
      <c r="T8" s="21" t="s">
        <v>2272</v>
      </c>
      <c r="U8" s="21" t="s">
        <v>2272</v>
      </c>
      <c r="V8" s="21" t="s">
        <v>2272</v>
      </c>
      <c r="W8" s="21" t="s">
        <v>2272</v>
      </c>
      <c r="X8" s="21" t="s">
        <v>2272</v>
      </c>
      <c r="Y8" s="3" t="s">
        <v>33</v>
      </c>
      <c r="Z8" s="3" t="s">
        <v>34</v>
      </c>
      <c r="AA8" s="3" t="s">
        <v>63</v>
      </c>
      <c r="AB8" s="18" t="s">
        <v>47</v>
      </c>
      <c r="AC8" s="3"/>
    </row>
    <row r="9" spans="1:29"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t="str">
        <f>'Reported burning'!G9</f>
        <v>Cropland</v>
      </c>
      <c r="H9" s="6" t="str">
        <f>'Reported burning'!H9</f>
        <v>Presence</v>
      </c>
      <c r="I9" s="11"/>
      <c r="J9" s="21" t="s">
        <v>2272</v>
      </c>
      <c r="K9" s="21" t="s">
        <v>2272</v>
      </c>
      <c r="L9" s="98" t="s">
        <v>2272</v>
      </c>
      <c r="M9" s="21" t="s">
        <v>2272</v>
      </c>
      <c r="N9" s="21" t="s">
        <v>2272</v>
      </c>
      <c r="O9" s="21" t="s">
        <v>2272</v>
      </c>
      <c r="P9" s="21" t="s">
        <v>2272</v>
      </c>
      <c r="Q9" s="21" t="s">
        <v>2272</v>
      </c>
      <c r="R9" s="97" t="s">
        <v>2272</v>
      </c>
      <c r="S9" s="97" t="s">
        <v>2272</v>
      </c>
      <c r="T9" s="21" t="s">
        <v>2272</v>
      </c>
      <c r="U9" s="21" t="s">
        <v>2272</v>
      </c>
      <c r="V9" s="21" t="s">
        <v>2272</v>
      </c>
      <c r="W9" s="21" t="s">
        <v>2272</v>
      </c>
      <c r="X9" s="21" t="s">
        <v>2272</v>
      </c>
      <c r="Y9" s="3" t="s">
        <v>67</v>
      </c>
      <c r="Z9" s="3" t="s">
        <v>34</v>
      </c>
      <c r="AA9" s="3" t="s">
        <v>63</v>
      </c>
      <c r="AB9" s="4" t="s">
        <v>49</v>
      </c>
      <c r="AC9" s="3"/>
    </row>
    <row r="10" spans="1:29"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t="str">
        <f>'Reported burning'!G10</f>
        <v>Pasture</v>
      </c>
      <c r="H10" s="6" t="str">
        <f>'Reported burning'!H10</f>
        <v>Presence</v>
      </c>
      <c r="I10" s="11"/>
      <c r="J10" s="21" t="s">
        <v>2272</v>
      </c>
      <c r="K10" s="21" t="s">
        <v>2272</v>
      </c>
      <c r="L10" s="98" t="s">
        <v>2272</v>
      </c>
      <c r="M10" s="21" t="s">
        <v>2272</v>
      </c>
      <c r="N10" s="21" t="s">
        <v>2272</v>
      </c>
      <c r="O10" s="21" t="s">
        <v>2272</v>
      </c>
      <c r="P10" s="21" t="s">
        <v>2272</v>
      </c>
      <c r="Q10" s="21" t="s">
        <v>2272</v>
      </c>
      <c r="R10" s="97" t="s">
        <v>2272</v>
      </c>
      <c r="S10" s="97" t="s">
        <v>2272</v>
      </c>
      <c r="T10" s="21" t="s">
        <v>2272</v>
      </c>
      <c r="U10" s="21" t="s">
        <v>2272</v>
      </c>
      <c r="V10" s="21" t="s">
        <v>2272</v>
      </c>
      <c r="W10" s="21" t="s">
        <v>2272</v>
      </c>
      <c r="X10" s="21" t="s">
        <v>2272</v>
      </c>
      <c r="Y10" s="3" t="s">
        <v>33</v>
      </c>
      <c r="Z10" s="3" t="s">
        <v>34</v>
      </c>
      <c r="AA10" s="3" t="s">
        <v>63</v>
      </c>
      <c r="AB10" s="4" t="s">
        <v>48</v>
      </c>
      <c r="AC10" s="3"/>
    </row>
    <row r="11" spans="1:29"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t="str">
        <f>'Reported burning'!G11</f>
        <v>Pasture</v>
      </c>
      <c r="H11" s="6" t="str">
        <f>'Reported burning'!H11</f>
        <v>Presence</v>
      </c>
      <c r="I11" s="3"/>
      <c r="J11" s="21" t="s">
        <v>2272</v>
      </c>
      <c r="K11" s="21" t="s">
        <v>2272</v>
      </c>
      <c r="L11" s="98" t="s">
        <v>2272</v>
      </c>
      <c r="M11" s="21" t="s">
        <v>2272</v>
      </c>
      <c r="N11" s="21" t="s">
        <v>2272</v>
      </c>
      <c r="O11" s="21" t="s">
        <v>2272</v>
      </c>
      <c r="P11" s="21" t="s">
        <v>2272</v>
      </c>
      <c r="Q11" s="21" t="s">
        <v>2272</v>
      </c>
      <c r="R11" s="97" t="s">
        <v>2272</v>
      </c>
      <c r="S11" s="97" t="s">
        <v>2272</v>
      </c>
      <c r="T11" s="21" t="s">
        <v>2272</v>
      </c>
      <c r="U11" s="21" t="s">
        <v>2272</v>
      </c>
      <c r="V11" s="21" t="s">
        <v>2272</v>
      </c>
      <c r="W11" s="21" t="s">
        <v>2272</v>
      </c>
      <c r="X11" s="21" t="s">
        <v>2272</v>
      </c>
      <c r="Y11" s="3" t="s">
        <v>33</v>
      </c>
      <c r="Z11" s="3" t="s">
        <v>34</v>
      </c>
      <c r="AA11" s="3" t="s">
        <v>63</v>
      </c>
      <c r="AB11" s="4" t="s">
        <v>55</v>
      </c>
      <c r="AC11" s="3"/>
    </row>
    <row r="12" spans="1:29"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t="str">
        <f>'Reported burning'!G12</f>
        <v>Grassland</v>
      </c>
      <c r="H12" s="6" t="str">
        <f>'Reported burning'!H12</f>
        <v>Presence</v>
      </c>
      <c r="I12" s="3"/>
      <c r="J12" s="21" t="s">
        <v>2272</v>
      </c>
      <c r="K12" s="21" t="s">
        <v>2272</v>
      </c>
      <c r="L12" s="98" t="s">
        <v>2272</v>
      </c>
      <c r="M12" s="21" t="s">
        <v>2272</v>
      </c>
      <c r="N12" s="21" t="s">
        <v>2272</v>
      </c>
      <c r="O12" s="21" t="s">
        <v>2272</v>
      </c>
      <c r="P12" s="21" t="s">
        <v>2272</v>
      </c>
      <c r="Q12" s="21" t="s">
        <v>2272</v>
      </c>
      <c r="R12" s="97" t="s">
        <v>2272</v>
      </c>
      <c r="S12" s="97" t="s">
        <v>2272</v>
      </c>
      <c r="T12" s="21" t="s">
        <v>2272</v>
      </c>
      <c r="U12" s="21" t="s">
        <v>2272</v>
      </c>
      <c r="V12" s="21" t="s">
        <v>2272</v>
      </c>
      <c r="W12" s="21" t="s">
        <v>2272</v>
      </c>
      <c r="X12" s="21" t="s">
        <v>2272</v>
      </c>
      <c r="Y12" s="3" t="s">
        <v>33</v>
      </c>
      <c r="Z12" s="3" t="s">
        <v>34</v>
      </c>
      <c r="AA12" s="3" t="s">
        <v>63</v>
      </c>
      <c r="AB12" s="19" t="s">
        <v>51</v>
      </c>
      <c r="AC12" s="3"/>
    </row>
    <row r="13" spans="1:29"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t="str">
        <f>'Reported burning'!G13</f>
        <v>Secondary Vegetation</v>
      </c>
      <c r="H13" s="6" t="str">
        <f>'Reported burning'!H13</f>
        <v>Presence</v>
      </c>
      <c r="I13" s="20"/>
      <c r="J13" s="68" t="s">
        <v>2272</v>
      </c>
      <c r="K13" s="68" t="s">
        <v>2272</v>
      </c>
      <c r="L13" s="105" t="s">
        <v>2272</v>
      </c>
      <c r="M13" s="68" t="s">
        <v>2272</v>
      </c>
      <c r="N13" s="68" t="s">
        <v>2272</v>
      </c>
      <c r="O13" s="68" t="s">
        <v>2272</v>
      </c>
      <c r="P13" s="68" t="s">
        <v>2272</v>
      </c>
      <c r="Q13" s="68" t="s">
        <v>2272</v>
      </c>
      <c r="R13" s="97" t="s">
        <v>2272</v>
      </c>
      <c r="S13" s="97" t="s">
        <v>2272</v>
      </c>
      <c r="T13" s="68" t="s">
        <v>2272</v>
      </c>
      <c r="U13" s="68" t="s">
        <v>2272</v>
      </c>
      <c r="V13" s="68" t="s">
        <v>2272</v>
      </c>
      <c r="W13" s="68" t="s">
        <v>2272</v>
      </c>
      <c r="X13" s="68" t="s">
        <v>2272</v>
      </c>
      <c r="Y13" s="8" t="s">
        <v>74</v>
      </c>
      <c r="Z13" s="8" t="s">
        <v>34</v>
      </c>
      <c r="AA13" s="8" t="s">
        <v>75</v>
      </c>
      <c r="AB13" s="9" t="s">
        <v>76</v>
      </c>
      <c r="AC13" s="3"/>
    </row>
    <row r="14" spans="1:29"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2272</v>
      </c>
      <c r="K14" s="21" t="s">
        <v>2272</v>
      </c>
      <c r="L14" s="98" t="s">
        <v>2272</v>
      </c>
      <c r="M14" s="21" t="s">
        <v>2272</v>
      </c>
      <c r="N14" s="21" t="s">
        <v>2372</v>
      </c>
      <c r="O14" s="21" t="s">
        <v>2272</v>
      </c>
      <c r="P14" s="21" t="s">
        <v>2272</v>
      </c>
      <c r="Q14" s="21" t="s">
        <v>2272</v>
      </c>
      <c r="R14" s="21" t="s">
        <v>2370</v>
      </c>
      <c r="S14" s="21" t="s">
        <v>2272</v>
      </c>
      <c r="T14" s="82" t="s">
        <v>2386</v>
      </c>
      <c r="U14" s="82" t="s">
        <v>2272</v>
      </c>
      <c r="V14" s="82" t="s">
        <v>2272</v>
      </c>
      <c r="W14" s="82" t="s">
        <v>2272</v>
      </c>
      <c r="X14" s="21" t="s">
        <v>2370</v>
      </c>
      <c r="Y14" s="3" t="s">
        <v>74</v>
      </c>
      <c r="Z14" s="3" t="s">
        <v>34</v>
      </c>
      <c r="AA14" s="3" t="s">
        <v>63</v>
      </c>
      <c r="AB14" s="4" t="s">
        <v>5047</v>
      </c>
      <c r="AC14" s="4" t="s">
        <v>5042</v>
      </c>
    </row>
    <row r="15" spans="1:29"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3" t="s">
        <v>2272</v>
      </c>
      <c r="K15" s="73" t="s">
        <v>2272</v>
      </c>
      <c r="L15" s="104" t="s">
        <v>2272</v>
      </c>
      <c r="M15" s="73" t="s">
        <v>2272</v>
      </c>
      <c r="N15" s="21" t="s">
        <v>2371</v>
      </c>
      <c r="O15" s="73" t="s">
        <v>2272</v>
      </c>
      <c r="P15" s="73" t="s">
        <v>2272</v>
      </c>
      <c r="Q15" s="73" t="s">
        <v>2272</v>
      </c>
      <c r="R15" s="21" t="s">
        <v>2370</v>
      </c>
      <c r="S15" s="21" t="s">
        <v>2272</v>
      </c>
      <c r="T15" s="82" t="s">
        <v>2384</v>
      </c>
      <c r="U15" s="82" t="s">
        <v>2272</v>
      </c>
      <c r="V15" s="82" t="s">
        <v>2272</v>
      </c>
      <c r="W15" s="82" t="s">
        <v>2272</v>
      </c>
      <c r="X15" s="21" t="s">
        <v>2370</v>
      </c>
      <c r="Y15" s="3" t="s">
        <v>74</v>
      </c>
      <c r="Z15" s="3" t="s">
        <v>34</v>
      </c>
      <c r="AA15" s="3" t="s">
        <v>63</v>
      </c>
      <c r="AB15" s="4" t="s">
        <v>5047</v>
      </c>
      <c r="AC15" s="4" t="s">
        <v>5043</v>
      </c>
    </row>
    <row r="16" spans="1:29"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2272</v>
      </c>
      <c r="K16" s="21" t="s">
        <v>2272</v>
      </c>
      <c r="L16" s="98" t="s">
        <v>2272</v>
      </c>
      <c r="M16" s="21" t="s">
        <v>2272</v>
      </c>
      <c r="N16" s="21" t="s">
        <v>2272</v>
      </c>
      <c r="O16" s="21" t="s">
        <v>2272</v>
      </c>
      <c r="P16" s="21" t="s">
        <v>2272</v>
      </c>
      <c r="Q16" s="21" t="s">
        <v>2272</v>
      </c>
      <c r="R16" s="21" t="s">
        <v>2370</v>
      </c>
      <c r="S16" s="21" t="s">
        <v>2272</v>
      </c>
      <c r="T16" s="82" t="s">
        <v>2384</v>
      </c>
      <c r="U16" s="82" t="s">
        <v>2272</v>
      </c>
      <c r="V16" s="82" t="s">
        <v>2272</v>
      </c>
      <c r="W16" s="82" t="s">
        <v>2272</v>
      </c>
      <c r="X16" s="21" t="s">
        <v>2370</v>
      </c>
      <c r="Y16" s="3" t="s">
        <v>74</v>
      </c>
      <c r="Z16" s="3" t="s">
        <v>34</v>
      </c>
      <c r="AA16" s="3" t="s">
        <v>63</v>
      </c>
      <c r="AB16" s="4" t="s">
        <v>5047</v>
      </c>
      <c r="AC16" s="4" t="s">
        <v>5044</v>
      </c>
    </row>
    <row r="17" spans="1:29"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2272</v>
      </c>
      <c r="K17" s="21" t="s">
        <v>2272</v>
      </c>
      <c r="L17" s="98" t="s">
        <v>2272</v>
      </c>
      <c r="M17" s="21" t="s">
        <v>2272</v>
      </c>
      <c r="N17" s="21" t="s">
        <v>2272</v>
      </c>
      <c r="O17" s="21" t="s">
        <v>2272</v>
      </c>
      <c r="P17" s="21" t="s">
        <v>2272</v>
      </c>
      <c r="Q17" s="21" t="s">
        <v>2272</v>
      </c>
      <c r="R17" s="21" t="s">
        <v>2370</v>
      </c>
      <c r="S17" s="21" t="s">
        <v>2272</v>
      </c>
      <c r="T17" s="82" t="s">
        <v>2384</v>
      </c>
      <c r="U17" s="82" t="s">
        <v>2272</v>
      </c>
      <c r="V17" s="82" t="s">
        <v>2272</v>
      </c>
      <c r="W17" s="82" t="s">
        <v>2272</v>
      </c>
      <c r="X17" s="21" t="s">
        <v>2370</v>
      </c>
      <c r="Y17" s="3" t="s">
        <v>74</v>
      </c>
      <c r="Z17" s="3" t="s">
        <v>34</v>
      </c>
      <c r="AA17" s="3" t="s">
        <v>63</v>
      </c>
      <c r="AB17" s="4" t="s">
        <v>5047</v>
      </c>
      <c r="AC17" s="4" t="s">
        <v>5044</v>
      </c>
    </row>
    <row r="18" spans="1:29"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2272</v>
      </c>
      <c r="K18" s="21" t="s">
        <v>2272</v>
      </c>
      <c r="L18" s="98" t="s">
        <v>2272</v>
      </c>
      <c r="M18" s="21" t="s">
        <v>2272</v>
      </c>
      <c r="N18" s="21" t="s">
        <v>2272</v>
      </c>
      <c r="O18" s="21" t="s">
        <v>2272</v>
      </c>
      <c r="P18" s="21" t="s">
        <v>2272</v>
      </c>
      <c r="Q18" s="21" t="s">
        <v>2272</v>
      </c>
      <c r="R18" s="21" t="s">
        <v>2370</v>
      </c>
      <c r="S18" s="21" t="s">
        <v>2272</v>
      </c>
      <c r="T18" s="82" t="s">
        <v>2386</v>
      </c>
      <c r="U18" s="82" t="s">
        <v>2272</v>
      </c>
      <c r="V18" s="82" t="s">
        <v>2272</v>
      </c>
      <c r="W18" s="82" t="s">
        <v>2272</v>
      </c>
      <c r="X18" s="21" t="s">
        <v>2370</v>
      </c>
      <c r="Y18" s="3" t="s">
        <v>74</v>
      </c>
      <c r="Z18" s="3" t="s">
        <v>34</v>
      </c>
      <c r="AA18" s="3" t="s">
        <v>63</v>
      </c>
      <c r="AB18" s="4" t="s">
        <v>5047</v>
      </c>
      <c r="AC18" s="4" t="s">
        <v>5044</v>
      </c>
    </row>
    <row r="19" spans="1:29"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2272</v>
      </c>
      <c r="K19" s="21" t="s">
        <v>2272</v>
      </c>
      <c r="L19" s="98" t="s">
        <v>2272</v>
      </c>
      <c r="M19" s="21" t="s">
        <v>2272</v>
      </c>
      <c r="N19" s="21" t="s">
        <v>2272</v>
      </c>
      <c r="O19" s="21" t="s">
        <v>2272</v>
      </c>
      <c r="P19" s="21" t="s">
        <v>2272</v>
      </c>
      <c r="Q19" s="21" t="s">
        <v>2272</v>
      </c>
      <c r="R19" s="21" t="s">
        <v>2370</v>
      </c>
      <c r="S19" s="21" t="s">
        <v>2272</v>
      </c>
      <c r="T19" s="82" t="s">
        <v>2385</v>
      </c>
      <c r="U19" s="82" t="s">
        <v>2272</v>
      </c>
      <c r="V19" s="82" t="s">
        <v>2272</v>
      </c>
      <c r="W19" s="82" t="s">
        <v>2272</v>
      </c>
      <c r="X19" s="21" t="s">
        <v>2370</v>
      </c>
      <c r="Y19" s="3" t="s">
        <v>74</v>
      </c>
      <c r="Z19" s="3" t="s">
        <v>34</v>
      </c>
      <c r="AA19" s="3" t="s">
        <v>63</v>
      </c>
      <c r="AB19" s="4" t="s">
        <v>5047</v>
      </c>
      <c r="AC19" s="4" t="s">
        <v>5044</v>
      </c>
    </row>
    <row r="20" spans="1:29"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2272</v>
      </c>
      <c r="K20" s="21" t="s">
        <v>2272</v>
      </c>
      <c r="L20" s="98" t="s">
        <v>2272</v>
      </c>
      <c r="M20" s="21" t="s">
        <v>2272</v>
      </c>
      <c r="N20" s="21" t="s">
        <v>2272</v>
      </c>
      <c r="O20" s="21" t="s">
        <v>2272</v>
      </c>
      <c r="P20" s="21" t="s">
        <v>2272</v>
      </c>
      <c r="Q20" s="21" t="s">
        <v>2272</v>
      </c>
      <c r="R20" s="21" t="s">
        <v>2370</v>
      </c>
      <c r="S20" s="21" t="s">
        <v>2272</v>
      </c>
      <c r="T20" s="82" t="s">
        <v>2386</v>
      </c>
      <c r="U20" s="82" t="s">
        <v>2272</v>
      </c>
      <c r="V20" s="82" t="s">
        <v>2272</v>
      </c>
      <c r="W20" s="82" t="s">
        <v>2272</v>
      </c>
      <c r="X20" s="21" t="s">
        <v>2370</v>
      </c>
      <c r="Y20" s="3" t="s">
        <v>74</v>
      </c>
      <c r="Z20" s="3" t="s">
        <v>34</v>
      </c>
      <c r="AA20" s="3" t="s">
        <v>63</v>
      </c>
      <c r="AB20" s="4" t="s">
        <v>5047</v>
      </c>
      <c r="AC20" s="4" t="s">
        <v>5044</v>
      </c>
    </row>
    <row r="21" spans="1:29"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2272</v>
      </c>
      <c r="K21" s="21" t="s">
        <v>2272</v>
      </c>
      <c r="L21" s="98" t="s">
        <v>2272</v>
      </c>
      <c r="M21" s="21" t="s">
        <v>2272</v>
      </c>
      <c r="N21" s="21" t="s">
        <v>2272</v>
      </c>
      <c r="O21" s="21" t="s">
        <v>2272</v>
      </c>
      <c r="P21" s="21" t="s">
        <v>2272</v>
      </c>
      <c r="Q21" s="21" t="s">
        <v>2272</v>
      </c>
      <c r="R21" s="21" t="s">
        <v>2370</v>
      </c>
      <c r="S21" s="21" t="s">
        <v>2272</v>
      </c>
      <c r="T21" s="82" t="s">
        <v>2387</v>
      </c>
      <c r="U21" s="82" t="s">
        <v>2272</v>
      </c>
      <c r="V21" s="82" t="s">
        <v>2272</v>
      </c>
      <c r="W21" s="82" t="s">
        <v>2272</v>
      </c>
      <c r="X21" s="21" t="s">
        <v>2370</v>
      </c>
      <c r="Y21" s="3" t="s">
        <v>74</v>
      </c>
      <c r="Z21" s="3" t="s">
        <v>34</v>
      </c>
      <c r="AA21" s="3" t="s">
        <v>63</v>
      </c>
      <c r="AB21" s="4" t="s">
        <v>5047</v>
      </c>
      <c r="AC21" s="4" t="s">
        <v>5044</v>
      </c>
    </row>
    <row r="22" spans="1:29"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2272</v>
      </c>
      <c r="K22" s="21" t="s">
        <v>2272</v>
      </c>
      <c r="L22" s="98" t="s">
        <v>2272</v>
      </c>
      <c r="M22" s="21" t="s">
        <v>2272</v>
      </c>
      <c r="N22" s="21" t="s">
        <v>2272</v>
      </c>
      <c r="O22" s="21" t="s">
        <v>2272</v>
      </c>
      <c r="P22" s="21" t="s">
        <v>2272</v>
      </c>
      <c r="Q22" s="21" t="s">
        <v>2272</v>
      </c>
      <c r="R22" s="21" t="s">
        <v>2370</v>
      </c>
      <c r="S22" s="21" t="s">
        <v>2272</v>
      </c>
      <c r="T22" s="82" t="s">
        <v>2386</v>
      </c>
      <c r="U22" s="82" t="s">
        <v>2272</v>
      </c>
      <c r="V22" s="82" t="s">
        <v>2272</v>
      </c>
      <c r="W22" s="82" t="s">
        <v>2272</v>
      </c>
      <c r="X22" s="21" t="s">
        <v>2370</v>
      </c>
      <c r="Y22" s="3" t="s">
        <v>74</v>
      </c>
      <c r="Z22" s="3" t="s">
        <v>34</v>
      </c>
      <c r="AA22" s="3" t="s">
        <v>63</v>
      </c>
      <c r="AB22" s="4" t="s">
        <v>5047</v>
      </c>
      <c r="AC22" s="4" t="s">
        <v>5044</v>
      </c>
    </row>
    <row r="23" spans="1:29"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2272</v>
      </c>
      <c r="K23" s="21" t="s">
        <v>2272</v>
      </c>
      <c r="L23" s="98" t="s">
        <v>2272</v>
      </c>
      <c r="M23" s="21" t="s">
        <v>2272</v>
      </c>
      <c r="N23" s="21" t="s">
        <v>2272</v>
      </c>
      <c r="O23" s="21" t="s">
        <v>2272</v>
      </c>
      <c r="P23" s="21" t="s">
        <v>2272</v>
      </c>
      <c r="Q23" s="21" t="s">
        <v>2272</v>
      </c>
      <c r="R23" s="21" t="s">
        <v>2370</v>
      </c>
      <c r="S23" s="21" t="s">
        <v>2272</v>
      </c>
      <c r="T23" s="82" t="s">
        <v>2386</v>
      </c>
      <c r="U23" s="82" t="s">
        <v>2272</v>
      </c>
      <c r="V23" s="82" t="s">
        <v>2272</v>
      </c>
      <c r="W23" s="82" t="s">
        <v>2272</v>
      </c>
      <c r="X23" s="21" t="s">
        <v>2370</v>
      </c>
      <c r="Y23" s="3" t="s">
        <v>74</v>
      </c>
      <c r="Z23" s="3" t="s">
        <v>34</v>
      </c>
      <c r="AA23" s="3" t="s">
        <v>63</v>
      </c>
      <c r="AB23" s="4" t="s">
        <v>5047</v>
      </c>
      <c r="AC23" s="4" t="s">
        <v>5044</v>
      </c>
    </row>
    <row r="24" spans="1:29"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2272</v>
      </c>
      <c r="K24" s="21" t="s">
        <v>2272</v>
      </c>
      <c r="L24" s="98" t="s">
        <v>2272</v>
      </c>
      <c r="M24" s="21" t="s">
        <v>2272</v>
      </c>
      <c r="N24" s="21" t="s">
        <v>2272</v>
      </c>
      <c r="O24" s="21" t="s">
        <v>2272</v>
      </c>
      <c r="P24" s="21" t="s">
        <v>2272</v>
      </c>
      <c r="Q24" s="21" t="s">
        <v>2272</v>
      </c>
      <c r="R24" s="21" t="s">
        <v>2370</v>
      </c>
      <c r="S24" s="21" t="s">
        <v>2272</v>
      </c>
      <c r="T24" s="82" t="s">
        <v>2386</v>
      </c>
      <c r="U24" s="82" t="s">
        <v>2272</v>
      </c>
      <c r="V24" s="82" t="s">
        <v>2272</v>
      </c>
      <c r="W24" s="82" t="s">
        <v>2272</v>
      </c>
      <c r="X24" s="21" t="s">
        <v>2370</v>
      </c>
      <c r="Y24" s="3" t="s">
        <v>74</v>
      </c>
      <c r="Z24" s="3" t="s">
        <v>34</v>
      </c>
      <c r="AA24" s="3" t="s">
        <v>63</v>
      </c>
      <c r="AB24" s="4" t="s">
        <v>5047</v>
      </c>
      <c r="AC24" s="4" t="s">
        <v>5044</v>
      </c>
    </row>
    <row r="25" spans="1:29"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2272</v>
      </c>
      <c r="K25" s="21" t="s">
        <v>2272</v>
      </c>
      <c r="L25" s="98" t="s">
        <v>2272</v>
      </c>
      <c r="M25" s="21" t="s">
        <v>2272</v>
      </c>
      <c r="N25" s="21" t="s">
        <v>2272</v>
      </c>
      <c r="O25" s="21" t="s">
        <v>2272</v>
      </c>
      <c r="P25" s="21" t="s">
        <v>2272</v>
      </c>
      <c r="Q25" s="21" t="s">
        <v>2272</v>
      </c>
      <c r="R25" s="21" t="s">
        <v>2370</v>
      </c>
      <c r="S25" s="21" t="s">
        <v>2272</v>
      </c>
      <c r="T25" s="82" t="s">
        <v>2522</v>
      </c>
      <c r="U25" s="82" t="s">
        <v>2272</v>
      </c>
      <c r="V25" s="82" t="s">
        <v>2272</v>
      </c>
      <c r="W25" s="82" t="s">
        <v>2272</v>
      </c>
      <c r="X25" s="21" t="s">
        <v>2370</v>
      </c>
      <c r="Y25" s="3" t="s">
        <v>74</v>
      </c>
      <c r="Z25" s="3" t="s">
        <v>34</v>
      </c>
      <c r="AA25" s="3" t="s">
        <v>63</v>
      </c>
      <c r="AB25" s="4" t="s">
        <v>5047</v>
      </c>
      <c r="AC25" s="4" t="s">
        <v>5044</v>
      </c>
    </row>
    <row r="26" spans="1:29"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2272</v>
      </c>
      <c r="K26" s="21" t="s">
        <v>2272</v>
      </c>
      <c r="L26" s="98" t="s">
        <v>2272</v>
      </c>
      <c r="M26" s="21" t="s">
        <v>2272</v>
      </c>
      <c r="N26" s="21" t="s">
        <v>2272</v>
      </c>
      <c r="O26" s="21" t="s">
        <v>2272</v>
      </c>
      <c r="P26" s="21" t="s">
        <v>2272</v>
      </c>
      <c r="Q26" s="21" t="s">
        <v>2272</v>
      </c>
      <c r="R26" s="21" t="s">
        <v>2370</v>
      </c>
      <c r="S26" s="21" t="s">
        <v>2272</v>
      </c>
      <c r="T26" s="82" t="s">
        <v>2387</v>
      </c>
      <c r="U26" s="82" t="s">
        <v>2272</v>
      </c>
      <c r="V26" s="82" t="s">
        <v>2272</v>
      </c>
      <c r="W26" s="82" t="s">
        <v>2272</v>
      </c>
      <c r="X26" s="21" t="s">
        <v>2370</v>
      </c>
      <c r="Y26" s="3" t="s">
        <v>74</v>
      </c>
      <c r="Z26" s="3" t="s">
        <v>34</v>
      </c>
      <c r="AA26" s="3" t="s">
        <v>63</v>
      </c>
      <c r="AB26" s="4" t="s">
        <v>5047</v>
      </c>
      <c r="AC26" s="4" t="s">
        <v>5044</v>
      </c>
    </row>
    <row r="27" spans="1:29"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2272</v>
      </c>
      <c r="K27" s="21" t="s">
        <v>2272</v>
      </c>
      <c r="L27" s="98" t="s">
        <v>2272</v>
      </c>
      <c r="M27" s="21" t="s">
        <v>2272</v>
      </c>
      <c r="N27" s="21" t="s">
        <v>2272</v>
      </c>
      <c r="O27" s="21" t="s">
        <v>2272</v>
      </c>
      <c r="P27" s="21" t="s">
        <v>2272</v>
      </c>
      <c r="Q27" s="21" t="s">
        <v>2272</v>
      </c>
      <c r="R27" s="21" t="s">
        <v>2370</v>
      </c>
      <c r="S27" s="21" t="s">
        <v>2272</v>
      </c>
      <c r="T27" s="82" t="s">
        <v>2386</v>
      </c>
      <c r="U27" s="82" t="s">
        <v>2272</v>
      </c>
      <c r="V27" s="82" t="s">
        <v>2272</v>
      </c>
      <c r="W27" s="82" t="s">
        <v>2272</v>
      </c>
      <c r="X27" s="21" t="s">
        <v>2370</v>
      </c>
      <c r="Y27" s="3" t="s">
        <v>74</v>
      </c>
      <c r="Z27" s="3" t="s">
        <v>34</v>
      </c>
      <c r="AA27" s="3" t="s">
        <v>63</v>
      </c>
      <c r="AB27" s="4" t="s">
        <v>5047</v>
      </c>
      <c r="AC27" s="4" t="s">
        <v>5044</v>
      </c>
    </row>
    <row r="28" spans="1:29"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2272</v>
      </c>
      <c r="K28" s="21" t="s">
        <v>2272</v>
      </c>
      <c r="L28" s="98" t="s">
        <v>2272</v>
      </c>
      <c r="M28" s="21" t="s">
        <v>2272</v>
      </c>
      <c r="N28" s="21" t="s">
        <v>2272</v>
      </c>
      <c r="O28" s="21" t="s">
        <v>2272</v>
      </c>
      <c r="P28" s="21" t="s">
        <v>2272</v>
      </c>
      <c r="Q28" s="21" t="s">
        <v>2272</v>
      </c>
      <c r="R28" s="21" t="s">
        <v>2370</v>
      </c>
      <c r="S28" s="21" t="s">
        <v>2272</v>
      </c>
      <c r="T28" s="82" t="s">
        <v>2387</v>
      </c>
      <c r="U28" s="82" t="s">
        <v>2272</v>
      </c>
      <c r="V28" s="82" t="s">
        <v>2272</v>
      </c>
      <c r="W28" s="82" t="s">
        <v>2272</v>
      </c>
      <c r="X28" s="21" t="s">
        <v>2370</v>
      </c>
      <c r="Y28" s="3" t="s">
        <v>74</v>
      </c>
      <c r="Z28" s="3" t="s">
        <v>34</v>
      </c>
      <c r="AA28" s="3" t="s">
        <v>63</v>
      </c>
      <c r="AB28" s="4" t="s">
        <v>5047</v>
      </c>
      <c r="AC28" s="4" t="s">
        <v>5044</v>
      </c>
    </row>
    <row r="29" spans="1:29"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2272</v>
      </c>
      <c r="K29" s="21" t="s">
        <v>2272</v>
      </c>
      <c r="L29" s="98" t="s">
        <v>2272</v>
      </c>
      <c r="M29" s="21" t="s">
        <v>2272</v>
      </c>
      <c r="N29" s="21" t="s">
        <v>2272</v>
      </c>
      <c r="O29" s="21" t="s">
        <v>2272</v>
      </c>
      <c r="P29" s="21" t="s">
        <v>2272</v>
      </c>
      <c r="Q29" s="21" t="s">
        <v>2272</v>
      </c>
      <c r="R29" s="21" t="s">
        <v>2370</v>
      </c>
      <c r="S29" s="21" t="s">
        <v>2272</v>
      </c>
      <c r="T29" s="82" t="s">
        <v>2387</v>
      </c>
      <c r="U29" s="82" t="s">
        <v>2272</v>
      </c>
      <c r="V29" s="82" t="s">
        <v>2272</v>
      </c>
      <c r="W29" s="82" t="s">
        <v>2272</v>
      </c>
      <c r="X29" s="21" t="s">
        <v>2370</v>
      </c>
      <c r="Y29" s="3" t="s">
        <v>74</v>
      </c>
      <c r="Z29" s="3" t="s">
        <v>34</v>
      </c>
      <c r="AA29" s="3" t="s">
        <v>63</v>
      </c>
      <c r="AB29" s="4" t="s">
        <v>5047</v>
      </c>
      <c r="AC29" s="4" t="s">
        <v>5044</v>
      </c>
    </row>
    <row r="30" spans="1:29"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2272</v>
      </c>
      <c r="K30" s="21" t="s">
        <v>2272</v>
      </c>
      <c r="L30" s="98" t="s">
        <v>2272</v>
      </c>
      <c r="M30" s="21" t="s">
        <v>2272</v>
      </c>
      <c r="N30" s="21" t="s">
        <v>2272</v>
      </c>
      <c r="O30" s="21" t="s">
        <v>2272</v>
      </c>
      <c r="P30" s="21" t="s">
        <v>2272</v>
      </c>
      <c r="Q30" s="21" t="s">
        <v>2272</v>
      </c>
      <c r="R30" s="21" t="s">
        <v>2370</v>
      </c>
      <c r="S30" s="21" t="s">
        <v>2272</v>
      </c>
      <c r="T30" s="82" t="s">
        <v>2386</v>
      </c>
      <c r="U30" s="82" t="s">
        <v>2272</v>
      </c>
      <c r="V30" s="82" t="s">
        <v>2272</v>
      </c>
      <c r="W30" s="82" t="s">
        <v>2272</v>
      </c>
      <c r="X30" s="21" t="s">
        <v>2370</v>
      </c>
      <c r="Y30" s="3" t="s">
        <v>74</v>
      </c>
      <c r="Z30" s="3" t="s">
        <v>34</v>
      </c>
      <c r="AA30" s="3" t="s">
        <v>63</v>
      </c>
      <c r="AB30" s="4" t="s">
        <v>5047</v>
      </c>
      <c r="AC30" s="4" t="s">
        <v>5044</v>
      </c>
    </row>
    <row r="31" spans="1:29"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2272</v>
      </c>
      <c r="K31" s="21" t="s">
        <v>2272</v>
      </c>
      <c r="L31" s="98" t="s">
        <v>2272</v>
      </c>
      <c r="M31" s="21" t="s">
        <v>2272</v>
      </c>
      <c r="N31" s="21" t="s">
        <v>2272</v>
      </c>
      <c r="O31" s="21" t="s">
        <v>2272</v>
      </c>
      <c r="P31" s="21" t="s">
        <v>2272</v>
      </c>
      <c r="Q31" s="21" t="s">
        <v>2272</v>
      </c>
      <c r="R31" s="21" t="s">
        <v>2370</v>
      </c>
      <c r="S31" s="21" t="s">
        <v>2272</v>
      </c>
      <c r="T31" s="82" t="s">
        <v>2387</v>
      </c>
      <c r="U31" s="82" t="s">
        <v>2272</v>
      </c>
      <c r="V31" s="82" t="s">
        <v>2272</v>
      </c>
      <c r="W31" s="82" t="s">
        <v>2272</v>
      </c>
      <c r="X31" s="21" t="s">
        <v>2370</v>
      </c>
      <c r="Y31" s="3" t="s">
        <v>74</v>
      </c>
      <c r="Z31" s="3" t="s">
        <v>34</v>
      </c>
      <c r="AA31" s="3" t="s">
        <v>63</v>
      </c>
      <c r="AB31" s="4" t="s">
        <v>5047</v>
      </c>
      <c r="AC31" s="4" t="s">
        <v>5044</v>
      </c>
    </row>
    <row r="32" spans="1:29"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2272</v>
      </c>
      <c r="K32" s="21" t="s">
        <v>2272</v>
      </c>
      <c r="L32" s="98" t="s">
        <v>2272</v>
      </c>
      <c r="M32" s="21" t="s">
        <v>2272</v>
      </c>
      <c r="N32" s="21" t="s">
        <v>2272</v>
      </c>
      <c r="O32" s="21" t="s">
        <v>2272</v>
      </c>
      <c r="P32" s="21" t="s">
        <v>2272</v>
      </c>
      <c r="Q32" s="21" t="s">
        <v>2272</v>
      </c>
      <c r="R32" s="21" t="s">
        <v>2370</v>
      </c>
      <c r="S32" s="21" t="s">
        <v>2272</v>
      </c>
      <c r="T32" s="82" t="s">
        <v>2387</v>
      </c>
      <c r="U32" s="82" t="s">
        <v>2272</v>
      </c>
      <c r="V32" s="82" t="s">
        <v>2272</v>
      </c>
      <c r="W32" s="82" t="s">
        <v>2272</v>
      </c>
      <c r="X32" s="21" t="s">
        <v>2370</v>
      </c>
      <c r="Y32" s="3" t="s">
        <v>74</v>
      </c>
      <c r="Z32" s="3" t="s">
        <v>34</v>
      </c>
      <c r="AA32" s="3" t="s">
        <v>63</v>
      </c>
      <c r="AB32" s="4" t="s">
        <v>5047</v>
      </c>
      <c r="AC32" s="4" t="s">
        <v>5044</v>
      </c>
    </row>
    <row r="33" spans="1:29"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2272</v>
      </c>
      <c r="K33" s="21" t="s">
        <v>2272</v>
      </c>
      <c r="L33" s="98" t="s">
        <v>2272</v>
      </c>
      <c r="M33" s="21" t="s">
        <v>2272</v>
      </c>
      <c r="N33" s="21" t="s">
        <v>2272</v>
      </c>
      <c r="O33" s="21" t="s">
        <v>2272</v>
      </c>
      <c r="P33" s="21" t="s">
        <v>2272</v>
      </c>
      <c r="Q33" s="21" t="s">
        <v>2272</v>
      </c>
      <c r="R33" s="21" t="s">
        <v>2370</v>
      </c>
      <c r="S33" s="21" t="s">
        <v>2272</v>
      </c>
      <c r="T33" s="82" t="s">
        <v>2387</v>
      </c>
      <c r="U33" s="82" t="s">
        <v>2272</v>
      </c>
      <c r="V33" s="82" t="s">
        <v>2272</v>
      </c>
      <c r="W33" s="82" t="s">
        <v>2272</v>
      </c>
      <c r="X33" s="21" t="s">
        <v>2370</v>
      </c>
      <c r="Y33" s="3" t="s">
        <v>74</v>
      </c>
      <c r="Z33" s="3" t="s">
        <v>34</v>
      </c>
      <c r="AA33" s="3" t="s">
        <v>63</v>
      </c>
      <c r="AB33" s="4" t="s">
        <v>5047</v>
      </c>
      <c r="AC33" s="4" t="s">
        <v>5044</v>
      </c>
    </row>
    <row r="34" spans="1:29"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2272</v>
      </c>
      <c r="K34" s="21" t="s">
        <v>2272</v>
      </c>
      <c r="L34" s="98" t="s">
        <v>2272</v>
      </c>
      <c r="M34" s="21" t="s">
        <v>2272</v>
      </c>
      <c r="N34" s="21" t="s">
        <v>2272</v>
      </c>
      <c r="O34" s="21" t="s">
        <v>2272</v>
      </c>
      <c r="P34" s="21" t="s">
        <v>2272</v>
      </c>
      <c r="Q34" s="21" t="s">
        <v>2272</v>
      </c>
      <c r="R34" s="21" t="s">
        <v>2370</v>
      </c>
      <c r="S34" s="21" t="s">
        <v>2272</v>
      </c>
      <c r="T34" s="82" t="s">
        <v>2387</v>
      </c>
      <c r="U34" s="82" t="s">
        <v>2272</v>
      </c>
      <c r="V34" s="82" t="s">
        <v>2272</v>
      </c>
      <c r="W34" s="82" t="s">
        <v>2272</v>
      </c>
      <c r="X34" s="21" t="s">
        <v>2370</v>
      </c>
      <c r="Y34" s="3" t="s">
        <v>74</v>
      </c>
      <c r="Z34" s="3" t="s">
        <v>34</v>
      </c>
      <c r="AA34" s="3" t="s">
        <v>63</v>
      </c>
      <c r="AB34" s="4" t="s">
        <v>5047</v>
      </c>
      <c r="AC34" s="4" t="s">
        <v>5044</v>
      </c>
    </row>
    <row r="35" spans="1:29"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2272</v>
      </c>
      <c r="K35" s="21" t="s">
        <v>2272</v>
      </c>
      <c r="L35" s="98" t="s">
        <v>2272</v>
      </c>
      <c r="M35" s="21" t="s">
        <v>2272</v>
      </c>
      <c r="N35" s="21" t="s">
        <v>2272</v>
      </c>
      <c r="O35" s="21" t="s">
        <v>2272</v>
      </c>
      <c r="P35" s="21" t="s">
        <v>2272</v>
      </c>
      <c r="Q35" s="21" t="s">
        <v>2272</v>
      </c>
      <c r="R35" s="21" t="s">
        <v>2370</v>
      </c>
      <c r="S35" s="21" t="s">
        <v>2272</v>
      </c>
      <c r="T35" s="82" t="s">
        <v>2387</v>
      </c>
      <c r="U35" s="82" t="s">
        <v>2272</v>
      </c>
      <c r="V35" s="82" t="s">
        <v>2272</v>
      </c>
      <c r="W35" s="82" t="s">
        <v>2272</v>
      </c>
      <c r="X35" s="21" t="s">
        <v>2370</v>
      </c>
      <c r="Y35" s="3" t="s">
        <v>74</v>
      </c>
      <c r="Z35" s="3" t="s">
        <v>34</v>
      </c>
      <c r="AA35" s="3" t="s">
        <v>63</v>
      </c>
      <c r="AB35" s="4" t="s">
        <v>5047</v>
      </c>
      <c r="AC35" s="4" t="s">
        <v>5044</v>
      </c>
    </row>
    <row r="36" spans="1:29"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2272</v>
      </c>
      <c r="K36" s="21" t="s">
        <v>2272</v>
      </c>
      <c r="L36" s="98" t="s">
        <v>2272</v>
      </c>
      <c r="M36" s="21" t="s">
        <v>2272</v>
      </c>
      <c r="N36" s="21" t="s">
        <v>2272</v>
      </c>
      <c r="O36" s="21" t="s">
        <v>2272</v>
      </c>
      <c r="P36" s="21" t="s">
        <v>2272</v>
      </c>
      <c r="Q36" s="21" t="s">
        <v>2272</v>
      </c>
      <c r="R36" s="21" t="s">
        <v>2370</v>
      </c>
      <c r="S36" s="21" t="s">
        <v>2272</v>
      </c>
      <c r="T36" s="82" t="s">
        <v>2386</v>
      </c>
      <c r="U36" s="82" t="s">
        <v>2272</v>
      </c>
      <c r="V36" s="82" t="s">
        <v>2272</v>
      </c>
      <c r="W36" s="82" t="s">
        <v>2272</v>
      </c>
      <c r="X36" s="21" t="s">
        <v>2370</v>
      </c>
      <c r="Y36" s="3" t="s">
        <v>74</v>
      </c>
      <c r="Z36" s="3" t="s">
        <v>34</v>
      </c>
      <c r="AA36" s="3" t="s">
        <v>63</v>
      </c>
      <c r="AB36" s="4" t="s">
        <v>5047</v>
      </c>
      <c r="AC36" s="4" t="s">
        <v>5044</v>
      </c>
    </row>
    <row r="37" spans="1:29"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2272</v>
      </c>
      <c r="K37" s="21" t="s">
        <v>2272</v>
      </c>
      <c r="L37" s="98" t="s">
        <v>2272</v>
      </c>
      <c r="M37" s="21" t="s">
        <v>2272</v>
      </c>
      <c r="N37" s="21" t="s">
        <v>2272</v>
      </c>
      <c r="O37" s="21" t="s">
        <v>2272</v>
      </c>
      <c r="P37" s="21" t="s">
        <v>2272</v>
      </c>
      <c r="Q37" s="21" t="s">
        <v>2272</v>
      </c>
      <c r="R37" s="21" t="s">
        <v>2370</v>
      </c>
      <c r="S37" s="21" t="s">
        <v>2272</v>
      </c>
      <c r="T37" s="82" t="s">
        <v>2387</v>
      </c>
      <c r="U37" s="82" t="s">
        <v>2272</v>
      </c>
      <c r="V37" s="82" t="s">
        <v>2272</v>
      </c>
      <c r="W37" s="82" t="s">
        <v>2272</v>
      </c>
      <c r="X37" s="21" t="s">
        <v>2370</v>
      </c>
      <c r="Y37" s="3" t="s">
        <v>74</v>
      </c>
      <c r="Z37" s="3" t="s">
        <v>34</v>
      </c>
      <c r="AA37" s="3" t="s">
        <v>63</v>
      </c>
      <c r="AB37" s="4" t="s">
        <v>5047</v>
      </c>
      <c r="AC37" s="4" t="s">
        <v>5044</v>
      </c>
    </row>
    <row r="38" spans="1:29"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2272</v>
      </c>
      <c r="K38" s="21" t="s">
        <v>2272</v>
      </c>
      <c r="L38" s="98" t="s">
        <v>2272</v>
      </c>
      <c r="M38" s="21" t="s">
        <v>2272</v>
      </c>
      <c r="N38" s="21" t="s">
        <v>2272</v>
      </c>
      <c r="O38" s="21" t="s">
        <v>2272</v>
      </c>
      <c r="P38" s="21" t="s">
        <v>2272</v>
      </c>
      <c r="Q38" s="21" t="s">
        <v>2272</v>
      </c>
      <c r="R38" s="21" t="s">
        <v>2370</v>
      </c>
      <c r="S38" s="21" t="s">
        <v>2272</v>
      </c>
      <c r="T38" s="82" t="s">
        <v>2387</v>
      </c>
      <c r="U38" s="82" t="s">
        <v>2272</v>
      </c>
      <c r="V38" s="82" t="s">
        <v>2272</v>
      </c>
      <c r="W38" s="82" t="s">
        <v>2272</v>
      </c>
      <c r="X38" s="21" t="s">
        <v>2370</v>
      </c>
      <c r="Y38" s="3" t="s">
        <v>74</v>
      </c>
      <c r="Z38" s="3" t="s">
        <v>34</v>
      </c>
      <c r="AA38" s="3" t="s">
        <v>63</v>
      </c>
      <c r="AB38" s="4" t="s">
        <v>5047</v>
      </c>
      <c r="AC38" s="4" t="s">
        <v>5044</v>
      </c>
    </row>
    <row r="39" spans="1:29"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2272</v>
      </c>
      <c r="K39" s="21" t="s">
        <v>2272</v>
      </c>
      <c r="L39" s="98" t="s">
        <v>2272</v>
      </c>
      <c r="M39" s="21" t="s">
        <v>2272</v>
      </c>
      <c r="N39" s="21" t="s">
        <v>2272</v>
      </c>
      <c r="O39" s="21" t="s">
        <v>2272</v>
      </c>
      <c r="P39" s="21" t="s">
        <v>2272</v>
      </c>
      <c r="Q39" s="21" t="s">
        <v>2272</v>
      </c>
      <c r="R39" s="21" t="s">
        <v>2370</v>
      </c>
      <c r="S39" s="21" t="s">
        <v>2272</v>
      </c>
      <c r="T39" s="82" t="s">
        <v>2387</v>
      </c>
      <c r="U39" s="82" t="s">
        <v>2272</v>
      </c>
      <c r="V39" s="82" t="s">
        <v>2272</v>
      </c>
      <c r="W39" s="82" t="s">
        <v>2272</v>
      </c>
      <c r="X39" s="21" t="s">
        <v>2370</v>
      </c>
      <c r="Y39" s="3" t="s">
        <v>74</v>
      </c>
      <c r="Z39" s="3" t="s">
        <v>34</v>
      </c>
      <c r="AA39" s="3" t="s">
        <v>63</v>
      </c>
      <c r="AB39" s="4" t="s">
        <v>5047</v>
      </c>
      <c r="AC39" s="4" t="s">
        <v>5044</v>
      </c>
    </row>
    <row r="40" spans="1:29"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2272</v>
      </c>
      <c r="K40" s="21" t="s">
        <v>2272</v>
      </c>
      <c r="L40" s="98" t="s">
        <v>2272</v>
      </c>
      <c r="M40" s="21" t="s">
        <v>2272</v>
      </c>
      <c r="N40" s="21" t="s">
        <v>2272</v>
      </c>
      <c r="O40" s="21" t="s">
        <v>2272</v>
      </c>
      <c r="P40" s="21" t="s">
        <v>2272</v>
      </c>
      <c r="Q40" s="21" t="s">
        <v>2272</v>
      </c>
      <c r="R40" s="21" t="s">
        <v>2370</v>
      </c>
      <c r="S40" s="21" t="s">
        <v>2272</v>
      </c>
      <c r="T40" s="82" t="s">
        <v>2387</v>
      </c>
      <c r="U40" s="82" t="s">
        <v>2272</v>
      </c>
      <c r="V40" s="82" t="s">
        <v>2272</v>
      </c>
      <c r="W40" s="82" t="s">
        <v>2272</v>
      </c>
      <c r="X40" s="21" t="s">
        <v>2370</v>
      </c>
      <c r="Y40" s="3" t="s">
        <v>74</v>
      </c>
      <c r="Z40" s="3" t="s">
        <v>34</v>
      </c>
      <c r="AA40" s="3" t="s">
        <v>63</v>
      </c>
      <c r="AB40" s="4" t="s">
        <v>5047</v>
      </c>
      <c r="AC40" s="4" t="s">
        <v>5044</v>
      </c>
    </row>
    <row r="41" spans="1:29"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2272</v>
      </c>
      <c r="K41" s="21" t="s">
        <v>2272</v>
      </c>
      <c r="L41" s="98" t="s">
        <v>2272</v>
      </c>
      <c r="M41" s="21" t="s">
        <v>2272</v>
      </c>
      <c r="N41" s="21" t="s">
        <v>2272</v>
      </c>
      <c r="O41" s="21" t="s">
        <v>2272</v>
      </c>
      <c r="P41" s="21" t="s">
        <v>2272</v>
      </c>
      <c r="Q41" s="21" t="s">
        <v>2272</v>
      </c>
      <c r="R41" s="21" t="s">
        <v>2370</v>
      </c>
      <c r="S41" s="21" t="s">
        <v>2272</v>
      </c>
      <c r="T41" s="82" t="s">
        <v>2386</v>
      </c>
      <c r="U41" s="82" t="s">
        <v>2272</v>
      </c>
      <c r="V41" s="82" t="s">
        <v>2272</v>
      </c>
      <c r="W41" s="82" t="s">
        <v>2272</v>
      </c>
      <c r="X41" s="21" t="s">
        <v>2370</v>
      </c>
      <c r="Y41" s="3" t="s">
        <v>74</v>
      </c>
      <c r="Z41" s="3" t="s">
        <v>34</v>
      </c>
      <c r="AA41" s="3" t="s">
        <v>63</v>
      </c>
      <c r="AB41" s="4" t="s">
        <v>5047</v>
      </c>
      <c r="AC41" s="4" t="s">
        <v>5044</v>
      </c>
    </row>
    <row r="42" spans="1:29"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2272</v>
      </c>
      <c r="K42" s="21" t="s">
        <v>2272</v>
      </c>
      <c r="L42" s="98" t="s">
        <v>2272</v>
      </c>
      <c r="M42" s="21" t="s">
        <v>2272</v>
      </c>
      <c r="N42" s="21" t="s">
        <v>2272</v>
      </c>
      <c r="O42" s="21" t="s">
        <v>2272</v>
      </c>
      <c r="P42" s="21" t="s">
        <v>2272</v>
      </c>
      <c r="Q42" s="21" t="s">
        <v>2272</v>
      </c>
      <c r="R42" s="21" t="s">
        <v>2370</v>
      </c>
      <c r="S42" s="21" t="s">
        <v>2272</v>
      </c>
      <c r="T42" s="82" t="s">
        <v>2387</v>
      </c>
      <c r="U42" s="82" t="s">
        <v>2272</v>
      </c>
      <c r="V42" s="82" t="s">
        <v>2272</v>
      </c>
      <c r="W42" s="82" t="s">
        <v>2272</v>
      </c>
      <c r="X42" s="21" t="s">
        <v>2370</v>
      </c>
      <c r="Y42" s="3" t="s">
        <v>74</v>
      </c>
      <c r="Z42" s="3" t="s">
        <v>34</v>
      </c>
      <c r="AA42" s="3" t="s">
        <v>63</v>
      </c>
      <c r="AB42" s="4" t="s">
        <v>5047</v>
      </c>
      <c r="AC42" s="4" t="s">
        <v>5044</v>
      </c>
    </row>
    <row r="43" spans="1:29"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2272</v>
      </c>
      <c r="K43" s="21" t="s">
        <v>2272</v>
      </c>
      <c r="L43" s="98" t="s">
        <v>2272</v>
      </c>
      <c r="M43" s="21" t="s">
        <v>2272</v>
      </c>
      <c r="N43" s="21" t="s">
        <v>2272</v>
      </c>
      <c r="O43" s="21" t="s">
        <v>2272</v>
      </c>
      <c r="P43" s="21" t="s">
        <v>2272</v>
      </c>
      <c r="Q43" s="21" t="s">
        <v>2272</v>
      </c>
      <c r="R43" s="21" t="s">
        <v>2370</v>
      </c>
      <c r="S43" s="21" t="s">
        <v>2272</v>
      </c>
      <c r="T43" s="82" t="s">
        <v>2387</v>
      </c>
      <c r="U43" s="82" t="s">
        <v>2272</v>
      </c>
      <c r="V43" s="82" t="s">
        <v>2272</v>
      </c>
      <c r="W43" s="82" t="s">
        <v>2272</v>
      </c>
      <c r="X43" s="21" t="s">
        <v>2370</v>
      </c>
      <c r="Y43" s="3" t="s">
        <v>74</v>
      </c>
      <c r="Z43" s="3" t="s">
        <v>34</v>
      </c>
      <c r="AA43" s="3" t="s">
        <v>63</v>
      </c>
      <c r="AB43" s="4" t="s">
        <v>5047</v>
      </c>
      <c r="AC43" s="4" t="s">
        <v>5044</v>
      </c>
    </row>
    <row r="44" spans="1:29"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2272</v>
      </c>
      <c r="K44" s="21" t="s">
        <v>2272</v>
      </c>
      <c r="L44" s="98" t="s">
        <v>2272</v>
      </c>
      <c r="M44" s="21" t="s">
        <v>2272</v>
      </c>
      <c r="N44" s="21" t="s">
        <v>2272</v>
      </c>
      <c r="O44" s="21" t="s">
        <v>2272</v>
      </c>
      <c r="P44" s="21" t="s">
        <v>2272</v>
      </c>
      <c r="Q44" s="21" t="s">
        <v>2272</v>
      </c>
      <c r="R44" s="21" t="s">
        <v>2370</v>
      </c>
      <c r="S44" s="21" t="s">
        <v>2272</v>
      </c>
      <c r="T44" s="82" t="s">
        <v>2387</v>
      </c>
      <c r="U44" s="82" t="s">
        <v>2272</v>
      </c>
      <c r="V44" s="82" t="s">
        <v>2272</v>
      </c>
      <c r="W44" s="82" t="s">
        <v>2272</v>
      </c>
      <c r="X44" s="21" t="s">
        <v>2370</v>
      </c>
      <c r="Y44" s="3" t="s">
        <v>74</v>
      </c>
      <c r="Z44" s="3" t="s">
        <v>34</v>
      </c>
      <c r="AA44" s="3" t="s">
        <v>63</v>
      </c>
      <c r="AB44" s="4" t="s">
        <v>5047</v>
      </c>
      <c r="AC44" s="4" t="s">
        <v>5044</v>
      </c>
    </row>
    <row r="45" spans="1:29"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2272</v>
      </c>
      <c r="K45" s="21" t="s">
        <v>2272</v>
      </c>
      <c r="L45" s="98" t="s">
        <v>2272</v>
      </c>
      <c r="M45" s="21" t="s">
        <v>2272</v>
      </c>
      <c r="N45" s="21" t="s">
        <v>2272</v>
      </c>
      <c r="O45" s="21" t="s">
        <v>2272</v>
      </c>
      <c r="P45" s="21" t="s">
        <v>2272</v>
      </c>
      <c r="Q45" s="21" t="s">
        <v>2272</v>
      </c>
      <c r="R45" s="21" t="s">
        <v>2370</v>
      </c>
      <c r="S45" s="21" t="s">
        <v>2272</v>
      </c>
      <c r="T45" s="82" t="s">
        <v>2386</v>
      </c>
      <c r="U45" s="82" t="s">
        <v>2272</v>
      </c>
      <c r="V45" s="82" t="s">
        <v>2272</v>
      </c>
      <c r="W45" s="82" t="s">
        <v>2272</v>
      </c>
      <c r="X45" s="21" t="s">
        <v>2370</v>
      </c>
      <c r="Y45" s="3" t="s">
        <v>74</v>
      </c>
      <c r="Z45" s="3" t="s">
        <v>34</v>
      </c>
      <c r="AA45" s="3" t="s">
        <v>63</v>
      </c>
      <c r="AB45" s="4" t="s">
        <v>5047</v>
      </c>
      <c r="AC45" s="4" t="s">
        <v>5044</v>
      </c>
    </row>
    <row r="46" spans="1:29"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3" t="s">
        <v>2272</v>
      </c>
      <c r="K46" s="73" t="s">
        <v>2272</v>
      </c>
      <c r="L46" s="104" t="s">
        <v>2272</v>
      </c>
      <c r="M46" s="73" t="s">
        <v>2272</v>
      </c>
      <c r="N46" s="21" t="s">
        <v>2372</v>
      </c>
      <c r="O46" s="73" t="s">
        <v>2272</v>
      </c>
      <c r="P46" s="73" t="s">
        <v>2272</v>
      </c>
      <c r="Q46" s="73" t="s">
        <v>2272</v>
      </c>
      <c r="R46" s="21" t="s">
        <v>2358</v>
      </c>
      <c r="S46" s="21" t="s">
        <v>2272</v>
      </c>
      <c r="T46" s="82" t="s">
        <v>2371</v>
      </c>
      <c r="U46" s="82" t="s">
        <v>2272</v>
      </c>
      <c r="V46" s="82" t="s">
        <v>2272</v>
      </c>
      <c r="W46" s="82" t="s">
        <v>2272</v>
      </c>
      <c r="X46" s="21" t="s">
        <v>2370</v>
      </c>
      <c r="Y46" s="22" t="s">
        <v>74</v>
      </c>
      <c r="Z46" s="22" t="s">
        <v>34</v>
      </c>
      <c r="AA46" s="3" t="s">
        <v>63</v>
      </c>
      <c r="AB46" s="4" t="s">
        <v>5047</v>
      </c>
      <c r="AC46" s="4" t="s">
        <v>5045</v>
      </c>
    </row>
    <row r="47" spans="1:29"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3" t="s">
        <v>2272</v>
      </c>
      <c r="K47" s="73" t="s">
        <v>2272</v>
      </c>
      <c r="L47" s="104" t="s">
        <v>2272</v>
      </c>
      <c r="M47" s="73" t="s">
        <v>2272</v>
      </c>
      <c r="N47" s="21" t="s">
        <v>2371</v>
      </c>
      <c r="O47" s="73" t="s">
        <v>2272</v>
      </c>
      <c r="P47" s="73" t="s">
        <v>2272</v>
      </c>
      <c r="Q47" s="73" t="s">
        <v>2272</v>
      </c>
      <c r="R47" s="21" t="s">
        <v>2358</v>
      </c>
      <c r="S47" s="21" t="s">
        <v>2272</v>
      </c>
      <c r="T47" s="82" t="s">
        <v>2522</v>
      </c>
      <c r="U47" s="82" t="s">
        <v>2272</v>
      </c>
      <c r="V47" s="82" t="s">
        <v>2272</v>
      </c>
      <c r="W47" s="82" t="s">
        <v>2272</v>
      </c>
      <c r="X47" s="21" t="s">
        <v>2370</v>
      </c>
      <c r="Y47" s="3" t="s">
        <v>74</v>
      </c>
      <c r="Z47" s="3" t="s">
        <v>34</v>
      </c>
      <c r="AA47" s="3" t="s">
        <v>63</v>
      </c>
      <c r="AB47" s="4" t="s">
        <v>5047</v>
      </c>
      <c r="AC47" s="4" t="s">
        <v>5046</v>
      </c>
    </row>
    <row r="48" spans="1:29"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3" t="s">
        <v>2272</v>
      </c>
      <c r="K48" s="73" t="s">
        <v>2272</v>
      </c>
      <c r="L48" s="104" t="s">
        <v>2272</v>
      </c>
      <c r="M48" s="73" t="s">
        <v>2272</v>
      </c>
      <c r="N48" s="21" t="s">
        <v>2272</v>
      </c>
      <c r="O48" s="73" t="s">
        <v>2272</v>
      </c>
      <c r="P48" s="73" t="s">
        <v>2272</v>
      </c>
      <c r="Q48" s="73" t="s">
        <v>2272</v>
      </c>
      <c r="R48" s="21" t="s">
        <v>2358</v>
      </c>
      <c r="S48" s="21" t="s">
        <v>2272</v>
      </c>
      <c r="T48" s="82" t="s">
        <v>2522</v>
      </c>
      <c r="U48" s="82" t="s">
        <v>2272</v>
      </c>
      <c r="V48" s="82" t="s">
        <v>2272</v>
      </c>
      <c r="W48" s="82" t="s">
        <v>2272</v>
      </c>
      <c r="X48" s="21" t="s">
        <v>2370</v>
      </c>
      <c r="Y48" s="3" t="s">
        <v>74</v>
      </c>
      <c r="Z48" s="3" t="s">
        <v>34</v>
      </c>
      <c r="AA48" s="3" t="s">
        <v>63</v>
      </c>
      <c r="AB48" s="4" t="s">
        <v>5047</v>
      </c>
      <c r="AC48" s="4" t="s">
        <v>2257</v>
      </c>
    </row>
    <row r="49" spans="1:29"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3" t="s">
        <v>2272</v>
      </c>
      <c r="K49" s="73" t="s">
        <v>2272</v>
      </c>
      <c r="L49" s="104" t="s">
        <v>2272</v>
      </c>
      <c r="M49" s="73" t="s">
        <v>2272</v>
      </c>
      <c r="N49" s="21" t="s">
        <v>2272</v>
      </c>
      <c r="O49" s="73" t="s">
        <v>2272</v>
      </c>
      <c r="P49" s="73" t="s">
        <v>2272</v>
      </c>
      <c r="Q49" s="73" t="s">
        <v>2272</v>
      </c>
      <c r="R49" s="21" t="s">
        <v>2358</v>
      </c>
      <c r="S49" s="21" t="s">
        <v>2272</v>
      </c>
      <c r="T49" s="82" t="s">
        <v>2371</v>
      </c>
      <c r="U49" s="82" t="s">
        <v>2272</v>
      </c>
      <c r="V49" s="82" t="s">
        <v>2272</v>
      </c>
      <c r="W49" s="82" t="s">
        <v>2272</v>
      </c>
      <c r="X49" s="21" t="s">
        <v>2370</v>
      </c>
      <c r="Y49" s="3" t="s">
        <v>74</v>
      </c>
      <c r="Z49" s="3" t="s">
        <v>34</v>
      </c>
      <c r="AA49" s="3" t="s">
        <v>63</v>
      </c>
      <c r="AB49" s="4" t="s">
        <v>5047</v>
      </c>
      <c r="AC49" s="4" t="s">
        <v>2257</v>
      </c>
    </row>
    <row r="50" spans="1:29"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3" t="s">
        <v>2272</v>
      </c>
      <c r="K50" s="73" t="s">
        <v>2272</v>
      </c>
      <c r="L50" s="104" t="s">
        <v>2272</v>
      </c>
      <c r="M50" s="73" t="s">
        <v>2272</v>
      </c>
      <c r="N50" s="21" t="s">
        <v>2272</v>
      </c>
      <c r="O50" s="73" t="s">
        <v>2272</v>
      </c>
      <c r="P50" s="73" t="s">
        <v>2272</v>
      </c>
      <c r="Q50" s="73" t="s">
        <v>2272</v>
      </c>
      <c r="R50" s="21" t="s">
        <v>2358</v>
      </c>
      <c r="S50" s="21" t="s">
        <v>2272</v>
      </c>
      <c r="T50" s="82" t="s">
        <v>2384</v>
      </c>
      <c r="U50" s="82" t="s">
        <v>2272</v>
      </c>
      <c r="V50" s="82" t="s">
        <v>2272</v>
      </c>
      <c r="W50" s="82" t="s">
        <v>2272</v>
      </c>
      <c r="X50" s="21" t="s">
        <v>2370</v>
      </c>
      <c r="Y50" s="3" t="s">
        <v>74</v>
      </c>
      <c r="Z50" s="3" t="s">
        <v>34</v>
      </c>
      <c r="AA50" s="3" t="s">
        <v>63</v>
      </c>
      <c r="AB50" s="4" t="s">
        <v>5047</v>
      </c>
      <c r="AC50" s="4" t="s">
        <v>2257</v>
      </c>
    </row>
    <row r="51" spans="1:29"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3" t="s">
        <v>2272</v>
      </c>
      <c r="K51" s="73" t="s">
        <v>2272</v>
      </c>
      <c r="L51" s="104" t="s">
        <v>2272</v>
      </c>
      <c r="M51" s="73" t="s">
        <v>2272</v>
      </c>
      <c r="N51" s="21" t="s">
        <v>2272</v>
      </c>
      <c r="O51" s="73" t="s">
        <v>2272</v>
      </c>
      <c r="P51" s="73" t="s">
        <v>2272</v>
      </c>
      <c r="Q51" s="73" t="s">
        <v>2272</v>
      </c>
      <c r="R51" s="21" t="s">
        <v>2358</v>
      </c>
      <c r="S51" s="21" t="s">
        <v>2272</v>
      </c>
      <c r="T51" s="82" t="s">
        <v>2522</v>
      </c>
      <c r="U51" s="82" t="s">
        <v>2272</v>
      </c>
      <c r="V51" s="82" t="s">
        <v>2272</v>
      </c>
      <c r="W51" s="82" t="s">
        <v>2272</v>
      </c>
      <c r="X51" s="21" t="s">
        <v>2370</v>
      </c>
      <c r="Y51" s="3" t="s">
        <v>74</v>
      </c>
      <c r="Z51" s="3" t="s">
        <v>34</v>
      </c>
      <c r="AA51" s="3" t="s">
        <v>63</v>
      </c>
      <c r="AB51" s="4" t="s">
        <v>5047</v>
      </c>
      <c r="AC51" s="4" t="s">
        <v>2257</v>
      </c>
    </row>
    <row r="52" spans="1:29"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3" t="s">
        <v>2272</v>
      </c>
      <c r="K52" s="73" t="s">
        <v>2272</v>
      </c>
      <c r="L52" s="104" t="s">
        <v>2272</v>
      </c>
      <c r="M52" s="73" t="s">
        <v>2272</v>
      </c>
      <c r="N52" s="21" t="s">
        <v>2272</v>
      </c>
      <c r="O52" s="73" t="s">
        <v>2272</v>
      </c>
      <c r="P52" s="73" t="s">
        <v>2272</v>
      </c>
      <c r="Q52" s="73" t="s">
        <v>2272</v>
      </c>
      <c r="R52" s="21" t="s">
        <v>2358</v>
      </c>
      <c r="S52" s="21" t="s">
        <v>2272</v>
      </c>
      <c r="T52" s="82" t="s">
        <v>2522</v>
      </c>
      <c r="U52" s="82" t="s">
        <v>2272</v>
      </c>
      <c r="V52" s="82" t="s">
        <v>2272</v>
      </c>
      <c r="W52" s="82" t="s">
        <v>2272</v>
      </c>
      <c r="X52" s="21" t="s">
        <v>2370</v>
      </c>
      <c r="Y52" s="3" t="s">
        <v>74</v>
      </c>
      <c r="Z52" s="3" t="s">
        <v>34</v>
      </c>
      <c r="AA52" s="3" t="s">
        <v>63</v>
      </c>
      <c r="AB52" s="4" t="s">
        <v>5047</v>
      </c>
      <c r="AC52" s="4" t="s">
        <v>2257</v>
      </c>
    </row>
    <row r="53" spans="1:29"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3" t="s">
        <v>2272</v>
      </c>
      <c r="K53" s="73" t="s">
        <v>2272</v>
      </c>
      <c r="L53" s="104" t="s">
        <v>2272</v>
      </c>
      <c r="M53" s="73" t="s">
        <v>2272</v>
      </c>
      <c r="N53" s="21" t="s">
        <v>2272</v>
      </c>
      <c r="O53" s="73" t="s">
        <v>2272</v>
      </c>
      <c r="P53" s="73" t="s">
        <v>2272</v>
      </c>
      <c r="Q53" s="73" t="s">
        <v>2272</v>
      </c>
      <c r="R53" s="21" t="s">
        <v>2358</v>
      </c>
      <c r="S53" s="21" t="s">
        <v>2272</v>
      </c>
      <c r="T53" s="82" t="s">
        <v>2369</v>
      </c>
      <c r="U53" s="82" t="s">
        <v>2272</v>
      </c>
      <c r="V53" s="82" t="s">
        <v>2272</v>
      </c>
      <c r="W53" s="82" t="s">
        <v>2272</v>
      </c>
      <c r="X53" s="21" t="s">
        <v>2370</v>
      </c>
      <c r="Y53" s="3" t="s">
        <v>74</v>
      </c>
      <c r="Z53" s="3" t="s">
        <v>34</v>
      </c>
      <c r="AA53" s="3" t="s">
        <v>63</v>
      </c>
      <c r="AB53" s="4" t="s">
        <v>5047</v>
      </c>
      <c r="AC53" s="4" t="s">
        <v>2257</v>
      </c>
    </row>
    <row r="54" spans="1:29"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3" t="s">
        <v>2272</v>
      </c>
      <c r="K54" s="73" t="s">
        <v>2272</v>
      </c>
      <c r="L54" s="104" t="s">
        <v>2272</v>
      </c>
      <c r="M54" s="73" t="s">
        <v>2272</v>
      </c>
      <c r="N54" s="21" t="s">
        <v>2272</v>
      </c>
      <c r="O54" s="73" t="s">
        <v>2272</v>
      </c>
      <c r="P54" s="73" t="s">
        <v>2272</v>
      </c>
      <c r="Q54" s="73" t="s">
        <v>2272</v>
      </c>
      <c r="R54" s="21" t="s">
        <v>2358</v>
      </c>
      <c r="S54" s="21" t="s">
        <v>2272</v>
      </c>
      <c r="T54" s="82" t="s">
        <v>2384</v>
      </c>
      <c r="U54" s="82" t="s">
        <v>2272</v>
      </c>
      <c r="V54" s="82" t="s">
        <v>2272</v>
      </c>
      <c r="W54" s="82" t="s">
        <v>2272</v>
      </c>
      <c r="X54" s="21" t="s">
        <v>2370</v>
      </c>
      <c r="Y54" s="3" t="s">
        <v>74</v>
      </c>
      <c r="Z54" s="3" t="s">
        <v>34</v>
      </c>
      <c r="AA54" s="3" t="s">
        <v>63</v>
      </c>
      <c r="AB54" s="4" t="s">
        <v>5047</v>
      </c>
      <c r="AC54" s="4" t="s">
        <v>2257</v>
      </c>
    </row>
    <row r="55" spans="1:29"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3" t="s">
        <v>2272</v>
      </c>
      <c r="K55" s="73" t="s">
        <v>2272</v>
      </c>
      <c r="L55" s="104" t="s">
        <v>2272</v>
      </c>
      <c r="M55" s="73" t="s">
        <v>2272</v>
      </c>
      <c r="N55" s="21" t="s">
        <v>2272</v>
      </c>
      <c r="O55" s="73" t="s">
        <v>2272</v>
      </c>
      <c r="P55" s="73" t="s">
        <v>2272</v>
      </c>
      <c r="Q55" s="73" t="s">
        <v>2272</v>
      </c>
      <c r="R55" s="21" t="s">
        <v>2358</v>
      </c>
      <c r="S55" s="21" t="s">
        <v>2272</v>
      </c>
      <c r="T55" s="82" t="s">
        <v>2371</v>
      </c>
      <c r="U55" s="82" t="s">
        <v>2272</v>
      </c>
      <c r="V55" s="82" t="s">
        <v>2272</v>
      </c>
      <c r="W55" s="82" t="s">
        <v>2272</v>
      </c>
      <c r="X55" s="21" t="s">
        <v>2370</v>
      </c>
      <c r="Y55" s="3" t="s">
        <v>74</v>
      </c>
      <c r="Z55" s="3" t="s">
        <v>34</v>
      </c>
      <c r="AA55" s="3" t="s">
        <v>63</v>
      </c>
      <c r="AB55" s="4" t="s">
        <v>5047</v>
      </c>
      <c r="AC55" s="4" t="s">
        <v>2257</v>
      </c>
    </row>
    <row r="56" spans="1:29"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3" t="s">
        <v>2272</v>
      </c>
      <c r="K56" s="73" t="s">
        <v>2272</v>
      </c>
      <c r="L56" s="104" t="s">
        <v>2272</v>
      </c>
      <c r="M56" s="73" t="s">
        <v>2272</v>
      </c>
      <c r="N56" s="21" t="s">
        <v>2272</v>
      </c>
      <c r="O56" s="73" t="s">
        <v>2272</v>
      </c>
      <c r="P56" s="73" t="s">
        <v>2272</v>
      </c>
      <c r="Q56" s="73" t="s">
        <v>2272</v>
      </c>
      <c r="R56" s="21" t="s">
        <v>2358</v>
      </c>
      <c r="S56" s="21" t="s">
        <v>2272</v>
      </c>
      <c r="T56" s="82" t="s">
        <v>2371</v>
      </c>
      <c r="U56" s="82" t="s">
        <v>2272</v>
      </c>
      <c r="V56" s="82" t="s">
        <v>2272</v>
      </c>
      <c r="W56" s="82" t="s">
        <v>2272</v>
      </c>
      <c r="X56" s="21" t="s">
        <v>2370</v>
      </c>
      <c r="Y56" s="3" t="s">
        <v>74</v>
      </c>
      <c r="Z56" s="3" t="s">
        <v>34</v>
      </c>
      <c r="AA56" s="3" t="s">
        <v>63</v>
      </c>
      <c r="AB56" s="4" t="s">
        <v>5047</v>
      </c>
      <c r="AC56" s="4" t="s">
        <v>2257</v>
      </c>
    </row>
    <row r="57" spans="1:29"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3" t="s">
        <v>2272</v>
      </c>
      <c r="K57" s="73" t="s">
        <v>2272</v>
      </c>
      <c r="L57" s="104" t="s">
        <v>2272</v>
      </c>
      <c r="M57" s="73" t="s">
        <v>2272</v>
      </c>
      <c r="N57" s="21" t="s">
        <v>2272</v>
      </c>
      <c r="O57" s="73" t="s">
        <v>2272</v>
      </c>
      <c r="P57" s="73" t="s">
        <v>2272</v>
      </c>
      <c r="Q57" s="73" t="s">
        <v>2272</v>
      </c>
      <c r="R57" s="21" t="s">
        <v>2358</v>
      </c>
      <c r="S57" s="21" t="s">
        <v>2272</v>
      </c>
      <c r="T57" s="82" t="s">
        <v>2385</v>
      </c>
      <c r="U57" s="82" t="s">
        <v>2272</v>
      </c>
      <c r="V57" s="82" t="s">
        <v>2272</v>
      </c>
      <c r="W57" s="82" t="s">
        <v>2272</v>
      </c>
      <c r="X57" s="21" t="s">
        <v>2370</v>
      </c>
      <c r="Y57" s="3" t="s">
        <v>74</v>
      </c>
      <c r="Z57" s="3" t="s">
        <v>34</v>
      </c>
      <c r="AA57" s="3" t="s">
        <v>63</v>
      </c>
      <c r="AB57" s="4" t="s">
        <v>5047</v>
      </c>
      <c r="AC57" s="4" t="s">
        <v>2257</v>
      </c>
    </row>
    <row r="58" spans="1:29"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3" t="s">
        <v>2272</v>
      </c>
      <c r="K58" s="73" t="s">
        <v>2272</v>
      </c>
      <c r="L58" s="104" t="s">
        <v>2272</v>
      </c>
      <c r="M58" s="73" t="s">
        <v>2272</v>
      </c>
      <c r="N58" s="21" t="s">
        <v>2272</v>
      </c>
      <c r="O58" s="73" t="s">
        <v>2272</v>
      </c>
      <c r="P58" s="73" t="s">
        <v>2272</v>
      </c>
      <c r="Q58" s="73" t="s">
        <v>2272</v>
      </c>
      <c r="R58" s="21" t="s">
        <v>2358</v>
      </c>
      <c r="S58" s="21" t="s">
        <v>2272</v>
      </c>
      <c r="T58" s="82" t="s">
        <v>2369</v>
      </c>
      <c r="U58" s="82" t="s">
        <v>2272</v>
      </c>
      <c r="V58" s="82" t="s">
        <v>2272</v>
      </c>
      <c r="W58" s="82" t="s">
        <v>2272</v>
      </c>
      <c r="X58" s="21" t="s">
        <v>2370</v>
      </c>
      <c r="Y58" s="3" t="s">
        <v>74</v>
      </c>
      <c r="Z58" s="3" t="s">
        <v>34</v>
      </c>
      <c r="AA58" s="3" t="s">
        <v>63</v>
      </c>
      <c r="AB58" s="4" t="s">
        <v>5047</v>
      </c>
      <c r="AC58" s="4" t="s">
        <v>2257</v>
      </c>
    </row>
    <row r="59" spans="1:29"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3" t="s">
        <v>2272</v>
      </c>
      <c r="K59" s="73" t="s">
        <v>2272</v>
      </c>
      <c r="L59" s="104" t="s">
        <v>2272</v>
      </c>
      <c r="M59" s="73" t="s">
        <v>2272</v>
      </c>
      <c r="N59" s="21" t="s">
        <v>2272</v>
      </c>
      <c r="O59" s="73" t="s">
        <v>2272</v>
      </c>
      <c r="P59" s="73" t="s">
        <v>2272</v>
      </c>
      <c r="Q59" s="73" t="s">
        <v>2272</v>
      </c>
      <c r="R59" s="21" t="s">
        <v>2358</v>
      </c>
      <c r="S59" s="21" t="s">
        <v>2272</v>
      </c>
      <c r="T59" s="82" t="s">
        <v>2369</v>
      </c>
      <c r="U59" s="82" t="s">
        <v>2272</v>
      </c>
      <c r="V59" s="82" t="s">
        <v>2272</v>
      </c>
      <c r="W59" s="82" t="s">
        <v>2272</v>
      </c>
      <c r="X59" s="21" t="s">
        <v>2370</v>
      </c>
      <c r="Y59" s="3" t="s">
        <v>74</v>
      </c>
      <c r="Z59" s="3" t="s">
        <v>34</v>
      </c>
      <c r="AA59" s="3" t="s">
        <v>63</v>
      </c>
      <c r="AB59" s="4" t="s">
        <v>5047</v>
      </c>
      <c r="AC59" s="4" t="s">
        <v>2257</v>
      </c>
    </row>
    <row r="60" spans="1:29"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3" t="s">
        <v>2272</v>
      </c>
      <c r="K60" s="73" t="s">
        <v>2272</v>
      </c>
      <c r="L60" s="104" t="s">
        <v>2272</v>
      </c>
      <c r="M60" s="73" t="s">
        <v>2272</v>
      </c>
      <c r="N60" s="21" t="s">
        <v>2272</v>
      </c>
      <c r="O60" s="73" t="s">
        <v>2272</v>
      </c>
      <c r="P60" s="73" t="s">
        <v>2272</v>
      </c>
      <c r="Q60" s="73" t="s">
        <v>2272</v>
      </c>
      <c r="R60" s="21" t="s">
        <v>2358</v>
      </c>
      <c r="S60" s="21" t="s">
        <v>2272</v>
      </c>
      <c r="T60" s="82" t="s">
        <v>2371</v>
      </c>
      <c r="U60" s="82" t="s">
        <v>2272</v>
      </c>
      <c r="V60" s="82" t="s">
        <v>2272</v>
      </c>
      <c r="W60" s="82" t="s">
        <v>2272</v>
      </c>
      <c r="X60" s="21" t="s">
        <v>2370</v>
      </c>
      <c r="Y60" s="3" t="s">
        <v>74</v>
      </c>
      <c r="Z60" s="3" t="s">
        <v>34</v>
      </c>
      <c r="AA60" s="3" t="s">
        <v>63</v>
      </c>
      <c r="AB60" s="4" t="s">
        <v>5047</v>
      </c>
      <c r="AC60" s="4" t="s">
        <v>2257</v>
      </c>
    </row>
    <row r="61" spans="1:29"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3" t="s">
        <v>2272</v>
      </c>
      <c r="K61" s="73" t="s">
        <v>2272</v>
      </c>
      <c r="L61" s="104" t="s">
        <v>2272</v>
      </c>
      <c r="M61" s="73" t="s">
        <v>2272</v>
      </c>
      <c r="N61" s="21" t="s">
        <v>2272</v>
      </c>
      <c r="O61" s="73" t="s">
        <v>2272</v>
      </c>
      <c r="P61" s="73" t="s">
        <v>2272</v>
      </c>
      <c r="Q61" s="73" t="s">
        <v>2272</v>
      </c>
      <c r="R61" s="21" t="s">
        <v>2358</v>
      </c>
      <c r="S61" s="21" t="s">
        <v>2272</v>
      </c>
      <c r="T61" s="82" t="s">
        <v>2371</v>
      </c>
      <c r="U61" s="82" t="s">
        <v>2272</v>
      </c>
      <c r="V61" s="82" t="s">
        <v>2272</v>
      </c>
      <c r="W61" s="82" t="s">
        <v>2272</v>
      </c>
      <c r="X61" s="21" t="s">
        <v>2370</v>
      </c>
      <c r="Y61" s="3" t="s">
        <v>74</v>
      </c>
      <c r="Z61" s="3" t="s">
        <v>34</v>
      </c>
      <c r="AA61" s="3" t="s">
        <v>63</v>
      </c>
      <c r="AB61" s="4" t="s">
        <v>5047</v>
      </c>
      <c r="AC61" s="4" t="s">
        <v>2257</v>
      </c>
    </row>
    <row r="62" spans="1:29"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3" t="s">
        <v>2272</v>
      </c>
      <c r="K62" s="73" t="s">
        <v>2272</v>
      </c>
      <c r="L62" s="104" t="s">
        <v>2272</v>
      </c>
      <c r="M62" s="73" t="s">
        <v>2272</v>
      </c>
      <c r="N62" s="21" t="s">
        <v>2272</v>
      </c>
      <c r="O62" s="73" t="s">
        <v>2272</v>
      </c>
      <c r="P62" s="73" t="s">
        <v>2272</v>
      </c>
      <c r="Q62" s="73" t="s">
        <v>2272</v>
      </c>
      <c r="R62" s="21" t="s">
        <v>2358</v>
      </c>
      <c r="S62" s="21" t="s">
        <v>2272</v>
      </c>
      <c r="T62" s="82" t="s">
        <v>2522</v>
      </c>
      <c r="U62" s="82" t="s">
        <v>2272</v>
      </c>
      <c r="V62" s="82" t="s">
        <v>2272</v>
      </c>
      <c r="W62" s="82" t="s">
        <v>2272</v>
      </c>
      <c r="X62" s="21" t="s">
        <v>2370</v>
      </c>
      <c r="Y62" s="3" t="s">
        <v>74</v>
      </c>
      <c r="Z62" s="3" t="s">
        <v>34</v>
      </c>
      <c r="AA62" s="3" t="s">
        <v>63</v>
      </c>
      <c r="AB62" s="4" t="s">
        <v>5047</v>
      </c>
      <c r="AC62" s="4" t="s">
        <v>2257</v>
      </c>
    </row>
    <row r="63" spans="1:29"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3" t="s">
        <v>2272</v>
      </c>
      <c r="K63" s="73" t="s">
        <v>2272</v>
      </c>
      <c r="L63" s="104" t="s">
        <v>2272</v>
      </c>
      <c r="M63" s="73" t="s">
        <v>2272</v>
      </c>
      <c r="N63" s="21" t="s">
        <v>2272</v>
      </c>
      <c r="O63" s="73" t="s">
        <v>2272</v>
      </c>
      <c r="P63" s="73" t="s">
        <v>2272</v>
      </c>
      <c r="Q63" s="73" t="s">
        <v>2272</v>
      </c>
      <c r="R63" s="21" t="s">
        <v>2358</v>
      </c>
      <c r="S63" s="21" t="s">
        <v>2272</v>
      </c>
      <c r="T63" s="82" t="s">
        <v>2369</v>
      </c>
      <c r="U63" s="82" t="s">
        <v>2272</v>
      </c>
      <c r="V63" s="82" t="s">
        <v>2272</v>
      </c>
      <c r="W63" s="82" t="s">
        <v>2272</v>
      </c>
      <c r="X63" s="21" t="s">
        <v>2370</v>
      </c>
      <c r="Y63" s="3" t="s">
        <v>74</v>
      </c>
      <c r="Z63" s="3" t="s">
        <v>34</v>
      </c>
      <c r="AA63" s="3" t="s">
        <v>63</v>
      </c>
      <c r="AB63" s="4" t="s">
        <v>5047</v>
      </c>
      <c r="AC63" s="4" t="s">
        <v>2257</v>
      </c>
    </row>
    <row r="64" spans="1:29"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3" t="s">
        <v>2272</v>
      </c>
      <c r="K64" s="73" t="s">
        <v>2272</v>
      </c>
      <c r="L64" s="104" t="s">
        <v>2272</v>
      </c>
      <c r="M64" s="73" t="s">
        <v>2272</v>
      </c>
      <c r="N64" s="21" t="s">
        <v>2272</v>
      </c>
      <c r="O64" s="73" t="s">
        <v>2272</v>
      </c>
      <c r="P64" s="73" t="s">
        <v>2272</v>
      </c>
      <c r="Q64" s="73" t="s">
        <v>2272</v>
      </c>
      <c r="R64" s="21" t="s">
        <v>2358</v>
      </c>
      <c r="S64" s="21" t="s">
        <v>2272</v>
      </c>
      <c r="T64" s="82" t="s">
        <v>2522</v>
      </c>
      <c r="U64" s="82" t="s">
        <v>2272</v>
      </c>
      <c r="V64" s="82" t="s">
        <v>2272</v>
      </c>
      <c r="W64" s="82" t="s">
        <v>2272</v>
      </c>
      <c r="X64" s="21" t="s">
        <v>2370</v>
      </c>
      <c r="Y64" s="3" t="s">
        <v>74</v>
      </c>
      <c r="Z64" s="3" t="s">
        <v>34</v>
      </c>
      <c r="AA64" s="3" t="s">
        <v>63</v>
      </c>
      <c r="AB64" s="4" t="s">
        <v>5047</v>
      </c>
      <c r="AC64" s="4" t="s">
        <v>2257</v>
      </c>
    </row>
    <row r="65" spans="1:29"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3" t="s">
        <v>2272</v>
      </c>
      <c r="K65" s="73" t="s">
        <v>2272</v>
      </c>
      <c r="L65" s="104" t="s">
        <v>2272</v>
      </c>
      <c r="M65" s="73" t="s">
        <v>2272</v>
      </c>
      <c r="N65" s="21" t="s">
        <v>2272</v>
      </c>
      <c r="O65" s="73" t="s">
        <v>2272</v>
      </c>
      <c r="P65" s="73" t="s">
        <v>2272</v>
      </c>
      <c r="Q65" s="73" t="s">
        <v>2272</v>
      </c>
      <c r="R65" s="21" t="s">
        <v>2358</v>
      </c>
      <c r="S65" s="21" t="s">
        <v>2272</v>
      </c>
      <c r="T65" s="82" t="s">
        <v>2522</v>
      </c>
      <c r="U65" s="82" t="s">
        <v>2272</v>
      </c>
      <c r="V65" s="82" t="s">
        <v>2272</v>
      </c>
      <c r="W65" s="82" t="s">
        <v>2272</v>
      </c>
      <c r="X65" s="21" t="s">
        <v>2370</v>
      </c>
      <c r="Y65" s="3" t="s">
        <v>74</v>
      </c>
      <c r="Z65" s="3" t="s">
        <v>34</v>
      </c>
      <c r="AA65" s="3" t="s">
        <v>63</v>
      </c>
      <c r="AB65" s="4" t="s">
        <v>5047</v>
      </c>
      <c r="AC65" s="4" t="s">
        <v>2257</v>
      </c>
    </row>
    <row r="66" spans="1:29"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3" t="s">
        <v>2272</v>
      </c>
      <c r="K66" s="73" t="s">
        <v>2272</v>
      </c>
      <c r="L66" s="104" t="s">
        <v>2272</v>
      </c>
      <c r="M66" s="73" t="s">
        <v>2272</v>
      </c>
      <c r="N66" s="21" t="s">
        <v>2272</v>
      </c>
      <c r="O66" s="73" t="s">
        <v>2272</v>
      </c>
      <c r="P66" s="73" t="s">
        <v>2272</v>
      </c>
      <c r="Q66" s="73" t="s">
        <v>2272</v>
      </c>
      <c r="R66" s="21" t="s">
        <v>2358</v>
      </c>
      <c r="S66" s="21" t="s">
        <v>2272</v>
      </c>
      <c r="T66" s="82" t="s">
        <v>2369</v>
      </c>
      <c r="U66" s="82" t="s">
        <v>2272</v>
      </c>
      <c r="V66" s="82" t="s">
        <v>2272</v>
      </c>
      <c r="W66" s="82" t="s">
        <v>2272</v>
      </c>
      <c r="X66" s="21" t="s">
        <v>2370</v>
      </c>
      <c r="Y66" s="3" t="s">
        <v>74</v>
      </c>
      <c r="Z66" s="3" t="s">
        <v>34</v>
      </c>
      <c r="AA66" s="3" t="s">
        <v>63</v>
      </c>
      <c r="AB66" s="4" t="s">
        <v>5047</v>
      </c>
      <c r="AC66" s="4" t="s">
        <v>2257</v>
      </c>
    </row>
    <row r="67" spans="1:29"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3" t="s">
        <v>2272</v>
      </c>
      <c r="K67" s="73" t="s">
        <v>2272</v>
      </c>
      <c r="L67" s="104" t="s">
        <v>2272</v>
      </c>
      <c r="M67" s="73" t="s">
        <v>2272</v>
      </c>
      <c r="N67" s="21" t="s">
        <v>2272</v>
      </c>
      <c r="O67" s="73" t="s">
        <v>2272</v>
      </c>
      <c r="P67" s="73" t="s">
        <v>2272</v>
      </c>
      <c r="Q67" s="73" t="s">
        <v>2272</v>
      </c>
      <c r="R67" s="21" t="s">
        <v>2358</v>
      </c>
      <c r="S67" s="21" t="s">
        <v>2272</v>
      </c>
      <c r="T67" s="82" t="s">
        <v>2384</v>
      </c>
      <c r="U67" s="82" t="s">
        <v>2272</v>
      </c>
      <c r="V67" s="82" t="s">
        <v>2272</v>
      </c>
      <c r="W67" s="82" t="s">
        <v>2272</v>
      </c>
      <c r="X67" s="21" t="s">
        <v>2370</v>
      </c>
      <c r="Y67" s="3" t="s">
        <v>74</v>
      </c>
      <c r="Z67" s="3" t="s">
        <v>34</v>
      </c>
      <c r="AA67" s="3" t="s">
        <v>63</v>
      </c>
      <c r="AB67" s="4" t="s">
        <v>5047</v>
      </c>
      <c r="AC67" s="4" t="s">
        <v>2257</v>
      </c>
    </row>
    <row r="68" spans="1:29"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3" t="s">
        <v>2272</v>
      </c>
      <c r="K68" s="73" t="s">
        <v>2272</v>
      </c>
      <c r="L68" s="104" t="s">
        <v>2272</v>
      </c>
      <c r="M68" s="73" t="s">
        <v>2272</v>
      </c>
      <c r="N68" s="21" t="s">
        <v>2272</v>
      </c>
      <c r="O68" s="73" t="s">
        <v>2272</v>
      </c>
      <c r="P68" s="73" t="s">
        <v>2272</v>
      </c>
      <c r="Q68" s="73" t="s">
        <v>2272</v>
      </c>
      <c r="R68" s="21" t="s">
        <v>2358</v>
      </c>
      <c r="S68" s="21" t="s">
        <v>2272</v>
      </c>
      <c r="T68" s="82" t="s">
        <v>2384</v>
      </c>
      <c r="U68" s="82" t="s">
        <v>2272</v>
      </c>
      <c r="V68" s="82" t="s">
        <v>2272</v>
      </c>
      <c r="W68" s="82" t="s">
        <v>2272</v>
      </c>
      <c r="X68" s="21" t="s">
        <v>2370</v>
      </c>
      <c r="Y68" s="3" t="s">
        <v>74</v>
      </c>
      <c r="Z68" s="3" t="s">
        <v>34</v>
      </c>
      <c r="AA68" s="3" t="s">
        <v>63</v>
      </c>
      <c r="AB68" s="4" t="s">
        <v>5047</v>
      </c>
      <c r="AC68" s="4" t="s">
        <v>2257</v>
      </c>
    </row>
    <row r="69" spans="1:29"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3" t="s">
        <v>2272</v>
      </c>
      <c r="K69" s="73" t="s">
        <v>2272</v>
      </c>
      <c r="L69" s="104" t="s">
        <v>2272</v>
      </c>
      <c r="M69" s="73" t="s">
        <v>2272</v>
      </c>
      <c r="N69" s="21" t="s">
        <v>2272</v>
      </c>
      <c r="O69" s="73" t="s">
        <v>2272</v>
      </c>
      <c r="P69" s="73" t="s">
        <v>2272</v>
      </c>
      <c r="Q69" s="73" t="s">
        <v>2272</v>
      </c>
      <c r="R69" s="21" t="s">
        <v>2358</v>
      </c>
      <c r="S69" s="21" t="s">
        <v>2272</v>
      </c>
      <c r="T69" s="82" t="s">
        <v>2386</v>
      </c>
      <c r="U69" s="82" t="s">
        <v>2272</v>
      </c>
      <c r="V69" s="82" t="s">
        <v>2272</v>
      </c>
      <c r="W69" s="82" t="s">
        <v>2272</v>
      </c>
      <c r="X69" s="21" t="s">
        <v>2370</v>
      </c>
      <c r="Y69" s="3" t="s">
        <v>74</v>
      </c>
      <c r="Z69" s="3" t="s">
        <v>34</v>
      </c>
      <c r="AA69" s="3" t="s">
        <v>63</v>
      </c>
      <c r="AB69" s="4" t="s">
        <v>5047</v>
      </c>
      <c r="AC69" s="4" t="s">
        <v>2257</v>
      </c>
    </row>
    <row r="70" spans="1:29"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3" t="s">
        <v>2272</v>
      </c>
      <c r="K70" s="73" t="s">
        <v>2272</v>
      </c>
      <c r="L70" s="104" t="s">
        <v>2272</v>
      </c>
      <c r="M70" s="73" t="s">
        <v>2272</v>
      </c>
      <c r="N70" s="21" t="s">
        <v>2272</v>
      </c>
      <c r="O70" s="73" t="s">
        <v>2272</v>
      </c>
      <c r="P70" s="73" t="s">
        <v>2272</v>
      </c>
      <c r="Q70" s="73" t="s">
        <v>2272</v>
      </c>
      <c r="R70" s="21" t="s">
        <v>2358</v>
      </c>
      <c r="S70" s="21" t="s">
        <v>2272</v>
      </c>
      <c r="T70" s="82" t="s">
        <v>2522</v>
      </c>
      <c r="U70" s="82" t="s">
        <v>2272</v>
      </c>
      <c r="V70" s="82" t="s">
        <v>2272</v>
      </c>
      <c r="W70" s="82" t="s">
        <v>2272</v>
      </c>
      <c r="X70" s="21" t="s">
        <v>2370</v>
      </c>
      <c r="Y70" s="3" t="s">
        <v>74</v>
      </c>
      <c r="Z70" s="3" t="s">
        <v>34</v>
      </c>
      <c r="AA70" s="3" t="s">
        <v>63</v>
      </c>
      <c r="AB70" s="4" t="s">
        <v>5047</v>
      </c>
      <c r="AC70" s="4" t="s">
        <v>2257</v>
      </c>
    </row>
    <row r="71" spans="1:29"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3" t="s">
        <v>2272</v>
      </c>
      <c r="K71" s="73" t="s">
        <v>2272</v>
      </c>
      <c r="L71" s="104" t="s">
        <v>2272</v>
      </c>
      <c r="M71" s="73" t="s">
        <v>2272</v>
      </c>
      <c r="N71" s="21" t="s">
        <v>2272</v>
      </c>
      <c r="O71" s="73" t="s">
        <v>2272</v>
      </c>
      <c r="P71" s="73" t="s">
        <v>2272</v>
      </c>
      <c r="Q71" s="73" t="s">
        <v>2272</v>
      </c>
      <c r="R71" s="21" t="s">
        <v>2358</v>
      </c>
      <c r="S71" s="21" t="s">
        <v>2272</v>
      </c>
      <c r="T71" s="82" t="s">
        <v>2369</v>
      </c>
      <c r="U71" s="82" t="s">
        <v>2272</v>
      </c>
      <c r="V71" s="82" t="s">
        <v>2272</v>
      </c>
      <c r="W71" s="82" t="s">
        <v>2272</v>
      </c>
      <c r="X71" s="21" t="s">
        <v>2370</v>
      </c>
      <c r="Y71" s="3" t="s">
        <v>74</v>
      </c>
      <c r="Z71" s="3" t="s">
        <v>34</v>
      </c>
      <c r="AA71" s="3" t="s">
        <v>63</v>
      </c>
      <c r="AB71" s="4" t="s">
        <v>5047</v>
      </c>
      <c r="AC71" s="4" t="s">
        <v>2257</v>
      </c>
    </row>
    <row r="72" spans="1:29"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3" t="s">
        <v>2272</v>
      </c>
      <c r="K72" s="73" t="s">
        <v>2272</v>
      </c>
      <c r="L72" s="104" t="s">
        <v>2272</v>
      </c>
      <c r="M72" s="73" t="s">
        <v>2272</v>
      </c>
      <c r="N72" s="21" t="s">
        <v>2272</v>
      </c>
      <c r="O72" s="73" t="s">
        <v>2272</v>
      </c>
      <c r="P72" s="73" t="s">
        <v>2272</v>
      </c>
      <c r="Q72" s="73" t="s">
        <v>2272</v>
      </c>
      <c r="R72" s="21" t="s">
        <v>2358</v>
      </c>
      <c r="S72" s="21" t="s">
        <v>2272</v>
      </c>
      <c r="T72" s="82" t="s">
        <v>2369</v>
      </c>
      <c r="U72" s="82" t="s">
        <v>2272</v>
      </c>
      <c r="V72" s="82" t="s">
        <v>2272</v>
      </c>
      <c r="W72" s="82" t="s">
        <v>2272</v>
      </c>
      <c r="X72" s="21" t="s">
        <v>2370</v>
      </c>
      <c r="Y72" s="3" t="s">
        <v>74</v>
      </c>
      <c r="Z72" s="3" t="s">
        <v>34</v>
      </c>
      <c r="AA72" s="3" t="s">
        <v>63</v>
      </c>
      <c r="AB72" s="4" t="s">
        <v>5047</v>
      </c>
      <c r="AC72" s="4" t="s">
        <v>2257</v>
      </c>
    </row>
    <row r="73" spans="1:29"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3" t="s">
        <v>2272</v>
      </c>
      <c r="K73" s="73" t="s">
        <v>2272</v>
      </c>
      <c r="L73" s="104" t="s">
        <v>2272</v>
      </c>
      <c r="M73" s="73" t="s">
        <v>2272</v>
      </c>
      <c r="N73" s="21" t="s">
        <v>2272</v>
      </c>
      <c r="O73" s="73" t="s">
        <v>2272</v>
      </c>
      <c r="P73" s="73" t="s">
        <v>2272</v>
      </c>
      <c r="Q73" s="73" t="s">
        <v>2272</v>
      </c>
      <c r="R73" s="21" t="s">
        <v>2358</v>
      </c>
      <c r="S73" s="21" t="s">
        <v>2272</v>
      </c>
      <c r="T73" s="82" t="s">
        <v>2522</v>
      </c>
      <c r="U73" s="82" t="s">
        <v>2272</v>
      </c>
      <c r="V73" s="82" t="s">
        <v>2272</v>
      </c>
      <c r="W73" s="82" t="s">
        <v>2272</v>
      </c>
      <c r="X73" s="21" t="s">
        <v>2370</v>
      </c>
      <c r="Y73" s="3" t="s">
        <v>74</v>
      </c>
      <c r="Z73" s="3" t="s">
        <v>34</v>
      </c>
      <c r="AA73" s="3" t="s">
        <v>63</v>
      </c>
      <c r="AB73" s="4" t="s">
        <v>5047</v>
      </c>
      <c r="AC73" s="4" t="s">
        <v>2257</v>
      </c>
    </row>
    <row r="74" spans="1:29"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3" t="s">
        <v>2272</v>
      </c>
      <c r="K74" s="73" t="s">
        <v>2272</v>
      </c>
      <c r="L74" s="104" t="s">
        <v>2272</v>
      </c>
      <c r="M74" s="73" t="s">
        <v>2272</v>
      </c>
      <c r="N74" s="21" t="s">
        <v>2272</v>
      </c>
      <c r="O74" s="73" t="s">
        <v>2272</v>
      </c>
      <c r="P74" s="73" t="s">
        <v>2272</v>
      </c>
      <c r="Q74" s="73" t="s">
        <v>2272</v>
      </c>
      <c r="R74" s="21" t="s">
        <v>2358</v>
      </c>
      <c r="S74" s="21" t="s">
        <v>2272</v>
      </c>
      <c r="T74" s="82" t="s">
        <v>2371</v>
      </c>
      <c r="U74" s="82" t="s">
        <v>2272</v>
      </c>
      <c r="V74" s="82" t="s">
        <v>2272</v>
      </c>
      <c r="W74" s="82" t="s">
        <v>2272</v>
      </c>
      <c r="X74" s="21" t="s">
        <v>2370</v>
      </c>
      <c r="Y74" s="3" t="s">
        <v>74</v>
      </c>
      <c r="Z74" s="3" t="s">
        <v>34</v>
      </c>
      <c r="AA74" s="3" t="s">
        <v>63</v>
      </c>
      <c r="AB74" s="4" t="s">
        <v>5047</v>
      </c>
      <c r="AC74" s="4" t="s">
        <v>2257</v>
      </c>
    </row>
    <row r="75" spans="1:29"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3" t="s">
        <v>2272</v>
      </c>
      <c r="K75" s="73" t="s">
        <v>2272</v>
      </c>
      <c r="L75" s="104" t="s">
        <v>2272</v>
      </c>
      <c r="M75" s="73" t="s">
        <v>2272</v>
      </c>
      <c r="N75" s="21" t="s">
        <v>2272</v>
      </c>
      <c r="O75" s="73" t="s">
        <v>2272</v>
      </c>
      <c r="P75" s="73" t="s">
        <v>2272</v>
      </c>
      <c r="Q75" s="73" t="s">
        <v>2272</v>
      </c>
      <c r="R75" s="21" t="s">
        <v>2358</v>
      </c>
      <c r="S75" s="21" t="s">
        <v>2272</v>
      </c>
      <c r="T75" s="82" t="s">
        <v>2369</v>
      </c>
      <c r="U75" s="82" t="s">
        <v>2272</v>
      </c>
      <c r="V75" s="82" t="s">
        <v>2272</v>
      </c>
      <c r="W75" s="82" t="s">
        <v>2272</v>
      </c>
      <c r="X75" s="21" t="s">
        <v>2370</v>
      </c>
      <c r="Y75" s="3" t="s">
        <v>74</v>
      </c>
      <c r="Z75" s="3" t="s">
        <v>34</v>
      </c>
      <c r="AA75" s="3" t="s">
        <v>63</v>
      </c>
      <c r="AB75" s="4" t="s">
        <v>5047</v>
      </c>
      <c r="AC75" s="4" t="s">
        <v>2257</v>
      </c>
    </row>
    <row r="76" spans="1:29"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3" t="s">
        <v>2272</v>
      </c>
      <c r="K76" s="73" t="s">
        <v>2272</v>
      </c>
      <c r="L76" s="104" t="s">
        <v>2272</v>
      </c>
      <c r="M76" s="73" t="s">
        <v>2272</v>
      </c>
      <c r="N76" s="21" t="s">
        <v>2272</v>
      </c>
      <c r="O76" s="73" t="s">
        <v>2272</v>
      </c>
      <c r="P76" s="73" t="s">
        <v>2272</v>
      </c>
      <c r="Q76" s="73" t="s">
        <v>2272</v>
      </c>
      <c r="R76" s="21" t="s">
        <v>2358</v>
      </c>
      <c r="S76" s="21" t="s">
        <v>2272</v>
      </c>
      <c r="T76" s="82" t="s">
        <v>2522</v>
      </c>
      <c r="U76" s="82" t="s">
        <v>2272</v>
      </c>
      <c r="V76" s="82" t="s">
        <v>2272</v>
      </c>
      <c r="W76" s="82" t="s">
        <v>2272</v>
      </c>
      <c r="X76" s="21" t="s">
        <v>2370</v>
      </c>
      <c r="Y76" s="3" t="s">
        <v>74</v>
      </c>
      <c r="Z76" s="3" t="s">
        <v>34</v>
      </c>
      <c r="AA76" s="3" t="s">
        <v>63</v>
      </c>
      <c r="AB76" s="4" t="s">
        <v>5047</v>
      </c>
      <c r="AC76" s="4" t="s">
        <v>2257</v>
      </c>
    </row>
    <row r="77" spans="1:29"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3" t="s">
        <v>2272</v>
      </c>
      <c r="K77" s="73" t="s">
        <v>2272</v>
      </c>
      <c r="L77" s="104" t="s">
        <v>2272</v>
      </c>
      <c r="M77" s="73" t="s">
        <v>2272</v>
      </c>
      <c r="N77" s="21" t="s">
        <v>2272</v>
      </c>
      <c r="O77" s="73" t="s">
        <v>2272</v>
      </c>
      <c r="P77" s="73" t="s">
        <v>2272</v>
      </c>
      <c r="Q77" s="73" t="s">
        <v>2272</v>
      </c>
      <c r="R77" s="21" t="s">
        <v>2358</v>
      </c>
      <c r="S77" s="21" t="s">
        <v>2272</v>
      </c>
      <c r="T77" s="82" t="s">
        <v>2371</v>
      </c>
      <c r="U77" s="82" t="s">
        <v>2272</v>
      </c>
      <c r="V77" s="82" t="s">
        <v>2272</v>
      </c>
      <c r="W77" s="82" t="s">
        <v>2272</v>
      </c>
      <c r="X77" s="21" t="s">
        <v>2370</v>
      </c>
      <c r="Y77" s="3" t="s">
        <v>74</v>
      </c>
      <c r="Z77" s="3" t="s">
        <v>34</v>
      </c>
      <c r="AA77" s="3" t="s">
        <v>63</v>
      </c>
      <c r="AB77" s="4" t="s">
        <v>5047</v>
      </c>
      <c r="AC77" s="4" t="s">
        <v>2257</v>
      </c>
    </row>
    <row r="78" spans="1:29"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3" t="s">
        <v>2272</v>
      </c>
      <c r="K78" s="73" t="s">
        <v>2272</v>
      </c>
      <c r="L78" s="104" t="s">
        <v>2272</v>
      </c>
      <c r="M78" s="73" t="s">
        <v>2272</v>
      </c>
      <c r="N78" s="21" t="s">
        <v>2272</v>
      </c>
      <c r="O78" s="73" t="s">
        <v>2272</v>
      </c>
      <c r="P78" s="73" t="s">
        <v>2272</v>
      </c>
      <c r="Q78" s="73" t="s">
        <v>2272</v>
      </c>
      <c r="R78" s="21" t="s">
        <v>2358</v>
      </c>
      <c r="S78" s="21" t="s">
        <v>2272</v>
      </c>
      <c r="T78" s="82" t="s">
        <v>2522</v>
      </c>
      <c r="U78" s="82" t="s">
        <v>2272</v>
      </c>
      <c r="V78" s="82" t="s">
        <v>2272</v>
      </c>
      <c r="W78" s="82" t="s">
        <v>2272</v>
      </c>
      <c r="X78" s="21" t="s">
        <v>2370</v>
      </c>
      <c r="Y78" s="3" t="s">
        <v>74</v>
      </c>
      <c r="Z78" s="3" t="s">
        <v>34</v>
      </c>
      <c r="AA78" s="3" t="s">
        <v>63</v>
      </c>
      <c r="AB78" s="4" t="s">
        <v>5047</v>
      </c>
      <c r="AC78" s="4" t="s">
        <v>2257</v>
      </c>
    </row>
    <row r="79" spans="1:29"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2272</v>
      </c>
      <c r="K79" s="21" t="s">
        <v>2272</v>
      </c>
      <c r="L79" s="98" t="s">
        <v>2272</v>
      </c>
      <c r="M79" s="21" t="s">
        <v>2272</v>
      </c>
      <c r="N79" s="21" t="s">
        <v>2272</v>
      </c>
      <c r="O79" s="21" t="s">
        <v>2272</v>
      </c>
      <c r="P79" s="21" t="s">
        <v>2272</v>
      </c>
      <c r="Q79" s="21" t="s">
        <v>2272</v>
      </c>
      <c r="R79" s="21" t="s">
        <v>2272</v>
      </c>
      <c r="S79" s="97" t="s">
        <v>2272</v>
      </c>
      <c r="T79" s="21" t="s">
        <v>2385</v>
      </c>
      <c r="U79" s="21" t="s">
        <v>2272</v>
      </c>
      <c r="V79" s="21" t="s">
        <v>2272</v>
      </c>
      <c r="W79" s="21" t="s">
        <v>2272</v>
      </c>
      <c r="X79" s="21" t="s">
        <v>2370</v>
      </c>
      <c r="Y79" s="3" t="s">
        <v>74</v>
      </c>
      <c r="Z79" s="3" t="s">
        <v>34</v>
      </c>
      <c r="AA79" s="3" t="s">
        <v>63</v>
      </c>
      <c r="AB79" s="4" t="s">
        <v>1257</v>
      </c>
      <c r="AC79" s="4" t="s">
        <v>1265</v>
      </c>
    </row>
    <row r="80" spans="1:29"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2272</v>
      </c>
      <c r="K80" s="21" t="s">
        <v>2272</v>
      </c>
      <c r="L80" s="98" t="s">
        <v>2272</v>
      </c>
      <c r="M80" s="21" t="s">
        <v>2272</v>
      </c>
      <c r="N80" s="21" t="s">
        <v>2272</v>
      </c>
      <c r="O80" s="21" t="s">
        <v>2272</v>
      </c>
      <c r="P80" s="21" t="s">
        <v>2272</v>
      </c>
      <c r="Q80" s="21" t="s">
        <v>2272</v>
      </c>
      <c r="R80" s="97" t="s">
        <v>2272</v>
      </c>
      <c r="S80" s="97" t="s">
        <v>2272</v>
      </c>
      <c r="T80" s="82" t="s">
        <v>2522</v>
      </c>
      <c r="U80" s="21" t="s">
        <v>2272</v>
      </c>
      <c r="V80" s="21" t="s">
        <v>2272</v>
      </c>
      <c r="W80" s="21" t="s">
        <v>2272</v>
      </c>
      <c r="X80" s="21" t="s">
        <v>2370</v>
      </c>
      <c r="Y80" s="3" t="s">
        <v>37</v>
      </c>
      <c r="Z80" s="3" t="s">
        <v>84</v>
      </c>
      <c r="AA80" s="3" t="s">
        <v>63</v>
      </c>
      <c r="AB80" s="4" t="s">
        <v>1258</v>
      </c>
      <c r="AC80" s="4" t="s">
        <v>1266</v>
      </c>
    </row>
    <row r="81" spans="1:29"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2272</v>
      </c>
      <c r="K81" s="21" t="s">
        <v>2272</v>
      </c>
      <c r="L81" s="98" t="s">
        <v>2272</v>
      </c>
      <c r="M81" s="21" t="s">
        <v>2272</v>
      </c>
      <c r="N81" s="21" t="s">
        <v>2272</v>
      </c>
      <c r="O81" s="21" t="s">
        <v>2272</v>
      </c>
      <c r="P81" s="21" t="s">
        <v>2272</v>
      </c>
      <c r="Q81" s="21" t="s">
        <v>2272</v>
      </c>
      <c r="R81" s="97" t="s">
        <v>2272</v>
      </c>
      <c r="S81" s="97" t="s">
        <v>2272</v>
      </c>
      <c r="T81" s="21" t="s">
        <v>2385</v>
      </c>
      <c r="U81" s="21" t="s">
        <v>2272</v>
      </c>
      <c r="V81" s="21" t="s">
        <v>2272</v>
      </c>
      <c r="W81" s="21" t="s">
        <v>2272</v>
      </c>
      <c r="X81" s="21" t="s">
        <v>2370</v>
      </c>
      <c r="Y81" s="3" t="s">
        <v>74</v>
      </c>
      <c r="Z81" s="3" t="s">
        <v>34</v>
      </c>
      <c r="AA81" s="3" t="s">
        <v>63</v>
      </c>
      <c r="AB81" s="4" t="s">
        <v>1257</v>
      </c>
      <c r="AC81" s="4" t="s">
        <v>1267</v>
      </c>
    </row>
    <row r="82" spans="1:29"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2272</v>
      </c>
      <c r="K82" s="21" t="s">
        <v>2272</v>
      </c>
      <c r="L82" s="98" t="s">
        <v>2272</v>
      </c>
      <c r="M82" s="21" t="s">
        <v>2272</v>
      </c>
      <c r="N82" s="21" t="s">
        <v>2272</v>
      </c>
      <c r="O82" s="21" t="s">
        <v>2272</v>
      </c>
      <c r="P82" s="21" t="s">
        <v>2272</v>
      </c>
      <c r="Q82" s="21" t="s">
        <v>2272</v>
      </c>
      <c r="R82" s="97" t="s">
        <v>2272</v>
      </c>
      <c r="S82" s="97" t="s">
        <v>2272</v>
      </c>
      <c r="T82" s="82" t="s">
        <v>2522</v>
      </c>
      <c r="U82" s="21" t="s">
        <v>2272</v>
      </c>
      <c r="V82" s="21" t="s">
        <v>2272</v>
      </c>
      <c r="W82" s="21" t="s">
        <v>2272</v>
      </c>
      <c r="X82" s="21" t="s">
        <v>2370</v>
      </c>
      <c r="Y82" s="3" t="s">
        <v>37</v>
      </c>
      <c r="Z82" s="3" t="s">
        <v>84</v>
      </c>
      <c r="AA82" s="3" t="s">
        <v>63</v>
      </c>
      <c r="AB82" s="4" t="s">
        <v>1258</v>
      </c>
      <c r="AC82" s="4" t="s">
        <v>1266</v>
      </c>
    </row>
    <row r="83" spans="1:29"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2272</v>
      </c>
      <c r="K83" s="21" t="s">
        <v>2272</v>
      </c>
      <c r="L83" s="98" t="s">
        <v>2272</v>
      </c>
      <c r="M83" s="21" t="s">
        <v>2272</v>
      </c>
      <c r="N83" s="21" t="s">
        <v>2272</v>
      </c>
      <c r="O83" s="21" t="s">
        <v>2272</v>
      </c>
      <c r="P83" s="21" t="s">
        <v>2272</v>
      </c>
      <c r="Q83" s="21" t="s">
        <v>2272</v>
      </c>
      <c r="R83" s="97" t="s">
        <v>2272</v>
      </c>
      <c r="S83" s="97" t="s">
        <v>2272</v>
      </c>
      <c r="T83" s="21" t="s">
        <v>2386</v>
      </c>
      <c r="U83" s="21" t="s">
        <v>2272</v>
      </c>
      <c r="V83" s="21" t="s">
        <v>2272</v>
      </c>
      <c r="W83" s="21" t="s">
        <v>2272</v>
      </c>
      <c r="X83" s="21" t="s">
        <v>2370</v>
      </c>
      <c r="Y83" s="3" t="s">
        <v>74</v>
      </c>
      <c r="Z83" s="3" t="s">
        <v>34</v>
      </c>
      <c r="AA83" s="3" t="s">
        <v>63</v>
      </c>
      <c r="AB83" s="4" t="s">
        <v>1257</v>
      </c>
      <c r="AC83" s="4" t="s">
        <v>1265</v>
      </c>
    </row>
    <row r="84" spans="1:29"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2272</v>
      </c>
      <c r="K84" s="21" t="s">
        <v>2272</v>
      </c>
      <c r="L84" s="98" t="s">
        <v>2272</v>
      </c>
      <c r="M84" s="21" t="s">
        <v>2272</v>
      </c>
      <c r="N84" s="21" t="s">
        <v>2272</v>
      </c>
      <c r="O84" s="21" t="s">
        <v>2272</v>
      </c>
      <c r="P84" s="21" t="s">
        <v>2272</v>
      </c>
      <c r="Q84" s="21" t="s">
        <v>2272</v>
      </c>
      <c r="R84" s="97" t="s">
        <v>2272</v>
      </c>
      <c r="S84" s="97" t="s">
        <v>2272</v>
      </c>
      <c r="T84" s="82" t="s">
        <v>2522</v>
      </c>
      <c r="U84" s="21" t="s">
        <v>2272</v>
      </c>
      <c r="V84" s="21" t="s">
        <v>2272</v>
      </c>
      <c r="W84" s="21" t="s">
        <v>2272</v>
      </c>
      <c r="X84" s="21" t="s">
        <v>2370</v>
      </c>
      <c r="Y84" s="3" t="s">
        <v>37</v>
      </c>
      <c r="Z84" s="3" t="s">
        <v>84</v>
      </c>
      <c r="AA84" s="3" t="s">
        <v>63</v>
      </c>
      <c r="AB84" s="4" t="s">
        <v>1258</v>
      </c>
      <c r="AC84" s="4" t="s">
        <v>1266</v>
      </c>
    </row>
    <row r="85" spans="1:29"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2272</v>
      </c>
      <c r="K85" s="21" t="s">
        <v>2272</v>
      </c>
      <c r="L85" s="98" t="s">
        <v>2272</v>
      </c>
      <c r="M85" s="21" t="s">
        <v>2272</v>
      </c>
      <c r="N85" s="21" t="s">
        <v>2272</v>
      </c>
      <c r="O85" s="21" t="s">
        <v>2272</v>
      </c>
      <c r="P85" s="21" t="s">
        <v>2272</v>
      </c>
      <c r="Q85" s="21" t="s">
        <v>2272</v>
      </c>
      <c r="R85" s="97" t="s">
        <v>2272</v>
      </c>
      <c r="S85" s="97" t="s">
        <v>2272</v>
      </c>
      <c r="T85" s="21" t="s">
        <v>2386</v>
      </c>
      <c r="U85" s="21" t="s">
        <v>2272</v>
      </c>
      <c r="V85" s="21" t="s">
        <v>2272</v>
      </c>
      <c r="W85" s="21" t="s">
        <v>2272</v>
      </c>
      <c r="X85" s="21" t="s">
        <v>2370</v>
      </c>
      <c r="Y85" s="3" t="s">
        <v>74</v>
      </c>
      <c r="Z85" s="3" t="s">
        <v>34</v>
      </c>
      <c r="AA85" s="3" t="s">
        <v>63</v>
      </c>
      <c r="AB85" s="4" t="s">
        <v>1257</v>
      </c>
      <c r="AC85" s="4" t="s">
        <v>1267</v>
      </c>
    </row>
    <row r="86" spans="1:29"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2272</v>
      </c>
      <c r="K86" s="21" t="s">
        <v>2272</v>
      </c>
      <c r="L86" s="98" t="s">
        <v>2272</v>
      </c>
      <c r="M86" s="21" t="s">
        <v>2272</v>
      </c>
      <c r="N86" s="21" t="s">
        <v>2272</v>
      </c>
      <c r="O86" s="21" t="s">
        <v>2272</v>
      </c>
      <c r="P86" s="21" t="s">
        <v>2272</v>
      </c>
      <c r="Q86" s="21" t="s">
        <v>2272</v>
      </c>
      <c r="R86" s="97" t="s">
        <v>2272</v>
      </c>
      <c r="S86" s="97" t="s">
        <v>2272</v>
      </c>
      <c r="T86" s="82" t="s">
        <v>2522</v>
      </c>
      <c r="U86" s="21" t="s">
        <v>2272</v>
      </c>
      <c r="V86" s="21" t="s">
        <v>2272</v>
      </c>
      <c r="W86" s="21" t="s">
        <v>2272</v>
      </c>
      <c r="X86" s="21" t="s">
        <v>2370</v>
      </c>
      <c r="Y86" s="3" t="s">
        <v>37</v>
      </c>
      <c r="Z86" s="3" t="s">
        <v>84</v>
      </c>
      <c r="AA86" s="3" t="s">
        <v>63</v>
      </c>
      <c r="AB86" s="4" t="s">
        <v>1258</v>
      </c>
      <c r="AC86" s="4" t="s">
        <v>1266</v>
      </c>
    </row>
    <row r="87" spans="1:29"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2272</v>
      </c>
      <c r="K87" s="21" t="s">
        <v>2272</v>
      </c>
      <c r="L87" s="98" t="s">
        <v>2272</v>
      </c>
      <c r="M87" s="21" t="s">
        <v>2272</v>
      </c>
      <c r="N87" s="21" t="s">
        <v>2272</v>
      </c>
      <c r="O87" s="21" t="s">
        <v>2272</v>
      </c>
      <c r="P87" s="21" t="s">
        <v>2272</v>
      </c>
      <c r="Q87" s="21" t="s">
        <v>2272</v>
      </c>
      <c r="R87" s="97" t="s">
        <v>2272</v>
      </c>
      <c r="S87" s="97" t="s">
        <v>2272</v>
      </c>
      <c r="T87" s="21" t="s">
        <v>2386</v>
      </c>
      <c r="U87" s="21" t="s">
        <v>2272</v>
      </c>
      <c r="V87" s="21" t="s">
        <v>2272</v>
      </c>
      <c r="W87" s="21" t="s">
        <v>2272</v>
      </c>
      <c r="X87" s="21" t="s">
        <v>2370</v>
      </c>
      <c r="Y87" s="3" t="s">
        <v>74</v>
      </c>
      <c r="Z87" s="3" t="s">
        <v>34</v>
      </c>
      <c r="AA87" s="3" t="s">
        <v>63</v>
      </c>
      <c r="AB87" s="4" t="s">
        <v>1257</v>
      </c>
      <c r="AC87" s="4" t="s">
        <v>1265</v>
      </c>
    </row>
    <row r="88" spans="1:29"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2272</v>
      </c>
      <c r="K88" s="21" t="s">
        <v>2272</v>
      </c>
      <c r="L88" s="98" t="s">
        <v>2272</v>
      </c>
      <c r="M88" s="21" t="s">
        <v>2272</v>
      </c>
      <c r="N88" s="21" t="s">
        <v>2272</v>
      </c>
      <c r="O88" s="21" t="s">
        <v>2272</v>
      </c>
      <c r="P88" s="21" t="s">
        <v>2272</v>
      </c>
      <c r="Q88" s="21" t="s">
        <v>2272</v>
      </c>
      <c r="R88" s="97" t="s">
        <v>2272</v>
      </c>
      <c r="S88" s="97" t="s">
        <v>2272</v>
      </c>
      <c r="T88" s="82" t="s">
        <v>2522</v>
      </c>
      <c r="U88" s="21" t="s">
        <v>2272</v>
      </c>
      <c r="V88" s="21" t="s">
        <v>2272</v>
      </c>
      <c r="W88" s="21" t="s">
        <v>2272</v>
      </c>
      <c r="X88" s="21" t="s">
        <v>2370</v>
      </c>
      <c r="Y88" s="3" t="s">
        <v>37</v>
      </c>
      <c r="Z88" s="3" t="s">
        <v>84</v>
      </c>
      <c r="AA88" s="3" t="s">
        <v>63</v>
      </c>
      <c r="AB88" s="4" t="s">
        <v>1258</v>
      </c>
      <c r="AC88" s="4" t="s">
        <v>1266</v>
      </c>
    </row>
    <row r="89" spans="1:29"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2272</v>
      </c>
      <c r="K89" s="21" t="s">
        <v>2272</v>
      </c>
      <c r="L89" s="98" t="s">
        <v>2272</v>
      </c>
      <c r="M89" s="21" t="s">
        <v>2272</v>
      </c>
      <c r="N89" s="21" t="s">
        <v>2272</v>
      </c>
      <c r="O89" s="21" t="s">
        <v>2272</v>
      </c>
      <c r="P89" s="21" t="s">
        <v>2272</v>
      </c>
      <c r="Q89" s="21" t="s">
        <v>2272</v>
      </c>
      <c r="R89" s="97" t="s">
        <v>2272</v>
      </c>
      <c r="S89" s="97" t="s">
        <v>2272</v>
      </c>
      <c r="T89" s="21" t="s">
        <v>2386</v>
      </c>
      <c r="U89" s="21" t="s">
        <v>2272</v>
      </c>
      <c r="V89" s="21" t="s">
        <v>2272</v>
      </c>
      <c r="W89" s="21" t="s">
        <v>2272</v>
      </c>
      <c r="X89" s="21" t="s">
        <v>2370</v>
      </c>
      <c r="Y89" s="3" t="s">
        <v>74</v>
      </c>
      <c r="Z89" s="3" t="s">
        <v>34</v>
      </c>
      <c r="AA89" s="3" t="s">
        <v>63</v>
      </c>
      <c r="AB89" s="4" t="s">
        <v>1257</v>
      </c>
      <c r="AC89" s="4" t="s">
        <v>1267</v>
      </c>
    </row>
    <row r="90" spans="1:29"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2272</v>
      </c>
      <c r="K90" s="21" t="s">
        <v>2272</v>
      </c>
      <c r="L90" s="98" t="s">
        <v>2272</v>
      </c>
      <c r="M90" s="21" t="s">
        <v>2272</v>
      </c>
      <c r="N90" s="21" t="s">
        <v>2272</v>
      </c>
      <c r="O90" s="21" t="s">
        <v>2272</v>
      </c>
      <c r="P90" s="21" t="s">
        <v>2272</v>
      </c>
      <c r="Q90" s="21" t="s">
        <v>2272</v>
      </c>
      <c r="R90" s="97" t="s">
        <v>2272</v>
      </c>
      <c r="S90" s="97" t="s">
        <v>2272</v>
      </c>
      <c r="T90" s="82" t="s">
        <v>2522</v>
      </c>
      <c r="U90" s="21" t="s">
        <v>2272</v>
      </c>
      <c r="V90" s="21" t="s">
        <v>2272</v>
      </c>
      <c r="W90" s="21" t="s">
        <v>2272</v>
      </c>
      <c r="X90" s="21" t="s">
        <v>2370</v>
      </c>
      <c r="Y90" s="3" t="s">
        <v>37</v>
      </c>
      <c r="Z90" s="3" t="s">
        <v>84</v>
      </c>
      <c r="AA90" s="3" t="s">
        <v>63</v>
      </c>
      <c r="AB90" s="4" t="s">
        <v>1258</v>
      </c>
      <c r="AC90" s="4" t="s">
        <v>1266</v>
      </c>
    </row>
    <row r="91" spans="1:29"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2272</v>
      </c>
      <c r="K91" s="21" t="s">
        <v>2272</v>
      </c>
      <c r="L91" s="98" t="s">
        <v>2272</v>
      </c>
      <c r="M91" s="21" t="s">
        <v>2272</v>
      </c>
      <c r="N91" s="21" t="s">
        <v>2272</v>
      </c>
      <c r="O91" s="21" t="s">
        <v>2272</v>
      </c>
      <c r="P91" s="21" t="s">
        <v>2272</v>
      </c>
      <c r="Q91" s="21" t="s">
        <v>2272</v>
      </c>
      <c r="R91" s="97" t="s">
        <v>2272</v>
      </c>
      <c r="S91" s="97" t="s">
        <v>2272</v>
      </c>
      <c r="T91" s="21" t="s">
        <v>2386</v>
      </c>
      <c r="U91" s="21" t="s">
        <v>2272</v>
      </c>
      <c r="V91" s="21" t="s">
        <v>2272</v>
      </c>
      <c r="W91" s="21" t="s">
        <v>2272</v>
      </c>
      <c r="X91" s="21" t="s">
        <v>2370</v>
      </c>
      <c r="Y91" s="3" t="s">
        <v>74</v>
      </c>
      <c r="Z91" s="3" t="s">
        <v>34</v>
      </c>
      <c r="AA91" s="3" t="s">
        <v>63</v>
      </c>
      <c r="AB91" s="4" t="s">
        <v>1311</v>
      </c>
      <c r="AC91" s="19" t="s">
        <v>5020</v>
      </c>
    </row>
    <row r="92" spans="1:29"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2272</v>
      </c>
      <c r="K92" s="21" t="s">
        <v>2272</v>
      </c>
      <c r="L92" s="98" t="s">
        <v>2272</v>
      </c>
      <c r="M92" s="21" t="s">
        <v>2272</v>
      </c>
      <c r="N92" s="21" t="s">
        <v>2272</v>
      </c>
      <c r="O92" s="21" t="s">
        <v>2272</v>
      </c>
      <c r="P92" s="21" t="s">
        <v>2272</v>
      </c>
      <c r="Q92" s="21" t="s">
        <v>2272</v>
      </c>
      <c r="R92" s="97" t="s">
        <v>2272</v>
      </c>
      <c r="S92" s="97" t="s">
        <v>2272</v>
      </c>
      <c r="T92" s="21" t="s">
        <v>2386</v>
      </c>
      <c r="U92" s="70" t="s">
        <v>2272</v>
      </c>
      <c r="V92" s="70" t="s">
        <v>2272</v>
      </c>
      <c r="W92" s="70" t="s">
        <v>2272</v>
      </c>
      <c r="X92" s="21" t="s">
        <v>2370</v>
      </c>
      <c r="Y92" s="3" t="s">
        <v>37</v>
      </c>
      <c r="Z92" s="3" t="s">
        <v>84</v>
      </c>
      <c r="AA92" s="3" t="s">
        <v>63</v>
      </c>
      <c r="AB92" s="4" t="s">
        <v>1310</v>
      </c>
      <c r="AC92" s="19" t="s">
        <v>5021</v>
      </c>
    </row>
    <row r="93" spans="1:29"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2272</v>
      </c>
      <c r="K93" s="21" t="s">
        <v>2272</v>
      </c>
      <c r="L93" s="98" t="s">
        <v>2272</v>
      </c>
      <c r="M93" s="21" t="s">
        <v>2272</v>
      </c>
      <c r="N93" s="21" t="s">
        <v>2272</v>
      </c>
      <c r="O93" s="21" t="s">
        <v>2272</v>
      </c>
      <c r="P93" s="21" t="s">
        <v>2272</v>
      </c>
      <c r="Q93" s="21" t="s">
        <v>2272</v>
      </c>
      <c r="R93" s="97" t="s">
        <v>2272</v>
      </c>
      <c r="S93" s="97" t="s">
        <v>2272</v>
      </c>
      <c r="T93" s="21" t="s">
        <v>2386</v>
      </c>
      <c r="U93" s="70" t="s">
        <v>2272</v>
      </c>
      <c r="V93" s="70" t="s">
        <v>2272</v>
      </c>
      <c r="W93" s="70" t="s">
        <v>2272</v>
      </c>
      <c r="X93" s="21" t="s">
        <v>2370</v>
      </c>
      <c r="Y93" s="3" t="s">
        <v>74</v>
      </c>
      <c r="Z93" s="3" t="s">
        <v>34</v>
      </c>
      <c r="AA93" s="3" t="s">
        <v>63</v>
      </c>
      <c r="AB93" s="4" t="s">
        <v>1311</v>
      </c>
      <c r="AC93" s="19" t="s">
        <v>5020</v>
      </c>
    </row>
    <row r="94" spans="1:29"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2272</v>
      </c>
      <c r="K94" s="21" t="s">
        <v>2272</v>
      </c>
      <c r="L94" s="98" t="s">
        <v>2272</v>
      </c>
      <c r="M94" s="21" t="s">
        <v>2272</v>
      </c>
      <c r="N94" s="21" t="s">
        <v>2272</v>
      </c>
      <c r="O94" s="21" t="s">
        <v>2272</v>
      </c>
      <c r="P94" s="21" t="s">
        <v>2272</v>
      </c>
      <c r="Q94" s="21" t="s">
        <v>2272</v>
      </c>
      <c r="R94" s="97" t="s">
        <v>2272</v>
      </c>
      <c r="S94" s="97" t="s">
        <v>2272</v>
      </c>
      <c r="T94" s="21" t="s">
        <v>2384</v>
      </c>
      <c r="U94" s="70" t="s">
        <v>2272</v>
      </c>
      <c r="V94" s="70" t="s">
        <v>2272</v>
      </c>
      <c r="W94" s="70" t="s">
        <v>2272</v>
      </c>
      <c r="X94" s="21" t="s">
        <v>2370</v>
      </c>
      <c r="Y94" s="3" t="s">
        <v>37</v>
      </c>
      <c r="Z94" s="3" t="s">
        <v>84</v>
      </c>
      <c r="AA94" s="3" t="s">
        <v>63</v>
      </c>
      <c r="AB94" s="4" t="s">
        <v>1310</v>
      </c>
      <c r="AC94" s="19" t="s">
        <v>5021</v>
      </c>
    </row>
    <row r="95" spans="1:29"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2272</v>
      </c>
      <c r="K95" s="21" t="s">
        <v>2272</v>
      </c>
      <c r="L95" s="98" t="s">
        <v>2272</v>
      </c>
      <c r="M95" s="21" t="s">
        <v>2272</v>
      </c>
      <c r="N95" s="21" t="s">
        <v>2272</v>
      </c>
      <c r="O95" s="21" t="s">
        <v>2272</v>
      </c>
      <c r="P95" s="21" t="s">
        <v>2272</v>
      </c>
      <c r="Q95" s="21" t="s">
        <v>2272</v>
      </c>
      <c r="R95" s="97" t="s">
        <v>2272</v>
      </c>
      <c r="S95" s="97" t="s">
        <v>2272</v>
      </c>
      <c r="T95" s="21" t="s">
        <v>2387</v>
      </c>
      <c r="U95" s="70" t="s">
        <v>2272</v>
      </c>
      <c r="V95" s="70" t="s">
        <v>2272</v>
      </c>
      <c r="W95" s="70" t="s">
        <v>2272</v>
      </c>
      <c r="X95" s="21" t="s">
        <v>2370</v>
      </c>
      <c r="Y95" s="3" t="s">
        <v>74</v>
      </c>
      <c r="Z95" s="3" t="s">
        <v>34</v>
      </c>
      <c r="AA95" s="3" t="s">
        <v>63</v>
      </c>
      <c r="AB95" s="4" t="s">
        <v>1311</v>
      </c>
      <c r="AC95" s="19" t="s">
        <v>5020</v>
      </c>
    </row>
    <row r="96" spans="1:29"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2272</v>
      </c>
      <c r="K96" s="21" t="s">
        <v>2272</v>
      </c>
      <c r="L96" s="98" t="s">
        <v>2272</v>
      </c>
      <c r="M96" s="21" t="s">
        <v>2272</v>
      </c>
      <c r="N96" s="21" t="s">
        <v>2272</v>
      </c>
      <c r="O96" s="21" t="s">
        <v>2272</v>
      </c>
      <c r="P96" s="21" t="s">
        <v>2272</v>
      </c>
      <c r="Q96" s="21" t="s">
        <v>2272</v>
      </c>
      <c r="R96" s="97" t="s">
        <v>2272</v>
      </c>
      <c r="S96" s="97" t="s">
        <v>2272</v>
      </c>
      <c r="T96" s="21" t="s">
        <v>2384</v>
      </c>
      <c r="U96" s="70" t="s">
        <v>2272</v>
      </c>
      <c r="V96" s="70" t="s">
        <v>2272</v>
      </c>
      <c r="W96" s="70" t="s">
        <v>2272</v>
      </c>
      <c r="X96" s="21" t="s">
        <v>2370</v>
      </c>
      <c r="Y96" s="3" t="s">
        <v>37</v>
      </c>
      <c r="Z96" s="3" t="s">
        <v>84</v>
      </c>
      <c r="AA96" s="3" t="s">
        <v>63</v>
      </c>
      <c r="AB96" s="4" t="s">
        <v>1310</v>
      </c>
      <c r="AC96" s="19" t="s">
        <v>5021</v>
      </c>
    </row>
    <row r="97" spans="1:29"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2272</v>
      </c>
      <c r="K97" s="21" t="s">
        <v>2272</v>
      </c>
      <c r="L97" s="98" t="s">
        <v>2272</v>
      </c>
      <c r="M97" s="21" t="s">
        <v>2272</v>
      </c>
      <c r="N97" s="21" t="s">
        <v>2272</v>
      </c>
      <c r="O97" s="21" t="s">
        <v>2272</v>
      </c>
      <c r="P97" s="21" t="s">
        <v>2272</v>
      </c>
      <c r="Q97" s="21" t="s">
        <v>2272</v>
      </c>
      <c r="R97" s="97" t="s">
        <v>2272</v>
      </c>
      <c r="S97" s="97" t="s">
        <v>2272</v>
      </c>
      <c r="T97" s="21" t="s">
        <v>2388</v>
      </c>
      <c r="U97" s="70" t="s">
        <v>2272</v>
      </c>
      <c r="V97" s="70" t="s">
        <v>2272</v>
      </c>
      <c r="W97" s="70" t="s">
        <v>2272</v>
      </c>
      <c r="X97" s="21" t="s">
        <v>2370</v>
      </c>
      <c r="Y97" s="3" t="s">
        <v>74</v>
      </c>
      <c r="Z97" s="3" t="s">
        <v>34</v>
      </c>
      <c r="AA97" s="3" t="s">
        <v>63</v>
      </c>
      <c r="AB97" s="4" t="s">
        <v>1311</v>
      </c>
      <c r="AC97" s="19" t="s">
        <v>5020</v>
      </c>
    </row>
    <row r="98" spans="1:29"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2272</v>
      </c>
      <c r="K98" s="21" t="s">
        <v>2272</v>
      </c>
      <c r="L98" s="98" t="s">
        <v>2272</v>
      </c>
      <c r="M98" s="21" t="s">
        <v>2272</v>
      </c>
      <c r="N98" s="21" t="s">
        <v>2272</v>
      </c>
      <c r="O98" s="21" t="s">
        <v>2272</v>
      </c>
      <c r="P98" s="21" t="s">
        <v>2272</v>
      </c>
      <c r="Q98" s="21" t="s">
        <v>2272</v>
      </c>
      <c r="R98" s="97" t="s">
        <v>2272</v>
      </c>
      <c r="S98" s="97" t="s">
        <v>2272</v>
      </c>
      <c r="T98" s="21" t="s">
        <v>2385</v>
      </c>
      <c r="U98" s="70" t="s">
        <v>2272</v>
      </c>
      <c r="V98" s="70" t="s">
        <v>2272</v>
      </c>
      <c r="W98" s="70" t="s">
        <v>2272</v>
      </c>
      <c r="X98" s="21" t="s">
        <v>2370</v>
      </c>
      <c r="Y98" s="3" t="s">
        <v>37</v>
      </c>
      <c r="Z98" s="3" t="s">
        <v>84</v>
      </c>
      <c r="AA98" s="3" t="s">
        <v>63</v>
      </c>
      <c r="AB98" s="4" t="s">
        <v>1310</v>
      </c>
      <c r="AC98" s="19" t="s">
        <v>5021</v>
      </c>
    </row>
    <row r="99" spans="1:29"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2272</v>
      </c>
      <c r="K99" s="21" t="s">
        <v>2272</v>
      </c>
      <c r="L99" s="98" t="s">
        <v>2272</v>
      </c>
      <c r="M99" s="21" t="s">
        <v>2272</v>
      </c>
      <c r="N99" s="21" t="s">
        <v>2272</v>
      </c>
      <c r="O99" s="21" t="s">
        <v>2272</v>
      </c>
      <c r="P99" s="21" t="s">
        <v>2272</v>
      </c>
      <c r="Q99" s="21" t="s">
        <v>2272</v>
      </c>
      <c r="R99" s="97" t="s">
        <v>2272</v>
      </c>
      <c r="S99" s="97" t="s">
        <v>2272</v>
      </c>
      <c r="T99" s="21" t="s">
        <v>2386</v>
      </c>
      <c r="U99" s="70" t="s">
        <v>2272</v>
      </c>
      <c r="V99" s="70" t="s">
        <v>2272</v>
      </c>
      <c r="W99" s="70" t="s">
        <v>2272</v>
      </c>
      <c r="X99" s="21" t="s">
        <v>2370</v>
      </c>
      <c r="Y99" s="3" t="s">
        <v>74</v>
      </c>
      <c r="Z99" s="3" t="s">
        <v>34</v>
      </c>
      <c r="AA99" s="3" t="s">
        <v>63</v>
      </c>
      <c r="AB99" s="4" t="s">
        <v>1311</v>
      </c>
      <c r="AC99" s="19" t="s">
        <v>5020</v>
      </c>
    </row>
    <row r="100" spans="1:29"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2272</v>
      </c>
      <c r="K100" s="21" t="s">
        <v>2272</v>
      </c>
      <c r="L100" s="98" t="s">
        <v>2272</v>
      </c>
      <c r="M100" s="21" t="s">
        <v>2272</v>
      </c>
      <c r="N100" s="21" t="s">
        <v>2272</v>
      </c>
      <c r="O100" s="21" t="s">
        <v>2272</v>
      </c>
      <c r="P100" s="21" t="s">
        <v>2272</v>
      </c>
      <c r="Q100" s="21" t="s">
        <v>2272</v>
      </c>
      <c r="R100" s="97" t="s">
        <v>2272</v>
      </c>
      <c r="S100" s="97" t="s">
        <v>2272</v>
      </c>
      <c r="T100" s="21" t="s">
        <v>2387</v>
      </c>
      <c r="U100" s="70" t="s">
        <v>2272</v>
      </c>
      <c r="V100" s="70" t="s">
        <v>2272</v>
      </c>
      <c r="W100" s="70" t="s">
        <v>2272</v>
      </c>
      <c r="X100" s="21" t="s">
        <v>2370</v>
      </c>
      <c r="Y100" s="3" t="s">
        <v>37</v>
      </c>
      <c r="Z100" s="3" t="s">
        <v>84</v>
      </c>
      <c r="AA100" s="3" t="s">
        <v>63</v>
      </c>
      <c r="AB100" s="4" t="s">
        <v>1310</v>
      </c>
      <c r="AC100" s="19" t="s">
        <v>5021</v>
      </c>
    </row>
    <row r="101" spans="1:29"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2272</v>
      </c>
      <c r="K101" s="21" t="s">
        <v>2272</v>
      </c>
      <c r="L101" s="98" t="s">
        <v>2272</v>
      </c>
      <c r="M101" s="21" t="s">
        <v>2272</v>
      </c>
      <c r="N101" s="21" t="s">
        <v>2272</v>
      </c>
      <c r="O101" s="21" t="s">
        <v>2272</v>
      </c>
      <c r="P101" s="21" t="s">
        <v>2272</v>
      </c>
      <c r="Q101" s="21" t="s">
        <v>2272</v>
      </c>
      <c r="R101" s="97" t="s">
        <v>2272</v>
      </c>
      <c r="S101" s="97" t="s">
        <v>2272</v>
      </c>
      <c r="T101" s="21" t="s">
        <v>2386</v>
      </c>
      <c r="U101" s="70" t="s">
        <v>2272</v>
      </c>
      <c r="V101" s="70" t="s">
        <v>2272</v>
      </c>
      <c r="W101" s="70" t="s">
        <v>2272</v>
      </c>
      <c r="X101" s="21" t="s">
        <v>2370</v>
      </c>
      <c r="Y101" s="3" t="s">
        <v>74</v>
      </c>
      <c r="Z101" s="3" t="s">
        <v>34</v>
      </c>
      <c r="AA101" s="3" t="s">
        <v>63</v>
      </c>
      <c r="AB101" s="4" t="s">
        <v>1311</v>
      </c>
      <c r="AC101" s="19" t="s">
        <v>5020</v>
      </c>
    </row>
    <row r="102" spans="1:29"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2272</v>
      </c>
      <c r="K102" s="21" t="s">
        <v>2272</v>
      </c>
      <c r="L102" s="98" t="s">
        <v>2272</v>
      </c>
      <c r="M102" s="21" t="s">
        <v>2272</v>
      </c>
      <c r="N102" s="21" t="s">
        <v>2272</v>
      </c>
      <c r="O102" s="21" t="s">
        <v>2272</v>
      </c>
      <c r="P102" s="21" t="s">
        <v>2272</v>
      </c>
      <c r="Q102" s="21" t="s">
        <v>2272</v>
      </c>
      <c r="R102" s="97" t="s">
        <v>2272</v>
      </c>
      <c r="S102" s="97" t="s">
        <v>2272</v>
      </c>
      <c r="T102" s="21" t="s">
        <v>2386</v>
      </c>
      <c r="U102" s="70" t="s">
        <v>2272</v>
      </c>
      <c r="V102" s="70" t="s">
        <v>2272</v>
      </c>
      <c r="W102" s="70" t="s">
        <v>2272</v>
      </c>
      <c r="X102" s="21" t="s">
        <v>2370</v>
      </c>
      <c r="Y102" s="3" t="s">
        <v>37</v>
      </c>
      <c r="Z102" s="3" t="s">
        <v>84</v>
      </c>
      <c r="AA102" s="3" t="s">
        <v>63</v>
      </c>
      <c r="AB102" s="4" t="s">
        <v>1310</v>
      </c>
      <c r="AC102" s="19" t="s">
        <v>5021</v>
      </c>
    </row>
    <row r="103" spans="1:29"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2272</v>
      </c>
      <c r="K103" s="21" t="s">
        <v>2272</v>
      </c>
      <c r="L103" s="98" t="s">
        <v>2272</v>
      </c>
      <c r="M103" s="21" t="s">
        <v>2272</v>
      </c>
      <c r="N103" s="21" t="s">
        <v>2272</v>
      </c>
      <c r="O103" s="21" t="s">
        <v>2272</v>
      </c>
      <c r="P103" s="21" t="s">
        <v>2272</v>
      </c>
      <c r="Q103" s="21" t="s">
        <v>2272</v>
      </c>
      <c r="R103" s="97" t="s">
        <v>2272</v>
      </c>
      <c r="S103" s="97" t="s">
        <v>2272</v>
      </c>
      <c r="T103" s="21" t="s">
        <v>2387</v>
      </c>
      <c r="U103" s="70" t="s">
        <v>2272</v>
      </c>
      <c r="V103" s="70" t="s">
        <v>2272</v>
      </c>
      <c r="W103" s="70" t="s">
        <v>2272</v>
      </c>
      <c r="X103" s="21" t="s">
        <v>2370</v>
      </c>
      <c r="Y103" s="3" t="s">
        <v>74</v>
      </c>
      <c r="Z103" s="3" t="s">
        <v>34</v>
      </c>
      <c r="AA103" s="3" t="s">
        <v>63</v>
      </c>
      <c r="AB103" s="4" t="s">
        <v>1311</v>
      </c>
      <c r="AC103" s="19" t="s">
        <v>5020</v>
      </c>
    </row>
    <row r="104" spans="1:29"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2272</v>
      </c>
      <c r="K104" s="21" t="s">
        <v>2272</v>
      </c>
      <c r="L104" s="98" t="s">
        <v>2272</v>
      </c>
      <c r="M104" s="21" t="s">
        <v>2272</v>
      </c>
      <c r="N104" s="21" t="s">
        <v>2272</v>
      </c>
      <c r="O104" s="21" t="s">
        <v>2272</v>
      </c>
      <c r="P104" s="21" t="s">
        <v>2272</v>
      </c>
      <c r="Q104" s="21" t="s">
        <v>2272</v>
      </c>
      <c r="R104" s="97" t="s">
        <v>2272</v>
      </c>
      <c r="S104" s="97" t="s">
        <v>2272</v>
      </c>
      <c r="T104" s="21" t="s">
        <v>2386</v>
      </c>
      <c r="U104" s="70" t="s">
        <v>2272</v>
      </c>
      <c r="V104" s="70" t="s">
        <v>2272</v>
      </c>
      <c r="W104" s="70" t="s">
        <v>2272</v>
      </c>
      <c r="X104" s="21" t="s">
        <v>2370</v>
      </c>
      <c r="Y104" s="3" t="s">
        <v>37</v>
      </c>
      <c r="Z104" s="3" t="s">
        <v>84</v>
      </c>
      <c r="AA104" s="3" t="s">
        <v>63</v>
      </c>
      <c r="AB104" s="4" t="s">
        <v>1310</v>
      </c>
      <c r="AC104" s="19" t="s">
        <v>5021</v>
      </c>
    </row>
    <row r="105" spans="1:29"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2272</v>
      </c>
      <c r="K105" s="21" t="s">
        <v>2272</v>
      </c>
      <c r="L105" s="98" t="s">
        <v>2272</v>
      </c>
      <c r="M105" s="21" t="s">
        <v>2272</v>
      </c>
      <c r="N105" s="21" t="s">
        <v>2272</v>
      </c>
      <c r="O105" s="21" t="s">
        <v>2272</v>
      </c>
      <c r="P105" s="21" t="s">
        <v>2272</v>
      </c>
      <c r="Q105" s="21" t="s">
        <v>2272</v>
      </c>
      <c r="R105" s="97" t="s">
        <v>2272</v>
      </c>
      <c r="S105" s="97" t="s">
        <v>2272</v>
      </c>
      <c r="T105" s="21" t="s">
        <v>2389</v>
      </c>
      <c r="U105" s="70" t="s">
        <v>2272</v>
      </c>
      <c r="V105" s="70" t="s">
        <v>2272</v>
      </c>
      <c r="W105" s="70" t="s">
        <v>2272</v>
      </c>
      <c r="X105" s="21" t="s">
        <v>2370</v>
      </c>
      <c r="Y105" s="3" t="s">
        <v>74</v>
      </c>
      <c r="Z105" s="3" t="s">
        <v>34</v>
      </c>
      <c r="AA105" s="3" t="s">
        <v>63</v>
      </c>
      <c r="AB105" s="4" t="s">
        <v>1311</v>
      </c>
      <c r="AC105" s="19" t="s">
        <v>5020</v>
      </c>
    </row>
    <row r="106" spans="1:29"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2272</v>
      </c>
      <c r="K106" s="21" t="s">
        <v>2272</v>
      </c>
      <c r="L106" s="98" t="s">
        <v>2272</v>
      </c>
      <c r="M106" s="21" t="s">
        <v>2272</v>
      </c>
      <c r="N106" s="21" t="s">
        <v>2272</v>
      </c>
      <c r="O106" s="21" t="s">
        <v>2272</v>
      </c>
      <c r="P106" s="21" t="s">
        <v>2272</v>
      </c>
      <c r="Q106" s="21" t="s">
        <v>2272</v>
      </c>
      <c r="R106" s="97" t="s">
        <v>2272</v>
      </c>
      <c r="S106" s="97" t="s">
        <v>2272</v>
      </c>
      <c r="T106" s="21" t="s">
        <v>2386</v>
      </c>
      <c r="U106" s="70" t="s">
        <v>2272</v>
      </c>
      <c r="V106" s="70" t="s">
        <v>2272</v>
      </c>
      <c r="W106" s="70" t="s">
        <v>2272</v>
      </c>
      <c r="X106" s="21" t="s">
        <v>2370</v>
      </c>
      <c r="Y106" s="3" t="s">
        <v>37</v>
      </c>
      <c r="Z106" s="3" t="s">
        <v>84</v>
      </c>
      <c r="AA106" s="3" t="s">
        <v>63</v>
      </c>
      <c r="AB106" s="4" t="s">
        <v>1310</v>
      </c>
      <c r="AC106" s="19" t="s">
        <v>5021</v>
      </c>
    </row>
    <row r="107" spans="1:29"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2272</v>
      </c>
      <c r="K107" s="21" t="s">
        <v>2272</v>
      </c>
      <c r="L107" s="98" t="s">
        <v>2272</v>
      </c>
      <c r="M107" s="21" t="s">
        <v>2272</v>
      </c>
      <c r="N107" s="21" t="s">
        <v>2272</v>
      </c>
      <c r="O107" s="21" t="s">
        <v>2272</v>
      </c>
      <c r="P107" s="21" t="s">
        <v>2272</v>
      </c>
      <c r="Q107" s="21" t="s">
        <v>2272</v>
      </c>
      <c r="R107" s="97" t="s">
        <v>2272</v>
      </c>
      <c r="S107" s="97" t="s">
        <v>2272</v>
      </c>
      <c r="T107" s="21" t="s">
        <v>2388</v>
      </c>
      <c r="U107" s="70" t="s">
        <v>2272</v>
      </c>
      <c r="V107" s="70" t="s">
        <v>2272</v>
      </c>
      <c r="W107" s="70" t="s">
        <v>2272</v>
      </c>
      <c r="X107" s="21" t="s">
        <v>2370</v>
      </c>
      <c r="Y107" s="3" t="s">
        <v>74</v>
      </c>
      <c r="Z107" s="3" t="s">
        <v>34</v>
      </c>
      <c r="AA107" s="3" t="s">
        <v>63</v>
      </c>
      <c r="AB107" s="4" t="s">
        <v>1311</v>
      </c>
      <c r="AC107" s="19" t="s">
        <v>5020</v>
      </c>
    </row>
    <row r="108" spans="1:29"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2272</v>
      </c>
      <c r="K108" s="21" t="s">
        <v>2272</v>
      </c>
      <c r="L108" s="98" t="s">
        <v>2272</v>
      </c>
      <c r="M108" s="21" t="s">
        <v>2272</v>
      </c>
      <c r="N108" s="21" t="s">
        <v>2272</v>
      </c>
      <c r="O108" s="21" t="s">
        <v>2272</v>
      </c>
      <c r="P108" s="21" t="s">
        <v>2272</v>
      </c>
      <c r="Q108" s="21" t="s">
        <v>2272</v>
      </c>
      <c r="R108" s="97" t="s">
        <v>2272</v>
      </c>
      <c r="S108" s="97" t="s">
        <v>2272</v>
      </c>
      <c r="T108" s="21" t="s">
        <v>2384</v>
      </c>
      <c r="U108" s="70" t="s">
        <v>2272</v>
      </c>
      <c r="V108" s="70" t="s">
        <v>2272</v>
      </c>
      <c r="W108" s="70" t="s">
        <v>2272</v>
      </c>
      <c r="X108" s="21" t="s">
        <v>2370</v>
      </c>
      <c r="Y108" s="3" t="s">
        <v>37</v>
      </c>
      <c r="Z108" s="3" t="s">
        <v>84</v>
      </c>
      <c r="AA108" s="3" t="s">
        <v>63</v>
      </c>
      <c r="AB108" s="4" t="s">
        <v>1310</v>
      </c>
      <c r="AC108" s="19" t="s">
        <v>5021</v>
      </c>
    </row>
    <row r="109" spans="1:29"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2272</v>
      </c>
      <c r="K109" s="21" t="s">
        <v>2272</v>
      </c>
      <c r="L109" s="98" t="s">
        <v>2272</v>
      </c>
      <c r="M109" s="21" t="s">
        <v>2272</v>
      </c>
      <c r="N109" s="21" t="s">
        <v>2272</v>
      </c>
      <c r="O109" s="21" t="s">
        <v>2272</v>
      </c>
      <c r="P109" s="21" t="s">
        <v>2272</v>
      </c>
      <c r="Q109" s="21" t="s">
        <v>2272</v>
      </c>
      <c r="R109" s="97" t="s">
        <v>2272</v>
      </c>
      <c r="S109" s="97" t="s">
        <v>2272</v>
      </c>
      <c r="T109" s="21" t="s">
        <v>2388</v>
      </c>
      <c r="U109" s="70" t="s">
        <v>2272</v>
      </c>
      <c r="V109" s="70" t="s">
        <v>2272</v>
      </c>
      <c r="W109" s="70" t="s">
        <v>2272</v>
      </c>
      <c r="X109" s="21" t="s">
        <v>2370</v>
      </c>
      <c r="Y109" s="3" t="s">
        <v>74</v>
      </c>
      <c r="Z109" s="3" t="s">
        <v>34</v>
      </c>
      <c r="AA109" s="3" t="s">
        <v>63</v>
      </c>
      <c r="AB109" s="4" t="s">
        <v>1311</v>
      </c>
      <c r="AC109" s="19" t="s">
        <v>5020</v>
      </c>
    </row>
    <row r="110" spans="1:29"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2272</v>
      </c>
      <c r="K110" s="21" t="s">
        <v>2272</v>
      </c>
      <c r="L110" s="98" t="s">
        <v>2272</v>
      </c>
      <c r="M110" s="21" t="s">
        <v>2272</v>
      </c>
      <c r="N110" s="21" t="s">
        <v>2272</v>
      </c>
      <c r="O110" s="21" t="s">
        <v>2272</v>
      </c>
      <c r="P110" s="21" t="s">
        <v>2272</v>
      </c>
      <c r="Q110" s="21" t="s">
        <v>2272</v>
      </c>
      <c r="R110" s="97" t="s">
        <v>2272</v>
      </c>
      <c r="S110" s="97" t="s">
        <v>2272</v>
      </c>
      <c r="T110" s="21" t="s">
        <v>2385</v>
      </c>
      <c r="U110" s="70" t="s">
        <v>2272</v>
      </c>
      <c r="V110" s="70" t="s">
        <v>2272</v>
      </c>
      <c r="W110" s="70" t="s">
        <v>2272</v>
      </c>
      <c r="X110" s="21" t="s">
        <v>2370</v>
      </c>
      <c r="Y110" s="3" t="s">
        <v>37</v>
      </c>
      <c r="Z110" s="3" t="s">
        <v>84</v>
      </c>
      <c r="AA110" s="3" t="s">
        <v>63</v>
      </c>
      <c r="AB110" s="4" t="s">
        <v>1310</v>
      </c>
      <c r="AC110" s="19" t="s">
        <v>5021</v>
      </c>
    </row>
    <row r="111" spans="1:29"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2272</v>
      </c>
      <c r="K111" s="21" t="s">
        <v>2272</v>
      </c>
      <c r="L111" s="98" t="s">
        <v>2272</v>
      </c>
      <c r="M111" s="21" t="s">
        <v>2272</v>
      </c>
      <c r="N111" s="21" t="s">
        <v>2272</v>
      </c>
      <c r="O111" s="21" t="s">
        <v>2272</v>
      </c>
      <c r="P111" s="21" t="s">
        <v>2272</v>
      </c>
      <c r="Q111" s="21" t="s">
        <v>2272</v>
      </c>
      <c r="R111" s="97" t="s">
        <v>2272</v>
      </c>
      <c r="S111" s="97" t="s">
        <v>2272</v>
      </c>
      <c r="T111" s="21" t="s">
        <v>2389</v>
      </c>
      <c r="U111" s="70" t="s">
        <v>2272</v>
      </c>
      <c r="V111" s="70" t="s">
        <v>2272</v>
      </c>
      <c r="W111" s="70" t="s">
        <v>2272</v>
      </c>
      <c r="X111" s="21" t="s">
        <v>2370</v>
      </c>
      <c r="Y111" s="3" t="s">
        <v>74</v>
      </c>
      <c r="Z111" s="3" t="s">
        <v>34</v>
      </c>
      <c r="AA111" s="3" t="s">
        <v>63</v>
      </c>
      <c r="AB111" s="4" t="s">
        <v>1311</v>
      </c>
      <c r="AC111" s="19" t="s">
        <v>5020</v>
      </c>
    </row>
    <row r="112" spans="1:29"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2272</v>
      </c>
      <c r="K112" s="21" t="s">
        <v>2272</v>
      </c>
      <c r="L112" s="98" t="s">
        <v>2272</v>
      </c>
      <c r="M112" s="21" t="s">
        <v>2272</v>
      </c>
      <c r="N112" s="21" t="s">
        <v>2272</v>
      </c>
      <c r="O112" s="21" t="s">
        <v>2272</v>
      </c>
      <c r="P112" s="21" t="s">
        <v>2272</v>
      </c>
      <c r="Q112" s="21" t="s">
        <v>2272</v>
      </c>
      <c r="R112" s="97" t="s">
        <v>2272</v>
      </c>
      <c r="S112" s="97" t="s">
        <v>2272</v>
      </c>
      <c r="T112" s="21" t="s">
        <v>2385</v>
      </c>
      <c r="U112" s="70" t="s">
        <v>2272</v>
      </c>
      <c r="V112" s="70" t="s">
        <v>2272</v>
      </c>
      <c r="W112" s="70" t="s">
        <v>2272</v>
      </c>
      <c r="X112" s="21" t="s">
        <v>2370</v>
      </c>
      <c r="Y112" s="3" t="s">
        <v>37</v>
      </c>
      <c r="Z112" s="3" t="s">
        <v>84</v>
      </c>
      <c r="AA112" s="3" t="s">
        <v>63</v>
      </c>
      <c r="AB112" s="4" t="s">
        <v>1310</v>
      </c>
      <c r="AC112" s="19" t="s">
        <v>5021</v>
      </c>
    </row>
    <row r="113" spans="1:29"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2272</v>
      </c>
      <c r="K113" s="21" t="s">
        <v>2272</v>
      </c>
      <c r="L113" s="98" t="s">
        <v>2272</v>
      </c>
      <c r="M113" s="21" t="s">
        <v>2272</v>
      </c>
      <c r="N113" s="21" t="s">
        <v>2272</v>
      </c>
      <c r="O113" s="21" t="s">
        <v>2272</v>
      </c>
      <c r="P113" s="21" t="s">
        <v>2272</v>
      </c>
      <c r="Q113" s="21" t="s">
        <v>2272</v>
      </c>
      <c r="R113" s="97" t="s">
        <v>2272</v>
      </c>
      <c r="S113" s="97" t="s">
        <v>2272</v>
      </c>
      <c r="T113" s="21" t="s">
        <v>2272</v>
      </c>
      <c r="U113" s="84" t="s">
        <v>2272</v>
      </c>
      <c r="V113" s="84" t="s">
        <v>2272</v>
      </c>
      <c r="W113" s="21" t="s">
        <v>2272</v>
      </c>
      <c r="X113" s="21" t="s">
        <v>2272</v>
      </c>
      <c r="Y113" s="3" t="s">
        <v>74</v>
      </c>
      <c r="Z113" s="3" t="s">
        <v>34</v>
      </c>
      <c r="AA113" s="3" t="s">
        <v>63</v>
      </c>
      <c r="AB113" s="4" t="s">
        <v>103</v>
      </c>
      <c r="AC113" s="3" t="s">
        <v>116</v>
      </c>
    </row>
    <row r="114" spans="1:29"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2272</v>
      </c>
      <c r="K114" s="21" t="s">
        <v>2272</v>
      </c>
      <c r="L114" s="98" t="s">
        <v>2272</v>
      </c>
      <c r="M114" s="21" t="s">
        <v>2272</v>
      </c>
      <c r="N114" s="21" t="s">
        <v>2272</v>
      </c>
      <c r="O114" s="21" t="s">
        <v>2272</v>
      </c>
      <c r="P114" s="21" t="s">
        <v>2272</v>
      </c>
      <c r="Q114" s="21" t="s">
        <v>2272</v>
      </c>
      <c r="R114" s="97" t="s">
        <v>2272</v>
      </c>
      <c r="S114" s="97" t="s">
        <v>2272</v>
      </c>
      <c r="T114" s="21" t="s">
        <v>2385</v>
      </c>
      <c r="U114" s="21" t="s">
        <v>2272</v>
      </c>
      <c r="V114" s="21" t="s">
        <v>2272</v>
      </c>
      <c r="W114" s="21" t="s">
        <v>2272</v>
      </c>
      <c r="X114" s="21" t="s">
        <v>2272</v>
      </c>
      <c r="Y114" s="3" t="s">
        <v>74</v>
      </c>
      <c r="Z114" s="3" t="s">
        <v>34</v>
      </c>
      <c r="AA114" s="3" t="s">
        <v>63</v>
      </c>
      <c r="AB114" s="4" t="s">
        <v>103</v>
      </c>
      <c r="AC114" s="4" t="s">
        <v>1355</v>
      </c>
    </row>
    <row r="115" spans="1:29"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2272</v>
      </c>
      <c r="K115" s="21" t="s">
        <v>2272</v>
      </c>
      <c r="L115" s="98" t="s">
        <v>2272</v>
      </c>
      <c r="M115" s="21" t="s">
        <v>2272</v>
      </c>
      <c r="N115" s="21" t="s">
        <v>2272</v>
      </c>
      <c r="O115" s="21" t="s">
        <v>2272</v>
      </c>
      <c r="P115" s="21" t="s">
        <v>2272</v>
      </c>
      <c r="Q115" s="21" t="s">
        <v>2272</v>
      </c>
      <c r="R115" s="97" t="s">
        <v>2272</v>
      </c>
      <c r="S115" s="97" t="s">
        <v>2272</v>
      </c>
      <c r="T115" s="21" t="s">
        <v>2385</v>
      </c>
      <c r="U115" s="21" t="s">
        <v>2272</v>
      </c>
      <c r="V115" s="21" t="s">
        <v>2272</v>
      </c>
      <c r="W115" s="21" t="s">
        <v>2272</v>
      </c>
      <c r="X115" s="21" t="s">
        <v>2272</v>
      </c>
      <c r="Y115" s="3" t="s">
        <v>74</v>
      </c>
      <c r="Z115" s="3" t="s">
        <v>34</v>
      </c>
      <c r="AA115" s="3" t="s">
        <v>63</v>
      </c>
      <c r="AB115" s="4" t="s">
        <v>103</v>
      </c>
      <c r="AC115" s="4" t="s">
        <v>1354</v>
      </c>
    </row>
    <row r="116" spans="1:29"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2272</v>
      </c>
      <c r="K116" s="21" t="s">
        <v>2272</v>
      </c>
      <c r="L116" s="98" t="s">
        <v>2272</v>
      </c>
      <c r="M116" s="21" t="s">
        <v>2272</v>
      </c>
      <c r="N116" s="21" t="s">
        <v>2272</v>
      </c>
      <c r="O116" s="21" t="s">
        <v>2272</v>
      </c>
      <c r="P116" s="21" t="s">
        <v>2272</v>
      </c>
      <c r="Q116" s="21" t="s">
        <v>2272</v>
      </c>
      <c r="R116" s="97" t="s">
        <v>2272</v>
      </c>
      <c r="S116" s="97" t="s">
        <v>2272</v>
      </c>
      <c r="T116" s="21" t="s">
        <v>2386</v>
      </c>
      <c r="U116" s="21" t="s">
        <v>2272</v>
      </c>
      <c r="V116" s="21" t="s">
        <v>2272</v>
      </c>
      <c r="W116" s="21" t="s">
        <v>2272</v>
      </c>
      <c r="X116" s="21" t="s">
        <v>2272</v>
      </c>
      <c r="Y116" s="3" t="s">
        <v>74</v>
      </c>
      <c r="Z116" s="3" t="s">
        <v>34</v>
      </c>
      <c r="AA116" s="3" t="s">
        <v>63</v>
      </c>
      <c r="AB116" s="4" t="s">
        <v>103</v>
      </c>
      <c r="AC116" s="4" t="s">
        <v>1355</v>
      </c>
    </row>
    <row r="117" spans="1:29"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2272</v>
      </c>
      <c r="K117" s="21" t="s">
        <v>2272</v>
      </c>
      <c r="L117" s="98" t="s">
        <v>2272</v>
      </c>
      <c r="M117" s="21" t="s">
        <v>2272</v>
      </c>
      <c r="N117" s="21" t="s">
        <v>2272</v>
      </c>
      <c r="O117" s="21" t="s">
        <v>2272</v>
      </c>
      <c r="P117" s="21" t="s">
        <v>2272</v>
      </c>
      <c r="Q117" s="21" t="s">
        <v>2272</v>
      </c>
      <c r="R117" s="97" t="s">
        <v>2272</v>
      </c>
      <c r="S117" s="97" t="s">
        <v>2272</v>
      </c>
      <c r="T117" s="21" t="s">
        <v>2386</v>
      </c>
      <c r="U117" s="21" t="s">
        <v>2272</v>
      </c>
      <c r="V117" s="21" t="s">
        <v>2272</v>
      </c>
      <c r="W117" s="21" t="s">
        <v>2272</v>
      </c>
      <c r="X117" s="21" t="s">
        <v>2272</v>
      </c>
      <c r="Y117" s="3" t="s">
        <v>74</v>
      </c>
      <c r="Z117" s="3" t="s">
        <v>34</v>
      </c>
      <c r="AA117" s="3" t="s">
        <v>63</v>
      </c>
      <c r="AB117" s="4" t="s">
        <v>103</v>
      </c>
      <c r="AC117" s="4" t="s">
        <v>1354</v>
      </c>
    </row>
    <row r="118" spans="1:29"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2272</v>
      </c>
      <c r="K118" s="21" t="s">
        <v>2272</v>
      </c>
      <c r="L118" s="98" t="s">
        <v>2272</v>
      </c>
      <c r="M118" s="21" t="s">
        <v>2272</v>
      </c>
      <c r="N118" s="21" t="s">
        <v>2272</v>
      </c>
      <c r="O118" s="21" t="s">
        <v>2272</v>
      </c>
      <c r="P118" s="21" t="s">
        <v>2272</v>
      </c>
      <c r="Q118" s="21" t="s">
        <v>2272</v>
      </c>
      <c r="R118" s="97" t="s">
        <v>2272</v>
      </c>
      <c r="S118" s="97" t="s">
        <v>2272</v>
      </c>
      <c r="T118" s="21" t="s">
        <v>2385</v>
      </c>
      <c r="U118" s="21" t="s">
        <v>2272</v>
      </c>
      <c r="V118" s="21" t="s">
        <v>2272</v>
      </c>
      <c r="W118" s="21" t="s">
        <v>2272</v>
      </c>
      <c r="X118" s="21" t="s">
        <v>2272</v>
      </c>
      <c r="Y118" s="3" t="s">
        <v>74</v>
      </c>
      <c r="Z118" s="3" t="s">
        <v>34</v>
      </c>
      <c r="AA118" s="3" t="s">
        <v>63</v>
      </c>
      <c r="AB118" s="4" t="s">
        <v>103</v>
      </c>
      <c r="AC118" s="4" t="s">
        <v>1355</v>
      </c>
    </row>
    <row r="119" spans="1:29"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2272</v>
      </c>
      <c r="K119" s="21" t="s">
        <v>2272</v>
      </c>
      <c r="L119" s="98" t="s">
        <v>2272</v>
      </c>
      <c r="M119" s="21" t="s">
        <v>2272</v>
      </c>
      <c r="N119" s="21" t="s">
        <v>2272</v>
      </c>
      <c r="O119" s="21" t="s">
        <v>2272</v>
      </c>
      <c r="P119" s="21" t="s">
        <v>2272</v>
      </c>
      <c r="Q119" s="21" t="s">
        <v>2272</v>
      </c>
      <c r="R119" s="97" t="s">
        <v>2272</v>
      </c>
      <c r="S119" s="97" t="s">
        <v>2272</v>
      </c>
      <c r="T119" s="21" t="s">
        <v>2385</v>
      </c>
      <c r="U119" s="21" t="s">
        <v>2272</v>
      </c>
      <c r="V119" s="21" t="s">
        <v>2272</v>
      </c>
      <c r="W119" s="21" t="s">
        <v>2272</v>
      </c>
      <c r="X119" s="21" t="s">
        <v>2272</v>
      </c>
      <c r="Y119" s="3" t="s">
        <v>74</v>
      </c>
      <c r="Z119" s="3" t="s">
        <v>34</v>
      </c>
      <c r="AA119" s="3" t="s">
        <v>63</v>
      </c>
      <c r="AB119" s="4" t="s">
        <v>103</v>
      </c>
      <c r="AC119" s="4" t="s">
        <v>1354</v>
      </c>
    </row>
    <row r="120" spans="1:29"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2272</v>
      </c>
      <c r="K120" s="21" t="s">
        <v>2272</v>
      </c>
      <c r="L120" s="98" t="s">
        <v>2272</v>
      </c>
      <c r="M120" s="21" t="s">
        <v>2272</v>
      </c>
      <c r="N120" s="21" t="s">
        <v>2272</v>
      </c>
      <c r="O120" s="21" t="s">
        <v>2272</v>
      </c>
      <c r="P120" s="21" t="s">
        <v>2272</v>
      </c>
      <c r="Q120" s="21" t="s">
        <v>2272</v>
      </c>
      <c r="R120" s="97" t="s">
        <v>2272</v>
      </c>
      <c r="S120" s="97" t="s">
        <v>2272</v>
      </c>
      <c r="T120" s="21" t="s">
        <v>2384</v>
      </c>
      <c r="U120" s="21" t="s">
        <v>2272</v>
      </c>
      <c r="V120" s="21" t="s">
        <v>2272</v>
      </c>
      <c r="W120" s="21" t="s">
        <v>2272</v>
      </c>
      <c r="X120" s="21" t="s">
        <v>2272</v>
      </c>
      <c r="Y120" s="3" t="s">
        <v>74</v>
      </c>
      <c r="Z120" s="3" t="s">
        <v>34</v>
      </c>
      <c r="AA120" s="3" t="s">
        <v>63</v>
      </c>
      <c r="AB120" s="4" t="s">
        <v>103</v>
      </c>
      <c r="AC120" s="4" t="s">
        <v>1355</v>
      </c>
    </row>
    <row r="121" spans="1:29"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2272</v>
      </c>
      <c r="K121" s="21" t="s">
        <v>2272</v>
      </c>
      <c r="L121" s="98" t="s">
        <v>2272</v>
      </c>
      <c r="M121" s="21" t="s">
        <v>2272</v>
      </c>
      <c r="N121" s="21" t="s">
        <v>2272</v>
      </c>
      <c r="O121" s="21" t="s">
        <v>2272</v>
      </c>
      <c r="P121" s="21" t="s">
        <v>2272</v>
      </c>
      <c r="Q121" s="21" t="s">
        <v>2272</v>
      </c>
      <c r="R121" s="97" t="s">
        <v>2272</v>
      </c>
      <c r="S121" s="97" t="s">
        <v>2272</v>
      </c>
      <c r="T121" s="21" t="s">
        <v>2384</v>
      </c>
      <c r="U121" s="21" t="s">
        <v>2272</v>
      </c>
      <c r="V121" s="21" t="s">
        <v>2272</v>
      </c>
      <c r="W121" s="21" t="s">
        <v>2272</v>
      </c>
      <c r="X121" s="21" t="s">
        <v>2272</v>
      </c>
      <c r="Y121" s="3" t="s">
        <v>74</v>
      </c>
      <c r="Z121" s="3" t="s">
        <v>34</v>
      </c>
      <c r="AA121" s="3" t="s">
        <v>63</v>
      </c>
      <c r="AB121" s="4" t="s">
        <v>103</v>
      </c>
      <c r="AC121" s="4" t="s">
        <v>1354</v>
      </c>
    </row>
    <row r="122" spans="1:29"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2272</v>
      </c>
      <c r="K122" s="21" t="s">
        <v>2272</v>
      </c>
      <c r="L122" s="98" t="s">
        <v>2272</v>
      </c>
      <c r="M122" s="21" t="s">
        <v>2272</v>
      </c>
      <c r="N122" s="21" t="s">
        <v>2272</v>
      </c>
      <c r="O122" s="21" t="s">
        <v>2272</v>
      </c>
      <c r="P122" s="21" t="s">
        <v>2272</v>
      </c>
      <c r="Q122" s="21" t="s">
        <v>2272</v>
      </c>
      <c r="R122" s="97" t="s">
        <v>2272</v>
      </c>
      <c r="S122" s="97" t="s">
        <v>2272</v>
      </c>
      <c r="T122" s="21" t="s">
        <v>2371</v>
      </c>
      <c r="U122" s="21" t="s">
        <v>2272</v>
      </c>
      <c r="V122" s="21" t="s">
        <v>2272</v>
      </c>
      <c r="W122" s="21" t="s">
        <v>2272</v>
      </c>
      <c r="X122" s="21" t="s">
        <v>2272</v>
      </c>
      <c r="Y122" s="3" t="s">
        <v>74</v>
      </c>
      <c r="Z122" s="3" t="s">
        <v>34</v>
      </c>
      <c r="AA122" s="3" t="s">
        <v>63</v>
      </c>
      <c r="AB122" s="4" t="s">
        <v>103</v>
      </c>
      <c r="AC122" s="4" t="s">
        <v>1355</v>
      </c>
    </row>
    <row r="123" spans="1:29"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2272</v>
      </c>
      <c r="K123" s="21" t="s">
        <v>2272</v>
      </c>
      <c r="L123" s="98" t="s">
        <v>2272</v>
      </c>
      <c r="M123" s="21" t="s">
        <v>2272</v>
      </c>
      <c r="N123" s="21" t="s">
        <v>2272</v>
      </c>
      <c r="O123" s="21" t="s">
        <v>2272</v>
      </c>
      <c r="P123" s="21" t="s">
        <v>2272</v>
      </c>
      <c r="Q123" s="21" t="s">
        <v>2272</v>
      </c>
      <c r="R123" s="97" t="s">
        <v>2272</v>
      </c>
      <c r="S123" s="97" t="s">
        <v>2272</v>
      </c>
      <c r="T123" s="21" t="s">
        <v>2371</v>
      </c>
      <c r="U123" s="21" t="s">
        <v>2272</v>
      </c>
      <c r="V123" s="21" t="s">
        <v>2272</v>
      </c>
      <c r="W123" s="21" t="s">
        <v>2272</v>
      </c>
      <c r="X123" s="21" t="s">
        <v>2272</v>
      </c>
      <c r="Y123" s="3" t="s">
        <v>74</v>
      </c>
      <c r="Z123" s="3" t="s">
        <v>34</v>
      </c>
      <c r="AA123" s="3" t="s">
        <v>63</v>
      </c>
      <c r="AB123" s="4" t="s">
        <v>103</v>
      </c>
      <c r="AC123" s="4" t="s">
        <v>1354</v>
      </c>
    </row>
    <row r="124" spans="1:29"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2272</v>
      </c>
      <c r="K124" s="21" t="s">
        <v>2272</v>
      </c>
      <c r="L124" s="98" t="s">
        <v>2272</v>
      </c>
      <c r="M124" s="21" t="s">
        <v>2272</v>
      </c>
      <c r="N124" s="21" t="s">
        <v>2272</v>
      </c>
      <c r="O124" s="21" t="s">
        <v>2272</v>
      </c>
      <c r="P124" s="21" t="s">
        <v>2272</v>
      </c>
      <c r="Q124" s="21" t="s">
        <v>2272</v>
      </c>
      <c r="R124" s="97" t="s">
        <v>2272</v>
      </c>
      <c r="S124" s="97" t="s">
        <v>2272</v>
      </c>
      <c r="T124" s="21" t="s">
        <v>2384</v>
      </c>
      <c r="U124" s="21" t="s">
        <v>2272</v>
      </c>
      <c r="V124" s="21" t="s">
        <v>2272</v>
      </c>
      <c r="W124" s="21" t="s">
        <v>2272</v>
      </c>
      <c r="X124" s="21" t="s">
        <v>2272</v>
      </c>
      <c r="Y124" s="3" t="s">
        <v>74</v>
      </c>
      <c r="Z124" s="3" t="s">
        <v>34</v>
      </c>
      <c r="AA124" s="3" t="s">
        <v>63</v>
      </c>
      <c r="AB124" s="4" t="s">
        <v>103</v>
      </c>
      <c r="AC124" s="4" t="s">
        <v>1355</v>
      </c>
    </row>
    <row r="125" spans="1:29"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2272</v>
      </c>
      <c r="K125" s="21" t="s">
        <v>2272</v>
      </c>
      <c r="L125" s="98" t="s">
        <v>2272</v>
      </c>
      <c r="M125" s="21" t="s">
        <v>2272</v>
      </c>
      <c r="N125" s="21" t="s">
        <v>2272</v>
      </c>
      <c r="O125" s="21" t="s">
        <v>2272</v>
      </c>
      <c r="P125" s="21" t="s">
        <v>2272</v>
      </c>
      <c r="Q125" s="21" t="s">
        <v>2272</v>
      </c>
      <c r="R125" s="97" t="s">
        <v>2272</v>
      </c>
      <c r="S125" s="97" t="s">
        <v>2272</v>
      </c>
      <c r="T125" s="21" t="s">
        <v>2384</v>
      </c>
      <c r="U125" s="21" t="s">
        <v>2272</v>
      </c>
      <c r="V125" s="21" t="s">
        <v>2272</v>
      </c>
      <c r="W125" s="21" t="s">
        <v>2272</v>
      </c>
      <c r="X125" s="21" t="s">
        <v>2272</v>
      </c>
      <c r="Y125" s="3" t="s">
        <v>74</v>
      </c>
      <c r="Z125" s="3" t="s">
        <v>34</v>
      </c>
      <c r="AA125" s="3" t="s">
        <v>63</v>
      </c>
      <c r="AB125" s="4" t="s">
        <v>103</v>
      </c>
      <c r="AC125" s="4" t="s">
        <v>1354</v>
      </c>
    </row>
    <row r="126" spans="1:29"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2272</v>
      </c>
      <c r="K126" s="21" t="s">
        <v>2272</v>
      </c>
      <c r="L126" s="98" t="s">
        <v>2272</v>
      </c>
      <c r="M126" s="21" t="s">
        <v>2272</v>
      </c>
      <c r="N126" s="21" t="s">
        <v>2272</v>
      </c>
      <c r="O126" s="21" t="s">
        <v>2272</v>
      </c>
      <c r="P126" s="21" t="s">
        <v>2272</v>
      </c>
      <c r="Q126" s="21" t="s">
        <v>2272</v>
      </c>
      <c r="R126" s="97" t="s">
        <v>2272</v>
      </c>
      <c r="S126" s="97" t="s">
        <v>2272</v>
      </c>
      <c r="T126" s="21" t="s">
        <v>2384</v>
      </c>
      <c r="U126" s="21" t="s">
        <v>2272</v>
      </c>
      <c r="V126" s="21" t="s">
        <v>2272</v>
      </c>
      <c r="W126" s="21" t="s">
        <v>2272</v>
      </c>
      <c r="X126" s="21" t="s">
        <v>2272</v>
      </c>
      <c r="Y126" s="3" t="s">
        <v>74</v>
      </c>
      <c r="Z126" s="3" t="s">
        <v>34</v>
      </c>
      <c r="AA126" s="3" t="s">
        <v>63</v>
      </c>
      <c r="AB126" s="4" t="s">
        <v>103</v>
      </c>
      <c r="AC126" s="4" t="s">
        <v>1355</v>
      </c>
    </row>
    <row r="127" spans="1:29"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2272</v>
      </c>
      <c r="K127" s="21" t="s">
        <v>2272</v>
      </c>
      <c r="L127" s="98" t="s">
        <v>2272</v>
      </c>
      <c r="M127" s="21" t="s">
        <v>2272</v>
      </c>
      <c r="N127" s="21" t="s">
        <v>2272</v>
      </c>
      <c r="O127" s="21" t="s">
        <v>2272</v>
      </c>
      <c r="P127" s="21" t="s">
        <v>2272</v>
      </c>
      <c r="Q127" s="21" t="s">
        <v>2272</v>
      </c>
      <c r="R127" s="97" t="s">
        <v>2272</v>
      </c>
      <c r="S127" s="97" t="s">
        <v>2272</v>
      </c>
      <c r="T127" s="21" t="s">
        <v>2384</v>
      </c>
      <c r="U127" s="21" t="s">
        <v>2272</v>
      </c>
      <c r="V127" s="21" t="s">
        <v>2272</v>
      </c>
      <c r="W127" s="21" t="s">
        <v>2272</v>
      </c>
      <c r="X127" s="21" t="s">
        <v>2272</v>
      </c>
      <c r="Y127" s="3" t="s">
        <v>74</v>
      </c>
      <c r="Z127" s="3" t="s">
        <v>34</v>
      </c>
      <c r="AA127" s="3" t="s">
        <v>63</v>
      </c>
      <c r="AB127" s="4" t="s">
        <v>103</v>
      </c>
      <c r="AC127" s="4" t="s">
        <v>1354</v>
      </c>
    </row>
    <row r="128" spans="1:29"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2272</v>
      </c>
      <c r="K128" s="21" t="s">
        <v>2272</v>
      </c>
      <c r="L128" s="98" t="s">
        <v>2272</v>
      </c>
      <c r="M128" s="21" t="s">
        <v>2272</v>
      </c>
      <c r="N128" s="21" t="s">
        <v>2272</v>
      </c>
      <c r="O128" s="21" t="s">
        <v>2272</v>
      </c>
      <c r="P128" s="21" t="s">
        <v>2272</v>
      </c>
      <c r="Q128" s="21" t="s">
        <v>2272</v>
      </c>
      <c r="R128" s="97" t="s">
        <v>2272</v>
      </c>
      <c r="S128" s="97" t="s">
        <v>2272</v>
      </c>
      <c r="T128" s="21" t="s">
        <v>2384</v>
      </c>
      <c r="U128" s="21" t="s">
        <v>2272</v>
      </c>
      <c r="V128" s="21" t="s">
        <v>2272</v>
      </c>
      <c r="W128" s="21" t="s">
        <v>2272</v>
      </c>
      <c r="X128" s="21" t="s">
        <v>2272</v>
      </c>
      <c r="Y128" s="3" t="s">
        <v>74</v>
      </c>
      <c r="Z128" s="3" t="s">
        <v>34</v>
      </c>
      <c r="AA128" s="3" t="s">
        <v>63</v>
      </c>
      <c r="AB128" s="4" t="s">
        <v>103</v>
      </c>
      <c r="AC128" s="4" t="s">
        <v>1355</v>
      </c>
    </row>
    <row r="129" spans="1:29"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2272</v>
      </c>
      <c r="K129" s="21" t="s">
        <v>2272</v>
      </c>
      <c r="L129" s="98" t="s">
        <v>2272</v>
      </c>
      <c r="M129" s="21" t="s">
        <v>2272</v>
      </c>
      <c r="N129" s="21" t="s">
        <v>2272</v>
      </c>
      <c r="O129" s="21" t="s">
        <v>2272</v>
      </c>
      <c r="P129" s="21" t="s">
        <v>2272</v>
      </c>
      <c r="Q129" s="21" t="s">
        <v>2272</v>
      </c>
      <c r="R129" s="97" t="s">
        <v>2272</v>
      </c>
      <c r="S129" s="97" t="s">
        <v>2272</v>
      </c>
      <c r="T129" s="21" t="s">
        <v>2384</v>
      </c>
      <c r="U129" s="21" t="s">
        <v>2272</v>
      </c>
      <c r="V129" s="21" t="s">
        <v>2272</v>
      </c>
      <c r="W129" s="21" t="s">
        <v>2272</v>
      </c>
      <c r="X129" s="21" t="s">
        <v>2272</v>
      </c>
      <c r="Y129" s="3" t="s">
        <v>74</v>
      </c>
      <c r="Z129" s="3" t="s">
        <v>34</v>
      </c>
      <c r="AA129" s="3" t="s">
        <v>63</v>
      </c>
      <c r="AB129" s="4" t="s">
        <v>103</v>
      </c>
      <c r="AC129" s="4" t="s">
        <v>1354</v>
      </c>
    </row>
    <row r="130" spans="1:29"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2272</v>
      </c>
      <c r="K130" s="21" t="s">
        <v>2272</v>
      </c>
      <c r="L130" s="98" t="s">
        <v>2272</v>
      </c>
      <c r="M130" s="21" t="s">
        <v>2272</v>
      </c>
      <c r="N130" s="21" t="s">
        <v>2272</v>
      </c>
      <c r="O130" s="21" t="s">
        <v>2272</v>
      </c>
      <c r="P130" s="21" t="s">
        <v>2272</v>
      </c>
      <c r="Q130" s="21" t="s">
        <v>2272</v>
      </c>
      <c r="R130" s="97" t="s">
        <v>2272</v>
      </c>
      <c r="S130" s="97" t="s">
        <v>2272</v>
      </c>
      <c r="T130" s="21" t="s">
        <v>2385</v>
      </c>
      <c r="U130" s="21" t="s">
        <v>2272</v>
      </c>
      <c r="V130" s="21" t="s">
        <v>2272</v>
      </c>
      <c r="W130" s="21" t="s">
        <v>2272</v>
      </c>
      <c r="X130" s="21" t="s">
        <v>2272</v>
      </c>
      <c r="Y130" s="3" t="s">
        <v>74</v>
      </c>
      <c r="Z130" s="3" t="s">
        <v>34</v>
      </c>
      <c r="AA130" s="3" t="s">
        <v>63</v>
      </c>
      <c r="AB130" s="4" t="s">
        <v>103</v>
      </c>
      <c r="AC130" s="4" t="s">
        <v>1355</v>
      </c>
    </row>
    <row r="131" spans="1:29"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2272</v>
      </c>
      <c r="K131" s="21" t="s">
        <v>2272</v>
      </c>
      <c r="L131" s="98" t="s">
        <v>2272</v>
      </c>
      <c r="M131" s="21" t="s">
        <v>2272</v>
      </c>
      <c r="N131" s="21" t="s">
        <v>2272</v>
      </c>
      <c r="O131" s="21" t="s">
        <v>2272</v>
      </c>
      <c r="P131" s="21" t="s">
        <v>2272</v>
      </c>
      <c r="Q131" s="21" t="s">
        <v>2272</v>
      </c>
      <c r="R131" s="97" t="s">
        <v>2272</v>
      </c>
      <c r="S131" s="97" t="s">
        <v>2272</v>
      </c>
      <c r="T131" s="21" t="s">
        <v>2385</v>
      </c>
      <c r="U131" s="21" t="s">
        <v>2272</v>
      </c>
      <c r="V131" s="21" t="s">
        <v>2272</v>
      </c>
      <c r="W131" s="21" t="s">
        <v>2272</v>
      </c>
      <c r="X131" s="21" t="s">
        <v>2272</v>
      </c>
      <c r="Y131" s="3" t="s">
        <v>74</v>
      </c>
      <c r="Z131" s="3" t="s">
        <v>34</v>
      </c>
      <c r="AA131" s="3" t="s">
        <v>63</v>
      </c>
      <c r="AB131" s="4" t="s">
        <v>103</v>
      </c>
      <c r="AC131" s="4" t="s">
        <v>1354</v>
      </c>
    </row>
    <row r="132" spans="1:29"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2272</v>
      </c>
      <c r="K132" s="21" t="s">
        <v>2272</v>
      </c>
      <c r="L132" s="98" t="s">
        <v>2272</v>
      </c>
      <c r="M132" s="21" t="s">
        <v>2272</v>
      </c>
      <c r="N132" s="21" t="s">
        <v>2272</v>
      </c>
      <c r="O132" s="21" t="s">
        <v>2272</v>
      </c>
      <c r="P132" s="21" t="s">
        <v>2272</v>
      </c>
      <c r="Q132" s="21" t="s">
        <v>2272</v>
      </c>
      <c r="R132" s="97" t="s">
        <v>2272</v>
      </c>
      <c r="S132" s="97" t="s">
        <v>2272</v>
      </c>
      <c r="T132" s="21" t="s">
        <v>2384</v>
      </c>
      <c r="U132" s="21" t="s">
        <v>2272</v>
      </c>
      <c r="V132" s="21" t="s">
        <v>2272</v>
      </c>
      <c r="W132" s="21" t="s">
        <v>2272</v>
      </c>
      <c r="X132" s="21" t="s">
        <v>2272</v>
      </c>
      <c r="Y132" s="3" t="s">
        <v>74</v>
      </c>
      <c r="Z132" s="3" t="s">
        <v>34</v>
      </c>
      <c r="AA132" s="3" t="s">
        <v>63</v>
      </c>
      <c r="AB132" s="4" t="s">
        <v>103</v>
      </c>
      <c r="AC132" s="4" t="s">
        <v>1355</v>
      </c>
    </row>
    <row r="133" spans="1:29"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2272</v>
      </c>
      <c r="K133" s="21" t="s">
        <v>2272</v>
      </c>
      <c r="L133" s="98" t="s">
        <v>2272</v>
      </c>
      <c r="M133" s="21" t="s">
        <v>2272</v>
      </c>
      <c r="N133" s="21" t="s">
        <v>2272</v>
      </c>
      <c r="O133" s="21" t="s">
        <v>2272</v>
      </c>
      <c r="P133" s="21" t="s">
        <v>2272</v>
      </c>
      <c r="Q133" s="21" t="s">
        <v>2272</v>
      </c>
      <c r="R133" s="97" t="s">
        <v>2272</v>
      </c>
      <c r="S133" s="97" t="s">
        <v>2272</v>
      </c>
      <c r="T133" s="21" t="s">
        <v>2384</v>
      </c>
      <c r="U133" s="21" t="s">
        <v>2272</v>
      </c>
      <c r="V133" s="21" t="s">
        <v>2272</v>
      </c>
      <c r="W133" s="21" t="s">
        <v>2272</v>
      </c>
      <c r="X133" s="21" t="s">
        <v>2272</v>
      </c>
      <c r="Y133" s="3" t="s">
        <v>74</v>
      </c>
      <c r="Z133" s="3" t="s">
        <v>34</v>
      </c>
      <c r="AA133" s="3" t="s">
        <v>63</v>
      </c>
      <c r="AB133" s="4" t="s">
        <v>103</v>
      </c>
      <c r="AC133" s="4" t="s">
        <v>1354</v>
      </c>
    </row>
    <row r="134" spans="1:29"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2272</v>
      </c>
      <c r="K134" s="21" t="s">
        <v>2272</v>
      </c>
      <c r="L134" s="98" t="s">
        <v>2272</v>
      </c>
      <c r="M134" s="21" t="s">
        <v>2272</v>
      </c>
      <c r="N134" s="21" t="s">
        <v>2272</v>
      </c>
      <c r="O134" s="21" t="s">
        <v>2272</v>
      </c>
      <c r="P134" s="21" t="s">
        <v>2272</v>
      </c>
      <c r="Q134" s="21" t="s">
        <v>2272</v>
      </c>
      <c r="R134" s="97" t="s">
        <v>2272</v>
      </c>
      <c r="S134" s="97" t="s">
        <v>2272</v>
      </c>
      <c r="T134" s="21" t="s">
        <v>2384</v>
      </c>
      <c r="U134" s="21" t="s">
        <v>2272</v>
      </c>
      <c r="V134" s="21" t="s">
        <v>2272</v>
      </c>
      <c r="W134" s="21" t="s">
        <v>2272</v>
      </c>
      <c r="X134" s="21" t="s">
        <v>2272</v>
      </c>
      <c r="Y134" s="3" t="s">
        <v>74</v>
      </c>
      <c r="Z134" s="3" t="s">
        <v>34</v>
      </c>
      <c r="AA134" s="3" t="s">
        <v>63</v>
      </c>
      <c r="AB134" s="4" t="s">
        <v>103</v>
      </c>
      <c r="AC134" s="4" t="s">
        <v>1355</v>
      </c>
    </row>
    <row r="135" spans="1:29"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2272</v>
      </c>
      <c r="K135" s="21" t="s">
        <v>2272</v>
      </c>
      <c r="L135" s="98" t="s">
        <v>2272</v>
      </c>
      <c r="M135" s="21" t="s">
        <v>2272</v>
      </c>
      <c r="N135" s="21" t="s">
        <v>2272</v>
      </c>
      <c r="O135" s="21" t="s">
        <v>2272</v>
      </c>
      <c r="P135" s="21" t="s">
        <v>2272</v>
      </c>
      <c r="Q135" s="21" t="s">
        <v>2272</v>
      </c>
      <c r="R135" s="97" t="s">
        <v>2272</v>
      </c>
      <c r="S135" s="97" t="s">
        <v>2272</v>
      </c>
      <c r="T135" s="21" t="s">
        <v>2384</v>
      </c>
      <c r="U135" s="21" t="s">
        <v>2272</v>
      </c>
      <c r="V135" s="21" t="s">
        <v>2272</v>
      </c>
      <c r="W135" s="21" t="s">
        <v>2272</v>
      </c>
      <c r="X135" s="21" t="s">
        <v>2272</v>
      </c>
      <c r="Y135" s="3" t="s">
        <v>74</v>
      </c>
      <c r="Z135" s="3" t="s">
        <v>34</v>
      </c>
      <c r="AA135" s="3" t="s">
        <v>63</v>
      </c>
      <c r="AB135" s="4" t="s">
        <v>103</v>
      </c>
      <c r="AC135" s="4" t="s">
        <v>1354</v>
      </c>
    </row>
    <row r="136" spans="1:29"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2272</v>
      </c>
      <c r="K136" s="21" t="s">
        <v>2272</v>
      </c>
      <c r="L136" s="98" t="s">
        <v>2272</v>
      </c>
      <c r="M136" s="21" t="s">
        <v>2272</v>
      </c>
      <c r="N136" s="21" t="s">
        <v>2272</v>
      </c>
      <c r="O136" s="21" t="s">
        <v>2272</v>
      </c>
      <c r="P136" s="21" t="s">
        <v>2272</v>
      </c>
      <c r="Q136" s="21" t="s">
        <v>2272</v>
      </c>
      <c r="R136" s="97" t="s">
        <v>2272</v>
      </c>
      <c r="S136" s="97" t="s">
        <v>2272</v>
      </c>
      <c r="T136" s="21" t="s">
        <v>2384</v>
      </c>
      <c r="U136" s="21" t="s">
        <v>2272</v>
      </c>
      <c r="V136" s="21" t="s">
        <v>2272</v>
      </c>
      <c r="W136" s="21" t="s">
        <v>2272</v>
      </c>
      <c r="X136" s="21" t="s">
        <v>2272</v>
      </c>
      <c r="Y136" s="3" t="s">
        <v>74</v>
      </c>
      <c r="Z136" s="3" t="s">
        <v>34</v>
      </c>
      <c r="AA136" s="3" t="s">
        <v>63</v>
      </c>
      <c r="AB136" s="4" t="s">
        <v>103</v>
      </c>
      <c r="AC136" s="4" t="s">
        <v>1355</v>
      </c>
    </row>
    <row r="137" spans="1:29"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2272</v>
      </c>
      <c r="K137" s="21" t="s">
        <v>2272</v>
      </c>
      <c r="L137" s="98" t="s">
        <v>2272</v>
      </c>
      <c r="M137" s="21" t="s">
        <v>2272</v>
      </c>
      <c r="N137" s="21" t="s">
        <v>2272</v>
      </c>
      <c r="O137" s="21" t="s">
        <v>2272</v>
      </c>
      <c r="P137" s="21" t="s">
        <v>2272</v>
      </c>
      <c r="Q137" s="21" t="s">
        <v>2272</v>
      </c>
      <c r="R137" s="97" t="s">
        <v>2272</v>
      </c>
      <c r="S137" s="97" t="s">
        <v>2272</v>
      </c>
      <c r="T137" s="21" t="s">
        <v>2384</v>
      </c>
      <c r="U137" s="21" t="s">
        <v>2272</v>
      </c>
      <c r="V137" s="21" t="s">
        <v>2272</v>
      </c>
      <c r="W137" s="21" t="s">
        <v>2272</v>
      </c>
      <c r="X137" s="21" t="s">
        <v>2272</v>
      </c>
      <c r="Y137" s="3" t="s">
        <v>74</v>
      </c>
      <c r="Z137" s="3" t="s">
        <v>34</v>
      </c>
      <c r="AA137" s="3" t="s">
        <v>63</v>
      </c>
      <c r="AB137" s="4" t="s">
        <v>103</v>
      </c>
      <c r="AC137" s="4" t="s">
        <v>1354</v>
      </c>
    </row>
    <row r="138" spans="1:29"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2272</v>
      </c>
      <c r="K138" s="21" t="s">
        <v>2272</v>
      </c>
      <c r="L138" s="98" t="s">
        <v>2272</v>
      </c>
      <c r="M138" s="21" t="s">
        <v>2272</v>
      </c>
      <c r="N138" s="21" t="s">
        <v>2272</v>
      </c>
      <c r="O138" s="21" t="s">
        <v>2272</v>
      </c>
      <c r="P138" s="21" t="s">
        <v>2272</v>
      </c>
      <c r="Q138" s="21" t="s">
        <v>2272</v>
      </c>
      <c r="R138" s="97" t="s">
        <v>2272</v>
      </c>
      <c r="S138" s="97" t="s">
        <v>2272</v>
      </c>
      <c r="T138" s="21" t="s">
        <v>2384</v>
      </c>
      <c r="U138" s="21" t="s">
        <v>2272</v>
      </c>
      <c r="V138" s="21" t="s">
        <v>2272</v>
      </c>
      <c r="W138" s="21" t="s">
        <v>2272</v>
      </c>
      <c r="X138" s="21" t="s">
        <v>2272</v>
      </c>
      <c r="Y138" s="3" t="s">
        <v>33</v>
      </c>
      <c r="Z138" s="3" t="s">
        <v>33</v>
      </c>
      <c r="AA138" s="3" t="s">
        <v>63</v>
      </c>
      <c r="AB138" s="4" t="s">
        <v>1371</v>
      </c>
      <c r="AC138" s="4" t="s">
        <v>1373</v>
      </c>
    </row>
    <row r="139" spans="1:29"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2272</v>
      </c>
      <c r="K139" s="21" t="s">
        <v>2272</v>
      </c>
      <c r="L139" s="98" t="s">
        <v>2272</v>
      </c>
      <c r="M139" s="21" t="s">
        <v>2272</v>
      </c>
      <c r="N139" s="21" t="s">
        <v>2272</v>
      </c>
      <c r="O139" s="21" t="s">
        <v>2272</v>
      </c>
      <c r="P139" s="21" t="s">
        <v>2272</v>
      </c>
      <c r="Q139" s="21" t="s">
        <v>2272</v>
      </c>
      <c r="R139" s="97" t="s">
        <v>2272</v>
      </c>
      <c r="S139" s="97" t="s">
        <v>2272</v>
      </c>
      <c r="T139" s="21" t="s">
        <v>2371</v>
      </c>
      <c r="U139" s="21" t="s">
        <v>2272</v>
      </c>
      <c r="V139" s="21" t="s">
        <v>2272</v>
      </c>
      <c r="W139" s="21" t="s">
        <v>2272</v>
      </c>
      <c r="X139" s="21" t="s">
        <v>2272</v>
      </c>
      <c r="Y139" s="3" t="s">
        <v>67</v>
      </c>
      <c r="Z139" s="3" t="s">
        <v>67</v>
      </c>
      <c r="AA139" s="3" t="s">
        <v>63</v>
      </c>
      <c r="AB139" s="4" t="s">
        <v>1372</v>
      </c>
      <c r="AC139" s="4" t="s">
        <v>1373</v>
      </c>
    </row>
    <row r="140" spans="1:29"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2272</v>
      </c>
      <c r="K140" s="21" t="s">
        <v>2272</v>
      </c>
      <c r="L140" s="98" t="s">
        <v>2272</v>
      </c>
      <c r="M140" s="21" t="s">
        <v>2272</v>
      </c>
      <c r="N140" s="21" t="s">
        <v>2272</v>
      </c>
      <c r="O140" s="21" t="s">
        <v>2272</v>
      </c>
      <c r="P140" s="21" t="s">
        <v>2272</v>
      </c>
      <c r="Q140" s="21" t="s">
        <v>2272</v>
      </c>
      <c r="R140" s="97" t="s">
        <v>2272</v>
      </c>
      <c r="S140" s="97" t="s">
        <v>2272</v>
      </c>
      <c r="T140" s="21" t="s">
        <v>2384</v>
      </c>
      <c r="U140" s="21" t="s">
        <v>2272</v>
      </c>
      <c r="V140" s="21" t="s">
        <v>2272</v>
      </c>
      <c r="W140" s="21" t="s">
        <v>2272</v>
      </c>
      <c r="X140" s="21" t="s">
        <v>2272</v>
      </c>
      <c r="Y140" s="3" t="s">
        <v>33</v>
      </c>
      <c r="Z140" s="3" t="s">
        <v>33</v>
      </c>
      <c r="AA140" s="3" t="s">
        <v>63</v>
      </c>
      <c r="AB140" s="4" t="s">
        <v>1371</v>
      </c>
      <c r="AC140" s="4" t="s">
        <v>1373</v>
      </c>
    </row>
    <row r="141" spans="1:29"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2272</v>
      </c>
      <c r="K141" s="21" t="s">
        <v>2272</v>
      </c>
      <c r="L141" s="98" t="s">
        <v>2272</v>
      </c>
      <c r="M141" s="21" t="s">
        <v>2272</v>
      </c>
      <c r="N141" s="21" t="s">
        <v>2272</v>
      </c>
      <c r="O141" s="21" t="s">
        <v>2272</v>
      </c>
      <c r="P141" s="21" t="s">
        <v>2272</v>
      </c>
      <c r="Q141" s="21" t="s">
        <v>2272</v>
      </c>
      <c r="R141" s="97" t="s">
        <v>2272</v>
      </c>
      <c r="S141" s="97" t="s">
        <v>2272</v>
      </c>
      <c r="T141" s="21" t="s">
        <v>2371</v>
      </c>
      <c r="U141" s="21" t="s">
        <v>2272</v>
      </c>
      <c r="V141" s="21" t="s">
        <v>2272</v>
      </c>
      <c r="W141" s="21" t="s">
        <v>2272</v>
      </c>
      <c r="X141" s="21" t="s">
        <v>2272</v>
      </c>
      <c r="Y141" s="3" t="s">
        <v>67</v>
      </c>
      <c r="Z141" s="3" t="s">
        <v>67</v>
      </c>
      <c r="AA141" s="3" t="s">
        <v>63</v>
      </c>
      <c r="AB141" s="4" t="s">
        <v>1372</v>
      </c>
      <c r="AC141" s="4" t="s">
        <v>1373</v>
      </c>
    </row>
    <row r="142" spans="1:29"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2272</v>
      </c>
      <c r="K142" s="21" t="s">
        <v>2272</v>
      </c>
      <c r="L142" s="98" t="s">
        <v>2272</v>
      </c>
      <c r="M142" s="21" t="s">
        <v>2272</v>
      </c>
      <c r="N142" s="21" t="s">
        <v>2272</v>
      </c>
      <c r="O142" s="21" t="s">
        <v>2272</v>
      </c>
      <c r="P142" s="21" t="s">
        <v>2272</v>
      </c>
      <c r="Q142" s="21" t="s">
        <v>2272</v>
      </c>
      <c r="R142" s="97" t="s">
        <v>2272</v>
      </c>
      <c r="S142" s="97" t="s">
        <v>2272</v>
      </c>
      <c r="T142" s="21" t="s">
        <v>2384</v>
      </c>
      <c r="U142" s="21" t="s">
        <v>2272</v>
      </c>
      <c r="V142" s="21" t="s">
        <v>2272</v>
      </c>
      <c r="W142" s="21" t="s">
        <v>2272</v>
      </c>
      <c r="X142" s="21" t="s">
        <v>2272</v>
      </c>
      <c r="Y142" s="3" t="s">
        <v>33</v>
      </c>
      <c r="Z142" s="3" t="s">
        <v>33</v>
      </c>
      <c r="AA142" s="3" t="s">
        <v>63</v>
      </c>
      <c r="AB142" s="4" t="s">
        <v>1371</v>
      </c>
      <c r="AC142" s="4" t="s">
        <v>1373</v>
      </c>
    </row>
    <row r="143" spans="1:29"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2272</v>
      </c>
      <c r="K143" s="21" t="s">
        <v>2272</v>
      </c>
      <c r="L143" s="98" t="s">
        <v>2272</v>
      </c>
      <c r="M143" s="21" t="s">
        <v>2272</v>
      </c>
      <c r="N143" s="21" t="s">
        <v>2272</v>
      </c>
      <c r="O143" s="21" t="s">
        <v>2272</v>
      </c>
      <c r="P143" s="21" t="s">
        <v>2272</v>
      </c>
      <c r="Q143" s="21" t="s">
        <v>2272</v>
      </c>
      <c r="R143" s="97" t="s">
        <v>2272</v>
      </c>
      <c r="S143" s="97" t="s">
        <v>2272</v>
      </c>
      <c r="T143" s="21" t="s">
        <v>2371</v>
      </c>
      <c r="U143" s="21" t="s">
        <v>2272</v>
      </c>
      <c r="V143" s="21" t="s">
        <v>2272</v>
      </c>
      <c r="W143" s="21" t="s">
        <v>2272</v>
      </c>
      <c r="X143" s="21" t="s">
        <v>2272</v>
      </c>
      <c r="Y143" s="3" t="s">
        <v>67</v>
      </c>
      <c r="Z143" s="3" t="s">
        <v>67</v>
      </c>
      <c r="AA143" s="3" t="s">
        <v>63</v>
      </c>
      <c r="AB143" s="4" t="s">
        <v>1372</v>
      </c>
      <c r="AC143" s="4" t="s">
        <v>1373</v>
      </c>
    </row>
    <row r="144" spans="1:29"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2272</v>
      </c>
      <c r="K144" s="21" t="s">
        <v>2272</v>
      </c>
      <c r="L144" s="98" t="s">
        <v>2272</v>
      </c>
      <c r="M144" s="21" t="s">
        <v>2272</v>
      </c>
      <c r="N144" s="21" t="s">
        <v>2272</v>
      </c>
      <c r="O144" s="21" t="s">
        <v>2272</v>
      </c>
      <c r="P144" s="21" t="s">
        <v>2272</v>
      </c>
      <c r="Q144" s="21" t="s">
        <v>2272</v>
      </c>
      <c r="R144" s="97" t="s">
        <v>2272</v>
      </c>
      <c r="S144" s="97" t="s">
        <v>2272</v>
      </c>
      <c r="T144" s="21" t="s">
        <v>2384</v>
      </c>
      <c r="U144" s="21" t="s">
        <v>2272</v>
      </c>
      <c r="V144" s="21" t="s">
        <v>2272</v>
      </c>
      <c r="W144" s="21" t="s">
        <v>2272</v>
      </c>
      <c r="X144" s="21" t="s">
        <v>2272</v>
      </c>
      <c r="Y144" s="3" t="s">
        <v>33</v>
      </c>
      <c r="Z144" s="3" t="s">
        <v>33</v>
      </c>
      <c r="AA144" s="3" t="s">
        <v>63</v>
      </c>
      <c r="AB144" s="4" t="s">
        <v>1371</v>
      </c>
      <c r="AC144" s="4" t="s">
        <v>1373</v>
      </c>
    </row>
    <row r="145" spans="1:29"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2272</v>
      </c>
      <c r="K145" s="21" t="s">
        <v>2272</v>
      </c>
      <c r="L145" s="98" t="s">
        <v>2272</v>
      </c>
      <c r="M145" s="21" t="s">
        <v>2272</v>
      </c>
      <c r="N145" s="21" t="s">
        <v>2272</v>
      </c>
      <c r="O145" s="21" t="s">
        <v>2272</v>
      </c>
      <c r="P145" s="21" t="s">
        <v>2272</v>
      </c>
      <c r="Q145" s="21" t="s">
        <v>2272</v>
      </c>
      <c r="R145" s="97" t="s">
        <v>2272</v>
      </c>
      <c r="S145" s="97" t="s">
        <v>2272</v>
      </c>
      <c r="T145" s="21" t="s">
        <v>2371</v>
      </c>
      <c r="U145" s="21" t="s">
        <v>2272</v>
      </c>
      <c r="V145" s="21" t="s">
        <v>2272</v>
      </c>
      <c r="W145" s="21" t="s">
        <v>2272</v>
      </c>
      <c r="X145" s="21" t="s">
        <v>2272</v>
      </c>
      <c r="Y145" s="3" t="s">
        <v>67</v>
      </c>
      <c r="Z145" s="3" t="s">
        <v>67</v>
      </c>
      <c r="AA145" s="3" t="s">
        <v>63</v>
      </c>
      <c r="AB145" s="4" t="s">
        <v>1372</v>
      </c>
      <c r="AC145" s="4" t="s">
        <v>1373</v>
      </c>
    </row>
    <row r="146" spans="1:29"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2272</v>
      </c>
      <c r="K146" s="21" t="s">
        <v>2272</v>
      </c>
      <c r="L146" s="98" t="s">
        <v>2272</v>
      </c>
      <c r="M146" s="21" t="s">
        <v>2272</v>
      </c>
      <c r="N146" s="21" t="s">
        <v>2272</v>
      </c>
      <c r="O146" s="21" t="s">
        <v>2272</v>
      </c>
      <c r="P146" s="21" t="s">
        <v>2272</v>
      </c>
      <c r="Q146" s="21" t="s">
        <v>2272</v>
      </c>
      <c r="R146" s="97" t="s">
        <v>2272</v>
      </c>
      <c r="S146" s="97" t="s">
        <v>2272</v>
      </c>
      <c r="T146" s="21" t="s">
        <v>2384</v>
      </c>
      <c r="U146" s="21" t="s">
        <v>2272</v>
      </c>
      <c r="V146" s="21" t="s">
        <v>2272</v>
      </c>
      <c r="W146" s="21" t="s">
        <v>2272</v>
      </c>
      <c r="X146" s="21" t="s">
        <v>2272</v>
      </c>
      <c r="Y146" s="3" t="s">
        <v>33</v>
      </c>
      <c r="Z146" s="3" t="s">
        <v>33</v>
      </c>
      <c r="AA146" s="3" t="s">
        <v>63</v>
      </c>
      <c r="AB146" s="4" t="s">
        <v>1371</v>
      </c>
      <c r="AC146" s="4" t="s">
        <v>1373</v>
      </c>
    </row>
    <row r="147" spans="1:29"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2272</v>
      </c>
      <c r="K147" s="21" t="s">
        <v>2272</v>
      </c>
      <c r="L147" s="98" t="s">
        <v>2272</v>
      </c>
      <c r="M147" s="21" t="s">
        <v>2272</v>
      </c>
      <c r="N147" s="21" t="s">
        <v>2272</v>
      </c>
      <c r="O147" s="21" t="s">
        <v>2272</v>
      </c>
      <c r="P147" s="21" t="s">
        <v>2272</v>
      </c>
      <c r="Q147" s="21" t="s">
        <v>2272</v>
      </c>
      <c r="R147" s="97" t="s">
        <v>2272</v>
      </c>
      <c r="S147" s="97" t="s">
        <v>2272</v>
      </c>
      <c r="T147" s="21" t="s">
        <v>2371</v>
      </c>
      <c r="U147" s="21" t="s">
        <v>2272</v>
      </c>
      <c r="V147" s="21" t="s">
        <v>2272</v>
      </c>
      <c r="W147" s="21" t="s">
        <v>2272</v>
      </c>
      <c r="X147" s="21" t="s">
        <v>2272</v>
      </c>
      <c r="Y147" s="3" t="s">
        <v>67</v>
      </c>
      <c r="Z147" s="3" t="s">
        <v>67</v>
      </c>
      <c r="AA147" s="3" t="s">
        <v>63</v>
      </c>
      <c r="AB147" s="4" t="s">
        <v>1372</v>
      </c>
      <c r="AC147" s="4" t="s">
        <v>1373</v>
      </c>
    </row>
    <row r="148" spans="1:29"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3" t="s">
        <v>2272</v>
      </c>
      <c r="K148" s="73" t="s">
        <v>2272</v>
      </c>
      <c r="L148" s="104" t="s">
        <v>2272</v>
      </c>
      <c r="M148" s="73" t="s">
        <v>2272</v>
      </c>
      <c r="N148" s="73" t="s">
        <v>2272</v>
      </c>
      <c r="O148" s="73" t="s">
        <v>2272</v>
      </c>
      <c r="P148" s="73" t="s">
        <v>2272</v>
      </c>
      <c r="Q148" s="73" t="s">
        <v>2272</v>
      </c>
      <c r="R148" s="97" t="s">
        <v>2272</v>
      </c>
      <c r="S148" s="97" t="s">
        <v>2272</v>
      </c>
      <c r="T148" s="21" t="s">
        <v>2272</v>
      </c>
      <c r="U148" s="73" t="s">
        <v>2272</v>
      </c>
      <c r="V148" s="73" t="s">
        <v>2272</v>
      </c>
      <c r="W148" s="73" t="s">
        <v>2272</v>
      </c>
      <c r="X148" s="73" t="s">
        <v>2272</v>
      </c>
      <c r="Y148" s="22" t="s">
        <v>67</v>
      </c>
      <c r="Z148" s="22" t="s">
        <v>67</v>
      </c>
      <c r="AA148" s="22" t="s">
        <v>75</v>
      </c>
      <c r="AB148" s="24" t="s">
        <v>129</v>
      </c>
      <c r="AC148" s="22"/>
    </row>
    <row r="149" spans="1:29"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3" t="s">
        <v>2272</v>
      </c>
      <c r="K149" s="73" t="s">
        <v>2272</v>
      </c>
      <c r="L149" s="104" t="s">
        <v>2272</v>
      </c>
      <c r="M149" s="73" t="s">
        <v>2272</v>
      </c>
      <c r="N149" s="73" t="s">
        <v>2272</v>
      </c>
      <c r="O149" s="73" t="s">
        <v>2272</v>
      </c>
      <c r="P149" s="73" t="s">
        <v>2272</v>
      </c>
      <c r="Q149" s="73" t="s">
        <v>2272</v>
      </c>
      <c r="R149" s="97" t="s">
        <v>2272</v>
      </c>
      <c r="S149" s="97" t="s">
        <v>2272</v>
      </c>
      <c r="T149" s="21" t="s">
        <v>2272</v>
      </c>
      <c r="U149" s="73" t="s">
        <v>2272</v>
      </c>
      <c r="V149" s="73" t="s">
        <v>2272</v>
      </c>
      <c r="W149" s="73" t="s">
        <v>2272</v>
      </c>
      <c r="X149" s="73" t="s">
        <v>2272</v>
      </c>
      <c r="Y149" s="22" t="s">
        <v>34</v>
      </c>
      <c r="Z149" s="22" t="s">
        <v>125</v>
      </c>
      <c r="AA149" s="22" t="s">
        <v>126</v>
      </c>
      <c r="AB149" s="24" t="s">
        <v>130</v>
      </c>
      <c r="AC149" s="22"/>
    </row>
    <row r="150" spans="1:29"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2359</v>
      </c>
      <c r="K150" s="21" t="s">
        <v>2359</v>
      </c>
      <c r="L150" s="21" t="s">
        <v>2359</v>
      </c>
      <c r="M150" s="21" t="s">
        <v>2359</v>
      </c>
      <c r="N150" s="21" t="s">
        <v>2359</v>
      </c>
      <c r="O150" s="21" t="s">
        <v>2359</v>
      </c>
      <c r="P150" s="21" t="s">
        <v>2359</v>
      </c>
      <c r="Q150" s="21" t="s">
        <v>2359</v>
      </c>
      <c r="R150" s="21" t="s">
        <v>2359</v>
      </c>
      <c r="S150" s="21" t="s">
        <v>2359</v>
      </c>
      <c r="T150" s="21" t="s">
        <v>2359</v>
      </c>
      <c r="U150" s="21" t="s">
        <v>2359</v>
      </c>
      <c r="V150" s="21" t="s">
        <v>2359</v>
      </c>
      <c r="W150" s="21" t="s">
        <v>2272</v>
      </c>
      <c r="X150" s="21" t="s">
        <v>2272</v>
      </c>
      <c r="Y150" s="3" t="s">
        <v>2272</v>
      </c>
      <c r="Z150" s="3" t="s">
        <v>2272</v>
      </c>
      <c r="AA150" s="3" t="s">
        <v>2272</v>
      </c>
      <c r="AB150" s="3" t="s">
        <v>137</v>
      </c>
      <c r="AC150" s="3"/>
    </row>
    <row r="151" spans="1:29"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98" t="s">
        <v>2272</v>
      </c>
      <c r="K151" s="21" t="s">
        <v>2362</v>
      </c>
      <c r="L151" s="98" t="s">
        <v>2272</v>
      </c>
      <c r="M151" s="21" t="s">
        <v>2272</v>
      </c>
      <c r="N151" s="21" t="s">
        <v>2272</v>
      </c>
      <c r="O151" s="21" t="s">
        <v>2272</v>
      </c>
      <c r="P151" s="21" t="s">
        <v>2272</v>
      </c>
      <c r="Q151" s="21" t="s">
        <v>2272</v>
      </c>
      <c r="R151" s="97" t="s">
        <v>2272</v>
      </c>
      <c r="S151" s="97" t="s">
        <v>2272</v>
      </c>
      <c r="T151" s="21" t="s">
        <v>2272</v>
      </c>
      <c r="U151" s="21" t="s">
        <v>2272</v>
      </c>
      <c r="V151" s="21" t="s">
        <v>2272</v>
      </c>
      <c r="W151" s="21" t="s">
        <v>2272</v>
      </c>
      <c r="X151" s="21" t="s">
        <v>2272</v>
      </c>
      <c r="Y151" s="3" t="s">
        <v>2272</v>
      </c>
      <c r="Z151" s="3" t="s">
        <v>2272</v>
      </c>
      <c r="AA151" s="3" t="s">
        <v>2272</v>
      </c>
      <c r="AB151" s="3"/>
      <c r="AC151" s="4" t="s">
        <v>1374</v>
      </c>
    </row>
    <row r="152" spans="1:29"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Pasture</v>
      </c>
      <c r="H152" s="6" t="str">
        <f>'Reported burning'!H152</f>
        <v>Presence</v>
      </c>
      <c r="I152" s="3"/>
      <c r="J152" s="98" t="s">
        <v>2272</v>
      </c>
      <c r="K152" s="21" t="s">
        <v>2366</v>
      </c>
      <c r="L152" s="98" t="s">
        <v>2272</v>
      </c>
      <c r="M152" s="98" t="s">
        <v>2272</v>
      </c>
      <c r="N152" s="98" t="s">
        <v>2272</v>
      </c>
      <c r="O152" s="98" t="s">
        <v>2272</v>
      </c>
      <c r="P152" s="98" t="s">
        <v>2272</v>
      </c>
      <c r="Q152" s="98" t="s">
        <v>2272</v>
      </c>
      <c r="R152" s="98" t="s">
        <v>2272</v>
      </c>
      <c r="S152" s="98" t="s">
        <v>2272</v>
      </c>
      <c r="T152" s="98" t="s">
        <v>2272</v>
      </c>
      <c r="U152" s="98" t="s">
        <v>2272</v>
      </c>
      <c r="V152" s="98" t="s">
        <v>2272</v>
      </c>
      <c r="W152" s="98" t="s">
        <v>2272</v>
      </c>
      <c r="X152" s="98" t="s">
        <v>2272</v>
      </c>
      <c r="Y152" s="98" t="s">
        <v>2272</v>
      </c>
      <c r="Z152" s="98" t="s">
        <v>2272</v>
      </c>
      <c r="AA152" s="98" t="s">
        <v>2272</v>
      </c>
      <c r="AB152" s="4" t="s">
        <v>1376</v>
      </c>
      <c r="AC152" s="4" t="s">
        <v>1375</v>
      </c>
    </row>
    <row r="153" spans="1:29"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Forest</v>
      </c>
      <c r="G153" s="6" t="str">
        <f>'Reported burning'!G153</f>
        <v>Forest</v>
      </c>
      <c r="H153" s="6" t="str">
        <f>'Reported burning'!H153</f>
        <v>Presence</v>
      </c>
      <c r="I153" s="3"/>
      <c r="J153" s="98" t="s">
        <v>2272</v>
      </c>
      <c r="K153" s="98" t="s">
        <v>2272</v>
      </c>
      <c r="L153" s="98" t="s">
        <v>2272</v>
      </c>
      <c r="M153" s="98" t="s">
        <v>2272</v>
      </c>
      <c r="N153" s="98" t="s">
        <v>2272</v>
      </c>
      <c r="O153" s="98" t="s">
        <v>2272</v>
      </c>
      <c r="P153" s="98" t="s">
        <v>2272</v>
      </c>
      <c r="Q153" s="98" t="s">
        <v>2272</v>
      </c>
      <c r="R153" s="98" t="s">
        <v>2272</v>
      </c>
      <c r="S153" s="98" t="s">
        <v>2272</v>
      </c>
      <c r="T153" s="98" t="s">
        <v>2272</v>
      </c>
      <c r="U153" s="98" t="s">
        <v>2272</v>
      </c>
      <c r="V153" s="98" t="s">
        <v>2272</v>
      </c>
      <c r="W153" s="98" t="s">
        <v>2272</v>
      </c>
      <c r="X153" s="98" t="s">
        <v>2272</v>
      </c>
      <c r="Y153" s="98" t="s">
        <v>2272</v>
      </c>
      <c r="Z153" s="98" t="s">
        <v>2272</v>
      </c>
      <c r="AA153" s="98" t="s">
        <v>2272</v>
      </c>
      <c r="AB153" s="4" t="s">
        <v>1376</v>
      </c>
      <c r="AC153" s="4" t="s">
        <v>1375</v>
      </c>
    </row>
    <row r="154" spans="1:29" ht="77.5" customHeight="1">
      <c r="A154" s="6" t="str">
        <f>'Reported burning'!A154</f>
        <v>9b</v>
      </c>
      <c r="B154" s="6" t="str">
        <f>'Reported burning'!B154</f>
        <v>9b.3</v>
      </c>
      <c r="C154" s="6" t="str">
        <f>'Reported burning'!C154</f>
        <v>Human, escaped</v>
      </c>
      <c r="D154" s="6" t="str">
        <f>'Reported burning'!D154</f>
        <v>Pasture renewal</v>
      </c>
      <c r="E154" s="6" t="str">
        <f>'Reported burning'!E154</f>
        <v>Cattle, Extensive</v>
      </c>
      <c r="F154" s="6" t="str">
        <f>'Reported burning'!F154</f>
        <v>Pasture</v>
      </c>
      <c r="G154" s="6" t="str">
        <f>'Reported burning'!G154</f>
        <v>Forest</v>
      </c>
      <c r="H154" s="6" t="str">
        <f>'Reported burning'!H154</f>
        <v>Presence</v>
      </c>
      <c r="I154" s="3"/>
      <c r="J154" s="98" t="s">
        <v>2272</v>
      </c>
      <c r="K154" s="98" t="s">
        <v>2272</v>
      </c>
      <c r="L154" s="98" t="s">
        <v>2272</v>
      </c>
      <c r="M154" s="98" t="s">
        <v>2272</v>
      </c>
      <c r="N154" s="98" t="s">
        <v>2272</v>
      </c>
      <c r="O154" s="98" t="s">
        <v>2272</v>
      </c>
      <c r="P154" s="98" t="s">
        <v>2272</v>
      </c>
      <c r="Q154" s="98" t="s">
        <v>2272</v>
      </c>
      <c r="R154" s="98" t="s">
        <v>2272</v>
      </c>
      <c r="S154" s="98" t="s">
        <v>2272</v>
      </c>
      <c r="T154" s="98" t="s">
        <v>2272</v>
      </c>
      <c r="U154" s="98" t="s">
        <v>2272</v>
      </c>
      <c r="V154" s="98" t="s">
        <v>2272</v>
      </c>
      <c r="W154" s="98" t="s">
        <v>2272</v>
      </c>
      <c r="X154" s="98" t="s">
        <v>2272</v>
      </c>
      <c r="Y154" s="98" t="s">
        <v>2272</v>
      </c>
      <c r="Z154" s="98" t="s">
        <v>2272</v>
      </c>
      <c r="AA154" s="98" t="s">
        <v>2272</v>
      </c>
      <c r="AB154" s="4" t="s">
        <v>1376</v>
      </c>
      <c r="AC154" s="4" t="s">
        <v>1375</v>
      </c>
    </row>
    <row r="155" spans="1:29"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Forest</v>
      </c>
      <c r="H155" s="6" t="str">
        <f>'Reported burning'!H155</f>
        <v>Presence</v>
      </c>
      <c r="I155" s="3"/>
      <c r="J155" s="21" t="s">
        <v>2272</v>
      </c>
      <c r="K155" s="21" t="s">
        <v>2272</v>
      </c>
      <c r="L155" s="98" t="s">
        <v>2272</v>
      </c>
      <c r="M155" s="21" t="s">
        <v>2272</v>
      </c>
      <c r="N155" s="21" t="s">
        <v>2272</v>
      </c>
      <c r="O155" s="21" t="s">
        <v>2272</v>
      </c>
      <c r="P155" s="21" t="s">
        <v>2272</v>
      </c>
      <c r="Q155" s="21" t="s">
        <v>2272</v>
      </c>
      <c r="R155" s="97" t="s">
        <v>2272</v>
      </c>
      <c r="S155" s="97" t="s">
        <v>2272</v>
      </c>
      <c r="T155" s="21" t="s">
        <v>2272</v>
      </c>
      <c r="U155" s="21" t="s">
        <v>2272</v>
      </c>
      <c r="V155" s="21" t="s">
        <v>2272</v>
      </c>
      <c r="W155" s="21" t="s">
        <v>2272</v>
      </c>
      <c r="X155" s="21" t="s">
        <v>2272</v>
      </c>
      <c r="Y155" s="3"/>
      <c r="Z155" s="3"/>
      <c r="AA155" s="3"/>
      <c r="AB155" s="4" t="s">
        <v>2299</v>
      </c>
      <c r="AC155" s="4"/>
    </row>
    <row r="156" spans="1:29"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Forest</v>
      </c>
      <c r="H156" s="6" t="str">
        <f>'Reported burning'!H156</f>
        <v>Presence</v>
      </c>
      <c r="I156" s="3"/>
      <c r="J156" s="21" t="s">
        <v>2272</v>
      </c>
      <c r="K156" s="21" t="s">
        <v>2272</v>
      </c>
      <c r="L156" s="98" t="s">
        <v>2272</v>
      </c>
      <c r="M156" s="21" t="s">
        <v>2272</v>
      </c>
      <c r="N156" s="21" t="s">
        <v>2272</v>
      </c>
      <c r="O156" s="21" t="s">
        <v>2272</v>
      </c>
      <c r="P156" s="21" t="s">
        <v>2272</v>
      </c>
      <c r="Q156" s="21" t="s">
        <v>2272</v>
      </c>
      <c r="R156" s="97" t="s">
        <v>2272</v>
      </c>
      <c r="S156" s="97" t="s">
        <v>2272</v>
      </c>
      <c r="T156" s="21" t="s">
        <v>2272</v>
      </c>
      <c r="U156" s="21" t="s">
        <v>2272</v>
      </c>
      <c r="V156" s="21" t="s">
        <v>2272</v>
      </c>
      <c r="W156" s="21" t="s">
        <v>2272</v>
      </c>
      <c r="X156" s="21" t="s">
        <v>2272</v>
      </c>
      <c r="Y156" s="3"/>
      <c r="Z156" s="3"/>
      <c r="AA156" s="3"/>
      <c r="AB156" s="4" t="s">
        <v>2298</v>
      </c>
      <c r="AC156" s="4"/>
    </row>
    <row r="157" spans="1:29"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2272</v>
      </c>
      <c r="K157" s="21" t="s">
        <v>2272</v>
      </c>
      <c r="L157" s="98" t="s">
        <v>2272</v>
      </c>
      <c r="M157" s="21" t="s">
        <v>2272</v>
      </c>
      <c r="N157" s="21" t="s">
        <v>2272</v>
      </c>
      <c r="O157" s="21" t="s">
        <v>2272</v>
      </c>
      <c r="P157" s="21" t="s">
        <v>2272</v>
      </c>
      <c r="Q157" s="21" t="s">
        <v>2272</v>
      </c>
      <c r="R157" s="97" t="s">
        <v>2272</v>
      </c>
      <c r="S157" s="97" t="s">
        <v>2272</v>
      </c>
      <c r="T157" s="21" t="s">
        <v>2272</v>
      </c>
      <c r="U157" s="21" t="s">
        <v>2272</v>
      </c>
      <c r="V157" s="21" t="s">
        <v>2272</v>
      </c>
      <c r="W157" s="21" t="s">
        <v>2272</v>
      </c>
      <c r="X157" s="21" t="s">
        <v>2272</v>
      </c>
      <c r="Y157" s="3" t="s">
        <v>2272</v>
      </c>
      <c r="Z157" s="3" t="s">
        <v>2272</v>
      </c>
      <c r="AA157" s="3" t="s">
        <v>2272</v>
      </c>
      <c r="AB157" s="4" t="s">
        <v>1383</v>
      </c>
      <c r="AC157" s="4" t="s">
        <v>1385</v>
      </c>
    </row>
    <row r="158" spans="1:29"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2272</v>
      </c>
      <c r="K158" s="21" t="s">
        <v>2272</v>
      </c>
      <c r="L158" s="98" t="s">
        <v>2272</v>
      </c>
      <c r="M158" s="21" t="s">
        <v>2272</v>
      </c>
      <c r="N158" s="21" t="s">
        <v>2272</v>
      </c>
      <c r="O158" s="21" t="s">
        <v>2272</v>
      </c>
      <c r="P158" s="21" t="s">
        <v>2272</v>
      </c>
      <c r="Q158" s="21" t="s">
        <v>2272</v>
      </c>
      <c r="R158" s="97" t="s">
        <v>2272</v>
      </c>
      <c r="S158" s="97" t="s">
        <v>2272</v>
      </c>
      <c r="T158" s="21" t="s">
        <v>2272</v>
      </c>
      <c r="U158" s="21" t="s">
        <v>2272</v>
      </c>
      <c r="V158" s="21" t="s">
        <v>2272</v>
      </c>
      <c r="W158" s="21" t="s">
        <v>2272</v>
      </c>
      <c r="X158" s="21" t="s">
        <v>2272</v>
      </c>
      <c r="Y158" s="3" t="s">
        <v>2272</v>
      </c>
      <c r="Z158" s="3" t="s">
        <v>2272</v>
      </c>
      <c r="AA158" s="3" t="s">
        <v>2272</v>
      </c>
      <c r="AB158" s="3"/>
      <c r="AC158" s="4" t="s">
        <v>154</v>
      </c>
    </row>
    <row r="159" spans="1:29"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2272</v>
      </c>
      <c r="K159" s="21" t="s">
        <v>2272</v>
      </c>
      <c r="L159" s="98" t="s">
        <v>2272</v>
      </c>
      <c r="M159" s="21" t="s">
        <v>2272</v>
      </c>
      <c r="N159" s="21" t="s">
        <v>2272</v>
      </c>
      <c r="O159" s="21" t="s">
        <v>2272</v>
      </c>
      <c r="P159" s="21" t="s">
        <v>2272</v>
      </c>
      <c r="Q159" s="21" t="s">
        <v>2272</v>
      </c>
      <c r="R159" s="97" t="s">
        <v>2272</v>
      </c>
      <c r="S159" s="97" t="s">
        <v>2272</v>
      </c>
      <c r="T159" s="21" t="s">
        <v>2272</v>
      </c>
      <c r="U159" s="21" t="s">
        <v>2272</v>
      </c>
      <c r="V159" s="21" t="s">
        <v>2272</v>
      </c>
      <c r="W159" s="21" t="s">
        <v>2272</v>
      </c>
      <c r="X159" s="21" t="s">
        <v>2272</v>
      </c>
      <c r="Y159" s="3" t="s">
        <v>2272</v>
      </c>
      <c r="Z159" s="3" t="s">
        <v>2272</v>
      </c>
      <c r="AA159" s="3" t="s">
        <v>2272</v>
      </c>
      <c r="AB159" s="3"/>
      <c r="AC159" s="4" t="s">
        <v>154</v>
      </c>
    </row>
    <row r="160" spans="1:29"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2272</v>
      </c>
      <c r="K160" s="21" t="s">
        <v>2272</v>
      </c>
      <c r="L160" s="98" t="s">
        <v>2272</v>
      </c>
      <c r="M160" s="21" t="s">
        <v>2272</v>
      </c>
      <c r="N160" s="21" t="s">
        <v>2272</v>
      </c>
      <c r="O160" s="21" t="s">
        <v>2272</v>
      </c>
      <c r="P160" s="21" t="s">
        <v>2272</v>
      </c>
      <c r="Q160" s="21" t="s">
        <v>2375</v>
      </c>
      <c r="R160" s="97" t="s">
        <v>2272</v>
      </c>
      <c r="S160" s="97" t="s">
        <v>2272</v>
      </c>
      <c r="T160" s="21" t="s">
        <v>2272</v>
      </c>
      <c r="U160" s="21" t="s">
        <v>2272</v>
      </c>
      <c r="V160" s="21" t="s">
        <v>2272</v>
      </c>
      <c r="W160" s="21" t="s">
        <v>2272</v>
      </c>
      <c r="X160" s="21" t="s">
        <v>2272</v>
      </c>
      <c r="Y160" s="3" t="s">
        <v>2272</v>
      </c>
      <c r="Z160" s="3" t="s">
        <v>2272</v>
      </c>
      <c r="AA160" s="3" t="s">
        <v>2272</v>
      </c>
      <c r="AB160" s="4" t="s">
        <v>1394</v>
      </c>
      <c r="AC160" s="4" t="s">
        <v>1439</v>
      </c>
    </row>
    <row r="161" spans="1:29"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2272</v>
      </c>
      <c r="K161" s="21" t="s">
        <v>2272</v>
      </c>
      <c r="L161" s="98" t="s">
        <v>2272</v>
      </c>
      <c r="M161" s="21" t="s">
        <v>2272</v>
      </c>
      <c r="N161" s="21" t="s">
        <v>2272</v>
      </c>
      <c r="O161" s="21" t="s">
        <v>2272</v>
      </c>
      <c r="P161" s="21" t="s">
        <v>2272</v>
      </c>
      <c r="Q161" s="21" t="s">
        <v>2375</v>
      </c>
      <c r="R161" s="97" t="s">
        <v>2272</v>
      </c>
      <c r="S161" s="97" t="s">
        <v>2272</v>
      </c>
      <c r="T161" s="21" t="s">
        <v>2272</v>
      </c>
      <c r="U161" s="21" t="s">
        <v>2272</v>
      </c>
      <c r="V161" s="21" t="s">
        <v>2272</v>
      </c>
      <c r="W161" s="21" t="s">
        <v>2272</v>
      </c>
      <c r="X161" s="21" t="s">
        <v>2272</v>
      </c>
      <c r="Y161" s="3" t="s">
        <v>2272</v>
      </c>
      <c r="Z161" s="3" t="s">
        <v>2272</v>
      </c>
      <c r="AA161" s="3" t="s">
        <v>2272</v>
      </c>
      <c r="AB161" s="4" t="s">
        <v>1394</v>
      </c>
      <c r="AC161" s="4" t="s">
        <v>1439</v>
      </c>
    </row>
    <row r="162" spans="1:29"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2272</v>
      </c>
      <c r="K162" s="21" t="s">
        <v>2272</v>
      </c>
      <c r="L162" s="98" t="s">
        <v>2272</v>
      </c>
      <c r="M162" s="21" t="s">
        <v>2272</v>
      </c>
      <c r="N162" s="21" t="s">
        <v>2272</v>
      </c>
      <c r="O162" s="21" t="s">
        <v>2272</v>
      </c>
      <c r="P162" s="21" t="s">
        <v>2272</v>
      </c>
      <c r="Q162" s="21" t="s">
        <v>2375</v>
      </c>
      <c r="R162" s="97" t="s">
        <v>2272</v>
      </c>
      <c r="S162" s="97" t="s">
        <v>2272</v>
      </c>
      <c r="T162" s="21" t="s">
        <v>2272</v>
      </c>
      <c r="U162" s="21" t="s">
        <v>2272</v>
      </c>
      <c r="V162" s="21" t="s">
        <v>2272</v>
      </c>
      <c r="W162" s="21" t="s">
        <v>2272</v>
      </c>
      <c r="X162" s="21" t="s">
        <v>2272</v>
      </c>
      <c r="Y162" s="3" t="s">
        <v>2272</v>
      </c>
      <c r="Z162" s="3" t="s">
        <v>2272</v>
      </c>
      <c r="AA162" s="3" t="s">
        <v>2272</v>
      </c>
      <c r="AB162" s="4" t="s">
        <v>1394</v>
      </c>
      <c r="AC162" s="4" t="s">
        <v>1439</v>
      </c>
    </row>
    <row r="163" spans="1:29"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2272</v>
      </c>
      <c r="K163" s="21" t="s">
        <v>2272</v>
      </c>
      <c r="L163" s="98" t="s">
        <v>2272</v>
      </c>
      <c r="M163" s="21" t="s">
        <v>2272</v>
      </c>
      <c r="N163" s="21" t="s">
        <v>2272</v>
      </c>
      <c r="O163" s="21" t="s">
        <v>2272</v>
      </c>
      <c r="P163" s="21" t="s">
        <v>2272</v>
      </c>
      <c r="Q163" s="21" t="s">
        <v>2375</v>
      </c>
      <c r="R163" s="97" t="s">
        <v>2272</v>
      </c>
      <c r="S163" s="97" t="s">
        <v>2272</v>
      </c>
      <c r="T163" s="21" t="s">
        <v>2272</v>
      </c>
      <c r="U163" s="21" t="s">
        <v>2272</v>
      </c>
      <c r="V163" s="21" t="s">
        <v>2272</v>
      </c>
      <c r="W163" s="21" t="s">
        <v>2272</v>
      </c>
      <c r="X163" s="21" t="s">
        <v>2272</v>
      </c>
      <c r="Y163" s="3" t="s">
        <v>2272</v>
      </c>
      <c r="Z163" s="3" t="s">
        <v>2272</v>
      </c>
      <c r="AA163" s="3" t="s">
        <v>2272</v>
      </c>
      <c r="AB163" s="4" t="s">
        <v>1394</v>
      </c>
      <c r="AC163" s="4" t="s">
        <v>1439</v>
      </c>
    </row>
    <row r="164" spans="1:29"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2272</v>
      </c>
      <c r="K164" s="21" t="s">
        <v>2272</v>
      </c>
      <c r="L164" s="98" t="s">
        <v>2272</v>
      </c>
      <c r="M164" s="21" t="s">
        <v>2272</v>
      </c>
      <c r="N164" s="21" t="s">
        <v>2272</v>
      </c>
      <c r="O164" s="21" t="s">
        <v>2272</v>
      </c>
      <c r="P164" s="21" t="s">
        <v>2272</v>
      </c>
      <c r="Q164" s="21" t="s">
        <v>2374</v>
      </c>
      <c r="R164" s="97" t="s">
        <v>2272</v>
      </c>
      <c r="S164" s="97" t="s">
        <v>2272</v>
      </c>
      <c r="T164" s="21" t="s">
        <v>2272</v>
      </c>
      <c r="U164" s="21" t="s">
        <v>2272</v>
      </c>
      <c r="V164" s="21" t="s">
        <v>2272</v>
      </c>
      <c r="W164" s="21" t="s">
        <v>2272</v>
      </c>
      <c r="X164" s="21" t="s">
        <v>2272</v>
      </c>
      <c r="Y164" s="3" t="s">
        <v>2272</v>
      </c>
      <c r="Z164" s="3" t="s">
        <v>2272</v>
      </c>
      <c r="AA164" s="3" t="s">
        <v>2272</v>
      </c>
      <c r="AB164" s="4" t="s">
        <v>1394</v>
      </c>
      <c r="AC164" s="4" t="s">
        <v>1439</v>
      </c>
    </row>
    <row r="165" spans="1:29"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2272</v>
      </c>
      <c r="K165" s="21" t="s">
        <v>2272</v>
      </c>
      <c r="L165" s="98" t="s">
        <v>2272</v>
      </c>
      <c r="M165" s="21" t="s">
        <v>2272</v>
      </c>
      <c r="N165" s="21" t="s">
        <v>2272</v>
      </c>
      <c r="O165" s="21" t="s">
        <v>2272</v>
      </c>
      <c r="P165" s="21" t="s">
        <v>2272</v>
      </c>
      <c r="Q165" s="21" t="s">
        <v>2374</v>
      </c>
      <c r="R165" s="97" t="s">
        <v>2272</v>
      </c>
      <c r="S165" s="97" t="s">
        <v>2272</v>
      </c>
      <c r="T165" s="21" t="s">
        <v>2272</v>
      </c>
      <c r="U165" s="21" t="s">
        <v>2272</v>
      </c>
      <c r="V165" s="21" t="s">
        <v>2272</v>
      </c>
      <c r="W165" s="21" t="s">
        <v>2272</v>
      </c>
      <c r="X165" s="21" t="s">
        <v>2272</v>
      </c>
      <c r="Y165" s="3" t="s">
        <v>2272</v>
      </c>
      <c r="Z165" s="3" t="s">
        <v>2272</v>
      </c>
      <c r="AA165" s="3" t="s">
        <v>2272</v>
      </c>
      <c r="AB165" s="4" t="s">
        <v>1394</v>
      </c>
      <c r="AC165" s="4" t="s">
        <v>1439</v>
      </c>
    </row>
    <row r="166" spans="1:29"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2272</v>
      </c>
      <c r="K166" s="21" t="s">
        <v>2272</v>
      </c>
      <c r="L166" s="98" t="s">
        <v>2272</v>
      </c>
      <c r="M166" s="21" t="s">
        <v>2272</v>
      </c>
      <c r="N166" s="21" t="s">
        <v>2272</v>
      </c>
      <c r="O166" s="21" t="s">
        <v>2272</v>
      </c>
      <c r="P166" s="21" t="s">
        <v>2272</v>
      </c>
      <c r="Q166" s="21" t="s">
        <v>2374</v>
      </c>
      <c r="R166" s="97" t="s">
        <v>2272</v>
      </c>
      <c r="S166" s="97" t="s">
        <v>2272</v>
      </c>
      <c r="T166" s="21" t="s">
        <v>2272</v>
      </c>
      <c r="U166" s="21" t="s">
        <v>2272</v>
      </c>
      <c r="V166" s="21" t="s">
        <v>2272</v>
      </c>
      <c r="W166" s="21" t="s">
        <v>2272</v>
      </c>
      <c r="X166" s="21" t="s">
        <v>2272</v>
      </c>
      <c r="Y166" s="3" t="s">
        <v>2272</v>
      </c>
      <c r="Z166" s="3" t="s">
        <v>2272</v>
      </c>
      <c r="AA166" s="3" t="s">
        <v>2272</v>
      </c>
      <c r="AB166" s="4" t="s">
        <v>1394</v>
      </c>
      <c r="AC166" s="4" t="s">
        <v>1439</v>
      </c>
    </row>
    <row r="167" spans="1:29"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2272</v>
      </c>
      <c r="K167" s="21" t="s">
        <v>2272</v>
      </c>
      <c r="L167" s="98" t="s">
        <v>2272</v>
      </c>
      <c r="M167" s="21" t="s">
        <v>2272</v>
      </c>
      <c r="N167" s="21" t="s">
        <v>2272</v>
      </c>
      <c r="O167" s="21" t="s">
        <v>2272</v>
      </c>
      <c r="P167" s="21" t="s">
        <v>2272</v>
      </c>
      <c r="Q167" s="21" t="s">
        <v>2373</v>
      </c>
      <c r="R167" s="97" t="s">
        <v>2272</v>
      </c>
      <c r="S167" s="97" t="s">
        <v>2272</v>
      </c>
      <c r="T167" s="21" t="s">
        <v>2272</v>
      </c>
      <c r="U167" s="21" t="s">
        <v>2272</v>
      </c>
      <c r="V167" s="21" t="s">
        <v>2272</v>
      </c>
      <c r="W167" s="21" t="s">
        <v>2272</v>
      </c>
      <c r="X167" s="21" t="s">
        <v>2272</v>
      </c>
      <c r="Y167" s="3" t="s">
        <v>2272</v>
      </c>
      <c r="Z167" s="3" t="s">
        <v>2272</v>
      </c>
      <c r="AA167" s="3" t="s">
        <v>2272</v>
      </c>
      <c r="AB167" s="4" t="s">
        <v>1394</v>
      </c>
      <c r="AC167" s="4" t="s">
        <v>1439</v>
      </c>
    </row>
    <row r="168" spans="1:29"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2272</v>
      </c>
      <c r="K168" s="21" t="s">
        <v>2272</v>
      </c>
      <c r="L168" s="98" t="s">
        <v>2272</v>
      </c>
      <c r="M168" s="21" t="s">
        <v>2272</v>
      </c>
      <c r="N168" s="21" t="s">
        <v>2272</v>
      </c>
      <c r="O168" s="21" t="s">
        <v>2272</v>
      </c>
      <c r="P168" s="21" t="s">
        <v>2272</v>
      </c>
      <c r="Q168" s="21" t="s">
        <v>2374</v>
      </c>
      <c r="R168" s="97" t="s">
        <v>2272</v>
      </c>
      <c r="S168" s="97" t="s">
        <v>2272</v>
      </c>
      <c r="T168" s="21" t="s">
        <v>2272</v>
      </c>
      <c r="U168" s="21" t="s">
        <v>2272</v>
      </c>
      <c r="V168" s="21" t="s">
        <v>2272</v>
      </c>
      <c r="W168" s="21" t="s">
        <v>2272</v>
      </c>
      <c r="X168" s="21" t="s">
        <v>2272</v>
      </c>
      <c r="Y168" s="3" t="s">
        <v>2272</v>
      </c>
      <c r="Z168" s="3" t="s">
        <v>2272</v>
      </c>
      <c r="AA168" s="3" t="s">
        <v>2272</v>
      </c>
      <c r="AB168" s="4" t="s">
        <v>1394</v>
      </c>
      <c r="AC168" s="4" t="s">
        <v>1439</v>
      </c>
    </row>
    <row r="169" spans="1:29"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2272</v>
      </c>
      <c r="K169" s="21" t="s">
        <v>2272</v>
      </c>
      <c r="L169" s="98" t="s">
        <v>2272</v>
      </c>
      <c r="M169" s="21" t="s">
        <v>2272</v>
      </c>
      <c r="N169" s="21" t="s">
        <v>2272</v>
      </c>
      <c r="O169" s="21" t="s">
        <v>2272</v>
      </c>
      <c r="P169" s="21" t="s">
        <v>2272</v>
      </c>
      <c r="Q169" s="21" t="s">
        <v>2374</v>
      </c>
      <c r="R169" s="97" t="s">
        <v>2272</v>
      </c>
      <c r="S169" s="97" t="s">
        <v>2272</v>
      </c>
      <c r="T169" s="21" t="s">
        <v>2272</v>
      </c>
      <c r="U169" s="21" t="s">
        <v>2272</v>
      </c>
      <c r="V169" s="21" t="s">
        <v>2272</v>
      </c>
      <c r="W169" s="21" t="s">
        <v>2272</v>
      </c>
      <c r="X169" s="21" t="s">
        <v>2272</v>
      </c>
      <c r="Y169" s="3" t="s">
        <v>2272</v>
      </c>
      <c r="Z169" s="3" t="s">
        <v>2272</v>
      </c>
      <c r="AA169" s="3" t="s">
        <v>2272</v>
      </c>
      <c r="AB169" s="4" t="s">
        <v>1394</v>
      </c>
      <c r="AC169" s="4" t="s">
        <v>1439</v>
      </c>
    </row>
    <row r="170" spans="1:29"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2272</v>
      </c>
      <c r="K170" s="21" t="s">
        <v>2272</v>
      </c>
      <c r="L170" s="98" t="s">
        <v>2272</v>
      </c>
      <c r="M170" s="21" t="s">
        <v>2272</v>
      </c>
      <c r="N170" s="21" t="s">
        <v>2272</v>
      </c>
      <c r="O170" s="21" t="s">
        <v>2272</v>
      </c>
      <c r="P170" s="21" t="s">
        <v>2272</v>
      </c>
      <c r="Q170" s="21" t="s">
        <v>2373</v>
      </c>
      <c r="R170" s="97" t="s">
        <v>2272</v>
      </c>
      <c r="S170" s="97" t="s">
        <v>2272</v>
      </c>
      <c r="T170" s="21" t="s">
        <v>2272</v>
      </c>
      <c r="U170" s="21" t="s">
        <v>2272</v>
      </c>
      <c r="V170" s="21" t="s">
        <v>2272</v>
      </c>
      <c r="W170" s="21" t="s">
        <v>2272</v>
      </c>
      <c r="X170" s="21" t="s">
        <v>2272</v>
      </c>
      <c r="Y170" s="3" t="s">
        <v>2272</v>
      </c>
      <c r="Z170" s="3" t="s">
        <v>2272</v>
      </c>
      <c r="AA170" s="3" t="s">
        <v>2272</v>
      </c>
      <c r="AB170" s="4" t="s">
        <v>1394</v>
      </c>
      <c r="AC170" s="4" t="s">
        <v>1439</v>
      </c>
    </row>
    <row r="171" spans="1:29"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2272</v>
      </c>
      <c r="K171" s="21" t="s">
        <v>2272</v>
      </c>
      <c r="L171" s="98" t="s">
        <v>2272</v>
      </c>
      <c r="M171" s="21" t="s">
        <v>2272</v>
      </c>
      <c r="N171" s="21" t="s">
        <v>2272</v>
      </c>
      <c r="O171" s="21" t="s">
        <v>2272</v>
      </c>
      <c r="P171" s="21" t="s">
        <v>2272</v>
      </c>
      <c r="Q171" s="21" t="s">
        <v>2373</v>
      </c>
      <c r="R171" s="97" t="s">
        <v>2272</v>
      </c>
      <c r="S171" s="97" t="s">
        <v>2272</v>
      </c>
      <c r="T171" s="21" t="s">
        <v>2272</v>
      </c>
      <c r="U171" s="21" t="s">
        <v>2272</v>
      </c>
      <c r="V171" s="21" t="s">
        <v>2272</v>
      </c>
      <c r="W171" s="21" t="s">
        <v>2272</v>
      </c>
      <c r="X171" s="21" t="s">
        <v>2272</v>
      </c>
      <c r="Y171" s="3" t="s">
        <v>2272</v>
      </c>
      <c r="Z171" s="3" t="s">
        <v>2272</v>
      </c>
      <c r="AA171" s="3" t="s">
        <v>2272</v>
      </c>
      <c r="AB171" s="4" t="s">
        <v>1394</v>
      </c>
      <c r="AC171" s="4" t="s">
        <v>1438</v>
      </c>
    </row>
    <row r="172" spans="1:29"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2272</v>
      </c>
      <c r="K172" s="21" t="s">
        <v>2272</v>
      </c>
      <c r="L172" s="98" t="s">
        <v>2272</v>
      </c>
      <c r="M172" s="21" t="s">
        <v>2272</v>
      </c>
      <c r="N172" s="21" t="s">
        <v>2272</v>
      </c>
      <c r="O172" s="21" t="s">
        <v>2272</v>
      </c>
      <c r="P172" s="21" t="s">
        <v>2272</v>
      </c>
      <c r="Q172" s="21" t="s">
        <v>2373</v>
      </c>
      <c r="R172" s="97" t="s">
        <v>2272</v>
      </c>
      <c r="S172" s="97" t="s">
        <v>2272</v>
      </c>
      <c r="T172" s="21" t="s">
        <v>2272</v>
      </c>
      <c r="U172" s="21" t="s">
        <v>2272</v>
      </c>
      <c r="V172" s="21" t="s">
        <v>2272</v>
      </c>
      <c r="W172" s="21" t="s">
        <v>2272</v>
      </c>
      <c r="X172" s="21" t="s">
        <v>2272</v>
      </c>
      <c r="Y172" s="3" t="s">
        <v>2272</v>
      </c>
      <c r="Z172" s="3" t="s">
        <v>2272</v>
      </c>
      <c r="AA172" s="3" t="s">
        <v>2272</v>
      </c>
      <c r="AB172" s="4" t="s">
        <v>1394</v>
      </c>
      <c r="AC172" s="4" t="s">
        <v>1438</v>
      </c>
    </row>
    <row r="173" spans="1:29"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2272</v>
      </c>
      <c r="K173" s="21" t="s">
        <v>2272</v>
      </c>
      <c r="L173" s="98" t="s">
        <v>2272</v>
      </c>
      <c r="M173" s="21" t="s">
        <v>2272</v>
      </c>
      <c r="N173" s="21" t="s">
        <v>2272</v>
      </c>
      <c r="O173" s="21" t="s">
        <v>2272</v>
      </c>
      <c r="P173" s="21" t="s">
        <v>2272</v>
      </c>
      <c r="Q173" s="21" t="s">
        <v>2373</v>
      </c>
      <c r="R173" s="97" t="s">
        <v>2272</v>
      </c>
      <c r="S173" s="97" t="s">
        <v>2272</v>
      </c>
      <c r="T173" s="21" t="s">
        <v>2272</v>
      </c>
      <c r="U173" s="21" t="s">
        <v>2272</v>
      </c>
      <c r="V173" s="21" t="s">
        <v>2272</v>
      </c>
      <c r="W173" s="21" t="s">
        <v>2272</v>
      </c>
      <c r="X173" s="21" t="s">
        <v>2272</v>
      </c>
      <c r="Y173" s="3" t="s">
        <v>2272</v>
      </c>
      <c r="Z173" s="3" t="s">
        <v>2272</v>
      </c>
      <c r="AA173" s="3" t="s">
        <v>2272</v>
      </c>
      <c r="AB173" s="4" t="s">
        <v>1394</v>
      </c>
      <c r="AC173" s="4" t="s">
        <v>1438</v>
      </c>
    </row>
    <row r="174" spans="1:29"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2272</v>
      </c>
      <c r="K174" s="21" t="s">
        <v>2272</v>
      </c>
      <c r="L174" s="98" t="s">
        <v>2272</v>
      </c>
      <c r="M174" s="21" t="s">
        <v>2272</v>
      </c>
      <c r="N174" s="21" t="s">
        <v>2272</v>
      </c>
      <c r="O174" s="21" t="s">
        <v>2272</v>
      </c>
      <c r="P174" s="21" t="s">
        <v>2272</v>
      </c>
      <c r="Q174" s="21" t="s">
        <v>2373</v>
      </c>
      <c r="R174" s="97" t="s">
        <v>2272</v>
      </c>
      <c r="S174" s="97" t="s">
        <v>2272</v>
      </c>
      <c r="T174" s="21" t="s">
        <v>2272</v>
      </c>
      <c r="U174" s="21" t="s">
        <v>2272</v>
      </c>
      <c r="V174" s="21" t="s">
        <v>2272</v>
      </c>
      <c r="W174" s="21" t="s">
        <v>2272</v>
      </c>
      <c r="X174" s="21" t="s">
        <v>2272</v>
      </c>
      <c r="Y174" s="3" t="s">
        <v>2272</v>
      </c>
      <c r="Z174" s="3" t="s">
        <v>2272</v>
      </c>
      <c r="AA174" s="3" t="s">
        <v>2272</v>
      </c>
      <c r="AB174" s="4" t="s">
        <v>1394</v>
      </c>
      <c r="AC174" s="4" t="s">
        <v>1438</v>
      </c>
    </row>
    <row r="175" spans="1:29"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2272</v>
      </c>
      <c r="K175" s="21" t="s">
        <v>2272</v>
      </c>
      <c r="L175" s="98" t="s">
        <v>2272</v>
      </c>
      <c r="M175" s="21" t="s">
        <v>2272</v>
      </c>
      <c r="N175" s="21" t="s">
        <v>2272</v>
      </c>
      <c r="O175" s="21" t="s">
        <v>2272</v>
      </c>
      <c r="P175" s="21" t="s">
        <v>2272</v>
      </c>
      <c r="Q175" s="21" t="s">
        <v>2373</v>
      </c>
      <c r="R175" s="97" t="s">
        <v>2272</v>
      </c>
      <c r="S175" s="97" t="s">
        <v>2272</v>
      </c>
      <c r="T175" s="21" t="s">
        <v>2272</v>
      </c>
      <c r="U175" s="21" t="s">
        <v>2272</v>
      </c>
      <c r="V175" s="21" t="s">
        <v>2272</v>
      </c>
      <c r="W175" s="21" t="s">
        <v>2272</v>
      </c>
      <c r="X175" s="21" t="s">
        <v>2272</v>
      </c>
      <c r="Y175" s="3" t="s">
        <v>2272</v>
      </c>
      <c r="Z175" s="3" t="s">
        <v>2272</v>
      </c>
      <c r="AA175" s="3" t="s">
        <v>2272</v>
      </c>
      <c r="AB175" s="4" t="s">
        <v>1394</v>
      </c>
      <c r="AC175" s="4" t="s">
        <v>1438</v>
      </c>
    </row>
    <row r="176" spans="1:29"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2272</v>
      </c>
      <c r="K176" s="21" t="s">
        <v>2272</v>
      </c>
      <c r="L176" s="98" t="s">
        <v>2272</v>
      </c>
      <c r="M176" s="21" t="s">
        <v>2272</v>
      </c>
      <c r="N176" s="21" t="s">
        <v>2272</v>
      </c>
      <c r="O176" s="21" t="s">
        <v>2272</v>
      </c>
      <c r="P176" s="21" t="s">
        <v>2272</v>
      </c>
      <c r="Q176" s="21" t="s">
        <v>2373</v>
      </c>
      <c r="R176" s="97" t="s">
        <v>2272</v>
      </c>
      <c r="S176" s="97" t="s">
        <v>2272</v>
      </c>
      <c r="T176" s="21" t="s">
        <v>2272</v>
      </c>
      <c r="U176" s="21" t="s">
        <v>2272</v>
      </c>
      <c r="V176" s="21" t="s">
        <v>2272</v>
      </c>
      <c r="W176" s="21" t="s">
        <v>2272</v>
      </c>
      <c r="X176" s="21" t="s">
        <v>2272</v>
      </c>
      <c r="Y176" s="3" t="s">
        <v>2272</v>
      </c>
      <c r="Z176" s="3" t="s">
        <v>2272</v>
      </c>
      <c r="AA176" s="3" t="s">
        <v>2272</v>
      </c>
      <c r="AB176" s="4" t="s">
        <v>1394</v>
      </c>
      <c r="AC176" s="4" t="s">
        <v>1438</v>
      </c>
    </row>
    <row r="177" spans="1:29"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2272</v>
      </c>
      <c r="K177" s="21" t="s">
        <v>2272</v>
      </c>
      <c r="L177" s="98" t="s">
        <v>2272</v>
      </c>
      <c r="M177" s="21" t="s">
        <v>2272</v>
      </c>
      <c r="N177" s="21" t="s">
        <v>2272</v>
      </c>
      <c r="O177" s="21" t="s">
        <v>2272</v>
      </c>
      <c r="P177" s="21" t="s">
        <v>2272</v>
      </c>
      <c r="Q177" s="21" t="s">
        <v>2373</v>
      </c>
      <c r="R177" s="97" t="s">
        <v>2272</v>
      </c>
      <c r="S177" s="97" t="s">
        <v>2272</v>
      </c>
      <c r="T177" s="21" t="s">
        <v>2272</v>
      </c>
      <c r="U177" s="21" t="s">
        <v>2272</v>
      </c>
      <c r="V177" s="21" t="s">
        <v>2272</v>
      </c>
      <c r="W177" s="21" t="s">
        <v>2272</v>
      </c>
      <c r="X177" s="21" t="s">
        <v>2272</v>
      </c>
      <c r="Y177" s="3" t="s">
        <v>2272</v>
      </c>
      <c r="Z177" s="3" t="s">
        <v>2272</v>
      </c>
      <c r="AA177" s="3" t="s">
        <v>2272</v>
      </c>
      <c r="AB177" s="4" t="s">
        <v>1394</v>
      </c>
      <c r="AC177" s="4" t="s">
        <v>1438</v>
      </c>
    </row>
    <row r="178" spans="1:29"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2272</v>
      </c>
      <c r="K178" s="21" t="s">
        <v>2272</v>
      </c>
      <c r="L178" s="98" t="s">
        <v>2272</v>
      </c>
      <c r="M178" s="21" t="s">
        <v>2272</v>
      </c>
      <c r="N178" s="21" t="s">
        <v>2272</v>
      </c>
      <c r="O178" s="21" t="s">
        <v>2272</v>
      </c>
      <c r="P178" s="21" t="s">
        <v>2272</v>
      </c>
      <c r="Q178" s="21" t="s">
        <v>2372</v>
      </c>
      <c r="R178" s="97" t="s">
        <v>2272</v>
      </c>
      <c r="S178" s="97" t="s">
        <v>2272</v>
      </c>
      <c r="T178" s="21" t="s">
        <v>2272</v>
      </c>
      <c r="U178" s="21" t="s">
        <v>2272</v>
      </c>
      <c r="V178" s="21" t="s">
        <v>2272</v>
      </c>
      <c r="W178" s="21" t="s">
        <v>2272</v>
      </c>
      <c r="X178" s="21" t="s">
        <v>2272</v>
      </c>
      <c r="Y178" s="3" t="s">
        <v>2272</v>
      </c>
      <c r="Z178" s="3" t="s">
        <v>2272</v>
      </c>
      <c r="AA178" s="3" t="s">
        <v>2272</v>
      </c>
      <c r="AB178" s="4" t="s">
        <v>1394</v>
      </c>
      <c r="AC178" s="4" t="s">
        <v>1438</v>
      </c>
    </row>
    <row r="179" spans="1:29"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2272</v>
      </c>
      <c r="K179" s="21" t="s">
        <v>2272</v>
      </c>
      <c r="L179" s="98" t="s">
        <v>2272</v>
      </c>
      <c r="M179" s="21" t="s">
        <v>2272</v>
      </c>
      <c r="N179" s="21" t="s">
        <v>2272</v>
      </c>
      <c r="O179" s="21" t="s">
        <v>2272</v>
      </c>
      <c r="P179" s="21" t="s">
        <v>2272</v>
      </c>
      <c r="Q179" s="21" t="s">
        <v>2373</v>
      </c>
      <c r="R179" s="97" t="s">
        <v>2272</v>
      </c>
      <c r="S179" s="97" t="s">
        <v>2272</v>
      </c>
      <c r="T179" s="21" t="s">
        <v>2272</v>
      </c>
      <c r="U179" s="21" t="s">
        <v>2272</v>
      </c>
      <c r="V179" s="21" t="s">
        <v>2272</v>
      </c>
      <c r="W179" s="21" t="s">
        <v>2272</v>
      </c>
      <c r="X179" s="21" t="s">
        <v>2272</v>
      </c>
      <c r="Y179" s="3" t="s">
        <v>2272</v>
      </c>
      <c r="Z179" s="3" t="s">
        <v>2272</v>
      </c>
      <c r="AA179" s="3" t="s">
        <v>2272</v>
      </c>
      <c r="AB179" s="4" t="s">
        <v>1394</v>
      </c>
      <c r="AC179" s="4" t="s">
        <v>1438</v>
      </c>
    </row>
    <row r="180" spans="1:29"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2272</v>
      </c>
      <c r="K180" s="21" t="s">
        <v>2272</v>
      </c>
      <c r="L180" s="98" t="s">
        <v>2272</v>
      </c>
      <c r="M180" s="21" t="s">
        <v>2272</v>
      </c>
      <c r="N180" s="21" t="s">
        <v>2272</v>
      </c>
      <c r="O180" s="21" t="s">
        <v>2272</v>
      </c>
      <c r="P180" s="21" t="s">
        <v>2272</v>
      </c>
      <c r="Q180" s="21" t="s">
        <v>2373</v>
      </c>
      <c r="R180" s="97" t="s">
        <v>2272</v>
      </c>
      <c r="S180" s="97" t="s">
        <v>2272</v>
      </c>
      <c r="T180" s="21" t="s">
        <v>2272</v>
      </c>
      <c r="U180" s="21" t="s">
        <v>2272</v>
      </c>
      <c r="V180" s="21" t="s">
        <v>2272</v>
      </c>
      <c r="W180" s="21" t="s">
        <v>2272</v>
      </c>
      <c r="X180" s="21" t="s">
        <v>2272</v>
      </c>
      <c r="Y180" s="3" t="s">
        <v>2272</v>
      </c>
      <c r="Z180" s="3" t="s">
        <v>2272</v>
      </c>
      <c r="AA180" s="3" t="s">
        <v>2272</v>
      </c>
      <c r="AB180" s="4" t="s">
        <v>1394</v>
      </c>
      <c r="AC180" s="4" t="s">
        <v>1438</v>
      </c>
    </row>
    <row r="181" spans="1:29"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2272</v>
      </c>
      <c r="K181" s="21" t="s">
        <v>2272</v>
      </c>
      <c r="L181" s="98" t="s">
        <v>2272</v>
      </c>
      <c r="M181" s="21" t="s">
        <v>2272</v>
      </c>
      <c r="N181" s="21" t="s">
        <v>2272</v>
      </c>
      <c r="O181" s="21" t="s">
        <v>2272</v>
      </c>
      <c r="P181" s="21" t="s">
        <v>2272</v>
      </c>
      <c r="Q181" s="21" t="s">
        <v>2373</v>
      </c>
      <c r="R181" s="97" t="s">
        <v>2272</v>
      </c>
      <c r="S181" s="97" t="s">
        <v>2272</v>
      </c>
      <c r="T181" s="21" t="s">
        <v>2272</v>
      </c>
      <c r="U181" s="21" t="s">
        <v>2272</v>
      </c>
      <c r="V181" s="21" t="s">
        <v>2272</v>
      </c>
      <c r="W181" s="21" t="s">
        <v>2272</v>
      </c>
      <c r="X181" s="21" t="s">
        <v>2272</v>
      </c>
      <c r="Y181" s="3" t="s">
        <v>2272</v>
      </c>
      <c r="Z181" s="3" t="s">
        <v>2272</v>
      </c>
      <c r="AA181" s="3" t="s">
        <v>2272</v>
      </c>
      <c r="AB181" s="4" t="s">
        <v>1394</v>
      </c>
      <c r="AC181" s="4" t="s">
        <v>1438</v>
      </c>
    </row>
    <row r="182" spans="1:29"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2272</v>
      </c>
      <c r="K182" s="21" t="s">
        <v>2272</v>
      </c>
      <c r="L182" s="98" t="s">
        <v>2272</v>
      </c>
      <c r="M182" s="21" t="s">
        <v>2272</v>
      </c>
      <c r="N182" s="21" t="s">
        <v>2272</v>
      </c>
      <c r="O182" s="21" t="s">
        <v>2272</v>
      </c>
      <c r="P182" s="21" t="s">
        <v>2272</v>
      </c>
      <c r="Q182" s="21" t="s">
        <v>2373</v>
      </c>
      <c r="R182" s="97" t="s">
        <v>2272</v>
      </c>
      <c r="S182" s="97" t="s">
        <v>2272</v>
      </c>
      <c r="T182" s="21" t="s">
        <v>2272</v>
      </c>
      <c r="U182" s="21" t="s">
        <v>2272</v>
      </c>
      <c r="V182" s="21" t="s">
        <v>2272</v>
      </c>
      <c r="W182" s="21" t="s">
        <v>2272</v>
      </c>
      <c r="X182" s="21" t="s">
        <v>2272</v>
      </c>
      <c r="Y182" s="3" t="s">
        <v>2272</v>
      </c>
      <c r="Z182" s="3" t="s">
        <v>2272</v>
      </c>
      <c r="AA182" s="3" t="s">
        <v>2272</v>
      </c>
      <c r="AB182" s="4" t="s">
        <v>1394</v>
      </c>
      <c r="AC182" s="4" t="s">
        <v>1438</v>
      </c>
    </row>
    <row r="183" spans="1:29"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2272</v>
      </c>
      <c r="K183" s="21" t="s">
        <v>2272</v>
      </c>
      <c r="L183" s="98" t="s">
        <v>2272</v>
      </c>
      <c r="M183" s="21" t="s">
        <v>2272</v>
      </c>
      <c r="N183" s="21" t="s">
        <v>2272</v>
      </c>
      <c r="O183" s="21" t="s">
        <v>2272</v>
      </c>
      <c r="P183" s="21" t="s">
        <v>2272</v>
      </c>
      <c r="Q183" s="21" t="s">
        <v>2373</v>
      </c>
      <c r="R183" s="97" t="s">
        <v>2272</v>
      </c>
      <c r="S183" s="97" t="s">
        <v>2272</v>
      </c>
      <c r="T183" s="21" t="s">
        <v>2272</v>
      </c>
      <c r="U183" s="21" t="s">
        <v>2272</v>
      </c>
      <c r="V183" s="21" t="s">
        <v>2272</v>
      </c>
      <c r="W183" s="21" t="s">
        <v>2272</v>
      </c>
      <c r="X183" s="21" t="s">
        <v>2272</v>
      </c>
      <c r="Y183" s="3" t="s">
        <v>2272</v>
      </c>
      <c r="Z183" s="3" t="s">
        <v>2272</v>
      </c>
      <c r="AA183" s="3" t="s">
        <v>2272</v>
      </c>
      <c r="AB183" s="4" t="s">
        <v>1394</v>
      </c>
      <c r="AC183" s="4" t="s">
        <v>1438</v>
      </c>
    </row>
    <row r="184" spans="1:29"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2272</v>
      </c>
      <c r="K184" s="21" t="s">
        <v>2272</v>
      </c>
      <c r="L184" s="98" t="s">
        <v>2272</v>
      </c>
      <c r="M184" s="21" t="s">
        <v>2272</v>
      </c>
      <c r="N184" s="21" t="s">
        <v>2272</v>
      </c>
      <c r="O184" s="21" t="s">
        <v>2272</v>
      </c>
      <c r="P184" s="21" t="s">
        <v>2272</v>
      </c>
      <c r="Q184" s="21" t="s">
        <v>2373</v>
      </c>
      <c r="R184" s="97" t="s">
        <v>2272</v>
      </c>
      <c r="S184" s="97" t="s">
        <v>2272</v>
      </c>
      <c r="T184" s="21" t="s">
        <v>2272</v>
      </c>
      <c r="U184" s="21" t="s">
        <v>2272</v>
      </c>
      <c r="V184" s="21" t="s">
        <v>2272</v>
      </c>
      <c r="W184" s="21" t="s">
        <v>2272</v>
      </c>
      <c r="X184" s="21" t="s">
        <v>2272</v>
      </c>
      <c r="Y184" s="3" t="s">
        <v>2272</v>
      </c>
      <c r="Z184" s="3" t="s">
        <v>2272</v>
      </c>
      <c r="AA184" s="3" t="s">
        <v>2272</v>
      </c>
      <c r="AB184" s="4" t="s">
        <v>1394</v>
      </c>
      <c r="AC184" s="4" t="s">
        <v>1438</v>
      </c>
    </row>
    <row r="185" spans="1:29"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2272</v>
      </c>
      <c r="K185" s="21" t="s">
        <v>2272</v>
      </c>
      <c r="L185" s="98" t="s">
        <v>2272</v>
      </c>
      <c r="M185" s="21" t="s">
        <v>2272</v>
      </c>
      <c r="N185" s="21" t="s">
        <v>2272</v>
      </c>
      <c r="O185" s="21" t="s">
        <v>2272</v>
      </c>
      <c r="P185" s="21" t="s">
        <v>2272</v>
      </c>
      <c r="Q185" s="21" t="s">
        <v>2373</v>
      </c>
      <c r="R185" s="97" t="s">
        <v>2272</v>
      </c>
      <c r="S185" s="97" t="s">
        <v>2272</v>
      </c>
      <c r="T185" s="21" t="s">
        <v>2272</v>
      </c>
      <c r="U185" s="21" t="s">
        <v>2272</v>
      </c>
      <c r="V185" s="21" t="s">
        <v>2272</v>
      </c>
      <c r="W185" s="21" t="s">
        <v>2272</v>
      </c>
      <c r="X185" s="21" t="s">
        <v>2272</v>
      </c>
      <c r="Y185" s="3" t="s">
        <v>2272</v>
      </c>
      <c r="Z185" s="3" t="s">
        <v>2272</v>
      </c>
      <c r="AA185" s="3" t="s">
        <v>2272</v>
      </c>
      <c r="AB185" s="4" t="s">
        <v>1394</v>
      </c>
      <c r="AC185" s="4" t="s">
        <v>1438</v>
      </c>
    </row>
    <row r="186" spans="1:29"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2272</v>
      </c>
      <c r="K186" s="21" t="s">
        <v>2272</v>
      </c>
      <c r="L186" s="98" t="s">
        <v>2272</v>
      </c>
      <c r="M186" s="21" t="s">
        <v>2272</v>
      </c>
      <c r="N186" s="21" t="s">
        <v>2272</v>
      </c>
      <c r="O186" s="21" t="s">
        <v>2272</v>
      </c>
      <c r="P186" s="21" t="s">
        <v>2272</v>
      </c>
      <c r="Q186" s="21" t="s">
        <v>2373</v>
      </c>
      <c r="R186" s="97" t="s">
        <v>2272</v>
      </c>
      <c r="S186" s="97" t="s">
        <v>2272</v>
      </c>
      <c r="T186" s="21" t="s">
        <v>2272</v>
      </c>
      <c r="U186" s="21" t="s">
        <v>2272</v>
      </c>
      <c r="V186" s="21" t="s">
        <v>2272</v>
      </c>
      <c r="W186" s="21" t="s">
        <v>2272</v>
      </c>
      <c r="X186" s="21" t="s">
        <v>2272</v>
      </c>
      <c r="Y186" s="3" t="s">
        <v>2272</v>
      </c>
      <c r="Z186" s="3" t="s">
        <v>2272</v>
      </c>
      <c r="AA186" s="3" t="s">
        <v>2272</v>
      </c>
      <c r="AB186" s="4" t="s">
        <v>1394</v>
      </c>
      <c r="AC186" s="4" t="s">
        <v>1438</v>
      </c>
    </row>
    <row r="187" spans="1:29"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2272</v>
      </c>
      <c r="K187" s="21" t="s">
        <v>2272</v>
      </c>
      <c r="L187" s="98" t="s">
        <v>2272</v>
      </c>
      <c r="M187" s="21" t="s">
        <v>2272</v>
      </c>
      <c r="N187" s="21" t="s">
        <v>2272</v>
      </c>
      <c r="O187" s="21" t="s">
        <v>2272</v>
      </c>
      <c r="P187" s="21" t="s">
        <v>2272</v>
      </c>
      <c r="Q187" s="21" t="s">
        <v>2373</v>
      </c>
      <c r="R187" s="97" t="s">
        <v>2272</v>
      </c>
      <c r="S187" s="97" t="s">
        <v>2272</v>
      </c>
      <c r="T187" s="21" t="s">
        <v>2272</v>
      </c>
      <c r="U187" s="21" t="s">
        <v>2272</v>
      </c>
      <c r="V187" s="21" t="s">
        <v>2272</v>
      </c>
      <c r="W187" s="21" t="s">
        <v>2272</v>
      </c>
      <c r="X187" s="21" t="s">
        <v>2272</v>
      </c>
      <c r="Y187" s="3" t="s">
        <v>2272</v>
      </c>
      <c r="Z187" s="3" t="s">
        <v>2272</v>
      </c>
      <c r="AA187" s="3" t="s">
        <v>2272</v>
      </c>
      <c r="AB187" s="4" t="s">
        <v>1394</v>
      </c>
      <c r="AC187" s="4" t="s">
        <v>1438</v>
      </c>
    </row>
    <row r="188" spans="1:29"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2272</v>
      </c>
      <c r="K188" s="21" t="s">
        <v>2272</v>
      </c>
      <c r="L188" s="98" t="s">
        <v>2272</v>
      </c>
      <c r="M188" s="21" t="s">
        <v>2272</v>
      </c>
      <c r="N188" s="21" t="s">
        <v>2272</v>
      </c>
      <c r="O188" s="21" t="s">
        <v>2272</v>
      </c>
      <c r="P188" s="21" t="s">
        <v>2272</v>
      </c>
      <c r="Q188" s="21" t="s">
        <v>2373</v>
      </c>
      <c r="R188" s="97" t="s">
        <v>2272</v>
      </c>
      <c r="S188" s="97" t="s">
        <v>2272</v>
      </c>
      <c r="T188" s="21" t="s">
        <v>2272</v>
      </c>
      <c r="U188" s="21" t="s">
        <v>2272</v>
      </c>
      <c r="V188" s="21" t="s">
        <v>2272</v>
      </c>
      <c r="W188" s="21" t="s">
        <v>2272</v>
      </c>
      <c r="X188" s="21" t="s">
        <v>2272</v>
      </c>
      <c r="Y188" s="3" t="s">
        <v>2272</v>
      </c>
      <c r="Z188" s="3" t="s">
        <v>2272</v>
      </c>
      <c r="AA188" s="3" t="s">
        <v>2272</v>
      </c>
      <c r="AB188" s="4" t="s">
        <v>1394</v>
      </c>
      <c r="AC188" s="4" t="s">
        <v>1438</v>
      </c>
    </row>
    <row r="189" spans="1:29"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2272</v>
      </c>
      <c r="K189" s="21" t="s">
        <v>2272</v>
      </c>
      <c r="L189" s="98" t="s">
        <v>2272</v>
      </c>
      <c r="M189" s="21" t="s">
        <v>2272</v>
      </c>
      <c r="N189" s="21" t="s">
        <v>2272</v>
      </c>
      <c r="O189" s="21" t="s">
        <v>2272</v>
      </c>
      <c r="P189" s="21" t="s">
        <v>2272</v>
      </c>
      <c r="Q189" s="21" t="s">
        <v>2372</v>
      </c>
      <c r="R189" s="97" t="s">
        <v>2272</v>
      </c>
      <c r="S189" s="97" t="s">
        <v>2272</v>
      </c>
      <c r="T189" s="21" t="s">
        <v>2272</v>
      </c>
      <c r="U189" s="21" t="s">
        <v>2272</v>
      </c>
      <c r="V189" s="21" t="s">
        <v>2272</v>
      </c>
      <c r="W189" s="21" t="s">
        <v>2272</v>
      </c>
      <c r="X189" s="21" t="s">
        <v>2272</v>
      </c>
      <c r="Y189" s="3" t="s">
        <v>2272</v>
      </c>
      <c r="Z189" s="3" t="s">
        <v>2272</v>
      </c>
      <c r="AA189" s="3" t="s">
        <v>2272</v>
      </c>
      <c r="AB189" s="4" t="s">
        <v>1394</v>
      </c>
      <c r="AC189" s="4" t="s">
        <v>1438</v>
      </c>
    </row>
    <row r="190" spans="1:29"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2272</v>
      </c>
      <c r="K190" s="21" t="s">
        <v>2272</v>
      </c>
      <c r="L190" s="98" t="s">
        <v>2272</v>
      </c>
      <c r="M190" s="21" t="s">
        <v>2272</v>
      </c>
      <c r="N190" s="21" t="s">
        <v>2272</v>
      </c>
      <c r="O190" s="21" t="s">
        <v>2272</v>
      </c>
      <c r="P190" s="21" t="s">
        <v>2272</v>
      </c>
      <c r="Q190" s="21" t="s">
        <v>2373</v>
      </c>
      <c r="R190" s="97" t="s">
        <v>2272</v>
      </c>
      <c r="S190" s="97" t="s">
        <v>2272</v>
      </c>
      <c r="T190" s="21" t="s">
        <v>2272</v>
      </c>
      <c r="U190" s="21" t="s">
        <v>2272</v>
      </c>
      <c r="V190" s="21" t="s">
        <v>2272</v>
      </c>
      <c r="W190" s="21" t="s">
        <v>2272</v>
      </c>
      <c r="X190" s="21" t="s">
        <v>2272</v>
      </c>
      <c r="Y190" s="3" t="s">
        <v>2272</v>
      </c>
      <c r="Z190" s="3" t="s">
        <v>2272</v>
      </c>
      <c r="AA190" s="3" t="s">
        <v>2272</v>
      </c>
      <c r="AB190" s="4" t="s">
        <v>1394</v>
      </c>
      <c r="AC190" s="4" t="s">
        <v>1438</v>
      </c>
    </row>
    <row r="191" spans="1:29"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2272</v>
      </c>
      <c r="K191" s="21" t="s">
        <v>2272</v>
      </c>
      <c r="L191" s="98" t="s">
        <v>2272</v>
      </c>
      <c r="M191" s="21" t="s">
        <v>2272</v>
      </c>
      <c r="N191" s="21" t="s">
        <v>2272</v>
      </c>
      <c r="O191" s="21" t="s">
        <v>2272</v>
      </c>
      <c r="P191" s="21" t="s">
        <v>2272</v>
      </c>
      <c r="Q191" s="21" t="s">
        <v>2373</v>
      </c>
      <c r="R191" s="97" t="s">
        <v>2272</v>
      </c>
      <c r="S191" s="97" t="s">
        <v>2272</v>
      </c>
      <c r="T191" s="21" t="s">
        <v>2272</v>
      </c>
      <c r="U191" s="21" t="s">
        <v>2272</v>
      </c>
      <c r="V191" s="21" t="s">
        <v>2272</v>
      </c>
      <c r="W191" s="21" t="s">
        <v>2272</v>
      </c>
      <c r="X191" s="21" t="s">
        <v>2272</v>
      </c>
      <c r="Y191" s="3" t="s">
        <v>2272</v>
      </c>
      <c r="Z191" s="3" t="s">
        <v>2272</v>
      </c>
      <c r="AA191" s="3" t="s">
        <v>2272</v>
      </c>
      <c r="AB191" s="4" t="s">
        <v>1394</v>
      </c>
      <c r="AC191" s="4" t="s">
        <v>1438</v>
      </c>
    </row>
    <row r="192" spans="1:29"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2272</v>
      </c>
      <c r="K192" s="21" t="s">
        <v>2272</v>
      </c>
      <c r="L192" s="98" t="s">
        <v>2272</v>
      </c>
      <c r="M192" s="21" t="s">
        <v>2272</v>
      </c>
      <c r="N192" s="21" t="s">
        <v>2272</v>
      </c>
      <c r="O192" s="21" t="s">
        <v>2272</v>
      </c>
      <c r="P192" s="21" t="s">
        <v>2272</v>
      </c>
      <c r="Q192" s="21" t="s">
        <v>2373</v>
      </c>
      <c r="R192" s="97" t="s">
        <v>2272</v>
      </c>
      <c r="S192" s="97" t="s">
        <v>2272</v>
      </c>
      <c r="T192" s="21" t="s">
        <v>2272</v>
      </c>
      <c r="U192" s="21" t="s">
        <v>2272</v>
      </c>
      <c r="V192" s="21" t="s">
        <v>2272</v>
      </c>
      <c r="W192" s="21" t="s">
        <v>2272</v>
      </c>
      <c r="X192" s="21" t="s">
        <v>2272</v>
      </c>
      <c r="Y192" s="3" t="s">
        <v>2272</v>
      </c>
      <c r="Z192" s="3" t="s">
        <v>2272</v>
      </c>
      <c r="AA192" s="3" t="s">
        <v>2272</v>
      </c>
      <c r="AB192" s="4" t="s">
        <v>1394</v>
      </c>
      <c r="AC192" s="4" t="s">
        <v>1438</v>
      </c>
    </row>
    <row r="193" spans="1:29"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2272</v>
      </c>
      <c r="K193" s="21" t="s">
        <v>2272</v>
      </c>
      <c r="L193" s="98" t="s">
        <v>2272</v>
      </c>
      <c r="M193" s="21" t="s">
        <v>2272</v>
      </c>
      <c r="N193" s="21" t="s">
        <v>2272</v>
      </c>
      <c r="O193" s="21" t="s">
        <v>2272</v>
      </c>
      <c r="P193" s="21" t="s">
        <v>2272</v>
      </c>
      <c r="Q193" s="21" t="s">
        <v>2372</v>
      </c>
      <c r="R193" s="97" t="s">
        <v>2272</v>
      </c>
      <c r="S193" s="97" t="s">
        <v>2272</v>
      </c>
      <c r="T193" s="21" t="s">
        <v>2272</v>
      </c>
      <c r="U193" s="21" t="s">
        <v>2272</v>
      </c>
      <c r="V193" s="21" t="s">
        <v>2272</v>
      </c>
      <c r="W193" s="21" t="s">
        <v>2272</v>
      </c>
      <c r="X193" s="21" t="s">
        <v>2272</v>
      </c>
      <c r="Y193" s="3" t="s">
        <v>2272</v>
      </c>
      <c r="Z193" s="3" t="s">
        <v>2272</v>
      </c>
      <c r="AA193" s="3" t="s">
        <v>2272</v>
      </c>
      <c r="AB193" s="4" t="s">
        <v>1394</v>
      </c>
      <c r="AC193" s="4" t="s">
        <v>1438</v>
      </c>
    </row>
    <row r="194" spans="1:29"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2272</v>
      </c>
      <c r="K194" s="21" t="s">
        <v>2272</v>
      </c>
      <c r="L194" s="98" t="s">
        <v>2272</v>
      </c>
      <c r="M194" s="21" t="s">
        <v>2272</v>
      </c>
      <c r="N194" s="21" t="s">
        <v>2272</v>
      </c>
      <c r="O194" s="21" t="s">
        <v>2272</v>
      </c>
      <c r="P194" s="21" t="s">
        <v>2272</v>
      </c>
      <c r="Q194" s="21" t="s">
        <v>2372</v>
      </c>
      <c r="R194" s="97" t="s">
        <v>2272</v>
      </c>
      <c r="S194" s="97" t="s">
        <v>2272</v>
      </c>
      <c r="T194" s="21" t="s">
        <v>2272</v>
      </c>
      <c r="U194" s="21" t="s">
        <v>2272</v>
      </c>
      <c r="V194" s="21" t="s">
        <v>2272</v>
      </c>
      <c r="W194" s="21" t="s">
        <v>2272</v>
      </c>
      <c r="X194" s="21" t="s">
        <v>2272</v>
      </c>
      <c r="Y194" s="3" t="s">
        <v>2272</v>
      </c>
      <c r="Z194" s="3" t="s">
        <v>2272</v>
      </c>
      <c r="AA194" s="3" t="s">
        <v>2272</v>
      </c>
      <c r="AB194" s="4" t="s">
        <v>1394</v>
      </c>
      <c r="AC194" s="4" t="s">
        <v>1438</v>
      </c>
    </row>
    <row r="195" spans="1:29"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2272</v>
      </c>
      <c r="K195" s="21" t="s">
        <v>2272</v>
      </c>
      <c r="L195" s="98" t="s">
        <v>2272</v>
      </c>
      <c r="M195" s="21" t="s">
        <v>2272</v>
      </c>
      <c r="N195" s="21" t="s">
        <v>2272</v>
      </c>
      <c r="O195" s="21" t="s">
        <v>2272</v>
      </c>
      <c r="P195" s="21" t="s">
        <v>2272</v>
      </c>
      <c r="Q195" s="21" t="s">
        <v>2372</v>
      </c>
      <c r="R195" s="97" t="s">
        <v>2272</v>
      </c>
      <c r="S195" s="97" t="s">
        <v>2272</v>
      </c>
      <c r="T195" s="21" t="s">
        <v>2272</v>
      </c>
      <c r="U195" s="21" t="s">
        <v>2272</v>
      </c>
      <c r="V195" s="21" t="s">
        <v>2272</v>
      </c>
      <c r="W195" s="21" t="s">
        <v>2272</v>
      </c>
      <c r="X195" s="21" t="s">
        <v>2272</v>
      </c>
      <c r="Y195" s="3" t="s">
        <v>2272</v>
      </c>
      <c r="Z195" s="3" t="s">
        <v>2272</v>
      </c>
      <c r="AA195" s="3" t="s">
        <v>2272</v>
      </c>
      <c r="AB195" s="4" t="s">
        <v>1394</v>
      </c>
      <c r="AC195" s="4" t="s">
        <v>1438</v>
      </c>
    </row>
    <row r="196" spans="1:29"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2272</v>
      </c>
      <c r="K196" s="21" t="s">
        <v>2272</v>
      </c>
      <c r="L196" s="98" t="s">
        <v>2272</v>
      </c>
      <c r="M196" s="21" t="s">
        <v>2272</v>
      </c>
      <c r="N196" s="21" t="s">
        <v>2272</v>
      </c>
      <c r="O196" s="21" t="s">
        <v>2272</v>
      </c>
      <c r="P196" s="21" t="s">
        <v>2272</v>
      </c>
      <c r="Q196" s="21" t="s">
        <v>2372</v>
      </c>
      <c r="R196" s="97" t="s">
        <v>2272</v>
      </c>
      <c r="S196" s="97" t="s">
        <v>2272</v>
      </c>
      <c r="T196" s="21" t="s">
        <v>2272</v>
      </c>
      <c r="U196" s="21" t="s">
        <v>2272</v>
      </c>
      <c r="V196" s="21" t="s">
        <v>2272</v>
      </c>
      <c r="W196" s="21" t="s">
        <v>2272</v>
      </c>
      <c r="X196" s="21" t="s">
        <v>2272</v>
      </c>
      <c r="Y196" s="3" t="s">
        <v>2272</v>
      </c>
      <c r="Z196" s="3" t="s">
        <v>2272</v>
      </c>
      <c r="AA196" s="3" t="s">
        <v>2272</v>
      </c>
      <c r="AB196" s="4" t="s">
        <v>1394</v>
      </c>
      <c r="AC196" s="4" t="s">
        <v>1438</v>
      </c>
    </row>
    <row r="197" spans="1:29"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2272</v>
      </c>
      <c r="K197" s="21" t="s">
        <v>2272</v>
      </c>
      <c r="L197" s="98" t="s">
        <v>2272</v>
      </c>
      <c r="M197" s="21" t="s">
        <v>2272</v>
      </c>
      <c r="N197" s="21" t="s">
        <v>2272</v>
      </c>
      <c r="O197" s="21" t="s">
        <v>2272</v>
      </c>
      <c r="P197" s="21" t="s">
        <v>2272</v>
      </c>
      <c r="Q197" s="21" t="s">
        <v>2372</v>
      </c>
      <c r="R197" s="97" t="s">
        <v>2272</v>
      </c>
      <c r="S197" s="97" t="s">
        <v>2272</v>
      </c>
      <c r="T197" s="21" t="s">
        <v>2272</v>
      </c>
      <c r="U197" s="21" t="s">
        <v>2272</v>
      </c>
      <c r="V197" s="21" t="s">
        <v>2272</v>
      </c>
      <c r="W197" s="21" t="s">
        <v>2272</v>
      </c>
      <c r="X197" s="21" t="s">
        <v>2272</v>
      </c>
      <c r="Y197" s="3" t="s">
        <v>2272</v>
      </c>
      <c r="Z197" s="3" t="s">
        <v>2272</v>
      </c>
      <c r="AA197" s="3" t="s">
        <v>2272</v>
      </c>
      <c r="AB197" s="4" t="s">
        <v>1394</v>
      </c>
      <c r="AC197" s="4" t="s">
        <v>1438</v>
      </c>
    </row>
    <row r="198" spans="1:29"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2272</v>
      </c>
      <c r="K198" s="21" t="s">
        <v>2272</v>
      </c>
      <c r="L198" s="98" t="s">
        <v>2272</v>
      </c>
      <c r="M198" s="21" t="s">
        <v>2272</v>
      </c>
      <c r="N198" s="21" t="s">
        <v>2272</v>
      </c>
      <c r="O198" s="21" t="s">
        <v>2272</v>
      </c>
      <c r="P198" s="21" t="s">
        <v>2272</v>
      </c>
      <c r="Q198" s="21" t="s">
        <v>2372</v>
      </c>
      <c r="R198" s="97" t="s">
        <v>2272</v>
      </c>
      <c r="S198" s="97" t="s">
        <v>2272</v>
      </c>
      <c r="T198" s="21" t="s">
        <v>2272</v>
      </c>
      <c r="U198" s="21" t="s">
        <v>2272</v>
      </c>
      <c r="V198" s="21" t="s">
        <v>2272</v>
      </c>
      <c r="W198" s="21" t="s">
        <v>2272</v>
      </c>
      <c r="X198" s="21" t="s">
        <v>2272</v>
      </c>
      <c r="Y198" s="3" t="s">
        <v>2272</v>
      </c>
      <c r="Z198" s="3" t="s">
        <v>2272</v>
      </c>
      <c r="AA198" s="3" t="s">
        <v>2272</v>
      </c>
      <c r="AB198" s="4" t="s">
        <v>1394</v>
      </c>
      <c r="AC198" s="4" t="s">
        <v>1438</v>
      </c>
    </row>
    <row r="199" spans="1:29"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2272</v>
      </c>
      <c r="K199" s="21" t="s">
        <v>2272</v>
      </c>
      <c r="L199" s="98" t="s">
        <v>2272</v>
      </c>
      <c r="M199" s="21" t="s">
        <v>2272</v>
      </c>
      <c r="N199" s="21" t="s">
        <v>2272</v>
      </c>
      <c r="O199" s="21" t="s">
        <v>2272</v>
      </c>
      <c r="P199" s="21" t="s">
        <v>2272</v>
      </c>
      <c r="Q199" s="21" t="s">
        <v>2372</v>
      </c>
      <c r="R199" s="97" t="s">
        <v>2272</v>
      </c>
      <c r="S199" s="97" t="s">
        <v>2272</v>
      </c>
      <c r="T199" s="21" t="s">
        <v>2272</v>
      </c>
      <c r="U199" s="21" t="s">
        <v>2272</v>
      </c>
      <c r="V199" s="21" t="s">
        <v>2272</v>
      </c>
      <c r="W199" s="21" t="s">
        <v>2272</v>
      </c>
      <c r="X199" s="21" t="s">
        <v>2272</v>
      </c>
      <c r="Y199" s="3" t="s">
        <v>2272</v>
      </c>
      <c r="Z199" s="3" t="s">
        <v>2272</v>
      </c>
      <c r="AA199" s="3" t="s">
        <v>2272</v>
      </c>
      <c r="AB199" s="4" t="s">
        <v>1394</v>
      </c>
      <c r="AC199" s="4" t="s">
        <v>1438</v>
      </c>
    </row>
    <row r="200" spans="1:29"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2272</v>
      </c>
      <c r="K200" s="21" t="s">
        <v>2272</v>
      </c>
      <c r="L200" s="98" t="s">
        <v>2272</v>
      </c>
      <c r="M200" s="21" t="s">
        <v>2272</v>
      </c>
      <c r="N200" s="21" t="s">
        <v>2272</v>
      </c>
      <c r="O200" s="21" t="s">
        <v>2272</v>
      </c>
      <c r="P200" s="21" t="s">
        <v>2272</v>
      </c>
      <c r="Q200" s="21" t="s">
        <v>2372</v>
      </c>
      <c r="R200" s="97" t="s">
        <v>2272</v>
      </c>
      <c r="S200" s="97" t="s">
        <v>2272</v>
      </c>
      <c r="T200" s="21" t="s">
        <v>2272</v>
      </c>
      <c r="U200" s="21" t="s">
        <v>2272</v>
      </c>
      <c r="V200" s="21" t="s">
        <v>2272</v>
      </c>
      <c r="W200" s="21" t="s">
        <v>2272</v>
      </c>
      <c r="X200" s="21" t="s">
        <v>2272</v>
      </c>
      <c r="Y200" s="3" t="s">
        <v>2272</v>
      </c>
      <c r="Z200" s="3" t="s">
        <v>2272</v>
      </c>
      <c r="AA200" s="3" t="s">
        <v>2272</v>
      </c>
      <c r="AB200" s="4" t="s">
        <v>1394</v>
      </c>
      <c r="AC200" s="4" t="s">
        <v>1438</v>
      </c>
    </row>
    <row r="201" spans="1:29"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2272</v>
      </c>
      <c r="K201" s="21" t="s">
        <v>2272</v>
      </c>
      <c r="L201" s="98" t="s">
        <v>2272</v>
      </c>
      <c r="M201" s="21" t="s">
        <v>2272</v>
      </c>
      <c r="N201" s="21" t="s">
        <v>2272</v>
      </c>
      <c r="O201" s="21" t="s">
        <v>2272</v>
      </c>
      <c r="P201" s="21" t="s">
        <v>2272</v>
      </c>
      <c r="Q201" s="21" t="s">
        <v>2372</v>
      </c>
      <c r="R201" s="97" t="s">
        <v>2272</v>
      </c>
      <c r="S201" s="97" t="s">
        <v>2272</v>
      </c>
      <c r="T201" s="21" t="s">
        <v>2272</v>
      </c>
      <c r="U201" s="21" t="s">
        <v>2272</v>
      </c>
      <c r="V201" s="21" t="s">
        <v>2272</v>
      </c>
      <c r="W201" s="21" t="s">
        <v>2272</v>
      </c>
      <c r="X201" s="21" t="s">
        <v>2272</v>
      </c>
      <c r="Y201" s="3" t="s">
        <v>2272</v>
      </c>
      <c r="Z201" s="3" t="s">
        <v>2272</v>
      </c>
      <c r="AA201" s="3" t="s">
        <v>2272</v>
      </c>
      <c r="AB201" s="4" t="s">
        <v>1394</v>
      </c>
      <c r="AC201" s="4" t="s">
        <v>1438</v>
      </c>
    </row>
    <row r="202" spans="1:29"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2272</v>
      </c>
      <c r="K202" s="21" t="s">
        <v>2272</v>
      </c>
      <c r="L202" s="98" t="s">
        <v>2272</v>
      </c>
      <c r="M202" s="21" t="s">
        <v>2272</v>
      </c>
      <c r="N202" s="21" t="s">
        <v>2272</v>
      </c>
      <c r="O202" s="21" t="s">
        <v>2272</v>
      </c>
      <c r="P202" s="21" t="s">
        <v>2272</v>
      </c>
      <c r="Q202" s="21" t="s">
        <v>2372</v>
      </c>
      <c r="R202" s="97" t="s">
        <v>2272</v>
      </c>
      <c r="S202" s="97" t="s">
        <v>2272</v>
      </c>
      <c r="T202" s="21" t="s">
        <v>2272</v>
      </c>
      <c r="U202" s="21" t="s">
        <v>2272</v>
      </c>
      <c r="V202" s="21" t="s">
        <v>2272</v>
      </c>
      <c r="W202" s="21" t="s">
        <v>2272</v>
      </c>
      <c r="X202" s="21" t="s">
        <v>2272</v>
      </c>
      <c r="Y202" s="3" t="s">
        <v>2272</v>
      </c>
      <c r="Z202" s="3" t="s">
        <v>2272</v>
      </c>
      <c r="AA202" s="3" t="s">
        <v>2272</v>
      </c>
      <c r="AB202" s="4" t="s">
        <v>1394</v>
      </c>
      <c r="AC202" s="4" t="s">
        <v>1438</v>
      </c>
    </row>
    <row r="203" spans="1:29"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2272</v>
      </c>
      <c r="K203" s="21" t="s">
        <v>2272</v>
      </c>
      <c r="L203" s="98" t="s">
        <v>2272</v>
      </c>
      <c r="M203" s="21" t="s">
        <v>2272</v>
      </c>
      <c r="N203" s="21" t="s">
        <v>2272</v>
      </c>
      <c r="O203" s="21" t="s">
        <v>2272</v>
      </c>
      <c r="P203" s="21" t="s">
        <v>2272</v>
      </c>
      <c r="Q203" s="21" t="s">
        <v>2372</v>
      </c>
      <c r="R203" s="97" t="s">
        <v>2272</v>
      </c>
      <c r="S203" s="97" t="s">
        <v>2272</v>
      </c>
      <c r="T203" s="21" t="s">
        <v>2272</v>
      </c>
      <c r="U203" s="21" t="s">
        <v>2272</v>
      </c>
      <c r="V203" s="21" t="s">
        <v>2272</v>
      </c>
      <c r="W203" s="21" t="s">
        <v>2272</v>
      </c>
      <c r="X203" s="21" t="s">
        <v>2272</v>
      </c>
      <c r="Y203" s="3" t="s">
        <v>2272</v>
      </c>
      <c r="Z203" s="3" t="s">
        <v>2272</v>
      </c>
      <c r="AA203" s="3" t="s">
        <v>2272</v>
      </c>
      <c r="AB203" s="4" t="s">
        <v>1394</v>
      </c>
      <c r="AC203" s="4" t="s">
        <v>1438</v>
      </c>
    </row>
    <row r="204" spans="1:29"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2272</v>
      </c>
      <c r="K204" s="21" t="s">
        <v>2272</v>
      </c>
      <c r="L204" s="98" t="s">
        <v>2272</v>
      </c>
      <c r="M204" s="21" t="s">
        <v>2272</v>
      </c>
      <c r="N204" s="21" t="s">
        <v>2272</v>
      </c>
      <c r="O204" s="21" t="s">
        <v>2272</v>
      </c>
      <c r="P204" s="21" t="s">
        <v>2272</v>
      </c>
      <c r="Q204" s="21" t="s">
        <v>2372</v>
      </c>
      <c r="R204" s="97" t="s">
        <v>2272</v>
      </c>
      <c r="S204" s="97" t="s">
        <v>2272</v>
      </c>
      <c r="T204" s="21" t="s">
        <v>2272</v>
      </c>
      <c r="U204" s="21" t="s">
        <v>2272</v>
      </c>
      <c r="V204" s="21" t="s">
        <v>2272</v>
      </c>
      <c r="W204" s="21" t="s">
        <v>2272</v>
      </c>
      <c r="X204" s="21" t="s">
        <v>2272</v>
      </c>
      <c r="Y204" s="3" t="s">
        <v>2272</v>
      </c>
      <c r="Z204" s="3" t="s">
        <v>2272</v>
      </c>
      <c r="AA204" s="3" t="s">
        <v>2272</v>
      </c>
      <c r="AB204" s="4" t="s">
        <v>1394</v>
      </c>
      <c r="AC204" s="4" t="s">
        <v>1438</v>
      </c>
    </row>
    <row r="205" spans="1:29"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2272</v>
      </c>
      <c r="K205" s="21" t="s">
        <v>2272</v>
      </c>
      <c r="L205" s="98" t="s">
        <v>2272</v>
      </c>
      <c r="M205" s="21" t="s">
        <v>2272</v>
      </c>
      <c r="N205" s="21" t="s">
        <v>2272</v>
      </c>
      <c r="O205" s="21" t="s">
        <v>2272</v>
      </c>
      <c r="P205" s="21" t="s">
        <v>2272</v>
      </c>
      <c r="Q205" s="21" t="s">
        <v>2372</v>
      </c>
      <c r="R205" s="97" t="s">
        <v>2272</v>
      </c>
      <c r="S205" s="97" t="s">
        <v>2272</v>
      </c>
      <c r="T205" s="21" t="s">
        <v>2272</v>
      </c>
      <c r="U205" s="21" t="s">
        <v>2272</v>
      </c>
      <c r="V205" s="21" t="s">
        <v>2272</v>
      </c>
      <c r="W205" s="21" t="s">
        <v>2272</v>
      </c>
      <c r="X205" s="21" t="s">
        <v>2272</v>
      </c>
      <c r="Y205" s="3" t="s">
        <v>2272</v>
      </c>
      <c r="Z205" s="3" t="s">
        <v>2272</v>
      </c>
      <c r="AA205" s="3" t="s">
        <v>2272</v>
      </c>
      <c r="AB205" s="4" t="s">
        <v>1394</v>
      </c>
      <c r="AC205" s="4" t="s">
        <v>1438</v>
      </c>
    </row>
    <row r="206" spans="1:29"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2272</v>
      </c>
      <c r="K206" s="21" t="s">
        <v>2272</v>
      </c>
      <c r="L206" s="98" t="s">
        <v>2272</v>
      </c>
      <c r="M206" s="21" t="s">
        <v>2272</v>
      </c>
      <c r="N206" s="21" t="s">
        <v>2272</v>
      </c>
      <c r="O206" s="21" t="s">
        <v>2272</v>
      </c>
      <c r="P206" s="21" t="s">
        <v>2272</v>
      </c>
      <c r="Q206" s="21" t="s">
        <v>2372</v>
      </c>
      <c r="R206" s="97" t="s">
        <v>2272</v>
      </c>
      <c r="S206" s="97" t="s">
        <v>2272</v>
      </c>
      <c r="T206" s="21" t="s">
        <v>2272</v>
      </c>
      <c r="U206" s="21" t="s">
        <v>2272</v>
      </c>
      <c r="V206" s="21" t="s">
        <v>2272</v>
      </c>
      <c r="W206" s="21" t="s">
        <v>2272</v>
      </c>
      <c r="X206" s="21" t="s">
        <v>2272</v>
      </c>
      <c r="Y206" s="3" t="s">
        <v>2272</v>
      </c>
      <c r="Z206" s="3" t="s">
        <v>2272</v>
      </c>
      <c r="AA206" s="3" t="s">
        <v>2272</v>
      </c>
      <c r="AB206" s="4" t="s">
        <v>1394</v>
      </c>
      <c r="AC206" s="4" t="s">
        <v>1438</v>
      </c>
    </row>
    <row r="207" spans="1:29"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2272</v>
      </c>
      <c r="K207" s="21" t="s">
        <v>2272</v>
      </c>
      <c r="L207" s="98" t="s">
        <v>2272</v>
      </c>
      <c r="M207" s="21" t="s">
        <v>2272</v>
      </c>
      <c r="N207" s="21" t="s">
        <v>2272</v>
      </c>
      <c r="O207" s="21" t="s">
        <v>2272</v>
      </c>
      <c r="P207" s="21" t="s">
        <v>2272</v>
      </c>
      <c r="Q207" s="21" t="s">
        <v>2372</v>
      </c>
      <c r="R207" s="97" t="s">
        <v>2272</v>
      </c>
      <c r="S207" s="97" t="s">
        <v>2272</v>
      </c>
      <c r="T207" s="21" t="s">
        <v>2272</v>
      </c>
      <c r="U207" s="21" t="s">
        <v>2272</v>
      </c>
      <c r="V207" s="21" t="s">
        <v>2272</v>
      </c>
      <c r="W207" s="21" t="s">
        <v>2272</v>
      </c>
      <c r="X207" s="21" t="s">
        <v>2272</v>
      </c>
      <c r="Y207" s="3" t="s">
        <v>2272</v>
      </c>
      <c r="Z207" s="3" t="s">
        <v>2272</v>
      </c>
      <c r="AA207" s="3" t="s">
        <v>2272</v>
      </c>
      <c r="AB207" s="4" t="s">
        <v>1394</v>
      </c>
      <c r="AC207" s="4" t="s">
        <v>1438</v>
      </c>
    </row>
    <row r="208" spans="1:29"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2272</v>
      </c>
      <c r="K208" s="21" t="s">
        <v>2272</v>
      </c>
      <c r="L208" s="98" t="s">
        <v>2272</v>
      </c>
      <c r="M208" s="21" t="s">
        <v>2272</v>
      </c>
      <c r="N208" s="21" t="s">
        <v>2272</v>
      </c>
      <c r="O208" s="21" t="s">
        <v>2272</v>
      </c>
      <c r="P208" s="21" t="s">
        <v>2272</v>
      </c>
      <c r="Q208" s="21" t="s">
        <v>2372</v>
      </c>
      <c r="R208" s="97" t="s">
        <v>2272</v>
      </c>
      <c r="S208" s="97" t="s">
        <v>2272</v>
      </c>
      <c r="T208" s="21" t="s">
        <v>2272</v>
      </c>
      <c r="U208" s="21" t="s">
        <v>2272</v>
      </c>
      <c r="V208" s="21" t="s">
        <v>2272</v>
      </c>
      <c r="W208" s="21" t="s">
        <v>2272</v>
      </c>
      <c r="X208" s="21" t="s">
        <v>2272</v>
      </c>
      <c r="Y208" s="3" t="s">
        <v>2272</v>
      </c>
      <c r="Z208" s="3" t="s">
        <v>2272</v>
      </c>
      <c r="AA208" s="3" t="s">
        <v>2272</v>
      </c>
      <c r="AB208" s="4" t="s">
        <v>1394</v>
      </c>
      <c r="AC208" s="4" t="s">
        <v>1438</v>
      </c>
    </row>
    <row r="209" spans="1:29"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2272</v>
      </c>
      <c r="K209" s="21" t="s">
        <v>2272</v>
      </c>
      <c r="L209" s="98" t="s">
        <v>2272</v>
      </c>
      <c r="M209" s="21" t="s">
        <v>2272</v>
      </c>
      <c r="N209" s="21" t="s">
        <v>2272</v>
      </c>
      <c r="O209" s="21" t="s">
        <v>2272</v>
      </c>
      <c r="P209" s="21" t="s">
        <v>2272</v>
      </c>
      <c r="Q209" s="21" t="s">
        <v>2372</v>
      </c>
      <c r="R209" s="97" t="s">
        <v>2272</v>
      </c>
      <c r="S209" s="97" t="s">
        <v>2272</v>
      </c>
      <c r="T209" s="21" t="s">
        <v>2272</v>
      </c>
      <c r="U209" s="21" t="s">
        <v>2272</v>
      </c>
      <c r="V209" s="21" t="s">
        <v>2272</v>
      </c>
      <c r="W209" s="21" t="s">
        <v>2272</v>
      </c>
      <c r="X209" s="21" t="s">
        <v>2272</v>
      </c>
      <c r="Y209" s="3" t="s">
        <v>2272</v>
      </c>
      <c r="Z209" s="3" t="s">
        <v>2272</v>
      </c>
      <c r="AA209" s="3" t="s">
        <v>2272</v>
      </c>
      <c r="AB209" s="4" t="s">
        <v>1394</v>
      </c>
      <c r="AC209" s="4" t="s">
        <v>1438</v>
      </c>
    </row>
    <row r="210" spans="1:29"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2272</v>
      </c>
      <c r="K210" s="21" t="s">
        <v>2272</v>
      </c>
      <c r="L210" s="98" t="s">
        <v>2272</v>
      </c>
      <c r="M210" s="21" t="s">
        <v>2272</v>
      </c>
      <c r="N210" s="21" t="s">
        <v>2272</v>
      </c>
      <c r="O210" s="21" t="s">
        <v>2272</v>
      </c>
      <c r="P210" s="21" t="s">
        <v>2272</v>
      </c>
      <c r="Q210" s="21" t="s">
        <v>2372</v>
      </c>
      <c r="R210" s="97" t="s">
        <v>2272</v>
      </c>
      <c r="S210" s="97" t="s">
        <v>2272</v>
      </c>
      <c r="T210" s="21" t="s">
        <v>2272</v>
      </c>
      <c r="U210" s="21" t="s">
        <v>2272</v>
      </c>
      <c r="V210" s="21" t="s">
        <v>2272</v>
      </c>
      <c r="W210" s="21" t="s">
        <v>2272</v>
      </c>
      <c r="X210" s="21" t="s">
        <v>2272</v>
      </c>
      <c r="Y210" s="3" t="s">
        <v>2272</v>
      </c>
      <c r="Z210" s="3" t="s">
        <v>2272</v>
      </c>
      <c r="AA210" s="3" t="s">
        <v>2272</v>
      </c>
      <c r="AB210" s="4" t="s">
        <v>1394</v>
      </c>
      <c r="AC210" s="4" t="s">
        <v>1438</v>
      </c>
    </row>
    <row r="211" spans="1:29"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2272</v>
      </c>
      <c r="K211" s="21" t="s">
        <v>2272</v>
      </c>
      <c r="L211" s="98" t="s">
        <v>2272</v>
      </c>
      <c r="M211" s="21" t="s">
        <v>2272</v>
      </c>
      <c r="N211" s="21" t="s">
        <v>2272</v>
      </c>
      <c r="O211" s="21" t="s">
        <v>2272</v>
      </c>
      <c r="P211" s="21" t="s">
        <v>2272</v>
      </c>
      <c r="Q211" s="21" t="s">
        <v>2372</v>
      </c>
      <c r="R211" s="97" t="s">
        <v>2272</v>
      </c>
      <c r="S211" s="97" t="s">
        <v>2272</v>
      </c>
      <c r="T211" s="21" t="s">
        <v>2272</v>
      </c>
      <c r="U211" s="21" t="s">
        <v>2272</v>
      </c>
      <c r="V211" s="21" t="s">
        <v>2272</v>
      </c>
      <c r="W211" s="21" t="s">
        <v>2272</v>
      </c>
      <c r="X211" s="21" t="s">
        <v>2272</v>
      </c>
      <c r="Y211" s="3" t="s">
        <v>2272</v>
      </c>
      <c r="Z211" s="3" t="s">
        <v>2272</v>
      </c>
      <c r="AA211" s="3" t="s">
        <v>2272</v>
      </c>
      <c r="AB211" s="4" t="s">
        <v>1394</v>
      </c>
      <c r="AC211" s="4" t="s">
        <v>1438</v>
      </c>
    </row>
    <row r="212" spans="1:29"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2272</v>
      </c>
      <c r="K212" s="21" t="s">
        <v>2272</v>
      </c>
      <c r="L212" s="98" t="s">
        <v>2272</v>
      </c>
      <c r="M212" s="21" t="s">
        <v>2272</v>
      </c>
      <c r="N212" s="21" t="s">
        <v>2272</v>
      </c>
      <c r="O212" s="21" t="s">
        <v>2272</v>
      </c>
      <c r="P212" s="21" t="s">
        <v>2272</v>
      </c>
      <c r="Q212" s="21" t="s">
        <v>2372</v>
      </c>
      <c r="R212" s="97" t="s">
        <v>2272</v>
      </c>
      <c r="S212" s="97" t="s">
        <v>2272</v>
      </c>
      <c r="T212" s="21" t="s">
        <v>2272</v>
      </c>
      <c r="U212" s="21" t="s">
        <v>2272</v>
      </c>
      <c r="V212" s="21" t="s">
        <v>2272</v>
      </c>
      <c r="W212" s="21" t="s">
        <v>2272</v>
      </c>
      <c r="X212" s="21" t="s">
        <v>2272</v>
      </c>
      <c r="Y212" s="3" t="s">
        <v>2272</v>
      </c>
      <c r="Z212" s="3" t="s">
        <v>2272</v>
      </c>
      <c r="AA212" s="3" t="s">
        <v>2272</v>
      </c>
      <c r="AB212" s="4" t="s">
        <v>1394</v>
      </c>
      <c r="AC212" s="4" t="s">
        <v>1438</v>
      </c>
    </row>
    <row r="213" spans="1:29"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2272</v>
      </c>
      <c r="K213" s="21" t="s">
        <v>2272</v>
      </c>
      <c r="L213" s="98" t="s">
        <v>2272</v>
      </c>
      <c r="M213" s="21" t="s">
        <v>2272</v>
      </c>
      <c r="N213" s="21" t="s">
        <v>2272</v>
      </c>
      <c r="O213" s="21" t="s">
        <v>2272</v>
      </c>
      <c r="P213" s="21" t="s">
        <v>2272</v>
      </c>
      <c r="Q213" s="21" t="s">
        <v>2372</v>
      </c>
      <c r="R213" s="97" t="s">
        <v>2272</v>
      </c>
      <c r="S213" s="97" t="s">
        <v>2272</v>
      </c>
      <c r="T213" s="21" t="s">
        <v>2272</v>
      </c>
      <c r="U213" s="21" t="s">
        <v>2272</v>
      </c>
      <c r="V213" s="21" t="s">
        <v>2272</v>
      </c>
      <c r="W213" s="21" t="s">
        <v>2272</v>
      </c>
      <c r="X213" s="21" t="s">
        <v>2272</v>
      </c>
      <c r="Y213" s="3" t="s">
        <v>2272</v>
      </c>
      <c r="Z213" s="3" t="s">
        <v>2272</v>
      </c>
      <c r="AA213" s="3" t="s">
        <v>2272</v>
      </c>
      <c r="AB213" s="4" t="s">
        <v>1394</v>
      </c>
      <c r="AC213" s="4" t="s">
        <v>1438</v>
      </c>
    </row>
    <row r="214" spans="1:29"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2272</v>
      </c>
      <c r="K214" s="21" t="s">
        <v>2272</v>
      </c>
      <c r="L214" s="98" t="s">
        <v>2272</v>
      </c>
      <c r="M214" s="21" t="s">
        <v>2272</v>
      </c>
      <c r="N214" s="21" t="s">
        <v>2272</v>
      </c>
      <c r="O214" s="21" t="s">
        <v>2272</v>
      </c>
      <c r="P214" s="21" t="s">
        <v>2272</v>
      </c>
      <c r="Q214" s="21" t="s">
        <v>2372</v>
      </c>
      <c r="R214" s="97" t="s">
        <v>2272</v>
      </c>
      <c r="S214" s="97" t="s">
        <v>2272</v>
      </c>
      <c r="T214" s="21" t="s">
        <v>2272</v>
      </c>
      <c r="U214" s="21" t="s">
        <v>2272</v>
      </c>
      <c r="V214" s="21" t="s">
        <v>2272</v>
      </c>
      <c r="W214" s="21" t="s">
        <v>2272</v>
      </c>
      <c r="X214" s="21" t="s">
        <v>2272</v>
      </c>
      <c r="Y214" s="3" t="s">
        <v>2272</v>
      </c>
      <c r="Z214" s="3" t="s">
        <v>2272</v>
      </c>
      <c r="AA214" s="3" t="s">
        <v>2272</v>
      </c>
      <c r="AB214" s="4" t="s">
        <v>1394</v>
      </c>
      <c r="AC214" s="4" t="s">
        <v>1438</v>
      </c>
    </row>
    <row r="215" spans="1:29"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2272</v>
      </c>
      <c r="K215" s="21" t="s">
        <v>2272</v>
      </c>
      <c r="L215" s="98" t="s">
        <v>2272</v>
      </c>
      <c r="M215" s="21" t="s">
        <v>2272</v>
      </c>
      <c r="N215" s="21" t="s">
        <v>2272</v>
      </c>
      <c r="O215" s="21" t="s">
        <v>2272</v>
      </c>
      <c r="P215" s="21" t="s">
        <v>2272</v>
      </c>
      <c r="Q215" s="21" t="s">
        <v>2374</v>
      </c>
      <c r="R215" s="97" t="s">
        <v>2272</v>
      </c>
      <c r="S215" s="97" t="s">
        <v>2272</v>
      </c>
      <c r="T215" s="21" t="s">
        <v>2272</v>
      </c>
      <c r="U215" s="21" t="s">
        <v>2272</v>
      </c>
      <c r="V215" s="21" t="s">
        <v>2272</v>
      </c>
      <c r="W215" s="21" t="s">
        <v>2272</v>
      </c>
      <c r="X215" s="21" t="s">
        <v>2272</v>
      </c>
      <c r="Y215" s="3" t="s">
        <v>2272</v>
      </c>
      <c r="Z215" s="3" t="s">
        <v>2272</v>
      </c>
      <c r="AA215" s="3" t="s">
        <v>2272</v>
      </c>
      <c r="AB215" s="4" t="s">
        <v>1394</v>
      </c>
      <c r="AC215" s="4" t="s">
        <v>1451</v>
      </c>
    </row>
    <row r="216" spans="1:29"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2272</v>
      </c>
      <c r="K216" s="21" t="s">
        <v>2272</v>
      </c>
      <c r="L216" s="98" t="s">
        <v>2272</v>
      </c>
      <c r="M216" s="21" t="s">
        <v>2272</v>
      </c>
      <c r="N216" s="21" t="s">
        <v>2272</v>
      </c>
      <c r="O216" s="21" t="s">
        <v>2272</v>
      </c>
      <c r="P216" s="21" t="s">
        <v>2272</v>
      </c>
      <c r="Q216" s="21" t="s">
        <v>2374</v>
      </c>
      <c r="R216" s="97" t="s">
        <v>2272</v>
      </c>
      <c r="S216" s="97" t="s">
        <v>2272</v>
      </c>
      <c r="T216" s="21" t="s">
        <v>2272</v>
      </c>
      <c r="U216" s="21" t="s">
        <v>2272</v>
      </c>
      <c r="V216" s="21" t="s">
        <v>2272</v>
      </c>
      <c r="W216" s="21" t="s">
        <v>2272</v>
      </c>
      <c r="X216" s="21" t="s">
        <v>2272</v>
      </c>
      <c r="Y216" s="3" t="s">
        <v>2272</v>
      </c>
      <c r="Z216" s="3" t="s">
        <v>2272</v>
      </c>
      <c r="AA216" s="3" t="s">
        <v>2272</v>
      </c>
      <c r="AB216" s="4" t="s">
        <v>1394</v>
      </c>
      <c r="AC216" s="4" t="s">
        <v>1451</v>
      </c>
    </row>
    <row r="217" spans="1:29"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2272</v>
      </c>
      <c r="K217" s="21" t="s">
        <v>2272</v>
      </c>
      <c r="L217" s="98" t="s">
        <v>2272</v>
      </c>
      <c r="M217" s="21" t="s">
        <v>2272</v>
      </c>
      <c r="N217" s="21" t="s">
        <v>2272</v>
      </c>
      <c r="O217" s="21" t="s">
        <v>2272</v>
      </c>
      <c r="P217" s="21" t="s">
        <v>2272</v>
      </c>
      <c r="Q217" s="21" t="s">
        <v>2374</v>
      </c>
      <c r="R217" s="97" t="s">
        <v>2272</v>
      </c>
      <c r="S217" s="97" t="s">
        <v>2272</v>
      </c>
      <c r="T217" s="21" t="s">
        <v>2272</v>
      </c>
      <c r="U217" s="21" t="s">
        <v>2272</v>
      </c>
      <c r="V217" s="21" t="s">
        <v>2272</v>
      </c>
      <c r="W217" s="21" t="s">
        <v>2272</v>
      </c>
      <c r="X217" s="21" t="s">
        <v>2272</v>
      </c>
      <c r="Y217" s="3" t="s">
        <v>2272</v>
      </c>
      <c r="Z217" s="3" t="s">
        <v>2272</v>
      </c>
      <c r="AA217" s="3" t="s">
        <v>2272</v>
      </c>
      <c r="AB217" s="4" t="s">
        <v>1394</v>
      </c>
      <c r="AC217" s="4" t="s">
        <v>1451</v>
      </c>
    </row>
    <row r="218" spans="1:29"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2272</v>
      </c>
      <c r="K218" s="21" t="s">
        <v>2272</v>
      </c>
      <c r="L218" s="98" t="s">
        <v>2272</v>
      </c>
      <c r="M218" s="21" t="s">
        <v>2272</v>
      </c>
      <c r="N218" s="21" t="s">
        <v>2272</v>
      </c>
      <c r="O218" s="21" t="s">
        <v>2272</v>
      </c>
      <c r="P218" s="21" t="s">
        <v>2272</v>
      </c>
      <c r="Q218" s="21" t="s">
        <v>2374</v>
      </c>
      <c r="R218" s="97" t="s">
        <v>2272</v>
      </c>
      <c r="S218" s="97" t="s">
        <v>2272</v>
      </c>
      <c r="T218" s="21" t="s">
        <v>2272</v>
      </c>
      <c r="U218" s="21" t="s">
        <v>2272</v>
      </c>
      <c r="V218" s="21" t="s">
        <v>2272</v>
      </c>
      <c r="W218" s="21" t="s">
        <v>2272</v>
      </c>
      <c r="X218" s="21" t="s">
        <v>2272</v>
      </c>
      <c r="Y218" s="3" t="s">
        <v>2272</v>
      </c>
      <c r="Z218" s="3" t="s">
        <v>2272</v>
      </c>
      <c r="AA218" s="3" t="s">
        <v>2272</v>
      </c>
      <c r="AB218" s="4" t="s">
        <v>1394</v>
      </c>
      <c r="AC218" s="4" t="s">
        <v>1451</v>
      </c>
    </row>
    <row r="219" spans="1:29"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2272</v>
      </c>
      <c r="K219" s="21" t="s">
        <v>2272</v>
      </c>
      <c r="L219" s="98" t="s">
        <v>2272</v>
      </c>
      <c r="M219" s="21" t="s">
        <v>2272</v>
      </c>
      <c r="N219" s="21" t="s">
        <v>2272</v>
      </c>
      <c r="O219" s="21" t="s">
        <v>2272</v>
      </c>
      <c r="P219" s="21" t="s">
        <v>2272</v>
      </c>
      <c r="Q219" s="21" t="s">
        <v>2374</v>
      </c>
      <c r="R219" s="97" t="s">
        <v>2272</v>
      </c>
      <c r="S219" s="97" t="s">
        <v>2272</v>
      </c>
      <c r="T219" s="21" t="s">
        <v>2272</v>
      </c>
      <c r="U219" s="21" t="s">
        <v>2272</v>
      </c>
      <c r="V219" s="21" t="s">
        <v>2272</v>
      </c>
      <c r="W219" s="21" t="s">
        <v>2272</v>
      </c>
      <c r="X219" s="21" t="s">
        <v>2272</v>
      </c>
      <c r="Y219" s="3" t="s">
        <v>2272</v>
      </c>
      <c r="Z219" s="3" t="s">
        <v>2272</v>
      </c>
      <c r="AA219" s="3" t="s">
        <v>2272</v>
      </c>
      <c r="AB219" s="4" t="s">
        <v>1394</v>
      </c>
      <c r="AC219" s="4" t="s">
        <v>1451</v>
      </c>
    </row>
    <row r="220" spans="1:29"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2272</v>
      </c>
      <c r="K220" s="21" t="s">
        <v>2272</v>
      </c>
      <c r="L220" s="98" t="s">
        <v>2272</v>
      </c>
      <c r="M220" s="21" t="s">
        <v>2272</v>
      </c>
      <c r="N220" s="21" t="s">
        <v>2272</v>
      </c>
      <c r="O220" s="21" t="s">
        <v>2272</v>
      </c>
      <c r="P220" s="21" t="s">
        <v>2272</v>
      </c>
      <c r="Q220" s="21" t="s">
        <v>2374</v>
      </c>
      <c r="R220" s="97" t="s">
        <v>2272</v>
      </c>
      <c r="S220" s="97" t="s">
        <v>2272</v>
      </c>
      <c r="T220" s="21" t="s">
        <v>2272</v>
      </c>
      <c r="U220" s="21" t="s">
        <v>2272</v>
      </c>
      <c r="V220" s="21" t="s">
        <v>2272</v>
      </c>
      <c r="W220" s="21" t="s">
        <v>2272</v>
      </c>
      <c r="X220" s="21" t="s">
        <v>2272</v>
      </c>
      <c r="Y220" s="3" t="s">
        <v>2272</v>
      </c>
      <c r="Z220" s="3" t="s">
        <v>2272</v>
      </c>
      <c r="AA220" s="3" t="s">
        <v>2272</v>
      </c>
      <c r="AB220" s="4" t="s">
        <v>1394</v>
      </c>
      <c r="AC220" s="4" t="s">
        <v>1451</v>
      </c>
    </row>
    <row r="221" spans="1:29"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2272</v>
      </c>
      <c r="K221" s="21" t="s">
        <v>2272</v>
      </c>
      <c r="L221" s="98" t="s">
        <v>2272</v>
      </c>
      <c r="M221" s="21" t="s">
        <v>2272</v>
      </c>
      <c r="N221" s="21" t="s">
        <v>2272</v>
      </c>
      <c r="O221" s="21" t="s">
        <v>2272</v>
      </c>
      <c r="P221" s="21" t="s">
        <v>2272</v>
      </c>
      <c r="Q221" s="21" t="s">
        <v>2374</v>
      </c>
      <c r="R221" s="97" t="s">
        <v>2272</v>
      </c>
      <c r="S221" s="97" t="s">
        <v>2272</v>
      </c>
      <c r="T221" s="21" t="s">
        <v>2272</v>
      </c>
      <c r="U221" s="21" t="s">
        <v>2272</v>
      </c>
      <c r="V221" s="21" t="s">
        <v>2272</v>
      </c>
      <c r="W221" s="21" t="s">
        <v>2272</v>
      </c>
      <c r="X221" s="21" t="s">
        <v>2272</v>
      </c>
      <c r="Y221" s="3" t="s">
        <v>2272</v>
      </c>
      <c r="Z221" s="3" t="s">
        <v>2272</v>
      </c>
      <c r="AA221" s="3" t="s">
        <v>2272</v>
      </c>
      <c r="AB221" s="4" t="s">
        <v>1394</v>
      </c>
      <c r="AC221" s="4" t="s">
        <v>1451</v>
      </c>
    </row>
    <row r="222" spans="1:29"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2272</v>
      </c>
      <c r="K222" s="21" t="s">
        <v>2272</v>
      </c>
      <c r="L222" s="98" t="s">
        <v>2272</v>
      </c>
      <c r="M222" s="21" t="s">
        <v>2272</v>
      </c>
      <c r="N222" s="21" t="s">
        <v>2272</v>
      </c>
      <c r="O222" s="21" t="s">
        <v>2272</v>
      </c>
      <c r="P222" s="21" t="s">
        <v>2272</v>
      </c>
      <c r="Q222" s="21" t="s">
        <v>2373</v>
      </c>
      <c r="R222" s="97" t="s">
        <v>2272</v>
      </c>
      <c r="S222" s="97" t="s">
        <v>2272</v>
      </c>
      <c r="T222" s="21" t="s">
        <v>2272</v>
      </c>
      <c r="U222" s="21" t="s">
        <v>2272</v>
      </c>
      <c r="V222" s="21" t="s">
        <v>2272</v>
      </c>
      <c r="W222" s="21" t="s">
        <v>2272</v>
      </c>
      <c r="X222" s="21" t="s">
        <v>2272</v>
      </c>
      <c r="Y222" s="3" t="s">
        <v>2272</v>
      </c>
      <c r="Z222" s="3" t="s">
        <v>2272</v>
      </c>
      <c r="AA222" s="3" t="s">
        <v>2272</v>
      </c>
      <c r="AB222" s="4" t="s">
        <v>1394</v>
      </c>
      <c r="AC222" s="4" t="s">
        <v>1451</v>
      </c>
    </row>
    <row r="223" spans="1:29"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2272</v>
      </c>
      <c r="K223" s="21" t="s">
        <v>2272</v>
      </c>
      <c r="L223" s="98" t="s">
        <v>2272</v>
      </c>
      <c r="M223" s="21" t="s">
        <v>2272</v>
      </c>
      <c r="N223" s="21" t="s">
        <v>2272</v>
      </c>
      <c r="O223" s="21" t="s">
        <v>2272</v>
      </c>
      <c r="P223" s="21" t="s">
        <v>2272</v>
      </c>
      <c r="Q223" s="21" t="s">
        <v>2373</v>
      </c>
      <c r="R223" s="97" t="s">
        <v>2272</v>
      </c>
      <c r="S223" s="97" t="s">
        <v>2272</v>
      </c>
      <c r="T223" s="21" t="s">
        <v>2272</v>
      </c>
      <c r="U223" s="21" t="s">
        <v>2272</v>
      </c>
      <c r="V223" s="21" t="s">
        <v>2272</v>
      </c>
      <c r="W223" s="21" t="s">
        <v>2272</v>
      </c>
      <c r="X223" s="21" t="s">
        <v>2272</v>
      </c>
      <c r="Y223" s="3" t="s">
        <v>2272</v>
      </c>
      <c r="Z223" s="3" t="s">
        <v>2272</v>
      </c>
      <c r="AA223" s="3" t="s">
        <v>2272</v>
      </c>
      <c r="AB223" s="4" t="s">
        <v>1394</v>
      </c>
      <c r="AC223" s="4" t="s">
        <v>1451</v>
      </c>
    </row>
    <row r="224" spans="1:29"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2272</v>
      </c>
      <c r="K224" s="21" t="s">
        <v>2272</v>
      </c>
      <c r="L224" s="98" t="s">
        <v>2272</v>
      </c>
      <c r="M224" s="21" t="s">
        <v>2272</v>
      </c>
      <c r="N224" s="21" t="s">
        <v>2272</v>
      </c>
      <c r="O224" s="21" t="s">
        <v>2272</v>
      </c>
      <c r="P224" s="21" t="s">
        <v>2272</v>
      </c>
      <c r="Q224" s="21" t="s">
        <v>2372</v>
      </c>
      <c r="R224" s="97" t="s">
        <v>2272</v>
      </c>
      <c r="S224" s="97" t="s">
        <v>2272</v>
      </c>
      <c r="T224" s="21" t="s">
        <v>2272</v>
      </c>
      <c r="U224" s="21" t="s">
        <v>2272</v>
      </c>
      <c r="V224" s="21" t="s">
        <v>2272</v>
      </c>
      <c r="W224" s="21" t="s">
        <v>2272</v>
      </c>
      <c r="X224" s="21" t="s">
        <v>2272</v>
      </c>
      <c r="Y224" s="3" t="s">
        <v>2272</v>
      </c>
      <c r="Z224" s="3" t="s">
        <v>2272</v>
      </c>
      <c r="AA224" s="3" t="s">
        <v>2272</v>
      </c>
      <c r="AB224" s="4" t="s">
        <v>1394</v>
      </c>
      <c r="AC224" s="4" t="s">
        <v>1451</v>
      </c>
    </row>
    <row r="225" spans="1:29"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2272</v>
      </c>
      <c r="K225" s="21" t="s">
        <v>2272</v>
      </c>
      <c r="L225" s="98" t="s">
        <v>2272</v>
      </c>
      <c r="M225" s="21" t="s">
        <v>2272</v>
      </c>
      <c r="N225" s="21" t="s">
        <v>2272</v>
      </c>
      <c r="O225" s="21" t="s">
        <v>2272</v>
      </c>
      <c r="P225" s="21" t="s">
        <v>2272</v>
      </c>
      <c r="Q225" s="21" t="s">
        <v>2373</v>
      </c>
      <c r="R225" s="97" t="s">
        <v>2272</v>
      </c>
      <c r="S225" s="97" t="s">
        <v>2272</v>
      </c>
      <c r="T225" s="21" t="s">
        <v>2272</v>
      </c>
      <c r="U225" s="21" t="s">
        <v>2272</v>
      </c>
      <c r="V225" s="21" t="s">
        <v>2272</v>
      </c>
      <c r="W225" s="21" t="s">
        <v>2272</v>
      </c>
      <c r="X225" s="21" t="s">
        <v>2272</v>
      </c>
      <c r="Y225" s="3" t="s">
        <v>2272</v>
      </c>
      <c r="Z225" s="3" t="s">
        <v>2272</v>
      </c>
      <c r="AA225" s="3" t="s">
        <v>2272</v>
      </c>
      <c r="AB225" s="4" t="s">
        <v>1394</v>
      </c>
      <c r="AC225" s="4" t="s">
        <v>1451</v>
      </c>
    </row>
    <row r="226" spans="1:29"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Secondary Vegetation</v>
      </c>
      <c r="H226" s="6" t="str">
        <f>'Reported burning'!H226</f>
        <v>Presence</v>
      </c>
      <c r="I226" s="3"/>
      <c r="J226" s="21" t="s">
        <v>2272</v>
      </c>
      <c r="K226" s="21" t="s">
        <v>2272</v>
      </c>
      <c r="L226" s="98" t="s">
        <v>2272</v>
      </c>
      <c r="M226" s="21" t="s">
        <v>2272</v>
      </c>
      <c r="N226" s="21" t="s">
        <v>2272</v>
      </c>
      <c r="O226" s="21" t="s">
        <v>2272</v>
      </c>
      <c r="P226" s="21" t="s">
        <v>2272</v>
      </c>
      <c r="Q226" s="21" t="s">
        <v>2272</v>
      </c>
      <c r="R226" s="97" t="s">
        <v>2272</v>
      </c>
      <c r="S226" s="97" t="s">
        <v>2272</v>
      </c>
      <c r="T226" s="21" t="s">
        <v>2272</v>
      </c>
      <c r="U226" s="21" t="s">
        <v>2272</v>
      </c>
      <c r="V226" s="21" t="s">
        <v>2272</v>
      </c>
      <c r="W226" s="21" t="s">
        <v>2272</v>
      </c>
      <c r="X226" s="21" t="s">
        <v>2272</v>
      </c>
      <c r="Y226" s="3" t="s">
        <v>186</v>
      </c>
      <c r="Z226" s="3" t="s">
        <v>187</v>
      </c>
      <c r="AA226" s="3" t="s">
        <v>63</v>
      </c>
      <c r="AB226" s="3"/>
      <c r="AC226" s="4" t="s">
        <v>1455</v>
      </c>
    </row>
    <row r="227" spans="1:29"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Secondary Vegetation</v>
      </c>
      <c r="H227" s="6" t="str">
        <f>'Reported burning'!H227</f>
        <v>Presence</v>
      </c>
      <c r="I227" s="3"/>
      <c r="J227" s="21" t="s">
        <v>2272</v>
      </c>
      <c r="K227" s="21" t="s">
        <v>2272</v>
      </c>
      <c r="L227" s="98" t="s">
        <v>2272</v>
      </c>
      <c r="M227" s="21" t="s">
        <v>2272</v>
      </c>
      <c r="N227" s="21" t="s">
        <v>2272</v>
      </c>
      <c r="O227" s="21" t="s">
        <v>2272</v>
      </c>
      <c r="P227" s="21" t="s">
        <v>2272</v>
      </c>
      <c r="Q227" s="21" t="s">
        <v>2272</v>
      </c>
      <c r="R227" s="97" t="s">
        <v>2272</v>
      </c>
      <c r="S227" s="97" t="s">
        <v>2272</v>
      </c>
      <c r="T227" s="21" t="s">
        <v>2272</v>
      </c>
      <c r="U227" s="21" t="s">
        <v>2272</v>
      </c>
      <c r="V227" s="21" t="s">
        <v>2272</v>
      </c>
      <c r="W227" s="21" t="s">
        <v>2272</v>
      </c>
      <c r="X227" s="21" t="s">
        <v>2272</v>
      </c>
      <c r="Y227" s="3" t="s">
        <v>186</v>
      </c>
      <c r="Z227" s="3" t="s">
        <v>187</v>
      </c>
      <c r="AA227" s="3" t="s">
        <v>63</v>
      </c>
      <c r="AB227" s="3"/>
      <c r="AC227" s="4" t="s">
        <v>1455</v>
      </c>
    </row>
    <row r="228" spans="1:29"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2272</v>
      </c>
      <c r="K228" s="21" t="s">
        <v>2272</v>
      </c>
      <c r="L228" s="98" t="s">
        <v>2272</v>
      </c>
      <c r="M228" s="21" t="s">
        <v>2272</v>
      </c>
      <c r="N228" s="21" t="s">
        <v>2272</v>
      </c>
      <c r="O228" s="21" t="s">
        <v>2272</v>
      </c>
      <c r="P228" s="21" t="s">
        <v>2272</v>
      </c>
      <c r="Q228" s="21" t="s">
        <v>2272</v>
      </c>
      <c r="R228" s="97" t="s">
        <v>2272</v>
      </c>
      <c r="S228" s="97" t="s">
        <v>2272</v>
      </c>
      <c r="T228" s="21" t="s">
        <v>2272</v>
      </c>
      <c r="U228" s="21" t="s">
        <v>2272</v>
      </c>
      <c r="V228" s="21" t="s">
        <v>2272</v>
      </c>
      <c r="W228" s="21" t="s">
        <v>2272</v>
      </c>
      <c r="X228" s="21" t="s">
        <v>2272</v>
      </c>
      <c r="Y228" s="3" t="s">
        <v>186</v>
      </c>
      <c r="Z228" s="3" t="s">
        <v>187</v>
      </c>
      <c r="AA228" s="3" t="s">
        <v>63</v>
      </c>
      <c r="AB228" s="3"/>
      <c r="AC228" s="4" t="s">
        <v>1455</v>
      </c>
    </row>
    <row r="229" spans="1:29"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t="str">
        <f>'Reported burning'!G229</f>
        <v>Secondary Vegetation</v>
      </c>
      <c r="H229" s="6" t="str">
        <f>'Reported burning'!H229</f>
        <v>Presence</v>
      </c>
      <c r="I229" s="3"/>
      <c r="J229" s="21" t="s">
        <v>2272</v>
      </c>
      <c r="K229" s="21" t="s">
        <v>2272</v>
      </c>
      <c r="L229" s="98" t="s">
        <v>2272</v>
      </c>
      <c r="M229" s="21" t="s">
        <v>2272</v>
      </c>
      <c r="N229" s="21" t="s">
        <v>2272</v>
      </c>
      <c r="O229" s="21" t="s">
        <v>2272</v>
      </c>
      <c r="P229" s="21" t="s">
        <v>2272</v>
      </c>
      <c r="Q229" s="21" t="s">
        <v>2272</v>
      </c>
      <c r="R229" s="97" t="s">
        <v>2272</v>
      </c>
      <c r="S229" s="97" t="s">
        <v>2272</v>
      </c>
      <c r="T229" s="21" t="s">
        <v>2272</v>
      </c>
      <c r="U229" s="21" t="s">
        <v>2272</v>
      </c>
      <c r="V229" s="21" t="s">
        <v>2272</v>
      </c>
      <c r="W229" s="21" t="s">
        <v>2272</v>
      </c>
      <c r="X229" s="21" t="s">
        <v>2398</v>
      </c>
      <c r="Y229" s="3" t="s">
        <v>187</v>
      </c>
      <c r="Z229" s="3" t="s">
        <v>37</v>
      </c>
      <c r="AA229" s="3" t="s">
        <v>63</v>
      </c>
      <c r="AB229" s="4" t="s">
        <v>378</v>
      </c>
      <c r="AC229" s="4" t="s">
        <v>392</v>
      </c>
    </row>
    <row r="230" spans="1:29"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t="str">
        <f>'Reported burning'!G230</f>
        <v>Secondary Vegetation</v>
      </c>
      <c r="H230" s="6" t="str">
        <f>'Reported burning'!H230</f>
        <v>Presence</v>
      </c>
      <c r="I230" s="3"/>
      <c r="J230" s="21" t="s">
        <v>2272</v>
      </c>
      <c r="K230" s="21" t="s">
        <v>2272</v>
      </c>
      <c r="L230" s="98" t="s">
        <v>2272</v>
      </c>
      <c r="M230" s="21" t="s">
        <v>2272</v>
      </c>
      <c r="N230" s="21" t="s">
        <v>2272</v>
      </c>
      <c r="O230" s="21" t="s">
        <v>2272</v>
      </c>
      <c r="P230" s="21" t="s">
        <v>2272</v>
      </c>
      <c r="Q230" s="21" t="s">
        <v>2272</v>
      </c>
      <c r="R230" s="97" t="s">
        <v>2272</v>
      </c>
      <c r="S230" s="97" t="s">
        <v>2272</v>
      </c>
      <c r="T230" s="21" t="s">
        <v>2272</v>
      </c>
      <c r="U230" s="21" t="s">
        <v>2272</v>
      </c>
      <c r="V230" s="21" t="s">
        <v>2272</v>
      </c>
      <c r="W230" s="21" t="s">
        <v>2272</v>
      </c>
      <c r="X230" s="21" t="s">
        <v>2397</v>
      </c>
      <c r="Y230" s="3" t="s">
        <v>187</v>
      </c>
      <c r="Z230" s="3" t="s">
        <v>37</v>
      </c>
      <c r="AA230" s="3" t="s">
        <v>63</v>
      </c>
      <c r="AB230" s="4" t="s">
        <v>379</v>
      </c>
      <c r="AC230" s="4" t="s">
        <v>392</v>
      </c>
    </row>
    <row r="231" spans="1:29"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2359</v>
      </c>
      <c r="K231" s="21" t="s">
        <v>2359</v>
      </c>
      <c r="L231" s="98" t="s">
        <v>2359</v>
      </c>
      <c r="M231" s="21" t="s">
        <v>2359</v>
      </c>
      <c r="N231" s="21" t="s">
        <v>2359</v>
      </c>
      <c r="O231" s="21" t="s">
        <v>2359</v>
      </c>
      <c r="P231" s="21" t="s">
        <v>2359</v>
      </c>
      <c r="Q231" s="21" t="s">
        <v>2359</v>
      </c>
      <c r="R231" s="97" t="s">
        <v>2272</v>
      </c>
      <c r="S231" s="97" t="s">
        <v>2272</v>
      </c>
      <c r="T231" s="21" t="s">
        <v>2359</v>
      </c>
      <c r="U231" s="21" t="s">
        <v>2359</v>
      </c>
      <c r="V231" s="21" t="s">
        <v>2359</v>
      </c>
      <c r="W231" s="21" t="s">
        <v>2359</v>
      </c>
      <c r="X231" s="21" t="s">
        <v>2272</v>
      </c>
      <c r="Y231" s="3" t="s">
        <v>398</v>
      </c>
      <c r="Z231" s="3" t="s">
        <v>397</v>
      </c>
      <c r="AA231" s="3" t="s">
        <v>63</v>
      </c>
      <c r="AB231" s="3"/>
      <c r="AC231" s="10"/>
    </row>
    <row r="232" spans="1:29"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2272</v>
      </c>
      <c r="K232" s="21" t="s">
        <v>2272</v>
      </c>
      <c r="L232" s="98" t="s">
        <v>2272</v>
      </c>
      <c r="M232" s="21" t="s">
        <v>2272</v>
      </c>
      <c r="N232" s="21" t="s">
        <v>2272</v>
      </c>
      <c r="O232" s="21" t="s">
        <v>2272</v>
      </c>
      <c r="P232" s="21" t="s">
        <v>2272</v>
      </c>
      <c r="Q232" s="21" t="s">
        <v>2272</v>
      </c>
      <c r="R232" s="97" t="s">
        <v>2272</v>
      </c>
      <c r="S232" s="97" t="s">
        <v>2272</v>
      </c>
      <c r="T232" s="21" t="s">
        <v>2371</v>
      </c>
      <c r="U232" s="21" t="s">
        <v>2272</v>
      </c>
      <c r="V232" s="21" t="s">
        <v>2369</v>
      </c>
      <c r="W232" s="21" t="s">
        <v>2272</v>
      </c>
      <c r="X232" s="21" t="s">
        <v>2272</v>
      </c>
      <c r="Y232" s="3" t="s">
        <v>398</v>
      </c>
      <c r="Z232" s="3" t="s">
        <v>397</v>
      </c>
      <c r="AA232" s="3" t="s">
        <v>63</v>
      </c>
      <c r="AB232" s="3"/>
      <c r="AC232" s="10" t="s">
        <v>2402</v>
      </c>
    </row>
    <row r="233" spans="1:29"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2272</v>
      </c>
      <c r="K233" s="21" t="s">
        <v>2272</v>
      </c>
      <c r="L233" s="98" t="s">
        <v>2272</v>
      </c>
      <c r="M233" s="21" t="s">
        <v>2272</v>
      </c>
      <c r="N233" s="21" t="s">
        <v>2272</v>
      </c>
      <c r="O233" s="21" t="s">
        <v>2272</v>
      </c>
      <c r="P233" s="21" t="s">
        <v>2272</v>
      </c>
      <c r="Q233" s="21" t="s">
        <v>2272</v>
      </c>
      <c r="R233" s="97" t="s">
        <v>2272</v>
      </c>
      <c r="S233" s="97" t="s">
        <v>2272</v>
      </c>
      <c r="T233" s="21" t="s">
        <v>2272</v>
      </c>
      <c r="U233" s="21" t="s">
        <v>2272</v>
      </c>
      <c r="V233" s="21" t="s">
        <v>2272</v>
      </c>
      <c r="W233" s="21" t="s">
        <v>2272</v>
      </c>
      <c r="X233" s="21" t="s">
        <v>2272</v>
      </c>
      <c r="Y233" s="3" t="s">
        <v>402</v>
      </c>
      <c r="Z233" s="3" t="s">
        <v>403</v>
      </c>
      <c r="AA233" s="3" t="s">
        <v>63</v>
      </c>
      <c r="AB233" s="4" t="s">
        <v>406</v>
      </c>
      <c r="AC233" s="10" t="s">
        <v>407</v>
      </c>
    </row>
    <row r="234" spans="1:29"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2272</v>
      </c>
      <c r="K234" s="21" t="s">
        <v>2272</v>
      </c>
      <c r="L234" s="98" t="s">
        <v>2272</v>
      </c>
      <c r="M234" s="21" t="s">
        <v>2272</v>
      </c>
      <c r="N234" s="21" t="s">
        <v>2272</v>
      </c>
      <c r="O234" s="21" t="s">
        <v>2272</v>
      </c>
      <c r="P234" s="21" t="s">
        <v>2272</v>
      </c>
      <c r="Q234" s="21" t="s">
        <v>2272</v>
      </c>
      <c r="R234" s="97" t="s">
        <v>2272</v>
      </c>
      <c r="S234" s="97" t="s">
        <v>2272</v>
      </c>
      <c r="T234" s="21" t="s">
        <v>2272</v>
      </c>
      <c r="U234" s="21" t="s">
        <v>2272</v>
      </c>
      <c r="V234" s="21" t="s">
        <v>2272</v>
      </c>
      <c r="W234" s="21" t="s">
        <v>2272</v>
      </c>
      <c r="X234" s="21" t="s">
        <v>2272</v>
      </c>
      <c r="Y234" s="3" t="s">
        <v>402</v>
      </c>
      <c r="Z234" s="3" t="s">
        <v>403</v>
      </c>
      <c r="AA234" s="3" t="s">
        <v>63</v>
      </c>
      <c r="AB234" s="4" t="s">
        <v>406</v>
      </c>
      <c r="AC234" s="10" t="s">
        <v>407</v>
      </c>
    </row>
    <row r="235" spans="1:29"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2359</v>
      </c>
      <c r="K235" s="21" t="s">
        <v>2359</v>
      </c>
      <c r="L235" s="98" t="s">
        <v>2359</v>
      </c>
      <c r="M235" s="21" t="s">
        <v>2359</v>
      </c>
      <c r="N235" s="21" t="s">
        <v>2359</v>
      </c>
      <c r="O235" s="21" t="s">
        <v>2359</v>
      </c>
      <c r="P235" s="21" t="s">
        <v>2359</v>
      </c>
      <c r="Q235" s="21" t="s">
        <v>2359</v>
      </c>
      <c r="R235" s="97" t="s">
        <v>2272</v>
      </c>
      <c r="S235" s="97" t="s">
        <v>2272</v>
      </c>
      <c r="T235" s="21" t="s">
        <v>2359</v>
      </c>
      <c r="U235" s="21" t="s">
        <v>2359</v>
      </c>
      <c r="V235" s="21" t="s">
        <v>2359</v>
      </c>
      <c r="W235" s="21" t="s">
        <v>2359</v>
      </c>
      <c r="X235" s="21" t="s">
        <v>2272</v>
      </c>
      <c r="Y235" s="3" t="s">
        <v>398</v>
      </c>
      <c r="Z235" s="3" t="s">
        <v>397</v>
      </c>
      <c r="AA235" s="3" t="s">
        <v>63</v>
      </c>
      <c r="AB235" s="3"/>
      <c r="AC235" s="10" t="s">
        <v>413</v>
      </c>
    </row>
    <row r="236" spans="1:29"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2272</v>
      </c>
      <c r="K236" s="21" t="s">
        <v>2272</v>
      </c>
      <c r="L236" s="98" t="s">
        <v>2272</v>
      </c>
      <c r="M236" s="21" t="s">
        <v>2272</v>
      </c>
      <c r="N236" s="21" t="s">
        <v>2272</v>
      </c>
      <c r="O236" s="21" t="s">
        <v>2272</v>
      </c>
      <c r="P236" s="21" t="s">
        <v>2272</v>
      </c>
      <c r="Q236" s="21" t="s">
        <v>2272</v>
      </c>
      <c r="R236" s="97" t="s">
        <v>2272</v>
      </c>
      <c r="S236" s="97" t="s">
        <v>2272</v>
      </c>
      <c r="T236" s="21" t="s">
        <v>2369</v>
      </c>
      <c r="U236" s="21" t="s">
        <v>2272</v>
      </c>
      <c r="V236" s="21" t="s">
        <v>2522</v>
      </c>
      <c r="W236" s="21" t="s">
        <v>2272</v>
      </c>
      <c r="X236" s="21" t="s">
        <v>2272</v>
      </c>
      <c r="Y236" s="3" t="s">
        <v>398</v>
      </c>
      <c r="Z236" s="3" t="s">
        <v>397</v>
      </c>
      <c r="AA236" s="3" t="s">
        <v>63</v>
      </c>
      <c r="AB236" s="3"/>
      <c r="AC236" s="10" t="s">
        <v>413</v>
      </c>
    </row>
    <row r="237" spans="1:29"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2272</v>
      </c>
      <c r="K237" s="21" t="s">
        <v>2272</v>
      </c>
      <c r="L237" s="98" t="s">
        <v>2272</v>
      </c>
      <c r="M237" s="21" t="s">
        <v>2272</v>
      </c>
      <c r="N237" s="21" t="s">
        <v>2272</v>
      </c>
      <c r="O237" s="21" t="s">
        <v>2272</v>
      </c>
      <c r="P237" s="21" t="s">
        <v>2272</v>
      </c>
      <c r="Q237" s="21" t="s">
        <v>2272</v>
      </c>
      <c r="R237" s="97" t="s">
        <v>2272</v>
      </c>
      <c r="S237" s="97" t="s">
        <v>2272</v>
      </c>
      <c r="T237" s="21" t="s">
        <v>2272</v>
      </c>
      <c r="U237" s="21" t="s">
        <v>2272</v>
      </c>
      <c r="V237" s="21" t="s">
        <v>2272</v>
      </c>
      <c r="W237" s="21" t="s">
        <v>2272</v>
      </c>
      <c r="X237" s="21" t="s">
        <v>2272</v>
      </c>
      <c r="Y237" s="3" t="s">
        <v>402</v>
      </c>
      <c r="Z237" s="3" t="s">
        <v>403</v>
      </c>
      <c r="AA237" s="3" t="s">
        <v>63</v>
      </c>
      <c r="AB237" s="4" t="s">
        <v>406</v>
      </c>
      <c r="AC237" s="10" t="s">
        <v>407</v>
      </c>
    </row>
    <row r="238" spans="1:29"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2359</v>
      </c>
      <c r="K238" s="21" t="s">
        <v>2359</v>
      </c>
      <c r="L238" s="98" t="s">
        <v>2359</v>
      </c>
      <c r="M238" s="21" t="s">
        <v>2359</v>
      </c>
      <c r="N238" s="21" t="s">
        <v>2359</v>
      </c>
      <c r="O238" s="21" t="s">
        <v>2359</v>
      </c>
      <c r="P238" s="21" t="s">
        <v>2359</v>
      </c>
      <c r="Q238" s="21" t="s">
        <v>2359</v>
      </c>
      <c r="R238" s="97" t="s">
        <v>2272</v>
      </c>
      <c r="S238" s="97" t="s">
        <v>2272</v>
      </c>
      <c r="T238" s="21" t="s">
        <v>2359</v>
      </c>
      <c r="U238" s="21" t="s">
        <v>2359</v>
      </c>
      <c r="V238" s="21" t="s">
        <v>2359</v>
      </c>
      <c r="W238" s="21" t="s">
        <v>2359</v>
      </c>
      <c r="X238" s="21" t="s">
        <v>2272</v>
      </c>
      <c r="Y238" s="3" t="s">
        <v>398</v>
      </c>
      <c r="Z238" s="3" t="s">
        <v>397</v>
      </c>
      <c r="AA238" s="3" t="s">
        <v>63</v>
      </c>
      <c r="AB238" s="10" t="s">
        <v>399</v>
      </c>
      <c r="AC238" s="10"/>
    </row>
    <row r="239" spans="1:29"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2359</v>
      </c>
      <c r="K239" s="21" t="s">
        <v>2359</v>
      </c>
      <c r="L239" s="98" t="s">
        <v>2359</v>
      </c>
      <c r="M239" s="21" t="s">
        <v>2359</v>
      </c>
      <c r="N239" s="21" t="s">
        <v>2359</v>
      </c>
      <c r="O239" s="21" t="s">
        <v>2359</v>
      </c>
      <c r="P239" s="21" t="s">
        <v>2359</v>
      </c>
      <c r="Q239" s="21" t="s">
        <v>2359</v>
      </c>
      <c r="R239" s="97" t="s">
        <v>2272</v>
      </c>
      <c r="S239" s="97" t="s">
        <v>2272</v>
      </c>
      <c r="T239" s="21" t="s">
        <v>2359</v>
      </c>
      <c r="U239" s="21" t="s">
        <v>2359</v>
      </c>
      <c r="V239" s="21" t="s">
        <v>2359</v>
      </c>
      <c r="W239" s="21" t="s">
        <v>2359</v>
      </c>
      <c r="X239" s="21" t="s">
        <v>2272</v>
      </c>
      <c r="Y239" s="3" t="s">
        <v>398</v>
      </c>
      <c r="Z239" s="3" t="s">
        <v>397</v>
      </c>
      <c r="AA239" s="3" t="s">
        <v>63</v>
      </c>
      <c r="AB239" s="10" t="s">
        <v>1462</v>
      </c>
      <c r="AC239" s="10"/>
    </row>
    <row r="240" spans="1:29"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2359</v>
      </c>
      <c r="K240" s="21" t="s">
        <v>2359</v>
      </c>
      <c r="L240" s="98" t="s">
        <v>2359</v>
      </c>
      <c r="M240" s="21" t="s">
        <v>2359</v>
      </c>
      <c r="N240" s="21" t="s">
        <v>2359</v>
      </c>
      <c r="O240" s="21" t="s">
        <v>2359</v>
      </c>
      <c r="P240" s="21" t="s">
        <v>2359</v>
      </c>
      <c r="Q240" s="21" t="s">
        <v>2359</v>
      </c>
      <c r="R240" s="97" t="s">
        <v>2272</v>
      </c>
      <c r="S240" s="97" t="s">
        <v>2272</v>
      </c>
      <c r="T240" s="21" t="s">
        <v>2359</v>
      </c>
      <c r="U240" s="21" t="s">
        <v>2359</v>
      </c>
      <c r="V240" s="21" t="s">
        <v>2359</v>
      </c>
      <c r="W240" s="21" t="s">
        <v>2359</v>
      </c>
      <c r="X240" s="21" t="s">
        <v>2272</v>
      </c>
      <c r="Y240" s="3" t="s">
        <v>34</v>
      </c>
      <c r="Z240" s="3" t="s">
        <v>397</v>
      </c>
      <c r="AA240" s="3" t="s">
        <v>63</v>
      </c>
      <c r="AB240" s="10" t="s">
        <v>400</v>
      </c>
      <c r="AC240" s="10" t="s">
        <v>413</v>
      </c>
    </row>
    <row r="241" spans="1:29"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2272</v>
      </c>
      <c r="K241" s="21" t="s">
        <v>2272</v>
      </c>
      <c r="L241" s="98" t="s">
        <v>2272</v>
      </c>
      <c r="M241" s="21" t="s">
        <v>2272</v>
      </c>
      <c r="N241" s="21" t="s">
        <v>2272</v>
      </c>
      <c r="O241" s="21" t="s">
        <v>2272</v>
      </c>
      <c r="P241" s="21" t="s">
        <v>2272</v>
      </c>
      <c r="Q241" s="21" t="s">
        <v>2272</v>
      </c>
      <c r="R241" s="97" t="s">
        <v>2272</v>
      </c>
      <c r="S241" s="97" t="s">
        <v>2272</v>
      </c>
      <c r="T241" s="21" t="s">
        <v>2522</v>
      </c>
      <c r="U241" s="21" t="s">
        <v>2272</v>
      </c>
      <c r="V241" s="21" t="s">
        <v>2522</v>
      </c>
      <c r="W241" s="21" t="s">
        <v>2272</v>
      </c>
      <c r="X241" s="21" t="s">
        <v>2272</v>
      </c>
      <c r="Y241" s="3" t="s">
        <v>34</v>
      </c>
      <c r="Z241" s="3" t="s">
        <v>397</v>
      </c>
      <c r="AA241" s="3" t="s">
        <v>63</v>
      </c>
      <c r="AB241" s="10" t="s">
        <v>400</v>
      </c>
      <c r="AC241" s="10" t="s">
        <v>412</v>
      </c>
    </row>
    <row r="242" spans="1:29"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3" t="s">
        <v>2272</v>
      </c>
      <c r="K242" s="73" t="s">
        <v>2272</v>
      </c>
      <c r="L242" s="104" t="s">
        <v>2272</v>
      </c>
      <c r="M242" s="73" t="s">
        <v>2272</v>
      </c>
      <c r="N242" s="73" t="s">
        <v>2272</v>
      </c>
      <c r="O242" s="73" t="s">
        <v>2272</v>
      </c>
      <c r="P242" s="73" t="s">
        <v>2272</v>
      </c>
      <c r="Q242" s="73" t="s">
        <v>2272</v>
      </c>
      <c r="R242" s="97" t="s">
        <v>2272</v>
      </c>
      <c r="S242" s="97" t="s">
        <v>2272</v>
      </c>
      <c r="T242" s="21" t="s">
        <v>2522</v>
      </c>
      <c r="U242" s="73" t="s">
        <v>2272</v>
      </c>
      <c r="V242" s="73" t="s">
        <v>2522</v>
      </c>
      <c r="W242" s="73" t="s">
        <v>2272</v>
      </c>
      <c r="X242" s="73" t="s">
        <v>2272</v>
      </c>
      <c r="Y242" s="3" t="s">
        <v>34</v>
      </c>
      <c r="Z242" s="3" t="s">
        <v>397</v>
      </c>
      <c r="AA242" s="3" t="s">
        <v>63</v>
      </c>
      <c r="AB242" s="10" t="s">
        <v>400</v>
      </c>
      <c r="AC242" s="10" t="s">
        <v>413</v>
      </c>
    </row>
    <row r="243" spans="1:29"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3" t="s">
        <v>2272</v>
      </c>
      <c r="K243" s="73" t="s">
        <v>2272</v>
      </c>
      <c r="L243" s="104" t="s">
        <v>2272</v>
      </c>
      <c r="M243" s="73" t="s">
        <v>2272</v>
      </c>
      <c r="N243" s="73" t="s">
        <v>2272</v>
      </c>
      <c r="O243" s="73" t="s">
        <v>2272</v>
      </c>
      <c r="P243" s="73" t="s">
        <v>2272</v>
      </c>
      <c r="Q243" s="73" t="s">
        <v>2272</v>
      </c>
      <c r="R243" s="97" t="s">
        <v>2272</v>
      </c>
      <c r="S243" s="97" t="s">
        <v>2272</v>
      </c>
      <c r="T243" s="73" t="s">
        <v>2272</v>
      </c>
      <c r="U243" s="73" t="s">
        <v>2272</v>
      </c>
      <c r="V243" s="73" t="s">
        <v>2272</v>
      </c>
      <c r="W243" s="73" t="s">
        <v>2272</v>
      </c>
      <c r="X243" s="73" t="s">
        <v>2272</v>
      </c>
      <c r="Y243" s="3" t="s">
        <v>2272</v>
      </c>
      <c r="Z243" s="3" t="s">
        <v>2272</v>
      </c>
      <c r="AA243" s="3" t="s">
        <v>2272</v>
      </c>
      <c r="AB243" s="3"/>
      <c r="AC243" s="4" t="s">
        <v>1471</v>
      </c>
    </row>
    <row r="244" spans="1:29"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2272</v>
      </c>
      <c r="K244" s="21" t="s">
        <v>2272</v>
      </c>
      <c r="L244" s="98" t="s">
        <v>2272</v>
      </c>
      <c r="M244" s="21" t="s">
        <v>2272</v>
      </c>
      <c r="N244" s="21" t="s">
        <v>2272</v>
      </c>
      <c r="O244" s="21" t="s">
        <v>2272</v>
      </c>
      <c r="P244" s="21" t="s">
        <v>2272</v>
      </c>
      <c r="Q244" s="21" t="s">
        <v>2272</v>
      </c>
      <c r="R244" s="97" t="s">
        <v>2272</v>
      </c>
      <c r="S244" s="97" t="s">
        <v>2272</v>
      </c>
      <c r="T244" s="21" t="s">
        <v>2369</v>
      </c>
      <c r="U244" s="21" t="s">
        <v>2272</v>
      </c>
      <c r="V244" s="21" t="s">
        <v>2522</v>
      </c>
      <c r="W244" s="21" t="s">
        <v>2272</v>
      </c>
      <c r="X244" s="21" t="s">
        <v>2272</v>
      </c>
      <c r="Y244" s="3" t="s">
        <v>423</v>
      </c>
      <c r="Z244" s="3" t="s">
        <v>67</v>
      </c>
      <c r="AA244" s="3" t="s">
        <v>2272</v>
      </c>
      <c r="AB244" s="4" t="s">
        <v>1474</v>
      </c>
      <c r="AC244" s="4" t="s">
        <v>2403</v>
      </c>
    </row>
    <row r="245" spans="1:29"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2272</v>
      </c>
      <c r="K245" s="21" t="s">
        <v>2272</v>
      </c>
      <c r="L245" s="98" t="s">
        <v>2272</v>
      </c>
      <c r="M245" s="21" t="s">
        <v>2272</v>
      </c>
      <c r="N245" s="21" t="s">
        <v>2272</v>
      </c>
      <c r="O245" s="21" t="s">
        <v>2272</v>
      </c>
      <c r="P245" s="21" t="s">
        <v>2272</v>
      </c>
      <c r="Q245" s="21" t="s">
        <v>2272</v>
      </c>
      <c r="R245" s="97" t="s">
        <v>2272</v>
      </c>
      <c r="S245" s="97" t="s">
        <v>2272</v>
      </c>
      <c r="T245" s="21" t="s">
        <v>2272</v>
      </c>
      <c r="U245" s="21" t="s">
        <v>2272</v>
      </c>
      <c r="V245" s="21" t="s">
        <v>2272</v>
      </c>
      <c r="W245" s="21" t="s">
        <v>2272</v>
      </c>
      <c r="X245" s="21" t="s">
        <v>2272</v>
      </c>
      <c r="Y245" s="3" t="s">
        <v>423</v>
      </c>
      <c r="Z245" s="3" t="s">
        <v>67</v>
      </c>
      <c r="AA245" s="3" t="s">
        <v>2272</v>
      </c>
      <c r="AB245" s="4" t="s">
        <v>424</v>
      </c>
      <c r="AC245" s="4" t="s">
        <v>2404</v>
      </c>
    </row>
    <row r="246" spans="1:29"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2272</v>
      </c>
      <c r="K246" s="21" t="s">
        <v>2272</v>
      </c>
      <c r="L246" s="98" t="s">
        <v>2272</v>
      </c>
      <c r="M246" s="21" t="s">
        <v>2272</v>
      </c>
      <c r="N246" s="21" t="s">
        <v>2272</v>
      </c>
      <c r="O246" s="21" t="s">
        <v>2272</v>
      </c>
      <c r="P246" s="21" t="s">
        <v>2272</v>
      </c>
      <c r="Q246" s="21" t="s">
        <v>2272</v>
      </c>
      <c r="R246" s="97" t="s">
        <v>2272</v>
      </c>
      <c r="S246" s="97" t="s">
        <v>2272</v>
      </c>
      <c r="T246" s="21" t="s">
        <v>2272</v>
      </c>
      <c r="U246" s="21" t="s">
        <v>2385</v>
      </c>
      <c r="V246" s="21" t="s">
        <v>2272</v>
      </c>
      <c r="W246" s="21" t="s">
        <v>2272</v>
      </c>
      <c r="X246" s="21" t="s">
        <v>2272</v>
      </c>
      <c r="Y246" s="22" t="s">
        <v>2272</v>
      </c>
      <c r="Z246" s="22" t="s">
        <v>2272</v>
      </c>
      <c r="AA246" s="22" t="s">
        <v>2272</v>
      </c>
      <c r="AB246" s="24" t="s">
        <v>432</v>
      </c>
      <c r="AC246" s="24" t="s">
        <v>433</v>
      </c>
    </row>
    <row r="247" spans="1:29"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2272</v>
      </c>
      <c r="K247" s="21" t="s">
        <v>2272</v>
      </c>
      <c r="L247" s="98" t="s">
        <v>2272</v>
      </c>
      <c r="M247" s="21" t="s">
        <v>2272</v>
      </c>
      <c r="N247" s="21" t="s">
        <v>2272</v>
      </c>
      <c r="O247" s="21" t="s">
        <v>2272</v>
      </c>
      <c r="P247" s="21" t="s">
        <v>2272</v>
      </c>
      <c r="Q247" s="21" t="s">
        <v>2272</v>
      </c>
      <c r="R247" s="97" t="s">
        <v>2272</v>
      </c>
      <c r="S247" s="97" t="s">
        <v>2272</v>
      </c>
      <c r="T247" s="21" t="s">
        <v>2272</v>
      </c>
      <c r="U247" s="21" t="s">
        <v>2522</v>
      </c>
      <c r="V247" s="21" t="s">
        <v>2272</v>
      </c>
      <c r="W247" s="21" t="s">
        <v>2272</v>
      </c>
      <c r="X247" s="21" t="s">
        <v>2272</v>
      </c>
      <c r="Y247" s="22" t="s">
        <v>2272</v>
      </c>
      <c r="Z247" s="22" t="s">
        <v>2272</v>
      </c>
      <c r="AA247" s="22" t="s">
        <v>2272</v>
      </c>
      <c r="AB247" s="24" t="s">
        <v>435</v>
      </c>
      <c r="AC247" s="24" t="s">
        <v>434</v>
      </c>
    </row>
    <row r="248" spans="1:29"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2272</v>
      </c>
      <c r="K248" s="21" t="s">
        <v>2272</v>
      </c>
      <c r="L248" s="98" t="s">
        <v>2272</v>
      </c>
      <c r="M248" s="21" t="s">
        <v>2272</v>
      </c>
      <c r="N248" s="21" t="s">
        <v>2272</v>
      </c>
      <c r="O248" s="21" t="s">
        <v>2272</v>
      </c>
      <c r="P248" s="21" t="s">
        <v>2272</v>
      </c>
      <c r="Q248" s="21" t="s">
        <v>2272</v>
      </c>
      <c r="R248" s="97" t="s">
        <v>2272</v>
      </c>
      <c r="S248" s="97" t="s">
        <v>2272</v>
      </c>
      <c r="T248" s="21" t="s">
        <v>2272</v>
      </c>
      <c r="U248" s="21" t="s">
        <v>2272</v>
      </c>
      <c r="V248" s="21" t="s">
        <v>2272</v>
      </c>
      <c r="W248" s="21" t="s">
        <v>2272</v>
      </c>
      <c r="X248" s="21" t="s">
        <v>2272</v>
      </c>
      <c r="Y248" s="3" t="s">
        <v>67</v>
      </c>
      <c r="Z248" s="3" t="s">
        <v>67</v>
      </c>
      <c r="AA248" s="3" t="s">
        <v>2272</v>
      </c>
      <c r="AB248" s="3"/>
      <c r="AC248" s="4" t="s">
        <v>1477</v>
      </c>
    </row>
    <row r="249" spans="1:29"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2359</v>
      </c>
      <c r="K249" s="21" t="s">
        <v>2359</v>
      </c>
      <c r="L249" s="98" t="s">
        <v>2359</v>
      </c>
      <c r="M249" s="21" t="s">
        <v>2359</v>
      </c>
      <c r="N249" s="21" t="s">
        <v>2359</v>
      </c>
      <c r="O249" s="21" t="s">
        <v>2359</v>
      </c>
      <c r="P249" s="21" t="s">
        <v>2359</v>
      </c>
      <c r="Q249" s="21" t="s">
        <v>2359</v>
      </c>
      <c r="R249" s="97" t="s">
        <v>2272</v>
      </c>
      <c r="S249" s="97" t="s">
        <v>2272</v>
      </c>
      <c r="T249" s="21" t="s">
        <v>2359</v>
      </c>
      <c r="U249" s="21" t="s">
        <v>2359</v>
      </c>
      <c r="V249" s="21" t="s">
        <v>2359</v>
      </c>
      <c r="W249" s="21" t="s">
        <v>2359</v>
      </c>
      <c r="X249" s="21" t="s">
        <v>2272</v>
      </c>
      <c r="Y249" s="3" t="s">
        <v>2272</v>
      </c>
      <c r="Z249" s="3" t="s">
        <v>2272</v>
      </c>
      <c r="AA249" s="3" t="s">
        <v>2272</v>
      </c>
      <c r="AB249" s="4" t="s">
        <v>446</v>
      </c>
      <c r="AC249" s="4"/>
    </row>
    <row r="250" spans="1:29"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2359</v>
      </c>
      <c r="K250" s="21" t="s">
        <v>2359</v>
      </c>
      <c r="L250" s="98" t="s">
        <v>2359</v>
      </c>
      <c r="M250" s="21" t="s">
        <v>2359</v>
      </c>
      <c r="N250" s="21" t="s">
        <v>2359</v>
      </c>
      <c r="O250" s="21" t="s">
        <v>2359</v>
      </c>
      <c r="P250" s="21" t="s">
        <v>2359</v>
      </c>
      <c r="Q250" s="21" t="s">
        <v>2359</v>
      </c>
      <c r="R250" s="97" t="s">
        <v>2272</v>
      </c>
      <c r="S250" s="97" t="s">
        <v>2272</v>
      </c>
      <c r="T250" s="21" t="s">
        <v>2359</v>
      </c>
      <c r="U250" s="21" t="s">
        <v>2359</v>
      </c>
      <c r="V250" s="21" t="s">
        <v>2359</v>
      </c>
      <c r="W250" s="21" t="s">
        <v>2359</v>
      </c>
      <c r="X250" s="21" t="s">
        <v>2272</v>
      </c>
      <c r="Y250" s="3" t="s">
        <v>2272</v>
      </c>
      <c r="Z250" s="3" t="s">
        <v>2272</v>
      </c>
      <c r="AA250" s="3" t="s">
        <v>2272</v>
      </c>
      <c r="AB250" s="4" t="s">
        <v>447</v>
      </c>
      <c r="AC250" s="4"/>
    </row>
    <row r="251" spans="1:29"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2272</v>
      </c>
      <c r="K251" s="21" t="s">
        <v>2272</v>
      </c>
      <c r="L251" s="98" t="s">
        <v>2272</v>
      </c>
      <c r="M251" s="21" t="s">
        <v>2272</v>
      </c>
      <c r="N251" s="21" t="s">
        <v>2272</v>
      </c>
      <c r="O251" s="21" t="s">
        <v>2272</v>
      </c>
      <c r="P251" s="21" t="s">
        <v>2272</v>
      </c>
      <c r="Q251" s="21" t="s">
        <v>2272</v>
      </c>
      <c r="R251" s="97" t="s">
        <v>2272</v>
      </c>
      <c r="S251" s="97" t="s">
        <v>2272</v>
      </c>
      <c r="T251" s="21" t="s">
        <v>2272</v>
      </c>
      <c r="U251" s="21" t="s">
        <v>2272</v>
      </c>
      <c r="V251" s="21" t="s">
        <v>2272</v>
      </c>
      <c r="W251" s="21" t="s">
        <v>2272</v>
      </c>
      <c r="X251" s="21" t="s">
        <v>2272</v>
      </c>
      <c r="Y251" s="3" t="s">
        <v>2272</v>
      </c>
      <c r="Z251" s="3" t="s">
        <v>2272</v>
      </c>
      <c r="AA251" s="3" t="s">
        <v>2272</v>
      </c>
      <c r="AB251" s="4" t="s">
        <v>1480</v>
      </c>
      <c r="AC251" s="4" t="s">
        <v>448</v>
      </c>
    </row>
    <row r="252" spans="1:29"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2359</v>
      </c>
      <c r="K252" s="21" t="s">
        <v>2359</v>
      </c>
      <c r="L252" s="98" t="s">
        <v>2359</v>
      </c>
      <c r="M252" s="21" t="s">
        <v>2359</v>
      </c>
      <c r="N252" s="21" t="s">
        <v>2359</v>
      </c>
      <c r="O252" s="21" t="s">
        <v>2359</v>
      </c>
      <c r="P252" s="21" t="s">
        <v>2359</v>
      </c>
      <c r="Q252" s="21" t="s">
        <v>2359</v>
      </c>
      <c r="R252" s="97" t="s">
        <v>2272</v>
      </c>
      <c r="S252" s="97" t="s">
        <v>2272</v>
      </c>
      <c r="T252" s="21" t="s">
        <v>2359</v>
      </c>
      <c r="U252" s="21" t="s">
        <v>2359</v>
      </c>
      <c r="V252" s="21" t="s">
        <v>2359</v>
      </c>
      <c r="W252" s="21" t="s">
        <v>2359</v>
      </c>
      <c r="X252" s="21" t="s">
        <v>2272</v>
      </c>
      <c r="Y252" s="3" t="s">
        <v>2272</v>
      </c>
      <c r="Z252" s="3" t="s">
        <v>2272</v>
      </c>
      <c r="AA252" s="3" t="s">
        <v>2272</v>
      </c>
      <c r="AB252" s="4" t="s">
        <v>460</v>
      </c>
      <c r="AC252" s="3"/>
    </row>
    <row r="253" spans="1:29"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2359</v>
      </c>
      <c r="K253" s="21" t="s">
        <v>2359</v>
      </c>
      <c r="L253" s="98" t="s">
        <v>2359</v>
      </c>
      <c r="M253" s="21" t="s">
        <v>2359</v>
      </c>
      <c r="N253" s="21" t="s">
        <v>2359</v>
      </c>
      <c r="O253" s="21" t="s">
        <v>2359</v>
      </c>
      <c r="P253" s="21" t="s">
        <v>2359</v>
      </c>
      <c r="Q253" s="21" t="s">
        <v>2359</v>
      </c>
      <c r="R253" s="97" t="s">
        <v>2272</v>
      </c>
      <c r="S253" s="97" t="s">
        <v>2272</v>
      </c>
      <c r="T253" s="21" t="s">
        <v>2359</v>
      </c>
      <c r="U253" s="21" t="s">
        <v>2359</v>
      </c>
      <c r="V253" s="21" t="s">
        <v>2359</v>
      </c>
      <c r="W253" s="21" t="s">
        <v>2359</v>
      </c>
      <c r="X253" s="21" t="s">
        <v>2272</v>
      </c>
      <c r="Y253" s="3" t="s">
        <v>2272</v>
      </c>
      <c r="Z253" s="3" t="s">
        <v>2272</v>
      </c>
      <c r="AA253" s="3" t="s">
        <v>2272</v>
      </c>
      <c r="AB253" s="4" t="s">
        <v>460</v>
      </c>
      <c r="AC253" s="3"/>
    </row>
    <row r="254" spans="1:29"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2359</v>
      </c>
      <c r="K254" s="21" t="s">
        <v>2359</v>
      </c>
      <c r="L254" s="98" t="s">
        <v>2359</v>
      </c>
      <c r="M254" s="21" t="s">
        <v>2359</v>
      </c>
      <c r="N254" s="21" t="s">
        <v>2359</v>
      </c>
      <c r="O254" s="21" t="s">
        <v>2359</v>
      </c>
      <c r="P254" s="21" t="s">
        <v>2359</v>
      </c>
      <c r="Q254" s="21" t="s">
        <v>2359</v>
      </c>
      <c r="R254" s="97" t="s">
        <v>2272</v>
      </c>
      <c r="S254" s="97" t="s">
        <v>2272</v>
      </c>
      <c r="T254" s="21" t="s">
        <v>2359</v>
      </c>
      <c r="U254" s="21" t="s">
        <v>2359</v>
      </c>
      <c r="V254" s="21" t="s">
        <v>2359</v>
      </c>
      <c r="W254" s="21" t="s">
        <v>2359</v>
      </c>
      <c r="X254" s="21" t="s">
        <v>2272</v>
      </c>
      <c r="Y254" s="3" t="s">
        <v>2272</v>
      </c>
      <c r="Z254" s="3" t="s">
        <v>2272</v>
      </c>
      <c r="AA254" s="3" t="s">
        <v>2272</v>
      </c>
      <c r="AB254" s="4" t="s">
        <v>462</v>
      </c>
      <c r="AC254" s="3"/>
    </row>
    <row r="255" spans="1:29"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2359</v>
      </c>
      <c r="K255" s="21" t="s">
        <v>2359</v>
      </c>
      <c r="L255" s="98" t="s">
        <v>2359</v>
      </c>
      <c r="M255" s="21" t="s">
        <v>2359</v>
      </c>
      <c r="N255" s="21" t="s">
        <v>2359</v>
      </c>
      <c r="O255" s="21" t="s">
        <v>2359</v>
      </c>
      <c r="P255" s="21" t="s">
        <v>2359</v>
      </c>
      <c r="Q255" s="21" t="s">
        <v>2359</v>
      </c>
      <c r="R255" s="97" t="s">
        <v>2272</v>
      </c>
      <c r="S255" s="97" t="s">
        <v>2272</v>
      </c>
      <c r="T255" s="21" t="s">
        <v>2359</v>
      </c>
      <c r="U255" s="21" t="s">
        <v>2359</v>
      </c>
      <c r="V255" s="21" t="s">
        <v>2359</v>
      </c>
      <c r="W255" s="21" t="s">
        <v>2359</v>
      </c>
      <c r="X255" s="21" t="s">
        <v>2272</v>
      </c>
      <c r="Y255" s="3" t="s">
        <v>2272</v>
      </c>
      <c r="Z255" s="3" t="s">
        <v>2272</v>
      </c>
      <c r="AA255" s="3" t="s">
        <v>2272</v>
      </c>
      <c r="AB255" s="4" t="s">
        <v>477</v>
      </c>
      <c r="AC255" s="3"/>
    </row>
    <row r="256" spans="1:29"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2359</v>
      </c>
      <c r="K256" s="21" t="s">
        <v>2359</v>
      </c>
      <c r="L256" s="98" t="s">
        <v>2359</v>
      </c>
      <c r="M256" s="21" t="s">
        <v>2359</v>
      </c>
      <c r="N256" s="21" t="s">
        <v>2359</v>
      </c>
      <c r="O256" s="21" t="s">
        <v>2359</v>
      </c>
      <c r="P256" s="21" t="s">
        <v>2359</v>
      </c>
      <c r="Q256" s="21" t="s">
        <v>2359</v>
      </c>
      <c r="R256" s="97" t="s">
        <v>2272</v>
      </c>
      <c r="S256" s="97" t="s">
        <v>2272</v>
      </c>
      <c r="T256" s="21" t="s">
        <v>2359</v>
      </c>
      <c r="U256" s="21" t="s">
        <v>2359</v>
      </c>
      <c r="V256" s="21" t="s">
        <v>2359</v>
      </c>
      <c r="W256" s="21" t="s">
        <v>2359</v>
      </c>
      <c r="X256" s="21" t="s">
        <v>2272</v>
      </c>
      <c r="Y256" s="3" t="s">
        <v>2272</v>
      </c>
      <c r="Z256" s="3" t="s">
        <v>2272</v>
      </c>
      <c r="AA256" s="3" t="s">
        <v>2272</v>
      </c>
      <c r="AB256" s="4" t="s">
        <v>476</v>
      </c>
      <c r="AC256" s="3"/>
    </row>
    <row r="257" spans="1:29"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2359</v>
      </c>
      <c r="K257" s="21" t="s">
        <v>2359</v>
      </c>
      <c r="L257" s="98" t="s">
        <v>2359</v>
      </c>
      <c r="M257" s="21" t="s">
        <v>2359</v>
      </c>
      <c r="N257" s="21" t="s">
        <v>2359</v>
      </c>
      <c r="O257" s="21" t="s">
        <v>2359</v>
      </c>
      <c r="P257" s="21" t="s">
        <v>2359</v>
      </c>
      <c r="Q257" s="21" t="s">
        <v>2359</v>
      </c>
      <c r="R257" s="97" t="s">
        <v>2272</v>
      </c>
      <c r="S257" s="97" t="s">
        <v>2272</v>
      </c>
      <c r="T257" s="21" t="s">
        <v>2359</v>
      </c>
      <c r="U257" s="21" t="s">
        <v>2359</v>
      </c>
      <c r="V257" s="21" t="s">
        <v>2359</v>
      </c>
      <c r="W257" s="21" t="s">
        <v>2359</v>
      </c>
      <c r="X257" s="21" t="s">
        <v>2272</v>
      </c>
      <c r="Y257" s="3" t="s">
        <v>2272</v>
      </c>
      <c r="Z257" s="3" t="s">
        <v>2272</v>
      </c>
      <c r="AA257" s="3" t="s">
        <v>2272</v>
      </c>
      <c r="AB257" s="3"/>
      <c r="AC257" s="3"/>
    </row>
    <row r="258" spans="1:29"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2359</v>
      </c>
      <c r="K258" s="21" t="s">
        <v>2359</v>
      </c>
      <c r="L258" s="98" t="s">
        <v>2359</v>
      </c>
      <c r="M258" s="21" t="s">
        <v>2359</v>
      </c>
      <c r="N258" s="21" t="s">
        <v>2359</v>
      </c>
      <c r="O258" s="21" t="s">
        <v>2359</v>
      </c>
      <c r="P258" s="21" t="s">
        <v>2359</v>
      </c>
      <c r="Q258" s="21" t="s">
        <v>2359</v>
      </c>
      <c r="R258" s="97" t="s">
        <v>2272</v>
      </c>
      <c r="S258" s="97" t="s">
        <v>2272</v>
      </c>
      <c r="T258" s="21" t="s">
        <v>2359</v>
      </c>
      <c r="U258" s="21" t="s">
        <v>2359</v>
      </c>
      <c r="V258" s="21" t="s">
        <v>2359</v>
      </c>
      <c r="W258" s="21" t="s">
        <v>2359</v>
      </c>
      <c r="X258" s="21" t="s">
        <v>2272</v>
      </c>
      <c r="Y258" s="3" t="s">
        <v>2272</v>
      </c>
      <c r="Z258" s="3" t="s">
        <v>2272</v>
      </c>
      <c r="AA258" s="3" t="s">
        <v>2272</v>
      </c>
      <c r="AB258" s="4" t="s">
        <v>462</v>
      </c>
      <c r="AC258" s="3"/>
    </row>
    <row r="259" spans="1:29"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2272</v>
      </c>
      <c r="K259" s="21" t="s">
        <v>2272</v>
      </c>
      <c r="L259" s="98" t="s">
        <v>2272</v>
      </c>
      <c r="M259" s="21" t="s">
        <v>2272</v>
      </c>
      <c r="N259" s="21" t="s">
        <v>2272</v>
      </c>
      <c r="O259" s="21" t="s">
        <v>2272</v>
      </c>
      <c r="P259" s="21" t="s">
        <v>2272</v>
      </c>
      <c r="Q259" s="21" t="s">
        <v>2272</v>
      </c>
      <c r="R259" s="97" t="s">
        <v>2272</v>
      </c>
      <c r="S259" s="97" t="s">
        <v>2272</v>
      </c>
      <c r="T259" s="21" t="s">
        <v>2272</v>
      </c>
      <c r="U259" s="21" t="s">
        <v>2272</v>
      </c>
      <c r="V259" s="21" t="s">
        <v>2522</v>
      </c>
      <c r="W259" s="21" t="s">
        <v>2272</v>
      </c>
      <c r="X259" s="21" t="s">
        <v>2272</v>
      </c>
      <c r="Y259" s="3" t="s">
        <v>67</v>
      </c>
      <c r="Z259" s="3" t="s">
        <v>34</v>
      </c>
      <c r="AA259" s="3" t="s">
        <v>63</v>
      </c>
      <c r="AB259" s="4" t="s">
        <v>481</v>
      </c>
      <c r="AC259" s="4" t="s">
        <v>2407</v>
      </c>
    </row>
    <row r="260" spans="1:29"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69" t="s">
        <v>2359</v>
      </c>
      <c r="K260" s="69" t="s">
        <v>2359</v>
      </c>
      <c r="L260" s="106" t="s">
        <v>2359</v>
      </c>
      <c r="M260" s="69" t="s">
        <v>2359</v>
      </c>
      <c r="N260" s="69" t="s">
        <v>2359</v>
      </c>
      <c r="O260" s="69" t="s">
        <v>2359</v>
      </c>
      <c r="P260" s="69" t="s">
        <v>2359</v>
      </c>
      <c r="Q260" s="69" t="s">
        <v>2359</v>
      </c>
      <c r="R260" s="97" t="s">
        <v>2272</v>
      </c>
      <c r="S260" s="97" t="s">
        <v>2272</v>
      </c>
      <c r="T260" s="69" t="s">
        <v>2359</v>
      </c>
      <c r="U260" s="69" t="s">
        <v>2359</v>
      </c>
      <c r="V260" s="69" t="s">
        <v>2359</v>
      </c>
      <c r="W260" s="69" t="s">
        <v>2359</v>
      </c>
      <c r="X260" s="21" t="s">
        <v>2272</v>
      </c>
      <c r="Y260" s="3" t="s">
        <v>2272</v>
      </c>
      <c r="Z260" s="3" t="s">
        <v>2272</v>
      </c>
      <c r="AA260" s="3" t="s">
        <v>2272</v>
      </c>
      <c r="AB260" s="3"/>
      <c r="AC260" s="4"/>
    </row>
    <row r="261" spans="1:29"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2359</v>
      </c>
      <c r="K261" s="21" t="s">
        <v>2359</v>
      </c>
      <c r="L261" s="98" t="s">
        <v>2359</v>
      </c>
      <c r="M261" s="21" t="s">
        <v>2359</v>
      </c>
      <c r="N261" s="21" t="s">
        <v>2359</v>
      </c>
      <c r="O261" s="21" t="s">
        <v>2359</v>
      </c>
      <c r="P261" s="21" t="s">
        <v>2359</v>
      </c>
      <c r="Q261" s="21" t="s">
        <v>2359</v>
      </c>
      <c r="R261" s="97" t="s">
        <v>2272</v>
      </c>
      <c r="S261" s="97" t="s">
        <v>2272</v>
      </c>
      <c r="T261" s="21" t="s">
        <v>2359</v>
      </c>
      <c r="U261" s="21" t="s">
        <v>2359</v>
      </c>
      <c r="V261" s="21" t="s">
        <v>2359</v>
      </c>
      <c r="W261" s="21" t="s">
        <v>2359</v>
      </c>
      <c r="X261" s="21" t="s">
        <v>2272</v>
      </c>
      <c r="Y261" s="3" t="s">
        <v>2272</v>
      </c>
      <c r="Z261" s="3" t="s">
        <v>2272</v>
      </c>
      <c r="AA261" s="3" t="s">
        <v>2272</v>
      </c>
      <c r="AB261" s="4" t="s">
        <v>462</v>
      </c>
      <c r="AC261" s="4"/>
    </row>
    <row r="262" spans="1:29"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2272</v>
      </c>
      <c r="K262" s="21" t="s">
        <v>2272</v>
      </c>
      <c r="L262" s="98" t="s">
        <v>2272</v>
      </c>
      <c r="M262" s="21" t="s">
        <v>2272</v>
      </c>
      <c r="N262" s="21" t="s">
        <v>2272</v>
      </c>
      <c r="O262" s="21" t="s">
        <v>2272</v>
      </c>
      <c r="P262" s="21" t="s">
        <v>2272</v>
      </c>
      <c r="Q262" s="21" t="s">
        <v>2272</v>
      </c>
      <c r="R262" s="97" t="s">
        <v>2272</v>
      </c>
      <c r="S262" s="97" t="s">
        <v>2272</v>
      </c>
      <c r="T262" s="21" t="s">
        <v>2272</v>
      </c>
      <c r="U262" s="21" t="s">
        <v>2272</v>
      </c>
      <c r="V262" s="21" t="s">
        <v>2522</v>
      </c>
      <c r="W262" s="21" t="s">
        <v>2272</v>
      </c>
      <c r="X262" s="21" t="s">
        <v>2272</v>
      </c>
      <c r="Y262" s="3" t="s">
        <v>67</v>
      </c>
      <c r="Z262" s="3" t="s">
        <v>34</v>
      </c>
      <c r="AA262" s="3" t="s">
        <v>63</v>
      </c>
      <c r="AB262" s="4" t="s">
        <v>489</v>
      </c>
      <c r="AC262" s="4" t="s">
        <v>2407</v>
      </c>
    </row>
    <row r="263" spans="1:29"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2359</v>
      </c>
      <c r="K263" s="21" t="s">
        <v>2359</v>
      </c>
      <c r="L263" s="98" t="s">
        <v>2359</v>
      </c>
      <c r="M263" s="21" t="s">
        <v>2359</v>
      </c>
      <c r="N263" s="21" t="s">
        <v>2359</v>
      </c>
      <c r="O263" s="21" t="s">
        <v>2359</v>
      </c>
      <c r="P263" s="21" t="s">
        <v>2359</v>
      </c>
      <c r="Q263" s="21" t="s">
        <v>2359</v>
      </c>
      <c r="R263" s="97" t="s">
        <v>2272</v>
      </c>
      <c r="S263" s="97" t="s">
        <v>2272</v>
      </c>
      <c r="T263" s="21" t="s">
        <v>2359</v>
      </c>
      <c r="U263" s="21" t="s">
        <v>2359</v>
      </c>
      <c r="V263" s="21" t="s">
        <v>2359</v>
      </c>
      <c r="W263" s="21" t="s">
        <v>2359</v>
      </c>
      <c r="X263" s="21" t="s">
        <v>2272</v>
      </c>
      <c r="Y263" s="3" t="s">
        <v>2272</v>
      </c>
      <c r="Z263" s="3" t="s">
        <v>2272</v>
      </c>
      <c r="AA263" s="3" t="s">
        <v>2272</v>
      </c>
      <c r="AB263" s="3"/>
      <c r="AC263" s="4"/>
    </row>
    <row r="264" spans="1:29"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2359</v>
      </c>
      <c r="K264" s="21" t="s">
        <v>2359</v>
      </c>
      <c r="L264" s="98" t="s">
        <v>2359</v>
      </c>
      <c r="M264" s="21" t="s">
        <v>2359</v>
      </c>
      <c r="N264" s="21" t="s">
        <v>2359</v>
      </c>
      <c r="O264" s="21" t="s">
        <v>2359</v>
      </c>
      <c r="P264" s="21" t="s">
        <v>2359</v>
      </c>
      <c r="Q264" s="21" t="s">
        <v>2359</v>
      </c>
      <c r="R264" s="97" t="s">
        <v>2272</v>
      </c>
      <c r="S264" s="97" t="s">
        <v>2272</v>
      </c>
      <c r="T264" s="21" t="s">
        <v>2359</v>
      </c>
      <c r="U264" s="21" t="s">
        <v>2359</v>
      </c>
      <c r="V264" s="21" t="s">
        <v>2359</v>
      </c>
      <c r="W264" s="21" t="s">
        <v>2359</v>
      </c>
      <c r="X264" s="21" t="s">
        <v>2272</v>
      </c>
      <c r="Y264" s="3" t="s">
        <v>2272</v>
      </c>
      <c r="Z264" s="3" t="s">
        <v>2272</v>
      </c>
      <c r="AA264" s="3" t="s">
        <v>2272</v>
      </c>
      <c r="AB264" s="3"/>
      <c r="AC264" s="4"/>
    </row>
    <row r="265" spans="1:29"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69" t="s">
        <v>2272</v>
      </c>
      <c r="K265" s="69" t="s">
        <v>2272</v>
      </c>
      <c r="L265" s="106" t="s">
        <v>2272</v>
      </c>
      <c r="M265" s="69" t="s">
        <v>2272</v>
      </c>
      <c r="N265" s="69" t="s">
        <v>2272</v>
      </c>
      <c r="O265" s="69" t="s">
        <v>2272</v>
      </c>
      <c r="P265" s="69" t="s">
        <v>2272</v>
      </c>
      <c r="Q265" s="69" t="s">
        <v>2272</v>
      </c>
      <c r="R265" s="97" t="s">
        <v>2272</v>
      </c>
      <c r="S265" s="97" t="s">
        <v>2272</v>
      </c>
      <c r="T265" s="69" t="s">
        <v>2272</v>
      </c>
      <c r="U265" s="69" t="s">
        <v>2272</v>
      </c>
      <c r="V265" s="69" t="s">
        <v>2371</v>
      </c>
      <c r="W265" s="69" t="s">
        <v>2272</v>
      </c>
      <c r="X265" s="69" t="s">
        <v>2272</v>
      </c>
      <c r="Y265" s="3" t="s">
        <v>67</v>
      </c>
      <c r="Z265" s="3" t="s">
        <v>34</v>
      </c>
      <c r="AA265" s="3" t="s">
        <v>63</v>
      </c>
      <c r="AB265" s="4" t="s">
        <v>488</v>
      </c>
      <c r="AC265" s="4" t="s">
        <v>2407</v>
      </c>
    </row>
    <row r="266" spans="1:29"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2359</v>
      </c>
      <c r="K266" s="21" t="s">
        <v>2359</v>
      </c>
      <c r="L266" s="98" t="s">
        <v>2359</v>
      </c>
      <c r="M266" s="21" t="s">
        <v>2359</v>
      </c>
      <c r="N266" s="21" t="s">
        <v>2359</v>
      </c>
      <c r="O266" s="21" t="s">
        <v>2359</v>
      </c>
      <c r="P266" s="21" t="s">
        <v>2359</v>
      </c>
      <c r="Q266" s="21" t="s">
        <v>2359</v>
      </c>
      <c r="R266" s="97" t="s">
        <v>2272</v>
      </c>
      <c r="S266" s="97" t="s">
        <v>2272</v>
      </c>
      <c r="T266" s="21" t="s">
        <v>2359</v>
      </c>
      <c r="U266" s="21" t="s">
        <v>2359</v>
      </c>
      <c r="V266" s="21" t="s">
        <v>2359</v>
      </c>
      <c r="W266" s="21" t="s">
        <v>2359</v>
      </c>
      <c r="X266" s="21" t="s">
        <v>2272</v>
      </c>
      <c r="Y266" s="3" t="s">
        <v>2272</v>
      </c>
      <c r="Z266" s="3" t="s">
        <v>2272</v>
      </c>
      <c r="AA266" s="3" t="s">
        <v>2272</v>
      </c>
      <c r="AB266" s="3"/>
      <c r="AC266" s="4"/>
    </row>
    <row r="267" spans="1:29"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2359</v>
      </c>
      <c r="K267" s="21" t="s">
        <v>2359</v>
      </c>
      <c r="L267" s="98" t="s">
        <v>2359</v>
      </c>
      <c r="M267" s="21" t="s">
        <v>2359</v>
      </c>
      <c r="N267" s="21" t="s">
        <v>2359</v>
      </c>
      <c r="O267" s="21" t="s">
        <v>2359</v>
      </c>
      <c r="P267" s="21" t="s">
        <v>2359</v>
      </c>
      <c r="Q267" s="21" t="s">
        <v>2359</v>
      </c>
      <c r="R267" s="97" t="s">
        <v>2272</v>
      </c>
      <c r="S267" s="97" t="s">
        <v>2272</v>
      </c>
      <c r="T267" s="21" t="s">
        <v>2359</v>
      </c>
      <c r="U267" s="21" t="s">
        <v>2359</v>
      </c>
      <c r="V267" s="21" t="s">
        <v>2359</v>
      </c>
      <c r="W267" s="21" t="s">
        <v>2359</v>
      </c>
      <c r="X267" s="21" t="s">
        <v>2272</v>
      </c>
      <c r="Y267" s="3" t="s">
        <v>2272</v>
      </c>
      <c r="Z267" s="3" t="s">
        <v>2272</v>
      </c>
      <c r="AA267" s="3" t="s">
        <v>2272</v>
      </c>
      <c r="AB267" s="3"/>
      <c r="AC267" s="4"/>
    </row>
    <row r="268" spans="1:29"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69" t="s">
        <v>2359</v>
      </c>
      <c r="K268" s="69" t="s">
        <v>2359</v>
      </c>
      <c r="L268" s="106" t="s">
        <v>2359</v>
      </c>
      <c r="M268" s="69" t="s">
        <v>2359</v>
      </c>
      <c r="N268" s="69" t="s">
        <v>2359</v>
      </c>
      <c r="O268" s="69" t="s">
        <v>2359</v>
      </c>
      <c r="P268" s="69" t="s">
        <v>2359</v>
      </c>
      <c r="Q268" s="69" t="s">
        <v>2359</v>
      </c>
      <c r="R268" s="97" t="s">
        <v>2272</v>
      </c>
      <c r="S268" s="97" t="s">
        <v>2272</v>
      </c>
      <c r="T268" s="69" t="s">
        <v>2359</v>
      </c>
      <c r="U268" s="69" t="s">
        <v>2359</v>
      </c>
      <c r="V268" s="69" t="s">
        <v>2359</v>
      </c>
      <c r="W268" s="69" t="s">
        <v>2359</v>
      </c>
      <c r="X268" s="21" t="s">
        <v>2272</v>
      </c>
      <c r="Y268" s="3" t="s">
        <v>2272</v>
      </c>
      <c r="Z268" s="3" t="s">
        <v>2272</v>
      </c>
      <c r="AA268" s="3" t="s">
        <v>2272</v>
      </c>
      <c r="AB268" s="3"/>
      <c r="AC268" s="4"/>
    </row>
    <row r="269" spans="1:29"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2359</v>
      </c>
      <c r="K269" s="21" t="s">
        <v>2359</v>
      </c>
      <c r="L269" s="98" t="s">
        <v>2359</v>
      </c>
      <c r="M269" s="21" t="s">
        <v>2359</v>
      </c>
      <c r="N269" s="21" t="s">
        <v>2359</v>
      </c>
      <c r="O269" s="21" t="s">
        <v>2359</v>
      </c>
      <c r="P269" s="21" t="s">
        <v>2359</v>
      </c>
      <c r="Q269" s="21" t="s">
        <v>2359</v>
      </c>
      <c r="R269" s="97" t="s">
        <v>2272</v>
      </c>
      <c r="S269" s="97" t="s">
        <v>2272</v>
      </c>
      <c r="T269" s="21" t="s">
        <v>2359</v>
      </c>
      <c r="U269" s="21" t="s">
        <v>2359</v>
      </c>
      <c r="V269" s="21" t="s">
        <v>2359</v>
      </c>
      <c r="W269" s="21" t="s">
        <v>2359</v>
      </c>
      <c r="X269" s="21" t="s">
        <v>2272</v>
      </c>
      <c r="Y269" s="3" t="s">
        <v>2272</v>
      </c>
      <c r="Z269" s="3" t="s">
        <v>2272</v>
      </c>
      <c r="AA269" s="3" t="s">
        <v>2272</v>
      </c>
      <c r="AB269" s="3"/>
      <c r="AC269" s="4"/>
    </row>
    <row r="270" spans="1:29"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2272</v>
      </c>
      <c r="K270" s="21" t="s">
        <v>2272</v>
      </c>
      <c r="L270" s="98" t="s">
        <v>2272</v>
      </c>
      <c r="M270" s="21" t="s">
        <v>2272</v>
      </c>
      <c r="N270" s="21" t="s">
        <v>2272</v>
      </c>
      <c r="O270" s="21" t="s">
        <v>2272</v>
      </c>
      <c r="P270" s="21" t="s">
        <v>2272</v>
      </c>
      <c r="Q270" s="21" t="s">
        <v>2272</v>
      </c>
      <c r="R270" s="97" t="s">
        <v>2272</v>
      </c>
      <c r="S270" s="97" t="s">
        <v>2272</v>
      </c>
      <c r="T270" s="21" t="s">
        <v>2272</v>
      </c>
      <c r="U270" s="21" t="s">
        <v>2272</v>
      </c>
      <c r="V270" s="21" t="s">
        <v>2522</v>
      </c>
      <c r="W270" s="21" t="s">
        <v>2272</v>
      </c>
      <c r="X270" s="21" t="s">
        <v>2272</v>
      </c>
      <c r="Y270" s="3" t="s">
        <v>67</v>
      </c>
      <c r="Z270" s="3" t="s">
        <v>34</v>
      </c>
      <c r="AA270" s="3" t="s">
        <v>63</v>
      </c>
      <c r="AB270" s="3"/>
      <c r="AC270" s="4" t="s">
        <v>2407</v>
      </c>
    </row>
    <row r="271" spans="1:29"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2359</v>
      </c>
      <c r="K271" s="21" t="s">
        <v>2359</v>
      </c>
      <c r="L271" s="98" t="s">
        <v>2359</v>
      </c>
      <c r="M271" s="21" t="s">
        <v>2359</v>
      </c>
      <c r="N271" s="21" t="s">
        <v>2359</v>
      </c>
      <c r="O271" s="21" t="s">
        <v>2359</v>
      </c>
      <c r="P271" s="21" t="s">
        <v>2359</v>
      </c>
      <c r="Q271" s="21" t="s">
        <v>2359</v>
      </c>
      <c r="R271" s="97" t="s">
        <v>2272</v>
      </c>
      <c r="S271" s="97" t="s">
        <v>2272</v>
      </c>
      <c r="T271" s="21" t="s">
        <v>2359</v>
      </c>
      <c r="U271" s="21" t="s">
        <v>2359</v>
      </c>
      <c r="V271" s="21" t="s">
        <v>2359</v>
      </c>
      <c r="W271" s="21" t="s">
        <v>2359</v>
      </c>
      <c r="X271" s="21" t="s">
        <v>2272</v>
      </c>
      <c r="Y271" s="3" t="s">
        <v>2272</v>
      </c>
      <c r="Z271" s="3" t="s">
        <v>2272</v>
      </c>
      <c r="AA271" s="3" t="s">
        <v>2272</v>
      </c>
      <c r="AB271" s="3"/>
      <c r="AC271" s="4"/>
    </row>
    <row r="272" spans="1:29"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2359</v>
      </c>
      <c r="K272" s="21" t="s">
        <v>2359</v>
      </c>
      <c r="L272" s="98" t="s">
        <v>2359</v>
      </c>
      <c r="M272" s="21" t="s">
        <v>2359</v>
      </c>
      <c r="N272" s="21" t="s">
        <v>2359</v>
      </c>
      <c r="O272" s="21" t="s">
        <v>2359</v>
      </c>
      <c r="P272" s="21" t="s">
        <v>2359</v>
      </c>
      <c r="Q272" s="21" t="s">
        <v>2359</v>
      </c>
      <c r="R272" s="97" t="s">
        <v>2272</v>
      </c>
      <c r="S272" s="97" t="s">
        <v>2272</v>
      </c>
      <c r="T272" s="21" t="s">
        <v>2359</v>
      </c>
      <c r="U272" s="21" t="s">
        <v>2359</v>
      </c>
      <c r="V272" s="21" t="s">
        <v>2359</v>
      </c>
      <c r="W272" s="21" t="s">
        <v>2359</v>
      </c>
      <c r="X272" s="21" t="s">
        <v>2272</v>
      </c>
      <c r="Y272" s="3" t="s">
        <v>2272</v>
      </c>
      <c r="Z272" s="3" t="s">
        <v>2272</v>
      </c>
      <c r="AA272" s="3" t="s">
        <v>2272</v>
      </c>
      <c r="AB272" s="3"/>
      <c r="AC272" s="4"/>
    </row>
    <row r="273" spans="1:29"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2272</v>
      </c>
      <c r="K273" s="21" t="s">
        <v>2272</v>
      </c>
      <c r="L273" s="98" t="s">
        <v>2272</v>
      </c>
      <c r="M273" s="21" t="s">
        <v>2272</v>
      </c>
      <c r="N273" s="21" t="s">
        <v>2272</v>
      </c>
      <c r="O273" s="21" t="s">
        <v>2272</v>
      </c>
      <c r="P273" s="21" t="s">
        <v>2272</v>
      </c>
      <c r="Q273" s="21" t="s">
        <v>2272</v>
      </c>
      <c r="R273" s="97" t="s">
        <v>2272</v>
      </c>
      <c r="S273" s="97" t="s">
        <v>2272</v>
      </c>
      <c r="T273" s="21" t="s">
        <v>2272</v>
      </c>
      <c r="U273" s="21" t="s">
        <v>2272</v>
      </c>
      <c r="V273" s="21" t="s">
        <v>2522</v>
      </c>
      <c r="W273" s="21" t="s">
        <v>2272</v>
      </c>
      <c r="X273" s="21" t="s">
        <v>2272</v>
      </c>
      <c r="Y273" s="3" t="s">
        <v>67</v>
      </c>
      <c r="Z273" s="3" t="s">
        <v>34</v>
      </c>
      <c r="AA273" s="3" t="s">
        <v>63</v>
      </c>
      <c r="AB273" s="3"/>
      <c r="AC273" s="4" t="s">
        <v>2407</v>
      </c>
    </row>
    <row r="274" spans="1:29"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2272</v>
      </c>
      <c r="K274" s="21" t="s">
        <v>2272</v>
      </c>
      <c r="L274" s="98" t="s">
        <v>2272</v>
      </c>
      <c r="M274" s="21" t="s">
        <v>2272</v>
      </c>
      <c r="N274" s="21" t="s">
        <v>2272</v>
      </c>
      <c r="O274" s="21" t="s">
        <v>2272</v>
      </c>
      <c r="P274" s="21" t="s">
        <v>2272</v>
      </c>
      <c r="Q274" s="21" t="s">
        <v>2272</v>
      </c>
      <c r="R274" s="97" t="s">
        <v>2272</v>
      </c>
      <c r="S274" s="97" t="s">
        <v>2272</v>
      </c>
      <c r="T274" s="21" t="s">
        <v>2272</v>
      </c>
      <c r="U274" s="21" t="s">
        <v>2272</v>
      </c>
      <c r="V274" s="21" t="s">
        <v>2272</v>
      </c>
      <c r="W274" s="21" t="s">
        <v>2371</v>
      </c>
      <c r="X274" s="21" t="s">
        <v>2370</v>
      </c>
      <c r="Y274" s="3"/>
      <c r="Z274" s="3"/>
      <c r="AA274" s="3" t="s">
        <v>2308</v>
      </c>
      <c r="AB274" s="4" t="s">
        <v>2309</v>
      </c>
      <c r="AC274" s="4" t="s">
        <v>2319</v>
      </c>
    </row>
    <row r="275" spans="1:29"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2272</v>
      </c>
      <c r="K275" s="21" t="s">
        <v>2272</v>
      </c>
      <c r="L275" s="98" t="s">
        <v>2272</v>
      </c>
      <c r="M275" s="21" t="s">
        <v>2272</v>
      </c>
      <c r="N275" s="21" t="s">
        <v>2272</v>
      </c>
      <c r="O275" s="21" t="s">
        <v>2272</v>
      </c>
      <c r="P275" s="21" t="s">
        <v>2272</v>
      </c>
      <c r="Q275" s="21" t="s">
        <v>2272</v>
      </c>
      <c r="R275" s="97" t="s">
        <v>2272</v>
      </c>
      <c r="S275" s="97" t="s">
        <v>2272</v>
      </c>
      <c r="T275" s="21" t="s">
        <v>2272</v>
      </c>
      <c r="U275" s="21" t="s">
        <v>2272</v>
      </c>
      <c r="V275" s="21" t="s">
        <v>2272</v>
      </c>
      <c r="W275" s="21" t="s">
        <v>2522</v>
      </c>
      <c r="X275" s="21" t="s">
        <v>2272</v>
      </c>
      <c r="Y275" s="3"/>
      <c r="Z275" s="3"/>
      <c r="AA275" s="3" t="s">
        <v>2308</v>
      </c>
      <c r="AB275" s="4" t="s">
        <v>2309</v>
      </c>
      <c r="AC275" s="4" t="s">
        <v>2320</v>
      </c>
    </row>
    <row r="276" spans="1:29"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2359</v>
      </c>
      <c r="K276" s="21" t="s">
        <v>2359</v>
      </c>
      <c r="L276" s="98" t="s">
        <v>2359</v>
      </c>
      <c r="M276" s="21" t="s">
        <v>2359</v>
      </c>
      <c r="N276" s="21" t="s">
        <v>2359</v>
      </c>
      <c r="O276" s="21" t="s">
        <v>2359</v>
      </c>
      <c r="P276" s="21" t="s">
        <v>2359</v>
      </c>
      <c r="Q276" s="21" t="s">
        <v>2359</v>
      </c>
      <c r="R276" s="97" t="s">
        <v>2272</v>
      </c>
      <c r="S276" s="97" t="s">
        <v>2272</v>
      </c>
      <c r="T276" s="21" t="s">
        <v>2359</v>
      </c>
      <c r="U276" s="21" t="s">
        <v>2359</v>
      </c>
      <c r="V276" s="21" t="s">
        <v>2359</v>
      </c>
      <c r="W276" s="21" t="s">
        <v>2359</v>
      </c>
      <c r="X276" s="21" t="s">
        <v>2272</v>
      </c>
      <c r="Y276" s="3"/>
      <c r="Z276" s="3"/>
      <c r="AA276" s="3"/>
      <c r="AB276" s="4" t="s">
        <v>2310</v>
      </c>
      <c r="AC276" s="4"/>
    </row>
    <row r="277" spans="1:29"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2272</v>
      </c>
      <c r="K277" s="21" t="s">
        <v>2272</v>
      </c>
      <c r="L277" s="98" t="s">
        <v>2272</v>
      </c>
      <c r="M277" s="21" t="s">
        <v>2272</v>
      </c>
      <c r="N277" s="21" t="s">
        <v>2272</v>
      </c>
      <c r="O277" s="21" t="s">
        <v>2272</v>
      </c>
      <c r="P277" s="21" t="s">
        <v>2272</v>
      </c>
      <c r="Q277" s="21" t="s">
        <v>2272</v>
      </c>
      <c r="R277" s="97" t="s">
        <v>2272</v>
      </c>
      <c r="S277" s="97" t="s">
        <v>2272</v>
      </c>
      <c r="T277" s="21" t="s">
        <v>2272</v>
      </c>
      <c r="U277" s="21" t="s">
        <v>2272</v>
      </c>
      <c r="V277" s="21" t="s">
        <v>2272</v>
      </c>
      <c r="W277" s="21" t="s">
        <v>2371</v>
      </c>
      <c r="X277" s="21" t="s">
        <v>2370</v>
      </c>
      <c r="Y277" s="3"/>
      <c r="Z277" s="3"/>
      <c r="AA277" s="3" t="s">
        <v>2308</v>
      </c>
      <c r="AB277" s="4" t="s">
        <v>2309</v>
      </c>
      <c r="AC277" s="4" t="s">
        <v>2321</v>
      </c>
    </row>
    <row r="278" spans="1:29"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2272</v>
      </c>
      <c r="K278" s="21" t="s">
        <v>2272</v>
      </c>
      <c r="L278" s="98" t="s">
        <v>2272</v>
      </c>
      <c r="M278" s="21" t="s">
        <v>2272</v>
      </c>
      <c r="N278" s="21" t="s">
        <v>2272</v>
      </c>
      <c r="O278" s="21" t="s">
        <v>2272</v>
      </c>
      <c r="P278" s="21" t="s">
        <v>2272</v>
      </c>
      <c r="Q278" s="21" t="s">
        <v>2272</v>
      </c>
      <c r="R278" s="97" t="s">
        <v>2272</v>
      </c>
      <c r="S278" s="97" t="s">
        <v>2272</v>
      </c>
      <c r="T278" s="21" t="s">
        <v>2272</v>
      </c>
      <c r="U278" s="21" t="s">
        <v>2272</v>
      </c>
      <c r="V278" s="21" t="s">
        <v>2272</v>
      </c>
      <c r="W278" s="21" t="s">
        <v>2522</v>
      </c>
      <c r="X278" s="21" t="s">
        <v>2272</v>
      </c>
      <c r="Y278" s="3"/>
      <c r="Z278" s="3"/>
      <c r="AA278" s="3" t="s">
        <v>2308</v>
      </c>
      <c r="AB278" s="4" t="s">
        <v>2309</v>
      </c>
      <c r="AC278" s="4" t="s">
        <v>2322</v>
      </c>
    </row>
    <row r="279" spans="1:29"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2359</v>
      </c>
      <c r="K279" s="21" t="s">
        <v>2359</v>
      </c>
      <c r="L279" s="98" t="s">
        <v>2359</v>
      </c>
      <c r="M279" s="21" t="s">
        <v>2359</v>
      </c>
      <c r="N279" s="21" t="s">
        <v>2359</v>
      </c>
      <c r="O279" s="21" t="s">
        <v>2359</v>
      </c>
      <c r="P279" s="21" t="s">
        <v>2359</v>
      </c>
      <c r="Q279" s="21" t="s">
        <v>2359</v>
      </c>
      <c r="R279" s="97" t="s">
        <v>2272</v>
      </c>
      <c r="S279" s="97" t="s">
        <v>2272</v>
      </c>
      <c r="T279" s="21" t="s">
        <v>2359</v>
      </c>
      <c r="U279" s="21" t="s">
        <v>2359</v>
      </c>
      <c r="V279" s="21" t="s">
        <v>2359</v>
      </c>
      <c r="W279" s="21" t="s">
        <v>2359</v>
      </c>
      <c r="X279" s="21" t="s">
        <v>2272</v>
      </c>
      <c r="Y279" s="3"/>
      <c r="Z279" s="3"/>
      <c r="AA279" s="3"/>
      <c r="AB279" s="4" t="s">
        <v>2310</v>
      </c>
      <c r="AC279" s="4"/>
    </row>
    <row r="280" spans="1:29"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2272</v>
      </c>
      <c r="K280" s="21" t="s">
        <v>2272</v>
      </c>
      <c r="L280" s="98" t="s">
        <v>2272</v>
      </c>
      <c r="M280" s="21" t="s">
        <v>2272</v>
      </c>
      <c r="N280" s="21" t="s">
        <v>2272</v>
      </c>
      <c r="O280" s="21" t="s">
        <v>2272</v>
      </c>
      <c r="P280" s="21" t="s">
        <v>2272</v>
      </c>
      <c r="Q280" s="21" t="s">
        <v>2272</v>
      </c>
      <c r="R280" s="97" t="s">
        <v>2272</v>
      </c>
      <c r="S280" s="97" t="s">
        <v>2272</v>
      </c>
      <c r="T280" s="21" t="s">
        <v>2272</v>
      </c>
      <c r="U280" s="21" t="s">
        <v>2272</v>
      </c>
      <c r="V280" s="21" t="s">
        <v>2272</v>
      </c>
      <c r="W280" s="21" t="s">
        <v>2371</v>
      </c>
      <c r="X280" s="21" t="s">
        <v>2370</v>
      </c>
      <c r="Y280" s="3"/>
      <c r="Z280" s="3"/>
      <c r="AA280" s="3" t="s">
        <v>2308</v>
      </c>
      <c r="AB280" s="4" t="s">
        <v>2309</v>
      </c>
      <c r="AC280" s="4" t="s">
        <v>2323</v>
      </c>
    </row>
    <row r="281" spans="1:29"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2272</v>
      </c>
      <c r="K281" s="21" t="s">
        <v>2272</v>
      </c>
      <c r="L281" s="98" t="s">
        <v>2272</v>
      </c>
      <c r="M281" s="21" t="s">
        <v>2272</v>
      </c>
      <c r="N281" s="21" t="s">
        <v>2272</v>
      </c>
      <c r="O281" s="21" t="s">
        <v>2272</v>
      </c>
      <c r="P281" s="21" t="s">
        <v>2272</v>
      </c>
      <c r="Q281" s="21" t="s">
        <v>2272</v>
      </c>
      <c r="R281" s="97" t="s">
        <v>2272</v>
      </c>
      <c r="S281" s="97" t="s">
        <v>2272</v>
      </c>
      <c r="T281" s="21" t="s">
        <v>2272</v>
      </c>
      <c r="U281" s="21" t="s">
        <v>2272</v>
      </c>
      <c r="V281" s="21" t="s">
        <v>2272</v>
      </c>
      <c r="W281" s="21" t="s">
        <v>2371</v>
      </c>
      <c r="X281" s="21" t="s">
        <v>2272</v>
      </c>
      <c r="Y281" s="3"/>
      <c r="Z281" s="3"/>
      <c r="AA281" s="3" t="s">
        <v>2308</v>
      </c>
      <c r="AB281" s="4" t="s">
        <v>2309</v>
      </c>
      <c r="AC281" s="4" t="s">
        <v>2324</v>
      </c>
    </row>
    <row r="282" spans="1:29"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2359</v>
      </c>
      <c r="K282" s="21" t="s">
        <v>2359</v>
      </c>
      <c r="L282" s="98" t="s">
        <v>2359</v>
      </c>
      <c r="M282" s="21" t="s">
        <v>2359</v>
      </c>
      <c r="N282" s="21" t="s">
        <v>2359</v>
      </c>
      <c r="O282" s="21" t="s">
        <v>2359</v>
      </c>
      <c r="P282" s="21" t="s">
        <v>2359</v>
      </c>
      <c r="Q282" s="21" t="s">
        <v>2359</v>
      </c>
      <c r="R282" s="97" t="s">
        <v>2272</v>
      </c>
      <c r="S282" s="97" t="s">
        <v>2272</v>
      </c>
      <c r="T282" s="21" t="s">
        <v>2359</v>
      </c>
      <c r="U282" s="21" t="s">
        <v>2359</v>
      </c>
      <c r="V282" s="21" t="s">
        <v>2359</v>
      </c>
      <c r="W282" s="21" t="s">
        <v>2359</v>
      </c>
      <c r="X282" s="21" t="s">
        <v>2272</v>
      </c>
      <c r="Y282" s="3"/>
      <c r="Z282" s="3"/>
      <c r="AA282" s="3"/>
      <c r="AB282" s="4" t="s">
        <v>2310</v>
      </c>
      <c r="AC282" s="4"/>
    </row>
    <row r="283" spans="1:29"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2272</v>
      </c>
      <c r="K283" s="21" t="s">
        <v>2272</v>
      </c>
      <c r="L283" s="98" t="s">
        <v>2272</v>
      </c>
      <c r="M283" s="21" t="s">
        <v>2272</v>
      </c>
      <c r="N283" s="21" t="s">
        <v>2272</v>
      </c>
      <c r="O283" s="21" t="s">
        <v>2272</v>
      </c>
      <c r="P283" s="21" t="s">
        <v>2272</v>
      </c>
      <c r="Q283" s="21" t="s">
        <v>2272</v>
      </c>
      <c r="R283" s="97" t="s">
        <v>2272</v>
      </c>
      <c r="S283" s="97" t="s">
        <v>2272</v>
      </c>
      <c r="T283" s="21" t="s">
        <v>2272</v>
      </c>
      <c r="U283" s="21" t="s">
        <v>2272</v>
      </c>
      <c r="V283" s="21" t="s">
        <v>2272</v>
      </c>
      <c r="W283" s="21" t="s">
        <v>2272</v>
      </c>
      <c r="X283" s="21" t="s">
        <v>2272</v>
      </c>
      <c r="Y283" s="3" t="s">
        <v>2272</v>
      </c>
      <c r="Z283" s="3" t="s">
        <v>2272</v>
      </c>
      <c r="AA283" s="3" t="s">
        <v>2272</v>
      </c>
      <c r="AB283" s="4" t="s">
        <v>513</v>
      </c>
      <c r="AC283" s="4" t="s">
        <v>1490</v>
      </c>
    </row>
    <row r="284" spans="1:29"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2272</v>
      </c>
      <c r="K284" s="21" t="s">
        <v>2272</v>
      </c>
      <c r="L284" s="98" t="s">
        <v>2272</v>
      </c>
      <c r="M284" s="21" t="s">
        <v>2272</v>
      </c>
      <c r="N284" s="21" t="s">
        <v>2272</v>
      </c>
      <c r="O284" s="21" t="s">
        <v>2272</v>
      </c>
      <c r="P284" s="21" t="s">
        <v>2272</v>
      </c>
      <c r="Q284" s="21" t="s">
        <v>2272</v>
      </c>
      <c r="R284" s="97" t="s">
        <v>2272</v>
      </c>
      <c r="S284" s="97" t="s">
        <v>2272</v>
      </c>
      <c r="T284" s="21" t="s">
        <v>2272</v>
      </c>
      <c r="U284" s="21" t="s">
        <v>2272</v>
      </c>
      <c r="V284" s="21" t="s">
        <v>2272</v>
      </c>
      <c r="W284" s="3" t="s">
        <v>2272</v>
      </c>
      <c r="X284" s="3" t="s">
        <v>2272</v>
      </c>
      <c r="Y284" s="3" t="s">
        <v>2272</v>
      </c>
      <c r="Z284" s="3" t="s">
        <v>2272</v>
      </c>
      <c r="AA284" s="3" t="s">
        <v>2272</v>
      </c>
      <c r="AB284" s="18" t="s">
        <v>514</v>
      </c>
      <c r="AC284" s="3"/>
    </row>
    <row r="285" spans="1:29"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2359</v>
      </c>
      <c r="K285" s="21" t="s">
        <v>2359</v>
      </c>
      <c r="L285" s="98" t="s">
        <v>2359</v>
      </c>
      <c r="M285" s="21" t="s">
        <v>2359</v>
      </c>
      <c r="N285" s="21" t="s">
        <v>2359</v>
      </c>
      <c r="O285" s="21" t="s">
        <v>2359</v>
      </c>
      <c r="P285" s="21" t="s">
        <v>2359</v>
      </c>
      <c r="Q285" s="21" t="s">
        <v>2359</v>
      </c>
      <c r="R285" s="97" t="s">
        <v>2272</v>
      </c>
      <c r="S285" s="97" t="s">
        <v>2272</v>
      </c>
      <c r="T285" s="21" t="s">
        <v>2359</v>
      </c>
      <c r="U285" s="21" t="s">
        <v>2359</v>
      </c>
      <c r="V285" s="21" t="s">
        <v>2359</v>
      </c>
      <c r="W285" s="21" t="s">
        <v>2359</v>
      </c>
      <c r="X285" s="21" t="s">
        <v>2272</v>
      </c>
      <c r="Y285" s="3" t="s">
        <v>2272</v>
      </c>
      <c r="Z285" s="3" t="s">
        <v>2272</v>
      </c>
      <c r="AA285" s="3" t="s">
        <v>2272</v>
      </c>
      <c r="AB285" s="18" t="s">
        <v>517</v>
      </c>
      <c r="AC285" s="3"/>
    </row>
    <row r="286" spans="1:29"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2272</v>
      </c>
      <c r="K286" s="21" t="s">
        <v>2272</v>
      </c>
      <c r="L286" s="98" t="s">
        <v>2272</v>
      </c>
      <c r="M286" s="21" t="s">
        <v>2272</v>
      </c>
      <c r="N286" s="21" t="s">
        <v>2272</v>
      </c>
      <c r="O286" s="21" t="s">
        <v>2272</v>
      </c>
      <c r="P286" s="21" t="s">
        <v>2272</v>
      </c>
      <c r="Q286" s="21" t="s">
        <v>2272</v>
      </c>
      <c r="R286" s="97" t="s">
        <v>2272</v>
      </c>
      <c r="S286" s="97" t="s">
        <v>2272</v>
      </c>
      <c r="T286" s="21" t="s">
        <v>2272</v>
      </c>
      <c r="U286" s="21" t="s">
        <v>2272</v>
      </c>
      <c r="V286" s="21" t="s">
        <v>2272</v>
      </c>
      <c r="W286" s="21" t="s">
        <v>2272</v>
      </c>
      <c r="X286" s="21" t="s">
        <v>2272</v>
      </c>
      <c r="Y286" s="3" t="s">
        <v>2272</v>
      </c>
      <c r="Z286" s="3" t="s">
        <v>2272</v>
      </c>
      <c r="AA286" s="3" t="s">
        <v>2272</v>
      </c>
      <c r="AB286" s="4" t="s">
        <v>538</v>
      </c>
      <c r="AC286" s="4"/>
    </row>
    <row r="287" spans="1:29"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2359</v>
      </c>
      <c r="K287" s="21" t="s">
        <v>2359</v>
      </c>
      <c r="L287" s="98" t="s">
        <v>2359</v>
      </c>
      <c r="M287" s="21" t="s">
        <v>2359</v>
      </c>
      <c r="N287" s="21" t="s">
        <v>2359</v>
      </c>
      <c r="O287" s="21" t="s">
        <v>2359</v>
      </c>
      <c r="P287" s="21" t="s">
        <v>2359</v>
      </c>
      <c r="Q287" s="21" t="s">
        <v>2359</v>
      </c>
      <c r="R287" s="97" t="s">
        <v>2272</v>
      </c>
      <c r="S287" s="97" t="s">
        <v>2272</v>
      </c>
      <c r="T287" s="21" t="s">
        <v>2359</v>
      </c>
      <c r="U287" s="21" t="s">
        <v>2359</v>
      </c>
      <c r="V287" s="21" t="s">
        <v>2359</v>
      </c>
      <c r="W287" s="21" t="s">
        <v>2359</v>
      </c>
      <c r="X287" s="21" t="s">
        <v>2272</v>
      </c>
      <c r="Y287" s="3" t="s">
        <v>2272</v>
      </c>
      <c r="Z287" s="3" t="s">
        <v>2272</v>
      </c>
      <c r="AA287" s="3" t="s">
        <v>2272</v>
      </c>
      <c r="AB287" s="4" t="s">
        <v>540</v>
      </c>
      <c r="AC287" s="4"/>
    </row>
    <row r="288" spans="1:29"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str">
        <f>'Reported burning'!G288</f>
        <v>Secondary Vegetation</v>
      </c>
      <c r="H288" s="6" t="str">
        <f>'Reported burning'!H288</f>
        <v>Presence</v>
      </c>
      <c r="I288" s="3">
        <v>1987</v>
      </c>
      <c r="J288" s="21" t="s">
        <v>2272</v>
      </c>
      <c r="K288" s="21" t="s">
        <v>2272</v>
      </c>
      <c r="L288" s="98" t="s">
        <v>2272</v>
      </c>
      <c r="M288" s="21" t="s">
        <v>2272</v>
      </c>
      <c r="N288" s="21" t="s">
        <v>2272</v>
      </c>
      <c r="O288" s="21" t="s">
        <v>2272</v>
      </c>
      <c r="P288" s="21" t="s">
        <v>2272</v>
      </c>
      <c r="Q288" s="21" t="s">
        <v>2272</v>
      </c>
      <c r="R288" s="97" t="s">
        <v>2272</v>
      </c>
      <c r="S288" s="97" t="s">
        <v>2272</v>
      </c>
      <c r="T288" s="21" t="s">
        <v>2272</v>
      </c>
      <c r="U288" s="21" t="s">
        <v>2272</v>
      </c>
      <c r="V288" s="21" t="s">
        <v>2272</v>
      </c>
      <c r="W288" s="21" t="s">
        <v>2272</v>
      </c>
      <c r="X288" s="21" t="s">
        <v>2272</v>
      </c>
      <c r="Y288" s="21" t="s">
        <v>2272</v>
      </c>
      <c r="Z288" s="21" t="s">
        <v>2272</v>
      </c>
      <c r="AA288" s="21" t="s">
        <v>2272</v>
      </c>
      <c r="AB288" s="4" t="s">
        <v>550</v>
      </c>
      <c r="AC288" s="4" t="s">
        <v>1498</v>
      </c>
    </row>
    <row r="289" spans="1:29"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str">
        <f>'Reported burning'!G289</f>
        <v>Forest</v>
      </c>
      <c r="H289" s="6" t="str">
        <f>'Reported burning'!H289</f>
        <v>Presence</v>
      </c>
      <c r="I289" s="3">
        <v>1987</v>
      </c>
      <c r="J289" s="21" t="s">
        <v>2272</v>
      </c>
      <c r="K289" s="21" t="s">
        <v>2272</v>
      </c>
      <c r="L289" s="98" t="s">
        <v>2272</v>
      </c>
      <c r="M289" s="21" t="s">
        <v>2272</v>
      </c>
      <c r="N289" s="21" t="s">
        <v>2272</v>
      </c>
      <c r="O289" s="21" t="s">
        <v>2272</v>
      </c>
      <c r="P289" s="21" t="s">
        <v>2272</v>
      </c>
      <c r="Q289" s="21" t="s">
        <v>2272</v>
      </c>
      <c r="R289" s="97" t="s">
        <v>2272</v>
      </c>
      <c r="S289" s="97" t="s">
        <v>2272</v>
      </c>
      <c r="T289" s="21" t="s">
        <v>2272</v>
      </c>
      <c r="U289" s="21" t="s">
        <v>2272</v>
      </c>
      <c r="V289" s="21" t="s">
        <v>2272</v>
      </c>
      <c r="W289" s="21" t="s">
        <v>2272</v>
      </c>
      <c r="X289" s="21" t="s">
        <v>2272</v>
      </c>
      <c r="Y289" s="21" t="s">
        <v>2272</v>
      </c>
      <c r="Z289" s="21" t="s">
        <v>2272</v>
      </c>
      <c r="AA289" s="21" t="s">
        <v>2272</v>
      </c>
      <c r="AB289" s="4" t="s">
        <v>550</v>
      </c>
      <c r="AC289" s="4" t="s">
        <v>564</v>
      </c>
    </row>
    <row r="290" spans="1:29"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str">
        <f>'Reported burning'!G290</f>
        <v>Secondary Vegetation</v>
      </c>
      <c r="H290" s="6" t="str">
        <f>'Reported burning'!H290</f>
        <v>Presence</v>
      </c>
      <c r="I290" s="3">
        <v>2014</v>
      </c>
      <c r="J290" s="21" t="s">
        <v>2272</v>
      </c>
      <c r="K290" s="21" t="s">
        <v>2272</v>
      </c>
      <c r="L290" s="98" t="s">
        <v>2272</v>
      </c>
      <c r="M290" s="21" t="s">
        <v>2272</v>
      </c>
      <c r="N290" s="21" t="s">
        <v>2272</v>
      </c>
      <c r="O290" s="21" t="s">
        <v>2272</v>
      </c>
      <c r="P290" s="21" t="s">
        <v>2272</v>
      </c>
      <c r="Q290" s="21" t="s">
        <v>2272</v>
      </c>
      <c r="R290" s="97" t="s">
        <v>2272</v>
      </c>
      <c r="S290" s="97" t="s">
        <v>2272</v>
      </c>
      <c r="T290" s="21" t="s">
        <v>2272</v>
      </c>
      <c r="U290" s="21" t="s">
        <v>2272</v>
      </c>
      <c r="V290" s="21" t="s">
        <v>2272</v>
      </c>
      <c r="W290" s="21" t="s">
        <v>2272</v>
      </c>
      <c r="X290" s="21" t="s">
        <v>2272</v>
      </c>
      <c r="Y290" s="21" t="s">
        <v>2272</v>
      </c>
      <c r="Z290" s="21" t="s">
        <v>2272</v>
      </c>
      <c r="AA290" s="21" t="s">
        <v>2272</v>
      </c>
      <c r="AB290" s="4" t="s">
        <v>550</v>
      </c>
      <c r="AC290" s="4" t="s">
        <v>564</v>
      </c>
    </row>
    <row r="291" spans="1:29"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str">
        <f>'Reported burning'!G291</f>
        <v>Secondary Vegetation</v>
      </c>
      <c r="H291" s="6" t="str">
        <f>'Reported burning'!H291</f>
        <v>Presence</v>
      </c>
      <c r="I291" s="3">
        <v>2014</v>
      </c>
      <c r="J291" s="21" t="s">
        <v>2272</v>
      </c>
      <c r="K291" s="21" t="s">
        <v>2272</v>
      </c>
      <c r="L291" s="98" t="s">
        <v>2272</v>
      </c>
      <c r="M291" s="21" t="s">
        <v>2272</v>
      </c>
      <c r="N291" s="21" t="s">
        <v>2272</v>
      </c>
      <c r="O291" s="21" t="s">
        <v>2272</v>
      </c>
      <c r="P291" s="21" t="s">
        <v>2272</v>
      </c>
      <c r="Q291" s="21" t="s">
        <v>2272</v>
      </c>
      <c r="R291" s="97" t="s">
        <v>2272</v>
      </c>
      <c r="S291" s="97" t="s">
        <v>2272</v>
      </c>
      <c r="T291" s="21" t="s">
        <v>2272</v>
      </c>
      <c r="U291" s="21" t="s">
        <v>2272</v>
      </c>
      <c r="V291" s="21" t="s">
        <v>2272</v>
      </c>
      <c r="W291" s="21" t="s">
        <v>2272</v>
      </c>
      <c r="X291" s="21" t="s">
        <v>2272</v>
      </c>
      <c r="Y291" s="21" t="s">
        <v>2272</v>
      </c>
      <c r="Z291" s="21" t="s">
        <v>2272</v>
      </c>
      <c r="AA291" s="21" t="s">
        <v>2272</v>
      </c>
      <c r="AB291" s="4" t="s">
        <v>550</v>
      </c>
      <c r="AC291" s="4" t="s">
        <v>564</v>
      </c>
    </row>
    <row r="292" spans="1:29"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2272</v>
      </c>
      <c r="K292" s="21" t="s">
        <v>2272</v>
      </c>
      <c r="L292" s="98" t="s">
        <v>2272</v>
      </c>
      <c r="M292" s="21" t="s">
        <v>2272</v>
      </c>
      <c r="N292" s="21" t="s">
        <v>2272</v>
      </c>
      <c r="O292" s="21" t="s">
        <v>2272</v>
      </c>
      <c r="P292" s="21" t="s">
        <v>2272</v>
      </c>
      <c r="Q292" s="21" t="s">
        <v>2272</v>
      </c>
      <c r="R292" s="97" t="s">
        <v>2272</v>
      </c>
      <c r="S292" s="97" t="s">
        <v>2272</v>
      </c>
      <c r="T292" s="21" t="s">
        <v>2272</v>
      </c>
      <c r="U292" s="21" t="s">
        <v>2272</v>
      </c>
      <c r="V292" s="21" t="s">
        <v>2272</v>
      </c>
      <c r="W292" s="21" t="s">
        <v>2272</v>
      </c>
      <c r="X292" s="21" t="s">
        <v>2272</v>
      </c>
      <c r="Y292" s="3" t="s">
        <v>2272</v>
      </c>
      <c r="Z292" s="3" t="s">
        <v>2272</v>
      </c>
      <c r="AA292" s="3" t="s">
        <v>2272</v>
      </c>
      <c r="AB292" s="4"/>
      <c r="AC292" s="4"/>
    </row>
    <row r="293" spans="1:29"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2272</v>
      </c>
      <c r="K293" s="21" t="s">
        <v>2272</v>
      </c>
      <c r="L293" s="98" t="s">
        <v>2272</v>
      </c>
      <c r="M293" s="21" t="s">
        <v>2272</v>
      </c>
      <c r="N293" s="21" t="s">
        <v>2272</v>
      </c>
      <c r="O293" s="21" t="s">
        <v>2272</v>
      </c>
      <c r="P293" s="21" t="s">
        <v>2272</v>
      </c>
      <c r="Q293" s="21" t="s">
        <v>2272</v>
      </c>
      <c r="R293" s="97" t="s">
        <v>2272</v>
      </c>
      <c r="S293" s="97" t="s">
        <v>2272</v>
      </c>
      <c r="T293" s="21" t="s">
        <v>2272</v>
      </c>
      <c r="U293" s="21" t="s">
        <v>2272</v>
      </c>
      <c r="V293" s="21" t="s">
        <v>2272</v>
      </c>
      <c r="W293" s="21" t="s">
        <v>2272</v>
      </c>
      <c r="X293" s="21" t="s">
        <v>2272</v>
      </c>
      <c r="Y293" s="3" t="s">
        <v>2272</v>
      </c>
      <c r="Z293" s="3" t="s">
        <v>2272</v>
      </c>
      <c r="AA293" s="3" t="s">
        <v>2272</v>
      </c>
      <c r="AB293" s="4"/>
      <c r="AC293" s="4"/>
    </row>
    <row r="294" spans="1:29"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2272</v>
      </c>
      <c r="K294" s="21" t="s">
        <v>2272</v>
      </c>
      <c r="L294" s="98" t="s">
        <v>2272</v>
      </c>
      <c r="M294" s="21" t="s">
        <v>2272</v>
      </c>
      <c r="N294" s="21" t="s">
        <v>2272</v>
      </c>
      <c r="O294" s="21" t="s">
        <v>2272</v>
      </c>
      <c r="P294" s="21" t="s">
        <v>2272</v>
      </c>
      <c r="Q294" s="21" t="s">
        <v>2272</v>
      </c>
      <c r="R294" s="97" t="s">
        <v>2272</v>
      </c>
      <c r="S294" s="97" t="s">
        <v>2272</v>
      </c>
      <c r="T294" s="21" t="s">
        <v>2272</v>
      </c>
      <c r="U294" s="21" t="s">
        <v>2272</v>
      </c>
      <c r="V294" s="21" t="s">
        <v>2272</v>
      </c>
      <c r="W294" s="21" t="s">
        <v>2272</v>
      </c>
      <c r="X294" s="21" t="s">
        <v>2272</v>
      </c>
      <c r="Y294" s="3" t="s">
        <v>2272</v>
      </c>
      <c r="Z294" s="3" t="s">
        <v>2272</v>
      </c>
      <c r="AA294" s="3" t="s">
        <v>2272</v>
      </c>
      <c r="AB294" s="4"/>
      <c r="AC294" s="4"/>
    </row>
    <row r="295" spans="1:29"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2272</v>
      </c>
      <c r="K295" s="21" t="s">
        <v>2272</v>
      </c>
      <c r="L295" s="98" t="s">
        <v>2272</v>
      </c>
      <c r="M295" s="21" t="s">
        <v>2272</v>
      </c>
      <c r="N295" s="21" t="s">
        <v>2272</v>
      </c>
      <c r="O295" s="21" t="s">
        <v>2272</v>
      </c>
      <c r="P295" s="21" t="s">
        <v>2272</v>
      </c>
      <c r="Q295" s="21" t="s">
        <v>2272</v>
      </c>
      <c r="R295" s="97" t="s">
        <v>2272</v>
      </c>
      <c r="S295" s="97" t="s">
        <v>2272</v>
      </c>
      <c r="T295" s="21" t="s">
        <v>2272</v>
      </c>
      <c r="U295" s="21" t="s">
        <v>2272</v>
      </c>
      <c r="V295" s="21" t="s">
        <v>2272</v>
      </c>
      <c r="W295" s="21" t="s">
        <v>2272</v>
      </c>
      <c r="X295" s="21" t="s">
        <v>2272</v>
      </c>
      <c r="Y295" s="3" t="s">
        <v>2272</v>
      </c>
      <c r="Z295" s="3" t="s">
        <v>2272</v>
      </c>
      <c r="AA295" s="3" t="s">
        <v>2272</v>
      </c>
      <c r="AB295" s="4"/>
      <c r="AC295" s="4"/>
    </row>
    <row r="296" spans="1:29"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2272</v>
      </c>
      <c r="K296" s="21" t="s">
        <v>2272</v>
      </c>
      <c r="L296" s="98" t="s">
        <v>2272</v>
      </c>
      <c r="M296" s="21" t="s">
        <v>2272</v>
      </c>
      <c r="N296" s="21" t="s">
        <v>2272</v>
      </c>
      <c r="O296" s="21" t="s">
        <v>2272</v>
      </c>
      <c r="P296" s="21" t="s">
        <v>2272</v>
      </c>
      <c r="Q296" s="21" t="s">
        <v>2272</v>
      </c>
      <c r="R296" s="97" t="s">
        <v>2272</v>
      </c>
      <c r="S296" s="97" t="s">
        <v>2272</v>
      </c>
      <c r="T296" s="21" t="s">
        <v>2272</v>
      </c>
      <c r="U296" s="21" t="s">
        <v>2272</v>
      </c>
      <c r="V296" s="21" t="s">
        <v>2272</v>
      </c>
      <c r="W296" s="21" t="s">
        <v>2272</v>
      </c>
      <c r="X296" s="21" t="s">
        <v>2272</v>
      </c>
      <c r="Y296" s="3" t="s">
        <v>2272</v>
      </c>
      <c r="Z296" s="3" t="s">
        <v>2272</v>
      </c>
      <c r="AA296" s="3" t="s">
        <v>2272</v>
      </c>
      <c r="AB296" s="4"/>
      <c r="AC296" s="4"/>
    </row>
    <row r="297" spans="1:29"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2272</v>
      </c>
      <c r="K297" s="21" t="s">
        <v>2272</v>
      </c>
      <c r="L297" s="98" t="s">
        <v>2272</v>
      </c>
      <c r="M297" s="21" t="s">
        <v>2272</v>
      </c>
      <c r="N297" s="21" t="s">
        <v>2272</v>
      </c>
      <c r="O297" s="21" t="s">
        <v>2272</v>
      </c>
      <c r="P297" s="21" t="s">
        <v>2272</v>
      </c>
      <c r="Q297" s="21" t="s">
        <v>2272</v>
      </c>
      <c r="R297" s="97" t="s">
        <v>2272</v>
      </c>
      <c r="S297" s="97" t="s">
        <v>2272</v>
      </c>
      <c r="T297" s="21" t="s">
        <v>2272</v>
      </c>
      <c r="U297" s="21" t="s">
        <v>2272</v>
      </c>
      <c r="V297" s="21" t="s">
        <v>2272</v>
      </c>
      <c r="W297" s="21" t="s">
        <v>2272</v>
      </c>
      <c r="X297" s="21" t="s">
        <v>2272</v>
      </c>
      <c r="Y297" s="3" t="s">
        <v>2272</v>
      </c>
      <c r="Z297" s="3" t="s">
        <v>2272</v>
      </c>
      <c r="AA297" s="3" t="s">
        <v>2272</v>
      </c>
      <c r="AB297" s="4"/>
      <c r="AC297" s="4"/>
    </row>
    <row r="298" spans="1:29"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2272</v>
      </c>
      <c r="K298" s="21" t="s">
        <v>2272</v>
      </c>
      <c r="L298" s="98" t="s">
        <v>2272</v>
      </c>
      <c r="M298" s="21" t="s">
        <v>2272</v>
      </c>
      <c r="N298" s="21" t="s">
        <v>2272</v>
      </c>
      <c r="O298" s="21" t="s">
        <v>2272</v>
      </c>
      <c r="P298" s="21" t="s">
        <v>2272</v>
      </c>
      <c r="Q298" s="21" t="s">
        <v>2272</v>
      </c>
      <c r="R298" s="97" t="s">
        <v>2272</v>
      </c>
      <c r="S298" s="97" t="s">
        <v>2272</v>
      </c>
      <c r="T298" s="21" t="s">
        <v>2272</v>
      </c>
      <c r="U298" s="21" t="s">
        <v>2272</v>
      </c>
      <c r="V298" s="21" t="s">
        <v>2272</v>
      </c>
      <c r="W298" s="21" t="s">
        <v>2272</v>
      </c>
      <c r="X298" s="21" t="s">
        <v>2272</v>
      </c>
      <c r="Y298" s="3" t="s">
        <v>2272</v>
      </c>
      <c r="Z298" s="3" t="s">
        <v>2272</v>
      </c>
      <c r="AA298" s="3" t="s">
        <v>2272</v>
      </c>
      <c r="AB298" s="4"/>
      <c r="AC298" s="4"/>
    </row>
    <row r="299" spans="1:29"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2272</v>
      </c>
      <c r="K299" s="21" t="s">
        <v>2272</v>
      </c>
      <c r="L299" s="98" t="s">
        <v>2272</v>
      </c>
      <c r="M299" s="21" t="s">
        <v>2272</v>
      </c>
      <c r="N299" s="21" t="s">
        <v>2272</v>
      </c>
      <c r="O299" s="21" t="s">
        <v>2272</v>
      </c>
      <c r="P299" s="21" t="s">
        <v>2272</v>
      </c>
      <c r="Q299" s="21" t="s">
        <v>2272</v>
      </c>
      <c r="R299" s="97" t="s">
        <v>2272</v>
      </c>
      <c r="S299" s="97" t="s">
        <v>2272</v>
      </c>
      <c r="T299" s="21" t="s">
        <v>2272</v>
      </c>
      <c r="U299" s="21" t="s">
        <v>2272</v>
      </c>
      <c r="V299" s="21" t="s">
        <v>2272</v>
      </c>
      <c r="W299" s="21" t="s">
        <v>2272</v>
      </c>
      <c r="X299" s="21" t="s">
        <v>2272</v>
      </c>
      <c r="Y299" s="3" t="s">
        <v>2272</v>
      </c>
      <c r="Z299" s="3" t="s">
        <v>2272</v>
      </c>
      <c r="AA299" s="3" t="s">
        <v>2272</v>
      </c>
      <c r="AB299" s="4"/>
      <c r="AC299" s="4"/>
    </row>
    <row r="300" spans="1:29"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2272</v>
      </c>
      <c r="K300" s="21" t="s">
        <v>2272</v>
      </c>
      <c r="L300" s="98" t="s">
        <v>2272</v>
      </c>
      <c r="M300" s="21" t="s">
        <v>2272</v>
      </c>
      <c r="N300" s="21" t="s">
        <v>2272</v>
      </c>
      <c r="O300" s="21" t="s">
        <v>2272</v>
      </c>
      <c r="P300" s="21" t="s">
        <v>2272</v>
      </c>
      <c r="Q300" s="21" t="s">
        <v>2272</v>
      </c>
      <c r="R300" s="97" t="s">
        <v>2272</v>
      </c>
      <c r="S300" s="97" t="s">
        <v>2272</v>
      </c>
      <c r="T300" s="21" t="s">
        <v>2272</v>
      </c>
      <c r="U300" s="21" t="s">
        <v>2272</v>
      </c>
      <c r="V300" s="21" t="s">
        <v>2272</v>
      </c>
      <c r="W300" s="21" t="s">
        <v>2272</v>
      </c>
      <c r="X300" s="21" t="s">
        <v>2272</v>
      </c>
      <c r="Y300" s="3" t="s">
        <v>2272</v>
      </c>
      <c r="Z300" s="3" t="s">
        <v>2272</v>
      </c>
      <c r="AA300" s="3" t="s">
        <v>2272</v>
      </c>
      <c r="AB300" s="4"/>
      <c r="AC300" s="4"/>
    </row>
    <row r="301" spans="1:29"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2272</v>
      </c>
      <c r="K301" s="21" t="s">
        <v>2272</v>
      </c>
      <c r="L301" s="98" t="s">
        <v>2272</v>
      </c>
      <c r="M301" s="21" t="s">
        <v>2272</v>
      </c>
      <c r="N301" s="21" t="s">
        <v>2272</v>
      </c>
      <c r="O301" s="21" t="s">
        <v>2272</v>
      </c>
      <c r="P301" s="21" t="s">
        <v>2272</v>
      </c>
      <c r="Q301" s="21" t="s">
        <v>2272</v>
      </c>
      <c r="R301" s="97" t="s">
        <v>2272</v>
      </c>
      <c r="S301" s="97" t="s">
        <v>2272</v>
      </c>
      <c r="T301" s="21" t="s">
        <v>2272</v>
      </c>
      <c r="U301" s="21" t="s">
        <v>2272</v>
      </c>
      <c r="V301" s="21" t="s">
        <v>2272</v>
      </c>
      <c r="W301" s="21" t="s">
        <v>2272</v>
      </c>
      <c r="X301" s="21" t="s">
        <v>2272</v>
      </c>
      <c r="Y301" s="3" t="s">
        <v>2272</v>
      </c>
      <c r="Z301" s="3" t="s">
        <v>2272</v>
      </c>
      <c r="AA301" s="3" t="s">
        <v>2272</v>
      </c>
      <c r="AB301" s="4"/>
      <c r="AC301" s="4"/>
    </row>
    <row r="302" spans="1:29"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2272</v>
      </c>
      <c r="K302" s="21" t="s">
        <v>2272</v>
      </c>
      <c r="L302" s="98" t="s">
        <v>2272</v>
      </c>
      <c r="M302" s="21" t="s">
        <v>2272</v>
      </c>
      <c r="N302" s="21" t="s">
        <v>2272</v>
      </c>
      <c r="O302" s="21" t="s">
        <v>2272</v>
      </c>
      <c r="P302" s="21" t="s">
        <v>2272</v>
      </c>
      <c r="Q302" s="21" t="s">
        <v>2272</v>
      </c>
      <c r="R302" s="97" t="s">
        <v>2272</v>
      </c>
      <c r="S302" s="97" t="s">
        <v>2272</v>
      </c>
      <c r="T302" s="21" t="s">
        <v>2272</v>
      </c>
      <c r="U302" s="21" t="s">
        <v>2272</v>
      </c>
      <c r="V302" s="21" t="s">
        <v>2272</v>
      </c>
      <c r="W302" s="21" t="s">
        <v>2272</v>
      </c>
      <c r="X302" s="21" t="s">
        <v>2272</v>
      </c>
      <c r="Y302" s="3" t="s">
        <v>2272</v>
      </c>
      <c r="Z302" s="3" t="s">
        <v>2272</v>
      </c>
      <c r="AA302" s="3" t="s">
        <v>2272</v>
      </c>
      <c r="AB302" s="4"/>
      <c r="AC302" s="4"/>
    </row>
    <row r="303" spans="1:29"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2272</v>
      </c>
      <c r="K303" s="21" t="s">
        <v>2272</v>
      </c>
      <c r="L303" s="98" t="s">
        <v>2272</v>
      </c>
      <c r="M303" s="21" t="s">
        <v>2272</v>
      </c>
      <c r="N303" s="21" t="s">
        <v>2272</v>
      </c>
      <c r="O303" s="21" t="s">
        <v>2272</v>
      </c>
      <c r="P303" s="21" t="s">
        <v>2272</v>
      </c>
      <c r="Q303" s="21" t="s">
        <v>2272</v>
      </c>
      <c r="R303" s="97" t="s">
        <v>2272</v>
      </c>
      <c r="S303" s="97" t="s">
        <v>2272</v>
      </c>
      <c r="T303" s="21" t="s">
        <v>2272</v>
      </c>
      <c r="U303" s="21" t="s">
        <v>2272</v>
      </c>
      <c r="V303" s="21" t="s">
        <v>2272</v>
      </c>
      <c r="W303" s="21" t="s">
        <v>2272</v>
      </c>
      <c r="X303" s="21" t="s">
        <v>2272</v>
      </c>
      <c r="Y303" s="3" t="s">
        <v>2272</v>
      </c>
      <c r="Z303" s="3" t="s">
        <v>2272</v>
      </c>
      <c r="AA303" s="3" t="s">
        <v>2272</v>
      </c>
      <c r="AB303" s="4"/>
      <c r="AC303" s="4"/>
    </row>
    <row r="304" spans="1:29"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2272</v>
      </c>
      <c r="K304" s="21" t="s">
        <v>2272</v>
      </c>
      <c r="L304" s="98" t="s">
        <v>2272</v>
      </c>
      <c r="M304" s="21" t="s">
        <v>2272</v>
      </c>
      <c r="N304" s="21" t="s">
        <v>2272</v>
      </c>
      <c r="O304" s="21" t="s">
        <v>2272</v>
      </c>
      <c r="P304" s="21" t="s">
        <v>2272</v>
      </c>
      <c r="Q304" s="21" t="s">
        <v>2272</v>
      </c>
      <c r="R304" s="97" t="s">
        <v>2272</v>
      </c>
      <c r="S304" s="97" t="s">
        <v>2272</v>
      </c>
      <c r="T304" s="21" t="s">
        <v>2272</v>
      </c>
      <c r="U304" s="21" t="s">
        <v>2272</v>
      </c>
      <c r="V304" s="21" t="s">
        <v>2272</v>
      </c>
      <c r="W304" s="21" t="s">
        <v>2272</v>
      </c>
      <c r="X304" s="21" t="s">
        <v>2272</v>
      </c>
      <c r="Y304" s="3" t="s">
        <v>2272</v>
      </c>
      <c r="Z304" s="3" t="s">
        <v>2272</v>
      </c>
      <c r="AA304" s="3" t="s">
        <v>2272</v>
      </c>
      <c r="AB304" s="4"/>
      <c r="AC304" s="4"/>
    </row>
    <row r="305" spans="1:29"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2272</v>
      </c>
      <c r="K305" s="21" t="s">
        <v>2272</v>
      </c>
      <c r="L305" s="98" t="s">
        <v>2272</v>
      </c>
      <c r="M305" s="21" t="s">
        <v>2272</v>
      </c>
      <c r="N305" s="21" t="s">
        <v>2272</v>
      </c>
      <c r="O305" s="21" t="s">
        <v>2272</v>
      </c>
      <c r="P305" s="21" t="s">
        <v>2272</v>
      </c>
      <c r="Q305" s="21" t="s">
        <v>2272</v>
      </c>
      <c r="R305" s="97" t="s">
        <v>2272</v>
      </c>
      <c r="S305" s="97" t="s">
        <v>2272</v>
      </c>
      <c r="T305" s="21" t="s">
        <v>2272</v>
      </c>
      <c r="U305" s="21" t="s">
        <v>2272</v>
      </c>
      <c r="V305" s="21" t="s">
        <v>2272</v>
      </c>
      <c r="W305" s="21" t="s">
        <v>2272</v>
      </c>
      <c r="X305" s="21" t="s">
        <v>2272</v>
      </c>
      <c r="Y305" s="3" t="s">
        <v>2272</v>
      </c>
      <c r="Z305" s="3" t="s">
        <v>2272</v>
      </c>
      <c r="AA305" s="3" t="s">
        <v>2272</v>
      </c>
      <c r="AB305" s="4"/>
      <c r="AC305" s="4"/>
    </row>
    <row r="306" spans="1:29"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2272</v>
      </c>
      <c r="K306" s="21" t="s">
        <v>2272</v>
      </c>
      <c r="L306" s="98" t="s">
        <v>2272</v>
      </c>
      <c r="M306" s="21" t="s">
        <v>2272</v>
      </c>
      <c r="N306" s="21" t="s">
        <v>2272</v>
      </c>
      <c r="O306" s="21" t="s">
        <v>2272</v>
      </c>
      <c r="P306" s="21" t="s">
        <v>2272</v>
      </c>
      <c r="Q306" s="21" t="s">
        <v>2272</v>
      </c>
      <c r="R306" s="97" t="s">
        <v>2272</v>
      </c>
      <c r="S306" s="97" t="s">
        <v>2272</v>
      </c>
      <c r="T306" s="21" t="s">
        <v>2272</v>
      </c>
      <c r="U306" s="21" t="s">
        <v>2272</v>
      </c>
      <c r="V306" s="21" t="s">
        <v>2272</v>
      </c>
      <c r="W306" s="21" t="s">
        <v>2272</v>
      </c>
      <c r="X306" s="21" t="s">
        <v>2272</v>
      </c>
      <c r="Y306" s="3" t="s">
        <v>2272</v>
      </c>
      <c r="Z306" s="3" t="s">
        <v>2272</v>
      </c>
      <c r="AA306" s="3" t="s">
        <v>2272</v>
      </c>
      <c r="AB306" s="4"/>
      <c r="AC306" s="4"/>
    </row>
    <row r="307" spans="1:29"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2272</v>
      </c>
      <c r="K307" s="21" t="s">
        <v>2272</v>
      </c>
      <c r="L307" s="98" t="s">
        <v>2272</v>
      </c>
      <c r="M307" s="21" t="s">
        <v>2272</v>
      </c>
      <c r="N307" s="21" t="s">
        <v>2272</v>
      </c>
      <c r="O307" s="21" t="s">
        <v>2272</v>
      </c>
      <c r="P307" s="21" t="s">
        <v>2272</v>
      </c>
      <c r="Q307" s="21" t="s">
        <v>2272</v>
      </c>
      <c r="R307" s="97" t="s">
        <v>2272</v>
      </c>
      <c r="S307" s="97" t="s">
        <v>2272</v>
      </c>
      <c r="T307" s="21" t="s">
        <v>2272</v>
      </c>
      <c r="U307" s="21" t="s">
        <v>2272</v>
      </c>
      <c r="V307" s="21" t="s">
        <v>2272</v>
      </c>
      <c r="W307" s="21" t="s">
        <v>2272</v>
      </c>
      <c r="X307" s="21" t="s">
        <v>2272</v>
      </c>
      <c r="Y307" s="3" t="s">
        <v>2272</v>
      </c>
      <c r="Z307" s="3" t="s">
        <v>2272</v>
      </c>
      <c r="AA307" s="3" t="s">
        <v>2272</v>
      </c>
      <c r="AB307" s="4"/>
      <c r="AC307" s="4"/>
    </row>
    <row r="308" spans="1:29"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2272</v>
      </c>
      <c r="K308" s="21" t="s">
        <v>2272</v>
      </c>
      <c r="L308" s="98" t="s">
        <v>2272</v>
      </c>
      <c r="M308" s="21" t="s">
        <v>2272</v>
      </c>
      <c r="N308" s="21" t="s">
        <v>2272</v>
      </c>
      <c r="O308" s="21" t="s">
        <v>2272</v>
      </c>
      <c r="P308" s="21" t="s">
        <v>2272</v>
      </c>
      <c r="Q308" s="21" t="s">
        <v>2272</v>
      </c>
      <c r="R308" s="97" t="s">
        <v>2272</v>
      </c>
      <c r="S308" s="97" t="s">
        <v>2272</v>
      </c>
      <c r="T308" s="21" t="s">
        <v>2272</v>
      </c>
      <c r="U308" s="21" t="s">
        <v>2272</v>
      </c>
      <c r="V308" s="21" t="s">
        <v>2272</v>
      </c>
      <c r="W308" s="21" t="s">
        <v>2272</v>
      </c>
      <c r="X308" s="21" t="s">
        <v>2272</v>
      </c>
      <c r="Y308" s="3" t="s">
        <v>2272</v>
      </c>
      <c r="Z308" s="3" t="s">
        <v>2272</v>
      </c>
      <c r="AA308" s="3" t="s">
        <v>2272</v>
      </c>
      <c r="AB308" s="4"/>
      <c r="AC308" s="4"/>
    </row>
    <row r="309" spans="1:29"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2272</v>
      </c>
      <c r="K309" s="21" t="s">
        <v>2272</v>
      </c>
      <c r="L309" s="98" t="s">
        <v>2272</v>
      </c>
      <c r="M309" s="21" t="s">
        <v>2272</v>
      </c>
      <c r="N309" s="21" t="s">
        <v>2272</v>
      </c>
      <c r="O309" s="21" t="s">
        <v>2272</v>
      </c>
      <c r="P309" s="21" t="s">
        <v>2272</v>
      </c>
      <c r="Q309" s="21" t="s">
        <v>2272</v>
      </c>
      <c r="R309" s="97" t="s">
        <v>2272</v>
      </c>
      <c r="S309" s="97" t="s">
        <v>2272</v>
      </c>
      <c r="T309" s="21" t="s">
        <v>2272</v>
      </c>
      <c r="U309" s="21" t="s">
        <v>2272</v>
      </c>
      <c r="V309" s="21" t="s">
        <v>2272</v>
      </c>
      <c r="W309" s="21" t="s">
        <v>2272</v>
      </c>
      <c r="X309" s="21" t="s">
        <v>2272</v>
      </c>
      <c r="Y309" s="3" t="s">
        <v>2272</v>
      </c>
      <c r="Z309" s="3" t="s">
        <v>2272</v>
      </c>
      <c r="AA309" s="3" t="s">
        <v>2272</v>
      </c>
      <c r="AB309" s="4"/>
      <c r="AC309" s="4"/>
    </row>
    <row r="310" spans="1:29"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2272</v>
      </c>
      <c r="K310" s="21" t="s">
        <v>2272</v>
      </c>
      <c r="L310" s="98" t="s">
        <v>2272</v>
      </c>
      <c r="M310" s="21" t="s">
        <v>2272</v>
      </c>
      <c r="N310" s="21" t="s">
        <v>2272</v>
      </c>
      <c r="O310" s="21" t="s">
        <v>2272</v>
      </c>
      <c r="P310" s="21" t="s">
        <v>2272</v>
      </c>
      <c r="Q310" s="21" t="s">
        <v>2272</v>
      </c>
      <c r="R310" s="97" t="s">
        <v>2272</v>
      </c>
      <c r="S310" s="97" t="s">
        <v>2272</v>
      </c>
      <c r="T310" s="21" t="s">
        <v>2272</v>
      </c>
      <c r="U310" s="21" t="s">
        <v>2272</v>
      </c>
      <c r="V310" s="21" t="s">
        <v>2272</v>
      </c>
      <c r="W310" s="21" t="s">
        <v>2272</v>
      </c>
      <c r="X310" s="21" t="s">
        <v>2272</v>
      </c>
      <c r="Y310" s="3" t="s">
        <v>2272</v>
      </c>
      <c r="Z310" s="3" t="s">
        <v>2272</v>
      </c>
      <c r="AA310" s="3" t="s">
        <v>2272</v>
      </c>
      <c r="AB310" s="4"/>
      <c r="AC310" s="4"/>
    </row>
    <row r="311" spans="1:29"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2272</v>
      </c>
      <c r="K311" s="21" t="s">
        <v>2272</v>
      </c>
      <c r="L311" s="98" t="s">
        <v>2272</v>
      </c>
      <c r="M311" s="21" t="s">
        <v>2272</v>
      </c>
      <c r="N311" s="21" t="s">
        <v>2272</v>
      </c>
      <c r="O311" s="21" t="s">
        <v>2272</v>
      </c>
      <c r="P311" s="21" t="s">
        <v>2272</v>
      </c>
      <c r="Q311" s="21" t="s">
        <v>2272</v>
      </c>
      <c r="R311" s="97" t="s">
        <v>2272</v>
      </c>
      <c r="S311" s="97" t="s">
        <v>2272</v>
      </c>
      <c r="T311" s="21" t="s">
        <v>2272</v>
      </c>
      <c r="U311" s="21" t="s">
        <v>2272</v>
      </c>
      <c r="V311" s="21" t="s">
        <v>2272</v>
      </c>
      <c r="W311" s="21" t="s">
        <v>2272</v>
      </c>
      <c r="X311" s="21" t="s">
        <v>2272</v>
      </c>
      <c r="Y311" s="3" t="s">
        <v>2272</v>
      </c>
      <c r="Z311" s="3" t="s">
        <v>2272</v>
      </c>
      <c r="AA311" s="3" t="s">
        <v>2272</v>
      </c>
      <c r="AB311" s="4"/>
      <c r="AC311" s="4"/>
    </row>
    <row r="312" spans="1:29"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2272</v>
      </c>
      <c r="K312" s="21" t="s">
        <v>2272</v>
      </c>
      <c r="L312" s="98" t="s">
        <v>2272</v>
      </c>
      <c r="M312" s="21" t="s">
        <v>2272</v>
      </c>
      <c r="N312" s="21" t="s">
        <v>2272</v>
      </c>
      <c r="O312" s="21" t="s">
        <v>2272</v>
      </c>
      <c r="P312" s="21" t="s">
        <v>2272</v>
      </c>
      <c r="Q312" s="21" t="s">
        <v>2272</v>
      </c>
      <c r="R312" s="97" t="s">
        <v>2272</v>
      </c>
      <c r="S312" s="97" t="s">
        <v>2272</v>
      </c>
      <c r="T312" s="21" t="s">
        <v>2272</v>
      </c>
      <c r="U312" s="21" t="s">
        <v>2272</v>
      </c>
      <c r="V312" s="21" t="s">
        <v>2272</v>
      </c>
      <c r="W312" s="21" t="s">
        <v>2272</v>
      </c>
      <c r="X312" s="21" t="s">
        <v>2272</v>
      </c>
      <c r="Y312" s="3" t="s">
        <v>2272</v>
      </c>
      <c r="Z312" s="3" t="s">
        <v>2272</v>
      </c>
      <c r="AA312" s="3" t="s">
        <v>2272</v>
      </c>
      <c r="AB312" s="4"/>
      <c r="AC312" s="4"/>
    </row>
    <row r="313" spans="1:29"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2272</v>
      </c>
      <c r="K313" s="21" t="s">
        <v>2272</v>
      </c>
      <c r="L313" s="98" t="s">
        <v>2272</v>
      </c>
      <c r="M313" s="21" t="s">
        <v>2272</v>
      </c>
      <c r="N313" s="21" t="s">
        <v>2272</v>
      </c>
      <c r="O313" s="21" t="s">
        <v>2272</v>
      </c>
      <c r="P313" s="21" t="s">
        <v>2272</v>
      </c>
      <c r="Q313" s="21" t="s">
        <v>2272</v>
      </c>
      <c r="R313" s="97" t="s">
        <v>2272</v>
      </c>
      <c r="S313" s="97" t="s">
        <v>2272</v>
      </c>
      <c r="T313" s="21" t="s">
        <v>2272</v>
      </c>
      <c r="U313" s="21" t="s">
        <v>2272</v>
      </c>
      <c r="V313" s="21" t="s">
        <v>2272</v>
      </c>
      <c r="W313" s="21" t="s">
        <v>2272</v>
      </c>
      <c r="X313" s="21" t="s">
        <v>2272</v>
      </c>
      <c r="Y313" s="3" t="s">
        <v>2272</v>
      </c>
      <c r="Z313" s="3" t="s">
        <v>2272</v>
      </c>
      <c r="AA313" s="3" t="s">
        <v>2272</v>
      </c>
      <c r="AB313" s="4"/>
      <c r="AC313" s="4"/>
    </row>
    <row r="314" spans="1:29"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2272</v>
      </c>
      <c r="K314" s="21" t="s">
        <v>2272</v>
      </c>
      <c r="L314" s="98" t="s">
        <v>2272</v>
      </c>
      <c r="M314" s="21" t="s">
        <v>2272</v>
      </c>
      <c r="N314" s="21" t="s">
        <v>2272</v>
      </c>
      <c r="O314" s="21" t="s">
        <v>2272</v>
      </c>
      <c r="P314" s="21" t="s">
        <v>2272</v>
      </c>
      <c r="Q314" s="21" t="s">
        <v>2272</v>
      </c>
      <c r="R314" s="97" t="s">
        <v>2272</v>
      </c>
      <c r="S314" s="97" t="s">
        <v>2272</v>
      </c>
      <c r="T314" s="21" t="s">
        <v>2272</v>
      </c>
      <c r="U314" s="21" t="s">
        <v>2272</v>
      </c>
      <c r="V314" s="21" t="s">
        <v>2272</v>
      </c>
      <c r="W314" s="21" t="s">
        <v>2272</v>
      </c>
      <c r="X314" s="21" t="s">
        <v>2272</v>
      </c>
      <c r="Y314" s="3" t="s">
        <v>2272</v>
      </c>
      <c r="Z314" s="3" t="s">
        <v>2272</v>
      </c>
      <c r="AA314" s="3" t="s">
        <v>2272</v>
      </c>
      <c r="AB314" s="4"/>
      <c r="AC314" s="4"/>
    </row>
    <row r="315" spans="1:29"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2272</v>
      </c>
      <c r="K315" s="21" t="s">
        <v>2272</v>
      </c>
      <c r="L315" s="98" t="s">
        <v>2272</v>
      </c>
      <c r="M315" s="21" t="s">
        <v>2272</v>
      </c>
      <c r="N315" s="21" t="s">
        <v>2272</v>
      </c>
      <c r="O315" s="21" t="s">
        <v>2272</v>
      </c>
      <c r="P315" s="21" t="s">
        <v>2272</v>
      </c>
      <c r="Q315" s="21" t="s">
        <v>2272</v>
      </c>
      <c r="R315" s="97" t="s">
        <v>2272</v>
      </c>
      <c r="S315" s="97" t="s">
        <v>2272</v>
      </c>
      <c r="T315" s="21" t="s">
        <v>2272</v>
      </c>
      <c r="U315" s="21" t="s">
        <v>2272</v>
      </c>
      <c r="V315" s="21" t="s">
        <v>2272</v>
      </c>
      <c r="W315" s="21" t="s">
        <v>2272</v>
      </c>
      <c r="X315" s="21" t="s">
        <v>2272</v>
      </c>
      <c r="Y315" s="3" t="s">
        <v>2272</v>
      </c>
      <c r="Z315" s="3" t="s">
        <v>2272</v>
      </c>
      <c r="AA315" s="3" t="s">
        <v>2272</v>
      </c>
      <c r="AB315" s="4"/>
      <c r="AC315" s="4"/>
    </row>
    <row r="316" spans="1:29"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2272</v>
      </c>
      <c r="K316" s="21" t="s">
        <v>2272</v>
      </c>
      <c r="L316" s="98" t="s">
        <v>2272</v>
      </c>
      <c r="M316" s="21" t="s">
        <v>2272</v>
      </c>
      <c r="N316" s="21" t="s">
        <v>2272</v>
      </c>
      <c r="O316" s="21" t="s">
        <v>2272</v>
      </c>
      <c r="P316" s="21" t="s">
        <v>2272</v>
      </c>
      <c r="Q316" s="21" t="s">
        <v>2272</v>
      </c>
      <c r="R316" s="97" t="s">
        <v>2272</v>
      </c>
      <c r="S316" s="97" t="s">
        <v>2272</v>
      </c>
      <c r="T316" s="21" t="s">
        <v>2272</v>
      </c>
      <c r="U316" s="21" t="s">
        <v>2272</v>
      </c>
      <c r="V316" s="21" t="s">
        <v>2272</v>
      </c>
      <c r="W316" s="21" t="s">
        <v>2272</v>
      </c>
      <c r="X316" s="21" t="s">
        <v>2272</v>
      </c>
      <c r="Y316" s="3" t="s">
        <v>2272</v>
      </c>
      <c r="Z316" s="3" t="s">
        <v>2272</v>
      </c>
      <c r="AA316" s="3" t="s">
        <v>2272</v>
      </c>
      <c r="AB316" s="4"/>
      <c r="AC316" s="4"/>
    </row>
    <row r="317" spans="1:29"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2272</v>
      </c>
      <c r="K317" s="21" t="s">
        <v>2272</v>
      </c>
      <c r="L317" s="98" t="s">
        <v>2272</v>
      </c>
      <c r="M317" s="21" t="s">
        <v>2272</v>
      </c>
      <c r="N317" s="21" t="s">
        <v>2272</v>
      </c>
      <c r="O317" s="21" t="s">
        <v>2272</v>
      </c>
      <c r="P317" s="21" t="s">
        <v>2272</v>
      </c>
      <c r="Q317" s="21" t="s">
        <v>2272</v>
      </c>
      <c r="R317" s="97" t="s">
        <v>2272</v>
      </c>
      <c r="S317" s="97" t="s">
        <v>2272</v>
      </c>
      <c r="T317" s="21" t="s">
        <v>2272</v>
      </c>
      <c r="U317" s="21" t="s">
        <v>2272</v>
      </c>
      <c r="V317" s="21" t="s">
        <v>2272</v>
      </c>
      <c r="W317" s="21" t="s">
        <v>2272</v>
      </c>
      <c r="X317" s="21" t="s">
        <v>2272</v>
      </c>
      <c r="Y317" s="3" t="s">
        <v>2272</v>
      </c>
      <c r="Z317" s="3" t="s">
        <v>2272</v>
      </c>
      <c r="AA317" s="3" t="s">
        <v>2272</v>
      </c>
      <c r="AB317" s="4"/>
      <c r="AC317" s="4"/>
    </row>
    <row r="318" spans="1:29"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2272</v>
      </c>
      <c r="K318" s="21" t="s">
        <v>2272</v>
      </c>
      <c r="L318" s="98" t="s">
        <v>2272</v>
      </c>
      <c r="M318" s="21" t="s">
        <v>2272</v>
      </c>
      <c r="N318" s="21" t="s">
        <v>2272</v>
      </c>
      <c r="O318" s="21" t="s">
        <v>2272</v>
      </c>
      <c r="P318" s="21" t="s">
        <v>2272</v>
      </c>
      <c r="Q318" s="21" t="s">
        <v>2272</v>
      </c>
      <c r="R318" s="97" t="s">
        <v>2272</v>
      </c>
      <c r="S318" s="97" t="s">
        <v>2272</v>
      </c>
      <c r="T318" s="21" t="s">
        <v>2272</v>
      </c>
      <c r="U318" s="21" t="s">
        <v>2272</v>
      </c>
      <c r="V318" s="21" t="s">
        <v>2272</v>
      </c>
      <c r="W318" s="21" t="s">
        <v>2272</v>
      </c>
      <c r="X318" s="21" t="s">
        <v>2272</v>
      </c>
      <c r="Y318" s="3" t="s">
        <v>2272</v>
      </c>
      <c r="Z318" s="3" t="s">
        <v>2272</v>
      </c>
      <c r="AA318" s="3" t="s">
        <v>2272</v>
      </c>
      <c r="AB318" s="4"/>
      <c r="AC318" s="4"/>
    </row>
    <row r="319" spans="1:29"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2272</v>
      </c>
      <c r="K319" s="21" t="s">
        <v>2272</v>
      </c>
      <c r="L319" s="98" t="s">
        <v>2272</v>
      </c>
      <c r="M319" s="21" t="s">
        <v>2272</v>
      </c>
      <c r="N319" s="21" t="s">
        <v>2272</v>
      </c>
      <c r="O319" s="21" t="s">
        <v>2272</v>
      </c>
      <c r="P319" s="21" t="s">
        <v>2272</v>
      </c>
      <c r="Q319" s="21" t="s">
        <v>2272</v>
      </c>
      <c r="R319" s="97" t="s">
        <v>2272</v>
      </c>
      <c r="S319" s="97" t="s">
        <v>2272</v>
      </c>
      <c r="T319" s="21" t="s">
        <v>2272</v>
      </c>
      <c r="U319" s="21" t="s">
        <v>2272</v>
      </c>
      <c r="V319" s="21" t="s">
        <v>2272</v>
      </c>
      <c r="W319" s="21" t="s">
        <v>2272</v>
      </c>
      <c r="X319" s="21" t="s">
        <v>2272</v>
      </c>
      <c r="Y319" s="3" t="s">
        <v>2272</v>
      </c>
      <c r="Z319" s="3" t="s">
        <v>2272</v>
      </c>
      <c r="AA319" s="3" t="s">
        <v>2272</v>
      </c>
      <c r="AB319" s="4"/>
      <c r="AC319" s="4"/>
    </row>
    <row r="320" spans="1:29"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2272</v>
      </c>
      <c r="K320" s="21" t="s">
        <v>2272</v>
      </c>
      <c r="L320" s="98" t="s">
        <v>2272</v>
      </c>
      <c r="M320" s="21" t="s">
        <v>2272</v>
      </c>
      <c r="N320" s="21" t="s">
        <v>2272</v>
      </c>
      <c r="O320" s="21" t="s">
        <v>2272</v>
      </c>
      <c r="P320" s="21" t="s">
        <v>2272</v>
      </c>
      <c r="Q320" s="21" t="s">
        <v>2272</v>
      </c>
      <c r="R320" s="97" t="s">
        <v>2272</v>
      </c>
      <c r="S320" s="97" t="s">
        <v>2272</v>
      </c>
      <c r="T320" s="21" t="s">
        <v>2272</v>
      </c>
      <c r="U320" s="21" t="s">
        <v>2272</v>
      </c>
      <c r="V320" s="21" t="s">
        <v>2272</v>
      </c>
      <c r="W320" s="21" t="s">
        <v>2272</v>
      </c>
      <c r="X320" s="21" t="s">
        <v>2272</v>
      </c>
      <c r="Y320" s="3" t="s">
        <v>2272</v>
      </c>
      <c r="Z320" s="3" t="s">
        <v>2272</v>
      </c>
      <c r="AA320" s="3" t="s">
        <v>2272</v>
      </c>
      <c r="AB320" s="4"/>
      <c r="AC320" s="4"/>
    </row>
    <row r="321" spans="1:29"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2272</v>
      </c>
      <c r="K321" s="21" t="s">
        <v>2272</v>
      </c>
      <c r="L321" s="98" t="s">
        <v>2272</v>
      </c>
      <c r="M321" s="21" t="s">
        <v>2272</v>
      </c>
      <c r="N321" s="21" t="s">
        <v>2272</v>
      </c>
      <c r="O321" s="21" t="s">
        <v>2272</v>
      </c>
      <c r="P321" s="21" t="s">
        <v>2272</v>
      </c>
      <c r="Q321" s="21" t="s">
        <v>2272</v>
      </c>
      <c r="R321" s="97" t="s">
        <v>2272</v>
      </c>
      <c r="S321" s="97" t="s">
        <v>2272</v>
      </c>
      <c r="T321" s="21" t="s">
        <v>2272</v>
      </c>
      <c r="U321" s="21" t="s">
        <v>2272</v>
      </c>
      <c r="V321" s="21" t="s">
        <v>2272</v>
      </c>
      <c r="W321" s="21" t="s">
        <v>2272</v>
      </c>
      <c r="X321" s="21" t="s">
        <v>2272</v>
      </c>
      <c r="Y321" s="3" t="s">
        <v>2272</v>
      </c>
      <c r="Z321" s="3" t="s">
        <v>2272</v>
      </c>
      <c r="AA321" s="3" t="s">
        <v>2272</v>
      </c>
      <c r="AB321" s="4"/>
      <c r="AC321" s="4"/>
    </row>
    <row r="322" spans="1:29"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2272</v>
      </c>
      <c r="K322" s="21" t="s">
        <v>2272</v>
      </c>
      <c r="L322" s="98" t="s">
        <v>2272</v>
      </c>
      <c r="M322" s="21" t="s">
        <v>2272</v>
      </c>
      <c r="N322" s="21" t="s">
        <v>2272</v>
      </c>
      <c r="O322" s="21" t="s">
        <v>2272</v>
      </c>
      <c r="P322" s="21" t="s">
        <v>2272</v>
      </c>
      <c r="Q322" s="21" t="s">
        <v>2272</v>
      </c>
      <c r="R322" s="97" t="s">
        <v>2272</v>
      </c>
      <c r="S322" s="97" t="s">
        <v>2272</v>
      </c>
      <c r="T322" s="21" t="s">
        <v>2272</v>
      </c>
      <c r="U322" s="21" t="s">
        <v>2272</v>
      </c>
      <c r="V322" s="21" t="s">
        <v>2272</v>
      </c>
      <c r="W322" s="21" t="s">
        <v>2272</v>
      </c>
      <c r="X322" s="21" t="s">
        <v>2272</v>
      </c>
      <c r="Y322" s="3" t="s">
        <v>2272</v>
      </c>
      <c r="Z322" s="3" t="s">
        <v>2272</v>
      </c>
      <c r="AA322" s="3" t="s">
        <v>2272</v>
      </c>
      <c r="AB322" s="4"/>
      <c r="AC322" s="4"/>
    </row>
    <row r="323" spans="1:29"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2272</v>
      </c>
      <c r="K323" s="21" t="s">
        <v>2272</v>
      </c>
      <c r="L323" s="98" t="s">
        <v>2272</v>
      </c>
      <c r="M323" s="21" t="s">
        <v>2272</v>
      </c>
      <c r="N323" s="21" t="s">
        <v>2272</v>
      </c>
      <c r="O323" s="21" t="s">
        <v>2272</v>
      </c>
      <c r="P323" s="21" t="s">
        <v>2272</v>
      </c>
      <c r="Q323" s="21" t="s">
        <v>2272</v>
      </c>
      <c r="R323" s="97" t="s">
        <v>2272</v>
      </c>
      <c r="S323" s="97" t="s">
        <v>2272</v>
      </c>
      <c r="T323" s="21" t="s">
        <v>2272</v>
      </c>
      <c r="U323" s="21" t="s">
        <v>2272</v>
      </c>
      <c r="V323" s="21" t="s">
        <v>2272</v>
      </c>
      <c r="W323" s="21" t="s">
        <v>2272</v>
      </c>
      <c r="X323" s="21" t="s">
        <v>2272</v>
      </c>
      <c r="Y323" s="3" t="s">
        <v>2272</v>
      </c>
      <c r="Z323" s="3" t="s">
        <v>2272</v>
      </c>
      <c r="AA323" s="3" t="s">
        <v>2272</v>
      </c>
      <c r="AB323" s="4"/>
      <c r="AC323" s="4"/>
    </row>
    <row r="324" spans="1:29"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2272</v>
      </c>
      <c r="K324" s="21" t="s">
        <v>2272</v>
      </c>
      <c r="L324" s="98" t="s">
        <v>2272</v>
      </c>
      <c r="M324" s="21" t="s">
        <v>2272</v>
      </c>
      <c r="N324" s="21" t="s">
        <v>2272</v>
      </c>
      <c r="O324" s="21" t="s">
        <v>2272</v>
      </c>
      <c r="P324" s="21" t="s">
        <v>2272</v>
      </c>
      <c r="Q324" s="21" t="s">
        <v>2272</v>
      </c>
      <c r="R324" s="97" t="s">
        <v>2272</v>
      </c>
      <c r="S324" s="97" t="s">
        <v>2272</v>
      </c>
      <c r="T324" s="21" t="s">
        <v>2272</v>
      </c>
      <c r="U324" s="21" t="s">
        <v>2272</v>
      </c>
      <c r="V324" s="21" t="s">
        <v>2272</v>
      </c>
      <c r="W324" s="21" t="s">
        <v>2272</v>
      </c>
      <c r="X324" s="21" t="s">
        <v>2272</v>
      </c>
      <c r="Y324" s="3" t="s">
        <v>2272</v>
      </c>
      <c r="Z324" s="3" t="s">
        <v>2272</v>
      </c>
      <c r="AA324" s="3" t="s">
        <v>2272</v>
      </c>
      <c r="AB324" s="4"/>
      <c r="AC324" s="4"/>
    </row>
    <row r="325" spans="1:29"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2272</v>
      </c>
      <c r="K325" s="21" t="s">
        <v>2272</v>
      </c>
      <c r="L325" s="98" t="s">
        <v>2272</v>
      </c>
      <c r="M325" s="21" t="s">
        <v>2272</v>
      </c>
      <c r="N325" s="21" t="s">
        <v>2272</v>
      </c>
      <c r="O325" s="21" t="s">
        <v>2272</v>
      </c>
      <c r="P325" s="21" t="s">
        <v>2272</v>
      </c>
      <c r="Q325" s="21" t="s">
        <v>2272</v>
      </c>
      <c r="R325" s="97" t="s">
        <v>2272</v>
      </c>
      <c r="S325" s="97" t="s">
        <v>2272</v>
      </c>
      <c r="T325" s="21" t="s">
        <v>2272</v>
      </c>
      <c r="U325" s="21" t="s">
        <v>2272</v>
      </c>
      <c r="V325" s="21" t="s">
        <v>2272</v>
      </c>
      <c r="W325" s="21" t="s">
        <v>2272</v>
      </c>
      <c r="X325" s="21" t="s">
        <v>2272</v>
      </c>
      <c r="Y325" s="3" t="s">
        <v>2272</v>
      </c>
      <c r="Z325" s="3" t="s">
        <v>2272</v>
      </c>
      <c r="AA325" s="3" t="s">
        <v>2272</v>
      </c>
      <c r="AB325" s="4"/>
      <c r="AC325" s="4"/>
    </row>
    <row r="326" spans="1:29"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2272</v>
      </c>
      <c r="K326" s="21" t="s">
        <v>2272</v>
      </c>
      <c r="L326" s="98" t="s">
        <v>2272</v>
      </c>
      <c r="M326" s="21" t="s">
        <v>2272</v>
      </c>
      <c r="N326" s="21" t="s">
        <v>2272</v>
      </c>
      <c r="O326" s="21" t="s">
        <v>2272</v>
      </c>
      <c r="P326" s="21" t="s">
        <v>2272</v>
      </c>
      <c r="Q326" s="21" t="s">
        <v>2272</v>
      </c>
      <c r="R326" s="97" t="s">
        <v>2272</v>
      </c>
      <c r="S326" s="97" t="s">
        <v>2272</v>
      </c>
      <c r="T326" s="21" t="s">
        <v>2272</v>
      </c>
      <c r="U326" s="21" t="s">
        <v>2272</v>
      </c>
      <c r="V326" s="21" t="s">
        <v>2272</v>
      </c>
      <c r="W326" s="21" t="s">
        <v>2272</v>
      </c>
      <c r="X326" s="21" t="s">
        <v>2272</v>
      </c>
      <c r="Y326" s="3" t="s">
        <v>2272</v>
      </c>
      <c r="Z326" s="3" t="s">
        <v>2272</v>
      </c>
      <c r="AA326" s="3" t="s">
        <v>2272</v>
      </c>
      <c r="AB326" s="4"/>
      <c r="AC326" s="4"/>
    </row>
    <row r="327" spans="1:29"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2272</v>
      </c>
      <c r="K327" s="21" t="s">
        <v>2272</v>
      </c>
      <c r="L327" s="98" t="s">
        <v>2272</v>
      </c>
      <c r="M327" s="21" t="s">
        <v>2272</v>
      </c>
      <c r="N327" s="21" t="s">
        <v>2272</v>
      </c>
      <c r="O327" s="21" t="s">
        <v>2272</v>
      </c>
      <c r="P327" s="21" t="s">
        <v>2272</v>
      </c>
      <c r="Q327" s="21" t="s">
        <v>2272</v>
      </c>
      <c r="R327" s="97" t="s">
        <v>2272</v>
      </c>
      <c r="S327" s="97" t="s">
        <v>2272</v>
      </c>
      <c r="T327" s="21" t="s">
        <v>2272</v>
      </c>
      <c r="U327" s="21" t="s">
        <v>2272</v>
      </c>
      <c r="V327" s="21" t="s">
        <v>2272</v>
      </c>
      <c r="W327" s="21" t="s">
        <v>2272</v>
      </c>
      <c r="X327" s="21" t="s">
        <v>2272</v>
      </c>
      <c r="Y327" s="3" t="s">
        <v>2272</v>
      </c>
      <c r="Z327" s="3" t="s">
        <v>2272</v>
      </c>
      <c r="AA327" s="3" t="s">
        <v>2272</v>
      </c>
      <c r="AB327" s="4"/>
      <c r="AC327" s="4"/>
    </row>
    <row r="328" spans="1:29"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2272</v>
      </c>
      <c r="K328" s="21" t="s">
        <v>2272</v>
      </c>
      <c r="L328" s="98" t="s">
        <v>2272</v>
      </c>
      <c r="M328" s="21" t="s">
        <v>2272</v>
      </c>
      <c r="N328" s="21" t="s">
        <v>2272</v>
      </c>
      <c r="O328" s="21" t="s">
        <v>2272</v>
      </c>
      <c r="P328" s="21" t="s">
        <v>2272</v>
      </c>
      <c r="Q328" s="21" t="s">
        <v>2272</v>
      </c>
      <c r="R328" s="97" t="s">
        <v>2272</v>
      </c>
      <c r="S328" s="97" t="s">
        <v>2272</v>
      </c>
      <c r="T328" s="21" t="s">
        <v>2272</v>
      </c>
      <c r="U328" s="21" t="s">
        <v>2272</v>
      </c>
      <c r="V328" s="21" t="s">
        <v>2272</v>
      </c>
      <c r="W328" s="21" t="s">
        <v>2272</v>
      </c>
      <c r="X328" s="21" t="s">
        <v>2272</v>
      </c>
      <c r="Y328" s="3" t="s">
        <v>2272</v>
      </c>
      <c r="Z328" s="3" t="s">
        <v>2272</v>
      </c>
      <c r="AA328" s="3" t="s">
        <v>2272</v>
      </c>
      <c r="AB328" s="4"/>
      <c r="AC328" s="4"/>
    </row>
    <row r="329" spans="1:29"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2272</v>
      </c>
      <c r="K329" s="21" t="s">
        <v>2272</v>
      </c>
      <c r="L329" s="98" t="s">
        <v>2272</v>
      </c>
      <c r="M329" s="21" t="s">
        <v>2272</v>
      </c>
      <c r="N329" s="21" t="s">
        <v>2272</v>
      </c>
      <c r="O329" s="21" t="s">
        <v>2272</v>
      </c>
      <c r="P329" s="21" t="s">
        <v>2272</v>
      </c>
      <c r="Q329" s="21" t="s">
        <v>2272</v>
      </c>
      <c r="R329" s="97" t="s">
        <v>2272</v>
      </c>
      <c r="S329" s="97" t="s">
        <v>2272</v>
      </c>
      <c r="T329" s="21" t="s">
        <v>2272</v>
      </c>
      <c r="U329" s="21" t="s">
        <v>2272</v>
      </c>
      <c r="V329" s="21" t="s">
        <v>2272</v>
      </c>
      <c r="W329" s="21" t="s">
        <v>2272</v>
      </c>
      <c r="X329" s="21" t="s">
        <v>2272</v>
      </c>
      <c r="Y329" s="3" t="s">
        <v>2272</v>
      </c>
      <c r="Z329" s="3" t="s">
        <v>2272</v>
      </c>
      <c r="AA329" s="3" t="s">
        <v>2272</v>
      </c>
      <c r="AB329" s="4"/>
      <c r="AC329" s="4"/>
    </row>
    <row r="330" spans="1:29"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2272</v>
      </c>
      <c r="K330" s="21" t="s">
        <v>2272</v>
      </c>
      <c r="L330" s="98" t="s">
        <v>2272</v>
      </c>
      <c r="M330" s="21" t="s">
        <v>2272</v>
      </c>
      <c r="N330" s="21" t="s">
        <v>2272</v>
      </c>
      <c r="O330" s="21" t="s">
        <v>2272</v>
      </c>
      <c r="P330" s="21" t="s">
        <v>2272</v>
      </c>
      <c r="Q330" s="21" t="s">
        <v>2272</v>
      </c>
      <c r="R330" s="97" t="s">
        <v>2272</v>
      </c>
      <c r="S330" s="97" t="s">
        <v>2272</v>
      </c>
      <c r="T330" s="21" t="s">
        <v>2272</v>
      </c>
      <c r="U330" s="21" t="s">
        <v>2272</v>
      </c>
      <c r="V330" s="21" t="s">
        <v>2272</v>
      </c>
      <c r="W330" s="21" t="s">
        <v>2272</v>
      </c>
      <c r="X330" s="21" t="s">
        <v>2272</v>
      </c>
      <c r="Y330" s="3" t="s">
        <v>2272</v>
      </c>
      <c r="Z330" s="3" t="s">
        <v>2272</v>
      </c>
      <c r="AA330" s="3" t="s">
        <v>2272</v>
      </c>
      <c r="AB330" s="4"/>
      <c r="AC330" s="4"/>
    </row>
    <row r="331" spans="1:29"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2272</v>
      </c>
      <c r="K331" s="21" t="s">
        <v>2272</v>
      </c>
      <c r="L331" s="98" t="s">
        <v>2272</v>
      </c>
      <c r="M331" s="21" t="s">
        <v>2272</v>
      </c>
      <c r="N331" s="21" t="s">
        <v>2272</v>
      </c>
      <c r="O331" s="21" t="s">
        <v>2272</v>
      </c>
      <c r="P331" s="21" t="s">
        <v>2272</v>
      </c>
      <c r="Q331" s="21" t="s">
        <v>2272</v>
      </c>
      <c r="R331" s="97" t="s">
        <v>2272</v>
      </c>
      <c r="S331" s="97" t="s">
        <v>2272</v>
      </c>
      <c r="T331" s="21" t="s">
        <v>2272</v>
      </c>
      <c r="U331" s="21" t="s">
        <v>2272</v>
      </c>
      <c r="V331" s="21" t="s">
        <v>2272</v>
      </c>
      <c r="W331" s="21" t="s">
        <v>2272</v>
      </c>
      <c r="X331" s="21" t="s">
        <v>2272</v>
      </c>
      <c r="Y331" s="3" t="s">
        <v>2272</v>
      </c>
      <c r="Z331" s="3" t="s">
        <v>2272</v>
      </c>
      <c r="AA331" s="3" t="s">
        <v>2272</v>
      </c>
      <c r="AB331" s="4"/>
      <c r="AC331" s="4"/>
    </row>
    <row r="332" spans="1:29"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2272</v>
      </c>
      <c r="K332" s="21" t="s">
        <v>2272</v>
      </c>
      <c r="L332" s="98" t="s">
        <v>2272</v>
      </c>
      <c r="M332" s="21" t="s">
        <v>2272</v>
      </c>
      <c r="N332" s="21" t="s">
        <v>2272</v>
      </c>
      <c r="O332" s="21" t="s">
        <v>2272</v>
      </c>
      <c r="P332" s="21" t="s">
        <v>2272</v>
      </c>
      <c r="Q332" s="21" t="s">
        <v>2272</v>
      </c>
      <c r="R332" s="97" t="s">
        <v>2272</v>
      </c>
      <c r="S332" s="97" t="s">
        <v>2272</v>
      </c>
      <c r="T332" s="21" t="s">
        <v>2272</v>
      </c>
      <c r="U332" s="21" t="s">
        <v>2272</v>
      </c>
      <c r="V332" s="21" t="s">
        <v>2272</v>
      </c>
      <c r="W332" s="21" t="s">
        <v>2272</v>
      </c>
      <c r="X332" s="21" t="s">
        <v>2272</v>
      </c>
      <c r="Y332" s="3" t="s">
        <v>2272</v>
      </c>
      <c r="Z332" s="3" t="s">
        <v>2272</v>
      </c>
      <c r="AA332" s="3" t="s">
        <v>2272</v>
      </c>
      <c r="AB332" s="4"/>
      <c r="AC332" s="4"/>
    </row>
    <row r="333" spans="1:29"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2272</v>
      </c>
      <c r="K333" s="21" t="s">
        <v>2272</v>
      </c>
      <c r="L333" s="98" t="s">
        <v>2272</v>
      </c>
      <c r="M333" s="21" t="s">
        <v>2272</v>
      </c>
      <c r="N333" s="21" t="s">
        <v>2272</v>
      </c>
      <c r="O333" s="21" t="s">
        <v>2272</v>
      </c>
      <c r="P333" s="21" t="s">
        <v>2272</v>
      </c>
      <c r="Q333" s="21" t="s">
        <v>2272</v>
      </c>
      <c r="R333" s="97" t="s">
        <v>2272</v>
      </c>
      <c r="S333" s="97" t="s">
        <v>2272</v>
      </c>
      <c r="T333" s="21" t="s">
        <v>2272</v>
      </c>
      <c r="U333" s="21" t="s">
        <v>2272</v>
      </c>
      <c r="V333" s="21" t="s">
        <v>2272</v>
      </c>
      <c r="W333" s="21" t="s">
        <v>2272</v>
      </c>
      <c r="X333" s="21" t="s">
        <v>2272</v>
      </c>
      <c r="Y333" s="3" t="s">
        <v>2272</v>
      </c>
      <c r="Z333" s="3" t="s">
        <v>2272</v>
      </c>
      <c r="AA333" s="3" t="s">
        <v>2272</v>
      </c>
      <c r="AB333" s="4"/>
      <c r="AC333" s="4"/>
    </row>
    <row r="334" spans="1:29"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2272</v>
      </c>
      <c r="K334" s="21" t="s">
        <v>2272</v>
      </c>
      <c r="L334" s="98" t="s">
        <v>2272</v>
      </c>
      <c r="M334" s="21" t="s">
        <v>2272</v>
      </c>
      <c r="N334" s="21" t="s">
        <v>2272</v>
      </c>
      <c r="O334" s="21" t="s">
        <v>2272</v>
      </c>
      <c r="P334" s="21" t="s">
        <v>2272</v>
      </c>
      <c r="Q334" s="21" t="s">
        <v>2272</v>
      </c>
      <c r="R334" s="97" t="s">
        <v>2272</v>
      </c>
      <c r="S334" s="97" t="s">
        <v>2272</v>
      </c>
      <c r="T334" s="21" t="s">
        <v>2272</v>
      </c>
      <c r="U334" s="21" t="s">
        <v>2272</v>
      </c>
      <c r="V334" s="21" t="s">
        <v>2272</v>
      </c>
      <c r="W334" s="21" t="s">
        <v>2272</v>
      </c>
      <c r="X334" s="21" t="s">
        <v>2272</v>
      </c>
      <c r="Y334" s="3" t="s">
        <v>2272</v>
      </c>
      <c r="Z334" s="3" t="s">
        <v>2272</v>
      </c>
      <c r="AA334" s="3" t="s">
        <v>2272</v>
      </c>
      <c r="AB334" s="4"/>
      <c r="AC334" s="4"/>
    </row>
    <row r="335" spans="1:29"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2272</v>
      </c>
      <c r="K335" s="21" t="s">
        <v>2272</v>
      </c>
      <c r="L335" s="98" t="s">
        <v>2272</v>
      </c>
      <c r="M335" s="21" t="s">
        <v>2272</v>
      </c>
      <c r="N335" s="21" t="s">
        <v>2272</v>
      </c>
      <c r="O335" s="21" t="s">
        <v>2272</v>
      </c>
      <c r="P335" s="21" t="s">
        <v>2272</v>
      </c>
      <c r="Q335" s="21" t="s">
        <v>2272</v>
      </c>
      <c r="R335" s="97" t="s">
        <v>2272</v>
      </c>
      <c r="S335" s="97" t="s">
        <v>2272</v>
      </c>
      <c r="T335" s="21" t="s">
        <v>2272</v>
      </c>
      <c r="U335" s="21" t="s">
        <v>2272</v>
      </c>
      <c r="V335" s="21" t="s">
        <v>2272</v>
      </c>
      <c r="W335" s="21" t="s">
        <v>2272</v>
      </c>
      <c r="X335" s="21" t="s">
        <v>2272</v>
      </c>
      <c r="Y335" s="3" t="s">
        <v>2272</v>
      </c>
      <c r="Z335" s="3" t="s">
        <v>2272</v>
      </c>
      <c r="AA335" s="3" t="s">
        <v>2272</v>
      </c>
      <c r="AB335" s="4"/>
      <c r="AC335" s="4"/>
    </row>
    <row r="336" spans="1:29"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2272</v>
      </c>
      <c r="K336" s="21" t="s">
        <v>2272</v>
      </c>
      <c r="L336" s="98" t="s">
        <v>2272</v>
      </c>
      <c r="M336" s="21" t="s">
        <v>2272</v>
      </c>
      <c r="N336" s="21" t="s">
        <v>2272</v>
      </c>
      <c r="O336" s="21" t="s">
        <v>2272</v>
      </c>
      <c r="P336" s="21" t="s">
        <v>2272</v>
      </c>
      <c r="Q336" s="21" t="s">
        <v>2272</v>
      </c>
      <c r="R336" s="97" t="s">
        <v>2272</v>
      </c>
      <c r="S336" s="97" t="s">
        <v>2272</v>
      </c>
      <c r="T336" s="21" t="s">
        <v>2272</v>
      </c>
      <c r="U336" s="21" t="s">
        <v>2272</v>
      </c>
      <c r="V336" s="21" t="s">
        <v>2272</v>
      </c>
      <c r="W336" s="21" t="s">
        <v>2272</v>
      </c>
      <c r="X336" s="21" t="s">
        <v>2272</v>
      </c>
      <c r="Y336" s="3" t="s">
        <v>2272</v>
      </c>
      <c r="Z336" s="3" t="s">
        <v>2272</v>
      </c>
      <c r="AA336" s="3" t="s">
        <v>2272</v>
      </c>
      <c r="AB336" s="4"/>
      <c r="AC336" s="4"/>
    </row>
    <row r="337" spans="1:29"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2272</v>
      </c>
      <c r="K337" s="21" t="s">
        <v>2272</v>
      </c>
      <c r="L337" s="98" t="s">
        <v>2272</v>
      </c>
      <c r="M337" s="21" t="s">
        <v>2272</v>
      </c>
      <c r="N337" s="21" t="s">
        <v>2272</v>
      </c>
      <c r="O337" s="21" t="s">
        <v>2272</v>
      </c>
      <c r="P337" s="21" t="s">
        <v>2272</v>
      </c>
      <c r="Q337" s="21" t="s">
        <v>2272</v>
      </c>
      <c r="R337" s="97" t="s">
        <v>2272</v>
      </c>
      <c r="S337" s="97" t="s">
        <v>2272</v>
      </c>
      <c r="T337" s="21" t="s">
        <v>2272</v>
      </c>
      <c r="U337" s="21" t="s">
        <v>2272</v>
      </c>
      <c r="V337" s="21" t="s">
        <v>2272</v>
      </c>
      <c r="W337" s="21" t="s">
        <v>2272</v>
      </c>
      <c r="X337" s="21" t="s">
        <v>2272</v>
      </c>
      <c r="Y337" s="3" t="s">
        <v>2272</v>
      </c>
      <c r="Z337" s="3" t="s">
        <v>2272</v>
      </c>
      <c r="AA337" s="3" t="s">
        <v>2272</v>
      </c>
      <c r="AB337" s="4"/>
      <c r="AC337" s="4"/>
    </row>
    <row r="338" spans="1:29"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2272</v>
      </c>
      <c r="K338" s="21" t="s">
        <v>2272</v>
      </c>
      <c r="L338" s="98" t="s">
        <v>2272</v>
      </c>
      <c r="M338" s="21" t="s">
        <v>2272</v>
      </c>
      <c r="N338" s="21" t="s">
        <v>2272</v>
      </c>
      <c r="O338" s="21" t="s">
        <v>2272</v>
      </c>
      <c r="P338" s="21" t="s">
        <v>2272</v>
      </c>
      <c r="Q338" s="21" t="s">
        <v>2272</v>
      </c>
      <c r="R338" s="97" t="s">
        <v>2272</v>
      </c>
      <c r="S338" s="97" t="s">
        <v>2272</v>
      </c>
      <c r="T338" s="21" t="s">
        <v>2272</v>
      </c>
      <c r="U338" s="21" t="s">
        <v>2272</v>
      </c>
      <c r="V338" s="21" t="s">
        <v>2272</v>
      </c>
      <c r="W338" s="21" t="s">
        <v>2272</v>
      </c>
      <c r="X338" s="21" t="s">
        <v>2272</v>
      </c>
      <c r="Y338" s="3" t="s">
        <v>2272</v>
      </c>
      <c r="Z338" s="3" t="s">
        <v>2272</v>
      </c>
      <c r="AA338" s="3" t="s">
        <v>2272</v>
      </c>
      <c r="AB338" s="4"/>
      <c r="AC338" s="4"/>
    </row>
    <row r="339" spans="1:29"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2272</v>
      </c>
      <c r="K339" s="21" t="s">
        <v>2272</v>
      </c>
      <c r="L339" s="98" t="s">
        <v>2272</v>
      </c>
      <c r="M339" s="21" t="s">
        <v>2272</v>
      </c>
      <c r="N339" s="21" t="s">
        <v>2272</v>
      </c>
      <c r="O339" s="21" t="s">
        <v>2272</v>
      </c>
      <c r="P339" s="21" t="s">
        <v>2272</v>
      </c>
      <c r="Q339" s="21" t="s">
        <v>2272</v>
      </c>
      <c r="R339" s="97" t="s">
        <v>2272</v>
      </c>
      <c r="S339" s="97" t="s">
        <v>2272</v>
      </c>
      <c r="T339" s="21" t="s">
        <v>2272</v>
      </c>
      <c r="U339" s="21" t="s">
        <v>2272</v>
      </c>
      <c r="V339" s="21" t="s">
        <v>2272</v>
      </c>
      <c r="W339" s="21" t="s">
        <v>2272</v>
      </c>
      <c r="X339" s="21" t="s">
        <v>2272</v>
      </c>
      <c r="Y339" s="3" t="s">
        <v>2272</v>
      </c>
      <c r="Z339" s="3" t="s">
        <v>2272</v>
      </c>
      <c r="AA339" s="3" t="s">
        <v>2272</v>
      </c>
      <c r="AB339" s="4"/>
      <c r="AC339" s="4"/>
    </row>
    <row r="340" spans="1:29"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2272</v>
      </c>
      <c r="K340" s="21" t="s">
        <v>2272</v>
      </c>
      <c r="L340" s="98" t="s">
        <v>2272</v>
      </c>
      <c r="M340" s="21" t="s">
        <v>2272</v>
      </c>
      <c r="N340" s="21" t="s">
        <v>2272</v>
      </c>
      <c r="O340" s="21" t="s">
        <v>2272</v>
      </c>
      <c r="P340" s="21" t="s">
        <v>2272</v>
      </c>
      <c r="Q340" s="21" t="s">
        <v>2272</v>
      </c>
      <c r="R340" s="97" t="s">
        <v>2272</v>
      </c>
      <c r="S340" s="97" t="s">
        <v>2272</v>
      </c>
      <c r="T340" s="21" t="s">
        <v>2272</v>
      </c>
      <c r="U340" s="21" t="s">
        <v>2272</v>
      </c>
      <c r="V340" s="21" t="s">
        <v>2272</v>
      </c>
      <c r="W340" s="21" t="s">
        <v>2272</v>
      </c>
      <c r="X340" s="21" t="s">
        <v>2272</v>
      </c>
      <c r="Y340" s="3" t="s">
        <v>2272</v>
      </c>
      <c r="Z340" s="3" t="s">
        <v>2272</v>
      </c>
      <c r="AA340" s="3" t="s">
        <v>2272</v>
      </c>
      <c r="AB340" s="4"/>
      <c r="AC340" s="4"/>
    </row>
    <row r="341" spans="1:29"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2272</v>
      </c>
      <c r="K341" s="21" t="s">
        <v>2272</v>
      </c>
      <c r="L341" s="98" t="s">
        <v>2272</v>
      </c>
      <c r="M341" s="21" t="s">
        <v>2272</v>
      </c>
      <c r="N341" s="21" t="s">
        <v>2272</v>
      </c>
      <c r="O341" s="21" t="s">
        <v>2272</v>
      </c>
      <c r="P341" s="21" t="s">
        <v>2272</v>
      </c>
      <c r="Q341" s="21" t="s">
        <v>2272</v>
      </c>
      <c r="R341" s="97" t="s">
        <v>2272</v>
      </c>
      <c r="S341" s="97" t="s">
        <v>2272</v>
      </c>
      <c r="T341" s="21" t="s">
        <v>2272</v>
      </c>
      <c r="U341" s="21" t="s">
        <v>2272</v>
      </c>
      <c r="V341" s="21" t="s">
        <v>2272</v>
      </c>
      <c r="W341" s="21" t="s">
        <v>2272</v>
      </c>
      <c r="X341" s="21" t="s">
        <v>2272</v>
      </c>
      <c r="Y341" s="3" t="s">
        <v>2272</v>
      </c>
      <c r="Z341" s="3" t="s">
        <v>2272</v>
      </c>
      <c r="AA341" s="3" t="s">
        <v>2272</v>
      </c>
      <c r="AB341" s="4"/>
      <c r="AC341" s="4"/>
    </row>
    <row r="342" spans="1:29"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2272</v>
      </c>
      <c r="K342" s="21" t="s">
        <v>2272</v>
      </c>
      <c r="L342" s="98" t="s">
        <v>2272</v>
      </c>
      <c r="M342" s="21" t="s">
        <v>2272</v>
      </c>
      <c r="N342" s="21" t="s">
        <v>2272</v>
      </c>
      <c r="O342" s="21" t="s">
        <v>2272</v>
      </c>
      <c r="P342" s="21" t="s">
        <v>2272</v>
      </c>
      <c r="Q342" s="21" t="s">
        <v>2272</v>
      </c>
      <c r="R342" s="97" t="s">
        <v>2272</v>
      </c>
      <c r="S342" s="97" t="s">
        <v>2272</v>
      </c>
      <c r="T342" s="21" t="s">
        <v>2272</v>
      </c>
      <c r="U342" s="21" t="s">
        <v>2272</v>
      </c>
      <c r="V342" s="21" t="s">
        <v>2272</v>
      </c>
      <c r="W342" s="21" t="s">
        <v>2272</v>
      </c>
      <c r="X342" s="21" t="s">
        <v>2272</v>
      </c>
      <c r="Y342" s="3" t="s">
        <v>2272</v>
      </c>
      <c r="Z342" s="3" t="s">
        <v>2272</v>
      </c>
      <c r="AA342" s="3" t="s">
        <v>2272</v>
      </c>
      <c r="AB342" s="4"/>
      <c r="AC342" s="4"/>
    </row>
    <row r="343" spans="1:29"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2272</v>
      </c>
      <c r="K343" s="21" t="s">
        <v>2272</v>
      </c>
      <c r="L343" s="98" t="s">
        <v>2272</v>
      </c>
      <c r="M343" s="21" t="s">
        <v>2272</v>
      </c>
      <c r="N343" s="21" t="s">
        <v>2272</v>
      </c>
      <c r="O343" s="21" t="s">
        <v>2272</v>
      </c>
      <c r="P343" s="21" t="s">
        <v>2272</v>
      </c>
      <c r="Q343" s="21" t="s">
        <v>2272</v>
      </c>
      <c r="R343" s="97" t="s">
        <v>2272</v>
      </c>
      <c r="S343" s="97" t="s">
        <v>2272</v>
      </c>
      <c r="T343" s="21" t="s">
        <v>2272</v>
      </c>
      <c r="U343" s="21" t="s">
        <v>2272</v>
      </c>
      <c r="V343" s="21" t="s">
        <v>2272</v>
      </c>
      <c r="W343" s="21" t="s">
        <v>2272</v>
      </c>
      <c r="X343" s="21" t="s">
        <v>2272</v>
      </c>
      <c r="Y343" s="3" t="s">
        <v>2272</v>
      </c>
      <c r="Z343" s="3" t="s">
        <v>2272</v>
      </c>
      <c r="AA343" s="3" t="s">
        <v>2272</v>
      </c>
      <c r="AB343" s="4"/>
      <c r="AC343" s="4"/>
    </row>
    <row r="344" spans="1:29"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2272</v>
      </c>
      <c r="K344" s="21" t="s">
        <v>2272</v>
      </c>
      <c r="L344" s="98" t="s">
        <v>2272</v>
      </c>
      <c r="M344" s="21" t="s">
        <v>2272</v>
      </c>
      <c r="N344" s="21" t="s">
        <v>2272</v>
      </c>
      <c r="O344" s="21" t="s">
        <v>2272</v>
      </c>
      <c r="P344" s="21" t="s">
        <v>2272</v>
      </c>
      <c r="Q344" s="21" t="s">
        <v>2272</v>
      </c>
      <c r="R344" s="97" t="s">
        <v>2272</v>
      </c>
      <c r="S344" s="97" t="s">
        <v>2272</v>
      </c>
      <c r="T344" s="21" t="s">
        <v>2272</v>
      </c>
      <c r="U344" s="21" t="s">
        <v>2272</v>
      </c>
      <c r="V344" s="21" t="s">
        <v>2272</v>
      </c>
      <c r="W344" s="21" t="s">
        <v>2272</v>
      </c>
      <c r="X344" s="21" t="s">
        <v>2272</v>
      </c>
      <c r="Y344" s="3" t="s">
        <v>2272</v>
      </c>
      <c r="Z344" s="3" t="s">
        <v>2272</v>
      </c>
      <c r="AA344" s="3" t="s">
        <v>2272</v>
      </c>
      <c r="AB344" s="4"/>
      <c r="AC344" s="4"/>
    </row>
    <row r="345" spans="1:29"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2272</v>
      </c>
      <c r="K345" s="21" t="s">
        <v>2272</v>
      </c>
      <c r="L345" s="98" t="s">
        <v>2272</v>
      </c>
      <c r="M345" s="21" t="s">
        <v>2272</v>
      </c>
      <c r="N345" s="21" t="s">
        <v>2272</v>
      </c>
      <c r="O345" s="21" t="s">
        <v>2272</v>
      </c>
      <c r="P345" s="21" t="s">
        <v>2272</v>
      </c>
      <c r="Q345" s="21" t="s">
        <v>2272</v>
      </c>
      <c r="R345" s="97" t="s">
        <v>2272</v>
      </c>
      <c r="S345" s="97" t="s">
        <v>2272</v>
      </c>
      <c r="T345" s="21" t="s">
        <v>2272</v>
      </c>
      <c r="U345" s="21" t="s">
        <v>2272</v>
      </c>
      <c r="V345" s="21" t="s">
        <v>2272</v>
      </c>
      <c r="W345" s="21" t="s">
        <v>2272</v>
      </c>
      <c r="X345" s="21" t="s">
        <v>2272</v>
      </c>
      <c r="Y345" s="3" t="s">
        <v>2272</v>
      </c>
      <c r="Z345" s="3" t="s">
        <v>2272</v>
      </c>
      <c r="AA345" s="3" t="s">
        <v>2272</v>
      </c>
      <c r="AB345" s="4"/>
      <c r="AC345" s="4"/>
    </row>
    <row r="346" spans="1:29"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2272</v>
      </c>
      <c r="K346" s="21" t="s">
        <v>2272</v>
      </c>
      <c r="L346" s="98" t="s">
        <v>2272</v>
      </c>
      <c r="M346" s="21" t="s">
        <v>2272</v>
      </c>
      <c r="N346" s="21" t="s">
        <v>2272</v>
      </c>
      <c r="O346" s="21" t="s">
        <v>2272</v>
      </c>
      <c r="P346" s="21" t="s">
        <v>2272</v>
      </c>
      <c r="Q346" s="21" t="s">
        <v>2272</v>
      </c>
      <c r="R346" s="97" t="s">
        <v>2272</v>
      </c>
      <c r="S346" s="97" t="s">
        <v>2272</v>
      </c>
      <c r="T346" s="21" t="s">
        <v>2272</v>
      </c>
      <c r="U346" s="21" t="s">
        <v>2272</v>
      </c>
      <c r="V346" s="21" t="s">
        <v>2272</v>
      </c>
      <c r="W346" s="21" t="s">
        <v>2272</v>
      </c>
      <c r="X346" s="21" t="s">
        <v>2272</v>
      </c>
      <c r="Y346" s="3" t="s">
        <v>2272</v>
      </c>
      <c r="Z346" s="3" t="s">
        <v>2272</v>
      </c>
      <c r="AA346" s="3" t="s">
        <v>2272</v>
      </c>
      <c r="AB346" s="4"/>
      <c r="AC346" s="4"/>
    </row>
    <row r="347" spans="1:29"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2272</v>
      </c>
      <c r="K347" s="21" t="s">
        <v>2272</v>
      </c>
      <c r="L347" s="98" t="s">
        <v>2272</v>
      </c>
      <c r="M347" s="21" t="s">
        <v>2272</v>
      </c>
      <c r="N347" s="21" t="s">
        <v>2272</v>
      </c>
      <c r="O347" s="21" t="s">
        <v>2272</v>
      </c>
      <c r="P347" s="21" t="s">
        <v>2272</v>
      </c>
      <c r="Q347" s="21" t="s">
        <v>2272</v>
      </c>
      <c r="R347" s="97" t="s">
        <v>2272</v>
      </c>
      <c r="S347" s="97" t="s">
        <v>2272</v>
      </c>
      <c r="T347" s="21" t="s">
        <v>2272</v>
      </c>
      <c r="U347" s="21" t="s">
        <v>2272</v>
      </c>
      <c r="V347" s="21" t="s">
        <v>2272</v>
      </c>
      <c r="W347" s="21" t="s">
        <v>2272</v>
      </c>
      <c r="X347" s="21" t="s">
        <v>2272</v>
      </c>
      <c r="Y347" s="3" t="s">
        <v>2272</v>
      </c>
      <c r="Z347" s="3" t="s">
        <v>2272</v>
      </c>
      <c r="AA347" s="3" t="s">
        <v>2272</v>
      </c>
      <c r="AB347" s="4"/>
      <c r="AC347" s="4"/>
    </row>
    <row r="348" spans="1:29"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2272</v>
      </c>
      <c r="K348" s="21" t="s">
        <v>2272</v>
      </c>
      <c r="L348" s="98" t="s">
        <v>2272</v>
      </c>
      <c r="M348" s="21" t="s">
        <v>2272</v>
      </c>
      <c r="N348" s="21" t="s">
        <v>2272</v>
      </c>
      <c r="O348" s="21" t="s">
        <v>2272</v>
      </c>
      <c r="P348" s="21" t="s">
        <v>2272</v>
      </c>
      <c r="Q348" s="21" t="s">
        <v>2272</v>
      </c>
      <c r="R348" s="97" t="s">
        <v>2272</v>
      </c>
      <c r="S348" s="97" t="s">
        <v>2272</v>
      </c>
      <c r="T348" s="21" t="s">
        <v>2272</v>
      </c>
      <c r="U348" s="21" t="s">
        <v>2272</v>
      </c>
      <c r="V348" s="21" t="s">
        <v>2272</v>
      </c>
      <c r="W348" s="21" t="s">
        <v>2272</v>
      </c>
      <c r="X348" s="21" t="s">
        <v>2272</v>
      </c>
      <c r="Y348" s="3" t="s">
        <v>2272</v>
      </c>
      <c r="Z348" s="3" t="s">
        <v>2272</v>
      </c>
      <c r="AA348" s="3" t="s">
        <v>2272</v>
      </c>
      <c r="AB348" s="4"/>
      <c r="AC348" s="4"/>
    </row>
    <row r="349" spans="1:29"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2272</v>
      </c>
      <c r="K349" s="21" t="s">
        <v>2272</v>
      </c>
      <c r="L349" s="98" t="s">
        <v>2272</v>
      </c>
      <c r="M349" s="21" t="s">
        <v>2272</v>
      </c>
      <c r="N349" s="21" t="s">
        <v>2272</v>
      </c>
      <c r="O349" s="21" t="s">
        <v>2272</v>
      </c>
      <c r="P349" s="21" t="s">
        <v>2272</v>
      </c>
      <c r="Q349" s="21" t="s">
        <v>2272</v>
      </c>
      <c r="R349" s="97" t="s">
        <v>2272</v>
      </c>
      <c r="S349" s="97" t="s">
        <v>2272</v>
      </c>
      <c r="T349" s="21" t="s">
        <v>2272</v>
      </c>
      <c r="U349" s="21" t="s">
        <v>2272</v>
      </c>
      <c r="V349" s="21" t="s">
        <v>2272</v>
      </c>
      <c r="W349" s="21" t="s">
        <v>2272</v>
      </c>
      <c r="X349" s="21" t="s">
        <v>2272</v>
      </c>
      <c r="Y349" s="3" t="s">
        <v>2272</v>
      </c>
      <c r="Z349" s="3" t="s">
        <v>2272</v>
      </c>
      <c r="AA349" s="3" t="s">
        <v>2272</v>
      </c>
      <c r="AB349" s="4"/>
      <c r="AC349" s="4"/>
    </row>
    <row r="350" spans="1:29"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2272</v>
      </c>
      <c r="K350" s="21" t="s">
        <v>2272</v>
      </c>
      <c r="L350" s="98" t="s">
        <v>2272</v>
      </c>
      <c r="M350" s="21" t="s">
        <v>2272</v>
      </c>
      <c r="N350" s="21" t="s">
        <v>2272</v>
      </c>
      <c r="O350" s="21" t="s">
        <v>2272</v>
      </c>
      <c r="P350" s="21" t="s">
        <v>2272</v>
      </c>
      <c r="Q350" s="21" t="s">
        <v>2272</v>
      </c>
      <c r="R350" s="97" t="s">
        <v>2272</v>
      </c>
      <c r="S350" s="97" t="s">
        <v>2272</v>
      </c>
      <c r="T350" s="21" t="s">
        <v>2272</v>
      </c>
      <c r="U350" s="21" t="s">
        <v>2272</v>
      </c>
      <c r="V350" s="21" t="s">
        <v>2272</v>
      </c>
      <c r="W350" s="21" t="s">
        <v>2272</v>
      </c>
      <c r="X350" s="21" t="s">
        <v>2272</v>
      </c>
      <c r="Y350" s="3" t="s">
        <v>2272</v>
      </c>
      <c r="Z350" s="3" t="s">
        <v>2272</v>
      </c>
      <c r="AA350" s="3" t="s">
        <v>2272</v>
      </c>
      <c r="AB350" s="4"/>
      <c r="AC350" s="4"/>
    </row>
    <row r="351" spans="1:29"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2272</v>
      </c>
      <c r="K351" s="21" t="s">
        <v>2272</v>
      </c>
      <c r="L351" s="98" t="s">
        <v>2272</v>
      </c>
      <c r="M351" s="21" t="s">
        <v>2272</v>
      </c>
      <c r="N351" s="21" t="s">
        <v>2272</v>
      </c>
      <c r="O351" s="21" t="s">
        <v>2272</v>
      </c>
      <c r="P351" s="21" t="s">
        <v>2272</v>
      </c>
      <c r="Q351" s="21" t="s">
        <v>2272</v>
      </c>
      <c r="R351" s="97" t="s">
        <v>2272</v>
      </c>
      <c r="S351" s="97" t="s">
        <v>2272</v>
      </c>
      <c r="T351" s="21" t="s">
        <v>2272</v>
      </c>
      <c r="U351" s="21" t="s">
        <v>2272</v>
      </c>
      <c r="V351" s="21" t="s">
        <v>2272</v>
      </c>
      <c r="W351" s="21" t="s">
        <v>2272</v>
      </c>
      <c r="X351" s="21" t="s">
        <v>2272</v>
      </c>
      <c r="Y351" s="3" t="s">
        <v>2272</v>
      </c>
      <c r="Z351" s="3" t="s">
        <v>2272</v>
      </c>
      <c r="AA351" s="3" t="s">
        <v>2272</v>
      </c>
      <c r="AB351" s="4"/>
      <c r="AC351" s="4"/>
    </row>
    <row r="352" spans="1:29"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2272</v>
      </c>
      <c r="K352" s="21" t="s">
        <v>2272</v>
      </c>
      <c r="L352" s="98" t="s">
        <v>2272</v>
      </c>
      <c r="M352" s="21" t="s">
        <v>2272</v>
      </c>
      <c r="N352" s="21" t="s">
        <v>2272</v>
      </c>
      <c r="O352" s="21" t="s">
        <v>2272</v>
      </c>
      <c r="P352" s="21" t="s">
        <v>2272</v>
      </c>
      <c r="Q352" s="21" t="s">
        <v>2272</v>
      </c>
      <c r="R352" s="97" t="s">
        <v>2272</v>
      </c>
      <c r="S352" s="97" t="s">
        <v>2272</v>
      </c>
      <c r="T352" s="21" t="s">
        <v>2272</v>
      </c>
      <c r="U352" s="21" t="s">
        <v>2272</v>
      </c>
      <c r="V352" s="21" t="s">
        <v>2272</v>
      </c>
      <c r="W352" s="21" t="s">
        <v>2272</v>
      </c>
      <c r="X352" s="21" t="s">
        <v>2272</v>
      </c>
      <c r="Y352" s="3" t="s">
        <v>2272</v>
      </c>
      <c r="Z352" s="3" t="s">
        <v>2272</v>
      </c>
      <c r="AA352" s="3" t="s">
        <v>2272</v>
      </c>
      <c r="AB352" s="4"/>
      <c r="AC352" s="4"/>
    </row>
    <row r="353" spans="1:29"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2272</v>
      </c>
      <c r="K353" s="21" t="s">
        <v>2272</v>
      </c>
      <c r="L353" s="98" t="s">
        <v>2272</v>
      </c>
      <c r="M353" s="21" t="s">
        <v>2272</v>
      </c>
      <c r="N353" s="21" t="s">
        <v>2272</v>
      </c>
      <c r="O353" s="21" t="s">
        <v>2272</v>
      </c>
      <c r="P353" s="21" t="s">
        <v>2272</v>
      </c>
      <c r="Q353" s="21" t="s">
        <v>2272</v>
      </c>
      <c r="R353" s="97" t="s">
        <v>2272</v>
      </c>
      <c r="S353" s="97" t="s">
        <v>2272</v>
      </c>
      <c r="T353" s="21" t="s">
        <v>2272</v>
      </c>
      <c r="U353" s="21" t="s">
        <v>2272</v>
      </c>
      <c r="V353" s="21" t="s">
        <v>2272</v>
      </c>
      <c r="W353" s="21" t="s">
        <v>2272</v>
      </c>
      <c r="X353" s="21" t="s">
        <v>2272</v>
      </c>
      <c r="Y353" s="3" t="s">
        <v>2272</v>
      </c>
      <c r="Z353" s="3" t="s">
        <v>2272</v>
      </c>
      <c r="AA353" s="3" t="s">
        <v>2272</v>
      </c>
      <c r="AB353" s="4"/>
      <c r="AC353" s="4"/>
    </row>
    <row r="354" spans="1:29"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2272</v>
      </c>
      <c r="K354" s="21" t="s">
        <v>2272</v>
      </c>
      <c r="L354" s="98" t="s">
        <v>2272</v>
      </c>
      <c r="M354" s="21" t="s">
        <v>2272</v>
      </c>
      <c r="N354" s="21" t="s">
        <v>2272</v>
      </c>
      <c r="O354" s="21" t="s">
        <v>2272</v>
      </c>
      <c r="P354" s="21" t="s">
        <v>2272</v>
      </c>
      <c r="Q354" s="21" t="s">
        <v>2272</v>
      </c>
      <c r="R354" s="97" t="s">
        <v>2272</v>
      </c>
      <c r="S354" s="97" t="s">
        <v>2272</v>
      </c>
      <c r="T354" s="21" t="s">
        <v>2272</v>
      </c>
      <c r="U354" s="21" t="s">
        <v>2272</v>
      </c>
      <c r="V354" s="21" t="s">
        <v>2272</v>
      </c>
      <c r="W354" s="21" t="s">
        <v>2272</v>
      </c>
      <c r="X354" s="21" t="s">
        <v>2272</v>
      </c>
      <c r="Y354" s="3" t="s">
        <v>2272</v>
      </c>
      <c r="Z354" s="3" t="s">
        <v>2272</v>
      </c>
      <c r="AA354" s="3" t="s">
        <v>2272</v>
      </c>
      <c r="AB354" s="4"/>
      <c r="AC354" s="4"/>
    </row>
    <row r="355" spans="1:29"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2272</v>
      </c>
      <c r="K355" s="21" t="s">
        <v>2272</v>
      </c>
      <c r="L355" s="98" t="s">
        <v>2272</v>
      </c>
      <c r="M355" s="21" t="s">
        <v>2272</v>
      </c>
      <c r="N355" s="21" t="s">
        <v>2272</v>
      </c>
      <c r="O355" s="21" t="s">
        <v>2272</v>
      </c>
      <c r="P355" s="21" t="s">
        <v>2272</v>
      </c>
      <c r="Q355" s="21" t="s">
        <v>2272</v>
      </c>
      <c r="R355" s="97" t="s">
        <v>2272</v>
      </c>
      <c r="S355" s="97" t="s">
        <v>2272</v>
      </c>
      <c r="T355" s="21" t="s">
        <v>2272</v>
      </c>
      <c r="U355" s="21" t="s">
        <v>2272</v>
      </c>
      <c r="V355" s="21" t="s">
        <v>2272</v>
      </c>
      <c r="W355" s="21" t="s">
        <v>2272</v>
      </c>
      <c r="X355" s="21" t="s">
        <v>2272</v>
      </c>
      <c r="Y355" s="3" t="s">
        <v>2272</v>
      </c>
      <c r="Z355" s="3" t="s">
        <v>2272</v>
      </c>
      <c r="AA355" s="3" t="s">
        <v>2272</v>
      </c>
      <c r="AB355" s="4"/>
      <c r="AC355" s="4"/>
    </row>
    <row r="356" spans="1:29"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2272</v>
      </c>
      <c r="K356" s="21" t="s">
        <v>2272</v>
      </c>
      <c r="L356" s="98" t="s">
        <v>2272</v>
      </c>
      <c r="M356" s="21" t="s">
        <v>2272</v>
      </c>
      <c r="N356" s="21" t="s">
        <v>2272</v>
      </c>
      <c r="O356" s="21" t="s">
        <v>2272</v>
      </c>
      <c r="P356" s="21" t="s">
        <v>2272</v>
      </c>
      <c r="Q356" s="21" t="s">
        <v>2272</v>
      </c>
      <c r="R356" s="97" t="s">
        <v>2272</v>
      </c>
      <c r="S356" s="97" t="s">
        <v>2272</v>
      </c>
      <c r="T356" s="21" t="s">
        <v>2272</v>
      </c>
      <c r="U356" s="21" t="s">
        <v>2272</v>
      </c>
      <c r="V356" s="21" t="s">
        <v>2272</v>
      </c>
      <c r="W356" s="21" t="s">
        <v>2272</v>
      </c>
      <c r="X356" s="21" t="s">
        <v>2272</v>
      </c>
      <c r="Y356" s="3" t="s">
        <v>2272</v>
      </c>
      <c r="Z356" s="3" t="s">
        <v>2272</v>
      </c>
      <c r="AA356" s="3" t="s">
        <v>2272</v>
      </c>
      <c r="AB356" s="4"/>
      <c r="AC356" s="4"/>
    </row>
    <row r="357" spans="1:29"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2272</v>
      </c>
      <c r="K357" s="21" t="s">
        <v>2272</v>
      </c>
      <c r="L357" s="98" t="s">
        <v>2272</v>
      </c>
      <c r="M357" s="21" t="s">
        <v>2272</v>
      </c>
      <c r="N357" s="21" t="s">
        <v>2272</v>
      </c>
      <c r="O357" s="21" t="s">
        <v>2272</v>
      </c>
      <c r="P357" s="21" t="s">
        <v>2272</v>
      </c>
      <c r="Q357" s="21" t="s">
        <v>2272</v>
      </c>
      <c r="R357" s="97" t="s">
        <v>2272</v>
      </c>
      <c r="S357" s="97" t="s">
        <v>2272</v>
      </c>
      <c r="T357" s="21" t="s">
        <v>2272</v>
      </c>
      <c r="U357" s="21" t="s">
        <v>2272</v>
      </c>
      <c r="V357" s="21" t="s">
        <v>2272</v>
      </c>
      <c r="W357" s="21" t="s">
        <v>2272</v>
      </c>
      <c r="X357" s="21" t="s">
        <v>2272</v>
      </c>
      <c r="Y357" s="3" t="s">
        <v>2272</v>
      </c>
      <c r="Z357" s="3" t="s">
        <v>2272</v>
      </c>
      <c r="AA357" s="3" t="s">
        <v>2272</v>
      </c>
      <c r="AB357" s="4"/>
      <c r="AC357" s="4"/>
    </row>
    <row r="358" spans="1:29"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2272</v>
      </c>
      <c r="K358" s="21" t="s">
        <v>2272</v>
      </c>
      <c r="L358" s="98" t="s">
        <v>2272</v>
      </c>
      <c r="M358" s="21" t="s">
        <v>2272</v>
      </c>
      <c r="N358" s="21" t="s">
        <v>2272</v>
      </c>
      <c r="O358" s="21" t="s">
        <v>2272</v>
      </c>
      <c r="P358" s="21" t="s">
        <v>2272</v>
      </c>
      <c r="Q358" s="21" t="s">
        <v>2272</v>
      </c>
      <c r="R358" s="97" t="s">
        <v>2272</v>
      </c>
      <c r="S358" s="97" t="s">
        <v>2272</v>
      </c>
      <c r="T358" s="21" t="s">
        <v>2272</v>
      </c>
      <c r="U358" s="21" t="s">
        <v>2272</v>
      </c>
      <c r="V358" s="21" t="s">
        <v>2272</v>
      </c>
      <c r="W358" s="21" t="s">
        <v>2272</v>
      </c>
      <c r="X358" s="21" t="s">
        <v>2272</v>
      </c>
      <c r="Y358" s="3" t="s">
        <v>2272</v>
      </c>
      <c r="Z358" s="3" t="s">
        <v>2272</v>
      </c>
      <c r="AA358" s="3" t="s">
        <v>2272</v>
      </c>
      <c r="AB358" s="4"/>
      <c r="AC358" s="4"/>
    </row>
    <row r="359" spans="1:29"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2272</v>
      </c>
      <c r="K359" s="21" t="s">
        <v>2272</v>
      </c>
      <c r="L359" s="98" t="s">
        <v>2272</v>
      </c>
      <c r="M359" s="21" t="s">
        <v>2272</v>
      </c>
      <c r="N359" s="21" t="s">
        <v>2272</v>
      </c>
      <c r="O359" s="21" t="s">
        <v>2272</v>
      </c>
      <c r="P359" s="21" t="s">
        <v>2272</v>
      </c>
      <c r="Q359" s="21" t="s">
        <v>2272</v>
      </c>
      <c r="R359" s="97" t="s">
        <v>2272</v>
      </c>
      <c r="S359" s="97" t="s">
        <v>2272</v>
      </c>
      <c r="T359" s="21" t="s">
        <v>2272</v>
      </c>
      <c r="U359" s="21" t="s">
        <v>2272</v>
      </c>
      <c r="V359" s="21" t="s">
        <v>2272</v>
      </c>
      <c r="W359" s="21" t="s">
        <v>2272</v>
      </c>
      <c r="X359" s="21" t="s">
        <v>2272</v>
      </c>
      <c r="Y359" s="3" t="s">
        <v>2272</v>
      </c>
      <c r="Z359" s="3" t="s">
        <v>2272</v>
      </c>
      <c r="AA359" s="3" t="s">
        <v>2272</v>
      </c>
      <c r="AB359" s="4"/>
      <c r="AC359" s="4"/>
    </row>
    <row r="360" spans="1:29"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2272</v>
      </c>
      <c r="K360" s="21" t="s">
        <v>2272</v>
      </c>
      <c r="L360" s="98" t="s">
        <v>2272</v>
      </c>
      <c r="M360" s="21" t="s">
        <v>2272</v>
      </c>
      <c r="N360" s="21" t="s">
        <v>2272</v>
      </c>
      <c r="O360" s="21" t="s">
        <v>2272</v>
      </c>
      <c r="P360" s="21" t="s">
        <v>2272</v>
      </c>
      <c r="Q360" s="21" t="s">
        <v>2272</v>
      </c>
      <c r="R360" s="97" t="s">
        <v>2272</v>
      </c>
      <c r="S360" s="97" t="s">
        <v>2272</v>
      </c>
      <c r="T360" s="21" t="s">
        <v>2272</v>
      </c>
      <c r="U360" s="21" t="s">
        <v>2272</v>
      </c>
      <c r="V360" s="21" t="s">
        <v>2272</v>
      </c>
      <c r="W360" s="21" t="s">
        <v>2272</v>
      </c>
      <c r="X360" s="21" t="s">
        <v>2272</v>
      </c>
      <c r="Y360" s="3" t="s">
        <v>2272</v>
      </c>
      <c r="Z360" s="3" t="s">
        <v>2272</v>
      </c>
      <c r="AA360" s="3" t="s">
        <v>2272</v>
      </c>
      <c r="AB360" s="4"/>
      <c r="AC360" s="4"/>
    </row>
    <row r="361" spans="1:29"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2272</v>
      </c>
      <c r="K361" s="21" t="s">
        <v>2272</v>
      </c>
      <c r="L361" s="98" t="s">
        <v>2272</v>
      </c>
      <c r="M361" s="21" t="s">
        <v>2272</v>
      </c>
      <c r="N361" s="21" t="s">
        <v>2272</v>
      </c>
      <c r="O361" s="21" t="s">
        <v>2272</v>
      </c>
      <c r="P361" s="21" t="s">
        <v>2272</v>
      </c>
      <c r="Q361" s="21" t="s">
        <v>2272</v>
      </c>
      <c r="R361" s="97" t="s">
        <v>2272</v>
      </c>
      <c r="S361" s="97" t="s">
        <v>2272</v>
      </c>
      <c r="T361" s="21" t="s">
        <v>2272</v>
      </c>
      <c r="U361" s="21" t="s">
        <v>2272</v>
      </c>
      <c r="V361" s="21" t="s">
        <v>2272</v>
      </c>
      <c r="W361" s="21" t="s">
        <v>2272</v>
      </c>
      <c r="X361" s="21" t="s">
        <v>2272</v>
      </c>
      <c r="Y361" s="3" t="s">
        <v>2272</v>
      </c>
      <c r="Z361" s="3" t="s">
        <v>2272</v>
      </c>
      <c r="AA361" s="3" t="s">
        <v>2272</v>
      </c>
      <c r="AB361" s="4"/>
      <c r="AC361" s="4"/>
    </row>
    <row r="362" spans="1:29"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2272</v>
      </c>
      <c r="K362" s="21" t="s">
        <v>2272</v>
      </c>
      <c r="L362" s="98" t="s">
        <v>2272</v>
      </c>
      <c r="M362" s="21" t="s">
        <v>2272</v>
      </c>
      <c r="N362" s="21" t="s">
        <v>2272</v>
      </c>
      <c r="O362" s="21" t="s">
        <v>2272</v>
      </c>
      <c r="P362" s="21" t="s">
        <v>2272</v>
      </c>
      <c r="Q362" s="21" t="s">
        <v>2272</v>
      </c>
      <c r="R362" s="97" t="s">
        <v>2272</v>
      </c>
      <c r="S362" s="97" t="s">
        <v>2272</v>
      </c>
      <c r="T362" s="21" t="s">
        <v>2272</v>
      </c>
      <c r="U362" s="21" t="s">
        <v>2272</v>
      </c>
      <c r="V362" s="21" t="s">
        <v>2272</v>
      </c>
      <c r="W362" s="21" t="s">
        <v>2272</v>
      </c>
      <c r="X362" s="21" t="s">
        <v>2272</v>
      </c>
      <c r="Y362" s="3" t="s">
        <v>2272</v>
      </c>
      <c r="Z362" s="3" t="s">
        <v>2272</v>
      </c>
      <c r="AA362" s="3" t="s">
        <v>2272</v>
      </c>
      <c r="AB362" s="4"/>
      <c r="AC362" s="4"/>
    </row>
    <row r="363" spans="1:29"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2272</v>
      </c>
      <c r="K363" s="21" t="s">
        <v>2272</v>
      </c>
      <c r="L363" s="98" t="s">
        <v>2272</v>
      </c>
      <c r="M363" s="21" t="s">
        <v>2272</v>
      </c>
      <c r="N363" s="21" t="s">
        <v>2272</v>
      </c>
      <c r="O363" s="21" t="s">
        <v>2272</v>
      </c>
      <c r="P363" s="21" t="s">
        <v>2272</v>
      </c>
      <c r="Q363" s="21" t="s">
        <v>2272</v>
      </c>
      <c r="R363" s="97" t="s">
        <v>2272</v>
      </c>
      <c r="S363" s="97" t="s">
        <v>2272</v>
      </c>
      <c r="T363" s="21" t="s">
        <v>2272</v>
      </c>
      <c r="U363" s="21" t="s">
        <v>2272</v>
      </c>
      <c r="V363" s="21" t="s">
        <v>2272</v>
      </c>
      <c r="W363" s="21" t="s">
        <v>2272</v>
      </c>
      <c r="X363" s="21" t="s">
        <v>2272</v>
      </c>
      <c r="Y363" s="3" t="s">
        <v>2272</v>
      </c>
      <c r="Z363" s="3" t="s">
        <v>2272</v>
      </c>
      <c r="AA363" s="3" t="s">
        <v>2272</v>
      </c>
      <c r="AB363" s="4"/>
      <c r="AC363" s="4"/>
    </row>
    <row r="364" spans="1:29"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2272</v>
      </c>
      <c r="K364" s="21" t="s">
        <v>2272</v>
      </c>
      <c r="L364" s="98" t="s">
        <v>2272</v>
      </c>
      <c r="M364" s="21" t="s">
        <v>2272</v>
      </c>
      <c r="N364" s="21" t="s">
        <v>2272</v>
      </c>
      <c r="O364" s="21" t="s">
        <v>2272</v>
      </c>
      <c r="P364" s="21" t="s">
        <v>2272</v>
      </c>
      <c r="Q364" s="21" t="s">
        <v>2272</v>
      </c>
      <c r="R364" s="97" t="s">
        <v>2272</v>
      </c>
      <c r="S364" s="97" t="s">
        <v>2272</v>
      </c>
      <c r="T364" s="21" t="s">
        <v>2272</v>
      </c>
      <c r="U364" s="21" t="s">
        <v>2272</v>
      </c>
      <c r="V364" s="21" t="s">
        <v>2272</v>
      </c>
      <c r="W364" s="21" t="s">
        <v>2272</v>
      </c>
      <c r="X364" s="21" t="s">
        <v>2272</v>
      </c>
      <c r="Y364" s="3" t="s">
        <v>2272</v>
      </c>
      <c r="Z364" s="3" t="s">
        <v>2272</v>
      </c>
      <c r="AA364" s="3" t="s">
        <v>2272</v>
      </c>
      <c r="AB364" s="4"/>
      <c r="AC364" s="4"/>
    </row>
    <row r="365" spans="1:29"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2272</v>
      </c>
      <c r="K365" s="21" t="s">
        <v>2272</v>
      </c>
      <c r="L365" s="98" t="s">
        <v>2272</v>
      </c>
      <c r="M365" s="21" t="s">
        <v>2272</v>
      </c>
      <c r="N365" s="21" t="s">
        <v>2272</v>
      </c>
      <c r="O365" s="21" t="s">
        <v>2272</v>
      </c>
      <c r="P365" s="21" t="s">
        <v>2272</v>
      </c>
      <c r="Q365" s="21" t="s">
        <v>2272</v>
      </c>
      <c r="R365" s="97" t="s">
        <v>2272</v>
      </c>
      <c r="S365" s="97" t="s">
        <v>2272</v>
      </c>
      <c r="T365" s="21" t="s">
        <v>2272</v>
      </c>
      <c r="U365" s="21" t="s">
        <v>2272</v>
      </c>
      <c r="V365" s="21" t="s">
        <v>2272</v>
      </c>
      <c r="W365" s="21" t="s">
        <v>2272</v>
      </c>
      <c r="X365" s="21" t="s">
        <v>2272</v>
      </c>
      <c r="Y365" s="3" t="s">
        <v>2272</v>
      </c>
      <c r="Z365" s="3" t="s">
        <v>2272</v>
      </c>
      <c r="AA365" s="3" t="s">
        <v>2272</v>
      </c>
      <c r="AB365" s="4"/>
      <c r="AC365" s="4"/>
    </row>
    <row r="366" spans="1:29"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2272</v>
      </c>
      <c r="K366" s="21" t="s">
        <v>2272</v>
      </c>
      <c r="L366" s="98" t="s">
        <v>2272</v>
      </c>
      <c r="M366" s="21" t="s">
        <v>2272</v>
      </c>
      <c r="N366" s="21" t="s">
        <v>2272</v>
      </c>
      <c r="O366" s="21" t="s">
        <v>2272</v>
      </c>
      <c r="P366" s="21" t="s">
        <v>2272</v>
      </c>
      <c r="Q366" s="21" t="s">
        <v>2272</v>
      </c>
      <c r="R366" s="97" t="s">
        <v>2272</v>
      </c>
      <c r="S366" s="97" t="s">
        <v>2272</v>
      </c>
      <c r="T366" s="21" t="s">
        <v>2272</v>
      </c>
      <c r="U366" s="21" t="s">
        <v>2272</v>
      </c>
      <c r="V366" s="21" t="s">
        <v>2272</v>
      </c>
      <c r="W366" s="21" t="s">
        <v>2272</v>
      </c>
      <c r="X366" s="21" t="s">
        <v>2272</v>
      </c>
      <c r="Y366" s="3" t="s">
        <v>2272</v>
      </c>
      <c r="Z366" s="3" t="s">
        <v>2272</v>
      </c>
      <c r="AA366" s="3" t="s">
        <v>2272</v>
      </c>
      <c r="AB366" s="4"/>
      <c r="AC366" s="4"/>
    </row>
    <row r="367" spans="1:29"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2272</v>
      </c>
      <c r="K367" s="21" t="s">
        <v>2272</v>
      </c>
      <c r="L367" s="98" t="s">
        <v>2272</v>
      </c>
      <c r="M367" s="21" t="s">
        <v>2272</v>
      </c>
      <c r="N367" s="21" t="s">
        <v>2272</v>
      </c>
      <c r="O367" s="21" t="s">
        <v>2272</v>
      </c>
      <c r="P367" s="21" t="s">
        <v>2272</v>
      </c>
      <c r="Q367" s="21" t="s">
        <v>2272</v>
      </c>
      <c r="R367" s="97" t="s">
        <v>2272</v>
      </c>
      <c r="S367" s="97" t="s">
        <v>2272</v>
      </c>
      <c r="T367" s="21" t="s">
        <v>2272</v>
      </c>
      <c r="U367" s="21" t="s">
        <v>2272</v>
      </c>
      <c r="V367" s="21" t="s">
        <v>2272</v>
      </c>
      <c r="W367" s="21" t="s">
        <v>2272</v>
      </c>
      <c r="X367" s="21" t="s">
        <v>2272</v>
      </c>
      <c r="Y367" s="3" t="s">
        <v>2272</v>
      </c>
      <c r="Z367" s="3" t="s">
        <v>2272</v>
      </c>
      <c r="AA367" s="3" t="s">
        <v>2272</v>
      </c>
      <c r="AB367" s="4"/>
      <c r="AC367" s="4"/>
    </row>
    <row r="368" spans="1:29"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2272</v>
      </c>
      <c r="K368" s="21" t="s">
        <v>2272</v>
      </c>
      <c r="L368" s="98" t="s">
        <v>2272</v>
      </c>
      <c r="M368" s="21" t="s">
        <v>2272</v>
      </c>
      <c r="N368" s="21" t="s">
        <v>2272</v>
      </c>
      <c r="O368" s="21" t="s">
        <v>2272</v>
      </c>
      <c r="P368" s="21" t="s">
        <v>2272</v>
      </c>
      <c r="Q368" s="21" t="s">
        <v>2272</v>
      </c>
      <c r="R368" s="97" t="s">
        <v>2272</v>
      </c>
      <c r="S368" s="97" t="s">
        <v>2272</v>
      </c>
      <c r="T368" s="21" t="s">
        <v>2272</v>
      </c>
      <c r="U368" s="21" t="s">
        <v>2272</v>
      </c>
      <c r="V368" s="21" t="s">
        <v>2272</v>
      </c>
      <c r="W368" s="21" t="s">
        <v>2272</v>
      </c>
      <c r="X368" s="21" t="s">
        <v>2272</v>
      </c>
      <c r="Y368" s="3" t="s">
        <v>2272</v>
      </c>
      <c r="Z368" s="3" t="s">
        <v>2272</v>
      </c>
      <c r="AA368" s="3" t="s">
        <v>2272</v>
      </c>
      <c r="AB368" s="4"/>
      <c r="AC368" s="4"/>
    </row>
    <row r="369" spans="1:29"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2272</v>
      </c>
      <c r="K369" s="21" t="s">
        <v>2272</v>
      </c>
      <c r="L369" s="98" t="s">
        <v>2272</v>
      </c>
      <c r="M369" s="21" t="s">
        <v>2272</v>
      </c>
      <c r="N369" s="21" t="s">
        <v>2272</v>
      </c>
      <c r="O369" s="21" t="s">
        <v>2272</v>
      </c>
      <c r="P369" s="21" t="s">
        <v>2272</v>
      </c>
      <c r="Q369" s="21" t="s">
        <v>2272</v>
      </c>
      <c r="R369" s="97" t="s">
        <v>2272</v>
      </c>
      <c r="S369" s="97" t="s">
        <v>2272</v>
      </c>
      <c r="T369" s="21" t="s">
        <v>2272</v>
      </c>
      <c r="U369" s="21" t="s">
        <v>2272</v>
      </c>
      <c r="V369" s="21" t="s">
        <v>2272</v>
      </c>
      <c r="W369" s="21" t="s">
        <v>2272</v>
      </c>
      <c r="X369" s="21" t="s">
        <v>2272</v>
      </c>
      <c r="Y369" s="3" t="s">
        <v>2272</v>
      </c>
      <c r="Z369" s="3" t="s">
        <v>2272</v>
      </c>
      <c r="AA369" s="3" t="s">
        <v>2272</v>
      </c>
      <c r="AB369" s="4"/>
      <c r="AC369" s="4"/>
    </row>
    <row r="370" spans="1:29"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2272</v>
      </c>
      <c r="K370" s="21" t="s">
        <v>2272</v>
      </c>
      <c r="L370" s="98" t="s">
        <v>2272</v>
      </c>
      <c r="M370" s="21" t="s">
        <v>2272</v>
      </c>
      <c r="N370" s="21" t="s">
        <v>2272</v>
      </c>
      <c r="O370" s="21" t="s">
        <v>2272</v>
      </c>
      <c r="P370" s="21" t="s">
        <v>2272</v>
      </c>
      <c r="Q370" s="21" t="s">
        <v>2272</v>
      </c>
      <c r="R370" s="97" t="s">
        <v>2272</v>
      </c>
      <c r="S370" s="97" t="s">
        <v>2272</v>
      </c>
      <c r="T370" s="21" t="s">
        <v>2272</v>
      </c>
      <c r="U370" s="21" t="s">
        <v>2272</v>
      </c>
      <c r="V370" s="21" t="s">
        <v>2272</v>
      </c>
      <c r="W370" s="21" t="s">
        <v>2272</v>
      </c>
      <c r="X370" s="21" t="s">
        <v>2272</v>
      </c>
      <c r="Y370" s="3" t="s">
        <v>2272</v>
      </c>
      <c r="Z370" s="3" t="s">
        <v>2272</v>
      </c>
      <c r="AA370" s="3" t="s">
        <v>2272</v>
      </c>
      <c r="AB370" s="4"/>
      <c r="AC370" s="4"/>
    </row>
    <row r="371" spans="1:29"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2272</v>
      </c>
      <c r="K371" s="21" t="s">
        <v>2272</v>
      </c>
      <c r="L371" s="98" t="s">
        <v>2272</v>
      </c>
      <c r="M371" s="21" t="s">
        <v>2272</v>
      </c>
      <c r="N371" s="21" t="s">
        <v>2272</v>
      </c>
      <c r="O371" s="21" t="s">
        <v>2272</v>
      </c>
      <c r="P371" s="21" t="s">
        <v>2272</v>
      </c>
      <c r="Q371" s="21" t="s">
        <v>2272</v>
      </c>
      <c r="R371" s="97" t="s">
        <v>2272</v>
      </c>
      <c r="S371" s="97" t="s">
        <v>2272</v>
      </c>
      <c r="T371" s="21" t="s">
        <v>2272</v>
      </c>
      <c r="U371" s="21" t="s">
        <v>2272</v>
      </c>
      <c r="V371" s="21" t="s">
        <v>2272</v>
      </c>
      <c r="W371" s="21" t="s">
        <v>2272</v>
      </c>
      <c r="X371" s="21" t="s">
        <v>2272</v>
      </c>
      <c r="Y371" s="3" t="s">
        <v>2272</v>
      </c>
      <c r="Z371" s="3" t="s">
        <v>2272</v>
      </c>
      <c r="AA371" s="3" t="s">
        <v>2272</v>
      </c>
      <c r="AB371" s="4"/>
      <c r="AC371" s="4"/>
    </row>
    <row r="372" spans="1:29"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2272</v>
      </c>
      <c r="K372" s="21" t="s">
        <v>2272</v>
      </c>
      <c r="L372" s="98" t="s">
        <v>2272</v>
      </c>
      <c r="M372" s="21" t="s">
        <v>2272</v>
      </c>
      <c r="N372" s="21" t="s">
        <v>2272</v>
      </c>
      <c r="O372" s="21" t="s">
        <v>2272</v>
      </c>
      <c r="P372" s="21" t="s">
        <v>2272</v>
      </c>
      <c r="Q372" s="21" t="s">
        <v>2272</v>
      </c>
      <c r="R372" s="97" t="s">
        <v>2272</v>
      </c>
      <c r="S372" s="97" t="s">
        <v>2272</v>
      </c>
      <c r="T372" s="21" t="s">
        <v>2272</v>
      </c>
      <c r="U372" s="21" t="s">
        <v>2272</v>
      </c>
      <c r="V372" s="21" t="s">
        <v>2272</v>
      </c>
      <c r="W372" s="21" t="s">
        <v>2272</v>
      </c>
      <c r="X372" s="21" t="s">
        <v>2272</v>
      </c>
      <c r="Y372" s="3" t="s">
        <v>2272</v>
      </c>
      <c r="Z372" s="3" t="s">
        <v>2272</v>
      </c>
      <c r="AA372" s="3" t="s">
        <v>2272</v>
      </c>
      <c r="AB372" s="4"/>
      <c r="AC372" s="4"/>
    </row>
    <row r="373" spans="1:29"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2272</v>
      </c>
      <c r="K373" s="21" t="s">
        <v>2272</v>
      </c>
      <c r="L373" s="98" t="s">
        <v>2272</v>
      </c>
      <c r="M373" s="21" t="s">
        <v>2272</v>
      </c>
      <c r="N373" s="21" t="s">
        <v>2272</v>
      </c>
      <c r="O373" s="21" t="s">
        <v>2272</v>
      </c>
      <c r="P373" s="21" t="s">
        <v>2272</v>
      </c>
      <c r="Q373" s="21" t="s">
        <v>2272</v>
      </c>
      <c r="R373" s="97" t="s">
        <v>2272</v>
      </c>
      <c r="S373" s="97" t="s">
        <v>2272</v>
      </c>
      <c r="T373" s="21" t="s">
        <v>2272</v>
      </c>
      <c r="U373" s="21" t="s">
        <v>2272</v>
      </c>
      <c r="V373" s="21" t="s">
        <v>2272</v>
      </c>
      <c r="W373" s="21" t="s">
        <v>2272</v>
      </c>
      <c r="X373" s="21" t="s">
        <v>2272</v>
      </c>
      <c r="Y373" s="3" t="s">
        <v>2272</v>
      </c>
      <c r="Z373" s="3" t="s">
        <v>2272</v>
      </c>
      <c r="AA373" s="3" t="s">
        <v>2272</v>
      </c>
      <c r="AB373" s="4"/>
      <c r="AC373" s="4"/>
    </row>
    <row r="374" spans="1:29"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2272</v>
      </c>
      <c r="K374" s="21" t="s">
        <v>2272</v>
      </c>
      <c r="L374" s="98" t="s">
        <v>2272</v>
      </c>
      <c r="M374" s="21" t="s">
        <v>2272</v>
      </c>
      <c r="N374" s="21" t="s">
        <v>2272</v>
      </c>
      <c r="O374" s="21" t="s">
        <v>2272</v>
      </c>
      <c r="P374" s="21" t="s">
        <v>2272</v>
      </c>
      <c r="Q374" s="21" t="s">
        <v>2272</v>
      </c>
      <c r="R374" s="97" t="s">
        <v>2272</v>
      </c>
      <c r="S374" s="97" t="s">
        <v>2272</v>
      </c>
      <c r="T374" s="21" t="s">
        <v>2272</v>
      </c>
      <c r="U374" s="21" t="s">
        <v>2272</v>
      </c>
      <c r="V374" s="21" t="s">
        <v>2272</v>
      </c>
      <c r="W374" s="21" t="s">
        <v>2272</v>
      </c>
      <c r="X374" s="21" t="s">
        <v>2272</v>
      </c>
      <c r="Y374" s="3" t="s">
        <v>2272</v>
      </c>
      <c r="Z374" s="3" t="s">
        <v>2272</v>
      </c>
      <c r="AA374" s="3" t="s">
        <v>2272</v>
      </c>
      <c r="AB374" s="4"/>
      <c r="AC374" s="4"/>
    </row>
    <row r="375" spans="1:29"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2272</v>
      </c>
      <c r="K375" s="21" t="s">
        <v>2272</v>
      </c>
      <c r="L375" s="98" t="s">
        <v>2272</v>
      </c>
      <c r="M375" s="21" t="s">
        <v>2272</v>
      </c>
      <c r="N375" s="21" t="s">
        <v>2272</v>
      </c>
      <c r="O375" s="21" t="s">
        <v>2272</v>
      </c>
      <c r="P375" s="21" t="s">
        <v>2272</v>
      </c>
      <c r="Q375" s="21" t="s">
        <v>2272</v>
      </c>
      <c r="R375" s="97" t="s">
        <v>2272</v>
      </c>
      <c r="S375" s="97" t="s">
        <v>2272</v>
      </c>
      <c r="T375" s="21" t="s">
        <v>2272</v>
      </c>
      <c r="U375" s="21" t="s">
        <v>2272</v>
      </c>
      <c r="V375" s="21" t="s">
        <v>2272</v>
      </c>
      <c r="W375" s="21" t="s">
        <v>2272</v>
      </c>
      <c r="X375" s="21" t="s">
        <v>2272</v>
      </c>
      <c r="Y375" s="3" t="s">
        <v>2272</v>
      </c>
      <c r="Z375" s="3" t="s">
        <v>2272</v>
      </c>
      <c r="AA375" s="3" t="s">
        <v>2272</v>
      </c>
      <c r="AB375" s="4"/>
      <c r="AC375" s="4"/>
    </row>
    <row r="376" spans="1:29"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2272</v>
      </c>
      <c r="K376" s="21" t="s">
        <v>2272</v>
      </c>
      <c r="L376" s="98" t="s">
        <v>2272</v>
      </c>
      <c r="M376" s="21" t="s">
        <v>2272</v>
      </c>
      <c r="N376" s="21" t="s">
        <v>2272</v>
      </c>
      <c r="O376" s="21" t="s">
        <v>2272</v>
      </c>
      <c r="P376" s="21" t="s">
        <v>2272</v>
      </c>
      <c r="Q376" s="21" t="s">
        <v>2272</v>
      </c>
      <c r="R376" s="97" t="s">
        <v>2272</v>
      </c>
      <c r="S376" s="97" t="s">
        <v>2272</v>
      </c>
      <c r="T376" s="21" t="s">
        <v>2272</v>
      </c>
      <c r="U376" s="21" t="s">
        <v>2272</v>
      </c>
      <c r="V376" s="21" t="s">
        <v>2272</v>
      </c>
      <c r="W376" s="21" t="s">
        <v>2272</v>
      </c>
      <c r="X376" s="21" t="s">
        <v>2272</v>
      </c>
      <c r="Y376" s="3" t="s">
        <v>2272</v>
      </c>
      <c r="Z376" s="3" t="s">
        <v>2272</v>
      </c>
      <c r="AA376" s="3" t="s">
        <v>2272</v>
      </c>
      <c r="AB376" s="4"/>
      <c r="AC376" s="4"/>
    </row>
    <row r="377" spans="1:29"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2272</v>
      </c>
      <c r="K377" s="21" t="s">
        <v>2272</v>
      </c>
      <c r="L377" s="98" t="s">
        <v>2272</v>
      </c>
      <c r="M377" s="21" t="s">
        <v>2272</v>
      </c>
      <c r="N377" s="21" t="s">
        <v>2272</v>
      </c>
      <c r="O377" s="21" t="s">
        <v>2272</v>
      </c>
      <c r="P377" s="21" t="s">
        <v>2272</v>
      </c>
      <c r="Q377" s="21" t="s">
        <v>2272</v>
      </c>
      <c r="R377" s="97" t="s">
        <v>2272</v>
      </c>
      <c r="S377" s="97" t="s">
        <v>2272</v>
      </c>
      <c r="T377" s="21" t="s">
        <v>2272</v>
      </c>
      <c r="U377" s="21" t="s">
        <v>2272</v>
      </c>
      <c r="V377" s="21" t="s">
        <v>2272</v>
      </c>
      <c r="W377" s="21" t="s">
        <v>2272</v>
      </c>
      <c r="X377" s="21" t="s">
        <v>2272</v>
      </c>
      <c r="Y377" s="3" t="s">
        <v>2272</v>
      </c>
      <c r="Z377" s="3" t="s">
        <v>2272</v>
      </c>
      <c r="AA377" s="3" t="s">
        <v>2272</v>
      </c>
      <c r="AB377" s="4"/>
      <c r="AC377" s="4"/>
    </row>
    <row r="378" spans="1:29"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2272</v>
      </c>
      <c r="K378" s="21" t="s">
        <v>2272</v>
      </c>
      <c r="L378" s="98" t="s">
        <v>2272</v>
      </c>
      <c r="M378" s="21" t="s">
        <v>2272</v>
      </c>
      <c r="N378" s="21" t="s">
        <v>2272</v>
      </c>
      <c r="O378" s="21" t="s">
        <v>2272</v>
      </c>
      <c r="P378" s="21" t="s">
        <v>2272</v>
      </c>
      <c r="Q378" s="21" t="s">
        <v>2272</v>
      </c>
      <c r="R378" s="97" t="s">
        <v>2272</v>
      </c>
      <c r="S378" s="97" t="s">
        <v>2272</v>
      </c>
      <c r="T378" s="21" t="s">
        <v>2272</v>
      </c>
      <c r="U378" s="21" t="s">
        <v>2272</v>
      </c>
      <c r="V378" s="21" t="s">
        <v>2272</v>
      </c>
      <c r="W378" s="21" t="s">
        <v>2272</v>
      </c>
      <c r="X378" s="21" t="s">
        <v>2272</v>
      </c>
      <c r="Y378" s="3" t="s">
        <v>2272</v>
      </c>
      <c r="Z378" s="3" t="s">
        <v>2272</v>
      </c>
      <c r="AA378" s="3" t="s">
        <v>2272</v>
      </c>
      <c r="AB378" s="4"/>
      <c r="AC378" s="4"/>
    </row>
    <row r="379" spans="1:29"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2272</v>
      </c>
      <c r="K379" s="21" t="s">
        <v>2272</v>
      </c>
      <c r="L379" s="98" t="s">
        <v>2272</v>
      </c>
      <c r="M379" s="21" t="s">
        <v>2272</v>
      </c>
      <c r="N379" s="21" t="s">
        <v>2272</v>
      </c>
      <c r="O379" s="21" t="s">
        <v>2272</v>
      </c>
      <c r="P379" s="21" t="s">
        <v>2272</v>
      </c>
      <c r="Q379" s="21" t="s">
        <v>2272</v>
      </c>
      <c r="R379" s="97" t="s">
        <v>2272</v>
      </c>
      <c r="S379" s="97" t="s">
        <v>2272</v>
      </c>
      <c r="T379" s="21" t="s">
        <v>2272</v>
      </c>
      <c r="U379" s="21" t="s">
        <v>2272</v>
      </c>
      <c r="V379" s="21" t="s">
        <v>2272</v>
      </c>
      <c r="W379" s="21" t="s">
        <v>2272</v>
      </c>
      <c r="X379" s="21" t="s">
        <v>2272</v>
      </c>
      <c r="Y379" s="3" t="s">
        <v>2272</v>
      </c>
      <c r="Z379" s="3" t="s">
        <v>2272</v>
      </c>
      <c r="AA379" s="3" t="s">
        <v>2272</v>
      </c>
      <c r="AB379" s="4"/>
      <c r="AC379" s="4"/>
    </row>
    <row r="380" spans="1:29"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2272</v>
      </c>
      <c r="K380" s="21" t="s">
        <v>2272</v>
      </c>
      <c r="L380" s="98" t="s">
        <v>2272</v>
      </c>
      <c r="M380" s="21" t="s">
        <v>2272</v>
      </c>
      <c r="N380" s="21" t="s">
        <v>2272</v>
      </c>
      <c r="O380" s="21" t="s">
        <v>2272</v>
      </c>
      <c r="P380" s="21" t="s">
        <v>2272</v>
      </c>
      <c r="Q380" s="21" t="s">
        <v>2272</v>
      </c>
      <c r="R380" s="97" t="s">
        <v>2272</v>
      </c>
      <c r="S380" s="97" t="s">
        <v>2272</v>
      </c>
      <c r="T380" s="21" t="s">
        <v>2272</v>
      </c>
      <c r="U380" s="21" t="s">
        <v>2272</v>
      </c>
      <c r="V380" s="21" t="s">
        <v>2272</v>
      </c>
      <c r="W380" s="21" t="s">
        <v>2272</v>
      </c>
      <c r="X380" s="21" t="s">
        <v>2272</v>
      </c>
      <c r="Y380" s="3" t="s">
        <v>2272</v>
      </c>
      <c r="Z380" s="3" t="s">
        <v>2272</v>
      </c>
      <c r="AA380" s="3" t="s">
        <v>2272</v>
      </c>
      <c r="AB380" s="4"/>
      <c r="AC380" s="4"/>
    </row>
    <row r="381" spans="1:29"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2272</v>
      </c>
      <c r="K381" s="21" t="s">
        <v>2272</v>
      </c>
      <c r="L381" s="98" t="s">
        <v>2272</v>
      </c>
      <c r="M381" s="21" t="s">
        <v>2272</v>
      </c>
      <c r="N381" s="21" t="s">
        <v>2272</v>
      </c>
      <c r="O381" s="21" t="s">
        <v>2272</v>
      </c>
      <c r="P381" s="21" t="s">
        <v>2272</v>
      </c>
      <c r="Q381" s="21" t="s">
        <v>2272</v>
      </c>
      <c r="R381" s="97" t="s">
        <v>2272</v>
      </c>
      <c r="S381" s="97" t="s">
        <v>2272</v>
      </c>
      <c r="T381" s="21" t="s">
        <v>2272</v>
      </c>
      <c r="U381" s="21" t="s">
        <v>2272</v>
      </c>
      <c r="V381" s="21" t="s">
        <v>2272</v>
      </c>
      <c r="W381" s="21" t="s">
        <v>2272</v>
      </c>
      <c r="X381" s="21" t="s">
        <v>2272</v>
      </c>
      <c r="Y381" s="3" t="s">
        <v>2272</v>
      </c>
      <c r="Z381" s="3" t="s">
        <v>2272</v>
      </c>
      <c r="AA381" s="3" t="s">
        <v>2272</v>
      </c>
      <c r="AB381" s="4"/>
      <c r="AC381" s="4"/>
    </row>
    <row r="382" spans="1:29"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2272</v>
      </c>
      <c r="K382" s="21" t="s">
        <v>2272</v>
      </c>
      <c r="L382" s="98" t="s">
        <v>2272</v>
      </c>
      <c r="M382" s="21" t="s">
        <v>2272</v>
      </c>
      <c r="N382" s="21" t="s">
        <v>2272</v>
      </c>
      <c r="O382" s="21" t="s">
        <v>2272</v>
      </c>
      <c r="P382" s="21" t="s">
        <v>2272</v>
      </c>
      <c r="Q382" s="21" t="s">
        <v>2272</v>
      </c>
      <c r="R382" s="97" t="s">
        <v>2272</v>
      </c>
      <c r="S382" s="97" t="s">
        <v>2272</v>
      </c>
      <c r="T382" s="21" t="s">
        <v>2272</v>
      </c>
      <c r="U382" s="21" t="s">
        <v>2272</v>
      </c>
      <c r="V382" s="21" t="s">
        <v>2272</v>
      </c>
      <c r="W382" s="21" t="s">
        <v>2272</v>
      </c>
      <c r="X382" s="21" t="s">
        <v>2272</v>
      </c>
      <c r="Y382" s="3" t="s">
        <v>2272</v>
      </c>
      <c r="Z382" s="3" t="s">
        <v>2272</v>
      </c>
      <c r="AA382" s="3" t="s">
        <v>2272</v>
      </c>
      <c r="AB382" s="4"/>
      <c r="AC382" s="4"/>
    </row>
    <row r="383" spans="1:29"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2272</v>
      </c>
      <c r="K383" s="21" t="s">
        <v>2272</v>
      </c>
      <c r="L383" s="98" t="s">
        <v>2272</v>
      </c>
      <c r="M383" s="21" t="s">
        <v>2272</v>
      </c>
      <c r="N383" s="21" t="s">
        <v>2272</v>
      </c>
      <c r="O383" s="21" t="s">
        <v>2272</v>
      </c>
      <c r="P383" s="21" t="s">
        <v>2272</v>
      </c>
      <c r="Q383" s="21" t="s">
        <v>2272</v>
      </c>
      <c r="R383" s="97" t="s">
        <v>2272</v>
      </c>
      <c r="S383" s="97" t="s">
        <v>2272</v>
      </c>
      <c r="T383" s="21" t="s">
        <v>2272</v>
      </c>
      <c r="U383" s="21" t="s">
        <v>2272</v>
      </c>
      <c r="V383" s="21" t="s">
        <v>2272</v>
      </c>
      <c r="W383" s="21" t="s">
        <v>2272</v>
      </c>
      <c r="X383" s="21" t="s">
        <v>2272</v>
      </c>
      <c r="Y383" s="3" t="s">
        <v>2272</v>
      </c>
      <c r="Z383" s="3" t="s">
        <v>2272</v>
      </c>
      <c r="AA383" s="3" t="s">
        <v>2272</v>
      </c>
      <c r="AB383" s="4"/>
      <c r="AC383" s="4"/>
    </row>
    <row r="384" spans="1:29"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2272</v>
      </c>
      <c r="K384" s="21" t="s">
        <v>2272</v>
      </c>
      <c r="L384" s="98" t="s">
        <v>2272</v>
      </c>
      <c r="M384" s="21" t="s">
        <v>2272</v>
      </c>
      <c r="N384" s="21" t="s">
        <v>2272</v>
      </c>
      <c r="O384" s="21" t="s">
        <v>2272</v>
      </c>
      <c r="P384" s="21" t="s">
        <v>2272</v>
      </c>
      <c r="Q384" s="21" t="s">
        <v>2272</v>
      </c>
      <c r="R384" s="97" t="s">
        <v>2272</v>
      </c>
      <c r="S384" s="97" t="s">
        <v>2272</v>
      </c>
      <c r="T384" s="21" t="s">
        <v>2272</v>
      </c>
      <c r="U384" s="21" t="s">
        <v>2272</v>
      </c>
      <c r="V384" s="21" t="s">
        <v>2272</v>
      </c>
      <c r="W384" s="21" t="s">
        <v>2272</v>
      </c>
      <c r="X384" s="21" t="s">
        <v>2272</v>
      </c>
      <c r="Y384" s="3" t="s">
        <v>2272</v>
      </c>
      <c r="Z384" s="3" t="s">
        <v>2272</v>
      </c>
      <c r="AA384" s="3" t="s">
        <v>2272</v>
      </c>
      <c r="AB384" s="4"/>
      <c r="AC384" s="4"/>
    </row>
    <row r="385" spans="1:29"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2272</v>
      </c>
      <c r="K385" s="21" t="s">
        <v>2272</v>
      </c>
      <c r="L385" s="98" t="s">
        <v>2272</v>
      </c>
      <c r="M385" s="21" t="s">
        <v>2272</v>
      </c>
      <c r="N385" s="21" t="s">
        <v>2272</v>
      </c>
      <c r="O385" s="21" t="s">
        <v>2272</v>
      </c>
      <c r="P385" s="21" t="s">
        <v>2272</v>
      </c>
      <c r="Q385" s="21" t="s">
        <v>2272</v>
      </c>
      <c r="R385" s="97" t="s">
        <v>2272</v>
      </c>
      <c r="S385" s="97" t="s">
        <v>2272</v>
      </c>
      <c r="T385" s="21" t="s">
        <v>2272</v>
      </c>
      <c r="U385" s="21" t="s">
        <v>2272</v>
      </c>
      <c r="V385" s="21" t="s">
        <v>2272</v>
      </c>
      <c r="W385" s="21" t="s">
        <v>2272</v>
      </c>
      <c r="X385" s="21" t="s">
        <v>2272</v>
      </c>
      <c r="Y385" s="3" t="s">
        <v>2272</v>
      </c>
      <c r="Z385" s="3" t="s">
        <v>2272</v>
      </c>
      <c r="AA385" s="3" t="s">
        <v>2272</v>
      </c>
      <c r="AB385" s="4"/>
      <c r="AC385" s="4"/>
    </row>
    <row r="386" spans="1:29"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2272</v>
      </c>
      <c r="K386" s="21" t="s">
        <v>2272</v>
      </c>
      <c r="L386" s="98" t="s">
        <v>2272</v>
      </c>
      <c r="M386" s="21" t="s">
        <v>2272</v>
      </c>
      <c r="N386" s="21" t="s">
        <v>2272</v>
      </c>
      <c r="O386" s="21" t="s">
        <v>2272</v>
      </c>
      <c r="P386" s="21" t="s">
        <v>2272</v>
      </c>
      <c r="Q386" s="21" t="s">
        <v>2272</v>
      </c>
      <c r="R386" s="97" t="s">
        <v>2272</v>
      </c>
      <c r="S386" s="97" t="s">
        <v>2272</v>
      </c>
      <c r="T386" s="21" t="s">
        <v>2272</v>
      </c>
      <c r="U386" s="21" t="s">
        <v>2272</v>
      </c>
      <c r="V386" s="21" t="s">
        <v>2272</v>
      </c>
      <c r="W386" s="21" t="s">
        <v>2272</v>
      </c>
      <c r="X386" s="21" t="s">
        <v>2272</v>
      </c>
      <c r="Y386" s="3" t="s">
        <v>2272</v>
      </c>
      <c r="Z386" s="3" t="s">
        <v>2272</v>
      </c>
      <c r="AA386" s="3" t="s">
        <v>2272</v>
      </c>
      <c r="AB386" s="4"/>
      <c r="AC386" s="4"/>
    </row>
    <row r="387" spans="1:29"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2272</v>
      </c>
      <c r="K387" s="21" t="s">
        <v>2272</v>
      </c>
      <c r="L387" s="98" t="s">
        <v>2272</v>
      </c>
      <c r="M387" s="21" t="s">
        <v>2272</v>
      </c>
      <c r="N387" s="21" t="s">
        <v>2272</v>
      </c>
      <c r="O387" s="21" t="s">
        <v>2272</v>
      </c>
      <c r="P387" s="21" t="s">
        <v>2272</v>
      </c>
      <c r="Q387" s="21" t="s">
        <v>2272</v>
      </c>
      <c r="R387" s="97" t="s">
        <v>2272</v>
      </c>
      <c r="S387" s="97" t="s">
        <v>2272</v>
      </c>
      <c r="T387" s="21" t="s">
        <v>2272</v>
      </c>
      <c r="U387" s="21" t="s">
        <v>2272</v>
      </c>
      <c r="V387" s="21" t="s">
        <v>2272</v>
      </c>
      <c r="W387" s="21" t="s">
        <v>2522</v>
      </c>
      <c r="X387" s="21" t="s">
        <v>2272</v>
      </c>
      <c r="Y387" s="3" t="s">
        <v>403</v>
      </c>
      <c r="Z387" s="3" t="s">
        <v>423</v>
      </c>
      <c r="AA387" s="3" t="s">
        <v>2272</v>
      </c>
      <c r="AB387" s="4" t="s">
        <v>1870</v>
      </c>
      <c r="AC387" s="4" t="s">
        <v>1865</v>
      </c>
    </row>
    <row r="388" spans="1:29"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2272</v>
      </c>
      <c r="K388" s="21" t="s">
        <v>2272</v>
      </c>
      <c r="L388" s="98" t="s">
        <v>2272</v>
      </c>
      <c r="M388" s="21" t="s">
        <v>2358</v>
      </c>
      <c r="N388" s="21" t="s">
        <v>2272</v>
      </c>
      <c r="O388" s="21" t="s">
        <v>2372</v>
      </c>
      <c r="P388" s="21" t="s">
        <v>2272</v>
      </c>
      <c r="Q388" s="21" t="s">
        <v>2368</v>
      </c>
      <c r="R388" s="97" t="s">
        <v>2272</v>
      </c>
      <c r="S388" s="97" t="s">
        <v>2272</v>
      </c>
      <c r="T388" s="21" t="s">
        <v>2272</v>
      </c>
      <c r="U388" s="21" t="s">
        <v>2272</v>
      </c>
      <c r="V388" s="21" t="s">
        <v>2272</v>
      </c>
      <c r="W388" s="21" t="s">
        <v>2522</v>
      </c>
      <c r="X388" s="21" t="s">
        <v>2272</v>
      </c>
      <c r="Y388" s="3" t="s">
        <v>403</v>
      </c>
      <c r="Z388" s="3" t="s">
        <v>423</v>
      </c>
      <c r="AA388" s="3" t="s">
        <v>2272</v>
      </c>
      <c r="AB388" s="4" t="s">
        <v>1866</v>
      </c>
      <c r="AC388" s="4" t="s">
        <v>1868</v>
      </c>
    </row>
    <row r="389" spans="1:29"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2272</v>
      </c>
      <c r="K389" s="21" t="s">
        <v>2272</v>
      </c>
      <c r="L389" s="98" t="s">
        <v>2272</v>
      </c>
      <c r="M389" s="21" t="s">
        <v>2358</v>
      </c>
      <c r="N389" s="21" t="s">
        <v>2272</v>
      </c>
      <c r="O389" s="21" t="s">
        <v>2372</v>
      </c>
      <c r="P389" s="21" t="s">
        <v>2272</v>
      </c>
      <c r="Q389" s="21" t="s">
        <v>2368</v>
      </c>
      <c r="R389" s="97" t="s">
        <v>2272</v>
      </c>
      <c r="S389" s="97" t="s">
        <v>2272</v>
      </c>
      <c r="T389" s="21" t="s">
        <v>2272</v>
      </c>
      <c r="U389" s="21" t="s">
        <v>2272</v>
      </c>
      <c r="V389" s="21" t="s">
        <v>2272</v>
      </c>
      <c r="W389" s="21" t="s">
        <v>2522</v>
      </c>
      <c r="X389" s="21" t="s">
        <v>2272</v>
      </c>
      <c r="Y389" s="3" t="s">
        <v>403</v>
      </c>
      <c r="Z389" s="3" t="s">
        <v>423</v>
      </c>
      <c r="AA389" s="3" t="s">
        <v>2272</v>
      </c>
      <c r="AB389" s="4" t="s">
        <v>1866</v>
      </c>
      <c r="AC389" s="4" t="s">
        <v>1868</v>
      </c>
    </row>
    <row r="390" spans="1:29"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2272</v>
      </c>
      <c r="K390" s="21" t="s">
        <v>2272</v>
      </c>
      <c r="L390" s="98" t="s">
        <v>2272</v>
      </c>
      <c r="M390" s="21" t="s">
        <v>2272</v>
      </c>
      <c r="N390" s="21" t="s">
        <v>2373</v>
      </c>
      <c r="O390" s="21" t="s">
        <v>2272</v>
      </c>
      <c r="P390" s="21" t="s">
        <v>2272</v>
      </c>
      <c r="Q390" s="21" t="s">
        <v>2272</v>
      </c>
      <c r="R390" s="21" t="s">
        <v>2272</v>
      </c>
      <c r="S390" s="97" t="s">
        <v>2272</v>
      </c>
      <c r="T390" s="21" t="s">
        <v>2272</v>
      </c>
      <c r="U390" s="21" t="s">
        <v>2390</v>
      </c>
      <c r="V390" s="21" t="s">
        <v>2272</v>
      </c>
      <c r="W390" s="21" t="s">
        <v>2384</v>
      </c>
      <c r="X390" s="21" t="s">
        <v>2272</v>
      </c>
      <c r="Y390" s="3" t="s">
        <v>403</v>
      </c>
      <c r="Z390" s="3" t="s">
        <v>423</v>
      </c>
      <c r="AA390" s="3" t="s">
        <v>2272</v>
      </c>
      <c r="AB390" s="4" t="s">
        <v>1869</v>
      </c>
      <c r="AC390" s="4" t="s">
        <v>5028</v>
      </c>
    </row>
    <row r="391" spans="1:29"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2272</v>
      </c>
      <c r="K391" s="21" t="s">
        <v>2272</v>
      </c>
      <c r="L391" s="98" t="s">
        <v>2272</v>
      </c>
      <c r="M391" s="21" t="s">
        <v>2272</v>
      </c>
      <c r="N391" s="21" t="s">
        <v>2272</v>
      </c>
      <c r="O391" s="21" t="s">
        <v>2272</v>
      </c>
      <c r="P391" s="21" t="s">
        <v>2272</v>
      </c>
      <c r="Q391" s="21" t="s">
        <v>2272</v>
      </c>
      <c r="R391" s="97" t="s">
        <v>2272</v>
      </c>
      <c r="S391" s="97" t="s">
        <v>2272</v>
      </c>
      <c r="T391" s="21" t="s">
        <v>2272</v>
      </c>
      <c r="U391" s="21" t="s">
        <v>2272</v>
      </c>
      <c r="V391" s="21" t="s">
        <v>2272</v>
      </c>
      <c r="W391" s="21" t="s">
        <v>2272</v>
      </c>
      <c r="X391" s="21" t="s">
        <v>2272</v>
      </c>
      <c r="Y391" s="3" t="s">
        <v>403</v>
      </c>
      <c r="Z391" s="3" t="s">
        <v>423</v>
      </c>
      <c r="AA391" s="3" t="s">
        <v>2272</v>
      </c>
      <c r="AB391" s="4" t="s">
        <v>1870</v>
      </c>
      <c r="AC391" s="4" t="s">
        <v>1865</v>
      </c>
    </row>
    <row r="392" spans="1:29"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2272</v>
      </c>
      <c r="K392" s="21" t="s">
        <v>2272</v>
      </c>
      <c r="L392" s="98" t="s">
        <v>2272</v>
      </c>
      <c r="M392" s="21" t="s">
        <v>2358</v>
      </c>
      <c r="N392" s="21" t="s">
        <v>2272</v>
      </c>
      <c r="O392" s="21" t="s">
        <v>2372</v>
      </c>
      <c r="P392" s="21" t="s">
        <v>2272</v>
      </c>
      <c r="Q392" s="21" t="s">
        <v>2368</v>
      </c>
      <c r="R392" s="97" t="s">
        <v>2272</v>
      </c>
      <c r="S392" s="97" t="s">
        <v>2272</v>
      </c>
      <c r="T392" s="21" t="s">
        <v>2272</v>
      </c>
      <c r="U392" s="21" t="s">
        <v>2272</v>
      </c>
      <c r="V392" s="21" t="s">
        <v>2272</v>
      </c>
      <c r="W392" s="21" t="s">
        <v>2522</v>
      </c>
      <c r="X392" s="21" t="s">
        <v>2272</v>
      </c>
      <c r="Y392" s="3" t="s">
        <v>403</v>
      </c>
      <c r="Z392" s="3" t="s">
        <v>423</v>
      </c>
      <c r="AA392" s="3" t="s">
        <v>2272</v>
      </c>
      <c r="AB392" s="4" t="s">
        <v>1866</v>
      </c>
      <c r="AC392" s="4" t="s">
        <v>1868</v>
      </c>
    </row>
    <row r="393" spans="1:29"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2272</v>
      </c>
      <c r="K393" s="21" t="s">
        <v>2272</v>
      </c>
      <c r="L393" s="98" t="s">
        <v>2272</v>
      </c>
      <c r="M393" s="21" t="s">
        <v>2358</v>
      </c>
      <c r="N393" s="21" t="s">
        <v>2272</v>
      </c>
      <c r="O393" s="21" t="s">
        <v>2372</v>
      </c>
      <c r="P393" s="21" t="s">
        <v>2272</v>
      </c>
      <c r="Q393" s="21" t="s">
        <v>2368</v>
      </c>
      <c r="R393" s="97" t="s">
        <v>2272</v>
      </c>
      <c r="S393" s="97" t="s">
        <v>2272</v>
      </c>
      <c r="T393" s="21" t="s">
        <v>2272</v>
      </c>
      <c r="U393" s="21" t="s">
        <v>2272</v>
      </c>
      <c r="V393" s="21" t="s">
        <v>2272</v>
      </c>
      <c r="W393" s="21" t="s">
        <v>2522</v>
      </c>
      <c r="X393" s="21" t="s">
        <v>2272</v>
      </c>
      <c r="Y393" s="3" t="s">
        <v>403</v>
      </c>
      <c r="Z393" s="3" t="s">
        <v>423</v>
      </c>
      <c r="AA393" s="3" t="s">
        <v>2272</v>
      </c>
      <c r="AB393" s="4" t="s">
        <v>1866</v>
      </c>
      <c r="AC393" s="4" t="s">
        <v>1868</v>
      </c>
    </row>
    <row r="394" spans="1:29"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2272</v>
      </c>
      <c r="K394" s="21" t="s">
        <v>2272</v>
      </c>
      <c r="L394" s="98" t="s">
        <v>2272</v>
      </c>
      <c r="M394" s="21" t="s">
        <v>2272</v>
      </c>
      <c r="N394" s="21" t="s">
        <v>2373</v>
      </c>
      <c r="O394" s="21" t="s">
        <v>2272</v>
      </c>
      <c r="P394" s="21" t="s">
        <v>2272</v>
      </c>
      <c r="Q394" s="21" t="s">
        <v>2272</v>
      </c>
      <c r="R394" s="21" t="s">
        <v>2272</v>
      </c>
      <c r="S394" s="97" t="s">
        <v>2272</v>
      </c>
      <c r="T394" s="21" t="s">
        <v>2272</v>
      </c>
      <c r="U394" s="21" t="s">
        <v>2390</v>
      </c>
      <c r="V394" s="21" t="s">
        <v>2272</v>
      </c>
      <c r="W394" s="21" t="s">
        <v>2384</v>
      </c>
      <c r="X394" s="21" t="s">
        <v>2272</v>
      </c>
      <c r="Y394" s="3" t="s">
        <v>403</v>
      </c>
      <c r="Z394" s="3" t="s">
        <v>423</v>
      </c>
      <c r="AA394" s="3" t="s">
        <v>2272</v>
      </c>
      <c r="AB394" s="4" t="s">
        <v>1869</v>
      </c>
      <c r="AC394" s="4" t="s">
        <v>5028</v>
      </c>
    </row>
    <row r="395" spans="1:29"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2359</v>
      </c>
      <c r="K395" s="21" t="s">
        <v>2359</v>
      </c>
      <c r="L395" s="98" t="s">
        <v>2359</v>
      </c>
      <c r="M395" s="21" t="s">
        <v>2359</v>
      </c>
      <c r="N395" s="21" t="s">
        <v>2359</v>
      </c>
      <c r="O395" s="21" t="s">
        <v>2359</v>
      </c>
      <c r="P395" s="21" t="s">
        <v>2359</v>
      </c>
      <c r="Q395" s="21" t="s">
        <v>2359</v>
      </c>
      <c r="R395" s="97" t="s">
        <v>2272</v>
      </c>
      <c r="S395" s="97" t="s">
        <v>2272</v>
      </c>
      <c r="T395" s="21" t="s">
        <v>2359</v>
      </c>
      <c r="U395" s="21" t="s">
        <v>2359</v>
      </c>
      <c r="V395" s="21" t="s">
        <v>2359</v>
      </c>
      <c r="W395" s="21" t="s">
        <v>2359</v>
      </c>
      <c r="X395" s="21" t="s">
        <v>2272</v>
      </c>
      <c r="Y395" s="3" t="s">
        <v>2272</v>
      </c>
      <c r="Z395" s="3" t="s">
        <v>2272</v>
      </c>
      <c r="AA395" s="3" t="s">
        <v>2272</v>
      </c>
      <c r="AB395" s="4" t="s">
        <v>1956</v>
      </c>
      <c r="AC395" s="4"/>
    </row>
    <row r="396" spans="1:29"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2359</v>
      </c>
      <c r="K396" s="21" t="s">
        <v>2359</v>
      </c>
      <c r="L396" s="98" t="s">
        <v>2359</v>
      </c>
      <c r="M396" s="21" t="s">
        <v>2359</v>
      </c>
      <c r="N396" s="21" t="s">
        <v>2359</v>
      </c>
      <c r="O396" s="21" t="s">
        <v>2359</v>
      </c>
      <c r="P396" s="21" t="s">
        <v>2359</v>
      </c>
      <c r="Q396" s="21" t="s">
        <v>2359</v>
      </c>
      <c r="R396" s="97" t="s">
        <v>2272</v>
      </c>
      <c r="S396" s="97" t="s">
        <v>2272</v>
      </c>
      <c r="T396" s="21" t="s">
        <v>2359</v>
      </c>
      <c r="U396" s="21" t="s">
        <v>2359</v>
      </c>
      <c r="V396" s="21" t="s">
        <v>2359</v>
      </c>
      <c r="W396" s="21" t="s">
        <v>2359</v>
      </c>
      <c r="X396" s="21" t="s">
        <v>2272</v>
      </c>
      <c r="Y396" s="3" t="s">
        <v>2272</v>
      </c>
      <c r="Z396" s="3" t="s">
        <v>2272</v>
      </c>
      <c r="AA396" s="3" t="s">
        <v>2272</v>
      </c>
      <c r="AB396" s="4" t="s">
        <v>1956</v>
      </c>
      <c r="AC396" s="4"/>
    </row>
    <row r="397" spans="1:29"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2359</v>
      </c>
      <c r="K397" s="21" t="s">
        <v>2359</v>
      </c>
      <c r="L397" s="98" t="s">
        <v>2359</v>
      </c>
      <c r="M397" s="21" t="s">
        <v>2359</v>
      </c>
      <c r="N397" s="21" t="s">
        <v>2359</v>
      </c>
      <c r="O397" s="21" t="s">
        <v>2359</v>
      </c>
      <c r="P397" s="21" t="s">
        <v>2359</v>
      </c>
      <c r="Q397" s="21" t="s">
        <v>2359</v>
      </c>
      <c r="R397" s="97" t="s">
        <v>2272</v>
      </c>
      <c r="S397" s="97" t="s">
        <v>2272</v>
      </c>
      <c r="T397" s="21" t="s">
        <v>2359</v>
      </c>
      <c r="U397" s="21" t="s">
        <v>2359</v>
      </c>
      <c r="V397" s="21" t="s">
        <v>2359</v>
      </c>
      <c r="W397" s="21" t="s">
        <v>2359</v>
      </c>
      <c r="X397" s="21" t="s">
        <v>2272</v>
      </c>
      <c r="Y397" s="3" t="s">
        <v>2272</v>
      </c>
      <c r="Z397" s="3" t="s">
        <v>2272</v>
      </c>
      <c r="AA397" s="3" t="s">
        <v>2272</v>
      </c>
      <c r="AB397" s="4" t="s">
        <v>1956</v>
      </c>
      <c r="AC397" s="4"/>
    </row>
    <row r="398" spans="1:29"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2359</v>
      </c>
      <c r="K398" s="21" t="s">
        <v>2359</v>
      </c>
      <c r="L398" s="98" t="s">
        <v>2359</v>
      </c>
      <c r="M398" s="21" t="s">
        <v>2359</v>
      </c>
      <c r="N398" s="21" t="s">
        <v>2359</v>
      </c>
      <c r="O398" s="21" t="s">
        <v>2359</v>
      </c>
      <c r="P398" s="21" t="s">
        <v>2359</v>
      </c>
      <c r="Q398" s="21" t="s">
        <v>2359</v>
      </c>
      <c r="R398" s="97" t="s">
        <v>2272</v>
      </c>
      <c r="S398" s="97" t="s">
        <v>2272</v>
      </c>
      <c r="T398" s="21" t="s">
        <v>2359</v>
      </c>
      <c r="U398" s="21" t="s">
        <v>2359</v>
      </c>
      <c r="V398" s="21" t="s">
        <v>2359</v>
      </c>
      <c r="W398" s="21" t="s">
        <v>2359</v>
      </c>
      <c r="X398" s="21" t="s">
        <v>2272</v>
      </c>
      <c r="Y398" s="3" t="s">
        <v>2272</v>
      </c>
      <c r="Z398" s="3" t="s">
        <v>2272</v>
      </c>
      <c r="AA398" s="3" t="s">
        <v>2272</v>
      </c>
      <c r="AB398" s="4" t="s">
        <v>1956</v>
      </c>
      <c r="AC398" s="4"/>
    </row>
    <row r="399" spans="1:29"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2359</v>
      </c>
      <c r="K399" s="21" t="s">
        <v>2359</v>
      </c>
      <c r="L399" s="98" t="s">
        <v>2359</v>
      </c>
      <c r="M399" s="21" t="s">
        <v>2359</v>
      </c>
      <c r="N399" s="21" t="s">
        <v>2359</v>
      </c>
      <c r="O399" s="21" t="s">
        <v>2359</v>
      </c>
      <c r="P399" s="21" t="s">
        <v>2359</v>
      </c>
      <c r="Q399" s="21" t="s">
        <v>2359</v>
      </c>
      <c r="R399" s="97" t="s">
        <v>2272</v>
      </c>
      <c r="S399" s="97" t="s">
        <v>2272</v>
      </c>
      <c r="T399" s="21" t="s">
        <v>2359</v>
      </c>
      <c r="U399" s="21" t="s">
        <v>2359</v>
      </c>
      <c r="V399" s="21" t="s">
        <v>2359</v>
      </c>
      <c r="W399" s="21" t="s">
        <v>2359</v>
      </c>
      <c r="X399" s="21" t="s">
        <v>2272</v>
      </c>
      <c r="Y399" s="3" t="s">
        <v>2272</v>
      </c>
      <c r="Z399" s="3" t="s">
        <v>2272</v>
      </c>
      <c r="AA399" s="3" t="s">
        <v>2272</v>
      </c>
      <c r="AB399" s="4" t="s">
        <v>1956</v>
      </c>
      <c r="AC399" s="4"/>
    </row>
    <row r="400" spans="1:29"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2359</v>
      </c>
      <c r="K400" s="21" t="s">
        <v>2359</v>
      </c>
      <c r="L400" s="98" t="s">
        <v>2359</v>
      </c>
      <c r="M400" s="21" t="s">
        <v>2359</v>
      </c>
      <c r="N400" s="21" t="s">
        <v>2359</v>
      </c>
      <c r="O400" s="21" t="s">
        <v>2359</v>
      </c>
      <c r="P400" s="21" t="s">
        <v>2359</v>
      </c>
      <c r="Q400" s="21" t="s">
        <v>2359</v>
      </c>
      <c r="R400" s="97" t="s">
        <v>2272</v>
      </c>
      <c r="S400" s="97" t="s">
        <v>2272</v>
      </c>
      <c r="T400" s="21" t="s">
        <v>2359</v>
      </c>
      <c r="U400" s="21" t="s">
        <v>2359</v>
      </c>
      <c r="V400" s="21" t="s">
        <v>2359</v>
      </c>
      <c r="W400" s="21" t="s">
        <v>2359</v>
      </c>
      <c r="X400" s="21" t="s">
        <v>2272</v>
      </c>
      <c r="Y400" s="3" t="s">
        <v>2272</v>
      </c>
      <c r="Z400" s="3" t="s">
        <v>2272</v>
      </c>
      <c r="AA400" s="3" t="s">
        <v>2272</v>
      </c>
      <c r="AB400" s="4" t="s">
        <v>1956</v>
      </c>
      <c r="AC400" s="4"/>
    </row>
    <row r="401" spans="1:29"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2359</v>
      </c>
      <c r="K401" s="21" t="s">
        <v>2359</v>
      </c>
      <c r="L401" s="98" t="s">
        <v>2359</v>
      </c>
      <c r="M401" s="21" t="s">
        <v>2359</v>
      </c>
      <c r="N401" s="21" t="s">
        <v>2359</v>
      </c>
      <c r="O401" s="21" t="s">
        <v>2359</v>
      </c>
      <c r="P401" s="21" t="s">
        <v>2359</v>
      </c>
      <c r="Q401" s="21" t="s">
        <v>2359</v>
      </c>
      <c r="R401" s="97" t="s">
        <v>2272</v>
      </c>
      <c r="S401" s="97" t="s">
        <v>2272</v>
      </c>
      <c r="T401" s="21" t="s">
        <v>2359</v>
      </c>
      <c r="U401" s="21" t="s">
        <v>2359</v>
      </c>
      <c r="V401" s="21" t="s">
        <v>2359</v>
      </c>
      <c r="W401" s="21" t="s">
        <v>2359</v>
      </c>
      <c r="X401" s="21" t="s">
        <v>2272</v>
      </c>
      <c r="Y401" s="3" t="s">
        <v>2272</v>
      </c>
      <c r="Z401" s="3" t="s">
        <v>2272</v>
      </c>
      <c r="AA401" s="3" t="s">
        <v>2272</v>
      </c>
      <c r="AB401" s="18" t="s">
        <v>1974</v>
      </c>
      <c r="AC401" s="4"/>
    </row>
    <row r="402" spans="1:29"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2359</v>
      </c>
      <c r="K402" s="21" t="s">
        <v>2359</v>
      </c>
      <c r="L402" s="98" t="s">
        <v>2359</v>
      </c>
      <c r="M402" s="21" t="s">
        <v>2359</v>
      </c>
      <c r="N402" s="21" t="s">
        <v>2359</v>
      </c>
      <c r="O402" s="21" t="s">
        <v>2359</v>
      </c>
      <c r="P402" s="21" t="s">
        <v>2359</v>
      </c>
      <c r="Q402" s="21" t="s">
        <v>2359</v>
      </c>
      <c r="R402" s="97" t="s">
        <v>2272</v>
      </c>
      <c r="S402" s="97" t="s">
        <v>2272</v>
      </c>
      <c r="T402" s="21" t="s">
        <v>2359</v>
      </c>
      <c r="U402" s="21" t="s">
        <v>2359</v>
      </c>
      <c r="V402" s="21" t="s">
        <v>2359</v>
      </c>
      <c r="W402" s="21" t="s">
        <v>2359</v>
      </c>
      <c r="X402" s="21" t="s">
        <v>2272</v>
      </c>
      <c r="Y402" s="3" t="s">
        <v>2272</v>
      </c>
      <c r="Z402" s="3" t="s">
        <v>2272</v>
      </c>
      <c r="AA402" s="3" t="s">
        <v>2272</v>
      </c>
      <c r="AB402" s="18" t="s">
        <v>1957</v>
      </c>
      <c r="AC402" s="4"/>
    </row>
    <row r="403" spans="1:29"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2359</v>
      </c>
      <c r="K403" s="21" t="s">
        <v>2359</v>
      </c>
      <c r="L403" s="98" t="s">
        <v>2359</v>
      </c>
      <c r="M403" s="21" t="s">
        <v>2359</v>
      </c>
      <c r="N403" s="21" t="s">
        <v>2359</v>
      </c>
      <c r="O403" s="21" t="s">
        <v>2359</v>
      </c>
      <c r="P403" s="21" t="s">
        <v>2359</v>
      </c>
      <c r="Q403" s="21" t="s">
        <v>2359</v>
      </c>
      <c r="R403" s="97" t="s">
        <v>2272</v>
      </c>
      <c r="S403" s="97" t="s">
        <v>2272</v>
      </c>
      <c r="T403" s="21" t="s">
        <v>2359</v>
      </c>
      <c r="U403" s="21" t="s">
        <v>2359</v>
      </c>
      <c r="V403" s="21" t="s">
        <v>2359</v>
      </c>
      <c r="W403" s="21" t="s">
        <v>2359</v>
      </c>
      <c r="X403" s="21" t="s">
        <v>2272</v>
      </c>
      <c r="Y403" s="3" t="s">
        <v>2272</v>
      </c>
      <c r="Z403" s="3" t="s">
        <v>2272</v>
      </c>
      <c r="AA403" s="3" t="s">
        <v>2272</v>
      </c>
      <c r="AB403" s="4" t="s">
        <v>1956</v>
      </c>
      <c r="AC403" s="4"/>
    </row>
    <row r="404" spans="1:29"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2359</v>
      </c>
      <c r="K404" s="21" t="s">
        <v>2359</v>
      </c>
      <c r="L404" s="98" t="s">
        <v>2359</v>
      </c>
      <c r="M404" s="21" t="s">
        <v>2359</v>
      </c>
      <c r="N404" s="21" t="s">
        <v>2359</v>
      </c>
      <c r="O404" s="21" t="s">
        <v>2359</v>
      </c>
      <c r="P404" s="21" t="s">
        <v>2359</v>
      </c>
      <c r="Q404" s="21" t="s">
        <v>2359</v>
      </c>
      <c r="R404" s="97" t="s">
        <v>2272</v>
      </c>
      <c r="S404" s="97" t="s">
        <v>2272</v>
      </c>
      <c r="T404" s="21" t="s">
        <v>2359</v>
      </c>
      <c r="U404" s="21" t="s">
        <v>2359</v>
      </c>
      <c r="V404" s="21" t="s">
        <v>2359</v>
      </c>
      <c r="W404" s="21" t="s">
        <v>2359</v>
      </c>
      <c r="X404" s="21" t="s">
        <v>2272</v>
      </c>
      <c r="Y404" s="3" t="s">
        <v>2272</v>
      </c>
      <c r="Z404" s="3" t="s">
        <v>2272</v>
      </c>
      <c r="AA404" s="3" t="s">
        <v>2272</v>
      </c>
      <c r="AB404" s="4" t="s">
        <v>1956</v>
      </c>
      <c r="AC404" s="4"/>
    </row>
    <row r="405" spans="1:29"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2359</v>
      </c>
      <c r="K405" s="21" t="s">
        <v>2359</v>
      </c>
      <c r="L405" s="98" t="s">
        <v>2359</v>
      </c>
      <c r="M405" s="21" t="s">
        <v>2359</v>
      </c>
      <c r="N405" s="21" t="s">
        <v>2359</v>
      </c>
      <c r="O405" s="21" t="s">
        <v>2359</v>
      </c>
      <c r="P405" s="21" t="s">
        <v>2359</v>
      </c>
      <c r="Q405" s="21" t="s">
        <v>2359</v>
      </c>
      <c r="R405" s="97" t="s">
        <v>2272</v>
      </c>
      <c r="S405" s="97" t="s">
        <v>2272</v>
      </c>
      <c r="T405" s="21" t="s">
        <v>2359</v>
      </c>
      <c r="U405" s="21" t="s">
        <v>2359</v>
      </c>
      <c r="V405" s="21" t="s">
        <v>2359</v>
      </c>
      <c r="W405" s="21" t="s">
        <v>2359</v>
      </c>
      <c r="X405" s="21" t="s">
        <v>2272</v>
      </c>
      <c r="Y405" s="3" t="s">
        <v>2272</v>
      </c>
      <c r="Z405" s="3" t="s">
        <v>2272</v>
      </c>
      <c r="AA405" s="3" t="s">
        <v>2272</v>
      </c>
      <c r="AB405" s="4" t="s">
        <v>1956</v>
      </c>
      <c r="AC405" s="4"/>
    </row>
    <row r="406" spans="1:29"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2359</v>
      </c>
      <c r="K406" s="21" t="s">
        <v>2359</v>
      </c>
      <c r="L406" s="98" t="s">
        <v>2359</v>
      </c>
      <c r="M406" s="21" t="s">
        <v>2359</v>
      </c>
      <c r="N406" s="21" t="s">
        <v>2359</v>
      </c>
      <c r="O406" s="21" t="s">
        <v>2359</v>
      </c>
      <c r="P406" s="21" t="s">
        <v>2359</v>
      </c>
      <c r="Q406" s="21" t="s">
        <v>2359</v>
      </c>
      <c r="R406" s="97" t="s">
        <v>2272</v>
      </c>
      <c r="S406" s="97" t="s">
        <v>2272</v>
      </c>
      <c r="T406" s="21" t="s">
        <v>2359</v>
      </c>
      <c r="U406" s="21" t="s">
        <v>2359</v>
      </c>
      <c r="V406" s="21" t="s">
        <v>2359</v>
      </c>
      <c r="W406" s="21" t="s">
        <v>2359</v>
      </c>
      <c r="X406" s="21" t="s">
        <v>2272</v>
      </c>
      <c r="Y406" s="3" t="s">
        <v>2272</v>
      </c>
      <c r="Z406" s="3" t="s">
        <v>2272</v>
      </c>
      <c r="AA406" s="3" t="s">
        <v>2272</v>
      </c>
      <c r="AB406" s="3" t="s">
        <v>1962</v>
      </c>
      <c r="AC406" s="4"/>
    </row>
    <row r="407" spans="1:29"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2359</v>
      </c>
      <c r="K407" s="21" t="s">
        <v>2359</v>
      </c>
      <c r="L407" s="98" t="s">
        <v>2359</v>
      </c>
      <c r="M407" s="21" t="s">
        <v>2359</v>
      </c>
      <c r="N407" s="21" t="s">
        <v>2359</v>
      </c>
      <c r="O407" s="21" t="s">
        <v>2359</v>
      </c>
      <c r="P407" s="21" t="s">
        <v>2359</v>
      </c>
      <c r="Q407" s="21" t="s">
        <v>2359</v>
      </c>
      <c r="R407" s="97" t="s">
        <v>2272</v>
      </c>
      <c r="S407" s="97" t="s">
        <v>2272</v>
      </c>
      <c r="T407" s="21" t="s">
        <v>2359</v>
      </c>
      <c r="U407" s="21" t="s">
        <v>2359</v>
      </c>
      <c r="V407" s="21" t="s">
        <v>2359</v>
      </c>
      <c r="W407" s="21" t="s">
        <v>2359</v>
      </c>
      <c r="X407" s="21" t="s">
        <v>2272</v>
      </c>
      <c r="Y407" s="3" t="s">
        <v>2272</v>
      </c>
      <c r="Z407" s="3" t="s">
        <v>2272</v>
      </c>
      <c r="AA407" s="3" t="s">
        <v>2272</v>
      </c>
      <c r="AB407" s="4" t="s">
        <v>1956</v>
      </c>
      <c r="AC407" s="4"/>
    </row>
    <row r="408" spans="1:29"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2359</v>
      </c>
      <c r="K408" s="21" t="s">
        <v>2359</v>
      </c>
      <c r="L408" s="98" t="s">
        <v>2359</v>
      </c>
      <c r="M408" s="21" t="s">
        <v>2359</v>
      </c>
      <c r="N408" s="21" t="s">
        <v>2359</v>
      </c>
      <c r="O408" s="21" t="s">
        <v>2359</v>
      </c>
      <c r="P408" s="21" t="s">
        <v>2359</v>
      </c>
      <c r="Q408" s="21" t="s">
        <v>2359</v>
      </c>
      <c r="R408" s="97" t="s">
        <v>2272</v>
      </c>
      <c r="S408" s="97" t="s">
        <v>2272</v>
      </c>
      <c r="T408" s="21" t="s">
        <v>2359</v>
      </c>
      <c r="U408" s="21" t="s">
        <v>2359</v>
      </c>
      <c r="V408" s="21" t="s">
        <v>2359</v>
      </c>
      <c r="W408" s="21" t="s">
        <v>2359</v>
      </c>
      <c r="X408" s="21" t="s">
        <v>2272</v>
      </c>
      <c r="Y408" s="3" t="s">
        <v>2272</v>
      </c>
      <c r="Z408" s="3" t="s">
        <v>2272</v>
      </c>
      <c r="AA408" s="3" t="s">
        <v>2272</v>
      </c>
      <c r="AB408" s="4" t="s">
        <v>1956</v>
      </c>
      <c r="AC408" s="4"/>
    </row>
    <row r="409" spans="1:29"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2272</v>
      </c>
      <c r="K409" s="21" t="s">
        <v>2272</v>
      </c>
      <c r="L409" s="98" t="s">
        <v>2272</v>
      </c>
      <c r="M409" s="21" t="s">
        <v>2272</v>
      </c>
      <c r="N409" s="21" t="s">
        <v>2272</v>
      </c>
      <c r="O409" s="21" t="s">
        <v>2272</v>
      </c>
      <c r="P409" s="21" t="s">
        <v>2272</v>
      </c>
      <c r="Q409" s="21" t="s">
        <v>2272</v>
      </c>
      <c r="R409" s="97" t="s">
        <v>2272</v>
      </c>
      <c r="S409" s="97" t="s">
        <v>2272</v>
      </c>
      <c r="T409" s="21" t="s">
        <v>2272</v>
      </c>
      <c r="U409" s="21" t="s">
        <v>2272</v>
      </c>
      <c r="V409" s="21" t="s">
        <v>2272</v>
      </c>
      <c r="W409" s="21" t="s">
        <v>2272</v>
      </c>
      <c r="X409" s="21" t="s">
        <v>2399</v>
      </c>
      <c r="Y409" s="3" t="s">
        <v>2272</v>
      </c>
      <c r="Z409" s="3" t="s">
        <v>2272</v>
      </c>
      <c r="AA409" s="3" t="s">
        <v>2272</v>
      </c>
      <c r="AB409" s="4" t="s">
        <v>1966</v>
      </c>
      <c r="AC409" s="4"/>
    </row>
    <row r="410" spans="1:29"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2272</v>
      </c>
      <c r="K410" s="21" t="s">
        <v>2272</v>
      </c>
      <c r="L410" s="98" t="s">
        <v>2272</v>
      </c>
      <c r="M410" s="21" t="s">
        <v>2272</v>
      </c>
      <c r="N410" s="21" t="s">
        <v>2272</v>
      </c>
      <c r="O410" s="21" t="s">
        <v>2272</v>
      </c>
      <c r="P410" s="21" t="s">
        <v>2272</v>
      </c>
      <c r="Q410" s="21" t="s">
        <v>2272</v>
      </c>
      <c r="R410" s="97" t="s">
        <v>2272</v>
      </c>
      <c r="S410" s="97" t="s">
        <v>2272</v>
      </c>
      <c r="T410" s="21" t="s">
        <v>2272</v>
      </c>
      <c r="U410" s="21" t="s">
        <v>2272</v>
      </c>
      <c r="V410" s="21" t="s">
        <v>2272</v>
      </c>
      <c r="W410" s="21" t="s">
        <v>2272</v>
      </c>
      <c r="X410" s="21" t="s">
        <v>2399</v>
      </c>
      <c r="Y410" s="3" t="s">
        <v>2272</v>
      </c>
      <c r="Z410" s="3" t="s">
        <v>2272</v>
      </c>
      <c r="AA410" s="3" t="s">
        <v>2272</v>
      </c>
      <c r="AB410" s="4" t="s">
        <v>1966</v>
      </c>
      <c r="AC410" s="4"/>
    </row>
    <row r="411" spans="1:29"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2272</v>
      </c>
      <c r="K411" s="21" t="s">
        <v>2272</v>
      </c>
      <c r="L411" s="98" t="s">
        <v>2272</v>
      </c>
      <c r="M411" s="21" t="s">
        <v>2272</v>
      </c>
      <c r="N411" s="21" t="s">
        <v>2272</v>
      </c>
      <c r="O411" s="21" t="s">
        <v>2272</v>
      </c>
      <c r="P411" s="21" t="s">
        <v>2272</v>
      </c>
      <c r="Q411" s="21" t="s">
        <v>2272</v>
      </c>
      <c r="R411" s="97" t="s">
        <v>2272</v>
      </c>
      <c r="S411" s="97" t="s">
        <v>2272</v>
      </c>
      <c r="T411" s="21" t="s">
        <v>2272</v>
      </c>
      <c r="U411" s="21" t="s">
        <v>2272</v>
      </c>
      <c r="V411" s="21" t="s">
        <v>2272</v>
      </c>
      <c r="W411" s="21" t="s">
        <v>2272</v>
      </c>
      <c r="X411" s="21" t="s">
        <v>2398</v>
      </c>
      <c r="Y411" s="3" t="s">
        <v>2272</v>
      </c>
      <c r="Z411" s="3" t="s">
        <v>2272</v>
      </c>
      <c r="AA411" s="3" t="s">
        <v>2272</v>
      </c>
      <c r="AB411" s="4" t="s">
        <v>1967</v>
      </c>
      <c r="AC411" s="4"/>
    </row>
    <row r="412" spans="1:29"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2359</v>
      </c>
      <c r="K412" s="21" t="s">
        <v>2359</v>
      </c>
      <c r="L412" s="98" t="s">
        <v>2359</v>
      </c>
      <c r="M412" s="21" t="s">
        <v>2359</v>
      </c>
      <c r="N412" s="21" t="s">
        <v>2359</v>
      </c>
      <c r="O412" s="21" t="s">
        <v>2359</v>
      </c>
      <c r="P412" s="21" t="s">
        <v>2359</v>
      </c>
      <c r="Q412" s="21" t="s">
        <v>2359</v>
      </c>
      <c r="R412" s="97" t="s">
        <v>2272</v>
      </c>
      <c r="S412" s="97" t="s">
        <v>2272</v>
      </c>
      <c r="T412" s="21" t="s">
        <v>2359</v>
      </c>
      <c r="U412" s="21" t="s">
        <v>2359</v>
      </c>
      <c r="V412" s="21" t="s">
        <v>2359</v>
      </c>
      <c r="W412" s="21" t="s">
        <v>2359</v>
      </c>
      <c r="X412" s="21" t="s">
        <v>2272</v>
      </c>
      <c r="Y412" s="3" t="s">
        <v>2272</v>
      </c>
      <c r="Z412" s="3" t="s">
        <v>2272</v>
      </c>
      <c r="AA412" s="3" t="s">
        <v>2272</v>
      </c>
      <c r="AB412" s="18" t="s">
        <v>1974</v>
      </c>
      <c r="AC412" s="4"/>
    </row>
    <row r="413" spans="1:29"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2359</v>
      </c>
      <c r="K413" s="21" t="s">
        <v>2359</v>
      </c>
      <c r="L413" s="98" t="s">
        <v>2359</v>
      </c>
      <c r="M413" s="21" t="s">
        <v>2359</v>
      </c>
      <c r="N413" s="21" t="s">
        <v>2359</v>
      </c>
      <c r="O413" s="21" t="s">
        <v>2359</v>
      </c>
      <c r="P413" s="21" t="s">
        <v>2359</v>
      </c>
      <c r="Q413" s="21" t="s">
        <v>2359</v>
      </c>
      <c r="R413" s="97" t="s">
        <v>2272</v>
      </c>
      <c r="S413" s="97" t="s">
        <v>2272</v>
      </c>
      <c r="T413" s="21" t="s">
        <v>2359</v>
      </c>
      <c r="U413" s="21" t="s">
        <v>2359</v>
      </c>
      <c r="V413" s="21" t="s">
        <v>2359</v>
      </c>
      <c r="W413" s="21" t="s">
        <v>2359</v>
      </c>
      <c r="X413" s="21" t="s">
        <v>2272</v>
      </c>
      <c r="Y413" s="3" t="s">
        <v>2272</v>
      </c>
      <c r="Z413" s="3" t="s">
        <v>2272</v>
      </c>
      <c r="AA413" s="3" t="s">
        <v>2272</v>
      </c>
      <c r="AB413" s="3" t="s">
        <v>1962</v>
      </c>
      <c r="AC413" s="4"/>
    </row>
    <row r="414" spans="1:29"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2359</v>
      </c>
      <c r="K414" s="21" t="s">
        <v>2359</v>
      </c>
      <c r="L414" s="98" t="s">
        <v>2359</v>
      </c>
      <c r="M414" s="21" t="s">
        <v>2359</v>
      </c>
      <c r="N414" s="21" t="s">
        <v>2359</v>
      </c>
      <c r="O414" s="21" t="s">
        <v>2359</v>
      </c>
      <c r="P414" s="21" t="s">
        <v>2359</v>
      </c>
      <c r="Q414" s="21" t="s">
        <v>2359</v>
      </c>
      <c r="R414" s="97" t="s">
        <v>2272</v>
      </c>
      <c r="S414" s="97" t="s">
        <v>2272</v>
      </c>
      <c r="T414" s="21" t="s">
        <v>2359</v>
      </c>
      <c r="U414" s="21" t="s">
        <v>2359</v>
      </c>
      <c r="V414" s="21" t="s">
        <v>2359</v>
      </c>
      <c r="W414" s="21" t="s">
        <v>2359</v>
      </c>
      <c r="X414" s="21" t="s">
        <v>2272</v>
      </c>
      <c r="Y414" s="3" t="s">
        <v>2272</v>
      </c>
      <c r="Z414" s="3" t="s">
        <v>2272</v>
      </c>
      <c r="AA414" s="3" t="s">
        <v>2272</v>
      </c>
      <c r="AB414" s="3" t="s">
        <v>1962</v>
      </c>
      <c r="AC414" s="4"/>
    </row>
    <row r="415" spans="1:29"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2359</v>
      </c>
      <c r="K415" s="21" t="s">
        <v>2359</v>
      </c>
      <c r="L415" s="98" t="s">
        <v>2359</v>
      </c>
      <c r="M415" s="21" t="s">
        <v>2359</v>
      </c>
      <c r="N415" s="21" t="s">
        <v>2359</v>
      </c>
      <c r="O415" s="21" t="s">
        <v>2359</v>
      </c>
      <c r="P415" s="21" t="s">
        <v>2359</v>
      </c>
      <c r="Q415" s="21" t="s">
        <v>2359</v>
      </c>
      <c r="R415" s="97" t="s">
        <v>2272</v>
      </c>
      <c r="S415" s="97" t="s">
        <v>2272</v>
      </c>
      <c r="T415" s="21" t="s">
        <v>2359</v>
      </c>
      <c r="U415" s="21" t="s">
        <v>2359</v>
      </c>
      <c r="V415" s="21" t="s">
        <v>2359</v>
      </c>
      <c r="W415" s="21" t="s">
        <v>2359</v>
      </c>
      <c r="X415" s="21" t="s">
        <v>2272</v>
      </c>
      <c r="Y415" s="3" t="s">
        <v>2272</v>
      </c>
      <c r="Z415" s="3" t="s">
        <v>2272</v>
      </c>
      <c r="AA415" s="3" t="s">
        <v>2272</v>
      </c>
      <c r="AB415" s="3" t="s">
        <v>1962</v>
      </c>
      <c r="AC415" s="4"/>
    </row>
    <row r="416" spans="1:29"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2359</v>
      </c>
      <c r="K416" s="21" t="s">
        <v>2359</v>
      </c>
      <c r="L416" s="98" t="s">
        <v>2359</v>
      </c>
      <c r="M416" s="21" t="s">
        <v>2359</v>
      </c>
      <c r="N416" s="21" t="s">
        <v>2359</v>
      </c>
      <c r="O416" s="21" t="s">
        <v>2359</v>
      </c>
      <c r="P416" s="21" t="s">
        <v>2359</v>
      </c>
      <c r="Q416" s="21" t="s">
        <v>2359</v>
      </c>
      <c r="R416" s="97" t="s">
        <v>2272</v>
      </c>
      <c r="S416" s="97" t="s">
        <v>2272</v>
      </c>
      <c r="T416" s="21" t="s">
        <v>2359</v>
      </c>
      <c r="U416" s="21" t="s">
        <v>2359</v>
      </c>
      <c r="V416" s="21" t="s">
        <v>2359</v>
      </c>
      <c r="W416" s="21" t="s">
        <v>2359</v>
      </c>
      <c r="X416" s="21" t="s">
        <v>2272</v>
      </c>
      <c r="Y416" s="3" t="s">
        <v>2272</v>
      </c>
      <c r="Z416" s="3" t="s">
        <v>2272</v>
      </c>
      <c r="AA416" s="3" t="s">
        <v>2272</v>
      </c>
      <c r="AB416" s="18" t="s">
        <v>1974</v>
      </c>
      <c r="AC416" s="4"/>
    </row>
    <row r="417" spans="1:29"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2272</v>
      </c>
      <c r="K417" s="21" t="s">
        <v>2272</v>
      </c>
      <c r="L417" s="98" t="s">
        <v>2272</v>
      </c>
      <c r="M417" s="21" t="s">
        <v>2272</v>
      </c>
      <c r="N417" s="21" t="s">
        <v>2272</v>
      </c>
      <c r="O417" s="21" t="s">
        <v>2272</v>
      </c>
      <c r="P417" s="21" t="s">
        <v>2272</v>
      </c>
      <c r="Q417" s="21" t="s">
        <v>2272</v>
      </c>
      <c r="R417" s="97" t="s">
        <v>2272</v>
      </c>
      <c r="S417" s="97" t="s">
        <v>2272</v>
      </c>
      <c r="T417" s="21" t="s">
        <v>2272</v>
      </c>
      <c r="U417" s="21" t="s">
        <v>2272</v>
      </c>
      <c r="V417" s="21" t="s">
        <v>2272</v>
      </c>
      <c r="W417" s="21" t="s">
        <v>2272</v>
      </c>
      <c r="X417" s="21" t="s">
        <v>2398</v>
      </c>
      <c r="Y417" s="3" t="s">
        <v>2272</v>
      </c>
      <c r="Z417" s="3" t="s">
        <v>2272</v>
      </c>
      <c r="AA417" s="3" t="s">
        <v>2272</v>
      </c>
      <c r="AB417" s="4" t="s">
        <v>1967</v>
      </c>
      <c r="AC417" s="4"/>
    </row>
    <row r="418" spans="1:29"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2272</v>
      </c>
      <c r="K418" s="21" t="s">
        <v>2272</v>
      </c>
      <c r="L418" s="98" t="s">
        <v>2272</v>
      </c>
      <c r="M418" s="21" t="s">
        <v>2272</v>
      </c>
      <c r="N418" s="21" t="s">
        <v>2272</v>
      </c>
      <c r="O418" s="21" t="s">
        <v>2272</v>
      </c>
      <c r="P418" s="21" t="s">
        <v>2272</v>
      </c>
      <c r="Q418" s="21" t="s">
        <v>2272</v>
      </c>
      <c r="R418" s="97" t="s">
        <v>2272</v>
      </c>
      <c r="S418" s="97" t="s">
        <v>2272</v>
      </c>
      <c r="T418" s="21" t="s">
        <v>2272</v>
      </c>
      <c r="U418" s="21" t="s">
        <v>2272</v>
      </c>
      <c r="V418" s="21" t="s">
        <v>2272</v>
      </c>
      <c r="W418" s="21" t="s">
        <v>2272</v>
      </c>
      <c r="X418" s="21" t="s">
        <v>2399</v>
      </c>
      <c r="Y418" s="3" t="s">
        <v>2272</v>
      </c>
      <c r="Z418" s="3" t="s">
        <v>2272</v>
      </c>
      <c r="AA418" s="3" t="s">
        <v>2272</v>
      </c>
      <c r="AB418" s="4" t="s">
        <v>1966</v>
      </c>
      <c r="AC418" s="4"/>
    </row>
    <row r="419" spans="1:29"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2272</v>
      </c>
      <c r="K419" s="21" t="s">
        <v>2272</v>
      </c>
      <c r="L419" s="98" t="s">
        <v>2272</v>
      </c>
      <c r="M419" s="21" t="s">
        <v>2272</v>
      </c>
      <c r="N419" s="21" t="s">
        <v>2272</v>
      </c>
      <c r="O419" s="21" t="s">
        <v>2272</v>
      </c>
      <c r="P419" s="21" t="s">
        <v>2272</v>
      </c>
      <c r="Q419" s="21" t="s">
        <v>2272</v>
      </c>
      <c r="R419" s="97" t="s">
        <v>2272</v>
      </c>
      <c r="S419" s="97" t="s">
        <v>2272</v>
      </c>
      <c r="T419" s="21" t="s">
        <v>2272</v>
      </c>
      <c r="U419" s="21" t="s">
        <v>2272</v>
      </c>
      <c r="V419" s="21" t="s">
        <v>2272</v>
      </c>
      <c r="W419" s="21" t="s">
        <v>2272</v>
      </c>
      <c r="X419" s="21" t="s">
        <v>2399</v>
      </c>
      <c r="Y419" s="3" t="s">
        <v>2272</v>
      </c>
      <c r="Z419" s="3" t="s">
        <v>2272</v>
      </c>
      <c r="AA419" s="3" t="s">
        <v>2272</v>
      </c>
      <c r="AB419" s="4" t="s">
        <v>1966</v>
      </c>
      <c r="AC419" s="4"/>
    </row>
    <row r="420" spans="1:29"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2272</v>
      </c>
      <c r="K420" s="21" t="s">
        <v>2272</v>
      </c>
      <c r="L420" s="98" t="s">
        <v>2272</v>
      </c>
      <c r="M420" s="21" t="s">
        <v>2272</v>
      </c>
      <c r="N420" s="21" t="s">
        <v>2272</v>
      </c>
      <c r="O420" s="21" t="s">
        <v>2272</v>
      </c>
      <c r="P420" s="21" t="s">
        <v>2272</v>
      </c>
      <c r="Q420" s="21" t="s">
        <v>2272</v>
      </c>
      <c r="R420" s="97" t="s">
        <v>2272</v>
      </c>
      <c r="S420" s="97" t="s">
        <v>2272</v>
      </c>
      <c r="T420" s="21" t="s">
        <v>2272</v>
      </c>
      <c r="U420" s="21" t="s">
        <v>2272</v>
      </c>
      <c r="V420" s="21" t="s">
        <v>2272</v>
      </c>
      <c r="W420" s="21" t="s">
        <v>2272</v>
      </c>
      <c r="X420" s="21" t="s">
        <v>2398</v>
      </c>
      <c r="Y420" s="3" t="s">
        <v>2272</v>
      </c>
      <c r="Z420" s="3" t="s">
        <v>2272</v>
      </c>
      <c r="AA420" s="3" t="s">
        <v>2272</v>
      </c>
      <c r="AB420" s="4" t="s">
        <v>1967</v>
      </c>
      <c r="AC420" s="4"/>
    </row>
    <row r="421" spans="1:29"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2272</v>
      </c>
      <c r="K421" s="21" t="s">
        <v>2272</v>
      </c>
      <c r="L421" s="98" t="s">
        <v>2272</v>
      </c>
      <c r="M421" s="21" t="s">
        <v>2272</v>
      </c>
      <c r="N421" s="21" t="s">
        <v>2272</v>
      </c>
      <c r="O421" s="21" t="s">
        <v>2272</v>
      </c>
      <c r="P421" s="21" t="s">
        <v>2272</v>
      </c>
      <c r="Q421" s="21" t="s">
        <v>2272</v>
      </c>
      <c r="R421" s="97" t="s">
        <v>2272</v>
      </c>
      <c r="S421" s="97" t="s">
        <v>2272</v>
      </c>
      <c r="T421" s="21" t="s">
        <v>2272</v>
      </c>
      <c r="U421" s="21" t="s">
        <v>2272</v>
      </c>
      <c r="V421" s="21" t="s">
        <v>2272</v>
      </c>
      <c r="W421" s="21" t="s">
        <v>2272</v>
      </c>
      <c r="X421" s="21" t="s">
        <v>2398</v>
      </c>
      <c r="Y421" s="3" t="s">
        <v>2272</v>
      </c>
      <c r="Z421" s="3" t="s">
        <v>2272</v>
      </c>
      <c r="AA421" s="3" t="s">
        <v>2272</v>
      </c>
      <c r="AB421" s="4" t="s">
        <v>1967</v>
      </c>
      <c r="AC421" s="4"/>
    </row>
    <row r="422" spans="1:29"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2359</v>
      </c>
      <c r="K422" s="21" t="s">
        <v>2359</v>
      </c>
      <c r="L422" s="98" t="s">
        <v>2359</v>
      </c>
      <c r="M422" s="21" t="s">
        <v>2359</v>
      </c>
      <c r="N422" s="21" t="s">
        <v>2359</v>
      </c>
      <c r="O422" s="21" t="s">
        <v>2359</v>
      </c>
      <c r="P422" s="21" t="s">
        <v>2359</v>
      </c>
      <c r="Q422" s="21" t="s">
        <v>2359</v>
      </c>
      <c r="R422" s="97" t="s">
        <v>2272</v>
      </c>
      <c r="S422" s="97" t="s">
        <v>2272</v>
      </c>
      <c r="T422" s="21" t="s">
        <v>2359</v>
      </c>
      <c r="U422" s="21" t="s">
        <v>2359</v>
      </c>
      <c r="V422" s="21" t="s">
        <v>2359</v>
      </c>
      <c r="W422" s="21" t="s">
        <v>2359</v>
      </c>
      <c r="X422" s="21" t="s">
        <v>2272</v>
      </c>
      <c r="Y422" s="3" t="s">
        <v>2272</v>
      </c>
      <c r="Z422" s="3" t="s">
        <v>2272</v>
      </c>
      <c r="AA422" s="3" t="s">
        <v>2272</v>
      </c>
      <c r="AB422" s="3" t="s">
        <v>1962</v>
      </c>
      <c r="AC422" s="4"/>
    </row>
    <row r="423" spans="1:29"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2359</v>
      </c>
      <c r="K423" s="21" t="s">
        <v>2359</v>
      </c>
      <c r="L423" s="98" t="s">
        <v>2359</v>
      </c>
      <c r="M423" s="21" t="s">
        <v>2359</v>
      </c>
      <c r="N423" s="21" t="s">
        <v>2359</v>
      </c>
      <c r="O423" s="21" t="s">
        <v>2359</v>
      </c>
      <c r="P423" s="21" t="s">
        <v>2359</v>
      </c>
      <c r="Q423" s="21" t="s">
        <v>2359</v>
      </c>
      <c r="R423" s="97" t="s">
        <v>2272</v>
      </c>
      <c r="S423" s="97" t="s">
        <v>2272</v>
      </c>
      <c r="T423" s="21" t="s">
        <v>2359</v>
      </c>
      <c r="U423" s="21" t="s">
        <v>2359</v>
      </c>
      <c r="V423" s="21" t="s">
        <v>2359</v>
      </c>
      <c r="W423" s="21" t="s">
        <v>2359</v>
      </c>
      <c r="X423" s="21" t="s">
        <v>2272</v>
      </c>
      <c r="Y423" s="3" t="s">
        <v>2272</v>
      </c>
      <c r="Z423" s="3" t="s">
        <v>2272</v>
      </c>
      <c r="AA423" s="3" t="s">
        <v>2272</v>
      </c>
      <c r="AB423" s="18" t="s">
        <v>1974</v>
      </c>
      <c r="AC423" s="4"/>
    </row>
    <row r="424" spans="1:29"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2359</v>
      </c>
      <c r="K424" s="21" t="s">
        <v>2359</v>
      </c>
      <c r="L424" s="98" t="s">
        <v>2359</v>
      </c>
      <c r="M424" s="21" t="s">
        <v>2359</v>
      </c>
      <c r="N424" s="21" t="s">
        <v>2359</v>
      </c>
      <c r="O424" s="21" t="s">
        <v>2359</v>
      </c>
      <c r="P424" s="21" t="s">
        <v>2359</v>
      </c>
      <c r="Q424" s="21" t="s">
        <v>2359</v>
      </c>
      <c r="R424" s="97" t="s">
        <v>2272</v>
      </c>
      <c r="S424" s="97" t="s">
        <v>2272</v>
      </c>
      <c r="T424" s="21" t="s">
        <v>2359</v>
      </c>
      <c r="U424" s="21" t="s">
        <v>2359</v>
      </c>
      <c r="V424" s="21" t="s">
        <v>2359</v>
      </c>
      <c r="W424" s="21" t="s">
        <v>2359</v>
      </c>
      <c r="X424" s="21" t="s">
        <v>2272</v>
      </c>
      <c r="Y424" s="3" t="s">
        <v>2272</v>
      </c>
      <c r="Z424" s="3" t="s">
        <v>2272</v>
      </c>
      <c r="AA424" s="3" t="s">
        <v>2272</v>
      </c>
      <c r="AB424" s="3" t="s">
        <v>1962</v>
      </c>
      <c r="AC424" s="4"/>
    </row>
    <row r="425" spans="1:29"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2359</v>
      </c>
      <c r="K425" s="21" t="s">
        <v>2359</v>
      </c>
      <c r="L425" s="98" t="s">
        <v>2359</v>
      </c>
      <c r="M425" s="21" t="s">
        <v>2359</v>
      </c>
      <c r="N425" s="21" t="s">
        <v>2359</v>
      </c>
      <c r="O425" s="21" t="s">
        <v>2359</v>
      </c>
      <c r="P425" s="21" t="s">
        <v>2359</v>
      </c>
      <c r="Q425" s="21" t="s">
        <v>2359</v>
      </c>
      <c r="R425" s="97" t="s">
        <v>2272</v>
      </c>
      <c r="S425" s="97" t="s">
        <v>2272</v>
      </c>
      <c r="T425" s="21" t="s">
        <v>2359</v>
      </c>
      <c r="U425" s="21" t="s">
        <v>2359</v>
      </c>
      <c r="V425" s="21" t="s">
        <v>2359</v>
      </c>
      <c r="W425" s="21" t="s">
        <v>2359</v>
      </c>
      <c r="X425" s="21" t="s">
        <v>2272</v>
      </c>
      <c r="Y425" s="3" t="s">
        <v>2272</v>
      </c>
      <c r="Z425" s="3" t="s">
        <v>2272</v>
      </c>
      <c r="AA425" s="3" t="s">
        <v>2272</v>
      </c>
      <c r="AB425" s="3" t="s">
        <v>1962</v>
      </c>
      <c r="AC425" s="4"/>
    </row>
    <row r="426" spans="1:29"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2359</v>
      </c>
      <c r="K426" s="21" t="s">
        <v>2359</v>
      </c>
      <c r="L426" s="98" t="s">
        <v>2359</v>
      </c>
      <c r="M426" s="21" t="s">
        <v>2359</v>
      </c>
      <c r="N426" s="21" t="s">
        <v>2359</v>
      </c>
      <c r="O426" s="21" t="s">
        <v>2359</v>
      </c>
      <c r="P426" s="21" t="s">
        <v>2359</v>
      </c>
      <c r="Q426" s="21" t="s">
        <v>2359</v>
      </c>
      <c r="R426" s="97" t="s">
        <v>2272</v>
      </c>
      <c r="S426" s="97" t="s">
        <v>2272</v>
      </c>
      <c r="T426" s="21" t="s">
        <v>2359</v>
      </c>
      <c r="U426" s="21" t="s">
        <v>2359</v>
      </c>
      <c r="V426" s="21" t="s">
        <v>2359</v>
      </c>
      <c r="W426" s="21" t="s">
        <v>2359</v>
      </c>
      <c r="X426" s="21" t="s">
        <v>2272</v>
      </c>
      <c r="Y426" s="3" t="s">
        <v>2272</v>
      </c>
      <c r="Z426" s="3" t="s">
        <v>2272</v>
      </c>
      <c r="AA426" s="3" t="s">
        <v>2272</v>
      </c>
      <c r="AB426" s="3" t="s">
        <v>1962</v>
      </c>
      <c r="AC426" s="4"/>
    </row>
    <row r="427" spans="1:29"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2359</v>
      </c>
      <c r="K427" s="21" t="s">
        <v>2359</v>
      </c>
      <c r="L427" s="98" t="s">
        <v>2359</v>
      </c>
      <c r="M427" s="21" t="s">
        <v>2359</v>
      </c>
      <c r="N427" s="21" t="s">
        <v>2359</v>
      </c>
      <c r="O427" s="21" t="s">
        <v>2359</v>
      </c>
      <c r="P427" s="21" t="s">
        <v>2359</v>
      </c>
      <c r="Q427" s="21" t="s">
        <v>2359</v>
      </c>
      <c r="R427" s="97" t="s">
        <v>2272</v>
      </c>
      <c r="S427" s="97" t="s">
        <v>2272</v>
      </c>
      <c r="T427" s="21" t="s">
        <v>2359</v>
      </c>
      <c r="U427" s="21" t="s">
        <v>2359</v>
      </c>
      <c r="V427" s="21" t="s">
        <v>2359</v>
      </c>
      <c r="W427" s="21" t="s">
        <v>2359</v>
      </c>
      <c r="X427" s="21" t="s">
        <v>2272</v>
      </c>
      <c r="Y427" s="3" t="s">
        <v>2272</v>
      </c>
      <c r="Z427" s="3" t="s">
        <v>2272</v>
      </c>
      <c r="AA427" s="3" t="s">
        <v>2272</v>
      </c>
      <c r="AB427" s="4" t="s">
        <v>1956</v>
      </c>
      <c r="AC427" s="4"/>
    </row>
    <row r="428" spans="1:29"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2359</v>
      </c>
      <c r="K428" s="21" t="s">
        <v>2359</v>
      </c>
      <c r="L428" s="98" t="s">
        <v>2359</v>
      </c>
      <c r="M428" s="21" t="s">
        <v>2359</v>
      </c>
      <c r="N428" s="21" t="s">
        <v>2359</v>
      </c>
      <c r="O428" s="21" t="s">
        <v>2359</v>
      </c>
      <c r="P428" s="21" t="s">
        <v>2359</v>
      </c>
      <c r="Q428" s="21" t="s">
        <v>2359</v>
      </c>
      <c r="R428" s="97" t="s">
        <v>2272</v>
      </c>
      <c r="S428" s="97" t="s">
        <v>2272</v>
      </c>
      <c r="T428" s="21" t="s">
        <v>2359</v>
      </c>
      <c r="U428" s="21" t="s">
        <v>2359</v>
      </c>
      <c r="V428" s="21" t="s">
        <v>2359</v>
      </c>
      <c r="W428" s="21" t="s">
        <v>2359</v>
      </c>
      <c r="X428" s="21" t="s">
        <v>2272</v>
      </c>
      <c r="Y428" s="3" t="s">
        <v>2272</v>
      </c>
      <c r="Z428" s="3" t="s">
        <v>2272</v>
      </c>
      <c r="AA428" s="3" t="s">
        <v>2272</v>
      </c>
      <c r="AB428" s="18" t="s">
        <v>1974</v>
      </c>
      <c r="AC428" s="4"/>
    </row>
    <row r="429" spans="1:29"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2359</v>
      </c>
      <c r="K429" s="21" t="s">
        <v>2359</v>
      </c>
      <c r="L429" s="98" t="s">
        <v>2359</v>
      </c>
      <c r="M429" s="21" t="s">
        <v>2359</v>
      </c>
      <c r="N429" s="21" t="s">
        <v>2359</v>
      </c>
      <c r="O429" s="21" t="s">
        <v>2359</v>
      </c>
      <c r="P429" s="21" t="s">
        <v>2359</v>
      </c>
      <c r="Q429" s="21" t="s">
        <v>2359</v>
      </c>
      <c r="R429" s="97" t="s">
        <v>2272</v>
      </c>
      <c r="S429" s="97" t="s">
        <v>2272</v>
      </c>
      <c r="T429" s="21" t="s">
        <v>2359</v>
      </c>
      <c r="U429" s="21" t="s">
        <v>2359</v>
      </c>
      <c r="V429" s="21" t="s">
        <v>2359</v>
      </c>
      <c r="W429" s="21" t="s">
        <v>2359</v>
      </c>
      <c r="X429" s="21" t="s">
        <v>2272</v>
      </c>
      <c r="Y429" s="3" t="s">
        <v>2272</v>
      </c>
      <c r="Z429" s="3" t="s">
        <v>2272</v>
      </c>
      <c r="AA429" s="3" t="s">
        <v>2272</v>
      </c>
      <c r="AB429" s="18" t="s">
        <v>1974</v>
      </c>
      <c r="AC429" s="4"/>
    </row>
    <row r="430" spans="1:29"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2359</v>
      </c>
      <c r="K430" s="21" t="s">
        <v>2359</v>
      </c>
      <c r="L430" s="98" t="s">
        <v>2359</v>
      </c>
      <c r="M430" s="21" t="s">
        <v>2359</v>
      </c>
      <c r="N430" s="21" t="s">
        <v>2359</v>
      </c>
      <c r="O430" s="21" t="s">
        <v>2359</v>
      </c>
      <c r="P430" s="21" t="s">
        <v>2359</v>
      </c>
      <c r="Q430" s="21" t="s">
        <v>2359</v>
      </c>
      <c r="R430" s="97" t="s">
        <v>2272</v>
      </c>
      <c r="S430" s="97" t="s">
        <v>2272</v>
      </c>
      <c r="T430" s="21" t="s">
        <v>2359</v>
      </c>
      <c r="U430" s="21" t="s">
        <v>2359</v>
      </c>
      <c r="V430" s="21" t="s">
        <v>2359</v>
      </c>
      <c r="W430" s="21" t="s">
        <v>2359</v>
      </c>
      <c r="X430" s="21" t="s">
        <v>2272</v>
      </c>
      <c r="Y430" s="3" t="s">
        <v>2272</v>
      </c>
      <c r="Z430" s="3" t="s">
        <v>2272</v>
      </c>
      <c r="AA430" s="3" t="s">
        <v>2272</v>
      </c>
      <c r="AB430" s="3" t="s">
        <v>1962</v>
      </c>
      <c r="AC430" s="4"/>
    </row>
    <row r="431" spans="1:29"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2359</v>
      </c>
      <c r="K431" s="21" t="s">
        <v>2359</v>
      </c>
      <c r="L431" s="98" t="s">
        <v>2359</v>
      </c>
      <c r="M431" s="21" t="s">
        <v>2359</v>
      </c>
      <c r="N431" s="21" t="s">
        <v>2359</v>
      </c>
      <c r="O431" s="21" t="s">
        <v>2359</v>
      </c>
      <c r="P431" s="21" t="s">
        <v>2359</v>
      </c>
      <c r="Q431" s="21" t="s">
        <v>2359</v>
      </c>
      <c r="R431" s="97" t="s">
        <v>2272</v>
      </c>
      <c r="S431" s="97" t="s">
        <v>2272</v>
      </c>
      <c r="T431" s="21" t="s">
        <v>2359</v>
      </c>
      <c r="U431" s="21" t="s">
        <v>2359</v>
      </c>
      <c r="V431" s="21" t="s">
        <v>2359</v>
      </c>
      <c r="W431" s="21" t="s">
        <v>2359</v>
      </c>
      <c r="X431" s="21" t="s">
        <v>2272</v>
      </c>
      <c r="Y431" s="3" t="s">
        <v>2272</v>
      </c>
      <c r="Z431" s="3" t="s">
        <v>2272</v>
      </c>
      <c r="AA431" s="3" t="s">
        <v>2272</v>
      </c>
      <c r="AB431" s="3" t="s">
        <v>1962</v>
      </c>
      <c r="AC431" s="4"/>
    </row>
    <row r="432" spans="1:29"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2359</v>
      </c>
      <c r="K432" s="21" t="s">
        <v>2359</v>
      </c>
      <c r="L432" s="98" t="s">
        <v>2359</v>
      </c>
      <c r="M432" s="21" t="s">
        <v>2359</v>
      </c>
      <c r="N432" s="21" t="s">
        <v>2359</v>
      </c>
      <c r="O432" s="21" t="s">
        <v>2359</v>
      </c>
      <c r="P432" s="21" t="s">
        <v>2359</v>
      </c>
      <c r="Q432" s="21" t="s">
        <v>2359</v>
      </c>
      <c r="R432" s="97" t="s">
        <v>2272</v>
      </c>
      <c r="S432" s="97" t="s">
        <v>2272</v>
      </c>
      <c r="T432" s="21" t="s">
        <v>2359</v>
      </c>
      <c r="U432" s="21" t="s">
        <v>2359</v>
      </c>
      <c r="V432" s="21" t="s">
        <v>2359</v>
      </c>
      <c r="W432" s="21" t="s">
        <v>2359</v>
      </c>
      <c r="X432" s="21" t="s">
        <v>2272</v>
      </c>
      <c r="Y432" s="3" t="s">
        <v>2272</v>
      </c>
      <c r="Z432" s="3" t="s">
        <v>2272</v>
      </c>
      <c r="AA432" s="3" t="s">
        <v>2272</v>
      </c>
      <c r="AB432" s="4" t="s">
        <v>1956</v>
      </c>
      <c r="AC432" s="4"/>
    </row>
    <row r="433" spans="1:29"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2359</v>
      </c>
      <c r="K433" s="21" t="s">
        <v>2359</v>
      </c>
      <c r="L433" s="98" t="s">
        <v>2359</v>
      </c>
      <c r="M433" s="21" t="s">
        <v>2359</v>
      </c>
      <c r="N433" s="21" t="s">
        <v>2359</v>
      </c>
      <c r="O433" s="21" t="s">
        <v>2359</v>
      </c>
      <c r="P433" s="21" t="s">
        <v>2359</v>
      </c>
      <c r="Q433" s="21" t="s">
        <v>2359</v>
      </c>
      <c r="R433" s="97" t="s">
        <v>2272</v>
      </c>
      <c r="S433" s="97" t="s">
        <v>2272</v>
      </c>
      <c r="T433" s="21" t="s">
        <v>2359</v>
      </c>
      <c r="U433" s="21" t="s">
        <v>2359</v>
      </c>
      <c r="V433" s="21" t="s">
        <v>2359</v>
      </c>
      <c r="W433" s="21" t="s">
        <v>2359</v>
      </c>
      <c r="X433" s="21" t="s">
        <v>2272</v>
      </c>
      <c r="Y433" s="3" t="s">
        <v>2272</v>
      </c>
      <c r="Z433" s="3" t="s">
        <v>2272</v>
      </c>
      <c r="AA433" s="3" t="s">
        <v>2272</v>
      </c>
      <c r="AB433" s="3" t="s">
        <v>1962</v>
      </c>
      <c r="AC433" s="4"/>
    </row>
    <row r="434" spans="1:29"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2359</v>
      </c>
      <c r="K434" s="21" t="s">
        <v>2359</v>
      </c>
      <c r="L434" s="98" t="s">
        <v>2359</v>
      </c>
      <c r="M434" s="21" t="s">
        <v>2359</v>
      </c>
      <c r="N434" s="21" t="s">
        <v>2359</v>
      </c>
      <c r="O434" s="21" t="s">
        <v>2359</v>
      </c>
      <c r="P434" s="21" t="s">
        <v>2359</v>
      </c>
      <c r="Q434" s="21" t="s">
        <v>2359</v>
      </c>
      <c r="R434" s="97" t="s">
        <v>2272</v>
      </c>
      <c r="S434" s="97" t="s">
        <v>2272</v>
      </c>
      <c r="T434" s="21" t="s">
        <v>2359</v>
      </c>
      <c r="U434" s="21" t="s">
        <v>2359</v>
      </c>
      <c r="V434" s="21" t="s">
        <v>2359</v>
      </c>
      <c r="W434" s="21" t="s">
        <v>2359</v>
      </c>
      <c r="X434" s="21" t="s">
        <v>2272</v>
      </c>
      <c r="Y434" s="3" t="s">
        <v>2272</v>
      </c>
      <c r="Z434" s="3" t="s">
        <v>2272</v>
      </c>
      <c r="AA434" s="3" t="s">
        <v>2272</v>
      </c>
      <c r="AB434" s="3" t="s">
        <v>1962</v>
      </c>
      <c r="AC434" s="4"/>
    </row>
    <row r="435" spans="1:29"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2359</v>
      </c>
      <c r="K435" s="21" t="s">
        <v>2359</v>
      </c>
      <c r="L435" s="98" t="s">
        <v>2359</v>
      </c>
      <c r="M435" s="21" t="s">
        <v>2359</v>
      </c>
      <c r="N435" s="21" t="s">
        <v>2359</v>
      </c>
      <c r="O435" s="21" t="s">
        <v>2359</v>
      </c>
      <c r="P435" s="21" t="s">
        <v>2359</v>
      </c>
      <c r="Q435" s="21" t="s">
        <v>2359</v>
      </c>
      <c r="R435" s="97" t="s">
        <v>2272</v>
      </c>
      <c r="S435" s="97" t="s">
        <v>2272</v>
      </c>
      <c r="T435" s="21" t="s">
        <v>2359</v>
      </c>
      <c r="U435" s="21" t="s">
        <v>2359</v>
      </c>
      <c r="V435" s="21" t="s">
        <v>2359</v>
      </c>
      <c r="W435" s="21" t="s">
        <v>2359</v>
      </c>
      <c r="X435" s="21" t="s">
        <v>2272</v>
      </c>
      <c r="Y435" s="3" t="s">
        <v>2272</v>
      </c>
      <c r="Z435" s="3" t="s">
        <v>2272</v>
      </c>
      <c r="AA435" s="3" t="s">
        <v>2272</v>
      </c>
      <c r="AB435" s="3" t="s">
        <v>1962</v>
      </c>
      <c r="AC435" s="4"/>
    </row>
    <row r="436" spans="1:29"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2272</v>
      </c>
      <c r="K436" s="21" t="s">
        <v>2272</v>
      </c>
      <c r="L436" s="98" t="s">
        <v>2272</v>
      </c>
      <c r="M436" s="21" t="s">
        <v>2272</v>
      </c>
      <c r="N436" s="21" t="s">
        <v>2272</v>
      </c>
      <c r="O436" s="21" t="s">
        <v>2272</v>
      </c>
      <c r="P436" s="21" t="s">
        <v>2272</v>
      </c>
      <c r="Q436" s="21" t="s">
        <v>2272</v>
      </c>
      <c r="R436" s="97" t="s">
        <v>2272</v>
      </c>
      <c r="S436" s="97" t="s">
        <v>2272</v>
      </c>
      <c r="T436" s="21" t="s">
        <v>2272</v>
      </c>
      <c r="U436" s="21" t="s">
        <v>2272</v>
      </c>
      <c r="V436" s="21" t="s">
        <v>2272</v>
      </c>
      <c r="W436" s="21" t="s">
        <v>2272</v>
      </c>
      <c r="X436" s="21" t="s">
        <v>2398</v>
      </c>
      <c r="Y436" s="3" t="s">
        <v>2272</v>
      </c>
      <c r="Z436" s="3" t="s">
        <v>2272</v>
      </c>
      <c r="AA436" s="3" t="s">
        <v>2272</v>
      </c>
      <c r="AB436" s="4" t="s">
        <v>1967</v>
      </c>
      <c r="AC436" s="4"/>
    </row>
    <row r="437" spans="1:29"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2272</v>
      </c>
      <c r="K437" s="21" t="s">
        <v>2272</v>
      </c>
      <c r="L437" s="98" t="s">
        <v>2272</v>
      </c>
      <c r="M437" s="21" t="s">
        <v>2272</v>
      </c>
      <c r="N437" s="21" t="s">
        <v>2272</v>
      </c>
      <c r="O437" s="21" t="s">
        <v>2272</v>
      </c>
      <c r="P437" s="21" t="s">
        <v>2272</v>
      </c>
      <c r="Q437" s="21" t="s">
        <v>2272</v>
      </c>
      <c r="R437" s="97" t="s">
        <v>2272</v>
      </c>
      <c r="S437" s="97" t="s">
        <v>2272</v>
      </c>
      <c r="T437" s="21" t="s">
        <v>2272</v>
      </c>
      <c r="U437" s="21" t="s">
        <v>2272</v>
      </c>
      <c r="V437" s="21" t="s">
        <v>2272</v>
      </c>
      <c r="W437" s="21" t="s">
        <v>2272</v>
      </c>
      <c r="X437" s="21" t="s">
        <v>2398</v>
      </c>
      <c r="Y437" s="3" t="s">
        <v>2272</v>
      </c>
      <c r="Z437" s="3" t="s">
        <v>2272</v>
      </c>
      <c r="AA437" s="3" t="s">
        <v>2272</v>
      </c>
      <c r="AB437" s="4" t="s">
        <v>1967</v>
      </c>
      <c r="AC437" s="4"/>
    </row>
    <row r="438" spans="1:29"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2272</v>
      </c>
      <c r="K438" s="21" t="s">
        <v>2272</v>
      </c>
      <c r="L438" s="98" t="s">
        <v>2272</v>
      </c>
      <c r="M438" s="21" t="s">
        <v>2272</v>
      </c>
      <c r="N438" s="21" t="s">
        <v>2272</v>
      </c>
      <c r="O438" s="21" t="s">
        <v>2272</v>
      </c>
      <c r="P438" s="21" t="s">
        <v>2272</v>
      </c>
      <c r="Q438" s="21" t="s">
        <v>2272</v>
      </c>
      <c r="R438" s="97" t="s">
        <v>2272</v>
      </c>
      <c r="S438" s="97" t="s">
        <v>2272</v>
      </c>
      <c r="T438" s="21" t="s">
        <v>2272</v>
      </c>
      <c r="U438" s="21" t="s">
        <v>2272</v>
      </c>
      <c r="V438" s="21" t="s">
        <v>2272</v>
      </c>
      <c r="W438" s="21" t="s">
        <v>2272</v>
      </c>
      <c r="X438" s="21" t="s">
        <v>2399</v>
      </c>
      <c r="Y438" s="3" t="s">
        <v>2272</v>
      </c>
      <c r="Z438" s="3" t="s">
        <v>2272</v>
      </c>
      <c r="AA438" s="3" t="s">
        <v>2272</v>
      </c>
      <c r="AB438" s="4" t="s">
        <v>1966</v>
      </c>
      <c r="AC438" s="4"/>
    </row>
    <row r="439" spans="1:29"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2272</v>
      </c>
      <c r="K439" s="21" t="s">
        <v>2272</v>
      </c>
      <c r="L439" s="98" t="s">
        <v>2272</v>
      </c>
      <c r="M439" s="21" t="s">
        <v>2272</v>
      </c>
      <c r="N439" s="21" t="s">
        <v>2272</v>
      </c>
      <c r="O439" s="21" t="s">
        <v>2272</v>
      </c>
      <c r="P439" s="21" t="s">
        <v>2272</v>
      </c>
      <c r="Q439" s="21" t="s">
        <v>2272</v>
      </c>
      <c r="R439" s="97" t="s">
        <v>2272</v>
      </c>
      <c r="S439" s="97" t="s">
        <v>2272</v>
      </c>
      <c r="T439" s="21" t="s">
        <v>2272</v>
      </c>
      <c r="U439" s="21" t="s">
        <v>2272</v>
      </c>
      <c r="V439" s="21" t="s">
        <v>2272</v>
      </c>
      <c r="W439" s="21" t="s">
        <v>2272</v>
      </c>
      <c r="X439" s="21" t="s">
        <v>2399</v>
      </c>
      <c r="Y439" s="3" t="s">
        <v>2272</v>
      </c>
      <c r="Z439" s="3" t="s">
        <v>2272</v>
      </c>
      <c r="AA439" s="3" t="s">
        <v>2272</v>
      </c>
      <c r="AB439" s="4" t="s">
        <v>1966</v>
      </c>
      <c r="AC439" s="4"/>
    </row>
    <row r="440" spans="1:29"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2272</v>
      </c>
      <c r="K440" s="21" t="s">
        <v>2272</v>
      </c>
      <c r="L440" s="98" t="s">
        <v>2272</v>
      </c>
      <c r="M440" s="21" t="s">
        <v>2272</v>
      </c>
      <c r="N440" s="21" t="s">
        <v>2272</v>
      </c>
      <c r="O440" s="21" t="s">
        <v>2272</v>
      </c>
      <c r="P440" s="21" t="s">
        <v>2272</v>
      </c>
      <c r="Q440" s="21" t="s">
        <v>2272</v>
      </c>
      <c r="R440" s="97" t="s">
        <v>2272</v>
      </c>
      <c r="S440" s="97" t="s">
        <v>2272</v>
      </c>
      <c r="T440" s="21" t="s">
        <v>2272</v>
      </c>
      <c r="U440" s="21" t="s">
        <v>2272</v>
      </c>
      <c r="V440" s="21" t="s">
        <v>2272</v>
      </c>
      <c r="W440" s="21" t="s">
        <v>2272</v>
      </c>
      <c r="X440" s="21" t="s">
        <v>2398</v>
      </c>
      <c r="Y440" s="3" t="s">
        <v>2272</v>
      </c>
      <c r="Z440" s="3" t="s">
        <v>2272</v>
      </c>
      <c r="AA440" s="3" t="s">
        <v>2272</v>
      </c>
      <c r="AB440" s="4" t="s">
        <v>1967</v>
      </c>
      <c r="AC440" s="4"/>
    </row>
    <row r="441" spans="1:29"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2272</v>
      </c>
      <c r="K441" s="21" t="s">
        <v>2272</v>
      </c>
      <c r="L441" s="98" t="s">
        <v>2272</v>
      </c>
      <c r="M441" s="21" t="s">
        <v>2272</v>
      </c>
      <c r="N441" s="21" t="s">
        <v>2272</v>
      </c>
      <c r="O441" s="21" t="s">
        <v>2272</v>
      </c>
      <c r="P441" s="21" t="s">
        <v>2272</v>
      </c>
      <c r="Q441" s="21" t="s">
        <v>2272</v>
      </c>
      <c r="R441" s="97" t="s">
        <v>2272</v>
      </c>
      <c r="S441" s="97" t="s">
        <v>2272</v>
      </c>
      <c r="T441" s="21" t="s">
        <v>2272</v>
      </c>
      <c r="U441" s="21" t="s">
        <v>2272</v>
      </c>
      <c r="V441" s="21" t="s">
        <v>2272</v>
      </c>
      <c r="W441" s="21" t="s">
        <v>2272</v>
      </c>
      <c r="X441" s="21" t="s">
        <v>2398</v>
      </c>
      <c r="Y441" s="3" t="s">
        <v>2272</v>
      </c>
      <c r="Z441" s="3" t="s">
        <v>2272</v>
      </c>
      <c r="AA441" s="3" t="s">
        <v>2272</v>
      </c>
      <c r="AB441" s="4" t="s">
        <v>1967</v>
      </c>
      <c r="AC441" s="4"/>
    </row>
    <row r="442" spans="1:29"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2359</v>
      </c>
      <c r="K442" s="21" t="s">
        <v>2359</v>
      </c>
      <c r="L442" s="98" t="s">
        <v>2359</v>
      </c>
      <c r="M442" s="21" t="s">
        <v>2359</v>
      </c>
      <c r="N442" s="21" t="s">
        <v>2359</v>
      </c>
      <c r="O442" s="21" t="s">
        <v>2359</v>
      </c>
      <c r="P442" s="21" t="s">
        <v>2359</v>
      </c>
      <c r="Q442" s="21" t="s">
        <v>2359</v>
      </c>
      <c r="R442" s="97" t="s">
        <v>2272</v>
      </c>
      <c r="S442" s="97" t="s">
        <v>2272</v>
      </c>
      <c r="T442" s="21" t="s">
        <v>2359</v>
      </c>
      <c r="U442" s="21" t="s">
        <v>2359</v>
      </c>
      <c r="V442" s="21" t="s">
        <v>2359</v>
      </c>
      <c r="W442" s="21" t="s">
        <v>2359</v>
      </c>
      <c r="X442" s="21" t="s">
        <v>2272</v>
      </c>
      <c r="Y442" s="3" t="s">
        <v>2272</v>
      </c>
      <c r="Z442" s="3" t="s">
        <v>2272</v>
      </c>
      <c r="AA442" s="3" t="s">
        <v>2272</v>
      </c>
      <c r="AB442" s="3" t="s">
        <v>1962</v>
      </c>
      <c r="AC442" s="4"/>
    </row>
    <row r="443" spans="1:29"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2272</v>
      </c>
      <c r="K443" s="21" t="s">
        <v>2272</v>
      </c>
      <c r="L443" s="98" t="s">
        <v>2272</v>
      </c>
      <c r="M443" s="21" t="s">
        <v>2272</v>
      </c>
      <c r="N443" s="21" t="s">
        <v>2272</v>
      </c>
      <c r="O443" s="21" t="s">
        <v>2272</v>
      </c>
      <c r="P443" s="21" t="s">
        <v>2272</v>
      </c>
      <c r="Q443" s="21" t="s">
        <v>2272</v>
      </c>
      <c r="R443" s="97" t="s">
        <v>2272</v>
      </c>
      <c r="S443" s="97" t="s">
        <v>2272</v>
      </c>
      <c r="T443" s="21" t="s">
        <v>2272</v>
      </c>
      <c r="U443" s="21" t="s">
        <v>2272</v>
      </c>
      <c r="V443" s="21" t="s">
        <v>2272</v>
      </c>
      <c r="W443" s="21" t="s">
        <v>2272</v>
      </c>
      <c r="X443" s="21" t="s">
        <v>2396</v>
      </c>
      <c r="Y443" s="3" t="s">
        <v>2272</v>
      </c>
      <c r="Z443" s="3" t="s">
        <v>2272</v>
      </c>
      <c r="AA443" s="3" t="s">
        <v>2272</v>
      </c>
      <c r="AB443" s="4" t="s">
        <v>2005</v>
      </c>
      <c r="AC443" s="4" t="s">
        <v>706</v>
      </c>
    </row>
    <row r="444" spans="1:29"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2272</v>
      </c>
      <c r="K444" s="21" t="s">
        <v>2272</v>
      </c>
      <c r="L444" s="98" t="s">
        <v>2272</v>
      </c>
      <c r="M444" s="21" t="s">
        <v>2272</v>
      </c>
      <c r="N444" s="21" t="s">
        <v>2272</v>
      </c>
      <c r="O444" s="21" t="s">
        <v>2272</v>
      </c>
      <c r="P444" s="21" t="s">
        <v>2370</v>
      </c>
      <c r="Q444" s="21" t="s">
        <v>2272</v>
      </c>
      <c r="R444" s="97" t="s">
        <v>2272</v>
      </c>
      <c r="S444" s="97" t="s">
        <v>2272</v>
      </c>
      <c r="T444" s="21" t="s">
        <v>2272</v>
      </c>
      <c r="U444" s="21" t="s">
        <v>2272</v>
      </c>
      <c r="V444" s="21" t="s">
        <v>2272</v>
      </c>
      <c r="W444" s="21" t="s">
        <v>2272</v>
      </c>
      <c r="X444" s="21" t="s">
        <v>2272</v>
      </c>
      <c r="Y444" s="3" t="s">
        <v>2272</v>
      </c>
      <c r="Z444" s="3" t="s">
        <v>2272</v>
      </c>
      <c r="AA444" s="3" t="s">
        <v>2272</v>
      </c>
      <c r="AB444" s="3"/>
      <c r="AC444" s="4" t="s">
        <v>2004</v>
      </c>
    </row>
    <row r="445" spans="1:29"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2272</v>
      </c>
      <c r="K445" s="21" t="s">
        <v>2272</v>
      </c>
      <c r="L445" s="98" t="s">
        <v>2272</v>
      </c>
      <c r="M445" s="21" t="s">
        <v>2272</v>
      </c>
      <c r="N445" s="21" t="s">
        <v>2272</v>
      </c>
      <c r="O445" s="21" t="s">
        <v>2272</v>
      </c>
      <c r="P445" s="21" t="s">
        <v>2272</v>
      </c>
      <c r="Q445" s="21" t="s">
        <v>2272</v>
      </c>
      <c r="R445" s="97" t="s">
        <v>2272</v>
      </c>
      <c r="S445" s="97" t="s">
        <v>2272</v>
      </c>
      <c r="T445" s="21" t="s">
        <v>2272</v>
      </c>
      <c r="U445" s="21" t="s">
        <v>2272</v>
      </c>
      <c r="V445" s="21" t="s">
        <v>2272</v>
      </c>
      <c r="W445" s="21" t="s">
        <v>2272</v>
      </c>
      <c r="X445" s="21" t="s">
        <v>2397</v>
      </c>
      <c r="Y445" s="3" t="s">
        <v>2272</v>
      </c>
      <c r="Z445" s="3" t="s">
        <v>2272</v>
      </c>
      <c r="AA445" s="3" t="s">
        <v>2272</v>
      </c>
      <c r="AB445" s="4" t="s">
        <v>2005</v>
      </c>
      <c r="AC445" s="4" t="s">
        <v>706</v>
      </c>
    </row>
    <row r="446" spans="1:29"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2272</v>
      </c>
      <c r="K446" s="21" t="s">
        <v>2272</v>
      </c>
      <c r="L446" s="98" t="s">
        <v>2272</v>
      </c>
      <c r="M446" s="21" t="s">
        <v>2272</v>
      </c>
      <c r="N446" s="21" t="s">
        <v>2272</v>
      </c>
      <c r="O446" s="21" t="s">
        <v>2272</v>
      </c>
      <c r="P446" s="21" t="s">
        <v>2370</v>
      </c>
      <c r="Q446" s="21" t="s">
        <v>2272</v>
      </c>
      <c r="R446" s="97" t="s">
        <v>2272</v>
      </c>
      <c r="S446" s="97" t="s">
        <v>2272</v>
      </c>
      <c r="T446" s="21" t="s">
        <v>2272</v>
      </c>
      <c r="U446" s="21" t="s">
        <v>2272</v>
      </c>
      <c r="V446" s="21" t="s">
        <v>2272</v>
      </c>
      <c r="W446" s="21" t="s">
        <v>2272</v>
      </c>
      <c r="X446" s="21" t="s">
        <v>2272</v>
      </c>
      <c r="Y446" s="3" t="s">
        <v>2272</v>
      </c>
      <c r="Z446" s="3" t="s">
        <v>2272</v>
      </c>
      <c r="AA446" s="3" t="s">
        <v>2272</v>
      </c>
      <c r="AB446" s="3"/>
      <c r="AC446" s="4" t="s">
        <v>2004</v>
      </c>
    </row>
    <row r="447" spans="1:29"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2272</v>
      </c>
      <c r="K447" s="21" t="s">
        <v>2272</v>
      </c>
      <c r="L447" s="98" t="s">
        <v>2272</v>
      </c>
      <c r="M447" s="21" t="s">
        <v>2272</v>
      </c>
      <c r="N447" s="21" t="s">
        <v>2272</v>
      </c>
      <c r="O447" s="21" t="s">
        <v>2272</v>
      </c>
      <c r="P447" s="21" t="s">
        <v>2272</v>
      </c>
      <c r="Q447" s="21" t="s">
        <v>2272</v>
      </c>
      <c r="R447" s="97" t="s">
        <v>2272</v>
      </c>
      <c r="S447" s="97" t="s">
        <v>2272</v>
      </c>
      <c r="T447" s="21" t="s">
        <v>2272</v>
      </c>
      <c r="U447" s="21" t="s">
        <v>2272</v>
      </c>
      <c r="V447" s="21" t="s">
        <v>2272</v>
      </c>
      <c r="W447" s="21" t="s">
        <v>2272</v>
      </c>
      <c r="X447" s="21" t="s">
        <v>2397</v>
      </c>
      <c r="Y447" s="3" t="s">
        <v>2272</v>
      </c>
      <c r="Z447" s="3" t="s">
        <v>2272</v>
      </c>
      <c r="AA447" s="3" t="s">
        <v>2272</v>
      </c>
      <c r="AB447" s="4" t="s">
        <v>2005</v>
      </c>
      <c r="AC447" s="4" t="s">
        <v>706</v>
      </c>
    </row>
    <row r="448" spans="1:29"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2272</v>
      </c>
      <c r="K448" s="21" t="s">
        <v>2272</v>
      </c>
      <c r="L448" s="98" t="s">
        <v>2272</v>
      </c>
      <c r="M448" s="21" t="s">
        <v>2272</v>
      </c>
      <c r="N448" s="21" t="s">
        <v>2272</v>
      </c>
      <c r="O448" s="21" t="s">
        <v>2272</v>
      </c>
      <c r="P448" s="21" t="s">
        <v>2370</v>
      </c>
      <c r="Q448" s="21" t="s">
        <v>2272</v>
      </c>
      <c r="R448" s="97" t="s">
        <v>2272</v>
      </c>
      <c r="S448" s="97" t="s">
        <v>2272</v>
      </c>
      <c r="T448" s="21" t="s">
        <v>2272</v>
      </c>
      <c r="U448" s="21" t="s">
        <v>2272</v>
      </c>
      <c r="V448" s="21" t="s">
        <v>2272</v>
      </c>
      <c r="W448" s="21" t="s">
        <v>2272</v>
      </c>
      <c r="X448" s="21" t="s">
        <v>2272</v>
      </c>
      <c r="Y448" s="3" t="s">
        <v>2272</v>
      </c>
      <c r="Z448" s="3" t="s">
        <v>2272</v>
      </c>
      <c r="AA448" s="3" t="s">
        <v>2272</v>
      </c>
      <c r="AB448" s="3"/>
      <c r="AC448" s="4" t="s">
        <v>2004</v>
      </c>
    </row>
    <row r="449" spans="1:29"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3" t="s">
        <v>2272</v>
      </c>
      <c r="K449" s="73" t="s">
        <v>2272</v>
      </c>
      <c r="L449" s="104" t="s">
        <v>2272</v>
      </c>
      <c r="M449" s="73" t="s">
        <v>2272</v>
      </c>
      <c r="N449" s="73" t="s">
        <v>2272</v>
      </c>
      <c r="O449" s="73" t="s">
        <v>2272</v>
      </c>
      <c r="P449" s="73" t="s">
        <v>2272</v>
      </c>
      <c r="Q449" s="73" t="s">
        <v>2272</v>
      </c>
      <c r="R449" s="97" t="s">
        <v>2272</v>
      </c>
      <c r="S449" s="97" t="s">
        <v>2272</v>
      </c>
      <c r="T449" s="73" t="s">
        <v>2272</v>
      </c>
      <c r="U449" s="73" t="s">
        <v>2272</v>
      </c>
      <c r="V449" s="73" t="s">
        <v>2272</v>
      </c>
      <c r="W449" s="73" t="s">
        <v>2272</v>
      </c>
      <c r="X449" s="73" t="s">
        <v>2397</v>
      </c>
      <c r="Y449" s="22" t="s">
        <v>2272</v>
      </c>
      <c r="Z449" s="22" t="s">
        <v>2272</v>
      </c>
      <c r="AA449" s="22" t="s">
        <v>2272</v>
      </c>
      <c r="AB449" s="4" t="s">
        <v>2005</v>
      </c>
      <c r="AC449" s="4" t="s">
        <v>706</v>
      </c>
    </row>
    <row r="450" spans="1:29"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3" t="s">
        <v>2272</v>
      </c>
      <c r="K450" s="73" t="s">
        <v>2272</v>
      </c>
      <c r="L450" s="104" t="s">
        <v>2272</v>
      </c>
      <c r="M450" s="73" t="s">
        <v>2272</v>
      </c>
      <c r="N450" s="73" t="s">
        <v>2272</v>
      </c>
      <c r="O450" s="73" t="s">
        <v>2272</v>
      </c>
      <c r="P450" s="73" t="s">
        <v>2370</v>
      </c>
      <c r="Q450" s="73" t="s">
        <v>2272</v>
      </c>
      <c r="R450" s="97" t="s">
        <v>2272</v>
      </c>
      <c r="S450" s="97" t="s">
        <v>2272</v>
      </c>
      <c r="T450" s="73" t="s">
        <v>2272</v>
      </c>
      <c r="U450" s="73" t="s">
        <v>2272</v>
      </c>
      <c r="V450" s="73" t="s">
        <v>2272</v>
      </c>
      <c r="W450" s="73" t="s">
        <v>2272</v>
      </c>
      <c r="X450" s="73" t="s">
        <v>2272</v>
      </c>
      <c r="Y450" s="22" t="s">
        <v>2272</v>
      </c>
      <c r="Z450" s="22" t="s">
        <v>2272</v>
      </c>
      <c r="AA450" s="22" t="s">
        <v>2272</v>
      </c>
      <c r="AB450" s="3"/>
      <c r="AC450" s="4" t="s">
        <v>2004</v>
      </c>
    </row>
    <row r="451" spans="1:29"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3" t="s">
        <v>2272</v>
      </c>
      <c r="K451" s="73" t="s">
        <v>2272</v>
      </c>
      <c r="L451" s="104" t="s">
        <v>2272</v>
      </c>
      <c r="M451" s="73" t="s">
        <v>2272</v>
      </c>
      <c r="N451" s="73" t="s">
        <v>2272</v>
      </c>
      <c r="O451" s="73" t="s">
        <v>2272</v>
      </c>
      <c r="P451" s="73" t="s">
        <v>2272</v>
      </c>
      <c r="Q451" s="73" t="s">
        <v>2272</v>
      </c>
      <c r="R451" s="97" t="s">
        <v>2272</v>
      </c>
      <c r="S451" s="97" t="s">
        <v>2272</v>
      </c>
      <c r="T451" s="73" t="s">
        <v>2272</v>
      </c>
      <c r="U451" s="73" t="s">
        <v>2272</v>
      </c>
      <c r="V451" s="73" t="s">
        <v>2272</v>
      </c>
      <c r="W451" s="73" t="s">
        <v>2272</v>
      </c>
      <c r="X451" s="73" t="s">
        <v>2397</v>
      </c>
      <c r="Y451" s="22" t="s">
        <v>2272</v>
      </c>
      <c r="Z451" s="22" t="s">
        <v>2272</v>
      </c>
      <c r="AA451" s="22" t="s">
        <v>2272</v>
      </c>
      <c r="AB451" s="4" t="s">
        <v>2005</v>
      </c>
      <c r="AC451" s="4" t="s">
        <v>706</v>
      </c>
    </row>
    <row r="452" spans="1:29"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3" t="s">
        <v>2272</v>
      </c>
      <c r="K452" s="73" t="s">
        <v>2272</v>
      </c>
      <c r="L452" s="104" t="s">
        <v>2272</v>
      </c>
      <c r="M452" s="73" t="s">
        <v>2272</v>
      </c>
      <c r="N452" s="73" t="s">
        <v>2272</v>
      </c>
      <c r="O452" s="73" t="s">
        <v>2272</v>
      </c>
      <c r="P452" s="73" t="s">
        <v>2370</v>
      </c>
      <c r="Q452" s="73" t="s">
        <v>2272</v>
      </c>
      <c r="R452" s="97" t="s">
        <v>2272</v>
      </c>
      <c r="S452" s="97" t="s">
        <v>2272</v>
      </c>
      <c r="T452" s="73" t="s">
        <v>2272</v>
      </c>
      <c r="U452" s="73" t="s">
        <v>2272</v>
      </c>
      <c r="V452" s="73" t="s">
        <v>2272</v>
      </c>
      <c r="W452" s="73" t="s">
        <v>2272</v>
      </c>
      <c r="X452" s="73" t="s">
        <v>2272</v>
      </c>
      <c r="Y452" s="22" t="s">
        <v>2272</v>
      </c>
      <c r="Z452" s="22" t="s">
        <v>2272</v>
      </c>
      <c r="AA452" s="22" t="s">
        <v>2272</v>
      </c>
      <c r="AB452" s="3"/>
      <c r="AC452" s="4" t="s">
        <v>2004</v>
      </c>
    </row>
    <row r="453" spans="1:29"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3" t="s">
        <v>2272</v>
      </c>
      <c r="K453" s="73" t="s">
        <v>2272</v>
      </c>
      <c r="L453" s="104" t="s">
        <v>2272</v>
      </c>
      <c r="M453" s="73" t="s">
        <v>2272</v>
      </c>
      <c r="N453" s="73" t="s">
        <v>2272</v>
      </c>
      <c r="O453" s="73" t="s">
        <v>2272</v>
      </c>
      <c r="P453" s="73" t="s">
        <v>2272</v>
      </c>
      <c r="Q453" s="73" t="s">
        <v>2272</v>
      </c>
      <c r="R453" s="97" t="s">
        <v>2272</v>
      </c>
      <c r="S453" s="97" t="s">
        <v>2272</v>
      </c>
      <c r="T453" s="73" t="s">
        <v>2272</v>
      </c>
      <c r="U453" s="73" t="s">
        <v>2272</v>
      </c>
      <c r="V453" s="73" t="s">
        <v>2272</v>
      </c>
      <c r="W453" s="73" t="s">
        <v>2272</v>
      </c>
      <c r="X453" s="73" t="s">
        <v>2272</v>
      </c>
      <c r="Y453" s="22" t="s">
        <v>2272</v>
      </c>
      <c r="Z453" s="22" t="s">
        <v>2272</v>
      </c>
      <c r="AA453" s="22" t="s">
        <v>2272</v>
      </c>
      <c r="AB453" s="22"/>
      <c r="AC453" s="22"/>
    </row>
    <row r="454" spans="1:29"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3" t="s">
        <v>2272</v>
      </c>
      <c r="K454" s="73" t="s">
        <v>2272</v>
      </c>
      <c r="L454" s="104" t="s">
        <v>2272</v>
      </c>
      <c r="M454" s="73" t="s">
        <v>2272</v>
      </c>
      <c r="N454" s="73" t="s">
        <v>2272</v>
      </c>
      <c r="O454" s="73" t="s">
        <v>2272</v>
      </c>
      <c r="P454" s="73" t="s">
        <v>2272</v>
      </c>
      <c r="Q454" s="73" t="s">
        <v>2272</v>
      </c>
      <c r="R454" s="97" t="s">
        <v>2272</v>
      </c>
      <c r="S454" s="97" t="s">
        <v>2272</v>
      </c>
      <c r="T454" s="73" t="s">
        <v>2272</v>
      </c>
      <c r="U454" s="73" t="s">
        <v>2272</v>
      </c>
      <c r="V454" s="73" t="s">
        <v>2272</v>
      </c>
      <c r="W454" s="73" t="s">
        <v>2272</v>
      </c>
      <c r="X454" s="73" t="s">
        <v>2397</v>
      </c>
      <c r="Y454" s="22" t="s">
        <v>2272</v>
      </c>
      <c r="Z454" s="22" t="s">
        <v>2272</v>
      </c>
      <c r="AA454" s="22" t="s">
        <v>2272</v>
      </c>
      <c r="AB454" s="22"/>
      <c r="AC454" s="22" t="s">
        <v>3213</v>
      </c>
    </row>
    <row r="455" spans="1:29"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3" t="s">
        <v>2272</v>
      </c>
      <c r="K455" s="73" t="s">
        <v>2272</v>
      </c>
      <c r="L455" s="104" t="s">
        <v>2272</v>
      </c>
      <c r="M455" s="73" t="s">
        <v>2272</v>
      </c>
      <c r="N455" s="73" t="s">
        <v>2272</v>
      </c>
      <c r="O455" s="73" t="s">
        <v>2272</v>
      </c>
      <c r="P455" s="73" t="s">
        <v>2272</v>
      </c>
      <c r="Q455" s="73" t="s">
        <v>2272</v>
      </c>
      <c r="R455" s="97" t="s">
        <v>2272</v>
      </c>
      <c r="S455" s="97" t="s">
        <v>2272</v>
      </c>
      <c r="T455" s="73" t="s">
        <v>2272</v>
      </c>
      <c r="U455" s="73" t="s">
        <v>2272</v>
      </c>
      <c r="V455" s="73" t="s">
        <v>2272</v>
      </c>
      <c r="W455" s="73" t="s">
        <v>2272</v>
      </c>
      <c r="X455" s="73" t="s">
        <v>2272</v>
      </c>
      <c r="Y455" s="22" t="s">
        <v>2272</v>
      </c>
      <c r="Z455" s="22" t="s">
        <v>2272</v>
      </c>
      <c r="AA455" s="22" t="s">
        <v>2272</v>
      </c>
      <c r="AB455" s="24" t="s">
        <v>585</v>
      </c>
      <c r="AC455" s="22"/>
    </row>
    <row r="456" spans="1:29"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2272</v>
      </c>
      <c r="K456" s="21" t="s">
        <v>2272</v>
      </c>
      <c r="L456" s="98" t="s">
        <v>2272</v>
      </c>
      <c r="M456" s="21" t="s">
        <v>2272</v>
      </c>
      <c r="N456" s="21" t="s">
        <v>2272</v>
      </c>
      <c r="O456" s="21" t="s">
        <v>2272</v>
      </c>
      <c r="P456" s="21" t="s">
        <v>2272</v>
      </c>
      <c r="Q456" s="21" t="s">
        <v>2272</v>
      </c>
      <c r="R456" s="97" t="s">
        <v>2272</v>
      </c>
      <c r="S456" s="97" t="s">
        <v>2272</v>
      </c>
      <c r="T456" s="21" t="s">
        <v>2272</v>
      </c>
      <c r="U456" s="21" t="s">
        <v>2272</v>
      </c>
      <c r="V456" s="21" t="s">
        <v>2272</v>
      </c>
      <c r="W456" s="21" t="s">
        <v>2272</v>
      </c>
      <c r="X456" s="98" t="s">
        <v>2272</v>
      </c>
      <c r="Y456" s="8" t="s">
        <v>2272</v>
      </c>
      <c r="Z456" s="8" t="s">
        <v>2272</v>
      </c>
      <c r="AA456" s="8" t="s">
        <v>2272</v>
      </c>
      <c r="AB456" s="9"/>
      <c r="AC456" s="8"/>
    </row>
    <row r="457" spans="1:29"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2272</v>
      </c>
      <c r="K457" s="21" t="s">
        <v>2272</v>
      </c>
      <c r="L457" s="98" t="s">
        <v>2272</v>
      </c>
      <c r="M457" s="21" t="s">
        <v>2272</v>
      </c>
      <c r="N457" s="21" t="s">
        <v>2272</v>
      </c>
      <c r="O457" s="21" t="s">
        <v>2272</v>
      </c>
      <c r="P457" s="21" t="s">
        <v>2272</v>
      </c>
      <c r="Q457" s="21" t="s">
        <v>2272</v>
      </c>
      <c r="R457" s="97" t="s">
        <v>2272</v>
      </c>
      <c r="S457" s="97" t="s">
        <v>2272</v>
      </c>
      <c r="T457" s="21" t="s">
        <v>2272</v>
      </c>
      <c r="U457" s="21" t="s">
        <v>2272</v>
      </c>
      <c r="V457" s="21" t="s">
        <v>2272</v>
      </c>
      <c r="W457" s="21" t="s">
        <v>2272</v>
      </c>
      <c r="X457" s="98" t="s">
        <v>2399</v>
      </c>
      <c r="Y457" s="3" t="s">
        <v>637</v>
      </c>
      <c r="Z457" s="3" t="s">
        <v>187</v>
      </c>
      <c r="AA457" s="3" t="s">
        <v>638</v>
      </c>
      <c r="AB457" s="4" t="s">
        <v>2007</v>
      </c>
      <c r="AC457" s="3"/>
    </row>
    <row r="458" spans="1:29"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2359</v>
      </c>
      <c r="K458" s="21" t="s">
        <v>2359</v>
      </c>
      <c r="L458" s="98" t="s">
        <v>2359</v>
      </c>
      <c r="M458" s="21" t="s">
        <v>2359</v>
      </c>
      <c r="N458" s="21" t="s">
        <v>2359</v>
      </c>
      <c r="O458" s="21" t="s">
        <v>2359</v>
      </c>
      <c r="P458" s="21" t="s">
        <v>2359</v>
      </c>
      <c r="Q458" s="21" t="s">
        <v>2359</v>
      </c>
      <c r="R458" s="97" t="s">
        <v>2272</v>
      </c>
      <c r="S458" s="97" t="s">
        <v>2272</v>
      </c>
      <c r="T458" s="21" t="s">
        <v>2359</v>
      </c>
      <c r="U458" s="21" t="s">
        <v>2359</v>
      </c>
      <c r="V458" s="21" t="s">
        <v>2359</v>
      </c>
      <c r="W458" s="21" t="s">
        <v>2359</v>
      </c>
      <c r="X458" s="21" t="s">
        <v>2272</v>
      </c>
      <c r="Y458" s="3" t="s">
        <v>2272</v>
      </c>
      <c r="Z458" s="3" t="s">
        <v>2272</v>
      </c>
      <c r="AA458" s="3" t="s">
        <v>2272</v>
      </c>
      <c r="AB458" s="4" t="s">
        <v>634</v>
      </c>
      <c r="AC458" s="3"/>
    </row>
    <row r="459" spans="1:29"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2272</v>
      </c>
      <c r="K459" s="21" t="s">
        <v>2272</v>
      </c>
      <c r="L459" s="98" t="s">
        <v>2272</v>
      </c>
      <c r="M459" s="21" t="s">
        <v>2272</v>
      </c>
      <c r="N459" s="21" t="s">
        <v>2272</v>
      </c>
      <c r="O459" s="21" t="s">
        <v>2272</v>
      </c>
      <c r="P459" s="21" t="s">
        <v>2272</v>
      </c>
      <c r="Q459" s="21" t="s">
        <v>2272</v>
      </c>
      <c r="R459" s="97" t="s">
        <v>2272</v>
      </c>
      <c r="S459" s="97" t="s">
        <v>2272</v>
      </c>
      <c r="T459" s="21" t="s">
        <v>2272</v>
      </c>
      <c r="U459" s="21" t="s">
        <v>2272</v>
      </c>
      <c r="V459" s="21" t="s">
        <v>2272</v>
      </c>
      <c r="W459" s="21" t="s">
        <v>2272</v>
      </c>
      <c r="X459" s="21" t="s">
        <v>2272</v>
      </c>
      <c r="Y459" s="3" t="s">
        <v>637</v>
      </c>
      <c r="Z459" s="3" t="s">
        <v>187</v>
      </c>
      <c r="AA459" s="3" t="s">
        <v>75</v>
      </c>
      <c r="AB459" s="4" t="s">
        <v>2008</v>
      </c>
      <c r="AC459" s="3"/>
    </row>
    <row r="460" spans="1:29"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2272</v>
      </c>
      <c r="K460" s="21" t="s">
        <v>2272</v>
      </c>
      <c r="L460" s="98" t="s">
        <v>2272</v>
      </c>
      <c r="M460" s="21" t="s">
        <v>2272</v>
      </c>
      <c r="N460" s="21" t="s">
        <v>2272</v>
      </c>
      <c r="O460" s="21" t="s">
        <v>2272</v>
      </c>
      <c r="P460" s="21" t="s">
        <v>2272</v>
      </c>
      <c r="Q460" s="21" t="s">
        <v>2272</v>
      </c>
      <c r="R460" s="97" t="s">
        <v>2272</v>
      </c>
      <c r="S460" s="97" t="s">
        <v>2272</v>
      </c>
      <c r="T460" s="21" t="s">
        <v>2272</v>
      </c>
      <c r="U460" s="21" t="s">
        <v>2272</v>
      </c>
      <c r="V460" s="21" t="s">
        <v>2272</v>
      </c>
      <c r="W460" s="21" t="s">
        <v>2272</v>
      </c>
      <c r="X460" s="21" t="s">
        <v>2272</v>
      </c>
      <c r="Y460" s="3" t="s">
        <v>403</v>
      </c>
      <c r="Z460" s="3" t="s">
        <v>403</v>
      </c>
      <c r="AA460" s="3" t="s">
        <v>75</v>
      </c>
      <c r="AB460" s="4" t="s">
        <v>644</v>
      </c>
      <c r="AC460" s="3"/>
    </row>
    <row r="461" spans="1:29"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77" t="s">
        <v>2272</v>
      </c>
      <c r="K461" s="77" t="s">
        <v>2272</v>
      </c>
      <c r="L461" s="107" t="s">
        <v>2272</v>
      </c>
      <c r="M461" s="77" t="s">
        <v>2272</v>
      </c>
      <c r="N461" s="77" t="s">
        <v>2272</v>
      </c>
      <c r="O461" s="77" t="s">
        <v>2272</v>
      </c>
      <c r="P461" s="77" t="s">
        <v>2272</v>
      </c>
      <c r="Q461" s="77" t="s">
        <v>2272</v>
      </c>
      <c r="R461" s="97" t="s">
        <v>2272</v>
      </c>
      <c r="S461" s="97" t="s">
        <v>2272</v>
      </c>
      <c r="T461" s="77" t="s">
        <v>2272</v>
      </c>
      <c r="U461" s="77" t="s">
        <v>2272</v>
      </c>
      <c r="V461" s="77" t="s">
        <v>2272</v>
      </c>
      <c r="W461" s="77" t="s">
        <v>2272</v>
      </c>
      <c r="X461" s="77" t="s">
        <v>2272</v>
      </c>
      <c r="Y461" s="3" t="s">
        <v>403</v>
      </c>
      <c r="Z461" s="3" t="s">
        <v>403</v>
      </c>
      <c r="AA461" s="3" t="s">
        <v>75</v>
      </c>
      <c r="AB461" s="4" t="s">
        <v>644</v>
      </c>
      <c r="AC461" s="3"/>
    </row>
    <row r="462" spans="1:29"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2272</v>
      </c>
      <c r="K462" s="21" t="s">
        <v>2272</v>
      </c>
      <c r="L462" s="98" t="s">
        <v>2272</v>
      </c>
      <c r="M462" s="21" t="s">
        <v>2272</v>
      </c>
      <c r="N462" s="21" t="s">
        <v>2272</v>
      </c>
      <c r="O462" s="21" t="s">
        <v>2272</v>
      </c>
      <c r="P462" s="21" t="s">
        <v>2272</v>
      </c>
      <c r="Q462" s="21" t="s">
        <v>2272</v>
      </c>
      <c r="R462" s="97" t="s">
        <v>2272</v>
      </c>
      <c r="S462" s="97" t="s">
        <v>2272</v>
      </c>
      <c r="T462" s="21" t="s">
        <v>2272</v>
      </c>
      <c r="U462" s="21" t="s">
        <v>2272</v>
      </c>
      <c r="V462" s="21" t="s">
        <v>2272</v>
      </c>
      <c r="W462" s="21" t="s">
        <v>2272</v>
      </c>
      <c r="X462" s="21" t="s">
        <v>2399</v>
      </c>
      <c r="Y462" s="3" t="s">
        <v>403</v>
      </c>
      <c r="Z462" s="3" t="s">
        <v>403</v>
      </c>
      <c r="AA462" s="3" t="s">
        <v>75</v>
      </c>
      <c r="AB462" s="4" t="s">
        <v>2011</v>
      </c>
      <c r="AC462" s="4" t="s">
        <v>2010</v>
      </c>
    </row>
    <row r="463" spans="1:29"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2272</v>
      </c>
      <c r="K463" s="21" t="s">
        <v>2272</v>
      </c>
      <c r="L463" s="98" t="s">
        <v>2272</v>
      </c>
      <c r="M463" s="21" t="s">
        <v>2272</v>
      </c>
      <c r="N463" s="21" t="s">
        <v>2272</v>
      </c>
      <c r="O463" s="21" t="s">
        <v>2272</v>
      </c>
      <c r="P463" s="21" t="s">
        <v>2272</v>
      </c>
      <c r="Q463" s="21" t="s">
        <v>2272</v>
      </c>
      <c r="R463" s="97" t="s">
        <v>2272</v>
      </c>
      <c r="S463" s="97" t="s">
        <v>2272</v>
      </c>
      <c r="T463" s="21" t="s">
        <v>2272</v>
      </c>
      <c r="U463" s="21" t="s">
        <v>2272</v>
      </c>
      <c r="V463" s="21" t="s">
        <v>2272</v>
      </c>
      <c r="W463" s="21" t="s">
        <v>2272</v>
      </c>
      <c r="X463" s="21" t="s">
        <v>2272</v>
      </c>
      <c r="Y463" s="3" t="s">
        <v>403</v>
      </c>
      <c r="Z463" s="3" t="s">
        <v>403</v>
      </c>
      <c r="AA463" s="3" t="s">
        <v>75</v>
      </c>
      <c r="AB463" s="4" t="s">
        <v>2012</v>
      </c>
      <c r="AC463" s="3"/>
    </row>
    <row r="464" spans="1:29"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2272</v>
      </c>
      <c r="K464" s="21" t="s">
        <v>2272</v>
      </c>
      <c r="L464" s="98" t="s">
        <v>2272</v>
      </c>
      <c r="M464" s="21" t="s">
        <v>2272</v>
      </c>
      <c r="N464" s="21" t="s">
        <v>2368</v>
      </c>
      <c r="O464" s="21" t="s">
        <v>2272</v>
      </c>
      <c r="P464" s="21" t="s">
        <v>2358</v>
      </c>
      <c r="Q464" s="21" t="s">
        <v>2272</v>
      </c>
      <c r="R464" s="97" t="s">
        <v>2272</v>
      </c>
      <c r="S464" s="97" t="s">
        <v>2272</v>
      </c>
      <c r="T464" s="21" t="s">
        <v>2272</v>
      </c>
      <c r="U464" s="21" t="s">
        <v>2272</v>
      </c>
      <c r="V464" s="21" t="s">
        <v>2272</v>
      </c>
      <c r="W464" s="21" t="s">
        <v>2272</v>
      </c>
      <c r="X464" s="21" t="s">
        <v>2397</v>
      </c>
      <c r="Y464" s="3" t="s">
        <v>2272</v>
      </c>
      <c r="Z464" s="3" t="s">
        <v>2272</v>
      </c>
      <c r="AA464" s="3" t="s">
        <v>2272</v>
      </c>
      <c r="AB464" s="3"/>
      <c r="AC464" s="4" t="s">
        <v>2014</v>
      </c>
    </row>
    <row r="465" spans="1:29"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2272</v>
      </c>
      <c r="K465" s="21" t="s">
        <v>2272</v>
      </c>
      <c r="L465" s="98" t="s">
        <v>2272</v>
      </c>
      <c r="M465" s="21" t="s">
        <v>2272</v>
      </c>
      <c r="N465" s="21" t="s">
        <v>2272</v>
      </c>
      <c r="O465" s="21" t="s">
        <v>2272</v>
      </c>
      <c r="P465" s="21" t="s">
        <v>2358</v>
      </c>
      <c r="Q465" s="21" t="s">
        <v>2272</v>
      </c>
      <c r="R465" s="97" t="s">
        <v>2272</v>
      </c>
      <c r="S465" s="97" t="s">
        <v>2272</v>
      </c>
      <c r="T465" s="21" t="s">
        <v>2272</v>
      </c>
      <c r="U465" s="21" t="s">
        <v>2272</v>
      </c>
      <c r="V465" s="21" t="s">
        <v>2272</v>
      </c>
      <c r="W465" s="21" t="s">
        <v>2272</v>
      </c>
      <c r="X465" s="21" t="s">
        <v>2272</v>
      </c>
      <c r="Y465" s="19" t="s">
        <v>186</v>
      </c>
      <c r="Z465" s="19" t="s">
        <v>187</v>
      </c>
      <c r="AA465" s="3" t="s">
        <v>63</v>
      </c>
      <c r="AB465" s="19" t="s">
        <v>663</v>
      </c>
      <c r="AC465" s="19" t="s">
        <v>2042</v>
      </c>
    </row>
    <row r="466" spans="1:29"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2359</v>
      </c>
      <c r="K466" s="21" t="s">
        <v>2359</v>
      </c>
      <c r="L466" s="98" t="s">
        <v>2359</v>
      </c>
      <c r="M466" s="21" t="s">
        <v>2359</v>
      </c>
      <c r="N466" s="21" t="s">
        <v>2359</v>
      </c>
      <c r="O466" s="21" t="s">
        <v>2359</v>
      </c>
      <c r="P466" s="21" t="s">
        <v>2359</v>
      </c>
      <c r="Q466" s="21" t="s">
        <v>2359</v>
      </c>
      <c r="R466" s="97" t="s">
        <v>2272</v>
      </c>
      <c r="S466" s="97" t="s">
        <v>2272</v>
      </c>
      <c r="T466" s="21" t="s">
        <v>2359</v>
      </c>
      <c r="U466" s="21" t="s">
        <v>2359</v>
      </c>
      <c r="V466" s="21" t="s">
        <v>2359</v>
      </c>
      <c r="W466" s="21" t="s">
        <v>2359</v>
      </c>
      <c r="X466" s="21" t="s">
        <v>2272</v>
      </c>
      <c r="Y466" s="3" t="s">
        <v>2272</v>
      </c>
      <c r="Z466" s="3" t="s">
        <v>2272</v>
      </c>
      <c r="AA466" s="3" t="s">
        <v>2272</v>
      </c>
      <c r="AB466" s="4" t="s">
        <v>2017</v>
      </c>
      <c r="AC466" s="3"/>
    </row>
    <row r="467" spans="1:29"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2272</v>
      </c>
      <c r="K467" s="21" t="s">
        <v>2272</v>
      </c>
      <c r="L467" s="98" t="s">
        <v>2272</v>
      </c>
      <c r="M467" s="21" t="s">
        <v>2272</v>
      </c>
      <c r="N467" s="21" t="s">
        <v>2272</v>
      </c>
      <c r="O467" s="21" t="s">
        <v>2272</v>
      </c>
      <c r="P467" s="21" t="s">
        <v>2358</v>
      </c>
      <c r="Q467" s="21" t="s">
        <v>2272</v>
      </c>
      <c r="R467" s="97" t="s">
        <v>2272</v>
      </c>
      <c r="S467" s="97" t="s">
        <v>2272</v>
      </c>
      <c r="T467" s="21" t="s">
        <v>2272</v>
      </c>
      <c r="U467" s="21" t="s">
        <v>2272</v>
      </c>
      <c r="V467" s="21" t="s">
        <v>2272</v>
      </c>
      <c r="W467" s="21" t="s">
        <v>2272</v>
      </c>
      <c r="X467" s="21" t="s">
        <v>2272</v>
      </c>
      <c r="Y467" s="19" t="s">
        <v>186</v>
      </c>
      <c r="Z467" s="19" t="s">
        <v>37</v>
      </c>
      <c r="AA467" s="3" t="s">
        <v>2272</v>
      </c>
      <c r="AB467" s="4" t="s">
        <v>2019</v>
      </c>
      <c r="AC467" s="19" t="s">
        <v>2042</v>
      </c>
    </row>
    <row r="468" spans="1:29"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2272</v>
      </c>
      <c r="K468" s="21" t="s">
        <v>2272</v>
      </c>
      <c r="L468" s="98" t="s">
        <v>2272</v>
      </c>
      <c r="M468" s="21" t="s">
        <v>2272</v>
      </c>
      <c r="N468" s="21" t="s">
        <v>2272</v>
      </c>
      <c r="O468" s="21" t="s">
        <v>2272</v>
      </c>
      <c r="P468" s="21" t="s">
        <v>2272</v>
      </c>
      <c r="Q468" s="21" t="s">
        <v>2272</v>
      </c>
      <c r="R468" s="97" t="s">
        <v>2272</v>
      </c>
      <c r="S468" s="97" t="s">
        <v>2272</v>
      </c>
      <c r="T468" s="21" t="s">
        <v>2272</v>
      </c>
      <c r="U468" s="21" t="s">
        <v>2272</v>
      </c>
      <c r="V468" s="21" t="s">
        <v>2272</v>
      </c>
      <c r="W468" s="21" t="s">
        <v>2272</v>
      </c>
      <c r="X468" s="21" t="s">
        <v>2397</v>
      </c>
      <c r="Y468" s="3" t="s">
        <v>668</v>
      </c>
      <c r="Z468" s="3" t="s">
        <v>37</v>
      </c>
      <c r="AA468" s="3" t="s">
        <v>63</v>
      </c>
      <c r="AB468" s="4" t="s">
        <v>669</v>
      </c>
      <c r="AC468" s="4" t="s">
        <v>670</v>
      </c>
    </row>
    <row r="469" spans="1:29"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2272</v>
      </c>
      <c r="K469" s="21" t="s">
        <v>2272</v>
      </c>
      <c r="L469" s="98" t="s">
        <v>2272</v>
      </c>
      <c r="M469" s="21" t="s">
        <v>2272</v>
      </c>
      <c r="N469" s="21" t="s">
        <v>2272</v>
      </c>
      <c r="O469" s="21" t="s">
        <v>2272</v>
      </c>
      <c r="P469" s="21" t="s">
        <v>2272</v>
      </c>
      <c r="Q469" s="21" t="s">
        <v>2272</v>
      </c>
      <c r="R469" s="97" t="s">
        <v>2272</v>
      </c>
      <c r="S469" s="97" t="s">
        <v>2272</v>
      </c>
      <c r="T469" s="21" t="s">
        <v>2272</v>
      </c>
      <c r="U469" s="21" t="s">
        <v>2272</v>
      </c>
      <c r="V469" s="21" t="s">
        <v>2272</v>
      </c>
      <c r="W469" s="21" t="s">
        <v>2272</v>
      </c>
      <c r="X469" s="21" t="s">
        <v>2841</v>
      </c>
      <c r="Y469" s="3" t="s">
        <v>2272</v>
      </c>
      <c r="Z469" s="3" t="s">
        <v>2272</v>
      </c>
      <c r="AA469" s="3" t="s">
        <v>2272</v>
      </c>
      <c r="AB469" s="4" t="s">
        <v>2021</v>
      </c>
      <c r="AC469" s="3" t="s">
        <v>580</v>
      </c>
    </row>
    <row r="470" spans="1:29"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2272</v>
      </c>
      <c r="K470" s="21" t="s">
        <v>2272</v>
      </c>
      <c r="L470" s="98" t="s">
        <v>2272</v>
      </c>
      <c r="M470" s="21" t="s">
        <v>2272</v>
      </c>
      <c r="N470" s="21" t="s">
        <v>2272</v>
      </c>
      <c r="O470" s="21" t="s">
        <v>2272</v>
      </c>
      <c r="P470" s="21" t="s">
        <v>2272</v>
      </c>
      <c r="Q470" s="21" t="s">
        <v>2272</v>
      </c>
      <c r="R470" s="97" t="s">
        <v>2272</v>
      </c>
      <c r="S470" s="97" t="s">
        <v>2272</v>
      </c>
      <c r="T470" s="21" t="s">
        <v>2272</v>
      </c>
      <c r="U470" s="21" t="s">
        <v>2272</v>
      </c>
      <c r="V470" s="21" t="s">
        <v>2272</v>
      </c>
      <c r="W470" s="21" t="s">
        <v>2272</v>
      </c>
      <c r="X470" s="21" t="s">
        <v>2399</v>
      </c>
      <c r="Y470" s="3" t="s">
        <v>2272</v>
      </c>
      <c r="Z470" s="3" t="s">
        <v>2272</v>
      </c>
      <c r="AA470" s="3" t="s">
        <v>2272</v>
      </c>
      <c r="AB470" s="4" t="s">
        <v>2021</v>
      </c>
      <c r="AC470" s="3" t="s">
        <v>580</v>
      </c>
    </row>
    <row r="471" spans="1:29"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2272</v>
      </c>
      <c r="K471" s="21" t="s">
        <v>2272</v>
      </c>
      <c r="L471" s="98" t="s">
        <v>2272</v>
      </c>
      <c r="M471" s="21" t="s">
        <v>2272</v>
      </c>
      <c r="N471" s="21" t="s">
        <v>2272</v>
      </c>
      <c r="O471" s="21" t="s">
        <v>2272</v>
      </c>
      <c r="P471" s="21" t="s">
        <v>2272</v>
      </c>
      <c r="Q471" s="21" t="s">
        <v>2272</v>
      </c>
      <c r="R471" s="97" t="s">
        <v>2272</v>
      </c>
      <c r="S471" s="97" t="s">
        <v>2272</v>
      </c>
      <c r="T471" s="21" t="s">
        <v>2272</v>
      </c>
      <c r="U471" s="21" t="s">
        <v>2272</v>
      </c>
      <c r="V471" s="21" t="s">
        <v>2272</v>
      </c>
      <c r="W471" s="21" t="s">
        <v>2272</v>
      </c>
      <c r="X471" s="21" t="s">
        <v>2397</v>
      </c>
      <c r="Y471" s="3" t="s">
        <v>2272</v>
      </c>
      <c r="Z471" s="3" t="s">
        <v>2272</v>
      </c>
      <c r="AA471" s="3" t="s">
        <v>2272</v>
      </c>
      <c r="AB471" s="4" t="s">
        <v>2021</v>
      </c>
      <c r="AC471" s="3" t="s">
        <v>580</v>
      </c>
    </row>
    <row r="472" spans="1:29"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2272</v>
      </c>
      <c r="K472" s="21" t="s">
        <v>2272</v>
      </c>
      <c r="L472" s="98" t="s">
        <v>2272</v>
      </c>
      <c r="M472" s="21" t="s">
        <v>2272</v>
      </c>
      <c r="N472" s="21" t="s">
        <v>2272</v>
      </c>
      <c r="O472" s="21" t="s">
        <v>2272</v>
      </c>
      <c r="P472" s="21" t="s">
        <v>2368</v>
      </c>
      <c r="Q472" s="21" t="s">
        <v>2272</v>
      </c>
      <c r="R472" s="97" t="s">
        <v>2272</v>
      </c>
      <c r="S472" s="97" t="s">
        <v>2272</v>
      </c>
      <c r="T472" s="21" t="s">
        <v>2272</v>
      </c>
      <c r="U472" s="21" t="s">
        <v>2272</v>
      </c>
      <c r="V472" s="21" t="s">
        <v>2272</v>
      </c>
      <c r="W472" s="21" t="s">
        <v>2272</v>
      </c>
      <c r="X472" s="21" t="s">
        <v>2397</v>
      </c>
      <c r="Y472" s="3" t="s">
        <v>2272</v>
      </c>
      <c r="Z472" s="3" t="s">
        <v>2272</v>
      </c>
      <c r="AA472" s="3" t="s">
        <v>2272</v>
      </c>
      <c r="AB472" s="4"/>
      <c r="AC472" s="4" t="s">
        <v>2412</v>
      </c>
    </row>
    <row r="473" spans="1:29"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2359</v>
      </c>
      <c r="K473" s="21" t="s">
        <v>2359</v>
      </c>
      <c r="L473" s="98" t="s">
        <v>2359</v>
      </c>
      <c r="M473" s="21" t="s">
        <v>2359</v>
      </c>
      <c r="N473" s="21" t="s">
        <v>2359</v>
      </c>
      <c r="O473" s="21" t="s">
        <v>2359</v>
      </c>
      <c r="P473" s="21" t="s">
        <v>2359</v>
      </c>
      <c r="Q473" s="21" t="s">
        <v>2359</v>
      </c>
      <c r="R473" s="97" t="s">
        <v>2272</v>
      </c>
      <c r="S473" s="97" t="s">
        <v>2272</v>
      </c>
      <c r="T473" s="21" t="s">
        <v>2359</v>
      </c>
      <c r="U473" s="21" t="s">
        <v>2359</v>
      </c>
      <c r="V473" s="21" t="s">
        <v>2359</v>
      </c>
      <c r="W473" s="21" t="s">
        <v>2359</v>
      </c>
      <c r="X473" s="21" t="s">
        <v>2272</v>
      </c>
      <c r="Y473" s="3" t="s">
        <v>2272</v>
      </c>
      <c r="Z473" s="3" t="s">
        <v>2272</v>
      </c>
      <c r="AA473" s="3" t="s">
        <v>2272</v>
      </c>
      <c r="AB473" s="4" t="s">
        <v>2022</v>
      </c>
      <c r="AC473" s="4"/>
    </row>
    <row r="474" spans="1:29"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2272</v>
      </c>
      <c r="K474" s="21" t="s">
        <v>2272</v>
      </c>
      <c r="L474" s="98" t="s">
        <v>2272</v>
      </c>
      <c r="M474" s="21" t="s">
        <v>2272</v>
      </c>
      <c r="N474" s="21" t="s">
        <v>2272</v>
      </c>
      <c r="O474" s="21" t="s">
        <v>2272</v>
      </c>
      <c r="P474" s="21" t="s">
        <v>2368</v>
      </c>
      <c r="Q474" s="21" t="s">
        <v>2272</v>
      </c>
      <c r="R474" s="97" t="s">
        <v>2272</v>
      </c>
      <c r="S474" s="97" t="s">
        <v>2272</v>
      </c>
      <c r="T474" s="21" t="s">
        <v>2272</v>
      </c>
      <c r="U474" s="21" t="s">
        <v>2272</v>
      </c>
      <c r="V474" s="21" t="s">
        <v>2272</v>
      </c>
      <c r="W474" s="21" t="s">
        <v>2272</v>
      </c>
      <c r="X474" s="21" t="s">
        <v>2398</v>
      </c>
      <c r="Y474" s="3" t="s">
        <v>2272</v>
      </c>
      <c r="Z474" s="3" t="s">
        <v>2272</v>
      </c>
      <c r="AA474" s="3" t="s">
        <v>2272</v>
      </c>
      <c r="AB474" s="4"/>
      <c r="AC474" s="4" t="s">
        <v>2412</v>
      </c>
    </row>
    <row r="475" spans="1:29"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2272</v>
      </c>
      <c r="K475" s="21" t="s">
        <v>2272</v>
      </c>
      <c r="L475" s="98" t="s">
        <v>2272</v>
      </c>
      <c r="M475" s="21" t="s">
        <v>2272</v>
      </c>
      <c r="N475" s="21" t="s">
        <v>2272</v>
      </c>
      <c r="O475" s="21" t="s">
        <v>2272</v>
      </c>
      <c r="P475" s="21" t="s">
        <v>2272</v>
      </c>
      <c r="Q475" s="21" t="s">
        <v>2272</v>
      </c>
      <c r="R475" s="97" t="s">
        <v>2272</v>
      </c>
      <c r="S475" s="97" t="s">
        <v>2272</v>
      </c>
      <c r="T475" s="21" t="s">
        <v>2272</v>
      </c>
      <c r="U475" s="21" t="s">
        <v>2272</v>
      </c>
      <c r="V475" s="21" t="s">
        <v>2272</v>
      </c>
      <c r="W475" s="21" t="s">
        <v>2272</v>
      </c>
      <c r="X475" s="21" t="s">
        <v>2272</v>
      </c>
      <c r="Y475" s="3" t="s">
        <v>668</v>
      </c>
      <c r="Z475" s="3" t="s">
        <v>37</v>
      </c>
      <c r="AA475" s="3" t="s">
        <v>63</v>
      </c>
      <c r="AB475" s="19" t="s">
        <v>2025</v>
      </c>
      <c r="AC475" s="3"/>
    </row>
    <row r="476" spans="1:29"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2272</v>
      </c>
      <c r="K476" s="21" t="s">
        <v>2272</v>
      </c>
      <c r="L476" s="98" t="s">
        <v>2272</v>
      </c>
      <c r="M476" s="21" t="s">
        <v>2272</v>
      </c>
      <c r="N476" s="21" t="s">
        <v>2272</v>
      </c>
      <c r="O476" s="21" t="s">
        <v>2272</v>
      </c>
      <c r="P476" s="21" t="s">
        <v>2272</v>
      </c>
      <c r="Q476" s="21" t="s">
        <v>2272</v>
      </c>
      <c r="R476" s="97" t="s">
        <v>2272</v>
      </c>
      <c r="S476" s="97" t="s">
        <v>2272</v>
      </c>
      <c r="T476" s="21" t="s">
        <v>2272</v>
      </c>
      <c r="U476" s="21" t="s">
        <v>2272</v>
      </c>
      <c r="V476" s="21" t="s">
        <v>2272</v>
      </c>
      <c r="W476" s="21" t="s">
        <v>2272</v>
      </c>
      <c r="X476" s="21" t="s">
        <v>2272</v>
      </c>
      <c r="Y476" s="3" t="s">
        <v>668</v>
      </c>
      <c r="Z476" s="3" t="s">
        <v>37</v>
      </c>
      <c r="AA476" s="3" t="s">
        <v>63</v>
      </c>
      <c r="AB476" s="19" t="s">
        <v>2025</v>
      </c>
      <c r="AC476" s="3"/>
    </row>
    <row r="477" spans="1:29"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2272</v>
      </c>
      <c r="K477" s="21" t="s">
        <v>2272</v>
      </c>
      <c r="L477" s="98" t="s">
        <v>2272</v>
      </c>
      <c r="M477" s="21" t="s">
        <v>2272</v>
      </c>
      <c r="N477" s="21" t="s">
        <v>2272</v>
      </c>
      <c r="O477" s="21" t="s">
        <v>2272</v>
      </c>
      <c r="P477" s="21" t="s">
        <v>2272</v>
      </c>
      <c r="Q477" s="21" t="s">
        <v>2272</v>
      </c>
      <c r="R477" s="97" t="s">
        <v>2272</v>
      </c>
      <c r="S477" s="97" t="s">
        <v>2272</v>
      </c>
      <c r="T477" s="21" t="s">
        <v>2272</v>
      </c>
      <c r="U477" s="21" t="s">
        <v>2272</v>
      </c>
      <c r="V477" s="21" t="s">
        <v>2272</v>
      </c>
      <c r="W477" s="21" t="s">
        <v>2272</v>
      </c>
      <c r="X477" s="21" t="s">
        <v>2272</v>
      </c>
      <c r="Y477" s="3" t="s">
        <v>668</v>
      </c>
      <c r="Z477" s="3" t="s">
        <v>37</v>
      </c>
      <c r="AA477" s="3" t="s">
        <v>63</v>
      </c>
      <c r="AB477" s="19" t="s">
        <v>2025</v>
      </c>
      <c r="AC477" s="3"/>
    </row>
    <row r="478" spans="1:29"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2272</v>
      </c>
      <c r="K478" s="21" t="s">
        <v>2272</v>
      </c>
      <c r="L478" s="98" t="s">
        <v>2272</v>
      </c>
      <c r="M478" s="21" t="s">
        <v>2272</v>
      </c>
      <c r="N478" s="21" t="s">
        <v>2272</v>
      </c>
      <c r="O478" s="21" t="s">
        <v>2272</v>
      </c>
      <c r="P478" s="21" t="s">
        <v>2272</v>
      </c>
      <c r="Q478" s="21" t="s">
        <v>2272</v>
      </c>
      <c r="R478" s="97" t="s">
        <v>2272</v>
      </c>
      <c r="S478" s="97" t="s">
        <v>2272</v>
      </c>
      <c r="T478" s="21" t="s">
        <v>2272</v>
      </c>
      <c r="U478" s="21" t="s">
        <v>2272</v>
      </c>
      <c r="V478" s="21" t="s">
        <v>2272</v>
      </c>
      <c r="W478" s="21" t="s">
        <v>2272</v>
      </c>
      <c r="X478" s="21" t="s">
        <v>2272</v>
      </c>
      <c r="Y478" s="3" t="s">
        <v>668</v>
      </c>
      <c r="Z478" s="3" t="s">
        <v>37</v>
      </c>
      <c r="AA478" s="3" t="s">
        <v>63</v>
      </c>
      <c r="AB478" s="19" t="s">
        <v>2025</v>
      </c>
      <c r="AC478" s="3"/>
    </row>
    <row r="479" spans="1:29"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2272</v>
      </c>
      <c r="K479" s="21" t="s">
        <v>2272</v>
      </c>
      <c r="L479" s="98" t="s">
        <v>2272</v>
      </c>
      <c r="M479" s="21" t="s">
        <v>2272</v>
      </c>
      <c r="N479" s="21" t="s">
        <v>2272</v>
      </c>
      <c r="O479" s="21" t="s">
        <v>2272</v>
      </c>
      <c r="P479" s="21" t="s">
        <v>2272</v>
      </c>
      <c r="Q479" s="21" t="s">
        <v>2272</v>
      </c>
      <c r="R479" s="97" t="s">
        <v>2272</v>
      </c>
      <c r="S479" s="97" t="s">
        <v>2272</v>
      </c>
      <c r="T479" s="21" t="s">
        <v>2272</v>
      </c>
      <c r="U479" s="21" t="s">
        <v>2272</v>
      </c>
      <c r="V479" s="21" t="s">
        <v>2272</v>
      </c>
      <c r="W479" s="21" t="s">
        <v>2272</v>
      </c>
      <c r="X479" s="21" t="s">
        <v>2272</v>
      </c>
      <c r="Y479" s="3" t="s">
        <v>668</v>
      </c>
      <c r="Z479" s="3" t="s">
        <v>37</v>
      </c>
      <c r="AA479" s="3" t="s">
        <v>63</v>
      </c>
      <c r="AB479" s="19" t="s">
        <v>2025</v>
      </c>
      <c r="AC479" s="3"/>
    </row>
    <row r="480" spans="1:29"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2272</v>
      </c>
      <c r="K480" s="21" t="s">
        <v>2272</v>
      </c>
      <c r="L480" s="98" t="s">
        <v>2272</v>
      </c>
      <c r="M480" s="21" t="s">
        <v>2272</v>
      </c>
      <c r="N480" s="21" t="s">
        <v>2272</v>
      </c>
      <c r="O480" s="21" t="s">
        <v>2272</v>
      </c>
      <c r="P480" s="21" t="s">
        <v>2272</v>
      </c>
      <c r="Q480" s="21" t="s">
        <v>2272</v>
      </c>
      <c r="R480" s="97" t="s">
        <v>2272</v>
      </c>
      <c r="S480" s="97" t="s">
        <v>2272</v>
      </c>
      <c r="T480" s="21" t="s">
        <v>2272</v>
      </c>
      <c r="U480" s="21" t="s">
        <v>2272</v>
      </c>
      <c r="V480" s="21" t="s">
        <v>2272</v>
      </c>
      <c r="W480" s="21" t="s">
        <v>2272</v>
      </c>
      <c r="X480" s="21" t="s">
        <v>2272</v>
      </c>
      <c r="Y480" s="3" t="s">
        <v>668</v>
      </c>
      <c r="Z480" s="3" t="s">
        <v>37</v>
      </c>
      <c r="AA480" s="3" t="s">
        <v>63</v>
      </c>
      <c r="AB480" s="19" t="s">
        <v>2025</v>
      </c>
      <c r="AC480" s="3"/>
    </row>
    <row r="481" spans="1:29"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2272</v>
      </c>
      <c r="K481" s="21" t="s">
        <v>2272</v>
      </c>
      <c r="L481" s="98" t="s">
        <v>2272</v>
      </c>
      <c r="M481" s="21" t="s">
        <v>2272</v>
      </c>
      <c r="N481" s="21" t="s">
        <v>2272</v>
      </c>
      <c r="O481" s="21" t="s">
        <v>2272</v>
      </c>
      <c r="P481" s="21" t="s">
        <v>2272</v>
      </c>
      <c r="Q481" s="21" t="s">
        <v>2272</v>
      </c>
      <c r="R481" s="97" t="s">
        <v>2272</v>
      </c>
      <c r="S481" s="97" t="s">
        <v>2272</v>
      </c>
      <c r="T481" s="21" t="s">
        <v>2371</v>
      </c>
      <c r="U481" s="21" t="s">
        <v>2272</v>
      </c>
      <c r="V481" s="21" t="s">
        <v>2272</v>
      </c>
      <c r="W481" s="21" t="s">
        <v>2272</v>
      </c>
      <c r="X481" s="21" t="s">
        <v>2272</v>
      </c>
      <c r="Y481" s="3" t="s">
        <v>2272</v>
      </c>
      <c r="Z481" s="3" t="s">
        <v>2272</v>
      </c>
      <c r="AA481" s="3" t="s">
        <v>2272</v>
      </c>
      <c r="AB481" s="4" t="s">
        <v>751</v>
      </c>
      <c r="AC481" s="4" t="s">
        <v>2026</v>
      </c>
    </row>
    <row r="482" spans="1:29"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2359</v>
      </c>
      <c r="K482" s="21" t="s">
        <v>2359</v>
      </c>
      <c r="L482" s="98" t="s">
        <v>2359</v>
      </c>
      <c r="M482" s="21" t="s">
        <v>2359</v>
      </c>
      <c r="N482" s="21" t="s">
        <v>2359</v>
      </c>
      <c r="O482" s="21" t="s">
        <v>2359</v>
      </c>
      <c r="P482" s="21" t="s">
        <v>2359</v>
      </c>
      <c r="Q482" s="21" t="s">
        <v>2359</v>
      </c>
      <c r="R482" s="21" t="s">
        <v>2359</v>
      </c>
      <c r="S482" s="21" t="s">
        <v>2359</v>
      </c>
      <c r="T482" s="21" t="s">
        <v>2359</v>
      </c>
      <c r="U482" s="21" t="s">
        <v>2359</v>
      </c>
      <c r="V482" s="21" t="s">
        <v>2359</v>
      </c>
      <c r="W482" s="21" t="s">
        <v>2359</v>
      </c>
      <c r="X482" s="21" t="s">
        <v>2272</v>
      </c>
      <c r="Y482" s="3" t="s">
        <v>2272</v>
      </c>
      <c r="Z482" s="3" t="s">
        <v>2272</v>
      </c>
      <c r="AA482" s="3" t="s">
        <v>2272</v>
      </c>
      <c r="AB482" s="4" t="s">
        <v>707</v>
      </c>
      <c r="AC482" s="3"/>
    </row>
    <row r="483" spans="1:29"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2272</v>
      </c>
      <c r="K483" s="21" t="s">
        <v>2272</v>
      </c>
      <c r="L483" s="98" t="s">
        <v>2272</v>
      </c>
      <c r="M483" s="21" t="s">
        <v>2272</v>
      </c>
      <c r="N483" s="21" t="s">
        <v>2272</v>
      </c>
      <c r="O483" s="21" t="s">
        <v>2272</v>
      </c>
      <c r="P483" s="21" t="s">
        <v>2272</v>
      </c>
      <c r="Q483" s="21" t="s">
        <v>2272</v>
      </c>
      <c r="R483" s="97" t="s">
        <v>2272</v>
      </c>
      <c r="S483" s="97" t="s">
        <v>2272</v>
      </c>
      <c r="T483" s="21" t="s">
        <v>2371</v>
      </c>
      <c r="U483" s="21" t="s">
        <v>2272</v>
      </c>
      <c r="V483" s="21" t="s">
        <v>2272</v>
      </c>
      <c r="W483" s="21" t="s">
        <v>2272</v>
      </c>
      <c r="X483" s="21" t="s">
        <v>2272</v>
      </c>
      <c r="Y483" s="3" t="s">
        <v>2272</v>
      </c>
      <c r="Z483" s="3" t="s">
        <v>2272</v>
      </c>
      <c r="AA483" s="3" t="s">
        <v>2272</v>
      </c>
      <c r="AB483" s="4" t="s">
        <v>751</v>
      </c>
      <c r="AC483" s="4" t="s">
        <v>2026</v>
      </c>
    </row>
    <row r="484" spans="1:29"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2359</v>
      </c>
      <c r="K484" s="21" t="s">
        <v>2359</v>
      </c>
      <c r="L484" s="98" t="s">
        <v>2359</v>
      </c>
      <c r="M484" s="21" t="s">
        <v>2359</v>
      </c>
      <c r="N484" s="21" t="s">
        <v>2359</v>
      </c>
      <c r="O484" s="21" t="s">
        <v>2359</v>
      </c>
      <c r="P484" s="21" t="s">
        <v>2359</v>
      </c>
      <c r="Q484" s="21" t="s">
        <v>2359</v>
      </c>
      <c r="R484" s="21" t="s">
        <v>2359</v>
      </c>
      <c r="S484" s="21" t="s">
        <v>2359</v>
      </c>
      <c r="T484" s="21" t="s">
        <v>2359</v>
      </c>
      <c r="U484" s="21" t="s">
        <v>2359</v>
      </c>
      <c r="V484" s="21" t="s">
        <v>2359</v>
      </c>
      <c r="W484" s="21" t="s">
        <v>2359</v>
      </c>
      <c r="X484" s="70" t="s">
        <v>2272</v>
      </c>
      <c r="Y484" s="3" t="s">
        <v>2272</v>
      </c>
      <c r="Z484" s="3" t="s">
        <v>2272</v>
      </c>
      <c r="AA484" s="3" t="s">
        <v>2272</v>
      </c>
      <c r="AB484" s="4" t="s">
        <v>707</v>
      </c>
      <c r="AC484" s="3"/>
    </row>
    <row r="485" spans="1:29"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2272</v>
      </c>
      <c r="K485" s="21" t="s">
        <v>2272</v>
      </c>
      <c r="L485" s="98" t="s">
        <v>2272</v>
      </c>
      <c r="M485" s="21" t="s">
        <v>2272</v>
      </c>
      <c r="N485" s="21" t="s">
        <v>2272</v>
      </c>
      <c r="O485" s="21" t="s">
        <v>2272</v>
      </c>
      <c r="P485" s="21" t="s">
        <v>2272</v>
      </c>
      <c r="Q485" s="21" t="s">
        <v>2272</v>
      </c>
      <c r="R485" s="97" t="s">
        <v>2272</v>
      </c>
      <c r="S485" s="97" t="s">
        <v>2272</v>
      </c>
      <c r="T485" s="21" t="s">
        <v>2371</v>
      </c>
      <c r="U485" s="21" t="s">
        <v>2272</v>
      </c>
      <c r="V485" s="21" t="s">
        <v>2272</v>
      </c>
      <c r="W485" s="21" t="s">
        <v>2272</v>
      </c>
      <c r="X485" s="21" t="s">
        <v>2272</v>
      </c>
      <c r="Y485" s="3" t="s">
        <v>2272</v>
      </c>
      <c r="Z485" s="3" t="s">
        <v>2272</v>
      </c>
      <c r="AA485" s="3" t="s">
        <v>2272</v>
      </c>
      <c r="AB485" s="4" t="s">
        <v>751</v>
      </c>
      <c r="AC485" s="4" t="s">
        <v>2026</v>
      </c>
    </row>
    <row r="486" spans="1:29"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2359</v>
      </c>
      <c r="K486" s="21" t="s">
        <v>2359</v>
      </c>
      <c r="L486" s="98" t="s">
        <v>2359</v>
      </c>
      <c r="M486" s="21" t="s">
        <v>2359</v>
      </c>
      <c r="N486" s="21" t="s">
        <v>2359</v>
      </c>
      <c r="O486" s="21" t="s">
        <v>2359</v>
      </c>
      <c r="P486" s="21" t="s">
        <v>2359</v>
      </c>
      <c r="Q486" s="21" t="s">
        <v>2359</v>
      </c>
      <c r="R486" s="21" t="s">
        <v>2359</v>
      </c>
      <c r="S486" s="21" t="s">
        <v>2359</v>
      </c>
      <c r="T486" s="21" t="s">
        <v>2359</v>
      </c>
      <c r="U486" s="21" t="s">
        <v>2359</v>
      </c>
      <c r="V486" s="21" t="s">
        <v>2359</v>
      </c>
      <c r="W486" s="21" t="s">
        <v>2359</v>
      </c>
      <c r="X486" s="70" t="s">
        <v>2272</v>
      </c>
      <c r="Y486" s="3" t="s">
        <v>2272</v>
      </c>
      <c r="Z486" s="3" t="s">
        <v>2272</v>
      </c>
      <c r="AA486" s="3" t="s">
        <v>2272</v>
      </c>
      <c r="AB486" s="4" t="s">
        <v>707</v>
      </c>
      <c r="AC486" s="3"/>
    </row>
    <row r="487" spans="1:29"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2272</v>
      </c>
      <c r="K487" s="21" t="s">
        <v>2272</v>
      </c>
      <c r="L487" s="98" t="s">
        <v>2272</v>
      </c>
      <c r="M487" s="21" t="s">
        <v>2272</v>
      </c>
      <c r="N487" s="21" t="s">
        <v>2272</v>
      </c>
      <c r="O487" s="21" t="s">
        <v>2272</v>
      </c>
      <c r="P487" s="21" t="s">
        <v>2272</v>
      </c>
      <c r="Q487" s="21" t="s">
        <v>2272</v>
      </c>
      <c r="R487" s="97" t="s">
        <v>2272</v>
      </c>
      <c r="S487" s="97" t="s">
        <v>2272</v>
      </c>
      <c r="T487" s="21" t="s">
        <v>2369</v>
      </c>
      <c r="U487" s="21" t="s">
        <v>2272</v>
      </c>
      <c r="V487" s="21" t="s">
        <v>2272</v>
      </c>
      <c r="W487" s="21" t="s">
        <v>2272</v>
      </c>
      <c r="X487" s="70" t="s">
        <v>2398</v>
      </c>
      <c r="Y487" s="3" t="s">
        <v>2272</v>
      </c>
      <c r="Z487" s="3" t="s">
        <v>2272</v>
      </c>
      <c r="AA487" s="3" t="s">
        <v>2272</v>
      </c>
      <c r="AB487" s="3" t="s">
        <v>715</v>
      </c>
      <c r="AC487" s="4" t="s">
        <v>2027</v>
      </c>
    </row>
    <row r="488" spans="1:29"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2359</v>
      </c>
      <c r="K488" s="21" t="s">
        <v>2359</v>
      </c>
      <c r="L488" s="98" t="s">
        <v>2359</v>
      </c>
      <c r="M488" s="21" t="s">
        <v>2359</v>
      </c>
      <c r="N488" s="21" t="s">
        <v>2359</v>
      </c>
      <c r="O488" s="21" t="s">
        <v>2359</v>
      </c>
      <c r="P488" s="21" t="s">
        <v>2359</v>
      </c>
      <c r="Q488" s="21" t="s">
        <v>2359</v>
      </c>
      <c r="R488" s="21" t="s">
        <v>2359</v>
      </c>
      <c r="S488" s="21" t="s">
        <v>2359</v>
      </c>
      <c r="T488" s="21" t="s">
        <v>2359</v>
      </c>
      <c r="U488" s="21" t="s">
        <v>2359</v>
      </c>
      <c r="V488" s="21" t="s">
        <v>2359</v>
      </c>
      <c r="W488" s="21" t="s">
        <v>2359</v>
      </c>
      <c r="X488" s="70" t="s">
        <v>2272</v>
      </c>
      <c r="Y488" s="3" t="s">
        <v>2272</v>
      </c>
      <c r="Z488" s="3" t="s">
        <v>2272</v>
      </c>
      <c r="AA488" s="3" t="s">
        <v>2272</v>
      </c>
      <c r="AB488" s="3" t="s">
        <v>743</v>
      </c>
      <c r="AC488" s="3"/>
    </row>
    <row r="489" spans="1:29"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2272</v>
      </c>
      <c r="K489" s="21" t="s">
        <v>2272</v>
      </c>
      <c r="L489" s="98" t="s">
        <v>2272</v>
      </c>
      <c r="M489" s="21" t="s">
        <v>2272</v>
      </c>
      <c r="N489" s="21" t="s">
        <v>2272</v>
      </c>
      <c r="O489" s="21" t="s">
        <v>2272</v>
      </c>
      <c r="P489" s="21" t="s">
        <v>2272</v>
      </c>
      <c r="Q489" s="21" t="s">
        <v>2272</v>
      </c>
      <c r="R489" s="97" t="s">
        <v>2272</v>
      </c>
      <c r="S489" s="97" t="s">
        <v>2272</v>
      </c>
      <c r="T489" s="21" t="s">
        <v>2369</v>
      </c>
      <c r="U489" s="21" t="s">
        <v>2272</v>
      </c>
      <c r="V489" s="21" t="s">
        <v>2272</v>
      </c>
      <c r="W489" s="21" t="s">
        <v>2272</v>
      </c>
      <c r="X489" s="21" t="s">
        <v>2398</v>
      </c>
      <c r="Y489" s="3" t="s">
        <v>2272</v>
      </c>
      <c r="Z489" s="3" t="s">
        <v>2272</v>
      </c>
      <c r="AA489" s="3" t="s">
        <v>2272</v>
      </c>
      <c r="AB489" s="3" t="s">
        <v>715</v>
      </c>
      <c r="AC489" s="4" t="s">
        <v>2027</v>
      </c>
    </row>
    <row r="490" spans="1:29"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2359</v>
      </c>
      <c r="K490" s="21" t="s">
        <v>2359</v>
      </c>
      <c r="L490" s="98" t="s">
        <v>2359</v>
      </c>
      <c r="M490" s="21" t="s">
        <v>2359</v>
      </c>
      <c r="N490" s="21" t="s">
        <v>2359</v>
      </c>
      <c r="O490" s="21" t="s">
        <v>2359</v>
      </c>
      <c r="P490" s="21" t="s">
        <v>2359</v>
      </c>
      <c r="Q490" s="21" t="s">
        <v>2359</v>
      </c>
      <c r="R490" s="21" t="s">
        <v>2359</v>
      </c>
      <c r="S490" s="21" t="s">
        <v>2359</v>
      </c>
      <c r="T490" s="21" t="s">
        <v>2359</v>
      </c>
      <c r="U490" s="21" t="s">
        <v>2359</v>
      </c>
      <c r="V490" s="21" t="s">
        <v>2359</v>
      </c>
      <c r="W490" s="21" t="s">
        <v>2359</v>
      </c>
      <c r="X490" s="21" t="s">
        <v>2272</v>
      </c>
      <c r="Y490" s="3" t="s">
        <v>2272</v>
      </c>
      <c r="Z490" s="3" t="s">
        <v>2272</v>
      </c>
      <c r="AA490" s="3" t="s">
        <v>2272</v>
      </c>
      <c r="AB490" s="3" t="s">
        <v>743</v>
      </c>
      <c r="AC490" s="3"/>
    </row>
    <row r="491" spans="1:29"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2272</v>
      </c>
      <c r="K491" s="21" t="s">
        <v>2272</v>
      </c>
      <c r="L491" s="98" t="s">
        <v>2272</v>
      </c>
      <c r="M491" s="21" t="s">
        <v>2272</v>
      </c>
      <c r="N491" s="21" t="s">
        <v>2272</v>
      </c>
      <c r="O491" s="21" t="s">
        <v>2272</v>
      </c>
      <c r="P491" s="21" t="s">
        <v>2272</v>
      </c>
      <c r="Q491" s="21" t="s">
        <v>2272</v>
      </c>
      <c r="R491" s="97" t="s">
        <v>2272</v>
      </c>
      <c r="S491" s="97" t="s">
        <v>2272</v>
      </c>
      <c r="T491" s="21" t="s">
        <v>2369</v>
      </c>
      <c r="U491" s="21" t="s">
        <v>2272</v>
      </c>
      <c r="V491" s="21" t="s">
        <v>2272</v>
      </c>
      <c r="W491" s="21" t="s">
        <v>2272</v>
      </c>
      <c r="X491" s="21" t="s">
        <v>2398</v>
      </c>
      <c r="Y491" s="3" t="s">
        <v>2272</v>
      </c>
      <c r="Z491" s="3" t="s">
        <v>2272</v>
      </c>
      <c r="AA491" s="3" t="s">
        <v>2272</v>
      </c>
      <c r="AB491" s="3" t="s">
        <v>715</v>
      </c>
      <c r="AC491" s="4" t="s">
        <v>2027</v>
      </c>
    </row>
    <row r="492" spans="1:29"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2359</v>
      </c>
      <c r="K492" s="21" t="s">
        <v>2359</v>
      </c>
      <c r="L492" s="98" t="s">
        <v>2359</v>
      </c>
      <c r="M492" s="21" t="s">
        <v>2359</v>
      </c>
      <c r="N492" s="21" t="s">
        <v>2359</v>
      </c>
      <c r="O492" s="21" t="s">
        <v>2359</v>
      </c>
      <c r="P492" s="21" t="s">
        <v>2359</v>
      </c>
      <c r="Q492" s="21" t="s">
        <v>2359</v>
      </c>
      <c r="R492" s="21" t="s">
        <v>2359</v>
      </c>
      <c r="S492" s="21" t="s">
        <v>2359</v>
      </c>
      <c r="T492" s="21" t="s">
        <v>2359</v>
      </c>
      <c r="U492" s="21" t="s">
        <v>2359</v>
      </c>
      <c r="V492" s="21" t="s">
        <v>2359</v>
      </c>
      <c r="W492" s="21" t="s">
        <v>2359</v>
      </c>
      <c r="X492" s="21" t="s">
        <v>2272</v>
      </c>
      <c r="Y492" s="3" t="s">
        <v>2272</v>
      </c>
      <c r="Z492" s="3" t="s">
        <v>2272</v>
      </c>
      <c r="AA492" s="3" t="s">
        <v>2272</v>
      </c>
      <c r="AB492" s="3" t="s">
        <v>743</v>
      </c>
      <c r="AC492" s="3"/>
    </row>
    <row r="493" spans="1:29"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2272</v>
      </c>
      <c r="K493" s="21" t="s">
        <v>2272</v>
      </c>
      <c r="L493" s="98" t="s">
        <v>2272</v>
      </c>
      <c r="M493" s="21" t="s">
        <v>2272</v>
      </c>
      <c r="N493" s="21" t="s">
        <v>2272</v>
      </c>
      <c r="O493" s="21" t="s">
        <v>2272</v>
      </c>
      <c r="P493" s="21" t="s">
        <v>2272</v>
      </c>
      <c r="Q493" s="21" t="s">
        <v>2272</v>
      </c>
      <c r="R493" s="97" t="s">
        <v>2272</v>
      </c>
      <c r="S493" s="97" t="s">
        <v>2272</v>
      </c>
      <c r="T493" s="21" t="s">
        <v>2272</v>
      </c>
      <c r="U493" s="21" t="s">
        <v>2272</v>
      </c>
      <c r="V493" s="21" t="s">
        <v>2272</v>
      </c>
      <c r="W493" s="21" t="s">
        <v>2272</v>
      </c>
      <c r="X493" s="21" t="s">
        <v>2397</v>
      </c>
      <c r="Y493" s="3" t="s">
        <v>2272</v>
      </c>
      <c r="Z493" s="3" t="s">
        <v>2272</v>
      </c>
      <c r="AA493" s="3" t="s">
        <v>2272</v>
      </c>
      <c r="AB493" s="3" t="s">
        <v>715</v>
      </c>
      <c r="AC493" s="3" t="s">
        <v>2040</v>
      </c>
    </row>
    <row r="494" spans="1:29"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2359</v>
      </c>
      <c r="K494" s="21" t="s">
        <v>2359</v>
      </c>
      <c r="L494" s="98" t="s">
        <v>2359</v>
      </c>
      <c r="M494" s="21" t="s">
        <v>2359</v>
      </c>
      <c r="N494" s="21" t="s">
        <v>2359</v>
      </c>
      <c r="O494" s="21" t="s">
        <v>2359</v>
      </c>
      <c r="P494" s="21" t="s">
        <v>2359</v>
      </c>
      <c r="Q494" s="21" t="s">
        <v>2359</v>
      </c>
      <c r="R494" s="21" t="s">
        <v>2359</v>
      </c>
      <c r="S494" s="21" t="s">
        <v>2359</v>
      </c>
      <c r="T494" s="21" t="s">
        <v>2359</v>
      </c>
      <c r="U494" s="21" t="s">
        <v>2359</v>
      </c>
      <c r="V494" s="21" t="s">
        <v>2359</v>
      </c>
      <c r="W494" s="21" t="s">
        <v>2359</v>
      </c>
      <c r="X494" s="21" t="s">
        <v>2272</v>
      </c>
      <c r="Y494" s="3" t="s">
        <v>2272</v>
      </c>
      <c r="Z494" s="3" t="s">
        <v>2272</v>
      </c>
      <c r="AA494" s="3" t="s">
        <v>2272</v>
      </c>
      <c r="AB494" s="3" t="s">
        <v>743</v>
      </c>
      <c r="AC494" s="3"/>
    </row>
    <row r="495" spans="1:29"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2272</v>
      </c>
      <c r="K495" s="21" t="s">
        <v>2272</v>
      </c>
      <c r="L495" s="98" t="s">
        <v>2272</v>
      </c>
      <c r="M495" s="21" t="s">
        <v>2272</v>
      </c>
      <c r="N495" s="21" t="s">
        <v>2272</v>
      </c>
      <c r="O495" s="21" t="s">
        <v>2272</v>
      </c>
      <c r="P495" s="21" t="s">
        <v>2272</v>
      </c>
      <c r="Q495" s="21" t="s">
        <v>2272</v>
      </c>
      <c r="R495" s="97" t="s">
        <v>2272</v>
      </c>
      <c r="S495" s="97" t="s">
        <v>2272</v>
      </c>
      <c r="T495" s="21" t="s">
        <v>2272</v>
      </c>
      <c r="U495" s="21" t="s">
        <v>2272</v>
      </c>
      <c r="V495" s="21" t="s">
        <v>2272</v>
      </c>
      <c r="W495" s="21" t="s">
        <v>2272</v>
      </c>
      <c r="X495" s="21" t="s">
        <v>2397</v>
      </c>
      <c r="Y495" s="3" t="s">
        <v>2272</v>
      </c>
      <c r="Z495" s="3" t="s">
        <v>2272</v>
      </c>
      <c r="AA495" s="3" t="s">
        <v>2272</v>
      </c>
      <c r="AB495" s="3" t="s">
        <v>715</v>
      </c>
      <c r="AC495" s="3" t="s">
        <v>2040</v>
      </c>
    </row>
    <row r="496" spans="1:29"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2359</v>
      </c>
      <c r="K496" s="21" t="s">
        <v>2359</v>
      </c>
      <c r="L496" s="98" t="s">
        <v>2359</v>
      </c>
      <c r="M496" s="21" t="s">
        <v>2359</v>
      </c>
      <c r="N496" s="21" t="s">
        <v>2359</v>
      </c>
      <c r="O496" s="21" t="s">
        <v>2359</v>
      </c>
      <c r="P496" s="21" t="s">
        <v>2359</v>
      </c>
      <c r="Q496" s="21" t="s">
        <v>2359</v>
      </c>
      <c r="R496" s="21" t="s">
        <v>2359</v>
      </c>
      <c r="S496" s="21" t="s">
        <v>2359</v>
      </c>
      <c r="T496" s="21" t="s">
        <v>2359</v>
      </c>
      <c r="U496" s="21" t="s">
        <v>2359</v>
      </c>
      <c r="V496" s="21" t="s">
        <v>2359</v>
      </c>
      <c r="W496" s="21" t="s">
        <v>2359</v>
      </c>
      <c r="X496" s="21" t="s">
        <v>2272</v>
      </c>
      <c r="Y496" s="3" t="s">
        <v>2272</v>
      </c>
      <c r="Z496" s="3" t="s">
        <v>2272</v>
      </c>
      <c r="AA496" s="3" t="s">
        <v>2272</v>
      </c>
      <c r="AB496" s="3" t="s">
        <v>743</v>
      </c>
      <c r="AC496" s="3"/>
    </row>
    <row r="497" spans="1:29"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2272</v>
      </c>
      <c r="K497" s="21" t="s">
        <v>2272</v>
      </c>
      <c r="L497" s="98" t="s">
        <v>2272</v>
      </c>
      <c r="M497" s="21" t="s">
        <v>2272</v>
      </c>
      <c r="N497" s="21" t="s">
        <v>2272</v>
      </c>
      <c r="O497" s="21" t="s">
        <v>2272</v>
      </c>
      <c r="P497" s="21" t="s">
        <v>2272</v>
      </c>
      <c r="Q497" s="21" t="s">
        <v>2272</v>
      </c>
      <c r="R497" s="97" t="s">
        <v>2272</v>
      </c>
      <c r="S497" s="97" t="s">
        <v>2272</v>
      </c>
      <c r="T497" s="21" t="s">
        <v>2272</v>
      </c>
      <c r="U497" s="21" t="s">
        <v>2272</v>
      </c>
      <c r="V497" s="21" t="s">
        <v>2272</v>
      </c>
      <c r="W497" s="21" t="s">
        <v>2272</v>
      </c>
      <c r="X497" s="21" t="s">
        <v>2397</v>
      </c>
      <c r="Y497" s="3" t="s">
        <v>2272</v>
      </c>
      <c r="Z497" s="3" t="s">
        <v>2272</v>
      </c>
      <c r="AA497" s="3" t="s">
        <v>2272</v>
      </c>
      <c r="AB497" s="3" t="s">
        <v>715</v>
      </c>
      <c r="AC497" s="3" t="s">
        <v>2040</v>
      </c>
    </row>
    <row r="498" spans="1:29"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2359</v>
      </c>
      <c r="K498" s="21" t="s">
        <v>2359</v>
      </c>
      <c r="L498" s="98" t="s">
        <v>2359</v>
      </c>
      <c r="M498" s="21" t="s">
        <v>2359</v>
      </c>
      <c r="N498" s="21" t="s">
        <v>2359</v>
      </c>
      <c r="O498" s="21" t="s">
        <v>2359</v>
      </c>
      <c r="P498" s="21" t="s">
        <v>2359</v>
      </c>
      <c r="Q498" s="21" t="s">
        <v>2359</v>
      </c>
      <c r="R498" s="21" t="s">
        <v>2359</v>
      </c>
      <c r="S498" s="21" t="s">
        <v>2359</v>
      </c>
      <c r="T498" s="21" t="s">
        <v>2359</v>
      </c>
      <c r="U498" s="21" t="s">
        <v>2359</v>
      </c>
      <c r="V498" s="21" t="s">
        <v>2359</v>
      </c>
      <c r="W498" s="21" t="s">
        <v>2359</v>
      </c>
      <c r="X498" s="21" t="s">
        <v>2272</v>
      </c>
      <c r="Y498" s="3" t="s">
        <v>2272</v>
      </c>
      <c r="Z498" s="3" t="s">
        <v>2272</v>
      </c>
      <c r="AA498" s="3" t="s">
        <v>2272</v>
      </c>
      <c r="AB498" s="3" t="s">
        <v>743</v>
      </c>
      <c r="AC498" s="3"/>
    </row>
    <row r="499" spans="1:29"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2272</v>
      </c>
      <c r="K499" s="21" t="s">
        <v>2272</v>
      </c>
      <c r="L499" s="98" t="s">
        <v>2272</v>
      </c>
      <c r="M499" s="21" t="s">
        <v>2272</v>
      </c>
      <c r="N499" s="21" t="s">
        <v>2272</v>
      </c>
      <c r="O499" s="21" t="s">
        <v>2272</v>
      </c>
      <c r="P499" s="21" t="s">
        <v>2272</v>
      </c>
      <c r="Q499" s="21" t="s">
        <v>2272</v>
      </c>
      <c r="R499" s="97" t="s">
        <v>2272</v>
      </c>
      <c r="S499" s="97" t="s">
        <v>2272</v>
      </c>
      <c r="T499" s="21" t="s">
        <v>2272</v>
      </c>
      <c r="U499" s="21" t="s">
        <v>2272</v>
      </c>
      <c r="V499" s="21" t="s">
        <v>2272</v>
      </c>
      <c r="W499" s="21" t="s">
        <v>2272</v>
      </c>
      <c r="X499" s="3" t="s">
        <v>2272</v>
      </c>
      <c r="Y499" s="3" t="s">
        <v>2272</v>
      </c>
      <c r="Z499" s="3" t="s">
        <v>2272</v>
      </c>
      <c r="AA499" s="3" t="s">
        <v>2272</v>
      </c>
      <c r="AB499" s="19" t="s">
        <v>748</v>
      </c>
      <c r="AC499" s="3"/>
    </row>
    <row r="500" spans="1:29"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2272</v>
      </c>
      <c r="K500" s="21" t="s">
        <v>2272</v>
      </c>
      <c r="L500" s="98" t="s">
        <v>2272</v>
      </c>
      <c r="M500" s="21" t="s">
        <v>2272</v>
      </c>
      <c r="N500" s="21" t="s">
        <v>2272</v>
      </c>
      <c r="O500" s="21" t="s">
        <v>2272</v>
      </c>
      <c r="P500" s="21" t="s">
        <v>2358</v>
      </c>
      <c r="Q500" s="21" t="s">
        <v>2272</v>
      </c>
      <c r="R500" s="97" t="s">
        <v>2272</v>
      </c>
      <c r="S500" s="97" t="s">
        <v>2272</v>
      </c>
      <c r="T500" s="21" t="s">
        <v>2369</v>
      </c>
      <c r="U500" s="21" t="s">
        <v>2272</v>
      </c>
      <c r="V500" s="21" t="s">
        <v>2369</v>
      </c>
      <c r="W500" s="21" t="s">
        <v>2272</v>
      </c>
      <c r="X500" s="21" t="s">
        <v>2398</v>
      </c>
      <c r="Y500" s="3" t="s">
        <v>2272</v>
      </c>
      <c r="Z500" s="3" t="s">
        <v>2272</v>
      </c>
      <c r="AA500" s="3" t="s">
        <v>2272</v>
      </c>
      <c r="AB500" s="3"/>
      <c r="AC500" s="4" t="s">
        <v>2413</v>
      </c>
    </row>
    <row r="501" spans="1:29"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2272</v>
      </c>
      <c r="K501" s="21" t="s">
        <v>2272</v>
      </c>
      <c r="L501" s="98" t="s">
        <v>2272</v>
      </c>
      <c r="M501" s="21" t="s">
        <v>2272</v>
      </c>
      <c r="N501" s="21" t="s">
        <v>2272</v>
      </c>
      <c r="O501" s="21" t="s">
        <v>2272</v>
      </c>
      <c r="P501" s="21" t="s">
        <v>2370</v>
      </c>
      <c r="Q501" s="21" t="s">
        <v>2272</v>
      </c>
      <c r="R501" s="97" t="s">
        <v>2272</v>
      </c>
      <c r="S501" s="97" t="s">
        <v>2272</v>
      </c>
      <c r="T501" s="21" t="s">
        <v>2371</v>
      </c>
      <c r="U501" s="21" t="s">
        <v>2272</v>
      </c>
      <c r="V501" s="21" t="s">
        <v>2369</v>
      </c>
      <c r="W501" s="21" t="s">
        <v>2272</v>
      </c>
      <c r="X501" s="21" t="s">
        <v>2398</v>
      </c>
      <c r="Y501" s="3" t="s">
        <v>2272</v>
      </c>
      <c r="Z501" s="3" t="s">
        <v>2272</v>
      </c>
      <c r="AA501" s="3" t="s">
        <v>2272</v>
      </c>
      <c r="AB501" s="3"/>
      <c r="AC501" s="4" t="s">
        <v>2413</v>
      </c>
    </row>
    <row r="502" spans="1:29"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2272</v>
      </c>
      <c r="K502" s="21" t="s">
        <v>2272</v>
      </c>
      <c r="L502" s="98" t="s">
        <v>2272</v>
      </c>
      <c r="M502" s="21" t="s">
        <v>2272</v>
      </c>
      <c r="N502" s="21" t="s">
        <v>2272</v>
      </c>
      <c r="O502" s="21" t="s">
        <v>2272</v>
      </c>
      <c r="P502" s="21" t="s">
        <v>2370</v>
      </c>
      <c r="Q502" s="21" t="s">
        <v>2272</v>
      </c>
      <c r="R502" s="97" t="s">
        <v>2272</v>
      </c>
      <c r="S502" s="97" t="s">
        <v>2272</v>
      </c>
      <c r="T502" s="21" t="s">
        <v>2371</v>
      </c>
      <c r="U502" s="21" t="s">
        <v>2272</v>
      </c>
      <c r="V502" s="21" t="s">
        <v>2369</v>
      </c>
      <c r="W502" s="21" t="s">
        <v>2272</v>
      </c>
      <c r="X502" s="21" t="s">
        <v>2397</v>
      </c>
      <c r="Y502" s="3" t="s">
        <v>2272</v>
      </c>
      <c r="Z502" s="3" t="s">
        <v>2272</v>
      </c>
      <c r="AA502" s="3" t="s">
        <v>2272</v>
      </c>
      <c r="AB502" s="3"/>
      <c r="AC502" s="4" t="s">
        <v>2413</v>
      </c>
    </row>
    <row r="503" spans="1:29"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2272</v>
      </c>
      <c r="K503" s="21" t="s">
        <v>2272</v>
      </c>
      <c r="L503" s="98" t="s">
        <v>2358</v>
      </c>
      <c r="M503" s="21" t="s">
        <v>2272</v>
      </c>
      <c r="N503" s="21" t="s">
        <v>2272</v>
      </c>
      <c r="O503" s="21" t="s">
        <v>2272</v>
      </c>
      <c r="P503" s="21" t="s">
        <v>2358</v>
      </c>
      <c r="Q503" s="21" t="s">
        <v>2272</v>
      </c>
      <c r="R503" s="97" t="s">
        <v>2272</v>
      </c>
      <c r="S503" s="97" t="s">
        <v>2272</v>
      </c>
      <c r="T503" s="21" t="s">
        <v>2272</v>
      </c>
      <c r="U503" s="21" t="s">
        <v>2272</v>
      </c>
      <c r="V503" s="21" t="s">
        <v>2272</v>
      </c>
      <c r="W503" s="21" t="s">
        <v>2272</v>
      </c>
      <c r="X503" s="21" t="s">
        <v>2272</v>
      </c>
      <c r="Y503" s="3" t="s">
        <v>84</v>
      </c>
      <c r="Z503" s="3" t="s">
        <v>84</v>
      </c>
      <c r="AA503" s="3" t="s">
        <v>63</v>
      </c>
      <c r="AB503" s="3" t="s">
        <v>633</v>
      </c>
      <c r="AC503" s="19" t="s">
        <v>768</v>
      </c>
    </row>
    <row r="504" spans="1:29"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2272</v>
      </c>
      <c r="K504" s="21" t="s">
        <v>2272</v>
      </c>
      <c r="L504" s="98" t="s">
        <v>2358</v>
      </c>
      <c r="M504" s="21" t="s">
        <v>2272</v>
      </c>
      <c r="N504" s="21" t="s">
        <v>2358</v>
      </c>
      <c r="O504" s="21" t="s">
        <v>2272</v>
      </c>
      <c r="P504" s="70" t="s">
        <v>2358</v>
      </c>
      <c r="Q504" s="70" t="s">
        <v>2272</v>
      </c>
      <c r="R504" s="97" t="s">
        <v>2272</v>
      </c>
      <c r="S504" s="97" t="s">
        <v>2272</v>
      </c>
      <c r="T504" s="21" t="s">
        <v>2522</v>
      </c>
      <c r="U504" s="21" t="s">
        <v>2272</v>
      </c>
      <c r="V504" s="21" t="s">
        <v>2272</v>
      </c>
      <c r="W504" s="21" t="s">
        <v>2272</v>
      </c>
      <c r="X504" s="21" t="s">
        <v>2399</v>
      </c>
      <c r="Y504" s="3" t="s">
        <v>2272</v>
      </c>
      <c r="Z504" s="3" t="s">
        <v>2272</v>
      </c>
      <c r="AA504" s="3" t="s">
        <v>2272</v>
      </c>
      <c r="AB504" s="3"/>
      <c r="AC504" s="4" t="s">
        <v>2045</v>
      </c>
    </row>
    <row r="505" spans="1:29"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2359</v>
      </c>
      <c r="K505" s="21" t="s">
        <v>2359</v>
      </c>
      <c r="L505" s="98" t="s">
        <v>2359</v>
      </c>
      <c r="M505" s="21" t="s">
        <v>2359</v>
      </c>
      <c r="N505" s="21" t="s">
        <v>2359</v>
      </c>
      <c r="O505" s="21" t="s">
        <v>2359</v>
      </c>
      <c r="P505" s="70" t="s">
        <v>2359</v>
      </c>
      <c r="Q505" s="70" t="s">
        <v>2359</v>
      </c>
      <c r="R505" s="97" t="s">
        <v>2272</v>
      </c>
      <c r="S505" s="97" t="s">
        <v>2272</v>
      </c>
      <c r="T505" s="21" t="s">
        <v>2359</v>
      </c>
      <c r="U505" s="21" t="s">
        <v>2359</v>
      </c>
      <c r="V505" s="21" t="s">
        <v>2359</v>
      </c>
      <c r="W505" s="21" t="s">
        <v>2359</v>
      </c>
      <c r="X505" s="21" t="s">
        <v>2272</v>
      </c>
      <c r="Y505" s="3" t="s">
        <v>2272</v>
      </c>
      <c r="Z505" s="3" t="s">
        <v>2272</v>
      </c>
      <c r="AA505" s="3" t="s">
        <v>2272</v>
      </c>
      <c r="AB505" s="3" t="s">
        <v>743</v>
      </c>
      <c r="AC505" s="4"/>
    </row>
    <row r="506" spans="1:29"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2272</v>
      </c>
      <c r="K506" s="21" t="s">
        <v>2272</v>
      </c>
      <c r="L506" s="98" t="s">
        <v>2358</v>
      </c>
      <c r="M506" s="21" t="s">
        <v>2272</v>
      </c>
      <c r="N506" s="21" t="s">
        <v>2358</v>
      </c>
      <c r="O506" s="21" t="s">
        <v>2272</v>
      </c>
      <c r="P506" s="70" t="s">
        <v>2358</v>
      </c>
      <c r="Q506" s="70" t="s">
        <v>2272</v>
      </c>
      <c r="R506" s="97" t="s">
        <v>2272</v>
      </c>
      <c r="S506" s="97" t="s">
        <v>2272</v>
      </c>
      <c r="T506" s="21" t="s">
        <v>2522</v>
      </c>
      <c r="U506" s="21" t="s">
        <v>2272</v>
      </c>
      <c r="V506" s="21" t="s">
        <v>2272</v>
      </c>
      <c r="W506" s="21" t="s">
        <v>2272</v>
      </c>
      <c r="X506" s="21" t="s">
        <v>2398</v>
      </c>
      <c r="Y506" s="3" t="s">
        <v>2272</v>
      </c>
      <c r="Z506" s="3" t="s">
        <v>2272</v>
      </c>
      <c r="AA506" s="3" t="s">
        <v>2272</v>
      </c>
      <c r="AB506" s="3"/>
      <c r="AC506" s="4" t="s">
        <v>2045</v>
      </c>
    </row>
    <row r="507" spans="1:29"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2359</v>
      </c>
      <c r="K507" s="21" t="s">
        <v>2359</v>
      </c>
      <c r="L507" s="98" t="s">
        <v>2359</v>
      </c>
      <c r="M507" s="21" t="s">
        <v>2359</v>
      </c>
      <c r="N507" s="21" t="s">
        <v>2359</v>
      </c>
      <c r="O507" s="21" t="s">
        <v>2359</v>
      </c>
      <c r="P507" s="70" t="s">
        <v>2359</v>
      </c>
      <c r="Q507" s="70" t="s">
        <v>2359</v>
      </c>
      <c r="R507" s="97" t="s">
        <v>2272</v>
      </c>
      <c r="S507" s="97" t="s">
        <v>2272</v>
      </c>
      <c r="T507" s="21" t="s">
        <v>2359</v>
      </c>
      <c r="U507" s="21" t="s">
        <v>2359</v>
      </c>
      <c r="V507" s="21" t="s">
        <v>2359</v>
      </c>
      <c r="W507" s="21" t="s">
        <v>2359</v>
      </c>
      <c r="X507" s="21" t="s">
        <v>2272</v>
      </c>
      <c r="Y507" s="3" t="s">
        <v>2272</v>
      </c>
      <c r="Z507" s="3" t="s">
        <v>2272</v>
      </c>
      <c r="AA507" s="3" t="s">
        <v>2272</v>
      </c>
      <c r="AB507" s="3" t="s">
        <v>743</v>
      </c>
      <c r="AC507" s="4"/>
    </row>
    <row r="508" spans="1:29"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2272</v>
      </c>
      <c r="K508" s="21" t="s">
        <v>2272</v>
      </c>
      <c r="L508" s="98" t="s">
        <v>2272</v>
      </c>
      <c r="M508" s="21" t="s">
        <v>2272</v>
      </c>
      <c r="N508" s="21" t="s">
        <v>2272</v>
      </c>
      <c r="O508" s="21" t="s">
        <v>2272</v>
      </c>
      <c r="P508" s="21" t="s">
        <v>2358</v>
      </c>
      <c r="Q508" s="21" t="s">
        <v>2272</v>
      </c>
      <c r="R508" s="97" t="s">
        <v>2272</v>
      </c>
      <c r="S508" s="97" t="s">
        <v>2272</v>
      </c>
      <c r="T508" s="21" t="s">
        <v>2272</v>
      </c>
      <c r="U508" s="21" t="s">
        <v>2272</v>
      </c>
      <c r="V508" s="21" t="s">
        <v>2272</v>
      </c>
      <c r="W508" s="21" t="s">
        <v>2272</v>
      </c>
      <c r="X508" s="21" t="s">
        <v>2272</v>
      </c>
      <c r="Y508" s="3" t="s">
        <v>2272</v>
      </c>
      <c r="Z508" s="3" t="s">
        <v>2272</v>
      </c>
      <c r="AA508" s="3" t="s">
        <v>2272</v>
      </c>
      <c r="AB508" s="3"/>
      <c r="AC508" s="4" t="s">
        <v>2047</v>
      </c>
    </row>
    <row r="509" spans="1:29"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2272</v>
      </c>
      <c r="K509" s="21" t="s">
        <v>2272</v>
      </c>
      <c r="L509" s="98" t="s">
        <v>2272</v>
      </c>
      <c r="M509" s="21" t="s">
        <v>2272</v>
      </c>
      <c r="N509" s="21" t="s">
        <v>2272</v>
      </c>
      <c r="O509" s="21" t="s">
        <v>2272</v>
      </c>
      <c r="P509" s="21" t="s">
        <v>2358</v>
      </c>
      <c r="Q509" s="21" t="s">
        <v>2272</v>
      </c>
      <c r="R509" s="97" t="s">
        <v>2272</v>
      </c>
      <c r="S509" s="97" t="s">
        <v>2272</v>
      </c>
      <c r="T509" s="21" t="s">
        <v>2272</v>
      </c>
      <c r="U509" s="70" t="s">
        <v>2272</v>
      </c>
      <c r="V509" s="70" t="s">
        <v>2272</v>
      </c>
      <c r="W509" s="21" t="s">
        <v>2272</v>
      </c>
      <c r="X509" s="21" t="s">
        <v>2272</v>
      </c>
      <c r="Y509" s="3" t="s">
        <v>2272</v>
      </c>
      <c r="Z509" s="3" t="s">
        <v>2272</v>
      </c>
      <c r="AA509" s="3" t="s">
        <v>2272</v>
      </c>
      <c r="AB509" s="3"/>
      <c r="AC509" s="4" t="s">
        <v>2047</v>
      </c>
    </row>
    <row r="510" spans="1:29"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2272</v>
      </c>
      <c r="K510" s="21" t="s">
        <v>2272</v>
      </c>
      <c r="L510" s="98" t="s">
        <v>2272</v>
      </c>
      <c r="M510" s="21" t="s">
        <v>2272</v>
      </c>
      <c r="N510" s="21" t="s">
        <v>2272</v>
      </c>
      <c r="O510" s="21" t="s">
        <v>2272</v>
      </c>
      <c r="P510" s="21" t="s">
        <v>2358</v>
      </c>
      <c r="Q510" s="21" t="s">
        <v>2272</v>
      </c>
      <c r="R510" s="97" t="s">
        <v>2272</v>
      </c>
      <c r="S510" s="97" t="s">
        <v>2272</v>
      </c>
      <c r="T510" s="21" t="s">
        <v>2272</v>
      </c>
      <c r="U510" s="21" t="s">
        <v>2272</v>
      </c>
      <c r="V510" s="21" t="s">
        <v>2272</v>
      </c>
      <c r="W510" s="21" t="s">
        <v>2272</v>
      </c>
      <c r="X510" s="21" t="s">
        <v>2272</v>
      </c>
      <c r="Y510" s="3" t="s">
        <v>2272</v>
      </c>
      <c r="Z510" s="3" t="s">
        <v>2272</v>
      </c>
      <c r="AA510" s="3" t="s">
        <v>2272</v>
      </c>
      <c r="AB510" s="3"/>
      <c r="AC510" s="4" t="s">
        <v>2047</v>
      </c>
    </row>
    <row r="511" spans="1:29"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2272</v>
      </c>
      <c r="K511" s="21" t="s">
        <v>2272</v>
      </c>
      <c r="L511" s="98" t="s">
        <v>2272</v>
      </c>
      <c r="M511" s="21" t="s">
        <v>2272</v>
      </c>
      <c r="N511" s="21" t="s">
        <v>2272</v>
      </c>
      <c r="O511" s="21" t="s">
        <v>2272</v>
      </c>
      <c r="P511" s="21" t="s">
        <v>2358</v>
      </c>
      <c r="Q511" s="21" t="s">
        <v>2272</v>
      </c>
      <c r="R511" s="97" t="s">
        <v>2272</v>
      </c>
      <c r="S511" s="97" t="s">
        <v>2272</v>
      </c>
      <c r="T511" s="21" t="s">
        <v>2272</v>
      </c>
      <c r="U511" s="21" t="s">
        <v>2272</v>
      </c>
      <c r="V511" s="21" t="s">
        <v>2272</v>
      </c>
      <c r="W511" s="21" t="s">
        <v>2272</v>
      </c>
      <c r="X511" s="21" t="s">
        <v>2272</v>
      </c>
      <c r="Y511" s="3" t="s">
        <v>2272</v>
      </c>
      <c r="Z511" s="3" t="s">
        <v>2272</v>
      </c>
      <c r="AA511" s="3" t="s">
        <v>2272</v>
      </c>
      <c r="AB511" s="3"/>
      <c r="AC511" s="4" t="s">
        <v>2047</v>
      </c>
    </row>
    <row r="512" spans="1:29"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2359</v>
      </c>
      <c r="K512" s="21" t="s">
        <v>2359</v>
      </c>
      <c r="L512" s="98" t="s">
        <v>2359</v>
      </c>
      <c r="M512" s="21" t="s">
        <v>2359</v>
      </c>
      <c r="N512" s="21" t="s">
        <v>2359</v>
      </c>
      <c r="O512" s="21" t="s">
        <v>2359</v>
      </c>
      <c r="P512" s="21" t="s">
        <v>2359</v>
      </c>
      <c r="Q512" s="21" t="s">
        <v>2359</v>
      </c>
      <c r="R512" s="97" t="s">
        <v>2272</v>
      </c>
      <c r="S512" s="97" t="s">
        <v>2272</v>
      </c>
      <c r="T512" s="21" t="s">
        <v>2359</v>
      </c>
      <c r="U512" s="21" t="s">
        <v>2359</v>
      </c>
      <c r="V512" s="21" t="s">
        <v>2359</v>
      </c>
      <c r="W512" s="21" t="s">
        <v>2359</v>
      </c>
      <c r="X512" s="21" t="s">
        <v>2272</v>
      </c>
      <c r="Y512" s="3" t="s">
        <v>2272</v>
      </c>
      <c r="Z512" s="3" t="s">
        <v>2272</v>
      </c>
      <c r="AA512" s="3" t="s">
        <v>2272</v>
      </c>
      <c r="AB512" s="3" t="s">
        <v>743</v>
      </c>
      <c r="AC512" s="3"/>
    </row>
    <row r="513" spans="1:29"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2272</v>
      </c>
      <c r="K513" s="21" t="s">
        <v>2272</v>
      </c>
      <c r="L513" s="98" t="s">
        <v>2272</v>
      </c>
      <c r="M513" s="21" t="s">
        <v>2272</v>
      </c>
      <c r="N513" s="21" t="s">
        <v>2272</v>
      </c>
      <c r="O513" s="21" t="s">
        <v>2272</v>
      </c>
      <c r="P513" s="21" t="s">
        <v>2358</v>
      </c>
      <c r="Q513" s="21" t="s">
        <v>2272</v>
      </c>
      <c r="R513" s="97" t="s">
        <v>2272</v>
      </c>
      <c r="S513" s="97" t="s">
        <v>2272</v>
      </c>
      <c r="T513" s="21" t="s">
        <v>2272</v>
      </c>
      <c r="U513" s="21" t="s">
        <v>2272</v>
      </c>
      <c r="V513" s="21" t="s">
        <v>2272</v>
      </c>
      <c r="W513" s="21" t="s">
        <v>2272</v>
      </c>
      <c r="X513" s="21" t="s">
        <v>2272</v>
      </c>
      <c r="Y513" s="3" t="s">
        <v>2272</v>
      </c>
      <c r="Z513" s="3" t="s">
        <v>2272</v>
      </c>
      <c r="AA513" s="3" t="s">
        <v>2272</v>
      </c>
      <c r="AB513" s="3"/>
      <c r="AC513" s="4" t="s">
        <v>2047</v>
      </c>
    </row>
    <row r="514" spans="1:29"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2359</v>
      </c>
      <c r="K514" s="21" t="s">
        <v>2359</v>
      </c>
      <c r="L514" s="98" t="s">
        <v>2359</v>
      </c>
      <c r="M514" s="21" t="s">
        <v>2359</v>
      </c>
      <c r="N514" s="21" t="s">
        <v>2359</v>
      </c>
      <c r="O514" s="21" t="s">
        <v>2359</v>
      </c>
      <c r="P514" s="21" t="s">
        <v>2359</v>
      </c>
      <c r="Q514" s="21" t="s">
        <v>2359</v>
      </c>
      <c r="R514" s="97" t="s">
        <v>2272</v>
      </c>
      <c r="S514" s="97" t="s">
        <v>2272</v>
      </c>
      <c r="T514" s="21" t="s">
        <v>2359</v>
      </c>
      <c r="U514" s="21" t="s">
        <v>2359</v>
      </c>
      <c r="V514" s="21" t="s">
        <v>2359</v>
      </c>
      <c r="W514" s="21" t="s">
        <v>2359</v>
      </c>
      <c r="X514" s="21" t="s">
        <v>2272</v>
      </c>
      <c r="Y514" s="3" t="s">
        <v>2272</v>
      </c>
      <c r="Z514" s="3" t="s">
        <v>2272</v>
      </c>
      <c r="AA514" s="3" t="s">
        <v>2272</v>
      </c>
      <c r="AB514" s="3" t="s">
        <v>743</v>
      </c>
      <c r="AC514" s="3"/>
    </row>
    <row r="515" spans="1:29"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2272</v>
      </c>
      <c r="K515" s="21" t="s">
        <v>2272</v>
      </c>
      <c r="L515" s="98" t="s">
        <v>2272</v>
      </c>
      <c r="M515" s="21" t="s">
        <v>2272</v>
      </c>
      <c r="N515" s="21" t="s">
        <v>2272</v>
      </c>
      <c r="O515" s="21" t="s">
        <v>2272</v>
      </c>
      <c r="P515" s="21" t="s">
        <v>2272</v>
      </c>
      <c r="Q515" s="21" t="s">
        <v>2272</v>
      </c>
      <c r="R515" s="97" t="s">
        <v>2272</v>
      </c>
      <c r="S515" s="97" t="s">
        <v>2272</v>
      </c>
      <c r="T515" s="21" t="s">
        <v>2272</v>
      </c>
      <c r="U515" s="21" t="s">
        <v>2272</v>
      </c>
      <c r="V515" s="21" t="s">
        <v>2272</v>
      </c>
      <c r="W515" s="21" t="s">
        <v>2272</v>
      </c>
      <c r="X515" s="21" t="s">
        <v>2399</v>
      </c>
      <c r="Y515" s="3" t="s">
        <v>2272</v>
      </c>
      <c r="Z515" s="3" t="s">
        <v>2272</v>
      </c>
      <c r="AA515" s="3" t="s">
        <v>2272</v>
      </c>
      <c r="AB515" s="3"/>
      <c r="AC515" s="3" t="s">
        <v>715</v>
      </c>
    </row>
    <row r="516" spans="1:29"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2359</v>
      </c>
      <c r="K516" s="21" t="s">
        <v>2359</v>
      </c>
      <c r="L516" s="98" t="s">
        <v>2359</v>
      </c>
      <c r="M516" s="21" t="s">
        <v>2359</v>
      </c>
      <c r="N516" s="21" t="s">
        <v>2359</v>
      </c>
      <c r="O516" s="21" t="s">
        <v>2359</v>
      </c>
      <c r="P516" s="21" t="s">
        <v>2359</v>
      </c>
      <c r="Q516" s="21" t="s">
        <v>2359</v>
      </c>
      <c r="R516" s="97" t="s">
        <v>2272</v>
      </c>
      <c r="S516" s="97" t="s">
        <v>2272</v>
      </c>
      <c r="T516" s="21" t="s">
        <v>2359</v>
      </c>
      <c r="U516" s="21" t="s">
        <v>2359</v>
      </c>
      <c r="V516" s="21" t="s">
        <v>2359</v>
      </c>
      <c r="W516" s="21" t="s">
        <v>2359</v>
      </c>
      <c r="X516" s="21" t="s">
        <v>2272</v>
      </c>
      <c r="Y516" s="3" t="s">
        <v>2272</v>
      </c>
      <c r="Z516" s="3" t="s">
        <v>2272</v>
      </c>
      <c r="AA516" s="3" t="s">
        <v>2272</v>
      </c>
      <c r="AB516" s="4" t="s">
        <v>813</v>
      </c>
      <c r="AC516" s="3"/>
    </row>
    <row r="517" spans="1:29"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2359</v>
      </c>
      <c r="K517" s="21" t="s">
        <v>2359</v>
      </c>
      <c r="L517" s="98" t="s">
        <v>2359</v>
      </c>
      <c r="M517" s="21" t="s">
        <v>2359</v>
      </c>
      <c r="N517" s="21" t="s">
        <v>2359</v>
      </c>
      <c r="O517" s="21" t="s">
        <v>2359</v>
      </c>
      <c r="P517" s="21" t="s">
        <v>2359</v>
      </c>
      <c r="Q517" s="21" t="s">
        <v>2359</v>
      </c>
      <c r="R517" s="97" t="s">
        <v>2272</v>
      </c>
      <c r="S517" s="97" t="s">
        <v>2272</v>
      </c>
      <c r="T517" s="21" t="s">
        <v>2359</v>
      </c>
      <c r="U517" s="21" t="s">
        <v>2359</v>
      </c>
      <c r="V517" s="21" t="s">
        <v>2359</v>
      </c>
      <c r="W517" s="21" t="s">
        <v>2359</v>
      </c>
      <c r="X517" s="21" t="s">
        <v>2272</v>
      </c>
      <c r="Y517" s="3" t="s">
        <v>2272</v>
      </c>
      <c r="Z517" s="3" t="s">
        <v>2272</v>
      </c>
      <c r="AA517" s="3" t="s">
        <v>2272</v>
      </c>
      <c r="AB517" s="4" t="s">
        <v>813</v>
      </c>
      <c r="AC517" s="3"/>
    </row>
    <row r="518" spans="1:29"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2272</v>
      </c>
      <c r="K518" s="21" t="s">
        <v>2272</v>
      </c>
      <c r="L518" s="98" t="s">
        <v>2272</v>
      </c>
      <c r="M518" s="21" t="s">
        <v>2272</v>
      </c>
      <c r="N518" s="21" t="s">
        <v>2272</v>
      </c>
      <c r="O518" s="21" t="s">
        <v>2272</v>
      </c>
      <c r="P518" s="21" t="s">
        <v>2272</v>
      </c>
      <c r="Q518" s="21" t="s">
        <v>2272</v>
      </c>
      <c r="R518" s="97" t="s">
        <v>2272</v>
      </c>
      <c r="S518" s="97" t="s">
        <v>2272</v>
      </c>
      <c r="T518" s="21" t="s">
        <v>2272</v>
      </c>
      <c r="U518" s="21" t="s">
        <v>2272</v>
      </c>
      <c r="V518" s="21" t="s">
        <v>2272</v>
      </c>
      <c r="W518" s="21" t="s">
        <v>2272</v>
      </c>
      <c r="X518" s="21" t="s">
        <v>2272</v>
      </c>
      <c r="Y518" s="3" t="s">
        <v>2272</v>
      </c>
      <c r="Z518" s="3" t="s">
        <v>2272</v>
      </c>
      <c r="AA518" s="3" t="s">
        <v>2272</v>
      </c>
      <c r="AB518" s="3"/>
      <c r="AC518" s="3" t="s">
        <v>2051</v>
      </c>
    </row>
    <row r="519" spans="1:29"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2272</v>
      </c>
      <c r="K519" s="21" t="s">
        <v>2272</v>
      </c>
      <c r="L519" s="98" t="s">
        <v>2272</v>
      </c>
      <c r="M519" s="21" t="s">
        <v>2272</v>
      </c>
      <c r="N519" s="21" t="s">
        <v>2272</v>
      </c>
      <c r="O519" s="21" t="s">
        <v>2272</v>
      </c>
      <c r="P519" s="21" t="s">
        <v>2272</v>
      </c>
      <c r="Q519" s="21" t="s">
        <v>2272</v>
      </c>
      <c r="R519" s="97" t="s">
        <v>2272</v>
      </c>
      <c r="S519" s="97" t="s">
        <v>2272</v>
      </c>
      <c r="T519" s="21" t="s">
        <v>2272</v>
      </c>
      <c r="U519" s="21" t="s">
        <v>2272</v>
      </c>
      <c r="V519" s="21" t="s">
        <v>2272</v>
      </c>
      <c r="W519" s="21" t="s">
        <v>2272</v>
      </c>
      <c r="X519" s="21" t="s">
        <v>2397</v>
      </c>
      <c r="Y519" s="3" t="s">
        <v>2272</v>
      </c>
      <c r="Z519" s="3" t="s">
        <v>2272</v>
      </c>
      <c r="AA519" s="3" t="s">
        <v>2272</v>
      </c>
      <c r="AB519" s="3"/>
      <c r="AC519" s="3" t="s">
        <v>2052</v>
      </c>
    </row>
    <row r="520" spans="1:29"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2272</v>
      </c>
      <c r="K520" s="21" t="s">
        <v>2272</v>
      </c>
      <c r="L520" s="98" t="s">
        <v>2272</v>
      </c>
      <c r="M520" s="21" t="s">
        <v>2272</v>
      </c>
      <c r="N520" s="21" t="s">
        <v>2272</v>
      </c>
      <c r="O520" s="21" t="s">
        <v>2272</v>
      </c>
      <c r="P520" s="21" t="s">
        <v>2272</v>
      </c>
      <c r="Q520" s="21" t="s">
        <v>2272</v>
      </c>
      <c r="R520" s="97" t="s">
        <v>2272</v>
      </c>
      <c r="S520" s="97" t="s">
        <v>2272</v>
      </c>
      <c r="T520" s="21" t="s">
        <v>2272</v>
      </c>
      <c r="U520" s="21" t="s">
        <v>2272</v>
      </c>
      <c r="V520" s="21" t="s">
        <v>2272</v>
      </c>
      <c r="W520" s="21" t="s">
        <v>2272</v>
      </c>
      <c r="X520" s="21" t="s">
        <v>2398</v>
      </c>
      <c r="Y520" s="3" t="s">
        <v>2272</v>
      </c>
      <c r="Z520" s="3" t="s">
        <v>2272</v>
      </c>
      <c r="AA520" s="3" t="s">
        <v>2272</v>
      </c>
      <c r="AB520" s="3"/>
      <c r="AC520" s="3" t="s">
        <v>715</v>
      </c>
    </row>
    <row r="521" spans="1:29"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2272</v>
      </c>
      <c r="K521" s="21" t="s">
        <v>2272</v>
      </c>
      <c r="L521" s="98" t="s">
        <v>2272</v>
      </c>
      <c r="M521" s="21" t="s">
        <v>2272</v>
      </c>
      <c r="N521" s="21" t="s">
        <v>2272</v>
      </c>
      <c r="O521" s="21" t="s">
        <v>2272</v>
      </c>
      <c r="P521" s="21" t="s">
        <v>2272</v>
      </c>
      <c r="Q521" s="21" t="s">
        <v>2272</v>
      </c>
      <c r="R521" s="97" t="s">
        <v>2272</v>
      </c>
      <c r="S521" s="97" t="s">
        <v>2272</v>
      </c>
      <c r="T521" s="21" t="s">
        <v>2272</v>
      </c>
      <c r="U521" s="21" t="s">
        <v>2272</v>
      </c>
      <c r="V521" s="21" t="s">
        <v>2272</v>
      </c>
      <c r="W521" s="21" t="s">
        <v>2272</v>
      </c>
      <c r="X521" s="21" t="s">
        <v>2272</v>
      </c>
      <c r="Y521" s="3" t="s">
        <v>2272</v>
      </c>
      <c r="Z521" s="3" t="s">
        <v>2272</v>
      </c>
      <c r="AA521" s="3" t="s">
        <v>2272</v>
      </c>
      <c r="AB521" s="3"/>
      <c r="AC521" s="3" t="s">
        <v>715</v>
      </c>
    </row>
    <row r="522" spans="1:29"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2272</v>
      </c>
      <c r="K522" s="21" t="s">
        <v>2272</v>
      </c>
      <c r="L522" s="98" t="s">
        <v>2272</v>
      </c>
      <c r="M522" s="21" t="s">
        <v>2272</v>
      </c>
      <c r="N522" s="21" t="s">
        <v>2272</v>
      </c>
      <c r="O522" s="21" t="s">
        <v>2272</v>
      </c>
      <c r="P522" s="21" t="s">
        <v>2272</v>
      </c>
      <c r="Q522" s="21" t="s">
        <v>2272</v>
      </c>
      <c r="R522" s="97" t="s">
        <v>2272</v>
      </c>
      <c r="S522" s="97" t="s">
        <v>2272</v>
      </c>
      <c r="T522" s="21" t="s">
        <v>2371</v>
      </c>
      <c r="U522" s="21" t="s">
        <v>2272</v>
      </c>
      <c r="V522" s="21" t="s">
        <v>2369</v>
      </c>
      <c r="W522" s="21" t="s">
        <v>2272</v>
      </c>
      <c r="X522" s="98" t="s">
        <v>2397</v>
      </c>
      <c r="Y522" s="3" t="s">
        <v>2272</v>
      </c>
      <c r="Z522" s="3" t="s">
        <v>2272</v>
      </c>
      <c r="AA522" s="3" t="s">
        <v>2272</v>
      </c>
      <c r="AB522" s="4"/>
      <c r="AC522" s="4" t="s">
        <v>2059</v>
      </c>
    </row>
    <row r="523" spans="1:29"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2359</v>
      </c>
      <c r="K523" s="21" t="s">
        <v>2359</v>
      </c>
      <c r="L523" s="98" t="s">
        <v>2359</v>
      </c>
      <c r="M523" s="21" t="s">
        <v>2359</v>
      </c>
      <c r="N523" s="21" t="s">
        <v>2359</v>
      </c>
      <c r="O523" s="21" t="s">
        <v>2359</v>
      </c>
      <c r="P523" s="21" t="s">
        <v>2359</v>
      </c>
      <c r="Q523" s="21" t="s">
        <v>2359</v>
      </c>
      <c r="R523" s="97" t="s">
        <v>2272</v>
      </c>
      <c r="S523" s="97" t="s">
        <v>2272</v>
      </c>
      <c r="T523" s="21" t="s">
        <v>2359</v>
      </c>
      <c r="U523" s="21" t="s">
        <v>2359</v>
      </c>
      <c r="V523" s="21" t="s">
        <v>2359</v>
      </c>
      <c r="W523" s="21" t="s">
        <v>2359</v>
      </c>
      <c r="X523" s="21" t="s">
        <v>2272</v>
      </c>
      <c r="Y523" s="3" t="s">
        <v>2272</v>
      </c>
      <c r="Z523" s="3" t="s">
        <v>2272</v>
      </c>
      <c r="AA523" s="3" t="s">
        <v>2272</v>
      </c>
      <c r="AB523" s="3"/>
      <c r="AC523" s="3"/>
    </row>
    <row r="524" spans="1:29"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2359</v>
      </c>
      <c r="K524" s="21" t="s">
        <v>2359</v>
      </c>
      <c r="L524" s="98" t="s">
        <v>2359</v>
      </c>
      <c r="M524" s="21" t="s">
        <v>2359</v>
      </c>
      <c r="N524" s="21" t="s">
        <v>2359</v>
      </c>
      <c r="O524" s="21" t="s">
        <v>2359</v>
      </c>
      <c r="P524" s="21" t="s">
        <v>2359</v>
      </c>
      <c r="Q524" s="21" t="s">
        <v>2359</v>
      </c>
      <c r="R524" s="97" t="s">
        <v>2272</v>
      </c>
      <c r="S524" s="97" t="s">
        <v>2272</v>
      </c>
      <c r="T524" s="21" t="s">
        <v>2359</v>
      </c>
      <c r="U524" s="21" t="s">
        <v>2359</v>
      </c>
      <c r="V524" s="21" t="s">
        <v>2359</v>
      </c>
      <c r="W524" s="21" t="s">
        <v>2359</v>
      </c>
      <c r="X524" s="21" t="s">
        <v>2272</v>
      </c>
      <c r="Y524" s="3" t="s">
        <v>2272</v>
      </c>
      <c r="Z524" s="3" t="s">
        <v>2272</v>
      </c>
      <c r="AA524" s="3" t="s">
        <v>2272</v>
      </c>
      <c r="AB524" s="3"/>
      <c r="AC524" s="3"/>
    </row>
    <row r="525" spans="1:29"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2272</v>
      </c>
      <c r="K525" s="21" t="s">
        <v>2272</v>
      </c>
      <c r="L525" s="98" t="s">
        <v>2358</v>
      </c>
      <c r="M525" s="21" t="s">
        <v>2272</v>
      </c>
      <c r="N525" s="21" t="s">
        <v>2369</v>
      </c>
      <c r="O525" s="21" t="s">
        <v>2272</v>
      </c>
      <c r="P525" s="21" t="s">
        <v>2368</v>
      </c>
      <c r="Q525" s="21" t="s">
        <v>2272</v>
      </c>
      <c r="R525" s="97" t="s">
        <v>2272</v>
      </c>
      <c r="S525" s="97" t="s">
        <v>2272</v>
      </c>
      <c r="T525" s="21" t="s">
        <v>2272</v>
      </c>
      <c r="U525" s="21" t="s">
        <v>2272</v>
      </c>
      <c r="V525" s="21" t="s">
        <v>2272</v>
      </c>
      <c r="W525" s="21" t="s">
        <v>2272</v>
      </c>
      <c r="X525" s="21" t="s">
        <v>2272</v>
      </c>
      <c r="Y525" s="3" t="s">
        <v>2272</v>
      </c>
      <c r="Z525" s="3" t="s">
        <v>2272</v>
      </c>
      <c r="AA525" s="3" t="s">
        <v>2272</v>
      </c>
      <c r="AB525" s="4" t="s">
        <v>831</v>
      </c>
      <c r="AC525" s="4" t="s">
        <v>2062</v>
      </c>
    </row>
    <row r="526" spans="1:29"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c r="J526" s="21" t="s">
        <v>2359</v>
      </c>
      <c r="K526" s="21" t="s">
        <v>2359</v>
      </c>
      <c r="L526" s="98" t="s">
        <v>2359</v>
      </c>
      <c r="M526" s="21" t="s">
        <v>2359</v>
      </c>
      <c r="N526" s="21" t="s">
        <v>2359</v>
      </c>
      <c r="O526" s="21" t="s">
        <v>2359</v>
      </c>
      <c r="P526" s="21" t="s">
        <v>2359</v>
      </c>
      <c r="Q526" s="21" t="s">
        <v>2359</v>
      </c>
      <c r="R526" s="97" t="s">
        <v>2272</v>
      </c>
      <c r="S526" s="97" t="s">
        <v>2272</v>
      </c>
      <c r="T526" s="21" t="s">
        <v>2359</v>
      </c>
      <c r="U526" s="21" t="s">
        <v>2359</v>
      </c>
      <c r="V526" s="21" t="s">
        <v>2359</v>
      </c>
      <c r="W526" s="21" t="s">
        <v>2359</v>
      </c>
      <c r="X526" s="98" t="s">
        <v>2272</v>
      </c>
      <c r="Y526" s="3" t="s">
        <v>2272</v>
      </c>
      <c r="Z526" s="3" t="s">
        <v>2272</v>
      </c>
      <c r="AA526" s="3" t="s">
        <v>2272</v>
      </c>
      <c r="AB526" s="3" t="s">
        <v>830</v>
      </c>
      <c r="AC526" s="3"/>
    </row>
    <row r="527" spans="1:29"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2272</v>
      </c>
      <c r="K527" s="21" t="s">
        <v>2272</v>
      </c>
      <c r="L527" s="98" t="s">
        <v>2272</v>
      </c>
      <c r="M527" s="21" t="s">
        <v>2272</v>
      </c>
      <c r="N527" s="21" t="s">
        <v>2272</v>
      </c>
      <c r="O527" s="21" t="s">
        <v>2272</v>
      </c>
      <c r="P527" s="21" t="s">
        <v>2272</v>
      </c>
      <c r="Q527" s="21" t="s">
        <v>2272</v>
      </c>
      <c r="R527" s="97" t="s">
        <v>2272</v>
      </c>
      <c r="S527" s="97" t="s">
        <v>2272</v>
      </c>
      <c r="T527" s="21" t="s">
        <v>2272</v>
      </c>
      <c r="U527" s="21" t="s">
        <v>2272</v>
      </c>
      <c r="V527" s="21" t="s">
        <v>2272</v>
      </c>
      <c r="W527" s="21" t="s">
        <v>2272</v>
      </c>
      <c r="X527" s="98" t="s">
        <v>2398</v>
      </c>
      <c r="Y527" s="3" t="s">
        <v>2272</v>
      </c>
      <c r="Z527" s="3" t="s">
        <v>2272</v>
      </c>
      <c r="AA527" s="3" t="s">
        <v>2272</v>
      </c>
      <c r="AB527" s="4"/>
      <c r="AC527" s="3" t="s">
        <v>715</v>
      </c>
    </row>
    <row r="528" spans="1:29"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2272</v>
      </c>
      <c r="K528" s="21" t="s">
        <v>2272</v>
      </c>
      <c r="L528" s="98" t="s">
        <v>2272</v>
      </c>
      <c r="M528" s="21" t="s">
        <v>2272</v>
      </c>
      <c r="N528" s="21" t="s">
        <v>2272</v>
      </c>
      <c r="O528" s="21" t="s">
        <v>2272</v>
      </c>
      <c r="P528" s="21" t="s">
        <v>2272</v>
      </c>
      <c r="Q528" s="21" t="s">
        <v>2272</v>
      </c>
      <c r="R528" s="97" t="s">
        <v>2272</v>
      </c>
      <c r="S528" s="97" t="s">
        <v>2272</v>
      </c>
      <c r="T528" s="21" t="s">
        <v>2272</v>
      </c>
      <c r="U528" s="21" t="s">
        <v>2272</v>
      </c>
      <c r="V528" s="21" t="s">
        <v>2272</v>
      </c>
      <c r="W528" s="21" t="s">
        <v>2272</v>
      </c>
      <c r="X528" s="98" t="s">
        <v>2272</v>
      </c>
      <c r="Y528" s="3" t="s">
        <v>2272</v>
      </c>
      <c r="Z528" s="3" t="s">
        <v>2272</v>
      </c>
      <c r="AA528" s="3" t="s">
        <v>2272</v>
      </c>
      <c r="AB528" s="4" t="s">
        <v>850</v>
      </c>
      <c r="AC528" s="4"/>
    </row>
    <row r="529" spans="1:29"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2272</v>
      </c>
      <c r="K529" s="21" t="s">
        <v>2272</v>
      </c>
      <c r="L529" s="98" t="s">
        <v>2358</v>
      </c>
      <c r="M529" s="21" t="s">
        <v>2272</v>
      </c>
      <c r="N529" s="21" t="s">
        <v>2368</v>
      </c>
      <c r="O529" s="21" t="s">
        <v>2272</v>
      </c>
      <c r="P529" s="21" t="s">
        <v>2272</v>
      </c>
      <c r="Q529" s="21" t="s">
        <v>2272</v>
      </c>
      <c r="R529" s="97" t="s">
        <v>2272</v>
      </c>
      <c r="S529" s="97" t="s">
        <v>2272</v>
      </c>
      <c r="T529" s="21" t="s">
        <v>2272</v>
      </c>
      <c r="U529" s="21" t="s">
        <v>2272</v>
      </c>
      <c r="V529" s="21" t="s">
        <v>2272</v>
      </c>
      <c r="W529" s="21" t="s">
        <v>2272</v>
      </c>
      <c r="X529" s="98" t="s">
        <v>2398</v>
      </c>
      <c r="Y529" s="3" t="s">
        <v>2272</v>
      </c>
      <c r="Z529" s="3" t="s">
        <v>2272</v>
      </c>
      <c r="AA529" s="3" t="s">
        <v>2272</v>
      </c>
      <c r="AB529" s="4"/>
      <c r="AC529" s="4" t="s">
        <v>2065</v>
      </c>
    </row>
    <row r="530" spans="1:29"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2359</v>
      </c>
      <c r="K530" s="21" t="s">
        <v>2359</v>
      </c>
      <c r="L530" s="98" t="s">
        <v>2359</v>
      </c>
      <c r="M530" s="21" t="s">
        <v>2359</v>
      </c>
      <c r="N530" s="21" t="s">
        <v>2359</v>
      </c>
      <c r="O530" s="21" t="s">
        <v>2359</v>
      </c>
      <c r="P530" s="21" t="s">
        <v>2359</v>
      </c>
      <c r="Q530" s="21" t="s">
        <v>2359</v>
      </c>
      <c r="R530" s="97" t="s">
        <v>2272</v>
      </c>
      <c r="S530" s="97" t="s">
        <v>2272</v>
      </c>
      <c r="T530" s="21" t="s">
        <v>2359</v>
      </c>
      <c r="U530" s="21" t="s">
        <v>2359</v>
      </c>
      <c r="V530" s="21" t="s">
        <v>2359</v>
      </c>
      <c r="W530" s="21" t="s">
        <v>2359</v>
      </c>
      <c r="X530" s="98" t="s">
        <v>2272</v>
      </c>
      <c r="Y530" s="3" t="s">
        <v>2272</v>
      </c>
      <c r="Z530" s="3" t="s">
        <v>2272</v>
      </c>
      <c r="AA530" s="3" t="s">
        <v>2272</v>
      </c>
      <c r="AB530" s="4" t="s">
        <v>850</v>
      </c>
      <c r="AC530" s="4"/>
    </row>
    <row r="531" spans="1:29"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2272</v>
      </c>
      <c r="K531" s="21" t="s">
        <v>2272</v>
      </c>
      <c r="L531" s="98" t="s">
        <v>2358</v>
      </c>
      <c r="M531" s="21" t="s">
        <v>2272</v>
      </c>
      <c r="N531" s="21" t="s">
        <v>2368</v>
      </c>
      <c r="O531" s="21" t="s">
        <v>2272</v>
      </c>
      <c r="P531" s="21" t="s">
        <v>2272</v>
      </c>
      <c r="Q531" s="21" t="s">
        <v>2272</v>
      </c>
      <c r="R531" s="97" t="s">
        <v>2272</v>
      </c>
      <c r="S531" s="97" t="s">
        <v>2272</v>
      </c>
      <c r="T531" s="21" t="s">
        <v>2272</v>
      </c>
      <c r="U531" s="21" t="s">
        <v>2272</v>
      </c>
      <c r="V531" s="21" t="s">
        <v>2272</v>
      </c>
      <c r="W531" s="21" t="s">
        <v>2272</v>
      </c>
      <c r="X531" s="98" t="s">
        <v>2398</v>
      </c>
      <c r="Y531" s="3" t="s">
        <v>2272</v>
      </c>
      <c r="Z531" s="3" t="s">
        <v>2272</v>
      </c>
      <c r="AA531" s="3" t="s">
        <v>2272</v>
      </c>
      <c r="AB531" s="4"/>
      <c r="AC531" s="4" t="s">
        <v>2065</v>
      </c>
    </row>
    <row r="532" spans="1:29"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2359</v>
      </c>
      <c r="K532" s="21" t="s">
        <v>2359</v>
      </c>
      <c r="L532" s="98" t="s">
        <v>2359</v>
      </c>
      <c r="M532" s="21" t="s">
        <v>2359</v>
      </c>
      <c r="N532" s="21" t="s">
        <v>2359</v>
      </c>
      <c r="O532" s="21" t="s">
        <v>2359</v>
      </c>
      <c r="P532" s="21" t="s">
        <v>2359</v>
      </c>
      <c r="Q532" s="21" t="s">
        <v>2359</v>
      </c>
      <c r="R532" s="97" t="s">
        <v>2272</v>
      </c>
      <c r="S532" s="97" t="s">
        <v>2272</v>
      </c>
      <c r="T532" s="21" t="s">
        <v>2359</v>
      </c>
      <c r="U532" s="21" t="s">
        <v>2359</v>
      </c>
      <c r="V532" s="21" t="s">
        <v>2359</v>
      </c>
      <c r="W532" s="21" t="s">
        <v>2359</v>
      </c>
      <c r="X532" s="98" t="s">
        <v>2272</v>
      </c>
      <c r="Y532" s="3" t="s">
        <v>2272</v>
      </c>
      <c r="Z532" s="3" t="s">
        <v>2272</v>
      </c>
      <c r="AA532" s="3" t="s">
        <v>2272</v>
      </c>
      <c r="AB532" s="4" t="s">
        <v>850</v>
      </c>
      <c r="AC532" s="4"/>
    </row>
    <row r="533" spans="1:29"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2272</v>
      </c>
      <c r="K533" s="21" t="s">
        <v>2272</v>
      </c>
      <c r="L533" s="98" t="s">
        <v>2272</v>
      </c>
      <c r="M533" s="21" t="s">
        <v>2272</v>
      </c>
      <c r="N533" s="21" t="s">
        <v>2272</v>
      </c>
      <c r="O533" s="21" t="s">
        <v>2272</v>
      </c>
      <c r="P533" s="21" t="s">
        <v>2272</v>
      </c>
      <c r="Q533" s="21" t="s">
        <v>2272</v>
      </c>
      <c r="R533" s="97" t="s">
        <v>2272</v>
      </c>
      <c r="S533" s="97" t="s">
        <v>2272</v>
      </c>
      <c r="T533" s="21" t="s">
        <v>2272</v>
      </c>
      <c r="U533" s="21" t="s">
        <v>2272</v>
      </c>
      <c r="V533" s="21" t="s">
        <v>2272</v>
      </c>
      <c r="W533" s="21" t="s">
        <v>2272</v>
      </c>
      <c r="X533" s="21" t="s">
        <v>2272</v>
      </c>
      <c r="Y533" s="3" t="s">
        <v>2272</v>
      </c>
      <c r="Z533" s="3" t="s">
        <v>2272</v>
      </c>
      <c r="AA533" s="3" t="s">
        <v>2272</v>
      </c>
      <c r="AB533" s="4" t="s">
        <v>850</v>
      </c>
      <c r="AC533" s="4"/>
    </row>
    <row r="534" spans="1:29"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2272</v>
      </c>
      <c r="K534" s="21" t="s">
        <v>2272</v>
      </c>
      <c r="L534" s="98" t="s">
        <v>2272</v>
      </c>
      <c r="M534" s="21" t="s">
        <v>2272</v>
      </c>
      <c r="N534" s="21" t="s">
        <v>2272</v>
      </c>
      <c r="O534" s="21" t="s">
        <v>2272</v>
      </c>
      <c r="P534" s="21" t="s">
        <v>2370</v>
      </c>
      <c r="Q534" s="21" t="s">
        <v>2272</v>
      </c>
      <c r="R534" s="97" t="s">
        <v>2272</v>
      </c>
      <c r="S534" s="97" t="s">
        <v>2272</v>
      </c>
      <c r="T534" s="21" t="s">
        <v>2272</v>
      </c>
      <c r="U534" s="21" t="s">
        <v>2272</v>
      </c>
      <c r="V534" s="21" t="s">
        <v>2272</v>
      </c>
      <c r="W534" s="21" t="s">
        <v>2272</v>
      </c>
      <c r="X534" s="21" t="s">
        <v>2397</v>
      </c>
      <c r="Y534" s="3" t="s">
        <v>2272</v>
      </c>
      <c r="Z534" s="3" t="s">
        <v>2272</v>
      </c>
      <c r="AA534" s="3" t="s">
        <v>2272</v>
      </c>
      <c r="AB534" s="3"/>
      <c r="AC534" s="3" t="s">
        <v>2067</v>
      </c>
    </row>
    <row r="535" spans="1:29"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2359</v>
      </c>
      <c r="K535" s="21" t="s">
        <v>2359</v>
      </c>
      <c r="L535" s="98" t="s">
        <v>2359</v>
      </c>
      <c r="M535" s="21" t="s">
        <v>2359</v>
      </c>
      <c r="N535" s="21" t="s">
        <v>2359</v>
      </c>
      <c r="O535" s="21" t="s">
        <v>2359</v>
      </c>
      <c r="P535" s="21" t="s">
        <v>2359</v>
      </c>
      <c r="Q535" s="21" t="s">
        <v>2359</v>
      </c>
      <c r="R535" s="97" t="s">
        <v>2272</v>
      </c>
      <c r="S535" s="97" t="s">
        <v>2272</v>
      </c>
      <c r="T535" s="21" t="s">
        <v>2359</v>
      </c>
      <c r="U535" s="21" t="s">
        <v>2359</v>
      </c>
      <c r="V535" s="21" t="s">
        <v>2359</v>
      </c>
      <c r="W535" s="21" t="s">
        <v>2359</v>
      </c>
      <c r="X535" s="21" t="s">
        <v>2272</v>
      </c>
      <c r="Y535" s="3" t="s">
        <v>2272</v>
      </c>
      <c r="Z535" s="3" t="s">
        <v>2272</v>
      </c>
      <c r="AA535" s="3" t="s">
        <v>2272</v>
      </c>
      <c r="AB535" s="4" t="s">
        <v>865</v>
      </c>
      <c r="AC535" s="3"/>
    </row>
    <row r="536" spans="1:29"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2359</v>
      </c>
      <c r="K536" s="21" t="s">
        <v>2359</v>
      </c>
      <c r="L536" s="98" t="s">
        <v>2359</v>
      </c>
      <c r="M536" s="21" t="s">
        <v>2359</v>
      </c>
      <c r="N536" s="21" t="s">
        <v>2359</v>
      </c>
      <c r="O536" s="21" t="s">
        <v>2359</v>
      </c>
      <c r="P536" s="21" t="s">
        <v>2359</v>
      </c>
      <c r="Q536" s="21" t="s">
        <v>2359</v>
      </c>
      <c r="R536" s="97" t="s">
        <v>2272</v>
      </c>
      <c r="S536" s="97" t="s">
        <v>2272</v>
      </c>
      <c r="T536" s="21" t="s">
        <v>2359</v>
      </c>
      <c r="U536" s="21" t="s">
        <v>2359</v>
      </c>
      <c r="V536" s="21" t="s">
        <v>2359</v>
      </c>
      <c r="W536" s="21" t="s">
        <v>2359</v>
      </c>
      <c r="X536" s="21" t="s">
        <v>2272</v>
      </c>
      <c r="Y536" s="3" t="s">
        <v>2272</v>
      </c>
      <c r="Z536" s="3" t="s">
        <v>2272</v>
      </c>
      <c r="AA536" s="3" t="s">
        <v>2272</v>
      </c>
      <c r="AB536" s="19" t="s">
        <v>864</v>
      </c>
      <c r="AC536" s="3"/>
    </row>
    <row r="537" spans="1:29"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4"/>
      <c r="J537" s="21" t="s">
        <v>2272</v>
      </c>
      <c r="K537" s="21" t="s">
        <v>2362</v>
      </c>
      <c r="L537" s="98" t="s">
        <v>2272</v>
      </c>
      <c r="M537" s="21" t="s">
        <v>2272</v>
      </c>
      <c r="N537" s="21" t="s">
        <v>2272</v>
      </c>
      <c r="O537" s="21" t="s">
        <v>2272</v>
      </c>
      <c r="P537" s="21" t="s">
        <v>2358</v>
      </c>
      <c r="Q537" s="21" t="s">
        <v>2272</v>
      </c>
      <c r="R537" s="21" t="s">
        <v>2358</v>
      </c>
      <c r="S537" s="97" t="s">
        <v>2272</v>
      </c>
      <c r="T537" s="21" t="s">
        <v>2272</v>
      </c>
      <c r="U537" s="21" t="s">
        <v>2272</v>
      </c>
      <c r="V537" s="21" t="s">
        <v>2522</v>
      </c>
      <c r="W537" s="21" t="s">
        <v>2272</v>
      </c>
      <c r="X537" s="21" t="s">
        <v>2272</v>
      </c>
      <c r="Y537" s="3" t="s">
        <v>74</v>
      </c>
      <c r="Z537" s="3" t="s">
        <v>34</v>
      </c>
      <c r="AA537" s="3" t="s">
        <v>63</v>
      </c>
      <c r="AB537" s="4" t="s">
        <v>877</v>
      </c>
      <c r="AC537" s="4" t="s">
        <v>2121</v>
      </c>
    </row>
    <row r="538" spans="1:29"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4"/>
      <c r="J538" s="21" t="s">
        <v>2272</v>
      </c>
      <c r="K538" s="21" t="s">
        <v>2362</v>
      </c>
      <c r="L538" s="98" t="s">
        <v>2272</v>
      </c>
      <c r="M538" s="21" t="s">
        <v>2272</v>
      </c>
      <c r="N538" s="21" t="s">
        <v>2272</v>
      </c>
      <c r="O538" s="21" t="s">
        <v>2272</v>
      </c>
      <c r="P538" s="21" t="s">
        <v>2358</v>
      </c>
      <c r="Q538" s="21" t="s">
        <v>2272</v>
      </c>
      <c r="R538" s="21" t="s">
        <v>2358</v>
      </c>
      <c r="S538" s="97" t="s">
        <v>2272</v>
      </c>
      <c r="T538" s="21" t="s">
        <v>2272</v>
      </c>
      <c r="U538" s="21" t="s">
        <v>2272</v>
      </c>
      <c r="V538" s="21" t="s">
        <v>2522</v>
      </c>
      <c r="W538" s="21" t="s">
        <v>2272</v>
      </c>
      <c r="X538" s="21" t="s">
        <v>2272</v>
      </c>
      <c r="Y538" s="3" t="s">
        <v>74</v>
      </c>
      <c r="Z538" s="3" t="s">
        <v>34</v>
      </c>
      <c r="AA538" s="3" t="s">
        <v>63</v>
      </c>
      <c r="AB538" s="4" t="s">
        <v>877</v>
      </c>
      <c r="AC538" s="4" t="s">
        <v>2121</v>
      </c>
    </row>
    <row r="539" spans="1:29"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4"/>
      <c r="J539" s="21" t="s">
        <v>2272</v>
      </c>
      <c r="K539" s="21" t="s">
        <v>2362</v>
      </c>
      <c r="L539" s="98" t="s">
        <v>2272</v>
      </c>
      <c r="M539" s="21" t="s">
        <v>2272</v>
      </c>
      <c r="N539" s="21" t="s">
        <v>2272</v>
      </c>
      <c r="O539" s="21" t="s">
        <v>2272</v>
      </c>
      <c r="P539" s="21" t="s">
        <v>2358</v>
      </c>
      <c r="Q539" s="21" t="s">
        <v>2272</v>
      </c>
      <c r="R539" s="21" t="s">
        <v>2358</v>
      </c>
      <c r="S539" s="97" t="s">
        <v>2272</v>
      </c>
      <c r="T539" s="21" t="s">
        <v>2272</v>
      </c>
      <c r="U539" s="21" t="s">
        <v>2272</v>
      </c>
      <c r="V539" s="21" t="s">
        <v>2522</v>
      </c>
      <c r="W539" s="21" t="s">
        <v>2272</v>
      </c>
      <c r="X539" s="21" t="s">
        <v>2272</v>
      </c>
      <c r="Y539" s="3" t="s">
        <v>74</v>
      </c>
      <c r="Z539" s="3" t="s">
        <v>34</v>
      </c>
      <c r="AA539" s="3" t="s">
        <v>63</v>
      </c>
      <c r="AB539" s="4" t="s">
        <v>877</v>
      </c>
      <c r="AC539" s="4" t="s">
        <v>2121</v>
      </c>
    </row>
    <row r="540" spans="1:29"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4"/>
      <c r="J540" s="21" t="s">
        <v>2272</v>
      </c>
      <c r="K540" s="21" t="s">
        <v>2362</v>
      </c>
      <c r="L540" s="98" t="s">
        <v>2272</v>
      </c>
      <c r="M540" s="21" t="s">
        <v>2272</v>
      </c>
      <c r="N540" s="21" t="s">
        <v>2272</v>
      </c>
      <c r="O540" s="21" t="s">
        <v>2272</v>
      </c>
      <c r="P540" s="21" t="s">
        <v>2358</v>
      </c>
      <c r="Q540" s="21" t="s">
        <v>2272</v>
      </c>
      <c r="R540" s="21" t="s">
        <v>2358</v>
      </c>
      <c r="S540" s="97" t="s">
        <v>2272</v>
      </c>
      <c r="T540" s="21" t="s">
        <v>2272</v>
      </c>
      <c r="U540" s="21" t="s">
        <v>2272</v>
      </c>
      <c r="V540" s="21" t="s">
        <v>2522</v>
      </c>
      <c r="W540" s="21" t="s">
        <v>2272</v>
      </c>
      <c r="X540" s="21" t="s">
        <v>2272</v>
      </c>
      <c r="Y540" s="3" t="s">
        <v>74</v>
      </c>
      <c r="Z540" s="3" t="s">
        <v>34</v>
      </c>
      <c r="AA540" s="3" t="s">
        <v>63</v>
      </c>
      <c r="AB540" s="4" t="s">
        <v>877</v>
      </c>
      <c r="AC540" s="4" t="s">
        <v>2121</v>
      </c>
    </row>
    <row r="541" spans="1:29"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4"/>
      <c r="J541" s="21" t="s">
        <v>2272</v>
      </c>
      <c r="K541" s="21" t="s">
        <v>2362</v>
      </c>
      <c r="L541" s="98" t="s">
        <v>2272</v>
      </c>
      <c r="M541" s="21" t="s">
        <v>2272</v>
      </c>
      <c r="N541" s="21" t="s">
        <v>2272</v>
      </c>
      <c r="O541" s="21" t="s">
        <v>2272</v>
      </c>
      <c r="P541" s="21" t="s">
        <v>2358</v>
      </c>
      <c r="Q541" s="21" t="s">
        <v>2272</v>
      </c>
      <c r="R541" s="21" t="s">
        <v>2358</v>
      </c>
      <c r="S541" s="97" t="s">
        <v>2272</v>
      </c>
      <c r="T541" s="21" t="s">
        <v>2272</v>
      </c>
      <c r="U541" s="21" t="s">
        <v>2272</v>
      </c>
      <c r="V541" s="21" t="s">
        <v>2522</v>
      </c>
      <c r="W541" s="21" t="s">
        <v>2272</v>
      </c>
      <c r="X541" s="21" t="s">
        <v>2272</v>
      </c>
      <c r="Y541" s="3" t="s">
        <v>74</v>
      </c>
      <c r="Z541" s="3" t="s">
        <v>34</v>
      </c>
      <c r="AA541" s="3" t="s">
        <v>63</v>
      </c>
      <c r="AB541" s="4" t="s">
        <v>877</v>
      </c>
      <c r="AC541" s="4" t="s">
        <v>2121</v>
      </c>
    </row>
    <row r="542" spans="1:29"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4"/>
      <c r="J542" s="21" t="s">
        <v>2272</v>
      </c>
      <c r="K542" s="21" t="s">
        <v>2363</v>
      </c>
      <c r="L542" s="98" t="s">
        <v>2272</v>
      </c>
      <c r="M542" s="21" t="s">
        <v>2272</v>
      </c>
      <c r="N542" s="21" t="s">
        <v>2272</v>
      </c>
      <c r="O542" s="21" t="s">
        <v>2272</v>
      </c>
      <c r="P542" s="21" t="s">
        <v>2358</v>
      </c>
      <c r="Q542" s="21" t="s">
        <v>2272</v>
      </c>
      <c r="R542" s="21" t="s">
        <v>2358</v>
      </c>
      <c r="S542" s="97" t="s">
        <v>2272</v>
      </c>
      <c r="T542" s="21" t="s">
        <v>2272</v>
      </c>
      <c r="U542" s="21" t="s">
        <v>2272</v>
      </c>
      <c r="V542" s="21" t="s">
        <v>2522</v>
      </c>
      <c r="W542" s="21" t="s">
        <v>2272</v>
      </c>
      <c r="X542" s="21" t="s">
        <v>2272</v>
      </c>
      <c r="Y542" s="3" t="s">
        <v>74</v>
      </c>
      <c r="Z542" s="3" t="s">
        <v>34</v>
      </c>
      <c r="AA542" s="3" t="s">
        <v>63</v>
      </c>
      <c r="AB542" s="4" t="s">
        <v>877</v>
      </c>
      <c r="AC542" s="4" t="s">
        <v>2121</v>
      </c>
    </row>
    <row r="543" spans="1:29"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4"/>
      <c r="J543" s="21" t="s">
        <v>2272</v>
      </c>
      <c r="K543" s="21" t="s">
        <v>2364</v>
      </c>
      <c r="L543" s="98" t="s">
        <v>2272</v>
      </c>
      <c r="M543" s="21" t="s">
        <v>2272</v>
      </c>
      <c r="N543" s="21" t="s">
        <v>2272</v>
      </c>
      <c r="O543" s="21" t="s">
        <v>2272</v>
      </c>
      <c r="P543" s="21" t="s">
        <v>2358</v>
      </c>
      <c r="Q543" s="21" t="s">
        <v>2272</v>
      </c>
      <c r="R543" s="21" t="s">
        <v>2358</v>
      </c>
      <c r="S543" s="97" t="s">
        <v>2272</v>
      </c>
      <c r="T543" s="21" t="s">
        <v>2272</v>
      </c>
      <c r="U543" s="21" t="s">
        <v>2272</v>
      </c>
      <c r="V543" s="21" t="s">
        <v>2522</v>
      </c>
      <c r="W543" s="21" t="s">
        <v>2272</v>
      </c>
      <c r="X543" s="21" t="s">
        <v>2272</v>
      </c>
      <c r="Y543" s="3" t="s">
        <v>74</v>
      </c>
      <c r="Z543" s="3" t="s">
        <v>34</v>
      </c>
      <c r="AA543" s="3" t="s">
        <v>63</v>
      </c>
      <c r="AB543" s="4" t="s">
        <v>877</v>
      </c>
      <c r="AC543" s="4" t="s">
        <v>2121</v>
      </c>
    </row>
    <row r="544" spans="1:29"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4"/>
      <c r="J544" s="21" t="s">
        <v>2272</v>
      </c>
      <c r="K544" s="21" t="s">
        <v>2364</v>
      </c>
      <c r="L544" s="98" t="s">
        <v>2272</v>
      </c>
      <c r="M544" s="21" t="s">
        <v>2272</v>
      </c>
      <c r="N544" s="21" t="s">
        <v>2272</v>
      </c>
      <c r="O544" s="21" t="s">
        <v>2272</v>
      </c>
      <c r="P544" s="21" t="s">
        <v>2358</v>
      </c>
      <c r="Q544" s="21" t="s">
        <v>2272</v>
      </c>
      <c r="R544" s="21" t="s">
        <v>2358</v>
      </c>
      <c r="S544" s="97" t="s">
        <v>2272</v>
      </c>
      <c r="T544" s="21" t="s">
        <v>2272</v>
      </c>
      <c r="U544" s="21" t="s">
        <v>2272</v>
      </c>
      <c r="V544" s="21" t="s">
        <v>2522</v>
      </c>
      <c r="W544" s="21" t="s">
        <v>2272</v>
      </c>
      <c r="X544" s="21" t="s">
        <v>2272</v>
      </c>
      <c r="Y544" s="3" t="s">
        <v>74</v>
      </c>
      <c r="Z544" s="3" t="s">
        <v>34</v>
      </c>
      <c r="AA544" s="3" t="s">
        <v>63</v>
      </c>
      <c r="AB544" s="4" t="s">
        <v>877</v>
      </c>
      <c r="AC544" s="4" t="s">
        <v>2121</v>
      </c>
    </row>
    <row r="545" spans="1:29"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4"/>
      <c r="J545" s="21" t="s">
        <v>2272</v>
      </c>
      <c r="K545" s="21" t="s">
        <v>2363</v>
      </c>
      <c r="L545" s="98" t="s">
        <v>2272</v>
      </c>
      <c r="M545" s="21" t="s">
        <v>2272</v>
      </c>
      <c r="N545" s="21" t="s">
        <v>2272</v>
      </c>
      <c r="O545" s="21" t="s">
        <v>2272</v>
      </c>
      <c r="P545" s="21" t="s">
        <v>2358</v>
      </c>
      <c r="Q545" s="21" t="s">
        <v>2272</v>
      </c>
      <c r="R545" s="21" t="s">
        <v>2358</v>
      </c>
      <c r="S545" s="97" t="s">
        <v>2272</v>
      </c>
      <c r="T545" s="21" t="s">
        <v>2272</v>
      </c>
      <c r="U545" s="21" t="s">
        <v>2272</v>
      </c>
      <c r="V545" s="21" t="s">
        <v>2522</v>
      </c>
      <c r="W545" s="21" t="s">
        <v>2272</v>
      </c>
      <c r="X545" s="21" t="s">
        <v>2272</v>
      </c>
      <c r="Y545" s="3" t="s">
        <v>74</v>
      </c>
      <c r="Z545" s="3" t="s">
        <v>34</v>
      </c>
      <c r="AA545" s="3" t="s">
        <v>63</v>
      </c>
      <c r="AB545" s="4" t="s">
        <v>877</v>
      </c>
      <c r="AC545" s="4" t="s">
        <v>2121</v>
      </c>
    </row>
    <row r="546" spans="1:29"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4"/>
      <c r="J546" s="21" t="s">
        <v>2272</v>
      </c>
      <c r="K546" s="21" t="s">
        <v>2362</v>
      </c>
      <c r="L546" s="98" t="s">
        <v>2272</v>
      </c>
      <c r="M546" s="21" t="s">
        <v>2272</v>
      </c>
      <c r="N546" s="21" t="s">
        <v>2272</v>
      </c>
      <c r="O546" s="21" t="s">
        <v>2272</v>
      </c>
      <c r="P546" s="21" t="s">
        <v>2358</v>
      </c>
      <c r="Q546" s="21" t="s">
        <v>2272</v>
      </c>
      <c r="R546" s="21" t="s">
        <v>2358</v>
      </c>
      <c r="S546" s="97" t="s">
        <v>2272</v>
      </c>
      <c r="T546" s="21" t="s">
        <v>2272</v>
      </c>
      <c r="U546" s="21" t="s">
        <v>2272</v>
      </c>
      <c r="V546" s="21" t="s">
        <v>2522</v>
      </c>
      <c r="W546" s="21" t="s">
        <v>2272</v>
      </c>
      <c r="X546" s="21" t="s">
        <v>2272</v>
      </c>
      <c r="Y546" s="3" t="s">
        <v>74</v>
      </c>
      <c r="Z546" s="3" t="s">
        <v>34</v>
      </c>
      <c r="AA546" s="3" t="s">
        <v>63</v>
      </c>
      <c r="AB546" s="4" t="s">
        <v>877</v>
      </c>
      <c r="AC546" s="4" t="s">
        <v>2121</v>
      </c>
    </row>
    <row r="547" spans="1:29"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4"/>
      <c r="J547" s="21" t="s">
        <v>2272</v>
      </c>
      <c r="K547" s="21" t="s">
        <v>2364</v>
      </c>
      <c r="L547" s="98" t="s">
        <v>2272</v>
      </c>
      <c r="M547" s="21" t="s">
        <v>2272</v>
      </c>
      <c r="N547" s="21" t="s">
        <v>2272</v>
      </c>
      <c r="O547" s="21" t="s">
        <v>2272</v>
      </c>
      <c r="P547" s="21" t="s">
        <v>2358</v>
      </c>
      <c r="Q547" s="21" t="s">
        <v>2272</v>
      </c>
      <c r="R547" s="21" t="s">
        <v>2358</v>
      </c>
      <c r="S547" s="97" t="s">
        <v>2272</v>
      </c>
      <c r="T547" s="21" t="s">
        <v>2272</v>
      </c>
      <c r="U547" s="21" t="s">
        <v>2272</v>
      </c>
      <c r="V547" s="21" t="s">
        <v>2522</v>
      </c>
      <c r="W547" s="21" t="s">
        <v>2272</v>
      </c>
      <c r="X547" s="21" t="s">
        <v>2272</v>
      </c>
      <c r="Y547" s="3" t="s">
        <v>74</v>
      </c>
      <c r="Z547" s="3" t="s">
        <v>34</v>
      </c>
      <c r="AA547" s="3" t="s">
        <v>63</v>
      </c>
      <c r="AB547" s="4" t="s">
        <v>877</v>
      </c>
      <c r="AC547" s="4" t="s">
        <v>2121</v>
      </c>
    </row>
    <row r="548" spans="1:29"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4"/>
      <c r="J548" s="21" t="s">
        <v>2272</v>
      </c>
      <c r="K548" s="21" t="s">
        <v>2364</v>
      </c>
      <c r="L548" s="98" t="s">
        <v>2272</v>
      </c>
      <c r="M548" s="21" t="s">
        <v>2272</v>
      </c>
      <c r="N548" s="21" t="s">
        <v>2272</v>
      </c>
      <c r="O548" s="21" t="s">
        <v>2272</v>
      </c>
      <c r="P548" s="21" t="s">
        <v>2358</v>
      </c>
      <c r="Q548" s="21" t="s">
        <v>2272</v>
      </c>
      <c r="R548" s="21" t="s">
        <v>2358</v>
      </c>
      <c r="S548" s="97" t="s">
        <v>2272</v>
      </c>
      <c r="T548" s="21" t="s">
        <v>2272</v>
      </c>
      <c r="U548" s="21" t="s">
        <v>2272</v>
      </c>
      <c r="V548" s="21" t="s">
        <v>2522</v>
      </c>
      <c r="W548" s="21" t="s">
        <v>2272</v>
      </c>
      <c r="X548" s="21" t="s">
        <v>2272</v>
      </c>
      <c r="Y548" s="3" t="s">
        <v>74</v>
      </c>
      <c r="Z548" s="3" t="s">
        <v>34</v>
      </c>
      <c r="AA548" s="3" t="s">
        <v>63</v>
      </c>
      <c r="AB548" s="4" t="s">
        <v>877</v>
      </c>
      <c r="AC548" s="4" t="s">
        <v>2121</v>
      </c>
    </row>
    <row r="549" spans="1:29"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4"/>
      <c r="J549" s="21" t="s">
        <v>2272</v>
      </c>
      <c r="K549" s="21" t="s">
        <v>2362</v>
      </c>
      <c r="L549" s="98" t="s">
        <v>2272</v>
      </c>
      <c r="M549" s="21" t="s">
        <v>2272</v>
      </c>
      <c r="N549" s="21" t="s">
        <v>2272</v>
      </c>
      <c r="O549" s="21" t="s">
        <v>2272</v>
      </c>
      <c r="P549" s="21" t="s">
        <v>2358</v>
      </c>
      <c r="Q549" s="21" t="s">
        <v>2272</v>
      </c>
      <c r="R549" s="21" t="s">
        <v>2358</v>
      </c>
      <c r="S549" s="97" t="s">
        <v>2272</v>
      </c>
      <c r="T549" s="21" t="s">
        <v>2272</v>
      </c>
      <c r="U549" s="21" t="s">
        <v>2272</v>
      </c>
      <c r="V549" s="21" t="s">
        <v>2522</v>
      </c>
      <c r="W549" s="21" t="s">
        <v>2272</v>
      </c>
      <c r="X549" s="21" t="s">
        <v>2272</v>
      </c>
      <c r="Y549" s="3" t="s">
        <v>74</v>
      </c>
      <c r="Z549" s="3" t="s">
        <v>34</v>
      </c>
      <c r="AA549" s="3" t="s">
        <v>63</v>
      </c>
      <c r="AB549" s="4" t="s">
        <v>877</v>
      </c>
      <c r="AC549" s="4" t="s">
        <v>2121</v>
      </c>
    </row>
    <row r="550" spans="1:29"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4"/>
      <c r="J550" s="21" t="s">
        <v>2272</v>
      </c>
      <c r="K550" s="21" t="s">
        <v>2363</v>
      </c>
      <c r="L550" s="98" t="s">
        <v>2272</v>
      </c>
      <c r="M550" s="21" t="s">
        <v>2272</v>
      </c>
      <c r="N550" s="21" t="s">
        <v>2272</v>
      </c>
      <c r="O550" s="21" t="s">
        <v>2272</v>
      </c>
      <c r="P550" s="21" t="s">
        <v>2358</v>
      </c>
      <c r="Q550" s="21" t="s">
        <v>2272</v>
      </c>
      <c r="R550" s="21" t="s">
        <v>2358</v>
      </c>
      <c r="S550" s="97" t="s">
        <v>2272</v>
      </c>
      <c r="T550" s="21" t="s">
        <v>2272</v>
      </c>
      <c r="U550" s="21" t="s">
        <v>2272</v>
      </c>
      <c r="V550" s="21" t="s">
        <v>2522</v>
      </c>
      <c r="W550" s="21" t="s">
        <v>2272</v>
      </c>
      <c r="X550" s="21" t="s">
        <v>2272</v>
      </c>
      <c r="Y550" s="3" t="s">
        <v>74</v>
      </c>
      <c r="Z550" s="3" t="s">
        <v>34</v>
      </c>
      <c r="AA550" s="3" t="s">
        <v>63</v>
      </c>
      <c r="AB550" s="4" t="s">
        <v>877</v>
      </c>
      <c r="AC550" s="4" t="s">
        <v>2121</v>
      </c>
    </row>
    <row r="551" spans="1:29"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4"/>
      <c r="J551" s="21" t="s">
        <v>2272</v>
      </c>
      <c r="K551" s="21" t="s">
        <v>2363</v>
      </c>
      <c r="L551" s="98" t="s">
        <v>2272</v>
      </c>
      <c r="M551" s="21" t="s">
        <v>2272</v>
      </c>
      <c r="N551" s="21" t="s">
        <v>2272</v>
      </c>
      <c r="O551" s="21" t="s">
        <v>2272</v>
      </c>
      <c r="P551" s="21" t="s">
        <v>2358</v>
      </c>
      <c r="Q551" s="21" t="s">
        <v>2272</v>
      </c>
      <c r="R551" s="21" t="s">
        <v>2358</v>
      </c>
      <c r="S551" s="97" t="s">
        <v>2272</v>
      </c>
      <c r="T551" s="21" t="s">
        <v>2272</v>
      </c>
      <c r="U551" s="21" t="s">
        <v>2272</v>
      </c>
      <c r="V551" s="21" t="s">
        <v>2522</v>
      </c>
      <c r="W551" s="21" t="s">
        <v>2272</v>
      </c>
      <c r="X551" s="21" t="s">
        <v>2272</v>
      </c>
      <c r="Y551" s="3" t="s">
        <v>74</v>
      </c>
      <c r="Z551" s="3" t="s">
        <v>34</v>
      </c>
      <c r="AA551" s="3" t="s">
        <v>63</v>
      </c>
      <c r="AB551" s="4" t="s">
        <v>877</v>
      </c>
      <c r="AC551" s="4" t="s">
        <v>2121</v>
      </c>
    </row>
    <row r="552" spans="1:29"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4"/>
      <c r="J552" s="21" t="s">
        <v>2272</v>
      </c>
      <c r="K552" s="21" t="s">
        <v>2364</v>
      </c>
      <c r="L552" s="98" t="s">
        <v>2272</v>
      </c>
      <c r="M552" s="21" t="s">
        <v>2272</v>
      </c>
      <c r="N552" s="21" t="s">
        <v>2272</v>
      </c>
      <c r="O552" s="21" t="s">
        <v>2272</v>
      </c>
      <c r="P552" s="21" t="s">
        <v>2358</v>
      </c>
      <c r="Q552" s="21" t="s">
        <v>2272</v>
      </c>
      <c r="R552" s="21" t="s">
        <v>2358</v>
      </c>
      <c r="S552" s="97" t="s">
        <v>2272</v>
      </c>
      <c r="T552" s="21" t="s">
        <v>2272</v>
      </c>
      <c r="U552" s="21" t="s">
        <v>2272</v>
      </c>
      <c r="V552" s="21" t="s">
        <v>2522</v>
      </c>
      <c r="W552" s="21" t="s">
        <v>2272</v>
      </c>
      <c r="X552" s="21" t="s">
        <v>2272</v>
      </c>
      <c r="Y552" s="3" t="s">
        <v>74</v>
      </c>
      <c r="Z552" s="3" t="s">
        <v>34</v>
      </c>
      <c r="AA552" s="3" t="s">
        <v>63</v>
      </c>
      <c r="AB552" s="4" t="s">
        <v>877</v>
      </c>
      <c r="AC552" s="4" t="s">
        <v>2121</v>
      </c>
    </row>
    <row r="553" spans="1:29"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4"/>
      <c r="J553" s="21" t="s">
        <v>2272</v>
      </c>
      <c r="K553" s="21" t="s">
        <v>2363</v>
      </c>
      <c r="L553" s="98" t="s">
        <v>2272</v>
      </c>
      <c r="M553" s="21" t="s">
        <v>2272</v>
      </c>
      <c r="N553" s="21" t="s">
        <v>2272</v>
      </c>
      <c r="O553" s="21" t="s">
        <v>2272</v>
      </c>
      <c r="P553" s="21" t="s">
        <v>2358</v>
      </c>
      <c r="Q553" s="21" t="s">
        <v>2272</v>
      </c>
      <c r="R553" s="21" t="s">
        <v>2358</v>
      </c>
      <c r="S553" s="97" t="s">
        <v>2272</v>
      </c>
      <c r="T553" s="21" t="s">
        <v>2272</v>
      </c>
      <c r="U553" s="21" t="s">
        <v>2272</v>
      </c>
      <c r="V553" s="21" t="s">
        <v>2522</v>
      </c>
      <c r="W553" s="21" t="s">
        <v>2272</v>
      </c>
      <c r="X553" s="21" t="s">
        <v>2272</v>
      </c>
      <c r="Y553" s="3" t="s">
        <v>74</v>
      </c>
      <c r="Z553" s="3" t="s">
        <v>34</v>
      </c>
      <c r="AA553" s="3" t="s">
        <v>63</v>
      </c>
      <c r="AB553" s="4" t="s">
        <v>877</v>
      </c>
      <c r="AC553" s="4" t="s">
        <v>2121</v>
      </c>
    </row>
    <row r="554" spans="1:29"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4"/>
      <c r="J554" s="21" t="s">
        <v>2272</v>
      </c>
      <c r="K554" s="21" t="s">
        <v>2363</v>
      </c>
      <c r="L554" s="98" t="s">
        <v>2272</v>
      </c>
      <c r="M554" s="21" t="s">
        <v>2272</v>
      </c>
      <c r="N554" s="21" t="s">
        <v>2272</v>
      </c>
      <c r="O554" s="21" t="s">
        <v>2272</v>
      </c>
      <c r="P554" s="21" t="s">
        <v>2358</v>
      </c>
      <c r="Q554" s="21" t="s">
        <v>2272</v>
      </c>
      <c r="R554" s="21" t="s">
        <v>2358</v>
      </c>
      <c r="S554" s="97" t="s">
        <v>2272</v>
      </c>
      <c r="T554" s="21" t="s">
        <v>2272</v>
      </c>
      <c r="U554" s="21" t="s">
        <v>2272</v>
      </c>
      <c r="V554" s="21" t="s">
        <v>2522</v>
      </c>
      <c r="W554" s="21" t="s">
        <v>2272</v>
      </c>
      <c r="X554" s="21" t="s">
        <v>2272</v>
      </c>
      <c r="Y554" s="3" t="s">
        <v>74</v>
      </c>
      <c r="Z554" s="3" t="s">
        <v>34</v>
      </c>
      <c r="AA554" s="3" t="s">
        <v>63</v>
      </c>
      <c r="AB554" s="4" t="s">
        <v>877</v>
      </c>
      <c r="AC554" s="4" t="s">
        <v>2121</v>
      </c>
    </row>
    <row r="555" spans="1:29"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4"/>
      <c r="J555" s="21" t="s">
        <v>2272</v>
      </c>
      <c r="K555" s="21" t="s">
        <v>2363</v>
      </c>
      <c r="L555" s="98" t="s">
        <v>2272</v>
      </c>
      <c r="M555" s="21" t="s">
        <v>2272</v>
      </c>
      <c r="N555" s="21" t="s">
        <v>2272</v>
      </c>
      <c r="O555" s="21" t="s">
        <v>2272</v>
      </c>
      <c r="P555" s="21" t="s">
        <v>2358</v>
      </c>
      <c r="Q555" s="21" t="s">
        <v>2272</v>
      </c>
      <c r="R555" s="21" t="s">
        <v>2358</v>
      </c>
      <c r="S555" s="97" t="s">
        <v>2272</v>
      </c>
      <c r="T555" s="21" t="s">
        <v>2272</v>
      </c>
      <c r="U555" s="21" t="s">
        <v>2272</v>
      </c>
      <c r="V555" s="21" t="s">
        <v>2522</v>
      </c>
      <c r="W555" s="21" t="s">
        <v>2272</v>
      </c>
      <c r="X555" s="21" t="s">
        <v>2272</v>
      </c>
      <c r="Y555" s="3" t="s">
        <v>74</v>
      </c>
      <c r="Z555" s="3" t="s">
        <v>34</v>
      </c>
      <c r="AA555" s="3" t="s">
        <v>63</v>
      </c>
      <c r="AB555" s="4" t="s">
        <v>877</v>
      </c>
      <c r="AC555" s="4" t="s">
        <v>2121</v>
      </c>
    </row>
    <row r="556" spans="1:29"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4"/>
      <c r="J556" s="21" t="s">
        <v>2272</v>
      </c>
      <c r="K556" s="21" t="s">
        <v>2363</v>
      </c>
      <c r="L556" s="98" t="s">
        <v>2272</v>
      </c>
      <c r="M556" s="21" t="s">
        <v>2272</v>
      </c>
      <c r="N556" s="21" t="s">
        <v>2272</v>
      </c>
      <c r="O556" s="21" t="s">
        <v>2272</v>
      </c>
      <c r="P556" s="21" t="s">
        <v>2358</v>
      </c>
      <c r="Q556" s="21" t="s">
        <v>2272</v>
      </c>
      <c r="R556" s="21" t="s">
        <v>2358</v>
      </c>
      <c r="S556" s="97" t="s">
        <v>2272</v>
      </c>
      <c r="T556" s="21" t="s">
        <v>2272</v>
      </c>
      <c r="U556" s="21" t="s">
        <v>2272</v>
      </c>
      <c r="V556" s="21" t="s">
        <v>2522</v>
      </c>
      <c r="W556" s="21" t="s">
        <v>2272</v>
      </c>
      <c r="X556" s="21" t="s">
        <v>2272</v>
      </c>
      <c r="Y556" s="3" t="s">
        <v>74</v>
      </c>
      <c r="Z556" s="3" t="s">
        <v>34</v>
      </c>
      <c r="AA556" s="3" t="s">
        <v>63</v>
      </c>
      <c r="AB556" s="4" t="s">
        <v>877</v>
      </c>
      <c r="AC556" s="4" t="s">
        <v>2121</v>
      </c>
    </row>
    <row r="557" spans="1:29"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4"/>
      <c r="J557" s="21" t="s">
        <v>2272</v>
      </c>
      <c r="K557" s="21" t="s">
        <v>2363</v>
      </c>
      <c r="L557" s="98" t="s">
        <v>2272</v>
      </c>
      <c r="M557" s="21" t="s">
        <v>2272</v>
      </c>
      <c r="N557" s="21" t="s">
        <v>2272</v>
      </c>
      <c r="O557" s="21" t="s">
        <v>2272</v>
      </c>
      <c r="P557" s="21" t="s">
        <v>2358</v>
      </c>
      <c r="Q557" s="21" t="s">
        <v>2272</v>
      </c>
      <c r="R557" s="21" t="s">
        <v>2358</v>
      </c>
      <c r="S557" s="97" t="s">
        <v>2272</v>
      </c>
      <c r="T557" s="21" t="s">
        <v>2272</v>
      </c>
      <c r="U557" s="21" t="s">
        <v>2272</v>
      </c>
      <c r="V557" s="21" t="s">
        <v>2522</v>
      </c>
      <c r="W557" s="21" t="s">
        <v>2272</v>
      </c>
      <c r="X557" s="21" t="s">
        <v>2272</v>
      </c>
      <c r="Y557" s="3" t="s">
        <v>74</v>
      </c>
      <c r="Z557" s="3" t="s">
        <v>34</v>
      </c>
      <c r="AA557" s="3" t="s">
        <v>63</v>
      </c>
      <c r="AB557" s="4" t="s">
        <v>877</v>
      </c>
      <c r="AC557" s="4" t="s">
        <v>2121</v>
      </c>
    </row>
    <row r="558" spans="1:29"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4"/>
      <c r="J558" s="21" t="s">
        <v>2272</v>
      </c>
      <c r="K558" s="21" t="s">
        <v>2363</v>
      </c>
      <c r="L558" s="98" t="s">
        <v>2272</v>
      </c>
      <c r="M558" s="21" t="s">
        <v>2272</v>
      </c>
      <c r="N558" s="21" t="s">
        <v>2272</v>
      </c>
      <c r="O558" s="21" t="s">
        <v>2272</v>
      </c>
      <c r="P558" s="21" t="s">
        <v>2358</v>
      </c>
      <c r="Q558" s="21" t="s">
        <v>2272</v>
      </c>
      <c r="R558" s="21" t="s">
        <v>2358</v>
      </c>
      <c r="S558" s="97" t="s">
        <v>2272</v>
      </c>
      <c r="T558" s="21" t="s">
        <v>2272</v>
      </c>
      <c r="U558" s="21" t="s">
        <v>2272</v>
      </c>
      <c r="V558" s="21" t="s">
        <v>2522</v>
      </c>
      <c r="W558" s="21" t="s">
        <v>2272</v>
      </c>
      <c r="X558" s="21" t="s">
        <v>2272</v>
      </c>
      <c r="Y558" s="3" t="s">
        <v>74</v>
      </c>
      <c r="Z558" s="3" t="s">
        <v>34</v>
      </c>
      <c r="AA558" s="3" t="s">
        <v>63</v>
      </c>
      <c r="AB558" s="4" t="s">
        <v>877</v>
      </c>
      <c r="AC558" s="4" t="s">
        <v>2121</v>
      </c>
    </row>
    <row r="559" spans="1:29"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4"/>
      <c r="J559" s="21" t="s">
        <v>2272</v>
      </c>
      <c r="K559" s="21" t="s">
        <v>2363</v>
      </c>
      <c r="L559" s="98" t="s">
        <v>2272</v>
      </c>
      <c r="M559" s="21" t="s">
        <v>2272</v>
      </c>
      <c r="N559" s="21" t="s">
        <v>2272</v>
      </c>
      <c r="O559" s="21" t="s">
        <v>2272</v>
      </c>
      <c r="P559" s="21" t="s">
        <v>2358</v>
      </c>
      <c r="Q559" s="21" t="s">
        <v>2272</v>
      </c>
      <c r="R559" s="21" t="s">
        <v>2358</v>
      </c>
      <c r="S559" s="97" t="s">
        <v>2272</v>
      </c>
      <c r="T559" s="21" t="s">
        <v>2272</v>
      </c>
      <c r="U559" s="21" t="s">
        <v>2272</v>
      </c>
      <c r="V559" s="21" t="s">
        <v>2522</v>
      </c>
      <c r="W559" s="21" t="s">
        <v>2272</v>
      </c>
      <c r="X559" s="21" t="s">
        <v>2272</v>
      </c>
      <c r="Y559" s="3" t="s">
        <v>74</v>
      </c>
      <c r="Z559" s="3" t="s">
        <v>34</v>
      </c>
      <c r="AA559" s="3" t="s">
        <v>63</v>
      </c>
      <c r="AB559" s="4" t="s">
        <v>877</v>
      </c>
      <c r="AC559" s="4" t="s">
        <v>2121</v>
      </c>
    </row>
    <row r="560" spans="1:29"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4"/>
      <c r="J560" s="21" t="s">
        <v>2272</v>
      </c>
      <c r="K560" s="21" t="s">
        <v>2363</v>
      </c>
      <c r="L560" s="98" t="s">
        <v>2272</v>
      </c>
      <c r="M560" s="21" t="s">
        <v>2272</v>
      </c>
      <c r="N560" s="21" t="s">
        <v>2272</v>
      </c>
      <c r="O560" s="21" t="s">
        <v>2272</v>
      </c>
      <c r="P560" s="21" t="s">
        <v>2358</v>
      </c>
      <c r="Q560" s="21" t="s">
        <v>2272</v>
      </c>
      <c r="R560" s="21" t="s">
        <v>2358</v>
      </c>
      <c r="S560" s="97" t="s">
        <v>2272</v>
      </c>
      <c r="T560" s="21" t="s">
        <v>2272</v>
      </c>
      <c r="U560" s="21" t="s">
        <v>2272</v>
      </c>
      <c r="V560" s="21" t="s">
        <v>2522</v>
      </c>
      <c r="W560" s="21" t="s">
        <v>2272</v>
      </c>
      <c r="X560" s="21" t="s">
        <v>2272</v>
      </c>
      <c r="Y560" s="3" t="s">
        <v>74</v>
      </c>
      <c r="Z560" s="3" t="s">
        <v>34</v>
      </c>
      <c r="AA560" s="3" t="s">
        <v>63</v>
      </c>
      <c r="AB560" s="4" t="s">
        <v>877</v>
      </c>
      <c r="AC560" s="4" t="s">
        <v>2121</v>
      </c>
    </row>
    <row r="561" spans="1:29"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4"/>
      <c r="J561" s="21" t="s">
        <v>2272</v>
      </c>
      <c r="K561" s="21" t="s">
        <v>2364</v>
      </c>
      <c r="L561" s="98" t="s">
        <v>2272</v>
      </c>
      <c r="M561" s="21" t="s">
        <v>2272</v>
      </c>
      <c r="N561" s="21" t="s">
        <v>2272</v>
      </c>
      <c r="O561" s="21" t="s">
        <v>2272</v>
      </c>
      <c r="P561" s="21" t="s">
        <v>2358</v>
      </c>
      <c r="Q561" s="21" t="s">
        <v>2272</v>
      </c>
      <c r="R561" s="21" t="s">
        <v>2358</v>
      </c>
      <c r="S561" s="97" t="s">
        <v>2272</v>
      </c>
      <c r="T561" s="21" t="s">
        <v>2272</v>
      </c>
      <c r="U561" s="21" t="s">
        <v>2272</v>
      </c>
      <c r="V561" s="21" t="s">
        <v>2522</v>
      </c>
      <c r="W561" s="21" t="s">
        <v>2272</v>
      </c>
      <c r="X561" s="21" t="s">
        <v>2272</v>
      </c>
      <c r="Y561" s="3" t="s">
        <v>74</v>
      </c>
      <c r="Z561" s="3" t="s">
        <v>34</v>
      </c>
      <c r="AA561" s="3" t="s">
        <v>63</v>
      </c>
      <c r="AB561" s="4" t="s">
        <v>877</v>
      </c>
      <c r="AC561" s="4" t="s">
        <v>2121</v>
      </c>
    </row>
    <row r="562" spans="1:29"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4"/>
      <c r="J562" s="21" t="s">
        <v>2272</v>
      </c>
      <c r="K562" s="21" t="s">
        <v>2364</v>
      </c>
      <c r="L562" s="98" t="s">
        <v>2272</v>
      </c>
      <c r="M562" s="21" t="s">
        <v>2272</v>
      </c>
      <c r="N562" s="21" t="s">
        <v>2272</v>
      </c>
      <c r="O562" s="21" t="s">
        <v>2272</v>
      </c>
      <c r="P562" s="21" t="s">
        <v>2358</v>
      </c>
      <c r="Q562" s="21" t="s">
        <v>2272</v>
      </c>
      <c r="R562" s="21" t="s">
        <v>2358</v>
      </c>
      <c r="S562" s="97" t="s">
        <v>2272</v>
      </c>
      <c r="T562" s="21" t="s">
        <v>2272</v>
      </c>
      <c r="U562" s="21" t="s">
        <v>2272</v>
      </c>
      <c r="V562" s="21" t="s">
        <v>2522</v>
      </c>
      <c r="W562" s="21" t="s">
        <v>2272</v>
      </c>
      <c r="X562" s="21" t="s">
        <v>2272</v>
      </c>
      <c r="Y562" s="3" t="s">
        <v>74</v>
      </c>
      <c r="Z562" s="3" t="s">
        <v>34</v>
      </c>
      <c r="AA562" s="3" t="s">
        <v>63</v>
      </c>
      <c r="AB562" s="4" t="s">
        <v>877</v>
      </c>
      <c r="AC562" s="4" t="s">
        <v>2121</v>
      </c>
    </row>
    <row r="563" spans="1:29"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4"/>
      <c r="J563" s="21" t="s">
        <v>2272</v>
      </c>
      <c r="K563" s="21" t="s">
        <v>2362</v>
      </c>
      <c r="L563" s="98" t="s">
        <v>2272</v>
      </c>
      <c r="M563" s="21" t="s">
        <v>2272</v>
      </c>
      <c r="N563" s="21" t="s">
        <v>2272</v>
      </c>
      <c r="O563" s="21" t="s">
        <v>2272</v>
      </c>
      <c r="P563" s="21" t="s">
        <v>2358</v>
      </c>
      <c r="Q563" s="21" t="s">
        <v>2272</v>
      </c>
      <c r="R563" s="21" t="s">
        <v>2358</v>
      </c>
      <c r="S563" s="97" t="s">
        <v>2272</v>
      </c>
      <c r="T563" s="21" t="s">
        <v>2272</v>
      </c>
      <c r="U563" s="21" t="s">
        <v>2272</v>
      </c>
      <c r="V563" s="21" t="s">
        <v>2522</v>
      </c>
      <c r="W563" s="21" t="s">
        <v>2272</v>
      </c>
      <c r="X563" s="21" t="s">
        <v>2272</v>
      </c>
      <c r="Y563" s="3" t="s">
        <v>74</v>
      </c>
      <c r="Z563" s="3" t="s">
        <v>34</v>
      </c>
      <c r="AA563" s="3" t="s">
        <v>63</v>
      </c>
      <c r="AB563" s="4" t="s">
        <v>877</v>
      </c>
      <c r="AC563" s="4" t="s">
        <v>2121</v>
      </c>
    </row>
    <row r="564" spans="1:29"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4"/>
      <c r="J564" s="21" t="s">
        <v>2272</v>
      </c>
      <c r="K564" s="21" t="s">
        <v>2361</v>
      </c>
      <c r="L564" s="98" t="s">
        <v>2272</v>
      </c>
      <c r="M564" s="21" t="s">
        <v>2272</v>
      </c>
      <c r="N564" s="21" t="s">
        <v>2272</v>
      </c>
      <c r="O564" s="21" t="s">
        <v>2272</v>
      </c>
      <c r="P564" s="21" t="s">
        <v>2358</v>
      </c>
      <c r="Q564" s="21" t="s">
        <v>2272</v>
      </c>
      <c r="R564" s="21" t="s">
        <v>2358</v>
      </c>
      <c r="S564" s="97" t="s">
        <v>2272</v>
      </c>
      <c r="T564" s="21" t="s">
        <v>2272</v>
      </c>
      <c r="U564" s="21" t="s">
        <v>2272</v>
      </c>
      <c r="V564" s="21" t="s">
        <v>2522</v>
      </c>
      <c r="W564" s="21" t="s">
        <v>2272</v>
      </c>
      <c r="X564" s="21" t="s">
        <v>2272</v>
      </c>
      <c r="Y564" s="3" t="s">
        <v>74</v>
      </c>
      <c r="Z564" s="3" t="s">
        <v>34</v>
      </c>
      <c r="AA564" s="3" t="s">
        <v>63</v>
      </c>
      <c r="AB564" s="4" t="s">
        <v>877</v>
      </c>
      <c r="AC564" s="4" t="s">
        <v>2121</v>
      </c>
    </row>
    <row r="565" spans="1:29"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4"/>
      <c r="J565" s="21" t="s">
        <v>2272</v>
      </c>
      <c r="K565" s="21" t="s">
        <v>2362</v>
      </c>
      <c r="L565" s="98" t="s">
        <v>2272</v>
      </c>
      <c r="M565" s="21" t="s">
        <v>2272</v>
      </c>
      <c r="N565" s="21" t="s">
        <v>2272</v>
      </c>
      <c r="O565" s="21" t="s">
        <v>2272</v>
      </c>
      <c r="P565" s="21" t="s">
        <v>2358</v>
      </c>
      <c r="Q565" s="21" t="s">
        <v>2272</v>
      </c>
      <c r="R565" s="21" t="s">
        <v>2358</v>
      </c>
      <c r="S565" s="97" t="s">
        <v>2272</v>
      </c>
      <c r="T565" s="21" t="s">
        <v>2272</v>
      </c>
      <c r="U565" s="21" t="s">
        <v>2272</v>
      </c>
      <c r="V565" s="21" t="s">
        <v>2522</v>
      </c>
      <c r="W565" s="21" t="s">
        <v>2272</v>
      </c>
      <c r="X565" s="21" t="s">
        <v>2272</v>
      </c>
      <c r="Y565" s="3" t="s">
        <v>74</v>
      </c>
      <c r="Z565" s="3" t="s">
        <v>34</v>
      </c>
      <c r="AA565" s="3" t="s">
        <v>63</v>
      </c>
      <c r="AB565" s="4" t="s">
        <v>877</v>
      </c>
      <c r="AC565" s="4" t="s">
        <v>2121</v>
      </c>
    </row>
    <row r="566" spans="1:29"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4"/>
      <c r="J566" s="21" t="s">
        <v>2272</v>
      </c>
      <c r="K566" s="21" t="s">
        <v>2364</v>
      </c>
      <c r="L566" s="98" t="s">
        <v>2272</v>
      </c>
      <c r="M566" s="21" t="s">
        <v>2272</v>
      </c>
      <c r="N566" s="21" t="s">
        <v>2272</v>
      </c>
      <c r="O566" s="21" t="s">
        <v>2272</v>
      </c>
      <c r="P566" s="21" t="s">
        <v>2358</v>
      </c>
      <c r="Q566" s="21" t="s">
        <v>2272</v>
      </c>
      <c r="R566" s="21" t="s">
        <v>2358</v>
      </c>
      <c r="S566" s="97" t="s">
        <v>2272</v>
      </c>
      <c r="T566" s="21" t="s">
        <v>2272</v>
      </c>
      <c r="U566" s="21" t="s">
        <v>2272</v>
      </c>
      <c r="V566" s="21" t="s">
        <v>2522</v>
      </c>
      <c r="W566" s="21" t="s">
        <v>2272</v>
      </c>
      <c r="X566" s="21" t="s">
        <v>2272</v>
      </c>
      <c r="Y566" s="3" t="s">
        <v>74</v>
      </c>
      <c r="Z566" s="3" t="s">
        <v>34</v>
      </c>
      <c r="AA566" s="3" t="s">
        <v>63</v>
      </c>
      <c r="AB566" s="4" t="s">
        <v>877</v>
      </c>
      <c r="AC566" s="4" t="s">
        <v>2121</v>
      </c>
    </row>
    <row r="567" spans="1:29"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4"/>
      <c r="J567" s="21" t="s">
        <v>2272</v>
      </c>
      <c r="K567" s="21" t="s">
        <v>2362</v>
      </c>
      <c r="L567" s="98" t="s">
        <v>2272</v>
      </c>
      <c r="M567" s="21" t="s">
        <v>2272</v>
      </c>
      <c r="N567" s="21" t="s">
        <v>2272</v>
      </c>
      <c r="O567" s="21" t="s">
        <v>2272</v>
      </c>
      <c r="P567" s="21" t="s">
        <v>2358</v>
      </c>
      <c r="Q567" s="21" t="s">
        <v>2272</v>
      </c>
      <c r="R567" s="21" t="s">
        <v>2358</v>
      </c>
      <c r="S567" s="97" t="s">
        <v>2272</v>
      </c>
      <c r="T567" s="21" t="s">
        <v>2272</v>
      </c>
      <c r="U567" s="21" t="s">
        <v>2272</v>
      </c>
      <c r="V567" s="21" t="s">
        <v>2522</v>
      </c>
      <c r="W567" s="21" t="s">
        <v>2272</v>
      </c>
      <c r="X567" s="21" t="s">
        <v>2272</v>
      </c>
      <c r="Y567" s="3" t="s">
        <v>74</v>
      </c>
      <c r="Z567" s="3" t="s">
        <v>34</v>
      </c>
      <c r="AA567" s="3" t="s">
        <v>63</v>
      </c>
      <c r="AB567" s="4" t="s">
        <v>877</v>
      </c>
      <c r="AC567" s="4" t="s">
        <v>2121</v>
      </c>
    </row>
    <row r="568" spans="1:29"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4"/>
      <c r="J568" s="21" t="s">
        <v>2272</v>
      </c>
      <c r="K568" s="21" t="s">
        <v>2363</v>
      </c>
      <c r="L568" s="98" t="s">
        <v>2272</v>
      </c>
      <c r="M568" s="21" t="s">
        <v>2272</v>
      </c>
      <c r="N568" s="21" t="s">
        <v>2272</v>
      </c>
      <c r="O568" s="21" t="s">
        <v>2272</v>
      </c>
      <c r="P568" s="21" t="s">
        <v>2358</v>
      </c>
      <c r="Q568" s="21" t="s">
        <v>2272</v>
      </c>
      <c r="R568" s="21" t="s">
        <v>2358</v>
      </c>
      <c r="S568" s="97" t="s">
        <v>2272</v>
      </c>
      <c r="T568" s="21" t="s">
        <v>2272</v>
      </c>
      <c r="U568" s="21" t="s">
        <v>2272</v>
      </c>
      <c r="V568" s="21" t="s">
        <v>2522</v>
      </c>
      <c r="W568" s="21" t="s">
        <v>2272</v>
      </c>
      <c r="X568" s="21" t="s">
        <v>2272</v>
      </c>
      <c r="Y568" s="3" t="s">
        <v>74</v>
      </c>
      <c r="Z568" s="3" t="s">
        <v>34</v>
      </c>
      <c r="AA568" s="3" t="s">
        <v>63</v>
      </c>
      <c r="AB568" s="4" t="s">
        <v>877</v>
      </c>
      <c r="AC568" s="4" t="s">
        <v>2121</v>
      </c>
    </row>
    <row r="569" spans="1:29"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4"/>
      <c r="J569" s="21" t="s">
        <v>2272</v>
      </c>
      <c r="K569" s="21" t="s">
        <v>2364</v>
      </c>
      <c r="L569" s="98" t="s">
        <v>2272</v>
      </c>
      <c r="M569" s="21" t="s">
        <v>2272</v>
      </c>
      <c r="N569" s="21" t="s">
        <v>2272</v>
      </c>
      <c r="O569" s="21" t="s">
        <v>2272</v>
      </c>
      <c r="P569" s="21" t="s">
        <v>2358</v>
      </c>
      <c r="Q569" s="21" t="s">
        <v>2272</v>
      </c>
      <c r="R569" s="21" t="s">
        <v>2358</v>
      </c>
      <c r="S569" s="97" t="s">
        <v>2272</v>
      </c>
      <c r="T569" s="21" t="s">
        <v>2272</v>
      </c>
      <c r="U569" s="21" t="s">
        <v>2272</v>
      </c>
      <c r="V569" s="21" t="s">
        <v>2522</v>
      </c>
      <c r="W569" s="21" t="s">
        <v>2272</v>
      </c>
      <c r="X569" s="21" t="s">
        <v>2272</v>
      </c>
      <c r="Y569" s="3" t="s">
        <v>74</v>
      </c>
      <c r="Z569" s="3" t="s">
        <v>34</v>
      </c>
      <c r="AA569" s="3" t="s">
        <v>63</v>
      </c>
      <c r="AB569" s="4" t="s">
        <v>877</v>
      </c>
      <c r="AC569" s="4" t="s">
        <v>2121</v>
      </c>
    </row>
    <row r="570" spans="1:29"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4"/>
      <c r="J570" s="21" t="s">
        <v>2272</v>
      </c>
      <c r="K570" s="21" t="s">
        <v>2364</v>
      </c>
      <c r="L570" s="98" t="s">
        <v>2272</v>
      </c>
      <c r="M570" s="21" t="s">
        <v>2272</v>
      </c>
      <c r="N570" s="21" t="s">
        <v>2272</v>
      </c>
      <c r="O570" s="21" t="s">
        <v>2272</v>
      </c>
      <c r="P570" s="21" t="s">
        <v>2358</v>
      </c>
      <c r="Q570" s="21" t="s">
        <v>2272</v>
      </c>
      <c r="R570" s="21" t="s">
        <v>2358</v>
      </c>
      <c r="S570" s="97" t="s">
        <v>2272</v>
      </c>
      <c r="T570" s="21" t="s">
        <v>2272</v>
      </c>
      <c r="U570" s="21" t="s">
        <v>2272</v>
      </c>
      <c r="V570" s="21" t="s">
        <v>2522</v>
      </c>
      <c r="W570" s="21" t="s">
        <v>2272</v>
      </c>
      <c r="X570" s="21" t="s">
        <v>2272</v>
      </c>
      <c r="Y570" s="3" t="s">
        <v>74</v>
      </c>
      <c r="Z570" s="3" t="s">
        <v>34</v>
      </c>
      <c r="AA570" s="3" t="s">
        <v>63</v>
      </c>
      <c r="AB570" s="4" t="s">
        <v>877</v>
      </c>
      <c r="AC570" s="4" t="s">
        <v>2121</v>
      </c>
    </row>
    <row r="571" spans="1:29"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4"/>
      <c r="J571" s="21" t="s">
        <v>2272</v>
      </c>
      <c r="K571" s="21" t="s">
        <v>2363</v>
      </c>
      <c r="L571" s="98" t="s">
        <v>2272</v>
      </c>
      <c r="M571" s="21" t="s">
        <v>2272</v>
      </c>
      <c r="N571" s="21" t="s">
        <v>2272</v>
      </c>
      <c r="O571" s="21" t="s">
        <v>2272</v>
      </c>
      <c r="P571" s="21" t="s">
        <v>2358</v>
      </c>
      <c r="Q571" s="21" t="s">
        <v>2272</v>
      </c>
      <c r="R571" s="21" t="s">
        <v>2358</v>
      </c>
      <c r="S571" s="97" t="s">
        <v>2272</v>
      </c>
      <c r="T571" s="21" t="s">
        <v>2272</v>
      </c>
      <c r="U571" s="21" t="s">
        <v>2272</v>
      </c>
      <c r="V571" s="21" t="s">
        <v>2522</v>
      </c>
      <c r="W571" s="21" t="s">
        <v>2272</v>
      </c>
      <c r="X571" s="21" t="s">
        <v>2272</v>
      </c>
      <c r="Y571" s="3" t="s">
        <v>74</v>
      </c>
      <c r="Z571" s="3" t="s">
        <v>34</v>
      </c>
      <c r="AA571" s="3" t="s">
        <v>63</v>
      </c>
      <c r="AB571" s="4" t="s">
        <v>877</v>
      </c>
      <c r="AC571" s="4" t="s">
        <v>2121</v>
      </c>
    </row>
    <row r="572" spans="1:29"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4"/>
      <c r="J572" s="21" t="s">
        <v>2272</v>
      </c>
      <c r="K572" s="21" t="s">
        <v>2363</v>
      </c>
      <c r="L572" s="98" t="s">
        <v>2272</v>
      </c>
      <c r="M572" s="21" t="s">
        <v>2272</v>
      </c>
      <c r="N572" s="21" t="s">
        <v>2272</v>
      </c>
      <c r="O572" s="21" t="s">
        <v>2272</v>
      </c>
      <c r="P572" s="21" t="s">
        <v>2358</v>
      </c>
      <c r="Q572" s="21" t="s">
        <v>2272</v>
      </c>
      <c r="R572" s="21" t="s">
        <v>2358</v>
      </c>
      <c r="S572" s="97" t="s">
        <v>2272</v>
      </c>
      <c r="T572" s="21" t="s">
        <v>2272</v>
      </c>
      <c r="U572" s="21" t="s">
        <v>2272</v>
      </c>
      <c r="V572" s="21" t="s">
        <v>2522</v>
      </c>
      <c r="W572" s="21" t="s">
        <v>2272</v>
      </c>
      <c r="X572" s="21" t="s">
        <v>2272</v>
      </c>
      <c r="Y572" s="3" t="s">
        <v>74</v>
      </c>
      <c r="Z572" s="3" t="s">
        <v>34</v>
      </c>
      <c r="AA572" s="3" t="s">
        <v>63</v>
      </c>
      <c r="AB572" s="4" t="s">
        <v>877</v>
      </c>
      <c r="AC572" s="4" t="s">
        <v>2121</v>
      </c>
    </row>
    <row r="573" spans="1:29"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4"/>
      <c r="J573" s="21" t="s">
        <v>2272</v>
      </c>
      <c r="K573" s="21" t="s">
        <v>2364</v>
      </c>
      <c r="L573" s="98" t="s">
        <v>2272</v>
      </c>
      <c r="M573" s="21" t="s">
        <v>2272</v>
      </c>
      <c r="N573" s="21" t="s">
        <v>2272</v>
      </c>
      <c r="O573" s="21" t="s">
        <v>2272</v>
      </c>
      <c r="P573" s="21" t="s">
        <v>2358</v>
      </c>
      <c r="Q573" s="21" t="s">
        <v>2272</v>
      </c>
      <c r="R573" s="21" t="s">
        <v>2358</v>
      </c>
      <c r="S573" s="97" t="s">
        <v>2272</v>
      </c>
      <c r="T573" s="21" t="s">
        <v>2272</v>
      </c>
      <c r="U573" s="21" t="s">
        <v>2272</v>
      </c>
      <c r="V573" s="21" t="s">
        <v>2522</v>
      </c>
      <c r="W573" s="21" t="s">
        <v>2272</v>
      </c>
      <c r="X573" s="21" t="s">
        <v>2272</v>
      </c>
      <c r="Y573" s="3" t="s">
        <v>74</v>
      </c>
      <c r="Z573" s="3" t="s">
        <v>34</v>
      </c>
      <c r="AA573" s="3" t="s">
        <v>63</v>
      </c>
      <c r="AB573" s="4" t="s">
        <v>877</v>
      </c>
      <c r="AC573" s="4" t="s">
        <v>2121</v>
      </c>
    </row>
    <row r="574" spans="1:29"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4"/>
      <c r="J574" s="21" t="s">
        <v>2272</v>
      </c>
      <c r="K574" s="21" t="s">
        <v>2363</v>
      </c>
      <c r="L574" s="98" t="s">
        <v>2272</v>
      </c>
      <c r="M574" s="21" t="s">
        <v>2272</v>
      </c>
      <c r="N574" s="21" t="s">
        <v>2272</v>
      </c>
      <c r="O574" s="21" t="s">
        <v>2272</v>
      </c>
      <c r="P574" s="21" t="s">
        <v>2358</v>
      </c>
      <c r="Q574" s="21" t="s">
        <v>2272</v>
      </c>
      <c r="R574" s="21" t="s">
        <v>2358</v>
      </c>
      <c r="S574" s="97" t="s">
        <v>2272</v>
      </c>
      <c r="T574" s="21" t="s">
        <v>2272</v>
      </c>
      <c r="U574" s="21" t="s">
        <v>2272</v>
      </c>
      <c r="V574" s="21" t="s">
        <v>2522</v>
      </c>
      <c r="W574" s="21" t="s">
        <v>2272</v>
      </c>
      <c r="X574" s="21" t="s">
        <v>2272</v>
      </c>
      <c r="Y574" s="3" t="s">
        <v>74</v>
      </c>
      <c r="Z574" s="3" t="s">
        <v>34</v>
      </c>
      <c r="AA574" s="3" t="s">
        <v>63</v>
      </c>
      <c r="AB574" s="4" t="s">
        <v>877</v>
      </c>
      <c r="AC574" s="4" t="s">
        <v>2121</v>
      </c>
    </row>
    <row r="575" spans="1:29"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4"/>
      <c r="J575" s="21" t="s">
        <v>2272</v>
      </c>
      <c r="K575" s="21" t="s">
        <v>2363</v>
      </c>
      <c r="L575" s="98" t="s">
        <v>2272</v>
      </c>
      <c r="M575" s="21" t="s">
        <v>2272</v>
      </c>
      <c r="N575" s="21" t="s">
        <v>2272</v>
      </c>
      <c r="O575" s="21" t="s">
        <v>2272</v>
      </c>
      <c r="P575" s="21" t="s">
        <v>2358</v>
      </c>
      <c r="Q575" s="21" t="s">
        <v>2272</v>
      </c>
      <c r="R575" s="21" t="s">
        <v>2358</v>
      </c>
      <c r="S575" s="97" t="s">
        <v>2272</v>
      </c>
      <c r="T575" s="21" t="s">
        <v>2272</v>
      </c>
      <c r="U575" s="21" t="s">
        <v>2272</v>
      </c>
      <c r="V575" s="21" t="s">
        <v>2522</v>
      </c>
      <c r="W575" s="21" t="s">
        <v>2272</v>
      </c>
      <c r="X575" s="21" t="s">
        <v>2272</v>
      </c>
      <c r="Y575" s="3" t="s">
        <v>74</v>
      </c>
      <c r="Z575" s="3" t="s">
        <v>34</v>
      </c>
      <c r="AA575" s="3" t="s">
        <v>63</v>
      </c>
      <c r="AB575" s="4" t="s">
        <v>877</v>
      </c>
      <c r="AC575" s="4" t="s">
        <v>2121</v>
      </c>
    </row>
    <row r="576" spans="1:29"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4"/>
      <c r="J576" s="21" t="s">
        <v>2272</v>
      </c>
      <c r="K576" s="21" t="s">
        <v>2363</v>
      </c>
      <c r="L576" s="98" t="s">
        <v>2272</v>
      </c>
      <c r="M576" s="21" t="s">
        <v>2272</v>
      </c>
      <c r="N576" s="21" t="s">
        <v>2272</v>
      </c>
      <c r="O576" s="21" t="s">
        <v>2272</v>
      </c>
      <c r="P576" s="21" t="s">
        <v>2358</v>
      </c>
      <c r="Q576" s="21" t="s">
        <v>2272</v>
      </c>
      <c r="R576" s="21" t="s">
        <v>2358</v>
      </c>
      <c r="S576" s="97" t="s">
        <v>2272</v>
      </c>
      <c r="T576" s="21" t="s">
        <v>2272</v>
      </c>
      <c r="U576" s="21" t="s">
        <v>2272</v>
      </c>
      <c r="V576" s="21" t="s">
        <v>2522</v>
      </c>
      <c r="W576" s="21" t="s">
        <v>2272</v>
      </c>
      <c r="X576" s="21" t="s">
        <v>2272</v>
      </c>
      <c r="Y576" s="3" t="s">
        <v>74</v>
      </c>
      <c r="Z576" s="3" t="s">
        <v>34</v>
      </c>
      <c r="AA576" s="3" t="s">
        <v>63</v>
      </c>
      <c r="AB576" s="4" t="s">
        <v>877</v>
      </c>
      <c r="AC576" s="4" t="s">
        <v>2121</v>
      </c>
    </row>
    <row r="577" spans="1:29"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4"/>
      <c r="J577" s="21" t="s">
        <v>2272</v>
      </c>
      <c r="K577" s="21" t="s">
        <v>2363</v>
      </c>
      <c r="L577" s="98" t="s">
        <v>2272</v>
      </c>
      <c r="M577" s="21" t="s">
        <v>2272</v>
      </c>
      <c r="N577" s="21" t="s">
        <v>2272</v>
      </c>
      <c r="O577" s="21" t="s">
        <v>2272</v>
      </c>
      <c r="P577" s="21" t="s">
        <v>2358</v>
      </c>
      <c r="Q577" s="21" t="s">
        <v>2272</v>
      </c>
      <c r="R577" s="21" t="s">
        <v>2358</v>
      </c>
      <c r="S577" s="97" t="s">
        <v>2272</v>
      </c>
      <c r="T577" s="21" t="s">
        <v>2272</v>
      </c>
      <c r="U577" s="21" t="s">
        <v>2272</v>
      </c>
      <c r="V577" s="21" t="s">
        <v>2522</v>
      </c>
      <c r="W577" s="21" t="s">
        <v>2272</v>
      </c>
      <c r="X577" s="21" t="s">
        <v>2272</v>
      </c>
      <c r="Y577" s="3" t="s">
        <v>74</v>
      </c>
      <c r="Z577" s="3" t="s">
        <v>34</v>
      </c>
      <c r="AA577" s="3" t="s">
        <v>63</v>
      </c>
      <c r="AB577" s="4" t="s">
        <v>877</v>
      </c>
      <c r="AC577" s="4" t="s">
        <v>2121</v>
      </c>
    </row>
    <row r="578" spans="1:29"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4"/>
      <c r="J578" s="21" t="s">
        <v>2272</v>
      </c>
      <c r="K578" s="21" t="s">
        <v>2364</v>
      </c>
      <c r="L578" s="98" t="s">
        <v>2272</v>
      </c>
      <c r="M578" s="21" t="s">
        <v>2272</v>
      </c>
      <c r="N578" s="21" t="s">
        <v>2272</v>
      </c>
      <c r="O578" s="21" t="s">
        <v>2272</v>
      </c>
      <c r="P578" s="21" t="s">
        <v>2358</v>
      </c>
      <c r="Q578" s="21" t="s">
        <v>2272</v>
      </c>
      <c r="R578" s="21" t="s">
        <v>2358</v>
      </c>
      <c r="S578" s="97" t="s">
        <v>2272</v>
      </c>
      <c r="T578" s="21" t="s">
        <v>2272</v>
      </c>
      <c r="U578" s="21" t="s">
        <v>2272</v>
      </c>
      <c r="V578" s="21" t="s">
        <v>2522</v>
      </c>
      <c r="W578" s="21" t="s">
        <v>2272</v>
      </c>
      <c r="X578" s="21" t="s">
        <v>2272</v>
      </c>
      <c r="Y578" s="3" t="s">
        <v>74</v>
      </c>
      <c r="Z578" s="3" t="s">
        <v>34</v>
      </c>
      <c r="AA578" s="3" t="s">
        <v>63</v>
      </c>
      <c r="AB578" s="4" t="s">
        <v>877</v>
      </c>
      <c r="AC578" s="4" t="s">
        <v>2121</v>
      </c>
    </row>
    <row r="579" spans="1:29"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4"/>
      <c r="J579" s="21" t="s">
        <v>2272</v>
      </c>
      <c r="K579" s="21" t="s">
        <v>2362</v>
      </c>
      <c r="L579" s="98" t="s">
        <v>2272</v>
      </c>
      <c r="M579" s="21" t="s">
        <v>2272</v>
      </c>
      <c r="N579" s="21" t="s">
        <v>2272</v>
      </c>
      <c r="O579" s="21" t="s">
        <v>2272</v>
      </c>
      <c r="P579" s="21" t="s">
        <v>2358</v>
      </c>
      <c r="Q579" s="21" t="s">
        <v>2272</v>
      </c>
      <c r="R579" s="21" t="s">
        <v>2358</v>
      </c>
      <c r="S579" s="97" t="s">
        <v>2272</v>
      </c>
      <c r="T579" s="21" t="s">
        <v>2272</v>
      </c>
      <c r="U579" s="21" t="s">
        <v>2272</v>
      </c>
      <c r="V579" s="21" t="s">
        <v>2522</v>
      </c>
      <c r="W579" s="21" t="s">
        <v>2272</v>
      </c>
      <c r="X579" s="21" t="s">
        <v>2272</v>
      </c>
      <c r="Y579" s="3" t="s">
        <v>74</v>
      </c>
      <c r="Z579" s="3" t="s">
        <v>34</v>
      </c>
      <c r="AA579" s="3" t="s">
        <v>63</v>
      </c>
      <c r="AB579" s="4" t="s">
        <v>877</v>
      </c>
      <c r="AC579" s="4" t="s">
        <v>2121</v>
      </c>
    </row>
    <row r="580" spans="1:29"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4"/>
      <c r="J580" s="21" t="s">
        <v>2272</v>
      </c>
      <c r="K580" s="21" t="s">
        <v>2364</v>
      </c>
      <c r="L580" s="98" t="s">
        <v>2272</v>
      </c>
      <c r="M580" s="21" t="s">
        <v>2272</v>
      </c>
      <c r="N580" s="21" t="s">
        <v>2272</v>
      </c>
      <c r="O580" s="21" t="s">
        <v>2272</v>
      </c>
      <c r="P580" s="21" t="s">
        <v>2358</v>
      </c>
      <c r="Q580" s="21" t="s">
        <v>2272</v>
      </c>
      <c r="R580" s="21" t="s">
        <v>2358</v>
      </c>
      <c r="S580" s="97" t="s">
        <v>2272</v>
      </c>
      <c r="T580" s="21" t="s">
        <v>2272</v>
      </c>
      <c r="U580" s="21" t="s">
        <v>2272</v>
      </c>
      <c r="V580" s="21" t="s">
        <v>2522</v>
      </c>
      <c r="W580" s="21" t="s">
        <v>2272</v>
      </c>
      <c r="X580" s="21" t="s">
        <v>2272</v>
      </c>
      <c r="Y580" s="3" t="s">
        <v>74</v>
      </c>
      <c r="Z580" s="3" t="s">
        <v>34</v>
      </c>
      <c r="AA580" s="3" t="s">
        <v>63</v>
      </c>
      <c r="AB580" s="4" t="s">
        <v>877</v>
      </c>
      <c r="AC580" s="4" t="s">
        <v>2121</v>
      </c>
    </row>
    <row r="581" spans="1:29"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4"/>
      <c r="J581" s="21" t="s">
        <v>2272</v>
      </c>
      <c r="K581" s="21" t="s">
        <v>2364</v>
      </c>
      <c r="L581" s="98" t="s">
        <v>2272</v>
      </c>
      <c r="M581" s="21" t="s">
        <v>2272</v>
      </c>
      <c r="N581" s="21" t="s">
        <v>2272</v>
      </c>
      <c r="O581" s="21" t="s">
        <v>2272</v>
      </c>
      <c r="P581" s="21" t="s">
        <v>2358</v>
      </c>
      <c r="Q581" s="21" t="s">
        <v>2272</v>
      </c>
      <c r="R581" s="21" t="s">
        <v>2358</v>
      </c>
      <c r="S581" s="97" t="s">
        <v>2272</v>
      </c>
      <c r="T581" s="21" t="s">
        <v>2272</v>
      </c>
      <c r="U581" s="21" t="s">
        <v>2272</v>
      </c>
      <c r="V581" s="21" t="s">
        <v>2522</v>
      </c>
      <c r="W581" s="21" t="s">
        <v>2272</v>
      </c>
      <c r="X581" s="21" t="s">
        <v>2272</v>
      </c>
      <c r="Y581" s="3" t="s">
        <v>74</v>
      </c>
      <c r="Z581" s="3" t="s">
        <v>34</v>
      </c>
      <c r="AA581" s="3" t="s">
        <v>63</v>
      </c>
      <c r="AB581" s="4" t="s">
        <v>877</v>
      </c>
      <c r="AC581" s="4" t="s">
        <v>2121</v>
      </c>
    </row>
    <row r="582" spans="1:29"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4"/>
      <c r="J582" s="21" t="s">
        <v>2272</v>
      </c>
      <c r="K582" s="21" t="s">
        <v>2363</v>
      </c>
      <c r="L582" s="98" t="s">
        <v>2272</v>
      </c>
      <c r="M582" s="21" t="s">
        <v>2272</v>
      </c>
      <c r="N582" s="21" t="s">
        <v>2272</v>
      </c>
      <c r="O582" s="21" t="s">
        <v>2272</v>
      </c>
      <c r="P582" s="21" t="s">
        <v>2358</v>
      </c>
      <c r="Q582" s="21" t="s">
        <v>2272</v>
      </c>
      <c r="R582" s="21" t="s">
        <v>2358</v>
      </c>
      <c r="S582" s="97" t="s">
        <v>2272</v>
      </c>
      <c r="T582" s="21" t="s">
        <v>2272</v>
      </c>
      <c r="U582" s="21" t="s">
        <v>2272</v>
      </c>
      <c r="V582" s="21" t="s">
        <v>2522</v>
      </c>
      <c r="W582" s="21" t="s">
        <v>2272</v>
      </c>
      <c r="X582" s="21" t="s">
        <v>2272</v>
      </c>
      <c r="Y582" s="3" t="s">
        <v>74</v>
      </c>
      <c r="Z582" s="3" t="s">
        <v>34</v>
      </c>
      <c r="AA582" s="3" t="s">
        <v>63</v>
      </c>
      <c r="AB582" s="4" t="s">
        <v>877</v>
      </c>
      <c r="AC582" s="4" t="s">
        <v>2121</v>
      </c>
    </row>
    <row r="583" spans="1:29"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4"/>
      <c r="J583" s="21" t="s">
        <v>2272</v>
      </c>
      <c r="K583" s="21" t="s">
        <v>2364</v>
      </c>
      <c r="L583" s="98" t="s">
        <v>2272</v>
      </c>
      <c r="M583" s="21" t="s">
        <v>2272</v>
      </c>
      <c r="N583" s="21" t="s">
        <v>2272</v>
      </c>
      <c r="O583" s="21" t="s">
        <v>2272</v>
      </c>
      <c r="P583" s="21" t="s">
        <v>2358</v>
      </c>
      <c r="Q583" s="21" t="s">
        <v>2272</v>
      </c>
      <c r="R583" s="21" t="s">
        <v>2358</v>
      </c>
      <c r="S583" s="97" t="s">
        <v>2272</v>
      </c>
      <c r="T583" s="21" t="s">
        <v>2272</v>
      </c>
      <c r="U583" s="21" t="s">
        <v>2272</v>
      </c>
      <c r="V583" s="21" t="s">
        <v>2522</v>
      </c>
      <c r="W583" s="21" t="s">
        <v>2272</v>
      </c>
      <c r="X583" s="21" t="s">
        <v>2272</v>
      </c>
      <c r="Y583" s="3" t="s">
        <v>74</v>
      </c>
      <c r="Z583" s="3" t="s">
        <v>34</v>
      </c>
      <c r="AA583" s="3" t="s">
        <v>63</v>
      </c>
      <c r="AB583" s="4" t="s">
        <v>877</v>
      </c>
      <c r="AC583" s="4" t="s">
        <v>2121</v>
      </c>
    </row>
    <row r="584" spans="1:29"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4"/>
      <c r="J584" s="21" t="s">
        <v>2272</v>
      </c>
      <c r="K584" s="21" t="s">
        <v>2363</v>
      </c>
      <c r="L584" s="98" t="s">
        <v>2272</v>
      </c>
      <c r="M584" s="21" t="s">
        <v>2272</v>
      </c>
      <c r="N584" s="21" t="s">
        <v>2272</v>
      </c>
      <c r="O584" s="21" t="s">
        <v>2272</v>
      </c>
      <c r="P584" s="21" t="s">
        <v>2358</v>
      </c>
      <c r="Q584" s="21" t="s">
        <v>2272</v>
      </c>
      <c r="R584" s="21" t="s">
        <v>2358</v>
      </c>
      <c r="S584" s="97" t="s">
        <v>2272</v>
      </c>
      <c r="T584" s="21" t="s">
        <v>2272</v>
      </c>
      <c r="U584" s="21" t="s">
        <v>2272</v>
      </c>
      <c r="V584" s="21" t="s">
        <v>2522</v>
      </c>
      <c r="W584" s="21" t="s">
        <v>2272</v>
      </c>
      <c r="X584" s="21" t="s">
        <v>2272</v>
      </c>
      <c r="Y584" s="3" t="s">
        <v>74</v>
      </c>
      <c r="Z584" s="3" t="s">
        <v>34</v>
      </c>
      <c r="AA584" s="3" t="s">
        <v>63</v>
      </c>
      <c r="AB584" s="4" t="s">
        <v>877</v>
      </c>
      <c r="AC584" s="4" t="s">
        <v>2121</v>
      </c>
    </row>
    <row r="585" spans="1:29"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4"/>
      <c r="J585" s="21" t="s">
        <v>2272</v>
      </c>
      <c r="K585" s="21" t="s">
        <v>2364</v>
      </c>
      <c r="L585" s="98" t="s">
        <v>2272</v>
      </c>
      <c r="M585" s="21" t="s">
        <v>2272</v>
      </c>
      <c r="N585" s="21" t="s">
        <v>2272</v>
      </c>
      <c r="O585" s="21" t="s">
        <v>2272</v>
      </c>
      <c r="P585" s="21" t="s">
        <v>2358</v>
      </c>
      <c r="Q585" s="21" t="s">
        <v>2272</v>
      </c>
      <c r="R585" s="21" t="s">
        <v>2358</v>
      </c>
      <c r="S585" s="97" t="s">
        <v>2272</v>
      </c>
      <c r="T585" s="21" t="s">
        <v>2272</v>
      </c>
      <c r="U585" s="21" t="s">
        <v>2272</v>
      </c>
      <c r="V585" s="21" t="s">
        <v>2522</v>
      </c>
      <c r="W585" s="21" t="s">
        <v>2272</v>
      </c>
      <c r="X585" s="21" t="s">
        <v>2272</v>
      </c>
      <c r="Y585" s="3" t="s">
        <v>74</v>
      </c>
      <c r="Z585" s="3" t="s">
        <v>34</v>
      </c>
      <c r="AA585" s="3" t="s">
        <v>63</v>
      </c>
      <c r="AB585" s="4" t="s">
        <v>877</v>
      </c>
      <c r="AC585" s="4" t="s">
        <v>2121</v>
      </c>
    </row>
    <row r="586" spans="1:29"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4"/>
      <c r="J586" s="21" t="s">
        <v>2272</v>
      </c>
      <c r="K586" s="21" t="s">
        <v>2363</v>
      </c>
      <c r="L586" s="98" t="s">
        <v>2272</v>
      </c>
      <c r="M586" s="21" t="s">
        <v>2272</v>
      </c>
      <c r="N586" s="21" t="s">
        <v>2272</v>
      </c>
      <c r="O586" s="21" t="s">
        <v>2272</v>
      </c>
      <c r="P586" s="21" t="s">
        <v>2358</v>
      </c>
      <c r="Q586" s="21" t="s">
        <v>2272</v>
      </c>
      <c r="R586" s="21" t="s">
        <v>2358</v>
      </c>
      <c r="S586" s="97" t="s">
        <v>2272</v>
      </c>
      <c r="T586" s="21" t="s">
        <v>2272</v>
      </c>
      <c r="U586" s="21" t="s">
        <v>2272</v>
      </c>
      <c r="V586" s="21" t="s">
        <v>2522</v>
      </c>
      <c r="W586" s="21" t="s">
        <v>2272</v>
      </c>
      <c r="X586" s="21" t="s">
        <v>2272</v>
      </c>
      <c r="Y586" s="3" t="s">
        <v>74</v>
      </c>
      <c r="Z586" s="3" t="s">
        <v>34</v>
      </c>
      <c r="AA586" s="3" t="s">
        <v>63</v>
      </c>
      <c r="AB586" s="4" t="s">
        <v>877</v>
      </c>
      <c r="AC586" s="4" t="s">
        <v>2121</v>
      </c>
    </row>
    <row r="587" spans="1:29"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4"/>
      <c r="J587" s="21" t="s">
        <v>2272</v>
      </c>
      <c r="K587" s="21" t="s">
        <v>2364</v>
      </c>
      <c r="L587" s="98" t="s">
        <v>2272</v>
      </c>
      <c r="M587" s="21" t="s">
        <v>2272</v>
      </c>
      <c r="N587" s="21" t="s">
        <v>2272</v>
      </c>
      <c r="O587" s="21" t="s">
        <v>2272</v>
      </c>
      <c r="P587" s="21" t="s">
        <v>2358</v>
      </c>
      <c r="Q587" s="21" t="s">
        <v>2272</v>
      </c>
      <c r="R587" s="21" t="s">
        <v>2358</v>
      </c>
      <c r="S587" s="97" t="s">
        <v>2272</v>
      </c>
      <c r="T587" s="21" t="s">
        <v>2272</v>
      </c>
      <c r="U587" s="21" t="s">
        <v>2272</v>
      </c>
      <c r="V587" s="21" t="s">
        <v>2522</v>
      </c>
      <c r="W587" s="21" t="s">
        <v>2272</v>
      </c>
      <c r="X587" s="21" t="s">
        <v>2272</v>
      </c>
      <c r="Y587" s="3" t="s">
        <v>74</v>
      </c>
      <c r="Z587" s="3" t="s">
        <v>34</v>
      </c>
      <c r="AA587" s="3" t="s">
        <v>63</v>
      </c>
      <c r="AB587" s="4" t="s">
        <v>877</v>
      </c>
      <c r="AC587" s="4" t="s">
        <v>2121</v>
      </c>
    </row>
    <row r="588" spans="1:29"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4"/>
      <c r="J588" s="21" t="s">
        <v>2272</v>
      </c>
      <c r="K588" s="21" t="s">
        <v>2362</v>
      </c>
      <c r="L588" s="98" t="s">
        <v>2272</v>
      </c>
      <c r="M588" s="21" t="s">
        <v>2272</v>
      </c>
      <c r="N588" s="21" t="s">
        <v>2272</v>
      </c>
      <c r="O588" s="21" t="s">
        <v>2272</v>
      </c>
      <c r="P588" s="21" t="s">
        <v>2358</v>
      </c>
      <c r="Q588" s="21" t="s">
        <v>2272</v>
      </c>
      <c r="R588" s="21" t="s">
        <v>2358</v>
      </c>
      <c r="S588" s="97" t="s">
        <v>2272</v>
      </c>
      <c r="T588" s="21" t="s">
        <v>2272</v>
      </c>
      <c r="U588" s="21" t="s">
        <v>2272</v>
      </c>
      <c r="V588" s="21" t="s">
        <v>2522</v>
      </c>
      <c r="W588" s="21" t="s">
        <v>2272</v>
      </c>
      <c r="X588" s="21" t="s">
        <v>2272</v>
      </c>
      <c r="Y588" s="3" t="s">
        <v>74</v>
      </c>
      <c r="Z588" s="3" t="s">
        <v>34</v>
      </c>
      <c r="AA588" s="3" t="s">
        <v>63</v>
      </c>
      <c r="AB588" s="4" t="s">
        <v>877</v>
      </c>
      <c r="AC588" s="4" t="s">
        <v>2121</v>
      </c>
    </row>
    <row r="589" spans="1:29"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2272</v>
      </c>
      <c r="K589" s="21" t="s">
        <v>2272</v>
      </c>
      <c r="L589" s="98" t="s">
        <v>2358</v>
      </c>
      <c r="M589" s="21" t="s">
        <v>2272</v>
      </c>
      <c r="N589" s="21" t="s">
        <v>2358</v>
      </c>
      <c r="O589" s="21" t="s">
        <v>2272</v>
      </c>
      <c r="P589" s="21" t="s">
        <v>2358</v>
      </c>
      <c r="Q589" s="21" t="s">
        <v>2272</v>
      </c>
      <c r="R589" s="97" t="s">
        <v>2272</v>
      </c>
      <c r="S589" s="97" t="s">
        <v>2272</v>
      </c>
      <c r="T589" s="21" t="s">
        <v>2272</v>
      </c>
      <c r="U589" s="21" t="s">
        <v>2272</v>
      </c>
      <c r="V589" s="21" t="s">
        <v>2272</v>
      </c>
      <c r="W589" s="21" t="s">
        <v>2272</v>
      </c>
      <c r="X589" s="21" t="s">
        <v>2272</v>
      </c>
      <c r="Y589" s="3" t="s">
        <v>74</v>
      </c>
      <c r="Z589" s="3" t="s">
        <v>34</v>
      </c>
      <c r="AA589" s="3" t="s">
        <v>63</v>
      </c>
      <c r="AB589" s="4" t="s">
        <v>877</v>
      </c>
      <c r="AC589" s="3"/>
    </row>
    <row r="590" spans="1:29"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2272</v>
      </c>
      <c r="K590" s="21" t="s">
        <v>2272</v>
      </c>
      <c r="L590" s="98" t="s">
        <v>2358</v>
      </c>
      <c r="M590" s="21" t="s">
        <v>2272</v>
      </c>
      <c r="N590" s="21" t="s">
        <v>2368</v>
      </c>
      <c r="O590" s="21" t="s">
        <v>2272</v>
      </c>
      <c r="P590" s="21" t="s">
        <v>2370</v>
      </c>
      <c r="Q590" s="21" t="s">
        <v>2272</v>
      </c>
      <c r="R590" s="97" t="s">
        <v>2272</v>
      </c>
      <c r="S590" s="97" t="s">
        <v>2272</v>
      </c>
      <c r="T590" s="21" t="s">
        <v>2272</v>
      </c>
      <c r="U590" s="21" t="s">
        <v>2272</v>
      </c>
      <c r="V590" s="21" t="s">
        <v>2272</v>
      </c>
      <c r="W590" s="21" t="s">
        <v>2272</v>
      </c>
      <c r="X590" s="21" t="s">
        <v>2398</v>
      </c>
      <c r="Y590" s="3" t="s">
        <v>37</v>
      </c>
      <c r="Z590" s="3" t="s">
        <v>84</v>
      </c>
      <c r="AA590" s="3" t="s">
        <v>75</v>
      </c>
      <c r="AB590" s="4" t="s">
        <v>2201</v>
      </c>
      <c r="AC590" s="4" t="s">
        <v>2202</v>
      </c>
    </row>
    <row r="591" spans="1:29"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2272</v>
      </c>
      <c r="K591" s="21" t="s">
        <v>2272</v>
      </c>
      <c r="L591" s="98" t="s">
        <v>2272</v>
      </c>
      <c r="M591" s="21" t="s">
        <v>2272</v>
      </c>
      <c r="N591" s="21" t="s">
        <v>2272</v>
      </c>
      <c r="O591" s="21" t="s">
        <v>2272</v>
      </c>
      <c r="P591" s="21" t="s">
        <v>2272</v>
      </c>
      <c r="Q591" s="21" t="s">
        <v>2272</v>
      </c>
      <c r="R591" s="97" t="s">
        <v>2272</v>
      </c>
      <c r="S591" s="97" t="s">
        <v>2272</v>
      </c>
      <c r="T591" s="21" t="s">
        <v>2272</v>
      </c>
      <c r="U591" s="21" t="s">
        <v>2272</v>
      </c>
      <c r="V591" s="21" t="s">
        <v>2272</v>
      </c>
      <c r="W591" s="21" t="s">
        <v>2272</v>
      </c>
      <c r="X591" s="21" t="s">
        <v>2272</v>
      </c>
      <c r="Y591" s="3" t="s">
        <v>37</v>
      </c>
      <c r="Z591" s="3" t="s">
        <v>37</v>
      </c>
      <c r="AA591" s="3" t="s">
        <v>63</v>
      </c>
      <c r="AB591" s="4" t="s">
        <v>2204</v>
      </c>
      <c r="AC591" s="3" t="s">
        <v>2203</v>
      </c>
    </row>
    <row r="592" spans="1:29"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2272</v>
      </c>
      <c r="K592" s="21" t="s">
        <v>2272</v>
      </c>
      <c r="L592" s="98" t="s">
        <v>2272</v>
      </c>
      <c r="M592" s="21" t="s">
        <v>2272</v>
      </c>
      <c r="N592" s="21" t="s">
        <v>2272</v>
      </c>
      <c r="O592" s="21" t="s">
        <v>2272</v>
      </c>
      <c r="P592" s="21" t="s">
        <v>2272</v>
      </c>
      <c r="Q592" s="21" t="s">
        <v>2272</v>
      </c>
      <c r="R592" s="97" t="s">
        <v>2272</v>
      </c>
      <c r="S592" s="97" t="s">
        <v>2272</v>
      </c>
      <c r="T592" s="21" t="s">
        <v>2272</v>
      </c>
      <c r="U592" s="21" t="s">
        <v>2272</v>
      </c>
      <c r="V592" s="21" t="s">
        <v>2272</v>
      </c>
      <c r="W592" s="21" t="s">
        <v>2272</v>
      </c>
      <c r="X592" s="21" t="s">
        <v>2399</v>
      </c>
      <c r="Y592" s="3" t="s">
        <v>2272</v>
      </c>
      <c r="Z592" s="3" t="s">
        <v>2272</v>
      </c>
      <c r="AA592" s="3" t="s">
        <v>2272</v>
      </c>
      <c r="AB592" s="3"/>
      <c r="AC592" s="3" t="s">
        <v>715</v>
      </c>
    </row>
    <row r="593" spans="1:29"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2272</v>
      </c>
      <c r="K593" s="21" t="s">
        <v>2272</v>
      </c>
      <c r="L593" s="98" t="s">
        <v>2272</v>
      </c>
      <c r="M593" s="21" t="s">
        <v>2272</v>
      </c>
      <c r="N593" s="21" t="s">
        <v>2272</v>
      </c>
      <c r="O593" s="21" t="s">
        <v>2272</v>
      </c>
      <c r="P593" s="21" t="s">
        <v>2272</v>
      </c>
      <c r="Q593" s="21" t="s">
        <v>2369</v>
      </c>
      <c r="R593" s="97" t="s">
        <v>2272</v>
      </c>
      <c r="S593" s="97" t="s">
        <v>2272</v>
      </c>
      <c r="T593" s="21" t="s">
        <v>2272</v>
      </c>
      <c r="U593" s="21" t="s">
        <v>2272</v>
      </c>
      <c r="V593" s="21" t="s">
        <v>2272</v>
      </c>
      <c r="W593" s="21" t="s">
        <v>2272</v>
      </c>
      <c r="X593" s="21" t="s">
        <v>2398</v>
      </c>
      <c r="Y593" s="3" t="s">
        <v>37</v>
      </c>
      <c r="Z593" s="3" t="s">
        <v>84</v>
      </c>
      <c r="AA593" s="3" t="s">
        <v>63</v>
      </c>
      <c r="AB593" s="3"/>
      <c r="AC593" s="4" t="s">
        <v>901</v>
      </c>
    </row>
    <row r="594" spans="1:29"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2272</v>
      </c>
      <c r="K594" s="21" t="s">
        <v>2272</v>
      </c>
      <c r="L594" s="98" t="s">
        <v>2272</v>
      </c>
      <c r="M594" s="21" t="s">
        <v>2272</v>
      </c>
      <c r="N594" s="21" t="s">
        <v>2272</v>
      </c>
      <c r="O594" s="21" t="s">
        <v>2272</v>
      </c>
      <c r="P594" s="21" t="s">
        <v>2272</v>
      </c>
      <c r="Q594" s="21" t="s">
        <v>2272</v>
      </c>
      <c r="R594" s="97" t="s">
        <v>2272</v>
      </c>
      <c r="S594" s="97" t="s">
        <v>2272</v>
      </c>
      <c r="T594" s="21" t="s">
        <v>2272</v>
      </c>
      <c r="U594" s="21" t="s">
        <v>2272</v>
      </c>
      <c r="V594" s="21" t="s">
        <v>2272</v>
      </c>
      <c r="W594" s="21" t="s">
        <v>2272</v>
      </c>
      <c r="X594" s="21" t="s">
        <v>2272</v>
      </c>
      <c r="Y594" s="3" t="s">
        <v>2272</v>
      </c>
      <c r="Z594" s="3" t="s">
        <v>2272</v>
      </c>
      <c r="AA594" s="3" t="s">
        <v>2272</v>
      </c>
      <c r="AB594" s="3"/>
      <c r="AC594" s="4"/>
    </row>
    <row r="595" spans="1:29"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2272</v>
      </c>
      <c r="K595" s="21" t="s">
        <v>2272</v>
      </c>
      <c r="L595" s="98" t="s">
        <v>2272</v>
      </c>
      <c r="M595" s="21" t="s">
        <v>2272</v>
      </c>
      <c r="N595" s="21" t="s">
        <v>2272</v>
      </c>
      <c r="O595" s="21" t="s">
        <v>2272</v>
      </c>
      <c r="P595" s="21" t="s">
        <v>2272</v>
      </c>
      <c r="Q595" s="21" t="s">
        <v>2272</v>
      </c>
      <c r="R595" s="97" t="s">
        <v>2272</v>
      </c>
      <c r="S595" s="97" t="s">
        <v>2272</v>
      </c>
      <c r="T595" s="21" t="s">
        <v>2272</v>
      </c>
      <c r="U595" s="21" t="s">
        <v>2272</v>
      </c>
      <c r="V595" s="21" t="s">
        <v>2272</v>
      </c>
      <c r="W595" s="21" t="s">
        <v>2272</v>
      </c>
      <c r="X595" s="21" t="s">
        <v>2272</v>
      </c>
      <c r="Y595" s="3" t="s">
        <v>2272</v>
      </c>
      <c r="Z595" s="3" t="s">
        <v>2272</v>
      </c>
      <c r="AA595" s="3" t="s">
        <v>2272</v>
      </c>
      <c r="AB595" s="3"/>
      <c r="AC595" s="4"/>
    </row>
    <row r="596" spans="1:29"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2272</v>
      </c>
      <c r="K596" s="21" t="s">
        <v>2272</v>
      </c>
      <c r="L596" s="98" t="s">
        <v>2272</v>
      </c>
      <c r="M596" s="21" t="s">
        <v>2272</v>
      </c>
      <c r="N596" s="21" t="s">
        <v>2272</v>
      </c>
      <c r="O596" s="21" t="s">
        <v>2272</v>
      </c>
      <c r="P596" s="21" t="s">
        <v>2272</v>
      </c>
      <c r="Q596" s="21" t="s">
        <v>2272</v>
      </c>
      <c r="R596" s="97" t="s">
        <v>2272</v>
      </c>
      <c r="S596" s="97" t="s">
        <v>2272</v>
      </c>
      <c r="T596" s="21" t="s">
        <v>2272</v>
      </c>
      <c r="U596" s="21" t="s">
        <v>2272</v>
      </c>
      <c r="V596" s="21" t="s">
        <v>2272</v>
      </c>
      <c r="W596" s="21" t="s">
        <v>2272</v>
      </c>
      <c r="X596" s="21" t="s">
        <v>2272</v>
      </c>
      <c r="Y596" s="3" t="s">
        <v>2272</v>
      </c>
      <c r="Z596" s="3" t="s">
        <v>2272</v>
      </c>
      <c r="AA596" s="3" t="s">
        <v>2272</v>
      </c>
      <c r="AB596" s="3"/>
      <c r="AC596" s="4"/>
    </row>
    <row r="597" spans="1:29"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2272</v>
      </c>
      <c r="K597" s="21" t="s">
        <v>2272</v>
      </c>
      <c r="L597" s="98" t="s">
        <v>2272</v>
      </c>
      <c r="M597" s="21" t="s">
        <v>2272</v>
      </c>
      <c r="N597" s="21" t="s">
        <v>2272</v>
      </c>
      <c r="O597" s="21" t="s">
        <v>2272</v>
      </c>
      <c r="P597" s="21" t="s">
        <v>2272</v>
      </c>
      <c r="Q597" s="21" t="s">
        <v>2272</v>
      </c>
      <c r="R597" s="97" t="s">
        <v>2272</v>
      </c>
      <c r="S597" s="97" t="s">
        <v>2272</v>
      </c>
      <c r="T597" s="21" t="s">
        <v>2272</v>
      </c>
      <c r="U597" s="21" t="s">
        <v>2272</v>
      </c>
      <c r="V597" s="21" t="s">
        <v>2272</v>
      </c>
      <c r="W597" s="21" t="s">
        <v>2272</v>
      </c>
      <c r="X597" s="21" t="s">
        <v>2272</v>
      </c>
      <c r="Y597" s="3" t="s">
        <v>2272</v>
      </c>
      <c r="Z597" s="3" t="s">
        <v>2272</v>
      </c>
      <c r="AA597" s="3" t="s">
        <v>2272</v>
      </c>
      <c r="AB597" s="3"/>
      <c r="AC597" s="4"/>
    </row>
    <row r="598" spans="1:29"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2272</v>
      </c>
      <c r="K598" s="21" t="s">
        <v>2272</v>
      </c>
      <c r="L598" s="98" t="s">
        <v>2272</v>
      </c>
      <c r="M598" s="21" t="s">
        <v>2272</v>
      </c>
      <c r="N598" s="21" t="s">
        <v>2272</v>
      </c>
      <c r="O598" s="21" t="s">
        <v>2272</v>
      </c>
      <c r="P598" s="21" t="s">
        <v>2272</v>
      </c>
      <c r="Q598" s="21" t="s">
        <v>2272</v>
      </c>
      <c r="R598" s="97" t="s">
        <v>2272</v>
      </c>
      <c r="S598" s="97" t="s">
        <v>2272</v>
      </c>
      <c r="T598" s="21" t="s">
        <v>2272</v>
      </c>
      <c r="U598" s="21" t="s">
        <v>2272</v>
      </c>
      <c r="V598" s="21" t="s">
        <v>2272</v>
      </c>
      <c r="W598" s="21" t="s">
        <v>2272</v>
      </c>
      <c r="X598" s="21" t="s">
        <v>2272</v>
      </c>
      <c r="Y598" s="3" t="s">
        <v>2272</v>
      </c>
      <c r="Z598" s="3" t="s">
        <v>2272</v>
      </c>
      <c r="AA598" s="3" t="s">
        <v>2272</v>
      </c>
      <c r="AB598" s="3"/>
      <c r="AC598" s="4"/>
    </row>
    <row r="599" spans="1:29"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2272</v>
      </c>
      <c r="K599" s="21" t="s">
        <v>2272</v>
      </c>
      <c r="L599" s="98" t="s">
        <v>2272</v>
      </c>
      <c r="M599" s="21" t="s">
        <v>2272</v>
      </c>
      <c r="N599" s="21" t="s">
        <v>2272</v>
      </c>
      <c r="O599" s="21" t="s">
        <v>2272</v>
      </c>
      <c r="P599" s="21" t="s">
        <v>2272</v>
      </c>
      <c r="Q599" s="21" t="s">
        <v>2272</v>
      </c>
      <c r="R599" s="97" t="s">
        <v>2272</v>
      </c>
      <c r="S599" s="97" t="s">
        <v>2272</v>
      </c>
      <c r="T599" s="21" t="s">
        <v>2272</v>
      </c>
      <c r="U599" s="21" t="s">
        <v>2272</v>
      </c>
      <c r="V599" s="21" t="s">
        <v>2272</v>
      </c>
      <c r="W599" s="21" t="s">
        <v>2272</v>
      </c>
      <c r="X599" s="21" t="s">
        <v>2272</v>
      </c>
      <c r="Y599" s="3" t="s">
        <v>423</v>
      </c>
      <c r="Z599" s="3" t="s">
        <v>67</v>
      </c>
      <c r="AA599" s="3" t="s">
        <v>63</v>
      </c>
      <c r="AB599" s="4" t="s">
        <v>910</v>
      </c>
      <c r="AC599" s="3"/>
    </row>
    <row r="600" spans="1:29"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2272</v>
      </c>
      <c r="K600" s="21" t="s">
        <v>2272</v>
      </c>
      <c r="L600" s="98" t="s">
        <v>2272</v>
      </c>
      <c r="M600" s="21" t="s">
        <v>2272</v>
      </c>
      <c r="N600" s="21" t="s">
        <v>2272</v>
      </c>
      <c r="O600" s="21" t="s">
        <v>2272</v>
      </c>
      <c r="P600" s="21" t="s">
        <v>2272</v>
      </c>
      <c r="Q600" s="21" t="s">
        <v>2272</v>
      </c>
      <c r="R600" s="97" t="s">
        <v>2272</v>
      </c>
      <c r="S600" s="97" t="s">
        <v>2272</v>
      </c>
      <c r="T600" s="21" t="s">
        <v>2272</v>
      </c>
      <c r="U600" s="21" t="s">
        <v>2272</v>
      </c>
      <c r="V600" s="21" t="s">
        <v>2272</v>
      </c>
      <c r="W600" s="21" t="s">
        <v>2272</v>
      </c>
      <c r="X600" s="21" t="s">
        <v>2399</v>
      </c>
      <c r="Y600" s="3" t="s">
        <v>423</v>
      </c>
      <c r="Z600" s="3" t="s">
        <v>67</v>
      </c>
      <c r="AA600" s="3" t="s">
        <v>63</v>
      </c>
      <c r="AB600" s="4" t="s">
        <v>913</v>
      </c>
      <c r="AC600" s="3" t="s">
        <v>715</v>
      </c>
    </row>
    <row r="601" spans="1:29"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2359</v>
      </c>
      <c r="K601" s="21" t="s">
        <v>2359</v>
      </c>
      <c r="L601" s="98" t="s">
        <v>2359</v>
      </c>
      <c r="M601" s="21" t="s">
        <v>2359</v>
      </c>
      <c r="N601" s="21" t="s">
        <v>2359</v>
      </c>
      <c r="O601" s="21" t="s">
        <v>2359</v>
      </c>
      <c r="P601" s="21" t="s">
        <v>2359</v>
      </c>
      <c r="Q601" s="21" t="s">
        <v>2359</v>
      </c>
      <c r="R601" s="97" t="s">
        <v>2272</v>
      </c>
      <c r="S601" s="97" t="s">
        <v>2272</v>
      </c>
      <c r="T601" s="21" t="s">
        <v>2359</v>
      </c>
      <c r="U601" s="21" t="s">
        <v>2359</v>
      </c>
      <c r="V601" s="21" t="s">
        <v>2359</v>
      </c>
      <c r="W601" s="21" t="s">
        <v>2359</v>
      </c>
      <c r="X601" s="21" t="s">
        <v>2272</v>
      </c>
      <c r="Y601" s="3" t="s">
        <v>2272</v>
      </c>
      <c r="Z601" s="3" t="s">
        <v>2272</v>
      </c>
      <c r="AA601" s="3" t="s">
        <v>2272</v>
      </c>
      <c r="AB601" s="3"/>
      <c r="AC601" s="3"/>
    </row>
    <row r="602" spans="1:29"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2359</v>
      </c>
      <c r="K602" s="21" t="s">
        <v>2359</v>
      </c>
      <c r="L602" s="98" t="s">
        <v>2359</v>
      </c>
      <c r="M602" s="21" t="s">
        <v>2359</v>
      </c>
      <c r="N602" s="21" t="s">
        <v>2359</v>
      </c>
      <c r="O602" s="21" t="s">
        <v>2359</v>
      </c>
      <c r="P602" s="21" t="s">
        <v>2359</v>
      </c>
      <c r="Q602" s="21" t="s">
        <v>2359</v>
      </c>
      <c r="R602" s="97" t="s">
        <v>2272</v>
      </c>
      <c r="S602" s="97" t="s">
        <v>2272</v>
      </c>
      <c r="T602" s="21" t="s">
        <v>2359</v>
      </c>
      <c r="U602" s="21" t="s">
        <v>2359</v>
      </c>
      <c r="V602" s="21" t="s">
        <v>2359</v>
      </c>
      <c r="W602" s="21" t="s">
        <v>2359</v>
      </c>
      <c r="X602" s="21" t="s">
        <v>2272</v>
      </c>
      <c r="Y602" s="3" t="s">
        <v>2272</v>
      </c>
      <c r="Z602" s="3" t="s">
        <v>2272</v>
      </c>
      <c r="AA602" s="3" t="s">
        <v>2272</v>
      </c>
      <c r="AB602" s="3"/>
      <c r="AC602" s="3"/>
    </row>
    <row r="603" spans="1:29"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98" t="s">
        <v>2272</v>
      </c>
      <c r="K603" s="98" t="s">
        <v>2272</v>
      </c>
      <c r="L603" s="98" t="s">
        <v>2272</v>
      </c>
      <c r="M603" s="21" t="s">
        <v>2369</v>
      </c>
      <c r="N603" s="21" t="s">
        <v>2272</v>
      </c>
      <c r="O603" s="21" t="s">
        <v>2375</v>
      </c>
      <c r="P603" s="21" t="s">
        <v>2272</v>
      </c>
      <c r="Q603" s="21" t="s">
        <v>2373</v>
      </c>
      <c r="R603" s="97" t="s">
        <v>2272</v>
      </c>
      <c r="S603" s="97" t="s">
        <v>2272</v>
      </c>
      <c r="T603" s="97" t="s">
        <v>2272</v>
      </c>
      <c r="U603" s="97" t="s">
        <v>2272</v>
      </c>
      <c r="V603" s="97" t="s">
        <v>2272</v>
      </c>
      <c r="W603" s="21" t="s">
        <v>2371</v>
      </c>
      <c r="X603" s="21" t="s">
        <v>2396</v>
      </c>
      <c r="Y603" s="3" t="s">
        <v>125</v>
      </c>
      <c r="Z603" s="3" t="s">
        <v>37</v>
      </c>
      <c r="AA603" s="3" t="s">
        <v>2650</v>
      </c>
      <c r="AB603" s="4" t="s">
        <v>5063</v>
      </c>
      <c r="AC603" s="4" t="s">
        <v>5071</v>
      </c>
    </row>
    <row r="604" spans="1:29"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98" t="s">
        <v>2272</v>
      </c>
      <c r="K604" s="98" t="s">
        <v>2272</v>
      </c>
      <c r="L604" s="98" t="s">
        <v>2272</v>
      </c>
      <c r="M604" s="21" t="s">
        <v>2358</v>
      </c>
      <c r="N604" s="21" t="s">
        <v>2272</v>
      </c>
      <c r="O604" s="21" t="s">
        <v>2373</v>
      </c>
      <c r="P604" s="21" t="s">
        <v>2272</v>
      </c>
      <c r="Q604" s="21" t="s">
        <v>2373</v>
      </c>
      <c r="R604" s="97" t="s">
        <v>2272</v>
      </c>
      <c r="S604" s="97" t="s">
        <v>2272</v>
      </c>
      <c r="T604" s="97" t="s">
        <v>2272</v>
      </c>
      <c r="U604" s="97" t="s">
        <v>2272</v>
      </c>
      <c r="V604" s="97" t="s">
        <v>2272</v>
      </c>
      <c r="W604" s="21" t="s">
        <v>2371</v>
      </c>
      <c r="X604" s="21" t="s">
        <v>2396</v>
      </c>
      <c r="Y604" s="3" t="s">
        <v>125</v>
      </c>
      <c r="Z604" s="3" t="s">
        <v>37</v>
      </c>
      <c r="AA604" s="3" t="s">
        <v>2650</v>
      </c>
      <c r="AB604" s="4" t="s">
        <v>5063</v>
      </c>
      <c r="AC604" s="4" t="s">
        <v>5071</v>
      </c>
    </row>
    <row r="605" spans="1:29"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98" t="s">
        <v>2272</v>
      </c>
      <c r="K605" s="98" t="s">
        <v>2272</v>
      </c>
      <c r="L605" s="98" t="s">
        <v>2272</v>
      </c>
      <c r="M605" s="21" t="s">
        <v>2368</v>
      </c>
      <c r="N605" s="21" t="s">
        <v>2272</v>
      </c>
      <c r="O605" s="21" t="s">
        <v>2375</v>
      </c>
      <c r="P605" s="21" t="s">
        <v>2272</v>
      </c>
      <c r="Q605" s="21" t="s">
        <v>2373</v>
      </c>
      <c r="R605" s="97" t="s">
        <v>2272</v>
      </c>
      <c r="S605" s="97" t="s">
        <v>2272</v>
      </c>
      <c r="T605" s="97" t="s">
        <v>2272</v>
      </c>
      <c r="U605" s="97" t="s">
        <v>2272</v>
      </c>
      <c r="V605" s="97" t="s">
        <v>2272</v>
      </c>
      <c r="W605" s="21" t="s">
        <v>2371</v>
      </c>
      <c r="X605" s="21" t="s">
        <v>2396</v>
      </c>
      <c r="Y605" s="3" t="s">
        <v>125</v>
      </c>
      <c r="Z605" s="3" t="s">
        <v>37</v>
      </c>
      <c r="AA605" s="3" t="s">
        <v>2650</v>
      </c>
      <c r="AB605" s="4" t="s">
        <v>5063</v>
      </c>
      <c r="AC605" s="4" t="s">
        <v>5071</v>
      </c>
    </row>
    <row r="606" spans="1:29"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98" t="s">
        <v>2272</v>
      </c>
      <c r="K606" s="98" t="s">
        <v>2272</v>
      </c>
      <c r="L606" s="98" t="s">
        <v>2272</v>
      </c>
      <c r="M606" s="21" t="s">
        <v>2368</v>
      </c>
      <c r="N606" s="21" t="s">
        <v>2272</v>
      </c>
      <c r="O606" s="21" t="s">
        <v>2376</v>
      </c>
      <c r="P606" s="21" t="s">
        <v>2272</v>
      </c>
      <c r="Q606" s="21" t="s">
        <v>2373</v>
      </c>
      <c r="R606" s="97" t="s">
        <v>2272</v>
      </c>
      <c r="S606" s="97" t="s">
        <v>2272</v>
      </c>
      <c r="T606" s="97" t="s">
        <v>2272</v>
      </c>
      <c r="U606" s="97" t="s">
        <v>2272</v>
      </c>
      <c r="V606" s="97" t="s">
        <v>2272</v>
      </c>
      <c r="W606" s="21" t="s">
        <v>2371</v>
      </c>
      <c r="X606" s="21" t="s">
        <v>2396</v>
      </c>
      <c r="Y606" s="3" t="s">
        <v>125</v>
      </c>
      <c r="Z606" s="3" t="s">
        <v>37</v>
      </c>
      <c r="AA606" s="3" t="s">
        <v>2650</v>
      </c>
      <c r="AB606" s="4" t="s">
        <v>5063</v>
      </c>
      <c r="AC606" s="4" t="s">
        <v>5071</v>
      </c>
    </row>
    <row r="607" spans="1:29"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98" t="s">
        <v>2272</v>
      </c>
      <c r="K607" s="98" t="s">
        <v>2272</v>
      </c>
      <c r="L607" s="98" t="s">
        <v>2272</v>
      </c>
      <c r="M607" s="21" t="s">
        <v>2358</v>
      </c>
      <c r="N607" s="21" t="s">
        <v>2272</v>
      </c>
      <c r="O607" s="21" t="s">
        <v>2376</v>
      </c>
      <c r="P607" s="21" t="s">
        <v>2272</v>
      </c>
      <c r="Q607" s="21" t="s">
        <v>2372</v>
      </c>
      <c r="R607" s="97" t="s">
        <v>2272</v>
      </c>
      <c r="S607" s="97" t="s">
        <v>2272</v>
      </c>
      <c r="T607" s="97" t="s">
        <v>2272</v>
      </c>
      <c r="U607" s="97" t="s">
        <v>2272</v>
      </c>
      <c r="V607" s="97" t="s">
        <v>2272</v>
      </c>
      <c r="W607" s="21" t="s">
        <v>2371</v>
      </c>
      <c r="X607" s="21" t="s">
        <v>2396</v>
      </c>
      <c r="Y607" s="3" t="s">
        <v>125</v>
      </c>
      <c r="Z607" s="3" t="s">
        <v>37</v>
      </c>
      <c r="AA607" s="3" t="s">
        <v>2650</v>
      </c>
      <c r="AB607" s="4" t="s">
        <v>5063</v>
      </c>
      <c r="AC607" s="4" t="s">
        <v>5071</v>
      </c>
    </row>
    <row r="608" spans="1:29"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98" t="s">
        <v>2272</v>
      </c>
      <c r="K608" s="98" t="s">
        <v>2272</v>
      </c>
      <c r="L608" s="98" t="s">
        <v>2272</v>
      </c>
      <c r="M608" s="21" t="s">
        <v>2370</v>
      </c>
      <c r="N608" s="21" t="s">
        <v>2272</v>
      </c>
      <c r="O608" s="21" t="s">
        <v>2377</v>
      </c>
      <c r="P608" s="21" t="s">
        <v>2272</v>
      </c>
      <c r="Q608" s="21" t="s">
        <v>2373</v>
      </c>
      <c r="R608" s="97" t="s">
        <v>2272</v>
      </c>
      <c r="S608" s="97" t="s">
        <v>2272</v>
      </c>
      <c r="T608" s="97" t="s">
        <v>2272</v>
      </c>
      <c r="U608" s="97" t="s">
        <v>2272</v>
      </c>
      <c r="V608" s="97" t="s">
        <v>2272</v>
      </c>
      <c r="W608" s="21" t="s">
        <v>2384</v>
      </c>
      <c r="X608" s="21" t="s">
        <v>2396</v>
      </c>
      <c r="Y608" s="3" t="s">
        <v>125</v>
      </c>
      <c r="Z608" s="3" t="s">
        <v>37</v>
      </c>
      <c r="AA608" s="3" t="s">
        <v>2650</v>
      </c>
      <c r="AB608" s="4" t="s">
        <v>5063</v>
      </c>
      <c r="AC608" s="4" t="s">
        <v>5071</v>
      </c>
    </row>
    <row r="609" spans="1:29"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98" t="s">
        <v>2272</v>
      </c>
      <c r="K609" s="98" t="s">
        <v>2272</v>
      </c>
      <c r="L609" s="98" t="s">
        <v>2272</v>
      </c>
      <c r="M609" s="21" t="s">
        <v>2370</v>
      </c>
      <c r="N609" s="21" t="s">
        <v>2272</v>
      </c>
      <c r="O609" s="21" t="s">
        <v>2375</v>
      </c>
      <c r="P609" s="21" t="s">
        <v>2272</v>
      </c>
      <c r="Q609" s="21" t="s">
        <v>2373</v>
      </c>
      <c r="R609" s="97" t="s">
        <v>2272</v>
      </c>
      <c r="S609" s="97" t="s">
        <v>2272</v>
      </c>
      <c r="T609" s="97" t="s">
        <v>2272</v>
      </c>
      <c r="U609" s="97" t="s">
        <v>2272</v>
      </c>
      <c r="V609" s="97" t="s">
        <v>2272</v>
      </c>
      <c r="W609" s="21" t="s">
        <v>2371</v>
      </c>
      <c r="X609" s="21" t="s">
        <v>2396</v>
      </c>
      <c r="Y609" s="3" t="s">
        <v>125</v>
      </c>
      <c r="Z609" s="3" t="s">
        <v>37</v>
      </c>
      <c r="AA609" s="3" t="s">
        <v>2650</v>
      </c>
      <c r="AB609" s="4" t="s">
        <v>5063</v>
      </c>
      <c r="AC609" s="4" t="s">
        <v>5071</v>
      </c>
    </row>
    <row r="610" spans="1:29"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98" t="s">
        <v>2272</v>
      </c>
      <c r="K610" s="98" t="s">
        <v>2272</v>
      </c>
      <c r="L610" s="98" t="s">
        <v>2272</v>
      </c>
      <c r="M610" s="98" t="s">
        <v>2272</v>
      </c>
      <c r="N610" s="98" t="s">
        <v>2272</v>
      </c>
      <c r="O610" s="98" t="s">
        <v>2272</v>
      </c>
      <c r="P610" s="98" t="s">
        <v>2272</v>
      </c>
      <c r="Q610" s="98" t="s">
        <v>2272</v>
      </c>
      <c r="R610" s="98" t="s">
        <v>2272</v>
      </c>
      <c r="S610" s="98" t="s">
        <v>2272</v>
      </c>
      <c r="T610" s="98" t="s">
        <v>2272</v>
      </c>
      <c r="U610" s="98" t="s">
        <v>2272</v>
      </c>
      <c r="V610" s="98" t="s">
        <v>2272</v>
      </c>
      <c r="W610" s="98" t="s">
        <v>2272</v>
      </c>
      <c r="X610" s="98" t="s">
        <v>2272</v>
      </c>
      <c r="Y610" s="3" t="s">
        <v>187</v>
      </c>
      <c r="Z610" s="3" t="s">
        <v>37</v>
      </c>
      <c r="AA610" s="3" t="s">
        <v>63</v>
      </c>
      <c r="AB610" s="4" t="s">
        <v>5072</v>
      </c>
      <c r="AC610" s="98" t="s">
        <v>2272</v>
      </c>
    </row>
    <row r="611" spans="1:29"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98" t="s">
        <v>2272</v>
      </c>
      <c r="K611" s="98" t="s">
        <v>2272</v>
      </c>
      <c r="L611" s="98" t="s">
        <v>2272</v>
      </c>
      <c r="M611" s="21" t="s">
        <v>2368</v>
      </c>
      <c r="N611" s="21" t="s">
        <v>2272</v>
      </c>
      <c r="O611" s="21" t="s">
        <v>2373</v>
      </c>
      <c r="P611" s="21" t="s">
        <v>2272</v>
      </c>
      <c r="Q611" s="21" t="s">
        <v>2372</v>
      </c>
      <c r="R611" s="97" t="s">
        <v>2272</v>
      </c>
      <c r="S611" s="97" t="s">
        <v>2272</v>
      </c>
      <c r="T611" s="97" t="s">
        <v>2272</v>
      </c>
      <c r="U611" s="97" t="s">
        <v>2272</v>
      </c>
      <c r="V611" s="97" t="s">
        <v>2272</v>
      </c>
      <c r="W611" s="21" t="s">
        <v>2384</v>
      </c>
      <c r="X611" s="21" t="s">
        <v>2396</v>
      </c>
      <c r="Y611" s="3" t="s">
        <v>125</v>
      </c>
      <c r="Z611" s="3" t="s">
        <v>37</v>
      </c>
      <c r="AA611" s="3" t="s">
        <v>2650</v>
      </c>
      <c r="AB611" s="4" t="s">
        <v>5063</v>
      </c>
      <c r="AC611" s="4" t="s">
        <v>5071</v>
      </c>
    </row>
    <row r="612" spans="1:29"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98" t="s">
        <v>2272</v>
      </c>
      <c r="K612" s="98" t="s">
        <v>2272</v>
      </c>
      <c r="L612" s="98" t="s">
        <v>2272</v>
      </c>
      <c r="M612" s="21" t="s">
        <v>2358</v>
      </c>
      <c r="N612" s="21" t="s">
        <v>2272</v>
      </c>
      <c r="O612" s="21" t="s">
        <v>2373</v>
      </c>
      <c r="P612" s="21" t="s">
        <v>2272</v>
      </c>
      <c r="Q612" s="21" t="s">
        <v>2369</v>
      </c>
      <c r="R612" s="97" t="s">
        <v>2272</v>
      </c>
      <c r="S612" s="97" t="s">
        <v>2272</v>
      </c>
      <c r="T612" s="97" t="s">
        <v>2272</v>
      </c>
      <c r="U612" s="97" t="s">
        <v>2272</v>
      </c>
      <c r="V612" s="97" t="s">
        <v>2272</v>
      </c>
      <c r="W612" s="21" t="s">
        <v>2371</v>
      </c>
      <c r="X612" s="21" t="s">
        <v>2396</v>
      </c>
      <c r="Y612" s="3" t="s">
        <v>125</v>
      </c>
      <c r="Z612" s="3" t="s">
        <v>37</v>
      </c>
      <c r="AA612" s="3" t="s">
        <v>2650</v>
      </c>
      <c r="AB612" s="4" t="s">
        <v>5063</v>
      </c>
      <c r="AC612" s="4" t="s">
        <v>5071</v>
      </c>
    </row>
    <row r="613" spans="1:29"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98" t="s">
        <v>2272</v>
      </c>
      <c r="K613" s="98" t="s">
        <v>2272</v>
      </c>
      <c r="L613" s="98" t="s">
        <v>2272</v>
      </c>
      <c r="M613" s="21" t="s">
        <v>2358</v>
      </c>
      <c r="N613" s="21" t="s">
        <v>2272</v>
      </c>
      <c r="O613" s="21" t="s">
        <v>2373</v>
      </c>
      <c r="P613" s="21" t="s">
        <v>2272</v>
      </c>
      <c r="Q613" s="21" t="s">
        <v>2369</v>
      </c>
      <c r="R613" s="97" t="s">
        <v>2272</v>
      </c>
      <c r="S613" s="97" t="s">
        <v>2272</v>
      </c>
      <c r="T613" s="97" t="s">
        <v>2272</v>
      </c>
      <c r="U613" s="97" t="s">
        <v>2272</v>
      </c>
      <c r="V613" s="97" t="s">
        <v>2272</v>
      </c>
      <c r="W613" s="21" t="s">
        <v>2371</v>
      </c>
      <c r="X613" s="21" t="s">
        <v>2397</v>
      </c>
      <c r="Y613" s="3" t="s">
        <v>125</v>
      </c>
      <c r="Z613" s="3" t="s">
        <v>37</v>
      </c>
      <c r="AA613" s="3" t="s">
        <v>2650</v>
      </c>
      <c r="AB613" s="4" t="s">
        <v>5063</v>
      </c>
      <c r="AC613" s="4" t="s">
        <v>5071</v>
      </c>
    </row>
    <row r="614" spans="1:29"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98" t="s">
        <v>2272</v>
      </c>
      <c r="K614" s="98" t="s">
        <v>2272</v>
      </c>
      <c r="L614" s="98" t="s">
        <v>2272</v>
      </c>
      <c r="M614" s="21" t="s">
        <v>2358</v>
      </c>
      <c r="N614" s="21" t="s">
        <v>2272</v>
      </c>
      <c r="O614" s="21" t="s">
        <v>2372</v>
      </c>
      <c r="P614" s="21" t="s">
        <v>2272</v>
      </c>
      <c r="Q614" s="21" t="s">
        <v>2369</v>
      </c>
      <c r="R614" s="97" t="s">
        <v>2272</v>
      </c>
      <c r="S614" s="97" t="s">
        <v>2272</v>
      </c>
      <c r="T614" s="97" t="s">
        <v>2272</v>
      </c>
      <c r="U614" s="97" t="s">
        <v>2272</v>
      </c>
      <c r="V614" s="97" t="s">
        <v>2272</v>
      </c>
      <c r="W614" s="21" t="s">
        <v>2371</v>
      </c>
      <c r="X614" s="21" t="s">
        <v>2397</v>
      </c>
      <c r="Y614" s="3" t="s">
        <v>125</v>
      </c>
      <c r="Z614" s="3" t="s">
        <v>37</v>
      </c>
      <c r="AA614" s="3" t="s">
        <v>2650</v>
      </c>
      <c r="AB614" s="4" t="s">
        <v>5063</v>
      </c>
      <c r="AC614" s="4" t="s">
        <v>5071</v>
      </c>
    </row>
    <row r="615" spans="1:29"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98" t="s">
        <v>2272</v>
      </c>
      <c r="K615" s="98" t="s">
        <v>2272</v>
      </c>
      <c r="L615" s="98" t="s">
        <v>2272</v>
      </c>
      <c r="M615" s="21" t="s">
        <v>2358</v>
      </c>
      <c r="N615" s="21" t="s">
        <v>2272</v>
      </c>
      <c r="O615" s="21" t="s">
        <v>2371</v>
      </c>
      <c r="P615" s="21" t="s">
        <v>2272</v>
      </c>
      <c r="Q615" s="21" t="s">
        <v>2369</v>
      </c>
      <c r="R615" s="97" t="s">
        <v>2272</v>
      </c>
      <c r="S615" s="97" t="s">
        <v>2272</v>
      </c>
      <c r="T615" s="97" t="s">
        <v>2272</v>
      </c>
      <c r="U615" s="97" t="s">
        <v>2272</v>
      </c>
      <c r="V615" s="97" t="s">
        <v>2272</v>
      </c>
      <c r="W615" s="21" t="s">
        <v>2371</v>
      </c>
      <c r="X615" s="21" t="s">
        <v>2396</v>
      </c>
      <c r="Y615" s="3" t="s">
        <v>125</v>
      </c>
      <c r="Z615" s="3" t="s">
        <v>37</v>
      </c>
      <c r="AA615" s="3" t="s">
        <v>2650</v>
      </c>
      <c r="AB615" s="4" t="s">
        <v>5063</v>
      </c>
      <c r="AC615" s="4" t="s">
        <v>5071</v>
      </c>
    </row>
    <row r="616" spans="1:29"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98" t="s">
        <v>2272</v>
      </c>
      <c r="K616" s="98" t="s">
        <v>2272</v>
      </c>
      <c r="L616" s="98" t="s">
        <v>2272</v>
      </c>
      <c r="M616" s="21" t="s">
        <v>2358</v>
      </c>
      <c r="N616" s="21" t="s">
        <v>2272</v>
      </c>
      <c r="O616" s="21" t="s">
        <v>2371</v>
      </c>
      <c r="P616" s="21" t="s">
        <v>2272</v>
      </c>
      <c r="Q616" s="21" t="s">
        <v>2369</v>
      </c>
      <c r="R616" s="97" t="s">
        <v>2272</v>
      </c>
      <c r="S616" s="97" t="s">
        <v>2272</v>
      </c>
      <c r="T616" s="97" t="s">
        <v>2272</v>
      </c>
      <c r="U616" s="97" t="s">
        <v>2272</v>
      </c>
      <c r="V616" s="97" t="s">
        <v>2272</v>
      </c>
      <c r="W616" s="21" t="s">
        <v>2384</v>
      </c>
      <c r="X616" s="21" t="s">
        <v>2396</v>
      </c>
      <c r="Y616" s="3" t="s">
        <v>125</v>
      </c>
      <c r="Z616" s="3" t="s">
        <v>37</v>
      </c>
      <c r="AA616" s="3" t="s">
        <v>2650</v>
      </c>
      <c r="AB616" s="4" t="s">
        <v>5063</v>
      </c>
      <c r="AC616" s="4" t="s">
        <v>5071</v>
      </c>
    </row>
    <row r="617" spans="1:29"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98" t="s">
        <v>2272</v>
      </c>
      <c r="K617" s="98" t="s">
        <v>2272</v>
      </c>
      <c r="L617" s="98" t="s">
        <v>2272</v>
      </c>
      <c r="M617" s="21" t="s">
        <v>2358</v>
      </c>
      <c r="N617" s="21" t="s">
        <v>2272</v>
      </c>
      <c r="O617" s="21" t="s">
        <v>2374</v>
      </c>
      <c r="P617" s="21" t="s">
        <v>2272</v>
      </c>
      <c r="Q617" s="21" t="s">
        <v>2369</v>
      </c>
      <c r="R617" s="97" t="s">
        <v>2272</v>
      </c>
      <c r="S617" s="97" t="s">
        <v>2272</v>
      </c>
      <c r="T617" s="97" t="s">
        <v>2272</v>
      </c>
      <c r="U617" s="97" t="s">
        <v>2272</v>
      </c>
      <c r="V617" s="97" t="s">
        <v>2272</v>
      </c>
      <c r="W617" s="21" t="s">
        <v>2384</v>
      </c>
      <c r="X617" s="21" t="s">
        <v>2396</v>
      </c>
      <c r="Y617" s="3" t="s">
        <v>125</v>
      </c>
      <c r="Z617" s="3" t="s">
        <v>37</v>
      </c>
      <c r="AA617" s="3" t="s">
        <v>2650</v>
      </c>
      <c r="AB617" s="4" t="s">
        <v>5063</v>
      </c>
      <c r="AC617" s="4" t="s">
        <v>5071</v>
      </c>
    </row>
    <row r="618" spans="1:29"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98" t="s">
        <v>2272</v>
      </c>
      <c r="K618" s="98" t="s">
        <v>2272</v>
      </c>
      <c r="L618" s="98" t="s">
        <v>2272</v>
      </c>
      <c r="M618" s="98" t="s">
        <v>2272</v>
      </c>
      <c r="N618" s="98" t="s">
        <v>2272</v>
      </c>
      <c r="O618" s="98" t="s">
        <v>2272</v>
      </c>
      <c r="P618" s="98" t="s">
        <v>2272</v>
      </c>
      <c r="Q618" s="98" t="s">
        <v>2272</v>
      </c>
      <c r="R618" s="98" t="s">
        <v>2272</v>
      </c>
      <c r="S618" s="98" t="s">
        <v>2272</v>
      </c>
      <c r="T618" s="98" t="s">
        <v>2272</v>
      </c>
      <c r="U618" s="98" t="s">
        <v>2272</v>
      </c>
      <c r="V618" s="98" t="s">
        <v>2272</v>
      </c>
      <c r="W618" s="98" t="s">
        <v>2272</v>
      </c>
      <c r="X618" s="98" t="s">
        <v>2272</v>
      </c>
      <c r="Y618" s="3" t="s">
        <v>187</v>
      </c>
      <c r="Z618" s="3" t="s">
        <v>37</v>
      </c>
      <c r="AA618" s="3" t="s">
        <v>63</v>
      </c>
      <c r="AB618" s="4" t="s">
        <v>5072</v>
      </c>
      <c r="AC618" s="4"/>
    </row>
    <row r="619" spans="1:29"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98" t="s">
        <v>2272</v>
      </c>
      <c r="K619" s="98" t="s">
        <v>2272</v>
      </c>
      <c r="L619" s="98" t="s">
        <v>2272</v>
      </c>
      <c r="M619" s="21" t="s">
        <v>2272</v>
      </c>
      <c r="N619" s="21" t="s">
        <v>2272</v>
      </c>
      <c r="O619" s="21" t="s">
        <v>2272</v>
      </c>
      <c r="P619" s="21" t="s">
        <v>2272</v>
      </c>
      <c r="Q619" s="21" t="s">
        <v>2272</v>
      </c>
      <c r="R619" s="97" t="s">
        <v>2272</v>
      </c>
      <c r="S619" s="97" t="s">
        <v>2272</v>
      </c>
      <c r="T619" s="21" t="s">
        <v>2272</v>
      </c>
      <c r="U619" s="21" t="s">
        <v>2272</v>
      </c>
      <c r="V619" s="21" t="s">
        <v>2272</v>
      </c>
      <c r="W619" s="21" t="s">
        <v>2272</v>
      </c>
      <c r="X619" s="21" t="s">
        <v>2272</v>
      </c>
      <c r="Y619" s="3" t="s">
        <v>2272</v>
      </c>
      <c r="Z619" s="3" t="s">
        <v>2272</v>
      </c>
      <c r="AA619" s="3" t="s">
        <v>2272</v>
      </c>
      <c r="AB619" s="3"/>
      <c r="AC619" s="3"/>
    </row>
    <row r="620" spans="1:29"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98" t="s">
        <v>2272</v>
      </c>
      <c r="K620" s="98" t="s">
        <v>2272</v>
      </c>
      <c r="L620" s="98" t="s">
        <v>2272</v>
      </c>
      <c r="M620" s="21" t="s">
        <v>2272</v>
      </c>
      <c r="N620" s="21" t="s">
        <v>2272</v>
      </c>
      <c r="O620" s="21" t="s">
        <v>2272</v>
      </c>
      <c r="P620" s="21" t="s">
        <v>2272</v>
      </c>
      <c r="Q620" s="21" t="s">
        <v>2272</v>
      </c>
      <c r="R620" s="97" t="s">
        <v>2272</v>
      </c>
      <c r="S620" s="97" t="s">
        <v>2272</v>
      </c>
      <c r="T620" s="21" t="s">
        <v>2272</v>
      </c>
      <c r="U620" s="21" t="s">
        <v>2272</v>
      </c>
      <c r="V620" s="21" t="s">
        <v>2272</v>
      </c>
      <c r="W620" s="21" t="s">
        <v>2272</v>
      </c>
      <c r="X620" s="21" t="s">
        <v>2272</v>
      </c>
      <c r="Y620" s="3" t="s">
        <v>2272</v>
      </c>
      <c r="Z620" s="3" t="s">
        <v>2272</v>
      </c>
      <c r="AA620" s="3" t="s">
        <v>2272</v>
      </c>
      <c r="AB620" s="3"/>
      <c r="AC620" s="3"/>
    </row>
    <row r="621" spans="1:29"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98" t="s">
        <v>2272</v>
      </c>
      <c r="K621" s="98" t="s">
        <v>2272</v>
      </c>
      <c r="L621" s="98" t="s">
        <v>2358</v>
      </c>
      <c r="M621" s="21" t="s">
        <v>2272</v>
      </c>
      <c r="N621" s="21" t="s">
        <v>2369</v>
      </c>
      <c r="O621" s="21" t="s">
        <v>2272</v>
      </c>
      <c r="P621" s="21" t="s">
        <v>2272</v>
      </c>
      <c r="Q621" s="21" t="s">
        <v>2272</v>
      </c>
      <c r="R621" s="97" t="s">
        <v>2272</v>
      </c>
      <c r="S621" s="97" t="s">
        <v>2272</v>
      </c>
      <c r="T621" s="21" t="s">
        <v>2272</v>
      </c>
      <c r="U621" s="21" t="s">
        <v>2272</v>
      </c>
      <c r="V621" s="21" t="s">
        <v>2272</v>
      </c>
      <c r="W621" s="21" t="s">
        <v>2272</v>
      </c>
      <c r="X621" s="21" t="s">
        <v>2272</v>
      </c>
      <c r="Y621" s="3" t="s">
        <v>2272</v>
      </c>
      <c r="Z621" s="3" t="s">
        <v>2272</v>
      </c>
      <c r="AA621" s="3" t="s">
        <v>2272</v>
      </c>
      <c r="AB621" s="3"/>
      <c r="AC621" s="4" t="s">
        <v>2211</v>
      </c>
    </row>
    <row r="622" spans="1:29"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2272</v>
      </c>
      <c r="K622" s="21" t="s">
        <v>2272</v>
      </c>
      <c r="L622" s="98" t="s">
        <v>2272</v>
      </c>
      <c r="M622" s="21" t="s">
        <v>2272</v>
      </c>
      <c r="N622" s="21" t="s">
        <v>2272</v>
      </c>
      <c r="O622" s="21" t="s">
        <v>2272</v>
      </c>
      <c r="P622" s="21" t="s">
        <v>2272</v>
      </c>
      <c r="Q622" s="21" t="s">
        <v>2272</v>
      </c>
      <c r="R622" s="97" t="s">
        <v>2272</v>
      </c>
      <c r="S622" s="97" t="s">
        <v>2272</v>
      </c>
      <c r="T622" s="21" t="s">
        <v>2272</v>
      </c>
      <c r="U622" s="21" t="s">
        <v>2272</v>
      </c>
      <c r="V622" s="21" t="s">
        <v>2272</v>
      </c>
      <c r="W622" s="21" t="s">
        <v>2272</v>
      </c>
      <c r="X622" s="21" t="s">
        <v>2272</v>
      </c>
      <c r="Y622" s="3" t="s">
        <v>2272</v>
      </c>
      <c r="Z622" s="3" t="s">
        <v>2272</v>
      </c>
      <c r="AA622" s="3" t="s">
        <v>2272</v>
      </c>
      <c r="AB622" s="4" t="s">
        <v>2212</v>
      </c>
      <c r="AC622" s="3"/>
    </row>
    <row r="623" spans="1:29"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2272</v>
      </c>
      <c r="K623" s="21" t="s">
        <v>2272</v>
      </c>
      <c r="L623" s="98" t="s">
        <v>2272</v>
      </c>
      <c r="M623" s="21" t="s">
        <v>2272</v>
      </c>
      <c r="N623" s="21" t="s">
        <v>2272</v>
      </c>
      <c r="O623" s="21" t="s">
        <v>2272</v>
      </c>
      <c r="P623" s="21" t="s">
        <v>2272</v>
      </c>
      <c r="Q623" s="21" t="s">
        <v>2272</v>
      </c>
      <c r="R623" s="97" t="s">
        <v>2272</v>
      </c>
      <c r="S623" s="97" t="s">
        <v>2272</v>
      </c>
      <c r="T623" s="21" t="s">
        <v>2272</v>
      </c>
      <c r="U623" s="21" t="s">
        <v>2272</v>
      </c>
      <c r="V623" s="21" t="s">
        <v>2272</v>
      </c>
      <c r="W623" s="21" t="s">
        <v>2272</v>
      </c>
      <c r="X623" s="21" t="s">
        <v>2272</v>
      </c>
      <c r="Y623" s="3" t="s">
        <v>2272</v>
      </c>
      <c r="Z623" s="3" t="s">
        <v>2272</v>
      </c>
      <c r="AA623" s="3" t="s">
        <v>2272</v>
      </c>
      <c r="AB623" s="4"/>
      <c r="AC623" s="3"/>
    </row>
    <row r="624" spans="1:29"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2272</v>
      </c>
      <c r="K624" s="21" t="s">
        <v>2272</v>
      </c>
      <c r="L624" s="98" t="s">
        <v>2272</v>
      </c>
      <c r="M624" s="21" t="s">
        <v>2272</v>
      </c>
      <c r="N624" s="21" t="s">
        <v>2272</v>
      </c>
      <c r="O624" s="21" t="s">
        <v>2272</v>
      </c>
      <c r="P624" s="21" t="s">
        <v>2272</v>
      </c>
      <c r="Q624" s="21" t="s">
        <v>2272</v>
      </c>
      <c r="R624" s="97" t="s">
        <v>2272</v>
      </c>
      <c r="S624" s="97" t="s">
        <v>2272</v>
      </c>
      <c r="T624" s="21" t="s">
        <v>2272</v>
      </c>
      <c r="U624" s="21" t="s">
        <v>2272</v>
      </c>
      <c r="V624" s="21" t="s">
        <v>2272</v>
      </c>
      <c r="W624" s="21" t="s">
        <v>2272</v>
      </c>
      <c r="X624" s="21" t="s">
        <v>2272</v>
      </c>
      <c r="Y624" s="3" t="s">
        <v>2272</v>
      </c>
      <c r="Z624" s="3" t="s">
        <v>2272</v>
      </c>
      <c r="AA624" s="3" t="s">
        <v>2272</v>
      </c>
      <c r="AB624" s="4" t="s">
        <v>2212</v>
      </c>
      <c r="AC624" s="3"/>
    </row>
    <row r="625" spans="1:29"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2272</v>
      </c>
      <c r="K625" s="21" t="s">
        <v>2272</v>
      </c>
      <c r="L625" s="98" t="s">
        <v>2272</v>
      </c>
      <c r="M625" s="21" t="s">
        <v>2272</v>
      </c>
      <c r="N625" s="21" t="s">
        <v>2272</v>
      </c>
      <c r="O625" s="21" t="s">
        <v>2272</v>
      </c>
      <c r="P625" s="21" t="s">
        <v>2272</v>
      </c>
      <c r="Q625" s="21" t="s">
        <v>2272</v>
      </c>
      <c r="R625" s="97" t="s">
        <v>2272</v>
      </c>
      <c r="S625" s="97" t="s">
        <v>2272</v>
      </c>
      <c r="T625" s="21" t="s">
        <v>2272</v>
      </c>
      <c r="U625" s="21" t="s">
        <v>2272</v>
      </c>
      <c r="V625" s="21" t="s">
        <v>2272</v>
      </c>
      <c r="W625" s="21" t="s">
        <v>2272</v>
      </c>
      <c r="X625" s="21" t="s">
        <v>2272</v>
      </c>
      <c r="Y625" s="3" t="s">
        <v>2272</v>
      </c>
      <c r="Z625" s="3" t="s">
        <v>2272</v>
      </c>
      <c r="AA625" s="3" t="s">
        <v>2272</v>
      </c>
      <c r="AB625" s="3"/>
      <c r="AC625" s="3"/>
    </row>
    <row r="626" spans="1:29"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2272</v>
      </c>
      <c r="K626" s="21" t="s">
        <v>2272</v>
      </c>
      <c r="L626" s="98" t="s">
        <v>2272</v>
      </c>
      <c r="M626" s="21" t="s">
        <v>2272</v>
      </c>
      <c r="N626" s="21" t="s">
        <v>2272</v>
      </c>
      <c r="O626" s="21" t="s">
        <v>2272</v>
      </c>
      <c r="P626" s="21" t="s">
        <v>2272</v>
      </c>
      <c r="Q626" s="21" t="s">
        <v>2272</v>
      </c>
      <c r="R626" s="97" t="s">
        <v>2272</v>
      </c>
      <c r="S626" s="97" t="s">
        <v>2272</v>
      </c>
      <c r="T626" s="21" t="s">
        <v>2272</v>
      </c>
      <c r="U626" s="21" t="s">
        <v>2272</v>
      </c>
      <c r="V626" s="21" t="s">
        <v>2272</v>
      </c>
      <c r="W626" s="21" t="s">
        <v>2272</v>
      </c>
      <c r="X626" s="21" t="s">
        <v>2397</v>
      </c>
      <c r="Y626" s="3" t="s">
        <v>423</v>
      </c>
      <c r="Z626" s="3" t="s">
        <v>67</v>
      </c>
      <c r="AA626" s="3" t="s">
        <v>2272</v>
      </c>
      <c r="AB626" s="4" t="s">
        <v>954</v>
      </c>
      <c r="AC626" s="3" t="s">
        <v>2416</v>
      </c>
    </row>
    <row r="627" spans="1:29"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2272</v>
      </c>
      <c r="K627" s="21" t="s">
        <v>2272</v>
      </c>
      <c r="L627" s="98" t="s">
        <v>2272</v>
      </c>
      <c r="M627" s="21" t="s">
        <v>2272</v>
      </c>
      <c r="N627" s="21" t="s">
        <v>2272</v>
      </c>
      <c r="O627" s="21" t="s">
        <v>2272</v>
      </c>
      <c r="P627" s="21" t="s">
        <v>2272</v>
      </c>
      <c r="Q627" s="21" t="s">
        <v>2272</v>
      </c>
      <c r="R627" s="97" t="s">
        <v>2272</v>
      </c>
      <c r="S627" s="97" t="s">
        <v>2272</v>
      </c>
      <c r="T627" s="21" t="s">
        <v>2272</v>
      </c>
      <c r="U627" s="21" t="s">
        <v>2272</v>
      </c>
      <c r="V627" s="21" t="s">
        <v>2272</v>
      </c>
      <c r="W627" s="21" t="s">
        <v>2272</v>
      </c>
      <c r="X627" s="70" t="s">
        <v>2272</v>
      </c>
      <c r="Y627" s="3" t="s">
        <v>2272</v>
      </c>
      <c r="Z627" s="3" t="s">
        <v>2272</v>
      </c>
      <c r="AA627" s="3" t="s">
        <v>2272</v>
      </c>
      <c r="AB627" s="4" t="s">
        <v>955</v>
      </c>
      <c r="AC627" s="3"/>
    </row>
    <row r="628" spans="1:29"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2272</v>
      </c>
      <c r="K628" s="21" t="s">
        <v>2272</v>
      </c>
      <c r="L628" s="98" t="s">
        <v>2272</v>
      </c>
      <c r="M628" s="21" t="s">
        <v>2272</v>
      </c>
      <c r="N628" s="21" t="s">
        <v>2358</v>
      </c>
      <c r="O628" s="21" t="s">
        <v>2272</v>
      </c>
      <c r="P628" s="21" t="s">
        <v>2272</v>
      </c>
      <c r="Q628" s="21" t="s">
        <v>2272</v>
      </c>
      <c r="R628" s="97" t="s">
        <v>2272</v>
      </c>
      <c r="S628" s="97" t="s">
        <v>2272</v>
      </c>
      <c r="T628" s="21" t="s">
        <v>2272</v>
      </c>
      <c r="U628" s="21" t="s">
        <v>2272</v>
      </c>
      <c r="V628" s="21" t="s">
        <v>2369</v>
      </c>
      <c r="W628" s="21" t="s">
        <v>2272</v>
      </c>
      <c r="X628" s="21" t="s">
        <v>2397</v>
      </c>
      <c r="Y628" s="3" t="s">
        <v>2272</v>
      </c>
      <c r="Z628" s="3" t="s">
        <v>2272</v>
      </c>
      <c r="AA628" s="3" t="s">
        <v>2272</v>
      </c>
      <c r="AB628" s="3" t="s">
        <v>965</v>
      </c>
      <c r="AC628" s="24" t="s">
        <v>2218</v>
      </c>
    </row>
    <row r="629" spans="1:29"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2272</v>
      </c>
      <c r="K629" s="21" t="s">
        <v>2272</v>
      </c>
      <c r="L629" s="98" t="s">
        <v>2272</v>
      </c>
      <c r="M629" s="21" t="s">
        <v>2272</v>
      </c>
      <c r="N629" s="21" t="s">
        <v>2358</v>
      </c>
      <c r="O629" s="21" t="s">
        <v>2272</v>
      </c>
      <c r="P629" s="21" t="s">
        <v>2272</v>
      </c>
      <c r="Q629" s="21" t="s">
        <v>2272</v>
      </c>
      <c r="R629" s="97" t="s">
        <v>2272</v>
      </c>
      <c r="S629" s="97" t="s">
        <v>2272</v>
      </c>
      <c r="T629" s="21" t="s">
        <v>2272</v>
      </c>
      <c r="U629" s="21" t="s">
        <v>2272</v>
      </c>
      <c r="V629" s="21" t="s">
        <v>2522</v>
      </c>
      <c r="W629" s="21" t="s">
        <v>2272</v>
      </c>
      <c r="X629" s="21" t="s">
        <v>2397</v>
      </c>
      <c r="Y629" s="3" t="s">
        <v>2272</v>
      </c>
      <c r="Z629" s="3" t="s">
        <v>2272</v>
      </c>
      <c r="AA629" s="3" t="s">
        <v>2272</v>
      </c>
      <c r="AB629" s="3" t="s">
        <v>965</v>
      </c>
      <c r="AC629" s="4" t="s">
        <v>2219</v>
      </c>
    </row>
    <row r="630" spans="1:29"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2272</v>
      </c>
      <c r="K630" s="21" t="s">
        <v>2272</v>
      </c>
      <c r="L630" s="98" t="s">
        <v>2272</v>
      </c>
      <c r="M630" s="21" t="s">
        <v>2272</v>
      </c>
      <c r="N630" s="21" t="s">
        <v>2358</v>
      </c>
      <c r="O630" s="21" t="s">
        <v>2272</v>
      </c>
      <c r="P630" s="21" t="s">
        <v>2272</v>
      </c>
      <c r="Q630" s="21" t="s">
        <v>2272</v>
      </c>
      <c r="R630" s="97" t="s">
        <v>2272</v>
      </c>
      <c r="S630" s="97" t="s">
        <v>2272</v>
      </c>
      <c r="T630" s="21" t="s">
        <v>2272</v>
      </c>
      <c r="U630" s="21" t="s">
        <v>2272</v>
      </c>
      <c r="V630" s="21" t="s">
        <v>2369</v>
      </c>
      <c r="W630" s="21" t="s">
        <v>2272</v>
      </c>
      <c r="X630" s="21" t="s">
        <v>2397</v>
      </c>
      <c r="Y630" s="3" t="s">
        <v>2272</v>
      </c>
      <c r="Z630" s="3" t="s">
        <v>2272</v>
      </c>
      <c r="AA630" s="3" t="s">
        <v>2272</v>
      </c>
      <c r="AB630" s="3" t="s">
        <v>965</v>
      </c>
      <c r="AC630" s="4" t="s">
        <v>2219</v>
      </c>
    </row>
    <row r="631" spans="1:29"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2272</v>
      </c>
      <c r="K631" s="21" t="s">
        <v>2272</v>
      </c>
      <c r="L631" s="98" t="s">
        <v>2272</v>
      </c>
      <c r="M631" s="21" t="s">
        <v>2272</v>
      </c>
      <c r="N631" s="21" t="s">
        <v>2272</v>
      </c>
      <c r="O631" s="21" t="s">
        <v>2272</v>
      </c>
      <c r="P631" s="21" t="s">
        <v>2272</v>
      </c>
      <c r="Q631" s="21" t="s">
        <v>2272</v>
      </c>
      <c r="R631" s="97" t="s">
        <v>2272</v>
      </c>
      <c r="S631" s="97" t="s">
        <v>2272</v>
      </c>
      <c r="T631" s="21" t="s">
        <v>2371</v>
      </c>
      <c r="U631" s="21" t="s">
        <v>2272</v>
      </c>
      <c r="V631" s="21" t="s">
        <v>2272</v>
      </c>
      <c r="W631" s="21" t="s">
        <v>2272</v>
      </c>
      <c r="X631" s="21" t="s">
        <v>2272</v>
      </c>
      <c r="Y631" s="3" t="s">
        <v>2272</v>
      </c>
      <c r="Z631" s="3" t="s">
        <v>2272</v>
      </c>
      <c r="AA631" s="3" t="s">
        <v>2272</v>
      </c>
      <c r="AB631" s="3"/>
      <c r="AC631" s="4" t="s">
        <v>2221</v>
      </c>
    </row>
    <row r="632" spans="1:29"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2272</v>
      </c>
      <c r="K632" s="21" t="s">
        <v>2272</v>
      </c>
      <c r="L632" s="98" t="s">
        <v>2272</v>
      </c>
      <c r="M632" s="21" t="s">
        <v>2272</v>
      </c>
      <c r="N632" s="21" t="s">
        <v>2272</v>
      </c>
      <c r="O632" s="21" t="s">
        <v>2272</v>
      </c>
      <c r="P632" s="21" t="s">
        <v>2272</v>
      </c>
      <c r="Q632" s="21" t="s">
        <v>2272</v>
      </c>
      <c r="R632" s="97" t="s">
        <v>2272</v>
      </c>
      <c r="S632" s="97" t="s">
        <v>2272</v>
      </c>
      <c r="T632" s="21" t="s">
        <v>2272</v>
      </c>
      <c r="U632" s="21" t="s">
        <v>2272</v>
      </c>
      <c r="V632" s="21" t="s">
        <v>2272</v>
      </c>
      <c r="W632" s="21" t="s">
        <v>2272</v>
      </c>
      <c r="X632" s="21" t="s">
        <v>2272</v>
      </c>
      <c r="Y632" s="3" t="s">
        <v>2272</v>
      </c>
      <c r="Z632" s="3" t="s">
        <v>2272</v>
      </c>
      <c r="AA632" s="3" t="s">
        <v>2272</v>
      </c>
      <c r="AB632" s="3"/>
      <c r="AC632" s="3"/>
    </row>
    <row r="633" spans="1:29"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2272</v>
      </c>
      <c r="K633" s="21" t="s">
        <v>2272</v>
      </c>
      <c r="L633" s="98" t="s">
        <v>2272</v>
      </c>
      <c r="M633" s="21" t="s">
        <v>2272</v>
      </c>
      <c r="N633" s="21" t="s">
        <v>2272</v>
      </c>
      <c r="O633" s="21" t="s">
        <v>2272</v>
      </c>
      <c r="P633" s="21" t="s">
        <v>2272</v>
      </c>
      <c r="Q633" s="21" t="s">
        <v>2272</v>
      </c>
      <c r="R633" s="97" t="s">
        <v>2272</v>
      </c>
      <c r="S633" s="97" t="s">
        <v>2272</v>
      </c>
      <c r="T633" s="21" t="s">
        <v>2272</v>
      </c>
      <c r="U633" s="21" t="s">
        <v>2272</v>
      </c>
      <c r="V633" s="21" t="s">
        <v>2272</v>
      </c>
      <c r="W633" s="21" t="s">
        <v>2272</v>
      </c>
      <c r="X633" s="21" t="s">
        <v>2272</v>
      </c>
      <c r="Y633" s="3" t="s">
        <v>2272</v>
      </c>
      <c r="Z633" s="3" t="s">
        <v>2272</v>
      </c>
      <c r="AA633" s="3" t="s">
        <v>2272</v>
      </c>
      <c r="AB633" s="3"/>
      <c r="AC633" s="3"/>
    </row>
    <row r="634" spans="1:29"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2272</v>
      </c>
      <c r="K634" s="21" t="s">
        <v>2272</v>
      </c>
      <c r="L634" s="98" t="s">
        <v>2272</v>
      </c>
      <c r="M634" s="21" t="s">
        <v>2272</v>
      </c>
      <c r="N634" s="21" t="s">
        <v>2272</v>
      </c>
      <c r="O634" s="21" t="s">
        <v>2272</v>
      </c>
      <c r="P634" s="21" t="s">
        <v>2272</v>
      </c>
      <c r="Q634" s="21" t="s">
        <v>2272</v>
      </c>
      <c r="R634" s="97" t="s">
        <v>2272</v>
      </c>
      <c r="S634" s="97" t="s">
        <v>2272</v>
      </c>
      <c r="T634" s="21" t="s">
        <v>2272</v>
      </c>
      <c r="U634" s="21" t="s">
        <v>2272</v>
      </c>
      <c r="V634" s="21" t="s">
        <v>2369</v>
      </c>
      <c r="W634" s="21" t="s">
        <v>2272</v>
      </c>
      <c r="X634" s="21" t="s">
        <v>2398</v>
      </c>
      <c r="Y634" s="3" t="s">
        <v>2272</v>
      </c>
      <c r="Z634" s="3" t="s">
        <v>2272</v>
      </c>
      <c r="AA634" s="3" t="s">
        <v>2272</v>
      </c>
      <c r="AB634" s="3" t="s">
        <v>1004</v>
      </c>
      <c r="AC634" s="4" t="s">
        <v>715</v>
      </c>
    </row>
    <row r="635" spans="1:29"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2272</v>
      </c>
      <c r="K635" s="21" t="s">
        <v>2272</v>
      </c>
      <c r="L635" s="98" t="s">
        <v>2272</v>
      </c>
      <c r="M635" s="21" t="s">
        <v>2272</v>
      </c>
      <c r="N635" s="21" t="s">
        <v>2272</v>
      </c>
      <c r="O635" s="21" t="s">
        <v>2272</v>
      </c>
      <c r="P635" s="21" t="s">
        <v>2272</v>
      </c>
      <c r="Q635" s="21" t="s">
        <v>2272</v>
      </c>
      <c r="R635" s="97" t="s">
        <v>2272</v>
      </c>
      <c r="S635" s="97" t="s">
        <v>2272</v>
      </c>
      <c r="T635" s="21" t="s">
        <v>2272</v>
      </c>
      <c r="U635" s="21" t="s">
        <v>2272</v>
      </c>
      <c r="V635" s="21" t="s">
        <v>2272</v>
      </c>
      <c r="W635" s="21" t="s">
        <v>2272</v>
      </c>
      <c r="X635" s="21" t="s">
        <v>2272</v>
      </c>
      <c r="Y635" s="3" t="s">
        <v>2272</v>
      </c>
      <c r="Z635" s="3" t="s">
        <v>2272</v>
      </c>
      <c r="AA635" s="3" t="s">
        <v>2272</v>
      </c>
      <c r="AB635" s="4" t="s">
        <v>2228</v>
      </c>
      <c r="AC635" s="4"/>
    </row>
    <row r="636" spans="1:29"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2272</v>
      </c>
      <c r="K636" s="21" t="s">
        <v>2272</v>
      </c>
      <c r="L636" s="98" t="s">
        <v>2272</v>
      </c>
      <c r="M636" s="21" t="s">
        <v>2272</v>
      </c>
      <c r="N636" s="21" t="s">
        <v>2272</v>
      </c>
      <c r="O636" s="21" t="s">
        <v>2272</v>
      </c>
      <c r="P636" s="21" t="s">
        <v>2272</v>
      </c>
      <c r="Q636" s="21" t="s">
        <v>2272</v>
      </c>
      <c r="R636" s="97" t="s">
        <v>2272</v>
      </c>
      <c r="S636" s="97" t="s">
        <v>2272</v>
      </c>
      <c r="T636" s="21" t="s">
        <v>2272</v>
      </c>
      <c r="U636" s="21" t="s">
        <v>2272</v>
      </c>
      <c r="V636" s="21" t="s">
        <v>2522</v>
      </c>
      <c r="W636" s="21" t="s">
        <v>2272</v>
      </c>
      <c r="X636" s="21" t="s">
        <v>2398</v>
      </c>
      <c r="Y636" s="3" t="s">
        <v>2272</v>
      </c>
      <c r="Z636" s="3" t="s">
        <v>2272</v>
      </c>
      <c r="AA636" s="3" t="s">
        <v>2272</v>
      </c>
      <c r="AB636" s="3" t="s">
        <v>1004</v>
      </c>
      <c r="AC636" s="4" t="s">
        <v>1005</v>
      </c>
    </row>
    <row r="637" spans="1:29"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2272</v>
      </c>
      <c r="K637" s="21" t="s">
        <v>2272</v>
      </c>
      <c r="L637" s="98" t="s">
        <v>2272</v>
      </c>
      <c r="M637" s="21" t="s">
        <v>2272</v>
      </c>
      <c r="N637" s="21" t="s">
        <v>2272</v>
      </c>
      <c r="O637" s="21" t="s">
        <v>2272</v>
      </c>
      <c r="P637" s="21" t="s">
        <v>2272</v>
      </c>
      <c r="Q637" s="21" t="s">
        <v>2272</v>
      </c>
      <c r="R637" s="97" t="s">
        <v>2272</v>
      </c>
      <c r="S637" s="97" t="s">
        <v>2272</v>
      </c>
      <c r="T637" s="21" t="s">
        <v>2272</v>
      </c>
      <c r="U637" s="21" t="s">
        <v>2272</v>
      </c>
      <c r="V637" s="21" t="s">
        <v>2272</v>
      </c>
      <c r="W637" s="21" t="s">
        <v>2272</v>
      </c>
      <c r="X637" s="21" t="s">
        <v>2272</v>
      </c>
      <c r="Y637" s="3" t="s">
        <v>2272</v>
      </c>
      <c r="Z637" s="3" t="s">
        <v>2272</v>
      </c>
      <c r="AA637" s="3" t="s">
        <v>2272</v>
      </c>
      <c r="AB637" s="4" t="s">
        <v>2233</v>
      </c>
      <c r="AC637" s="4"/>
    </row>
    <row r="638" spans="1:29"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2272</v>
      </c>
      <c r="K638" s="21" t="s">
        <v>2272</v>
      </c>
      <c r="L638" s="98" t="s">
        <v>2272</v>
      </c>
      <c r="M638" s="21" t="s">
        <v>2272</v>
      </c>
      <c r="N638" s="21" t="s">
        <v>2272</v>
      </c>
      <c r="O638" s="21" t="s">
        <v>2272</v>
      </c>
      <c r="P638" s="21" t="s">
        <v>2272</v>
      </c>
      <c r="Q638" s="21" t="s">
        <v>2272</v>
      </c>
      <c r="R638" s="97" t="s">
        <v>2272</v>
      </c>
      <c r="S638" s="97" t="s">
        <v>2272</v>
      </c>
      <c r="T638" s="21" t="s">
        <v>2272</v>
      </c>
      <c r="U638" s="21" t="s">
        <v>2272</v>
      </c>
      <c r="V638" s="21" t="s">
        <v>2369</v>
      </c>
      <c r="W638" s="21" t="s">
        <v>2272</v>
      </c>
      <c r="X638" s="21" t="s">
        <v>2398</v>
      </c>
      <c r="Y638" s="3" t="s">
        <v>2272</v>
      </c>
      <c r="Z638" s="3" t="s">
        <v>2272</v>
      </c>
      <c r="AA638" s="3" t="s">
        <v>2272</v>
      </c>
      <c r="AB638" s="3" t="s">
        <v>1004</v>
      </c>
      <c r="AC638" s="4" t="s">
        <v>1005</v>
      </c>
    </row>
    <row r="639" spans="1:29"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2272</v>
      </c>
      <c r="K639" s="21" t="s">
        <v>2272</v>
      </c>
      <c r="L639" s="98" t="s">
        <v>2272</v>
      </c>
      <c r="M639" s="21" t="s">
        <v>2272</v>
      </c>
      <c r="N639" s="21" t="s">
        <v>2272</v>
      </c>
      <c r="O639" s="21" t="s">
        <v>2272</v>
      </c>
      <c r="P639" s="21" t="s">
        <v>2272</v>
      </c>
      <c r="Q639" s="21" t="s">
        <v>2272</v>
      </c>
      <c r="R639" s="97" t="s">
        <v>2272</v>
      </c>
      <c r="S639" s="97" t="s">
        <v>2272</v>
      </c>
      <c r="T639" s="21" t="s">
        <v>2272</v>
      </c>
      <c r="U639" s="21" t="s">
        <v>2272</v>
      </c>
      <c r="V639" s="21" t="s">
        <v>2272</v>
      </c>
      <c r="W639" s="21" t="s">
        <v>2272</v>
      </c>
      <c r="X639" s="21" t="s">
        <v>2272</v>
      </c>
      <c r="Y639" s="3" t="s">
        <v>2272</v>
      </c>
      <c r="Z639" s="3" t="s">
        <v>2272</v>
      </c>
      <c r="AA639" s="3" t="s">
        <v>2272</v>
      </c>
      <c r="AB639" s="4" t="s">
        <v>2234</v>
      </c>
      <c r="AC639" s="4"/>
    </row>
    <row r="640" spans="1:29"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2272</v>
      </c>
      <c r="K640" s="21" t="s">
        <v>2272</v>
      </c>
      <c r="L640" s="98" t="s">
        <v>2272</v>
      </c>
      <c r="M640" s="21" t="s">
        <v>2272</v>
      </c>
      <c r="N640" s="21" t="s">
        <v>2272</v>
      </c>
      <c r="O640" s="21" t="s">
        <v>2272</v>
      </c>
      <c r="P640" s="21" t="s">
        <v>2272</v>
      </c>
      <c r="Q640" s="21" t="s">
        <v>2272</v>
      </c>
      <c r="R640" s="97" t="s">
        <v>2272</v>
      </c>
      <c r="S640" s="97" t="s">
        <v>2272</v>
      </c>
      <c r="T640" s="21" t="s">
        <v>2272</v>
      </c>
      <c r="U640" s="21" t="s">
        <v>2272</v>
      </c>
      <c r="V640" s="21" t="s">
        <v>2369</v>
      </c>
      <c r="W640" s="21" t="s">
        <v>2272</v>
      </c>
      <c r="X640" s="21" t="s">
        <v>2398</v>
      </c>
      <c r="Y640" s="3" t="s">
        <v>2272</v>
      </c>
      <c r="Z640" s="3" t="s">
        <v>2272</v>
      </c>
      <c r="AA640" s="3" t="s">
        <v>2272</v>
      </c>
      <c r="AB640" s="3" t="s">
        <v>1004</v>
      </c>
      <c r="AC640" s="4" t="s">
        <v>1005</v>
      </c>
    </row>
    <row r="641" spans="1:29"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2272</v>
      </c>
      <c r="K641" s="21" t="s">
        <v>2272</v>
      </c>
      <c r="L641" s="98" t="s">
        <v>2272</v>
      </c>
      <c r="M641" s="21" t="s">
        <v>2272</v>
      </c>
      <c r="N641" s="21" t="s">
        <v>2272</v>
      </c>
      <c r="O641" s="21" t="s">
        <v>2272</v>
      </c>
      <c r="P641" s="21" t="s">
        <v>2272</v>
      </c>
      <c r="Q641" s="21" t="s">
        <v>2272</v>
      </c>
      <c r="R641" s="97" t="s">
        <v>2272</v>
      </c>
      <c r="S641" s="97" t="s">
        <v>2272</v>
      </c>
      <c r="T641" s="21" t="s">
        <v>2272</v>
      </c>
      <c r="U641" s="21" t="s">
        <v>2272</v>
      </c>
      <c r="V641" s="21" t="s">
        <v>2272</v>
      </c>
      <c r="W641" s="21" t="s">
        <v>2272</v>
      </c>
      <c r="X641" s="21" t="s">
        <v>2272</v>
      </c>
      <c r="Y641" s="3" t="s">
        <v>2272</v>
      </c>
      <c r="Z641" s="3" t="s">
        <v>2272</v>
      </c>
      <c r="AA641" s="3" t="s">
        <v>2272</v>
      </c>
      <c r="AB641" s="4" t="s">
        <v>2235</v>
      </c>
      <c r="AC641" s="4"/>
    </row>
    <row r="642" spans="1:29"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2272</v>
      </c>
      <c r="K642" s="21" t="s">
        <v>2272</v>
      </c>
      <c r="L642" s="98" t="s">
        <v>2272</v>
      </c>
      <c r="M642" s="21" t="s">
        <v>2272</v>
      </c>
      <c r="N642" s="21" t="s">
        <v>2272</v>
      </c>
      <c r="O642" s="21" t="s">
        <v>2272</v>
      </c>
      <c r="P642" s="21" t="s">
        <v>2272</v>
      </c>
      <c r="Q642" s="21" t="s">
        <v>2272</v>
      </c>
      <c r="R642" s="97" t="s">
        <v>2272</v>
      </c>
      <c r="S642" s="97" t="s">
        <v>2272</v>
      </c>
      <c r="T642" s="21" t="s">
        <v>2272</v>
      </c>
      <c r="U642" s="21" t="s">
        <v>2272</v>
      </c>
      <c r="V642" s="21" t="s">
        <v>2522</v>
      </c>
      <c r="W642" s="21" t="s">
        <v>2272</v>
      </c>
      <c r="X642" s="21" t="s">
        <v>2397</v>
      </c>
      <c r="Y642" s="3" t="s">
        <v>2272</v>
      </c>
      <c r="Z642" s="3" t="s">
        <v>2272</v>
      </c>
      <c r="AA642" s="3" t="s">
        <v>2272</v>
      </c>
      <c r="AB642" s="3" t="s">
        <v>1004</v>
      </c>
      <c r="AC642" s="4" t="s">
        <v>715</v>
      </c>
    </row>
    <row r="643" spans="1:29"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2272</v>
      </c>
      <c r="K643" s="21" t="s">
        <v>2272</v>
      </c>
      <c r="L643" s="98" t="s">
        <v>2272</v>
      </c>
      <c r="M643" s="21" t="s">
        <v>2272</v>
      </c>
      <c r="N643" s="21" t="s">
        <v>2272</v>
      </c>
      <c r="O643" s="21" t="s">
        <v>2272</v>
      </c>
      <c r="P643" s="21" t="s">
        <v>2272</v>
      </c>
      <c r="Q643" s="21" t="s">
        <v>2272</v>
      </c>
      <c r="R643" s="97" t="s">
        <v>2272</v>
      </c>
      <c r="S643" s="97" t="s">
        <v>2272</v>
      </c>
      <c r="T643" s="21" t="s">
        <v>2272</v>
      </c>
      <c r="U643" s="21" t="s">
        <v>2272</v>
      </c>
      <c r="V643" s="21" t="s">
        <v>2272</v>
      </c>
      <c r="W643" s="21" t="s">
        <v>2272</v>
      </c>
      <c r="X643" s="21" t="s">
        <v>2272</v>
      </c>
      <c r="Y643" s="3" t="s">
        <v>2272</v>
      </c>
      <c r="Z643" s="3" t="s">
        <v>2272</v>
      </c>
      <c r="AA643" s="3" t="s">
        <v>2272</v>
      </c>
      <c r="AB643" s="4" t="s">
        <v>2236</v>
      </c>
      <c r="AC643" s="4"/>
    </row>
    <row r="644" spans="1:29"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2272</v>
      </c>
      <c r="K644" s="21" t="s">
        <v>2272</v>
      </c>
      <c r="L644" s="98" t="s">
        <v>2272</v>
      </c>
      <c r="M644" s="21" t="s">
        <v>2272</v>
      </c>
      <c r="N644" s="21" t="s">
        <v>2272</v>
      </c>
      <c r="O644" s="21" t="s">
        <v>2272</v>
      </c>
      <c r="P644" s="21" t="s">
        <v>2272</v>
      </c>
      <c r="Q644" s="21" t="s">
        <v>2272</v>
      </c>
      <c r="R644" s="97" t="s">
        <v>2272</v>
      </c>
      <c r="S644" s="97" t="s">
        <v>2272</v>
      </c>
      <c r="T644" s="21" t="s">
        <v>2272</v>
      </c>
      <c r="U644" s="21" t="s">
        <v>2272</v>
      </c>
      <c r="V644" s="21" t="s">
        <v>2522</v>
      </c>
      <c r="W644" s="21" t="s">
        <v>2272</v>
      </c>
      <c r="X644" s="21" t="s">
        <v>2399</v>
      </c>
      <c r="Y644" s="3" t="s">
        <v>2272</v>
      </c>
      <c r="Z644" s="3" t="s">
        <v>2272</v>
      </c>
      <c r="AA644" s="3" t="s">
        <v>2272</v>
      </c>
      <c r="AB644" s="3" t="s">
        <v>1004</v>
      </c>
      <c r="AC644" s="4" t="s">
        <v>2224</v>
      </c>
    </row>
    <row r="645" spans="1:29"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2272</v>
      </c>
      <c r="K645" s="21" t="s">
        <v>2272</v>
      </c>
      <c r="L645" s="98" t="s">
        <v>2272</v>
      </c>
      <c r="M645" s="21" t="s">
        <v>2272</v>
      </c>
      <c r="N645" s="21" t="s">
        <v>2272</v>
      </c>
      <c r="O645" s="21" t="s">
        <v>2272</v>
      </c>
      <c r="P645" s="21" t="s">
        <v>2272</v>
      </c>
      <c r="Q645" s="21" t="s">
        <v>2272</v>
      </c>
      <c r="R645" s="97" t="s">
        <v>2272</v>
      </c>
      <c r="S645" s="97" t="s">
        <v>2272</v>
      </c>
      <c r="T645" s="21" t="s">
        <v>2272</v>
      </c>
      <c r="U645" s="21" t="s">
        <v>2272</v>
      </c>
      <c r="V645" s="21" t="s">
        <v>2369</v>
      </c>
      <c r="W645" s="21" t="s">
        <v>2272</v>
      </c>
      <c r="X645" s="21" t="s">
        <v>2398</v>
      </c>
      <c r="Y645" s="3" t="s">
        <v>2272</v>
      </c>
      <c r="Z645" s="3" t="s">
        <v>2272</v>
      </c>
      <c r="AA645" s="3" t="s">
        <v>2272</v>
      </c>
      <c r="AB645" s="3" t="s">
        <v>1004</v>
      </c>
      <c r="AC645" s="4" t="s">
        <v>2225</v>
      </c>
    </row>
    <row r="646" spans="1:29"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2272</v>
      </c>
      <c r="K646" s="21" t="s">
        <v>2272</v>
      </c>
      <c r="L646" s="98" t="s">
        <v>2272</v>
      </c>
      <c r="M646" s="21" t="s">
        <v>2272</v>
      </c>
      <c r="N646" s="21" t="s">
        <v>2272</v>
      </c>
      <c r="O646" s="21" t="s">
        <v>2272</v>
      </c>
      <c r="P646" s="21" t="s">
        <v>2272</v>
      </c>
      <c r="Q646" s="21" t="s">
        <v>2272</v>
      </c>
      <c r="R646" s="97" t="s">
        <v>2272</v>
      </c>
      <c r="S646" s="97" t="s">
        <v>2272</v>
      </c>
      <c r="T646" s="21" t="s">
        <v>2272</v>
      </c>
      <c r="U646" s="21" t="s">
        <v>2272</v>
      </c>
      <c r="V646" s="21" t="s">
        <v>2522</v>
      </c>
      <c r="W646" s="21" t="s">
        <v>2272</v>
      </c>
      <c r="X646" s="21" t="s">
        <v>2398</v>
      </c>
      <c r="Y646" s="3" t="s">
        <v>2272</v>
      </c>
      <c r="Z646" s="3" t="s">
        <v>2272</v>
      </c>
      <c r="AA646" s="3" t="s">
        <v>2272</v>
      </c>
      <c r="AB646" s="3" t="s">
        <v>1004</v>
      </c>
      <c r="AC646" s="4" t="s">
        <v>2225</v>
      </c>
    </row>
    <row r="647" spans="1:29"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2272</v>
      </c>
      <c r="K647" s="21" t="s">
        <v>2272</v>
      </c>
      <c r="L647" s="98" t="s">
        <v>2272</v>
      </c>
      <c r="M647" s="21" t="s">
        <v>2272</v>
      </c>
      <c r="N647" s="21" t="s">
        <v>2272</v>
      </c>
      <c r="O647" s="21" t="s">
        <v>2272</v>
      </c>
      <c r="P647" s="21" t="s">
        <v>2272</v>
      </c>
      <c r="Q647" s="21" t="s">
        <v>2272</v>
      </c>
      <c r="R647" s="97" t="s">
        <v>2272</v>
      </c>
      <c r="S647" s="97" t="s">
        <v>2272</v>
      </c>
      <c r="T647" s="21" t="s">
        <v>2272</v>
      </c>
      <c r="U647" s="21" t="s">
        <v>2272</v>
      </c>
      <c r="V647" s="21" t="s">
        <v>2272</v>
      </c>
      <c r="W647" s="21" t="s">
        <v>2272</v>
      </c>
      <c r="X647" s="21" t="s">
        <v>2272</v>
      </c>
      <c r="Y647" s="3" t="s">
        <v>2272</v>
      </c>
      <c r="Z647" s="3" t="s">
        <v>2272</v>
      </c>
      <c r="AA647" s="3" t="s">
        <v>2272</v>
      </c>
      <c r="AB647" s="4" t="s">
        <v>2239</v>
      </c>
      <c r="AC647" s="4"/>
    </row>
    <row r="648" spans="1:29"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2272</v>
      </c>
      <c r="K648" s="21" t="s">
        <v>2272</v>
      </c>
      <c r="L648" s="98" t="s">
        <v>2272</v>
      </c>
      <c r="M648" s="21" t="s">
        <v>2272</v>
      </c>
      <c r="N648" s="21" t="s">
        <v>2272</v>
      </c>
      <c r="O648" s="21" t="s">
        <v>2272</v>
      </c>
      <c r="P648" s="21" t="s">
        <v>2272</v>
      </c>
      <c r="Q648" s="21" t="s">
        <v>2272</v>
      </c>
      <c r="R648" s="97" t="s">
        <v>2272</v>
      </c>
      <c r="S648" s="97" t="s">
        <v>2272</v>
      </c>
      <c r="T648" s="21" t="s">
        <v>2272</v>
      </c>
      <c r="U648" s="21" t="s">
        <v>2272</v>
      </c>
      <c r="V648" s="21" t="s">
        <v>2369</v>
      </c>
      <c r="W648" s="21" t="s">
        <v>2272</v>
      </c>
      <c r="X648" s="21" t="s">
        <v>2397</v>
      </c>
      <c r="Y648" s="3" t="s">
        <v>2272</v>
      </c>
      <c r="Z648" s="3" t="s">
        <v>2272</v>
      </c>
      <c r="AA648" s="3" t="s">
        <v>2272</v>
      </c>
      <c r="AB648" s="3" t="s">
        <v>1004</v>
      </c>
      <c r="AC648" s="4" t="s">
        <v>2224</v>
      </c>
    </row>
    <row r="649" spans="1:29"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2272</v>
      </c>
      <c r="K649" s="21" t="s">
        <v>2272</v>
      </c>
      <c r="L649" s="98" t="s">
        <v>2272</v>
      </c>
      <c r="M649" s="21" t="s">
        <v>2272</v>
      </c>
      <c r="N649" s="21" t="s">
        <v>2272</v>
      </c>
      <c r="O649" s="21" t="s">
        <v>2272</v>
      </c>
      <c r="P649" s="21" t="s">
        <v>2272</v>
      </c>
      <c r="Q649" s="21" t="s">
        <v>2272</v>
      </c>
      <c r="R649" s="97" t="s">
        <v>2272</v>
      </c>
      <c r="S649" s="97" t="s">
        <v>2272</v>
      </c>
      <c r="T649" s="21" t="s">
        <v>2272</v>
      </c>
      <c r="U649" s="21" t="s">
        <v>2272</v>
      </c>
      <c r="V649" s="21" t="s">
        <v>2272</v>
      </c>
      <c r="W649" s="21" t="s">
        <v>2272</v>
      </c>
      <c r="X649" s="21" t="s">
        <v>2272</v>
      </c>
      <c r="Y649" s="3" t="s">
        <v>2272</v>
      </c>
      <c r="Z649" s="3" t="s">
        <v>2272</v>
      </c>
      <c r="AA649" s="3" t="s">
        <v>2272</v>
      </c>
      <c r="AB649" s="4" t="s">
        <v>2236</v>
      </c>
      <c r="AC649" s="4"/>
    </row>
    <row r="650" spans="1:29"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2272</v>
      </c>
      <c r="K650" s="21" t="s">
        <v>2272</v>
      </c>
      <c r="L650" s="98" t="s">
        <v>2272</v>
      </c>
      <c r="M650" s="21" t="s">
        <v>2272</v>
      </c>
      <c r="N650" s="21" t="s">
        <v>2272</v>
      </c>
      <c r="O650" s="21" t="s">
        <v>2272</v>
      </c>
      <c r="P650" s="21" t="s">
        <v>2272</v>
      </c>
      <c r="Q650" s="21" t="s">
        <v>2272</v>
      </c>
      <c r="R650" s="97" t="s">
        <v>2272</v>
      </c>
      <c r="S650" s="97" t="s">
        <v>2272</v>
      </c>
      <c r="T650" s="21" t="s">
        <v>2272</v>
      </c>
      <c r="U650" s="21" t="s">
        <v>2272</v>
      </c>
      <c r="V650" s="21" t="s">
        <v>2522</v>
      </c>
      <c r="W650" s="21" t="s">
        <v>2272</v>
      </c>
      <c r="X650" s="21" t="s">
        <v>2398</v>
      </c>
      <c r="Y650" s="3" t="s">
        <v>2272</v>
      </c>
      <c r="Z650" s="3" t="s">
        <v>2272</v>
      </c>
      <c r="AA650" s="3" t="s">
        <v>2272</v>
      </c>
      <c r="AB650" s="3" t="s">
        <v>1004</v>
      </c>
      <c r="AC650" s="4" t="s">
        <v>2240</v>
      </c>
    </row>
    <row r="651" spans="1:29"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2272</v>
      </c>
      <c r="K651" s="21" t="s">
        <v>2272</v>
      </c>
      <c r="L651" s="98" t="s">
        <v>2272</v>
      </c>
      <c r="M651" s="21" t="s">
        <v>2272</v>
      </c>
      <c r="N651" s="21" t="s">
        <v>2272</v>
      </c>
      <c r="O651" s="21" t="s">
        <v>2272</v>
      </c>
      <c r="P651" s="21" t="s">
        <v>2272</v>
      </c>
      <c r="Q651" s="21" t="s">
        <v>2272</v>
      </c>
      <c r="R651" s="97" t="s">
        <v>2272</v>
      </c>
      <c r="S651" s="97" t="s">
        <v>2272</v>
      </c>
      <c r="T651" s="21" t="s">
        <v>2272</v>
      </c>
      <c r="U651" s="21" t="s">
        <v>2272</v>
      </c>
      <c r="V651" s="21" t="s">
        <v>2522</v>
      </c>
      <c r="W651" s="21" t="s">
        <v>2272</v>
      </c>
      <c r="X651" s="21" t="s">
        <v>2397</v>
      </c>
      <c r="Y651" s="3" t="s">
        <v>2272</v>
      </c>
      <c r="Z651" s="3" t="s">
        <v>2272</v>
      </c>
      <c r="AA651" s="3" t="s">
        <v>2272</v>
      </c>
      <c r="AB651" s="3" t="s">
        <v>1004</v>
      </c>
      <c r="AC651" s="4" t="s">
        <v>2240</v>
      </c>
    </row>
    <row r="652" spans="1:29"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2272</v>
      </c>
      <c r="K652" s="21" t="s">
        <v>2272</v>
      </c>
      <c r="L652" s="98" t="s">
        <v>2358</v>
      </c>
      <c r="M652" s="21" t="s">
        <v>2272</v>
      </c>
      <c r="N652" s="21" t="s">
        <v>2358</v>
      </c>
      <c r="O652" s="21" t="s">
        <v>2272</v>
      </c>
      <c r="P652" s="21" t="s">
        <v>2272</v>
      </c>
      <c r="Q652" s="21" t="s">
        <v>2272</v>
      </c>
      <c r="R652" s="97" t="s">
        <v>2272</v>
      </c>
      <c r="S652" s="97" t="s">
        <v>2272</v>
      </c>
      <c r="T652" s="21" t="s">
        <v>2272</v>
      </c>
      <c r="U652" s="21" t="s">
        <v>2272</v>
      </c>
      <c r="V652" s="21" t="s">
        <v>2272</v>
      </c>
      <c r="W652" s="21" t="s">
        <v>2272</v>
      </c>
      <c r="X652" s="21" t="s">
        <v>2397</v>
      </c>
      <c r="Y652" s="3" t="s">
        <v>2272</v>
      </c>
      <c r="Z652" s="3" t="s">
        <v>2272</v>
      </c>
      <c r="AA652" s="3" t="s">
        <v>2272</v>
      </c>
      <c r="AB652" s="4" t="s">
        <v>2242</v>
      </c>
      <c r="AC652" s="4" t="s">
        <v>2067</v>
      </c>
    </row>
    <row r="653" spans="1:29"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2272</v>
      </c>
      <c r="K653" s="21" t="s">
        <v>2272</v>
      </c>
      <c r="L653" s="98" t="s">
        <v>2358</v>
      </c>
      <c r="M653" s="21" t="s">
        <v>2272</v>
      </c>
      <c r="N653" s="21" t="s">
        <v>2358</v>
      </c>
      <c r="O653" s="21" t="s">
        <v>2272</v>
      </c>
      <c r="P653" s="21" t="s">
        <v>2272</v>
      </c>
      <c r="Q653" s="21" t="s">
        <v>2272</v>
      </c>
      <c r="R653" s="97" t="s">
        <v>2272</v>
      </c>
      <c r="S653" s="97" t="s">
        <v>2272</v>
      </c>
      <c r="T653" s="21" t="s">
        <v>2272</v>
      </c>
      <c r="U653" s="21" t="s">
        <v>2272</v>
      </c>
      <c r="V653" s="21" t="s">
        <v>2272</v>
      </c>
      <c r="W653" s="21" t="s">
        <v>2272</v>
      </c>
      <c r="X653" s="21" t="s">
        <v>2397</v>
      </c>
      <c r="Y653" s="3" t="s">
        <v>2272</v>
      </c>
      <c r="Z653" s="3" t="s">
        <v>2272</v>
      </c>
      <c r="AA653" s="3" t="s">
        <v>2272</v>
      </c>
      <c r="AB653" s="4" t="s">
        <v>2242</v>
      </c>
      <c r="AC653" s="4" t="s">
        <v>2067</v>
      </c>
    </row>
    <row r="654" spans="1:29"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69" t="s">
        <v>2359</v>
      </c>
      <c r="K654" s="69" t="s">
        <v>2359</v>
      </c>
      <c r="L654" s="106" t="s">
        <v>2359</v>
      </c>
      <c r="M654" s="69" t="s">
        <v>2359</v>
      </c>
      <c r="N654" s="69" t="s">
        <v>2359</v>
      </c>
      <c r="O654" s="69" t="s">
        <v>2359</v>
      </c>
      <c r="P654" s="69" t="s">
        <v>2359</v>
      </c>
      <c r="Q654" s="69" t="s">
        <v>2359</v>
      </c>
      <c r="R654" s="97" t="s">
        <v>2272</v>
      </c>
      <c r="S654" s="97" t="s">
        <v>2272</v>
      </c>
      <c r="T654" s="69" t="s">
        <v>2359</v>
      </c>
      <c r="U654" s="69" t="s">
        <v>2359</v>
      </c>
      <c r="V654" s="69" t="s">
        <v>2359</v>
      </c>
      <c r="W654" s="69" t="s">
        <v>2359</v>
      </c>
      <c r="X654" s="3" t="s">
        <v>2272</v>
      </c>
      <c r="Y654" s="3" t="s">
        <v>2272</v>
      </c>
      <c r="Z654" s="3" t="s">
        <v>2272</v>
      </c>
      <c r="AA654" s="3" t="s">
        <v>2272</v>
      </c>
      <c r="AB654" s="3"/>
      <c r="AC654" s="3"/>
    </row>
    <row r="655" spans="1:29" ht="46.5" customHeight="1">
      <c r="A655" s="6" t="str">
        <f>'Reported burning'!A655</f>
        <v>76a</v>
      </c>
      <c r="B655" s="6" t="str">
        <f>'Reported burning'!B655</f>
        <v>76a.2</v>
      </c>
      <c r="C655" s="6" t="str">
        <f>'Reported burning'!C655</f>
        <v>Human, deliberate</v>
      </c>
      <c r="D655" s="6" t="str">
        <f>'Reported burning'!D655</f>
        <v>Forest clearance</v>
      </c>
      <c r="E655" s="6" t="str">
        <f>'Reported burning'!E655</f>
        <v>Agroforestry, Market-oriented</v>
      </c>
      <c r="F655" s="6" t="str">
        <f>'Reported burning'!F655</f>
        <v>Forest</v>
      </c>
      <c r="G655" s="6">
        <f>'Reported burning'!G655</f>
        <v>0</v>
      </c>
      <c r="H655" s="6" t="str">
        <f>'Reported burning'!H655</f>
        <v>Absence</v>
      </c>
      <c r="I655" s="3"/>
      <c r="J655" s="21" t="s">
        <v>2272</v>
      </c>
      <c r="K655" s="21" t="s">
        <v>2272</v>
      </c>
      <c r="L655" s="98" t="s">
        <v>2272</v>
      </c>
      <c r="M655" s="21" t="s">
        <v>2272</v>
      </c>
      <c r="N655" s="21" t="s">
        <v>2272</v>
      </c>
      <c r="O655" s="21" t="s">
        <v>2272</v>
      </c>
      <c r="P655" s="21" t="s">
        <v>2272</v>
      </c>
      <c r="Q655" s="21" t="s">
        <v>2272</v>
      </c>
      <c r="R655" s="97" t="s">
        <v>2272</v>
      </c>
      <c r="S655" s="97" t="s">
        <v>2272</v>
      </c>
      <c r="T655" s="21" t="s">
        <v>2272</v>
      </c>
      <c r="U655" s="21" t="s">
        <v>2272</v>
      </c>
      <c r="V655" s="21" t="s">
        <v>2272</v>
      </c>
      <c r="W655" s="21" t="s">
        <v>2272</v>
      </c>
      <c r="X655" s="21" t="s">
        <v>2272</v>
      </c>
      <c r="Y655" s="3" t="s">
        <v>2272</v>
      </c>
      <c r="Z655" s="3" t="s">
        <v>2272</v>
      </c>
      <c r="AA655" s="3" t="s">
        <v>2272</v>
      </c>
      <c r="AB655" s="3"/>
      <c r="AC655" s="4" t="s">
        <v>1076</v>
      </c>
    </row>
    <row r="656" spans="1:29"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2272</v>
      </c>
      <c r="K656" s="21" t="s">
        <v>2272</v>
      </c>
      <c r="L656" s="98" t="s">
        <v>2272</v>
      </c>
      <c r="M656" s="21" t="s">
        <v>2272</v>
      </c>
      <c r="N656" s="21" t="s">
        <v>2272</v>
      </c>
      <c r="O656" s="21" t="s">
        <v>2272</v>
      </c>
      <c r="P656" s="21" t="s">
        <v>2272</v>
      </c>
      <c r="Q656" s="21" t="s">
        <v>2272</v>
      </c>
      <c r="R656" s="97" t="s">
        <v>2272</v>
      </c>
      <c r="S656" s="97" t="s">
        <v>2272</v>
      </c>
      <c r="T656" s="21" t="s">
        <v>2272</v>
      </c>
      <c r="U656" s="21" t="s">
        <v>2272</v>
      </c>
      <c r="V656" s="21" t="s">
        <v>2272</v>
      </c>
      <c r="W656" s="21" t="s">
        <v>2272</v>
      </c>
      <c r="X656" s="21" t="s">
        <v>2272</v>
      </c>
      <c r="Y656" s="3" t="s">
        <v>187</v>
      </c>
      <c r="Z656" s="3" t="s">
        <v>187</v>
      </c>
      <c r="AA656" s="3" t="s">
        <v>2272</v>
      </c>
      <c r="AB656" s="3" t="s">
        <v>1004</v>
      </c>
      <c r="AC656" s="4" t="s">
        <v>2288</v>
      </c>
    </row>
    <row r="657" spans="1:29"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2272</v>
      </c>
      <c r="K657" s="21" t="s">
        <v>2272</v>
      </c>
      <c r="L657" s="98" t="s">
        <v>2272</v>
      </c>
      <c r="M657" s="21" t="s">
        <v>2272</v>
      </c>
      <c r="N657" s="21" t="s">
        <v>2272</v>
      </c>
      <c r="O657" s="21" t="s">
        <v>2272</v>
      </c>
      <c r="P657" s="21" t="s">
        <v>2272</v>
      </c>
      <c r="Q657" s="21" t="s">
        <v>2272</v>
      </c>
      <c r="R657" s="97" t="s">
        <v>2272</v>
      </c>
      <c r="S657" s="97" t="s">
        <v>2272</v>
      </c>
      <c r="T657" s="21" t="s">
        <v>2272</v>
      </c>
      <c r="U657" s="21" t="s">
        <v>2272</v>
      </c>
      <c r="V657" s="21" t="s">
        <v>2272</v>
      </c>
      <c r="W657" s="21" t="s">
        <v>2272</v>
      </c>
      <c r="X657" s="21" t="s">
        <v>2272</v>
      </c>
      <c r="Y657" s="3" t="s">
        <v>1079</v>
      </c>
      <c r="Z657" s="3" t="s">
        <v>187</v>
      </c>
      <c r="AA657" s="3" t="s">
        <v>2272</v>
      </c>
      <c r="AB657" s="4" t="s">
        <v>2289</v>
      </c>
      <c r="AC657" s="3"/>
    </row>
    <row r="658" spans="1:29"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5"/>
      <c r="J658" s="21" t="s">
        <v>2272</v>
      </c>
      <c r="K658" s="21" t="s">
        <v>2272</v>
      </c>
      <c r="L658" s="98" t="s">
        <v>2272</v>
      </c>
      <c r="M658" s="21" t="s">
        <v>2272</v>
      </c>
      <c r="N658" s="21" t="s">
        <v>2272</v>
      </c>
      <c r="O658" s="21" t="s">
        <v>2272</v>
      </c>
      <c r="P658" s="21" t="s">
        <v>2272</v>
      </c>
      <c r="Q658" s="21" t="s">
        <v>2272</v>
      </c>
      <c r="R658" s="97" t="s">
        <v>2272</v>
      </c>
      <c r="S658" s="97" t="s">
        <v>2272</v>
      </c>
      <c r="T658" s="21" t="s">
        <v>2272</v>
      </c>
      <c r="U658" s="21" t="s">
        <v>2272</v>
      </c>
      <c r="V658" s="21" t="s">
        <v>2272</v>
      </c>
      <c r="W658" s="21" t="s">
        <v>2272</v>
      </c>
      <c r="X658" s="21" t="s">
        <v>2272</v>
      </c>
      <c r="Y658" s="35" t="s">
        <v>186</v>
      </c>
      <c r="Z658" s="35" t="s">
        <v>37</v>
      </c>
      <c r="AA658" s="35" t="s">
        <v>2272</v>
      </c>
      <c r="AB658" s="35"/>
      <c r="AC658" s="35"/>
    </row>
    <row r="659" spans="1:29"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2272</v>
      </c>
      <c r="K659" s="21" t="s">
        <v>2272</v>
      </c>
      <c r="L659" s="98" t="s">
        <v>2272</v>
      </c>
      <c r="M659" s="21" t="s">
        <v>2272</v>
      </c>
      <c r="N659" s="21" t="s">
        <v>2272</v>
      </c>
      <c r="O659" s="21" t="s">
        <v>2272</v>
      </c>
      <c r="P659" s="21" t="s">
        <v>2272</v>
      </c>
      <c r="Q659" s="21" t="s">
        <v>2272</v>
      </c>
      <c r="R659" s="97" t="s">
        <v>2272</v>
      </c>
      <c r="S659" s="97" t="s">
        <v>2272</v>
      </c>
      <c r="T659" s="21" t="s">
        <v>2272</v>
      </c>
      <c r="U659" s="21" t="s">
        <v>2272</v>
      </c>
      <c r="V659" s="21" t="s">
        <v>2272</v>
      </c>
      <c r="W659" s="21" t="s">
        <v>2272</v>
      </c>
      <c r="X659" s="21" t="s">
        <v>2272</v>
      </c>
      <c r="Y659" s="35" t="s">
        <v>186</v>
      </c>
      <c r="Z659" s="35" t="s">
        <v>37</v>
      </c>
      <c r="AA659" s="3" t="s">
        <v>2272</v>
      </c>
      <c r="AB659" s="4" t="s">
        <v>1100</v>
      </c>
      <c r="AC659" s="3"/>
    </row>
    <row r="660" spans="1:29"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2272</v>
      </c>
      <c r="K660" s="21" t="s">
        <v>2272</v>
      </c>
      <c r="L660" s="98" t="s">
        <v>2272</v>
      </c>
      <c r="M660" s="21" t="s">
        <v>2272</v>
      </c>
      <c r="N660" s="21" t="s">
        <v>2272</v>
      </c>
      <c r="O660" s="21" t="s">
        <v>2272</v>
      </c>
      <c r="P660" s="21" t="s">
        <v>2272</v>
      </c>
      <c r="Q660" s="21" t="s">
        <v>2272</v>
      </c>
      <c r="R660" s="97" t="s">
        <v>2272</v>
      </c>
      <c r="S660" s="97" t="s">
        <v>2272</v>
      </c>
      <c r="T660" s="21" t="s">
        <v>2272</v>
      </c>
      <c r="U660" s="21" t="s">
        <v>2272</v>
      </c>
      <c r="V660" s="21" t="s">
        <v>2272</v>
      </c>
      <c r="W660" s="21" t="s">
        <v>2272</v>
      </c>
      <c r="X660" s="21" t="s">
        <v>2272</v>
      </c>
      <c r="Y660" s="3" t="s">
        <v>2272</v>
      </c>
      <c r="Z660" s="3" t="s">
        <v>2272</v>
      </c>
      <c r="AA660" s="3" t="s">
        <v>2272</v>
      </c>
      <c r="AB660" s="4"/>
      <c r="AC660" s="3"/>
    </row>
    <row r="661" spans="1:29"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2272</v>
      </c>
      <c r="K661" s="21" t="s">
        <v>2272</v>
      </c>
      <c r="L661" s="98" t="s">
        <v>2272</v>
      </c>
      <c r="M661" s="21" t="s">
        <v>2272</v>
      </c>
      <c r="N661" s="21" t="s">
        <v>2272</v>
      </c>
      <c r="O661" s="21" t="s">
        <v>2272</v>
      </c>
      <c r="P661" s="21" t="s">
        <v>2272</v>
      </c>
      <c r="Q661" s="21" t="s">
        <v>2272</v>
      </c>
      <c r="R661" s="97" t="s">
        <v>2272</v>
      </c>
      <c r="S661" s="97" t="s">
        <v>2272</v>
      </c>
      <c r="T661" s="21" t="s">
        <v>2272</v>
      </c>
      <c r="U661" s="21" t="s">
        <v>2272</v>
      </c>
      <c r="V661" s="21" t="s">
        <v>2272</v>
      </c>
      <c r="W661" s="21" t="s">
        <v>2272</v>
      </c>
      <c r="X661" s="21" t="s">
        <v>2272</v>
      </c>
      <c r="Y661" s="3" t="s">
        <v>2272</v>
      </c>
      <c r="Z661" s="3" t="s">
        <v>2272</v>
      </c>
      <c r="AA661" s="3" t="s">
        <v>2272</v>
      </c>
      <c r="AB661" s="4" t="s">
        <v>1105</v>
      </c>
      <c r="AC661" s="3"/>
    </row>
    <row r="662" spans="1:29"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2272</v>
      </c>
      <c r="K662" s="21" t="s">
        <v>2272</v>
      </c>
      <c r="L662" s="98" t="s">
        <v>2272</v>
      </c>
      <c r="M662" s="21" t="s">
        <v>2272</v>
      </c>
      <c r="N662" s="21" t="s">
        <v>2272</v>
      </c>
      <c r="O662" s="21" t="s">
        <v>2272</v>
      </c>
      <c r="P662" s="21" t="s">
        <v>2272</v>
      </c>
      <c r="Q662" s="21" t="s">
        <v>2272</v>
      </c>
      <c r="R662" s="97" t="s">
        <v>2272</v>
      </c>
      <c r="S662" s="97" t="s">
        <v>2272</v>
      </c>
      <c r="T662" s="21" t="s">
        <v>2272</v>
      </c>
      <c r="U662" s="21" t="s">
        <v>2272</v>
      </c>
      <c r="V662" s="21" t="s">
        <v>2272</v>
      </c>
      <c r="W662" s="21" t="s">
        <v>2272</v>
      </c>
      <c r="X662" s="21" t="s">
        <v>2272</v>
      </c>
      <c r="Y662" s="3" t="s">
        <v>2272</v>
      </c>
      <c r="Z662" s="3" t="s">
        <v>2272</v>
      </c>
      <c r="AA662" s="3" t="s">
        <v>2272</v>
      </c>
      <c r="AB662" s="4" t="s">
        <v>1105</v>
      </c>
      <c r="AC662" s="3"/>
    </row>
    <row r="663" spans="1:29"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2272</v>
      </c>
      <c r="K663" s="21" t="s">
        <v>2272</v>
      </c>
      <c r="L663" s="98" t="s">
        <v>2272</v>
      </c>
      <c r="M663" s="21" t="s">
        <v>2272</v>
      </c>
      <c r="N663" s="21" t="s">
        <v>2272</v>
      </c>
      <c r="O663" s="21" t="s">
        <v>2272</v>
      </c>
      <c r="P663" s="21" t="s">
        <v>2272</v>
      </c>
      <c r="Q663" s="21" t="s">
        <v>2272</v>
      </c>
      <c r="R663" s="97" t="s">
        <v>2272</v>
      </c>
      <c r="S663" s="97" t="s">
        <v>2272</v>
      </c>
      <c r="T663" s="21" t="s">
        <v>2272</v>
      </c>
      <c r="U663" s="21" t="s">
        <v>2272</v>
      </c>
      <c r="V663" s="21" t="s">
        <v>2272</v>
      </c>
      <c r="W663" s="21" t="s">
        <v>2272</v>
      </c>
      <c r="X663" s="21" t="s">
        <v>2272</v>
      </c>
      <c r="Y663" s="3" t="s">
        <v>2272</v>
      </c>
      <c r="Z663" s="3" t="s">
        <v>2272</v>
      </c>
      <c r="AA663" s="3" t="s">
        <v>2272</v>
      </c>
      <c r="AB663" s="4" t="s">
        <v>1105</v>
      </c>
      <c r="AC663" s="3"/>
    </row>
    <row r="664" spans="1:29"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2272</v>
      </c>
      <c r="K664" s="21" t="s">
        <v>2272</v>
      </c>
      <c r="L664" s="98" t="s">
        <v>2272</v>
      </c>
      <c r="M664" s="21" t="s">
        <v>2272</v>
      </c>
      <c r="N664" s="21" t="s">
        <v>2272</v>
      </c>
      <c r="O664" s="21" t="s">
        <v>2272</v>
      </c>
      <c r="P664" s="21" t="s">
        <v>2272</v>
      </c>
      <c r="Q664" s="21" t="s">
        <v>2272</v>
      </c>
      <c r="R664" s="97" t="s">
        <v>2272</v>
      </c>
      <c r="S664" s="97" t="s">
        <v>2272</v>
      </c>
      <c r="T664" s="21" t="s">
        <v>2272</v>
      </c>
      <c r="U664" s="21" t="s">
        <v>2272</v>
      </c>
      <c r="V664" s="21" t="s">
        <v>2272</v>
      </c>
      <c r="W664" s="21" t="s">
        <v>2272</v>
      </c>
      <c r="X664" s="21" t="s">
        <v>2272</v>
      </c>
      <c r="Y664" s="3" t="s">
        <v>2272</v>
      </c>
      <c r="Z664" s="3" t="s">
        <v>2272</v>
      </c>
      <c r="AA664" s="3" t="s">
        <v>2272</v>
      </c>
      <c r="AB664" s="4" t="s">
        <v>1105</v>
      </c>
      <c r="AC664" s="3"/>
    </row>
    <row r="665" spans="1:29"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2272</v>
      </c>
      <c r="K665" s="21" t="s">
        <v>2272</v>
      </c>
      <c r="L665" s="98" t="s">
        <v>2272</v>
      </c>
      <c r="M665" s="21" t="s">
        <v>2272</v>
      </c>
      <c r="N665" s="21" t="s">
        <v>2272</v>
      </c>
      <c r="O665" s="21" t="s">
        <v>2272</v>
      </c>
      <c r="P665" s="21" t="s">
        <v>2272</v>
      </c>
      <c r="Q665" s="21" t="s">
        <v>2272</v>
      </c>
      <c r="R665" s="97" t="s">
        <v>2272</v>
      </c>
      <c r="S665" s="97" t="s">
        <v>2272</v>
      </c>
      <c r="T665" s="21" t="s">
        <v>2272</v>
      </c>
      <c r="U665" s="21" t="s">
        <v>2272</v>
      </c>
      <c r="V665" s="21" t="s">
        <v>2272</v>
      </c>
      <c r="W665" s="21" t="s">
        <v>2272</v>
      </c>
      <c r="X665" s="21" t="s">
        <v>2272</v>
      </c>
      <c r="Y665" s="3" t="s">
        <v>2272</v>
      </c>
      <c r="Z665" s="3" t="s">
        <v>2272</v>
      </c>
      <c r="AA665" s="3" t="s">
        <v>2272</v>
      </c>
      <c r="AB665" s="4" t="s">
        <v>1105</v>
      </c>
      <c r="AC665" s="3"/>
    </row>
    <row r="666" spans="1:29"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2272</v>
      </c>
      <c r="K666" s="21" t="s">
        <v>2272</v>
      </c>
      <c r="L666" s="98" t="s">
        <v>2272</v>
      </c>
      <c r="M666" s="21" t="s">
        <v>2272</v>
      </c>
      <c r="N666" s="21" t="s">
        <v>2272</v>
      </c>
      <c r="O666" s="21" t="s">
        <v>2272</v>
      </c>
      <c r="P666" s="21" t="s">
        <v>2272</v>
      </c>
      <c r="Q666" s="21" t="s">
        <v>2272</v>
      </c>
      <c r="R666" s="97" t="s">
        <v>2272</v>
      </c>
      <c r="S666" s="97" t="s">
        <v>2272</v>
      </c>
      <c r="T666" s="21" t="s">
        <v>2272</v>
      </c>
      <c r="U666" s="21" t="s">
        <v>2272</v>
      </c>
      <c r="V666" s="21" t="s">
        <v>2272</v>
      </c>
      <c r="W666" s="21" t="s">
        <v>2272</v>
      </c>
      <c r="X666" s="21" t="s">
        <v>2272</v>
      </c>
      <c r="Y666" s="3" t="s">
        <v>2272</v>
      </c>
      <c r="Z666" s="3" t="s">
        <v>2272</v>
      </c>
      <c r="AA666" s="3" t="s">
        <v>2272</v>
      </c>
      <c r="AB666" s="4" t="s">
        <v>1105</v>
      </c>
      <c r="AC666" s="3"/>
    </row>
    <row r="667" spans="1:29"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2272</v>
      </c>
      <c r="K667" s="21" t="s">
        <v>2272</v>
      </c>
      <c r="L667" s="98" t="s">
        <v>2272</v>
      </c>
      <c r="M667" s="21" t="s">
        <v>2272</v>
      </c>
      <c r="N667" s="21" t="s">
        <v>2272</v>
      </c>
      <c r="O667" s="21" t="s">
        <v>2272</v>
      </c>
      <c r="P667" s="21" t="s">
        <v>2272</v>
      </c>
      <c r="Q667" s="21" t="s">
        <v>2272</v>
      </c>
      <c r="R667" s="97" t="s">
        <v>2272</v>
      </c>
      <c r="S667" s="97" t="s">
        <v>2272</v>
      </c>
      <c r="T667" s="21" t="s">
        <v>2272</v>
      </c>
      <c r="U667" s="21" t="s">
        <v>2272</v>
      </c>
      <c r="V667" s="21" t="s">
        <v>2272</v>
      </c>
      <c r="W667" s="21" t="s">
        <v>2272</v>
      </c>
      <c r="X667" s="21" t="s">
        <v>2272</v>
      </c>
      <c r="Y667" s="3" t="s">
        <v>2272</v>
      </c>
      <c r="Z667" s="3" t="s">
        <v>2272</v>
      </c>
      <c r="AA667" s="3" t="s">
        <v>2272</v>
      </c>
      <c r="AB667" s="4" t="s">
        <v>1105</v>
      </c>
      <c r="AC667" s="3"/>
    </row>
    <row r="668" spans="1:29"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2272</v>
      </c>
      <c r="K668" s="21" t="s">
        <v>2272</v>
      </c>
      <c r="L668" s="98" t="s">
        <v>2272</v>
      </c>
      <c r="M668" s="21" t="s">
        <v>2272</v>
      </c>
      <c r="N668" s="21" t="s">
        <v>2272</v>
      </c>
      <c r="O668" s="21" t="s">
        <v>2272</v>
      </c>
      <c r="P668" s="21" t="s">
        <v>2272</v>
      </c>
      <c r="Q668" s="21" t="s">
        <v>2272</v>
      </c>
      <c r="R668" s="97" t="s">
        <v>2272</v>
      </c>
      <c r="S668" s="97" t="s">
        <v>2272</v>
      </c>
      <c r="T668" s="21" t="s">
        <v>2272</v>
      </c>
      <c r="U668" s="21" t="s">
        <v>2272</v>
      </c>
      <c r="V668" s="21" t="s">
        <v>2272</v>
      </c>
      <c r="W668" s="21" t="s">
        <v>2272</v>
      </c>
      <c r="X668" s="21" t="s">
        <v>2272</v>
      </c>
      <c r="Y668" s="3" t="s">
        <v>2272</v>
      </c>
      <c r="Z668" s="3" t="s">
        <v>2272</v>
      </c>
      <c r="AA668" s="3" t="s">
        <v>2272</v>
      </c>
      <c r="AB668" s="4" t="s">
        <v>1105</v>
      </c>
      <c r="AC668" s="3"/>
    </row>
    <row r="669" spans="1:29"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2272</v>
      </c>
      <c r="K669" s="21" t="s">
        <v>2272</v>
      </c>
      <c r="L669" s="98" t="s">
        <v>2272</v>
      </c>
      <c r="M669" s="21" t="s">
        <v>2272</v>
      </c>
      <c r="N669" s="21" t="s">
        <v>2272</v>
      </c>
      <c r="O669" s="21" t="s">
        <v>2272</v>
      </c>
      <c r="P669" s="21" t="s">
        <v>2272</v>
      </c>
      <c r="Q669" s="21" t="s">
        <v>2272</v>
      </c>
      <c r="R669" s="97" t="s">
        <v>2272</v>
      </c>
      <c r="S669" s="97" t="s">
        <v>2272</v>
      </c>
      <c r="T669" s="21" t="s">
        <v>2272</v>
      </c>
      <c r="U669" s="21" t="s">
        <v>2272</v>
      </c>
      <c r="V669" s="21" t="s">
        <v>2272</v>
      </c>
      <c r="W669" s="21" t="s">
        <v>2272</v>
      </c>
      <c r="X669" s="21" t="s">
        <v>2272</v>
      </c>
      <c r="Y669" s="3" t="s">
        <v>2272</v>
      </c>
      <c r="Z669" s="3" t="s">
        <v>2272</v>
      </c>
      <c r="AA669" s="3" t="s">
        <v>2272</v>
      </c>
      <c r="AB669" s="4" t="s">
        <v>1105</v>
      </c>
      <c r="AC669" s="3"/>
    </row>
    <row r="670" spans="1:29"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2272</v>
      </c>
      <c r="K670" s="21" t="s">
        <v>2272</v>
      </c>
      <c r="L670" s="98" t="s">
        <v>2272</v>
      </c>
      <c r="M670" s="21" t="s">
        <v>2272</v>
      </c>
      <c r="N670" s="21" t="s">
        <v>2272</v>
      </c>
      <c r="O670" s="21" t="s">
        <v>2272</v>
      </c>
      <c r="P670" s="21" t="s">
        <v>2272</v>
      </c>
      <c r="Q670" s="21" t="s">
        <v>2272</v>
      </c>
      <c r="R670" s="97" t="s">
        <v>2272</v>
      </c>
      <c r="S670" s="97" t="s">
        <v>2272</v>
      </c>
      <c r="T670" s="21" t="s">
        <v>2272</v>
      </c>
      <c r="U670" s="21" t="s">
        <v>2272</v>
      </c>
      <c r="V670" s="21" t="s">
        <v>2272</v>
      </c>
      <c r="W670" s="21" t="s">
        <v>2272</v>
      </c>
      <c r="X670" s="21" t="s">
        <v>2272</v>
      </c>
      <c r="Y670" s="3" t="s">
        <v>67</v>
      </c>
      <c r="Z670" s="3" t="s">
        <v>34</v>
      </c>
      <c r="AA670" s="3" t="s">
        <v>2272</v>
      </c>
      <c r="AB670" s="4" t="s">
        <v>2345</v>
      </c>
      <c r="AC670" s="3"/>
    </row>
    <row r="671" spans="1:29"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2272</v>
      </c>
      <c r="K671" s="21" t="s">
        <v>2272</v>
      </c>
      <c r="L671" s="98" t="s">
        <v>2272</v>
      </c>
      <c r="M671" s="21" t="s">
        <v>2272</v>
      </c>
      <c r="N671" s="21" t="s">
        <v>2272</v>
      </c>
      <c r="O671" s="21" t="s">
        <v>2272</v>
      </c>
      <c r="P671" s="21" t="s">
        <v>2272</v>
      </c>
      <c r="Q671" s="21" t="s">
        <v>2272</v>
      </c>
      <c r="R671" s="97" t="s">
        <v>2272</v>
      </c>
      <c r="S671" s="97" t="s">
        <v>2272</v>
      </c>
      <c r="T671" s="21" t="s">
        <v>2272</v>
      </c>
      <c r="U671" s="21" t="s">
        <v>2272</v>
      </c>
      <c r="V671" s="21" t="s">
        <v>2272</v>
      </c>
      <c r="W671" s="21" t="s">
        <v>2272</v>
      </c>
      <c r="X671" s="21" t="s">
        <v>2272</v>
      </c>
      <c r="Y671" s="21" t="s">
        <v>2272</v>
      </c>
      <c r="Z671" s="21" t="s">
        <v>2272</v>
      </c>
      <c r="AA671" s="21" t="s">
        <v>2272</v>
      </c>
      <c r="AB671" s="4" t="s">
        <v>2332</v>
      </c>
      <c r="AC671" s="3"/>
    </row>
    <row r="672" spans="1:29"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2272</v>
      </c>
      <c r="K672" s="21" t="s">
        <v>2272</v>
      </c>
      <c r="L672" s="98" t="s">
        <v>2272</v>
      </c>
      <c r="M672" s="21" t="s">
        <v>2272</v>
      </c>
      <c r="N672" s="21" t="s">
        <v>2272</v>
      </c>
      <c r="O672" s="21" t="s">
        <v>2272</v>
      </c>
      <c r="P672" s="21" t="s">
        <v>2272</v>
      </c>
      <c r="Q672" s="21" t="s">
        <v>2272</v>
      </c>
      <c r="R672" s="97" t="s">
        <v>2272</v>
      </c>
      <c r="S672" s="97" t="s">
        <v>2272</v>
      </c>
      <c r="T672" s="21" t="s">
        <v>2272</v>
      </c>
      <c r="U672" s="21" t="s">
        <v>2272</v>
      </c>
      <c r="V672" s="21" t="s">
        <v>2272</v>
      </c>
      <c r="W672" s="21" t="s">
        <v>2272</v>
      </c>
      <c r="X672" s="98" t="s">
        <v>2396</v>
      </c>
      <c r="Y672" s="21" t="s">
        <v>2272</v>
      </c>
      <c r="Z672" s="21" t="s">
        <v>2272</v>
      </c>
      <c r="AA672" s="21" t="s">
        <v>2272</v>
      </c>
      <c r="AB672" s="4" t="s">
        <v>2344</v>
      </c>
      <c r="AC672" s="3"/>
    </row>
    <row r="673" spans="1:29"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2272</v>
      </c>
      <c r="K673" s="21" t="s">
        <v>2272</v>
      </c>
      <c r="L673" s="98" t="s">
        <v>2272</v>
      </c>
      <c r="M673" s="21" t="s">
        <v>2272</v>
      </c>
      <c r="N673" s="21" t="s">
        <v>2272</v>
      </c>
      <c r="O673" s="21" t="s">
        <v>2272</v>
      </c>
      <c r="P673" s="21" t="s">
        <v>2272</v>
      </c>
      <c r="Q673" s="21" t="s">
        <v>2272</v>
      </c>
      <c r="R673" s="97" t="s">
        <v>2272</v>
      </c>
      <c r="S673" s="97" t="s">
        <v>2272</v>
      </c>
      <c r="T673" s="21" t="s">
        <v>2272</v>
      </c>
      <c r="U673" s="21" t="s">
        <v>2272</v>
      </c>
      <c r="V673" s="21" t="s">
        <v>2272</v>
      </c>
      <c r="W673" s="21" t="s">
        <v>2272</v>
      </c>
      <c r="X673" s="21" t="s">
        <v>2272</v>
      </c>
      <c r="Y673" s="21" t="s">
        <v>2272</v>
      </c>
      <c r="Z673" s="21" t="s">
        <v>2272</v>
      </c>
      <c r="AA673" s="21" t="s">
        <v>2272</v>
      </c>
      <c r="AB673" s="4" t="s">
        <v>2348</v>
      </c>
      <c r="AC673" s="3"/>
    </row>
    <row r="674" spans="1:29"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2272</v>
      </c>
      <c r="K674" s="21" t="s">
        <v>2272</v>
      </c>
      <c r="L674" s="98" t="s">
        <v>2272</v>
      </c>
      <c r="M674" s="21" t="s">
        <v>2272</v>
      </c>
      <c r="N674" s="21" t="s">
        <v>2272</v>
      </c>
      <c r="O674" s="21" t="s">
        <v>2272</v>
      </c>
      <c r="P674" s="21" t="s">
        <v>2272</v>
      </c>
      <c r="Q674" s="21" t="s">
        <v>2272</v>
      </c>
      <c r="R674" s="97" t="s">
        <v>2272</v>
      </c>
      <c r="S674" s="97" t="s">
        <v>2272</v>
      </c>
      <c r="T674" s="21" t="s">
        <v>2272</v>
      </c>
      <c r="U674" s="21" t="s">
        <v>2272</v>
      </c>
      <c r="V674" s="21" t="s">
        <v>2272</v>
      </c>
      <c r="W674" s="21" t="s">
        <v>2272</v>
      </c>
      <c r="X674" s="21" t="s">
        <v>2272</v>
      </c>
      <c r="Y674" s="21" t="s">
        <v>2272</v>
      </c>
      <c r="Z674" s="21" t="s">
        <v>2272</v>
      </c>
      <c r="AA674" s="21" t="s">
        <v>2272</v>
      </c>
      <c r="AB674" s="4" t="s">
        <v>2338</v>
      </c>
      <c r="AC674" s="3"/>
    </row>
    <row r="675" spans="1:29"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2272</v>
      </c>
      <c r="K675" s="21" t="s">
        <v>2272</v>
      </c>
      <c r="L675" s="98" t="s">
        <v>2272</v>
      </c>
      <c r="M675" s="21" t="s">
        <v>2272</v>
      </c>
      <c r="N675" s="21" t="s">
        <v>2272</v>
      </c>
      <c r="O675" s="21" t="s">
        <v>2272</v>
      </c>
      <c r="P675" s="21" t="s">
        <v>2272</v>
      </c>
      <c r="Q675" s="21" t="s">
        <v>2272</v>
      </c>
      <c r="R675" s="97" t="s">
        <v>2272</v>
      </c>
      <c r="S675" s="97" t="s">
        <v>2272</v>
      </c>
      <c r="T675" s="21" t="s">
        <v>2272</v>
      </c>
      <c r="U675" s="21" t="s">
        <v>2272</v>
      </c>
      <c r="V675" s="21" t="s">
        <v>2272</v>
      </c>
      <c r="W675" s="21" t="s">
        <v>2272</v>
      </c>
      <c r="X675" s="21" t="s">
        <v>2272</v>
      </c>
      <c r="Y675" s="3" t="s">
        <v>67</v>
      </c>
      <c r="Z675" s="3" t="s">
        <v>34</v>
      </c>
      <c r="AA675" s="21" t="s">
        <v>2272</v>
      </c>
      <c r="AB675" s="4" t="s">
        <v>2345</v>
      </c>
      <c r="AC675" s="3"/>
    </row>
    <row r="676" spans="1:29"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2272</v>
      </c>
      <c r="K676" s="21" t="s">
        <v>2272</v>
      </c>
      <c r="L676" s="98" t="s">
        <v>2272</v>
      </c>
      <c r="M676" s="21" t="s">
        <v>2272</v>
      </c>
      <c r="N676" s="21" t="s">
        <v>2272</v>
      </c>
      <c r="O676" s="21" t="s">
        <v>2272</v>
      </c>
      <c r="P676" s="21" t="s">
        <v>2272</v>
      </c>
      <c r="Q676" s="21" t="s">
        <v>2272</v>
      </c>
      <c r="R676" s="97" t="s">
        <v>2272</v>
      </c>
      <c r="S676" s="97" t="s">
        <v>2272</v>
      </c>
      <c r="T676" s="21" t="s">
        <v>2272</v>
      </c>
      <c r="U676" s="21" t="s">
        <v>2272</v>
      </c>
      <c r="V676" s="21" t="s">
        <v>2272</v>
      </c>
      <c r="W676" s="21" t="s">
        <v>2272</v>
      </c>
      <c r="X676" s="21" t="s">
        <v>2272</v>
      </c>
      <c r="Y676" s="21" t="s">
        <v>2272</v>
      </c>
      <c r="Z676" s="21" t="s">
        <v>2272</v>
      </c>
      <c r="AA676" s="21" t="s">
        <v>2272</v>
      </c>
      <c r="AB676" s="4" t="s">
        <v>2332</v>
      </c>
      <c r="AC676" s="3"/>
    </row>
    <row r="677" spans="1:29"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2272</v>
      </c>
      <c r="K677" s="21" t="s">
        <v>2272</v>
      </c>
      <c r="L677" s="98" t="s">
        <v>2272</v>
      </c>
      <c r="M677" s="21" t="s">
        <v>2272</v>
      </c>
      <c r="N677" s="21" t="s">
        <v>2272</v>
      </c>
      <c r="O677" s="21" t="s">
        <v>2272</v>
      </c>
      <c r="P677" s="21" t="s">
        <v>2272</v>
      </c>
      <c r="Q677" s="21" t="s">
        <v>2272</v>
      </c>
      <c r="R677" s="97" t="s">
        <v>2272</v>
      </c>
      <c r="S677" s="97" t="s">
        <v>2272</v>
      </c>
      <c r="T677" s="21" t="s">
        <v>2272</v>
      </c>
      <c r="U677" s="21" t="s">
        <v>2272</v>
      </c>
      <c r="V677" s="21" t="s">
        <v>2272</v>
      </c>
      <c r="W677" s="21" t="s">
        <v>2272</v>
      </c>
      <c r="X677" s="21" t="s">
        <v>2272</v>
      </c>
      <c r="Y677" s="21" t="s">
        <v>2272</v>
      </c>
      <c r="Z677" s="21" t="s">
        <v>2272</v>
      </c>
      <c r="AA677" s="21" t="s">
        <v>2272</v>
      </c>
      <c r="AB677" s="4" t="s">
        <v>2348</v>
      </c>
      <c r="AC677" s="3"/>
    </row>
    <row r="678" spans="1:29"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2272</v>
      </c>
      <c r="K678" s="21" t="s">
        <v>2272</v>
      </c>
      <c r="L678" s="98" t="s">
        <v>2272</v>
      </c>
      <c r="M678" s="21" t="s">
        <v>2272</v>
      </c>
      <c r="N678" s="21" t="s">
        <v>2272</v>
      </c>
      <c r="O678" s="21" t="s">
        <v>2272</v>
      </c>
      <c r="P678" s="21" t="s">
        <v>2272</v>
      </c>
      <c r="Q678" s="21" t="s">
        <v>2272</v>
      </c>
      <c r="R678" s="97" t="s">
        <v>2272</v>
      </c>
      <c r="S678" s="97" t="s">
        <v>2272</v>
      </c>
      <c r="T678" s="21" t="s">
        <v>2272</v>
      </c>
      <c r="U678" s="21" t="s">
        <v>2272</v>
      </c>
      <c r="V678" s="21" t="s">
        <v>2272</v>
      </c>
      <c r="W678" s="21" t="s">
        <v>2272</v>
      </c>
      <c r="X678" s="21" t="s">
        <v>2272</v>
      </c>
      <c r="Y678" s="21" t="s">
        <v>2272</v>
      </c>
      <c r="Z678" s="21" t="s">
        <v>2272</v>
      </c>
      <c r="AA678" s="21" t="s">
        <v>2272</v>
      </c>
      <c r="AB678" s="4" t="s">
        <v>2338</v>
      </c>
      <c r="AC678" s="3"/>
    </row>
    <row r="679" spans="1:29"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2272</v>
      </c>
      <c r="K679" s="21" t="s">
        <v>2272</v>
      </c>
      <c r="L679" s="98" t="s">
        <v>2272</v>
      </c>
      <c r="M679" s="21" t="s">
        <v>2272</v>
      </c>
      <c r="N679" s="21" t="s">
        <v>2272</v>
      </c>
      <c r="O679" s="21" t="s">
        <v>2272</v>
      </c>
      <c r="P679" s="21" t="s">
        <v>2272</v>
      </c>
      <c r="Q679" s="21" t="s">
        <v>2272</v>
      </c>
      <c r="R679" s="97" t="s">
        <v>2272</v>
      </c>
      <c r="S679" s="97" t="s">
        <v>2272</v>
      </c>
      <c r="T679" s="21" t="s">
        <v>2272</v>
      </c>
      <c r="U679" s="21" t="s">
        <v>2272</v>
      </c>
      <c r="V679" s="21" t="s">
        <v>2272</v>
      </c>
      <c r="W679" s="21" t="s">
        <v>2272</v>
      </c>
      <c r="X679" s="98" t="s">
        <v>2396</v>
      </c>
      <c r="Y679" s="21" t="s">
        <v>2272</v>
      </c>
      <c r="Z679" s="21" t="s">
        <v>2272</v>
      </c>
      <c r="AA679" s="21" t="s">
        <v>2272</v>
      </c>
      <c r="AB679" s="4" t="s">
        <v>2344</v>
      </c>
      <c r="AC679" s="3"/>
    </row>
    <row r="680" spans="1:29"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2359</v>
      </c>
      <c r="K680" s="21" t="s">
        <v>2359</v>
      </c>
      <c r="L680" s="98" t="s">
        <v>2359</v>
      </c>
      <c r="M680" s="21" t="s">
        <v>2359</v>
      </c>
      <c r="N680" s="21" t="s">
        <v>2359</v>
      </c>
      <c r="O680" s="21" t="s">
        <v>2359</v>
      </c>
      <c r="P680" s="21" t="s">
        <v>2359</v>
      </c>
      <c r="Q680" s="21" t="s">
        <v>2359</v>
      </c>
      <c r="R680" s="97" t="s">
        <v>2272</v>
      </c>
      <c r="S680" s="97" t="s">
        <v>2272</v>
      </c>
      <c r="T680" s="21" t="s">
        <v>2359</v>
      </c>
      <c r="U680" s="21" t="s">
        <v>2359</v>
      </c>
      <c r="V680" s="21" t="s">
        <v>2359</v>
      </c>
      <c r="W680" s="21" t="s">
        <v>2359</v>
      </c>
      <c r="X680" s="21" t="s">
        <v>2272</v>
      </c>
      <c r="Y680" s="21" t="s">
        <v>2272</v>
      </c>
      <c r="Z680" s="21" t="s">
        <v>2272</v>
      </c>
      <c r="AA680" s="21" t="s">
        <v>2272</v>
      </c>
      <c r="AB680" s="4" t="s">
        <v>2341</v>
      </c>
      <c r="AC680" s="3"/>
    </row>
    <row r="681" spans="1:29"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2272</v>
      </c>
      <c r="K681" s="21" t="s">
        <v>2272</v>
      </c>
      <c r="L681" s="98" t="s">
        <v>2272</v>
      </c>
      <c r="M681" s="21" t="s">
        <v>2272</v>
      </c>
      <c r="N681" s="21" t="s">
        <v>2272</v>
      </c>
      <c r="O681" s="21" t="s">
        <v>2272</v>
      </c>
      <c r="P681" s="21" t="s">
        <v>2272</v>
      </c>
      <c r="Q681" s="21" t="s">
        <v>2272</v>
      </c>
      <c r="R681" s="97" t="s">
        <v>2272</v>
      </c>
      <c r="S681" s="97" t="s">
        <v>2272</v>
      </c>
      <c r="T681" s="21" t="s">
        <v>2272</v>
      </c>
      <c r="U681" s="21" t="s">
        <v>2272</v>
      </c>
      <c r="V681" s="21" t="s">
        <v>2272</v>
      </c>
      <c r="W681" s="21" t="s">
        <v>2272</v>
      </c>
      <c r="X681" s="21" t="s">
        <v>2272</v>
      </c>
      <c r="Y681" s="21" t="s">
        <v>2272</v>
      </c>
      <c r="Z681" s="21" t="s">
        <v>2272</v>
      </c>
      <c r="AA681" s="21" t="s">
        <v>2272</v>
      </c>
      <c r="AB681" s="4" t="s">
        <v>2343</v>
      </c>
      <c r="AC681" s="3"/>
    </row>
    <row r="682" spans="1:29"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2272</v>
      </c>
      <c r="K682" s="21" t="s">
        <v>2272</v>
      </c>
      <c r="L682" s="98" t="s">
        <v>2272</v>
      </c>
      <c r="M682" s="21" t="s">
        <v>2272</v>
      </c>
      <c r="N682" s="21" t="s">
        <v>2272</v>
      </c>
      <c r="O682" s="21" t="s">
        <v>2272</v>
      </c>
      <c r="P682" s="21" t="s">
        <v>2272</v>
      </c>
      <c r="Q682" s="21" t="s">
        <v>2272</v>
      </c>
      <c r="R682" s="97" t="s">
        <v>2272</v>
      </c>
      <c r="S682" s="97" t="s">
        <v>2272</v>
      </c>
      <c r="T682" s="21" t="s">
        <v>2272</v>
      </c>
      <c r="U682" s="21" t="s">
        <v>2272</v>
      </c>
      <c r="V682" s="21" t="s">
        <v>2272</v>
      </c>
      <c r="W682" s="21" t="s">
        <v>2272</v>
      </c>
      <c r="X682" s="21" t="s">
        <v>2272</v>
      </c>
      <c r="Y682" s="21" t="s">
        <v>2272</v>
      </c>
      <c r="Z682" s="21" t="s">
        <v>2272</v>
      </c>
      <c r="AA682" s="21" t="s">
        <v>2272</v>
      </c>
      <c r="AB682" s="4" t="s">
        <v>2343</v>
      </c>
      <c r="AC682" s="3"/>
    </row>
    <row r="683" spans="1:29"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2272</v>
      </c>
      <c r="K683" s="21" t="s">
        <v>2272</v>
      </c>
      <c r="L683" s="98" t="s">
        <v>2272</v>
      </c>
      <c r="M683" s="21" t="s">
        <v>2272</v>
      </c>
      <c r="N683" s="21" t="s">
        <v>2272</v>
      </c>
      <c r="O683" s="21" t="s">
        <v>2272</v>
      </c>
      <c r="P683" s="21" t="s">
        <v>2272</v>
      </c>
      <c r="Q683" s="21" t="s">
        <v>2358</v>
      </c>
      <c r="R683" s="97" t="s">
        <v>2272</v>
      </c>
      <c r="S683" s="97" t="s">
        <v>2272</v>
      </c>
      <c r="T683" s="21" t="s">
        <v>2272</v>
      </c>
      <c r="U683" s="21" t="s">
        <v>2272</v>
      </c>
      <c r="V683" s="21" t="s">
        <v>2272</v>
      </c>
      <c r="W683" s="21" t="s">
        <v>2272</v>
      </c>
      <c r="X683" s="21" t="s">
        <v>2272</v>
      </c>
      <c r="Y683" s="3" t="s">
        <v>2272</v>
      </c>
      <c r="Z683" s="3" t="s">
        <v>2272</v>
      </c>
      <c r="AA683" s="3" t="s">
        <v>2272</v>
      </c>
      <c r="AB683" s="3"/>
      <c r="AC683" s="3"/>
    </row>
    <row r="684" spans="1:29"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2272</v>
      </c>
      <c r="K684" s="21" t="s">
        <v>2272</v>
      </c>
      <c r="L684" s="98" t="s">
        <v>2272</v>
      </c>
      <c r="M684" s="21" t="s">
        <v>2272</v>
      </c>
      <c r="N684" s="21" t="s">
        <v>2272</v>
      </c>
      <c r="O684" s="21" t="s">
        <v>2272</v>
      </c>
      <c r="P684" s="21" t="s">
        <v>2272</v>
      </c>
      <c r="Q684" s="21" t="s">
        <v>2358</v>
      </c>
      <c r="R684" s="97" t="s">
        <v>2272</v>
      </c>
      <c r="S684" s="97" t="s">
        <v>2272</v>
      </c>
      <c r="T684" s="21" t="s">
        <v>2272</v>
      </c>
      <c r="U684" s="21" t="s">
        <v>2272</v>
      </c>
      <c r="V684" s="21" t="s">
        <v>2272</v>
      </c>
      <c r="W684" s="21" t="s">
        <v>2272</v>
      </c>
      <c r="X684" s="21" t="s">
        <v>2272</v>
      </c>
      <c r="Y684" s="3" t="s">
        <v>2272</v>
      </c>
      <c r="Z684" s="3" t="s">
        <v>2272</v>
      </c>
      <c r="AA684" s="3" t="s">
        <v>2272</v>
      </c>
      <c r="AB684" s="4" t="s">
        <v>1125</v>
      </c>
      <c r="AC684" s="3"/>
    </row>
    <row r="685" spans="1:29"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2272</v>
      </c>
      <c r="K685" s="21" t="s">
        <v>2272</v>
      </c>
      <c r="L685" s="98" t="s">
        <v>2272</v>
      </c>
      <c r="M685" s="21" t="s">
        <v>2272</v>
      </c>
      <c r="N685" s="21" t="s">
        <v>2272</v>
      </c>
      <c r="O685" s="21" t="s">
        <v>2272</v>
      </c>
      <c r="P685" s="21" t="s">
        <v>2272</v>
      </c>
      <c r="Q685" s="21" t="s">
        <v>2272</v>
      </c>
      <c r="R685" s="97" t="s">
        <v>2272</v>
      </c>
      <c r="S685" s="97" t="s">
        <v>2272</v>
      </c>
      <c r="T685" s="21" t="s">
        <v>2272</v>
      </c>
      <c r="U685" s="21" t="s">
        <v>2272</v>
      </c>
      <c r="V685" s="21" t="s">
        <v>2272</v>
      </c>
      <c r="W685" s="21" t="s">
        <v>2272</v>
      </c>
      <c r="X685" s="21" t="s">
        <v>2272</v>
      </c>
      <c r="Y685" s="3" t="s">
        <v>2272</v>
      </c>
      <c r="Z685" s="3" t="s">
        <v>2272</v>
      </c>
      <c r="AA685" s="3" t="s">
        <v>2272</v>
      </c>
      <c r="AB685" s="3"/>
      <c r="AC685" s="3"/>
    </row>
    <row r="686" spans="1:29"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2272</v>
      </c>
      <c r="K686" s="21" t="s">
        <v>2272</v>
      </c>
      <c r="L686" s="98" t="s">
        <v>2272</v>
      </c>
      <c r="M686" s="21" t="s">
        <v>2272</v>
      </c>
      <c r="N686" s="21" t="s">
        <v>2272</v>
      </c>
      <c r="O686" s="21" t="s">
        <v>2272</v>
      </c>
      <c r="P686" s="21" t="s">
        <v>2272</v>
      </c>
      <c r="Q686" s="21" t="s">
        <v>2272</v>
      </c>
      <c r="R686" s="97" t="s">
        <v>2272</v>
      </c>
      <c r="S686" s="97" t="s">
        <v>2272</v>
      </c>
      <c r="T686" s="21" t="s">
        <v>2272</v>
      </c>
      <c r="U686" s="21" t="s">
        <v>2272</v>
      </c>
      <c r="V686" s="21" t="s">
        <v>2272</v>
      </c>
      <c r="W686" s="21" t="s">
        <v>2272</v>
      </c>
      <c r="X686" s="21" t="s">
        <v>2272</v>
      </c>
      <c r="Y686" s="3" t="s">
        <v>2272</v>
      </c>
      <c r="Z686" s="3" t="s">
        <v>2272</v>
      </c>
      <c r="AA686" s="3" t="s">
        <v>2272</v>
      </c>
      <c r="AB686" s="3"/>
      <c r="AC686" s="3"/>
    </row>
    <row r="687" spans="1:29"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2359</v>
      </c>
      <c r="K687" s="21" t="s">
        <v>2359</v>
      </c>
      <c r="L687" s="98" t="s">
        <v>2359</v>
      </c>
      <c r="M687" s="21" t="s">
        <v>2359</v>
      </c>
      <c r="N687" s="21" t="s">
        <v>2359</v>
      </c>
      <c r="O687" s="21" t="s">
        <v>2359</v>
      </c>
      <c r="P687" s="21" t="s">
        <v>2359</v>
      </c>
      <c r="Q687" s="21" t="s">
        <v>2359</v>
      </c>
      <c r="R687" s="97" t="s">
        <v>2272</v>
      </c>
      <c r="S687" s="97" t="s">
        <v>2272</v>
      </c>
      <c r="T687" s="21" t="s">
        <v>2359</v>
      </c>
      <c r="U687" s="21" t="s">
        <v>2359</v>
      </c>
      <c r="V687" s="21" t="s">
        <v>2359</v>
      </c>
      <c r="W687" s="21" t="s">
        <v>2359</v>
      </c>
      <c r="X687" s="21" t="s">
        <v>2272</v>
      </c>
      <c r="Y687" s="3" t="s">
        <v>2272</v>
      </c>
      <c r="Z687" s="3" t="s">
        <v>2272</v>
      </c>
      <c r="AA687" s="3" t="s">
        <v>2272</v>
      </c>
      <c r="AB687" s="4" t="s">
        <v>1722</v>
      </c>
      <c r="AC687" s="3"/>
    </row>
    <row r="688" spans="1:29"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2359</v>
      </c>
      <c r="K688" s="21" t="s">
        <v>2359</v>
      </c>
      <c r="L688" s="98" t="s">
        <v>2359</v>
      </c>
      <c r="M688" s="21" t="s">
        <v>2359</v>
      </c>
      <c r="N688" s="21" t="s">
        <v>2359</v>
      </c>
      <c r="O688" s="21" t="s">
        <v>2359</v>
      </c>
      <c r="P688" s="21" t="s">
        <v>2359</v>
      </c>
      <c r="Q688" s="21" t="s">
        <v>2359</v>
      </c>
      <c r="R688" s="97" t="s">
        <v>2272</v>
      </c>
      <c r="S688" s="97" t="s">
        <v>2272</v>
      </c>
      <c r="T688" s="21" t="s">
        <v>2359</v>
      </c>
      <c r="U688" s="21" t="s">
        <v>2359</v>
      </c>
      <c r="V688" s="21" t="s">
        <v>2359</v>
      </c>
      <c r="W688" s="21" t="s">
        <v>2359</v>
      </c>
      <c r="X688" s="21" t="s">
        <v>2272</v>
      </c>
      <c r="Y688" s="3" t="s">
        <v>2272</v>
      </c>
      <c r="Z688" s="3" t="s">
        <v>2272</v>
      </c>
      <c r="AA688" s="3" t="s">
        <v>2272</v>
      </c>
      <c r="AB688" s="4" t="s">
        <v>1722</v>
      </c>
      <c r="AC688" s="3"/>
    </row>
    <row r="689" spans="1:29"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2359</v>
      </c>
      <c r="K689" s="21" t="s">
        <v>2359</v>
      </c>
      <c r="L689" s="98" t="s">
        <v>2359</v>
      </c>
      <c r="M689" s="21" t="s">
        <v>2359</v>
      </c>
      <c r="N689" s="21" t="s">
        <v>2359</v>
      </c>
      <c r="O689" s="21" t="s">
        <v>2359</v>
      </c>
      <c r="P689" s="21" t="s">
        <v>2359</v>
      </c>
      <c r="Q689" s="21" t="s">
        <v>2359</v>
      </c>
      <c r="R689" s="97" t="s">
        <v>2272</v>
      </c>
      <c r="S689" s="97" t="s">
        <v>2272</v>
      </c>
      <c r="T689" s="21" t="s">
        <v>2359</v>
      </c>
      <c r="U689" s="21" t="s">
        <v>2359</v>
      </c>
      <c r="V689" s="21" t="s">
        <v>2359</v>
      </c>
      <c r="W689" s="21" t="s">
        <v>2359</v>
      </c>
      <c r="X689" s="21" t="s">
        <v>2272</v>
      </c>
      <c r="Y689" s="3" t="s">
        <v>2272</v>
      </c>
      <c r="Z689" s="3" t="s">
        <v>2272</v>
      </c>
      <c r="AA689" s="3" t="s">
        <v>2272</v>
      </c>
      <c r="AB689" s="4" t="s">
        <v>1722</v>
      </c>
      <c r="AC689" s="3"/>
    </row>
    <row r="690" spans="1:29"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2359</v>
      </c>
      <c r="K690" s="21" t="s">
        <v>2359</v>
      </c>
      <c r="L690" s="98" t="s">
        <v>2359</v>
      </c>
      <c r="M690" s="21" t="s">
        <v>2359</v>
      </c>
      <c r="N690" s="21" t="s">
        <v>2359</v>
      </c>
      <c r="O690" s="21" t="s">
        <v>2359</v>
      </c>
      <c r="P690" s="21" t="s">
        <v>2359</v>
      </c>
      <c r="Q690" s="21" t="s">
        <v>2359</v>
      </c>
      <c r="R690" s="97" t="s">
        <v>2272</v>
      </c>
      <c r="S690" s="97" t="s">
        <v>2272</v>
      </c>
      <c r="T690" s="21" t="s">
        <v>2359</v>
      </c>
      <c r="U690" s="21" t="s">
        <v>2359</v>
      </c>
      <c r="V690" s="21" t="s">
        <v>2359</v>
      </c>
      <c r="W690" s="21" t="s">
        <v>2359</v>
      </c>
      <c r="X690" s="21" t="s">
        <v>2272</v>
      </c>
      <c r="Y690" s="3" t="s">
        <v>2272</v>
      </c>
      <c r="Z690" s="3" t="s">
        <v>2272</v>
      </c>
      <c r="AA690" s="3" t="s">
        <v>2272</v>
      </c>
      <c r="AB690" s="4" t="s">
        <v>1722</v>
      </c>
      <c r="AC690" s="3"/>
    </row>
    <row r="691" spans="1:29"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2359</v>
      </c>
      <c r="K691" s="21" t="s">
        <v>2359</v>
      </c>
      <c r="L691" s="98" t="s">
        <v>2359</v>
      </c>
      <c r="M691" s="21" t="s">
        <v>2359</v>
      </c>
      <c r="N691" s="21" t="s">
        <v>2359</v>
      </c>
      <c r="O691" s="21" t="s">
        <v>2359</v>
      </c>
      <c r="P691" s="21" t="s">
        <v>2359</v>
      </c>
      <c r="Q691" s="21" t="s">
        <v>2359</v>
      </c>
      <c r="R691" s="97" t="s">
        <v>2272</v>
      </c>
      <c r="S691" s="97" t="s">
        <v>2272</v>
      </c>
      <c r="T691" s="21" t="s">
        <v>2359</v>
      </c>
      <c r="U691" s="21" t="s">
        <v>2359</v>
      </c>
      <c r="V691" s="21" t="s">
        <v>2359</v>
      </c>
      <c r="W691" s="21" t="s">
        <v>2359</v>
      </c>
      <c r="X691" s="21" t="s">
        <v>2272</v>
      </c>
      <c r="Y691" s="3" t="s">
        <v>2272</v>
      </c>
      <c r="Z691" s="3" t="s">
        <v>2272</v>
      </c>
      <c r="AA691" s="3" t="s">
        <v>2272</v>
      </c>
      <c r="AB691" s="4" t="s">
        <v>1722</v>
      </c>
      <c r="AC691" s="3"/>
    </row>
    <row r="692" spans="1:29"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2359</v>
      </c>
      <c r="K692" s="21" t="s">
        <v>2359</v>
      </c>
      <c r="L692" s="98" t="s">
        <v>2359</v>
      </c>
      <c r="M692" s="21" t="s">
        <v>2359</v>
      </c>
      <c r="N692" s="21" t="s">
        <v>2359</v>
      </c>
      <c r="O692" s="21" t="s">
        <v>2359</v>
      </c>
      <c r="P692" s="21" t="s">
        <v>2359</v>
      </c>
      <c r="Q692" s="21" t="s">
        <v>2359</v>
      </c>
      <c r="R692" s="97" t="s">
        <v>2272</v>
      </c>
      <c r="S692" s="97" t="s">
        <v>2272</v>
      </c>
      <c r="T692" s="21" t="s">
        <v>2359</v>
      </c>
      <c r="U692" s="21" t="s">
        <v>2359</v>
      </c>
      <c r="V692" s="21" t="s">
        <v>2359</v>
      </c>
      <c r="W692" s="21" t="s">
        <v>2359</v>
      </c>
      <c r="X692" s="21" t="s">
        <v>2272</v>
      </c>
      <c r="Y692" s="3" t="s">
        <v>2272</v>
      </c>
      <c r="Z692" s="3" t="s">
        <v>2272</v>
      </c>
      <c r="AA692" s="3" t="s">
        <v>2272</v>
      </c>
      <c r="AB692" s="4" t="s">
        <v>1722</v>
      </c>
      <c r="AC692" s="3"/>
    </row>
    <row r="693" spans="1:29"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2359</v>
      </c>
      <c r="K693" s="21" t="s">
        <v>2359</v>
      </c>
      <c r="L693" s="98" t="s">
        <v>2359</v>
      </c>
      <c r="M693" s="21" t="s">
        <v>2359</v>
      </c>
      <c r="N693" s="21" t="s">
        <v>2359</v>
      </c>
      <c r="O693" s="21" t="s">
        <v>2359</v>
      </c>
      <c r="P693" s="21" t="s">
        <v>2359</v>
      </c>
      <c r="Q693" s="21" t="s">
        <v>2359</v>
      </c>
      <c r="R693" s="97" t="s">
        <v>2272</v>
      </c>
      <c r="S693" s="97" t="s">
        <v>2272</v>
      </c>
      <c r="T693" s="21" t="s">
        <v>2359</v>
      </c>
      <c r="U693" s="21" t="s">
        <v>2359</v>
      </c>
      <c r="V693" s="21" t="s">
        <v>2359</v>
      </c>
      <c r="W693" s="21" t="s">
        <v>2359</v>
      </c>
      <c r="X693" s="21" t="s">
        <v>2272</v>
      </c>
      <c r="Y693" s="3" t="s">
        <v>2272</v>
      </c>
      <c r="Z693" s="3" t="s">
        <v>2272</v>
      </c>
      <c r="AA693" s="3" t="s">
        <v>2272</v>
      </c>
      <c r="AB693" s="4" t="s">
        <v>1722</v>
      </c>
      <c r="AC693" s="3"/>
    </row>
    <row r="694" spans="1:29"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2359</v>
      </c>
      <c r="K694" s="21" t="s">
        <v>2359</v>
      </c>
      <c r="L694" s="98" t="s">
        <v>2359</v>
      </c>
      <c r="M694" s="21" t="s">
        <v>2359</v>
      </c>
      <c r="N694" s="21" t="s">
        <v>2359</v>
      </c>
      <c r="O694" s="21" t="s">
        <v>2359</v>
      </c>
      <c r="P694" s="21" t="s">
        <v>2359</v>
      </c>
      <c r="Q694" s="21" t="s">
        <v>2359</v>
      </c>
      <c r="R694" s="97" t="s">
        <v>2272</v>
      </c>
      <c r="S694" s="97" t="s">
        <v>2272</v>
      </c>
      <c r="T694" s="21" t="s">
        <v>2359</v>
      </c>
      <c r="U694" s="21" t="s">
        <v>2359</v>
      </c>
      <c r="V694" s="21" t="s">
        <v>2359</v>
      </c>
      <c r="W694" s="21" t="s">
        <v>2359</v>
      </c>
      <c r="X694" s="21" t="s">
        <v>2272</v>
      </c>
      <c r="Y694" s="3" t="s">
        <v>2272</v>
      </c>
      <c r="Z694" s="3" t="s">
        <v>2272</v>
      </c>
      <c r="AA694" s="3" t="s">
        <v>2272</v>
      </c>
      <c r="AB694" s="4" t="s">
        <v>1722</v>
      </c>
      <c r="AC694" s="3"/>
    </row>
    <row r="695" spans="1:29"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2359</v>
      </c>
      <c r="K695" s="21" t="s">
        <v>2359</v>
      </c>
      <c r="L695" s="98" t="s">
        <v>2359</v>
      </c>
      <c r="M695" s="21" t="s">
        <v>2359</v>
      </c>
      <c r="N695" s="21" t="s">
        <v>2359</v>
      </c>
      <c r="O695" s="21" t="s">
        <v>2359</v>
      </c>
      <c r="P695" s="21" t="s">
        <v>2359</v>
      </c>
      <c r="Q695" s="21" t="s">
        <v>2359</v>
      </c>
      <c r="R695" s="97" t="s">
        <v>2272</v>
      </c>
      <c r="S695" s="97" t="s">
        <v>2272</v>
      </c>
      <c r="T695" s="21" t="s">
        <v>2359</v>
      </c>
      <c r="U695" s="21" t="s">
        <v>2359</v>
      </c>
      <c r="V695" s="21" t="s">
        <v>2359</v>
      </c>
      <c r="W695" s="21" t="s">
        <v>2359</v>
      </c>
      <c r="X695" s="21" t="s">
        <v>2272</v>
      </c>
      <c r="Y695" s="3" t="s">
        <v>2272</v>
      </c>
      <c r="Z695" s="3" t="s">
        <v>2272</v>
      </c>
      <c r="AA695" s="3" t="s">
        <v>2272</v>
      </c>
      <c r="AB695" s="4" t="s">
        <v>1722</v>
      </c>
      <c r="AC695" s="3"/>
    </row>
    <row r="696" spans="1:29"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2359</v>
      </c>
      <c r="K696" s="21" t="s">
        <v>2359</v>
      </c>
      <c r="L696" s="98" t="s">
        <v>2359</v>
      </c>
      <c r="M696" s="21" t="s">
        <v>2359</v>
      </c>
      <c r="N696" s="21" t="s">
        <v>2359</v>
      </c>
      <c r="O696" s="21" t="s">
        <v>2359</v>
      </c>
      <c r="P696" s="21" t="s">
        <v>2359</v>
      </c>
      <c r="Q696" s="21" t="s">
        <v>2359</v>
      </c>
      <c r="R696" s="97" t="s">
        <v>2272</v>
      </c>
      <c r="S696" s="97" t="s">
        <v>2272</v>
      </c>
      <c r="T696" s="21" t="s">
        <v>2359</v>
      </c>
      <c r="U696" s="21" t="s">
        <v>2359</v>
      </c>
      <c r="V696" s="21" t="s">
        <v>2359</v>
      </c>
      <c r="W696" s="21" t="s">
        <v>2359</v>
      </c>
      <c r="X696" s="21" t="s">
        <v>2272</v>
      </c>
      <c r="Y696" s="3" t="s">
        <v>2272</v>
      </c>
      <c r="Z696" s="3" t="s">
        <v>2272</v>
      </c>
      <c r="AA696" s="3" t="s">
        <v>2272</v>
      </c>
      <c r="AB696" s="4" t="s">
        <v>1722</v>
      </c>
      <c r="AC696" s="3"/>
    </row>
    <row r="697" spans="1:29"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2359</v>
      </c>
      <c r="K697" s="21" t="s">
        <v>2359</v>
      </c>
      <c r="L697" s="98" t="s">
        <v>2359</v>
      </c>
      <c r="M697" s="21" t="s">
        <v>2359</v>
      </c>
      <c r="N697" s="21" t="s">
        <v>2359</v>
      </c>
      <c r="O697" s="21" t="s">
        <v>2359</v>
      </c>
      <c r="P697" s="21" t="s">
        <v>2359</v>
      </c>
      <c r="Q697" s="21" t="s">
        <v>2359</v>
      </c>
      <c r="R697" s="97" t="s">
        <v>2272</v>
      </c>
      <c r="S697" s="97" t="s">
        <v>2272</v>
      </c>
      <c r="T697" s="21" t="s">
        <v>2359</v>
      </c>
      <c r="U697" s="21" t="s">
        <v>2359</v>
      </c>
      <c r="V697" s="21" t="s">
        <v>2359</v>
      </c>
      <c r="W697" s="21" t="s">
        <v>2359</v>
      </c>
      <c r="X697" s="21" t="s">
        <v>2272</v>
      </c>
      <c r="Y697" s="3" t="s">
        <v>2272</v>
      </c>
      <c r="Z697" s="3" t="s">
        <v>2272</v>
      </c>
      <c r="AA697" s="3" t="s">
        <v>2272</v>
      </c>
      <c r="AB697" s="4" t="s">
        <v>1722</v>
      </c>
      <c r="AC697" s="3"/>
    </row>
    <row r="698" spans="1:29"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2359</v>
      </c>
      <c r="K698" s="21" t="s">
        <v>2359</v>
      </c>
      <c r="L698" s="98" t="s">
        <v>2359</v>
      </c>
      <c r="M698" s="21" t="s">
        <v>2359</v>
      </c>
      <c r="N698" s="21" t="s">
        <v>2359</v>
      </c>
      <c r="O698" s="21" t="s">
        <v>2359</v>
      </c>
      <c r="P698" s="21" t="s">
        <v>2359</v>
      </c>
      <c r="Q698" s="21" t="s">
        <v>2359</v>
      </c>
      <c r="R698" s="97" t="s">
        <v>2272</v>
      </c>
      <c r="S698" s="97" t="s">
        <v>2272</v>
      </c>
      <c r="T698" s="21" t="s">
        <v>2359</v>
      </c>
      <c r="U698" s="21" t="s">
        <v>2359</v>
      </c>
      <c r="V698" s="21" t="s">
        <v>2359</v>
      </c>
      <c r="W698" s="21" t="s">
        <v>2359</v>
      </c>
      <c r="X698" s="21" t="s">
        <v>2272</v>
      </c>
      <c r="Y698" s="3" t="s">
        <v>2272</v>
      </c>
      <c r="Z698" s="3" t="s">
        <v>2272</v>
      </c>
      <c r="AA698" s="3" t="s">
        <v>2272</v>
      </c>
      <c r="AB698" s="4" t="s">
        <v>1722</v>
      </c>
      <c r="AC698" s="3"/>
    </row>
    <row r="699" spans="1:29"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2359</v>
      </c>
      <c r="K699" s="21" t="s">
        <v>2359</v>
      </c>
      <c r="L699" s="98" t="s">
        <v>2359</v>
      </c>
      <c r="M699" s="21" t="s">
        <v>2359</v>
      </c>
      <c r="N699" s="21" t="s">
        <v>2359</v>
      </c>
      <c r="O699" s="21" t="s">
        <v>2359</v>
      </c>
      <c r="P699" s="21" t="s">
        <v>2359</v>
      </c>
      <c r="Q699" s="21" t="s">
        <v>2359</v>
      </c>
      <c r="R699" s="97" t="s">
        <v>2272</v>
      </c>
      <c r="S699" s="97" t="s">
        <v>2272</v>
      </c>
      <c r="T699" s="21" t="s">
        <v>2359</v>
      </c>
      <c r="U699" s="21" t="s">
        <v>2359</v>
      </c>
      <c r="V699" s="21" t="s">
        <v>2359</v>
      </c>
      <c r="W699" s="21" t="s">
        <v>2359</v>
      </c>
      <c r="X699" s="21" t="s">
        <v>2272</v>
      </c>
      <c r="Y699" s="3" t="s">
        <v>2272</v>
      </c>
      <c r="Z699" s="3" t="s">
        <v>2272</v>
      </c>
      <c r="AA699" s="3" t="s">
        <v>2272</v>
      </c>
      <c r="AB699" s="4" t="s">
        <v>1722</v>
      </c>
      <c r="AC699" s="3"/>
    </row>
    <row r="700" spans="1:29"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2359</v>
      </c>
      <c r="K700" s="21" t="s">
        <v>2359</v>
      </c>
      <c r="L700" s="98" t="s">
        <v>2359</v>
      </c>
      <c r="M700" s="21" t="s">
        <v>2359</v>
      </c>
      <c r="N700" s="21" t="s">
        <v>2359</v>
      </c>
      <c r="O700" s="21" t="s">
        <v>2359</v>
      </c>
      <c r="P700" s="21" t="s">
        <v>2359</v>
      </c>
      <c r="Q700" s="21" t="s">
        <v>2359</v>
      </c>
      <c r="R700" s="97" t="s">
        <v>2272</v>
      </c>
      <c r="S700" s="97" t="s">
        <v>2272</v>
      </c>
      <c r="T700" s="21" t="s">
        <v>2359</v>
      </c>
      <c r="U700" s="21" t="s">
        <v>2359</v>
      </c>
      <c r="V700" s="21" t="s">
        <v>2359</v>
      </c>
      <c r="W700" s="21" t="s">
        <v>2359</v>
      </c>
      <c r="X700" s="21" t="s">
        <v>2272</v>
      </c>
      <c r="Y700" s="3" t="s">
        <v>2272</v>
      </c>
      <c r="Z700" s="3" t="s">
        <v>2272</v>
      </c>
      <c r="AA700" s="3" t="s">
        <v>2272</v>
      </c>
      <c r="AB700" s="4" t="s">
        <v>1722</v>
      </c>
      <c r="AC700" s="3"/>
    </row>
    <row r="701" spans="1:29"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2359</v>
      </c>
      <c r="K701" s="21" t="s">
        <v>2359</v>
      </c>
      <c r="L701" s="98" t="s">
        <v>2359</v>
      </c>
      <c r="M701" s="21" t="s">
        <v>2359</v>
      </c>
      <c r="N701" s="21" t="s">
        <v>2359</v>
      </c>
      <c r="O701" s="21" t="s">
        <v>2359</v>
      </c>
      <c r="P701" s="21" t="s">
        <v>2359</v>
      </c>
      <c r="Q701" s="21" t="s">
        <v>2359</v>
      </c>
      <c r="R701" s="97" t="s">
        <v>2272</v>
      </c>
      <c r="S701" s="97" t="s">
        <v>2272</v>
      </c>
      <c r="T701" s="21" t="s">
        <v>2359</v>
      </c>
      <c r="U701" s="21" t="s">
        <v>2359</v>
      </c>
      <c r="V701" s="21" t="s">
        <v>2359</v>
      </c>
      <c r="W701" s="21" t="s">
        <v>2359</v>
      </c>
      <c r="X701" s="21" t="s">
        <v>2272</v>
      </c>
      <c r="Y701" s="3" t="s">
        <v>2272</v>
      </c>
      <c r="Z701" s="3" t="s">
        <v>2272</v>
      </c>
      <c r="AA701" s="3" t="s">
        <v>2272</v>
      </c>
      <c r="AB701" s="4" t="s">
        <v>1722</v>
      </c>
      <c r="AC701" s="3"/>
    </row>
    <row r="702" spans="1:29"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2359</v>
      </c>
      <c r="K702" s="21" t="s">
        <v>2359</v>
      </c>
      <c r="L702" s="98" t="s">
        <v>2359</v>
      </c>
      <c r="M702" s="21" t="s">
        <v>2359</v>
      </c>
      <c r="N702" s="21" t="s">
        <v>2359</v>
      </c>
      <c r="O702" s="21" t="s">
        <v>2359</v>
      </c>
      <c r="P702" s="21" t="s">
        <v>2359</v>
      </c>
      <c r="Q702" s="21" t="s">
        <v>2359</v>
      </c>
      <c r="R702" s="97" t="s">
        <v>2272</v>
      </c>
      <c r="S702" s="97" t="s">
        <v>2272</v>
      </c>
      <c r="T702" s="21" t="s">
        <v>2359</v>
      </c>
      <c r="U702" s="21" t="s">
        <v>2359</v>
      </c>
      <c r="V702" s="21" t="s">
        <v>2359</v>
      </c>
      <c r="W702" s="21" t="s">
        <v>2359</v>
      </c>
      <c r="X702" s="21" t="s">
        <v>2272</v>
      </c>
      <c r="Y702" s="3" t="s">
        <v>2272</v>
      </c>
      <c r="Z702" s="3" t="s">
        <v>2272</v>
      </c>
      <c r="AA702" s="3" t="s">
        <v>2272</v>
      </c>
      <c r="AB702" s="4" t="s">
        <v>1722</v>
      </c>
      <c r="AC702" s="3"/>
    </row>
    <row r="703" spans="1:29"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2359</v>
      </c>
      <c r="K703" s="21" t="s">
        <v>2359</v>
      </c>
      <c r="L703" s="98" t="s">
        <v>2359</v>
      </c>
      <c r="M703" s="21" t="s">
        <v>2359</v>
      </c>
      <c r="N703" s="21" t="s">
        <v>2359</v>
      </c>
      <c r="O703" s="21" t="s">
        <v>2359</v>
      </c>
      <c r="P703" s="21" t="s">
        <v>2359</v>
      </c>
      <c r="Q703" s="21" t="s">
        <v>2359</v>
      </c>
      <c r="R703" s="97" t="s">
        <v>2272</v>
      </c>
      <c r="S703" s="97" t="s">
        <v>2272</v>
      </c>
      <c r="T703" s="21" t="s">
        <v>2359</v>
      </c>
      <c r="U703" s="21" t="s">
        <v>2359</v>
      </c>
      <c r="V703" s="21" t="s">
        <v>2359</v>
      </c>
      <c r="W703" s="21" t="s">
        <v>2359</v>
      </c>
      <c r="X703" s="21" t="s">
        <v>2272</v>
      </c>
      <c r="Y703" s="3" t="s">
        <v>2272</v>
      </c>
      <c r="Z703" s="3" t="s">
        <v>2272</v>
      </c>
      <c r="AA703" s="3" t="s">
        <v>2272</v>
      </c>
      <c r="AB703" s="4" t="s">
        <v>1722</v>
      </c>
      <c r="AC703" s="3"/>
    </row>
    <row r="704" spans="1:29"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2359</v>
      </c>
      <c r="K704" s="21" t="s">
        <v>2359</v>
      </c>
      <c r="L704" s="98" t="s">
        <v>2359</v>
      </c>
      <c r="M704" s="21" t="s">
        <v>2359</v>
      </c>
      <c r="N704" s="21" t="s">
        <v>2359</v>
      </c>
      <c r="O704" s="21" t="s">
        <v>2359</v>
      </c>
      <c r="P704" s="21" t="s">
        <v>2359</v>
      </c>
      <c r="Q704" s="21" t="s">
        <v>2359</v>
      </c>
      <c r="R704" s="97" t="s">
        <v>2272</v>
      </c>
      <c r="S704" s="97" t="s">
        <v>2272</v>
      </c>
      <c r="T704" s="21" t="s">
        <v>2359</v>
      </c>
      <c r="U704" s="21" t="s">
        <v>2359</v>
      </c>
      <c r="V704" s="21" t="s">
        <v>2359</v>
      </c>
      <c r="W704" s="21" t="s">
        <v>2359</v>
      </c>
      <c r="X704" s="21" t="s">
        <v>2272</v>
      </c>
      <c r="Y704" s="3" t="s">
        <v>2272</v>
      </c>
      <c r="Z704" s="3" t="s">
        <v>2272</v>
      </c>
      <c r="AA704" s="3" t="s">
        <v>2272</v>
      </c>
      <c r="AB704" s="4" t="s">
        <v>1722</v>
      </c>
      <c r="AC704" s="3"/>
    </row>
    <row r="705" spans="1:29"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2359</v>
      </c>
      <c r="K705" s="21" t="s">
        <v>2359</v>
      </c>
      <c r="L705" s="98" t="s">
        <v>2359</v>
      </c>
      <c r="M705" s="21" t="s">
        <v>2359</v>
      </c>
      <c r="N705" s="21" t="s">
        <v>2359</v>
      </c>
      <c r="O705" s="21" t="s">
        <v>2359</v>
      </c>
      <c r="P705" s="21" t="s">
        <v>2359</v>
      </c>
      <c r="Q705" s="21" t="s">
        <v>2359</v>
      </c>
      <c r="R705" s="97" t="s">
        <v>2272</v>
      </c>
      <c r="S705" s="97" t="s">
        <v>2272</v>
      </c>
      <c r="T705" s="21" t="s">
        <v>2359</v>
      </c>
      <c r="U705" s="21" t="s">
        <v>2359</v>
      </c>
      <c r="V705" s="21" t="s">
        <v>2359</v>
      </c>
      <c r="W705" s="21" t="s">
        <v>2359</v>
      </c>
      <c r="X705" s="21" t="s">
        <v>2272</v>
      </c>
      <c r="Y705" s="3" t="s">
        <v>2272</v>
      </c>
      <c r="Z705" s="3" t="s">
        <v>2272</v>
      </c>
      <c r="AA705" s="3" t="s">
        <v>2272</v>
      </c>
      <c r="AB705" s="4" t="s">
        <v>1722</v>
      </c>
      <c r="AC705" s="3"/>
    </row>
    <row r="706" spans="1:29"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2359</v>
      </c>
      <c r="K706" s="21" t="s">
        <v>2359</v>
      </c>
      <c r="L706" s="98" t="s">
        <v>2359</v>
      </c>
      <c r="M706" s="21" t="s">
        <v>2359</v>
      </c>
      <c r="N706" s="21" t="s">
        <v>2359</v>
      </c>
      <c r="O706" s="21" t="s">
        <v>2359</v>
      </c>
      <c r="P706" s="21" t="s">
        <v>2359</v>
      </c>
      <c r="Q706" s="21" t="s">
        <v>2359</v>
      </c>
      <c r="R706" s="97" t="s">
        <v>2272</v>
      </c>
      <c r="S706" s="97" t="s">
        <v>2272</v>
      </c>
      <c r="T706" s="21" t="s">
        <v>2359</v>
      </c>
      <c r="U706" s="21" t="s">
        <v>2359</v>
      </c>
      <c r="V706" s="21" t="s">
        <v>2359</v>
      </c>
      <c r="W706" s="21" t="s">
        <v>2359</v>
      </c>
      <c r="X706" s="21" t="s">
        <v>2272</v>
      </c>
      <c r="Y706" s="3" t="s">
        <v>2272</v>
      </c>
      <c r="Z706" s="3" t="s">
        <v>2272</v>
      </c>
      <c r="AA706" s="3" t="s">
        <v>2272</v>
      </c>
      <c r="AB706" s="4" t="s">
        <v>1722</v>
      </c>
      <c r="AC706" s="3"/>
    </row>
    <row r="707" spans="1:29"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2359</v>
      </c>
      <c r="K707" s="21" t="s">
        <v>2359</v>
      </c>
      <c r="L707" s="98" t="s">
        <v>2359</v>
      </c>
      <c r="M707" s="21" t="s">
        <v>2359</v>
      </c>
      <c r="N707" s="21" t="s">
        <v>2359</v>
      </c>
      <c r="O707" s="21" t="s">
        <v>2359</v>
      </c>
      <c r="P707" s="21" t="s">
        <v>2359</v>
      </c>
      <c r="Q707" s="21" t="s">
        <v>2359</v>
      </c>
      <c r="R707" s="97" t="s">
        <v>2272</v>
      </c>
      <c r="S707" s="97" t="s">
        <v>2272</v>
      </c>
      <c r="T707" s="21" t="s">
        <v>2359</v>
      </c>
      <c r="U707" s="21" t="s">
        <v>2359</v>
      </c>
      <c r="V707" s="21" t="s">
        <v>2359</v>
      </c>
      <c r="W707" s="21" t="s">
        <v>2359</v>
      </c>
      <c r="X707" s="21" t="s">
        <v>2272</v>
      </c>
      <c r="Y707" s="3" t="s">
        <v>2272</v>
      </c>
      <c r="Z707" s="3" t="s">
        <v>2272</v>
      </c>
      <c r="AA707" s="3" t="s">
        <v>2272</v>
      </c>
      <c r="AB707" s="4" t="s">
        <v>1722</v>
      </c>
      <c r="AC707" s="3"/>
    </row>
    <row r="708" spans="1:29"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2359</v>
      </c>
      <c r="K708" s="21" t="s">
        <v>2359</v>
      </c>
      <c r="L708" s="98" t="s">
        <v>2359</v>
      </c>
      <c r="M708" s="21" t="s">
        <v>2359</v>
      </c>
      <c r="N708" s="21" t="s">
        <v>2359</v>
      </c>
      <c r="O708" s="21" t="s">
        <v>2359</v>
      </c>
      <c r="P708" s="21" t="s">
        <v>2359</v>
      </c>
      <c r="Q708" s="21" t="s">
        <v>2359</v>
      </c>
      <c r="R708" s="97" t="s">
        <v>2272</v>
      </c>
      <c r="S708" s="97" t="s">
        <v>2272</v>
      </c>
      <c r="T708" s="21" t="s">
        <v>2359</v>
      </c>
      <c r="U708" s="21" t="s">
        <v>2359</v>
      </c>
      <c r="V708" s="21" t="s">
        <v>2359</v>
      </c>
      <c r="W708" s="21" t="s">
        <v>2359</v>
      </c>
      <c r="X708" s="21" t="s">
        <v>2272</v>
      </c>
      <c r="Y708" s="3" t="s">
        <v>2272</v>
      </c>
      <c r="Z708" s="3" t="s">
        <v>2272</v>
      </c>
      <c r="AA708" s="3" t="s">
        <v>2272</v>
      </c>
      <c r="AB708" s="4" t="s">
        <v>1722</v>
      </c>
      <c r="AC708" s="3"/>
    </row>
    <row r="709" spans="1:29"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2359</v>
      </c>
      <c r="K709" s="21" t="s">
        <v>2359</v>
      </c>
      <c r="L709" s="98" t="s">
        <v>2359</v>
      </c>
      <c r="M709" s="21" t="s">
        <v>2359</v>
      </c>
      <c r="N709" s="21" t="s">
        <v>2359</v>
      </c>
      <c r="O709" s="21" t="s">
        <v>2359</v>
      </c>
      <c r="P709" s="21" t="s">
        <v>2359</v>
      </c>
      <c r="Q709" s="21" t="s">
        <v>2359</v>
      </c>
      <c r="R709" s="97" t="s">
        <v>2272</v>
      </c>
      <c r="S709" s="97" t="s">
        <v>2272</v>
      </c>
      <c r="T709" s="21" t="s">
        <v>2359</v>
      </c>
      <c r="U709" s="21" t="s">
        <v>2359</v>
      </c>
      <c r="V709" s="21" t="s">
        <v>2359</v>
      </c>
      <c r="W709" s="21" t="s">
        <v>2359</v>
      </c>
      <c r="X709" s="21" t="s">
        <v>2272</v>
      </c>
      <c r="Y709" s="3" t="s">
        <v>2272</v>
      </c>
      <c r="Z709" s="3" t="s">
        <v>2272</v>
      </c>
      <c r="AA709" s="3" t="s">
        <v>2272</v>
      </c>
      <c r="AB709" s="4" t="s">
        <v>1722</v>
      </c>
      <c r="AC709" s="3"/>
    </row>
    <row r="710" spans="1:29"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2359</v>
      </c>
      <c r="K710" s="21" t="s">
        <v>2359</v>
      </c>
      <c r="L710" s="98" t="s">
        <v>2359</v>
      </c>
      <c r="M710" s="21" t="s">
        <v>2359</v>
      </c>
      <c r="N710" s="21" t="s">
        <v>2359</v>
      </c>
      <c r="O710" s="21" t="s">
        <v>2359</v>
      </c>
      <c r="P710" s="21" t="s">
        <v>2359</v>
      </c>
      <c r="Q710" s="21" t="s">
        <v>2359</v>
      </c>
      <c r="R710" s="97" t="s">
        <v>2272</v>
      </c>
      <c r="S710" s="97" t="s">
        <v>2272</v>
      </c>
      <c r="T710" s="21" t="s">
        <v>2359</v>
      </c>
      <c r="U710" s="21" t="s">
        <v>2359</v>
      </c>
      <c r="V710" s="21" t="s">
        <v>2359</v>
      </c>
      <c r="W710" s="21" t="s">
        <v>2359</v>
      </c>
      <c r="X710" s="21" t="s">
        <v>2272</v>
      </c>
      <c r="Y710" s="3" t="s">
        <v>2272</v>
      </c>
      <c r="Z710" s="3" t="s">
        <v>2272</v>
      </c>
      <c r="AA710" s="3" t="s">
        <v>2272</v>
      </c>
      <c r="AB710" s="4" t="s">
        <v>1722</v>
      </c>
      <c r="AC710" s="3"/>
    </row>
    <row r="711" spans="1:29"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2359</v>
      </c>
      <c r="K711" s="21" t="s">
        <v>2359</v>
      </c>
      <c r="L711" s="98" t="s">
        <v>2359</v>
      </c>
      <c r="M711" s="21" t="s">
        <v>2359</v>
      </c>
      <c r="N711" s="21" t="s">
        <v>2359</v>
      </c>
      <c r="O711" s="21" t="s">
        <v>2359</v>
      </c>
      <c r="P711" s="21" t="s">
        <v>2359</v>
      </c>
      <c r="Q711" s="21" t="s">
        <v>2359</v>
      </c>
      <c r="R711" s="97" t="s">
        <v>2272</v>
      </c>
      <c r="S711" s="97" t="s">
        <v>2272</v>
      </c>
      <c r="T711" s="21" t="s">
        <v>2359</v>
      </c>
      <c r="U711" s="21" t="s">
        <v>2359</v>
      </c>
      <c r="V711" s="21" t="s">
        <v>2359</v>
      </c>
      <c r="W711" s="21" t="s">
        <v>2359</v>
      </c>
      <c r="X711" s="21" t="s">
        <v>2272</v>
      </c>
      <c r="Y711" s="3" t="s">
        <v>2272</v>
      </c>
      <c r="Z711" s="3" t="s">
        <v>2272</v>
      </c>
      <c r="AA711" s="3" t="s">
        <v>2272</v>
      </c>
      <c r="AB711" s="4" t="s">
        <v>1722</v>
      </c>
      <c r="AC711" s="3"/>
    </row>
    <row r="712" spans="1:29"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2359</v>
      </c>
      <c r="K712" s="21" t="s">
        <v>2359</v>
      </c>
      <c r="L712" s="98" t="s">
        <v>2359</v>
      </c>
      <c r="M712" s="21" t="s">
        <v>2359</v>
      </c>
      <c r="N712" s="21" t="s">
        <v>2359</v>
      </c>
      <c r="O712" s="21" t="s">
        <v>2359</v>
      </c>
      <c r="P712" s="21" t="s">
        <v>2359</v>
      </c>
      <c r="Q712" s="21" t="s">
        <v>2359</v>
      </c>
      <c r="R712" s="97" t="s">
        <v>2272</v>
      </c>
      <c r="S712" s="97" t="s">
        <v>2272</v>
      </c>
      <c r="T712" s="21" t="s">
        <v>2359</v>
      </c>
      <c r="U712" s="21" t="s">
        <v>2359</v>
      </c>
      <c r="V712" s="21" t="s">
        <v>2359</v>
      </c>
      <c r="W712" s="21" t="s">
        <v>2359</v>
      </c>
      <c r="X712" s="21" t="s">
        <v>2272</v>
      </c>
      <c r="Y712" s="3" t="s">
        <v>2272</v>
      </c>
      <c r="Z712" s="3" t="s">
        <v>2272</v>
      </c>
      <c r="AA712" s="3" t="s">
        <v>2272</v>
      </c>
      <c r="AB712" s="4" t="s">
        <v>1722</v>
      </c>
      <c r="AC712" s="3"/>
    </row>
    <row r="713" spans="1:29"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2359</v>
      </c>
      <c r="K713" s="21" t="s">
        <v>2359</v>
      </c>
      <c r="L713" s="98" t="s">
        <v>2359</v>
      </c>
      <c r="M713" s="21" t="s">
        <v>2359</v>
      </c>
      <c r="N713" s="21" t="s">
        <v>2359</v>
      </c>
      <c r="O713" s="21" t="s">
        <v>2359</v>
      </c>
      <c r="P713" s="21" t="s">
        <v>2359</v>
      </c>
      <c r="Q713" s="21" t="s">
        <v>2359</v>
      </c>
      <c r="R713" s="97" t="s">
        <v>2272</v>
      </c>
      <c r="S713" s="97" t="s">
        <v>2272</v>
      </c>
      <c r="T713" s="21" t="s">
        <v>2359</v>
      </c>
      <c r="U713" s="21" t="s">
        <v>2359</v>
      </c>
      <c r="V713" s="21" t="s">
        <v>2359</v>
      </c>
      <c r="W713" s="21" t="s">
        <v>2359</v>
      </c>
      <c r="X713" s="21" t="s">
        <v>2272</v>
      </c>
      <c r="Y713" s="3" t="s">
        <v>2272</v>
      </c>
      <c r="Z713" s="3" t="s">
        <v>2272</v>
      </c>
      <c r="AA713" s="3" t="s">
        <v>2272</v>
      </c>
      <c r="AB713" s="4" t="s">
        <v>1722</v>
      </c>
      <c r="AC713" s="3"/>
    </row>
    <row r="714" spans="1:29"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2359</v>
      </c>
      <c r="K714" s="21" t="s">
        <v>2359</v>
      </c>
      <c r="L714" s="98" t="s">
        <v>2359</v>
      </c>
      <c r="M714" s="21" t="s">
        <v>2359</v>
      </c>
      <c r="N714" s="21" t="s">
        <v>2359</v>
      </c>
      <c r="O714" s="21" t="s">
        <v>2359</v>
      </c>
      <c r="P714" s="21" t="s">
        <v>2359</v>
      </c>
      <c r="Q714" s="21" t="s">
        <v>2359</v>
      </c>
      <c r="R714" s="97" t="s">
        <v>2272</v>
      </c>
      <c r="S714" s="97" t="s">
        <v>2272</v>
      </c>
      <c r="T714" s="21" t="s">
        <v>2359</v>
      </c>
      <c r="U714" s="21" t="s">
        <v>2359</v>
      </c>
      <c r="V714" s="21" t="s">
        <v>2359</v>
      </c>
      <c r="W714" s="21" t="s">
        <v>2359</v>
      </c>
      <c r="X714" s="21" t="s">
        <v>2272</v>
      </c>
      <c r="Y714" s="3" t="s">
        <v>2272</v>
      </c>
      <c r="Z714" s="3" t="s">
        <v>2272</v>
      </c>
      <c r="AA714" s="3" t="s">
        <v>2272</v>
      </c>
      <c r="AB714" s="4" t="s">
        <v>1722</v>
      </c>
      <c r="AC714" s="3"/>
    </row>
    <row r="715" spans="1:29"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2359</v>
      </c>
      <c r="K715" s="21" t="s">
        <v>2359</v>
      </c>
      <c r="L715" s="98" t="s">
        <v>2359</v>
      </c>
      <c r="M715" s="21" t="s">
        <v>2359</v>
      </c>
      <c r="N715" s="21" t="s">
        <v>2359</v>
      </c>
      <c r="O715" s="21" t="s">
        <v>2359</v>
      </c>
      <c r="P715" s="21" t="s">
        <v>2359</v>
      </c>
      <c r="Q715" s="21" t="s">
        <v>2359</v>
      </c>
      <c r="R715" s="97" t="s">
        <v>2272</v>
      </c>
      <c r="S715" s="97" t="s">
        <v>2272</v>
      </c>
      <c r="T715" s="21" t="s">
        <v>2359</v>
      </c>
      <c r="U715" s="21" t="s">
        <v>2359</v>
      </c>
      <c r="V715" s="21" t="s">
        <v>2359</v>
      </c>
      <c r="W715" s="21" t="s">
        <v>2359</v>
      </c>
      <c r="X715" s="21" t="s">
        <v>2272</v>
      </c>
      <c r="Y715" s="3" t="s">
        <v>2272</v>
      </c>
      <c r="Z715" s="3" t="s">
        <v>2272</v>
      </c>
      <c r="AA715" s="3" t="s">
        <v>2272</v>
      </c>
      <c r="AB715" s="4" t="s">
        <v>1722</v>
      </c>
      <c r="AC715" s="3"/>
    </row>
    <row r="716" spans="1:29"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2359</v>
      </c>
      <c r="K716" s="21" t="s">
        <v>2359</v>
      </c>
      <c r="L716" s="98" t="s">
        <v>2359</v>
      </c>
      <c r="M716" s="21" t="s">
        <v>2359</v>
      </c>
      <c r="N716" s="21" t="s">
        <v>2359</v>
      </c>
      <c r="O716" s="21" t="s">
        <v>2359</v>
      </c>
      <c r="P716" s="21" t="s">
        <v>2359</v>
      </c>
      <c r="Q716" s="21" t="s">
        <v>2359</v>
      </c>
      <c r="R716" s="97" t="s">
        <v>2272</v>
      </c>
      <c r="S716" s="97" t="s">
        <v>2272</v>
      </c>
      <c r="T716" s="21" t="s">
        <v>2359</v>
      </c>
      <c r="U716" s="21" t="s">
        <v>2359</v>
      </c>
      <c r="V716" s="21" t="s">
        <v>2359</v>
      </c>
      <c r="W716" s="21" t="s">
        <v>2359</v>
      </c>
      <c r="X716" s="21" t="s">
        <v>2272</v>
      </c>
      <c r="Y716" s="3" t="s">
        <v>2272</v>
      </c>
      <c r="Z716" s="3" t="s">
        <v>2272</v>
      </c>
      <c r="AA716" s="3" t="s">
        <v>2272</v>
      </c>
      <c r="AB716" s="4" t="s">
        <v>1722</v>
      </c>
      <c r="AC716" s="3"/>
    </row>
    <row r="717" spans="1:29"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2359</v>
      </c>
      <c r="K717" s="21" t="s">
        <v>2359</v>
      </c>
      <c r="L717" s="98" t="s">
        <v>2359</v>
      </c>
      <c r="M717" s="21" t="s">
        <v>2359</v>
      </c>
      <c r="N717" s="21" t="s">
        <v>2359</v>
      </c>
      <c r="O717" s="21" t="s">
        <v>2359</v>
      </c>
      <c r="P717" s="21" t="s">
        <v>2359</v>
      </c>
      <c r="Q717" s="21" t="s">
        <v>2359</v>
      </c>
      <c r="R717" s="97" t="s">
        <v>2272</v>
      </c>
      <c r="S717" s="97" t="s">
        <v>2272</v>
      </c>
      <c r="T717" s="21" t="s">
        <v>2359</v>
      </c>
      <c r="U717" s="21" t="s">
        <v>2359</v>
      </c>
      <c r="V717" s="21" t="s">
        <v>2359</v>
      </c>
      <c r="W717" s="21" t="s">
        <v>2359</v>
      </c>
      <c r="X717" s="21" t="s">
        <v>2272</v>
      </c>
      <c r="Y717" s="3" t="s">
        <v>2272</v>
      </c>
      <c r="Z717" s="3" t="s">
        <v>2272</v>
      </c>
      <c r="AA717" s="3" t="s">
        <v>2272</v>
      </c>
      <c r="AB717" s="4" t="s">
        <v>1722</v>
      </c>
      <c r="AC717" s="3"/>
    </row>
    <row r="718" spans="1:29"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2359</v>
      </c>
      <c r="K718" s="21" t="s">
        <v>2359</v>
      </c>
      <c r="L718" s="98" t="s">
        <v>2359</v>
      </c>
      <c r="M718" s="21" t="s">
        <v>2359</v>
      </c>
      <c r="N718" s="21" t="s">
        <v>2359</v>
      </c>
      <c r="O718" s="21" t="s">
        <v>2359</v>
      </c>
      <c r="P718" s="21" t="s">
        <v>2359</v>
      </c>
      <c r="Q718" s="21" t="s">
        <v>2359</v>
      </c>
      <c r="R718" s="97" t="s">
        <v>2272</v>
      </c>
      <c r="S718" s="97" t="s">
        <v>2272</v>
      </c>
      <c r="T718" s="21" t="s">
        <v>2359</v>
      </c>
      <c r="U718" s="21" t="s">
        <v>2359</v>
      </c>
      <c r="V718" s="21" t="s">
        <v>2359</v>
      </c>
      <c r="W718" s="21" t="s">
        <v>2359</v>
      </c>
      <c r="X718" s="21" t="s">
        <v>2272</v>
      </c>
      <c r="Y718" s="3" t="s">
        <v>2272</v>
      </c>
      <c r="Z718" s="3" t="s">
        <v>2272</v>
      </c>
      <c r="AA718" s="3" t="s">
        <v>2272</v>
      </c>
      <c r="AB718" s="4" t="s">
        <v>1722</v>
      </c>
      <c r="AC718" s="3"/>
    </row>
    <row r="719" spans="1:29"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2359</v>
      </c>
      <c r="K719" s="21" t="s">
        <v>2359</v>
      </c>
      <c r="L719" s="98" t="s">
        <v>2359</v>
      </c>
      <c r="M719" s="21" t="s">
        <v>2359</v>
      </c>
      <c r="N719" s="21" t="s">
        <v>2359</v>
      </c>
      <c r="O719" s="21" t="s">
        <v>2359</v>
      </c>
      <c r="P719" s="21" t="s">
        <v>2359</v>
      </c>
      <c r="Q719" s="21" t="s">
        <v>2359</v>
      </c>
      <c r="R719" s="97" t="s">
        <v>2272</v>
      </c>
      <c r="S719" s="97" t="s">
        <v>2272</v>
      </c>
      <c r="T719" s="21" t="s">
        <v>2359</v>
      </c>
      <c r="U719" s="21" t="s">
        <v>2359</v>
      </c>
      <c r="V719" s="21" t="s">
        <v>2359</v>
      </c>
      <c r="W719" s="21" t="s">
        <v>2359</v>
      </c>
      <c r="X719" s="21" t="s">
        <v>2272</v>
      </c>
      <c r="Y719" s="3" t="s">
        <v>2272</v>
      </c>
      <c r="Z719" s="3" t="s">
        <v>2272</v>
      </c>
      <c r="AA719" s="3" t="s">
        <v>2272</v>
      </c>
      <c r="AB719" s="4" t="s">
        <v>1722</v>
      </c>
      <c r="AC719" s="3"/>
    </row>
    <row r="720" spans="1:29"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2359</v>
      </c>
      <c r="K720" s="21" t="s">
        <v>2359</v>
      </c>
      <c r="L720" s="98" t="s">
        <v>2359</v>
      </c>
      <c r="M720" s="21" t="s">
        <v>2359</v>
      </c>
      <c r="N720" s="21" t="s">
        <v>2359</v>
      </c>
      <c r="O720" s="21" t="s">
        <v>2359</v>
      </c>
      <c r="P720" s="21" t="s">
        <v>2359</v>
      </c>
      <c r="Q720" s="21" t="s">
        <v>2359</v>
      </c>
      <c r="R720" s="97" t="s">
        <v>2272</v>
      </c>
      <c r="S720" s="97" t="s">
        <v>2272</v>
      </c>
      <c r="T720" s="21" t="s">
        <v>2359</v>
      </c>
      <c r="U720" s="21" t="s">
        <v>2359</v>
      </c>
      <c r="V720" s="21" t="s">
        <v>2359</v>
      </c>
      <c r="W720" s="21" t="s">
        <v>2359</v>
      </c>
      <c r="X720" s="21" t="s">
        <v>2272</v>
      </c>
      <c r="Y720" s="3" t="s">
        <v>2272</v>
      </c>
      <c r="Z720" s="3" t="s">
        <v>2272</v>
      </c>
      <c r="AA720" s="3" t="s">
        <v>2272</v>
      </c>
      <c r="AB720" s="4" t="s">
        <v>1722</v>
      </c>
      <c r="AC720" s="3"/>
    </row>
    <row r="721" spans="1:29"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2359</v>
      </c>
      <c r="K721" s="21" t="s">
        <v>2359</v>
      </c>
      <c r="L721" s="98" t="s">
        <v>2359</v>
      </c>
      <c r="M721" s="21" t="s">
        <v>2359</v>
      </c>
      <c r="N721" s="21" t="s">
        <v>2359</v>
      </c>
      <c r="O721" s="21" t="s">
        <v>2359</v>
      </c>
      <c r="P721" s="21" t="s">
        <v>2359</v>
      </c>
      <c r="Q721" s="21" t="s">
        <v>2359</v>
      </c>
      <c r="R721" s="97" t="s">
        <v>2272</v>
      </c>
      <c r="S721" s="97" t="s">
        <v>2272</v>
      </c>
      <c r="T721" s="21" t="s">
        <v>2359</v>
      </c>
      <c r="U721" s="21" t="s">
        <v>2359</v>
      </c>
      <c r="V721" s="21" t="s">
        <v>2359</v>
      </c>
      <c r="W721" s="21" t="s">
        <v>2359</v>
      </c>
      <c r="X721" s="21" t="s">
        <v>2272</v>
      </c>
      <c r="Y721" s="3" t="s">
        <v>2272</v>
      </c>
      <c r="Z721" s="3" t="s">
        <v>2272</v>
      </c>
      <c r="AA721" s="3" t="s">
        <v>2272</v>
      </c>
      <c r="AB721" s="4" t="s">
        <v>1722</v>
      </c>
      <c r="AC721" s="3"/>
    </row>
    <row r="722" spans="1:29"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2359</v>
      </c>
      <c r="K722" s="21" t="s">
        <v>2359</v>
      </c>
      <c r="L722" s="98" t="s">
        <v>2359</v>
      </c>
      <c r="M722" s="21" t="s">
        <v>2359</v>
      </c>
      <c r="N722" s="21" t="s">
        <v>2359</v>
      </c>
      <c r="O722" s="21" t="s">
        <v>2359</v>
      </c>
      <c r="P722" s="21" t="s">
        <v>2359</v>
      </c>
      <c r="Q722" s="21" t="s">
        <v>2359</v>
      </c>
      <c r="R722" s="97" t="s">
        <v>2272</v>
      </c>
      <c r="S722" s="97" t="s">
        <v>2272</v>
      </c>
      <c r="T722" s="21" t="s">
        <v>2359</v>
      </c>
      <c r="U722" s="21" t="s">
        <v>2359</v>
      </c>
      <c r="V722" s="21" t="s">
        <v>2359</v>
      </c>
      <c r="W722" s="21" t="s">
        <v>2359</v>
      </c>
      <c r="X722" s="21" t="s">
        <v>2272</v>
      </c>
      <c r="Y722" s="3" t="s">
        <v>2272</v>
      </c>
      <c r="Z722" s="3" t="s">
        <v>2272</v>
      </c>
      <c r="AA722" s="3" t="s">
        <v>2272</v>
      </c>
      <c r="AB722" s="4" t="s">
        <v>1722</v>
      </c>
      <c r="AC722" s="3"/>
    </row>
    <row r="723" spans="1:29"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2359</v>
      </c>
      <c r="K723" s="21" t="s">
        <v>2359</v>
      </c>
      <c r="L723" s="98" t="s">
        <v>2359</v>
      </c>
      <c r="M723" s="21" t="s">
        <v>2359</v>
      </c>
      <c r="N723" s="21" t="s">
        <v>2359</v>
      </c>
      <c r="O723" s="21" t="s">
        <v>2359</v>
      </c>
      <c r="P723" s="21" t="s">
        <v>2359</v>
      </c>
      <c r="Q723" s="21" t="s">
        <v>2359</v>
      </c>
      <c r="R723" s="97" t="s">
        <v>2272</v>
      </c>
      <c r="S723" s="97" t="s">
        <v>2272</v>
      </c>
      <c r="T723" s="21" t="s">
        <v>2359</v>
      </c>
      <c r="U723" s="21" t="s">
        <v>2359</v>
      </c>
      <c r="V723" s="21" t="s">
        <v>2359</v>
      </c>
      <c r="W723" s="21" t="s">
        <v>2359</v>
      </c>
      <c r="X723" s="21" t="s">
        <v>2272</v>
      </c>
      <c r="Y723" s="3" t="s">
        <v>2272</v>
      </c>
      <c r="Z723" s="3" t="s">
        <v>2272</v>
      </c>
      <c r="AA723" s="3" t="s">
        <v>2272</v>
      </c>
      <c r="AB723" s="4" t="s">
        <v>1722</v>
      </c>
      <c r="AC723" s="3"/>
    </row>
    <row r="724" spans="1:29"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2359</v>
      </c>
      <c r="K724" s="21" t="s">
        <v>2359</v>
      </c>
      <c r="L724" s="98" t="s">
        <v>2359</v>
      </c>
      <c r="M724" s="21" t="s">
        <v>2359</v>
      </c>
      <c r="N724" s="21" t="s">
        <v>2359</v>
      </c>
      <c r="O724" s="21" t="s">
        <v>2359</v>
      </c>
      <c r="P724" s="21" t="s">
        <v>2359</v>
      </c>
      <c r="Q724" s="21" t="s">
        <v>2359</v>
      </c>
      <c r="R724" s="97" t="s">
        <v>2272</v>
      </c>
      <c r="S724" s="97" t="s">
        <v>2272</v>
      </c>
      <c r="T724" s="21" t="s">
        <v>2359</v>
      </c>
      <c r="U724" s="21" t="s">
        <v>2359</v>
      </c>
      <c r="V724" s="21" t="s">
        <v>2359</v>
      </c>
      <c r="W724" s="21" t="s">
        <v>2359</v>
      </c>
      <c r="X724" s="21" t="s">
        <v>2272</v>
      </c>
      <c r="Y724" s="3" t="s">
        <v>2272</v>
      </c>
      <c r="Z724" s="3" t="s">
        <v>2272</v>
      </c>
      <c r="AA724" s="3" t="s">
        <v>2272</v>
      </c>
      <c r="AB724" s="4" t="s">
        <v>1722</v>
      </c>
      <c r="AC724" s="3"/>
    </row>
    <row r="725" spans="1:29"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2359</v>
      </c>
      <c r="K725" s="21" t="s">
        <v>2359</v>
      </c>
      <c r="L725" s="98" t="s">
        <v>2359</v>
      </c>
      <c r="M725" s="21" t="s">
        <v>2359</v>
      </c>
      <c r="N725" s="21" t="s">
        <v>2359</v>
      </c>
      <c r="O725" s="21" t="s">
        <v>2359</v>
      </c>
      <c r="P725" s="21" t="s">
        <v>2359</v>
      </c>
      <c r="Q725" s="21" t="s">
        <v>2359</v>
      </c>
      <c r="R725" s="97" t="s">
        <v>2272</v>
      </c>
      <c r="S725" s="97" t="s">
        <v>2272</v>
      </c>
      <c r="T725" s="21" t="s">
        <v>2359</v>
      </c>
      <c r="U725" s="21" t="s">
        <v>2359</v>
      </c>
      <c r="V725" s="21" t="s">
        <v>2359</v>
      </c>
      <c r="W725" s="21" t="s">
        <v>2359</v>
      </c>
      <c r="X725" s="21" t="s">
        <v>2272</v>
      </c>
      <c r="Y725" s="3" t="s">
        <v>2272</v>
      </c>
      <c r="Z725" s="3" t="s">
        <v>2272</v>
      </c>
      <c r="AA725" s="3" t="s">
        <v>2272</v>
      </c>
      <c r="AB725" s="4" t="s">
        <v>1722</v>
      </c>
      <c r="AC725" s="3"/>
    </row>
    <row r="726" spans="1:29"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2359</v>
      </c>
      <c r="K726" s="21" t="s">
        <v>2359</v>
      </c>
      <c r="L726" s="98" t="s">
        <v>2359</v>
      </c>
      <c r="M726" s="21" t="s">
        <v>2359</v>
      </c>
      <c r="N726" s="21" t="s">
        <v>2359</v>
      </c>
      <c r="O726" s="21" t="s">
        <v>2359</v>
      </c>
      <c r="P726" s="21" t="s">
        <v>2359</v>
      </c>
      <c r="Q726" s="21" t="s">
        <v>2359</v>
      </c>
      <c r="R726" s="97" t="s">
        <v>2272</v>
      </c>
      <c r="S726" s="97" t="s">
        <v>2272</v>
      </c>
      <c r="T726" s="21" t="s">
        <v>2359</v>
      </c>
      <c r="U726" s="21" t="s">
        <v>2359</v>
      </c>
      <c r="V726" s="21" t="s">
        <v>2359</v>
      </c>
      <c r="W726" s="21" t="s">
        <v>2359</v>
      </c>
      <c r="X726" s="21" t="s">
        <v>2272</v>
      </c>
      <c r="Y726" s="3" t="s">
        <v>2272</v>
      </c>
      <c r="Z726" s="3" t="s">
        <v>2272</v>
      </c>
      <c r="AA726" s="3" t="s">
        <v>2272</v>
      </c>
      <c r="AB726" s="4" t="s">
        <v>1722</v>
      </c>
      <c r="AC726" s="3"/>
    </row>
    <row r="727" spans="1:29"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2359</v>
      </c>
      <c r="K727" s="21" t="s">
        <v>2359</v>
      </c>
      <c r="L727" s="98" t="s">
        <v>2359</v>
      </c>
      <c r="M727" s="21" t="s">
        <v>2359</v>
      </c>
      <c r="N727" s="21" t="s">
        <v>2359</v>
      </c>
      <c r="O727" s="21" t="s">
        <v>2359</v>
      </c>
      <c r="P727" s="21" t="s">
        <v>2359</v>
      </c>
      <c r="Q727" s="21" t="s">
        <v>2359</v>
      </c>
      <c r="R727" s="97" t="s">
        <v>2272</v>
      </c>
      <c r="S727" s="97" t="s">
        <v>2272</v>
      </c>
      <c r="T727" s="21" t="s">
        <v>2359</v>
      </c>
      <c r="U727" s="21" t="s">
        <v>2359</v>
      </c>
      <c r="V727" s="21" t="s">
        <v>2359</v>
      </c>
      <c r="W727" s="21" t="s">
        <v>2359</v>
      </c>
      <c r="X727" s="21" t="s">
        <v>2272</v>
      </c>
      <c r="Y727" s="3" t="s">
        <v>2272</v>
      </c>
      <c r="Z727" s="3" t="s">
        <v>2272</v>
      </c>
      <c r="AA727" s="3" t="s">
        <v>2272</v>
      </c>
      <c r="AB727" s="4" t="s">
        <v>1722</v>
      </c>
      <c r="AC727" s="3"/>
    </row>
    <row r="728" spans="1:29"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2359</v>
      </c>
      <c r="K728" s="21" t="s">
        <v>2359</v>
      </c>
      <c r="L728" s="98" t="s">
        <v>2359</v>
      </c>
      <c r="M728" s="21" t="s">
        <v>2359</v>
      </c>
      <c r="N728" s="21" t="s">
        <v>2359</v>
      </c>
      <c r="O728" s="21" t="s">
        <v>2359</v>
      </c>
      <c r="P728" s="21" t="s">
        <v>2359</v>
      </c>
      <c r="Q728" s="21" t="s">
        <v>2359</v>
      </c>
      <c r="R728" s="97" t="s">
        <v>2272</v>
      </c>
      <c r="S728" s="97" t="s">
        <v>2272</v>
      </c>
      <c r="T728" s="21" t="s">
        <v>2359</v>
      </c>
      <c r="U728" s="21" t="s">
        <v>2359</v>
      </c>
      <c r="V728" s="21" t="s">
        <v>2359</v>
      </c>
      <c r="W728" s="21" t="s">
        <v>2359</v>
      </c>
      <c r="X728" s="21" t="s">
        <v>2272</v>
      </c>
      <c r="Y728" s="3" t="s">
        <v>2272</v>
      </c>
      <c r="Z728" s="3" t="s">
        <v>2272</v>
      </c>
      <c r="AA728" s="3" t="s">
        <v>2272</v>
      </c>
      <c r="AB728" s="4" t="s">
        <v>1722</v>
      </c>
      <c r="AC728" s="3"/>
    </row>
    <row r="729" spans="1:29"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2359</v>
      </c>
      <c r="K729" s="21" t="s">
        <v>2359</v>
      </c>
      <c r="L729" s="98" t="s">
        <v>2359</v>
      </c>
      <c r="M729" s="21" t="s">
        <v>2359</v>
      </c>
      <c r="N729" s="21" t="s">
        <v>2359</v>
      </c>
      <c r="O729" s="21" t="s">
        <v>2359</v>
      </c>
      <c r="P729" s="21" t="s">
        <v>2359</v>
      </c>
      <c r="Q729" s="21" t="s">
        <v>2359</v>
      </c>
      <c r="R729" s="97" t="s">
        <v>2272</v>
      </c>
      <c r="S729" s="97" t="s">
        <v>2272</v>
      </c>
      <c r="T729" s="21" t="s">
        <v>2359</v>
      </c>
      <c r="U729" s="21" t="s">
        <v>2359</v>
      </c>
      <c r="V729" s="21" t="s">
        <v>2359</v>
      </c>
      <c r="W729" s="21" t="s">
        <v>2359</v>
      </c>
      <c r="X729" s="21" t="s">
        <v>2272</v>
      </c>
      <c r="Y729" s="3" t="s">
        <v>2272</v>
      </c>
      <c r="Z729" s="3" t="s">
        <v>2272</v>
      </c>
      <c r="AA729" s="3" t="s">
        <v>2272</v>
      </c>
      <c r="AB729" s="4" t="s">
        <v>1722</v>
      </c>
      <c r="AC729" s="3"/>
    </row>
    <row r="730" spans="1:29"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2359</v>
      </c>
      <c r="K730" s="21" t="s">
        <v>2359</v>
      </c>
      <c r="L730" s="98" t="s">
        <v>2359</v>
      </c>
      <c r="M730" s="21" t="s">
        <v>2359</v>
      </c>
      <c r="N730" s="21" t="s">
        <v>2359</v>
      </c>
      <c r="O730" s="21" t="s">
        <v>2359</v>
      </c>
      <c r="P730" s="21" t="s">
        <v>2359</v>
      </c>
      <c r="Q730" s="21" t="s">
        <v>2359</v>
      </c>
      <c r="R730" s="97" t="s">
        <v>2272</v>
      </c>
      <c r="S730" s="97" t="s">
        <v>2272</v>
      </c>
      <c r="T730" s="21" t="s">
        <v>2359</v>
      </c>
      <c r="U730" s="21" t="s">
        <v>2359</v>
      </c>
      <c r="V730" s="21" t="s">
        <v>2359</v>
      </c>
      <c r="W730" s="21" t="s">
        <v>2359</v>
      </c>
      <c r="X730" s="21" t="s">
        <v>2272</v>
      </c>
      <c r="Y730" s="3" t="s">
        <v>2272</v>
      </c>
      <c r="Z730" s="3" t="s">
        <v>2272</v>
      </c>
      <c r="AA730" s="3" t="s">
        <v>2272</v>
      </c>
      <c r="AB730" s="4" t="s">
        <v>1722</v>
      </c>
      <c r="AC730" s="3"/>
    </row>
    <row r="731" spans="1:29"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2359</v>
      </c>
      <c r="K731" s="21" t="s">
        <v>2359</v>
      </c>
      <c r="L731" s="98" t="s">
        <v>2359</v>
      </c>
      <c r="M731" s="21" t="s">
        <v>2359</v>
      </c>
      <c r="N731" s="21" t="s">
        <v>2359</v>
      </c>
      <c r="O731" s="21" t="s">
        <v>2359</v>
      </c>
      <c r="P731" s="21" t="s">
        <v>2359</v>
      </c>
      <c r="Q731" s="21" t="s">
        <v>2359</v>
      </c>
      <c r="R731" s="97" t="s">
        <v>2272</v>
      </c>
      <c r="S731" s="97" t="s">
        <v>2272</v>
      </c>
      <c r="T731" s="21" t="s">
        <v>2359</v>
      </c>
      <c r="U731" s="21" t="s">
        <v>2359</v>
      </c>
      <c r="V731" s="21" t="s">
        <v>2359</v>
      </c>
      <c r="W731" s="21" t="s">
        <v>2359</v>
      </c>
      <c r="X731" s="21" t="s">
        <v>2272</v>
      </c>
      <c r="Y731" s="3" t="s">
        <v>2272</v>
      </c>
      <c r="Z731" s="3" t="s">
        <v>2272</v>
      </c>
      <c r="AA731" s="3" t="s">
        <v>2272</v>
      </c>
      <c r="AB731" s="4" t="s">
        <v>1722</v>
      </c>
      <c r="AC731" s="3"/>
    </row>
    <row r="732" spans="1:29"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2359</v>
      </c>
      <c r="K732" s="21" t="s">
        <v>2359</v>
      </c>
      <c r="L732" s="98" t="s">
        <v>2359</v>
      </c>
      <c r="M732" s="21" t="s">
        <v>2359</v>
      </c>
      <c r="N732" s="21" t="s">
        <v>2359</v>
      </c>
      <c r="O732" s="21" t="s">
        <v>2359</v>
      </c>
      <c r="P732" s="21" t="s">
        <v>2359</v>
      </c>
      <c r="Q732" s="21" t="s">
        <v>2359</v>
      </c>
      <c r="R732" s="97" t="s">
        <v>2272</v>
      </c>
      <c r="S732" s="97" t="s">
        <v>2272</v>
      </c>
      <c r="T732" s="21" t="s">
        <v>2359</v>
      </c>
      <c r="U732" s="21" t="s">
        <v>2359</v>
      </c>
      <c r="V732" s="21" t="s">
        <v>2359</v>
      </c>
      <c r="W732" s="21" t="s">
        <v>2359</v>
      </c>
      <c r="X732" s="21" t="s">
        <v>2272</v>
      </c>
      <c r="Y732" s="3" t="s">
        <v>2272</v>
      </c>
      <c r="Z732" s="3" t="s">
        <v>2272</v>
      </c>
      <c r="AA732" s="3" t="s">
        <v>2272</v>
      </c>
      <c r="AB732" s="4" t="s">
        <v>1722</v>
      </c>
      <c r="AC732" s="3"/>
    </row>
    <row r="733" spans="1:29"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2359</v>
      </c>
      <c r="K733" s="21" t="s">
        <v>2359</v>
      </c>
      <c r="L733" s="98" t="s">
        <v>2359</v>
      </c>
      <c r="M733" s="21" t="s">
        <v>2359</v>
      </c>
      <c r="N733" s="21" t="s">
        <v>2359</v>
      </c>
      <c r="O733" s="21" t="s">
        <v>2359</v>
      </c>
      <c r="P733" s="21" t="s">
        <v>2359</v>
      </c>
      <c r="Q733" s="21" t="s">
        <v>2359</v>
      </c>
      <c r="R733" s="97" t="s">
        <v>2272</v>
      </c>
      <c r="S733" s="97" t="s">
        <v>2272</v>
      </c>
      <c r="T733" s="21" t="s">
        <v>2359</v>
      </c>
      <c r="U733" s="21" t="s">
        <v>2359</v>
      </c>
      <c r="V733" s="21" t="s">
        <v>2359</v>
      </c>
      <c r="W733" s="21" t="s">
        <v>2359</v>
      </c>
      <c r="X733" s="21" t="s">
        <v>2272</v>
      </c>
      <c r="Y733" s="3" t="s">
        <v>2272</v>
      </c>
      <c r="Z733" s="3" t="s">
        <v>2272</v>
      </c>
      <c r="AA733" s="3" t="s">
        <v>2272</v>
      </c>
      <c r="AB733" s="4" t="s">
        <v>1722</v>
      </c>
      <c r="AC733" s="3"/>
    </row>
    <row r="734" spans="1:29"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2359</v>
      </c>
      <c r="K734" s="21" t="s">
        <v>2359</v>
      </c>
      <c r="L734" s="98" t="s">
        <v>2359</v>
      </c>
      <c r="M734" s="21" t="s">
        <v>2359</v>
      </c>
      <c r="N734" s="21" t="s">
        <v>2359</v>
      </c>
      <c r="O734" s="21" t="s">
        <v>2359</v>
      </c>
      <c r="P734" s="21" t="s">
        <v>2359</v>
      </c>
      <c r="Q734" s="21" t="s">
        <v>2359</v>
      </c>
      <c r="R734" s="97" t="s">
        <v>2272</v>
      </c>
      <c r="S734" s="97" t="s">
        <v>2272</v>
      </c>
      <c r="T734" s="21" t="s">
        <v>2359</v>
      </c>
      <c r="U734" s="21" t="s">
        <v>2359</v>
      </c>
      <c r="V734" s="21" t="s">
        <v>2359</v>
      </c>
      <c r="W734" s="21" t="s">
        <v>2359</v>
      </c>
      <c r="X734" s="21" t="s">
        <v>2272</v>
      </c>
      <c r="Y734" s="3" t="s">
        <v>2272</v>
      </c>
      <c r="Z734" s="3" t="s">
        <v>2272</v>
      </c>
      <c r="AA734" s="3" t="s">
        <v>2272</v>
      </c>
      <c r="AB734" s="4" t="s">
        <v>1722</v>
      </c>
      <c r="AC734" s="3"/>
    </row>
    <row r="735" spans="1:29"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2359</v>
      </c>
      <c r="K735" s="21" t="s">
        <v>2359</v>
      </c>
      <c r="L735" s="98" t="s">
        <v>2359</v>
      </c>
      <c r="M735" s="21" t="s">
        <v>2359</v>
      </c>
      <c r="N735" s="21" t="s">
        <v>2359</v>
      </c>
      <c r="O735" s="21" t="s">
        <v>2359</v>
      </c>
      <c r="P735" s="21" t="s">
        <v>2359</v>
      </c>
      <c r="Q735" s="21" t="s">
        <v>2359</v>
      </c>
      <c r="R735" s="97" t="s">
        <v>2272</v>
      </c>
      <c r="S735" s="97" t="s">
        <v>2272</v>
      </c>
      <c r="T735" s="21" t="s">
        <v>2359</v>
      </c>
      <c r="U735" s="21" t="s">
        <v>2359</v>
      </c>
      <c r="V735" s="21" t="s">
        <v>2359</v>
      </c>
      <c r="W735" s="21" t="s">
        <v>2359</v>
      </c>
      <c r="X735" s="21" t="s">
        <v>2272</v>
      </c>
      <c r="Y735" s="3" t="s">
        <v>2272</v>
      </c>
      <c r="Z735" s="3" t="s">
        <v>2272</v>
      </c>
      <c r="AA735" s="3" t="s">
        <v>2272</v>
      </c>
      <c r="AB735" s="4" t="s">
        <v>1722</v>
      </c>
      <c r="AC735" s="3"/>
    </row>
    <row r="736" spans="1:29"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2359</v>
      </c>
      <c r="K736" s="21" t="s">
        <v>2359</v>
      </c>
      <c r="L736" s="98" t="s">
        <v>2359</v>
      </c>
      <c r="M736" s="21" t="s">
        <v>2359</v>
      </c>
      <c r="N736" s="21" t="s">
        <v>2359</v>
      </c>
      <c r="O736" s="21" t="s">
        <v>2359</v>
      </c>
      <c r="P736" s="21" t="s">
        <v>2359</v>
      </c>
      <c r="Q736" s="21" t="s">
        <v>2359</v>
      </c>
      <c r="R736" s="97" t="s">
        <v>2272</v>
      </c>
      <c r="S736" s="97" t="s">
        <v>2272</v>
      </c>
      <c r="T736" s="21" t="s">
        <v>2359</v>
      </c>
      <c r="U736" s="21" t="s">
        <v>2359</v>
      </c>
      <c r="V736" s="21" t="s">
        <v>2359</v>
      </c>
      <c r="W736" s="21" t="s">
        <v>2359</v>
      </c>
      <c r="X736" s="21" t="s">
        <v>2272</v>
      </c>
      <c r="Y736" s="3" t="s">
        <v>2272</v>
      </c>
      <c r="Z736" s="3" t="s">
        <v>2272</v>
      </c>
      <c r="AA736" s="3" t="s">
        <v>2272</v>
      </c>
      <c r="AB736" s="4" t="s">
        <v>1722</v>
      </c>
      <c r="AC736" s="3"/>
    </row>
    <row r="737" spans="1:29"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2359</v>
      </c>
      <c r="K737" s="21" t="s">
        <v>2359</v>
      </c>
      <c r="L737" s="98" t="s">
        <v>2359</v>
      </c>
      <c r="M737" s="21" t="s">
        <v>2359</v>
      </c>
      <c r="N737" s="21" t="s">
        <v>2359</v>
      </c>
      <c r="O737" s="21" t="s">
        <v>2359</v>
      </c>
      <c r="P737" s="21" t="s">
        <v>2359</v>
      </c>
      <c r="Q737" s="21" t="s">
        <v>2359</v>
      </c>
      <c r="R737" s="97" t="s">
        <v>2272</v>
      </c>
      <c r="S737" s="97" t="s">
        <v>2272</v>
      </c>
      <c r="T737" s="21" t="s">
        <v>2359</v>
      </c>
      <c r="U737" s="21" t="s">
        <v>2359</v>
      </c>
      <c r="V737" s="21" t="s">
        <v>2359</v>
      </c>
      <c r="W737" s="21" t="s">
        <v>2359</v>
      </c>
      <c r="X737" s="21" t="s">
        <v>2272</v>
      </c>
      <c r="Y737" s="3" t="s">
        <v>2272</v>
      </c>
      <c r="Z737" s="3" t="s">
        <v>2272</v>
      </c>
      <c r="AA737" s="3" t="s">
        <v>2272</v>
      </c>
      <c r="AB737" s="4" t="s">
        <v>1722</v>
      </c>
      <c r="AC737" s="3"/>
    </row>
    <row r="738" spans="1:29"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2359</v>
      </c>
      <c r="K738" s="21" t="s">
        <v>2359</v>
      </c>
      <c r="L738" s="98" t="s">
        <v>2359</v>
      </c>
      <c r="M738" s="21" t="s">
        <v>2359</v>
      </c>
      <c r="N738" s="21" t="s">
        <v>2359</v>
      </c>
      <c r="O738" s="21" t="s">
        <v>2359</v>
      </c>
      <c r="P738" s="21" t="s">
        <v>2359</v>
      </c>
      <c r="Q738" s="21" t="s">
        <v>2359</v>
      </c>
      <c r="R738" s="97" t="s">
        <v>2272</v>
      </c>
      <c r="S738" s="97" t="s">
        <v>2272</v>
      </c>
      <c r="T738" s="21" t="s">
        <v>2359</v>
      </c>
      <c r="U738" s="21" t="s">
        <v>2359</v>
      </c>
      <c r="V738" s="21" t="s">
        <v>2359</v>
      </c>
      <c r="W738" s="21" t="s">
        <v>2359</v>
      </c>
      <c r="X738" s="21" t="s">
        <v>2272</v>
      </c>
      <c r="Y738" s="3" t="s">
        <v>2272</v>
      </c>
      <c r="Z738" s="3" t="s">
        <v>2272</v>
      </c>
      <c r="AA738" s="3" t="s">
        <v>2272</v>
      </c>
      <c r="AB738" s="4" t="s">
        <v>1722</v>
      </c>
      <c r="AC738" s="3"/>
    </row>
    <row r="739" spans="1:29"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2359</v>
      </c>
      <c r="K739" s="21" t="s">
        <v>2359</v>
      </c>
      <c r="L739" s="98" t="s">
        <v>2359</v>
      </c>
      <c r="M739" s="21" t="s">
        <v>2359</v>
      </c>
      <c r="N739" s="21" t="s">
        <v>2359</v>
      </c>
      <c r="O739" s="21" t="s">
        <v>2359</v>
      </c>
      <c r="P739" s="21" t="s">
        <v>2359</v>
      </c>
      <c r="Q739" s="21" t="s">
        <v>2359</v>
      </c>
      <c r="R739" s="97" t="s">
        <v>2272</v>
      </c>
      <c r="S739" s="97" t="s">
        <v>2272</v>
      </c>
      <c r="T739" s="21" t="s">
        <v>2359</v>
      </c>
      <c r="U739" s="21" t="s">
        <v>2359</v>
      </c>
      <c r="V739" s="21" t="s">
        <v>2359</v>
      </c>
      <c r="W739" s="21" t="s">
        <v>2359</v>
      </c>
      <c r="X739" s="21" t="s">
        <v>2272</v>
      </c>
      <c r="Y739" s="3" t="s">
        <v>2272</v>
      </c>
      <c r="Z739" s="3" t="s">
        <v>2272</v>
      </c>
      <c r="AA739" s="3" t="s">
        <v>2272</v>
      </c>
      <c r="AB739" s="4" t="s">
        <v>1722</v>
      </c>
      <c r="AC739" s="3"/>
    </row>
    <row r="740" spans="1:29"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2359</v>
      </c>
      <c r="K740" s="21" t="s">
        <v>2359</v>
      </c>
      <c r="L740" s="98" t="s">
        <v>2359</v>
      </c>
      <c r="M740" s="21" t="s">
        <v>2359</v>
      </c>
      <c r="N740" s="21" t="s">
        <v>2359</v>
      </c>
      <c r="O740" s="21" t="s">
        <v>2359</v>
      </c>
      <c r="P740" s="21" t="s">
        <v>2359</v>
      </c>
      <c r="Q740" s="21" t="s">
        <v>2359</v>
      </c>
      <c r="R740" s="97" t="s">
        <v>2272</v>
      </c>
      <c r="S740" s="97" t="s">
        <v>2272</v>
      </c>
      <c r="T740" s="21" t="s">
        <v>2359</v>
      </c>
      <c r="U740" s="21" t="s">
        <v>2359</v>
      </c>
      <c r="V740" s="21" t="s">
        <v>2359</v>
      </c>
      <c r="W740" s="21" t="s">
        <v>2359</v>
      </c>
      <c r="X740" s="21" t="s">
        <v>2272</v>
      </c>
      <c r="Y740" s="3" t="s">
        <v>2272</v>
      </c>
      <c r="Z740" s="3" t="s">
        <v>2272</v>
      </c>
      <c r="AA740" s="3" t="s">
        <v>2272</v>
      </c>
      <c r="AB740" s="4" t="s">
        <v>1722</v>
      </c>
      <c r="AC740" s="3"/>
    </row>
    <row r="741" spans="1:29"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2359</v>
      </c>
      <c r="K741" s="21" t="s">
        <v>2359</v>
      </c>
      <c r="L741" s="98" t="s">
        <v>2359</v>
      </c>
      <c r="M741" s="21" t="s">
        <v>2359</v>
      </c>
      <c r="N741" s="21" t="s">
        <v>2359</v>
      </c>
      <c r="O741" s="21" t="s">
        <v>2359</v>
      </c>
      <c r="P741" s="21" t="s">
        <v>2359</v>
      </c>
      <c r="Q741" s="21" t="s">
        <v>2359</v>
      </c>
      <c r="R741" s="97" t="s">
        <v>2272</v>
      </c>
      <c r="S741" s="97" t="s">
        <v>2272</v>
      </c>
      <c r="T741" s="21" t="s">
        <v>2359</v>
      </c>
      <c r="U741" s="21" t="s">
        <v>2359</v>
      </c>
      <c r="V741" s="21" t="s">
        <v>2359</v>
      </c>
      <c r="W741" s="21" t="s">
        <v>2359</v>
      </c>
      <c r="X741" s="21" t="s">
        <v>2272</v>
      </c>
      <c r="Y741" s="3" t="s">
        <v>2272</v>
      </c>
      <c r="Z741" s="3" t="s">
        <v>2272</v>
      </c>
      <c r="AA741" s="3" t="s">
        <v>2272</v>
      </c>
      <c r="AB741" s="4" t="s">
        <v>1722</v>
      </c>
      <c r="AC741" s="3"/>
    </row>
    <row r="742" spans="1:29"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2359</v>
      </c>
      <c r="K742" s="21" t="s">
        <v>2359</v>
      </c>
      <c r="L742" s="98" t="s">
        <v>2359</v>
      </c>
      <c r="M742" s="21" t="s">
        <v>2359</v>
      </c>
      <c r="N742" s="21" t="s">
        <v>2359</v>
      </c>
      <c r="O742" s="21" t="s">
        <v>2359</v>
      </c>
      <c r="P742" s="21" t="s">
        <v>2359</v>
      </c>
      <c r="Q742" s="21" t="s">
        <v>2359</v>
      </c>
      <c r="R742" s="97" t="s">
        <v>2272</v>
      </c>
      <c r="S742" s="97" t="s">
        <v>2272</v>
      </c>
      <c r="T742" s="21" t="s">
        <v>2359</v>
      </c>
      <c r="U742" s="21" t="s">
        <v>2359</v>
      </c>
      <c r="V742" s="21" t="s">
        <v>2359</v>
      </c>
      <c r="W742" s="21" t="s">
        <v>2359</v>
      </c>
      <c r="X742" s="21" t="s">
        <v>2272</v>
      </c>
      <c r="Y742" s="3" t="s">
        <v>2272</v>
      </c>
      <c r="Z742" s="3" t="s">
        <v>2272</v>
      </c>
      <c r="AA742" s="3" t="s">
        <v>2272</v>
      </c>
      <c r="AB742" s="4" t="s">
        <v>1722</v>
      </c>
      <c r="AC742" s="3"/>
    </row>
    <row r="743" spans="1:29"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2359</v>
      </c>
      <c r="K743" s="21" t="s">
        <v>2359</v>
      </c>
      <c r="L743" s="98" t="s">
        <v>2359</v>
      </c>
      <c r="M743" s="21" t="s">
        <v>2359</v>
      </c>
      <c r="N743" s="21" t="s">
        <v>2359</v>
      </c>
      <c r="O743" s="21" t="s">
        <v>2359</v>
      </c>
      <c r="P743" s="21" t="s">
        <v>2359</v>
      </c>
      <c r="Q743" s="21" t="s">
        <v>2359</v>
      </c>
      <c r="R743" s="97" t="s">
        <v>2272</v>
      </c>
      <c r="S743" s="97" t="s">
        <v>2272</v>
      </c>
      <c r="T743" s="21" t="s">
        <v>2359</v>
      </c>
      <c r="U743" s="21" t="s">
        <v>2359</v>
      </c>
      <c r="V743" s="21" t="s">
        <v>2359</v>
      </c>
      <c r="W743" s="21" t="s">
        <v>2359</v>
      </c>
      <c r="X743" s="21" t="s">
        <v>2272</v>
      </c>
      <c r="Y743" s="3" t="s">
        <v>2272</v>
      </c>
      <c r="Z743" s="3" t="s">
        <v>2272</v>
      </c>
      <c r="AA743" s="3" t="s">
        <v>2272</v>
      </c>
      <c r="AB743" s="4" t="s">
        <v>1722</v>
      </c>
      <c r="AC743" s="3"/>
    </row>
    <row r="744" spans="1:29"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2359</v>
      </c>
      <c r="K744" s="21" t="s">
        <v>2359</v>
      </c>
      <c r="L744" s="98" t="s">
        <v>2359</v>
      </c>
      <c r="M744" s="21" t="s">
        <v>2359</v>
      </c>
      <c r="N744" s="21" t="s">
        <v>2359</v>
      </c>
      <c r="O744" s="21" t="s">
        <v>2359</v>
      </c>
      <c r="P744" s="21" t="s">
        <v>2359</v>
      </c>
      <c r="Q744" s="21" t="s">
        <v>2359</v>
      </c>
      <c r="R744" s="97" t="s">
        <v>2272</v>
      </c>
      <c r="S744" s="97" t="s">
        <v>2272</v>
      </c>
      <c r="T744" s="21" t="s">
        <v>2359</v>
      </c>
      <c r="U744" s="21" t="s">
        <v>2359</v>
      </c>
      <c r="V744" s="21" t="s">
        <v>2359</v>
      </c>
      <c r="W744" s="21" t="s">
        <v>2359</v>
      </c>
      <c r="X744" s="21" t="s">
        <v>2272</v>
      </c>
      <c r="Y744" s="3" t="s">
        <v>2272</v>
      </c>
      <c r="Z744" s="3" t="s">
        <v>2272</v>
      </c>
      <c r="AA744" s="3" t="s">
        <v>2272</v>
      </c>
      <c r="AB744" s="4" t="s">
        <v>1722</v>
      </c>
      <c r="AC744" s="3"/>
    </row>
    <row r="745" spans="1:29"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2359</v>
      </c>
      <c r="K745" s="21" t="s">
        <v>2359</v>
      </c>
      <c r="L745" s="98" t="s">
        <v>2359</v>
      </c>
      <c r="M745" s="21" t="s">
        <v>2359</v>
      </c>
      <c r="N745" s="21" t="s">
        <v>2359</v>
      </c>
      <c r="O745" s="21" t="s">
        <v>2359</v>
      </c>
      <c r="P745" s="21" t="s">
        <v>2359</v>
      </c>
      <c r="Q745" s="21" t="s">
        <v>2359</v>
      </c>
      <c r="R745" s="97" t="s">
        <v>2272</v>
      </c>
      <c r="S745" s="97" t="s">
        <v>2272</v>
      </c>
      <c r="T745" s="21" t="s">
        <v>2359</v>
      </c>
      <c r="U745" s="21" t="s">
        <v>2359</v>
      </c>
      <c r="V745" s="21" t="s">
        <v>2359</v>
      </c>
      <c r="W745" s="21" t="s">
        <v>2359</v>
      </c>
      <c r="X745" s="21" t="s">
        <v>2272</v>
      </c>
      <c r="Y745" s="3" t="s">
        <v>2272</v>
      </c>
      <c r="Z745" s="3" t="s">
        <v>2272</v>
      </c>
      <c r="AA745" s="3" t="s">
        <v>2272</v>
      </c>
      <c r="AB745" s="4" t="s">
        <v>1722</v>
      </c>
      <c r="AC745" s="3"/>
    </row>
    <row r="746" spans="1:29"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2359</v>
      </c>
      <c r="K746" s="21" t="s">
        <v>2359</v>
      </c>
      <c r="L746" s="98" t="s">
        <v>2359</v>
      </c>
      <c r="M746" s="21" t="s">
        <v>2359</v>
      </c>
      <c r="N746" s="21" t="s">
        <v>2359</v>
      </c>
      <c r="O746" s="21" t="s">
        <v>2359</v>
      </c>
      <c r="P746" s="21" t="s">
        <v>2359</v>
      </c>
      <c r="Q746" s="21" t="s">
        <v>2359</v>
      </c>
      <c r="R746" s="97" t="s">
        <v>2272</v>
      </c>
      <c r="S746" s="97" t="s">
        <v>2272</v>
      </c>
      <c r="T746" s="21" t="s">
        <v>2359</v>
      </c>
      <c r="U746" s="21" t="s">
        <v>2359</v>
      </c>
      <c r="V746" s="21" t="s">
        <v>2359</v>
      </c>
      <c r="W746" s="21" t="s">
        <v>2359</v>
      </c>
      <c r="X746" s="21" t="s">
        <v>2272</v>
      </c>
      <c r="Y746" s="3" t="s">
        <v>2272</v>
      </c>
      <c r="Z746" s="3" t="s">
        <v>2272</v>
      </c>
      <c r="AA746" s="3" t="s">
        <v>2272</v>
      </c>
      <c r="AB746" s="4" t="s">
        <v>1722</v>
      </c>
      <c r="AC746" s="3"/>
    </row>
    <row r="747" spans="1:29"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2359</v>
      </c>
      <c r="K747" s="21" t="s">
        <v>2359</v>
      </c>
      <c r="L747" s="98" t="s">
        <v>2359</v>
      </c>
      <c r="M747" s="21" t="s">
        <v>2359</v>
      </c>
      <c r="N747" s="21" t="s">
        <v>2359</v>
      </c>
      <c r="O747" s="21" t="s">
        <v>2359</v>
      </c>
      <c r="P747" s="21" t="s">
        <v>2359</v>
      </c>
      <c r="Q747" s="21" t="s">
        <v>2359</v>
      </c>
      <c r="R747" s="97" t="s">
        <v>2272</v>
      </c>
      <c r="S747" s="97" t="s">
        <v>2272</v>
      </c>
      <c r="T747" s="21" t="s">
        <v>2359</v>
      </c>
      <c r="U747" s="21" t="s">
        <v>2359</v>
      </c>
      <c r="V747" s="21" t="s">
        <v>2359</v>
      </c>
      <c r="W747" s="21" t="s">
        <v>2359</v>
      </c>
      <c r="X747" s="21" t="s">
        <v>2272</v>
      </c>
      <c r="Y747" s="3" t="s">
        <v>2272</v>
      </c>
      <c r="Z747" s="3" t="s">
        <v>2272</v>
      </c>
      <c r="AA747" s="3" t="s">
        <v>2272</v>
      </c>
      <c r="AB747" s="4" t="s">
        <v>1722</v>
      </c>
      <c r="AC747" s="3"/>
    </row>
    <row r="748" spans="1:29"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2359</v>
      </c>
      <c r="K748" s="21" t="s">
        <v>2359</v>
      </c>
      <c r="L748" s="98" t="s">
        <v>2359</v>
      </c>
      <c r="M748" s="21" t="s">
        <v>2359</v>
      </c>
      <c r="N748" s="21" t="s">
        <v>2359</v>
      </c>
      <c r="O748" s="21" t="s">
        <v>2359</v>
      </c>
      <c r="P748" s="21" t="s">
        <v>2359</v>
      </c>
      <c r="Q748" s="21" t="s">
        <v>2359</v>
      </c>
      <c r="R748" s="97" t="s">
        <v>2272</v>
      </c>
      <c r="S748" s="97" t="s">
        <v>2272</v>
      </c>
      <c r="T748" s="21" t="s">
        <v>2359</v>
      </c>
      <c r="U748" s="21" t="s">
        <v>2359</v>
      </c>
      <c r="V748" s="21" t="s">
        <v>2359</v>
      </c>
      <c r="W748" s="21" t="s">
        <v>2359</v>
      </c>
      <c r="X748" s="21" t="s">
        <v>2272</v>
      </c>
      <c r="Y748" s="3" t="s">
        <v>2272</v>
      </c>
      <c r="Z748" s="3" t="s">
        <v>2272</v>
      </c>
      <c r="AA748" s="3" t="s">
        <v>2272</v>
      </c>
      <c r="AB748" s="4" t="s">
        <v>1722</v>
      </c>
      <c r="AC748" s="3"/>
    </row>
    <row r="749" spans="1:29"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2359</v>
      </c>
      <c r="K749" s="21" t="s">
        <v>2359</v>
      </c>
      <c r="L749" s="98" t="s">
        <v>2359</v>
      </c>
      <c r="M749" s="21" t="s">
        <v>2359</v>
      </c>
      <c r="N749" s="21" t="s">
        <v>2359</v>
      </c>
      <c r="O749" s="21" t="s">
        <v>2359</v>
      </c>
      <c r="P749" s="21" t="s">
        <v>2359</v>
      </c>
      <c r="Q749" s="21" t="s">
        <v>2359</v>
      </c>
      <c r="R749" s="97" t="s">
        <v>2272</v>
      </c>
      <c r="S749" s="97" t="s">
        <v>2272</v>
      </c>
      <c r="T749" s="21" t="s">
        <v>2359</v>
      </c>
      <c r="U749" s="21" t="s">
        <v>2359</v>
      </c>
      <c r="V749" s="21" t="s">
        <v>2359</v>
      </c>
      <c r="W749" s="21" t="s">
        <v>2359</v>
      </c>
      <c r="X749" s="21" t="s">
        <v>2272</v>
      </c>
      <c r="Y749" s="3" t="s">
        <v>2272</v>
      </c>
      <c r="Z749" s="3" t="s">
        <v>2272</v>
      </c>
      <c r="AA749" s="3" t="s">
        <v>2272</v>
      </c>
      <c r="AB749" s="4" t="s">
        <v>1722</v>
      </c>
      <c r="AC749" s="3"/>
    </row>
    <row r="750" spans="1:29"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2359</v>
      </c>
      <c r="K750" s="21" t="s">
        <v>2359</v>
      </c>
      <c r="L750" s="98" t="s">
        <v>2359</v>
      </c>
      <c r="M750" s="21" t="s">
        <v>2359</v>
      </c>
      <c r="N750" s="21" t="s">
        <v>2359</v>
      </c>
      <c r="O750" s="21" t="s">
        <v>2359</v>
      </c>
      <c r="P750" s="21" t="s">
        <v>2359</v>
      </c>
      <c r="Q750" s="21" t="s">
        <v>2359</v>
      </c>
      <c r="R750" s="97" t="s">
        <v>2272</v>
      </c>
      <c r="S750" s="97" t="s">
        <v>2272</v>
      </c>
      <c r="T750" s="21" t="s">
        <v>2359</v>
      </c>
      <c r="U750" s="21" t="s">
        <v>2359</v>
      </c>
      <c r="V750" s="21" t="s">
        <v>2359</v>
      </c>
      <c r="W750" s="21" t="s">
        <v>2359</v>
      </c>
      <c r="X750" s="21" t="s">
        <v>2272</v>
      </c>
      <c r="Y750" s="3" t="s">
        <v>2272</v>
      </c>
      <c r="Z750" s="3" t="s">
        <v>2272</v>
      </c>
      <c r="AA750" s="3" t="s">
        <v>2272</v>
      </c>
      <c r="AB750" s="4" t="s">
        <v>1722</v>
      </c>
      <c r="AC750" s="3"/>
    </row>
    <row r="751" spans="1:29"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2359</v>
      </c>
      <c r="K751" s="21" t="s">
        <v>2359</v>
      </c>
      <c r="L751" s="98" t="s">
        <v>2359</v>
      </c>
      <c r="M751" s="21" t="s">
        <v>2359</v>
      </c>
      <c r="N751" s="21" t="s">
        <v>2359</v>
      </c>
      <c r="O751" s="21" t="s">
        <v>2359</v>
      </c>
      <c r="P751" s="21" t="s">
        <v>2359</v>
      </c>
      <c r="Q751" s="21" t="s">
        <v>2359</v>
      </c>
      <c r="R751" s="97" t="s">
        <v>2272</v>
      </c>
      <c r="S751" s="97" t="s">
        <v>2272</v>
      </c>
      <c r="T751" s="21" t="s">
        <v>2359</v>
      </c>
      <c r="U751" s="21" t="s">
        <v>2359</v>
      </c>
      <c r="V751" s="21" t="s">
        <v>2359</v>
      </c>
      <c r="W751" s="21" t="s">
        <v>2359</v>
      </c>
      <c r="X751" s="21" t="s">
        <v>2272</v>
      </c>
      <c r="Y751" s="3" t="s">
        <v>2272</v>
      </c>
      <c r="Z751" s="3" t="s">
        <v>2272</v>
      </c>
      <c r="AA751" s="3" t="s">
        <v>2272</v>
      </c>
      <c r="AB751" s="4" t="s">
        <v>1722</v>
      </c>
      <c r="AC751" s="3"/>
    </row>
    <row r="752" spans="1:29"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2359</v>
      </c>
      <c r="K752" s="21" t="s">
        <v>2359</v>
      </c>
      <c r="L752" s="98" t="s">
        <v>2359</v>
      </c>
      <c r="M752" s="21" t="s">
        <v>2359</v>
      </c>
      <c r="N752" s="21" t="s">
        <v>2359</v>
      </c>
      <c r="O752" s="21" t="s">
        <v>2359</v>
      </c>
      <c r="P752" s="21" t="s">
        <v>2359</v>
      </c>
      <c r="Q752" s="21" t="s">
        <v>2359</v>
      </c>
      <c r="R752" s="97" t="s">
        <v>2272</v>
      </c>
      <c r="S752" s="97" t="s">
        <v>2272</v>
      </c>
      <c r="T752" s="21" t="s">
        <v>2359</v>
      </c>
      <c r="U752" s="21" t="s">
        <v>2359</v>
      </c>
      <c r="V752" s="21" t="s">
        <v>2359</v>
      </c>
      <c r="W752" s="21" t="s">
        <v>2359</v>
      </c>
      <c r="X752" s="21" t="s">
        <v>2272</v>
      </c>
      <c r="Y752" s="3" t="s">
        <v>2272</v>
      </c>
      <c r="Z752" s="3" t="s">
        <v>2272</v>
      </c>
      <c r="AA752" s="3" t="s">
        <v>2272</v>
      </c>
      <c r="AB752" s="4" t="s">
        <v>1722</v>
      </c>
      <c r="AC752" s="3"/>
    </row>
    <row r="753" spans="1:29"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2359</v>
      </c>
      <c r="K753" s="21" t="s">
        <v>2359</v>
      </c>
      <c r="L753" s="98" t="s">
        <v>2359</v>
      </c>
      <c r="M753" s="21" t="s">
        <v>2359</v>
      </c>
      <c r="N753" s="21" t="s">
        <v>2359</v>
      </c>
      <c r="O753" s="21" t="s">
        <v>2359</v>
      </c>
      <c r="P753" s="21" t="s">
        <v>2359</v>
      </c>
      <c r="Q753" s="21" t="s">
        <v>2359</v>
      </c>
      <c r="R753" s="97" t="s">
        <v>2272</v>
      </c>
      <c r="S753" s="97" t="s">
        <v>2272</v>
      </c>
      <c r="T753" s="21" t="s">
        <v>2359</v>
      </c>
      <c r="U753" s="21" t="s">
        <v>2359</v>
      </c>
      <c r="V753" s="21" t="s">
        <v>2359</v>
      </c>
      <c r="W753" s="21" t="s">
        <v>2359</v>
      </c>
      <c r="X753" s="21" t="s">
        <v>2272</v>
      </c>
      <c r="Y753" s="3" t="s">
        <v>2272</v>
      </c>
      <c r="Z753" s="3" t="s">
        <v>2272</v>
      </c>
      <c r="AA753" s="3" t="s">
        <v>2272</v>
      </c>
      <c r="AB753" s="4" t="s">
        <v>1722</v>
      </c>
      <c r="AC753" s="3"/>
    </row>
    <row r="754" spans="1:29"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2359</v>
      </c>
      <c r="K754" s="21" t="s">
        <v>2359</v>
      </c>
      <c r="L754" s="98" t="s">
        <v>2359</v>
      </c>
      <c r="M754" s="21" t="s">
        <v>2359</v>
      </c>
      <c r="N754" s="21" t="s">
        <v>2359</v>
      </c>
      <c r="O754" s="21" t="s">
        <v>2359</v>
      </c>
      <c r="P754" s="21" t="s">
        <v>2359</v>
      </c>
      <c r="Q754" s="21" t="s">
        <v>2359</v>
      </c>
      <c r="R754" s="97" t="s">
        <v>2272</v>
      </c>
      <c r="S754" s="97" t="s">
        <v>2272</v>
      </c>
      <c r="T754" s="21" t="s">
        <v>2359</v>
      </c>
      <c r="U754" s="21" t="s">
        <v>2359</v>
      </c>
      <c r="V754" s="21" t="s">
        <v>2359</v>
      </c>
      <c r="W754" s="21" t="s">
        <v>2359</v>
      </c>
      <c r="X754" s="21" t="s">
        <v>2272</v>
      </c>
      <c r="Y754" s="3" t="s">
        <v>2272</v>
      </c>
      <c r="Z754" s="3" t="s">
        <v>2272</v>
      </c>
      <c r="AA754" s="3" t="s">
        <v>2272</v>
      </c>
      <c r="AB754" s="4" t="s">
        <v>1722</v>
      </c>
      <c r="AC754" s="3"/>
    </row>
    <row r="755" spans="1:29"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2359</v>
      </c>
      <c r="K755" s="21" t="s">
        <v>2359</v>
      </c>
      <c r="L755" s="98" t="s">
        <v>2359</v>
      </c>
      <c r="M755" s="21" t="s">
        <v>2359</v>
      </c>
      <c r="N755" s="21" t="s">
        <v>2359</v>
      </c>
      <c r="O755" s="21" t="s">
        <v>2359</v>
      </c>
      <c r="P755" s="21" t="s">
        <v>2359</v>
      </c>
      <c r="Q755" s="21" t="s">
        <v>2359</v>
      </c>
      <c r="R755" s="97" t="s">
        <v>2272</v>
      </c>
      <c r="S755" s="97" t="s">
        <v>2272</v>
      </c>
      <c r="T755" s="21" t="s">
        <v>2359</v>
      </c>
      <c r="U755" s="21" t="s">
        <v>2359</v>
      </c>
      <c r="V755" s="21" t="s">
        <v>2359</v>
      </c>
      <c r="W755" s="21" t="s">
        <v>2359</v>
      </c>
      <c r="X755" s="21" t="s">
        <v>2272</v>
      </c>
      <c r="Y755" s="3" t="s">
        <v>2272</v>
      </c>
      <c r="Z755" s="3" t="s">
        <v>2272</v>
      </c>
      <c r="AA755" s="3" t="s">
        <v>2272</v>
      </c>
      <c r="AB755" s="4" t="s">
        <v>1722</v>
      </c>
      <c r="AC755" s="3"/>
    </row>
    <row r="756" spans="1:29"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2359</v>
      </c>
      <c r="K756" s="21" t="s">
        <v>2359</v>
      </c>
      <c r="L756" s="98" t="s">
        <v>2359</v>
      </c>
      <c r="M756" s="21" t="s">
        <v>2359</v>
      </c>
      <c r="N756" s="21" t="s">
        <v>2359</v>
      </c>
      <c r="O756" s="21" t="s">
        <v>2359</v>
      </c>
      <c r="P756" s="21" t="s">
        <v>2359</v>
      </c>
      <c r="Q756" s="21" t="s">
        <v>2359</v>
      </c>
      <c r="R756" s="97" t="s">
        <v>2272</v>
      </c>
      <c r="S756" s="97" t="s">
        <v>2272</v>
      </c>
      <c r="T756" s="21" t="s">
        <v>2359</v>
      </c>
      <c r="U756" s="21" t="s">
        <v>2359</v>
      </c>
      <c r="V756" s="21" t="s">
        <v>2359</v>
      </c>
      <c r="W756" s="21" t="s">
        <v>2359</v>
      </c>
      <c r="X756" s="21" t="s">
        <v>2272</v>
      </c>
      <c r="Y756" s="3" t="s">
        <v>2272</v>
      </c>
      <c r="Z756" s="3" t="s">
        <v>2272</v>
      </c>
      <c r="AA756" s="3" t="s">
        <v>2272</v>
      </c>
      <c r="AB756" s="4" t="s">
        <v>1722</v>
      </c>
      <c r="AC756" s="3"/>
    </row>
    <row r="757" spans="1:29"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2359</v>
      </c>
      <c r="K757" s="21" t="s">
        <v>2359</v>
      </c>
      <c r="L757" s="98" t="s">
        <v>2359</v>
      </c>
      <c r="M757" s="21" t="s">
        <v>2359</v>
      </c>
      <c r="N757" s="21" t="s">
        <v>2359</v>
      </c>
      <c r="O757" s="21" t="s">
        <v>2359</v>
      </c>
      <c r="P757" s="21" t="s">
        <v>2359</v>
      </c>
      <c r="Q757" s="21" t="s">
        <v>2359</v>
      </c>
      <c r="R757" s="97" t="s">
        <v>2272</v>
      </c>
      <c r="S757" s="97" t="s">
        <v>2272</v>
      </c>
      <c r="T757" s="21" t="s">
        <v>2359</v>
      </c>
      <c r="U757" s="21" t="s">
        <v>2359</v>
      </c>
      <c r="V757" s="21" t="s">
        <v>2359</v>
      </c>
      <c r="W757" s="21" t="s">
        <v>2359</v>
      </c>
      <c r="X757" s="21" t="s">
        <v>2272</v>
      </c>
      <c r="Y757" s="3" t="s">
        <v>2272</v>
      </c>
      <c r="Z757" s="3" t="s">
        <v>2272</v>
      </c>
      <c r="AA757" s="3" t="s">
        <v>2272</v>
      </c>
      <c r="AB757" s="4" t="s">
        <v>1722</v>
      </c>
      <c r="AC757" s="3"/>
    </row>
    <row r="758" spans="1:29"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2359</v>
      </c>
      <c r="K758" s="21" t="s">
        <v>2359</v>
      </c>
      <c r="L758" s="98" t="s">
        <v>2359</v>
      </c>
      <c r="M758" s="21" t="s">
        <v>2359</v>
      </c>
      <c r="N758" s="21" t="s">
        <v>2359</v>
      </c>
      <c r="O758" s="21" t="s">
        <v>2359</v>
      </c>
      <c r="P758" s="21" t="s">
        <v>2359</v>
      </c>
      <c r="Q758" s="21" t="s">
        <v>2359</v>
      </c>
      <c r="R758" s="97" t="s">
        <v>2272</v>
      </c>
      <c r="S758" s="97" t="s">
        <v>2272</v>
      </c>
      <c r="T758" s="21" t="s">
        <v>2359</v>
      </c>
      <c r="U758" s="21" t="s">
        <v>2359</v>
      </c>
      <c r="V758" s="21" t="s">
        <v>2359</v>
      </c>
      <c r="W758" s="21" t="s">
        <v>2359</v>
      </c>
      <c r="X758" s="21" t="s">
        <v>2272</v>
      </c>
      <c r="Y758" s="3" t="s">
        <v>2272</v>
      </c>
      <c r="Z758" s="3" t="s">
        <v>2272</v>
      </c>
      <c r="AA758" s="3" t="s">
        <v>2272</v>
      </c>
      <c r="AB758" s="4" t="s">
        <v>1722</v>
      </c>
      <c r="AC758" s="3"/>
    </row>
    <row r="759" spans="1:29"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2359</v>
      </c>
      <c r="K759" s="21" t="s">
        <v>2359</v>
      </c>
      <c r="L759" s="98" t="s">
        <v>2359</v>
      </c>
      <c r="M759" s="21" t="s">
        <v>2359</v>
      </c>
      <c r="N759" s="21" t="s">
        <v>2359</v>
      </c>
      <c r="O759" s="21" t="s">
        <v>2359</v>
      </c>
      <c r="P759" s="21" t="s">
        <v>2359</v>
      </c>
      <c r="Q759" s="21" t="s">
        <v>2359</v>
      </c>
      <c r="R759" s="97" t="s">
        <v>2272</v>
      </c>
      <c r="S759" s="97" t="s">
        <v>2272</v>
      </c>
      <c r="T759" s="21" t="s">
        <v>2359</v>
      </c>
      <c r="U759" s="21" t="s">
        <v>2359</v>
      </c>
      <c r="V759" s="21" t="s">
        <v>2359</v>
      </c>
      <c r="W759" s="21" t="s">
        <v>2359</v>
      </c>
      <c r="X759" s="21" t="s">
        <v>2272</v>
      </c>
      <c r="Y759" s="3" t="s">
        <v>2272</v>
      </c>
      <c r="Z759" s="3" t="s">
        <v>2272</v>
      </c>
      <c r="AA759" s="3" t="s">
        <v>2272</v>
      </c>
      <c r="AB759" s="4" t="s">
        <v>1722</v>
      </c>
      <c r="AC759" s="3"/>
    </row>
    <row r="760" spans="1:29"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2359</v>
      </c>
      <c r="K760" s="21" t="s">
        <v>2359</v>
      </c>
      <c r="L760" s="98" t="s">
        <v>2359</v>
      </c>
      <c r="M760" s="21" t="s">
        <v>2359</v>
      </c>
      <c r="N760" s="21" t="s">
        <v>2359</v>
      </c>
      <c r="O760" s="21" t="s">
        <v>2359</v>
      </c>
      <c r="P760" s="21" t="s">
        <v>2359</v>
      </c>
      <c r="Q760" s="21" t="s">
        <v>2359</v>
      </c>
      <c r="R760" s="97" t="s">
        <v>2272</v>
      </c>
      <c r="S760" s="97" t="s">
        <v>2272</v>
      </c>
      <c r="T760" s="21" t="s">
        <v>2359</v>
      </c>
      <c r="U760" s="21" t="s">
        <v>2359</v>
      </c>
      <c r="V760" s="21" t="s">
        <v>2359</v>
      </c>
      <c r="W760" s="21" t="s">
        <v>2359</v>
      </c>
      <c r="X760" s="21" t="s">
        <v>2272</v>
      </c>
      <c r="Y760" s="3" t="s">
        <v>2272</v>
      </c>
      <c r="Z760" s="3" t="s">
        <v>2272</v>
      </c>
      <c r="AA760" s="3" t="s">
        <v>2272</v>
      </c>
      <c r="AB760" s="4" t="s">
        <v>1722</v>
      </c>
      <c r="AC760" s="3"/>
    </row>
    <row r="761" spans="1:29"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2272</v>
      </c>
      <c r="K761" s="21" t="s">
        <v>2272</v>
      </c>
      <c r="L761" s="98" t="s">
        <v>2272</v>
      </c>
      <c r="M761" s="21" t="s">
        <v>2272</v>
      </c>
      <c r="N761" s="21" t="s">
        <v>2272</v>
      </c>
      <c r="O761" s="21" t="s">
        <v>2272</v>
      </c>
      <c r="P761" s="21" t="s">
        <v>2272</v>
      </c>
      <c r="Q761" s="21" t="s">
        <v>2272</v>
      </c>
      <c r="R761" s="97" t="s">
        <v>2272</v>
      </c>
      <c r="S761" s="97" t="s">
        <v>2272</v>
      </c>
      <c r="T761" s="21" t="s">
        <v>2272</v>
      </c>
      <c r="U761" s="21" t="s">
        <v>2272</v>
      </c>
      <c r="V761" s="21" t="s">
        <v>2272</v>
      </c>
      <c r="W761" s="21" t="s">
        <v>2272</v>
      </c>
      <c r="X761" s="21" t="s">
        <v>2272</v>
      </c>
      <c r="Y761" s="3" t="s">
        <v>2272</v>
      </c>
      <c r="Z761" s="3" t="s">
        <v>2272</v>
      </c>
      <c r="AA761" s="3" t="s">
        <v>2272</v>
      </c>
      <c r="AB761" s="3" t="s">
        <v>1172</v>
      </c>
      <c r="AC761" s="3"/>
    </row>
    <row r="762" spans="1:29"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2272</v>
      </c>
      <c r="K762" s="21" t="s">
        <v>2272</v>
      </c>
      <c r="L762" s="98" t="s">
        <v>2272</v>
      </c>
      <c r="M762" s="21" t="s">
        <v>2272</v>
      </c>
      <c r="N762" s="21" t="s">
        <v>2272</v>
      </c>
      <c r="O762" s="21" t="s">
        <v>2272</v>
      </c>
      <c r="P762" s="21" t="s">
        <v>2272</v>
      </c>
      <c r="Q762" s="21" t="s">
        <v>2272</v>
      </c>
      <c r="R762" s="97" t="s">
        <v>2272</v>
      </c>
      <c r="S762" s="97" t="s">
        <v>2272</v>
      </c>
      <c r="T762" s="21" t="s">
        <v>2272</v>
      </c>
      <c r="U762" s="21" t="s">
        <v>2272</v>
      </c>
      <c r="V762" s="21" t="s">
        <v>2272</v>
      </c>
      <c r="W762" s="21" t="s">
        <v>2272</v>
      </c>
      <c r="X762" s="21" t="s">
        <v>2272</v>
      </c>
      <c r="Y762" s="3" t="s">
        <v>2272</v>
      </c>
      <c r="Z762" s="3" t="s">
        <v>2272</v>
      </c>
      <c r="AA762" s="3" t="s">
        <v>2272</v>
      </c>
      <c r="AB762" s="3" t="s">
        <v>1172</v>
      </c>
      <c r="AC762" s="3"/>
    </row>
    <row r="763" spans="1:29"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2272</v>
      </c>
      <c r="K763" s="21" t="s">
        <v>2272</v>
      </c>
      <c r="L763" s="98" t="s">
        <v>2272</v>
      </c>
      <c r="M763" s="21" t="s">
        <v>2272</v>
      </c>
      <c r="N763" s="21" t="s">
        <v>2272</v>
      </c>
      <c r="O763" s="21" t="s">
        <v>2272</v>
      </c>
      <c r="P763" s="21" t="s">
        <v>2272</v>
      </c>
      <c r="Q763" s="21" t="s">
        <v>2272</v>
      </c>
      <c r="R763" s="97" t="s">
        <v>2272</v>
      </c>
      <c r="S763" s="97" t="s">
        <v>2272</v>
      </c>
      <c r="T763" s="21" t="s">
        <v>2272</v>
      </c>
      <c r="U763" s="21" t="s">
        <v>2272</v>
      </c>
      <c r="V763" s="21" t="s">
        <v>2272</v>
      </c>
      <c r="W763" s="21" t="s">
        <v>2272</v>
      </c>
      <c r="X763" s="21" t="s">
        <v>2272</v>
      </c>
      <c r="Y763" s="3" t="s">
        <v>2272</v>
      </c>
      <c r="Z763" s="3" t="s">
        <v>2272</v>
      </c>
      <c r="AA763" s="3" t="s">
        <v>2272</v>
      </c>
      <c r="AB763" s="3" t="s">
        <v>1172</v>
      </c>
      <c r="AC763" s="3"/>
    </row>
    <row r="764" spans="1:29"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2272</v>
      </c>
      <c r="K764" s="21" t="s">
        <v>2272</v>
      </c>
      <c r="L764" s="98" t="s">
        <v>2272</v>
      </c>
      <c r="M764" s="21" t="s">
        <v>2272</v>
      </c>
      <c r="N764" s="21" t="s">
        <v>2272</v>
      </c>
      <c r="O764" s="21" t="s">
        <v>2272</v>
      </c>
      <c r="P764" s="21" t="s">
        <v>2272</v>
      </c>
      <c r="Q764" s="21" t="s">
        <v>2272</v>
      </c>
      <c r="R764" s="97" t="s">
        <v>2272</v>
      </c>
      <c r="S764" s="97" t="s">
        <v>2272</v>
      </c>
      <c r="T764" s="21" t="s">
        <v>2272</v>
      </c>
      <c r="U764" s="21" t="s">
        <v>2272</v>
      </c>
      <c r="V764" s="21" t="s">
        <v>2272</v>
      </c>
      <c r="W764" s="21" t="s">
        <v>2272</v>
      </c>
      <c r="X764" s="21" t="s">
        <v>2272</v>
      </c>
      <c r="Y764" s="3" t="s">
        <v>187</v>
      </c>
      <c r="Z764" s="3" t="s">
        <v>187</v>
      </c>
      <c r="AA764" s="3" t="s">
        <v>63</v>
      </c>
      <c r="AB764" s="3"/>
      <c r="AC764" s="3"/>
    </row>
    <row r="765" spans="1:29"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2272</v>
      </c>
      <c r="K765" s="21" t="s">
        <v>2272</v>
      </c>
      <c r="L765" s="98" t="s">
        <v>2272</v>
      </c>
      <c r="M765" s="21" t="s">
        <v>2272</v>
      </c>
      <c r="N765" s="21" t="s">
        <v>2272</v>
      </c>
      <c r="O765" s="21" t="s">
        <v>2272</v>
      </c>
      <c r="P765" s="21" t="s">
        <v>2272</v>
      </c>
      <c r="Q765" s="21" t="s">
        <v>2272</v>
      </c>
      <c r="R765" s="97" t="s">
        <v>2272</v>
      </c>
      <c r="S765" s="97" t="s">
        <v>2272</v>
      </c>
      <c r="T765" s="21" t="s">
        <v>2272</v>
      </c>
      <c r="U765" s="21" t="s">
        <v>2272</v>
      </c>
      <c r="V765" s="21" t="s">
        <v>2272</v>
      </c>
      <c r="W765" s="21" t="s">
        <v>2272</v>
      </c>
      <c r="X765" s="21" t="s">
        <v>2272</v>
      </c>
      <c r="Y765" s="3" t="s">
        <v>187</v>
      </c>
      <c r="Z765" s="3" t="s">
        <v>187</v>
      </c>
      <c r="AA765" s="3" t="s">
        <v>63</v>
      </c>
      <c r="AB765" s="3"/>
      <c r="AC765" s="3"/>
    </row>
    <row r="766" spans="1:29"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2272</v>
      </c>
      <c r="K766" s="21" t="s">
        <v>2272</v>
      </c>
      <c r="L766" s="98" t="s">
        <v>2272</v>
      </c>
      <c r="M766" s="21" t="s">
        <v>2272</v>
      </c>
      <c r="N766" s="21" t="s">
        <v>2272</v>
      </c>
      <c r="O766" s="21" t="s">
        <v>2272</v>
      </c>
      <c r="P766" s="21" t="s">
        <v>2272</v>
      </c>
      <c r="Q766" s="21" t="s">
        <v>2272</v>
      </c>
      <c r="R766" s="97" t="s">
        <v>2272</v>
      </c>
      <c r="S766" s="97" t="s">
        <v>2272</v>
      </c>
      <c r="T766" s="21" t="s">
        <v>2272</v>
      </c>
      <c r="U766" s="21" t="s">
        <v>2272</v>
      </c>
      <c r="V766" s="21" t="s">
        <v>2272</v>
      </c>
      <c r="W766" s="21" t="s">
        <v>2272</v>
      </c>
      <c r="X766" s="21" t="s">
        <v>2272</v>
      </c>
      <c r="Y766" s="3" t="s">
        <v>187</v>
      </c>
      <c r="Z766" s="3" t="s">
        <v>187</v>
      </c>
      <c r="AA766" s="3" t="s">
        <v>63</v>
      </c>
      <c r="AB766" s="3"/>
      <c r="AC766" s="3"/>
    </row>
    <row r="767" spans="1:29"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2272</v>
      </c>
      <c r="K767" s="21" t="s">
        <v>2272</v>
      </c>
      <c r="L767" s="98" t="s">
        <v>2272</v>
      </c>
      <c r="M767" s="21" t="s">
        <v>2272</v>
      </c>
      <c r="N767" s="21" t="s">
        <v>2272</v>
      </c>
      <c r="O767" s="21" t="s">
        <v>2272</v>
      </c>
      <c r="P767" s="21" t="s">
        <v>2272</v>
      </c>
      <c r="Q767" s="21" t="s">
        <v>2272</v>
      </c>
      <c r="R767" s="97" t="s">
        <v>2272</v>
      </c>
      <c r="S767" s="97" t="s">
        <v>2272</v>
      </c>
      <c r="T767" s="21" t="s">
        <v>2272</v>
      </c>
      <c r="U767" s="21" t="s">
        <v>2272</v>
      </c>
      <c r="V767" s="21" t="s">
        <v>2272</v>
      </c>
      <c r="W767" s="21" t="s">
        <v>2272</v>
      </c>
      <c r="X767" s="21" t="s">
        <v>2272</v>
      </c>
      <c r="Y767" s="3" t="s">
        <v>187</v>
      </c>
      <c r="Z767" s="3" t="s">
        <v>187</v>
      </c>
      <c r="AA767" s="3" t="s">
        <v>63</v>
      </c>
      <c r="AB767" s="3"/>
      <c r="AC767" s="3"/>
    </row>
    <row r="768" spans="1:29"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2272</v>
      </c>
      <c r="K768" s="21" t="s">
        <v>2272</v>
      </c>
      <c r="L768" s="98" t="s">
        <v>2272</v>
      </c>
      <c r="M768" s="21" t="s">
        <v>2272</v>
      </c>
      <c r="N768" s="21" t="s">
        <v>2272</v>
      </c>
      <c r="O768" s="21" t="s">
        <v>2272</v>
      </c>
      <c r="P768" s="21" t="s">
        <v>2272</v>
      </c>
      <c r="Q768" s="21" t="s">
        <v>2272</v>
      </c>
      <c r="R768" s="97" t="s">
        <v>2272</v>
      </c>
      <c r="S768" s="97" t="s">
        <v>2272</v>
      </c>
      <c r="T768" s="21" t="s">
        <v>2272</v>
      </c>
      <c r="U768" s="21" t="s">
        <v>2272</v>
      </c>
      <c r="V768" s="21" t="s">
        <v>2272</v>
      </c>
      <c r="W768" s="21" t="s">
        <v>2272</v>
      </c>
      <c r="X768" s="21" t="s">
        <v>2272</v>
      </c>
      <c r="Y768" s="3" t="s">
        <v>2272</v>
      </c>
      <c r="Z768" s="3" t="s">
        <v>2272</v>
      </c>
      <c r="AA768" s="11" t="s">
        <v>1184</v>
      </c>
      <c r="AB768" s="4" t="s">
        <v>1185</v>
      </c>
      <c r="AC768" s="3"/>
    </row>
    <row r="769" spans="1:29"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2272</v>
      </c>
      <c r="K769" s="21" t="s">
        <v>2272</v>
      </c>
      <c r="L769" s="98" t="s">
        <v>2272</v>
      </c>
      <c r="M769" s="21" t="s">
        <v>2272</v>
      </c>
      <c r="N769" s="21" t="s">
        <v>2272</v>
      </c>
      <c r="O769" s="21" t="s">
        <v>2358</v>
      </c>
      <c r="P769" s="21" t="s">
        <v>2272</v>
      </c>
      <c r="Q769" s="21" t="s">
        <v>2272</v>
      </c>
      <c r="R769" s="97" t="s">
        <v>2272</v>
      </c>
      <c r="S769" s="97" t="s">
        <v>2272</v>
      </c>
      <c r="T769" s="21" t="s">
        <v>2272</v>
      </c>
      <c r="U769" s="21" t="s">
        <v>2272</v>
      </c>
      <c r="V769" s="21" t="s">
        <v>2272</v>
      </c>
      <c r="W769" s="21" t="s">
        <v>2272</v>
      </c>
      <c r="X769" s="21" t="s">
        <v>2272</v>
      </c>
      <c r="Y769" s="3" t="s">
        <v>2272</v>
      </c>
      <c r="Z769" s="3" t="s">
        <v>2272</v>
      </c>
      <c r="AA769" s="3" t="s">
        <v>2272</v>
      </c>
      <c r="AB769" s="3" t="s">
        <v>1198</v>
      </c>
      <c r="AC769" s="4" t="s">
        <v>1211</v>
      </c>
    </row>
    <row r="770" spans="1:29"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2272</v>
      </c>
      <c r="K770" s="21" t="s">
        <v>2272</v>
      </c>
      <c r="L770" s="98" t="s">
        <v>2272</v>
      </c>
      <c r="M770" s="21" t="s">
        <v>2272</v>
      </c>
      <c r="N770" s="21" t="s">
        <v>2272</v>
      </c>
      <c r="O770" s="21" t="s">
        <v>2358</v>
      </c>
      <c r="P770" s="21" t="s">
        <v>2272</v>
      </c>
      <c r="Q770" s="21" t="s">
        <v>2272</v>
      </c>
      <c r="R770" s="97" t="s">
        <v>2272</v>
      </c>
      <c r="S770" s="97" t="s">
        <v>2272</v>
      </c>
      <c r="T770" s="21" t="s">
        <v>2371</v>
      </c>
      <c r="U770" s="21" t="s">
        <v>2272</v>
      </c>
      <c r="V770" s="21" t="s">
        <v>2522</v>
      </c>
      <c r="W770" s="21" t="s">
        <v>2272</v>
      </c>
      <c r="X770" s="21" t="s">
        <v>2272</v>
      </c>
      <c r="Y770" s="3" t="s">
        <v>2272</v>
      </c>
      <c r="Z770" s="3" t="s">
        <v>2272</v>
      </c>
      <c r="AA770" s="3" t="s">
        <v>2272</v>
      </c>
      <c r="AB770" s="3" t="s">
        <v>1198</v>
      </c>
      <c r="AC770" s="4" t="s">
        <v>1211</v>
      </c>
    </row>
    <row r="771" spans="1:29"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2272</v>
      </c>
      <c r="K771" s="21" t="s">
        <v>2272</v>
      </c>
      <c r="L771" s="98" t="s">
        <v>2272</v>
      </c>
      <c r="M771" s="21" t="s">
        <v>2272</v>
      </c>
      <c r="N771" s="21" t="s">
        <v>2272</v>
      </c>
      <c r="O771" s="21" t="s">
        <v>2358</v>
      </c>
      <c r="P771" s="21" t="s">
        <v>2272</v>
      </c>
      <c r="Q771" s="21" t="s">
        <v>2272</v>
      </c>
      <c r="R771" s="97" t="s">
        <v>2272</v>
      </c>
      <c r="S771" s="97" t="s">
        <v>2272</v>
      </c>
      <c r="T771" s="21" t="s">
        <v>2371</v>
      </c>
      <c r="U771" s="21" t="s">
        <v>2272</v>
      </c>
      <c r="V771" s="21" t="s">
        <v>2522</v>
      </c>
      <c r="W771" s="21" t="s">
        <v>2272</v>
      </c>
      <c r="X771" s="21" t="s">
        <v>2272</v>
      </c>
      <c r="Y771" s="3" t="s">
        <v>2272</v>
      </c>
      <c r="Z771" s="3" t="s">
        <v>2272</v>
      </c>
      <c r="AA771" s="3" t="s">
        <v>2272</v>
      </c>
      <c r="AB771" s="4" t="s">
        <v>1199</v>
      </c>
      <c r="AC771" s="4" t="s">
        <v>1211</v>
      </c>
    </row>
    <row r="772" spans="1:29"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2272</v>
      </c>
      <c r="K772" s="21" t="s">
        <v>2272</v>
      </c>
      <c r="L772" s="98" t="s">
        <v>2272</v>
      </c>
      <c r="M772" s="21" t="s">
        <v>2272</v>
      </c>
      <c r="N772" s="21" t="s">
        <v>2272</v>
      </c>
      <c r="O772" s="21" t="s">
        <v>2272</v>
      </c>
      <c r="P772" s="21" t="s">
        <v>2272</v>
      </c>
      <c r="Q772" s="21" t="s">
        <v>2272</v>
      </c>
      <c r="R772" s="97" t="s">
        <v>2272</v>
      </c>
      <c r="S772" s="97" t="s">
        <v>2272</v>
      </c>
      <c r="T772" s="21" t="s">
        <v>2272</v>
      </c>
      <c r="U772" s="21" t="s">
        <v>2272</v>
      </c>
      <c r="V772" s="21" t="s">
        <v>2272</v>
      </c>
      <c r="W772" s="21" t="s">
        <v>2272</v>
      </c>
      <c r="X772" s="21" t="s">
        <v>2272</v>
      </c>
      <c r="Y772" s="3" t="s">
        <v>2272</v>
      </c>
      <c r="Z772" s="3" t="s">
        <v>2272</v>
      </c>
      <c r="AA772" s="3" t="s">
        <v>2272</v>
      </c>
      <c r="AB772" s="3" t="s">
        <v>1209</v>
      </c>
      <c r="AC772" s="4" t="s">
        <v>1212</v>
      </c>
    </row>
    <row r="773" spans="1:29"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2272</v>
      </c>
      <c r="K773" s="21" t="s">
        <v>2272</v>
      </c>
      <c r="L773" s="98" t="s">
        <v>2272</v>
      </c>
      <c r="M773" s="21" t="s">
        <v>2272</v>
      </c>
      <c r="N773" s="21" t="s">
        <v>2272</v>
      </c>
      <c r="O773" s="21" t="s">
        <v>2272</v>
      </c>
      <c r="P773" s="21" t="s">
        <v>2272</v>
      </c>
      <c r="Q773" s="21" t="s">
        <v>2272</v>
      </c>
      <c r="R773" s="97" t="s">
        <v>2272</v>
      </c>
      <c r="S773" s="97" t="s">
        <v>2272</v>
      </c>
      <c r="T773" s="21" t="s">
        <v>2272</v>
      </c>
      <c r="U773" s="21" t="s">
        <v>2272</v>
      </c>
      <c r="V773" s="21" t="s">
        <v>2272</v>
      </c>
      <c r="W773" s="21" t="s">
        <v>2272</v>
      </c>
      <c r="X773" s="21" t="s">
        <v>2272</v>
      </c>
      <c r="Y773" s="3" t="s">
        <v>2272</v>
      </c>
      <c r="Z773" s="3" t="s">
        <v>2272</v>
      </c>
      <c r="AA773" s="3" t="s">
        <v>2272</v>
      </c>
      <c r="AB773" s="3"/>
      <c r="AC773" s="4" t="s">
        <v>1217</v>
      </c>
    </row>
    <row r="774" spans="1:29"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2359</v>
      </c>
      <c r="K774" s="21" t="s">
        <v>2359</v>
      </c>
      <c r="L774" s="98" t="s">
        <v>2359</v>
      </c>
      <c r="M774" s="21" t="s">
        <v>2359</v>
      </c>
      <c r="N774" s="21" t="s">
        <v>2359</v>
      </c>
      <c r="O774" s="21" t="s">
        <v>2359</v>
      </c>
      <c r="P774" s="21" t="s">
        <v>2359</v>
      </c>
      <c r="Q774" s="21" t="s">
        <v>2359</v>
      </c>
      <c r="R774" s="97" t="s">
        <v>2272</v>
      </c>
      <c r="S774" s="97" t="s">
        <v>2272</v>
      </c>
      <c r="T774" s="21" t="s">
        <v>2359</v>
      </c>
      <c r="U774" s="21" t="s">
        <v>2359</v>
      </c>
      <c r="V774" s="21" t="s">
        <v>2272</v>
      </c>
      <c r="W774" s="21" t="s">
        <v>2359</v>
      </c>
      <c r="X774" s="21" t="s">
        <v>2272</v>
      </c>
      <c r="Y774" s="3" t="s">
        <v>2272</v>
      </c>
      <c r="Z774" s="3" t="s">
        <v>2272</v>
      </c>
      <c r="AA774" s="3" t="s">
        <v>2272</v>
      </c>
      <c r="AB774" s="4" t="s">
        <v>1210</v>
      </c>
      <c r="AC774" s="3"/>
    </row>
    <row r="775" spans="1:29"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2359</v>
      </c>
      <c r="K775" s="21" t="s">
        <v>2359</v>
      </c>
      <c r="L775" s="98" t="s">
        <v>2359</v>
      </c>
      <c r="M775" s="21" t="s">
        <v>2359</v>
      </c>
      <c r="N775" s="21" t="s">
        <v>2359</v>
      </c>
      <c r="O775" s="21" t="s">
        <v>2359</v>
      </c>
      <c r="P775" s="21" t="s">
        <v>2359</v>
      </c>
      <c r="Q775" s="21" t="s">
        <v>2359</v>
      </c>
      <c r="R775" s="97" t="s">
        <v>2272</v>
      </c>
      <c r="S775" s="97" t="s">
        <v>2272</v>
      </c>
      <c r="T775" s="21" t="s">
        <v>2359</v>
      </c>
      <c r="U775" s="21" t="s">
        <v>2359</v>
      </c>
      <c r="V775" s="21" t="s">
        <v>2272</v>
      </c>
      <c r="W775" s="21" t="s">
        <v>2359</v>
      </c>
      <c r="X775" s="21" t="s">
        <v>2272</v>
      </c>
      <c r="Y775" s="3" t="s">
        <v>2272</v>
      </c>
      <c r="Z775" s="3" t="s">
        <v>2272</v>
      </c>
      <c r="AA775" s="3" t="s">
        <v>2272</v>
      </c>
      <c r="AB775" s="4" t="s">
        <v>1210</v>
      </c>
      <c r="AC775" s="3"/>
    </row>
    <row r="776" spans="1:29"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2272</v>
      </c>
      <c r="K776" s="21" t="s">
        <v>2272</v>
      </c>
      <c r="L776" s="98" t="s">
        <v>2272</v>
      </c>
      <c r="M776" s="21" t="s">
        <v>2272</v>
      </c>
      <c r="N776" s="21" t="s">
        <v>2272</v>
      </c>
      <c r="O776" s="21" t="s">
        <v>2272</v>
      </c>
      <c r="P776" s="21" t="s">
        <v>2272</v>
      </c>
      <c r="Q776" s="21" t="s">
        <v>2272</v>
      </c>
      <c r="R776" s="97" t="s">
        <v>2272</v>
      </c>
      <c r="S776" s="97" t="s">
        <v>2272</v>
      </c>
      <c r="T776" s="21" t="s">
        <v>2272</v>
      </c>
      <c r="U776" s="21" t="s">
        <v>2272</v>
      </c>
      <c r="V776" s="21" t="s">
        <v>2272</v>
      </c>
      <c r="W776" s="21" t="s">
        <v>2272</v>
      </c>
      <c r="X776" s="21" t="s">
        <v>2272</v>
      </c>
      <c r="Y776" s="3" t="s">
        <v>2272</v>
      </c>
      <c r="Z776" s="3" t="s">
        <v>2272</v>
      </c>
      <c r="AA776" s="3" t="s">
        <v>2272</v>
      </c>
      <c r="AB776" s="3" t="s">
        <v>1209</v>
      </c>
      <c r="AC776" s="4" t="s">
        <v>1212</v>
      </c>
    </row>
    <row r="777" spans="1:29"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2272</v>
      </c>
      <c r="K777" s="21" t="s">
        <v>2272</v>
      </c>
      <c r="L777" s="98" t="s">
        <v>2272</v>
      </c>
      <c r="M777" s="21" t="s">
        <v>2272</v>
      </c>
      <c r="N777" s="21" t="s">
        <v>2272</v>
      </c>
      <c r="O777" s="21" t="s">
        <v>2272</v>
      </c>
      <c r="P777" s="21" t="s">
        <v>2272</v>
      </c>
      <c r="Q777" s="21" t="s">
        <v>2272</v>
      </c>
      <c r="R777" s="97" t="s">
        <v>2272</v>
      </c>
      <c r="S777" s="97" t="s">
        <v>2272</v>
      </c>
      <c r="T777" s="21" t="s">
        <v>2272</v>
      </c>
      <c r="U777" s="21" t="s">
        <v>2272</v>
      </c>
      <c r="V777" s="21" t="s">
        <v>2272</v>
      </c>
      <c r="W777" s="21" t="s">
        <v>2272</v>
      </c>
      <c r="X777" s="21" t="s">
        <v>2272</v>
      </c>
      <c r="Y777" s="3" t="s">
        <v>2272</v>
      </c>
      <c r="Z777" s="3" t="s">
        <v>2272</v>
      </c>
      <c r="AA777" s="3" t="s">
        <v>2272</v>
      </c>
      <c r="AB777" s="3"/>
      <c r="AC777" s="4" t="s">
        <v>1217</v>
      </c>
    </row>
    <row r="778" spans="1:29"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2359</v>
      </c>
      <c r="K778" s="21" t="s">
        <v>2359</v>
      </c>
      <c r="L778" s="98" t="s">
        <v>2359</v>
      </c>
      <c r="M778" s="21" t="s">
        <v>2359</v>
      </c>
      <c r="N778" s="21" t="s">
        <v>2359</v>
      </c>
      <c r="O778" s="21" t="s">
        <v>2359</v>
      </c>
      <c r="P778" s="21" t="s">
        <v>2359</v>
      </c>
      <c r="Q778" s="21" t="s">
        <v>2359</v>
      </c>
      <c r="R778" s="97" t="s">
        <v>2272</v>
      </c>
      <c r="S778" s="97" t="s">
        <v>2272</v>
      </c>
      <c r="T778" s="21" t="s">
        <v>2359</v>
      </c>
      <c r="U778" s="21" t="s">
        <v>2359</v>
      </c>
      <c r="V778" s="21" t="s">
        <v>2272</v>
      </c>
      <c r="W778" s="21" t="s">
        <v>2359</v>
      </c>
      <c r="X778" s="21" t="s">
        <v>2272</v>
      </c>
      <c r="Y778" s="3" t="s">
        <v>2272</v>
      </c>
      <c r="Z778" s="3" t="s">
        <v>2272</v>
      </c>
      <c r="AA778" s="3" t="s">
        <v>2272</v>
      </c>
      <c r="AB778" s="4" t="s">
        <v>1210</v>
      </c>
      <c r="AC778" s="3"/>
    </row>
    <row r="779" spans="1:29"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2359</v>
      </c>
      <c r="K779" s="21" t="s">
        <v>2359</v>
      </c>
      <c r="L779" s="98" t="s">
        <v>2359</v>
      </c>
      <c r="M779" s="21" t="s">
        <v>2359</v>
      </c>
      <c r="N779" s="21" t="s">
        <v>2359</v>
      </c>
      <c r="O779" s="21" t="s">
        <v>2359</v>
      </c>
      <c r="P779" s="21" t="s">
        <v>2359</v>
      </c>
      <c r="Q779" s="21" t="s">
        <v>2359</v>
      </c>
      <c r="R779" s="97" t="s">
        <v>2272</v>
      </c>
      <c r="S779" s="97" t="s">
        <v>2272</v>
      </c>
      <c r="T779" s="21" t="s">
        <v>2359</v>
      </c>
      <c r="U779" s="21" t="s">
        <v>2359</v>
      </c>
      <c r="V779" s="21" t="s">
        <v>2272</v>
      </c>
      <c r="W779" s="21" t="s">
        <v>2359</v>
      </c>
      <c r="X779" s="21" t="s">
        <v>2272</v>
      </c>
      <c r="Y779" s="3" t="s">
        <v>2272</v>
      </c>
      <c r="Z779" s="3" t="s">
        <v>2272</v>
      </c>
      <c r="AA779" s="3" t="s">
        <v>2272</v>
      </c>
      <c r="AB779" s="4" t="s">
        <v>1210</v>
      </c>
      <c r="AC779" s="3"/>
    </row>
    <row r="780" spans="1:29"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2272</v>
      </c>
      <c r="K780" s="21" t="s">
        <v>2272</v>
      </c>
      <c r="L780" s="98" t="s">
        <v>2272</v>
      </c>
      <c r="M780" s="21" t="s">
        <v>2272</v>
      </c>
      <c r="N780" s="21" t="s">
        <v>2272</v>
      </c>
      <c r="O780" s="21" t="s">
        <v>2272</v>
      </c>
      <c r="P780" s="21" t="s">
        <v>2272</v>
      </c>
      <c r="Q780" s="21" t="s">
        <v>2272</v>
      </c>
      <c r="R780" s="97" t="s">
        <v>2272</v>
      </c>
      <c r="S780" s="97" t="s">
        <v>2272</v>
      </c>
      <c r="T780" s="21" t="s">
        <v>2272</v>
      </c>
      <c r="U780" s="21" t="s">
        <v>2272</v>
      </c>
      <c r="V780" s="21" t="s">
        <v>2272</v>
      </c>
      <c r="W780" s="21" t="s">
        <v>2272</v>
      </c>
      <c r="X780" s="21" t="s">
        <v>2272</v>
      </c>
      <c r="Y780" s="3" t="s">
        <v>402</v>
      </c>
      <c r="Z780" s="3" t="s">
        <v>34</v>
      </c>
      <c r="AA780" s="3" t="s">
        <v>63</v>
      </c>
      <c r="AB780" s="4" t="s">
        <v>1230</v>
      </c>
      <c r="AC780" s="3"/>
    </row>
    <row r="781" spans="1:29"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2359</v>
      </c>
      <c r="K781" s="21" t="s">
        <v>2359</v>
      </c>
      <c r="L781" s="98" t="s">
        <v>2359</v>
      </c>
      <c r="M781" s="21" t="s">
        <v>2359</v>
      </c>
      <c r="N781" s="21" t="s">
        <v>2359</v>
      </c>
      <c r="O781" s="21" t="s">
        <v>2359</v>
      </c>
      <c r="P781" s="21" t="s">
        <v>2359</v>
      </c>
      <c r="Q781" s="21" t="s">
        <v>2359</v>
      </c>
      <c r="R781" s="97" t="s">
        <v>2272</v>
      </c>
      <c r="S781" s="97" t="s">
        <v>2272</v>
      </c>
      <c r="T781" s="21" t="s">
        <v>2359</v>
      </c>
      <c r="U781" s="21" t="s">
        <v>2359</v>
      </c>
      <c r="V781" s="21" t="s">
        <v>2272</v>
      </c>
      <c r="W781" s="21" t="s">
        <v>2359</v>
      </c>
      <c r="X781" s="21" t="s">
        <v>2272</v>
      </c>
      <c r="Y781" s="3" t="s">
        <v>2272</v>
      </c>
      <c r="Z781" s="3" t="s">
        <v>2272</v>
      </c>
      <c r="AA781" s="3" t="s">
        <v>2272</v>
      </c>
      <c r="AB781" s="4" t="s">
        <v>1232</v>
      </c>
      <c r="AC781" s="3"/>
    </row>
    <row r="782" spans="1:29"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2272</v>
      </c>
      <c r="K782" s="21" t="s">
        <v>2272</v>
      </c>
      <c r="L782" s="98" t="s">
        <v>2272</v>
      </c>
      <c r="M782" s="21" t="s">
        <v>2272</v>
      </c>
      <c r="N782" s="21" t="s">
        <v>2272</v>
      </c>
      <c r="O782" s="21" t="s">
        <v>2272</v>
      </c>
      <c r="P782" s="21" t="s">
        <v>2272</v>
      </c>
      <c r="Q782" s="21" t="s">
        <v>2272</v>
      </c>
      <c r="R782" s="97" t="s">
        <v>2272</v>
      </c>
      <c r="S782" s="97" t="s">
        <v>2272</v>
      </c>
      <c r="T782" s="21" t="s">
        <v>2272</v>
      </c>
      <c r="U782" s="21" t="s">
        <v>2272</v>
      </c>
      <c r="V782" s="21" t="s">
        <v>2272</v>
      </c>
      <c r="W782" s="21" t="s">
        <v>2272</v>
      </c>
      <c r="X782" s="21" t="s">
        <v>2272</v>
      </c>
      <c r="Y782" s="3" t="s">
        <v>2272</v>
      </c>
      <c r="Z782" s="3" t="s">
        <v>2272</v>
      </c>
      <c r="AA782" s="3" t="s">
        <v>2272</v>
      </c>
      <c r="AB782" s="4"/>
      <c r="AC782" s="3"/>
    </row>
    <row r="783" spans="1:29"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2272</v>
      </c>
      <c r="K783" s="21" t="s">
        <v>2272</v>
      </c>
      <c r="L783" s="98" t="s">
        <v>2272</v>
      </c>
      <c r="M783" s="21" t="s">
        <v>2272</v>
      </c>
      <c r="N783" s="21" t="s">
        <v>2272</v>
      </c>
      <c r="O783" s="21" t="s">
        <v>2272</v>
      </c>
      <c r="P783" s="21" t="s">
        <v>2272</v>
      </c>
      <c r="Q783" s="21" t="s">
        <v>2272</v>
      </c>
      <c r="R783" s="97" t="s">
        <v>2272</v>
      </c>
      <c r="S783" s="97" t="s">
        <v>2272</v>
      </c>
      <c r="T783" s="21" t="s">
        <v>2385</v>
      </c>
      <c r="U783" s="21" t="s">
        <v>2272</v>
      </c>
      <c r="V783" s="21" t="s">
        <v>2272</v>
      </c>
      <c r="W783" s="21" t="s">
        <v>2272</v>
      </c>
      <c r="X783" s="21" t="s">
        <v>2272</v>
      </c>
      <c r="Y783" s="3" t="s">
        <v>84</v>
      </c>
      <c r="Z783" s="3" t="s">
        <v>402</v>
      </c>
      <c r="AA783" s="3" t="s">
        <v>63</v>
      </c>
      <c r="AB783" s="4" t="s">
        <v>1239</v>
      </c>
      <c r="AC783" s="3"/>
    </row>
    <row r="784" spans="1:29"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2272</v>
      </c>
      <c r="K784" s="21" t="s">
        <v>2272</v>
      </c>
      <c r="L784" s="98" t="s">
        <v>2272</v>
      </c>
      <c r="M784" s="21" t="s">
        <v>2272</v>
      </c>
      <c r="N784" s="21" t="s">
        <v>2272</v>
      </c>
      <c r="O784" s="21" t="s">
        <v>2272</v>
      </c>
      <c r="P784" s="21" t="s">
        <v>2272</v>
      </c>
      <c r="Q784" s="21" t="s">
        <v>2272</v>
      </c>
      <c r="R784" s="97" t="s">
        <v>2272</v>
      </c>
      <c r="S784" s="97" t="s">
        <v>2272</v>
      </c>
      <c r="T784" s="21" t="s">
        <v>2272</v>
      </c>
      <c r="U784" s="21" t="s">
        <v>2272</v>
      </c>
      <c r="V784" s="21" t="s">
        <v>2272</v>
      </c>
      <c r="W784" s="21" t="s">
        <v>2272</v>
      </c>
      <c r="X784" s="21" t="s">
        <v>2272</v>
      </c>
      <c r="Y784" s="3" t="s">
        <v>1242</v>
      </c>
      <c r="Z784" s="3" t="s">
        <v>403</v>
      </c>
      <c r="AA784" s="3" t="s">
        <v>63</v>
      </c>
      <c r="AB784" s="3"/>
      <c r="AC784" s="3"/>
    </row>
    <row r="785" spans="1:29"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2272</v>
      </c>
      <c r="K785" s="21" t="s">
        <v>2272</v>
      </c>
      <c r="L785" s="98" t="s">
        <v>2272</v>
      </c>
      <c r="M785" s="21" t="s">
        <v>2272</v>
      </c>
      <c r="N785" s="21" t="s">
        <v>2272</v>
      </c>
      <c r="O785" s="21" t="s">
        <v>2272</v>
      </c>
      <c r="P785" s="21" t="s">
        <v>2272</v>
      </c>
      <c r="Q785" s="21" t="s">
        <v>2272</v>
      </c>
      <c r="R785" s="21" t="s">
        <v>2272</v>
      </c>
      <c r="S785" s="21" t="s">
        <v>2272</v>
      </c>
      <c r="T785" s="21" t="s">
        <v>2272</v>
      </c>
      <c r="U785" s="21" t="s">
        <v>2272</v>
      </c>
      <c r="V785" s="21" t="s">
        <v>2272</v>
      </c>
      <c r="W785" s="21" t="s">
        <v>2272</v>
      </c>
      <c r="X785" s="98" t="s">
        <v>2397</v>
      </c>
      <c r="Y785" s="21" t="s">
        <v>2272</v>
      </c>
      <c r="Z785" s="21" t="s">
        <v>2272</v>
      </c>
      <c r="AA785" s="21" t="s">
        <v>2272</v>
      </c>
      <c r="AB785" s="3"/>
      <c r="AC785" s="4" t="s">
        <v>2452</v>
      </c>
    </row>
    <row r="786" spans="1:29"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2272</v>
      </c>
      <c r="K786" s="21" t="s">
        <v>2272</v>
      </c>
      <c r="L786" s="98" t="s">
        <v>2272</v>
      </c>
      <c r="M786" s="21" t="s">
        <v>2272</v>
      </c>
      <c r="N786" s="21" t="s">
        <v>2272</v>
      </c>
      <c r="O786" s="21" t="s">
        <v>2272</v>
      </c>
      <c r="P786" s="21" t="s">
        <v>2272</v>
      </c>
      <c r="Q786" s="21" t="s">
        <v>2272</v>
      </c>
      <c r="R786" s="21" t="s">
        <v>2272</v>
      </c>
      <c r="S786" s="21" t="s">
        <v>2272</v>
      </c>
      <c r="T786" s="21" t="s">
        <v>2272</v>
      </c>
      <c r="U786" s="21" t="s">
        <v>2272</v>
      </c>
      <c r="V786" s="21" t="s">
        <v>2272</v>
      </c>
      <c r="W786" s="21" t="s">
        <v>2272</v>
      </c>
      <c r="X786" s="98" t="s">
        <v>2397</v>
      </c>
      <c r="Y786" s="21" t="s">
        <v>2272</v>
      </c>
      <c r="Z786" s="21" t="s">
        <v>2272</v>
      </c>
      <c r="AA786" s="21" t="s">
        <v>2272</v>
      </c>
      <c r="AB786" s="3" t="s">
        <v>2451</v>
      </c>
      <c r="AC786" s="3"/>
    </row>
    <row r="787" spans="1:29"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2272</v>
      </c>
      <c r="K787" s="21" t="s">
        <v>2272</v>
      </c>
      <c r="L787" s="98" t="s">
        <v>2272</v>
      </c>
      <c r="M787" s="21" t="s">
        <v>2272</v>
      </c>
      <c r="N787" s="21" t="s">
        <v>2272</v>
      </c>
      <c r="O787" s="21" t="s">
        <v>2272</v>
      </c>
      <c r="P787" s="21" t="s">
        <v>2272</v>
      </c>
      <c r="Q787" s="21" t="s">
        <v>2272</v>
      </c>
      <c r="R787" s="21" t="s">
        <v>2272</v>
      </c>
      <c r="S787" s="21" t="s">
        <v>2272</v>
      </c>
      <c r="T787" s="21" t="s">
        <v>2272</v>
      </c>
      <c r="U787" s="21" t="s">
        <v>2272</v>
      </c>
      <c r="V787" s="21" t="s">
        <v>2272</v>
      </c>
      <c r="W787" s="21" t="s">
        <v>2272</v>
      </c>
      <c r="X787" s="98" t="s">
        <v>2397</v>
      </c>
      <c r="Y787" s="21" t="s">
        <v>2272</v>
      </c>
      <c r="Z787" s="21" t="s">
        <v>2272</v>
      </c>
      <c r="AA787" s="21" t="s">
        <v>2272</v>
      </c>
      <c r="AB787" s="3"/>
      <c r="AC787" s="3"/>
    </row>
    <row r="788" spans="1:29" ht="50"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2272</v>
      </c>
      <c r="K788" s="21" t="s">
        <v>2272</v>
      </c>
      <c r="L788" s="98" t="s">
        <v>2272</v>
      </c>
      <c r="M788" s="21" t="s">
        <v>2272</v>
      </c>
      <c r="N788" s="21" t="s">
        <v>2272</v>
      </c>
      <c r="O788" s="21" t="s">
        <v>2272</v>
      </c>
      <c r="P788" s="21" t="s">
        <v>2272</v>
      </c>
      <c r="Q788" s="21" t="s">
        <v>2272</v>
      </c>
      <c r="R788" s="21" t="s">
        <v>2272</v>
      </c>
      <c r="S788" s="21" t="s">
        <v>2272</v>
      </c>
      <c r="T788" s="21" t="s">
        <v>2272</v>
      </c>
      <c r="U788" s="21" t="s">
        <v>2272</v>
      </c>
      <c r="V788" s="21" t="s">
        <v>2272</v>
      </c>
      <c r="W788" s="21" t="s">
        <v>2272</v>
      </c>
      <c r="X788" s="98" t="s">
        <v>2397</v>
      </c>
      <c r="Y788" s="21" t="s">
        <v>2272</v>
      </c>
      <c r="Z788" s="21" t="s">
        <v>2272</v>
      </c>
      <c r="AA788" s="21" t="s">
        <v>2272</v>
      </c>
      <c r="AB788" s="3"/>
      <c r="AC788" s="3"/>
    </row>
    <row r="789" spans="1:29" ht="50" customHeight="1">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2272</v>
      </c>
      <c r="K789" s="21" t="s">
        <v>2272</v>
      </c>
      <c r="L789" s="98" t="s">
        <v>2358</v>
      </c>
      <c r="M789" s="21" t="s">
        <v>2272</v>
      </c>
      <c r="N789" s="98" t="s">
        <v>2358</v>
      </c>
      <c r="O789" s="21" t="s">
        <v>2272</v>
      </c>
      <c r="P789" s="98" t="s">
        <v>2358</v>
      </c>
      <c r="Q789" s="21" t="s">
        <v>2272</v>
      </c>
      <c r="R789" s="98" t="s">
        <v>2358</v>
      </c>
      <c r="S789" s="21" t="s">
        <v>2272</v>
      </c>
      <c r="T789" s="21" t="s">
        <v>2272</v>
      </c>
      <c r="U789" s="21" t="s">
        <v>2272</v>
      </c>
      <c r="V789" s="21" t="s">
        <v>2272</v>
      </c>
      <c r="W789" s="21" t="s">
        <v>2272</v>
      </c>
      <c r="X789" s="98" t="s">
        <v>2397</v>
      </c>
      <c r="Y789" s="21" t="s">
        <v>186</v>
      </c>
      <c r="Z789" s="21" t="s">
        <v>187</v>
      </c>
      <c r="AA789" s="70" t="s">
        <v>63</v>
      </c>
      <c r="AB789" s="4" t="s">
        <v>2511</v>
      </c>
      <c r="AC789" s="3"/>
    </row>
    <row r="790" spans="1:29" ht="50" customHeight="1">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2272</v>
      </c>
      <c r="K790" s="21" t="s">
        <v>2272</v>
      </c>
      <c r="L790" s="98" t="s">
        <v>2358</v>
      </c>
      <c r="M790" s="21" t="s">
        <v>2272</v>
      </c>
      <c r="N790" s="98" t="s">
        <v>2358</v>
      </c>
      <c r="O790" s="21" t="s">
        <v>2272</v>
      </c>
      <c r="P790" s="98" t="s">
        <v>2358</v>
      </c>
      <c r="Q790" s="21" t="s">
        <v>2272</v>
      </c>
      <c r="R790" s="98" t="s">
        <v>2358</v>
      </c>
      <c r="S790" s="21" t="s">
        <v>2272</v>
      </c>
      <c r="T790" s="21" t="s">
        <v>2272</v>
      </c>
      <c r="U790" s="21" t="s">
        <v>2272</v>
      </c>
      <c r="V790" s="21" t="s">
        <v>2272</v>
      </c>
      <c r="W790" s="21" t="s">
        <v>2272</v>
      </c>
      <c r="X790" s="98" t="s">
        <v>2397</v>
      </c>
      <c r="Y790" s="21" t="s">
        <v>186</v>
      </c>
      <c r="Z790" s="21" t="s">
        <v>187</v>
      </c>
      <c r="AA790" s="70" t="s">
        <v>63</v>
      </c>
      <c r="AB790" s="4" t="s">
        <v>2511</v>
      </c>
      <c r="AC790" s="3"/>
    </row>
    <row r="791" spans="1:29" ht="50" customHeight="1">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2272</v>
      </c>
      <c r="K791" s="21" t="s">
        <v>2272</v>
      </c>
      <c r="L791" s="98" t="s">
        <v>2358</v>
      </c>
      <c r="M791" s="21" t="s">
        <v>2272</v>
      </c>
      <c r="N791" s="98" t="s">
        <v>2358</v>
      </c>
      <c r="O791" s="21" t="s">
        <v>2272</v>
      </c>
      <c r="P791" s="98" t="s">
        <v>2358</v>
      </c>
      <c r="Q791" s="21" t="s">
        <v>2272</v>
      </c>
      <c r="R791" s="98" t="s">
        <v>2358</v>
      </c>
      <c r="S791" s="21" t="s">
        <v>2272</v>
      </c>
      <c r="T791" s="21" t="s">
        <v>2272</v>
      </c>
      <c r="U791" s="21" t="s">
        <v>2272</v>
      </c>
      <c r="V791" s="21" t="s">
        <v>2272</v>
      </c>
      <c r="W791" s="21" t="s">
        <v>2272</v>
      </c>
      <c r="X791" s="98" t="s">
        <v>2397</v>
      </c>
      <c r="Y791" s="21" t="s">
        <v>186</v>
      </c>
      <c r="Z791" s="21" t="s">
        <v>187</v>
      </c>
      <c r="AA791" s="70" t="s">
        <v>63</v>
      </c>
      <c r="AB791" s="4" t="s">
        <v>2511</v>
      </c>
      <c r="AC791" s="3"/>
    </row>
    <row r="792" spans="1:29" ht="50" customHeight="1">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2272</v>
      </c>
      <c r="K792" s="21" t="s">
        <v>2272</v>
      </c>
      <c r="L792" s="98" t="s">
        <v>2358</v>
      </c>
      <c r="M792" s="21" t="s">
        <v>2272</v>
      </c>
      <c r="N792" s="98" t="s">
        <v>2358</v>
      </c>
      <c r="O792" s="21" t="s">
        <v>2272</v>
      </c>
      <c r="P792" s="98" t="s">
        <v>2358</v>
      </c>
      <c r="Q792" s="21" t="s">
        <v>2272</v>
      </c>
      <c r="R792" s="98" t="s">
        <v>2358</v>
      </c>
      <c r="S792" s="21" t="s">
        <v>2272</v>
      </c>
      <c r="T792" s="21" t="s">
        <v>2272</v>
      </c>
      <c r="U792" s="21" t="s">
        <v>2272</v>
      </c>
      <c r="V792" s="21" t="s">
        <v>2272</v>
      </c>
      <c r="W792" s="21" t="s">
        <v>2272</v>
      </c>
      <c r="X792" s="98" t="s">
        <v>2397</v>
      </c>
      <c r="Y792" s="21" t="s">
        <v>186</v>
      </c>
      <c r="Z792" s="21" t="s">
        <v>187</v>
      </c>
      <c r="AA792" s="70" t="s">
        <v>63</v>
      </c>
      <c r="AB792" s="4" t="s">
        <v>2511</v>
      </c>
      <c r="AC792" s="3"/>
    </row>
    <row r="793" spans="1:29" ht="50" customHeight="1">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2272</v>
      </c>
      <c r="K793" s="21" t="s">
        <v>2272</v>
      </c>
      <c r="L793" s="98" t="s">
        <v>2358</v>
      </c>
      <c r="M793" s="21" t="s">
        <v>2272</v>
      </c>
      <c r="N793" s="98" t="s">
        <v>2358</v>
      </c>
      <c r="O793" s="21" t="s">
        <v>2272</v>
      </c>
      <c r="P793" s="98" t="s">
        <v>2358</v>
      </c>
      <c r="Q793" s="21" t="s">
        <v>2272</v>
      </c>
      <c r="R793" s="98" t="s">
        <v>2358</v>
      </c>
      <c r="S793" s="21" t="s">
        <v>2272</v>
      </c>
      <c r="T793" s="21" t="s">
        <v>2272</v>
      </c>
      <c r="U793" s="21" t="s">
        <v>2272</v>
      </c>
      <c r="V793" s="21" t="s">
        <v>2272</v>
      </c>
      <c r="W793" s="21" t="s">
        <v>2272</v>
      </c>
      <c r="X793" s="98" t="s">
        <v>2397</v>
      </c>
      <c r="Y793" s="21" t="s">
        <v>186</v>
      </c>
      <c r="Z793" s="21" t="s">
        <v>187</v>
      </c>
      <c r="AA793" s="70" t="s">
        <v>63</v>
      </c>
      <c r="AB793" s="4" t="s">
        <v>2511</v>
      </c>
      <c r="AC793" s="3"/>
    </row>
    <row r="794" spans="1:29" ht="50" customHeight="1">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2272</v>
      </c>
      <c r="K794" s="21" t="s">
        <v>2272</v>
      </c>
      <c r="L794" s="98" t="s">
        <v>2358</v>
      </c>
      <c r="M794" s="21" t="s">
        <v>2272</v>
      </c>
      <c r="N794" s="98" t="s">
        <v>2358</v>
      </c>
      <c r="O794" s="21" t="s">
        <v>2272</v>
      </c>
      <c r="P794" s="98" t="s">
        <v>2358</v>
      </c>
      <c r="Q794" s="21" t="s">
        <v>2272</v>
      </c>
      <c r="R794" s="98" t="s">
        <v>2358</v>
      </c>
      <c r="S794" s="21" t="s">
        <v>2272</v>
      </c>
      <c r="T794" s="21" t="s">
        <v>2272</v>
      </c>
      <c r="U794" s="21" t="s">
        <v>2272</v>
      </c>
      <c r="V794" s="21" t="s">
        <v>2272</v>
      </c>
      <c r="W794" s="21" t="s">
        <v>2272</v>
      </c>
      <c r="X794" s="98" t="s">
        <v>2397</v>
      </c>
      <c r="Y794" s="21" t="s">
        <v>186</v>
      </c>
      <c r="Z794" s="21" t="s">
        <v>187</v>
      </c>
      <c r="AA794" s="70" t="s">
        <v>63</v>
      </c>
      <c r="AB794" s="4" t="s">
        <v>2511</v>
      </c>
      <c r="AC794" s="3"/>
    </row>
    <row r="795" spans="1:29" ht="50" customHeight="1">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2272</v>
      </c>
      <c r="K795" s="21" t="s">
        <v>2272</v>
      </c>
      <c r="L795" s="98" t="s">
        <v>2358</v>
      </c>
      <c r="M795" s="21" t="s">
        <v>2272</v>
      </c>
      <c r="N795" s="98" t="s">
        <v>2358</v>
      </c>
      <c r="O795" s="21" t="s">
        <v>2272</v>
      </c>
      <c r="P795" s="98" t="s">
        <v>2358</v>
      </c>
      <c r="Q795" s="21" t="s">
        <v>2272</v>
      </c>
      <c r="R795" s="98" t="s">
        <v>2358</v>
      </c>
      <c r="S795" s="21" t="s">
        <v>2272</v>
      </c>
      <c r="T795" s="21" t="s">
        <v>2272</v>
      </c>
      <c r="U795" s="21" t="s">
        <v>2272</v>
      </c>
      <c r="V795" s="21" t="s">
        <v>2272</v>
      </c>
      <c r="W795" s="21" t="s">
        <v>2272</v>
      </c>
      <c r="X795" s="98" t="s">
        <v>2397</v>
      </c>
      <c r="Y795" s="21" t="s">
        <v>186</v>
      </c>
      <c r="Z795" s="21" t="s">
        <v>187</v>
      </c>
      <c r="AA795" s="70" t="s">
        <v>63</v>
      </c>
      <c r="AB795" s="4" t="s">
        <v>2511</v>
      </c>
      <c r="AC795" s="3"/>
    </row>
    <row r="796" spans="1:29" ht="50" customHeight="1">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2272</v>
      </c>
      <c r="K796" s="21" t="s">
        <v>2272</v>
      </c>
      <c r="L796" s="98" t="s">
        <v>2358</v>
      </c>
      <c r="M796" s="21" t="s">
        <v>2272</v>
      </c>
      <c r="N796" s="98" t="s">
        <v>2358</v>
      </c>
      <c r="O796" s="21" t="s">
        <v>2272</v>
      </c>
      <c r="P796" s="98" t="s">
        <v>2358</v>
      </c>
      <c r="Q796" s="21" t="s">
        <v>2272</v>
      </c>
      <c r="R796" s="98" t="s">
        <v>2358</v>
      </c>
      <c r="S796" s="21" t="s">
        <v>2272</v>
      </c>
      <c r="T796" s="21" t="s">
        <v>2272</v>
      </c>
      <c r="U796" s="21" t="s">
        <v>2272</v>
      </c>
      <c r="V796" s="21" t="s">
        <v>2272</v>
      </c>
      <c r="W796" s="21" t="s">
        <v>2272</v>
      </c>
      <c r="X796" s="98" t="s">
        <v>2397</v>
      </c>
      <c r="Y796" s="21" t="s">
        <v>186</v>
      </c>
      <c r="Z796" s="21" t="s">
        <v>187</v>
      </c>
      <c r="AA796" s="70" t="s">
        <v>63</v>
      </c>
      <c r="AB796" s="4" t="s">
        <v>2511</v>
      </c>
      <c r="AC796" s="3"/>
    </row>
    <row r="797" spans="1:29" ht="50" customHeight="1">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2272</v>
      </c>
      <c r="K797" s="21" t="s">
        <v>2272</v>
      </c>
      <c r="L797" s="98" t="s">
        <v>2358</v>
      </c>
      <c r="M797" s="21" t="s">
        <v>2272</v>
      </c>
      <c r="N797" s="98" t="s">
        <v>2358</v>
      </c>
      <c r="O797" s="21" t="s">
        <v>2272</v>
      </c>
      <c r="P797" s="98" t="s">
        <v>2358</v>
      </c>
      <c r="Q797" s="21" t="s">
        <v>2272</v>
      </c>
      <c r="R797" s="98" t="s">
        <v>2358</v>
      </c>
      <c r="S797" s="21" t="s">
        <v>2272</v>
      </c>
      <c r="T797" s="21" t="s">
        <v>2272</v>
      </c>
      <c r="U797" s="21" t="s">
        <v>2272</v>
      </c>
      <c r="V797" s="21" t="s">
        <v>2272</v>
      </c>
      <c r="W797" s="21" t="s">
        <v>2272</v>
      </c>
      <c r="X797" s="98" t="s">
        <v>2397</v>
      </c>
      <c r="Y797" s="21" t="s">
        <v>186</v>
      </c>
      <c r="Z797" s="21" t="s">
        <v>187</v>
      </c>
      <c r="AA797" s="70" t="s">
        <v>63</v>
      </c>
      <c r="AB797" s="4" t="s">
        <v>2511</v>
      </c>
      <c r="AC797" s="3"/>
    </row>
    <row r="798" spans="1:29" ht="50" customHeight="1">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2272</v>
      </c>
      <c r="K798" s="21" t="s">
        <v>2272</v>
      </c>
      <c r="L798" s="98" t="s">
        <v>2358</v>
      </c>
      <c r="M798" s="21" t="s">
        <v>2272</v>
      </c>
      <c r="N798" s="98" t="s">
        <v>2358</v>
      </c>
      <c r="O798" s="21" t="s">
        <v>2272</v>
      </c>
      <c r="P798" s="98" t="s">
        <v>2358</v>
      </c>
      <c r="Q798" s="21" t="s">
        <v>2272</v>
      </c>
      <c r="R798" s="98" t="s">
        <v>2358</v>
      </c>
      <c r="S798" s="21" t="s">
        <v>2272</v>
      </c>
      <c r="T798" s="21" t="s">
        <v>2272</v>
      </c>
      <c r="U798" s="21" t="s">
        <v>2272</v>
      </c>
      <c r="V798" s="21" t="s">
        <v>2272</v>
      </c>
      <c r="W798" s="21" t="s">
        <v>2272</v>
      </c>
      <c r="X798" s="98" t="s">
        <v>2397</v>
      </c>
      <c r="Y798" s="21" t="s">
        <v>186</v>
      </c>
      <c r="Z798" s="21" t="s">
        <v>187</v>
      </c>
      <c r="AA798" s="70" t="s">
        <v>63</v>
      </c>
      <c r="AB798" s="4" t="s">
        <v>2511</v>
      </c>
      <c r="AC798" s="3"/>
    </row>
    <row r="799" spans="1:29" ht="50" customHeight="1">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2272</v>
      </c>
      <c r="K799" s="21" t="s">
        <v>2272</v>
      </c>
      <c r="L799" s="98" t="s">
        <v>2358</v>
      </c>
      <c r="M799" s="21" t="s">
        <v>2272</v>
      </c>
      <c r="N799" s="98" t="s">
        <v>2358</v>
      </c>
      <c r="O799" s="21" t="s">
        <v>2272</v>
      </c>
      <c r="P799" s="98" t="s">
        <v>2358</v>
      </c>
      <c r="Q799" s="21" t="s">
        <v>2272</v>
      </c>
      <c r="R799" s="98" t="s">
        <v>2358</v>
      </c>
      <c r="S799" s="21" t="s">
        <v>2272</v>
      </c>
      <c r="T799" s="21" t="s">
        <v>2272</v>
      </c>
      <c r="U799" s="21" t="s">
        <v>2272</v>
      </c>
      <c r="V799" s="21" t="s">
        <v>2272</v>
      </c>
      <c r="W799" s="21" t="s">
        <v>2272</v>
      </c>
      <c r="X799" s="98" t="s">
        <v>2397</v>
      </c>
      <c r="Y799" s="21" t="s">
        <v>186</v>
      </c>
      <c r="Z799" s="21" t="s">
        <v>187</v>
      </c>
      <c r="AA799" s="70" t="s">
        <v>63</v>
      </c>
      <c r="AB799" s="4" t="s">
        <v>2511</v>
      </c>
      <c r="AC799" s="3"/>
    </row>
    <row r="800" spans="1:29" ht="50" customHeight="1">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2272</v>
      </c>
      <c r="K800" s="21" t="s">
        <v>2272</v>
      </c>
      <c r="L800" s="98" t="s">
        <v>2358</v>
      </c>
      <c r="M800" s="21" t="s">
        <v>2272</v>
      </c>
      <c r="N800" s="98" t="s">
        <v>2358</v>
      </c>
      <c r="O800" s="21" t="s">
        <v>2272</v>
      </c>
      <c r="P800" s="98" t="s">
        <v>2358</v>
      </c>
      <c r="Q800" s="21" t="s">
        <v>2272</v>
      </c>
      <c r="R800" s="98" t="s">
        <v>2358</v>
      </c>
      <c r="S800" s="21" t="s">
        <v>2272</v>
      </c>
      <c r="T800" s="21" t="s">
        <v>2272</v>
      </c>
      <c r="U800" s="21" t="s">
        <v>2272</v>
      </c>
      <c r="V800" s="21" t="s">
        <v>2272</v>
      </c>
      <c r="W800" s="21" t="s">
        <v>2272</v>
      </c>
      <c r="X800" s="98" t="s">
        <v>2397</v>
      </c>
      <c r="Y800" s="21" t="s">
        <v>186</v>
      </c>
      <c r="Z800" s="21" t="s">
        <v>187</v>
      </c>
      <c r="AA800" s="70" t="s">
        <v>63</v>
      </c>
      <c r="AB800" s="4" t="s">
        <v>2511</v>
      </c>
      <c r="AC800" s="3"/>
    </row>
    <row r="801" spans="1:29" ht="50" customHeight="1">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2272</v>
      </c>
      <c r="K801" s="21" t="s">
        <v>2272</v>
      </c>
      <c r="L801" s="98" t="s">
        <v>2358</v>
      </c>
      <c r="M801" s="21" t="s">
        <v>2272</v>
      </c>
      <c r="N801" s="98" t="s">
        <v>2358</v>
      </c>
      <c r="O801" s="21" t="s">
        <v>2272</v>
      </c>
      <c r="P801" s="98" t="s">
        <v>2358</v>
      </c>
      <c r="Q801" s="21" t="s">
        <v>2272</v>
      </c>
      <c r="R801" s="98" t="s">
        <v>2358</v>
      </c>
      <c r="S801" s="21" t="s">
        <v>2272</v>
      </c>
      <c r="T801" s="21" t="s">
        <v>2272</v>
      </c>
      <c r="U801" s="21" t="s">
        <v>2272</v>
      </c>
      <c r="V801" s="21" t="s">
        <v>2272</v>
      </c>
      <c r="W801" s="21" t="s">
        <v>2272</v>
      </c>
      <c r="X801" s="98" t="s">
        <v>2397</v>
      </c>
      <c r="Y801" s="21" t="s">
        <v>186</v>
      </c>
      <c r="Z801" s="21" t="s">
        <v>187</v>
      </c>
      <c r="AA801" s="70" t="s">
        <v>63</v>
      </c>
      <c r="AB801" s="4" t="s">
        <v>2511</v>
      </c>
      <c r="AC801" s="3"/>
    </row>
    <row r="802" spans="1:29" ht="50" customHeight="1">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2272</v>
      </c>
      <c r="K802" s="21" t="s">
        <v>2272</v>
      </c>
      <c r="L802" s="98" t="s">
        <v>2358</v>
      </c>
      <c r="M802" s="21" t="s">
        <v>2272</v>
      </c>
      <c r="N802" s="98" t="s">
        <v>2358</v>
      </c>
      <c r="O802" s="21" t="s">
        <v>2272</v>
      </c>
      <c r="P802" s="98" t="s">
        <v>2358</v>
      </c>
      <c r="Q802" s="21" t="s">
        <v>2272</v>
      </c>
      <c r="R802" s="98" t="s">
        <v>2358</v>
      </c>
      <c r="S802" s="21" t="s">
        <v>2272</v>
      </c>
      <c r="T802" s="21" t="s">
        <v>2272</v>
      </c>
      <c r="U802" s="21" t="s">
        <v>2272</v>
      </c>
      <c r="V802" s="21" t="s">
        <v>2272</v>
      </c>
      <c r="W802" s="21" t="s">
        <v>2272</v>
      </c>
      <c r="X802" s="98" t="s">
        <v>2397</v>
      </c>
      <c r="Y802" s="21" t="s">
        <v>186</v>
      </c>
      <c r="Z802" s="21" t="s">
        <v>187</v>
      </c>
      <c r="AA802" s="70" t="s">
        <v>63</v>
      </c>
      <c r="AB802" s="4" t="s">
        <v>2511</v>
      </c>
      <c r="AC802" s="3"/>
    </row>
    <row r="803" spans="1:29" ht="50" customHeight="1">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2272</v>
      </c>
      <c r="K803" s="21" t="s">
        <v>2272</v>
      </c>
      <c r="L803" s="98" t="s">
        <v>2358</v>
      </c>
      <c r="M803" s="21" t="s">
        <v>2272</v>
      </c>
      <c r="N803" s="98" t="s">
        <v>2358</v>
      </c>
      <c r="O803" s="21" t="s">
        <v>2272</v>
      </c>
      <c r="P803" s="98" t="s">
        <v>2358</v>
      </c>
      <c r="Q803" s="21" t="s">
        <v>2272</v>
      </c>
      <c r="R803" s="98" t="s">
        <v>2358</v>
      </c>
      <c r="S803" s="21" t="s">
        <v>2272</v>
      </c>
      <c r="T803" s="21" t="s">
        <v>2272</v>
      </c>
      <c r="U803" s="21" t="s">
        <v>2272</v>
      </c>
      <c r="V803" s="21" t="s">
        <v>2272</v>
      </c>
      <c r="W803" s="21" t="s">
        <v>2272</v>
      </c>
      <c r="X803" s="98" t="s">
        <v>2397</v>
      </c>
      <c r="Y803" s="21" t="s">
        <v>186</v>
      </c>
      <c r="Z803" s="21" t="s">
        <v>187</v>
      </c>
      <c r="AA803" s="70" t="s">
        <v>63</v>
      </c>
      <c r="AB803" s="4" t="s">
        <v>2511</v>
      </c>
      <c r="AC803" s="3"/>
    </row>
    <row r="804" spans="1:29" ht="50" customHeight="1">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2272</v>
      </c>
      <c r="K804" s="21" t="s">
        <v>2272</v>
      </c>
      <c r="L804" s="98" t="s">
        <v>2358</v>
      </c>
      <c r="M804" s="21" t="s">
        <v>2272</v>
      </c>
      <c r="N804" s="98" t="s">
        <v>2358</v>
      </c>
      <c r="O804" s="21" t="s">
        <v>2272</v>
      </c>
      <c r="P804" s="98" t="s">
        <v>2358</v>
      </c>
      <c r="Q804" s="21" t="s">
        <v>2272</v>
      </c>
      <c r="R804" s="98" t="s">
        <v>2358</v>
      </c>
      <c r="S804" s="21" t="s">
        <v>2272</v>
      </c>
      <c r="T804" s="21" t="s">
        <v>2272</v>
      </c>
      <c r="U804" s="21" t="s">
        <v>2272</v>
      </c>
      <c r="V804" s="21" t="s">
        <v>2272</v>
      </c>
      <c r="W804" s="21" t="s">
        <v>2272</v>
      </c>
      <c r="X804" s="98" t="s">
        <v>2397</v>
      </c>
      <c r="Y804" s="21" t="s">
        <v>186</v>
      </c>
      <c r="Z804" s="21" t="s">
        <v>187</v>
      </c>
      <c r="AA804" s="70" t="s">
        <v>63</v>
      </c>
      <c r="AB804" s="4" t="s">
        <v>2511</v>
      </c>
      <c r="AC804" s="3"/>
    </row>
    <row r="805" spans="1:29"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2272</v>
      </c>
      <c r="K805" s="21" t="s">
        <v>2272</v>
      </c>
      <c r="L805" s="21" t="s">
        <v>2358</v>
      </c>
      <c r="M805" s="21" t="s">
        <v>2272</v>
      </c>
      <c r="N805" s="21" t="s">
        <v>2272</v>
      </c>
      <c r="O805" s="21" t="s">
        <v>2272</v>
      </c>
      <c r="P805" s="21" t="s">
        <v>2358</v>
      </c>
      <c r="Q805" s="21" t="s">
        <v>2272</v>
      </c>
      <c r="R805" s="21" t="s">
        <v>2272</v>
      </c>
      <c r="S805" s="21" t="s">
        <v>2272</v>
      </c>
      <c r="T805" s="21" t="s">
        <v>2272</v>
      </c>
      <c r="U805" s="21" t="s">
        <v>2272</v>
      </c>
      <c r="V805" s="21" t="s">
        <v>2272</v>
      </c>
      <c r="W805" s="98" t="s">
        <v>2369</v>
      </c>
      <c r="X805" s="98" t="s">
        <v>2398</v>
      </c>
      <c r="Y805" s="21" t="s">
        <v>2272</v>
      </c>
      <c r="Z805" s="21" t="s">
        <v>2272</v>
      </c>
      <c r="AA805" s="21" t="s">
        <v>2272</v>
      </c>
      <c r="AB805" s="3"/>
      <c r="AC805" s="4" t="s">
        <v>2524</v>
      </c>
    </row>
    <row r="806" spans="1:29"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2272</v>
      </c>
      <c r="K806" s="21" t="s">
        <v>2272</v>
      </c>
      <c r="L806" s="21" t="s">
        <v>2358</v>
      </c>
      <c r="M806" s="21" t="s">
        <v>2272</v>
      </c>
      <c r="N806" s="21" t="s">
        <v>2272</v>
      </c>
      <c r="O806" s="21" t="s">
        <v>2272</v>
      </c>
      <c r="P806" s="21" t="s">
        <v>2358</v>
      </c>
      <c r="Q806" s="21" t="s">
        <v>2272</v>
      </c>
      <c r="R806" s="21" t="s">
        <v>2272</v>
      </c>
      <c r="S806" s="21" t="s">
        <v>2272</v>
      </c>
      <c r="T806" s="21" t="s">
        <v>2272</v>
      </c>
      <c r="U806" s="21" t="s">
        <v>2272</v>
      </c>
      <c r="V806" s="21" t="s">
        <v>2272</v>
      </c>
      <c r="W806" s="98" t="s">
        <v>2522</v>
      </c>
      <c r="X806" s="98" t="s">
        <v>2272</v>
      </c>
      <c r="Y806" s="21" t="s">
        <v>2272</v>
      </c>
      <c r="Z806" s="21" t="s">
        <v>2272</v>
      </c>
      <c r="AA806" s="21" t="s">
        <v>2272</v>
      </c>
      <c r="AB806" s="3"/>
      <c r="AC806" s="4" t="s">
        <v>2524</v>
      </c>
    </row>
    <row r="807" spans="1:29"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2272</v>
      </c>
      <c r="K807" s="21" t="s">
        <v>2272</v>
      </c>
      <c r="L807" s="21" t="s">
        <v>2358</v>
      </c>
      <c r="M807" s="21" t="s">
        <v>2272</v>
      </c>
      <c r="N807" s="21" t="s">
        <v>2272</v>
      </c>
      <c r="O807" s="21" t="s">
        <v>2272</v>
      </c>
      <c r="P807" s="21" t="s">
        <v>2358</v>
      </c>
      <c r="Q807" s="21" t="s">
        <v>2272</v>
      </c>
      <c r="R807" s="21" t="s">
        <v>2272</v>
      </c>
      <c r="S807" s="21" t="s">
        <v>2272</v>
      </c>
      <c r="T807" s="21" t="s">
        <v>2272</v>
      </c>
      <c r="U807" s="21" t="s">
        <v>2272</v>
      </c>
      <c r="V807" s="21" t="s">
        <v>2272</v>
      </c>
      <c r="W807" s="98" t="s">
        <v>2369</v>
      </c>
      <c r="X807" s="98" t="s">
        <v>2398</v>
      </c>
      <c r="Y807" s="21" t="s">
        <v>2272</v>
      </c>
      <c r="Z807" s="21" t="s">
        <v>2272</v>
      </c>
      <c r="AA807" s="21" t="s">
        <v>2272</v>
      </c>
      <c r="AB807" s="3"/>
      <c r="AC807" s="4" t="s">
        <v>2524</v>
      </c>
    </row>
    <row r="808" spans="1:29"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2272</v>
      </c>
      <c r="K808" s="21" t="s">
        <v>2272</v>
      </c>
      <c r="L808" s="21" t="s">
        <v>2358</v>
      </c>
      <c r="M808" s="21" t="s">
        <v>2272</v>
      </c>
      <c r="N808" s="21" t="s">
        <v>2272</v>
      </c>
      <c r="O808" s="21" t="s">
        <v>2272</v>
      </c>
      <c r="P808" s="21" t="s">
        <v>2358</v>
      </c>
      <c r="Q808" s="21" t="s">
        <v>2272</v>
      </c>
      <c r="R808" s="21" t="s">
        <v>2272</v>
      </c>
      <c r="S808" s="21" t="s">
        <v>2272</v>
      </c>
      <c r="T808" s="21" t="s">
        <v>2272</v>
      </c>
      <c r="U808" s="21" t="s">
        <v>2272</v>
      </c>
      <c r="V808" s="21" t="s">
        <v>2272</v>
      </c>
      <c r="W808" s="98" t="s">
        <v>2522</v>
      </c>
      <c r="X808" s="98" t="s">
        <v>2272</v>
      </c>
      <c r="Y808" s="21" t="s">
        <v>2272</v>
      </c>
      <c r="Z808" s="21" t="s">
        <v>2272</v>
      </c>
      <c r="AA808" s="21" t="s">
        <v>2272</v>
      </c>
      <c r="AB808" s="3"/>
      <c r="AC808" s="4" t="s">
        <v>2524</v>
      </c>
    </row>
    <row r="809" spans="1:29"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3">
        <v>0</v>
      </c>
      <c r="K809" s="83">
        <v>0</v>
      </c>
      <c r="L809" s="83">
        <v>0</v>
      </c>
      <c r="M809" s="83">
        <v>0</v>
      </c>
      <c r="N809" s="83">
        <v>0</v>
      </c>
      <c r="O809" s="83">
        <v>0</v>
      </c>
      <c r="P809" s="83">
        <v>0</v>
      </c>
      <c r="Q809" s="83">
        <v>0</v>
      </c>
      <c r="R809" s="83">
        <v>0</v>
      </c>
      <c r="S809" s="83">
        <v>0</v>
      </c>
      <c r="T809" s="83">
        <v>0</v>
      </c>
      <c r="U809" s="83">
        <v>0</v>
      </c>
      <c r="V809" s="83">
        <v>0</v>
      </c>
      <c r="W809" s="83">
        <v>0</v>
      </c>
      <c r="X809" s="83" t="s">
        <v>2272</v>
      </c>
      <c r="Y809" s="83" t="s">
        <v>2272</v>
      </c>
      <c r="Z809" s="83" t="s">
        <v>2272</v>
      </c>
      <c r="AA809" s="83" t="s">
        <v>2272</v>
      </c>
      <c r="AB809" s="83"/>
      <c r="AC809" s="83"/>
    </row>
    <row r="810" spans="1:29"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3">
        <v>0</v>
      </c>
      <c r="K810" s="83">
        <v>0</v>
      </c>
      <c r="L810" s="83">
        <v>0</v>
      </c>
      <c r="M810" s="83">
        <v>0</v>
      </c>
      <c r="N810" s="83">
        <v>0</v>
      </c>
      <c r="O810" s="83">
        <v>0</v>
      </c>
      <c r="P810" s="83">
        <v>0</v>
      </c>
      <c r="Q810" s="83">
        <v>0</v>
      </c>
      <c r="R810" s="83">
        <v>0</v>
      </c>
      <c r="S810" s="83">
        <v>0</v>
      </c>
      <c r="T810" s="83">
        <v>0</v>
      </c>
      <c r="U810" s="83">
        <v>0</v>
      </c>
      <c r="V810" s="83">
        <v>0</v>
      </c>
      <c r="W810" s="83">
        <v>0</v>
      </c>
      <c r="X810" s="83" t="s">
        <v>2272</v>
      </c>
      <c r="Y810" s="83" t="s">
        <v>2272</v>
      </c>
      <c r="Z810" s="83" t="s">
        <v>2272</v>
      </c>
      <c r="AA810" s="83" t="s">
        <v>2272</v>
      </c>
      <c r="AB810" s="83"/>
      <c r="AC810" s="83"/>
    </row>
    <row r="811" spans="1:29"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2272</v>
      </c>
      <c r="K811" s="21" t="s">
        <v>2272</v>
      </c>
      <c r="L811" s="21" t="s">
        <v>2272</v>
      </c>
      <c r="M811" s="21" t="s">
        <v>2272</v>
      </c>
      <c r="N811" s="21" t="s">
        <v>2272</v>
      </c>
      <c r="O811" s="21" t="s">
        <v>2272</v>
      </c>
      <c r="P811" s="21" t="s">
        <v>2272</v>
      </c>
      <c r="Q811" s="98" t="s">
        <v>2370</v>
      </c>
      <c r="R811" s="21" t="s">
        <v>2272</v>
      </c>
      <c r="S811" s="21" t="s">
        <v>2272</v>
      </c>
      <c r="T811" s="21" t="s">
        <v>2272</v>
      </c>
      <c r="U811" s="21" t="s">
        <v>2272</v>
      </c>
      <c r="V811" s="21" t="s">
        <v>2272</v>
      </c>
      <c r="W811" s="21" t="s">
        <v>2272</v>
      </c>
      <c r="X811" s="98" t="s">
        <v>2398</v>
      </c>
      <c r="Y811" s="21" t="s">
        <v>33</v>
      </c>
      <c r="Z811" s="21" t="s">
        <v>403</v>
      </c>
      <c r="AA811" s="21" t="s">
        <v>75</v>
      </c>
      <c r="AB811" s="4" t="s">
        <v>2531</v>
      </c>
      <c r="AC811" s="4"/>
    </row>
    <row r="812" spans="1:29"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2272</v>
      </c>
      <c r="K812" s="21" t="s">
        <v>2272</v>
      </c>
      <c r="L812" s="21" t="s">
        <v>2272</v>
      </c>
      <c r="M812" s="21" t="s">
        <v>2272</v>
      </c>
      <c r="N812" s="21" t="s">
        <v>2272</v>
      </c>
      <c r="O812" s="21" t="s">
        <v>2272</v>
      </c>
      <c r="P812" s="21" t="s">
        <v>2272</v>
      </c>
      <c r="Q812" s="98" t="s">
        <v>2370</v>
      </c>
      <c r="R812" s="21" t="s">
        <v>2272</v>
      </c>
      <c r="S812" s="21" t="s">
        <v>2272</v>
      </c>
      <c r="T812" s="21" t="s">
        <v>2272</v>
      </c>
      <c r="U812" s="21" t="s">
        <v>2272</v>
      </c>
      <c r="V812" s="21" t="s">
        <v>2272</v>
      </c>
      <c r="W812" s="98" t="s">
        <v>2522</v>
      </c>
      <c r="X812" s="98" t="s">
        <v>2272</v>
      </c>
      <c r="Y812" s="21" t="s">
        <v>33</v>
      </c>
      <c r="Z812" s="21" t="s">
        <v>403</v>
      </c>
      <c r="AA812" s="21" t="s">
        <v>75</v>
      </c>
      <c r="AB812" s="4" t="s">
        <v>2531</v>
      </c>
      <c r="AC812" s="4" t="s">
        <v>2533</v>
      </c>
    </row>
    <row r="813" spans="1:29"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2272</v>
      </c>
      <c r="K813" s="21" t="s">
        <v>2272</v>
      </c>
      <c r="L813" s="21" t="s">
        <v>2272</v>
      </c>
      <c r="M813" s="21" t="s">
        <v>2272</v>
      </c>
      <c r="N813" s="21" t="s">
        <v>2272</v>
      </c>
      <c r="O813" s="21" t="s">
        <v>2272</v>
      </c>
      <c r="P813" s="21" t="s">
        <v>2272</v>
      </c>
      <c r="Q813" s="21" t="s">
        <v>2272</v>
      </c>
      <c r="R813" s="21" t="s">
        <v>2272</v>
      </c>
      <c r="S813" s="21" t="s">
        <v>2272</v>
      </c>
      <c r="T813" s="21" t="s">
        <v>2272</v>
      </c>
      <c r="U813" s="21" t="s">
        <v>2272</v>
      </c>
      <c r="V813" s="21" t="s">
        <v>2272</v>
      </c>
      <c r="W813" s="21" t="s">
        <v>2272</v>
      </c>
      <c r="X813" s="21" t="s">
        <v>2272</v>
      </c>
      <c r="Y813" s="21" t="s">
        <v>2272</v>
      </c>
      <c r="Z813" s="21" t="s">
        <v>2272</v>
      </c>
      <c r="AA813" s="21" t="s">
        <v>2272</v>
      </c>
      <c r="AB813" s="3"/>
      <c r="AC813" s="3"/>
    </row>
    <row r="814" spans="1:29"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2272</v>
      </c>
      <c r="K814" s="21" t="s">
        <v>2272</v>
      </c>
      <c r="L814" s="21" t="s">
        <v>2272</v>
      </c>
      <c r="M814" s="21" t="s">
        <v>2272</v>
      </c>
      <c r="N814" s="21" t="s">
        <v>2272</v>
      </c>
      <c r="O814" s="21" t="s">
        <v>2272</v>
      </c>
      <c r="P814" s="21" t="s">
        <v>2272</v>
      </c>
      <c r="Q814" s="21" t="s">
        <v>2272</v>
      </c>
      <c r="R814" s="21" t="s">
        <v>2272</v>
      </c>
      <c r="S814" s="21" t="s">
        <v>2272</v>
      </c>
      <c r="T814" s="21" t="s">
        <v>2272</v>
      </c>
      <c r="U814" s="21" t="s">
        <v>2272</v>
      </c>
      <c r="V814" s="21" t="s">
        <v>2272</v>
      </c>
      <c r="W814" s="21" t="s">
        <v>2272</v>
      </c>
      <c r="X814" s="21" t="s">
        <v>2272</v>
      </c>
      <c r="Y814" s="21" t="s">
        <v>2272</v>
      </c>
      <c r="Z814" s="21" t="s">
        <v>2272</v>
      </c>
      <c r="AA814" s="21" t="s">
        <v>2272</v>
      </c>
      <c r="AB814" s="3"/>
      <c r="AC814" s="3"/>
    </row>
    <row r="815" spans="1:29"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2272</v>
      </c>
      <c r="K815" s="21" t="s">
        <v>2272</v>
      </c>
      <c r="L815" s="21" t="s">
        <v>2272</v>
      </c>
      <c r="M815" s="21" t="s">
        <v>2272</v>
      </c>
      <c r="N815" s="21" t="s">
        <v>2272</v>
      </c>
      <c r="O815" s="21" t="s">
        <v>2272</v>
      </c>
      <c r="P815" s="21" t="s">
        <v>2272</v>
      </c>
      <c r="Q815" s="21" t="s">
        <v>2272</v>
      </c>
      <c r="R815" s="21" t="s">
        <v>2272</v>
      </c>
      <c r="S815" s="21" t="s">
        <v>2272</v>
      </c>
      <c r="T815" s="21" t="s">
        <v>2272</v>
      </c>
      <c r="U815" s="21" t="s">
        <v>2272</v>
      </c>
      <c r="V815" s="21" t="s">
        <v>2272</v>
      </c>
      <c r="W815" s="21" t="s">
        <v>2272</v>
      </c>
      <c r="X815" s="21" t="s">
        <v>2272</v>
      </c>
      <c r="Y815" s="3" t="s">
        <v>186</v>
      </c>
      <c r="Z815" s="3" t="s">
        <v>186</v>
      </c>
      <c r="AA815" s="3" t="s">
        <v>63</v>
      </c>
      <c r="AB815" s="3"/>
      <c r="AC815" s="3"/>
    </row>
    <row r="816" spans="1:29"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2272</v>
      </c>
      <c r="K816" s="21" t="s">
        <v>2272</v>
      </c>
      <c r="L816" s="21" t="s">
        <v>2272</v>
      </c>
      <c r="M816" s="21" t="s">
        <v>2272</v>
      </c>
      <c r="N816" s="21" t="s">
        <v>2272</v>
      </c>
      <c r="O816" s="21" t="s">
        <v>2272</v>
      </c>
      <c r="P816" s="21" t="s">
        <v>2272</v>
      </c>
      <c r="Q816" s="21" t="s">
        <v>2272</v>
      </c>
      <c r="R816" s="21" t="s">
        <v>2272</v>
      </c>
      <c r="S816" s="21" t="s">
        <v>2272</v>
      </c>
      <c r="T816" s="21" t="s">
        <v>2272</v>
      </c>
      <c r="U816" s="21" t="s">
        <v>2272</v>
      </c>
      <c r="V816" s="21" t="s">
        <v>2272</v>
      </c>
      <c r="W816" s="21" t="s">
        <v>2272</v>
      </c>
      <c r="X816" s="98" t="s">
        <v>2370</v>
      </c>
      <c r="Y816" s="3" t="s">
        <v>397</v>
      </c>
      <c r="Z816" s="3" t="s">
        <v>397</v>
      </c>
      <c r="AA816" s="3" t="s">
        <v>75</v>
      </c>
      <c r="AB816" s="4" t="s">
        <v>2567</v>
      </c>
      <c r="AC816" s="4" t="s">
        <v>2568</v>
      </c>
    </row>
    <row r="817" spans="1:29" ht="56" customHeight="1">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2272</v>
      </c>
      <c r="K817" s="21" t="s">
        <v>2272</v>
      </c>
      <c r="L817" s="21" t="s">
        <v>2272</v>
      </c>
      <c r="M817" s="21" t="s">
        <v>2272</v>
      </c>
      <c r="N817" s="21" t="s">
        <v>2272</v>
      </c>
      <c r="O817" s="21" t="s">
        <v>2272</v>
      </c>
      <c r="P817" s="21" t="s">
        <v>2272</v>
      </c>
      <c r="Q817" s="21" t="s">
        <v>2272</v>
      </c>
      <c r="R817" s="21" t="s">
        <v>2272</v>
      </c>
      <c r="S817" s="21" t="s">
        <v>2272</v>
      </c>
      <c r="T817" s="21" t="s">
        <v>2272</v>
      </c>
      <c r="U817" s="21" t="s">
        <v>2272</v>
      </c>
      <c r="V817" s="21" t="s">
        <v>2272</v>
      </c>
      <c r="W817" s="21" t="s">
        <v>2272</v>
      </c>
      <c r="X817" s="98" t="s">
        <v>2397</v>
      </c>
      <c r="Y817" s="3" t="s">
        <v>186</v>
      </c>
      <c r="Z817" s="3" t="s">
        <v>186</v>
      </c>
      <c r="AA817" s="3" t="s">
        <v>63</v>
      </c>
      <c r="AB817" s="3"/>
      <c r="AC817" s="3"/>
    </row>
    <row r="818" spans="1:29" ht="56" customHeight="1">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2272</v>
      </c>
      <c r="K818" s="21" t="s">
        <v>2272</v>
      </c>
      <c r="L818" s="21" t="s">
        <v>2272</v>
      </c>
      <c r="M818" s="21" t="s">
        <v>2272</v>
      </c>
      <c r="N818" s="21" t="s">
        <v>2272</v>
      </c>
      <c r="O818" s="21" t="s">
        <v>2272</v>
      </c>
      <c r="P818" s="21" t="s">
        <v>2272</v>
      </c>
      <c r="Q818" s="21" t="s">
        <v>2272</v>
      </c>
      <c r="R818" s="21" t="s">
        <v>2272</v>
      </c>
      <c r="S818" s="21" t="s">
        <v>2272</v>
      </c>
      <c r="T818" s="21" t="s">
        <v>2272</v>
      </c>
      <c r="U818" s="21" t="s">
        <v>2272</v>
      </c>
      <c r="V818" s="21" t="s">
        <v>2272</v>
      </c>
      <c r="W818" s="21" t="s">
        <v>2272</v>
      </c>
      <c r="X818" s="98" t="s">
        <v>2398</v>
      </c>
      <c r="Y818" s="3" t="s">
        <v>186</v>
      </c>
      <c r="Z818" s="3" t="s">
        <v>186</v>
      </c>
      <c r="AA818" s="3" t="s">
        <v>63</v>
      </c>
      <c r="AB818" s="3"/>
      <c r="AC818" s="3"/>
    </row>
    <row r="819" spans="1:29" ht="56" customHeight="1">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2272</v>
      </c>
      <c r="K819" s="21" t="s">
        <v>2272</v>
      </c>
      <c r="L819" s="21" t="s">
        <v>2272</v>
      </c>
      <c r="M819" s="21" t="s">
        <v>2272</v>
      </c>
      <c r="N819" s="21" t="s">
        <v>2272</v>
      </c>
      <c r="O819" s="21" t="s">
        <v>2272</v>
      </c>
      <c r="P819" s="21" t="s">
        <v>2272</v>
      </c>
      <c r="Q819" s="21" t="s">
        <v>2272</v>
      </c>
      <c r="R819" s="21" t="s">
        <v>2272</v>
      </c>
      <c r="S819" s="21" t="s">
        <v>2272</v>
      </c>
      <c r="T819" s="21" t="s">
        <v>2272</v>
      </c>
      <c r="U819" s="21" t="s">
        <v>2272</v>
      </c>
      <c r="V819" s="21" t="s">
        <v>2272</v>
      </c>
      <c r="W819" s="21" t="s">
        <v>2272</v>
      </c>
      <c r="X819" s="98" t="s">
        <v>2398</v>
      </c>
      <c r="Y819" s="3" t="s">
        <v>186</v>
      </c>
      <c r="Z819" s="3" t="s">
        <v>186</v>
      </c>
      <c r="AA819" s="3" t="s">
        <v>63</v>
      </c>
      <c r="AB819" s="3"/>
      <c r="AC819" s="3"/>
    </row>
    <row r="820" spans="1:29" ht="56" customHeight="1">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2272</v>
      </c>
      <c r="K820" s="21" t="s">
        <v>2272</v>
      </c>
      <c r="L820" s="21" t="s">
        <v>2272</v>
      </c>
      <c r="M820" s="21" t="s">
        <v>2272</v>
      </c>
      <c r="N820" s="21" t="s">
        <v>2272</v>
      </c>
      <c r="O820" s="21" t="s">
        <v>2272</v>
      </c>
      <c r="P820" s="21" t="s">
        <v>2272</v>
      </c>
      <c r="Q820" s="21" t="s">
        <v>2272</v>
      </c>
      <c r="R820" s="21" t="s">
        <v>2272</v>
      </c>
      <c r="S820" s="21" t="s">
        <v>2272</v>
      </c>
      <c r="T820" s="21" t="s">
        <v>2272</v>
      </c>
      <c r="U820" s="21" t="s">
        <v>2272</v>
      </c>
      <c r="V820" s="21" t="s">
        <v>2272</v>
      </c>
      <c r="W820" s="21" t="s">
        <v>2272</v>
      </c>
      <c r="X820" s="98" t="s">
        <v>2398</v>
      </c>
      <c r="Y820" s="3" t="s">
        <v>186</v>
      </c>
      <c r="Z820" s="3" t="s">
        <v>186</v>
      </c>
      <c r="AA820" s="3" t="s">
        <v>63</v>
      </c>
      <c r="AB820" s="3"/>
      <c r="AC820" s="3"/>
    </row>
    <row r="821" spans="1:29" ht="56" customHeight="1">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2272</v>
      </c>
      <c r="K821" s="21" t="s">
        <v>2272</v>
      </c>
      <c r="L821" s="21" t="s">
        <v>2272</v>
      </c>
      <c r="M821" s="21" t="s">
        <v>2272</v>
      </c>
      <c r="N821" s="21" t="s">
        <v>2272</v>
      </c>
      <c r="O821" s="21" t="s">
        <v>2272</v>
      </c>
      <c r="P821" s="21" t="s">
        <v>2272</v>
      </c>
      <c r="Q821" s="21" t="s">
        <v>2272</v>
      </c>
      <c r="R821" s="21" t="s">
        <v>2272</v>
      </c>
      <c r="S821" s="21" t="s">
        <v>2272</v>
      </c>
      <c r="T821" s="21" t="s">
        <v>2272</v>
      </c>
      <c r="U821" s="21" t="s">
        <v>2272</v>
      </c>
      <c r="V821" s="21" t="s">
        <v>2272</v>
      </c>
      <c r="W821" s="21" t="s">
        <v>2272</v>
      </c>
      <c r="X821" s="98" t="s">
        <v>2399</v>
      </c>
      <c r="Y821" s="3" t="s">
        <v>186</v>
      </c>
      <c r="Z821" s="3" t="s">
        <v>186</v>
      </c>
      <c r="AA821" s="3" t="s">
        <v>63</v>
      </c>
      <c r="AB821" s="3"/>
      <c r="AC821" s="3"/>
    </row>
    <row r="822" spans="1:29"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2272</v>
      </c>
      <c r="K822" s="21" t="s">
        <v>2272</v>
      </c>
      <c r="L822" s="21" t="s">
        <v>2272</v>
      </c>
      <c r="M822" s="21" t="s">
        <v>2272</v>
      </c>
      <c r="N822" s="21" t="s">
        <v>2272</v>
      </c>
      <c r="O822" s="21" t="s">
        <v>2272</v>
      </c>
      <c r="P822" s="21" t="s">
        <v>2272</v>
      </c>
      <c r="Q822" s="21" t="s">
        <v>2272</v>
      </c>
      <c r="R822" s="21" t="s">
        <v>2272</v>
      </c>
      <c r="S822" s="21" t="s">
        <v>2272</v>
      </c>
      <c r="T822" s="21" t="s">
        <v>2272</v>
      </c>
      <c r="U822" s="21" t="s">
        <v>2272</v>
      </c>
      <c r="V822" s="21" t="s">
        <v>2272</v>
      </c>
      <c r="W822" s="21" t="s">
        <v>2272</v>
      </c>
      <c r="X822" s="98" t="s">
        <v>2370</v>
      </c>
      <c r="Y822" s="3" t="s">
        <v>397</v>
      </c>
      <c r="Z822" s="3" t="s">
        <v>397</v>
      </c>
      <c r="AA822" s="3" t="s">
        <v>75</v>
      </c>
      <c r="AB822" s="4" t="s">
        <v>2567</v>
      </c>
      <c r="AC822" s="4" t="s">
        <v>2568</v>
      </c>
    </row>
    <row r="823" spans="1:29"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2272</v>
      </c>
      <c r="K823" s="21" t="s">
        <v>2272</v>
      </c>
      <c r="L823" s="21" t="s">
        <v>2272</v>
      </c>
      <c r="M823" s="21" t="s">
        <v>2272</v>
      </c>
      <c r="N823" s="21" t="s">
        <v>2272</v>
      </c>
      <c r="O823" s="21" t="s">
        <v>2272</v>
      </c>
      <c r="P823" s="21" t="s">
        <v>2272</v>
      </c>
      <c r="Q823" s="21" t="s">
        <v>2272</v>
      </c>
      <c r="R823" s="21" t="s">
        <v>2272</v>
      </c>
      <c r="S823" s="21" t="s">
        <v>2272</v>
      </c>
      <c r="T823" s="21" t="s">
        <v>2272</v>
      </c>
      <c r="U823" s="21" t="s">
        <v>2272</v>
      </c>
      <c r="V823" s="21" t="s">
        <v>2272</v>
      </c>
      <c r="W823" s="21" t="s">
        <v>2272</v>
      </c>
      <c r="X823" s="21" t="s">
        <v>2272</v>
      </c>
      <c r="Y823" s="21" t="s">
        <v>2272</v>
      </c>
      <c r="Z823" s="21" t="s">
        <v>2272</v>
      </c>
      <c r="AA823" s="21" t="s">
        <v>2272</v>
      </c>
      <c r="AB823" s="3"/>
      <c r="AC823" s="3"/>
    </row>
    <row r="824" spans="1:29"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2272</v>
      </c>
      <c r="K824" s="21" t="s">
        <v>2272</v>
      </c>
      <c r="L824" s="21" t="s">
        <v>2272</v>
      </c>
      <c r="M824" s="21" t="s">
        <v>2272</v>
      </c>
      <c r="N824" s="21" t="s">
        <v>2272</v>
      </c>
      <c r="O824" s="21" t="s">
        <v>2272</v>
      </c>
      <c r="P824" s="21" t="s">
        <v>2272</v>
      </c>
      <c r="Q824" s="21" t="s">
        <v>2272</v>
      </c>
      <c r="R824" s="21" t="s">
        <v>2272</v>
      </c>
      <c r="S824" s="21" t="s">
        <v>2272</v>
      </c>
      <c r="T824" s="21" t="s">
        <v>2272</v>
      </c>
      <c r="U824" s="21" t="s">
        <v>2272</v>
      </c>
      <c r="V824" s="21" t="s">
        <v>2272</v>
      </c>
      <c r="W824" s="21" t="s">
        <v>2272</v>
      </c>
      <c r="X824" s="21" t="s">
        <v>2272</v>
      </c>
      <c r="Y824" s="21" t="s">
        <v>2272</v>
      </c>
      <c r="Z824" s="21" t="s">
        <v>2272</v>
      </c>
      <c r="AA824" s="21" t="s">
        <v>2272</v>
      </c>
      <c r="AB824" s="3"/>
      <c r="AC824" s="3"/>
    </row>
    <row r="825" spans="1:29"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2272</v>
      </c>
      <c r="K825" s="21" t="s">
        <v>2272</v>
      </c>
      <c r="L825" s="21" t="s">
        <v>2272</v>
      </c>
      <c r="M825" s="21" t="s">
        <v>2272</v>
      </c>
      <c r="N825" s="21" t="s">
        <v>2272</v>
      </c>
      <c r="O825" s="21" t="s">
        <v>2272</v>
      </c>
      <c r="P825" s="21" t="s">
        <v>2272</v>
      </c>
      <c r="Q825" s="21" t="s">
        <v>2272</v>
      </c>
      <c r="R825" s="21" t="s">
        <v>2272</v>
      </c>
      <c r="S825" s="21" t="s">
        <v>2272</v>
      </c>
      <c r="T825" s="21" t="s">
        <v>2272</v>
      </c>
      <c r="U825" s="21" t="s">
        <v>2272</v>
      </c>
      <c r="V825" s="21" t="s">
        <v>2272</v>
      </c>
      <c r="W825" s="21" t="s">
        <v>2272</v>
      </c>
      <c r="X825" s="21" t="s">
        <v>2272</v>
      </c>
      <c r="Y825" s="21" t="s">
        <v>2272</v>
      </c>
      <c r="Z825" s="21" t="s">
        <v>2272</v>
      </c>
      <c r="AA825" s="21" t="s">
        <v>2272</v>
      </c>
      <c r="AB825" s="3"/>
      <c r="AC825" s="3"/>
    </row>
    <row r="826" spans="1:29"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2272</v>
      </c>
      <c r="K826" s="21" t="s">
        <v>2272</v>
      </c>
      <c r="L826" s="21" t="s">
        <v>2272</v>
      </c>
      <c r="M826" s="21" t="s">
        <v>2272</v>
      </c>
      <c r="N826" s="21" t="s">
        <v>2272</v>
      </c>
      <c r="O826" s="21" t="s">
        <v>2272</v>
      </c>
      <c r="P826" s="21" t="s">
        <v>2272</v>
      </c>
      <c r="Q826" s="21" t="s">
        <v>2272</v>
      </c>
      <c r="R826" s="21" t="s">
        <v>2272</v>
      </c>
      <c r="S826" s="21" t="s">
        <v>2272</v>
      </c>
      <c r="T826" s="21" t="s">
        <v>2272</v>
      </c>
      <c r="U826" s="21" t="s">
        <v>2272</v>
      </c>
      <c r="V826" s="21" t="s">
        <v>2272</v>
      </c>
      <c r="W826" s="21" t="s">
        <v>2272</v>
      </c>
      <c r="X826" s="21" t="s">
        <v>2272</v>
      </c>
      <c r="Y826" s="21" t="s">
        <v>2272</v>
      </c>
      <c r="Z826" s="21" t="s">
        <v>2272</v>
      </c>
      <c r="AA826" s="21" t="s">
        <v>2272</v>
      </c>
      <c r="AB826" s="3"/>
      <c r="AC826" s="3"/>
    </row>
    <row r="827" spans="1:29"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2272</v>
      </c>
      <c r="K827" s="21" t="s">
        <v>2272</v>
      </c>
      <c r="L827" s="21" t="s">
        <v>2272</v>
      </c>
      <c r="M827" s="21" t="s">
        <v>2272</v>
      </c>
      <c r="N827" s="21" t="s">
        <v>2272</v>
      </c>
      <c r="O827" s="21" t="s">
        <v>2272</v>
      </c>
      <c r="P827" s="21" t="s">
        <v>2272</v>
      </c>
      <c r="Q827" s="21" t="s">
        <v>2272</v>
      </c>
      <c r="R827" s="21" t="s">
        <v>2272</v>
      </c>
      <c r="S827" s="21" t="s">
        <v>2272</v>
      </c>
      <c r="T827" s="21" t="s">
        <v>2272</v>
      </c>
      <c r="U827" s="21" t="s">
        <v>2272</v>
      </c>
      <c r="V827" s="21" t="s">
        <v>2272</v>
      </c>
      <c r="W827" s="21" t="s">
        <v>2272</v>
      </c>
      <c r="X827" s="21" t="s">
        <v>2272</v>
      </c>
      <c r="Y827" s="21" t="s">
        <v>2272</v>
      </c>
      <c r="Z827" s="21" t="s">
        <v>2272</v>
      </c>
      <c r="AA827" s="21" t="s">
        <v>2272</v>
      </c>
      <c r="AB827" s="3"/>
      <c r="AC827" s="3"/>
    </row>
    <row r="828" spans="1:29"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2272</v>
      </c>
      <c r="K828" s="21" t="s">
        <v>2272</v>
      </c>
      <c r="L828" s="21" t="s">
        <v>2272</v>
      </c>
      <c r="M828" s="21" t="s">
        <v>2272</v>
      </c>
      <c r="N828" s="21" t="s">
        <v>2272</v>
      </c>
      <c r="O828" s="21" t="s">
        <v>2272</v>
      </c>
      <c r="P828" s="21" t="s">
        <v>2272</v>
      </c>
      <c r="Q828" s="21" t="s">
        <v>2272</v>
      </c>
      <c r="R828" s="21" t="s">
        <v>2272</v>
      </c>
      <c r="S828" s="21" t="s">
        <v>2272</v>
      </c>
      <c r="T828" s="21" t="s">
        <v>2272</v>
      </c>
      <c r="U828" s="21" t="s">
        <v>2272</v>
      </c>
      <c r="V828" s="21" t="s">
        <v>2272</v>
      </c>
      <c r="W828" s="21" t="s">
        <v>2272</v>
      </c>
      <c r="X828" s="21" t="s">
        <v>2272</v>
      </c>
      <c r="Y828" s="21" t="s">
        <v>2272</v>
      </c>
      <c r="Z828" s="21" t="s">
        <v>2272</v>
      </c>
      <c r="AA828" s="21" t="s">
        <v>2272</v>
      </c>
      <c r="AB828" s="3"/>
      <c r="AC828" s="3"/>
    </row>
    <row r="829" spans="1:29"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2272</v>
      </c>
      <c r="K829" s="21" t="s">
        <v>2272</v>
      </c>
      <c r="L829" s="21" t="s">
        <v>2272</v>
      </c>
      <c r="M829" s="21" t="s">
        <v>2272</v>
      </c>
      <c r="N829" s="21" t="s">
        <v>2272</v>
      </c>
      <c r="O829" s="21" t="s">
        <v>2272</v>
      </c>
      <c r="P829" s="21" t="s">
        <v>2272</v>
      </c>
      <c r="Q829" s="21" t="s">
        <v>2272</v>
      </c>
      <c r="R829" s="21" t="s">
        <v>2272</v>
      </c>
      <c r="S829" s="21" t="s">
        <v>2272</v>
      </c>
      <c r="T829" s="21" t="s">
        <v>2272</v>
      </c>
      <c r="U829" s="21" t="s">
        <v>2272</v>
      </c>
      <c r="V829" s="21" t="s">
        <v>2272</v>
      </c>
      <c r="W829" s="21" t="s">
        <v>2272</v>
      </c>
      <c r="X829" s="21" t="s">
        <v>2272</v>
      </c>
      <c r="Y829" s="21" t="s">
        <v>2272</v>
      </c>
      <c r="Z829" s="21" t="s">
        <v>2272</v>
      </c>
      <c r="AA829" s="21" t="s">
        <v>2272</v>
      </c>
      <c r="AB829" s="3"/>
      <c r="AC829" s="3"/>
    </row>
    <row r="830" spans="1:29"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2272</v>
      </c>
      <c r="K830" s="21" t="s">
        <v>2272</v>
      </c>
      <c r="L830" s="21" t="s">
        <v>2272</v>
      </c>
      <c r="M830" s="21" t="s">
        <v>2272</v>
      </c>
      <c r="N830" s="21" t="s">
        <v>2272</v>
      </c>
      <c r="O830" s="21" t="s">
        <v>2272</v>
      </c>
      <c r="P830" s="21" t="s">
        <v>2272</v>
      </c>
      <c r="Q830" s="21" t="s">
        <v>2272</v>
      </c>
      <c r="R830" s="21" t="s">
        <v>2272</v>
      </c>
      <c r="S830" s="21" t="s">
        <v>2272</v>
      </c>
      <c r="T830" s="21" t="s">
        <v>2272</v>
      </c>
      <c r="U830" s="21" t="s">
        <v>2272</v>
      </c>
      <c r="V830" s="21" t="s">
        <v>2272</v>
      </c>
      <c r="W830" s="21" t="s">
        <v>2272</v>
      </c>
      <c r="X830" s="21" t="s">
        <v>2272</v>
      </c>
      <c r="Y830" s="21" t="s">
        <v>2272</v>
      </c>
      <c r="Z830" s="21" t="s">
        <v>2272</v>
      </c>
      <c r="AA830" s="21" t="s">
        <v>2272</v>
      </c>
      <c r="AB830" s="3"/>
      <c r="AC830" s="3"/>
    </row>
    <row r="831" spans="1:29"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2272</v>
      </c>
      <c r="K831" s="21" t="s">
        <v>2272</v>
      </c>
      <c r="L831" s="21" t="s">
        <v>2272</v>
      </c>
      <c r="M831" s="21" t="s">
        <v>2272</v>
      </c>
      <c r="N831" s="21" t="s">
        <v>2272</v>
      </c>
      <c r="O831" s="21" t="s">
        <v>2272</v>
      </c>
      <c r="P831" s="21" t="s">
        <v>2272</v>
      </c>
      <c r="Q831" s="21" t="s">
        <v>2272</v>
      </c>
      <c r="R831" s="21" t="s">
        <v>2272</v>
      </c>
      <c r="S831" s="21" t="s">
        <v>2272</v>
      </c>
      <c r="T831" s="21" t="s">
        <v>2272</v>
      </c>
      <c r="U831" s="21" t="s">
        <v>2272</v>
      </c>
      <c r="V831" s="21" t="s">
        <v>2272</v>
      </c>
      <c r="W831" s="21" t="s">
        <v>2272</v>
      </c>
      <c r="X831" s="21" t="s">
        <v>2272</v>
      </c>
      <c r="Y831" s="21" t="s">
        <v>2272</v>
      </c>
      <c r="Z831" s="21" t="s">
        <v>2272</v>
      </c>
      <c r="AA831" s="21" t="s">
        <v>2272</v>
      </c>
      <c r="AB831" s="3"/>
      <c r="AC831" s="3"/>
    </row>
    <row r="832" spans="1:29"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2272</v>
      </c>
      <c r="K832" s="21" t="s">
        <v>2272</v>
      </c>
      <c r="L832" s="21" t="s">
        <v>2272</v>
      </c>
      <c r="M832" s="21" t="s">
        <v>2272</v>
      </c>
      <c r="N832" s="21" t="s">
        <v>2272</v>
      </c>
      <c r="O832" s="21" t="s">
        <v>2272</v>
      </c>
      <c r="P832" s="21" t="s">
        <v>2272</v>
      </c>
      <c r="Q832" s="21" t="s">
        <v>2272</v>
      </c>
      <c r="R832" s="21" t="s">
        <v>2272</v>
      </c>
      <c r="S832" s="21" t="s">
        <v>2272</v>
      </c>
      <c r="T832" s="21" t="s">
        <v>2272</v>
      </c>
      <c r="U832" s="21" t="s">
        <v>2272</v>
      </c>
      <c r="V832" s="21" t="s">
        <v>2272</v>
      </c>
      <c r="W832" s="21" t="s">
        <v>2272</v>
      </c>
      <c r="X832" s="21" t="s">
        <v>2272</v>
      </c>
      <c r="Y832" s="21" t="s">
        <v>2272</v>
      </c>
      <c r="Z832" s="21" t="s">
        <v>2272</v>
      </c>
      <c r="AA832" s="21" t="s">
        <v>2272</v>
      </c>
      <c r="AB832" s="3"/>
      <c r="AC832" s="3"/>
    </row>
    <row r="833" spans="1:31"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2272</v>
      </c>
      <c r="K833" s="21" t="s">
        <v>2272</v>
      </c>
      <c r="L833" s="21" t="s">
        <v>2272</v>
      </c>
      <c r="M833" s="21" t="s">
        <v>2272</v>
      </c>
      <c r="N833" s="21" t="s">
        <v>2272</v>
      </c>
      <c r="O833" s="21" t="s">
        <v>2272</v>
      </c>
      <c r="P833" s="21" t="s">
        <v>2272</v>
      </c>
      <c r="Q833" s="21" t="s">
        <v>2272</v>
      </c>
      <c r="R833" s="21" t="s">
        <v>2272</v>
      </c>
      <c r="S833" s="21" t="s">
        <v>2272</v>
      </c>
      <c r="T833" s="21" t="s">
        <v>2272</v>
      </c>
      <c r="U833" s="21" t="s">
        <v>2272</v>
      </c>
      <c r="V833" s="21" t="s">
        <v>2272</v>
      </c>
      <c r="W833" s="21" t="s">
        <v>2272</v>
      </c>
      <c r="X833" s="21" t="s">
        <v>2272</v>
      </c>
      <c r="Y833" s="21" t="s">
        <v>2272</v>
      </c>
      <c r="Z833" s="21" t="s">
        <v>2272</v>
      </c>
      <c r="AA833" s="21" t="s">
        <v>2272</v>
      </c>
      <c r="AB833" s="3"/>
      <c r="AC833" s="3"/>
    </row>
    <row r="834" spans="1:31"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2272</v>
      </c>
      <c r="K834" s="21" t="s">
        <v>2272</v>
      </c>
      <c r="L834" s="21" t="s">
        <v>2272</v>
      </c>
      <c r="M834" s="21" t="s">
        <v>2272</v>
      </c>
      <c r="N834" s="21" t="s">
        <v>2272</v>
      </c>
      <c r="O834" s="21" t="s">
        <v>2272</v>
      </c>
      <c r="P834" s="21" t="s">
        <v>2272</v>
      </c>
      <c r="Q834" s="21" t="s">
        <v>2272</v>
      </c>
      <c r="R834" s="21" t="s">
        <v>2272</v>
      </c>
      <c r="S834" s="21" t="s">
        <v>2272</v>
      </c>
      <c r="T834" s="21" t="s">
        <v>2272</v>
      </c>
      <c r="U834" s="21" t="s">
        <v>2272</v>
      </c>
      <c r="V834" s="21" t="s">
        <v>2272</v>
      </c>
      <c r="W834" s="21" t="s">
        <v>2272</v>
      </c>
      <c r="X834" s="21" t="s">
        <v>2272</v>
      </c>
      <c r="Y834" s="21" t="s">
        <v>2272</v>
      </c>
      <c r="Z834" s="21" t="s">
        <v>2272</v>
      </c>
      <c r="AA834" s="21" t="s">
        <v>2272</v>
      </c>
      <c r="AB834" s="3"/>
      <c r="AC834" s="3"/>
    </row>
    <row r="835" spans="1:31" ht="29">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2272</v>
      </c>
      <c r="K835" s="21" t="s">
        <v>2272</v>
      </c>
      <c r="L835" s="98" t="s">
        <v>2370</v>
      </c>
      <c r="M835" s="21" t="s">
        <v>2272</v>
      </c>
      <c r="N835" s="98" t="s">
        <v>2370</v>
      </c>
      <c r="O835" s="21" t="s">
        <v>2272</v>
      </c>
      <c r="P835" s="98" t="s">
        <v>2370</v>
      </c>
      <c r="Q835" s="21" t="s">
        <v>2272</v>
      </c>
      <c r="R835" s="98" t="s">
        <v>2370</v>
      </c>
      <c r="S835" s="21" t="s">
        <v>2272</v>
      </c>
      <c r="T835" s="21" t="s">
        <v>2272</v>
      </c>
      <c r="U835" s="21" t="s">
        <v>2272</v>
      </c>
      <c r="V835" s="21" t="s">
        <v>2272</v>
      </c>
      <c r="W835" s="21" t="s">
        <v>2272</v>
      </c>
      <c r="X835" s="21" t="s">
        <v>2272</v>
      </c>
      <c r="Y835" s="21" t="s">
        <v>2272</v>
      </c>
      <c r="Z835" s="21" t="s">
        <v>2272</v>
      </c>
      <c r="AA835" s="21" t="s">
        <v>2272</v>
      </c>
      <c r="AB835" s="4" t="s">
        <v>2617</v>
      </c>
      <c r="AC835" s="3"/>
    </row>
    <row r="836" spans="1:31" ht="29">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2272</v>
      </c>
      <c r="K836" s="21" t="s">
        <v>2272</v>
      </c>
      <c r="L836" s="98" t="s">
        <v>2370</v>
      </c>
      <c r="M836" s="21" t="s">
        <v>2272</v>
      </c>
      <c r="N836" s="98" t="s">
        <v>2370</v>
      </c>
      <c r="O836" s="21" t="s">
        <v>2272</v>
      </c>
      <c r="P836" s="98" t="s">
        <v>2370</v>
      </c>
      <c r="Q836" s="21" t="s">
        <v>2272</v>
      </c>
      <c r="R836" s="98" t="s">
        <v>2370</v>
      </c>
      <c r="S836" s="21" t="s">
        <v>2272</v>
      </c>
      <c r="T836" s="21" t="s">
        <v>2272</v>
      </c>
      <c r="U836" s="21" t="s">
        <v>2272</v>
      </c>
      <c r="V836" s="21" t="s">
        <v>2272</v>
      </c>
      <c r="W836" s="21" t="s">
        <v>2272</v>
      </c>
      <c r="X836" s="21" t="s">
        <v>2272</v>
      </c>
      <c r="Y836" s="21" t="s">
        <v>2272</v>
      </c>
      <c r="Z836" s="21" t="s">
        <v>2272</v>
      </c>
      <c r="AA836" s="21" t="s">
        <v>2272</v>
      </c>
      <c r="AB836" s="4" t="s">
        <v>2617</v>
      </c>
      <c r="AC836" s="3"/>
    </row>
    <row r="837" spans="1:31" ht="29">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2272</v>
      </c>
      <c r="K837" s="21" t="s">
        <v>2272</v>
      </c>
      <c r="L837" s="98" t="s">
        <v>2370</v>
      </c>
      <c r="M837" s="21" t="s">
        <v>2272</v>
      </c>
      <c r="N837" s="98" t="s">
        <v>2370</v>
      </c>
      <c r="O837" s="21" t="s">
        <v>2272</v>
      </c>
      <c r="P837" s="98" t="s">
        <v>2370</v>
      </c>
      <c r="Q837" s="21" t="s">
        <v>2272</v>
      </c>
      <c r="R837" s="98" t="s">
        <v>2370</v>
      </c>
      <c r="S837" s="21" t="s">
        <v>2272</v>
      </c>
      <c r="T837" s="21" t="s">
        <v>2272</v>
      </c>
      <c r="U837" s="21" t="s">
        <v>2272</v>
      </c>
      <c r="V837" s="21" t="s">
        <v>2272</v>
      </c>
      <c r="W837" s="21" t="s">
        <v>2272</v>
      </c>
      <c r="X837" s="21" t="s">
        <v>2272</v>
      </c>
      <c r="Y837" s="21" t="s">
        <v>2272</v>
      </c>
      <c r="Z837" s="21" t="s">
        <v>2272</v>
      </c>
      <c r="AA837" s="21" t="s">
        <v>2272</v>
      </c>
      <c r="AB837" s="4" t="s">
        <v>2617</v>
      </c>
      <c r="AC837" s="3"/>
    </row>
    <row r="838" spans="1:31" ht="29">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2272</v>
      </c>
      <c r="K838" s="21" t="s">
        <v>2272</v>
      </c>
      <c r="L838" s="98" t="s">
        <v>2370</v>
      </c>
      <c r="M838" s="21" t="s">
        <v>2272</v>
      </c>
      <c r="N838" s="98" t="s">
        <v>2370</v>
      </c>
      <c r="O838" s="21" t="s">
        <v>2272</v>
      </c>
      <c r="P838" s="98" t="s">
        <v>2370</v>
      </c>
      <c r="Q838" s="21" t="s">
        <v>2272</v>
      </c>
      <c r="R838" s="98" t="s">
        <v>2370</v>
      </c>
      <c r="S838" s="21" t="s">
        <v>2272</v>
      </c>
      <c r="T838" s="21" t="s">
        <v>2272</v>
      </c>
      <c r="U838" s="21" t="s">
        <v>2272</v>
      </c>
      <c r="V838" s="21" t="s">
        <v>2272</v>
      </c>
      <c r="W838" s="21" t="s">
        <v>2272</v>
      </c>
      <c r="X838" s="21" t="s">
        <v>2272</v>
      </c>
      <c r="Y838" s="21" t="s">
        <v>2272</v>
      </c>
      <c r="Z838" s="21" t="s">
        <v>2272</v>
      </c>
      <c r="AA838" s="21" t="s">
        <v>2272</v>
      </c>
      <c r="AB838" s="4" t="s">
        <v>2617</v>
      </c>
      <c r="AC838" s="3"/>
    </row>
    <row r="839" spans="1:31" ht="29">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2272</v>
      </c>
      <c r="K839" s="21" t="s">
        <v>2272</v>
      </c>
      <c r="L839" s="98" t="s">
        <v>2370</v>
      </c>
      <c r="M839" s="21" t="s">
        <v>2272</v>
      </c>
      <c r="N839" s="98" t="s">
        <v>2370</v>
      </c>
      <c r="O839" s="21" t="s">
        <v>2272</v>
      </c>
      <c r="P839" s="98" t="s">
        <v>2370</v>
      </c>
      <c r="Q839" s="21" t="s">
        <v>2272</v>
      </c>
      <c r="R839" s="98" t="s">
        <v>2370</v>
      </c>
      <c r="S839" s="21" t="s">
        <v>2272</v>
      </c>
      <c r="T839" s="21" t="s">
        <v>2272</v>
      </c>
      <c r="U839" s="21" t="s">
        <v>2272</v>
      </c>
      <c r="V839" s="21" t="s">
        <v>2272</v>
      </c>
      <c r="W839" s="21" t="s">
        <v>2272</v>
      </c>
      <c r="X839" s="21" t="s">
        <v>2272</v>
      </c>
      <c r="Y839" s="21" t="s">
        <v>2272</v>
      </c>
      <c r="Z839" s="21" t="s">
        <v>2272</v>
      </c>
      <c r="AA839" s="21" t="s">
        <v>2272</v>
      </c>
      <c r="AB839" s="4" t="s">
        <v>2617</v>
      </c>
      <c r="AC839" s="3"/>
    </row>
    <row r="840" spans="1:31" ht="29">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2272</v>
      </c>
      <c r="K840" s="21" t="s">
        <v>2272</v>
      </c>
      <c r="L840" s="98" t="s">
        <v>2370</v>
      </c>
      <c r="M840" s="21" t="s">
        <v>2272</v>
      </c>
      <c r="N840" s="98" t="s">
        <v>2370</v>
      </c>
      <c r="O840" s="21" t="s">
        <v>2272</v>
      </c>
      <c r="P840" s="98" t="s">
        <v>2370</v>
      </c>
      <c r="Q840" s="21" t="s">
        <v>2272</v>
      </c>
      <c r="R840" s="98" t="s">
        <v>2370</v>
      </c>
      <c r="S840" s="21" t="s">
        <v>2272</v>
      </c>
      <c r="T840" s="21" t="s">
        <v>2272</v>
      </c>
      <c r="U840" s="21" t="s">
        <v>2272</v>
      </c>
      <c r="V840" s="21" t="s">
        <v>2272</v>
      </c>
      <c r="W840" s="21" t="s">
        <v>2272</v>
      </c>
      <c r="X840" s="21" t="s">
        <v>2272</v>
      </c>
      <c r="Y840" s="21" t="s">
        <v>2272</v>
      </c>
      <c r="Z840" s="21" t="s">
        <v>2272</v>
      </c>
      <c r="AA840" s="21" t="s">
        <v>2272</v>
      </c>
      <c r="AB840" s="4" t="s">
        <v>2617</v>
      </c>
      <c r="AC840" s="3"/>
    </row>
    <row r="841" spans="1:31" ht="29">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2272</v>
      </c>
      <c r="K841" s="21" t="s">
        <v>2272</v>
      </c>
      <c r="L841" s="98" t="s">
        <v>2370</v>
      </c>
      <c r="M841" s="21" t="s">
        <v>2272</v>
      </c>
      <c r="N841" s="98" t="s">
        <v>2370</v>
      </c>
      <c r="O841" s="21" t="s">
        <v>2272</v>
      </c>
      <c r="P841" s="98" t="s">
        <v>2370</v>
      </c>
      <c r="Q841" s="21" t="s">
        <v>2272</v>
      </c>
      <c r="R841" s="98" t="s">
        <v>2370</v>
      </c>
      <c r="S841" s="21" t="s">
        <v>2272</v>
      </c>
      <c r="T841" s="21" t="s">
        <v>2272</v>
      </c>
      <c r="U841" s="21" t="s">
        <v>2272</v>
      </c>
      <c r="V841" s="21" t="s">
        <v>2272</v>
      </c>
      <c r="W841" s="21" t="s">
        <v>2272</v>
      </c>
      <c r="X841" s="21" t="s">
        <v>2272</v>
      </c>
      <c r="Y841" s="21" t="s">
        <v>2272</v>
      </c>
      <c r="Z841" s="21" t="s">
        <v>2272</v>
      </c>
      <c r="AA841" s="21" t="s">
        <v>2272</v>
      </c>
      <c r="AB841" s="4" t="s">
        <v>2617</v>
      </c>
      <c r="AC841" s="3"/>
    </row>
    <row r="842" spans="1:31" ht="29">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2272</v>
      </c>
      <c r="K842" s="21" t="s">
        <v>2272</v>
      </c>
      <c r="L842" s="98" t="s">
        <v>2370</v>
      </c>
      <c r="M842" s="21" t="s">
        <v>2272</v>
      </c>
      <c r="N842" s="98" t="s">
        <v>2370</v>
      </c>
      <c r="O842" s="21" t="s">
        <v>2272</v>
      </c>
      <c r="P842" s="98" t="s">
        <v>2370</v>
      </c>
      <c r="Q842" s="21" t="s">
        <v>2272</v>
      </c>
      <c r="R842" s="98" t="s">
        <v>2370</v>
      </c>
      <c r="S842" s="21" t="s">
        <v>2272</v>
      </c>
      <c r="T842" s="21" t="s">
        <v>2272</v>
      </c>
      <c r="U842" s="21" t="s">
        <v>2272</v>
      </c>
      <c r="V842" s="21" t="s">
        <v>2272</v>
      </c>
      <c r="W842" s="21" t="s">
        <v>2272</v>
      </c>
      <c r="X842" s="21" t="s">
        <v>2272</v>
      </c>
      <c r="Y842" s="21" t="s">
        <v>2272</v>
      </c>
      <c r="Z842" s="21" t="s">
        <v>2272</v>
      </c>
      <c r="AA842" s="21" t="s">
        <v>2272</v>
      </c>
      <c r="AB842" s="4" t="s">
        <v>2617</v>
      </c>
      <c r="AC842" s="3"/>
    </row>
    <row r="843" spans="1:31" ht="29">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2272</v>
      </c>
      <c r="K843" s="21" t="s">
        <v>2272</v>
      </c>
      <c r="L843" s="98" t="s">
        <v>2370</v>
      </c>
      <c r="M843" s="21" t="s">
        <v>2272</v>
      </c>
      <c r="N843" s="98" t="s">
        <v>2370</v>
      </c>
      <c r="O843" s="21" t="s">
        <v>2272</v>
      </c>
      <c r="P843" s="98" t="s">
        <v>2370</v>
      </c>
      <c r="Q843" s="21" t="s">
        <v>2272</v>
      </c>
      <c r="R843" s="98" t="s">
        <v>2370</v>
      </c>
      <c r="S843" s="21" t="s">
        <v>2272</v>
      </c>
      <c r="T843" s="21" t="s">
        <v>2272</v>
      </c>
      <c r="U843" s="21" t="s">
        <v>2272</v>
      </c>
      <c r="V843" s="21" t="s">
        <v>2272</v>
      </c>
      <c r="W843" s="21" t="s">
        <v>2272</v>
      </c>
      <c r="X843" s="21" t="s">
        <v>2272</v>
      </c>
      <c r="Y843" s="21" t="s">
        <v>2272</v>
      </c>
      <c r="Z843" s="21" t="s">
        <v>2272</v>
      </c>
      <c r="AA843" s="21" t="s">
        <v>2272</v>
      </c>
      <c r="AB843" s="4" t="s">
        <v>2617</v>
      </c>
      <c r="AC843" s="3"/>
    </row>
    <row r="844" spans="1:31" ht="29">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2272</v>
      </c>
      <c r="K844" s="21" t="s">
        <v>2272</v>
      </c>
      <c r="L844" s="98" t="s">
        <v>2370</v>
      </c>
      <c r="M844" s="21" t="s">
        <v>2272</v>
      </c>
      <c r="N844" s="98" t="s">
        <v>2370</v>
      </c>
      <c r="O844" s="21" t="s">
        <v>2272</v>
      </c>
      <c r="P844" s="98" t="s">
        <v>2370</v>
      </c>
      <c r="Q844" s="21" t="s">
        <v>2272</v>
      </c>
      <c r="R844" s="98" t="s">
        <v>2370</v>
      </c>
      <c r="S844" s="21" t="s">
        <v>2272</v>
      </c>
      <c r="T844" s="21" t="s">
        <v>2272</v>
      </c>
      <c r="U844" s="21" t="s">
        <v>2272</v>
      </c>
      <c r="V844" s="21" t="s">
        <v>2272</v>
      </c>
      <c r="W844" s="21" t="s">
        <v>2272</v>
      </c>
      <c r="X844" s="21" t="s">
        <v>2272</v>
      </c>
      <c r="Y844" s="21" t="s">
        <v>2272</v>
      </c>
      <c r="Z844" s="21" t="s">
        <v>2272</v>
      </c>
      <c r="AA844" s="21" t="s">
        <v>2272</v>
      </c>
      <c r="AB844" s="4" t="s">
        <v>2617</v>
      </c>
      <c r="AC844" s="3"/>
    </row>
    <row r="845" spans="1:31"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2272</v>
      </c>
      <c r="K845" s="21" t="s">
        <v>2272</v>
      </c>
      <c r="L845" s="21" t="s">
        <v>2358</v>
      </c>
      <c r="M845" s="21" t="s">
        <v>2358</v>
      </c>
      <c r="N845" s="21" t="s">
        <v>2272</v>
      </c>
      <c r="O845" s="21" t="s">
        <v>2272</v>
      </c>
      <c r="P845" s="21" t="s">
        <v>2272</v>
      </c>
      <c r="Q845" s="21" t="s">
        <v>2272</v>
      </c>
      <c r="R845" s="21" t="s">
        <v>2358</v>
      </c>
      <c r="S845" s="21" t="s">
        <v>2358</v>
      </c>
      <c r="T845" s="21" t="s">
        <v>2272</v>
      </c>
      <c r="U845" s="21" t="s">
        <v>2272</v>
      </c>
      <c r="V845" s="21" t="s">
        <v>2272</v>
      </c>
      <c r="W845" s="21" t="s">
        <v>2272</v>
      </c>
      <c r="X845" s="21" t="s">
        <v>2272</v>
      </c>
      <c r="Y845" s="21" t="s">
        <v>2272</v>
      </c>
      <c r="Z845" s="21" t="s">
        <v>2272</v>
      </c>
      <c r="AA845" s="21" t="s">
        <v>2272</v>
      </c>
      <c r="AB845" s="4" t="s">
        <v>2687</v>
      </c>
      <c r="AC845" s="3"/>
      <c r="AD845" s="117"/>
      <c r="AE845" s="117"/>
    </row>
    <row r="846" spans="1:31"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2272</v>
      </c>
      <c r="K846" s="21" t="s">
        <v>2272</v>
      </c>
      <c r="L846" s="21" t="s">
        <v>2358</v>
      </c>
      <c r="M846" s="21" t="s">
        <v>2358</v>
      </c>
      <c r="N846" s="21" t="s">
        <v>2272</v>
      </c>
      <c r="O846" s="21" t="s">
        <v>2272</v>
      </c>
      <c r="P846" s="21" t="s">
        <v>2272</v>
      </c>
      <c r="Q846" s="21" t="s">
        <v>2272</v>
      </c>
      <c r="R846" s="21" t="s">
        <v>2358</v>
      </c>
      <c r="S846" s="21" t="s">
        <v>2358</v>
      </c>
      <c r="T846" s="21" t="s">
        <v>2272</v>
      </c>
      <c r="U846" s="21" t="s">
        <v>2272</v>
      </c>
      <c r="V846" s="21" t="s">
        <v>2522</v>
      </c>
      <c r="W846" s="21" t="s">
        <v>2272</v>
      </c>
      <c r="X846" s="21" t="s">
        <v>2272</v>
      </c>
      <c r="Y846" s="21" t="s">
        <v>2272</v>
      </c>
      <c r="Z846" s="21" t="s">
        <v>2272</v>
      </c>
      <c r="AA846" s="21" t="s">
        <v>2272</v>
      </c>
      <c r="AB846" s="4" t="s">
        <v>2683</v>
      </c>
      <c r="AC846" s="3"/>
      <c r="AD846" s="117"/>
      <c r="AE846" s="117"/>
    </row>
    <row r="847" spans="1:31"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2272</v>
      </c>
      <c r="K847" s="21" t="s">
        <v>2272</v>
      </c>
      <c r="L847" s="21" t="s">
        <v>2358</v>
      </c>
      <c r="M847" s="21" t="s">
        <v>2358</v>
      </c>
      <c r="N847" s="21" t="s">
        <v>2272</v>
      </c>
      <c r="O847" s="21" t="s">
        <v>2272</v>
      </c>
      <c r="P847" s="21" t="s">
        <v>2272</v>
      </c>
      <c r="Q847" s="21" t="s">
        <v>2272</v>
      </c>
      <c r="R847" s="21" t="s">
        <v>2358</v>
      </c>
      <c r="S847" s="21" t="s">
        <v>2358</v>
      </c>
      <c r="T847" s="21" t="s">
        <v>2272</v>
      </c>
      <c r="U847" s="21" t="s">
        <v>2272</v>
      </c>
      <c r="V847" s="21" t="s">
        <v>2272</v>
      </c>
      <c r="W847" s="21" t="s">
        <v>2272</v>
      </c>
      <c r="X847" s="21" t="s">
        <v>2272</v>
      </c>
      <c r="Y847" s="21" t="s">
        <v>2272</v>
      </c>
      <c r="Z847" s="21" t="s">
        <v>2272</v>
      </c>
      <c r="AA847" s="21" t="s">
        <v>2272</v>
      </c>
      <c r="AB847" s="4" t="s">
        <v>2688</v>
      </c>
      <c r="AC847" s="3"/>
      <c r="AD847" s="117"/>
      <c r="AE847" s="117"/>
    </row>
    <row r="848" spans="1:31"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2272</v>
      </c>
      <c r="K848" s="21" t="s">
        <v>2272</v>
      </c>
      <c r="L848" s="21" t="s">
        <v>2358</v>
      </c>
      <c r="M848" s="21" t="s">
        <v>2358</v>
      </c>
      <c r="N848" s="21" t="s">
        <v>2272</v>
      </c>
      <c r="O848" s="21" t="s">
        <v>2272</v>
      </c>
      <c r="P848" s="21" t="s">
        <v>2272</v>
      </c>
      <c r="Q848" s="21" t="s">
        <v>2272</v>
      </c>
      <c r="R848" s="21" t="s">
        <v>2358</v>
      </c>
      <c r="S848" s="21" t="s">
        <v>2358</v>
      </c>
      <c r="T848" s="21" t="s">
        <v>2272</v>
      </c>
      <c r="U848" s="21" t="s">
        <v>2272</v>
      </c>
      <c r="V848" s="21" t="s">
        <v>2522</v>
      </c>
      <c r="W848" s="21" t="s">
        <v>2272</v>
      </c>
      <c r="X848" s="21" t="s">
        <v>2272</v>
      </c>
      <c r="Y848" s="21" t="s">
        <v>2272</v>
      </c>
      <c r="Z848" s="21" t="s">
        <v>2272</v>
      </c>
      <c r="AA848" s="21" t="s">
        <v>2272</v>
      </c>
      <c r="AB848" s="4" t="s">
        <v>2690</v>
      </c>
      <c r="AC848" s="3"/>
      <c r="AD848" s="117"/>
      <c r="AE848" s="117"/>
    </row>
    <row r="849" spans="1:31"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2272</v>
      </c>
      <c r="K849" s="21" t="s">
        <v>2272</v>
      </c>
      <c r="L849" s="21" t="s">
        <v>2358</v>
      </c>
      <c r="M849" s="21" t="s">
        <v>2358</v>
      </c>
      <c r="N849" s="21" t="s">
        <v>2272</v>
      </c>
      <c r="O849" s="21" t="s">
        <v>2272</v>
      </c>
      <c r="P849" s="21" t="s">
        <v>2272</v>
      </c>
      <c r="Q849" s="21" t="s">
        <v>2272</v>
      </c>
      <c r="R849" s="21" t="s">
        <v>2358</v>
      </c>
      <c r="S849" s="21" t="s">
        <v>2358</v>
      </c>
      <c r="T849" s="21" t="s">
        <v>2272</v>
      </c>
      <c r="U849" s="21" t="s">
        <v>2272</v>
      </c>
      <c r="V849" s="21" t="s">
        <v>2272</v>
      </c>
      <c r="W849" s="21" t="s">
        <v>2272</v>
      </c>
      <c r="X849" s="21" t="s">
        <v>2397</v>
      </c>
      <c r="Y849" s="21" t="s">
        <v>2272</v>
      </c>
      <c r="Z849" s="21" t="s">
        <v>2272</v>
      </c>
      <c r="AA849" s="21" t="s">
        <v>2272</v>
      </c>
      <c r="AB849" s="4" t="s">
        <v>2672</v>
      </c>
      <c r="AC849" s="3" t="s">
        <v>2671</v>
      </c>
      <c r="AD849" s="117"/>
      <c r="AE849" s="117"/>
    </row>
    <row r="850" spans="1:31"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2272</v>
      </c>
      <c r="K850" s="21" t="s">
        <v>2272</v>
      </c>
      <c r="L850" s="21" t="s">
        <v>2358</v>
      </c>
      <c r="M850" s="21" t="s">
        <v>2358</v>
      </c>
      <c r="N850" s="21" t="s">
        <v>2272</v>
      </c>
      <c r="O850" s="21" t="s">
        <v>2272</v>
      </c>
      <c r="P850" s="21" t="s">
        <v>2272</v>
      </c>
      <c r="Q850" s="21" t="s">
        <v>2272</v>
      </c>
      <c r="R850" s="21" t="s">
        <v>2358</v>
      </c>
      <c r="S850" s="21" t="s">
        <v>2358</v>
      </c>
      <c r="T850" s="21" t="s">
        <v>2272</v>
      </c>
      <c r="U850" s="21" t="s">
        <v>2272</v>
      </c>
      <c r="V850" s="21" t="s">
        <v>2272</v>
      </c>
      <c r="W850" s="21" t="s">
        <v>2272</v>
      </c>
      <c r="X850" s="21" t="s">
        <v>2397</v>
      </c>
      <c r="Y850" s="21" t="s">
        <v>2272</v>
      </c>
      <c r="Z850" s="21" t="s">
        <v>2272</v>
      </c>
      <c r="AA850" s="21" t="s">
        <v>2272</v>
      </c>
      <c r="AB850" s="4" t="s">
        <v>2672</v>
      </c>
      <c r="AC850" s="3" t="s">
        <v>2671</v>
      </c>
    </row>
    <row r="851" spans="1:31" ht="38" customHeight="1">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2272</v>
      </c>
      <c r="K851" s="21" t="s">
        <v>2272</v>
      </c>
      <c r="L851" s="98" t="s">
        <v>2358</v>
      </c>
      <c r="M851" s="21" t="s">
        <v>2272</v>
      </c>
      <c r="N851" s="21" t="s">
        <v>2368</v>
      </c>
      <c r="O851" s="21" t="s">
        <v>2272</v>
      </c>
      <c r="P851" s="21" t="s">
        <v>2370</v>
      </c>
      <c r="Q851" s="21" t="s">
        <v>2272</v>
      </c>
      <c r="R851" s="21" t="s">
        <v>2272</v>
      </c>
      <c r="S851" s="21" t="s">
        <v>2272</v>
      </c>
      <c r="T851" s="21" t="s">
        <v>2272</v>
      </c>
      <c r="U851" s="21" t="s">
        <v>2272</v>
      </c>
      <c r="V851" s="21" t="s">
        <v>2272</v>
      </c>
      <c r="W851" s="21" t="s">
        <v>2272</v>
      </c>
      <c r="X851" s="21" t="s">
        <v>2272</v>
      </c>
      <c r="Y851" s="21" t="s">
        <v>2272</v>
      </c>
      <c r="Z851" s="21" t="s">
        <v>2272</v>
      </c>
      <c r="AA851" s="21" t="s">
        <v>2272</v>
      </c>
      <c r="AB851" s="3"/>
      <c r="AC851" s="3" t="s">
        <v>2728</v>
      </c>
    </row>
    <row r="852" spans="1:31"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2272</v>
      </c>
      <c r="K852" s="21" t="s">
        <v>2272</v>
      </c>
      <c r="L852" s="21" t="s">
        <v>2272</v>
      </c>
      <c r="M852" s="21" t="s">
        <v>2272</v>
      </c>
      <c r="N852" s="21" t="s">
        <v>2272</v>
      </c>
      <c r="O852" s="21" t="s">
        <v>2272</v>
      </c>
      <c r="P852" s="21" t="s">
        <v>2272</v>
      </c>
      <c r="Q852" s="21" t="s">
        <v>2272</v>
      </c>
      <c r="R852" s="21" t="s">
        <v>2272</v>
      </c>
      <c r="S852" s="21" t="s">
        <v>2272</v>
      </c>
      <c r="T852" s="21" t="s">
        <v>2272</v>
      </c>
      <c r="U852" s="21" t="s">
        <v>2272</v>
      </c>
      <c r="V852" s="21" t="s">
        <v>2272</v>
      </c>
      <c r="W852" s="21" t="s">
        <v>2272</v>
      </c>
      <c r="X852" s="21" t="s">
        <v>2272</v>
      </c>
      <c r="Y852" s="21" t="s">
        <v>2272</v>
      </c>
      <c r="Z852" s="21" t="s">
        <v>2272</v>
      </c>
      <c r="AA852" s="21" t="s">
        <v>2272</v>
      </c>
      <c r="AB852" s="4" t="s">
        <v>2727</v>
      </c>
      <c r="AC852" s="3"/>
    </row>
    <row r="853" spans="1:31"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2272</v>
      </c>
      <c r="K853" s="21" t="s">
        <v>2272</v>
      </c>
      <c r="L853" s="98" t="s">
        <v>2358</v>
      </c>
      <c r="M853" s="21" t="s">
        <v>2272</v>
      </c>
      <c r="N853" s="21" t="s">
        <v>2370</v>
      </c>
      <c r="O853" s="21" t="s">
        <v>2272</v>
      </c>
      <c r="P853" s="21" t="s">
        <v>2370</v>
      </c>
      <c r="Q853" s="21" t="s">
        <v>2272</v>
      </c>
      <c r="R853" s="21" t="s">
        <v>2272</v>
      </c>
      <c r="S853" s="21" t="s">
        <v>2272</v>
      </c>
      <c r="T853" s="21" t="s">
        <v>2272</v>
      </c>
      <c r="U853" s="21" t="s">
        <v>2272</v>
      </c>
      <c r="V853" s="21" t="s">
        <v>2272</v>
      </c>
      <c r="W853" s="21" t="s">
        <v>2272</v>
      </c>
      <c r="X853" s="21" t="s">
        <v>2272</v>
      </c>
      <c r="Y853" s="21" t="s">
        <v>2272</v>
      </c>
      <c r="Z853" s="21" t="s">
        <v>2272</v>
      </c>
      <c r="AA853" s="21" t="s">
        <v>2272</v>
      </c>
      <c r="AB853" s="3"/>
      <c r="AC853" s="4" t="s">
        <v>2742</v>
      </c>
    </row>
    <row r="854" spans="1:31"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2272</v>
      </c>
      <c r="K854" s="21" t="s">
        <v>2272</v>
      </c>
      <c r="L854" s="21" t="s">
        <v>2272</v>
      </c>
      <c r="M854" s="21" t="s">
        <v>2272</v>
      </c>
      <c r="N854" s="21" t="s">
        <v>2272</v>
      </c>
      <c r="O854" s="21" t="s">
        <v>2272</v>
      </c>
      <c r="P854" s="21" t="s">
        <v>2272</v>
      </c>
      <c r="Q854" s="21" t="s">
        <v>2272</v>
      </c>
      <c r="R854" s="21" t="s">
        <v>2272</v>
      </c>
      <c r="S854" s="21" t="s">
        <v>2272</v>
      </c>
      <c r="T854" s="21" t="s">
        <v>2272</v>
      </c>
      <c r="U854" s="21" t="s">
        <v>2272</v>
      </c>
      <c r="V854" s="21" t="s">
        <v>2272</v>
      </c>
      <c r="W854" s="21" t="s">
        <v>2272</v>
      </c>
      <c r="X854" s="21" t="s">
        <v>2397</v>
      </c>
      <c r="Y854" s="21" t="s">
        <v>2272</v>
      </c>
      <c r="Z854" s="21" t="s">
        <v>2272</v>
      </c>
      <c r="AA854" s="21" t="s">
        <v>2272</v>
      </c>
      <c r="AB854" s="4" t="s">
        <v>2729</v>
      </c>
      <c r="AC854" s="3"/>
    </row>
    <row r="855" spans="1:31"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2272</v>
      </c>
      <c r="K855" s="21" t="s">
        <v>2272</v>
      </c>
      <c r="L855" s="98" t="s">
        <v>2370</v>
      </c>
      <c r="M855" s="21" t="s">
        <v>2272</v>
      </c>
      <c r="N855" s="21" t="s">
        <v>2368</v>
      </c>
      <c r="O855" s="21" t="s">
        <v>2272</v>
      </c>
      <c r="P855" s="21" t="s">
        <v>2368</v>
      </c>
      <c r="Q855" s="21" t="s">
        <v>2272</v>
      </c>
      <c r="R855" s="21" t="s">
        <v>2272</v>
      </c>
      <c r="S855" s="21" t="s">
        <v>2272</v>
      </c>
      <c r="T855" s="21" t="s">
        <v>2272</v>
      </c>
      <c r="U855" s="21" t="s">
        <v>2272</v>
      </c>
      <c r="V855" s="21" t="s">
        <v>2272</v>
      </c>
      <c r="W855" s="21" t="s">
        <v>2272</v>
      </c>
      <c r="X855" s="21" t="s">
        <v>2272</v>
      </c>
      <c r="Y855" s="21" t="s">
        <v>2272</v>
      </c>
      <c r="Z855" s="21" t="s">
        <v>2272</v>
      </c>
      <c r="AA855" s="21" t="s">
        <v>2272</v>
      </c>
      <c r="AB855" s="3"/>
      <c r="AC855" s="3" t="s">
        <v>2728</v>
      </c>
    </row>
    <row r="856" spans="1:31"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2272</v>
      </c>
      <c r="K856" s="21" t="s">
        <v>2272</v>
      </c>
      <c r="L856" s="21" t="s">
        <v>2272</v>
      </c>
      <c r="M856" s="21" t="s">
        <v>2272</v>
      </c>
      <c r="N856" s="21" t="s">
        <v>2272</v>
      </c>
      <c r="O856" s="21" t="s">
        <v>2272</v>
      </c>
      <c r="P856" s="21" t="s">
        <v>2272</v>
      </c>
      <c r="Q856" s="21" t="s">
        <v>2272</v>
      </c>
      <c r="R856" s="21" t="s">
        <v>2272</v>
      </c>
      <c r="S856" s="21" t="s">
        <v>2272</v>
      </c>
      <c r="T856" s="21" t="s">
        <v>2272</v>
      </c>
      <c r="U856" s="21" t="s">
        <v>2272</v>
      </c>
      <c r="V856" s="21" t="s">
        <v>2272</v>
      </c>
      <c r="W856" s="21" t="s">
        <v>2272</v>
      </c>
      <c r="X856" s="21" t="s">
        <v>2272</v>
      </c>
      <c r="Y856" s="21" t="s">
        <v>2272</v>
      </c>
      <c r="Z856" s="21" t="s">
        <v>2272</v>
      </c>
      <c r="AA856" s="21" t="s">
        <v>2272</v>
      </c>
      <c r="AB856" s="3"/>
      <c r="AC856" s="3"/>
    </row>
    <row r="857" spans="1:31"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2272</v>
      </c>
      <c r="K857" s="21" t="s">
        <v>2272</v>
      </c>
      <c r="L857" s="21" t="s">
        <v>2272</v>
      </c>
      <c r="M857" s="21" t="s">
        <v>2272</v>
      </c>
      <c r="N857" s="21" t="s">
        <v>2272</v>
      </c>
      <c r="O857" s="21" t="s">
        <v>2272</v>
      </c>
      <c r="P857" s="21" t="s">
        <v>2272</v>
      </c>
      <c r="Q857" s="21" t="s">
        <v>2272</v>
      </c>
      <c r="R857" s="21" t="s">
        <v>2272</v>
      </c>
      <c r="S857" s="21" t="s">
        <v>2272</v>
      </c>
      <c r="T857" s="21" t="s">
        <v>2272</v>
      </c>
      <c r="U857" s="21" t="s">
        <v>2272</v>
      </c>
      <c r="V857" s="21" t="s">
        <v>2272</v>
      </c>
      <c r="W857" s="21" t="s">
        <v>2272</v>
      </c>
      <c r="X857" s="21" t="s">
        <v>2272</v>
      </c>
      <c r="Y857" s="21" t="s">
        <v>2272</v>
      </c>
      <c r="Z857" s="21" t="s">
        <v>2272</v>
      </c>
      <c r="AA857" s="21" t="s">
        <v>2272</v>
      </c>
      <c r="AB857" s="3"/>
      <c r="AC857" s="3"/>
    </row>
    <row r="858" spans="1:31" ht="34.5" customHeight="1">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2272</v>
      </c>
      <c r="K858" s="21" t="s">
        <v>2272</v>
      </c>
      <c r="L858" s="21" t="s">
        <v>2272</v>
      </c>
      <c r="M858" s="21" t="s">
        <v>2272</v>
      </c>
      <c r="N858" s="21" t="s">
        <v>2272</v>
      </c>
      <c r="O858" s="21" t="s">
        <v>2272</v>
      </c>
      <c r="P858" s="21" t="s">
        <v>2272</v>
      </c>
      <c r="Q858" s="21" t="s">
        <v>2272</v>
      </c>
      <c r="R858" s="21" t="s">
        <v>2272</v>
      </c>
      <c r="S858" s="21" t="s">
        <v>2272</v>
      </c>
      <c r="T858" s="21" t="s">
        <v>2272</v>
      </c>
      <c r="U858" s="21" t="s">
        <v>2272</v>
      </c>
      <c r="V858" s="21" t="s">
        <v>2272</v>
      </c>
      <c r="W858" s="21" t="s">
        <v>2272</v>
      </c>
      <c r="X858" s="21" t="s">
        <v>2272</v>
      </c>
      <c r="Y858" s="21" t="s">
        <v>2272</v>
      </c>
      <c r="Z858" s="21" t="s">
        <v>2272</v>
      </c>
      <c r="AA858" s="21" t="s">
        <v>2272</v>
      </c>
      <c r="AB858" s="4" t="s">
        <v>2726</v>
      </c>
      <c r="AC858" s="3"/>
    </row>
    <row r="859" spans="1:31"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2272</v>
      </c>
      <c r="K859" s="21" t="s">
        <v>2272</v>
      </c>
      <c r="L859" s="21" t="s">
        <v>2272</v>
      </c>
      <c r="M859" s="21" t="s">
        <v>2272</v>
      </c>
      <c r="N859" s="21" t="s">
        <v>2272</v>
      </c>
      <c r="O859" s="21" t="s">
        <v>2272</v>
      </c>
      <c r="P859" s="21" t="s">
        <v>2272</v>
      </c>
      <c r="Q859" s="21" t="s">
        <v>2272</v>
      </c>
      <c r="R859" s="21" t="s">
        <v>2272</v>
      </c>
      <c r="S859" s="21" t="s">
        <v>2272</v>
      </c>
      <c r="T859" s="21" t="s">
        <v>2272</v>
      </c>
      <c r="U859" s="21" t="s">
        <v>2272</v>
      </c>
      <c r="V859" s="21" t="s">
        <v>2272</v>
      </c>
      <c r="W859" s="21" t="s">
        <v>2272</v>
      </c>
      <c r="X859" s="21" t="s">
        <v>2272</v>
      </c>
      <c r="Y859" s="21" t="s">
        <v>2272</v>
      </c>
      <c r="Z859" s="21" t="s">
        <v>2272</v>
      </c>
      <c r="AA859" s="21" t="s">
        <v>2272</v>
      </c>
      <c r="AB859" s="3"/>
      <c r="AC859" s="3"/>
    </row>
    <row r="860" spans="1:31"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2272</v>
      </c>
      <c r="K860" s="21" t="s">
        <v>2272</v>
      </c>
      <c r="L860" s="21" t="s">
        <v>2272</v>
      </c>
      <c r="M860" s="21" t="s">
        <v>2272</v>
      </c>
      <c r="N860" s="21" t="s">
        <v>2272</v>
      </c>
      <c r="O860" s="21" t="s">
        <v>2272</v>
      </c>
      <c r="P860" s="21" t="s">
        <v>2272</v>
      </c>
      <c r="Q860" s="21" t="s">
        <v>2272</v>
      </c>
      <c r="R860" s="21" t="s">
        <v>2272</v>
      </c>
      <c r="S860" s="21" t="s">
        <v>2272</v>
      </c>
      <c r="T860" s="21" t="s">
        <v>2272</v>
      </c>
      <c r="U860" s="21" t="s">
        <v>2272</v>
      </c>
      <c r="V860" s="21" t="s">
        <v>2272</v>
      </c>
      <c r="W860" s="21" t="s">
        <v>2272</v>
      </c>
      <c r="X860" s="21" t="s">
        <v>2272</v>
      </c>
      <c r="Y860" s="21" t="s">
        <v>2272</v>
      </c>
      <c r="Z860" s="21" t="s">
        <v>2272</v>
      </c>
      <c r="AA860" s="21" t="s">
        <v>2272</v>
      </c>
      <c r="AB860" s="3"/>
      <c r="AC860" s="3"/>
    </row>
    <row r="861" spans="1:31"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2272</v>
      </c>
      <c r="K861" s="21" t="s">
        <v>2272</v>
      </c>
      <c r="L861" s="98" t="s">
        <v>2358</v>
      </c>
      <c r="M861" s="21" t="s">
        <v>2272</v>
      </c>
      <c r="N861" s="21" t="s">
        <v>2368</v>
      </c>
      <c r="O861" s="21" t="s">
        <v>2272</v>
      </c>
      <c r="P861" s="21" t="s">
        <v>2358</v>
      </c>
      <c r="Q861" s="21" t="s">
        <v>2272</v>
      </c>
      <c r="R861" s="21" t="s">
        <v>2358</v>
      </c>
      <c r="S861" s="21" t="s">
        <v>2272</v>
      </c>
      <c r="T861" s="21" t="s">
        <v>2272</v>
      </c>
      <c r="U861" s="21" t="s">
        <v>2272</v>
      </c>
      <c r="V861" s="21" t="s">
        <v>2272</v>
      </c>
      <c r="W861" s="21" t="s">
        <v>2272</v>
      </c>
      <c r="X861" s="21" t="s">
        <v>2397</v>
      </c>
      <c r="Y861" s="21" t="s">
        <v>2272</v>
      </c>
      <c r="Z861" s="21" t="s">
        <v>2272</v>
      </c>
      <c r="AA861" s="21" t="s">
        <v>2272</v>
      </c>
      <c r="AB861" s="3"/>
      <c r="AC861" s="3" t="s">
        <v>2755</v>
      </c>
    </row>
    <row r="862" spans="1:31"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2272</v>
      </c>
      <c r="K862" s="21" t="s">
        <v>2272</v>
      </c>
      <c r="L862" s="21" t="s">
        <v>2272</v>
      </c>
      <c r="M862" s="21" t="s">
        <v>2272</v>
      </c>
      <c r="N862" s="21" t="s">
        <v>2272</v>
      </c>
      <c r="O862" s="21" t="s">
        <v>2272</v>
      </c>
      <c r="P862" s="21" t="s">
        <v>2272</v>
      </c>
      <c r="Q862" s="21" t="s">
        <v>2272</v>
      </c>
      <c r="R862" s="21" t="s">
        <v>2272</v>
      </c>
      <c r="S862" s="21" t="s">
        <v>2272</v>
      </c>
      <c r="T862" s="21" t="s">
        <v>2272</v>
      </c>
      <c r="U862" s="21" t="s">
        <v>2272</v>
      </c>
      <c r="V862" s="21" t="s">
        <v>2272</v>
      </c>
      <c r="W862" s="21" t="s">
        <v>2272</v>
      </c>
      <c r="X862" s="21" t="s">
        <v>2398</v>
      </c>
      <c r="Y862" s="21" t="s">
        <v>2272</v>
      </c>
      <c r="Z862" s="21" t="s">
        <v>2272</v>
      </c>
      <c r="AA862" s="21" t="s">
        <v>2272</v>
      </c>
      <c r="AB862" s="3"/>
      <c r="AC862" s="3" t="s">
        <v>2756</v>
      </c>
    </row>
    <row r="863" spans="1:31"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2272</v>
      </c>
      <c r="K863" s="21" t="s">
        <v>2272</v>
      </c>
      <c r="L863" s="21" t="s">
        <v>2272</v>
      </c>
      <c r="M863" s="21" t="s">
        <v>2272</v>
      </c>
      <c r="N863" s="21" t="s">
        <v>2272</v>
      </c>
      <c r="O863" s="21" t="s">
        <v>2272</v>
      </c>
      <c r="P863" s="21" t="s">
        <v>2272</v>
      </c>
      <c r="Q863" s="21" t="s">
        <v>2272</v>
      </c>
      <c r="R863" s="21" t="s">
        <v>2272</v>
      </c>
      <c r="S863" s="21" t="s">
        <v>2272</v>
      </c>
      <c r="T863" s="21" t="s">
        <v>2272</v>
      </c>
      <c r="U863" s="21" t="s">
        <v>2272</v>
      </c>
      <c r="V863" s="21" t="s">
        <v>2272</v>
      </c>
      <c r="W863" s="21" t="s">
        <v>2272</v>
      </c>
      <c r="X863" s="21" t="s">
        <v>2272</v>
      </c>
      <c r="Y863" s="3" t="s">
        <v>67</v>
      </c>
      <c r="Z863" s="3" t="s">
        <v>67</v>
      </c>
      <c r="AA863" s="3" t="s">
        <v>63</v>
      </c>
      <c r="AB863" s="3"/>
      <c r="AC863" s="3"/>
    </row>
    <row r="864" spans="1:31"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2272</v>
      </c>
      <c r="K864" s="21" t="s">
        <v>2272</v>
      </c>
      <c r="L864" s="21" t="s">
        <v>2358</v>
      </c>
      <c r="M864" s="21" t="s">
        <v>2272</v>
      </c>
      <c r="N864" s="21" t="s">
        <v>2370</v>
      </c>
      <c r="O864" s="21" t="s">
        <v>2272</v>
      </c>
      <c r="P864" s="21" t="s">
        <v>2358</v>
      </c>
      <c r="Q864" s="21" t="s">
        <v>2272</v>
      </c>
      <c r="R864" s="21" t="s">
        <v>2358</v>
      </c>
      <c r="S864" s="21" t="s">
        <v>2272</v>
      </c>
      <c r="T864" s="21" t="s">
        <v>2389</v>
      </c>
      <c r="U864" s="21" t="s">
        <v>2272</v>
      </c>
      <c r="V864" s="21" t="s">
        <v>2272</v>
      </c>
      <c r="W864" s="21" t="s">
        <v>2272</v>
      </c>
      <c r="X864" s="21" t="s">
        <v>2370</v>
      </c>
      <c r="Y864" s="70" t="s">
        <v>403</v>
      </c>
      <c r="Z864" s="70" t="s">
        <v>403</v>
      </c>
      <c r="AA864" s="70" t="s">
        <v>63</v>
      </c>
      <c r="AB864" s="3"/>
      <c r="AC864" s="4" t="s">
        <v>2784</v>
      </c>
    </row>
    <row r="865" spans="1:29"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2272</v>
      </c>
      <c r="K865" s="21" t="s">
        <v>2272</v>
      </c>
      <c r="L865" s="21" t="s">
        <v>2358</v>
      </c>
      <c r="M865" s="21" t="s">
        <v>2272</v>
      </c>
      <c r="N865" s="21" t="s">
        <v>2370</v>
      </c>
      <c r="O865" s="21" t="s">
        <v>2272</v>
      </c>
      <c r="P865" s="21" t="s">
        <v>2358</v>
      </c>
      <c r="Q865" s="21" t="s">
        <v>2272</v>
      </c>
      <c r="R865" s="21" t="s">
        <v>2358</v>
      </c>
      <c r="S865" s="21" t="s">
        <v>2272</v>
      </c>
      <c r="T865" s="21" t="s">
        <v>2387</v>
      </c>
      <c r="U865" s="21" t="s">
        <v>2272</v>
      </c>
      <c r="V865" s="21" t="s">
        <v>2272</v>
      </c>
      <c r="W865" s="21" t="s">
        <v>2272</v>
      </c>
      <c r="X865" s="21" t="s">
        <v>2370</v>
      </c>
      <c r="Y865" s="70" t="s">
        <v>403</v>
      </c>
      <c r="Z865" s="70" t="s">
        <v>403</v>
      </c>
      <c r="AA865" s="70" t="s">
        <v>63</v>
      </c>
      <c r="AB865" s="3"/>
      <c r="AC865" s="4" t="s">
        <v>2784</v>
      </c>
    </row>
    <row r="866" spans="1:29"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2272</v>
      </c>
      <c r="K866" s="21" t="s">
        <v>2272</v>
      </c>
      <c r="L866" s="21" t="s">
        <v>2358</v>
      </c>
      <c r="M866" s="21" t="s">
        <v>2272</v>
      </c>
      <c r="N866" s="21" t="s">
        <v>2370</v>
      </c>
      <c r="O866" s="21" t="s">
        <v>2272</v>
      </c>
      <c r="P866" s="21" t="s">
        <v>2358</v>
      </c>
      <c r="Q866" s="21" t="s">
        <v>2272</v>
      </c>
      <c r="R866" s="21" t="s">
        <v>2358</v>
      </c>
      <c r="S866" s="21" t="s">
        <v>2272</v>
      </c>
      <c r="T866" s="21" t="s">
        <v>2388</v>
      </c>
      <c r="U866" s="21" t="s">
        <v>2272</v>
      </c>
      <c r="V866" s="21" t="s">
        <v>2272</v>
      </c>
      <c r="W866" s="21" t="s">
        <v>2272</v>
      </c>
      <c r="X866" s="21" t="s">
        <v>2370</v>
      </c>
      <c r="Y866" s="70" t="s">
        <v>403</v>
      </c>
      <c r="Z866" s="70" t="s">
        <v>403</v>
      </c>
      <c r="AA866" s="70" t="s">
        <v>63</v>
      </c>
      <c r="AB866" s="3"/>
      <c r="AC866" s="4" t="s">
        <v>2784</v>
      </c>
    </row>
    <row r="867" spans="1:29"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2272</v>
      </c>
      <c r="K867" s="21" t="s">
        <v>2272</v>
      </c>
      <c r="L867" s="21" t="s">
        <v>2358</v>
      </c>
      <c r="M867" s="21" t="s">
        <v>2272</v>
      </c>
      <c r="N867" s="21" t="s">
        <v>2370</v>
      </c>
      <c r="O867" s="21" t="s">
        <v>2272</v>
      </c>
      <c r="P867" s="21" t="s">
        <v>2358</v>
      </c>
      <c r="Q867" s="21" t="s">
        <v>2272</v>
      </c>
      <c r="R867" s="21" t="s">
        <v>2358</v>
      </c>
      <c r="S867" s="21" t="s">
        <v>2272</v>
      </c>
      <c r="T867" s="21" t="s">
        <v>2385</v>
      </c>
      <c r="U867" s="21" t="s">
        <v>2272</v>
      </c>
      <c r="V867" s="21" t="s">
        <v>2272</v>
      </c>
      <c r="W867" s="21" t="s">
        <v>2272</v>
      </c>
      <c r="X867" s="21" t="s">
        <v>2370</v>
      </c>
      <c r="Y867" s="70" t="s">
        <v>403</v>
      </c>
      <c r="Z867" s="70" t="s">
        <v>403</v>
      </c>
      <c r="AA867" s="70" t="s">
        <v>63</v>
      </c>
      <c r="AB867" s="3"/>
      <c r="AC867" s="4" t="s">
        <v>2784</v>
      </c>
    </row>
    <row r="868" spans="1:29"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2272</v>
      </c>
      <c r="K868" s="21" t="s">
        <v>2272</v>
      </c>
      <c r="L868" s="21" t="s">
        <v>2358</v>
      </c>
      <c r="M868" s="21" t="s">
        <v>2272</v>
      </c>
      <c r="N868" s="21" t="s">
        <v>2370</v>
      </c>
      <c r="O868" s="21" t="s">
        <v>2272</v>
      </c>
      <c r="P868" s="21" t="s">
        <v>2358</v>
      </c>
      <c r="Q868" s="21" t="s">
        <v>2272</v>
      </c>
      <c r="R868" s="21" t="s">
        <v>2358</v>
      </c>
      <c r="S868" s="21" t="s">
        <v>2272</v>
      </c>
      <c r="T868" s="21" t="s">
        <v>2384</v>
      </c>
      <c r="U868" s="21" t="s">
        <v>2272</v>
      </c>
      <c r="V868" s="21" t="s">
        <v>2272</v>
      </c>
      <c r="W868" s="21" t="s">
        <v>2272</v>
      </c>
      <c r="X868" s="21" t="s">
        <v>2370</v>
      </c>
      <c r="Y868" s="70" t="s">
        <v>403</v>
      </c>
      <c r="Z868" s="70" t="s">
        <v>403</v>
      </c>
      <c r="AA868" s="70" t="s">
        <v>63</v>
      </c>
      <c r="AB868" s="3"/>
      <c r="AC868" s="4" t="s">
        <v>2784</v>
      </c>
    </row>
    <row r="869" spans="1:29"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2272</v>
      </c>
      <c r="K869" s="21" t="s">
        <v>2272</v>
      </c>
      <c r="L869" s="21" t="s">
        <v>2272</v>
      </c>
      <c r="M869" s="21" t="s">
        <v>2272</v>
      </c>
      <c r="N869" s="21" t="s">
        <v>2272</v>
      </c>
      <c r="O869" s="21" t="s">
        <v>2272</v>
      </c>
      <c r="P869" s="21" t="s">
        <v>2272</v>
      </c>
      <c r="Q869" s="21" t="s">
        <v>2272</v>
      </c>
      <c r="R869" s="21" t="s">
        <v>2272</v>
      </c>
      <c r="S869" s="21" t="s">
        <v>2272</v>
      </c>
      <c r="T869" s="21" t="s">
        <v>2272</v>
      </c>
      <c r="U869" s="21" t="s">
        <v>2272</v>
      </c>
      <c r="V869" s="21" t="s">
        <v>2272</v>
      </c>
      <c r="W869" s="21" t="s">
        <v>2272</v>
      </c>
      <c r="X869" s="21" t="s">
        <v>2272</v>
      </c>
      <c r="Y869" s="21" t="s">
        <v>2272</v>
      </c>
      <c r="Z869" s="21" t="s">
        <v>2272</v>
      </c>
      <c r="AA869" s="21" t="s">
        <v>2272</v>
      </c>
      <c r="AB869" s="21"/>
      <c r="AC869" s="21"/>
    </row>
    <row r="870" spans="1:29"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2272</v>
      </c>
      <c r="K870" s="21" t="s">
        <v>2272</v>
      </c>
      <c r="L870" s="21" t="s">
        <v>2272</v>
      </c>
      <c r="M870" s="21" t="s">
        <v>2272</v>
      </c>
      <c r="N870" s="21" t="s">
        <v>2272</v>
      </c>
      <c r="O870" s="21" t="s">
        <v>2272</v>
      </c>
      <c r="P870" s="21" t="s">
        <v>2272</v>
      </c>
      <c r="Q870" s="21" t="s">
        <v>2272</v>
      </c>
      <c r="R870" s="21" t="s">
        <v>2272</v>
      </c>
      <c r="S870" s="21" t="s">
        <v>2272</v>
      </c>
      <c r="T870" s="21" t="s">
        <v>2272</v>
      </c>
      <c r="U870" s="21" t="s">
        <v>2272</v>
      </c>
      <c r="V870" s="21" t="s">
        <v>2272</v>
      </c>
      <c r="W870" s="21" t="s">
        <v>2272</v>
      </c>
      <c r="X870" s="21" t="s">
        <v>2272</v>
      </c>
      <c r="Y870" s="21" t="s">
        <v>2272</v>
      </c>
      <c r="Z870" s="21" t="s">
        <v>2272</v>
      </c>
      <c r="AA870" s="21" t="s">
        <v>2272</v>
      </c>
      <c r="AB870" s="21"/>
      <c r="AC870" s="21"/>
    </row>
    <row r="871" spans="1:29"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2272</v>
      </c>
      <c r="K871" s="21" t="s">
        <v>2272</v>
      </c>
      <c r="L871" s="21" t="s">
        <v>2272</v>
      </c>
      <c r="M871" s="21" t="s">
        <v>2272</v>
      </c>
      <c r="N871" s="21" t="s">
        <v>2272</v>
      </c>
      <c r="O871" s="21" t="s">
        <v>2272</v>
      </c>
      <c r="P871" s="21" t="s">
        <v>2272</v>
      </c>
      <c r="Q871" s="21" t="s">
        <v>2272</v>
      </c>
      <c r="R871" s="21" t="s">
        <v>2272</v>
      </c>
      <c r="S871" s="21" t="s">
        <v>2272</v>
      </c>
      <c r="T871" s="21" t="s">
        <v>2272</v>
      </c>
      <c r="U871" s="21" t="s">
        <v>2272</v>
      </c>
      <c r="V871" s="21" t="s">
        <v>2272</v>
      </c>
      <c r="W871" s="21" t="s">
        <v>2272</v>
      </c>
      <c r="X871" s="21" t="s">
        <v>2272</v>
      </c>
      <c r="Y871" s="21" t="s">
        <v>2272</v>
      </c>
      <c r="Z871" s="21" t="s">
        <v>2272</v>
      </c>
      <c r="AA871" s="21" t="s">
        <v>2272</v>
      </c>
      <c r="AB871" s="21"/>
      <c r="AC871" s="21"/>
    </row>
    <row r="872" spans="1:29"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2272</v>
      </c>
      <c r="K872" s="21" t="s">
        <v>2272</v>
      </c>
      <c r="L872" s="21" t="s">
        <v>2272</v>
      </c>
      <c r="M872" s="21" t="s">
        <v>2272</v>
      </c>
      <c r="N872" s="21" t="s">
        <v>2272</v>
      </c>
      <c r="O872" s="21" t="s">
        <v>2272</v>
      </c>
      <c r="P872" s="21" t="s">
        <v>2272</v>
      </c>
      <c r="Q872" s="21" t="s">
        <v>2272</v>
      </c>
      <c r="R872" s="21" t="s">
        <v>2272</v>
      </c>
      <c r="S872" s="21" t="s">
        <v>2272</v>
      </c>
      <c r="T872" s="21" t="s">
        <v>2272</v>
      </c>
      <c r="U872" s="21" t="s">
        <v>2272</v>
      </c>
      <c r="V872" s="21" t="s">
        <v>2272</v>
      </c>
      <c r="W872" s="21" t="s">
        <v>2272</v>
      </c>
      <c r="X872" s="21" t="s">
        <v>2272</v>
      </c>
      <c r="Y872" s="21" t="s">
        <v>2272</v>
      </c>
      <c r="Z872" s="21" t="s">
        <v>2272</v>
      </c>
      <c r="AA872" s="21" t="s">
        <v>2272</v>
      </c>
      <c r="AB872" s="21"/>
      <c r="AC872" s="21"/>
    </row>
    <row r="873" spans="1:29"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2272</v>
      </c>
      <c r="K873" s="21" t="s">
        <v>2272</v>
      </c>
      <c r="L873" s="21" t="s">
        <v>2272</v>
      </c>
      <c r="M873" s="21" t="s">
        <v>2272</v>
      </c>
      <c r="N873" s="21" t="s">
        <v>2272</v>
      </c>
      <c r="O873" s="21" t="s">
        <v>2272</v>
      </c>
      <c r="P873" s="21" t="s">
        <v>2272</v>
      </c>
      <c r="Q873" s="21" t="s">
        <v>2272</v>
      </c>
      <c r="R873" s="21" t="s">
        <v>2272</v>
      </c>
      <c r="S873" s="21" t="s">
        <v>2272</v>
      </c>
      <c r="T873" s="21" t="s">
        <v>2272</v>
      </c>
      <c r="U873" s="21" t="s">
        <v>2272</v>
      </c>
      <c r="V873" s="21" t="s">
        <v>2272</v>
      </c>
      <c r="W873" s="21" t="s">
        <v>2272</v>
      </c>
      <c r="X873" s="21" t="s">
        <v>2272</v>
      </c>
      <c r="Y873" s="21" t="s">
        <v>2272</v>
      </c>
      <c r="Z873" s="21" t="s">
        <v>2272</v>
      </c>
      <c r="AA873" s="21" t="s">
        <v>2272</v>
      </c>
      <c r="AB873" s="3"/>
      <c r="AC873" s="3"/>
    </row>
    <row r="874" spans="1:29"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2272</v>
      </c>
      <c r="K874" s="21" t="s">
        <v>2272</v>
      </c>
      <c r="L874" s="21" t="s">
        <v>2272</v>
      </c>
      <c r="M874" s="21" t="s">
        <v>2272</v>
      </c>
      <c r="N874" s="21" t="s">
        <v>2272</v>
      </c>
      <c r="O874" s="21" t="s">
        <v>2272</v>
      </c>
      <c r="P874" s="21" t="s">
        <v>2272</v>
      </c>
      <c r="Q874" s="21" t="s">
        <v>2272</v>
      </c>
      <c r="R874" s="21" t="s">
        <v>2272</v>
      </c>
      <c r="S874" s="21" t="s">
        <v>2272</v>
      </c>
      <c r="T874" s="21" t="s">
        <v>2272</v>
      </c>
      <c r="U874" s="21" t="s">
        <v>2272</v>
      </c>
      <c r="V874" s="21" t="s">
        <v>2272</v>
      </c>
      <c r="W874" s="21" t="s">
        <v>2272</v>
      </c>
      <c r="X874" s="21" t="s">
        <v>2272</v>
      </c>
      <c r="Y874" s="21" t="s">
        <v>2272</v>
      </c>
      <c r="Z874" s="21" t="s">
        <v>2272</v>
      </c>
      <c r="AA874" s="21" t="s">
        <v>2272</v>
      </c>
      <c r="AB874" s="3"/>
      <c r="AC874" s="3"/>
    </row>
    <row r="875" spans="1:29"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2272</v>
      </c>
      <c r="K875" s="21" t="s">
        <v>2272</v>
      </c>
      <c r="L875" s="21" t="s">
        <v>2272</v>
      </c>
      <c r="M875" s="21" t="s">
        <v>2272</v>
      </c>
      <c r="N875" s="21" t="s">
        <v>2272</v>
      </c>
      <c r="O875" s="21" t="s">
        <v>2272</v>
      </c>
      <c r="P875" s="21" t="s">
        <v>2272</v>
      </c>
      <c r="Q875" s="21" t="s">
        <v>2272</v>
      </c>
      <c r="R875" s="21" t="s">
        <v>2272</v>
      </c>
      <c r="S875" s="21" t="s">
        <v>2272</v>
      </c>
      <c r="T875" s="21" t="s">
        <v>2272</v>
      </c>
      <c r="U875" s="21" t="s">
        <v>2272</v>
      </c>
      <c r="V875" s="21" t="s">
        <v>2272</v>
      </c>
      <c r="W875" s="21" t="s">
        <v>2272</v>
      </c>
      <c r="X875" s="21" t="s">
        <v>2272</v>
      </c>
      <c r="Y875" s="21" t="s">
        <v>2272</v>
      </c>
      <c r="Z875" s="21" t="s">
        <v>2272</v>
      </c>
      <c r="AA875" s="21" t="s">
        <v>2272</v>
      </c>
      <c r="AB875" s="3"/>
      <c r="AC875" s="3"/>
    </row>
    <row r="876" spans="1:29"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2272</v>
      </c>
      <c r="K876" s="21" t="s">
        <v>2272</v>
      </c>
      <c r="L876" s="21" t="s">
        <v>2272</v>
      </c>
      <c r="M876" s="21" t="s">
        <v>2272</v>
      </c>
      <c r="N876" s="21" t="s">
        <v>2272</v>
      </c>
      <c r="O876" s="21" t="s">
        <v>2272</v>
      </c>
      <c r="P876" s="21" t="s">
        <v>2272</v>
      </c>
      <c r="Q876" s="21" t="s">
        <v>2272</v>
      </c>
      <c r="R876" s="21" t="s">
        <v>2272</v>
      </c>
      <c r="S876" s="21" t="s">
        <v>2272</v>
      </c>
      <c r="T876" s="21" t="s">
        <v>2272</v>
      </c>
      <c r="U876" s="21" t="s">
        <v>2272</v>
      </c>
      <c r="V876" s="21" t="s">
        <v>2272</v>
      </c>
      <c r="W876" s="21" t="s">
        <v>2272</v>
      </c>
      <c r="X876" s="21" t="s">
        <v>2272</v>
      </c>
      <c r="Y876" s="21" t="s">
        <v>2272</v>
      </c>
      <c r="Z876" s="21" t="s">
        <v>2272</v>
      </c>
      <c r="AA876" s="21" t="s">
        <v>2272</v>
      </c>
      <c r="AB876" s="3"/>
      <c r="AC876" s="3"/>
    </row>
    <row r="877" spans="1:29"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2272</v>
      </c>
      <c r="K877" s="21" t="s">
        <v>2272</v>
      </c>
      <c r="L877" s="21" t="s">
        <v>2272</v>
      </c>
      <c r="M877" s="21" t="s">
        <v>2272</v>
      </c>
      <c r="N877" s="21" t="s">
        <v>2272</v>
      </c>
      <c r="O877" s="21" t="s">
        <v>2272</v>
      </c>
      <c r="P877" s="21" t="s">
        <v>2272</v>
      </c>
      <c r="Q877" s="21" t="s">
        <v>2272</v>
      </c>
      <c r="R877" s="21" t="s">
        <v>2272</v>
      </c>
      <c r="S877" s="21" t="s">
        <v>2272</v>
      </c>
      <c r="T877" s="21" t="s">
        <v>2272</v>
      </c>
      <c r="U877" s="21" t="s">
        <v>2272</v>
      </c>
      <c r="V877" s="21" t="s">
        <v>2272</v>
      </c>
      <c r="W877" s="21" t="s">
        <v>2272</v>
      </c>
      <c r="X877" s="21" t="s">
        <v>2272</v>
      </c>
      <c r="Y877" s="21" t="s">
        <v>2272</v>
      </c>
      <c r="Z877" s="21" t="s">
        <v>2272</v>
      </c>
      <c r="AA877" s="21" t="s">
        <v>2272</v>
      </c>
      <c r="AB877" s="3"/>
      <c r="AC877" s="3"/>
    </row>
    <row r="878" spans="1:29"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2272</v>
      </c>
      <c r="K878" s="21" t="s">
        <v>2272</v>
      </c>
      <c r="L878" s="21" t="s">
        <v>2272</v>
      </c>
      <c r="M878" s="21" t="s">
        <v>2272</v>
      </c>
      <c r="N878" s="21" t="s">
        <v>2272</v>
      </c>
      <c r="O878" s="21" t="s">
        <v>2272</v>
      </c>
      <c r="P878" s="21" t="s">
        <v>2272</v>
      </c>
      <c r="Q878" s="21" t="s">
        <v>2272</v>
      </c>
      <c r="R878" s="21" t="s">
        <v>2272</v>
      </c>
      <c r="S878" s="21" t="s">
        <v>2272</v>
      </c>
      <c r="T878" s="21" t="s">
        <v>2272</v>
      </c>
      <c r="U878" s="21" t="s">
        <v>2272</v>
      </c>
      <c r="V878" s="21" t="s">
        <v>2272</v>
      </c>
      <c r="W878" s="21" t="s">
        <v>2272</v>
      </c>
      <c r="X878" s="21" t="s">
        <v>2272</v>
      </c>
      <c r="Y878" s="21" t="s">
        <v>2272</v>
      </c>
      <c r="Z878" s="21" t="s">
        <v>2272</v>
      </c>
      <c r="AA878" s="21" t="s">
        <v>2272</v>
      </c>
      <c r="AB878" s="3"/>
      <c r="AC878" s="3"/>
    </row>
    <row r="879" spans="1:29"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2272</v>
      </c>
      <c r="K879" s="21" t="s">
        <v>2272</v>
      </c>
      <c r="L879" s="21" t="s">
        <v>2272</v>
      </c>
      <c r="M879" s="21" t="s">
        <v>2272</v>
      </c>
      <c r="N879" s="21" t="s">
        <v>2272</v>
      </c>
      <c r="O879" s="21" t="s">
        <v>2272</v>
      </c>
      <c r="P879" s="21" t="s">
        <v>2272</v>
      </c>
      <c r="Q879" s="21" t="s">
        <v>2272</v>
      </c>
      <c r="R879" s="21" t="s">
        <v>2272</v>
      </c>
      <c r="S879" s="21" t="s">
        <v>2272</v>
      </c>
      <c r="T879" s="21" t="s">
        <v>2272</v>
      </c>
      <c r="U879" s="21" t="s">
        <v>2272</v>
      </c>
      <c r="V879" s="21" t="s">
        <v>2272</v>
      </c>
      <c r="W879" s="21" t="s">
        <v>2272</v>
      </c>
      <c r="X879" s="21" t="s">
        <v>2272</v>
      </c>
      <c r="Y879" s="21" t="s">
        <v>2272</v>
      </c>
      <c r="Z879" s="21" t="s">
        <v>2272</v>
      </c>
      <c r="AA879" s="21" t="s">
        <v>2272</v>
      </c>
      <c r="AB879" s="3"/>
      <c r="AC879" s="3"/>
    </row>
    <row r="880" spans="1:29"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2272</v>
      </c>
      <c r="K880" s="21" t="s">
        <v>2272</v>
      </c>
      <c r="L880" s="21" t="s">
        <v>2272</v>
      </c>
      <c r="M880" s="21" t="s">
        <v>2272</v>
      </c>
      <c r="N880" s="21" t="s">
        <v>2272</v>
      </c>
      <c r="O880" s="21" t="s">
        <v>2272</v>
      </c>
      <c r="P880" s="21" t="s">
        <v>2272</v>
      </c>
      <c r="Q880" s="21" t="s">
        <v>2272</v>
      </c>
      <c r="R880" s="21" t="s">
        <v>2272</v>
      </c>
      <c r="S880" s="21" t="s">
        <v>2272</v>
      </c>
      <c r="T880" s="21" t="s">
        <v>2272</v>
      </c>
      <c r="U880" s="21" t="s">
        <v>2272</v>
      </c>
      <c r="V880" s="21" t="s">
        <v>2272</v>
      </c>
      <c r="W880" s="21" t="s">
        <v>2272</v>
      </c>
      <c r="X880" s="21" t="s">
        <v>2272</v>
      </c>
      <c r="Y880" s="21" t="s">
        <v>2272</v>
      </c>
      <c r="Z880" s="21" t="s">
        <v>2272</v>
      </c>
      <c r="AA880" s="21" t="s">
        <v>2272</v>
      </c>
      <c r="AB880" s="3"/>
      <c r="AC880" s="3"/>
    </row>
    <row r="881" spans="1:29"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2272</v>
      </c>
      <c r="K881" s="21" t="s">
        <v>2272</v>
      </c>
      <c r="L881" s="21" t="s">
        <v>2272</v>
      </c>
      <c r="M881" s="21" t="s">
        <v>2272</v>
      </c>
      <c r="N881" s="21" t="s">
        <v>2272</v>
      </c>
      <c r="O881" s="21" t="s">
        <v>2272</v>
      </c>
      <c r="P881" s="21" t="s">
        <v>2272</v>
      </c>
      <c r="Q881" s="21" t="s">
        <v>2272</v>
      </c>
      <c r="R881" s="21" t="s">
        <v>2272</v>
      </c>
      <c r="S881" s="21" t="s">
        <v>2272</v>
      </c>
      <c r="T881" s="21" t="s">
        <v>2272</v>
      </c>
      <c r="U881" s="21" t="s">
        <v>2272</v>
      </c>
      <c r="V881" s="21" t="s">
        <v>2272</v>
      </c>
      <c r="W881" s="21" t="s">
        <v>2272</v>
      </c>
      <c r="X881" s="21" t="s">
        <v>2272</v>
      </c>
      <c r="Y881" s="21" t="s">
        <v>2272</v>
      </c>
      <c r="Z881" s="21" t="s">
        <v>2272</v>
      </c>
      <c r="AA881" s="21" t="s">
        <v>2272</v>
      </c>
      <c r="AB881" s="3"/>
      <c r="AC881" s="3"/>
    </row>
    <row r="882" spans="1:29"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2272</v>
      </c>
      <c r="K882" s="21" t="s">
        <v>2272</v>
      </c>
      <c r="L882" s="21" t="s">
        <v>2272</v>
      </c>
      <c r="M882" s="21" t="s">
        <v>2272</v>
      </c>
      <c r="N882" s="21" t="s">
        <v>2272</v>
      </c>
      <c r="O882" s="21" t="s">
        <v>2272</v>
      </c>
      <c r="P882" s="21" t="s">
        <v>2272</v>
      </c>
      <c r="Q882" s="21" t="s">
        <v>2272</v>
      </c>
      <c r="R882" s="21" t="s">
        <v>2272</v>
      </c>
      <c r="S882" s="21" t="s">
        <v>2272</v>
      </c>
      <c r="T882" s="21" t="s">
        <v>2272</v>
      </c>
      <c r="U882" s="21" t="s">
        <v>2272</v>
      </c>
      <c r="V882" s="21" t="s">
        <v>2272</v>
      </c>
      <c r="W882" s="21" t="s">
        <v>2272</v>
      </c>
      <c r="X882" s="21" t="s">
        <v>2272</v>
      </c>
      <c r="Y882" s="21" t="s">
        <v>2272</v>
      </c>
      <c r="Z882" s="21" t="s">
        <v>2272</v>
      </c>
      <c r="AA882" s="21" t="s">
        <v>2272</v>
      </c>
      <c r="AB882" s="3"/>
      <c r="AC882" s="3"/>
    </row>
    <row r="883" spans="1:29"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2272</v>
      </c>
      <c r="K883" s="21" t="s">
        <v>2272</v>
      </c>
      <c r="L883" s="21" t="s">
        <v>2272</v>
      </c>
      <c r="M883" s="21" t="s">
        <v>2272</v>
      </c>
      <c r="N883" s="21" t="s">
        <v>2272</v>
      </c>
      <c r="O883" s="21" t="s">
        <v>2272</v>
      </c>
      <c r="P883" s="21" t="s">
        <v>2272</v>
      </c>
      <c r="Q883" s="21" t="s">
        <v>2272</v>
      </c>
      <c r="R883" s="21" t="s">
        <v>2272</v>
      </c>
      <c r="S883" s="21" t="s">
        <v>2272</v>
      </c>
      <c r="T883" s="21" t="s">
        <v>2272</v>
      </c>
      <c r="U883" s="21" t="s">
        <v>2272</v>
      </c>
      <c r="V883" s="21" t="s">
        <v>2272</v>
      </c>
      <c r="W883" s="21" t="s">
        <v>2272</v>
      </c>
      <c r="X883" s="21" t="s">
        <v>2272</v>
      </c>
      <c r="Y883" s="21" t="s">
        <v>2272</v>
      </c>
      <c r="Z883" s="21" t="s">
        <v>2272</v>
      </c>
      <c r="AA883" s="21" t="s">
        <v>2272</v>
      </c>
      <c r="AB883" s="3"/>
      <c r="AC883" s="3"/>
    </row>
    <row r="884" spans="1:29"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2272</v>
      </c>
      <c r="K884" s="21" t="s">
        <v>2272</v>
      </c>
      <c r="L884" s="21" t="s">
        <v>2272</v>
      </c>
      <c r="M884" s="21" t="s">
        <v>2272</v>
      </c>
      <c r="N884" s="21" t="s">
        <v>2272</v>
      </c>
      <c r="O884" s="21" t="s">
        <v>2272</v>
      </c>
      <c r="P884" s="21" t="s">
        <v>2272</v>
      </c>
      <c r="Q884" s="21" t="s">
        <v>2272</v>
      </c>
      <c r="R884" s="21" t="s">
        <v>2272</v>
      </c>
      <c r="S884" s="21" t="s">
        <v>2272</v>
      </c>
      <c r="T884" s="21" t="s">
        <v>2272</v>
      </c>
      <c r="U884" s="21" t="s">
        <v>2272</v>
      </c>
      <c r="V884" s="21" t="s">
        <v>2272</v>
      </c>
      <c r="W884" s="21" t="s">
        <v>2272</v>
      </c>
      <c r="X884" s="21" t="s">
        <v>2272</v>
      </c>
      <c r="Y884" s="21" t="s">
        <v>2272</v>
      </c>
      <c r="Z884" s="21" t="s">
        <v>2272</v>
      </c>
      <c r="AA884" s="21" t="s">
        <v>2272</v>
      </c>
      <c r="AB884" s="3"/>
      <c r="AC884" s="3"/>
    </row>
    <row r="885" spans="1:29"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2368</v>
      </c>
      <c r="K885" s="21" t="s">
        <v>2272</v>
      </c>
      <c r="L885" s="98" t="s">
        <v>2358</v>
      </c>
      <c r="M885" s="21" t="s">
        <v>2272</v>
      </c>
      <c r="N885" s="21" t="s">
        <v>2358</v>
      </c>
      <c r="O885" s="21" t="s">
        <v>2272</v>
      </c>
      <c r="P885" s="21" t="s">
        <v>2272</v>
      </c>
      <c r="Q885" s="21" t="s">
        <v>2272</v>
      </c>
      <c r="R885" s="21" t="s">
        <v>2358</v>
      </c>
      <c r="S885" s="21" t="s">
        <v>2272</v>
      </c>
      <c r="T885" s="21" t="s">
        <v>2371</v>
      </c>
      <c r="U885" s="21" t="s">
        <v>2272</v>
      </c>
      <c r="V885" s="21" t="s">
        <v>2272</v>
      </c>
      <c r="W885" s="21" t="s">
        <v>2272</v>
      </c>
      <c r="X885" s="21" t="s">
        <v>2272</v>
      </c>
      <c r="Y885" s="21" t="s">
        <v>2272</v>
      </c>
      <c r="Z885" s="21" t="s">
        <v>2272</v>
      </c>
      <c r="AA885" s="21" t="s">
        <v>2272</v>
      </c>
      <c r="AB885" s="4" t="s">
        <v>2947</v>
      </c>
      <c r="AC885" s="4" t="s">
        <v>2945</v>
      </c>
    </row>
    <row r="886" spans="1:29"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2368</v>
      </c>
      <c r="K886" s="21" t="s">
        <v>2272</v>
      </c>
      <c r="L886" s="98" t="s">
        <v>2358</v>
      </c>
      <c r="M886" s="21" t="s">
        <v>2272</v>
      </c>
      <c r="N886" s="21" t="s">
        <v>2358</v>
      </c>
      <c r="O886" s="21" t="s">
        <v>2272</v>
      </c>
      <c r="P886" s="21" t="s">
        <v>2272</v>
      </c>
      <c r="Q886" s="21" t="s">
        <v>2272</v>
      </c>
      <c r="R886" s="21" t="s">
        <v>2358</v>
      </c>
      <c r="S886" s="21" t="s">
        <v>2272</v>
      </c>
      <c r="T886" s="21" t="s">
        <v>2371</v>
      </c>
      <c r="U886" s="21" t="s">
        <v>2272</v>
      </c>
      <c r="V886" s="21" t="s">
        <v>2272</v>
      </c>
      <c r="W886" s="21" t="s">
        <v>2272</v>
      </c>
      <c r="X886" s="21" t="s">
        <v>2272</v>
      </c>
      <c r="Y886" s="21" t="s">
        <v>2272</v>
      </c>
      <c r="Z886" s="21" t="s">
        <v>2272</v>
      </c>
      <c r="AA886" s="21" t="s">
        <v>2272</v>
      </c>
      <c r="AB886" s="4" t="s">
        <v>2947</v>
      </c>
      <c r="AC886" s="4" t="s">
        <v>2946</v>
      </c>
    </row>
    <row r="887" spans="1:29"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2272</v>
      </c>
      <c r="K887" s="21" t="s">
        <v>2272</v>
      </c>
      <c r="L887" s="21" t="s">
        <v>2272</v>
      </c>
      <c r="M887" s="21" t="s">
        <v>2272</v>
      </c>
      <c r="N887" s="21" t="s">
        <v>2272</v>
      </c>
      <c r="O887" s="21" t="s">
        <v>2272</v>
      </c>
      <c r="P887" s="21" t="s">
        <v>2272</v>
      </c>
      <c r="Q887" s="21" t="s">
        <v>2272</v>
      </c>
      <c r="R887" s="21" t="s">
        <v>2272</v>
      </c>
      <c r="S887" s="21" t="s">
        <v>2272</v>
      </c>
      <c r="T887" s="21" t="s">
        <v>2272</v>
      </c>
      <c r="U887" s="21" t="s">
        <v>2272</v>
      </c>
      <c r="V887" s="21" t="s">
        <v>2272</v>
      </c>
      <c r="W887" s="21" t="s">
        <v>2272</v>
      </c>
      <c r="X887" s="21" t="s">
        <v>2272</v>
      </c>
      <c r="Y887" s="21" t="s">
        <v>2272</v>
      </c>
      <c r="Z887" s="21" t="s">
        <v>2272</v>
      </c>
      <c r="AA887" s="21" t="s">
        <v>2272</v>
      </c>
      <c r="AB887" s="4" t="s">
        <v>2850</v>
      </c>
      <c r="AC887" s="3"/>
    </row>
    <row r="888" spans="1:29"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2272</v>
      </c>
      <c r="K888" s="21" t="s">
        <v>2272</v>
      </c>
      <c r="L888" s="21" t="s">
        <v>2272</v>
      </c>
      <c r="M888" s="21" t="s">
        <v>2272</v>
      </c>
      <c r="N888" s="21" t="s">
        <v>2272</v>
      </c>
      <c r="O888" s="21" t="s">
        <v>2272</v>
      </c>
      <c r="P888" s="21" t="s">
        <v>2272</v>
      </c>
      <c r="Q888" s="21" t="s">
        <v>2272</v>
      </c>
      <c r="R888" s="21" t="s">
        <v>2272</v>
      </c>
      <c r="S888" s="21" t="s">
        <v>2272</v>
      </c>
      <c r="T888" s="21" t="s">
        <v>2522</v>
      </c>
      <c r="U888" s="21" t="s">
        <v>2272</v>
      </c>
      <c r="V888" s="21" t="s">
        <v>2272</v>
      </c>
      <c r="W888" s="21" t="s">
        <v>2272</v>
      </c>
      <c r="X888" s="21" t="s">
        <v>2396</v>
      </c>
      <c r="Y888" s="21" t="s">
        <v>2272</v>
      </c>
      <c r="Z888" s="21" t="s">
        <v>2272</v>
      </c>
      <c r="AA888" s="21" t="s">
        <v>2272</v>
      </c>
      <c r="AB888" s="4" t="s">
        <v>2851</v>
      </c>
      <c r="AC888" s="4" t="s">
        <v>2855</v>
      </c>
    </row>
    <row r="889" spans="1:29"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2272</v>
      </c>
      <c r="K889" s="21" t="s">
        <v>2272</v>
      </c>
      <c r="L889" s="21" t="s">
        <v>2272</v>
      </c>
      <c r="M889" s="21" t="s">
        <v>2272</v>
      </c>
      <c r="N889" s="21" t="s">
        <v>2272</v>
      </c>
      <c r="O889" s="21" t="s">
        <v>2272</v>
      </c>
      <c r="P889" s="21" t="s">
        <v>2272</v>
      </c>
      <c r="Q889" s="21" t="s">
        <v>2272</v>
      </c>
      <c r="R889" s="21" t="s">
        <v>2272</v>
      </c>
      <c r="S889" s="21" t="s">
        <v>2272</v>
      </c>
      <c r="T889" s="21" t="s">
        <v>2272</v>
      </c>
      <c r="U889" s="21" t="s">
        <v>2272</v>
      </c>
      <c r="V889" s="21" t="s">
        <v>2272</v>
      </c>
      <c r="W889" s="21" t="s">
        <v>2272</v>
      </c>
      <c r="X889" s="21" t="s">
        <v>2272</v>
      </c>
      <c r="Y889" s="21" t="s">
        <v>2272</v>
      </c>
      <c r="Z889" s="21" t="s">
        <v>2272</v>
      </c>
      <c r="AA889" s="21" t="s">
        <v>2272</v>
      </c>
      <c r="AB889" s="4" t="s">
        <v>2852</v>
      </c>
      <c r="AC889" s="3"/>
    </row>
    <row r="890" spans="1:29"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2272</v>
      </c>
      <c r="K890" s="21" t="s">
        <v>2272</v>
      </c>
      <c r="L890" s="21" t="s">
        <v>2272</v>
      </c>
      <c r="M890" s="21" t="s">
        <v>2272</v>
      </c>
      <c r="N890" s="21" t="s">
        <v>2272</v>
      </c>
      <c r="O890" s="21" t="s">
        <v>2272</v>
      </c>
      <c r="P890" s="21" t="s">
        <v>2272</v>
      </c>
      <c r="Q890" s="21" t="s">
        <v>2272</v>
      </c>
      <c r="R890" s="21" t="s">
        <v>2272</v>
      </c>
      <c r="S890" s="21" t="s">
        <v>2272</v>
      </c>
      <c r="T890" s="21" t="s">
        <v>2369</v>
      </c>
      <c r="U890" s="21" t="s">
        <v>2272</v>
      </c>
      <c r="V890" s="21" t="s">
        <v>2272</v>
      </c>
      <c r="W890" s="21" t="s">
        <v>2272</v>
      </c>
      <c r="X890" s="21" t="s">
        <v>2272</v>
      </c>
      <c r="Y890" s="21" t="s">
        <v>2272</v>
      </c>
      <c r="Z890" s="21" t="s">
        <v>2272</v>
      </c>
      <c r="AA890" s="21" t="s">
        <v>2272</v>
      </c>
      <c r="AB890" s="3" t="s">
        <v>2854</v>
      </c>
      <c r="AC890" s="4" t="s">
        <v>2856</v>
      </c>
    </row>
    <row r="891" spans="1:29"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2272</v>
      </c>
      <c r="K891" s="21" t="s">
        <v>2272</v>
      </c>
      <c r="L891" s="21" t="s">
        <v>2272</v>
      </c>
      <c r="M891" s="21" t="s">
        <v>2272</v>
      </c>
      <c r="N891" s="21" t="s">
        <v>2272</v>
      </c>
      <c r="O891" s="21" t="s">
        <v>2272</v>
      </c>
      <c r="P891" s="21" t="s">
        <v>2272</v>
      </c>
      <c r="Q891" s="21" t="s">
        <v>2272</v>
      </c>
      <c r="R891" s="21" t="s">
        <v>2272</v>
      </c>
      <c r="S891" s="21" t="s">
        <v>2272</v>
      </c>
      <c r="T891" s="21" t="s">
        <v>2272</v>
      </c>
      <c r="U891" s="21" t="s">
        <v>2272</v>
      </c>
      <c r="V891" s="21" t="s">
        <v>2272</v>
      </c>
      <c r="W891" s="21" t="s">
        <v>2272</v>
      </c>
      <c r="X891" s="21" t="s">
        <v>2397</v>
      </c>
      <c r="Y891" s="21" t="s">
        <v>2272</v>
      </c>
      <c r="Z891" s="21" t="s">
        <v>2272</v>
      </c>
      <c r="AA891" s="21" t="s">
        <v>2272</v>
      </c>
      <c r="AC891" s="3" t="s">
        <v>2871</v>
      </c>
    </row>
    <row r="892" spans="1:29"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2272</v>
      </c>
      <c r="K892" s="21" t="s">
        <v>2272</v>
      </c>
      <c r="L892" s="21" t="s">
        <v>2272</v>
      </c>
      <c r="M892" s="21" t="s">
        <v>2272</v>
      </c>
      <c r="N892" s="21" t="s">
        <v>2272</v>
      </c>
      <c r="O892" s="21" t="s">
        <v>2272</v>
      </c>
      <c r="P892" s="21" t="s">
        <v>2272</v>
      </c>
      <c r="Q892" s="21" t="s">
        <v>2272</v>
      </c>
      <c r="R892" s="21" t="s">
        <v>2272</v>
      </c>
      <c r="S892" s="21" t="s">
        <v>2272</v>
      </c>
      <c r="T892" s="21" t="s">
        <v>2272</v>
      </c>
      <c r="U892" s="21" t="s">
        <v>2272</v>
      </c>
      <c r="V892" s="21" t="s">
        <v>2272</v>
      </c>
      <c r="W892" s="21" t="s">
        <v>2272</v>
      </c>
      <c r="X892" s="21" t="s">
        <v>2398</v>
      </c>
      <c r="Y892" s="21" t="s">
        <v>2272</v>
      </c>
      <c r="Z892" s="21" t="s">
        <v>2272</v>
      </c>
      <c r="AA892" s="21" t="s">
        <v>2272</v>
      </c>
      <c r="AB892" s="3"/>
      <c r="AC892" s="3" t="s">
        <v>2871</v>
      </c>
    </row>
    <row r="893" spans="1:29"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2272</v>
      </c>
      <c r="K893" s="21" t="s">
        <v>2272</v>
      </c>
      <c r="L893" s="21" t="s">
        <v>2272</v>
      </c>
      <c r="M893" s="21" t="s">
        <v>2272</v>
      </c>
      <c r="N893" s="21" t="s">
        <v>2272</v>
      </c>
      <c r="O893" s="21" t="s">
        <v>2272</v>
      </c>
      <c r="P893" s="21" t="s">
        <v>2272</v>
      </c>
      <c r="Q893" s="21" t="s">
        <v>2272</v>
      </c>
      <c r="R893" s="21" t="s">
        <v>2272</v>
      </c>
      <c r="S893" s="21" t="s">
        <v>2272</v>
      </c>
      <c r="T893" s="21" t="s">
        <v>2272</v>
      </c>
      <c r="U893" s="21" t="s">
        <v>2272</v>
      </c>
      <c r="V893" s="21" t="s">
        <v>2272</v>
      </c>
      <c r="W893" s="21" t="s">
        <v>2272</v>
      </c>
      <c r="X893" s="21" t="s">
        <v>2272</v>
      </c>
      <c r="Y893" s="21" t="s">
        <v>2272</v>
      </c>
      <c r="Z893" s="21" t="s">
        <v>2272</v>
      </c>
      <c r="AA893" s="21" t="s">
        <v>2272</v>
      </c>
      <c r="AB893" s="4" t="s">
        <v>2870</v>
      </c>
      <c r="AC893" s="3"/>
    </row>
    <row r="894" spans="1:29"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2272</v>
      </c>
      <c r="K894" s="21" t="s">
        <v>2272</v>
      </c>
      <c r="L894" s="21" t="s">
        <v>2272</v>
      </c>
      <c r="M894" s="21" t="s">
        <v>2272</v>
      </c>
      <c r="N894" s="21" t="s">
        <v>2272</v>
      </c>
      <c r="O894" s="21" t="s">
        <v>2272</v>
      </c>
      <c r="P894" s="21" t="s">
        <v>2272</v>
      </c>
      <c r="Q894" s="21" t="s">
        <v>2272</v>
      </c>
      <c r="R894" s="21" t="s">
        <v>2272</v>
      </c>
      <c r="S894" s="21" t="s">
        <v>2272</v>
      </c>
      <c r="T894" s="21" t="s">
        <v>2272</v>
      </c>
      <c r="U894" s="21" t="s">
        <v>2272</v>
      </c>
      <c r="V894" s="21" t="s">
        <v>2272</v>
      </c>
      <c r="W894" s="21" t="s">
        <v>2272</v>
      </c>
      <c r="X894" s="21" t="s">
        <v>2272</v>
      </c>
      <c r="Y894" s="21" t="s">
        <v>2272</v>
      </c>
      <c r="Z894" s="21" t="s">
        <v>2272</v>
      </c>
      <c r="AA894" s="21" t="s">
        <v>2272</v>
      </c>
      <c r="AB894" s="4" t="s">
        <v>2873</v>
      </c>
      <c r="AC894" s="3"/>
    </row>
    <row r="895" spans="1:29"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2272</v>
      </c>
      <c r="K895" s="21" t="s">
        <v>2272</v>
      </c>
      <c r="L895" s="21" t="s">
        <v>2272</v>
      </c>
      <c r="M895" s="21" t="s">
        <v>2272</v>
      </c>
      <c r="N895" s="21" t="s">
        <v>2272</v>
      </c>
      <c r="O895" s="21" t="s">
        <v>2272</v>
      </c>
      <c r="P895" s="21" t="s">
        <v>2272</v>
      </c>
      <c r="Q895" s="21" t="s">
        <v>2272</v>
      </c>
      <c r="R895" s="21" t="s">
        <v>2272</v>
      </c>
      <c r="S895" s="21" t="s">
        <v>2272</v>
      </c>
      <c r="T895" s="21" t="s">
        <v>2272</v>
      </c>
      <c r="U895" s="21" t="s">
        <v>2272</v>
      </c>
      <c r="V895" s="21" t="s">
        <v>2272</v>
      </c>
      <c r="W895" s="21" t="s">
        <v>2272</v>
      </c>
      <c r="X895" s="21" t="s">
        <v>2399</v>
      </c>
      <c r="Y895" s="3" t="s">
        <v>397</v>
      </c>
      <c r="Z895" s="3" t="s">
        <v>186</v>
      </c>
      <c r="AA895" s="3" t="s">
        <v>63</v>
      </c>
      <c r="AB895" s="3"/>
      <c r="AC895" s="3" t="s">
        <v>2871</v>
      </c>
    </row>
    <row r="896" spans="1:29"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2272</v>
      </c>
      <c r="K896" s="21" t="s">
        <v>2272</v>
      </c>
      <c r="L896" s="21" t="s">
        <v>2272</v>
      </c>
      <c r="M896" s="21" t="s">
        <v>2272</v>
      </c>
      <c r="N896" s="21" t="s">
        <v>2272</v>
      </c>
      <c r="O896" s="21" t="s">
        <v>2272</v>
      </c>
      <c r="P896" s="21" t="s">
        <v>2272</v>
      </c>
      <c r="Q896" s="21" t="s">
        <v>2272</v>
      </c>
      <c r="R896" s="21" t="s">
        <v>2272</v>
      </c>
      <c r="S896" s="21" t="s">
        <v>2272</v>
      </c>
      <c r="T896" s="21" t="s">
        <v>2272</v>
      </c>
      <c r="U896" s="21" t="s">
        <v>2272</v>
      </c>
      <c r="V896" s="21" t="s">
        <v>2272</v>
      </c>
      <c r="W896" s="21" t="s">
        <v>2272</v>
      </c>
      <c r="X896" s="21" t="s">
        <v>2272</v>
      </c>
      <c r="Y896" s="21" t="s">
        <v>2272</v>
      </c>
      <c r="Z896" s="21" t="s">
        <v>2272</v>
      </c>
      <c r="AA896" s="21" t="s">
        <v>2272</v>
      </c>
      <c r="AB896" s="3"/>
      <c r="AC896" s="3"/>
    </row>
    <row r="897" spans="1:29"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2272</v>
      </c>
      <c r="K897" s="21" t="s">
        <v>2272</v>
      </c>
      <c r="L897" s="21" t="s">
        <v>2272</v>
      </c>
      <c r="M897" s="21" t="s">
        <v>2272</v>
      </c>
      <c r="N897" s="21" t="s">
        <v>2272</v>
      </c>
      <c r="O897" s="21" t="s">
        <v>2272</v>
      </c>
      <c r="P897" s="21" t="s">
        <v>2272</v>
      </c>
      <c r="Q897" s="21" t="s">
        <v>2272</v>
      </c>
      <c r="R897" s="21" t="s">
        <v>2272</v>
      </c>
      <c r="S897" s="21" t="s">
        <v>2272</v>
      </c>
      <c r="T897" s="21" t="s">
        <v>2272</v>
      </c>
      <c r="U897" s="21" t="s">
        <v>2272</v>
      </c>
      <c r="V897" s="21" t="s">
        <v>2272</v>
      </c>
      <c r="W897" s="21" t="s">
        <v>2272</v>
      </c>
      <c r="X897" s="21" t="s">
        <v>2272</v>
      </c>
      <c r="Y897" s="21" t="s">
        <v>2272</v>
      </c>
      <c r="Z897" s="21" t="s">
        <v>2272</v>
      </c>
      <c r="AA897" s="21" t="s">
        <v>2272</v>
      </c>
      <c r="AB897" s="4" t="s">
        <v>2899</v>
      </c>
      <c r="AC897" s="3"/>
    </row>
    <row r="898" spans="1:29"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2272</v>
      </c>
      <c r="K898" s="21" t="s">
        <v>2272</v>
      </c>
      <c r="L898" s="21" t="s">
        <v>2272</v>
      </c>
      <c r="M898" s="21" t="s">
        <v>2272</v>
      </c>
      <c r="N898" s="21" t="s">
        <v>2272</v>
      </c>
      <c r="O898" s="21" t="s">
        <v>2272</v>
      </c>
      <c r="P898" s="21" t="s">
        <v>2272</v>
      </c>
      <c r="Q898" s="21" t="s">
        <v>2272</v>
      </c>
      <c r="R898" s="21" t="s">
        <v>2272</v>
      </c>
      <c r="S898" s="21" t="s">
        <v>2272</v>
      </c>
      <c r="T898" s="21" t="s">
        <v>2272</v>
      </c>
      <c r="U898" s="21" t="s">
        <v>2272</v>
      </c>
      <c r="V898" s="21" t="s">
        <v>2272</v>
      </c>
      <c r="W898" s="21" t="s">
        <v>2272</v>
      </c>
      <c r="X898" s="21" t="s">
        <v>2272</v>
      </c>
      <c r="Y898" s="21" t="s">
        <v>2272</v>
      </c>
      <c r="Z898" s="21" t="s">
        <v>2272</v>
      </c>
      <c r="AA898" s="21" t="s">
        <v>2272</v>
      </c>
      <c r="AB898" s="4" t="s">
        <v>2900</v>
      </c>
      <c r="AC898" s="3"/>
    </row>
    <row r="899" spans="1:29"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ND</v>
      </c>
      <c r="H899" s="6" t="str">
        <f>'Reported burning'!H899</f>
        <v>Presence</v>
      </c>
      <c r="I899" s="3"/>
      <c r="J899" s="21" t="s">
        <v>2272</v>
      </c>
      <c r="K899" s="21" t="s">
        <v>2272</v>
      </c>
      <c r="L899" s="21" t="s">
        <v>2272</v>
      </c>
      <c r="M899" s="21" t="s">
        <v>2272</v>
      </c>
      <c r="N899" s="21" t="s">
        <v>2272</v>
      </c>
      <c r="O899" s="21" t="s">
        <v>2272</v>
      </c>
      <c r="P899" s="21" t="s">
        <v>2272</v>
      </c>
      <c r="Q899" s="21" t="s">
        <v>2272</v>
      </c>
      <c r="R899" s="21" t="s">
        <v>2272</v>
      </c>
      <c r="S899" s="21" t="s">
        <v>2272</v>
      </c>
      <c r="T899" s="21" t="s">
        <v>2272</v>
      </c>
      <c r="U899" s="21" t="s">
        <v>2272</v>
      </c>
      <c r="V899" s="21" t="s">
        <v>2272</v>
      </c>
      <c r="W899" s="21" t="s">
        <v>2272</v>
      </c>
      <c r="X899" s="21" t="s">
        <v>2397</v>
      </c>
      <c r="Y899" s="3" t="s">
        <v>34</v>
      </c>
      <c r="Z899" s="3" t="s">
        <v>37</v>
      </c>
      <c r="AA899" s="3" t="s">
        <v>63</v>
      </c>
      <c r="AB899" s="4"/>
      <c r="AC899" s="3"/>
    </row>
    <row r="900" spans="1:29"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2272</v>
      </c>
      <c r="K900" s="21" t="s">
        <v>2272</v>
      </c>
      <c r="L900" s="21" t="s">
        <v>2272</v>
      </c>
      <c r="M900" s="21" t="s">
        <v>2272</v>
      </c>
      <c r="N900" s="21" t="s">
        <v>2272</v>
      </c>
      <c r="O900" s="21" t="s">
        <v>2272</v>
      </c>
      <c r="P900" s="21" t="s">
        <v>2272</v>
      </c>
      <c r="Q900" s="21" t="s">
        <v>2272</v>
      </c>
      <c r="R900" s="21" t="s">
        <v>2272</v>
      </c>
      <c r="S900" s="21" t="s">
        <v>2272</v>
      </c>
      <c r="T900" s="21" t="s">
        <v>2272</v>
      </c>
      <c r="U900" s="21" t="s">
        <v>2272</v>
      </c>
      <c r="V900" s="21" t="s">
        <v>2272</v>
      </c>
      <c r="W900" s="21" t="s">
        <v>2272</v>
      </c>
      <c r="X900" s="21" t="s">
        <v>2272</v>
      </c>
      <c r="Y900" s="3" t="s">
        <v>67</v>
      </c>
      <c r="Z900" s="3" t="s">
        <v>34</v>
      </c>
      <c r="AA900" s="3" t="s">
        <v>63</v>
      </c>
      <c r="AB900" s="4"/>
      <c r="AC900" s="3"/>
    </row>
    <row r="901" spans="1:29"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2272</v>
      </c>
      <c r="K901" s="21" t="s">
        <v>2272</v>
      </c>
      <c r="L901" s="21" t="s">
        <v>2272</v>
      </c>
      <c r="M901" s="21" t="s">
        <v>2272</v>
      </c>
      <c r="N901" s="21" t="s">
        <v>2272</v>
      </c>
      <c r="O901" s="21" t="s">
        <v>2272</v>
      </c>
      <c r="P901" s="21" t="s">
        <v>2272</v>
      </c>
      <c r="Q901" s="21" t="s">
        <v>2272</v>
      </c>
      <c r="R901" s="21" t="s">
        <v>2272</v>
      </c>
      <c r="S901" s="21" t="s">
        <v>2272</v>
      </c>
      <c r="T901" s="21" t="s">
        <v>2272</v>
      </c>
      <c r="U901" s="21" t="s">
        <v>2272</v>
      </c>
      <c r="V901" s="21" t="s">
        <v>2272</v>
      </c>
      <c r="W901" s="21" t="s">
        <v>2272</v>
      </c>
      <c r="X901" s="21" t="s">
        <v>2272</v>
      </c>
      <c r="Y901" s="21" t="s">
        <v>2272</v>
      </c>
      <c r="Z901" s="21" t="s">
        <v>2272</v>
      </c>
      <c r="AA901" s="21" t="s">
        <v>2272</v>
      </c>
      <c r="AB901" s="4" t="s">
        <v>2901</v>
      </c>
      <c r="AC901" s="3"/>
    </row>
    <row r="902" spans="1:29"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2272</v>
      </c>
      <c r="K902" s="21" t="s">
        <v>2272</v>
      </c>
      <c r="L902" s="21" t="s">
        <v>2272</v>
      </c>
      <c r="M902" s="21" t="s">
        <v>2272</v>
      </c>
      <c r="N902" s="21" t="s">
        <v>2272</v>
      </c>
      <c r="O902" s="21" t="s">
        <v>2272</v>
      </c>
      <c r="P902" s="21" t="s">
        <v>2272</v>
      </c>
      <c r="Q902" s="21" t="s">
        <v>2272</v>
      </c>
      <c r="R902" s="21" t="s">
        <v>2272</v>
      </c>
      <c r="S902" s="21" t="s">
        <v>2272</v>
      </c>
      <c r="T902" s="21" t="s">
        <v>2272</v>
      </c>
      <c r="U902" s="21" t="s">
        <v>2272</v>
      </c>
      <c r="V902" s="21" t="s">
        <v>2272</v>
      </c>
      <c r="W902" s="21" t="s">
        <v>2272</v>
      </c>
      <c r="X902" s="21" t="s">
        <v>2272</v>
      </c>
      <c r="Y902" s="21" t="s">
        <v>2272</v>
      </c>
      <c r="Z902" s="21" t="s">
        <v>2272</v>
      </c>
      <c r="AA902" s="21" t="s">
        <v>2272</v>
      </c>
      <c r="AB902" s="4" t="s">
        <v>2898</v>
      </c>
      <c r="AC902" s="3"/>
    </row>
    <row r="903" spans="1:29"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2272</v>
      </c>
      <c r="K903" s="21" t="s">
        <v>2272</v>
      </c>
      <c r="L903" s="21" t="s">
        <v>2272</v>
      </c>
      <c r="M903" s="21" t="s">
        <v>2272</v>
      </c>
      <c r="N903" s="21" t="s">
        <v>2272</v>
      </c>
      <c r="O903" s="21" t="s">
        <v>2272</v>
      </c>
      <c r="P903" s="21" t="s">
        <v>2272</v>
      </c>
      <c r="Q903" s="21" t="s">
        <v>2272</v>
      </c>
      <c r="R903" s="21" t="s">
        <v>2272</v>
      </c>
      <c r="S903" s="21" t="s">
        <v>2272</v>
      </c>
      <c r="T903" s="21" t="s">
        <v>2272</v>
      </c>
      <c r="U903" s="21" t="s">
        <v>2272</v>
      </c>
      <c r="V903" s="21" t="s">
        <v>2272</v>
      </c>
      <c r="W903" s="21" t="s">
        <v>2272</v>
      </c>
      <c r="X903" s="21" t="s">
        <v>2272</v>
      </c>
      <c r="Y903" s="21" t="s">
        <v>2272</v>
      </c>
      <c r="Z903" s="21" t="s">
        <v>2272</v>
      </c>
      <c r="AA903" s="21" t="s">
        <v>2272</v>
      </c>
      <c r="AB903" s="3"/>
      <c r="AC903" s="3"/>
    </row>
    <row r="904" spans="1:29"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2272</v>
      </c>
      <c r="K904" s="21" t="s">
        <v>2272</v>
      </c>
      <c r="L904" s="21" t="s">
        <v>2272</v>
      </c>
      <c r="M904" s="21" t="s">
        <v>2272</v>
      </c>
      <c r="N904" s="21" t="s">
        <v>2272</v>
      </c>
      <c r="O904" s="21" t="s">
        <v>2272</v>
      </c>
      <c r="P904" s="21" t="s">
        <v>2272</v>
      </c>
      <c r="Q904" s="21" t="s">
        <v>2272</v>
      </c>
      <c r="R904" s="21" t="s">
        <v>2272</v>
      </c>
      <c r="S904" s="21" t="s">
        <v>2272</v>
      </c>
      <c r="T904" s="21" t="s">
        <v>2272</v>
      </c>
      <c r="U904" s="21" t="s">
        <v>2272</v>
      </c>
      <c r="V904" s="21" t="s">
        <v>2272</v>
      </c>
      <c r="W904" s="21" t="s">
        <v>2272</v>
      </c>
      <c r="X904" s="21" t="s">
        <v>2272</v>
      </c>
      <c r="Y904" s="21" t="s">
        <v>2272</v>
      </c>
      <c r="Z904" s="21" t="s">
        <v>2272</v>
      </c>
      <c r="AA904" s="21" t="s">
        <v>2272</v>
      </c>
      <c r="AB904" s="4" t="s">
        <v>2899</v>
      </c>
      <c r="AC904" s="3"/>
    </row>
    <row r="905" spans="1:29"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2272</v>
      </c>
      <c r="K905" s="21" t="s">
        <v>2272</v>
      </c>
      <c r="L905" s="21" t="s">
        <v>2272</v>
      </c>
      <c r="M905" s="21" t="s">
        <v>2272</v>
      </c>
      <c r="N905" s="21" t="s">
        <v>2272</v>
      </c>
      <c r="O905" s="21" t="s">
        <v>2272</v>
      </c>
      <c r="P905" s="21" t="s">
        <v>2272</v>
      </c>
      <c r="Q905" s="21" t="s">
        <v>2272</v>
      </c>
      <c r="R905" s="21" t="s">
        <v>2272</v>
      </c>
      <c r="S905" s="21" t="s">
        <v>2272</v>
      </c>
      <c r="T905" s="21" t="s">
        <v>2272</v>
      </c>
      <c r="U905" s="21" t="s">
        <v>2272</v>
      </c>
      <c r="V905" s="21" t="s">
        <v>2272</v>
      </c>
      <c r="W905" s="21" t="s">
        <v>2272</v>
      </c>
      <c r="X905" s="21" t="s">
        <v>2272</v>
      </c>
      <c r="Y905" s="21" t="s">
        <v>2272</v>
      </c>
      <c r="Z905" s="21" t="s">
        <v>2272</v>
      </c>
      <c r="AA905" s="21" t="s">
        <v>2272</v>
      </c>
      <c r="AB905" s="4" t="s">
        <v>2900</v>
      </c>
      <c r="AC905" s="3"/>
    </row>
    <row r="906" spans="1:29"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ND</v>
      </c>
      <c r="H906" s="6" t="str">
        <f>'Reported burning'!H906</f>
        <v>Presence</v>
      </c>
      <c r="I906" s="3"/>
      <c r="J906" s="21" t="s">
        <v>2272</v>
      </c>
      <c r="K906" s="21" t="s">
        <v>2272</v>
      </c>
      <c r="L906" s="21" t="s">
        <v>2272</v>
      </c>
      <c r="M906" s="21" t="s">
        <v>2272</v>
      </c>
      <c r="N906" s="21" t="s">
        <v>2272</v>
      </c>
      <c r="O906" s="21" t="s">
        <v>2272</v>
      </c>
      <c r="P906" s="21" t="s">
        <v>2272</v>
      </c>
      <c r="Q906" s="21" t="s">
        <v>2272</v>
      </c>
      <c r="R906" s="21" t="s">
        <v>2272</v>
      </c>
      <c r="S906" s="21" t="s">
        <v>2272</v>
      </c>
      <c r="T906" s="21" t="s">
        <v>2272</v>
      </c>
      <c r="U906" s="21" t="s">
        <v>2272</v>
      </c>
      <c r="V906" s="21" t="s">
        <v>2272</v>
      </c>
      <c r="W906" s="21" t="s">
        <v>2272</v>
      </c>
      <c r="X906" s="21" t="s">
        <v>2397</v>
      </c>
      <c r="Y906" s="3" t="s">
        <v>34</v>
      </c>
      <c r="Z906" s="3" t="s">
        <v>37</v>
      </c>
      <c r="AA906" s="3" t="s">
        <v>63</v>
      </c>
      <c r="AB906" s="4"/>
      <c r="AC906" s="3"/>
    </row>
    <row r="907" spans="1:29"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2272</v>
      </c>
      <c r="K907" s="21" t="s">
        <v>2272</v>
      </c>
      <c r="L907" s="21" t="s">
        <v>2272</v>
      </c>
      <c r="M907" s="21" t="s">
        <v>2272</v>
      </c>
      <c r="N907" s="21" t="s">
        <v>2272</v>
      </c>
      <c r="O907" s="21" t="s">
        <v>2272</v>
      </c>
      <c r="P907" s="21" t="s">
        <v>2272</v>
      </c>
      <c r="Q907" s="21" t="s">
        <v>2272</v>
      </c>
      <c r="R907" s="21" t="s">
        <v>2272</v>
      </c>
      <c r="S907" s="21" t="s">
        <v>2272</v>
      </c>
      <c r="T907" s="21" t="s">
        <v>2272</v>
      </c>
      <c r="U907" s="21" t="s">
        <v>2272</v>
      </c>
      <c r="V907" s="21" t="s">
        <v>2272</v>
      </c>
      <c r="W907" s="21" t="s">
        <v>2272</v>
      </c>
      <c r="X907" s="21" t="s">
        <v>2272</v>
      </c>
      <c r="Y907" s="3" t="s">
        <v>67</v>
      </c>
      <c r="Z907" s="3" t="s">
        <v>34</v>
      </c>
      <c r="AA907" s="3" t="s">
        <v>63</v>
      </c>
      <c r="AB907" s="4"/>
      <c r="AC907" s="3"/>
    </row>
    <row r="908" spans="1:29"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2272</v>
      </c>
      <c r="K908" s="21" t="s">
        <v>2272</v>
      </c>
      <c r="L908" s="21" t="s">
        <v>2272</v>
      </c>
      <c r="M908" s="21" t="s">
        <v>2272</v>
      </c>
      <c r="N908" s="21" t="s">
        <v>2272</v>
      </c>
      <c r="O908" s="21" t="s">
        <v>2272</v>
      </c>
      <c r="P908" s="21" t="s">
        <v>2272</v>
      </c>
      <c r="Q908" s="21" t="s">
        <v>2272</v>
      </c>
      <c r="R908" s="21" t="s">
        <v>2272</v>
      </c>
      <c r="S908" s="21" t="s">
        <v>2272</v>
      </c>
      <c r="T908" s="21" t="s">
        <v>2272</v>
      </c>
      <c r="U908" s="21" t="s">
        <v>2272</v>
      </c>
      <c r="V908" s="21" t="s">
        <v>2272</v>
      </c>
      <c r="W908" s="21" t="s">
        <v>2272</v>
      </c>
      <c r="X908" s="21" t="s">
        <v>2272</v>
      </c>
      <c r="Y908" s="21" t="s">
        <v>2272</v>
      </c>
      <c r="Z908" s="21" t="s">
        <v>2272</v>
      </c>
      <c r="AA908" s="21" t="s">
        <v>2272</v>
      </c>
      <c r="AB908" s="4" t="s">
        <v>2901</v>
      </c>
      <c r="AC908" s="3"/>
    </row>
    <row r="909" spans="1:29"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2272</v>
      </c>
      <c r="K909" s="21" t="s">
        <v>2272</v>
      </c>
      <c r="L909" s="21" t="s">
        <v>2272</v>
      </c>
      <c r="M909" s="21" t="s">
        <v>2272</v>
      </c>
      <c r="N909" s="21" t="s">
        <v>2272</v>
      </c>
      <c r="O909" s="21" t="s">
        <v>2272</v>
      </c>
      <c r="P909" s="21" t="s">
        <v>2272</v>
      </c>
      <c r="Q909" s="21" t="s">
        <v>2272</v>
      </c>
      <c r="R909" s="21" t="s">
        <v>2272</v>
      </c>
      <c r="S909" s="21" t="s">
        <v>2272</v>
      </c>
      <c r="T909" s="21" t="s">
        <v>2272</v>
      </c>
      <c r="U909" s="21" t="s">
        <v>2272</v>
      </c>
      <c r="V909" s="21" t="s">
        <v>2272</v>
      </c>
      <c r="W909" s="21" t="s">
        <v>2272</v>
      </c>
      <c r="X909" s="21" t="s">
        <v>2272</v>
      </c>
      <c r="Y909" s="21" t="s">
        <v>2272</v>
      </c>
      <c r="Z909" s="21" t="s">
        <v>2272</v>
      </c>
      <c r="AA909" s="21" t="s">
        <v>2272</v>
      </c>
      <c r="AB909" s="4" t="s">
        <v>2898</v>
      </c>
      <c r="AC909" s="3"/>
    </row>
    <row r="910" spans="1:29"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2272</v>
      </c>
      <c r="K910" s="21" t="s">
        <v>2272</v>
      </c>
      <c r="L910" s="21" t="s">
        <v>2272</v>
      </c>
      <c r="M910" s="21" t="s">
        <v>2272</v>
      </c>
      <c r="N910" s="21" t="s">
        <v>2272</v>
      </c>
      <c r="O910" s="21" t="s">
        <v>2272</v>
      </c>
      <c r="P910" s="21" t="s">
        <v>2272</v>
      </c>
      <c r="Q910" s="21" t="s">
        <v>2272</v>
      </c>
      <c r="R910" s="21" t="s">
        <v>2272</v>
      </c>
      <c r="S910" s="21" t="s">
        <v>2272</v>
      </c>
      <c r="T910" s="21" t="s">
        <v>2272</v>
      </c>
      <c r="U910" s="21" t="s">
        <v>2272</v>
      </c>
      <c r="V910" s="21" t="s">
        <v>2272</v>
      </c>
      <c r="W910" s="21" t="s">
        <v>2272</v>
      </c>
      <c r="X910" s="21" t="s">
        <v>2272</v>
      </c>
      <c r="Y910" s="21" t="s">
        <v>2272</v>
      </c>
      <c r="Z910" s="21" t="s">
        <v>2272</v>
      </c>
      <c r="AA910" s="21" t="s">
        <v>2272</v>
      </c>
      <c r="AB910" s="3"/>
      <c r="AC910" s="3"/>
    </row>
    <row r="911" spans="1:29"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2272</v>
      </c>
      <c r="K911" s="21" t="s">
        <v>2272</v>
      </c>
      <c r="L911" s="21" t="s">
        <v>2272</v>
      </c>
      <c r="M911" s="21" t="s">
        <v>2272</v>
      </c>
      <c r="N911" s="21" t="s">
        <v>2272</v>
      </c>
      <c r="O911" s="21" t="s">
        <v>2272</v>
      </c>
      <c r="P911" s="21" t="s">
        <v>2272</v>
      </c>
      <c r="Q911" s="21" t="s">
        <v>2272</v>
      </c>
      <c r="R911" s="21" t="s">
        <v>2272</v>
      </c>
      <c r="S911" s="21" t="s">
        <v>2272</v>
      </c>
      <c r="T911" s="21" t="s">
        <v>2272</v>
      </c>
      <c r="U911" s="21" t="s">
        <v>2272</v>
      </c>
      <c r="V911" s="21" t="s">
        <v>2272</v>
      </c>
      <c r="W911" s="21" t="s">
        <v>2272</v>
      </c>
      <c r="X911" s="21" t="s">
        <v>2272</v>
      </c>
      <c r="Y911" s="21" t="s">
        <v>2272</v>
      </c>
      <c r="Z911" s="21" t="s">
        <v>2272</v>
      </c>
      <c r="AA911" s="21" t="s">
        <v>2272</v>
      </c>
      <c r="AB911" s="4" t="s">
        <v>2899</v>
      </c>
      <c r="AC911" s="3"/>
    </row>
    <row r="912" spans="1:29"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2272</v>
      </c>
      <c r="K912" s="21" t="s">
        <v>2272</v>
      </c>
      <c r="L912" s="21" t="s">
        <v>2272</v>
      </c>
      <c r="M912" s="21" t="s">
        <v>2272</v>
      </c>
      <c r="N912" s="21" t="s">
        <v>2272</v>
      </c>
      <c r="O912" s="21" t="s">
        <v>2272</v>
      </c>
      <c r="P912" s="21" t="s">
        <v>2272</v>
      </c>
      <c r="Q912" s="21" t="s">
        <v>2272</v>
      </c>
      <c r="R912" s="21" t="s">
        <v>2272</v>
      </c>
      <c r="S912" s="21" t="s">
        <v>2272</v>
      </c>
      <c r="T912" s="21" t="s">
        <v>2272</v>
      </c>
      <c r="U912" s="21" t="s">
        <v>2272</v>
      </c>
      <c r="V912" s="21" t="s">
        <v>2272</v>
      </c>
      <c r="W912" s="21" t="s">
        <v>2272</v>
      </c>
      <c r="X912" s="21" t="s">
        <v>2272</v>
      </c>
      <c r="Y912" s="21" t="s">
        <v>2272</v>
      </c>
      <c r="Z912" s="21" t="s">
        <v>2272</v>
      </c>
      <c r="AA912" s="21" t="s">
        <v>2272</v>
      </c>
      <c r="AB912" s="4" t="s">
        <v>2900</v>
      </c>
      <c r="AC912" s="3"/>
    </row>
    <row r="913" spans="1:29"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ND</v>
      </c>
      <c r="H913" s="6" t="str">
        <f>'Reported burning'!H913</f>
        <v>Presence</v>
      </c>
      <c r="I913" s="3"/>
      <c r="J913" s="21" t="s">
        <v>2272</v>
      </c>
      <c r="K913" s="21" t="s">
        <v>2272</v>
      </c>
      <c r="L913" s="21" t="s">
        <v>2272</v>
      </c>
      <c r="M913" s="21" t="s">
        <v>2272</v>
      </c>
      <c r="N913" s="21" t="s">
        <v>2272</v>
      </c>
      <c r="O913" s="21" t="s">
        <v>2272</v>
      </c>
      <c r="P913" s="21" t="s">
        <v>2272</v>
      </c>
      <c r="Q913" s="21" t="s">
        <v>2272</v>
      </c>
      <c r="R913" s="21" t="s">
        <v>2272</v>
      </c>
      <c r="S913" s="21" t="s">
        <v>2272</v>
      </c>
      <c r="T913" s="21" t="s">
        <v>2272</v>
      </c>
      <c r="U913" s="21" t="s">
        <v>2272</v>
      </c>
      <c r="V913" s="21" t="s">
        <v>2272</v>
      </c>
      <c r="W913" s="21" t="s">
        <v>2272</v>
      </c>
      <c r="X913" s="21" t="s">
        <v>2397</v>
      </c>
      <c r="Y913" s="3" t="s">
        <v>34</v>
      </c>
      <c r="Z913" s="3" t="s">
        <v>37</v>
      </c>
      <c r="AA913" s="3" t="s">
        <v>63</v>
      </c>
      <c r="AB913" s="4"/>
      <c r="AC913" s="3"/>
    </row>
    <row r="914" spans="1:29"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2272</v>
      </c>
      <c r="K914" s="21" t="s">
        <v>2272</v>
      </c>
      <c r="L914" s="21" t="s">
        <v>2272</v>
      </c>
      <c r="M914" s="21" t="s">
        <v>2272</v>
      </c>
      <c r="N914" s="21" t="s">
        <v>2272</v>
      </c>
      <c r="O914" s="21" t="s">
        <v>2272</v>
      </c>
      <c r="P914" s="21" t="s">
        <v>2272</v>
      </c>
      <c r="Q914" s="21" t="s">
        <v>2272</v>
      </c>
      <c r="R914" s="21" t="s">
        <v>2272</v>
      </c>
      <c r="S914" s="21" t="s">
        <v>2272</v>
      </c>
      <c r="T914" s="21" t="s">
        <v>2272</v>
      </c>
      <c r="U914" s="21" t="s">
        <v>2272</v>
      </c>
      <c r="V914" s="21" t="s">
        <v>2272</v>
      </c>
      <c r="W914" s="21" t="s">
        <v>2272</v>
      </c>
      <c r="X914" s="21" t="s">
        <v>2272</v>
      </c>
      <c r="Y914" s="3" t="s">
        <v>67</v>
      </c>
      <c r="Z914" s="3" t="s">
        <v>34</v>
      </c>
      <c r="AA914" s="3" t="s">
        <v>63</v>
      </c>
      <c r="AB914" s="4"/>
      <c r="AC914" s="3"/>
    </row>
    <row r="915" spans="1:29"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2272</v>
      </c>
      <c r="K915" s="21" t="s">
        <v>2272</v>
      </c>
      <c r="L915" s="21" t="s">
        <v>2272</v>
      </c>
      <c r="M915" s="21" t="s">
        <v>2272</v>
      </c>
      <c r="N915" s="21" t="s">
        <v>2272</v>
      </c>
      <c r="O915" s="21" t="s">
        <v>2272</v>
      </c>
      <c r="P915" s="21" t="s">
        <v>2272</v>
      </c>
      <c r="Q915" s="21" t="s">
        <v>2272</v>
      </c>
      <c r="R915" s="21" t="s">
        <v>2272</v>
      </c>
      <c r="S915" s="21" t="s">
        <v>2272</v>
      </c>
      <c r="T915" s="21" t="s">
        <v>2272</v>
      </c>
      <c r="U915" s="21" t="s">
        <v>2272</v>
      </c>
      <c r="V915" s="21" t="s">
        <v>2272</v>
      </c>
      <c r="W915" s="21" t="s">
        <v>2272</v>
      </c>
      <c r="X915" s="21" t="s">
        <v>2272</v>
      </c>
      <c r="Y915" s="21" t="s">
        <v>2272</v>
      </c>
      <c r="Z915" s="21" t="s">
        <v>2272</v>
      </c>
      <c r="AA915" s="21" t="s">
        <v>2272</v>
      </c>
      <c r="AB915" s="4" t="s">
        <v>2901</v>
      </c>
      <c r="AC915" s="3"/>
    </row>
    <row r="916" spans="1:29"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2272</v>
      </c>
      <c r="K916" s="21" t="s">
        <v>2272</v>
      </c>
      <c r="L916" s="21" t="s">
        <v>2272</v>
      </c>
      <c r="M916" s="21" t="s">
        <v>2272</v>
      </c>
      <c r="N916" s="21" t="s">
        <v>2272</v>
      </c>
      <c r="O916" s="21" t="s">
        <v>2272</v>
      </c>
      <c r="P916" s="21" t="s">
        <v>2272</v>
      </c>
      <c r="Q916" s="21" t="s">
        <v>2272</v>
      </c>
      <c r="R916" s="21" t="s">
        <v>2272</v>
      </c>
      <c r="S916" s="21" t="s">
        <v>2272</v>
      </c>
      <c r="T916" s="21" t="s">
        <v>2272</v>
      </c>
      <c r="U916" s="21" t="s">
        <v>2272</v>
      </c>
      <c r="V916" s="21" t="s">
        <v>2272</v>
      </c>
      <c r="W916" s="21" t="s">
        <v>2272</v>
      </c>
      <c r="X916" s="21" t="s">
        <v>2272</v>
      </c>
      <c r="Y916" s="21" t="s">
        <v>2272</v>
      </c>
      <c r="Z916" s="21" t="s">
        <v>2272</v>
      </c>
      <c r="AA916" s="21" t="s">
        <v>2272</v>
      </c>
      <c r="AB916" s="4" t="s">
        <v>2898</v>
      </c>
      <c r="AC916" s="3"/>
    </row>
    <row r="917" spans="1:29"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1"/>
      <c r="J917" s="21" t="s">
        <v>2272</v>
      </c>
      <c r="K917" s="21" t="s">
        <v>2272</v>
      </c>
      <c r="L917" s="21" t="s">
        <v>2272</v>
      </c>
      <c r="M917" s="21" t="s">
        <v>2272</v>
      </c>
      <c r="N917" s="21" t="s">
        <v>2272</v>
      </c>
      <c r="O917" s="21" t="s">
        <v>2272</v>
      </c>
      <c r="P917" s="21" t="s">
        <v>2272</v>
      </c>
      <c r="Q917" s="21" t="s">
        <v>2272</v>
      </c>
      <c r="R917" s="21" t="s">
        <v>2272</v>
      </c>
      <c r="S917" s="21" t="s">
        <v>2272</v>
      </c>
      <c r="T917" s="21" t="s">
        <v>2272</v>
      </c>
      <c r="U917" s="21" t="s">
        <v>2272</v>
      </c>
      <c r="V917" s="21" t="s">
        <v>2272</v>
      </c>
      <c r="W917" s="21" t="s">
        <v>2272</v>
      </c>
      <c r="X917" s="21" t="s">
        <v>2396</v>
      </c>
      <c r="Y917" s="21" t="s">
        <v>2272</v>
      </c>
      <c r="Z917" s="21" t="s">
        <v>2272</v>
      </c>
      <c r="AA917" s="21" t="s">
        <v>2272</v>
      </c>
      <c r="AB917" s="141"/>
      <c r="AC917" s="143" t="s">
        <v>2924</v>
      </c>
    </row>
    <row r="918" spans="1:29"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2368</v>
      </c>
      <c r="K918" s="21" t="s">
        <v>2272</v>
      </c>
      <c r="L918" s="98" t="s">
        <v>2358</v>
      </c>
      <c r="M918" s="21" t="s">
        <v>2272</v>
      </c>
      <c r="N918" s="21" t="s">
        <v>2272</v>
      </c>
      <c r="O918" s="21" t="s">
        <v>2272</v>
      </c>
      <c r="P918" s="21" t="s">
        <v>2370</v>
      </c>
      <c r="Q918" s="21" t="s">
        <v>2272</v>
      </c>
      <c r="R918" s="21" t="s">
        <v>2358</v>
      </c>
      <c r="S918" s="21" t="s">
        <v>2272</v>
      </c>
      <c r="T918" s="21" t="s">
        <v>2369</v>
      </c>
      <c r="U918" s="21" t="s">
        <v>2272</v>
      </c>
      <c r="V918" s="21" t="s">
        <v>2522</v>
      </c>
      <c r="W918" s="21" t="s">
        <v>2272</v>
      </c>
      <c r="X918" s="21" t="s">
        <v>2398</v>
      </c>
      <c r="Y918" s="21" t="s">
        <v>2272</v>
      </c>
      <c r="Z918" s="21" t="s">
        <v>2272</v>
      </c>
      <c r="AA918" s="21" t="s">
        <v>2272</v>
      </c>
      <c r="AB918" s="3" t="s">
        <v>2728</v>
      </c>
      <c r="AC918" s="4" t="s">
        <v>2937</v>
      </c>
    </row>
    <row r="919" spans="1:29"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2368</v>
      </c>
      <c r="K919" s="21" t="s">
        <v>2272</v>
      </c>
      <c r="L919" s="98" t="s">
        <v>2358</v>
      </c>
      <c r="M919" s="21" t="s">
        <v>2272</v>
      </c>
      <c r="N919" s="21" t="s">
        <v>2272</v>
      </c>
      <c r="O919" s="21" t="s">
        <v>2272</v>
      </c>
      <c r="P919" s="21" t="s">
        <v>2358</v>
      </c>
      <c r="Q919" s="21" t="s">
        <v>2272</v>
      </c>
      <c r="R919" s="21" t="s">
        <v>2358</v>
      </c>
      <c r="S919" s="21" t="s">
        <v>2272</v>
      </c>
      <c r="T919" s="21" t="s">
        <v>2369</v>
      </c>
      <c r="U919" s="21" t="s">
        <v>2272</v>
      </c>
      <c r="V919" s="21" t="s">
        <v>2522</v>
      </c>
      <c r="W919" s="21" t="s">
        <v>2272</v>
      </c>
      <c r="X919" s="21" t="s">
        <v>2398</v>
      </c>
      <c r="Y919" s="21" t="s">
        <v>2272</v>
      </c>
      <c r="Z919" s="21" t="s">
        <v>2272</v>
      </c>
      <c r="AA919" s="21" t="s">
        <v>2272</v>
      </c>
      <c r="AB919" s="3" t="s">
        <v>2728</v>
      </c>
      <c r="AC919" s="4" t="s">
        <v>2937</v>
      </c>
    </row>
    <row r="920" spans="1:29"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2368</v>
      </c>
      <c r="K920" s="21" t="s">
        <v>2272</v>
      </c>
      <c r="L920" s="98" t="s">
        <v>2358</v>
      </c>
      <c r="M920" s="21" t="s">
        <v>2272</v>
      </c>
      <c r="N920" s="21" t="s">
        <v>2272</v>
      </c>
      <c r="O920" s="21" t="s">
        <v>2272</v>
      </c>
      <c r="P920" s="21" t="s">
        <v>2358</v>
      </c>
      <c r="Q920" s="21" t="s">
        <v>2272</v>
      </c>
      <c r="R920" s="21" t="s">
        <v>2358</v>
      </c>
      <c r="S920" s="21" t="s">
        <v>2272</v>
      </c>
      <c r="T920" s="21" t="s">
        <v>2369</v>
      </c>
      <c r="U920" s="21" t="s">
        <v>2272</v>
      </c>
      <c r="V920" s="21" t="s">
        <v>2522</v>
      </c>
      <c r="W920" s="21" t="s">
        <v>2272</v>
      </c>
      <c r="X920" s="21" t="s">
        <v>2398</v>
      </c>
      <c r="Y920" s="21" t="s">
        <v>2272</v>
      </c>
      <c r="Z920" s="21" t="s">
        <v>2272</v>
      </c>
      <c r="AA920" s="21" t="s">
        <v>2272</v>
      </c>
      <c r="AB920" s="3" t="s">
        <v>2728</v>
      </c>
      <c r="AC920" s="4" t="s">
        <v>2937</v>
      </c>
    </row>
    <row r="921" spans="1:29"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2368</v>
      </c>
      <c r="K921" s="21" t="s">
        <v>2272</v>
      </c>
      <c r="L921" s="98" t="s">
        <v>2358</v>
      </c>
      <c r="M921" s="21" t="s">
        <v>2272</v>
      </c>
      <c r="N921" s="21" t="s">
        <v>2272</v>
      </c>
      <c r="O921" s="21" t="s">
        <v>2272</v>
      </c>
      <c r="P921" s="21" t="s">
        <v>2358</v>
      </c>
      <c r="Q921" s="21" t="s">
        <v>2272</v>
      </c>
      <c r="R921" s="21" t="s">
        <v>2358</v>
      </c>
      <c r="S921" s="21" t="s">
        <v>2272</v>
      </c>
      <c r="T921" s="21" t="s">
        <v>2369</v>
      </c>
      <c r="U921" s="21" t="s">
        <v>2272</v>
      </c>
      <c r="V921" s="21" t="s">
        <v>2522</v>
      </c>
      <c r="W921" s="21" t="s">
        <v>2272</v>
      </c>
      <c r="X921" s="21" t="s">
        <v>2398</v>
      </c>
      <c r="Y921" s="21" t="s">
        <v>2272</v>
      </c>
      <c r="Z921" s="21" t="s">
        <v>2272</v>
      </c>
      <c r="AA921" s="21" t="s">
        <v>2272</v>
      </c>
      <c r="AB921" s="3" t="s">
        <v>2728</v>
      </c>
      <c r="AC921" s="4" t="s">
        <v>2937</v>
      </c>
    </row>
    <row r="922" spans="1:29"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2272</v>
      </c>
      <c r="K922" s="21" t="s">
        <v>2272</v>
      </c>
      <c r="L922" s="98" t="s">
        <v>2358</v>
      </c>
      <c r="M922" s="21" t="s">
        <v>2272</v>
      </c>
      <c r="N922" s="21" t="s">
        <v>2272</v>
      </c>
      <c r="O922" s="21" t="s">
        <v>2272</v>
      </c>
      <c r="P922" s="21" t="s">
        <v>2370</v>
      </c>
      <c r="Q922" s="21" t="s">
        <v>2272</v>
      </c>
      <c r="R922" s="21" t="s">
        <v>2272</v>
      </c>
      <c r="S922" s="21" t="s">
        <v>2272</v>
      </c>
      <c r="T922" s="21" t="s">
        <v>2272</v>
      </c>
      <c r="U922" s="21" t="s">
        <v>2272</v>
      </c>
      <c r="V922" s="21" t="s">
        <v>2272</v>
      </c>
      <c r="W922" s="21" t="s">
        <v>2272</v>
      </c>
      <c r="X922" s="21" t="s">
        <v>2396</v>
      </c>
      <c r="Y922" s="3" t="s">
        <v>37</v>
      </c>
      <c r="Z922" s="3" t="s">
        <v>84</v>
      </c>
      <c r="AA922" s="3" t="s">
        <v>63</v>
      </c>
      <c r="AB922" s="3"/>
      <c r="AC922" s="4" t="s">
        <v>2944</v>
      </c>
    </row>
    <row r="923" spans="1:29"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2272</v>
      </c>
      <c r="K923" s="198" t="s">
        <v>2272</v>
      </c>
      <c r="L923" s="3" t="s">
        <v>2272</v>
      </c>
      <c r="M923" s="3" t="s">
        <v>2272</v>
      </c>
      <c r="N923" s="3" t="s">
        <v>2272</v>
      </c>
      <c r="O923" s="3" t="s">
        <v>2272</v>
      </c>
      <c r="P923" s="3" t="s">
        <v>2272</v>
      </c>
      <c r="Q923" s="3" t="s">
        <v>2272</v>
      </c>
      <c r="R923" s="3" t="s">
        <v>2272</v>
      </c>
      <c r="S923" s="3" t="s">
        <v>2272</v>
      </c>
      <c r="T923" s="3" t="s">
        <v>2272</v>
      </c>
      <c r="U923" s="3" t="s">
        <v>2272</v>
      </c>
      <c r="V923" s="3" t="s">
        <v>2272</v>
      </c>
      <c r="W923" s="3" t="s">
        <v>2272</v>
      </c>
      <c r="X923" s="3" t="s">
        <v>2272</v>
      </c>
      <c r="Y923" s="3" t="s">
        <v>37</v>
      </c>
      <c r="Z923" s="3" t="s">
        <v>84</v>
      </c>
      <c r="AA923" s="3" t="s">
        <v>63</v>
      </c>
      <c r="AB923" s="4" t="s">
        <v>2954</v>
      </c>
      <c r="AC923" s="3"/>
    </row>
    <row r="924" spans="1:29"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2272</v>
      </c>
      <c r="K924" s="198" t="s">
        <v>2272</v>
      </c>
      <c r="L924" s="3" t="s">
        <v>2272</v>
      </c>
      <c r="M924" s="3" t="s">
        <v>2272</v>
      </c>
      <c r="N924" s="3" t="s">
        <v>2272</v>
      </c>
      <c r="O924" s="3" t="s">
        <v>2272</v>
      </c>
      <c r="P924" s="3" t="s">
        <v>2272</v>
      </c>
      <c r="Q924" s="3" t="s">
        <v>2272</v>
      </c>
      <c r="R924" s="3" t="s">
        <v>2272</v>
      </c>
      <c r="S924" s="3" t="s">
        <v>2272</v>
      </c>
      <c r="T924" s="3" t="s">
        <v>2272</v>
      </c>
      <c r="U924" s="3" t="s">
        <v>2272</v>
      </c>
      <c r="V924" s="3" t="s">
        <v>2272</v>
      </c>
      <c r="W924" s="3" t="s">
        <v>2272</v>
      </c>
      <c r="X924" s="3" t="s">
        <v>2272</v>
      </c>
      <c r="Y924" s="3" t="s">
        <v>37</v>
      </c>
      <c r="Z924" s="3" t="s">
        <v>84</v>
      </c>
      <c r="AA924" s="3" t="s">
        <v>63</v>
      </c>
      <c r="AB924" s="4" t="s">
        <v>2956</v>
      </c>
      <c r="AC924" s="3"/>
    </row>
    <row r="925" spans="1:29"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2272</v>
      </c>
      <c r="K925" s="198" t="s">
        <v>2272</v>
      </c>
      <c r="L925" s="3" t="s">
        <v>2272</v>
      </c>
      <c r="M925" s="3" t="s">
        <v>2272</v>
      </c>
      <c r="N925" s="3" t="s">
        <v>2272</v>
      </c>
      <c r="O925" s="3" t="s">
        <v>2272</v>
      </c>
      <c r="P925" s="3" t="s">
        <v>2272</v>
      </c>
      <c r="Q925" s="3" t="s">
        <v>2272</v>
      </c>
      <c r="R925" s="3" t="s">
        <v>2272</v>
      </c>
      <c r="S925" s="3" t="s">
        <v>2272</v>
      </c>
      <c r="T925" s="3" t="s">
        <v>2272</v>
      </c>
      <c r="U925" s="3" t="s">
        <v>2272</v>
      </c>
      <c r="V925" s="3" t="s">
        <v>2272</v>
      </c>
      <c r="W925" s="3" t="s">
        <v>2272</v>
      </c>
      <c r="X925" s="3" t="s">
        <v>2272</v>
      </c>
      <c r="Y925" s="3" t="s">
        <v>37</v>
      </c>
      <c r="Z925" s="3" t="s">
        <v>37</v>
      </c>
      <c r="AA925" s="3" t="s">
        <v>63</v>
      </c>
      <c r="AB925" s="4" t="s">
        <v>2969</v>
      </c>
      <c r="AC925" s="3"/>
    </row>
    <row r="926" spans="1:29"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2272</v>
      </c>
      <c r="K926" s="198" t="s">
        <v>2272</v>
      </c>
      <c r="L926" s="3" t="s">
        <v>2272</v>
      </c>
      <c r="M926" s="3" t="s">
        <v>2272</v>
      </c>
      <c r="N926" s="3" t="s">
        <v>2272</v>
      </c>
      <c r="O926" s="3" t="s">
        <v>2272</v>
      </c>
      <c r="P926" s="3" t="s">
        <v>2272</v>
      </c>
      <c r="Q926" s="3" t="s">
        <v>2272</v>
      </c>
      <c r="R926" s="3" t="s">
        <v>2272</v>
      </c>
      <c r="S926" s="3" t="s">
        <v>2272</v>
      </c>
      <c r="T926" s="3" t="s">
        <v>2272</v>
      </c>
      <c r="U926" s="3" t="s">
        <v>2272</v>
      </c>
      <c r="V926" s="3" t="s">
        <v>2272</v>
      </c>
      <c r="W926" s="3" t="s">
        <v>2272</v>
      </c>
      <c r="X926" s="3" t="s">
        <v>2272</v>
      </c>
      <c r="Y926" s="3" t="s">
        <v>37</v>
      </c>
      <c r="Z926" s="3" t="s">
        <v>84</v>
      </c>
      <c r="AA926" s="3" t="s">
        <v>63</v>
      </c>
      <c r="AB926" s="4" t="s">
        <v>2959</v>
      </c>
      <c r="AC926" s="3"/>
    </row>
    <row r="927" spans="1:29"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2272</v>
      </c>
      <c r="K927" s="198" t="s">
        <v>2272</v>
      </c>
      <c r="L927" s="3" t="s">
        <v>2272</v>
      </c>
      <c r="M927" s="3" t="s">
        <v>2272</v>
      </c>
      <c r="N927" s="3" t="s">
        <v>2272</v>
      </c>
      <c r="O927" s="3" t="s">
        <v>2272</v>
      </c>
      <c r="P927" s="3" t="s">
        <v>2272</v>
      </c>
      <c r="Q927" s="3" t="s">
        <v>2272</v>
      </c>
      <c r="R927" s="3" t="s">
        <v>2272</v>
      </c>
      <c r="S927" s="3" t="s">
        <v>2272</v>
      </c>
      <c r="T927" s="3" t="s">
        <v>2272</v>
      </c>
      <c r="U927" s="3" t="s">
        <v>2272</v>
      </c>
      <c r="V927" s="3" t="s">
        <v>2272</v>
      </c>
      <c r="W927" s="3" t="s">
        <v>2272</v>
      </c>
      <c r="X927" s="3" t="s">
        <v>2272</v>
      </c>
      <c r="Y927" s="3" t="s">
        <v>84</v>
      </c>
      <c r="Z927" s="3" t="s">
        <v>84</v>
      </c>
      <c r="AA927" s="3" t="s">
        <v>63</v>
      </c>
      <c r="AB927" s="3" t="s">
        <v>2961</v>
      </c>
      <c r="AC927" s="3"/>
    </row>
    <row r="928" spans="1:29"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2272</v>
      </c>
      <c r="K928" s="198" t="s">
        <v>2272</v>
      </c>
      <c r="L928" s="3" t="s">
        <v>2272</v>
      </c>
      <c r="M928" s="3" t="s">
        <v>2272</v>
      </c>
      <c r="N928" s="3" t="s">
        <v>2272</v>
      </c>
      <c r="O928" s="3" t="s">
        <v>2272</v>
      </c>
      <c r="P928" s="3" t="s">
        <v>2272</v>
      </c>
      <c r="Q928" s="3" t="s">
        <v>2272</v>
      </c>
      <c r="R928" s="3" t="s">
        <v>2272</v>
      </c>
      <c r="S928" s="3" t="s">
        <v>2272</v>
      </c>
      <c r="T928" s="3" t="s">
        <v>2272</v>
      </c>
      <c r="U928" s="3" t="s">
        <v>2272</v>
      </c>
      <c r="V928" s="3" t="s">
        <v>2272</v>
      </c>
      <c r="W928" s="3" t="s">
        <v>2272</v>
      </c>
      <c r="X928" s="3" t="s">
        <v>2272</v>
      </c>
      <c r="Y928" s="3" t="s">
        <v>403</v>
      </c>
      <c r="Z928" s="3" t="s">
        <v>423</v>
      </c>
      <c r="AA928" s="3" t="s">
        <v>75</v>
      </c>
      <c r="AB928" s="4" t="s">
        <v>2963</v>
      </c>
      <c r="AC928" s="3"/>
    </row>
    <row r="929" spans="1:29"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2272</v>
      </c>
      <c r="K929" s="198" t="s">
        <v>2272</v>
      </c>
      <c r="L929" s="3" t="s">
        <v>2272</v>
      </c>
      <c r="M929" s="3" t="s">
        <v>2272</v>
      </c>
      <c r="N929" s="3" t="s">
        <v>2272</v>
      </c>
      <c r="O929" s="3" t="s">
        <v>2272</v>
      </c>
      <c r="P929" s="3" t="s">
        <v>2272</v>
      </c>
      <c r="Q929" s="3" t="s">
        <v>2272</v>
      </c>
      <c r="R929" s="3" t="s">
        <v>2272</v>
      </c>
      <c r="S929" s="3" t="s">
        <v>2272</v>
      </c>
      <c r="T929" s="3" t="s">
        <v>2272</v>
      </c>
      <c r="U929" s="3" t="s">
        <v>2272</v>
      </c>
      <c r="V929" s="3" t="s">
        <v>2272</v>
      </c>
      <c r="W929" s="3" t="s">
        <v>2272</v>
      </c>
      <c r="X929" s="21" t="s">
        <v>2396</v>
      </c>
      <c r="Y929" s="3" t="s">
        <v>37</v>
      </c>
      <c r="Z929" s="3" t="s">
        <v>423</v>
      </c>
      <c r="AA929" s="3" t="s">
        <v>63</v>
      </c>
      <c r="AB929" s="4" t="s">
        <v>2973</v>
      </c>
      <c r="AC929" s="3"/>
    </row>
    <row r="930" spans="1:29"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2272</v>
      </c>
      <c r="K930" s="198" t="s">
        <v>2272</v>
      </c>
      <c r="L930" s="3" t="s">
        <v>2272</v>
      </c>
      <c r="M930" s="3" t="s">
        <v>2272</v>
      </c>
      <c r="N930" s="3" t="s">
        <v>2272</v>
      </c>
      <c r="O930" s="3" t="s">
        <v>2272</v>
      </c>
      <c r="P930" s="3" t="s">
        <v>2272</v>
      </c>
      <c r="Q930" s="3" t="s">
        <v>2272</v>
      </c>
      <c r="R930" s="3" t="s">
        <v>2272</v>
      </c>
      <c r="S930" s="3" t="s">
        <v>2272</v>
      </c>
      <c r="T930" s="3" t="s">
        <v>2272</v>
      </c>
      <c r="U930" s="3" t="s">
        <v>2272</v>
      </c>
      <c r="V930" s="3" t="s">
        <v>2272</v>
      </c>
      <c r="W930" s="3" t="s">
        <v>2272</v>
      </c>
      <c r="X930" s="21" t="s">
        <v>2396</v>
      </c>
      <c r="Y930" s="3" t="s">
        <v>37</v>
      </c>
      <c r="Z930" s="3" t="s">
        <v>423</v>
      </c>
      <c r="AA930" s="3" t="s">
        <v>63</v>
      </c>
      <c r="AB930" s="4" t="s">
        <v>2974</v>
      </c>
      <c r="AC930" s="3"/>
    </row>
    <row r="931" spans="1:29"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2272</v>
      </c>
      <c r="K931" s="198" t="s">
        <v>2272</v>
      </c>
      <c r="L931" s="3" t="s">
        <v>2272</v>
      </c>
      <c r="M931" s="3" t="s">
        <v>2272</v>
      </c>
      <c r="N931" s="3" t="s">
        <v>2272</v>
      </c>
      <c r="O931" s="3" t="s">
        <v>2272</v>
      </c>
      <c r="P931" s="3" t="s">
        <v>2272</v>
      </c>
      <c r="Q931" s="3" t="s">
        <v>2272</v>
      </c>
      <c r="R931" s="3" t="s">
        <v>2272</v>
      </c>
      <c r="S931" s="3" t="s">
        <v>2272</v>
      </c>
      <c r="T931" s="3" t="s">
        <v>2272</v>
      </c>
      <c r="U931" s="3" t="s">
        <v>2272</v>
      </c>
      <c r="V931" s="3" t="s">
        <v>2272</v>
      </c>
      <c r="W931" s="3" t="s">
        <v>2272</v>
      </c>
      <c r="X931" s="3" t="s">
        <v>2272</v>
      </c>
      <c r="Y931" s="3" t="s">
        <v>37</v>
      </c>
      <c r="Z931" s="3" t="s">
        <v>423</v>
      </c>
      <c r="AA931" s="3" t="s">
        <v>63</v>
      </c>
      <c r="AB931" s="3"/>
      <c r="AC931" s="3"/>
    </row>
    <row r="932" spans="1:29"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2272</v>
      </c>
      <c r="K932" s="198" t="s">
        <v>2272</v>
      </c>
      <c r="L932" s="3" t="s">
        <v>2272</v>
      </c>
      <c r="M932" s="3" t="s">
        <v>2272</v>
      </c>
      <c r="N932" s="3" t="s">
        <v>2272</v>
      </c>
      <c r="O932" s="3" t="s">
        <v>2272</v>
      </c>
      <c r="P932" s="3" t="s">
        <v>2272</v>
      </c>
      <c r="Q932" s="3" t="s">
        <v>2272</v>
      </c>
      <c r="R932" s="3" t="s">
        <v>2272</v>
      </c>
      <c r="S932" s="3" t="s">
        <v>2272</v>
      </c>
      <c r="T932" s="3" t="s">
        <v>2272</v>
      </c>
      <c r="U932" s="3" t="s">
        <v>2272</v>
      </c>
      <c r="V932" s="3" t="s">
        <v>2272</v>
      </c>
      <c r="W932" s="3" t="s">
        <v>2272</v>
      </c>
      <c r="X932" s="3" t="s">
        <v>2272</v>
      </c>
      <c r="Y932" s="3" t="s">
        <v>37</v>
      </c>
      <c r="Z932" s="3" t="s">
        <v>423</v>
      </c>
      <c r="AA932" s="3" t="s">
        <v>63</v>
      </c>
      <c r="AB932" s="3"/>
      <c r="AC932" s="3"/>
    </row>
    <row r="933" spans="1:29"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2272</v>
      </c>
      <c r="K933" s="198" t="s">
        <v>2272</v>
      </c>
      <c r="L933" s="3" t="s">
        <v>2272</v>
      </c>
      <c r="M933" s="3" t="s">
        <v>2272</v>
      </c>
      <c r="N933" s="3" t="s">
        <v>2272</v>
      </c>
      <c r="O933" s="3" t="s">
        <v>2272</v>
      </c>
      <c r="P933" s="3" t="s">
        <v>2272</v>
      </c>
      <c r="Q933" s="3" t="s">
        <v>2272</v>
      </c>
      <c r="R933" s="3" t="s">
        <v>2272</v>
      </c>
      <c r="S933" s="3" t="s">
        <v>2272</v>
      </c>
      <c r="T933" s="3" t="s">
        <v>2272</v>
      </c>
      <c r="U933" s="3" t="s">
        <v>2272</v>
      </c>
      <c r="V933" s="3" t="s">
        <v>2272</v>
      </c>
      <c r="W933" s="3" t="s">
        <v>2272</v>
      </c>
      <c r="X933" s="3" t="s">
        <v>2272</v>
      </c>
      <c r="Y933" s="3" t="s">
        <v>37</v>
      </c>
      <c r="Z933" s="3" t="s">
        <v>423</v>
      </c>
      <c r="AA933" s="3" t="s">
        <v>63</v>
      </c>
      <c r="AB933" s="4" t="s">
        <v>2968</v>
      </c>
      <c r="AC933" s="3"/>
    </row>
    <row r="934" spans="1:29"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2272</v>
      </c>
      <c r="K934" s="198" t="s">
        <v>2272</v>
      </c>
      <c r="L934" s="3" t="s">
        <v>2272</v>
      </c>
      <c r="M934" s="3" t="s">
        <v>2272</v>
      </c>
      <c r="N934" s="3" t="s">
        <v>2272</v>
      </c>
      <c r="O934" s="3" t="s">
        <v>2272</v>
      </c>
      <c r="P934" s="3" t="s">
        <v>2272</v>
      </c>
      <c r="Q934" s="3" t="s">
        <v>2272</v>
      </c>
      <c r="R934" s="3" t="s">
        <v>2272</v>
      </c>
      <c r="S934" s="3" t="s">
        <v>2272</v>
      </c>
      <c r="T934" s="3" t="s">
        <v>2272</v>
      </c>
      <c r="U934" s="3" t="s">
        <v>2272</v>
      </c>
      <c r="V934" s="3" t="s">
        <v>2272</v>
      </c>
      <c r="W934" s="3" t="s">
        <v>2272</v>
      </c>
      <c r="X934" s="3" t="s">
        <v>2272</v>
      </c>
      <c r="Y934" s="3" t="s">
        <v>403</v>
      </c>
      <c r="Z934" s="3" t="s">
        <v>423</v>
      </c>
      <c r="AA934" s="3" t="s">
        <v>75</v>
      </c>
      <c r="AB934" s="4" t="s">
        <v>2977</v>
      </c>
      <c r="AC934" s="3"/>
    </row>
    <row r="935" spans="1:29"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2272</v>
      </c>
      <c r="K935" s="198" t="s">
        <v>2272</v>
      </c>
      <c r="L935" s="3" t="s">
        <v>2272</v>
      </c>
      <c r="M935" s="3" t="s">
        <v>2272</v>
      </c>
      <c r="N935" s="3" t="s">
        <v>2272</v>
      </c>
      <c r="O935" s="3" t="s">
        <v>2272</v>
      </c>
      <c r="P935" s="3" t="s">
        <v>2272</v>
      </c>
      <c r="Q935" s="3" t="s">
        <v>2272</v>
      </c>
      <c r="R935" s="3" t="s">
        <v>2272</v>
      </c>
      <c r="S935" s="3" t="s">
        <v>2272</v>
      </c>
      <c r="T935" s="3" t="s">
        <v>2272</v>
      </c>
      <c r="U935" s="3" t="s">
        <v>2272</v>
      </c>
      <c r="V935" s="3" t="s">
        <v>2272</v>
      </c>
      <c r="W935" s="3" t="s">
        <v>2272</v>
      </c>
      <c r="X935" s="3" t="s">
        <v>2272</v>
      </c>
      <c r="Y935" s="3" t="s">
        <v>67</v>
      </c>
      <c r="Z935" s="3" t="s">
        <v>34</v>
      </c>
      <c r="AA935" s="3" t="s">
        <v>63</v>
      </c>
      <c r="AB935" s="4" t="s">
        <v>3001</v>
      </c>
      <c r="AC935" s="3"/>
    </row>
    <row r="936" spans="1:29"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2272</v>
      </c>
      <c r="K936" s="198" t="s">
        <v>2272</v>
      </c>
      <c r="L936" s="3" t="s">
        <v>2272</v>
      </c>
      <c r="M936" s="3" t="s">
        <v>2272</v>
      </c>
      <c r="N936" s="3" t="s">
        <v>2272</v>
      </c>
      <c r="O936" s="3" t="s">
        <v>2272</v>
      </c>
      <c r="P936" s="3" t="s">
        <v>2272</v>
      </c>
      <c r="Q936" s="3" t="s">
        <v>2272</v>
      </c>
      <c r="R936" s="3" t="s">
        <v>2272</v>
      </c>
      <c r="S936" s="3" t="s">
        <v>2272</v>
      </c>
      <c r="T936" s="3" t="s">
        <v>2272</v>
      </c>
      <c r="U936" s="3" t="s">
        <v>2272</v>
      </c>
      <c r="V936" s="3" t="s">
        <v>2272</v>
      </c>
      <c r="W936" s="3" t="s">
        <v>2272</v>
      </c>
      <c r="X936" s="3" t="s">
        <v>2272</v>
      </c>
      <c r="Y936" s="3"/>
      <c r="Z936" s="3"/>
      <c r="AA936" s="3"/>
      <c r="AB936" s="3"/>
      <c r="AC936" s="3"/>
    </row>
    <row r="937" spans="1:29"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2272</v>
      </c>
      <c r="K937" s="198" t="s">
        <v>2272</v>
      </c>
      <c r="L937" s="3" t="s">
        <v>2272</v>
      </c>
      <c r="M937" s="3" t="s">
        <v>2272</v>
      </c>
      <c r="N937" s="3" t="s">
        <v>2272</v>
      </c>
      <c r="O937" s="3" t="s">
        <v>2272</v>
      </c>
      <c r="P937" s="3" t="s">
        <v>2272</v>
      </c>
      <c r="Q937" s="3" t="s">
        <v>2272</v>
      </c>
      <c r="R937" s="3" t="s">
        <v>2272</v>
      </c>
      <c r="S937" s="3" t="s">
        <v>2272</v>
      </c>
      <c r="T937" s="3" t="s">
        <v>2272</v>
      </c>
      <c r="U937" s="3" t="s">
        <v>2272</v>
      </c>
      <c r="V937" s="3" t="s">
        <v>2272</v>
      </c>
      <c r="W937" s="3" t="s">
        <v>2272</v>
      </c>
      <c r="X937" s="3" t="s">
        <v>2272</v>
      </c>
      <c r="Y937" s="3" t="s">
        <v>67</v>
      </c>
      <c r="Z937" s="3" t="s">
        <v>34</v>
      </c>
      <c r="AA937" s="3" t="s">
        <v>63</v>
      </c>
      <c r="AB937" s="4" t="s">
        <v>3006</v>
      </c>
      <c r="AC937" s="3"/>
    </row>
    <row r="938" spans="1:29"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2272</v>
      </c>
      <c r="K938" s="198" t="s">
        <v>2272</v>
      </c>
      <c r="L938" s="3" t="s">
        <v>2272</v>
      </c>
      <c r="M938" s="3" t="s">
        <v>2272</v>
      </c>
      <c r="N938" s="3" t="s">
        <v>2272</v>
      </c>
      <c r="O938" s="3" t="s">
        <v>2272</v>
      </c>
      <c r="P938" s="3" t="s">
        <v>2272</v>
      </c>
      <c r="Q938" s="3" t="s">
        <v>2272</v>
      </c>
      <c r="R938" s="3" t="s">
        <v>2272</v>
      </c>
      <c r="S938" s="3" t="s">
        <v>2272</v>
      </c>
      <c r="T938" s="3" t="s">
        <v>2272</v>
      </c>
      <c r="U938" s="3" t="s">
        <v>2272</v>
      </c>
      <c r="V938" s="3" t="s">
        <v>2272</v>
      </c>
      <c r="W938" s="3" t="s">
        <v>2272</v>
      </c>
      <c r="X938" s="3" t="s">
        <v>2272</v>
      </c>
      <c r="Y938" s="3"/>
      <c r="Z938" s="3"/>
      <c r="AA938" s="3"/>
      <c r="AB938" s="3"/>
      <c r="AC938" s="3"/>
    </row>
    <row r="939" spans="1:29"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2272</v>
      </c>
      <c r="K939" s="198" t="s">
        <v>2272</v>
      </c>
      <c r="L939" s="3" t="s">
        <v>2272</v>
      </c>
      <c r="M939" s="3" t="s">
        <v>2272</v>
      </c>
      <c r="N939" s="3" t="s">
        <v>2272</v>
      </c>
      <c r="O939" s="3" t="s">
        <v>2272</v>
      </c>
      <c r="P939" s="3" t="s">
        <v>2272</v>
      </c>
      <c r="Q939" s="3" t="s">
        <v>2272</v>
      </c>
      <c r="R939" s="3" t="s">
        <v>2272</v>
      </c>
      <c r="S939" s="3" t="s">
        <v>2272</v>
      </c>
      <c r="T939" s="3" t="s">
        <v>2272</v>
      </c>
      <c r="U939" s="3" t="s">
        <v>2272</v>
      </c>
      <c r="V939" s="3" t="s">
        <v>2272</v>
      </c>
      <c r="W939" s="3" t="s">
        <v>2272</v>
      </c>
      <c r="X939" s="3" t="s">
        <v>2272</v>
      </c>
      <c r="Y939" s="3" t="s">
        <v>33</v>
      </c>
      <c r="Z939" s="3" t="s">
        <v>33</v>
      </c>
      <c r="AA939" s="3" t="s">
        <v>2650</v>
      </c>
      <c r="AB939" s="4" t="s">
        <v>3002</v>
      </c>
      <c r="AC939" s="3"/>
    </row>
    <row r="940" spans="1:29"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2272</v>
      </c>
      <c r="K940" s="198" t="s">
        <v>2272</v>
      </c>
      <c r="L940" s="3" t="s">
        <v>2272</v>
      </c>
      <c r="M940" s="3" t="s">
        <v>2272</v>
      </c>
      <c r="N940" s="3" t="s">
        <v>2272</v>
      </c>
      <c r="O940" s="3" t="s">
        <v>2272</v>
      </c>
      <c r="P940" s="3" t="s">
        <v>2272</v>
      </c>
      <c r="Q940" s="3" t="s">
        <v>2272</v>
      </c>
      <c r="R940" s="3" t="s">
        <v>2272</v>
      </c>
      <c r="S940" s="3" t="s">
        <v>2272</v>
      </c>
      <c r="T940" s="3" t="s">
        <v>2272</v>
      </c>
      <c r="U940" s="3" t="s">
        <v>2272</v>
      </c>
      <c r="V940" s="3" t="s">
        <v>2272</v>
      </c>
      <c r="W940" s="3" t="s">
        <v>2272</v>
      </c>
      <c r="X940" s="3" t="s">
        <v>2272</v>
      </c>
      <c r="Y940" s="3" t="s">
        <v>33</v>
      </c>
      <c r="Z940" s="3" t="s">
        <v>33</v>
      </c>
      <c r="AA940" s="3" t="s">
        <v>2650</v>
      </c>
      <c r="AB940" s="4" t="s">
        <v>3002</v>
      </c>
      <c r="AC940" s="3"/>
    </row>
    <row r="941" spans="1:29"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2272</v>
      </c>
      <c r="K941" s="198" t="s">
        <v>2272</v>
      </c>
      <c r="L941" s="3" t="s">
        <v>2272</v>
      </c>
      <c r="M941" s="3" t="s">
        <v>2272</v>
      </c>
      <c r="N941" s="3" t="s">
        <v>2272</v>
      </c>
      <c r="O941" s="3" t="s">
        <v>2272</v>
      </c>
      <c r="P941" s="3" t="s">
        <v>2272</v>
      </c>
      <c r="Q941" s="3" t="s">
        <v>2272</v>
      </c>
      <c r="R941" s="3" t="s">
        <v>2272</v>
      </c>
      <c r="S941" s="3" t="s">
        <v>2272</v>
      </c>
      <c r="T941" s="3" t="s">
        <v>2272</v>
      </c>
      <c r="U941" s="3" t="s">
        <v>2272</v>
      </c>
      <c r="V941" s="3" t="s">
        <v>2272</v>
      </c>
      <c r="W941" s="3" t="s">
        <v>2272</v>
      </c>
      <c r="X941" s="3" t="s">
        <v>2272</v>
      </c>
      <c r="Y941" s="3" t="s">
        <v>67</v>
      </c>
      <c r="Z941" s="3" t="s">
        <v>34</v>
      </c>
      <c r="AA941" s="3" t="s">
        <v>63</v>
      </c>
      <c r="AB941" s="4" t="s">
        <v>3003</v>
      </c>
      <c r="AC941" s="3"/>
    </row>
    <row r="942" spans="1:29"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2272</v>
      </c>
      <c r="K942" s="198" t="s">
        <v>2272</v>
      </c>
      <c r="L942" s="3" t="s">
        <v>2272</v>
      </c>
      <c r="M942" s="3" t="s">
        <v>2272</v>
      </c>
      <c r="N942" s="3" t="s">
        <v>2272</v>
      </c>
      <c r="O942" s="3" t="s">
        <v>2272</v>
      </c>
      <c r="P942" s="3" t="s">
        <v>2272</v>
      </c>
      <c r="Q942" s="3" t="s">
        <v>2272</v>
      </c>
      <c r="R942" s="3" t="s">
        <v>2272</v>
      </c>
      <c r="S942" s="3" t="s">
        <v>2272</v>
      </c>
      <c r="T942" s="3" t="s">
        <v>2272</v>
      </c>
      <c r="U942" s="3" t="s">
        <v>2272</v>
      </c>
      <c r="V942" s="3" t="s">
        <v>2272</v>
      </c>
      <c r="W942" s="3" t="s">
        <v>2272</v>
      </c>
      <c r="X942" s="3" t="s">
        <v>2272</v>
      </c>
      <c r="Y942" s="3" t="s">
        <v>2272</v>
      </c>
      <c r="Z942" s="3" t="s">
        <v>2272</v>
      </c>
      <c r="AA942" s="3" t="s">
        <v>2272</v>
      </c>
      <c r="AB942" s="3"/>
      <c r="AC942" s="3"/>
    </row>
    <row r="943" spans="1:29"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2272</v>
      </c>
      <c r="K943" s="198" t="s">
        <v>2272</v>
      </c>
      <c r="L943" s="3" t="s">
        <v>2272</v>
      </c>
      <c r="M943" s="3" t="s">
        <v>2272</v>
      </c>
      <c r="N943" s="3" t="s">
        <v>2272</v>
      </c>
      <c r="O943" s="3" t="s">
        <v>2272</v>
      </c>
      <c r="P943" s="3" t="s">
        <v>2272</v>
      </c>
      <c r="Q943" s="3" t="s">
        <v>2272</v>
      </c>
      <c r="R943" s="3" t="s">
        <v>2272</v>
      </c>
      <c r="S943" s="3" t="s">
        <v>2272</v>
      </c>
      <c r="T943" s="3" t="s">
        <v>2272</v>
      </c>
      <c r="U943" s="3" t="s">
        <v>2272</v>
      </c>
      <c r="V943" s="3" t="s">
        <v>2272</v>
      </c>
      <c r="W943" s="3" t="s">
        <v>2272</v>
      </c>
      <c r="X943" s="3" t="s">
        <v>2272</v>
      </c>
      <c r="Y943" s="3" t="s">
        <v>2272</v>
      </c>
      <c r="Z943" s="3" t="s">
        <v>2272</v>
      </c>
      <c r="AA943" s="3" t="s">
        <v>2272</v>
      </c>
      <c r="AB943" s="3"/>
      <c r="AC943" s="3"/>
    </row>
    <row r="944" spans="1:29"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2272</v>
      </c>
      <c r="K944" s="198" t="s">
        <v>2272</v>
      </c>
      <c r="L944" s="3" t="s">
        <v>2272</v>
      </c>
      <c r="M944" s="3" t="s">
        <v>2272</v>
      </c>
      <c r="N944" s="3" t="s">
        <v>2272</v>
      </c>
      <c r="O944" s="3" t="s">
        <v>2272</v>
      </c>
      <c r="P944" s="3" t="s">
        <v>2272</v>
      </c>
      <c r="Q944" s="3" t="s">
        <v>2272</v>
      </c>
      <c r="R944" s="3" t="s">
        <v>2272</v>
      </c>
      <c r="S944" s="3" t="s">
        <v>2272</v>
      </c>
      <c r="T944" s="3" t="s">
        <v>2272</v>
      </c>
      <c r="U944" s="3" t="s">
        <v>2272</v>
      </c>
      <c r="V944" s="3" t="s">
        <v>2272</v>
      </c>
      <c r="W944" s="3" t="s">
        <v>2272</v>
      </c>
      <c r="X944" s="3" t="s">
        <v>2272</v>
      </c>
      <c r="Y944" s="3" t="s">
        <v>2272</v>
      </c>
      <c r="Z944" s="3" t="s">
        <v>2272</v>
      </c>
      <c r="AA944" s="3" t="s">
        <v>2272</v>
      </c>
      <c r="AB944" s="4" t="s">
        <v>2998</v>
      </c>
      <c r="AC944" s="3"/>
    </row>
    <row r="945" spans="1:29"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2272</v>
      </c>
      <c r="K945" s="198" t="s">
        <v>2272</v>
      </c>
      <c r="L945" s="3" t="s">
        <v>2272</v>
      </c>
      <c r="M945" s="3" t="s">
        <v>2272</v>
      </c>
      <c r="N945" s="3" t="s">
        <v>2272</v>
      </c>
      <c r="O945" s="3" t="s">
        <v>2272</v>
      </c>
      <c r="P945" s="3" t="s">
        <v>2272</v>
      </c>
      <c r="Q945" s="3" t="s">
        <v>2272</v>
      </c>
      <c r="R945" s="3" t="s">
        <v>2272</v>
      </c>
      <c r="S945" s="3" t="s">
        <v>2272</v>
      </c>
      <c r="T945" s="3" t="s">
        <v>2272</v>
      </c>
      <c r="U945" s="3" t="s">
        <v>2272</v>
      </c>
      <c r="V945" s="3" t="s">
        <v>2272</v>
      </c>
      <c r="W945" s="3" t="s">
        <v>2272</v>
      </c>
      <c r="X945" s="3" t="s">
        <v>2272</v>
      </c>
      <c r="Y945" s="3" t="s">
        <v>2272</v>
      </c>
      <c r="Z945" s="3" t="s">
        <v>2272</v>
      </c>
      <c r="AA945" s="3" t="s">
        <v>2272</v>
      </c>
      <c r="AB945" s="3" t="s">
        <v>3000</v>
      </c>
      <c r="AC945" s="3"/>
    </row>
    <row r="946" spans="1:29"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2272</v>
      </c>
      <c r="K946" s="198" t="s">
        <v>2272</v>
      </c>
      <c r="L946" s="3" t="s">
        <v>2272</v>
      </c>
      <c r="M946" s="3" t="s">
        <v>2272</v>
      </c>
      <c r="N946" s="3" t="s">
        <v>2272</v>
      </c>
      <c r="O946" s="3" t="s">
        <v>2272</v>
      </c>
      <c r="P946" s="3" t="s">
        <v>2272</v>
      </c>
      <c r="Q946" s="3" t="s">
        <v>2272</v>
      </c>
      <c r="R946" s="3" t="s">
        <v>2272</v>
      </c>
      <c r="S946" s="3" t="s">
        <v>2272</v>
      </c>
      <c r="T946" s="3" t="s">
        <v>2272</v>
      </c>
      <c r="U946" s="3" t="s">
        <v>2272</v>
      </c>
      <c r="V946" s="3" t="s">
        <v>2272</v>
      </c>
      <c r="W946" s="3" t="s">
        <v>2272</v>
      </c>
      <c r="X946" s="3" t="s">
        <v>2272</v>
      </c>
      <c r="Y946" s="3" t="s">
        <v>67</v>
      </c>
      <c r="Z946" s="3" t="s">
        <v>34</v>
      </c>
      <c r="AA946" s="3" t="s">
        <v>63</v>
      </c>
      <c r="AB946" s="4" t="s">
        <v>3005</v>
      </c>
      <c r="AC946" s="3"/>
    </row>
    <row r="947" spans="1:29"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2272</v>
      </c>
      <c r="K947" s="198" t="s">
        <v>2272</v>
      </c>
      <c r="L947" s="3" t="s">
        <v>2272</v>
      </c>
      <c r="M947" s="3" t="s">
        <v>2272</v>
      </c>
      <c r="N947" s="3" t="s">
        <v>2272</v>
      </c>
      <c r="O947" s="3" t="s">
        <v>2272</v>
      </c>
      <c r="P947" s="3" t="s">
        <v>2272</v>
      </c>
      <c r="Q947" s="3" t="s">
        <v>2272</v>
      </c>
      <c r="R947" s="3" t="s">
        <v>2272</v>
      </c>
      <c r="S947" s="3" t="s">
        <v>2272</v>
      </c>
      <c r="T947" s="3" t="s">
        <v>2272</v>
      </c>
      <c r="U947" s="3" t="s">
        <v>2272</v>
      </c>
      <c r="V947" s="3" t="s">
        <v>2272</v>
      </c>
      <c r="W947" s="3" t="s">
        <v>2272</v>
      </c>
      <c r="X947" s="3" t="s">
        <v>2272</v>
      </c>
      <c r="Y947" s="3" t="s">
        <v>33</v>
      </c>
      <c r="Z947" s="3" t="s">
        <v>33</v>
      </c>
      <c r="AA947" s="3" t="s">
        <v>2650</v>
      </c>
      <c r="AB947" s="3"/>
      <c r="AC947" s="3"/>
    </row>
    <row r="948" spans="1:29"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2272</v>
      </c>
      <c r="K948" s="198" t="s">
        <v>2272</v>
      </c>
      <c r="L948" s="3" t="s">
        <v>2272</v>
      </c>
      <c r="M948" s="3" t="s">
        <v>2272</v>
      </c>
      <c r="N948" s="3" t="s">
        <v>2272</v>
      </c>
      <c r="O948" s="3" t="s">
        <v>2272</v>
      </c>
      <c r="P948" s="3" t="s">
        <v>2272</v>
      </c>
      <c r="Q948" s="3" t="s">
        <v>2272</v>
      </c>
      <c r="R948" s="3" t="s">
        <v>2272</v>
      </c>
      <c r="S948" s="3" t="s">
        <v>2272</v>
      </c>
      <c r="T948" s="3" t="s">
        <v>2272</v>
      </c>
      <c r="U948" s="3" t="s">
        <v>2272</v>
      </c>
      <c r="V948" s="3" t="s">
        <v>2272</v>
      </c>
      <c r="W948" s="3" t="s">
        <v>2272</v>
      </c>
      <c r="X948" s="3" t="s">
        <v>2272</v>
      </c>
      <c r="Y948" s="3" t="s">
        <v>33</v>
      </c>
      <c r="Z948" s="3" t="s">
        <v>33</v>
      </c>
      <c r="AA948" s="3" t="s">
        <v>2650</v>
      </c>
      <c r="AB948" s="3"/>
      <c r="AC948" s="3"/>
    </row>
    <row r="949" spans="1:29"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2272</v>
      </c>
      <c r="K949" s="198" t="s">
        <v>2272</v>
      </c>
      <c r="L949" s="3" t="s">
        <v>2272</v>
      </c>
      <c r="M949" s="3" t="s">
        <v>2272</v>
      </c>
      <c r="N949" s="3" t="s">
        <v>2272</v>
      </c>
      <c r="O949" s="3" t="s">
        <v>2272</v>
      </c>
      <c r="P949" s="3" t="s">
        <v>2272</v>
      </c>
      <c r="Q949" s="3" t="s">
        <v>2272</v>
      </c>
      <c r="R949" s="3" t="s">
        <v>2272</v>
      </c>
      <c r="S949" s="3" t="s">
        <v>2272</v>
      </c>
      <c r="T949" s="3" t="s">
        <v>2272</v>
      </c>
      <c r="U949" s="14" t="s">
        <v>2386</v>
      </c>
      <c r="V949" s="3" t="s">
        <v>2272</v>
      </c>
      <c r="W949" s="3" t="s">
        <v>2272</v>
      </c>
      <c r="X949" s="21" t="s">
        <v>2370</v>
      </c>
      <c r="Y949" s="3" t="s">
        <v>84</v>
      </c>
      <c r="Z949" s="3" t="s">
        <v>423</v>
      </c>
      <c r="AA949" s="3" t="s">
        <v>63</v>
      </c>
      <c r="AB949" s="4" t="s">
        <v>3020</v>
      </c>
      <c r="AC949" s="4" t="s">
        <v>3026</v>
      </c>
    </row>
    <row r="950" spans="1:29"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2359</v>
      </c>
      <c r="K950" s="21" t="s">
        <v>2359</v>
      </c>
      <c r="L950" s="21" t="s">
        <v>2359</v>
      </c>
      <c r="M950" s="21" t="s">
        <v>2359</v>
      </c>
      <c r="N950" s="21" t="s">
        <v>2359</v>
      </c>
      <c r="O950" s="21" t="s">
        <v>2359</v>
      </c>
      <c r="P950" s="21" t="s">
        <v>2359</v>
      </c>
      <c r="Q950" s="21" t="s">
        <v>2359</v>
      </c>
      <c r="R950" s="21" t="s">
        <v>2359</v>
      </c>
      <c r="S950" s="21" t="s">
        <v>2359</v>
      </c>
      <c r="T950" s="21" t="s">
        <v>2359</v>
      </c>
      <c r="U950" s="21" t="s">
        <v>2359</v>
      </c>
      <c r="V950" s="21" t="s">
        <v>2359</v>
      </c>
      <c r="W950" s="21" t="s">
        <v>2359</v>
      </c>
      <c r="X950" s="21" t="s">
        <v>2272</v>
      </c>
      <c r="Y950" s="3" t="s">
        <v>2272</v>
      </c>
      <c r="Z950" s="3" t="s">
        <v>2272</v>
      </c>
      <c r="AA950" s="3" t="s">
        <v>2272</v>
      </c>
      <c r="AB950" s="4" t="s">
        <v>3021</v>
      </c>
      <c r="AC950" s="3"/>
    </row>
    <row r="951" spans="1:29"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2272</v>
      </c>
      <c r="K951" s="198" t="s">
        <v>2272</v>
      </c>
      <c r="L951" s="3" t="s">
        <v>2272</v>
      </c>
      <c r="M951" s="3" t="s">
        <v>2272</v>
      </c>
      <c r="N951" s="3" t="s">
        <v>2272</v>
      </c>
      <c r="O951" s="3" t="s">
        <v>2272</v>
      </c>
      <c r="P951" s="3" t="s">
        <v>2272</v>
      </c>
      <c r="Q951" s="3" t="s">
        <v>2272</v>
      </c>
      <c r="R951" s="3" t="s">
        <v>2272</v>
      </c>
      <c r="S951" s="3" t="s">
        <v>2272</v>
      </c>
      <c r="T951" s="3" t="s">
        <v>2272</v>
      </c>
      <c r="U951" s="3" t="s">
        <v>2272</v>
      </c>
      <c r="V951" s="3" t="s">
        <v>2272</v>
      </c>
      <c r="W951" s="3" t="s">
        <v>2272</v>
      </c>
      <c r="X951" s="3" t="s">
        <v>2272</v>
      </c>
      <c r="Y951" s="3" t="s">
        <v>84</v>
      </c>
      <c r="Z951" s="3" t="s">
        <v>423</v>
      </c>
      <c r="AA951" s="3" t="s">
        <v>63</v>
      </c>
      <c r="AB951" s="3"/>
      <c r="AC951" s="3"/>
    </row>
    <row r="952" spans="1:29"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2272</v>
      </c>
      <c r="K952" s="198" t="s">
        <v>2272</v>
      </c>
      <c r="L952" s="3" t="s">
        <v>2272</v>
      </c>
      <c r="M952" s="3" t="s">
        <v>2272</v>
      </c>
      <c r="N952" s="3" t="s">
        <v>2272</v>
      </c>
      <c r="O952" s="3" t="s">
        <v>2272</v>
      </c>
      <c r="P952" s="3" t="s">
        <v>2272</v>
      </c>
      <c r="Q952" s="3" t="s">
        <v>2272</v>
      </c>
      <c r="R952" s="3" t="s">
        <v>2272</v>
      </c>
      <c r="S952" s="3" t="s">
        <v>2272</v>
      </c>
      <c r="T952" s="3" t="s">
        <v>2272</v>
      </c>
      <c r="U952" s="3" t="s">
        <v>2272</v>
      </c>
      <c r="V952" s="3" t="s">
        <v>2272</v>
      </c>
      <c r="W952" s="3" t="s">
        <v>2272</v>
      </c>
      <c r="X952" s="3" t="s">
        <v>2272</v>
      </c>
      <c r="Y952" s="3" t="s">
        <v>84</v>
      </c>
      <c r="Z952" s="3" t="s">
        <v>423</v>
      </c>
      <c r="AA952" s="3" t="s">
        <v>63</v>
      </c>
      <c r="AB952" s="4" t="s">
        <v>3022</v>
      </c>
      <c r="AC952" s="3"/>
    </row>
    <row r="953" spans="1:29"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2272</v>
      </c>
      <c r="K953" s="198" t="s">
        <v>2272</v>
      </c>
      <c r="L953" s="3" t="s">
        <v>2272</v>
      </c>
      <c r="M953" s="3" t="s">
        <v>2272</v>
      </c>
      <c r="N953" s="3" t="s">
        <v>2272</v>
      </c>
      <c r="O953" s="3" t="s">
        <v>2272</v>
      </c>
      <c r="P953" s="3" t="s">
        <v>2272</v>
      </c>
      <c r="Q953" s="3" t="s">
        <v>2272</v>
      </c>
      <c r="R953" s="3" t="s">
        <v>2272</v>
      </c>
      <c r="S953" s="3" t="s">
        <v>2272</v>
      </c>
      <c r="T953" s="3" t="s">
        <v>2272</v>
      </c>
      <c r="U953" s="14" t="s">
        <v>2384</v>
      </c>
      <c r="V953" s="3" t="s">
        <v>2272</v>
      </c>
      <c r="W953" s="3" t="s">
        <v>2272</v>
      </c>
      <c r="X953" s="21" t="s">
        <v>2396</v>
      </c>
      <c r="Y953" s="3" t="s">
        <v>403</v>
      </c>
      <c r="Z953" s="3" t="s">
        <v>423</v>
      </c>
      <c r="AA953" s="3" t="s">
        <v>63</v>
      </c>
      <c r="AB953" s="4" t="s">
        <v>3027</v>
      </c>
      <c r="AC953" s="4" t="s">
        <v>3026</v>
      </c>
    </row>
    <row r="954" spans="1:29"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2272</v>
      </c>
      <c r="K954" s="198" t="s">
        <v>2272</v>
      </c>
      <c r="L954" s="3" t="s">
        <v>2272</v>
      </c>
      <c r="M954" s="3" t="s">
        <v>2272</v>
      </c>
      <c r="N954" s="3" t="s">
        <v>2272</v>
      </c>
      <c r="O954" s="3" t="s">
        <v>2272</v>
      </c>
      <c r="P954" s="3" t="s">
        <v>2272</v>
      </c>
      <c r="Q954" s="3" t="s">
        <v>2272</v>
      </c>
      <c r="R954" s="3" t="s">
        <v>2272</v>
      </c>
      <c r="S954" s="3" t="s">
        <v>2272</v>
      </c>
      <c r="T954" s="3" t="s">
        <v>2272</v>
      </c>
      <c r="U954" s="3" t="s">
        <v>2272</v>
      </c>
      <c r="V954" s="3" t="s">
        <v>2272</v>
      </c>
      <c r="W954" s="3" t="s">
        <v>2272</v>
      </c>
      <c r="X954" s="3" t="s">
        <v>2272</v>
      </c>
      <c r="Y954" s="3" t="s">
        <v>84</v>
      </c>
      <c r="Z954" s="3" t="s">
        <v>423</v>
      </c>
      <c r="AA954" s="3" t="s">
        <v>75</v>
      </c>
      <c r="AB954" s="3" t="s">
        <v>3025</v>
      </c>
      <c r="AC954" s="3"/>
    </row>
    <row r="955" spans="1:29"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2272</v>
      </c>
      <c r="K955" s="198" t="s">
        <v>2272</v>
      </c>
      <c r="L955" s="3" t="s">
        <v>2272</v>
      </c>
      <c r="M955" s="3" t="s">
        <v>2272</v>
      </c>
      <c r="N955" s="3" t="s">
        <v>2272</v>
      </c>
      <c r="O955" s="3" t="s">
        <v>2272</v>
      </c>
      <c r="P955" s="3" t="s">
        <v>2272</v>
      </c>
      <c r="Q955" s="3" t="s">
        <v>2272</v>
      </c>
      <c r="R955" s="3" t="s">
        <v>2272</v>
      </c>
      <c r="S955" s="3" t="s">
        <v>2272</v>
      </c>
      <c r="T955" s="3" t="s">
        <v>2272</v>
      </c>
      <c r="U955" s="3" t="s">
        <v>2272</v>
      </c>
      <c r="V955" s="3" t="s">
        <v>2272</v>
      </c>
      <c r="W955" s="3" t="s">
        <v>2272</v>
      </c>
      <c r="X955" s="3" t="s">
        <v>2272</v>
      </c>
      <c r="Y955" s="3" t="s">
        <v>67</v>
      </c>
      <c r="Z955" s="3" t="s">
        <v>34</v>
      </c>
      <c r="AA955" s="3" t="s">
        <v>63</v>
      </c>
      <c r="AB955" s="4" t="s">
        <v>3036</v>
      </c>
      <c r="AC955" s="3"/>
    </row>
    <row r="956" spans="1:29"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2272</v>
      </c>
      <c r="K956" s="198" t="s">
        <v>2272</v>
      </c>
      <c r="L956" s="3" t="s">
        <v>2272</v>
      </c>
      <c r="M956" s="3" t="s">
        <v>2272</v>
      </c>
      <c r="N956" s="3" t="s">
        <v>2272</v>
      </c>
      <c r="O956" s="3" t="s">
        <v>2272</v>
      </c>
      <c r="P956" s="3" t="s">
        <v>2272</v>
      </c>
      <c r="Q956" s="3" t="s">
        <v>2272</v>
      </c>
      <c r="R956" s="3" t="s">
        <v>2272</v>
      </c>
      <c r="S956" s="3" t="s">
        <v>2272</v>
      </c>
      <c r="T956" s="3" t="s">
        <v>2272</v>
      </c>
      <c r="U956" s="3" t="s">
        <v>2272</v>
      </c>
      <c r="V956" s="3" t="s">
        <v>2272</v>
      </c>
      <c r="W956" s="3" t="s">
        <v>2272</v>
      </c>
      <c r="X956" s="3" t="s">
        <v>2272</v>
      </c>
      <c r="Y956" s="3" t="s">
        <v>67</v>
      </c>
      <c r="Z956" s="3" t="s">
        <v>37</v>
      </c>
      <c r="AA956" s="3" t="s">
        <v>2272</v>
      </c>
      <c r="AB956" s="3"/>
      <c r="AC956" s="3"/>
    </row>
    <row r="957" spans="1:29"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2272</v>
      </c>
      <c r="K957" s="198" t="s">
        <v>2272</v>
      </c>
      <c r="L957" s="3" t="s">
        <v>2272</v>
      </c>
      <c r="M957" s="3" t="s">
        <v>2272</v>
      </c>
      <c r="N957" s="3" t="s">
        <v>2272</v>
      </c>
      <c r="O957" s="3" t="s">
        <v>2272</v>
      </c>
      <c r="P957" s="3" t="s">
        <v>2272</v>
      </c>
      <c r="Q957" s="73" t="s">
        <v>2372</v>
      </c>
      <c r="R957" s="3" t="s">
        <v>2272</v>
      </c>
      <c r="S957" s="73" t="s">
        <v>2372</v>
      </c>
      <c r="T957" s="3" t="s">
        <v>2272</v>
      </c>
      <c r="U957" s="3" t="s">
        <v>2272</v>
      </c>
      <c r="V957" s="3" t="s">
        <v>2272</v>
      </c>
      <c r="W957" s="21" t="s">
        <v>2522</v>
      </c>
      <c r="X957" s="3" t="s">
        <v>2272</v>
      </c>
      <c r="Y957" s="22" t="s">
        <v>84</v>
      </c>
      <c r="Z957" s="22" t="s">
        <v>33</v>
      </c>
      <c r="AA957" s="22" t="s">
        <v>63</v>
      </c>
      <c r="AB957" s="22" t="s">
        <v>3055</v>
      </c>
      <c r="AC957" s="24" t="s">
        <v>5031</v>
      </c>
    </row>
    <row r="958" spans="1:29"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2272</v>
      </c>
      <c r="K958" s="198" t="s">
        <v>2272</v>
      </c>
      <c r="L958" s="3" t="s">
        <v>2272</v>
      </c>
      <c r="M958" s="3" t="s">
        <v>2272</v>
      </c>
      <c r="N958" s="3" t="s">
        <v>2272</v>
      </c>
      <c r="O958" s="3" t="s">
        <v>2272</v>
      </c>
      <c r="P958" s="3" t="s">
        <v>2272</v>
      </c>
      <c r="Q958" s="73" t="s">
        <v>2372</v>
      </c>
      <c r="R958" s="3" t="s">
        <v>2272</v>
      </c>
      <c r="S958" s="3" t="s">
        <v>2371</v>
      </c>
      <c r="T958" s="3" t="s">
        <v>2272</v>
      </c>
      <c r="U958" s="3" t="s">
        <v>2272</v>
      </c>
      <c r="V958" s="3" t="s">
        <v>2272</v>
      </c>
      <c r="W958" s="21" t="s">
        <v>2522</v>
      </c>
      <c r="X958" s="3" t="s">
        <v>2272</v>
      </c>
      <c r="Y958" s="22" t="s">
        <v>84</v>
      </c>
      <c r="Z958" s="22" t="s">
        <v>33</v>
      </c>
      <c r="AA958" s="22" t="s">
        <v>63</v>
      </c>
      <c r="AB958" s="22" t="s">
        <v>3054</v>
      </c>
      <c r="AC958" s="24" t="s">
        <v>5031</v>
      </c>
    </row>
    <row r="959" spans="1:29"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2272</v>
      </c>
      <c r="K959" s="198" t="s">
        <v>2272</v>
      </c>
      <c r="L959" s="3" t="s">
        <v>2272</v>
      </c>
      <c r="M959" s="3" t="s">
        <v>2272</v>
      </c>
      <c r="N959" s="3" t="s">
        <v>2272</v>
      </c>
      <c r="O959" s="3" t="s">
        <v>2272</v>
      </c>
      <c r="P959" s="3" t="s">
        <v>2272</v>
      </c>
      <c r="Q959" s="73" t="s">
        <v>2372</v>
      </c>
      <c r="R959" s="3" t="s">
        <v>2272</v>
      </c>
      <c r="S959" s="3" t="s">
        <v>2371</v>
      </c>
      <c r="T959" s="3" t="s">
        <v>2272</v>
      </c>
      <c r="U959" s="3" t="s">
        <v>2272</v>
      </c>
      <c r="V959" s="3" t="s">
        <v>2272</v>
      </c>
      <c r="W959" s="21" t="s">
        <v>2522</v>
      </c>
      <c r="X959" s="3" t="s">
        <v>2272</v>
      </c>
      <c r="Y959" s="22" t="s">
        <v>402</v>
      </c>
      <c r="Z959" s="22" t="s">
        <v>403</v>
      </c>
      <c r="AA959" s="22" t="s">
        <v>63</v>
      </c>
      <c r="AB959" s="22" t="s">
        <v>3054</v>
      </c>
      <c r="AC959" s="24" t="s">
        <v>5031</v>
      </c>
    </row>
    <row r="960" spans="1:29"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2272</v>
      </c>
      <c r="K960" s="198" t="s">
        <v>2272</v>
      </c>
      <c r="L960" s="3" t="s">
        <v>2272</v>
      </c>
      <c r="M960" s="3" t="s">
        <v>2272</v>
      </c>
      <c r="N960" s="3" t="s">
        <v>2272</v>
      </c>
      <c r="O960" s="3" t="s">
        <v>2272</v>
      </c>
      <c r="P960" s="3" t="s">
        <v>2272</v>
      </c>
      <c r="Q960" s="73" t="s">
        <v>2372</v>
      </c>
      <c r="R960" s="3" t="s">
        <v>2272</v>
      </c>
      <c r="S960" s="3" t="s">
        <v>2371</v>
      </c>
      <c r="T960" s="3" t="s">
        <v>2272</v>
      </c>
      <c r="U960" s="3" t="s">
        <v>2272</v>
      </c>
      <c r="V960" s="3" t="s">
        <v>2272</v>
      </c>
      <c r="W960" s="21" t="s">
        <v>2522</v>
      </c>
      <c r="X960" s="3" t="s">
        <v>2272</v>
      </c>
      <c r="Y960" s="22" t="s">
        <v>403</v>
      </c>
      <c r="Z960" s="22" t="s">
        <v>423</v>
      </c>
      <c r="AA960" s="22" t="s">
        <v>75</v>
      </c>
      <c r="AB960" s="24" t="s">
        <v>3073</v>
      </c>
      <c r="AC960" s="24" t="s">
        <v>5031</v>
      </c>
    </row>
    <row r="961" spans="1:29"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2272</v>
      </c>
      <c r="K961" s="198" t="s">
        <v>2272</v>
      </c>
      <c r="L961" s="3" t="s">
        <v>2272</v>
      </c>
      <c r="M961" s="3" t="s">
        <v>2272</v>
      </c>
      <c r="N961" s="3" t="s">
        <v>2272</v>
      </c>
      <c r="O961" s="73" t="s">
        <v>2372</v>
      </c>
      <c r="P961" s="3" t="s">
        <v>2272</v>
      </c>
      <c r="Q961" s="3" t="s">
        <v>2272</v>
      </c>
      <c r="R961" s="3" t="s">
        <v>2272</v>
      </c>
      <c r="S961" s="3" t="s">
        <v>2272</v>
      </c>
      <c r="T961" s="3" t="s">
        <v>2272</v>
      </c>
      <c r="U961" s="3" t="s">
        <v>2272</v>
      </c>
      <c r="V961" s="3" t="s">
        <v>2272</v>
      </c>
      <c r="W961" s="3" t="s">
        <v>2272</v>
      </c>
      <c r="X961" s="3" t="s">
        <v>2272</v>
      </c>
      <c r="Y961" s="22" t="s">
        <v>67</v>
      </c>
      <c r="Z961" s="22" t="s">
        <v>34</v>
      </c>
      <c r="AA961" s="22" t="s">
        <v>63</v>
      </c>
      <c r="AB961" s="24" t="s">
        <v>3051</v>
      </c>
      <c r="AC961" s="22" t="s">
        <v>3074</v>
      </c>
    </row>
    <row r="962" spans="1:29"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2272</v>
      </c>
      <c r="K962" s="198" t="s">
        <v>2272</v>
      </c>
      <c r="L962" s="3" t="s">
        <v>2272</v>
      </c>
      <c r="M962" s="3" t="s">
        <v>2272</v>
      </c>
      <c r="N962" s="3" t="s">
        <v>2272</v>
      </c>
      <c r="O962" s="3" t="s">
        <v>2272</v>
      </c>
      <c r="P962" s="3" t="s">
        <v>2272</v>
      </c>
      <c r="Q962" s="73" t="s">
        <v>2372</v>
      </c>
      <c r="R962" s="3" t="s">
        <v>2272</v>
      </c>
      <c r="S962" s="3" t="s">
        <v>2371</v>
      </c>
      <c r="T962" s="3" t="s">
        <v>2272</v>
      </c>
      <c r="U962" s="3" t="s">
        <v>2272</v>
      </c>
      <c r="V962" s="3" t="s">
        <v>2272</v>
      </c>
      <c r="W962" s="3" t="s">
        <v>2272</v>
      </c>
      <c r="X962" s="3" t="s">
        <v>2272</v>
      </c>
      <c r="Y962" s="22" t="s">
        <v>67</v>
      </c>
      <c r="Z962" s="22" t="s">
        <v>34</v>
      </c>
      <c r="AA962" s="22" t="s">
        <v>63</v>
      </c>
      <c r="AB962" s="24" t="s">
        <v>3050</v>
      </c>
      <c r="AC962" s="24" t="s">
        <v>5031</v>
      </c>
    </row>
    <row r="963" spans="1:29"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2272</v>
      </c>
      <c r="K963" s="198" t="s">
        <v>2272</v>
      </c>
      <c r="L963" s="3" t="s">
        <v>2272</v>
      </c>
      <c r="M963" s="3" t="s">
        <v>2272</v>
      </c>
      <c r="N963" s="3" t="s">
        <v>2272</v>
      </c>
      <c r="O963" s="73" t="s">
        <v>2379</v>
      </c>
      <c r="P963" s="3" t="s">
        <v>2272</v>
      </c>
      <c r="Q963" s="3" t="s">
        <v>2272</v>
      </c>
      <c r="R963" s="3" t="s">
        <v>2272</v>
      </c>
      <c r="S963" s="3" t="s">
        <v>2272</v>
      </c>
      <c r="T963" s="3" t="s">
        <v>2272</v>
      </c>
      <c r="U963" s="3" t="s">
        <v>2272</v>
      </c>
      <c r="V963" s="3" t="s">
        <v>2272</v>
      </c>
      <c r="W963" s="21" t="s">
        <v>2522</v>
      </c>
      <c r="X963" s="3" t="s">
        <v>2272</v>
      </c>
      <c r="Y963" s="22" t="s">
        <v>403</v>
      </c>
      <c r="Z963" s="22" t="s">
        <v>423</v>
      </c>
      <c r="AA963" s="22" t="s">
        <v>75</v>
      </c>
      <c r="AB963" s="24" t="s">
        <v>3089</v>
      </c>
      <c r="AC963" s="22" t="s">
        <v>3075</v>
      </c>
    </row>
    <row r="964" spans="1:29"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2272</v>
      </c>
      <c r="K964" s="198" t="s">
        <v>2272</v>
      </c>
      <c r="L964" s="3" t="s">
        <v>2272</v>
      </c>
      <c r="M964" s="3" t="s">
        <v>2272</v>
      </c>
      <c r="N964" s="3" t="s">
        <v>2272</v>
      </c>
      <c r="O964" s="3" t="s">
        <v>2272</v>
      </c>
      <c r="P964" s="3" t="s">
        <v>2272</v>
      </c>
      <c r="Q964" s="73" t="s">
        <v>2372</v>
      </c>
      <c r="R964" s="3" t="s">
        <v>2272</v>
      </c>
      <c r="S964" s="3" t="s">
        <v>2371</v>
      </c>
      <c r="T964" s="3" t="s">
        <v>2272</v>
      </c>
      <c r="U964" s="3" t="s">
        <v>2272</v>
      </c>
      <c r="V964" s="3" t="s">
        <v>2272</v>
      </c>
      <c r="W964" s="21" t="s">
        <v>2522</v>
      </c>
      <c r="X964" s="3" t="s">
        <v>2272</v>
      </c>
      <c r="Y964" s="22" t="s">
        <v>84</v>
      </c>
      <c r="Z964" s="22" t="s">
        <v>33</v>
      </c>
      <c r="AA964" s="22" t="s">
        <v>63</v>
      </c>
      <c r="AB964" s="22" t="s">
        <v>3055</v>
      </c>
      <c r="AC964" s="24" t="s">
        <v>5031</v>
      </c>
    </row>
    <row r="965" spans="1:29"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2272</v>
      </c>
      <c r="K965" s="198" t="s">
        <v>2272</v>
      </c>
      <c r="L965" s="3" t="s">
        <v>2272</v>
      </c>
      <c r="M965" s="3" t="s">
        <v>2272</v>
      </c>
      <c r="N965" s="3" t="s">
        <v>2272</v>
      </c>
      <c r="O965" s="3" t="s">
        <v>2272</v>
      </c>
      <c r="P965" s="3" t="s">
        <v>2272</v>
      </c>
      <c r="Q965" s="73" t="s">
        <v>2372</v>
      </c>
      <c r="R965" s="3" t="s">
        <v>2272</v>
      </c>
      <c r="S965" s="3" t="s">
        <v>2371</v>
      </c>
      <c r="T965" s="3" t="s">
        <v>2272</v>
      </c>
      <c r="U965" s="3" t="s">
        <v>2272</v>
      </c>
      <c r="V965" s="3" t="s">
        <v>2272</v>
      </c>
      <c r="W965" s="21" t="s">
        <v>2522</v>
      </c>
      <c r="X965" s="3" t="s">
        <v>2272</v>
      </c>
      <c r="Y965" s="22" t="s">
        <v>84</v>
      </c>
      <c r="Z965" s="22" t="s">
        <v>33</v>
      </c>
      <c r="AA965" s="22" t="s">
        <v>63</v>
      </c>
      <c r="AB965" s="22" t="s">
        <v>3054</v>
      </c>
      <c r="AC965" s="24" t="s">
        <v>5031</v>
      </c>
    </row>
    <row r="966" spans="1:29"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2272</v>
      </c>
      <c r="K966" s="198" t="s">
        <v>2272</v>
      </c>
      <c r="L966" s="3" t="s">
        <v>2272</v>
      </c>
      <c r="M966" s="3" t="s">
        <v>2272</v>
      </c>
      <c r="N966" s="3" t="s">
        <v>2272</v>
      </c>
      <c r="O966" s="3" t="s">
        <v>2272</v>
      </c>
      <c r="P966" s="3" t="s">
        <v>2272</v>
      </c>
      <c r="Q966" s="73" t="s">
        <v>2372</v>
      </c>
      <c r="R966" s="3" t="s">
        <v>2272</v>
      </c>
      <c r="S966" s="3" t="s">
        <v>2371</v>
      </c>
      <c r="T966" s="3" t="s">
        <v>2272</v>
      </c>
      <c r="U966" s="3" t="s">
        <v>2272</v>
      </c>
      <c r="V966" s="3" t="s">
        <v>2272</v>
      </c>
      <c r="W966" s="21" t="s">
        <v>2369</v>
      </c>
      <c r="X966" s="3" t="s">
        <v>2272</v>
      </c>
      <c r="Y966" s="22" t="s">
        <v>402</v>
      </c>
      <c r="Z966" s="22" t="s">
        <v>403</v>
      </c>
      <c r="AA966" s="22" t="s">
        <v>63</v>
      </c>
      <c r="AB966" s="22" t="s">
        <v>3054</v>
      </c>
      <c r="AC966" s="24" t="s">
        <v>5031</v>
      </c>
    </row>
    <row r="967" spans="1:29"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2272</v>
      </c>
      <c r="K967" s="198" t="s">
        <v>2272</v>
      </c>
      <c r="L967" s="3" t="s">
        <v>2272</v>
      </c>
      <c r="M967" s="3" t="s">
        <v>2272</v>
      </c>
      <c r="N967" s="3" t="s">
        <v>2272</v>
      </c>
      <c r="O967" s="3" t="s">
        <v>2272</v>
      </c>
      <c r="P967" s="3" t="s">
        <v>2272</v>
      </c>
      <c r="Q967" s="73" t="s">
        <v>2372</v>
      </c>
      <c r="R967" s="3" t="s">
        <v>2272</v>
      </c>
      <c r="S967" s="3" t="s">
        <v>2371</v>
      </c>
      <c r="T967" s="3" t="s">
        <v>2272</v>
      </c>
      <c r="U967" s="3" t="s">
        <v>2272</v>
      </c>
      <c r="V967" s="3" t="s">
        <v>2272</v>
      </c>
      <c r="W967" s="21" t="s">
        <v>2522</v>
      </c>
      <c r="X967" s="3" t="s">
        <v>2272</v>
      </c>
      <c r="Y967" s="22" t="s">
        <v>403</v>
      </c>
      <c r="Z967" s="22" t="s">
        <v>423</v>
      </c>
      <c r="AA967" s="22" t="s">
        <v>75</v>
      </c>
      <c r="AB967" s="24" t="s">
        <v>3073</v>
      </c>
      <c r="AC967" s="24" t="s">
        <v>5031</v>
      </c>
    </row>
    <row r="968" spans="1:29"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2272</v>
      </c>
      <c r="K968" s="198" t="s">
        <v>2272</v>
      </c>
      <c r="L968" s="3" t="s">
        <v>2272</v>
      </c>
      <c r="M968" s="3" t="s">
        <v>2272</v>
      </c>
      <c r="N968" s="3" t="s">
        <v>2272</v>
      </c>
      <c r="O968" s="73" t="s">
        <v>2372</v>
      </c>
      <c r="P968" s="3" t="s">
        <v>2272</v>
      </c>
      <c r="Q968" s="3" t="s">
        <v>2272</v>
      </c>
      <c r="R968" s="3" t="s">
        <v>2272</v>
      </c>
      <c r="S968" s="3" t="s">
        <v>2272</v>
      </c>
      <c r="T968" s="3" t="s">
        <v>2272</v>
      </c>
      <c r="U968" s="3" t="s">
        <v>2272</v>
      </c>
      <c r="V968" s="3" t="s">
        <v>2272</v>
      </c>
      <c r="W968" s="3" t="s">
        <v>2272</v>
      </c>
      <c r="X968" s="3" t="s">
        <v>2272</v>
      </c>
      <c r="Y968" s="22" t="s">
        <v>67</v>
      </c>
      <c r="Z968" s="22" t="s">
        <v>34</v>
      </c>
      <c r="AA968" s="22" t="s">
        <v>63</v>
      </c>
      <c r="AB968" s="24" t="s">
        <v>3051</v>
      </c>
      <c r="AC968" s="22" t="s">
        <v>3074</v>
      </c>
    </row>
    <row r="969" spans="1:29"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2272</v>
      </c>
      <c r="K969" s="198" t="s">
        <v>2272</v>
      </c>
      <c r="L969" s="3" t="s">
        <v>2272</v>
      </c>
      <c r="M969" s="3" t="s">
        <v>2272</v>
      </c>
      <c r="N969" s="3" t="s">
        <v>2272</v>
      </c>
      <c r="O969" s="3" t="s">
        <v>2272</v>
      </c>
      <c r="P969" s="3" t="s">
        <v>2272</v>
      </c>
      <c r="Q969" s="73" t="s">
        <v>2372</v>
      </c>
      <c r="R969" s="3" t="s">
        <v>2272</v>
      </c>
      <c r="S969" s="3" t="s">
        <v>2371</v>
      </c>
      <c r="T969" s="3" t="s">
        <v>2272</v>
      </c>
      <c r="U969" s="3" t="s">
        <v>2272</v>
      </c>
      <c r="V969" s="3" t="s">
        <v>2272</v>
      </c>
      <c r="W969" s="3" t="s">
        <v>2272</v>
      </c>
      <c r="X969" s="3" t="s">
        <v>2272</v>
      </c>
      <c r="Y969" s="22" t="s">
        <v>67</v>
      </c>
      <c r="Z969" s="22" t="s">
        <v>34</v>
      </c>
      <c r="AA969" s="22" t="s">
        <v>63</v>
      </c>
      <c r="AB969" s="24" t="s">
        <v>3050</v>
      </c>
      <c r="AC969" s="24" t="s">
        <v>5031</v>
      </c>
    </row>
    <row r="970" spans="1:29"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2272</v>
      </c>
      <c r="K970" s="198" t="s">
        <v>2272</v>
      </c>
      <c r="L970" s="3" t="s">
        <v>2272</v>
      </c>
      <c r="M970" s="3" t="s">
        <v>2272</v>
      </c>
      <c r="N970" s="3" t="s">
        <v>2272</v>
      </c>
      <c r="O970" s="73" t="s">
        <v>2379</v>
      </c>
      <c r="P970" s="3" t="s">
        <v>2272</v>
      </c>
      <c r="Q970" s="3" t="s">
        <v>2272</v>
      </c>
      <c r="R970" s="3" t="s">
        <v>2272</v>
      </c>
      <c r="S970" s="3" t="s">
        <v>2272</v>
      </c>
      <c r="T970" s="3" t="s">
        <v>2272</v>
      </c>
      <c r="U970" s="3" t="s">
        <v>2272</v>
      </c>
      <c r="V970" s="3" t="s">
        <v>2272</v>
      </c>
      <c r="W970" s="21" t="s">
        <v>2369</v>
      </c>
      <c r="X970" s="3" t="s">
        <v>2272</v>
      </c>
      <c r="Y970" s="22" t="s">
        <v>403</v>
      </c>
      <c r="Z970" s="22" t="s">
        <v>423</v>
      </c>
      <c r="AA970" s="22" t="s">
        <v>75</v>
      </c>
      <c r="AB970" s="24" t="s">
        <v>3089</v>
      </c>
      <c r="AC970" s="22" t="s">
        <v>3075</v>
      </c>
    </row>
    <row r="971" spans="1:29"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3">
        <v>0</v>
      </c>
      <c r="K971" s="73">
        <v>0</v>
      </c>
      <c r="L971" s="73">
        <v>0</v>
      </c>
      <c r="M971" s="73">
        <v>0</v>
      </c>
      <c r="N971" s="73">
        <v>0</v>
      </c>
      <c r="O971" s="73">
        <v>0</v>
      </c>
      <c r="P971" s="73">
        <v>0</v>
      </c>
      <c r="Q971" s="73">
        <v>0</v>
      </c>
      <c r="R971" s="73">
        <v>0</v>
      </c>
      <c r="S971" s="73">
        <v>0</v>
      </c>
      <c r="T971" s="73">
        <v>0</v>
      </c>
      <c r="U971" s="73">
        <v>0</v>
      </c>
      <c r="V971" s="73">
        <v>0</v>
      </c>
      <c r="W971" s="73">
        <v>0</v>
      </c>
      <c r="X971" s="3" t="s">
        <v>2272</v>
      </c>
      <c r="Y971" s="22" t="s">
        <v>397</v>
      </c>
      <c r="Z971" s="22" t="s">
        <v>125</v>
      </c>
      <c r="AA971" s="22"/>
      <c r="AB971" s="22" t="s">
        <v>3069</v>
      </c>
      <c r="AC971" s="22"/>
    </row>
    <row r="972" spans="1:29"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48">
        <v>2014</v>
      </c>
      <c r="J972" s="3" t="s">
        <v>2272</v>
      </c>
      <c r="K972" s="198" t="s">
        <v>2272</v>
      </c>
      <c r="L972" s="3" t="s">
        <v>2272</v>
      </c>
      <c r="M972" s="3" t="s">
        <v>2272</v>
      </c>
      <c r="N972" s="3" t="s">
        <v>2272</v>
      </c>
      <c r="O972" s="3" t="s">
        <v>2272</v>
      </c>
      <c r="P972" s="3" t="s">
        <v>2272</v>
      </c>
      <c r="Q972" s="3" t="s">
        <v>2272</v>
      </c>
      <c r="R972" s="3" t="s">
        <v>2272</v>
      </c>
      <c r="S972" s="3" t="s">
        <v>2272</v>
      </c>
      <c r="T972" s="3" t="s">
        <v>2272</v>
      </c>
      <c r="U972" s="3" t="s">
        <v>2272</v>
      </c>
      <c r="V972" s="3" t="s">
        <v>2272</v>
      </c>
      <c r="W972" s="21" t="s">
        <v>2369</v>
      </c>
      <c r="X972" s="3" t="s">
        <v>2272</v>
      </c>
      <c r="Y972" s="22" t="s">
        <v>84</v>
      </c>
      <c r="Z972" s="22" t="s">
        <v>33</v>
      </c>
      <c r="AA972" s="22" t="s">
        <v>63</v>
      </c>
      <c r="AB972" s="24"/>
      <c r="AC972" s="24"/>
    </row>
    <row r="973" spans="1:29"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48">
        <v>2014</v>
      </c>
      <c r="J973" s="3" t="s">
        <v>2272</v>
      </c>
      <c r="K973" s="198" t="s">
        <v>2272</v>
      </c>
      <c r="L973" s="3" t="s">
        <v>2272</v>
      </c>
      <c r="M973" s="3" t="s">
        <v>2272</v>
      </c>
      <c r="N973" s="3" t="s">
        <v>2272</v>
      </c>
      <c r="O973" s="3" t="s">
        <v>2272</v>
      </c>
      <c r="P973" s="3" t="s">
        <v>2272</v>
      </c>
      <c r="Q973" s="3" t="s">
        <v>2272</v>
      </c>
      <c r="R973" s="3" t="s">
        <v>2272</v>
      </c>
      <c r="S973" s="3" t="s">
        <v>2272</v>
      </c>
      <c r="T973" s="3" t="s">
        <v>2272</v>
      </c>
      <c r="U973" s="3" t="s">
        <v>2272</v>
      </c>
      <c r="V973" s="3" t="s">
        <v>2272</v>
      </c>
      <c r="W973" s="21" t="s">
        <v>2369</v>
      </c>
      <c r="X973" s="3" t="s">
        <v>2272</v>
      </c>
      <c r="Y973" s="22" t="s">
        <v>33</v>
      </c>
      <c r="Z973" s="22" t="s">
        <v>403</v>
      </c>
      <c r="AA973" s="22" t="s">
        <v>63</v>
      </c>
      <c r="AB973" s="24"/>
      <c r="AC973" s="24"/>
    </row>
    <row r="974" spans="1:29"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48">
        <v>2014</v>
      </c>
      <c r="J974" s="3" t="s">
        <v>2272</v>
      </c>
      <c r="K974" s="198" t="s">
        <v>2272</v>
      </c>
      <c r="L974" s="3" t="s">
        <v>2272</v>
      </c>
      <c r="M974" s="3" t="s">
        <v>2272</v>
      </c>
      <c r="N974" s="3" t="s">
        <v>2272</v>
      </c>
      <c r="O974" s="73" t="s">
        <v>2380</v>
      </c>
      <c r="P974" s="3" t="s">
        <v>2272</v>
      </c>
      <c r="Q974" s="3" t="s">
        <v>2272</v>
      </c>
      <c r="R974" s="3" t="s">
        <v>2272</v>
      </c>
      <c r="S974" s="3" t="s">
        <v>2272</v>
      </c>
      <c r="T974" s="3" t="s">
        <v>2272</v>
      </c>
      <c r="U974" s="3" t="s">
        <v>2272</v>
      </c>
      <c r="V974" s="3" t="s">
        <v>2272</v>
      </c>
      <c r="W974" s="3" t="s">
        <v>2272</v>
      </c>
      <c r="X974" s="3" t="s">
        <v>2272</v>
      </c>
      <c r="Y974" s="22" t="s">
        <v>403</v>
      </c>
      <c r="Z974" s="22" t="s">
        <v>423</v>
      </c>
      <c r="AA974" s="22" t="s">
        <v>75</v>
      </c>
      <c r="AB974" s="24" t="s">
        <v>3078</v>
      </c>
      <c r="AC974" s="22"/>
    </row>
    <row r="975" spans="1:29"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48">
        <v>2015</v>
      </c>
      <c r="J975" s="3" t="s">
        <v>2272</v>
      </c>
      <c r="K975" s="198" t="s">
        <v>2272</v>
      </c>
      <c r="L975" s="3" t="s">
        <v>2272</v>
      </c>
      <c r="M975" s="3" t="s">
        <v>2272</v>
      </c>
      <c r="N975" s="3" t="s">
        <v>2272</v>
      </c>
      <c r="O975" s="3" t="s">
        <v>2272</v>
      </c>
      <c r="P975" s="3" t="s">
        <v>2272</v>
      </c>
      <c r="Q975" s="3" t="s">
        <v>2272</v>
      </c>
      <c r="R975" s="3" t="s">
        <v>2272</v>
      </c>
      <c r="S975" s="3" t="s">
        <v>2272</v>
      </c>
      <c r="T975" s="3" t="s">
        <v>2272</v>
      </c>
      <c r="U975" s="3" t="s">
        <v>2272</v>
      </c>
      <c r="V975" s="3" t="s">
        <v>2272</v>
      </c>
      <c r="W975" s="21" t="s">
        <v>2522</v>
      </c>
      <c r="X975" s="3" t="s">
        <v>2272</v>
      </c>
      <c r="Y975" s="22" t="s">
        <v>84</v>
      </c>
      <c r="Z975" s="22" t="s">
        <v>33</v>
      </c>
      <c r="AA975" s="22" t="s">
        <v>63</v>
      </c>
      <c r="AB975" s="24"/>
      <c r="AC975" s="24"/>
    </row>
    <row r="976" spans="1:29"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48">
        <v>2015</v>
      </c>
      <c r="J976" s="3" t="s">
        <v>2272</v>
      </c>
      <c r="K976" s="198" t="s">
        <v>2272</v>
      </c>
      <c r="L976" s="3" t="s">
        <v>2272</v>
      </c>
      <c r="M976" s="3" t="s">
        <v>2272</v>
      </c>
      <c r="N976" s="3" t="s">
        <v>2272</v>
      </c>
      <c r="O976" s="3" t="s">
        <v>2272</v>
      </c>
      <c r="P976" s="3" t="s">
        <v>2272</v>
      </c>
      <c r="Q976" s="3" t="s">
        <v>2272</v>
      </c>
      <c r="R976" s="3" t="s">
        <v>2272</v>
      </c>
      <c r="S976" s="3" t="s">
        <v>2272</v>
      </c>
      <c r="T976" s="3" t="s">
        <v>2272</v>
      </c>
      <c r="U976" s="3" t="s">
        <v>2272</v>
      </c>
      <c r="V976" s="3" t="s">
        <v>2272</v>
      </c>
      <c r="W976" s="21" t="s">
        <v>2522</v>
      </c>
      <c r="X976" s="3" t="s">
        <v>2272</v>
      </c>
      <c r="Y976" s="22" t="s">
        <v>33</v>
      </c>
      <c r="Z976" s="22" t="s">
        <v>403</v>
      </c>
      <c r="AA976" s="22" t="s">
        <v>63</v>
      </c>
      <c r="AB976" s="24"/>
      <c r="AC976" s="24"/>
    </row>
    <row r="977" spans="1:29"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48">
        <v>2015</v>
      </c>
      <c r="J977" s="3" t="s">
        <v>2272</v>
      </c>
      <c r="K977" s="198" t="s">
        <v>2272</v>
      </c>
      <c r="L977" s="3" t="s">
        <v>2272</v>
      </c>
      <c r="M977" s="3" t="s">
        <v>2272</v>
      </c>
      <c r="N977" s="3" t="s">
        <v>2272</v>
      </c>
      <c r="O977" s="21" t="s">
        <v>2379</v>
      </c>
      <c r="P977" s="3" t="s">
        <v>2272</v>
      </c>
      <c r="Q977" s="3" t="s">
        <v>2272</v>
      </c>
      <c r="R977" s="3" t="s">
        <v>2272</v>
      </c>
      <c r="S977" s="3" t="s">
        <v>2272</v>
      </c>
      <c r="T977" s="3" t="s">
        <v>2272</v>
      </c>
      <c r="U977" s="3" t="s">
        <v>2272</v>
      </c>
      <c r="V977" s="3" t="s">
        <v>2272</v>
      </c>
      <c r="W977" s="21" t="s">
        <v>2369</v>
      </c>
      <c r="X977" s="3" t="s">
        <v>2272</v>
      </c>
      <c r="Y977" s="22" t="s">
        <v>403</v>
      </c>
      <c r="Z977" s="22" t="s">
        <v>423</v>
      </c>
      <c r="AA977" s="22" t="s">
        <v>75</v>
      </c>
      <c r="AB977" s="24" t="s">
        <v>3070</v>
      </c>
      <c r="AC977" s="22"/>
    </row>
    <row r="978" spans="1:29"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3">
        <v>0</v>
      </c>
      <c r="K978" s="73">
        <v>0</v>
      </c>
      <c r="L978" s="73">
        <v>0</v>
      </c>
      <c r="M978" s="73">
        <v>0</v>
      </c>
      <c r="N978" s="73">
        <v>0</v>
      </c>
      <c r="O978" s="73">
        <v>0</v>
      </c>
      <c r="P978" s="73">
        <v>0</v>
      </c>
      <c r="Q978" s="73">
        <v>0</v>
      </c>
      <c r="R978" s="73">
        <v>0</v>
      </c>
      <c r="S978" s="73">
        <v>0</v>
      </c>
      <c r="T978" s="73">
        <v>0</v>
      </c>
      <c r="U978" s="73">
        <v>0</v>
      </c>
      <c r="V978" s="73">
        <v>0</v>
      </c>
      <c r="W978" s="73">
        <v>0</v>
      </c>
      <c r="X978" s="3" t="s">
        <v>2272</v>
      </c>
      <c r="Y978" s="22" t="s">
        <v>397</v>
      </c>
      <c r="Z978" s="22" t="s">
        <v>125</v>
      </c>
      <c r="AA978" s="22" t="s">
        <v>2272</v>
      </c>
      <c r="AB978" s="22" t="s">
        <v>3069</v>
      </c>
      <c r="AC978" s="22"/>
    </row>
    <row r="979" spans="1:29"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2272</v>
      </c>
      <c r="K979" s="198" t="s">
        <v>2272</v>
      </c>
      <c r="L979" s="3" t="s">
        <v>2272</v>
      </c>
      <c r="M979" s="3" t="s">
        <v>2272</v>
      </c>
      <c r="N979" s="3" t="s">
        <v>2272</v>
      </c>
      <c r="O979" s="3" t="s">
        <v>2272</v>
      </c>
      <c r="P979" s="3" t="s">
        <v>2272</v>
      </c>
      <c r="Q979" s="3" t="s">
        <v>2272</v>
      </c>
      <c r="R979" s="3" t="s">
        <v>2272</v>
      </c>
      <c r="S979" s="3" t="s">
        <v>2272</v>
      </c>
      <c r="T979" s="3" t="s">
        <v>2272</v>
      </c>
      <c r="U979" s="3" t="s">
        <v>2272</v>
      </c>
      <c r="V979" s="3" t="s">
        <v>2272</v>
      </c>
      <c r="W979" s="21" t="s">
        <v>2522</v>
      </c>
      <c r="X979" s="3" t="s">
        <v>2272</v>
      </c>
      <c r="Y979" s="22" t="s">
        <v>84</v>
      </c>
      <c r="Z979" s="22" t="s">
        <v>33</v>
      </c>
      <c r="AA979" s="22" t="s">
        <v>63</v>
      </c>
      <c r="AB979" s="24"/>
      <c r="AC979" s="24"/>
    </row>
    <row r="980" spans="1:29"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2272</v>
      </c>
      <c r="K980" s="198" t="s">
        <v>2272</v>
      </c>
      <c r="L980" s="3" t="s">
        <v>2272</v>
      </c>
      <c r="M980" s="3" t="s">
        <v>2272</v>
      </c>
      <c r="N980" s="3" t="s">
        <v>2272</v>
      </c>
      <c r="O980" s="3" t="s">
        <v>2272</v>
      </c>
      <c r="P980" s="3" t="s">
        <v>2272</v>
      </c>
      <c r="Q980" s="3" t="s">
        <v>2272</v>
      </c>
      <c r="R980" s="3" t="s">
        <v>2272</v>
      </c>
      <c r="S980" s="3" t="s">
        <v>2272</v>
      </c>
      <c r="T980" s="3" t="s">
        <v>2272</v>
      </c>
      <c r="U980" s="3" t="s">
        <v>2272</v>
      </c>
      <c r="V980" s="3" t="s">
        <v>2272</v>
      </c>
      <c r="W980" s="21" t="s">
        <v>2522</v>
      </c>
      <c r="X980" s="3" t="s">
        <v>2272</v>
      </c>
      <c r="Y980" s="22" t="s">
        <v>33</v>
      </c>
      <c r="Z980" s="22" t="s">
        <v>403</v>
      </c>
      <c r="AA980" s="22" t="s">
        <v>63</v>
      </c>
      <c r="AB980" s="24"/>
      <c r="AC980" s="24"/>
    </row>
    <row r="981" spans="1:29"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2272</v>
      </c>
      <c r="K981" s="198" t="s">
        <v>2272</v>
      </c>
      <c r="L981" s="3" t="s">
        <v>2272</v>
      </c>
      <c r="M981" s="3" t="s">
        <v>2272</v>
      </c>
      <c r="N981" s="3" t="s">
        <v>2272</v>
      </c>
      <c r="O981" s="21" t="s">
        <v>2379</v>
      </c>
      <c r="P981" s="3" t="s">
        <v>2272</v>
      </c>
      <c r="Q981" s="3" t="s">
        <v>2272</v>
      </c>
      <c r="R981" s="3" t="s">
        <v>2272</v>
      </c>
      <c r="S981" s="3" t="s">
        <v>2272</v>
      </c>
      <c r="T981" s="3" t="s">
        <v>2272</v>
      </c>
      <c r="U981" s="3" t="s">
        <v>2272</v>
      </c>
      <c r="V981" s="3" t="s">
        <v>2272</v>
      </c>
      <c r="W981" s="21" t="s">
        <v>2384</v>
      </c>
      <c r="X981" s="3" t="s">
        <v>2272</v>
      </c>
      <c r="Y981" s="22" t="s">
        <v>403</v>
      </c>
      <c r="Z981" s="22" t="s">
        <v>423</v>
      </c>
      <c r="AA981" s="22" t="s">
        <v>75</v>
      </c>
      <c r="AB981" s="24" t="s">
        <v>3078</v>
      </c>
      <c r="AC981" s="22"/>
    </row>
    <row r="982" spans="1:29"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2272</v>
      </c>
      <c r="K982" s="198" t="s">
        <v>2272</v>
      </c>
      <c r="L982" s="3" t="s">
        <v>2272</v>
      </c>
      <c r="M982" s="3" t="s">
        <v>2272</v>
      </c>
      <c r="N982" s="3" t="s">
        <v>2272</v>
      </c>
      <c r="O982" s="3" t="s">
        <v>2272</v>
      </c>
      <c r="P982" s="3" t="s">
        <v>2272</v>
      </c>
      <c r="Q982" s="3" t="s">
        <v>2272</v>
      </c>
      <c r="R982" s="3" t="s">
        <v>2272</v>
      </c>
      <c r="S982" s="3" t="s">
        <v>2272</v>
      </c>
      <c r="T982" s="3" t="s">
        <v>2272</v>
      </c>
      <c r="U982" s="3" t="s">
        <v>2272</v>
      </c>
      <c r="V982" s="3" t="s">
        <v>2272</v>
      </c>
      <c r="W982" s="21" t="s">
        <v>2369</v>
      </c>
      <c r="X982" s="3" t="s">
        <v>2272</v>
      </c>
      <c r="Y982" s="22" t="s">
        <v>84</v>
      </c>
      <c r="Z982" s="22" t="s">
        <v>33</v>
      </c>
      <c r="AA982" s="22" t="s">
        <v>63</v>
      </c>
      <c r="AB982" s="24"/>
      <c r="AC982" s="24"/>
    </row>
    <row r="983" spans="1:29"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2272</v>
      </c>
      <c r="K983" s="198" t="s">
        <v>2272</v>
      </c>
      <c r="L983" s="3" t="s">
        <v>2272</v>
      </c>
      <c r="M983" s="3" t="s">
        <v>2272</v>
      </c>
      <c r="N983" s="3" t="s">
        <v>2272</v>
      </c>
      <c r="O983" s="3" t="s">
        <v>2272</v>
      </c>
      <c r="P983" s="3" t="s">
        <v>2272</v>
      </c>
      <c r="Q983" s="3" t="s">
        <v>2272</v>
      </c>
      <c r="R983" s="3" t="s">
        <v>2272</v>
      </c>
      <c r="S983" s="3" t="s">
        <v>2272</v>
      </c>
      <c r="T983" s="3" t="s">
        <v>2272</v>
      </c>
      <c r="U983" s="3" t="s">
        <v>2272</v>
      </c>
      <c r="V983" s="3" t="s">
        <v>2272</v>
      </c>
      <c r="W983" s="3" t="s">
        <v>2522</v>
      </c>
      <c r="X983" s="3" t="s">
        <v>2272</v>
      </c>
      <c r="Y983" s="22" t="s">
        <v>33</v>
      </c>
      <c r="Z983" s="22" t="s">
        <v>403</v>
      </c>
      <c r="AA983" s="22" t="s">
        <v>63</v>
      </c>
      <c r="AB983" s="24"/>
      <c r="AC983" s="24"/>
    </row>
    <row r="984" spans="1:29"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2272</v>
      </c>
      <c r="K984" s="198" t="s">
        <v>2272</v>
      </c>
      <c r="L984" s="3" t="s">
        <v>2272</v>
      </c>
      <c r="M984" s="3" t="s">
        <v>2272</v>
      </c>
      <c r="N984" s="3" t="s">
        <v>2272</v>
      </c>
      <c r="O984" s="3" t="s">
        <v>2379</v>
      </c>
      <c r="P984" s="3" t="s">
        <v>2272</v>
      </c>
      <c r="Q984" s="3" t="s">
        <v>2272</v>
      </c>
      <c r="R984" s="3" t="s">
        <v>2272</v>
      </c>
      <c r="S984" s="3" t="s">
        <v>2272</v>
      </c>
      <c r="T984" s="3" t="s">
        <v>2272</v>
      </c>
      <c r="U984" s="3" t="s">
        <v>2272</v>
      </c>
      <c r="V984" s="3" t="s">
        <v>2272</v>
      </c>
      <c r="W984" s="3" t="s">
        <v>2371</v>
      </c>
      <c r="X984" s="3" t="s">
        <v>2272</v>
      </c>
      <c r="Y984" s="22" t="s">
        <v>403</v>
      </c>
      <c r="Z984" s="22" t="s">
        <v>423</v>
      </c>
      <c r="AA984" s="22" t="s">
        <v>75</v>
      </c>
      <c r="AB984" s="24" t="s">
        <v>3070</v>
      </c>
      <c r="AC984" s="22"/>
    </row>
    <row r="985" spans="1:29"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198" t="s">
        <v>2272</v>
      </c>
      <c r="K985" s="21" t="s">
        <v>2366</v>
      </c>
      <c r="L985" s="3" t="s">
        <v>2272</v>
      </c>
      <c r="M985" s="3" t="s">
        <v>2272</v>
      </c>
      <c r="N985" s="3" t="s">
        <v>2272</v>
      </c>
      <c r="O985" s="73" t="s">
        <v>2380</v>
      </c>
      <c r="P985" s="3" t="s">
        <v>2272</v>
      </c>
      <c r="Q985" s="73" t="s">
        <v>2372</v>
      </c>
      <c r="R985" s="3" t="s">
        <v>2272</v>
      </c>
      <c r="S985" s="3" t="s">
        <v>2371</v>
      </c>
      <c r="T985" s="3" t="s">
        <v>2272</v>
      </c>
      <c r="U985" s="3" t="s">
        <v>2272</v>
      </c>
      <c r="V985" s="3" t="s">
        <v>2272</v>
      </c>
      <c r="W985" s="3" t="s">
        <v>2272</v>
      </c>
      <c r="X985" s="3" t="s">
        <v>2272</v>
      </c>
      <c r="Y985" s="22" t="s">
        <v>84</v>
      </c>
      <c r="Z985" s="22" t="s">
        <v>34</v>
      </c>
      <c r="AA985" s="3" t="s">
        <v>2272</v>
      </c>
      <c r="AB985" s="24"/>
      <c r="AC985" s="24" t="s">
        <v>5037</v>
      </c>
    </row>
    <row r="986" spans="1:29"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198" t="s">
        <v>2272</v>
      </c>
      <c r="K986" s="198" t="s">
        <v>2272</v>
      </c>
      <c r="L986" s="3" t="s">
        <v>2358</v>
      </c>
      <c r="M986" s="3" t="s">
        <v>2272</v>
      </c>
      <c r="N986" s="3" t="s">
        <v>2358</v>
      </c>
      <c r="O986" s="3" t="s">
        <v>2272</v>
      </c>
      <c r="P986" s="3" t="s">
        <v>2358</v>
      </c>
      <c r="Q986" s="3" t="s">
        <v>2272</v>
      </c>
      <c r="R986" s="3" t="s">
        <v>2358</v>
      </c>
      <c r="S986" s="3" t="s">
        <v>2272</v>
      </c>
      <c r="T986" s="3" t="s">
        <v>2272</v>
      </c>
      <c r="U986" s="3" t="s">
        <v>2272</v>
      </c>
      <c r="V986" s="3" t="s">
        <v>2272</v>
      </c>
      <c r="W986" s="3" t="s">
        <v>2272</v>
      </c>
      <c r="X986" s="3" t="s">
        <v>2399</v>
      </c>
      <c r="Y986" s="3" t="s">
        <v>2272</v>
      </c>
      <c r="Z986" s="3" t="s">
        <v>2272</v>
      </c>
      <c r="AA986" s="3" t="s">
        <v>2272</v>
      </c>
      <c r="AB986" s="3"/>
      <c r="AC986" s="4" t="s">
        <v>3121</v>
      </c>
    </row>
    <row r="987" spans="1:29"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2272</v>
      </c>
      <c r="K987" s="198" t="s">
        <v>2272</v>
      </c>
      <c r="L987" s="3" t="s">
        <v>2358</v>
      </c>
      <c r="M987" s="3" t="s">
        <v>2272</v>
      </c>
      <c r="N987" s="3" t="s">
        <v>2358</v>
      </c>
      <c r="O987" s="3" t="s">
        <v>2272</v>
      </c>
      <c r="P987" s="3" t="s">
        <v>2358</v>
      </c>
      <c r="Q987" s="3" t="s">
        <v>2272</v>
      </c>
      <c r="R987" s="3" t="s">
        <v>2358</v>
      </c>
      <c r="S987" s="3" t="s">
        <v>2272</v>
      </c>
      <c r="T987" s="3" t="s">
        <v>2272</v>
      </c>
      <c r="U987" s="3" t="s">
        <v>2272</v>
      </c>
      <c r="V987" s="3" t="s">
        <v>2272</v>
      </c>
      <c r="W987" s="3" t="s">
        <v>2272</v>
      </c>
      <c r="X987" s="3" t="s">
        <v>2841</v>
      </c>
      <c r="Y987" s="3" t="s">
        <v>2272</v>
      </c>
      <c r="Z987" s="3" t="s">
        <v>2272</v>
      </c>
      <c r="AA987" s="3" t="s">
        <v>2272</v>
      </c>
      <c r="AB987" s="4" t="s">
        <v>3119</v>
      </c>
      <c r="AC987" s="4" t="s">
        <v>3120</v>
      </c>
    </row>
    <row r="988" spans="1:29"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2272</v>
      </c>
      <c r="K988" s="198" t="s">
        <v>2272</v>
      </c>
      <c r="L988" s="3" t="s">
        <v>2358</v>
      </c>
      <c r="M988" s="3" t="s">
        <v>2272</v>
      </c>
      <c r="N988" s="3" t="s">
        <v>2358</v>
      </c>
      <c r="O988" s="3" t="s">
        <v>2272</v>
      </c>
      <c r="P988" s="3" t="s">
        <v>2358</v>
      </c>
      <c r="Q988" s="3" t="s">
        <v>2272</v>
      </c>
      <c r="R988" s="3" t="s">
        <v>2358</v>
      </c>
      <c r="S988" s="3" t="s">
        <v>2272</v>
      </c>
      <c r="T988" s="3" t="s">
        <v>2272</v>
      </c>
      <c r="U988" s="3" t="s">
        <v>2272</v>
      </c>
      <c r="V988" s="3" t="s">
        <v>2272</v>
      </c>
      <c r="W988" s="3" t="s">
        <v>2272</v>
      </c>
      <c r="X988" s="3" t="s">
        <v>2398</v>
      </c>
      <c r="Y988" s="3" t="s">
        <v>2272</v>
      </c>
      <c r="Z988" s="3" t="s">
        <v>2272</v>
      </c>
      <c r="AA988" s="3" t="s">
        <v>2272</v>
      </c>
      <c r="AB988" s="3"/>
      <c r="AC988" s="4" t="s">
        <v>3121</v>
      </c>
    </row>
    <row r="989" spans="1:29"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2272</v>
      </c>
      <c r="K989" s="198" t="s">
        <v>2272</v>
      </c>
      <c r="L989" s="3" t="s">
        <v>2358</v>
      </c>
      <c r="M989" s="3" t="s">
        <v>2272</v>
      </c>
      <c r="N989" s="3" t="s">
        <v>2358</v>
      </c>
      <c r="O989" s="3" t="s">
        <v>2272</v>
      </c>
      <c r="P989" s="3" t="s">
        <v>2358</v>
      </c>
      <c r="Q989" s="3" t="s">
        <v>2272</v>
      </c>
      <c r="R989" s="3" t="s">
        <v>2358</v>
      </c>
      <c r="S989" s="3" t="s">
        <v>2272</v>
      </c>
      <c r="T989" s="3" t="s">
        <v>2272</v>
      </c>
      <c r="U989" s="3" t="s">
        <v>2272</v>
      </c>
      <c r="V989" s="3" t="s">
        <v>2272</v>
      </c>
      <c r="W989" s="3" t="s">
        <v>2272</v>
      </c>
      <c r="X989" s="3" t="s">
        <v>2397</v>
      </c>
      <c r="Y989" s="3" t="s">
        <v>2272</v>
      </c>
      <c r="Z989" s="3" t="s">
        <v>2272</v>
      </c>
      <c r="AA989" s="3" t="s">
        <v>2272</v>
      </c>
      <c r="AB989" s="3"/>
      <c r="AC989" s="4" t="s">
        <v>3122</v>
      </c>
    </row>
    <row r="990" spans="1:29"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2272</v>
      </c>
      <c r="K990" s="198" t="s">
        <v>2272</v>
      </c>
      <c r="L990" s="3" t="s">
        <v>2358</v>
      </c>
      <c r="M990" s="3" t="s">
        <v>2272</v>
      </c>
      <c r="N990" s="3" t="s">
        <v>2358</v>
      </c>
      <c r="O990" s="3" t="s">
        <v>2272</v>
      </c>
      <c r="P990" s="3" t="s">
        <v>2358</v>
      </c>
      <c r="Q990" s="3" t="s">
        <v>2272</v>
      </c>
      <c r="R990" s="3" t="s">
        <v>2358</v>
      </c>
      <c r="S990" s="3" t="s">
        <v>2272</v>
      </c>
      <c r="T990" s="3" t="s">
        <v>2272</v>
      </c>
      <c r="U990" s="3" t="s">
        <v>2272</v>
      </c>
      <c r="V990" s="3" t="s">
        <v>2272</v>
      </c>
      <c r="W990" s="3" t="s">
        <v>2272</v>
      </c>
      <c r="X990" s="3" t="s">
        <v>2397</v>
      </c>
      <c r="Y990" s="3" t="s">
        <v>2272</v>
      </c>
      <c r="Z990" s="3" t="s">
        <v>2272</v>
      </c>
      <c r="AA990" s="3" t="s">
        <v>2272</v>
      </c>
      <c r="AB990" s="3"/>
      <c r="AC990" s="4" t="s">
        <v>3122</v>
      </c>
    </row>
    <row r="991" spans="1:29"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2272</v>
      </c>
      <c r="K991" s="198" t="s">
        <v>2272</v>
      </c>
      <c r="L991" s="3" t="s">
        <v>2358</v>
      </c>
      <c r="M991" s="3" t="s">
        <v>2272</v>
      </c>
      <c r="N991" s="3" t="s">
        <v>2358</v>
      </c>
      <c r="O991" s="3" t="s">
        <v>2272</v>
      </c>
      <c r="P991" s="3" t="s">
        <v>2358</v>
      </c>
      <c r="Q991" s="3" t="s">
        <v>2272</v>
      </c>
      <c r="R991" s="3" t="s">
        <v>2358</v>
      </c>
      <c r="S991" s="3" t="s">
        <v>2272</v>
      </c>
      <c r="T991" s="3" t="s">
        <v>2272</v>
      </c>
      <c r="U991" s="3" t="s">
        <v>2272</v>
      </c>
      <c r="V991" s="3" t="s">
        <v>2272</v>
      </c>
      <c r="W991" s="3" t="s">
        <v>2272</v>
      </c>
      <c r="X991" s="3" t="s">
        <v>2397</v>
      </c>
      <c r="Y991" s="3" t="s">
        <v>2272</v>
      </c>
      <c r="Z991" s="3" t="s">
        <v>2272</v>
      </c>
      <c r="AA991" s="3" t="s">
        <v>2272</v>
      </c>
      <c r="AB991" s="3"/>
      <c r="AC991" s="4" t="s">
        <v>3122</v>
      </c>
    </row>
    <row r="992" spans="1:29"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2272</v>
      </c>
      <c r="K992" s="198" t="s">
        <v>2272</v>
      </c>
      <c r="L992" s="3" t="s">
        <v>2272</v>
      </c>
      <c r="M992" s="3" t="s">
        <v>2272</v>
      </c>
      <c r="N992" s="3" t="s">
        <v>2272</v>
      </c>
      <c r="O992" s="3" t="s">
        <v>2272</v>
      </c>
      <c r="P992" s="3" t="s">
        <v>2272</v>
      </c>
      <c r="Q992" s="3" t="s">
        <v>2272</v>
      </c>
      <c r="R992" s="3" t="s">
        <v>2272</v>
      </c>
      <c r="S992" s="3" t="s">
        <v>2272</v>
      </c>
      <c r="T992" s="3" t="s">
        <v>2272</v>
      </c>
      <c r="U992" s="3" t="s">
        <v>2272</v>
      </c>
      <c r="V992" s="3" t="s">
        <v>2272</v>
      </c>
      <c r="W992" s="3" t="s">
        <v>2272</v>
      </c>
      <c r="X992" s="3" t="s">
        <v>2398</v>
      </c>
      <c r="Y992" s="3" t="s">
        <v>2272</v>
      </c>
      <c r="Z992" s="3" t="s">
        <v>2272</v>
      </c>
      <c r="AA992" s="3" t="s">
        <v>2272</v>
      </c>
      <c r="AB992" s="3"/>
      <c r="AC992" s="3" t="s">
        <v>3141</v>
      </c>
    </row>
    <row r="993" spans="1:29"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2272</v>
      </c>
      <c r="K993" s="198" t="s">
        <v>2272</v>
      </c>
      <c r="L993" s="3" t="s">
        <v>2272</v>
      </c>
      <c r="M993" s="3" t="s">
        <v>2272</v>
      </c>
      <c r="N993" s="3" t="s">
        <v>2272</v>
      </c>
      <c r="O993" s="3" t="s">
        <v>2272</v>
      </c>
      <c r="P993" s="3" t="s">
        <v>2272</v>
      </c>
      <c r="Q993" s="3" t="s">
        <v>2272</v>
      </c>
      <c r="R993" s="3" t="s">
        <v>2272</v>
      </c>
      <c r="S993" s="3" t="s">
        <v>2272</v>
      </c>
      <c r="T993" s="3" t="s">
        <v>2272</v>
      </c>
      <c r="U993" s="3" t="s">
        <v>2272</v>
      </c>
      <c r="V993" s="3" t="s">
        <v>2272</v>
      </c>
      <c r="W993" s="3" t="s">
        <v>2272</v>
      </c>
      <c r="X993" s="3" t="s">
        <v>2272</v>
      </c>
      <c r="Y993" s="3" t="s">
        <v>2272</v>
      </c>
      <c r="Z993" s="3" t="s">
        <v>2272</v>
      </c>
      <c r="AA993" s="3" t="s">
        <v>2272</v>
      </c>
      <c r="AB993" s="3"/>
      <c r="AC993" s="3"/>
    </row>
    <row r="994" spans="1:29"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2272</v>
      </c>
      <c r="K994" s="198" t="s">
        <v>2272</v>
      </c>
      <c r="L994" s="3" t="s">
        <v>2272</v>
      </c>
      <c r="M994" s="3" t="s">
        <v>2272</v>
      </c>
      <c r="N994" s="3" t="s">
        <v>2272</v>
      </c>
      <c r="O994" s="3" t="s">
        <v>2272</v>
      </c>
      <c r="P994" s="3" t="s">
        <v>2272</v>
      </c>
      <c r="Q994" s="3" t="s">
        <v>2272</v>
      </c>
      <c r="R994" s="3" t="s">
        <v>2272</v>
      </c>
      <c r="S994" s="3" t="s">
        <v>2272</v>
      </c>
      <c r="T994" s="3" t="s">
        <v>2272</v>
      </c>
      <c r="U994" s="3" t="s">
        <v>2272</v>
      </c>
      <c r="V994" s="3" t="s">
        <v>2272</v>
      </c>
      <c r="W994" s="3" t="s">
        <v>2272</v>
      </c>
      <c r="X994" s="3" t="s">
        <v>2272</v>
      </c>
      <c r="Y994" s="3" t="s">
        <v>2272</v>
      </c>
      <c r="Z994" s="3" t="s">
        <v>2272</v>
      </c>
      <c r="AA994" s="3" t="s">
        <v>2272</v>
      </c>
      <c r="AB994" s="3"/>
      <c r="AC994" s="3"/>
    </row>
    <row r="995" spans="1:29"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2272</v>
      </c>
      <c r="K995" s="198" t="s">
        <v>2272</v>
      </c>
      <c r="L995" s="3" t="s">
        <v>2272</v>
      </c>
      <c r="M995" s="3" t="s">
        <v>2272</v>
      </c>
      <c r="N995" s="3" t="s">
        <v>2272</v>
      </c>
      <c r="O995" s="3" t="s">
        <v>2272</v>
      </c>
      <c r="P995" s="3" t="s">
        <v>2272</v>
      </c>
      <c r="Q995" s="3" t="s">
        <v>2272</v>
      </c>
      <c r="R995" s="3" t="s">
        <v>2272</v>
      </c>
      <c r="S995" s="3" t="s">
        <v>2272</v>
      </c>
      <c r="T995" s="3" t="s">
        <v>2272</v>
      </c>
      <c r="U995" s="3" t="s">
        <v>2272</v>
      </c>
      <c r="V995" s="3" t="s">
        <v>2272</v>
      </c>
      <c r="W995" s="3" t="s">
        <v>2272</v>
      </c>
      <c r="X995" s="3" t="s">
        <v>2272</v>
      </c>
      <c r="Y995" s="3" t="s">
        <v>2272</v>
      </c>
      <c r="Z995" s="3" t="s">
        <v>2272</v>
      </c>
      <c r="AA995" s="3" t="s">
        <v>2272</v>
      </c>
      <c r="AB995" s="4" t="s">
        <v>3154</v>
      </c>
      <c r="AC995" s="3"/>
    </row>
    <row r="996" spans="1:29"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2272</v>
      </c>
      <c r="K996" s="198" t="s">
        <v>2272</v>
      </c>
      <c r="L996" s="3" t="s">
        <v>2272</v>
      </c>
      <c r="M996" s="3" t="s">
        <v>2272</v>
      </c>
      <c r="N996" s="3" t="s">
        <v>2272</v>
      </c>
      <c r="O996" s="3" t="s">
        <v>2272</v>
      </c>
      <c r="P996" s="3" t="s">
        <v>2272</v>
      </c>
      <c r="Q996" s="3" t="s">
        <v>2272</v>
      </c>
      <c r="R996" s="3" t="s">
        <v>2272</v>
      </c>
      <c r="S996" s="3" t="s">
        <v>2272</v>
      </c>
      <c r="T996" s="3" t="s">
        <v>2272</v>
      </c>
      <c r="U996" s="3" t="s">
        <v>2272</v>
      </c>
      <c r="V996" s="3" t="s">
        <v>2272</v>
      </c>
      <c r="W996" s="3" t="s">
        <v>2272</v>
      </c>
      <c r="X996" s="3" t="s">
        <v>2272</v>
      </c>
      <c r="Y996" s="3" t="s">
        <v>2272</v>
      </c>
      <c r="Z996" s="3" t="s">
        <v>2272</v>
      </c>
      <c r="AA996" s="3" t="s">
        <v>2272</v>
      </c>
      <c r="AB996" s="3"/>
      <c r="AC996" s="3"/>
    </row>
    <row r="997" spans="1:29"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2272</v>
      </c>
      <c r="K997" s="198" t="s">
        <v>2272</v>
      </c>
      <c r="L997" s="3" t="s">
        <v>2272</v>
      </c>
      <c r="M997" s="3" t="s">
        <v>2272</v>
      </c>
      <c r="N997" s="3" t="s">
        <v>2272</v>
      </c>
      <c r="O997" s="3" t="s">
        <v>2272</v>
      </c>
      <c r="P997" s="3" t="s">
        <v>2272</v>
      </c>
      <c r="Q997" s="3" t="s">
        <v>2272</v>
      </c>
      <c r="R997" s="3" t="s">
        <v>2272</v>
      </c>
      <c r="S997" s="3" t="s">
        <v>2272</v>
      </c>
      <c r="T997" s="3" t="s">
        <v>2272</v>
      </c>
      <c r="U997" s="3" t="s">
        <v>2272</v>
      </c>
      <c r="V997" s="3" t="s">
        <v>2272</v>
      </c>
      <c r="W997" s="3" t="s">
        <v>2272</v>
      </c>
      <c r="X997" s="3" t="s">
        <v>2272</v>
      </c>
      <c r="Y997" s="3" t="s">
        <v>2272</v>
      </c>
      <c r="Z997" s="3" t="s">
        <v>2272</v>
      </c>
      <c r="AA997" s="3" t="s">
        <v>2272</v>
      </c>
      <c r="AB997" s="3"/>
      <c r="AC997" s="3"/>
    </row>
    <row r="998" spans="1:29"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2272</v>
      </c>
      <c r="K998" s="198" t="s">
        <v>2272</v>
      </c>
      <c r="L998" s="3" t="s">
        <v>2272</v>
      </c>
      <c r="M998" s="3" t="s">
        <v>2272</v>
      </c>
      <c r="N998" s="3" t="s">
        <v>2272</v>
      </c>
      <c r="O998" s="3" t="s">
        <v>2272</v>
      </c>
      <c r="P998" s="3" t="s">
        <v>2272</v>
      </c>
      <c r="Q998" s="3" t="s">
        <v>2272</v>
      </c>
      <c r="R998" s="3" t="s">
        <v>2272</v>
      </c>
      <c r="S998" s="3" t="s">
        <v>2272</v>
      </c>
      <c r="T998" s="3" t="s">
        <v>2272</v>
      </c>
      <c r="U998" s="3" t="s">
        <v>2272</v>
      </c>
      <c r="V998" s="3" t="s">
        <v>2272</v>
      </c>
      <c r="W998" s="3" t="s">
        <v>2272</v>
      </c>
      <c r="X998" s="3" t="s">
        <v>2272</v>
      </c>
      <c r="Y998" s="3" t="s">
        <v>2272</v>
      </c>
      <c r="Z998" s="3" t="s">
        <v>2272</v>
      </c>
      <c r="AA998" s="3" t="s">
        <v>2272</v>
      </c>
      <c r="AB998" s="3"/>
      <c r="AC998" s="3"/>
    </row>
    <row r="999" spans="1:29"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2272</v>
      </c>
      <c r="K999" s="198" t="s">
        <v>2272</v>
      </c>
      <c r="L999" s="3" t="s">
        <v>2272</v>
      </c>
      <c r="M999" s="3" t="s">
        <v>2272</v>
      </c>
      <c r="N999" s="3" t="s">
        <v>2272</v>
      </c>
      <c r="O999" s="3" t="s">
        <v>2272</v>
      </c>
      <c r="P999" s="3" t="s">
        <v>2272</v>
      </c>
      <c r="Q999" s="3" t="s">
        <v>2272</v>
      </c>
      <c r="R999" s="3" t="s">
        <v>2272</v>
      </c>
      <c r="S999" s="3" t="s">
        <v>2272</v>
      </c>
      <c r="T999" s="3" t="s">
        <v>2272</v>
      </c>
      <c r="U999" s="3" t="s">
        <v>2272</v>
      </c>
      <c r="V999" s="3" t="s">
        <v>2272</v>
      </c>
      <c r="W999" s="3" t="s">
        <v>2272</v>
      </c>
      <c r="X999" s="3" t="s">
        <v>2272</v>
      </c>
      <c r="Y999" s="3" t="s">
        <v>2272</v>
      </c>
      <c r="Z999" s="3" t="s">
        <v>2272</v>
      </c>
      <c r="AA999" s="3" t="s">
        <v>2272</v>
      </c>
      <c r="AB999" s="3"/>
      <c r="AC999" s="3"/>
    </row>
    <row r="1000" spans="1:29"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2272</v>
      </c>
      <c r="K1000" s="198" t="s">
        <v>2272</v>
      </c>
      <c r="L1000" s="3" t="s">
        <v>2272</v>
      </c>
      <c r="M1000" s="3" t="s">
        <v>2272</v>
      </c>
      <c r="N1000" s="3" t="s">
        <v>2272</v>
      </c>
      <c r="O1000" s="3" t="s">
        <v>2272</v>
      </c>
      <c r="P1000" s="3" t="s">
        <v>2272</v>
      </c>
      <c r="Q1000" s="3" t="s">
        <v>2272</v>
      </c>
      <c r="R1000" s="3" t="s">
        <v>2272</v>
      </c>
      <c r="S1000" s="3" t="s">
        <v>2272</v>
      </c>
      <c r="T1000" s="3" t="s">
        <v>2272</v>
      </c>
      <c r="U1000" s="3" t="s">
        <v>2272</v>
      </c>
      <c r="V1000" s="3" t="s">
        <v>2272</v>
      </c>
      <c r="W1000" s="3" t="s">
        <v>2272</v>
      </c>
      <c r="X1000" s="3" t="s">
        <v>2272</v>
      </c>
      <c r="Y1000" s="3" t="s">
        <v>2272</v>
      </c>
      <c r="Z1000" s="3" t="s">
        <v>2272</v>
      </c>
      <c r="AA1000" s="3" t="s">
        <v>2272</v>
      </c>
      <c r="AB1000" s="3"/>
      <c r="AC1000" s="3"/>
    </row>
    <row r="1001" spans="1:29"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2272</v>
      </c>
      <c r="K1001" s="198" t="s">
        <v>2272</v>
      </c>
      <c r="L1001" s="3" t="s">
        <v>2272</v>
      </c>
      <c r="M1001" s="3" t="s">
        <v>2272</v>
      </c>
      <c r="N1001" s="3" t="s">
        <v>2272</v>
      </c>
      <c r="O1001" s="3" t="s">
        <v>2272</v>
      </c>
      <c r="P1001" s="3" t="s">
        <v>2272</v>
      </c>
      <c r="Q1001" s="3" t="s">
        <v>2272</v>
      </c>
      <c r="R1001" s="3" t="s">
        <v>2272</v>
      </c>
      <c r="S1001" s="3" t="s">
        <v>2272</v>
      </c>
      <c r="T1001" s="3" t="s">
        <v>2272</v>
      </c>
      <c r="U1001" s="3" t="s">
        <v>2272</v>
      </c>
      <c r="V1001" s="3" t="s">
        <v>2272</v>
      </c>
      <c r="W1001" s="3" t="s">
        <v>2272</v>
      </c>
      <c r="X1001" s="3" t="s">
        <v>2272</v>
      </c>
      <c r="Y1001" s="3" t="s">
        <v>2272</v>
      </c>
      <c r="Z1001" s="3" t="s">
        <v>2272</v>
      </c>
      <c r="AA1001" s="3" t="s">
        <v>2272</v>
      </c>
      <c r="AB1001" s="3"/>
      <c r="AC1001" s="3"/>
    </row>
    <row r="1002" spans="1:29"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2272</v>
      </c>
      <c r="K1002" s="198" t="s">
        <v>2272</v>
      </c>
      <c r="L1002" s="3" t="s">
        <v>2272</v>
      </c>
      <c r="M1002" s="3" t="s">
        <v>2272</v>
      </c>
      <c r="N1002" s="3" t="s">
        <v>2272</v>
      </c>
      <c r="O1002" s="3" t="s">
        <v>2272</v>
      </c>
      <c r="P1002" s="3" t="s">
        <v>2272</v>
      </c>
      <c r="Q1002" s="3" t="s">
        <v>2272</v>
      </c>
      <c r="R1002" s="3" t="s">
        <v>2272</v>
      </c>
      <c r="S1002" s="3" t="s">
        <v>2272</v>
      </c>
      <c r="T1002" s="3" t="s">
        <v>2272</v>
      </c>
      <c r="U1002" s="3" t="s">
        <v>2272</v>
      </c>
      <c r="V1002" s="3" t="s">
        <v>2272</v>
      </c>
      <c r="W1002" s="3" t="s">
        <v>2272</v>
      </c>
      <c r="X1002" s="3" t="s">
        <v>2272</v>
      </c>
      <c r="Y1002" s="3" t="s">
        <v>2272</v>
      </c>
      <c r="Z1002" s="3" t="s">
        <v>2272</v>
      </c>
      <c r="AA1002" s="3" t="s">
        <v>2272</v>
      </c>
      <c r="AB1002" s="3"/>
      <c r="AC1002" s="3"/>
    </row>
    <row r="1003" spans="1:29"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2272</v>
      </c>
      <c r="K1003" s="198" t="s">
        <v>2272</v>
      </c>
      <c r="L1003" s="3" t="s">
        <v>2272</v>
      </c>
      <c r="M1003" s="3" t="s">
        <v>2272</v>
      </c>
      <c r="N1003" s="3" t="s">
        <v>2272</v>
      </c>
      <c r="O1003" s="3" t="s">
        <v>2272</v>
      </c>
      <c r="P1003" s="3" t="s">
        <v>2272</v>
      </c>
      <c r="Q1003" s="3" t="s">
        <v>2272</v>
      </c>
      <c r="R1003" s="3" t="s">
        <v>2272</v>
      </c>
      <c r="S1003" s="3" t="s">
        <v>2272</v>
      </c>
      <c r="T1003" s="3" t="s">
        <v>2272</v>
      </c>
      <c r="U1003" s="3" t="s">
        <v>2272</v>
      </c>
      <c r="V1003" s="3" t="s">
        <v>2272</v>
      </c>
      <c r="W1003" s="3" t="s">
        <v>2272</v>
      </c>
      <c r="X1003" s="3" t="s">
        <v>2272</v>
      </c>
      <c r="Y1003" s="3" t="s">
        <v>2272</v>
      </c>
      <c r="Z1003" s="3" t="s">
        <v>2272</v>
      </c>
      <c r="AA1003" s="3" t="s">
        <v>2272</v>
      </c>
      <c r="AB1003" s="3"/>
      <c r="AC1003" s="3"/>
    </row>
    <row r="1004" spans="1:29"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2272</v>
      </c>
      <c r="K1004" s="198" t="s">
        <v>2272</v>
      </c>
      <c r="L1004" s="3" t="s">
        <v>2272</v>
      </c>
      <c r="M1004" s="3" t="s">
        <v>2272</v>
      </c>
      <c r="N1004" s="3" t="s">
        <v>2272</v>
      </c>
      <c r="O1004" s="3" t="s">
        <v>2272</v>
      </c>
      <c r="P1004" s="3" t="s">
        <v>2272</v>
      </c>
      <c r="Q1004" s="3" t="s">
        <v>2272</v>
      </c>
      <c r="R1004" s="3" t="s">
        <v>2272</v>
      </c>
      <c r="S1004" s="3" t="s">
        <v>2272</v>
      </c>
      <c r="T1004" s="3" t="s">
        <v>2272</v>
      </c>
      <c r="U1004" s="3" t="s">
        <v>2272</v>
      </c>
      <c r="V1004" s="3" t="s">
        <v>2272</v>
      </c>
      <c r="W1004" s="3" t="s">
        <v>2272</v>
      </c>
      <c r="X1004" s="3" t="s">
        <v>2272</v>
      </c>
      <c r="Y1004" s="3" t="s">
        <v>2272</v>
      </c>
      <c r="Z1004" s="3" t="s">
        <v>2272</v>
      </c>
      <c r="AA1004" s="3" t="s">
        <v>2272</v>
      </c>
      <c r="AB1004" s="3"/>
      <c r="AC1004" s="3"/>
    </row>
    <row r="1005" spans="1:29"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2272</v>
      </c>
      <c r="K1005" s="198" t="s">
        <v>2272</v>
      </c>
      <c r="L1005" s="3" t="s">
        <v>2272</v>
      </c>
      <c r="M1005" s="3" t="s">
        <v>2272</v>
      </c>
      <c r="N1005" s="3" t="s">
        <v>2272</v>
      </c>
      <c r="O1005" s="3" t="s">
        <v>2272</v>
      </c>
      <c r="P1005" s="3" t="s">
        <v>2272</v>
      </c>
      <c r="Q1005" s="3" t="s">
        <v>2272</v>
      </c>
      <c r="R1005" s="3" t="s">
        <v>2272</v>
      </c>
      <c r="S1005" s="3" t="s">
        <v>2272</v>
      </c>
      <c r="T1005" s="3" t="s">
        <v>2272</v>
      </c>
      <c r="U1005" s="3" t="s">
        <v>2272</v>
      </c>
      <c r="V1005" s="3" t="s">
        <v>2272</v>
      </c>
      <c r="W1005" s="3" t="s">
        <v>2272</v>
      </c>
      <c r="X1005" s="3" t="s">
        <v>2272</v>
      </c>
      <c r="Y1005" s="3" t="s">
        <v>2272</v>
      </c>
      <c r="Z1005" s="3" t="s">
        <v>2272</v>
      </c>
      <c r="AA1005" s="3" t="s">
        <v>2272</v>
      </c>
      <c r="AB1005" s="3"/>
      <c r="AC1005" s="3"/>
    </row>
    <row r="1006" spans="1:29"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2272</v>
      </c>
      <c r="K1006" s="198" t="s">
        <v>2272</v>
      </c>
      <c r="L1006" s="3" t="s">
        <v>2272</v>
      </c>
      <c r="M1006" s="3" t="s">
        <v>2272</v>
      </c>
      <c r="N1006" s="3" t="s">
        <v>2272</v>
      </c>
      <c r="O1006" s="3" t="s">
        <v>2272</v>
      </c>
      <c r="P1006" s="3" t="s">
        <v>2272</v>
      </c>
      <c r="Q1006" s="3" t="s">
        <v>2272</v>
      </c>
      <c r="R1006" s="3" t="s">
        <v>2272</v>
      </c>
      <c r="S1006" s="3" t="s">
        <v>2272</v>
      </c>
      <c r="T1006" s="3" t="s">
        <v>2272</v>
      </c>
      <c r="U1006" s="3" t="s">
        <v>2272</v>
      </c>
      <c r="V1006" s="3" t="s">
        <v>2272</v>
      </c>
      <c r="W1006" s="3" t="s">
        <v>2272</v>
      </c>
      <c r="X1006" s="3" t="s">
        <v>2272</v>
      </c>
      <c r="Y1006" s="3" t="s">
        <v>2272</v>
      </c>
      <c r="Z1006" s="3" t="s">
        <v>2272</v>
      </c>
      <c r="AA1006" s="3" t="s">
        <v>2272</v>
      </c>
      <c r="AB1006" s="3"/>
      <c r="AC1006" s="3"/>
    </row>
    <row r="1007" spans="1:29"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2272</v>
      </c>
      <c r="K1007" s="198" t="s">
        <v>2272</v>
      </c>
      <c r="L1007" s="3" t="s">
        <v>2272</v>
      </c>
      <c r="M1007" s="3" t="s">
        <v>2272</v>
      </c>
      <c r="N1007" s="3" t="s">
        <v>2272</v>
      </c>
      <c r="O1007" s="3" t="s">
        <v>2272</v>
      </c>
      <c r="P1007" s="3" t="s">
        <v>2272</v>
      </c>
      <c r="Q1007" s="3" t="s">
        <v>2272</v>
      </c>
      <c r="R1007" s="3" t="s">
        <v>2272</v>
      </c>
      <c r="S1007" s="3" t="s">
        <v>2272</v>
      </c>
      <c r="T1007" s="3" t="s">
        <v>2272</v>
      </c>
      <c r="U1007" s="3" t="s">
        <v>2272</v>
      </c>
      <c r="V1007" s="3" t="s">
        <v>2272</v>
      </c>
      <c r="W1007" s="3" t="s">
        <v>2272</v>
      </c>
      <c r="X1007" s="3" t="s">
        <v>2272</v>
      </c>
      <c r="Y1007" s="3" t="s">
        <v>2272</v>
      </c>
      <c r="Z1007" s="3" t="s">
        <v>2272</v>
      </c>
      <c r="AA1007" s="3" t="s">
        <v>2272</v>
      </c>
      <c r="AB1007" s="4" t="s">
        <v>3158</v>
      </c>
      <c r="AC1007" s="3"/>
    </row>
    <row r="1008" spans="1:29"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2272</v>
      </c>
      <c r="K1008" s="198" t="s">
        <v>2272</v>
      </c>
      <c r="L1008" s="3" t="s">
        <v>2272</v>
      </c>
      <c r="M1008" s="3" t="s">
        <v>2272</v>
      </c>
      <c r="N1008" s="3" t="s">
        <v>2272</v>
      </c>
      <c r="O1008" s="3" t="s">
        <v>2272</v>
      </c>
      <c r="P1008" s="3" t="s">
        <v>2272</v>
      </c>
      <c r="Q1008" s="3" t="s">
        <v>2272</v>
      </c>
      <c r="R1008" s="3" t="s">
        <v>2272</v>
      </c>
      <c r="S1008" s="3" t="s">
        <v>2272</v>
      </c>
      <c r="T1008" s="3" t="s">
        <v>2272</v>
      </c>
      <c r="U1008" s="3" t="s">
        <v>2272</v>
      </c>
      <c r="V1008" s="3" t="s">
        <v>2272</v>
      </c>
      <c r="W1008" s="3" t="s">
        <v>2272</v>
      </c>
      <c r="X1008" s="3" t="s">
        <v>2398</v>
      </c>
      <c r="Y1008" s="3" t="s">
        <v>2272</v>
      </c>
      <c r="Z1008" s="3" t="s">
        <v>2272</v>
      </c>
      <c r="AA1008" s="3" t="s">
        <v>2272</v>
      </c>
      <c r="AB1008" s="3"/>
      <c r="AC1008" s="3" t="s">
        <v>3141</v>
      </c>
    </row>
    <row r="1009" spans="1:29"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2272</v>
      </c>
      <c r="K1009" s="198" t="s">
        <v>2272</v>
      </c>
      <c r="L1009" s="3" t="s">
        <v>2272</v>
      </c>
      <c r="M1009" s="3" t="s">
        <v>2272</v>
      </c>
      <c r="N1009" s="3" t="s">
        <v>2272</v>
      </c>
      <c r="O1009" s="3" t="s">
        <v>2272</v>
      </c>
      <c r="P1009" s="3" t="s">
        <v>2272</v>
      </c>
      <c r="Q1009" s="3" t="s">
        <v>2272</v>
      </c>
      <c r="R1009" s="3" t="s">
        <v>2272</v>
      </c>
      <c r="S1009" s="3" t="s">
        <v>2272</v>
      </c>
      <c r="T1009" s="3" t="s">
        <v>2272</v>
      </c>
      <c r="U1009" s="3" t="s">
        <v>2272</v>
      </c>
      <c r="V1009" s="3" t="s">
        <v>2272</v>
      </c>
      <c r="W1009" s="3" t="s">
        <v>2272</v>
      </c>
      <c r="X1009" s="3" t="s">
        <v>2272</v>
      </c>
      <c r="Y1009" s="3" t="s">
        <v>2272</v>
      </c>
      <c r="Z1009" s="3" t="s">
        <v>2272</v>
      </c>
      <c r="AA1009" s="3" t="s">
        <v>2272</v>
      </c>
      <c r="AB1009" s="3"/>
      <c r="AC1009" s="3"/>
    </row>
    <row r="1010" spans="1:29"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2272</v>
      </c>
      <c r="K1010" s="198" t="s">
        <v>2272</v>
      </c>
      <c r="L1010" s="3" t="s">
        <v>2272</v>
      </c>
      <c r="M1010" s="3" t="s">
        <v>2272</v>
      </c>
      <c r="N1010" s="3" t="s">
        <v>2272</v>
      </c>
      <c r="O1010" s="3" t="s">
        <v>2272</v>
      </c>
      <c r="P1010" s="3" t="s">
        <v>2272</v>
      </c>
      <c r="Q1010" s="3" t="s">
        <v>2272</v>
      </c>
      <c r="R1010" s="3" t="s">
        <v>2272</v>
      </c>
      <c r="S1010" s="3" t="s">
        <v>2272</v>
      </c>
      <c r="T1010" s="3" t="s">
        <v>2272</v>
      </c>
      <c r="U1010" s="3" t="s">
        <v>2272</v>
      </c>
      <c r="V1010" s="3" t="s">
        <v>2272</v>
      </c>
      <c r="W1010" s="3" t="s">
        <v>2272</v>
      </c>
      <c r="X1010" s="3" t="s">
        <v>2272</v>
      </c>
      <c r="Y1010" s="3" t="s">
        <v>2272</v>
      </c>
      <c r="Z1010" s="3" t="s">
        <v>2272</v>
      </c>
      <c r="AA1010" s="3" t="s">
        <v>2272</v>
      </c>
      <c r="AB1010" s="3"/>
      <c r="AC1010" s="3"/>
    </row>
    <row r="1011" spans="1:29"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2272</v>
      </c>
      <c r="K1011" s="198" t="s">
        <v>2272</v>
      </c>
      <c r="L1011" s="3" t="s">
        <v>2272</v>
      </c>
      <c r="M1011" s="3" t="s">
        <v>2272</v>
      </c>
      <c r="N1011" s="3" t="s">
        <v>2272</v>
      </c>
      <c r="O1011" s="3" t="s">
        <v>2272</v>
      </c>
      <c r="P1011" s="3" t="s">
        <v>2272</v>
      </c>
      <c r="Q1011" s="3" t="s">
        <v>2272</v>
      </c>
      <c r="R1011" s="3" t="s">
        <v>2272</v>
      </c>
      <c r="S1011" s="3" t="s">
        <v>2272</v>
      </c>
      <c r="T1011" s="3" t="s">
        <v>2272</v>
      </c>
      <c r="U1011" s="3" t="s">
        <v>2272</v>
      </c>
      <c r="V1011" s="3" t="s">
        <v>2272</v>
      </c>
      <c r="W1011" s="3" t="s">
        <v>2272</v>
      </c>
      <c r="X1011" s="3" t="s">
        <v>2272</v>
      </c>
      <c r="Y1011" s="3" t="s">
        <v>2272</v>
      </c>
      <c r="Z1011" s="3" t="s">
        <v>2272</v>
      </c>
      <c r="AA1011" s="3" t="s">
        <v>2272</v>
      </c>
      <c r="AB1011" s="4" t="s">
        <v>3154</v>
      </c>
      <c r="AC1011" s="3"/>
    </row>
    <row r="1012" spans="1:29"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2272</v>
      </c>
      <c r="K1012" s="198" t="s">
        <v>2272</v>
      </c>
      <c r="L1012" s="3" t="s">
        <v>2272</v>
      </c>
      <c r="M1012" s="3" t="s">
        <v>2272</v>
      </c>
      <c r="N1012" s="3" t="s">
        <v>2272</v>
      </c>
      <c r="O1012" s="3" t="s">
        <v>2272</v>
      </c>
      <c r="P1012" s="3" t="s">
        <v>2272</v>
      </c>
      <c r="Q1012" s="3" t="s">
        <v>2272</v>
      </c>
      <c r="R1012" s="3" t="s">
        <v>2272</v>
      </c>
      <c r="S1012" s="3" t="s">
        <v>2272</v>
      </c>
      <c r="T1012" s="3" t="s">
        <v>2272</v>
      </c>
      <c r="U1012" s="3" t="s">
        <v>2272</v>
      </c>
      <c r="V1012" s="3" t="s">
        <v>2272</v>
      </c>
      <c r="W1012" s="3" t="s">
        <v>2272</v>
      </c>
      <c r="X1012" s="3" t="s">
        <v>2272</v>
      </c>
      <c r="Y1012" s="3" t="s">
        <v>2272</v>
      </c>
      <c r="Z1012" s="3" t="s">
        <v>2272</v>
      </c>
      <c r="AA1012" s="3" t="s">
        <v>2272</v>
      </c>
      <c r="AB1012" s="3"/>
      <c r="AC1012" s="3"/>
    </row>
    <row r="1013" spans="1:29"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2272</v>
      </c>
      <c r="K1013" s="198" t="s">
        <v>2272</v>
      </c>
      <c r="L1013" s="3" t="s">
        <v>2272</v>
      </c>
      <c r="M1013" s="3" t="s">
        <v>2272</v>
      </c>
      <c r="N1013" s="3" t="s">
        <v>2272</v>
      </c>
      <c r="O1013" s="3" t="s">
        <v>2272</v>
      </c>
      <c r="P1013" s="3" t="s">
        <v>2272</v>
      </c>
      <c r="Q1013" s="3" t="s">
        <v>2272</v>
      </c>
      <c r="R1013" s="3" t="s">
        <v>2272</v>
      </c>
      <c r="S1013" s="3" t="s">
        <v>2272</v>
      </c>
      <c r="T1013" s="3" t="s">
        <v>2272</v>
      </c>
      <c r="U1013" s="3" t="s">
        <v>2272</v>
      </c>
      <c r="V1013" s="3" t="s">
        <v>2272</v>
      </c>
      <c r="W1013" s="3" t="s">
        <v>2272</v>
      </c>
      <c r="X1013" s="3" t="s">
        <v>2272</v>
      </c>
      <c r="Y1013" s="3" t="s">
        <v>2272</v>
      </c>
      <c r="Z1013" s="3" t="s">
        <v>2272</v>
      </c>
      <c r="AA1013" s="3" t="s">
        <v>2272</v>
      </c>
      <c r="AB1013" s="3"/>
      <c r="AC1013" s="3"/>
    </row>
    <row r="1014" spans="1:29"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2272</v>
      </c>
      <c r="K1014" s="198" t="s">
        <v>2272</v>
      </c>
      <c r="L1014" s="3" t="s">
        <v>2272</v>
      </c>
      <c r="M1014" s="3" t="s">
        <v>2272</v>
      </c>
      <c r="N1014" s="3" t="s">
        <v>2272</v>
      </c>
      <c r="O1014" s="3" t="s">
        <v>2272</v>
      </c>
      <c r="P1014" s="3" t="s">
        <v>2272</v>
      </c>
      <c r="Q1014" s="3" t="s">
        <v>2272</v>
      </c>
      <c r="R1014" s="3" t="s">
        <v>2272</v>
      </c>
      <c r="S1014" s="3" t="s">
        <v>2272</v>
      </c>
      <c r="T1014" s="3" t="s">
        <v>2272</v>
      </c>
      <c r="U1014" s="3" t="s">
        <v>2272</v>
      </c>
      <c r="V1014" s="3" t="s">
        <v>2272</v>
      </c>
      <c r="W1014" s="3" t="s">
        <v>2272</v>
      </c>
      <c r="X1014" s="3" t="s">
        <v>2272</v>
      </c>
      <c r="Y1014" s="3" t="s">
        <v>2272</v>
      </c>
      <c r="Z1014" s="3" t="s">
        <v>2272</v>
      </c>
      <c r="AA1014" s="3" t="s">
        <v>2272</v>
      </c>
      <c r="AB1014" s="3"/>
      <c r="AC1014" s="3"/>
    </row>
    <row r="1015" spans="1:29"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2272</v>
      </c>
      <c r="K1015" s="198" t="s">
        <v>2272</v>
      </c>
      <c r="L1015" s="3" t="s">
        <v>2272</v>
      </c>
      <c r="M1015" s="3" t="s">
        <v>2272</v>
      </c>
      <c r="N1015" s="3" t="s">
        <v>2272</v>
      </c>
      <c r="O1015" s="3" t="s">
        <v>2272</v>
      </c>
      <c r="P1015" s="3" t="s">
        <v>2272</v>
      </c>
      <c r="Q1015" s="3" t="s">
        <v>2272</v>
      </c>
      <c r="R1015" s="3" t="s">
        <v>2272</v>
      </c>
      <c r="S1015" s="3" t="s">
        <v>2272</v>
      </c>
      <c r="T1015" s="3" t="s">
        <v>2272</v>
      </c>
      <c r="U1015" s="3" t="s">
        <v>2272</v>
      </c>
      <c r="V1015" s="3" t="s">
        <v>2272</v>
      </c>
      <c r="W1015" s="3" t="s">
        <v>2272</v>
      </c>
      <c r="X1015" s="3" t="s">
        <v>2272</v>
      </c>
      <c r="Y1015" s="3" t="s">
        <v>2272</v>
      </c>
      <c r="Z1015" s="3" t="s">
        <v>2272</v>
      </c>
      <c r="AA1015" s="3" t="s">
        <v>2272</v>
      </c>
      <c r="AB1015" s="3"/>
      <c r="AC1015" s="3"/>
    </row>
    <row r="1016" spans="1:29"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2272</v>
      </c>
      <c r="K1016" s="198" t="s">
        <v>2272</v>
      </c>
      <c r="L1016" s="3" t="s">
        <v>2272</v>
      </c>
      <c r="M1016" s="3" t="s">
        <v>2272</v>
      </c>
      <c r="N1016" s="3" t="s">
        <v>2272</v>
      </c>
      <c r="O1016" s="3" t="s">
        <v>2272</v>
      </c>
      <c r="P1016" s="3" t="s">
        <v>2272</v>
      </c>
      <c r="Q1016" s="3" t="s">
        <v>2272</v>
      </c>
      <c r="R1016" s="3" t="s">
        <v>2272</v>
      </c>
      <c r="S1016" s="3" t="s">
        <v>2272</v>
      </c>
      <c r="T1016" s="3" t="s">
        <v>2272</v>
      </c>
      <c r="U1016" s="3" t="s">
        <v>2272</v>
      </c>
      <c r="V1016" s="3" t="s">
        <v>2272</v>
      </c>
      <c r="W1016" s="3" t="s">
        <v>2272</v>
      </c>
      <c r="X1016" s="3" t="s">
        <v>2272</v>
      </c>
      <c r="Y1016" s="3" t="s">
        <v>2272</v>
      </c>
      <c r="Z1016" s="3" t="s">
        <v>2272</v>
      </c>
      <c r="AA1016" s="3" t="s">
        <v>2272</v>
      </c>
      <c r="AB1016" s="3"/>
      <c r="AC1016" s="3"/>
    </row>
    <row r="1017" spans="1:29"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2272</v>
      </c>
      <c r="K1017" s="198" t="s">
        <v>2272</v>
      </c>
      <c r="L1017" s="3" t="s">
        <v>2272</v>
      </c>
      <c r="M1017" s="3" t="s">
        <v>2272</v>
      </c>
      <c r="N1017" s="3" t="s">
        <v>2272</v>
      </c>
      <c r="O1017" s="3" t="s">
        <v>2272</v>
      </c>
      <c r="P1017" s="3" t="s">
        <v>2272</v>
      </c>
      <c r="Q1017" s="3" t="s">
        <v>2272</v>
      </c>
      <c r="R1017" s="3" t="s">
        <v>2272</v>
      </c>
      <c r="S1017" s="3" t="s">
        <v>2272</v>
      </c>
      <c r="T1017" s="3" t="s">
        <v>2272</v>
      </c>
      <c r="U1017" s="3" t="s">
        <v>2272</v>
      </c>
      <c r="V1017" s="3" t="s">
        <v>2272</v>
      </c>
      <c r="W1017" s="3" t="s">
        <v>2272</v>
      </c>
      <c r="X1017" s="3" t="s">
        <v>2272</v>
      </c>
      <c r="Y1017" s="3" t="s">
        <v>2272</v>
      </c>
      <c r="Z1017" s="3" t="s">
        <v>2272</v>
      </c>
      <c r="AA1017" s="3" t="s">
        <v>2272</v>
      </c>
      <c r="AB1017" s="3"/>
      <c r="AC1017" s="3"/>
    </row>
    <row r="1018" spans="1:29"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2272</v>
      </c>
      <c r="K1018" s="198" t="s">
        <v>2272</v>
      </c>
      <c r="L1018" s="3" t="s">
        <v>2272</v>
      </c>
      <c r="M1018" s="3" t="s">
        <v>2272</v>
      </c>
      <c r="N1018" s="3" t="s">
        <v>2272</v>
      </c>
      <c r="O1018" s="3" t="s">
        <v>2272</v>
      </c>
      <c r="P1018" s="3" t="s">
        <v>2272</v>
      </c>
      <c r="Q1018" s="3" t="s">
        <v>2272</v>
      </c>
      <c r="R1018" s="3" t="s">
        <v>2272</v>
      </c>
      <c r="S1018" s="3" t="s">
        <v>2272</v>
      </c>
      <c r="T1018" s="3" t="s">
        <v>2272</v>
      </c>
      <c r="U1018" s="3" t="s">
        <v>2272</v>
      </c>
      <c r="V1018" s="3" t="s">
        <v>2272</v>
      </c>
      <c r="W1018" s="3" t="s">
        <v>2272</v>
      </c>
      <c r="X1018" s="3" t="s">
        <v>2272</v>
      </c>
      <c r="Y1018" s="3" t="s">
        <v>2272</v>
      </c>
      <c r="Z1018" s="3" t="s">
        <v>2272</v>
      </c>
      <c r="AA1018" s="3" t="s">
        <v>2272</v>
      </c>
      <c r="AB1018" s="3"/>
      <c r="AC1018" s="3"/>
    </row>
    <row r="1019" spans="1:29"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2272</v>
      </c>
      <c r="K1019" s="198" t="s">
        <v>2272</v>
      </c>
      <c r="L1019" s="3" t="s">
        <v>2272</v>
      </c>
      <c r="M1019" s="3" t="s">
        <v>2272</v>
      </c>
      <c r="N1019" s="3" t="s">
        <v>2272</v>
      </c>
      <c r="O1019" s="3" t="s">
        <v>2272</v>
      </c>
      <c r="P1019" s="3" t="s">
        <v>2272</v>
      </c>
      <c r="Q1019" s="3" t="s">
        <v>2272</v>
      </c>
      <c r="R1019" s="3" t="s">
        <v>2272</v>
      </c>
      <c r="S1019" s="3" t="s">
        <v>2272</v>
      </c>
      <c r="T1019" s="3" t="s">
        <v>2272</v>
      </c>
      <c r="U1019" s="3" t="s">
        <v>2272</v>
      </c>
      <c r="V1019" s="3" t="s">
        <v>2272</v>
      </c>
      <c r="W1019" s="3" t="s">
        <v>2272</v>
      </c>
      <c r="X1019" s="3" t="s">
        <v>2272</v>
      </c>
      <c r="Y1019" s="3" t="s">
        <v>2272</v>
      </c>
      <c r="Z1019" s="3" t="s">
        <v>2272</v>
      </c>
      <c r="AA1019" s="3" t="s">
        <v>2272</v>
      </c>
      <c r="AB1019" s="3"/>
      <c r="AC1019" s="3"/>
    </row>
    <row r="1020" spans="1:29"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2272</v>
      </c>
      <c r="K1020" s="198" t="s">
        <v>2272</v>
      </c>
      <c r="L1020" s="3" t="s">
        <v>2272</v>
      </c>
      <c r="M1020" s="3" t="s">
        <v>2272</v>
      </c>
      <c r="N1020" s="3" t="s">
        <v>2272</v>
      </c>
      <c r="O1020" s="3" t="s">
        <v>2272</v>
      </c>
      <c r="P1020" s="3" t="s">
        <v>2272</v>
      </c>
      <c r="Q1020" s="3" t="s">
        <v>2272</v>
      </c>
      <c r="R1020" s="3" t="s">
        <v>2272</v>
      </c>
      <c r="S1020" s="3" t="s">
        <v>2272</v>
      </c>
      <c r="T1020" s="3" t="s">
        <v>2272</v>
      </c>
      <c r="U1020" s="3" t="s">
        <v>2272</v>
      </c>
      <c r="V1020" s="3" t="s">
        <v>2272</v>
      </c>
      <c r="W1020" s="3" t="s">
        <v>2272</v>
      </c>
      <c r="X1020" s="3" t="s">
        <v>2272</v>
      </c>
      <c r="Y1020" s="3" t="s">
        <v>2272</v>
      </c>
      <c r="Z1020" s="3" t="s">
        <v>2272</v>
      </c>
      <c r="AA1020" s="3" t="s">
        <v>2272</v>
      </c>
      <c r="AB1020" s="3"/>
      <c r="AC1020" s="3"/>
    </row>
    <row r="1021" spans="1:29"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2272</v>
      </c>
      <c r="K1021" s="198" t="s">
        <v>2272</v>
      </c>
      <c r="L1021" s="3" t="s">
        <v>2272</v>
      </c>
      <c r="M1021" s="3" t="s">
        <v>2272</v>
      </c>
      <c r="N1021" s="3" t="s">
        <v>2272</v>
      </c>
      <c r="O1021" s="3" t="s">
        <v>2272</v>
      </c>
      <c r="P1021" s="3" t="s">
        <v>2272</v>
      </c>
      <c r="Q1021" s="3" t="s">
        <v>2272</v>
      </c>
      <c r="R1021" s="3" t="s">
        <v>2272</v>
      </c>
      <c r="S1021" s="3" t="s">
        <v>2272</v>
      </c>
      <c r="T1021" s="3" t="s">
        <v>2272</v>
      </c>
      <c r="U1021" s="3" t="s">
        <v>2272</v>
      </c>
      <c r="V1021" s="3" t="s">
        <v>2272</v>
      </c>
      <c r="W1021" s="3" t="s">
        <v>2272</v>
      </c>
      <c r="X1021" s="3" t="s">
        <v>2272</v>
      </c>
      <c r="Y1021" s="3" t="s">
        <v>2272</v>
      </c>
      <c r="Z1021" s="3" t="s">
        <v>2272</v>
      </c>
      <c r="AA1021" s="3" t="s">
        <v>2272</v>
      </c>
      <c r="AB1021" s="3"/>
      <c r="AC1021" s="3"/>
    </row>
    <row r="1022" spans="1:29"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2272</v>
      </c>
      <c r="K1022" s="198" t="s">
        <v>2272</v>
      </c>
      <c r="L1022" s="3" t="s">
        <v>2272</v>
      </c>
      <c r="M1022" s="3" t="s">
        <v>2272</v>
      </c>
      <c r="N1022" s="3" t="s">
        <v>2272</v>
      </c>
      <c r="O1022" s="3" t="s">
        <v>2272</v>
      </c>
      <c r="P1022" s="3" t="s">
        <v>2272</v>
      </c>
      <c r="Q1022" s="3" t="s">
        <v>2272</v>
      </c>
      <c r="R1022" s="3" t="s">
        <v>2272</v>
      </c>
      <c r="S1022" s="3" t="s">
        <v>2272</v>
      </c>
      <c r="T1022" s="3" t="s">
        <v>2272</v>
      </c>
      <c r="U1022" s="3" t="s">
        <v>2272</v>
      </c>
      <c r="V1022" s="3" t="s">
        <v>2272</v>
      </c>
      <c r="W1022" s="3" t="s">
        <v>2272</v>
      </c>
      <c r="X1022" s="3" t="s">
        <v>2272</v>
      </c>
      <c r="Y1022" s="3" t="s">
        <v>2272</v>
      </c>
      <c r="Z1022" s="3" t="s">
        <v>2272</v>
      </c>
      <c r="AA1022" s="3" t="s">
        <v>2272</v>
      </c>
      <c r="AB1022" s="3"/>
      <c r="AC1022" s="3"/>
    </row>
    <row r="1023" spans="1:29"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2272</v>
      </c>
      <c r="K1023" s="198" t="s">
        <v>2272</v>
      </c>
      <c r="L1023" s="3" t="s">
        <v>2272</v>
      </c>
      <c r="M1023" s="3" t="s">
        <v>2272</v>
      </c>
      <c r="N1023" s="3" t="s">
        <v>2272</v>
      </c>
      <c r="O1023" s="3" t="s">
        <v>2272</v>
      </c>
      <c r="P1023" s="3" t="s">
        <v>2272</v>
      </c>
      <c r="Q1023" s="3" t="s">
        <v>2272</v>
      </c>
      <c r="R1023" s="3" t="s">
        <v>2272</v>
      </c>
      <c r="S1023" s="3" t="s">
        <v>2272</v>
      </c>
      <c r="T1023" s="3" t="s">
        <v>2272</v>
      </c>
      <c r="U1023" s="3" t="s">
        <v>2272</v>
      </c>
      <c r="V1023" s="3" t="s">
        <v>2272</v>
      </c>
      <c r="W1023" s="3" t="s">
        <v>2272</v>
      </c>
      <c r="X1023" s="3" t="s">
        <v>2272</v>
      </c>
      <c r="Y1023" s="3" t="s">
        <v>2272</v>
      </c>
      <c r="Z1023" s="3" t="s">
        <v>2272</v>
      </c>
      <c r="AA1023" s="3" t="s">
        <v>2272</v>
      </c>
      <c r="AB1023" s="4" t="s">
        <v>3158</v>
      </c>
      <c r="AC1023" s="3"/>
    </row>
    <row r="1024" spans="1:29"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2272</v>
      </c>
      <c r="K1024" s="198" t="s">
        <v>2272</v>
      </c>
      <c r="L1024" s="3" t="s">
        <v>2272</v>
      </c>
      <c r="M1024" s="3" t="s">
        <v>2272</v>
      </c>
      <c r="N1024" s="3" t="s">
        <v>2272</v>
      </c>
      <c r="O1024" s="3" t="s">
        <v>2272</v>
      </c>
      <c r="P1024" s="3" t="s">
        <v>2272</v>
      </c>
      <c r="Q1024" s="3" t="s">
        <v>2272</v>
      </c>
      <c r="R1024" s="3" t="s">
        <v>2272</v>
      </c>
      <c r="S1024" s="3" t="s">
        <v>2272</v>
      </c>
      <c r="T1024" s="3" t="s">
        <v>2272</v>
      </c>
      <c r="U1024" s="3" t="s">
        <v>2272</v>
      </c>
      <c r="V1024" s="3" t="s">
        <v>2272</v>
      </c>
      <c r="W1024" s="3" t="s">
        <v>2272</v>
      </c>
      <c r="X1024" s="3" t="s">
        <v>2398</v>
      </c>
      <c r="Y1024" s="3" t="s">
        <v>2272</v>
      </c>
      <c r="Z1024" s="3" t="s">
        <v>2272</v>
      </c>
      <c r="AA1024" s="3" t="s">
        <v>2272</v>
      </c>
      <c r="AB1024" s="3"/>
      <c r="AC1024" s="3" t="s">
        <v>3141</v>
      </c>
    </row>
    <row r="1025" spans="1:29"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2272</v>
      </c>
      <c r="K1025" s="198" t="s">
        <v>2272</v>
      </c>
      <c r="L1025" s="3" t="s">
        <v>2272</v>
      </c>
      <c r="M1025" s="3" t="s">
        <v>2272</v>
      </c>
      <c r="N1025" s="3" t="s">
        <v>2272</v>
      </c>
      <c r="O1025" s="3" t="s">
        <v>2272</v>
      </c>
      <c r="P1025" s="3" t="s">
        <v>2272</v>
      </c>
      <c r="Q1025" s="3" t="s">
        <v>2272</v>
      </c>
      <c r="R1025" s="3" t="s">
        <v>2272</v>
      </c>
      <c r="S1025" s="3" t="s">
        <v>2272</v>
      </c>
      <c r="T1025" s="3" t="s">
        <v>2272</v>
      </c>
      <c r="U1025" s="3" t="s">
        <v>2272</v>
      </c>
      <c r="V1025" s="3" t="s">
        <v>2272</v>
      </c>
      <c r="W1025" s="3" t="s">
        <v>2272</v>
      </c>
      <c r="X1025" s="3" t="s">
        <v>2272</v>
      </c>
      <c r="Y1025" s="3" t="s">
        <v>2272</v>
      </c>
      <c r="Z1025" s="3" t="s">
        <v>2272</v>
      </c>
      <c r="AA1025" s="3" t="s">
        <v>2272</v>
      </c>
      <c r="AB1025" s="3"/>
      <c r="AC1025" s="3"/>
    </row>
    <row r="1026" spans="1:29"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2272</v>
      </c>
      <c r="K1026" s="198" t="s">
        <v>2272</v>
      </c>
      <c r="L1026" s="3" t="s">
        <v>2272</v>
      </c>
      <c r="M1026" s="3" t="s">
        <v>2272</v>
      </c>
      <c r="N1026" s="3" t="s">
        <v>2272</v>
      </c>
      <c r="O1026" s="3" t="s">
        <v>2272</v>
      </c>
      <c r="P1026" s="3" t="s">
        <v>2272</v>
      </c>
      <c r="Q1026" s="3" t="s">
        <v>2272</v>
      </c>
      <c r="R1026" s="3" t="s">
        <v>2272</v>
      </c>
      <c r="S1026" s="3" t="s">
        <v>2272</v>
      </c>
      <c r="T1026" s="3" t="s">
        <v>2272</v>
      </c>
      <c r="U1026" s="3" t="s">
        <v>2272</v>
      </c>
      <c r="V1026" s="3" t="s">
        <v>2272</v>
      </c>
      <c r="W1026" s="3" t="s">
        <v>2272</v>
      </c>
      <c r="X1026" s="3" t="s">
        <v>2272</v>
      </c>
      <c r="Y1026" s="3" t="s">
        <v>2272</v>
      </c>
      <c r="Z1026" s="3" t="s">
        <v>2272</v>
      </c>
      <c r="AA1026" s="3" t="s">
        <v>2272</v>
      </c>
      <c r="AB1026" s="3"/>
      <c r="AC1026" s="3"/>
    </row>
    <row r="1027" spans="1:29"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2272</v>
      </c>
      <c r="K1027" s="198" t="s">
        <v>2272</v>
      </c>
      <c r="L1027" s="3" t="s">
        <v>2272</v>
      </c>
      <c r="M1027" s="3" t="s">
        <v>2272</v>
      </c>
      <c r="N1027" s="3" t="s">
        <v>2272</v>
      </c>
      <c r="O1027" s="3" t="s">
        <v>2272</v>
      </c>
      <c r="P1027" s="3" t="s">
        <v>2272</v>
      </c>
      <c r="Q1027" s="3" t="s">
        <v>2272</v>
      </c>
      <c r="R1027" s="3" t="s">
        <v>2272</v>
      </c>
      <c r="S1027" s="3" t="s">
        <v>2272</v>
      </c>
      <c r="T1027" s="3" t="s">
        <v>2272</v>
      </c>
      <c r="U1027" s="3" t="s">
        <v>2272</v>
      </c>
      <c r="V1027" s="3" t="s">
        <v>2272</v>
      </c>
      <c r="W1027" s="3" t="s">
        <v>2272</v>
      </c>
      <c r="X1027" s="3" t="s">
        <v>2272</v>
      </c>
      <c r="Y1027" s="3" t="s">
        <v>2272</v>
      </c>
      <c r="Z1027" s="3" t="s">
        <v>2272</v>
      </c>
      <c r="AA1027" s="3" t="s">
        <v>2272</v>
      </c>
      <c r="AB1027" s="4" t="s">
        <v>3154</v>
      </c>
      <c r="AC1027" s="3"/>
    </row>
    <row r="1028" spans="1:29"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2272</v>
      </c>
      <c r="K1028" s="198" t="s">
        <v>2272</v>
      </c>
      <c r="L1028" s="3" t="s">
        <v>2272</v>
      </c>
      <c r="M1028" s="3" t="s">
        <v>2272</v>
      </c>
      <c r="N1028" s="3" t="s">
        <v>2272</v>
      </c>
      <c r="O1028" s="3" t="s">
        <v>2272</v>
      </c>
      <c r="P1028" s="3" t="s">
        <v>2272</v>
      </c>
      <c r="Q1028" s="3" t="s">
        <v>2272</v>
      </c>
      <c r="R1028" s="3" t="s">
        <v>2272</v>
      </c>
      <c r="S1028" s="3" t="s">
        <v>2272</v>
      </c>
      <c r="T1028" s="3" t="s">
        <v>2272</v>
      </c>
      <c r="U1028" s="3" t="s">
        <v>2272</v>
      </c>
      <c r="V1028" s="3" t="s">
        <v>2272</v>
      </c>
      <c r="W1028" s="3" t="s">
        <v>2272</v>
      </c>
      <c r="X1028" s="3" t="s">
        <v>2272</v>
      </c>
      <c r="Y1028" s="3" t="s">
        <v>2272</v>
      </c>
      <c r="Z1028" s="3" t="s">
        <v>2272</v>
      </c>
      <c r="AA1028" s="3" t="s">
        <v>2272</v>
      </c>
      <c r="AB1028" s="3"/>
      <c r="AC1028" s="3"/>
    </row>
    <row r="1029" spans="1:29"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2272</v>
      </c>
      <c r="K1029" s="198" t="s">
        <v>2272</v>
      </c>
      <c r="L1029" s="3" t="s">
        <v>2272</v>
      </c>
      <c r="M1029" s="3" t="s">
        <v>2272</v>
      </c>
      <c r="N1029" s="3" t="s">
        <v>2272</v>
      </c>
      <c r="O1029" s="3" t="s">
        <v>2272</v>
      </c>
      <c r="P1029" s="3" t="s">
        <v>2272</v>
      </c>
      <c r="Q1029" s="3" t="s">
        <v>2272</v>
      </c>
      <c r="R1029" s="3" t="s">
        <v>2272</v>
      </c>
      <c r="S1029" s="3" t="s">
        <v>2272</v>
      </c>
      <c r="T1029" s="3" t="s">
        <v>2272</v>
      </c>
      <c r="U1029" s="3" t="s">
        <v>2272</v>
      </c>
      <c r="V1029" s="3" t="s">
        <v>2272</v>
      </c>
      <c r="W1029" s="3" t="s">
        <v>2272</v>
      </c>
      <c r="X1029" s="3" t="s">
        <v>2272</v>
      </c>
      <c r="Y1029" s="3" t="s">
        <v>2272</v>
      </c>
      <c r="Z1029" s="3" t="s">
        <v>2272</v>
      </c>
      <c r="AA1029" s="3" t="s">
        <v>2272</v>
      </c>
      <c r="AB1029" s="3"/>
      <c r="AC1029" s="3"/>
    </row>
    <row r="1030" spans="1:29"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2272</v>
      </c>
      <c r="K1030" s="198" t="s">
        <v>2272</v>
      </c>
      <c r="L1030" s="3" t="s">
        <v>2272</v>
      </c>
      <c r="M1030" s="3" t="s">
        <v>2272</v>
      </c>
      <c r="N1030" s="3" t="s">
        <v>2272</v>
      </c>
      <c r="O1030" s="3" t="s">
        <v>2272</v>
      </c>
      <c r="P1030" s="3" t="s">
        <v>2272</v>
      </c>
      <c r="Q1030" s="3" t="s">
        <v>2272</v>
      </c>
      <c r="R1030" s="3" t="s">
        <v>2272</v>
      </c>
      <c r="S1030" s="3" t="s">
        <v>2272</v>
      </c>
      <c r="T1030" s="3" t="s">
        <v>2272</v>
      </c>
      <c r="U1030" s="3" t="s">
        <v>2272</v>
      </c>
      <c r="V1030" s="3" t="s">
        <v>2272</v>
      </c>
      <c r="W1030" s="3" t="s">
        <v>2272</v>
      </c>
      <c r="X1030" s="3" t="s">
        <v>2272</v>
      </c>
      <c r="Y1030" s="3" t="s">
        <v>2272</v>
      </c>
      <c r="Z1030" s="3" t="s">
        <v>2272</v>
      </c>
      <c r="AA1030" s="3" t="s">
        <v>2272</v>
      </c>
      <c r="AB1030" s="3"/>
      <c r="AC1030" s="3"/>
    </row>
    <row r="1031" spans="1:29"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2272</v>
      </c>
      <c r="K1031" s="198" t="s">
        <v>2272</v>
      </c>
      <c r="L1031" s="3" t="s">
        <v>2272</v>
      </c>
      <c r="M1031" s="3" t="s">
        <v>2272</v>
      </c>
      <c r="N1031" s="3" t="s">
        <v>2272</v>
      </c>
      <c r="O1031" s="3" t="s">
        <v>2272</v>
      </c>
      <c r="P1031" s="3" t="s">
        <v>2272</v>
      </c>
      <c r="Q1031" s="3" t="s">
        <v>2272</v>
      </c>
      <c r="R1031" s="3" t="s">
        <v>2272</v>
      </c>
      <c r="S1031" s="3" t="s">
        <v>2272</v>
      </c>
      <c r="T1031" s="3" t="s">
        <v>2272</v>
      </c>
      <c r="U1031" s="3" t="s">
        <v>2272</v>
      </c>
      <c r="V1031" s="3" t="s">
        <v>2272</v>
      </c>
      <c r="W1031" s="3" t="s">
        <v>2272</v>
      </c>
      <c r="X1031" s="3" t="s">
        <v>2272</v>
      </c>
      <c r="Y1031" s="3" t="s">
        <v>2272</v>
      </c>
      <c r="Z1031" s="3" t="s">
        <v>2272</v>
      </c>
      <c r="AA1031" s="3" t="s">
        <v>2272</v>
      </c>
      <c r="AB1031" s="3"/>
      <c r="AC1031" s="3"/>
    </row>
    <row r="1032" spans="1:29"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2272</v>
      </c>
      <c r="K1032" s="198" t="s">
        <v>2272</v>
      </c>
      <c r="L1032" s="3" t="s">
        <v>2272</v>
      </c>
      <c r="M1032" s="3" t="s">
        <v>2272</v>
      </c>
      <c r="N1032" s="3" t="s">
        <v>2272</v>
      </c>
      <c r="O1032" s="3" t="s">
        <v>2272</v>
      </c>
      <c r="P1032" s="3" t="s">
        <v>2272</v>
      </c>
      <c r="Q1032" s="3" t="s">
        <v>2272</v>
      </c>
      <c r="R1032" s="3" t="s">
        <v>2272</v>
      </c>
      <c r="S1032" s="3" t="s">
        <v>2272</v>
      </c>
      <c r="T1032" s="3" t="s">
        <v>2272</v>
      </c>
      <c r="U1032" s="3" t="s">
        <v>2272</v>
      </c>
      <c r="V1032" s="3" t="s">
        <v>2272</v>
      </c>
      <c r="W1032" s="3" t="s">
        <v>2272</v>
      </c>
      <c r="X1032" s="3" t="s">
        <v>2272</v>
      </c>
      <c r="Y1032" s="3" t="s">
        <v>2272</v>
      </c>
      <c r="Z1032" s="3" t="s">
        <v>2272</v>
      </c>
      <c r="AA1032" s="3" t="s">
        <v>2272</v>
      </c>
      <c r="AB1032" s="3"/>
      <c r="AC1032" s="3"/>
    </row>
    <row r="1033" spans="1:29"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2272</v>
      </c>
      <c r="K1033" s="198" t="s">
        <v>2272</v>
      </c>
      <c r="L1033" s="3" t="s">
        <v>2272</v>
      </c>
      <c r="M1033" s="3" t="s">
        <v>2272</v>
      </c>
      <c r="N1033" s="3" t="s">
        <v>2272</v>
      </c>
      <c r="O1033" s="3" t="s">
        <v>2272</v>
      </c>
      <c r="P1033" s="3" t="s">
        <v>2272</v>
      </c>
      <c r="Q1033" s="3" t="s">
        <v>2272</v>
      </c>
      <c r="R1033" s="3" t="s">
        <v>2272</v>
      </c>
      <c r="S1033" s="3" t="s">
        <v>2272</v>
      </c>
      <c r="T1033" s="3" t="s">
        <v>2272</v>
      </c>
      <c r="U1033" s="3" t="s">
        <v>2272</v>
      </c>
      <c r="V1033" s="3" t="s">
        <v>2272</v>
      </c>
      <c r="W1033" s="3" t="s">
        <v>2272</v>
      </c>
      <c r="X1033" s="3" t="s">
        <v>2272</v>
      </c>
      <c r="Y1033" s="3" t="s">
        <v>2272</v>
      </c>
      <c r="Z1033" s="3" t="s">
        <v>2272</v>
      </c>
      <c r="AA1033" s="3" t="s">
        <v>2272</v>
      </c>
      <c r="AB1033" s="3"/>
      <c r="AC1033" s="3"/>
    </row>
    <row r="1034" spans="1:29"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2272</v>
      </c>
      <c r="K1034" s="198" t="s">
        <v>2272</v>
      </c>
      <c r="L1034" s="3" t="s">
        <v>2272</v>
      </c>
      <c r="M1034" s="3" t="s">
        <v>2272</v>
      </c>
      <c r="N1034" s="3" t="s">
        <v>2272</v>
      </c>
      <c r="O1034" s="3" t="s">
        <v>2272</v>
      </c>
      <c r="P1034" s="3" t="s">
        <v>2272</v>
      </c>
      <c r="Q1034" s="3" t="s">
        <v>2272</v>
      </c>
      <c r="R1034" s="3" t="s">
        <v>2272</v>
      </c>
      <c r="S1034" s="3" t="s">
        <v>2272</v>
      </c>
      <c r="T1034" s="3" t="s">
        <v>2272</v>
      </c>
      <c r="U1034" s="3" t="s">
        <v>2272</v>
      </c>
      <c r="V1034" s="3" t="s">
        <v>2272</v>
      </c>
      <c r="W1034" s="3" t="s">
        <v>2272</v>
      </c>
      <c r="X1034" s="3" t="s">
        <v>2272</v>
      </c>
      <c r="Y1034" s="3" t="s">
        <v>2272</v>
      </c>
      <c r="Z1034" s="3" t="s">
        <v>2272</v>
      </c>
      <c r="AA1034" s="3" t="s">
        <v>2272</v>
      </c>
      <c r="AB1034" s="3"/>
      <c r="AC1034" s="3"/>
    </row>
    <row r="1035" spans="1:29"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2272</v>
      </c>
      <c r="K1035" s="198" t="s">
        <v>2272</v>
      </c>
      <c r="L1035" s="3" t="s">
        <v>2272</v>
      </c>
      <c r="M1035" s="3" t="s">
        <v>2272</v>
      </c>
      <c r="N1035" s="3" t="s">
        <v>2272</v>
      </c>
      <c r="O1035" s="3" t="s">
        <v>2272</v>
      </c>
      <c r="P1035" s="3" t="s">
        <v>2272</v>
      </c>
      <c r="Q1035" s="3" t="s">
        <v>2272</v>
      </c>
      <c r="R1035" s="3" t="s">
        <v>2272</v>
      </c>
      <c r="S1035" s="3" t="s">
        <v>2272</v>
      </c>
      <c r="T1035" s="3" t="s">
        <v>2272</v>
      </c>
      <c r="U1035" s="3" t="s">
        <v>2272</v>
      </c>
      <c r="V1035" s="3" t="s">
        <v>2272</v>
      </c>
      <c r="W1035" s="3" t="s">
        <v>2272</v>
      </c>
      <c r="X1035" s="3" t="s">
        <v>2272</v>
      </c>
      <c r="Y1035" s="3" t="s">
        <v>2272</v>
      </c>
      <c r="Z1035" s="3" t="s">
        <v>2272</v>
      </c>
      <c r="AA1035" s="3" t="s">
        <v>2272</v>
      </c>
      <c r="AB1035" s="3"/>
      <c r="AC1035" s="3"/>
    </row>
    <row r="1036" spans="1:29"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2272</v>
      </c>
      <c r="K1036" s="198" t="s">
        <v>2272</v>
      </c>
      <c r="L1036" s="3" t="s">
        <v>2272</v>
      </c>
      <c r="M1036" s="3" t="s">
        <v>2272</v>
      </c>
      <c r="N1036" s="3" t="s">
        <v>2272</v>
      </c>
      <c r="O1036" s="3" t="s">
        <v>2272</v>
      </c>
      <c r="P1036" s="3" t="s">
        <v>2272</v>
      </c>
      <c r="Q1036" s="3" t="s">
        <v>2272</v>
      </c>
      <c r="R1036" s="3" t="s">
        <v>2272</v>
      </c>
      <c r="S1036" s="3" t="s">
        <v>2272</v>
      </c>
      <c r="T1036" s="3" t="s">
        <v>2272</v>
      </c>
      <c r="U1036" s="3" t="s">
        <v>2272</v>
      </c>
      <c r="V1036" s="3" t="s">
        <v>2272</v>
      </c>
      <c r="W1036" s="3" t="s">
        <v>2272</v>
      </c>
      <c r="X1036" s="3" t="s">
        <v>2272</v>
      </c>
      <c r="Y1036" s="3" t="s">
        <v>2272</v>
      </c>
      <c r="Z1036" s="3" t="s">
        <v>2272</v>
      </c>
      <c r="AA1036" s="3" t="s">
        <v>2272</v>
      </c>
      <c r="AB1036" s="3"/>
      <c r="AC1036" s="3"/>
    </row>
    <row r="1037" spans="1:29"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2272</v>
      </c>
      <c r="K1037" s="198" t="s">
        <v>2272</v>
      </c>
      <c r="L1037" s="3" t="s">
        <v>2272</v>
      </c>
      <c r="M1037" s="3" t="s">
        <v>2272</v>
      </c>
      <c r="N1037" s="3" t="s">
        <v>2272</v>
      </c>
      <c r="O1037" s="3" t="s">
        <v>2272</v>
      </c>
      <c r="P1037" s="3" t="s">
        <v>2272</v>
      </c>
      <c r="Q1037" s="3" t="s">
        <v>2272</v>
      </c>
      <c r="R1037" s="3" t="s">
        <v>2272</v>
      </c>
      <c r="S1037" s="3" t="s">
        <v>2272</v>
      </c>
      <c r="T1037" s="3" t="s">
        <v>2272</v>
      </c>
      <c r="U1037" s="3" t="s">
        <v>2272</v>
      </c>
      <c r="V1037" s="3" t="s">
        <v>2272</v>
      </c>
      <c r="W1037" s="3" t="s">
        <v>2272</v>
      </c>
      <c r="X1037" s="3" t="s">
        <v>2272</v>
      </c>
      <c r="Y1037" s="3" t="s">
        <v>2272</v>
      </c>
      <c r="Z1037" s="3" t="s">
        <v>2272</v>
      </c>
      <c r="AA1037" s="3" t="s">
        <v>2272</v>
      </c>
      <c r="AB1037" s="3"/>
      <c r="AC1037" s="3"/>
    </row>
    <row r="1038" spans="1:29"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2272</v>
      </c>
      <c r="K1038" s="198" t="s">
        <v>2272</v>
      </c>
      <c r="L1038" s="3" t="s">
        <v>2272</v>
      </c>
      <c r="M1038" s="3" t="s">
        <v>2272</v>
      </c>
      <c r="N1038" s="3" t="s">
        <v>2272</v>
      </c>
      <c r="O1038" s="3" t="s">
        <v>2272</v>
      </c>
      <c r="P1038" s="3" t="s">
        <v>2272</v>
      </c>
      <c r="Q1038" s="3" t="s">
        <v>2272</v>
      </c>
      <c r="R1038" s="3" t="s">
        <v>2272</v>
      </c>
      <c r="S1038" s="3" t="s">
        <v>2272</v>
      </c>
      <c r="T1038" s="3" t="s">
        <v>2272</v>
      </c>
      <c r="U1038" s="3" t="s">
        <v>2272</v>
      </c>
      <c r="V1038" s="3" t="s">
        <v>2272</v>
      </c>
      <c r="W1038" s="3" t="s">
        <v>2272</v>
      </c>
      <c r="X1038" s="3" t="s">
        <v>2272</v>
      </c>
      <c r="Y1038" s="3" t="s">
        <v>2272</v>
      </c>
      <c r="Z1038" s="3" t="s">
        <v>2272</v>
      </c>
      <c r="AA1038" s="3" t="s">
        <v>2272</v>
      </c>
      <c r="AB1038" s="3"/>
      <c r="AC1038" s="3"/>
    </row>
    <row r="1039" spans="1:29"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2272</v>
      </c>
      <c r="K1039" s="198" t="s">
        <v>2272</v>
      </c>
      <c r="L1039" s="3" t="s">
        <v>2272</v>
      </c>
      <c r="M1039" s="3" t="s">
        <v>2272</v>
      </c>
      <c r="N1039" s="3" t="s">
        <v>2272</v>
      </c>
      <c r="O1039" s="3" t="s">
        <v>2272</v>
      </c>
      <c r="P1039" s="3" t="s">
        <v>2272</v>
      </c>
      <c r="Q1039" s="3" t="s">
        <v>2272</v>
      </c>
      <c r="R1039" s="3" t="s">
        <v>2272</v>
      </c>
      <c r="S1039" s="3" t="s">
        <v>2272</v>
      </c>
      <c r="T1039" s="3" t="s">
        <v>2272</v>
      </c>
      <c r="U1039" s="3" t="s">
        <v>2272</v>
      </c>
      <c r="V1039" s="3" t="s">
        <v>2272</v>
      </c>
      <c r="W1039" s="3" t="s">
        <v>2272</v>
      </c>
      <c r="X1039" s="3" t="s">
        <v>2398</v>
      </c>
      <c r="Y1039" s="3" t="s">
        <v>2272</v>
      </c>
      <c r="Z1039" s="3" t="s">
        <v>2272</v>
      </c>
      <c r="AA1039" s="3" t="s">
        <v>2272</v>
      </c>
      <c r="AB1039" s="3"/>
      <c r="AC1039" s="3" t="s">
        <v>3141</v>
      </c>
    </row>
    <row r="1040" spans="1:29"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2272</v>
      </c>
      <c r="K1040" s="198" t="s">
        <v>2272</v>
      </c>
      <c r="L1040" s="3" t="s">
        <v>2272</v>
      </c>
      <c r="M1040" s="3" t="s">
        <v>2272</v>
      </c>
      <c r="N1040" s="3" t="s">
        <v>2272</v>
      </c>
      <c r="O1040" s="3" t="s">
        <v>2272</v>
      </c>
      <c r="P1040" s="3" t="s">
        <v>2272</v>
      </c>
      <c r="Q1040" s="3" t="s">
        <v>2272</v>
      </c>
      <c r="R1040" s="3" t="s">
        <v>2272</v>
      </c>
      <c r="S1040" s="3" t="s">
        <v>2272</v>
      </c>
      <c r="T1040" s="3" t="s">
        <v>2272</v>
      </c>
      <c r="U1040" s="3" t="s">
        <v>2272</v>
      </c>
      <c r="V1040" s="3" t="s">
        <v>2272</v>
      </c>
      <c r="W1040" s="3" t="s">
        <v>2272</v>
      </c>
      <c r="X1040" s="3" t="s">
        <v>2272</v>
      </c>
      <c r="Y1040" s="3" t="s">
        <v>2272</v>
      </c>
      <c r="Z1040" s="3" t="s">
        <v>2272</v>
      </c>
      <c r="AA1040" s="3" t="s">
        <v>2272</v>
      </c>
      <c r="AB1040" s="3"/>
      <c r="AC1040" s="3"/>
    </row>
    <row r="1041" spans="1:29"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2272</v>
      </c>
      <c r="K1041" s="198" t="s">
        <v>2272</v>
      </c>
      <c r="L1041" s="3" t="s">
        <v>2272</v>
      </c>
      <c r="M1041" s="3" t="s">
        <v>2272</v>
      </c>
      <c r="N1041" s="3" t="s">
        <v>2272</v>
      </c>
      <c r="O1041" s="3" t="s">
        <v>2272</v>
      </c>
      <c r="P1041" s="3" t="s">
        <v>2272</v>
      </c>
      <c r="Q1041" s="3" t="s">
        <v>2272</v>
      </c>
      <c r="R1041" s="3" t="s">
        <v>2272</v>
      </c>
      <c r="S1041" s="3" t="s">
        <v>2272</v>
      </c>
      <c r="T1041" s="3" t="s">
        <v>2272</v>
      </c>
      <c r="U1041" s="3" t="s">
        <v>2272</v>
      </c>
      <c r="V1041" s="3" t="s">
        <v>2272</v>
      </c>
      <c r="W1041" s="3" t="s">
        <v>2272</v>
      </c>
      <c r="X1041" s="3" t="s">
        <v>2272</v>
      </c>
      <c r="Y1041" s="3" t="s">
        <v>2272</v>
      </c>
      <c r="Z1041" s="3" t="s">
        <v>2272</v>
      </c>
      <c r="AA1041" s="3" t="s">
        <v>2272</v>
      </c>
      <c r="AB1041" s="3"/>
      <c r="AC1041" s="3"/>
    </row>
    <row r="1042" spans="1:29"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2272</v>
      </c>
      <c r="K1042" s="198" t="s">
        <v>2272</v>
      </c>
      <c r="L1042" s="3" t="s">
        <v>2272</v>
      </c>
      <c r="M1042" s="3" t="s">
        <v>2272</v>
      </c>
      <c r="N1042" s="3" t="s">
        <v>2272</v>
      </c>
      <c r="O1042" s="3" t="s">
        <v>2272</v>
      </c>
      <c r="P1042" s="3" t="s">
        <v>2272</v>
      </c>
      <c r="Q1042" s="3" t="s">
        <v>2272</v>
      </c>
      <c r="R1042" s="3" t="s">
        <v>2272</v>
      </c>
      <c r="S1042" s="3" t="s">
        <v>2272</v>
      </c>
      <c r="T1042" s="3" t="s">
        <v>2272</v>
      </c>
      <c r="U1042" s="3" t="s">
        <v>2272</v>
      </c>
      <c r="V1042" s="3" t="s">
        <v>2272</v>
      </c>
      <c r="W1042" s="3" t="s">
        <v>2272</v>
      </c>
      <c r="X1042" s="3" t="s">
        <v>2272</v>
      </c>
      <c r="Y1042" s="3" t="s">
        <v>2272</v>
      </c>
      <c r="Z1042" s="3" t="s">
        <v>2272</v>
      </c>
      <c r="AA1042" s="3" t="s">
        <v>2272</v>
      </c>
      <c r="AB1042" s="4" t="s">
        <v>3154</v>
      </c>
      <c r="AC1042" s="3"/>
    </row>
    <row r="1043" spans="1:29"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2272</v>
      </c>
      <c r="K1043" s="198" t="s">
        <v>2272</v>
      </c>
      <c r="L1043" s="3" t="s">
        <v>2272</v>
      </c>
      <c r="M1043" s="3" t="s">
        <v>2272</v>
      </c>
      <c r="N1043" s="3" t="s">
        <v>2272</v>
      </c>
      <c r="O1043" s="3" t="s">
        <v>2272</v>
      </c>
      <c r="P1043" s="3" t="s">
        <v>2272</v>
      </c>
      <c r="Q1043" s="3" t="s">
        <v>2272</v>
      </c>
      <c r="R1043" s="3" t="s">
        <v>2272</v>
      </c>
      <c r="S1043" s="3" t="s">
        <v>2272</v>
      </c>
      <c r="T1043" s="3" t="s">
        <v>2272</v>
      </c>
      <c r="U1043" s="3" t="s">
        <v>2272</v>
      </c>
      <c r="V1043" s="3" t="s">
        <v>2272</v>
      </c>
      <c r="W1043" s="3" t="s">
        <v>2272</v>
      </c>
      <c r="X1043" s="3" t="s">
        <v>2272</v>
      </c>
      <c r="Y1043" s="3" t="s">
        <v>2272</v>
      </c>
      <c r="Z1043" s="3" t="s">
        <v>2272</v>
      </c>
      <c r="AA1043" s="3" t="s">
        <v>2272</v>
      </c>
      <c r="AB1043" s="3"/>
      <c r="AC1043" s="3"/>
    </row>
    <row r="1044" spans="1:29"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2272</v>
      </c>
      <c r="K1044" s="198" t="s">
        <v>2272</v>
      </c>
      <c r="L1044" s="3" t="s">
        <v>2272</v>
      </c>
      <c r="M1044" s="3" t="s">
        <v>2272</v>
      </c>
      <c r="N1044" s="3" t="s">
        <v>2272</v>
      </c>
      <c r="O1044" s="3" t="s">
        <v>2272</v>
      </c>
      <c r="P1044" s="3" t="s">
        <v>2272</v>
      </c>
      <c r="Q1044" s="3" t="s">
        <v>2272</v>
      </c>
      <c r="R1044" s="3" t="s">
        <v>2272</v>
      </c>
      <c r="S1044" s="3" t="s">
        <v>2272</v>
      </c>
      <c r="T1044" s="3" t="s">
        <v>2272</v>
      </c>
      <c r="U1044" s="3" t="s">
        <v>2272</v>
      </c>
      <c r="V1044" s="3" t="s">
        <v>2272</v>
      </c>
      <c r="W1044" s="3" t="s">
        <v>2272</v>
      </c>
      <c r="X1044" s="3" t="s">
        <v>2272</v>
      </c>
      <c r="Y1044" s="3" t="s">
        <v>2272</v>
      </c>
      <c r="Z1044" s="3" t="s">
        <v>2272</v>
      </c>
      <c r="AA1044" s="3" t="s">
        <v>2272</v>
      </c>
      <c r="AB1044" s="3"/>
      <c r="AC1044" s="3"/>
    </row>
    <row r="1045" spans="1:29"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2272</v>
      </c>
      <c r="K1045" s="198" t="s">
        <v>2272</v>
      </c>
      <c r="L1045" s="3" t="s">
        <v>2272</v>
      </c>
      <c r="M1045" s="3" t="s">
        <v>2272</v>
      </c>
      <c r="N1045" s="3" t="s">
        <v>2272</v>
      </c>
      <c r="O1045" s="3" t="s">
        <v>2272</v>
      </c>
      <c r="P1045" s="3" t="s">
        <v>2272</v>
      </c>
      <c r="Q1045" s="3" t="s">
        <v>2272</v>
      </c>
      <c r="R1045" s="3" t="s">
        <v>2272</v>
      </c>
      <c r="S1045" s="3" t="s">
        <v>2272</v>
      </c>
      <c r="T1045" s="3" t="s">
        <v>2272</v>
      </c>
      <c r="U1045" s="3" t="s">
        <v>2272</v>
      </c>
      <c r="V1045" s="3" t="s">
        <v>2272</v>
      </c>
      <c r="W1045" s="3" t="s">
        <v>2272</v>
      </c>
      <c r="X1045" s="3" t="s">
        <v>2272</v>
      </c>
      <c r="Y1045" s="3" t="s">
        <v>2272</v>
      </c>
      <c r="Z1045" s="3" t="s">
        <v>2272</v>
      </c>
      <c r="AA1045" s="3" t="s">
        <v>2272</v>
      </c>
      <c r="AB1045" s="3"/>
      <c r="AC1045" s="3"/>
    </row>
    <row r="1046" spans="1:29"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2272</v>
      </c>
      <c r="K1046" s="198" t="s">
        <v>2272</v>
      </c>
      <c r="L1046" s="3" t="s">
        <v>2272</v>
      </c>
      <c r="M1046" s="3" t="s">
        <v>2272</v>
      </c>
      <c r="N1046" s="3" t="s">
        <v>2272</v>
      </c>
      <c r="O1046" s="3" t="s">
        <v>2272</v>
      </c>
      <c r="P1046" s="3" t="s">
        <v>2272</v>
      </c>
      <c r="Q1046" s="3" t="s">
        <v>2272</v>
      </c>
      <c r="R1046" s="3" t="s">
        <v>2272</v>
      </c>
      <c r="S1046" s="3" t="s">
        <v>2272</v>
      </c>
      <c r="T1046" s="3" t="s">
        <v>2272</v>
      </c>
      <c r="U1046" s="3" t="s">
        <v>2272</v>
      </c>
      <c r="V1046" s="3" t="s">
        <v>2272</v>
      </c>
      <c r="W1046" s="3" t="s">
        <v>2272</v>
      </c>
      <c r="X1046" s="3" t="s">
        <v>2272</v>
      </c>
      <c r="Y1046" s="3" t="s">
        <v>2272</v>
      </c>
      <c r="Z1046" s="3" t="s">
        <v>2272</v>
      </c>
      <c r="AA1046" s="3" t="s">
        <v>2272</v>
      </c>
      <c r="AB1046" s="3"/>
      <c r="AC1046" s="3"/>
    </row>
    <row r="1047" spans="1:29"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2272</v>
      </c>
      <c r="K1047" s="198" t="s">
        <v>2272</v>
      </c>
      <c r="L1047" s="3" t="s">
        <v>2272</v>
      </c>
      <c r="M1047" s="3" t="s">
        <v>2272</v>
      </c>
      <c r="N1047" s="3" t="s">
        <v>2272</v>
      </c>
      <c r="O1047" s="3" t="s">
        <v>2272</v>
      </c>
      <c r="P1047" s="3" t="s">
        <v>2272</v>
      </c>
      <c r="Q1047" s="3" t="s">
        <v>2272</v>
      </c>
      <c r="R1047" s="3" t="s">
        <v>2272</v>
      </c>
      <c r="S1047" s="3" t="s">
        <v>2272</v>
      </c>
      <c r="T1047" s="3" t="s">
        <v>2272</v>
      </c>
      <c r="U1047" s="3" t="s">
        <v>2272</v>
      </c>
      <c r="V1047" s="3" t="s">
        <v>2272</v>
      </c>
      <c r="W1047" s="3" t="s">
        <v>2272</v>
      </c>
      <c r="X1047" s="3" t="s">
        <v>2272</v>
      </c>
      <c r="Y1047" s="3" t="s">
        <v>2272</v>
      </c>
      <c r="Z1047" s="3" t="s">
        <v>2272</v>
      </c>
      <c r="AA1047" s="3" t="s">
        <v>2272</v>
      </c>
      <c r="AB1047" s="3"/>
      <c r="AC1047" s="3"/>
    </row>
    <row r="1048" spans="1:29"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2272</v>
      </c>
      <c r="K1048" s="198" t="s">
        <v>2272</v>
      </c>
      <c r="L1048" s="3" t="s">
        <v>2272</v>
      </c>
      <c r="M1048" s="3" t="s">
        <v>2272</v>
      </c>
      <c r="N1048" s="3" t="s">
        <v>2272</v>
      </c>
      <c r="O1048" s="3" t="s">
        <v>2272</v>
      </c>
      <c r="P1048" s="3" t="s">
        <v>2272</v>
      </c>
      <c r="Q1048" s="3" t="s">
        <v>2272</v>
      </c>
      <c r="R1048" s="3" t="s">
        <v>2272</v>
      </c>
      <c r="S1048" s="3" t="s">
        <v>2272</v>
      </c>
      <c r="T1048" s="3" t="s">
        <v>2272</v>
      </c>
      <c r="U1048" s="3" t="s">
        <v>2272</v>
      </c>
      <c r="V1048" s="3" t="s">
        <v>2272</v>
      </c>
      <c r="W1048" s="3" t="s">
        <v>2272</v>
      </c>
      <c r="X1048" s="3" t="s">
        <v>2272</v>
      </c>
      <c r="Y1048" s="3" t="s">
        <v>2272</v>
      </c>
      <c r="Z1048" s="3" t="s">
        <v>2272</v>
      </c>
      <c r="AA1048" s="3" t="s">
        <v>2272</v>
      </c>
      <c r="AB1048" s="3"/>
      <c r="AC1048" s="3"/>
    </row>
    <row r="1049" spans="1:29"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2272</v>
      </c>
      <c r="K1049" s="198" t="s">
        <v>2272</v>
      </c>
      <c r="L1049" s="3" t="s">
        <v>2272</v>
      </c>
      <c r="M1049" s="3" t="s">
        <v>2272</v>
      </c>
      <c r="N1049" s="3" t="s">
        <v>2272</v>
      </c>
      <c r="O1049" s="3" t="s">
        <v>2272</v>
      </c>
      <c r="P1049" s="3" t="s">
        <v>2272</v>
      </c>
      <c r="Q1049" s="3" t="s">
        <v>2272</v>
      </c>
      <c r="R1049" s="3" t="s">
        <v>2272</v>
      </c>
      <c r="S1049" s="3" t="s">
        <v>2272</v>
      </c>
      <c r="T1049" s="3" t="s">
        <v>2272</v>
      </c>
      <c r="U1049" s="3" t="s">
        <v>2272</v>
      </c>
      <c r="V1049" s="3" t="s">
        <v>2272</v>
      </c>
      <c r="W1049" s="3" t="s">
        <v>2272</v>
      </c>
      <c r="X1049" s="3" t="s">
        <v>2272</v>
      </c>
      <c r="Y1049" s="3" t="s">
        <v>2272</v>
      </c>
      <c r="Z1049" s="3" t="s">
        <v>2272</v>
      </c>
      <c r="AA1049" s="3" t="s">
        <v>2272</v>
      </c>
      <c r="AB1049" s="3"/>
      <c r="AC1049" s="3"/>
    </row>
    <row r="1050" spans="1:29"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2272</v>
      </c>
      <c r="K1050" s="198" t="s">
        <v>2272</v>
      </c>
      <c r="L1050" s="3" t="s">
        <v>2272</v>
      </c>
      <c r="M1050" s="3" t="s">
        <v>2272</v>
      </c>
      <c r="N1050" s="3" t="s">
        <v>2272</v>
      </c>
      <c r="O1050" s="3" t="s">
        <v>2272</v>
      </c>
      <c r="P1050" s="3" t="s">
        <v>2272</v>
      </c>
      <c r="Q1050" s="3" t="s">
        <v>2272</v>
      </c>
      <c r="R1050" s="3" t="s">
        <v>2272</v>
      </c>
      <c r="S1050" s="3" t="s">
        <v>2272</v>
      </c>
      <c r="T1050" s="3" t="s">
        <v>2272</v>
      </c>
      <c r="U1050" s="3" t="s">
        <v>2272</v>
      </c>
      <c r="V1050" s="3" t="s">
        <v>2272</v>
      </c>
      <c r="W1050" s="3" t="s">
        <v>2272</v>
      </c>
      <c r="X1050" s="3" t="s">
        <v>2272</v>
      </c>
      <c r="Y1050" s="3" t="s">
        <v>2272</v>
      </c>
      <c r="Z1050" s="3" t="s">
        <v>2272</v>
      </c>
      <c r="AA1050" s="3" t="s">
        <v>2272</v>
      </c>
      <c r="AB1050" s="3"/>
      <c r="AC1050" s="3"/>
    </row>
    <row r="1051" spans="1:29"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2272</v>
      </c>
      <c r="K1051" s="198" t="s">
        <v>2272</v>
      </c>
      <c r="L1051" s="3" t="s">
        <v>2272</v>
      </c>
      <c r="M1051" s="3" t="s">
        <v>2272</v>
      </c>
      <c r="N1051" s="3" t="s">
        <v>2272</v>
      </c>
      <c r="O1051" s="3" t="s">
        <v>2272</v>
      </c>
      <c r="P1051" s="3" t="s">
        <v>2272</v>
      </c>
      <c r="Q1051" s="3" t="s">
        <v>2272</v>
      </c>
      <c r="R1051" s="3" t="s">
        <v>2272</v>
      </c>
      <c r="S1051" s="3" t="s">
        <v>2272</v>
      </c>
      <c r="T1051" s="3" t="s">
        <v>2272</v>
      </c>
      <c r="U1051" s="3" t="s">
        <v>2272</v>
      </c>
      <c r="V1051" s="3" t="s">
        <v>2272</v>
      </c>
      <c r="W1051" s="3" t="s">
        <v>2272</v>
      </c>
      <c r="X1051" s="3"/>
      <c r="Y1051" s="3" t="s">
        <v>2272</v>
      </c>
      <c r="Z1051" s="3" t="s">
        <v>2272</v>
      </c>
      <c r="AA1051" s="3" t="s">
        <v>2272</v>
      </c>
      <c r="AB1051" s="3"/>
      <c r="AC1051" s="3"/>
    </row>
    <row r="1052" spans="1:29"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2272</v>
      </c>
      <c r="K1052" s="198" t="s">
        <v>2272</v>
      </c>
      <c r="L1052" s="3" t="s">
        <v>2272</v>
      </c>
      <c r="M1052" s="3" t="s">
        <v>2272</v>
      </c>
      <c r="N1052" s="3" t="s">
        <v>2272</v>
      </c>
      <c r="O1052" s="3" t="s">
        <v>2272</v>
      </c>
      <c r="P1052" s="3" t="s">
        <v>2272</v>
      </c>
      <c r="Q1052" s="3" t="s">
        <v>2272</v>
      </c>
      <c r="R1052" s="3" t="s">
        <v>2272</v>
      </c>
      <c r="S1052" s="3" t="s">
        <v>2272</v>
      </c>
      <c r="T1052" s="3" t="s">
        <v>2272</v>
      </c>
      <c r="U1052" s="3" t="s">
        <v>2272</v>
      </c>
      <c r="V1052" s="3" t="s">
        <v>2272</v>
      </c>
      <c r="W1052" s="3" t="s">
        <v>2272</v>
      </c>
      <c r="X1052" t="s">
        <v>2399</v>
      </c>
      <c r="Y1052" s="3" t="s">
        <v>402</v>
      </c>
      <c r="Z1052" s="3" t="s">
        <v>403</v>
      </c>
      <c r="AA1052" s="22" t="s">
        <v>63</v>
      </c>
      <c r="AB1052" s="3"/>
      <c r="AC1052" s="3" t="s">
        <v>3231</v>
      </c>
    </row>
    <row r="1053" spans="1:29"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2272</v>
      </c>
      <c r="K1053" s="198" t="s">
        <v>2272</v>
      </c>
      <c r="L1053" s="3" t="s">
        <v>2272</v>
      </c>
      <c r="M1053" s="3" t="s">
        <v>2272</v>
      </c>
      <c r="N1053" s="3" t="s">
        <v>2272</v>
      </c>
      <c r="O1053" s="3" t="s">
        <v>2272</v>
      </c>
      <c r="P1053" s="3" t="s">
        <v>2272</v>
      </c>
      <c r="Q1053" s="3" t="s">
        <v>2272</v>
      </c>
      <c r="R1053" s="3" t="s">
        <v>2272</v>
      </c>
      <c r="S1053" s="3" t="s">
        <v>2272</v>
      </c>
      <c r="T1053" s="3" t="s">
        <v>2391</v>
      </c>
      <c r="U1053" s="3" t="s">
        <v>2272</v>
      </c>
      <c r="V1053" s="3" t="s">
        <v>2272</v>
      </c>
      <c r="W1053" s="3" t="s">
        <v>2272</v>
      </c>
      <c r="X1053" s="3" t="s">
        <v>2272</v>
      </c>
      <c r="Y1053" s="3" t="s">
        <v>33</v>
      </c>
      <c r="Z1053" s="3" t="s">
        <v>403</v>
      </c>
      <c r="AA1053" s="22" t="s">
        <v>63</v>
      </c>
      <c r="AB1053" s="4" t="s">
        <v>3230</v>
      </c>
      <c r="AC1053" s="3"/>
    </row>
    <row r="1054" spans="1:29"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2272</v>
      </c>
      <c r="K1054" s="198" t="s">
        <v>2272</v>
      </c>
      <c r="L1054" s="3" t="s">
        <v>2272</v>
      </c>
      <c r="M1054" s="3" t="s">
        <v>2272</v>
      </c>
      <c r="N1054" s="3" t="s">
        <v>2272</v>
      </c>
      <c r="O1054" s="3" t="s">
        <v>2272</v>
      </c>
      <c r="P1054" s="3" t="s">
        <v>2272</v>
      </c>
      <c r="Q1054" s="3" t="s">
        <v>2272</v>
      </c>
      <c r="R1054" s="3" t="s">
        <v>2272</v>
      </c>
      <c r="S1054" s="3" t="s">
        <v>2272</v>
      </c>
      <c r="T1054" s="3" t="s">
        <v>2272</v>
      </c>
      <c r="U1054" s="3" t="s">
        <v>2272</v>
      </c>
      <c r="V1054" s="3" t="s">
        <v>2272</v>
      </c>
      <c r="W1054" s="3" t="s">
        <v>2272</v>
      </c>
      <c r="X1054" t="s">
        <v>2399</v>
      </c>
      <c r="Y1054" s="3" t="s">
        <v>402</v>
      </c>
      <c r="Z1054" s="3" t="s">
        <v>403</v>
      </c>
      <c r="AA1054" s="22" t="s">
        <v>63</v>
      </c>
      <c r="AB1054" s="3"/>
      <c r="AC1054" s="3" t="s">
        <v>3231</v>
      </c>
    </row>
    <row r="1055" spans="1:29"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2272</v>
      </c>
      <c r="K1055" s="198" t="s">
        <v>2272</v>
      </c>
      <c r="L1055" s="3" t="s">
        <v>2272</v>
      </c>
      <c r="M1055" s="3" t="s">
        <v>2272</v>
      </c>
      <c r="N1055" s="3" t="s">
        <v>2272</v>
      </c>
      <c r="O1055" s="3" t="s">
        <v>2272</v>
      </c>
      <c r="P1055" s="3" t="s">
        <v>2272</v>
      </c>
      <c r="Q1055" s="3" t="s">
        <v>2272</v>
      </c>
      <c r="R1055" s="3" t="s">
        <v>2272</v>
      </c>
      <c r="S1055" s="3" t="s">
        <v>2272</v>
      </c>
      <c r="T1055" s="3" t="s">
        <v>2391</v>
      </c>
      <c r="U1055" s="3" t="s">
        <v>2272</v>
      </c>
      <c r="V1055" s="3" t="s">
        <v>2272</v>
      </c>
      <c r="W1055" s="3" t="s">
        <v>2272</v>
      </c>
      <c r="X1055" s="3" t="s">
        <v>2272</v>
      </c>
      <c r="Y1055" s="3" t="s">
        <v>33</v>
      </c>
      <c r="Z1055" s="3" t="s">
        <v>403</v>
      </c>
      <c r="AA1055" s="22" t="s">
        <v>63</v>
      </c>
      <c r="AB1055" s="4" t="s">
        <v>3230</v>
      </c>
      <c r="AC1055" s="3"/>
    </row>
    <row r="1056" spans="1:29"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2272</v>
      </c>
      <c r="K1056" s="198" t="s">
        <v>2272</v>
      </c>
      <c r="L1056" s="3" t="s">
        <v>2272</v>
      </c>
      <c r="M1056" s="3" t="s">
        <v>2272</v>
      </c>
      <c r="N1056" s="3" t="s">
        <v>2272</v>
      </c>
      <c r="O1056" s="3" t="s">
        <v>2272</v>
      </c>
      <c r="P1056" s="3" t="s">
        <v>2272</v>
      </c>
      <c r="Q1056" s="3" t="s">
        <v>2272</v>
      </c>
      <c r="R1056" s="3" t="s">
        <v>2272</v>
      </c>
      <c r="S1056" s="3" t="s">
        <v>2272</v>
      </c>
      <c r="T1056" s="3" t="s">
        <v>2272</v>
      </c>
      <c r="U1056" s="3" t="s">
        <v>2272</v>
      </c>
      <c r="V1056" s="3" t="s">
        <v>2272</v>
      </c>
      <c r="W1056" s="3" t="s">
        <v>2272</v>
      </c>
      <c r="X1056" s="3" t="s">
        <v>2398</v>
      </c>
      <c r="Y1056" s="3" t="s">
        <v>2272</v>
      </c>
      <c r="Z1056" s="3" t="s">
        <v>2272</v>
      </c>
      <c r="AA1056" s="3" t="s">
        <v>2272</v>
      </c>
      <c r="AB1056" s="3"/>
      <c r="AC1056" s="4" t="s">
        <v>3278</v>
      </c>
    </row>
    <row r="1057" spans="1:29"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2272</v>
      </c>
      <c r="K1057" s="198" t="s">
        <v>2272</v>
      </c>
      <c r="L1057" s="3" t="s">
        <v>2272</v>
      </c>
      <c r="M1057" s="3" t="s">
        <v>2272</v>
      </c>
      <c r="N1057" s="3" t="s">
        <v>2272</v>
      </c>
      <c r="O1057" s="3" t="s">
        <v>2272</v>
      </c>
      <c r="P1057" s="3" t="s">
        <v>2272</v>
      </c>
      <c r="Q1057" s="3" t="s">
        <v>2272</v>
      </c>
      <c r="R1057" s="3" t="s">
        <v>2272</v>
      </c>
      <c r="S1057" s="3" t="s">
        <v>2272</v>
      </c>
      <c r="T1057" s="3" t="s">
        <v>2272</v>
      </c>
      <c r="U1057" s="3" t="s">
        <v>2272</v>
      </c>
      <c r="V1057" s="3" t="s">
        <v>2272</v>
      </c>
      <c r="W1057" s="3" t="s">
        <v>2272</v>
      </c>
      <c r="X1057" s="3" t="s">
        <v>2397</v>
      </c>
      <c r="Y1057" s="3" t="s">
        <v>2272</v>
      </c>
      <c r="Z1057" s="3" t="s">
        <v>2272</v>
      </c>
      <c r="AA1057" s="3" t="s">
        <v>2272</v>
      </c>
      <c r="AB1057" s="3"/>
      <c r="AC1057" s="4" t="s">
        <v>3278</v>
      </c>
    </row>
    <row r="1058" spans="1:29"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2272</v>
      </c>
      <c r="K1058" s="198" t="s">
        <v>2272</v>
      </c>
      <c r="L1058" s="3" t="s">
        <v>2272</v>
      </c>
      <c r="M1058" s="3" t="s">
        <v>2272</v>
      </c>
      <c r="N1058" s="3" t="s">
        <v>2272</v>
      </c>
      <c r="O1058" s="3" t="s">
        <v>2272</v>
      </c>
      <c r="P1058" s="3" t="s">
        <v>2272</v>
      </c>
      <c r="Q1058" s="3" t="s">
        <v>2272</v>
      </c>
      <c r="R1058" s="3" t="s">
        <v>2272</v>
      </c>
      <c r="S1058" s="3" t="s">
        <v>2272</v>
      </c>
      <c r="T1058" s="3" t="s">
        <v>2272</v>
      </c>
      <c r="U1058" s="3" t="s">
        <v>2272</v>
      </c>
      <c r="V1058" s="3" t="s">
        <v>2272</v>
      </c>
      <c r="W1058" s="3" t="s">
        <v>2272</v>
      </c>
      <c r="X1058" s="3" t="s">
        <v>2398</v>
      </c>
      <c r="Y1058" s="3" t="s">
        <v>2272</v>
      </c>
      <c r="Z1058" s="3" t="s">
        <v>2272</v>
      </c>
      <c r="AA1058" s="3" t="s">
        <v>2272</v>
      </c>
      <c r="AB1058" s="3"/>
      <c r="AC1058" s="4" t="s">
        <v>3278</v>
      </c>
    </row>
    <row r="1059" spans="1:29"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2272</v>
      </c>
      <c r="K1059" s="198" t="s">
        <v>2272</v>
      </c>
      <c r="L1059" s="3" t="s">
        <v>2272</v>
      </c>
      <c r="M1059" s="3" t="s">
        <v>2272</v>
      </c>
      <c r="N1059" s="3" t="s">
        <v>2272</v>
      </c>
      <c r="O1059" s="3" t="s">
        <v>2272</v>
      </c>
      <c r="P1059" s="3" t="s">
        <v>2272</v>
      </c>
      <c r="Q1059" s="3" t="s">
        <v>2272</v>
      </c>
      <c r="R1059" s="3" t="s">
        <v>2272</v>
      </c>
      <c r="S1059" s="3" t="s">
        <v>2272</v>
      </c>
      <c r="T1059" s="3" t="s">
        <v>2272</v>
      </c>
      <c r="U1059" s="3" t="s">
        <v>2272</v>
      </c>
      <c r="V1059" s="3" t="s">
        <v>2272</v>
      </c>
      <c r="W1059" s="3" t="s">
        <v>2272</v>
      </c>
      <c r="X1059" s="3" t="s">
        <v>2398</v>
      </c>
      <c r="Y1059" s="3" t="s">
        <v>2272</v>
      </c>
      <c r="Z1059" s="3" t="s">
        <v>2272</v>
      </c>
      <c r="AA1059" s="3" t="s">
        <v>2272</v>
      </c>
      <c r="AB1059" s="3"/>
      <c r="AC1059" s="4" t="s">
        <v>3278</v>
      </c>
    </row>
    <row r="1060" spans="1:29"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2272</v>
      </c>
      <c r="K1060" s="198" t="s">
        <v>2272</v>
      </c>
      <c r="L1060" s="3" t="s">
        <v>2272</v>
      </c>
      <c r="M1060" s="3" t="s">
        <v>2272</v>
      </c>
      <c r="N1060" s="3" t="s">
        <v>2272</v>
      </c>
      <c r="O1060" s="3" t="s">
        <v>2272</v>
      </c>
      <c r="P1060" s="3" t="s">
        <v>2272</v>
      </c>
      <c r="Q1060" s="3" t="s">
        <v>2272</v>
      </c>
      <c r="R1060" s="3" t="s">
        <v>2272</v>
      </c>
      <c r="S1060" s="3" t="s">
        <v>2272</v>
      </c>
      <c r="T1060" s="3" t="s">
        <v>2272</v>
      </c>
      <c r="U1060" s="3" t="s">
        <v>2272</v>
      </c>
      <c r="V1060" s="3" t="s">
        <v>2272</v>
      </c>
      <c r="W1060" s="3" t="s">
        <v>2272</v>
      </c>
      <c r="X1060" s="3" t="s">
        <v>2397</v>
      </c>
      <c r="Y1060" s="3" t="s">
        <v>2272</v>
      </c>
      <c r="Z1060" s="3" t="s">
        <v>2272</v>
      </c>
      <c r="AA1060" s="3" t="s">
        <v>2272</v>
      </c>
      <c r="AB1060" s="3"/>
      <c r="AC1060" s="4" t="s">
        <v>3278</v>
      </c>
    </row>
    <row r="1061" spans="1:29"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2272</v>
      </c>
      <c r="K1061" s="198" t="s">
        <v>2272</v>
      </c>
      <c r="L1061" s="3" t="s">
        <v>2272</v>
      </c>
      <c r="M1061" s="3" t="s">
        <v>2272</v>
      </c>
      <c r="N1061" s="3" t="s">
        <v>2272</v>
      </c>
      <c r="O1061" s="3" t="s">
        <v>2272</v>
      </c>
      <c r="P1061" s="3" t="s">
        <v>2272</v>
      </c>
      <c r="Q1061" s="3" t="s">
        <v>2272</v>
      </c>
      <c r="R1061" s="3" t="s">
        <v>2272</v>
      </c>
      <c r="S1061" s="3" t="s">
        <v>2272</v>
      </c>
      <c r="T1061" s="3" t="s">
        <v>2272</v>
      </c>
      <c r="U1061" s="3" t="s">
        <v>2272</v>
      </c>
      <c r="V1061" s="3" t="s">
        <v>2272</v>
      </c>
      <c r="W1061" s="3" t="s">
        <v>2272</v>
      </c>
      <c r="X1061" s="3" t="s">
        <v>2398</v>
      </c>
      <c r="Y1061" s="3" t="s">
        <v>2272</v>
      </c>
      <c r="Z1061" s="3" t="s">
        <v>2272</v>
      </c>
      <c r="AA1061" s="3" t="s">
        <v>2272</v>
      </c>
      <c r="AB1061" s="3"/>
      <c r="AC1061" s="4" t="s">
        <v>3278</v>
      </c>
    </row>
    <row r="1062" spans="1:29"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2272</v>
      </c>
      <c r="K1062" s="198" t="s">
        <v>2272</v>
      </c>
      <c r="L1062" s="3" t="s">
        <v>2272</v>
      </c>
      <c r="M1062" s="3" t="s">
        <v>2272</v>
      </c>
      <c r="N1062" s="3" t="s">
        <v>2272</v>
      </c>
      <c r="O1062" s="3" t="s">
        <v>2272</v>
      </c>
      <c r="P1062" s="3" t="s">
        <v>2272</v>
      </c>
      <c r="Q1062" s="3" t="s">
        <v>2272</v>
      </c>
      <c r="R1062" s="3" t="s">
        <v>2272</v>
      </c>
      <c r="S1062" s="3" t="s">
        <v>2272</v>
      </c>
      <c r="T1062" s="3" t="s">
        <v>2272</v>
      </c>
      <c r="U1062" s="3" t="s">
        <v>2272</v>
      </c>
      <c r="V1062" s="3" t="s">
        <v>2272</v>
      </c>
      <c r="W1062" s="3" t="s">
        <v>2272</v>
      </c>
      <c r="X1062" s="3" t="s">
        <v>2397</v>
      </c>
      <c r="Y1062" s="3" t="s">
        <v>2272</v>
      </c>
      <c r="Z1062" s="3" t="s">
        <v>2272</v>
      </c>
      <c r="AA1062" s="3" t="s">
        <v>2272</v>
      </c>
      <c r="AB1062" s="3"/>
      <c r="AC1062" s="4" t="s">
        <v>3278</v>
      </c>
    </row>
    <row r="1063" spans="1:29"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2272</v>
      </c>
      <c r="K1063" s="198" t="s">
        <v>2272</v>
      </c>
      <c r="L1063" s="3" t="s">
        <v>2272</v>
      </c>
      <c r="M1063" s="3" t="s">
        <v>2272</v>
      </c>
      <c r="N1063" s="3" t="s">
        <v>2272</v>
      </c>
      <c r="O1063" s="3" t="s">
        <v>2272</v>
      </c>
      <c r="P1063" s="3" t="s">
        <v>2272</v>
      </c>
      <c r="Q1063" s="3" t="s">
        <v>2272</v>
      </c>
      <c r="R1063" s="3" t="s">
        <v>2272</v>
      </c>
      <c r="S1063" s="3" t="s">
        <v>2272</v>
      </c>
      <c r="T1063" s="3" t="s">
        <v>2272</v>
      </c>
      <c r="U1063" s="3" t="s">
        <v>2272</v>
      </c>
      <c r="V1063" s="3" t="s">
        <v>2272</v>
      </c>
      <c r="W1063" s="3" t="s">
        <v>2272</v>
      </c>
      <c r="X1063" s="3" t="s">
        <v>2398</v>
      </c>
      <c r="Y1063" s="3" t="s">
        <v>2272</v>
      </c>
      <c r="Z1063" s="3" t="s">
        <v>2272</v>
      </c>
      <c r="AA1063" s="3" t="s">
        <v>2272</v>
      </c>
      <c r="AB1063" s="3"/>
      <c r="AC1063" s="4" t="s">
        <v>3278</v>
      </c>
    </row>
    <row r="1064" spans="1:29"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2272</v>
      </c>
      <c r="K1064" s="198" t="s">
        <v>2272</v>
      </c>
      <c r="L1064" s="3" t="s">
        <v>2272</v>
      </c>
      <c r="M1064" s="3" t="s">
        <v>2272</v>
      </c>
      <c r="N1064" s="3" t="s">
        <v>2272</v>
      </c>
      <c r="O1064" s="3" t="s">
        <v>2272</v>
      </c>
      <c r="P1064" s="3" t="s">
        <v>2272</v>
      </c>
      <c r="Q1064" s="3" t="s">
        <v>2272</v>
      </c>
      <c r="R1064" s="3" t="s">
        <v>2272</v>
      </c>
      <c r="S1064" s="3" t="s">
        <v>2272</v>
      </c>
      <c r="T1064" s="3" t="s">
        <v>2272</v>
      </c>
      <c r="U1064" s="3" t="s">
        <v>2272</v>
      </c>
      <c r="V1064" s="3" t="s">
        <v>2272</v>
      </c>
      <c r="W1064" s="3" t="s">
        <v>2272</v>
      </c>
      <c r="X1064" s="3" t="s">
        <v>2398</v>
      </c>
      <c r="Y1064" s="3" t="s">
        <v>2272</v>
      </c>
      <c r="Z1064" s="3" t="s">
        <v>2272</v>
      </c>
      <c r="AA1064" s="3" t="s">
        <v>2272</v>
      </c>
      <c r="AB1064" s="3"/>
      <c r="AC1064" s="4" t="s">
        <v>3278</v>
      </c>
    </row>
    <row r="1065" spans="1:29"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2272</v>
      </c>
      <c r="K1065" s="198" t="s">
        <v>2272</v>
      </c>
      <c r="L1065" s="3" t="s">
        <v>2272</v>
      </c>
      <c r="M1065" s="3" t="s">
        <v>2272</v>
      </c>
      <c r="N1065" s="3" t="s">
        <v>2272</v>
      </c>
      <c r="O1065" s="3" t="s">
        <v>2272</v>
      </c>
      <c r="P1065" s="3" t="s">
        <v>2272</v>
      </c>
      <c r="Q1065" s="3" t="s">
        <v>2272</v>
      </c>
      <c r="R1065" s="3" t="s">
        <v>2272</v>
      </c>
      <c r="S1065" s="3" t="s">
        <v>2272</v>
      </c>
      <c r="T1065" s="3" t="s">
        <v>2272</v>
      </c>
      <c r="U1065" s="3" t="s">
        <v>2272</v>
      </c>
      <c r="V1065" s="3" t="s">
        <v>2272</v>
      </c>
      <c r="W1065" s="3" t="s">
        <v>2272</v>
      </c>
      <c r="X1065" s="3" t="s">
        <v>2398</v>
      </c>
      <c r="Y1065" s="3" t="s">
        <v>2272</v>
      </c>
      <c r="Z1065" s="3" t="s">
        <v>2272</v>
      </c>
      <c r="AA1065" s="3" t="s">
        <v>2272</v>
      </c>
      <c r="AB1065" s="3"/>
      <c r="AC1065" s="4" t="s">
        <v>3278</v>
      </c>
    </row>
    <row r="1066" spans="1:29"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2272</v>
      </c>
      <c r="K1066" s="198" t="s">
        <v>2272</v>
      </c>
      <c r="L1066" s="3" t="s">
        <v>2272</v>
      </c>
      <c r="M1066" s="3" t="s">
        <v>2272</v>
      </c>
      <c r="N1066" s="3" t="s">
        <v>2272</v>
      </c>
      <c r="O1066" s="3" t="s">
        <v>2272</v>
      </c>
      <c r="P1066" s="3" t="s">
        <v>2272</v>
      </c>
      <c r="Q1066" s="3" t="s">
        <v>2272</v>
      </c>
      <c r="R1066" s="3" t="s">
        <v>2272</v>
      </c>
      <c r="S1066" s="3" t="s">
        <v>2272</v>
      </c>
      <c r="T1066" s="3" t="s">
        <v>2272</v>
      </c>
      <c r="U1066" s="3" t="s">
        <v>2272</v>
      </c>
      <c r="V1066" s="3" t="s">
        <v>2272</v>
      </c>
      <c r="W1066" s="3" t="s">
        <v>2272</v>
      </c>
      <c r="X1066" s="3" t="s">
        <v>2398</v>
      </c>
      <c r="Y1066" s="3" t="s">
        <v>2272</v>
      </c>
      <c r="Z1066" s="3" t="s">
        <v>2272</v>
      </c>
      <c r="AA1066" s="3" t="s">
        <v>2272</v>
      </c>
      <c r="AB1066" s="3"/>
      <c r="AC1066" s="4" t="s">
        <v>3278</v>
      </c>
    </row>
    <row r="1067" spans="1:29"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2272</v>
      </c>
      <c r="K1067" s="198" t="s">
        <v>2272</v>
      </c>
      <c r="L1067" s="3" t="s">
        <v>2272</v>
      </c>
      <c r="M1067" s="3" t="s">
        <v>2272</v>
      </c>
      <c r="N1067" s="3" t="s">
        <v>2272</v>
      </c>
      <c r="O1067" s="3" t="s">
        <v>2272</v>
      </c>
      <c r="P1067" s="3" t="s">
        <v>2272</v>
      </c>
      <c r="Q1067" s="3" t="s">
        <v>2272</v>
      </c>
      <c r="R1067" s="3" t="s">
        <v>2272</v>
      </c>
      <c r="S1067" s="3" t="s">
        <v>2272</v>
      </c>
      <c r="T1067" s="3" t="s">
        <v>2272</v>
      </c>
      <c r="U1067" s="3" t="s">
        <v>2272</v>
      </c>
      <c r="V1067" s="3" t="s">
        <v>2272</v>
      </c>
      <c r="W1067" s="3" t="s">
        <v>2272</v>
      </c>
      <c r="X1067" s="3" t="s">
        <v>2398</v>
      </c>
      <c r="Y1067" s="3" t="s">
        <v>2272</v>
      </c>
      <c r="Z1067" s="3" t="s">
        <v>2272</v>
      </c>
      <c r="AA1067" s="3" t="s">
        <v>2272</v>
      </c>
      <c r="AB1067" s="3"/>
      <c r="AC1067" s="4" t="s">
        <v>3278</v>
      </c>
    </row>
    <row r="1068" spans="1:29"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2272</v>
      </c>
      <c r="K1068" s="198" t="s">
        <v>2272</v>
      </c>
      <c r="L1068" s="3" t="s">
        <v>2272</v>
      </c>
      <c r="M1068" s="3" t="s">
        <v>2272</v>
      </c>
      <c r="N1068" s="3" t="s">
        <v>2272</v>
      </c>
      <c r="O1068" s="3" t="s">
        <v>2272</v>
      </c>
      <c r="P1068" s="3" t="s">
        <v>2272</v>
      </c>
      <c r="Q1068" s="3" t="s">
        <v>2272</v>
      </c>
      <c r="R1068" s="3" t="s">
        <v>2272</v>
      </c>
      <c r="S1068" s="3" t="s">
        <v>2272</v>
      </c>
      <c r="T1068" s="3" t="s">
        <v>2272</v>
      </c>
      <c r="U1068" s="3" t="s">
        <v>2272</v>
      </c>
      <c r="V1068" s="3" t="s">
        <v>2272</v>
      </c>
      <c r="W1068" s="3" t="s">
        <v>2272</v>
      </c>
      <c r="X1068" s="3" t="s">
        <v>2398</v>
      </c>
      <c r="Y1068" s="3" t="s">
        <v>2272</v>
      </c>
      <c r="Z1068" s="3" t="s">
        <v>2272</v>
      </c>
      <c r="AA1068" s="3" t="s">
        <v>2272</v>
      </c>
      <c r="AB1068" s="3"/>
      <c r="AC1068" s="4" t="s">
        <v>3278</v>
      </c>
    </row>
    <row r="1069" spans="1:29"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2272</v>
      </c>
      <c r="K1069" s="198" t="s">
        <v>2272</v>
      </c>
      <c r="L1069" s="3" t="s">
        <v>2272</v>
      </c>
      <c r="M1069" s="3" t="s">
        <v>2272</v>
      </c>
      <c r="N1069" s="3" t="s">
        <v>2272</v>
      </c>
      <c r="O1069" s="3" t="s">
        <v>2272</v>
      </c>
      <c r="P1069" s="3" t="s">
        <v>2272</v>
      </c>
      <c r="Q1069" s="3" t="s">
        <v>2272</v>
      </c>
      <c r="R1069" s="3" t="s">
        <v>2272</v>
      </c>
      <c r="S1069" s="3" t="s">
        <v>2272</v>
      </c>
      <c r="T1069" s="3" t="s">
        <v>2272</v>
      </c>
      <c r="U1069" s="3" t="s">
        <v>2272</v>
      </c>
      <c r="V1069" s="3" t="s">
        <v>2272</v>
      </c>
      <c r="W1069" s="3" t="s">
        <v>2272</v>
      </c>
      <c r="X1069" s="3" t="s">
        <v>2398</v>
      </c>
      <c r="Y1069" s="3" t="s">
        <v>2272</v>
      </c>
      <c r="Z1069" s="3" t="s">
        <v>2272</v>
      </c>
      <c r="AA1069" s="3" t="s">
        <v>2272</v>
      </c>
      <c r="AB1069" s="3"/>
      <c r="AC1069" s="4" t="s">
        <v>3278</v>
      </c>
    </row>
    <row r="1070" spans="1:29"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2272</v>
      </c>
      <c r="K1070" s="198" t="s">
        <v>2272</v>
      </c>
      <c r="L1070" s="3" t="s">
        <v>2272</v>
      </c>
      <c r="M1070" s="3" t="s">
        <v>2272</v>
      </c>
      <c r="N1070" s="3" t="s">
        <v>2272</v>
      </c>
      <c r="O1070" s="3" t="s">
        <v>2272</v>
      </c>
      <c r="P1070" s="3" t="s">
        <v>2272</v>
      </c>
      <c r="Q1070" s="3" t="s">
        <v>2272</v>
      </c>
      <c r="R1070" s="3" t="s">
        <v>2272</v>
      </c>
      <c r="S1070" s="3" t="s">
        <v>2272</v>
      </c>
      <c r="T1070" s="3" t="s">
        <v>2272</v>
      </c>
      <c r="U1070" s="3" t="s">
        <v>2272</v>
      </c>
      <c r="V1070" s="3" t="s">
        <v>2272</v>
      </c>
      <c r="W1070" s="3" t="s">
        <v>2272</v>
      </c>
      <c r="X1070" s="3" t="s">
        <v>2272</v>
      </c>
      <c r="Y1070" s="3" t="s">
        <v>33</v>
      </c>
      <c r="Z1070" s="3" t="s">
        <v>402</v>
      </c>
      <c r="AA1070" s="3" t="s">
        <v>75</v>
      </c>
      <c r="AB1070" s="4" t="s">
        <v>3289</v>
      </c>
      <c r="AC1070" s="4" t="s">
        <v>3287</v>
      </c>
    </row>
    <row r="1071" spans="1:29"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2272</v>
      </c>
      <c r="K1071" s="198" t="s">
        <v>2272</v>
      </c>
      <c r="L1071" s="3" t="s">
        <v>2272</v>
      </c>
      <c r="M1071" s="3" t="s">
        <v>2272</v>
      </c>
      <c r="N1071" s="3" t="s">
        <v>2272</v>
      </c>
      <c r="O1071" s="3" t="s">
        <v>2272</v>
      </c>
      <c r="P1071" s="3" t="s">
        <v>2272</v>
      </c>
      <c r="Q1071" s="3" t="s">
        <v>2272</v>
      </c>
      <c r="R1071" s="3" t="s">
        <v>2272</v>
      </c>
      <c r="S1071" s="3" t="s">
        <v>2272</v>
      </c>
      <c r="T1071" s="3" t="s">
        <v>2272</v>
      </c>
      <c r="U1071" s="3" t="s">
        <v>2272</v>
      </c>
      <c r="V1071" s="3" t="s">
        <v>2272</v>
      </c>
      <c r="W1071" s="3" t="s">
        <v>2272</v>
      </c>
      <c r="X1071" s="3" t="s">
        <v>2272</v>
      </c>
      <c r="Y1071" s="3" t="s">
        <v>403</v>
      </c>
      <c r="Z1071" s="3" t="s">
        <v>423</v>
      </c>
      <c r="AA1071" s="3" t="s">
        <v>75</v>
      </c>
      <c r="AB1071" s="3"/>
      <c r="AC1071" s="3"/>
    </row>
    <row r="1072" spans="1:29"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2272</v>
      </c>
      <c r="K1072" s="198" t="s">
        <v>2272</v>
      </c>
      <c r="L1072" s="3" t="s">
        <v>2272</v>
      </c>
      <c r="M1072" s="3" t="s">
        <v>2272</v>
      </c>
      <c r="N1072" s="3" t="s">
        <v>2272</v>
      </c>
      <c r="O1072" s="3" t="s">
        <v>2272</v>
      </c>
      <c r="P1072" s="3" t="s">
        <v>2272</v>
      </c>
      <c r="Q1072" s="3" t="s">
        <v>2272</v>
      </c>
      <c r="R1072" s="3" t="s">
        <v>2272</v>
      </c>
      <c r="S1072" s="3" t="s">
        <v>2272</v>
      </c>
      <c r="T1072" s="3" t="s">
        <v>2272</v>
      </c>
      <c r="U1072" s="3" t="s">
        <v>2272</v>
      </c>
      <c r="V1072" s="3" t="s">
        <v>2272</v>
      </c>
      <c r="W1072" s="3" t="s">
        <v>2272</v>
      </c>
      <c r="X1072" s="3" t="s">
        <v>2272</v>
      </c>
      <c r="Y1072" s="3" t="s">
        <v>186</v>
      </c>
      <c r="Z1072" s="3" t="s">
        <v>187</v>
      </c>
      <c r="AA1072" s="3" t="s">
        <v>2650</v>
      </c>
      <c r="AB1072" s="4" t="s">
        <v>3314</v>
      </c>
      <c r="AC1072" s="4" t="s">
        <v>3305</v>
      </c>
    </row>
    <row r="1073" spans="1:29"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2272</v>
      </c>
      <c r="K1073" s="198" t="s">
        <v>2272</v>
      </c>
      <c r="L1073" s="3" t="s">
        <v>2272</v>
      </c>
      <c r="M1073" s="3" t="s">
        <v>2272</v>
      </c>
      <c r="N1073" s="3" t="s">
        <v>2272</v>
      </c>
      <c r="O1073" s="3" t="s">
        <v>2272</v>
      </c>
      <c r="P1073" s="3" t="s">
        <v>2272</v>
      </c>
      <c r="Q1073" s="3" t="s">
        <v>2272</v>
      </c>
      <c r="R1073" s="3" t="s">
        <v>2272</v>
      </c>
      <c r="S1073" s="3" t="s">
        <v>2272</v>
      </c>
      <c r="T1073" s="3" t="s">
        <v>2272</v>
      </c>
      <c r="U1073" s="3" t="s">
        <v>2272</v>
      </c>
      <c r="V1073" s="3" t="s">
        <v>2272</v>
      </c>
      <c r="W1073" s="3" t="s">
        <v>2272</v>
      </c>
      <c r="X1073" s="3" t="s">
        <v>2272</v>
      </c>
      <c r="Y1073" s="3" t="s">
        <v>186</v>
      </c>
      <c r="Z1073" s="3" t="s">
        <v>187</v>
      </c>
      <c r="AA1073" s="3" t="s">
        <v>2650</v>
      </c>
      <c r="AB1073" s="4" t="s">
        <v>3314</v>
      </c>
      <c r="AC1073" s="4" t="s">
        <v>3305</v>
      </c>
    </row>
    <row r="1074" spans="1:29"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2272</v>
      </c>
      <c r="K1074" s="198" t="s">
        <v>2272</v>
      </c>
      <c r="L1074" s="3" t="s">
        <v>2272</v>
      </c>
      <c r="M1074" s="3" t="s">
        <v>2272</v>
      </c>
      <c r="N1074" s="3" t="s">
        <v>2272</v>
      </c>
      <c r="O1074" s="3" t="s">
        <v>2272</v>
      </c>
      <c r="P1074" s="3" t="s">
        <v>2272</v>
      </c>
      <c r="Q1074" s="3" t="s">
        <v>2272</v>
      </c>
      <c r="R1074" s="3" t="s">
        <v>2272</v>
      </c>
      <c r="S1074" s="3" t="s">
        <v>2272</v>
      </c>
      <c r="T1074" s="3" t="s">
        <v>2272</v>
      </c>
      <c r="U1074" s="3" t="s">
        <v>2272</v>
      </c>
      <c r="V1074" s="3" t="s">
        <v>2272</v>
      </c>
      <c r="W1074" s="3" t="s">
        <v>2272</v>
      </c>
      <c r="X1074" s="3" t="s">
        <v>2272</v>
      </c>
      <c r="Y1074" s="3" t="s">
        <v>186</v>
      </c>
      <c r="Z1074" s="3" t="s">
        <v>187</v>
      </c>
      <c r="AA1074" s="3" t="s">
        <v>2650</v>
      </c>
      <c r="AB1074" s="4" t="s">
        <v>3314</v>
      </c>
      <c r="AC1074" s="4" t="s">
        <v>3305</v>
      </c>
    </row>
    <row r="1075" spans="1:29"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2272</v>
      </c>
      <c r="K1075" s="198" t="s">
        <v>2272</v>
      </c>
      <c r="L1075" s="3" t="s">
        <v>2272</v>
      </c>
      <c r="M1075" s="3" t="s">
        <v>2272</v>
      </c>
      <c r="N1075" s="3" t="s">
        <v>2272</v>
      </c>
      <c r="O1075" s="3" t="s">
        <v>2272</v>
      </c>
      <c r="P1075" s="3" t="s">
        <v>2272</v>
      </c>
      <c r="Q1075" s="3" t="s">
        <v>2272</v>
      </c>
      <c r="R1075" s="3" t="s">
        <v>2272</v>
      </c>
      <c r="S1075" s="3" t="s">
        <v>2272</v>
      </c>
      <c r="T1075" s="3" t="s">
        <v>2272</v>
      </c>
      <c r="U1075" s="3" t="s">
        <v>2272</v>
      </c>
      <c r="V1075" s="3" t="s">
        <v>2272</v>
      </c>
      <c r="W1075" s="3" t="s">
        <v>2272</v>
      </c>
      <c r="X1075" s="3" t="s">
        <v>2272</v>
      </c>
      <c r="Y1075" s="3" t="s">
        <v>186</v>
      </c>
      <c r="Z1075" s="3" t="s">
        <v>187</v>
      </c>
      <c r="AA1075" s="3" t="s">
        <v>2650</v>
      </c>
      <c r="AB1075" s="4" t="s">
        <v>3314</v>
      </c>
      <c r="AC1075" s="4" t="s">
        <v>3305</v>
      </c>
    </row>
    <row r="1076" spans="1:29"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2272</v>
      </c>
      <c r="K1076" s="198" t="s">
        <v>2272</v>
      </c>
      <c r="L1076" s="3" t="s">
        <v>2272</v>
      </c>
      <c r="M1076" s="3" t="s">
        <v>2272</v>
      </c>
      <c r="N1076" s="3" t="s">
        <v>2272</v>
      </c>
      <c r="O1076" s="3" t="s">
        <v>2272</v>
      </c>
      <c r="P1076" s="3" t="s">
        <v>2272</v>
      </c>
      <c r="Q1076" s="3" t="s">
        <v>2272</v>
      </c>
      <c r="R1076" s="3" t="s">
        <v>2272</v>
      </c>
      <c r="S1076" s="3" t="s">
        <v>2272</v>
      </c>
      <c r="T1076" s="3" t="s">
        <v>2272</v>
      </c>
      <c r="U1076" s="3" t="s">
        <v>2272</v>
      </c>
      <c r="V1076" s="3" t="s">
        <v>2272</v>
      </c>
      <c r="W1076" s="3" t="s">
        <v>2272</v>
      </c>
      <c r="X1076" s="3" t="s">
        <v>2272</v>
      </c>
      <c r="Y1076" s="3" t="s">
        <v>186</v>
      </c>
      <c r="Z1076" s="3" t="s">
        <v>187</v>
      </c>
      <c r="AA1076" s="3" t="s">
        <v>2650</v>
      </c>
      <c r="AB1076" s="4" t="s">
        <v>3314</v>
      </c>
      <c r="AC1076" s="4" t="s">
        <v>3305</v>
      </c>
    </row>
    <row r="1077" spans="1:29"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2272</v>
      </c>
      <c r="K1077" s="198" t="s">
        <v>2272</v>
      </c>
      <c r="L1077" s="3" t="s">
        <v>2272</v>
      </c>
      <c r="M1077" s="3" t="s">
        <v>2272</v>
      </c>
      <c r="N1077" s="3" t="s">
        <v>2272</v>
      </c>
      <c r="O1077" s="3" t="s">
        <v>2272</v>
      </c>
      <c r="P1077" s="3" t="s">
        <v>2272</v>
      </c>
      <c r="Q1077" s="3" t="s">
        <v>2272</v>
      </c>
      <c r="R1077" s="3" t="s">
        <v>2272</v>
      </c>
      <c r="S1077" s="3" t="s">
        <v>2272</v>
      </c>
      <c r="T1077" s="3" t="s">
        <v>2272</v>
      </c>
      <c r="U1077" s="3" t="s">
        <v>2272</v>
      </c>
      <c r="V1077" s="3" t="s">
        <v>2272</v>
      </c>
      <c r="W1077" s="3" t="s">
        <v>2272</v>
      </c>
      <c r="X1077" s="3" t="s">
        <v>2272</v>
      </c>
      <c r="Y1077" s="3" t="s">
        <v>186</v>
      </c>
      <c r="Z1077" s="3" t="s">
        <v>187</v>
      </c>
      <c r="AA1077" s="3" t="s">
        <v>2650</v>
      </c>
      <c r="AB1077" s="4" t="s">
        <v>3314</v>
      </c>
      <c r="AC1077" s="4" t="s">
        <v>3305</v>
      </c>
    </row>
    <row r="1078" spans="1:29"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2272</v>
      </c>
      <c r="K1078" s="198" t="s">
        <v>2272</v>
      </c>
      <c r="L1078" s="3" t="s">
        <v>2272</v>
      </c>
      <c r="M1078" s="3" t="s">
        <v>2272</v>
      </c>
      <c r="N1078" s="3" t="s">
        <v>2272</v>
      </c>
      <c r="O1078" s="3" t="s">
        <v>2272</v>
      </c>
      <c r="P1078" s="3" t="s">
        <v>2272</v>
      </c>
      <c r="Q1078" s="3" t="s">
        <v>2272</v>
      </c>
      <c r="R1078" s="3" t="s">
        <v>2272</v>
      </c>
      <c r="S1078" s="3" t="s">
        <v>2272</v>
      </c>
      <c r="T1078" s="3" t="s">
        <v>2272</v>
      </c>
      <c r="U1078" s="3" t="s">
        <v>2272</v>
      </c>
      <c r="V1078" s="3" t="s">
        <v>2272</v>
      </c>
      <c r="W1078" s="3" t="s">
        <v>2272</v>
      </c>
      <c r="X1078" s="3" t="s">
        <v>2396</v>
      </c>
      <c r="Y1078" s="3" t="s">
        <v>186</v>
      </c>
      <c r="Z1078" s="3" t="s">
        <v>187</v>
      </c>
      <c r="AA1078" s="3" t="s">
        <v>2650</v>
      </c>
      <c r="AB1078" s="4" t="s">
        <v>3313</v>
      </c>
      <c r="AC1078" s="4" t="s">
        <v>3305</v>
      </c>
    </row>
    <row r="1079" spans="1:29"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2272</v>
      </c>
      <c r="K1079" s="198" t="s">
        <v>2272</v>
      </c>
      <c r="L1079" s="3" t="s">
        <v>2272</v>
      </c>
      <c r="M1079" s="3" t="s">
        <v>2272</v>
      </c>
      <c r="N1079" s="3" t="s">
        <v>2272</v>
      </c>
      <c r="O1079" s="3" t="s">
        <v>2272</v>
      </c>
      <c r="P1079" s="3" t="s">
        <v>2272</v>
      </c>
      <c r="Q1079" s="3" t="s">
        <v>2272</v>
      </c>
      <c r="R1079" s="3" t="s">
        <v>2272</v>
      </c>
      <c r="S1079" s="3" t="s">
        <v>2272</v>
      </c>
      <c r="T1079" s="3" t="s">
        <v>2272</v>
      </c>
      <c r="U1079" s="3" t="s">
        <v>2272</v>
      </c>
      <c r="V1079" s="3" t="s">
        <v>2272</v>
      </c>
      <c r="W1079" s="3" t="s">
        <v>2272</v>
      </c>
      <c r="X1079" s="3" t="s">
        <v>2396</v>
      </c>
      <c r="Y1079" s="3" t="s">
        <v>186</v>
      </c>
      <c r="Z1079" s="3" t="s">
        <v>187</v>
      </c>
      <c r="AA1079" s="3" t="s">
        <v>2650</v>
      </c>
      <c r="AB1079" s="4" t="s">
        <v>3313</v>
      </c>
      <c r="AC1079" s="4" t="s">
        <v>3305</v>
      </c>
    </row>
    <row r="1080" spans="1:29"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2272</v>
      </c>
      <c r="K1080" s="198" t="s">
        <v>2272</v>
      </c>
      <c r="L1080" s="3" t="s">
        <v>2272</v>
      </c>
      <c r="M1080" s="3" t="s">
        <v>2272</v>
      </c>
      <c r="N1080" s="3" t="s">
        <v>2272</v>
      </c>
      <c r="O1080" s="3" t="s">
        <v>2272</v>
      </c>
      <c r="P1080" s="3" t="s">
        <v>2272</v>
      </c>
      <c r="Q1080" s="3" t="s">
        <v>2272</v>
      </c>
      <c r="R1080" s="3" t="s">
        <v>2272</v>
      </c>
      <c r="S1080" s="3" t="s">
        <v>2272</v>
      </c>
      <c r="T1080" s="3" t="s">
        <v>2272</v>
      </c>
      <c r="U1080" s="3" t="s">
        <v>2272</v>
      </c>
      <c r="V1080" s="3" t="s">
        <v>2272</v>
      </c>
      <c r="W1080" s="3" t="s">
        <v>2272</v>
      </c>
      <c r="X1080" s="3" t="s">
        <v>2396</v>
      </c>
      <c r="Y1080" s="3" t="s">
        <v>186</v>
      </c>
      <c r="Z1080" s="3" t="s">
        <v>187</v>
      </c>
      <c r="AA1080" s="3" t="s">
        <v>2650</v>
      </c>
      <c r="AB1080" s="4" t="s">
        <v>3313</v>
      </c>
      <c r="AC1080" s="4" t="s">
        <v>3305</v>
      </c>
    </row>
    <row r="1081" spans="1:29"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2272</v>
      </c>
      <c r="K1081" s="198" t="s">
        <v>2272</v>
      </c>
      <c r="L1081" s="3" t="s">
        <v>2272</v>
      </c>
      <c r="M1081" s="3" t="s">
        <v>2272</v>
      </c>
      <c r="N1081" s="3" t="s">
        <v>2272</v>
      </c>
      <c r="O1081" s="3" t="s">
        <v>2272</v>
      </c>
      <c r="P1081" s="3" t="s">
        <v>2272</v>
      </c>
      <c r="Q1081" s="3" t="s">
        <v>2272</v>
      </c>
      <c r="R1081" s="3" t="s">
        <v>2272</v>
      </c>
      <c r="S1081" s="3" t="s">
        <v>2272</v>
      </c>
      <c r="T1081" s="3" t="s">
        <v>2272</v>
      </c>
      <c r="U1081" s="3" t="s">
        <v>2272</v>
      </c>
      <c r="V1081" s="3" t="s">
        <v>2272</v>
      </c>
      <c r="W1081" s="3" t="s">
        <v>2272</v>
      </c>
      <c r="X1081" s="3" t="s">
        <v>2272</v>
      </c>
      <c r="Y1081" s="3" t="s">
        <v>2272</v>
      </c>
      <c r="Z1081" s="3" t="s">
        <v>2272</v>
      </c>
      <c r="AA1081" s="3" t="s">
        <v>2272</v>
      </c>
      <c r="AB1081" s="4" t="s">
        <v>3323</v>
      </c>
      <c r="AC1081" s="4"/>
    </row>
    <row r="1082" spans="1:29"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2272</v>
      </c>
      <c r="K1082" s="198" t="s">
        <v>2272</v>
      </c>
      <c r="L1082" s="3" t="s">
        <v>2272</v>
      </c>
      <c r="M1082" s="3" t="s">
        <v>2272</v>
      </c>
      <c r="N1082" s="3" t="s">
        <v>2272</v>
      </c>
      <c r="O1082" s="3" t="s">
        <v>2272</v>
      </c>
      <c r="P1082" s="3" t="s">
        <v>2272</v>
      </c>
      <c r="Q1082" s="3" t="s">
        <v>2272</v>
      </c>
      <c r="R1082" s="3" t="s">
        <v>2272</v>
      </c>
      <c r="S1082" s="3" t="s">
        <v>2272</v>
      </c>
      <c r="T1082" s="3" t="s">
        <v>2272</v>
      </c>
      <c r="U1082" s="3" t="s">
        <v>2272</v>
      </c>
      <c r="V1082" s="3" t="s">
        <v>2272</v>
      </c>
      <c r="W1082" s="3" t="s">
        <v>2272</v>
      </c>
      <c r="X1082" s="3" t="s">
        <v>2272</v>
      </c>
      <c r="Y1082" s="3" t="s">
        <v>2272</v>
      </c>
      <c r="Z1082" s="3" t="s">
        <v>2272</v>
      </c>
      <c r="AA1082" s="3" t="s">
        <v>2272</v>
      </c>
      <c r="AB1082" s="4" t="s">
        <v>3323</v>
      </c>
      <c r="AC1082" s="4"/>
    </row>
    <row r="1083" spans="1:29"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2272</v>
      </c>
      <c r="K1083" s="198" t="s">
        <v>2272</v>
      </c>
      <c r="L1083" s="3" t="s">
        <v>2272</v>
      </c>
      <c r="M1083" s="3" t="s">
        <v>2272</v>
      </c>
      <c r="N1083" s="3" t="s">
        <v>2272</v>
      </c>
      <c r="O1083" s="3" t="s">
        <v>2272</v>
      </c>
      <c r="P1083" s="3" t="s">
        <v>2272</v>
      </c>
      <c r="Q1083" s="3" t="s">
        <v>2272</v>
      </c>
      <c r="R1083" s="3" t="s">
        <v>2272</v>
      </c>
      <c r="S1083" s="3" t="s">
        <v>2272</v>
      </c>
      <c r="T1083" s="3" t="s">
        <v>2272</v>
      </c>
      <c r="U1083" s="3" t="s">
        <v>2272</v>
      </c>
      <c r="V1083" s="3" t="s">
        <v>2272</v>
      </c>
      <c r="W1083" s="3" t="s">
        <v>2272</v>
      </c>
      <c r="X1083" s="3" t="s">
        <v>2272</v>
      </c>
      <c r="Y1083" s="3" t="s">
        <v>2272</v>
      </c>
      <c r="Z1083" s="3" t="s">
        <v>2272</v>
      </c>
      <c r="AA1083" s="3" t="s">
        <v>2272</v>
      </c>
      <c r="AB1083" s="4" t="s">
        <v>3323</v>
      </c>
      <c r="AC1083" s="4"/>
    </row>
    <row r="1084" spans="1:29"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2272</v>
      </c>
      <c r="K1084" s="198" t="s">
        <v>2272</v>
      </c>
      <c r="L1084" s="3" t="s">
        <v>2272</v>
      </c>
      <c r="M1084" s="3" t="s">
        <v>2272</v>
      </c>
      <c r="N1084" s="3" t="s">
        <v>2272</v>
      </c>
      <c r="O1084" s="3" t="s">
        <v>2272</v>
      </c>
      <c r="P1084" s="3" t="s">
        <v>2272</v>
      </c>
      <c r="Q1084" s="3" t="s">
        <v>2272</v>
      </c>
      <c r="R1084" s="3" t="s">
        <v>2272</v>
      </c>
      <c r="S1084" s="3" t="s">
        <v>2272</v>
      </c>
      <c r="T1084" s="3" t="s">
        <v>2272</v>
      </c>
      <c r="U1084" s="3" t="s">
        <v>2272</v>
      </c>
      <c r="V1084" s="3" t="s">
        <v>2272</v>
      </c>
      <c r="W1084" s="3" t="s">
        <v>2272</v>
      </c>
      <c r="X1084" s="3" t="s">
        <v>2272</v>
      </c>
      <c r="Y1084" s="3" t="s">
        <v>2272</v>
      </c>
      <c r="Z1084" s="3" t="s">
        <v>2272</v>
      </c>
      <c r="AA1084" s="3" t="s">
        <v>2272</v>
      </c>
      <c r="AB1084" s="4" t="s">
        <v>3323</v>
      </c>
      <c r="AC1084" s="3"/>
    </row>
    <row r="1085" spans="1:29"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2272</v>
      </c>
      <c r="K1085" s="198" t="s">
        <v>2272</v>
      </c>
      <c r="L1085" s="3" t="s">
        <v>2272</v>
      </c>
      <c r="M1085" s="3" t="s">
        <v>2272</v>
      </c>
      <c r="N1085" s="3" t="s">
        <v>2272</v>
      </c>
      <c r="O1085" s="3" t="s">
        <v>2272</v>
      </c>
      <c r="P1085" s="3" t="s">
        <v>2272</v>
      </c>
      <c r="Q1085" s="3" t="s">
        <v>2272</v>
      </c>
      <c r="R1085" s="3" t="s">
        <v>2272</v>
      </c>
      <c r="S1085" s="3" t="s">
        <v>2272</v>
      </c>
      <c r="T1085" s="3" t="s">
        <v>2272</v>
      </c>
      <c r="U1085" s="3" t="s">
        <v>2272</v>
      </c>
      <c r="V1085" s="3" t="s">
        <v>2272</v>
      </c>
      <c r="W1085" s="3" t="s">
        <v>2272</v>
      </c>
      <c r="X1085" s="3" t="s">
        <v>2272</v>
      </c>
      <c r="Y1085" s="3" t="s">
        <v>2272</v>
      </c>
      <c r="Z1085" s="3" t="s">
        <v>2272</v>
      </c>
      <c r="AA1085" s="3" t="s">
        <v>2272</v>
      </c>
      <c r="AB1085" s="4" t="s">
        <v>3323</v>
      </c>
      <c r="AC1085" s="3"/>
    </row>
    <row r="1086" spans="1:29"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2272</v>
      </c>
      <c r="K1086" s="198" t="s">
        <v>2272</v>
      </c>
      <c r="L1086" s="3" t="s">
        <v>2272</v>
      </c>
      <c r="M1086" s="3" t="s">
        <v>2272</v>
      </c>
      <c r="N1086" s="3" t="s">
        <v>2272</v>
      </c>
      <c r="O1086" s="3" t="s">
        <v>2272</v>
      </c>
      <c r="P1086" s="3" t="s">
        <v>2272</v>
      </c>
      <c r="Q1086" s="3" t="s">
        <v>2272</v>
      </c>
      <c r="R1086" s="3" t="s">
        <v>2272</v>
      </c>
      <c r="S1086" s="3" t="s">
        <v>2272</v>
      </c>
      <c r="T1086" s="3" t="s">
        <v>2272</v>
      </c>
      <c r="U1086" s="3" t="s">
        <v>2272</v>
      </c>
      <c r="V1086" s="3" t="s">
        <v>2272</v>
      </c>
      <c r="W1086" s="3" t="s">
        <v>2272</v>
      </c>
      <c r="X1086" s="3" t="s">
        <v>2272</v>
      </c>
      <c r="Y1086" s="3" t="s">
        <v>2272</v>
      </c>
      <c r="Z1086" s="3" t="s">
        <v>2272</v>
      </c>
      <c r="AA1086" s="3" t="s">
        <v>2272</v>
      </c>
      <c r="AB1086" s="4" t="s">
        <v>3323</v>
      </c>
      <c r="AC1086" s="3"/>
    </row>
    <row r="1087" spans="1:29"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2272</v>
      </c>
      <c r="K1087" s="198" t="s">
        <v>2272</v>
      </c>
      <c r="L1087" s="3" t="s">
        <v>2272</v>
      </c>
      <c r="M1087" s="3" t="s">
        <v>2272</v>
      </c>
      <c r="N1087" s="3" t="s">
        <v>2272</v>
      </c>
      <c r="O1087" s="3" t="s">
        <v>2272</v>
      </c>
      <c r="P1087" s="3" t="s">
        <v>2272</v>
      </c>
      <c r="Q1087" s="3" t="s">
        <v>2272</v>
      </c>
      <c r="R1087" s="3" t="s">
        <v>2272</v>
      </c>
      <c r="S1087" s="3" t="s">
        <v>2272</v>
      </c>
      <c r="T1087" s="3" t="s">
        <v>2272</v>
      </c>
      <c r="U1087" s="3" t="s">
        <v>2272</v>
      </c>
      <c r="V1087" s="3" t="s">
        <v>2272</v>
      </c>
      <c r="W1087" s="3" t="s">
        <v>2272</v>
      </c>
      <c r="X1087" s="3" t="s">
        <v>2272</v>
      </c>
      <c r="Y1087" s="3" t="s">
        <v>2272</v>
      </c>
      <c r="Z1087" s="3" t="s">
        <v>2272</v>
      </c>
      <c r="AA1087" s="3" t="s">
        <v>2272</v>
      </c>
      <c r="AB1087" s="19" t="s">
        <v>3335</v>
      </c>
      <c r="AC1087" s="3"/>
    </row>
    <row r="1088" spans="1:29"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2272</v>
      </c>
      <c r="K1088" s="198" t="s">
        <v>2272</v>
      </c>
      <c r="L1088" s="3" t="s">
        <v>2272</v>
      </c>
      <c r="M1088" s="3" t="s">
        <v>2272</v>
      </c>
      <c r="N1088" s="3" t="s">
        <v>2272</v>
      </c>
      <c r="O1088" s="3" t="s">
        <v>2272</v>
      </c>
      <c r="P1088" s="3" t="s">
        <v>2272</v>
      </c>
      <c r="Q1088" s="3" t="s">
        <v>2272</v>
      </c>
      <c r="R1088" s="3" t="s">
        <v>2272</v>
      </c>
      <c r="S1088" s="3" t="s">
        <v>2272</v>
      </c>
      <c r="T1088" s="3" t="s">
        <v>2272</v>
      </c>
      <c r="U1088" s="3" t="s">
        <v>2272</v>
      </c>
      <c r="V1088" s="3" t="s">
        <v>2272</v>
      </c>
      <c r="W1088" s="3" t="s">
        <v>2272</v>
      </c>
      <c r="X1088" s="3" t="s">
        <v>2272</v>
      </c>
      <c r="Y1088" s="3" t="s">
        <v>2272</v>
      </c>
      <c r="Z1088" s="3" t="s">
        <v>2272</v>
      </c>
      <c r="AA1088" s="3" t="s">
        <v>2272</v>
      </c>
      <c r="AB1088" s="19" t="s">
        <v>3338</v>
      </c>
      <c r="AC1088" s="3"/>
    </row>
    <row r="1089" spans="1:29"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2272</v>
      </c>
      <c r="K1089" s="198" t="s">
        <v>2272</v>
      </c>
      <c r="L1089" s="3" t="s">
        <v>2272</v>
      </c>
      <c r="M1089" s="3" t="s">
        <v>2272</v>
      </c>
      <c r="N1089" s="3" t="s">
        <v>2272</v>
      </c>
      <c r="O1089" s="3" t="s">
        <v>2272</v>
      </c>
      <c r="P1089" s="3" t="s">
        <v>2272</v>
      </c>
      <c r="Q1089" s="3" t="s">
        <v>2272</v>
      </c>
      <c r="R1089" s="3" t="s">
        <v>2272</v>
      </c>
      <c r="S1089" s="3" t="s">
        <v>2272</v>
      </c>
      <c r="T1089" s="3" t="s">
        <v>2272</v>
      </c>
      <c r="U1089" s="3" t="s">
        <v>2272</v>
      </c>
      <c r="V1089" s="3" t="s">
        <v>2272</v>
      </c>
      <c r="W1089" s="3" t="s">
        <v>2272</v>
      </c>
      <c r="X1089" s="3" t="s">
        <v>2272</v>
      </c>
      <c r="Y1089" s="3" t="s">
        <v>2272</v>
      </c>
      <c r="Z1089" s="3" t="s">
        <v>2272</v>
      </c>
      <c r="AA1089" s="3" t="s">
        <v>2272</v>
      </c>
      <c r="AB1089" s="19" t="s">
        <v>3341</v>
      </c>
      <c r="AC1089" s="3"/>
    </row>
    <row r="1090" spans="1:29"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2272</v>
      </c>
      <c r="K1090" s="198" t="s">
        <v>2272</v>
      </c>
      <c r="L1090" s="3" t="s">
        <v>2272</v>
      </c>
      <c r="M1090" s="3" t="s">
        <v>2272</v>
      </c>
      <c r="N1090" s="3" t="s">
        <v>2272</v>
      </c>
      <c r="O1090" s="3" t="s">
        <v>2272</v>
      </c>
      <c r="P1090" s="3" t="s">
        <v>2272</v>
      </c>
      <c r="Q1090" s="3" t="s">
        <v>2272</v>
      </c>
      <c r="R1090" s="3" t="s">
        <v>2272</v>
      </c>
      <c r="S1090" s="3" t="s">
        <v>2272</v>
      </c>
      <c r="T1090" s="3" t="s">
        <v>2272</v>
      </c>
      <c r="U1090" s="3" t="s">
        <v>2272</v>
      </c>
      <c r="V1090" s="3" t="s">
        <v>2272</v>
      </c>
      <c r="W1090" s="3" t="s">
        <v>2272</v>
      </c>
      <c r="X1090" s="3" t="s">
        <v>2272</v>
      </c>
      <c r="Y1090" s="3" t="s">
        <v>2272</v>
      </c>
      <c r="Z1090" s="3" t="s">
        <v>2272</v>
      </c>
      <c r="AA1090" s="3" t="s">
        <v>2272</v>
      </c>
      <c r="AB1090" s="19" t="s">
        <v>3340</v>
      </c>
      <c r="AC1090" s="3"/>
    </row>
    <row r="1091" spans="1:29"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2272</v>
      </c>
      <c r="K1091" s="198" t="s">
        <v>2272</v>
      </c>
      <c r="L1091" s="3" t="s">
        <v>2272</v>
      </c>
      <c r="M1091" s="3" t="s">
        <v>2272</v>
      </c>
      <c r="N1091" s="3" t="s">
        <v>2272</v>
      </c>
      <c r="O1091" s="3" t="s">
        <v>2272</v>
      </c>
      <c r="P1091" s="3" t="s">
        <v>2272</v>
      </c>
      <c r="Q1091" s="3" t="s">
        <v>2272</v>
      </c>
      <c r="R1091" s="3" t="s">
        <v>2272</v>
      </c>
      <c r="S1091" s="3" t="s">
        <v>2272</v>
      </c>
      <c r="T1091" s="3" t="s">
        <v>2272</v>
      </c>
      <c r="U1091" s="3" t="s">
        <v>2272</v>
      </c>
      <c r="V1091" s="3" t="s">
        <v>2272</v>
      </c>
      <c r="W1091" s="3" t="s">
        <v>2272</v>
      </c>
      <c r="X1091" s="3" t="s">
        <v>2272</v>
      </c>
      <c r="Y1091" s="3" t="s">
        <v>2272</v>
      </c>
      <c r="Z1091" s="3" t="s">
        <v>2272</v>
      </c>
      <c r="AA1091" s="3" t="s">
        <v>2272</v>
      </c>
      <c r="AB1091" s="3"/>
      <c r="AC1091" s="3"/>
    </row>
    <row r="1092" spans="1:29"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2272</v>
      </c>
      <c r="K1092" s="198" t="s">
        <v>2272</v>
      </c>
      <c r="L1092" s="3" t="s">
        <v>2272</v>
      </c>
      <c r="M1092" s="3" t="s">
        <v>2272</v>
      </c>
      <c r="N1092" s="3" t="s">
        <v>2272</v>
      </c>
      <c r="O1092" s="3" t="s">
        <v>2272</v>
      </c>
      <c r="P1092" s="3" t="s">
        <v>2272</v>
      </c>
      <c r="Q1092" s="3" t="s">
        <v>2272</v>
      </c>
      <c r="R1092" s="3" t="s">
        <v>2272</v>
      </c>
      <c r="S1092" s="3" t="s">
        <v>2272</v>
      </c>
      <c r="T1092" s="3" t="s">
        <v>2272</v>
      </c>
      <c r="U1092" s="3" t="s">
        <v>2272</v>
      </c>
      <c r="V1092" s="3" t="s">
        <v>2272</v>
      </c>
      <c r="W1092" s="3" t="s">
        <v>2272</v>
      </c>
      <c r="X1092" s="3" t="s">
        <v>2272</v>
      </c>
      <c r="Y1092" s="3" t="s">
        <v>2272</v>
      </c>
      <c r="Z1092" s="3" t="s">
        <v>2272</v>
      </c>
      <c r="AA1092" s="3" t="s">
        <v>2272</v>
      </c>
      <c r="AB1092" s="3"/>
      <c r="AC1092" s="3"/>
    </row>
    <row r="1093" spans="1:29"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2272</v>
      </c>
      <c r="K1093" s="198" t="s">
        <v>2272</v>
      </c>
      <c r="L1093" s="3" t="s">
        <v>2272</v>
      </c>
      <c r="M1093" s="3" t="s">
        <v>2272</v>
      </c>
      <c r="N1093" s="3" t="s">
        <v>2272</v>
      </c>
      <c r="O1093" s="3" t="s">
        <v>2272</v>
      </c>
      <c r="P1093" s="3" t="s">
        <v>2272</v>
      </c>
      <c r="Q1093" s="3" t="s">
        <v>2272</v>
      </c>
      <c r="R1093" s="3" t="s">
        <v>2272</v>
      </c>
      <c r="S1093" s="3" t="s">
        <v>2272</v>
      </c>
      <c r="T1093" s="3" t="s">
        <v>2272</v>
      </c>
      <c r="U1093" s="3" t="s">
        <v>2272</v>
      </c>
      <c r="V1093" s="3" t="s">
        <v>2272</v>
      </c>
      <c r="W1093" s="3" t="s">
        <v>2272</v>
      </c>
      <c r="X1093" s="3" t="s">
        <v>2272</v>
      </c>
      <c r="Y1093" s="3" t="s">
        <v>2272</v>
      </c>
      <c r="Z1093" s="3" t="s">
        <v>2272</v>
      </c>
      <c r="AA1093" s="3" t="s">
        <v>2272</v>
      </c>
      <c r="AB1093" s="3" t="s">
        <v>3345</v>
      </c>
      <c r="AC1093" s="3"/>
    </row>
    <row r="1094" spans="1:29"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2272</v>
      </c>
      <c r="K1094" s="198" t="s">
        <v>2272</v>
      </c>
      <c r="L1094" s="3" t="s">
        <v>2272</v>
      </c>
      <c r="M1094" s="3" t="s">
        <v>2272</v>
      </c>
      <c r="N1094" s="3" t="s">
        <v>2272</v>
      </c>
      <c r="O1094" s="3" t="s">
        <v>2272</v>
      </c>
      <c r="P1094" s="3" t="s">
        <v>2272</v>
      </c>
      <c r="Q1094" s="3" t="s">
        <v>2272</v>
      </c>
      <c r="R1094" s="3" t="s">
        <v>2272</v>
      </c>
      <c r="S1094" s="3" t="s">
        <v>2272</v>
      </c>
      <c r="T1094" s="3" t="s">
        <v>2272</v>
      </c>
      <c r="U1094" s="3" t="s">
        <v>2384</v>
      </c>
      <c r="V1094" s="3" t="s">
        <v>2272</v>
      </c>
      <c r="W1094" s="3" t="s">
        <v>2272</v>
      </c>
      <c r="X1094" s="3" t="s">
        <v>2272</v>
      </c>
      <c r="Y1094" s="3" t="s">
        <v>423</v>
      </c>
      <c r="Z1094" s="3" t="s">
        <v>125</v>
      </c>
      <c r="AA1094" s="3" t="s">
        <v>63</v>
      </c>
      <c r="AB1094" s="3"/>
      <c r="AC1094" s="4" t="s">
        <v>3354</v>
      </c>
    </row>
    <row r="1095" spans="1:29"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2272</v>
      </c>
      <c r="K1095" s="198" t="s">
        <v>2272</v>
      </c>
      <c r="L1095" s="3" t="s">
        <v>2272</v>
      </c>
      <c r="M1095" s="3" t="s">
        <v>2272</v>
      </c>
      <c r="N1095" s="3" t="s">
        <v>2272</v>
      </c>
      <c r="O1095" s="3" t="s">
        <v>2272</v>
      </c>
      <c r="P1095" s="3" t="s">
        <v>2272</v>
      </c>
      <c r="Q1095" s="3" t="s">
        <v>2272</v>
      </c>
      <c r="R1095" s="3" t="s">
        <v>2272</v>
      </c>
      <c r="S1095" s="3" t="s">
        <v>2272</v>
      </c>
      <c r="T1095" s="3" t="s">
        <v>2272</v>
      </c>
      <c r="U1095" s="3" t="s">
        <v>2522</v>
      </c>
      <c r="V1095" s="3" t="s">
        <v>2272</v>
      </c>
      <c r="W1095" s="3" t="s">
        <v>2272</v>
      </c>
      <c r="X1095" s="3" t="s">
        <v>2272</v>
      </c>
      <c r="Y1095" s="3" t="s">
        <v>423</v>
      </c>
      <c r="Z1095" s="3" t="s">
        <v>125</v>
      </c>
      <c r="AA1095" s="3" t="s">
        <v>63</v>
      </c>
      <c r="AB1095" s="3"/>
      <c r="AC1095" s="4" t="s">
        <v>3354</v>
      </c>
    </row>
    <row r="1096" spans="1:29"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2272</v>
      </c>
      <c r="K1096" s="198" t="s">
        <v>2272</v>
      </c>
      <c r="L1096" s="3" t="s">
        <v>2272</v>
      </c>
      <c r="M1096" s="3" t="s">
        <v>2272</v>
      </c>
      <c r="N1096" s="3" t="s">
        <v>2272</v>
      </c>
      <c r="O1096" s="3" t="s">
        <v>2272</v>
      </c>
      <c r="P1096" s="3" t="s">
        <v>2272</v>
      </c>
      <c r="Q1096" s="3" t="s">
        <v>2272</v>
      </c>
      <c r="R1096" s="3" t="s">
        <v>2272</v>
      </c>
      <c r="S1096" s="3" t="s">
        <v>2272</v>
      </c>
      <c r="T1096" s="3" t="s">
        <v>2272</v>
      </c>
      <c r="U1096" s="3" t="s">
        <v>2522</v>
      </c>
      <c r="V1096" s="3" t="s">
        <v>2272</v>
      </c>
      <c r="W1096" s="3" t="s">
        <v>2272</v>
      </c>
      <c r="X1096" s="3" t="s">
        <v>2272</v>
      </c>
      <c r="Y1096" s="3" t="s">
        <v>423</v>
      </c>
      <c r="Z1096" s="3" t="s">
        <v>125</v>
      </c>
      <c r="AA1096" s="3" t="s">
        <v>63</v>
      </c>
      <c r="AB1096" s="3"/>
      <c r="AC1096" s="4" t="s">
        <v>3354</v>
      </c>
    </row>
    <row r="1097" spans="1:29"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2272</v>
      </c>
      <c r="K1097" s="198" t="s">
        <v>2272</v>
      </c>
      <c r="L1097" s="3" t="s">
        <v>2272</v>
      </c>
      <c r="M1097" s="3" t="s">
        <v>2272</v>
      </c>
      <c r="N1097" s="3" t="s">
        <v>2272</v>
      </c>
      <c r="O1097" s="3" t="s">
        <v>2272</v>
      </c>
      <c r="P1097" s="3" t="s">
        <v>2272</v>
      </c>
      <c r="Q1097" s="3" t="s">
        <v>2272</v>
      </c>
      <c r="R1097" s="3" t="s">
        <v>2272</v>
      </c>
      <c r="S1097" s="3" t="s">
        <v>2272</v>
      </c>
      <c r="T1097" s="3" t="s">
        <v>2272</v>
      </c>
      <c r="U1097" s="3" t="s">
        <v>2522</v>
      </c>
      <c r="V1097" s="3" t="s">
        <v>2272</v>
      </c>
      <c r="W1097" s="3" t="s">
        <v>2272</v>
      </c>
      <c r="X1097" s="3" t="s">
        <v>2272</v>
      </c>
      <c r="Y1097" s="3" t="s">
        <v>423</v>
      </c>
      <c r="Z1097" s="3" t="s">
        <v>125</v>
      </c>
      <c r="AA1097" s="3" t="s">
        <v>63</v>
      </c>
      <c r="AB1097" s="3"/>
      <c r="AC1097" s="4" t="s">
        <v>3354</v>
      </c>
    </row>
    <row r="1098" spans="1:29"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2272</v>
      </c>
      <c r="K1098" s="198" t="s">
        <v>2272</v>
      </c>
      <c r="L1098" s="3" t="s">
        <v>2272</v>
      </c>
      <c r="M1098" s="3" t="s">
        <v>2272</v>
      </c>
      <c r="N1098" s="3" t="s">
        <v>2272</v>
      </c>
      <c r="O1098" s="3" t="s">
        <v>2272</v>
      </c>
      <c r="P1098" s="3" t="s">
        <v>2272</v>
      </c>
      <c r="Q1098" s="3" t="s">
        <v>2272</v>
      </c>
      <c r="R1098" s="3" t="s">
        <v>2272</v>
      </c>
      <c r="S1098" s="3" t="s">
        <v>2272</v>
      </c>
      <c r="T1098" s="3" t="s">
        <v>2272</v>
      </c>
      <c r="U1098" s="3" t="s">
        <v>2371</v>
      </c>
      <c r="V1098" s="3" t="s">
        <v>2272</v>
      </c>
      <c r="W1098" s="3" t="s">
        <v>2272</v>
      </c>
      <c r="X1098" s="3" t="s">
        <v>2272</v>
      </c>
      <c r="Y1098" s="3" t="s">
        <v>423</v>
      </c>
      <c r="Z1098" s="3" t="s">
        <v>125</v>
      </c>
      <c r="AA1098" s="3" t="s">
        <v>63</v>
      </c>
      <c r="AB1098" s="3"/>
      <c r="AC1098" s="4" t="s">
        <v>3354</v>
      </c>
    </row>
    <row r="1099" spans="1:29"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2272</v>
      </c>
      <c r="K1099" s="198" t="s">
        <v>2272</v>
      </c>
      <c r="L1099" s="3" t="s">
        <v>2272</v>
      </c>
      <c r="M1099" s="3" t="s">
        <v>2272</v>
      </c>
      <c r="N1099" s="3" t="s">
        <v>2272</v>
      </c>
      <c r="O1099" s="3" t="s">
        <v>2272</v>
      </c>
      <c r="P1099" s="3" t="s">
        <v>2272</v>
      </c>
      <c r="Q1099" s="3" t="s">
        <v>2272</v>
      </c>
      <c r="R1099" s="3" t="s">
        <v>2272</v>
      </c>
      <c r="S1099" s="3" t="s">
        <v>2272</v>
      </c>
      <c r="T1099" s="3" t="s">
        <v>2272</v>
      </c>
      <c r="U1099" s="3" t="s">
        <v>2522</v>
      </c>
      <c r="V1099" s="3" t="s">
        <v>2272</v>
      </c>
      <c r="W1099" s="3" t="s">
        <v>2272</v>
      </c>
      <c r="X1099" s="3" t="s">
        <v>2272</v>
      </c>
      <c r="Y1099" s="3" t="s">
        <v>423</v>
      </c>
      <c r="Z1099" s="3" t="s">
        <v>125</v>
      </c>
      <c r="AA1099" s="3" t="s">
        <v>63</v>
      </c>
      <c r="AB1099" s="3"/>
      <c r="AC1099" s="4" t="s">
        <v>3354</v>
      </c>
    </row>
    <row r="1100" spans="1:29"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2272</v>
      </c>
      <c r="K1100" s="198" t="s">
        <v>2272</v>
      </c>
      <c r="L1100" s="3" t="s">
        <v>2272</v>
      </c>
      <c r="M1100" s="3" t="s">
        <v>2272</v>
      </c>
      <c r="N1100" s="3" t="s">
        <v>2272</v>
      </c>
      <c r="O1100" s="3" t="s">
        <v>2272</v>
      </c>
      <c r="P1100" s="3" t="s">
        <v>2272</v>
      </c>
      <c r="Q1100" s="3" t="s">
        <v>2272</v>
      </c>
      <c r="R1100" s="3" t="s">
        <v>2272</v>
      </c>
      <c r="S1100" s="3" t="s">
        <v>2272</v>
      </c>
      <c r="T1100" s="3" t="s">
        <v>2272</v>
      </c>
      <c r="U1100" s="3" t="s">
        <v>2522</v>
      </c>
      <c r="V1100" s="3" t="s">
        <v>2272</v>
      </c>
      <c r="W1100" s="3" t="s">
        <v>2272</v>
      </c>
      <c r="X1100" s="3" t="s">
        <v>2272</v>
      </c>
      <c r="Y1100" s="3" t="s">
        <v>423</v>
      </c>
      <c r="Z1100" s="3" t="s">
        <v>125</v>
      </c>
      <c r="AA1100" s="3" t="s">
        <v>63</v>
      </c>
      <c r="AB1100" s="3"/>
      <c r="AC1100" s="4" t="s">
        <v>3354</v>
      </c>
    </row>
    <row r="1101" spans="1:29"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2272</v>
      </c>
      <c r="K1101" s="198" t="s">
        <v>2272</v>
      </c>
      <c r="L1101" s="3" t="s">
        <v>2272</v>
      </c>
      <c r="M1101" s="3" t="s">
        <v>2272</v>
      </c>
      <c r="N1101" s="3" t="s">
        <v>2272</v>
      </c>
      <c r="O1101" s="3" t="s">
        <v>2272</v>
      </c>
      <c r="P1101" s="3" t="s">
        <v>2272</v>
      </c>
      <c r="Q1101" s="3" t="s">
        <v>2272</v>
      </c>
      <c r="R1101" s="3" t="s">
        <v>2272</v>
      </c>
      <c r="S1101" s="3" t="s">
        <v>2272</v>
      </c>
      <c r="T1101" s="3" t="s">
        <v>2272</v>
      </c>
      <c r="U1101" s="3" t="s">
        <v>2522</v>
      </c>
      <c r="V1101" s="3" t="s">
        <v>2272</v>
      </c>
      <c r="W1101" s="3" t="s">
        <v>2272</v>
      </c>
      <c r="X1101" s="3" t="s">
        <v>2272</v>
      </c>
      <c r="Y1101" s="3" t="s">
        <v>423</v>
      </c>
      <c r="Z1101" s="3" t="s">
        <v>125</v>
      </c>
      <c r="AA1101" s="3" t="s">
        <v>63</v>
      </c>
      <c r="AB1101" s="3"/>
      <c r="AC1101" s="4" t="s">
        <v>3354</v>
      </c>
    </row>
    <row r="1102" spans="1:29"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2272</v>
      </c>
      <c r="K1102" s="198" t="s">
        <v>2272</v>
      </c>
      <c r="L1102" s="3" t="s">
        <v>2272</v>
      </c>
      <c r="M1102" s="3" t="s">
        <v>2272</v>
      </c>
      <c r="N1102" s="3" t="s">
        <v>2272</v>
      </c>
      <c r="O1102" s="3" t="s">
        <v>2272</v>
      </c>
      <c r="P1102" s="3" t="s">
        <v>2272</v>
      </c>
      <c r="Q1102" s="3" t="s">
        <v>2272</v>
      </c>
      <c r="R1102" s="3" t="s">
        <v>2272</v>
      </c>
      <c r="S1102" s="3" t="s">
        <v>2272</v>
      </c>
      <c r="T1102" s="3" t="s">
        <v>2272</v>
      </c>
      <c r="U1102" s="3" t="s">
        <v>2522</v>
      </c>
      <c r="V1102" s="3" t="s">
        <v>2272</v>
      </c>
      <c r="W1102" s="3" t="s">
        <v>2272</v>
      </c>
      <c r="X1102" s="3" t="s">
        <v>2272</v>
      </c>
      <c r="Y1102" s="3" t="s">
        <v>423</v>
      </c>
      <c r="Z1102" s="3" t="s">
        <v>125</v>
      </c>
      <c r="AA1102" s="3" t="s">
        <v>63</v>
      </c>
      <c r="AB1102" s="3"/>
      <c r="AC1102" s="4" t="s">
        <v>3354</v>
      </c>
    </row>
    <row r="1103" spans="1:29"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2272</v>
      </c>
      <c r="K1103" s="198" t="s">
        <v>2272</v>
      </c>
      <c r="L1103" s="3" t="s">
        <v>2272</v>
      </c>
      <c r="M1103" s="3" t="s">
        <v>2272</v>
      </c>
      <c r="N1103" s="3" t="s">
        <v>2272</v>
      </c>
      <c r="O1103" s="3" t="s">
        <v>2272</v>
      </c>
      <c r="P1103" s="3" t="s">
        <v>2272</v>
      </c>
      <c r="Q1103" s="3" t="s">
        <v>2272</v>
      </c>
      <c r="R1103" s="3" t="s">
        <v>2272</v>
      </c>
      <c r="S1103" s="3" t="s">
        <v>2272</v>
      </c>
      <c r="T1103" s="3" t="s">
        <v>2272</v>
      </c>
      <c r="U1103" s="3" t="s">
        <v>2522</v>
      </c>
      <c r="V1103" s="3" t="s">
        <v>2272</v>
      </c>
      <c r="W1103" s="3" t="s">
        <v>2272</v>
      </c>
      <c r="X1103" s="3" t="s">
        <v>2272</v>
      </c>
      <c r="Y1103" s="3" t="s">
        <v>423</v>
      </c>
      <c r="Z1103" s="3" t="s">
        <v>125</v>
      </c>
      <c r="AA1103" s="3" t="s">
        <v>63</v>
      </c>
      <c r="AB1103" s="3"/>
      <c r="AC1103" s="4" t="s">
        <v>3354</v>
      </c>
    </row>
    <row r="1104" spans="1:29"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2272</v>
      </c>
      <c r="K1104" s="198" t="s">
        <v>2272</v>
      </c>
      <c r="L1104" s="3" t="s">
        <v>2272</v>
      </c>
      <c r="M1104" s="3" t="s">
        <v>2272</v>
      </c>
      <c r="N1104" s="3" t="s">
        <v>2272</v>
      </c>
      <c r="O1104" s="3" t="s">
        <v>2272</v>
      </c>
      <c r="P1104" s="3" t="s">
        <v>2272</v>
      </c>
      <c r="Q1104" s="3" t="s">
        <v>2272</v>
      </c>
      <c r="R1104" s="3" t="s">
        <v>2272</v>
      </c>
      <c r="S1104" s="3" t="s">
        <v>2272</v>
      </c>
      <c r="T1104" s="3" t="s">
        <v>2272</v>
      </c>
      <c r="U1104" s="3" t="s">
        <v>2522</v>
      </c>
      <c r="V1104" s="3" t="s">
        <v>2272</v>
      </c>
      <c r="W1104" s="3" t="s">
        <v>2272</v>
      </c>
      <c r="X1104" s="3" t="s">
        <v>2272</v>
      </c>
      <c r="Y1104" s="3" t="s">
        <v>423</v>
      </c>
      <c r="Z1104" s="3" t="s">
        <v>125</v>
      </c>
      <c r="AA1104" s="3" t="s">
        <v>63</v>
      </c>
      <c r="AB1104" s="3"/>
      <c r="AC1104" s="4" t="s">
        <v>3354</v>
      </c>
    </row>
    <row r="1105" spans="1:29"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2272</v>
      </c>
      <c r="K1105" s="198" t="s">
        <v>2272</v>
      </c>
      <c r="L1105" s="3" t="s">
        <v>2272</v>
      </c>
      <c r="M1105" s="3" t="s">
        <v>2272</v>
      </c>
      <c r="N1105" s="3" t="s">
        <v>2272</v>
      </c>
      <c r="O1105" s="3" t="s">
        <v>2272</v>
      </c>
      <c r="P1105" s="3" t="s">
        <v>2272</v>
      </c>
      <c r="Q1105" s="3" t="s">
        <v>2272</v>
      </c>
      <c r="R1105" s="3" t="s">
        <v>2272</v>
      </c>
      <c r="S1105" s="3" t="s">
        <v>2272</v>
      </c>
      <c r="T1105" s="3" t="s">
        <v>2272</v>
      </c>
      <c r="U1105" s="3" t="s">
        <v>2522</v>
      </c>
      <c r="V1105" s="3" t="s">
        <v>2272</v>
      </c>
      <c r="W1105" s="3" t="s">
        <v>2272</v>
      </c>
      <c r="X1105" s="3" t="s">
        <v>2272</v>
      </c>
      <c r="Y1105" s="3" t="s">
        <v>423</v>
      </c>
      <c r="Z1105" s="3" t="s">
        <v>125</v>
      </c>
      <c r="AA1105" s="3" t="s">
        <v>63</v>
      </c>
      <c r="AB1105" s="3"/>
      <c r="AC1105" s="4" t="s">
        <v>3354</v>
      </c>
    </row>
    <row r="1106" spans="1:29"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2272</v>
      </c>
      <c r="K1106" s="198" t="s">
        <v>2272</v>
      </c>
      <c r="L1106" s="3" t="s">
        <v>2272</v>
      </c>
      <c r="M1106" s="3" t="s">
        <v>2272</v>
      </c>
      <c r="N1106" s="3" t="s">
        <v>2272</v>
      </c>
      <c r="O1106" s="3" t="s">
        <v>2272</v>
      </c>
      <c r="P1106" s="3" t="s">
        <v>2272</v>
      </c>
      <c r="Q1106" s="3" t="s">
        <v>2272</v>
      </c>
      <c r="R1106" s="3" t="s">
        <v>2272</v>
      </c>
      <c r="S1106" s="3" t="s">
        <v>2272</v>
      </c>
      <c r="T1106" s="3" t="s">
        <v>2272</v>
      </c>
      <c r="U1106" s="3" t="s">
        <v>2369</v>
      </c>
      <c r="V1106" s="3" t="s">
        <v>2272</v>
      </c>
      <c r="W1106" s="3" t="s">
        <v>2272</v>
      </c>
      <c r="X1106" s="3" t="s">
        <v>2272</v>
      </c>
      <c r="Y1106" s="3" t="s">
        <v>423</v>
      </c>
      <c r="Z1106" s="3" t="s">
        <v>125</v>
      </c>
      <c r="AA1106" s="3" t="s">
        <v>63</v>
      </c>
      <c r="AB1106" s="3"/>
      <c r="AC1106" s="4" t="s">
        <v>3354</v>
      </c>
    </row>
    <row r="1107" spans="1:29"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2272</v>
      </c>
      <c r="K1107" s="198" t="s">
        <v>2272</v>
      </c>
      <c r="L1107" s="3" t="s">
        <v>2272</v>
      </c>
      <c r="M1107" s="3" t="s">
        <v>2272</v>
      </c>
      <c r="N1107" s="3" t="s">
        <v>2272</v>
      </c>
      <c r="O1107" s="3" t="s">
        <v>2272</v>
      </c>
      <c r="P1107" s="3" t="s">
        <v>2272</v>
      </c>
      <c r="Q1107" s="3" t="s">
        <v>2272</v>
      </c>
      <c r="R1107" s="3" t="s">
        <v>2272</v>
      </c>
      <c r="S1107" s="3" t="s">
        <v>2272</v>
      </c>
      <c r="T1107" s="3" t="s">
        <v>2272</v>
      </c>
      <c r="U1107" s="3" t="s">
        <v>2522</v>
      </c>
      <c r="V1107" s="3" t="s">
        <v>2272</v>
      </c>
      <c r="W1107" s="3" t="s">
        <v>2272</v>
      </c>
      <c r="X1107" s="3" t="s">
        <v>2272</v>
      </c>
      <c r="Y1107" s="3" t="s">
        <v>423</v>
      </c>
      <c r="Z1107" s="3" t="s">
        <v>125</v>
      </c>
      <c r="AA1107" s="3" t="s">
        <v>63</v>
      </c>
      <c r="AB1107" s="3"/>
      <c r="AC1107" s="4" t="s">
        <v>3354</v>
      </c>
    </row>
    <row r="1108" spans="1:29"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2272</v>
      </c>
      <c r="K1108" s="198" t="s">
        <v>2272</v>
      </c>
      <c r="L1108" s="3" t="s">
        <v>2272</v>
      </c>
      <c r="M1108" s="3" t="s">
        <v>2272</v>
      </c>
      <c r="N1108" s="3" t="s">
        <v>2272</v>
      </c>
      <c r="O1108" s="3" t="s">
        <v>2272</v>
      </c>
      <c r="P1108" s="3" t="s">
        <v>2272</v>
      </c>
      <c r="Q1108" s="3" t="s">
        <v>2272</v>
      </c>
      <c r="R1108" s="3" t="s">
        <v>2272</v>
      </c>
      <c r="S1108" s="3" t="s">
        <v>2272</v>
      </c>
      <c r="T1108" s="3" t="s">
        <v>2272</v>
      </c>
      <c r="U1108" s="3" t="s">
        <v>2522</v>
      </c>
      <c r="V1108" s="3" t="s">
        <v>2272</v>
      </c>
      <c r="W1108" s="3" t="s">
        <v>2272</v>
      </c>
      <c r="X1108" s="3" t="s">
        <v>2272</v>
      </c>
      <c r="Y1108" s="3" t="s">
        <v>423</v>
      </c>
      <c r="Z1108" s="3" t="s">
        <v>125</v>
      </c>
      <c r="AA1108" s="3" t="s">
        <v>63</v>
      </c>
      <c r="AB1108" s="3"/>
      <c r="AC1108" s="4" t="s">
        <v>3354</v>
      </c>
    </row>
    <row r="1109" spans="1:29"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2272</v>
      </c>
      <c r="K1109" s="198" t="s">
        <v>2272</v>
      </c>
      <c r="L1109" s="3" t="s">
        <v>2272</v>
      </c>
      <c r="M1109" s="3" t="s">
        <v>2272</v>
      </c>
      <c r="N1109" s="3" t="s">
        <v>2272</v>
      </c>
      <c r="O1109" s="3" t="s">
        <v>2272</v>
      </c>
      <c r="P1109" s="3" t="s">
        <v>2272</v>
      </c>
      <c r="Q1109" s="3" t="s">
        <v>2272</v>
      </c>
      <c r="R1109" s="3" t="s">
        <v>2272</v>
      </c>
      <c r="S1109" s="3" t="s">
        <v>2272</v>
      </c>
      <c r="T1109" s="3" t="s">
        <v>2272</v>
      </c>
      <c r="U1109" s="3" t="s">
        <v>2522</v>
      </c>
      <c r="V1109" s="3" t="s">
        <v>2272</v>
      </c>
      <c r="W1109" s="3" t="s">
        <v>2272</v>
      </c>
      <c r="X1109" s="3" t="s">
        <v>2272</v>
      </c>
      <c r="Y1109" s="3" t="s">
        <v>423</v>
      </c>
      <c r="Z1109" s="3" t="s">
        <v>125</v>
      </c>
      <c r="AA1109" s="3" t="s">
        <v>63</v>
      </c>
      <c r="AB1109" s="3"/>
      <c r="AC1109" s="4" t="s">
        <v>3354</v>
      </c>
    </row>
    <row r="1110" spans="1:29"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198" t="s">
        <v>2272</v>
      </c>
      <c r="K1110" s="198" t="s">
        <v>2362</v>
      </c>
      <c r="L1110" s="3" t="s">
        <v>2272</v>
      </c>
      <c r="M1110" s="3" t="s">
        <v>2272</v>
      </c>
      <c r="N1110" s="3" t="s">
        <v>2272</v>
      </c>
      <c r="O1110" s="3" t="s">
        <v>2272</v>
      </c>
      <c r="P1110" s="3" t="s">
        <v>2272</v>
      </c>
      <c r="Q1110" s="21" t="s">
        <v>2376</v>
      </c>
      <c r="R1110" s="3" t="s">
        <v>2272</v>
      </c>
      <c r="S1110" s="3" t="s">
        <v>2272</v>
      </c>
      <c r="T1110" s="3" t="s">
        <v>2272</v>
      </c>
      <c r="U1110" s="3" t="s">
        <v>2272</v>
      </c>
      <c r="V1110" s="3" t="s">
        <v>2272</v>
      </c>
      <c r="W1110" s="3" t="s">
        <v>2272</v>
      </c>
      <c r="X1110" s="3" t="s">
        <v>2272</v>
      </c>
      <c r="Y1110" s="3" t="s">
        <v>34</v>
      </c>
      <c r="Z1110" s="3" t="s">
        <v>186</v>
      </c>
      <c r="AA1110" s="3" t="s">
        <v>63</v>
      </c>
      <c r="AB1110" s="4"/>
      <c r="AC1110" s="4" t="s">
        <v>3362</v>
      </c>
    </row>
    <row r="1111" spans="1:29"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t="s">
        <v>2272</v>
      </c>
      <c r="Y1111" s="3" t="s">
        <v>2272</v>
      </c>
      <c r="Z1111" s="3" t="s">
        <v>2272</v>
      </c>
      <c r="AA1111" s="3" t="s">
        <v>2272</v>
      </c>
      <c r="AB1111" s="4" t="s">
        <v>3371</v>
      </c>
      <c r="AC1111" s="3"/>
    </row>
    <row r="1112" spans="1:29"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t="s">
        <v>2272</v>
      </c>
      <c r="Y1112" s="3" t="s">
        <v>2272</v>
      </c>
      <c r="Z1112" s="3" t="s">
        <v>2272</v>
      </c>
      <c r="AA1112" s="3" t="s">
        <v>2272</v>
      </c>
      <c r="AB1112" s="4" t="s">
        <v>3371</v>
      </c>
      <c r="AC1112" s="3"/>
    </row>
    <row r="1113" spans="1:29"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1" t="str">
        <f>'Reported burning'!J1113</f>
        <v>ND</v>
      </c>
      <c r="K1113" s="151" t="str">
        <f>'Reported burning'!K1113</f>
        <v>ND</v>
      </c>
      <c r="L1113" s="151" t="str">
        <f>'Reported burning'!L1113</f>
        <v>ND</v>
      </c>
      <c r="M1113" s="151" t="str">
        <f>'Reported burning'!M1113</f>
        <v>ND</v>
      </c>
      <c r="N1113" s="151" t="str">
        <f>'Reported burning'!N1113</f>
        <v>ND</v>
      </c>
      <c r="O1113" s="151" t="str">
        <f>'Reported burning'!O1113</f>
        <v>ND</v>
      </c>
      <c r="P1113" s="151" t="str">
        <f>'Reported burning'!P1113</f>
        <v>ND</v>
      </c>
      <c r="Q1113" s="151" t="str">
        <f>'Reported burning'!Q1113</f>
        <v>ND</v>
      </c>
      <c r="R1113" s="151" t="str">
        <f>'Reported burning'!R1113</f>
        <v>ND</v>
      </c>
      <c r="S1113" s="151" t="str">
        <f>'Reported burning'!S1113</f>
        <v>ND</v>
      </c>
      <c r="T1113" s="151" t="str">
        <f>'Reported burning'!T1113</f>
        <v>ND</v>
      </c>
      <c r="U1113" s="151" t="str">
        <f>'Reported burning'!U1113</f>
        <v>ND</v>
      </c>
      <c r="V1113" t="s">
        <v>2384</v>
      </c>
      <c r="W1113" s="151" t="str">
        <f>'Reported burning'!W1113</f>
        <v>ND</v>
      </c>
      <c r="X1113" s="3" t="s">
        <v>2396</v>
      </c>
      <c r="Y1113" s="3" t="s">
        <v>125</v>
      </c>
      <c r="Z1113" s="3" t="s">
        <v>186</v>
      </c>
      <c r="AA1113" s="3" t="s">
        <v>63</v>
      </c>
      <c r="AB1113" s="4" t="s">
        <v>3393</v>
      </c>
      <c r="AC1113" s="4" t="s">
        <v>3394</v>
      </c>
    </row>
    <row r="1114" spans="1:29"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1" t="str">
        <f>'Reported burning'!J1114</f>
        <v>ND</v>
      </c>
      <c r="K1114" s="151" t="str">
        <f>'Reported burning'!K1114</f>
        <v>ND</v>
      </c>
      <c r="L1114" s="151" t="str">
        <f>'Reported burning'!L1114</f>
        <v>ND</v>
      </c>
      <c r="M1114" s="151" t="str">
        <f>'Reported burning'!M1114</f>
        <v>ND</v>
      </c>
      <c r="N1114" s="151" t="str">
        <f>'Reported burning'!N1114</f>
        <v>ND</v>
      </c>
      <c r="O1114" s="151" t="str">
        <f>'Reported burning'!O1114</f>
        <v>ND</v>
      </c>
      <c r="P1114" s="151" t="str">
        <f>'Reported burning'!P1114</f>
        <v>ND</v>
      </c>
      <c r="Q1114" s="151" t="str">
        <f>'Reported burning'!Q1114</f>
        <v>ND</v>
      </c>
      <c r="R1114" s="151" t="str">
        <f>'Reported burning'!R1114</f>
        <v>ND</v>
      </c>
      <c r="S1114" s="151" t="str">
        <f>'Reported burning'!S1114</f>
        <v>ND</v>
      </c>
      <c r="T1114" s="151" t="str">
        <f>'Reported burning'!T1114</f>
        <v>ND</v>
      </c>
      <c r="U1114" s="151" t="str">
        <f>'Reported burning'!U1114</f>
        <v>ND</v>
      </c>
      <c r="V1114" s="3" t="s">
        <v>2384</v>
      </c>
      <c r="W1114" s="151" t="str">
        <f>'Reported burning'!W1114</f>
        <v>ND</v>
      </c>
      <c r="X1114" s="3" t="s">
        <v>2396</v>
      </c>
      <c r="Y1114" s="3" t="s">
        <v>125</v>
      </c>
      <c r="Z1114" s="3" t="s">
        <v>186</v>
      </c>
      <c r="AA1114" s="3" t="s">
        <v>63</v>
      </c>
      <c r="AB1114" s="4" t="s">
        <v>3393</v>
      </c>
      <c r="AC1114" s="4" t="s">
        <v>3394</v>
      </c>
    </row>
    <row r="1115" spans="1:29"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1" t="str">
        <f>'Reported burning'!J1115</f>
        <v>ND</v>
      </c>
      <c r="K1115" s="151" t="str">
        <f>'Reported burning'!K1115</f>
        <v>ND</v>
      </c>
      <c r="L1115" s="151" t="str">
        <f>'Reported burning'!L1115</f>
        <v>ND</v>
      </c>
      <c r="M1115" s="151" t="str">
        <f>'Reported burning'!M1115</f>
        <v>ND</v>
      </c>
      <c r="N1115" s="151" t="str">
        <f>'Reported burning'!N1115</f>
        <v>ND</v>
      </c>
      <c r="O1115" s="151" t="str">
        <f>'Reported burning'!O1115</f>
        <v>ND</v>
      </c>
      <c r="P1115" s="151" t="str">
        <f>'Reported burning'!P1115</f>
        <v>ND</v>
      </c>
      <c r="Q1115" s="151" t="str">
        <f>'Reported burning'!Q1115</f>
        <v>ND</v>
      </c>
      <c r="R1115" s="151" t="str">
        <f>'Reported burning'!R1115</f>
        <v>ND</v>
      </c>
      <c r="S1115" s="151" t="str">
        <f>'Reported burning'!S1115</f>
        <v>ND</v>
      </c>
      <c r="T1115" s="151" t="str">
        <f>'Reported burning'!T1115</f>
        <v>ND</v>
      </c>
      <c r="U1115" s="151" t="str">
        <f>'Reported burning'!U1115</f>
        <v>ND</v>
      </c>
      <c r="V1115" s="3" t="s">
        <v>2384</v>
      </c>
      <c r="W1115" s="151" t="str">
        <f>'Reported burning'!W1115</f>
        <v>ND</v>
      </c>
      <c r="X1115" s="3" t="s">
        <v>2396</v>
      </c>
      <c r="Y1115" s="3" t="s">
        <v>125</v>
      </c>
      <c r="Z1115" s="3" t="s">
        <v>186</v>
      </c>
      <c r="AA1115" s="3" t="s">
        <v>63</v>
      </c>
      <c r="AB1115" s="4" t="s">
        <v>3393</v>
      </c>
      <c r="AC1115" s="4" t="s">
        <v>3394</v>
      </c>
    </row>
    <row r="1116" spans="1:29"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1" t="str">
        <f>'Reported burning'!J1116</f>
        <v>ND</v>
      </c>
      <c r="K1116" s="151" t="str">
        <f>'Reported burning'!K1116</f>
        <v>ND</v>
      </c>
      <c r="L1116" s="151" t="str">
        <f>'Reported burning'!L1116</f>
        <v>ND</v>
      </c>
      <c r="M1116" s="151" t="str">
        <f>'Reported burning'!M1116</f>
        <v>ND</v>
      </c>
      <c r="N1116" s="151" t="str">
        <f>'Reported burning'!N1116</f>
        <v>ND</v>
      </c>
      <c r="O1116" s="151" t="str">
        <f>'Reported burning'!O1116</f>
        <v>ND</v>
      </c>
      <c r="P1116" s="151" t="str">
        <f>'Reported burning'!P1116</f>
        <v>ND</v>
      </c>
      <c r="Q1116" s="151" t="str">
        <f>'Reported burning'!Q1116</f>
        <v>ND</v>
      </c>
      <c r="R1116" s="151" t="str">
        <f>'Reported burning'!R1116</f>
        <v>ND</v>
      </c>
      <c r="S1116" s="151" t="str">
        <f>'Reported burning'!S1116</f>
        <v>ND</v>
      </c>
      <c r="T1116" s="151" t="str">
        <f>'Reported burning'!T1116</f>
        <v>ND</v>
      </c>
      <c r="U1116" s="151" t="str">
        <f>'Reported burning'!U1116</f>
        <v>ND</v>
      </c>
      <c r="V1116" s="151" t="str">
        <f>'Reported burning'!V1116</f>
        <v>ND</v>
      </c>
      <c r="W1116" s="151" t="str">
        <f>'Reported burning'!W1116</f>
        <v>ND</v>
      </c>
      <c r="X1116" s="147" t="str">
        <f>'Reported burning'!X1116</f>
        <v>ND</v>
      </c>
      <c r="Y1116" s="151" t="str">
        <f>'Reported burning'!Y1116</f>
        <v>ND</v>
      </c>
      <c r="Z1116" s="151" t="str">
        <f>'Reported burning'!Z1116</f>
        <v>ND</v>
      </c>
      <c r="AA1116" s="151" t="str">
        <f>'Reported burning'!AA1116</f>
        <v>ND</v>
      </c>
      <c r="AB1116" s="4" t="s">
        <v>3393</v>
      </c>
      <c r="AC1116" s="3"/>
    </row>
    <row r="1117" spans="1:29"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1" t="str">
        <f>'Reported burning'!J1117</f>
        <v>ND</v>
      </c>
      <c r="K1117" s="151" t="str">
        <f>'Reported burning'!K1117</f>
        <v>ND</v>
      </c>
      <c r="L1117" s="151" t="str">
        <f>'Reported burning'!L1117</f>
        <v>ND</v>
      </c>
      <c r="M1117" s="151" t="str">
        <f>'Reported burning'!M1117</f>
        <v>ND</v>
      </c>
      <c r="N1117" s="151" t="str">
        <f>'Reported burning'!N1117</f>
        <v>ND</v>
      </c>
      <c r="O1117" s="151" t="str">
        <f>'Reported burning'!O1117</f>
        <v>ND</v>
      </c>
      <c r="P1117" s="151" t="str">
        <f>'Reported burning'!P1117</f>
        <v>ND</v>
      </c>
      <c r="Q1117" s="151" t="str">
        <f>'Reported burning'!Q1117</f>
        <v>ND</v>
      </c>
      <c r="R1117" s="151" t="str">
        <f>'Reported burning'!R1117</f>
        <v>ND</v>
      </c>
      <c r="S1117" s="151" t="str">
        <f>'Reported burning'!S1117</f>
        <v>ND</v>
      </c>
      <c r="T1117" s="151" t="str">
        <f>'Reported burning'!T1117</f>
        <v>ND</v>
      </c>
      <c r="U1117" s="151" t="str">
        <f>'Reported burning'!U1117</f>
        <v>ND</v>
      </c>
      <c r="V1117" s="151" t="str">
        <f>'Reported burning'!V1117</f>
        <v>ND</v>
      </c>
      <c r="W1117" s="151" t="str">
        <f>'Reported burning'!W1117</f>
        <v>ND</v>
      </c>
      <c r="X1117" s="147" t="str">
        <f>'Reported burning'!X1117</f>
        <v>ND</v>
      </c>
      <c r="Y1117" s="151" t="str">
        <f>'Reported burning'!Y1117</f>
        <v>ND</v>
      </c>
      <c r="Z1117" s="151" t="str">
        <f>'Reported burning'!Z1117</f>
        <v>ND</v>
      </c>
      <c r="AA1117" s="151" t="str">
        <f>'Reported burning'!AA1117</f>
        <v>ND</v>
      </c>
      <c r="AB1117" s="4" t="s">
        <v>3393</v>
      </c>
      <c r="AC1117" s="3"/>
    </row>
    <row r="1118" spans="1:29"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1" t="str">
        <f>'Reported burning'!J1118</f>
        <v>ND</v>
      </c>
      <c r="K1118" s="151" t="str">
        <f>'Reported burning'!K1118</f>
        <v>ND</v>
      </c>
      <c r="L1118" s="151" t="str">
        <f>'Reported burning'!L1118</f>
        <v>ND</v>
      </c>
      <c r="M1118" s="151" t="str">
        <f>'Reported burning'!M1118</f>
        <v>ND</v>
      </c>
      <c r="N1118" s="151" t="str">
        <f>'Reported burning'!N1118</f>
        <v>ND</v>
      </c>
      <c r="O1118" s="151" t="str">
        <f>'Reported burning'!O1118</f>
        <v>ND</v>
      </c>
      <c r="P1118" s="151" t="str">
        <f>'Reported burning'!P1118</f>
        <v>ND</v>
      </c>
      <c r="Q1118" s="151" t="str">
        <f>'Reported burning'!Q1118</f>
        <v>ND</v>
      </c>
      <c r="R1118" s="151" t="str">
        <f>'Reported burning'!R1118</f>
        <v>ND</v>
      </c>
      <c r="S1118" s="151" t="str">
        <f>'Reported burning'!S1118</f>
        <v>ND</v>
      </c>
      <c r="T1118" s="151" t="str">
        <f>'Reported burning'!T1118</f>
        <v>ND</v>
      </c>
      <c r="U1118" s="151" t="str">
        <f>'Reported burning'!U1118</f>
        <v>ND</v>
      </c>
      <c r="V1118" s="151" t="str">
        <f>'Reported burning'!V1118</f>
        <v>ND</v>
      </c>
      <c r="W1118" s="151" t="str">
        <f>'Reported burning'!W1118</f>
        <v>ND</v>
      </c>
      <c r="X1118" s="151" t="str">
        <f>'Reported burning'!X1118</f>
        <v>ND</v>
      </c>
      <c r="Y1118" s="151" t="str">
        <f>'Reported burning'!Y1118</f>
        <v>ND</v>
      </c>
      <c r="Z1118" s="151" t="str">
        <f>'Reported burning'!Z1118</f>
        <v>ND</v>
      </c>
      <c r="AA1118" s="151" t="str">
        <f>'Reported burning'!AA1118</f>
        <v>ND</v>
      </c>
      <c r="AB1118" s="4" t="s">
        <v>3393</v>
      </c>
      <c r="AC1118" s="3"/>
    </row>
    <row r="1119" spans="1:29"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1" t="str">
        <f>'Reported burning'!J1119</f>
        <v>ND</v>
      </c>
      <c r="K1119" s="151" t="str">
        <f>'Reported burning'!K1119</f>
        <v>ND</v>
      </c>
      <c r="L1119" s="151" t="str">
        <f>'Reported burning'!L1119</f>
        <v>ND</v>
      </c>
      <c r="M1119" s="151" t="str">
        <f>'Reported burning'!M1119</f>
        <v>ND</v>
      </c>
      <c r="N1119" s="151" t="str">
        <f>'Reported burning'!N1119</f>
        <v>ND</v>
      </c>
      <c r="O1119" s="151" t="str">
        <f>'Reported burning'!O1119</f>
        <v>ND</v>
      </c>
      <c r="P1119" s="151" t="str">
        <f>'Reported burning'!P1119</f>
        <v>ND</v>
      </c>
      <c r="Q1119" s="151" t="str">
        <f>'Reported burning'!Q1119</f>
        <v>ND</v>
      </c>
      <c r="R1119" s="151" t="str">
        <f>'Reported burning'!R1119</f>
        <v>ND</v>
      </c>
      <c r="S1119" s="151" t="str">
        <f>'Reported burning'!S1119</f>
        <v>ND</v>
      </c>
      <c r="T1119" s="151" t="str">
        <f>'Reported burning'!T1119</f>
        <v>ND</v>
      </c>
      <c r="U1119" s="151" t="str">
        <f>'Reported burning'!U1119</f>
        <v>ND</v>
      </c>
      <c r="V1119" s="151" t="str">
        <f>'Reported burning'!V1119</f>
        <v>ND</v>
      </c>
      <c r="W1119" s="151" t="str">
        <f>'Reported burning'!W1119</f>
        <v>ND</v>
      </c>
      <c r="X1119" s="151" t="str">
        <f>'Reported burning'!X1119</f>
        <v>ND</v>
      </c>
      <c r="Y1119" s="151" t="str">
        <f>'Reported burning'!Y1119</f>
        <v>ND</v>
      </c>
      <c r="Z1119" s="151" t="str">
        <f>'Reported burning'!Z1119</f>
        <v>ND</v>
      </c>
      <c r="AA1119" s="151" t="str">
        <f>'Reported burning'!AA1119</f>
        <v>ND</v>
      </c>
      <c r="AB1119" s="4" t="s">
        <v>3393</v>
      </c>
      <c r="AC1119" s="3"/>
    </row>
    <row r="1120" spans="1:29"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1" t="str">
        <f>'Reported burning'!J1120</f>
        <v>ND</v>
      </c>
      <c r="K1120" s="151" t="str">
        <f>'Reported burning'!K1120</f>
        <v>ND</v>
      </c>
      <c r="L1120" s="151" t="str">
        <f>'Reported burning'!L1120</f>
        <v>ND</v>
      </c>
      <c r="M1120" s="151" t="str">
        <f>'Reported burning'!M1120</f>
        <v>ND</v>
      </c>
      <c r="N1120" s="151" t="str">
        <f>'Reported burning'!N1120</f>
        <v>ND</v>
      </c>
      <c r="O1120" s="151" t="str">
        <f>'Reported burning'!O1120</f>
        <v>ND</v>
      </c>
      <c r="P1120" s="151" t="str">
        <f>'Reported burning'!P1120</f>
        <v>ND</v>
      </c>
      <c r="Q1120" s="151" t="str">
        <f>'Reported burning'!Q1120</f>
        <v>ND</v>
      </c>
      <c r="R1120" s="151" t="str">
        <f>'Reported burning'!R1120</f>
        <v>ND</v>
      </c>
      <c r="S1120" s="151" t="str">
        <f>'Reported burning'!S1120</f>
        <v>ND</v>
      </c>
      <c r="T1120" s="151" t="str">
        <f>'Reported burning'!T1120</f>
        <v>ND</v>
      </c>
      <c r="U1120" s="151" t="str">
        <f>'Reported burning'!U1120</f>
        <v>ND</v>
      </c>
      <c r="V1120" s="151" t="str">
        <f>'Reported burning'!V1120</f>
        <v>ND</v>
      </c>
      <c r="W1120" s="151" t="str">
        <f>'Reported burning'!W1120</f>
        <v>ND</v>
      </c>
      <c r="X1120" s="151" t="str">
        <f>'Reported burning'!X1120</f>
        <v>ND</v>
      </c>
      <c r="Y1120" s="151" t="str">
        <f>'Reported burning'!Y1120</f>
        <v>ND</v>
      </c>
      <c r="Z1120" s="151" t="str">
        <f>'Reported burning'!Z1120</f>
        <v>ND</v>
      </c>
      <c r="AA1120" s="151" t="str">
        <f>'Reported burning'!AA1120</f>
        <v>ND</v>
      </c>
      <c r="AB1120" s="4" t="s">
        <v>3393</v>
      </c>
      <c r="AC1120" s="3"/>
    </row>
    <row r="1121" spans="1:31"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1" t="str">
        <f>'Reported burning'!J1121</f>
        <v>ND</v>
      </c>
      <c r="K1121" s="151" t="str">
        <f>'Reported burning'!K1121</f>
        <v>ND</v>
      </c>
      <c r="L1121" s="151" t="str">
        <f>'Reported burning'!L1121</f>
        <v>ND</v>
      </c>
      <c r="M1121" s="151" t="str">
        <f>'Reported burning'!M1121</f>
        <v>ND</v>
      </c>
      <c r="N1121" s="151" t="str">
        <f>'Reported burning'!N1121</f>
        <v>ND</v>
      </c>
      <c r="O1121" s="151" t="str">
        <f>'Reported burning'!O1121</f>
        <v>ND</v>
      </c>
      <c r="P1121" s="151" t="str">
        <f>'Reported burning'!P1121</f>
        <v>ND</v>
      </c>
      <c r="Q1121" s="151" t="str">
        <f>'Reported burning'!Q1121</f>
        <v>ND</v>
      </c>
      <c r="R1121" s="151" t="str">
        <f>'Reported burning'!R1121</f>
        <v>ND</v>
      </c>
      <c r="S1121" s="151" t="str">
        <f>'Reported burning'!S1121</f>
        <v>ND</v>
      </c>
      <c r="T1121" s="151" t="str">
        <f>'Reported burning'!T1121</f>
        <v>ND</v>
      </c>
      <c r="U1121" s="151" t="str">
        <f>'Reported burning'!U1121</f>
        <v>ND</v>
      </c>
      <c r="V1121" s="151" t="str">
        <f>'Reported burning'!V1121</f>
        <v>ND</v>
      </c>
      <c r="W1121" s="151" t="str">
        <f>'Reported burning'!W1121</f>
        <v>ND</v>
      </c>
      <c r="X1121" s="151" t="str">
        <f>'Reported burning'!X1121</f>
        <v>ND</v>
      </c>
      <c r="Y1121" s="151" t="str">
        <f>'Reported burning'!Y1121</f>
        <v>ND</v>
      </c>
      <c r="Z1121" s="151" t="str">
        <f>'Reported burning'!Z1121</f>
        <v>ND</v>
      </c>
      <c r="AA1121" s="151" t="str">
        <f>'Reported burning'!AA1121</f>
        <v>ND</v>
      </c>
      <c r="AB1121" s="4" t="s">
        <v>3393</v>
      </c>
      <c r="AC1121" s="3"/>
    </row>
    <row r="1122" spans="1:31"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2272</v>
      </c>
      <c r="K1122" s="198" t="s">
        <v>2272</v>
      </c>
      <c r="L1122" s="3" t="s">
        <v>2272</v>
      </c>
      <c r="M1122" s="3" t="s">
        <v>2272</v>
      </c>
      <c r="N1122" s="3" t="s">
        <v>2272</v>
      </c>
      <c r="O1122" s="3" t="s">
        <v>2272</v>
      </c>
      <c r="P1122" s="3" t="s">
        <v>2272</v>
      </c>
      <c r="Q1122" s="3" t="s">
        <v>2272</v>
      </c>
      <c r="R1122" s="3" t="s">
        <v>2272</v>
      </c>
      <c r="S1122" s="3" t="s">
        <v>2272</v>
      </c>
      <c r="T1122" s="3" t="s">
        <v>2272</v>
      </c>
      <c r="U1122" s="3" t="s">
        <v>2272</v>
      </c>
      <c r="V1122" s="3" t="s">
        <v>2272</v>
      </c>
      <c r="W1122" s="3" t="s">
        <v>2272</v>
      </c>
      <c r="X1122" s="3" t="s">
        <v>2272</v>
      </c>
      <c r="Y1122" s="3" t="s">
        <v>125</v>
      </c>
      <c r="Z1122" s="3" t="s">
        <v>186</v>
      </c>
      <c r="AA1122" s="3" t="s">
        <v>63</v>
      </c>
      <c r="AB1122" s="3"/>
      <c r="AC1122" s="3"/>
      <c r="AD1122" s="117"/>
      <c r="AE1122" s="117"/>
    </row>
    <row r="1123" spans="1:31"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t="s">
        <v>2272</v>
      </c>
      <c r="Y1123" s="21">
        <v>0</v>
      </c>
      <c r="Z1123" s="3" t="s">
        <v>2272</v>
      </c>
      <c r="AA1123" s="3" t="s">
        <v>2272</v>
      </c>
      <c r="AB1123" s="4" t="s">
        <v>3405</v>
      </c>
      <c r="AC1123" s="3" t="s">
        <v>2272</v>
      </c>
      <c r="AD1123" s="117"/>
      <c r="AE1123" s="117"/>
    </row>
    <row r="1124" spans="1:31"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t="s">
        <v>2272</v>
      </c>
      <c r="Y1124" s="3" t="s">
        <v>2272</v>
      </c>
      <c r="Z1124" s="3" t="s">
        <v>2272</v>
      </c>
      <c r="AA1124" s="3" t="s">
        <v>2272</v>
      </c>
      <c r="AB1124" s="4" t="s">
        <v>3406</v>
      </c>
      <c r="AC1124" s="3" t="s">
        <v>2272</v>
      </c>
      <c r="AD1124" s="117"/>
      <c r="AE1124" s="117"/>
    </row>
    <row r="1125" spans="1:31"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2272</v>
      </c>
      <c r="K1125" s="198" t="s">
        <v>2272</v>
      </c>
      <c r="L1125" s="3" t="s">
        <v>2272</v>
      </c>
      <c r="M1125" s="3" t="s">
        <v>2369</v>
      </c>
      <c r="N1125" s="3" t="s">
        <v>2272</v>
      </c>
      <c r="O1125" s="3" t="s">
        <v>2380</v>
      </c>
      <c r="P1125" s="3" t="s">
        <v>2272</v>
      </c>
      <c r="Q1125" s="3" t="s">
        <v>2272</v>
      </c>
      <c r="R1125" s="3" t="s">
        <v>2272</v>
      </c>
      <c r="S1125" s="3" t="s">
        <v>2272</v>
      </c>
      <c r="T1125" s="3" t="s">
        <v>2272</v>
      </c>
      <c r="U1125" s="3" t="s">
        <v>2272</v>
      </c>
      <c r="V1125" s="3" t="s">
        <v>2272</v>
      </c>
      <c r="W1125" s="3" t="s">
        <v>2272</v>
      </c>
      <c r="X1125" s="3" t="s">
        <v>2397</v>
      </c>
      <c r="Y1125" s="3" t="s">
        <v>84</v>
      </c>
      <c r="Z1125" s="3" t="s">
        <v>403</v>
      </c>
      <c r="AA1125" s="3" t="s">
        <v>63</v>
      </c>
      <c r="AB1125" s="4" t="s">
        <v>3416</v>
      </c>
      <c r="AC1125" s="4" t="s">
        <v>5017</v>
      </c>
    </row>
    <row r="1126" spans="1:31"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2272</v>
      </c>
      <c r="K1126" s="198" t="s">
        <v>2272</v>
      </c>
      <c r="L1126" s="3" t="s">
        <v>2272</v>
      </c>
      <c r="M1126" s="3" t="s">
        <v>2272</v>
      </c>
      <c r="N1126" s="3" t="s">
        <v>2272</v>
      </c>
      <c r="O1126" s="3" t="s">
        <v>2272</v>
      </c>
      <c r="P1126" s="3" t="s">
        <v>2272</v>
      </c>
      <c r="Q1126" s="3" t="s">
        <v>2272</v>
      </c>
      <c r="R1126" s="3" t="s">
        <v>2272</v>
      </c>
      <c r="S1126" s="3" t="s">
        <v>2272</v>
      </c>
      <c r="T1126" s="3" t="s">
        <v>2272</v>
      </c>
      <c r="U1126" s="3" t="s">
        <v>2272</v>
      </c>
      <c r="V1126" s="3" t="s">
        <v>2272</v>
      </c>
      <c r="W1126" s="3" t="s">
        <v>2272</v>
      </c>
      <c r="X1126" s="3" t="s">
        <v>2272</v>
      </c>
      <c r="Y1126" s="3" t="s">
        <v>84</v>
      </c>
      <c r="Z1126" s="3" t="s">
        <v>403</v>
      </c>
      <c r="AA1126" s="3" t="s">
        <v>63</v>
      </c>
      <c r="AB1126" s="4" t="s">
        <v>3416</v>
      </c>
      <c r="AC1126" s="3"/>
    </row>
    <row r="1127" spans="1:31"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198" t="s">
        <v>2272</v>
      </c>
      <c r="K1127" s="198" t="s">
        <v>2364</v>
      </c>
      <c r="L1127" s="3" t="s">
        <v>2272</v>
      </c>
      <c r="M1127" s="3" t="s">
        <v>2272</v>
      </c>
      <c r="N1127" s="3" t="s">
        <v>2272</v>
      </c>
      <c r="O1127" s="3" t="s">
        <v>2272</v>
      </c>
      <c r="P1127" s="3" t="s">
        <v>2272</v>
      </c>
      <c r="Q1127" s="3" t="s">
        <v>2272</v>
      </c>
      <c r="R1127" s="3" t="s">
        <v>2272</v>
      </c>
      <c r="S1127" s="3" t="s">
        <v>2272</v>
      </c>
      <c r="T1127" s="3" t="s">
        <v>2272</v>
      </c>
      <c r="U1127" s="3" t="s">
        <v>2272</v>
      </c>
      <c r="V1127" s="3" t="s">
        <v>2272</v>
      </c>
      <c r="W1127" s="3" t="s">
        <v>2272</v>
      </c>
      <c r="X1127" s="3" t="s">
        <v>2397</v>
      </c>
      <c r="Y1127" s="3" t="s">
        <v>397</v>
      </c>
      <c r="Z1127" s="3" t="s">
        <v>125</v>
      </c>
      <c r="AA1127" s="3" t="s">
        <v>2308</v>
      </c>
      <c r="AB1127" s="4" t="s">
        <v>3437</v>
      </c>
      <c r="AC1127" s="4" t="s">
        <v>11596</v>
      </c>
    </row>
    <row r="1128" spans="1:31"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2272</v>
      </c>
      <c r="K1128" s="198" t="s">
        <v>2272</v>
      </c>
      <c r="L1128" s="3" t="s">
        <v>2272</v>
      </c>
      <c r="M1128" s="3" t="s">
        <v>2272</v>
      </c>
      <c r="N1128" s="3" t="s">
        <v>2272</v>
      </c>
      <c r="O1128" s="3" t="s">
        <v>2272</v>
      </c>
      <c r="P1128" s="3" t="s">
        <v>2272</v>
      </c>
      <c r="Q1128" s="3" t="s">
        <v>2272</v>
      </c>
      <c r="R1128" s="3" t="s">
        <v>2272</v>
      </c>
      <c r="S1128" s="3" t="s">
        <v>2272</v>
      </c>
      <c r="T1128" s="3" t="s">
        <v>2272</v>
      </c>
      <c r="U1128" s="3" t="s">
        <v>2272</v>
      </c>
      <c r="V1128" s="3" t="s">
        <v>2272</v>
      </c>
      <c r="W1128" s="3" t="s">
        <v>2272</v>
      </c>
      <c r="X1128" s="3" t="s">
        <v>2272</v>
      </c>
      <c r="Y1128" s="3" t="s">
        <v>397</v>
      </c>
      <c r="Z1128" s="3" t="s">
        <v>125</v>
      </c>
      <c r="AA1128" s="3" t="s">
        <v>2308</v>
      </c>
      <c r="AB1128" s="4"/>
      <c r="AC1128" s="4"/>
    </row>
    <row r="1129" spans="1:31"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2272</v>
      </c>
      <c r="K1129" s="198" t="s">
        <v>2272</v>
      </c>
      <c r="L1129" s="3" t="s">
        <v>2272</v>
      </c>
      <c r="M1129" s="3" t="s">
        <v>2272</v>
      </c>
      <c r="N1129" s="3" t="s">
        <v>2272</v>
      </c>
      <c r="O1129" s="3" t="s">
        <v>2272</v>
      </c>
      <c r="P1129" s="3" t="s">
        <v>2272</v>
      </c>
      <c r="Q1129" s="3" t="s">
        <v>2272</v>
      </c>
      <c r="R1129" s="3" t="s">
        <v>2272</v>
      </c>
      <c r="S1129" s="3" t="s">
        <v>2272</v>
      </c>
      <c r="T1129" s="3" t="s">
        <v>2272</v>
      </c>
      <c r="U1129" s="3" t="s">
        <v>2272</v>
      </c>
      <c r="V1129" s="3" t="s">
        <v>2272</v>
      </c>
      <c r="W1129" s="3" t="s">
        <v>2272</v>
      </c>
      <c r="X1129" s="3" t="s">
        <v>2272</v>
      </c>
      <c r="Y1129" s="3" t="s">
        <v>2272</v>
      </c>
      <c r="Z1129" s="3" t="s">
        <v>2272</v>
      </c>
      <c r="AA1129" s="3" t="s">
        <v>2272</v>
      </c>
      <c r="AB1129" s="4" t="s">
        <v>3418</v>
      </c>
      <c r="AC1129" s="3"/>
    </row>
    <row r="1130" spans="1:31"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2272</v>
      </c>
      <c r="K1130" s="198" t="s">
        <v>2272</v>
      </c>
      <c r="L1130" s="3" t="s">
        <v>2272</v>
      </c>
      <c r="M1130" s="3" t="s">
        <v>2272</v>
      </c>
      <c r="N1130" s="3" t="s">
        <v>2272</v>
      </c>
      <c r="O1130" s="3" t="s">
        <v>2272</v>
      </c>
      <c r="P1130" s="3" t="s">
        <v>2272</v>
      </c>
      <c r="Q1130" s="3" t="s">
        <v>2272</v>
      </c>
      <c r="R1130" s="3" t="s">
        <v>2272</v>
      </c>
      <c r="S1130" s="3" t="s">
        <v>2272</v>
      </c>
      <c r="T1130" s="3" t="s">
        <v>2272</v>
      </c>
      <c r="U1130" s="3" t="s">
        <v>2272</v>
      </c>
      <c r="V1130" s="3" t="s">
        <v>2272</v>
      </c>
      <c r="W1130" s="3" t="s">
        <v>2272</v>
      </c>
      <c r="X1130" s="3" t="s">
        <v>2272</v>
      </c>
      <c r="Y1130" s="3" t="s">
        <v>2272</v>
      </c>
      <c r="Z1130" s="3" t="s">
        <v>2272</v>
      </c>
      <c r="AA1130" s="3" t="s">
        <v>2272</v>
      </c>
      <c r="AB1130" s="4" t="s">
        <v>3419</v>
      </c>
      <c r="AC1130" s="3"/>
    </row>
    <row r="1131" spans="1:31"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2272</v>
      </c>
      <c r="K1131" s="198" t="s">
        <v>2272</v>
      </c>
      <c r="L1131" s="3" t="s">
        <v>2272</v>
      </c>
      <c r="M1131" s="3" t="s">
        <v>2272</v>
      </c>
      <c r="N1131" s="3" t="s">
        <v>2272</v>
      </c>
      <c r="O1131" s="3" t="s">
        <v>2272</v>
      </c>
      <c r="P1131" s="3" t="s">
        <v>2272</v>
      </c>
      <c r="Q1131" s="3" t="s">
        <v>2272</v>
      </c>
      <c r="R1131" s="3" t="s">
        <v>2272</v>
      </c>
      <c r="S1131" s="3" t="s">
        <v>2272</v>
      </c>
      <c r="T1131" s="3" t="s">
        <v>2272</v>
      </c>
      <c r="U1131" s="3" t="s">
        <v>2272</v>
      </c>
      <c r="V1131" s="3" t="s">
        <v>2272</v>
      </c>
      <c r="W1131" s="3" t="s">
        <v>2272</v>
      </c>
      <c r="X1131" s="3" t="s">
        <v>2272</v>
      </c>
      <c r="Y1131" s="3" t="s">
        <v>2272</v>
      </c>
      <c r="Z1131" s="3" t="s">
        <v>2272</v>
      </c>
      <c r="AA1131" s="3" t="s">
        <v>2272</v>
      </c>
      <c r="AB1131" s="4" t="s">
        <v>3418</v>
      </c>
      <c r="AC1131" s="3"/>
    </row>
    <row r="1132" spans="1:31"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2272</v>
      </c>
      <c r="K1132" s="198" t="s">
        <v>2272</v>
      </c>
      <c r="L1132" s="3" t="s">
        <v>2272</v>
      </c>
      <c r="M1132" s="3" t="s">
        <v>2272</v>
      </c>
      <c r="N1132" s="3" t="s">
        <v>2272</v>
      </c>
      <c r="O1132" s="3" t="s">
        <v>2272</v>
      </c>
      <c r="P1132" s="3" t="s">
        <v>2272</v>
      </c>
      <c r="Q1132" s="3" t="s">
        <v>2272</v>
      </c>
      <c r="R1132" s="3" t="s">
        <v>2272</v>
      </c>
      <c r="S1132" s="3" t="s">
        <v>2272</v>
      </c>
      <c r="T1132" s="3" t="s">
        <v>2272</v>
      </c>
      <c r="U1132" s="3" t="s">
        <v>2272</v>
      </c>
      <c r="V1132" s="3" t="s">
        <v>2272</v>
      </c>
      <c r="W1132" s="3" t="s">
        <v>2272</v>
      </c>
      <c r="X1132" s="3" t="s">
        <v>2272</v>
      </c>
      <c r="Y1132" s="3" t="s">
        <v>2272</v>
      </c>
      <c r="Z1132" s="3" t="s">
        <v>2272</v>
      </c>
      <c r="AA1132" s="3" t="s">
        <v>2272</v>
      </c>
      <c r="AB1132" s="4" t="s">
        <v>3419</v>
      </c>
      <c r="AC1132" s="3"/>
    </row>
    <row r="1133" spans="1:31"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2272</v>
      </c>
      <c r="K1133" s="198" t="s">
        <v>2272</v>
      </c>
      <c r="L1133" s="3" t="s">
        <v>2272</v>
      </c>
      <c r="M1133" s="3" t="s">
        <v>2272</v>
      </c>
      <c r="N1133" s="3" t="s">
        <v>2272</v>
      </c>
      <c r="O1133" s="3" t="s">
        <v>2272</v>
      </c>
      <c r="P1133" s="3" t="s">
        <v>2272</v>
      </c>
      <c r="Q1133" s="3" t="s">
        <v>2272</v>
      </c>
      <c r="R1133" s="3" t="s">
        <v>2272</v>
      </c>
      <c r="S1133" s="3" t="s">
        <v>2272</v>
      </c>
      <c r="T1133" s="3" t="s">
        <v>2272</v>
      </c>
      <c r="U1133" s="3" t="s">
        <v>2272</v>
      </c>
      <c r="V1133" s="3" t="s">
        <v>2272</v>
      </c>
      <c r="W1133" s="3" t="s">
        <v>2272</v>
      </c>
      <c r="X1133" s="3" t="s">
        <v>2272</v>
      </c>
      <c r="Y1133" s="3" t="s">
        <v>2272</v>
      </c>
      <c r="Z1133" s="3" t="s">
        <v>2272</v>
      </c>
      <c r="AA1133" s="3" t="s">
        <v>2272</v>
      </c>
      <c r="AB1133" s="4" t="s">
        <v>3418</v>
      </c>
      <c r="AC1133" s="3"/>
    </row>
    <row r="1134" spans="1:31"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2272</v>
      </c>
      <c r="K1134" s="198" t="s">
        <v>2272</v>
      </c>
      <c r="L1134" s="3" t="s">
        <v>2272</v>
      </c>
      <c r="M1134" s="3" t="s">
        <v>2272</v>
      </c>
      <c r="N1134" s="3" t="s">
        <v>2272</v>
      </c>
      <c r="O1134" s="3" t="s">
        <v>2272</v>
      </c>
      <c r="P1134" s="3" t="s">
        <v>2272</v>
      </c>
      <c r="Q1134" s="3" t="s">
        <v>2272</v>
      </c>
      <c r="R1134" s="3" t="s">
        <v>2272</v>
      </c>
      <c r="S1134" s="3" t="s">
        <v>2272</v>
      </c>
      <c r="T1134" s="3" t="s">
        <v>2272</v>
      </c>
      <c r="U1134" s="3" t="s">
        <v>2272</v>
      </c>
      <c r="V1134" s="3" t="s">
        <v>2272</v>
      </c>
      <c r="W1134" s="3" t="s">
        <v>2272</v>
      </c>
      <c r="X1134" s="3" t="s">
        <v>2272</v>
      </c>
      <c r="Y1134" s="3" t="s">
        <v>2272</v>
      </c>
      <c r="Z1134" s="3" t="s">
        <v>2272</v>
      </c>
      <c r="AA1134" s="3" t="s">
        <v>2272</v>
      </c>
      <c r="AB1134" s="4" t="s">
        <v>3419</v>
      </c>
      <c r="AC1134" s="3"/>
    </row>
    <row r="1135" spans="1:31"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2272</v>
      </c>
      <c r="K1135" s="198" t="s">
        <v>2272</v>
      </c>
      <c r="L1135" s="3" t="s">
        <v>2272</v>
      </c>
      <c r="M1135" s="3" t="s">
        <v>2272</v>
      </c>
      <c r="N1135" s="3" t="s">
        <v>2272</v>
      </c>
      <c r="O1135" s="3" t="s">
        <v>2272</v>
      </c>
      <c r="P1135" s="3" t="s">
        <v>2272</v>
      </c>
      <c r="Q1135" s="3" t="s">
        <v>2272</v>
      </c>
      <c r="R1135" s="3" t="s">
        <v>2272</v>
      </c>
      <c r="S1135" s="3" t="s">
        <v>2272</v>
      </c>
      <c r="T1135" s="3" t="s">
        <v>2272</v>
      </c>
      <c r="U1135" s="3" t="s">
        <v>2272</v>
      </c>
      <c r="V1135" s="3" t="s">
        <v>2272</v>
      </c>
      <c r="W1135" s="3" t="s">
        <v>2272</v>
      </c>
      <c r="X1135" s="3" t="s">
        <v>2272</v>
      </c>
      <c r="Y1135" s="3" t="s">
        <v>2272</v>
      </c>
      <c r="Z1135" s="3" t="s">
        <v>2272</v>
      </c>
      <c r="AA1135" s="3" t="s">
        <v>2272</v>
      </c>
      <c r="AB1135" s="4" t="s">
        <v>3418</v>
      </c>
      <c r="AC1135" s="3"/>
    </row>
    <row r="1136" spans="1:31"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2272</v>
      </c>
      <c r="K1136" s="198" t="s">
        <v>2272</v>
      </c>
      <c r="L1136" s="3" t="s">
        <v>2272</v>
      </c>
      <c r="M1136" s="3" t="s">
        <v>2272</v>
      </c>
      <c r="N1136" s="3" t="s">
        <v>2272</v>
      </c>
      <c r="O1136" s="3" t="s">
        <v>2272</v>
      </c>
      <c r="P1136" s="3" t="s">
        <v>2272</v>
      </c>
      <c r="Q1136" s="3" t="s">
        <v>2272</v>
      </c>
      <c r="R1136" s="3" t="s">
        <v>2272</v>
      </c>
      <c r="S1136" s="3" t="s">
        <v>2272</v>
      </c>
      <c r="T1136" s="3" t="s">
        <v>2272</v>
      </c>
      <c r="U1136" s="3" t="s">
        <v>2272</v>
      </c>
      <c r="V1136" s="3" t="s">
        <v>2272</v>
      </c>
      <c r="W1136" s="3" t="s">
        <v>2272</v>
      </c>
      <c r="X1136" s="3" t="s">
        <v>2272</v>
      </c>
      <c r="Y1136" s="3" t="s">
        <v>2272</v>
      </c>
      <c r="Z1136" s="3" t="s">
        <v>2272</v>
      </c>
      <c r="AA1136" s="3" t="s">
        <v>2272</v>
      </c>
      <c r="AB1136" s="4" t="s">
        <v>3419</v>
      </c>
      <c r="AC1136" s="3"/>
    </row>
    <row r="1137" spans="1:29"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2272</v>
      </c>
      <c r="K1137" s="198" t="s">
        <v>2272</v>
      </c>
      <c r="L1137" s="3" t="s">
        <v>2272</v>
      </c>
      <c r="M1137" s="3" t="s">
        <v>2272</v>
      </c>
      <c r="N1137" s="3" t="s">
        <v>2272</v>
      </c>
      <c r="O1137" s="3" t="s">
        <v>2272</v>
      </c>
      <c r="P1137" s="3" t="s">
        <v>2272</v>
      </c>
      <c r="Q1137" s="3" t="s">
        <v>2272</v>
      </c>
      <c r="R1137" s="3" t="s">
        <v>2272</v>
      </c>
      <c r="S1137" s="3" t="s">
        <v>2272</v>
      </c>
      <c r="T1137" s="3" t="s">
        <v>2272</v>
      </c>
      <c r="U1137" s="3" t="s">
        <v>2272</v>
      </c>
      <c r="V1137" s="3" t="s">
        <v>2272</v>
      </c>
      <c r="W1137" s="3" t="s">
        <v>2272</v>
      </c>
      <c r="X1137" s="3" t="s">
        <v>2272</v>
      </c>
      <c r="Y1137" s="3" t="s">
        <v>2272</v>
      </c>
      <c r="Z1137" s="3" t="s">
        <v>2272</v>
      </c>
      <c r="AA1137" s="3" t="s">
        <v>2272</v>
      </c>
      <c r="AB1137" s="4" t="s">
        <v>3418</v>
      </c>
      <c r="AC1137" s="3"/>
    </row>
    <row r="1138" spans="1:29"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2272</v>
      </c>
      <c r="K1138" s="198" t="s">
        <v>2272</v>
      </c>
      <c r="L1138" s="3" t="s">
        <v>2272</v>
      </c>
      <c r="M1138" s="3" t="s">
        <v>2272</v>
      </c>
      <c r="N1138" s="3" t="s">
        <v>2272</v>
      </c>
      <c r="O1138" s="3" t="s">
        <v>2272</v>
      </c>
      <c r="P1138" s="3" t="s">
        <v>2272</v>
      </c>
      <c r="Q1138" s="3" t="s">
        <v>2272</v>
      </c>
      <c r="R1138" s="3" t="s">
        <v>2272</v>
      </c>
      <c r="S1138" s="3" t="s">
        <v>2272</v>
      </c>
      <c r="T1138" s="3" t="s">
        <v>2272</v>
      </c>
      <c r="U1138" s="3" t="s">
        <v>2272</v>
      </c>
      <c r="V1138" s="3" t="s">
        <v>2272</v>
      </c>
      <c r="W1138" s="3" t="s">
        <v>2272</v>
      </c>
      <c r="X1138" s="3" t="s">
        <v>2272</v>
      </c>
      <c r="Y1138" s="3" t="s">
        <v>2272</v>
      </c>
      <c r="Z1138" s="3" t="s">
        <v>2272</v>
      </c>
      <c r="AA1138" s="3" t="s">
        <v>2272</v>
      </c>
      <c r="AB1138" s="4" t="s">
        <v>3419</v>
      </c>
      <c r="AC1138" s="3"/>
    </row>
    <row r="1139" spans="1:29"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2272</v>
      </c>
      <c r="K1139" s="198" t="s">
        <v>2272</v>
      </c>
      <c r="L1139" s="3" t="s">
        <v>2272</v>
      </c>
      <c r="M1139" s="3" t="s">
        <v>2272</v>
      </c>
      <c r="N1139" s="3" t="s">
        <v>2272</v>
      </c>
      <c r="O1139" s="3" t="s">
        <v>2272</v>
      </c>
      <c r="P1139" s="3" t="s">
        <v>2272</v>
      </c>
      <c r="Q1139" s="3" t="s">
        <v>2272</v>
      </c>
      <c r="R1139" s="3" t="s">
        <v>2272</v>
      </c>
      <c r="S1139" s="3" t="s">
        <v>2272</v>
      </c>
      <c r="T1139" s="3" t="s">
        <v>2272</v>
      </c>
      <c r="U1139" s="3" t="s">
        <v>2272</v>
      </c>
      <c r="V1139" s="3" t="s">
        <v>2272</v>
      </c>
      <c r="W1139" s="3" t="s">
        <v>2272</v>
      </c>
      <c r="X1139" s="3" t="s">
        <v>2272</v>
      </c>
      <c r="Y1139" s="3" t="s">
        <v>2272</v>
      </c>
      <c r="Z1139" s="3" t="s">
        <v>84</v>
      </c>
      <c r="AA1139" s="3" t="s">
        <v>67</v>
      </c>
      <c r="AB1139" s="3" t="s">
        <v>2650</v>
      </c>
      <c r="AC1139" s="4" t="s">
        <v>3444</v>
      </c>
    </row>
    <row r="1140" spans="1:29"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2272</v>
      </c>
      <c r="K1140" s="198" t="s">
        <v>2272</v>
      </c>
      <c r="L1140" s="3" t="s">
        <v>2272</v>
      </c>
      <c r="M1140" s="3" t="s">
        <v>2272</v>
      </c>
      <c r="N1140" s="3" t="s">
        <v>2272</v>
      </c>
      <c r="O1140" s="3" t="s">
        <v>2272</v>
      </c>
      <c r="P1140" s="3" t="s">
        <v>2272</v>
      </c>
      <c r="Q1140" s="3" t="s">
        <v>2272</v>
      </c>
      <c r="R1140" s="3" t="s">
        <v>2272</v>
      </c>
      <c r="S1140" s="3" t="s">
        <v>2272</v>
      </c>
      <c r="T1140" s="3" t="s">
        <v>2272</v>
      </c>
      <c r="U1140" s="3" t="s">
        <v>2272</v>
      </c>
      <c r="V1140" s="3" t="s">
        <v>2272</v>
      </c>
      <c r="W1140" s="3" t="s">
        <v>2272</v>
      </c>
      <c r="X1140" s="3" t="s">
        <v>2272</v>
      </c>
      <c r="Y1140" s="3" t="s">
        <v>2272</v>
      </c>
      <c r="Z1140" s="3" t="s">
        <v>84</v>
      </c>
      <c r="AA1140" s="3" t="s">
        <v>403</v>
      </c>
      <c r="AB1140" s="3" t="s">
        <v>2650</v>
      </c>
      <c r="AC1140" s="4" t="s">
        <v>3445</v>
      </c>
    </row>
    <row r="1141" spans="1:29"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2272</v>
      </c>
      <c r="K1141" s="198" t="s">
        <v>2272</v>
      </c>
      <c r="L1141" s="3" t="s">
        <v>2272</v>
      </c>
      <c r="M1141" s="3" t="s">
        <v>2272</v>
      </c>
      <c r="N1141" s="3" t="s">
        <v>2272</v>
      </c>
      <c r="O1141" s="3" t="s">
        <v>2272</v>
      </c>
      <c r="P1141" s="3" t="s">
        <v>2272</v>
      </c>
      <c r="Q1141" s="3" t="s">
        <v>2272</v>
      </c>
      <c r="R1141" s="3" t="s">
        <v>2272</v>
      </c>
      <c r="S1141" s="3" t="s">
        <v>2272</v>
      </c>
      <c r="T1141" s="3" t="s">
        <v>2272</v>
      </c>
      <c r="U1141" s="3" t="s">
        <v>2272</v>
      </c>
      <c r="V1141" s="3" t="s">
        <v>2272</v>
      </c>
      <c r="W1141" s="3" t="s">
        <v>2272</v>
      </c>
      <c r="X1141" s="3" t="s">
        <v>2272</v>
      </c>
      <c r="Y1141" s="3" t="s">
        <v>2272</v>
      </c>
      <c r="Z1141" s="3" t="s">
        <v>84</v>
      </c>
      <c r="AA1141" s="3" t="s">
        <v>67</v>
      </c>
      <c r="AB1141" s="3" t="s">
        <v>63</v>
      </c>
      <c r="AC1141" s="4" t="s">
        <v>3448</v>
      </c>
    </row>
    <row r="1142" spans="1:29"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2272</v>
      </c>
      <c r="K1142" s="198" t="s">
        <v>2272</v>
      </c>
      <c r="L1142" s="3" t="s">
        <v>2272</v>
      </c>
      <c r="M1142" s="3" t="s">
        <v>2272</v>
      </c>
      <c r="N1142" s="3" t="s">
        <v>2272</v>
      </c>
      <c r="O1142" s="3" t="s">
        <v>2272</v>
      </c>
      <c r="P1142" s="3" t="s">
        <v>2272</v>
      </c>
      <c r="Q1142" s="3" t="s">
        <v>2272</v>
      </c>
      <c r="R1142" s="3" t="s">
        <v>2272</v>
      </c>
      <c r="S1142" s="3" t="s">
        <v>2272</v>
      </c>
      <c r="T1142" s="3" t="s">
        <v>2272</v>
      </c>
      <c r="U1142" s="3" t="s">
        <v>2272</v>
      </c>
      <c r="V1142" s="3" t="s">
        <v>2272</v>
      </c>
      <c r="W1142" s="3" t="s">
        <v>2272</v>
      </c>
      <c r="X1142" s="3" t="s">
        <v>2272</v>
      </c>
      <c r="Y1142" s="3" t="s">
        <v>2272</v>
      </c>
      <c r="Z1142" s="11" t="s">
        <v>67</v>
      </c>
      <c r="AA1142" s="11" t="s">
        <v>125</v>
      </c>
      <c r="AB1142" s="11" t="s">
        <v>63</v>
      </c>
      <c r="AC1142" s="4" t="s">
        <v>3451</v>
      </c>
    </row>
    <row r="1143" spans="1:29"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2272</v>
      </c>
      <c r="K1143" s="198" t="s">
        <v>2272</v>
      </c>
      <c r="L1143" s="3" t="s">
        <v>2272</v>
      </c>
      <c r="M1143" s="3" t="s">
        <v>2272</v>
      </c>
      <c r="N1143" s="3" t="s">
        <v>2272</v>
      </c>
      <c r="O1143" s="3" t="s">
        <v>2272</v>
      </c>
      <c r="P1143" s="3" t="s">
        <v>2272</v>
      </c>
      <c r="Q1143" s="3" t="s">
        <v>2272</v>
      </c>
      <c r="R1143" s="3" t="s">
        <v>2272</v>
      </c>
      <c r="S1143" s="3" t="s">
        <v>2272</v>
      </c>
      <c r="T1143" s="3" t="s">
        <v>2272</v>
      </c>
      <c r="U1143" s="3" t="s">
        <v>2272</v>
      </c>
      <c r="V1143" s="3" t="s">
        <v>2272</v>
      </c>
      <c r="W1143" s="3" t="s">
        <v>2272</v>
      </c>
      <c r="X1143" s="3" t="s">
        <v>2272</v>
      </c>
      <c r="Y1143" s="3" t="s">
        <v>2272</v>
      </c>
      <c r="Z1143" s="3" t="s">
        <v>423</v>
      </c>
      <c r="AA1143" s="3" t="s">
        <v>67</v>
      </c>
      <c r="AB1143" s="3" t="s">
        <v>63</v>
      </c>
      <c r="AC1143" s="4" t="s">
        <v>3450</v>
      </c>
    </row>
    <row r="1144" spans="1:29"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2272</v>
      </c>
      <c r="K1144" s="198" t="s">
        <v>2272</v>
      </c>
      <c r="L1144" s="3" t="s">
        <v>2272</v>
      </c>
      <c r="M1144" s="3" t="s">
        <v>2272</v>
      </c>
      <c r="N1144" s="3" t="s">
        <v>2272</v>
      </c>
      <c r="O1144" s="3" t="s">
        <v>2272</v>
      </c>
      <c r="P1144" s="3" t="s">
        <v>2272</v>
      </c>
      <c r="Q1144" s="3" t="s">
        <v>2272</v>
      </c>
      <c r="R1144" s="3" t="s">
        <v>2272</v>
      </c>
      <c r="S1144" s="3" t="s">
        <v>2272</v>
      </c>
      <c r="T1144" s="3" t="s">
        <v>2272</v>
      </c>
      <c r="U1144" s="3" t="s">
        <v>2272</v>
      </c>
      <c r="V1144" s="3" t="s">
        <v>2272</v>
      </c>
      <c r="W1144" s="3" t="s">
        <v>2272</v>
      </c>
      <c r="X1144" s="3" t="s">
        <v>2396</v>
      </c>
      <c r="Y1144" s="3" t="s">
        <v>187</v>
      </c>
      <c r="Z1144" s="3" t="s">
        <v>37</v>
      </c>
      <c r="AA1144" s="3" t="s">
        <v>63</v>
      </c>
      <c r="AB1144" s="4" t="s">
        <v>3461</v>
      </c>
      <c r="AC1144" s="3"/>
    </row>
    <row r="1145" spans="1:29"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2272</v>
      </c>
      <c r="K1145" s="198" t="s">
        <v>2272</v>
      </c>
      <c r="L1145" s="3" t="s">
        <v>2272</v>
      </c>
      <c r="M1145" s="3" t="s">
        <v>2272</v>
      </c>
      <c r="N1145" s="3" t="s">
        <v>2272</v>
      </c>
      <c r="O1145" s="3" t="s">
        <v>2272</v>
      </c>
      <c r="P1145" s="3" t="s">
        <v>2272</v>
      </c>
      <c r="Q1145" s="3" t="s">
        <v>2272</v>
      </c>
      <c r="R1145" s="3" t="s">
        <v>2272</v>
      </c>
      <c r="S1145" s="3" t="s">
        <v>2272</v>
      </c>
      <c r="T1145" s="3" t="s">
        <v>2272</v>
      </c>
      <c r="U1145" s="3" t="s">
        <v>2272</v>
      </c>
      <c r="V1145" s="3" t="s">
        <v>2272</v>
      </c>
      <c r="W1145" s="3" t="s">
        <v>2272</v>
      </c>
      <c r="X1145" s="3" t="s">
        <v>2272</v>
      </c>
      <c r="Y1145" s="3" t="s">
        <v>67</v>
      </c>
      <c r="Z1145" s="3" t="s">
        <v>34</v>
      </c>
      <c r="AA1145" s="3" t="s">
        <v>2272</v>
      </c>
      <c r="AB1145" s="4" t="s">
        <v>3463</v>
      </c>
      <c r="AC1145" s="3"/>
    </row>
    <row r="1146" spans="1:29"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2272</v>
      </c>
      <c r="K1146" s="198" t="s">
        <v>2272</v>
      </c>
      <c r="L1146" s="3" t="s">
        <v>2272</v>
      </c>
      <c r="M1146" s="3" t="s">
        <v>2272</v>
      </c>
      <c r="N1146" s="3" t="s">
        <v>2272</v>
      </c>
      <c r="O1146" s="3" t="s">
        <v>2272</v>
      </c>
      <c r="P1146" s="3" t="s">
        <v>2272</v>
      </c>
      <c r="Q1146" s="3" t="s">
        <v>2272</v>
      </c>
      <c r="R1146" s="3" t="s">
        <v>2272</v>
      </c>
      <c r="S1146" s="3" t="s">
        <v>2272</v>
      </c>
      <c r="T1146" s="3" t="s">
        <v>2272</v>
      </c>
      <c r="U1146" s="3" t="s">
        <v>2272</v>
      </c>
      <c r="V1146" s="3" t="s">
        <v>2272</v>
      </c>
      <c r="W1146" s="3" t="s">
        <v>2272</v>
      </c>
      <c r="X1146" s="3" t="s">
        <v>2272</v>
      </c>
      <c r="Y1146" s="3" t="s">
        <v>2272</v>
      </c>
      <c r="Z1146" s="3" t="s">
        <v>2272</v>
      </c>
      <c r="AA1146" s="3" t="s">
        <v>2272</v>
      </c>
      <c r="AB1146" s="3"/>
      <c r="AC1146" s="3"/>
    </row>
    <row r="1147" spans="1:29"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2272</v>
      </c>
      <c r="K1147" s="198" t="s">
        <v>2272</v>
      </c>
      <c r="L1147" s="3" t="s">
        <v>2272</v>
      </c>
      <c r="M1147" s="3" t="s">
        <v>2272</v>
      </c>
      <c r="N1147" s="3" t="s">
        <v>2272</v>
      </c>
      <c r="O1147" s="3" t="s">
        <v>2272</v>
      </c>
      <c r="P1147" s="3" t="s">
        <v>2272</v>
      </c>
      <c r="Q1147" s="3" t="s">
        <v>2272</v>
      </c>
      <c r="R1147" s="3" t="s">
        <v>2272</v>
      </c>
      <c r="S1147" s="3" t="s">
        <v>2272</v>
      </c>
      <c r="T1147" s="3" t="s">
        <v>2272</v>
      </c>
      <c r="U1147" s="3" t="s">
        <v>2272</v>
      </c>
      <c r="V1147" s="3" t="s">
        <v>2272</v>
      </c>
      <c r="W1147" s="3" t="s">
        <v>2272</v>
      </c>
      <c r="X1147" s="3" t="s">
        <v>2272</v>
      </c>
      <c r="Y1147" s="3" t="s">
        <v>187</v>
      </c>
      <c r="Z1147" s="3" t="s">
        <v>37</v>
      </c>
      <c r="AA1147" s="3" t="s">
        <v>63</v>
      </c>
      <c r="AB1147" s="3" t="s">
        <v>3467</v>
      </c>
      <c r="AC1147" s="3"/>
    </row>
    <row r="1148" spans="1:29"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2272</v>
      </c>
      <c r="K1148" s="198" t="s">
        <v>2272</v>
      </c>
      <c r="L1148" s="3" t="s">
        <v>2272</v>
      </c>
      <c r="M1148" s="3" t="s">
        <v>2272</v>
      </c>
      <c r="N1148" s="3" t="s">
        <v>2272</v>
      </c>
      <c r="O1148" s="3" t="s">
        <v>2272</v>
      </c>
      <c r="P1148" s="3" t="s">
        <v>2272</v>
      </c>
      <c r="Q1148" s="3" t="s">
        <v>2272</v>
      </c>
      <c r="R1148" s="3" t="s">
        <v>2272</v>
      </c>
      <c r="S1148" s="3" t="s">
        <v>2272</v>
      </c>
      <c r="T1148" s="3" t="s">
        <v>2272</v>
      </c>
      <c r="U1148" s="3" t="s">
        <v>2272</v>
      </c>
      <c r="V1148" s="3" t="s">
        <v>2272</v>
      </c>
      <c r="W1148" s="3" t="s">
        <v>2272</v>
      </c>
      <c r="X1148" s="3" t="s">
        <v>2272</v>
      </c>
      <c r="Y1148" s="3" t="s">
        <v>187</v>
      </c>
      <c r="Z1148" s="3" t="s">
        <v>37</v>
      </c>
      <c r="AA1148" s="3" t="s">
        <v>63</v>
      </c>
      <c r="AB1148" s="3" t="s">
        <v>3467</v>
      </c>
      <c r="AC1148" s="3"/>
    </row>
    <row r="1149" spans="1:29"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2272</v>
      </c>
      <c r="K1149" s="198" t="s">
        <v>2272</v>
      </c>
      <c r="L1149" s="3" t="s">
        <v>2272</v>
      </c>
      <c r="M1149" s="3" t="s">
        <v>2272</v>
      </c>
      <c r="N1149" s="3" t="s">
        <v>2272</v>
      </c>
      <c r="O1149" s="3" t="s">
        <v>2272</v>
      </c>
      <c r="P1149" s="3" t="s">
        <v>2272</v>
      </c>
      <c r="Q1149" s="3" t="s">
        <v>2272</v>
      </c>
      <c r="R1149" s="3" t="s">
        <v>2272</v>
      </c>
      <c r="S1149" s="3" t="s">
        <v>2272</v>
      </c>
      <c r="T1149" s="3" t="s">
        <v>2272</v>
      </c>
      <c r="U1149" s="3" t="s">
        <v>2272</v>
      </c>
      <c r="V1149" s="3" t="s">
        <v>2272</v>
      </c>
      <c r="W1149" s="3" t="s">
        <v>2272</v>
      </c>
      <c r="X1149" s="3" t="s">
        <v>2272</v>
      </c>
      <c r="Y1149" s="3" t="s">
        <v>2272</v>
      </c>
      <c r="Z1149" s="3" t="s">
        <v>2272</v>
      </c>
      <c r="AA1149" s="3" t="s">
        <v>2272</v>
      </c>
      <c r="AB1149" s="3"/>
      <c r="AC1149" s="3"/>
    </row>
    <row r="1150" spans="1:29"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2272</v>
      </c>
      <c r="K1150" s="198" t="s">
        <v>2272</v>
      </c>
      <c r="L1150" s="3" t="s">
        <v>2272</v>
      </c>
      <c r="M1150" s="3" t="s">
        <v>2272</v>
      </c>
      <c r="N1150" s="3" t="s">
        <v>2272</v>
      </c>
      <c r="O1150" s="3" t="s">
        <v>2272</v>
      </c>
      <c r="P1150" s="3" t="s">
        <v>2272</v>
      </c>
      <c r="Q1150" s="3" t="s">
        <v>2272</v>
      </c>
      <c r="R1150" s="3" t="s">
        <v>2272</v>
      </c>
      <c r="S1150" s="3" t="s">
        <v>2272</v>
      </c>
      <c r="T1150" s="3" t="s">
        <v>2272</v>
      </c>
      <c r="U1150" s="3" t="s">
        <v>2272</v>
      </c>
      <c r="V1150" s="3" t="s">
        <v>2272</v>
      </c>
      <c r="W1150" s="3" t="s">
        <v>2272</v>
      </c>
      <c r="X1150" s="3" t="s">
        <v>2272</v>
      </c>
      <c r="Y1150" s="3" t="s">
        <v>2272</v>
      </c>
      <c r="Z1150" s="3" t="s">
        <v>2272</v>
      </c>
      <c r="AA1150" s="3" t="s">
        <v>2272</v>
      </c>
      <c r="AB1150" s="11" t="s">
        <v>3472</v>
      </c>
      <c r="AC1150" s="3"/>
    </row>
    <row r="1151" spans="1:29"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2272</v>
      </c>
      <c r="K1151" s="198" t="s">
        <v>2272</v>
      </c>
      <c r="L1151" s="3" t="s">
        <v>2272</v>
      </c>
      <c r="M1151" s="3" t="s">
        <v>2272</v>
      </c>
      <c r="N1151" s="3" t="s">
        <v>2272</v>
      </c>
      <c r="O1151" s="3" t="s">
        <v>2272</v>
      </c>
      <c r="P1151" s="3" t="s">
        <v>2272</v>
      </c>
      <c r="Q1151" s="3" t="s">
        <v>2272</v>
      </c>
      <c r="R1151" s="3" t="s">
        <v>2272</v>
      </c>
      <c r="S1151" s="3" t="s">
        <v>2272</v>
      </c>
      <c r="T1151" s="3" t="s">
        <v>2272</v>
      </c>
      <c r="U1151" s="3" t="s">
        <v>2272</v>
      </c>
      <c r="V1151" s="3" t="s">
        <v>2272</v>
      </c>
      <c r="W1151" s="3" t="s">
        <v>2272</v>
      </c>
      <c r="X1151" s="3" t="s">
        <v>2272</v>
      </c>
      <c r="Y1151" s="3" t="s">
        <v>2272</v>
      </c>
      <c r="Z1151" s="3" t="s">
        <v>2272</v>
      </c>
      <c r="AA1151" s="3" t="s">
        <v>2272</v>
      </c>
      <c r="AB1151" s="19" t="s">
        <v>3476</v>
      </c>
      <c r="AC1151" s="3"/>
    </row>
    <row r="1152" spans="1:29"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2272</v>
      </c>
      <c r="K1152" s="198" t="s">
        <v>2272</v>
      </c>
      <c r="L1152" s="3" t="s">
        <v>2272</v>
      </c>
      <c r="M1152" s="3" t="s">
        <v>2272</v>
      </c>
      <c r="N1152" s="3" t="s">
        <v>2272</v>
      </c>
      <c r="O1152" s="3" t="s">
        <v>2272</v>
      </c>
      <c r="P1152" s="3" t="s">
        <v>2272</v>
      </c>
      <c r="Q1152" s="3" t="s">
        <v>2272</v>
      </c>
      <c r="R1152" s="3" t="s">
        <v>2272</v>
      </c>
      <c r="S1152" s="3" t="s">
        <v>2272</v>
      </c>
      <c r="T1152" s="3" t="s">
        <v>2272</v>
      </c>
      <c r="U1152" s="3" t="s">
        <v>2272</v>
      </c>
      <c r="V1152" s="3" t="s">
        <v>2272</v>
      </c>
      <c r="W1152" s="3" t="s">
        <v>2272</v>
      </c>
      <c r="X1152" s="3" t="s">
        <v>2272</v>
      </c>
      <c r="Y1152" s="3" t="s">
        <v>2272</v>
      </c>
      <c r="Z1152" s="3" t="s">
        <v>2272</v>
      </c>
      <c r="AA1152" s="3" t="s">
        <v>2272</v>
      </c>
      <c r="AB1152" s="19" t="s">
        <v>3476</v>
      </c>
      <c r="AC1152" s="3"/>
    </row>
    <row r="1153" spans="1:29"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2272</v>
      </c>
      <c r="K1153" s="198" t="s">
        <v>2272</v>
      </c>
      <c r="L1153" s="3" t="s">
        <v>2272</v>
      </c>
      <c r="M1153" s="3" t="s">
        <v>2272</v>
      </c>
      <c r="N1153" s="3" t="s">
        <v>2272</v>
      </c>
      <c r="O1153" s="3" t="s">
        <v>2272</v>
      </c>
      <c r="P1153" s="3" t="s">
        <v>2272</v>
      </c>
      <c r="Q1153" s="3" t="s">
        <v>2272</v>
      </c>
      <c r="R1153" s="3" t="s">
        <v>2272</v>
      </c>
      <c r="S1153" s="3" t="s">
        <v>2272</v>
      </c>
      <c r="T1153" s="3" t="s">
        <v>2272</v>
      </c>
      <c r="U1153" s="3" t="s">
        <v>2272</v>
      </c>
      <c r="V1153" s="3" t="s">
        <v>2272</v>
      </c>
      <c r="W1153" s="3" t="s">
        <v>2272</v>
      </c>
      <c r="X1153" s="3" t="s">
        <v>2272</v>
      </c>
      <c r="Y1153" s="3" t="s">
        <v>2272</v>
      </c>
      <c r="Z1153" s="3" t="s">
        <v>2272</v>
      </c>
      <c r="AA1153" s="3" t="s">
        <v>2272</v>
      </c>
      <c r="AB1153" s="4" t="s">
        <v>3479</v>
      </c>
      <c r="AC1153" s="3"/>
    </row>
    <row r="1154" spans="1:29"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ND</v>
      </c>
      <c r="H1154" s="6" t="str">
        <f>'Reported burning'!H1154</f>
        <v>Presence</v>
      </c>
      <c r="I1154" s="3">
        <f>'Reported burning'!I1154</f>
        <v>2009</v>
      </c>
      <c r="J1154" s="3" t="s">
        <v>2272</v>
      </c>
      <c r="K1154" s="198" t="s">
        <v>2272</v>
      </c>
      <c r="L1154" s="3" t="s">
        <v>2272</v>
      </c>
      <c r="M1154" s="3" t="s">
        <v>2272</v>
      </c>
      <c r="N1154" s="3" t="s">
        <v>2272</v>
      </c>
      <c r="O1154" s="3" t="s">
        <v>2272</v>
      </c>
      <c r="P1154" s="3" t="s">
        <v>2272</v>
      </c>
      <c r="Q1154" s="3" t="s">
        <v>2272</v>
      </c>
      <c r="R1154" s="3" t="s">
        <v>2272</v>
      </c>
      <c r="S1154" s="3" t="s">
        <v>2272</v>
      </c>
      <c r="T1154" s="3" t="s">
        <v>2272</v>
      </c>
      <c r="U1154" s="3" t="s">
        <v>2272</v>
      </c>
      <c r="V1154" s="3" t="s">
        <v>2272</v>
      </c>
      <c r="W1154" s="3" t="s">
        <v>2272</v>
      </c>
      <c r="X1154" s="3" t="s">
        <v>2272</v>
      </c>
      <c r="Y1154" s="3" t="s">
        <v>2272</v>
      </c>
      <c r="Z1154" s="3" t="s">
        <v>2272</v>
      </c>
      <c r="AA1154" s="3" t="s">
        <v>2272</v>
      </c>
      <c r="AB1154" s="3"/>
      <c r="AC1154" s="3"/>
    </row>
    <row r="1155" spans="1:29"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ND</v>
      </c>
      <c r="H1155" s="6" t="str">
        <f>'Reported burning'!H1155</f>
        <v>Presence</v>
      </c>
      <c r="I1155" s="3">
        <f>'Reported burning'!I1155</f>
        <v>2010</v>
      </c>
      <c r="J1155" s="3" t="s">
        <v>2272</v>
      </c>
      <c r="K1155" s="198" t="s">
        <v>2272</v>
      </c>
      <c r="L1155" s="3" t="s">
        <v>2272</v>
      </c>
      <c r="M1155" s="3" t="s">
        <v>2272</v>
      </c>
      <c r="N1155" s="3" t="s">
        <v>2272</v>
      </c>
      <c r="O1155" s="3" t="s">
        <v>2272</v>
      </c>
      <c r="P1155" s="3" t="s">
        <v>2272</v>
      </c>
      <c r="Q1155" s="3" t="s">
        <v>2272</v>
      </c>
      <c r="R1155" s="3" t="s">
        <v>2272</v>
      </c>
      <c r="S1155" s="3" t="s">
        <v>2272</v>
      </c>
      <c r="T1155" s="3" t="s">
        <v>2272</v>
      </c>
      <c r="U1155" s="3" t="s">
        <v>2272</v>
      </c>
      <c r="V1155" s="3" t="s">
        <v>2272</v>
      </c>
      <c r="W1155" s="3" t="s">
        <v>2272</v>
      </c>
      <c r="X1155" s="3" t="s">
        <v>2272</v>
      </c>
      <c r="Y1155" s="3" t="s">
        <v>2272</v>
      </c>
      <c r="Z1155" s="3" t="s">
        <v>2272</v>
      </c>
      <c r="AA1155" s="3" t="s">
        <v>2272</v>
      </c>
      <c r="AB1155" s="3"/>
      <c r="AC1155" s="3"/>
    </row>
    <row r="1156" spans="1:29"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ND</v>
      </c>
      <c r="H1156" s="6" t="str">
        <f>'Reported burning'!H1156</f>
        <v>Presence</v>
      </c>
      <c r="I1156" s="3">
        <f>'Reported burning'!I1156</f>
        <v>2011</v>
      </c>
      <c r="J1156" s="3" t="s">
        <v>2272</v>
      </c>
      <c r="K1156" s="198" t="s">
        <v>2272</v>
      </c>
      <c r="L1156" s="3" t="s">
        <v>2272</v>
      </c>
      <c r="M1156" s="3" t="s">
        <v>2272</v>
      </c>
      <c r="N1156" s="3" t="s">
        <v>2272</v>
      </c>
      <c r="O1156" s="3" t="s">
        <v>2272</v>
      </c>
      <c r="P1156" s="3" t="s">
        <v>2272</v>
      </c>
      <c r="Q1156" s="3" t="s">
        <v>2272</v>
      </c>
      <c r="R1156" s="3" t="s">
        <v>2272</v>
      </c>
      <c r="S1156" s="3" t="s">
        <v>2272</v>
      </c>
      <c r="T1156" s="3" t="s">
        <v>2272</v>
      </c>
      <c r="U1156" s="3" t="s">
        <v>2272</v>
      </c>
      <c r="V1156" s="3" t="s">
        <v>2272</v>
      </c>
      <c r="W1156" s="3" t="s">
        <v>2272</v>
      </c>
      <c r="X1156" s="3" t="s">
        <v>2272</v>
      </c>
      <c r="Y1156" s="3" t="s">
        <v>2272</v>
      </c>
      <c r="Z1156" s="3" t="s">
        <v>2272</v>
      </c>
      <c r="AA1156" s="3" t="s">
        <v>2272</v>
      </c>
      <c r="AB1156" s="3"/>
      <c r="AC1156" s="3"/>
    </row>
    <row r="1157" spans="1:29"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ND</v>
      </c>
      <c r="H1157" s="6" t="str">
        <f>'Reported burning'!H1157</f>
        <v>Presence</v>
      </c>
      <c r="I1157" s="3">
        <f>'Reported burning'!I1157</f>
        <v>2012</v>
      </c>
      <c r="J1157" s="3" t="s">
        <v>2272</v>
      </c>
      <c r="K1157" s="198" t="s">
        <v>2272</v>
      </c>
      <c r="L1157" s="3" t="s">
        <v>2272</v>
      </c>
      <c r="M1157" s="3" t="s">
        <v>2272</v>
      </c>
      <c r="N1157" s="3" t="s">
        <v>2272</v>
      </c>
      <c r="O1157" s="3" t="s">
        <v>2272</v>
      </c>
      <c r="P1157" s="3" t="s">
        <v>2272</v>
      </c>
      <c r="Q1157" s="3" t="s">
        <v>2272</v>
      </c>
      <c r="R1157" s="3" t="s">
        <v>2272</v>
      </c>
      <c r="S1157" s="3" t="s">
        <v>2272</v>
      </c>
      <c r="T1157" s="3" t="s">
        <v>2272</v>
      </c>
      <c r="U1157" s="3" t="s">
        <v>2272</v>
      </c>
      <c r="V1157" s="3" t="s">
        <v>2272</v>
      </c>
      <c r="W1157" s="3" t="s">
        <v>2272</v>
      </c>
      <c r="X1157" s="3" t="s">
        <v>2272</v>
      </c>
      <c r="Y1157" s="3" t="s">
        <v>2272</v>
      </c>
      <c r="Z1157" s="3" t="s">
        <v>2272</v>
      </c>
      <c r="AA1157" s="3" t="s">
        <v>2272</v>
      </c>
      <c r="AB1157" s="3"/>
      <c r="AC1157" s="3"/>
    </row>
    <row r="1158" spans="1:29"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ND</v>
      </c>
      <c r="H1158" s="6" t="str">
        <f>'Reported burning'!H1158</f>
        <v>Presence</v>
      </c>
      <c r="I1158" s="3">
        <f>'Reported burning'!I1158</f>
        <v>2013</v>
      </c>
      <c r="J1158" s="3" t="s">
        <v>2272</v>
      </c>
      <c r="K1158" s="198" t="s">
        <v>2272</v>
      </c>
      <c r="L1158" s="3" t="s">
        <v>2272</v>
      </c>
      <c r="M1158" s="3" t="s">
        <v>2272</v>
      </c>
      <c r="N1158" s="3" t="s">
        <v>2272</v>
      </c>
      <c r="O1158" s="3" t="s">
        <v>2272</v>
      </c>
      <c r="P1158" s="3" t="s">
        <v>2272</v>
      </c>
      <c r="Q1158" s="3" t="s">
        <v>2272</v>
      </c>
      <c r="R1158" s="3" t="s">
        <v>2272</v>
      </c>
      <c r="S1158" s="3" t="s">
        <v>2272</v>
      </c>
      <c r="T1158" s="3" t="s">
        <v>2272</v>
      </c>
      <c r="U1158" s="3" t="s">
        <v>2272</v>
      </c>
      <c r="V1158" s="3" t="s">
        <v>2272</v>
      </c>
      <c r="W1158" s="3" t="s">
        <v>2272</v>
      </c>
      <c r="X1158" s="3" t="s">
        <v>2272</v>
      </c>
      <c r="Y1158" s="3" t="s">
        <v>2272</v>
      </c>
      <c r="Z1158" s="3" t="s">
        <v>2272</v>
      </c>
      <c r="AA1158" s="3" t="s">
        <v>2272</v>
      </c>
      <c r="AB1158" s="3"/>
      <c r="AC1158" s="3"/>
    </row>
    <row r="1159" spans="1:29"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ND</v>
      </c>
      <c r="H1159" s="6" t="str">
        <f>'Reported burning'!H1159</f>
        <v>Presence</v>
      </c>
      <c r="I1159" s="3">
        <f>'Reported burning'!I1159</f>
        <v>2014</v>
      </c>
      <c r="J1159" s="3" t="s">
        <v>2272</v>
      </c>
      <c r="K1159" s="198" t="s">
        <v>2272</v>
      </c>
      <c r="L1159" s="3" t="s">
        <v>2272</v>
      </c>
      <c r="M1159" s="3" t="s">
        <v>2272</v>
      </c>
      <c r="N1159" s="3" t="s">
        <v>2272</v>
      </c>
      <c r="O1159" s="3" t="s">
        <v>2272</v>
      </c>
      <c r="P1159" s="3" t="s">
        <v>2272</v>
      </c>
      <c r="Q1159" s="3" t="s">
        <v>2272</v>
      </c>
      <c r="R1159" s="3" t="s">
        <v>2272</v>
      </c>
      <c r="S1159" s="3" t="s">
        <v>2272</v>
      </c>
      <c r="T1159" s="3" t="s">
        <v>2272</v>
      </c>
      <c r="U1159" s="3" t="s">
        <v>2272</v>
      </c>
      <c r="V1159" s="3" t="s">
        <v>2272</v>
      </c>
      <c r="W1159" s="3" t="s">
        <v>2272</v>
      </c>
      <c r="X1159" s="3" t="s">
        <v>2272</v>
      </c>
      <c r="Y1159" s="3" t="s">
        <v>2272</v>
      </c>
      <c r="Z1159" s="3" t="s">
        <v>2272</v>
      </c>
      <c r="AA1159" s="3" t="s">
        <v>2272</v>
      </c>
      <c r="AB1159" s="3"/>
      <c r="AC1159" s="3"/>
    </row>
    <row r="1160" spans="1:29"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2272</v>
      </c>
      <c r="K1160" s="198" t="s">
        <v>2272</v>
      </c>
      <c r="L1160" s="3" t="s">
        <v>2272</v>
      </c>
      <c r="M1160" s="3" t="s">
        <v>2272</v>
      </c>
      <c r="N1160" s="3" t="s">
        <v>2272</v>
      </c>
      <c r="O1160" s="3" t="s">
        <v>2272</v>
      </c>
      <c r="P1160" s="3" t="s">
        <v>2272</v>
      </c>
      <c r="Q1160" s="3" t="s">
        <v>2272</v>
      </c>
      <c r="R1160" s="3" t="s">
        <v>2272</v>
      </c>
      <c r="S1160" s="3" t="s">
        <v>2272</v>
      </c>
      <c r="T1160" s="3" t="s">
        <v>2272</v>
      </c>
      <c r="U1160" s="3" t="s">
        <v>2272</v>
      </c>
      <c r="V1160" s="3" t="s">
        <v>2272</v>
      </c>
      <c r="W1160" s="3" t="s">
        <v>2272</v>
      </c>
      <c r="X1160" s="3" t="s">
        <v>2272</v>
      </c>
      <c r="Y1160" s="3" t="s">
        <v>423</v>
      </c>
      <c r="Z1160" s="3" t="s">
        <v>67</v>
      </c>
      <c r="AA1160" s="3" t="s">
        <v>63</v>
      </c>
      <c r="AB1160" s="3"/>
      <c r="AC1160" s="3"/>
    </row>
    <row r="1161" spans="1:29" ht="36.5" customHeight="1">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2359</v>
      </c>
      <c r="K1161" s="198" t="s">
        <v>2359</v>
      </c>
      <c r="L1161" s="198" t="s">
        <v>2359</v>
      </c>
      <c r="M1161" s="198" t="s">
        <v>2359</v>
      </c>
      <c r="N1161" s="198" t="s">
        <v>2359</v>
      </c>
      <c r="O1161" s="198" t="s">
        <v>2359</v>
      </c>
      <c r="P1161" s="198" t="s">
        <v>2359</v>
      </c>
      <c r="Q1161" s="198" t="s">
        <v>2359</v>
      </c>
      <c r="R1161" s="198" t="s">
        <v>2359</v>
      </c>
      <c r="S1161" s="198" t="s">
        <v>2359</v>
      </c>
      <c r="T1161" s="198" t="s">
        <v>2359</v>
      </c>
      <c r="U1161" s="198" t="s">
        <v>2359</v>
      </c>
      <c r="V1161" s="198" t="s">
        <v>2359</v>
      </c>
      <c r="W1161" s="198" t="s">
        <v>2359</v>
      </c>
      <c r="X1161" s="3" t="s">
        <v>2272</v>
      </c>
      <c r="Y1161" s="3" t="s">
        <v>2272</v>
      </c>
      <c r="Z1161" s="3" t="s">
        <v>2272</v>
      </c>
      <c r="AA1161" s="3" t="s">
        <v>2272</v>
      </c>
      <c r="AB1161" s="3"/>
      <c r="AC1161" s="3"/>
    </row>
    <row r="1162" spans="1:29"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2272</v>
      </c>
      <c r="K1162" s="198" t="s">
        <v>2272</v>
      </c>
      <c r="L1162" s="3" t="s">
        <v>2272</v>
      </c>
      <c r="M1162" s="3" t="s">
        <v>2272</v>
      </c>
      <c r="N1162" s="3" t="s">
        <v>2272</v>
      </c>
      <c r="O1162" s="3" t="s">
        <v>2272</v>
      </c>
      <c r="P1162" s="3" t="s">
        <v>2272</v>
      </c>
      <c r="Q1162" s="3" t="s">
        <v>2272</v>
      </c>
      <c r="R1162" s="3" t="s">
        <v>2272</v>
      </c>
      <c r="S1162" s="3" t="s">
        <v>2272</v>
      </c>
      <c r="T1162" s="3" t="s">
        <v>2272</v>
      </c>
      <c r="U1162" s="3" t="s">
        <v>2272</v>
      </c>
      <c r="V1162" s="3" t="s">
        <v>2272</v>
      </c>
      <c r="W1162" s="3" t="s">
        <v>2272</v>
      </c>
      <c r="X1162" s="3" t="s">
        <v>2272</v>
      </c>
      <c r="Y1162" s="3" t="s">
        <v>402</v>
      </c>
      <c r="Z1162" s="3" t="s">
        <v>67</v>
      </c>
      <c r="AA1162" s="3" t="s">
        <v>63</v>
      </c>
      <c r="AB1162" s="3"/>
      <c r="AC1162" s="3"/>
    </row>
    <row r="1163" spans="1:29"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2272</v>
      </c>
      <c r="K1163" s="198" t="s">
        <v>2272</v>
      </c>
      <c r="L1163" s="3" t="s">
        <v>2272</v>
      </c>
      <c r="M1163" s="3" t="s">
        <v>2272</v>
      </c>
      <c r="N1163" s="3" t="s">
        <v>2272</v>
      </c>
      <c r="O1163" s="3" t="s">
        <v>2272</v>
      </c>
      <c r="P1163" s="3" t="s">
        <v>2272</v>
      </c>
      <c r="Q1163" s="3" t="s">
        <v>2272</v>
      </c>
      <c r="R1163" s="3" t="s">
        <v>2272</v>
      </c>
      <c r="S1163" s="3" t="s">
        <v>2272</v>
      </c>
      <c r="T1163" s="3" t="s">
        <v>2272</v>
      </c>
      <c r="U1163" s="3" t="s">
        <v>2272</v>
      </c>
      <c r="V1163" s="3" t="s">
        <v>2272</v>
      </c>
      <c r="W1163" s="3" t="s">
        <v>2272</v>
      </c>
      <c r="X1163" s="3" t="s">
        <v>2272</v>
      </c>
      <c r="Y1163" s="3" t="s">
        <v>397</v>
      </c>
      <c r="Z1163" s="3" t="s">
        <v>37</v>
      </c>
      <c r="AA1163" s="3" t="s">
        <v>63</v>
      </c>
      <c r="AB1163" s="3"/>
      <c r="AC1163" s="3"/>
    </row>
    <row r="1164" spans="1:29"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2272</v>
      </c>
      <c r="K1164" s="198" t="s">
        <v>2272</v>
      </c>
      <c r="L1164" s="3" t="s">
        <v>2272</v>
      </c>
      <c r="M1164" s="3" t="s">
        <v>2272</v>
      </c>
      <c r="N1164" s="3" t="s">
        <v>2272</v>
      </c>
      <c r="O1164" s="3" t="s">
        <v>2272</v>
      </c>
      <c r="P1164" s="3" t="s">
        <v>2272</v>
      </c>
      <c r="Q1164" s="3" t="s">
        <v>2272</v>
      </c>
      <c r="R1164" s="3" t="s">
        <v>2272</v>
      </c>
      <c r="S1164" s="3" t="s">
        <v>2272</v>
      </c>
      <c r="T1164" s="3" t="s">
        <v>2272</v>
      </c>
      <c r="U1164" s="3" t="s">
        <v>2272</v>
      </c>
      <c r="V1164" s="3" t="s">
        <v>2272</v>
      </c>
      <c r="W1164" s="3" t="s">
        <v>2272</v>
      </c>
      <c r="X1164" s="3" t="s">
        <v>2272</v>
      </c>
      <c r="Y1164" s="3" t="s">
        <v>402</v>
      </c>
      <c r="Z1164" s="3" t="s">
        <v>67</v>
      </c>
      <c r="AA1164" s="3" t="s">
        <v>63</v>
      </c>
      <c r="AB1164" s="3"/>
      <c r="AC1164" s="3"/>
    </row>
    <row r="1165" spans="1:29"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2272</v>
      </c>
      <c r="K1165" s="198" t="s">
        <v>2272</v>
      </c>
      <c r="L1165" s="3" t="s">
        <v>2272</v>
      </c>
      <c r="M1165" s="3" t="s">
        <v>2272</v>
      </c>
      <c r="N1165" s="3" t="s">
        <v>2272</v>
      </c>
      <c r="O1165" s="3" t="s">
        <v>2272</v>
      </c>
      <c r="P1165" s="3" t="s">
        <v>2272</v>
      </c>
      <c r="Q1165" s="3" t="s">
        <v>2272</v>
      </c>
      <c r="R1165" s="3" t="s">
        <v>2272</v>
      </c>
      <c r="S1165" s="3" t="s">
        <v>2272</v>
      </c>
      <c r="T1165" s="3" t="s">
        <v>2272</v>
      </c>
      <c r="U1165" s="3" t="s">
        <v>2272</v>
      </c>
      <c r="V1165" s="3" t="s">
        <v>2272</v>
      </c>
      <c r="W1165" s="3" t="s">
        <v>2272</v>
      </c>
      <c r="X1165" s="3" t="s">
        <v>2272</v>
      </c>
      <c r="Y1165" s="3" t="s">
        <v>397</v>
      </c>
      <c r="Z1165" s="3" t="s">
        <v>37</v>
      </c>
      <c r="AA1165" s="3" t="s">
        <v>63</v>
      </c>
      <c r="AB1165" s="3"/>
      <c r="AC1165" s="3"/>
    </row>
    <row r="1166" spans="1:29"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2272</v>
      </c>
      <c r="K1166" s="198" t="s">
        <v>2272</v>
      </c>
      <c r="L1166" s="3" t="s">
        <v>2272</v>
      </c>
      <c r="M1166" s="3" t="s">
        <v>2272</v>
      </c>
      <c r="N1166" s="3" t="s">
        <v>2272</v>
      </c>
      <c r="O1166" s="3" t="s">
        <v>2272</v>
      </c>
      <c r="P1166" s="3" t="s">
        <v>2272</v>
      </c>
      <c r="Q1166" s="3" t="s">
        <v>2272</v>
      </c>
      <c r="R1166" s="3" t="s">
        <v>2272</v>
      </c>
      <c r="S1166" s="3" t="s">
        <v>2272</v>
      </c>
      <c r="T1166" s="3" t="s">
        <v>2272</v>
      </c>
      <c r="U1166" s="3" t="s">
        <v>2272</v>
      </c>
      <c r="V1166" s="3" t="s">
        <v>2272</v>
      </c>
      <c r="W1166" s="3" t="s">
        <v>2272</v>
      </c>
      <c r="X1166" s="3" t="s">
        <v>2272</v>
      </c>
      <c r="Y1166" s="3" t="s">
        <v>402</v>
      </c>
      <c r="Z1166" s="3" t="s">
        <v>67</v>
      </c>
      <c r="AA1166" s="3" t="s">
        <v>63</v>
      </c>
      <c r="AB1166" s="3"/>
      <c r="AC1166" s="3"/>
    </row>
    <row r="1167" spans="1:29"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2272</v>
      </c>
      <c r="K1167" s="198" t="s">
        <v>2272</v>
      </c>
      <c r="L1167" s="3" t="s">
        <v>2272</v>
      </c>
      <c r="M1167" s="3" t="s">
        <v>2272</v>
      </c>
      <c r="N1167" s="3" t="s">
        <v>2272</v>
      </c>
      <c r="O1167" s="3" t="s">
        <v>2272</v>
      </c>
      <c r="P1167" s="3" t="s">
        <v>2272</v>
      </c>
      <c r="Q1167" s="3" t="s">
        <v>2272</v>
      </c>
      <c r="R1167" s="3" t="s">
        <v>2272</v>
      </c>
      <c r="S1167" s="3" t="s">
        <v>2272</v>
      </c>
      <c r="T1167" s="3" t="s">
        <v>2272</v>
      </c>
      <c r="U1167" s="3" t="s">
        <v>2272</v>
      </c>
      <c r="V1167" s="3" t="s">
        <v>2272</v>
      </c>
      <c r="W1167" s="3" t="s">
        <v>2272</v>
      </c>
      <c r="X1167" s="3" t="s">
        <v>2272</v>
      </c>
      <c r="Y1167" s="3" t="s">
        <v>397</v>
      </c>
      <c r="Z1167" s="3" t="s">
        <v>37</v>
      </c>
      <c r="AA1167" s="3" t="s">
        <v>63</v>
      </c>
      <c r="AB1167" s="3"/>
      <c r="AC1167" s="3"/>
    </row>
    <row r="1168" spans="1:29"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2272</v>
      </c>
      <c r="K1168" s="198" t="s">
        <v>2272</v>
      </c>
      <c r="L1168" s="3" t="s">
        <v>2272</v>
      </c>
      <c r="M1168" s="3" t="s">
        <v>2272</v>
      </c>
      <c r="N1168" s="3" t="s">
        <v>2272</v>
      </c>
      <c r="O1168" s="3" t="s">
        <v>2272</v>
      </c>
      <c r="P1168" s="3" t="s">
        <v>2272</v>
      </c>
      <c r="Q1168" s="3" t="s">
        <v>2272</v>
      </c>
      <c r="R1168" s="3" t="s">
        <v>2272</v>
      </c>
      <c r="S1168" s="3" t="s">
        <v>2272</v>
      </c>
      <c r="T1168" s="3" t="s">
        <v>2272</v>
      </c>
      <c r="U1168" s="3" t="s">
        <v>2272</v>
      </c>
      <c r="V1168" s="3" t="s">
        <v>2272</v>
      </c>
      <c r="W1168" s="3" t="s">
        <v>2272</v>
      </c>
      <c r="X1168" s="3" t="s">
        <v>2272</v>
      </c>
      <c r="Y1168" s="3" t="s">
        <v>402</v>
      </c>
      <c r="Z1168" s="3" t="s">
        <v>67</v>
      </c>
      <c r="AA1168" s="3" t="s">
        <v>63</v>
      </c>
      <c r="AB1168" s="3"/>
      <c r="AC1168" s="3"/>
    </row>
    <row r="1169" spans="1:29"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2272</v>
      </c>
      <c r="K1169" s="198" t="s">
        <v>2272</v>
      </c>
      <c r="L1169" s="3" t="s">
        <v>2272</v>
      </c>
      <c r="M1169" s="3" t="s">
        <v>2272</v>
      </c>
      <c r="N1169" s="3" t="s">
        <v>2272</v>
      </c>
      <c r="O1169" s="3" t="s">
        <v>2272</v>
      </c>
      <c r="P1169" s="3" t="s">
        <v>2272</v>
      </c>
      <c r="Q1169" s="3" t="s">
        <v>2272</v>
      </c>
      <c r="R1169" s="3" t="s">
        <v>2272</v>
      </c>
      <c r="S1169" s="3" t="s">
        <v>2272</v>
      </c>
      <c r="T1169" s="3" t="s">
        <v>2272</v>
      </c>
      <c r="U1169" s="3" t="s">
        <v>2272</v>
      </c>
      <c r="V1169" s="3" t="s">
        <v>2272</v>
      </c>
      <c r="W1169" s="3" t="s">
        <v>2272</v>
      </c>
      <c r="X1169" s="3" t="s">
        <v>2272</v>
      </c>
      <c r="Y1169" s="3" t="s">
        <v>397</v>
      </c>
      <c r="Z1169" s="3" t="s">
        <v>37</v>
      </c>
      <c r="AA1169" s="3" t="s">
        <v>63</v>
      </c>
      <c r="AB1169" s="3"/>
      <c r="AC1169" s="3"/>
    </row>
    <row r="1170" spans="1:29"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2272</v>
      </c>
      <c r="K1170" s="198" t="s">
        <v>2272</v>
      </c>
      <c r="L1170" s="3" t="s">
        <v>2272</v>
      </c>
      <c r="M1170" s="3" t="s">
        <v>2272</v>
      </c>
      <c r="N1170" s="3" t="s">
        <v>2272</v>
      </c>
      <c r="O1170" s="3" t="s">
        <v>2272</v>
      </c>
      <c r="P1170" s="3" t="s">
        <v>2272</v>
      </c>
      <c r="Q1170" s="3" t="s">
        <v>2272</v>
      </c>
      <c r="R1170" s="3" t="s">
        <v>2272</v>
      </c>
      <c r="S1170" s="3" t="s">
        <v>2272</v>
      </c>
      <c r="T1170" s="3" t="s">
        <v>2272</v>
      </c>
      <c r="U1170" s="3" t="s">
        <v>2272</v>
      </c>
      <c r="V1170" s="3" t="s">
        <v>2272</v>
      </c>
      <c r="W1170" s="3" t="s">
        <v>2272</v>
      </c>
      <c r="X1170" s="3" t="s">
        <v>2272</v>
      </c>
      <c r="Y1170" s="3" t="s">
        <v>402</v>
      </c>
      <c r="Z1170" s="3" t="s">
        <v>67</v>
      </c>
      <c r="AA1170" s="3" t="s">
        <v>63</v>
      </c>
      <c r="AB1170" s="3"/>
      <c r="AC1170" s="3"/>
    </row>
    <row r="1171" spans="1:29"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2272</v>
      </c>
      <c r="K1171" s="198" t="s">
        <v>2272</v>
      </c>
      <c r="L1171" s="3" t="s">
        <v>2272</v>
      </c>
      <c r="M1171" s="3" t="s">
        <v>2272</v>
      </c>
      <c r="N1171" s="3" t="s">
        <v>2272</v>
      </c>
      <c r="O1171" s="3" t="s">
        <v>2272</v>
      </c>
      <c r="P1171" s="3" t="s">
        <v>2272</v>
      </c>
      <c r="Q1171" s="3" t="s">
        <v>2272</v>
      </c>
      <c r="R1171" s="3" t="s">
        <v>2272</v>
      </c>
      <c r="S1171" s="3" t="s">
        <v>2272</v>
      </c>
      <c r="T1171" s="3" t="s">
        <v>2272</v>
      </c>
      <c r="U1171" s="3" t="s">
        <v>2272</v>
      </c>
      <c r="V1171" s="3" t="s">
        <v>2272</v>
      </c>
      <c r="W1171" s="3" t="s">
        <v>2272</v>
      </c>
      <c r="X1171" s="3" t="s">
        <v>2272</v>
      </c>
      <c r="Y1171" s="3" t="s">
        <v>397</v>
      </c>
      <c r="Z1171" s="3" t="s">
        <v>37</v>
      </c>
      <c r="AA1171" s="3" t="s">
        <v>63</v>
      </c>
      <c r="AB1171" s="3"/>
      <c r="AC1171" s="3"/>
    </row>
    <row r="1172" spans="1:29"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t="s">
        <v>2272</v>
      </c>
      <c r="Y1172" s="3" t="s">
        <v>2272</v>
      </c>
      <c r="Z1172" s="3" t="s">
        <v>2272</v>
      </c>
      <c r="AA1172" s="3" t="s">
        <v>2272</v>
      </c>
      <c r="AB1172" s="3"/>
      <c r="AC1172" s="3"/>
    </row>
    <row r="1173" spans="1:29"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t="s">
        <v>2272</v>
      </c>
      <c r="Y1173" s="3" t="s">
        <v>2272</v>
      </c>
      <c r="Z1173" s="3" t="s">
        <v>2272</v>
      </c>
      <c r="AA1173" s="3" t="s">
        <v>2272</v>
      </c>
      <c r="AB1173" s="4" t="s">
        <v>3549</v>
      </c>
      <c r="AC1173" s="3"/>
    </row>
    <row r="1174" spans="1:29"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t="s">
        <v>2272</v>
      </c>
      <c r="Y1174" s="3" t="s">
        <v>2272</v>
      </c>
      <c r="Z1174" s="3" t="s">
        <v>2272</v>
      </c>
      <c r="AA1174" s="3" t="s">
        <v>2272</v>
      </c>
      <c r="AB1174" s="4" t="s">
        <v>3549</v>
      </c>
      <c r="AC1174" s="3"/>
    </row>
    <row r="1175" spans="1:29"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t="s">
        <v>2272</v>
      </c>
      <c r="Y1175" s="3" t="s">
        <v>2272</v>
      </c>
      <c r="Z1175" s="3" t="s">
        <v>2272</v>
      </c>
      <c r="AA1175" s="3" t="s">
        <v>2272</v>
      </c>
      <c r="AB1175" s="4" t="s">
        <v>3549</v>
      </c>
      <c r="AC1175" s="3"/>
    </row>
    <row r="1176" spans="1:29"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t="s">
        <v>2272</v>
      </c>
      <c r="Y1176" s="3" t="s">
        <v>2272</v>
      </c>
      <c r="Z1176" s="3" t="s">
        <v>2272</v>
      </c>
      <c r="AA1176" s="3" t="s">
        <v>2272</v>
      </c>
      <c r="AB1176" s="4" t="s">
        <v>3549</v>
      </c>
      <c r="AC1176" s="3"/>
    </row>
    <row r="1177" spans="1:29"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t="s">
        <v>2272</v>
      </c>
      <c r="Y1177" s="3" t="s">
        <v>2272</v>
      </c>
      <c r="Z1177" s="3" t="s">
        <v>2272</v>
      </c>
      <c r="AA1177" s="3" t="s">
        <v>2272</v>
      </c>
      <c r="AB1177" s="4" t="s">
        <v>3549</v>
      </c>
      <c r="AC1177" s="3"/>
    </row>
    <row r="1178" spans="1:29"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t="s">
        <v>2272</v>
      </c>
      <c r="Y1178" s="3" t="s">
        <v>2272</v>
      </c>
      <c r="Z1178" s="3" t="s">
        <v>2272</v>
      </c>
      <c r="AA1178" s="3" t="s">
        <v>2272</v>
      </c>
      <c r="AB1178" s="4" t="s">
        <v>3549</v>
      </c>
      <c r="AC1178" s="3"/>
    </row>
    <row r="1179" spans="1:29"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2272</v>
      </c>
      <c r="K1179" s="198" t="s">
        <v>2272</v>
      </c>
      <c r="L1179" s="3" t="s">
        <v>2272</v>
      </c>
      <c r="M1179" s="3" t="s">
        <v>2272</v>
      </c>
      <c r="N1179" s="3" t="s">
        <v>2272</v>
      </c>
      <c r="O1179" s="3" t="s">
        <v>2272</v>
      </c>
      <c r="P1179" s="3" t="s">
        <v>2272</v>
      </c>
      <c r="Q1179" s="3" t="s">
        <v>2272</v>
      </c>
      <c r="R1179" s="3" t="s">
        <v>2272</v>
      </c>
      <c r="S1179" s="3" t="s">
        <v>2272</v>
      </c>
      <c r="T1179" s="3" t="s">
        <v>2272</v>
      </c>
      <c r="U1179" s="3" t="s">
        <v>2272</v>
      </c>
      <c r="V1179" s="3" t="s">
        <v>2272</v>
      </c>
      <c r="W1179" s="3" t="s">
        <v>2272</v>
      </c>
      <c r="X1179" s="3" t="s">
        <v>2272</v>
      </c>
      <c r="Y1179" s="3" t="s">
        <v>67</v>
      </c>
      <c r="Z1179" s="3" t="s">
        <v>67</v>
      </c>
      <c r="AA1179" s="3" t="s">
        <v>2272</v>
      </c>
      <c r="AB1179" s="3" t="s">
        <v>3563</v>
      </c>
      <c r="AC1179" s="3"/>
    </row>
    <row r="1180" spans="1:29"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2272</v>
      </c>
      <c r="K1180" s="198" t="s">
        <v>2272</v>
      </c>
      <c r="L1180" s="3" t="s">
        <v>2272</v>
      </c>
      <c r="M1180" s="3" t="s">
        <v>2272</v>
      </c>
      <c r="N1180" s="3" t="s">
        <v>2272</v>
      </c>
      <c r="O1180" s="3" t="s">
        <v>2272</v>
      </c>
      <c r="P1180" s="3" t="s">
        <v>2272</v>
      </c>
      <c r="Q1180" s="3" t="s">
        <v>2272</v>
      </c>
      <c r="R1180" s="3" t="s">
        <v>2272</v>
      </c>
      <c r="S1180" s="3" t="s">
        <v>2272</v>
      </c>
      <c r="T1180" s="3" t="s">
        <v>2272</v>
      </c>
      <c r="U1180" s="3" t="s">
        <v>2272</v>
      </c>
      <c r="V1180" s="3" t="s">
        <v>2272</v>
      </c>
      <c r="W1180" s="3" t="s">
        <v>2272</v>
      </c>
      <c r="X1180" s="3" t="s">
        <v>2272</v>
      </c>
      <c r="Y1180" s="3" t="s">
        <v>423</v>
      </c>
      <c r="Z1180" s="3" t="s">
        <v>423</v>
      </c>
      <c r="AA1180" s="3" t="s">
        <v>2272</v>
      </c>
      <c r="AB1180" s="4" t="s">
        <v>3564</v>
      </c>
      <c r="AC1180" s="3"/>
    </row>
    <row r="1181" spans="1:29"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2272</v>
      </c>
      <c r="K1181" s="198" t="s">
        <v>2272</v>
      </c>
      <c r="L1181" s="3" t="s">
        <v>2272</v>
      </c>
      <c r="M1181" s="3" t="s">
        <v>2272</v>
      </c>
      <c r="N1181" s="3" t="s">
        <v>2272</v>
      </c>
      <c r="O1181" s="3" t="s">
        <v>2272</v>
      </c>
      <c r="P1181" s="3" t="s">
        <v>2272</v>
      </c>
      <c r="Q1181" s="3" t="s">
        <v>2272</v>
      </c>
      <c r="R1181" s="3" t="s">
        <v>2272</v>
      </c>
      <c r="S1181" s="3" t="s">
        <v>2272</v>
      </c>
      <c r="T1181" s="3" t="s">
        <v>2272</v>
      </c>
      <c r="U1181" s="3" t="s">
        <v>2272</v>
      </c>
      <c r="V1181" s="3" t="s">
        <v>2272</v>
      </c>
      <c r="W1181" s="3" t="s">
        <v>2272</v>
      </c>
      <c r="X1181" s="3" t="s">
        <v>2272</v>
      </c>
      <c r="Y1181" s="3" t="s">
        <v>403</v>
      </c>
      <c r="Z1181" s="3" t="s">
        <v>403</v>
      </c>
      <c r="AA1181" s="3" t="s">
        <v>2272</v>
      </c>
      <c r="AB1181" s="3" t="s">
        <v>3565</v>
      </c>
      <c r="AC1181" s="3"/>
    </row>
    <row r="1182" spans="1:29"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2272</v>
      </c>
      <c r="K1182" s="198" t="s">
        <v>2272</v>
      </c>
      <c r="L1182" s="3" t="s">
        <v>2272</v>
      </c>
      <c r="M1182" s="3" t="s">
        <v>2272</v>
      </c>
      <c r="N1182" s="3" t="s">
        <v>2272</v>
      </c>
      <c r="O1182" s="3" t="s">
        <v>2272</v>
      </c>
      <c r="P1182" s="3" t="s">
        <v>2272</v>
      </c>
      <c r="Q1182" s="3" t="s">
        <v>2272</v>
      </c>
      <c r="R1182" s="3" t="s">
        <v>2272</v>
      </c>
      <c r="S1182" s="3" t="s">
        <v>2272</v>
      </c>
      <c r="T1182" s="3" t="s">
        <v>2272</v>
      </c>
      <c r="U1182" s="3" t="s">
        <v>2272</v>
      </c>
      <c r="V1182" s="3" t="s">
        <v>2272</v>
      </c>
      <c r="W1182" s="3" t="s">
        <v>2272</v>
      </c>
      <c r="X1182" s="3" t="s">
        <v>2272</v>
      </c>
      <c r="Y1182" s="3" t="s">
        <v>403</v>
      </c>
      <c r="Z1182" s="3" t="s">
        <v>403</v>
      </c>
      <c r="AA1182" s="3" t="s">
        <v>2272</v>
      </c>
      <c r="AB1182" s="3" t="s">
        <v>3566</v>
      </c>
      <c r="AC1182" s="3"/>
    </row>
    <row r="1183" spans="1:29"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2272</v>
      </c>
      <c r="K1183" s="198" t="s">
        <v>2272</v>
      </c>
      <c r="L1183" s="3" t="s">
        <v>2272</v>
      </c>
      <c r="M1183" s="3" t="s">
        <v>2272</v>
      </c>
      <c r="N1183" s="3" t="s">
        <v>2272</v>
      </c>
      <c r="O1183" s="3" t="s">
        <v>2272</v>
      </c>
      <c r="P1183" s="3" t="s">
        <v>2272</v>
      </c>
      <c r="Q1183" s="3" t="s">
        <v>2272</v>
      </c>
      <c r="R1183" s="3" t="s">
        <v>2272</v>
      </c>
      <c r="S1183" s="3" t="s">
        <v>2272</v>
      </c>
      <c r="T1183" s="3" t="s">
        <v>2272</v>
      </c>
      <c r="U1183" s="3" t="s">
        <v>2272</v>
      </c>
      <c r="V1183" s="3" t="s">
        <v>2272</v>
      </c>
      <c r="W1183" s="3" t="s">
        <v>2272</v>
      </c>
      <c r="X1183" s="3" t="s">
        <v>2272</v>
      </c>
      <c r="Y1183" s="3" t="s">
        <v>33</v>
      </c>
      <c r="Z1183" s="3" t="s">
        <v>33</v>
      </c>
      <c r="AA1183" s="3" t="s">
        <v>2272</v>
      </c>
      <c r="AB1183" s="3" t="s">
        <v>3565</v>
      </c>
      <c r="AC1183" s="3"/>
    </row>
    <row r="1184" spans="1:29"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2272</v>
      </c>
      <c r="K1184" s="198" t="s">
        <v>2272</v>
      </c>
      <c r="L1184" s="3" t="s">
        <v>2272</v>
      </c>
      <c r="M1184" s="3" t="s">
        <v>2272</v>
      </c>
      <c r="N1184" s="3" t="s">
        <v>2272</v>
      </c>
      <c r="O1184" s="3" t="s">
        <v>2272</v>
      </c>
      <c r="P1184" s="3" t="s">
        <v>2272</v>
      </c>
      <c r="Q1184" s="3" t="s">
        <v>2272</v>
      </c>
      <c r="R1184" s="3" t="s">
        <v>2272</v>
      </c>
      <c r="S1184" s="3" t="s">
        <v>2272</v>
      </c>
      <c r="T1184" s="3" t="s">
        <v>2272</v>
      </c>
      <c r="U1184" s="3" t="s">
        <v>2272</v>
      </c>
      <c r="V1184" s="3" t="s">
        <v>2272</v>
      </c>
      <c r="W1184" s="3" t="s">
        <v>2272</v>
      </c>
      <c r="X1184" s="3" t="s">
        <v>2272</v>
      </c>
      <c r="Y1184" s="3" t="s">
        <v>423</v>
      </c>
      <c r="Z1184" s="3" t="s">
        <v>423</v>
      </c>
      <c r="AA1184" s="3" t="s">
        <v>2272</v>
      </c>
      <c r="AB1184" s="3" t="s">
        <v>3567</v>
      </c>
      <c r="AC1184" s="3"/>
    </row>
    <row r="1185" spans="1:29"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2272</v>
      </c>
      <c r="K1185" s="198" t="s">
        <v>2272</v>
      </c>
      <c r="L1185" s="3" t="s">
        <v>2272</v>
      </c>
      <c r="M1185" s="3" t="s">
        <v>2272</v>
      </c>
      <c r="N1185" s="3" t="s">
        <v>2272</v>
      </c>
      <c r="O1185" s="3" t="s">
        <v>2272</v>
      </c>
      <c r="P1185" s="3" t="s">
        <v>2272</v>
      </c>
      <c r="Q1185" s="3" t="s">
        <v>2272</v>
      </c>
      <c r="R1185" s="3" t="s">
        <v>2272</v>
      </c>
      <c r="S1185" s="3" t="s">
        <v>2272</v>
      </c>
      <c r="T1185" s="3" t="s">
        <v>2272</v>
      </c>
      <c r="U1185" s="3" t="s">
        <v>2272</v>
      </c>
      <c r="V1185" s="3" t="s">
        <v>2272</v>
      </c>
      <c r="W1185" s="3" t="s">
        <v>2272</v>
      </c>
      <c r="X1185" s="3" t="s">
        <v>2272</v>
      </c>
      <c r="Y1185" s="3" t="s">
        <v>402</v>
      </c>
      <c r="Z1185" s="3" t="s">
        <v>402</v>
      </c>
      <c r="AA1185" s="3" t="s">
        <v>2272</v>
      </c>
      <c r="AB1185" s="3" t="s">
        <v>3471</v>
      </c>
      <c r="AC1185" s="3"/>
    </row>
    <row r="1186" spans="1:29"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2272</v>
      </c>
      <c r="K1186" s="198" t="s">
        <v>2272</v>
      </c>
      <c r="L1186" s="3" t="s">
        <v>2272</v>
      </c>
      <c r="M1186" s="3" t="s">
        <v>2272</v>
      </c>
      <c r="N1186" s="3" t="s">
        <v>2272</v>
      </c>
      <c r="O1186" s="3" t="s">
        <v>2272</v>
      </c>
      <c r="P1186" s="3" t="s">
        <v>2272</v>
      </c>
      <c r="Q1186" s="3" t="s">
        <v>2272</v>
      </c>
      <c r="R1186" s="3" t="s">
        <v>2272</v>
      </c>
      <c r="S1186" s="3" t="s">
        <v>2272</v>
      </c>
      <c r="T1186" s="3" t="s">
        <v>2272</v>
      </c>
      <c r="U1186" s="3" t="s">
        <v>2272</v>
      </c>
      <c r="V1186" s="3" t="s">
        <v>2272</v>
      </c>
      <c r="W1186" s="3" t="s">
        <v>2272</v>
      </c>
      <c r="X1186" s="3" t="s">
        <v>2272</v>
      </c>
      <c r="Y1186" s="3" t="s">
        <v>397</v>
      </c>
      <c r="Z1186" s="3" t="s">
        <v>397</v>
      </c>
      <c r="AA1186" s="3" t="s">
        <v>2272</v>
      </c>
      <c r="AB1186" s="3" t="s">
        <v>3471</v>
      </c>
      <c r="AC1186" s="3"/>
    </row>
    <row r="1187" spans="1:29"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2272</v>
      </c>
      <c r="K1187" s="198" t="s">
        <v>2272</v>
      </c>
      <c r="L1187" s="3" t="s">
        <v>2272</v>
      </c>
      <c r="M1187" s="3" t="s">
        <v>2272</v>
      </c>
      <c r="N1187" s="3" t="s">
        <v>2272</v>
      </c>
      <c r="O1187" s="3" t="s">
        <v>2272</v>
      </c>
      <c r="P1187" s="3" t="s">
        <v>2272</v>
      </c>
      <c r="Q1187" s="3" t="s">
        <v>2272</v>
      </c>
      <c r="R1187" s="3" t="s">
        <v>2272</v>
      </c>
      <c r="S1187" s="3" t="s">
        <v>2272</v>
      </c>
      <c r="T1187" s="3" t="s">
        <v>2272</v>
      </c>
      <c r="U1187" s="3" t="s">
        <v>2272</v>
      </c>
      <c r="V1187" s="3" t="s">
        <v>2272</v>
      </c>
      <c r="W1187" s="3" t="s">
        <v>2272</v>
      </c>
      <c r="X1187" s="3" t="s">
        <v>2272</v>
      </c>
      <c r="Y1187" s="3" t="s">
        <v>2272</v>
      </c>
      <c r="Z1187" s="3" t="s">
        <v>2272</v>
      </c>
      <c r="AA1187" s="3" t="s">
        <v>2272</v>
      </c>
      <c r="AB1187" s="4" t="s">
        <v>3604</v>
      </c>
      <c r="AC1187" s="3"/>
    </row>
    <row r="1188" spans="1:29"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2272</v>
      </c>
      <c r="K1188" s="198" t="s">
        <v>2272</v>
      </c>
      <c r="L1188" s="3" t="s">
        <v>2272</v>
      </c>
      <c r="M1188" s="3" t="s">
        <v>2272</v>
      </c>
      <c r="N1188" s="3" t="s">
        <v>2272</v>
      </c>
      <c r="O1188" s="3" t="s">
        <v>2272</v>
      </c>
      <c r="P1188" s="3" t="s">
        <v>2272</v>
      </c>
      <c r="Q1188" s="3" t="s">
        <v>2272</v>
      </c>
      <c r="R1188" s="3" t="s">
        <v>2272</v>
      </c>
      <c r="S1188" s="3" t="s">
        <v>2272</v>
      </c>
      <c r="T1188" s="3" t="s">
        <v>2272</v>
      </c>
      <c r="U1188" s="3" t="s">
        <v>2272</v>
      </c>
      <c r="V1188" s="3" t="s">
        <v>2272</v>
      </c>
      <c r="W1188" s="3" t="s">
        <v>2272</v>
      </c>
      <c r="X1188" s="3" t="s">
        <v>2272</v>
      </c>
      <c r="Y1188" s="3" t="s">
        <v>2272</v>
      </c>
      <c r="Z1188" s="3" t="s">
        <v>2272</v>
      </c>
      <c r="AA1188" s="3" t="s">
        <v>2272</v>
      </c>
      <c r="AB1188" s="4" t="s">
        <v>3605</v>
      </c>
      <c r="AC1188" s="3"/>
    </row>
    <row r="1189" spans="1:29"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2272</v>
      </c>
      <c r="K1189" s="198" t="s">
        <v>2272</v>
      </c>
      <c r="L1189" s="3" t="s">
        <v>2272</v>
      </c>
      <c r="M1189" s="3" t="s">
        <v>2272</v>
      </c>
      <c r="N1189" s="3" t="s">
        <v>2272</v>
      </c>
      <c r="O1189" s="3" t="s">
        <v>2272</v>
      </c>
      <c r="P1189" s="3" t="s">
        <v>2272</v>
      </c>
      <c r="Q1189" s="3" t="s">
        <v>2272</v>
      </c>
      <c r="R1189" s="3" t="s">
        <v>2272</v>
      </c>
      <c r="S1189" s="3" t="s">
        <v>2272</v>
      </c>
      <c r="T1189" s="3" t="s">
        <v>2272</v>
      </c>
      <c r="U1189" s="3" t="s">
        <v>2272</v>
      </c>
      <c r="V1189" s="3" t="s">
        <v>2272</v>
      </c>
      <c r="W1189" s="3" t="s">
        <v>2272</v>
      </c>
      <c r="X1189" s="3" t="s">
        <v>2272</v>
      </c>
      <c r="Y1189" s="3" t="s">
        <v>2272</v>
      </c>
      <c r="Z1189" s="3" t="s">
        <v>2272</v>
      </c>
      <c r="AA1189" s="3" t="s">
        <v>2272</v>
      </c>
      <c r="AB1189" s="4" t="s">
        <v>3606</v>
      </c>
      <c r="AC1189" s="3"/>
    </row>
    <row r="1190" spans="1:29"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2272</v>
      </c>
      <c r="K1190" s="198" t="s">
        <v>2272</v>
      </c>
      <c r="L1190" s="3" t="s">
        <v>2272</v>
      </c>
      <c r="M1190" s="3" t="s">
        <v>2272</v>
      </c>
      <c r="N1190" s="3" t="s">
        <v>2272</v>
      </c>
      <c r="O1190" s="3" t="s">
        <v>2272</v>
      </c>
      <c r="P1190" s="3" t="s">
        <v>2272</v>
      </c>
      <c r="Q1190" s="3" t="s">
        <v>2272</v>
      </c>
      <c r="R1190" s="3" t="s">
        <v>2272</v>
      </c>
      <c r="S1190" s="3" t="s">
        <v>2272</v>
      </c>
      <c r="T1190" s="3" t="s">
        <v>2272</v>
      </c>
      <c r="U1190" s="3" t="s">
        <v>2272</v>
      </c>
      <c r="V1190" s="3" t="s">
        <v>2272</v>
      </c>
      <c r="W1190" s="3" t="s">
        <v>2272</v>
      </c>
      <c r="X1190" s="3" t="s">
        <v>2272</v>
      </c>
      <c r="Y1190" s="3" t="s">
        <v>2272</v>
      </c>
      <c r="Z1190" s="3" t="s">
        <v>2272</v>
      </c>
      <c r="AA1190" s="3" t="s">
        <v>2272</v>
      </c>
      <c r="AB1190" s="4" t="s">
        <v>3606</v>
      </c>
      <c r="AC1190" s="3"/>
    </row>
    <row r="1191" spans="1:29"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47">
        <f>'Reported burning'!J1191</f>
        <v>0</v>
      </c>
      <c r="K1191" s="147">
        <f>'Reported burning'!K1191</f>
        <v>0</v>
      </c>
      <c r="L1191" s="147">
        <f>'Reported burning'!L1191</f>
        <v>0</v>
      </c>
      <c r="M1191" s="147">
        <f>'Reported burning'!M1191</f>
        <v>0</v>
      </c>
      <c r="N1191" s="147">
        <f>'Reported burning'!N1191</f>
        <v>0</v>
      </c>
      <c r="O1191" s="147">
        <f>'Reported burning'!O1191</f>
        <v>0</v>
      </c>
      <c r="P1191" s="147">
        <f>'Reported burning'!P1191</f>
        <v>0</v>
      </c>
      <c r="Q1191" s="147">
        <f>'Reported burning'!Q1191</f>
        <v>0</v>
      </c>
      <c r="R1191" s="147">
        <f>'Reported burning'!R1191</f>
        <v>0</v>
      </c>
      <c r="S1191" s="147">
        <f>'Reported burning'!S1191</f>
        <v>0</v>
      </c>
      <c r="T1191" s="147">
        <f>'Reported burning'!T1191</f>
        <v>0</v>
      </c>
      <c r="U1191" s="147">
        <f>'Reported burning'!U1191</f>
        <v>0</v>
      </c>
      <c r="V1191" s="147">
        <f>'Reported burning'!V1191</f>
        <v>0</v>
      </c>
      <c r="W1191" s="147">
        <f>'Reported burning'!W1191</f>
        <v>0</v>
      </c>
      <c r="X1191" s="147">
        <f>'Reported burning'!X1191</f>
        <v>0</v>
      </c>
      <c r="Y1191" s="3" t="s">
        <v>2272</v>
      </c>
      <c r="Z1191" s="3" t="s">
        <v>2272</v>
      </c>
      <c r="AA1191" s="3" t="s">
        <v>2272</v>
      </c>
      <c r="AB1191" s="3"/>
      <c r="AC1191" s="3"/>
    </row>
    <row r="1192" spans="1:29"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2272</v>
      </c>
      <c r="K1192" s="198" t="s">
        <v>2272</v>
      </c>
      <c r="L1192" s="3" t="s">
        <v>2272</v>
      </c>
      <c r="M1192" s="3" t="s">
        <v>2272</v>
      </c>
      <c r="N1192" s="3" t="s">
        <v>2272</v>
      </c>
      <c r="O1192" s="3" t="s">
        <v>2272</v>
      </c>
      <c r="P1192" s="3" t="s">
        <v>2272</v>
      </c>
      <c r="Q1192" s="3" t="s">
        <v>2272</v>
      </c>
      <c r="R1192" s="3" t="s">
        <v>2272</v>
      </c>
      <c r="S1192" s="3" t="s">
        <v>2272</v>
      </c>
      <c r="T1192" s="3" t="s">
        <v>2371</v>
      </c>
      <c r="U1192" s="3" t="s">
        <v>2272</v>
      </c>
      <c r="V1192" s="3" t="s">
        <v>2522</v>
      </c>
      <c r="W1192" s="3" t="s">
        <v>2272</v>
      </c>
      <c r="X1192" s="3" t="s">
        <v>2370</v>
      </c>
      <c r="Y1192" s="3" t="s">
        <v>2272</v>
      </c>
      <c r="Z1192" s="3" t="s">
        <v>2272</v>
      </c>
      <c r="AA1192" s="3" t="s">
        <v>2272</v>
      </c>
      <c r="AB1192" s="4" t="s">
        <v>3607</v>
      </c>
      <c r="AC1192" s="3"/>
    </row>
    <row r="1193" spans="1:29"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2272</v>
      </c>
      <c r="K1193" s="198" t="s">
        <v>2272</v>
      </c>
      <c r="L1193" s="3" t="s">
        <v>2272</v>
      </c>
      <c r="M1193" s="3" t="s">
        <v>2272</v>
      </c>
      <c r="N1193" s="3" t="s">
        <v>2272</v>
      </c>
      <c r="O1193" s="3" t="s">
        <v>2272</v>
      </c>
      <c r="P1193" s="3" t="s">
        <v>2272</v>
      </c>
      <c r="Q1193" s="3" t="s">
        <v>2272</v>
      </c>
      <c r="R1193" s="3" t="s">
        <v>2272</v>
      </c>
      <c r="S1193" s="3" t="s">
        <v>2272</v>
      </c>
      <c r="T1193" s="3" t="s">
        <v>2387</v>
      </c>
      <c r="U1193" s="3" t="s">
        <v>2272</v>
      </c>
      <c r="V1193" s="3" t="s">
        <v>2369</v>
      </c>
      <c r="W1193" s="3" t="s">
        <v>2272</v>
      </c>
      <c r="X1193" s="3" t="s">
        <v>2370</v>
      </c>
      <c r="Y1193" s="3" t="s">
        <v>2272</v>
      </c>
      <c r="Z1193" s="3" t="s">
        <v>2272</v>
      </c>
      <c r="AA1193" s="3" t="s">
        <v>2272</v>
      </c>
      <c r="AB1193" s="4" t="s">
        <v>3607</v>
      </c>
      <c r="AC1193" s="3"/>
    </row>
    <row r="1194" spans="1:29"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2272</v>
      </c>
      <c r="K1194" s="198" t="s">
        <v>2272</v>
      </c>
      <c r="L1194" s="3" t="s">
        <v>2272</v>
      </c>
      <c r="M1194" s="3" t="s">
        <v>2272</v>
      </c>
      <c r="N1194" s="3" t="s">
        <v>2272</v>
      </c>
      <c r="O1194" s="3" t="s">
        <v>2272</v>
      </c>
      <c r="P1194" s="3" t="s">
        <v>2272</v>
      </c>
      <c r="Q1194" s="3" t="s">
        <v>2272</v>
      </c>
      <c r="R1194" s="3" t="s">
        <v>2272</v>
      </c>
      <c r="S1194" s="3" t="s">
        <v>2272</v>
      </c>
      <c r="T1194" s="3" t="s">
        <v>2385</v>
      </c>
      <c r="U1194" s="3" t="s">
        <v>2272</v>
      </c>
      <c r="V1194" s="3" t="s">
        <v>2522</v>
      </c>
      <c r="W1194" s="3" t="s">
        <v>2272</v>
      </c>
      <c r="X1194" s="3" t="s">
        <v>2370</v>
      </c>
      <c r="Y1194" s="3" t="s">
        <v>2272</v>
      </c>
      <c r="Z1194" s="3" t="s">
        <v>2272</v>
      </c>
      <c r="AA1194" s="3" t="s">
        <v>2272</v>
      </c>
      <c r="AB1194" s="4" t="s">
        <v>3607</v>
      </c>
      <c r="AC1194" s="3"/>
    </row>
    <row r="1195" spans="1:29"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2272</v>
      </c>
      <c r="K1195" s="198" t="s">
        <v>2272</v>
      </c>
      <c r="L1195" s="3" t="s">
        <v>2272</v>
      </c>
      <c r="M1195" s="3" t="s">
        <v>2272</v>
      </c>
      <c r="N1195" s="3" t="s">
        <v>2272</v>
      </c>
      <c r="O1195" s="3" t="s">
        <v>2272</v>
      </c>
      <c r="P1195" s="3" t="s">
        <v>2272</v>
      </c>
      <c r="Q1195" s="3" t="s">
        <v>2272</v>
      </c>
      <c r="R1195" s="3" t="s">
        <v>2272</v>
      </c>
      <c r="S1195" s="3" t="s">
        <v>2272</v>
      </c>
      <c r="T1195" s="3" t="s">
        <v>2371</v>
      </c>
      <c r="U1195" s="3" t="s">
        <v>2272</v>
      </c>
      <c r="V1195" s="3" t="s">
        <v>2522</v>
      </c>
      <c r="W1195" s="3" t="s">
        <v>2272</v>
      </c>
      <c r="X1195" s="3" t="s">
        <v>2370</v>
      </c>
      <c r="Y1195" s="3" t="s">
        <v>2272</v>
      </c>
      <c r="Z1195" s="3" t="s">
        <v>2272</v>
      </c>
      <c r="AA1195" s="3" t="s">
        <v>2272</v>
      </c>
      <c r="AB1195" s="4" t="s">
        <v>3607</v>
      </c>
      <c r="AC1195" s="3"/>
    </row>
    <row r="1196" spans="1:29"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2272</v>
      </c>
      <c r="K1196" s="198" t="s">
        <v>2272</v>
      </c>
      <c r="L1196" s="3" t="s">
        <v>2272</v>
      </c>
      <c r="M1196" s="3" t="s">
        <v>2272</v>
      </c>
      <c r="N1196" s="3" t="s">
        <v>2272</v>
      </c>
      <c r="O1196" s="3" t="s">
        <v>2272</v>
      </c>
      <c r="P1196" s="3" t="s">
        <v>2272</v>
      </c>
      <c r="Q1196" s="3" t="s">
        <v>2272</v>
      </c>
      <c r="R1196" s="3" t="s">
        <v>2272</v>
      </c>
      <c r="S1196" s="3" t="s">
        <v>2272</v>
      </c>
      <c r="T1196" s="3" t="s">
        <v>2522</v>
      </c>
      <c r="U1196" s="3" t="s">
        <v>2272</v>
      </c>
      <c r="V1196" s="3" t="s">
        <v>2522</v>
      </c>
      <c r="W1196" s="3" t="s">
        <v>2272</v>
      </c>
      <c r="X1196" s="3" t="s">
        <v>2370</v>
      </c>
      <c r="Y1196" s="3" t="s">
        <v>2272</v>
      </c>
      <c r="Z1196" s="3" t="s">
        <v>2272</v>
      </c>
      <c r="AA1196" s="3" t="s">
        <v>2272</v>
      </c>
      <c r="AB1196" s="4" t="s">
        <v>3607</v>
      </c>
      <c r="AC1196" s="3"/>
    </row>
    <row r="1197" spans="1:29"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3" t="s">
        <v>2272</v>
      </c>
      <c r="Y1197" s="3" t="s">
        <v>2272</v>
      </c>
      <c r="Z1197" s="3" t="s">
        <v>2272</v>
      </c>
      <c r="AA1197" s="3" t="s">
        <v>2272</v>
      </c>
      <c r="AB1197" s="3"/>
      <c r="AC1197" s="4" t="s">
        <v>3615</v>
      </c>
    </row>
    <row r="1198" spans="1:29"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3" t="s">
        <v>2272</v>
      </c>
      <c r="Y1198" s="3" t="s">
        <v>2272</v>
      </c>
      <c r="Z1198" s="3" t="s">
        <v>2272</v>
      </c>
      <c r="AA1198" s="3" t="s">
        <v>2272</v>
      </c>
      <c r="AB1198" s="3"/>
      <c r="AC1198" s="4" t="s">
        <v>3615</v>
      </c>
    </row>
    <row r="1199" spans="1:29"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3" t="s">
        <v>2272</v>
      </c>
      <c r="Y1199" s="3" t="s">
        <v>2272</v>
      </c>
      <c r="Z1199" s="3" t="s">
        <v>2272</v>
      </c>
      <c r="AA1199" s="3" t="s">
        <v>2272</v>
      </c>
      <c r="AB1199" s="3"/>
      <c r="AC1199" s="4" t="s">
        <v>3615</v>
      </c>
    </row>
    <row r="1200" spans="1:29"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3" t="s">
        <v>2272</v>
      </c>
      <c r="Y1200" s="3" t="s">
        <v>2272</v>
      </c>
      <c r="Z1200" s="3" t="s">
        <v>2272</v>
      </c>
      <c r="AA1200" s="3" t="s">
        <v>2272</v>
      </c>
      <c r="AB1200" s="3"/>
      <c r="AC1200" s="4" t="s">
        <v>3615</v>
      </c>
    </row>
    <row r="1201" spans="1:29"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2272</v>
      </c>
      <c r="K1201" s="198" t="s">
        <v>2272</v>
      </c>
      <c r="L1201" s="3" t="s">
        <v>2272</v>
      </c>
      <c r="M1201" s="3" t="s">
        <v>2272</v>
      </c>
      <c r="N1201" s="3" t="s">
        <v>2272</v>
      </c>
      <c r="O1201" s="3" t="s">
        <v>2272</v>
      </c>
      <c r="P1201" s="3" t="s">
        <v>2272</v>
      </c>
      <c r="Q1201" s="3" t="s">
        <v>2272</v>
      </c>
      <c r="R1201" s="3" t="s">
        <v>2272</v>
      </c>
      <c r="S1201" s="3" t="s">
        <v>2272</v>
      </c>
      <c r="T1201" s="3" t="s">
        <v>2272</v>
      </c>
      <c r="U1201" s="3" t="s">
        <v>2272</v>
      </c>
      <c r="V1201" s="3" t="s">
        <v>2272</v>
      </c>
      <c r="W1201" s="3" t="s">
        <v>2272</v>
      </c>
      <c r="X1201" s="3" t="s">
        <v>2272</v>
      </c>
      <c r="Y1201" s="3" t="s">
        <v>2272</v>
      </c>
      <c r="Z1201" s="3" t="s">
        <v>2272</v>
      </c>
      <c r="AA1201" s="3" t="s">
        <v>2272</v>
      </c>
      <c r="AB1201" s="3"/>
      <c r="AC1201" s="3"/>
    </row>
    <row r="1202" spans="1:29"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2272</v>
      </c>
      <c r="K1202" s="198" t="s">
        <v>2272</v>
      </c>
      <c r="L1202" s="3" t="s">
        <v>2272</v>
      </c>
      <c r="M1202" s="3" t="s">
        <v>2272</v>
      </c>
      <c r="N1202" s="3" t="s">
        <v>2272</v>
      </c>
      <c r="O1202" s="3" t="s">
        <v>2272</v>
      </c>
      <c r="P1202" s="3" t="s">
        <v>2272</v>
      </c>
      <c r="Q1202" s="3" t="s">
        <v>2272</v>
      </c>
      <c r="R1202" s="3" t="s">
        <v>2272</v>
      </c>
      <c r="S1202" s="3" t="s">
        <v>2272</v>
      </c>
      <c r="T1202" s="3" t="s">
        <v>2272</v>
      </c>
      <c r="U1202" s="3" t="s">
        <v>2272</v>
      </c>
      <c r="V1202" s="3" t="s">
        <v>2272</v>
      </c>
      <c r="W1202" s="3" t="s">
        <v>2272</v>
      </c>
      <c r="X1202" s="3" t="s">
        <v>2272</v>
      </c>
      <c r="Y1202" s="3" t="s">
        <v>2272</v>
      </c>
      <c r="Z1202" s="3" t="s">
        <v>2272</v>
      </c>
      <c r="AA1202" s="3" t="s">
        <v>2272</v>
      </c>
      <c r="AB1202" s="3"/>
      <c r="AC1202" s="3"/>
    </row>
    <row r="1203" spans="1:29"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2272</v>
      </c>
      <c r="K1203" s="198" t="s">
        <v>2272</v>
      </c>
      <c r="L1203" s="3" t="s">
        <v>2272</v>
      </c>
      <c r="M1203" s="3" t="s">
        <v>2272</v>
      </c>
      <c r="N1203" s="3" t="s">
        <v>2272</v>
      </c>
      <c r="O1203" s="3" t="s">
        <v>2272</v>
      </c>
      <c r="P1203" s="3" t="s">
        <v>2272</v>
      </c>
      <c r="Q1203" s="3" t="s">
        <v>2272</v>
      </c>
      <c r="R1203" s="3" t="s">
        <v>2272</v>
      </c>
      <c r="S1203" s="3" t="s">
        <v>2272</v>
      </c>
      <c r="T1203" s="3" t="s">
        <v>2272</v>
      </c>
      <c r="U1203" s="3" t="s">
        <v>2272</v>
      </c>
      <c r="V1203" s="3" t="s">
        <v>2272</v>
      </c>
      <c r="W1203" s="3" t="s">
        <v>2272</v>
      </c>
      <c r="X1203" s="3" t="s">
        <v>2272</v>
      </c>
      <c r="Y1203" s="3" t="s">
        <v>2272</v>
      </c>
      <c r="Z1203" s="3" t="s">
        <v>2272</v>
      </c>
      <c r="AA1203" s="3" t="s">
        <v>2272</v>
      </c>
      <c r="AB1203" s="3"/>
      <c r="AC1203" s="3"/>
    </row>
    <row r="1204" spans="1:29"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2272</v>
      </c>
      <c r="K1204" s="198" t="s">
        <v>2272</v>
      </c>
      <c r="L1204" s="3" t="s">
        <v>2272</v>
      </c>
      <c r="M1204" s="3" t="s">
        <v>2272</v>
      </c>
      <c r="N1204" s="3" t="s">
        <v>2272</v>
      </c>
      <c r="O1204" s="3" t="s">
        <v>2272</v>
      </c>
      <c r="P1204" s="3" t="s">
        <v>2272</v>
      </c>
      <c r="Q1204" s="3" t="s">
        <v>2272</v>
      </c>
      <c r="R1204" s="3" t="s">
        <v>2272</v>
      </c>
      <c r="S1204" s="3" t="s">
        <v>2272</v>
      </c>
      <c r="T1204" s="3" t="s">
        <v>2272</v>
      </c>
      <c r="U1204" s="3" t="s">
        <v>2272</v>
      </c>
      <c r="V1204" s="3" t="s">
        <v>2272</v>
      </c>
      <c r="W1204" s="3" t="s">
        <v>2272</v>
      </c>
      <c r="X1204" s="3" t="s">
        <v>2272</v>
      </c>
      <c r="Y1204" s="3" t="s">
        <v>2272</v>
      </c>
      <c r="Z1204" s="3" t="s">
        <v>2272</v>
      </c>
      <c r="AA1204" s="3" t="s">
        <v>2272</v>
      </c>
      <c r="AB1204" s="3"/>
      <c r="AC1204" s="3"/>
    </row>
    <row r="1205" spans="1:29"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2272</v>
      </c>
      <c r="K1205" s="198" t="s">
        <v>2272</v>
      </c>
      <c r="L1205" s="3" t="s">
        <v>2272</v>
      </c>
      <c r="M1205" s="3" t="s">
        <v>2272</v>
      </c>
      <c r="N1205" s="3" t="s">
        <v>2272</v>
      </c>
      <c r="O1205" s="3" t="s">
        <v>2272</v>
      </c>
      <c r="P1205" s="3" t="s">
        <v>2272</v>
      </c>
      <c r="Q1205" s="3" t="s">
        <v>2272</v>
      </c>
      <c r="R1205" s="3" t="s">
        <v>2272</v>
      </c>
      <c r="S1205" s="3" t="s">
        <v>2272</v>
      </c>
      <c r="T1205" s="3" t="s">
        <v>2272</v>
      </c>
      <c r="U1205" s="3" t="s">
        <v>2272</v>
      </c>
      <c r="V1205" s="3" t="s">
        <v>2272</v>
      </c>
      <c r="W1205" s="3" t="s">
        <v>2272</v>
      </c>
      <c r="X1205" s="3" t="s">
        <v>2272</v>
      </c>
      <c r="Y1205" s="3" t="s">
        <v>2272</v>
      </c>
      <c r="Z1205" s="3" t="s">
        <v>2272</v>
      </c>
      <c r="AA1205" s="3" t="s">
        <v>2272</v>
      </c>
      <c r="AB1205" s="3"/>
      <c r="AC1205" s="3"/>
    </row>
    <row r="1206" spans="1:29"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2272</v>
      </c>
      <c r="K1206" s="198" t="s">
        <v>2272</v>
      </c>
      <c r="L1206" s="3" t="s">
        <v>2272</v>
      </c>
      <c r="M1206" s="3" t="s">
        <v>2272</v>
      </c>
      <c r="N1206" s="3" t="s">
        <v>2272</v>
      </c>
      <c r="O1206" s="3" t="s">
        <v>2272</v>
      </c>
      <c r="P1206" s="3" t="s">
        <v>2272</v>
      </c>
      <c r="Q1206" s="3" t="s">
        <v>2272</v>
      </c>
      <c r="R1206" s="3" t="s">
        <v>2272</v>
      </c>
      <c r="S1206" s="3" t="s">
        <v>2272</v>
      </c>
      <c r="T1206" s="3" t="s">
        <v>2272</v>
      </c>
      <c r="U1206" s="3" t="s">
        <v>2272</v>
      </c>
      <c r="V1206" s="3" t="s">
        <v>2272</v>
      </c>
      <c r="W1206" s="3" t="s">
        <v>2272</v>
      </c>
      <c r="X1206" s="3" t="s">
        <v>2272</v>
      </c>
      <c r="Y1206" s="3" t="s">
        <v>2272</v>
      </c>
      <c r="Z1206" s="3" t="s">
        <v>2272</v>
      </c>
      <c r="AA1206" s="3" t="s">
        <v>2272</v>
      </c>
      <c r="AB1206" s="3"/>
      <c r="AC1206" s="3"/>
    </row>
    <row r="1207" spans="1:29"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2272</v>
      </c>
      <c r="K1207" s="198" t="s">
        <v>2272</v>
      </c>
      <c r="L1207" s="3" t="s">
        <v>2272</v>
      </c>
      <c r="M1207" s="3" t="s">
        <v>2272</v>
      </c>
      <c r="N1207" s="3" t="s">
        <v>2272</v>
      </c>
      <c r="O1207" s="3" t="s">
        <v>2272</v>
      </c>
      <c r="P1207" s="3" t="s">
        <v>2272</v>
      </c>
      <c r="Q1207" s="3" t="s">
        <v>2272</v>
      </c>
      <c r="R1207" s="3" t="s">
        <v>2272</v>
      </c>
      <c r="S1207" s="3" t="s">
        <v>2272</v>
      </c>
      <c r="T1207" s="3" t="s">
        <v>2272</v>
      </c>
      <c r="U1207" s="3" t="s">
        <v>2272</v>
      </c>
      <c r="V1207" s="3" t="s">
        <v>2272</v>
      </c>
      <c r="W1207" s="3" t="s">
        <v>2272</v>
      </c>
      <c r="X1207" s="3" t="s">
        <v>2272</v>
      </c>
      <c r="Y1207" s="3" t="s">
        <v>2272</v>
      </c>
      <c r="Z1207" s="3" t="s">
        <v>2272</v>
      </c>
      <c r="AA1207" s="3" t="s">
        <v>2272</v>
      </c>
      <c r="AB1207" s="3"/>
      <c r="AC1207" s="3"/>
    </row>
    <row r="1208" spans="1:29"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2272</v>
      </c>
      <c r="K1208" s="198" t="s">
        <v>2272</v>
      </c>
      <c r="L1208" s="3" t="s">
        <v>2272</v>
      </c>
      <c r="M1208" s="3" t="s">
        <v>2272</v>
      </c>
      <c r="N1208" s="3" t="s">
        <v>2272</v>
      </c>
      <c r="O1208" s="3" t="s">
        <v>2272</v>
      </c>
      <c r="P1208" s="3" t="s">
        <v>2272</v>
      </c>
      <c r="Q1208" s="3" t="s">
        <v>2272</v>
      </c>
      <c r="R1208" s="3" t="s">
        <v>2272</v>
      </c>
      <c r="S1208" s="3" t="s">
        <v>2272</v>
      </c>
      <c r="T1208" s="3" t="s">
        <v>2272</v>
      </c>
      <c r="U1208" s="3" t="s">
        <v>2272</v>
      </c>
      <c r="V1208" s="3" t="s">
        <v>2272</v>
      </c>
      <c r="W1208" s="3" t="s">
        <v>2272</v>
      </c>
      <c r="X1208" s="3" t="s">
        <v>2272</v>
      </c>
      <c r="Y1208" s="3" t="s">
        <v>2272</v>
      </c>
      <c r="Z1208" s="3" t="s">
        <v>2272</v>
      </c>
      <c r="AA1208" s="3" t="s">
        <v>2272</v>
      </c>
      <c r="AB1208" s="3"/>
      <c r="AC1208" s="3"/>
    </row>
    <row r="1209" spans="1:29"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2272</v>
      </c>
      <c r="K1209" s="198" t="s">
        <v>2272</v>
      </c>
      <c r="L1209" s="3" t="s">
        <v>2272</v>
      </c>
      <c r="M1209" s="3" t="s">
        <v>2272</v>
      </c>
      <c r="N1209" s="3" t="s">
        <v>2272</v>
      </c>
      <c r="O1209" s="3" t="s">
        <v>2272</v>
      </c>
      <c r="P1209" s="3" t="s">
        <v>2272</v>
      </c>
      <c r="Q1209" s="3" t="s">
        <v>2272</v>
      </c>
      <c r="R1209" s="3" t="s">
        <v>2272</v>
      </c>
      <c r="S1209" s="3" t="s">
        <v>2272</v>
      </c>
      <c r="T1209" s="3" t="s">
        <v>2272</v>
      </c>
      <c r="U1209" s="3" t="s">
        <v>2272</v>
      </c>
      <c r="V1209" s="3" t="s">
        <v>2272</v>
      </c>
      <c r="W1209" s="3" t="s">
        <v>2272</v>
      </c>
      <c r="X1209" s="3" t="s">
        <v>2272</v>
      </c>
      <c r="Y1209" s="3" t="s">
        <v>2272</v>
      </c>
      <c r="Z1209" s="3" t="s">
        <v>2272</v>
      </c>
      <c r="AA1209" s="3" t="s">
        <v>2272</v>
      </c>
      <c r="AB1209" s="3"/>
      <c r="AC1209" s="3"/>
    </row>
    <row r="1210" spans="1:29"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2272</v>
      </c>
      <c r="K1210" s="198" t="s">
        <v>2272</v>
      </c>
      <c r="L1210" s="3" t="s">
        <v>2272</v>
      </c>
      <c r="M1210" s="3" t="s">
        <v>2272</v>
      </c>
      <c r="N1210" s="3" t="s">
        <v>2272</v>
      </c>
      <c r="O1210" s="3" t="s">
        <v>2272</v>
      </c>
      <c r="P1210" s="3" t="s">
        <v>2272</v>
      </c>
      <c r="Q1210" s="3" t="s">
        <v>2272</v>
      </c>
      <c r="R1210" s="3" t="s">
        <v>2272</v>
      </c>
      <c r="S1210" s="3" t="s">
        <v>2272</v>
      </c>
      <c r="T1210" s="3" t="s">
        <v>2272</v>
      </c>
      <c r="U1210" s="3" t="s">
        <v>2272</v>
      </c>
      <c r="V1210" s="3" t="s">
        <v>2272</v>
      </c>
      <c r="W1210" s="3" t="s">
        <v>2272</v>
      </c>
      <c r="X1210" s="3" t="s">
        <v>2272</v>
      </c>
      <c r="Y1210" s="3" t="s">
        <v>2272</v>
      </c>
      <c r="Z1210" s="3" t="s">
        <v>2272</v>
      </c>
      <c r="AA1210" s="3" t="s">
        <v>2272</v>
      </c>
      <c r="AB1210" s="3"/>
      <c r="AC1210" s="3"/>
    </row>
    <row r="1211" spans="1:29"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198" t="s">
        <v>2272</v>
      </c>
      <c r="K1211" s="198" t="s">
        <v>2364</v>
      </c>
      <c r="L1211" s="3" t="s">
        <v>2272</v>
      </c>
      <c r="M1211" s="3" t="s">
        <v>2272</v>
      </c>
      <c r="N1211" s="3" t="s">
        <v>2369</v>
      </c>
      <c r="O1211" s="3" t="s">
        <v>2272</v>
      </c>
      <c r="P1211" s="3" t="s">
        <v>2272</v>
      </c>
      <c r="Q1211" s="3" t="s">
        <v>2272</v>
      </c>
      <c r="R1211" s="3" t="s">
        <v>2272</v>
      </c>
      <c r="S1211" s="3" t="s">
        <v>2272</v>
      </c>
      <c r="T1211" s="3" t="s">
        <v>2272</v>
      </c>
      <c r="U1211" s="3" t="s">
        <v>2371</v>
      </c>
      <c r="V1211" s="3" t="s">
        <v>2272</v>
      </c>
      <c r="W1211" s="3" t="s">
        <v>2272</v>
      </c>
      <c r="X1211" s="3" t="s">
        <v>2272</v>
      </c>
      <c r="Y1211" s="3" t="s">
        <v>2272</v>
      </c>
      <c r="Z1211" s="3" t="s">
        <v>2272</v>
      </c>
      <c r="AA1211" s="3" t="s">
        <v>2272</v>
      </c>
      <c r="AB1211" s="4" t="s">
        <v>3684</v>
      </c>
      <c r="AC1211" s="4" t="s">
        <v>3685</v>
      </c>
    </row>
    <row r="1212" spans="1:29"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198" t="s">
        <v>2272</v>
      </c>
      <c r="K1212" s="198" t="s">
        <v>2364</v>
      </c>
      <c r="L1212" s="3" t="s">
        <v>2272</v>
      </c>
      <c r="M1212" s="3" t="s">
        <v>2272</v>
      </c>
      <c r="N1212" s="3" t="s">
        <v>2272</v>
      </c>
      <c r="O1212" s="3" t="s">
        <v>2272</v>
      </c>
      <c r="P1212" s="3" t="s">
        <v>2272</v>
      </c>
      <c r="Q1212" s="3" t="s">
        <v>2272</v>
      </c>
      <c r="R1212" s="3" t="s">
        <v>2272</v>
      </c>
      <c r="S1212" s="3" t="s">
        <v>2272</v>
      </c>
      <c r="T1212" s="3" t="s">
        <v>2272</v>
      </c>
      <c r="U1212" s="3" t="s">
        <v>2371</v>
      </c>
      <c r="V1212" s="3" t="s">
        <v>2272</v>
      </c>
      <c r="W1212" s="3" t="s">
        <v>2272</v>
      </c>
      <c r="X1212" s="3" t="s">
        <v>2272</v>
      </c>
      <c r="Y1212" s="3" t="s">
        <v>2272</v>
      </c>
      <c r="Z1212" s="3" t="s">
        <v>2272</v>
      </c>
      <c r="AA1212" s="3" t="s">
        <v>2272</v>
      </c>
      <c r="AB1212" s="4" t="s">
        <v>3684</v>
      </c>
      <c r="AC1212" s="4" t="s">
        <v>3686</v>
      </c>
    </row>
    <row r="1213" spans="1:29"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198" t="s">
        <v>2272</v>
      </c>
      <c r="K1213" s="198" t="s">
        <v>2364</v>
      </c>
      <c r="L1213" s="3" t="s">
        <v>2272</v>
      </c>
      <c r="M1213" s="3" t="s">
        <v>2272</v>
      </c>
      <c r="N1213" s="3" t="s">
        <v>2369</v>
      </c>
      <c r="O1213" s="3" t="s">
        <v>2272</v>
      </c>
      <c r="P1213" s="3" t="s">
        <v>2272</v>
      </c>
      <c r="Q1213" s="3" t="s">
        <v>2272</v>
      </c>
      <c r="R1213" s="3" t="s">
        <v>2272</v>
      </c>
      <c r="S1213" s="3" t="s">
        <v>2272</v>
      </c>
      <c r="T1213" s="3" t="s">
        <v>2272</v>
      </c>
      <c r="U1213" s="3" t="s">
        <v>2371</v>
      </c>
      <c r="V1213" s="3" t="s">
        <v>2272</v>
      </c>
      <c r="W1213" s="3" t="s">
        <v>2272</v>
      </c>
      <c r="X1213" s="3" t="s">
        <v>2272</v>
      </c>
      <c r="Y1213" s="3" t="s">
        <v>2272</v>
      </c>
      <c r="Z1213" s="3" t="s">
        <v>2272</v>
      </c>
      <c r="AA1213" s="3" t="s">
        <v>2272</v>
      </c>
      <c r="AB1213" s="4" t="s">
        <v>3684</v>
      </c>
      <c r="AC1213" s="4" t="s">
        <v>3685</v>
      </c>
    </row>
    <row r="1214" spans="1:29"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198" t="s">
        <v>2272</v>
      </c>
      <c r="K1214" s="198" t="s">
        <v>2364</v>
      </c>
      <c r="L1214" s="3" t="s">
        <v>2272</v>
      </c>
      <c r="M1214" s="3" t="s">
        <v>2272</v>
      </c>
      <c r="N1214" s="3" t="s">
        <v>2272</v>
      </c>
      <c r="O1214" s="3" t="s">
        <v>2272</v>
      </c>
      <c r="P1214" s="3" t="s">
        <v>2272</v>
      </c>
      <c r="Q1214" s="3" t="s">
        <v>2272</v>
      </c>
      <c r="R1214" s="3" t="s">
        <v>2272</v>
      </c>
      <c r="S1214" s="3" t="s">
        <v>2272</v>
      </c>
      <c r="T1214" s="3" t="s">
        <v>2272</v>
      </c>
      <c r="U1214" s="3" t="s">
        <v>2371</v>
      </c>
      <c r="V1214" s="3" t="s">
        <v>2272</v>
      </c>
      <c r="W1214" s="3" t="s">
        <v>2272</v>
      </c>
      <c r="X1214" s="3" t="s">
        <v>2272</v>
      </c>
      <c r="Y1214" s="3" t="s">
        <v>2272</v>
      </c>
      <c r="Z1214" s="3" t="s">
        <v>2272</v>
      </c>
      <c r="AA1214" s="3" t="s">
        <v>2272</v>
      </c>
      <c r="AB1214" s="4" t="s">
        <v>3684</v>
      </c>
      <c r="AC1214" s="4" t="s">
        <v>3686</v>
      </c>
    </row>
    <row r="1215" spans="1:29"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198" t="s">
        <v>2272</v>
      </c>
      <c r="K1215" s="198" t="s">
        <v>2364</v>
      </c>
      <c r="L1215" s="3" t="s">
        <v>2272</v>
      </c>
      <c r="M1215" s="3" t="s">
        <v>2272</v>
      </c>
      <c r="N1215" s="3" t="s">
        <v>2369</v>
      </c>
      <c r="O1215" s="3" t="s">
        <v>2272</v>
      </c>
      <c r="P1215" s="3" t="s">
        <v>2272</v>
      </c>
      <c r="Q1215" s="3" t="s">
        <v>2272</v>
      </c>
      <c r="R1215" s="3" t="s">
        <v>2272</v>
      </c>
      <c r="S1215" s="3" t="s">
        <v>2272</v>
      </c>
      <c r="T1215" s="3" t="s">
        <v>2272</v>
      </c>
      <c r="U1215" s="3" t="s">
        <v>2369</v>
      </c>
      <c r="V1215" s="3" t="s">
        <v>2272</v>
      </c>
      <c r="W1215" s="3" t="s">
        <v>2272</v>
      </c>
      <c r="X1215" s="3" t="s">
        <v>2272</v>
      </c>
      <c r="Y1215" s="3" t="s">
        <v>2272</v>
      </c>
      <c r="Z1215" s="3" t="s">
        <v>2272</v>
      </c>
      <c r="AA1215" s="3" t="s">
        <v>2272</v>
      </c>
      <c r="AB1215" s="4" t="s">
        <v>3684</v>
      </c>
      <c r="AC1215" s="4" t="s">
        <v>3685</v>
      </c>
    </row>
    <row r="1216" spans="1:29"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198" t="s">
        <v>2272</v>
      </c>
      <c r="K1216" s="198" t="s">
        <v>2364</v>
      </c>
      <c r="L1216" s="3" t="s">
        <v>2272</v>
      </c>
      <c r="M1216" s="3" t="s">
        <v>2272</v>
      </c>
      <c r="N1216" s="3" t="s">
        <v>2272</v>
      </c>
      <c r="O1216" s="3" t="s">
        <v>2272</v>
      </c>
      <c r="P1216" s="3" t="s">
        <v>2272</v>
      </c>
      <c r="Q1216" s="3" t="s">
        <v>2272</v>
      </c>
      <c r="R1216" s="3" t="s">
        <v>2272</v>
      </c>
      <c r="S1216" s="3" t="s">
        <v>2272</v>
      </c>
      <c r="T1216" s="3" t="s">
        <v>2272</v>
      </c>
      <c r="U1216" s="3" t="s">
        <v>2369</v>
      </c>
      <c r="V1216" s="3" t="s">
        <v>2272</v>
      </c>
      <c r="W1216" s="3" t="s">
        <v>2272</v>
      </c>
      <c r="X1216" s="3" t="s">
        <v>2272</v>
      </c>
      <c r="Y1216" s="3" t="s">
        <v>2272</v>
      </c>
      <c r="Z1216" s="3" t="s">
        <v>2272</v>
      </c>
      <c r="AA1216" s="3" t="s">
        <v>2272</v>
      </c>
      <c r="AB1216" s="4" t="s">
        <v>3684</v>
      </c>
      <c r="AC1216" s="4" t="s">
        <v>3686</v>
      </c>
    </row>
    <row r="1217" spans="1:30"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198" t="s">
        <v>2272</v>
      </c>
      <c r="K1217" s="198" t="s">
        <v>2362</v>
      </c>
      <c r="L1217" s="3" t="s">
        <v>2272</v>
      </c>
      <c r="M1217" s="3" t="s">
        <v>2272</v>
      </c>
      <c r="N1217" s="3" t="s">
        <v>2369</v>
      </c>
      <c r="O1217" s="3" t="s">
        <v>2272</v>
      </c>
      <c r="P1217" s="3" t="s">
        <v>2272</v>
      </c>
      <c r="Q1217" s="3" t="s">
        <v>2272</v>
      </c>
      <c r="R1217" s="3" t="s">
        <v>2272</v>
      </c>
      <c r="S1217" s="3" t="s">
        <v>2272</v>
      </c>
      <c r="T1217" s="3" t="s">
        <v>2272</v>
      </c>
      <c r="U1217" s="3" t="s">
        <v>2371</v>
      </c>
      <c r="V1217" s="3" t="s">
        <v>2272</v>
      </c>
      <c r="W1217" s="3" t="s">
        <v>2272</v>
      </c>
      <c r="X1217" s="3" t="s">
        <v>2272</v>
      </c>
      <c r="Y1217" s="3" t="s">
        <v>2272</v>
      </c>
      <c r="Z1217" s="3" t="s">
        <v>2272</v>
      </c>
      <c r="AA1217" s="3" t="s">
        <v>2272</v>
      </c>
      <c r="AB1217" s="4" t="s">
        <v>3684</v>
      </c>
      <c r="AC1217" s="4" t="s">
        <v>3685</v>
      </c>
    </row>
    <row r="1218" spans="1:30"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198" t="s">
        <v>2272</v>
      </c>
      <c r="K1218" s="198" t="s">
        <v>2362</v>
      </c>
      <c r="L1218" s="3" t="s">
        <v>2272</v>
      </c>
      <c r="M1218" s="3" t="s">
        <v>2272</v>
      </c>
      <c r="N1218" s="3" t="s">
        <v>2272</v>
      </c>
      <c r="O1218" s="3" t="s">
        <v>2272</v>
      </c>
      <c r="P1218" s="3" t="s">
        <v>2272</v>
      </c>
      <c r="Q1218" s="3" t="s">
        <v>2272</v>
      </c>
      <c r="R1218" s="3" t="s">
        <v>2272</v>
      </c>
      <c r="S1218" s="3" t="s">
        <v>2272</v>
      </c>
      <c r="T1218" s="3" t="s">
        <v>2272</v>
      </c>
      <c r="U1218" s="3" t="s">
        <v>2371</v>
      </c>
      <c r="V1218" s="3" t="s">
        <v>2272</v>
      </c>
      <c r="W1218" s="3" t="s">
        <v>2272</v>
      </c>
      <c r="X1218" s="3" t="s">
        <v>2272</v>
      </c>
      <c r="Y1218" s="3" t="s">
        <v>2272</v>
      </c>
      <c r="Z1218" s="3" t="s">
        <v>2272</v>
      </c>
      <c r="AA1218" s="3" t="s">
        <v>2272</v>
      </c>
      <c r="AB1218" s="4" t="s">
        <v>3684</v>
      </c>
      <c r="AC1218" s="4" t="s">
        <v>3686</v>
      </c>
    </row>
    <row r="1219" spans="1:30" ht="37" customHeight="1">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2272</v>
      </c>
      <c r="K1219" s="198" t="s">
        <v>2272</v>
      </c>
      <c r="L1219" s="3" t="s">
        <v>2272</v>
      </c>
      <c r="M1219" s="3" t="s">
        <v>2272</v>
      </c>
      <c r="N1219" s="3" t="s">
        <v>2272</v>
      </c>
      <c r="O1219" s="3" t="s">
        <v>2272</v>
      </c>
      <c r="P1219" s="3" t="s">
        <v>2272</v>
      </c>
      <c r="Q1219" s="3" t="s">
        <v>2272</v>
      </c>
      <c r="R1219" s="3" t="s">
        <v>2272</v>
      </c>
      <c r="S1219" s="3" t="s">
        <v>2272</v>
      </c>
      <c r="T1219" s="3" t="s">
        <v>2272</v>
      </c>
      <c r="U1219" s="3" t="s">
        <v>2272</v>
      </c>
      <c r="V1219" s="3" t="s">
        <v>2272</v>
      </c>
      <c r="W1219" s="3" t="s">
        <v>2272</v>
      </c>
      <c r="X1219" s="3" t="s">
        <v>2272</v>
      </c>
      <c r="Y1219" s="3" t="s">
        <v>2272</v>
      </c>
      <c r="Z1219" s="3" t="s">
        <v>2272</v>
      </c>
      <c r="AA1219" s="3" t="s">
        <v>2272</v>
      </c>
      <c r="AB1219" s="3"/>
      <c r="AC1219" s="3"/>
    </row>
    <row r="1220" spans="1:30" ht="37" customHeight="1">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2272</v>
      </c>
      <c r="K1220" s="198" t="s">
        <v>2272</v>
      </c>
      <c r="L1220" s="3" t="s">
        <v>2272</v>
      </c>
      <c r="M1220" s="3" t="s">
        <v>2272</v>
      </c>
      <c r="N1220" s="3" t="s">
        <v>2272</v>
      </c>
      <c r="O1220" s="3" t="s">
        <v>2272</v>
      </c>
      <c r="P1220" s="3" t="s">
        <v>2272</v>
      </c>
      <c r="Q1220" s="3" t="s">
        <v>2272</v>
      </c>
      <c r="R1220" s="3" t="s">
        <v>2272</v>
      </c>
      <c r="S1220" s="3" t="s">
        <v>2272</v>
      </c>
      <c r="T1220" s="3" t="s">
        <v>2272</v>
      </c>
      <c r="U1220" s="3" t="s">
        <v>2272</v>
      </c>
      <c r="V1220" s="3" t="s">
        <v>2272</v>
      </c>
      <c r="W1220" s="3" t="s">
        <v>2272</v>
      </c>
      <c r="X1220" s="3" t="s">
        <v>2272</v>
      </c>
      <c r="Y1220" s="3" t="s">
        <v>2272</v>
      </c>
      <c r="Z1220" s="3" t="s">
        <v>2272</v>
      </c>
      <c r="AA1220" s="3" t="s">
        <v>2272</v>
      </c>
      <c r="AB1220" s="3"/>
      <c r="AC1220" s="3"/>
    </row>
    <row r="1221" spans="1:30" ht="37" customHeight="1">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2272</v>
      </c>
      <c r="K1221" s="198" t="s">
        <v>2272</v>
      </c>
      <c r="L1221" s="3" t="s">
        <v>2272</v>
      </c>
      <c r="M1221" s="3" t="s">
        <v>2272</v>
      </c>
      <c r="N1221" s="3" t="s">
        <v>2272</v>
      </c>
      <c r="O1221" s="3" t="s">
        <v>2272</v>
      </c>
      <c r="P1221" s="3" t="s">
        <v>2272</v>
      </c>
      <c r="Q1221" s="3" t="s">
        <v>2272</v>
      </c>
      <c r="R1221" s="3" t="s">
        <v>2272</v>
      </c>
      <c r="S1221" s="3" t="s">
        <v>2272</v>
      </c>
      <c r="T1221" s="3" t="s">
        <v>2272</v>
      </c>
      <c r="U1221" s="3" t="s">
        <v>2272</v>
      </c>
      <c r="V1221" s="3" t="s">
        <v>2272</v>
      </c>
      <c r="W1221" s="3" t="s">
        <v>2272</v>
      </c>
      <c r="X1221" s="3" t="s">
        <v>2272</v>
      </c>
      <c r="Y1221" s="3" t="s">
        <v>2272</v>
      </c>
      <c r="Z1221" s="3" t="s">
        <v>2272</v>
      </c>
      <c r="AA1221" s="3" t="s">
        <v>2272</v>
      </c>
      <c r="AB1221" s="3"/>
      <c r="AC1221" s="3"/>
    </row>
    <row r="1222" spans="1:30" ht="37" customHeight="1">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2272</v>
      </c>
      <c r="K1222" s="198" t="s">
        <v>2272</v>
      </c>
      <c r="L1222" s="3" t="s">
        <v>2272</v>
      </c>
      <c r="M1222" s="3" t="s">
        <v>2272</v>
      </c>
      <c r="N1222" s="3" t="s">
        <v>2272</v>
      </c>
      <c r="O1222" s="3" t="s">
        <v>2272</v>
      </c>
      <c r="P1222" s="3" t="s">
        <v>2272</v>
      </c>
      <c r="Q1222" s="3" t="s">
        <v>2272</v>
      </c>
      <c r="R1222" s="3" t="s">
        <v>2272</v>
      </c>
      <c r="S1222" s="3" t="s">
        <v>2272</v>
      </c>
      <c r="T1222" s="3" t="s">
        <v>2272</v>
      </c>
      <c r="U1222" s="3" t="s">
        <v>2272</v>
      </c>
      <c r="V1222" s="3" t="s">
        <v>2272</v>
      </c>
      <c r="W1222" s="3" t="s">
        <v>2272</v>
      </c>
      <c r="X1222" s="3" t="s">
        <v>2272</v>
      </c>
      <c r="Y1222" s="3" t="s">
        <v>2272</v>
      </c>
      <c r="Z1222" s="3" t="s">
        <v>2272</v>
      </c>
      <c r="AA1222" s="3" t="s">
        <v>2272</v>
      </c>
      <c r="AB1222" s="3"/>
      <c r="AC1222" s="3"/>
    </row>
    <row r="1223" spans="1:30" ht="37" customHeight="1">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2272</v>
      </c>
      <c r="K1223" s="198" t="s">
        <v>2272</v>
      </c>
      <c r="L1223" s="3" t="s">
        <v>2272</v>
      </c>
      <c r="M1223" s="3" t="s">
        <v>2272</v>
      </c>
      <c r="N1223" s="3" t="s">
        <v>2272</v>
      </c>
      <c r="O1223" s="3" t="s">
        <v>2272</v>
      </c>
      <c r="P1223" s="3" t="s">
        <v>2272</v>
      </c>
      <c r="Q1223" s="3" t="s">
        <v>2272</v>
      </c>
      <c r="R1223" s="3" t="s">
        <v>2272</v>
      </c>
      <c r="S1223" s="3" t="s">
        <v>2272</v>
      </c>
      <c r="T1223" s="3" t="s">
        <v>2272</v>
      </c>
      <c r="U1223" s="3" t="s">
        <v>2272</v>
      </c>
      <c r="V1223" s="3" t="s">
        <v>2272</v>
      </c>
      <c r="W1223" s="3" t="s">
        <v>2272</v>
      </c>
      <c r="X1223" s="3" t="s">
        <v>2272</v>
      </c>
      <c r="Y1223" s="3" t="s">
        <v>2272</v>
      </c>
      <c r="Z1223" s="3" t="s">
        <v>2272</v>
      </c>
      <c r="AA1223" s="3" t="s">
        <v>2272</v>
      </c>
      <c r="AB1223" s="3"/>
      <c r="AC1223" s="3"/>
    </row>
    <row r="1224" spans="1:30"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2272</v>
      </c>
      <c r="K1224" s="198" t="s">
        <v>2272</v>
      </c>
      <c r="L1224" s="3" t="s">
        <v>2272</v>
      </c>
      <c r="M1224" s="3" t="s">
        <v>2272</v>
      </c>
      <c r="N1224" s="3" t="s">
        <v>2272</v>
      </c>
      <c r="O1224" s="3" t="s">
        <v>2272</v>
      </c>
      <c r="P1224" s="3" t="s">
        <v>2272</v>
      </c>
      <c r="Q1224" s="3" t="s">
        <v>2272</v>
      </c>
      <c r="R1224" s="3" t="s">
        <v>2272</v>
      </c>
      <c r="S1224" s="3" t="s">
        <v>2272</v>
      </c>
      <c r="T1224" s="3" t="s">
        <v>2272</v>
      </c>
      <c r="U1224" s="3" t="s">
        <v>2272</v>
      </c>
      <c r="V1224" s="3" t="s">
        <v>2272</v>
      </c>
      <c r="W1224" s="3" t="s">
        <v>2272</v>
      </c>
      <c r="X1224" s="3" t="s">
        <v>2272</v>
      </c>
      <c r="Y1224" s="3" t="s">
        <v>2272</v>
      </c>
      <c r="Z1224" s="3" t="s">
        <v>2272</v>
      </c>
      <c r="AA1224" s="3" t="s">
        <v>2272</v>
      </c>
      <c r="AB1224" s="4" t="s">
        <v>3702</v>
      </c>
      <c r="AC1224" s="3"/>
    </row>
    <row r="1225" spans="1:30"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2272</v>
      </c>
      <c r="K1225" s="198" t="s">
        <v>2272</v>
      </c>
      <c r="L1225" s="3" t="s">
        <v>2272</v>
      </c>
      <c r="M1225" s="3" t="s">
        <v>2272</v>
      </c>
      <c r="N1225" s="3" t="s">
        <v>2272</v>
      </c>
      <c r="O1225" s="3" t="s">
        <v>2272</v>
      </c>
      <c r="P1225" s="3" t="s">
        <v>2272</v>
      </c>
      <c r="Q1225" s="3" t="s">
        <v>2272</v>
      </c>
      <c r="R1225" s="3" t="s">
        <v>2272</v>
      </c>
      <c r="S1225" s="3" t="s">
        <v>2272</v>
      </c>
      <c r="T1225" s="3" t="s">
        <v>2272</v>
      </c>
      <c r="U1225" s="3" t="s">
        <v>2272</v>
      </c>
      <c r="V1225" s="3" t="s">
        <v>2272</v>
      </c>
      <c r="W1225" s="3" t="s">
        <v>2272</v>
      </c>
      <c r="X1225" s="3" t="s">
        <v>2272</v>
      </c>
      <c r="Y1225" s="3" t="s">
        <v>2272</v>
      </c>
      <c r="Z1225" s="3" t="s">
        <v>2272</v>
      </c>
      <c r="AA1225" s="3" t="s">
        <v>2272</v>
      </c>
      <c r="AB1225" s="4" t="s">
        <v>3703</v>
      </c>
      <c r="AC1225" s="3"/>
    </row>
    <row r="1226" spans="1:30"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2272</v>
      </c>
      <c r="K1226" s="198" t="s">
        <v>2272</v>
      </c>
      <c r="L1226" s="3" t="s">
        <v>2272</v>
      </c>
      <c r="M1226" s="3" t="s">
        <v>2272</v>
      </c>
      <c r="N1226" s="3" t="s">
        <v>2272</v>
      </c>
      <c r="O1226" s="3" t="s">
        <v>2272</v>
      </c>
      <c r="P1226" s="3" t="s">
        <v>2272</v>
      </c>
      <c r="Q1226" s="3" t="s">
        <v>2272</v>
      </c>
      <c r="R1226" s="3" t="s">
        <v>2272</v>
      </c>
      <c r="S1226" s="3" t="s">
        <v>2272</v>
      </c>
      <c r="T1226" s="3" t="s">
        <v>2272</v>
      </c>
      <c r="U1226" s="3" t="s">
        <v>2272</v>
      </c>
      <c r="V1226" s="3" t="s">
        <v>2272</v>
      </c>
      <c r="W1226" s="3" t="s">
        <v>2272</v>
      </c>
      <c r="X1226" s="3" t="s">
        <v>2272</v>
      </c>
      <c r="Y1226" s="3" t="s">
        <v>2272</v>
      </c>
      <c r="Z1226" s="3" t="s">
        <v>2272</v>
      </c>
      <c r="AA1226" s="3" t="s">
        <v>2272</v>
      </c>
      <c r="AB1226" s="4" t="s">
        <v>3703</v>
      </c>
      <c r="AC1226" s="3"/>
      <c r="AD1226" s="132"/>
    </row>
    <row r="1227" spans="1:30"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2272</v>
      </c>
      <c r="K1227" s="198" t="s">
        <v>2272</v>
      </c>
      <c r="L1227" s="3" t="s">
        <v>2272</v>
      </c>
      <c r="M1227" s="3" t="s">
        <v>2272</v>
      </c>
      <c r="N1227" s="3" t="s">
        <v>2272</v>
      </c>
      <c r="O1227" s="3" t="s">
        <v>2272</v>
      </c>
      <c r="P1227" s="3" t="s">
        <v>2272</v>
      </c>
      <c r="Q1227" s="3" t="s">
        <v>2272</v>
      </c>
      <c r="R1227" s="3" t="s">
        <v>2272</v>
      </c>
      <c r="S1227" s="3" t="s">
        <v>2272</v>
      </c>
      <c r="T1227" s="3" t="s">
        <v>2272</v>
      </c>
      <c r="U1227" s="3" t="s">
        <v>2272</v>
      </c>
      <c r="V1227" s="3" t="s">
        <v>2272</v>
      </c>
      <c r="W1227" s="3" t="s">
        <v>2272</v>
      </c>
      <c r="X1227" s="3" t="s">
        <v>2272</v>
      </c>
      <c r="Y1227" s="3" t="s">
        <v>2272</v>
      </c>
      <c r="Z1227" s="3" t="s">
        <v>2272</v>
      </c>
      <c r="AA1227" s="3" t="s">
        <v>2272</v>
      </c>
      <c r="AB1227" s="4" t="s">
        <v>3702</v>
      </c>
      <c r="AC1227" s="3"/>
    </row>
    <row r="1228" spans="1:30"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2272</v>
      </c>
      <c r="K1228" s="198" t="s">
        <v>2272</v>
      </c>
      <c r="L1228" s="3" t="s">
        <v>2272</v>
      </c>
      <c r="M1228" s="3" t="s">
        <v>2272</v>
      </c>
      <c r="N1228" s="3" t="s">
        <v>2272</v>
      </c>
      <c r="O1228" s="3" t="s">
        <v>2272</v>
      </c>
      <c r="P1228" s="3" t="s">
        <v>2272</v>
      </c>
      <c r="Q1228" s="3" t="s">
        <v>2272</v>
      </c>
      <c r="R1228" s="3" t="s">
        <v>2272</v>
      </c>
      <c r="S1228" s="3" t="s">
        <v>2272</v>
      </c>
      <c r="T1228" s="3" t="s">
        <v>2272</v>
      </c>
      <c r="U1228" s="3" t="s">
        <v>2272</v>
      </c>
      <c r="V1228" s="3" t="s">
        <v>2272</v>
      </c>
      <c r="W1228" s="3" t="s">
        <v>2272</v>
      </c>
      <c r="X1228" s="3" t="s">
        <v>2272</v>
      </c>
      <c r="Y1228" s="3" t="s">
        <v>2272</v>
      </c>
      <c r="Z1228" s="3" t="s">
        <v>2272</v>
      </c>
      <c r="AA1228" s="3" t="s">
        <v>2272</v>
      </c>
      <c r="AB1228" s="4" t="s">
        <v>3703</v>
      </c>
      <c r="AC1228" s="3"/>
    </row>
    <row r="1229" spans="1:30"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2272</v>
      </c>
      <c r="K1229" s="198" t="s">
        <v>2272</v>
      </c>
      <c r="L1229" s="3" t="s">
        <v>2272</v>
      </c>
      <c r="M1229" s="3" t="s">
        <v>2272</v>
      </c>
      <c r="N1229" s="3" t="s">
        <v>2272</v>
      </c>
      <c r="O1229" s="3" t="s">
        <v>2272</v>
      </c>
      <c r="P1229" s="3" t="s">
        <v>2272</v>
      </c>
      <c r="Q1229" s="3" t="s">
        <v>2272</v>
      </c>
      <c r="R1229" s="3" t="s">
        <v>2272</v>
      </c>
      <c r="S1229" s="3" t="s">
        <v>2272</v>
      </c>
      <c r="T1229" s="3" t="s">
        <v>2272</v>
      </c>
      <c r="U1229" s="3" t="s">
        <v>2272</v>
      </c>
      <c r="V1229" s="3" t="s">
        <v>2272</v>
      </c>
      <c r="W1229" s="3" t="s">
        <v>2272</v>
      </c>
      <c r="X1229" s="3" t="s">
        <v>2272</v>
      </c>
      <c r="Y1229" s="3" t="s">
        <v>2272</v>
      </c>
      <c r="Z1229" s="3" t="s">
        <v>2272</v>
      </c>
      <c r="AA1229" s="3" t="s">
        <v>2272</v>
      </c>
      <c r="AB1229" s="158"/>
      <c r="AC1229" s="3"/>
    </row>
    <row r="1230" spans="1:30"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2272</v>
      </c>
      <c r="K1230" s="198" t="s">
        <v>2272</v>
      </c>
      <c r="L1230" s="3" t="s">
        <v>2272</v>
      </c>
      <c r="M1230" s="3" t="s">
        <v>2272</v>
      </c>
      <c r="N1230" s="3" t="s">
        <v>2272</v>
      </c>
      <c r="O1230" s="3" t="s">
        <v>2272</v>
      </c>
      <c r="P1230" s="3" t="s">
        <v>2272</v>
      </c>
      <c r="Q1230" s="3" t="s">
        <v>2272</v>
      </c>
      <c r="R1230" s="3" t="s">
        <v>2272</v>
      </c>
      <c r="S1230" s="3" t="s">
        <v>2272</v>
      </c>
      <c r="T1230" s="3" t="s">
        <v>2272</v>
      </c>
      <c r="U1230" s="3" t="s">
        <v>2272</v>
      </c>
      <c r="V1230" s="3" t="s">
        <v>2272</v>
      </c>
      <c r="W1230" s="3" t="s">
        <v>2272</v>
      </c>
      <c r="X1230" s="3" t="s">
        <v>2272</v>
      </c>
      <c r="Y1230" s="3" t="s">
        <v>2272</v>
      </c>
      <c r="Z1230" s="3" t="s">
        <v>2272</v>
      </c>
      <c r="AA1230" s="3" t="s">
        <v>2272</v>
      </c>
      <c r="AB1230" s="158"/>
      <c r="AC1230" s="3"/>
    </row>
    <row r="1231" spans="1:30"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2272</v>
      </c>
      <c r="K1231" s="198" t="s">
        <v>2272</v>
      </c>
      <c r="L1231" s="3" t="s">
        <v>2272</v>
      </c>
      <c r="M1231" s="3" t="s">
        <v>2272</v>
      </c>
      <c r="N1231" s="3" t="s">
        <v>2272</v>
      </c>
      <c r="O1231" s="3" t="s">
        <v>2272</v>
      </c>
      <c r="P1231" s="3" t="s">
        <v>2272</v>
      </c>
      <c r="Q1231" s="3" t="s">
        <v>2272</v>
      </c>
      <c r="R1231" s="3" t="s">
        <v>2272</v>
      </c>
      <c r="S1231" s="3" t="s">
        <v>2272</v>
      </c>
      <c r="T1231" s="3" t="s">
        <v>2272</v>
      </c>
      <c r="U1231" s="3" t="s">
        <v>2272</v>
      </c>
      <c r="V1231" s="3" t="s">
        <v>2272</v>
      </c>
      <c r="W1231" s="3" t="s">
        <v>2272</v>
      </c>
      <c r="X1231" s="3" t="s">
        <v>2272</v>
      </c>
      <c r="Y1231" s="3" t="s">
        <v>2272</v>
      </c>
      <c r="Z1231" s="3" t="s">
        <v>2272</v>
      </c>
      <c r="AA1231" s="3" t="s">
        <v>2272</v>
      </c>
      <c r="AB1231" s="158"/>
      <c r="AC1231" s="3"/>
    </row>
    <row r="1232" spans="1:30"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2272</v>
      </c>
      <c r="K1232" s="198" t="s">
        <v>2272</v>
      </c>
      <c r="L1232" s="3" t="s">
        <v>2272</v>
      </c>
      <c r="M1232" s="3" t="s">
        <v>2272</v>
      </c>
      <c r="N1232" s="3" t="s">
        <v>2272</v>
      </c>
      <c r="O1232" s="3" t="s">
        <v>2272</v>
      </c>
      <c r="P1232" s="3" t="s">
        <v>2272</v>
      </c>
      <c r="Q1232" s="3" t="s">
        <v>2272</v>
      </c>
      <c r="R1232" s="3" t="s">
        <v>2272</v>
      </c>
      <c r="S1232" s="3" t="s">
        <v>2272</v>
      </c>
      <c r="T1232" s="3" t="s">
        <v>2272</v>
      </c>
      <c r="U1232" s="3" t="s">
        <v>2272</v>
      </c>
      <c r="V1232" s="3" t="s">
        <v>2272</v>
      </c>
      <c r="W1232" s="3" t="s">
        <v>2272</v>
      </c>
      <c r="X1232" s="3" t="s">
        <v>2272</v>
      </c>
      <c r="Y1232" s="3" t="s">
        <v>2272</v>
      </c>
      <c r="Z1232" s="3" t="s">
        <v>2272</v>
      </c>
      <c r="AA1232" s="3" t="s">
        <v>2272</v>
      </c>
      <c r="AB1232" s="158"/>
      <c r="AC1232" s="3"/>
    </row>
    <row r="1233" spans="1:29"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2272</v>
      </c>
      <c r="K1233" s="198" t="s">
        <v>2272</v>
      </c>
      <c r="L1233" s="3" t="s">
        <v>2272</v>
      </c>
      <c r="M1233" s="3" t="s">
        <v>2272</v>
      </c>
      <c r="N1233" s="3" t="s">
        <v>2272</v>
      </c>
      <c r="O1233" s="3" t="s">
        <v>2272</v>
      </c>
      <c r="P1233" s="3" t="s">
        <v>2272</v>
      </c>
      <c r="Q1233" s="3" t="s">
        <v>2272</v>
      </c>
      <c r="R1233" s="3" t="s">
        <v>2272</v>
      </c>
      <c r="S1233" s="3" t="s">
        <v>2272</v>
      </c>
      <c r="T1233" s="3" t="s">
        <v>2272</v>
      </c>
      <c r="U1233" s="3" t="s">
        <v>2272</v>
      </c>
      <c r="V1233" s="3" t="s">
        <v>2272</v>
      </c>
      <c r="W1233" s="3" t="s">
        <v>2272</v>
      </c>
      <c r="X1233" s="3" t="s">
        <v>2272</v>
      </c>
      <c r="Y1233" s="3" t="s">
        <v>2272</v>
      </c>
      <c r="Z1233" s="3" t="s">
        <v>2272</v>
      </c>
      <c r="AA1233" s="3" t="s">
        <v>2272</v>
      </c>
      <c r="AB1233" s="158"/>
      <c r="AC1233" s="3"/>
    </row>
    <row r="1234" spans="1:29"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2272</v>
      </c>
      <c r="K1234" s="198" t="s">
        <v>2272</v>
      </c>
      <c r="L1234" s="3" t="s">
        <v>2272</v>
      </c>
      <c r="M1234" s="3" t="s">
        <v>2272</v>
      </c>
      <c r="N1234" s="3" t="s">
        <v>2272</v>
      </c>
      <c r="O1234" s="3" t="s">
        <v>2272</v>
      </c>
      <c r="P1234" s="3" t="s">
        <v>2272</v>
      </c>
      <c r="Q1234" s="3" t="s">
        <v>2272</v>
      </c>
      <c r="R1234" s="3" t="s">
        <v>2272</v>
      </c>
      <c r="S1234" s="3" t="s">
        <v>2272</v>
      </c>
      <c r="T1234" s="3" t="s">
        <v>2272</v>
      </c>
      <c r="U1234" s="3" t="s">
        <v>2272</v>
      </c>
      <c r="V1234" s="3" t="s">
        <v>2272</v>
      </c>
      <c r="W1234" s="3" t="s">
        <v>2272</v>
      </c>
      <c r="X1234" s="3" t="s">
        <v>2272</v>
      </c>
      <c r="Y1234" s="3" t="s">
        <v>2272</v>
      </c>
      <c r="Z1234" s="3" t="s">
        <v>2272</v>
      </c>
      <c r="AA1234" s="3" t="s">
        <v>2272</v>
      </c>
      <c r="AB1234" s="158"/>
      <c r="AC1234" s="3"/>
    </row>
    <row r="1235" spans="1:29"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2272</v>
      </c>
      <c r="K1235" s="198" t="s">
        <v>2272</v>
      </c>
      <c r="L1235" s="3" t="s">
        <v>2272</v>
      </c>
      <c r="M1235" s="3" t="s">
        <v>2272</v>
      </c>
      <c r="N1235" s="3" t="s">
        <v>2272</v>
      </c>
      <c r="O1235" s="3" t="s">
        <v>2272</v>
      </c>
      <c r="P1235" s="3" t="s">
        <v>2272</v>
      </c>
      <c r="Q1235" s="3" t="s">
        <v>2272</v>
      </c>
      <c r="R1235" s="3" t="s">
        <v>2272</v>
      </c>
      <c r="S1235" s="3" t="s">
        <v>2272</v>
      </c>
      <c r="T1235" s="3" t="s">
        <v>2272</v>
      </c>
      <c r="U1235" s="3" t="s">
        <v>2272</v>
      </c>
      <c r="V1235" s="3" t="s">
        <v>2272</v>
      </c>
      <c r="W1235" s="3" t="s">
        <v>2272</v>
      </c>
      <c r="X1235" s="3" t="s">
        <v>2272</v>
      </c>
      <c r="Y1235" s="3" t="s">
        <v>2272</v>
      </c>
      <c r="Z1235" s="3" t="s">
        <v>2272</v>
      </c>
      <c r="AA1235" s="3" t="s">
        <v>2272</v>
      </c>
      <c r="AB1235" s="158"/>
      <c r="AC1235" s="3"/>
    </row>
    <row r="1236" spans="1:29"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2272</v>
      </c>
      <c r="K1236" s="198" t="s">
        <v>2272</v>
      </c>
      <c r="L1236" s="3" t="s">
        <v>2272</v>
      </c>
      <c r="M1236" s="3" t="s">
        <v>2272</v>
      </c>
      <c r="N1236" s="3" t="s">
        <v>2272</v>
      </c>
      <c r="O1236" s="3" t="s">
        <v>2272</v>
      </c>
      <c r="P1236" s="3" t="s">
        <v>2272</v>
      </c>
      <c r="Q1236" s="3" t="s">
        <v>2272</v>
      </c>
      <c r="R1236" s="3" t="s">
        <v>2272</v>
      </c>
      <c r="S1236" s="3" t="s">
        <v>2272</v>
      </c>
      <c r="T1236" s="3" t="s">
        <v>2272</v>
      </c>
      <c r="U1236" s="3" t="s">
        <v>2272</v>
      </c>
      <c r="V1236" s="3" t="s">
        <v>2272</v>
      </c>
      <c r="W1236" s="3" t="s">
        <v>2272</v>
      </c>
      <c r="X1236" s="3" t="s">
        <v>2272</v>
      </c>
      <c r="Y1236" s="3" t="s">
        <v>2272</v>
      </c>
      <c r="Z1236" s="3" t="s">
        <v>2272</v>
      </c>
      <c r="AA1236" s="3" t="s">
        <v>2272</v>
      </c>
      <c r="AB1236" s="158"/>
      <c r="AC1236" s="3"/>
    </row>
    <row r="1237" spans="1:29"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2272</v>
      </c>
      <c r="K1237" s="198" t="s">
        <v>2272</v>
      </c>
      <c r="L1237" s="3" t="s">
        <v>2272</v>
      </c>
      <c r="M1237" s="3" t="s">
        <v>2272</v>
      </c>
      <c r="N1237" s="3" t="s">
        <v>2272</v>
      </c>
      <c r="O1237" s="3" t="s">
        <v>2272</v>
      </c>
      <c r="P1237" s="3" t="s">
        <v>2272</v>
      </c>
      <c r="Q1237" s="3" t="s">
        <v>2272</v>
      </c>
      <c r="R1237" s="3" t="s">
        <v>2272</v>
      </c>
      <c r="S1237" s="3" t="s">
        <v>2272</v>
      </c>
      <c r="T1237" s="3" t="s">
        <v>2272</v>
      </c>
      <c r="U1237" s="3" t="s">
        <v>2272</v>
      </c>
      <c r="V1237" s="3" t="s">
        <v>2272</v>
      </c>
      <c r="W1237" s="3" t="s">
        <v>2272</v>
      </c>
      <c r="X1237" s="3" t="s">
        <v>2272</v>
      </c>
      <c r="Y1237" s="3" t="s">
        <v>2272</v>
      </c>
      <c r="Z1237" s="3" t="s">
        <v>2272</v>
      </c>
      <c r="AA1237" s="3" t="s">
        <v>2272</v>
      </c>
      <c r="AB1237" s="158"/>
      <c r="AC1237" s="3"/>
    </row>
    <row r="1238" spans="1:29"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ND</v>
      </c>
      <c r="H1238" s="6" t="str">
        <f>'Reported burning'!H1238</f>
        <v>Presence</v>
      </c>
      <c r="I1238" s="3">
        <v>2000</v>
      </c>
      <c r="J1238" s="3" t="s">
        <v>2272</v>
      </c>
      <c r="K1238" s="198" t="s">
        <v>2272</v>
      </c>
      <c r="L1238" s="3" t="s">
        <v>2272</v>
      </c>
      <c r="M1238" s="3" t="s">
        <v>2272</v>
      </c>
      <c r="N1238" s="3" t="s">
        <v>2272</v>
      </c>
      <c r="O1238" s="3" t="s">
        <v>2272</v>
      </c>
      <c r="P1238" s="3" t="s">
        <v>2272</v>
      </c>
      <c r="Q1238" s="3" t="s">
        <v>2272</v>
      </c>
      <c r="R1238" s="3" t="s">
        <v>2272</v>
      </c>
      <c r="S1238" s="3" t="s">
        <v>2272</v>
      </c>
      <c r="T1238" s="3" t="s">
        <v>2272</v>
      </c>
      <c r="U1238" s="3" t="s">
        <v>2272</v>
      </c>
      <c r="V1238" s="3" t="s">
        <v>2272</v>
      </c>
      <c r="W1238" s="3" t="s">
        <v>2371</v>
      </c>
      <c r="X1238" s="3" t="s">
        <v>2396</v>
      </c>
      <c r="Y1238" s="3" t="s">
        <v>37</v>
      </c>
      <c r="Z1238" s="3" t="s">
        <v>67</v>
      </c>
      <c r="AA1238" s="3" t="s">
        <v>75</v>
      </c>
      <c r="AB1238" s="4" t="s">
        <v>3728</v>
      </c>
      <c r="AC1238" s="4" t="s">
        <v>3730</v>
      </c>
    </row>
    <row r="1239" spans="1:29"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ND</v>
      </c>
      <c r="H1239" s="6" t="str">
        <f>'Reported burning'!H1239</f>
        <v>Presence</v>
      </c>
      <c r="I1239" s="3">
        <v>2006</v>
      </c>
      <c r="J1239" s="3" t="s">
        <v>2272</v>
      </c>
      <c r="K1239" s="198" t="s">
        <v>2272</v>
      </c>
      <c r="L1239" s="3" t="s">
        <v>2272</v>
      </c>
      <c r="M1239" s="3" t="s">
        <v>2272</v>
      </c>
      <c r="N1239" s="3" t="s">
        <v>2272</v>
      </c>
      <c r="O1239" s="3" t="s">
        <v>2272</v>
      </c>
      <c r="P1239" s="3" t="s">
        <v>2272</v>
      </c>
      <c r="Q1239" s="3" t="s">
        <v>2272</v>
      </c>
      <c r="R1239" s="3" t="s">
        <v>2272</v>
      </c>
      <c r="S1239" s="3" t="s">
        <v>2272</v>
      </c>
      <c r="T1239" s="3" t="s">
        <v>2272</v>
      </c>
      <c r="U1239" s="3" t="s">
        <v>2272</v>
      </c>
      <c r="V1239" s="3" t="s">
        <v>2272</v>
      </c>
      <c r="W1239" s="3" t="s">
        <v>2371</v>
      </c>
      <c r="X1239" s="3" t="s">
        <v>2397</v>
      </c>
      <c r="Y1239" s="3" t="s">
        <v>37</v>
      </c>
      <c r="Z1239" s="3" t="s">
        <v>67</v>
      </c>
      <c r="AA1239" s="3" t="s">
        <v>2650</v>
      </c>
      <c r="AB1239" s="3" t="s">
        <v>3729</v>
      </c>
      <c r="AC1239" s="4" t="s">
        <v>3731</v>
      </c>
    </row>
    <row r="1240" spans="1:29"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2272</v>
      </c>
      <c r="K1240" s="198" t="s">
        <v>2272</v>
      </c>
      <c r="L1240" s="3" t="s">
        <v>2272</v>
      </c>
      <c r="M1240" s="3" t="s">
        <v>2272</v>
      </c>
      <c r="N1240" s="3" t="s">
        <v>2272</v>
      </c>
      <c r="O1240" s="3" t="s">
        <v>2372</v>
      </c>
      <c r="P1240" s="3" t="s">
        <v>2272</v>
      </c>
      <c r="Q1240" s="3" t="s">
        <v>2272</v>
      </c>
      <c r="R1240" s="3" t="s">
        <v>2272</v>
      </c>
      <c r="S1240" s="3" t="s">
        <v>2272</v>
      </c>
      <c r="T1240" s="3" t="s">
        <v>2272</v>
      </c>
      <c r="U1240" s="3" t="s">
        <v>2272</v>
      </c>
      <c r="V1240" s="3" t="s">
        <v>2272</v>
      </c>
      <c r="W1240" s="3" t="s">
        <v>2272</v>
      </c>
      <c r="X1240" s="3" t="s">
        <v>2272</v>
      </c>
      <c r="Y1240" s="3" t="s">
        <v>67</v>
      </c>
      <c r="Z1240" s="3" t="s">
        <v>186</v>
      </c>
      <c r="AA1240" s="3" t="s">
        <v>75</v>
      </c>
      <c r="AB1240" s="4"/>
      <c r="AC1240" s="3"/>
    </row>
    <row r="1241" spans="1:29"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2272</v>
      </c>
      <c r="K1241" s="198" t="s">
        <v>2272</v>
      </c>
      <c r="L1241" s="3" t="s">
        <v>2272</v>
      </c>
      <c r="M1241" s="3" t="s">
        <v>2272</v>
      </c>
      <c r="N1241" s="3" t="s">
        <v>2272</v>
      </c>
      <c r="O1241" s="3" t="s">
        <v>2372</v>
      </c>
      <c r="P1241" s="3" t="s">
        <v>2272</v>
      </c>
      <c r="Q1241" s="3" t="s">
        <v>2272</v>
      </c>
      <c r="R1241" s="3" t="s">
        <v>2272</v>
      </c>
      <c r="S1241" s="3" t="s">
        <v>2272</v>
      </c>
      <c r="T1241" s="3" t="s">
        <v>2272</v>
      </c>
      <c r="U1241" s="3" t="s">
        <v>2272</v>
      </c>
      <c r="V1241" s="3" t="s">
        <v>2272</v>
      </c>
      <c r="W1241" s="3" t="s">
        <v>2272</v>
      </c>
      <c r="X1241" s="3" t="s">
        <v>2272</v>
      </c>
      <c r="Y1241" s="3" t="s">
        <v>67</v>
      </c>
      <c r="Z1241" s="3" t="s">
        <v>186</v>
      </c>
      <c r="AA1241" s="3" t="s">
        <v>75</v>
      </c>
      <c r="AB1241" s="4" t="s">
        <v>3740</v>
      </c>
      <c r="AC1241" s="3"/>
    </row>
    <row r="1242" spans="1:29"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2365</v>
      </c>
      <c r="K1242" s="198" t="s">
        <v>2272</v>
      </c>
      <c r="L1242" s="3" t="s">
        <v>2272</v>
      </c>
      <c r="M1242" s="3" t="s">
        <v>2272</v>
      </c>
      <c r="N1242" s="3" t="s">
        <v>2272</v>
      </c>
      <c r="O1242" s="3" t="s">
        <v>2372</v>
      </c>
      <c r="P1242" s="3" t="s">
        <v>2272</v>
      </c>
      <c r="Q1242" s="3" t="s">
        <v>2272</v>
      </c>
      <c r="R1242" s="3" t="s">
        <v>2272</v>
      </c>
      <c r="S1242" s="3" t="s">
        <v>2272</v>
      </c>
      <c r="T1242" s="3" t="s">
        <v>2272</v>
      </c>
      <c r="U1242" s="3" t="s">
        <v>2371</v>
      </c>
      <c r="V1242" s="3" t="s">
        <v>2272</v>
      </c>
      <c r="W1242" s="3" t="s">
        <v>2272</v>
      </c>
      <c r="X1242" s="3" t="s">
        <v>2272</v>
      </c>
      <c r="Y1242" s="3" t="s">
        <v>67</v>
      </c>
      <c r="Z1242" s="3" t="s">
        <v>186</v>
      </c>
      <c r="AA1242" s="3" t="s">
        <v>75</v>
      </c>
      <c r="AB1242" s="4" t="s">
        <v>3739</v>
      </c>
      <c r="AC1242" s="4" t="s">
        <v>4999</v>
      </c>
    </row>
    <row r="1243" spans="1:29"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198">
        <v>0</v>
      </c>
      <c r="L1243" s="3">
        <v>0</v>
      </c>
      <c r="M1243" s="3">
        <v>0</v>
      </c>
      <c r="N1243" s="3">
        <v>0</v>
      </c>
      <c r="O1243" s="3">
        <v>0</v>
      </c>
      <c r="P1243" s="3">
        <v>0</v>
      </c>
      <c r="Q1243" s="3">
        <v>0</v>
      </c>
      <c r="R1243" s="3">
        <v>0</v>
      </c>
      <c r="S1243" s="3">
        <v>0</v>
      </c>
      <c r="T1243" s="3">
        <v>0</v>
      </c>
      <c r="U1243" s="3">
        <v>0</v>
      </c>
      <c r="V1243" s="3">
        <v>0</v>
      </c>
      <c r="W1243" s="3">
        <v>0</v>
      </c>
      <c r="X1243" s="3" t="s">
        <v>2272</v>
      </c>
      <c r="Y1243" s="3" t="s">
        <v>2272</v>
      </c>
      <c r="Z1243" s="3" t="s">
        <v>2272</v>
      </c>
      <c r="AA1243" s="3" t="s">
        <v>2272</v>
      </c>
      <c r="AB1243" s="4" t="s">
        <v>3741</v>
      </c>
      <c r="AC1243" s="3"/>
    </row>
    <row r="1244" spans="1:29" ht="42.5" customHeight="1">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198">
        <v>0</v>
      </c>
      <c r="L1244" s="3">
        <v>0</v>
      </c>
      <c r="M1244" s="3">
        <v>0</v>
      </c>
      <c r="N1244" s="3">
        <v>0</v>
      </c>
      <c r="O1244" s="3">
        <v>0</v>
      </c>
      <c r="P1244" s="3">
        <v>0</v>
      </c>
      <c r="Q1244" s="3">
        <v>0</v>
      </c>
      <c r="R1244" s="3">
        <v>0</v>
      </c>
      <c r="S1244" s="3">
        <v>0</v>
      </c>
      <c r="T1244" s="3">
        <v>0</v>
      </c>
      <c r="U1244" s="3">
        <v>0</v>
      </c>
      <c r="V1244" s="3">
        <v>0</v>
      </c>
      <c r="W1244" s="3">
        <v>0</v>
      </c>
      <c r="X1244" s="3" t="s">
        <v>2272</v>
      </c>
      <c r="Y1244" s="3" t="s">
        <v>2272</v>
      </c>
      <c r="Z1244" s="3" t="s">
        <v>2272</v>
      </c>
      <c r="AA1244" s="3" t="s">
        <v>2272</v>
      </c>
      <c r="AB1244" s="4" t="s">
        <v>3742</v>
      </c>
      <c r="AC1244" s="3"/>
    </row>
    <row r="1245" spans="1:29"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198">
        <v>0</v>
      </c>
      <c r="L1245" s="3">
        <v>0</v>
      </c>
      <c r="M1245" s="3">
        <v>0</v>
      </c>
      <c r="N1245" s="3">
        <v>0</v>
      </c>
      <c r="O1245" s="3">
        <v>0</v>
      </c>
      <c r="P1245" s="3">
        <v>0</v>
      </c>
      <c r="Q1245" s="3">
        <v>0</v>
      </c>
      <c r="R1245" s="3">
        <v>0</v>
      </c>
      <c r="S1245" s="3">
        <v>0</v>
      </c>
      <c r="T1245" s="3">
        <v>0</v>
      </c>
      <c r="U1245" s="3">
        <v>0</v>
      </c>
      <c r="V1245" s="3">
        <v>0</v>
      </c>
      <c r="W1245" s="3">
        <v>0</v>
      </c>
      <c r="X1245" s="3" t="s">
        <v>2272</v>
      </c>
      <c r="Y1245" s="3" t="s">
        <v>2272</v>
      </c>
      <c r="Z1245" s="3" t="s">
        <v>2272</v>
      </c>
      <c r="AA1245" s="3" t="s">
        <v>2272</v>
      </c>
      <c r="AB1245" s="3"/>
      <c r="AC1245" s="3"/>
    </row>
    <row r="1246" spans="1:29"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198">
        <v>0</v>
      </c>
      <c r="L1246" s="3">
        <v>0</v>
      </c>
      <c r="M1246" s="3">
        <v>0</v>
      </c>
      <c r="N1246" s="3">
        <v>0</v>
      </c>
      <c r="O1246" s="3">
        <v>0</v>
      </c>
      <c r="P1246" s="3">
        <v>0</v>
      </c>
      <c r="Q1246" s="3">
        <v>0</v>
      </c>
      <c r="R1246" s="3">
        <v>0</v>
      </c>
      <c r="S1246" s="3">
        <v>0</v>
      </c>
      <c r="T1246" s="3">
        <v>0</v>
      </c>
      <c r="U1246" s="3">
        <v>0</v>
      </c>
      <c r="V1246" s="3">
        <v>0</v>
      </c>
      <c r="W1246" s="3">
        <v>0</v>
      </c>
      <c r="X1246" s="3" t="s">
        <v>2272</v>
      </c>
      <c r="Y1246" s="3" t="s">
        <v>2272</v>
      </c>
      <c r="Z1246" s="3" t="s">
        <v>2272</v>
      </c>
      <c r="AA1246" s="3" t="s">
        <v>2272</v>
      </c>
      <c r="AB1246" s="3"/>
      <c r="AC1246" s="3"/>
    </row>
    <row r="1247" spans="1:29"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198">
        <v>0</v>
      </c>
      <c r="L1247" s="3">
        <v>0</v>
      </c>
      <c r="M1247" s="3">
        <v>0</v>
      </c>
      <c r="N1247" s="3">
        <v>0</v>
      </c>
      <c r="O1247" s="3">
        <v>0</v>
      </c>
      <c r="P1247" s="3">
        <v>0</v>
      </c>
      <c r="Q1247" s="3">
        <v>0</v>
      </c>
      <c r="R1247" s="3">
        <v>0</v>
      </c>
      <c r="S1247" s="3">
        <v>0</v>
      </c>
      <c r="T1247" s="3">
        <v>0</v>
      </c>
      <c r="U1247" s="3">
        <v>0</v>
      </c>
      <c r="V1247" s="3">
        <v>0</v>
      </c>
      <c r="W1247" s="3">
        <v>0</v>
      </c>
      <c r="X1247" s="3" t="s">
        <v>2272</v>
      </c>
      <c r="Y1247" s="3" t="s">
        <v>2272</v>
      </c>
      <c r="Z1247" s="3" t="s">
        <v>2272</v>
      </c>
      <c r="AA1247" s="3" t="s">
        <v>2272</v>
      </c>
      <c r="AB1247" s="3"/>
      <c r="AC1247" s="3"/>
    </row>
    <row r="1248" spans="1:29"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198">
        <v>0</v>
      </c>
      <c r="L1248" s="3">
        <v>0</v>
      </c>
      <c r="M1248" s="3">
        <v>0</v>
      </c>
      <c r="N1248" s="3">
        <v>0</v>
      </c>
      <c r="O1248" s="3">
        <v>0</v>
      </c>
      <c r="P1248" s="3">
        <v>0</v>
      </c>
      <c r="Q1248" s="3">
        <v>0</v>
      </c>
      <c r="R1248" s="3">
        <v>0</v>
      </c>
      <c r="S1248" s="3">
        <v>0</v>
      </c>
      <c r="T1248" s="3">
        <v>0</v>
      </c>
      <c r="U1248" s="3">
        <v>0</v>
      </c>
      <c r="V1248" s="3">
        <v>0</v>
      </c>
      <c r="W1248" s="3">
        <v>0</v>
      </c>
      <c r="X1248" s="3" t="s">
        <v>2272</v>
      </c>
      <c r="Y1248" s="3" t="s">
        <v>2272</v>
      </c>
      <c r="Z1248" s="3" t="s">
        <v>2272</v>
      </c>
      <c r="AA1248" s="3" t="s">
        <v>2272</v>
      </c>
      <c r="AB1248" s="3"/>
      <c r="AC1248" s="3"/>
    </row>
    <row r="1249" spans="1:29"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198">
        <v>0</v>
      </c>
      <c r="L1249" s="3">
        <v>0</v>
      </c>
      <c r="M1249" s="3">
        <v>0</v>
      </c>
      <c r="N1249" s="3">
        <v>0</v>
      </c>
      <c r="O1249" s="3">
        <v>0</v>
      </c>
      <c r="P1249" s="3">
        <v>0</v>
      </c>
      <c r="Q1249" s="3">
        <v>0</v>
      </c>
      <c r="R1249" s="3">
        <v>0</v>
      </c>
      <c r="S1249" s="3">
        <v>0</v>
      </c>
      <c r="T1249" s="3">
        <v>0</v>
      </c>
      <c r="U1249" s="3">
        <v>0</v>
      </c>
      <c r="V1249" s="3">
        <v>0</v>
      </c>
      <c r="W1249" s="3">
        <v>0</v>
      </c>
      <c r="X1249" s="3" t="s">
        <v>2272</v>
      </c>
      <c r="Y1249" s="3" t="s">
        <v>2272</v>
      </c>
      <c r="Z1249" s="3" t="s">
        <v>2272</v>
      </c>
      <c r="AA1249" s="3" t="s">
        <v>2272</v>
      </c>
      <c r="AB1249" s="3"/>
      <c r="AC1249" s="3"/>
    </row>
    <row r="1250" spans="1:29"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198">
        <v>0</v>
      </c>
      <c r="L1250" s="3">
        <v>0</v>
      </c>
      <c r="M1250" s="3">
        <v>0</v>
      </c>
      <c r="N1250" s="3">
        <v>0</v>
      </c>
      <c r="O1250" s="3">
        <v>0</v>
      </c>
      <c r="P1250" s="3">
        <v>0</v>
      </c>
      <c r="Q1250" s="3">
        <v>0</v>
      </c>
      <c r="R1250" s="3">
        <v>0</v>
      </c>
      <c r="S1250" s="3">
        <v>0</v>
      </c>
      <c r="T1250" s="3">
        <v>0</v>
      </c>
      <c r="U1250" s="3">
        <v>0</v>
      </c>
      <c r="V1250" s="3">
        <v>0</v>
      </c>
      <c r="W1250" s="3">
        <v>0</v>
      </c>
      <c r="X1250" s="3" t="s">
        <v>2272</v>
      </c>
      <c r="Y1250" s="3" t="s">
        <v>2272</v>
      </c>
      <c r="Z1250" s="3" t="s">
        <v>2272</v>
      </c>
      <c r="AA1250" s="3" t="s">
        <v>2272</v>
      </c>
      <c r="AB1250" s="3"/>
      <c r="AC1250" s="3"/>
    </row>
    <row r="1251" spans="1:29"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2272</v>
      </c>
      <c r="K1251" s="198" t="s">
        <v>2272</v>
      </c>
      <c r="L1251" s="3" t="s">
        <v>2272</v>
      </c>
      <c r="M1251" s="3" t="s">
        <v>2272</v>
      </c>
      <c r="N1251" s="3" t="s">
        <v>2272</v>
      </c>
      <c r="O1251" s="3" t="s">
        <v>2272</v>
      </c>
      <c r="P1251" s="3" t="s">
        <v>2272</v>
      </c>
      <c r="Q1251" s="3" t="s">
        <v>2272</v>
      </c>
      <c r="R1251" s="3" t="s">
        <v>2272</v>
      </c>
      <c r="S1251" s="3" t="s">
        <v>2272</v>
      </c>
      <c r="T1251" s="3" t="s">
        <v>2272</v>
      </c>
      <c r="U1251" s="3" t="s">
        <v>2272</v>
      </c>
      <c r="V1251" s="3" t="s">
        <v>2272</v>
      </c>
      <c r="W1251" s="3" t="s">
        <v>2272</v>
      </c>
      <c r="X1251" s="3" t="s">
        <v>2272</v>
      </c>
      <c r="Y1251" s="3" t="s">
        <v>2272</v>
      </c>
      <c r="Z1251" s="3" t="s">
        <v>2272</v>
      </c>
      <c r="AA1251" s="3" t="s">
        <v>2272</v>
      </c>
      <c r="AB1251" s="3"/>
      <c r="AC1251" s="3"/>
    </row>
    <row r="1252" spans="1:29"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2272</v>
      </c>
      <c r="K1252" s="198" t="s">
        <v>2272</v>
      </c>
      <c r="L1252" s="3" t="s">
        <v>2272</v>
      </c>
      <c r="M1252" s="3" t="s">
        <v>2272</v>
      </c>
      <c r="N1252" s="3" t="s">
        <v>2272</v>
      </c>
      <c r="O1252" s="3" t="s">
        <v>2272</v>
      </c>
      <c r="P1252" s="3" t="s">
        <v>2272</v>
      </c>
      <c r="Q1252" s="3" t="s">
        <v>2272</v>
      </c>
      <c r="R1252" s="3" t="s">
        <v>2272</v>
      </c>
      <c r="S1252" s="3" t="s">
        <v>2272</v>
      </c>
      <c r="T1252" s="3" t="s">
        <v>2272</v>
      </c>
      <c r="U1252" s="3" t="s">
        <v>2272</v>
      </c>
      <c r="V1252" s="3" t="s">
        <v>2272</v>
      </c>
      <c r="W1252" s="3" t="s">
        <v>2272</v>
      </c>
      <c r="X1252" s="3" t="s">
        <v>2272</v>
      </c>
      <c r="Y1252" s="3" t="s">
        <v>2272</v>
      </c>
      <c r="Z1252" s="3" t="s">
        <v>2272</v>
      </c>
      <c r="AA1252" s="3" t="s">
        <v>2272</v>
      </c>
      <c r="AB1252" s="3"/>
      <c r="AC1252" s="3"/>
    </row>
    <row r="1253" spans="1:29"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2272</v>
      </c>
      <c r="K1253" s="198" t="s">
        <v>2272</v>
      </c>
      <c r="L1253" s="3" t="s">
        <v>2272</v>
      </c>
      <c r="M1253" s="3" t="s">
        <v>2272</v>
      </c>
      <c r="N1253" s="3" t="s">
        <v>2272</v>
      </c>
      <c r="O1253" s="3" t="s">
        <v>2272</v>
      </c>
      <c r="P1253" s="3" t="s">
        <v>2272</v>
      </c>
      <c r="Q1253" s="3" t="s">
        <v>2272</v>
      </c>
      <c r="R1253" s="3" t="s">
        <v>2272</v>
      </c>
      <c r="S1253" s="3" t="s">
        <v>2272</v>
      </c>
      <c r="T1253" s="3" t="s">
        <v>2272</v>
      </c>
      <c r="U1253" s="3" t="s">
        <v>2272</v>
      </c>
      <c r="V1253" s="3" t="s">
        <v>2272</v>
      </c>
      <c r="W1253" s="3" t="s">
        <v>2272</v>
      </c>
      <c r="X1253" s="3" t="s">
        <v>2396</v>
      </c>
      <c r="Y1253" s="3" t="s">
        <v>2272</v>
      </c>
      <c r="Z1253" s="3" t="s">
        <v>2272</v>
      </c>
      <c r="AA1253" s="3" t="s">
        <v>2272</v>
      </c>
      <c r="AB1253" s="4"/>
      <c r="AC1253" s="4" t="s">
        <v>3772</v>
      </c>
    </row>
    <row r="1254" spans="1:29"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2272</v>
      </c>
      <c r="K1254" s="198" t="s">
        <v>2272</v>
      </c>
      <c r="L1254" s="3" t="s">
        <v>2272</v>
      </c>
      <c r="M1254" s="3" t="s">
        <v>2272</v>
      </c>
      <c r="N1254" s="3" t="s">
        <v>2272</v>
      </c>
      <c r="O1254" s="3" t="s">
        <v>2272</v>
      </c>
      <c r="P1254" s="3" t="s">
        <v>2272</v>
      </c>
      <c r="Q1254" s="3" t="s">
        <v>2272</v>
      </c>
      <c r="R1254" s="3" t="s">
        <v>2272</v>
      </c>
      <c r="S1254" s="3" t="s">
        <v>2272</v>
      </c>
      <c r="T1254" s="3" t="s">
        <v>2272</v>
      </c>
      <c r="U1254" s="3" t="s">
        <v>2272</v>
      </c>
      <c r="V1254" s="3" t="s">
        <v>2272</v>
      </c>
      <c r="W1254" s="3" t="s">
        <v>2272</v>
      </c>
      <c r="X1254" s="3" t="s">
        <v>2272</v>
      </c>
      <c r="Y1254" s="3" t="s">
        <v>2272</v>
      </c>
      <c r="Z1254" s="3" t="s">
        <v>2272</v>
      </c>
      <c r="AA1254" s="3" t="s">
        <v>2272</v>
      </c>
      <c r="AB1254" s="4" t="s">
        <v>3773</v>
      </c>
      <c r="AC1254" s="3"/>
    </row>
    <row r="1255" spans="1:29"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2272</v>
      </c>
      <c r="K1255" s="198" t="s">
        <v>2272</v>
      </c>
      <c r="L1255" s="3" t="s">
        <v>2272</v>
      </c>
      <c r="M1255" s="3" t="s">
        <v>2272</v>
      </c>
      <c r="N1255" s="3" t="s">
        <v>2272</v>
      </c>
      <c r="O1255" s="3" t="s">
        <v>2272</v>
      </c>
      <c r="P1255" s="3" t="s">
        <v>2272</v>
      </c>
      <c r="Q1255" s="3" t="s">
        <v>2272</v>
      </c>
      <c r="R1255" s="3" t="s">
        <v>2272</v>
      </c>
      <c r="S1255" s="3" t="s">
        <v>2272</v>
      </c>
      <c r="T1255" s="3" t="s">
        <v>2272</v>
      </c>
      <c r="U1255" s="3" t="s">
        <v>2272</v>
      </c>
      <c r="V1255" s="3" t="s">
        <v>2272</v>
      </c>
      <c r="W1255" s="3" t="s">
        <v>2272</v>
      </c>
      <c r="X1255" s="3" t="s">
        <v>2272</v>
      </c>
      <c r="Y1255" s="3" t="s">
        <v>2272</v>
      </c>
      <c r="Z1255" s="3" t="s">
        <v>2272</v>
      </c>
      <c r="AA1255" s="3" t="s">
        <v>2272</v>
      </c>
      <c r="AB1255" s="4" t="s">
        <v>3774</v>
      </c>
      <c r="AC1255" s="3"/>
    </row>
    <row r="1256" spans="1:29"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2272</v>
      </c>
      <c r="K1256" s="198" t="s">
        <v>2272</v>
      </c>
      <c r="L1256" s="3" t="s">
        <v>2272</v>
      </c>
      <c r="M1256" s="3" t="s">
        <v>2272</v>
      </c>
      <c r="N1256" s="3" t="s">
        <v>2272</v>
      </c>
      <c r="O1256" s="3" t="s">
        <v>2272</v>
      </c>
      <c r="P1256" s="3" t="s">
        <v>2272</v>
      </c>
      <c r="Q1256" s="3" t="s">
        <v>2272</v>
      </c>
      <c r="R1256" s="3" t="s">
        <v>2272</v>
      </c>
      <c r="S1256" s="3" t="s">
        <v>2272</v>
      </c>
      <c r="T1256" s="3" t="s">
        <v>2272</v>
      </c>
      <c r="U1256" s="3" t="s">
        <v>2272</v>
      </c>
      <c r="V1256" s="3" t="s">
        <v>2272</v>
      </c>
      <c r="W1256" s="3" t="s">
        <v>2272</v>
      </c>
      <c r="X1256" s="3" t="s">
        <v>2272</v>
      </c>
      <c r="Y1256" s="3" t="s">
        <v>397</v>
      </c>
      <c r="Z1256" s="3" t="s">
        <v>125</v>
      </c>
      <c r="AA1256" s="3" t="s">
        <v>2308</v>
      </c>
      <c r="AB1256" s="4" t="s">
        <v>3782</v>
      </c>
      <c r="AC1256" s="3"/>
    </row>
    <row r="1257" spans="1:29"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2272</v>
      </c>
      <c r="K1257" s="198" t="s">
        <v>2272</v>
      </c>
      <c r="L1257" s="3" t="s">
        <v>2272</v>
      </c>
      <c r="M1257" s="3" t="s">
        <v>2272</v>
      </c>
      <c r="N1257" s="3" t="s">
        <v>2272</v>
      </c>
      <c r="O1257" s="3" t="s">
        <v>2272</v>
      </c>
      <c r="P1257" s="3" t="s">
        <v>2272</v>
      </c>
      <c r="Q1257" s="3" t="s">
        <v>2272</v>
      </c>
      <c r="R1257" s="3" t="s">
        <v>2272</v>
      </c>
      <c r="S1257" s="3" t="s">
        <v>2272</v>
      </c>
      <c r="T1257" s="3" t="s">
        <v>2272</v>
      </c>
      <c r="U1257" s="3" t="s">
        <v>2272</v>
      </c>
      <c r="V1257" s="3" t="s">
        <v>2272</v>
      </c>
      <c r="W1257" s="3" t="s">
        <v>2272</v>
      </c>
      <c r="X1257" s="3" t="s">
        <v>2272</v>
      </c>
      <c r="Y1257" s="3" t="s">
        <v>2272</v>
      </c>
      <c r="Z1257" s="3" t="s">
        <v>2272</v>
      </c>
      <c r="AA1257" s="3" t="s">
        <v>2272</v>
      </c>
      <c r="AB1257" s="4"/>
      <c r="AC1257" s="3"/>
    </row>
    <row r="1258" spans="1:29"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2272</v>
      </c>
      <c r="K1258" s="198" t="s">
        <v>2272</v>
      </c>
      <c r="L1258" s="3" t="s">
        <v>2272</v>
      </c>
      <c r="M1258" s="3" t="s">
        <v>2272</v>
      </c>
      <c r="N1258" s="3" t="s">
        <v>2272</v>
      </c>
      <c r="O1258" s="3" t="s">
        <v>2272</v>
      </c>
      <c r="P1258" s="3" t="s">
        <v>2272</v>
      </c>
      <c r="Q1258" s="3" t="s">
        <v>2272</v>
      </c>
      <c r="R1258" s="3" t="s">
        <v>2272</v>
      </c>
      <c r="S1258" s="3" t="s">
        <v>2272</v>
      </c>
      <c r="T1258" s="3" t="s">
        <v>2272</v>
      </c>
      <c r="U1258" s="3" t="s">
        <v>2272</v>
      </c>
      <c r="V1258" s="3" t="s">
        <v>2272</v>
      </c>
      <c r="W1258" s="3" t="s">
        <v>2272</v>
      </c>
      <c r="X1258" s="3" t="s">
        <v>2272</v>
      </c>
      <c r="Y1258" s="3" t="s">
        <v>2272</v>
      </c>
      <c r="Z1258" s="3" t="s">
        <v>2272</v>
      </c>
      <c r="AA1258" s="3" t="s">
        <v>2272</v>
      </c>
      <c r="AB1258" s="4"/>
      <c r="AC1258" s="3"/>
    </row>
    <row r="1259" spans="1:29"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2272</v>
      </c>
      <c r="K1259" s="198" t="s">
        <v>2272</v>
      </c>
      <c r="L1259" s="3" t="s">
        <v>2272</v>
      </c>
      <c r="M1259" s="3" t="s">
        <v>2272</v>
      </c>
      <c r="N1259" s="3" t="s">
        <v>2272</v>
      </c>
      <c r="O1259" s="3" t="s">
        <v>2272</v>
      </c>
      <c r="P1259" s="3" t="s">
        <v>2272</v>
      </c>
      <c r="Q1259" s="3" t="s">
        <v>2272</v>
      </c>
      <c r="R1259" s="3" t="s">
        <v>2272</v>
      </c>
      <c r="S1259" s="3" t="s">
        <v>2272</v>
      </c>
      <c r="T1259" s="3" t="s">
        <v>2272</v>
      </c>
      <c r="U1259" s="3" t="s">
        <v>2272</v>
      </c>
      <c r="V1259" s="3" t="s">
        <v>2272</v>
      </c>
      <c r="W1259" s="3" t="s">
        <v>2272</v>
      </c>
      <c r="X1259" s="3" t="s">
        <v>2272</v>
      </c>
      <c r="Y1259" s="3" t="s">
        <v>33</v>
      </c>
      <c r="Z1259" s="3" t="s">
        <v>403</v>
      </c>
      <c r="AA1259" s="3" t="s">
        <v>63</v>
      </c>
      <c r="AB1259" s="4" t="s">
        <v>3786</v>
      </c>
      <c r="AC1259" s="3"/>
    </row>
    <row r="1260" spans="1:29"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2272</v>
      </c>
      <c r="K1260" s="198" t="s">
        <v>2272</v>
      </c>
      <c r="L1260" s="3" t="s">
        <v>2272</v>
      </c>
      <c r="M1260" s="3" t="s">
        <v>2272</v>
      </c>
      <c r="N1260" s="3" t="s">
        <v>2272</v>
      </c>
      <c r="O1260" s="3" t="s">
        <v>2272</v>
      </c>
      <c r="P1260" s="3" t="s">
        <v>2272</v>
      </c>
      <c r="Q1260" s="3" t="s">
        <v>2272</v>
      </c>
      <c r="R1260" s="3" t="s">
        <v>2272</v>
      </c>
      <c r="S1260" s="3" t="s">
        <v>2272</v>
      </c>
      <c r="T1260" s="3" t="s">
        <v>2272</v>
      </c>
      <c r="U1260" s="3" t="s">
        <v>2272</v>
      </c>
      <c r="V1260" s="3" t="s">
        <v>2272</v>
      </c>
      <c r="W1260" s="3" t="s">
        <v>2272</v>
      </c>
      <c r="X1260" s="3" t="s">
        <v>2272</v>
      </c>
      <c r="Y1260" s="3" t="s">
        <v>2272</v>
      </c>
      <c r="Z1260" s="3" t="s">
        <v>2272</v>
      </c>
      <c r="AA1260" s="3" t="s">
        <v>2272</v>
      </c>
      <c r="AB1260" s="4" t="s">
        <v>3773</v>
      </c>
      <c r="AC1260" s="3"/>
    </row>
    <row r="1261" spans="1:29"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2272</v>
      </c>
      <c r="K1261" s="198" t="s">
        <v>2272</v>
      </c>
      <c r="L1261" s="3" t="s">
        <v>2272</v>
      </c>
      <c r="M1261" s="3" t="s">
        <v>2272</v>
      </c>
      <c r="N1261" s="3" t="s">
        <v>2272</v>
      </c>
      <c r="O1261" s="3" t="s">
        <v>2272</v>
      </c>
      <c r="P1261" s="3" t="s">
        <v>2272</v>
      </c>
      <c r="Q1261" s="3" t="s">
        <v>2272</v>
      </c>
      <c r="R1261" s="3" t="s">
        <v>2272</v>
      </c>
      <c r="S1261" s="3" t="s">
        <v>2272</v>
      </c>
      <c r="T1261" s="3" t="s">
        <v>2272</v>
      </c>
      <c r="U1261" s="3" t="s">
        <v>2272</v>
      </c>
      <c r="V1261" s="3" t="s">
        <v>2272</v>
      </c>
      <c r="W1261" s="3" t="s">
        <v>2272</v>
      </c>
      <c r="X1261" s="3" t="s">
        <v>2272</v>
      </c>
      <c r="Y1261" s="3" t="s">
        <v>2272</v>
      </c>
      <c r="Z1261" s="3" t="s">
        <v>2272</v>
      </c>
      <c r="AA1261" s="3" t="s">
        <v>2272</v>
      </c>
      <c r="AB1261" s="4" t="s">
        <v>3774</v>
      </c>
      <c r="AC1261" s="3"/>
    </row>
    <row r="1262" spans="1:29"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2272</v>
      </c>
      <c r="K1262" s="198" t="s">
        <v>2272</v>
      </c>
      <c r="L1262" s="3" t="s">
        <v>2272</v>
      </c>
      <c r="M1262" s="3" t="s">
        <v>2272</v>
      </c>
      <c r="N1262" s="3" t="s">
        <v>2272</v>
      </c>
      <c r="O1262" s="3" t="s">
        <v>2272</v>
      </c>
      <c r="P1262" s="3" t="s">
        <v>2272</v>
      </c>
      <c r="Q1262" s="3" t="s">
        <v>2272</v>
      </c>
      <c r="R1262" s="3" t="s">
        <v>2272</v>
      </c>
      <c r="S1262" s="3" t="s">
        <v>2272</v>
      </c>
      <c r="T1262" s="3" t="s">
        <v>2272</v>
      </c>
      <c r="U1262" s="3" t="s">
        <v>2272</v>
      </c>
      <c r="V1262" s="3" t="s">
        <v>2272</v>
      </c>
      <c r="W1262" s="3" t="s">
        <v>2272</v>
      </c>
      <c r="X1262" s="3" t="s">
        <v>2370</v>
      </c>
      <c r="Y1262" s="3" t="s">
        <v>67</v>
      </c>
      <c r="Z1262" s="3" t="s">
        <v>34</v>
      </c>
      <c r="AA1262" s="3" t="s">
        <v>63</v>
      </c>
      <c r="AB1262" s="4" t="s">
        <v>3809</v>
      </c>
      <c r="AC1262" s="3"/>
    </row>
    <row r="1263" spans="1:29"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2272</v>
      </c>
      <c r="K1263" s="198" t="s">
        <v>2272</v>
      </c>
      <c r="L1263" s="3" t="s">
        <v>2272</v>
      </c>
      <c r="M1263" s="3" t="s">
        <v>2272</v>
      </c>
      <c r="N1263" s="3" t="s">
        <v>2272</v>
      </c>
      <c r="O1263" s="3" t="s">
        <v>2272</v>
      </c>
      <c r="P1263" s="3" t="s">
        <v>2272</v>
      </c>
      <c r="Q1263" s="3" t="s">
        <v>2272</v>
      </c>
      <c r="R1263" s="3" t="s">
        <v>2272</v>
      </c>
      <c r="S1263" s="3" t="s">
        <v>2272</v>
      </c>
      <c r="T1263" s="3" t="s">
        <v>2272</v>
      </c>
      <c r="U1263" s="3" t="s">
        <v>2272</v>
      </c>
      <c r="V1263" s="3" t="s">
        <v>2272</v>
      </c>
      <c r="W1263" s="3" t="s">
        <v>2272</v>
      </c>
      <c r="X1263" s="3" t="s">
        <v>2272</v>
      </c>
      <c r="Y1263" s="3" t="s">
        <v>125</v>
      </c>
      <c r="Z1263" s="3" t="s">
        <v>397</v>
      </c>
      <c r="AA1263" s="3" t="s">
        <v>63</v>
      </c>
      <c r="AB1263" s="4" t="s">
        <v>3803</v>
      </c>
      <c r="AC1263" s="4" t="s">
        <v>3798</v>
      </c>
    </row>
    <row r="1264" spans="1:29"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2272</v>
      </c>
      <c r="K1264" s="198" t="s">
        <v>2272</v>
      </c>
      <c r="L1264" s="3" t="s">
        <v>2272</v>
      </c>
      <c r="M1264" s="3" t="s">
        <v>2272</v>
      </c>
      <c r="N1264" s="3" t="s">
        <v>2272</v>
      </c>
      <c r="O1264" s="3" t="s">
        <v>2272</v>
      </c>
      <c r="P1264" s="3" t="s">
        <v>2272</v>
      </c>
      <c r="Q1264" s="3" t="s">
        <v>2272</v>
      </c>
      <c r="R1264" s="3" t="s">
        <v>2272</v>
      </c>
      <c r="S1264" s="3" t="s">
        <v>2272</v>
      </c>
      <c r="T1264" s="3" t="s">
        <v>2272</v>
      </c>
      <c r="U1264" s="3" t="s">
        <v>2272</v>
      </c>
      <c r="V1264" s="3" t="s">
        <v>2272</v>
      </c>
      <c r="W1264" s="3" t="s">
        <v>2272</v>
      </c>
      <c r="X1264" s="3" t="s">
        <v>2370</v>
      </c>
      <c r="Y1264" s="3" t="s">
        <v>37</v>
      </c>
      <c r="Z1264" s="3" t="s">
        <v>84</v>
      </c>
      <c r="AA1264" s="3" t="s">
        <v>63</v>
      </c>
      <c r="AB1264" s="4" t="s">
        <v>3805</v>
      </c>
      <c r="AC1264" s="3"/>
    </row>
    <row r="1265" spans="1:29"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2272</v>
      </c>
      <c r="K1265" s="198" t="s">
        <v>2272</v>
      </c>
      <c r="L1265" s="3" t="s">
        <v>2272</v>
      </c>
      <c r="M1265" s="3" t="s">
        <v>2272</v>
      </c>
      <c r="N1265" s="3" t="s">
        <v>2272</v>
      </c>
      <c r="O1265" s="3" t="s">
        <v>2272</v>
      </c>
      <c r="P1265" s="3" t="s">
        <v>2272</v>
      </c>
      <c r="Q1265" s="3" t="s">
        <v>2272</v>
      </c>
      <c r="R1265" s="3" t="s">
        <v>2272</v>
      </c>
      <c r="S1265" s="3" t="s">
        <v>2272</v>
      </c>
      <c r="T1265" s="3" t="s">
        <v>2272</v>
      </c>
      <c r="U1265" s="3" t="s">
        <v>2272</v>
      </c>
      <c r="V1265" s="3" t="s">
        <v>2272</v>
      </c>
      <c r="W1265" s="3" t="s">
        <v>2272</v>
      </c>
      <c r="X1265" s="3" t="s">
        <v>2272</v>
      </c>
      <c r="Y1265" s="3" t="s">
        <v>2272</v>
      </c>
      <c r="Z1265" s="3" t="s">
        <v>2272</v>
      </c>
      <c r="AA1265" s="3" t="s">
        <v>2272</v>
      </c>
      <c r="AB1265" s="3"/>
      <c r="AC1265" s="3"/>
    </row>
    <row r="1266" spans="1:29"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2272</v>
      </c>
      <c r="K1266" s="198" t="s">
        <v>2272</v>
      </c>
      <c r="L1266" s="3" t="s">
        <v>2272</v>
      </c>
      <c r="M1266" s="3" t="s">
        <v>2272</v>
      </c>
      <c r="N1266" s="3" t="s">
        <v>2272</v>
      </c>
      <c r="O1266" s="3" t="s">
        <v>2272</v>
      </c>
      <c r="P1266" s="3" t="s">
        <v>2272</v>
      </c>
      <c r="Q1266" s="3" t="s">
        <v>2272</v>
      </c>
      <c r="R1266" s="3" t="s">
        <v>2272</v>
      </c>
      <c r="S1266" s="3" t="s">
        <v>2272</v>
      </c>
      <c r="T1266" s="3" t="s">
        <v>2272</v>
      </c>
      <c r="U1266" s="3" t="s">
        <v>2272</v>
      </c>
      <c r="V1266" s="3" t="s">
        <v>2272</v>
      </c>
      <c r="W1266" s="3" t="s">
        <v>2272</v>
      </c>
      <c r="X1266" s="3" t="s">
        <v>2272</v>
      </c>
      <c r="Y1266" s="3" t="s">
        <v>2272</v>
      </c>
      <c r="Z1266" s="3" t="s">
        <v>2272</v>
      </c>
      <c r="AA1266" s="3" t="s">
        <v>2272</v>
      </c>
      <c r="AB1266" s="3"/>
      <c r="AC1266" s="4" t="s">
        <v>3802</v>
      </c>
    </row>
    <row r="1267" spans="1:29"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2272</v>
      </c>
      <c r="K1267" s="198" t="s">
        <v>2272</v>
      </c>
      <c r="L1267" s="3" t="s">
        <v>2272</v>
      </c>
      <c r="M1267" s="3" t="s">
        <v>2272</v>
      </c>
      <c r="N1267" s="3" t="s">
        <v>2272</v>
      </c>
      <c r="O1267" s="3" t="s">
        <v>2272</v>
      </c>
      <c r="P1267" s="3" t="s">
        <v>2272</v>
      </c>
      <c r="Q1267" s="3" t="s">
        <v>2272</v>
      </c>
      <c r="R1267" s="3" t="s">
        <v>2272</v>
      </c>
      <c r="S1267" s="3" t="s">
        <v>2272</v>
      </c>
      <c r="T1267" s="3" t="s">
        <v>2272</v>
      </c>
      <c r="U1267" s="3" t="s">
        <v>2272</v>
      </c>
      <c r="V1267" s="3" t="s">
        <v>2272</v>
      </c>
      <c r="W1267" s="3" t="s">
        <v>2272</v>
      </c>
      <c r="X1267" s="3" t="s">
        <v>2272</v>
      </c>
      <c r="Y1267" s="3" t="s">
        <v>67</v>
      </c>
      <c r="Z1267" s="3" t="s">
        <v>37</v>
      </c>
      <c r="AA1267" s="3" t="s">
        <v>75</v>
      </c>
      <c r="AB1267" s="3"/>
      <c r="AC1267" s="3"/>
    </row>
    <row r="1268" spans="1:29"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2272</v>
      </c>
      <c r="K1268" s="198" t="s">
        <v>2272</v>
      </c>
      <c r="L1268" s="3" t="s">
        <v>2272</v>
      </c>
      <c r="M1268" s="3" t="s">
        <v>2272</v>
      </c>
      <c r="N1268" s="3" t="s">
        <v>2272</v>
      </c>
      <c r="O1268" s="3" t="s">
        <v>2272</v>
      </c>
      <c r="P1268" s="3" t="s">
        <v>2272</v>
      </c>
      <c r="Q1268" s="3" t="s">
        <v>2272</v>
      </c>
      <c r="R1268" s="3" t="s">
        <v>2272</v>
      </c>
      <c r="S1268" s="3" t="s">
        <v>2272</v>
      </c>
      <c r="T1268" s="3" t="s">
        <v>2272</v>
      </c>
      <c r="U1268" s="3" t="s">
        <v>2272</v>
      </c>
      <c r="V1268" s="3" t="s">
        <v>2272</v>
      </c>
      <c r="W1268" s="3" t="s">
        <v>2371</v>
      </c>
      <c r="X1268" s="3" t="s">
        <v>2370</v>
      </c>
      <c r="Y1268" s="3" t="s">
        <v>67</v>
      </c>
      <c r="Z1268" s="3" t="s">
        <v>125</v>
      </c>
      <c r="AA1268" s="3" t="s">
        <v>63</v>
      </c>
      <c r="AB1268" s="3"/>
      <c r="AC1268" s="4" t="s">
        <v>3824</v>
      </c>
    </row>
    <row r="1269" spans="1:29"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2272</v>
      </c>
      <c r="K1269" s="198" t="s">
        <v>2272</v>
      </c>
      <c r="L1269" s="3" t="s">
        <v>2272</v>
      </c>
      <c r="M1269" s="3" t="s">
        <v>2272</v>
      </c>
      <c r="N1269" s="3" t="s">
        <v>2272</v>
      </c>
      <c r="O1269" s="3" t="s">
        <v>2272</v>
      </c>
      <c r="P1269" s="3" t="s">
        <v>2272</v>
      </c>
      <c r="Q1269" s="3" t="s">
        <v>2272</v>
      </c>
      <c r="R1269" s="3" t="s">
        <v>2272</v>
      </c>
      <c r="S1269" s="3" t="s">
        <v>2272</v>
      </c>
      <c r="T1269" s="3" t="s">
        <v>2272</v>
      </c>
      <c r="U1269" s="3" t="s">
        <v>2272</v>
      </c>
      <c r="V1269" s="3" t="s">
        <v>2272</v>
      </c>
      <c r="W1269" s="3" t="s">
        <v>2522</v>
      </c>
      <c r="X1269" s="3" t="s">
        <v>2370</v>
      </c>
      <c r="Y1269" s="3" t="s">
        <v>67</v>
      </c>
      <c r="Z1269" s="3" t="s">
        <v>125</v>
      </c>
      <c r="AA1269" s="3" t="s">
        <v>63</v>
      </c>
      <c r="AB1269" s="3"/>
      <c r="AC1269" s="4" t="s">
        <v>3824</v>
      </c>
    </row>
    <row r="1270" spans="1:29"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2272</v>
      </c>
      <c r="K1270" s="198" t="s">
        <v>2272</v>
      </c>
      <c r="L1270" s="3" t="s">
        <v>2272</v>
      </c>
      <c r="M1270" s="3" t="s">
        <v>2272</v>
      </c>
      <c r="N1270" s="3" t="s">
        <v>2272</v>
      </c>
      <c r="O1270" s="3" t="s">
        <v>2272</v>
      </c>
      <c r="P1270" s="3" t="s">
        <v>2272</v>
      </c>
      <c r="Q1270" s="3" t="s">
        <v>2272</v>
      </c>
      <c r="R1270" s="3" t="s">
        <v>2272</v>
      </c>
      <c r="S1270" s="3" t="s">
        <v>2272</v>
      </c>
      <c r="T1270" s="3" t="s">
        <v>2272</v>
      </c>
      <c r="U1270" s="3" t="s">
        <v>2272</v>
      </c>
      <c r="V1270" s="3" t="s">
        <v>2272</v>
      </c>
      <c r="W1270" s="3" t="s">
        <v>2522</v>
      </c>
      <c r="X1270" s="3" t="s">
        <v>2370</v>
      </c>
      <c r="Y1270" s="3" t="s">
        <v>67</v>
      </c>
      <c r="Z1270" s="3" t="s">
        <v>125</v>
      </c>
      <c r="AA1270" s="3" t="s">
        <v>63</v>
      </c>
      <c r="AB1270" s="3"/>
      <c r="AC1270" s="4" t="s">
        <v>3824</v>
      </c>
    </row>
    <row r="1271" spans="1:29"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2272</v>
      </c>
      <c r="K1271" s="198" t="s">
        <v>2272</v>
      </c>
      <c r="L1271" s="3" t="s">
        <v>2272</v>
      </c>
      <c r="M1271" s="3" t="s">
        <v>2272</v>
      </c>
      <c r="N1271" s="3" t="s">
        <v>2272</v>
      </c>
      <c r="O1271" s="3" t="s">
        <v>2272</v>
      </c>
      <c r="P1271" s="3" t="s">
        <v>2272</v>
      </c>
      <c r="Q1271" s="3" t="s">
        <v>2272</v>
      </c>
      <c r="R1271" s="3" t="s">
        <v>2272</v>
      </c>
      <c r="S1271" s="3" t="s">
        <v>2272</v>
      </c>
      <c r="T1271" s="3" t="s">
        <v>2272</v>
      </c>
      <c r="U1271" s="3" t="s">
        <v>2272</v>
      </c>
      <c r="V1271" s="3" t="s">
        <v>2272</v>
      </c>
      <c r="W1271" s="3" t="s">
        <v>2522</v>
      </c>
      <c r="X1271" s="3" t="s">
        <v>2370</v>
      </c>
      <c r="Y1271" s="3" t="s">
        <v>67</v>
      </c>
      <c r="Z1271" s="3" t="s">
        <v>125</v>
      </c>
      <c r="AA1271" s="3" t="s">
        <v>63</v>
      </c>
      <c r="AB1271" s="3"/>
      <c r="AC1271" s="4" t="s">
        <v>3824</v>
      </c>
    </row>
    <row r="1272" spans="1:29"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2272</v>
      </c>
      <c r="K1272" s="198" t="s">
        <v>2272</v>
      </c>
      <c r="L1272" s="3" t="s">
        <v>2272</v>
      </c>
      <c r="M1272" s="3" t="s">
        <v>2272</v>
      </c>
      <c r="N1272" s="3" t="s">
        <v>2272</v>
      </c>
      <c r="O1272" s="3" t="s">
        <v>2272</v>
      </c>
      <c r="P1272" s="3" t="s">
        <v>2272</v>
      </c>
      <c r="Q1272" s="3" t="s">
        <v>2272</v>
      </c>
      <c r="R1272" s="3" t="s">
        <v>2272</v>
      </c>
      <c r="S1272" s="3" t="s">
        <v>2272</v>
      </c>
      <c r="T1272" s="3" t="s">
        <v>2272</v>
      </c>
      <c r="U1272" s="3" t="s">
        <v>2272</v>
      </c>
      <c r="V1272" s="3" t="s">
        <v>2272</v>
      </c>
      <c r="W1272" s="3" t="s">
        <v>2369</v>
      </c>
      <c r="X1272" s="3" t="s">
        <v>2396</v>
      </c>
      <c r="Y1272" s="3" t="s">
        <v>125</v>
      </c>
      <c r="Z1272" s="3" t="s">
        <v>397</v>
      </c>
      <c r="AA1272" s="3" t="s">
        <v>63</v>
      </c>
      <c r="AB1272" s="3"/>
      <c r="AC1272" s="4" t="s">
        <v>3824</v>
      </c>
    </row>
    <row r="1273" spans="1:29"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2272</v>
      </c>
      <c r="K1273" s="198" t="s">
        <v>2272</v>
      </c>
      <c r="L1273" s="3" t="s">
        <v>2272</v>
      </c>
      <c r="M1273" s="3" t="s">
        <v>2272</v>
      </c>
      <c r="N1273" s="3" t="s">
        <v>2272</v>
      </c>
      <c r="O1273" s="3" t="s">
        <v>2272</v>
      </c>
      <c r="P1273" s="3" t="s">
        <v>2272</v>
      </c>
      <c r="Q1273" s="3" t="s">
        <v>2272</v>
      </c>
      <c r="R1273" s="3" t="s">
        <v>2272</v>
      </c>
      <c r="S1273" s="3" t="s">
        <v>2272</v>
      </c>
      <c r="T1273" s="3" t="s">
        <v>2272</v>
      </c>
      <c r="U1273" s="3" t="s">
        <v>2272</v>
      </c>
      <c r="V1273" s="3" t="s">
        <v>2272</v>
      </c>
      <c r="W1273" s="3" t="s">
        <v>2371</v>
      </c>
      <c r="X1273" s="3" t="s">
        <v>2370</v>
      </c>
      <c r="Y1273" s="3" t="s">
        <v>125</v>
      </c>
      <c r="Z1273" s="3" t="s">
        <v>397</v>
      </c>
      <c r="AA1273" s="3" t="s">
        <v>63</v>
      </c>
      <c r="AB1273" s="4" t="s">
        <v>3823</v>
      </c>
      <c r="AC1273" s="4" t="s">
        <v>3824</v>
      </c>
    </row>
    <row r="1274" spans="1:29"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2272</v>
      </c>
      <c r="K1274" s="198" t="s">
        <v>2272</v>
      </c>
      <c r="L1274" s="3" t="s">
        <v>2272</v>
      </c>
      <c r="M1274" s="3" t="s">
        <v>2272</v>
      </c>
      <c r="N1274" s="3" t="s">
        <v>2272</v>
      </c>
      <c r="O1274" s="3" t="s">
        <v>2272</v>
      </c>
      <c r="P1274" s="3" t="s">
        <v>2272</v>
      </c>
      <c r="Q1274" s="3" t="s">
        <v>2272</v>
      </c>
      <c r="R1274" s="3" t="s">
        <v>2272</v>
      </c>
      <c r="S1274" s="3" t="s">
        <v>2272</v>
      </c>
      <c r="T1274" s="3" t="s">
        <v>2272</v>
      </c>
      <c r="U1274" s="3" t="s">
        <v>2272</v>
      </c>
      <c r="V1274" s="3" t="s">
        <v>2272</v>
      </c>
      <c r="W1274" s="3" t="s">
        <v>2369</v>
      </c>
      <c r="X1274" s="3" t="s">
        <v>2370</v>
      </c>
      <c r="Y1274" s="3" t="s">
        <v>397</v>
      </c>
      <c r="Z1274" s="3" t="s">
        <v>37</v>
      </c>
      <c r="AA1274" s="3" t="s">
        <v>63</v>
      </c>
      <c r="AB1274" s="3"/>
      <c r="AC1274" s="4" t="s">
        <v>3824</v>
      </c>
    </row>
    <row r="1275" spans="1:29"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2272</v>
      </c>
      <c r="K1275" s="198" t="s">
        <v>2272</v>
      </c>
      <c r="L1275" s="3" t="s">
        <v>2272</v>
      </c>
      <c r="M1275" s="3" t="s">
        <v>2272</v>
      </c>
      <c r="N1275" s="3" t="s">
        <v>2272</v>
      </c>
      <c r="O1275" s="3" t="s">
        <v>2272</v>
      </c>
      <c r="P1275" s="3" t="s">
        <v>2272</v>
      </c>
      <c r="Q1275" s="3" t="s">
        <v>2272</v>
      </c>
      <c r="R1275" s="3" t="s">
        <v>2272</v>
      </c>
      <c r="S1275" s="3" t="s">
        <v>2272</v>
      </c>
      <c r="T1275" s="3" t="s">
        <v>2272</v>
      </c>
      <c r="U1275" s="3" t="s">
        <v>2272</v>
      </c>
      <c r="V1275" s="3" t="s">
        <v>2272</v>
      </c>
      <c r="W1275" s="3" t="s">
        <v>2369</v>
      </c>
      <c r="X1275" s="3" t="s">
        <v>2370</v>
      </c>
      <c r="Y1275" s="3" t="s">
        <v>397</v>
      </c>
      <c r="Z1275" s="3" t="s">
        <v>37</v>
      </c>
      <c r="AA1275" s="3" t="s">
        <v>63</v>
      </c>
      <c r="AB1275" s="3"/>
      <c r="AC1275" s="4" t="s">
        <v>3824</v>
      </c>
    </row>
    <row r="1276" spans="1:29"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2272</v>
      </c>
      <c r="K1276" s="198" t="s">
        <v>2272</v>
      </c>
      <c r="L1276" s="3" t="s">
        <v>2272</v>
      </c>
      <c r="M1276" s="3" t="s">
        <v>2272</v>
      </c>
      <c r="N1276" s="3" t="s">
        <v>2272</v>
      </c>
      <c r="O1276" s="3" t="s">
        <v>2272</v>
      </c>
      <c r="P1276" s="3" t="s">
        <v>2272</v>
      </c>
      <c r="Q1276" s="3" t="s">
        <v>2272</v>
      </c>
      <c r="R1276" s="3" t="s">
        <v>2272</v>
      </c>
      <c r="S1276" s="3" t="s">
        <v>2272</v>
      </c>
      <c r="T1276" s="3" t="s">
        <v>2272</v>
      </c>
      <c r="U1276" s="3" t="s">
        <v>2272</v>
      </c>
      <c r="V1276" s="3" t="s">
        <v>2272</v>
      </c>
      <c r="W1276" s="3" t="s">
        <v>2369</v>
      </c>
      <c r="X1276" s="3" t="s">
        <v>2370</v>
      </c>
      <c r="Y1276" s="3" t="s">
        <v>186</v>
      </c>
      <c r="Z1276" s="3" t="s">
        <v>37</v>
      </c>
      <c r="AA1276" s="3" t="s">
        <v>63</v>
      </c>
      <c r="AB1276" s="3"/>
      <c r="AC1276" s="4" t="s">
        <v>3824</v>
      </c>
    </row>
    <row r="1277" spans="1:29"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2359</v>
      </c>
      <c r="K1277" s="198" t="s">
        <v>2359</v>
      </c>
      <c r="L1277" s="3" t="s">
        <v>2359</v>
      </c>
      <c r="M1277" s="3" t="s">
        <v>2359</v>
      </c>
      <c r="N1277" s="3" t="s">
        <v>2359</v>
      </c>
      <c r="O1277" s="3" t="s">
        <v>2359</v>
      </c>
      <c r="P1277" s="3" t="s">
        <v>2359</v>
      </c>
      <c r="Q1277" s="3" t="s">
        <v>2359</v>
      </c>
      <c r="R1277" s="3" t="s">
        <v>2359</v>
      </c>
      <c r="S1277" s="3" t="s">
        <v>2359</v>
      </c>
      <c r="T1277" s="3" t="s">
        <v>2359</v>
      </c>
      <c r="U1277" s="3" t="s">
        <v>2359</v>
      </c>
      <c r="V1277" s="3" t="s">
        <v>2359</v>
      </c>
      <c r="W1277" s="3" t="s">
        <v>2359</v>
      </c>
      <c r="X1277" s="3" t="s">
        <v>2272</v>
      </c>
      <c r="Y1277" s="3" t="s">
        <v>2272</v>
      </c>
      <c r="Z1277" s="3" t="s">
        <v>2272</v>
      </c>
      <c r="AA1277" s="3" t="s">
        <v>2272</v>
      </c>
      <c r="AB1277" s="3"/>
      <c r="AC1277" s="3"/>
    </row>
    <row r="1278" spans="1:29"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2272</v>
      </c>
      <c r="K1278" s="198" t="s">
        <v>2272</v>
      </c>
      <c r="L1278" s="3" t="s">
        <v>2272</v>
      </c>
      <c r="M1278" s="3" t="s">
        <v>2272</v>
      </c>
      <c r="N1278" s="3" t="s">
        <v>2272</v>
      </c>
      <c r="O1278" s="3" t="s">
        <v>2272</v>
      </c>
      <c r="P1278" s="3" t="s">
        <v>2272</v>
      </c>
      <c r="Q1278" s="3" t="s">
        <v>2272</v>
      </c>
      <c r="R1278" s="3" t="s">
        <v>2272</v>
      </c>
      <c r="S1278" s="3" t="s">
        <v>2272</v>
      </c>
      <c r="T1278" s="3" t="s">
        <v>2272</v>
      </c>
      <c r="U1278" s="3" t="s">
        <v>2272</v>
      </c>
      <c r="V1278" s="3" t="s">
        <v>2272</v>
      </c>
      <c r="W1278" s="3" t="s">
        <v>2272</v>
      </c>
      <c r="X1278" s="3" t="s">
        <v>2396</v>
      </c>
      <c r="Y1278" s="3" t="s">
        <v>2272</v>
      </c>
      <c r="Z1278" s="3" t="s">
        <v>2272</v>
      </c>
      <c r="AA1278" s="3" t="s">
        <v>2272</v>
      </c>
      <c r="AB1278" s="3"/>
      <c r="AC1278" s="4" t="s">
        <v>3841</v>
      </c>
    </row>
    <row r="1279" spans="1:29"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2359</v>
      </c>
      <c r="K1279" s="198" t="s">
        <v>2359</v>
      </c>
      <c r="L1279" s="3" t="s">
        <v>2359</v>
      </c>
      <c r="M1279" s="3" t="s">
        <v>2359</v>
      </c>
      <c r="N1279" s="3" t="s">
        <v>2359</v>
      </c>
      <c r="O1279" s="3" t="s">
        <v>2359</v>
      </c>
      <c r="P1279" s="3" t="s">
        <v>2359</v>
      </c>
      <c r="Q1279" s="3" t="s">
        <v>2359</v>
      </c>
      <c r="R1279" s="3" t="s">
        <v>2359</v>
      </c>
      <c r="S1279" s="3" t="s">
        <v>2359</v>
      </c>
      <c r="T1279" s="3" t="s">
        <v>2359</v>
      </c>
      <c r="U1279" s="3" t="s">
        <v>2359</v>
      </c>
      <c r="V1279" s="3" t="s">
        <v>2359</v>
      </c>
      <c r="W1279" s="3" t="s">
        <v>2359</v>
      </c>
      <c r="X1279" s="3" t="s">
        <v>2272</v>
      </c>
      <c r="Y1279" s="3" t="s">
        <v>2272</v>
      </c>
      <c r="Z1279" s="3" t="s">
        <v>2272</v>
      </c>
      <c r="AA1279" s="3" t="s">
        <v>2272</v>
      </c>
      <c r="AB1279" s="3"/>
      <c r="AC1279" s="4" t="s">
        <v>3843</v>
      </c>
    </row>
    <row r="1280" spans="1:29"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2359</v>
      </c>
      <c r="K1280" s="198" t="s">
        <v>2359</v>
      </c>
      <c r="L1280" s="3" t="s">
        <v>2359</v>
      </c>
      <c r="M1280" s="3" t="s">
        <v>2359</v>
      </c>
      <c r="N1280" s="3" t="s">
        <v>2359</v>
      </c>
      <c r="O1280" s="3" t="s">
        <v>2359</v>
      </c>
      <c r="P1280" s="3" t="s">
        <v>2359</v>
      </c>
      <c r="Q1280" s="3" t="s">
        <v>2359</v>
      </c>
      <c r="R1280" s="3" t="s">
        <v>2359</v>
      </c>
      <c r="S1280" s="3" t="s">
        <v>2359</v>
      </c>
      <c r="T1280" s="3" t="s">
        <v>2359</v>
      </c>
      <c r="U1280" s="3" t="s">
        <v>2359</v>
      </c>
      <c r="V1280" s="3" t="s">
        <v>2359</v>
      </c>
      <c r="W1280" s="3" t="s">
        <v>2359</v>
      </c>
      <c r="X1280" s="3" t="s">
        <v>2272</v>
      </c>
      <c r="Y1280" s="3" t="s">
        <v>2272</v>
      </c>
      <c r="Z1280" s="3" t="s">
        <v>2272</v>
      </c>
      <c r="AA1280" s="3" t="s">
        <v>2272</v>
      </c>
      <c r="AB1280" s="9" t="s">
        <v>3853</v>
      </c>
      <c r="AC1280" s="8" t="s">
        <v>3854</v>
      </c>
    </row>
    <row r="1281" spans="1:30" ht="46.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198" t="s">
        <v>2272</v>
      </c>
      <c r="K1281" s="198" t="s">
        <v>2366</v>
      </c>
      <c r="L1281" s="3" t="s">
        <v>2272</v>
      </c>
      <c r="M1281" s="3" t="s">
        <v>2272</v>
      </c>
      <c r="N1281" s="3" t="s">
        <v>2272</v>
      </c>
      <c r="O1281" s="3" t="s">
        <v>2272</v>
      </c>
      <c r="P1281" s="3" t="s">
        <v>2272</v>
      </c>
      <c r="Q1281" s="3" t="s">
        <v>2272</v>
      </c>
      <c r="R1281" s="3" t="s">
        <v>2272</v>
      </c>
      <c r="S1281" s="3" t="s">
        <v>2272</v>
      </c>
      <c r="T1281" s="3" t="s">
        <v>2272</v>
      </c>
      <c r="U1281" s="3" t="s">
        <v>2272</v>
      </c>
      <c r="V1281" s="3" t="s">
        <v>2272</v>
      </c>
      <c r="W1281" s="3" t="s">
        <v>2272</v>
      </c>
      <c r="X1281" s="3" t="s">
        <v>2272</v>
      </c>
      <c r="Y1281" s="3" t="s">
        <v>397</v>
      </c>
      <c r="Z1281" s="3" t="s">
        <v>84</v>
      </c>
      <c r="AA1281" s="3" t="s">
        <v>2272</v>
      </c>
      <c r="AB1281" s="4" t="s">
        <v>3861</v>
      </c>
      <c r="AC1281" s="3"/>
      <c r="AD1281" s="159"/>
    </row>
    <row r="1282" spans="1:30" ht="46.5" customHeight="1">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198" t="s">
        <v>2272</v>
      </c>
      <c r="K1282" s="198" t="s">
        <v>2366</v>
      </c>
      <c r="L1282" s="3" t="s">
        <v>2272</v>
      </c>
      <c r="M1282" s="3" t="s">
        <v>2272</v>
      </c>
      <c r="N1282" s="3" t="s">
        <v>2272</v>
      </c>
      <c r="O1282" s="3" t="s">
        <v>2272</v>
      </c>
      <c r="P1282" s="3" t="s">
        <v>2272</v>
      </c>
      <c r="Q1282" s="3" t="s">
        <v>2272</v>
      </c>
      <c r="R1282" s="3" t="s">
        <v>2272</v>
      </c>
      <c r="S1282" s="3" t="s">
        <v>2272</v>
      </c>
      <c r="T1282" s="3" t="s">
        <v>2272</v>
      </c>
      <c r="U1282" s="3" t="s">
        <v>2272</v>
      </c>
      <c r="V1282" s="3" t="s">
        <v>2272</v>
      </c>
      <c r="W1282" s="3" t="s">
        <v>2272</v>
      </c>
      <c r="X1282" s="3" t="s">
        <v>2272</v>
      </c>
      <c r="Y1282" s="3" t="s">
        <v>397</v>
      </c>
      <c r="Z1282" s="3" t="s">
        <v>84</v>
      </c>
      <c r="AA1282" s="3" t="s">
        <v>2272</v>
      </c>
      <c r="AB1282" s="4" t="s">
        <v>3861</v>
      </c>
      <c r="AC1282" s="3"/>
      <c r="AD1282" s="159"/>
    </row>
    <row r="1283" spans="1:30" ht="46.5" customHeight="1">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198" t="s">
        <v>2272</v>
      </c>
      <c r="K1283" s="198" t="s">
        <v>2366</v>
      </c>
      <c r="L1283" s="3" t="s">
        <v>2272</v>
      </c>
      <c r="M1283" s="3" t="s">
        <v>2272</v>
      </c>
      <c r="N1283" s="3" t="s">
        <v>2272</v>
      </c>
      <c r="O1283" s="3" t="s">
        <v>2272</v>
      </c>
      <c r="P1283" s="3" t="s">
        <v>2272</v>
      </c>
      <c r="Q1283" s="3" t="s">
        <v>2272</v>
      </c>
      <c r="R1283" s="3" t="s">
        <v>2272</v>
      </c>
      <c r="S1283" s="3" t="s">
        <v>2272</v>
      </c>
      <c r="T1283" s="3" t="s">
        <v>2272</v>
      </c>
      <c r="U1283" s="3" t="s">
        <v>2272</v>
      </c>
      <c r="V1283" s="3" t="s">
        <v>2272</v>
      </c>
      <c r="W1283" s="3" t="s">
        <v>2272</v>
      </c>
      <c r="X1283" s="3" t="s">
        <v>2272</v>
      </c>
      <c r="Y1283" s="3" t="s">
        <v>397</v>
      </c>
      <c r="Z1283" s="3" t="s">
        <v>84</v>
      </c>
      <c r="AA1283" s="3" t="s">
        <v>2272</v>
      </c>
      <c r="AB1283" s="4" t="s">
        <v>3861</v>
      </c>
      <c r="AC1283" s="3"/>
      <c r="AD1283" s="159"/>
    </row>
    <row r="1284" spans="1:30" ht="46.5" customHeight="1">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198" t="s">
        <v>2272</v>
      </c>
      <c r="K1284" s="198" t="s">
        <v>2366</v>
      </c>
      <c r="L1284" s="3" t="s">
        <v>2272</v>
      </c>
      <c r="M1284" s="3" t="s">
        <v>2272</v>
      </c>
      <c r="N1284" s="3" t="s">
        <v>2272</v>
      </c>
      <c r="O1284" s="3" t="s">
        <v>2272</v>
      </c>
      <c r="P1284" s="3" t="s">
        <v>2272</v>
      </c>
      <c r="Q1284" s="3" t="s">
        <v>2272</v>
      </c>
      <c r="R1284" s="3" t="s">
        <v>2272</v>
      </c>
      <c r="S1284" s="3" t="s">
        <v>2272</v>
      </c>
      <c r="T1284" s="3" t="s">
        <v>2272</v>
      </c>
      <c r="U1284" s="3" t="s">
        <v>2272</v>
      </c>
      <c r="V1284" s="3" t="s">
        <v>2272</v>
      </c>
      <c r="W1284" s="3" t="s">
        <v>2272</v>
      </c>
      <c r="X1284" s="3" t="s">
        <v>2272</v>
      </c>
      <c r="Y1284" s="3" t="s">
        <v>397</v>
      </c>
      <c r="Z1284" s="3" t="s">
        <v>84</v>
      </c>
      <c r="AA1284" s="3" t="s">
        <v>2272</v>
      </c>
      <c r="AB1284" s="4" t="s">
        <v>3861</v>
      </c>
      <c r="AC1284" s="3"/>
      <c r="AD1284" s="159"/>
    </row>
    <row r="1285" spans="1:30" ht="46.5" customHeight="1">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198" t="s">
        <v>2272</v>
      </c>
      <c r="K1285" s="198" t="s">
        <v>2365</v>
      </c>
      <c r="L1285" s="3" t="s">
        <v>2272</v>
      </c>
      <c r="M1285" s="3" t="s">
        <v>2272</v>
      </c>
      <c r="N1285" s="3" t="s">
        <v>2272</v>
      </c>
      <c r="O1285" s="3" t="s">
        <v>2272</v>
      </c>
      <c r="P1285" s="3" t="s">
        <v>2272</v>
      </c>
      <c r="Q1285" s="3" t="s">
        <v>2272</v>
      </c>
      <c r="R1285" s="3" t="s">
        <v>2272</v>
      </c>
      <c r="S1285" s="3" t="s">
        <v>2272</v>
      </c>
      <c r="T1285" s="3" t="s">
        <v>2272</v>
      </c>
      <c r="U1285" s="3" t="s">
        <v>2272</v>
      </c>
      <c r="V1285" s="3" t="s">
        <v>2272</v>
      </c>
      <c r="W1285" s="3" t="s">
        <v>2272</v>
      </c>
      <c r="X1285" s="3" t="s">
        <v>2272</v>
      </c>
      <c r="Y1285" s="3" t="s">
        <v>397</v>
      </c>
      <c r="Z1285" s="3" t="s">
        <v>84</v>
      </c>
      <c r="AA1285" s="3" t="s">
        <v>2272</v>
      </c>
      <c r="AB1285" s="4" t="s">
        <v>3861</v>
      </c>
      <c r="AC1285" s="3"/>
      <c r="AD1285" s="159"/>
    </row>
    <row r="1286" spans="1:30" ht="46.5" customHeight="1">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198" t="s">
        <v>2272</v>
      </c>
      <c r="K1286" s="198" t="s">
        <v>2365</v>
      </c>
      <c r="L1286" s="3" t="s">
        <v>2272</v>
      </c>
      <c r="M1286" s="3" t="s">
        <v>2272</v>
      </c>
      <c r="N1286" s="3" t="s">
        <v>2272</v>
      </c>
      <c r="O1286" s="3" t="s">
        <v>2272</v>
      </c>
      <c r="P1286" s="3" t="s">
        <v>2272</v>
      </c>
      <c r="Q1286" s="3" t="s">
        <v>2272</v>
      </c>
      <c r="R1286" s="3" t="s">
        <v>2272</v>
      </c>
      <c r="S1286" s="3" t="s">
        <v>2272</v>
      </c>
      <c r="T1286" s="3" t="s">
        <v>2272</v>
      </c>
      <c r="U1286" s="3" t="s">
        <v>2272</v>
      </c>
      <c r="V1286" s="3" t="s">
        <v>2272</v>
      </c>
      <c r="W1286" s="3" t="s">
        <v>2272</v>
      </c>
      <c r="X1286" s="3" t="s">
        <v>2272</v>
      </c>
      <c r="Y1286" s="3" t="s">
        <v>397</v>
      </c>
      <c r="Z1286" s="3" t="s">
        <v>84</v>
      </c>
      <c r="AA1286" s="3" t="s">
        <v>2272</v>
      </c>
      <c r="AB1286" s="4" t="s">
        <v>3861</v>
      </c>
      <c r="AC1286" s="3"/>
      <c r="AD1286" s="159"/>
    </row>
    <row r="1287" spans="1:30" ht="46.5" customHeight="1">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198" t="s">
        <v>2272</v>
      </c>
      <c r="K1287" s="198" t="s">
        <v>2364</v>
      </c>
      <c r="L1287" s="3" t="s">
        <v>2272</v>
      </c>
      <c r="M1287" s="3" t="s">
        <v>2272</v>
      </c>
      <c r="N1287" s="3" t="s">
        <v>2272</v>
      </c>
      <c r="O1287" s="3" t="s">
        <v>2272</v>
      </c>
      <c r="P1287" s="3" t="s">
        <v>2272</v>
      </c>
      <c r="Q1287" s="3" t="s">
        <v>2272</v>
      </c>
      <c r="R1287" s="3" t="s">
        <v>2272</v>
      </c>
      <c r="S1287" s="3" t="s">
        <v>2272</v>
      </c>
      <c r="T1287" s="3" t="s">
        <v>2272</v>
      </c>
      <c r="U1287" s="3" t="s">
        <v>2272</v>
      </c>
      <c r="V1287" s="3" t="s">
        <v>2272</v>
      </c>
      <c r="W1287" s="3" t="s">
        <v>2272</v>
      </c>
      <c r="X1287" s="3" t="s">
        <v>2272</v>
      </c>
      <c r="Y1287" s="3" t="s">
        <v>397</v>
      </c>
      <c r="Z1287" s="3" t="s">
        <v>84</v>
      </c>
      <c r="AA1287" s="3" t="s">
        <v>2272</v>
      </c>
      <c r="AB1287" s="4" t="s">
        <v>3861</v>
      </c>
      <c r="AC1287" s="3"/>
      <c r="AD1287" s="159"/>
    </row>
    <row r="1288" spans="1:30" ht="46.5" customHeight="1">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198" t="s">
        <v>2272</v>
      </c>
      <c r="K1288" s="198" t="s">
        <v>2366</v>
      </c>
      <c r="L1288" s="3" t="s">
        <v>2272</v>
      </c>
      <c r="M1288" s="3" t="s">
        <v>2272</v>
      </c>
      <c r="N1288" s="3" t="s">
        <v>2272</v>
      </c>
      <c r="O1288" s="3" t="s">
        <v>2272</v>
      </c>
      <c r="P1288" s="3" t="s">
        <v>2272</v>
      </c>
      <c r="Q1288" s="3" t="s">
        <v>2272</v>
      </c>
      <c r="R1288" s="3" t="s">
        <v>2272</v>
      </c>
      <c r="S1288" s="3" t="s">
        <v>2272</v>
      </c>
      <c r="T1288" s="3" t="s">
        <v>2272</v>
      </c>
      <c r="U1288" s="3" t="s">
        <v>2272</v>
      </c>
      <c r="V1288" s="3" t="s">
        <v>2272</v>
      </c>
      <c r="W1288" s="3" t="s">
        <v>2272</v>
      </c>
      <c r="X1288" s="3" t="s">
        <v>2272</v>
      </c>
      <c r="Y1288" s="3" t="s">
        <v>397</v>
      </c>
      <c r="Z1288" s="3" t="s">
        <v>84</v>
      </c>
      <c r="AA1288" s="3" t="s">
        <v>2272</v>
      </c>
      <c r="AB1288" s="4" t="s">
        <v>3861</v>
      </c>
      <c r="AC1288" s="3"/>
      <c r="AD1288" s="159"/>
    </row>
    <row r="1289" spans="1:30" ht="46.5" customHeight="1">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198" t="s">
        <v>2272</v>
      </c>
      <c r="K1289" s="198" t="s">
        <v>2366</v>
      </c>
      <c r="L1289" s="3" t="s">
        <v>2272</v>
      </c>
      <c r="M1289" s="3" t="s">
        <v>2272</v>
      </c>
      <c r="N1289" s="3" t="s">
        <v>2272</v>
      </c>
      <c r="O1289" s="3" t="s">
        <v>2272</v>
      </c>
      <c r="P1289" s="3" t="s">
        <v>2272</v>
      </c>
      <c r="Q1289" s="3" t="s">
        <v>2272</v>
      </c>
      <c r="R1289" s="3" t="s">
        <v>2272</v>
      </c>
      <c r="S1289" s="3" t="s">
        <v>2272</v>
      </c>
      <c r="T1289" s="3" t="s">
        <v>2272</v>
      </c>
      <c r="U1289" s="3" t="s">
        <v>2272</v>
      </c>
      <c r="V1289" s="3" t="s">
        <v>2272</v>
      </c>
      <c r="W1289" s="3" t="s">
        <v>2272</v>
      </c>
      <c r="X1289" s="3" t="s">
        <v>2272</v>
      </c>
      <c r="Y1289" s="3" t="s">
        <v>397</v>
      </c>
      <c r="Z1289" s="3" t="s">
        <v>84</v>
      </c>
      <c r="AA1289" s="3" t="s">
        <v>2272</v>
      </c>
      <c r="AB1289" s="4" t="s">
        <v>3861</v>
      </c>
      <c r="AC1289" s="3"/>
      <c r="AD1289" s="159"/>
    </row>
    <row r="1290" spans="1:30" ht="46.5" customHeight="1">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198" t="s">
        <v>2272</v>
      </c>
      <c r="K1290" s="198" t="s">
        <v>2366</v>
      </c>
      <c r="L1290" s="3" t="s">
        <v>2272</v>
      </c>
      <c r="M1290" s="3" t="s">
        <v>2272</v>
      </c>
      <c r="N1290" s="3" t="s">
        <v>2272</v>
      </c>
      <c r="O1290" s="3" t="s">
        <v>2272</v>
      </c>
      <c r="P1290" s="3" t="s">
        <v>2272</v>
      </c>
      <c r="Q1290" s="3" t="s">
        <v>2272</v>
      </c>
      <c r="R1290" s="3" t="s">
        <v>2272</v>
      </c>
      <c r="S1290" s="3" t="s">
        <v>2272</v>
      </c>
      <c r="T1290" s="3" t="s">
        <v>2272</v>
      </c>
      <c r="U1290" s="3" t="s">
        <v>2272</v>
      </c>
      <c r="V1290" s="3" t="s">
        <v>2272</v>
      </c>
      <c r="W1290" s="3" t="s">
        <v>2272</v>
      </c>
      <c r="X1290" s="3" t="s">
        <v>2272</v>
      </c>
      <c r="Y1290" s="3" t="s">
        <v>397</v>
      </c>
      <c r="Z1290" s="3" t="s">
        <v>84</v>
      </c>
      <c r="AA1290" s="3" t="s">
        <v>2272</v>
      </c>
      <c r="AB1290" s="4" t="s">
        <v>3861</v>
      </c>
      <c r="AC1290" s="3"/>
      <c r="AD1290" s="159"/>
    </row>
    <row r="1291" spans="1:30" ht="46.5" customHeight="1">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198" t="s">
        <v>2272</v>
      </c>
      <c r="K1291" s="198" t="s">
        <v>2366</v>
      </c>
      <c r="L1291" s="3" t="s">
        <v>2272</v>
      </c>
      <c r="M1291" s="3" t="s">
        <v>2272</v>
      </c>
      <c r="N1291" s="3" t="s">
        <v>2272</v>
      </c>
      <c r="O1291" s="3" t="s">
        <v>2272</v>
      </c>
      <c r="P1291" s="3" t="s">
        <v>2272</v>
      </c>
      <c r="Q1291" s="3" t="s">
        <v>2272</v>
      </c>
      <c r="R1291" s="3" t="s">
        <v>2272</v>
      </c>
      <c r="S1291" s="3" t="s">
        <v>2272</v>
      </c>
      <c r="T1291" s="3" t="s">
        <v>2272</v>
      </c>
      <c r="U1291" s="3" t="s">
        <v>2272</v>
      </c>
      <c r="V1291" s="3" t="s">
        <v>2272</v>
      </c>
      <c r="W1291" s="3" t="s">
        <v>2272</v>
      </c>
      <c r="X1291" s="3" t="s">
        <v>2272</v>
      </c>
      <c r="Y1291" s="3" t="s">
        <v>397</v>
      </c>
      <c r="Z1291" s="3" t="s">
        <v>84</v>
      </c>
      <c r="AA1291" s="3" t="s">
        <v>2272</v>
      </c>
      <c r="AB1291" s="4" t="s">
        <v>3861</v>
      </c>
      <c r="AC1291" s="3"/>
      <c r="AD1291" s="159"/>
    </row>
    <row r="1292" spans="1:30" ht="46.5" customHeight="1">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198" t="s">
        <v>2272</v>
      </c>
      <c r="K1292" s="198" t="s">
        <v>2366</v>
      </c>
      <c r="L1292" s="3" t="s">
        <v>2272</v>
      </c>
      <c r="M1292" s="3" t="s">
        <v>2272</v>
      </c>
      <c r="N1292" s="3" t="s">
        <v>2272</v>
      </c>
      <c r="O1292" s="3" t="s">
        <v>2272</v>
      </c>
      <c r="P1292" s="3" t="s">
        <v>2272</v>
      </c>
      <c r="Q1292" s="3" t="s">
        <v>2272</v>
      </c>
      <c r="R1292" s="3" t="s">
        <v>2272</v>
      </c>
      <c r="S1292" s="3" t="s">
        <v>2272</v>
      </c>
      <c r="T1292" s="3" t="s">
        <v>2272</v>
      </c>
      <c r="U1292" s="3" t="s">
        <v>2272</v>
      </c>
      <c r="V1292" s="3" t="s">
        <v>2272</v>
      </c>
      <c r="W1292" s="3" t="s">
        <v>2272</v>
      </c>
      <c r="X1292" s="3" t="s">
        <v>2272</v>
      </c>
      <c r="Y1292" s="3" t="s">
        <v>397</v>
      </c>
      <c r="Z1292" s="3" t="s">
        <v>84</v>
      </c>
      <c r="AA1292" s="3" t="s">
        <v>2272</v>
      </c>
      <c r="AB1292" s="4" t="s">
        <v>3861</v>
      </c>
      <c r="AC1292" s="3"/>
      <c r="AD1292" s="159"/>
    </row>
    <row r="1293" spans="1:30" ht="46.5"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2272</v>
      </c>
      <c r="K1293" s="198" t="s">
        <v>2272</v>
      </c>
      <c r="L1293" s="3" t="s">
        <v>2272</v>
      </c>
      <c r="M1293" s="3" t="s">
        <v>2272</v>
      </c>
      <c r="N1293" s="3" t="s">
        <v>2272</v>
      </c>
      <c r="O1293" s="3" t="s">
        <v>2272</v>
      </c>
      <c r="P1293" s="3" t="s">
        <v>2272</v>
      </c>
      <c r="Q1293" s="3" t="s">
        <v>2272</v>
      </c>
      <c r="R1293" s="3" t="s">
        <v>2272</v>
      </c>
      <c r="S1293" s="3" t="s">
        <v>2272</v>
      </c>
      <c r="T1293" s="3" t="s">
        <v>2272</v>
      </c>
      <c r="U1293" s="3" t="s">
        <v>2272</v>
      </c>
      <c r="V1293" s="3" t="s">
        <v>2272</v>
      </c>
      <c r="W1293" s="3" t="s">
        <v>2272</v>
      </c>
      <c r="X1293" s="3" t="s">
        <v>2272</v>
      </c>
      <c r="Y1293" s="3" t="s">
        <v>2272</v>
      </c>
      <c r="Z1293" s="3" t="s">
        <v>2272</v>
      </c>
      <c r="AA1293" s="3" t="s">
        <v>2272</v>
      </c>
      <c r="AB1293" s="4" t="s">
        <v>3881</v>
      </c>
      <c r="AC1293" s="3"/>
    </row>
    <row r="1294" spans="1:30"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2272</v>
      </c>
      <c r="K1294" s="198" t="s">
        <v>2272</v>
      </c>
      <c r="L1294" s="3" t="s">
        <v>2272</v>
      </c>
      <c r="M1294" s="3" t="s">
        <v>2272</v>
      </c>
      <c r="N1294" s="3" t="s">
        <v>2272</v>
      </c>
      <c r="O1294" s="3" t="s">
        <v>2272</v>
      </c>
      <c r="P1294" s="3" t="s">
        <v>2272</v>
      </c>
      <c r="Q1294" s="3" t="s">
        <v>2272</v>
      </c>
      <c r="R1294" s="3" t="s">
        <v>2272</v>
      </c>
      <c r="S1294" s="3" t="s">
        <v>2272</v>
      </c>
      <c r="T1294" s="3" t="s">
        <v>2272</v>
      </c>
      <c r="U1294" s="3" t="s">
        <v>2272</v>
      </c>
      <c r="V1294" s="3" t="s">
        <v>2272</v>
      </c>
      <c r="W1294" s="3" t="s">
        <v>2272</v>
      </c>
      <c r="X1294" s="3" t="s">
        <v>2272</v>
      </c>
      <c r="Y1294" s="3" t="s">
        <v>2272</v>
      </c>
      <c r="Z1294" s="3" t="s">
        <v>2272</v>
      </c>
      <c r="AA1294" s="3" t="s">
        <v>2272</v>
      </c>
      <c r="AB1294" s="3"/>
      <c r="AC1294" s="3"/>
    </row>
    <row r="1295" spans="1:30"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2272</v>
      </c>
      <c r="K1295" s="198" t="s">
        <v>2272</v>
      </c>
      <c r="L1295" s="3" t="s">
        <v>2272</v>
      </c>
      <c r="M1295" s="3" t="s">
        <v>2272</v>
      </c>
      <c r="N1295" s="3" t="s">
        <v>2272</v>
      </c>
      <c r="O1295" s="3" t="s">
        <v>2272</v>
      </c>
      <c r="P1295" s="3" t="s">
        <v>2272</v>
      </c>
      <c r="Q1295" s="3" t="s">
        <v>2272</v>
      </c>
      <c r="R1295" s="3" t="s">
        <v>2272</v>
      </c>
      <c r="S1295" s="3" t="s">
        <v>2272</v>
      </c>
      <c r="T1295" s="3" t="s">
        <v>2272</v>
      </c>
      <c r="U1295" s="3" t="s">
        <v>2272</v>
      </c>
      <c r="V1295" s="3" t="s">
        <v>2272</v>
      </c>
      <c r="W1295" s="3" t="s">
        <v>2272</v>
      </c>
      <c r="X1295" s="3" t="s">
        <v>2272</v>
      </c>
      <c r="Y1295" s="3" t="s">
        <v>2272</v>
      </c>
      <c r="Z1295" s="3" t="s">
        <v>2272</v>
      </c>
      <c r="AA1295" s="3" t="s">
        <v>2272</v>
      </c>
      <c r="AB1295" s="3"/>
      <c r="AC1295" s="3"/>
    </row>
    <row r="1296" spans="1:30"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2272</v>
      </c>
      <c r="K1296" s="198" t="s">
        <v>2272</v>
      </c>
      <c r="L1296" s="3" t="s">
        <v>2272</v>
      </c>
      <c r="M1296" s="3" t="s">
        <v>2272</v>
      </c>
      <c r="N1296" s="3" t="s">
        <v>2272</v>
      </c>
      <c r="O1296" s="3" t="s">
        <v>2272</v>
      </c>
      <c r="P1296" s="3" t="s">
        <v>2272</v>
      </c>
      <c r="Q1296" s="3" t="s">
        <v>2272</v>
      </c>
      <c r="R1296" s="3" t="s">
        <v>2272</v>
      </c>
      <c r="S1296" s="3" t="s">
        <v>2272</v>
      </c>
      <c r="T1296" s="3" t="s">
        <v>2272</v>
      </c>
      <c r="U1296" s="3" t="s">
        <v>2272</v>
      </c>
      <c r="V1296" s="3" t="s">
        <v>2272</v>
      </c>
      <c r="W1296" s="3" t="s">
        <v>2272</v>
      </c>
      <c r="X1296" s="3" t="s">
        <v>2272</v>
      </c>
      <c r="Y1296" s="3" t="s">
        <v>2272</v>
      </c>
      <c r="Z1296" s="3" t="s">
        <v>2272</v>
      </c>
      <c r="AA1296" s="3" t="s">
        <v>2272</v>
      </c>
      <c r="AB1296" s="3"/>
      <c r="AC1296" s="3"/>
    </row>
    <row r="1297" spans="1:29"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2272</v>
      </c>
      <c r="K1297" s="198" t="s">
        <v>2272</v>
      </c>
      <c r="L1297" s="3" t="s">
        <v>2272</v>
      </c>
      <c r="M1297" s="3" t="s">
        <v>2272</v>
      </c>
      <c r="N1297" s="3" t="s">
        <v>2272</v>
      </c>
      <c r="O1297" s="3" t="s">
        <v>2272</v>
      </c>
      <c r="P1297" s="3" t="s">
        <v>2272</v>
      </c>
      <c r="Q1297" s="3" t="s">
        <v>2272</v>
      </c>
      <c r="R1297" s="3" t="s">
        <v>2272</v>
      </c>
      <c r="S1297" s="3" t="s">
        <v>2272</v>
      </c>
      <c r="T1297" s="3" t="s">
        <v>2272</v>
      </c>
      <c r="U1297" s="3" t="s">
        <v>2272</v>
      </c>
      <c r="V1297" s="3" t="s">
        <v>2272</v>
      </c>
      <c r="W1297" s="3" t="s">
        <v>2272</v>
      </c>
      <c r="X1297" s="3" t="s">
        <v>2272</v>
      </c>
      <c r="Y1297" s="3" t="s">
        <v>2272</v>
      </c>
      <c r="Z1297" s="3" t="s">
        <v>2272</v>
      </c>
      <c r="AA1297" s="3" t="s">
        <v>2272</v>
      </c>
      <c r="AB1297" s="3"/>
      <c r="AC1297" s="3"/>
    </row>
    <row r="1298" spans="1:29"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2272</v>
      </c>
      <c r="K1298" s="198" t="s">
        <v>2272</v>
      </c>
      <c r="L1298" s="3" t="s">
        <v>2272</v>
      </c>
      <c r="M1298" s="3" t="s">
        <v>2272</v>
      </c>
      <c r="N1298" s="3" t="s">
        <v>2272</v>
      </c>
      <c r="O1298" s="3" t="s">
        <v>2272</v>
      </c>
      <c r="P1298" s="3" t="s">
        <v>2272</v>
      </c>
      <c r="Q1298" s="3" t="s">
        <v>2272</v>
      </c>
      <c r="R1298" s="3" t="s">
        <v>2272</v>
      </c>
      <c r="S1298" s="3" t="s">
        <v>2272</v>
      </c>
      <c r="T1298" s="3" t="s">
        <v>2272</v>
      </c>
      <c r="U1298" s="3" t="s">
        <v>2272</v>
      </c>
      <c r="V1298" s="3" t="s">
        <v>2272</v>
      </c>
      <c r="W1298" s="3" t="s">
        <v>2272</v>
      </c>
      <c r="X1298" s="3" t="s">
        <v>2272</v>
      </c>
      <c r="Y1298" s="3" t="s">
        <v>2272</v>
      </c>
      <c r="Z1298" s="3" t="s">
        <v>2272</v>
      </c>
      <c r="AA1298" s="3" t="s">
        <v>2272</v>
      </c>
      <c r="AB1298" s="3"/>
      <c r="AC1298" s="3"/>
    </row>
    <row r="1299" spans="1:29"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2272</v>
      </c>
      <c r="K1299" s="198" t="s">
        <v>2272</v>
      </c>
      <c r="L1299" s="3" t="s">
        <v>2272</v>
      </c>
      <c r="M1299" s="3" t="s">
        <v>2272</v>
      </c>
      <c r="N1299" s="3" t="s">
        <v>2272</v>
      </c>
      <c r="O1299" s="3" t="s">
        <v>2272</v>
      </c>
      <c r="P1299" s="3" t="s">
        <v>2272</v>
      </c>
      <c r="Q1299" s="3" t="s">
        <v>2272</v>
      </c>
      <c r="R1299" s="3" t="s">
        <v>2272</v>
      </c>
      <c r="S1299" s="3" t="s">
        <v>2272</v>
      </c>
      <c r="T1299" s="3" t="s">
        <v>2272</v>
      </c>
      <c r="U1299" s="3" t="s">
        <v>2272</v>
      </c>
      <c r="V1299" s="3" t="s">
        <v>2272</v>
      </c>
      <c r="W1299" s="3" t="s">
        <v>2272</v>
      </c>
      <c r="X1299" s="3" t="s">
        <v>2272</v>
      </c>
      <c r="Y1299" s="3" t="s">
        <v>2272</v>
      </c>
      <c r="Z1299" s="3" t="s">
        <v>2272</v>
      </c>
      <c r="AA1299" s="3" t="s">
        <v>2272</v>
      </c>
      <c r="AB1299" s="3"/>
      <c r="AC1299" s="3"/>
    </row>
    <row r="1300" spans="1:29"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2272</v>
      </c>
      <c r="K1300" s="198" t="s">
        <v>2272</v>
      </c>
      <c r="L1300" s="3" t="s">
        <v>2272</v>
      </c>
      <c r="M1300" s="3" t="s">
        <v>2272</v>
      </c>
      <c r="N1300" s="3" t="s">
        <v>2272</v>
      </c>
      <c r="O1300" s="3" t="s">
        <v>2272</v>
      </c>
      <c r="P1300" s="3" t="s">
        <v>2272</v>
      </c>
      <c r="Q1300" s="3" t="s">
        <v>2272</v>
      </c>
      <c r="R1300" s="3" t="s">
        <v>2272</v>
      </c>
      <c r="S1300" s="3" t="s">
        <v>2272</v>
      </c>
      <c r="T1300" s="3" t="s">
        <v>2272</v>
      </c>
      <c r="U1300" s="3" t="s">
        <v>2272</v>
      </c>
      <c r="V1300" s="3" t="s">
        <v>2272</v>
      </c>
      <c r="W1300" s="3" t="s">
        <v>2272</v>
      </c>
      <c r="X1300" s="3" t="s">
        <v>2272</v>
      </c>
      <c r="Y1300" s="3" t="s">
        <v>186</v>
      </c>
      <c r="Z1300" s="3" t="s">
        <v>37</v>
      </c>
      <c r="AA1300" s="3" t="s">
        <v>2272</v>
      </c>
      <c r="AB1300" s="3"/>
      <c r="AC1300" s="3"/>
    </row>
    <row r="1301" spans="1:29"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2272</v>
      </c>
      <c r="K1301" s="198" t="s">
        <v>2272</v>
      </c>
      <c r="L1301" s="3" t="s">
        <v>2272</v>
      </c>
      <c r="M1301" s="3" t="s">
        <v>2272</v>
      </c>
      <c r="N1301" s="3" t="s">
        <v>2272</v>
      </c>
      <c r="O1301" s="3" t="s">
        <v>2272</v>
      </c>
      <c r="P1301" s="3" t="s">
        <v>2272</v>
      </c>
      <c r="Q1301" s="3" t="s">
        <v>2272</v>
      </c>
      <c r="R1301" s="3" t="s">
        <v>2272</v>
      </c>
      <c r="S1301" s="3" t="s">
        <v>2272</v>
      </c>
      <c r="T1301" s="3" t="s">
        <v>2272</v>
      </c>
      <c r="U1301" s="3" t="s">
        <v>2272</v>
      </c>
      <c r="V1301" s="3" t="s">
        <v>2272</v>
      </c>
      <c r="W1301" s="3" t="s">
        <v>2272</v>
      </c>
      <c r="X1301" s="3" t="s">
        <v>2272</v>
      </c>
      <c r="Y1301" s="3" t="s">
        <v>186</v>
      </c>
      <c r="Z1301" s="3" t="s">
        <v>37</v>
      </c>
      <c r="AA1301" s="3" t="s">
        <v>2272</v>
      </c>
      <c r="AB1301" s="3"/>
      <c r="AC1301" s="3"/>
    </row>
    <row r="1302" spans="1:29"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2272</v>
      </c>
      <c r="K1302" s="198" t="s">
        <v>2272</v>
      </c>
      <c r="L1302" s="3" t="s">
        <v>2272</v>
      </c>
      <c r="M1302" s="3" t="s">
        <v>2272</v>
      </c>
      <c r="N1302" s="3" t="s">
        <v>2272</v>
      </c>
      <c r="O1302" s="3" t="s">
        <v>2272</v>
      </c>
      <c r="P1302" s="3" t="s">
        <v>2272</v>
      </c>
      <c r="Q1302" s="3" t="s">
        <v>2272</v>
      </c>
      <c r="R1302" s="3" t="s">
        <v>2272</v>
      </c>
      <c r="S1302" s="3" t="s">
        <v>2272</v>
      </c>
      <c r="T1302" s="3" t="s">
        <v>2272</v>
      </c>
      <c r="U1302" s="3" t="s">
        <v>2272</v>
      </c>
      <c r="V1302" s="3" t="s">
        <v>2272</v>
      </c>
      <c r="W1302" s="3" t="s">
        <v>2272</v>
      </c>
      <c r="X1302" s="3" t="s">
        <v>2272</v>
      </c>
      <c r="Y1302" s="3" t="s">
        <v>34</v>
      </c>
      <c r="Z1302" s="3" t="s">
        <v>33</v>
      </c>
      <c r="AA1302" s="3" t="s">
        <v>2272</v>
      </c>
      <c r="AB1302" s="3"/>
      <c r="AC1302" s="4" t="s">
        <v>3910</v>
      </c>
    </row>
    <row r="1303" spans="1:29"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2272</v>
      </c>
      <c r="K1303" s="198" t="s">
        <v>2272</v>
      </c>
      <c r="L1303" s="3" t="s">
        <v>2272</v>
      </c>
      <c r="M1303" s="3" t="s">
        <v>2272</v>
      </c>
      <c r="N1303" s="3" t="s">
        <v>2272</v>
      </c>
      <c r="O1303" s="3" t="s">
        <v>2272</v>
      </c>
      <c r="P1303" s="3" t="s">
        <v>2272</v>
      </c>
      <c r="Q1303" s="3" t="s">
        <v>2272</v>
      </c>
      <c r="R1303" s="3" t="s">
        <v>2272</v>
      </c>
      <c r="S1303" s="3" t="s">
        <v>2272</v>
      </c>
      <c r="T1303" s="3" t="s">
        <v>2272</v>
      </c>
      <c r="U1303" s="3" t="s">
        <v>2272</v>
      </c>
      <c r="V1303" s="3" t="s">
        <v>2272</v>
      </c>
      <c r="W1303" s="3" t="s">
        <v>2272</v>
      </c>
      <c r="X1303" s="3" t="s">
        <v>2272</v>
      </c>
      <c r="Y1303" s="3" t="s">
        <v>34</v>
      </c>
      <c r="Z1303" s="3" t="s">
        <v>33</v>
      </c>
      <c r="AA1303" s="3" t="s">
        <v>2272</v>
      </c>
      <c r="AB1303" s="3"/>
      <c r="AC1303" s="4" t="s">
        <v>3910</v>
      </c>
    </row>
    <row r="1304" spans="1:29"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2272</v>
      </c>
      <c r="K1304" s="198" t="s">
        <v>2272</v>
      </c>
      <c r="L1304" s="3" t="s">
        <v>2272</v>
      </c>
      <c r="M1304" s="3" t="s">
        <v>2272</v>
      </c>
      <c r="N1304" s="3" t="s">
        <v>2272</v>
      </c>
      <c r="O1304" s="3" t="s">
        <v>2272</v>
      </c>
      <c r="P1304" s="3" t="s">
        <v>2272</v>
      </c>
      <c r="Q1304" s="3" t="s">
        <v>2272</v>
      </c>
      <c r="R1304" s="3" t="s">
        <v>2272</v>
      </c>
      <c r="S1304" s="3" t="s">
        <v>2272</v>
      </c>
      <c r="T1304" s="3" t="s">
        <v>2272</v>
      </c>
      <c r="U1304" s="3" t="s">
        <v>2272</v>
      </c>
      <c r="V1304" s="3" t="s">
        <v>2272</v>
      </c>
      <c r="W1304" s="3" t="s">
        <v>2272</v>
      </c>
      <c r="X1304" s="3" t="s">
        <v>2272</v>
      </c>
      <c r="Y1304" s="3" t="s">
        <v>34</v>
      </c>
      <c r="Z1304" s="3" t="s">
        <v>33</v>
      </c>
      <c r="AA1304" s="3" t="s">
        <v>2272</v>
      </c>
      <c r="AB1304" s="3"/>
      <c r="AC1304" s="4" t="s">
        <v>3910</v>
      </c>
    </row>
    <row r="1305" spans="1:29"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2272</v>
      </c>
      <c r="K1305" s="198" t="s">
        <v>2272</v>
      </c>
      <c r="L1305" s="3" t="s">
        <v>2272</v>
      </c>
      <c r="M1305" s="3" t="s">
        <v>2272</v>
      </c>
      <c r="N1305" s="3" t="s">
        <v>2272</v>
      </c>
      <c r="O1305" s="3" t="s">
        <v>2272</v>
      </c>
      <c r="P1305" s="3" t="s">
        <v>2272</v>
      </c>
      <c r="Q1305" s="3" t="s">
        <v>2272</v>
      </c>
      <c r="R1305" s="3" t="s">
        <v>2272</v>
      </c>
      <c r="S1305" s="3" t="s">
        <v>2272</v>
      </c>
      <c r="T1305" s="3" t="s">
        <v>2272</v>
      </c>
      <c r="U1305" s="3" t="s">
        <v>2272</v>
      </c>
      <c r="V1305" s="3" t="s">
        <v>2272</v>
      </c>
      <c r="W1305" s="3" t="s">
        <v>2272</v>
      </c>
      <c r="X1305" s="3" t="s">
        <v>2272</v>
      </c>
      <c r="Y1305" s="3" t="s">
        <v>34</v>
      </c>
      <c r="Z1305" s="3" t="s">
        <v>33</v>
      </c>
      <c r="AA1305" s="3" t="s">
        <v>2272</v>
      </c>
      <c r="AB1305" s="3"/>
      <c r="AC1305" s="4" t="s">
        <v>3910</v>
      </c>
    </row>
    <row r="1306" spans="1:29"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2272</v>
      </c>
      <c r="K1306" s="198" t="s">
        <v>2272</v>
      </c>
      <c r="L1306" s="3" t="s">
        <v>2272</v>
      </c>
      <c r="M1306" s="3" t="s">
        <v>2272</v>
      </c>
      <c r="N1306" s="3" t="s">
        <v>2272</v>
      </c>
      <c r="O1306" s="3" t="s">
        <v>2272</v>
      </c>
      <c r="P1306" s="3" t="s">
        <v>2272</v>
      </c>
      <c r="Q1306" s="3" t="s">
        <v>2272</v>
      </c>
      <c r="R1306" s="3" t="s">
        <v>2272</v>
      </c>
      <c r="S1306" s="3" t="s">
        <v>2272</v>
      </c>
      <c r="T1306" s="3" t="s">
        <v>2272</v>
      </c>
      <c r="U1306" s="3" t="s">
        <v>2272</v>
      </c>
      <c r="V1306" s="3" t="s">
        <v>2272</v>
      </c>
      <c r="W1306" s="3" t="s">
        <v>2272</v>
      </c>
      <c r="X1306" s="3" t="s">
        <v>2272</v>
      </c>
      <c r="Y1306" s="3" t="s">
        <v>34</v>
      </c>
      <c r="Z1306" s="3" t="s">
        <v>33</v>
      </c>
      <c r="AA1306" s="3" t="s">
        <v>2272</v>
      </c>
      <c r="AB1306" s="3"/>
      <c r="AC1306" s="4" t="s">
        <v>3910</v>
      </c>
    </row>
    <row r="1307" spans="1:29"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2272</v>
      </c>
      <c r="K1307" s="198" t="s">
        <v>2272</v>
      </c>
      <c r="L1307" s="3" t="s">
        <v>2272</v>
      </c>
      <c r="M1307" s="3" t="s">
        <v>2272</v>
      </c>
      <c r="N1307" s="3" t="s">
        <v>2272</v>
      </c>
      <c r="O1307" s="3" t="s">
        <v>2272</v>
      </c>
      <c r="P1307" s="3" t="s">
        <v>2272</v>
      </c>
      <c r="Q1307" s="3" t="s">
        <v>2272</v>
      </c>
      <c r="R1307" s="3" t="s">
        <v>2272</v>
      </c>
      <c r="S1307" s="3" t="s">
        <v>2272</v>
      </c>
      <c r="T1307" s="3" t="s">
        <v>2272</v>
      </c>
      <c r="U1307" s="3" t="s">
        <v>2272</v>
      </c>
      <c r="V1307" s="3" t="s">
        <v>2272</v>
      </c>
      <c r="W1307" s="3" t="s">
        <v>2272</v>
      </c>
      <c r="X1307" s="3" t="s">
        <v>2272</v>
      </c>
      <c r="Y1307" s="3" t="s">
        <v>34</v>
      </c>
      <c r="Z1307" s="3" t="s">
        <v>33</v>
      </c>
      <c r="AA1307" s="3" t="s">
        <v>2272</v>
      </c>
      <c r="AB1307" s="3"/>
      <c r="AC1307" s="4" t="s">
        <v>3910</v>
      </c>
    </row>
    <row r="1308" spans="1:29" ht="29">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2272</v>
      </c>
      <c r="K1308" s="198" t="s">
        <v>2272</v>
      </c>
      <c r="L1308" s="3" t="s">
        <v>2272</v>
      </c>
      <c r="M1308" s="3" t="s">
        <v>2272</v>
      </c>
      <c r="N1308" s="3" t="s">
        <v>2272</v>
      </c>
      <c r="O1308" s="3" t="s">
        <v>2272</v>
      </c>
      <c r="P1308" s="3" t="s">
        <v>2272</v>
      </c>
      <c r="Q1308" s="3" t="s">
        <v>2272</v>
      </c>
      <c r="R1308" s="3" t="s">
        <v>2272</v>
      </c>
      <c r="S1308" s="3" t="s">
        <v>2272</v>
      </c>
      <c r="T1308" s="3" t="s">
        <v>2272</v>
      </c>
      <c r="U1308" s="3" t="s">
        <v>2272</v>
      </c>
      <c r="V1308" s="3" t="s">
        <v>2272</v>
      </c>
      <c r="W1308" s="3" t="s">
        <v>2272</v>
      </c>
      <c r="X1308" s="3" t="s">
        <v>2272</v>
      </c>
      <c r="Y1308" s="3" t="s">
        <v>2272</v>
      </c>
      <c r="Z1308" s="3" t="s">
        <v>2272</v>
      </c>
      <c r="AA1308" s="3" t="s">
        <v>2272</v>
      </c>
      <c r="AB1308" s="4" t="s">
        <v>4378</v>
      </c>
      <c r="AC1308" s="4" t="s">
        <v>3955</v>
      </c>
    </row>
    <row r="1309" spans="1:29" ht="29">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2272</v>
      </c>
      <c r="K1309" s="198" t="s">
        <v>2272</v>
      </c>
      <c r="L1309" s="3" t="s">
        <v>2272</v>
      </c>
      <c r="M1309" s="3" t="s">
        <v>2272</v>
      </c>
      <c r="N1309" s="3" t="s">
        <v>2272</v>
      </c>
      <c r="O1309" s="3" t="s">
        <v>2272</v>
      </c>
      <c r="P1309" s="3" t="s">
        <v>2272</v>
      </c>
      <c r="Q1309" s="3" t="s">
        <v>2272</v>
      </c>
      <c r="R1309" s="3" t="s">
        <v>2272</v>
      </c>
      <c r="S1309" s="3" t="s">
        <v>2272</v>
      </c>
      <c r="T1309" s="3" t="s">
        <v>2272</v>
      </c>
      <c r="U1309" s="3" t="s">
        <v>2272</v>
      </c>
      <c r="V1309" s="3" t="s">
        <v>2272</v>
      </c>
      <c r="W1309" s="3" t="s">
        <v>2272</v>
      </c>
      <c r="X1309" s="3" t="s">
        <v>2272</v>
      </c>
      <c r="Y1309" s="3" t="s">
        <v>2272</v>
      </c>
      <c r="Z1309" s="3" t="s">
        <v>2272</v>
      </c>
      <c r="AA1309" s="3" t="s">
        <v>2272</v>
      </c>
      <c r="AB1309" s="4" t="s">
        <v>4378</v>
      </c>
      <c r="AC1309" s="4" t="s">
        <v>3955</v>
      </c>
    </row>
    <row r="1310" spans="1:29" ht="29">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2272</v>
      </c>
      <c r="K1310" s="198" t="s">
        <v>2272</v>
      </c>
      <c r="L1310" s="3" t="s">
        <v>2272</v>
      </c>
      <c r="M1310" s="3" t="s">
        <v>2272</v>
      </c>
      <c r="N1310" s="3" t="s">
        <v>2272</v>
      </c>
      <c r="O1310" s="3" t="s">
        <v>2272</v>
      </c>
      <c r="P1310" s="3" t="s">
        <v>2272</v>
      </c>
      <c r="Q1310" s="3" t="s">
        <v>2272</v>
      </c>
      <c r="R1310" s="3" t="s">
        <v>2272</v>
      </c>
      <c r="S1310" s="3" t="s">
        <v>2272</v>
      </c>
      <c r="T1310" s="3" t="s">
        <v>2272</v>
      </c>
      <c r="U1310" s="3" t="s">
        <v>2272</v>
      </c>
      <c r="V1310" s="3" t="s">
        <v>2272</v>
      </c>
      <c r="W1310" s="3" t="s">
        <v>2272</v>
      </c>
      <c r="X1310" s="3" t="s">
        <v>2272</v>
      </c>
      <c r="Y1310" s="3" t="s">
        <v>2272</v>
      </c>
      <c r="Z1310" s="3" t="s">
        <v>2272</v>
      </c>
      <c r="AA1310" s="3" t="s">
        <v>2272</v>
      </c>
      <c r="AB1310" s="4" t="s">
        <v>4378</v>
      </c>
      <c r="AC1310" s="4" t="s">
        <v>3955</v>
      </c>
    </row>
    <row r="1311" spans="1:29" ht="29">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2272</v>
      </c>
      <c r="K1311" s="198" t="s">
        <v>2272</v>
      </c>
      <c r="L1311" s="3" t="s">
        <v>2272</v>
      </c>
      <c r="M1311" s="3" t="s">
        <v>2272</v>
      </c>
      <c r="N1311" s="3" t="s">
        <v>2272</v>
      </c>
      <c r="O1311" s="3" t="s">
        <v>2272</v>
      </c>
      <c r="P1311" s="3" t="s">
        <v>2272</v>
      </c>
      <c r="Q1311" s="3" t="s">
        <v>2272</v>
      </c>
      <c r="R1311" s="3" t="s">
        <v>2272</v>
      </c>
      <c r="S1311" s="3" t="s">
        <v>2272</v>
      </c>
      <c r="T1311" s="3" t="s">
        <v>2272</v>
      </c>
      <c r="U1311" s="3" t="s">
        <v>2272</v>
      </c>
      <c r="V1311" s="3" t="s">
        <v>2272</v>
      </c>
      <c r="W1311" s="3" t="s">
        <v>2272</v>
      </c>
      <c r="X1311" s="3" t="s">
        <v>2272</v>
      </c>
      <c r="Y1311" s="3" t="s">
        <v>2272</v>
      </c>
      <c r="Z1311" s="3" t="s">
        <v>2272</v>
      </c>
      <c r="AA1311" s="3" t="s">
        <v>2272</v>
      </c>
      <c r="AB1311" s="4" t="s">
        <v>4378</v>
      </c>
      <c r="AC1311" s="4" t="s">
        <v>3955</v>
      </c>
    </row>
    <row r="1312" spans="1:29" ht="29">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2272</v>
      </c>
      <c r="K1312" s="198" t="s">
        <v>2272</v>
      </c>
      <c r="L1312" s="3" t="s">
        <v>2272</v>
      </c>
      <c r="M1312" s="3" t="s">
        <v>2272</v>
      </c>
      <c r="N1312" s="3" t="s">
        <v>2272</v>
      </c>
      <c r="O1312" s="3" t="s">
        <v>2272</v>
      </c>
      <c r="P1312" s="3" t="s">
        <v>2272</v>
      </c>
      <c r="Q1312" s="3" t="s">
        <v>2272</v>
      </c>
      <c r="R1312" s="3" t="s">
        <v>2272</v>
      </c>
      <c r="S1312" s="3" t="s">
        <v>2272</v>
      </c>
      <c r="T1312" s="3" t="s">
        <v>2272</v>
      </c>
      <c r="U1312" s="3" t="s">
        <v>2272</v>
      </c>
      <c r="V1312" s="3" t="s">
        <v>2272</v>
      </c>
      <c r="W1312" s="3" t="s">
        <v>2272</v>
      </c>
      <c r="X1312" s="3" t="s">
        <v>2272</v>
      </c>
      <c r="Y1312" s="3" t="s">
        <v>2272</v>
      </c>
      <c r="Z1312" s="3" t="s">
        <v>2272</v>
      </c>
      <c r="AA1312" s="3" t="s">
        <v>2272</v>
      </c>
      <c r="AB1312" s="4" t="s">
        <v>4379</v>
      </c>
      <c r="AC1312" s="4" t="s">
        <v>3955</v>
      </c>
    </row>
    <row r="1313" spans="1:29" ht="29">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2272</v>
      </c>
      <c r="K1313" s="198" t="s">
        <v>2272</v>
      </c>
      <c r="L1313" s="3" t="s">
        <v>2272</v>
      </c>
      <c r="M1313" s="3" t="s">
        <v>2272</v>
      </c>
      <c r="N1313" s="3" t="s">
        <v>2272</v>
      </c>
      <c r="O1313" s="3" t="s">
        <v>2272</v>
      </c>
      <c r="P1313" s="3" t="s">
        <v>2272</v>
      </c>
      <c r="Q1313" s="3" t="s">
        <v>2272</v>
      </c>
      <c r="R1313" s="3" t="s">
        <v>2272</v>
      </c>
      <c r="S1313" s="3" t="s">
        <v>2272</v>
      </c>
      <c r="T1313" s="3" t="s">
        <v>2272</v>
      </c>
      <c r="U1313" s="3" t="s">
        <v>2272</v>
      </c>
      <c r="V1313" s="3" t="s">
        <v>2272</v>
      </c>
      <c r="W1313" s="3" t="s">
        <v>2272</v>
      </c>
      <c r="X1313" s="3" t="s">
        <v>2272</v>
      </c>
      <c r="Y1313" s="3" t="s">
        <v>2272</v>
      </c>
      <c r="Z1313" s="3" t="s">
        <v>2272</v>
      </c>
      <c r="AA1313" s="3" t="s">
        <v>2272</v>
      </c>
      <c r="AB1313" s="4" t="s">
        <v>4379</v>
      </c>
      <c r="AC1313" s="4" t="s">
        <v>3955</v>
      </c>
    </row>
    <row r="1314" spans="1:29" ht="29">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2272</v>
      </c>
      <c r="K1314" s="198" t="s">
        <v>2272</v>
      </c>
      <c r="L1314" s="3" t="s">
        <v>2272</v>
      </c>
      <c r="M1314" s="3" t="s">
        <v>2272</v>
      </c>
      <c r="N1314" s="3" t="s">
        <v>2272</v>
      </c>
      <c r="O1314" s="3" t="s">
        <v>2272</v>
      </c>
      <c r="P1314" s="3" t="s">
        <v>2272</v>
      </c>
      <c r="Q1314" s="3" t="s">
        <v>2272</v>
      </c>
      <c r="R1314" s="3" t="s">
        <v>2272</v>
      </c>
      <c r="S1314" s="3" t="s">
        <v>2272</v>
      </c>
      <c r="T1314" s="3" t="s">
        <v>2272</v>
      </c>
      <c r="U1314" s="3" t="s">
        <v>2272</v>
      </c>
      <c r="V1314" s="3" t="s">
        <v>2272</v>
      </c>
      <c r="W1314" s="3" t="s">
        <v>2272</v>
      </c>
      <c r="X1314" s="3" t="s">
        <v>2272</v>
      </c>
      <c r="Y1314" s="3" t="s">
        <v>2272</v>
      </c>
      <c r="Z1314" s="3" t="s">
        <v>2272</v>
      </c>
      <c r="AA1314" s="3" t="s">
        <v>2272</v>
      </c>
      <c r="AB1314" s="4" t="s">
        <v>4380</v>
      </c>
      <c r="AC1314" s="4" t="s">
        <v>3955</v>
      </c>
    </row>
    <row r="1315" spans="1:29" ht="29">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2272</v>
      </c>
      <c r="K1315" s="198" t="s">
        <v>2272</v>
      </c>
      <c r="L1315" s="3" t="s">
        <v>2272</v>
      </c>
      <c r="M1315" s="3" t="s">
        <v>2272</v>
      </c>
      <c r="N1315" s="3" t="s">
        <v>2272</v>
      </c>
      <c r="O1315" s="3" t="s">
        <v>2272</v>
      </c>
      <c r="P1315" s="3" t="s">
        <v>2272</v>
      </c>
      <c r="Q1315" s="3" t="s">
        <v>2272</v>
      </c>
      <c r="R1315" s="3" t="s">
        <v>2272</v>
      </c>
      <c r="S1315" s="3" t="s">
        <v>2272</v>
      </c>
      <c r="T1315" s="3" t="s">
        <v>2272</v>
      </c>
      <c r="U1315" s="3" t="s">
        <v>2272</v>
      </c>
      <c r="V1315" s="3" t="s">
        <v>2272</v>
      </c>
      <c r="W1315" s="3" t="s">
        <v>2272</v>
      </c>
      <c r="X1315" s="3" t="s">
        <v>2272</v>
      </c>
      <c r="Y1315" s="3" t="s">
        <v>2272</v>
      </c>
      <c r="Z1315" s="3" t="s">
        <v>2272</v>
      </c>
      <c r="AA1315" s="3" t="s">
        <v>2272</v>
      </c>
      <c r="AB1315" s="4" t="s">
        <v>4378</v>
      </c>
      <c r="AC1315" s="4" t="s">
        <v>3955</v>
      </c>
    </row>
    <row r="1316" spans="1:29" ht="29">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2272</v>
      </c>
      <c r="K1316" s="198" t="s">
        <v>2272</v>
      </c>
      <c r="L1316" s="3" t="s">
        <v>2272</v>
      </c>
      <c r="M1316" s="3" t="s">
        <v>2272</v>
      </c>
      <c r="N1316" s="3" t="s">
        <v>2272</v>
      </c>
      <c r="O1316" s="3" t="s">
        <v>2272</v>
      </c>
      <c r="P1316" s="3" t="s">
        <v>2272</v>
      </c>
      <c r="Q1316" s="3" t="s">
        <v>2272</v>
      </c>
      <c r="R1316" s="3" t="s">
        <v>2272</v>
      </c>
      <c r="S1316" s="3" t="s">
        <v>2272</v>
      </c>
      <c r="T1316" s="3" t="s">
        <v>2272</v>
      </c>
      <c r="U1316" s="3" t="s">
        <v>2272</v>
      </c>
      <c r="V1316" s="3" t="s">
        <v>2272</v>
      </c>
      <c r="W1316" s="3" t="s">
        <v>2272</v>
      </c>
      <c r="X1316" s="3" t="s">
        <v>2272</v>
      </c>
      <c r="Y1316" s="3" t="s">
        <v>2272</v>
      </c>
      <c r="Z1316" s="3" t="s">
        <v>2272</v>
      </c>
      <c r="AA1316" s="3" t="s">
        <v>2272</v>
      </c>
      <c r="AB1316" s="4" t="s">
        <v>4378</v>
      </c>
      <c r="AC1316" s="4" t="s">
        <v>3955</v>
      </c>
    </row>
    <row r="1317" spans="1:29" ht="29">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2272</v>
      </c>
      <c r="K1317" s="198" t="s">
        <v>2272</v>
      </c>
      <c r="L1317" s="3" t="s">
        <v>2272</v>
      </c>
      <c r="M1317" s="3" t="s">
        <v>2272</v>
      </c>
      <c r="N1317" s="3" t="s">
        <v>2272</v>
      </c>
      <c r="O1317" s="3" t="s">
        <v>2272</v>
      </c>
      <c r="P1317" s="3" t="s">
        <v>2272</v>
      </c>
      <c r="Q1317" s="3" t="s">
        <v>2272</v>
      </c>
      <c r="R1317" s="3" t="s">
        <v>2272</v>
      </c>
      <c r="S1317" s="3" t="s">
        <v>2272</v>
      </c>
      <c r="T1317" s="3" t="s">
        <v>2272</v>
      </c>
      <c r="U1317" s="3" t="s">
        <v>2272</v>
      </c>
      <c r="V1317" s="3" t="s">
        <v>2272</v>
      </c>
      <c r="W1317" s="3" t="s">
        <v>2272</v>
      </c>
      <c r="X1317" s="3" t="s">
        <v>2272</v>
      </c>
      <c r="Y1317" s="3" t="s">
        <v>2272</v>
      </c>
      <c r="Z1317" s="3" t="s">
        <v>2272</v>
      </c>
      <c r="AA1317" s="3" t="s">
        <v>2272</v>
      </c>
      <c r="AB1317" s="4" t="s">
        <v>4378</v>
      </c>
      <c r="AC1317" s="4" t="s">
        <v>3955</v>
      </c>
    </row>
    <row r="1318" spans="1:29" ht="29">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2272</v>
      </c>
      <c r="K1318" s="198" t="s">
        <v>2272</v>
      </c>
      <c r="L1318" s="3" t="s">
        <v>2272</v>
      </c>
      <c r="M1318" s="3" t="s">
        <v>2272</v>
      </c>
      <c r="N1318" s="3" t="s">
        <v>2272</v>
      </c>
      <c r="O1318" s="3" t="s">
        <v>2272</v>
      </c>
      <c r="P1318" s="3" t="s">
        <v>2272</v>
      </c>
      <c r="Q1318" s="3" t="s">
        <v>2272</v>
      </c>
      <c r="R1318" s="3" t="s">
        <v>2272</v>
      </c>
      <c r="S1318" s="3" t="s">
        <v>2272</v>
      </c>
      <c r="T1318" s="3" t="s">
        <v>2272</v>
      </c>
      <c r="U1318" s="3" t="s">
        <v>2272</v>
      </c>
      <c r="V1318" s="3" t="s">
        <v>2272</v>
      </c>
      <c r="W1318" s="3" t="s">
        <v>2272</v>
      </c>
      <c r="X1318" s="3" t="s">
        <v>2272</v>
      </c>
      <c r="Y1318" s="3" t="s">
        <v>2272</v>
      </c>
      <c r="Z1318" s="3" t="s">
        <v>2272</v>
      </c>
      <c r="AA1318" s="3" t="s">
        <v>2272</v>
      </c>
      <c r="AB1318" s="4" t="s">
        <v>4381</v>
      </c>
      <c r="AC1318" s="4" t="s">
        <v>3955</v>
      </c>
    </row>
    <row r="1319" spans="1:29" ht="29">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2272</v>
      </c>
      <c r="K1319" s="198" t="s">
        <v>2272</v>
      </c>
      <c r="L1319" s="3" t="s">
        <v>2272</v>
      </c>
      <c r="M1319" s="3" t="s">
        <v>2272</v>
      </c>
      <c r="N1319" s="3" t="s">
        <v>2272</v>
      </c>
      <c r="O1319" s="3" t="s">
        <v>2272</v>
      </c>
      <c r="P1319" s="3" t="s">
        <v>2272</v>
      </c>
      <c r="Q1319" s="3" t="s">
        <v>2272</v>
      </c>
      <c r="R1319" s="3" t="s">
        <v>2272</v>
      </c>
      <c r="S1319" s="3" t="s">
        <v>2272</v>
      </c>
      <c r="T1319" s="3" t="s">
        <v>2272</v>
      </c>
      <c r="U1319" s="3" t="s">
        <v>2272</v>
      </c>
      <c r="V1319" s="3" t="s">
        <v>2272</v>
      </c>
      <c r="W1319" s="3" t="s">
        <v>2272</v>
      </c>
      <c r="X1319" s="3" t="s">
        <v>2272</v>
      </c>
      <c r="Y1319" s="3" t="s">
        <v>2272</v>
      </c>
      <c r="Z1319" s="3" t="s">
        <v>2272</v>
      </c>
      <c r="AA1319" s="3" t="s">
        <v>2272</v>
      </c>
      <c r="AB1319" s="4" t="s">
        <v>4379</v>
      </c>
      <c r="AC1319" s="4" t="s">
        <v>3955</v>
      </c>
    </row>
    <row r="1320" spans="1:29" ht="29">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2272</v>
      </c>
      <c r="K1320" s="198" t="s">
        <v>2272</v>
      </c>
      <c r="L1320" s="3" t="s">
        <v>2272</v>
      </c>
      <c r="M1320" s="3" t="s">
        <v>2272</v>
      </c>
      <c r="N1320" s="3" t="s">
        <v>2272</v>
      </c>
      <c r="O1320" s="3" t="s">
        <v>2272</v>
      </c>
      <c r="P1320" s="3" t="s">
        <v>2272</v>
      </c>
      <c r="Q1320" s="3" t="s">
        <v>2272</v>
      </c>
      <c r="R1320" s="3" t="s">
        <v>2272</v>
      </c>
      <c r="S1320" s="3" t="s">
        <v>2272</v>
      </c>
      <c r="T1320" s="3" t="s">
        <v>2272</v>
      </c>
      <c r="U1320" s="3" t="s">
        <v>2272</v>
      </c>
      <c r="V1320" s="3" t="s">
        <v>2272</v>
      </c>
      <c r="W1320" s="3" t="s">
        <v>2272</v>
      </c>
      <c r="X1320" s="3" t="s">
        <v>2272</v>
      </c>
      <c r="Y1320" s="3" t="s">
        <v>2272</v>
      </c>
      <c r="Z1320" s="3" t="s">
        <v>2272</v>
      </c>
      <c r="AA1320" s="3" t="s">
        <v>2272</v>
      </c>
      <c r="AB1320" s="4" t="s">
        <v>4379</v>
      </c>
      <c r="AC1320" s="4" t="s">
        <v>3955</v>
      </c>
    </row>
    <row r="1321" spans="1:29" ht="29">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2272</v>
      </c>
      <c r="K1321" s="198" t="s">
        <v>2272</v>
      </c>
      <c r="L1321" s="3" t="s">
        <v>2272</v>
      </c>
      <c r="M1321" s="3" t="s">
        <v>2272</v>
      </c>
      <c r="N1321" s="3" t="s">
        <v>2272</v>
      </c>
      <c r="O1321" s="3" t="s">
        <v>2272</v>
      </c>
      <c r="P1321" s="3" t="s">
        <v>2272</v>
      </c>
      <c r="Q1321" s="3" t="s">
        <v>2272</v>
      </c>
      <c r="R1321" s="3" t="s">
        <v>2272</v>
      </c>
      <c r="S1321" s="3" t="s">
        <v>2272</v>
      </c>
      <c r="T1321" s="3" t="s">
        <v>2272</v>
      </c>
      <c r="U1321" s="3" t="s">
        <v>2272</v>
      </c>
      <c r="V1321" s="3" t="s">
        <v>2272</v>
      </c>
      <c r="W1321" s="3" t="s">
        <v>2272</v>
      </c>
      <c r="X1321" s="3" t="s">
        <v>2272</v>
      </c>
      <c r="Y1321" s="3" t="s">
        <v>2272</v>
      </c>
      <c r="Z1321" s="3" t="s">
        <v>2272</v>
      </c>
      <c r="AA1321" s="3" t="s">
        <v>2272</v>
      </c>
      <c r="AB1321" s="4" t="s">
        <v>4380</v>
      </c>
      <c r="AC1321" s="4" t="s">
        <v>3955</v>
      </c>
    </row>
    <row r="1322" spans="1:29"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2272</v>
      </c>
      <c r="K1322" s="198" t="s">
        <v>2272</v>
      </c>
      <c r="L1322" s="3" t="s">
        <v>2272</v>
      </c>
      <c r="M1322" s="3" t="s">
        <v>2272</v>
      </c>
      <c r="N1322" s="3" t="s">
        <v>2272</v>
      </c>
      <c r="O1322" s="3" t="s">
        <v>2272</v>
      </c>
      <c r="P1322" s="3" t="s">
        <v>2272</v>
      </c>
      <c r="Q1322" s="3" t="s">
        <v>2272</v>
      </c>
      <c r="R1322" s="3" t="s">
        <v>2272</v>
      </c>
      <c r="S1322" s="3" t="s">
        <v>2272</v>
      </c>
      <c r="T1322" s="3" t="s">
        <v>2272</v>
      </c>
      <c r="U1322" s="3" t="s">
        <v>2272</v>
      </c>
      <c r="V1322" s="3" t="s">
        <v>2272</v>
      </c>
      <c r="W1322" s="3" t="s">
        <v>2272</v>
      </c>
      <c r="X1322" s="3" t="s">
        <v>2272</v>
      </c>
      <c r="Y1322" s="3" t="s">
        <v>2272</v>
      </c>
      <c r="Z1322" s="3" t="s">
        <v>2272</v>
      </c>
      <c r="AA1322" s="3" t="s">
        <v>2272</v>
      </c>
      <c r="AB1322" s="3" t="s">
        <v>3974</v>
      </c>
      <c r="AC1322" s="3"/>
    </row>
    <row r="1323" spans="1:29"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2272</v>
      </c>
      <c r="K1323" s="198" t="s">
        <v>2272</v>
      </c>
      <c r="L1323" s="3" t="s">
        <v>2272</v>
      </c>
      <c r="M1323" s="3" t="s">
        <v>2272</v>
      </c>
      <c r="N1323" s="3" t="s">
        <v>2272</v>
      </c>
      <c r="O1323" s="3" t="s">
        <v>2272</v>
      </c>
      <c r="P1323" s="3" t="s">
        <v>2272</v>
      </c>
      <c r="Q1323" s="3" t="s">
        <v>2272</v>
      </c>
      <c r="R1323" s="3" t="s">
        <v>2272</v>
      </c>
      <c r="S1323" s="3" t="s">
        <v>2272</v>
      </c>
      <c r="T1323" s="3" t="s">
        <v>2272</v>
      </c>
      <c r="U1323" s="3" t="s">
        <v>2272</v>
      </c>
      <c r="V1323" s="3" t="s">
        <v>2272</v>
      </c>
      <c r="W1323" s="3" t="s">
        <v>2272</v>
      </c>
      <c r="X1323" s="3" t="s">
        <v>2272</v>
      </c>
      <c r="Y1323" s="3" t="s">
        <v>2272</v>
      </c>
      <c r="Z1323" s="3" t="s">
        <v>2272</v>
      </c>
      <c r="AA1323" s="3" t="s">
        <v>2272</v>
      </c>
      <c r="AB1323" s="3" t="s">
        <v>3974</v>
      </c>
      <c r="AC1323" s="3"/>
    </row>
    <row r="1324" spans="1:29"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2272</v>
      </c>
      <c r="K1324" s="198" t="s">
        <v>2272</v>
      </c>
      <c r="L1324" s="3" t="s">
        <v>2272</v>
      </c>
      <c r="M1324" s="3" t="s">
        <v>2272</v>
      </c>
      <c r="N1324" s="3" t="s">
        <v>2272</v>
      </c>
      <c r="O1324" s="3" t="s">
        <v>2272</v>
      </c>
      <c r="P1324" s="3" t="s">
        <v>2272</v>
      </c>
      <c r="Q1324" s="3" t="s">
        <v>2272</v>
      </c>
      <c r="R1324" s="3" t="s">
        <v>2272</v>
      </c>
      <c r="S1324" s="3" t="s">
        <v>2272</v>
      </c>
      <c r="T1324" s="3" t="s">
        <v>2272</v>
      </c>
      <c r="U1324" s="3" t="s">
        <v>2272</v>
      </c>
      <c r="V1324" s="3" t="s">
        <v>2272</v>
      </c>
      <c r="W1324" s="3" t="s">
        <v>2272</v>
      </c>
      <c r="X1324" s="3" t="s">
        <v>2272</v>
      </c>
      <c r="Y1324" s="3" t="s">
        <v>2272</v>
      </c>
      <c r="Z1324" s="3" t="s">
        <v>2272</v>
      </c>
      <c r="AA1324" s="3" t="s">
        <v>2272</v>
      </c>
      <c r="AB1324" s="3" t="s">
        <v>3974</v>
      </c>
      <c r="AC1324" s="3"/>
    </row>
    <row r="1325" spans="1:29"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2272</v>
      </c>
      <c r="K1325" s="198" t="s">
        <v>2272</v>
      </c>
      <c r="L1325" s="3" t="s">
        <v>2272</v>
      </c>
      <c r="M1325" s="3" t="s">
        <v>2272</v>
      </c>
      <c r="N1325" s="3" t="s">
        <v>2272</v>
      </c>
      <c r="O1325" s="3" t="s">
        <v>2272</v>
      </c>
      <c r="P1325" s="3" t="s">
        <v>2272</v>
      </c>
      <c r="Q1325" s="3" t="s">
        <v>2272</v>
      </c>
      <c r="R1325" s="3" t="s">
        <v>2272</v>
      </c>
      <c r="S1325" s="3" t="s">
        <v>2272</v>
      </c>
      <c r="T1325" s="3" t="s">
        <v>2272</v>
      </c>
      <c r="U1325" s="3" t="s">
        <v>2272</v>
      </c>
      <c r="V1325" s="3" t="s">
        <v>2272</v>
      </c>
      <c r="W1325" s="3" t="s">
        <v>2272</v>
      </c>
      <c r="X1325" s="3" t="s">
        <v>2272</v>
      </c>
      <c r="Y1325" s="3" t="s">
        <v>2272</v>
      </c>
      <c r="Z1325" s="3" t="s">
        <v>2272</v>
      </c>
      <c r="AA1325" s="3" t="s">
        <v>2272</v>
      </c>
      <c r="AB1325" s="3" t="s">
        <v>3974</v>
      </c>
      <c r="AC1325" s="3"/>
    </row>
    <row r="1326" spans="1:29"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47">
        <v>0</v>
      </c>
      <c r="K1326" s="147">
        <v>0</v>
      </c>
      <c r="L1326" s="147">
        <v>0</v>
      </c>
      <c r="M1326" s="147">
        <v>0</v>
      </c>
      <c r="N1326" s="147">
        <v>0</v>
      </c>
      <c r="O1326" s="147">
        <v>0</v>
      </c>
      <c r="P1326" s="147">
        <v>0</v>
      </c>
      <c r="Q1326" s="147">
        <v>0</v>
      </c>
      <c r="R1326" s="147">
        <v>0</v>
      </c>
      <c r="S1326" s="147">
        <v>0</v>
      </c>
      <c r="T1326" s="147">
        <v>0</v>
      </c>
      <c r="U1326" s="147">
        <v>0</v>
      </c>
      <c r="V1326" s="147">
        <v>0</v>
      </c>
      <c r="W1326" s="147">
        <v>0</v>
      </c>
      <c r="X1326" s="3" t="s">
        <v>2272</v>
      </c>
      <c r="Y1326" s="3" t="s">
        <v>2272</v>
      </c>
      <c r="Z1326" s="3" t="s">
        <v>2272</v>
      </c>
      <c r="AA1326" s="3" t="s">
        <v>2272</v>
      </c>
      <c r="AB1326" s="4" t="s">
        <v>3975</v>
      </c>
      <c r="AC1326" s="3"/>
    </row>
    <row r="1327" spans="1:29"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47">
        <v>0</v>
      </c>
      <c r="K1327" s="147">
        <v>0</v>
      </c>
      <c r="L1327" s="147">
        <v>0</v>
      </c>
      <c r="M1327" s="147">
        <v>0</v>
      </c>
      <c r="N1327" s="147">
        <v>0</v>
      </c>
      <c r="O1327" s="147">
        <v>0</v>
      </c>
      <c r="P1327" s="147">
        <v>0</v>
      </c>
      <c r="Q1327" s="147">
        <v>0</v>
      </c>
      <c r="R1327" s="147">
        <v>0</v>
      </c>
      <c r="S1327" s="147">
        <v>0</v>
      </c>
      <c r="T1327" s="147">
        <v>0</v>
      </c>
      <c r="U1327" s="147">
        <v>0</v>
      </c>
      <c r="V1327" s="147">
        <v>0</v>
      </c>
      <c r="W1327" s="147">
        <v>0</v>
      </c>
      <c r="X1327" s="3" t="s">
        <v>2272</v>
      </c>
      <c r="Y1327" s="3" t="s">
        <v>2272</v>
      </c>
      <c r="Z1327" s="3" t="s">
        <v>2272</v>
      </c>
      <c r="AA1327" s="3" t="s">
        <v>2272</v>
      </c>
      <c r="AB1327" s="4" t="s">
        <v>3975</v>
      </c>
      <c r="AC1327" s="3"/>
    </row>
    <row r="1328" spans="1:29"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47">
        <v>0</v>
      </c>
      <c r="K1328" s="147">
        <v>0</v>
      </c>
      <c r="L1328" s="147">
        <v>0</v>
      </c>
      <c r="M1328" s="147">
        <v>0</v>
      </c>
      <c r="N1328" s="147">
        <v>0</v>
      </c>
      <c r="O1328" s="147">
        <v>0</v>
      </c>
      <c r="P1328" s="147">
        <v>0</v>
      </c>
      <c r="Q1328" s="147">
        <v>0</v>
      </c>
      <c r="R1328" s="147">
        <v>0</v>
      </c>
      <c r="S1328" s="147">
        <v>0</v>
      </c>
      <c r="T1328" s="147">
        <v>0</v>
      </c>
      <c r="U1328" s="147">
        <v>0</v>
      </c>
      <c r="V1328" s="147">
        <v>0</v>
      </c>
      <c r="W1328" s="147">
        <v>0</v>
      </c>
      <c r="X1328" s="3" t="s">
        <v>2272</v>
      </c>
      <c r="Y1328" s="3" t="s">
        <v>2272</v>
      </c>
      <c r="Z1328" s="3" t="s">
        <v>2272</v>
      </c>
      <c r="AA1328" s="3" t="s">
        <v>2272</v>
      </c>
      <c r="AB1328" s="4" t="s">
        <v>3975</v>
      </c>
      <c r="AC1328" s="3"/>
    </row>
    <row r="1329" spans="1:29"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47">
        <v>0</v>
      </c>
      <c r="K1329" s="147">
        <v>0</v>
      </c>
      <c r="L1329" s="147">
        <v>0</v>
      </c>
      <c r="M1329" s="147">
        <v>0</v>
      </c>
      <c r="N1329" s="147">
        <v>0</v>
      </c>
      <c r="O1329" s="147">
        <v>0</v>
      </c>
      <c r="P1329" s="147">
        <v>0</v>
      </c>
      <c r="Q1329" s="147">
        <v>0</v>
      </c>
      <c r="R1329" s="147">
        <v>0</v>
      </c>
      <c r="S1329" s="147">
        <v>0</v>
      </c>
      <c r="T1329" s="147">
        <v>0</v>
      </c>
      <c r="U1329" s="147">
        <v>0</v>
      </c>
      <c r="V1329" s="147">
        <v>0</v>
      </c>
      <c r="W1329" s="147">
        <v>0</v>
      </c>
      <c r="X1329" s="3" t="s">
        <v>2272</v>
      </c>
      <c r="Y1329" s="3" t="s">
        <v>2272</v>
      </c>
      <c r="Z1329" s="3" t="s">
        <v>2272</v>
      </c>
      <c r="AA1329" s="3" t="s">
        <v>2272</v>
      </c>
      <c r="AB1329" s="4" t="s">
        <v>3975</v>
      </c>
      <c r="AC1329" s="3"/>
    </row>
    <row r="1330" spans="1:29"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2272</v>
      </c>
      <c r="K1330" s="198" t="s">
        <v>2272</v>
      </c>
      <c r="L1330" s="3" t="s">
        <v>2272</v>
      </c>
      <c r="M1330" s="3" t="s">
        <v>2272</v>
      </c>
      <c r="N1330" s="3" t="s">
        <v>2272</v>
      </c>
      <c r="O1330" s="3" t="s">
        <v>2272</v>
      </c>
      <c r="P1330" s="3" t="s">
        <v>2272</v>
      </c>
      <c r="Q1330" s="3" t="s">
        <v>2272</v>
      </c>
      <c r="R1330" s="3" t="s">
        <v>2272</v>
      </c>
      <c r="S1330" s="3" t="s">
        <v>2272</v>
      </c>
      <c r="T1330" s="3" t="s">
        <v>2272</v>
      </c>
      <c r="U1330" s="3" t="s">
        <v>2272</v>
      </c>
      <c r="V1330" s="3" t="s">
        <v>2272</v>
      </c>
      <c r="W1330" s="3" t="s">
        <v>2272</v>
      </c>
      <c r="X1330" s="3" t="s">
        <v>2272</v>
      </c>
      <c r="Y1330" s="3" t="s">
        <v>2272</v>
      </c>
      <c r="Z1330" s="3" t="s">
        <v>2272</v>
      </c>
      <c r="AA1330" s="3" t="s">
        <v>2272</v>
      </c>
      <c r="AB1330" s="3"/>
      <c r="AC1330" s="3"/>
    </row>
    <row r="1331" spans="1:29"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2272</v>
      </c>
      <c r="K1331" s="198" t="s">
        <v>2272</v>
      </c>
      <c r="L1331" s="3" t="s">
        <v>2272</v>
      </c>
      <c r="M1331" s="3" t="s">
        <v>2272</v>
      </c>
      <c r="N1331" s="3" t="s">
        <v>2272</v>
      </c>
      <c r="O1331" s="3" t="s">
        <v>2272</v>
      </c>
      <c r="P1331" s="3" t="s">
        <v>2272</v>
      </c>
      <c r="Q1331" s="3" t="s">
        <v>2272</v>
      </c>
      <c r="R1331" s="3" t="s">
        <v>2272</v>
      </c>
      <c r="S1331" s="3" t="s">
        <v>2272</v>
      </c>
      <c r="T1331" s="3" t="s">
        <v>2272</v>
      </c>
      <c r="U1331" s="3" t="s">
        <v>2272</v>
      </c>
      <c r="V1331" s="3" t="s">
        <v>2272</v>
      </c>
      <c r="W1331" s="3" t="s">
        <v>2272</v>
      </c>
      <c r="X1331" s="3" t="s">
        <v>2272</v>
      </c>
      <c r="Y1331" s="3" t="s">
        <v>2272</v>
      </c>
      <c r="Z1331" s="3" t="s">
        <v>2272</v>
      </c>
      <c r="AA1331" s="3" t="s">
        <v>2272</v>
      </c>
      <c r="AB1331" s="4" t="s">
        <v>4005</v>
      </c>
      <c r="AC1331" s="3"/>
    </row>
    <row r="1332" spans="1:29"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2272</v>
      </c>
      <c r="K1332" s="198" t="s">
        <v>2272</v>
      </c>
      <c r="L1332" s="3" t="s">
        <v>2272</v>
      </c>
      <c r="M1332" s="3" t="s">
        <v>2272</v>
      </c>
      <c r="N1332" s="3" t="s">
        <v>2272</v>
      </c>
      <c r="O1332" s="3" t="s">
        <v>2272</v>
      </c>
      <c r="P1332" s="3" t="s">
        <v>2272</v>
      </c>
      <c r="Q1332" s="3" t="s">
        <v>2272</v>
      </c>
      <c r="R1332" s="3" t="s">
        <v>2272</v>
      </c>
      <c r="S1332" s="3" t="s">
        <v>2272</v>
      </c>
      <c r="T1332" s="3" t="s">
        <v>2272</v>
      </c>
      <c r="U1332" s="3" t="s">
        <v>2272</v>
      </c>
      <c r="V1332" s="3" t="s">
        <v>2272</v>
      </c>
      <c r="W1332" s="3" t="s">
        <v>2272</v>
      </c>
      <c r="X1332" s="3" t="s">
        <v>2272</v>
      </c>
      <c r="Y1332" s="3" t="s">
        <v>2272</v>
      </c>
      <c r="Z1332" s="3" t="s">
        <v>2272</v>
      </c>
      <c r="AA1332" s="3" t="s">
        <v>2272</v>
      </c>
      <c r="AB1332" s="4" t="s">
        <v>4006</v>
      </c>
      <c r="AC1332" s="3"/>
    </row>
    <row r="1333" spans="1:29"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2272</v>
      </c>
      <c r="K1333" s="198" t="s">
        <v>2272</v>
      </c>
      <c r="L1333" s="3" t="s">
        <v>2272</v>
      </c>
      <c r="M1333" s="3" t="s">
        <v>2272</v>
      </c>
      <c r="N1333" s="3" t="s">
        <v>2272</v>
      </c>
      <c r="O1333" s="3" t="s">
        <v>2272</v>
      </c>
      <c r="P1333" s="3" t="s">
        <v>2272</v>
      </c>
      <c r="Q1333" s="3" t="s">
        <v>2272</v>
      </c>
      <c r="R1333" s="3" t="s">
        <v>2272</v>
      </c>
      <c r="S1333" s="3" t="s">
        <v>2272</v>
      </c>
      <c r="T1333" s="3" t="s">
        <v>2272</v>
      </c>
      <c r="U1333" s="3" t="s">
        <v>2272</v>
      </c>
      <c r="V1333" s="3" t="s">
        <v>2272</v>
      </c>
      <c r="W1333" s="3" t="s">
        <v>2272</v>
      </c>
      <c r="X1333" s="3" t="s">
        <v>2272</v>
      </c>
      <c r="Y1333" s="3" t="s">
        <v>2272</v>
      </c>
      <c r="Z1333" s="3" t="s">
        <v>2272</v>
      </c>
      <c r="AA1333" s="3" t="s">
        <v>2272</v>
      </c>
      <c r="AB1333" s="4" t="s">
        <v>4005</v>
      </c>
      <c r="AC1333" s="3"/>
    </row>
    <row r="1334" spans="1:29"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2272</v>
      </c>
      <c r="K1334" s="198" t="s">
        <v>2272</v>
      </c>
      <c r="L1334" s="3" t="s">
        <v>2272</v>
      </c>
      <c r="M1334" s="3" t="s">
        <v>2272</v>
      </c>
      <c r="N1334" s="3" t="s">
        <v>2272</v>
      </c>
      <c r="O1334" s="3" t="s">
        <v>2272</v>
      </c>
      <c r="P1334" s="3" t="s">
        <v>2272</v>
      </c>
      <c r="Q1334" s="3" t="s">
        <v>2272</v>
      </c>
      <c r="R1334" s="3" t="s">
        <v>2272</v>
      </c>
      <c r="S1334" s="3" t="s">
        <v>2272</v>
      </c>
      <c r="T1334" s="3" t="s">
        <v>2272</v>
      </c>
      <c r="U1334" s="3" t="s">
        <v>2272</v>
      </c>
      <c r="V1334" s="3" t="s">
        <v>2272</v>
      </c>
      <c r="W1334" s="3" t="s">
        <v>2272</v>
      </c>
      <c r="X1334" s="3" t="s">
        <v>2272</v>
      </c>
      <c r="Y1334" s="3" t="s">
        <v>2272</v>
      </c>
      <c r="Z1334" s="3" t="s">
        <v>2272</v>
      </c>
      <c r="AA1334" s="3" t="s">
        <v>2272</v>
      </c>
      <c r="AB1334" s="4" t="s">
        <v>4006</v>
      </c>
      <c r="AC1334" s="3"/>
    </row>
    <row r="1335" spans="1:29"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2272</v>
      </c>
      <c r="K1335" s="198" t="s">
        <v>2272</v>
      </c>
      <c r="L1335" s="3" t="s">
        <v>2272</v>
      </c>
      <c r="M1335" s="3" t="s">
        <v>2272</v>
      </c>
      <c r="N1335" s="3" t="s">
        <v>2272</v>
      </c>
      <c r="O1335" s="3" t="s">
        <v>2272</v>
      </c>
      <c r="P1335" s="3" t="s">
        <v>2272</v>
      </c>
      <c r="Q1335" s="3" t="s">
        <v>2272</v>
      </c>
      <c r="R1335" s="3" t="s">
        <v>2272</v>
      </c>
      <c r="S1335" s="3" t="s">
        <v>2272</v>
      </c>
      <c r="T1335" s="3" t="s">
        <v>2272</v>
      </c>
      <c r="U1335" s="3" t="s">
        <v>2272</v>
      </c>
      <c r="V1335" s="3" t="s">
        <v>2272</v>
      </c>
      <c r="W1335" s="3" t="s">
        <v>2272</v>
      </c>
      <c r="X1335" s="3" t="s">
        <v>2272</v>
      </c>
      <c r="Y1335" s="3" t="s">
        <v>2272</v>
      </c>
      <c r="Z1335" s="3" t="s">
        <v>2272</v>
      </c>
      <c r="AA1335" s="3" t="s">
        <v>2272</v>
      </c>
      <c r="AB1335" s="4" t="s">
        <v>4007</v>
      </c>
      <c r="AC1335" s="3"/>
    </row>
    <row r="1336" spans="1:29"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2272</v>
      </c>
      <c r="K1336" s="198" t="s">
        <v>2272</v>
      </c>
      <c r="L1336" s="3" t="s">
        <v>2272</v>
      </c>
      <c r="M1336" s="3" t="s">
        <v>2272</v>
      </c>
      <c r="N1336" s="3" t="s">
        <v>2272</v>
      </c>
      <c r="O1336" s="3" t="s">
        <v>2272</v>
      </c>
      <c r="P1336" s="3" t="s">
        <v>2272</v>
      </c>
      <c r="Q1336" s="3" t="s">
        <v>2272</v>
      </c>
      <c r="R1336" s="3" t="s">
        <v>2272</v>
      </c>
      <c r="S1336" s="3" t="s">
        <v>2272</v>
      </c>
      <c r="T1336" s="3" t="s">
        <v>2272</v>
      </c>
      <c r="U1336" s="3" t="s">
        <v>2272</v>
      </c>
      <c r="V1336" s="3" t="s">
        <v>2272</v>
      </c>
      <c r="W1336" s="3" t="s">
        <v>2272</v>
      </c>
      <c r="X1336" s="3" t="s">
        <v>2272</v>
      </c>
      <c r="Y1336" s="3" t="s">
        <v>2272</v>
      </c>
      <c r="Z1336" s="3" t="s">
        <v>2272</v>
      </c>
      <c r="AA1336" s="3" t="s">
        <v>2272</v>
      </c>
      <c r="AB1336" s="4" t="s">
        <v>4009</v>
      </c>
      <c r="AC1336" s="3"/>
    </row>
    <row r="1337" spans="1:29"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2272</v>
      </c>
      <c r="K1337" s="198" t="s">
        <v>2272</v>
      </c>
      <c r="L1337" s="3" t="s">
        <v>2272</v>
      </c>
      <c r="M1337" s="3" t="s">
        <v>2272</v>
      </c>
      <c r="N1337" s="3" t="s">
        <v>2272</v>
      </c>
      <c r="O1337" s="3" t="s">
        <v>2272</v>
      </c>
      <c r="P1337" s="3" t="s">
        <v>2272</v>
      </c>
      <c r="Q1337" s="3" t="s">
        <v>2272</v>
      </c>
      <c r="R1337" s="3" t="s">
        <v>2272</v>
      </c>
      <c r="S1337" s="3" t="s">
        <v>2272</v>
      </c>
      <c r="T1337" s="3" t="s">
        <v>2272</v>
      </c>
      <c r="U1337" s="3" t="s">
        <v>2272</v>
      </c>
      <c r="V1337" s="3" t="s">
        <v>2272</v>
      </c>
      <c r="W1337" s="3" t="s">
        <v>2272</v>
      </c>
      <c r="X1337" s="3" t="s">
        <v>2272</v>
      </c>
      <c r="Y1337" s="3" t="s">
        <v>2272</v>
      </c>
      <c r="Z1337" s="3" t="s">
        <v>2272</v>
      </c>
      <c r="AA1337" s="3" t="s">
        <v>2272</v>
      </c>
      <c r="AB1337" s="4" t="s">
        <v>4007</v>
      </c>
      <c r="AC1337" s="3"/>
    </row>
    <row r="1338" spans="1:29"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2272</v>
      </c>
      <c r="K1338" s="198" t="s">
        <v>2272</v>
      </c>
      <c r="L1338" s="3" t="s">
        <v>2272</v>
      </c>
      <c r="M1338" s="3" t="s">
        <v>2272</v>
      </c>
      <c r="N1338" s="3" t="s">
        <v>2272</v>
      </c>
      <c r="O1338" s="3" t="s">
        <v>2272</v>
      </c>
      <c r="P1338" s="3" t="s">
        <v>2272</v>
      </c>
      <c r="Q1338" s="3" t="s">
        <v>2272</v>
      </c>
      <c r="R1338" s="3" t="s">
        <v>2272</v>
      </c>
      <c r="S1338" s="3" t="s">
        <v>2272</v>
      </c>
      <c r="T1338" s="3" t="s">
        <v>2272</v>
      </c>
      <c r="U1338" s="3" t="s">
        <v>2272</v>
      </c>
      <c r="V1338" s="3" t="s">
        <v>2272</v>
      </c>
      <c r="W1338" s="3" t="s">
        <v>2272</v>
      </c>
      <c r="X1338" s="3" t="s">
        <v>2272</v>
      </c>
      <c r="Y1338" s="3" t="s">
        <v>2272</v>
      </c>
      <c r="Z1338" s="3" t="s">
        <v>2272</v>
      </c>
      <c r="AA1338" s="3" t="s">
        <v>2272</v>
      </c>
      <c r="AB1338" s="4" t="s">
        <v>4009</v>
      </c>
      <c r="AC1338" s="3"/>
    </row>
    <row r="1339" spans="1:29"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2272</v>
      </c>
      <c r="K1339" s="198" t="s">
        <v>2272</v>
      </c>
      <c r="L1339" s="3" t="s">
        <v>2272</v>
      </c>
      <c r="M1339" s="3" t="s">
        <v>2272</v>
      </c>
      <c r="N1339" s="3" t="s">
        <v>2272</v>
      </c>
      <c r="O1339" s="3" t="s">
        <v>2272</v>
      </c>
      <c r="P1339" s="3" t="s">
        <v>2272</v>
      </c>
      <c r="Q1339" s="3" t="s">
        <v>2272</v>
      </c>
      <c r="R1339" s="3" t="s">
        <v>2272</v>
      </c>
      <c r="S1339" s="3" t="s">
        <v>2272</v>
      </c>
      <c r="T1339" s="3" t="s">
        <v>2272</v>
      </c>
      <c r="U1339" s="3" t="s">
        <v>2272</v>
      </c>
      <c r="V1339" s="3" t="s">
        <v>2272</v>
      </c>
      <c r="W1339" s="3" t="s">
        <v>2272</v>
      </c>
      <c r="X1339" s="3" t="s">
        <v>2272</v>
      </c>
      <c r="Y1339" s="3" t="s">
        <v>2272</v>
      </c>
      <c r="Z1339" s="3" t="s">
        <v>2272</v>
      </c>
      <c r="AA1339" s="3" t="s">
        <v>2272</v>
      </c>
      <c r="AB1339" s="4" t="s">
        <v>4008</v>
      </c>
      <c r="AC1339" s="3"/>
    </row>
    <row r="1340" spans="1:29"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2272</v>
      </c>
      <c r="K1340" s="198" t="s">
        <v>2272</v>
      </c>
      <c r="L1340" s="3" t="s">
        <v>2272</v>
      </c>
      <c r="M1340" s="3" t="s">
        <v>2272</v>
      </c>
      <c r="N1340" s="3" t="s">
        <v>2272</v>
      </c>
      <c r="O1340" s="3" t="s">
        <v>2272</v>
      </c>
      <c r="P1340" s="3" t="s">
        <v>2272</v>
      </c>
      <c r="Q1340" s="3" t="s">
        <v>2272</v>
      </c>
      <c r="R1340" s="3" t="s">
        <v>2272</v>
      </c>
      <c r="S1340" s="3" t="s">
        <v>2272</v>
      </c>
      <c r="T1340" s="3" t="s">
        <v>2272</v>
      </c>
      <c r="U1340" s="3" t="s">
        <v>2272</v>
      </c>
      <c r="V1340" s="3" t="s">
        <v>2272</v>
      </c>
      <c r="W1340" s="3" t="s">
        <v>2272</v>
      </c>
      <c r="X1340" s="3" t="s">
        <v>2272</v>
      </c>
      <c r="Y1340" s="3" t="s">
        <v>2272</v>
      </c>
      <c r="Z1340" s="3" t="s">
        <v>2272</v>
      </c>
      <c r="AA1340" s="3" t="s">
        <v>2272</v>
      </c>
      <c r="AB1340" s="4" t="s">
        <v>4009</v>
      </c>
      <c r="AC1340" s="3"/>
    </row>
    <row r="1341" spans="1:29"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2272</v>
      </c>
      <c r="K1341" s="198" t="s">
        <v>2272</v>
      </c>
      <c r="L1341" s="3" t="s">
        <v>2272</v>
      </c>
      <c r="M1341" s="3" t="s">
        <v>2272</v>
      </c>
      <c r="N1341" s="3" t="s">
        <v>2272</v>
      </c>
      <c r="O1341" s="3" t="s">
        <v>2272</v>
      </c>
      <c r="P1341" s="3" t="s">
        <v>2272</v>
      </c>
      <c r="Q1341" s="3" t="s">
        <v>2272</v>
      </c>
      <c r="R1341" s="3" t="s">
        <v>2272</v>
      </c>
      <c r="S1341" s="3" t="s">
        <v>2272</v>
      </c>
      <c r="T1341" s="3" t="s">
        <v>2272</v>
      </c>
      <c r="U1341" s="3" t="s">
        <v>2272</v>
      </c>
      <c r="V1341" s="3" t="s">
        <v>2272</v>
      </c>
      <c r="W1341" s="3" t="s">
        <v>2272</v>
      </c>
      <c r="X1341" s="3" t="s">
        <v>2272</v>
      </c>
      <c r="Y1341" s="3" t="s">
        <v>2272</v>
      </c>
      <c r="Z1341" s="3" t="s">
        <v>2272</v>
      </c>
      <c r="AA1341" s="3" t="s">
        <v>2272</v>
      </c>
      <c r="AB1341" s="4" t="s">
        <v>4008</v>
      </c>
      <c r="AC1341" s="3"/>
    </row>
    <row r="1342" spans="1:29"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2272</v>
      </c>
      <c r="K1342" s="198" t="s">
        <v>2272</v>
      </c>
      <c r="L1342" s="3" t="s">
        <v>2272</v>
      </c>
      <c r="M1342" s="3" t="s">
        <v>2272</v>
      </c>
      <c r="N1342" s="3" t="s">
        <v>2272</v>
      </c>
      <c r="O1342" s="3" t="s">
        <v>2272</v>
      </c>
      <c r="P1342" s="3" t="s">
        <v>2272</v>
      </c>
      <c r="Q1342" s="3" t="s">
        <v>2272</v>
      </c>
      <c r="R1342" s="3" t="s">
        <v>2272</v>
      </c>
      <c r="S1342" s="3" t="s">
        <v>2272</v>
      </c>
      <c r="T1342" s="3" t="s">
        <v>2272</v>
      </c>
      <c r="U1342" s="3" t="s">
        <v>2272</v>
      </c>
      <c r="V1342" s="3" t="s">
        <v>2272</v>
      </c>
      <c r="W1342" s="3" t="s">
        <v>2272</v>
      </c>
      <c r="X1342" s="3" t="s">
        <v>2272</v>
      </c>
      <c r="Y1342" s="3" t="s">
        <v>2272</v>
      </c>
      <c r="Z1342" s="3" t="s">
        <v>2272</v>
      </c>
      <c r="AA1342" s="3" t="s">
        <v>2272</v>
      </c>
      <c r="AB1342" s="4" t="s">
        <v>4009</v>
      </c>
      <c r="AC1342" s="3"/>
    </row>
    <row r="1343" spans="1:29"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2272</v>
      </c>
      <c r="K1343" s="198" t="s">
        <v>2272</v>
      </c>
      <c r="L1343" s="3" t="s">
        <v>2272</v>
      </c>
      <c r="M1343" s="3" t="s">
        <v>2272</v>
      </c>
      <c r="N1343" s="3" t="s">
        <v>2272</v>
      </c>
      <c r="O1343" s="3" t="s">
        <v>2272</v>
      </c>
      <c r="P1343" s="3" t="s">
        <v>2272</v>
      </c>
      <c r="Q1343" s="3" t="s">
        <v>2272</v>
      </c>
      <c r="R1343" s="3" t="s">
        <v>2272</v>
      </c>
      <c r="S1343" s="3" t="s">
        <v>2272</v>
      </c>
      <c r="T1343" s="3" t="s">
        <v>2272</v>
      </c>
      <c r="U1343" s="3" t="s">
        <v>2272</v>
      </c>
      <c r="V1343" s="3" t="s">
        <v>2272</v>
      </c>
      <c r="W1343" s="3" t="s">
        <v>2272</v>
      </c>
      <c r="X1343" s="3" t="s">
        <v>2272</v>
      </c>
      <c r="Y1343" s="3" t="s">
        <v>34</v>
      </c>
      <c r="Z1343" s="3" t="s">
        <v>37</v>
      </c>
      <c r="AA1343" s="3" t="s">
        <v>2272</v>
      </c>
      <c r="AB1343" s="3"/>
      <c r="AC1343" s="3"/>
    </row>
    <row r="1344" spans="1:29"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2272</v>
      </c>
      <c r="K1344" s="198" t="s">
        <v>2272</v>
      </c>
      <c r="L1344" s="3" t="s">
        <v>2272</v>
      </c>
      <c r="M1344" s="3" t="s">
        <v>2272</v>
      </c>
      <c r="N1344" s="3" t="s">
        <v>2272</v>
      </c>
      <c r="O1344" s="3" t="s">
        <v>2272</v>
      </c>
      <c r="P1344" s="3" t="s">
        <v>2272</v>
      </c>
      <c r="Q1344" s="3" t="s">
        <v>2272</v>
      </c>
      <c r="R1344" s="3" t="s">
        <v>2272</v>
      </c>
      <c r="S1344" s="3" t="s">
        <v>2272</v>
      </c>
      <c r="T1344" s="3" t="s">
        <v>2272</v>
      </c>
      <c r="U1344" s="3" t="s">
        <v>2272</v>
      </c>
      <c r="V1344" s="3" t="s">
        <v>2272</v>
      </c>
      <c r="W1344" s="3" t="s">
        <v>2272</v>
      </c>
      <c r="X1344" s="3" t="s">
        <v>2272</v>
      </c>
      <c r="Y1344" s="3" t="s">
        <v>34</v>
      </c>
      <c r="Z1344" s="3" t="s">
        <v>37</v>
      </c>
      <c r="AA1344" s="3" t="s">
        <v>2272</v>
      </c>
      <c r="AB1344" s="3"/>
      <c r="AC1344" s="3"/>
    </row>
    <row r="1345" spans="1:29"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2272</v>
      </c>
      <c r="K1345" s="198" t="s">
        <v>2272</v>
      </c>
      <c r="L1345" s="3" t="s">
        <v>2272</v>
      </c>
      <c r="M1345" s="3" t="s">
        <v>2272</v>
      </c>
      <c r="N1345" s="3" t="s">
        <v>2272</v>
      </c>
      <c r="O1345" s="3" t="s">
        <v>2272</v>
      </c>
      <c r="P1345" s="3" t="s">
        <v>2272</v>
      </c>
      <c r="Q1345" s="3" t="s">
        <v>2272</v>
      </c>
      <c r="R1345" s="3" t="s">
        <v>2272</v>
      </c>
      <c r="S1345" s="3" t="s">
        <v>2272</v>
      </c>
      <c r="T1345" s="3" t="s">
        <v>2272</v>
      </c>
      <c r="U1345" s="3" t="s">
        <v>2272</v>
      </c>
      <c r="V1345" s="3" t="s">
        <v>2272</v>
      </c>
      <c r="W1345" s="3" t="s">
        <v>2272</v>
      </c>
      <c r="X1345" s="3" t="s">
        <v>2272</v>
      </c>
      <c r="Y1345" s="3" t="s">
        <v>34</v>
      </c>
      <c r="Z1345" s="3" t="s">
        <v>37</v>
      </c>
      <c r="AA1345" s="3" t="s">
        <v>2272</v>
      </c>
      <c r="AB1345" s="3"/>
      <c r="AC1345" s="3"/>
    </row>
    <row r="1346" spans="1:29"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2272</v>
      </c>
      <c r="K1346" s="198" t="s">
        <v>2272</v>
      </c>
      <c r="L1346" s="3" t="s">
        <v>2272</v>
      </c>
      <c r="M1346" s="3" t="s">
        <v>2272</v>
      </c>
      <c r="N1346" s="3" t="s">
        <v>2272</v>
      </c>
      <c r="O1346" s="3" t="s">
        <v>2272</v>
      </c>
      <c r="P1346" s="3" t="s">
        <v>2272</v>
      </c>
      <c r="Q1346" s="3" t="s">
        <v>2272</v>
      </c>
      <c r="R1346" s="3" t="s">
        <v>2272</v>
      </c>
      <c r="S1346" s="3" t="s">
        <v>2272</v>
      </c>
      <c r="T1346" s="3" t="s">
        <v>2272</v>
      </c>
      <c r="U1346" s="3" t="s">
        <v>2272</v>
      </c>
      <c r="V1346" s="3" t="s">
        <v>2272</v>
      </c>
      <c r="W1346" s="3" t="s">
        <v>2272</v>
      </c>
      <c r="X1346" s="3" t="s">
        <v>2272</v>
      </c>
      <c r="Y1346" s="3" t="s">
        <v>2272</v>
      </c>
      <c r="Z1346" s="3" t="s">
        <v>2272</v>
      </c>
      <c r="AA1346" s="3" t="s">
        <v>2272</v>
      </c>
      <c r="AB1346" s="3"/>
      <c r="AC1346" s="3"/>
    </row>
    <row r="1347" spans="1:29"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2272</v>
      </c>
      <c r="K1347" s="198" t="s">
        <v>2272</v>
      </c>
      <c r="L1347" s="3" t="s">
        <v>2272</v>
      </c>
      <c r="M1347" s="3" t="s">
        <v>2272</v>
      </c>
      <c r="N1347" s="3" t="s">
        <v>2272</v>
      </c>
      <c r="O1347" s="3" t="s">
        <v>2272</v>
      </c>
      <c r="P1347" s="3" t="s">
        <v>2272</v>
      </c>
      <c r="Q1347" s="3" t="s">
        <v>2272</v>
      </c>
      <c r="R1347" s="3" t="s">
        <v>2272</v>
      </c>
      <c r="S1347" s="3" t="s">
        <v>2272</v>
      </c>
      <c r="T1347" s="3" t="s">
        <v>2272</v>
      </c>
      <c r="U1347" s="3" t="s">
        <v>2272</v>
      </c>
      <c r="V1347" s="3" t="s">
        <v>2272</v>
      </c>
      <c r="W1347" s="3" t="s">
        <v>2272</v>
      </c>
      <c r="X1347" s="3" t="s">
        <v>2272</v>
      </c>
      <c r="Y1347" s="3" t="s">
        <v>2272</v>
      </c>
      <c r="Z1347" s="3" t="s">
        <v>2272</v>
      </c>
      <c r="AA1347" s="3" t="s">
        <v>2272</v>
      </c>
      <c r="AB1347" s="3"/>
      <c r="AC1347" s="3"/>
    </row>
    <row r="1348" spans="1:29"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2272</v>
      </c>
      <c r="K1348" s="198" t="s">
        <v>2272</v>
      </c>
      <c r="L1348" s="3" t="s">
        <v>2272</v>
      </c>
      <c r="M1348" s="3" t="s">
        <v>2272</v>
      </c>
      <c r="N1348" s="3" t="s">
        <v>2272</v>
      </c>
      <c r="O1348" s="3" t="s">
        <v>2272</v>
      </c>
      <c r="P1348" s="3" t="s">
        <v>2272</v>
      </c>
      <c r="Q1348" s="3" t="s">
        <v>2272</v>
      </c>
      <c r="R1348" s="3" t="s">
        <v>2272</v>
      </c>
      <c r="S1348" s="3" t="s">
        <v>2272</v>
      </c>
      <c r="T1348" s="3" t="s">
        <v>2272</v>
      </c>
      <c r="U1348" s="3" t="s">
        <v>2272</v>
      </c>
      <c r="V1348" s="3" t="s">
        <v>2272</v>
      </c>
      <c r="W1348" s="3" t="s">
        <v>2272</v>
      </c>
      <c r="X1348" s="3" t="s">
        <v>2272</v>
      </c>
      <c r="Y1348" s="3" t="s">
        <v>2272</v>
      </c>
      <c r="Z1348" s="3" t="s">
        <v>2272</v>
      </c>
      <c r="AA1348" s="3" t="s">
        <v>2272</v>
      </c>
      <c r="AB1348" s="3"/>
      <c r="AC1348" s="3"/>
    </row>
    <row r="1349" spans="1:29"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2272</v>
      </c>
      <c r="K1349" s="198" t="s">
        <v>2272</v>
      </c>
      <c r="L1349" s="3" t="s">
        <v>2272</v>
      </c>
      <c r="M1349" s="3" t="s">
        <v>2272</v>
      </c>
      <c r="N1349" s="3" t="s">
        <v>2272</v>
      </c>
      <c r="O1349" s="3" t="s">
        <v>2272</v>
      </c>
      <c r="P1349" s="3" t="s">
        <v>2272</v>
      </c>
      <c r="Q1349" s="3" t="s">
        <v>2272</v>
      </c>
      <c r="R1349" s="3" t="s">
        <v>2272</v>
      </c>
      <c r="S1349" s="3" t="s">
        <v>2272</v>
      </c>
      <c r="T1349" s="3" t="s">
        <v>2272</v>
      </c>
      <c r="U1349" s="3" t="s">
        <v>2272</v>
      </c>
      <c r="V1349" s="3" t="s">
        <v>2272</v>
      </c>
      <c r="W1349" s="3" t="s">
        <v>2272</v>
      </c>
      <c r="X1349" s="3" t="s">
        <v>2272</v>
      </c>
      <c r="Y1349" s="3" t="s">
        <v>2272</v>
      </c>
      <c r="Z1349" s="3" t="s">
        <v>2272</v>
      </c>
      <c r="AA1349" s="3" t="s">
        <v>2272</v>
      </c>
      <c r="AB1349" s="3"/>
      <c r="AC1349" s="3"/>
    </row>
    <row r="1350" spans="1:29"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2359</v>
      </c>
      <c r="K1350" s="198" t="s">
        <v>2359</v>
      </c>
      <c r="L1350" s="3" t="s">
        <v>2359</v>
      </c>
      <c r="M1350" s="3" t="s">
        <v>2359</v>
      </c>
      <c r="N1350" s="3" t="s">
        <v>2359</v>
      </c>
      <c r="O1350" s="3" t="s">
        <v>2359</v>
      </c>
      <c r="P1350" s="3" t="s">
        <v>2359</v>
      </c>
      <c r="Q1350" s="3" t="s">
        <v>2359</v>
      </c>
      <c r="R1350" s="3" t="s">
        <v>2359</v>
      </c>
      <c r="S1350" s="3" t="s">
        <v>2359</v>
      </c>
      <c r="T1350" s="3" t="s">
        <v>2359</v>
      </c>
      <c r="U1350" s="3" t="s">
        <v>2359</v>
      </c>
      <c r="V1350" s="3" t="s">
        <v>2359</v>
      </c>
      <c r="W1350" s="3" t="s">
        <v>2359</v>
      </c>
      <c r="X1350" s="3" t="s">
        <v>2272</v>
      </c>
      <c r="Y1350" s="3" t="s">
        <v>2272</v>
      </c>
      <c r="Z1350" s="3" t="s">
        <v>2272</v>
      </c>
      <c r="AA1350" s="3" t="s">
        <v>2272</v>
      </c>
      <c r="AB1350" s="4" t="s">
        <v>4042</v>
      </c>
      <c r="AC1350" s="3"/>
    </row>
    <row r="1351" spans="1:29"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2359</v>
      </c>
      <c r="K1351" s="198" t="s">
        <v>2359</v>
      </c>
      <c r="L1351" s="3" t="s">
        <v>2359</v>
      </c>
      <c r="M1351" s="3" t="s">
        <v>2359</v>
      </c>
      <c r="N1351" s="3" t="s">
        <v>2359</v>
      </c>
      <c r="O1351" s="3" t="s">
        <v>2359</v>
      </c>
      <c r="P1351" s="3" t="s">
        <v>2359</v>
      </c>
      <c r="Q1351" s="3" t="s">
        <v>2359</v>
      </c>
      <c r="R1351" s="3" t="s">
        <v>2359</v>
      </c>
      <c r="S1351" s="3" t="s">
        <v>2359</v>
      </c>
      <c r="T1351" s="3" t="s">
        <v>2359</v>
      </c>
      <c r="U1351" s="3" t="s">
        <v>2359</v>
      </c>
      <c r="V1351" s="3" t="s">
        <v>2359</v>
      </c>
      <c r="W1351" s="3" t="s">
        <v>2359</v>
      </c>
      <c r="X1351" s="3" t="s">
        <v>2272</v>
      </c>
      <c r="Y1351" s="3" t="s">
        <v>2272</v>
      </c>
      <c r="Z1351" s="3" t="s">
        <v>2272</v>
      </c>
      <c r="AA1351" s="3" t="s">
        <v>2272</v>
      </c>
      <c r="AB1351" s="4" t="s">
        <v>4042</v>
      </c>
      <c r="AC1351" s="3"/>
    </row>
    <row r="1352" spans="1:29"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2359</v>
      </c>
      <c r="K1352" s="198" t="s">
        <v>2359</v>
      </c>
      <c r="L1352" s="3" t="s">
        <v>2359</v>
      </c>
      <c r="M1352" s="3" t="s">
        <v>2359</v>
      </c>
      <c r="N1352" s="3" t="s">
        <v>2359</v>
      </c>
      <c r="O1352" s="3" t="s">
        <v>2359</v>
      </c>
      <c r="P1352" s="3" t="s">
        <v>2359</v>
      </c>
      <c r="Q1352" s="3" t="s">
        <v>2359</v>
      </c>
      <c r="R1352" s="3" t="s">
        <v>2359</v>
      </c>
      <c r="S1352" s="3" t="s">
        <v>2359</v>
      </c>
      <c r="T1352" s="3" t="s">
        <v>2359</v>
      </c>
      <c r="U1352" s="3" t="s">
        <v>2359</v>
      </c>
      <c r="V1352" s="3" t="s">
        <v>2359</v>
      </c>
      <c r="W1352" s="3" t="s">
        <v>2359</v>
      </c>
      <c r="X1352" s="3" t="s">
        <v>2272</v>
      </c>
      <c r="Y1352" s="3" t="s">
        <v>2272</v>
      </c>
      <c r="Z1352" s="3" t="s">
        <v>2272</v>
      </c>
      <c r="AA1352" s="3" t="s">
        <v>2272</v>
      </c>
      <c r="AB1352" s="4" t="s">
        <v>4042</v>
      </c>
      <c r="AC1352" s="3"/>
    </row>
    <row r="1353" spans="1:29"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2359</v>
      </c>
      <c r="K1353" s="198" t="s">
        <v>2359</v>
      </c>
      <c r="L1353" s="3" t="s">
        <v>2359</v>
      </c>
      <c r="M1353" s="3" t="s">
        <v>2359</v>
      </c>
      <c r="N1353" s="3" t="s">
        <v>2359</v>
      </c>
      <c r="O1353" s="3" t="s">
        <v>2359</v>
      </c>
      <c r="P1353" s="3" t="s">
        <v>2359</v>
      </c>
      <c r="Q1353" s="3" t="s">
        <v>2359</v>
      </c>
      <c r="R1353" s="3" t="s">
        <v>2359</v>
      </c>
      <c r="S1353" s="3" t="s">
        <v>2359</v>
      </c>
      <c r="T1353" s="3" t="s">
        <v>2359</v>
      </c>
      <c r="U1353" s="3" t="s">
        <v>2359</v>
      </c>
      <c r="V1353" s="3" t="s">
        <v>2359</v>
      </c>
      <c r="W1353" s="3" t="s">
        <v>2359</v>
      </c>
      <c r="X1353" s="3" t="s">
        <v>2272</v>
      </c>
      <c r="Y1353" s="3" t="s">
        <v>2272</v>
      </c>
      <c r="Z1353" s="3" t="s">
        <v>2272</v>
      </c>
      <c r="AA1353" s="3" t="s">
        <v>2272</v>
      </c>
      <c r="AB1353" s="4" t="s">
        <v>4042</v>
      </c>
      <c r="AC1353" s="3"/>
    </row>
    <row r="1354" spans="1:29"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2359</v>
      </c>
      <c r="K1354" s="198" t="s">
        <v>2359</v>
      </c>
      <c r="L1354" s="3" t="s">
        <v>2359</v>
      </c>
      <c r="M1354" s="3" t="s">
        <v>2359</v>
      </c>
      <c r="N1354" s="3" t="s">
        <v>2359</v>
      </c>
      <c r="O1354" s="3" t="s">
        <v>2359</v>
      </c>
      <c r="P1354" s="3" t="s">
        <v>2359</v>
      </c>
      <c r="Q1354" s="3" t="s">
        <v>2359</v>
      </c>
      <c r="R1354" s="3" t="s">
        <v>2359</v>
      </c>
      <c r="S1354" s="3" t="s">
        <v>2359</v>
      </c>
      <c r="T1354" s="3" t="s">
        <v>2359</v>
      </c>
      <c r="U1354" s="3" t="s">
        <v>2359</v>
      </c>
      <c r="V1354" s="3" t="s">
        <v>2359</v>
      </c>
      <c r="W1354" s="3" t="s">
        <v>2359</v>
      </c>
      <c r="X1354" s="3" t="s">
        <v>2272</v>
      </c>
      <c r="Y1354" s="3" t="s">
        <v>2272</v>
      </c>
      <c r="Z1354" s="3" t="s">
        <v>2272</v>
      </c>
      <c r="AA1354" s="3" t="s">
        <v>2272</v>
      </c>
      <c r="AB1354" s="4" t="s">
        <v>4042</v>
      </c>
      <c r="AC1354" s="3"/>
    </row>
    <row r="1355" spans="1:29"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2359</v>
      </c>
      <c r="K1355" s="198" t="s">
        <v>2359</v>
      </c>
      <c r="L1355" s="3" t="s">
        <v>2359</v>
      </c>
      <c r="M1355" s="3" t="s">
        <v>2359</v>
      </c>
      <c r="N1355" s="3" t="s">
        <v>2359</v>
      </c>
      <c r="O1355" s="3" t="s">
        <v>2359</v>
      </c>
      <c r="P1355" s="3" t="s">
        <v>2359</v>
      </c>
      <c r="Q1355" s="3" t="s">
        <v>2359</v>
      </c>
      <c r="R1355" s="3" t="s">
        <v>2359</v>
      </c>
      <c r="S1355" s="3" t="s">
        <v>2359</v>
      </c>
      <c r="T1355" s="3" t="s">
        <v>2359</v>
      </c>
      <c r="U1355" s="3" t="s">
        <v>2359</v>
      </c>
      <c r="V1355" s="3" t="s">
        <v>2359</v>
      </c>
      <c r="W1355" s="3" t="s">
        <v>2359</v>
      </c>
      <c r="X1355" s="3" t="s">
        <v>2272</v>
      </c>
      <c r="Y1355" s="3" t="s">
        <v>2272</v>
      </c>
      <c r="Z1355" s="3" t="s">
        <v>2272</v>
      </c>
      <c r="AA1355" s="3" t="s">
        <v>2272</v>
      </c>
      <c r="AB1355" s="4" t="s">
        <v>4042</v>
      </c>
      <c r="AC1355" s="3"/>
    </row>
    <row r="1356" spans="1:29"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2359</v>
      </c>
      <c r="K1356" s="198" t="s">
        <v>2359</v>
      </c>
      <c r="L1356" s="3" t="s">
        <v>2359</v>
      </c>
      <c r="M1356" s="3" t="s">
        <v>2359</v>
      </c>
      <c r="N1356" s="3" t="s">
        <v>2359</v>
      </c>
      <c r="O1356" s="3" t="s">
        <v>2359</v>
      </c>
      <c r="P1356" s="3" t="s">
        <v>2359</v>
      </c>
      <c r="Q1356" s="3" t="s">
        <v>2359</v>
      </c>
      <c r="R1356" s="3" t="s">
        <v>2359</v>
      </c>
      <c r="S1356" s="3" t="s">
        <v>2359</v>
      </c>
      <c r="T1356" s="3" t="s">
        <v>2359</v>
      </c>
      <c r="U1356" s="3" t="s">
        <v>2359</v>
      </c>
      <c r="V1356" s="3" t="s">
        <v>2359</v>
      </c>
      <c r="W1356" s="3" t="s">
        <v>2359</v>
      </c>
      <c r="X1356" s="3" t="s">
        <v>2272</v>
      </c>
      <c r="Y1356" s="3" t="s">
        <v>2272</v>
      </c>
      <c r="Z1356" s="3" t="s">
        <v>2272</v>
      </c>
      <c r="AA1356" s="3" t="s">
        <v>2272</v>
      </c>
      <c r="AB1356" s="4" t="s">
        <v>4042</v>
      </c>
      <c r="AC1356" s="3"/>
    </row>
    <row r="1357" spans="1:29"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2359</v>
      </c>
      <c r="K1357" s="198" t="s">
        <v>2359</v>
      </c>
      <c r="L1357" s="3" t="s">
        <v>2359</v>
      </c>
      <c r="M1357" s="3" t="s">
        <v>2359</v>
      </c>
      <c r="N1357" s="3" t="s">
        <v>2359</v>
      </c>
      <c r="O1357" s="3" t="s">
        <v>2359</v>
      </c>
      <c r="P1357" s="3" t="s">
        <v>2359</v>
      </c>
      <c r="Q1357" s="3" t="s">
        <v>2359</v>
      </c>
      <c r="R1357" s="3" t="s">
        <v>2359</v>
      </c>
      <c r="S1357" s="3" t="s">
        <v>2359</v>
      </c>
      <c r="T1357" s="3" t="s">
        <v>2359</v>
      </c>
      <c r="U1357" s="3" t="s">
        <v>2359</v>
      </c>
      <c r="V1357" s="3" t="s">
        <v>2359</v>
      </c>
      <c r="W1357" s="3" t="s">
        <v>2359</v>
      </c>
      <c r="X1357" s="3" t="s">
        <v>2272</v>
      </c>
      <c r="Y1357" s="3" t="s">
        <v>2272</v>
      </c>
      <c r="Z1357" s="3" t="s">
        <v>2272</v>
      </c>
      <c r="AA1357" s="3" t="s">
        <v>2272</v>
      </c>
      <c r="AB1357" s="4" t="s">
        <v>4042</v>
      </c>
      <c r="AC1357" s="3"/>
    </row>
    <row r="1358" spans="1:29"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2272</v>
      </c>
      <c r="K1358" s="198" t="s">
        <v>2272</v>
      </c>
      <c r="L1358" s="3" t="s">
        <v>2272</v>
      </c>
      <c r="M1358" s="3" t="s">
        <v>2272</v>
      </c>
      <c r="N1358" s="3" t="s">
        <v>2272</v>
      </c>
      <c r="O1358" s="3" t="s">
        <v>2272</v>
      </c>
      <c r="P1358" s="3" t="s">
        <v>2272</v>
      </c>
      <c r="Q1358" s="3" t="s">
        <v>2272</v>
      </c>
      <c r="R1358" s="3" t="s">
        <v>2272</v>
      </c>
      <c r="S1358" s="3" t="s">
        <v>2272</v>
      </c>
      <c r="T1358" s="3" t="s">
        <v>2272</v>
      </c>
      <c r="U1358" s="3" t="s">
        <v>2272</v>
      </c>
      <c r="V1358" s="3" t="s">
        <v>2272</v>
      </c>
      <c r="W1358" s="3" t="s">
        <v>2272</v>
      </c>
      <c r="X1358" s="3" t="s">
        <v>2272</v>
      </c>
      <c r="Y1358" s="3" t="s">
        <v>2272</v>
      </c>
      <c r="Z1358" s="3" t="s">
        <v>2272</v>
      </c>
      <c r="AA1358" s="3" t="s">
        <v>2272</v>
      </c>
      <c r="AB1358" s="4" t="s">
        <v>4066</v>
      </c>
      <c r="AC1358" s="3"/>
    </row>
    <row r="1359" spans="1:29" ht="41" customHeight="1">
      <c r="A1359" s="147" t="str">
        <f>'Reported burning'!A1359</f>
        <v>160f</v>
      </c>
      <c r="B1359" s="147" t="str">
        <f>'Reported burning'!B1359</f>
        <v>160f.1</v>
      </c>
      <c r="C1359" s="147" t="str">
        <f>'Reported burning'!C1359</f>
        <v>Unknown</v>
      </c>
      <c r="D1359" s="147" t="str">
        <f>'Reported burning'!D1359</f>
        <v>ND</v>
      </c>
      <c r="E1359" s="147" t="str">
        <f>'Reported burning'!E1359</f>
        <v>ND</v>
      </c>
      <c r="F1359" s="147" t="str">
        <f>'Reported burning'!F1359</f>
        <v>ND</v>
      </c>
      <c r="G1359" s="147" t="str">
        <f>'Reported burning'!G1359</f>
        <v>Forest</v>
      </c>
      <c r="H1359" s="147" t="str">
        <f>'Reported burning'!H1359</f>
        <v>Presence</v>
      </c>
      <c r="I1359" s="3">
        <v>2007</v>
      </c>
      <c r="J1359" s="3" t="s">
        <v>2272</v>
      </c>
      <c r="K1359" s="198" t="s">
        <v>2272</v>
      </c>
      <c r="L1359" s="3" t="s">
        <v>2272</v>
      </c>
      <c r="M1359" s="3" t="s">
        <v>2272</v>
      </c>
      <c r="N1359" s="3" t="s">
        <v>2272</v>
      </c>
      <c r="O1359" s="3" t="s">
        <v>2272</v>
      </c>
      <c r="P1359" s="3" t="s">
        <v>2272</v>
      </c>
      <c r="Q1359" s="3" t="s">
        <v>2272</v>
      </c>
      <c r="R1359" s="3" t="s">
        <v>2272</v>
      </c>
      <c r="S1359" s="3" t="s">
        <v>2272</v>
      </c>
      <c r="T1359" s="3" t="s">
        <v>2272</v>
      </c>
      <c r="U1359" s="3" t="s">
        <v>2272</v>
      </c>
      <c r="V1359" s="3" t="s">
        <v>2272</v>
      </c>
      <c r="W1359" s="3" t="s">
        <v>2272</v>
      </c>
      <c r="X1359" s="3" t="s">
        <v>2272</v>
      </c>
      <c r="Y1359" s="3" t="s">
        <v>2272</v>
      </c>
      <c r="Z1359" s="3" t="s">
        <v>2272</v>
      </c>
      <c r="AA1359" s="3" t="s">
        <v>2272</v>
      </c>
      <c r="AB1359" s="4" t="s">
        <v>4066</v>
      </c>
      <c r="AC1359" s="3"/>
    </row>
    <row r="1360" spans="1:29" ht="41" customHeight="1">
      <c r="A1360" s="147" t="str">
        <f>'Reported burning'!A1360</f>
        <v>160a</v>
      </c>
      <c r="B1360" s="147" t="str">
        <f>'Reported burning'!B1360</f>
        <v>160a.2</v>
      </c>
      <c r="C1360" s="147" t="str">
        <f>'Reported burning'!C1360</f>
        <v>Unknown</v>
      </c>
      <c r="D1360" s="147" t="str">
        <f>'Reported burning'!D1360</f>
        <v>ND</v>
      </c>
      <c r="E1360" s="147" t="str">
        <f>'Reported burning'!E1360</f>
        <v>ND</v>
      </c>
      <c r="F1360" s="147" t="str">
        <f>'Reported burning'!F1360</f>
        <v>ND</v>
      </c>
      <c r="G1360" s="147" t="str">
        <f>'Reported burning'!G1360</f>
        <v>Cropland</v>
      </c>
      <c r="H1360" s="147" t="str">
        <f>'Reported burning'!H1360</f>
        <v>Presence</v>
      </c>
      <c r="I1360" s="3">
        <v>2007</v>
      </c>
      <c r="J1360" s="3" t="s">
        <v>2272</v>
      </c>
      <c r="K1360" s="198" t="s">
        <v>2272</v>
      </c>
      <c r="L1360" s="3" t="s">
        <v>2272</v>
      </c>
      <c r="M1360" s="3" t="s">
        <v>2272</v>
      </c>
      <c r="N1360" s="3" t="s">
        <v>2272</v>
      </c>
      <c r="O1360" s="3" t="s">
        <v>2272</v>
      </c>
      <c r="P1360" s="3" t="s">
        <v>2272</v>
      </c>
      <c r="Q1360" s="3" t="s">
        <v>2272</v>
      </c>
      <c r="R1360" s="3" t="s">
        <v>2272</v>
      </c>
      <c r="S1360" s="3" t="s">
        <v>2272</v>
      </c>
      <c r="T1360" s="3" t="s">
        <v>2272</v>
      </c>
      <c r="U1360" s="3" t="s">
        <v>2272</v>
      </c>
      <c r="V1360" s="3" t="s">
        <v>2272</v>
      </c>
      <c r="W1360" s="3" t="s">
        <v>2272</v>
      </c>
      <c r="X1360" s="3" t="s">
        <v>2272</v>
      </c>
      <c r="Y1360" s="3" t="s">
        <v>2272</v>
      </c>
      <c r="Z1360" s="3" t="s">
        <v>2272</v>
      </c>
      <c r="AA1360" s="3" t="s">
        <v>2272</v>
      </c>
      <c r="AB1360" s="4" t="s">
        <v>4066</v>
      </c>
      <c r="AC1360" s="3"/>
    </row>
    <row r="1361" spans="1:29" ht="41" customHeight="1">
      <c r="A1361" s="147" t="str">
        <f>'Reported burning'!A1361</f>
        <v>160f</v>
      </c>
      <c r="B1361" s="147" t="str">
        <f>'Reported burning'!B1361</f>
        <v>160f.2</v>
      </c>
      <c r="C1361" s="147" t="str">
        <f>'Reported burning'!C1361</f>
        <v>Unknown</v>
      </c>
      <c r="D1361" s="147" t="str">
        <f>'Reported burning'!D1361</f>
        <v>ND</v>
      </c>
      <c r="E1361" s="147" t="str">
        <f>'Reported burning'!E1361</f>
        <v>ND</v>
      </c>
      <c r="F1361" s="147" t="str">
        <f>'Reported burning'!F1361</f>
        <v>ND</v>
      </c>
      <c r="G1361" s="147" t="str">
        <f>'Reported burning'!G1361</f>
        <v>Cropland</v>
      </c>
      <c r="H1361" s="147" t="str">
        <f>'Reported burning'!H1361</f>
        <v>Presence</v>
      </c>
      <c r="I1361" s="3">
        <v>2007</v>
      </c>
      <c r="J1361" s="3" t="s">
        <v>2272</v>
      </c>
      <c r="K1361" s="198" t="s">
        <v>2272</v>
      </c>
      <c r="L1361" s="3" t="s">
        <v>2272</v>
      </c>
      <c r="M1361" s="3" t="s">
        <v>2272</v>
      </c>
      <c r="N1361" s="3" t="s">
        <v>2272</v>
      </c>
      <c r="O1361" s="3" t="s">
        <v>2272</v>
      </c>
      <c r="P1361" s="3" t="s">
        <v>2272</v>
      </c>
      <c r="Q1361" s="3" t="s">
        <v>2272</v>
      </c>
      <c r="R1361" s="3" t="s">
        <v>2272</v>
      </c>
      <c r="S1361" s="3" t="s">
        <v>2272</v>
      </c>
      <c r="T1361" s="3" t="s">
        <v>2272</v>
      </c>
      <c r="U1361" s="3" t="s">
        <v>2272</v>
      </c>
      <c r="V1361" s="3" t="s">
        <v>2272</v>
      </c>
      <c r="W1361" s="3" t="s">
        <v>2272</v>
      </c>
      <c r="X1361" s="3" t="s">
        <v>2272</v>
      </c>
      <c r="Y1361" s="3" t="s">
        <v>2272</v>
      </c>
      <c r="Z1361" s="3" t="s">
        <v>2272</v>
      </c>
      <c r="AA1361" s="3" t="s">
        <v>2272</v>
      </c>
      <c r="AB1361" s="4" t="s">
        <v>4066</v>
      </c>
      <c r="AC1361" s="3"/>
    </row>
    <row r="1362" spans="1:29" ht="41" customHeight="1">
      <c r="A1362" s="147" t="str">
        <f>'Reported burning'!A1362</f>
        <v>160a</v>
      </c>
      <c r="B1362" s="147" t="str">
        <f>'Reported burning'!B1362</f>
        <v>160a.3</v>
      </c>
      <c r="C1362" s="147" t="str">
        <f>'Reported burning'!C1362</f>
        <v>Unknown</v>
      </c>
      <c r="D1362" s="147" t="str">
        <f>'Reported burning'!D1362</f>
        <v>ND</v>
      </c>
      <c r="E1362" s="147" t="str">
        <f>'Reported burning'!E1362</f>
        <v>ND</v>
      </c>
      <c r="F1362" s="147" t="str">
        <f>'Reported burning'!F1362</f>
        <v>ND</v>
      </c>
      <c r="G1362" s="147" t="str">
        <f>'Reported burning'!G1362</f>
        <v>Shrubland (Mixed forest &amp; grassland)</v>
      </c>
      <c r="H1362" s="147" t="str">
        <f>'Reported burning'!H1362</f>
        <v>Presence</v>
      </c>
      <c r="I1362" s="3">
        <v>2007</v>
      </c>
      <c r="J1362" s="3" t="s">
        <v>2272</v>
      </c>
      <c r="K1362" s="198" t="s">
        <v>2272</v>
      </c>
      <c r="L1362" s="3" t="s">
        <v>2272</v>
      </c>
      <c r="M1362" s="3" t="s">
        <v>2272</v>
      </c>
      <c r="N1362" s="3" t="s">
        <v>2272</v>
      </c>
      <c r="O1362" s="3" t="s">
        <v>2272</v>
      </c>
      <c r="P1362" s="3" t="s">
        <v>2272</v>
      </c>
      <c r="Q1362" s="3" t="s">
        <v>2272</v>
      </c>
      <c r="R1362" s="3" t="s">
        <v>2272</v>
      </c>
      <c r="S1362" s="3" t="s">
        <v>2272</v>
      </c>
      <c r="T1362" s="3" t="s">
        <v>2272</v>
      </c>
      <c r="U1362" s="3" t="s">
        <v>2272</v>
      </c>
      <c r="V1362" s="3" t="s">
        <v>2272</v>
      </c>
      <c r="W1362" s="3" t="s">
        <v>2272</v>
      </c>
      <c r="X1362" s="3" t="s">
        <v>2272</v>
      </c>
      <c r="Y1362" s="3" t="s">
        <v>2272</v>
      </c>
      <c r="Z1362" s="3" t="s">
        <v>2272</v>
      </c>
      <c r="AA1362" s="3" t="s">
        <v>2272</v>
      </c>
      <c r="AB1362" s="4" t="s">
        <v>4066</v>
      </c>
      <c r="AC1362" s="3"/>
    </row>
    <row r="1363" spans="1:29" ht="41" customHeight="1">
      <c r="A1363" s="147" t="str">
        <f>'Reported burning'!A1363</f>
        <v>160f</v>
      </c>
      <c r="B1363" s="147" t="str">
        <f>'Reported burning'!B1363</f>
        <v>160f.3</v>
      </c>
      <c r="C1363" s="147" t="str">
        <f>'Reported burning'!C1363</f>
        <v>Unknown</v>
      </c>
      <c r="D1363" s="147" t="str">
        <f>'Reported burning'!D1363</f>
        <v>ND</v>
      </c>
      <c r="E1363" s="147" t="str">
        <f>'Reported burning'!E1363</f>
        <v>ND</v>
      </c>
      <c r="F1363" s="147" t="str">
        <f>'Reported burning'!F1363</f>
        <v>ND</v>
      </c>
      <c r="G1363" s="147" t="str">
        <f>'Reported burning'!G1363</f>
        <v>Shrubland (Mixed forest &amp; grassland)</v>
      </c>
      <c r="H1363" s="147" t="str">
        <f>'Reported burning'!H1363</f>
        <v>Presence</v>
      </c>
      <c r="I1363" s="3">
        <v>2007</v>
      </c>
      <c r="J1363" s="3" t="s">
        <v>2272</v>
      </c>
      <c r="K1363" s="198" t="s">
        <v>2272</v>
      </c>
      <c r="L1363" s="3" t="s">
        <v>2272</v>
      </c>
      <c r="M1363" s="3" t="s">
        <v>2272</v>
      </c>
      <c r="N1363" s="3" t="s">
        <v>2272</v>
      </c>
      <c r="O1363" s="3" t="s">
        <v>2272</v>
      </c>
      <c r="P1363" s="3" t="s">
        <v>2272</v>
      </c>
      <c r="Q1363" s="3" t="s">
        <v>2272</v>
      </c>
      <c r="R1363" s="3" t="s">
        <v>2272</v>
      </c>
      <c r="S1363" s="3" t="s">
        <v>2272</v>
      </c>
      <c r="T1363" s="3" t="s">
        <v>2272</v>
      </c>
      <c r="U1363" s="3" t="s">
        <v>2272</v>
      </c>
      <c r="V1363" s="3" t="s">
        <v>2272</v>
      </c>
      <c r="W1363" s="3" t="s">
        <v>2272</v>
      </c>
      <c r="X1363" s="3" t="s">
        <v>2272</v>
      </c>
      <c r="Y1363" s="3" t="s">
        <v>2272</v>
      </c>
      <c r="Z1363" s="3" t="s">
        <v>2272</v>
      </c>
      <c r="AA1363" s="3" t="s">
        <v>2272</v>
      </c>
      <c r="AB1363" s="4" t="s">
        <v>4066</v>
      </c>
      <c r="AC1363" s="3"/>
    </row>
    <row r="1364" spans="1:29" ht="29" customHeight="1">
      <c r="A1364" s="147" t="str">
        <f>'Reported burning'!A1364</f>
        <v>161a</v>
      </c>
      <c r="B1364" s="147" t="str">
        <f>'Reported burning'!B1364</f>
        <v>161a.1</v>
      </c>
      <c r="C1364" s="147" t="str">
        <f>'Reported burning'!C1364</f>
        <v>Human, deliberate</v>
      </c>
      <c r="D1364" s="147" t="str">
        <f>'Reported burning'!D1364</f>
        <v>Rangeland management</v>
      </c>
      <c r="E1364" s="147" t="str">
        <f>'Reported burning'!E1364</f>
        <v>Pastoralism, Migratory</v>
      </c>
      <c r="F1364" s="147" t="str">
        <f>'Reported burning'!F1364</f>
        <v>Grassland</v>
      </c>
      <c r="G1364" s="147" t="str">
        <f>'Reported burning'!G1364</f>
        <v>ND</v>
      </c>
      <c r="H1364" s="147" t="str">
        <f>'Reported burning'!H1364</f>
        <v>Absence</v>
      </c>
      <c r="I1364" s="3"/>
      <c r="J1364" s="3" t="s">
        <v>2359</v>
      </c>
      <c r="K1364" s="198" t="s">
        <v>2359</v>
      </c>
      <c r="L1364" s="3" t="s">
        <v>2359</v>
      </c>
      <c r="M1364" s="3" t="s">
        <v>2359</v>
      </c>
      <c r="N1364" s="3" t="s">
        <v>2359</v>
      </c>
      <c r="O1364" s="3" t="s">
        <v>2359</v>
      </c>
      <c r="P1364" s="3" t="s">
        <v>2359</v>
      </c>
      <c r="Q1364" s="3" t="s">
        <v>2359</v>
      </c>
      <c r="R1364" s="3" t="s">
        <v>2359</v>
      </c>
      <c r="S1364" s="3" t="s">
        <v>2359</v>
      </c>
      <c r="T1364" s="3" t="s">
        <v>2359</v>
      </c>
      <c r="U1364" s="3" t="s">
        <v>2359</v>
      </c>
      <c r="V1364" s="3" t="s">
        <v>2359</v>
      </c>
      <c r="W1364" s="3" t="s">
        <v>2359</v>
      </c>
      <c r="X1364" s="3" t="s">
        <v>2272</v>
      </c>
      <c r="Y1364" s="3" t="s">
        <v>2272</v>
      </c>
      <c r="Z1364" s="3" t="s">
        <v>2272</v>
      </c>
      <c r="AA1364" s="3" t="s">
        <v>2272</v>
      </c>
      <c r="AB1364" s="3"/>
      <c r="AC1364" s="3"/>
    </row>
    <row r="1365" spans="1:29" ht="29" customHeight="1">
      <c r="A1365" s="147" t="str">
        <f>'Reported burning'!A1365</f>
        <v>161a</v>
      </c>
      <c r="B1365" s="147" t="str">
        <f>'Reported burning'!B1365</f>
        <v>161a.2</v>
      </c>
      <c r="C1365" s="147" t="str">
        <f>'Reported burning'!C1365</f>
        <v>Human, deliberate</v>
      </c>
      <c r="D1365" s="147" t="str">
        <f>'Reported burning'!D1365</f>
        <v>Rangeland management</v>
      </c>
      <c r="E1365" s="147" t="str">
        <f>'Reported burning'!E1365</f>
        <v>Pastoralism, Migratory</v>
      </c>
      <c r="F1365" s="147" t="str">
        <f>'Reported burning'!F1365</f>
        <v>Forest</v>
      </c>
      <c r="G1365" s="147" t="str">
        <f>'Reported burning'!G1365</f>
        <v>ND</v>
      </c>
      <c r="H1365" s="147" t="str">
        <f>'Reported burning'!H1365</f>
        <v>Absence</v>
      </c>
      <c r="I1365" s="3"/>
      <c r="J1365" s="3" t="s">
        <v>2359</v>
      </c>
      <c r="K1365" s="198" t="s">
        <v>2359</v>
      </c>
      <c r="L1365" s="3" t="s">
        <v>2359</v>
      </c>
      <c r="M1365" s="3" t="s">
        <v>2359</v>
      </c>
      <c r="N1365" s="3" t="s">
        <v>2359</v>
      </c>
      <c r="O1365" s="3" t="s">
        <v>2359</v>
      </c>
      <c r="P1365" s="3" t="s">
        <v>2359</v>
      </c>
      <c r="Q1365" s="3" t="s">
        <v>2359</v>
      </c>
      <c r="R1365" s="3" t="s">
        <v>2359</v>
      </c>
      <c r="S1365" s="3" t="s">
        <v>2359</v>
      </c>
      <c r="T1365" s="3" t="s">
        <v>2359</v>
      </c>
      <c r="U1365" s="3" t="s">
        <v>2359</v>
      </c>
      <c r="V1365" s="3" t="s">
        <v>2359</v>
      </c>
      <c r="W1365" s="3" t="s">
        <v>2359</v>
      </c>
      <c r="X1365" s="3" t="s">
        <v>2272</v>
      </c>
      <c r="Y1365" s="3" t="s">
        <v>2272</v>
      </c>
      <c r="Z1365" s="3" t="s">
        <v>2272</v>
      </c>
      <c r="AA1365" s="3" t="s">
        <v>2272</v>
      </c>
      <c r="AB1365" s="3"/>
      <c r="AC1365" s="3"/>
    </row>
    <row r="1366" spans="1:29" ht="29" customHeight="1">
      <c r="A1366" s="147" t="str">
        <f>'Reported burning'!A1366</f>
        <v>161a</v>
      </c>
      <c r="B1366" s="147" t="str">
        <f>'Reported burning'!B1366</f>
        <v>161a.3</v>
      </c>
      <c r="C1366" s="147" t="str">
        <f>'Reported burning'!C1366</f>
        <v>Human, deliberate</v>
      </c>
      <c r="D1366" s="147" t="str">
        <f>'Reported burning'!D1366</f>
        <v>Rangeland management</v>
      </c>
      <c r="E1366" s="147" t="str">
        <f>'Reported burning'!E1366</f>
        <v>Pastoralism, Migratory</v>
      </c>
      <c r="F1366" s="147" t="str">
        <f>'Reported burning'!F1366</f>
        <v>Shrubland (Mixed forest &amp; grassland)</v>
      </c>
      <c r="G1366" s="147" t="str">
        <f>'Reported burning'!G1366</f>
        <v>ND</v>
      </c>
      <c r="H1366" s="147" t="str">
        <f>'Reported burning'!H1366</f>
        <v>Absence</v>
      </c>
      <c r="I1366" s="3"/>
      <c r="J1366" s="3" t="s">
        <v>2359</v>
      </c>
      <c r="K1366" s="198" t="s">
        <v>2359</v>
      </c>
      <c r="L1366" s="3" t="s">
        <v>2359</v>
      </c>
      <c r="M1366" s="3" t="s">
        <v>2359</v>
      </c>
      <c r="N1366" s="3" t="s">
        <v>2359</v>
      </c>
      <c r="O1366" s="3" t="s">
        <v>2359</v>
      </c>
      <c r="P1366" s="3" t="s">
        <v>2359</v>
      </c>
      <c r="Q1366" s="3" t="s">
        <v>2359</v>
      </c>
      <c r="R1366" s="3" t="s">
        <v>2359</v>
      </c>
      <c r="S1366" s="3" t="s">
        <v>2359</v>
      </c>
      <c r="T1366" s="3" t="s">
        <v>2359</v>
      </c>
      <c r="U1366" s="3" t="s">
        <v>2359</v>
      </c>
      <c r="V1366" s="3" t="s">
        <v>2359</v>
      </c>
      <c r="W1366" s="3" t="s">
        <v>2359</v>
      </c>
      <c r="X1366" s="3" t="s">
        <v>2272</v>
      </c>
      <c r="Y1366" s="3" t="s">
        <v>2272</v>
      </c>
      <c r="Z1366" s="3" t="s">
        <v>2272</v>
      </c>
      <c r="AA1366" s="3" t="s">
        <v>2272</v>
      </c>
      <c r="AB1366" s="3"/>
      <c r="AC1366" s="3"/>
    </row>
    <row r="1367" spans="1:29" ht="29" customHeight="1">
      <c r="A1367" s="147" t="str">
        <f>'Reported burning'!A1367</f>
        <v>161a</v>
      </c>
      <c r="B1367" s="147" t="str">
        <f>'Reported burning'!B1367</f>
        <v>161a.4</v>
      </c>
      <c r="C1367" s="147" t="str">
        <f>'Reported burning'!C1367</f>
        <v>Human, accidental</v>
      </c>
      <c r="D1367" s="147" t="str">
        <f>'Reported burning'!D1367</f>
        <v>ND</v>
      </c>
      <c r="E1367" s="147" t="str">
        <f>'Reported burning'!E1367</f>
        <v>ND</v>
      </c>
      <c r="F1367" s="147" t="str">
        <f>'Reported burning'!F1367</f>
        <v>ND</v>
      </c>
      <c r="G1367" s="147" t="str">
        <f>'Reported burning'!G1367</f>
        <v>Forest</v>
      </c>
      <c r="H1367" s="147" t="str">
        <f>'Reported burning'!H1367</f>
        <v>Presence</v>
      </c>
      <c r="I1367" s="3"/>
      <c r="J1367" s="3" t="s">
        <v>2359</v>
      </c>
      <c r="K1367" s="198" t="s">
        <v>2359</v>
      </c>
      <c r="L1367" s="3" t="s">
        <v>2359</v>
      </c>
      <c r="M1367" s="3" t="s">
        <v>2359</v>
      </c>
      <c r="N1367" s="3" t="s">
        <v>2359</v>
      </c>
      <c r="O1367" s="3" t="s">
        <v>2359</v>
      </c>
      <c r="P1367" s="3" t="s">
        <v>2359</v>
      </c>
      <c r="Q1367" s="3" t="s">
        <v>2359</v>
      </c>
      <c r="R1367" s="3" t="s">
        <v>2359</v>
      </c>
      <c r="S1367" s="3" t="s">
        <v>2359</v>
      </c>
      <c r="T1367" s="3" t="s">
        <v>2359</v>
      </c>
      <c r="U1367" s="3" t="s">
        <v>2359</v>
      </c>
      <c r="V1367" s="3" t="s">
        <v>2359</v>
      </c>
      <c r="W1367" s="3" t="s">
        <v>2359</v>
      </c>
      <c r="X1367" s="3" t="s">
        <v>2272</v>
      </c>
      <c r="Y1367" s="3" t="s">
        <v>187</v>
      </c>
      <c r="Z1367" s="3" t="s">
        <v>33</v>
      </c>
      <c r="AA1367" s="3" t="s">
        <v>2272</v>
      </c>
      <c r="AB1367" s="3"/>
      <c r="AC1367" s="3"/>
    </row>
    <row r="1368" spans="1:29" ht="29" customHeight="1">
      <c r="A1368" s="147" t="str">
        <f>'Reported burning'!A1368</f>
        <v>161a</v>
      </c>
      <c r="B1368" s="147" t="str">
        <f>'Reported burning'!B1368</f>
        <v>161a.5</v>
      </c>
      <c r="C1368" s="147" t="str">
        <f>'Reported burning'!C1368</f>
        <v>Human, accidental</v>
      </c>
      <c r="D1368" s="147" t="str">
        <f>'Reported burning'!D1368</f>
        <v>ND</v>
      </c>
      <c r="E1368" s="147" t="str">
        <f>'Reported burning'!E1368</f>
        <v>ND</v>
      </c>
      <c r="F1368" s="147" t="str">
        <f>'Reported burning'!F1368</f>
        <v>ND</v>
      </c>
      <c r="G1368" s="147" t="str">
        <f>'Reported burning'!G1368</f>
        <v>Forest</v>
      </c>
      <c r="H1368" s="147" t="str">
        <f>'Reported burning'!H1368</f>
        <v>Presence</v>
      </c>
      <c r="I1368" s="3">
        <v>1994</v>
      </c>
      <c r="J1368" s="3" t="s">
        <v>2272</v>
      </c>
      <c r="K1368" s="198" t="s">
        <v>2272</v>
      </c>
      <c r="L1368" s="3" t="s">
        <v>2272</v>
      </c>
      <c r="M1368" s="3" t="s">
        <v>2272</v>
      </c>
      <c r="N1368" s="3" t="s">
        <v>2272</v>
      </c>
      <c r="O1368" s="3" t="s">
        <v>2272</v>
      </c>
      <c r="P1368" s="3" t="s">
        <v>2272</v>
      </c>
      <c r="Q1368" s="3" t="s">
        <v>2272</v>
      </c>
      <c r="R1368" s="3" t="s">
        <v>2272</v>
      </c>
      <c r="S1368" s="3" t="s">
        <v>2272</v>
      </c>
      <c r="T1368" s="3" t="s">
        <v>2272</v>
      </c>
      <c r="U1368" s="3" t="s">
        <v>2369</v>
      </c>
      <c r="V1368" s="3" t="s">
        <v>2272</v>
      </c>
      <c r="W1368" s="3" t="s">
        <v>2272</v>
      </c>
      <c r="X1368" s="3" t="s">
        <v>2272</v>
      </c>
      <c r="Y1368" s="3" t="s">
        <v>187</v>
      </c>
      <c r="Z1368" s="3" t="s">
        <v>33</v>
      </c>
      <c r="AA1368" s="3" t="s">
        <v>2272</v>
      </c>
      <c r="AB1368" s="3"/>
      <c r="AC1368" s="3" t="s">
        <v>4101</v>
      </c>
    </row>
    <row r="1369" spans="1:29" ht="29" customHeight="1">
      <c r="A1369" s="147" t="str">
        <f>'Reported burning'!A1369</f>
        <v>161a</v>
      </c>
      <c r="B1369" s="147" t="str">
        <f>'Reported burning'!B1369</f>
        <v>161a.6</v>
      </c>
      <c r="C1369" s="147" t="str">
        <f>'Reported burning'!C1369</f>
        <v>Human, accidental</v>
      </c>
      <c r="D1369" s="147" t="str">
        <f>'Reported burning'!D1369</f>
        <v>ND</v>
      </c>
      <c r="E1369" s="147" t="str">
        <f>'Reported burning'!E1369</f>
        <v>ND</v>
      </c>
      <c r="F1369" s="147" t="str">
        <f>'Reported burning'!F1369</f>
        <v>ND</v>
      </c>
      <c r="G1369" s="147" t="str">
        <f>'Reported burning'!G1369</f>
        <v>Forest</v>
      </c>
      <c r="H1369" s="147" t="str">
        <f>'Reported burning'!H1369</f>
        <v>Presence</v>
      </c>
      <c r="I1369" s="3">
        <v>1996</v>
      </c>
      <c r="J1369" s="3" t="s">
        <v>2272</v>
      </c>
      <c r="K1369" s="198" t="s">
        <v>2272</v>
      </c>
      <c r="L1369" s="3" t="s">
        <v>2272</v>
      </c>
      <c r="M1369" s="3" t="s">
        <v>2272</v>
      </c>
      <c r="N1369" s="3" t="s">
        <v>2272</v>
      </c>
      <c r="O1369" s="3" t="s">
        <v>2272</v>
      </c>
      <c r="P1369" s="3" t="s">
        <v>2272</v>
      </c>
      <c r="Q1369" s="3" t="s">
        <v>2272</v>
      </c>
      <c r="R1369" s="3" t="s">
        <v>2272</v>
      </c>
      <c r="S1369" s="3" t="s">
        <v>2272</v>
      </c>
      <c r="T1369" s="3" t="s">
        <v>2272</v>
      </c>
      <c r="U1369" s="3" t="s">
        <v>2369</v>
      </c>
      <c r="V1369" s="3" t="s">
        <v>2272</v>
      </c>
      <c r="W1369" s="3" t="s">
        <v>2272</v>
      </c>
      <c r="X1369" s="3" t="s">
        <v>2272</v>
      </c>
      <c r="Y1369" s="3" t="s">
        <v>187</v>
      </c>
      <c r="Z1369" s="3" t="s">
        <v>33</v>
      </c>
      <c r="AA1369" s="3" t="s">
        <v>2272</v>
      </c>
      <c r="AB1369" s="3"/>
      <c r="AC1369" s="3" t="s">
        <v>4101</v>
      </c>
    </row>
    <row r="1370" spans="1:29" ht="29" customHeight="1">
      <c r="A1370" s="147" t="str">
        <f>'Reported burning'!A1370</f>
        <v>161a</v>
      </c>
      <c r="B1370" s="147" t="str">
        <f>'Reported burning'!B1370</f>
        <v>161a.7</v>
      </c>
      <c r="C1370" s="147" t="str">
        <f>'Reported burning'!C1370</f>
        <v>Human, accidental</v>
      </c>
      <c r="D1370" s="147" t="str">
        <f>'Reported burning'!D1370</f>
        <v>ND</v>
      </c>
      <c r="E1370" s="147" t="str">
        <f>'Reported burning'!E1370</f>
        <v>ND</v>
      </c>
      <c r="F1370" s="147" t="str">
        <f>'Reported burning'!F1370</f>
        <v>ND</v>
      </c>
      <c r="G1370" s="147" t="str">
        <f>'Reported burning'!G1370</f>
        <v>Forest</v>
      </c>
      <c r="H1370" s="147" t="str">
        <f>'Reported burning'!H1370</f>
        <v>Presence</v>
      </c>
      <c r="I1370" s="3">
        <v>1997</v>
      </c>
      <c r="J1370" s="3" t="s">
        <v>2272</v>
      </c>
      <c r="K1370" s="198" t="s">
        <v>2272</v>
      </c>
      <c r="L1370" s="3" t="s">
        <v>2272</v>
      </c>
      <c r="M1370" s="3" t="s">
        <v>2272</v>
      </c>
      <c r="N1370" s="3" t="s">
        <v>2272</v>
      </c>
      <c r="O1370" s="3" t="s">
        <v>2272</v>
      </c>
      <c r="P1370" s="3" t="s">
        <v>2272</v>
      </c>
      <c r="Q1370" s="3" t="s">
        <v>2272</v>
      </c>
      <c r="R1370" s="3" t="s">
        <v>2272</v>
      </c>
      <c r="S1370" s="3" t="s">
        <v>2272</v>
      </c>
      <c r="T1370" s="3" t="s">
        <v>2272</v>
      </c>
      <c r="U1370" s="3" t="s">
        <v>2369</v>
      </c>
      <c r="V1370" s="3" t="s">
        <v>2272</v>
      </c>
      <c r="W1370" s="3" t="s">
        <v>2272</v>
      </c>
      <c r="X1370" s="3" t="s">
        <v>2272</v>
      </c>
      <c r="Y1370" s="3" t="s">
        <v>187</v>
      </c>
      <c r="Z1370" s="3" t="s">
        <v>33</v>
      </c>
      <c r="AA1370" s="3" t="s">
        <v>2272</v>
      </c>
      <c r="AB1370" s="3"/>
      <c r="AC1370" s="3" t="s">
        <v>4101</v>
      </c>
    </row>
    <row r="1371" spans="1:29" ht="29" customHeight="1">
      <c r="A1371" s="147" t="str">
        <f>'Reported burning'!A1371</f>
        <v>161a</v>
      </c>
      <c r="B1371" s="147" t="str">
        <f>'Reported burning'!B1371</f>
        <v>161a.8</v>
      </c>
      <c r="C1371" s="147" t="str">
        <f>'Reported burning'!C1371</f>
        <v>Human, accidental</v>
      </c>
      <c r="D1371" s="147" t="str">
        <f>'Reported burning'!D1371</f>
        <v>ND</v>
      </c>
      <c r="E1371" s="147" t="str">
        <f>'Reported burning'!E1371</f>
        <v>ND</v>
      </c>
      <c r="F1371" s="147" t="str">
        <f>'Reported burning'!F1371</f>
        <v>ND</v>
      </c>
      <c r="G1371" s="147" t="str">
        <f>'Reported burning'!G1371</f>
        <v>Forest</v>
      </c>
      <c r="H1371" s="147" t="str">
        <f>'Reported burning'!H1371</f>
        <v>Presence</v>
      </c>
      <c r="I1371" s="3">
        <v>2007</v>
      </c>
      <c r="J1371" s="3" t="s">
        <v>2272</v>
      </c>
      <c r="K1371" s="198" t="s">
        <v>2272</v>
      </c>
      <c r="L1371" s="3" t="s">
        <v>2272</v>
      </c>
      <c r="M1371" s="3" t="s">
        <v>2272</v>
      </c>
      <c r="N1371" s="3" t="s">
        <v>2272</v>
      </c>
      <c r="O1371" s="3" t="s">
        <v>2272</v>
      </c>
      <c r="P1371" s="3" t="s">
        <v>2272</v>
      </c>
      <c r="Q1371" s="3" t="s">
        <v>2272</v>
      </c>
      <c r="R1371" s="3" t="s">
        <v>2272</v>
      </c>
      <c r="S1371" s="3" t="s">
        <v>2272</v>
      </c>
      <c r="T1371" s="3" t="s">
        <v>2272</v>
      </c>
      <c r="U1371" s="3" t="s">
        <v>2369</v>
      </c>
      <c r="V1371" s="3" t="s">
        <v>2272</v>
      </c>
      <c r="W1371" s="3" t="s">
        <v>2272</v>
      </c>
      <c r="X1371" s="3" t="s">
        <v>2272</v>
      </c>
      <c r="Y1371" s="3" t="s">
        <v>187</v>
      </c>
      <c r="Z1371" s="3" t="s">
        <v>33</v>
      </c>
      <c r="AA1371" s="3" t="s">
        <v>2272</v>
      </c>
      <c r="AB1371" s="3"/>
      <c r="AC1371" s="3" t="s">
        <v>4101</v>
      </c>
    </row>
    <row r="1372" spans="1:29" ht="29" customHeight="1">
      <c r="A1372" s="147" t="str">
        <f>'Reported burning'!A1372</f>
        <v>161a</v>
      </c>
      <c r="B1372" s="147" t="str">
        <f>'Reported burning'!B1372</f>
        <v>161a.9</v>
      </c>
      <c r="C1372" s="147" t="str">
        <f>'Reported burning'!C1372</f>
        <v>Lightning</v>
      </c>
      <c r="D1372" s="147" t="str">
        <f>'Reported burning'!D1372</f>
        <v>ND</v>
      </c>
      <c r="E1372" s="147" t="str">
        <f>'Reported burning'!E1372</f>
        <v>ND</v>
      </c>
      <c r="F1372" s="147" t="str">
        <f>'Reported burning'!F1372</f>
        <v>ND</v>
      </c>
      <c r="G1372" s="147" t="str">
        <f>'Reported burning'!G1372</f>
        <v>Forest</v>
      </c>
      <c r="H1372" s="147" t="str">
        <f>'Reported burning'!H1372</f>
        <v>Absence</v>
      </c>
      <c r="I1372" s="3"/>
      <c r="J1372" s="3" t="s">
        <v>2359</v>
      </c>
      <c r="K1372" s="198" t="s">
        <v>2359</v>
      </c>
      <c r="L1372" s="3" t="s">
        <v>2359</v>
      </c>
      <c r="M1372" s="3" t="s">
        <v>2359</v>
      </c>
      <c r="N1372" s="3" t="s">
        <v>2359</v>
      </c>
      <c r="O1372" s="3" t="s">
        <v>2359</v>
      </c>
      <c r="P1372" s="3" t="s">
        <v>2359</v>
      </c>
      <c r="Q1372" s="3" t="s">
        <v>2359</v>
      </c>
      <c r="R1372" s="3" t="s">
        <v>2359</v>
      </c>
      <c r="S1372" s="3" t="s">
        <v>2359</v>
      </c>
      <c r="T1372" s="3" t="s">
        <v>2359</v>
      </c>
      <c r="U1372" s="3" t="s">
        <v>2359</v>
      </c>
      <c r="V1372" s="3" t="s">
        <v>2359</v>
      </c>
      <c r="W1372" s="3" t="s">
        <v>2359</v>
      </c>
      <c r="X1372" s="3" t="s">
        <v>2272</v>
      </c>
      <c r="Y1372" s="3" t="s">
        <v>187</v>
      </c>
      <c r="Z1372" s="3" t="s">
        <v>33</v>
      </c>
      <c r="AA1372" s="3" t="s">
        <v>2272</v>
      </c>
      <c r="AB1372" s="3"/>
      <c r="AC1372" s="3"/>
    </row>
    <row r="1373" spans="1:29" ht="32" customHeight="1">
      <c r="A1373" s="147" t="str">
        <f>'Reported burning'!A1373</f>
        <v>162a</v>
      </c>
      <c r="B1373" s="147" t="str">
        <f>'Reported burning'!B1373</f>
        <v>162a.1</v>
      </c>
      <c r="C1373" s="147" t="str">
        <f>'Reported burning'!C1373</f>
        <v>Human, deliberate</v>
      </c>
      <c r="D1373" s="147" t="str">
        <f>'Reported burning'!D1373</f>
        <v>Pasture renewal</v>
      </c>
      <c r="E1373" s="147" t="str">
        <f>'Reported burning'!E1373</f>
        <v>Pastoralism, Migratory</v>
      </c>
      <c r="F1373" s="147" t="str">
        <f>'Reported burning'!F1373</f>
        <v>Grassland</v>
      </c>
      <c r="G1373" s="147" t="str">
        <f>'Reported burning'!G1373</f>
        <v>ND</v>
      </c>
      <c r="H1373" s="147" t="str">
        <f>'Reported burning'!H1373</f>
        <v>Presence</v>
      </c>
      <c r="I1373" s="3"/>
      <c r="J1373" s="3" t="s">
        <v>2272</v>
      </c>
      <c r="K1373" s="198" t="s">
        <v>2272</v>
      </c>
      <c r="L1373" s="3" t="s">
        <v>2272</v>
      </c>
      <c r="M1373" s="3" t="s">
        <v>2272</v>
      </c>
      <c r="N1373" s="3" t="s">
        <v>2272</v>
      </c>
      <c r="O1373" s="3" t="s">
        <v>2272</v>
      </c>
      <c r="P1373" s="3" t="s">
        <v>2272</v>
      </c>
      <c r="Q1373" s="3" t="s">
        <v>2272</v>
      </c>
      <c r="R1373" s="3" t="s">
        <v>2272</v>
      </c>
      <c r="S1373" s="3" t="s">
        <v>2272</v>
      </c>
      <c r="T1373" s="3" t="s">
        <v>2272</v>
      </c>
      <c r="U1373" s="3" t="s">
        <v>2272</v>
      </c>
      <c r="V1373" s="3" t="s">
        <v>2272</v>
      </c>
      <c r="W1373" s="3" t="s">
        <v>2272</v>
      </c>
      <c r="X1373" s="3" t="s">
        <v>2272</v>
      </c>
      <c r="Y1373" s="3" t="s">
        <v>2272</v>
      </c>
      <c r="Z1373" s="3" t="s">
        <v>2272</v>
      </c>
      <c r="AA1373" s="3" t="s">
        <v>2272</v>
      </c>
      <c r="AB1373" s="3"/>
      <c r="AC1373" s="3"/>
    </row>
    <row r="1374" spans="1:29" ht="32" customHeight="1">
      <c r="A1374" s="147" t="str">
        <f>'Reported burning'!A1374</f>
        <v>162a</v>
      </c>
      <c r="B1374" s="147" t="str">
        <f>'Reported burning'!B1374</f>
        <v>162a.2</v>
      </c>
      <c r="C1374" s="147" t="str">
        <f>'Reported burning'!C1374</f>
        <v>Human, deliberate</v>
      </c>
      <c r="D1374" s="147" t="str">
        <f>'Reported burning'!D1374</f>
        <v>Pasture renewal</v>
      </c>
      <c r="E1374" s="147" t="str">
        <f>'Reported burning'!E1374</f>
        <v>Cattle, Extensive</v>
      </c>
      <c r="F1374" s="147" t="str">
        <f>'Reported burning'!F1374</f>
        <v>Grassland</v>
      </c>
      <c r="G1374" s="147" t="str">
        <f>'Reported burning'!G1374</f>
        <v>ND</v>
      </c>
      <c r="H1374" s="147" t="str">
        <f>'Reported burning'!H1374</f>
        <v>Presence</v>
      </c>
      <c r="I1374" s="3"/>
      <c r="J1374" s="3" t="s">
        <v>2272</v>
      </c>
      <c r="K1374" s="198" t="s">
        <v>2272</v>
      </c>
      <c r="L1374" s="3" t="s">
        <v>2272</v>
      </c>
      <c r="M1374" s="3" t="s">
        <v>2272</v>
      </c>
      <c r="N1374" s="3" t="s">
        <v>2272</v>
      </c>
      <c r="O1374" s="3" t="s">
        <v>2272</v>
      </c>
      <c r="P1374" s="3" t="s">
        <v>2272</v>
      </c>
      <c r="Q1374" s="3" t="s">
        <v>2272</v>
      </c>
      <c r="R1374" s="3" t="s">
        <v>2272</v>
      </c>
      <c r="S1374" s="3" t="s">
        <v>2272</v>
      </c>
      <c r="T1374" s="3" t="s">
        <v>2272</v>
      </c>
      <c r="U1374" s="3" t="s">
        <v>2272</v>
      </c>
      <c r="V1374" s="3" t="s">
        <v>2272</v>
      </c>
      <c r="W1374" s="3" t="s">
        <v>2272</v>
      </c>
      <c r="X1374" s="3" t="s">
        <v>2272</v>
      </c>
      <c r="Y1374" s="3" t="s">
        <v>2272</v>
      </c>
      <c r="Z1374" s="3" t="s">
        <v>2272</v>
      </c>
      <c r="AA1374" s="3" t="s">
        <v>2272</v>
      </c>
      <c r="AB1374" s="3"/>
      <c r="AC1374" s="3"/>
    </row>
    <row r="1375" spans="1:29" ht="32" customHeight="1">
      <c r="A1375" s="147" t="str">
        <f>'Reported burning'!A1375</f>
        <v>162b</v>
      </c>
      <c r="B1375" s="147" t="str">
        <f>'Reported burning'!B1375</f>
        <v>162b.1</v>
      </c>
      <c r="C1375" s="147" t="str">
        <f>'Reported burning'!C1375</f>
        <v>Human, deliberate</v>
      </c>
      <c r="D1375" s="147" t="str">
        <f>'Reported burning'!D1375</f>
        <v>Pasture renewal</v>
      </c>
      <c r="E1375" s="147" t="str">
        <f>'Reported burning'!E1375</f>
        <v>Pastoralism, Migratory</v>
      </c>
      <c r="F1375" s="147" t="str">
        <f>'Reported burning'!F1375</f>
        <v>Grassland</v>
      </c>
      <c r="G1375" s="147" t="str">
        <f>'Reported burning'!G1375</f>
        <v>ND</v>
      </c>
      <c r="H1375" s="147" t="str">
        <f>'Reported burning'!H1375</f>
        <v>Presence</v>
      </c>
      <c r="I1375" s="3"/>
      <c r="J1375" s="3" t="s">
        <v>2272</v>
      </c>
      <c r="K1375" s="198" t="s">
        <v>2272</v>
      </c>
      <c r="L1375" s="3" t="s">
        <v>2272</v>
      </c>
      <c r="M1375" s="3" t="s">
        <v>2272</v>
      </c>
      <c r="N1375" s="3" t="s">
        <v>2272</v>
      </c>
      <c r="O1375" s="3" t="s">
        <v>2272</v>
      </c>
      <c r="P1375" s="3" t="s">
        <v>2272</v>
      </c>
      <c r="Q1375" s="3" t="s">
        <v>2272</v>
      </c>
      <c r="R1375" s="3" t="s">
        <v>2272</v>
      </c>
      <c r="S1375" s="3" t="s">
        <v>2272</v>
      </c>
      <c r="T1375" s="3" t="s">
        <v>2272</v>
      </c>
      <c r="U1375" s="3" t="s">
        <v>2369</v>
      </c>
      <c r="V1375" s="3" t="s">
        <v>2272</v>
      </c>
      <c r="W1375" s="3" t="s">
        <v>2272</v>
      </c>
      <c r="X1375" s="3" t="s">
        <v>2272</v>
      </c>
      <c r="Y1375" s="3" t="s">
        <v>423</v>
      </c>
      <c r="Z1375" s="3" t="s">
        <v>34</v>
      </c>
      <c r="AA1375" s="3" t="s">
        <v>63</v>
      </c>
      <c r="AB1375" s="3"/>
      <c r="AC1375" s="3" t="s">
        <v>4117</v>
      </c>
    </row>
    <row r="1376" spans="1:29" ht="32" customHeight="1">
      <c r="A1376" s="147" t="str">
        <f>'Reported burning'!A1376</f>
        <v>162b</v>
      </c>
      <c r="B1376" s="147" t="str">
        <f>'Reported burning'!B1376</f>
        <v>162b.2</v>
      </c>
      <c r="C1376" s="147" t="str">
        <f>'Reported burning'!C1376</f>
        <v>Human, deliberate</v>
      </c>
      <c r="D1376" s="147" t="str">
        <f>'Reported burning'!D1376</f>
        <v>Pasture renewal</v>
      </c>
      <c r="E1376" s="147" t="str">
        <f>'Reported burning'!E1376</f>
        <v>Cattle, Extensive</v>
      </c>
      <c r="F1376" s="147" t="str">
        <f>'Reported burning'!F1376</f>
        <v>Grassland</v>
      </c>
      <c r="G1376" s="147" t="str">
        <f>'Reported burning'!G1376</f>
        <v>ND</v>
      </c>
      <c r="H1376" s="147" t="str">
        <f>'Reported burning'!H1376</f>
        <v>Presence</v>
      </c>
      <c r="I1376" s="3"/>
      <c r="J1376" s="3" t="s">
        <v>2272</v>
      </c>
      <c r="K1376" s="198" t="s">
        <v>2272</v>
      </c>
      <c r="L1376" s="3" t="s">
        <v>2272</v>
      </c>
      <c r="M1376" s="3" t="s">
        <v>2272</v>
      </c>
      <c r="N1376" s="3" t="s">
        <v>2272</v>
      </c>
      <c r="O1376" s="3" t="s">
        <v>2272</v>
      </c>
      <c r="P1376" s="3" t="s">
        <v>2272</v>
      </c>
      <c r="Q1376" s="3" t="s">
        <v>2272</v>
      </c>
      <c r="R1376" s="3" t="s">
        <v>2272</v>
      </c>
      <c r="S1376" s="3" t="s">
        <v>2272</v>
      </c>
      <c r="T1376" s="3" t="s">
        <v>2272</v>
      </c>
      <c r="U1376" s="3" t="s">
        <v>2369</v>
      </c>
      <c r="V1376" s="3" t="s">
        <v>2272</v>
      </c>
      <c r="W1376" s="3" t="s">
        <v>2272</v>
      </c>
      <c r="X1376" s="3" t="s">
        <v>2272</v>
      </c>
      <c r="Y1376" s="3" t="s">
        <v>423</v>
      </c>
      <c r="Z1376" s="3" t="s">
        <v>34</v>
      </c>
      <c r="AA1376" s="3" t="s">
        <v>63</v>
      </c>
      <c r="AB1376" s="3"/>
      <c r="AC1376" s="3" t="s">
        <v>4117</v>
      </c>
    </row>
    <row r="1377" spans="1:29" ht="58">
      <c r="A1377" s="151" t="str">
        <f>'Reported burning'!A1377</f>
        <v>163a</v>
      </c>
      <c r="B1377" s="151" t="str">
        <f>'Reported burning'!B1377</f>
        <v>163a.1</v>
      </c>
      <c r="C1377" s="151" t="str">
        <f>'Reported burning'!C1377</f>
        <v>Human, deliberate</v>
      </c>
      <c r="D1377" s="151" t="str">
        <f>'Reported burning'!D1377</f>
        <v>Rangeland management</v>
      </c>
      <c r="E1377" s="151" t="str">
        <f>'Reported burning'!E1377</f>
        <v>Pastoralism, Migratory</v>
      </c>
      <c r="F1377" s="151" t="str">
        <f>'Reported burning'!F1377</f>
        <v>Shrubland (Mixed forest &amp; grassland)</v>
      </c>
      <c r="G1377" s="151" t="str">
        <f>'Reported burning'!G1377</f>
        <v>ND</v>
      </c>
      <c r="H1377" s="151" t="str">
        <f>'Reported burning'!H1377</f>
        <v>Presence</v>
      </c>
      <c r="I1377" s="5"/>
      <c r="J1377" s="3" t="s">
        <v>2272</v>
      </c>
      <c r="K1377" s="198" t="s">
        <v>2272</v>
      </c>
      <c r="L1377" s="3" t="s">
        <v>2272</v>
      </c>
      <c r="M1377" s="3" t="s">
        <v>2272</v>
      </c>
      <c r="N1377" s="3" t="s">
        <v>2272</v>
      </c>
      <c r="O1377" s="3" t="s">
        <v>2272</v>
      </c>
      <c r="P1377" s="3" t="s">
        <v>2272</v>
      </c>
      <c r="Q1377" s="3" t="s">
        <v>2272</v>
      </c>
      <c r="R1377" s="3" t="s">
        <v>2272</v>
      </c>
      <c r="S1377" s="3" t="s">
        <v>2272</v>
      </c>
      <c r="T1377" s="3" t="s">
        <v>2272</v>
      </c>
      <c r="U1377" s="3" t="s">
        <v>2272</v>
      </c>
      <c r="V1377" s="3" t="s">
        <v>2272</v>
      </c>
      <c r="W1377" s="3" t="s">
        <v>2272</v>
      </c>
      <c r="X1377" s="3" t="s">
        <v>2272</v>
      </c>
      <c r="Y1377" s="3" t="s">
        <v>2272</v>
      </c>
      <c r="Z1377" s="3" t="s">
        <v>2272</v>
      </c>
      <c r="AA1377" s="3" t="s">
        <v>2272</v>
      </c>
      <c r="AB1377" s="4" t="s">
        <v>4130</v>
      </c>
      <c r="AC1377" s="3"/>
    </row>
    <row r="1378" spans="1:29" ht="58">
      <c r="A1378" s="147" t="str">
        <f>'Reported burning'!A1378</f>
        <v>163a</v>
      </c>
      <c r="B1378" s="147" t="str">
        <f>'Reported burning'!B1378</f>
        <v>163a.2</v>
      </c>
      <c r="C1378" s="147" t="str">
        <f>'Reported burning'!C1378</f>
        <v>Human, deliberate</v>
      </c>
      <c r="D1378" s="147" t="str">
        <f>'Reported burning'!D1378</f>
        <v>Rangeland management</v>
      </c>
      <c r="E1378" s="147" t="str">
        <f>'Reported burning'!E1378</f>
        <v>Cattle, Extensive</v>
      </c>
      <c r="F1378" s="147" t="str">
        <f>'Reported burning'!F1378</f>
        <v>Shrubland (Mixed forest &amp; grassland)</v>
      </c>
      <c r="G1378" s="147" t="str">
        <f>'Reported burning'!G1378</f>
        <v>ND</v>
      </c>
      <c r="H1378" s="147" t="str">
        <f>'Reported burning'!H1378</f>
        <v>Presence</v>
      </c>
      <c r="I1378" s="3"/>
      <c r="J1378" s="3" t="s">
        <v>2272</v>
      </c>
      <c r="K1378" s="198" t="s">
        <v>2272</v>
      </c>
      <c r="L1378" s="3" t="s">
        <v>2272</v>
      </c>
      <c r="M1378" s="3" t="s">
        <v>2272</v>
      </c>
      <c r="N1378" s="3" t="s">
        <v>2272</v>
      </c>
      <c r="O1378" s="3" t="s">
        <v>2272</v>
      </c>
      <c r="P1378" s="3" t="s">
        <v>2272</v>
      </c>
      <c r="Q1378" s="3" t="s">
        <v>2272</v>
      </c>
      <c r="R1378" s="3" t="s">
        <v>2272</v>
      </c>
      <c r="S1378" s="3" t="s">
        <v>2272</v>
      </c>
      <c r="T1378" s="3" t="s">
        <v>2272</v>
      </c>
      <c r="U1378" s="3" t="s">
        <v>2272</v>
      </c>
      <c r="V1378" s="3" t="s">
        <v>2272</v>
      </c>
      <c r="W1378" s="3" t="s">
        <v>2272</v>
      </c>
      <c r="X1378" s="3" t="s">
        <v>2272</v>
      </c>
      <c r="Y1378" s="3" t="s">
        <v>2272</v>
      </c>
      <c r="Z1378" s="3" t="s">
        <v>2272</v>
      </c>
      <c r="AA1378" s="3" t="s">
        <v>2272</v>
      </c>
      <c r="AB1378" s="4" t="s">
        <v>4130</v>
      </c>
      <c r="AC1378" s="3"/>
    </row>
    <row r="1379" spans="1:29" ht="48" customHeight="1">
      <c r="A1379" s="147" t="str">
        <f>'Reported burning'!A1379</f>
        <v>164a</v>
      </c>
      <c r="B1379" s="147" t="str">
        <f>'Reported burning'!B1379</f>
        <v>164a.1</v>
      </c>
      <c r="C1379" s="147" t="str">
        <f>'Reported burning'!C1379</f>
        <v>Human, deliberate</v>
      </c>
      <c r="D1379" s="147" t="str">
        <f>'Reported burning'!D1379</f>
        <v>Forest clearance</v>
      </c>
      <c r="E1379" s="147" t="str">
        <f>'Reported burning'!E1379</f>
        <v>Pastoralism, Migratory</v>
      </c>
      <c r="F1379" s="147" t="str">
        <f>'Reported burning'!F1379</f>
        <v>Forest</v>
      </c>
      <c r="G1379" s="147" t="str">
        <f>'Reported burning'!G1379</f>
        <v>ND</v>
      </c>
      <c r="H1379" s="147" t="str">
        <f>'Reported burning'!H1379</f>
        <v>Presence</v>
      </c>
      <c r="I1379" s="3"/>
      <c r="J1379" s="3" t="s">
        <v>2272</v>
      </c>
      <c r="K1379" s="198" t="s">
        <v>2272</v>
      </c>
      <c r="L1379" s="3" t="s">
        <v>2272</v>
      </c>
      <c r="M1379" s="3" t="s">
        <v>2272</v>
      </c>
      <c r="N1379" s="3" t="s">
        <v>2272</v>
      </c>
      <c r="O1379" s="3" t="s">
        <v>2272</v>
      </c>
      <c r="P1379" s="3" t="s">
        <v>2272</v>
      </c>
      <c r="Q1379" s="3" t="s">
        <v>2272</v>
      </c>
      <c r="R1379" s="3" t="s">
        <v>2272</v>
      </c>
      <c r="S1379" s="3" t="s">
        <v>2272</v>
      </c>
      <c r="T1379" s="3" t="s">
        <v>2272</v>
      </c>
      <c r="U1379" s="3" t="s">
        <v>2272</v>
      </c>
      <c r="V1379" s="3" t="s">
        <v>2272</v>
      </c>
      <c r="W1379" s="3" t="s">
        <v>2272</v>
      </c>
      <c r="X1379" s="3" t="s">
        <v>2272</v>
      </c>
      <c r="Y1379" s="3" t="s">
        <v>2272</v>
      </c>
      <c r="Z1379" s="3" t="s">
        <v>2272</v>
      </c>
      <c r="AA1379" s="3" t="s">
        <v>2272</v>
      </c>
      <c r="AB1379" s="4" t="s">
        <v>4140</v>
      </c>
      <c r="AC1379" s="3"/>
    </row>
    <row r="1380" spans="1:29" ht="48" customHeight="1">
      <c r="A1380" s="147" t="str">
        <f>'Reported burning'!A1380</f>
        <v>164a</v>
      </c>
      <c r="B1380" s="147" t="str">
        <f>'Reported burning'!B1380</f>
        <v>164a.2</v>
      </c>
      <c r="C1380" s="147" t="str">
        <f>'Reported burning'!C1380</f>
        <v>Human, deliberate</v>
      </c>
      <c r="D1380" s="147" t="str">
        <f>'Reported burning'!D1380</f>
        <v>Forest clearance</v>
      </c>
      <c r="E1380" s="147" t="str">
        <f>'Reported burning'!E1380</f>
        <v>Cattle, Extensive</v>
      </c>
      <c r="F1380" s="147" t="str">
        <f>'Reported burning'!F1380</f>
        <v>Forest</v>
      </c>
      <c r="G1380" s="147" t="str">
        <f>'Reported burning'!G1380</f>
        <v>ND</v>
      </c>
      <c r="H1380" s="147" t="str">
        <f>'Reported burning'!H1380</f>
        <v>Presence</v>
      </c>
      <c r="I1380" s="3"/>
      <c r="J1380" s="3" t="s">
        <v>2272</v>
      </c>
      <c r="K1380" s="198" t="s">
        <v>2272</v>
      </c>
      <c r="L1380" s="3" t="s">
        <v>2272</v>
      </c>
      <c r="M1380" s="3" t="s">
        <v>2272</v>
      </c>
      <c r="N1380" s="3" t="s">
        <v>2272</v>
      </c>
      <c r="O1380" s="3" t="s">
        <v>2272</v>
      </c>
      <c r="P1380" s="3" t="s">
        <v>2272</v>
      </c>
      <c r="Q1380" s="3" t="s">
        <v>2272</v>
      </c>
      <c r="R1380" s="3" t="s">
        <v>2272</v>
      </c>
      <c r="S1380" s="3" t="s">
        <v>2272</v>
      </c>
      <c r="T1380" s="3" t="s">
        <v>2272</v>
      </c>
      <c r="U1380" s="3" t="s">
        <v>2272</v>
      </c>
      <c r="V1380" s="3" t="s">
        <v>2272</v>
      </c>
      <c r="W1380" s="3" t="s">
        <v>2272</v>
      </c>
      <c r="X1380" s="3" t="s">
        <v>2272</v>
      </c>
      <c r="Y1380" s="3" t="s">
        <v>2272</v>
      </c>
      <c r="Z1380" s="3" t="s">
        <v>2272</v>
      </c>
      <c r="AA1380" s="3" t="s">
        <v>2272</v>
      </c>
      <c r="AB1380" s="4" t="s">
        <v>4140</v>
      </c>
      <c r="AC1380" s="3"/>
    </row>
    <row r="1381" spans="1:29" ht="49.5" customHeight="1">
      <c r="A1381" s="147" t="str">
        <f>'Reported burning'!A1381</f>
        <v>165a</v>
      </c>
      <c r="B1381" s="147" t="str">
        <f>'Reported burning'!B1381</f>
        <v>165a.1</v>
      </c>
      <c r="C1381" s="147" t="str">
        <f>'Reported burning'!C1381</f>
        <v>Human, deliberate</v>
      </c>
      <c r="D1381" s="147" t="str">
        <f>'Reported burning'!D1381</f>
        <v>Crop field preparation</v>
      </c>
      <c r="E1381" s="147" t="str">
        <f>'Reported burning'!E1381</f>
        <v>Mixed cropping-livestock small holder, Subsistence-oriented</v>
      </c>
      <c r="F1381" s="147" t="str">
        <f>'Reported burning'!F1381</f>
        <v>Shrubland (Mixed forest &amp; grassland)</v>
      </c>
      <c r="G1381" s="147" t="str">
        <f>'Reported burning'!G1381</f>
        <v>ND</v>
      </c>
      <c r="H1381" s="147" t="str">
        <f>'Reported burning'!H1381</f>
        <v>Presence</v>
      </c>
      <c r="I1381" s="3"/>
      <c r="J1381" s="3" t="s">
        <v>2272</v>
      </c>
      <c r="K1381" s="198" t="s">
        <v>2272</v>
      </c>
      <c r="L1381" s="3" t="s">
        <v>2272</v>
      </c>
      <c r="M1381" s="3" t="s">
        <v>2272</v>
      </c>
      <c r="N1381" s="3" t="s">
        <v>2272</v>
      </c>
      <c r="O1381" s="3" t="s">
        <v>2272</v>
      </c>
      <c r="P1381" s="3" t="s">
        <v>2272</v>
      </c>
      <c r="Q1381" s="3" t="s">
        <v>2272</v>
      </c>
      <c r="R1381" s="3" t="s">
        <v>2272</v>
      </c>
      <c r="S1381" s="3" t="s">
        <v>2272</v>
      </c>
      <c r="T1381" s="3" t="s">
        <v>2272</v>
      </c>
      <c r="U1381" s="3" t="s">
        <v>2272</v>
      </c>
      <c r="V1381" s="3" t="s">
        <v>2272</v>
      </c>
      <c r="W1381" s="3" t="s">
        <v>2272</v>
      </c>
      <c r="X1381" s="3" t="s">
        <v>2272</v>
      </c>
      <c r="Y1381" s="3" t="s">
        <v>403</v>
      </c>
      <c r="Z1381" s="3" t="s">
        <v>67</v>
      </c>
      <c r="AA1381" s="3" t="s">
        <v>63</v>
      </c>
      <c r="AB1381" s="4" t="s">
        <v>4180</v>
      </c>
      <c r="AC1381" s="3"/>
    </row>
    <row r="1382" spans="1:29" ht="49.5" customHeight="1">
      <c r="A1382" s="147" t="str">
        <f>'Reported burning'!A1382</f>
        <v>165a</v>
      </c>
      <c r="B1382" s="147" t="str">
        <f>'Reported burning'!B1382</f>
        <v>165a.2</v>
      </c>
      <c r="C1382" s="147" t="str">
        <f>'Reported burning'!C1382</f>
        <v>Human, deliberate</v>
      </c>
      <c r="D1382" s="147" t="str">
        <f>'Reported burning'!D1382</f>
        <v>Pasture renewal</v>
      </c>
      <c r="E1382" s="147" t="str">
        <f>'Reported burning'!E1382</f>
        <v>Mixed cropping-livestock small holder, Subsistence-oriented</v>
      </c>
      <c r="F1382" s="147" t="str">
        <f>'Reported burning'!F1382</f>
        <v>Shrubland (Mixed forest &amp; grassland)</v>
      </c>
      <c r="G1382" s="147" t="str">
        <f>'Reported burning'!G1382</f>
        <v>ND</v>
      </c>
      <c r="H1382" s="147" t="str">
        <f>'Reported burning'!H1382</f>
        <v>Presence</v>
      </c>
      <c r="I1382" s="3"/>
      <c r="J1382" s="3" t="s">
        <v>2272</v>
      </c>
      <c r="K1382" s="198" t="s">
        <v>2272</v>
      </c>
      <c r="L1382" s="3" t="s">
        <v>2272</v>
      </c>
      <c r="M1382" s="3" t="s">
        <v>2272</v>
      </c>
      <c r="N1382" s="3" t="s">
        <v>2272</v>
      </c>
      <c r="O1382" s="3" t="s">
        <v>2272</v>
      </c>
      <c r="P1382" s="3" t="s">
        <v>2272</v>
      </c>
      <c r="Q1382" s="3" t="s">
        <v>2272</v>
      </c>
      <c r="R1382" s="3" t="s">
        <v>2272</v>
      </c>
      <c r="S1382" s="3" t="s">
        <v>2272</v>
      </c>
      <c r="T1382" s="3" t="s">
        <v>2272</v>
      </c>
      <c r="U1382" s="3" t="s">
        <v>2272</v>
      </c>
      <c r="V1382" s="3" t="s">
        <v>2272</v>
      </c>
      <c r="W1382" s="3" t="s">
        <v>2272</v>
      </c>
      <c r="X1382" s="3" t="s">
        <v>2272</v>
      </c>
      <c r="Y1382" s="3" t="s">
        <v>84</v>
      </c>
      <c r="Z1382" s="3" t="s">
        <v>423</v>
      </c>
      <c r="AA1382" s="3" t="s">
        <v>75</v>
      </c>
      <c r="AB1382" s="4" t="s">
        <v>4180</v>
      </c>
      <c r="AC1382" s="3"/>
    </row>
    <row r="1383" spans="1:29" ht="49.5" customHeight="1">
      <c r="A1383" s="147" t="str">
        <f>'Reported burning'!A1383</f>
        <v>165a</v>
      </c>
      <c r="B1383" s="147" t="str">
        <f>'Reported burning'!B1383</f>
        <v>165a.3</v>
      </c>
      <c r="C1383" s="147" t="str">
        <f>'Reported burning'!C1383</f>
        <v>Human, deliberate</v>
      </c>
      <c r="D1383" s="147" t="str">
        <f>'Reported burning'!D1383</f>
        <v>Pest management</v>
      </c>
      <c r="E1383" s="147" t="str">
        <f>'Reported burning'!E1383</f>
        <v>Mixed cropping-livestock small holder, Subsistence-oriented</v>
      </c>
      <c r="F1383" s="147" t="str">
        <f>'Reported burning'!F1383</f>
        <v>Shrubland (Mixed forest &amp; grassland)</v>
      </c>
      <c r="G1383" s="147" t="str">
        <f>'Reported burning'!G1383</f>
        <v>ND</v>
      </c>
      <c r="H1383" s="147" t="str">
        <f>'Reported burning'!H1383</f>
        <v>Presence</v>
      </c>
      <c r="I1383" s="3"/>
      <c r="J1383" s="3" t="s">
        <v>2272</v>
      </c>
      <c r="K1383" s="198" t="s">
        <v>2272</v>
      </c>
      <c r="L1383" s="3" t="s">
        <v>2272</v>
      </c>
      <c r="M1383" s="3" t="s">
        <v>2272</v>
      </c>
      <c r="N1383" s="3" t="s">
        <v>2272</v>
      </c>
      <c r="O1383" s="3" t="s">
        <v>2272</v>
      </c>
      <c r="P1383" s="3" t="s">
        <v>2272</v>
      </c>
      <c r="Q1383" s="3" t="s">
        <v>2272</v>
      </c>
      <c r="R1383" s="3" t="s">
        <v>2272</v>
      </c>
      <c r="S1383" s="3" t="s">
        <v>2272</v>
      </c>
      <c r="T1383" s="3" t="s">
        <v>2272</v>
      </c>
      <c r="U1383" s="3" t="s">
        <v>2272</v>
      </c>
      <c r="V1383" s="3" t="s">
        <v>2272</v>
      </c>
      <c r="W1383" s="3" t="s">
        <v>2272</v>
      </c>
      <c r="X1383" s="3" t="s">
        <v>2272</v>
      </c>
      <c r="Y1383" s="3" t="s">
        <v>84</v>
      </c>
      <c r="Z1383" s="3" t="s">
        <v>67</v>
      </c>
      <c r="AA1383" s="3" t="s">
        <v>63</v>
      </c>
      <c r="AB1383" s="4" t="s">
        <v>4184</v>
      </c>
      <c r="AC1383" s="3"/>
    </row>
    <row r="1384" spans="1:29" ht="49.5" customHeight="1">
      <c r="A1384" s="147" t="str">
        <f>'Reported burning'!A1384</f>
        <v>165a</v>
      </c>
      <c r="B1384" s="147" t="str">
        <f>'Reported burning'!B1384</f>
        <v>165a.4</v>
      </c>
      <c r="C1384" s="147" t="str">
        <f>'Reported burning'!C1384</f>
        <v>Human, deliberate</v>
      </c>
      <c r="D1384" s="147" t="str">
        <f>'Reported burning'!D1384</f>
        <v>Crop residue burning</v>
      </c>
      <c r="E1384" s="147" t="str">
        <f>'Reported burning'!E1384</f>
        <v>Mixed cropping-livestock small holder, Subsistence-oriented</v>
      </c>
      <c r="F1384" s="147" t="str">
        <f>'Reported burning'!F1384</f>
        <v>Cropland</v>
      </c>
      <c r="G1384" s="147" t="str">
        <f>'Reported burning'!G1384</f>
        <v>ND</v>
      </c>
      <c r="H1384" s="147" t="str">
        <f>'Reported burning'!H1384</f>
        <v>Presence</v>
      </c>
      <c r="I1384" s="3"/>
      <c r="J1384" s="3" t="s">
        <v>2272</v>
      </c>
      <c r="K1384" s="198" t="s">
        <v>2272</v>
      </c>
      <c r="L1384" s="3" t="s">
        <v>2272</v>
      </c>
      <c r="M1384" s="3" t="s">
        <v>2272</v>
      </c>
      <c r="N1384" s="3" t="s">
        <v>2272</v>
      </c>
      <c r="O1384" s="3" t="s">
        <v>2272</v>
      </c>
      <c r="P1384" s="3" t="s">
        <v>2272</v>
      </c>
      <c r="Q1384" s="3" t="s">
        <v>2272</v>
      </c>
      <c r="R1384" s="3" t="s">
        <v>2272</v>
      </c>
      <c r="S1384" s="3" t="s">
        <v>2272</v>
      </c>
      <c r="T1384" s="3" t="s">
        <v>2272</v>
      </c>
      <c r="U1384" s="3" t="s">
        <v>2272</v>
      </c>
      <c r="V1384" s="3" t="s">
        <v>2272</v>
      </c>
      <c r="W1384" s="3" t="s">
        <v>2272</v>
      </c>
      <c r="X1384" s="3" t="s">
        <v>2272</v>
      </c>
      <c r="Y1384" s="3" t="s">
        <v>423</v>
      </c>
      <c r="Z1384" s="3" t="s">
        <v>67</v>
      </c>
      <c r="AA1384" s="3" t="s">
        <v>63</v>
      </c>
      <c r="AB1384" s="4" t="s">
        <v>4180</v>
      </c>
      <c r="AC1384" s="3"/>
    </row>
    <row r="1385" spans="1:29" ht="49.5" customHeight="1">
      <c r="A1385" s="147" t="str">
        <f>'Reported burning'!A1385</f>
        <v>165a</v>
      </c>
      <c r="B1385" s="147" t="str">
        <f>'Reported burning'!B1385</f>
        <v>165a.5</v>
      </c>
      <c r="C1385" s="147" t="str">
        <f>'Reported burning'!C1385</f>
        <v>Human, deliberate</v>
      </c>
      <c r="D1385" s="147" t="str">
        <f>'Reported burning'!D1385</f>
        <v>Forest clearance</v>
      </c>
      <c r="E1385" s="147" t="str">
        <f>'Reported burning'!E1385</f>
        <v>Mixed cropping-livestock small holder, Subsistence-oriented</v>
      </c>
      <c r="F1385" s="147" t="str">
        <f>'Reported burning'!F1385</f>
        <v>Forest</v>
      </c>
      <c r="G1385" s="147" t="str">
        <f>'Reported burning'!G1385</f>
        <v>ND</v>
      </c>
      <c r="H1385" s="147" t="str">
        <f>'Reported burning'!H1385</f>
        <v>Presence</v>
      </c>
      <c r="I1385" s="3"/>
      <c r="J1385" s="3" t="s">
        <v>2272</v>
      </c>
      <c r="K1385" s="198" t="s">
        <v>2272</v>
      </c>
      <c r="L1385" s="3" t="s">
        <v>2272</v>
      </c>
      <c r="M1385" s="3" t="s">
        <v>2272</v>
      </c>
      <c r="N1385" s="3" t="s">
        <v>2272</v>
      </c>
      <c r="O1385" s="3" t="s">
        <v>2272</v>
      </c>
      <c r="P1385" s="3" t="s">
        <v>2272</v>
      </c>
      <c r="Q1385" s="3" t="s">
        <v>2272</v>
      </c>
      <c r="R1385" s="3" t="s">
        <v>2272</v>
      </c>
      <c r="S1385" s="3" t="s">
        <v>2272</v>
      </c>
      <c r="T1385" s="3" t="s">
        <v>2272</v>
      </c>
      <c r="U1385" s="3" t="s">
        <v>2272</v>
      </c>
      <c r="V1385" s="3" t="s">
        <v>2272</v>
      </c>
      <c r="W1385" s="3" t="s">
        <v>2272</v>
      </c>
      <c r="X1385" s="3" t="s">
        <v>2272</v>
      </c>
      <c r="Y1385" s="3" t="s">
        <v>402</v>
      </c>
      <c r="Z1385" s="3" t="s">
        <v>67</v>
      </c>
      <c r="AA1385" s="3" t="s">
        <v>63</v>
      </c>
      <c r="AB1385" s="4" t="s">
        <v>4185</v>
      </c>
      <c r="AC1385" s="3"/>
    </row>
    <row r="1386" spans="1:29" ht="49.5" customHeight="1">
      <c r="A1386" s="147" t="str">
        <f>'Reported burning'!A1386</f>
        <v>165a</v>
      </c>
      <c r="B1386" s="147" t="str">
        <f>'Reported burning'!B1386</f>
        <v>165a.6</v>
      </c>
      <c r="C1386" s="147" t="str">
        <f>'Reported burning'!C1386</f>
        <v>Human, deliberate</v>
      </c>
      <c r="D1386" s="147" t="str">
        <f>'Reported burning'!D1386</f>
        <v>Hunting</v>
      </c>
      <c r="E1386" s="147" t="str">
        <f>'Reported burning'!E1386</f>
        <v>Mixed cropping-livestock small holder, Subsistence-oriented</v>
      </c>
      <c r="F1386" s="147" t="str">
        <f>'Reported burning'!F1386</f>
        <v>Shrubland (Mixed forest &amp; grassland)</v>
      </c>
      <c r="G1386" s="147" t="str">
        <f>'Reported burning'!G1386</f>
        <v>ND</v>
      </c>
      <c r="H1386" s="147" t="str">
        <f>'Reported burning'!H1386</f>
        <v>Presence</v>
      </c>
      <c r="I1386" s="3"/>
      <c r="J1386" s="3" t="s">
        <v>2272</v>
      </c>
      <c r="K1386" s="198" t="s">
        <v>2272</v>
      </c>
      <c r="L1386" s="3" t="s">
        <v>2272</v>
      </c>
      <c r="M1386" s="3" t="s">
        <v>2272</v>
      </c>
      <c r="N1386" s="3" t="s">
        <v>2272</v>
      </c>
      <c r="O1386" s="3" t="s">
        <v>2272</v>
      </c>
      <c r="P1386" s="3" t="s">
        <v>2272</v>
      </c>
      <c r="Q1386" s="3" t="s">
        <v>2272</v>
      </c>
      <c r="R1386" s="3" t="s">
        <v>2272</v>
      </c>
      <c r="S1386" s="3" t="s">
        <v>2272</v>
      </c>
      <c r="T1386" s="3" t="s">
        <v>2272</v>
      </c>
      <c r="U1386" s="3" t="s">
        <v>2272</v>
      </c>
      <c r="V1386" s="3" t="s">
        <v>2272</v>
      </c>
      <c r="W1386" s="3" t="s">
        <v>2272</v>
      </c>
      <c r="X1386" s="3" t="s">
        <v>2272</v>
      </c>
      <c r="Y1386" s="3" t="s">
        <v>402</v>
      </c>
      <c r="Z1386" s="3" t="s">
        <v>67</v>
      </c>
      <c r="AA1386" s="3" t="s">
        <v>75</v>
      </c>
      <c r="AB1386" s="4" t="s">
        <v>4186</v>
      </c>
      <c r="AC1386" s="3"/>
    </row>
    <row r="1387" spans="1:29" ht="49.5" customHeight="1">
      <c r="A1387" s="147" t="str">
        <f>'Reported burning'!A1387</f>
        <v>165a</v>
      </c>
      <c r="B1387" s="147" t="str">
        <f>'Reported burning'!B1387</f>
        <v>165a.7</v>
      </c>
      <c r="C1387" s="147" t="str">
        <f>'Reported burning'!C1387</f>
        <v>Human, deliberate</v>
      </c>
      <c r="D1387" s="147" t="str">
        <f>'Reported burning'!D1387</f>
        <v>Charcoal production</v>
      </c>
      <c r="E1387" s="147" t="str">
        <f>'Reported burning'!E1387</f>
        <v>Forestry, Small-scale</v>
      </c>
      <c r="F1387" s="147" t="str">
        <f>'Reported burning'!F1387</f>
        <v>Shrubland (Mixed forest &amp; grassland)</v>
      </c>
      <c r="G1387" s="147" t="str">
        <f>'Reported burning'!G1387</f>
        <v>ND</v>
      </c>
      <c r="H1387" s="147" t="str">
        <f>'Reported burning'!H1387</f>
        <v>Presence</v>
      </c>
      <c r="I1387" s="3"/>
      <c r="J1387" s="3" t="s">
        <v>2272</v>
      </c>
      <c r="K1387" s="198" t="s">
        <v>2272</v>
      </c>
      <c r="L1387" s="3" t="s">
        <v>2272</v>
      </c>
      <c r="M1387" s="3" t="s">
        <v>2272</v>
      </c>
      <c r="N1387" s="3" t="s">
        <v>2272</v>
      </c>
      <c r="O1387" s="3" t="s">
        <v>2272</v>
      </c>
      <c r="P1387" s="3" t="s">
        <v>2272</v>
      </c>
      <c r="Q1387" s="3" t="s">
        <v>2272</v>
      </c>
      <c r="R1387" s="3" t="s">
        <v>2272</v>
      </c>
      <c r="S1387" s="3" t="s">
        <v>2272</v>
      </c>
      <c r="T1387" s="3" t="s">
        <v>2272</v>
      </c>
      <c r="U1387" s="3" t="s">
        <v>2272</v>
      </c>
      <c r="V1387" s="3" t="s">
        <v>2272</v>
      </c>
      <c r="W1387" s="3" t="s">
        <v>2272</v>
      </c>
      <c r="X1387" s="3" t="s">
        <v>2272</v>
      </c>
      <c r="Y1387" s="3" t="s">
        <v>33</v>
      </c>
      <c r="Z1387" s="3" t="s">
        <v>423</v>
      </c>
      <c r="AA1387" s="3" t="s">
        <v>63</v>
      </c>
      <c r="AB1387" s="4" t="s">
        <v>4180</v>
      </c>
      <c r="AC1387" s="3"/>
    </row>
    <row r="1388" spans="1:29" ht="49.5" customHeight="1">
      <c r="A1388" s="147" t="str">
        <f>'Reported burning'!A1388</f>
        <v>165a</v>
      </c>
      <c r="B1388" s="147" t="str">
        <f>'Reported burning'!B1388</f>
        <v>165a.8</v>
      </c>
      <c r="C1388" s="147" t="str">
        <f>'Reported burning'!C1388</f>
        <v>Human, escaped</v>
      </c>
      <c r="D1388" s="147" t="str">
        <f>'Reported burning'!D1388</f>
        <v>Charcoal production</v>
      </c>
      <c r="E1388" s="147" t="str">
        <f>'Reported burning'!E1388</f>
        <v>Forestry, Small-scale</v>
      </c>
      <c r="F1388" s="147" t="str">
        <f>'Reported burning'!F1388</f>
        <v>Shrubland (Mixed forest &amp; grassland)</v>
      </c>
      <c r="G1388" s="147" t="str">
        <f>'Reported burning'!G1388</f>
        <v>ND</v>
      </c>
      <c r="H1388" s="147" t="str">
        <f>'Reported burning'!H1388</f>
        <v>Presence</v>
      </c>
      <c r="I1388" s="3"/>
      <c r="J1388" s="3" t="s">
        <v>2272</v>
      </c>
      <c r="K1388" s="198" t="s">
        <v>2272</v>
      </c>
      <c r="L1388" s="3" t="s">
        <v>2272</v>
      </c>
      <c r="M1388" s="3" t="s">
        <v>2272</v>
      </c>
      <c r="N1388" s="3" t="s">
        <v>2272</v>
      </c>
      <c r="O1388" s="3" t="s">
        <v>2272</v>
      </c>
      <c r="P1388" s="3" t="s">
        <v>2272</v>
      </c>
      <c r="Q1388" s="3" t="s">
        <v>2272</v>
      </c>
      <c r="R1388" s="3" t="s">
        <v>2272</v>
      </c>
      <c r="S1388" s="3" t="s">
        <v>2272</v>
      </c>
      <c r="T1388" s="3" t="s">
        <v>2272</v>
      </c>
      <c r="U1388" s="3" t="s">
        <v>2272</v>
      </c>
      <c r="V1388" s="3" t="s">
        <v>2272</v>
      </c>
      <c r="W1388" s="3" t="s">
        <v>2272</v>
      </c>
      <c r="X1388" s="3" t="s">
        <v>2272</v>
      </c>
      <c r="Y1388" s="3" t="s">
        <v>33</v>
      </c>
      <c r="Z1388" s="3" t="s">
        <v>423</v>
      </c>
      <c r="AA1388" s="3" t="s">
        <v>63</v>
      </c>
      <c r="AB1388" s="3"/>
      <c r="AC1388" s="3"/>
    </row>
    <row r="1389" spans="1:29" ht="49.5" customHeight="1">
      <c r="A1389" s="147" t="str">
        <f>'Reported burning'!A1389</f>
        <v>165a</v>
      </c>
      <c r="B1389" s="147" t="str">
        <f>'Reported burning'!B1389</f>
        <v>165a.9</v>
      </c>
      <c r="C1389" s="147" t="str">
        <f>'Reported burning'!C1389</f>
        <v>Human, deliberate</v>
      </c>
      <c r="D1389" s="147" t="str">
        <f>'Reported burning'!D1389</f>
        <v>Harvesting of Timber</v>
      </c>
      <c r="E1389" s="147" t="str">
        <f>'Reported burning'!E1389</f>
        <v>Forestry, Small-scale</v>
      </c>
      <c r="F1389" s="147" t="str">
        <f>'Reported burning'!F1389</f>
        <v>Shrubland (Mixed forest &amp; grassland)</v>
      </c>
      <c r="G1389" s="147" t="str">
        <f>'Reported burning'!G1389</f>
        <v>ND</v>
      </c>
      <c r="H1389" s="147" t="str">
        <f>'Reported burning'!H1389</f>
        <v>Presence</v>
      </c>
      <c r="I1389" s="3"/>
      <c r="J1389" s="3" t="s">
        <v>2272</v>
      </c>
      <c r="K1389" s="198" t="s">
        <v>2272</v>
      </c>
      <c r="L1389" s="3" t="s">
        <v>2272</v>
      </c>
      <c r="M1389" s="3" t="s">
        <v>2272</v>
      </c>
      <c r="N1389" s="3" t="s">
        <v>2272</v>
      </c>
      <c r="O1389" s="3" t="s">
        <v>2272</v>
      </c>
      <c r="P1389" s="3" t="s">
        <v>2272</v>
      </c>
      <c r="Q1389" s="3" t="s">
        <v>2272</v>
      </c>
      <c r="R1389" s="3" t="s">
        <v>2272</v>
      </c>
      <c r="S1389" s="3" t="s">
        <v>2272</v>
      </c>
      <c r="T1389" s="3" t="s">
        <v>2272</v>
      </c>
      <c r="U1389" s="3" t="s">
        <v>2272</v>
      </c>
      <c r="V1389" s="3" t="s">
        <v>2272</v>
      </c>
      <c r="W1389" s="3" t="s">
        <v>2272</v>
      </c>
      <c r="X1389" s="3" t="s">
        <v>2272</v>
      </c>
      <c r="Y1389" s="3" t="s">
        <v>33</v>
      </c>
      <c r="Z1389" s="3" t="s">
        <v>67</v>
      </c>
      <c r="AA1389" s="3" t="s">
        <v>75</v>
      </c>
      <c r="AB1389" s="4" t="s">
        <v>4184</v>
      </c>
      <c r="AC1389" s="3"/>
    </row>
    <row r="1390" spans="1:29" ht="49.5" customHeight="1">
      <c r="A1390" s="147" t="str">
        <f>'Reported burning'!A1390</f>
        <v>165a</v>
      </c>
      <c r="B1390" s="147" t="str">
        <f>'Reported burning'!B1390</f>
        <v>165a.10</v>
      </c>
      <c r="C1390" s="147" t="str">
        <f>'Reported burning'!C1390</f>
        <v>Human, deliberate</v>
      </c>
      <c r="D1390" s="147" t="str">
        <f>'Reported burning'!D1390</f>
        <v>Accessibility</v>
      </c>
      <c r="E1390" s="147" t="str">
        <f>'Reported burning'!E1390</f>
        <v>Mixed cropping-livestock small holder, Subsistence-oriented</v>
      </c>
      <c r="F1390" s="147" t="str">
        <f>'Reported burning'!F1390</f>
        <v>Shrubland (Mixed forest &amp; grassland)</v>
      </c>
      <c r="G1390" s="147" t="str">
        <f>'Reported burning'!G1390</f>
        <v>ND</v>
      </c>
      <c r="H1390" s="147" t="str">
        <f>'Reported burning'!H1390</f>
        <v>Presence</v>
      </c>
      <c r="I1390" s="3"/>
      <c r="J1390" s="3" t="s">
        <v>2272</v>
      </c>
      <c r="K1390" s="198" t="s">
        <v>2272</v>
      </c>
      <c r="L1390" s="3" t="s">
        <v>2272</v>
      </c>
      <c r="M1390" s="3" t="s">
        <v>2272</v>
      </c>
      <c r="N1390" s="3" t="s">
        <v>2272</v>
      </c>
      <c r="O1390" s="3" t="s">
        <v>2272</v>
      </c>
      <c r="P1390" s="3" t="s">
        <v>2272</v>
      </c>
      <c r="Q1390" s="3" t="s">
        <v>2272</v>
      </c>
      <c r="R1390" s="3" t="s">
        <v>2272</v>
      </c>
      <c r="S1390" s="3" t="s">
        <v>2272</v>
      </c>
      <c r="T1390" s="3" t="s">
        <v>2272</v>
      </c>
      <c r="U1390" s="3" t="s">
        <v>2272</v>
      </c>
      <c r="V1390" s="3" t="s">
        <v>2272</v>
      </c>
      <c r="W1390" s="3" t="s">
        <v>2272</v>
      </c>
      <c r="X1390" s="3" t="s">
        <v>2272</v>
      </c>
      <c r="Y1390" s="3" t="s">
        <v>84</v>
      </c>
      <c r="Z1390" s="3" t="s">
        <v>67</v>
      </c>
      <c r="AA1390" s="3" t="s">
        <v>63</v>
      </c>
      <c r="AB1390" s="4" t="s">
        <v>4188</v>
      </c>
      <c r="AC1390" s="3"/>
    </row>
    <row r="1391" spans="1:29" ht="49.5" customHeight="1">
      <c r="A1391" s="147" t="str">
        <f>'Reported burning'!A1391</f>
        <v>165a</v>
      </c>
      <c r="B1391" s="147" t="str">
        <f>'Reported burning'!B1391</f>
        <v>165a.11</v>
      </c>
      <c r="C1391" s="147" t="str">
        <f>'Reported burning'!C1391</f>
        <v>Human, deliberate</v>
      </c>
      <c r="D1391" s="147" t="str">
        <f>'Reported burning'!D1391</f>
        <v>Harvesting of NTFP</v>
      </c>
      <c r="E1391" s="147" t="str">
        <f>'Reported burning'!E1391</f>
        <v>Forestry, Small-scale</v>
      </c>
      <c r="F1391" s="147" t="str">
        <f>'Reported burning'!F1391</f>
        <v>Forest</v>
      </c>
      <c r="G1391" s="147" t="str">
        <f>'Reported burning'!G1391</f>
        <v>ND</v>
      </c>
      <c r="H1391" s="147" t="str">
        <f>'Reported burning'!H1391</f>
        <v>Presence</v>
      </c>
      <c r="I1391" s="3"/>
      <c r="J1391" s="3" t="s">
        <v>2272</v>
      </c>
      <c r="K1391" s="198" t="s">
        <v>2272</v>
      </c>
      <c r="L1391" s="3" t="s">
        <v>2272</v>
      </c>
      <c r="M1391" s="3" t="s">
        <v>2272</v>
      </c>
      <c r="N1391" s="3" t="s">
        <v>2272</v>
      </c>
      <c r="O1391" s="3" t="s">
        <v>2272</v>
      </c>
      <c r="P1391" s="3" t="s">
        <v>2272</v>
      </c>
      <c r="Q1391" s="3" t="s">
        <v>2272</v>
      </c>
      <c r="R1391" s="3" t="s">
        <v>2272</v>
      </c>
      <c r="S1391" s="3" t="s">
        <v>2272</v>
      </c>
      <c r="T1391" s="3" t="s">
        <v>2272</v>
      </c>
      <c r="U1391" s="3" t="s">
        <v>2272</v>
      </c>
      <c r="V1391" s="3" t="s">
        <v>2272</v>
      </c>
      <c r="W1391" s="3" t="s">
        <v>2272</v>
      </c>
      <c r="X1391" s="3" t="s">
        <v>2272</v>
      </c>
      <c r="Y1391" s="3" t="s">
        <v>84</v>
      </c>
      <c r="Z1391" s="3" t="s">
        <v>33</v>
      </c>
      <c r="AA1391" s="3" t="s">
        <v>63</v>
      </c>
      <c r="AB1391" s="4" t="s">
        <v>4187</v>
      </c>
      <c r="AC1391" s="3"/>
    </row>
    <row r="1392" spans="1:29" ht="49.5" customHeight="1">
      <c r="A1392" s="147" t="str">
        <f>'Reported burning'!A1392</f>
        <v>165a</v>
      </c>
      <c r="B1392" s="147" t="str">
        <f>'Reported burning'!B1392</f>
        <v>165a.12</v>
      </c>
      <c r="C1392" s="147" t="str">
        <f>'Reported burning'!C1392</f>
        <v>Human, deliberate</v>
      </c>
      <c r="D1392" s="147" t="str">
        <f>'Reported burning'!D1392</f>
        <v>Arson</v>
      </c>
      <c r="E1392" s="147" t="str">
        <f>'Reported burning'!E1392</f>
        <v>Mixed cropping-livestock small holder, Subsistence-oriented</v>
      </c>
      <c r="F1392" s="147" t="str">
        <f>'Reported burning'!F1392</f>
        <v>Forest</v>
      </c>
      <c r="G1392" s="147" t="str">
        <f>'Reported burning'!G1392</f>
        <v>ND</v>
      </c>
      <c r="H1392" s="147" t="str">
        <f>'Reported burning'!H1392</f>
        <v>Presence</v>
      </c>
      <c r="I1392" s="3"/>
      <c r="J1392" s="3" t="s">
        <v>2272</v>
      </c>
      <c r="K1392" s="198" t="s">
        <v>2272</v>
      </c>
      <c r="L1392" s="3" t="s">
        <v>2272</v>
      </c>
      <c r="M1392" s="3" t="s">
        <v>2272</v>
      </c>
      <c r="N1392" s="3" t="s">
        <v>2272</v>
      </c>
      <c r="O1392" s="3" t="s">
        <v>2272</v>
      </c>
      <c r="P1392" s="3" t="s">
        <v>2272</v>
      </c>
      <c r="Q1392" s="3" t="s">
        <v>2272</v>
      </c>
      <c r="R1392" s="3" t="s">
        <v>2272</v>
      </c>
      <c r="S1392" s="3" t="s">
        <v>2272</v>
      </c>
      <c r="T1392" s="3" t="s">
        <v>2272</v>
      </c>
      <c r="U1392" s="3" t="s">
        <v>2272</v>
      </c>
      <c r="V1392" s="3" t="s">
        <v>2272</v>
      </c>
      <c r="W1392" s="3" t="s">
        <v>2272</v>
      </c>
      <c r="X1392" s="3" t="s">
        <v>2272</v>
      </c>
      <c r="Y1392" s="3" t="s">
        <v>2272</v>
      </c>
      <c r="Z1392" s="3" t="s">
        <v>2272</v>
      </c>
      <c r="AA1392" s="3" t="s">
        <v>2272</v>
      </c>
      <c r="AB1392" s="4" t="s">
        <v>4183</v>
      </c>
      <c r="AC1392" s="3"/>
    </row>
    <row r="1393" spans="1:29" ht="49.5" customHeight="1">
      <c r="A1393" s="147" t="str">
        <f>'Reported burning'!A1393</f>
        <v>165a</v>
      </c>
      <c r="B1393" s="147" t="str">
        <f>'Reported burning'!B1393</f>
        <v>165a.13</v>
      </c>
      <c r="C1393" s="147" t="str">
        <f>'Reported burning'!C1393</f>
        <v>Human, escaped</v>
      </c>
      <c r="D1393" s="147" t="str">
        <f>'Reported burning'!D1393</f>
        <v>Domestic</v>
      </c>
      <c r="E1393" s="147" t="str">
        <f>'Reported burning'!E1393</f>
        <v>Mixed cropping-livestock small holder, Subsistence-oriented</v>
      </c>
      <c r="F1393" s="147" t="str">
        <f>'Reported burning'!F1393</f>
        <v>ND</v>
      </c>
      <c r="G1393" s="147" t="str">
        <f>'Reported burning'!G1393</f>
        <v>ND</v>
      </c>
      <c r="H1393" s="147" t="str">
        <f>'Reported burning'!H1393</f>
        <v>Presence</v>
      </c>
      <c r="I1393" s="3"/>
      <c r="J1393" s="3" t="s">
        <v>2272</v>
      </c>
      <c r="K1393" s="198" t="s">
        <v>2272</v>
      </c>
      <c r="L1393" s="3" t="s">
        <v>2272</v>
      </c>
      <c r="M1393" s="3" t="s">
        <v>2272</v>
      </c>
      <c r="N1393" s="3" t="s">
        <v>2272</v>
      </c>
      <c r="O1393" s="3" t="s">
        <v>2272</v>
      </c>
      <c r="P1393" s="3" t="s">
        <v>2272</v>
      </c>
      <c r="Q1393" s="3" t="s">
        <v>2272</v>
      </c>
      <c r="R1393" s="3" t="s">
        <v>2272</v>
      </c>
      <c r="S1393" s="3" t="s">
        <v>2272</v>
      </c>
      <c r="T1393" s="3" t="s">
        <v>2272</v>
      </c>
      <c r="U1393" s="3" t="s">
        <v>2272</v>
      </c>
      <c r="V1393" s="3" t="s">
        <v>2272</v>
      </c>
      <c r="W1393" s="3" t="s">
        <v>2272</v>
      </c>
      <c r="X1393" s="3" t="s">
        <v>2272</v>
      </c>
      <c r="Y1393" s="3" t="s">
        <v>397</v>
      </c>
      <c r="Z1393" s="3" t="s">
        <v>125</v>
      </c>
      <c r="AA1393" s="3" t="s">
        <v>2308</v>
      </c>
      <c r="AB1393" s="4" t="s">
        <v>4181</v>
      </c>
      <c r="AC1393" s="3"/>
    </row>
    <row r="1394" spans="1:29" ht="49.5" customHeight="1">
      <c r="A1394" s="147" t="str">
        <f>'Reported burning'!A1394</f>
        <v>165a</v>
      </c>
      <c r="B1394" s="147" t="str">
        <f>'Reported burning'!B1394</f>
        <v>165a.14</v>
      </c>
      <c r="C1394" s="147" t="str">
        <f>'Reported burning'!C1394</f>
        <v>Human, escaped</v>
      </c>
      <c r="D1394" s="147" t="str">
        <f>'Reported burning'!D1394</f>
        <v>Domestic</v>
      </c>
      <c r="E1394" s="147" t="str">
        <f>'Reported burning'!E1394</f>
        <v>Forestry, Small-scale</v>
      </c>
      <c r="F1394" s="147" t="str">
        <f>'Reported burning'!F1394</f>
        <v>ND</v>
      </c>
      <c r="G1394" s="147" t="str">
        <f>'Reported burning'!G1394</f>
        <v>ND</v>
      </c>
      <c r="H1394" s="147" t="str">
        <f>'Reported burning'!H1394</f>
        <v>Presence</v>
      </c>
      <c r="I1394" s="3"/>
      <c r="J1394" s="3" t="s">
        <v>2272</v>
      </c>
      <c r="K1394" s="198" t="s">
        <v>2272</v>
      </c>
      <c r="L1394" s="3" t="s">
        <v>2272</v>
      </c>
      <c r="M1394" s="3" t="s">
        <v>2272</v>
      </c>
      <c r="N1394" s="3" t="s">
        <v>2272</v>
      </c>
      <c r="O1394" s="3" t="s">
        <v>2272</v>
      </c>
      <c r="P1394" s="3" t="s">
        <v>2272</v>
      </c>
      <c r="Q1394" s="3" t="s">
        <v>2272</v>
      </c>
      <c r="R1394" s="3" t="s">
        <v>2272</v>
      </c>
      <c r="S1394" s="3" t="s">
        <v>2272</v>
      </c>
      <c r="T1394" s="3" t="s">
        <v>2272</v>
      </c>
      <c r="U1394" s="3" t="s">
        <v>2272</v>
      </c>
      <c r="V1394" s="3" t="s">
        <v>2272</v>
      </c>
      <c r="W1394" s="3" t="s">
        <v>2272</v>
      </c>
      <c r="X1394" s="3" t="s">
        <v>2272</v>
      </c>
      <c r="Y1394" s="3" t="s">
        <v>397</v>
      </c>
      <c r="Z1394" s="3" t="s">
        <v>125</v>
      </c>
      <c r="AA1394" s="3" t="s">
        <v>2308</v>
      </c>
      <c r="AB1394" s="4" t="s">
        <v>4181</v>
      </c>
      <c r="AC1394" s="3"/>
    </row>
    <row r="1395" spans="1:29" ht="49.5" customHeight="1">
      <c r="A1395" s="147" t="str">
        <f>'Reported burning'!A1395</f>
        <v>165b</v>
      </c>
      <c r="B1395" s="147" t="str">
        <f>'Reported burning'!B1395</f>
        <v>165b.1</v>
      </c>
      <c r="C1395" s="147" t="str">
        <f>'Reported burning'!C1395</f>
        <v>Human, deliberate</v>
      </c>
      <c r="D1395" s="147" t="str">
        <f>'Reported burning'!D1395</f>
        <v>Pasture renewal</v>
      </c>
      <c r="E1395" s="147" t="str">
        <f>'Reported burning'!E1395</f>
        <v>Pastoralism, Migratory</v>
      </c>
      <c r="F1395" s="147" t="str">
        <f>'Reported burning'!F1395</f>
        <v>Shrubland (Mixed forest &amp; grassland)</v>
      </c>
      <c r="G1395" s="147" t="str">
        <f>'Reported burning'!G1395</f>
        <v>ND</v>
      </c>
      <c r="H1395" s="147" t="str">
        <f>'Reported burning'!H1395</f>
        <v>Presence</v>
      </c>
      <c r="I1395" s="3"/>
      <c r="J1395" s="3" t="s">
        <v>2272</v>
      </c>
      <c r="K1395" s="198" t="s">
        <v>2272</v>
      </c>
      <c r="L1395" s="3" t="s">
        <v>2272</v>
      </c>
      <c r="M1395" s="3" t="s">
        <v>2272</v>
      </c>
      <c r="N1395" s="3" t="s">
        <v>2272</v>
      </c>
      <c r="O1395" s="3" t="s">
        <v>2272</v>
      </c>
      <c r="P1395" s="3" t="s">
        <v>2272</v>
      </c>
      <c r="Q1395" s="3" t="s">
        <v>2272</v>
      </c>
      <c r="R1395" s="3" t="s">
        <v>2272</v>
      </c>
      <c r="S1395" s="3" t="s">
        <v>2272</v>
      </c>
      <c r="T1395" s="3" t="s">
        <v>2272</v>
      </c>
      <c r="U1395" s="3" t="s">
        <v>2272</v>
      </c>
      <c r="V1395" s="3" t="s">
        <v>2272</v>
      </c>
      <c r="W1395" s="3" t="s">
        <v>2272</v>
      </c>
      <c r="X1395" s="3" t="s">
        <v>2272</v>
      </c>
      <c r="Y1395" s="3" t="s">
        <v>402</v>
      </c>
      <c r="Z1395" s="3" t="s">
        <v>423</v>
      </c>
      <c r="AA1395" s="3" t="s">
        <v>63</v>
      </c>
      <c r="AB1395" s="4" t="s">
        <v>4180</v>
      </c>
      <c r="AC1395" s="3"/>
    </row>
    <row r="1396" spans="1:29" ht="49.5" customHeight="1">
      <c r="A1396" s="147" t="str">
        <f>'Reported burning'!A1396</f>
        <v>165b</v>
      </c>
      <c r="B1396" s="147" t="str">
        <f>'Reported burning'!B1396</f>
        <v>165b.2</v>
      </c>
      <c r="C1396" s="147" t="str">
        <f>'Reported burning'!C1396</f>
        <v>Human, deliberate</v>
      </c>
      <c r="D1396" s="147" t="str">
        <f>'Reported burning'!D1396</f>
        <v>Pasture renewal</v>
      </c>
      <c r="E1396" s="147" t="str">
        <f>'Reported burning'!E1396</f>
        <v>Cattle, Extensive</v>
      </c>
      <c r="F1396" s="147" t="str">
        <f>'Reported burning'!F1396</f>
        <v>Shrubland (Mixed forest &amp; grassland)</v>
      </c>
      <c r="G1396" s="147" t="str">
        <f>'Reported burning'!G1396</f>
        <v>ND</v>
      </c>
      <c r="H1396" s="147" t="str">
        <f>'Reported burning'!H1396</f>
        <v>Presence</v>
      </c>
      <c r="I1396" s="3"/>
      <c r="J1396" s="3" t="s">
        <v>2272</v>
      </c>
      <c r="K1396" s="198" t="s">
        <v>2272</v>
      </c>
      <c r="L1396" s="3" t="s">
        <v>2272</v>
      </c>
      <c r="M1396" s="3" t="s">
        <v>2272</v>
      </c>
      <c r="N1396" s="3" t="s">
        <v>2272</v>
      </c>
      <c r="O1396" s="3" t="s">
        <v>2272</v>
      </c>
      <c r="P1396" s="3" t="s">
        <v>2272</v>
      </c>
      <c r="Q1396" s="3" t="s">
        <v>2272</v>
      </c>
      <c r="R1396" s="3" t="s">
        <v>2272</v>
      </c>
      <c r="S1396" s="3" t="s">
        <v>2272</v>
      </c>
      <c r="T1396" s="3" t="s">
        <v>2272</v>
      </c>
      <c r="U1396" s="3" t="s">
        <v>2272</v>
      </c>
      <c r="V1396" s="3" t="s">
        <v>2272</v>
      </c>
      <c r="W1396" s="3" t="s">
        <v>2272</v>
      </c>
      <c r="X1396" s="3" t="s">
        <v>2272</v>
      </c>
      <c r="Y1396" s="3" t="s">
        <v>402</v>
      </c>
      <c r="Z1396" s="3" t="s">
        <v>423</v>
      </c>
      <c r="AA1396" s="3" t="s">
        <v>63</v>
      </c>
      <c r="AB1396" s="4" t="s">
        <v>4180</v>
      </c>
      <c r="AC1396" s="3"/>
    </row>
    <row r="1397" spans="1:29" ht="49.5" customHeight="1">
      <c r="A1397" s="147" t="str">
        <f>'Reported burning'!A1397</f>
        <v>165b</v>
      </c>
      <c r="B1397" s="147" t="str">
        <f>'Reported burning'!B1397</f>
        <v>165b.3</v>
      </c>
      <c r="C1397" s="147" t="str">
        <f>'Reported burning'!C1397</f>
        <v>Human, deliberate</v>
      </c>
      <c r="D1397" s="147" t="str">
        <f>'Reported burning'!D1397</f>
        <v>Pest management</v>
      </c>
      <c r="E1397" s="147" t="str">
        <f>'Reported burning'!E1397</f>
        <v>Pastoralism, Migratory</v>
      </c>
      <c r="F1397" s="147" t="str">
        <f>'Reported burning'!F1397</f>
        <v>Shrubland (Mixed forest &amp; grassland)</v>
      </c>
      <c r="G1397" s="147" t="str">
        <f>'Reported burning'!G1397</f>
        <v>ND</v>
      </c>
      <c r="H1397" s="147" t="str">
        <f>'Reported burning'!H1397</f>
        <v>Presence</v>
      </c>
      <c r="I1397" s="3"/>
      <c r="J1397" s="3" t="s">
        <v>2272</v>
      </c>
      <c r="K1397" s="198" t="s">
        <v>2272</v>
      </c>
      <c r="L1397" s="3" t="s">
        <v>2272</v>
      </c>
      <c r="M1397" s="3" t="s">
        <v>2272</v>
      </c>
      <c r="N1397" s="3" t="s">
        <v>2272</v>
      </c>
      <c r="O1397" s="3" t="s">
        <v>2272</v>
      </c>
      <c r="P1397" s="3" t="s">
        <v>2272</v>
      </c>
      <c r="Q1397" s="3" t="s">
        <v>2272</v>
      </c>
      <c r="R1397" s="3" t="s">
        <v>2272</v>
      </c>
      <c r="S1397" s="3" t="s">
        <v>2272</v>
      </c>
      <c r="T1397" s="3" t="s">
        <v>2272</v>
      </c>
      <c r="U1397" s="3" t="s">
        <v>2272</v>
      </c>
      <c r="V1397" s="3" t="s">
        <v>2272</v>
      </c>
      <c r="W1397" s="3" t="s">
        <v>2272</v>
      </c>
      <c r="X1397" s="3" t="s">
        <v>2272</v>
      </c>
      <c r="Y1397" s="3" t="s">
        <v>84</v>
      </c>
      <c r="Z1397" s="3" t="s">
        <v>67</v>
      </c>
      <c r="AA1397" s="3" t="s">
        <v>63</v>
      </c>
      <c r="AB1397" s="4" t="s">
        <v>4180</v>
      </c>
      <c r="AC1397" s="3"/>
    </row>
    <row r="1398" spans="1:29" ht="49.5" customHeight="1">
      <c r="A1398" s="147" t="str">
        <f>'Reported burning'!A1398</f>
        <v>165b</v>
      </c>
      <c r="B1398" s="147" t="str">
        <f>'Reported burning'!B1398</f>
        <v>165b.4</v>
      </c>
      <c r="C1398" s="147" t="str">
        <f>'Reported burning'!C1398</f>
        <v>Human, deliberate</v>
      </c>
      <c r="D1398" s="147" t="str">
        <f>'Reported burning'!D1398</f>
        <v>Pest management</v>
      </c>
      <c r="E1398" s="147" t="str">
        <f>'Reported burning'!E1398</f>
        <v>Cattle, Extensive</v>
      </c>
      <c r="F1398" s="147" t="str">
        <f>'Reported burning'!F1398</f>
        <v>Shrubland (Mixed forest &amp; grassland)</v>
      </c>
      <c r="G1398" s="147" t="str">
        <f>'Reported burning'!G1398</f>
        <v>ND</v>
      </c>
      <c r="H1398" s="147" t="str">
        <f>'Reported burning'!H1398</f>
        <v>Presence</v>
      </c>
      <c r="I1398" s="3"/>
      <c r="J1398" s="3" t="s">
        <v>2272</v>
      </c>
      <c r="K1398" s="198" t="s">
        <v>2272</v>
      </c>
      <c r="L1398" s="3" t="s">
        <v>2272</v>
      </c>
      <c r="M1398" s="3" t="s">
        <v>2272</v>
      </c>
      <c r="N1398" s="3" t="s">
        <v>2272</v>
      </c>
      <c r="O1398" s="3" t="s">
        <v>2272</v>
      </c>
      <c r="P1398" s="3" t="s">
        <v>2272</v>
      </c>
      <c r="Q1398" s="3" t="s">
        <v>2272</v>
      </c>
      <c r="R1398" s="3" t="s">
        <v>2272</v>
      </c>
      <c r="S1398" s="3" t="s">
        <v>2272</v>
      </c>
      <c r="T1398" s="3" t="s">
        <v>2272</v>
      </c>
      <c r="U1398" s="3" t="s">
        <v>2272</v>
      </c>
      <c r="V1398" s="3" t="s">
        <v>2272</v>
      </c>
      <c r="W1398" s="3" t="s">
        <v>2272</v>
      </c>
      <c r="X1398" s="3" t="s">
        <v>2272</v>
      </c>
      <c r="Y1398" s="3" t="s">
        <v>84</v>
      </c>
      <c r="Z1398" s="3" t="s">
        <v>67</v>
      </c>
      <c r="AA1398" s="3" t="s">
        <v>63</v>
      </c>
      <c r="AB1398" s="4" t="s">
        <v>4180</v>
      </c>
      <c r="AC1398" s="3"/>
    </row>
    <row r="1399" spans="1:29" ht="49.5" customHeight="1">
      <c r="A1399" s="147" t="str">
        <f>'Reported burning'!A1399</f>
        <v>165b</v>
      </c>
      <c r="B1399" s="147" t="str">
        <f>'Reported burning'!B1399</f>
        <v>165b.5</v>
      </c>
      <c r="C1399" s="147" t="str">
        <f>'Reported burning'!C1399</f>
        <v>Human, deliberate</v>
      </c>
      <c r="D1399" s="147" t="str">
        <f>'Reported burning'!D1399</f>
        <v>Harvesting of NTFP</v>
      </c>
      <c r="E1399" s="147" t="str">
        <f>'Reported burning'!E1399</f>
        <v>Pastoralism, Migratory</v>
      </c>
      <c r="F1399" s="147" t="str">
        <f>'Reported burning'!F1399</f>
        <v>Forest</v>
      </c>
      <c r="G1399" s="147" t="str">
        <f>'Reported burning'!G1399</f>
        <v>ND</v>
      </c>
      <c r="H1399" s="147" t="str">
        <f>'Reported burning'!H1399</f>
        <v>Presence</v>
      </c>
      <c r="I1399" s="3"/>
      <c r="J1399" s="3" t="s">
        <v>2272</v>
      </c>
      <c r="K1399" s="198" t="s">
        <v>2272</v>
      </c>
      <c r="L1399" s="3" t="s">
        <v>2272</v>
      </c>
      <c r="M1399" s="3" t="s">
        <v>2272</v>
      </c>
      <c r="N1399" s="3" t="s">
        <v>2272</v>
      </c>
      <c r="O1399" s="3" t="s">
        <v>2272</v>
      </c>
      <c r="P1399" s="3" t="s">
        <v>2272</v>
      </c>
      <c r="Q1399" s="3" t="s">
        <v>2272</v>
      </c>
      <c r="R1399" s="3" t="s">
        <v>2272</v>
      </c>
      <c r="S1399" s="3" t="s">
        <v>2272</v>
      </c>
      <c r="T1399" s="3" t="s">
        <v>2272</v>
      </c>
      <c r="U1399" s="3" t="s">
        <v>2272</v>
      </c>
      <c r="V1399" s="3" t="s">
        <v>2272</v>
      </c>
      <c r="W1399" s="3" t="s">
        <v>2272</v>
      </c>
      <c r="X1399" s="3" t="s">
        <v>2272</v>
      </c>
      <c r="Y1399" s="3" t="s">
        <v>84</v>
      </c>
      <c r="Z1399" s="3" t="s">
        <v>402</v>
      </c>
      <c r="AA1399" s="3" t="s">
        <v>63</v>
      </c>
      <c r="AB1399" s="4" t="s">
        <v>4189</v>
      </c>
      <c r="AC1399" s="3"/>
    </row>
    <row r="1400" spans="1:29" ht="49.5" customHeight="1">
      <c r="A1400" s="147" t="str">
        <f>'Reported burning'!A1400</f>
        <v>165b</v>
      </c>
      <c r="B1400" s="147" t="str">
        <f>'Reported burning'!B1400</f>
        <v>165b.6</v>
      </c>
      <c r="C1400" s="147" t="str">
        <f>'Reported burning'!C1400</f>
        <v>Human, deliberate</v>
      </c>
      <c r="D1400" s="147" t="str">
        <f>'Reported burning'!D1400</f>
        <v>Harvesting of NTFP</v>
      </c>
      <c r="E1400" s="147" t="str">
        <f>'Reported burning'!E1400</f>
        <v>Cattle, Extensive</v>
      </c>
      <c r="F1400" s="147" t="str">
        <f>'Reported burning'!F1400</f>
        <v>Forest</v>
      </c>
      <c r="G1400" s="147" t="str">
        <f>'Reported burning'!G1400</f>
        <v>ND</v>
      </c>
      <c r="H1400" s="147" t="str">
        <f>'Reported burning'!H1400</f>
        <v>Presence</v>
      </c>
      <c r="I1400" s="3"/>
      <c r="J1400" s="3" t="s">
        <v>2272</v>
      </c>
      <c r="K1400" s="198" t="s">
        <v>2272</v>
      </c>
      <c r="L1400" s="3" t="s">
        <v>2272</v>
      </c>
      <c r="M1400" s="3" t="s">
        <v>2272</v>
      </c>
      <c r="N1400" s="3" t="s">
        <v>2272</v>
      </c>
      <c r="O1400" s="3" t="s">
        <v>2272</v>
      </c>
      <c r="P1400" s="3" t="s">
        <v>2272</v>
      </c>
      <c r="Q1400" s="3" t="s">
        <v>2272</v>
      </c>
      <c r="R1400" s="3" t="s">
        <v>2272</v>
      </c>
      <c r="S1400" s="3" t="s">
        <v>2272</v>
      </c>
      <c r="T1400" s="3" t="s">
        <v>2272</v>
      </c>
      <c r="U1400" s="3" t="s">
        <v>2272</v>
      </c>
      <c r="V1400" s="3" t="s">
        <v>2272</v>
      </c>
      <c r="W1400" s="3" t="s">
        <v>2272</v>
      </c>
      <c r="X1400" s="3" t="s">
        <v>2272</v>
      </c>
      <c r="Y1400" s="3" t="s">
        <v>84</v>
      </c>
      <c r="Z1400" s="3" t="s">
        <v>402</v>
      </c>
      <c r="AA1400" s="3" t="s">
        <v>63</v>
      </c>
      <c r="AB1400" s="4" t="s">
        <v>4189</v>
      </c>
      <c r="AC1400" s="3"/>
    </row>
    <row r="1401" spans="1:29" ht="49.5" customHeight="1">
      <c r="A1401" s="147" t="str">
        <f>'Reported burning'!A1401</f>
        <v>165b</v>
      </c>
      <c r="B1401" s="147" t="str">
        <f>'Reported burning'!B1401</f>
        <v>165b.7</v>
      </c>
      <c r="C1401" s="147" t="str">
        <f>'Reported burning'!C1401</f>
        <v>Human, deliberate</v>
      </c>
      <c r="D1401" s="147" t="str">
        <f>'Reported burning'!D1401</f>
        <v>Harvesting of Timber</v>
      </c>
      <c r="E1401" s="147" t="str">
        <f>'Reported burning'!E1401</f>
        <v>Pastoralism, Migratory</v>
      </c>
      <c r="F1401" s="147" t="str">
        <f>'Reported burning'!F1401</f>
        <v>Forest</v>
      </c>
      <c r="G1401" s="147" t="str">
        <f>'Reported burning'!G1401</f>
        <v>ND</v>
      </c>
      <c r="H1401" s="147" t="str">
        <f>'Reported burning'!H1401</f>
        <v>Presence</v>
      </c>
      <c r="I1401" s="3"/>
      <c r="J1401" s="3" t="s">
        <v>2272</v>
      </c>
      <c r="K1401" s="198" t="s">
        <v>2272</v>
      </c>
      <c r="L1401" s="3" t="s">
        <v>2272</v>
      </c>
      <c r="M1401" s="3" t="s">
        <v>2272</v>
      </c>
      <c r="N1401" s="3" t="s">
        <v>2272</v>
      </c>
      <c r="O1401" s="3" t="s">
        <v>2272</v>
      </c>
      <c r="P1401" s="3" t="s">
        <v>2272</v>
      </c>
      <c r="Q1401" s="3" t="s">
        <v>2272</v>
      </c>
      <c r="R1401" s="3" t="s">
        <v>2272</v>
      </c>
      <c r="S1401" s="3" t="s">
        <v>2272</v>
      </c>
      <c r="T1401" s="3" t="s">
        <v>2272</v>
      </c>
      <c r="U1401" s="3" t="s">
        <v>2272</v>
      </c>
      <c r="V1401" s="3" t="s">
        <v>2272</v>
      </c>
      <c r="W1401" s="3" t="s">
        <v>2272</v>
      </c>
      <c r="X1401" s="3" t="s">
        <v>2272</v>
      </c>
      <c r="Y1401" s="3" t="s">
        <v>423</v>
      </c>
      <c r="Z1401" s="3" t="s">
        <v>67</v>
      </c>
      <c r="AA1401" s="3" t="s">
        <v>63</v>
      </c>
      <c r="AB1401" s="4" t="s">
        <v>4190</v>
      </c>
      <c r="AC1401" s="3"/>
    </row>
    <row r="1402" spans="1:29" ht="49.5" customHeight="1">
      <c r="A1402" s="147" t="str">
        <f>'Reported burning'!A1402</f>
        <v>165b</v>
      </c>
      <c r="B1402" s="147" t="str">
        <f>'Reported burning'!B1402</f>
        <v>165b.8</v>
      </c>
      <c r="C1402" s="147" t="str">
        <f>'Reported burning'!C1402</f>
        <v>Human, deliberate</v>
      </c>
      <c r="D1402" s="147" t="str">
        <f>'Reported burning'!D1402</f>
        <v>Harvesting of Timber</v>
      </c>
      <c r="E1402" s="147" t="str">
        <f>'Reported burning'!E1402</f>
        <v>Cattle, Extensive</v>
      </c>
      <c r="F1402" s="147" t="str">
        <f>'Reported burning'!F1402</f>
        <v>Forest</v>
      </c>
      <c r="G1402" s="147" t="str">
        <f>'Reported burning'!G1402</f>
        <v>ND</v>
      </c>
      <c r="H1402" s="147" t="str">
        <f>'Reported burning'!H1402</f>
        <v>Presence</v>
      </c>
      <c r="I1402" s="3"/>
      <c r="J1402" s="3" t="s">
        <v>2272</v>
      </c>
      <c r="K1402" s="198" t="s">
        <v>2272</v>
      </c>
      <c r="L1402" s="3" t="s">
        <v>2272</v>
      </c>
      <c r="M1402" s="3" t="s">
        <v>2272</v>
      </c>
      <c r="N1402" s="3" t="s">
        <v>2272</v>
      </c>
      <c r="O1402" s="3" t="s">
        <v>2272</v>
      </c>
      <c r="P1402" s="3" t="s">
        <v>2272</v>
      </c>
      <c r="Q1402" s="3" t="s">
        <v>2272</v>
      </c>
      <c r="R1402" s="3" t="s">
        <v>2272</v>
      </c>
      <c r="S1402" s="3" t="s">
        <v>2272</v>
      </c>
      <c r="T1402" s="3" t="s">
        <v>2272</v>
      </c>
      <c r="U1402" s="3" t="s">
        <v>2272</v>
      </c>
      <c r="V1402" s="3" t="s">
        <v>2272</v>
      </c>
      <c r="W1402" s="3" t="s">
        <v>2272</v>
      </c>
      <c r="X1402" s="3" t="s">
        <v>2272</v>
      </c>
      <c r="Y1402" s="3" t="s">
        <v>423</v>
      </c>
      <c r="Z1402" s="3" t="s">
        <v>67</v>
      </c>
      <c r="AA1402" s="3" t="s">
        <v>63</v>
      </c>
      <c r="AB1402" s="4" t="s">
        <v>4190</v>
      </c>
      <c r="AC1402" s="3"/>
    </row>
    <row r="1403" spans="1:29" ht="49.5" customHeight="1">
      <c r="A1403" s="147" t="str">
        <f>'Reported burning'!A1403</f>
        <v>165b</v>
      </c>
      <c r="B1403" s="147" t="str">
        <f>'Reported burning'!B1403</f>
        <v>165b.9</v>
      </c>
      <c r="C1403" s="147" t="str">
        <f>'Reported burning'!C1403</f>
        <v>Human, deliberate</v>
      </c>
      <c r="D1403" s="147" t="str">
        <f>'Reported burning'!D1403</f>
        <v>Accessibility</v>
      </c>
      <c r="E1403" s="147" t="str">
        <f>'Reported burning'!E1403</f>
        <v>Pastoralism, Migratory</v>
      </c>
      <c r="F1403" s="147" t="str">
        <f>'Reported burning'!F1403</f>
        <v>Shrubland (Mixed forest &amp; grassland)</v>
      </c>
      <c r="G1403" s="147" t="str">
        <f>'Reported burning'!G1403</f>
        <v>ND</v>
      </c>
      <c r="H1403" s="147" t="str">
        <f>'Reported burning'!H1403</f>
        <v>Presence</v>
      </c>
      <c r="I1403" s="3"/>
      <c r="J1403" s="3" t="s">
        <v>2272</v>
      </c>
      <c r="K1403" s="198" t="s">
        <v>2272</v>
      </c>
      <c r="L1403" s="3" t="s">
        <v>2272</v>
      </c>
      <c r="M1403" s="3" t="s">
        <v>2272</v>
      </c>
      <c r="N1403" s="3" t="s">
        <v>2272</v>
      </c>
      <c r="O1403" s="3" t="s">
        <v>2272</v>
      </c>
      <c r="P1403" s="3" t="s">
        <v>2272</v>
      </c>
      <c r="Q1403" s="3" t="s">
        <v>2272</v>
      </c>
      <c r="R1403" s="3" t="s">
        <v>2272</v>
      </c>
      <c r="S1403" s="3" t="s">
        <v>2272</v>
      </c>
      <c r="T1403" s="3" t="s">
        <v>2272</v>
      </c>
      <c r="U1403" s="3" t="s">
        <v>2272</v>
      </c>
      <c r="V1403" s="3" t="s">
        <v>2272</v>
      </c>
      <c r="W1403" s="3" t="s">
        <v>2272</v>
      </c>
      <c r="X1403" s="3" t="s">
        <v>2272</v>
      </c>
      <c r="Y1403" s="3" t="s">
        <v>84</v>
      </c>
      <c r="Z1403" s="3" t="s">
        <v>67</v>
      </c>
      <c r="AA1403" s="3" t="s">
        <v>63</v>
      </c>
      <c r="AB1403" s="19" t="s">
        <v>4182</v>
      </c>
      <c r="AC1403" s="3"/>
    </row>
    <row r="1404" spans="1:29" ht="49.5" customHeight="1">
      <c r="A1404" s="147" t="str">
        <f>'Reported burning'!A1404</f>
        <v>165b</v>
      </c>
      <c r="B1404" s="147" t="str">
        <f>'Reported burning'!B1404</f>
        <v>165b.10</v>
      </c>
      <c r="C1404" s="147" t="str">
        <f>'Reported burning'!C1404</f>
        <v>Human, deliberate</v>
      </c>
      <c r="D1404" s="147" t="str">
        <f>'Reported burning'!D1404</f>
        <v>Accessibility</v>
      </c>
      <c r="E1404" s="147" t="str">
        <f>'Reported burning'!E1404</f>
        <v>Cattle, Extensive</v>
      </c>
      <c r="F1404" s="147" t="str">
        <f>'Reported burning'!F1404</f>
        <v>Shrubland (Mixed forest &amp; grassland)</v>
      </c>
      <c r="G1404" s="147" t="str">
        <f>'Reported burning'!G1404</f>
        <v>ND</v>
      </c>
      <c r="H1404" s="147" t="str">
        <f>'Reported burning'!H1404</f>
        <v>Presence</v>
      </c>
      <c r="I1404" s="3"/>
      <c r="J1404" s="3" t="s">
        <v>2272</v>
      </c>
      <c r="K1404" s="198" t="s">
        <v>2272</v>
      </c>
      <c r="L1404" s="3" t="s">
        <v>2272</v>
      </c>
      <c r="M1404" s="3" t="s">
        <v>2272</v>
      </c>
      <c r="N1404" s="3" t="s">
        <v>2272</v>
      </c>
      <c r="O1404" s="3" t="s">
        <v>2272</v>
      </c>
      <c r="P1404" s="3" t="s">
        <v>2272</v>
      </c>
      <c r="Q1404" s="3" t="s">
        <v>2272</v>
      </c>
      <c r="R1404" s="3" t="s">
        <v>2272</v>
      </c>
      <c r="S1404" s="3" t="s">
        <v>2272</v>
      </c>
      <c r="T1404" s="3" t="s">
        <v>2272</v>
      </c>
      <c r="U1404" s="3" t="s">
        <v>2272</v>
      </c>
      <c r="V1404" s="3" t="s">
        <v>2272</v>
      </c>
      <c r="W1404" s="3" t="s">
        <v>2272</v>
      </c>
      <c r="X1404" s="3" t="s">
        <v>2272</v>
      </c>
      <c r="Y1404" s="3" t="s">
        <v>84</v>
      </c>
      <c r="Z1404" s="3" t="s">
        <v>67</v>
      </c>
      <c r="AA1404" s="3" t="s">
        <v>63</v>
      </c>
      <c r="AB1404" s="19" t="s">
        <v>4182</v>
      </c>
      <c r="AC1404" s="3"/>
    </row>
    <row r="1405" spans="1:29" ht="49.5" customHeight="1">
      <c r="A1405" s="147" t="str">
        <f>'Reported burning'!A1405</f>
        <v>165b</v>
      </c>
      <c r="B1405" s="147" t="str">
        <f>'Reported burning'!B1405</f>
        <v>165b.11</v>
      </c>
      <c r="C1405" s="147" t="str">
        <f>'Reported burning'!C1405</f>
        <v>Human, escaped</v>
      </c>
      <c r="D1405" s="147" t="str">
        <f>'Reported burning'!D1405</f>
        <v>Domestic</v>
      </c>
      <c r="E1405" s="147" t="str">
        <f>'Reported burning'!E1405</f>
        <v>Pastoralism, Migratory</v>
      </c>
      <c r="F1405" s="147" t="str">
        <f>'Reported burning'!F1405</f>
        <v>ND</v>
      </c>
      <c r="G1405" s="147" t="str">
        <f>'Reported burning'!G1405</f>
        <v>ND</v>
      </c>
      <c r="H1405" s="147" t="str">
        <f>'Reported burning'!H1405</f>
        <v>Presence</v>
      </c>
      <c r="I1405" s="3"/>
      <c r="J1405" s="3" t="s">
        <v>2272</v>
      </c>
      <c r="K1405" s="198" t="s">
        <v>2272</v>
      </c>
      <c r="L1405" s="3" t="s">
        <v>2272</v>
      </c>
      <c r="M1405" s="3" t="s">
        <v>2272</v>
      </c>
      <c r="N1405" s="3" t="s">
        <v>2272</v>
      </c>
      <c r="O1405" s="3" t="s">
        <v>2272</v>
      </c>
      <c r="P1405" s="3" t="s">
        <v>2272</v>
      </c>
      <c r="Q1405" s="3" t="s">
        <v>2272</v>
      </c>
      <c r="R1405" s="3" t="s">
        <v>2272</v>
      </c>
      <c r="S1405" s="3" t="s">
        <v>2272</v>
      </c>
      <c r="T1405" s="3" t="s">
        <v>2272</v>
      </c>
      <c r="U1405" s="3" t="s">
        <v>2272</v>
      </c>
      <c r="V1405" s="3" t="s">
        <v>2272</v>
      </c>
      <c r="W1405" s="3" t="s">
        <v>2272</v>
      </c>
      <c r="X1405" s="3" t="s">
        <v>2272</v>
      </c>
      <c r="Y1405" s="3" t="s">
        <v>397</v>
      </c>
      <c r="Z1405" s="3" t="s">
        <v>125</v>
      </c>
      <c r="AA1405" s="3" t="s">
        <v>2308</v>
      </c>
      <c r="AB1405" s="4" t="s">
        <v>4181</v>
      </c>
      <c r="AC1405" s="3"/>
    </row>
    <row r="1406" spans="1:29" ht="49.5" customHeight="1">
      <c r="A1406" s="147" t="str">
        <f>'Reported burning'!A1406</f>
        <v>165b</v>
      </c>
      <c r="B1406" s="147" t="str">
        <f>'Reported burning'!B1406</f>
        <v>165b.12</v>
      </c>
      <c r="C1406" s="147" t="str">
        <f>'Reported burning'!C1406</f>
        <v>Human, escaped</v>
      </c>
      <c r="D1406" s="147" t="str">
        <f>'Reported burning'!D1406</f>
        <v>Domestic</v>
      </c>
      <c r="E1406" s="147" t="str">
        <f>'Reported burning'!E1406</f>
        <v>Cattle, Extensive</v>
      </c>
      <c r="F1406" s="147" t="str">
        <f>'Reported burning'!F1406</f>
        <v>ND</v>
      </c>
      <c r="G1406" s="147" t="str">
        <f>'Reported burning'!G1406</f>
        <v>ND</v>
      </c>
      <c r="H1406" s="147" t="str">
        <f>'Reported burning'!H1406</f>
        <v>Presence</v>
      </c>
      <c r="I1406" s="3"/>
      <c r="J1406" s="3" t="s">
        <v>2272</v>
      </c>
      <c r="K1406" s="198" t="s">
        <v>2272</v>
      </c>
      <c r="L1406" s="3" t="s">
        <v>2272</v>
      </c>
      <c r="M1406" s="3" t="s">
        <v>2272</v>
      </c>
      <c r="N1406" s="3" t="s">
        <v>2272</v>
      </c>
      <c r="O1406" s="3" t="s">
        <v>2272</v>
      </c>
      <c r="P1406" s="3" t="s">
        <v>2272</v>
      </c>
      <c r="Q1406" s="3" t="s">
        <v>2272</v>
      </c>
      <c r="R1406" s="3" t="s">
        <v>2272</v>
      </c>
      <c r="S1406" s="3" t="s">
        <v>2272</v>
      </c>
      <c r="T1406" s="3" t="s">
        <v>2272</v>
      </c>
      <c r="U1406" s="3" t="s">
        <v>2272</v>
      </c>
      <c r="V1406" s="3" t="s">
        <v>2272</v>
      </c>
      <c r="W1406" s="3" t="s">
        <v>2272</v>
      </c>
      <c r="X1406" s="3" t="s">
        <v>2272</v>
      </c>
      <c r="Y1406" s="3" t="s">
        <v>397</v>
      </c>
      <c r="Z1406" s="3" t="s">
        <v>125</v>
      </c>
      <c r="AA1406" s="3" t="s">
        <v>2308</v>
      </c>
      <c r="AB1406" s="4" t="s">
        <v>4181</v>
      </c>
      <c r="AC1406" s="3"/>
    </row>
    <row r="1407" spans="1:29" ht="29" customHeight="1">
      <c r="A1407" s="147" t="str">
        <f>'Reported burning'!A1407</f>
        <v>166a</v>
      </c>
      <c r="B1407" s="147" t="str">
        <f>'Reported burning'!B1407</f>
        <v>166a.1</v>
      </c>
      <c r="C1407" s="147" t="str">
        <f>'Reported burning'!C1407</f>
        <v>Human, deliberate</v>
      </c>
      <c r="D1407" s="147" t="str">
        <f>'Reported burning'!D1407</f>
        <v>Pasture renewal</v>
      </c>
      <c r="E1407" s="147" t="str">
        <f>'Reported burning'!E1407</f>
        <v>Cropping, Intensive</v>
      </c>
      <c r="F1407" s="147" t="str">
        <f>'Reported burning'!F1407</f>
        <v>Grassland</v>
      </c>
      <c r="G1407" s="147" t="str">
        <f>'Reported burning'!G1407</f>
        <v>ND</v>
      </c>
      <c r="H1407" s="147" t="str">
        <f>'Reported burning'!H1407</f>
        <v>Absence</v>
      </c>
      <c r="I1407" s="3"/>
      <c r="J1407" s="3">
        <v>0</v>
      </c>
      <c r="K1407" s="198">
        <v>0</v>
      </c>
      <c r="L1407" s="3">
        <v>0</v>
      </c>
      <c r="M1407" s="3">
        <v>0</v>
      </c>
      <c r="N1407" s="3">
        <v>0</v>
      </c>
      <c r="O1407" s="3">
        <v>0</v>
      </c>
      <c r="P1407" s="3">
        <v>0</v>
      </c>
      <c r="Q1407" s="3">
        <v>0</v>
      </c>
      <c r="R1407" s="3">
        <v>0</v>
      </c>
      <c r="S1407" s="3">
        <v>0</v>
      </c>
      <c r="T1407" s="3">
        <v>0</v>
      </c>
      <c r="U1407" s="3">
        <v>0</v>
      </c>
      <c r="V1407" s="3">
        <v>0</v>
      </c>
      <c r="W1407" s="3">
        <v>0</v>
      </c>
      <c r="X1407" s="3" t="s">
        <v>2272</v>
      </c>
      <c r="Y1407" s="3" t="s">
        <v>2272</v>
      </c>
      <c r="Z1407" s="3" t="s">
        <v>2272</v>
      </c>
      <c r="AA1407" s="3" t="s">
        <v>2272</v>
      </c>
      <c r="AB1407" s="3"/>
      <c r="AC1407" s="3"/>
    </row>
    <row r="1408" spans="1:29" ht="29" customHeight="1">
      <c r="A1408" s="147" t="str">
        <f>'Reported burning'!A1408</f>
        <v>166a</v>
      </c>
      <c r="B1408" s="147" t="str">
        <f>'Reported burning'!B1408</f>
        <v>166a.2</v>
      </c>
      <c r="C1408" s="147" t="str">
        <f>'Reported burning'!C1408</f>
        <v>Human, deliberate</v>
      </c>
      <c r="D1408" s="147" t="str">
        <f>'Reported burning'!D1408</f>
        <v>Pasture renewal</v>
      </c>
      <c r="E1408" s="147" t="str">
        <f>'Reported burning'!E1408</f>
        <v>Cattle, Extensive</v>
      </c>
      <c r="F1408" s="147" t="str">
        <f>'Reported burning'!F1408</f>
        <v>Grassland</v>
      </c>
      <c r="G1408" s="147" t="str">
        <f>'Reported burning'!G1408</f>
        <v>Grassland</v>
      </c>
      <c r="H1408" s="147" t="str">
        <f>'Reported burning'!H1408</f>
        <v>Presence</v>
      </c>
      <c r="I1408" s="3"/>
      <c r="J1408" s="3" t="s">
        <v>2272</v>
      </c>
      <c r="K1408" s="198" t="s">
        <v>2272</v>
      </c>
      <c r="L1408" s="3" t="s">
        <v>2272</v>
      </c>
      <c r="M1408" s="3" t="s">
        <v>2272</v>
      </c>
      <c r="N1408" s="3" t="s">
        <v>2272</v>
      </c>
      <c r="O1408" s="3" t="s">
        <v>2272</v>
      </c>
      <c r="P1408" s="3" t="s">
        <v>2272</v>
      </c>
      <c r="Q1408" s="3" t="s">
        <v>2272</v>
      </c>
      <c r="R1408" s="3" t="s">
        <v>2272</v>
      </c>
      <c r="S1408" s="3" t="s">
        <v>2272</v>
      </c>
      <c r="T1408" s="3" t="s">
        <v>2272</v>
      </c>
      <c r="U1408" s="3" t="s">
        <v>2272</v>
      </c>
      <c r="V1408" s="3" t="s">
        <v>2272</v>
      </c>
      <c r="W1408" s="3" t="s">
        <v>2272</v>
      </c>
      <c r="X1408" s="3" t="s">
        <v>2272</v>
      </c>
      <c r="Y1408" s="3" t="s">
        <v>2272</v>
      </c>
      <c r="Z1408" s="3" t="s">
        <v>2272</v>
      </c>
      <c r="AA1408" s="3" t="s">
        <v>2272</v>
      </c>
      <c r="AB1408" s="3"/>
      <c r="AC1408" s="3"/>
    </row>
    <row r="1409" spans="1:29" ht="36.5" customHeight="1">
      <c r="A1409" s="147" t="str">
        <f>'Reported burning'!A1409</f>
        <v>166a</v>
      </c>
      <c r="B1409" s="147" t="str">
        <f>'Reported burning'!B1409</f>
        <v>166a.3</v>
      </c>
      <c r="C1409" s="147" t="str">
        <f>'Reported burning'!C1409</f>
        <v>All</v>
      </c>
      <c r="D1409" s="147" t="str">
        <f>'Reported burning'!D1409</f>
        <v>ND</v>
      </c>
      <c r="E1409" s="147" t="str">
        <f>'Reported burning'!E1409</f>
        <v>Cattle, Extensive</v>
      </c>
      <c r="F1409" s="147" t="str">
        <f>'Reported burning'!F1409</f>
        <v>ND</v>
      </c>
      <c r="G1409" s="147" t="str">
        <f>'Reported burning'!G1409</f>
        <v>Grassland</v>
      </c>
      <c r="H1409" s="147" t="str">
        <f>'Reported burning'!H1409</f>
        <v>Presence</v>
      </c>
      <c r="I1409" s="3">
        <v>2002</v>
      </c>
      <c r="J1409" s="3" t="s">
        <v>2272</v>
      </c>
      <c r="K1409" s="198" t="s">
        <v>2272</v>
      </c>
      <c r="L1409" s="3" t="s">
        <v>2272</v>
      </c>
      <c r="M1409" s="3" t="s">
        <v>2272</v>
      </c>
      <c r="N1409" s="3" t="s">
        <v>2272</v>
      </c>
      <c r="O1409" s="3" t="s">
        <v>2272</v>
      </c>
      <c r="P1409" s="3" t="s">
        <v>2272</v>
      </c>
      <c r="Q1409" s="3" t="s">
        <v>2272</v>
      </c>
      <c r="R1409" s="3" t="s">
        <v>2272</v>
      </c>
      <c r="S1409" s="3" t="s">
        <v>2272</v>
      </c>
      <c r="T1409" s="3" t="s">
        <v>2272</v>
      </c>
      <c r="U1409" s="3" t="s">
        <v>2272</v>
      </c>
      <c r="V1409" s="3" t="s">
        <v>2272</v>
      </c>
      <c r="W1409" s="3" t="s">
        <v>2272</v>
      </c>
      <c r="X1409" s="3" t="s">
        <v>2396</v>
      </c>
      <c r="Y1409" s="3" t="s">
        <v>2272</v>
      </c>
      <c r="Z1409" s="3" t="s">
        <v>2272</v>
      </c>
      <c r="AA1409" s="3" t="s">
        <v>2272</v>
      </c>
      <c r="AB1409" s="3"/>
      <c r="AC1409" s="4" t="s">
        <v>4201</v>
      </c>
    </row>
    <row r="1410" spans="1:29" ht="44.5" customHeight="1">
      <c r="A1410" s="147" t="str">
        <f>'Reported burning'!A1410</f>
        <v>166a</v>
      </c>
      <c r="B1410" s="147" t="str">
        <f>'Reported burning'!B1410</f>
        <v>166a.4</v>
      </c>
      <c r="C1410" s="147" t="str">
        <f>'Reported burning'!C1410</f>
        <v>All</v>
      </c>
      <c r="D1410" s="147" t="str">
        <f>'Reported burning'!D1410</f>
        <v>ND</v>
      </c>
      <c r="E1410" s="147" t="str">
        <f>'Reported burning'!E1410</f>
        <v>Cattle, Extensive</v>
      </c>
      <c r="F1410" s="147" t="str">
        <f>'Reported burning'!F1410</f>
        <v>ND</v>
      </c>
      <c r="G1410" s="147" t="str">
        <f>'Reported burning'!G1410</f>
        <v>Grassland</v>
      </c>
      <c r="H1410" s="147" t="str">
        <f>'Reported burning'!H1410</f>
        <v>Presence</v>
      </c>
      <c r="I1410" s="3">
        <v>2005</v>
      </c>
      <c r="J1410" s="3" t="s">
        <v>2272</v>
      </c>
      <c r="K1410" s="198" t="s">
        <v>2272</v>
      </c>
      <c r="L1410" s="3" t="s">
        <v>2272</v>
      </c>
      <c r="M1410" s="3" t="s">
        <v>2272</v>
      </c>
      <c r="N1410" s="3" t="s">
        <v>2272</v>
      </c>
      <c r="O1410" s="3" t="s">
        <v>2272</v>
      </c>
      <c r="P1410" s="3" t="s">
        <v>2272</v>
      </c>
      <c r="Q1410" s="3" t="s">
        <v>2272</v>
      </c>
      <c r="R1410" s="3" t="s">
        <v>2272</v>
      </c>
      <c r="S1410" s="3" t="s">
        <v>2272</v>
      </c>
      <c r="T1410" s="3" t="s">
        <v>2272</v>
      </c>
      <c r="U1410" s="3" t="s">
        <v>2272</v>
      </c>
      <c r="V1410" s="3" t="s">
        <v>2272</v>
      </c>
      <c r="W1410" s="3" t="s">
        <v>2272</v>
      </c>
      <c r="X1410" s="3" t="s">
        <v>2396</v>
      </c>
      <c r="Y1410" s="3" t="s">
        <v>2272</v>
      </c>
      <c r="Z1410" s="3" t="s">
        <v>2272</v>
      </c>
      <c r="AA1410" s="3" t="s">
        <v>2272</v>
      </c>
      <c r="AB1410" s="3"/>
      <c r="AC1410" s="4" t="s">
        <v>4201</v>
      </c>
    </row>
    <row r="1411" spans="1:29" ht="72.5">
      <c r="A1411" s="147" t="str">
        <f>'Reported burning'!A1411</f>
        <v>167a</v>
      </c>
      <c r="B1411" s="147" t="str">
        <f>'Reported burning'!B1411</f>
        <v>167a.1</v>
      </c>
      <c r="C1411" s="147" t="str">
        <f>'Reported burning'!C1411</f>
        <v>Human, deliberate</v>
      </c>
      <c r="D1411" s="147" t="str">
        <f>'Reported burning'!D1411</f>
        <v>Rangeland management</v>
      </c>
      <c r="E1411" s="147" t="str">
        <f>'Reported burning'!E1411</f>
        <v>Cattle, Extensive</v>
      </c>
      <c r="F1411" s="147" t="str">
        <f>'Reported burning'!F1411</f>
        <v>Shrubland (Mixed forest &amp; grassland)</v>
      </c>
      <c r="G1411" s="147" t="str">
        <f>'Reported burning'!G1411</f>
        <v>ND</v>
      </c>
      <c r="H1411" s="147" t="str">
        <f>'Reported burning'!H1411</f>
        <v>Presence</v>
      </c>
      <c r="I1411" s="3"/>
      <c r="J1411" s="3" t="s">
        <v>2272</v>
      </c>
      <c r="K1411" s="198" t="s">
        <v>2272</v>
      </c>
      <c r="L1411" s="3" t="s">
        <v>2272</v>
      </c>
      <c r="M1411" s="3" t="s">
        <v>2272</v>
      </c>
      <c r="N1411" s="3" t="s">
        <v>2272</v>
      </c>
      <c r="O1411" s="3" t="s">
        <v>2272</v>
      </c>
      <c r="P1411" s="3" t="s">
        <v>2272</v>
      </c>
      <c r="Q1411" s="3" t="s">
        <v>2272</v>
      </c>
      <c r="R1411" s="3" t="s">
        <v>2272</v>
      </c>
      <c r="S1411" s="3" t="s">
        <v>2272</v>
      </c>
      <c r="T1411" s="3" t="s">
        <v>2272</v>
      </c>
      <c r="U1411" s="3" t="s">
        <v>2272</v>
      </c>
      <c r="V1411" s="3" t="s">
        <v>2272</v>
      </c>
      <c r="W1411" s="3" t="s">
        <v>2272</v>
      </c>
      <c r="X1411" s="3" t="s">
        <v>2272</v>
      </c>
      <c r="Y1411" s="3" t="s">
        <v>2272</v>
      </c>
      <c r="Z1411" s="3" t="s">
        <v>2272</v>
      </c>
      <c r="AA1411" s="3" t="s">
        <v>2272</v>
      </c>
      <c r="AB1411" s="4" t="s">
        <v>4210</v>
      </c>
      <c r="AC1411" s="3"/>
    </row>
    <row r="1412" spans="1:29" ht="46" customHeight="1">
      <c r="A1412" s="151" t="str">
        <f>'Reported burning'!A1412</f>
        <v>168a</v>
      </c>
      <c r="B1412" s="151" t="str">
        <f>'Reported burning'!B1412</f>
        <v>168a.1</v>
      </c>
      <c r="C1412" s="151" t="str">
        <f>'Reported burning'!C1412</f>
        <v>Human, deliberate</v>
      </c>
      <c r="D1412" s="151" t="str">
        <f>'Reported burning'!D1412</f>
        <v>Pyrome management</v>
      </c>
      <c r="E1412" s="151" t="str">
        <f>'Reported burning'!E1412</f>
        <v>Biodiversity conservation</v>
      </c>
      <c r="F1412" s="151" t="str">
        <f>'Reported burning'!F1412</f>
        <v>Shrubland (Mixed forest &amp; grassland)</v>
      </c>
      <c r="G1412" s="151" t="str">
        <f>'Reported burning'!G1412</f>
        <v>ND</v>
      </c>
      <c r="H1412" s="151" t="str">
        <f>'Reported burning'!H1412</f>
        <v>Presence</v>
      </c>
      <c r="I1412" s="5"/>
      <c r="J1412" s="3" t="s">
        <v>2272</v>
      </c>
      <c r="K1412" s="198" t="s">
        <v>2272</v>
      </c>
      <c r="L1412" s="3" t="s">
        <v>2272</v>
      </c>
      <c r="M1412" s="3" t="s">
        <v>2272</v>
      </c>
      <c r="N1412" s="3" t="s">
        <v>2272</v>
      </c>
      <c r="O1412" s="3" t="s">
        <v>2272</v>
      </c>
      <c r="P1412" s="3" t="s">
        <v>2272</v>
      </c>
      <c r="Q1412" s="3" t="s">
        <v>2272</v>
      </c>
      <c r="R1412" s="3" t="s">
        <v>2272</v>
      </c>
      <c r="S1412" s="3" t="s">
        <v>2272</v>
      </c>
      <c r="T1412" s="3" t="s">
        <v>2272</v>
      </c>
      <c r="U1412" s="3" t="s">
        <v>2272</v>
      </c>
      <c r="V1412" s="3" t="s">
        <v>2272</v>
      </c>
      <c r="W1412" s="3" t="s">
        <v>2272</v>
      </c>
      <c r="X1412" s="3" t="s">
        <v>2272</v>
      </c>
      <c r="Y1412" s="3" t="s">
        <v>84</v>
      </c>
      <c r="Z1412" s="3" t="s">
        <v>402</v>
      </c>
      <c r="AA1412" s="3" t="s">
        <v>2650</v>
      </c>
      <c r="AB1412" s="4" t="s">
        <v>4222</v>
      </c>
      <c r="AC1412" s="3"/>
    </row>
    <row r="1413" spans="1:29" ht="46" customHeight="1">
      <c r="A1413" s="147" t="str">
        <f>'Reported burning'!A1413</f>
        <v>168a</v>
      </c>
      <c r="B1413" s="147" t="str">
        <f>'Reported burning'!B1413</f>
        <v>168a.2</v>
      </c>
      <c r="C1413" s="147" t="str">
        <f>'Reported burning'!C1413</f>
        <v>Human, deliberate</v>
      </c>
      <c r="D1413" s="147" t="str">
        <f>'Reported burning'!D1413</f>
        <v>Hunting</v>
      </c>
      <c r="E1413" s="147" t="str">
        <f>'Reported burning'!E1413</f>
        <v>Tourism manager</v>
      </c>
      <c r="F1413" s="147" t="str">
        <f>'Reported burning'!F1413</f>
        <v>Shrubland (Mixed forest &amp; grassland)</v>
      </c>
      <c r="G1413" s="147" t="str">
        <f>'Reported burning'!G1413</f>
        <v>ND</v>
      </c>
      <c r="H1413" s="147" t="str">
        <f>'Reported burning'!H1413</f>
        <v>Presence</v>
      </c>
      <c r="I1413" s="3"/>
      <c r="J1413" s="3" t="s">
        <v>2272</v>
      </c>
      <c r="K1413" s="198" t="s">
        <v>2272</v>
      </c>
      <c r="L1413" s="3" t="s">
        <v>2272</v>
      </c>
      <c r="M1413" s="3" t="s">
        <v>2272</v>
      </c>
      <c r="N1413" s="3" t="s">
        <v>2272</v>
      </c>
      <c r="O1413" s="3" t="s">
        <v>2272</v>
      </c>
      <c r="P1413" s="3" t="s">
        <v>2272</v>
      </c>
      <c r="Q1413" s="3" t="s">
        <v>2272</v>
      </c>
      <c r="R1413" s="3" t="s">
        <v>2272</v>
      </c>
      <c r="S1413" s="3" t="s">
        <v>2272</v>
      </c>
      <c r="T1413" s="3" t="s">
        <v>2272</v>
      </c>
      <c r="U1413" s="3" t="s">
        <v>2272</v>
      </c>
      <c r="V1413" s="3" t="s">
        <v>2272</v>
      </c>
      <c r="W1413" s="3" t="s">
        <v>2272</v>
      </c>
      <c r="X1413" s="3" t="s">
        <v>2272</v>
      </c>
      <c r="Y1413" s="3" t="s">
        <v>84</v>
      </c>
      <c r="Z1413" s="3" t="s">
        <v>402</v>
      </c>
      <c r="AA1413" s="3" t="s">
        <v>2650</v>
      </c>
      <c r="AB1413" s="4" t="s">
        <v>4221</v>
      </c>
      <c r="AC1413" s="3"/>
    </row>
    <row r="1414" spans="1:29" ht="46" customHeight="1">
      <c r="A1414" s="147" t="str">
        <f>'Reported burning'!A1414</f>
        <v>168a</v>
      </c>
      <c r="B1414" s="147" t="str">
        <f>'Reported burning'!B1414</f>
        <v>168a.3</v>
      </c>
      <c r="C1414" s="147" t="str">
        <f>'Reported burning'!C1414</f>
        <v>Human, escaped</v>
      </c>
      <c r="D1414" s="147" t="str">
        <f>'Reported burning'!D1414</f>
        <v>Hunting</v>
      </c>
      <c r="E1414" s="147" t="str">
        <f>'Reported burning'!E1414</f>
        <v>Forestry, Traditional</v>
      </c>
      <c r="F1414" s="147" t="str">
        <f>'Reported burning'!F1414</f>
        <v>Forest</v>
      </c>
      <c r="G1414" s="147" t="str">
        <f>'Reported burning'!G1414</f>
        <v>ND</v>
      </c>
      <c r="H1414" s="147" t="str">
        <f>'Reported burning'!H1414</f>
        <v>Presence</v>
      </c>
      <c r="I1414" s="3"/>
      <c r="J1414" s="3" t="s">
        <v>2272</v>
      </c>
      <c r="K1414" s="198" t="s">
        <v>2272</v>
      </c>
      <c r="L1414" s="3" t="s">
        <v>2272</v>
      </c>
      <c r="M1414" s="3" t="s">
        <v>2272</v>
      </c>
      <c r="N1414" s="3" t="s">
        <v>2272</v>
      </c>
      <c r="O1414" s="3" t="s">
        <v>2272</v>
      </c>
      <c r="P1414" s="3" t="s">
        <v>2272</v>
      </c>
      <c r="Q1414" s="3" t="s">
        <v>2272</v>
      </c>
      <c r="R1414" s="3" t="s">
        <v>2272</v>
      </c>
      <c r="S1414" s="3" t="s">
        <v>2272</v>
      </c>
      <c r="T1414" s="3" t="s">
        <v>2272</v>
      </c>
      <c r="U1414" s="3" t="s">
        <v>2272</v>
      </c>
      <c r="V1414" s="3" t="s">
        <v>2272</v>
      </c>
      <c r="W1414" s="3" t="s">
        <v>2272</v>
      </c>
      <c r="X1414" s="3" t="s">
        <v>2272</v>
      </c>
      <c r="Y1414" s="3" t="s">
        <v>403</v>
      </c>
      <c r="Z1414" s="3" t="s">
        <v>67</v>
      </c>
      <c r="AA1414" s="3" t="s">
        <v>75</v>
      </c>
      <c r="AB1414" s="4" t="s">
        <v>4225</v>
      </c>
      <c r="AC1414" s="3"/>
    </row>
    <row r="1415" spans="1:29" ht="46" customHeight="1">
      <c r="A1415" s="147" t="str">
        <f>'Reported burning'!A1415</f>
        <v>168a</v>
      </c>
      <c r="B1415" s="147" t="str">
        <f>'Reported burning'!B1415</f>
        <v>168a.4</v>
      </c>
      <c r="C1415" s="147" t="str">
        <f>'Reported burning'!C1415</f>
        <v>Human, escaped</v>
      </c>
      <c r="D1415" s="147" t="str">
        <f>'Reported burning'!D1415</f>
        <v>ND</v>
      </c>
      <c r="E1415" s="147" t="str">
        <f>'Reported burning'!E1415</f>
        <v>ND</v>
      </c>
      <c r="F1415" s="147" t="str">
        <f>'Reported burning'!F1415</f>
        <v>Shrubland (Mixed forest &amp; grassland)</v>
      </c>
      <c r="G1415" s="147" t="str">
        <f>'Reported burning'!G1415</f>
        <v>ND</v>
      </c>
      <c r="H1415" s="147" t="str">
        <f>'Reported burning'!H1415</f>
        <v>Presence</v>
      </c>
      <c r="I1415" s="3"/>
      <c r="J1415" s="3" t="s">
        <v>2272</v>
      </c>
      <c r="K1415" s="198" t="s">
        <v>2272</v>
      </c>
      <c r="L1415" s="3" t="s">
        <v>2272</v>
      </c>
      <c r="M1415" s="3" t="s">
        <v>2272</v>
      </c>
      <c r="N1415" s="3" t="s">
        <v>2272</v>
      </c>
      <c r="O1415" s="3" t="s">
        <v>2272</v>
      </c>
      <c r="P1415" s="3" t="s">
        <v>2272</v>
      </c>
      <c r="Q1415" s="3" t="s">
        <v>2272</v>
      </c>
      <c r="R1415" s="3" t="s">
        <v>2272</v>
      </c>
      <c r="S1415" s="3" t="s">
        <v>2272</v>
      </c>
      <c r="T1415" s="3" t="s">
        <v>2272</v>
      </c>
      <c r="U1415" s="3" t="s">
        <v>2272</v>
      </c>
      <c r="V1415" s="3" t="s">
        <v>2272</v>
      </c>
      <c r="W1415" s="3" t="s">
        <v>2272</v>
      </c>
      <c r="X1415" s="3" t="s">
        <v>2272</v>
      </c>
      <c r="Y1415" s="3" t="s">
        <v>403</v>
      </c>
      <c r="Z1415" s="3" t="s">
        <v>67</v>
      </c>
      <c r="AA1415" s="3" t="s">
        <v>75</v>
      </c>
      <c r="AB1415" s="4" t="s">
        <v>4226</v>
      </c>
      <c r="AC1415" s="3"/>
    </row>
    <row r="1416" spans="1:29" ht="66" customHeight="1">
      <c r="A1416" s="147" t="str">
        <f>'Reported burning'!A1416</f>
        <v>168b</v>
      </c>
      <c r="B1416" s="147" t="str">
        <f>'Reported burning'!B1416</f>
        <v>168b.1</v>
      </c>
      <c r="C1416" s="147" t="str">
        <f>'Reported burning'!C1416</f>
        <v>Human, deliberate</v>
      </c>
      <c r="D1416" s="147" t="str">
        <f>'Reported burning'!D1416</f>
        <v>Pyrome management</v>
      </c>
      <c r="E1416" s="147" t="str">
        <f>'Reported burning'!E1416</f>
        <v>Mixed cropping-livestock small holder, Subsistence-oriented</v>
      </c>
      <c r="F1416" s="147" t="str">
        <f>'Reported burning'!F1416</f>
        <v>Shrubland (Mixed forest &amp; grassland)</v>
      </c>
      <c r="G1416" s="147" t="str">
        <f>'Reported burning'!G1416</f>
        <v>ND</v>
      </c>
      <c r="H1416" s="147" t="str">
        <f>'Reported burning'!H1416</f>
        <v>Presence</v>
      </c>
      <c r="I1416" s="3"/>
      <c r="J1416" s="3" t="s">
        <v>2272</v>
      </c>
      <c r="K1416" s="198" t="s">
        <v>2272</v>
      </c>
      <c r="L1416" s="3" t="s">
        <v>2358</v>
      </c>
      <c r="M1416" s="3" t="s">
        <v>2272</v>
      </c>
      <c r="N1416" s="3" t="s">
        <v>2272</v>
      </c>
      <c r="O1416" s="3" t="s">
        <v>2272</v>
      </c>
      <c r="P1416" s="3" t="s">
        <v>2358</v>
      </c>
      <c r="Q1416" s="3" t="s">
        <v>2272</v>
      </c>
      <c r="R1416" s="3" t="s">
        <v>2358</v>
      </c>
      <c r="S1416" s="3" t="s">
        <v>2272</v>
      </c>
      <c r="T1416" s="3" t="s">
        <v>2272</v>
      </c>
      <c r="U1416" s="3" t="s">
        <v>2272</v>
      </c>
      <c r="V1416" s="3" t="s">
        <v>2272</v>
      </c>
      <c r="W1416" s="3" t="s">
        <v>2272</v>
      </c>
      <c r="X1416" s="3" t="s">
        <v>2272</v>
      </c>
      <c r="Y1416" s="3" t="s">
        <v>84</v>
      </c>
      <c r="Z1416" s="3" t="s">
        <v>403</v>
      </c>
      <c r="AA1416" s="3" t="s">
        <v>63</v>
      </c>
      <c r="AB1416" s="4" t="s">
        <v>4243</v>
      </c>
      <c r="AC1416" s="4" t="s">
        <v>4244</v>
      </c>
    </row>
    <row r="1417" spans="1:29" ht="46" customHeight="1">
      <c r="A1417" s="147" t="str">
        <f>'Reported burning'!A1417</f>
        <v>168b</v>
      </c>
      <c r="B1417" s="147" t="str">
        <f>'Reported burning'!B1417</f>
        <v>168b.2</v>
      </c>
      <c r="C1417" s="147" t="str">
        <f>'Reported burning'!C1417</f>
        <v>Human, deliberate</v>
      </c>
      <c r="D1417" s="147" t="str">
        <f>'Reported burning'!D1417</f>
        <v>Crop field preparation</v>
      </c>
      <c r="E1417" s="147" t="str">
        <f>'Reported burning'!E1417</f>
        <v>Cropping, Swidden</v>
      </c>
      <c r="F1417" s="147" t="str">
        <f>'Reported burning'!F1417</f>
        <v>Shrubland (Mixed forest &amp; grassland)</v>
      </c>
      <c r="G1417" s="147" t="str">
        <f>'Reported burning'!G1417</f>
        <v>ND</v>
      </c>
      <c r="H1417" s="147" t="str">
        <f>'Reported burning'!H1417</f>
        <v>Presence</v>
      </c>
      <c r="I1417" s="3"/>
      <c r="J1417" s="3" t="s">
        <v>2272</v>
      </c>
      <c r="K1417" s="198" t="s">
        <v>2272</v>
      </c>
      <c r="L1417" s="3" t="s">
        <v>2272</v>
      </c>
      <c r="M1417" s="3" t="s">
        <v>2272</v>
      </c>
      <c r="N1417" s="3" t="s">
        <v>2272</v>
      </c>
      <c r="O1417" s="3" t="s">
        <v>2272</v>
      </c>
      <c r="P1417" s="3" t="s">
        <v>2272</v>
      </c>
      <c r="Q1417" s="3" t="s">
        <v>2272</v>
      </c>
      <c r="R1417" s="3" t="s">
        <v>2272</v>
      </c>
      <c r="S1417" s="3" t="s">
        <v>2272</v>
      </c>
      <c r="T1417" s="3" t="s">
        <v>2272</v>
      </c>
      <c r="U1417" s="3" t="s">
        <v>2272</v>
      </c>
      <c r="V1417" s="3" t="s">
        <v>2272</v>
      </c>
      <c r="W1417" s="3" t="s">
        <v>2272</v>
      </c>
      <c r="X1417" s="3" t="s">
        <v>2272</v>
      </c>
      <c r="Y1417" s="3" t="s">
        <v>67</v>
      </c>
      <c r="Z1417" s="3" t="s">
        <v>34</v>
      </c>
      <c r="AA1417" s="3" t="s">
        <v>63</v>
      </c>
      <c r="AB1417" s="4" t="s">
        <v>4236</v>
      </c>
      <c r="AC1417" s="3"/>
    </row>
    <row r="1418" spans="1:29" ht="46" customHeight="1">
      <c r="A1418" s="147" t="str">
        <f>'Reported burning'!A1418</f>
        <v>168b</v>
      </c>
      <c r="B1418" s="147" t="str">
        <f>'Reported burning'!B1418</f>
        <v>168b.3</v>
      </c>
      <c r="C1418" s="147" t="str">
        <f>'Reported burning'!C1418</f>
        <v>Human, deliberate</v>
      </c>
      <c r="D1418" s="147" t="str">
        <f>'Reported burning'!D1418</f>
        <v>Harvesting of NTFP</v>
      </c>
      <c r="E1418" s="147" t="str">
        <f>'Reported burning'!E1418</f>
        <v>Forestry, Traditional</v>
      </c>
      <c r="F1418" s="147" t="str">
        <f>'Reported burning'!F1418</f>
        <v>Shrubland (Mixed forest &amp; grassland)</v>
      </c>
      <c r="G1418" s="147" t="str">
        <f>'Reported burning'!G1418</f>
        <v>ND</v>
      </c>
      <c r="H1418" s="147" t="str">
        <f>'Reported burning'!H1418</f>
        <v>Presence</v>
      </c>
      <c r="I1418" s="3"/>
      <c r="J1418" s="3" t="s">
        <v>2272</v>
      </c>
      <c r="K1418" s="198" t="s">
        <v>2272</v>
      </c>
      <c r="L1418" s="3" t="s">
        <v>2272</v>
      </c>
      <c r="M1418" s="3" t="s">
        <v>2272</v>
      </c>
      <c r="N1418" s="3" t="s">
        <v>2272</v>
      </c>
      <c r="O1418" s="3" t="s">
        <v>2272</v>
      </c>
      <c r="P1418" s="3" t="s">
        <v>2272</v>
      </c>
      <c r="Q1418" s="3" t="s">
        <v>2272</v>
      </c>
      <c r="R1418" s="3" t="s">
        <v>2272</v>
      </c>
      <c r="S1418" s="3" t="s">
        <v>2272</v>
      </c>
      <c r="T1418" s="3" t="s">
        <v>2272</v>
      </c>
      <c r="U1418" s="3" t="s">
        <v>2272</v>
      </c>
      <c r="V1418" s="3" t="s">
        <v>2272</v>
      </c>
      <c r="W1418" s="3" t="s">
        <v>2272</v>
      </c>
      <c r="X1418" s="3" t="s">
        <v>2272</v>
      </c>
      <c r="Y1418" s="3" t="s">
        <v>33</v>
      </c>
      <c r="Z1418" s="3" t="s">
        <v>423</v>
      </c>
      <c r="AA1418" s="3" t="s">
        <v>63</v>
      </c>
      <c r="AB1418" s="4" t="s">
        <v>4231</v>
      </c>
      <c r="AC1418" s="3"/>
    </row>
    <row r="1419" spans="1:29" ht="46" customHeight="1">
      <c r="A1419" s="147" t="str">
        <f>'Reported burning'!A1419</f>
        <v>168b</v>
      </c>
      <c r="B1419" s="147" t="str">
        <f>'Reported burning'!B1419</f>
        <v>168b.4</v>
      </c>
      <c r="C1419" s="147" t="str">
        <f>'Reported burning'!C1419</f>
        <v>Human, deliberate</v>
      </c>
      <c r="D1419" s="147" t="str">
        <f>'Reported burning'!D1419</f>
        <v>Harvesting of NTFP</v>
      </c>
      <c r="E1419" s="147" t="str">
        <f>'Reported burning'!E1419</f>
        <v>Forestry, Traditional</v>
      </c>
      <c r="F1419" s="147" t="str">
        <f>'Reported burning'!F1419</f>
        <v>Shrubland (Mixed forest &amp; grassland)</v>
      </c>
      <c r="G1419" s="147" t="str">
        <f>'Reported burning'!G1419</f>
        <v>ND</v>
      </c>
      <c r="H1419" s="147" t="str">
        <f>'Reported burning'!H1419</f>
        <v>Presence</v>
      </c>
      <c r="I1419" s="3"/>
      <c r="J1419" s="3" t="s">
        <v>2272</v>
      </c>
      <c r="K1419" s="198" t="s">
        <v>2272</v>
      </c>
      <c r="L1419" s="3" t="s">
        <v>2272</v>
      </c>
      <c r="M1419" s="3" t="s">
        <v>2272</v>
      </c>
      <c r="N1419" s="3" t="s">
        <v>2272</v>
      </c>
      <c r="O1419" s="3" t="s">
        <v>2272</v>
      </c>
      <c r="P1419" s="3" t="s">
        <v>2272</v>
      </c>
      <c r="Q1419" s="3" t="s">
        <v>2272</v>
      </c>
      <c r="R1419" s="3" t="s">
        <v>2272</v>
      </c>
      <c r="S1419" s="3" t="s">
        <v>2272</v>
      </c>
      <c r="T1419" s="3" t="s">
        <v>2272</v>
      </c>
      <c r="U1419" s="3" t="s">
        <v>2272</v>
      </c>
      <c r="V1419" s="3" t="s">
        <v>2272</v>
      </c>
      <c r="W1419" s="3" t="s">
        <v>2272</v>
      </c>
      <c r="X1419" s="3" t="s">
        <v>2272</v>
      </c>
      <c r="Y1419" s="3" t="s">
        <v>403</v>
      </c>
      <c r="Z1419" s="3" t="s">
        <v>423</v>
      </c>
      <c r="AA1419" s="3" t="s">
        <v>63</v>
      </c>
      <c r="AB1419" s="4" t="s">
        <v>4235</v>
      </c>
      <c r="AC1419" s="3"/>
    </row>
    <row r="1420" spans="1:29" ht="46" customHeight="1">
      <c r="A1420" s="147" t="str">
        <f>'Reported burning'!A1420</f>
        <v>168b</v>
      </c>
      <c r="B1420" s="147" t="str">
        <f>'Reported burning'!B1420</f>
        <v>168b.5</v>
      </c>
      <c r="C1420" s="147" t="str">
        <f>'Reported burning'!C1420</f>
        <v>Human, deliberate</v>
      </c>
      <c r="D1420" s="147" t="str">
        <f>'Reported burning'!D1420</f>
        <v>Charcoal production</v>
      </c>
      <c r="E1420" s="147" t="str">
        <f>'Reported burning'!E1420</f>
        <v>Forestry, Small-scale</v>
      </c>
      <c r="F1420" s="147" t="str">
        <f>'Reported burning'!F1420</f>
        <v>Shrubland (Mixed forest &amp; grassland)</v>
      </c>
      <c r="G1420" s="147" t="str">
        <f>'Reported burning'!G1420</f>
        <v>ND</v>
      </c>
      <c r="H1420" s="147" t="str">
        <f>'Reported burning'!H1420</f>
        <v>Presence</v>
      </c>
      <c r="I1420" s="3"/>
      <c r="J1420" s="3" t="s">
        <v>2272</v>
      </c>
      <c r="K1420" s="198" t="s">
        <v>2272</v>
      </c>
      <c r="L1420" s="3" t="s">
        <v>2272</v>
      </c>
      <c r="M1420" s="3" t="s">
        <v>2272</v>
      </c>
      <c r="N1420" s="3" t="s">
        <v>2272</v>
      </c>
      <c r="O1420" s="3" t="s">
        <v>2272</v>
      </c>
      <c r="P1420" s="3" t="s">
        <v>2272</v>
      </c>
      <c r="Q1420" s="3" t="s">
        <v>2272</v>
      </c>
      <c r="R1420" s="3" t="s">
        <v>2272</v>
      </c>
      <c r="S1420" s="3" t="s">
        <v>2272</v>
      </c>
      <c r="T1420" s="3" t="s">
        <v>2272</v>
      </c>
      <c r="U1420" s="3" t="s">
        <v>2272</v>
      </c>
      <c r="V1420" s="3" t="s">
        <v>2272</v>
      </c>
      <c r="W1420" s="3" t="s">
        <v>2272</v>
      </c>
      <c r="X1420" s="3" t="s">
        <v>2272</v>
      </c>
      <c r="Y1420" s="3" t="s">
        <v>186</v>
      </c>
      <c r="Z1420" s="3" t="s">
        <v>34</v>
      </c>
      <c r="AA1420" s="3" t="s">
        <v>63</v>
      </c>
      <c r="AB1420" s="3" t="s">
        <v>4238</v>
      </c>
      <c r="AC1420" s="3"/>
    </row>
    <row r="1421" spans="1:29" ht="46" customHeight="1">
      <c r="A1421" s="147" t="str">
        <f>'Reported burning'!A1421</f>
        <v>168b</v>
      </c>
      <c r="B1421" s="147" t="str">
        <f>'Reported burning'!B1421</f>
        <v>168b.6</v>
      </c>
      <c r="C1421" s="147" t="str">
        <f>'Reported burning'!C1421</f>
        <v>Human, deliberate</v>
      </c>
      <c r="D1421" s="147" t="str">
        <f>'Reported burning'!D1421</f>
        <v>Pest management</v>
      </c>
      <c r="E1421" s="147" t="str">
        <f>'Reported burning'!E1421</f>
        <v>ND</v>
      </c>
      <c r="F1421" s="147" t="str">
        <f>'Reported burning'!F1421</f>
        <v>Shrubland (Mixed forest &amp; grassland)</v>
      </c>
      <c r="G1421" s="147" t="str">
        <f>'Reported burning'!G1421</f>
        <v>ND</v>
      </c>
      <c r="H1421" s="147" t="str">
        <f>'Reported burning'!H1421</f>
        <v>Presence</v>
      </c>
      <c r="I1421" s="3"/>
      <c r="J1421" s="3" t="s">
        <v>2272</v>
      </c>
      <c r="K1421" s="198" t="s">
        <v>2272</v>
      </c>
      <c r="L1421" s="3" t="s">
        <v>2272</v>
      </c>
      <c r="M1421" s="3" t="s">
        <v>2272</v>
      </c>
      <c r="N1421" s="3" t="s">
        <v>2272</v>
      </c>
      <c r="O1421" s="3" t="s">
        <v>2272</v>
      </c>
      <c r="P1421" s="3" t="s">
        <v>2272</v>
      </c>
      <c r="Q1421" s="3" t="s">
        <v>2272</v>
      </c>
      <c r="R1421" s="3" t="s">
        <v>2272</v>
      </c>
      <c r="S1421" s="3" t="s">
        <v>2272</v>
      </c>
      <c r="T1421" s="3" t="s">
        <v>2272</v>
      </c>
      <c r="U1421" s="3" t="s">
        <v>2272</v>
      </c>
      <c r="V1421" s="3" t="s">
        <v>2272</v>
      </c>
      <c r="W1421" s="3" t="s">
        <v>2272</v>
      </c>
      <c r="X1421" s="3" t="s">
        <v>2272</v>
      </c>
      <c r="Y1421" s="3" t="s">
        <v>403</v>
      </c>
      <c r="Z1421" s="3" t="s">
        <v>67</v>
      </c>
      <c r="AA1421" s="3" t="s">
        <v>63</v>
      </c>
      <c r="AB1421" s="4" t="s">
        <v>4237</v>
      </c>
      <c r="AC1421" s="3"/>
    </row>
    <row r="1422" spans="1:29" ht="46" customHeight="1">
      <c r="A1422" s="147" t="str">
        <f>'Reported burning'!A1422</f>
        <v>168b</v>
      </c>
      <c r="B1422" s="147" t="str">
        <f>'Reported burning'!B1422</f>
        <v>168b.7</v>
      </c>
      <c r="C1422" s="147" t="str">
        <f>'Reported burning'!C1422</f>
        <v>Human, deliberate</v>
      </c>
      <c r="D1422" s="147" t="str">
        <f>'Reported burning'!D1422</f>
        <v>Hunting</v>
      </c>
      <c r="E1422" s="147" t="str">
        <f>'Reported burning'!E1422</f>
        <v>Forestry, Traditional</v>
      </c>
      <c r="F1422" s="147" t="str">
        <f>'Reported burning'!F1422</f>
        <v>Shrubland (Mixed forest &amp; grassland)</v>
      </c>
      <c r="G1422" s="147" t="str">
        <f>'Reported burning'!G1422</f>
        <v>ND</v>
      </c>
      <c r="H1422" s="147" t="str">
        <f>'Reported burning'!H1422</f>
        <v>Presence</v>
      </c>
      <c r="I1422" s="3"/>
      <c r="J1422" s="3" t="s">
        <v>2272</v>
      </c>
      <c r="K1422" s="198" t="s">
        <v>2272</v>
      </c>
      <c r="L1422" s="3" t="s">
        <v>2272</v>
      </c>
      <c r="M1422" s="3" t="s">
        <v>2272</v>
      </c>
      <c r="N1422" s="3" t="s">
        <v>2272</v>
      </c>
      <c r="O1422" s="3" t="s">
        <v>2272</v>
      </c>
      <c r="P1422" s="3" t="s">
        <v>2272</v>
      </c>
      <c r="Q1422" s="3" t="s">
        <v>2272</v>
      </c>
      <c r="R1422" s="3" t="s">
        <v>2272</v>
      </c>
      <c r="S1422" s="3" t="s">
        <v>2272</v>
      </c>
      <c r="T1422" s="3" t="s">
        <v>2272</v>
      </c>
      <c r="U1422" s="3" t="s">
        <v>2272</v>
      </c>
      <c r="V1422" s="3" t="s">
        <v>2272</v>
      </c>
      <c r="W1422" s="3" t="s">
        <v>2272</v>
      </c>
      <c r="X1422" s="3" t="s">
        <v>2272</v>
      </c>
      <c r="Y1422" s="3" t="s">
        <v>186</v>
      </c>
      <c r="Z1422" s="3" t="s">
        <v>34</v>
      </c>
      <c r="AA1422" s="3" t="s">
        <v>63</v>
      </c>
      <c r="AB1422" s="3" t="s">
        <v>4240</v>
      </c>
      <c r="AC1422" s="3"/>
    </row>
    <row r="1423" spans="1:29" ht="46" customHeight="1">
      <c r="A1423" s="147" t="str">
        <f>'Reported burning'!A1423</f>
        <v>168b</v>
      </c>
      <c r="B1423" s="147" t="str">
        <f>'Reported burning'!B1423</f>
        <v>168b.8</v>
      </c>
      <c r="C1423" s="147" t="str">
        <f>'Reported burning'!C1423</f>
        <v>Human, deliberate</v>
      </c>
      <c r="D1423" s="147" t="str">
        <f>'Reported burning'!D1423</f>
        <v>Pasture renewal</v>
      </c>
      <c r="E1423" s="147" t="str">
        <f>'Reported burning'!E1423</f>
        <v>Mixed cropping-livestock small holder, Subsistence-oriented</v>
      </c>
      <c r="F1423" s="147" t="str">
        <f>'Reported burning'!F1423</f>
        <v>Shrubland (Mixed forest &amp; grassland)</v>
      </c>
      <c r="G1423" s="147" t="str">
        <f>'Reported burning'!G1423</f>
        <v>ND</v>
      </c>
      <c r="H1423" s="147" t="str">
        <f>'Reported burning'!H1423</f>
        <v>Presence</v>
      </c>
      <c r="I1423" s="3"/>
      <c r="J1423" s="3" t="s">
        <v>2272</v>
      </c>
      <c r="K1423" s="198" t="s">
        <v>2272</v>
      </c>
      <c r="L1423" s="3" t="s">
        <v>2272</v>
      </c>
      <c r="M1423" s="3" t="s">
        <v>2272</v>
      </c>
      <c r="N1423" s="3" t="s">
        <v>2272</v>
      </c>
      <c r="O1423" s="3" t="s">
        <v>2272</v>
      </c>
      <c r="P1423" s="3" t="s">
        <v>2272</v>
      </c>
      <c r="Q1423" s="3" t="s">
        <v>2272</v>
      </c>
      <c r="R1423" s="3" t="s">
        <v>2272</v>
      </c>
      <c r="S1423" s="3" t="s">
        <v>2272</v>
      </c>
      <c r="T1423" s="3" t="s">
        <v>2272</v>
      </c>
      <c r="U1423" s="3" t="s">
        <v>2272</v>
      </c>
      <c r="V1423" s="3" t="s">
        <v>2272</v>
      </c>
      <c r="W1423" s="3" t="s">
        <v>2272</v>
      </c>
      <c r="X1423" s="3" t="s">
        <v>2272</v>
      </c>
      <c r="Y1423" s="3" t="s">
        <v>186</v>
      </c>
      <c r="Z1423" s="3" t="s">
        <v>34</v>
      </c>
      <c r="AA1423" s="3" t="s">
        <v>63</v>
      </c>
      <c r="AB1423" s="3" t="s">
        <v>4242</v>
      </c>
      <c r="AC1423" s="3"/>
    </row>
    <row r="1424" spans="1:29" ht="54.5" customHeight="1">
      <c r="A1424" s="147" t="str">
        <f>'Reported burning'!A1424</f>
        <v>169a</v>
      </c>
      <c r="B1424" s="147" t="str">
        <f>'Reported burning'!B1424</f>
        <v>169a.1</v>
      </c>
      <c r="C1424" s="147" t="str">
        <f>'Reported burning'!C1424</f>
        <v>Human, deliberate</v>
      </c>
      <c r="D1424" s="147" t="str">
        <f>'Reported burning'!D1424</f>
        <v>Pasture renewal</v>
      </c>
      <c r="E1424" s="147" t="str">
        <f>'Reported burning'!E1424</f>
        <v>Mixed cropping-livestock small holder, Subsistence-oriented</v>
      </c>
      <c r="F1424" s="147" t="str">
        <f>'Reported burning'!F1424</f>
        <v>Shrubland (Mixed forest &amp; grassland)</v>
      </c>
      <c r="G1424" s="147" t="str">
        <f>'Reported burning'!G1424</f>
        <v>ND</v>
      </c>
      <c r="H1424" s="147" t="str">
        <f>'Reported burning'!H1424</f>
        <v>Presence</v>
      </c>
      <c r="I1424" s="3"/>
      <c r="J1424" s="3" t="s">
        <v>2272</v>
      </c>
      <c r="K1424" s="198" t="s">
        <v>2272</v>
      </c>
      <c r="L1424" s="3" t="s">
        <v>2272</v>
      </c>
      <c r="M1424" s="3" t="s">
        <v>2272</v>
      </c>
      <c r="N1424" s="3" t="s">
        <v>2272</v>
      </c>
      <c r="O1424" s="3" t="s">
        <v>2272</v>
      </c>
      <c r="P1424" s="3" t="s">
        <v>2272</v>
      </c>
      <c r="Q1424" s="3" t="s">
        <v>2272</v>
      </c>
      <c r="R1424" s="3" t="s">
        <v>2272</v>
      </c>
      <c r="S1424" s="3" t="s">
        <v>2272</v>
      </c>
      <c r="T1424" s="3" t="s">
        <v>2272</v>
      </c>
      <c r="U1424" s="3" t="s">
        <v>2272</v>
      </c>
      <c r="V1424" s="3" t="s">
        <v>2272</v>
      </c>
      <c r="W1424" s="3" t="s">
        <v>2272</v>
      </c>
      <c r="X1424" s="3" t="s">
        <v>2272</v>
      </c>
      <c r="Y1424" s="3" t="s">
        <v>2272</v>
      </c>
      <c r="Z1424" s="3" t="s">
        <v>2272</v>
      </c>
      <c r="AA1424" s="3" t="s">
        <v>2272</v>
      </c>
      <c r="AB1424" s="3" t="s">
        <v>4268</v>
      </c>
      <c r="AC1424" s="4" t="s">
        <v>4274</v>
      </c>
    </row>
    <row r="1425" spans="1:29" ht="54.5" customHeight="1">
      <c r="A1425" s="147" t="str">
        <f>'Reported burning'!A1425</f>
        <v>169a</v>
      </c>
      <c r="B1425" s="147" t="str">
        <f>'Reported burning'!B1425</f>
        <v>169a.2</v>
      </c>
      <c r="C1425" s="147" t="str">
        <f>'Reported burning'!C1425</f>
        <v>Human, escaped</v>
      </c>
      <c r="D1425" s="147" t="str">
        <f>'Reported burning'!D1425</f>
        <v>Pasture renewal</v>
      </c>
      <c r="E1425" s="147" t="str">
        <f>'Reported burning'!E1425</f>
        <v>Mixed cropping-livestock small holder, Subsistence-oriented</v>
      </c>
      <c r="F1425" s="147" t="str">
        <f>'Reported burning'!F1425</f>
        <v>Forest</v>
      </c>
      <c r="G1425" s="147" t="str">
        <f>'Reported burning'!G1425</f>
        <v>ND</v>
      </c>
      <c r="H1425" s="147" t="str">
        <f>'Reported burning'!H1425</f>
        <v>Presence</v>
      </c>
      <c r="I1425" s="3"/>
      <c r="J1425" s="3" t="s">
        <v>2272</v>
      </c>
      <c r="K1425" s="198" t="s">
        <v>2272</v>
      </c>
      <c r="L1425" s="3" t="s">
        <v>2272</v>
      </c>
      <c r="M1425" s="3" t="s">
        <v>2272</v>
      </c>
      <c r="N1425" s="3" t="s">
        <v>2272</v>
      </c>
      <c r="O1425" s="3" t="s">
        <v>2272</v>
      </c>
      <c r="P1425" s="3" t="s">
        <v>2272</v>
      </c>
      <c r="Q1425" s="3" t="s">
        <v>2272</v>
      </c>
      <c r="R1425" s="3" t="s">
        <v>2272</v>
      </c>
      <c r="S1425" s="3" t="s">
        <v>2272</v>
      </c>
      <c r="T1425" s="3" t="s">
        <v>2272</v>
      </c>
      <c r="U1425" s="3" t="s">
        <v>2272</v>
      </c>
      <c r="V1425" s="3" t="s">
        <v>2272</v>
      </c>
      <c r="W1425" s="3" t="s">
        <v>2272</v>
      </c>
      <c r="X1425" s="3" t="s">
        <v>2272</v>
      </c>
      <c r="Y1425" s="3" t="s">
        <v>2272</v>
      </c>
      <c r="Z1425" s="3" t="s">
        <v>2272</v>
      </c>
      <c r="AA1425" s="3" t="s">
        <v>2272</v>
      </c>
      <c r="AB1425" s="3" t="s">
        <v>2272</v>
      </c>
      <c r="AC1425" s="4" t="s">
        <v>4274</v>
      </c>
    </row>
    <row r="1426" spans="1:29" ht="54.5" customHeight="1">
      <c r="A1426" s="147" t="str">
        <f>'Reported burning'!A1426</f>
        <v>169a</v>
      </c>
      <c r="B1426" s="147" t="str">
        <f>'Reported burning'!B1426</f>
        <v>169a.3</v>
      </c>
      <c r="C1426" s="147" t="str">
        <f>'Reported burning'!C1426</f>
        <v>Human, deliberate</v>
      </c>
      <c r="D1426" s="147" t="str">
        <f>'Reported burning'!D1426</f>
        <v>Domestic</v>
      </c>
      <c r="E1426" s="147" t="str">
        <f>'Reported burning'!E1426</f>
        <v>All</v>
      </c>
      <c r="F1426" s="147" t="str">
        <f>'Reported burning'!F1426</f>
        <v>ND</v>
      </c>
      <c r="G1426" s="147" t="str">
        <f>'Reported burning'!G1426</f>
        <v>ND</v>
      </c>
      <c r="H1426" s="147" t="str">
        <f>'Reported burning'!H1426</f>
        <v>Presence</v>
      </c>
      <c r="I1426" s="3"/>
      <c r="J1426" s="3" t="s">
        <v>2272</v>
      </c>
      <c r="K1426" s="198" t="s">
        <v>2272</v>
      </c>
      <c r="L1426" s="3" t="s">
        <v>2272</v>
      </c>
      <c r="M1426" s="3" t="s">
        <v>2272</v>
      </c>
      <c r="N1426" s="3" t="s">
        <v>2272</v>
      </c>
      <c r="O1426" s="3" t="s">
        <v>2272</v>
      </c>
      <c r="P1426" s="3" t="s">
        <v>2272</v>
      </c>
      <c r="Q1426" s="3" t="s">
        <v>2272</v>
      </c>
      <c r="R1426" s="3" t="s">
        <v>2272</v>
      </c>
      <c r="S1426" s="3" t="s">
        <v>2272</v>
      </c>
      <c r="T1426" s="3" t="s">
        <v>2272</v>
      </c>
      <c r="U1426" s="3" t="s">
        <v>2272</v>
      </c>
      <c r="V1426" s="3" t="s">
        <v>2272</v>
      </c>
      <c r="W1426" s="3" t="s">
        <v>2272</v>
      </c>
      <c r="X1426" s="3" t="s">
        <v>2272</v>
      </c>
      <c r="Y1426" s="3" t="s">
        <v>2272</v>
      </c>
      <c r="Z1426" s="3" t="s">
        <v>2272</v>
      </c>
      <c r="AA1426" s="3" t="s">
        <v>2272</v>
      </c>
      <c r="AB1426" s="3" t="s">
        <v>4273</v>
      </c>
      <c r="AC1426" s="4" t="s">
        <v>4274</v>
      </c>
    </row>
    <row r="1427" spans="1:29" ht="54.5" customHeight="1">
      <c r="A1427" s="147" t="str">
        <f>'Reported burning'!A1427</f>
        <v>169a</v>
      </c>
      <c r="B1427" s="147" t="str">
        <f>'Reported burning'!B1427</f>
        <v>169a.4</v>
      </c>
      <c r="C1427" s="147" t="str">
        <f>'Reported burning'!C1427</f>
        <v>Human, escaped</v>
      </c>
      <c r="D1427" s="147" t="str">
        <f>'Reported burning'!D1427</f>
        <v>Domestic</v>
      </c>
      <c r="E1427" s="147" t="str">
        <f>'Reported burning'!E1427</f>
        <v>All</v>
      </c>
      <c r="F1427" s="147" t="str">
        <f>'Reported burning'!F1427</f>
        <v>ND</v>
      </c>
      <c r="G1427" s="147" t="str">
        <f>'Reported burning'!G1427</f>
        <v>ND</v>
      </c>
      <c r="H1427" s="147" t="str">
        <f>'Reported burning'!H1427</f>
        <v>Presence</v>
      </c>
      <c r="I1427" s="3"/>
      <c r="J1427" s="3" t="s">
        <v>2272</v>
      </c>
      <c r="K1427" s="198" t="s">
        <v>2272</v>
      </c>
      <c r="L1427" s="3" t="s">
        <v>2272</v>
      </c>
      <c r="M1427" s="3" t="s">
        <v>2272</v>
      </c>
      <c r="N1427" s="3" t="s">
        <v>2272</v>
      </c>
      <c r="O1427" s="3" t="s">
        <v>2272</v>
      </c>
      <c r="P1427" s="3" t="s">
        <v>2272</v>
      </c>
      <c r="Q1427" s="3" t="s">
        <v>2272</v>
      </c>
      <c r="R1427" s="3" t="s">
        <v>2272</v>
      </c>
      <c r="S1427" s="3" t="s">
        <v>2272</v>
      </c>
      <c r="T1427" s="3" t="s">
        <v>2272</v>
      </c>
      <c r="U1427" s="3" t="s">
        <v>2272</v>
      </c>
      <c r="V1427" s="3" t="s">
        <v>2272</v>
      </c>
      <c r="W1427" s="3" t="s">
        <v>2272</v>
      </c>
      <c r="X1427" s="3" t="s">
        <v>2272</v>
      </c>
      <c r="Y1427" s="3" t="s">
        <v>2272</v>
      </c>
      <c r="Z1427" s="3" t="s">
        <v>2272</v>
      </c>
      <c r="AA1427" s="3" t="s">
        <v>2272</v>
      </c>
      <c r="AB1427" s="3" t="s">
        <v>2272</v>
      </c>
      <c r="AC1427" s="4" t="s">
        <v>4274</v>
      </c>
    </row>
    <row r="1428" spans="1:29" ht="54.5" customHeight="1">
      <c r="A1428" s="147" t="str">
        <f>'Reported burning'!A1428</f>
        <v>169a</v>
      </c>
      <c r="B1428" s="147" t="str">
        <f>'Reported burning'!B1428</f>
        <v>169a.5</v>
      </c>
      <c r="C1428" s="147" t="str">
        <f>'Reported burning'!C1428</f>
        <v>Human, accidental</v>
      </c>
      <c r="D1428" s="147" t="str">
        <f>'Reported burning'!D1428</f>
        <v>Accidental</v>
      </c>
      <c r="E1428" s="147" t="str">
        <f>'Reported burning'!E1428</f>
        <v>All</v>
      </c>
      <c r="F1428" s="147" t="str">
        <f>'Reported burning'!F1428</f>
        <v>ND</v>
      </c>
      <c r="G1428" s="147" t="str">
        <f>'Reported burning'!G1428</f>
        <v>ND</v>
      </c>
      <c r="H1428" s="147" t="str">
        <f>'Reported burning'!H1428</f>
        <v>Presence</v>
      </c>
      <c r="I1428" s="3"/>
      <c r="J1428" s="3" t="s">
        <v>2272</v>
      </c>
      <c r="K1428" s="198" t="s">
        <v>2272</v>
      </c>
      <c r="L1428" s="3" t="s">
        <v>2272</v>
      </c>
      <c r="M1428" s="3" t="s">
        <v>2272</v>
      </c>
      <c r="N1428" s="3" t="s">
        <v>2272</v>
      </c>
      <c r="O1428" s="3" t="s">
        <v>2272</v>
      </c>
      <c r="P1428" s="3" t="s">
        <v>2272</v>
      </c>
      <c r="Q1428" s="3" t="s">
        <v>2272</v>
      </c>
      <c r="R1428" s="3" t="s">
        <v>2272</v>
      </c>
      <c r="S1428" s="3" t="s">
        <v>2272</v>
      </c>
      <c r="T1428" s="3" t="s">
        <v>2272</v>
      </c>
      <c r="U1428" s="3" t="s">
        <v>2272</v>
      </c>
      <c r="V1428" s="3" t="s">
        <v>2272</v>
      </c>
      <c r="W1428" s="3" t="s">
        <v>2272</v>
      </c>
      <c r="X1428" s="3" t="s">
        <v>2272</v>
      </c>
      <c r="Y1428" s="3" t="s">
        <v>2272</v>
      </c>
      <c r="Z1428" s="3" t="s">
        <v>2272</v>
      </c>
      <c r="AA1428" s="3" t="s">
        <v>2272</v>
      </c>
      <c r="AB1428" s="4" t="s">
        <v>4270</v>
      </c>
      <c r="AC1428" s="4" t="s">
        <v>4274</v>
      </c>
    </row>
    <row r="1429" spans="1:29" ht="54.5" customHeight="1">
      <c r="A1429" s="147" t="str">
        <f>'Reported burning'!A1429</f>
        <v>169a</v>
      </c>
      <c r="B1429" s="147" t="str">
        <f>'Reported burning'!B1429</f>
        <v>169a.6</v>
      </c>
      <c r="C1429" s="147" t="str">
        <f>'Reported burning'!C1429</f>
        <v>Human, accidental</v>
      </c>
      <c r="D1429" s="147" t="str">
        <f>'Reported burning'!D1429</f>
        <v>Accidental</v>
      </c>
      <c r="E1429" s="147" t="str">
        <f>'Reported burning'!E1429</f>
        <v>Tourism manager</v>
      </c>
      <c r="F1429" s="147" t="str">
        <f>'Reported burning'!F1429</f>
        <v>ND</v>
      </c>
      <c r="G1429" s="147" t="str">
        <f>'Reported burning'!G1429</f>
        <v>ND</v>
      </c>
      <c r="H1429" s="147" t="str">
        <f>'Reported burning'!H1429</f>
        <v>Presence</v>
      </c>
      <c r="I1429" s="3"/>
      <c r="J1429" s="3" t="s">
        <v>2272</v>
      </c>
      <c r="K1429" s="198" t="s">
        <v>2272</v>
      </c>
      <c r="L1429" s="3" t="s">
        <v>2272</v>
      </c>
      <c r="M1429" s="3" t="s">
        <v>2272</v>
      </c>
      <c r="N1429" s="3" t="s">
        <v>2272</v>
      </c>
      <c r="O1429" s="3" t="s">
        <v>2272</v>
      </c>
      <c r="P1429" s="3" t="s">
        <v>2272</v>
      </c>
      <c r="Q1429" s="3" t="s">
        <v>2272</v>
      </c>
      <c r="R1429" s="3" t="s">
        <v>2272</v>
      </c>
      <c r="S1429" s="3" t="s">
        <v>2272</v>
      </c>
      <c r="T1429" s="3" t="s">
        <v>2272</v>
      </c>
      <c r="U1429" s="3" t="s">
        <v>2272</v>
      </c>
      <c r="V1429" s="3" t="s">
        <v>2272</v>
      </c>
      <c r="W1429" s="3" t="s">
        <v>2272</v>
      </c>
      <c r="X1429" s="3" t="s">
        <v>2272</v>
      </c>
      <c r="Y1429" s="3" t="s">
        <v>2272</v>
      </c>
      <c r="Z1429" s="3" t="s">
        <v>2272</v>
      </c>
      <c r="AA1429" s="3" t="s">
        <v>2272</v>
      </c>
      <c r="AB1429" s="4" t="s">
        <v>4269</v>
      </c>
      <c r="AC1429" s="4" t="s">
        <v>4274</v>
      </c>
    </row>
    <row r="1430" spans="1:29" ht="54.5" customHeight="1">
      <c r="A1430" s="147" t="str">
        <f>'Reported burning'!A1430</f>
        <v>169a</v>
      </c>
      <c r="B1430" s="147" t="str">
        <f>'Reported burning'!B1430</f>
        <v>169a.7</v>
      </c>
      <c r="C1430" s="147" t="str">
        <f>'Reported burning'!C1430</f>
        <v>Human, deliberate</v>
      </c>
      <c r="D1430" s="147" t="str">
        <f>'Reported burning'!D1430</f>
        <v>Land clearance</v>
      </c>
      <c r="E1430" s="147" t="str">
        <f>'Reported burning'!E1430</f>
        <v>Mixed cropping-livestock small holder, Subsistence-oriented</v>
      </c>
      <c r="F1430" s="147" t="str">
        <f>'Reported burning'!F1430</f>
        <v>ND</v>
      </c>
      <c r="G1430" s="147" t="str">
        <f>'Reported burning'!G1430</f>
        <v>ND</v>
      </c>
      <c r="H1430" s="147" t="str">
        <f>'Reported burning'!H1430</f>
        <v>Presence</v>
      </c>
      <c r="I1430" s="3"/>
      <c r="J1430" s="3" t="s">
        <v>2272</v>
      </c>
      <c r="K1430" s="198" t="s">
        <v>2272</v>
      </c>
      <c r="L1430" s="3" t="s">
        <v>2272</v>
      </c>
      <c r="M1430" s="3" t="s">
        <v>2272</v>
      </c>
      <c r="N1430" s="3" t="s">
        <v>2272</v>
      </c>
      <c r="O1430" s="3" t="s">
        <v>2272</v>
      </c>
      <c r="P1430" s="3" t="s">
        <v>2272</v>
      </c>
      <c r="Q1430" s="3" t="s">
        <v>2272</v>
      </c>
      <c r="R1430" s="3" t="s">
        <v>2272</v>
      </c>
      <c r="S1430" s="3" t="s">
        <v>2272</v>
      </c>
      <c r="T1430" s="3" t="s">
        <v>2272</v>
      </c>
      <c r="U1430" s="3" t="s">
        <v>2272</v>
      </c>
      <c r="V1430" s="3" t="s">
        <v>2272</v>
      </c>
      <c r="W1430" s="3" t="s">
        <v>2272</v>
      </c>
      <c r="X1430" s="3" t="s">
        <v>2272</v>
      </c>
      <c r="Y1430" s="3" t="s">
        <v>2272</v>
      </c>
      <c r="Z1430" s="3" t="s">
        <v>2272</v>
      </c>
      <c r="AA1430" s="3" t="s">
        <v>2272</v>
      </c>
      <c r="AB1430" s="3" t="s">
        <v>4271</v>
      </c>
      <c r="AC1430" s="4" t="s">
        <v>4274</v>
      </c>
    </row>
    <row r="1431" spans="1:29" ht="54.5" customHeight="1">
      <c r="A1431" s="147" t="str">
        <f>'Reported burning'!A1431</f>
        <v>169a</v>
      </c>
      <c r="B1431" s="147" t="str">
        <f>'Reported burning'!B1431</f>
        <v>169a.8</v>
      </c>
      <c r="C1431" s="147" t="str">
        <f>'Reported burning'!C1431</f>
        <v>Human, deliberate</v>
      </c>
      <c r="D1431" s="147" t="str">
        <f>'Reported burning'!D1431</f>
        <v>Crop residue burning</v>
      </c>
      <c r="E1431" s="147" t="str">
        <f>'Reported burning'!E1431</f>
        <v>Mixed cropping-livestock small holder, Subsistence-oriented</v>
      </c>
      <c r="F1431" s="147" t="str">
        <f>'Reported burning'!F1431</f>
        <v>ND</v>
      </c>
      <c r="G1431" s="147" t="str">
        <f>'Reported burning'!G1431</f>
        <v>ND</v>
      </c>
      <c r="H1431" s="147" t="str">
        <f>'Reported burning'!H1431</f>
        <v>Presence</v>
      </c>
      <c r="I1431" s="3"/>
      <c r="J1431" s="3" t="s">
        <v>2272</v>
      </c>
      <c r="K1431" s="198" t="s">
        <v>2272</v>
      </c>
      <c r="L1431" s="3" t="s">
        <v>2272</v>
      </c>
      <c r="M1431" s="3" t="s">
        <v>2272</v>
      </c>
      <c r="N1431" s="3" t="s">
        <v>2272</v>
      </c>
      <c r="O1431" s="3" t="s">
        <v>2272</v>
      </c>
      <c r="P1431" s="3" t="s">
        <v>2272</v>
      </c>
      <c r="Q1431" s="3" t="s">
        <v>2272</v>
      </c>
      <c r="R1431" s="3" t="s">
        <v>2272</v>
      </c>
      <c r="S1431" s="3" t="s">
        <v>2272</v>
      </c>
      <c r="T1431" s="3" t="s">
        <v>2272</v>
      </c>
      <c r="U1431" s="3" t="s">
        <v>2272</v>
      </c>
      <c r="V1431" s="3" t="s">
        <v>2272</v>
      </c>
      <c r="W1431" s="3" t="s">
        <v>2272</v>
      </c>
      <c r="X1431" s="3" t="s">
        <v>2272</v>
      </c>
      <c r="Y1431" s="3" t="s">
        <v>2272</v>
      </c>
      <c r="Z1431" s="3" t="s">
        <v>2272</v>
      </c>
      <c r="AA1431" s="3" t="s">
        <v>2272</v>
      </c>
      <c r="AB1431" s="3" t="s">
        <v>4272</v>
      </c>
      <c r="AC1431" s="4" t="s">
        <v>4274</v>
      </c>
    </row>
    <row r="1432" spans="1:29" ht="54.5" customHeight="1">
      <c r="A1432" s="147" t="str">
        <f>'Reported burning'!A1432</f>
        <v>169a</v>
      </c>
      <c r="B1432" s="147" t="str">
        <f>'Reported burning'!B1432</f>
        <v>169a.9</v>
      </c>
      <c r="C1432" s="147" t="str">
        <f>'Reported burning'!C1432</f>
        <v>Human, deliberate</v>
      </c>
      <c r="D1432" s="147" t="str">
        <f>'Reported burning'!D1432</f>
        <v>Arson</v>
      </c>
      <c r="E1432" s="147" t="str">
        <f>'Reported burning'!E1432</f>
        <v>ND</v>
      </c>
      <c r="F1432" s="147" t="str">
        <f>'Reported burning'!F1432</f>
        <v>ND</v>
      </c>
      <c r="G1432" s="147" t="str">
        <f>'Reported burning'!G1432</f>
        <v>ND</v>
      </c>
      <c r="H1432" s="147" t="str">
        <f>'Reported burning'!H1432</f>
        <v>Presence</v>
      </c>
      <c r="I1432" s="3"/>
      <c r="J1432" s="3" t="s">
        <v>2272</v>
      </c>
      <c r="K1432" s="198" t="s">
        <v>2272</v>
      </c>
      <c r="L1432" s="3" t="s">
        <v>2272</v>
      </c>
      <c r="M1432" s="3" t="s">
        <v>2272</v>
      </c>
      <c r="N1432" s="3" t="s">
        <v>2272</v>
      </c>
      <c r="O1432" s="3" t="s">
        <v>2272</v>
      </c>
      <c r="P1432" s="3" t="s">
        <v>2272</v>
      </c>
      <c r="Q1432" s="3" t="s">
        <v>2272</v>
      </c>
      <c r="R1432" s="3" t="s">
        <v>2272</v>
      </c>
      <c r="S1432" s="3" t="s">
        <v>2272</v>
      </c>
      <c r="T1432" s="3" t="s">
        <v>2272</v>
      </c>
      <c r="U1432" s="3" t="s">
        <v>2272</v>
      </c>
      <c r="V1432" s="3" t="s">
        <v>2272</v>
      </c>
      <c r="W1432" s="3" t="s">
        <v>2272</v>
      </c>
      <c r="X1432" s="3" t="s">
        <v>2272</v>
      </c>
      <c r="Y1432" s="3" t="s">
        <v>2272</v>
      </c>
      <c r="Z1432" s="3" t="s">
        <v>2272</v>
      </c>
      <c r="AA1432" s="3" t="s">
        <v>2272</v>
      </c>
      <c r="AB1432" s="164" t="s">
        <v>4275</v>
      </c>
      <c r="AC1432" s="4" t="s">
        <v>4274</v>
      </c>
    </row>
    <row r="1433" spans="1:29" ht="54.5" customHeight="1">
      <c r="A1433" s="147" t="str">
        <f>'Reported burning'!A1433</f>
        <v>169b</v>
      </c>
      <c r="B1433" s="147" t="str">
        <f>'Reported burning'!B1433</f>
        <v>169b.1</v>
      </c>
      <c r="C1433" s="147" t="str">
        <f>'Reported burning'!C1433</f>
        <v>Human, deliberate</v>
      </c>
      <c r="D1433" s="147" t="str">
        <f>'Reported burning'!D1433</f>
        <v>Pasture renewal</v>
      </c>
      <c r="E1433" s="147" t="str">
        <f>'Reported burning'!E1433</f>
        <v>Mixed cropping-livestock small holder, Subsistence-oriented</v>
      </c>
      <c r="F1433" s="147" t="str">
        <f>'Reported burning'!F1433</f>
        <v>Shrubland (Mixed forest &amp; grassland)</v>
      </c>
      <c r="G1433" s="147" t="str">
        <f>'Reported burning'!G1433</f>
        <v>ND</v>
      </c>
      <c r="H1433" s="147" t="str">
        <f>'Reported burning'!H1433</f>
        <v>Presence</v>
      </c>
      <c r="I1433" s="3"/>
      <c r="J1433" s="3" t="s">
        <v>2272</v>
      </c>
      <c r="K1433" s="198" t="s">
        <v>2272</v>
      </c>
      <c r="L1433" s="3" t="s">
        <v>2272</v>
      </c>
      <c r="M1433" s="3" t="s">
        <v>2272</v>
      </c>
      <c r="N1433" s="3" t="s">
        <v>2272</v>
      </c>
      <c r="O1433" s="3" t="s">
        <v>2272</v>
      </c>
      <c r="P1433" s="3" t="s">
        <v>2272</v>
      </c>
      <c r="Q1433" s="3" t="s">
        <v>2272</v>
      </c>
      <c r="R1433" s="3" t="s">
        <v>2272</v>
      </c>
      <c r="S1433" s="3" t="s">
        <v>2272</v>
      </c>
      <c r="T1433" s="3" t="s">
        <v>2272</v>
      </c>
      <c r="U1433" s="3" t="s">
        <v>2272</v>
      </c>
      <c r="V1433" s="3" t="s">
        <v>2272</v>
      </c>
      <c r="W1433" s="3" t="s">
        <v>2272</v>
      </c>
      <c r="X1433" s="3" t="s">
        <v>2272</v>
      </c>
      <c r="Y1433" s="3" t="s">
        <v>2272</v>
      </c>
      <c r="Z1433" s="3" t="s">
        <v>2272</v>
      </c>
      <c r="AA1433" s="3" t="s">
        <v>2272</v>
      </c>
      <c r="AB1433" s="3" t="s">
        <v>4268</v>
      </c>
      <c r="AC1433" s="4" t="s">
        <v>4274</v>
      </c>
    </row>
    <row r="1434" spans="1:29" ht="54.5" customHeight="1">
      <c r="A1434" s="147" t="str">
        <f>'Reported burning'!A1434</f>
        <v>169b</v>
      </c>
      <c r="B1434" s="147" t="str">
        <f>'Reported burning'!B1434</f>
        <v>169b.2</v>
      </c>
      <c r="C1434" s="147" t="str">
        <f>'Reported burning'!C1434</f>
        <v>Human, escaped</v>
      </c>
      <c r="D1434" s="147" t="str">
        <f>'Reported burning'!D1434</f>
        <v>Pasture renewal</v>
      </c>
      <c r="E1434" s="147" t="str">
        <f>'Reported burning'!E1434</f>
        <v>Mixed cropping-livestock small holder, Subsistence-oriented</v>
      </c>
      <c r="F1434" s="147" t="str">
        <f>'Reported burning'!F1434</f>
        <v>Forest</v>
      </c>
      <c r="G1434" s="147" t="str">
        <f>'Reported burning'!G1434</f>
        <v>ND</v>
      </c>
      <c r="H1434" s="147" t="str">
        <f>'Reported burning'!H1434</f>
        <v>Presence</v>
      </c>
      <c r="I1434" s="3"/>
      <c r="J1434" s="3" t="s">
        <v>2272</v>
      </c>
      <c r="K1434" s="198" t="s">
        <v>2272</v>
      </c>
      <c r="L1434" s="3" t="s">
        <v>2272</v>
      </c>
      <c r="M1434" s="3" t="s">
        <v>2272</v>
      </c>
      <c r="N1434" s="3" t="s">
        <v>2272</v>
      </c>
      <c r="O1434" s="3" t="s">
        <v>2272</v>
      </c>
      <c r="P1434" s="3" t="s">
        <v>2272</v>
      </c>
      <c r="Q1434" s="3" t="s">
        <v>2272</v>
      </c>
      <c r="R1434" s="3" t="s">
        <v>2272</v>
      </c>
      <c r="S1434" s="3" t="s">
        <v>2272</v>
      </c>
      <c r="T1434" s="3" t="s">
        <v>2272</v>
      </c>
      <c r="U1434" s="3" t="s">
        <v>2272</v>
      </c>
      <c r="V1434" s="3" t="s">
        <v>2272</v>
      </c>
      <c r="W1434" s="3" t="s">
        <v>2272</v>
      </c>
      <c r="X1434" s="3" t="s">
        <v>2272</v>
      </c>
      <c r="Y1434" s="3" t="s">
        <v>2272</v>
      </c>
      <c r="Z1434" s="3" t="s">
        <v>2272</v>
      </c>
      <c r="AA1434" s="3" t="s">
        <v>2272</v>
      </c>
      <c r="AB1434" s="3" t="s">
        <v>2272</v>
      </c>
      <c r="AC1434" s="4" t="s">
        <v>4274</v>
      </c>
    </row>
    <row r="1435" spans="1:29" ht="54.5" customHeight="1">
      <c r="A1435" s="147" t="str">
        <f>'Reported burning'!A1435</f>
        <v>169b</v>
      </c>
      <c r="B1435" s="147" t="str">
        <f>'Reported burning'!B1435</f>
        <v>169b.3</v>
      </c>
      <c r="C1435" s="147" t="str">
        <f>'Reported burning'!C1435</f>
        <v>Human, deliberate</v>
      </c>
      <c r="D1435" s="147" t="str">
        <f>'Reported burning'!D1435</f>
        <v>Domestic</v>
      </c>
      <c r="E1435" s="147" t="str">
        <f>'Reported burning'!E1435</f>
        <v>All</v>
      </c>
      <c r="F1435" s="147" t="str">
        <f>'Reported burning'!F1435</f>
        <v>ND</v>
      </c>
      <c r="G1435" s="147" t="str">
        <f>'Reported burning'!G1435</f>
        <v>ND</v>
      </c>
      <c r="H1435" s="147" t="str">
        <f>'Reported burning'!H1435</f>
        <v>Presence</v>
      </c>
      <c r="I1435" s="3"/>
      <c r="J1435" s="3" t="s">
        <v>2272</v>
      </c>
      <c r="K1435" s="198" t="s">
        <v>2272</v>
      </c>
      <c r="L1435" s="3" t="s">
        <v>2272</v>
      </c>
      <c r="M1435" s="3" t="s">
        <v>2272</v>
      </c>
      <c r="N1435" s="3" t="s">
        <v>2272</v>
      </c>
      <c r="O1435" s="3" t="s">
        <v>2272</v>
      </c>
      <c r="P1435" s="3" t="s">
        <v>2272</v>
      </c>
      <c r="Q1435" s="3" t="s">
        <v>2272</v>
      </c>
      <c r="R1435" s="3" t="s">
        <v>2272</v>
      </c>
      <c r="S1435" s="3" t="s">
        <v>2272</v>
      </c>
      <c r="T1435" s="3" t="s">
        <v>2272</v>
      </c>
      <c r="U1435" s="3" t="s">
        <v>2272</v>
      </c>
      <c r="V1435" s="3" t="s">
        <v>2272</v>
      </c>
      <c r="W1435" s="3" t="s">
        <v>2272</v>
      </c>
      <c r="X1435" s="3" t="s">
        <v>2272</v>
      </c>
      <c r="Y1435" s="3" t="s">
        <v>2272</v>
      </c>
      <c r="Z1435" s="3" t="s">
        <v>2272</v>
      </c>
      <c r="AA1435" s="3" t="s">
        <v>2272</v>
      </c>
      <c r="AB1435" s="3" t="s">
        <v>4273</v>
      </c>
      <c r="AC1435" s="4" t="s">
        <v>4274</v>
      </c>
    </row>
    <row r="1436" spans="1:29" ht="54.5" customHeight="1">
      <c r="A1436" s="147" t="str">
        <f>'Reported burning'!A1436</f>
        <v>169b</v>
      </c>
      <c r="B1436" s="147" t="str">
        <f>'Reported burning'!B1436</f>
        <v>169b.4</v>
      </c>
      <c r="C1436" s="147" t="str">
        <f>'Reported burning'!C1436</f>
        <v>Human, escaped</v>
      </c>
      <c r="D1436" s="147" t="str">
        <f>'Reported burning'!D1436</f>
        <v>Domestic</v>
      </c>
      <c r="E1436" s="147" t="str">
        <f>'Reported burning'!E1436</f>
        <v>All</v>
      </c>
      <c r="F1436" s="147" t="str">
        <f>'Reported burning'!F1436</f>
        <v>ND</v>
      </c>
      <c r="G1436" s="147" t="str">
        <f>'Reported burning'!G1436</f>
        <v>ND</v>
      </c>
      <c r="H1436" s="147" t="str">
        <f>'Reported burning'!H1436</f>
        <v>Presence</v>
      </c>
      <c r="I1436" s="3"/>
      <c r="J1436" s="3" t="s">
        <v>2272</v>
      </c>
      <c r="K1436" s="198" t="s">
        <v>2272</v>
      </c>
      <c r="L1436" s="3" t="s">
        <v>2272</v>
      </c>
      <c r="M1436" s="3" t="s">
        <v>2272</v>
      </c>
      <c r="N1436" s="3" t="s">
        <v>2272</v>
      </c>
      <c r="O1436" s="3" t="s">
        <v>2272</v>
      </c>
      <c r="P1436" s="3" t="s">
        <v>2272</v>
      </c>
      <c r="Q1436" s="3" t="s">
        <v>2272</v>
      </c>
      <c r="R1436" s="3" t="s">
        <v>2272</v>
      </c>
      <c r="S1436" s="3" t="s">
        <v>2272</v>
      </c>
      <c r="T1436" s="3" t="s">
        <v>2272</v>
      </c>
      <c r="U1436" s="3" t="s">
        <v>2272</v>
      </c>
      <c r="V1436" s="3" t="s">
        <v>2272</v>
      </c>
      <c r="W1436" s="3" t="s">
        <v>2272</v>
      </c>
      <c r="X1436" s="3" t="s">
        <v>2272</v>
      </c>
      <c r="Y1436" s="3" t="s">
        <v>2272</v>
      </c>
      <c r="Z1436" s="3" t="s">
        <v>2272</v>
      </c>
      <c r="AA1436" s="3" t="s">
        <v>2272</v>
      </c>
      <c r="AB1436" s="3" t="s">
        <v>2272</v>
      </c>
      <c r="AC1436" s="4" t="s">
        <v>4274</v>
      </c>
    </row>
    <row r="1437" spans="1:29" ht="54.5" customHeight="1">
      <c r="A1437" s="147" t="str">
        <f>'Reported burning'!A1437</f>
        <v>169b</v>
      </c>
      <c r="B1437" s="147" t="str">
        <f>'Reported burning'!B1437</f>
        <v>169b.5</v>
      </c>
      <c r="C1437" s="147" t="str">
        <f>'Reported burning'!C1437</f>
        <v>Human, accidental</v>
      </c>
      <c r="D1437" s="147" t="str">
        <f>'Reported burning'!D1437</f>
        <v>Accidental</v>
      </c>
      <c r="E1437" s="147" t="str">
        <f>'Reported burning'!E1437</f>
        <v>All</v>
      </c>
      <c r="F1437" s="147" t="str">
        <f>'Reported burning'!F1437</f>
        <v>ND</v>
      </c>
      <c r="G1437" s="147" t="str">
        <f>'Reported burning'!G1437</f>
        <v>ND</v>
      </c>
      <c r="H1437" s="147" t="str">
        <f>'Reported burning'!H1437</f>
        <v>Presence</v>
      </c>
      <c r="I1437" s="3"/>
      <c r="J1437" s="3" t="s">
        <v>2272</v>
      </c>
      <c r="K1437" s="198" t="s">
        <v>2272</v>
      </c>
      <c r="L1437" s="3" t="s">
        <v>2272</v>
      </c>
      <c r="M1437" s="3" t="s">
        <v>2272</v>
      </c>
      <c r="N1437" s="3" t="s">
        <v>2272</v>
      </c>
      <c r="O1437" s="3" t="s">
        <v>2272</v>
      </c>
      <c r="P1437" s="3" t="s">
        <v>2272</v>
      </c>
      <c r="Q1437" s="3" t="s">
        <v>2272</v>
      </c>
      <c r="R1437" s="3" t="s">
        <v>2272</v>
      </c>
      <c r="S1437" s="3" t="s">
        <v>2272</v>
      </c>
      <c r="T1437" s="3" t="s">
        <v>2272</v>
      </c>
      <c r="U1437" s="3" t="s">
        <v>2272</v>
      </c>
      <c r="V1437" s="3" t="s">
        <v>2272</v>
      </c>
      <c r="W1437" s="3" t="s">
        <v>2272</v>
      </c>
      <c r="X1437" s="3" t="s">
        <v>2272</v>
      </c>
      <c r="Y1437" s="3" t="s">
        <v>2272</v>
      </c>
      <c r="Z1437" s="3" t="s">
        <v>2272</v>
      </c>
      <c r="AA1437" s="3" t="s">
        <v>2272</v>
      </c>
      <c r="AB1437" s="4" t="s">
        <v>4270</v>
      </c>
      <c r="AC1437" s="4" t="s">
        <v>4274</v>
      </c>
    </row>
    <row r="1438" spans="1:29" ht="54.5" customHeight="1">
      <c r="A1438" s="147" t="str">
        <f>'Reported burning'!A1438</f>
        <v>169b</v>
      </c>
      <c r="B1438" s="147" t="str">
        <f>'Reported burning'!B1438</f>
        <v>169b.6</v>
      </c>
      <c r="C1438" s="147" t="str">
        <f>'Reported burning'!C1438</f>
        <v>Human, accidental</v>
      </c>
      <c r="D1438" s="147" t="str">
        <f>'Reported burning'!D1438</f>
        <v>Accidental</v>
      </c>
      <c r="E1438" s="147" t="str">
        <f>'Reported burning'!E1438</f>
        <v>Tourism manager</v>
      </c>
      <c r="F1438" s="147" t="str">
        <f>'Reported burning'!F1438</f>
        <v>ND</v>
      </c>
      <c r="G1438" s="147" t="str">
        <f>'Reported burning'!G1438</f>
        <v>ND</v>
      </c>
      <c r="H1438" s="147" t="str">
        <f>'Reported burning'!H1438</f>
        <v>Presence</v>
      </c>
      <c r="I1438" s="3"/>
      <c r="J1438" s="3" t="s">
        <v>2272</v>
      </c>
      <c r="K1438" s="198" t="s">
        <v>2272</v>
      </c>
      <c r="L1438" s="3" t="s">
        <v>2272</v>
      </c>
      <c r="M1438" s="3" t="s">
        <v>2272</v>
      </c>
      <c r="N1438" s="3" t="s">
        <v>2272</v>
      </c>
      <c r="O1438" s="3" t="s">
        <v>2272</v>
      </c>
      <c r="P1438" s="3" t="s">
        <v>2272</v>
      </c>
      <c r="Q1438" s="3" t="s">
        <v>2272</v>
      </c>
      <c r="R1438" s="3" t="s">
        <v>2272</v>
      </c>
      <c r="S1438" s="3" t="s">
        <v>2272</v>
      </c>
      <c r="T1438" s="3" t="s">
        <v>2272</v>
      </c>
      <c r="U1438" s="3" t="s">
        <v>2272</v>
      </c>
      <c r="V1438" s="3" t="s">
        <v>2272</v>
      </c>
      <c r="W1438" s="3" t="s">
        <v>2272</v>
      </c>
      <c r="X1438" s="3" t="s">
        <v>2272</v>
      </c>
      <c r="Y1438" s="3" t="s">
        <v>2272</v>
      </c>
      <c r="Z1438" s="3" t="s">
        <v>2272</v>
      </c>
      <c r="AA1438" s="3" t="s">
        <v>2272</v>
      </c>
      <c r="AB1438" s="4" t="s">
        <v>4269</v>
      </c>
      <c r="AC1438" s="4" t="s">
        <v>4274</v>
      </c>
    </row>
    <row r="1439" spans="1:29" ht="54.5" customHeight="1">
      <c r="A1439" s="147" t="str">
        <f>'Reported burning'!A1439</f>
        <v>169b</v>
      </c>
      <c r="B1439" s="147" t="str">
        <f>'Reported burning'!B1439</f>
        <v>169b.7</v>
      </c>
      <c r="C1439" s="147" t="str">
        <f>'Reported burning'!C1439</f>
        <v>Human, deliberate</v>
      </c>
      <c r="D1439" s="147" t="str">
        <f>'Reported burning'!D1439</f>
        <v>Land clearance</v>
      </c>
      <c r="E1439" s="147" t="str">
        <f>'Reported burning'!E1439</f>
        <v>Mixed cropping-livestock small holder, Subsistence-oriented</v>
      </c>
      <c r="F1439" s="147" t="str">
        <f>'Reported burning'!F1439</f>
        <v>ND</v>
      </c>
      <c r="G1439" s="147" t="str">
        <f>'Reported burning'!G1439</f>
        <v>ND</v>
      </c>
      <c r="H1439" s="147" t="str">
        <f>'Reported burning'!H1439</f>
        <v>Presence</v>
      </c>
      <c r="I1439" s="3"/>
      <c r="J1439" s="3" t="s">
        <v>2272</v>
      </c>
      <c r="K1439" s="198" t="s">
        <v>2272</v>
      </c>
      <c r="L1439" s="3" t="s">
        <v>2272</v>
      </c>
      <c r="M1439" s="3" t="s">
        <v>2272</v>
      </c>
      <c r="N1439" s="3" t="s">
        <v>2272</v>
      </c>
      <c r="O1439" s="3" t="s">
        <v>2272</v>
      </c>
      <c r="P1439" s="3" t="s">
        <v>2272</v>
      </c>
      <c r="Q1439" s="3" t="s">
        <v>2272</v>
      </c>
      <c r="R1439" s="3" t="s">
        <v>2272</v>
      </c>
      <c r="S1439" s="3" t="s">
        <v>2272</v>
      </c>
      <c r="T1439" s="3" t="s">
        <v>2272</v>
      </c>
      <c r="U1439" s="3" t="s">
        <v>2272</v>
      </c>
      <c r="V1439" s="3" t="s">
        <v>2272</v>
      </c>
      <c r="W1439" s="3" t="s">
        <v>2272</v>
      </c>
      <c r="X1439" s="3" t="s">
        <v>2272</v>
      </c>
      <c r="Y1439" s="3" t="s">
        <v>2272</v>
      </c>
      <c r="Z1439" s="3" t="s">
        <v>2272</v>
      </c>
      <c r="AA1439" s="3" t="s">
        <v>2272</v>
      </c>
      <c r="AB1439" s="3" t="s">
        <v>4271</v>
      </c>
      <c r="AC1439" s="4" t="s">
        <v>4274</v>
      </c>
    </row>
    <row r="1440" spans="1:29" ht="54.5" customHeight="1">
      <c r="A1440" s="147" t="str">
        <f>'Reported burning'!A1440</f>
        <v>169b</v>
      </c>
      <c r="B1440" s="147" t="str">
        <f>'Reported burning'!B1440</f>
        <v>169b.8</v>
      </c>
      <c r="C1440" s="147" t="str">
        <f>'Reported burning'!C1440</f>
        <v>Human, deliberate</v>
      </c>
      <c r="D1440" s="147" t="str">
        <f>'Reported burning'!D1440</f>
        <v>Crop residue burning</v>
      </c>
      <c r="E1440" s="147" t="str">
        <f>'Reported burning'!E1440</f>
        <v>Mixed cropping-livestock small holder, Subsistence-oriented</v>
      </c>
      <c r="F1440" s="147" t="str">
        <f>'Reported burning'!F1440</f>
        <v>ND</v>
      </c>
      <c r="G1440" s="147" t="str">
        <f>'Reported burning'!G1440</f>
        <v>ND</v>
      </c>
      <c r="H1440" s="147" t="str">
        <f>'Reported burning'!H1440</f>
        <v>Presence</v>
      </c>
      <c r="I1440" s="3"/>
      <c r="J1440" s="3" t="s">
        <v>2272</v>
      </c>
      <c r="K1440" s="198" t="s">
        <v>2272</v>
      </c>
      <c r="L1440" s="3" t="s">
        <v>2272</v>
      </c>
      <c r="M1440" s="3" t="s">
        <v>2272</v>
      </c>
      <c r="N1440" s="3" t="s">
        <v>2272</v>
      </c>
      <c r="O1440" s="3" t="s">
        <v>2272</v>
      </c>
      <c r="P1440" s="3" t="s">
        <v>2272</v>
      </c>
      <c r="Q1440" s="3" t="s">
        <v>2272</v>
      </c>
      <c r="R1440" s="3" t="s">
        <v>2272</v>
      </c>
      <c r="S1440" s="3" t="s">
        <v>2272</v>
      </c>
      <c r="T1440" s="3" t="s">
        <v>2272</v>
      </c>
      <c r="U1440" s="3" t="s">
        <v>2272</v>
      </c>
      <c r="V1440" s="3" t="s">
        <v>2272</v>
      </c>
      <c r="W1440" s="3" t="s">
        <v>2272</v>
      </c>
      <c r="X1440" s="3" t="s">
        <v>2272</v>
      </c>
      <c r="Y1440" s="3" t="s">
        <v>2272</v>
      </c>
      <c r="Z1440" s="3" t="s">
        <v>2272</v>
      </c>
      <c r="AA1440" s="3" t="s">
        <v>2272</v>
      </c>
      <c r="AB1440" s="3" t="s">
        <v>4272</v>
      </c>
      <c r="AC1440" s="4" t="s">
        <v>4274</v>
      </c>
    </row>
    <row r="1441" spans="1:29" ht="54.5" customHeight="1">
      <c r="A1441" s="147" t="str">
        <f>'Reported burning'!A1441</f>
        <v>169b</v>
      </c>
      <c r="B1441" s="147" t="str">
        <f>'Reported burning'!B1441</f>
        <v>169b.9</v>
      </c>
      <c r="C1441" s="147" t="str">
        <f>'Reported burning'!C1441</f>
        <v>Human, deliberate</v>
      </c>
      <c r="D1441" s="147" t="str">
        <f>'Reported burning'!D1441</f>
        <v>Arson</v>
      </c>
      <c r="E1441" s="147" t="str">
        <f>'Reported burning'!E1441</f>
        <v>ND</v>
      </c>
      <c r="F1441" s="147" t="str">
        <f>'Reported burning'!F1441</f>
        <v>ND</v>
      </c>
      <c r="G1441" s="147" t="str">
        <f>'Reported burning'!G1441</f>
        <v>ND</v>
      </c>
      <c r="H1441" s="147" t="str">
        <f>'Reported burning'!H1441</f>
        <v>Presence</v>
      </c>
      <c r="I1441" s="3"/>
      <c r="J1441" s="3" t="s">
        <v>2272</v>
      </c>
      <c r="K1441" s="198" t="s">
        <v>2272</v>
      </c>
      <c r="L1441" s="3" t="s">
        <v>2272</v>
      </c>
      <c r="M1441" s="3" t="s">
        <v>2272</v>
      </c>
      <c r="N1441" s="3" t="s">
        <v>2272</v>
      </c>
      <c r="O1441" s="3" t="s">
        <v>2272</v>
      </c>
      <c r="P1441" s="3" t="s">
        <v>2272</v>
      </c>
      <c r="Q1441" s="3" t="s">
        <v>2272</v>
      </c>
      <c r="R1441" s="3" t="s">
        <v>2272</v>
      </c>
      <c r="S1441" s="3" t="s">
        <v>2272</v>
      </c>
      <c r="T1441" s="3" t="s">
        <v>2272</v>
      </c>
      <c r="U1441" s="3" t="s">
        <v>2272</v>
      </c>
      <c r="V1441" s="3" t="s">
        <v>2272</v>
      </c>
      <c r="W1441" s="3" t="s">
        <v>2272</v>
      </c>
      <c r="X1441" s="3" t="s">
        <v>2272</v>
      </c>
      <c r="Y1441" s="3" t="s">
        <v>2272</v>
      </c>
      <c r="Z1441" s="3" t="s">
        <v>2272</v>
      </c>
      <c r="AA1441" s="3" t="s">
        <v>2272</v>
      </c>
      <c r="AB1441" s="164" t="s">
        <v>4275</v>
      </c>
      <c r="AC1441" s="4" t="s">
        <v>4274</v>
      </c>
    </row>
    <row r="1442" spans="1:29" ht="54.5" customHeight="1">
      <c r="A1442" s="147" t="str">
        <f>'Reported burning'!A1442</f>
        <v>169c</v>
      </c>
      <c r="B1442" s="147" t="str">
        <f>'Reported burning'!B1442</f>
        <v>169c.1</v>
      </c>
      <c r="C1442" s="147" t="str">
        <f>'Reported burning'!C1442</f>
        <v>Human, deliberate</v>
      </c>
      <c r="D1442" s="147" t="str">
        <f>'Reported burning'!D1442</f>
        <v>Pasture renewal</v>
      </c>
      <c r="E1442" s="147" t="str">
        <f>'Reported burning'!E1442</f>
        <v>Mixed cropping-livestock small holder, Subsistence-oriented</v>
      </c>
      <c r="F1442" s="147" t="str">
        <f>'Reported burning'!F1442</f>
        <v>Shrubland (Mixed forest &amp; grassland)</v>
      </c>
      <c r="G1442" s="147" t="str">
        <f>'Reported burning'!G1442</f>
        <v>ND</v>
      </c>
      <c r="H1442" s="147" t="str">
        <f>'Reported burning'!H1442</f>
        <v>Presence</v>
      </c>
      <c r="I1442" s="3"/>
      <c r="J1442" s="3" t="s">
        <v>2272</v>
      </c>
      <c r="K1442" s="198" t="s">
        <v>2272</v>
      </c>
      <c r="L1442" s="3" t="s">
        <v>2272</v>
      </c>
      <c r="M1442" s="3" t="s">
        <v>2272</v>
      </c>
      <c r="N1442" s="3" t="s">
        <v>2272</v>
      </c>
      <c r="O1442" s="3" t="s">
        <v>2272</v>
      </c>
      <c r="P1442" s="3" t="s">
        <v>2272</v>
      </c>
      <c r="Q1442" s="3" t="s">
        <v>2272</v>
      </c>
      <c r="R1442" s="3" t="s">
        <v>2272</v>
      </c>
      <c r="S1442" s="3" t="s">
        <v>2272</v>
      </c>
      <c r="T1442" s="3" t="s">
        <v>2272</v>
      </c>
      <c r="U1442" s="3" t="s">
        <v>2272</v>
      </c>
      <c r="V1442" s="3" t="s">
        <v>2272</v>
      </c>
      <c r="W1442" s="3" t="s">
        <v>2272</v>
      </c>
      <c r="X1442" s="3" t="s">
        <v>2272</v>
      </c>
      <c r="Y1442" s="3" t="s">
        <v>2272</v>
      </c>
      <c r="Z1442" s="3" t="s">
        <v>2272</v>
      </c>
      <c r="AA1442" s="3" t="s">
        <v>2272</v>
      </c>
      <c r="AB1442" s="3" t="s">
        <v>4268</v>
      </c>
      <c r="AC1442" s="4" t="s">
        <v>4274</v>
      </c>
    </row>
    <row r="1443" spans="1:29" ht="54.5" customHeight="1">
      <c r="A1443" s="147" t="str">
        <f>'Reported burning'!A1443</f>
        <v>169c</v>
      </c>
      <c r="B1443" s="147" t="str">
        <f>'Reported burning'!B1443</f>
        <v>169c.2</v>
      </c>
      <c r="C1443" s="147" t="str">
        <f>'Reported burning'!C1443</f>
        <v>Human, escaped</v>
      </c>
      <c r="D1443" s="147" t="str">
        <f>'Reported burning'!D1443</f>
        <v>Pasture renewal</v>
      </c>
      <c r="E1443" s="147" t="str">
        <f>'Reported burning'!E1443</f>
        <v>Mixed cropping-livestock small holder, Subsistence-oriented</v>
      </c>
      <c r="F1443" s="147" t="str">
        <f>'Reported burning'!F1443</f>
        <v>Forest</v>
      </c>
      <c r="G1443" s="147" t="str">
        <f>'Reported burning'!G1443</f>
        <v>ND</v>
      </c>
      <c r="H1443" s="147" t="str">
        <f>'Reported burning'!H1443</f>
        <v>Presence</v>
      </c>
      <c r="I1443" s="3"/>
      <c r="J1443" s="3" t="s">
        <v>2272</v>
      </c>
      <c r="K1443" s="198" t="s">
        <v>2272</v>
      </c>
      <c r="L1443" s="3" t="s">
        <v>2272</v>
      </c>
      <c r="M1443" s="3" t="s">
        <v>2272</v>
      </c>
      <c r="N1443" s="3" t="s">
        <v>2272</v>
      </c>
      <c r="O1443" s="3" t="s">
        <v>2272</v>
      </c>
      <c r="P1443" s="3" t="s">
        <v>2272</v>
      </c>
      <c r="Q1443" s="3" t="s">
        <v>2272</v>
      </c>
      <c r="R1443" s="3" t="s">
        <v>2272</v>
      </c>
      <c r="S1443" s="3" t="s">
        <v>2272</v>
      </c>
      <c r="T1443" s="3" t="s">
        <v>2272</v>
      </c>
      <c r="U1443" s="3" t="s">
        <v>2272</v>
      </c>
      <c r="V1443" s="3" t="s">
        <v>2272</v>
      </c>
      <c r="W1443" s="3" t="s">
        <v>2272</v>
      </c>
      <c r="X1443" s="3" t="s">
        <v>2272</v>
      </c>
      <c r="Y1443" s="3" t="s">
        <v>2272</v>
      </c>
      <c r="Z1443" s="3" t="s">
        <v>2272</v>
      </c>
      <c r="AA1443" s="3" t="s">
        <v>2272</v>
      </c>
      <c r="AB1443" s="3" t="s">
        <v>2272</v>
      </c>
      <c r="AC1443" s="4" t="s">
        <v>4274</v>
      </c>
    </row>
    <row r="1444" spans="1:29" ht="54.5" customHeight="1">
      <c r="A1444" s="147" t="str">
        <f>'Reported burning'!A1444</f>
        <v>169c</v>
      </c>
      <c r="B1444" s="147" t="str">
        <f>'Reported burning'!B1444</f>
        <v>169c.3</v>
      </c>
      <c r="C1444" s="147" t="str">
        <f>'Reported burning'!C1444</f>
        <v>Human, deliberate</v>
      </c>
      <c r="D1444" s="147" t="str">
        <f>'Reported burning'!D1444</f>
        <v>Domestic</v>
      </c>
      <c r="E1444" s="147" t="str">
        <f>'Reported burning'!E1444</f>
        <v>All</v>
      </c>
      <c r="F1444" s="147" t="str">
        <f>'Reported burning'!F1444</f>
        <v>ND</v>
      </c>
      <c r="G1444" s="147" t="str">
        <f>'Reported burning'!G1444</f>
        <v>ND</v>
      </c>
      <c r="H1444" s="147" t="str">
        <f>'Reported burning'!H1444</f>
        <v>Presence</v>
      </c>
      <c r="I1444" s="3"/>
      <c r="J1444" s="3" t="s">
        <v>2272</v>
      </c>
      <c r="K1444" s="198" t="s">
        <v>2272</v>
      </c>
      <c r="L1444" s="3" t="s">
        <v>2272</v>
      </c>
      <c r="M1444" s="3" t="s">
        <v>2272</v>
      </c>
      <c r="N1444" s="3" t="s">
        <v>2272</v>
      </c>
      <c r="O1444" s="3" t="s">
        <v>2272</v>
      </c>
      <c r="P1444" s="3" t="s">
        <v>2272</v>
      </c>
      <c r="Q1444" s="3" t="s">
        <v>2272</v>
      </c>
      <c r="R1444" s="3" t="s">
        <v>2272</v>
      </c>
      <c r="S1444" s="3" t="s">
        <v>2272</v>
      </c>
      <c r="T1444" s="3" t="s">
        <v>2272</v>
      </c>
      <c r="U1444" s="3" t="s">
        <v>2272</v>
      </c>
      <c r="V1444" s="3" t="s">
        <v>2272</v>
      </c>
      <c r="W1444" s="3" t="s">
        <v>2272</v>
      </c>
      <c r="X1444" s="3" t="s">
        <v>2272</v>
      </c>
      <c r="Y1444" s="3" t="s">
        <v>2272</v>
      </c>
      <c r="Z1444" s="3" t="s">
        <v>2272</v>
      </c>
      <c r="AA1444" s="3" t="s">
        <v>2272</v>
      </c>
      <c r="AB1444" s="3" t="s">
        <v>4273</v>
      </c>
      <c r="AC1444" s="4" t="s">
        <v>4274</v>
      </c>
    </row>
    <row r="1445" spans="1:29" ht="54.5" customHeight="1">
      <c r="A1445" s="147" t="str">
        <f>'Reported burning'!A1445</f>
        <v>169c</v>
      </c>
      <c r="B1445" s="147" t="str">
        <f>'Reported burning'!B1445</f>
        <v>169c.4</v>
      </c>
      <c r="C1445" s="147" t="str">
        <f>'Reported burning'!C1445</f>
        <v>Human, escaped</v>
      </c>
      <c r="D1445" s="147" t="str">
        <f>'Reported burning'!D1445</f>
        <v>Domestic</v>
      </c>
      <c r="E1445" s="147" t="str">
        <f>'Reported burning'!E1445</f>
        <v>All</v>
      </c>
      <c r="F1445" s="147" t="str">
        <f>'Reported burning'!F1445</f>
        <v>ND</v>
      </c>
      <c r="G1445" s="147" t="str">
        <f>'Reported burning'!G1445</f>
        <v>ND</v>
      </c>
      <c r="H1445" s="147" t="str">
        <f>'Reported burning'!H1445</f>
        <v>Presence</v>
      </c>
      <c r="I1445" s="3"/>
      <c r="J1445" s="3" t="s">
        <v>2272</v>
      </c>
      <c r="K1445" s="198" t="s">
        <v>2272</v>
      </c>
      <c r="L1445" s="3" t="s">
        <v>2272</v>
      </c>
      <c r="M1445" s="3" t="s">
        <v>2272</v>
      </c>
      <c r="N1445" s="3" t="s">
        <v>2272</v>
      </c>
      <c r="O1445" s="3" t="s">
        <v>2272</v>
      </c>
      <c r="P1445" s="3" t="s">
        <v>2272</v>
      </c>
      <c r="Q1445" s="3" t="s">
        <v>2272</v>
      </c>
      <c r="R1445" s="3" t="s">
        <v>2272</v>
      </c>
      <c r="S1445" s="3" t="s">
        <v>2272</v>
      </c>
      <c r="T1445" s="3" t="s">
        <v>2272</v>
      </c>
      <c r="U1445" s="3" t="s">
        <v>2272</v>
      </c>
      <c r="V1445" s="3" t="s">
        <v>2272</v>
      </c>
      <c r="W1445" s="3" t="s">
        <v>2272</v>
      </c>
      <c r="X1445" s="3" t="s">
        <v>2272</v>
      </c>
      <c r="Y1445" s="3" t="s">
        <v>2272</v>
      </c>
      <c r="Z1445" s="3" t="s">
        <v>2272</v>
      </c>
      <c r="AA1445" s="3" t="s">
        <v>2272</v>
      </c>
      <c r="AB1445" s="3" t="s">
        <v>2272</v>
      </c>
      <c r="AC1445" s="4" t="s">
        <v>4274</v>
      </c>
    </row>
    <row r="1446" spans="1:29" ht="54.5" customHeight="1">
      <c r="A1446" s="147" t="str">
        <f>'Reported burning'!A1446</f>
        <v>169c</v>
      </c>
      <c r="B1446" s="147" t="str">
        <f>'Reported burning'!B1446</f>
        <v>169c.5</v>
      </c>
      <c r="C1446" s="147" t="str">
        <f>'Reported burning'!C1446</f>
        <v>Human, accidental</v>
      </c>
      <c r="D1446" s="147" t="str">
        <f>'Reported burning'!D1446</f>
        <v>Accidental</v>
      </c>
      <c r="E1446" s="147" t="str">
        <f>'Reported burning'!E1446</f>
        <v>All</v>
      </c>
      <c r="F1446" s="147" t="str">
        <f>'Reported burning'!F1446</f>
        <v>ND</v>
      </c>
      <c r="G1446" s="147" t="str">
        <f>'Reported burning'!G1446</f>
        <v>ND</v>
      </c>
      <c r="H1446" s="147" t="str">
        <f>'Reported burning'!H1446</f>
        <v>Presence</v>
      </c>
      <c r="I1446" s="3"/>
      <c r="J1446" s="3" t="s">
        <v>2272</v>
      </c>
      <c r="K1446" s="198" t="s">
        <v>2272</v>
      </c>
      <c r="L1446" s="3" t="s">
        <v>2272</v>
      </c>
      <c r="M1446" s="3" t="s">
        <v>2272</v>
      </c>
      <c r="N1446" s="3" t="s">
        <v>2272</v>
      </c>
      <c r="O1446" s="3" t="s">
        <v>2272</v>
      </c>
      <c r="P1446" s="3" t="s">
        <v>2272</v>
      </c>
      <c r="Q1446" s="3" t="s">
        <v>2272</v>
      </c>
      <c r="R1446" s="3" t="s">
        <v>2272</v>
      </c>
      <c r="S1446" s="3" t="s">
        <v>2272</v>
      </c>
      <c r="T1446" s="3" t="s">
        <v>2272</v>
      </c>
      <c r="U1446" s="3" t="s">
        <v>2272</v>
      </c>
      <c r="V1446" s="3" t="s">
        <v>2272</v>
      </c>
      <c r="W1446" s="3" t="s">
        <v>2272</v>
      </c>
      <c r="X1446" s="3" t="s">
        <v>2272</v>
      </c>
      <c r="Y1446" s="3" t="s">
        <v>2272</v>
      </c>
      <c r="Z1446" s="3" t="s">
        <v>2272</v>
      </c>
      <c r="AA1446" s="3" t="s">
        <v>2272</v>
      </c>
      <c r="AB1446" s="4" t="s">
        <v>4270</v>
      </c>
      <c r="AC1446" s="4" t="s">
        <v>4274</v>
      </c>
    </row>
    <row r="1447" spans="1:29" ht="54.5" customHeight="1">
      <c r="A1447" s="147" t="str">
        <f>'Reported burning'!A1447</f>
        <v>169c</v>
      </c>
      <c r="B1447" s="147" t="str">
        <f>'Reported burning'!B1447</f>
        <v>169c.6</v>
      </c>
      <c r="C1447" s="147" t="str">
        <f>'Reported burning'!C1447</f>
        <v>Human, accidental</v>
      </c>
      <c r="D1447" s="147" t="str">
        <f>'Reported burning'!D1447</f>
        <v>Accidental</v>
      </c>
      <c r="E1447" s="147" t="str">
        <f>'Reported burning'!E1447</f>
        <v>Tourism manager</v>
      </c>
      <c r="F1447" s="147" t="str">
        <f>'Reported burning'!F1447</f>
        <v>ND</v>
      </c>
      <c r="G1447" s="147" t="str">
        <f>'Reported burning'!G1447</f>
        <v>ND</v>
      </c>
      <c r="H1447" s="147" t="str">
        <f>'Reported burning'!H1447</f>
        <v>Presence</v>
      </c>
      <c r="I1447" s="3"/>
      <c r="J1447" s="3" t="s">
        <v>2272</v>
      </c>
      <c r="K1447" s="198" t="s">
        <v>2272</v>
      </c>
      <c r="L1447" s="3" t="s">
        <v>2272</v>
      </c>
      <c r="M1447" s="3" t="s">
        <v>2272</v>
      </c>
      <c r="N1447" s="3" t="s">
        <v>2272</v>
      </c>
      <c r="O1447" s="3" t="s">
        <v>2272</v>
      </c>
      <c r="P1447" s="3" t="s">
        <v>2272</v>
      </c>
      <c r="Q1447" s="3" t="s">
        <v>2272</v>
      </c>
      <c r="R1447" s="3" t="s">
        <v>2272</v>
      </c>
      <c r="S1447" s="3" t="s">
        <v>2272</v>
      </c>
      <c r="T1447" s="3" t="s">
        <v>2272</v>
      </c>
      <c r="U1447" s="3" t="s">
        <v>2272</v>
      </c>
      <c r="V1447" s="3" t="s">
        <v>2272</v>
      </c>
      <c r="W1447" s="3" t="s">
        <v>2272</v>
      </c>
      <c r="X1447" s="3" t="s">
        <v>2272</v>
      </c>
      <c r="Y1447" s="3" t="s">
        <v>2272</v>
      </c>
      <c r="Z1447" s="3" t="s">
        <v>2272</v>
      </c>
      <c r="AA1447" s="3" t="s">
        <v>2272</v>
      </c>
      <c r="AB1447" s="4" t="s">
        <v>4269</v>
      </c>
      <c r="AC1447" s="4" t="s">
        <v>4274</v>
      </c>
    </row>
    <row r="1448" spans="1:29" ht="54.5" customHeight="1">
      <c r="A1448" s="147" t="str">
        <f>'Reported burning'!A1448</f>
        <v>169c</v>
      </c>
      <c r="B1448" s="147" t="str">
        <f>'Reported burning'!B1448</f>
        <v>169c.7</v>
      </c>
      <c r="C1448" s="147" t="str">
        <f>'Reported burning'!C1448</f>
        <v>Human, deliberate</v>
      </c>
      <c r="D1448" s="147" t="str">
        <f>'Reported burning'!D1448</f>
        <v>Land clearance</v>
      </c>
      <c r="E1448" s="147" t="str">
        <f>'Reported burning'!E1448</f>
        <v>Mixed cropping-livestock small holder, Subsistence-oriented</v>
      </c>
      <c r="F1448" s="147" t="str">
        <f>'Reported burning'!F1448</f>
        <v>ND</v>
      </c>
      <c r="G1448" s="147" t="str">
        <f>'Reported burning'!G1448</f>
        <v>ND</v>
      </c>
      <c r="H1448" s="147" t="str">
        <f>'Reported burning'!H1448</f>
        <v>Presence</v>
      </c>
      <c r="I1448" s="3"/>
      <c r="J1448" s="3" t="s">
        <v>2272</v>
      </c>
      <c r="K1448" s="198" t="s">
        <v>2272</v>
      </c>
      <c r="L1448" s="3" t="s">
        <v>2272</v>
      </c>
      <c r="M1448" s="3" t="s">
        <v>2272</v>
      </c>
      <c r="N1448" s="3" t="s">
        <v>2272</v>
      </c>
      <c r="O1448" s="3" t="s">
        <v>2272</v>
      </c>
      <c r="P1448" s="3" t="s">
        <v>2272</v>
      </c>
      <c r="Q1448" s="3" t="s">
        <v>2272</v>
      </c>
      <c r="R1448" s="3" t="s">
        <v>2272</v>
      </c>
      <c r="S1448" s="3" t="s">
        <v>2272</v>
      </c>
      <c r="T1448" s="3" t="s">
        <v>2272</v>
      </c>
      <c r="U1448" s="3" t="s">
        <v>2272</v>
      </c>
      <c r="V1448" s="3" t="s">
        <v>2272</v>
      </c>
      <c r="W1448" s="3" t="s">
        <v>2272</v>
      </c>
      <c r="X1448" s="3" t="s">
        <v>2272</v>
      </c>
      <c r="Y1448" s="3" t="s">
        <v>2272</v>
      </c>
      <c r="Z1448" s="3" t="s">
        <v>2272</v>
      </c>
      <c r="AA1448" s="3" t="s">
        <v>2272</v>
      </c>
      <c r="AB1448" s="3" t="s">
        <v>4271</v>
      </c>
      <c r="AC1448" s="4" t="s">
        <v>4274</v>
      </c>
    </row>
    <row r="1449" spans="1:29" ht="54.5" customHeight="1">
      <c r="A1449" s="147" t="str">
        <f>'Reported burning'!A1449</f>
        <v>169c</v>
      </c>
      <c r="B1449" s="147" t="str">
        <f>'Reported burning'!B1449</f>
        <v>169c.8</v>
      </c>
      <c r="C1449" s="147" t="str">
        <f>'Reported burning'!C1449</f>
        <v>Human, deliberate</v>
      </c>
      <c r="D1449" s="147" t="str">
        <f>'Reported burning'!D1449</f>
        <v>Crop residue burning</v>
      </c>
      <c r="E1449" s="147" t="str">
        <f>'Reported burning'!E1449</f>
        <v>Mixed cropping-livestock small holder, Subsistence-oriented</v>
      </c>
      <c r="F1449" s="147" t="str">
        <f>'Reported burning'!F1449</f>
        <v>ND</v>
      </c>
      <c r="G1449" s="147" t="str">
        <f>'Reported burning'!G1449</f>
        <v>ND</v>
      </c>
      <c r="H1449" s="147" t="str">
        <f>'Reported burning'!H1449</f>
        <v>Presence</v>
      </c>
      <c r="I1449" s="3"/>
      <c r="J1449" s="3" t="s">
        <v>2272</v>
      </c>
      <c r="K1449" s="198" t="s">
        <v>2272</v>
      </c>
      <c r="L1449" s="3" t="s">
        <v>2272</v>
      </c>
      <c r="M1449" s="3" t="s">
        <v>2272</v>
      </c>
      <c r="N1449" s="3" t="s">
        <v>2272</v>
      </c>
      <c r="O1449" s="3" t="s">
        <v>2272</v>
      </c>
      <c r="P1449" s="3" t="s">
        <v>2272</v>
      </c>
      <c r="Q1449" s="3" t="s">
        <v>2272</v>
      </c>
      <c r="R1449" s="3" t="s">
        <v>2272</v>
      </c>
      <c r="S1449" s="3" t="s">
        <v>2272</v>
      </c>
      <c r="T1449" s="3" t="s">
        <v>2272</v>
      </c>
      <c r="U1449" s="3" t="s">
        <v>2272</v>
      </c>
      <c r="V1449" s="3" t="s">
        <v>2272</v>
      </c>
      <c r="W1449" s="3" t="s">
        <v>2272</v>
      </c>
      <c r="X1449" s="3" t="s">
        <v>2272</v>
      </c>
      <c r="Y1449" s="3" t="s">
        <v>2272</v>
      </c>
      <c r="Z1449" s="3" t="s">
        <v>2272</v>
      </c>
      <c r="AA1449" s="3" t="s">
        <v>2272</v>
      </c>
      <c r="AB1449" s="3" t="s">
        <v>4272</v>
      </c>
      <c r="AC1449" s="4" t="s">
        <v>4274</v>
      </c>
    </row>
    <row r="1450" spans="1:29" ht="54.5" customHeight="1">
      <c r="A1450" s="147" t="str">
        <f>'Reported burning'!A1450</f>
        <v>169c</v>
      </c>
      <c r="B1450" s="147" t="str">
        <f>'Reported burning'!B1450</f>
        <v>169c.9</v>
      </c>
      <c r="C1450" s="147" t="str">
        <f>'Reported burning'!C1450</f>
        <v>Human, deliberate</v>
      </c>
      <c r="D1450" s="147" t="str">
        <f>'Reported burning'!D1450</f>
        <v>Arson</v>
      </c>
      <c r="E1450" s="147" t="str">
        <f>'Reported burning'!E1450</f>
        <v>ND</v>
      </c>
      <c r="F1450" s="147" t="str">
        <f>'Reported burning'!F1450</f>
        <v>ND</v>
      </c>
      <c r="G1450" s="147" t="str">
        <f>'Reported burning'!G1450</f>
        <v>ND</v>
      </c>
      <c r="H1450" s="147" t="str">
        <f>'Reported burning'!H1450</f>
        <v>Presence</v>
      </c>
      <c r="I1450" s="3"/>
      <c r="J1450" s="3" t="s">
        <v>2272</v>
      </c>
      <c r="K1450" s="198" t="s">
        <v>2272</v>
      </c>
      <c r="L1450" s="3" t="s">
        <v>2272</v>
      </c>
      <c r="M1450" s="3" t="s">
        <v>2272</v>
      </c>
      <c r="N1450" s="3" t="s">
        <v>2272</v>
      </c>
      <c r="O1450" s="3" t="s">
        <v>2272</v>
      </c>
      <c r="P1450" s="3" t="s">
        <v>2272</v>
      </c>
      <c r="Q1450" s="3" t="s">
        <v>2272</v>
      </c>
      <c r="R1450" s="3" t="s">
        <v>2272</v>
      </c>
      <c r="S1450" s="3" t="s">
        <v>2272</v>
      </c>
      <c r="T1450" s="3" t="s">
        <v>2272</v>
      </c>
      <c r="U1450" s="3" t="s">
        <v>2272</v>
      </c>
      <c r="V1450" s="3" t="s">
        <v>2272</v>
      </c>
      <c r="W1450" s="3" t="s">
        <v>2272</v>
      </c>
      <c r="X1450" s="3" t="s">
        <v>2272</v>
      </c>
      <c r="Y1450" s="3" t="s">
        <v>2272</v>
      </c>
      <c r="Z1450" s="3" t="s">
        <v>2272</v>
      </c>
      <c r="AA1450" s="3" t="s">
        <v>2272</v>
      </c>
      <c r="AB1450" s="164" t="s">
        <v>4275</v>
      </c>
      <c r="AC1450" s="4" t="s">
        <v>4274</v>
      </c>
    </row>
    <row r="1451" spans="1:29" ht="54.5" customHeight="1">
      <c r="A1451" s="147" t="str">
        <f>'Reported burning'!A1451</f>
        <v>169a</v>
      </c>
      <c r="B1451" s="147" t="str">
        <f>'Reported burning'!B1451</f>
        <v>169a.10</v>
      </c>
      <c r="C1451" s="147" t="str">
        <f>'Reported burning'!C1451</f>
        <v>Human, deliberate</v>
      </c>
      <c r="D1451" s="147" t="str">
        <f>'Reported burning'!D1451</f>
        <v>ND</v>
      </c>
      <c r="E1451" s="147" t="str">
        <f>'Reported burning'!E1451</f>
        <v>ND</v>
      </c>
      <c r="F1451" s="147" t="str">
        <f>'Reported burning'!F1451</f>
        <v>ND</v>
      </c>
      <c r="G1451" s="147" t="str">
        <f>'Reported burning'!G1451</f>
        <v>Forest</v>
      </c>
      <c r="H1451" s="147" t="str">
        <f>'Reported burning'!H1451</f>
        <v>Presence</v>
      </c>
      <c r="I1451" s="3"/>
      <c r="J1451" s="198" t="s">
        <v>2368</v>
      </c>
      <c r="K1451" s="198" t="s">
        <v>2367</v>
      </c>
      <c r="L1451" s="3" t="s">
        <v>2272</v>
      </c>
      <c r="M1451" s="3" t="s">
        <v>2272</v>
      </c>
      <c r="N1451" s="3" t="s">
        <v>2272</v>
      </c>
      <c r="O1451" s="3" t="s">
        <v>2272</v>
      </c>
      <c r="P1451" s="3" t="s">
        <v>2272</v>
      </c>
      <c r="Q1451" s="3" t="s">
        <v>2272</v>
      </c>
      <c r="R1451" s="3" t="s">
        <v>2272</v>
      </c>
      <c r="S1451" s="3" t="s">
        <v>2272</v>
      </c>
      <c r="T1451" s="3" t="s">
        <v>2272</v>
      </c>
      <c r="U1451" s="3" t="s">
        <v>2272</v>
      </c>
      <c r="V1451" s="3" t="s">
        <v>2272</v>
      </c>
      <c r="W1451" s="3" t="s">
        <v>2272</v>
      </c>
      <c r="X1451" s="3" t="s">
        <v>2272</v>
      </c>
      <c r="Y1451" s="3" t="s">
        <v>2272</v>
      </c>
      <c r="Z1451" s="3" t="s">
        <v>2272</v>
      </c>
      <c r="AA1451" s="3" t="s">
        <v>2272</v>
      </c>
      <c r="AB1451" s="4" t="s">
        <v>4297</v>
      </c>
      <c r="AC1451" s="4" t="s">
        <v>4298</v>
      </c>
    </row>
    <row r="1452" spans="1:29" ht="54.5" customHeight="1">
      <c r="A1452" s="147" t="str">
        <f>'Reported burning'!A1452</f>
        <v>169a</v>
      </c>
      <c r="B1452" s="147" t="str">
        <f>'Reported burning'!B1452</f>
        <v>169a.11</v>
      </c>
      <c r="C1452" s="147" t="str">
        <f>'Reported burning'!C1452</f>
        <v>Lightning</v>
      </c>
      <c r="D1452" s="147" t="str">
        <f>'Reported burning'!D1452</f>
        <v>ND</v>
      </c>
      <c r="E1452" s="147" t="str">
        <f>'Reported burning'!E1452</f>
        <v>ND</v>
      </c>
      <c r="F1452" s="147" t="str">
        <f>'Reported burning'!F1452</f>
        <v>ND</v>
      </c>
      <c r="G1452" s="147" t="str">
        <f>'Reported burning'!G1452</f>
        <v>Forest</v>
      </c>
      <c r="H1452" s="147" t="str">
        <f>'Reported burning'!H1452</f>
        <v>Presence</v>
      </c>
      <c r="I1452" s="3"/>
      <c r="J1452" s="198" t="s">
        <v>2363</v>
      </c>
      <c r="K1452" s="198" t="s">
        <v>2361</v>
      </c>
      <c r="L1452" s="3" t="s">
        <v>2272</v>
      </c>
      <c r="M1452" s="3" t="s">
        <v>2272</v>
      </c>
      <c r="N1452" s="3" t="s">
        <v>2272</v>
      </c>
      <c r="O1452" s="3" t="s">
        <v>2272</v>
      </c>
      <c r="P1452" s="3" t="s">
        <v>2272</v>
      </c>
      <c r="Q1452" s="3" t="s">
        <v>2272</v>
      </c>
      <c r="R1452" s="3" t="s">
        <v>2272</v>
      </c>
      <c r="S1452" s="3" t="s">
        <v>2272</v>
      </c>
      <c r="T1452" s="3" t="s">
        <v>2272</v>
      </c>
      <c r="U1452" s="3" t="s">
        <v>2272</v>
      </c>
      <c r="V1452" s="3" t="s">
        <v>2272</v>
      </c>
      <c r="W1452" s="3" t="s">
        <v>2272</v>
      </c>
      <c r="X1452" s="3" t="s">
        <v>2272</v>
      </c>
      <c r="Y1452" s="3" t="s">
        <v>2272</v>
      </c>
      <c r="Z1452" s="3" t="s">
        <v>2272</v>
      </c>
      <c r="AA1452" s="3" t="s">
        <v>2272</v>
      </c>
      <c r="AB1452" s="4" t="s">
        <v>4297</v>
      </c>
      <c r="AC1452" s="4" t="s">
        <v>4298</v>
      </c>
    </row>
    <row r="1453" spans="1:29" ht="54.5" customHeight="1">
      <c r="A1453" s="147" t="str">
        <f>'Reported burning'!A1453</f>
        <v>169a</v>
      </c>
      <c r="B1453" s="147" t="str">
        <f>'Reported burning'!B1453</f>
        <v>169a.12</v>
      </c>
      <c r="C1453" s="147" t="str">
        <f>'Reported burning'!C1453</f>
        <v>Human, escaped</v>
      </c>
      <c r="D1453" s="147" t="str">
        <f>'Reported burning'!D1453</f>
        <v>ND</v>
      </c>
      <c r="E1453" s="147" t="str">
        <f>'Reported burning'!E1453</f>
        <v>ND</v>
      </c>
      <c r="F1453" s="147" t="str">
        <f>'Reported burning'!F1453</f>
        <v>ND</v>
      </c>
      <c r="G1453" s="147" t="str">
        <f>'Reported burning'!G1453</f>
        <v>Forest</v>
      </c>
      <c r="H1453" s="147" t="str">
        <f>'Reported burning'!H1453</f>
        <v>Presence</v>
      </c>
      <c r="I1453" s="3"/>
      <c r="J1453" s="198" t="s">
        <v>2368</v>
      </c>
      <c r="K1453" s="198" t="s">
        <v>2367</v>
      </c>
      <c r="L1453" s="3" t="s">
        <v>2272</v>
      </c>
      <c r="M1453" s="3" t="s">
        <v>2272</v>
      </c>
      <c r="N1453" s="3" t="s">
        <v>2272</v>
      </c>
      <c r="O1453" s="3" t="s">
        <v>2272</v>
      </c>
      <c r="P1453" s="3" t="s">
        <v>2272</v>
      </c>
      <c r="Q1453" s="3" t="s">
        <v>2272</v>
      </c>
      <c r="R1453" s="3" t="s">
        <v>2272</v>
      </c>
      <c r="S1453" s="3" t="s">
        <v>2272</v>
      </c>
      <c r="T1453" s="3" t="s">
        <v>2272</v>
      </c>
      <c r="U1453" s="3" t="s">
        <v>2272</v>
      </c>
      <c r="V1453" s="3" t="s">
        <v>2272</v>
      </c>
      <c r="W1453" s="3" t="s">
        <v>2272</v>
      </c>
      <c r="X1453" s="3" t="s">
        <v>2272</v>
      </c>
      <c r="Y1453" s="3" t="s">
        <v>2272</v>
      </c>
      <c r="Z1453" s="3" t="s">
        <v>2272</v>
      </c>
      <c r="AA1453" s="3" t="s">
        <v>2272</v>
      </c>
      <c r="AB1453" s="4" t="s">
        <v>4297</v>
      </c>
      <c r="AC1453" s="4" t="s">
        <v>4298</v>
      </c>
    </row>
    <row r="1454" spans="1:29" ht="54.5" customHeight="1">
      <c r="A1454" s="147" t="str">
        <f>'Reported burning'!A1454</f>
        <v>169a</v>
      </c>
      <c r="B1454" s="147" t="str">
        <f>'Reported burning'!B1454</f>
        <v>169a.13</v>
      </c>
      <c r="C1454" s="147" t="str">
        <f>'Reported burning'!C1454</f>
        <v>Human, accidental</v>
      </c>
      <c r="D1454" s="147" t="str">
        <f>'Reported burning'!D1454</f>
        <v>Accidental</v>
      </c>
      <c r="E1454" s="147" t="str">
        <f>'Reported burning'!E1454</f>
        <v>ND</v>
      </c>
      <c r="F1454" s="147" t="str">
        <f>'Reported burning'!F1454</f>
        <v>ND</v>
      </c>
      <c r="G1454" s="147" t="str">
        <f>'Reported burning'!G1454</f>
        <v>Forest</v>
      </c>
      <c r="H1454" s="147" t="str">
        <f>'Reported burning'!H1454</f>
        <v>Presence</v>
      </c>
      <c r="I1454" s="3"/>
      <c r="J1454" s="198" t="s">
        <v>2366</v>
      </c>
      <c r="K1454" s="198" t="s">
        <v>2365</v>
      </c>
      <c r="L1454" s="3" t="s">
        <v>2272</v>
      </c>
      <c r="M1454" s="3" t="s">
        <v>2272</v>
      </c>
      <c r="N1454" s="3" t="s">
        <v>2272</v>
      </c>
      <c r="O1454" s="3" t="s">
        <v>2272</v>
      </c>
      <c r="P1454" s="3" t="s">
        <v>2272</v>
      </c>
      <c r="Q1454" s="3" t="s">
        <v>2272</v>
      </c>
      <c r="R1454" s="3" t="s">
        <v>2272</v>
      </c>
      <c r="S1454" s="3" t="s">
        <v>2272</v>
      </c>
      <c r="T1454" s="3" t="s">
        <v>2272</v>
      </c>
      <c r="U1454" s="3" t="s">
        <v>2272</v>
      </c>
      <c r="V1454" s="3" t="s">
        <v>2272</v>
      </c>
      <c r="W1454" s="3" t="s">
        <v>2272</v>
      </c>
      <c r="X1454" s="3" t="s">
        <v>2272</v>
      </c>
      <c r="Y1454" s="3" t="s">
        <v>2272</v>
      </c>
      <c r="Z1454" s="3" t="s">
        <v>2272</v>
      </c>
      <c r="AA1454" s="3" t="s">
        <v>2272</v>
      </c>
      <c r="AB1454" s="4" t="s">
        <v>4297</v>
      </c>
      <c r="AC1454" s="4" t="s">
        <v>4298</v>
      </c>
    </row>
    <row r="1455" spans="1:29" ht="54.5" customHeight="1">
      <c r="A1455" s="147" t="str">
        <f>'Reported burning'!A1455</f>
        <v>169a</v>
      </c>
      <c r="B1455" s="147" t="str">
        <f>'Reported burning'!B1455</f>
        <v>169a.14</v>
      </c>
      <c r="C1455" s="147" t="str">
        <f>'Reported burning'!C1455</f>
        <v>All</v>
      </c>
      <c r="D1455" s="147" t="str">
        <f>'Reported burning'!D1455</f>
        <v>All</v>
      </c>
      <c r="E1455" s="147" t="str">
        <f>'Reported burning'!E1455</f>
        <v>ND</v>
      </c>
      <c r="F1455" s="147" t="str">
        <f>'Reported burning'!F1455</f>
        <v>ND</v>
      </c>
      <c r="G1455" s="147" t="str">
        <f>'Reported burning'!G1455</f>
        <v>Forest</v>
      </c>
      <c r="H1455" s="147" t="str">
        <f>'Reported burning'!H1455</f>
        <v>Presence</v>
      </c>
      <c r="I1455" s="3"/>
      <c r="J1455" s="3" t="s">
        <v>2272</v>
      </c>
      <c r="K1455" s="198"/>
      <c r="L1455" s="3" t="s">
        <v>2272</v>
      </c>
      <c r="M1455" s="3" t="s">
        <v>2272</v>
      </c>
      <c r="N1455" s="3" t="s">
        <v>2272</v>
      </c>
      <c r="O1455" s="3" t="s">
        <v>2272</v>
      </c>
      <c r="P1455" s="3" t="s">
        <v>2272</v>
      </c>
      <c r="Q1455" s="3" t="s">
        <v>2272</v>
      </c>
      <c r="R1455" s="3" t="s">
        <v>2272</v>
      </c>
      <c r="S1455" s="3" t="s">
        <v>2272</v>
      </c>
      <c r="T1455" s="3" t="s">
        <v>2272</v>
      </c>
      <c r="U1455" s="3" t="s">
        <v>2272</v>
      </c>
      <c r="V1455" s="3" t="s">
        <v>2272</v>
      </c>
      <c r="W1455" s="3"/>
      <c r="X1455" s="3" t="s">
        <v>2272</v>
      </c>
      <c r="Y1455" s="3" t="s">
        <v>2272</v>
      </c>
      <c r="Z1455" s="3" t="s">
        <v>2272</v>
      </c>
      <c r="AA1455" s="3" t="s">
        <v>2272</v>
      </c>
      <c r="AB1455" s="4" t="s">
        <v>4297</v>
      </c>
      <c r="AC1455" s="4"/>
    </row>
    <row r="1456" spans="1:29" ht="54.5" customHeight="1">
      <c r="A1456" s="147" t="str">
        <f>'Reported burning'!A1456</f>
        <v>169b</v>
      </c>
      <c r="B1456" s="147" t="str">
        <f>'Reported burning'!B1456</f>
        <v>169b.10</v>
      </c>
      <c r="C1456" s="147" t="str">
        <f>'Reported burning'!C1456</f>
        <v>Human, deliberate</v>
      </c>
      <c r="D1456" s="147" t="str">
        <f>'Reported burning'!D1456</f>
        <v>ND</v>
      </c>
      <c r="E1456" s="147" t="str">
        <f>'Reported burning'!E1456</f>
        <v>ND</v>
      </c>
      <c r="F1456" s="147" t="str">
        <f>'Reported burning'!F1456</f>
        <v>ND</v>
      </c>
      <c r="G1456" s="147" t="str">
        <f>'Reported burning'!G1456</f>
        <v>Forest</v>
      </c>
      <c r="H1456" s="147" t="str">
        <f>'Reported burning'!H1456</f>
        <v>Presence</v>
      </c>
      <c r="I1456" s="3"/>
      <c r="J1456" s="198" t="s">
        <v>2368</v>
      </c>
      <c r="K1456" s="198" t="s">
        <v>2367</v>
      </c>
      <c r="L1456" s="3" t="s">
        <v>2272</v>
      </c>
      <c r="M1456" s="3" t="s">
        <v>2272</v>
      </c>
      <c r="N1456" s="3" t="s">
        <v>2272</v>
      </c>
      <c r="O1456" s="3" t="s">
        <v>2272</v>
      </c>
      <c r="P1456" s="3" t="s">
        <v>2272</v>
      </c>
      <c r="Q1456" s="3" t="s">
        <v>2272</v>
      </c>
      <c r="R1456" s="3" t="s">
        <v>2272</v>
      </c>
      <c r="S1456" s="3" t="s">
        <v>2272</v>
      </c>
      <c r="T1456" s="3" t="s">
        <v>2272</v>
      </c>
      <c r="U1456" s="3" t="s">
        <v>2272</v>
      </c>
      <c r="V1456" s="3" t="s">
        <v>2272</v>
      </c>
      <c r="W1456" s="3" t="s">
        <v>2272</v>
      </c>
      <c r="X1456" s="3" t="s">
        <v>2272</v>
      </c>
      <c r="Y1456" s="3" t="s">
        <v>2272</v>
      </c>
      <c r="Z1456" s="3" t="s">
        <v>2272</v>
      </c>
      <c r="AA1456" s="3" t="s">
        <v>2272</v>
      </c>
      <c r="AB1456" s="4" t="s">
        <v>4297</v>
      </c>
      <c r="AC1456" s="4" t="s">
        <v>4298</v>
      </c>
    </row>
    <row r="1457" spans="1:29" ht="54.5" customHeight="1">
      <c r="A1457" s="147" t="str">
        <f>'Reported burning'!A1457</f>
        <v>169b</v>
      </c>
      <c r="B1457" s="147" t="str">
        <f>'Reported burning'!B1457</f>
        <v>169b.11</v>
      </c>
      <c r="C1457" s="147" t="str">
        <f>'Reported burning'!C1457</f>
        <v>Lightning</v>
      </c>
      <c r="D1457" s="147" t="str">
        <f>'Reported burning'!D1457</f>
        <v>ND</v>
      </c>
      <c r="E1457" s="147" t="str">
        <f>'Reported burning'!E1457</f>
        <v>ND</v>
      </c>
      <c r="F1457" s="147" t="str">
        <f>'Reported burning'!F1457</f>
        <v>ND</v>
      </c>
      <c r="G1457" s="147" t="str">
        <f>'Reported burning'!G1457</f>
        <v>Forest</v>
      </c>
      <c r="H1457" s="147" t="str">
        <f>'Reported burning'!H1457</f>
        <v>Presence</v>
      </c>
      <c r="I1457" s="3"/>
      <c r="J1457" s="198" t="s">
        <v>2363</v>
      </c>
      <c r="K1457" s="198" t="s">
        <v>2361</v>
      </c>
      <c r="L1457" s="3" t="s">
        <v>2272</v>
      </c>
      <c r="M1457" s="3" t="s">
        <v>2272</v>
      </c>
      <c r="N1457" s="3" t="s">
        <v>2272</v>
      </c>
      <c r="O1457" s="3" t="s">
        <v>2272</v>
      </c>
      <c r="P1457" s="3" t="s">
        <v>2272</v>
      </c>
      <c r="Q1457" s="3" t="s">
        <v>2272</v>
      </c>
      <c r="R1457" s="3" t="s">
        <v>2272</v>
      </c>
      <c r="S1457" s="3" t="s">
        <v>2272</v>
      </c>
      <c r="T1457" s="3" t="s">
        <v>2272</v>
      </c>
      <c r="U1457" s="3" t="s">
        <v>2272</v>
      </c>
      <c r="V1457" s="3" t="s">
        <v>2272</v>
      </c>
      <c r="W1457" s="3" t="s">
        <v>2272</v>
      </c>
      <c r="X1457" s="3" t="s">
        <v>2272</v>
      </c>
      <c r="Y1457" s="3" t="s">
        <v>2272</v>
      </c>
      <c r="Z1457" s="3" t="s">
        <v>2272</v>
      </c>
      <c r="AA1457" s="3" t="s">
        <v>2272</v>
      </c>
      <c r="AB1457" s="4" t="s">
        <v>4297</v>
      </c>
      <c r="AC1457" s="4" t="s">
        <v>4298</v>
      </c>
    </row>
    <row r="1458" spans="1:29" ht="54.5" customHeight="1">
      <c r="A1458" s="147" t="str">
        <f>'Reported burning'!A1458</f>
        <v>169b</v>
      </c>
      <c r="B1458" s="147" t="str">
        <f>'Reported burning'!B1458</f>
        <v>169b.12</v>
      </c>
      <c r="C1458" s="147" t="str">
        <f>'Reported burning'!C1458</f>
        <v>Human, escaped</v>
      </c>
      <c r="D1458" s="147" t="str">
        <f>'Reported burning'!D1458</f>
        <v>ND</v>
      </c>
      <c r="E1458" s="147" t="str">
        <f>'Reported burning'!E1458</f>
        <v>ND</v>
      </c>
      <c r="F1458" s="147" t="str">
        <f>'Reported burning'!F1458</f>
        <v>ND</v>
      </c>
      <c r="G1458" s="147" t="str">
        <f>'Reported burning'!G1458</f>
        <v>Forest</v>
      </c>
      <c r="H1458" s="147" t="str">
        <f>'Reported burning'!H1458</f>
        <v>Presence</v>
      </c>
      <c r="I1458" s="3"/>
      <c r="J1458" s="198" t="s">
        <v>2368</v>
      </c>
      <c r="K1458" s="198" t="s">
        <v>2367</v>
      </c>
      <c r="L1458" s="3" t="s">
        <v>2272</v>
      </c>
      <c r="M1458" s="3" t="s">
        <v>2272</v>
      </c>
      <c r="N1458" s="3" t="s">
        <v>2272</v>
      </c>
      <c r="O1458" s="3" t="s">
        <v>2272</v>
      </c>
      <c r="P1458" s="3" t="s">
        <v>2272</v>
      </c>
      <c r="Q1458" s="3" t="s">
        <v>2272</v>
      </c>
      <c r="R1458" s="3" t="s">
        <v>2272</v>
      </c>
      <c r="S1458" s="3" t="s">
        <v>2272</v>
      </c>
      <c r="T1458" s="3" t="s">
        <v>2272</v>
      </c>
      <c r="U1458" s="3" t="s">
        <v>2272</v>
      </c>
      <c r="V1458" s="3" t="s">
        <v>2272</v>
      </c>
      <c r="W1458" s="3" t="s">
        <v>2272</v>
      </c>
      <c r="X1458" s="3" t="s">
        <v>2272</v>
      </c>
      <c r="Y1458" s="3" t="s">
        <v>2272</v>
      </c>
      <c r="Z1458" s="3" t="s">
        <v>2272</v>
      </c>
      <c r="AA1458" s="3" t="s">
        <v>2272</v>
      </c>
      <c r="AB1458" s="4" t="s">
        <v>4297</v>
      </c>
      <c r="AC1458" s="4" t="s">
        <v>4298</v>
      </c>
    </row>
    <row r="1459" spans="1:29" ht="54.5" customHeight="1">
      <c r="A1459" s="147" t="str">
        <f>'Reported burning'!A1459</f>
        <v>169b</v>
      </c>
      <c r="B1459" s="147" t="str">
        <f>'Reported burning'!B1459</f>
        <v>169b.13</v>
      </c>
      <c r="C1459" s="147" t="str">
        <f>'Reported burning'!C1459</f>
        <v>Human, accidental</v>
      </c>
      <c r="D1459" s="147" t="str">
        <f>'Reported burning'!D1459</f>
        <v>Accidental</v>
      </c>
      <c r="E1459" s="147" t="str">
        <f>'Reported burning'!E1459</f>
        <v>ND</v>
      </c>
      <c r="F1459" s="147" t="str">
        <f>'Reported burning'!F1459</f>
        <v>ND</v>
      </c>
      <c r="G1459" s="147" t="str">
        <f>'Reported burning'!G1459</f>
        <v>Forest</v>
      </c>
      <c r="H1459" s="147" t="str">
        <f>'Reported burning'!H1459</f>
        <v>Presence</v>
      </c>
      <c r="I1459" s="3"/>
      <c r="J1459" s="198" t="s">
        <v>2366</v>
      </c>
      <c r="K1459" s="198" t="s">
        <v>2364</v>
      </c>
      <c r="L1459" s="3" t="s">
        <v>2272</v>
      </c>
      <c r="M1459" s="3" t="s">
        <v>2272</v>
      </c>
      <c r="N1459" s="3" t="s">
        <v>2272</v>
      </c>
      <c r="O1459" s="3" t="s">
        <v>2272</v>
      </c>
      <c r="P1459" s="3" t="s">
        <v>2272</v>
      </c>
      <c r="Q1459" s="3" t="s">
        <v>2272</v>
      </c>
      <c r="R1459" s="3" t="s">
        <v>2272</v>
      </c>
      <c r="S1459" s="3" t="s">
        <v>2272</v>
      </c>
      <c r="T1459" s="3" t="s">
        <v>2272</v>
      </c>
      <c r="U1459" s="3" t="s">
        <v>2272</v>
      </c>
      <c r="V1459" s="3" t="s">
        <v>2272</v>
      </c>
      <c r="W1459" s="3" t="s">
        <v>2272</v>
      </c>
      <c r="X1459" s="3" t="s">
        <v>2272</v>
      </c>
      <c r="Y1459" s="3" t="s">
        <v>2272</v>
      </c>
      <c r="Z1459" s="3" t="s">
        <v>2272</v>
      </c>
      <c r="AA1459" s="3" t="s">
        <v>2272</v>
      </c>
      <c r="AB1459" s="4" t="s">
        <v>4297</v>
      </c>
      <c r="AC1459" s="4" t="s">
        <v>4298</v>
      </c>
    </row>
    <row r="1460" spans="1:29" ht="54.5" customHeight="1">
      <c r="A1460" s="147" t="str">
        <f>'Reported burning'!A1460</f>
        <v>169b</v>
      </c>
      <c r="B1460" s="147" t="str">
        <f>'Reported burning'!B1460</f>
        <v>169b.14</v>
      </c>
      <c r="C1460" s="147" t="str">
        <f>'Reported burning'!C1460</f>
        <v>All</v>
      </c>
      <c r="D1460" s="147" t="str">
        <f>'Reported burning'!D1460</f>
        <v>All</v>
      </c>
      <c r="E1460" s="147" t="str">
        <f>'Reported burning'!E1460</f>
        <v>ND</v>
      </c>
      <c r="F1460" s="147" t="str">
        <f>'Reported burning'!F1460</f>
        <v>ND</v>
      </c>
      <c r="G1460" s="147" t="str">
        <f>'Reported burning'!G1460</f>
        <v>Forest</v>
      </c>
      <c r="H1460" s="147" t="str">
        <f>'Reported burning'!H1460</f>
        <v>Presence</v>
      </c>
      <c r="I1460" s="3"/>
      <c r="J1460" s="3" t="s">
        <v>2272</v>
      </c>
      <c r="K1460" s="198"/>
      <c r="L1460" s="3" t="s">
        <v>2272</v>
      </c>
      <c r="M1460" s="3" t="s">
        <v>2272</v>
      </c>
      <c r="N1460" s="3" t="s">
        <v>2272</v>
      </c>
      <c r="O1460" s="3" t="s">
        <v>2272</v>
      </c>
      <c r="P1460" s="3" t="s">
        <v>2272</v>
      </c>
      <c r="Q1460" s="3" t="s">
        <v>2272</v>
      </c>
      <c r="R1460" s="3" t="s">
        <v>2272</v>
      </c>
      <c r="S1460" s="3" t="s">
        <v>2272</v>
      </c>
      <c r="T1460" s="3" t="s">
        <v>2272</v>
      </c>
      <c r="U1460" s="3" t="s">
        <v>2272</v>
      </c>
      <c r="V1460" s="3" t="s">
        <v>2272</v>
      </c>
      <c r="W1460" s="3" t="s">
        <v>2272</v>
      </c>
      <c r="X1460" s="3" t="s">
        <v>2272</v>
      </c>
      <c r="Y1460" s="3" t="s">
        <v>2272</v>
      </c>
      <c r="Z1460" s="3" t="s">
        <v>2272</v>
      </c>
      <c r="AA1460" s="3" t="s">
        <v>2272</v>
      </c>
      <c r="AB1460" s="4" t="s">
        <v>4297</v>
      </c>
      <c r="AC1460" s="4"/>
    </row>
    <row r="1461" spans="1:29" ht="54.5" customHeight="1">
      <c r="A1461" s="147" t="str">
        <f>'Reported burning'!A1461</f>
        <v>169c</v>
      </c>
      <c r="B1461" s="147" t="str">
        <f>'Reported burning'!B1461</f>
        <v>169c.10</v>
      </c>
      <c r="C1461" s="147" t="str">
        <f>'Reported burning'!C1461</f>
        <v>Human, deliberate</v>
      </c>
      <c r="D1461" s="147" t="str">
        <f>'Reported burning'!D1461</f>
        <v>ND</v>
      </c>
      <c r="E1461" s="147" t="str">
        <f>'Reported burning'!E1461</f>
        <v>ND</v>
      </c>
      <c r="F1461" s="147" t="str">
        <f>'Reported burning'!F1461</f>
        <v>ND</v>
      </c>
      <c r="G1461" s="147" t="str">
        <f>'Reported burning'!G1461</f>
        <v>Forest</v>
      </c>
      <c r="H1461" s="147" t="str">
        <f>'Reported burning'!H1461</f>
        <v>Presence</v>
      </c>
      <c r="I1461" s="3"/>
      <c r="J1461" s="198" t="s">
        <v>2368</v>
      </c>
      <c r="K1461" s="198" t="s">
        <v>2367</v>
      </c>
      <c r="L1461" s="3" t="s">
        <v>2272</v>
      </c>
      <c r="M1461" s="3" t="s">
        <v>2272</v>
      </c>
      <c r="N1461" s="3" t="s">
        <v>2272</v>
      </c>
      <c r="O1461" s="3" t="s">
        <v>2272</v>
      </c>
      <c r="P1461" s="3" t="s">
        <v>2272</v>
      </c>
      <c r="Q1461" s="3" t="s">
        <v>2272</v>
      </c>
      <c r="R1461" s="3" t="s">
        <v>2272</v>
      </c>
      <c r="S1461" s="3" t="s">
        <v>2272</v>
      </c>
      <c r="T1461" s="3" t="s">
        <v>2272</v>
      </c>
      <c r="U1461" s="3" t="s">
        <v>2272</v>
      </c>
      <c r="V1461" s="3" t="s">
        <v>2272</v>
      </c>
      <c r="W1461" s="3" t="s">
        <v>2272</v>
      </c>
      <c r="X1461" s="3" t="s">
        <v>2272</v>
      </c>
      <c r="Y1461" s="3" t="s">
        <v>2272</v>
      </c>
      <c r="Z1461" s="3" t="s">
        <v>2272</v>
      </c>
      <c r="AA1461" s="3" t="s">
        <v>2272</v>
      </c>
      <c r="AB1461" s="4" t="s">
        <v>4297</v>
      </c>
      <c r="AC1461" s="4" t="s">
        <v>4298</v>
      </c>
    </row>
    <row r="1462" spans="1:29" ht="54.5" customHeight="1">
      <c r="A1462" s="147" t="str">
        <f>'Reported burning'!A1462</f>
        <v>169c</v>
      </c>
      <c r="B1462" s="147" t="str">
        <f>'Reported burning'!B1462</f>
        <v>169c.11</v>
      </c>
      <c r="C1462" s="147" t="str">
        <f>'Reported burning'!C1462</f>
        <v>Lightning</v>
      </c>
      <c r="D1462" s="147" t="str">
        <f>'Reported burning'!D1462</f>
        <v>ND</v>
      </c>
      <c r="E1462" s="147" t="str">
        <f>'Reported burning'!E1462</f>
        <v>ND</v>
      </c>
      <c r="F1462" s="147" t="str">
        <f>'Reported burning'!F1462</f>
        <v>ND</v>
      </c>
      <c r="G1462" s="147" t="str">
        <f>'Reported burning'!G1462</f>
        <v>Forest</v>
      </c>
      <c r="H1462" s="147" t="str">
        <f>'Reported burning'!H1462</f>
        <v>Presence</v>
      </c>
      <c r="I1462" s="3"/>
      <c r="J1462" s="198" t="s">
        <v>2363</v>
      </c>
      <c r="K1462" s="198" t="s">
        <v>2362</v>
      </c>
      <c r="L1462" s="3" t="s">
        <v>2272</v>
      </c>
      <c r="M1462" s="3" t="s">
        <v>2272</v>
      </c>
      <c r="N1462" s="3" t="s">
        <v>2272</v>
      </c>
      <c r="O1462" s="3" t="s">
        <v>2272</v>
      </c>
      <c r="P1462" s="3" t="s">
        <v>2272</v>
      </c>
      <c r="Q1462" s="3" t="s">
        <v>2272</v>
      </c>
      <c r="R1462" s="3" t="s">
        <v>2272</v>
      </c>
      <c r="S1462" s="3" t="s">
        <v>2272</v>
      </c>
      <c r="T1462" s="3" t="s">
        <v>2272</v>
      </c>
      <c r="U1462" s="3" t="s">
        <v>2272</v>
      </c>
      <c r="V1462" s="3" t="s">
        <v>2272</v>
      </c>
      <c r="W1462" s="3" t="s">
        <v>2272</v>
      </c>
      <c r="X1462" s="3" t="s">
        <v>2272</v>
      </c>
      <c r="Y1462" s="3" t="s">
        <v>2272</v>
      </c>
      <c r="Z1462" s="3" t="s">
        <v>2272</v>
      </c>
      <c r="AA1462" s="3" t="s">
        <v>2272</v>
      </c>
      <c r="AB1462" s="4" t="s">
        <v>4297</v>
      </c>
      <c r="AC1462" s="4" t="s">
        <v>4298</v>
      </c>
    </row>
    <row r="1463" spans="1:29" ht="54.5" customHeight="1">
      <c r="A1463" s="147" t="str">
        <f>'Reported burning'!A1463</f>
        <v>169c</v>
      </c>
      <c r="B1463" s="147" t="str">
        <f>'Reported burning'!B1463</f>
        <v>169c.12</v>
      </c>
      <c r="C1463" s="147" t="str">
        <f>'Reported burning'!C1463</f>
        <v>Human, escaped</v>
      </c>
      <c r="D1463" s="147" t="str">
        <f>'Reported burning'!D1463</f>
        <v>ND</v>
      </c>
      <c r="E1463" s="147" t="str">
        <f>'Reported burning'!E1463</f>
        <v>ND</v>
      </c>
      <c r="F1463" s="147" t="str">
        <f>'Reported burning'!F1463</f>
        <v>ND</v>
      </c>
      <c r="G1463" s="147" t="str">
        <f>'Reported burning'!G1463</f>
        <v>Forest</v>
      </c>
      <c r="H1463" s="147" t="str">
        <f>'Reported burning'!H1463</f>
        <v>Presence</v>
      </c>
      <c r="I1463" s="3"/>
      <c r="J1463" s="198" t="s">
        <v>2367</v>
      </c>
      <c r="K1463" s="198" t="s">
        <v>2367</v>
      </c>
      <c r="L1463" s="3" t="s">
        <v>2272</v>
      </c>
      <c r="M1463" s="3" t="s">
        <v>2272</v>
      </c>
      <c r="N1463" s="3" t="s">
        <v>2272</v>
      </c>
      <c r="O1463" s="3" t="s">
        <v>2272</v>
      </c>
      <c r="P1463" s="3" t="s">
        <v>2272</v>
      </c>
      <c r="Q1463" s="3" t="s">
        <v>2272</v>
      </c>
      <c r="R1463" s="3" t="s">
        <v>2272</v>
      </c>
      <c r="S1463" s="3" t="s">
        <v>2272</v>
      </c>
      <c r="T1463" s="3" t="s">
        <v>2272</v>
      </c>
      <c r="U1463" s="3" t="s">
        <v>2272</v>
      </c>
      <c r="V1463" s="3" t="s">
        <v>2272</v>
      </c>
      <c r="W1463" s="3" t="s">
        <v>2272</v>
      </c>
      <c r="X1463" s="3" t="s">
        <v>2272</v>
      </c>
      <c r="Y1463" s="3" t="s">
        <v>2272</v>
      </c>
      <c r="Z1463" s="3" t="s">
        <v>2272</v>
      </c>
      <c r="AA1463" s="3" t="s">
        <v>2272</v>
      </c>
      <c r="AB1463" s="4" t="s">
        <v>4297</v>
      </c>
      <c r="AC1463" s="4" t="s">
        <v>4298</v>
      </c>
    </row>
    <row r="1464" spans="1:29" ht="54.5" customHeight="1">
      <c r="A1464" s="147" t="str">
        <f>'Reported burning'!A1464</f>
        <v>169c</v>
      </c>
      <c r="B1464" s="147" t="str">
        <f>'Reported burning'!B1464</f>
        <v>169c.13</v>
      </c>
      <c r="C1464" s="147" t="str">
        <f>'Reported burning'!C1464</f>
        <v>Human, accidental</v>
      </c>
      <c r="D1464" s="147" t="str">
        <f>'Reported burning'!D1464</f>
        <v>Accidental</v>
      </c>
      <c r="E1464" s="147" t="str">
        <f>'Reported burning'!E1464</f>
        <v>ND</v>
      </c>
      <c r="F1464" s="147" t="str">
        <f>'Reported burning'!F1464</f>
        <v>ND</v>
      </c>
      <c r="G1464" s="147" t="str">
        <f>'Reported burning'!G1464</f>
        <v>Forest</v>
      </c>
      <c r="H1464" s="147" t="str">
        <f>'Reported burning'!H1464</f>
        <v>Presence</v>
      </c>
      <c r="I1464" s="3"/>
      <c r="J1464" s="198" t="s">
        <v>2365</v>
      </c>
      <c r="K1464" s="198" t="s">
        <v>2364</v>
      </c>
      <c r="L1464" s="3" t="s">
        <v>2272</v>
      </c>
      <c r="M1464" s="3" t="s">
        <v>2272</v>
      </c>
      <c r="N1464" s="3" t="s">
        <v>2272</v>
      </c>
      <c r="O1464" s="3" t="s">
        <v>2272</v>
      </c>
      <c r="P1464" s="3" t="s">
        <v>2272</v>
      </c>
      <c r="Q1464" s="3" t="s">
        <v>2272</v>
      </c>
      <c r="R1464" s="3" t="s">
        <v>2272</v>
      </c>
      <c r="S1464" s="3" t="s">
        <v>2272</v>
      </c>
      <c r="T1464" s="3" t="s">
        <v>2272</v>
      </c>
      <c r="U1464" s="3" t="s">
        <v>2272</v>
      </c>
      <c r="V1464" s="3" t="s">
        <v>2272</v>
      </c>
      <c r="W1464" s="3" t="s">
        <v>2272</v>
      </c>
      <c r="X1464" s="3" t="s">
        <v>2272</v>
      </c>
      <c r="Y1464" s="3" t="s">
        <v>2272</v>
      </c>
      <c r="Z1464" s="3" t="s">
        <v>2272</v>
      </c>
      <c r="AA1464" s="3" t="s">
        <v>2272</v>
      </c>
      <c r="AB1464" s="4" t="s">
        <v>4297</v>
      </c>
      <c r="AC1464" s="4" t="s">
        <v>4298</v>
      </c>
    </row>
    <row r="1465" spans="1:29" ht="54.5" customHeight="1">
      <c r="A1465" s="147" t="str">
        <f>'Reported burning'!A1465</f>
        <v>169c</v>
      </c>
      <c r="B1465" s="147" t="str">
        <f>'Reported burning'!B1465</f>
        <v>169c.14</v>
      </c>
      <c r="C1465" s="147" t="str">
        <f>'Reported burning'!C1465</f>
        <v>All</v>
      </c>
      <c r="D1465" s="147" t="str">
        <f>'Reported burning'!D1465</f>
        <v>All</v>
      </c>
      <c r="E1465" s="147" t="str">
        <f>'Reported burning'!E1465</f>
        <v>ND</v>
      </c>
      <c r="F1465" s="147" t="str">
        <f>'Reported burning'!F1465</f>
        <v>ND</v>
      </c>
      <c r="G1465" s="147" t="str">
        <f>'Reported burning'!G1465</f>
        <v>Forest</v>
      </c>
      <c r="H1465" s="147" t="str">
        <f>'Reported burning'!H1465</f>
        <v>Presence</v>
      </c>
      <c r="I1465" s="5"/>
      <c r="J1465" s="3" t="s">
        <v>2272</v>
      </c>
      <c r="K1465" s="198" t="s">
        <v>2272</v>
      </c>
      <c r="L1465" s="3" t="s">
        <v>2272</v>
      </c>
      <c r="M1465" s="3" t="s">
        <v>2272</v>
      </c>
      <c r="N1465" s="3" t="s">
        <v>2272</v>
      </c>
      <c r="O1465" s="3" t="s">
        <v>2272</v>
      </c>
      <c r="P1465" s="3" t="s">
        <v>2272</v>
      </c>
      <c r="Q1465" s="3" t="s">
        <v>2272</v>
      </c>
      <c r="R1465" s="3" t="s">
        <v>2272</v>
      </c>
      <c r="S1465" s="3" t="s">
        <v>2272</v>
      </c>
      <c r="T1465" s="3" t="s">
        <v>2272</v>
      </c>
      <c r="U1465" s="3" t="s">
        <v>2272</v>
      </c>
      <c r="V1465" s="3" t="s">
        <v>2272</v>
      </c>
      <c r="W1465" s="3" t="s">
        <v>2272</v>
      </c>
      <c r="X1465" s="3" t="s">
        <v>2272</v>
      </c>
      <c r="Y1465" s="3" t="s">
        <v>2272</v>
      </c>
      <c r="Z1465" s="3" t="s">
        <v>2272</v>
      </c>
      <c r="AA1465" s="3" t="s">
        <v>2272</v>
      </c>
      <c r="AB1465" s="4"/>
      <c r="AC1465" s="4"/>
    </row>
    <row r="1466" spans="1:29" ht="44.5" customHeight="1">
      <c r="A1466" s="151" t="str">
        <f>'Reported burning'!A1466</f>
        <v>171a</v>
      </c>
      <c r="B1466" s="151" t="str">
        <f>'Reported burning'!B1466</f>
        <v>171a.1</v>
      </c>
      <c r="C1466" s="151" t="str">
        <f>'Reported burning'!C1466</f>
        <v>Human, deliberate</v>
      </c>
      <c r="D1466" s="151" t="str">
        <f>'Reported burning'!D1466</f>
        <v>Crop field preparation</v>
      </c>
      <c r="E1466" s="151" t="str">
        <f>'Reported burning'!E1466</f>
        <v>Cropping, Swidden</v>
      </c>
      <c r="F1466" s="151" t="str">
        <f>'Reported burning'!F1466</f>
        <v>ND</v>
      </c>
      <c r="G1466" s="151" t="str">
        <f>'Reported burning'!G1466</f>
        <v>ND</v>
      </c>
      <c r="H1466" s="151" t="str">
        <f>'Reported burning'!H1466</f>
        <v>Presence</v>
      </c>
      <c r="I1466" s="5"/>
      <c r="J1466" s="22" t="s">
        <v>2272</v>
      </c>
      <c r="K1466" s="22" t="s">
        <v>2272</v>
      </c>
      <c r="L1466" s="22" t="s">
        <v>2272</v>
      </c>
      <c r="M1466" s="22" t="s">
        <v>2272</v>
      </c>
      <c r="N1466" s="22" t="s">
        <v>2272</v>
      </c>
      <c r="O1466" s="22" t="s">
        <v>2272</v>
      </c>
      <c r="P1466" s="22" t="s">
        <v>2272</v>
      </c>
      <c r="Q1466" s="22" t="s">
        <v>2272</v>
      </c>
      <c r="R1466" s="22" t="s">
        <v>2272</v>
      </c>
      <c r="S1466" s="22" t="s">
        <v>2272</v>
      </c>
      <c r="T1466" s="22" t="s">
        <v>2272</v>
      </c>
      <c r="U1466" s="22" t="s">
        <v>2272</v>
      </c>
      <c r="V1466" s="22" t="s">
        <v>2272</v>
      </c>
      <c r="W1466" s="22" t="s">
        <v>2272</v>
      </c>
      <c r="X1466" s="22" t="s">
        <v>2272</v>
      </c>
      <c r="Y1466" s="22" t="s">
        <v>2272</v>
      </c>
      <c r="Z1466" s="22" t="s">
        <v>2272</v>
      </c>
      <c r="AA1466" s="22" t="s">
        <v>2272</v>
      </c>
      <c r="AB1466" s="3"/>
      <c r="AC1466" s="3"/>
    </row>
    <row r="1467" spans="1:29" ht="44.5" customHeight="1">
      <c r="A1467" s="147" t="str">
        <f>'Reported burning'!A1467</f>
        <v>171a</v>
      </c>
      <c r="B1467" s="147" t="str">
        <f>'Reported burning'!B1467</f>
        <v>171a.2</v>
      </c>
      <c r="C1467" s="147" t="str">
        <f>'Reported burning'!C1467</f>
        <v>Human, deliberate</v>
      </c>
      <c r="D1467" s="147" t="str">
        <f>'Reported burning'!D1467</f>
        <v>Pasture renewal</v>
      </c>
      <c r="E1467" s="147" t="str">
        <f>'Reported burning'!E1467</f>
        <v>Pastoralism, Migratory</v>
      </c>
      <c r="F1467" s="147" t="str">
        <f>'Reported burning'!F1467</f>
        <v>ND</v>
      </c>
      <c r="G1467" s="147" t="str">
        <f>'Reported burning'!G1467</f>
        <v>ND</v>
      </c>
      <c r="H1467" s="147" t="str">
        <f>'Reported burning'!H1467</f>
        <v>Presence</v>
      </c>
      <c r="I1467" s="3"/>
      <c r="J1467" s="22" t="s">
        <v>2272</v>
      </c>
      <c r="K1467" s="22" t="s">
        <v>2272</v>
      </c>
      <c r="L1467" s="22" t="s">
        <v>2272</v>
      </c>
      <c r="M1467" s="22" t="s">
        <v>2272</v>
      </c>
      <c r="N1467" s="22" t="s">
        <v>2272</v>
      </c>
      <c r="O1467" s="22" t="s">
        <v>2272</v>
      </c>
      <c r="P1467" s="22" t="s">
        <v>2272</v>
      </c>
      <c r="Q1467" s="22" t="s">
        <v>2272</v>
      </c>
      <c r="R1467" s="22" t="s">
        <v>2272</v>
      </c>
      <c r="S1467" s="22" t="s">
        <v>2272</v>
      </c>
      <c r="T1467" s="22" t="s">
        <v>2272</v>
      </c>
      <c r="U1467" s="22" t="s">
        <v>2272</v>
      </c>
      <c r="V1467" s="22" t="s">
        <v>2272</v>
      </c>
      <c r="W1467" s="22" t="s">
        <v>2272</v>
      </c>
      <c r="X1467" s="22" t="s">
        <v>2272</v>
      </c>
      <c r="Y1467" s="22" t="s">
        <v>2272</v>
      </c>
      <c r="Z1467" s="22" t="s">
        <v>2272</v>
      </c>
      <c r="AA1467" s="22" t="s">
        <v>2272</v>
      </c>
      <c r="AB1467" s="3"/>
      <c r="AC1467" s="3"/>
    </row>
    <row r="1468" spans="1:29" ht="44.5" customHeight="1">
      <c r="A1468" s="147" t="str">
        <f>'Reported burning'!A1468</f>
        <v>171a</v>
      </c>
      <c r="B1468" s="147" t="str">
        <f>'Reported burning'!B1468</f>
        <v>171a.3</v>
      </c>
      <c r="C1468" s="147" t="str">
        <f>'Reported burning'!C1468</f>
        <v>Human, deliberate</v>
      </c>
      <c r="D1468" s="147" t="str">
        <f>'Reported burning'!D1468</f>
        <v>Pasture renewal</v>
      </c>
      <c r="E1468" s="147" t="str">
        <f>'Reported burning'!E1468</f>
        <v>Cattle, Extensive</v>
      </c>
      <c r="F1468" s="147" t="str">
        <f>'Reported burning'!F1468</f>
        <v>ND</v>
      </c>
      <c r="G1468" s="147" t="str">
        <f>'Reported burning'!G1468</f>
        <v>ND</v>
      </c>
      <c r="H1468" s="147" t="str">
        <f>'Reported burning'!H1468</f>
        <v>Presence</v>
      </c>
      <c r="I1468" s="3"/>
      <c r="J1468" s="22" t="s">
        <v>2272</v>
      </c>
      <c r="K1468" s="22" t="s">
        <v>2272</v>
      </c>
      <c r="L1468" s="22" t="s">
        <v>2272</v>
      </c>
      <c r="M1468" s="22" t="s">
        <v>2272</v>
      </c>
      <c r="N1468" s="22" t="s">
        <v>2272</v>
      </c>
      <c r="O1468" s="22" t="s">
        <v>2272</v>
      </c>
      <c r="P1468" s="22" t="s">
        <v>2272</v>
      </c>
      <c r="Q1468" s="22" t="s">
        <v>2272</v>
      </c>
      <c r="R1468" s="22" t="s">
        <v>2272</v>
      </c>
      <c r="S1468" s="22" t="s">
        <v>2272</v>
      </c>
      <c r="T1468" s="22" t="s">
        <v>2272</v>
      </c>
      <c r="U1468" s="22" t="s">
        <v>2272</v>
      </c>
      <c r="V1468" s="22" t="s">
        <v>2272</v>
      </c>
      <c r="W1468" s="22" t="s">
        <v>2272</v>
      </c>
      <c r="X1468" s="22" t="s">
        <v>2272</v>
      </c>
      <c r="Y1468" s="22" t="s">
        <v>2272</v>
      </c>
      <c r="Z1468" s="22" t="s">
        <v>2272</v>
      </c>
      <c r="AA1468" s="22" t="s">
        <v>2272</v>
      </c>
      <c r="AB1468" s="3"/>
      <c r="AC1468" s="3"/>
    </row>
    <row r="1469" spans="1:29" ht="44.5" customHeight="1">
      <c r="A1469" s="147" t="str">
        <f>'Reported burning'!A1469</f>
        <v>171b</v>
      </c>
      <c r="B1469" s="147" t="str">
        <f>'Reported burning'!B1469</f>
        <v>171b.1</v>
      </c>
      <c r="C1469" s="147" t="str">
        <f>'Reported burning'!C1469</f>
        <v>Human, deliberate</v>
      </c>
      <c r="D1469" s="147" t="str">
        <f>'Reported burning'!D1469</f>
        <v>Pyrome management</v>
      </c>
      <c r="E1469" s="147" t="str">
        <f>'Reported burning'!E1469</f>
        <v>Biodiversity conservation</v>
      </c>
      <c r="F1469" s="147" t="str">
        <f>'Reported burning'!F1469</f>
        <v>Forest</v>
      </c>
      <c r="G1469" s="147" t="str">
        <f>'Reported burning'!G1469</f>
        <v>ND</v>
      </c>
      <c r="H1469" s="147"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2" t="s">
        <v>2272</v>
      </c>
      <c r="Y1469" s="22" t="s">
        <v>2272</v>
      </c>
      <c r="Z1469" s="22" t="s">
        <v>2272</v>
      </c>
      <c r="AA1469" s="22" t="s">
        <v>2272</v>
      </c>
      <c r="AB1469" s="3" t="s">
        <v>4370</v>
      </c>
      <c r="AC1469" s="3"/>
    </row>
    <row r="1470" spans="1:29" ht="44.5" customHeight="1">
      <c r="A1470" s="147" t="str">
        <f>'Reported burning'!A1470</f>
        <v>171b</v>
      </c>
      <c r="B1470" s="147" t="str">
        <f>'Reported burning'!B1470</f>
        <v>171b.2</v>
      </c>
      <c r="C1470" s="147" t="str">
        <f>'Reported burning'!C1470</f>
        <v>Human, deliberate</v>
      </c>
      <c r="D1470" s="147" t="str">
        <f>'Reported burning'!D1470</f>
        <v>Pasture renewal</v>
      </c>
      <c r="E1470" s="147" t="str">
        <f>'Reported burning'!E1470</f>
        <v>Cattle, Extensive</v>
      </c>
      <c r="F1470" s="147" t="str">
        <f>'Reported burning'!F1470</f>
        <v>Forest</v>
      </c>
      <c r="G1470" s="147" t="str">
        <f>'Reported burning'!G1470</f>
        <v>ND</v>
      </c>
      <c r="H1470" s="147" t="str">
        <f>'Reported burning'!H1470</f>
        <v>Presence</v>
      </c>
      <c r="I1470" s="3"/>
      <c r="J1470" s="22" t="s">
        <v>2272</v>
      </c>
      <c r="K1470" s="22" t="s">
        <v>2272</v>
      </c>
      <c r="L1470" s="22" t="s">
        <v>2272</v>
      </c>
      <c r="M1470" s="22" t="s">
        <v>2272</v>
      </c>
      <c r="N1470" s="22" t="s">
        <v>2272</v>
      </c>
      <c r="O1470" s="22" t="s">
        <v>2272</v>
      </c>
      <c r="P1470" s="22" t="s">
        <v>2272</v>
      </c>
      <c r="Q1470" s="22" t="s">
        <v>2272</v>
      </c>
      <c r="R1470" s="22" t="s">
        <v>2272</v>
      </c>
      <c r="S1470" s="22" t="s">
        <v>2272</v>
      </c>
      <c r="T1470" s="22" t="s">
        <v>2272</v>
      </c>
      <c r="U1470" s="22" t="s">
        <v>2272</v>
      </c>
      <c r="V1470" s="22" t="s">
        <v>2272</v>
      </c>
      <c r="W1470" s="22" t="s">
        <v>2272</v>
      </c>
      <c r="X1470" s="22" t="s">
        <v>2272</v>
      </c>
      <c r="Y1470" s="22" t="s">
        <v>2272</v>
      </c>
      <c r="Z1470" s="22" t="s">
        <v>2272</v>
      </c>
      <c r="AA1470" s="22" t="s">
        <v>2272</v>
      </c>
      <c r="AB1470" s="3" t="s">
        <v>4365</v>
      </c>
      <c r="AC1470" s="3"/>
    </row>
    <row r="1471" spans="1:29" ht="44.5" customHeight="1">
      <c r="A1471" s="147" t="str">
        <f>'Reported burning'!A1471</f>
        <v>171b</v>
      </c>
      <c r="B1471" s="147" t="str">
        <f>'Reported burning'!B1471</f>
        <v>171b.3</v>
      </c>
      <c r="C1471" s="147" t="str">
        <f>'Reported burning'!C1471</f>
        <v>Human, deliberate</v>
      </c>
      <c r="D1471" s="147" t="str">
        <f>'Reported burning'!D1471</f>
        <v>Pasture renewal</v>
      </c>
      <c r="E1471" s="147" t="str">
        <f>'Reported burning'!E1471</f>
        <v>Cattle, Extensive</v>
      </c>
      <c r="F1471" s="147" t="str">
        <f>'Reported burning'!F1471</f>
        <v>Grassland</v>
      </c>
      <c r="G1471" s="147" t="str">
        <f>'Reported burning'!G1471</f>
        <v>ND</v>
      </c>
      <c r="H1471" s="147" t="str">
        <f>'Reported burning'!H1471</f>
        <v>Presence</v>
      </c>
      <c r="I1471" s="3"/>
      <c r="J1471" s="22" t="s">
        <v>2272</v>
      </c>
      <c r="K1471" s="22" t="s">
        <v>2272</v>
      </c>
      <c r="L1471" s="22" t="s">
        <v>2272</v>
      </c>
      <c r="M1471" s="22" t="s">
        <v>2272</v>
      </c>
      <c r="N1471" s="22" t="s">
        <v>2272</v>
      </c>
      <c r="O1471" s="22" t="s">
        <v>2272</v>
      </c>
      <c r="P1471" s="22" t="s">
        <v>2272</v>
      </c>
      <c r="Q1471" s="22" t="s">
        <v>2272</v>
      </c>
      <c r="R1471" s="22" t="s">
        <v>2272</v>
      </c>
      <c r="S1471" s="22" t="s">
        <v>2272</v>
      </c>
      <c r="T1471" s="22" t="s">
        <v>2272</v>
      </c>
      <c r="U1471" s="22" t="s">
        <v>2272</v>
      </c>
      <c r="V1471" s="22" t="s">
        <v>2272</v>
      </c>
      <c r="W1471" s="22" t="s">
        <v>2272</v>
      </c>
      <c r="X1471" s="22" t="s">
        <v>2272</v>
      </c>
      <c r="Y1471" s="22" t="s">
        <v>2272</v>
      </c>
      <c r="Z1471" s="22" t="s">
        <v>2272</v>
      </c>
      <c r="AA1471" s="22" t="s">
        <v>2272</v>
      </c>
      <c r="AB1471" s="3"/>
      <c r="AC1471" s="3"/>
    </row>
    <row r="1472" spans="1:29" ht="44.5" customHeight="1">
      <c r="A1472" s="147" t="str">
        <f>'Reported burning'!A1472</f>
        <v>171b</v>
      </c>
      <c r="B1472" s="147" t="str">
        <f>'Reported burning'!B1472</f>
        <v>171b.4</v>
      </c>
      <c r="C1472" s="147" t="str">
        <f>'Reported burning'!C1472</f>
        <v>Human, deliberate</v>
      </c>
      <c r="D1472" s="147" t="str">
        <f>'Reported burning'!D1472</f>
        <v>Arson</v>
      </c>
      <c r="E1472" s="147" t="str">
        <f>'Reported burning'!E1472</f>
        <v>Cattle, Extensive</v>
      </c>
      <c r="F1472" s="147" t="str">
        <f>'Reported burning'!F1472</f>
        <v>ND</v>
      </c>
      <c r="G1472" s="147" t="str">
        <f>'Reported burning'!G1472</f>
        <v>ND</v>
      </c>
      <c r="H1472" s="147" t="str">
        <f>'Reported burning'!H1472</f>
        <v>Presence</v>
      </c>
      <c r="I1472" s="3"/>
      <c r="J1472" s="22" t="s">
        <v>2272</v>
      </c>
      <c r="K1472" s="22" t="s">
        <v>2272</v>
      </c>
      <c r="L1472" s="22" t="s">
        <v>2272</v>
      </c>
      <c r="M1472" s="22" t="s">
        <v>2272</v>
      </c>
      <c r="N1472" s="22" t="s">
        <v>2272</v>
      </c>
      <c r="O1472" s="22" t="s">
        <v>2272</v>
      </c>
      <c r="P1472" s="22" t="s">
        <v>2272</v>
      </c>
      <c r="Q1472" s="22" t="s">
        <v>2272</v>
      </c>
      <c r="R1472" s="22" t="s">
        <v>2272</v>
      </c>
      <c r="S1472" s="22" t="s">
        <v>2272</v>
      </c>
      <c r="T1472" s="22" t="s">
        <v>2272</v>
      </c>
      <c r="U1472" s="22" t="s">
        <v>2272</v>
      </c>
      <c r="V1472" s="22" t="s">
        <v>2272</v>
      </c>
      <c r="W1472" s="22" t="s">
        <v>2272</v>
      </c>
      <c r="X1472" s="22" t="s">
        <v>2272</v>
      </c>
      <c r="Y1472" s="22" t="s">
        <v>2272</v>
      </c>
      <c r="Z1472" s="22" t="s">
        <v>2272</v>
      </c>
      <c r="AA1472" s="22" t="s">
        <v>2272</v>
      </c>
      <c r="AB1472" s="3"/>
      <c r="AC1472" s="3"/>
    </row>
    <row r="1473" spans="1:29" ht="44.5" customHeight="1">
      <c r="A1473" s="147" t="str">
        <f>'Reported burning'!A1473</f>
        <v>171b</v>
      </c>
      <c r="B1473" s="147" t="str">
        <f>'Reported burning'!B1473</f>
        <v>171b.5</v>
      </c>
      <c r="C1473" s="147" t="str">
        <f>'Reported burning'!C1473</f>
        <v>Lightning</v>
      </c>
      <c r="D1473" s="147" t="str">
        <f>'Reported burning'!D1473</f>
        <v>ND</v>
      </c>
      <c r="E1473" s="147" t="str">
        <f>'Reported burning'!E1473</f>
        <v>ND</v>
      </c>
      <c r="F1473" s="147" t="str">
        <f>'Reported burning'!F1473</f>
        <v>ND</v>
      </c>
      <c r="G1473" s="147" t="str">
        <f>'Reported burning'!G1473</f>
        <v>ND</v>
      </c>
      <c r="H1473" s="147" t="str">
        <f>'Reported burning'!H1473</f>
        <v>Presence</v>
      </c>
      <c r="I1473" s="3"/>
      <c r="J1473" s="22" t="s">
        <v>2272</v>
      </c>
      <c r="K1473" s="22" t="s">
        <v>2272</v>
      </c>
      <c r="L1473" s="22" t="s">
        <v>2272</v>
      </c>
      <c r="M1473" s="22" t="s">
        <v>2272</v>
      </c>
      <c r="N1473" s="22" t="s">
        <v>2272</v>
      </c>
      <c r="O1473" s="22" t="s">
        <v>2272</v>
      </c>
      <c r="P1473" s="22" t="s">
        <v>2272</v>
      </c>
      <c r="Q1473" s="22" t="s">
        <v>2272</v>
      </c>
      <c r="R1473" s="22" t="s">
        <v>2272</v>
      </c>
      <c r="S1473" s="22" t="s">
        <v>2272</v>
      </c>
      <c r="T1473" s="22" t="s">
        <v>2272</v>
      </c>
      <c r="U1473" s="22" t="s">
        <v>2272</v>
      </c>
      <c r="V1473" s="22" t="s">
        <v>2272</v>
      </c>
      <c r="W1473" s="22" t="s">
        <v>2272</v>
      </c>
      <c r="X1473" s="22" t="s">
        <v>2272</v>
      </c>
      <c r="Y1473" s="22" t="s">
        <v>2272</v>
      </c>
      <c r="Z1473" s="22" t="s">
        <v>2272</v>
      </c>
      <c r="AA1473" s="22" t="s">
        <v>2272</v>
      </c>
      <c r="AB1473" s="3"/>
      <c r="AC1473" s="3"/>
    </row>
    <row r="1474" spans="1:29" ht="66.5" customHeight="1">
      <c r="A1474" s="147" t="str">
        <f>'Reported burning'!A1474</f>
        <v>171b</v>
      </c>
      <c r="B1474" s="147" t="str">
        <f>'Reported burning'!B1474</f>
        <v>171b.6</v>
      </c>
      <c r="C1474" s="147" t="str">
        <f>'Reported burning'!C1474</f>
        <v>Unknown</v>
      </c>
      <c r="D1474" s="147" t="str">
        <f>'Reported burning'!D1474</f>
        <v>ND</v>
      </c>
      <c r="E1474" s="147" t="str">
        <f>'Reported burning'!E1474</f>
        <v>ND</v>
      </c>
      <c r="F1474" s="147" t="str">
        <f>'Reported burning'!F1474</f>
        <v>ND</v>
      </c>
      <c r="G1474" s="147" t="str">
        <f>'Reported burning'!G1474</f>
        <v>Forest</v>
      </c>
      <c r="H1474" s="147" t="str">
        <f>'Reported burning'!H1474</f>
        <v>Presence</v>
      </c>
      <c r="I1474" s="3"/>
      <c r="J1474" s="22" t="s">
        <v>2272</v>
      </c>
      <c r="K1474" s="22" t="s">
        <v>2272</v>
      </c>
      <c r="L1474" s="22" t="s">
        <v>2272</v>
      </c>
      <c r="M1474" s="22" t="s">
        <v>2272</v>
      </c>
      <c r="N1474" s="22" t="s">
        <v>2272</v>
      </c>
      <c r="O1474" s="22" t="s">
        <v>2272</v>
      </c>
      <c r="P1474" s="22" t="s">
        <v>2272</v>
      </c>
      <c r="Q1474" s="22" t="s">
        <v>2272</v>
      </c>
      <c r="R1474" s="22" t="s">
        <v>2272</v>
      </c>
      <c r="S1474" s="22" t="s">
        <v>2272</v>
      </c>
      <c r="T1474" s="22" t="s">
        <v>2272</v>
      </c>
      <c r="U1474" s="22" t="s">
        <v>2272</v>
      </c>
      <c r="V1474" s="22" t="s">
        <v>2272</v>
      </c>
      <c r="W1474" s="22" t="s">
        <v>2272</v>
      </c>
      <c r="X1474" s="22" t="s">
        <v>2272</v>
      </c>
      <c r="Y1474" s="22" t="s">
        <v>2272</v>
      </c>
      <c r="Z1474" s="22" t="s">
        <v>2272</v>
      </c>
      <c r="AA1474" s="22" t="s">
        <v>2272</v>
      </c>
      <c r="AB1474" s="3"/>
      <c r="AC1474" s="3"/>
    </row>
    <row r="1475" spans="1:29" ht="43.5">
      <c r="A1475" s="147" t="str">
        <f>'Reported burning'!A1475</f>
        <v>171b</v>
      </c>
      <c r="B1475" s="147" t="str">
        <f>'Reported burning'!B1475</f>
        <v>171b.7</v>
      </c>
      <c r="C1475" s="147" t="str">
        <f>'Reported burning'!C1475</f>
        <v>Human, escaped</v>
      </c>
      <c r="D1475" s="147" t="str">
        <f>'Reported burning'!D1475</f>
        <v>Pasture renewal</v>
      </c>
      <c r="E1475" s="147" t="str">
        <f>'Reported burning'!E1475</f>
        <v>Cropping, Intensive</v>
      </c>
      <c r="F1475" s="147" t="str">
        <f>'Reported burning'!F1475</f>
        <v>ND</v>
      </c>
      <c r="G1475" s="147" t="str">
        <f>'Reported burning'!G1475</f>
        <v>Forest</v>
      </c>
      <c r="H1475" s="147" t="str">
        <f>'Reported burning'!H1475</f>
        <v>Presence</v>
      </c>
      <c r="I1475" s="3"/>
      <c r="J1475" s="22" t="s">
        <v>2272</v>
      </c>
      <c r="K1475" s="22" t="s">
        <v>2272</v>
      </c>
      <c r="L1475" s="22" t="s">
        <v>2272</v>
      </c>
      <c r="M1475" s="22" t="s">
        <v>2272</v>
      </c>
      <c r="N1475" s="22" t="s">
        <v>2272</v>
      </c>
      <c r="O1475" s="22" t="s">
        <v>2272</v>
      </c>
      <c r="P1475" s="22" t="s">
        <v>2272</v>
      </c>
      <c r="Q1475" s="22" t="s">
        <v>2272</v>
      </c>
      <c r="R1475" s="22" t="s">
        <v>2272</v>
      </c>
      <c r="S1475" s="22" t="s">
        <v>2272</v>
      </c>
      <c r="T1475" s="22" t="s">
        <v>2272</v>
      </c>
      <c r="U1475" s="22" t="s">
        <v>2272</v>
      </c>
      <c r="V1475" s="22" t="s">
        <v>2272</v>
      </c>
      <c r="W1475" s="22" t="s">
        <v>2272</v>
      </c>
      <c r="X1475" s="22" t="s">
        <v>2272</v>
      </c>
      <c r="Y1475" s="22" t="s">
        <v>2272</v>
      </c>
      <c r="Z1475" s="22" t="s">
        <v>2272</v>
      </c>
      <c r="AA1475" s="22" t="s">
        <v>2272</v>
      </c>
      <c r="AB1475" s="4" t="s">
        <v>4369</v>
      </c>
      <c r="AC1475" s="3"/>
    </row>
    <row r="1476" spans="1:29" ht="47.5" customHeight="1">
      <c r="A1476" s="147" t="str">
        <f>'Reported burning'!A1476</f>
        <v>172a</v>
      </c>
      <c r="B1476" s="147" t="str">
        <f>'Reported burning'!B1476</f>
        <v>172a.1</v>
      </c>
      <c r="C1476" s="147" t="str">
        <f>'Reported burning'!C1476</f>
        <v>Human, deliberate</v>
      </c>
      <c r="D1476" s="147" t="str">
        <f>'Reported burning'!D1476</f>
        <v>Crop field preparation</v>
      </c>
      <c r="E1476" s="147" t="str">
        <f>'Reported burning'!E1476</f>
        <v>Cropping, Swidden</v>
      </c>
      <c r="F1476" s="147" t="str">
        <f>'Reported burning'!F1476</f>
        <v>ND</v>
      </c>
      <c r="G1476" s="147" t="str">
        <f>'Reported burning'!G1476</f>
        <v>Forest</v>
      </c>
      <c r="H1476" s="147" t="str">
        <f>'Reported burning'!H1476</f>
        <v>Presence</v>
      </c>
      <c r="I1476" s="3"/>
      <c r="J1476" s="22" t="s">
        <v>2272</v>
      </c>
      <c r="K1476" s="22" t="s">
        <v>2272</v>
      </c>
      <c r="L1476" s="22" t="s">
        <v>2272</v>
      </c>
      <c r="M1476" s="22" t="s">
        <v>2272</v>
      </c>
      <c r="N1476" s="22" t="s">
        <v>2272</v>
      </c>
      <c r="O1476" s="22" t="s">
        <v>2272</v>
      </c>
      <c r="P1476" s="22" t="s">
        <v>2272</v>
      </c>
      <c r="Q1476" s="22" t="s">
        <v>2272</v>
      </c>
      <c r="R1476" s="22" t="s">
        <v>2272</v>
      </c>
      <c r="S1476" s="22" t="s">
        <v>2272</v>
      </c>
      <c r="T1476" s="22" t="s">
        <v>2272</v>
      </c>
      <c r="U1476" s="22" t="s">
        <v>2272</v>
      </c>
      <c r="V1476" s="22" t="s">
        <v>2272</v>
      </c>
      <c r="W1476" s="22" t="s">
        <v>2272</v>
      </c>
      <c r="X1476" s="3" t="s">
        <v>2272</v>
      </c>
      <c r="Y1476" s="3" t="s">
        <v>397</v>
      </c>
      <c r="Z1476" s="3" t="s">
        <v>37</v>
      </c>
      <c r="AA1476" s="3" t="s">
        <v>2650</v>
      </c>
      <c r="AB1476" s="3"/>
      <c r="AC1476" s="3"/>
    </row>
    <row r="1477" spans="1:29" ht="47.5" customHeight="1">
      <c r="A1477" s="147" t="str">
        <f>'Reported burning'!A1477</f>
        <v>172a</v>
      </c>
      <c r="B1477" s="147" t="str">
        <f>'Reported burning'!B1477</f>
        <v>172a.2</v>
      </c>
      <c r="C1477" s="147" t="str">
        <f>'Reported burning'!C1477</f>
        <v>Human, deliberate</v>
      </c>
      <c r="D1477" s="147" t="str">
        <f>'Reported burning'!D1477</f>
        <v>Crop field preparation</v>
      </c>
      <c r="E1477" s="147" t="str">
        <f>'Reported burning'!E1477</f>
        <v>Cropping, Swidden</v>
      </c>
      <c r="F1477" s="147" t="str">
        <f>'Reported burning'!F1477</f>
        <v>ND</v>
      </c>
      <c r="G1477" s="147" t="str">
        <f>'Reported burning'!G1477</f>
        <v>Secondary Vegetation</v>
      </c>
      <c r="H1477" s="147" t="str">
        <f>'Reported burning'!H1477</f>
        <v>Presence</v>
      </c>
      <c r="I1477" s="3"/>
      <c r="J1477" s="22" t="s">
        <v>2272</v>
      </c>
      <c r="K1477" s="22" t="s">
        <v>2272</v>
      </c>
      <c r="L1477" s="22" t="s">
        <v>2272</v>
      </c>
      <c r="M1477" s="22" t="s">
        <v>2272</v>
      </c>
      <c r="N1477" s="22" t="s">
        <v>2272</v>
      </c>
      <c r="O1477" s="22" t="s">
        <v>2272</v>
      </c>
      <c r="P1477" s="22" t="s">
        <v>2272</v>
      </c>
      <c r="Q1477" s="22" t="s">
        <v>2272</v>
      </c>
      <c r="R1477" s="22" t="s">
        <v>2272</v>
      </c>
      <c r="S1477" s="22" t="s">
        <v>2272</v>
      </c>
      <c r="T1477" s="22" t="s">
        <v>2272</v>
      </c>
      <c r="U1477" s="22" t="s">
        <v>2272</v>
      </c>
      <c r="V1477" s="22" t="s">
        <v>2272</v>
      </c>
      <c r="W1477" s="22" t="s">
        <v>2272</v>
      </c>
      <c r="X1477" s="3" t="s">
        <v>2398</v>
      </c>
      <c r="Y1477" s="3" t="s">
        <v>397</v>
      </c>
      <c r="Z1477" s="3" t="s">
        <v>37</v>
      </c>
      <c r="AA1477" s="3" t="s">
        <v>2650</v>
      </c>
      <c r="AB1477" s="3"/>
      <c r="AC1477" s="3"/>
    </row>
    <row r="1478" spans="1:29" ht="47.5" customHeight="1">
      <c r="A1478" s="147" t="str">
        <f>'Reported burning'!A1478</f>
        <v>172b</v>
      </c>
      <c r="B1478" s="147" t="str">
        <f>'Reported burning'!B1478</f>
        <v>172b.1</v>
      </c>
      <c r="C1478" s="147" t="str">
        <f>'Reported burning'!C1478</f>
        <v>Human, deliberate</v>
      </c>
      <c r="D1478" s="147" t="str">
        <f>'Reported burning'!D1478</f>
        <v>Land clearance</v>
      </c>
      <c r="E1478" s="147" t="str">
        <f>'Reported burning'!E1478</f>
        <v>Cropping, Monoculture, Subsistence-oriented</v>
      </c>
      <c r="F1478" s="147" t="str">
        <f>'Reported burning'!F1478</f>
        <v>ND</v>
      </c>
      <c r="G1478" s="147" t="str">
        <f>'Reported burning'!G1478</f>
        <v>Forest</v>
      </c>
      <c r="H1478" s="147" t="str">
        <f>'Reported burning'!H1478</f>
        <v>Presence</v>
      </c>
      <c r="I1478" s="3"/>
      <c r="J1478" s="22" t="s">
        <v>2272</v>
      </c>
      <c r="K1478" s="22" t="s">
        <v>2272</v>
      </c>
      <c r="L1478" s="22" t="s">
        <v>2272</v>
      </c>
      <c r="M1478" s="22" t="s">
        <v>2272</v>
      </c>
      <c r="N1478" s="22" t="s">
        <v>2272</v>
      </c>
      <c r="O1478" s="22" t="s">
        <v>2272</v>
      </c>
      <c r="P1478" s="22" t="s">
        <v>2272</v>
      </c>
      <c r="Q1478" s="22" t="s">
        <v>2272</v>
      </c>
      <c r="R1478" s="22" t="s">
        <v>2272</v>
      </c>
      <c r="S1478" s="22" t="s">
        <v>2272</v>
      </c>
      <c r="T1478" s="22" t="s">
        <v>2272</v>
      </c>
      <c r="U1478" s="22" t="s">
        <v>2272</v>
      </c>
      <c r="V1478" s="22" t="s">
        <v>2272</v>
      </c>
      <c r="W1478" s="22" t="s">
        <v>2272</v>
      </c>
      <c r="X1478" s="22" t="s">
        <v>2272</v>
      </c>
      <c r="Y1478" s="22" t="s">
        <v>2272</v>
      </c>
      <c r="Z1478" s="22" t="s">
        <v>2272</v>
      </c>
      <c r="AA1478" s="22" t="s">
        <v>2272</v>
      </c>
      <c r="AB1478" s="4" t="s">
        <v>4410</v>
      </c>
      <c r="AC1478" s="4" t="s">
        <v>4402</v>
      </c>
    </row>
    <row r="1479" spans="1:29" ht="47.5" customHeight="1">
      <c r="A1479" s="147" t="str">
        <f>'Reported burning'!A1479</f>
        <v>172b</v>
      </c>
      <c r="B1479" s="147" t="str">
        <f>'Reported burning'!B1479</f>
        <v>172b.2</v>
      </c>
      <c r="C1479" s="147" t="str">
        <f>'Reported burning'!C1479</f>
        <v>Human, deliberate</v>
      </c>
      <c r="D1479" s="147" t="str">
        <f>'Reported burning'!D1479</f>
        <v>Land clearance</v>
      </c>
      <c r="E1479" s="147" t="str">
        <f>'Reported burning'!E1479</f>
        <v>Cropping, Monoculture, Subsistence-oriented</v>
      </c>
      <c r="F1479" s="147" t="str">
        <f>'Reported burning'!F1479</f>
        <v>ND</v>
      </c>
      <c r="G1479" s="147" t="str">
        <f>'Reported burning'!G1479</f>
        <v>Shrubland (Mixed forest &amp; grassland)</v>
      </c>
      <c r="H1479" s="147" t="str">
        <f>'Reported burning'!H1479</f>
        <v>Presence</v>
      </c>
      <c r="I1479" s="3"/>
      <c r="J1479" s="22" t="s">
        <v>2272</v>
      </c>
      <c r="K1479" s="22" t="s">
        <v>2272</v>
      </c>
      <c r="L1479" s="22" t="s">
        <v>2272</v>
      </c>
      <c r="M1479" s="22" t="s">
        <v>2272</v>
      </c>
      <c r="N1479" s="22" t="s">
        <v>2272</v>
      </c>
      <c r="O1479" s="22" t="s">
        <v>2272</v>
      </c>
      <c r="P1479" s="22" t="s">
        <v>2272</v>
      </c>
      <c r="Q1479" s="22" t="s">
        <v>2272</v>
      </c>
      <c r="R1479" s="22" t="s">
        <v>2272</v>
      </c>
      <c r="S1479" s="22" t="s">
        <v>2272</v>
      </c>
      <c r="T1479" s="22" t="s">
        <v>2272</v>
      </c>
      <c r="U1479" s="22" t="s">
        <v>2272</v>
      </c>
      <c r="V1479" s="22" t="s">
        <v>2272</v>
      </c>
      <c r="W1479" s="22" t="s">
        <v>2272</v>
      </c>
      <c r="X1479" s="22" t="s">
        <v>2272</v>
      </c>
      <c r="Y1479" s="22" t="s">
        <v>2272</v>
      </c>
      <c r="Z1479" s="22" t="s">
        <v>2272</v>
      </c>
      <c r="AA1479" s="22" t="s">
        <v>2272</v>
      </c>
      <c r="AB1479" s="4" t="s">
        <v>4410</v>
      </c>
      <c r="AC1479" s="4" t="s">
        <v>4402</v>
      </c>
    </row>
    <row r="1480" spans="1:29" ht="47.5" customHeight="1">
      <c r="A1480" s="147" t="str">
        <f>'Reported burning'!A1480</f>
        <v>172c</v>
      </c>
      <c r="B1480" s="147" t="str">
        <f>'Reported burning'!B1480</f>
        <v>172c.1</v>
      </c>
      <c r="C1480" s="147" t="str">
        <f>'Reported burning'!C1480</f>
        <v>Human, deliberate</v>
      </c>
      <c r="D1480" s="147" t="str">
        <f>'Reported burning'!D1480</f>
        <v>Land clearance</v>
      </c>
      <c r="E1480" s="147" t="str">
        <f>'Reported burning'!E1480</f>
        <v>Cropping, Monoculture, Subsistence-oriented</v>
      </c>
      <c r="F1480" s="147" t="str">
        <f>'Reported burning'!F1480</f>
        <v>ND</v>
      </c>
      <c r="G1480" s="147" t="str">
        <f>'Reported burning'!G1480</f>
        <v>Forest</v>
      </c>
      <c r="H1480" s="147" t="str">
        <f>'Reported burning'!H1480</f>
        <v>Presence</v>
      </c>
      <c r="I1480" s="3"/>
      <c r="J1480" s="22" t="s">
        <v>2272</v>
      </c>
      <c r="K1480" s="22" t="s">
        <v>2272</v>
      </c>
      <c r="L1480" s="22" t="s">
        <v>2272</v>
      </c>
      <c r="M1480" s="22" t="s">
        <v>2272</v>
      </c>
      <c r="N1480" s="22" t="s">
        <v>2272</v>
      </c>
      <c r="O1480" s="22" t="s">
        <v>2272</v>
      </c>
      <c r="P1480" s="22" t="s">
        <v>2272</v>
      </c>
      <c r="Q1480" s="22" t="s">
        <v>2272</v>
      </c>
      <c r="R1480" s="22" t="s">
        <v>2272</v>
      </c>
      <c r="S1480" s="22" t="s">
        <v>2272</v>
      </c>
      <c r="T1480" s="22" t="s">
        <v>2272</v>
      </c>
      <c r="U1480" s="22" t="s">
        <v>2272</v>
      </c>
      <c r="V1480" s="22" t="s">
        <v>2272</v>
      </c>
      <c r="W1480" s="22" t="s">
        <v>2272</v>
      </c>
      <c r="X1480" s="22" t="s">
        <v>2272</v>
      </c>
      <c r="Y1480" s="22" t="s">
        <v>2272</v>
      </c>
      <c r="Z1480" s="22" t="s">
        <v>2272</v>
      </c>
      <c r="AA1480" s="22" t="s">
        <v>2272</v>
      </c>
      <c r="AB1480" s="4" t="s">
        <v>4410</v>
      </c>
      <c r="AC1480" s="4" t="s">
        <v>4402</v>
      </c>
    </row>
    <row r="1481" spans="1:29" ht="47.5" customHeight="1">
      <c r="A1481" s="147" t="str">
        <f>'Reported burning'!A1481</f>
        <v>172c</v>
      </c>
      <c r="B1481" s="147" t="str">
        <f>'Reported burning'!B1481</f>
        <v>172c.2</v>
      </c>
      <c r="C1481" s="147" t="str">
        <f>'Reported burning'!C1481</f>
        <v>Human, deliberate</v>
      </c>
      <c r="D1481" s="147" t="str">
        <f>'Reported burning'!D1481</f>
        <v>Land clearance</v>
      </c>
      <c r="E1481" s="147" t="str">
        <f>'Reported burning'!E1481</f>
        <v>Cropping, Monoculture, Subsistence-oriented</v>
      </c>
      <c r="F1481" s="147" t="str">
        <f>'Reported burning'!F1481</f>
        <v>ND</v>
      </c>
      <c r="G1481" s="147" t="str">
        <f>'Reported burning'!G1481</f>
        <v>Shrubland (Mixed forest &amp; grassland)</v>
      </c>
      <c r="H1481" s="147" t="str">
        <f>'Reported burning'!H1481</f>
        <v>Presence</v>
      </c>
      <c r="I1481" s="3"/>
      <c r="J1481" s="22" t="s">
        <v>2272</v>
      </c>
      <c r="K1481" s="22" t="s">
        <v>2272</v>
      </c>
      <c r="L1481" s="22" t="s">
        <v>2272</v>
      </c>
      <c r="M1481" s="22" t="s">
        <v>2272</v>
      </c>
      <c r="N1481" s="22" t="s">
        <v>2272</v>
      </c>
      <c r="O1481" s="22" t="s">
        <v>2272</v>
      </c>
      <c r="P1481" s="22" t="s">
        <v>2272</v>
      </c>
      <c r="Q1481" s="22" t="s">
        <v>2272</v>
      </c>
      <c r="R1481" s="22" t="s">
        <v>2272</v>
      </c>
      <c r="S1481" s="22" t="s">
        <v>2272</v>
      </c>
      <c r="T1481" s="22" t="s">
        <v>2272</v>
      </c>
      <c r="U1481" s="22" t="s">
        <v>2272</v>
      </c>
      <c r="V1481" s="22" t="s">
        <v>2272</v>
      </c>
      <c r="W1481" s="22" t="s">
        <v>2272</v>
      </c>
      <c r="X1481" s="22" t="s">
        <v>2272</v>
      </c>
      <c r="Y1481" s="22" t="s">
        <v>2272</v>
      </c>
      <c r="Z1481" s="22" t="s">
        <v>2272</v>
      </c>
      <c r="AA1481" s="22" t="s">
        <v>2272</v>
      </c>
      <c r="AB1481" s="4" t="s">
        <v>4410</v>
      </c>
      <c r="AC1481" s="4" t="s">
        <v>4402</v>
      </c>
    </row>
    <row r="1482" spans="1:29" ht="47.5" customHeight="1">
      <c r="A1482" s="147" t="str">
        <f>'Reported burning'!A1482</f>
        <v>172d</v>
      </c>
      <c r="B1482" s="147" t="str">
        <f>'Reported burning'!B1482</f>
        <v>172d.1</v>
      </c>
      <c r="C1482" s="147" t="str">
        <f>'Reported burning'!C1482</f>
        <v>Human, deliberate</v>
      </c>
      <c r="D1482" s="147" t="str">
        <f>'Reported burning'!D1482</f>
        <v>Pasture renewal</v>
      </c>
      <c r="E1482" s="147" t="str">
        <f>'Reported burning'!E1482</f>
        <v>Cattle, Extensive</v>
      </c>
      <c r="F1482" s="147" t="str">
        <f>'Reported burning'!F1482</f>
        <v>Shrubland (Mixed forest &amp; grassland)</v>
      </c>
      <c r="G1482" s="147" t="str">
        <f>'Reported burning'!G1482</f>
        <v>ND</v>
      </c>
      <c r="H1482" s="147" t="str">
        <f>'Reported burning'!H1482</f>
        <v>Presence</v>
      </c>
      <c r="I1482" s="3"/>
      <c r="J1482" s="3" t="s">
        <v>2272</v>
      </c>
      <c r="K1482" s="198" t="s">
        <v>2272</v>
      </c>
      <c r="L1482" s="3" t="s">
        <v>2272</v>
      </c>
      <c r="M1482" s="3" t="s">
        <v>2272</v>
      </c>
      <c r="N1482" s="3" t="s">
        <v>2272</v>
      </c>
      <c r="O1482" s="3" t="s">
        <v>2272</v>
      </c>
      <c r="P1482" s="3" t="s">
        <v>2272</v>
      </c>
      <c r="Q1482" s="3" t="s">
        <v>2272</v>
      </c>
      <c r="R1482" s="3" t="s">
        <v>2272</v>
      </c>
      <c r="S1482" s="3" t="s">
        <v>2272</v>
      </c>
      <c r="T1482" s="3" t="s">
        <v>2272</v>
      </c>
      <c r="U1482" s="3" t="s">
        <v>2272</v>
      </c>
      <c r="V1482" s="3" t="s">
        <v>2272</v>
      </c>
      <c r="W1482" s="3" t="s">
        <v>2272</v>
      </c>
      <c r="X1482" s="3" t="s">
        <v>2272</v>
      </c>
      <c r="Y1482" s="3" t="s">
        <v>34</v>
      </c>
      <c r="Z1482" s="3" t="s">
        <v>187</v>
      </c>
      <c r="AA1482" s="3" t="s">
        <v>63</v>
      </c>
      <c r="AB1482" s="4" t="s">
        <v>4399</v>
      </c>
      <c r="AC1482" s="4" t="s">
        <v>4402</v>
      </c>
    </row>
    <row r="1483" spans="1:29" ht="47.5" customHeight="1">
      <c r="A1483" s="147" t="str">
        <f>'Reported burning'!A1483</f>
        <v>172d</v>
      </c>
      <c r="B1483" s="147" t="str">
        <f>'Reported burning'!B1483</f>
        <v>172d.2</v>
      </c>
      <c r="C1483" s="147" t="str">
        <f>'Reported burning'!C1483</f>
        <v>Human, deliberate</v>
      </c>
      <c r="D1483" s="147" t="str">
        <f>'Reported burning'!D1483</f>
        <v>Crop field preparation</v>
      </c>
      <c r="E1483" s="147" t="str">
        <f>'Reported burning'!E1483</f>
        <v>Cropping, Swidden</v>
      </c>
      <c r="F1483" s="147" t="str">
        <f>'Reported burning'!F1483</f>
        <v>Secondary Vegetation</v>
      </c>
      <c r="G1483" s="147" t="str">
        <f>'Reported burning'!G1483</f>
        <v>ND</v>
      </c>
      <c r="H1483" s="147" t="str">
        <f>'Reported burning'!H1483</f>
        <v>Presence</v>
      </c>
      <c r="I1483" s="3"/>
      <c r="J1483" s="3" t="s">
        <v>2272</v>
      </c>
      <c r="K1483" s="198" t="s">
        <v>2272</v>
      </c>
      <c r="L1483" s="3" t="s">
        <v>2272</v>
      </c>
      <c r="M1483" s="3" t="s">
        <v>2272</v>
      </c>
      <c r="N1483" s="3" t="s">
        <v>2272</v>
      </c>
      <c r="O1483" s="3" t="s">
        <v>2272</v>
      </c>
      <c r="P1483" s="3" t="s">
        <v>2272</v>
      </c>
      <c r="Q1483" s="3" t="s">
        <v>2272</v>
      </c>
      <c r="R1483" s="3" t="s">
        <v>2272</v>
      </c>
      <c r="S1483" s="3" t="s">
        <v>2272</v>
      </c>
      <c r="T1483" s="3" t="s">
        <v>2272</v>
      </c>
      <c r="U1483" s="3" t="s">
        <v>2272</v>
      </c>
      <c r="V1483" s="3" t="s">
        <v>2272</v>
      </c>
      <c r="W1483" s="3" t="s">
        <v>2272</v>
      </c>
      <c r="X1483" s="3" t="s">
        <v>2397</v>
      </c>
      <c r="Y1483" s="3" t="s">
        <v>187</v>
      </c>
      <c r="Z1483" s="3" t="s">
        <v>84</v>
      </c>
      <c r="AA1483" s="3" t="s">
        <v>75</v>
      </c>
      <c r="AB1483" s="3"/>
      <c r="AC1483" s="4" t="s">
        <v>4403</v>
      </c>
    </row>
    <row r="1484" spans="1:29" ht="47.5" customHeight="1">
      <c r="A1484" s="147" t="str">
        <f>'Reported burning'!A1484</f>
        <v>172d</v>
      </c>
      <c r="B1484" s="147" t="str">
        <f>'Reported burning'!B1484</f>
        <v>172d.3</v>
      </c>
      <c r="C1484" s="147" t="str">
        <f>'Reported burning'!C1484</f>
        <v>Human, deliberate</v>
      </c>
      <c r="D1484" s="147" t="str">
        <f>'Reported burning'!D1484</f>
        <v>Land clearance</v>
      </c>
      <c r="E1484" s="147" t="str">
        <f>'Reported burning'!E1484</f>
        <v>Cropping, Monoculture, Market-oriented</v>
      </c>
      <c r="F1484" s="147" t="str">
        <f>'Reported burning'!F1484</f>
        <v>Forest</v>
      </c>
      <c r="G1484" s="147" t="str">
        <f>'Reported burning'!G1484</f>
        <v>ND</v>
      </c>
      <c r="H1484" s="147" t="str">
        <f>'Reported burning'!H1484</f>
        <v>Presence</v>
      </c>
      <c r="I1484" s="3"/>
      <c r="J1484" s="3" t="s">
        <v>2272</v>
      </c>
      <c r="K1484" s="198" t="s">
        <v>2272</v>
      </c>
      <c r="L1484" s="3" t="s">
        <v>2272</v>
      </c>
      <c r="M1484" s="3" t="s">
        <v>2272</v>
      </c>
      <c r="N1484" s="3" t="s">
        <v>2272</v>
      </c>
      <c r="O1484" s="3" t="s">
        <v>2272</v>
      </c>
      <c r="P1484" s="3" t="s">
        <v>2272</v>
      </c>
      <c r="Q1484" s="3" t="s">
        <v>2272</v>
      </c>
      <c r="R1484" s="3" t="s">
        <v>2272</v>
      </c>
      <c r="S1484" s="3" t="s">
        <v>2272</v>
      </c>
      <c r="T1484" s="3" t="s">
        <v>2272</v>
      </c>
      <c r="U1484" s="3" t="s">
        <v>2272</v>
      </c>
      <c r="V1484" s="3" t="s">
        <v>2272</v>
      </c>
      <c r="W1484" s="3" t="s">
        <v>2272</v>
      </c>
      <c r="X1484" s="3" t="s">
        <v>2272</v>
      </c>
      <c r="Y1484" s="3" t="s">
        <v>187</v>
      </c>
      <c r="Z1484" s="3" t="s">
        <v>84</v>
      </c>
      <c r="AA1484" s="3" t="s">
        <v>75</v>
      </c>
      <c r="AB1484" s="4" t="s">
        <v>4399</v>
      </c>
      <c r="AC1484" s="4" t="s">
        <v>4402</v>
      </c>
    </row>
    <row r="1485" spans="1:29" ht="47.5" customHeight="1">
      <c r="A1485" s="147" t="str">
        <f>'Reported burning'!A1485</f>
        <v>172e</v>
      </c>
      <c r="B1485" s="147" t="str">
        <f>'Reported burning'!B1485</f>
        <v>172e.1</v>
      </c>
      <c r="C1485" s="147" t="str">
        <f>'Reported burning'!C1485</f>
        <v>Human, deliberate</v>
      </c>
      <c r="D1485" s="147" t="str">
        <f>'Reported burning'!D1485</f>
        <v>Pasture renewal</v>
      </c>
      <c r="E1485" s="147" t="str">
        <f>'Reported burning'!E1485</f>
        <v>Cattle, Extensive</v>
      </c>
      <c r="F1485" s="147" t="str">
        <f>'Reported burning'!F1485</f>
        <v>Shrubland (Mixed forest &amp; grassland)</v>
      </c>
      <c r="G1485" s="147" t="str">
        <f>'Reported burning'!G1485</f>
        <v>ND</v>
      </c>
      <c r="H1485" s="147" t="str">
        <f>'Reported burning'!H1485</f>
        <v>Presence</v>
      </c>
      <c r="I1485" s="3"/>
      <c r="J1485" s="3" t="s">
        <v>2272</v>
      </c>
      <c r="K1485" s="198" t="s">
        <v>2272</v>
      </c>
      <c r="L1485" s="3" t="s">
        <v>2272</v>
      </c>
      <c r="M1485" s="3" t="s">
        <v>2272</v>
      </c>
      <c r="N1485" s="3" t="s">
        <v>2272</v>
      </c>
      <c r="O1485" s="3" t="s">
        <v>2272</v>
      </c>
      <c r="P1485" s="3" t="s">
        <v>2272</v>
      </c>
      <c r="Q1485" s="3" t="s">
        <v>2272</v>
      </c>
      <c r="R1485" s="3" t="s">
        <v>2272</v>
      </c>
      <c r="S1485" s="3" t="s">
        <v>2272</v>
      </c>
      <c r="T1485" s="3" t="s">
        <v>2272</v>
      </c>
      <c r="U1485" s="3" t="s">
        <v>2272</v>
      </c>
      <c r="V1485" s="3" t="s">
        <v>2272</v>
      </c>
      <c r="W1485" s="3" t="s">
        <v>2272</v>
      </c>
      <c r="X1485" s="3" t="s">
        <v>2272</v>
      </c>
      <c r="Y1485" s="3" t="s">
        <v>34</v>
      </c>
      <c r="Z1485" s="3" t="s">
        <v>186</v>
      </c>
      <c r="AA1485" s="3" t="s">
        <v>63</v>
      </c>
      <c r="AB1485" s="4" t="s">
        <v>4399</v>
      </c>
      <c r="AC1485" s="4" t="s">
        <v>4402</v>
      </c>
    </row>
    <row r="1486" spans="1:29" ht="47.5" customHeight="1">
      <c r="A1486" s="151" t="str">
        <f>'Reported burning'!A1486</f>
        <v>172e</v>
      </c>
      <c r="B1486" s="151" t="str">
        <f>'Reported burning'!B1486</f>
        <v>172e.2</v>
      </c>
      <c r="C1486" s="151" t="str">
        <f>'Reported burning'!C1486</f>
        <v>Human, deliberate</v>
      </c>
      <c r="D1486" s="151" t="str">
        <f>'Reported burning'!D1486</f>
        <v>Crop field preparation</v>
      </c>
      <c r="E1486" s="151" t="str">
        <f>'Reported burning'!E1486</f>
        <v>Cropping, Swidden</v>
      </c>
      <c r="F1486" s="151" t="str">
        <f>'Reported burning'!F1486</f>
        <v>Secondary Vegetation</v>
      </c>
      <c r="G1486" s="151" t="str">
        <f>'Reported burning'!G1486</f>
        <v>ND</v>
      </c>
      <c r="H1486" s="151" t="str">
        <f>'Reported burning'!H1486</f>
        <v>Presence</v>
      </c>
      <c r="I1486" s="5"/>
      <c r="J1486" s="3" t="s">
        <v>2272</v>
      </c>
      <c r="K1486" s="198" t="s">
        <v>2272</v>
      </c>
      <c r="L1486" s="3" t="s">
        <v>2272</v>
      </c>
      <c r="M1486" s="3" t="s">
        <v>2272</v>
      </c>
      <c r="N1486" s="3" t="s">
        <v>2272</v>
      </c>
      <c r="O1486" s="3" t="s">
        <v>2272</v>
      </c>
      <c r="P1486" s="3" t="s">
        <v>2272</v>
      </c>
      <c r="Q1486" s="3" t="s">
        <v>2272</v>
      </c>
      <c r="R1486" s="3" t="s">
        <v>2272</v>
      </c>
      <c r="S1486" s="3" t="s">
        <v>2272</v>
      </c>
      <c r="T1486" s="3" t="s">
        <v>2272</v>
      </c>
      <c r="U1486" s="3" t="s">
        <v>2272</v>
      </c>
      <c r="V1486" s="3" t="s">
        <v>2272</v>
      </c>
      <c r="W1486" s="3" t="s">
        <v>2272</v>
      </c>
      <c r="X1486" s="3" t="s">
        <v>2397</v>
      </c>
      <c r="Y1486" s="3" t="s">
        <v>187</v>
      </c>
      <c r="Z1486" s="3" t="s">
        <v>37</v>
      </c>
      <c r="AA1486" s="3" t="s">
        <v>63</v>
      </c>
      <c r="AB1486" s="3"/>
      <c r="AC1486" s="4" t="s">
        <v>4403</v>
      </c>
    </row>
    <row r="1487" spans="1:29" ht="47.5" customHeight="1">
      <c r="A1487" s="147" t="str">
        <f>'Reported burning'!A1487</f>
        <v>172f</v>
      </c>
      <c r="B1487" s="147" t="str">
        <f>'Reported burning'!B1487</f>
        <v>172f.1</v>
      </c>
      <c r="C1487" s="147" t="str">
        <f>'Reported burning'!C1487</f>
        <v>Human, deliberate</v>
      </c>
      <c r="D1487" s="147" t="str">
        <f>'Reported burning'!D1487</f>
        <v>Pasture renewal</v>
      </c>
      <c r="E1487" s="147" t="str">
        <f>'Reported burning'!E1487</f>
        <v>Pastoralism, Migratory</v>
      </c>
      <c r="F1487" s="147" t="str">
        <f>'Reported burning'!F1487</f>
        <v>Shrubland (Mixed forest &amp; grassland)</v>
      </c>
      <c r="G1487" s="147" t="str">
        <f>'Reported burning'!G1487</f>
        <v>ND</v>
      </c>
      <c r="H1487" s="147" t="str">
        <f>'Reported burning'!H1487</f>
        <v>Presence</v>
      </c>
      <c r="I1487" s="3"/>
      <c r="J1487" s="3" t="s">
        <v>2272</v>
      </c>
      <c r="K1487" s="198" t="s">
        <v>2272</v>
      </c>
      <c r="L1487" s="3" t="s">
        <v>2272</v>
      </c>
      <c r="M1487" s="3" t="s">
        <v>2272</v>
      </c>
      <c r="N1487" s="3" t="s">
        <v>2272</v>
      </c>
      <c r="O1487" s="3" t="s">
        <v>2272</v>
      </c>
      <c r="P1487" s="3" t="s">
        <v>2272</v>
      </c>
      <c r="Q1487" s="3" t="s">
        <v>2272</v>
      </c>
      <c r="R1487" s="3" t="s">
        <v>2272</v>
      </c>
      <c r="S1487" s="3" t="s">
        <v>2272</v>
      </c>
      <c r="T1487" s="3" t="s">
        <v>2272</v>
      </c>
      <c r="U1487" s="3" t="s">
        <v>2272</v>
      </c>
      <c r="V1487" s="3" t="s">
        <v>2272</v>
      </c>
      <c r="W1487" s="3" t="s">
        <v>2272</v>
      </c>
      <c r="X1487" s="3" t="s">
        <v>2272</v>
      </c>
      <c r="Y1487" s="3" t="s">
        <v>34</v>
      </c>
      <c r="Z1487" s="3" t="s">
        <v>186</v>
      </c>
      <c r="AA1487" s="3" t="s">
        <v>63</v>
      </c>
      <c r="AB1487" s="4" t="s">
        <v>4399</v>
      </c>
      <c r="AC1487" s="4" t="s">
        <v>4402</v>
      </c>
    </row>
    <row r="1488" spans="1:29" ht="47.5" customHeight="1">
      <c r="A1488" s="147" t="str">
        <f>'Reported burning'!A1488</f>
        <v>172f</v>
      </c>
      <c r="B1488" s="147" t="str">
        <f>'Reported burning'!B1488</f>
        <v>172f.2</v>
      </c>
      <c r="C1488" s="147" t="str">
        <f>'Reported burning'!C1488</f>
        <v>Human, deliberate</v>
      </c>
      <c r="D1488" s="147" t="str">
        <f>'Reported burning'!D1488</f>
        <v>Crop field preparation</v>
      </c>
      <c r="E1488" s="147" t="str">
        <f>'Reported burning'!E1488</f>
        <v>Cropping, Swidden</v>
      </c>
      <c r="F1488" s="147" t="str">
        <f>'Reported burning'!F1488</f>
        <v>Secondary Vegetation</v>
      </c>
      <c r="G1488" s="147" t="str">
        <f>'Reported burning'!G1488</f>
        <v>ND</v>
      </c>
      <c r="H1488" s="147" t="str">
        <f>'Reported burning'!H1488</f>
        <v>Presence</v>
      </c>
      <c r="I1488" s="3"/>
      <c r="J1488" s="3" t="s">
        <v>2272</v>
      </c>
      <c r="K1488" s="198" t="s">
        <v>2272</v>
      </c>
      <c r="L1488" s="3" t="s">
        <v>2272</v>
      </c>
      <c r="M1488" s="3" t="s">
        <v>2272</v>
      </c>
      <c r="N1488" s="3" t="s">
        <v>2272</v>
      </c>
      <c r="O1488" s="3" t="s">
        <v>2272</v>
      </c>
      <c r="P1488" s="3" t="s">
        <v>2272</v>
      </c>
      <c r="Q1488" s="3" t="s">
        <v>2272</v>
      </c>
      <c r="R1488" s="3" t="s">
        <v>2272</v>
      </c>
      <c r="S1488" s="3" t="s">
        <v>2272</v>
      </c>
      <c r="T1488" s="3" t="s">
        <v>2272</v>
      </c>
      <c r="U1488" s="3" t="s">
        <v>2272</v>
      </c>
      <c r="V1488" s="3" t="s">
        <v>2272</v>
      </c>
      <c r="W1488" s="3" t="s">
        <v>2272</v>
      </c>
      <c r="X1488" s="3" t="s">
        <v>2398</v>
      </c>
      <c r="Y1488" s="3" t="s">
        <v>187</v>
      </c>
      <c r="Z1488" s="3" t="s">
        <v>37</v>
      </c>
      <c r="AA1488" s="3" t="s">
        <v>63</v>
      </c>
      <c r="AB1488" s="4" t="s">
        <v>4406</v>
      </c>
      <c r="AC1488" s="4" t="s">
        <v>4405</v>
      </c>
    </row>
    <row r="1489" spans="1:29" ht="57" customHeight="1">
      <c r="A1489" s="147" t="str">
        <f>'Reported burning'!A1489</f>
        <v>173a</v>
      </c>
      <c r="B1489" s="147" t="str">
        <f>'Reported burning'!B1489</f>
        <v>173a.1</v>
      </c>
      <c r="C1489" s="147" t="str">
        <f>'Reported burning'!C1489</f>
        <v>Human, deliberate</v>
      </c>
      <c r="D1489" s="147" t="str">
        <f>'Reported burning'!D1489</f>
        <v>All</v>
      </c>
      <c r="E1489" s="147" t="str">
        <f>'Reported burning'!E1489</f>
        <v>Pastoralism, Migratory</v>
      </c>
      <c r="F1489" s="147" t="str">
        <f>'Reported burning'!F1489</f>
        <v>Shrubland (Mixed forest &amp; grassland)</v>
      </c>
      <c r="G1489" s="147" t="str">
        <f>'Reported burning'!G1489</f>
        <v>ND</v>
      </c>
      <c r="H1489" s="147"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3" t="s">
        <v>2272</v>
      </c>
      <c r="Y1489" s="3" t="s">
        <v>2272</v>
      </c>
      <c r="Z1489" s="3" t="s">
        <v>2272</v>
      </c>
      <c r="AA1489" s="3" t="s">
        <v>2272</v>
      </c>
      <c r="AB1489" s="4" t="s">
        <v>4425</v>
      </c>
      <c r="AC1489" s="3"/>
    </row>
    <row r="1490" spans="1:29" ht="59.5" customHeight="1">
      <c r="A1490" s="147" t="str">
        <f>'Reported burning'!A1490</f>
        <v>173b</v>
      </c>
      <c r="B1490" s="147" t="str">
        <f>'Reported burning'!B1490</f>
        <v>173b.1</v>
      </c>
      <c r="C1490" s="147" t="str">
        <f>'Reported burning'!C1490</f>
        <v>Human, deliberate</v>
      </c>
      <c r="D1490" s="147" t="str">
        <f>'Reported burning'!D1490</f>
        <v>All</v>
      </c>
      <c r="E1490" s="147" t="str">
        <f>'Reported burning'!E1490</f>
        <v>All</v>
      </c>
      <c r="F1490" s="147" t="str">
        <f>'Reported burning'!F1490</f>
        <v>Forest</v>
      </c>
      <c r="G1490" s="147" t="str">
        <f>'Reported burning'!G1490</f>
        <v>ND</v>
      </c>
      <c r="H1490" s="147"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3" t="s">
        <v>2272</v>
      </c>
      <c r="Y1490" s="3" t="s">
        <v>2272</v>
      </c>
      <c r="Z1490" s="3" t="s">
        <v>2272</v>
      </c>
      <c r="AA1490" s="3" t="s">
        <v>2272</v>
      </c>
      <c r="AB1490" s="4" t="s">
        <v>4426</v>
      </c>
      <c r="AC1490" s="3"/>
    </row>
    <row r="1491" spans="1:29" ht="59.5" customHeight="1">
      <c r="A1491" s="147" t="str">
        <f>'Reported burning'!A1491</f>
        <v>173b</v>
      </c>
      <c r="B1491" s="147" t="str">
        <f>'Reported burning'!B1491</f>
        <v>173b.2</v>
      </c>
      <c r="C1491" s="147" t="str">
        <f>'Reported burning'!C1491</f>
        <v>Human, deliberate</v>
      </c>
      <c r="D1491" s="147" t="str">
        <f>'Reported burning'!D1491</f>
        <v>Pyrome management</v>
      </c>
      <c r="E1491" s="147" t="str">
        <f>'Reported burning'!E1491</f>
        <v>Biodiversity conservation</v>
      </c>
      <c r="F1491" s="147" t="str">
        <f>'Reported burning'!F1491</f>
        <v>Forest</v>
      </c>
      <c r="G1491" s="147" t="str">
        <f>'Reported burning'!G1491</f>
        <v>ND</v>
      </c>
      <c r="H1491" s="147"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3" t="s">
        <v>2272</v>
      </c>
      <c r="Y1491" s="3" t="s">
        <v>2272</v>
      </c>
      <c r="Z1491" s="3" t="s">
        <v>2272</v>
      </c>
      <c r="AA1491" s="3" t="s">
        <v>2272</v>
      </c>
      <c r="AB1491" s="19" t="s">
        <v>4429</v>
      </c>
      <c r="AC1491" s="3"/>
    </row>
    <row r="1492" spans="1:29" ht="42" customHeight="1">
      <c r="A1492" s="147" t="str">
        <f>'Reported burning'!A1492</f>
        <v>174a</v>
      </c>
      <c r="B1492" s="147" t="str">
        <f>'Reported burning'!B1492</f>
        <v>174a.1</v>
      </c>
      <c r="C1492" s="147" t="str">
        <f>'Reported burning'!C1492</f>
        <v>Human, deliberate</v>
      </c>
      <c r="D1492" s="147" t="str">
        <f>'Reported burning'!D1492</f>
        <v>Pasture renewal</v>
      </c>
      <c r="E1492" s="147" t="str">
        <f>'Reported burning'!E1492</f>
        <v>Cattle, Extensive</v>
      </c>
      <c r="F1492" s="147" t="str">
        <f>'Reported burning'!F1492</f>
        <v>Forest</v>
      </c>
      <c r="G1492" s="147" t="str">
        <f>'Reported burning'!G1492</f>
        <v>ND</v>
      </c>
      <c r="H1492" s="147"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3" t="s">
        <v>2272</v>
      </c>
      <c r="Y1492" s="3" t="s">
        <v>2272</v>
      </c>
      <c r="Z1492" s="3" t="s">
        <v>2272</v>
      </c>
      <c r="AA1492" s="3" t="s">
        <v>2272</v>
      </c>
      <c r="AB1492" s="4" t="s">
        <v>4440</v>
      </c>
      <c r="AC1492" s="3"/>
    </row>
    <row r="1493" spans="1:29" ht="42" customHeight="1">
      <c r="A1493" s="147" t="str">
        <f>'Reported burning'!A1493</f>
        <v>174b</v>
      </c>
      <c r="B1493" s="147" t="str">
        <f>'Reported burning'!B1493</f>
        <v>174b.1</v>
      </c>
      <c r="C1493" s="147" t="str">
        <f>'Reported burning'!C1493</f>
        <v>Human, deliberate</v>
      </c>
      <c r="D1493" s="147" t="str">
        <f>'Reported burning'!D1493</f>
        <v>Pasture renewal</v>
      </c>
      <c r="E1493" s="147" t="str">
        <f>'Reported burning'!E1493</f>
        <v>Pastoralism, Migratory</v>
      </c>
      <c r="F1493" s="147" t="str">
        <f>'Reported burning'!F1493</f>
        <v>Forest</v>
      </c>
      <c r="G1493" s="147" t="str">
        <f>'Reported burning'!G1493</f>
        <v>ND</v>
      </c>
      <c r="H1493" s="147"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3" t="s">
        <v>2272</v>
      </c>
      <c r="Y1493" s="3" t="s">
        <v>2272</v>
      </c>
      <c r="Z1493" s="3" t="s">
        <v>2272</v>
      </c>
      <c r="AA1493" s="3" t="s">
        <v>2272</v>
      </c>
      <c r="AB1493" s="4" t="s">
        <v>4440</v>
      </c>
      <c r="AC1493" s="3"/>
    </row>
    <row r="1494" spans="1:29" ht="42" customHeight="1">
      <c r="A1494" s="147" t="str">
        <f>'Reported burning'!A1494</f>
        <v>174a</v>
      </c>
      <c r="B1494" s="147" t="str">
        <f>'Reported burning'!B1494</f>
        <v>174a.2</v>
      </c>
      <c r="C1494" s="147" t="str">
        <f>'Reported burning'!C1494</f>
        <v>Human, deliberate</v>
      </c>
      <c r="D1494" s="147" t="str">
        <f>'Reported burning'!D1494</f>
        <v>Pasture renewal</v>
      </c>
      <c r="E1494" s="147" t="str">
        <f>'Reported burning'!E1494</f>
        <v>Cattle, Extensive</v>
      </c>
      <c r="F1494" s="147" t="str">
        <f>'Reported burning'!F1494</f>
        <v>Shrubland (Mixed forest &amp; grassland)</v>
      </c>
      <c r="G1494" s="147" t="str">
        <f>'Reported burning'!G1494</f>
        <v>ND</v>
      </c>
      <c r="H1494" s="147"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3" t="s">
        <v>2272</v>
      </c>
      <c r="Y1494" s="3" t="s">
        <v>2272</v>
      </c>
      <c r="Z1494" s="3" t="s">
        <v>2272</v>
      </c>
      <c r="AA1494" s="3" t="s">
        <v>2272</v>
      </c>
      <c r="AB1494" s="4" t="s">
        <v>4440</v>
      </c>
      <c r="AC1494" s="3"/>
    </row>
    <row r="1495" spans="1:29" ht="42" customHeight="1">
      <c r="A1495" s="147" t="str">
        <f>'Reported burning'!A1495</f>
        <v>174b</v>
      </c>
      <c r="B1495" s="147" t="str">
        <f>'Reported burning'!B1495</f>
        <v>174b.2</v>
      </c>
      <c r="C1495" s="147" t="str">
        <f>'Reported burning'!C1495</f>
        <v>Human, deliberate</v>
      </c>
      <c r="D1495" s="147" t="str">
        <f>'Reported burning'!D1495</f>
        <v>Pasture renewal</v>
      </c>
      <c r="E1495" s="147" t="str">
        <f>'Reported burning'!E1495</f>
        <v>Pastoralism, Migratory</v>
      </c>
      <c r="F1495" s="147" t="str">
        <f>'Reported burning'!F1495</f>
        <v>Shrubland (Mixed forest &amp; grassland)</v>
      </c>
      <c r="G1495" s="147" t="str">
        <f>'Reported burning'!G1495</f>
        <v>ND</v>
      </c>
      <c r="H1495" s="147"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3" t="s">
        <v>2272</v>
      </c>
      <c r="Y1495" s="3" t="s">
        <v>2272</v>
      </c>
      <c r="Z1495" s="3" t="s">
        <v>2272</v>
      </c>
      <c r="AA1495" s="3" t="s">
        <v>2272</v>
      </c>
      <c r="AB1495" s="4" t="s">
        <v>4440</v>
      </c>
      <c r="AC1495" s="3"/>
    </row>
    <row r="1496" spans="1:29" ht="56.5" customHeight="1">
      <c r="A1496" s="147" t="str">
        <f>'Reported burning'!A1496</f>
        <v>174a</v>
      </c>
      <c r="B1496" s="147" t="str">
        <f>'Reported burning'!B1496</f>
        <v>174a.3</v>
      </c>
      <c r="C1496" s="147" t="str">
        <f>'Reported burning'!C1496</f>
        <v>All</v>
      </c>
      <c r="D1496" s="147" t="str">
        <f>'Reported burning'!D1496</f>
        <v>All</v>
      </c>
      <c r="E1496" s="147" t="str">
        <f>'Reported burning'!E1496</f>
        <v>All</v>
      </c>
      <c r="F1496" s="147" t="str">
        <f>'Reported burning'!F1496</f>
        <v>ND</v>
      </c>
      <c r="G1496" s="147" t="str">
        <f>'Reported burning'!G1496</f>
        <v>Shrubland (Mixed forest &amp; grassland)</v>
      </c>
      <c r="H1496" s="147"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3" t="s">
        <v>2272</v>
      </c>
      <c r="Y1496" s="3" t="s">
        <v>2272</v>
      </c>
      <c r="Z1496" s="3" t="s">
        <v>2272</v>
      </c>
      <c r="AA1496" s="3" t="s">
        <v>2272</v>
      </c>
      <c r="AB1496" s="4" t="s">
        <v>4441</v>
      </c>
      <c r="AC1496" s="3"/>
    </row>
    <row r="1497" spans="1:29" ht="59.5" customHeight="1">
      <c r="A1497" s="147" t="str">
        <f>'Reported burning'!A1497</f>
        <v>174b</v>
      </c>
      <c r="B1497" s="147" t="str">
        <f>'Reported burning'!B1497</f>
        <v>174b.3</v>
      </c>
      <c r="C1497" s="147" t="str">
        <f>'Reported burning'!C1497</f>
        <v>All</v>
      </c>
      <c r="D1497" s="147" t="str">
        <f>'Reported burning'!D1497</f>
        <v>All</v>
      </c>
      <c r="E1497" s="147" t="str">
        <f>'Reported burning'!E1497</f>
        <v>All</v>
      </c>
      <c r="F1497" s="147" t="str">
        <f>'Reported burning'!F1497</f>
        <v>ND</v>
      </c>
      <c r="G1497" s="147" t="str">
        <f>'Reported burning'!G1497</f>
        <v>Shrubland (Mixed forest &amp; grassland)</v>
      </c>
      <c r="H1497" s="147"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3" t="s">
        <v>2272</v>
      </c>
      <c r="Y1497" s="3" t="s">
        <v>2272</v>
      </c>
      <c r="Z1497" s="3" t="s">
        <v>2272</v>
      </c>
      <c r="AA1497" s="3" t="s">
        <v>2272</v>
      </c>
      <c r="AB1497" s="4" t="s">
        <v>4441</v>
      </c>
      <c r="AC1497" s="3"/>
    </row>
    <row r="1498" spans="1:29" ht="42" customHeight="1">
      <c r="A1498" s="147" t="str">
        <f>'Reported burning'!A1498</f>
        <v>175a</v>
      </c>
      <c r="B1498" s="147" t="str">
        <f>'Reported burning'!B1498</f>
        <v>175a.1</v>
      </c>
      <c r="C1498" s="147" t="str">
        <f>'Reported burning'!C1498</f>
        <v>Human, deliberate</v>
      </c>
      <c r="D1498" s="147" t="str">
        <f>'Reported burning'!D1498</f>
        <v>Crop field preparation</v>
      </c>
      <c r="E1498" s="147" t="str">
        <f>'Reported burning'!E1498</f>
        <v>Cropping, Swidden</v>
      </c>
      <c r="F1498" s="147" t="str">
        <f>'Reported burning'!F1498</f>
        <v>Secondary Vegetation</v>
      </c>
      <c r="G1498" s="147" t="str">
        <f>'Reported burning'!G1498</f>
        <v>ND</v>
      </c>
      <c r="H1498" s="147" t="str">
        <f>'Reported burning'!H1498</f>
        <v>Presence</v>
      </c>
      <c r="I1498" s="3"/>
      <c r="J1498" s="3" t="s">
        <v>2272</v>
      </c>
      <c r="K1498" s="198" t="s">
        <v>2272</v>
      </c>
      <c r="L1498" s="3" t="s">
        <v>2272</v>
      </c>
      <c r="M1498" s="3" t="s">
        <v>2272</v>
      </c>
      <c r="N1498" s="3" t="s">
        <v>2272</v>
      </c>
      <c r="O1498" s="3" t="s">
        <v>2272</v>
      </c>
      <c r="P1498" s="3" t="s">
        <v>2272</v>
      </c>
      <c r="Q1498" s="3" t="s">
        <v>2272</v>
      </c>
      <c r="R1498" s="3" t="s">
        <v>2272</v>
      </c>
      <c r="S1498" s="3" t="s">
        <v>2272</v>
      </c>
      <c r="T1498" s="3" t="s">
        <v>2272</v>
      </c>
      <c r="U1498" s="3" t="s">
        <v>2272</v>
      </c>
      <c r="V1498" s="3" t="s">
        <v>2272</v>
      </c>
      <c r="W1498" s="3" t="s">
        <v>2272</v>
      </c>
      <c r="X1498" t="s">
        <v>2841</v>
      </c>
      <c r="Y1498" s="3" t="s">
        <v>2272</v>
      </c>
      <c r="Z1498" s="3" t="s">
        <v>2272</v>
      </c>
      <c r="AA1498" s="3" t="s">
        <v>2272</v>
      </c>
      <c r="AB1498" s="3"/>
      <c r="AC1498" s="4" t="s">
        <v>4454</v>
      </c>
    </row>
    <row r="1499" spans="1:29" ht="42" customHeight="1">
      <c r="A1499" s="147" t="str">
        <f>'Reported burning'!A1499</f>
        <v>175a</v>
      </c>
      <c r="B1499" s="147" t="str">
        <f>'Reported burning'!B1499</f>
        <v>175a.2</v>
      </c>
      <c r="C1499" s="147" t="str">
        <f>'Reported burning'!C1499</f>
        <v>Human, deliberate</v>
      </c>
      <c r="D1499" s="147" t="str">
        <f>'Reported burning'!D1499</f>
        <v>Vegetation management</v>
      </c>
      <c r="E1499" s="147" t="str">
        <f>'Reported burning'!E1499</f>
        <v>Cropping, Swidden</v>
      </c>
      <c r="F1499" s="147" t="str">
        <f>'Reported burning'!F1499</f>
        <v>Cropland</v>
      </c>
      <c r="G1499" s="147" t="str">
        <f>'Reported burning'!G1499</f>
        <v>ND</v>
      </c>
      <c r="H1499" s="147" t="str">
        <f>'Reported burning'!H1499</f>
        <v>Presence</v>
      </c>
      <c r="I1499" s="3"/>
      <c r="J1499" s="3" t="s">
        <v>2272</v>
      </c>
      <c r="K1499" s="198" t="s">
        <v>2272</v>
      </c>
      <c r="L1499" s="3" t="s">
        <v>2272</v>
      </c>
      <c r="M1499" s="3" t="s">
        <v>2272</v>
      </c>
      <c r="N1499" s="3" t="s">
        <v>2272</v>
      </c>
      <c r="O1499" s="3" t="s">
        <v>2272</v>
      </c>
      <c r="P1499" s="3" t="s">
        <v>2272</v>
      </c>
      <c r="Q1499" s="3" t="s">
        <v>2272</v>
      </c>
      <c r="R1499" s="3" t="s">
        <v>2272</v>
      </c>
      <c r="S1499" s="3" t="s">
        <v>2272</v>
      </c>
      <c r="T1499" s="3" t="s">
        <v>2272</v>
      </c>
      <c r="U1499" s="3" t="s">
        <v>2272</v>
      </c>
      <c r="V1499" s="3" t="s">
        <v>2272</v>
      </c>
      <c r="W1499" s="3" t="s">
        <v>2272</v>
      </c>
      <c r="X1499" s="3" t="s">
        <v>2272</v>
      </c>
      <c r="Y1499" s="3" t="s">
        <v>2272</v>
      </c>
      <c r="Z1499" s="3" t="s">
        <v>2272</v>
      </c>
      <c r="AA1499" s="3" t="s">
        <v>2272</v>
      </c>
      <c r="AB1499" s="3"/>
      <c r="AC1499" s="3"/>
    </row>
    <row r="1500" spans="1:29" ht="41" customHeight="1">
      <c r="A1500" s="151" t="str">
        <f>'Reported burning'!A1500</f>
        <v>175b</v>
      </c>
      <c r="B1500" s="151" t="str">
        <f>'Reported burning'!B1500</f>
        <v>175b.1</v>
      </c>
      <c r="C1500" s="151" t="str">
        <f>'Reported burning'!C1500</f>
        <v>Human, deliberate</v>
      </c>
      <c r="D1500" s="151" t="str">
        <f>'Reported burning'!D1500</f>
        <v>Crop field preparation</v>
      </c>
      <c r="E1500" s="151" t="str">
        <f>'Reported burning'!E1500</f>
        <v>Cropping, Swidden</v>
      </c>
      <c r="F1500" s="151" t="str">
        <f>'Reported burning'!F1500</f>
        <v>Secondary Vegetation</v>
      </c>
      <c r="G1500" s="151" t="str">
        <f>'Reported burning'!G1500</f>
        <v>ND</v>
      </c>
      <c r="H1500" s="151" t="str">
        <f>'Reported burning'!H1500</f>
        <v>Presence</v>
      </c>
      <c r="I1500" s="5"/>
      <c r="J1500" s="3" t="s">
        <v>2272</v>
      </c>
      <c r="K1500" s="198" t="s">
        <v>2272</v>
      </c>
      <c r="L1500" s="3" t="s">
        <v>2272</v>
      </c>
      <c r="M1500" s="3" t="s">
        <v>2272</v>
      </c>
      <c r="N1500" s="3" t="s">
        <v>2272</v>
      </c>
      <c r="O1500" s="3" t="s">
        <v>2272</v>
      </c>
      <c r="P1500" s="3" t="s">
        <v>2272</v>
      </c>
      <c r="Q1500" s="3" t="s">
        <v>2272</v>
      </c>
      <c r="R1500" s="3" t="s">
        <v>2272</v>
      </c>
      <c r="S1500" s="3" t="s">
        <v>2272</v>
      </c>
      <c r="T1500" s="3" t="s">
        <v>2272</v>
      </c>
      <c r="U1500" s="3" t="s">
        <v>2272</v>
      </c>
      <c r="V1500" s="3" t="s">
        <v>2272</v>
      </c>
      <c r="W1500" s="3" t="s">
        <v>2272</v>
      </c>
      <c r="X1500" s="3" t="s">
        <v>2398</v>
      </c>
      <c r="Y1500" s="3" t="s">
        <v>2272</v>
      </c>
      <c r="Z1500" s="3" t="s">
        <v>2272</v>
      </c>
      <c r="AA1500" s="3" t="s">
        <v>2272</v>
      </c>
      <c r="AB1500" s="4"/>
      <c r="AC1500" s="4" t="s">
        <v>4457</v>
      </c>
    </row>
    <row r="1501" spans="1:29" ht="41" customHeight="1">
      <c r="A1501" s="147" t="str">
        <f>'Reported burning'!A1501</f>
        <v>175b</v>
      </c>
      <c r="B1501" s="147" t="str">
        <f>'Reported burning'!B1501</f>
        <v>175b.2</v>
      </c>
      <c r="C1501" s="147" t="str">
        <f>'Reported burning'!C1501</f>
        <v>Human, deliberate</v>
      </c>
      <c r="D1501" s="147" t="str">
        <f>'Reported burning'!D1501</f>
        <v>Crop residue burning</v>
      </c>
      <c r="E1501" s="147" t="str">
        <f>'Reported burning'!E1501</f>
        <v>Cropping, Swidden</v>
      </c>
      <c r="F1501" s="147" t="str">
        <f>'Reported burning'!F1501</f>
        <v>Cropland</v>
      </c>
      <c r="G1501" s="147" t="str">
        <f>'Reported burning'!G1501</f>
        <v>ND</v>
      </c>
      <c r="H1501" s="147" t="str">
        <f>'Reported burning'!H1501</f>
        <v>Presence</v>
      </c>
      <c r="I1501" s="3"/>
      <c r="J1501" s="3" t="s">
        <v>2272</v>
      </c>
      <c r="K1501" s="198" t="s">
        <v>2272</v>
      </c>
      <c r="L1501" s="3" t="s">
        <v>2272</v>
      </c>
      <c r="M1501" s="3" t="s">
        <v>2272</v>
      </c>
      <c r="N1501" s="3" t="s">
        <v>2272</v>
      </c>
      <c r="O1501" s="3" t="s">
        <v>2272</v>
      </c>
      <c r="P1501" s="3" t="s">
        <v>2272</v>
      </c>
      <c r="Q1501" s="3" t="s">
        <v>2272</v>
      </c>
      <c r="R1501" s="3" t="s">
        <v>2272</v>
      </c>
      <c r="S1501" s="3" t="s">
        <v>2272</v>
      </c>
      <c r="T1501" s="3" t="s">
        <v>2272</v>
      </c>
      <c r="U1501" s="3" t="s">
        <v>2272</v>
      </c>
      <c r="V1501" s="3" t="s">
        <v>2272</v>
      </c>
      <c r="W1501" s="3" t="s">
        <v>2272</v>
      </c>
      <c r="X1501" s="3" t="s">
        <v>2272</v>
      </c>
      <c r="Y1501" s="3" t="s">
        <v>2272</v>
      </c>
      <c r="Z1501" s="3" t="s">
        <v>2272</v>
      </c>
      <c r="AA1501" s="3" t="s">
        <v>2272</v>
      </c>
      <c r="AB1501" s="4"/>
      <c r="AC1501" s="3"/>
    </row>
    <row r="1502" spans="1:29" ht="44.5" customHeight="1">
      <c r="A1502" s="147" t="str">
        <f>'Reported burning'!A1502</f>
        <v>175b</v>
      </c>
      <c r="B1502" s="147" t="str">
        <f>'Reported burning'!B1502</f>
        <v>175b.3</v>
      </c>
      <c r="C1502" s="147" t="str">
        <f>'Reported burning'!C1502</f>
        <v>Human, deliberate</v>
      </c>
      <c r="D1502" s="147" t="str">
        <f>'Reported burning'!D1502</f>
        <v>Vegetation management</v>
      </c>
      <c r="E1502" s="147" t="str">
        <f>'Reported burning'!E1502</f>
        <v>Cropping, Swidden</v>
      </c>
      <c r="F1502" s="147" t="str">
        <f>'Reported burning'!F1502</f>
        <v>Cropland</v>
      </c>
      <c r="G1502" s="147" t="str">
        <f>'Reported burning'!G1502</f>
        <v>ND</v>
      </c>
      <c r="H1502" s="147"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3" t="s">
        <v>2272</v>
      </c>
      <c r="Y1502" s="3" t="s">
        <v>2272</v>
      </c>
      <c r="Z1502" s="3" t="s">
        <v>2272</v>
      </c>
      <c r="AA1502" s="3" t="s">
        <v>2272</v>
      </c>
      <c r="AB1502" s="3"/>
      <c r="AC1502" s="3"/>
    </row>
    <row r="1503" spans="1:29" ht="44.5" customHeight="1">
      <c r="A1503" s="147" t="str">
        <f>'Reported burning'!A1503</f>
        <v>175c</v>
      </c>
      <c r="B1503" s="147" t="str">
        <f>'Reported burning'!B1503</f>
        <v>175c.1</v>
      </c>
      <c r="C1503" s="147" t="str">
        <f>'Reported burning'!C1503</f>
        <v>Human, deliberate</v>
      </c>
      <c r="D1503" s="147" t="str">
        <f>'Reported burning'!D1503</f>
        <v>Crop field preparation</v>
      </c>
      <c r="E1503" s="147" t="str">
        <f>'Reported burning'!E1503</f>
        <v>Cropping, Swidden</v>
      </c>
      <c r="F1503" s="147" t="str">
        <f>'Reported burning'!F1503</f>
        <v>Secondary Vegetation</v>
      </c>
      <c r="G1503" s="147" t="str">
        <f>'Reported burning'!G1503</f>
        <v>ND</v>
      </c>
      <c r="H1503" s="147" t="str">
        <f>'Reported burning'!H1503</f>
        <v>Presence</v>
      </c>
      <c r="I1503" s="3"/>
      <c r="J1503" s="3" t="s">
        <v>2272</v>
      </c>
      <c r="K1503" s="198" t="s">
        <v>2272</v>
      </c>
      <c r="L1503" s="3" t="s">
        <v>2272</v>
      </c>
      <c r="M1503" s="3" t="s">
        <v>2272</v>
      </c>
      <c r="N1503" s="3" t="s">
        <v>2272</v>
      </c>
      <c r="O1503" s="3" t="s">
        <v>2272</v>
      </c>
      <c r="P1503" s="3" t="s">
        <v>2370</v>
      </c>
      <c r="Q1503" s="3" t="s">
        <v>2272</v>
      </c>
      <c r="R1503" s="3" t="s">
        <v>2358</v>
      </c>
      <c r="S1503" s="3" t="s">
        <v>2272</v>
      </c>
      <c r="T1503" s="3" t="s">
        <v>2272</v>
      </c>
      <c r="U1503" s="3" t="s">
        <v>2272</v>
      </c>
      <c r="V1503" s="3" t="s">
        <v>2272</v>
      </c>
      <c r="W1503" s="3" t="s">
        <v>2272</v>
      </c>
      <c r="X1503" s="3" t="s">
        <v>2272</v>
      </c>
      <c r="Y1503" s="3" t="s">
        <v>2272</v>
      </c>
      <c r="Z1503" s="3" t="s">
        <v>2272</v>
      </c>
      <c r="AA1503" s="3" t="s">
        <v>2272</v>
      </c>
      <c r="AB1503" s="3"/>
      <c r="AC1503" s="3" t="s">
        <v>4464</v>
      </c>
    </row>
    <row r="1504" spans="1:29" ht="41" customHeight="1">
      <c r="A1504" s="147" t="str">
        <f>'Reported burning'!A1504</f>
        <v>176a</v>
      </c>
      <c r="B1504" s="147" t="str">
        <f>'Reported burning'!B1504</f>
        <v>176a.1</v>
      </c>
      <c r="C1504" s="147" t="str">
        <f>'Reported burning'!C1504</f>
        <v>Human, deliberate</v>
      </c>
      <c r="D1504" s="147" t="str">
        <f>'Reported burning'!D1504</f>
        <v>Rangeland management</v>
      </c>
      <c r="E1504" s="147" t="str">
        <f>'Reported burning'!E1504</f>
        <v>Pastoralism, Migratory</v>
      </c>
      <c r="F1504" s="147" t="str">
        <f>'Reported burning'!F1504</f>
        <v>Shrubland (Mixed forest &amp; grassland)</v>
      </c>
      <c r="G1504" s="147" t="str">
        <f>'Reported burning'!G1504</f>
        <v>ND</v>
      </c>
      <c r="H1504" s="147" t="str">
        <f>'Reported burning'!H1504</f>
        <v>Presence</v>
      </c>
      <c r="I1504" s="3"/>
      <c r="J1504" s="3" t="s">
        <v>2272</v>
      </c>
      <c r="K1504" s="198" t="s">
        <v>2272</v>
      </c>
      <c r="L1504" s="3" t="s">
        <v>2272</v>
      </c>
      <c r="M1504" s="3" t="s">
        <v>2272</v>
      </c>
      <c r="N1504" s="3" t="s">
        <v>2272</v>
      </c>
      <c r="O1504" s="3" t="s">
        <v>2272</v>
      </c>
      <c r="P1504" s="3" t="s">
        <v>2272</v>
      </c>
      <c r="Q1504" s="3" t="s">
        <v>2272</v>
      </c>
      <c r="R1504" s="3" t="s">
        <v>2272</v>
      </c>
      <c r="S1504" s="3" t="s">
        <v>2272</v>
      </c>
      <c r="T1504" s="3" t="s">
        <v>2272</v>
      </c>
      <c r="U1504" s="3" t="s">
        <v>2272</v>
      </c>
      <c r="V1504" s="3" t="s">
        <v>2272</v>
      </c>
      <c r="W1504" s="3" t="s">
        <v>2272</v>
      </c>
      <c r="X1504" s="3" t="s">
        <v>2272</v>
      </c>
      <c r="Y1504" s="3" t="s">
        <v>2272</v>
      </c>
      <c r="Z1504" s="3" t="s">
        <v>2272</v>
      </c>
      <c r="AA1504" s="3" t="s">
        <v>2272</v>
      </c>
      <c r="AB1504" s="3"/>
      <c r="AC1504" s="3"/>
    </row>
    <row r="1505" spans="1:29" ht="47.5" customHeight="1">
      <c r="A1505" s="147" t="str">
        <f>'Reported burning'!A1505</f>
        <v>176a</v>
      </c>
      <c r="B1505" s="147" t="str">
        <f>'Reported burning'!B1505</f>
        <v>176a.2</v>
      </c>
      <c r="C1505" s="147" t="str">
        <f>'Reported burning'!C1505</f>
        <v>Human, deliberate</v>
      </c>
      <c r="D1505" s="147" t="str">
        <f>'Reported burning'!D1505</f>
        <v>Land clearance</v>
      </c>
      <c r="E1505" s="147" t="str">
        <f>'Reported burning'!E1505</f>
        <v>Pastoralism, Migratory</v>
      </c>
      <c r="F1505" s="147" t="str">
        <f>'Reported burning'!F1505</f>
        <v>Shrubland (Mixed forest &amp; grassland)</v>
      </c>
      <c r="G1505" s="147" t="str">
        <f>'Reported burning'!G1505</f>
        <v>ND</v>
      </c>
      <c r="H1505" s="147" t="str">
        <f>'Reported burning'!H1505</f>
        <v>Presence</v>
      </c>
      <c r="I1505" s="3"/>
      <c r="J1505" s="3" t="s">
        <v>2272</v>
      </c>
      <c r="K1505" s="198" t="s">
        <v>2272</v>
      </c>
      <c r="L1505" s="3" t="s">
        <v>2272</v>
      </c>
      <c r="M1505" s="3" t="s">
        <v>2272</v>
      </c>
      <c r="N1505" s="3" t="s">
        <v>2272</v>
      </c>
      <c r="O1505" s="3" t="s">
        <v>2272</v>
      </c>
      <c r="P1505" s="3" t="s">
        <v>2272</v>
      </c>
      <c r="Q1505" s="3" t="s">
        <v>2272</v>
      </c>
      <c r="R1505" s="3" t="s">
        <v>2272</v>
      </c>
      <c r="S1505" s="3" t="s">
        <v>2272</v>
      </c>
      <c r="T1505" s="3" t="s">
        <v>2272</v>
      </c>
      <c r="U1505" s="3" t="s">
        <v>2272</v>
      </c>
      <c r="V1505" s="3" t="s">
        <v>2272</v>
      </c>
      <c r="W1505" s="3" t="s">
        <v>2272</v>
      </c>
      <c r="X1505" s="3" t="s">
        <v>2272</v>
      </c>
      <c r="Y1505" s="3" t="s">
        <v>2272</v>
      </c>
      <c r="Z1505" s="3" t="s">
        <v>2272</v>
      </c>
      <c r="AA1505" s="3" t="s">
        <v>2272</v>
      </c>
      <c r="AB1505" s="168" t="s">
        <v>4475</v>
      </c>
      <c r="AC1505" s="3"/>
    </row>
    <row r="1506" spans="1:29" ht="47.5" customHeight="1">
      <c r="A1506" s="147" t="str">
        <f>'Reported burning'!A1506</f>
        <v>176a</v>
      </c>
      <c r="B1506" s="147" t="str">
        <f>'Reported burning'!B1506</f>
        <v>176a.3</v>
      </c>
      <c r="C1506" s="147" t="str">
        <f>'Reported burning'!C1506</f>
        <v>Human, deliberate</v>
      </c>
      <c r="D1506" s="147" t="str">
        <f>'Reported burning'!D1506</f>
        <v>Accessibility</v>
      </c>
      <c r="E1506" s="147" t="str">
        <f>'Reported burning'!E1506</f>
        <v>Pastoralism, Migratory</v>
      </c>
      <c r="F1506" s="147" t="str">
        <f>'Reported burning'!F1506</f>
        <v>Shrubland (Mixed forest &amp; grassland)</v>
      </c>
      <c r="G1506" s="147" t="str">
        <f>'Reported burning'!G1506</f>
        <v>ND</v>
      </c>
      <c r="H1506" s="147" t="str">
        <f>'Reported burning'!H1506</f>
        <v>Presence</v>
      </c>
      <c r="I1506" s="3"/>
      <c r="J1506" s="3" t="s">
        <v>2272</v>
      </c>
      <c r="K1506" s="198" t="s">
        <v>2272</v>
      </c>
      <c r="L1506" s="3" t="s">
        <v>2272</v>
      </c>
      <c r="M1506" s="3" t="s">
        <v>2272</v>
      </c>
      <c r="N1506" s="3" t="s">
        <v>2272</v>
      </c>
      <c r="O1506" s="3" t="s">
        <v>2272</v>
      </c>
      <c r="P1506" s="3" t="s">
        <v>2272</v>
      </c>
      <c r="Q1506" s="3" t="s">
        <v>2272</v>
      </c>
      <c r="R1506" s="3" t="s">
        <v>2272</v>
      </c>
      <c r="S1506" s="3" t="s">
        <v>2272</v>
      </c>
      <c r="T1506" s="3" t="s">
        <v>2272</v>
      </c>
      <c r="U1506" s="3" t="s">
        <v>2272</v>
      </c>
      <c r="V1506" s="3" t="s">
        <v>2272</v>
      </c>
      <c r="W1506" s="3" t="s">
        <v>2272</v>
      </c>
      <c r="X1506" s="3" t="s">
        <v>2272</v>
      </c>
      <c r="Y1506" s="3" t="s">
        <v>2272</v>
      </c>
      <c r="Z1506" s="3" t="s">
        <v>2272</v>
      </c>
      <c r="AA1506" s="3" t="s">
        <v>2272</v>
      </c>
      <c r="AB1506" s="108" t="s">
        <v>4475</v>
      </c>
      <c r="AC1506" s="3"/>
    </row>
    <row r="1507" spans="1:29" ht="47.5" customHeight="1">
      <c r="A1507" s="147" t="str">
        <f>'Reported burning'!A1507</f>
        <v>176a</v>
      </c>
      <c r="B1507" s="147" t="str">
        <f>'Reported burning'!B1507</f>
        <v>176a.4</v>
      </c>
      <c r="C1507" s="147" t="str">
        <f>'Reported burning'!C1507</f>
        <v>Human, deliberate</v>
      </c>
      <c r="D1507" s="147" t="str">
        <f>'Reported burning'!D1507</f>
        <v>Land clearance</v>
      </c>
      <c r="E1507" s="147" t="str">
        <f>'Reported burning'!E1507</f>
        <v>Pastoralism, Migratory</v>
      </c>
      <c r="F1507" s="147" t="str">
        <f>'Reported burning'!F1507</f>
        <v>Forest</v>
      </c>
      <c r="G1507" s="147" t="str">
        <f>'Reported burning'!G1507</f>
        <v>ND</v>
      </c>
      <c r="H1507" s="147" t="str">
        <f>'Reported burning'!H1507</f>
        <v>Presence</v>
      </c>
      <c r="I1507" s="3"/>
      <c r="J1507" s="3" t="s">
        <v>2272</v>
      </c>
      <c r="K1507" s="198" t="s">
        <v>2272</v>
      </c>
      <c r="L1507" s="3" t="s">
        <v>2272</v>
      </c>
      <c r="M1507" s="3" t="s">
        <v>2272</v>
      </c>
      <c r="N1507" s="3" t="s">
        <v>2272</v>
      </c>
      <c r="O1507" s="3" t="s">
        <v>2272</v>
      </c>
      <c r="P1507" s="3" t="s">
        <v>2272</v>
      </c>
      <c r="Q1507" s="3" t="s">
        <v>2272</v>
      </c>
      <c r="R1507" s="3" t="s">
        <v>2272</v>
      </c>
      <c r="S1507" s="3" t="s">
        <v>2272</v>
      </c>
      <c r="T1507" s="3" t="s">
        <v>2272</v>
      </c>
      <c r="U1507" s="3" t="s">
        <v>2272</v>
      </c>
      <c r="V1507" s="3" t="s">
        <v>2272</v>
      </c>
      <c r="W1507" s="3" t="s">
        <v>2272</v>
      </c>
      <c r="X1507" s="3" t="s">
        <v>2272</v>
      </c>
      <c r="Y1507" s="3" t="s">
        <v>2272</v>
      </c>
      <c r="Z1507" s="3" t="s">
        <v>2272</v>
      </c>
      <c r="AA1507" s="3" t="s">
        <v>2272</v>
      </c>
      <c r="AB1507" s="108" t="s">
        <v>4475</v>
      </c>
      <c r="AC1507" s="3"/>
    </row>
    <row r="1508" spans="1:29" ht="47.5" customHeight="1">
      <c r="A1508" s="147" t="str">
        <f>'Reported burning'!A1508</f>
        <v>176a</v>
      </c>
      <c r="B1508" s="147" t="str">
        <f>'Reported burning'!B1508</f>
        <v>176a.5</v>
      </c>
      <c r="C1508" s="147" t="str">
        <f>'Reported burning'!C1508</f>
        <v>Human, deliberate</v>
      </c>
      <c r="D1508" s="147" t="str">
        <f>'Reported burning'!D1508</f>
        <v>Accessibility</v>
      </c>
      <c r="E1508" s="147" t="str">
        <f>'Reported burning'!E1508</f>
        <v>Pastoralism, Migratory</v>
      </c>
      <c r="F1508" s="147" t="str">
        <f>'Reported burning'!F1508</f>
        <v>Forest</v>
      </c>
      <c r="G1508" s="147" t="str">
        <f>'Reported burning'!G1508</f>
        <v>ND</v>
      </c>
      <c r="H1508" s="147" t="str">
        <f>'Reported burning'!H1508</f>
        <v>Presence</v>
      </c>
      <c r="I1508" s="3"/>
      <c r="J1508" s="3" t="s">
        <v>2272</v>
      </c>
      <c r="K1508" s="198" t="s">
        <v>2272</v>
      </c>
      <c r="L1508" s="3" t="s">
        <v>2272</v>
      </c>
      <c r="M1508" s="3" t="s">
        <v>2272</v>
      </c>
      <c r="N1508" s="3" t="s">
        <v>2272</v>
      </c>
      <c r="O1508" s="3" t="s">
        <v>2272</v>
      </c>
      <c r="P1508" s="3" t="s">
        <v>2272</v>
      </c>
      <c r="Q1508" s="3" t="s">
        <v>2272</v>
      </c>
      <c r="R1508" s="3" t="s">
        <v>2272</v>
      </c>
      <c r="S1508" s="3" t="s">
        <v>2272</v>
      </c>
      <c r="T1508" s="3" t="s">
        <v>2272</v>
      </c>
      <c r="U1508" s="3" t="s">
        <v>2272</v>
      </c>
      <c r="V1508" s="3" t="s">
        <v>2272</v>
      </c>
      <c r="W1508" s="3" t="s">
        <v>2272</v>
      </c>
      <c r="X1508" s="3" t="s">
        <v>2272</v>
      </c>
      <c r="Y1508" s="3" t="s">
        <v>2272</v>
      </c>
      <c r="Z1508" s="3" t="s">
        <v>2272</v>
      </c>
      <c r="AA1508" s="3" t="s">
        <v>2272</v>
      </c>
      <c r="AB1508" s="108" t="s">
        <v>4475</v>
      </c>
      <c r="AC1508" s="3"/>
    </row>
    <row r="1509" spans="1:29" ht="46.5" customHeight="1">
      <c r="A1509" s="147" t="str">
        <f>'Reported burning'!A1509</f>
        <v>176a</v>
      </c>
      <c r="B1509" s="147" t="str">
        <f>'Reported burning'!B1509</f>
        <v>176a.6</v>
      </c>
      <c r="C1509" s="147" t="str">
        <f>'Reported burning'!C1509</f>
        <v>Human, escaped</v>
      </c>
      <c r="D1509" s="147" t="str">
        <f>'Reported burning'!D1509</f>
        <v>All</v>
      </c>
      <c r="E1509" s="147" t="str">
        <f>'Reported burning'!E1509</f>
        <v>Pastoralism, Migratory</v>
      </c>
      <c r="F1509" s="147" t="str">
        <f>'Reported burning'!F1509</f>
        <v>ND</v>
      </c>
      <c r="G1509" s="147" t="str">
        <f>'Reported burning'!G1509</f>
        <v>Forest</v>
      </c>
      <c r="H1509" s="147" t="str">
        <f>'Reported burning'!H1509</f>
        <v>Presence</v>
      </c>
      <c r="I1509" s="3"/>
      <c r="J1509" s="3" t="s">
        <v>2361</v>
      </c>
      <c r="K1509" s="198" t="s">
        <v>2272</v>
      </c>
      <c r="L1509" s="3" t="s">
        <v>2272</v>
      </c>
      <c r="M1509" s="3" t="s">
        <v>2272</v>
      </c>
      <c r="N1509" s="3" t="s">
        <v>2272</v>
      </c>
      <c r="O1509" s="3" t="s">
        <v>2272</v>
      </c>
      <c r="P1509" s="3" t="s">
        <v>2272</v>
      </c>
      <c r="Q1509" s="3" t="s">
        <v>2272</v>
      </c>
      <c r="R1509" s="3" t="s">
        <v>2272</v>
      </c>
      <c r="S1509" s="3" t="s">
        <v>2272</v>
      </c>
      <c r="T1509" s="3" t="s">
        <v>2272</v>
      </c>
      <c r="U1509" s="3" t="s">
        <v>2272</v>
      </c>
      <c r="V1509" s="3" t="s">
        <v>2272</v>
      </c>
      <c r="W1509" s="3" t="s">
        <v>2272</v>
      </c>
      <c r="X1509" s="3" t="s">
        <v>2272</v>
      </c>
      <c r="Y1509" s="3" t="s">
        <v>2272</v>
      </c>
      <c r="Z1509" s="3" t="s">
        <v>2272</v>
      </c>
      <c r="AA1509" s="3" t="s">
        <v>2272</v>
      </c>
      <c r="AB1509" s="3"/>
      <c r="AC1509" s="4" t="s">
        <v>4478</v>
      </c>
    </row>
    <row r="1510" spans="1:29" ht="41" customHeight="1">
      <c r="A1510" s="147" t="str">
        <f>'Reported burning'!A1510</f>
        <v>176a</v>
      </c>
      <c r="B1510" s="147" t="str">
        <f>'Reported burning'!B1510</f>
        <v>176a.7</v>
      </c>
      <c r="C1510" s="147" t="str">
        <f>'Reported burning'!C1510</f>
        <v>Unknown</v>
      </c>
      <c r="D1510" s="147" t="str">
        <f>'Reported burning'!D1510</f>
        <v>ND</v>
      </c>
      <c r="E1510" s="147" t="str">
        <f>'Reported burning'!E1510</f>
        <v>ND</v>
      </c>
      <c r="F1510" s="147" t="str">
        <f>'Reported burning'!F1510</f>
        <v>ND</v>
      </c>
      <c r="G1510" s="147" t="str">
        <f>'Reported burning'!G1510</f>
        <v>Forest</v>
      </c>
      <c r="H1510" s="147" t="str">
        <f>'Reported burning'!H1510</f>
        <v>Presence</v>
      </c>
      <c r="I1510" s="3"/>
      <c r="J1510" s="3" t="s">
        <v>2272</v>
      </c>
      <c r="K1510" s="198" t="s">
        <v>2272</v>
      </c>
      <c r="L1510" s="3" t="s">
        <v>2272</v>
      </c>
      <c r="M1510" s="3" t="s">
        <v>2272</v>
      </c>
      <c r="N1510" s="3" t="s">
        <v>2272</v>
      </c>
      <c r="O1510" s="3" t="s">
        <v>2272</v>
      </c>
      <c r="P1510" s="3" t="s">
        <v>2272</v>
      </c>
      <c r="Q1510" s="3" t="s">
        <v>2272</v>
      </c>
      <c r="R1510" s="3" t="s">
        <v>2272</v>
      </c>
      <c r="S1510" s="3" t="s">
        <v>2272</v>
      </c>
      <c r="T1510" s="3" t="s">
        <v>2272</v>
      </c>
      <c r="U1510" s="3" t="s">
        <v>2272</v>
      </c>
      <c r="V1510" s="3" t="s">
        <v>2272</v>
      </c>
      <c r="W1510" s="3" t="s">
        <v>2272</v>
      </c>
      <c r="X1510" s="3" t="s">
        <v>2272</v>
      </c>
      <c r="Y1510" s="3" t="s">
        <v>37</v>
      </c>
      <c r="Z1510" s="3" t="s">
        <v>37</v>
      </c>
      <c r="AA1510" s="3" t="s">
        <v>2272</v>
      </c>
      <c r="AB1510" s="3"/>
      <c r="AC1510" s="3"/>
    </row>
    <row r="1511" spans="1:29" ht="57.5" customHeight="1">
      <c r="A1511" s="147" t="str">
        <f>'Reported burning'!A1511</f>
        <v>177a</v>
      </c>
      <c r="B1511" s="147" t="str">
        <f>'Reported burning'!B1511</f>
        <v>177a.1</v>
      </c>
      <c r="C1511" s="147" t="str">
        <f>'Reported burning'!C1511</f>
        <v>Human, deliberate</v>
      </c>
      <c r="D1511" s="147" t="str">
        <f>'Reported burning'!D1511</f>
        <v>Pest management</v>
      </c>
      <c r="E1511" s="147" t="str">
        <f>'Reported burning'!E1511</f>
        <v>Pastoralism, Migratory</v>
      </c>
      <c r="F1511" s="147" t="str">
        <f>'Reported burning'!F1511</f>
        <v>Forest</v>
      </c>
      <c r="G1511" s="147" t="str">
        <f>'Reported burning'!G1511</f>
        <v>Forest</v>
      </c>
      <c r="H1511" s="147" t="str">
        <f>'Reported burning'!H1511</f>
        <v>Presence</v>
      </c>
      <c r="I1511" s="3"/>
      <c r="J1511" s="3" t="s">
        <v>2272</v>
      </c>
      <c r="K1511" s="198" t="s">
        <v>2272</v>
      </c>
      <c r="L1511" s="3" t="s">
        <v>2272</v>
      </c>
      <c r="M1511" s="3" t="s">
        <v>2272</v>
      </c>
      <c r="N1511" s="3" t="s">
        <v>2272</v>
      </c>
      <c r="O1511" s="3" t="s">
        <v>2272</v>
      </c>
      <c r="P1511" s="3" t="s">
        <v>2272</v>
      </c>
      <c r="Q1511" s="3" t="s">
        <v>2272</v>
      </c>
      <c r="R1511" s="3" t="s">
        <v>2272</v>
      </c>
      <c r="S1511" s="3" t="s">
        <v>2272</v>
      </c>
      <c r="T1511" s="3" t="s">
        <v>2272</v>
      </c>
      <c r="U1511" s="3" t="s">
        <v>2272</v>
      </c>
      <c r="V1511" s="3" t="s">
        <v>2272</v>
      </c>
      <c r="W1511" s="3" t="s">
        <v>2272</v>
      </c>
      <c r="X1511" s="3" t="s">
        <v>2272</v>
      </c>
      <c r="Y1511" s="3" t="s">
        <v>2272</v>
      </c>
      <c r="Z1511" s="3" t="s">
        <v>2272</v>
      </c>
      <c r="AA1511" s="3" t="s">
        <v>2272</v>
      </c>
      <c r="AB1511" s="4" t="s">
        <v>4489</v>
      </c>
      <c r="AC1511" s="3"/>
    </row>
    <row r="1512" spans="1:29" ht="57.5" customHeight="1">
      <c r="A1512" s="147" t="str">
        <f>'Reported burning'!A1512</f>
        <v>177a</v>
      </c>
      <c r="B1512" s="147" t="str">
        <f>'Reported burning'!B1512</f>
        <v>177a.2</v>
      </c>
      <c r="C1512" s="147" t="str">
        <f>'Reported burning'!C1512</f>
        <v>Human, deliberate</v>
      </c>
      <c r="D1512" s="147" t="str">
        <f>'Reported burning'!D1512</f>
        <v>Forest clearance</v>
      </c>
      <c r="E1512" s="147" t="str">
        <f>'Reported burning'!E1512</f>
        <v>Pastoralism, Migratory</v>
      </c>
      <c r="F1512" s="147" t="str">
        <f>'Reported burning'!F1512</f>
        <v>Forest</v>
      </c>
      <c r="G1512" s="147" t="str">
        <f>'Reported burning'!G1512</f>
        <v>Forest</v>
      </c>
      <c r="H1512" s="147" t="str">
        <f>'Reported burning'!H1512</f>
        <v>Presence</v>
      </c>
      <c r="I1512" s="3"/>
      <c r="J1512" s="3" t="s">
        <v>2272</v>
      </c>
      <c r="K1512" s="198" t="s">
        <v>2272</v>
      </c>
      <c r="L1512" s="3" t="s">
        <v>2272</v>
      </c>
      <c r="M1512" s="3" t="s">
        <v>2272</v>
      </c>
      <c r="N1512" s="3" t="s">
        <v>2272</v>
      </c>
      <c r="O1512" s="3" t="s">
        <v>2272</v>
      </c>
      <c r="P1512" s="3" t="s">
        <v>2272</v>
      </c>
      <c r="Q1512" s="3" t="s">
        <v>2272</v>
      </c>
      <c r="R1512" s="3" t="s">
        <v>2272</v>
      </c>
      <c r="S1512" s="3" t="s">
        <v>2272</v>
      </c>
      <c r="T1512" s="3" t="s">
        <v>2272</v>
      </c>
      <c r="U1512" s="3" t="s">
        <v>2272</v>
      </c>
      <c r="V1512" s="3" t="s">
        <v>2272</v>
      </c>
      <c r="W1512" s="3" t="s">
        <v>2272</v>
      </c>
      <c r="X1512" s="3" t="s">
        <v>2272</v>
      </c>
      <c r="Y1512" s="3" t="s">
        <v>2272</v>
      </c>
      <c r="Z1512" s="3" t="s">
        <v>2272</v>
      </c>
      <c r="AA1512" s="3" t="s">
        <v>2272</v>
      </c>
      <c r="AB1512" s="4" t="s">
        <v>4489</v>
      </c>
      <c r="AC1512" s="3"/>
    </row>
    <row r="1513" spans="1:29" ht="57.5" customHeight="1">
      <c r="A1513" s="147" t="str">
        <f>'Reported burning'!A1513</f>
        <v>177b</v>
      </c>
      <c r="B1513" s="147" t="str">
        <f>'Reported burning'!B1513</f>
        <v>177b.1</v>
      </c>
      <c r="C1513" s="147" t="str">
        <f>'Reported burning'!C1513</f>
        <v>Human, deliberate</v>
      </c>
      <c r="D1513" s="147" t="str">
        <f>'Reported burning'!D1513</f>
        <v>Pest management</v>
      </c>
      <c r="E1513" s="147" t="str">
        <f>'Reported burning'!E1513</f>
        <v>Pastoralism, Migratory</v>
      </c>
      <c r="F1513" s="147" t="str">
        <f>'Reported burning'!F1513</f>
        <v>Shrubland (Mixed forest &amp; grassland)</v>
      </c>
      <c r="G1513" s="147" t="str">
        <f>'Reported burning'!G1513</f>
        <v>ND</v>
      </c>
      <c r="H1513" s="147" t="str">
        <f>'Reported burning'!H1513</f>
        <v>Presence</v>
      </c>
      <c r="I1513" s="3"/>
      <c r="J1513" s="3" t="s">
        <v>2272</v>
      </c>
      <c r="K1513" s="198" t="s">
        <v>2272</v>
      </c>
      <c r="L1513" s="3" t="s">
        <v>2272</v>
      </c>
      <c r="M1513" s="3" t="s">
        <v>2272</v>
      </c>
      <c r="N1513" s="3" t="s">
        <v>2272</v>
      </c>
      <c r="O1513" s="3" t="s">
        <v>2272</v>
      </c>
      <c r="P1513" s="3" t="s">
        <v>2272</v>
      </c>
      <c r="Q1513" s="3" t="s">
        <v>2272</v>
      </c>
      <c r="R1513" s="3" t="s">
        <v>2272</v>
      </c>
      <c r="S1513" s="3" t="s">
        <v>2272</v>
      </c>
      <c r="T1513" s="3" t="s">
        <v>2272</v>
      </c>
      <c r="U1513" s="3" t="s">
        <v>2272</v>
      </c>
      <c r="V1513" s="3" t="s">
        <v>2272</v>
      </c>
      <c r="W1513" s="3" t="s">
        <v>2272</v>
      </c>
      <c r="X1513" s="3" t="s">
        <v>2272</v>
      </c>
      <c r="Y1513" s="3" t="s">
        <v>2272</v>
      </c>
      <c r="Z1513" s="3" t="s">
        <v>2272</v>
      </c>
      <c r="AA1513" s="3" t="s">
        <v>2272</v>
      </c>
      <c r="AB1513" s="4" t="s">
        <v>4489</v>
      </c>
      <c r="AC1513" s="3"/>
    </row>
    <row r="1514" spans="1:29" ht="57.5" customHeight="1">
      <c r="A1514" s="147" t="str">
        <f>'Reported burning'!A1514</f>
        <v>177b</v>
      </c>
      <c r="B1514" s="147" t="str">
        <f>'Reported burning'!B1514</f>
        <v>177b.2</v>
      </c>
      <c r="C1514" s="147" t="str">
        <f>'Reported burning'!C1514</f>
        <v>Human, deliberate</v>
      </c>
      <c r="D1514" s="147" t="str">
        <f>'Reported burning'!D1514</f>
        <v>Pasture renewal</v>
      </c>
      <c r="E1514" s="147" t="str">
        <f>'Reported burning'!E1514</f>
        <v>Pastoralism, Migratory</v>
      </c>
      <c r="F1514" s="147" t="str">
        <f>'Reported burning'!F1514</f>
        <v>Grassland</v>
      </c>
      <c r="G1514" s="147" t="str">
        <f>'Reported burning'!G1514</f>
        <v>ND</v>
      </c>
      <c r="H1514" s="147" t="str">
        <f>'Reported burning'!H1514</f>
        <v>Presence</v>
      </c>
      <c r="I1514" s="3"/>
      <c r="J1514" s="3" t="s">
        <v>2272</v>
      </c>
      <c r="K1514" s="198" t="s">
        <v>2272</v>
      </c>
      <c r="L1514" s="3" t="s">
        <v>2272</v>
      </c>
      <c r="M1514" s="3" t="s">
        <v>2272</v>
      </c>
      <c r="N1514" s="3" t="s">
        <v>2272</v>
      </c>
      <c r="O1514" s="3" t="s">
        <v>2272</v>
      </c>
      <c r="P1514" s="3" t="s">
        <v>2272</v>
      </c>
      <c r="Q1514" s="3" t="s">
        <v>2272</v>
      </c>
      <c r="R1514" s="3" t="s">
        <v>2272</v>
      </c>
      <c r="S1514" s="3" t="s">
        <v>2272</v>
      </c>
      <c r="T1514" s="3" t="s">
        <v>2272</v>
      </c>
      <c r="U1514" s="3" t="s">
        <v>2272</v>
      </c>
      <c r="V1514" s="3" t="s">
        <v>2272</v>
      </c>
      <c r="W1514" s="3" t="s">
        <v>2272</v>
      </c>
      <c r="X1514" s="3" t="s">
        <v>2272</v>
      </c>
      <c r="Y1514" s="3" t="s">
        <v>2272</v>
      </c>
      <c r="Z1514" s="3" t="s">
        <v>2272</v>
      </c>
      <c r="AA1514" s="3" t="s">
        <v>2272</v>
      </c>
      <c r="AB1514" s="4" t="s">
        <v>4490</v>
      </c>
      <c r="AC1514" s="3"/>
    </row>
    <row r="1515" spans="1:29" ht="57.5" customHeight="1">
      <c r="A1515" s="147" t="str">
        <f>'Reported burning'!A1515</f>
        <v>177c</v>
      </c>
      <c r="B1515" s="147" t="str">
        <f>'Reported burning'!B1515</f>
        <v>177c.1</v>
      </c>
      <c r="C1515" s="147" t="str">
        <f>'Reported burning'!C1515</f>
        <v>Human, deliberate</v>
      </c>
      <c r="D1515" s="147" t="str">
        <f>'Reported burning'!D1515</f>
        <v>Domestic</v>
      </c>
      <c r="E1515" s="147" t="str">
        <f>'Reported burning'!E1515</f>
        <v>Pastoralism, Migratory</v>
      </c>
      <c r="F1515" s="147" t="str">
        <f>'Reported burning'!F1515</f>
        <v>ND</v>
      </c>
      <c r="G1515" s="147" t="str">
        <f>'Reported burning'!G1515</f>
        <v>ND</v>
      </c>
      <c r="H1515" s="147" t="str">
        <f>'Reported burning'!H1515</f>
        <v>Presence</v>
      </c>
      <c r="I1515" s="3"/>
      <c r="J1515" s="3" t="s">
        <v>2272</v>
      </c>
      <c r="K1515" s="198" t="s">
        <v>2272</v>
      </c>
      <c r="L1515" s="3" t="s">
        <v>2272</v>
      </c>
      <c r="M1515" s="3" t="s">
        <v>2272</v>
      </c>
      <c r="N1515" s="3" t="s">
        <v>2272</v>
      </c>
      <c r="O1515" s="3" t="s">
        <v>2272</v>
      </c>
      <c r="P1515" s="3" t="s">
        <v>2272</v>
      </c>
      <c r="Q1515" s="3" t="s">
        <v>2272</v>
      </c>
      <c r="R1515" s="3" t="s">
        <v>2272</v>
      </c>
      <c r="S1515" s="3" t="s">
        <v>2272</v>
      </c>
      <c r="T1515" s="3" t="s">
        <v>2272</v>
      </c>
      <c r="U1515" s="3" t="s">
        <v>2272</v>
      </c>
      <c r="V1515" s="3" t="s">
        <v>2272</v>
      </c>
      <c r="W1515" s="3" t="s">
        <v>2272</v>
      </c>
      <c r="X1515" s="3" t="s">
        <v>2272</v>
      </c>
      <c r="Y1515" s="3" t="s">
        <v>2272</v>
      </c>
      <c r="Z1515" s="3" t="s">
        <v>2272</v>
      </c>
      <c r="AA1515" s="3" t="s">
        <v>2272</v>
      </c>
      <c r="AB1515" s="4" t="s">
        <v>4493</v>
      </c>
      <c r="AC1515" s="3"/>
    </row>
    <row r="1516" spans="1:29" ht="57.5" customHeight="1">
      <c r="A1516" s="147" t="str">
        <f>'Reported burning'!A1516</f>
        <v>177d</v>
      </c>
      <c r="B1516" s="147" t="str">
        <f>'Reported burning'!B1516</f>
        <v>177d.1</v>
      </c>
      <c r="C1516" s="147" t="str">
        <f>'Reported burning'!C1516</f>
        <v>Human, deliberate</v>
      </c>
      <c r="D1516" s="147" t="str">
        <f>'Reported burning'!D1516</f>
        <v>Domestic</v>
      </c>
      <c r="E1516" s="147" t="str">
        <f>'Reported burning'!E1516</f>
        <v>Pastoralism, Migratory</v>
      </c>
      <c r="F1516" s="147" t="str">
        <f>'Reported burning'!F1516</f>
        <v>ND</v>
      </c>
      <c r="G1516" s="147" t="str">
        <f>'Reported burning'!G1516</f>
        <v>ND</v>
      </c>
      <c r="H1516" s="147" t="str">
        <f>'Reported burning'!H1516</f>
        <v>Presence</v>
      </c>
      <c r="I1516" s="3"/>
      <c r="J1516" s="3" t="s">
        <v>2272</v>
      </c>
      <c r="K1516" s="198" t="s">
        <v>2272</v>
      </c>
      <c r="L1516" s="3" t="s">
        <v>2272</v>
      </c>
      <c r="M1516" s="3" t="s">
        <v>2272</v>
      </c>
      <c r="N1516" s="3" t="s">
        <v>2272</v>
      </c>
      <c r="O1516" s="3" t="s">
        <v>2272</v>
      </c>
      <c r="P1516" s="3" t="s">
        <v>2272</v>
      </c>
      <c r="Q1516" s="3" t="s">
        <v>2272</v>
      </c>
      <c r="R1516" s="3" t="s">
        <v>2272</v>
      </c>
      <c r="S1516" s="3" t="s">
        <v>2272</v>
      </c>
      <c r="T1516" s="3" t="s">
        <v>2272</v>
      </c>
      <c r="U1516" s="3" t="s">
        <v>2272</v>
      </c>
      <c r="V1516" s="3" t="s">
        <v>2272</v>
      </c>
      <c r="W1516" s="3" t="s">
        <v>2272</v>
      </c>
      <c r="X1516" s="3" t="s">
        <v>2272</v>
      </c>
      <c r="Y1516" s="3" t="s">
        <v>2272</v>
      </c>
      <c r="Z1516" s="3" t="s">
        <v>2272</v>
      </c>
      <c r="AA1516" s="3" t="s">
        <v>2272</v>
      </c>
      <c r="AB1516" s="4" t="s">
        <v>4493</v>
      </c>
      <c r="AC1516" s="3"/>
    </row>
    <row r="1517" spans="1:29" ht="47" customHeight="1">
      <c r="A1517" s="147" t="str">
        <f>'Reported burning'!A1517</f>
        <v>178a</v>
      </c>
      <c r="B1517" s="147" t="str">
        <f>'Reported burning'!B1517</f>
        <v>178a.1</v>
      </c>
      <c r="C1517" s="147" t="str">
        <f>'Reported burning'!C1517</f>
        <v>All</v>
      </c>
      <c r="D1517" s="147" t="str">
        <f>'Reported burning'!D1517</f>
        <v>All</v>
      </c>
      <c r="E1517" s="147" t="str">
        <f>'Reported burning'!E1517</f>
        <v>All</v>
      </c>
      <c r="F1517" s="147" t="str">
        <f>'Reported burning'!F1517</f>
        <v>All</v>
      </c>
      <c r="G1517" s="147" t="str">
        <f>'Reported burning'!G1517</f>
        <v>ND</v>
      </c>
      <c r="H1517" s="147"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t="s">
        <v>2272</v>
      </c>
      <c r="Y1517" s="4" t="s">
        <v>2272</v>
      </c>
      <c r="Z1517" s="4" t="s">
        <v>2272</v>
      </c>
      <c r="AA1517" s="4" t="s">
        <v>2272</v>
      </c>
      <c r="AB1517" s="4" t="s">
        <v>2272</v>
      </c>
      <c r="AC1517" s="170" t="s">
        <v>4504</v>
      </c>
    </row>
    <row r="1518" spans="1:29" ht="47" customHeight="1">
      <c r="A1518" s="147" t="str">
        <f>'Reported burning'!A1518</f>
        <v>178b</v>
      </c>
      <c r="B1518" s="147" t="str">
        <f>'Reported burning'!B1518</f>
        <v>178b.1</v>
      </c>
      <c r="C1518" s="147" t="str">
        <f>'Reported burning'!C1518</f>
        <v>Human, deliberate</v>
      </c>
      <c r="D1518" s="147" t="str">
        <f>'Reported burning'!D1518</f>
        <v>All</v>
      </c>
      <c r="E1518" s="147" t="str">
        <f>'Reported burning'!E1518</f>
        <v>Cattle, Intensive</v>
      </c>
      <c r="F1518" s="147" t="str">
        <f>'Reported burning'!F1518</f>
        <v>All</v>
      </c>
      <c r="G1518" s="147" t="str">
        <f>'Reported burning'!G1518</f>
        <v>ND</v>
      </c>
      <c r="H1518" s="147"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t="s">
        <v>2272</v>
      </c>
      <c r="Y1518" s="4" t="s">
        <v>2272</v>
      </c>
      <c r="Z1518" s="4" t="s">
        <v>2272</v>
      </c>
      <c r="AA1518" s="4" t="s">
        <v>2272</v>
      </c>
      <c r="AB1518" s="4" t="s">
        <v>2272</v>
      </c>
      <c r="AC1518" s="171" t="s">
        <v>4506</v>
      </c>
    </row>
    <row r="1519" spans="1:29" ht="47" customHeight="1">
      <c r="A1519" s="147" t="str">
        <f>'Reported burning'!A1519</f>
        <v>178b</v>
      </c>
      <c r="B1519" s="147" t="str">
        <f>'Reported burning'!B1519</f>
        <v>178b.2</v>
      </c>
      <c r="C1519" s="147" t="str">
        <f>'Reported burning'!C1519</f>
        <v>Human, deliberate</v>
      </c>
      <c r="D1519" s="147" t="str">
        <f>'Reported burning'!D1519</f>
        <v>All</v>
      </c>
      <c r="E1519" s="147" t="str">
        <f>'Reported burning'!E1519</f>
        <v>Cattle, Extensive</v>
      </c>
      <c r="F1519" s="147" t="str">
        <f>'Reported burning'!F1519</f>
        <v>All</v>
      </c>
      <c r="G1519" s="147" t="str">
        <f>'Reported burning'!G1519</f>
        <v>ND</v>
      </c>
      <c r="H1519" s="147"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t="s">
        <v>2272</v>
      </c>
      <c r="Y1519" s="4" t="s">
        <v>2272</v>
      </c>
      <c r="Z1519" s="4" t="s">
        <v>2272</v>
      </c>
      <c r="AA1519" s="4" t="s">
        <v>2272</v>
      </c>
      <c r="AB1519" s="4" t="s">
        <v>2272</v>
      </c>
      <c r="AC1519" s="171" t="s">
        <v>4506</v>
      </c>
    </row>
    <row r="1520" spans="1:29" ht="55" customHeight="1">
      <c r="A1520" s="147" t="str">
        <f>'Reported burning'!A1520</f>
        <v>179a</v>
      </c>
      <c r="B1520" s="147" t="str">
        <f>'Reported burning'!B1520</f>
        <v>179a.1</v>
      </c>
      <c r="C1520" s="147" t="str">
        <f>'Reported burning'!C1520</f>
        <v>All</v>
      </c>
      <c r="D1520" s="147" t="str">
        <f>'Reported burning'!D1520</f>
        <v>All</v>
      </c>
      <c r="E1520" s="147" t="str">
        <f>'Reported burning'!E1520</f>
        <v>All</v>
      </c>
      <c r="F1520" s="147" t="str">
        <f>'Reported burning'!F1520</f>
        <v>All</v>
      </c>
      <c r="G1520" s="147" t="str">
        <f>'Reported burning'!G1520</f>
        <v>ND</v>
      </c>
      <c r="H1520" s="147" t="str">
        <f>'Reported burning'!H1520</f>
        <v>Presence</v>
      </c>
      <c r="I1520" s="3"/>
      <c r="J1520" s="3" t="s">
        <v>2272</v>
      </c>
      <c r="K1520" s="198" t="s">
        <v>2272</v>
      </c>
      <c r="L1520" s="3" t="s">
        <v>2272</v>
      </c>
      <c r="M1520" s="3" t="s">
        <v>2272</v>
      </c>
      <c r="N1520" s="3" t="s">
        <v>2272</v>
      </c>
      <c r="O1520" s="3" t="s">
        <v>2272</v>
      </c>
      <c r="P1520" s="3" t="s">
        <v>2272</v>
      </c>
      <c r="Q1520" s="3" t="s">
        <v>2272</v>
      </c>
      <c r="R1520" s="3" t="s">
        <v>2272</v>
      </c>
      <c r="S1520" s="3" t="s">
        <v>2272</v>
      </c>
      <c r="T1520" s="3" t="s">
        <v>2272</v>
      </c>
      <c r="U1520" s="3" t="s">
        <v>2272</v>
      </c>
      <c r="V1520" s="3" t="s">
        <v>2272</v>
      </c>
      <c r="W1520" s="3" t="s">
        <v>2272</v>
      </c>
      <c r="X1520" s="3" t="s">
        <v>2272</v>
      </c>
      <c r="Y1520" s="3" t="s">
        <v>2272</v>
      </c>
      <c r="Z1520" s="3" t="s">
        <v>2272</v>
      </c>
      <c r="AA1520" s="3" t="s">
        <v>2272</v>
      </c>
      <c r="AB1520" s="4" t="s">
        <v>4533</v>
      </c>
      <c r="AC1520" s="3" t="s">
        <v>4532</v>
      </c>
    </row>
    <row r="1521" spans="1:30" ht="41.5" customHeight="1">
      <c r="A1521" s="147" t="str">
        <f>'Reported burning'!A1521</f>
        <v>179b</v>
      </c>
      <c r="B1521" s="147" t="str">
        <f>'Reported burning'!B1521</f>
        <v>179b.1</v>
      </c>
      <c r="C1521" s="147" t="str">
        <f>'Reported burning'!C1521</f>
        <v>All</v>
      </c>
      <c r="D1521" s="147" t="str">
        <f>'Reported burning'!D1521</f>
        <v>All</v>
      </c>
      <c r="E1521" s="147" t="str">
        <f>'Reported burning'!E1521</f>
        <v>All</v>
      </c>
      <c r="F1521" s="147" t="str">
        <f>'Reported burning'!F1521</f>
        <v>All</v>
      </c>
      <c r="G1521" s="147" t="str">
        <f>'Reported burning'!G1521</f>
        <v>ND</v>
      </c>
      <c r="H1521" s="147" t="str">
        <f>'Reported burning'!H1521</f>
        <v>Presence</v>
      </c>
      <c r="I1521" s="3"/>
      <c r="J1521" s="3" t="s">
        <v>2272</v>
      </c>
      <c r="K1521" s="198" t="s">
        <v>2272</v>
      </c>
      <c r="L1521" s="3" t="s">
        <v>2272</v>
      </c>
      <c r="M1521" s="3" t="s">
        <v>2272</v>
      </c>
      <c r="N1521" s="3" t="s">
        <v>2272</v>
      </c>
      <c r="O1521" s="3" t="s">
        <v>2272</v>
      </c>
      <c r="P1521" s="3" t="s">
        <v>2272</v>
      </c>
      <c r="Q1521" s="3" t="s">
        <v>2272</v>
      </c>
      <c r="R1521" s="3" t="s">
        <v>2272</v>
      </c>
      <c r="S1521" s="3" t="s">
        <v>2272</v>
      </c>
      <c r="T1521" s="3" t="s">
        <v>2272</v>
      </c>
      <c r="U1521" s="3" t="s">
        <v>2272</v>
      </c>
      <c r="V1521" s="3" t="s">
        <v>2272</v>
      </c>
      <c r="W1521" s="3" t="s">
        <v>2272</v>
      </c>
      <c r="X1521" s="3" t="s">
        <v>2272</v>
      </c>
      <c r="Y1521" s="3" t="s">
        <v>2272</v>
      </c>
      <c r="Z1521" s="3" t="s">
        <v>2272</v>
      </c>
      <c r="AA1521" s="3" t="s">
        <v>2272</v>
      </c>
      <c r="AB1521" s="3"/>
      <c r="AC1521" s="3"/>
    </row>
    <row r="1522" spans="1:30" ht="41.5" customHeight="1">
      <c r="A1522" s="147" t="str">
        <f>'Reported burning'!A1522</f>
        <v>179c</v>
      </c>
      <c r="B1522" s="147" t="str">
        <f>'Reported burning'!B1522</f>
        <v>179c.1</v>
      </c>
      <c r="C1522" s="147" t="str">
        <f>'Reported burning'!C1522</f>
        <v>All</v>
      </c>
      <c r="D1522" s="147" t="str">
        <f>'Reported burning'!D1522</f>
        <v>All</v>
      </c>
      <c r="E1522" s="147" t="str">
        <f>'Reported burning'!E1522</f>
        <v>All</v>
      </c>
      <c r="F1522" s="147" t="str">
        <f>'Reported burning'!F1522</f>
        <v>All</v>
      </c>
      <c r="G1522" s="147" t="str">
        <f>'Reported burning'!G1522</f>
        <v>ND</v>
      </c>
      <c r="H1522" s="147" t="str">
        <f>'Reported burning'!H1522</f>
        <v>Presence</v>
      </c>
      <c r="I1522" s="3"/>
      <c r="J1522" s="3" t="s">
        <v>2272</v>
      </c>
      <c r="K1522" s="198" t="s">
        <v>2272</v>
      </c>
      <c r="L1522" s="3" t="s">
        <v>2272</v>
      </c>
      <c r="M1522" s="3" t="s">
        <v>2272</v>
      </c>
      <c r="N1522" s="3" t="s">
        <v>2272</v>
      </c>
      <c r="O1522" s="3" t="s">
        <v>2272</v>
      </c>
      <c r="P1522" s="3" t="s">
        <v>2272</v>
      </c>
      <c r="Q1522" s="3" t="s">
        <v>2272</v>
      </c>
      <c r="R1522" s="3" t="s">
        <v>2272</v>
      </c>
      <c r="S1522" s="3" t="s">
        <v>2272</v>
      </c>
      <c r="T1522" s="3" t="s">
        <v>2272</v>
      </c>
      <c r="U1522" s="3" t="s">
        <v>2272</v>
      </c>
      <c r="V1522" s="3" t="s">
        <v>2272</v>
      </c>
      <c r="W1522" s="3" t="s">
        <v>2272</v>
      </c>
      <c r="X1522" s="3" t="s">
        <v>2272</v>
      </c>
      <c r="Y1522" s="3" t="s">
        <v>2272</v>
      </c>
      <c r="Z1522" s="3" t="s">
        <v>2272</v>
      </c>
      <c r="AA1522" s="3" t="s">
        <v>2272</v>
      </c>
      <c r="AB1522" s="3"/>
      <c r="AC1522" s="3"/>
    </row>
    <row r="1523" spans="1:30" ht="41.5" customHeight="1">
      <c r="A1523" s="147" t="str">
        <f>'Reported burning'!A1523</f>
        <v>179d</v>
      </c>
      <c r="B1523" s="147" t="str">
        <f>'Reported burning'!B1523</f>
        <v>179d.1</v>
      </c>
      <c r="C1523" s="147" t="str">
        <f>'Reported burning'!C1523</f>
        <v>All</v>
      </c>
      <c r="D1523" s="147" t="str">
        <f>'Reported burning'!D1523</f>
        <v>All</v>
      </c>
      <c r="E1523" s="147" t="str">
        <f>'Reported burning'!E1523</f>
        <v>All</v>
      </c>
      <c r="F1523" s="147" t="str">
        <f>'Reported burning'!F1523</f>
        <v>All</v>
      </c>
      <c r="G1523" s="147" t="str">
        <f>'Reported burning'!G1523</f>
        <v>ND</v>
      </c>
      <c r="H1523" s="147" t="str">
        <f>'Reported burning'!H1523</f>
        <v>Presence</v>
      </c>
      <c r="I1523" s="3"/>
      <c r="J1523" s="3" t="s">
        <v>2272</v>
      </c>
      <c r="K1523" s="198" t="s">
        <v>2272</v>
      </c>
      <c r="L1523" s="3" t="s">
        <v>2272</v>
      </c>
      <c r="M1523" s="3" t="s">
        <v>2272</v>
      </c>
      <c r="N1523" s="3" t="s">
        <v>2272</v>
      </c>
      <c r="O1523" s="3" t="s">
        <v>2272</v>
      </c>
      <c r="P1523" s="3" t="s">
        <v>2272</v>
      </c>
      <c r="Q1523" s="3" t="s">
        <v>2272</v>
      </c>
      <c r="R1523" s="3" t="s">
        <v>2272</v>
      </c>
      <c r="S1523" s="3" t="s">
        <v>2272</v>
      </c>
      <c r="T1523" s="3" t="s">
        <v>2272</v>
      </c>
      <c r="U1523" s="3" t="s">
        <v>2272</v>
      </c>
      <c r="V1523" s="3" t="s">
        <v>2272</v>
      </c>
      <c r="W1523" s="3" t="s">
        <v>2272</v>
      </c>
      <c r="X1523" s="3" t="s">
        <v>2272</v>
      </c>
      <c r="Y1523" s="3" t="s">
        <v>2272</v>
      </c>
      <c r="Z1523" s="3" t="s">
        <v>2272</v>
      </c>
      <c r="AA1523" s="3" t="s">
        <v>2272</v>
      </c>
      <c r="AB1523" s="3"/>
      <c r="AC1523" s="3"/>
    </row>
    <row r="1524" spans="1:30" ht="41.5" customHeight="1">
      <c r="A1524" s="147" t="str">
        <f>'Reported burning'!A1524</f>
        <v>179e</v>
      </c>
      <c r="B1524" s="147" t="str">
        <f>'Reported burning'!B1524</f>
        <v>179e.1</v>
      </c>
      <c r="C1524" s="147" t="str">
        <f>'Reported burning'!C1524</f>
        <v>All</v>
      </c>
      <c r="D1524" s="147" t="str">
        <f>'Reported burning'!D1524</f>
        <v>All</v>
      </c>
      <c r="E1524" s="147" t="str">
        <f>'Reported burning'!E1524</f>
        <v>All</v>
      </c>
      <c r="F1524" s="147" t="str">
        <f>'Reported burning'!F1524</f>
        <v>All</v>
      </c>
      <c r="G1524" s="147" t="str">
        <f>'Reported burning'!G1524</f>
        <v>ND</v>
      </c>
      <c r="H1524" s="147" t="str">
        <f>'Reported burning'!H1524</f>
        <v>Presence</v>
      </c>
      <c r="I1524" s="3"/>
      <c r="J1524" s="3" t="s">
        <v>2272</v>
      </c>
      <c r="K1524" s="198" t="s">
        <v>2272</v>
      </c>
      <c r="L1524" s="3" t="s">
        <v>2272</v>
      </c>
      <c r="M1524" s="3" t="s">
        <v>2272</v>
      </c>
      <c r="N1524" s="3" t="s">
        <v>2272</v>
      </c>
      <c r="O1524" s="3" t="s">
        <v>2272</v>
      </c>
      <c r="P1524" s="3" t="s">
        <v>2272</v>
      </c>
      <c r="Q1524" s="3" t="s">
        <v>2272</v>
      </c>
      <c r="R1524" s="3" t="s">
        <v>2272</v>
      </c>
      <c r="S1524" s="3" t="s">
        <v>2272</v>
      </c>
      <c r="T1524" s="3" t="s">
        <v>2272</v>
      </c>
      <c r="U1524" s="3" t="s">
        <v>2272</v>
      </c>
      <c r="V1524" s="3" t="s">
        <v>2272</v>
      </c>
      <c r="W1524" s="3" t="s">
        <v>2272</v>
      </c>
      <c r="X1524" s="3" t="s">
        <v>2272</v>
      </c>
      <c r="Y1524" s="3" t="s">
        <v>2272</v>
      </c>
      <c r="Z1524" s="3" t="s">
        <v>2272</v>
      </c>
      <c r="AA1524" s="3" t="s">
        <v>2272</v>
      </c>
      <c r="AB1524" s="3"/>
      <c r="AC1524" s="3"/>
    </row>
    <row r="1525" spans="1:30" ht="48" customHeight="1">
      <c r="A1525" s="147" t="str">
        <f>'Reported burning'!A1525</f>
        <v>179b</v>
      </c>
      <c r="B1525" s="147" t="str">
        <f>'Reported burning'!B1525</f>
        <v>179b.2</v>
      </c>
      <c r="C1525" s="147" t="str">
        <f>'Reported burning'!C1525</f>
        <v>All</v>
      </c>
      <c r="D1525" s="147" t="str">
        <f>'Reported burning'!D1525</f>
        <v>All</v>
      </c>
      <c r="E1525" s="147" t="str">
        <f>'Reported burning'!E1525</f>
        <v>All</v>
      </c>
      <c r="F1525" s="147" t="str">
        <f>'Reported burning'!F1525</f>
        <v>All</v>
      </c>
      <c r="G1525" s="147" t="str">
        <f>'Reported burning'!G1525</f>
        <v>ND</v>
      </c>
      <c r="H1525" s="147" t="str">
        <f>'Reported burning'!H1525</f>
        <v>Presence</v>
      </c>
      <c r="I1525" s="3"/>
      <c r="J1525" s="3" t="s">
        <v>2272</v>
      </c>
      <c r="K1525" s="198" t="s">
        <v>2272</v>
      </c>
      <c r="L1525" s="3" t="s">
        <v>2272</v>
      </c>
      <c r="M1525" s="3" t="s">
        <v>2272</v>
      </c>
      <c r="N1525" s="3" t="s">
        <v>2272</v>
      </c>
      <c r="O1525" s="3" t="s">
        <v>2272</v>
      </c>
      <c r="P1525" s="3" t="s">
        <v>2272</v>
      </c>
      <c r="Q1525" s="3" t="s">
        <v>2272</v>
      </c>
      <c r="R1525" s="3" t="s">
        <v>2272</v>
      </c>
      <c r="S1525" s="3" t="s">
        <v>2272</v>
      </c>
      <c r="T1525" s="3" t="s">
        <v>2272</v>
      </c>
      <c r="U1525" s="3" t="s">
        <v>2272</v>
      </c>
      <c r="V1525" s="3" t="s">
        <v>2272</v>
      </c>
      <c r="W1525" s="3" t="s">
        <v>2272</v>
      </c>
      <c r="X1525" s="3" t="s">
        <v>2397</v>
      </c>
      <c r="Y1525" s="3" t="s">
        <v>2272</v>
      </c>
      <c r="Z1525" s="3" t="s">
        <v>2272</v>
      </c>
      <c r="AA1525" s="3" t="s">
        <v>2272</v>
      </c>
      <c r="AB1525" s="4" t="s">
        <v>4534</v>
      </c>
      <c r="AC1525" s="3"/>
    </row>
    <row r="1526" spans="1:30" ht="48" customHeight="1">
      <c r="A1526" s="147" t="str">
        <f>'Reported burning'!A1526</f>
        <v>179c</v>
      </c>
      <c r="B1526" s="147" t="str">
        <f>'Reported burning'!B1526</f>
        <v>179c.2</v>
      </c>
      <c r="C1526" s="147" t="str">
        <f>'Reported burning'!C1526</f>
        <v>All</v>
      </c>
      <c r="D1526" s="147" t="str">
        <f>'Reported burning'!D1526</f>
        <v>All</v>
      </c>
      <c r="E1526" s="147" t="str">
        <f>'Reported burning'!E1526</f>
        <v>All</v>
      </c>
      <c r="F1526" s="147" t="str">
        <f>'Reported burning'!F1526</f>
        <v>All</v>
      </c>
      <c r="G1526" s="147" t="str">
        <f>'Reported burning'!G1526</f>
        <v>ND</v>
      </c>
      <c r="H1526" s="147" t="str">
        <f>'Reported burning'!H1526</f>
        <v>Presence</v>
      </c>
      <c r="I1526" s="3"/>
      <c r="J1526" s="3" t="s">
        <v>2272</v>
      </c>
      <c r="K1526" s="198" t="s">
        <v>2272</v>
      </c>
      <c r="L1526" s="3" t="s">
        <v>2272</v>
      </c>
      <c r="M1526" s="3" t="s">
        <v>2272</v>
      </c>
      <c r="N1526" s="3" t="s">
        <v>2272</v>
      </c>
      <c r="O1526" s="3" t="s">
        <v>2272</v>
      </c>
      <c r="P1526" s="3" t="s">
        <v>2272</v>
      </c>
      <c r="Q1526" s="3" t="s">
        <v>2272</v>
      </c>
      <c r="R1526" s="3" t="s">
        <v>2272</v>
      </c>
      <c r="S1526" s="3" t="s">
        <v>2272</v>
      </c>
      <c r="T1526" s="3" t="s">
        <v>2272</v>
      </c>
      <c r="U1526" s="3" t="s">
        <v>2272</v>
      </c>
      <c r="V1526" s="3" t="s">
        <v>2272</v>
      </c>
      <c r="W1526" s="3" t="s">
        <v>2272</v>
      </c>
      <c r="X1526" s="3" t="s">
        <v>2397</v>
      </c>
      <c r="Y1526" s="3" t="s">
        <v>2272</v>
      </c>
      <c r="Z1526" s="3" t="s">
        <v>2272</v>
      </c>
      <c r="AA1526" s="3" t="s">
        <v>2272</v>
      </c>
      <c r="AB1526" s="4" t="s">
        <v>4534</v>
      </c>
      <c r="AC1526" s="3"/>
    </row>
    <row r="1527" spans="1:30" ht="48" customHeight="1">
      <c r="A1527" s="147" t="str">
        <f>'Reported burning'!A1527</f>
        <v>179d</v>
      </c>
      <c r="B1527" s="147" t="str">
        <f>'Reported burning'!B1527</f>
        <v>179d.2</v>
      </c>
      <c r="C1527" s="147" t="str">
        <f>'Reported burning'!C1527</f>
        <v>All</v>
      </c>
      <c r="D1527" s="147" t="str">
        <f>'Reported burning'!D1527</f>
        <v>All</v>
      </c>
      <c r="E1527" s="147" t="str">
        <f>'Reported burning'!E1527</f>
        <v>All</v>
      </c>
      <c r="F1527" s="147" t="str">
        <f>'Reported burning'!F1527</f>
        <v>All</v>
      </c>
      <c r="G1527" s="147" t="str">
        <f>'Reported burning'!G1527</f>
        <v>ND</v>
      </c>
      <c r="H1527" s="147" t="str">
        <f>'Reported burning'!H1527</f>
        <v>Presence</v>
      </c>
      <c r="I1527" s="3"/>
      <c r="J1527" s="3" t="s">
        <v>2272</v>
      </c>
      <c r="K1527" s="198" t="s">
        <v>2272</v>
      </c>
      <c r="L1527" s="3" t="s">
        <v>2272</v>
      </c>
      <c r="M1527" s="3" t="s">
        <v>2272</v>
      </c>
      <c r="N1527" s="3" t="s">
        <v>2272</v>
      </c>
      <c r="O1527" s="3" t="s">
        <v>2272</v>
      </c>
      <c r="P1527" s="3" t="s">
        <v>2272</v>
      </c>
      <c r="Q1527" s="3" t="s">
        <v>2272</v>
      </c>
      <c r="R1527" s="3" t="s">
        <v>2272</v>
      </c>
      <c r="S1527" s="3" t="s">
        <v>2272</v>
      </c>
      <c r="T1527" s="3" t="s">
        <v>2272</v>
      </c>
      <c r="U1527" s="3" t="s">
        <v>2272</v>
      </c>
      <c r="V1527" s="3" t="s">
        <v>2272</v>
      </c>
      <c r="W1527" s="3" t="s">
        <v>2272</v>
      </c>
      <c r="X1527" s="3" t="s">
        <v>2397</v>
      </c>
      <c r="Y1527" s="3" t="s">
        <v>2272</v>
      </c>
      <c r="Z1527" s="3" t="s">
        <v>2272</v>
      </c>
      <c r="AA1527" s="3" t="s">
        <v>2272</v>
      </c>
      <c r="AB1527" s="4" t="s">
        <v>4534</v>
      </c>
      <c r="AC1527" s="3"/>
    </row>
    <row r="1528" spans="1:30" ht="48" customHeight="1">
      <c r="A1528" s="147" t="str">
        <f>'Reported burning'!A1528</f>
        <v>179e</v>
      </c>
      <c r="B1528" s="147" t="str">
        <f>'Reported burning'!B1528</f>
        <v>179e.2</v>
      </c>
      <c r="C1528" s="147" t="str">
        <f>'Reported burning'!C1528</f>
        <v>All</v>
      </c>
      <c r="D1528" s="147" t="str">
        <f>'Reported burning'!D1528</f>
        <v>All</v>
      </c>
      <c r="E1528" s="147" t="str">
        <f>'Reported burning'!E1528</f>
        <v>All</v>
      </c>
      <c r="F1528" s="147" t="str">
        <f>'Reported burning'!F1528</f>
        <v>All</v>
      </c>
      <c r="G1528" s="147" t="str">
        <f>'Reported burning'!G1528</f>
        <v>ND</v>
      </c>
      <c r="H1528" s="147"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t="s">
        <v>2272</v>
      </c>
      <c r="Y1528" s="21">
        <v>0</v>
      </c>
      <c r="Z1528" s="4" t="s">
        <v>2272</v>
      </c>
      <c r="AA1528" s="4" t="s">
        <v>2272</v>
      </c>
      <c r="AB1528" s="4" t="s">
        <v>4535</v>
      </c>
      <c r="AC1528" s="3"/>
      <c r="AD1528" s="132"/>
    </row>
    <row r="1529" spans="1:30" ht="36.5" customHeight="1">
      <c r="A1529" s="147" t="str">
        <f>'Reported burning'!A1529</f>
        <v>180a</v>
      </c>
      <c r="B1529" s="147" t="str">
        <f>'Reported burning'!B1529</f>
        <v>180a.1</v>
      </c>
      <c r="C1529" s="151" t="str">
        <f>'Reported burning'!C1529</f>
        <v>Human, deliberate</v>
      </c>
      <c r="D1529" s="151" t="str">
        <f>'Reported burning'!D1529</f>
        <v>Pasture renewal</v>
      </c>
      <c r="E1529" s="151" t="str">
        <f>'Reported burning'!E1529</f>
        <v>Pastoralism, Migratory</v>
      </c>
      <c r="F1529" s="151" t="str">
        <f>'Reported burning'!F1529</f>
        <v>Shrubland (Mixed forest &amp; grassland)</v>
      </c>
      <c r="G1529" s="151" t="str">
        <f>'Reported burning'!G1529</f>
        <v>ND</v>
      </c>
      <c r="H1529" s="151" t="str">
        <f>'Reported burning'!H1529</f>
        <v>Presence</v>
      </c>
      <c r="I1529" s="5"/>
      <c r="J1529" s="4" t="s">
        <v>2272</v>
      </c>
      <c r="K1529" s="4" t="s">
        <v>2272</v>
      </c>
      <c r="L1529" s="4" t="s">
        <v>2272</v>
      </c>
      <c r="M1529" s="4" t="s">
        <v>2272</v>
      </c>
      <c r="N1529" s="4" t="s">
        <v>2272</v>
      </c>
      <c r="O1529" s="4" t="s">
        <v>2272</v>
      </c>
      <c r="P1529" s="4" t="s">
        <v>2272</v>
      </c>
      <c r="Q1529" s="4" t="s">
        <v>2272</v>
      </c>
      <c r="R1529" s="4" t="s">
        <v>2272</v>
      </c>
      <c r="S1529" s="4" t="s">
        <v>2272</v>
      </c>
      <c r="T1529" s="4" t="s">
        <v>2272</v>
      </c>
      <c r="U1529" s="4" t="s">
        <v>2272</v>
      </c>
      <c r="V1529" s="4" t="s">
        <v>2272</v>
      </c>
      <c r="W1529" s="4" t="s">
        <v>2272</v>
      </c>
      <c r="X1529" s="4" t="s">
        <v>2272</v>
      </c>
      <c r="Y1529" s="4" t="s">
        <v>2272</v>
      </c>
      <c r="Z1529" s="4" t="s">
        <v>2272</v>
      </c>
      <c r="AA1529" s="4" t="s">
        <v>2272</v>
      </c>
      <c r="AB1529" s="3"/>
      <c r="AC1529" s="3"/>
    </row>
    <row r="1530" spans="1:30" ht="36.5" customHeight="1">
      <c r="A1530" s="147" t="str">
        <f>'Reported burning'!A1530</f>
        <v>180a</v>
      </c>
      <c r="B1530" s="147" t="str">
        <f>'Reported burning'!B1530</f>
        <v>180a.2</v>
      </c>
      <c r="C1530" s="147" t="str">
        <f>'Reported burning'!C1530</f>
        <v>Human, deliberate</v>
      </c>
      <c r="D1530" s="147" t="str">
        <f>'Reported burning'!D1530</f>
        <v>Vegetation management</v>
      </c>
      <c r="E1530" s="147" t="str">
        <f>'Reported burning'!E1530</f>
        <v>Cropping, Swidden</v>
      </c>
      <c r="F1530" s="147" t="str">
        <f>'Reported burning'!F1530</f>
        <v>Shrubland (Mixed forest &amp; grassland)</v>
      </c>
      <c r="G1530" s="147" t="str">
        <f>'Reported burning'!G1530</f>
        <v>ND</v>
      </c>
      <c r="H1530" s="147" t="str">
        <f>'Reported burning'!H1530</f>
        <v>Presence</v>
      </c>
      <c r="I1530" s="3"/>
      <c r="J1530" s="4" t="s">
        <v>2272</v>
      </c>
      <c r="K1530" s="4" t="s">
        <v>2272</v>
      </c>
      <c r="L1530" s="4" t="s">
        <v>2272</v>
      </c>
      <c r="M1530" s="4" t="s">
        <v>2272</v>
      </c>
      <c r="N1530" s="4" t="s">
        <v>2272</v>
      </c>
      <c r="O1530" s="4" t="s">
        <v>2272</v>
      </c>
      <c r="P1530" s="4" t="s">
        <v>2272</v>
      </c>
      <c r="Q1530" s="4" t="s">
        <v>2272</v>
      </c>
      <c r="R1530" s="4" t="s">
        <v>2272</v>
      </c>
      <c r="S1530" s="4" t="s">
        <v>2272</v>
      </c>
      <c r="T1530" s="4" t="s">
        <v>2272</v>
      </c>
      <c r="U1530" s="4" t="s">
        <v>2272</v>
      </c>
      <c r="V1530" s="4" t="s">
        <v>2272</v>
      </c>
      <c r="W1530" s="4" t="s">
        <v>2272</v>
      </c>
      <c r="X1530" s="4" t="s">
        <v>2272</v>
      </c>
      <c r="Y1530" s="4" t="s">
        <v>2272</v>
      </c>
      <c r="Z1530" s="4" t="s">
        <v>2272</v>
      </c>
      <c r="AA1530" s="4" t="s">
        <v>2272</v>
      </c>
      <c r="AB1530" s="3"/>
      <c r="AC1530" s="3"/>
    </row>
    <row r="1531" spans="1:30" ht="36.5" customHeight="1">
      <c r="A1531" s="147" t="str">
        <f>'Reported burning'!A1531</f>
        <v>180a</v>
      </c>
      <c r="B1531" s="147" t="str">
        <f>'Reported burning'!B1531</f>
        <v>180a.3</v>
      </c>
      <c r="C1531" s="147" t="str">
        <f>'Reported burning'!C1531</f>
        <v>Human, deliberate</v>
      </c>
      <c r="D1531" s="147" t="str">
        <f>'Reported burning'!D1531</f>
        <v>Vegetation management</v>
      </c>
      <c r="E1531" s="147" t="str">
        <f>'Reported burning'!E1531</f>
        <v>Pastoralism, Migratory</v>
      </c>
      <c r="F1531" s="147" t="str">
        <f>'Reported burning'!F1531</f>
        <v>Shrubland (Mixed forest &amp; grassland)</v>
      </c>
      <c r="G1531" s="147" t="str">
        <f>'Reported burning'!G1531</f>
        <v>ND</v>
      </c>
      <c r="H1531" s="147" t="str">
        <f>'Reported burning'!H1531</f>
        <v>Presence</v>
      </c>
      <c r="I1531" s="3"/>
      <c r="J1531" s="4" t="s">
        <v>2272</v>
      </c>
      <c r="K1531" s="4" t="s">
        <v>2272</v>
      </c>
      <c r="L1531" s="4" t="s">
        <v>2272</v>
      </c>
      <c r="M1531" s="4" t="s">
        <v>2272</v>
      </c>
      <c r="N1531" s="4" t="s">
        <v>2272</v>
      </c>
      <c r="O1531" s="4" t="s">
        <v>2272</v>
      </c>
      <c r="P1531" s="4" t="s">
        <v>2272</v>
      </c>
      <c r="Q1531" s="4" t="s">
        <v>2272</v>
      </c>
      <c r="R1531" s="4" t="s">
        <v>2272</v>
      </c>
      <c r="S1531" s="4" t="s">
        <v>2272</v>
      </c>
      <c r="T1531" s="4" t="s">
        <v>2272</v>
      </c>
      <c r="U1531" s="4" t="s">
        <v>2272</v>
      </c>
      <c r="V1531" s="4" t="s">
        <v>2272</v>
      </c>
      <c r="W1531" s="4" t="s">
        <v>2272</v>
      </c>
      <c r="X1531" s="4" t="s">
        <v>2272</v>
      </c>
      <c r="Y1531" s="4" t="s">
        <v>2272</v>
      </c>
      <c r="Z1531" s="4" t="s">
        <v>2272</v>
      </c>
      <c r="AA1531" s="4" t="s">
        <v>2272</v>
      </c>
      <c r="AB1531" s="3"/>
      <c r="AC1531" s="3"/>
    </row>
    <row r="1532" spans="1:30" ht="36.5" customHeight="1">
      <c r="A1532" s="147" t="str">
        <f>'Reported burning'!A1532</f>
        <v>180a</v>
      </c>
      <c r="B1532" s="147" t="str">
        <f>'Reported burning'!B1532</f>
        <v>180a.4</v>
      </c>
      <c r="C1532" s="147" t="str">
        <f>'Reported burning'!C1532</f>
        <v>Human, deliberate</v>
      </c>
      <c r="D1532" s="147" t="str">
        <f>'Reported burning'!D1532</f>
        <v>Vegetation management</v>
      </c>
      <c r="E1532" s="147" t="str">
        <f>'Reported burning'!E1532</f>
        <v>Forestry, Traditional</v>
      </c>
      <c r="F1532" s="147" t="str">
        <f>'Reported burning'!F1532</f>
        <v>Shrubland (Mixed forest &amp; grassland)</v>
      </c>
      <c r="G1532" s="147" t="str">
        <f>'Reported burning'!G1532</f>
        <v>ND</v>
      </c>
      <c r="H1532" s="147" t="str">
        <f>'Reported burning'!H1532</f>
        <v>Presence</v>
      </c>
      <c r="I1532" s="3"/>
      <c r="J1532" s="4" t="s">
        <v>2272</v>
      </c>
      <c r="K1532" s="4" t="s">
        <v>2272</v>
      </c>
      <c r="L1532" s="4" t="s">
        <v>2272</v>
      </c>
      <c r="M1532" s="4" t="s">
        <v>2272</v>
      </c>
      <c r="N1532" s="4" t="s">
        <v>2272</v>
      </c>
      <c r="O1532" s="4" t="s">
        <v>2272</v>
      </c>
      <c r="P1532" s="4" t="s">
        <v>2272</v>
      </c>
      <c r="Q1532" s="4" t="s">
        <v>2272</v>
      </c>
      <c r="R1532" s="4" t="s">
        <v>2272</v>
      </c>
      <c r="S1532" s="4" t="s">
        <v>2272</v>
      </c>
      <c r="T1532" s="4" t="s">
        <v>2272</v>
      </c>
      <c r="U1532" s="4" t="s">
        <v>2272</v>
      </c>
      <c r="V1532" s="4" t="s">
        <v>2272</v>
      </c>
      <c r="W1532" s="4" t="s">
        <v>2272</v>
      </c>
      <c r="X1532" s="4" t="s">
        <v>2272</v>
      </c>
      <c r="Y1532" s="4" t="s">
        <v>2272</v>
      </c>
      <c r="Z1532" s="4" t="s">
        <v>2272</v>
      </c>
      <c r="AA1532" s="4" t="s">
        <v>2272</v>
      </c>
      <c r="AB1532" s="3"/>
      <c r="AC1532" s="3"/>
    </row>
    <row r="1533" spans="1:30" ht="36.5" customHeight="1">
      <c r="A1533" s="147" t="str">
        <f>'Reported burning'!A1533</f>
        <v>180a</v>
      </c>
      <c r="B1533" s="147" t="str">
        <f>'Reported burning'!B1533</f>
        <v>180a.5</v>
      </c>
      <c r="C1533" s="147" t="str">
        <f>'Reported burning'!C1533</f>
        <v>Human, deliberate</v>
      </c>
      <c r="D1533" s="147" t="str">
        <f>'Reported burning'!D1533</f>
        <v>Fishing</v>
      </c>
      <c r="E1533" s="147" t="str">
        <f>'Reported burning'!E1533</f>
        <v>Pastoralism, Migratory</v>
      </c>
      <c r="F1533" s="147" t="str">
        <f>'Reported burning'!F1533</f>
        <v>Shrubland (Mixed forest &amp; grassland)</v>
      </c>
      <c r="G1533" s="147" t="str">
        <f>'Reported burning'!G1533</f>
        <v>ND</v>
      </c>
      <c r="H1533" s="147" t="str">
        <f>'Reported burning'!H1533</f>
        <v>Presence</v>
      </c>
      <c r="I1533" s="3"/>
      <c r="J1533" s="4" t="s">
        <v>2272</v>
      </c>
      <c r="K1533" s="4" t="s">
        <v>2272</v>
      </c>
      <c r="L1533" s="4" t="s">
        <v>2272</v>
      </c>
      <c r="M1533" s="4" t="s">
        <v>2272</v>
      </c>
      <c r="N1533" s="4" t="s">
        <v>2272</v>
      </c>
      <c r="O1533" s="4" t="s">
        <v>2272</v>
      </c>
      <c r="P1533" s="4" t="s">
        <v>2272</v>
      </c>
      <c r="Q1533" s="4" t="s">
        <v>2272</v>
      </c>
      <c r="R1533" s="4" t="s">
        <v>2272</v>
      </c>
      <c r="S1533" s="4" t="s">
        <v>2272</v>
      </c>
      <c r="T1533" s="4" t="s">
        <v>2272</v>
      </c>
      <c r="U1533" s="4" t="s">
        <v>2272</v>
      </c>
      <c r="V1533" s="4" t="s">
        <v>2272</v>
      </c>
      <c r="W1533" s="4" t="s">
        <v>2272</v>
      </c>
      <c r="X1533" s="4" t="s">
        <v>2272</v>
      </c>
      <c r="Y1533" s="4" t="s">
        <v>2272</v>
      </c>
      <c r="Z1533" s="4" t="s">
        <v>2272</v>
      </c>
      <c r="AA1533" s="4" t="s">
        <v>2272</v>
      </c>
      <c r="AB1533" s="3"/>
      <c r="AC1533" s="3"/>
    </row>
    <row r="1534" spans="1:30" ht="36.5" customHeight="1">
      <c r="A1534" s="147" t="str">
        <f>'Reported burning'!A1534</f>
        <v>180a</v>
      </c>
      <c r="B1534" s="147" t="str">
        <f>'Reported burning'!B1534</f>
        <v>180a.6</v>
      </c>
      <c r="C1534" s="147" t="str">
        <f>'Reported burning'!C1534</f>
        <v>Human, deliberate</v>
      </c>
      <c r="D1534" s="147" t="str">
        <f>'Reported burning'!D1534</f>
        <v>Accessibility</v>
      </c>
      <c r="E1534" s="147" t="str">
        <f>'Reported burning'!E1534</f>
        <v>Forestry, Traditional</v>
      </c>
      <c r="F1534" s="147" t="str">
        <f>'Reported burning'!F1534</f>
        <v>Shrubland (Mixed forest &amp; grassland)</v>
      </c>
      <c r="G1534" s="147" t="str">
        <f>'Reported burning'!G1534</f>
        <v>ND</v>
      </c>
      <c r="H1534" s="147" t="str">
        <f>'Reported burning'!H1534</f>
        <v>Presence</v>
      </c>
      <c r="I1534" s="3"/>
      <c r="J1534" s="4" t="s">
        <v>2272</v>
      </c>
      <c r="K1534" s="4" t="s">
        <v>2272</v>
      </c>
      <c r="L1534" s="4" t="s">
        <v>2272</v>
      </c>
      <c r="M1534" s="4" t="s">
        <v>2272</v>
      </c>
      <c r="N1534" s="4" t="s">
        <v>2272</v>
      </c>
      <c r="O1534" s="4" t="s">
        <v>2272</v>
      </c>
      <c r="P1534" s="4" t="s">
        <v>2272</v>
      </c>
      <c r="Q1534" s="4" t="s">
        <v>2272</v>
      </c>
      <c r="R1534" s="4" t="s">
        <v>2272</v>
      </c>
      <c r="S1534" s="4" t="s">
        <v>2272</v>
      </c>
      <c r="T1534" s="4" t="s">
        <v>2272</v>
      </c>
      <c r="U1534" s="4" t="s">
        <v>2272</v>
      </c>
      <c r="V1534" s="4" t="s">
        <v>2272</v>
      </c>
      <c r="W1534" s="4" t="s">
        <v>2272</v>
      </c>
      <c r="X1534" s="4" t="s">
        <v>2272</v>
      </c>
      <c r="Y1534" s="4" t="s">
        <v>2272</v>
      </c>
      <c r="Z1534" s="4" t="s">
        <v>2272</v>
      </c>
      <c r="AA1534" s="4" t="s">
        <v>2272</v>
      </c>
      <c r="AB1534" s="3"/>
      <c r="AC1534" s="3"/>
    </row>
    <row r="1535" spans="1:30" ht="36.5" customHeight="1">
      <c r="A1535" s="147" t="str">
        <f>'Reported burning'!A1535</f>
        <v>180a</v>
      </c>
      <c r="B1535" s="147" t="str">
        <f>'Reported burning'!B1535</f>
        <v>180a.7</v>
      </c>
      <c r="C1535" s="147" t="str">
        <f>'Reported burning'!C1535</f>
        <v>Human, deliberate</v>
      </c>
      <c r="D1535" s="147" t="str">
        <f>'Reported burning'!D1535</f>
        <v>Crop field preparation</v>
      </c>
      <c r="E1535" s="147" t="str">
        <f>'Reported burning'!E1535</f>
        <v>Cropping, Swidden</v>
      </c>
      <c r="F1535" s="147" t="str">
        <f>'Reported burning'!F1535</f>
        <v>Shrubland (Mixed forest &amp; grassland)</v>
      </c>
      <c r="G1535" s="147" t="str">
        <f>'Reported burning'!G1535</f>
        <v>ND</v>
      </c>
      <c r="H1535" s="147" t="str">
        <f>'Reported burning'!H1535</f>
        <v>Presence</v>
      </c>
      <c r="I1535" s="3"/>
      <c r="J1535" s="4" t="s">
        <v>2272</v>
      </c>
      <c r="K1535" s="4" t="s">
        <v>2272</v>
      </c>
      <c r="L1535" s="4" t="s">
        <v>2272</v>
      </c>
      <c r="M1535" s="4" t="s">
        <v>2272</v>
      </c>
      <c r="N1535" s="4" t="s">
        <v>2272</v>
      </c>
      <c r="O1535" s="4" t="s">
        <v>2272</v>
      </c>
      <c r="P1535" s="4" t="s">
        <v>2272</v>
      </c>
      <c r="Q1535" s="4" t="s">
        <v>2272</v>
      </c>
      <c r="R1535" s="4" t="s">
        <v>2272</v>
      </c>
      <c r="S1535" s="4" t="s">
        <v>2272</v>
      </c>
      <c r="T1535" s="4" t="s">
        <v>2272</v>
      </c>
      <c r="U1535" s="4" t="s">
        <v>2272</v>
      </c>
      <c r="V1535" s="4" t="s">
        <v>2272</v>
      </c>
      <c r="W1535" s="4" t="s">
        <v>2272</v>
      </c>
      <c r="X1535" s="4" t="s">
        <v>2272</v>
      </c>
      <c r="Y1535" s="4" t="s">
        <v>2272</v>
      </c>
      <c r="Z1535" s="4" t="s">
        <v>2272</v>
      </c>
      <c r="AA1535" s="4" t="s">
        <v>2272</v>
      </c>
      <c r="AB1535" s="3"/>
      <c r="AC1535" s="3"/>
    </row>
    <row r="1536" spans="1:30" ht="36.5" customHeight="1">
      <c r="A1536" s="147" t="str">
        <f>'Reported burning'!A1536</f>
        <v>180a</v>
      </c>
      <c r="B1536" s="147" t="str">
        <f>'Reported burning'!B1536</f>
        <v>180a.8</v>
      </c>
      <c r="C1536" s="147" t="str">
        <f>'Reported burning'!C1536</f>
        <v>Human, deliberate</v>
      </c>
      <c r="D1536" s="147" t="str">
        <f>'Reported burning'!D1536</f>
        <v>Land clearance</v>
      </c>
      <c r="E1536" s="147" t="str">
        <f>'Reported burning'!E1536</f>
        <v>Cropping, Swidden</v>
      </c>
      <c r="F1536" s="147" t="str">
        <f>'Reported burning'!F1536</f>
        <v>Shrubland (Mixed forest &amp; grassland)</v>
      </c>
      <c r="G1536" s="147" t="str">
        <f>'Reported burning'!G1536</f>
        <v>ND</v>
      </c>
      <c r="H1536" s="147" t="str">
        <f>'Reported burning'!H1536</f>
        <v>Presence</v>
      </c>
      <c r="I1536" s="3"/>
      <c r="J1536" s="4" t="s">
        <v>2272</v>
      </c>
      <c r="K1536" s="4" t="s">
        <v>2272</v>
      </c>
      <c r="L1536" s="4" t="s">
        <v>2272</v>
      </c>
      <c r="M1536" s="4" t="s">
        <v>2272</v>
      </c>
      <c r="N1536" s="4" t="s">
        <v>2272</v>
      </c>
      <c r="O1536" s="4" t="s">
        <v>2272</v>
      </c>
      <c r="P1536" s="4" t="s">
        <v>2272</v>
      </c>
      <c r="Q1536" s="4" t="s">
        <v>2272</v>
      </c>
      <c r="R1536" s="4" t="s">
        <v>2272</v>
      </c>
      <c r="S1536" s="4" t="s">
        <v>2272</v>
      </c>
      <c r="T1536" s="4" t="s">
        <v>2272</v>
      </c>
      <c r="U1536" s="4" t="s">
        <v>2272</v>
      </c>
      <c r="V1536" s="4" t="s">
        <v>2272</v>
      </c>
      <c r="W1536" s="4" t="s">
        <v>2272</v>
      </c>
      <c r="X1536" s="4" t="s">
        <v>2272</v>
      </c>
      <c r="Y1536" s="4" t="s">
        <v>2272</v>
      </c>
      <c r="Z1536" s="4" t="s">
        <v>2272</v>
      </c>
      <c r="AA1536" s="4" t="s">
        <v>2272</v>
      </c>
      <c r="AB1536" s="3"/>
      <c r="AC1536" s="3"/>
    </row>
    <row r="1537" spans="1:29" ht="36.5" customHeight="1">
      <c r="A1537" s="147" t="str">
        <f>'Reported burning'!A1537</f>
        <v>180a</v>
      </c>
      <c r="B1537" s="147" t="str">
        <f>'Reported burning'!B1537</f>
        <v>180a.9</v>
      </c>
      <c r="C1537" s="147" t="str">
        <f>'Reported burning'!C1537</f>
        <v>Human, deliberate</v>
      </c>
      <c r="D1537" s="147" t="str">
        <f>'Reported burning'!D1537</f>
        <v>Harvesting of NTFP</v>
      </c>
      <c r="E1537" s="147" t="str">
        <f>'Reported burning'!E1537</f>
        <v>Forestry, Traditional</v>
      </c>
      <c r="F1537" s="147" t="str">
        <f>'Reported burning'!F1537</f>
        <v>Shrubland (Mixed forest &amp; grassland)</v>
      </c>
      <c r="G1537" s="147" t="str">
        <f>'Reported burning'!G1537</f>
        <v>ND</v>
      </c>
      <c r="H1537" s="147" t="str">
        <f>'Reported burning'!H1537</f>
        <v>Presence</v>
      </c>
      <c r="I1537" s="3"/>
      <c r="J1537" s="4" t="s">
        <v>2272</v>
      </c>
      <c r="K1537" s="4" t="s">
        <v>2272</v>
      </c>
      <c r="L1537" s="4" t="s">
        <v>2272</v>
      </c>
      <c r="M1537" s="4" t="s">
        <v>2272</v>
      </c>
      <c r="N1537" s="4" t="s">
        <v>2272</v>
      </c>
      <c r="O1537" s="4" t="s">
        <v>2272</v>
      </c>
      <c r="P1537" s="4" t="s">
        <v>2272</v>
      </c>
      <c r="Q1537" s="4" t="s">
        <v>2272</v>
      </c>
      <c r="R1537" s="4" t="s">
        <v>2272</v>
      </c>
      <c r="S1537" s="4" t="s">
        <v>2272</v>
      </c>
      <c r="T1537" s="4" t="s">
        <v>2272</v>
      </c>
      <c r="U1537" s="4" t="s">
        <v>2272</v>
      </c>
      <c r="V1537" s="4" t="s">
        <v>2272</v>
      </c>
      <c r="W1537" s="4" t="s">
        <v>2272</v>
      </c>
      <c r="X1537" s="4" t="s">
        <v>2272</v>
      </c>
      <c r="Y1537" s="4" t="s">
        <v>2272</v>
      </c>
      <c r="Z1537" s="4" t="s">
        <v>2272</v>
      </c>
      <c r="AA1537" s="4" t="s">
        <v>2272</v>
      </c>
      <c r="AB1537" s="4" t="s">
        <v>4554</v>
      </c>
      <c r="AC1537" s="3"/>
    </row>
    <row r="1538" spans="1:29" ht="36.5" customHeight="1">
      <c r="A1538" s="147" t="str">
        <f>'Reported burning'!A1538</f>
        <v>180a</v>
      </c>
      <c r="B1538" s="147" t="str">
        <f>'Reported burning'!B1538</f>
        <v>180a.10</v>
      </c>
      <c r="C1538" s="147" t="str">
        <f>'Reported burning'!C1538</f>
        <v>Human, deliberate</v>
      </c>
      <c r="D1538" s="147" t="str">
        <f>'Reported burning'!D1538</f>
        <v>Pest management</v>
      </c>
      <c r="E1538" s="147" t="str">
        <f>'Reported burning'!E1538</f>
        <v>Pastoralism, Migratory</v>
      </c>
      <c r="F1538" s="147" t="str">
        <f>'Reported burning'!F1538</f>
        <v>Shrubland (Mixed forest &amp; grassland)</v>
      </c>
      <c r="G1538" s="147" t="str">
        <f>'Reported burning'!G1538</f>
        <v>ND</v>
      </c>
      <c r="H1538" s="147" t="str">
        <f>'Reported burning'!H1538</f>
        <v>Presence</v>
      </c>
      <c r="I1538" s="3"/>
      <c r="J1538" s="4" t="s">
        <v>2272</v>
      </c>
      <c r="K1538" s="4" t="s">
        <v>2272</v>
      </c>
      <c r="L1538" s="4" t="s">
        <v>2272</v>
      </c>
      <c r="M1538" s="4" t="s">
        <v>2272</v>
      </c>
      <c r="N1538" s="4" t="s">
        <v>2272</v>
      </c>
      <c r="O1538" s="4" t="s">
        <v>2272</v>
      </c>
      <c r="P1538" s="4" t="s">
        <v>2272</v>
      </c>
      <c r="Q1538" s="4" t="s">
        <v>2272</v>
      </c>
      <c r="R1538" s="4" t="s">
        <v>2272</v>
      </c>
      <c r="S1538" s="4" t="s">
        <v>2272</v>
      </c>
      <c r="T1538" s="4" t="s">
        <v>2272</v>
      </c>
      <c r="U1538" s="4" t="s">
        <v>2272</v>
      </c>
      <c r="V1538" s="4" t="s">
        <v>2272</v>
      </c>
      <c r="W1538" s="4" t="s">
        <v>2272</v>
      </c>
      <c r="X1538" s="4" t="s">
        <v>2272</v>
      </c>
      <c r="Y1538" s="4" t="s">
        <v>2272</v>
      </c>
      <c r="Z1538" s="4" t="s">
        <v>2272</v>
      </c>
      <c r="AA1538" s="4" t="s">
        <v>2272</v>
      </c>
      <c r="AB1538" s="3"/>
      <c r="AC1538" s="3"/>
    </row>
    <row r="1539" spans="1:29" ht="55.5" customHeight="1">
      <c r="A1539" s="147" t="str">
        <f>'Reported burning'!A1539</f>
        <v>180a</v>
      </c>
      <c r="B1539" s="147" t="str">
        <f>'Reported burning'!B1539</f>
        <v>180a.11</v>
      </c>
      <c r="C1539" s="147" t="str">
        <f>'Reported burning'!C1539</f>
        <v>Human, deliberate</v>
      </c>
      <c r="D1539" s="147" t="str">
        <f>'Reported burning'!D1539</f>
        <v>All</v>
      </c>
      <c r="E1539" s="147" t="str">
        <f>'Reported burning'!E1539</f>
        <v>Pastoralism, Migratory</v>
      </c>
      <c r="F1539" s="147" t="str">
        <f>'Reported burning'!F1539</f>
        <v>Shrubland (Mixed forest &amp; grassland)</v>
      </c>
      <c r="G1539" s="147" t="str">
        <f>'Reported burning'!G1539</f>
        <v>ND</v>
      </c>
      <c r="H1539" s="147" t="str">
        <f>'Reported burning'!H1539</f>
        <v>Presence</v>
      </c>
      <c r="I1539" s="3"/>
      <c r="J1539" s="4" t="s">
        <v>2272</v>
      </c>
      <c r="K1539" s="4" t="s">
        <v>2272</v>
      </c>
      <c r="L1539" s="4" t="s">
        <v>2272</v>
      </c>
      <c r="M1539" s="4" t="s">
        <v>2272</v>
      </c>
      <c r="N1539" s="4" t="s">
        <v>2272</v>
      </c>
      <c r="O1539" s="4" t="s">
        <v>2272</v>
      </c>
      <c r="P1539" s="4" t="s">
        <v>2272</v>
      </c>
      <c r="Q1539" s="4" t="s">
        <v>2272</v>
      </c>
      <c r="R1539" s="4" t="s">
        <v>2272</v>
      </c>
      <c r="S1539" s="4" t="s">
        <v>2272</v>
      </c>
      <c r="T1539" s="4" t="s">
        <v>2272</v>
      </c>
      <c r="U1539" s="4" t="s">
        <v>2272</v>
      </c>
      <c r="V1539" s="4" t="s">
        <v>2272</v>
      </c>
      <c r="W1539" s="4" t="s">
        <v>2272</v>
      </c>
      <c r="X1539" s="4" t="s">
        <v>2272</v>
      </c>
      <c r="Y1539" s="4" t="s">
        <v>2272</v>
      </c>
      <c r="Z1539" s="4" t="s">
        <v>2272</v>
      </c>
      <c r="AA1539" s="4" t="s">
        <v>2272</v>
      </c>
      <c r="AB1539" s="4"/>
      <c r="AC1539" s="3"/>
    </row>
    <row r="1540" spans="1:29" ht="36.5" customHeight="1">
      <c r="A1540" s="147" t="str">
        <f>'Reported burning'!A1540</f>
        <v>180b</v>
      </c>
      <c r="B1540" s="147" t="str">
        <f>'Reported burning'!B1540</f>
        <v>180b.1</v>
      </c>
      <c r="C1540" s="147" t="str">
        <f>'Reported burning'!C1540</f>
        <v>Human, deliberate</v>
      </c>
      <c r="D1540" s="147" t="str">
        <f>'Reported burning'!D1540</f>
        <v>Pasture renewal</v>
      </c>
      <c r="E1540" s="147" t="str">
        <f>'Reported burning'!E1540</f>
        <v>Pastoralism, Migratory</v>
      </c>
      <c r="F1540" s="147" t="str">
        <f>'Reported burning'!F1540</f>
        <v>Shrubland (Mixed forest &amp; grassland)</v>
      </c>
      <c r="G1540" s="147" t="str">
        <f>'Reported burning'!G1540</f>
        <v>ND</v>
      </c>
      <c r="H1540" s="147" t="str">
        <f>'Reported burning'!H1540</f>
        <v>Presence</v>
      </c>
      <c r="I1540" s="3"/>
      <c r="J1540" s="4" t="s">
        <v>2272</v>
      </c>
      <c r="K1540" s="4" t="s">
        <v>2272</v>
      </c>
      <c r="L1540" s="4" t="s">
        <v>2272</v>
      </c>
      <c r="M1540" s="4" t="s">
        <v>2272</v>
      </c>
      <c r="N1540" s="4" t="s">
        <v>2272</v>
      </c>
      <c r="O1540" s="4" t="s">
        <v>2272</v>
      </c>
      <c r="P1540" s="4" t="s">
        <v>2272</v>
      </c>
      <c r="Q1540" s="4" t="s">
        <v>2272</v>
      </c>
      <c r="R1540" s="4" t="s">
        <v>2272</v>
      </c>
      <c r="S1540" s="4" t="s">
        <v>2272</v>
      </c>
      <c r="T1540" s="4" t="s">
        <v>2272</v>
      </c>
      <c r="U1540" s="4" t="s">
        <v>2272</v>
      </c>
      <c r="V1540" s="4" t="s">
        <v>2272</v>
      </c>
      <c r="W1540" s="4" t="s">
        <v>2272</v>
      </c>
      <c r="X1540" s="4" t="s">
        <v>2272</v>
      </c>
      <c r="Y1540" s="4" t="s">
        <v>2272</v>
      </c>
      <c r="Z1540" s="4" t="s">
        <v>2272</v>
      </c>
      <c r="AA1540" s="4" t="s">
        <v>2272</v>
      </c>
      <c r="AB1540" s="3"/>
      <c r="AC1540" s="3"/>
    </row>
    <row r="1541" spans="1:29" ht="36.5" customHeight="1">
      <c r="A1541" s="147" t="str">
        <f>'Reported burning'!A1541</f>
        <v>180b</v>
      </c>
      <c r="B1541" s="147" t="str">
        <f>'Reported burning'!B1541</f>
        <v>180b.2</v>
      </c>
      <c r="C1541" s="147" t="str">
        <f>'Reported burning'!C1541</f>
        <v>Human, deliberate</v>
      </c>
      <c r="D1541" s="147" t="str">
        <f>'Reported burning'!D1541</f>
        <v>Vegetation management</v>
      </c>
      <c r="E1541" s="147" t="str">
        <f>'Reported burning'!E1541</f>
        <v>Cropping, Swidden</v>
      </c>
      <c r="F1541" s="147" t="str">
        <f>'Reported burning'!F1541</f>
        <v>Shrubland (Mixed forest &amp; grassland)</v>
      </c>
      <c r="G1541" s="147" t="str">
        <f>'Reported burning'!G1541</f>
        <v>ND</v>
      </c>
      <c r="H1541" s="147" t="str">
        <f>'Reported burning'!H1541</f>
        <v>Presence</v>
      </c>
      <c r="I1541" s="3"/>
      <c r="J1541" s="4" t="s">
        <v>2272</v>
      </c>
      <c r="K1541" s="4" t="s">
        <v>2272</v>
      </c>
      <c r="L1541" s="4" t="s">
        <v>2272</v>
      </c>
      <c r="M1541" s="4" t="s">
        <v>2272</v>
      </c>
      <c r="N1541" s="4" t="s">
        <v>2272</v>
      </c>
      <c r="O1541" s="4" t="s">
        <v>2272</v>
      </c>
      <c r="P1541" s="4" t="s">
        <v>2272</v>
      </c>
      <c r="Q1541" s="4" t="s">
        <v>2272</v>
      </c>
      <c r="R1541" s="4" t="s">
        <v>2272</v>
      </c>
      <c r="S1541" s="4" t="s">
        <v>2272</v>
      </c>
      <c r="T1541" s="4" t="s">
        <v>2272</v>
      </c>
      <c r="U1541" s="4" t="s">
        <v>2272</v>
      </c>
      <c r="V1541" s="4" t="s">
        <v>2272</v>
      </c>
      <c r="W1541" s="4" t="s">
        <v>2272</v>
      </c>
      <c r="X1541" s="4" t="s">
        <v>2272</v>
      </c>
      <c r="Y1541" s="4" t="s">
        <v>2272</v>
      </c>
      <c r="Z1541" s="4" t="s">
        <v>2272</v>
      </c>
      <c r="AA1541" s="4" t="s">
        <v>2272</v>
      </c>
      <c r="AB1541" s="3"/>
      <c r="AC1541" s="3"/>
    </row>
    <row r="1542" spans="1:29" ht="36.5" customHeight="1">
      <c r="A1542" s="147" t="str">
        <f>'Reported burning'!A1542</f>
        <v>180b</v>
      </c>
      <c r="B1542" s="147" t="str">
        <f>'Reported burning'!B1542</f>
        <v>180b.3</v>
      </c>
      <c r="C1542" s="147" t="str">
        <f>'Reported burning'!C1542</f>
        <v>Human, deliberate</v>
      </c>
      <c r="D1542" s="147" t="str">
        <f>'Reported burning'!D1542</f>
        <v>Vegetation management</v>
      </c>
      <c r="E1542" s="147" t="str">
        <f>'Reported burning'!E1542</f>
        <v>Pastoralism, Migratory</v>
      </c>
      <c r="F1542" s="147" t="str">
        <f>'Reported burning'!F1542</f>
        <v>Shrubland (Mixed forest &amp; grassland)</v>
      </c>
      <c r="G1542" s="147" t="str">
        <f>'Reported burning'!G1542</f>
        <v>ND</v>
      </c>
      <c r="H1542" s="147" t="str">
        <f>'Reported burning'!H1542</f>
        <v>Presence</v>
      </c>
      <c r="I1542" s="3"/>
      <c r="J1542" s="4" t="s">
        <v>2272</v>
      </c>
      <c r="K1542" s="4" t="s">
        <v>2272</v>
      </c>
      <c r="L1542" s="4" t="s">
        <v>2272</v>
      </c>
      <c r="M1542" s="4" t="s">
        <v>2272</v>
      </c>
      <c r="N1542" s="4" t="s">
        <v>2272</v>
      </c>
      <c r="O1542" s="4" t="s">
        <v>2272</v>
      </c>
      <c r="P1542" s="4" t="s">
        <v>2272</v>
      </c>
      <c r="Q1542" s="4" t="s">
        <v>2272</v>
      </c>
      <c r="R1542" s="4" t="s">
        <v>2272</v>
      </c>
      <c r="S1542" s="4" t="s">
        <v>2272</v>
      </c>
      <c r="T1542" s="4" t="s">
        <v>2272</v>
      </c>
      <c r="U1542" s="4" t="s">
        <v>2272</v>
      </c>
      <c r="V1542" s="4" t="s">
        <v>2272</v>
      </c>
      <c r="W1542" s="4" t="s">
        <v>2272</v>
      </c>
      <c r="X1542" s="4" t="s">
        <v>2272</v>
      </c>
      <c r="Y1542" s="4" t="s">
        <v>2272</v>
      </c>
      <c r="Z1542" s="4" t="s">
        <v>2272</v>
      </c>
      <c r="AA1542" s="4" t="s">
        <v>2272</v>
      </c>
      <c r="AB1542" s="3"/>
      <c r="AC1542" s="3"/>
    </row>
    <row r="1543" spans="1:29" ht="36.5" customHeight="1">
      <c r="A1543" s="147" t="str">
        <f>'Reported burning'!A1543</f>
        <v>180b</v>
      </c>
      <c r="B1543" s="147" t="str">
        <f>'Reported burning'!B1543</f>
        <v>180b.4</v>
      </c>
      <c r="C1543" s="147" t="str">
        <f>'Reported burning'!C1543</f>
        <v>Human, deliberate</v>
      </c>
      <c r="D1543" s="147" t="str">
        <f>'Reported burning'!D1543</f>
        <v>Vegetation management</v>
      </c>
      <c r="E1543" s="147" t="str">
        <f>'Reported burning'!E1543</f>
        <v>Forestry, Traditional</v>
      </c>
      <c r="F1543" s="147" t="str">
        <f>'Reported burning'!F1543</f>
        <v>Shrubland (Mixed forest &amp; grassland)</v>
      </c>
      <c r="G1543" s="147" t="str">
        <f>'Reported burning'!G1543</f>
        <v>ND</v>
      </c>
      <c r="H1543" s="147" t="str">
        <f>'Reported burning'!H1543</f>
        <v>Presence</v>
      </c>
      <c r="I1543" s="3"/>
      <c r="J1543" s="4" t="s">
        <v>2272</v>
      </c>
      <c r="K1543" s="4" t="s">
        <v>2272</v>
      </c>
      <c r="L1543" s="4" t="s">
        <v>2272</v>
      </c>
      <c r="M1543" s="4" t="s">
        <v>2272</v>
      </c>
      <c r="N1543" s="4" t="s">
        <v>2272</v>
      </c>
      <c r="O1543" s="4" t="s">
        <v>2272</v>
      </c>
      <c r="P1543" s="4" t="s">
        <v>2272</v>
      </c>
      <c r="Q1543" s="4" t="s">
        <v>2272</v>
      </c>
      <c r="R1543" s="4" t="s">
        <v>2272</v>
      </c>
      <c r="S1543" s="4" t="s">
        <v>2272</v>
      </c>
      <c r="T1543" s="4" t="s">
        <v>2272</v>
      </c>
      <c r="U1543" s="4" t="s">
        <v>2272</v>
      </c>
      <c r="V1543" s="4" t="s">
        <v>2272</v>
      </c>
      <c r="W1543" s="4" t="s">
        <v>2272</v>
      </c>
      <c r="X1543" s="4" t="s">
        <v>2272</v>
      </c>
      <c r="Y1543" s="4" t="s">
        <v>2272</v>
      </c>
      <c r="Z1543" s="4" t="s">
        <v>2272</v>
      </c>
      <c r="AA1543" s="4" t="s">
        <v>2272</v>
      </c>
      <c r="AB1543" s="3"/>
      <c r="AC1543" s="3"/>
    </row>
    <row r="1544" spans="1:29" ht="36.5" customHeight="1">
      <c r="A1544" s="147" t="str">
        <f>'Reported burning'!A1544</f>
        <v>180b</v>
      </c>
      <c r="B1544" s="147" t="str">
        <f>'Reported burning'!B1544</f>
        <v>180b.5</v>
      </c>
      <c r="C1544" s="147" t="str">
        <f>'Reported burning'!C1544</f>
        <v>Human, deliberate</v>
      </c>
      <c r="D1544" s="147" t="str">
        <f>'Reported burning'!D1544</f>
        <v>Fishing</v>
      </c>
      <c r="E1544" s="147" t="str">
        <f>'Reported burning'!E1544</f>
        <v>Pastoralism, Migratory</v>
      </c>
      <c r="F1544" s="147" t="str">
        <f>'Reported burning'!F1544</f>
        <v>Shrubland (Mixed forest &amp; grassland)</v>
      </c>
      <c r="G1544" s="147" t="str">
        <f>'Reported burning'!G1544</f>
        <v>ND</v>
      </c>
      <c r="H1544" s="147" t="str">
        <f>'Reported burning'!H1544</f>
        <v>Presence</v>
      </c>
      <c r="I1544" s="3"/>
      <c r="J1544" s="4" t="s">
        <v>2272</v>
      </c>
      <c r="K1544" s="4" t="s">
        <v>2272</v>
      </c>
      <c r="L1544" s="4" t="s">
        <v>2272</v>
      </c>
      <c r="M1544" s="4" t="s">
        <v>2272</v>
      </c>
      <c r="N1544" s="4" t="s">
        <v>2272</v>
      </c>
      <c r="O1544" s="4" t="s">
        <v>2272</v>
      </c>
      <c r="P1544" s="4" t="s">
        <v>2272</v>
      </c>
      <c r="Q1544" s="4" t="s">
        <v>2272</v>
      </c>
      <c r="R1544" s="4" t="s">
        <v>2272</v>
      </c>
      <c r="S1544" s="4" t="s">
        <v>2272</v>
      </c>
      <c r="T1544" s="4" t="s">
        <v>2272</v>
      </c>
      <c r="U1544" s="4" t="s">
        <v>2272</v>
      </c>
      <c r="V1544" s="4" t="s">
        <v>2272</v>
      </c>
      <c r="W1544" s="4" t="s">
        <v>2272</v>
      </c>
      <c r="X1544" s="4" t="s">
        <v>2272</v>
      </c>
      <c r="Y1544" s="4" t="s">
        <v>2272</v>
      </c>
      <c r="Z1544" s="4" t="s">
        <v>2272</v>
      </c>
      <c r="AA1544" s="4" t="s">
        <v>2272</v>
      </c>
      <c r="AB1544" s="3"/>
      <c r="AC1544" s="3"/>
    </row>
    <row r="1545" spans="1:29" ht="36.5" customHeight="1">
      <c r="A1545" s="147" t="str">
        <f>'Reported burning'!A1545</f>
        <v>180b</v>
      </c>
      <c r="B1545" s="147" t="str">
        <f>'Reported burning'!B1545</f>
        <v>180b.6</v>
      </c>
      <c r="C1545" s="147" t="str">
        <f>'Reported burning'!C1545</f>
        <v>Human, deliberate</v>
      </c>
      <c r="D1545" s="147" t="str">
        <f>'Reported burning'!D1545</f>
        <v>Accessibility</v>
      </c>
      <c r="E1545" s="147" t="str">
        <f>'Reported burning'!E1545</f>
        <v>Forestry, Traditional</v>
      </c>
      <c r="F1545" s="147" t="str">
        <f>'Reported burning'!F1545</f>
        <v>Shrubland (Mixed forest &amp; grassland)</v>
      </c>
      <c r="G1545" s="147" t="str">
        <f>'Reported burning'!G1545</f>
        <v>ND</v>
      </c>
      <c r="H1545" s="147" t="str">
        <f>'Reported burning'!H1545</f>
        <v>Presence</v>
      </c>
      <c r="I1545" s="3"/>
      <c r="J1545" s="4" t="s">
        <v>2272</v>
      </c>
      <c r="K1545" s="4" t="s">
        <v>2272</v>
      </c>
      <c r="L1545" s="4" t="s">
        <v>2272</v>
      </c>
      <c r="M1545" s="4" t="s">
        <v>2272</v>
      </c>
      <c r="N1545" s="4" t="s">
        <v>2272</v>
      </c>
      <c r="O1545" s="4" t="s">
        <v>2272</v>
      </c>
      <c r="P1545" s="4" t="s">
        <v>2272</v>
      </c>
      <c r="Q1545" s="4" t="s">
        <v>2272</v>
      </c>
      <c r="R1545" s="4" t="s">
        <v>2272</v>
      </c>
      <c r="S1545" s="4" t="s">
        <v>2272</v>
      </c>
      <c r="T1545" s="4" t="s">
        <v>2272</v>
      </c>
      <c r="U1545" s="4" t="s">
        <v>2272</v>
      </c>
      <c r="V1545" s="4" t="s">
        <v>2272</v>
      </c>
      <c r="W1545" s="4" t="s">
        <v>2272</v>
      </c>
      <c r="X1545" s="4" t="s">
        <v>2272</v>
      </c>
      <c r="Y1545" s="4" t="s">
        <v>2272</v>
      </c>
      <c r="Z1545" s="4" t="s">
        <v>2272</v>
      </c>
      <c r="AA1545" s="4" t="s">
        <v>2272</v>
      </c>
      <c r="AB1545" s="3"/>
      <c r="AC1545" s="3"/>
    </row>
    <row r="1546" spans="1:29" ht="36.5" customHeight="1">
      <c r="A1546" s="147" t="str">
        <f>'Reported burning'!A1546</f>
        <v>180b</v>
      </c>
      <c r="B1546" s="147" t="str">
        <f>'Reported burning'!B1546</f>
        <v>180b.7</v>
      </c>
      <c r="C1546" s="147" t="str">
        <f>'Reported burning'!C1546</f>
        <v>Human, deliberate</v>
      </c>
      <c r="D1546" s="147" t="str">
        <f>'Reported burning'!D1546</f>
        <v>Crop field preparation</v>
      </c>
      <c r="E1546" s="147" t="str">
        <f>'Reported burning'!E1546</f>
        <v>Cropping, Swidden</v>
      </c>
      <c r="F1546" s="147" t="str">
        <f>'Reported burning'!F1546</f>
        <v>Shrubland (Mixed forest &amp; grassland)</v>
      </c>
      <c r="G1546" s="147" t="str">
        <f>'Reported burning'!G1546</f>
        <v>ND</v>
      </c>
      <c r="H1546" s="147" t="str">
        <f>'Reported burning'!H1546</f>
        <v>Presence</v>
      </c>
      <c r="I1546" s="3"/>
      <c r="J1546" s="4" t="s">
        <v>2272</v>
      </c>
      <c r="K1546" s="4" t="s">
        <v>2272</v>
      </c>
      <c r="L1546" s="4" t="s">
        <v>2272</v>
      </c>
      <c r="M1546" s="4" t="s">
        <v>2272</v>
      </c>
      <c r="N1546" s="4" t="s">
        <v>2272</v>
      </c>
      <c r="O1546" s="4" t="s">
        <v>2272</v>
      </c>
      <c r="P1546" s="4" t="s">
        <v>2272</v>
      </c>
      <c r="Q1546" s="4" t="s">
        <v>2272</v>
      </c>
      <c r="R1546" s="4" t="s">
        <v>2272</v>
      </c>
      <c r="S1546" s="4" t="s">
        <v>2272</v>
      </c>
      <c r="T1546" s="4" t="s">
        <v>2272</v>
      </c>
      <c r="U1546" s="4" t="s">
        <v>2272</v>
      </c>
      <c r="V1546" s="4" t="s">
        <v>2272</v>
      </c>
      <c r="W1546" s="4" t="s">
        <v>2272</v>
      </c>
      <c r="X1546" s="4" t="s">
        <v>2272</v>
      </c>
      <c r="Y1546" s="4" t="s">
        <v>2272</v>
      </c>
      <c r="Z1546" s="4" t="s">
        <v>2272</v>
      </c>
      <c r="AA1546" s="4" t="s">
        <v>2272</v>
      </c>
      <c r="AB1546" s="3"/>
      <c r="AC1546" s="3"/>
    </row>
    <row r="1547" spans="1:29" ht="43.5" customHeight="1">
      <c r="A1547" s="147" t="str">
        <f>'Reported burning'!A1547</f>
        <v>180b</v>
      </c>
      <c r="B1547" s="147" t="str">
        <f>'Reported burning'!B1547</f>
        <v>180b.8</v>
      </c>
      <c r="C1547" s="147" t="str">
        <f>'Reported burning'!C1547</f>
        <v>Human, deliberate</v>
      </c>
      <c r="D1547" s="147" t="str">
        <f>'Reported burning'!D1547</f>
        <v>Land clearance</v>
      </c>
      <c r="E1547" s="147" t="str">
        <f>'Reported burning'!E1547</f>
        <v>Cropping, Swidden</v>
      </c>
      <c r="F1547" s="147" t="str">
        <f>'Reported burning'!F1547</f>
        <v>Shrubland (Mixed forest &amp; grassland)</v>
      </c>
      <c r="G1547" s="147" t="str">
        <f>'Reported burning'!G1547</f>
        <v>ND</v>
      </c>
      <c r="H1547" s="147" t="str">
        <f>'Reported burning'!H1547</f>
        <v>Presence</v>
      </c>
      <c r="I1547" s="3"/>
      <c r="J1547" s="4" t="s">
        <v>2272</v>
      </c>
      <c r="K1547" s="4" t="s">
        <v>2272</v>
      </c>
      <c r="L1547" s="4" t="s">
        <v>2272</v>
      </c>
      <c r="M1547" s="4" t="s">
        <v>2272</v>
      </c>
      <c r="N1547" s="4" t="s">
        <v>2272</v>
      </c>
      <c r="O1547" s="4" t="s">
        <v>2272</v>
      </c>
      <c r="P1547" s="4" t="s">
        <v>2272</v>
      </c>
      <c r="Q1547" s="4" t="s">
        <v>2272</v>
      </c>
      <c r="R1547" s="4" t="s">
        <v>2272</v>
      </c>
      <c r="S1547" s="4" t="s">
        <v>2272</v>
      </c>
      <c r="T1547" s="4" t="s">
        <v>2272</v>
      </c>
      <c r="U1547" s="4" t="s">
        <v>2272</v>
      </c>
      <c r="V1547" s="4" t="s">
        <v>2272</v>
      </c>
      <c r="W1547" s="4" t="s">
        <v>2272</v>
      </c>
      <c r="X1547" s="4" t="s">
        <v>2272</v>
      </c>
      <c r="Y1547" s="4" t="s">
        <v>2272</v>
      </c>
      <c r="Z1547" s="4" t="s">
        <v>2272</v>
      </c>
      <c r="AA1547" s="4" t="s">
        <v>2272</v>
      </c>
      <c r="AB1547" s="4" t="s">
        <v>4554</v>
      </c>
      <c r="AC1547" s="3"/>
    </row>
    <row r="1548" spans="1:29" ht="36.5" customHeight="1">
      <c r="A1548" s="147" t="str">
        <f>'Reported burning'!A1548</f>
        <v>180b</v>
      </c>
      <c r="B1548" s="147" t="str">
        <f>'Reported burning'!B1548</f>
        <v>180b.9</v>
      </c>
      <c r="C1548" s="147" t="str">
        <f>'Reported burning'!C1548</f>
        <v>Human, deliberate</v>
      </c>
      <c r="D1548" s="147" t="str">
        <f>'Reported burning'!D1548</f>
        <v>Harvesting of NTFP</v>
      </c>
      <c r="E1548" s="147" t="str">
        <f>'Reported burning'!E1548</f>
        <v>Forestry, Traditional</v>
      </c>
      <c r="F1548" s="147" t="str">
        <f>'Reported burning'!F1548</f>
        <v>Shrubland (Mixed forest &amp; grassland)</v>
      </c>
      <c r="G1548" s="147" t="str">
        <f>'Reported burning'!G1548</f>
        <v>ND</v>
      </c>
      <c r="H1548" s="147" t="str">
        <f>'Reported burning'!H1548</f>
        <v>Presence</v>
      </c>
      <c r="I1548" s="3"/>
      <c r="J1548" s="4" t="s">
        <v>2272</v>
      </c>
      <c r="K1548" s="4" t="s">
        <v>2272</v>
      </c>
      <c r="L1548" s="4" t="s">
        <v>2272</v>
      </c>
      <c r="M1548" s="4" t="s">
        <v>2272</v>
      </c>
      <c r="N1548" s="4" t="s">
        <v>2272</v>
      </c>
      <c r="O1548" s="4" t="s">
        <v>2272</v>
      </c>
      <c r="P1548" s="4" t="s">
        <v>2272</v>
      </c>
      <c r="Q1548" s="4" t="s">
        <v>2272</v>
      </c>
      <c r="R1548" s="4" t="s">
        <v>2272</v>
      </c>
      <c r="S1548" s="4" t="s">
        <v>2272</v>
      </c>
      <c r="T1548" s="4" t="s">
        <v>2272</v>
      </c>
      <c r="U1548" s="4" t="s">
        <v>2272</v>
      </c>
      <c r="V1548" s="4" t="s">
        <v>2272</v>
      </c>
      <c r="W1548" s="4" t="s">
        <v>2272</v>
      </c>
      <c r="X1548" s="4" t="s">
        <v>2272</v>
      </c>
      <c r="Y1548" s="4" t="s">
        <v>2272</v>
      </c>
      <c r="Z1548" s="4" t="s">
        <v>2272</v>
      </c>
      <c r="AA1548" s="4" t="s">
        <v>2272</v>
      </c>
      <c r="AB1548" s="3"/>
      <c r="AC1548" s="3"/>
    </row>
    <row r="1549" spans="1:29" ht="40.5" customHeight="1">
      <c r="A1549" s="147" t="str">
        <f>'Reported burning'!A1549</f>
        <v>180b</v>
      </c>
      <c r="B1549" s="147" t="str">
        <f>'Reported burning'!B1549</f>
        <v>180b.10</v>
      </c>
      <c r="C1549" s="147" t="str">
        <f>'Reported burning'!C1549</f>
        <v>Human, deliberate</v>
      </c>
      <c r="D1549" s="147" t="str">
        <f>'Reported burning'!D1549</f>
        <v>Pest management</v>
      </c>
      <c r="E1549" s="147" t="str">
        <f>'Reported burning'!E1549</f>
        <v>Pastoralism, Migratory</v>
      </c>
      <c r="F1549" s="147" t="str">
        <f>'Reported burning'!F1549</f>
        <v>Shrubland (Mixed forest &amp; grassland)</v>
      </c>
      <c r="G1549" s="147" t="str">
        <f>'Reported burning'!G1549</f>
        <v>ND</v>
      </c>
      <c r="H1549" s="147" t="str">
        <f>'Reported burning'!H1549</f>
        <v>Presence</v>
      </c>
      <c r="I1549" s="3"/>
      <c r="J1549" s="4" t="s">
        <v>2272</v>
      </c>
      <c r="K1549" s="4" t="s">
        <v>2272</v>
      </c>
      <c r="L1549" s="4" t="s">
        <v>2272</v>
      </c>
      <c r="M1549" s="4" t="s">
        <v>2272</v>
      </c>
      <c r="N1549" s="4" t="s">
        <v>2272</v>
      </c>
      <c r="O1549" s="4" t="s">
        <v>2272</v>
      </c>
      <c r="P1549" s="4" t="s">
        <v>2272</v>
      </c>
      <c r="Q1549" s="4" t="s">
        <v>2272</v>
      </c>
      <c r="R1549" s="4" t="s">
        <v>2272</v>
      </c>
      <c r="S1549" s="4" t="s">
        <v>2272</v>
      </c>
      <c r="T1549" s="4" t="s">
        <v>2272</v>
      </c>
      <c r="U1549" s="4" t="s">
        <v>2272</v>
      </c>
      <c r="V1549" s="4" t="s">
        <v>2272</v>
      </c>
      <c r="W1549" s="4" t="s">
        <v>2272</v>
      </c>
      <c r="X1549" s="4" t="s">
        <v>2272</v>
      </c>
      <c r="Y1549" s="4" t="s">
        <v>2272</v>
      </c>
      <c r="Z1549" s="4" t="s">
        <v>2272</v>
      </c>
      <c r="AA1549" s="4" t="s">
        <v>2272</v>
      </c>
      <c r="AB1549" s="3"/>
      <c r="AC1549" s="3"/>
    </row>
    <row r="1550" spans="1:29" ht="64.5" customHeight="1">
      <c r="A1550" s="147" t="str">
        <f>'Reported burning'!A1550</f>
        <v>180b</v>
      </c>
      <c r="B1550" s="147" t="str">
        <f>'Reported burning'!B1550</f>
        <v>180b.11</v>
      </c>
      <c r="C1550" s="147" t="str">
        <f>'Reported burning'!C1550</f>
        <v>Human, deliberate</v>
      </c>
      <c r="D1550" s="147" t="str">
        <f>'Reported burning'!D1550</f>
        <v>All</v>
      </c>
      <c r="E1550" s="147" t="str">
        <f>'Reported burning'!E1550</f>
        <v>Pastoralism, Migratory</v>
      </c>
      <c r="F1550" s="147" t="str">
        <f>'Reported burning'!F1550</f>
        <v>Shrubland (Mixed forest &amp; grassland)</v>
      </c>
      <c r="G1550" s="147" t="str">
        <f>'Reported burning'!G1550</f>
        <v>ND</v>
      </c>
      <c r="H1550" s="147" t="str">
        <f>'Reported burning'!H1550</f>
        <v>Presence</v>
      </c>
      <c r="I1550" s="3"/>
      <c r="J1550" s="4" t="s">
        <v>2272</v>
      </c>
      <c r="K1550" s="4" t="s">
        <v>2272</v>
      </c>
      <c r="L1550" s="4" t="s">
        <v>2272</v>
      </c>
      <c r="M1550" s="4" t="s">
        <v>2272</v>
      </c>
      <c r="N1550" s="4" t="s">
        <v>2272</v>
      </c>
      <c r="O1550" s="4" t="s">
        <v>2272</v>
      </c>
      <c r="P1550" s="4" t="s">
        <v>2272</v>
      </c>
      <c r="Q1550" s="4" t="s">
        <v>2272</v>
      </c>
      <c r="R1550" s="4" t="s">
        <v>2272</v>
      </c>
      <c r="S1550" s="4" t="s">
        <v>2272</v>
      </c>
      <c r="T1550" s="4" t="s">
        <v>2272</v>
      </c>
      <c r="U1550" s="4" t="s">
        <v>2272</v>
      </c>
      <c r="V1550" s="4" t="s">
        <v>2272</v>
      </c>
      <c r="W1550" s="4" t="s">
        <v>2272</v>
      </c>
      <c r="X1550" s="4" t="s">
        <v>2272</v>
      </c>
      <c r="Y1550" s="4" t="s">
        <v>2272</v>
      </c>
      <c r="Z1550" s="4" t="s">
        <v>2272</v>
      </c>
      <c r="AA1550" s="4" t="s">
        <v>2272</v>
      </c>
      <c r="AB1550" s="4"/>
      <c r="AC1550" s="3"/>
    </row>
    <row r="1551" spans="1:29" ht="45" customHeight="1">
      <c r="A1551" s="147" t="str">
        <f>'Reported burning'!A1551</f>
        <v>180c</v>
      </c>
      <c r="B1551" s="147" t="str">
        <f>'Reported burning'!B1551</f>
        <v>180c.1</v>
      </c>
      <c r="C1551" s="147" t="str">
        <f>'Reported burning'!C1551</f>
        <v>Human, deliberate</v>
      </c>
      <c r="D1551" s="147" t="str">
        <f>'Reported burning'!D1551</f>
        <v>Conservation</v>
      </c>
      <c r="E1551" s="147" t="str">
        <f>'Reported burning'!E1551</f>
        <v>Biodiversity conservation</v>
      </c>
      <c r="F1551" s="147" t="str">
        <f>'Reported burning'!F1551</f>
        <v>Shrubland (Mixed forest &amp; grassland)</v>
      </c>
      <c r="G1551" s="147" t="str">
        <f>'Reported burning'!G1551</f>
        <v>ND</v>
      </c>
      <c r="H1551" s="147" t="str">
        <f>'Reported burning'!H1551</f>
        <v>Presence</v>
      </c>
      <c r="I1551" s="3"/>
      <c r="J1551" s="4" t="s">
        <v>2272</v>
      </c>
      <c r="K1551" s="4" t="s">
        <v>2272</v>
      </c>
      <c r="L1551" s="4" t="s">
        <v>2272</v>
      </c>
      <c r="M1551" s="4" t="s">
        <v>2272</v>
      </c>
      <c r="N1551" s="4" t="s">
        <v>2272</v>
      </c>
      <c r="O1551" s="4" t="s">
        <v>2272</v>
      </c>
      <c r="P1551" s="4" t="s">
        <v>2272</v>
      </c>
      <c r="Q1551" s="4" t="s">
        <v>2272</v>
      </c>
      <c r="R1551" s="4" t="s">
        <v>2272</v>
      </c>
      <c r="S1551" s="4" t="s">
        <v>2272</v>
      </c>
      <c r="T1551" s="4" t="s">
        <v>2272</v>
      </c>
      <c r="U1551" s="4" t="s">
        <v>2272</v>
      </c>
      <c r="V1551" s="4" t="s">
        <v>2272</v>
      </c>
      <c r="W1551" s="4" t="s">
        <v>2272</v>
      </c>
      <c r="X1551" s="4" t="s">
        <v>2272</v>
      </c>
      <c r="Y1551" s="4" t="s">
        <v>2272</v>
      </c>
      <c r="Z1551" s="4" t="s">
        <v>2272</v>
      </c>
      <c r="AA1551" s="4" t="s">
        <v>2272</v>
      </c>
      <c r="AB1551" s="4"/>
      <c r="AC1551" s="3"/>
    </row>
    <row r="1552" spans="1:29" ht="43" customHeight="1">
      <c r="A1552" s="147" t="str">
        <f>'Reported burning'!A1552</f>
        <v>180c</v>
      </c>
      <c r="B1552" s="147" t="str">
        <f>'Reported burning'!B1552</f>
        <v>180c.2</v>
      </c>
      <c r="C1552" s="147" t="str">
        <f>'Reported burning'!C1552</f>
        <v>Human, deliberate</v>
      </c>
      <c r="D1552" s="147" t="str">
        <f>'Reported burning'!D1552</f>
        <v>Hunting</v>
      </c>
      <c r="E1552" s="147" t="str">
        <f>'Reported burning'!E1552</f>
        <v>Tourism manager</v>
      </c>
      <c r="F1552" s="147" t="str">
        <f>'Reported burning'!F1552</f>
        <v>Shrubland (Mixed forest &amp; grassland)</v>
      </c>
      <c r="G1552" s="147" t="str">
        <f>'Reported burning'!G1552</f>
        <v>ND</v>
      </c>
      <c r="H1552" s="147" t="str">
        <f>'Reported burning'!H1552</f>
        <v>Presence</v>
      </c>
      <c r="I1552" s="3"/>
      <c r="J1552" s="4" t="s">
        <v>2272</v>
      </c>
      <c r="K1552" s="4" t="s">
        <v>2272</v>
      </c>
      <c r="L1552" s="4" t="s">
        <v>2272</v>
      </c>
      <c r="M1552" s="4" t="s">
        <v>2272</v>
      </c>
      <c r="N1552" s="4" t="s">
        <v>2272</v>
      </c>
      <c r="O1552" s="4" t="s">
        <v>2272</v>
      </c>
      <c r="P1552" s="4" t="s">
        <v>2272</v>
      </c>
      <c r="Q1552" s="4" t="s">
        <v>2272</v>
      </c>
      <c r="R1552" s="4" t="s">
        <v>2272</v>
      </c>
      <c r="S1552" s="4" t="s">
        <v>2272</v>
      </c>
      <c r="T1552" s="4" t="s">
        <v>2272</v>
      </c>
      <c r="U1552" s="4" t="s">
        <v>2272</v>
      </c>
      <c r="V1552" s="4" t="s">
        <v>2272</v>
      </c>
      <c r="W1552" s="4" t="s">
        <v>2272</v>
      </c>
      <c r="X1552" s="4" t="s">
        <v>2272</v>
      </c>
      <c r="Y1552" s="4" t="s">
        <v>2272</v>
      </c>
      <c r="Z1552" s="4" t="s">
        <v>2272</v>
      </c>
      <c r="AA1552" s="4" t="s">
        <v>2272</v>
      </c>
      <c r="AB1552" s="3"/>
      <c r="AC1552" s="3"/>
    </row>
    <row r="1553" spans="1:29" ht="69.5" customHeight="1">
      <c r="A1553" s="147" t="str">
        <f>'Reported burning'!A1553</f>
        <v>180c</v>
      </c>
      <c r="B1553" s="147" t="str">
        <f>'Reported burning'!B1553</f>
        <v>180c.3</v>
      </c>
      <c r="C1553" s="147" t="str">
        <f>'Reported burning'!C1553</f>
        <v>Human, deliberate</v>
      </c>
      <c r="D1553" s="147" t="str">
        <f>'Reported burning'!D1553</f>
        <v>All</v>
      </c>
      <c r="E1553" s="147" t="str">
        <f>'Reported burning'!E1553</f>
        <v>All</v>
      </c>
      <c r="F1553" s="147" t="str">
        <f>'Reported burning'!F1553</f>
        <v>Shrubland (Mixed forest &amp; grassland)</v>
      </c>
      <c r="G1553" s="147" t="str">
        <f>'Reported burning'!G1553</f>
        <v>ND</v>
      </c>
      <c r="H1553" s="147" t="str">
        <f>'Reported burning'!H1553</f>
        <v>Presence</v>
      </c>
      <c r="I1553" s="3"/>
      <c r="J1553" s="4" t="s">
        <v>2272</v>
      </c>
      <c r="K1553" s="4" t="s">
        <v>2272</v>
      </c>
      <c r="L1553" s="4" t="s">
        <v>2272</v>
      </c>
      <c r="M1553" s="4" t="s">
        <v>2272</v>
      </c>
      <c r="N1553" s="4" t="s">
        <v>2272</v>
      </c>
      <c r="O1553" s="4" t="s">
        <v>2272</v>
      </c>
      <c r="P1553" s="4" t="s">
        <v>2272</v>
      </c>
      <c r="Q1553" s="4" t="s">
        <v>2272</v>
      </c>
      <c r="R1553" s="4" t="s">
        <v>2272</v>
      </c>
      <c r="S1553" s="4" t="s">
        <v>2272</v>
      </c>
      <c r="T1553" s="4" t="s">
        <v>2272</v>
      </c>
      <c r="U1553" s="4" t="s">
        <v>2272</v>
      </c>
      <c r="V1553" s="4" t="s">
        <v>2272</v>
      </c>
      <c r="W1553" s="4" t="s">
        <v>2272</v>
      </c>
      <c r="X1553" s="3" t="s">
        <v>2396</v>
      </c>
      <c r="Y1553" s="4" t="s">
        <v>2272</v>
      </c>
      <c r="Z1553" s="4" t="s">
        <v>2272</v>
      </c>
      <c r="AA1553" s="4" t="s">
        <v>2272</v>
      </c>
      <c r="AB1553" s="4" t="s">
        <v>4572</v>
      </c>
      <c r="AC1553" s="3"/>
    </row>
    <row r="1554" spans="1:29" ht="38" customHeight="1">
      <c r="A1554" s="147" t="str">
        <f>'Reported burning'!A1554</f>
        <v>180d</v>
      </c>
      <c r="B1554" s="147" t="str">
        <f>'Reported burning'!B1554</f>
        <v>180d.1</v>
      </c>
      <c r="C1554" s="147" t="str">
        <f>'Reported burning'!C1554</f>
        <v>Human, deliberate</v>
      </c>
      <c r="D1554" s="147" t="str">
        <f>'Reported burning'!D1554</f>
        <v>Pest management</v>
      </c>
      <c r="E1554" s="147" t="str">
        <f>'Reported burning'!E1554</f>
        <v>Pastoralism, Migratory</v>
      </c>
      <c r="F1554" s="147" t="str">
        <f>'Reported burning'!F1554</f>
        <v>Shrubland (Mixed forest &amp; grassland)</v>
      </c>
      <c r="G1554" s="147" t="str">
        <f>'Reported burning'!G1554</f>
        <v>ND</v>
      </c>
      <c r="H1554" s="147" t="str">
        <f>'Reported burning'!H1554</f>
        <v>Presence</v>
      </c>
      <c r="I1554" s="3"/>
      <c r="J1554" s="4" t="s">
        <v>2272</v>
      </c>
      <c r="K1554" s="4" t="s">
        <v>2272</v>
      </c>
      <c r="L1554" s="4" t="s">
        <v>2272</v>
      </c>
      <c r="M1554" s="4" t="s">
        <v>2272</v>
      </c>
      <c r="N1554" s="4" t="s">
        <v>2272</v>
      </c>
      <c r="O1554" s="4" t="s">
        <v>2272</v>
      </c>
      <c r="P1554" s="4" t="s">
        <v>2272</v>
      </c>
      <c r="Q1554" s="4" t="s">
        <v>2272</v>
      </c>
      <c r="R1554" s="4" t="s">
        <v>2272</v>
      </c>
      <c r="S1554" s="4" t="s">
        <v>2272</v>
      </c>
      <c r="T1554" s="4" t="s">
        <v>2272</v>
      </c>
      <c r="U1554" s="4" t="s">
        <v>2272</v>
      </c>
      <c r="V1554" s="4" t="s">
        <v>2272</v>
      </c>
      <c r="W1554" s="4" t="s">
        <v>2272</v>
      </c>
      <c r="X1554" s="4" t="s">
        <v>2272</v>
      </c>
      <c r="Y1554" s="4" t="s">
        <v>2272</v>
      </c>
      <c r="Z1554" s="4" t="s">
        <v>2272</v>
      </c>
      <c r="AA1554" s="4" t="s">
        <v>2272</v>
      </c>
      <c r="AB1554" s="3"/>
      <c r="AC1554" s="3"/>
    </row>
    <row r="1555" spans="1:29" ht="58" customHeight="1">
      <c r="A1555" s="147" t="str">
        <f>'Reported burning'!A1555</f>
        <v>180d</v>
      </c>
      <c r="B1555" s="147" t="str">
        <f>'Reported burning'!B1555</f>
        <v>180d.2</v>
      </c>
      <c r="C1555" s="147" t="str">
        <f>'Reported burning'!C1555</f>
        <v>Human, deliberate</v>
      </c>
      <c r="D1555" s="147" t="str">
        <f>'Reported burning'!D1555</f>
        <v>All</v>
      </c>
      <c r="E1555" s="147" t="str">
        <f>'Reported burning'!E1555</f>
        <v>Pastoralism, Migratory</v>
      </c>
      <c r="F1555" s="147" t="str">
        <f>'Reported burning'!F1555</f>
        <v>Shrubland (Mixed forest &amp; grassland)</v>
      </c>
      <c r="G1555" s="147" t="str">
        <f>'Reported burning'!G1555</f>
        <v>ND</v>
      </c>
      <c r="H1555" s="147" t="str">
        <f>'Reported burning'!H1555</f>
        <v>Presence</v>
      </c>
      <c r="I1555" s="3"/>
      <c r="J1555" s="4" t="s">
        <v>2272</v>
      </c>
      <c r="K1555" s="4" t="s">
        <v>2272</v>
      </c>
      <c r="L1555" s="4" t="s">
        <v>2272</v>
      </c>
      <c r="M1555" s="4" t="s">
        <v>2272</v>
      </c>
      <c r="N1555" s="4" t="s">
        <v>2272</v>
      </c>
      <c r="O1555" s="4" t="s">
        <v>2272</v>
      </c>
      <c r="P1555" s="4" t="s">
        <v>2272</v>
      </c>
      <c r="Q1555" s="4" t="s">
        <v>2272</v>
      </c>
      <c r="R1555" s="4" t="s">
        <v>2272</v>
      </c>
      <c r="S1555" s="4" t="s">
        <v>2272</v>
      </c>
      <c r="T1555" s="4" t="s">
        <v>2272</v>
      </c>
      <c r="U1555" s="4" t="s">
        <v>2272</v>
      </c>
      <c r="V1555" s="4" t="s">
        <v>2272</v>
      </c>
      <c r="W1555" s="4" t="s">
        <v>2272</v>
      </c>
      <c r="X1555" s="3" t="s">
        <v>2370</v>
      </c>
      <c r="Y1555" s="4" t="s">
        <v>2272</v>
      </c>
      <c r="Z1555" s="4" t="s">
        <v>2272</v>
      </c>
      <c r="AA1555" s="4" t="s">
        <v>2272</v>
      </c>
      <c r="AB1555" s="4" t="s">
        <v>4575</v>
      </c>
      <c r="AC1555" s="3"/>
    </row>
    <row r="1556" spans="1:29" ht="29">
      <c r="A1556" s="151" t="str">
        <f>'Reported burning'!A1556</f>
        <v>180e</v>
      </c>
      <c r="B1556" s="151" t="str">
        <f>'Reported burning'!B1556</f>
        <v>180e.1</v>
      </c>
      <c r="C1556" s="151" t="str">
        <f>'Reported burning'!C1556</f>
        <v>Human, deliberate</v>
      </c>
      <c r="D1556" s="151" t="str">
        <f>'Reported burning'!D1556</f>
        <v>Pyrome management</v>
      </c>
      <c r="E1556" s="151" t="str">
        <f>'Reported burning'!E1556</f>
        <v>Biodiversity conservation</v>
      </c>
      <c r="F1556" s="151" t="str">
        <f>'Reported burning'!F1556</f>
        <v>Shrubland (Mixed forest &amp; grassland)</v>
      </c>
      <c r="G1556" s="151" t="str">
        <f>'Reported burning'!G1556</f>
        <v>ND</v>
      </c>
      <c r="H1556" s="151" t="str">
        <f>'Reported burning'!H1556</f>
        <v>Presence</v>
      </c>
      <c r="I1556" s="5"/>
      <c r="J1556" s="4" t="s">
        <v>2272</v>
      </c>
      <c r="K1556" s="4" t="s">
        <v>2272</v>
      </c>
      <c r="L1556" s="4" t="s">
        <v>2272</v>
      </c>
      <c r="M1556" s="4" t="s">
        <v>2272</v>
      </c>
      <c r="N1556" s="4" t="s">
        <v>2272</v>
      </c>
      <c r="O1556" s="4" t="s">
        <v>2272</v>
      </c>
      <c r="P1556" s="4" t="s">
        <v>2272</v>
      </c>
      <c r="Q1556" s="4" t="s">
        <v>2272</v>
      </c>
      <c r="R1556" s="4" t="s">
        <v>2272</v>
      </c>
      <c r="S1556" s="4" t="s">
        <v>2272</v>
      </c>
      <c r="T1556" s="4" t="s">
        <v>2272</v>
      </c>
      <c r="U1556" s="4" t="s">
        <v>2272</v>
      </c>
      <c r="V1556" s="4" t="s">
        <v>2272</v>
      </c>
      <c r="W1556" s="4" t="s">
        <v>2272</v>
      </c>
      <c r="X1556" s="4" t="s">
        <v>2272</v>
      </c>
      <c r="Y1556" s="4" t="s">
        <v>2272</v>
      </c>
      <c r="Z1556" s="4" t="s">
        <v>2272</v>
      </c>
      <c r="AA1556" s="4" t="s">
        <v>2272</v>
      </c>
      <c r="AB1556" s="3" t="s">
        <v>4588</v>
      </c>
      <c r="AC1556" s="3"/>
    </row>
    <row r="1557" spans="1:29" ht="29">
      <c r="A1557" s="147" t="str">
        <f>'Reported burning'!A1557</f>
        <v>180f</v>
      </c>
      <c r="B1557" s="147" t="str">
        <f>'Reported burning'!B1557</f>
        <v>180f.1</v>
      </c>
      <c r="C1557" s="147" t="str">
        <f>'Reported burning'!C1557</f>
        <v>Human, deliberate</v>
      </c>
      <c r="D1557" s="147" t="str">
        <f>'Reported burning'!D1557</f>
        <v>Pyrome management</v>
      </c>
      <c r="E1557" s="147" t="str">
        <f>'Reported burning'!E1557</f>
        <v>Biodiversity conservation</v>
      </c>
      <c r="F1557" s="147" t="str">
        <f>'Reported burning'!F1557</f>
        <v>Shrubland (Mixed forest &amp; grassland)</v>
      </c>
      <c r="G1557" s="147" t="str">
        <f>'Reported burning'!G1557</f>
        <v>ND</v>
      </c>
      <c r="H1557" s="147" t="str">
        <f>'Reported burning'!H1557</f>
        <v>Presence</v>
      </c>
      <c r="I1557" s="3"/>
      <c r="J1557" s="4" t="s">
        <v>2272</v>
      </c>
      <c r="K1557" s="4" t="s">
        <v>2272</v>
      </c>
      <c r="L1557" s="4" t="s">
        <v>2272</v>
      </c>
      <c r="M1557" s="4" t="s">
        <v>2272</v>
      </c>
      <c r="N1557" s="4" t="s">
        <v>2272</v>
      </c>
      <c r="O1557" s="4" t="s">
        <v>2272</v>
      </c>
      <c r="P1557" s="4" t="s">
        <v>2272</v>
      </c>
      <c r="Q1557" s="4" t="s">
        <v>2272</v>
      </c>
      <c r="R1557" s="4" t="s">
        <v>2272</v>
      </c>
      <c r="S1557" s="4" t="s">
        <v>2272</v>
      </c>
      <c r="T1557" s="4" t="s">
        <v>2272</v>
      </c>
      <c r="U1557" s="4" t="s">
        <v>2272</v>
      </c>
      <c r="V1557" s="4" t="s">
        <v>2272</v>
      </c>
      <c r="W1557" s="4" t="s">
        <v>2272</v>
      </c>
      <c r="X1557" s="4" t="s">
        <v>2272</v>
      </c>
      <c r="Y1557" s="4" t="s">
        <v>2272</v>
      </c>
      <c r="Z1557" s="4" t="s">
        <v>2272</v>
      </c>
      <c r="AA1557" s="4" t="s">
        <v>2272</v>
      </c>
      <c r="AB1557" s="3" t="s">
        <v>4588</v>
      </c>
      <c r="AC1557" s="3"/>
    </row>
    <row r="1558" spans="1:29" ht="29">
      <c r="A1558" s="147" t="str">
        <f>'Reported burning'!A1558</f>
        <v>180e</v>
      </c>
      <c r="B1558" s="147" t="str">
        <f>'Reported burning'!B1558</f>
        <v>180e.2</v>
      </c>
      <c r="C1558" s="147" t="str">
        <f>'Reported burning'!C1558</f>
        <v>Human, deliberate</v>
      </c>
      <c r="D1558" s="147" t="str">
        <f>'Reported burning'!D1558</f>
        <v>Conservation</v>
      </c>
      <c r="E1558" s="147" t="str">
        <f>'Reported burning'!E1558</f>
        <v>Biodiversity conservation</v>
      </c>
      <c r="F1558" s="147" t="str">
        <f>'Reported burning'!F1558</f>
        <v>Shrubland (Mixed forest &amp; grassland)</v>
      </c>
      <c r="G1558" s="147" t="str">
        <f>'Reported burning'!G1558</f>
        <v>ND</v>
      </c>
      <c r="H1558" s="147" t="str">
        <f>'Reported burning'!H1558</f>
        <v>Presence</v>
      </c>
      <c r="I1558" s="3"/>
      <c r="J1558" s="4" t="s">
        <v>2272</v>
      </c>
      <c r="K1558" s="4" t="s">
        <v>2272</v>
      </c>
      <c r="L1558" s="4" t="s">
        <v>2272</v>
      </c>
      <c r="M1558" s="4" t="s">
        <v>2272</v>
      </c>
      <c r="N1558" s="4" t="s">
        <v>2272</v>
      </c>
      <c r="O1558" s="4" t="s">
        <v>2272</v>
      </c>
      <c r="P1558" s="4" t="s">
        <v>2272</v>
      </c>
      <c r="Q1558" s="4" t="s">
        <v>2272</v>
      </c>
      <c r="R1558" s="4" t="s">
        <v>2272</v>
      </c>
      <c r="S1558" s="4" t="s">
        <v>2272</v>
      </c>
      <c r="T1558" s="4" t="s">
        <v>2272</v>
      </c>
      <c r="U1558" s="4" t="s">
        <v>2272</v>
      </c>
      <c r="V1558" s="4" t="s">
        <v>2272</v>
      </c>
      <c r="W1558" s="4" t="s">
        <v>2272</v>
      </c>
      <c r="X1558" s="4" t="s">
        <v>2272</v>
      </c>
      <c r="Y1558" s="4" t="s">
        <v>2272</v>
      </c>
      <c r="Z1558" s="4" t="s">
        <v>2272</v>
      </c>
      <c r="AA1558" s="4" t="s">
        <v>2272</v>
      </c>
      <c r="AB1558" s="3" t="s">
        <v>4588</v>
      </c>
      <c r="AC1558" s="3"/>
    </row>
    <row r="1559" spans="1:29" ht="36.5" customHeight="1">
      <c r="A1559" s="147" t="str">
        <f>'Reported burning'!A1559</f>
        <v>180f</v>
      </c>
      <c r="B1559" s="147" t="str">
        <f>'Reported burning'!B1559</f>
        <v>180f.2</v>
      </c>
      <c r="C1559" s="147" t="str">
        <f>'Reported burning'!C1559</f>
        <v>Human, deliberate</v>
      </c>
      <c r="D1559" s="147" t="str">
        <f>'Reported burning'!D1559</f>
        <v>Conservation</v>
      </c>
      <c r="E1559" s="147" t="str">
        <f>'Reported burning'!E1559</f>
        <v>Biodiversity conservation</v>
      </c>
      <c r="F1559" s="147" t="str">
        <f>'Reported burning'!F1559</f>
        <v>Shrubland (Mixed forest &amp; grassland)</v>
      </c>
      <c r="G1559" s="147" t="str">
        <f>'Reported burning'!G1559</f>
        <v>ND</v>
      </c>
      <c r="H1559" s="147" t="str">
        <f>'Reported burning'!H1559</f>
        <v>Presence</v>
      </c>
      <c r="I1559" s="3"/>
      <c r="J1559" s="4" t="s">
        <v>2272</v>
      </c>
      <c r="K1559" s="4" t="s">
        <v>2272</v>
      </c>
      <c r="L1559" s="4" t="s">
        <v>2272</v>
      </c>
      <c r="M1559" s="4" t="s">
        <v>2272</v>
      </c>
      <c r="N1559" s="4" t="s">
        <v>2272</v>
      </c>
      <c r="O1559" s="4" t="s">
        <v>2272</v>
      </c>
      <c r="P1559" s="4" t="s">
        <v>2272</v>
      </c>
      <c r="Q1559" s="4" t="s">
        <v>2272</v>
      </c>
      <c r="R1559" s="4" t="s">
        <v>2272</v>
      </c>
      <c r="S1559" s="4" t="s">
        <v>2272</v>
      </c>
      <c r="T1559" s="4" t="s">
        <v>2272</v>
      </c>
      <c r="U1559" s="4" t="s">
        <v>2272</v>
      </c>
      <c r="V1559" s="4" t="s">
        <v>2272</v>
      </c>
      <c r="W1559" s="4" t="s">
        <v>2272</v>
      </c>
      <c r="X1559" s="4" t="s">
        <v>2272</v>
      </c>
      <c r="Y1559" s="4" t="s">
        <v>2272</v>
      </c>
      <c r="Z1559" s="4" t="s">
        <v>2272</v>
      </c>
      <c r="AA1559" s="4" t="s">
        <v>2272</v>
      </c>
      <c r="AB1559" s="3" t="s">
        <v>4588</v>
      </c>
      <c r="AC1559" s="3"/>
    </row>
    <row r="1560" spans="1:29" ht="52" customHeight="1">
      <c r="A1560" s="147" t="str">
        <f>'Reported burning'!A1560</f>
        <v>181a</v>
      </c>
      <c r="B1560" s="147" t="str">
        <f>'Reported burning'!B1560</f>
        <v>181a.1</v>
      </c>
      <c r="C1560" s="147" t="str">
        <f>'Reported burning'!C1560</f>
        <v>Lightning</v>
      </c>
      <c r="D1560" s="147" t="str">
        <f>'Reported burning'!D1560</f>
        <v>Pyrome management</v>
      </c>
      <c r="E1560" s="147" t="str">
        <f>'Reported burning'!E1560</f>
        <v>Biodiversity conservation</v>
      </c>
      <c r="F1560" s="147" t="str">
        <f>'Reported burning'!F1560</f>
        <v>Shrubland (Mixed forest &amp; grassland)</v>
      </c>
      <c r="G1560" s="147" t="str">
        <f>'Reported burning'!G1560</f>
        <v>Shrubland (Mixed forest &amp; grassland)</v>
      </c>
      <c r="H1560" s="147" t="str">
        <f>'Reported burning'!H1560</f>
        <v>Presence</v>
      </c>
      <c r="I1560" s="3"/>
      <c r="J1560" s="4" t="s">
        <v>2272</v>
      </c>
      <c r="K1560" s="4" t="s">
        <v>2272</v>
      </c>
      <c r="L1560" s="4" t="s">
        <v>2272</v>
      </c>
      <c r="M1560" s="4" t="s">
        <v>2272</v>
      </c>
      <c r="N1560" s="4" t="s">
        <v>2272</v>
      </c>
      <c r="O1560" s="4" t="s">
        <v>2272</v>
      </c>
      <c r="P1560" s="4" t="s">
        <v>2272</v>
      </c>
      <c r="Q1560" s="4" t="s">
        <v>2272</v>
      </c>
      <c r="R1560" s="4" t="s">
        <v>2272</v>
      </c>
      <c r="S1560" s="4" t="s">
        <v>2272</v>
      </c>
      <c r="T1560" s="4" t="s">
        <v>2272</v>
      </c>
      <c r="U1560" s="4" t="s">
        <v>2272</v>
      </c>
      <c r="V1560" s="4" t="s">
        <v>2272</v>
      </c>
      <c r="W1560" s="4" t="s">
        <v>2272</v>
      </c>
      <c r="X1560" s="4" t="s">
        <v>2272</v>
      </c>
      <c r="Y1560" s="3" t="s">
        <v>423</v>
      </c>
      <c r="Z1560" s="3" t="s">
        <v>67</v>
      </c>
      <c r="AA1560" s="3" t="s">
        <v>63</v>
      </c>
      <c r="AB1560" s="4" t="s">
        <v>4602</v>
      </c>
      <c r="AC1560" s="4" t="s">
        <v>4605</v>
      </c>
    </row>
    <row r="1561" spans="1:29" ht="56" customHeight="1">
      <c r="A1561" s="147" t="str">
        <f>'Reported burning'!A1561</f>
        <v>181a</v>
      </c>
      <c r="B1561" s="147" t="str">
        <f>'Reported burning'!B1561</f>
        <v>181a.2</v>
      </c>
      <c r="C1561" s="147" t="str">
        <f>'Reported burning'!C1561</f>
        <v>Human, deliberate</v>
      </c>
      <c r="D1561" s="147" t="str">
        <f>'Reported burning'!D1561</f>
        <v>All</v>
      </c>
      <c r="E1561" s="147" t="str">
        <f>'Reported burning'!E1561</f>
        <v>Biodiversity conservation</v>
      </c>
      <c r="F1561" s="147" t="str">
        <f>'Reported burning'!F1561</f>
        <v>Shrubland (Mixed forest &amp; grassland)</v>
      </c>
      <c r="G1561" s="147" t="str">
        <f>'Reported burning'!G1561</f>
        <v>Shrubland (Mixed forest &amp; grassland)</v>
      </c>
      <c r="H1561" s="147" t="str">
        <f>'Reported burning'!H1561</f>
        <v>Absence</v>
      </c>
      <c r="I1561" s="3"/>
      <c r="J1561" s="3" t="s">
        <v>2359</v>
      </c>
      <c r="K1561" s="198" t="s">
        <v>2359</v>
      </c>
      <c r="L1561" s="3" t="s">
        <v>2359</v>
      </c>
      <c r="M1561" s="3" t="s">
        <v>2359</v>
      </c>
      <c r="N1561" s="3" t="s">
        <v>2359</v>
      </c>
      <c r="O1561" s="3" t="s">
        <v>2359</v>
      </c>
      <c r="P1561" s="3" t="s">
        <v>2359</v>
      </c>
      <c r="Q1561" s="3" t="s">
        <v>2359</v>
      </c>
      <c r="R1561" s="3" t="s">
        <v>2359</v>
      </c>
      <c r="S1561" s="3" t="s">
        <v>2359</v>
      </c>
      <c r="T1561" s="3" t="s">
        <v>2359</v>
      </c>
      <c r="U1561" s="3" t="s">
        <v>2359</v>
      </c>
      <c r="V1561" s="3" t="s">
        <v>2359</v>
      </c>
      <c r="W1561" s="3" t="s">
        <v>2359</v>
      </c>
      <c r="X1561" s="4" t="s">
        <v>2272</v>
      </c>
      <c r="Y1561" s="4" t="s">
        <v>2272</v>
      </c>
      <c r="Z1561" s="4" t="s">
        <v>2272</v>
      </c>
      <c r="AA1561" s="4" t="s">
        <v>2272</v>
      </c>
      <c r="AB1561" s="4" t="s">
        <v>4604</v>
      </c>
      <c r="AC1561" s="3"/>
    </row>
    <row r="1562" spans="1:29" ht="41" customHeight="1">
      <c r="A1562" s="147" t="str">
        <f>'Reported burning'!A1562</f>
        <v>181b</v>
      </c>
      <c r="B1562" s="147" t="str">
        <f>'Reported burning'!B1562</f>
        <v>181b.1</v>
      </c>
      <c r="C1562" s="147" t="str">
        <f>'Reported burning'!C1562</f>
        <v>Human, deliberate</v>
      </c>
      <c r="D1562" s="147" t="str">
        <f>'Reported burning'!D1562</f>
        <v>Conservation</v>
      </c>
      <c r="E1562" s="147" t="str">
        <f>'Reported burning'!E1562</f>
        <v>Biodiversity conservation</v>
      </c>
      <c r="F1562" s="147" t="str">
        <f>'Reported burning'!F1562</f>
        <v>Shrubland (Mixed forest &amp; grassland)</v>
      </c>
      <c r="G1562" s="147" t="str">
        <f>'Reported burning'!G1562</f>
        <v>Shrubland (Mixed forest &amp; grassland)</v>
      </c>
      <c r="H1562" s="147" t="str">
        <f>'Reported burning'!H1562</f>
        <v>Presence</v>
      </c>
      <c r="I1562" s="3"/>
      <c r="J1562" s="4" t="s">
        <v>2272</v>
      </c>
      <c r="K1562" s="4" t="s">
        <v>2272</v>
      </c>
      <c r="L1562" s="4" t="s">
        <v>2272</v>
      </c>
      <c r="M1562" s="4" t="s">
        <v>2272</v>
      </c>
      <c r="N1562" s="4" t="s">
        <v>2272</v>
      </c>
      <c r="O1562" s="4" t="s">
        <v>2272</v>
      </c>
      <c r="P1562" s="4" t="s">
        <v>2272</v>
      </c>
      <c r="Q1562" s="4" t="s">
        <v>2272</v>
      </c>
      <c r="R1562" s="4" t="s">
        <v>2272</v>
      </c>
      <c r="S1562" s="4" t="s">
        <v>2272</v>
      </c>
      <c r="T1562" s="4" t="s">
        <v>2272</v>
      </c>
      <c r="U1562" s="4" t="s">
        <v>2272</v>
      </c>
      <c r="V1562" s="4" t="s">
        <v>2272</v>
      </c>
      <c r="W1562" s="4" t="s">
        <v>2272</v>
      </c>
      <c r="X1562" s="4" t="s">
        <v>2272</v>
      </c>
      <c r="Y1562" s="4" t="s">
        <v>2272</v>
      </c>
      <c r="Z1562" s="4" t="s">
        <v>2272</v>
      </c>
      <c r="AA1562" s="45" t="s">
        <v>2272</v>
      </c>
      <c r="AB1562" s="3"/>
      <c r="AC1562" s="3"/>
    </row>
    <row r="1563" spans="1:29" ht="41" customHeight="1">
      <c r="A1563" s="147" t="str">
        <f>'Reported burning'!A1563</f>
        <v>181c</v>
      </c>
      <c r="B1563" s="147" t="str">
        <f>'Reported burning'!B1563</f>
        <v>181c.1</v>
      </c>
      <c r="C1563" s="147" t="str">
        <f>'Reported burning'!C1563</f>
        <v>Human, deliberate</v>
      </c>
      <c r="D1563" s="147" t="str">
        <f>'Reported burning'!D1563</f>
        <v>Conservation</v>
      </c>
      <c r="E1563" s="147" t="str">
        <f>'Reported burning'!E1563</f>
        <v>Biodiversity conservation</v>
      </c>
      <c r="F1563" s="147" t="str">
        <f>'Reported burning'!F1563</f>
        <v>Shrubland (Mixed forest &amp; grassland)</v>
      </c>
      <c r="G1563" s="147" t="str">
        <f>'Reported burning'!G1563</f>
        <v>Shrubland (Mixed forest &amp; grassland)</v>
      </c>
      <c r="H1563" s="147" t="str">
        <f>'Reported burning'!H1563</f>
        <v>Presence</v>
      </c>
      <c r="I1563" s="3"/>
      <c r="J1563" s="4" t="s">
        <v>2272</v>
      </c>
      <c r="K1563" s="4" t="s">
        <v>2272</v>
      </c>
      <c r="L1563" s="4" t="s">
        <v>2272</v>
      </c>
      <c r="M1563" s="4" t="s">
        <v>2272</v>
      </c>
      <c r="N1563" s="4" t="s">
        <v>2272</v>
      </c>
      <c r="O1563" s="4" t="s">
        <v>2272</v>
      </c>
      <c r="P1563" s="4" t="s">
        <v>2272</v>
      </c>
      <c r="Q1563" s="4" t="s">
        <v>2272</v>
      </c>
      <c r="R1563" s="4" t="s">
        <v>2272</v>
      </c>
      <c r="S1563" s="4" t="s">
        <v>2272</v>
      </c>
      <c r="T1563" s="4" t="s">
        <v>2272</v>
      </c>
      <c r="U1563" s="4" t="s">
        <v>2272</v>
      </c>
      <c r="V1563" s="4" t="s">
        <v>2272</v>
      </c>
      <c r="W1563" s="4" t="s">
        <v>2272</v>
      </c>
      <c r="X1563" s="4" t="s">
        <v>2272</v>
      </c>
      <c r="Y1563" s="4" t="s">
        <v>2272</v>
      </c>
      <c r="Z1563" s="4" t="s">
        <v>2272</v>
      </c>
      <c r="AA1563" s="45" t="s">
        <v>2272</v>
      </c>
      <c r="AB1563" s="3"/>
      <c r="AC1563" s="3"/>
    </row>
    <row r="1564" spans="1:29" ht="65.5" customHeight="1">
      <c r="A1564" s="147" t="str">
        <f>'Reported burning'!A1564</f>
        <v>181d</v>
      </c>
      <c r="B1564" s="147" t="str">
        <f>'Reported burning'!B1564</f>
        <v>181d.1</v>
      </c>
      <c r="C1564" s="147" t="str">
        <f>'Reported burning'!C1564</f>
        <v>Human, deliberate</v>
      </c>
      <c r="D1564" s="147" t="str">
        <f>'Reported burning'!D1564</f>
        <v>Conservation</v>
      </c>
      <c r="E1564" s="147" t="str">
        <f>'Reported burning'!E1564</f>
        <v>Biodiversity conservation</v>
      </c>
      <c r="F1564" s="147" t="str">
        <f>'Reported burning'!F1564</f>
        <v>Shrubland (Mixed forest &amp; grassland)</v>
      </c>
      <c r="G1564" s="147" t="str">
        <f>'Reported burning'!G1564</f>
        <v>Shrubland (Mixed forest &amp; grassland)</v>
      </c>
      <c r="H1564" s="147" t="str">
        <f>'Reported burning'!H1564</f>
        <v>Presence</v>
      </c>
      <c r="I1564" s="3"/>
      <c r="J1564" s="3" t="s">
        <v>2366</v>
      </c>
      <c r="K1564" s="198" t="s">
        <v>2366</v>
      </c>
      <c r="L1564" s="3" t="s">
        <v>2373</v>
      </c>
      <c r="M1564" s="4" t="s">
        <v>2272</v>
      </c>
      <c r="N1564" s="3" t="s">
        <v>2375</v>
      </c>
      <c r="O1564" s="4" t="s">
        <v>2272</v>
      </c>
      <c r="P1564" s="3" t="s">
        <v>2375</v>
      </c>
      <c r="Q1564" s="4" t="s">
        <v>2272</v>
      </c>
      <c r="R1564" s="3" t="s">
        <v>2374</v>
      </c>
      <c r="S1564" s="4" t="s">
        <v>2272</v>
      </c>
      <c r="T1564" s="4" t="s">
        <v>2272</v>
      </c>
      <c r="U1564" s="4" t="s">
        <v>2272</v>
      </c>
      <c r="V1564" s="3" t="s">
        <v>2384</v>
      </c>
      <c r="W1564" s="4" t="s">
        <v>2272</v>
      </c>
      <c r="X1564" s="4" t="s">
        <v>2272</v>
      </c>
      <c r="Y1564" s="3" t="s">
        <v>37</v>
      </c>
      <c r="Z1564" s="3" t="s">
        <v>34</v>
      </c>
      <c r="AA1564" s="3" t="s">
        <v>63</v>
      </c>
      <c r="AB1564" s="3"/>
      <c r="AC1564" s="4" t="s">
        <v>4609</v>
      </c>
    </row>
    <row r="1565" spans="1:29" ht="83.5" customHeight="1">
      <c r="A1565" s="147" t="str">
        <f>'Reported burning'!A1565</f>
        <v>182a</v>
      </c>
      <c r="B1565" s="147" t="str">
        <f>'Reported burning'!B1565</f>
        <v>182a.1</v>
      </c>
      <c r="C1565" s="147" t="str">
        <f>'Reported burning'!C1565</f>
        <v>Human, deliberate</v>
      </c>
      <c r="D1565" s="147" t="str">
        <f>'Reported burning'!D1565</f>
        <v>Rangeland management</v>
      </c>
      <c r="E1565" s="147" t="str">
        <f>'Reported burning'!E1565</f>
        <v>Cattle, Intensive</v>
      </c>
      <c r="F1565" s="147" t="str">
        <f>'Reported burning'!F1565</f>
        <v>Shrubland (Mixed forest &amp; grassland)</v>
      </c>
      <c r="G1565" s="147" t="str">
        <f>'Reported burning'!G1565</f>
        <v>ND</v>
      </c>
      <c r="H1565" s="147" t="str">
        <f>'Reported burning'!H1565</f>
        <v>Absence</v>
      </c>
      <c r="I1565" s="3"/>
      <c r="J1565" s="3" t="s">
        <v>2359</v>
      </c>
      <c r="K1565" s="198" t="s">
        <v>2359</v>
      </c>
      <c r="L1565" s="3" t="s">
        <v>2359</v>
      </c>
      <c r="M1565" s="3" t="s">
        <v>2359</v>
      </c>
      <c r="N1565" s="3" t="s">
        <v>2359</v>
      </c>
      <c r="O1565" s="3" t="s">
        <v>2359</v>
      </c>
      <c r="P1565" s="3" t="s">
        <v>2359</v>
      </c>
      <c r="Q1565" s="3" t="s">
        <v>2359</v>
      </c>
      <c r="R1565" s="3" t="s">
        <v>2359</v>
      </c>
      <c r="S1565" s="3" t="s">
        <v>2359</v>
      </c>
      <c r="T1565" s="3" t="s">
        <v>2359</v>
      </c>
      <c r="U1565" s="3" t="s">
        <v>2359</v>
      </c>
      <c r="V1565" s="3" t="s">
        <v>2359</v>
      </c>
      <c r="W1565" s="3" t="s">
        <v>2359</v>
      </c>
      <c r="X1565" s="4" t="s">
        <v>2272</v>
      </c>
      <c r="Y1565" s="4" t="s">
        <v>2272</v>
      </c>
      <c r="Z1565" s="4" t="s">
        <v>2272</v>
      </c>
      <c r="AA1565" s="4" t="s">
        <v>2272</v>
      </c>
      <c r="AB1565" s="4" t="s">
        <v>4631</v>
      </c>
      <c r="AC1565" s="3"/>
    </row>
    <row r="1566" spans="1:29" ht="83.5" customHeight="1">
      <c r="A1566" s="147" t="str">
        <f>'Reported burning'!A1566</f>
        <v>182a</v>
      </c>
      <c r="B1566" s="147" t="str">
        <f>'Reported burning'!B1566</f>
        <v>182a.2</v>
      </c>
      <c r="C1566" s="147" t="str">
        <f>'Reported burning'!C1566</f>
        <v>Human, deliberate</v>
      </c>
      <c r="D1566" s="147" t="str">
        <f>'Reported burning'!D1566</f>
        <v>Pasture renewal</v>
      </c>
      <c r="E1566" s="147" t="str">
        <f>'Reported burning'!E1566</f>
        <v>Cattle, Intensive</v>
      </c>
      <c r="F1566" s="147" t="str">
        <f>'Reported burning'!F1566</f>
        <v>Shrubland (Mixed forest &amp; grassland)</v>
      </c>
      <c r="G1566" s="147" t="str">
        <f>'Reported burning'!G1566</f>
        <v>ND</v>
      </c>
      <c r="H1566" s="147" t="str">
        <f>'Reported burning'!H1566</f>
        <v>Absence</v>
      </c>
      <c r="I1566" s="3"/>
      <c r="J1566" s="3" t="s">
        <v>2359</v>
      </c>
      <c r="K1566" s="198" t="s">
        <v>2359</v>
      </c>
      <c r="L1566" s="3" t="s">
        <v>2359</v>
      </c>
      <c r="M1566" s="3" t="s">
        <v>2359</v>
      </c>
      <c r="N1566" s="3" t="s">
        <v>2359</v>
      </c>
      <c r="O1566" s="3" t="s">
        <v>2359</v>
      </c>
      <c r="P1566" s="3" t="s">
        <v>2359</v>
      </c>
      <c r="Q1566" s="3" t="s">
        <v>2359</v>
      </c>
      <c r="R1566" s="3" t="s">
        <v>2359</v>
      </c>
      <c r="S1566" s="3" t="s">
        <v>2359</v>
      </c>
      <c r="T1566" s="3" t="s">
        <v>2359</v>
      </c>
      <c r="U1566" s="3" t="s">
        <v>2359</v>
      </c>
      <c r="V1566" s="3" t="s">
        <v>2359</v>
      </c>
      <c r="W1566" s="3" t="s">
        <v>2359</v>
      </c>
      <c r="X1566" s="4" t="s">
        <v>2272</v>
      </c>
      <c r="Y1566" s="4" t="s">
        <v>2272</v>
      </c>
      <c r="Z1566" s="4" t="s">
        <v>2272</v>
      </c>
      <c r="AA1566" s="4" t="s">
        <v>2272</v>
      </c>
      <c r="AB1566" s="4" t="s">
        <v>4631</v>
      </c>
      <c r="AC1566" s="3"/>
    </row>
    <row r="1567" spans="1:29" ht="83.5" customHeight="1">
      <c r="A1567" s="147" t="str">
        <f>'Reported burning'!A1567</f>
        <v>182a</v>
      </c>
      <c r="B1567" s="147" t="str">
        <f>'Reported burning'!B1567</f>
        <v>182a.3</v>
      </c>
      <c r="C1567" s="147" t="str">
        <f>'Reported burning'!C1567</f>
        <v>Human, deliberate</v>
      </c>
      <c r="D1567" s="147" t="str">
        <f>'Reported burning'!D1567</f>
        <v>Rangeland management</v>
      </c>
      <c r="E1567" s="147" t="str">
        <f>'Reported burning'!E1567</f>
        <v>Pastoralism, Migratory</v>
      </c>
      <c r="F1567" s="147" t="str">
        <f>'Reported burning'!F1567</f>
        <v>Shrubland (Mixed forest &amp; grassland)</v>
      </c>
      <c r="G1567" s="147" t="str">
        <f>'Reported burning'!G1567</f>
        <v>ND</v>
      </c>
      <c r="H1567" s="147" t="str">
        <f>'Reported burning'!H1567</f>
        <v>Absence</v>
      </c>
      <c r="I1567" s="3"/>
      <c r="J1567" s="3" t="s">
        <v>2359</v>
      </c>
      <c r="K1567" s="198" t="s">
        <v>2359</v>
      </c>
      <c r="L1567" s="3" t="s">
        <v>2359</v>
      </c>
      <c r="M1567" s="3" t="s">
        <v>2359</v>
      </c>
      <c r="N1567" s="3" t="s">
        <v>2359</v>
      </c>
      <c r="O1567" s="3" t="s">
        <v>2359</v>
      </c>
      <c r="P1567" s="3" t="s">
        <v>2359</v>
      </c>
      <c r="Q1567" s="3" t="s">
        <v>2359</v>
      </c>
      <c r="R1567" s="3" t="s">
        <v>2359</v>
      </c>
      <c r="S1567" s="3" t="s">
        <v>2359</v>
      </c>
      <c r="T1567" s="3" t="s">
        <v>2359</v>
      </c>
      <c r="U1567" s="3" t="s">
        <v>2359</v>
      </c>
      <c r="V1567" s="3" t="s">
        <v>2359</v>
      </c>
      <c r="W1567" s="3" t="s">
        <v>2359</v>
      </c>
      <c r="X1567" s="4" t="s">
        <v>2272</v>
      </c>
      <c r="Y1567" s="4" t="s">
        <v>2272</v>
      </c>
      <c r="Z1567" s="4" t="s">
        <v>2272</v>
      </c>
      <c r="AA1567" s="4" t="s">
        <v>2272</v>
      </c>
      <c r="AB1567" s="4" t="s">
        <v>4634</v>
      </c>
      <c r="AC1567" s="3"/>
    </row>
    <row r="1568" spans="1:29" ht="77.5" customHeight="1">
      <c r="A1568" s="147" t="str">
        <f>'Reported burning'!A1568</f>
        <v>183a</v>
      </c>
      <c r="B1568" s="147" t="str">
        <f>'Reported burning'!B1568</f>
        <v>183a.1</v>
      </c>
      <c r="C1568" s="147" t="str">
        <f>'Reported burning'!C1568</f>
        <v>Human, deliberate</v>
      </c>
      <c r="D1568" s="147" t="str">
        <f>'Reported burning'!D1568</f>
        <v>Pyrome management</v>
      </c>
      <c r="E1568" s="147" t="str">
        <f>'Reported burning'!E1568</f>
        <v>Forestry, Industrial</v>
      </c>
      <c r="F1568" s="147" t="str">
        <f>'Reported burning'!F1568</f>
        <v>Forest</v>
      </c>
      <c r="G1568" s="147" t="str">
        <f>'Reported burning'!G1568</f>
        <v>ND</v>
      </c>
      <c r="H1568" s="147" t="str">
        <f>'Reported burning'!H1568</f>
        <v>Absence</v>
      </c>
      <c r="I1568" s="3"/>
      <c r="J1568" s="3" t="s">
        <v>2359</v>
      </c>
      <c r="K1568" s="198" t="s">
        <v>2359</v>
      </c>
      <c r="L1568" s="3" t="s">
        <v>2359</v>
      </c>
      <c r="M1568" s="3" t="s">
        <v>2359</v>
      </c>
      <c r="N1568" s="3" t="s">
        <v>2359</v>
      </c>
      <c r="O1568" s="3" t="s">
        <v>2359</v>
      </c>
      <c r="P1568" s="3" t="s">
        <v>2359</v>
      </c>
      <c r="Q1568" s="3" t="s">
        <v>2359</v>
      </c>
      <c r="R1568" s="3" t="s">
        <v>2359</v>
      </c>
      <c r="S1568" s="3" t="s">
        <v>2359</v>
      </c>
      <c r="T1568" s="3" t="s">
        <v>2359</v>
      </c>
      <c r="U1568" s="3" t="s">
        <v>2359</v>
      </c>
      <c r="V1568" s="3" t="s">
        <v>2359</v>
      </c>
      <c r="W1568" s="3" t="s">
        <v>2359</v>
      </c>
      <c r="X1568" s="4" t="s">
        <v>2272</v>
      </c>
      <c r="Y1568" s="4" t="s">
        <v>2272</v>
      </c>
      <c r="Z1568" s="4" t="s">
        <v>2272</v>
      </c>
      <c r="AA1568" s="4" t="s">
        <v>2272</v>
      </c>
      <c r="AB1568" s="4" t="s">
        <v>4651</v>
      </c>
      <c r="AC1568" s="3"/>
    </row>
    <row r="1569" spans="1:29" ht="66" customHeight="1">
      <c r="A1569" s="147" t="str">
        <f>'Reported burning'!A1569</f>
        <v>183a</v>
      </c>
      <c r="B1569" s="147" t="str">
        <f>'Reported burning'!B1569</f>
        <v>183a.2</v>
      </c>
      <c r="C1569" s="147" t="str">
        <f>'Reported burning'!C1569</f>
        <v>Human, deliberate</v>
      </c>
      <c r="D1569" s="147" t="str">
        <f>'Reported burning'!D1569</f>
        <v>Domestic</v>
      </c>
      <c r="E1569" s="147" t="str">
        <f>'Reported burning'!E1569</f>
        <v>Pastoralism, Migratory</v>
      </c>
      <c r="F1569" s="147" t="str">
        <f>'Reported burning'!F1569</f>
        <v>ND</v>
      </c>
      <c r="G1569" s="147" t="str">
        <f>'Reported burning'!G1569</f>
        <v>ND</v>
      </c>
      <c r="H1569" s="147" t="str">
        <f>'Reported burning'!H1569</f>
        <v>Presence</v>
      </c>
      <c r="I1569" s="3"/>
      <c r="J1569" s="4" t="s">
        <v>2272</v>
      </c>
      <c r="K1569" s="4" t="s">
        <v>2272</v>
      </c>
      <c r="L1569" s="4" t="s">
        <v>2272</v>
      </c>
      <c r="M1569" s="4" t="s">
        <v>2272</v>
      </c>
      <c r="N1569" s="4" t="s">
        <v>2272</v>
      </c>
      <c r="O1569" s="4" t="s">
        <v>2272</v>
      </c>
      <c r="P1569" s="4" t="s">
        <v>2272</v>
      </c>
      <c r="Q1569" s="4" t="s">
        <v>2272</v>
      </c>
      <c r="R1569" s="4" t="s">
        <v>2272</v>
      </c>
      <c r="S1569" s="4" t="s">
        <v>2272</v>
      </c>
      <c r="T1569" s="4" t="s">
        <v>2272</v>
      </c>
      <c r="U1569" s="4" t="s">
        <v>2272</v>
      </c>
      <c r="V1569" s="4" t="s">
        <v>2272</v>
      </c>
      <c r="W1569" s="4" t="s">
        <v>2272</v>
      </c>
      <c r="X1569" s="4" t="s">
        <v>2272</v>
      </c>
      <c r="Y1569" s="4" t="s">
        <v>2272</v>
      </c>
      <c r="Z1569" s="4" t="s">
        <v>2272</v>
      </c>
      <c r="AA1569" s="4" t="s">
        <v>2272</v>
      </c>
      <c r="AB1569" s="19" t="s">
        <v>4650</v>
      </c>
      <c r="AC1569" s="3"/>
    </row>
    <row r="1570" spans="1:29" ht="83.5" customHeight="1">
      <c r="A1570" s="147" t="str">
        <f>'Reported burning'!A1570</f>
        <v>183b</v>
      </c>
      <c r="B1570" s="147" t="str">
        <f>'Reported burning'!B1570</f>
        <v>183b.1</v>
      </c>
      <c r="C1570" s="147" t="str">
        <f>'Reported burning'!C1570</f>
        <v>Human, deliberate</v>
      </c>
      <c r="D1570" s="147" t="str">
        <f>'Reported burning'!D1570</f>
        <v>Pyrome management</v>
      </c>
      <c r="E1570" s="147" t="str">
        <f>'Reported burning'!E1570</f>
        <v>Forestry, Industrial</v>
      </c>
      <c r="F1570" s="147" t="str">
        <f>'Reported burning'!F1570</f>
        <v>Forest</v>
      </c>
      <c r="G1570" s="147" t="str">
        <f>'Reported burning'!G1570</f>
        <v>ND</v>
      </c>
      <c r="H1570" s="147" t="str">
        <f>'Reported burning'!H1570</f>
        <v>Absence</v>
      </c>
      <c r="I1570" s="3"/>
      <c r="J1570" s="3" t="s">
        <v>2359</v>
      </c>
      <c r="K1570" s="198" t="s">
        <v>2359</v>
      </c>
      <c r="L1570" s="3" t="s">
        <v>2359</v>
      </c>
      <c r="M1570" s="3" t="s">
        <v>2359</v>
      </c>
      <c r="N1570" s="3" t="s">
        <v>2359</v>
      </c>
      <c r="O1570" s="3" t="s">
        <v>2359</v>
      </c>
      <c r="P1570" s="3" t="s">
        <v>2359</v>
      </c>
      <c r="Q1570" s="3" t="s">
        <v>2359</v>
      </c>
      <c r="R1570" s="3" t="s">
        <v>2359</v>
      </c>
      <c r="S1570" s="3" t="s">
        <v>2359</v>
      </c>
      <c r="T1570" s="3" t="s">
        <v>2359</v>
      </c>
      <c r="U1570" s="3" t="s">
        <v>2359</v>
      </c>
      <c r="V1570" s="3" t="s">
        <v>2359</v>
      </c>
      <c r="W1570" s="3" t="s">
        <v>2359</v>
      </c>
      <c r="X1570" s="4" t="s">
        <v>2272</v>
      </c>
      <c r="Y1570" s="4" t="s">
        <v>2272</v>
      </c>
      <c r="Z1570" s="4" t="s">
        <v>2272</v>
      </c>
      <c r="AA1570" s="4" t="s">
        <v>2272</v>
      </c>
      <c r="AB1570" s="4" t="s">
        <v>4651</v>
      </c>
      <c r="AC1570" s="3"/>
    </row>
    <row r="1571" spans="1:29" ht="52" customHeight="1">
      <c r="A1571" s="147" t="str">
        <f>'Reported burning'!A1571</f>
        <v>184a</v>
      </c>
      <c r="B1571" s="147" t="str">
        <f>'Reported burning'!B1571</f>
        <v>184a.1</v>
      </c>
      <c r="C1571" s="147" t="str">
        <f>'Reported burning'!C1571</f>
        <v>Human, deliberate</v>
      </c>
      <c r="D1571" s="147" t="str">
        <f>'Reported burning'!D1571</f>
        <v>Pasture renewal</v>
      </c>
      <c r="E1571" s="147" t="str">
        <f>'Reported burning'!E1571</f>
        <v>Pastoralism, Migratory</v>
      </c>
      <c r="F1571" s="147" t="str">
        <f>'Reported burning'!F1571</f>
        <v>Shrubland (Mixed forest &amp; grassland)</v>
      </c>
      <c r="G1571" s="147" t="str">
        <f>'Reported burning'!G1571</f>
        <v>ND</v>
      </c>
      <c r="H1571" s="147" t="str">
        <f>'Reported burning'!H1571</f>
        <v>Presence</v>
      </c>
      <c r="I1571" s="3"/>
      <c r="J1571" s="4" t="s">
        <v>2272</v>
      </c>
      <c r="K1571" s="4" t="s">
        <v>2272</v>
      </c>
      <c r="L1571" s="4" t="s">
        <v>2272</v>
      </c>
      <c r="M1571" s="4" t="s">
        <v>2272</v>
      </c>
      <c r="N1571" s="4" t="s">
        <v>2272</v>
      </c>
      <c r="O1571" s="4" t="s">
        <v>2272</v>
      </c>
      <c r="P1571" s="4" t="s">
        <v>2272</v>
      </c>
      <c r="Q1571" s="4" t="s">
        <v>2272</v>
      </c>
      <c r="R1571" s="4" t="s">
        <v>2272</v>
      </c>
      <c r="S1571" s="4" t="s">
        <v>2272</v>
      </c>
      <c r="T1571" s="4" t="s">
        <v>2272</v>
      </c>
      <c r="U1571" s="4" t="s">
        <v>2272</v>
      </c>
      <c r="V1571" s="4" t="s">
        <v>2272</v>
      </c>
      <c r="W1571" s="4" t="s">
        <v>2272</v>
      </c>
      <c r="X1571" s="4" t="s">
        <v>2272</v>
      </c>
      <c r="Y1571" s="4" t="s">
        <v>2272</v>
      </c>
      <c r="Z1571" s="4" t="s">
        <v>2272</v>
      </c>
      <c r="AA1571" s="3" t="s">
        <v>2272</v>
      </c>
      <c r="AB1571" s="3" t="s">
        <v>4661</v>
      </c>
      <c r="AC1571" s="3"/>
    </row>
    <row r="1572" spans="1:29" ht="75" customHeight="1">
      <c r="A1572" s="147" t="str">
        <f>'Reported burning'!A1572</f>
        <v>184a</v>
      </c>
      <c r="B1572" s="147" t="str">
        <f>'Reported burning'!B1572</f>
        <v>184a.2</v>
      </c>
      <c r="C1572" s="147" t="str">
        <f>'Reported burning'!C1572</f>
        <v>Human, deliberate</v>
      </c>
      <c r="D1572" s="147" t="str">
        <f>'Reported burning'!D1572</f>
        <v>Rangeland management</v>
      </c>
      <c r="E1572" s="147" t="str">
        <f>'Reported burning'!E1572</f>
        <v>Pastoralism, Migratory</v>
      </c>
      <c r="F1572" s="147" t="str">
        <f>'Reported burning'!F1572</f>
        <v>Shrubland (Mixed forest &amp; grassland)</v>
      </c>
      <c r="G1572" s="147" t="str">
        <f>'Reported burning'!G1572</f>
        <v>ND</v>
      </c>
      <c r="H1572" s="147" t="str">
        <f>'Reported burning'!H1572</f>
        <v>Absence</v>
      </c>
      <c r="I1572" s="3"/>
      <c r="J1572" s="3" t="s">
        <v>2359</v>
      </c>
      <c r="K1572" s="198" t="s">
        <v>2359</v>
      </c>
      <c r="L1572" s="3" t="s">
        <v>2359</v>
      </c>
      <c r="M1572" s="3" t="s">
        <v>2359</v>
      </c>
      <c r="N1572" s="3" t="s">
        <v>2359</v>
      </c>
      <c r="O1572" s="3" t="s">
        <v>2359</v>
      </c>
      <c r="P1572" s="3" t="s">
        <v>2359</v>
      </c>
      <c r="Q1572" s="3" t="s">
        <v>2359</v>
      </c>
      <c r="R1572" s="3" t="s">
        <v>2359</v>
      </c>
      <c r="S1572" s="3" t="s">
        <v>2359</v>
      </c>
      <c r="T1572" s="3" t="s">
        <v>2359</v>
      </c>
      <c r="U1572" s="3" t="s">
        <v>2359</v>
      </c>
      <c r="V1572" s="3" t="s">
        <v>2359</v>
      </c>
      <c r="W1572" s="3" t="s">
        <v>2359</v>
      </c>
      <c r="X1572" s="4" t="s">
        <v>2272</v>
      </c>
      <c r="Y1572" s="4" t="s">
        <v>2272</v>
      </c>
      <c r="Z1572" s="4" t="s">
        <v>2272</v>
      </c>
      <c r="AA1572" s="4" t="s">
        <v>2272</v>
      </c>
      <c r="AB1572" s="4" t="s">
        <v>4662</v>
      </c>
      <c r="AC1572" s="3"/>
    </row>
    <row r="1573" spans="1:29" ht="63" customHeight="1">
      <c r="A1573" s="147" t="str">
        <f>'Reported burning'!A1573</f>
        <v>184a</v>
      </c>
      <c r="B1573" s="147" t="str">
        <f>'Reported burning'!B1573</f>
        <v>184a.3</v>
      </c>
      <c r="C1573" s="147" t="str">
        <f>'Reported burning'!C1573</f>
        <v>Human, deliberate</v>
      </c>
      <c r="D1573" s="147" t="str">
        <f>'Reported burning'!D1573</f>
        <v>Pest management</v>
      </c>
      <c r="E1573" s="147" t="str">
        <f>'Reported burning'!E1573</f>
        <v>Pastoralism, Migratory</v>
      </c>
      <c r="F1573" s="147" t="str">
        <f>'Reported burning'!F1573</f>
        <v>Shrubland (Mixed forest &amp; grassland)</v>
      </c>
      <c r="G1573" s="147" t="str">
        <f>'Reported burning'!G1573</f>
        <v>ND</v>
      </c>
      <c r="H1573" s="147" t="str">
        <f>'Reported burning'!H1573</f>
        <v>Presence</v>
      </c>
      <c r="I1573" s="3"/>
      <c r="J1573" s="4" t="s">
        <v>2272</v>
      </c>
      <c r="K1573" s="4" t="s">
        <v>2272</v>
      </c>
      <c r="L1573" s="4" t="s">
        <v>2272</v>
      </c>
      <c r="M1573" s="4" t="s">
        <v>2272</v>
      </c>
      <c r="N1573" s="4" t="s">
        <v>2272</v>
      </c>
      <c r="O1573" s="4" t="s">
        <v>2272</v>
      </c>
      <c r="P1573" s="4" t="s">
        <v>2272</v>
      </c>
      <c r="Q1573" s="4" t="s">
        <v>2272</v>
      </c>
      <c r="R1573" s="4" t="s">
        <v>2272</v>
      </c>
      <c r="S1573" s="4" t="s">
        <v>2272</v>
      </c>
      <c r="T1573" s="4" t="s">
        <v>2272</v>
      </c>
      <c r="U1573" s="4" t="s">
        <v>2272</v>
      </c>
      <c r="V1573" s="4" t="s">
        <v>2272</v>
      </c>
      <c r="W1573" s="4" t="s">
        <v>2272</v>
      </c>
      <c r="X1573" s="4" t="s">
        <v>2272</v>
      </c>
      <c r="Y1573" s="4" t="s">
        <v>2272</v>
      </c>
      <c r="Z1573" s="4" t="s">
        <v>2272</v>
      </c>
      <c r="AA1573" s="4" t="s">
        <v>2272</v>
      </c>
      <c r="AB1573" s="4" t="s">
        <v>4664</v>
      </c>
      <c r="AC1573" s="3"/>
    </row>
    <row r="1574" spans="1:29" ht="45.5" customHeight="1">
      <c r="A1574" s="147" t="str">
        <f>'Reported burning'!A1574</f>
        <v>185a</v>
      </c>
      <c r="B1574" s="147" t="str">
        <f>'Reported burning'!B1574</f>
        <v>185a.1</v>
      </c>
      <c r="C1574" s="147" t="str">
        <f>'Reported burning'!C1574</f>
        <v>Human, deliberate</v>
      </c>
      <c r="D1574" s="147" t="str">
        <f>'Reported burning'!D1574</f>
        <v>Crop field preparation</v>
      </c>
      <c r="E1574" s="147" t="str">
        <f>'Reported burning'!E1574</f>
        <v>Cropping, Intensive</v>
      </c>
      <c r="F1574" s="147" t="str">
        <f>'Reported burning'!F1574</f>
        <v>Cropland</v>
      </c>
      <c r="G1574" s="147" t="str">
        <f>'Reported burning'!G1574</f>
        <v>ND</v>
      </c>
      <c r="H1574" s="147"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4" t="s">
        <v>2272</v>
      </c>
      <c r="Y1574" s="4" t="s">
        <v>2272</v>
      </c>
      <c r="Z1574" s="4" t="s">
        <v>2272</v>
      </c>
      <c r="AA1574" s="4" t="s">
        <v>2272</v>
      </c>
      <c r="AB1574" s="4" t="s">
        <v>4683</v>
      </c>
      <c r="AC1574" s="3"/>
    </row>
    <row r="1575" spans="1:29" ht="45.5" customHeight="1">
      <c r="A1575" s="147" t="str">
        <f>'Reported burning'!A1575</f>
        <v>185b</v>
      </c>
      <c r="B1575" s="147" t="str">
        <f>'Reported burning'!B1575</f>
        <v>185b.1</v>
      </c>
      <c r="C1575" s="147" t="str">
        <f>'Reported burning'!C1575</f>
        <v>Human, deliberate</v>
      </c>
      <c r="D1575" s="147" t="str">
        <f>'Reported burning'!D1575</f>
        <v>Crop field preparation</v>
      </c>
      <c r="E1575" s="147" t="str">
        <f>'Reported burning'!E1575</f>
        <v>Cropping, Intensive</v>
      </c>
      <c r="F1575" s="147" t="str">
        <f>'Reported burning'!F1575</f>
        <v>Cropland</v>
      </c>
      <c r="G1575" s="147" t="str">
        <f>'Reported burning'!G1575</f>
        <v>ND</v>
      </c>
      <c r="H1575" s="147"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4" t="s">
        <v>2272</v>
      </c>
      <c r="Y1575" s="4" t="s">
        <v>2272</v>
      </c>
      <c r="Z1575" s="4" t="s">
        <v>2272</v>
      </c>
      <c r="AA1575" s="4" t="s">
        <v>2272</v>
      </c>
      <c r="AB1575" s="4" t="s">
        <v>4683</v>
      </c>
      <c r="AC1575" s="3"/>
    </row>
    <row r="1576" spans="1:29" ht="45.5" customHeight="1">
      <c r="A1576" s="147" t="str">
        <f>'Reported burning'!A1576</f>
        <v>185c</v>
      </c>
      <c r="B1576" s="147" t="str">
        <f>'Reported burning'!B1576</f>
        <v>185c.1</v>
      </c>
      <c r="C1576" s="147" t="str">
        <f>'Reported burning'!C1576</f>
        <v>Human, deliberate</v>
      </c>
      <c r="D1576" s="147" t="str">
        <f>'Reported burning'!D1576</f>
        <v>Crop field preparation</v>
      </c>
      <c r="E1576" s="147" t="str">
        <f>'Reported burning'!E1576</f>
        <v>Cropping, Intensive</v>
      </c>
      <c r="F1576" s="147" t="str">
        <f>'Reported burning'!F1576</f>
        <v>Cropland</v>
      </c>
      <c r="G1576" s="147" t="str">
        <f>'Reported burning'!G1576</f>
        <v>ND</v>
      </c>
      <c r="H1576" s="147"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4" t="s">
        <v>2272</v>
      </c>
      <c r="Y1576" s="4" t="s">
        <v>2272</v>
      </c>
      <c r="Z1576" s="4" t="s">
        <v>2272</v>
      </c>
      <c r="AA1576" s="4" t="s">
        <v>2272</v>
      </c>
      <c r="AB1576" s="4" t="s">
        <v>4683</v>
      </c>
      <c r="AC1576" s="3"/>
    </row>
    <row r="1577" spans="1:29" ht="45.5" customHeight="1">
      <c r="A1577" s="147" t="str">
        <f>'Reported burning'!A1577</f>
        <v>185d</v>
      </c>
      <c r="B1577" s="147" t="str">
        <f>'Reported burning'!B1577</f>
        <v>185d.1</v>
      </c>
      <c r="C1577" s="147" t="str">
        <f>'Reported burning'!C1577</f>
        <v>Human, deliberate</v>
      </c>
      <c r="D1577" s="147" t="str">
        <f>'Reported burning'!D1577</f>
        <v>Crop field preparation</v>
      </c>
      <c r="E1577" s="147" t="str">
        <f>'Reported burning'!E1577</f>
        <v>Cropping, Intensive</v>
      </c>
      <c r="F1577" s="147" t="str">
        <f>'Reported burning'!F1577</f>
        <v>Cropland</v>
      </c>
      <c r="G1577" s="147" t="str">
        <f>'Reported burning'!G1577</f>
        <v>ND</v>
      </c>
      <c r="H1577" s="147"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4" t="s">
        <v>2272</v>
      </c>
      <c r="Y1577" s="4" t="s">
        <v>2272</v>
      </c>
      <c r="Z1577" s="4" t="s">
        <v>2272</v>
      </c>
      <c r="AA1577" s="4" t="s">
        <v>2272</v>
      </c>
      <c r="AB1577" s="4" t="s">
        <v>4683</v>
      </c>
      <c r="AC1577" s="3"/>
    </row>
    <row r="1578" spans="1:29" ht="45.5" customHeight="1">
      <c r="A1578" s="147" t="str">
        <f>'Reported burning'!A1578</f>
        <v>185a</v>
      </c>
      <c r="B1578" s="147" t="str">
        <f>'Reported burning'!B1578</f>
        <v>185a.2</v>
      </c>
      <c r="C1578" s="147" t="str">
        <f>'Reported burning'!C1578</f>
        <v>Human, deliberate</v>
      </c>
      <c r="D1578" s="147" t="str">
        <f>'Reported burning'!D1578</f>
        <v>Crop field preparation</v>
      </c>
      <c r="E1578" s="147" t="str">
        <f>'Reported burning'!E1578</f>
        <v>Mixed cropping-livestock small holder, Subsistence-oriented</v>
      </c>
      <c r="F1578" s="147" t="str">
        <f>'Reported burning'!F1578</f>
        <v>Cropland</v>
      </c>
      <c r="G1578" s="147" t="str">
        <f>'Reported burning'!G1578</f>
        <v>ND</v>
      </c>
      <c r="H1578" s="147"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4" t="s">
        <v>2272</v>
      </c>
      <c r="Y1578" s="4" t="s">
        <v>2272</v>
      </c>
      <c r="Z1578" s="4" t="s">
        <v>2272</v>
      </c>
      <c r="AA1578" s="4" t="s">
        <v>2272</v>
      </c>
      <c r="AB1578" s="4" t="s">
        <v>4688</v>
      </c>
      <c r="AC1578" s="3"/>
    </row>
    <row r="1579" spans="1:29" ht="45.5" customHeight="1">
      <c r="A1579" s="147" t="str">
        <f>'Reported burning'!A1579</f>
        <v>185b</v>
      </c>
      <c r="B1579" s="147" t="str">
        <f>'Reported burning'!B1579</f>
        <v>185b.2</v>
      </c>
      <c r="C1579" s="147" t="str">
        <f>'Reported burning'!C1579</f>
        <v>Human, deliberate</v>
      </c>
      <c r="D1579" s="147" t="str">
        <f>'Reported burning'!D1579</f>
        <v>Crop field preparation</v>
      </c>
      <c r="E1579" s="147" t="str">
        <f>'Reported burning'!E1579</f>
        <v>Mixed cropping-livestock small holder, Subsistence-oriented</v>
      </c>
      <c r="F1579" s="147" t="str">
        <f>'Reported burning'!F1579</f>
        <v>Cropland</v>
      </c>
      <c r="G1579" s="147" t="str">
        <f>'Reported burning'!G1579</f>
        <v>ND</v>
      </c>
      <c r="H1579" s="147"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4" t="s">
        <v>2272</v>
      </c>
      <c r="Y1579" s="4" t="s">
        <v>2272</v>
      </c>
      <c r="Z1579" s="4" t="s">
        <v>2272</v>
      </c>
      <c r="AA1579" s="4" t="s">
        <v>2272</v>
      </c>
      <c r="AB1579" s="4" t="s">
        <v>4688</v>
      </c>
      <c r="AC1579" s="3"/>
    </row>
    <row r="1580" spans="1:29" ht="45.5" customHeight="1">
      <c r="A1580" s="147" t="str">
        <f>'Reported burning'!A1580</f>
        <v>185c</v>
      </c>
      <c r="B1580" s="147" t="str">
        <f>'Reported burning'!B1580</f>
        <v>185c.2</v>
      </c>
      <c r="C1580" s="147" t="str">
        <f>'Reported burning'!C1580</f>
        <v>Human, deliberate</v>
      </c>
      <c r="D1580" s="147" t="str">
        <f>'Reported burning'!D1580</f>
        <v>Crop field preparation</v>
      </c>
      <c r="E1580" s="147" t="str">
        <f>'Reported burning'!E1580</f>
        <v>Mixed cropping-livestock small holder, Subsistence-oriented</v>
      </c>
      <c r="F1580" s="147" t="str">
        <f>'Reported burning'!F1580</f>
        <v>Cropland</v>
      </c>
      <c r="G1580" s="147" t="str">
        <f>'Reported burning'!G1580</f>
        <v>ND</v>
      </c>
      <c r="H1580" s="147"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4" t="s">
        <v>2272</v>
      </c>
      <c r="Y1580" s="4" t="s">
        <v>2272</v>
      </c>
      <c r="Z1580" s="4" t="s">
        <v>2272</v>
      </c>
      <c r="AA1580" s="4" t="s">
        <v>2272</v>
      </c>
      <c r="AB1580" s="4" t="s">
        <v>4688</v>
      </c>
      <c r="AC1580" s="3"/>
    </row>
    <row r="1581" spans="1:29" ht="45.5" customHeight="1">
      <c r="A1581" s="147" t="str">
        <f>'Reported burning'!A1581</f>
        <v>185d</v>
      </c>
      <c r="B1581" s="147" t="str">
        <f>'Reported burning'!B1581</f>
        <v>185d.2</v>
      </c>
      <c r="C1581" s="147" t="str">
        <f>'Reported burning'!C1581</f>
        <v>Human, deliberate</v>
      </c>
      <c r="D1581" s="147" t="str">
        <f>'Reported burning'!D1581</f>
        <v>Crop field preparation</v>
      </c>
      <c r="E1581" s="147" t="str">
        <f>'Reported burning'!E1581</f>
        <v>Mixed cropping-livestock small holder, Subsistence-oriented</v>
      </c>
      <c r="F1581" s="147" t="str">
        <f>'Reported burning'!F1581</f>
        <v>Cropland</v>
      </c>
      <c r="G1581" s="147" t="str">
        <f>'Reported burning'!G1581</f>
        <v>ND</v>
      </c>
      <c r="H1581" s="147"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4" t="s">
        <v>2272</v>
      </c>
      <c r="Y1581" s="4" t="s">
        <v>2272</v>
      </c>
      <c r="Z1581" s="4" t="s">
        <v>2272</v>
      </c>
      <c r="AA1581" s="4" t="s">
        <v>2272</v>
      </c>
      <c r="AB1581" s="4" t="s">
        <v>4688</v>
      </c>
      <c r="AC1581" s="3"/>
    </row>
    <row r="1582" spans="1:29" ht="45.5" customHeight="1">
      <c r="A1582" s="147" t="str">
        <f>'Reported burning'!A1582</f>
        <v>186a</v>
      </c>
      <c r="B1582" s="147" t="str">
        <f>'Reported burning'!B1582</f>
        <v>186a.1</v>
      </c>
      <c r="C1582" s="147" t="str">
        <f>'Reported burning'!C1582</f>
        <v>Human, deliberate</v>
      </c>
      <c r="D1582" s="147" t="str">
        <f>'Reported burning'!D1582</f>
        <v>Hunting</v>
      </c>
      <c r="E1582" s="147" t="str">
        <f>'Reported burning'!E1582</f>
        <v>Pastoralism, Migratory</v>
      </c>
      <c r="F1582" s="147" t="str">
        <f>'Reported burning'!F1582</f>
        <v>Shrubland (Mixed forest &amp; grassland)</v>
      </c>
      <c r="G1582" s="147" t="str">
        <f>'Reported burning'!G1582</f>
        <v>ND</v>
      </c>
      <c r="H1582" s="147"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4" t="s">
        <v>2272</v>
      </c>
      <c r="Y1582" s="4" t="s">
        <v>2272</v>
      </c>
      <c r="Z1582" s="4" t="s">
        <v>2272</v>
      </c>
      <c r="AA1582" s="4" t="s">
        <v>2272</v>
      </c>
      <c r="AB1582" s="4" t="s">
        <v>4701</v>
      </c>
      <c r="AC1582" s="3"/>
    </row>
    <row r="1583" spans="1:29" ht="45.5" customHeight="1">
      <c r="A1583" s="147" t="str">
        <f>'Reported burning'!A1583</f>
        <v>186b</v>
      </c>
      <c r="B1583" s="147" t="str">
        <f>'Reported burning'!B1583</f>
        <v>186b.1</v>
      </c>
      <c r="C1583" s="147" t="str">
        <f>'Reported burning'!C1583</f>
        <v>Human, deliberate</v>
      </c>
      <c r="D1583" s="147" t="str">
        <f>'Reported burning'!D1583</f>
        <v>Hunting</v>
      </c>
      <c r="E1583" s="147" t="str">
        <f>'Reported burning'!E1583</f>
        <v>Pastoralism, Migratory</v>
      </c>
      <c r="F1583" s="147" t="str">
        <f>'Reported burning'!F1583</f>
        <v>Shrubland (Mixed forest &amp; grassland)</v>
      </c>
      <c r="G1583" s="147" t="str">
        <f>'Reported burning'!G1583</f>
        <v>ND</v>
      </c>
      <c r="H1583" s="147"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4" t="s">
        <v>2272</v>
      </c>
      <c r="Y1583" s="4" t="s">
        <v>2272</v>
      </c>
      <c r="Z1583" s="4" t="s">
        <v>2272</v>
      </c>
      <c r="AA1583" s="4" t="s">
        <v>2272</v>
      </c>
      <c r="AB1583" s="4" t="s">
        <v>4701</v>
      </c>
      <c r="AC1583" s="3"/>
    </row>
    <row r="1584" spans="1:29" ht="45.5" customHeight="1">
      <c r="A1584" s="147" t="str">
        <f>'Reported burning'!A1584</f>
        <v>186c</v>
      </c>
      <c r="B1584" s="147" t="str">
        <f>'Reported burning'!B1584</f>
        <v>186c.1</v>
      </c>
      <c r="C1584" s="147" t="str">
        <f>'Reported burning'!C1584</f>
        <v>Human, deliberate</v>
      </c>
      <c r="D1584" s="147" t="str">
        <f>'Reported burning'!D1584</f>
        <v>Hunting</v>
      </c>
      <c r="E1584" s="147" t="str">
        <f>'Reported burning'!E1584</f>
        <v>Pastoralism, Migratory</v>
      </c>
      <c r="F1584" s="147" t="str">
        <f>'Reported burning'!F1584</f>
        <v>Shrubland (Mixed forest &amp; grassland)</v>
      </c>
      <c r="G1584" s="147" t="str">
        <f>'Reported burning'!G1584</f>
        <v>ND</v>
      </c>
      <c r="H1584" s="147"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4" t="s">
        <v>2272</v>
      </c>
      <c r="Y1584" s="4" t="s">
        <v>2272</v>
      </c>
      <c r="Z1584" s="4" t="s">
        <v>2272</v>
      </c>
      <c r="AA1584" s="4" t="s">
        <v>2272</v>
      </c>
      <c r="AB1584" s="4" t="s">
        <v>4701</v>
      </c>
      <c r="AC1584" s="3"/>
    </row>
    <row r="1585" spans="1:29" ht="64.5" customHeight="1">
      <c r="A1585" s="147" t="str">
        <f>'Reported burning'!A1585</f>
        <v>186a</v>
      </c>
      <c r="B1585" s="147" t="str">
        <f>'Reported burning'!B1585</f>
        <v>186a.2</v>
      </c>
      <c r="C1585" s="147" t="str">
        <f>'Reported burning'!C1585</f>
        <v>Human, deliberate</v>
      </c>
      <c r="D1585" s="147" t="str">
        <f>'Reported burning'!D1585</f>
        <v>Land clearance</v>
      </c>
      <c r="E1585" s="147" t="str">
        <f>'Reported burning'!E1585</f>
        <v>Cropping, Monoculture, Subsistence-oriented</v>
      </c>
      <c r="F1585" s="147" t="str">
        <f>'Reported burning'!F1585</f>
        <v>Shrubland (Mixed forest &amp; grassland)</v>
      </c>
      <c r="G1585" s="147" t="str">
        <f>'Reported burning'!G1585</f>
        <v>ND</v>
      </c>
      <c r="H1585" s="147" t="str">
        <f>'Reported burning'!H1585</f>
        <v>Presence</v>
      </c>
      <c r="I1585" s="3"/>
      <c r="J1585" s="4" t="s">
        <v>2272</v>
      </c>
      <c r="K1585" s="4" t="s">
        <v>2272</v>
      </c>
      <c r="L1585" s="4" t="s">
        <v>2272</v>
      </c>
      <c r="M1585" s="4" t="s">
        <v>2272</v>
      </c>
      <c r="N1585" s="4" t="s">
        <v>2272</v>
      </c>
      <c r="O1585" s="4" t="s">
        <v>2272</v>
      </c>
      <c r="P1585" s="4" t="s">
        <v>2272</v>
      </c>
      <c r="Q1585" s="4" t="s">
        <v>2272</v>
      </c>
      <c r="R1585" s="4" t="s">
        <v>2272</v>
      </c>
      <c r="S1585" s="4" t="s">
        <v>2272</v>
      </c>
      <c r="T1585" s="4" t="s">
        <v>2272</v>
      </c>
      <c r="U1585" s="4" t="s">
        <v>2272</v>
      </c>
      <c r="V1585" s="4" t="s">
        <v>2272</v>
      </c>
      <c r="W1585" s="4" t="s">
        <v>2272</v>
      </c>
      <c r="X1585" s="4" t="s">
        <v>2272</v>
      </c>
      <c r="Y1585" s="4" t="s">
        <v>2272</v>
      </c>
      <c r="Z1585" s="4" t="s">
        <v>2272</v>
      </c>
      <c r="AA1585" s="4" t="s">
        <v>2272</v>
      </c>
      <c r="AB1585" s="4" t="s">
        <v>4708</v>
      </c>
      <c r="AC1585" s="3"/>
    </row>
    <row r="1586" spans="1:29" ht="64.5" customHeight="1">
      <c r="A1586" s="147" t="str">
        <f>'Reported burning'!A1586</f>
        <v>186b</v>
      </c>
      <c r="B1586" s="147" t="str">
        <f>'Reported burning'!B1586</f>
        <v>186b.2</v>
      </c>
      <c r="C1586" s="147" t="str">
        <f>'Reported burning'!C1586</f>
        <v>Human, deliberate</v>
      </c>
      <c r="D1586" s="147" t="str">
        <f>'Reported burning'!D1586</f>
        <v>Land clearance</v>
      </c>
      <c r="E1586" s="147" t="str">
        <f>'Reported burning'!E1586</f>
        <v>Cropping, Monoculture, Subsistence-oriented</v>
      </c>
      <c r="F1586" s="147" t="str">
        <f>'Reported burning'!F1586</f>
        <v>Shrubland (Mixed forest &amp; grassland)</v>
      </c>
      <c r="G1586" s="147" t="str">
        <f>'Reported burning'!G1586</f>
        <v>ND</v>
      </c>
      <c r="H1586" s="147" t="str">
        <f>'Reported burning'!H1586</f>
        <v>Presence</v>
      </c>
      <c r="I1586" s="3"/>
      <c r="J1586" s="4" t="s">
        <v>2272</v>
      </c>
      <c r="K1586" s="4" t="s">
        <v>2272</v>
      </c>
      <c r="L1586" s="4" t="s">
        <v>2272</v>
      </c>
      <c r="M1586" s="4" t="s">
        <v>2272</v>
      </c>
      <c r="N1586" s="4" t="s">
        <v>2272</v>
      </c>
      <c r="O1586" s="4" t="s">
        <v>2272</v>
      </c>
      <c r="P1586" s="4" t="s">
        <v>2272</v>
      </c>
      <c r="Q1586" s="4" t="s">
        <v>2272</v>
      </c>
      <c r="R1586" s="4" t="s">
        <v>2272</v>
      </c>
      <c r="S1586" s="4" t="s">
        <v>2272</v>
      </c>
      <c r="T1586" s="4" t="s">
        <v>2272</v>
      </c>
      <c r="U1586" s="4" t="s">
        <v>2272</v>
      </c>
      <c r="V1586" s="4" t="s">
        <v>2272</v>
      </c>
      <c r="W1586" s="4" t="s">
        <v>2272</v>
      </c>
      <c r="X1586" s="4" t="s">
        <v>2272</v>
      </c>
      <c r="Y1586" s="4" t="s">
        <v>2272</v>
      </c>
      <c r="Z1586" s="4" t="s">
        <v>2272</v>
      </c>
      <c r="AA1586" s="4" t="s">
        <v>2272</v>
      </c>
      <c r="AB1586" s="4" t="s">
        <v>4708</v>
      </c>
      <c r="AC1586" s="3"/>
    </row>
    <row r="1587" spans="1:29" ht="64.5" customHeight="1">
      <c r="A1587" s="147" t="str">
        <f>'Reported burning'!A1587</f>
        <v>186c</v>
      </c>
      <c r="B1587" s="147" t="str">
        <f>'Reported burning'!B1587</f>
        <v>186c.2</v>
      </c>
      <c r="C1587" s="147" t="str">
        <f>'Reported burning'!C1587</f>
        <v>Human, deliberate</v>
      </c>
      <c r="D1587" s="147" t="str">
        <f>'Reported burning'!D1587</f>
        <v>Land clearance</v>
      </c>
      <c r="E1587" s="147" t="str">
        <f>'Reported burning'!E1587</f>
        <v>Cropping, Monoculture, Subsistence-oriented</v>
      </c>
      <c r="F1587" s="147" t="str">
        <f>'Reported burning'!F1587</f>
        <v>Shrubland (Mixed forest &amp; grassland)</v>
      </c>
      <c r="G1587" s="147" t="str">
        <f>'Reported burning'!G1587</f>
        <v>ND</v>
      </c>
      <c r="H1587" s="147" t="str">
        <f>'Reported burning'!H1587</f>
        <v>Presence</v>
      </c>
      <c r="I1587" s="3"/>
      <c r="J1587" s="4" t="s">
        <v>2272</v>
      </c>
      <c r="K1587" s="4" t="s">
        <v>2272</v>
      </c>
      <c r="L1587" s="4" t="s">
        <v>2272</v>
      </c>
      <c r="M1587" s="4" t="s">
        <v>2272</v>
      </c>
      <c r="N1587" s="4" t="s">
        <v>2272</v>
      </c>
      <c r="O1587" s="4" t="s">
        <v>2272</v>
      </c>
      <c r="P1587" s="4" t="s">
        <v>2272</v>
      </c>
      <c r="Q1587" s="4" t="s">
        <v>2272</v>
      </c>
      <c r="R1587" s="4" t="s">
        <v>2272</v>
      </c>
      <c r="S1587" s="4" t="s">
        <v>2272</v>
      </c>
      <c r="T1587" s="4" t="s">
        <v>2272</v>
      </c>
      <c r="U1587" s="4" t="s">
        <v>2272</v>
      </c>
      <c r="V1587" s="4" t="s">
        <v>2272</v>
      </c>
      <c r="W1587" s="4" t="s">
        <v>2272</v>
      </c>
      <c r="X1587" s="4" t="s">
        <v>2272</v>
      </c>
      <c r="Y1587" s="4" t="s">
        <v>2272</v>
      </c>
      <c r="Z1587" s="4" t="s">
        <v>2272</v>
      </c>
      <c r="AA1587" s="4" t="s">
        <v>2272</v>
      </c>
      <c r="AB1587" s="4" t="s">
        <v>4708</v>
      </c>
      <c r="AC1587" s="3"/>
    </row>
    <row r="1588" spans="1:29" ht="64.5" customHeight="1">
      <c r="A1588" s="147" t="str">
        <f>'Reported burning'!A1588</f>
        <v>186a</v>
      </c>
      <c r="B1588" s="147" t="str">
        <f>'Reported burning'!B1588</f>
        <v>186a.3</v>
      </c>
      <c r="C1588" s="147" t="str">
        <f>'Reported burning'!C1588</f>
        <v>Human, deliberate</v>
      </c>
      <c r="D1588" s="147" t="str">
        <f>'Reported burning'!D1588</f>
        <v>Arson</v>
      </c>
      <c r="E1588" s="147" t="str">
        <f>'Reported burning'!E1588</f>
        <v>Cropping, Monoculture, Subsistence-oriented</v>
      </c>
      <c r="F1588" s="147" t="str">
        <f>'Reported burning'!F1588</f>
        <v>Pasture</v>
      </c>
      <c r="G1588" s="147" t="str">
        <f>'Reported burning'!G1588</f>
        <v>ND</v>
      </c>
      <c r="H1588" s="147" t="str">
        <f>'Reported burning'!H1588</f>
        <v>Presence</v>
      </c>
      <c r="I1588" s="3"/>
      <c r="J1588" s="4" t="s">
        <v>2272</v>
      </c>
      <c r="K1588" s="4" t="s">
        <v>2272</v>
      </c>
      <c r="L1588" s="4" t="s">
        <v>2272</v>
      </c>
      <c r="M1588" s="4" t="s">
        <v>2272</v>
      </c>
      <c r="N1588" s="4" t="s">
        <v>2272</v>
      </c>
      <c r="O1588" s="4" t="s">
        <v>2272</v>
      </c>
      <c r="P1588" s="4" t="s">
        <v>2272</v>
      </c>
      <c r="Q1588" s="4" t="s">
        <v>2272</v>
      </c>
      <c r="R1588" s="4" t="s">
        <v>2272</v>
      </c>
      <c r="S1588" s="4" t="s">
        <v>2272</v>
      </c>
      <c r="T1588" s="4" t="s">
        <v>2272</v>
      </c>
      <c r="U1588" s="4" t="s">
        <v>2272</v>
      </c>
      <c r="V1588" s="4" t="s">
        <v>2272</v>
      </c>
      <c r="W1588" s="4" t="s">
        <v>2272</v>
      </c>
      <c r="X1588" s="4" t="s">
        <v>2272</v>
      </c>
      <c r="Y1588" s="4" t="s">
        <v>2272</v>
      </c>
      <c r="Z1588" s="4" t="s">
        <v>2272</v>
      </c>
      <c r="AA1588" s="4" t="s">
        <v>2272</v>
      </c>
      <c r="AB1588" s="4" t="s">
        <v>4708</v>
      </c>
      <c r="AC1588" s="3"/>
    </row>
    <row r="1589" spans="1:29" ht="64.5" customHeight="1">
      <c r="A1589" s="147" t="str">
        <f>'Reported burning'!A1589</f>
        <v>186b</v>
      </c>
      <c r="B1589" s="147" t="str">
        <f>'Reported burning'!B1589</f>
        <v>186b.3</v>
      </c>
      <c r="C1589" s="147" t="str">
        <f>'Reported burning'!C1589</f>
        <v>Human, deliberate</v>
      </c>
      <c r="D1589" s="147" t="str">
        <f>'Reported burning'!D1589</f>
        <v>Arson</v>
      </c>
      <c r="E1589" s="147" t="str">
        <f>'Reported burning'!E1589</f>
        <v>Cropping, Monoculture, Subsistence-oriented</v>
      </c>
      <c r="F1589" s="147" t="str">
        <f>'Reported burning'!F1589</f>
        <v>Pasture</v>
      </c>
      <c r="G1589" s="147" t="str">
        <f>'Reported burning'!G1589</f>
        <v>ND</v>
      </c>
      <c r="H1589" s="147" t="str">
        <f>'Reported burning'!H1589</f>
        <v>Presence</v>
      </c>
      <c r="I1589" s="3"/>
      <c r="J1589" s="4" t="s">
        <v>2272</v>
      </c>
      <c r="K1589" s="4" t="s">
        <v>2272</v>
      </c>
      <c r="L1589" s="4" t="s">
        <v>2272</v>
      </c>
      <c r="M1589" s="4" t="s">
        <v>2272</v>
      </c>
      <c r="N1589" s="4" t="s">
        <v>2272</v>
      </c>
      <c r="O1589" s="4" t="s">
        <v>2272</v>
      </c>
      <c r="P1589" s="4" t="s">
        <v>2272</v>
      </c>
      <c r="Q1589" s="4" t="s">
        <v>2272</v>
      </c>
      <c r="R1589" s="4" t="s">
        <v>2272</v>
      </c>
      <c r="S1589" s="4" t="s">
        <v>2272</v>
      </c>
      <c r="T1589" s="4" t="s">
        <v>2272</v>
      </c>
      <c r="U1589" s="4" t="s">
        <v>2272</v>
      </c>
      <c r="V1589" s="4" t="s">
        <v>2272</v>
      </c>
      <c r="W1589" s="4" t="s">
        <v>2272</v>
      </c>
      <c r="X1589" s="4" t="s">
        <v>2272</v>
      </c>
      <c r="Y1589" s="4" t="s">
        <v>2272</v>
      </c>
      <c r="Z1589" s="4" t="s">
        <v>2272</v>
      </c>
      <c r="AA1589" s="4" t="s">
        <v>2272</v>
      </c>
      <c r="AB1589" s="4" t="s">
        <v>4708</v>
      </c>
      <c r="AC1589" s="3"/>
    </row>
    <row r="1590" spans="1:29" ht="64.5" customHeight="1">
      <c r="A1590" s="147" t="str">
        <f>'Reported burning'!A1590</f>
        <v>186c</v>
      </c>
      <c r="B1590" s="147" t="str">
        <f>'Reported burning'!B1590</f>
        <v>186c.3</v>
      </c>
      <c r="C1590" s="147" t="str">
        <f>'Reported burning'!C1590</f>
        <v>Human, deliberate</v>
      </c>
      <c r="D1590" s="147" t="str">
        <f>'Reported burning'!D1590</f>
        <v>Arson</v>
      </c>
      <c r="E1590" s="147" t="str">
        <f>'Reported burning'!E1590</f>
        <v>Cropping, Monoculture, Subsistence-oriented</v>
      </c>
      <c r="F1590" s="147" t="str">
        <f>'Reported burning'!F1590</f>
        <v>Pasture</v>
      </c>
      <c r="G1590" s="147" t="str">
        <f>'Reported burning'!G1590</f>
        <v>ND</v>
      </c>
      <c r="H1590" s="147" t="str">
        <f>'Reported burning'!H1590</f>
        <v>Presence</v>
      </c>
      <c r="I1590" s="3"/>
      <c r="J1590" s="4" t="s">
        <v>2272</v>
      </c>
      <c r="K1590" s="4" t="s">
        <v>2272</v>
      </c>
      <c r="L1590" s="4" t="s">
        <v>2272</v>
      </c>
      <c r="M1590" s="4" t="s">
        <v>2272</v>
      </c>
      <c r="N1590" s="4" t="s">
        <v>2272</v>
      </c>
      <c r="O1590" s="4" t="s">
        <v>2272</v>
      </c>
      <c r="P1590" s="4" t="s">
        <v>2272</v>
      </c>
      <c r="Q1590" s="4" t="s">
        <v>2272</v>
      </c>
      <c r="R1590" s="4" t="s">
        <v>2272</v>
      </c>
      <c r="S1590" s="4" t="s">
        <v>2272</v>
      </c>
      <c r="T1590" s="4" t="s">
        <v>2272</v>
      </c>
      <c r="U1590" s="4" t="s">
        <v>2272</v>
      </c>
      <c r="V1590" s="4" t="s">
        <v>2272</v>
      </c>
      <c r="W1590" s="4" t="s">
        <v>2272</v>
      </c>
      <c r="X1590" s="4" t="s">
        <v>2272</v>
      </c>
      <c r="Y1590" s="4" t="s">
        <v>2272</v>
      </c>
      <c r="Z1590" s="4" t="s">
        <v>2272</v>
      </c>
      <c r="AA1590" s="4" t="s">
        <v>2272</v>
      </c>
      <c r="AB1590" s="4" t="s">
        <v>4708</v>
      </c>
      <c r="AC1590" s="3"/>
    </row>
    <row r="1591" spans="1:29" ht="75" customHeight="1">
      <c r="A1591" s="147" t="str">
        <f>'Reported burning'!A1591</f>
        <v>187a</v>
      </c>
      <c r="B1591" s="147" t="str">
        <f>'Reported burning'!B1591</f>
        <v>187a.1</v>
      </c>
      <c r="C1591" s="147" t="str">
        <f>'Reported burning'!C1591</f>
        <v>Human, deliberate</v>
      </c>
      <c r="D1591" s="147" t="str">
        <f>'Reported burning'!D1591</f>
        <v>Arson</v>
      </c>
      <c r="E1591" s="147" t="str">
        <f>'Reported burning'!E1591</f>
        <v>Cropping, Intensive</v>
      </c>
      <c r="F1591" s="147" t="str">
        <f>'Reported burning'!F1591</f>
        <v>Pasture</v>
      </c>
      <c r="G1591" s="147" t="str">
        <f>'Reported burning'!G1591</f>
        <v>ND</v>
      </c>
      <c r="H1591" s="147" t="str">
        <f>'Reported burning'!H1591</f>
        <v>Presence</v>
      </c>
      <c r="I1591" s="3"/>
      <c r="J1591" s="198" t="s">
        <v>2367</v>
      </c>
      <c r="K1591" s="4" t="s">
        <v>2272</v>
      </c>
      <c r="L1591" s="4" t="s">
        <v>2272</v>
      </c>
      <c r="M1591" s="4" t="s">
        <v>2272</v>
      </c>
      <c r="N1591" s="4" t="s">
        <v>2272</v>
      </c>
      <c r="O1591" s="4" t="s">
        <v>2272</v>
      </c>
      <c r="P1591" s="4" t="s">
        <v>2272</v>
      </c>
      <c r="Q1591" s="4" t="s">
        <v>2272</v>
      </c>
      <c r="R1591" s="4" t="s">
        <v>2272</v>
      </c>
      <c r="S1591" s="4" t="s">
        <v>2272</v>
      </c>
      <c r="T1591" s="4" t="s">
        <v>2272</v>
      </c>
      <c r="U1591" s="4" t="s">
        <v>2272</v>
      </c>
      <c r="V1591" s="4" t="s">
        <v>2272</v>
      </c>
      <c r="W1591" s="4" t="s">
        <v>2272</v>
      </c>
      <c r="X1591" t="s">
        <v>2396</v>
      </c>
      <c r="Y1591" s="3" t="s">
        <v>423</v>
      </c>
      <c r="Z1591" s="3" t="s">
        <v>67</v>
      </c>
      <c r="AA1591" s="3" t="s">
        <v>63</v>
      </c>
      <c r="AB1591" s="4" t="s">
        <v>4720</v>
      </c>
      <c r="AC1591" s="4" t="s">
        <v>4726</v>
      </c>
    </row>
    <row r="1592" spans="1:29" ht="56" customHeight="1">
      <c r="A1592" s="147" t="str">
        <f>'Reported burning'!A1592</f>
        <v>187a</v>
      </c>
      <c r="B1592" s="147" t="str">
        <f>'Reported burning'!B1592</f>
        <v>187a.2</v>
      </c>
      <c r="C1592" s="147" t="str">
        <f>'Reported burning'!C1592</f>
        <v>Human, deliberate</v>
      </c>
      <c r="D1592" s="147" t="str">
        <f>'Reported burning'!D1592</f>
        <v>All</v>
      </c>
      <c r="E1592" s="147" t="str">
        <f>'Reported burning'!E1592</f>
        <v>Cattle, Intensive</v>
      </c>
      <c r="F1592" s="147" t="str">
        <f>'Reported burning'!F1592</f>
        <v>Cropland</v>
      </c>
      <c r="G1592" s="147" t="str">
        <f>'Reported burning'!G1592</f>
        <v>ND</v>
      </c>
      <c r="H1592" s="147"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4" t="s">
        <v>2272</v>
      </c>
      <c r="Y1592" s="4" t="s">
        <v>2272</v>
      </c>
      <c r="Z1592" s="4" t="s">
        <v>2272</v>
      </c>
      <c r="AA1592" s="4" t="s">
        <v>2272</v>
      </c>
      <c r="AB1592" s="4"/>
      <c r="AC1592" s="3"/>
    </row>
    <row r="1593" spans="1:29" ht="56" customHeight="1">
      <c r="A1593" s="147" t="str">
        <f>'Reported burning'!A1593</f>
        <v>187a</v>
      </c>
      <c r="B1593" s="147" t="str">
        <f>'Reported burning'!B1593</f>
        <v>187a.3</v>
      </c>
      <c r="C1593" s="147" t="str">
        <f>'Reported burning'!C1593</f>
        <v>Lightning</v>
      </c>
      <c r="D1593" s="147" t="str">
        <f>'Reported burning'!D1593</f>
        <v>ND</v>
      </c>
      <c r="E1593" s="147" t="str">
        <f>'Reported burning'!E1593</f>
        <v>ND</v>
      </c>
      <c r="F1593" s="147" t="str">
        <f>'Reported burning'!F1593</f>
        <v>ND</v>
      </c>
      <c r="G1593" s="147" t="str">
        <f>'Reported burning'!G1593</f>
        <v>Shrubland (Mixed forest &amp; grassland)</v>
      </c>
      <c r="H1593" s="147" t="str">
        <f>'Reported burning'!H1593</f>
        <v>Presence</v>
      </c>
      <c r="I1593" s="3"/>
      <c r="J1593" s="4" t="s">
        <v>2272</v>
      </c>
      <c r="K1593" s="4" t="s">
        <v>2272</v>
      </c>
      <c r="L1593" s="4" t="s">
        <v>2272</v>
      </c>
      <c r="M1593" s="4" t="s">
        <v>2272</v>
      </c>
      <c r="N1593" s="4" t="s">
        <v>2272</v>
      </c>
      <c r="O1593" s="4" t="s">
        <v>2272</v>
      </c>
      <c r="P1593" s="4" t="s">
        <v>2272</v>
      </c>
      <c r="Q1593" s="4" t="s">
        <v>2272</v>
      </c>
      <c r="R1593" s="4" t="s">
        <v>2272</v>
      </c>
      <c r="S1593" s="4" t="s">
        <v>2272</v>
      </c>
      <c r="T1593" s="4" t="s">
        <v>2272</v>
      </c>
      <c r="U1593" s="4" t="s">
        <v>2272</v>
      </c>
      <c r="V1593" s="4" t="s">
        <v>2272</v>
      </c>
      <c r="W1593" s="4" t="s">
        <v>2272</v>
      </c>
      <c r="X1593" s="4" t="s">
        <v>2272</v>
      </c>
      <c r="Y1593" s="4" t="s">
        <v>2272</v>
      </c>
      <c r="Z1593" s="4" t="s">
        <v>2272</v>
      </c>
      <c r="AA1593" s="4" t="s">
        <v>2272</v>
      </c>
      <c r="AB1593" s="3"/>
      <c r="AC1593" s="3"/>
    </row>
    <row r="1594" spans="1:29" ht="56" customHeight="1">
      <c r="A1594" s="147" t="str">
        <f>'Reported burning'!A1594</f>
        <v>187a</v>
      </c>
      <c r="B1594" s="147" t="str">
        <f>'Reported burning'!B1594</f>
        <v>187a.4</v>
      </c>
      <c r="C1594" s="147" t="str">
        <f>'Reported burning'!C1594</f>
        <v>Lightning</v>
      </c>
      <c r="D1594" s="147" t="str">
        <f>'Reported burning'!D1594</f>
        <v>ND</v>
      </c>
      <c r="E1594" s="147" t="str">
        <f>'Reported burning'!E1594</f>
        <v>ND</v>
      </c>
      <c r="F1594" s="147" t="str">
        <f>'Reported burning'!F1594</f>
        <v>ND</v>
      </c>
      <c r="G1594" s="147" t="str">
        <f>'Reported burning'!G1594</f>
        <v>Cropland</v>
      </c>
      <c r="H1594" s="147"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4" t="s">
        <v>2272</v>
      </c>
      <c r="Y1594" s="4" t="s">
        <v>2272</v>
      </c>
      <c r="Z1594" s="4" t="s">
        <v>2272</v>
      </c>
      <c r="AA1594" s="4" t="s">
        <v>2272</v>
      </c>
      <c r="AB1594" s="4" t="s">
        <v>4724</v>
      </c>
      <c r="AC1594" s="3"/>
    </row>
    <row r="1595" spans="1:29" ht="74" customHeight="1">
      <c r="A1595" s="147" t="str">
        <f>'Reported burning'!A1595</f>
        <v>187a</v>
      </c>
      <c r="B1595" s="147" t="str">
        <f>'Reported burning'!B1595</f>
        <v>187a.5</v>
      </c>
      <c r="C1595" s="147" t="str">
        <f>'Reported burning'!C1595</f>
        <v>Human, deliberate</v>
      </c>
      <c r="D1595" s="147" t="str">
        <f>'Reported burning'!D1595</f>
        <v>Rangeland management</v>
      </c>
      <c r="E1595" s="147" t="str">
        <f>'Reported burning'!E1595</f>
        <v>Pastoralism, Migratory</v>
      </c>
      <c r="F1595" s="147" t="str">
        <f>'Reported burning'!F1595</f>
        <v>Shrubland (Mixed forest &amp; grassland)</v>
      </c>
      <c r="G1595" s="147" t="str">
        <f>'Reported burning'!G1595</f>
        <v>ND</v>
      </c>
      <c r="H1595" s="147" t="str">
        <f>'Reported burning'!H1595</f>
        <v>Presence</v>
      </c>
      <c r="I1595" s="3"/>
      <c r="J1595" s="4" t="s">
        <v>2272</v>
      </c>
      <c r="K1595" s="4" t="s">
        <v>2272</v>
      </c>
      <c r="L1595" s="4" t="s">
        <v>2272</v>
      </c>
      <c r="M1595" s="4" t="s">
        <v>2272</v>
      </c>
      <c r="N1595" s="4" t="s">
        <v>2272</v>
      </c>
      <c r="O1595" s="4" t="s">
        <v>2272</v>
      </c>
      <c r="P1595" s="4" t="s">
        <v>2272</v>
      </c>
      <c r="Q1595" s="4" t="s">
        <v>2272</v>
      </c>
      <c r="R1595" s="4" t="s">
        <v>2272</v>
      </c>
      <c r="S1595" s="4" t="s">
        <v>2272</v>
      </c>
      <c r="T1595" s="4" t="s">
        <v>2272</v>
      </c>
      <c r="U1595" s="4" t="s">
        <v>2272</v>
      </c>
      <c r="V1595" s="4" t="s">
        <v>2272</v>
      </c>
      <c r="W1595" s="4" t="s">
        <v>2272</v>
      </c>
      <c r="X1595" s="4" t="s">
        <v>2272</v>
      </c>
      <c r="Y1595" s="4" t="s">
        <v>2272</v>
      </c>
      <c r="Z1595" s="4" t="s">
        <v>2272</v>
      </c>
      <c r="AA1595" s="4" t="s">
        <v>2272</v>
      </c>
      <c r="AB1595" s="4" t="s">
        <v>4727</v>
      </c>
      <c r="AC1595" s="3"/>
    </row>
    <row r="1596" spans="1:29" ht="57.5" customHeight="1">
      <c r="A1596" s="147" t="str">
        <f>'Reported burning'!A1596</f>
        <v>189a</v>
      </c>
      <c r="B1596" s="147" t="str">
        <f>'Reported burning'!B1596</f>
        <v>189a.1</v>
      </c>
      <c r="C1596" s="147" t="str">
        <f>'Reported burning'!C1596</f>
        <v>Lightning</v>
      </c>
      <c r="D1596" s="147" t="str">
        <f>'Reported burning'!D1596</f>
        <v>ND</v>
      </c>
      <c r="E1596" s="147" t="str">
        <f>'Reported burning'!E1596</f>
        <v>ND</v>
      </c>
      <c r="F1596" s="147" t="str">
        <f>'Reported burning'!F1596</f>
        <v>ND</v>
      </c>
      <c r="G1596" s="147" t="str">
        <f>'Reported burning'!G1596</f>
        <v>Shrubland (Mixed forest &amp; grassland)</v>
      </c>
      <c r="H1596" s="147" t="str">
        <f>'Reported burning'!H1596</f>
        <v>Presence</v>
      </c>
      <c r="I1596" s="3">
        <v>1937</v>
      </c>
      <c r="J1596" s="4" t="s">
        <v>2272</v>
      </c>
      <c r="K1596" s="4" t="s">
        <v>2272</v>
      </c>
      <c r="L1596" s="4" t="s">
        <v>2272</v>
      </c>
      <c r="M1596" s="4" t="s">
        <v>2272</v>
      </c>
      <c r="N1596" s="4" t="s">
        <v>2272</v>
      </c>
      <c r="O1596" s="4" t="s">
        <v>2272</v>
      </c>
      <c r="P1596" s="4" t="s">
        <v>2272</v>
      </c>
      <c r="Q1596" s="4" t="s">
        <v>2272</v>
      </c>
      <c r="R1596" s="4" t="s">
        <v>2272</v>
      </c>
      <c r="S1596" s="4" t="s">
        <v>2272</v>
      </c>
      <c r="T1596" s="4" t="s">
        <v>2272</v>
      </c>
      <c r="U1596" s="4" t="s">
        <v>2272</v>
      </c>
      <c r="V1596" s="4" t="s">
        <v>2272</v>
      </c>
      <c r="W1596" s="4" t="s">
        <v>2272</v>
      </c>
      <c r="X1596" s="4" t="s">
        <v>2272</v>
      </c>
      <c r="Y1596" s="3" t="s">
        <v>37</v>
      </c>
      <c r="Z1596" s="3" t="s">
        <v>403</v>
      </c>
      <c r="AA1596" s="3" t="s">
        <v>75</v>
      </c>
      <c r="AB1596" s="4" t="s">
        <v>4746</v>
      </c>
      <c r="AC1596" s="3"/>
    </row>
    <row r="1597" spans="1:29" ht="35" customHeight="1">
      <c r="A1597" s="147" t="str">
        <f>'Reported burning'!A1597</f>
        <v>189a</v>
      </c>
      <c r="B1597" s="147" t="str">
        <f>'Reported burning'!B1597</f>
        <v>189a.2</v>
      </c>
      <c r="C1597" s="147" t="str">
        <f>'Reported burning'!C1597</f>
        <v>Human, deliberate</v>
      </c>
      <c r="D1597" s="147" t="str">
        <f>'Reported burning'!D1597</f>
        <v>Conservation</v>
      </c>
      <c r="E1597" s="147" t="str">
        <f>'Reported burning'!E1597</f>
        <v>Biodiversity conservation</v>
      </c>
      <c r="F1597" s="147" t="str">
        <f>'Reported burning'!F1597</f>
        <v>Shrubland (Mixed forest &amp; grassland)</v>
      </c>
      <c r="G1597" s="147" t="str">
        <f>'Reported burning'!G1597</f>
        <v>ND</v>
      </c>
      <c r="H1597" s="147"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t="s">
        <v>2272</v>
      </c>
      <c r="Y1597" s="3" t="s">
        <v>37</v>
      </c>
      <c r="Z1597" s="3" t="s">
        <v>403</v>
      </c>
      <c r="AA1597" s="3" t="s">
        <v>75</v>
      </c>
      <c r="AB1597" s="35"/>
      <c r="AC1597" s="163"/>
    </row>
    <row r="1598" spans="1:29" ht="35" customHeight="1">
      <c r="A1598" s="147" t="str">
        <f>'Reported burning'!A1598</f>
        <v>189a</v>
      </c>
      <c r="B1598" s="147" t="str">
        <f>'Reported burning'!B1598</f>
        <v>189a.3</v>
      </c>
      <c r="C1598" s="147" t="str">
        <f>'Reported burning'!C1598</f>
        <v>Human, deliberate</v>
      </c>
      <c r="D1598" s="147" t="str">
        <f>'Reported burning'!D1598</f>
        <v>ND</v>
      </c>
      <c r="E1598" s="147" t="str">
        <f>'Reported burning'!E1598</f>
        <v>All</v>
      </c>
      <c r="F1598" s="147" t="str">
        <f>'Reported burning'!F1598</f>
        <v>Shrubland (Mixed forest &amp; grassland)</v>
      </c>
      <c r="G1598" s="147" t="str">
        <f>'Reported burning'!G1598</f>
        <v>ND</v>
      </c>
      <c r="H1598" s="147" t="str">
        <f>'Reported burning'!H1598</f>
        <v>Presence</v>
      </c>
      <c r="I1598" s="3">
        <v>1990</v>
      </c>
      <c r="J1598" s="4" t="s">
        <v>2272</v>
      </c>
      <c r="K1598" s="4" t="s">
        <v>2272</v>
      </c>
      <c r="L1598" s="4" t="s">
        <v>2272</v>
      </c>
      <c r="M1598" s="4" t="s">
        <v>2272</v>
      </c>
      <c r="N1598" s="4" t="s">
        <v>2272</v>
      </c>
      <c r="O1598" s="4" t="s">
        <v>2272</v>
      </c>
      <c r="P1598" s="4" t="s">
        <v>2272</v>
      </c>
      <c r="Q1598" s="4" t="s">
        <v>2272</v>
      </c>
      <c r="R1598" s="4" t="s">
        <v>2272</v>
      </c>
      <c r="S1598" s="4" t="s">
        <v>2272</v>
      </c>
      <c r="T1598" s="4" t="s">
        <v>2272</v>
      </c>
      <c r="U1598" s="4" t="s">
        <v>2272</v>
      </c>
      <c r="V1598" s="4" t="s">
        <v>2272</v>
      </c>
      <c r="W1598" s="4" t="s">
        <v>2272</v>
      </c>
      <c r="X1598" s="4" t="s">
        <v>2272</v>
      </c>
      <c r="Y1598" s="3" t="s">
        <v>37</v>
      </c>
      <c r="Z1598" s="3" t="s">
        <v>403</v>
      </c>
      <c r="AA1598" s="3" t="s">
        <v>75</v>
      </c>
      <c r="AB1598" s="4" t="s">
        <v>4757</v>
      </c>
      <c r="AC1598" s="163" t="s">
        <v>4748</v>
      </c>
    </row>
    <row r="1599" spans="1:29" ht="35" customHeight="1">
      <c r="A1599" s="147" t="str">
        <f>'Reported burning'!A1599</f>
        <v>189b</v>
      </c>
      <c r="B1599" s="147" t="str">
        <f>'Reported burning'!B1599</f>
        <v>189b.1</v>
      </c>
      <c r="C1599" s="147" t="str">
        <f>'Reported burning'!C1599</f>
        <v>Human, deliberate</v>
      </c>
      <c r="D1599" s="147" t="str">
        <f>'Reported burning'!D1599</f>
        <v>ND</v>
      </c>
      <c r="E1599" s="147" t="str">
        <f>'Reported burning'!E1599</f>
        <v>Pastoralism, Migratory</v>
      </c>
      <c r="F1599" s="147" t="str">
        <f>'Reported burning'!F1599</f>
        <v>Shrubland (Mixed forest &amp; grassland)</v>
      </c>
      <c r="G1599" s="147" t="str">
        <f>'Reported burning'!G1599</f>
        <v>ND</v>
      </c>
      <c r="H1599" s="147" t="str">
        <f>'Reported burning'!H1599</f>
        <v>Presence</v>
      </c>
      <c r="I1599" s="3">
        <v>1990</v>
      </c>
      <c r="J1599" s="4" t="s">
        <v>2272</v>
      </c>
      <c r="K1599" s="4" t="s">
        <v>2272</v>
      </c>
      <c r="L1599" s="4" t="s">
        <v>2272</v>
      </c>
      <c r="M1599" s="4" t="s">
        <v>2272</v>
      </c>
      <c r="N1599" s="4" t="s">
        <v>2272</v>
      </c>
      <c r="O1599" s="4" t="s">
        <v>2272</v>
      </c>
      <c r="P1599" s="4" t="s">
        <v>2272</v>
      </c>
      <c r="Q1599" s="4" t="s">
        <v>2272</v>
      </c>
      <c r="R1599" s="4" t="s">
        <v>2272</v>
      </c>
      <c r="S1599" s="4" t="s">
        <v>2272</v>
      </c>
      <c r="T1599" s="4" t="s">
        <v>2272</v>
      </c>
      <c r="U1599" s="4" t="s">
        <v>2272</v>
      </c>
      <c r="V1599" s="4" t="s">
        <v>2272</v>
      </c>
      <c r="W1599" s="4" t="s">
        <v>2272</v>
      </c>
      <c r="X1599" s="4" t="s">
        <v>2272</v>
      </c>
      <c r="Y1599" s="3" t="s">
        <v>37</v>
      </c>
      <c r="Z1599" s="3" t="s">
        <v>403</v>
      </c>
      <c r="AA1599" s="3" t="s">
        <v>75</v>
      </c>
      <c r="AB1599" s="4" t="s">
        <v>4757</v>
      </c>
      <c r="AC1599" s="163" t="s">
        <v>4748</v>
      </c>
    </row>
    <row r="1600" spans="1:29" ht="35" customHeight="1">
      <c r="A1600" s="147" t="str">
        <f>'Reported burning'!A1600</f>
        <v>189b</v>
      </c>
      <c r="B1600" s="147" t="str">
        <f>'Reported burning'!B1600</f>
        <v>189b.2</v>
      </c>
      <c r="C1600" s="147" t="str">
        <f>'Reported burning'!C1600</f>
        <v>Human, deliberate</v>
      </c>
      <c r="D1600" s="147" t="str">
        <f>'Reported burning'!D1600</f>
        <v>ND</v>
      </c>
      <c r="E1600" s="147" t="str">
        <f>'Reported burning'!E1600</f>
        <v>Pastoralism, Migratory</v>
      </c>
      <c r="F1600" s="147" t="str">
        <f>'Reported burning'!F1600</f>
        <v>Shrubland (Mixed forest &amp; grassland)</v>
      </c>
      <c r="G1600" s="147" t="str">
        <f>'Reported burning'!G1600</f>
        <v>ND</v>
      </c>
      <c r="H1600" s="147" t="str">
        <f>'Reported burning'!H1600</f>
        <v>Presence</v>
      </c>
      <c r="I1600" s="3">
        <v>1990</v>
      </c>
      <c r="J1600" s="4" t="s">
        <v>2272</v>
      </c>
      <c r="K1600" s="4" t="s">
        <v>2272</v>
      </c>
      <c r="L1600" s="4" t="s">
        <v>2272</v>
      </c>
      <c r="M1600" s="4" t="s">
        <v>2272</v>
      </c>
      <c r="N1600" s="4" t="s">
        <v>2272</v>
      </c>
      <c r="O1600" s="4" t="s">
        <v>2272</v>
      </c>
      <c r="P1600" s="4" t="s">
        <v>2272</v>
      </c>
      <c r="Q1600" s="4" t="s">
        <v>2272</v>
      </c>
      <c r="R1600" s="4" t="s">
        <v>2272</v>
      </c>
      <c r="S1600" s="4" t="s">
        <v>2272</v>
      </c>
      <c r="T1600" s="4" t="s">
        <v>2272</v>
      </c>
      <c r="U1600" s="4" t="s">
        <v>2272</v>
      </c>
      <c r="V1600" s="4" t="s">
        <v>2272</v>
      </c>
      <c r="W1600" s="4" t="s">
        <v>2272</v>
      </c>
      <c r="X1600" s="4" t="s">
        <v>2272</v>
      </c>
      <c r="Y1600" s="3" t="s">
        <v>37</v>
      </c>
      <c r="Z1600" s="3" t="s">
        <v>403</v>
      </c>
      <c r="AA1600" s="3" t="s">
        <v>75</v>
      </c>
      <c r="AB1600" s="4" t="s">
        <v>4757</v>
      </c>
      <c r="AC1600" s="163" t="s">
        <v>4748</v>
      </c>
    </row>
    <row r="1601" spans="1:29" ht="35" customHeight="1">
      <c r="A1601" s="147" t="str">
        <f>'Reported burning'!A1601</f>
        <v>189b</v>
      </c>
      <c r="B1601" s="147" t="str">
        <f>'Reported burning'!B1601</f>
        <v>189b.3</v>
      </c>
      <c r="C1601" s="147" t="str">
        <f>'Reported burning'!C1601</f>
        <v>Human, deliberate</v>
      </c>
      <c r="D1601" s="147" t="str">
        <f>'Reported burning'!D1601</f>
        <v>ND</v>
      </c>
      <c r="E1601" s="147" t="str">
        <f>'Reported burning'!E1601</f>
        <v>Cattle, Extensive</v>
      </c>
      <c r="F1601" s="147" t="str">
        <f>'Reported burning'!F1601</f>
        <v>Shrubland (Mixed forest &amp; grassland)</v>
      </c>
      <c r="G1601" s="147" t="str">
        <f>'Reported burning'!G1601</f>
        <v>ND</v>
      </c>
      <c r="H1601" s="147" t="str">
        <f>'Reported burning'!H1601</f>
        <v>Presence</v>
      </c>
      <c r="I1601" s="3">
        <v>1990</v>
      </c>
      <c r="J1601" s="4" t="s">
        <v>2272</v>
      </c>
      <c r="K1601" s="4" t="s">
        <v>2272</v>
      </c>
      <c r="L1601" s="4" t="s">
        <v>2272</v>
      </c>
      <c r="M1601" s="4" t="s">
        <v>2272</v>
      </c>
      <c r="N1601" s="4" t="s">
        <v>2272</v>
      </c>
      <c r="O1601" s="4" t="s">
        <v>2272</v>
      </c>
      <c r="P1601" s="4" t="s">
        <v>2272</v>
      </c>
      <c r="Q1601" s="4" t="s">
        <v>2272</v>
      </c>
      <c r="R1601" s="4" t="s">
        <v>2272</v>
      </c>
      <c r="S1601" s="4" t="s">
        <v>2272</v>
      </c>
      <c r="T1601" s="4" t="s">
        <v>2272</v>
      </c>
      <c r="U1601" s="4" t="s">
        <v>2272</v>
      </c>
      <c r="V1601" s="4" t="s">
        <v>2272</v>
      </c>
      <c r="W1601" s="4" t="s">
        <v>2272</v>
      </c>
      <c r="X1601" s="4" t="s">
        <v>2272</v>
      </c>
      <c r="Y1601" s="4" t="s">
        <v>2272</v>
      </c>
      <c r="Z1601" s="4" t="s">
        <v>2272</v>
      </c>
      <c r="AA1601" s="4" t="s">
        <v>2272</v>
      </c>
      <c r="AB1601" s="4" t="s">
        <v>4757</v>
      </c>
      <c r="AC1601" s="163" t="s">
        <v>4748</v>
      </c>
    </row>
    <row r="1602" spans="1:29" ht="35" customHeight="1">
      <c r="A1602" s="147" t="str">
        <f>'Reported burning'!A1602</f>
        <v>189b</v>
      </c>
      <c r="B1602" s="147" t="str">
        <f>'Reported burning'!B1602</f>
        <v>189b.4</v>
      </c>
      <c r="C1602" s="147" t="str">
        <f>'Reported burning'!C1602</f>
        <v>Human, deliberate</v>
      </c>
      <c r="D1602" s="147" t="str">
        <f>'Reported burning'!D1602</f>
        <v>ND</v>
      </c>
      <c r="E1602" s="147" t="str">
        <f>'Reported burning'!E1602</f>
        <v>Cropping, Swidden</v>
      </c>
      <c r="F1602" s="147" t="str">
        <f>'Reported burning'!F1602</f>
        <v>Shrubland (Mixed forest &amp; grassland)</v>
      </c>
      <c r="G1602" s="147" t="str">
        <f>'Reported burning'!G1602</f>
        <v>ND</v>
      </c>
      <c r="H1602" s="147" t="str">
        <f>'Reported burning'!H1602</f>
        <v>Presence</v>
      </c>
      <c r="I1602" s="3">
        <v>1990</v>
      </c>
      <c r="J1602" s="4" t="s">
        <v>2272</v>
      </c>
      <c r="K1602" s="4" t="s">
        <v>2272</v>
      </c>
      <c r="L1602" s="4" t="s">
        <v>2272</v>
      </c>
      <c r="M1602" s="4" t="s">
        <v>2272</v>
      </c>
      <c r="N1602" s="4" t="s">
        <v>2272</v>
      </c>
      <c r="O1602" s="4" t="s">
        <v>2272</v>
      </c>
      <c r="P1602" s="4" t="s">
        <v>2272</v>
      </c>
      <c r="Q1602" s="4" t="s">
        <v>2272</v>
      </c>
      <c r="R1602" s="4" t="s">
        <v>2272</v>
      </c>
      <c r="S1602" s="4" t="s">
        <v>2272</v>
      </c>
      <c r="T1602" s="4" t="s">
        <v>2272</v>
      </c>
      <c r="U1602" s="4" t="s">
        <v>2272</v>
      </c>
      <c r="V1602" s="4" t="s">
        <v>2272</v>
      </c>
      <c r="W1602" s="4" t="s">
        <v>2272</v>
      </c>
      <c r="X1602" s="4" t="s">
        <v>2272</v>
      </c>
      <c r="Y1602" s="3" t="s">
        <v>37</v>
      </c>
      <c r="Z1602" s="3" t="s">
        <v>403</v>
      </c>
      <c r="AA1602" s="3" t="s">
        <v>2272</v>
      </c>
      <c r="AB1602" s="4" t="s">
        <v>4757</v>
      </c>
      <c r="AC1602" s="163" t="s">
        <v>4748</v>
      </c>
    </row>
    <row r="1603" spans="1:29" ht="35" customHeight="1">
      <c r="A1603" s="147" t="str">
        <f>'Reported burning'!A1603</f>
        <v>189c</v>
      </c>
      <c r="B1603" s="147" t="str">
        <f>'Reported burning'!B1603</f>
        <v>189c.1</v>
      </c>
      <c r="C1603" s="147" t="str">
        <f>'Reported burning'!C1603</f>
        <v>Human, deliberate</v>
      </c>
      <c r="D1603" s="147" t="str">
        <f>'Reported burning'!D1603</f>
        <v>Pasture renewal</v>
      </c>
      <c r="E1603" s="147" t="str">
        <f>'Reported burning'!E1603</f>
        <v>Cattle, Extensive</v>
      </c>
      <c r="F1603" s="147" t="str">
        <f>'Reported burning'!F1603</f>
        <v>Shrubland (Mixed forest &amp; grassland)</v>
      </c>
      <c r="G1603" s="147" t="str">
        <f>'Reported burning'!G1603</f>
        <v>ND</v>
      </c>
      <c r="H1603" s="147"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t="s">
        <v>2272</v>
      </c>
      <c r="Y1603" s="4" t="s">
        <v>2272</v>
      </c>
      <c r="Z1603" s="4" t="s">
        <v>2272</v>
      </c>
      <c r="AA1603" s="4" t="s">
        <v>2272</v>
      </c>
      <c r="AB1603" s="3"/>
      <c r="AC1603" s="3"/>
    </row>
    <row r="1604" spans="1:29" ht="35" customHeight="1">
      <c r="A1604" s="147" t="str">
        <f>'Reported burning'!A1604</f>
        <v>189c</v>
      </c>
      <c r="B1604" s="147" t="str">
        <f>'Reported burning'!B1604</f>
        <v>189c.2</v>
      </c>
      <c r="C1604" s="147" t="str">
        <f>'Reported burning'!C1604</f>
        <v>Human, deliberate</v>
      </c>
      <c r="D1604" s="147" t="str">
        <f>'Reported burning'!D1604</f>
        <v>Pasture renewal</v>
      </c>
      <c r="E1604" s="147" t="str">
        <f>'Reported burning'!E1604</f>
        <v>Cattle, Extensive</v>
      </c>
      <c r="F1604" s="147" t="str">
        <f>'Reported burning'!F1604</f>
        <v>Shrubland (Mixed forest &amp; grassland)</v>
      </c>
      <c r="G1604" s="147" t="str">
        <f>'Reported burning'!G1604</f>
        <v>ND</v>
      </c>
      <c r="H1604" s="147" t="str">
        <f>'Reported burning'!H1604</f>
        <v>Presence</v>
      </c>
      <c r="I1604" s="3">
        <v>1990</v>
      </c>
      <c r="J1604" s="4" t="s">
        <v>2272</v>
      </c>
      <c r="K1604" s="4" t="s">
        <v>2272</v>
      </c>
      <c r="L1604" s="4" t="s">
        <v>2272</v>
      </c>
      <c r="M1604" s="4" t="s">
        <v>2272</v>
      </c>
      <c r="N1604" s="4" t="s">
        <v>2272</v>
      </c>
      <c r="O1604" s="4" t="s">
        <v>2272</v>
      </c>
      <c r="P1604" s="4" t="s">
        <v>2272</v>
      </c>
      <c r="Q1604" s="4" t="s">
        <v>2272</v>
      </c>
      <c r="R1604" s="4" t="s">
        <v>2272</v>
      </c>
      <c r="S1604" s="4" t="s">
        <v>2272</v>
      </c>
      <c r="T1604" s="4" t="s">
        <v>2272</v>
      </c>
      <c r="U1604" s="4" t="s">
        <v>2272</v>
      </c>
      <c r="V1604" s="4" t="s">
        <v>2272</v>
      </c>
      <c r="W1604" s="4" t="s">
        <v>2272</v>
      </c>
      <c r="X1604" s="4" t="s">
        <v>2272</v>
      </c>
      <c r="Y1604" s="3" t="s">
        <v>37</v>
      </c>
      <c r="Z1604" s="3" t="s">
        <v>403</v>
      </c>
      <c r="AA1604" s="3" t="s">
        <v>2272</v>
      </c>
      <c r="AB1604" s="3"/>
      <c r="AC1604" s="163" t="s">
        <v>4748</v>
      </c>
    </row>
    <row r="1605" spans="1:29" ht="38" customHeight="1">
      <c r="A1605" s="147" t="str">
        <f>'Reported burning'!A1605</f>
        <v>189c</v>
      </c>
      <c r="B1605" s="147" t="str">
        <f>'Reported burning'!B1605</f>
        <v>189c.3</v>
      </c>
      <c r="C1605" s="147" t="str">
        <f>'Reported burning'!C1605</f>
        <v>Human, deliberate</v>
      </c>
      <c r="D1605" s="147" t="str">
        <f>'Reported burning'!D1605</f>
        <v>Pasture renewal</v>
      </c>
      <c r="E1605" s="147" t="str">
        <f>'Reported burning'!E1605</f>
        <v>Cattle, Intensive</v>
      </c>
      <c r="F1605" s="147" t="str">
        <f>'Reported burning'!F1605</f>
        <v>Shrubland (Mixed forest &amp; grassland)</v>
      </c>
      <c r="G1605" s="147" t="str">
        <f>'Reported burning'!G1605</f>
        <v>ND</v>
      </c>
      <c r="H1605" s="147"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t="s">
        <v>2272</v>
      </c>
      <c r="Y1605" s="4" t="s">
        <v>2272</v>
      </c>
      <c r="Z1605" s="4" t="s">
        <v>2272</v>
      </c>
      <c r="AA1605" s="4" t="s">
        <v>2272</v>
      </c>
      <c r="AB1605" s="3"/>
      <c r="AC1605" s="3"/>
    </row>
    <row r="1606" spans="1:29" ht="38" customHeight="1">
      <c r="A1606" s="147" t="str">
        <f>'Reported burning'!A1606</f>
        <v>189c</v>
      </c>
      <c r="B1606" s="147" t="str">
        <f>'Reported burning'!B1606</f>
        <v>189c.4</v>
      </c>
      <c r="C1606" s="147" t="str">
        <f>'Reported burning'!C1606</f>
        <v>Human, deliberate</v>
      </c>
      <c r="D1606" s="147" t="str">
        <f>'Reported burning'!D1606</f>
        <v>Pasture renewal</v>
      </c>
      <c r="E1606" s="147" t="str">
        <f>'Reported burning'!E1606</f>
        <v>Cattle, Intensive</v>
      </c>
      <c r="F1606" s="147" t="str">
        <f>'Reported burning'!F1606</f>
        <v>Shrubland (Mixed forest &amp; grassland)</v>
      </c>
      <c r="G1606" s="147" t="str">
        <f>'Reported burning'!G1606</f>
        <v>ND</v>
      </c>
      <c r="H1606" s="147" t="str">
        <f>'Reported burning'!H1606</f>
        <v>Presence</v>
      </c>
      <c r="I1606" s="3">
        <v>1990</v>
      </c>
      <c r="J1606" s="4" t="s">
        <v>2272</v>
      </c>
      <c r="K1606" s="4" t="s">
        <v>2272</v>
      </c>
      <c r="L1606" s="4" t="s">
        <v>2272</v>
      </c>
      <c r="M1606" s="4" t="s">
        <v>2272</v>
      </c>
      <c r="N1606" s="4" t="s">
        <v>2272</v>
      </c>
      <c r="O1606" s="4" t="s">
        <v>2272</v>
      </c>
      <c r="P1606" s="4" t="s">
        <v>2272</v>
      </c>
      <c r="Q1606" s="4" t="s">
        <v>2272</v>
      </c>
      <c r="R1606" s="4" t="s">
        <v>2272</v>
      </c>
      <c r="S1606" s="4" t="s">
        <v>2272</v>
      </c>
      <c r="T1606" s="4" t="s">
        <v>2272</v>
      </c>
      <c r="U1606" s="4" t="s">
        <v>2272</v>
      </c>
      <c r="V1606" s="4" t="s">
        <v>2272</v>
      </c>
      <c r="W1606" s="4" t="s">
        <v>2272</v>
      </c>
      <c r="X1606" s="4" t="s">
        <v>2272</v>
      </c>
      <c r="Y1606" s="3" t="s">
        <v>37</v>
      </c>
      <c r="Z1606" s="3" t="s">
        <v>403</v>
      </c>
      <c r="AA1606" s="3" t="s">
        <v>2272</v>
      </c>
      <c r="AB1606" s="3"/>
      <c r="AC1606" s="4" t="s">
        <v>4748</v>
      </c>
    </row>
    <row r="1607" spans="1:29" ht="38" customHeight="1">
      <c r="A1607" s="147" t="str">
        <f>'Reported burning'!A1607</f>
        <v>190a</v>
      </c>
      <c r="B1607" s="147" t="str">
        <f>'Reported burning'!B1607</f>
        <v>190a.1</v>
      </c>
      <c r="C1607" s="147" t="str">
        <f>'Reported burning'!C1607</f>
        <v>All</v>
      </c>
      <c r="D1607" s="147" t="str">
        <f>'Reported burning'!D1607</f>
        <v>All</v>
      </c>
      <c r="E1607" s="147" t="str">
        <f>'Reported burning'!E1607</f>
        <v>All</v>
      </c>
      <c r="F1607" s="147" t="str">
        <f>'Reported burning'!F1607</f>
        <v>ND</v>
      </c>
      <c r="G1607" s="147" t="str">
        <f>'Reported burning'!G1607</f>
        <v>Shrubland (Mixed forest &amp; grassland)</v>
      </c>
      <c r="H1607" s="147" t="str">
        <f>'Reported burning'!H1607</f>
        <v>Presence</v>
      </c>
      <c r="I1607" s="3"/>
      <c r="J1607" s="4" t="s">
        <v>2272</v>
      </c>
      <c r="K1607" s="4" t="s">
        <v>2272</v>
      </c>
      <c r="L1607" s="4" t="s">
        <v>2272</v>
      </c>
      <c r="M1607" s="4" t="s">
        <v>2272</v>
      </c>
      <c r="N1607" s="4" t="s">
        <v>2272</v>
      </c>
      <c r="O1607" s="4" t="s">
        <v>2272</v>
      </c>
      <c r="P1607" s="4" t="s">
        <v>2272</v>
      </c>
      <c r="Q1607" s="4" t="s">
        <v>2272</v>
      </c>
      <c r="R1607" s="4" t="s">
        <v>2272</v>
      </c>
      <c r="S1607" s="4" t="s">
        <v>2272</v>
      </c>
      <c r="T1607" s="4" t="s">
        <v>2272</v>
      </c>
      <c r="U1607" s="4" t="s">
        <v>2272</v>
      </c>
      <c r="V1607" s="4" t="s">
        <v>2272</v>
      </c>
      <c r="W1607" s="4" t="s">
        <v>2272</v>
      </c>
      <c r="X1607" s="3" t="s">
        <v>2370</v>
      </c>
      <c r="Y1607" s="4" t="s">
        <v>2272</v>
      </c>
      <c r="Z1607" s="4" t="s">
        <v>2272</v>
      </c>
      <c r="AA1607" s="4" t="s">
        <v>2272</v>
      </c>
      <c r="AB1607" s="3"/>
      <c r="AC1607" s="3"/>
    </row>
    <row r="1608" spans="1:29" ht="48" customHeight="1">
      <c r="A1608" s="147" t="str">
        <f>'Reported burning'!A1608</f>
        <v>191a</v>
      </c>
      <c r="B1608" s="147" t="str">
        <f>'Reported burning'!B1608</f>
        <v>191a.1</v>
      </c>
      <c r="C1608" s="147" t="str">
        <f>'Reported burning'!C1608</f>
        <v>Human, deliberate</v>
      </c>
      <c r="D1608" s="147" t="str">
        <f>'Reported burning'!D1608</f>
        <v>Rangeland management</v>
      </c>
      <c r="E1608" s="147" t="str">
        <f>'Reported burning'!E1608</f>
        <v>Pastoralism, Migratory</v>
      </c>
      <c r="F1608" s="147" t="str">
        <f>'Reported burning'!F1608</f>
        <v>Shrubland (Mixed forest &amp; grassland)</v>
      </c>
      <c r="G1608" s="147" t="str">
        <f>'Reported burning'!G1608</f>
        <v>Shrubland (Mixed forest &amp; grassland)</v>
      </c>
      <c r="H1608" s="147"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t="s">
        <v>2272</v>
      </c>
      <c r="Y1608" s="4" t="s">
        <v>2272</v>
      </c>
      <c r="Z1608" s="4" t="s">
        <v>2272</v>
      </c>
      <c r="AA1608" s="4" t="s">
        <v>2272</v>
      </c>
      <c r="AB1608" s="4" t="s">
        <v>4780</v>
      </c>
      <c r="AC1608" s="3"/>
    </row>
    <row r="1609" spans="1:29" ht="37.5" customHeight="1">
      <c r="A1609" s="147" t="str">
        <f>'Reported burning'!A1609</f>
        <v>191b</v>
      </c>
      <c r="B1609" s="147" t="str">
        <f>'Reported burning'!B1609</f>
        <v>191b.1</v>
      </c>
      <c r="C1609" s="147" t="str">
        <f>'Reported burning'!C1609</f>
        <v>Human, deliberate</v>
      </c>
      <c r="D1609" s="147" t="str">
        <f>'Reported burning'!D1609</f>
        <v>Rangeland management</v>
      </c>
      <c r="E1609" s="147" t="str">
        <f>'Reported burning'!E1609</f>
        <v>Pastoralism, Migratory</v>
      </c>
      <c r="F1609" s="147" t="str">
        <f>'Reported burning'!F1609</f>
        <v>Shrubland (Mixed forest &amp; grassland)</v>
      </c>
      <c r="G1609" s="147" t="str">
        <f>'Reported burning'!G1609</f>
        <v>Shrubland (Mixed forest &amp; grassland)</v>
      </c>
      <c r="H1609" s="147" t="str">
        <f>'Reported burning'!H1609</f>
        <v>Presence</v>
      </c>
      <c r="I1609" s="3"/>
      <c r="J1609" s="4" t="s">
        <v>2272</v>
      </c>
      <c r="K1609" s="4" t="s">
        <v>2272</v>
      </c>
      <c r="L1609" s="4" t="s">
        <v>2272</v>
      </c>
      <c r="M1609" s="4" t="s">
        <v>2272</v>
      </c>
      <c r="N1609" s="4" t="s">
        <v>2272</v>
      </c>
      <c r="O1609" s="4" t="s">
        <v>2272</v>
      </c>
      <c r="P1609" s="4" t="s">
        <v>2272</v>
      </c>
      <c r="Q1609" s="4" t="s">
        <v>2272</v>
      </c>
      <c r="R1609" s="4" t="s">
        <v>2272</v>
      </c>
      <c r="S1609" s="4" t="s">
        <v>2272</v>
      </c>
      <c r="T1609" s="4" t="s">
        <v>2272</v>
      </c>
      <c r="U1609" s="4" t="s">
        <v>2272</v>
      </c>
      <c r="V1609" s="4" t="s">
        <v>2272</v>
      </c>
      <c r="W1609" s="4" t="s">
        <v>2272</v>
      </c>
      <c r="X1609" s="4" t="s">
        <v>2272</v>
      </c>
      <c r="Y1609" s="4" t="s">
        <v>2272</v>
      </c>
      <c r="Z1609" s="4" t="s">
        <v>2272</v>
      </c>
      <c r="AA1609" s="4" t="s">
        <v>2272</v>
      </c>
      <c r="AB1609" s="3"/>
      <c r="AC1609" s="3"/>
    </row>
    <row r="1610" spans="1:29" ht="33" customHeight="1">
      <c r="A1610" s="147" t="str">
        <f>'Reported burning'!A1610</f>
        <v>192a</v>
      </c>
      <c r="B1610" s="147" t="str">
        <f>'Reported burning'!B1610</f>
        <v>192a.1</v>
      </c>
      <c r="C1610" s="147" t="str">
        <f>'Reported burning'!C1610</f>
        <v>Human, deliberate</v>
      </c>
      <c r="D1610" s="147" t="str">
        <f>'Reported burning'!D1610</f>
        <v>Rangeland management</v>
      </c>
      <c r="E1610" s="147" t="str">
        <f>'Reported burning'!E1610</f>
        <v>Pastoralism, Migratory</v>
      </c>
      <c r="F1610" s="147" t="str">
        <f>'Reported burning'!F1610</f>
        <v>Shrubland (Mixed forest &amp; grassland)</v>
      </c>
      <c r="G1610" s="147" t="str">
        <f>'Reported burning'!G1610</f>
        <v>ND</v>
      </c>
      <c r="H1610" s="147" t="str">
        <f>'Reported burning'!H1610</f>
        <v>Presence</v>
      </c>
      <c r="I1610" s="3"/>
      <c r="J1610" s="4" t="s">
        <v>2272</v>
      </c>
      <c r="K1610" s="4" t="s">
        <v>2272</v>
      </c>
      <c r="L1610" s="4" t="s">
        <v>2272</v>
      </c>
      <c r="M1610" s="4" t="s">
        <v>2272</v>
      </c>
      <c r="N1610" s="4" t="s">
        <v>2272</v>
      </c>
      <c r="O1610" s="4" t="s">
        <v>2272</v>
      </c>
      <c r="P1610" s="4" t="s">
        <v>2272</v>
      </c>
      <c r="Q1610" s="4" t="s">
        <v>2272</v>
      </c>
      <c r="R1610" s="4" t="s">
        <v>2272</v>
      </c>
      <c r="S1610" s="4" t="s">
        <v>2272</v>
      </c>
      <c r="T1610" s="4" t="s">
        <v>2272</v>
      </c>
      <c r="U1610" s="4" t="s">
        <v>2272</v>
      </c>
      <c r="V1610" s="4" t="s">
        <v>2272</v>
      </c>
      <c r="W1610" s="4" t="s">
        <v>2272</v>
      </c>
      <c r="X1610" s="4" t="s">
        <v>2272</v>
      </c>
      <c r="Y1610" s="4" t="s">
        <v>2272</v>
      </c>
      <c r="Z1610" s="4" t="s">
        <v>2272</v>
      </c>
      <c r="AA1610" s="4" t="s">
        <v>2272</v>
      </c>
      <c r="AB1610" s="3"/>
      <c r="AC1610" s="3"/>
    </row>
    <row r="1611" spans="1:29" ht="33" customHeight="1">
      <c r="A1611" s="147" t="str">
        <f>'Reported burning'!A1611</f>
        <v>192b</v>
      </c>
      <c r="B1611" s="147" t="str">
        <f>'Reported burning'!B1611</f>
        <v>192b.1</v>
      </c>
      <c r="C1611" s="147" t="str">
        <f>'Reported burning'!C1611</f>
        <v>Human, deliberate</v>
      </c>
      <c r="D1611" s="147" t="str">
        <f>'Reported burning'!D1611</f>
        <v>All</v>
      </c>
      <c r="E1611" s="147" t="str">
        <f>'Reported burning'!E1611</f>
        <v>Cropping, Swidden</v>
      </c>
      <c r="F1611" s="147" t="str">
        <f>'Reported burning'!F1611</f>
        <v>ND</v>
      </c>
      <c r="G1611" s="147" t="str">
        <f>'Reported burning'!G1611</f>
        <v>ND</v>
      </c>
      <c r="H1611" s="147" t="str">
        <f>'Reported burning'!H1611</f>
        <v>Presence</v>
      </c>
      <c r="I1611" s="3"/>
      <c r="J1611" s="4" t="s">
        <v>2272</v>
      </c>
      <c r="K1611" s="4" t="s">
        <v>2272</v>
      </c>
      <c r="L1611" s="4" t="s">
        <v>2272</v>
      </c>
      <c r="M1611" s="4" t="s">
        <v>2272</v>
      </c>
      <c r="N1611" s="4" t="s">
        <v>2272</v>
      </c>
      <c r="O1611" s="4" t="s">
        <v>2272</v>
      </c>
      <c r="P1611" s="4" t="s">
        <v>2272</v>
      </c>
      <c r="Q1611" s="4" t="s">
        <v>2272</v>
      </c>
      <c r="R1611" s="4" t="s">
        <v>2272</v>
      </c>
      <c r="S1611" s="4" t="s">
        <v>2272</v>
      </c>
      <c r="T1611" s="4" t="s">
        <v>2272</v>
      </c>
      <c r="U1611" s="4" t="s">
        <v>2272</v>
      </c>
      <c r="V1611" s="4" t="s">
        <v>2272</v>
      </c>
      <c r="W1611" s="4" t="s">
        <v>2272</v>
      </c>
      <c r="X1611" s="4" t="s">
        <v>2272</v>
      </c>
      <c r="Y1611" s="4" t="s">
        <v>2272</v>
      </c>
      <c r="Z1611" s="4" t="s">
        <v>2272</v>
      </c>
      <c r="AA1611" s="4" t="s">
        <v>2272</v>
      </c>
      <c r="AB1611" s="3"/>
      <c r="AC1611" s="3"/>
    </row>
    <row r="1612" spans="1:29" ht="53" customHeight="1">
      <c r="A1612" s="147" t="str">
        <f>'Reported burning'!A1612</f>
        <v>192b</v>
      </c>
      <c r="B1612" s="147" t="str">
        <f>'Reported burning'!B1612</f>
        <v>192b.2</v>
      </c>
      <c r="C1612" s="147" t="str">
        <f>'Reported burning'!C1612</f>
        <v>Human, deliberate</v>
      </c>
      <c r="D1612" s="147" t="str">
        <f>'Reported burning'!D1612</f>
        <v>Rangeland management</v>
      </c>
      <c r="E1612" s="147" t="str">
        <f>'Reported burning'!E1612</f>
        <v>Pastoralism, Migratory</v>
      </c>
      <c r="F1612" s="147" t="str">
        <f>'Reported burning'!F1612</f>
        <v>Forest</v>
      </c>
      <c r="G1612" s="147" t="str">
        <f>'Reported burning'!G1612</f>
        <v>ND</v>
      </c>
      <c r="H1612" s="147"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t="s">
        <v>2272</v>
      </c>
      <c r="Y1612" s="4" t="s">
        <v>2272</v>
      </c>
      <c r="Z1612" s="4" t="s">
        <v>2272</v>
      </c>
      <c r="AA1612" s="4" t="s">
        <v>2272</v>
      </c>
      <c r="AB1612" s="4" t="s">
        <v>4780</v>
      </c>
      <c r="AC1612" s="3"/>
    </row>
    <row r="1613" spans="1:29" ht="46" customHeight="1">
      <c r="A1613" s="147" t="str">
        <f>'Reported burning'!A1613</f>
        <v>193a</v>
      </c>
      <c r="B1613" s="147" t="str">
        <f>'Reported burning'!B1613</f>
        <v>193a.1</v>
      </c>
      <c r="C1613" s="147" t="str">
        <f>'Reported burning'!C1613</f>
        <v>Human, deliberate</v>
      </c>
      <c r="D1613" s="147" t="str">
        <f>'Reported burning'!D1613</f>
        <v>Rangeland management</v>
      </c>
      <c r="E1613" s="147" t="str">
        <f>'Reported burning'!E1613</f>
        <v>Pastoralism, Migratory</v>
      </c>
      <c r="F1613" s="147" t="str">
        <f>'Reported burning'!F1613</f>
        <v>Forest</v>
      </c>
      <c r="G1613" s="147" t="str">
        <f>'Reported burning'!G1613</f>
        <v>ND</v>
      </c>
      <c r="H1613" s="147"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t="s">
        <v>2272</v>
      </c>
      <c r="Y1613" s="4" t="s">
        <v>2272</v>
      </c>
      <c r="Z1613" s="4" t="s">
        <v>2272</v>
      </c>
      <c r="AA1613" s="4" t="s">
        <v>2272</v>
      </c>
      <c r="AB1613" s="4" t="s">
        <v>4818</v>
      </c>
      <c r="AC1613" s="3"/>
    </row>
    <row r="1614" spans="1:29" ht="46" customHeight="1">
      <c r="A1614" s="147" t="str">
        <f>'Reported burning'!A1614</f>
        <v>193b</v>
      </c>
      <c r="B1614" s="147" t="str">
        <f>'Reported burning'!B1614</f>
        <v>193b.1</v>
      </c>
      <c r="C1614" s="147" t="str">
        <f>'Reported burning'!C1614</f>
        <v>Human, deliberate</v>
      </c>
      <c r="D1614" s="147" t="str">
        <f>'Reported burning'!D1614</f>
        <v>Rangeland management</v>
      </c>
      <c r="E1614" s="147" t="str">
        <f>'Reported burning'!E1614</f>
        <v>Pastoralism, Migratory</v>
      </c>
      <c r="F1614" s="147" t="str">
        <f>'Reported burning'!F1614</f>
        <v>Forest</v>
      </c>
      <c r="G1614" s="147" t="str">
        <f>'Reported burning'!G1614</f>
        <v>ND</v>
      </c>
      <c r="H1614" s="147"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t="s">
        <v>2272</v>
      </c>
      <c r="Y1614" s="4" t="s">
        <v>2272</v>
      </c>
      <c r="Z1614" s="4" t="s">
        <v>2272</v>
      </c>
      <c r="AA1614" s="4" t="s">
        <v>2272</v>
      </c>
      <c r="AB1614" s="4" t="s">
        <v>4818</v>
      </c>
      <c r="AC1614" s="3"/>
    </row>
    <row r="1615" spans="1:29" ht="46" customHeight="1">
      <c r="A1615" s="147" t="str">
        <f>'Reported burning'!A1615</f>
        <v>193c</v>
      </c>
      <c r="B1615" s="147" t="str">
        <f>'Reported burning'!B1615</f>
        <v>193c.1</v>
      </c>
      <c r="C1615" s="147" t="str">
        <f>'Reported burning'!C1615</f>
        <v>Human, deliberate</v>
      </c>
      <c r="D1615" s="147" t="str">
        <f>'Reported burning'!D1615</f>
        <v>Rangeland management</v>
      </c>
      <c r="E1615" s="147" t="str">
        <f>'Reported burning'!E1615</f>
        <v>Pastoralism, Migratory</v>
      </c>
      <c r="F1615" s="147" t="str">
        <f>'Reported burning'!F1615</f>
        <v>Forest</v>
      </c>
      <c r="G1615" s="147" t="str">
        <f>'Reported burning'!G1615</f>
        <v>ND</v>
      </c>
      <c r="H1615" s="147"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t="s">
        <v>2272</v>
      </c>
      <c r="Y1615" s="4" t="s">
        <v>2272</v>
      </c>
      <c r="Z1615" s="4" t="s">
        <v>2272</v>
      </c>
      <c r="AA1615" s="4" t="s">
        <v>2272</v>
      </c>
      <c r="AB1615" s="4" t="s">
        <v>4818</v>
      </c>
      <c r="AC1615" s="3"/>
    </row>
    <row r="1616" spans="1:29" ht="46" customHeight="1">
      <c r="A1616" s="147" t="str">
        <f>'Reported burning'!A1616</f>
        <v>193d</v>
      </c>
      <c r="B1616" s="147" t="str">
        <f>'Reported burning'!B1616</f>
        <v>193d.1</v>
      </c>
      <c r="C1616" s="147" t="str">
        <f>'Reported burning'!C1616</f>
        <v>Human, deliberate</v>
      </c>
      <c r="D1616" s="147" t="str">
        <f>'Reported burning'!D1616</f>
        <v>Rangeland management</v>
      </c>
      <c r="E1616" s="147" t="str">
        <f>'Reported burning'!E1616</f>
        <v>Pastoralism, Migratory</v>
      </c>
      <c r="F1616" s="147" t="str">
        <f>'Reported burning'!F1616</f>
        <v>Forest</v>
      </c>
      <c r="G1616" s="147" t="str">
        <f>'Reported burning'!G1616</f>
        <v>ND</v>
      </c>
      <c r="H1616" s="147"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t="s">
        <v>2272</v>
      </c>
      <c r="Y1616" s="4" t="s">
        <v>2272</v>
      </c>
      <c r="Z1616" s="4" t="s">
        <v>2272</v>
      </c>
      <c r="AA1616" s="4" t="s">
        <v>2272</v>
      </c>
      <c r="AB1616" s="4" t="s">
        <v>4818</v>
      </c>
      <c r="AC1616" s="3"/>
    </row>
    <row r="1617" spans="1:29" ht="46" customHeight="1">
      <c r="A1617" s="147" t="str">
        <f>'Reported burning'!A1617</f>
        <v>193e</v>
      </c>
      <c r="B1617" s="147" t="str">
        <f>'Reported burning'!B1617</f>
        <v>193e.1</v>
      </c>
      <c r="C1617" s="147" t="str">
        <f>'Reported burning'!C1617</f>
        <v>Human, deliberate</v>
      </c>
      <c r="D1617" s="147" t="str">
        <f>'Reported burning'!D1617</f>
        <v>Rangeland management</v>
      </c>
      <c r="E1617" s="147" t="str">
        <f>'Reported burning'!E1617</f>
        <v>Pastoralism, Migratory</v>
      </c>
      <c r="F1617" s="147" t="str">
        <f>'Reported burning'!F1617</f>
        <v>Forest</v>
      </c>
      <c r="G1617" s="147" t="str">
        <f>'Reported burning'!G1617</f>
        <v>ND</v>
      </c>
      <c r="H1617" s="147"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t="s">
        <v>2272</v>
      </c>
      <c r="Y1617" s="4" t="s">
        <v>2272</v>
      </c>
      <c r="Z1617" s="4" t="s">
        <v>2272</v>
      </c>
      <c r="AA1617" s="4" t="s">
        <v>2272</v>
      </c>
      <c r="AB1617" s="4" t="s">
        <v>4818</v>
      </c>
      <c r="AC1617" s="3"/>
    </row>
    <row r="1618" spans="1:29" ht="46" customHeight="1">
      <c r="A1618" s="147" t="str">
        <f>'Reported burning'!A1618</f>
        <v>193a</v>
      </c>
      <c r="B1618" s="147" t="str">
        <f>'Reported burning'!B1618</f>
        <v>193a.2</v>
      </c>
      <c r="C1618" s="147" t="str">
        <f>'Reported burning'!C1618</f>
        <v>Human, deliberate</v>
      </c>
      <c r="D1618" s="147" t="str">
        <f>'Reported burning'!D1618</f>
        <v>Land clearance</v>
      </c>
      <c r="E1618" s="147" t="str">
        <f>'Reported burning'!E1618</f>
        <v>Pastoralism, Migratory</v>
      </c>
      <c r="F1618" s="147" t="str">
        <f>'Reported burning'!F1618</f>
        <v>Forest</v>
      </c>
      <c r="G1618" s="147" t="str">
        <f>'Reported burning'!G1618</f>
        <v>ND</v>
      </c>
      <c r="H1618" s="147"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t="s">
        <v>2272</v>
      </c>
      <c r="Y1618" s="4" t="s">
        <v>2272</v>
      </c>
      <c r="Z1618" s="4" t="s">
        <v>2272</v>
      </c>
      <c r="AA1618" s="4" t="s">
        <v>2272</v>
      </c>
      <c r="AB1618" s="4" t="s">
        <v>4818</v>
      </c>
      <c r="AC1618" s="3"/>
    </row>
    <row r="1619" spans="1:29" ht="46" customHeight="1">
      <c r="A1619" s="147" t="str">
        <f>'Reported burning'!A1619</f>
        <v>193b</v>
      </c>
      <c r="B1619" s="147" t="str">
        <f>'Reported burning'!B1619</f>
        <v>193b.2</v>
      </c>
      <c r="C1619" s="147" t="str">
        <f>'Reported burning'!C1619</f>
        <v>Human, deliberate</v>
      </c>
      <c r="D1619" s="147" t="str">
        <f>'Reported burning'!D1619</f>
        <v>Land clearance</v>
      </c>
      <c r="E1619" s="147" t="str">
        <f>'Reported burning'!E1619</f>
        <v>Pastoralism, Migratory</v>
      </c>
      <c r="F1619" s="147" t="str">
        <f>'Reported burning'!F1619</f>
        <v>Forest</v>
      </c>
      <c r="G1619" s="147" t="str">
        <f>'Reported burning'!G1619</f>
        <v>ND</v>
      </c>
      <c r="H1619" s="147"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t="s">
        <v>2272</v>
      </c>
      <c r="Y1619" s="4" t="s">
        <v>2272</v>
      </c>
      <c r="Z1619" s="4" t="s">
        <v>2272</v>
      </c>
      <c r="AA1619" s="4" t="s">
        <v>2272</v>
      </c>
      <c r="AB1619" s="4" t="s">
        <v>4818</v>
      </c>
      <c r="AC1619" s="3"/>
    </row>
    <row r="1620" spans="1:29" ht="46" customHeight="1">
      <c r="A1620" s="147" t="str">
        <f>'Reported burning'!A1620</f>
        <v>193c</v>
      </c>
      <c r="B1620" s="147" t="str">
        <f>'Reported burning'!B1620</f>
        <v>193c.2</v>
      </c>
      <c r="C1620" s="147" t="str">
        <f>'Reported burning'!C1620</f>
        <v>Human, deliberate</v>
      </c>
      <c r="D1620" s="147" t="str">
        <f>'Reported burning'!D1620</f>
        <v>Land clearance</v>
      </c>
      <c r="E1620" s="147" t="str">
        <f>'Reported burning'!E1620</f>
        <v>Pastoralism, Migratory</v>
      </c>
      <c r="F1620" s="147" t="str">
        <f>'Reported burning'!F1620</f>
        <v>Forest</v>
      </c>
      <c r="G1620" s="147" t="str">
        <f>'Reported burning'!G1620</f>
        <v>ND</v>
      </c>
      <c r="H1620" s="147"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t="s">
        <v>2272</v>
      </c>
      <c r="Y1620" s="4" t="s">
        <v>2272</v>
      </c>
      <c r="Z1620" s="4" t="s">
        <v>2272</v>
      </c>
      <c r="AA1620" s="4" t="s">
        <v>2272</v>
      </c>
      <c r="AB1620" s="4" t="s">
        <v>4818</v>
      </c>
      <c r="AC1620" s="3"/>
    </row>
    <row r="1621" spans="1:29" ht="46" customHeight="1">
      <c r="A1621" s="147" t="str">
        <f>'Reported burning'!A1621</f>
        <v>193d</v>
      </c>
      <c r="B1621" s="147" t="str">
        <f>'Reported burning'!B1621</f>
        <v>193d.2</v>
      </c>
      <c r="C1621" s="147" t="str">
        <f>'Reported burning'!C1621</f>
        <v>Human, deliberate</v>
      </c>
      <c r="D1621" s="147" t="str">
        <f>'Reported burning'!D1621</f>
        <v>Land clearance</v>
      </c>
      <c r="E1621" s="147" t="str">
        <f>'Reported burning'!E1621</f>
        <v>Pastoralism, Migratory</v>
      </c>
      <c r="F1621" s="147" t="str">
        <f>'Reported burning'!F1621</f>
        <v>Forest</v>
      </c>
      <c r="G1621" s="147" t="str">
        <f>'Reported burning'!G1621</f>
        <v>ND</v>
      </c>
      <c r="H1621" s="147"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t="s">
        <v>2272</v>
      </c>
      <c r="Y1621" s="4" t="s">
        <v>2272</v>
      </c>
      <c r="Z1621" s="4" t="s">
        <v>2272</v>
      </c>
      <c r="AA1621" s="4" t="s">
        <v>2272</v>
      </c>
      <c r="AB1621" s="4" t="s">
        <v>4818</v>
      </c>
      <c r="AC1621" s="3"/>
    </row>
    <row r="1622" spans="1:29" ht="46" customHeight="1">
      <c r="A1622" s="147" t="str">
        <f>'Reported burning'!A1622</f>
        <v>193e</v>
      </c>
      <c r="B1622" s="147" t="str">
        <f>'Reported burning'!B1622</f>
        <v>193e.2</v>
      </c>
      <c r="C1622" s="147" t="str">
        <f>'Reported burning'!C1622</f>
        <v>Human, deliberate</v>
      </c>
      <c r="D1622" s="147" t="str">
        <f>'Reported burning'!D1622</f>
        <v>Land clearance</v>
      </c>
      <c r="E1622" s="147" t="str">
        <f>'Reported burning'!E1622</f>
        <v>Pastoralism, Migratory</v>
      </c>
      <c r="F1622" s="147" t="str">
        <f>'Reported burning'!F1622</f>
        <v>Forest</v>
      </c>
      <c r="G1622" s="147" t="str">
        <f>'Reported burning'!G1622</f>
        <v>ND</v>
      </c>
      <c r="H1622" s="147"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t="s">
        <v>2272</v>
      </c>
      <c r="Y1622" s="4" t="s">
        <v>2272</v>
      </c>
      <c r="Z1622" s="4" t="s">
        <v>2272</v>
      </c>
      <c r="AA1622" s="4" t="s">
        <v>2272</v>
      </c>
      <c r="AB1622" s="4" t="s">
        <v>4818</v>
      </c>
      <c r="AC1622" s="3"/>
    </row>
    <row r="1623" spans="1:29" ht="39" customHeight="1">
      <c r="A1623" s="147" t="str">
        <f>'Reported burning'!A1623</f>
        <v>193b</v>
      </c>
      <c r="B1623" s="147" t="str">
        <f>'Reported burning'!B1623</f>
        <v>193b.3</v>
      </c>
      <c r="C1623" s="147" t="str">
        <f>'Reported burning'!C1623</f>
        <v>Human, accidental</v>
      </c>
      <c r="D1623" s="147" t="str">
        <f>'Reported burning'!D1623</f>
        <v>Accidental</v>
      </c>
      <c r="E1623" s="147" t="str">
        <f>'Reported burning'!E1623</f>
        <v>ND</v>
      </c>
      <c r="F1623" s="147" t="str">
        <f>'Reported burning'!F1623</f>
        <v>Forest</v>
      </c>
      <c r="G1623" s="147" t="str">
        <f>'Reported burning'!G1623</f>
        <v>ND</v>
      </c>
      <c r="H1623" s="147" t="str">
        <f>'Reported burning'!H1623</f>
        <v>Presence</v>
      </c>
      <c r="I1623" s="3"/>
      <c r="J1623" s="4" t="s">
        <v>2272</v>
      </c>
      <c r="K1623" s="4" t="s">
        <v>2272</v>
      </c>
      <c r="L1623" s="4" t="s">
        <v>2272</v>
      </c>
      <c r="M1623" s="4" t="s">
        <v>2272</v>
      </c>
      <c r="N1623" s="4" t="s">
        <v>2272</v>
      </c>
      <c r="O1623" s="4" t="s">
        <v>2272</v>
      </c>
      <c r="P1623" s="4" t="s">
        <v>2272</v>
      </c>
      <c r="Q1623" s="4" t="s">
        <v>2272</v>
      </c>
      <c r="R1623" s="4" t="s">
        <v>2272</v>
      </c>
      <c r="S1623" s="4" t="s">
        <v>2272</v>
      </c>
      <c r="T1623" s="4" t="s">
        <v>2272</v>
      </c>
      <c r="U1623" s="4" t="s">
        <v>2272</v>
      </c>
      <c r="V1623" s="4" t="s">
        <v>2272</v>
      </c>
      <c r="W1623" s="4" t="s">
        <v>2272</v>
      </c>
      <c r="X1623" s="4" t="s">
        <v>2272</v>
      </c>
      <c r="Y1623" s="4" t="s">
        <v>2272</v>
      </c>
      <c r="Z1623" s="4" t="s">
        <v>2272</v>
      </c>
      <c r="AA1623" s="4" t="s">
        <v>2272</v>
      </c>
      <c r="AB1623" s="3"/>
      <c r="AC1623" s="3"/>
    </row>
    <row r="1624" spans="1:29" ht="39" customHeight="1">
      <c r="A1624" s="147" t="str">
        <f>'Reported burning'!A1624</f>
        <v>193c</v>
      </c>
      <c r="B1624" s="147" t="str">
        <f>'Reported burning'!B1624</f>
        <v>193c.3</v>
      </c>
      <c r="C1624" s="147" t="str">
        <f>'Reported burning'!C1624</f>
        <v>Human, accidental</v>
      </c>
      <c r="D1624" s="147" t="str">
        <f>'Reported burning'!D1624</f>
        <v>Accidental</v>
      </c>
      <c r="E1624" s="147" t="str">
        <f>'Reported burning'!E1624</f>
        <v>ND</v>
      </c>
      <c r="F1624" s="147" t="str">
        <f>'Reported burning'!F1624</f>
        <v>Forest</v>
      </c>
      <c r="G1624" s="147" t="str">
        <f>'Reported burning'!G1624</f>
        <v>ND</v>
      </c>
      <c r="H1624" s="147" t="str">
        <f>'Reported burning'!H1624</f>
        <v>Presence</v>
      </c>
      <c r="I1624" s="3"/>
      <c r="J1624" s="4" t="s">
        <v>2272</v>
      </c>
      <c r="K1624" s="4" t="s">
        <v>2272</v>
      </c>
      <c r="L1624" s="4" t="s">
        <v>2272</v>
      </c>
      <c r="M1624" s="4" t="s">
        <v>2272</v>
      </c>
      <c r="N1624" s="4" t="s">
        <v>2272</v>
      </c>
      <c r="O1624" s="4" t="s">
        <v>2272</v>
      </c>
      <c r="P1624" s="4" t="s">
        <v>2272</v>
      </c>
      <c r="Q1624" s="4" t="s">
        <v>2272</v>
      </c>
      <c r="R1624" s="4" t="s">
        <v>2272</v>
      </c>
      <c r="S1624" s="4" t="s">
        <v>2272</v>
      </c>
      <c r="T1624" s="4" t="s">
        <v>2272</v>
      </c>
      <c r="U1624" s="4" t="s">
        <v>2272</v>
      </c>
      <c r="V1624" s="4" t="s">
        <v>2272</v>
      </c>
      <c r="W1624" s="4" t="s">
        <v>2272</v>
      </c>
      <c r="X1624" s="4" t="s">
        <v>2272</v>
      </c>
      <c r="Y1624" s="4" t="s">
        <v>2272</v>
      </c>
      <c r="Z1624" s="4" t="s">
        <v>2272</v>
      </c>
      <c r="AA1624" s="4" t="s">
        <v>2272</v>
      </c>
      <c r="AB1624" s="3"/>
      <c r="AC1624" s="3"/>
    </row>
    <row r="1625" spans="1:29" ht="39" customHeight="1">
      <c r="A1625" s="147" t="str">
        <f>'Reported burning'!A1625</f>
        <v>193d</v>
      </c>
      <c r="B1625" s="147" t="str">
        <f>'Reported burning'!B1625</f>
        <v>193d.3</v>
      </c>
      <c r="C1625" s="147" t="str">
        <f>'Reported burning'!C1625</f>
        <v>Human, accidental</v>
      </c>
      <c r="D1625" s="147" t="str">
        <f>'Reported burning'!D1625</f>
        <v>Accidental</v>
      </c>
      <c r="E1625" s="147" t="str">
        <f>'Reported burning'!E1625</f>
        <v>ND</v>
      </c>
      <c r="F1625" s="147" t="str">
        <f>'Reported burning'!F1625</f>
        <v>Forest</v>
      </c>
      <c r="G1625" s="147" t="str">
        <f>'Reported burning'!G1625</f>
        <v>ND</v>
      </c>
      <c r="H1625" s="147" t="str">
        <f>'Reported burning'!H1625</f>
        <v>Presence</v>
      </c>
      <c r="I1625" s="3"/>
      <c r="J1625" s="4" t="s">
        <v>2272</v>
      </c>
      <c r="K1625" s="4" t="s">
        <v>2272</v>
      </c>
      <c r="L1625" s="4" t="s">
        <v>2272</v>
      </c>
      <c r="M1625" s="4" t="s">
        <v>2272</v>
      </c>
      <c r="N1625" s="4" t="s">
        <v>2272</v>
      </c>
      <c r="O1625" s="4" t="s">
        <v>2272</v>
      </c>
      <c r="P1625" s="4" t="s">
        <v>2272</v>
      </c>
      <c r="Q1625" s="4" t="s">
        <v>2272</v>
      </c>
      <c r="R1625" s="4" t="s">
        <v>2272</v>
      </c>
      <c r="S1625" s="4" t="s">
        <v>2272</v>
      </c>
      <c r="T1625" s="4" t="s">
        <v>2272</v>
      </c>
      <c r="U1625" s="4" t="s">
        <v>2272</v>
      </c>
      <c r="V1625" s="4" t="s">
        <v>2272</v>
      </c>
      <c r="W1625" s="4" t="s">
        <v>2272</v>
      </c>
      <c r="X1625" s="4" t="s">
        <v>2272</v>
      </c>
      <c r="Y1625" s="4" t="s">
        <v>2272</v>
      </c>
      <c r="Z1625" s="4" t="s">
        <v>2272</v>
      </c>
      <c r="AA1625" s="4" t="s">
        <v>2272</v>
      </c>
      <c r="AB1625" s="3"/>
      <c r="AC1625" s="3"/>
    </row>
    <row r="1626" spans="1:29" ht="39" customHeight="1">
      <c r="A1626" s="147" t="str">
        <f>'Reported burning'!A1626</f>
        <v>193e</v>
      </c>
      <c r="B1626" s="147" t="str">
        <f>'Reported burning'!B1626</f>
        <v>193e.3</v>
      </c>
      <c r="C1626" s="147" t="str">
        <f>'Reported burning'!C1626</f>
        <v>Human, accidental</v>
      </c>
      <c r="D1626" s="147" t="str">
        <f>'Reported burning'!D1626</f>
        <v>Accidental</v>
      </c>
      <c r="E1626" s="147" t="str">
        <f>'Reported burning'!E1626</f>
        <v>ND</v>
      </c>
      <c r="F1626" s="147" t="str">
        <f>'Reported burning'!F1626</f>
        <v>Forest</v>
      </c>
      <c r="G1626" s="147" t="str">
        <f>'Reported burning'!G1626</f>
        <v>ND</v>
      </c>
      <c r="H1626" s="147" t="str">
        <f>'Reported burning'!H1626</f>
        <v>Presence</v>
      </c>
      <c r="I1626" s="3"/>
      <c r="J1626" s="4" t="s">
        <v>2272</v>
      </c>
      <c r="K1626" s="4" t="s">
        <v>2272</v>
      </c>
      <c r="L1626" s="4" t="s">
        <v>2272</v>
      </c>
      <c r="M1626" s="4" t="s">
        <v>2272</v>
      </c>
      <c r="N1626" s="4" t="s">
        <v>2272</v>
      </c>
      <c r="O1626" s="4" t="s">
        <v>2272</v>
      </c>
      <c r="P1626" s="4" t="s">
        <v>2272</v>
      </c>
      <c r="Q1626" s="4" t="s">
        <v>2272</v>
      </c>
      <c r="R1626" s="4" t="s">
        <v>2272</v>
      </c>
      <c r="S1626" s="4" t="s">
        <v>2272</v>
      </c>
      <c r="T1626" s="4" t="s">
        <v>2272</v>
      </c>
      <c r="U1626" s="4" t="s">
        <v>2272</v>
      </c>
      <c r="V1626" s="4" t="s">
        <v>2272</v>
      </c>
      <c r="W1626" s="4" t="s">
        <v>2272</v>
      </c>
      <c r="X1626" s="4" t="s">
        <v>2272</v>
      </c>
      <c r="Y1626" s="4" t="s">
        <v>2272</v>
      </c>
      <c r="Z1626" s="4" t="s">
        <v>2272</v>
      </c>
      <c r="AA1626" s="4" t="s">
        <v>2272</v>
      </c>
      <c r="AB1626" s="3"/>
      <c r="AC1626" s="3"/>
    </row>
    <row r="1627" spans="1:29" ht="39" customHeight="1">
      <c r="A1627" s="147" t="str">
        <f>'Reported burning'!A1627</f>
        <v>193c</v>
      </c>
      <c r="B1627" s="147" t="str">
        <f>'Reported burning'!B1627</f>
        <v>193c.4</v>
      </c>
      <c r="C1627" s="147" t="str">
        <f>'Reported burning'!C1627</f>
        <v>Human, deliberate</v>
      </c>
      <c r="D1627" s="147" t="str">
        <f>'Reported burning'!D1627</f>
        <v>Pyrome management</v>
      </c>
      <c r="E1627" s="147" t="str">
        <f>'Reported burning'!E1627</f>
        <v>Forestry, Industrial</v>
      </c>
      <c r="F1627" s="147" t="str">
        <f>'Reported burning'!F1627</f>
        <v>Forest</v>
      </c>
      <c r="G1627" s="147" t="str">
        <f>'Reported burning'!G1627</f>
        <v>ND</v>
      </c>
      <c r="H1627" s="147"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t="s">
        <v>2272</v>
      </c>
      <c r="Y1627" s="4" t="s">
        <v>2272</v>
      </c>
      <c r="Z1627" s="4" t="s">
        <v>2272</v>
      </c>
      <c r="AA1627" s="4" t="s">
        <v>2272</v>
      </c>
      <c r="AB1627" s="4" t="s">
        <v>4827</v>
      </c>
      <c r="AC1627" s="3"/>
    </row>
    <row r="1628" spans="1:29" ht="39" customHeight="1">
      <c r="A1628" s="147" t="str">
        <f>'Reported burning'!A1628</f>
        <v>193d</v>
      </c>
      <c r="B1628" s="147" t="str">
        <f>'Reported burning'!B1628</f>
        <v>193d.4</v>
      </c>
      <c r="C1628" s="147" t="str">
        <f>'Reported burning'!C1628</f>
        <v>Human, deliberate</v>
      </c>
      <c r="D1628" s="147" t="str">
        <f>'Reported burning'!D1628</f>
        <v>Pyrome management</v>
      </c>
      <c r="E1628" s="147" t="str">
        <f>'Reported burning'!E1628</f>
        <v>Forestry, Industrial</v>
      </c>
      <c r="F1628" s="147" t="str">
        <f>'Reported burning'!F1628</f>
        <v>Forest</v>
      </c>
      <c r="G1628" s="147" t="str">
        <f>'Reported burning'!G1628</f>
        <v>ND</v>
      </c>
      <c r="H1628" s="147"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t="s">
        <v>2272</v>
      </c>
      <c r="Y1628" s="4" t="s">
        <v>2272</v>
      </c>
      <c r="Z1628" s="4" t="s">
        <v>2272</v>
      </c>
      <c r="AA1628" s="4" t="s">
        <v>2272</v>
      </c>
      <c r="AB1628" s="4" t="s">
        <v>4827</v>
      </c>
      <c r="AC1628" s="3"/>
    </row>
    <row r="1629" spans="1:29" ht="39" customHeight="1">
      <c r="A1629" s="147" t="str">
        <f>'Reported burning'!A1629</f>
        <v>193e</v>
      </c>
      <c r="B1629" s="147" t="str">
        <f>'Reported burning'!B1629</f>
        <v>193e.4</v>
      </c>
      <c r="C1629" s="147" t="str">
        <f>'Reported burning'!C1629</f>
        <v>Human, deliberate</v>
      </c>
      <c r="D1629" s="147" t="str">
        <f>'Reported burning'!D1629</f>
        <v>Pyrome management</v>
      </c>
      <c r="E1629" s="147" t="str">
        <f>'Reported burning'!E1629</f>
        <v>Forestry, Industrial</v>
      </c>
      <c r="F1629" s="147" t="str">
        <f>'Reported burning'!F1629</f>
        <v>Forest</v>
      </c>
      <c r="G1629" s="147" t="str">
        <f>'Reported burning'!G1629</f>
        <v>ND</v>
      </c>
      <c r="H1629" s="147"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t="s">
        <v>2272</v>
      </c>
      <c r="Y1629" s="4" t="s">
        <v>2272</v>
      </c>
      <c r="Z1629" s="4" t="s">
        <v>2272</v>
      </c>
      <c r="AA1629" s="4" t="s">
        <v>2272</v>
      </c>
      <c r="AB1629" s="4" t="s">
        <v>4827</v>
      </c>
      <c r="AC1629" s="3"/>
    </row>
    <row r="1630" spans="1:29" ht="47" customHeight="1">
      <c r="A1630" s="147" t="str">
        <f>'Reported burning'!A1630</f>
        <v>193a</v>
      </c>
      <c r="B1630" s="147" t="str">
        <f>'Reported burning'!B1630</f>
        <v>193a.5</v>
      </c>
      <c r="C1630" s="147" t="str">
        <f>'Reported burning'!C1630</f>
        <v>All</v>
      </c>
      <c r="D1630" s="147" t="str">
        <f>'Reported burning'!D1630</f>
        <v>ND</v>
      </c>
      <c r="E1630" s="147" t="str">
        <f>'Reported burning'!E1630</f>
        <v>ND</v>
      </c>
      <c r="F1630" s="147" t="str">
        <f>'Reported burning'!F1630</f>
        <v>ND</v>
      </c>
      <c r="G1630" s="147" t="str">
        <f>'Reported burning'!G1630</f>
        <v>Forest</v>
      </c>
      <c r="H1630" s="147" t="str">
        <f>'Reported burning'!H1630</f>
        <v>Presence</v>
      </c>
      <c r="I1630" s="3"/>
      <c r="J1630" s="4" t="s">
        <v>2272</v>
      </c>
      <c r="K1630" s="4" t="s">
        <v>2272</v>
      </c>
      <c r="L1630" s="4" t="s">
        <v>2272</v>
      </c>
      <c r="M1630" s="4" t="s">
        <v>2272</v>
      </c>
      <c r="N1630" s="4" t="s">
        <v>2272</v>
      </c>
      <c r="O1630" s="4" t="s">
        <v>2272</v>
      </c>
      <c r="P1630" s="4" t="s">
        <v>2272</v>
      </c>
      <c r="Q1630" s="4" t="s">
        <v>2272</v>
      </c>
      <c r="R1630" s="4" t="s">
        <v>2272</v>
      </c>
      <c r="S1630" s="4" t="s">
        <v>2272</v>
      </c>
      <c r="T1630" s="4" t="s">
        <v>2272</v>
      </c>
      <c r="U1630" s="4" t="s">
        <v>2272</v>
      </c>
      <c r="V1630" s="4" t="s">
        <v>2272</v>
      </c>
      <c r="W1630" s="3" t="s">
        <v>2369</v>
      </c>
      <c r="X1630" s="4" t="s">
        <v>2272</v>
      </c>
      <c r="Y1630" s="4" t="s">
        <v>2272</v>
      </c>
      <c r="Z1630" s="4" t="s">
        <v>2272</v>
      </c>
      <c r="AA1630" s="4" t="s">
        <v>2272</v>
      </c>
      <c r="AB1630" s="3"/>
      <c r="AC1630" s="4" t="s">
        <v>4830</v>
      </c>
    </row>
    <row r="1631" spans="1:29" ht="47" customHeight="1">
      <c r="A1631" s="147" t="str">
        <f>'Reported burning'!A1631</f>
        <v>193b</v>
      </c>
      <c r="B1631" s="147" t="str">
        <f>'Reported burning'!B1631</f>
        <v>193b.5</v>
      </c>
      <c r="C1631" s="147" t="str">
        <f>'Reported burning'!C1631</f>
        <v>All</v>
      </c>
      <c r="D1631" s="147" t="str">
        <f>'Reported burning'!D1631</f>
        <v>ND</v>
      </c>
      <c r="E1631" s="147" t="str">
        <f>'Reported burning'!E1631</f>
        <v>ND</v>
      </c>
      <c r="F1631" s="147" t="str">
        <f>'Reported burning'!F1631</f>
        <v>ND</v>
      </c>
      <c r="G1631" s="147" t="str">
        <f>'Reported burning'!G1631</f>
        <v>Forest</v>
      </c>
      <c r="H1631" s="147" t="str">
        <f>'Reported burning'!H1631</f>
        <v>Presence</v>
      </c>
      <c r="I1631" s="3"/>
      <c r="J1631" s="4" t="s">
        <v>2272</v>
      </c>
      <c r="K1631" s="4" t="s">
        <v>2272</v>
      </c>
      <c r="L1631" s="4" t="s">
        <v>2272</v>
      </c>
      <c r="M1631" s="4" t="s">
        <v>2272</v>
      </c>
      <c r="N1631" s="4" t="s">
        <v>2272</v>
      </c>
      <c r="O1631" s="4" t="s">
        <v>2272</v>
      </c>
      <c r="P1631" s="4" t="s">
        <v>2272</v>
      </c>
      <c r="Q1631" s="4" t="s">
        <v>2272</v>
      </c>
      <c r="R1631" s="4" t="s">
        <v>2272</v>
      </c>
      <c r="S1631" s="4" t="s">
        <v>2272</v>
      </c>
      <c r="T1631" s="4" t="s">
        <v>2272</v>
      </c>
      <c r="U1631" s="4" t="s">
        <v>2272</v>
      </c>
      <c r="V1631" s="4" t="s">
        <v>2272</v>
      </c>
      <c r="W1631" s="3" t="s">
        <v>2369</v>
      </c>
      <c r="X1631" s="4" t="s">
        <v>2272</v>
      </c>
      <c r="Y1631" s="4" t="s">
        <v>2272</v>
      </c>
      <c r="Z1631" s="4" t="s">
        <v>2272</v>
      </c>
      <c r="AA1631" s="4" t="s">
        <v>2272</v>
      </c>
      <c r="AB1631" s="3"/>
      <c r="AC1631" s="4" t="s">
        <v>4830</v>
      </c>
    </row>
    <row r="1632" spans="1:29" ht="47" customHeight="1">
      <c r="A1632" s="147" t="str">
        <f>'Reported burning'!A1632</f>
        <v>193c</v>
      </c>
      <c r="B1632" s="147" t="str">
        <f>'Reported burning'!B1632</f>
        <v>193c.5</v>
      </c>
      <c r="C1632" s="147" t="str">
        <f>'Reported burning'!C1632</f>
        <v>All</v>
      </c>
      <c r="D1632" s="147" t="str">
        <f>'Reported burning'!D1632</f>
        <v>ND</v>
      </c>
      <c r="E1632" s="147" t="str">
        <f>'Reported burning'!E1632</f>
        <v>ND</v>
      </c>
      <c r="F1632" s="147" t="str">
        <f>'Reported burning'!F1632</f>
        <v>ND</v>
      </c>
      <c r="G1632" s="147" t="str">
        <f>'Reported burning'!G1632</f>
        <v>Forest</v>
      </c>
      <c r="H1632" s="147" t="str">
        <f>'Reported burning'!H1632</f>
        <v>Presence</v>
      </c>
      <c r="I1632" s="3"/>
      <c r="J1632" s="4" t="s">
        <v>2272</v>
      </c>
      <c r="K1632" s="4" t="s">
        <v>2272</v>
      </c>
      <c r="L1632" s="4" t="s">
        <v>2272</v>
      </c>
      <c r="M1632" s="4" t="s">
        <v>2272</v>
      </c>
      <c r="N1632" s="4" t="s">
        <v>2272</v>
      </c>
      <c r="O1632" s="4" t="s">
        <v>2272</v>
      </c>
      <c r="P1632" s="4" t="s">
        <v>2272</v>
      </c>
      <c r="Q1632" s="4" t="s">
        <v>2272</v>
      </c>
      <c r="R1632" s="4" t="s">
        <v>2272</v>
      </c>
      <c r="S1632" s="4" t="s">
        <v>2272</v>
      </c>
      <c r="T1632" s="4" t="s">
        <v>2272</v>
      </c>
      <c r="U1632" s="4" t="s">
        <v>2272</v>
      </c>
      <c r="V1632" s="4" t="s">
        <v>2272</v>
      </c>
      <c r="W1632" s="4" t="s">
        <v>2272</v>
      </c>
      <c r="X1632" s="4" t="s">
        <v>2272</v>
      </c>
      <c r="Y1632" s="4" t="s">
        <v>2272</v>
      </c>
      <c r="Z1632" s="4" t="s">
        <v>2272</v>
      </c>
      <c r="AA1632" s="4" t="s">
        <v>2272</v>
      </c>
      <c r="AB1632" s="3"/>
      <c r="AC1632" s="3"/>
    </row>
    <row r="1633" spans="1:29" ht="47" customHeight="1">
      <c r="A1633" s="147" t="str">
        <f>'Reported burning'!A1633</f>
        <v>193d</v>
      </c>
      <c r="B1633" s="147" t="str">
        <f>'Reported burning'!B1633</f>
        <v>193d.5</v>
      </c>
      <c r="C1633" s="147" t="str">
        <f>'Reported burning'!C1633</f>
        <v>All</v>
      </c>
      <c r="D1633" s="147" t="str">
        <f>'Reported burning'!D1633</f>
        <v>ND</v>
      </c>
      <c r="E1633" s="147" t="str">
        <f>'Reported burning'!E1633</f>
        <v>ND</v>
      </c>
      <c r="F1633" s="147" t="str">
        <f>'Reported burning'!F1633</f>
        <v>ND</v>
      </c>
      <c r="G1633" s="147" t="str">
        <f>'Reported burning'!G1633</f>
        <v>Forest</v>
      </c>
      <c r="H1633" s="147" t="str">
        <f>'Reported burning'!H1633</f>
        <v>Presence</v>
      </c>
      <c r="I1633" s="3"/>
      <c r="J1633" s="4" t="s">
        <v>2272</v>
      </c>
      <c r="K1633" s="4" t="s">
        <v>2272</v>
      </c>
      <c r="L1633" s="4" t="s">
        <v>2272</v>
      </c>
      <c r="M1633" s="4" t="s">
        <v>2272</v>
      </c>
      <c r="N1633" s="4" t="s">
        <v>2272</v>
      </c>
      <c r="O1633" s="4" t="s">
        <v>2272</v>
      </c>
      <c r="P1633" s="4" t="s">
        <v>2272</v>
      </c>
      <c r="Q1633" s="4" t="s">
        <v>2272</v>
      </c>
      <c r="R1633" s="4" t="s">
        <v>2272</v>
      </c>
      <c r="S1633" s="4" t="s">
        <v>2272</v>
      </c>
      <c r="T1633" s="4" t="s">
        <v>2272</v>
      </c>
      <c r="U1633" s="4" t="s">
        <v>2272</v>
      </c>
      <c r="V1633" s="4" t="s">
        <v>2272</v>
      </c>
      <c r="W1633" s="4" t="s">
        <v>2272</v>
      </c>
      <c r="X1633" s="4" t="s">
        <v>2272</v>
      </c>
      <c r="Y1633" s="4" t="s">
        <v>2272</v>
      </c>
      <c r="Z1633" s="4" t="s">
        <v>2272</v>
      </c>
      <c r="AA1633" s="4" t="s">
        <v>2272</v>
      </c>
      <c r="AB1633" s="3"/>
      <c r="AC1633" s="3"/>
    </row>
    <row r="1634" spans="1:29" ht="47" customHeight="1">
      <c r="A1634" s="147" t="str">
        <f>'Reported burning'!A1634</f>
        <v>193e</v>
      </c>
      <c r="B1634" s="147" t="str">
        <f>'Reported burning'!B1634</f>
        <v>193e.5</v>
      </c>
      <c r="C1634" s="147" t="str">
        <f>'Reported burning'!C1634</f>
        <v>All</v>
      </c>
      <c r="D1634" s="147" t="str">
        <f>'Reported burning'!D1634</f>
        <v>ND</v>
      </c>
      <c r="E1634" s="147" t="str">
        <f>'Reported burning'!E1634</f>
        <v>ND</v>
      </c>
      <c r="F1634" s="147" t="str">
        <f>'Reported burning'!F1634</f>
        <v>ND</v>
      </c>
      <c r="G1634" s="147" t="str">
        <f>'Reported burning'!G1634</f>
        <v>Forest</v>
      </c>
      <c r="H1634" s="147" t="str">
        <f>'Reported burning'!H1634</f>
        <v>Presence</v>
      </c>
      <c r="I1634" s="3"/>
      <c r="J1634" s="4" t="s">
        <v>2272</v>
      </c>
      <c r="K1634" s="4" t="s">
        <v>2272</v>
      </c>
      <c r="L1634" s="4" t="s">
        <v>2272</v>
      </c>
      <c r="M1634" s="4" t="s">
        <v>2272</v>
      </c>
      <c r="N1634" s="4" t="s">
        <v>2272</v>
      </c>
      <c r="O1634" s="4" t="s">
        <v>2272</v>
      </c>
      <c r="P1634" s="4" t="s">
        <v>2272</v>
      </c>
      <c r="Q1634" s="4" t="s">
        <v>2272</v>
      </c>
      <c r="R1634" s="4" t="s">
        <v>2272</v>
      </c>
      <c r="S1634" s="4" t="s">
        <v>2272</v>
      </c>
      <c r="T1634" s="4" t="s">
        <v>2272</v>
      </c>
      <c r="U1634" s="4" t="s">
        <v>2272</v>
      </c>
      <c r="V1634" s="4" t="s">
        <v>2272</v>
      </c>
      <c r="W1634" s="4" t="s">
        <v>2272</v>
      </c>
      <c r="X1634" s="4" t="s">
        <v>2272</v>
      </c>
      <c r="Y1634" s="4" t="s">
        <v>2272</v>
      </c>
      <c r="Z1634" s="4" t="s">
        <v>2272</v>
      </c>
      <c r="AA1634" s="4" t="s">
        <v>2272</v>
      </c>
      <c r="AB1634" s="3"/>
      <c r="AC1634" s="3"/>
    </row>
    <row r="1635" spans="1:29" ht="54.5" customHeight="1">
      <c r="A1635" s="147" t="str">
        <f>'Reported burning'!A1635</f>
        <v>195a</v>
      </c>
      <c r="B1635" s="147" t="str">
        <f>'Reported burning'!B1635</f>
        <v>195a.1</v>
      </c>
      <c r="C1635" s="147" t="str">
        <f>'Reported burning'!C1635</f>
        <v>Human, deliberate</v>
      </c>
      <c r="D1635" s="147" t="str">
        <f>'Reported burning'!D1635</f>
        <v>ND</v>
      </c>
      <c r="E1635" s="147" t="str">
        <f>'Reported burning'!E1635</f>
        <v>Cattle, Extensive</v>
      </c>
      <c r="F1635" s="147" t="str">
        <f>'Reported burning'!F1635</f>
        <v>ND</v>
      </c>
      <c r="G1635" s="147" t="str">
        <f>'Reported burning'!G1635</f>
        <v>Shrubland (Mixed forest &amp; grassland)</v>
      </c>
      <c r="H1635" s="147" t="str">
        <f>'Reported burning'!H1635</f>
        <v>Presence</v>
      </c>
      <c r="I1635" s="3"/>
      <c r="J1635" s="4" t="s">
        <v>2272</v>
      </c>
      <c r="K1635" s="4" t="s">
        <v>2272</v>
      </c>
      <c r="L1635" s="4" t="s">
        <v>2272</v>
      </c>
      <c r="M1635" s="4" t="s">
        <v>2272</v>
      </c>
      <c r="N1635" s="4" t="s">
        <v>2272</v>
      </c>
      <c r="O1635" s="4" t="s">
        <v>2272</v>
      </c>
      <c r="P1635" s="4" t="s">
        <v>2272</v>
      </c>
      <c r="Q1635" s="4" t="s">
        <v>2272</v>
      </c>
      <c r="R1635" s="4" t="s">
        <v>2272</v>
      </c>
      <c r="S1635" s="4" t="s">
        <v>2272</v>
      </c>
      <c r="T1635" s="4" t="s">
        <v>2272</v>
      </c>
      <c r="U1635" s="4" t="s">
        <v>2272</v>
      </c>
      <c r="V1635" s="4" t="s">
        <v>2272</v>
      </c>
      <c r="W1635" s="4" t="s">
        <v>2272</v>
      </c>
      <c r="X1635" s="4" t="s">
        <v>2272</v>
      </c>
      <c r="Y1635" s="4" t="s">
        <v>2272</v>
      </c>
      <c r="Z1635" s="4" t="s">
        <v>2272</v>
      </c>
      <c r="AA1635" s="4" t="s">
        <v>2272</v>
      </c>
      <c r="AB1635" s="4"/>
      <c r="AC1635" s="4"/>
    </row>
    <row r="1636" spans="1:29" ht="49" customHeight="1">
      <c r="A1636" s="147" t="str">
        <f>'Reported burning'!A1636</f>
        <v>195b</v>
      </c>
      <c r="B1636" s="147" t="str">
        <f>'Reported burning'!B1636</f>
        <v>195b.1</v>
      </c>
      <c r="C1636" s="147" t="str">
        <f>'Reported burning'!C1636</f>
        <v>Human, deliberate</v>
      </c>
      <c r="D1636" s="147" t="str">
        <f>'Reported burning'!D1636</f>
        <v>ND</v>
      </c>
      <c r="E1636" s="147" t="str">
        <f>'Reported burning'!E1636</f>
        <v>Cattle, Extensive</v>
      </c>
      <c r="F1636" s="147" t="str">
        <f>'Reported burning'!F1636</f>
        <v>ND</v>
      </c>
      <c r="G1636" s="147" t="str">
        <f>'Reported burning'!G1636</f>
        <v>Shrubland (Mixed forest &amp; grassland)</v>
      </c>
      <c r="H1636" s="147" t="str">
        <f>'Reported burning'!H1636</f>
        <v>Presence</v>
      </c>
      <c r="I1636" s="3"/>
      <c r="J1636" s="4" t="s">
        <v>2272</v>
      </c>
      <c r="K1636" s="4" t="s">
        <v>2272</v>
      </c>
      <c r="L1636" s="4" t="s">
        <v>2272</v>
      </c>
      <c r="M1636" s="4" t="s">
        <v>2272</v>
      </c>
      <c r="N1636" s="4" t="s">
        <v>2272</v>
      </c>
      <c r="O1636" s="4" t="s">
        <v>2272</v>
      </c>
      <c r="P1636" s="4" t="s">
        <v>2272</v>
      </c>
      <c r="Q1636" s="4" t="s">
        <v>2272</v>
      </c>
      <c r="R1636" s="4" t="s">
        <v>2272</v>
      </c>
      <c r="S1636" s="4" t="s">
        <v>2272</v>
      </c>
      <c r="T1636" s="4" t="s">
        <v>2272</v>
      </c>
      <c r="U1636" s="4" t="s">
        <v>2272</v>
      </c>
      <c r="V1636" s="4" t="s">
        <v>2272</v>
      </c>
      <c r="W1636" s="4" t="s">
        <v>2272</v>
      </c>
      <c r="X1636" s="4" t="s">
        <v>2272</v>
      </c>
      <c r="Y1636" s="4" t="s">
        <v>2272</v>
      </c>
      <c r="Z1636" s="4" t="s">
        <v>2272</v>
      </c>
      <c r="AA1636" s="4" t="s">
        <v>2272</v>
      </c>
      <c r="AB1636" s="3"/>
      <c r="AC1636" s="3"/>
    </row>
    <row r="1637" spans="1:29" ht="49" customHeight="1">
      <c r="A1637" s="147" t="str">
        <f>'Reported burning'!A1637</f>
        <v>195c</v>
      </c>
      <c r="B1637" s="147" t="str">
        <f>'Reported burning'!B1637</f>
        <v>195c.1</v>
      </c>
      <c r="C1637" s="147" t="str">
        <f>'Reported burning'!C1637</f>
        <v>Human, deliberate</v>
      </c>
      <c r="D1637" s="147" t="str">
        <f>'Reported burning'!D1637</f>
        <v>ND</v>
      </c>
      <c r="E1637" s="147" t="str">
        <f>'Reported burning'!E1637</f>
        <v>Cattle, Extensive</v>
      </c>
      <c r="F1637" s="147" t="str">
        <f>'Reported burning'!F1637</f>
        <v>ND</v>
      </c>
      <c r="G1637" s="147" t="str">
        <f>'Reported burning'!G1637</f>
        <v>Shrubland (Mixed forest &amp; grassland)</v>
      </c>
      <c r="H1637" s="147" t="str">
        <f>'Reported burning'!H1637</f>
        <v>Presence</v>
      </c>
      <c r="I1637" s="3"/>
      <c r="J1637" s="4" t="s">
        <v>2272</v>
      </c>
      <c r="K1637" s="4" t="s">
        <v>2272</v>
      </c>
      <c r="L1637" s="4" t="s">
        <v>2272</v>
      </c>
      <c r="M1637" s="4" t="s">
        <v>2272</v>
      </c>
      <c r="N1637" s="4" t="s">
        <v>2272</v>
      </c>
      <c r="O1637" s="4" t="s">
        <v>2272</v>
      </c>
      <c r="P1637" s="4" t="s">
        <v>2272</v>
      </c>
      <c r="Q1637" s="4" t="s">
        <v>2272</v>
      </c>
      <c r="R1637" s="4" t="s">
        <v>2272</v>
      </c>
      <c r="S1637" s="4" t="s">
        <v>2272</v>
      </c>
      <c r="T1637" s="4" t="s">
        <v>2272</v>
      </c>
      <c r="U1637" s="4" t="s">
        <v>2272</v>
      </c>
      <c r="V1637" s="4" t="s">
        <v>2272</v>
      </c>
      <c r="W1637" s="4" t="s">
        <v>2272</v>
      </c>
      <c r="X1637" s="4" t="s">
        <v>2272</v>
      </c>
      <c r="Y1637" s="4" t="s">
        <v>2272</v>
      </c>
      <c r="Z1637" s="4" t="s">
        <v>2272</v>
      </c>
      <c r="AA1637" s="4" t="s">
        <v>2272</v>
      </c>
      <c r="AB1637" s="3"/>
      <c r="AC1637" s="3"/>
    </row>
    <row r="1638" spans="1:29" ht="49" customHeight="1">
      <c r="A1638" s="147" t="str">
        <f>'Reported burning'!A1638</f>
        <v>195d</v>
      </c>
      <c r="B1638" s="147" t="str">
        <f>'Reported burning'!B1638</f>
        <v>195d.1</v>
      </c>
      <c r="C1638" s="147" t="str">
        <f>'Reported burning'!C1638</f>
        <v>Human, deliberate</v>
      </c>
      <c r="D1638" s="147" t="str">
        <f>'Reported burning'!D1638</f>
        <v>ND</v>
      </c>
      <c r="E1638" s="147" t="str">
        <f>'Reported burning'!E1638</f>
        <v>Cattle, Extensive</v>
      </c>
      <c r="F1638" s="147" t="str">
        <f>'Reported burning'!F1638</f>
        <v>ND</v>
      </c>
      <c r="G1638" s="147" t="str">
        <f>'Reported burning'!G1638</f>
        <v>Shrubland (Mixed forest &amp; grassland)</v>
      </c>
      <c r="H1638" s="147" t="str">
        <f>'Reported burning'!H1638</f>
        <v>Presence</v>
      </c>
      <c r="I1638" s="3"/>
      <c r="J1638" s="4" t="s">
        <v>2272</v>
      </c>
      <c r="K1638" s="4" t="s">
        <v>2272</v>
      </c>
      <c r="L1638" s="4" t="s">
        <v>2272</v>
      </c>
      <c r="M1638" s="4" t="s">
        <v>2272</v>
      </c>
      <c r="N1638" s="4" t="s">
        <v>2272</v>
      </c>
      <c r="O1638" s="4" t="s">
        <v>2272</v>
      </c>
      <c r="P1638" s="4" t="s">
        <v>2272</v>
      </c>
      <c r="Q1638" s="4" t="s">
        <v>2272</v>
      </c>
      <c r="R1638" s="4" t="s">
        <v>2272</v>
      </c>
      <c r="S1638" s="4" t="s">
        <v>2272</v>
      </c>
      <c r="T1638" s="4" t="s">
        <v>2272</v>
      </c>
      <c r="U1638" s="4" t="s">
        <v>2272</v>
      </c>
      <c r="V1638" s="4" t="s">
        <v>2272</v>
      </c>
      <c r="W1638" s="4" t="s">
        <v>2272</v>
      </c>
      <c r="X1638" s="4" t="s">
        <v>2272</v>
      </c>
      <c r="Y1638" s="4" t="s">
        <v>2272</v>
      </c>
      <c r="Z1638" s="4" t="s">
        <v>2272</v>
      </c>
      <c r="AA1638" s="4" t="s">
        <v>2272</v>
      </c>
      <c r="AB1638" s="3"/>
      <c r="AC1638" s="3"/>
    </row>
    <row r="1639" spans="1:29" ht="49" customHeight="1">
      <c r="A1639" s="147" t="str">
        <f>'Reported burning'!A1639</f>
        <v>195e</v>
      </c>
      <c r="B1639" s="147" t="str">
        <f>'Reported burning'!B1639</f>
        <v>195e.1</v>
      </c>
      <c r="C1639" s="147" t="str">
        <f>'Reported burning'!C1639</f>
        <v>Human, deliberate</v>
      </c>
      <c r="D1639" s="147" t="str">
        <f>'Reported burning'!D1639</f>
        <v>ND</v>
      </c>
      <c r="E1639" s="147" t="str">
        <f>'Reported burning'!E1639</f>
        <v>Cattle, Extensive</v>
      </c>
      <c r="F1639" s="147" t="str">
        <f>'Reported burning'!F1639</f>
        <v>ND</v>
      </c>
      <c r="G1639" s="147" t="str">
        <f>'Reported burning'!G1639</f>
        <v>Shrubland (Mixed forest &amp; grassland)</v>
      </c>
      <c r="H1639" s="147" t="str">
        <f>'Reported burning'!H1639</f>
        <v>Presence</v>
      </c>
      <c r="I1639" s="3"/>
      <c r="J1639" s="4" t="s">
        <v>2272</v>
      </c>
      <c r="K1639" s="4" t="s">
        <v>2272</v>
      </c>
      <c r="L1639" s="4" t="s">
        <v>2272</v>
      </c>
      <c r="M1639" s="4" t="s">
        <v>2272</v>
      </c>
      <c r="N1639" s="4" t="s">
        <v>2272</v>
      </c>
      <c r="O1639" s="4" t="s">
        <v>2272</v>
      </c>
      <c r="P1639" s="4" t="s">
        <v>2272</v>
      </c>
      <c r="Q1639" s="4" t="s">
        <v>2272</v>
      </c>
      <c r="R1639" s="4" t="s">
        <v>2272</v>
      </c>
      <c r="S1639" s="4" t="s">
        <v>2272</v>
      </c>
      <c r="T1639" s="4" t="s">
        <v>2272</v>
      </c>
      <c r="U1639" s="4" t="s">
        <v>2272</v>
      </c>
      <c r="V1639" s="4" t="s">
        <v>2272</v>
      </c>
      <c r="W1639" s="4" t="s">
        <v>2272</v>
      </c>
      <c r="X1639" s="4" t="s">
        <v>2272</v>
      </c>
      <c r="Y1639" s="4" t="s">
        <v>2272</v>
      </c>
      <c r="Z1639" s="4" t="s">
        <v>2272</v>
      </c>
      <c r="AA1639" s="4" t="s">
        <v>2272</v>
      </c>
      <c r="AB1639" s="3"/>
      <c r="AC1639" s="3"/>
    </row>
    <row r="1640" spans="1:29" ht="49" customHeight="1">
      <c r="A1640" s="147" t="str">
        <f>'Reported burning'!A1640</f>
        <v>195f</v>
      </c>
      <c r="B1640" s="147" t="str">
        <f>'Reported burning'!B1640</f>
        <v>195f.1</v>
      </c>
      <c r="C1640" s="147" t="str">
        <f>'Reported burning'!C1640</f>
        <v>Human, deliberate</v>
      </c>
      <c r="D1640" s="147" t="str">
        <f>'Reported burning'!D1640</f>
        <v>ND</v>
      </c>
      <c r="E1640" s="147" t="str">
        <f>'Reported burning'!E1640</f>
        <v>Cattle, Extensive</v>
      </c>
      <c r="F1640" s="147" t="str">
        <f>'Reported burning'!F1640</f>
        <v>ND</v>
      </c>
      <c r="G1640" s="147" t="str">
        <f>'Reported burning'!G1640</f>
        <v>Shrubland (Mixed forest &amp; grassland)</v>
      </c>
      <c r="H1640" s="147" t="str">
        <f>'Reported burning'!H1640</f>
        <v>Presence</v>
      </c>
      <c r="I1640" s="3"/>
      <c r="J1640" s="4" t="s">
        <v>2272</v>
      </c>
      <c r="K1640" s="4" t="s">
        <v>2272</v>
      </c>
      <c r="L1640" s="4" t="s">
        <v>2272</v>
      </c>
      <c r="M1640" s="4" t="s">
        <v>2272</v>
      </c>
      <c r="N1640" s="4" t="s">
        <v>2272</v>
      </c>
      <c r="O1640" s="4" t="s">
        <v>2272</v>
      </c>
      <c r="P1640" s="4" t="s">
        <v>2272</v>
      </c>
      <c r="Q1640" s="4" t="s">
        <v>2272</v>
      </c>
      <c r="R1640" s="4" t="s">
        <v>2272</v>
      </c>
      <c r="S1640" s="4" t="s">
        <v>2272</v>
      </c>
      <c r="T1640" s="4" t="s">
        <v>2272</v>
      </c>
      <c r="U1640" s="4" t="s">
        <v>2272</v>
      </c>
      <c r="V1640" s="4" t="s">
        <v>2272</v>
      </c>
      <c r="W1640" s="4" t="s">
        <v>2272</v>
      </c>
      <c r="X1640" s="4" t="s">
        <v>2272</v>
      </c>
      <c r="Y1640" s="4" t="s">
        <v>2272</v>
      </c>
      <c r="Z1640" s="4" t="s">
        <v>2272</v>
      </c>
      <c r="AA1640" s="4" t="s">
        <v>2272</v>
      </c>
      <c r="AB1640" s="3"/>
      <c r="AC1640" s="3"/>
    </row>
    <row r="1641" spans="1:29" ht="49" customHeight="1">
      <c r="A1641" s="147" t="str">
        <f>'Reported burning'!A1641</f>
        <v>195g</v>
      </c>
      <c r="B1641" s="147" t="str">
        <f>'Reported burning'!B1641</f>
        <v>195g.1</v>
      </c>
      <c r="C1641" s="147" t="str">
        <f>'Reported burning'!C1641</f>
        <v>Human, deliberate</v>
      </c>
      <c r="D1641" s="147" t="str">
        <f>'Reported burning'!D1641</f>
        <v>ND</v>
      </c>
      <c r="E1641" s="147" t="str">
        <f>'Reported burning'!E1641</f>
        <v>Cattle, Extensive</v>
      </c>
      <c r="F1641" s="147" t="str">
        <f>'Reported burning'!F1641</f>
        <v>ND</v>
      </c>
      <c r="G1641" s="147" t="str">
        <f>'Reported burning'!G1641</f>
        <v>Shrubland (Mixed forest &amp; grassland)</v>
      </c>
      <c r="H1641" s="147" t="str">
        <f>'Reported burning'!H1641</f>
        <v>Presence</v>
      </c>
      <c r="I1641" s="3"/>
      <c r="J1641" s="4" t="s">
        <v>2272</v>
      </c>
      <c r="K1641" s="4" t="s">
        <v>2272</v>
      </c>
      <c r="L1641" s="4" t="s">
        <v>2272</v>
      </c>
      <c r="M1641" s="4" t="s">
        <v>2272</v>
      </c>
      <c r="N1641" s="4" t="s">
        <v>2272</v>
      </c>
      <c r="O1641" s="4" t="s">
        <v>2272</v>
      </c>
      <c r="P1641" s="4" t="s">
        <v>2272</v>
      </c>
      <c r="Q1641" s="4" t="s">
        <v>2272</v>
      </c>
      <c r="R1641" s="4" t="s">
        <v>2272</v>
      </c>
      <c r="S1641" s="4" t="s">
        <v>2272</v>
      </c>
      <c r="T1641" s="4" t="s">
        <v>2272</v>
      </c>
      <c r="U1641" s="4" t="s">
        <v>2272</v>
      </c>
      <c r="V1641" s="4" t="s">
        <v>2272</v>
      </c>
      <c r="W1641" s="4" t="s">
        <v>2272</v>
      </c>
      <c r="X1641" s="4" t="s">
        <v>2272</v>
      </c>
      <c r="Y1641" s="4" t="s">
        <v>2272</v>
      </c>
      <c r="Z1641" s="4" t="s">
        <v>2272</v>
      </c>
      <c r="AA1641" s="4" t="s">
        <v>2272</v>
      </c>
      <c r="AB1641" s="3"/>
      <c r="AC1641" s="3"/>
    </row>
    <row r="1642" spans="1:29" ht="49" customHeight="1">
      <c r="A1642" s="147" t="str">
        <f>'Reported burning'!A1642</f>
        <v>195h</v>
      </c>
      <c r="B1642" s="147" t="str">
        <f>'Reported burning'!B1642</f>
        <v>195h.1</v>
      </c>
      <c r="C1642" s="147" t="str">
        <f>'Reported burning'!C1642</f>
        <v>Human, deliberate</v>
      </c>
      <c r="D1642" s="147" t="str">
        <f>'Reported burning'!D1642</f>
        <v>ND</v>
      </c>
      <c r="E1642" s="147" t="str">
        <f>'Reported burning'!E1642</f>
        <v>Cattle, Extensive</v>
      </c>
      <c r="F1642" s="147" t="str">
        <f>'Reported burning'!F1642</f>
        <v>ND</v>
      </c>
      <c r="G1642" s="147" t="str">
        <f>'Reported burning'!G1642</f>
        <v>Shrubland (Mixed forest &amp; grassland)</v>
      </c>
      <c r="H1642" s="147" t="str">
        <f>'Reported burning'!H1642</f>
        <v>Presence</v>
      </c>
      <c r="I1642" s="3"/>
      <c r="J1642" s="4" t="s">
        <v>2272</v>
      </c>
      <c r="K1642" s="4" t="s">
        <v>2272</v>
      </c>
      <c r="L1642" s="4" t="s">
        <v>2272</v>
      </c>
      <c r="M1642" s="4" t="s">
        <v>2272</v>
      </c>
      <c r="N1642" s="4" t="s">
        <v>2272</v>
      </c>
      <c r="O1642" s="4" t="s">
        <v>2272</v>
      </c>
      <c r="P1642" s="4" t="s">
        <v>2272</v>
      </c>
      <c r="Q1642" s="4" t="s">
        <v>2272</v>
      </c>
      <c r="R1642" s="4" t="s">
        <v>2272</v>
      </c>
      <c r="S1642" s="4" t="s">
        <v>2272</v>
      </c>
      <c r="T1642" s="4" t="s">
        <v>2272</v>
      </c>
      <c r="U1642" s="4" t="s">
        <v>2272</v>
      </c>
      <c r="V1642" s="4" t="s">
        <v>2272</v>
      </c>
      <c r="W1642" s="4" t="s">
        <v>2272</v>
      </c>
      <c r="X1642" s="4" t="s">
        <v>2272</v>
      </c>
      <c r="Y1642" s="4" t="s">
        <v>2272</v>
      </c>
      <c r="Z1642" s="4" t="s">
        <v>2272</v>
      </c>
      <c r="AA1642" s="4" t="s">
        <v>2272</v>
      </c>
      <c r="AB1642" s="3"/>
      <c r="AC1642" s="3"/>
    </row>
    <row r="1643" spans="1:29" ht="49" customHeight="1">
      <c r="A1643" s="147" t="str">
        <f>'Reported burning'!A1643</f>
        <v>195i</v>
      </c>
      <c r="B1643" s="147" t="str">
        <f>'Reported burning'!B1643</f>
        <v>195i.1</v>
      </c>
      <c r="C1643" s="147" t="str">
        <f>'Reported burning'!C1643</f>
        <v>Human, deliberate</v>
      </c>
      <c r="D1643" s="147" t="str">
        <f>'Reported burning'!D1643</f>
        <v>ND</v>
      </c>
      <c r="E1643" s="147" t="str">
        <f>'Reported burning'!E1643</f>
        <v>Cattle, Extensive</v>
      </c>
      <c r="F1643" s="147" t="str">
        <f>'Reported burning'!F1643</f>
        <v>ND</v>
      </c>
      <c r="G1643" s="147" t="str">
        <f>'Reported burning'!G1643</f>
        <v>Shrubland (Mixed forest &amp; grassland)</v>
      </c>
      <c r="H1643" s="147" t="str">
        <f>'Reported burning'!H1643</f>
        <v>Presence</v>
      </c>
      <c r="I1643" s="3"/>
      <c r="J1643" s="4" t="s">
        <v>2272</v>
      </c>
      <c r="K1643" s="4" t="s">
        <v>2272</v>
      </c>
      <c r="L1643" s="4" t="s">
        <v>2272</v>
      </c>
      <c r="M1643" s="4" t="s">
        <v>2272</v>
      </c>
      <c r="N1643" s="4" t="s">
        <v>2272</v>
      </c>
      <c r="O1643" s="4" t="s">
        <v>2272</v>
      </c>
      <c r="P1643" s="4" t="s">
        <v>2272</v>
      </c>
      <c r="Q1643" s="4" t="s">
        <v>2272</v>
      </c>
      <c r="R1643" s="4" t="s">
        <v>2272</v>
      </c>
      <c r="S1643" s="4" t="s">
        <v>2272</v>
      </c>
      <c r="T1643" s="4" t="s">
        <v>2272</v>
      </c>
      <c r="U1643" s="4" t="s">
        <v>2272</v>
      </c>
      <c r="V1643" s="4" t="s">
        <v>2272</v>
      </c>
      <c r="W1643" s="4" t="s">
        <v>2272</v>
      </c>
      <c r="X1643" s="4" t="s">
        <v>2272</v>
      </c>
      <c r="Y1643" s="4" t="s">
        <v>2272</v>
      </c>
      <c r="Z1643" s="4" t="s">
        <v>2272</v>
      </c>
      <c r="AA1643" s="4" t="s">
        <v>2272</v>
      </c>
      <c r="AB1643" s="3"/>
      <c r="AC1643" s="3"/>
    </row>
    <row r="1644" spans="1:29" ht="49" customHeight="1">
      <c r="A1644" s="147" t="str">
        <f>'Reported burning'!A1644</f>
        <v>195j</v>
      </c>
      <c r="B1644" s="147" t="str">
        <f>'Reported burning'!B1644</f>
        <v>195j.1</v>
      </c>
      <c r="C1644" s="147" t="str">
        <f>'Reported burning'!C1644</f>
        <v>Human, deliberate</v>
      </c>
      <c r="D1644" s="147" t="str">
        <f>'Reported burning'!D1644</f>
        <v>ND</v>
      </c>
      <c r="E1644" s="147" t="str">
        <f>'Reported burning'!E1644</f>
        <v>Cattle, Extensive</v>
      </c>
      <c r="F1644" s="147" t="str">
        <f>'Reported burning'!F1644</f>
        <v>ND</v>
      </c>
      <c r="G1644" s="147" t="str">
        <f>'Reported burning'!G1644</f>
        <v>Shrubland (Mixed forest &amp; grassland)</v>
      </c>
      <c r="H1644" s="147" t="str">
        <f>'Reported burning'!H1644</f>
        <v>Presence</v>
      </c>
      <c r="I1644" s="3"/>
      <c r="J1644" s="4" t="s">
        <v>2272</v>
      </c>
      <c r="K1644" s="4" t="s">
        <v>2272</v>
      </c>
      <c r="L1644" s="4" t="s">
        <v>2272</v>
      </c>
      <c r="M1644" s="4" t="s">
        <v>2272</v>
      </c>
      <c r="N1644" s="4" t="s">
        <v>2272</v>
      </c>
      <c r="O1644" s="4" t="s">
        <v>2272</v>
      </c>
      <c r="P1644" s="4" t="s">
        <v>2272</v>
      </c>
      <c r="Q1644" s="4" t="s">
        <v>2272</v>
      </c>
      <c r="R1644" s="4" t="s">
        <v>2272</v>
      </c>
      <c r="S1644" s="4" t="s">
        <v>2272</v>
      </c>
      <c r="T1644" s="4" t="s">
        <v>2272</v>
      </c>
      <c r="U1644" s="4" t="s">
        <v>2272</v>
      </c>
      <c r="V1644" s="4" t="s">
        <v>2272</v>
      </c>
      <c r="W1644" s="4" t="s">
        <v>2272</v>
      </c>
      <c r="X1644" s="4" t="s">
        <v>2272</v>
      </c>
      <c r="Y1644" s="4" t="s">
        <v>2272</v>
      </c>
      <c r="Z1644" s="4" t="s">
        <v>2272</v>
      </c>
      <c r="AA1644" s="4" t="s">
        <v>2272</v>
      </c>
      <c r="AB1644" s="3"/>
      <c r="AC1644" s="3"/>
    </row>
    <row r="1645" spans="1:29" ht="49" customHeight="1">
      <c r="A1645" s="147" t="str">
        <f>'Reported burning'!A1645</f>
        <v>195k</v>
      </c>
      <c r="B1645" s="147" t="str">
        <f>'Reported burning'!B1645</f>
        <v>195k.1</v>
      </c>
      <c r="C1645" s="147" t="str">
        <f>'Reported burning'!C1645</f>
        <v>Human, deliberate</v>
      </c>
      <c r="D1645" s="147" t="str">
        <f>'Reported burning'!D1645</f>
        <v>ND</v>
      </c>
      <c r="E1645" s="147" t="str">
        <f>'Reported burning'!E1645</f>
        <v>Cattle, Extensive</v>
      </c>
      <c r="F1645" s="147" t="str">
        <f>'Reported burning'!F1645</f>
        <v>ND</v>
      </c>
      <c r="G1645" s="147" t="str">
        <f>'Reported burning'!G1645</f>
        <v>Shrubland (Mixed forest &amp; grassland)</v>
      </c>
      <c r="H1645" s="147" t="str">
        <f>'Reported burning'!H1645</f>
        <v>Presence</v>
      </c>
      <c r="I1645" s="3"/>
      <c r="J1645" s="4" t="s">
        <v>2272</v>
      </c>
      <c r="K1645" s="198" t="s">
        <v>2364</v>
      </c>
      <c r="L1645" s="4" t="s">
        <v>2272</v>
      </c>
      <c r="M1645" s="4" t="s">
        <v>2272</v>
      </c>
      <c r="N1645" s="4" t="s">
        <v>2272</v>
      </c>
      <c r="O1645" s="4" t="s">
        <v>2272</v>
      </c>
      <c r="P1645" s="4" t="s">
        <v>2272</v>
      </c>
      <c r="Q1645" s="4" t="s">
        <v>2272</v>
      </c>
      <c r="R1645" s="4" t="s">
        <v>2272</v>
      </c>
      <c r="S1645" s="4" t="s">
        <v>2272</v>
      </c>
      <c r="T1645" s="4" t="s">
        <v>2272</v>
      </c>
      <c r="U1645" s="4" t="s">
        <v>2272</v>
      </c>
      <c r="V1645" s="4" t="s">
        <v>2272</v>
      </c>
      <c r="W1645" s="4" t="s">
        <v>2272</v>
      </c>
      <c r="X1645" s="4" t="s">
        <v>2272</v>
      </c>
      <c r="Y1645" s="4" t="s">
        <v>2272</v>
      </c>
      <c r="Z1645" s="4" t="s">
        <v>2272</v>
      </c>
      <c r="AA1645" s="4" t="s">
        <v>2272</v>
      </c>
      <c r="AB1645" s="3"/>
      <c r="AC1645" s="3"/>
    </row>
    <row r="1646" spans="1:29" ht="49" customHeight="1">
      <c r="A1646" s="147" t="str">
        <f>'Reported burning'!A1646</f>
        <v>195l</v>
      </c>
      <c r="B1646" s="147" t="str">
        <f>'Reported burning'!B1646</f>
        <v>195l.1</v>
      </c>
      <c r="C1646" s="147" t="str">
        <f>'Reported burning'!C1646</f>
        <v>Human, deliberate</v>
      </c>
      <c r="D1646" s="147" t="str">
        <f>'Reported burning'!D1646</f>
        <v>ND</v>
      </c>
      <c r="E1646" s="147" t="str">
        <f>'Reported burning'!E1646</f>
        <v>Cattle, Extensive</v>
      </c>
      <c r="F1646" s="147" t="str">
        <f>'Reported burning'!F1646</f>
        <v>ND</v>
      </c>
      <c r="G1646" s="147" t="str">
        <f>'Reported burning'!G1646</f>
        <v>Shrubland (Mixed forest &amp; grassland)</v>
      </c>
      <c r="H1646" s="147" t="str">
        <f>'Reported burning'!H1646</f>
        <v>Presence</v>
      </c>
      <c r="I1646" s="3"/>
      <c r="J1646" s="4" t="s">
        <v>2272</v>
      </c>
      <c r="K1646" s="4" t="s">
        <v>2272</v>
      </c>
      <c r="L1646" s="4" t="s">
        <v>2272</v>
      </c>
      <c r="M1646" s="4" t="s">
        <v>2272</v>
      </c>
      <c r="N1646" s="4" t="s">
        <v>2272</v>
      </c>
      <c r="O1646" s="4" t="s">
        <v>2272</v>
      </c>
      <c r="P1646" s="4" t="s">
        <v>2272</v>
      </c>
      <c r="Q1646" s="4" t="s">
        <v>2272</v>
      </c>
      <c r="R1646" s="4" t="s">
        <v>2272</v>
      </c>
      <c r="S1646" s="4" t="s">
        <v>2272</v>
      </c>
      <c r="T1646" s="4" t="s">
        <v>2272</v>
      </c>
      <c r="U1646" s="4" t="s">
        <v>2272</v>
      </c>
      <c r="V1646" s="4" t="s">
        <v>2272</v>
      </c>
      <c r="W1646" s="4" t="s">
        <v>2272</v>
      </c>
      <c r="X1646" s="4" t="s">
        <v>2272</v>
      </c>
      <c r="Y1646" s="4" t="s">
        <v>2272</v>
      </c>
      <c r="Z1646" s="4" t="s">
        <v>2272</v>
      </c>
      <c r="AA1646" s="4" t="s">
        <v>2272</v>
      </c>
      <c r="AB1646" s="3"/>
      <c r="AC1646" s="3"/>
    </row>
    <row r="1647" spans="1:29" ht="49" customHeight="1">
      <c r="A1647" s="147" t="str">
        <f>'Reported burning'!A1647</f>
        <v>195m</v>
      </c>
      <c r="B1647" s="147" t="str">
        <f>'Reported burning'!B1647</f>
        <v>195m.1</v>
      </c>
      <c r="C1647" s="147" t="str">
        <f>'Reported burning'!C1647</f>
        <v>Human, deliberate</v>
      </c>
      <c r="D1647" s="147" t="str">
        <f>'Reported burning'!D1647</f>
        <v>ND</v>
      </c>
      <c r="E1647" s="147" t="str">
        <f>'Reported burning'!E1647</f>
        <v>Cattle, Extensive</v>
      </c>
      <c r="F1647" s="147" t="str">
        <f>'Reported burning'!F1647</f>
        <v>ND</v>
      </c>
      <c r="G1647" s="147" t="str">
        <f>'Reported burning'!G1647</f>
        <v>Shrubland (Mixed forest &amp; grassland)</v>
      </c>
      <c r="H1647" s="147" t="str">
        <f>'Reported burning'!H1647</f>
        <v>Presence</v>
      </c>
      <c r="I1647" s="3"/>
      <c r="J1647" s="4" t="s">
        <v>2272</v>
      </c>
      <c r="K1647" s="4" t="s">
        <v>2272</v>
      </c>
      <c r="L1647" s="4" t="s">
        <v>2272</v>
      </c>
      <c r="M1647" s="4" t="s">
        <v>2272</v>
      </c>
      <c r="N1647" s="4" t="s">
        <v>2272</v>
      </c>
      <c r="O1647" s="4" t="s">
        <v>2272</v>
      </c>
      <c r="P1647" s="4" t="s">
        <v>2272</v>
      </c>
      <c r="Q1647" s="4" t="s">
        <v>2272</v>
      </c>
      <c r="R1647" s="4" t="s">
        <v>2272</v>
      </c>
      <c r="S1647" s="4" t="s">
        <v>2272</v>
      </c>
      <c r="T1647" s="4" t="s">
        <v>2272</v>
      </c>
      <c r="U1647" s="4" t="s">
        <v>2272</v>
      </c>
      <c r="V1647" s="4" t="s">
        <v>2272</v>
      </c>
      <c r="W1647" s="4" t="s">
        <v>2272</v>
      </c>
      <c r="X1647" s="4" t="s">
        <v>2272</v>
      </c>
      <c r="Y1647" s="4" t="s">
        <v>2272</v>
      </c>
      <c r="Z1647" s="4" t="s">
        <v>2272</v>
      </c>
      <c r="AA1647" s="4" t="s">
        <v>2272</v>
      </c>
      <c r="AB1647" s="3"/>
      <c r="AC1647" s="3"/>
    </row>
    <row r="1648" spans="1:29" ht="49" customHeight="1">
      <c r="A1648" s="147" t="str">
        <f>'Reported burning'!A1648</f>
        <v>195n</v>
      </c>
      <c r="B1648" s="147" t="str">
        <f>'Reported burning'!B1648</f>
        <v>195n.1</v>
      </c>
      <c r="C1648" s="147" t="str">
        <f>'Reported burning'!C1648</f>
        <v>Human, deliberate</v>
      </c>
      <c r="D1648" s="147" t="str">
        <f>'Reported burning'!D1648</f>
        <v>ND</v>
      </c>
      <c r="E1648" s="147" t="str">
        <f>'Reported burning'!E1648</f>
        <v>Cattle, Extensive</v>
      </c>
      <c r="F1648" s="147" t="str">
        <f>'Reported burning'!F1648</f>
        <v>ND</v>
      </c>
      <c r="G1648" s="147" t="str">
        <f>'Reported burning'!G1648</f>
        <v>Shrubland (Mixed forest &amp; grassland)</v>
      </c>
      <c r="H1648" s="147" t="str">
        <f>'Reported burning'!H1648</f>
        <v>Presence</v>
      </c>
      <c r="I1648" s="3"/>
      <c r="J1648" s="4" t="s">
        <v>2272</v>
      </c>
      <c r="K1648" s="4" t="s">
        <v>2272</v>
      </c>
      <c r="L1648" s="4" t="s">
        <v>2272</v>
      </c>
      <c r="M1648" s="4" t="s">
        <v>2272</v>
      </c>
      <c r="N1648" s="4" t="s">
        <v>2272</v>
      </c>
      <c r="O1648" s="4" t="s">
        <v>2272</v>
      </c>
      <c r="P1648" s="4" t="s">
        <v>2272</v>
      </c>
      <c r="Q1648" s="4" t="s">
        <v>2272</v>
      </c>
      <c r="R1648" s="4" t="s">
        <v>2272</v>
      </c>
      <c r="S1648" s="4" t="s">
        <v>2272</v>
      </c>
      <c r="T1648" s="4" t="s">
        <v>2272</v>
      </c>
      <c r="U1648" s="4" t="s">
        <v>2272</v>
      </c>
      <c r="V1648" s="4" t="s">
        <v>2272</v>
      </c>
      <c r="W1648" s="4" t="s">
        <v>2272</v>
      </c>
      <c r="X1648" s="4" t="s">
        <v>2272</v>
      </c>
      <c r="Y1648" s="4" t="s">
        <v>2272</v>
      </c>
      <c r="Z1648" s="4" t="s">
        <v>2272</v>
      </c>
      <c r="AA1648" s="4" t="s">
        <v>2272</v>
      </c>
      <c r="AB1648" s="3"/>
      <c r="AC1648" s="3"/>
    </row>
    <row r="1649" spans="1:29" ht="49" customHeight="1">
      <c r="A1649" s="147" t="str">
        <f>'Reported burning'!A1649</f>
        <v>195o</v>
      </c>
      <c r="B1649" s="147" t="str">
        <f>'Reported burning'!B1649</f>
        <v>195o.1</v>
      </c>
      <c r="C1649" s="147" t="str">
        <f>'Reported burning'!C1649</f>
        <v>Human, deliberate</v>
      </c>
      <c r="D1649" s="147" t="str">
        <f>'Reported burning'!D1649</f>
        <v>ND</v>
      </c>
      <c r="E1649" s="147" t="str">
        <f>'Reported burning'!E1649</f>
        <v>Cattle, Extensive</v>
      </c>
      <c r="F1649" s="147" t="str">
        <f>'Reported burning'!F1649</f>
        <v>ND</v>
      </c>
      <c r="G1649" s="147" t="str">
        <f>'Reported burning'!G1649</f>
        <v>Shrubland (Mixed forest &amp; grassland)</v>
      </c>
      <c r="H1649" s="147" t="str">
        <f>'Reported burning'!H1649</f>
        <v>Absence</v>
      </c>
      <c r="I1649" s="3"/>
      <c r="J1649" s="21">
        <v>0</v>
      </c>
      <c r="K1649" s="21">
        <v>0</v>
      </c>
      <c r="L1649" s="21">
        <v>0</v>
      </c>
      <c r="M1649" s="21">
        <v>0</v>
      </c>
      <c r="N1649" s="21">
        <v>0</v>
      </c>
      <c r="O1649" s="21">
        <v>0</v>
      </c>
      <c r="P1649" s="21">
        <v>0</v>
      </c>
      <c r="Q1649" s="21">
        <v>0</v>
      </c>
      <c r="R1649" s="21">
        <v>0</v>
      </c>
      <c r="S1649" s="21">
        <v>0</v>
      </c>
      <c r="T1649" s="21">
        <v>0</v>
      </c>
      <c r="U1649" s="21">
        <v>0</v>
      </c>
      <c r="V1649" s="21">
        <v>0</v>
      </c>
      <c r="W1649" s="21">
        <v>0</v>
      </c>
      <c r="X1649" s="4" t="s">
        <v>2272</v>
      </c>
      <c r="Y1649" s="4" t="s">
        <v>2272</v>
      </c>
      <c r="Z1649" s="4" t="s">
        <v>2272</v>
      </c>
      <c r="AA1649" s="4" t="s">
        <v>2272</v>
      </c>
      <c r="AB1649" s="3"/>
      <c r="AC1649" s="3"/>
    </row>
    <row r="1650" spans="1:29" ht="49" customHeight="1">
      <c r="A1650" s="147" t="str">
        <f>'Reported burning'!A1650</f>
        <v>195p</v>
      </c>
      <c r="B1650" s="147" t="str">
        <f>'Reported burning'!B1650</f>
        <v>195p.1</v>
      </c>
      <c r="C1650" s="147" t="str">
        <f>'Reported burning'!C1650</f>
        <v>Human, deliberate</v>
      </c>
      <c r="D1650" s="147" t="str">
        <f>'Reported burning'!D1650</f>
        <v>ND</v>
      </c>
      <c r="E1650" s="147" t="str">
        <f>'Reported burning'!E1650</f>
        <v>Cattle, Extensive</v>
      </c>
      <c r="F1650" s="147" t="str">
        <f>'Reported burning'!F1650</f>
        <v>ND</v>
      </c>
      <c r="G1650" s="147" t="str">
        <f>'Reported burning'!G1650</f>
        <v>Shrubland (Mixed forest &amp; grassland)</v>
      </c>
      <c r="H1650" s="147" t="str">
        <f>'Reported burning'!H1650</f>
        <v>Presence</v>
      </c>
      <c r="I1650" s="3"/>
      <c r="J1650" s="4" t="s">
        <v>2272</v>
      </c>
      <c r="K1650" s="4" t="s">
        <v>2272</v>
      </c>
      <c r="L1650" s="4" t="s">
        <v>2272</v>
      </c>
      <c r="M1650" s="4" t="s">
        <v>2272</v>
      </c>
      <c r="N1650" s="4" t="s">
        <v>2272</v>
      </c>
      <c r="O1650" s="4" t="s">
        <v>2272</v>
      </c>
      <c r="P1650" s="4" t="s">
        <v>2272</v>
      </c>
      <c r="Q1650" s="4" t="s">
        <v>2272</v>
      </c>
      <c r="R1650" s="4" t="s">
        <v>2272</v>
      </c>
      <c r="S1650" s="4" t="s">
        <v>2272</v>
      </c>
      <c r="T1650" s="4" t="s">
        <v>2272</v>
      </c>
      <c r="U1650" s="4" t="s">
        <v>2272</v>
      </c>
      <c r="V1650" s="4" t="s">
        <v>2272</v>
      </c>
      <c r="W1650" s="4" t="s">
        <v>2272</v>
      </c>
      <c r="X1650" s="4" t="s">
        <v>2272</v>
      </c>
      <c r="Y1650" s="4" t="s">
        <v>2272</v>
      </c>
      <c r="Z1650" s="4" t="s">
        <v>2272</v>
      </c>
      <c r="AA1650" s="4" t="s">
        <v>2272</v>
      </c>
      <c r="AB1650" s="3"/>
      <c r="AC1650" s="3"/>
    </row>
    <row r="1651" spans="1:29" ht="49" customHeight="1">
      <c r="A1651" s="147" t="str">
        <f>'Reported burning'!A1651</f>
        <v>195q</v>
      </c>
      <c r="B1651" s="147" t="str">
        <f>'Reported burning'!B1651</f>
        <v>195q.1</v>
      </c>
      <c r="C1651" s="147" t="str">
        <f>'Reported burning'!C1651</f>
        <v>Human, deliberate</v>
      </c>
      <c r="D1651" s="147" t="str">
        <f>'Reported burning'!D1651</f>
        <v>ND</v>
      </c>
      <c r="E1651" s="147" t="str">
        <f>'Reported burning'!E1651</f>
        <v>Cattle, Extensive</v>
      </c>
      <c r="F1651" s="147" t="str">
        <f>'Reported burning'!F1651</f>
        <v>ND</v>
      </c>
      <c r="G1651" s="147" t="str">
        <f>'Reported burning'!G1651</f>
        <v>Shrubland (Mixed forest &amp; grassland)</v>
      </c>
      <c r="H1651" s="147" t="str">
        <f>'Reported burning'!H1651</f>
        <v>Presence</v>
      </c>
      <c r="I1651" s="3"/>
      <c r="J1651" s="4" t="s">
        <v>2272</v>
      </c>
      <c r="K1651" s="4" t="s">
        <v>2272</v>
      </c>
      <c r="L1651" s="4" t="s">
        <v>2272</v>
      </c>
      <c r="M1651" s="4" t="s">
        <v>2272</v>
      </c>
      <c r="N1651" s="4" t="s">
        <v>2272</v>
      </c>
      <c r="O1651" s="4" t="s">
        <v>2272</v>
      </c>
      <c r="P1651" s="4" t="s">
        <v>2272</v>
      </c>
      <c r="Q1651" s="4" t="s">
        <v>2272</v>
      </c>
      <c r="R1651" s="4" t="s">
        <v>2272</v>
      </c>
      <c r="S1651" s="4" t="s">
        <v>2272</v>
      </c>
      <c r="T1651" s="4" t="s">
        <v>2272</v>
      </c>
      <c r="U1651" s="4" t="s">
        <v>2272</v>
      </c>
      <c r="V1651" s="4" t="s">
        <v>2272</v>
      </c>
      <c r="W1651" s="4" t="s">
        <v>2272</v>
      </c>
      <c r="X1651" s="4" t="s">
        <v>2272</v>
      </c>
      <c r="Y1651" s="4" t="s">
        <v>2272</v>
      </c>
      <c r="Z1651" s="4" t="s">
        <v>2272</v>
      </c>
      <c r="AA1651" s="4" t="s">
        <v>2272</v>
      </c>
      <c r="AB1651" s="3"/>
      <c r="AC1651" s="3"/>
    </row>
    <row r="1652" spans="1:29" ht="49" customHeight="1">
      <c r="A1652" s="147" t="str">
        <f>'Reported burning'!A1652</f>
        <v>195r</v>
      </c>
      <c r="B1652" s="147" t="str">
        <f>'Reported burning'!B1652</f>
        <v>195r.1</v>
      </c>
      <c r="C1652" s="147" t="str">
        <f>'Reported burning'!C1652</f>
        <v>Human, deliberate</v>
      </c>
      <c r="D1652" s="147" t="str">
        <f>'Reported burning'!D1652</f>
        <v>ND</v>
      </c>
      <c r="E1652" s="147" t="str">
        <f>'Reported burning'!E1652</f>
        <v>Cattle, Extensive</v>
      </c>
      <c r="F1652" s="147" t="str">
        <f>'Reported burning'!F1652</f>
        <v>ND</v>
      </c>
      <c r="G1652" s="147" t="str">
        <f>'Reported burning'!G1652</f>
        <v>Shrubland (Mixed forest &amp; grassland)</v>
      </c>
      <c r="H1652" s="147" t="str">
        <f>'Reported burning'!H1652</f>
        <v>Presence</v>
      </c>
      <c r="I1652" s="3"/>
      <c r="J1652" s="4" t="s">
        <v>2272</v>
      </c>
      <c r="K1652" s="4" t="s">
        <v>2272</v>
      </c>
      <c r="L1652" s="4" t="s">
        <v>2272</v>
      </c>
      <c r="M1652" s="4" t="s">
        <v>2272</v>
      </c>
      <c r="N1652" s="4" t="s">
        <v>2272</v>
      </c>
      <c r="O1652" s="4" t="s">
        <v>2272</v>
      </c>
      <c r="P1652" s="4" t="s">
        <v>2272</v>
      </c>
      <c r="Q1652" s="4" t="s">
        <v>2272</v>
      </c>
      <c r="R1652" s="4" t="s">
        <v>2272</v>
      </c>
      <c r="S1652" s="4" t="s">
        <v>2272</v>
      </c>
      <c r="T1652" s="4" t="s">
        <v>2272</v>
      </c>
      <c r="U1652" s="4" t="s">
        <v>2272</v>
      </c>
      <c r="V1652" s="4" t="s">
        <v>2272</v>
      </c>
      <c r="W1652" s="4" t="s">
        <v>2272</v>
      </c>
      <c r="X1652" s="4" t="s">
        <v>2272</v>
      </c>
      <c r="Y1652" s="4" t="s">
        <v>2272</v>
      </c>
      <c r="Z1652" s="4" t="s">
        <v>2272</v>
      </c>
      <c r="AA1652" s="4" t="s">
        <v>2272</v>
      </c>
      <c r="AB1652" s="3"/>
      <c r="AC1652" s="3"/>
    </row>
    <row r="1653" spans="1:29" ht="49" customHeight="1">
      <c r="A1653" s="147" t="str">
        <f>'Reported burning'!A1653</f>
        <v>195s</v>
      </c>
      <c r="B1653" s="147" t="str">
        <f>'Reported burning'!B1653</f>
        <v>195s.1</v>
      </c>
      <c r="C1653" s="147" t="str">
        <f>'Reported burning'!C1653</f>
        <v>Human, deliberate</v>
      </c>
      <c r="D1653" s="147" t="str">
        <f>'Reported burning'!D1653</f>
        <v>ND</v>
      </c>
      <c r="E1653" s="147" t="str">
        <f>'Reported burning'!E1653</f>
        <v>Cattle, Extensive</v>
      </c>
      <c r="F1653" s="147" t="str">
        <f>'Reported burning'!F1653</f>
        <v>ND</v>
      </c>
      <c r="G1653" s="147" t="str">
        <f>'Reported burning'!G1653</f>
        <v>Shrubland (Mixed forest &amp; grassland)</v>
      </c>
      <c r="H1653" s="147" t="str">
        <f>'Reported burning'!H1653</f>
        <v>Presence</v>
      </c>
      <c r="I1653" s="3"/>
      <c r="J1653" s="4" t="s">
        <v>2272</v>
      </c>
      <c r="K1653" s="4" t="s">
        <v>2272</v>
      </c>
      <c r="L1653" s="4" t="s">
        <v>2272</v>
      </c>
      <c r="M1653" s="4" t="s">
        <v>2272</v>
      </c>
      <c r="N1653" s="4" t="s">
        <v>2272</v>
      </c>
      <c r="O1653" s="4" t="s">
        <v>2272</v>
      </c>
      <c r="P1653" s="4" t="s">
        <v>2272</v>
      </c>
      <c r="Q1653" s="4" t="s">
        <v>2272</v>
      </c>
      <c r="R1653" s="4" t="s">
        <v>2272</v>
      </c>
      <c r="S1653" s="4" t="s">
        <v>2272</v>
      </c>
      <c r="T1653" s="4" t="s">
        <v>2272</v>
      </c>
      <c r="U1653" s="4" t="s">
        <v>2272</v>
      </c>
      <c r="V1653" s="4" t="s">
        <v>2272</v>
      </c>
      <c r="W1653" s="4" t="s">
        <v>2272</v>
      </c>
      <c r="X1653" s="4" t="s">
        <v>2272</v>
      </c>
      <c r="Y1653" s="4" t="s">
        <v>2272</v>
      </c>
      <c r="Z1653" s="4" t="s">
        <v>2272</v>
      </c>
      <c r="AA1653" s="4" t="s">
        <v>2272</v>
      </c>
      <c r="AB1653" s="3"/>
      <c r="AC1653" s="3"/>
    </row>
    <row r="1654" spans="1:29" ht="49" customHeight="1">
      <c r="A1654" s="147" t="str">
        <f>'Reported burning'!A1654</f>
        <v>195t</v>
      </c>
      <c r="B1654" s="147" t="str">
        <f>'Reported burning'!B1654</f>
        <v>195t.1</v>
      </c>
      <c r="C1654" s="147" t="str">
        <f>'Reported burning'!C1654</f>
        <v>Human, deliberate</v>
      </c>
      <c r="D1654" s="147" t="str">
        <f>'Reported burning'!D1654</f>
        <v>ND</v>
      </c>
      <c r="E1654" s="147" t="str">
        <f>'Reported burning'!E1654</f>
        <v>Cattle, Extensive</v>
      </c>
      <c r="F1654" s="147" t="str">
        <f>'Reported burning'!F1654</f>
        <v>ND</v>
      </c>
      <c r="G1654" s="147" t="str">
        <f>'Reported burning'!G1654</f>
        <v>Shrubland (Mixed forest &amp; grassland)</v>
      </c>
      <c r="H1654" s="147" t="str">
        <f>'Reported burning'!H1654</f>
        <v>Presence</v>
      </c>
      <c r="I1654" s="3"/>
      <c r="J1654" s="4" t="s">
        <v>2272</v>
      </c>
      <c r="K1654" s="4" t="s">
        <v>2272</v>
      </c>
      <c r="L1654" s="4" t="s">
        <v>2272</v>
      </c>
      <c r="M1654" s="4" t="s">
        <v>2272</v>
      </c>
      <c r="N1654" s="4" t="s">
        <v>2272</v>
      </c>
      <c r="O1654" s="4" t="s">
        <v>2272</v>
      </c>
      <c r="P1654" s="4" t="s">
        <v>2272</v>
      </c>
      <c r="Q1654" s="4" t="s">
        <v>2272</v>
      </c>
      <c r="R1654" s="4" t="s">
        <v>2272</v>
      </c>
      <c r="S1654" s="4" t="s">
        <v>2272</v>
      </c>
      <c r="T1654" s="4" t="s">
        <v>2272</v>
      </c>
      <c r="U1654" s="4" t="s">
        <v>2272</v>
      </c>
      <c r="V1654" s="4" t="s">
        <v>2272</v>
      </c>
      <c r="W1654" s="4" t="s">
        <v>2272</v>
      </c>
      <c r="X1654" s="4" t="s">
        <v>2272</v>
      </c>
      <c r="Y1654" s="4" t="s">
        <v>2272</v>
      </c>
      <c r="Z1654" s="4" t="s">
        <v>2272</v>
      </c>
      <c r="AA1654" s="4" t="s">
        <v>2272</v>
      </c>
      <c r="AB1654" s="3"/>
      <c r="AC1654" s="3"/>
    </row>
    <row r="1655" spans="1:29" ht="49" customHeight="1">
      <c r="A1655" s="147" t="str">
        <f>'Reported burning'!A1655</f>
        <v>195u</v>
      </c>
      <c r="B1655" s="147" t="str">
        <f>'Reported burning'!B1655</f>
        <v>195u.1</v>
      </c>
      <c r="C1655" s="147" t="str">
        <f>'Reported burning'!C1655</f>
        <v>Human, deliberate</v>
      </c>
      <c r="D1655" s="147" t="str">
        <f>'Reported burning'!D1655</f>
        <v>ND</v>
      </c>
      <c r="E1655" s="147" t="str">
        <f>'Reported burning'!E1655</f>
        <v>Cattle, Extensive</v>
      </c>
      <c r="F1655" s="147" t="str">
        <f>'Reported burning'!F1655</f>
        <v>ND</v>
      </c>
      <c r="G1655" s="147" t="str">
        <f>'Reported burning'!G1655</f>
        <v>Shrubland (Mixed forest &amp; grassland)</v>
      </c>
      <c r="H1655" s="147" t="str">
        <f>'Reported burning'!H1655</f>
        <v>Presence</v>
      </c>
      <c r="I1655" s="3"/>
      <c r="J1655" s="4" t="s">
        <v>2272</v>
      </c>
      <c r="K1655" s="198" t="s">
        <v>2362</v>
      </c>
      <c r="L1655" s="4" t="s">
        <v>2272</v>
      </c>
      <c r="M1655" s="4" t="s">
        <v>2272</v>
      </c>
      <c r="N1655" s="4" t="s">
        <v>2272</v>
      </c>
      <c r="O1655" s="4" t="s">
        <v>2272</v>
      </c>
      <c r="P1655" s="4" t="s">
        <v>2272</v>
      </c>
      <c r="Q1655" s="4" t="s">
        <v>2272</v>
      </c>
      <c r="R1655" s="4" t="s">
        <v>2272</v>
      </c>
      <c r="S1655" s="4" t="s">
        <v>2272</v>
      </c>
      <c r="T1655" s="4" t="s">
        <v>2272</v>
      </c>
      <c r="U1655" s="4" t="s">
        <v>2272</v>
      </c>
      <c r="V1655" s="4" t="s">
        <v>2272</v>
      </c>
      <c r="W1655" s="4" t="s">
        <v>2272</v>
      </c>
      <c r="X1655" s="4" t="s">
        <v>2272</v>
      </c>
      <c r="Y1655" s="4" t="s">
        <v>2272</v>
      </c>
      <c r="Z1655" s="4" t="s">
        <v>2272</v>
      </c>
      <c r="AA1655" s="4" t="s">
        <v>2272</v>
      </c>
      <c r="AB1655" s="3"/>
      <c r="AC1655" s="3"/>
    </row>
    <row r="1656" spans="1:29" ht="49" customHeight="1">
      <c r="A1656" s="147" t="str">
        <f>'Reported burning'!A1656</f>
        <v>195v</v>
      </c>
      <c r="B1656" s="147" t="str">
        <f>'Reported burning'!B1656</f>
        <v>195v.1</v>
      </c>
      <c r="C1656" s="147" t="str">
        <f>'Reported burning'!C1656</f>
        <v>Human, deliberate</v>
      </c>
      <c r="D1656" s="147" t="str">
        <f>'Reported burning'!D1656</f>
        <v>ND</v>
      </c>
      <c r="E1656" s="147" t="str">
        <f>'Reported burning'!E1656</f>
        <v>Cattle, Extensive</v>
      </c>
      <c r="F1656" s="147" t="str">
        <f>'Reported burning'!F1656</f>
        <v>ND</v>
      </c>
      <c r="G1656" s="147" t="str">
        <f>'Reported burning'!G1656</f>
        <v>Shrubland (Mixed forest &amp; grassland)</v>
      </c>
      <c r="H1656" s="147" t="str">
        <f>'Reported burning'!H1656</f>
        <v>Presence</v>
      </c>
      <c r="I1656" s="3"/>
      <c r="J1656" s="4" t="s">
        <v>2272</v>
      </c>
      <c r="K1656" s="4" t="s">
        <v>2272</v>
      </c>
      <c r="L1656" s="4" t="s">
        <v>2272</v>
      </c>
      <c r="M1656" s="4" t="s">
        <v>2272</v>
      </c>
      <c r="N1656" s="4" t="s">
        <v>2272</v>
      </c>
      <c r="O1656" s="4" t="s">
        <v>2272</v>
      </c>
      <c r="P1656" s="4" t="s">
        <v>2272</v>
      </c>
      <c r="Q1656" s="4" t="s">
        <v>2272</v>
      </c>
      <c r="R1656" s="4" t="s">
        <v>2272</v>
      </c>
      <c r="S1656" s="4" t="s">
        <v>2272</v>
      </c>
      <c r="T1656" s="4" t="s">
        <v>2272</v>
      </c>
      <c r="U1656" s="4" t="s">
        <v>2272</v>
      </c>
      <c r="V1656" s="4" t="s">
        <v>2272</v>
      </c>
      <c r="W1656" s="4" t="s">
        <v>2272</v>
      </c>
      <c r="X1656" s="4" t="s">
        <v>2272</v>
      </c>
      <c r="Y1656" s="4" t="s">
        <v>2272</v>
      </c>
      <c r="Z1656" s="4" t="s">
        <v>2272</v>
      </c>
      <c r="AA1656" s="4" t="s">
        <v>2272</v>
      </c>
      <c r="AB1656" s="3"/>
      <c r="AC1656" s="3"/>
    </row>
    <row r="1657" spans="1:29" ht="49" customHeight="1">
      <c r="A1657" s="147" t="str">
        <f>'Reported burning'!A1657</f>
        <v>195w</v>
      </c>
      <c r="B1657" s="147" t="str">
        <f>'Reported burning'!B1657</f>
        <v>195w.1</v>
      </c>
      <c r="C1657" s="147" t="str">
        <f>'Reported burning'!C1657</f>
        <v>Human, deliberate</v>
      </c>
      <c r="D1657" s="147" t="str">
        <f>'Reported burning'!D1657</f>
        <v>ND</v>
      </c>
      <c r="E1657" s="147" t="str">
        <f>'Reported burning'!E1657</f>
        <v>Cattle, Extensive</v>
      </c>
      <c r="F1657" s="147" t="str">
        <f>'Reported burning'!F1657</f>
        <v>ND</v>
      </c>
      <c r="G1657" s="147" t="str">
        <f>'Reported burning'!G1657</f>
        <v>Shrubland (Mixed forest &amp; grassland)</v>
      </c>
      <c r="H1657" s="147" t="str">
        <f>'Reported burning'!H1657</f>
        <v>Presence</v>
      </c>
      <c r="I1657" s="3"/>
      <c r="J1657" s="4" t="s">
        <v>2272</v>
      </c>
      <c r="K1657" s="4" t="s">
        <v>2272</v>
      </c>
      <c r="L1657" s="4" t="s">
        <v>2272</v>
      </c>
      <c r="M1657" s="4" t="s">
        <v>2272</v>
      </c>
      <c r="N1657" s="4" t="s">
        <v>2272</v>
      </c>
      <c r="O1657" s="4" t="s">
        <v>2272</v>
      </c>
      <c r="P1657" s="4" t="s">
        <v>2272</v>
      </c>
      <c r="Q1657" s="4" t="s">
        <v>2272</v>
      </c>
      <c r="R1657" s="4" t="s">
        <v>2272</v>
      </c>
      <c r="S1657" s="4" t="s">
        <v>2272</v>
      </c>
      <c r="T1657" s="4" t="s">
        <v>2272</v>
      </c>
      <c r="U1657" s="4" t="s">
        <v>2272</v>
      </c>
      <c r="V1657" s="4" t="s">
        <v>2272</v>
      </c>
      <c r="W1657" s="4" t="s">
        <v>2272</v>
      </c>
      <c r="X1657" s="4" t="s">
        <v>2272</v>
      </c>
      <c r="Y1657" s="4" t="s">
        <v>2272</v>
      </c>
      <c r="Z1657" s="4" t="s">
        <v>2272</v>
      </c>
      <c r="AA1657" s="4" t="s">
        <v>2272</v>
      </c>
      <c r="AB1657" s="3"/>
      <c r="AC1657" s="3"/>
    </row>
    <row r="1658" spans="1:29" ht="49" customHeight="1">
      <c r="A1658" s="147" t="str">
        <f>'Reported burning'!A1658</f>
        <v>195x</v>
      </c>
      <c r="B1658" s="147" t="str">
        <f>'Reported burning'!B1658</f>
        <v>195x.1</v>
      </c>
      <c r="C1658" s="147" t="str">
        <f>'Reported burning'!C1658</f>
        <v>Human, deliberate</v>
      </c>
      <c r="D1658" s="147" t="str">
        <f>'Reported burning'!D1658</f>
        <v>ND</v>
      </c>
      <c r="E1658" s="147" t="str">
        <f>'Reported burning'!E1658</f>
        <v>Cattle, Extensive</v>
      </c>
      <c r="F1658" s="147" t="str">
        <f>'Reported burning'!F1658</f>
        <v>ND</v>
      </c>
      <c r="G1658" s="147" t="str">
        <f>'Reported burning'!G1658</f>
        <v>Shrubland (Mixed forest &amp; grassland)</v>
      </c>
      <c r="H1658" s="147" t="str">
        <f>'Reported burning'!H1658</f>
        <v>Presence</v>
      </c>
      <c r="I1658" s="3"/>
      <c r="J1658" s="4" t="s">
        <v>2272</v>
      </c>
      <c r="K1658" s="4" t="s">
        <v>2272</v>
      </c>
      <c r="L1658" s="4" t="s">
        <v>2272</v>
      </c>
      <c r="M1658" s="4" t="s">
        <v>2272</v>
      </c>
      <c r="N1658" s="4" t="s">
        <v>2272</v>
      </c>
      <c r="O1658" s="4" t="s">
        <v>2272</v>
      </c>
      <c r="P1658" s="4" t="s">
        <v>2272</v>
      </c>
      <c r="Q1658" s="4" t="s">
        <v>2272</v>
      </c>
      <c r="R1658" s="4" t="s">
        <v>2272</v>
      </c>
      <c r="S1658" s="4" t="s">
        <v>2272</v>
      </c>
      <c r="T1658" s="4" t="s">
        <v>2272</v>
      </c>
      <c r="U1658" s="4" t="s">
        <v>2272</v>
      </c>
      <c r="V1658" s="4" t="s">
        <v>2272</v>
      </c>
      <c r="W1658" s="4" t="s">
        <v>2272</v>
      </c>
      <c r="X1658" s="4" t="s">
        <v>2272</v>
      </c>
      <c r="Y1658" s="4" t="s">
        <v>2272</v>
      </c>
      <c r="Z1658" s="4" t="s">
        <v>2272</v>
      </c>
      <c r="AA1658" s="4" t="s">
        <v>2272</v>
      </c>
      <c r="AB1658" s="3"/>
      <c r="AC1658" s="3"/>
    </row>
    <row r="1659" spans="1:29" ht="49" customHeight="1">
      <c r="A1659" s="147" t="str">
        <f>'Reported burning'!A1659</f>
        <v>195y</v>
      </c>
      <c r="B1659" s="147" t="str">
        <f>'Reported burning'!B1659</f>
        <v>195y.1</v>
      </c>
      <c r="C1659" s="147" t="str">
        <f>'Reported burning'!C1659</f>
        <v>Human, deliberate</v>
      </c>
      <c r="D1659" s="147" t="str">
        <f>'Reported burning'!D1659</f>
        <v>ND</v>
      </c>
      <c r="E1659" s="147" t="str">
        <f>'Reported burning'!E1659</f>
        <v>Cattle, Extensive</v>
      </c>
      <c r="F1659" s="147" t="str">
        <f>'Reported burning'!F1659</f>
        <v>ND</v>
      </c>
      <c r="G1659" s="147" t="str">
        <f>'Reported burning'!G1659</f>
        <v>Shrubland (Mixed forest &amp; grassland)</v>
      </c>
      <c r="H1659" s="147" t="str">
        <f>'Reported burning'!H1659</f>
        <v>Presence</v>
      </c>
      <c r="I1659" s="3"/>
      <c r="J1659" s="4" t="s">
        <v>2272</v>
      </c>
      <c r="K1659" s="4" t="s">
        <v>2272</v>
      </c>
      <c r="L1659" s="4" t="s">
        <v>2272</v>
      </c>
      <c r="M1659" s="4" t="s">
        <v>2272</v>
      </c>
      <c r="N1659" s="4" t="s">
        <v>2272</v>
      </c>
      <c r="O1659" s="4" t="s">
        <v>2272</v>
      </c>
      <c r="P1659" s="4" t="s">
        <v>2272</v>
      </c>
      <c r="Q1659" s="4" t="s">
        <v>2272</v>
      </c>
      <c r="R1659" s="4" t="s">
        <v>2272</v>
      </c>
      <c r="S1659" s="4" t="s">
        <v>2272</v>
      </c>
      <c r="T1659" s="4" t="s">
        <v>2272</v>
      </c>
      <c r="U1659" s="4" t="s">
        <v>2272</v>
      </c>
      <c r="V1659" s="4" t="s">
        <v>2272</v>
      </c>
      <c r="W1659" s="4" t="s">
        <v>2272</v>
      </c>
      <c r="X1659" s="4" t="s">
        <v>2272</v>
      </c>
      <c r="Y1659" s="4" t="s">
        <v>2272</v>
      </c>
      <c r="Z1659" s="4" t="s">
        <v>2272</v>
      </c>
      <c r="AA1659" s="4" t="s">
        <v>2272</v>
      </c>
      <c r="AB1659" s="3"/>
      <c r="AC1659" s="3"/>
    </row>
    <row r="1660" spans="1:29" ht="38" customHeight="1">
      <c r="A1660" s="147" t="str">
        <f>'Reported burning'!A1660</f>
        <v>197a</v>
      </c>
      <c r="B1660" s="147" t="str">
        <f>'Reported burning'!B1660</f>
        <v>197a.1</v>
      </c>
      <c r="C1660" s="147" t="str">
        <f>'Reported burning'!C1660</f>
        <v>All</v>
      </c>
      <c r="D1660" s="147" t="str">
        <f>'Reported burning'!D1660</f>
        <v>All</v>
      </c>
      <c r="E1660" s="147" t="str">
        <f>'Reported burning'!E1660</f>
        <v>All</v>
      </c>
      <c r="F1660" s="147" t="str">
        <f>'Reported burning'!F1660</f>
        <v>All</v>
      </c>
      <c r="G1660" s="147" t="str">
        <f>'Reported burning'!G1660</f>
        <v>ND</v>
      </c>
      <c r="H1660" s="147" t="str">
        <f>'Reported burning'!H1660</f>
        <v>Presence</v>
      </c>
      <c r="I1660" s="3"/>
      <c r="J1660" s="4" t="s">
        <v>2272</v>
      </c>
      <c r="K1660" s="4" t="s">
        <v>2272</v>
      </c>
      <c r="L1660" s="4" t="s">
        <v>2272</v>
      </c>
      <c r="M1660" s="4" t="s">
        <v>2272</v>
      </c>
      <c r="N1660" s="4" t="s">
        <v>2272</v>
      </c>
      <c r="O1660" s="4" t="s">
        <v>2272</v>
      </c>
      <c r="P1660" s="4" t="s">
        <v>2272</v>
      </c>
      <c r="Q1660" s="4" t="s">
        <v>2272</v>
      </c>
      <c r="R1660" s="4" t="s">
        <v>2272</v>
      </c>
      <c r="S1660" t="s">
        <v>2358</v>
      </c>
      <c r="T1660" s="4" t="s">
        <v>2272</v>
      </c>
      <c r="U1660" s="4" t="s">
        <v>2272</v>
      </c>
      <c r="V1660" s="4" t="s">
        <v>2272</v>
      </c>
      <c r="W1660" s="4" t="s">
        <v>2272</v>
      </c>
      <c r="X1660" s="4" t="s">
        <v>2272</v>
      </c>
      <c r="Y1660" s="3" t="s">
        <v>33</v>
      </c>
      <c r="Z1660" s="3" t="s">
        <v>67</v>
      </c>
      <c r="AA1660" s="3" t="s">
        <v>2650</v>
      </c>
      <c r="AB1660" s="3"/>
      <c r="AC1660" s="3" t="s">
        <v>4943</v>
      </c>
    </row>
    <row r="1661" spans="1:29" ht="55.5" customHeight="1">
      <c r="A1661" s="147" t="str">
        <f>'Reported burning'!A1661</f>
        <v>197a</v>
      </c>
      <c r="B1661" s="147" t="str">
        <f>'Reported burning'!B1661</f>
        <v>197a.2</v>
      </c>
      <c r="C1661" s="147" t="str">
        <f>'Reported burning'!C1661</f>
        <v>All</v>
      </c>
      <c r="D1661" s="147" t="str">
        <f>'Reported burning'!D1661</f>
        <v>ND</v>
      </c>
      <c r="E1661" s="147" t="str">
        <f>'Reported burning'!E1661</f>
        <v>Cropping, Monoculture, Market-oriented</v>
      </c>
      <c r="F1661" s="147" t="str">
        <f>'Reported burning'!F1661</f>
        <v>Cropland</v>
      </c>
      <c r="G1661" s="147" t="str">
        <f>'Reported burning'!G1661</f>
        <v>Cropland</v>
      </c>
      <c r="H1661" s="147" t="str">
        <f>'Reported burning'!H1661</f>
        <v>Presence</v>
      </c>
      <c r="I1661" s="3"/>
      <c r="J1661" s="198" t="s">
        <v>2365</v>
      </c>
      <c r="K1661" s="4" t="s">
        <v>2272</v>
      </c>
      <c r="L1661" s="4" t="s">
        <v>2272</v>
      </c>
      <c r="M1661" s="4" t="s">
        <v>2272</v>
      </c>
      <c r="N1661" s="4" t="s">
        <v>2272</v>
      </c>
      <c r="O1661" s="4" t="s">
        <v>2272</v>
      </c>
      <c r="P1661" s="4" t="s">
        <v>2272</v>
      </c>
      <c r="Q1661" t="s">
        <v>2369</v>
      </c>
      <c r="R1661" s="4" t="s">
        <v>2272</v>
      </c>
      <c r="S1661" s="4" t="s">
        <v>2272</v>
      </c>
      <c r="T1661" s="4" t="s">
        <v>2272</v>
      </c>
      <c r="U1661" s="4" t="s">
        <v>2272</v>
      </c>
      <c r="V1661" s="4" t="s">
        <v>2272</v>
      </c>
      <c r="W1661" s="4" t="s">
        <v>2272</v>
      </c>
      <c r="X1661" s="4" t="s">
        <v>2272</v>
      </c>
      <c r="Y1661" s="3" t="s">
        <v>33</v>
      </c>
      <c r="Z1661" s="3" t="s">
        <v>67</v>
      </c>
      <c r="AA1661" s="3" t="s">
        <v>2650</v>
      </c>
      <c r="AB1661" s="4" t="s">
        <v>4941</v>
      </c>
      <c r="AC1661" s="4" t="s">
        <v>4947</v>
      </c>
    </row>
    <row r="1662" spans="1:29" ht="50.5" customHeight="1">
      <c r="A1662" s="147" t="str">
        <f>'Reported burning'!A1662</f>
        <v>197a</v>
      </c>
      <c r="B1662" s="147" t="str">
        <f>'Reported burning'!B1662</f>
        <v>197a.3</v>
      </c>
      <c r="C1662" s="147" t="str">
        <f>'Reported burning'!C1662</f>
        <v>Human, deliberate</v>
      </c>
      <c r="D1662" s="147" t="str">
        <f>'Reported burning'!D1662</f>
        <v>Crop residue burning</v>
      </c>
      <c r="E1662" s="147" t="str">
        <f>'Reported burning'!E1662</f>
        <v>Cropping, Monoculture, Market-oriented</v>
      </c>
      <c r="F1662" s="147" t="str">
        <f>'Reported burning'!F1662</f>
        <v>Cropland</v>
      </c>
      <c r="G1662" s="147" t="str">
        <f>'Reported burning'!G1662</f>
        <v>ND</v>
      </c>
      <c r="H1662" s="147" t="str">
        <f>'Reported burning'!H1662</f>
        <v>Presence</v>
      </c>
      <c r="I1662" s="3"/>
      <c r="J1662" s="4" t="s">
        <v>2272</v>
      </c>
      <c r="K1662" s="4" t="s">
        <v>2272</v>
      </c>
      <c r="L1662" s="4" t="s">
        <v>2272</v>
      </c>
      <c r="M1662" s="4" t="s">
        <v>2272</v>
      </c>
      <c r="N1662" s="4" t="s">
        <v>2272</v>
      </c>
      <c r="O1662" s="4" t="s">
        <v>2272</v>
      </c>
      <c r="P1662" s="4" t="s">
        <v>2272</v>
      </c>
      <c r="Q1662" s="4" t="s">
        <v>2272</v>
      </c>
      <c r="R1662" s="4" t="s">
        <v>2272</v>
      </c>
      <c r="S1662" s="4" t="s">
        <v>2272</v>
      </c>
      <c r="T1662" s="4" t="s">
        <v>2272</v>
      </c>
      <c r="U1662" s="4" t="s">
        <v>2272</v>
      </c>
      <c r="V1662" s="4" t="s">
        <v>2272</v>
      </c>
      <c r="W1662" s="4" t="s">
        <v>2272</v>
      </c>
      <c r="X1662" s="4" t="s">
        <v>2272</v>
      </c>
      <c r="Y1662" s="3" t="s">
        <v>33</v>
      </c>
      <c r="Z1662" s="3" t="s">
        <v>67</v>
      </c>
      <c r="AA1662" s="3" t="s">
        <v>2650</v>
      </c>
      <c r="AB1662" s="4" t="s">
        <v>4941</v>
      </c>
      <c r="AC1662" s="4" t="s">
        <v>4947</v>
      </c>
    </row>
    <row r="1663" spans="1:29" ht="54" customHeight="1">
      <c r="A1663" s="147" t="str">
        <f>'Reported burning'!A1663</f>
        <v>197a</v>
      </c>
      <c r="B1663" s="147" t="str">
        <f>'Reported burning'!B1663</f>
        <v>197a.4</v>
      </c>
      <c r="C1663" s="147" t="str">
        <f>'Reported burning'!C1663</f>
        <v>All</v>
      </c>
      <c r="D1663" s="147" t="str">
        <f>'Reported burning'!D1663</f>
        <v>All</v>
      </c>
      <c r="E1663" s="147" t="str">
        <f>'Reported burning'!E1663</f>
        <v>Agroforestry, Market-oriented</v>
      </c>
      <c r="F1663" s="147" t="str">
        <f>'Reported burning'!F1663</f>
        <v>ND</v>
      </c>
      <c r="G1663" s="147" t="str">
        <f>'Reported burning'!G1663</f>
        <v>Cropland</v>
      </c>
      <c r="H1663" s="147" t="str">
        <f>'Reported burning'!H1663</f>
        <v>Presence</v>
      </c>
      <c r="I1663" s="3"/>
      <c r="J1663" s="3" t="s">
        <v>2366</v>
      </c>
      <c r="K1663" s="4" t="s">
        <v>2272</v>
      </c>
      <c r="L1663" s="4" t="s">
        <v>2272</v>
      </c>
      <c r="M1663" s="4" t="s">
        <v>2272</v>
      </c>
      <c r="N1663" s="4" t="s">
        <v>2272</v>
      </c>
      <c r="O1663" s="4" t="s">
        <v>2272</v>
      </c>
      <c r="P1663" s="4" t="s">
        <v>2272</v>
      </c>
      <c r="Q1663" s="3" t="s">
        <v>2370</v>
      </c>
      <c r="R1663" s="4" t="s">
        <v>2272</v>
      </c>
      <c r="S1663" s="4" t="s">
        <v>2272</v>
      </c>
      <c r="T1663" s="4" t="s">
        <v>2272</v>
      </c>
      <c r="U1663" s="4" t="s">
        <v>2272</v>
      </c>
      <c r="V1663" s="4" t="s">
        <v>2272</v>
      </c>
      <c r="W1663" s="4" t="s">
        <v>2272</v>
      </c>
      <c r="X1663" s="4" t="s">
        <v>2272</v>
      </c>
      <c r="Y1663" s="3" t="s">
        <v>33</v>
      </c>
      <c r="Z1663" s="3" t="s">
        <v>67</v>
      </c>
      <c r="AA1663" s="3" t="s">
        <v>2650</v>
      </c>
      <c r="AB1663" s="4"/>
      <c r="AC1663" s="4" t="s">
        <v>4946</v>
      </c>
    </row>
    <row r="1664" spans="1:29" ht="46.5" customHeight="1">
      <c r="A1664" s="147" t="str">
        <f>'Reported burning'!A1664</f>
        <v>197a</v>
      </c>
      <c r="B1664" s="147" t="str">
        <f>'Reported burning'!B1664</f>
        <v>197a.5</v>
      </c>
      <c r="C1664" s="147" t="str">
        <f>'Reported burning'!C1664</f>
        <v>All</v>
      </c>
      <c r="D1664" s="147" t="str">
        <f>'Reported burning'!D1664</f>
        <v>All</v>
      </c>
      <c r="E1664" s="147" t="str">
        <f>'Reported burning'!E1664</f>
        <v>Cattle, Extensive</v>
      </c>
      <c r="F1664" s="147" t="str">
        <f>'Reported burning'!F1664</f>
        <v>ND</v>
      </c>
      <c r="G1664" s="147" t="str">
        <f>'Reported burning'!G1664</f>
        <v>Pasture</v>
      </c>
      <c r="H1664" s="147" t="str">
        <f>'Reported burning'!H1664</f>
        <v>Presence</v>
      </c>
      <c r="I1664" s="3"/>
      <c r="J1664" s="3" t="s">
        <v>2364</v>
      </c>
      <c r="K1664" s="4" t="s">
        <v>2272</v>
      </c>
      <c r="L1664" s="4" t="s">
        <v>2272</v>
      </c>
      <c r="M1664" s="4" t="s">
        <v>2272</v>
      </c>
      <c r="N1664" s="4" t="s">
        <v>2272</v>
      </c>
      <c r="O1664" s="4" t="s">
        <v>2272</v>
      </c>
      <c r="P1664" s="4" t="s">
        <v>2272</v>
      </c>
      <c r="Q1664" s="3" t="s">
        <v>2371</v>
      </c>
      <c r="R1664" s="4" t="s">
        <v>2272</v>
      </c>
      <c r="S1664" s="4" t="s">
        <v>2272</v>
      </c>
      <c r="T1664" s="4" t="s">
        <v>2272</v>
      </c>
      <c r="U1664" s="4" t="s">
        <v>2272</v>
      </c>
      <c r="V1664" s="4" t="s">
        <v>2272</v>
      </c>
      <c r="W1664" s="4" t="s">
        <v>2272</v>
      </c>
      <c r="X1664" s="4" t="s">
        <v>2272</v>
      </c>
      <c r="Y1664" s="3" t="s">
        <v>33</v>
      </c>
      <c r="Z1664" s="3" t="s">
        <v>67</v>
      </c>
      <c r="AA1664" s="3" t="s">
        <v>2650</v>
      </c>
      <c r="AB1664" s="4"/>
      <c r="AC1664" s="4" t="s">
        <v>4947</v>
      </c>
    </row>
    <row r="1665" spans="1:29" ht="53.5" customHeight="1">
      <c r="A1665" s="147" t="str">
        <f>'Reported burning'!A1665</f>
        <v>197a</v>
      </c>
      <c r="B1665" s="147" t="str">
        <f>'Reported burning'!B1665</f>
        <v>197a.6</v>
      </c>
      <c r="C1665" s="147" t="str">
        <f>'Reported burning'!C1665</f>
        <v>All</v>
      </c>
      <c r="D1665" s="147" t="str">
        <f>'Reported burning'!D1665</f>
        <v>All</v>
      </c>
      <c r="E1665" s="147" t="str">
        <f>'Reported burning'!E1665</f>
        <v>ND</v>
      </c>
      <c r="F1665" s="147" t="str">
        <f>'Reported burning'!F1665</f>
        <v>ND</v>
      </c>
      <c r="G1665" s="147" t="str">
        <f>'Reported burning'!G1665</f>
        <v>Forest</v>
      </c>
      <c r="H1665" s="147" t="str">
        <f>'Reported burning'!H1665</f>
        <v>Presence</v>
      </c>
      <c r="I1665" s="3"/>
      <c r="J1665" s="4" t="s">
        <v>2272</v>
      </c>
      <c r="K1665" s="4" t="s">
        <v>2272</v>
      </c>
      <c r="L1665" s="4" t="s">
        <v>2272</v>
      </c>
      <c r="M1665" s="4" t="s">
        <v>2272</v>
      </c>
      <c r="N1665" s="4" t="s">
        <v>2272</v>
      </c>
      <c r="O1665" s="4" t="s">
        <v>2272</v>
      </c>
      <c r="P1665" s="4" t="s">
        <v>2272</v>
      </c>
      <c r="Q1665" s="4" t="s">
        <v>2272</v>
      </c>
      <c r="R1665" s="4" t="s">
        <v>2272</v>
      </c>
      <c r="S1665" s="4" t="s">
        <v>2272</v>
      </c>
      <c r="T1665" s="4" t="s">
        <v>2272</v>
      </c>
      <c r="U1665" s="4" t="s">
        <v>2272</v>
      </c>
      <c r="V1665" s="4" t="s">
        <v>2272</v>
      </c>
      <c r="W1665" s="4" t="s">
        <v>2272</v>
      </c>
      <c r="X1665" s="4" t="s">
        <v>2272</v>
      </c>
      <c r="Y1665" s="3" t="s">
        <v>33</v>
      </c>
      <c r="Z1665" s="3" t="s">
        <v>67</v>
      </c>
      <c r="AA1665" s="3" t="s">
        <v>2650</v>
      </c>
      <c r="AB1665" s="3"/>
      <c r="AC1665" s="4" t="s">
        <v>4947</v>
      </c>
    </row>
    <row r="1666" spans="1:29" ht="53.5" customHeight="1">
      <c r="A1666" s="147" t="str">
        <f>'Reported burning'!A1666</f>
        <v>197a</v>
      </c>
      <c r="B1666" s="147" t="str">
        <f>'Reported burning'!B1666</f>
        <v>197a.7</v>
      </c>
      <c r="C1666" s="147" t="str">
        <f>'Reported burning'!C1666</f>
        <v>All</v>
      </c>
      <c r="D1666" s="147" t="str">
        <f>'Reported burning'!D1666</f>
        <v>All</v>
      </c>
      <c r="E1666" s="147" t="str">
        <f>'Reported burning'!E1666</f>
        <v>ND</v>
      </c>
      <c r="F1666" s="147" t="str">
        <f>'Reported burning'!F1666</f>
        <v>ND</v>
      </c>
      <c r="G1666" s="147" t="str">
        <f>'Reported burning'!G1666</f>
        <v>Shrubland (Mixed forest &amp; grassland)</v>
      </c>
      <c r="H1666" s="147" t="str">
        <f>'Reported burning'!H1666</f>
        <v>Presence</v>
      </c>
      <c r="I1666" s="3"/>
      <c r="J1666" s="4" t="s">
        <v>2272</v>
      </c>
      <c r="K1666" s="4" t="s">
        <v>2272</v>
      </c>
      <c r="L1666" s="4" t="s">
        <v>2272</v>
      </c>
      <c r="M1666" s="4" t="s">
        <v>2272</v>
      </c>
      <c r="N1666" s="4" t="s">
        <v>2272</v>
      </c>
      <c r="O1666" s="4" t="s">
        <v>2272</v>
      </c>
      <c r="P1666" s="4" t="s">
        <v>2272</v>
      </c>
      <c r="Q1666" s="4" t="s">
        <v>2272</v>
      </c>
      <c r="R1666" s="4" t="s">
        <v>2272</v>
      </c>
      <c r="S1666" s="4" t="s">
        <v>2272</v>
      </c>
      <c r="T1666" s="4" t="s">
        <v>2272</v>
      </c>
      <c r="U1666" s="4" t="s">
        <v>2272</v>
      </c>
      <c r="V1666" s="4" t="s">
        <v>2272</v>
      </c>
      <c r="W1666" s="4" t="s">
        <v>2272</v>
      </c>
      <c r="X1666" s="4" t="s">
        <v>2272</v>
      </c>
      <c r="Y1666" s="3" t="s">
        <v>33</v>
      </c>
      <c r="Z1666" s="3" t="s">
        <v>67</v>
      </c>
      <c r="AA1666" s="3" t="s">
        <v>2650</v>
      </c>
      <c r="AB1666" s="3"/>
      <c r="AC1666" s="4" t="s">
        <v>4947</v>
      </c>
    </row>
    <row r="1667" spans="1:29" ht="61.5" customHeight="1">
      <c r="A1667" s="147" t="str">
        <f>'Reported burning'!A1667</f>
        <v>198a</v>
      </c>
      <c r="B1667" s="147" t="str">
        <f>'Reported burning'!B1667</f>
        <v>198a.1</v>
      </c>
      <c r="C1667" s="147" t="str">
        <f>'Reported burning'!C1667</f>
        <v>Human, deliberate</v>
      </c>
      <c r="D1667" s="147" t="str">
        <f>'Reported burning'!D1667</f>
        <v>Charcoal production</v>
      </c>
      <c r="E1667" s="147" t="str">
        <f>'Reported burning'!E1667</f>
        <v>Forestry, Small-scale</v>
      </c>
      <c r="F1667" s="147" t="str">
        <f>'Reported burning'!F1667</f>
        <v>Forest</v>
      </c>
      <c r="G1667" s="147" t="str">
        <f>'Reported burning'!G1667</f>
        <v>ND</v>
      </c>
      <c r="H1667" s="147" t="str">
        <f>'Reported burning'!H1667</f>
        <v>Presence</v>
      </c>
      <c r="I1667" s="3"/>
      <c r="J1667" s="4" t="s">
        <v>2272</v>
      </c>
      <c r="K1667" s="4" t="s">
        <v>2272</v>
      </c>
      <c r="L1667" s="4" t="s">
        <v>2272</v>
      </c>
      <c r="M1667" s="4" t="s">
        <v>2272</v>
      </c>
      <c r="N1667" s="4" t="s">
        <v>2272</v>
      </c>
      <c r="O1667" s="4" t="s">
        <v>2272</v>
      </c>
      <c r="P1667" s="4" t="s">
        <v>2272</v>
      </c>
      <c r="Q1667" s="4" t="s">
        <v>2272</v>
      </c>
      <c r="R1667" s="4" t="s">
        <v>2272</v>
      </c>
      <c r="S1667" s="4" t="s">
        <v>2272</v>
      </c>
      <c r="T1667" s="4" t="s">
        <v>2272</v>
      </c>
      <c r="U1667" s="4" t="s">
        <v>2272</v>
      </c>
      <c r="V1667" s="4" t="s">
        <v>2272</v>
      </c>
      <c r="W1667" s="4" t="s">
        <v>2272</v>
      </c>
      <c r="X1667" s="4" t="s">
        <v>2272</v>
      </c>
      <c r="Y1667" s="4" t="s">
        <v>2272</v>
      </c>
      <c r="Z1667" s="4" t="s">
        <v>2272</v>
      </c>
      <c r="AA1667" s="4" t="s">
        <v>2272</v>
      </c>
      <c r="AB1667" s="3"/>
      <c r="AC1667" s="3"/>
    </row>
    <row r="1668" spans="1:29" ht="82" customHeight="1">
      <c r="A1668" s="147" t="str">
        <f>'Reported burning'!A1668</f>
        <v>198b</v>
      </c>
      <c r="B1668" s="147" t="str">
        <f>'Reported burning'!B1668</f>
        <v>198b.1</v>
      </c>
      <c r="C1668" s="147" t="str">
        <f>'Reported burning'!C1668</f>
        <v>Human, deliberate</v>
      </c>
      <c r="D1668" s="147" t="str">
        <f>'Reported burning'!D1668</f>
        <v>Pasture renewal</v>
      </c>
      <c r="E1668" s="147" t="str">
        <f>'Reported burning'!E1668</f>
        <v>Pastoralism, Migratory</v>
      </c>
      <c r="F1668" s="147" t="str">
        <f>'Reported burning'!F1668</f>
        <v>Shrubland (Mixed forest &amp; grassland)</v>
      </c>
      <c r="G1668" s="147" t="str">
        <f>'Reported burning'!G1668</f>
        <v>ND</v>
      </c>
      <c r="H1668" s="147" t="str">
        <f>'Reported burning'!H1668</f>
        <v>Absence</v>
      </c>
      <c r="I1668" s="3"/>
      <c r="J1668" s="3">
        <v>0</v>
      </c>
      <c r="K1668" s="198">
        <v>0</v>
      </c>
      <c r="L1668" s="3">
        <v>0</v>
      </c>
      <c r="M1668" s="3">
        <v>0</v>
      </c>
      <c r="N1668" s="3">
        <v>0</v>
      </c>
      <c r="O1668" s="3">
        <v>0</v>
      </c>
      <c r="P1668" s="3">
        <v>0</v>
      </c>
      <c r="Q1668" s="3">
        <v>0</v>
      </c>
      <c r="R1668" s="3">
        <v>0</v>
      </c>
      <c r="S1668" s="3">
        <v>0</v>
      </c>
      <c r="T1668" s="3">
        <v>0</v>
      </c>
      <c r="U1668" s="3">
        <v>0</v>
      </c>
      <c r="V1668" s="3">
        <v>0</v>
      </c>
      <c r="W1668" s="3">
        <v>0</v>
      </c>
      <c r="X1668" s="4" t="s">
        <v>2272</v>
      </c>
      <c r="Y1668" s="4" t="s">
        <v>2272</v>
      </c>
      <c r="Z1668" s="4" t="s">
        <v>2272</v>
      </c>
      <c r="AA1668" s="4" t="s">
        <v>2272</v>
      </c>
      <c r="AB1668" s="4" t="s">
        <v>4962</v>
      </c>
      <c r="AC1668" s="3"/>
    </row>
    <row r="1669" spans="1:29" ht="42" customHeight="1">
      <c r="A1669" s="151" t="str">
        <f>'Reported burning'!A1669</f>
        <v>199a</v>
      </c>
      <c r="B1669" s="151" t="str">
        <f>'Reported burning'!B1669</f>
        <v>199a.1</v>
      </c>
      <c r="C1669" s="151" t="str">
        <f>'Reported burning'!C1669</f>
        <v>Human, deliberate</v>
      </c>
      <c r="D1669" s="151" t="str">
        <f>'Reported burning'!D1669</f>
        <v>Pasture renewal</v>
      </c>
      <c r="E1669" s="151" t="str">
        <f>'Reported burning'!E1669</f>
        <v>Pastoralism, Migratory</v>
      </c>
      <c r="F1669" s="151" t="str">
        <f>'Reported burning'!F1669</f>
        <v>Shrubland (Mixed forest &amp; grassland)</v>
      </c>
      <c r="G1669" s="151" t="str">
        <f>'Reported burning'!G1669</f>
        <v>ND</v>
      </c>
      <c r="H1669" s="151" t="str">
        <f>'Reported burning'!H1669</f>
        <v>Presence</v>
      </c>
      <c r="I1669" s="5">
        <v>1976</v>
      </c>
      <c r="J1669" s="6" t="s">
        <v>2272</v>
      </c>
      <c r="K1669" s="6" t="s">
        <v>2272</v>
      </c>
      <c r="L1669" s="6" t="s">
        <v>2272</v>
      </c>
      <c r="M1669" s="6" t="s">
        <v>2272</v>
      </c>
      <c r="N1669" s="6" t="s">
        <v>2272</v>
      </c>
      <c r="O1669" s="6" t="s">
        <v>2272</v>
      </c>
      <c r="P1669" s="6" t="s">
        <v>2272</v>
      </c>
      <c r="Q1669" s="6" t="s">
        <v>2272</v>
      </c>
      <c r="R1669" s="6" t="s">
        <v>2272</v>
      </c>
      <c r="S1669" s="6" t="s">
        <v>2272</v>
      </c>
      <c r="T1669" s="6" t="s">
        <v>2272</v>
      </c>
      <c r="U1669" s="6" t="s">
        <v>2272</v>
      </c>
      <c r="V1669" s="6" t="s">
        <v>2272</v>
      </c>
      <c r="W1669" s="6" t="s">
        <v>2272</v>
      </c>
      <c r="X1669" s="6" t="s">
        <v>2272</v>
      </c>
      <c r="Y1669" s="6" t="s">
        <v>2272</v>
      </c>
      <c r="Z1669" s="6" t="s">
        <v>2272</v>
      </c>
      <c r="AA1669" s="4" t="s">
        <v>2272</v>
      </c>
      <c r="AB1669" s="3"/>
      <c r="AC1669" s="3"/>
    </row>
    <row r="1670" spans="1:29" ht="42" customHeight="1">
      <c r="A1670" s="147" t="str">
        <f>'Reported burning'!A1670</f>
        <v>199a</v>
      </c>
      <c r="B1670" s="147" t="str">
        <f>'Reported burning'!B1670</f>
        <v>199a.2</v>
      </c>
      <c r="C1670" s="147" t="str">
        <f>'Reported burning'!C1670</f>
        <v>Human, deliberate</v>
      </c>
      <c r="D1670" s="147" t="str">
        <f>'Reported burning'!D1670</f>
        <v>Pest management</v>
      </c>
      <c r="E1670" s="147" t="str">
        <f>'Reported burning'!E1670</f>
        <v>Pastoralism, Migratory</v>
      </c>
      <c r="F1670" s="147" t="str">
        <f>'Reported burning'!F1670</f>
        <v>Shrubland (Mixed forest &amp; grassland)</v>
      </c>
      <c r="G1670" s="147" t="str">
        <f>'Reported burning'!G1670</f>
        <v>ND</v>
      </c>
      <c r="H1670" s="147" t="str">
        <f>'Reported burning'!H1670</f>
        <v>Presence</v>
      </c>
      <c r="I1670" s="3">
        <v>1976</v>
      </c>
      <c r="J1670" s="4" t="s">
        <v>2272</v>
      </c>
      <c r="K1670" s="4" t="s">
        <v>2272</v>
      </c>
      <c r="L1670" s="4" t="s">
        <v>2272</v>
      </c>
      <c r="M1670" s="4" t="s">
        <v>2272</v>
      </c>
      <c r="N1670" s="4" t="s">
        <v>2272</v>
      </c>
      <c r="O1670" s="4" t="s">
        <v>2272</v>
      </c>
      <c r="P1670" s="4" t="s">
        <v>2272</v>
      </c>
      <c r="Q1670" s="4" t="s">
        <v>2272</v>
      </c>
      <c r="R1670" s="4" t="s">
        <v>2272</v>
      </c>
      <c r="S1670" s="4" t="s">
        <v>2272</v>
      </c>
      <c r="T1670" s="4" t="s">
        <v>2272</v>
      </c>
      <c r="U1670" s="4" t="s">
        <v>2272</v>
      </c>
      <c r="V1670" s="4" t="s">
        <v>2272</v>
      </c>
      <c r="W1670" s="4" t="s">
        <v>2272</v>
      </c>
      <c r="X1670" s="4" t="s">
        <v>2272</v>
      </c>
      <c r="Y1670" s="3" t="s">
        <v>37</v>
      </c>
      <c r="Z1670" s="3" t="s">
        <v>67</v>
      </c>
      <c r="AA1670" s="4" t="s">
        <v>2272</v>
      </c>
      <c r="AB1670" s="3"/>
      <c r="AC1670" s="3"/>
    </row>
    <row r="1671" spans="1:29" ht="42" customHeight="1">
      <c r="A1671" s="147" t="str">
        <f>'Reported burning'!A1671</f>
        <v>199a</v>
      </c>
      <c r="B1671" s="147" t="str">
        <f>'Reported burning'!B1671</f>
        <v>199a.3</v>
      </c>
      <c r="C1671" s="147" t="str">
        <f>'Reported burning'!C1671</f>
        <v>Human, deliberate</v>
      </c>
      <c r="D1671" s="147" t="str">
        <f>'Reported burning'!D1671</f>
        <v>Hunting</v>
      </c>
      <c r="E1671" s="147" t="str">
        <f>'Reported burning'!E1671</f>
        <v>Forestry, Traditional</v>
      </c>
      <c r="F1671" s="147" t="str">
        <f>'Reported burning'!F1671</f>
        <v>Shrubland (Mixed forest &amp; grassland)</v>
      </c>
      <c r="G1671" s="147" t="str">
        <f>'Reported burning'!G1671</f>
        <v>ND</v>
      </c>
      <c r="H1671" s="147" t="str">
        <f>'Reported burning'!H1671</f>
        <v>Presence</v>
      </c>
      <c r="I1671" s="3">
        <v>1976</v>
      </c>
      <c r="J1671" s="4" t="s">
        <v>2272</v>
      </c>
      <c r="K1671" s="4" t="s">
        <v>2272</v>
      </c>
      <c r="L1671" s="4" t="s">
        <v>2272</v>
      </c>
      <c r="M1671" s="4" t="s">
        <v>2272</v>
      </c>
      <c r="N1671" s="4" t="s">
        <v>2272</v>
      </c>
      <c r="O1671" s="4" t="s">
        <v>2272</v>
      </c>
      <c r="P1671" s="4" t="s">
        <v>2272</v>
      </c>
      <c r="Q1671" s="4" t="s">
        <v>2272</v>
      </c>
      <c r="R1671" s="4" t="s">
        <v>2272</v>
      </c>
      <c r="S1671" s="4" t="s">
        <v>2272</v>
      </c>
      <c r="T1671" s="4" t="s">
        <v>2272</v>
      </c>
      <c r="U1671" s="4" t="s">
        <v>2272</v>
      </c>
      <c r="V1671" s="4" t="s">
        <v>2272</v>
      </c>
      <c r="W1671" s="4" t="s">
        <v>2272</v>
      </c>
      <c r="X1671" s="4" t="s">
        <v>2272</v>
      </c>
      <c r="Y1671" s="4" t="s">
        <v>2272</v>
      </c>
      <c r="Z1671" s="4" t="s">
        <v>2272</v>
      </c>
      <c r="AA1671" s="4" t="s">
        <v>2272</v>
      </c>
      <c r="AB1671" s="3"/>
      <c r="AC1671" s="3"/>
    </row>
    <row r="1672" spans="1:29" ht="42" customHeight="1">
      <c r="A1672" s="147" t="str">
        <f>'Reported burning'!A1672</f>
        <v>199a</v>
      </c>
      <c r="B1672" s="147" t="str">
        <f>'Reported burning'!B1672</f>
        <v>199a.4</v>
      </c>
      <c r="C1672" s="147" t="str">
        <f>'Reported burning'!C1672</f>
        <v>Human, deliberate</v>
      </c>
      <c r="D1672" s="147" t="str">
        <f>'Reported burning'!D1672</f>
        <v>Pasture renewal</v>
      </c>
      <c r="E1672" s="147" t="str">
        <f>'Reported burning'!E1672</f>
        <v>Pastoralism, Migratory</v>
      </c>
      <c r="F1672" s="147" t="str">
        <f>'Reported burning'!F1672</f>
        <v>Shrubland (Mixed forest &amp; grassland)</v>
      </c>
      <c r="G1672" s="147" t="str">
        <f>'Reported burning'!G1672</f>
        <v>ND</v>
      </c>
      <c r="H1672" s="147"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4" t="s">
        <v>2272</v>
      </c>
      <c r="Y1672" s="4" t="s">
        <v>2272</v>
      </c>
      <c r="Z1672" s="4" t="s">
        <v>2272</v>
      </c>
      <c r="AA1672" s="4" t="s">
        <v>2272</v>
      </c>
      <c r="AB1672" s="3"/>
      <c r="AC1672" s="3"/>
    </row>
    <row r="1673" spans="1:29" ht="42" customHeight="1">
      <c r="A1673" s="147" t="str">
        <f>'Reported burning'!A1673</f>
        <v>199a</v>
      </c>
      <c r="B1673" s="147" t="str">
        <f>'Reported burning'!B1673</f>
        <v>199a.5</v>
      </c>
      <c r="C1673" s="147" t="str">
        <f>'Reported burning'!C1673</f>
        <v>Human, deliberate</v>
      </c>
      <c r="D1673" s="147" t="str">
        <f>'Reported burning'!D1673</f>
        <v>Pest management</v>
      </c>
      <c r="E1673" s="147" t="str">
        <f>'Reported burning'!E1673</f>
        <v>Pastoralism, Migratory</v>
      </c>
      <c r="F1673" s="147" t="str">
        <f>'Reported burning'!F1673</f>
        <v>Shrubland (Mixed forest &amp; grassland)</v>
      </c>
      <c r="G1673" s="147" t="str">
        <f>'Reported burning'!G1673</f>
        <v>ND</v>
      </c>
      <c r="H1673" s="147"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4" t="s">
        <v>2272</v>
      </c>
      <c r="Y1673" s="4" t="s">
        <v>2272</v>
      </c>
      <c r="Z1673" s="4" t="s">
        <v>2272</v>
      </c>
      <c r="AA1673" s="4" t="s">
        <v>2272</v>
      </c>
      <c r="AB1673" s="3"/>
      <c r="AC1673" s="3"/>
    </row>
    <row r="1674" spans="1:29" ht="42" customHeight="1">
      <c r="A1674" s="147" t="str">
        <f>'Reported burning'!A1674</f>
        <v>199a</v>
      </c>
      <c r="B1674" s="147" t="str">
        <f>'Reported burning'!B1674</f>
        <v>199a.6</v>
      </c>
      <c r="C1674" s="147" t="str">
        <f>'Reported burning'!C1674</f>
        <v>Human, deliberate</v>
      </c>
      <c r="D1674" s="147" t="str">
        <f>'Reported burning'!D1674</f>
        <v>Hunting</v>
      </c>
      <c r="E1674" s="147" t="str">
        <f>'Reported burning'!E1674</f>
        <v>Forestry, Traditional</v>
      </c>
      <c r="F1674" s="147" t="str">
        <f>'Reported burning'!F1674</f>
        <v>Shrubland (Mixed forest &amp; grassland)</v>
      </c>
      <c r="G1674" s="147" t="str">
        <f>'Reported burning'!G1674</f>
        <v>ND</v>
      </c>
      <c r="H1674" s="147"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4" t="s">
        <v>2272</v>
      </c>
      <c r="Y1674" s="4" t="s">
        <v>2272</v>
      </c>
      <c r="Z1674" s="4" t="s">
        <v>2272</v>
      </c>
      <c r="AA1674" s="4" t="s">
        <v>2272</v>
      </c>
      <c r="AB1674" s="3"/>
      <c r="AC1674" s="3"/>
    </row>
    <row r="1675" spans="1:29" ht="42" customHeight="1">
      <c r="A1675" s="147" t="str">
        <f>'Reported burning'!A1675</f>
        <v>199a</v>
      </c>
      <c r="B1675" s="147" t="str">
        <f>'Reported burning'!B1675</f>
        <v>199a.7</v>
      </c>
      <c r="C1675" s="147" t="str">
        <f>'Reported burning'!C1675</f>
        <v>Human, deliberate</v>
      </c>
      <c r="D1675" s="147" t="str">
        <f>'Reported burning'!D1675</f>
        <v>ND</v>
      </c>
      <c r="E1675" s="147" t="str">
        <f>'Reported burning'!E1675</f>
        <v>Pastoralism, Migratory</v>
      </c>
      <c r="F1675" s="147" t="str">
        <f>'Reported burning'!F1675</f>
        <v>Shrubland (Mixed forest &amp; grassland)</v>
      </c>
      <c r="G1675" s="147" t="str">
        <f>'Reported burning'!G1675</f>
        <v>ND</v>
      </c>
      <c r="H1675" s="147" t="str">
        <f>'Reported burning'!H1675</f>
        <v>Presence</v>
      </c>
      <c r="I1675" s="3">
        <v>2004</v>
      </c>
      <c r="J1675" s="4" t="s">
        <v>2272</v>
      </c>
      <c r="K1675" s="4" t="s">
        <v>2272</v>
      </c>
      <c r="L1675" s="4" t="s">
        <v>2272</v>
      </c>
      <c r="M1675" s="4" t="s">
        <v>2272</v>
      </c>
      <c r="N1675" s="4" t="s">
        <v>2272</v>
      </c>
      <c r="O1675" s="4" t="s">
        <v>2272</v>
      </c>
      <c r="P1675" s="4" t="s">
        <v>2272</v>
      </c>
      <c r="Q1675" s="4" t="s">
        <v>2272</v>
      </c>
      <c r="R1675" s="4" t="s">
        <v>2272</v>
      </c>
      <c r="S1675" s="4" t="s">
        <v>2272</v>
      </c>
      <c r="T1675" s="4" t="s">
        <v>2272</v>
      </c>
      <c r="U1675" s="4" t="s">
        <v>2272</v>
      </c>
      <c r="V1675" s="4" t="s">
        <v>2272</v>
      </c>
      <c r="W1675" s="4" t="s">
        <v>2272</v>
      </c>
      <c r="X1675" s="4" t="s">
        <v>2272</v>
      </c>
      <c r="Y1675" s="3" t="s">
        <v>37</v>
      </c>
      <c r="Z1675" s="3" t="s">
        <v>67</v>
      </c>
      <c r="AA1675" s="4" t="s">
        <v>2272</v>
      </c>
      <c r="AB1675" s="4" t="s">
        <v>4986</v>
      </c>
      <c r="AC1675" s="3"/>
    </row>
    <row r="1676" spans="1:29" ht="42" customHeight="1">
      <c r="A1676" s="147" t="str">
        <f>'Reported burning'!A1676</f>
        <v>199a</v>
      </c>
      <c r="B1676" s="147" t="str">
        <f>'Reported burning'!B1676</f>
        <v>199a.8</v>
      </c>
      <c r="C1676" s="147" t="str">
        <f>'Reported burning'!C1676</f>
        <v>Human, deliberate</v>
      </c>
      <c r="D1676" s="147" t="str">
        <f>'Reported burning'!D1676</f>
        <v>ND</v>
      </c>
      <c r="E1676" s="147" t="str">
        <f>'Reported burning'!E1676</f>
        <v>Forestry, Traditional</v>
      </c>
      <c r="F1676" s="147" t="str">
        <f>'Reported burning'!F1676</f>
        <v>Shrubland (Mixed forest &amp; grassland)</v>
      </c>
      <c r="G1676" s="147" t="str">
        <f>'Reported burning'!G1676</f>
        <v>ND</v>
      </c>
      <c r="H1676" s="147" t="str">
        <f>'Reported burning'!H1676</f>
        <v>Presence</v>
      </c>
      <c r="I1676" s="3">
        <v>2004</v>
      </c>
      <c r="J1676" s="4" t="s">
        <v>2272</v>
      </c>
      <c r="K1676" s="4" t="s">
        <v>2272</v>
      </c>
      <c r="L1676" s="4" t="s">
        <v>2272</v>
      </c>
      <c r="M1676" s="4" t="s">
        <v>2272</v>
      </c>
      <c r="N1676" s="4" t="s">
        <v>2272</v>
      </c>
      <c r="O1676" s="4" t="s">
        <v>2272</v>
      </c>
      <c r="P1676" s="4" t="s">
        <v>2272</v>
      </c>
      <c r="Q1676" s="4" t="s">
        <v>2272</v>
      </c>
      <c r="R1676" s="4" t="s">
        <v>2272</v>
      </c>
      <c r="S1676" s="4" t="s">
        <v>2272</v>
      </c>
      <c r="T1676" s="4" t="s">
        <v>2272</v>
      </c>
      <c r="U1676" s="4" t="s">
        <v>2272</v>
      </c>
      <c r="V1676" s="4" t="s">
        <v>2272</v>
      </c>
      <c r="W1676" s="4" t="s">
        <v>2272</v>
      </c>
      <c r="X1676" s="4" t="s">
        <v>2272</v>
      </c>
      <c r="Y1676" s="3" t="s">
        <v>37</v>
      </c>
      <c r="Z1676" s="3" t="s">
        <v>67</v>
      </c>
      <c r="AA1676" s="4" t="s">
        <v>2272</v>
      </c>
      <c r="AB1676" s="4" t="s">
        <v>4986</v>
      </c>
      <c r="AC1676" s="3"/>
    </row>
    <row r="1677" spans="1:29" ht="46" customHeight="1">
      <c r="A1677" s="147" t="str">
        <f>'Reported burning'!A1677</f>
        <v>200a</v>
      </c>
      <c r="B1677" s="147" t="str">
        <f>'Reported burning'!B1677</f>
        <v>200a.1</v>
      </c>
      <c r="C1677" s="147" t="str">
        <f>'Reported burning'!C1677</f>
        <v>Human, deliberate</v>
      </c>
      <c r="D1677" s="147" t="str">
        <f>'Reported burning'!D1677</f>
        <v>Pasture renewal</v>
      </c>
      <c r="E1677" s="147" t="str">
        <f>'Reported burning'!E1677</f>
        <v>Pastoralism, Migratory</v>
      </c>
      <c r="F1677" s="147" t="str">
        <f>'Reported burning'!F1677</f>
        <v>Shrubland (Mixed forest &amp; grassland)</v>
      </c>
      <c r="G1677" s="147" t="str">
        <f>'Reported burning'!G1677</f>
        <v>ND</v>
      </c>
      <c r="H1677" s="147" t="str">
        <f>'Reported burning'!H1677</f>
        <v>Presence</v>
      </c>
      <c r="I1677" s="3"/>
      <c r="J1677" s="4" t="s">
        <v>2272</v>
      </c>
      <c r="K1677" s="4" t="s">
        <v>2272</v>
      </c>
      <c r="L1677" s="4" t="s">
        <v>2272</v>
      </c>
      <c r="M1677" s="4" t="s">
        <v>2272</v>
      </c>
      <c r="N1677" s="4" t="s">
        <v>2272</v>
      </c>
      <c r="O1677" s="4" t="s">
        <v>2272</v>
      </c>
      <c r="P1677" s="4" t="s">
        <v>2272</v>
      </c>
      <c r="Q1677" s="4" t="s">
        <v>2272</v>
      </c>
      <c r="R1677" s="4" t="s">
        <v>2272</v>
      </c>
      <c r="S1677" s="4" t="s">
        <v>2272</v>
      </c>
      <c r="T1677" s="4" t="s">
        <v>2272</v>
      </c>
      <c r="U1677" s="4" t="s">
        <v>2272</v>
      </c>
      <c r="V1677" s="4" t="s">
        <v>2272</v>
      </c>
      <c r="W1677" s="4" t="s">
        <v>2272</v>
      </c>
      <c r="X1677" s="4" t="s">
        <v>2272</v>
      </c>
      <c r="Y1677" s="4" t="s">
        <v>2272</v>
      </c>
      <c r="Z1677" s="4" t="s">
        <v>2272</v>
      </c>
      <c r="AA1677" s="4" t="s">
        <v>2272</v>
      </c>
      <c r="AB1677" s="4"/>
      <c r="AC1677" s="3"/>
    </row>
    <row r="1678" spans="1:29" ht="46" customHeight="1">
      <c r="A1678" s="147" t="str">
        <f>'Reported burning'!A1678</f>
        <v>200a</v>
      </c>
      <c r="B1678" s="147" t="str">
        <f>'Reported burning'!B1678</f>
        <v>200a.2</v>
      </c>
      <c r="C1678" s="147" t="str">
        <f>'Reported burning'!C1678</f>
        <v>Human, deliberate</v>
      </c>
      <c r="D1678" s="147" t="str">
        <f>'Reported burning'!D1678</f>
        <v>Hunting</v>
      </c>
      <c r="E1678" s="147" t="str">
        <f>'Reported burning'!E1678</f>
        <v>Forestry, Traditional</v>
      </c>
      <c r="F1678" s="147" t="str">
        <f>'Reported burning'!F1678</f>
        <v>Shrubland (Mixed forest &amp; grassland)</v>
      </c>
      <c r="G1678" s="147" t="str">
        <f>'Reported burning'!G1678</f>
        <v>ND</v>
      </c>
      <c r="H1678" s="147" t="str">
        <f>'Reported burning'!H1678</f>
        <v>Presence</v>
      </c>
      <c r="I1678" s="3"/>
      <c r="J1678" s="4" t="s">
        <v>2272</v>
      </c>
      <c r="K1678" s="4" t="s">
        <v>2272</v>
      </c>
      <c r="L1678" s="4" t="s">
        <v>2272</v>
      </c>
      <c r="M1678" s="4" t="s">
        <v>2272</v>
      </c>
      <c r="N1678" s="4" t="s">
        <v>2272</v>
      </c>
      <c r="O1678" s="4" t="s">
        <v>2272</v>
      </c>
      <c r="P1678" s="4" t="s">
        <v>2272</v>
      </c>
      <c r="Q1678" s="4" t="s">
        <v>2272</v>
      </c>
      <c r="R1678" s="4" t="s">
        <v>2272</v>
      </c>
      <c r="S1678" s="4" t="s">
        <v>2272</v>
      </c>
      <c r="T1678" s="4" t="s">
        <v>2272</v>
      </c>
      <c r="U1678" s="4" t="s">
        <v>2272</v>
      </c>
      <c r="V1678" s="4" t="s">
        <v>2272</v>
      </c>
      <c r="W1678" s="4" t="s">
        <v>2272</v>
      </c>
      <c r="X1678" s="4" t="s">
        <v>2272</v>
      </c>
      <c r="Y1678" s="4" t="s">
        <v>2272</v>
      </c>
      <c r="Z1678" s="4" t="s">
        <v>2272</v>
      </c>
      <c r="AA1678" s="4" t="s">
        <v>2272</v>
      </c>
      <c r="AB1678" s="4"/>
      <c r="AC1678" s="3"/>
    </row>
    <row r="1679" spans="1:29" ht="42" customHeight="1">
      <c r="A1679" s="147" t="str">
        <f>'Reported burning'!A1679</f>
        <v>200a</v>
      </c>
      <c r="B1679" s="147" t="str">
        <f>'Reported burning'!B1679</f>
        <v>200a.3</v>
      </c>
      <c r="C1679" s="147" t="str">
        <f>'Reported burning'!C1679</f>
        <v>Human, deliberate</v>
      </c>
      <c r="D1679" s="147" t="str">
        <f>'Reported burning'!D1679</f>
        <v>Vegetation management</v>
      </c>
      <c r="E1679" s="147" t="str">
        <f>'Reported burning'!E1679</f>
        <v>Pastoralism, Migratory</v>
      </c>
      <c r="F1679" s="147" t="str">
        <f>'Reported burning'!F1679</f>
        <v>Shrubland (Mixed forest &amp; grassland)</v>
      </c>
      <c r="G1679" s="147" t="str">
        <f>'Reported burning'!G1679</f>
        <v>ND</v>
      </c>
      <c r="H1679" s="147" t="str">
        <f>'Reported burning'!H1679</f>
        <v>Presence</v>
      </c>
      <c r="I1679" s="3"/>
      <c r="J1679" s="4" t="s">
        <v>2272</v>
      </c>
      <c r="K1679" s="4" t="s">
        <v>2272</v>
      </c>
      <c r="L1679" s="4" t="s">
        <v>2272</v>
      </c>
      <c r="M1679" s="4" t="s">
        <v>2272</v>
      </c>
      <c r="N1679" s="4" t="s">
        <v>2272</v>
      </c>
      <c r="O1679" s="4" t="s">
        <v>2272</v>
      </c>
      <c r="P1679" s="4" t="s">
        <v>2272</v>
      </c>
      <c r="Q1679" s="4" t="s">
        <v>2272</v>
      </c>
      <c r="R1679" s="4" t="s">
        <v>2272</v>
      </c>
      <c r="S1679" s="4" t="s">
        <v>2272</v>
      </c>
      <c r="T1679" s="4" t="s">
        <v>2272</v>
      </c>
      <c r="U1679" s="4" t="s">
        <v>2272</v>
      </c>
      <c r="V1679" s="4" t="s">
        <v>2272</v>
      </c>
      <c r="W1679" s="4" t="s">
        <v>2272</v>
      </c>
      <c r="X1679" s="4" t="s">
        <v>2272</v>
      </c>
      <c r="Y1679" s="4" t="s">
        <v>2272</v>
      </c>
      <c r="Z1679" s="4" t="s">
        <v>2272</v>
      </c>
      <c r="AA1679" s="4" t="s">
        <v>2272</v>
      </c>
      <c r="AB1679" s="4" t="s">
        <v>4997</v>
      </c>
      <c r="AC1679" s="3"/>
    </row>
    <row r="1680" spans="1:29" ht="33.5" customHeight="1">
      <c r="A1680" s="147" t="str">
        <f>'Reported burning'!A1680</f>
        <v>200a</v>
      </c>
      <c r="B1680" s="147" t="str">
        <f>'Reported burning'!B1680</f>
        <v>200a.4</v>
      </c>
      <c r="C1680" s="147" t="str">
        <f>'Reported burning'!C1680</f>
        <v>Human, deliberate</v>
      </c>
      <c r="D1680" s="147" t="str">
        <f>'Reported burning'!D1680</f>
        <v>Vegetation management</v>
      </c>
      <c r="E1680" s="147" t="str">
        <f>'Reported burning'!E1680</f>
        <v>Forestry, Traditional</v>
      </c>
      <c r="F1680" s="147" t="str">
        <f>'Reported burning'!F1680</f>
        <v>Shrubland (Mixed forest &amp; grassland)</v>
      </c>
      <c r="G1680" s="147" t="str">
        <f>'Reported burning'!G1680</f>
        <v>ND</v>
      </c>
      <c r="H1680" s="147" t="str">
        <f>'Reported burning'!H1680</f>
        <v>Presence</v>
      </c>
      <c r="I1680" s="3"/>
      <c r="J1680" s="4" t="s">
        <v>2272</v>
      </c>
      <c r="K1680" s="4" t="s">
        <v>2272</v>
      </c>
      <c r="L1680" s="4" t="s">
        <v>2272</v>
      </c>
      <c r="M1680" s="4" t="s">
        <v>2272</v>
      </c>
      <c r="N1680" s="4" t="s">
        <v>2272</v>
      </c>
      <c r="O1680" s="4" t="s">
        <v>2272</v>
      </c>
      <c r="P1680" s="4" t="s">
        <v>2272</v>
      </c>
      <c r="Q1680" s="4" t="s">
        <v>2272</v>
      </c>
      <c r="R1680" s="4" t="s">
        <v>2272</v>
      </c>
      <c r="S1680" s="4" t="s">
        <v>2272</v>
      </c>
      <c r="T1680" s="4" t="s">
        <v>2272</v>
      </c>
      <c r="U1680" s="4" t="s">
        <v>2272</v>
      </c>
      <c r="V1680" s="4" t="s">
        <v>2272</v>
      </c>
      <c r="W1680" s="4" t="s">
        <v>2272</v>
      </c>
      <c r="X1680" s="4" t="s">
        <v>2272</v>
      </c>
      <c r="Y1680" s="4" t="s">
        <v>2272</v>
      </c>
      <c r="Z1680" s="4" t="s">
        <v>2272</v>
      </c>
      <c r="AA1680" s="4" t="s">
        <v>2272</v>
      </c>
      <c r="AB1680" s="4" t="s">
        <v>4997</v>
      </c>
      <c r="AC1680" s="3"/>
    </row>
    <row r="1681" spans="1:29" ht="50" customHeight="1">
      <c r="A1681" s="147" t="str">
        <f>'Reported burning'!A1681</f>
        <v>201a</v>
      </c>
      <c r="B1681" s="147" t="str">
        <f>'Reported burning'!B1681</f>
        <v>201a.1</v>
      </c>
      <c r="C1681" s="147" t="str">
        <f>'Reported burning'!C1681</f>
        <v>Human, deliberate</v>
      </c>
      <c r="D1681" s="147" t="str">
        <f>'Reported burning'!D1681</f>
        <v>Pasture renewal</v>
      </c>
      <c r="E1681" s="147" t="str">
        <f>'Reported burning'!E1681</f>
        <v>Pastoralism, Migratory</v>
      </c>
      <c r="F1681" s="147" t="str">
        <f>'Reported burning'!F1681</f>
        <v>Forest</v>
      </c>
      <c r="G1681" s="147" t="str">
        <f>'Reported burning'!G1681</f>
        <v>ND</v>
      </c>
      <c r="H1681" s="147" t="str">
        <f>'Reported burning'!H1681</f>
        <v>Absence</v>
      </c>
      <c r="I1681" s="3"/>
      <c r="J1681" s="3">
        <v>0</v>
      </c>
      <c r="K1681" s="198">
        <v>0</v>
      </c>
      <c r="L1681" s="3">
        <v>0</v>
      </c>
      <c r="M1681" s="3">
        <v>0</v>
      </c>
      <c r="N1681" s="3">
        <v>0</v>
      </c>
      <c r="O1681" s="3">
        <v>0</v>
      </c>
      <c r="P1681" s="3">
        <v>0</v>
      </c>
      <c r="Q1681" s="3">
        <v>0</v>
      </c>
      <c r="R1681" s="3">
        <v>0</v>
      </c>
      <c r="S1681" s="3">
        <v>0</v>
      </c>
      <c r="T1681" s="3">
        <v>0</v>
      </c>
      <c r="U1681" s="3">
        <v>0</v>
      </c>
      <c r="V1681" s="3">
        <v>0</v>
      </c>
      <c r="W1681" s="3">
        <v>0</v>
      </c>
      <c r="X1681" s="4" t="s">
        <v>2272</v>
      </c>
      <c r="Y1681" s="4" t="s">
        <v>2272</v>
      </c>
      <c r="Z1681" s="4" t="s">
        <v>2272</v>
      </c>
      <c r="AA1681" s="4" t="s">
        <v>2272</v>
      </c>
      <c r="AB1681" s="4" t="s">
        <v>5092</v>
      </c>
      <c r="AC1681" s="3"/>
    </row>
    <row r="1682" spans="1:29" ht="50" customHeight="1">
      <c r="A1682" s="147" t="str">
        <f>'Reported burning'!A1682</f>
        <v>201a</v>
      </c>
      <c r="B1682" s="147" t="str">
        <f>'Reported burning'!B1682</f>
        <v>201a.2</v>
      </c>
      <c r="C1682" s="147" t="str">
        <f>'Reported burning'!C1682</f>
        <v>Human, deliberate</v>
      </c>
      <c r="D1682" s="147" t="str">
        <f>'Reported burning'!D1682</f>
        <v>Forest management</v>
      </c>
      <c r="E1682" s="147" t="str">
        <f>'Reported burning'!E1682</f>
        <v>Pastoralism, Migratory</v>
      </c>
      <c r="F1682" s="147" t="str">
        <f>'Reported burning'!F1682</f>
        <v>Forest</v>
      </c>
      <c r="G1682" s="147" t="str">
        <f>'Reported burning'!G1682</f>
        <v>ND</v>
      </c>
      <c r="H1682" s="147" t="str">
        <f>'Reported burning'!H1682</f>
        <v>Absence</v>
      </c>
      <c r="I1682" s="3"/>
      <c r="J1682" s="3">
        <v>0</v>
      </c>
      <c r="K1682" s="198">
        <v>0</v>
      </c>
      <c r="L1682" s="3">
        <v>0</v>
      </c>
      <c r="M1682" s="3">
        <v>0</v>
      </c>
      <c r="N1682" s="3">
        <v>0</v>
      </c>
      <c r="O1682" s="3">
        <v>0</v>
      </c>
      <c r="P1682" s="3">
        <v>0</v>
      </c>
      <c r="Q1682" s="3">
        <v>0</v>
      </c>
      <c r="R1682" s="3">
        <v>0</v>
      </c>
      <c r="S1682" s="3">
        <v>0</v>
      </c>
      <c r="T1682" s="3">
        <v>0</v>
      </c>
      <c r="U1682" s="3">
        <v>0</v>
      </c>
      <c r="V1682" s="3">
        <v>0</v>
      </c>
      <c r="W1682" s="3">
        <v>0</v>
      </c>
      <c r="X1682" s="4" t="s">
        <v>2272</v>
      </c>
      <c r="Y1682" s="4" t="s">
        <v>2272</v>
      </c>
      <c r="Z1682" s="4" t="s">
        <v>2272</v>
      </c>
      <c r="AA1682" s="4" t="s">
        <v>2272</v>
      </c>
      <c r="AB1682" s="4" t="s">
        <v>5092</v>
      </c>
      <c r="AC1682" s="3"/>
    </row>
    <row r="1683" spans="1:29" ht="50" customHeight="1">
      <c r="A1683" s="147" t="str">
        <f>'Reported burning'!A1683</f>
        <v>201a</v>
      </c>
      <c r="B1683" s="147" t="str">
        <f>'Reported burning'!B1683</f>
        <v>201a.3</v>
      </c>
      <c r="C1683" s="147" t="str">
        <f>'Reported burning'!C1683</f>
        <v>Human, deliberate</v>
      </c>
      <c r="D1683" s="147" t="str">
        <f>'Reported burning'!D1683</f>
        <v>Conservation</v>
      </c>
      <c r="E1683" s="147" t="str">
        <f>'Reported burning'!E1683</f>
        <v>Biodiversity conservation</v>
      </c>
      <c r="F1683" s="147" t="str">
        <f>'Reported burning'!F1683</f>
        <v>Forest</v>
      </c>
      <c r="G1683" s="147" t="str">
        <f>'Reported burning'!G1683</f>
        <v>ND</v>
      </c>
      <c r="H1683" s="147" t="str">
        <f>'Reported burning'!H1683</f>
        <v>Presence</v>
      </c>
      <c r="I1683" s="3"/>
      <c r="J1683" s="4" t="s">
        <v>2272</v>
      </c>
      <c r="K1683" s="4" t="s">
        <v>2272</v>
      </c>
      <c r="L1683" s="4" t="s">
        <v>2272</v>
      </c>
      <c r="M1683" s="4" t="s">
        <v>2272</v>
      </c>
      <c r="N1683" s="4" t="s">
        <v>2272</v>
      </c>
      <c r="O1683" s="4" t="s">
        <v>2272</v>
      </c>
      <c r="P1683" s="4" t="s">
        <v>2272</v>
      </c>
      <c r="Q1683" s="4" t="s">
        <v>2272</v>
      </c>
      <c r="R1683" s="4" t="s">
        <v>2272</v>
      </c>
      <c r="S1683" s="4" t="s">
        <v>2272</v>
      </c>
      <c r="T1683" s="4" t="s">
        <v>2272</v>
      </c>
      <c r="U1683" s="4" t="s">
        <v>2272</v>
      </c>
      <c r="V1683" s="4" t="s">
        <v>2272</v>
      </c>
      <c r="W1683" s="4" t="s">
        <v>2272</v>
      </c>
      <c r="X1683" s="4" t="s">
        <v>2272</v>
      </c>
      <c r="Y1683" s="4" t="s">
        <v>2272</v>
      </c>
      <c r="Z1683" s="4" t="s">
        <v>2272</v>
      </c>
      <c r="AA1683" s="4" t="s">
        <v>2272</v>
      </c>
      <c r="AB1683" s="4" t="s">
        <v>5091</v>
      </c>
      <c r="AC1683" s="3"/>
    </row>
    <row r="1684" spans="1:29" ht="46.5" customHeight="1">
      <c r="A1684" s="147" t="str">
        <f>'Reported burning'!A1684</f>
        <v>202a</v>
      </c>
      <c r="B1684" s="147" t="str">
        <f>'Reported burning'!B1684</f>
        <v>202a.1</v>
      </c>
      <c r="C1684" s="147" t="str">
        <f>'Reported burning'!C1684</f>
        <v>Human, deliberate</v>
      </c>
      <c r="D1684" s="147" t="str">
        <f>'Reported burning'!D1684</f>
        <v>Rangeland management</v>
      </c>
      <c r="E1684" s="147" t="str">
        <f>'Reported burning'!E1684</f>
        <v>Pastoralism, Migratory</v>
      </c>
      <c r="F1684" s="147" t="str">
        <f>'Reported burning'!F1684</f>
        <v>Shrubland (Mixed forest &amp; grassland)</v>
      </c>
      <c r="G1684" s="147" t="str">
        <f>'Reported burning'!G1684</f>
        <v>ND</v>
      </c>
      <c r="H1684" s="147" t="str">
        <f>'Reported burning'!H1684</f>
        <v>Presence</v>
      </c>
      <c r="I1684" s="3"/>
      <c r="J1684" s="4" t="s">
        <v>2272</v>
      </c>
      <c r="K1684" s="4" t="s">
        <v>2272</v>
      </c>
      <c r="L1684" s="4" t="s">
        <v>2272</v>
      </c>
      <c r="M1684" s="4" t="s">
        <v>2272</v>
      </c>
      <c r="N1684" s="4" t="s">
        <v>2272</v>
      </c>
      <c r="O1684" s="4" t="s">
        <v>2272</v>
      </c>
      <c r="P1684" s="4" t="s">
        <v>2272</v>
      </c>
      <c r="Q1684" s="4" t="s">
        <v>2272</v>
      </c>
      <c r="R1684" s="4" t="s">
        <v>2272</v>
      </c>
      <c r="S1684" s="4" t="s">
        <v>2272</v>
      </c>
      <c r="T1684" s="4" t="s">
        <v>2272</v>
      </c>
      <c r="U1684" s="4" t="s">
        <v>2272</v>
      </c>
      <c r="V1684" s="4" t="s">
        <v>2272</v>
      </c>
      <c r="W1684" s="4" t="s">
        <v>2272</v>
      </c>
      <c r="X1684" s="4" t="s">
        <v>2272</v>
      </c>
      <c r="Y1684" s="4" t="s">
        <v>2272</v>
      </c>
      <c r="Z1684" s="4" t="s">
        <v>2272</v>
      </c>
      <c r="AA1684" s="4" t="s">
        <v>2272</v>
      </c>
      <c r="AB1684" s="3"/>
      <c r="AC1684" s="3"/>
    </row>
    <row r="1685" spans="1:29" ht="72.5">
      <c r="A1685" s="147" t="str">
        <f>'Reported burning'!A1685</f>
        <v>203a</v>
      </c>
      <c r="B1685" s="147" t="str">
        <f>'Reported burning'!B1685</f>
        <v>203a.1</v>
      </c>
      <c r="C1685" s="147" t="str">
        <f>'Reported burning'!C1685</f>
        <v>Human, deliberate</v>
      </c>
      <c r="D1685" s="147" t="str">
        <f>'Reported burning'!D1685</f>
        <v>Pest management</v>
      </c>
      <c r="E1685" s="147" t="str">
        <f>'Reported burning'!E1685</f>
        <v>Pastoralism, Migratory</v>
      </c>
      <c r="F1685" s="147" t="str">
        <f>'Reported burning'!F1685</f>
        <v>Shrubland (Mixed forest &amp; grassland)</v>
      </c>
      <c r="G1685" s="147" t="str">
        <f>'Reported burning'!G1685</f>
        <v>ND</v>
      </c>
      <c r="H1685" s="147" t="str">
        <f>'Reported burning'!H1685</f>
        <v>Presence</v>
      </c>
      <c r="I1685" s="3"/>
      <c r="J1685" s="4" t="s">
        <v>2272</v>
      </c>
      <c r="K1685" s="4" t="s">
        <v>2272</v>
      </c>
      <c r="L1685" s="4" t="s">
        <v>2272</v>
      </c>
      <c r="M1685" s="4" t="s">
        <v>2272</v>
      </c>
      <c r="N1685" s="4" t="s">
        <v>2272</v>
      </c>
      <c r="O1685" s="4" t="s">
        <v>2272</v>
      </c>
      <c r="P1685" s="4" t="s">
        <v>2272</v>
      </c>
      <c r="Q1685" s="4" t="s">
        <v>2272</v>
      </c>
      <c r="R1685" s="4" t="s">
        <v>2272</v>
      </c>
      <c r="S1685" s="4" t="s">
        <v>2272</v>
      </c>
      <c r="T1685" s="4" t="s">
        <v>2272</v>
      </c>
      <c r="U1685" s="4" t="s">
        <v>2272</v>
      </c>
      <c r="V1685" s="4" t="s">
        <v>2272</v>
      </c>
      <c r="W1685" s="4" t="s">
        <v>2272</v>
      </c>
      <c r="X1685" s="4" t="s">
        <v>2272</v>
      </c>
      <c r="Y1685" s="4" t="s">
        <v>2272</v>
      </c>
      <c r="Z1685" s="4" t="s">
        <v>2272</v>
      </c>
      <c r="AA1685" s="4" t="s">
        <v>2272</v>
      </c>
      <c r="AB1685" s="4" t="s">
        <v>5107</v>
      </c>
      <c r="AC1685" s="3"/>
    </row>
    <row r="1686" spans="1:29" ht="51.5" customHeight="1">
      <c r="A1686" s="147" t="str">
        <f>'Reported burning'!A1686</f>
        <v>203a</v>
      </c>
      <c r="B1686" s="147" t="str">
        <f>'Reported burning'!B1686</f>
        <v>203a.2</v>
      </c>
      <c r="C1686" s="147" t="str">
        <f>'Reported burning'!C1686</f>
        <v>Human, deliberate</v>
      </c>
      <c r="D1686" s="147" t="str">
        <f>'Reported burning'!D1686</f>
        <v>Pest management</v>
      </c>
      <c r="E1686" s="147" t="str">
        <f>'Reported burning'!E1686</f>
        <v>Cattle, Extensive</v>
      </c>
      <c r="F1686" s="147" t="str">
        <f>'Reported burning'!F1686</f>
        <v>Shrubland (Mixed forest &amp; grassland)</v>
      </c>
      <c r="G1686" s="147" t="str">
        <f>'Reported burning'!G1686</f>
        <v>ND</v>
      </c>
      <c r="H1686" s="147" t="str">
        <f>'Reported burning'!H1686</f>
        <v>Presence</v>
      </c>
      <c r="I1686" s="3"/>
      <c r="J1686" s="4" t="s">
        <v>2272</v>
      </c>
      <c r="K1686" s="4" t="s">
        <v>2272</v>
      </c>
      <c r="L1686" s="4" t="s">
        <v>2272</v>
      </c>
      <c r="M1686" s="4" t="s">
        <v>2272</v>
      </c>
      <c r="N1686" s="4" t="s">
        <v>2272</v>
      </c>
      <c r="O1686" s="4" t="s">
        <v>2272</v>
      </c>
      <c r="P1686" s="4" t="s">
        <v>2272</v>
      </c>
      <c r="Q1686" s="4" t="s">
        <v>2272</v>
      </c>
      <c r="R1686" s="4" t="s">
        <v>2272</v>
      </c>
      <c r="S1686" s="4" t="s">
        <v>2272</v>
      </c>
      <c r="T1686" s="4" t="s">
        <v>2272</v>
      </c>
      <c r="U1686" s="4" t="s">
        <v>2272</v>
      </c>
      <c r="V1686" s="4" t="s">
        <v>2272</v>
      </c>
      <c r="W1686" s="4" t="s">
        <v>2272</v>
      </c>
      <c r="X1686" s="4" t="s">
        <v>2272</v>
      </c>
      <c r="Y1686" s="4" t="s">
        <v>2272</v>
      </c>
      <c r="Z1686" s="4" t="s">
        <v>2272</v>
      </c>
      <c r="AA1686" s="4" t="s">
        <v>2272</v>
      </c>
      <c r="AB1686" s="4" t="s">
        <v>5108</v>
      </c>
      <c r="AC1686" s="3"/>
    </row>
    <row r="1687" spans="1:29" ht="31" customHeight="1">
      <c r="A1687" s="147" t="str">
        <f>'Reported burning'!A1687</f>
        <v>204a</v>
      </c>
      <c r="B1687" s="147" t="str">
        <f>'Reported burning'!B1687</f>
        <v>204a.1</v>
      </c>
      <c r="C1687" s="147" t="str">
        <f>'Reported burning'!C1687</f>
        <v>Human, deliberate</v>
      </c>
      <c r="D1687" s="147" t="str">
        <f>'Reported burning'!D1687</f>
        <v>Rangeland management</v>
      </c>
      <c r="E1687" s="147" t="str">
        <f>'Reported burning'!E1687</f>
        <v>Pastoralism, Migratory</v>
      </c>
      <c r="F1687" s="147" t="str">
        <f>'Reported burning'!F1687</f>
        <v>Shrubland (Mixed forest &amp; grassland)</v>
      </c>
      <c r="G1687" s="147" t="str">
        <f>'Reported burning'!G1687</f>
        <v>ND</v>
      </c>
      <c r="H1687" s="147" t="str">
        <f>'Reported burning'!H1687</f>
        <v>Presence</v>
      </c>
      <c r="I1687" s="3"/>
      <c r="J1687" s="4" t="s">
        <v>2272</v>
      </c>
      <c r="K1687" s="4" t="s">
        <v>2272</v>
      </c>
      <c r="L1687" s="4" t="s">
        <v>2272</v>
      </c>
      <c r="M1687" s="4" t="s">
        <v>2272</v>
      </c>
      <c r="N1687" s="4" t="s">
        <v>2272</v>
      </c>
      <c r="O1687" s="4" t="s">
        <v>2272</v>
      </c>
      <c r="P1687" s="4" t="s">
        <v>2272</v>
      </c>
      <c r="Q1687" s="4" t="s">
        <v>2272</v>
      </c>
      <c r="R1687" s="4" t="s">
        <v>2272</v>
      </c>
      <c r="S1687" s="4" t="s">
        <v>2272</v>
      </c>
      <c r="T1687" s="4" t="s">
        <v>2272</v>
      </c>
      <c r="U1687" s="4" t="s">
        <v>2272</v>
      </c>
      <c r="V1687" s="4" t="s">
        <v>2272</v>
      </c>
      <c r="W1687" s="4" t="s">
        <v>2272</v>
      </c>
      <c r="X1687" s="4" t="s">
        <v>2272</v>
      </c>
      <c r="Y1687" s="4" t="s">
        <v>2272</v>
      </c>
      <c r="Z1687" s="4" t="s">
        <v>2272</v>
      </c>
      <c r="AA1687" s="4" t="s">
        <v>2272</v>
      </c>
      <c r="AB1687" s="3"/>
      <c r="AC1687" s="3"/>
    </row>
    <row r="1688" spans="1:29" ht="31" customHeight="1">
      <c r="A1688" s="147" t="str">
        <f>'Reported burning'!A1688</f>
        <v>205a</v>
      </c>
      <c r="B1688" s="147" t="str">
        <f>'Reported burning'!B1688</f>
        <v>205a.1</v>
      </c>
      <c r="C1688" s="147" t="str">
        <f>'Reported burning'!C1688</f>
        <v>Human, deliberate</v>
      </c>
      <c r="D1688" s="147" t="str">
        <f>'Reported burning'!D1688</f>
        <v>Pyrome management</v>
      </c>
      <c r="E1688" s="147" t="str">
        <f>'Reported burning'!E1688</f>
        <v>Biodiversity conservation</v>
      </c>
      <c r="F1688" s="147" t="str">
        <f>'Reported burning'!F1688</f>
        <v>Shrubland (Mixed forest &amp; grassland)</v>
      </c>
      <c r="G1688" s="147" t="str">
        <f>'Reported burning'!G1688</f>
        <v>Shrubland (Mixed forest &amp; grassland)</v>
      </c>
      <c r="H1688" s="147" t="str">
        <f>'Reported burning'!H1688</f>
        <v>Absence</v>
      </c>
      <c r="I1688" s="3"/>
      <c r="J1688" s="3">
        <v>0</v>
      </c>
      <c r="K1688" s="198">
        <v>0</v>
      </c>
      <c r="L1688" s="3">
        <v>0</v>
      </c>
      <c r="M1688" s="3">
        <v>0</v>
      </c>
      <c r="N1688" s="3">
        <v>0</v>
      </c>
      <c r="O1688" s="3">
        <v>0</v>
      </c>
      <c r="P1688" s="3">
        <v>0</v>
      </c>
      <c r="Q1688" s="3">
        <v>0</v>
      </c>
      <c r="R1688" s="3">
        <v>0</v>
      </c>
      <c r="S1688" s="3">
        <v>0</v>
      </c>
      <c r="T1688" s="3">
        <v>0</v>
      </c>
      <c r="U1688" s="3">
        <v>0</v>
      </c>
      <c r="V1688" s="3">
        <v>0</v>
      </c>
      <c r="W1688" s="3">
        <v>0</v>
      </c>
      <c r="X1688" s="3" t="s">
        <v>2272</v>
      </c>
      <c r="Y1688" s="4" t="s">
        <v>2272</v>
      </c>
      <c r="Z1688" s="4" t="s">
        <v>2272</v>
      </c>
      <c r="AA1688" s="4" t="s">
        <v>2272</v>
      </c>
      <c r="AB1688" s="3"/>
      <c r="AC1688" s="3"/>
    </row>
    <row r="1689" spans="1:29" ht="31" customHeight="1">
      <c r="A1689" s="147" t="str">
        <f>'Reported burning'!A1689</f>
        <v>205b</v>
      </c>
      <c r="B1689" s="147" t="str">
        <f>'Reported burning'!B1689</f>
        <v>205b.1</v>
      </c>
      <c r="C1689" s="147" t="str">
        <f>'Reported burning'!C1689</f>
        <v>Human, deliberate</v>
      </c>
      <c r="D1689" s="147" t="str">
        <f>'Reported burning'!D1689</f>
        <v>Pyrome management</v>
      </c>
      <c r="E1689" s="147" t="str">
        <f>'Reported burning'!E1689</f>
        <v>Biodiversity conservation</v>
      </c>
      <c r="F1689" s="147" t="str">
        <f>'Reported burning'!F1689</f>
        <v>Shrubland (Mixed forest &amp; grassland)</v>
      </c>
      <c r="G1689" s="147" t="str">
        <f>'Reported burning'!G1689</f>
        <v>Shrubland (Mixed forest &amp; grassland)</v>
      </c>
      <c r="H1689" s="147" t="str">
        <f>'Reported burning'!H1689</f>
        <v>Absence</v>
      </c>
      <c r="I1689" s="3"/>
      <c r="J1689" s="3">
        <v>0</v>
      </c>
      <c r="K1689" s="198">
        <v>0</v>
      </c>
      <c r="L1689" s="3">
        <v>0</v>
      </c>
      <c r="M1689" s="3">
        <v>0</v>
      </c>
      <c r="N1689" s="3">
        <v>0</v>
      </c>
      <c r="O1689" s="3">
        <v>0</v>
      </c>
      <c r="P1689" s="3">
        <v>0</v>
      </c>
      <c r="Q1689" s="3">
        <v>0</v>
      </c>
      <c r="R1689" s="3">
        <v>0</v>
      </c>
      <c r="S1689" s="3">
        <v>0</v>
      </c>
      <c r="T1689" s="3">
        <v>0</v>
      </c>
      <c r="U1689" s="3">
        <v>0</v>
      </c>
      <c r="V1689" s="3">
        <v>0</v>
      </c>
      <c r="W1689" s="3">
        <v>0</v>
      </c>
      <c r="X1689" s="3" t="s">
        <v>2272</v>
      </c>
      <c r="Y1689" s="4" t="s">
        <v>2272</v>
      </c>
      <c r="Z1689" s="4" t="s">
        <v>2272</v>
      </c>
      <c r="AA1689" s="4" t="s">
        <v>2272</v>
      </c>
      <c r="AB1689" s="3"/>
      <c r="AC1689" s="3"/>
    </row>
    <row r="1690" spans="1:29" ht="31" customHeight="1">
      <c r="A1690" s="147" t="str">
        <f>'Reported burning'!A1690</f>
        <v>205c</v>
      </c>
      <c r="B1690" s="147" t="str">
        <f>'Reported burning'!B1690</f>
        <v>205c.1</v>
      </c>
      <c r="C1690" s="147" t="str">
        <f>'Reported burning'!C1690</f>
        <v>Human, deliberate</v>
      </c>
      <c r="D1690" s="147" t="str">
        <f>'Reported burning'!D1690</f>
        <v>Pyrome management</v>
      </c>
      <c r="E1690" s="147" t="str">
        <f>'Reported burning'!E1690</f>
        <v>Biodiversity conservation</v>
      </c>
      <c r="F1690" s="147" t="str">
        <f>'Reported burning'!F1690</f>
        <v>Shrubland (Mixed forest &amp; grassland)</v>
      </c>
      <c r="G1690" s="147" t="str">
        <f>'Reported burning'!G1690</f>
        <v>Shrubland (Mixed forest &amp; grassland)</v>
      </c>
      <c r="H1690" s="147" t="str">
        <f>'Reported burning'!H1690</f>
        <v>Absence</v>
      </c>
      <c r="I1690" s="3"/>
      <c r="J1690" s="3">
        <v>0</v>
      </c>
      <c r="K1690" s="198">
        <v>0</v>
      </c>
      <c r="L1690" s="3">
        <v>0</v>
      </c>
      <c r="M1690" s="3">
        <v>0</v>
      </c>
      <c r="N1690" s="3">
        <v>0</v>
      </c>
      <c r="O1690" s="3">
        <v>0</v>
      </c>
      <c r="P1690" s="3">
        <v>0</v>
      </c>
      <c r="Q1690" s="3">
        <v>0</v>
      </c>
      <c r="R1690" s="3">
        <v>0</v>
      </c>
      <c r="S1690" s="3">
        <v>0</v>
      </c>
      <c r="T1690" s="3">
        <v>0</v>
      </c>
      <c r="U1690" s="3">
        <v>0</v>
      </c>
      <c r="V1690" s="3">
        <v>0</v>
      </c>
      <c r="W1690" s="3">
        <v>0</v>
      </c>
      <c r="X1690" s="3" t="s">
        <v>2272</v>
      </c>
      <c r="Y1690" s="4" t="s">
        <v>2272</v>
      </c>
      <c r="Z1690" s="4" t="s">
        <v>2272</v>
      </c>
      <c r="AA1690" s="4" t="s">
        <v>2272</v>
      </c>
      <c r="AB1690" s="3"/>
      <c r="AC1690" s="3"/>
    </row>
    <row r="1691" spans="1:29" ht="31" customHeight="1">
      <c r="A1691" s="147" t="str">
        <f>'Reported burning'!A1691</f>
        <v>205d</v>
      </c>
      <c r="B1691" s="147" t="str">
        <f>'Reported burning'!B1691</f>
        <v>205d.1</v>
      </c>
      <c r="C1691" s="147" t="str">
        <f>'Reported burning'!C1691</f>
        <v>Human, deliberate</v>
      </c>
      <c r="D1691" s="147" t="str">
        <f>'Reported burning'!D1691</f>
        <v>Pyrome management</v>
      </c>
      <c r="E1691" s="147" t="str">
        <f>'Reported burning'!E1691</f>
        <v>Biodiversity conservation</v>
      </c>
      <c r="F1691" s="147" t="str">
        <f>'Reported burning'!F1691</f>
        <v>Shrubland (Mixed forest &amp; grassland)</v>
      </c>
      <c r="G1691" s="147" t="str">
        <f>'Reported burning'!G1691</f>
        <v>Shrubland (Mixed forest &amp; grassland)</v>
      </c>
      <c r="H1691" s="147" t="str">
        <f>'Reported burning'!H1691</f>
        <v>Absence</v>
      </c>
      <c r="I1691" s="3"/>
      <c r="J1691" s="3">
        <v>0</v>
      </c>
      <c r="K1691" s="198">
        <v>0</v>
      </c>
      <c r="L1691" s="3">
        <v>0</v>
      </c>
      <c r="M1691" s="3">
        <v>0</v>
      </c>
      <c r="N1691" s="3">
        <v>0</v>
      </c>
      <c r="O1691" s="3">
        <v>0</v>
      </c>
      <c r="P1691" s="3">
        <v>0</v>
      </c>
      <c r="Q1691" s="3">
        <v>0</v>
      </c>
      <c r="R1691" s="3">
        <v>0</v>
      </c>
      <c r="S1691" s="3">
        <v>0</v>
      </c>
      <c r="T1691" s="3">
        <v>0</v>
      </c>
      <c r="U1691" s="3">
        <v>0</v>
      </c>
      <c r="V1691" s="3">
        <v>0</v>
      </c>
      <c r="W1691" s="3">
        <v>0</v>
      </c>
      <c r="X1691" s="3" t="s">
        <v>2272</v>
      </c>
      <c r="Y1691" s="4" t="s">
        <v>2272</v>
      </c>
      <c r="Z1691" s="4" t="s">
        <v>2272</v>
      </c>
      <c r="AA1691" s="4" t="s">
        <v>2272</v>
      </c>
      <c r="AB1691" s="3"/>
      <c r="AC1691" s="3"/>
    </row>
    <row r="1692" spans="1:29" ht="31" customHeight="1">
      <c r="A1692" s="147" t="str">
        <f>'Reported burning'!A1692</f>
        <v>205e</v>
      </c>
      <c r="B1692" s="147" t="str">
        <f>'Reported burning'!B1692</f>
        <v>205e.1</v>
      </c>
      <c r="C1692" s="147" t="str">
        <f>'Reported burning'!C1692</f>
        <v>Human, deliberate</v>
      </c>
      <c r="D1692" s="147" t="str">
        <f>'Reported burning'!D1692</f>
        <v>Pyrome management</v>
      </c>
      <c r="E1692" s="147" t="str">
        <f>'Reported burning'!E1692</f>
        <v>Biodiversity conservation</v>
      </c>
      <c r="F1692" s="147" t="str">
        <f>'Reported burning'!F1692</f>
        <v>Shrubland (Mixed forest &amp; grassland)</v>
      </c>
      <c r="G1692" s="147" t="str">
        <f>'Reported burning'!G1692</f>
        <v>Shrubland (Mixed forest &amp; grassland)</v>
      </c>
      <c r="H1692" s="147" t="str">
        <f>'Reported burning'!H1692</f>
        <v>Absence</v>
      </c>
      <c r="I1692" s="3"/>
      <c r="J1692" s="3">
        <v>0</v>
      </c>
      <c r="K1692" s="198">
        <v>0</v>
      </c>
      <c r="L1692" s="3">
        <v>0</v>
      </c>
      <c r="M1692" s="3">
        <v>0</v>
      </c>
      <c r="N1692" s="3">
        <v>0</v>
      </c>
      <c r="O1692" s="3">
        <v>0</v>
      </c>
      <c r="P1692" s="3">
        <v>0</v>
      </c>
      <c r="Q1692" s="3">
        <v>0</v>
      </c>
      <c r="R1692" s="3">
        <v>0</v>
      </c>
      <c r="S1692" s="3">
        <v>0</v>
      </c>
      <c r="T1692" s="3">
        <v>0</v>
      </c>
      <c r="U1692" s="3">
        <v>0</v>
      </c>
      <c r="V1692" s="3">
        <v>0</v>
      </c>
      <c r="W1692" s="3">
        <v>0</v>
      </c>
      <c r="X1692" s="3" t="s">
        <v>2272</v>
      </c>
      <c r="Y1692" s="4" t="s">
        <v>2272</v>
      </c>
      <c r="Z1692" s="4" t="s">
        <v>2272</v>
      </c>
      <c r="AA1692" s="4" t="s">
        <v>2272</v>
      </c>
      <c r="AB1692" s="3"/>
      <c r="AC1692" s="3"/>
    </row>
    <row r="1693" spans="1:29" ht="85.5" customHeight="1">
      <c r="A1693" s="147" t="str">
        <f>'Reported burning'!A1693</f>
        <v>205f</v>
      </c>
      <c r="B1693" s="147" t="str">
        <f>'Reported burning'!B1693</f>
        <v>205f.1</v>
      </c>
      <c r="C1693" s="147" t="str">
        <f>'Reported burning'!C1693</f>
        <v>Human, deliberate</v>
      </c>
      <c r="D1693" s="147" t="str">
        <f>'Reported burning'!D1693</f>
        <v>Pyrome management</v>
      </c>
      <c r="E1693" s="147" t="str">
        <f>'Reported burning'!E1693</f>
        <v>Biodiversity conservation</v>
      </c>
      <c r="F1693" s="147" t="str">
        <f>'Reported burning'!F1693</f>
        <v>Shrubland (Mixed forest &amp; grassland)</v>
      </c>
      <c r="G1693" s="147" t="str">
        <f>'Reported burning'!G1693</f>
        <v>Shrubland (Mixed forest &amp; grassland)</v>
      </c>
      <c r="H1693" s="147" t="str">
        <f>'Reported burning'!H1693</f>
        <v>Presence</v>
      </c>
      <c r="I1693" s="3"/>
      <c r="J1693" s="4" t="s">
        <v>2272</v>
      </c>
      <c r="K1693" s="4" t="s">
        <v>2272</v>
      </c>
      <c r="L1693" s="4" t="s">
        <v>2272</v>
      </c>
      <c r="M1693" s="3" t="s">
        <v>2358</v>
      </c>
      <c r="N1693" s="4" t="s">
        <v>2272</v>
      </c>
      <c r="O1693" s="3" t="s">
        <v>2377</v>
      </c>
      <c r="P1693" s="4" t="s">
        <v>2272</v>
      </c>
      <c r="Q1693" s="4" t="s">
        <v>2272</v>
      </c>
      <c r="R1693" s="4" t="s">
        <v>2272</v>
      </c>
      <c r="S1693" s="4" t="s">
        <v>2272</v>
      </c>
      <c r="T1693" s="4" t="s">
        <v>2272</v>
      </c>
      <c r="U1693" s="4" t="s">
        <v>2272</v>
      </c>
      <c r="V1693" s="4" t="s">
        <v>2272</v>
      </c>
      <c r="W1693" s="4" t="s">
        <v>2272</v>
      </c>
      <c r="X1693" s="3" t="s">
        <v>2396</v>
      </c>
      <c r="Y1693" s="3" t="s">
        <v>84</v>
      </c>
      <c r="Z1693" s="3" t="s">
        <v>33</v>
      </c>
      <c r="AA1693" s="3" t="s">
        <v>2650</v>
      </c>
      <c r="AB1693" s="3" t="s">
        <v>5159</v>
      </c>
      <c r="AC1693" s="4" t="s">
        <v>5178</v>
      </c>
    </row>
    <row r="1694" spans="1:29" ht="85.5" customHeight="1">
      <c r="A1694" s="147" t="str">
        <f>'Reported burning'!A1694</f>
        <v>205g</v>
      </c>
      <c r="B1694" s="147" t="str">
        <f>'Reported burning'!B1694</f>
        <v>205g.1</v>
      </c>
      <c r="C1694" s="147" t="str">
        <f>'Reported burning'!C1694</f>
        <v>Human, deliberate</v>
      </c>
      <c r="D1694" s="147" t="str">
        <f>'Reported burning'!D1694</f>
        <v>Pyrome management</v>
      </c>
      <c r="E1694" s="147" t="str">
        <f>'Reported burning'!E1694</f>
        <v>Biodiversity conservation</v>
      </c>
      <c r="F1694" s="147" t="str">
        <f>'Reported burning'!F1694</f>
        <v>Shrubland (Mixed forest &amp; grassland)</v>
      </c>
      <c r="G1694" s="147" t="str">
        <f>'Reported burning'!G1694</f>
        <v>Shrubland (Mixed forest &amp; grassland)</v>
      </c>
      <c r="H1694" s="147" t="str">
        <f>'Reported burning'!H1694</f>
        <v>Presence</v>
      </c>
      <c r="I1694" s="3"/>
      <c r="J1694" s="4" t="s">
        <v>2272</v>
      </c>
      <c r="K1694" s="4" t="s">
        <v>2272</v>
      </c>
      <c r="L1694" s="4" t="s">
        <v>2272</v>
      </c>
      <c r="M1694" s="3" t="s">
        <v>2358</v>
      </c>
      <c r="N1694" s="4" t="s">
        <v>2272</v>
      </c>
      <c r="O1694" s="3" t="s">
        <v>2377</v>
      </c>
      <c r="P1694" s="4" t="s">
        <v>2272</v>
      </c>
      <c r="Q1694" s="4" t="s">
        <v>2272</v>
      </c>
      <c r="R1694" s="4" t="s">
        <v>2272</v>
      </c>
      <c r="S1694" s="4" t="s">
        <v>2272</v>
      </c>
      <c r="T1694" s="4" t="s">
        <v>2272</v>
      </c>
      <c r="U1694" s="4" t="s">
        <v>2272</v>
      </c>
      <c r="V1694" s="4" t="s">
        <v>2272</v>
      </c>
      <c r="W1694" s="4" t="s">
        <v>2272</v>
      </c>
      <c r="X1694" s="3" t="s">
        <v>2396</v>
      </c>
      <c r="Y1694" s="3" t="s">
        <v>84</v>
      </c>
      <c r="Z1694" s="3" t="s">
        <v>33</v>
      </c>
      <c r="AA1694" s="3" t="s">
        <v>2650</v>
      </c>
      <c r="AB1694" s="3" t="s">
        <v>5159</v>
      </c>
      <c r="AC1694" s="4" t="s">
        <v>5178</v>
      </c>
    </row>
    <row r="1695" spans="1:29" ht="85.5" customHeight="1">
      <c r="A1695" s="147" t="str">
        <f>'Reported burning'!A1695</f>
        <v>205h</v>
      </c>
      <c r="B1695" s="147" t="str">
        <f>'Reported burning'!B1695</f>
        <v>205h.1</v>
      </c>
      <c r="C1695" s="147" t="str">
        <f>'Reported burning'!C1695</f>
        <v>Human, deliberate</v>
      </c>
      <c r="D1695" s="147" t="str">
        <f>'Reported burning'!D1695</f>
        <v>Pyrome management</v>
      </c>
      <c r="E1695" s="147" t="str">
        <f>'Reported burning'!E1695</f>
        <v>Biodiversity conservation</v>
      </c>
      <c r="F1695" s="147" t="str">
        <f>'Reported burning'!F1695</f>
        <v>Shrubland (Mixed forest &amp; grassland)</v>
      </c>
      <c r="G1695" s="147" t="str">
        <f>'Reported burning'!G1695</f>
        <v>Shrubland (Mixed forest &amp; grassland)</v>
      </c>
      <c r="H1695" s="147" t="str">
        <f>'Reported burning'!H1695</f>
        <v>Presence</v>
      </c>
      <c r="I1695" s="3"/>
      <c r="J1695" s="4" t="s">
        <v>2272</v>
      </c>
      <c r="K1695" s="4" t="s">
        <v>2272</v>
      </c>
      <c r="L1695" s="4" t="s">
        <v>2272</v>
      </c>
      <c r="M1695" s="3" t="s">
        <v>2358</v>
      </c>
      <c r="N1695" s="4" t="s">
        <v>2272</v>
      </c>
      <c r="O1695" s="3" t="s">
        <v>2377</v>
      </c>
      <c r="P1695" s="4" t="s">
        <v>2272</v>
      </c>
      <c r="Q1695" s="4" t="s">
        <v>2272</v>
      </c>
      <c r="R1695" s="4" t="s">
        <v>2272</v>
      </c>
      <c r="S1695" s="4" t="s">
        <v>2272</v>
      </c>
      <c r="T1695" s="4" t="s">
        <v>2272</v>
      </c>
      <c r="U1695" s="4" t="s">
        <v>2272</v>
      </c>
      <c r="V1695" s="4" t="s">
        <v>2272</v>
      </c>
      <c r="W1695" s="4" t="s">
        <v>2272</v>
      </c>
      <c r="X1695" s="3" t="s">
        <v>2397</v>
      </c>
      <c r="Y1695" s="3" t="s">
        <v>84</v>
      </c>
      <c r="Z1695" s="3" t="s">
        <v>33</v>
      </c>
      <c r="AA1695" s="3" t="s">
        <v>2650</v>
      </c>
      <c r="AB1695" s="3" t="s">
        <v>5159</v>
      </c>
      <c r="AC1695" s="4" t="s">
        <v>5178</v>
      </c>
    </row>
    <row r="1696" spans="1:29" ht="85.5" customHeight="1">
      <c r="A1696" s="147" t="str">
        <f>'Reported burning'!A1696</f>
        <v>205i</v>
      </c>
      <c r="B1696" s="147" t="str">
        <f>'Reported burning'!B1696</f>
        <v>205i.1</v>
      </c>
      <c r="C1696" s="147" t="str">
        <f>'Reported burning'!C1696</f>
        <v>Human, deliberate</v>
      </c>
      <c r="D1696" s="147" t="str">
        <f>'Reported burning'!D1696</f>
        <v>Pyrome management</v>
      </c>
      <c r="E1696" s="147" t="str">
        <f>'Reported burning'!E1696</f>
        <v>Biodiversity conservation</v>
      </c>
      <c r="F1696" s="147" t="str">
        <f>'Reported burning'!F1696</f>
        <v>Shrubland (Mixed forest &amp; grassland)</v>
      </c>
      <c r="G1696" s="147" t="str">
        <f>'Reported burning'!G1696</f>
        <v>Shrubland (Mixed forest &amp; grassland)</v>
      </c>
      <c r="H1696" s="147" t="str">
        <f>'Reported burning'!H1696</f>
        <v>Presence</v>
      </c>
      <c r="I1696" s="3"/>
      <c r="J1696" s="4" t="s">
        <v>2272</v>
      </c>
      <c r="K1696" s="4" t="s">
        <v>2272</v>
      </c>
      <c r="L1696" s="4" t="s">
        <v>2272</v>
      </c>
      <c r="M1696" s="3" t="s">
        <v>2358</v>
      </c>
      <c r="N1696" s="4" t="s">
        <v>2272</v>
      </c>
      <c r="O1696" s="3" t="s">
        <v>2377</v>
      </c>
      <c r="P1696" s="4" t="s">
        <v>2272</v>
      </c>
      <c r="Q1696" s="4" t="s">
        <v>2272</v>
      </c>
      <c r="R1696" s="4" t="s">
        <v>2272</v>
      </c>
      <c r="S1696" s="4" t="s">
        <v>2272</v>
      </c>
      <c r="T1696" s="4" t="s">
        <v>2272</v>
      </c>
      <c r="U1696" s="4" t="s">
        <v>2272</v>
      </c>
      <c r="V1696" s="4" t="s">
        <v>2272</v>
      </c>
      <c r="W1696" s="4" t="s">
        <v>2272</v>
      </c>
      <c r="X1696" s="3" t="s">
        <v>2397</v>
      </c>
      <c r="Y1696" s="3" t="s">
        <v>84</v>
      </c>
      <c r="Z1696" s="3" t="s">
        <v>33</v>
      </c>
      <c r="AA1696" s="3" t="s">
        <v>2650</v>
      </c>
      <c r="AB1696" s="3" t="s">
        <v>5159</v>
      </c>
      <c r="AC1696" s="4" t="s">
        <v>5178</v>
      </c>
    </row>
    <row r="1697" spans="1:29" ht="85.5" customHeight="1">
      <c r="A1697" s="147" t="str">
        <f>'Reported burning'!A1697</f>
        <v>205j</v>
      </c>
      <c r="B1697" s="147" t="str">
        <f>'Reported burning'!B1697</f>
        <v>205j.1</v>
      </c>
      <c r="C1697" s="147" t="str">
        <f>'Reported burning'!C1697</f>
        <v>Human, deliberate</v>
      </c>
      <c r="D1697" s="147" t="str">
        <f>'Reported burning'!D1697</f>
        <v>Pyrome management</v>
      </c>
      <c r="E1697" s="147" t="str">
        <f>'Reported burning'!E1697</f>
        <v>Biodiversity conservation</v>
      </c>
      <c r="F1697" s="147" t="str">
        <f>'Reported burning'!F1697</f>
        <v>Shrubland (Mixed forest &amp; grassland)</v>
      </c>
      <c r="G1697" s="147" t="str">
        <f>'Reported burning'!G1697</f>
        <v>Shrubland (Mixed forest &amp; grassland)</v>
      </c>
      <c r="H1697" s="147" t="str">
        <f>'Reported burning'!H1697</f>
        <v>Presence</v>
      </c>
      <c r="I1697" s="3"/>
      <c r="J1697" s="4" t="s">
        <v>2272</v>
      </c>
      <c r="K1697" s="4" t="s">
        <v>2272</v>
      </c>
      <c r="L1697" s="4" t="s">
        <v>2272</v>
      </c>
      <c r="M1697" s="3" t="s">
        <v>2358</v>
      </c>
      <c r="N1697" s="4" t="s">
        <v>2272</v>
      </c>
      <c r="O1697" s="3" t="s">
        <v>2377</v>
      </c>
      <c r="P1697" s="4" t="s">
        <v>2272</v>
      </c>
      <c r="Q1697" s="4" t="s">
        <v>2272</v>
      </c>
      <c r="R1697" s="4" t="s">
        <v>2272</v>
      </c>
      <c r="S1697" s="4" t="s">
        <v>2272</v>
      </c>
      <c r="T1697" s="4" t="s">
        <v>2272</v>
      </c>
      <c r="U1697" s="4" t="s">
        <v>2272</v>
      </c>
      <c r="V1697" s="4" t="s">
        <v>2272</v>
      </c>
      <c r="W1697" s="4" t="s">
        <v>2272</v>
      </c>
      <c r="X1697" s="3" t="s">
        <v>2397</v>
      </c>
      <c r="Y1697" s="3" t="s">
        <v>84</v>
      </c>
      <c r="Z1697" s="3" t="s">
        <v>33</v>
      </c>
      <c r="AA1697" s="3" t="s">
        <v>2650</v>
      </c>
      <c r="AB1697" s="3" t="s">
        <v>5159</v>
      </c>
      <c r="AC1697" s="4" t="s">
        <v>5178</v>
      </c>
    </row>
    <row r="1698" spans="1:29" ht="36.5" customHeight="1">
      <c r="A1698" s="147" t="str">
        <f>'Reported burning'!A1698</f>
        <v>205a</v>
      </c>
      <c r="B1698" s="147" t="str">
        <f>'Reported burning'!B1698</f>
        <v>205a.2</v>
      </c>
      <c r="C1698" s="147" t="str">
        <f>'Reported burning'!C1698</f>
        <v>All</v>
      </c>
      <c r="D1698" s="147" t="str">
        <f>'Reported burning'!D1698</f>
        <v>All</v>
      </c>
      <c r="E1698" s="147" t="str">
        <f>'Reported burning'!E1698</f>
        <v>All</v>
      </c>
      <c r="F1698" s="147" t="str">
        <f>'Reported burning'!F1698</f>
        <v>ND</v>
      </c>
      <c r="G1698" s="147" t="str">
        <f>'Reported burning'!G1698</f>
        <v>Shrubland (Mixed forest &amp; grassland)</v>
      </c>
      <c r="H1698" s="147" t="str">
        <f>'Reported burning'!H1698</f>
        <v>Presence</v>
      </c>
      <c r="I1698" s="3"/>
      <c r="J1698" s="4" t="s">
        <v>2272</v>
      </c>
      <c r="K1698" s="4" t="s">
        <v>2272</v>
      </c>
      <c r="L1698" s="4" t="s">
        <v>2272</v>
      </c>
      <c r="M1698" s="4" t="s">
        <v>2272</v>
      </c>
      <c r="N1698" s="4" t="s">
        <v>2272</v>
      </c>
      <c r="O1698" s="4" t="s">
        <v>2272</v>
      </c>
      <c r="P1698" s="4" t="s">
        <v>2272</v>
      </c>
      <c r="Q1698" s="4" t="s">
        <v>2272</v>
      </c>
      <c r="R1698" s="4" t="s">
        <v>2272</v>
      </c>
      <c r="S1698" s="4" t="s">
        <v>2272</v>
      </c>
      <c r="T1698" s="4" t="s">
        <v>2272</v>
      </c>
      <c r="U1698" s="4" t="s">
        <v>2272</v>
      </c>
      <c r="V1698" s="4" t="s">
        <v>2272</v>
      </c>
      <c r="W1698" s="4" t="s">
        <v>2272</v>
      </c>
      <c r="X1698" s="4" t="s">
        <v>2272</v>
      </c>
      <c r="Y1698" s="3" t="s">
        <v>84</v>
      </c>
      <c r="Z1698" s="3" t="s">
        <v>33</v>
      </c>
      <c r="AA1698" s="3" t="s">
        <v>2272</v>
      </c>
      <c r="AB1698" s="3"/>
      <c r="AC1698" s="4"/>
    </row>
    <row r="1699" spans="1:29" ht="36.5" customHeight="1">
      <c r="A1699" s="147" t="str">
        <f>'Reported burning'!A1699</f>
        <v>205b</v>
      </c>
      <c r="B1699" s="147" t="str">
        <f>'Reported burning'!B1699</f>
        <v>205b.2</v>
      </c>
      <c r="C1699" s="147" t="str">
        <f>'Reported burning'!C1699</f>
        <v>All</v>
      </c>
      <c r="D1699" s="147" t="str">
        <f>'Reported burning'!D1699</f>
        <v>All</v>
      </c>
      <c r="E1699" s="147" t="str">
        <f>'Reported burning'!E1699</f>
        <v>All</v>
      </c>
      <c r="F1699" s="147" t="str">
        <f>'Reported burning'!F1699</f>
        <v>ND</v>
      </c>
      <c r="G1699" s="147" t="str">
        <f>'Reported burning'!G1699</f>
        <v>Shrubland (Mixed forest &amp; grassland)</v>
      </c>
      <c r="H1699" s="147" t="str">
        <f>'Reported burning'!H1699</f>
        <v>Presence</v>
      </c>
      <c r="I1699" s="3"/>
      <c r="J1699" s="4" t="s">
        <v>2272</v>
      </c>
      <c r="K1699" s="4" t="s">
        <v>2272</v>
      </c>
      <c r="L1699" s="4" t="s">
        <v>2272</v>
      </c>
      <c r="M1699" s="4" t="s">
        <v>2272</v>
      </c>
      <c r="N1699" s="4" t="s">
        <v>2272</v>
      </c>
      <c r="O1699" s="4" t="s">
        <v>2272</v>
      </c>
      <c r="P1699" s="4" t="s">
        <v>2272</v>
      </c>
      <c r="Q1699" s="4" t="s">
        <v>2272</v>
      </c>
      <c r="R1699" s="4" t="s">
        <v>2272</v>
      </c>
      <c r="S1699" s="4" t="s">
        <v>2272</v>
      </c>
      <c r="T1699" s="4" t="s">
        <v>2272</v>
      </c>
      <c r="U1699" s="4" t="s">
        <v>2272</v>
      </c>
      <c r="V1699" s="4" t="s">
        <v>2272</v>
      </c>
      <c r="W1699" s="4" t="s">
        <v>2272</v>
      </c>
      <c r="X1699" s="4" t="s">
        <v>2272</v>
      </c>
      <c r="Y1699" s="3" t="s">
        <v>84</v>
      </c>
      <c r="Z1699" s="3" t="s">
        <v>33</v>
      </c>
      <c r="AA1699" s="3" t="s">
        <v>2272</v>
      </c>
      <c r="AB1699" s="3"/>
      <c r="AC1699" s="4"/>
    </row>
    <row r="1700" spans="1:29" ht="36.5" customHeight="1">
      <c r="A1700" s="147" t="str">
        <f>'Reported burning'!A1700</f>
        <v>205c</v>
      </c>
      <c r="B1700" s="147" t="str">
        <f>'Reported burning'!B1700</f>
        <v>205c.2</v>
      </c>
      <c r="C1700" s="147" t="str">
        <f>'Reported burning'!C1700</f>
        <v>All</v>
      </c>
      <c r="D1700" s="147" t="str">
        <f>'Reported burning'!D1700</f>
        <v>All</v>
      </c>
      <c r="E1700" s="147" t="str">
        <f>'Reported burning'!E1700</f>
        <v>All</v>
      </c>
      <c r="F1700" s="147" t="str">
        <f>'Reported burning'!F1700</f>
        <v>ND</v>
      </c>
      <c r="G1700" s="147" t="str">
        <f>'Reported burning'!G1700</f>
        <v>Shrubland (Mixed forest &amp; grassland)</v>
      </c>
      <c r="H1700" s="147" t="str">
        <f>'Reported burning'!H1700</f>
        <v>Presence</v>
      </c>
      <c r="I1700" s="3"/>
      <c r="J1700" s="4" t="s">
        <v>2272</v>
      </c>
      <c r="K1700" s="4" t="s">
        <v>2272</v>
      </c>
      <c r="L1700" s="4" t="s">
        <v>2272</v>
      </c>
      <c r="M1700" s="4" t="s">
        <v>2272</v>
      </c>
      <c r="N1700" s="4" t="s">
        <v>2272</v>
      </c>
      <c r="O1700" s="4" t="s">
        <v>2272</v>
      </c>
      <c r="P1700" s="4" t="s">
        <v>2272</v>
      </c>
      <c r="Q1700" s="4" t="s">
        <v>2272</v>
      </c>
      <c r="R1700" s="4" t="s">
        <v>2272</v>
      </c>
      <c r="S1700" s="4" t="s">
        <v>2272</v>
      </c>
      <c r="T1700" s="4" t="s">
        <v>2272</v>
      </c>
      <c r="U1700" s="4" t="s">
        <v>2272</v>
      </c>
      <c r="V1700" s="4" t="s">
        <v>2272</v>
      </c>
      <c r="W1700" s="4" t="s">
        <v>2272</v>
      </c>
      <c r="X1700" s="4" t="s">
        <v>2272</v>
      </c>
      <c r="Y1700" s="3" t="s">
        <v>84</v>
      </c>
      <c r="Z1700" s="3" t="s">
        <v>33</v>
      </c>
      <c r="AA1700" s="3" t="s">
        <v>2272</v>
      </c>
      <c r="AB1700" s="3"/>
      <c r="AC1700" s="4"/>
    </row>
    <row r="1701" spans="1:29" ht="36.5" customHeight="1">
      <c r="A1701" s="147" t="str">
        <f>'Reported burning'!A1701</f>
        <v>205d</v>
      </c>
      <c r="B1701" s="147" t="str">
        <f>'Reported burning'!B1701</f>
        <v>205d.2</v>
      </c>
      <c r="C1701" s="147" t="str">
        <f>'Reported burning'!C1701</f>
        <v>All</v>
      </c>
      <c r="D1701" s="147" t="str">
        <f>'Reported burning'!D1701</f>
        <v>All</v>
      </c>
      <c r="E1701" s="147" t="str">
        <f>'Reported burning'!E1701</f>
        <v>All</v>
      </c>
      <c r="F1701" s="147" t="str">
        <f>'Reported burning'!F1701</f>
        <v>ND</v>
      </c>
      <c r="G1701" s="147" t="str">
        <f>'Reported burning'!G1701</f>
        <v>Shrubland (Mixed forest &amp; grassland)</v>
      </c>
      <c r="H1701" s="147" t="str">
        <f>'Reported burning'!H1701</f>
        <v>Presence</v>
      </c>
      <c r="I1701" s="3"/>
      <c r="J1701" s="4" t="s">
        <v>2272</v>
      </c>
      <c r="K1701" s="4" t="s">
        <v>2272</v>
      </c>
      <c r="L1701" s="4" t="s">
        <v>2272</v>
      </c>
      <c r="M1701" s="4" t="s">
        <v>2272</v>
      </c>
      <c r="N1701" s="4" t="s">
        <v>2272</v>
      </c>
      <c r="O1701" s="4" t="s">
        <v>2272</v>
      </c>
      <c r="P1701" s="4" t="s">
        <v>2272</v>
      </c>
      <c r="Q1701" s="4" t="s">
        <v>2272</v>
      </c>
      <c r="R1701" s="4" t="s">
        <v>2272</v>
      </c>
      <c r="S1701" s="4" t="s">
        <v>2272</v>
      </c>
      <c r="T1701" s="4" t="s">
        <v>2272</v>
      </c>
      <c r="U1701" s="4" t="s">
        <v>2272</v>
      </c>
      <c r="V1701" s="4" t="s">
        <v>2272</v>
      </c>
      <c r="W1701" s="4" t="s">
        <v>2272</v>
      </c>
      <c r="X1701" s="4" t="s">
        <v>2272</v>
      </c>
      <c r="Y1701" s="3" t="s">
        <v>84</v>
      </c>
      <c r="Z1701" s="3" t="s">
        <v>33</v>
      </c>
      <c r="AA1701" s="3" t="s">
        <v>2272</v>
      </c>
      <c r="AB1701" s="3"/>
      <c r="AC1701" s="4"/>
    </row>
    <row r="1702" spans="1:29" ht="36.5" customHeight="1">
      <c r="A1702" s="147" t="str">
        <f>'Reported burning'!A1702</f>
        <v>205e</v>
      </c>
      <c r="B1702" s="147" t="str">
        <f>'Reported burning'!B1702</f>
        <v>205e.2</v>
      </c>
      <c r="C1702" s="147" t="str">
        <f>'Reported burning'!C1702</f>
        <v>All</v>
      </c>
      <c r="D1702" s="147" t="str">
        <f>'Reported burning'!D1702</f>
        <v>All</v>
      </c>
      <c r="E1702" s="147" t="str">
        <f>'Reported burning'!E1702</f>
        <v>All</v>
      </c>
      <c r="F1702" s="147" t="str">
        <f>'Reported burning'!F1702</f>
        <v>ND</v>
      </c>
      <c r="G1702" s="147" t="str">
        <f>'Reported burning'!G1702</f>
        <v>Shrubland (Mixed forest &amp; grassland)</v>
      </c>
      <c r="H1702" s="147" t="str">
        <f>'Reported burning'!H1702</f>
        <v>Presence</v>
      </c>
      <c r="I1702" s="3"/>
      <c r="J1702" s="4" t="s">
        <v>2272</v>
      </c>
      <c r="K1702" s="4" t="s">
        <v>2272</v>
      </c>
      <c r="L1702" s="4" t="s">
        <v>2272</v>
      </c>
      <c r="M1702" s="4" t="s">
        <v>2272</v>
      </c>
      <c r="N1702" s="4" t="s">
        <v>2272</v>
      </c>
      <c r="O1702" s="4" t="s">
        <v>2272</v>
      </c>
      <c r="P1702" s="4" t="s">
        <v>2272</v>
      </c>
      <c r="Q1702" s="4" t="s">
        <v>2272</v>
      </c>
      <c r="R1702" s="4" t="s">
        <v>2272</v>
      </c>
      <c r="S1702" s="4" t="s">
        <v>2272</v>
      </c>
      <c r="T1702" s="4" t="s">
        <v>2272</v>
      </c>
      <c r="U1702" s="4" t="s">
        <v>2272</v>
      </c>
      <c r="V1702" s="4" t="s">
        <v>2272</v>
      </c>
      <c r="W1702" s="4" t="s">
        <v>2272</v>
      </c>
      <c r="X1702" s="4" t="s">
        <v>2272</v>
      </c>
      <c r="Y1702" s="3" t="s">
        <v>84</v>
      </c>
      <c r="Z1702" s="3" t="s">
        <v>33</v>
      </c>
      <c r="AA1702" s="3" t="s">
        <v>2272</v>
      </c>
      <c r="AB1702" s="3"/>
      <c r="AC1702" s="4"/>
    </row>
    <row r="1703" spans="1:29" ht="36.5" customHeight="1">
      <c r="A1703" s="147" t="str">
        <f>'Reported burning'!A1703</f>
        <v>205f</v>
      </c>
      <c r="B1703" s="147" t="str">
        <f>'Reported burning'!B1703</f>
        <v>205f.2</v>
      </c>
      <c r="C1703" s="147" t="str">
        <f>'Reported burning'!C1703</f>
        <v>All</v>
      </c>
      <c r="D1703" s="147" t="str">
        <f>'Reported burning'!D1703</f>
        <v>All</v>
      </c>
      <c r="E1703" s="147" t="str">
        <f>'Reported burning'!E1703</f>
        <v>All</v>
      </c>
      <c r="F1703" s="147" t="str">
        <f>'Reported burning'!F1703</f>
        <v>ND</v>
      </c>
      <c r="G1703" s="147" t="str">
        <f>'Reported burning'!G1703</f>
        <v>Shrubland (Mixed forest &amp; grassland)</v>
      </c>
      <c r="H1703" s="147" t="str">
        <f>'Reported burning'!H1703</f>
        <v>Presence</v>
      </c>
      <c r="I1703" s="3"/>
      <c r="J1703" s="4" t="s">
        <v>2272</v>
      </c>
      <c r="K1703" s="4" t="s">
        <v>2272</v>
      </c>
      <c r="L1703" s="4" t="s">
        <v>2272</v>
      </c>
      <c r="M1703" s="4" t="s">
        <v>2272</v>
      </c>
      <c r="N1703" s="4" t="s">
        <v>2272</v>
      </c>
      <c r="O1703" s="4" t="s">
        <v>2272</v>
      </c>
      <c r="P1703" s="4" t="s">
        <v>2272</v>
      </c>
      <c r="Q1703" s="4" t="s">
        <v>2272</v>
      </c>
      <c r="R1703" s="4" t="s">
        <v>2272</v>
      </c>
      <c r="S1703" s="4" t="s">
        <v>2272</v>
      </c>
      <c r="T1703" s="4" t="s">
        <v>2272</v>
      </c>
      <c r="U1703" s="4" t="s">
        <v>2272</v>
      </c>
      <c r="V1703" s="4" t="s">
        <v>2272</v>
      </c>
      <c r="W1703" s="4" t="s">
        <v>2272</v>
      </c>
      <c r="X1703" s="4" t="s">
        <v>2272</v>
      </c>
      <c r="Y1703" s="3" t="s">
        <v>402</v>
      </c>
      <c r="Z1703" s="3" t="s">
        <v>67</v>
      </c>
      <c r="AA1703" s="3" t="s">
        <v>2272</v>
      </c>
      <c r="AB1703" s="3"/>
      <c r="AC1703" s="3"/>
    </row>
    <row r="1704" spans="1:29" ht="36.5" customHeight="1">
      <c r="A1704" s="147" t="str">
        <f>'Reported burning'!A1704</f>
        <v>205g</v>
      </c>
      <c r="B1704" s="147" t="str">
        <f>'Reported burning'!B1704</f>
        <v>205g.2</v>
      </c>
      <c r="C1704" s="147" t="str">
        <f>'Reported burning'!C1704</f>
        <v>All</v>
      </c>
      <c r="D1704" s="147" t="str">
        <f>'Reported burning'!D1704</f>
        <v>All</v>
      </c>
      <c r="E1704" s="147" t="str">
        <f>'Reported burning'!E1704</f>
        <v>All</v>
      </c>
      <c r="F1704" s="147" t="str">
        <f>'Reported burning'!F1704</f>
        <v>ND</v>
      </c>
      <c r="G1704" s="147" t="str">
        <f>'Reported burning'!G1704</f>
        <v>Shrubland (Mixed forest &amp; grassland)</v>
      </c>
      <c r="H1704" s="147" t="str">
        <f>'Reported burning'!H1704</f>
        <v>Presence</v>
      </c>
      <c r="I1704" s="3"/>
      <c r="J1704" s="4" t="s">
        <v>2272</v>
      </c>
      <c r="K1704" s="4" t="s">
        <v>2272</v>
      </c>
      <c r="L1704" s="4" t="s">
        <v>2272</v>
      </c>
      <c r="M1704" s="4" t="s">
        <v>2272</v>
      </c>
      <c r="N1704" s="4" t="s">
        <v>2272</v>
      </c>
      <c r="O1704" s="4" t="s">
        <v>2272</v>
      </c>
      <c r="P1704" s="4" t="s">
        <v>2272</v>
      </c>
      <c r="Q1704" s="4" t="s">
        <v>2272</v>
      </c>
      <c r="R1704" s="4" t="s">
        <v>2272</v>
      </c>
      <c r="S1704" s="4" t="s">
        <v>2272</v>
      </c>
      <c r="T1704" s="4" t="s">
        <v>2272</v>
      </c>
      <c r="U1704" s="4" t="s">
        <v>2272</v>
      </c>
      <c r="V1704" s="4" t="s">
        <v>2272</v>
      </c>
      <c r="W1704" s="4" t="s">
        <v>2272</v>
      </c>
      <c r="X1704" s="4" t="s">
        <v>2272</v>
      </c>
      <c r="Y1704" s="3" t="s">
        <v>402</v>
      </c>
      <c r="Z1704" s="3" t="s">
        <v>67</v>
      </c>
      <c r="AA1704" s="3" t="s">
        <v>2272</v>
      </c>
      <c r="AB1704" s="3"/>
      <c r="AC1704" s="3"/>
    </row>
    <row r="1705" spans="1:29" ht="36.5" customHeight="1">
      <c r="A1705" s="147" t="str">
        <f>'Reported burning'!A1705</f>
        <v>205h</v>
      </c>
      <c r="B1705" s="147" t="str">
        <f>'Reported burning'!B1705</f>
        <v>205h.2</v>
      </c>
      <c r="C1705" s="147" t="str">
        <f>'Reported burning'!C1705</f>
        <v>All</v>
      </c>
      <c r="D1705" s="147" t="str">
        <f>'Reported burning'!D1705</f>
        <v>All</v>
      </c>
      <c r="E1705" s="147" t="str">
        <f>'Reported burning'!E1705</f>
        <v>All</v>
      </c>
      <c r="F1705" s="147" t="str">
        <f>'Reported burning'!F1705</f>
        <v>ND</v>
      </c>
      <c r="G1705" s="147" t="str">
        <f>'Reported burning'!G1705</f>
        <v>Shrubland (Mixed forest &amp; grassland)</v>
      </c>
      <c r="H1705" s="147" t="str">
        <f>'Reported burning'!H1705</f>
        <v>Presence</v>
      </c>
      <c r="I1705" s="3"/>
      <c r="J1705" s="4" t="s">
        <v>2272</v>
      </c>
      <c r="K1705" s="4" t="s">
        <v>2272</v>
      </c>
      <c r="L1705" s="4" t="s">
        <v>2272</v>
      </c>
      <c r="M1705" s="4" t="s">
        <v>2272</v>
      </c>
      <c r="N1705" s="4" t="s">
        <v>2272</v>
      </c>
      <c r="O1705" s="4" t="s">
        <v>2272</v>
      </c>
      <c r="P1705" s="4" t="s">
        <v>2272</v>
      </c>
      <c r="Q1705" s="4" t="s">
        <v>2272</v>
      </c>
      <c r="R1705" s="4" t="s">
        <v>2272</v>
      </c>
      <c r="S1705" s="4" t="s">
        <v>2272</v>
      </c>
      <c r="T1705" s="4" t="s">
        <v>2272</v>
      </c>
      <c r="U1705" s="4" t="s">
        <v>2272</v>
      </c>
      <c r="V1705" s="4" t="s">
        <v>2272</v>
      </c>
      <c r="W1705" s="4" t="s">
        <v>2272</v>
      </c>
      <c r="X1705" s="4" t="s">
        <v>2272</v>
      </c>
      <c r="Y1705" s="3" t="s">
        <v>402</v>
      </c>
      <c r="Z1705" s="3" t="s">
        <v>67</v>
      </c>
      <c r="AA1705" s="3" t="s">
        <v>2272</v>
      </c>
      <c r="AB1705" s="3"/>
      <c r="AC1705" s="3"/>
    </row>
    <row r="1706" spans="1:29" ht="36.5" customHeight="1">
      <c r="A1706" s="147" t="str">
        <f>'Reported burning'!A1706</f>
        <v>205i</v>
      </c>
      <c r="B1706" s="147" t="str">
        <f>'Reported burning'!B1706</f>
        <v>205i.2</v>
      </c>
      <c r="C1706" s="147" t="str">
        <f>'Reported burning'!C1706</f>
        <v>All</v>
      </c>
      <c r="D1706" s="147" t="str">
        <f>'Reported burning'!D1706</f>
        <v>All</v>
      </c>
      <c r="E1706" s="147" t="str">
        <f>'Reported burning'!E1706</f>
        <v>All</v>
      </c>
      <c r="F1706" s="147" t="str">
        <f>'Reported burning'!F1706</f>
        <v>ND</v>
      </c>
      <c r="G1706" s="147" t="str">
        <f>'Reported burning'!G1706</f>
        <v>Shrubland (Mixed forest &amp; grassland)</v>
      </c>
      <c r="H1706" s="147" t="str">
        <f>'Reported burning'!H1706</f>
        <v>Presence</v>
      </c>
      <c r="I1706" s="3"/>
      <c r="J1706" s="4" t="s">
        <v>2272</v>
      </c>
      <c r="K1706" s="4" t="s">
        <v>2272</v>
      </c>
      <c r="L1706" s="4" t="s">
        <v>2272</v>
      </c>
      <c r="M1706" s="4" t="s">
        <v>2272</v>
      </c>
      <c r="N1706" s="4" t="s">
        <v>2272</v>
      </c>
      <c r="O1706" s="4" t="s">
        <v>2272</v>
      </c>
      <c r="P1706" s="4" t="s">
        <v>2272</v>
      </c>
      <c r="Q1706" s="4" t="s">
        <v>2272</v>
      </c>
      <c r="R1706" s="4" t="s">
        <v>2272</v>
      </c>
      <c r="S1706" s="4" t="s">
        <v>2272</v>
      </c>
      <c r="T1706" s="4" t="s">
        <v>2272</v>
      </c>
      <c r="U1706" s="4" t="s">
        <v>2272</v>
      </c>
      <c r="V1706" s="4" t="s">
        <v>2272</v>
      </c>
      <c r="W1706" s="4" t="s">
        <v>2272</v>
      </c>
      <c r="X1706" s="4" t="s">
        <v>2272</v>
      </c>
      <c r="Y1706" s="3" t="s">
        <v>402</v>
      </c>
      <c r="Z1706" s="3" t="s">
        <v>67</v>
      </c>
      <c r="AA1706" s="3" t="s">
        <v>2272</v>
      </c>
      <c r="AB1706" s="3"/>
      <c r="AC1706" s="3"/>
    </row>
    <row r="1707" spans="1:29" ht="36.5" customHeight="1">
      <c r="A1707" s="147" t="str">
        <f>'Reported burning'!A1707</f>
        <v>205j</v>
      </c>
      <c r="B1707" s="147" t="str">
        <f>'Reported burning'!B1707</f>
        <v>205j.2</v>
      </c>
      <c r="C1707" s="147" t="str">
        <f>'Reported burning'!C1707</f>
        <v>All</v>
      </c>
      <c r="D1707" s="147" t="str">
        <f>'Reported burning'!D1707</f>
        <v>All</v>
      </c>
      <c r="E1707" s="147" t="str">
        <f>'Reported burning'!E1707</f>
        <v>All</v>
      </c>
      <c r="F1707" s="147" t="str">
        <f>'Reported burning'!F1707</f>
        <v>ND</v>
      </c>
      <c r="G1707" s="147" t="str">
        <f>'Reported burning'!G1707</f>
        <v>Shrubland (Mixed forest &amp; grassland)</v>
      </c>
      <c r="H1707" s="147" t="str">
        <f>'Reported burning'!H1707</f>
        <v>Presence</v>
      </c>
      <c r="I1707" s="3"/>
      <c r="J1707" s="4" t="s">
        <v>2272</v>
      </c>
      <c r="K1707" s="4" t="s">
        <v>2272</v>
      </c>
      <c r="L1707" s="4" t="s">
        <v>2272</v>
      </c>
      <c r="M1707" s="4" t="s">
        <v>2272</v>
      </c>
      <c r="N1707" s="4" t="s">
        <v>2272</v>
      </c>
      <c r="O1707" s="4" t="s">
        <v>2272</v>
      </c>
      <c r="P1707" s="4" t="s">
        <v>2272</v>
      </c>
      <c r="Q1707" s="4" t="s">
        <v>2272</v>
      </c>
      <c r="R1707" s="4" t="s">
        <v>2272</v>
      </c>
      <c r="S1707" s="4" t="s">
        <v>2272</v>
      </c>
      <c r="T1707" s="4" t="s">
        <v>2272</v>
      </c>
      <c r="U1707" s="4" t="s">
        <v>2272</v>
      </c>
      <c r="V1707" s="4" t="s">
        <v>2272</v>
      </c>
      <c r="W1707" s="4" t="s">
        <v>2272</v>
      </c>
      <c r="X1707" s="4" t="s">
        <v>2272</v>
      </c>
      <c r="Y1707" s="3" t="s">
        <v>402</v>
      </c>
      <c r="Z1707" s="3" t="s">
        <v>67</v>
      </c>
      <c r="AA1707" s="3" t="s">
        <v>2272</v>
      </c>
      <c r="AB1707" s="3"/>
      <c r="AC1707" s="3"/>
    </row>
    <row r="1708" spans="1:29" ht="36.5" customHeight="1">
      <c r="A1708" s="147" t="str">
        <f>'Reported burning'!A1708</f>
        <v>205a</v>
      </c>
      <c r="B1708" s="147" t="str">
        <f>'Reported burning'!B1708</f>
        <v>205a.3</v>
      </c>
      <c r="C1708" s="147" t="str">
        <f>'Reported burning'!C1708</f>
        <v>All</v>
      </c>
      <c r="D1708" s="147" t="str">
        <f>'Reported burning'!D1708</f>
        <v>All</v>
      </c>
      <c r="E1708" s="147" t="str">
        <f>'Reported burning'!E1708</f>
        <v>All</v>
      </c>
      <c r="F1708" s="147" t="str">
        <f>'Reported burning'!F1708</f>
        <v>ND</v>
      </c>
      <c r="G1708" s="147" t="str">
        <f>'Reported burning'!G1708</f>
        <v>Shrubland (Mixed forest &amp; grassland)</v>
      </c>
      <c r="H1708" s="147" t="str">
        <f>'Reported burning'!H1708</f>
        <v>Presence</v>
      </c>
      <c r="I1708" s="3"/>
      <c r="J1708" s="4" t="s">
        <v>2272</v>
      </c>
      <c r="K1708" s="4" t="s">
        <v>2272</v>
      </c>
      <c r="L1708" s="4" t="s">
        <v>2272</v>
      </c>
      <c r="M1708" s="4" t="s">
        <v>2272</v>
      </c>
      <c r="N1708" s="4" t="s">
        <v>2272</v>
      </c>
      <c r="O1708" s="4" t="s">
        <v>2272</v>
      </c>
      <c r="P1708" s="4" t="s">
        <v>2272</v>
      </c>
      <c r="Q1708" s="4" t="s">
        <v>2272</v>
      </c>
      <c r="R1708" s="4" t="s">
        <v>2272</v>
      </c>
      <c r="S1708" s="4" t="s">
        <v>2272</v>
      </c>
      <c r="T1708" s="4" t="s">
        <v>2272</v>
      </c>
      <c r="U1708" s="4" t="s">
        <v>2272</v>
      </c>
      <c r="V1708" s="4" t="s">
        <v>2272</v>
      </c>
      <c r="W1708" s="4" t="s">
        <v>2272</v>
      </c>
      <c r="X1708" s="4" t="s">
        <v>2272</v>
      </c>
      <c r="Y1708" s="3" t="s">
        <v>402</v>
      </c>
      <c r="Z1708" s="3" t="s">
        <v>67</v>
      </c>
      <c r="AA1708" s="3" t="s">
        <v>2272</v>
      </c>
      <c r="AB1708" s="3"/>
      <c r="AC1708" s="3"/>
    </row>
    <row r="1709" spans="1:29" ht="36.5" customHeight="1">
      <c r="A1709" s="147" t="str">
        <f>'Reported burning'!A1709</f>
        <v>205b</v>
      </c>
      <c r="B1709" s="147" t="str">
        <f>'Reported burning'!B1709</f>
        <v>205b.3</v>
      </c>
      <c r="C1709" s="147" t="str">
        <f>'Reported burning'!C1709</f>
        <v>All</v>
      </c>
      <c r="D1709" s="147" t="str">
        <f>'Reported burning'!D1709</f>
        <v>All</v>
      </c>
      <c r="E1709" s="147" t="str">
        <f>'Reported burning'!E1709</f>
        <v>All</v>
      </c>
      <c r="F1709" s="147" t="str">
        <f>'Reported burning'!F1709</f>
        <v>ND</v>
      </c>
      <c r="G1709" s="147" t="str">
        <f>'Reported burning'!G1709</f>
        <v>Shrubland (Mixed forest &amp; grassland)</v>
      </c>
      <c r="H1709" s="147" t="str">
        <f>'Reported burning'!H1709</f>
        <v>Presence</v>
      </c>
      <c r="I1709" s="3"/>
      <c r="J1709" s="4" t="s">
        <v>2272</v>
      </c>
      <c r="K1709" s="4" t="s">
        <v>2272</v>
      </c>
      <c r="L1709" s="4" t="s">
        <v>2272</v>
      </c>
      <c r="M1709" s="4" t="s">
        <v>2272</v>
      </c>
      <c r="N1709" s="4" t="s">
        <v>2272</v>
      </c>
      <c r="O1709" s="4" t="s">
        <v>2272</v>
      </c>
      <c r="P1709" s="4" t="s">
        <v>2272</v>
      </c>
      <c r="Q1709" s="4" t="s">
        <v>2272</v>
      </c>
      <c r="R1709" s="4" t="s">
        <v>2272</v>
      </c>
      <c r="S1709" s="4" t="s">
        <v>2272</v>
      </c>
      <c r="T1709" s="4" t="s">
        <v>2272</v>
      </c>
      <c r="U1709" s="4" t="s">
        <v>2272</v>
      </c>
      <c r="V1709" s="4" t="s">
        <v>2272</v>
      </c>
      <c r="W1709" s="4" t="s">
        <v>2272</v>
      </c>
      <c r="X1709" s="4" t="s">
        <v>2272</v>
      </c>
      <c r="Y1709" s="3" t="s">
        <v>402</v>
      </c>
      <c r="Z1709" s="3" t="s">
        <v>67</v>
      </c>
      <c r="AA1709" s="3" t="s">
        <v>2272</v>
      </c>
      <c r="AB1709" s="3"/>
      <c r="AC1709" s="3"/>
    </row>
    <row r="1710" spans="1:29" ht="36.5" customHeight="1">
      <c r="A1710" s="147" t="str">
        <f>'Reported burning'!A1710</f>
        <v>205c</v>
      </c>
      <c r="B1710" s="147" t="str">
        <f>'Reported burning'!B1710</f>
        <v>205c.3</v>
      </c>
      <c r="C1710" s="147" t="str">
        <f>'Reported burning'!C1710</f>
        <v>All</v>
      </c>
      <c r="D1710" s="147" t="str">
        <f>'Reported burning'!D1710</f>
        <v>All</v>
      </c>
      <c r="E1710" s="147" t="str">
        <f>'Reported burning'!E1710</f>
        <v>All</v>
      </c>
      <c r="F1710" s="147" t="str">
        <f>'Reported burning'!F1710</f>
        <v>ND</v>
      </c>
      <c r="G1710" s="147" t="str">
        <f>'Reported burning'!G1710</f>
        <v>Shrubland (Mixed forest &amp; grassland)</v>
      </c>
      <c r="H1710" s="147" t="str">
        <f>'Reported burning'!H1710</f>
        <v>Presence</v>
      </c>
      <c r="I1710" s="3"/>
      <c r="J1710" s="4" t="s">
        <v>2272</v>
      </c>
      <c r="K1710" s="4" t="s">
        <v>2272</v>
      </c>
      <c r="L1710" s="4" t="s">
        <v>2272</v>
      </c>
      <c r="M1710" s="4" t="s">
        <v>2272</v>
      </c>
      <c r="N1710" s="4" t="s">
        <v>2272</v>
      </c>
      <c r="O1710" s="4" t="s">
        <v>2272</v>
      </c>
      <c r="P1710" s="4" t="s">
        <v>2272</v>
      </c>
      <c r="Q1710" s="4" t="s">
        <v>2272</v>
      </c>
      <c r="R1710" s="4" t="s">
        <v>2272</v>
      </c>
      <c r="S1710" s="4" t="s">
        <v>2272</v>
      </c>
      <c r="T1710" s="4" t="s">
        <v>2272</v>
      </c>
      <c r="U1710" s="4" t="s">
        <v>2272</v>
      </c>
      <c r="V1710" s="4" t="s">
        <v>2272</v>
      </c>
      <c r="W1710" s="4" t="s">
        <v>2272</v>
      </c>
      <c r="X1710" s="4" t="s">
        <v>2272</v>
      </c>
      <c r="Y1710" s="3" t="s">
        <v>402</v>
      </c>
      <c r="Z1710" s="3" t="s">
        <v>67</v>
      </c>
      <c r="AA1710" s="3" t="s">
        <v>2272</v>
      </c>
      <c r="AB1710" s="3"/>
      <c r="AC1710" s="3"/>
    </row>
    <row r="1711" spans="1:29" ht="36.5" customHeight="1">
      <c r="A1711" s="147" t="str">
        <f>'Reported burning'!A1711</f>
        <v>205d</v>
      </c>
      <c r="B1711" s="147" t="str">
        <f>'Reported burning'!B1711</f>
        <v>205d.3</v>
      </c>
      <c r="C1711" s="147" t="str">
        <f>'Reported burning'!C1711</f>
        <v>All</v>
      </c>
      <c r="D1711" s="147" t="str">
        <f>'Reported burning'!D1711</f>
        <v>All</v>
      </c>
      <c r="E1711" s="147" t="str">
        <f>'Reported burning'!E1711</f>
        <v>All</v>
      </c>
      <c r="F1711" s="147" t="str">
        <f>'Reported burning'!F1711</f>
        <v>ND</v>
      </c>
      <c r="G1711" s="147" t="str">
        <f>'Reported burning'!G1711</f>
        <v>Shrubland (Mixed forest &amp; grassland)</v>
      </c>
      <c r="H1711" s="147" t="str">
        <f>'Reported burning'!H1711</f>
        <v>Presence</v>
      </c>
      <c r="I1711" s="3"/>
      <c r="J1711" s="4" t="s">
        <v>2272</v>
      </c>
      <c r="K1711" s="4" t="s">
        <v>2272</v>
      </c>
      <c r="L1711" s="4" t="s">
        <v>2272</v>
      </c>
      <c r="M1711" s="4" t="s">
        <v>2272</v>
      </c>
      <c r="N1711" s="4" t="s">
        <v>2272</v>
      </c>
      <c r="O1711" s="4" t="s">
        <v>2272</v>
      </c>
      <c r="P1711" s="4" t="s">
        <v>2272</v>
      </c>
      <c r="Q1711" s="4" t="s">
        <v>2272</v>
      </c>
      <c r="R1711" s="4" t="s">
        <v>2272</v>
      </c>
      <c r="S1711" s="4" t="s">
        <v>2272</v>
      </c>
      <c r="T1711" s="4" t="s">
        <v>2272</v>
      </c>
      <c r="U1711" s="4" t="s">
        <v>2272</v>
      </c>
      <c r="V1711" s="4" t="s">
        <v>2272</v>
      </c>
      <c r="W1711" s="4" t="s">
        <v>2272</v>
      </c>
      <c r="X1711" s="4" t="s">
        <v>2272</v>
      </c>
      <c r="Y1711" s="3" t="s">
        <v>402</v>
      </c>
      <c r="Z1711" s="3" t="s">
        <v>67</v>
      </c>
      <c r="AA1711" s="3" t="s">
        <v>2272</v>
      </c>
      <c r="AB1711" s="3"/>
      <c r="AC1711" s="3"/>
    </row>
    <row r="1712" spans="1:29" ht="36.5" customHeight="1">
      <c r="A1712" s="147" t="str">
        <f>'Reported burning'!A1712</f>
        <v>205e</v>
      </c>
      <c r="B1712" s="147" t="str">
        <f>'Reported burning'!B1712</f>
        <v>205e.3</v>
      </c>
      <c r="C1712" s="147" t="str">
        <f>'Reported burning'!C1712</f>
        <v>All</v>
      </c>
      <c r="D1712" s="147" t="str">
        <f>'Reported burning'!D1712</f>
        <v>All</v>
      </c>
      <c r="E1712" s="147" t="str">
        <f>'Reported burning'!E1712</f>
        <v>All</v>
      </c>
      <c r="F1712" s="147" t="str">
        <f>'Reported burning'!F1712</f>
        <v>ND</v>
      </c>
      <c r="G1712" s="147" t="str">
        <f>'Reported burning'!G1712</f>
        <v>Shrubland (Mixed forest &amp; grassland)</v>
      </c>
      <c r="H1712" s="147" t="str">
        <f>'Reported burning'!H1712</f>
        <v>Presence</v>
      </c>
      <c r="I1712" s="3"/>
      <c r="J1712" s="4" t="s">
        <v>2272</v>
      </c>
      <c r="K1712" s="4" t="s">
        <v>2272</v>
      </c>
      <c r="L1712" s="4" t="s">
        <v>2272</v>
      </c>
      <c r="M1712" s="4" t="s">
        <v>2272</v>
      </c>
      <c r="N1712" s="4" t="s">
        <v>2272</v>
      </c>
      <c r="O1712" s="4" t="s">
        <v>2272</v>
      </c>
      <c r="P1712" s="4" t="s">
        <v>2272</v>
      </c>
      <c r="Q1712" s="4" t="s">
        <v>2272</v>
      </c>
      <c r="R1712" s="4" t="s">
        <v>2272</v>
      </c>
      <c r="S1712" s="4" t="s">
        <v>2272</v>
      </c>
      <c r="T1712" s="4" t="s">
        <v>2272</v>
      </c>
      <c r="U1712" s="4" t="s">
        <v>2272</v>
      </c>
      <c r="V1712" s="4" t="s">
        <v>2272</v>
      </c>
      <c r="W1712" s="4" t="s">
        <v>2272</v>
      </c>
      <c r="X1712" s="4" t="s">
        <v>2272</v>
      </c>
      <c r="Y1712" s="3" t="s">
        <v>402</v>
      </c>
      <c r="Z1712" s="3" t="s">
        <v>67</v>
      </c>
      <c r="AA1712" s="3" t="s">
        <v>2272</v>
      </c>
      <c r="AB1712" s="3"/>
      <c r="AC1712" s="3"/>
    </row>
    <row r="1713" spans="1:29" ht="36.5" customHeight="1">
      <c r="A1713" s="147" t="str">
        <f>'Reported burning'!A1713</f>
        <v>205f</v>
      </c>
      <c r="B1713" s="147" t="str">
        <f>'Reported burning'!B1713</f>
        <v>205f.3</v>
      </c>
      <c r="C1713" s="147" t="str">
        <f>'Reported burning'!C1713</f>
        <v>Human, escaped</v>
      </c>
      <c r="D1713" s="147" t="str">
        <f>'Reported burning'!D1713</f>
        <v>Pyrome management</v>
      </c>
      <c r="E1713" s="147" t="str">
        <f>'Reported burning'!E1713</f>
        <v>Biodiversity conservation</v>
      </c>
      <c r="F1713" s="147" t="str">
        <f>'Reported burning'!F1713</f>
        <v>Shrubland (Mixed forest &amp; grassland)</v>
      </c>
      <c r="G1713" s="147" t="str">
        <f>'Reported burning'!G1713</f>
        <v>Shrubland (Mixed forest &amp; grassland)</v>
      </c>
      <c r="H1713" s="147" t="str">
        <f>'Reported burning'!H1713</f>
        <v>Presence</v>
      </c>
      <c r="I1713" s="3"/>
      <c r="J1713" s="4" t="s">
        <v>2272</v>
      </c>
      <c r="K1713" s="4" t="s">
        <v>2272</v>
      </c>
      <c r="L1713" s="4" t="s">
        <v>2272</v>
      </c>
      <c r="M1713" s="4" t="s">
        <v>2272</v>
      </c>
      <c r="N1713" s="4" t="s">
        <v>2272</v>
      </c>
      <c r="O1713" s="4" t="s">
        <v>2272</v>
      </c>
      <c r="P1713" s="4" t="s">
        <v>2272</v>
      </c>
      <c r="Q1713" s="4" t="s">
        <v>2272</v>
      </c>
      <c r="R1713" s="4" t="s">
        <v>2272</v>
      </c>
      <c r="S1713" s="4" t="s">
        <v>2272</v>
      </c>
      <c r="T1713" s="4" t="s">
        <v>2272</v>
      </c>
      <c r="U1713" s="4" t="s">
        <v>2272</v>
      </c>
      <c r="V1713" s="4" t="s">
        <v>2272</v>
      </c>
      <c r="W1713" s="4" t="s">
        <v>2272</v>
      </c>
      <c r="X1713" s="4" t="s">
        <v>2272</v>
      </c>
      <c r="Y1713" s="3" t="s">
        <v>403</v>
      </c>
      <c r="Z1713" s="3" t="s">
        <v>34</v>
      </c>
      <c r="AA1713" s="3" t="s">
        <v>2272</v>
      </c>
      <c r="AB1713" s="4" t="s">
        <v>5179</v>
      </c>
      <c r="AC1713" s="3"/>
    </row>
    <row r="1714" spans="1:29" ht="36.5" customHeight="1">
      <c r="A1714" s="147" t="str">
        <f>'Reported burning'!A1714</f>
        <v>205g</v>
      </c>
      <c r="B1714" s="147" t="str">
        <f>'Reported burning'!B1714</f>
        <v>205g.3</v>
      </c>
      <c r="C1714" s="147" t="str">
        <f>'Reported burning'!C1714</f>
        <v>Human, escaped</v>
      </c>
      <c r="D1714" s="147" t="str">
        <f>'Reported burning'!D1714</f>
        <v>Pyrome management</v>
      </c>
      <c r="E1714" s="147" t="str">
        <f>'Reported burning'!E1714</f>
        <v>Biodiversity conservation</v>
      </c>
      <c r="F1714" s="147" t="str">
        <f>'Reported burning'!F1714</f>
        <v>Shrubland (Mixed forest &amp; grassland)</v>
      </c>
      <c r="G1714" s="147" t="str">
        <f>'Reported burning'!G1714</f>
        <v>Shrubland (Mixed forest &amp; grassland)</v>
      </c>
      <c r="H1714" s="147" t="str">
        <f>'Reported burning'!H1714</f>
        <v>Presence</v>
      </c>
      <c r="I1714" s="3"/>
      <c r="J1714" s="4" t="s">
        <v>2272</v>
      </c>
      <c r="K1714" s="4" t="s">
        <v>2272</v>
      </c>
      <c r="L1714" s="4" t="s">
        <v>2272</v>
      </c>
      <c r="M1714" s="4" t="s">
        <v>2272</v>
      </c>
      <c r="N1714" s="4" t="s">
        <v>2272</v>
      </c>
      <c r="O1714" s="4" t="s">
        <v>2272</v>
      </c>
      <c r="P1714" s="4" t="s">
        <v>2272</v>
      </c>
      <c r="Q1714" s="4" t="s">
        <v>2272</v>
      </c>
      <c r="R1714" s="4" t="s">
        <v>2272</v>
      </c>
      <c r="S1714" s="4" t="s">
        <v>2272</v>
      </c>
      <c r="T1714" s="4" t="s">
        <v>2272</v>
      </c>
      <c r="U1714" s="4" t="s">
        <v>2272</v>
      </c>
      <c r="V1714" s="4" t="s">
        <v>2272</v>
      </c>
      <c r="W1714" s="4" t="s">
        <v>2272</v>
      </c>
      <c r="X1714" s="4" t="s">
        <v>2272</v>
      </c>
      <c r="Y1714" s="3" t="s">
        <v>403</v>
      </c>
      <c r="Z1714" s="3" t="s">
        <v>34</v>
      </c>
      <c r="AA1714" s="3" t="s">
        <v>2272</v>
      </c>
      <c r="AB1714" s="4" t="s">
        <v>5179</v>
      </c>
      <c r="AC1714" s="3"/>
    </row>
    <row r="1715" spans="1:29" ht="36.5" customHeight="1">
      <c r="A1715" s="147" t="str">
        <f>'Reported burning'!A1715</f>
        <v>205f</v>
      </c>
      <c r="B1715" s="147" t="str">
        <f>'Reported burning'!B1715</f>
        <v>205f.4</v>
      </c>
      <c r="C1715" s="147" t="str">
        <f>'Reported burning'!C1715</f>
        <v>Human, accidental</v>
      </c>
      <c r="D1715" s="147" t="str">
        <f>'Reported burning'!D1715</f>
        <v>Accidental</v>
      </c>
      <c r="E1715" s="147" t="str">
        <f>'Reported burning'!E1715</f>
        <v>Tourism manager</v>
      </c>
      <c r="F1715" s="147" t="str">
        <f>'Reported burning'!F1715</f>
        <v>ND</v>
      </c>
      <c r="G1715" s="147" t="str">
        <f>'Reported burning'!G1715</f>
        <v>Shrubland (Mixed forest &amp; grassland)</v>
      </c>
      <c r="H1715" s="147" t="str">
        <f>'Reported burning'!H1715</f>
        <v>Presence</v>
      </c>
      <c r="I1715" s="3"/>
      <c r="J1715" s="4" t="s">
        <v>2272</v>
      </c>
      <c r="K1715" s="4" t="s">
        <v>2272</v>
      </c>
      <c r="L1715" s="4" t="s">
        <v>2272</v>
      </c>
      <c r="M1715" s="4" t="s">
        <v>2272</v>
      </c>
      <c r="N1715" s="4" t="s">
        <v>2272</v>
      </c>
      <c r="O1715" s="4" t="s">
        <v>2272</v>
      </c>
      <c r="P1715" s="4" t="s">
        <v>2272</v>
      </c>
      <c r="Q1715" s="4" t="s">
        <v>2272</v>
      </c>
      <c r="R1715" s="4" t="s">
        <v>2272</v>
      </c>
      <c r="S1715" s="4" t="s">
        <v>2272</v>
      </c>
      <c r="T1715" s="4" t="s">
        <v>2272</v>
      </c>
      <c r="U1715" s="4" t="s">
        <v>2272</v>
      </c>
      <c r="V1715" s="4" t="s">
        <v>2272</v>
      </c>
      <c r="W1715" s="4" t="s">
        <v>2272</v>
      </c>
      <c r="X1715" s="4" t="s">
        <v>2272</v>
      </c>
      <c r="Y1715" s="3" t="s">
        <v>403</v>
      </c>
      <c r="Z1715" s="3" t="s">
        <v>34</v>
      </c>
      <c r="AA1715" s="3" t="s">
        <v>2272</v>
      </c>
      <c r="AB1715" s="4" t="s">
        <v>5179</v>
      </c>
      <c r="AC1715" s="3"/>
    </row>
    <row r="1716" spans="1:29" ht="36.5" customHeight="1">
      <c r="A1716" s="147" t="str">
        <f>'Reported burning'!A1716</f>
        <v>205g</v>
      </c>
      <c r="B1716" s="147" t="str">
        <f>'Reported burning'!B1716</f>
        <v>205g.4</v>
      </c>
      <c r="C1716" s="147" t="str">
        <f>'Reported burning'!C1716</f>
        <v>Human, accidental</v>
      </c>
      <c r="D1716" s="147" t="str">
        <f>'Reported burning'!D1716</f>
        <v>Accidental</v>
      </c>
      <c r="E1716" s="147" t="str">
        <f>'Reported burning'!E1716</f>
        <v>Tourism manager</v>
      </c>
      <c r="F1716" s="147" t="str">
        <f>'Reported burning'!F1716</f>
        <v>ND</v>
      </c>
      <c r="G1716" s="147" t="str">
        <f>'Reported burning'!G1716</f>
        <v>Shrubland (Mixed forest &amp; grassland)</v>
      </c>
      <c r="H1716" s="147" t="str">
        <f>'Reported burning'!H1716</f>
        <v>Presence</v>
      </c>
      <c r="I1716" s="3"/>
      <c r="J1716" s="4" t="s">
        <v>2272</v>
      </c>
      <c r="K1716" s="4" t="s">
        <v>2272</v>
      </c>
      <c r="L1716" s="4" t="s">
        <v>2272</v>
      </c>
      <c r="M1716" s="4" t="s">
        <v>2272</v>
      </c>
      <c r="N1716" s="4" t="s">
        <v>2272</v>
      </c>
      <c r="O1716" s="4" t="s">
        <v>2272</v>
      </c>
      <c r="P1716" s="4" t="s">
        <v>2272</v>
      </c>
      <c r="Q1716" s="4" t="s">
        <v>2272</v>
      </c>
      <c r="R1716" s="4" t="s">
        <v>2272</v>
      </c>
      <c r="S1716" s="4" t="s">
        <v>2272</v>
      </c>
      <c r="T1716" s="4" t="s">
        <v>2272</v>
      </c>
      <c r="U1716" s="4" t="s">
        <v>2272</v>
      </c>
      <c r="V1716" s="4" t="s">
        <v>2272</v>
      </c>
      <c r="W1716" s="4" t="s">
        <v>2272</v>
      </c>
      <c r="X1716" s="4" t="s">
        <v>2272</v>
      </c>
      <c r="Y1716" s="3" t="s">
        <v>403</v>
      </c>
      <c r="Z1716" s="3" t="s">
        <v>34</v>
      </c>
      <c r="AA1716" s="3" t="s">
        <v>2272</v>
      </c>
      <c r="AB1716" s="4" t="s">
        <v>5179</v>
      </c>
      <c r="AC1716" s="3"/>
    </row>
    <row r="1717" spans="1:29" ht="36.5" customHeight="1">
      <c r="A1717" s="147" t="str">
        <f>'Reported burning'!A1717</f>
        <v>205f</v>
      </c>
      <c r="B1717" s="147" t="str">
        <f>'Reported burning'!B1717</f>
        <v>205f.5</v>
      </c>
      <c r="C1717" s="147" t="str">
        <f>'Reported burning'!C1717</f>
        <v>Human, accidental</v>
      </c>
      <c r="D1717" s="147" t="str">
        <f>'Reported burning'!D1717</f>
        <v>Accidental</v>
      </c>
      <c r="E1717" s="147" t="str">
        <f>'Reported burning'!E1717</f>
        <v>Urban planner</v>
      </c>
      <c r="F1717" s="147" t="str">
        <f>'Reported burning'!F1717</f>
        <v>ND</v>
      </c>
      <c r="G1717" s="147" t="str">
        <f>'Reported burning'!G1717</f>
        <v>Shrubland (Mixed forest &amp; grassland)</v>
      </c>
      <c r="H1717" s="147" t="str">
        <f>'Reported burning'!H1717</f>
        <v>Presence</v>
      </c>
      <c r="I1717" s="3"/>
      <c r="J1717" s="4" t="s">
        <v>2272</v>
      </c>
      <c r="K1717" s="4" t="s">
        <v>2272</v>
      </c>
      <c r="L1717" s="4" t="s">
        <v>2272</v>
      </c>
      <c r="M1717" s="4" t="s">
        <v>2272</v>
      </c>
      <c r="N1717" s="4" t="s">
        <v>2272</v>
      </c>
      <c r="O1717" s="4" t="s">
        <v>2272</v>
      </c>
      <c r="P1717" s="4" t="s">
        <v>2272</v>
      </c>
      <c r="Q1717" s="4" t="s">
        <v>2272</v>
      </c>
      <c r="R1717" s="4" t="s">
        <v>2272</v>
      </c>
      <c r="S1717" s="4" t="s">
        <v>2272</v>
      </c>
      <c r="T1717" s="4" t="s">
        <v>2272</v>
      </c>
      <c r="U1717" s="4" t="s">
        <v>2272</v>
      </c>
      <c r="V1717" s="4" t="s">
        <v>2272</v>
      </c>
      <c r="W1717" s="4" t="s">
        <v>2272</v>
      </c>
      <c r="X1717" s="4" t="s">
        <v>2272</v>
      </c>
      <c r="Y1717" s="3" t="s">
        <v>403</v>
      </c>
      <c r="Z1717" s="3" t="s">
        <v>34</v>
      </c>
      <c r="AA1717" s="3" t="s">
        <v>2272</v>
      </c>
      <c r="AB1717" s="4" t="s">
        <v>5179</v>
      </c>
      <c r="AC1717" s="3"/>
    </row>
    <row r="1718" spans="1:29" ht="36.5" customHeight="1">
      <c r="A1718" s="147" t="str">
        <f>'Reported burning'!A1718</f>
        <v>205g</v>
      </c>
      <c r="B1718" s="147" t="str">
        <f>'Reported burning'!B1718</f>
        <v>205g.5</v>
      </c>
      <c r="C1718" s="147" t="str">
        <f>'Reported burning'!C1718</f>
        <v>Human, accidental</v>
      </c>
      <c r="D1718" s="147" t="str">
        <f>'Reported burning'!D1718</f>
        <v>Accidental</v>
      </c>
      <c r="E1718" s="147" t="str">
        <f>'Reported burning'!E1718</f>
        <v>Urban planner</v>
      </c>
      <c r="F1718" s="147" t="str">
        <f>'Reported burning'!F1718</f>
        <v>ND</v>
      </c>
      <c r="G1718" s="147" t="str">
        <f>'Reported burning'!G1718</f>
        <v>Shrubland (Mixed forest &amp; grassland)</v>
      </c>
      <c r="H1718" s="147" t="str">
        <f>'Reported burning'!H1718</f>
        <v>Presence</v>
      </c>
      <c r="I1718" s="3"/>
      <c r="J1718" s="4" t="s">
        <v>2272</v>
      </c>
      <c r="K1718" s="4" t="s">
        <v>2272</v>
      </c>
      <c r="L1718" s="4" t="s">
        <v>2272</v>
      </c>
      <c r="M1718" s="4" t="s">
        <v>2272</v>
      </c>
      <c r="N1718" s="4" t="s">
        <v>2272</v>
      </c>
      <c r="O1718" s="4" t="s">
        <v>2272</v>
      </c>
      <c r="P1718" s="4" t="s">
        <v>2272</v>
      </c>
      <c r="Q1718" s="4" t="s">
        <v>2272</v>
      </c>
      <c r="R1718" s="4" t="s">
        <v>2272</v>
      </c>
      <c r="S1718" s="4" t="s">
        <v>2272</v>
      </c>
      <c r="T1718" s="4" t="s">
        <v>2272</v>
      </c>
      <c r="U1718" s="4" t="s">
        <v>2272</v>
      </c>
      <c r="V1718" s="4" t="s">
        <v>2272</v>
      </c>
      <c r="W1718" s="4" t="s">
        <v>2272</v>
      </c>
      <c r="X1718" s="4" t="s">
        <v>2272</v>
      </c>
      <c r="Y1718" s="3" t="s">
        <v>403</v>
      </c>
      <c r="Z1718" s="3" t="s">
        <v>34</v>
      </c>
      <c r="AA1718" s="3" t="s">
        <v>2272</v>
      </c>
      <c r="AB1718" s="4" t="s">
        <v>5179</v>
      </c>
      <c r="AC1718" s="3"/>
    </row>
    <row r="1719" spans="1:29" ht="36.5" customHeight="1">
      <c r="A1719" s="147" t="str">
        <f>'Reported burning'!A1719</f>
        <v>205f</v>
      </c>
      <c r="B1719" s="147" t="str">
        <f>'Reported burning'!B1719</f>
        <v>205f.6</v>
      </c>
      <c r="C1719" s="147" t="str">
        <f>'Reported burning'!C1719</f>
        <v>Human, deliberate</v>
      </c>
      <c r="D1719" s="147" t="str">
        <f>'Reported burning'!D1719</f>
        <v>Hunting</v>
      </c>
      <c r="E1719" s="147" t="str">
        <f>'Reported burning'!E1719</f>
        <v>Forestry, Traditional</v>
      </c>
      <c r="F1719" s="147" t="str">
        <f>'Reported burning'!F1719</f>
        <v>ND</v>
      </c>
      <c r="G1719" s="147" t="str">
        <f>'Reported burning'!G1719</f>
        <v>Shrubland (Mixed forest &amp; grassland)</v>
      </c>
      <c r="H1719" s="147" t="str">
        <f>'Reported burning'!H1719</f>
        <v>Presence</v>
      </c>
      <c r="I1719" s="3"/>
      <c r="J1719" s="4" t="s">
        <v>2272</v>
      </c>
      <c r="K1719" s="4" t="s">
        <v>2272</v>
      </c>
      <c r="L1719" s="4" t="s">
        <v>2272</v>
      </c>
      <c r="M1719" s="4" t="s">
        <v>2272</v>
      </c>
      <c r="N1719" s="4" t="s">
        <v>2272</v>
      </c>
      <c r="O1719" s="4" t="s">
        <v>2272</v>
      </c>
      <c r="P1719" s="4" t="s">
        <v>2272</v>
      </c>
      <c r="Q1719" s="4" t="s">
        <v>2272</v>
      </c>
      <c r="R1719" s="4" t="s">
        <v>2272</v>
      </c>
      <c r="S1719" s="4" t="s">
        <v>2272</v>
      </c>
      <c r="T1719" s="4" t="s">
        <v>2272</v>
      </c>
      <c r="U1719" s="4" t="s">
        <v>2272</v>
      </c>
      <c r="V1719" s="4" t="s">
        <v>2272</v>
      </c>
      <c r="W1719" s="4" t="s">
        <v>2272</v>
      </c>
      <c r="X1719" s="4" t="s">
        <v>2272</v>
      </c>
      <c r="Y1719" s="3" t="s">
        <v>403</v>
      </c>
      <c r="Z1719" s="3" t="s">
        <v>34</v>
      </c>
      <c r="AA1719" s="3" t="s">
        <v>2272</v>
      </c>
      <c r="AB1719" s="4" t="s">
        <v>5179</v>
      </c>
      <c r="AC1719" s="3"/>
    </row>
    <row r="1720" spans="1:29" ht="36.5" customHeight="1">
      <c r="A1720" s="147" t="str">
        <f>'Reported burning'!A1720</f>
        <v>205g</v>
      </c>
      <c r="B1720" s="147" t="str">
        <f>'Reported burning'!B1720</f>
        <v>205g.6</v>
      </c>
      <c r="C1720" s="147" t="str">
        <f>'Reported burning'!C1720</f>
        <v>Human, deliberate</v>
      </c>
      <c r="D1720" s="147" t="str">
        <f>'Reported burning'!D1720</f>
        <v>Hunting</v>
      </c>
      <c r="E1720" s="147" t="str">
        <f>'Reported burning'!E1720</f>
        <v>Forestry, Traditional</v>
      </c>
      <c r="F1720" s="147" t="str">
        <f>'Reported burning'!F1720</f>
        <v>ND</v>
      </c>
      <c r="G1720" s="147" t="str">
        <f>'Reported burning'!G1720</f>
        <v>Shrubland (Mixed forest &amp; grassland)</v>
      </c>
      <c r="H1720" s="147" t="str">
        <f>'Reported burning'!H1720</f>
        <v>Presence</v>
      </c>
      <c r="I1720" s="3"/>
      <c r="J1720" s="4" t="s">
        <v>2272</v>
      </c>
      <c r="K1720" s="4" t="s">
        <v>2272</v>
      </c>
      <c r="L1720" s="4" t="s">
        <v>2272</v>
      </c>
      <c r="M1720" s="4" t="s">
        <v>2272</v>
      </c>
      <c r="N1720" s="4" t="s">
        <v>2272</v>
      </c>
      <c r="O1720" s="4" t="s">
        <v>2272</v>
      </c>
      <c r="P1720" s="4" t="s">
        <v>2272</v>
      </c>
      <c r="Q1720" s="4" t="s">
        <v>2272</v>
      </c>
      <c r="R1720" s="4" t="s">
        <v>2272</v>
      </c>
      <c r="S1720" s="4" t="s">
        <v>2272</v>
      </c>
      <c r="T1720" s="4" t="s">
        <v>2272</v>
      </c>
      <c r="U1720" s="4" t="s">
        <v>2272</v>
      </c>
      <c r="V1720" s="4" t="s">
        <v>2272</v>
      </c>
      <c r="W1720" s="4" t="s">
        <v>2272</v>
      </c>
      <c r="X1720" s="4" t="s">
        <v>2272</v>
      </c>
      <c r="Y1720" s="3" t="s">
        <v>403</v>
      </c>
      <c r="Z1720" s="3" t="s">
        <v>34</v>
      </c>
      <c r="AA1720" s="3" t="s">
        <v>2272</v>
      </c>
      <c r="AB1720" s="4" t="s">
        <v>5179</v>
      </c>
      <c r="AC1720" s="3"/>
    </row>
    <row r="1721" spans="1:29" ht="29">
      <c r="A1721" s="147" t="str">
        <f>'Reported burning'!A1721</f>
        <v>205f</v>
      </c>
      <c r="B1721" s="147" t="str">
        <f>'Reported burning'!B1721</f>
        <v>205f.7</v>
      </c>
      <c r="C1721" s="147" t="str">
        <f>'Reported burning'!C1721</f>
        <v>Lightning</v>
      </c>
      <c r="D1721" s="147" t="str">
        <f>'Reported burning'!D1721</f>
        <v>ND</v>
      </c>
      <c r="E1721" s="147" t="str">
        <f>'Reported burning'!E1721</f>
        <v>ND</v>
      </c>
      <c r="F1721" s="147" t="str">
        <f>'Reported burning'!F1721</f>
        <v>ND</v>
      </c>
      <c r="G1721" s="147" t="str">
        <f>'Reported burning'!G1721</f>
        <v>Shrubland (Mixed forest &amp; grassland)</v>
      </c>
      <c r="H1721" s="147" t="str">
        <f>'Reported burning'!H1721</f>
        <v>Presence</v>
      </c>
      <c r="I1721" s="3"/>
      <c r="J1721" s="4" t="s">
        <v>2272</v>
      </c>
      <c r="K1721" s="4" t="s">
        <v>2272</v>
      </c>
      <c r="L1721" s="4" t="s">
        <v>2272</v>
      </c>
      <c r="M1721" s="4" t="s">
        <v>2272</v>
      </c>
      <c r="N1721" s="4" t="s">
        <v>2272</v>
      </c>
      <c r="O1721" s="4" t="s">
        <v>2272</v>
      </c>
      <c r="P1721" s="4" t="s">
        <v>2272</v>
      </c>
      <c r="Q1721" s="4" t="s">
        <v>2272</v>
      </c>
      <c r="R1721" s="4" t="s">
        <v>2272</v>
      </c>
      <c r="S1721" s="4" t="s">
        <v>2272</v>
      </c>
      <c r="T1721" s="4" t="s">
        <v>2272</v>
      </c>
      <c r="U1721" s="4" t="s">
        <v>2272</v>
      </c>
      <c r="V1721" s="4" t="s">
        <v>2272</v>
      </c>
      <c r="W1721" s="4" t="s">
        <v>2272</v>
      </c>
      <c r="X1721" s="4" t="s">
        <v>2272</v>
      </c>
      <c r="Y1721" s="3" t="s">
        <v>403</v>
      </c>
      <c r="Z1721" s="3" t="s">
        <v>34</v>
      </c>
      <c r="AA1721" s="3" t="s">
        <v>2272</v>
      </c>
      <c r="AB1721" s="4" t="s">
        <v>5179</v>
      </c>
      <c r="AC1721" s="3"/>
    </row>
    <row r="1722" spans="1:29" ht="29">
      <c r="A1722" s="147" t="str">
        <f>'Reported burning'!A1722</f>
        <v>205g</v>
      </c>
      <c r="B1722" s="147" t="str">
        <f>'Reported burning'!B1722</f>
        <v>205g.7</v>
      </c>
      <c r="C1722" s="147" t="str">
        <f>'Reported burning'!C1722</f>
        <v>Lightning</v>
      </c>
      <c r="D1722" s="147" t="str">
        <f>'Reported burning'!D1722</f>
        <v>ND</v>
      </c>
      <c r="E1722" s="147" t="str">
        <f>'Reported burning'!E1722</f>
        <v>ND</v>
      </c>
      <c r="F1722" s="147" t="str">
        <f>'Reported burning'!F1722</f>
        <v>ND</v>
      </c>
      <c r="G1722" s="147" t="str">
        <f>'Reported burning'!G1722</f>
        <v>Shrubland (Mixed forest &amp; grassland)</v>
      </c>
      <c r="H1722" s="147" t="str">
        <f>'Reported burning'!H1722</f>
        <v>Presence</v>
      </c>
      <c r="I1722" s="3"/>
      <c r="J1722" s="4" t="s">
        <v>2272</v>
      </c>
      <c r="K1722" s="4" t="s">
        <v>2272</v>
      </c>
      <c r="L1722" s="4" t="s">
        <v>2272</v>
      </c>
      <c r="M1722" s="4" t="s">
        <v>2272</v>
      </c>
      <c r="N1722" s="4" t="s">
        <v>2272</v>
      </c>
      <c r="O1722" s="4" t="s">
        <v>2272</v>
      </c>
      <c r="P1722" s="4" t="s">
        <v>2272</v>
      </c>
      <c r="Q1722" s="4" t="s">
        <v>2272</v>
      </c>
      <c r="R1722" s="4" t="s">
        <v>2272</v>
      </c>
      <c r="S1722" s="4" t="s">
        <v>2272</v>
      </c>
      <c r="T1722" s="4" t="s">
        <v>2272</v>
      </c>
      <c r="U1722" s="4" t="s">
        <v>2272</v>
      </c>
      <c r="V1722" s="4" t="s">
        <v>2272</v>
      </c>
      <c r="W1722" s="4" t="s">
        <v>2272</v>
      </c>
      <c r="X1722" s="4" t="s">
        <v>2272</v>
      </c>
      <c r="Y1722" s="3" t="s">
        <v>403</v>
      </c>
      <c r="Z1722" s="3" t="s">
        <v>34</v>
      </c>
      <c r="AA1722" s="3" t="s">
        <v>2272</v>
      </c>
      <c r="AB1722" s="4" t="s">
        <v>5179</v>
      </c>
      <c r="AC1722" s="3"/>
    </row>
    <row r="1723" spans="1:29" ht="37" customHeight="1">
      <c r="A1723" s="147" t="str">
        <f>'Reported burning'!A1723</f>
        <v>206a</v>
      </c>
      <c r="B1723" s="147" t="str">
        <f>'Reported burning'!B1723</f>
        <v>206a.1</v>
      </c>
      <c r="C1723" s="147" t="str">
        <f>'Reported burning'!C1723</f>
        <v>Human, deliberate</v>
      </c>
      <c r="D1723" s="147" t="str">
        <f>'Reported burning'!D1723</f>
        <v>Land clearance</v>
      </c>
      <c r="E1723" s="147" t="str">
        <f>'Reported burning'!E1723</f>
        <v>Cropping, Monoculture, Market-oriented</v>
      </c>
      <c r="F1723" s="147" t="str">
        <f>'Reported burning'!F1723</f>
        <v>Forest</v>
      </c>
      <c r="G1723" s="147" t="str">
        <f>'Reported burning'!G1723</f>
        <v>ND</v>
      </c>
      <c r="H1723" s="147" t="str">
        <f>'Reported burning'!H1723</f>
        <v>Presence</v>
      </c>
      <c r="I1723" s="3"/>
      <c r="J1723" s="4" t="s">
        <v>2272</v>
      </c>
      <c r="K1723" s="4" t="s">
        <v>2272</v>
      </c>
      <c r="L1723" s="4" t="s">
        <v>2272</v>
      </c>
      <c r="M1723" s="4" t="s">
        <v>2272</v>
      </c>
      <c r="N1723" s="4" t="s">
        <v>2272</v>
      </c>
      <c r="O1723" s="4" t="s">
        <v>2272</v>
      </c>
      <c r="P1723" s="4" t="s">
        <v>2272</v>
      </c>
      <c r="Q1723" s="4" t="s">
        <v>2272</v>
      </c>
      <c r="R1723" s="4" t="s">
        <v>2272</v>
      </c>
      <c r="S1723" s="4" t="s">
        <v>2272</v>
      </c>
      <c r="T1723" s="4" t="s">
        <v>2272</v>
      </c>
      <c r="U1723" s="4" t="s">
        <v>2272</v>
      </c>
      <c r="V1723" s="4" t="s">
        <v>2272</v>
      </c>
      <c r="W1723" s="4" t="s">
        <v>2272</v>
      </c>
      <c r="X1723" s="4" t="s">
        <v>2272</v>
      </c>
      <c r="Y1723" s="4" t="s">
        <v>2272</v>
      </c>
      <c r="Z1723" s="4" t="s">
        <v>2272</v>
      </c>
      <c r="AA1723" s="4" t="s">
        <v>2272</v>
      </c>
      <c r="AB1723" s="3"/>
      <c r="AC1723" s="3"/>
    </row>
    <row r="1724" spans="1:29" ht="37" customHeight="1">
      <c r="A1724" s="147" t="str">
        <f>'Reported burning'!A1724</f>
        <v>206a</v>
      </c>
      <c r="B1724" s="147" t="str">
        <f>'Reported burning'!B1724</f>
        <v>206a.3</v>
      </c>
      <c r="C1724" s="147" t="str">
        <f>'Reported burning'!C1724</f>
        <v>Human, deliberate</v>
      </c>
      <c r="D1724" s="147" t="str">
        <f>'Reported burning'!D1724</f>
        <v>Harvesting of Timber</v>
      </c>
      <c r="E1724" s="147" t="str">
        <f>'Reported burning'!E1724</f>
        <v>Forestry, Small-scale</v>
      </c>
      <c r="F1724" s="147" t="str">
        <f>'Reported burning'!F1724</f>
        <v>Forest</v>
      </c>
      <c r="G1724" s="147" t="str">
        <f>'Reported burning'!G1724</f>
        <v>ND</v>
      </c>
      <c r="H1724" s="147" t="str">
        <f>'Reported burning'!H1724</f>
        <v>Presence</v>
      </c>
      <c r="I1724" s="3"/>
      <c r="J1724" s="4" t="s">
        <v>2272</v>
      </c>
      <c r="K1724" s="4" t="s">
        <v>2272</v>
      </c>
      <c r="L1724" s="4" t="s">
        <v>2272</v>
      </c>
      <c r="M1724" s="4" t="s">
        <v>2272</v>
      </c>
      <c r="N1724" s="4" t="s">
        <v>2272</v>
      </c>
      <c r="O1724" s="4" t="s">
        <v>2272</v>
      </c>
      <c r="P1724" s="4" t="s">
        <v>2272</v>
      </c>
      <c r="Q1724" s="4" t="s">
        <v>2272</v>
      </c>
      <c r="R1724" s="4" t="s">
        <v>2272</v>
      </c>
      <c r="S1724" s="4" t="s">
        <v>2272</v>
      </c>
      <c r="T1724" s="4" t="s">
        <v>2272</v>
      </c>
      <c r="U1724" s="4" t="s">
        <v>2272</v>
      </c>
      <c r="V1724" s="4" t="s">
        <v>2272</v>
      </c>
      <c r="W1724" s="4" t="s">
        <v>2272</v>
      </c>
      <c r="X1724" s="4" t="s">
        <v>2272</v>
      </c>
      <c r="Y1724" s="4" t="s">
        <v>2272</v>
      </c>
      <c r="Z1724" s="4" t="s">
        <v>2272</v>
      </c>
      <c r="AA1724" s="4" t="s">
        <v>2272</v>
      </c>
      <c r="AB1724" s="3"/>
      <c r="AC1724" s="3"/>
    </row>
    <row r="1725" spans="1:29" ht="37" customHeight="1">
      <c r="A1725" s="147" t="str">
        <f>'Reported burning'!A1725</f>
        <v>206a</v>
      </c>
      <c r="B1725" s="147" t="str">
        <f>'Reported burning'!B1725</f>
        <v>206a.4</v>
      </c>
      <c r="C1725" s="147" t="str">
        <f>'Reported burning'!C1725</f>
        <v>Human, deliberate</v>
      </c>
      <c r="D1725" s="147" t="str">
        <f>'Reported burning'!D1725</f>
        <v>Charcoal production</v>
      </c>
      <c r="E1725" s="147" t="str">
        <f>'Reported burning'!E1725</f>
        <v>Forestry, Small-scale</v>
      </c>
      <c r="F1725" s="147" t="str">
        <f>'Reported burning'!F1725</f>
        <v>Forest</v>
      </c>
      <c r="G1725" s="147" t="str">
        <f>'Reported burning'!G1725</f>
        <v>ND</v>
      </c>
      <c r="H1725" s="147" t="str">
        <f>'Reported burning'!H1725</f>
        <v>Presence</v>
      </c>
      <c r="I1725" s="3"/>
      <c r="J1725" s="4" t="s">
        <v>2272</v>
      </c>
      <c r="K1725" s="4" t="s">
        <v>2272</v>
      </c>
      <c r="L1725" s="4" t="s">
        <v>2272</v>
      </c>
      <c r="M1725" s="4" t="s">
        <v>2272</v>
      </c>
      <c r="N1725" s="4" t="s">
        <v>2272</v>
      </c>
      <c r="O1725" s="4" t="s">
        <v>2272</v>
      </c>
      <c r="P1725" s="4" t="s">
        <v>2272</v>
      </c>
      <c r="Q1725" s="4" t="s">
        <v>2272</v>
      </c>
      <c r="R1725" s="4" t="s">
        <v>2272</v>
      </c>
      <c r="S1725" s="4" t="s">
        <v>2272</v>
      </c>
      <c r="T1725" s="4" t="s">
        <v>2272</v>
      </c>
      <c r="U1725" s="4" t="s">
        <v>2272</v>
      </c>
      <c r="V1725" s="4" t="s">
        <v>2272</v>
      </c>
      <c r="W1725" s="4" t="s">
        <v>2272</v>
      </c>
      <c r="X1725" s="4" t="s">
        <v>2272</v>
      </c>
      <c r="Y1725" s="4" t="s">
        <v>2272</v>
      </c>
      <c r="Z1725" s="4" t="s">
        <v>2272</v>
      </c>
      <c r="AA1725" s="4" t="s">
        <v>2272</v>
      </c>
      <c r="AB1725" s="3"/>
      <c r="AC1725" s="3"/>
    </row>
    <row r="1726" spans="1:29" ht="37" customHeight="1">
      <c r="A1726" s="147" t="str">
        <f>'Reported burning'!A1726</f>
        <v>206a</v>
      </c>
      <c r="B1726" s="147" t="str">
        <f>'Reported burning'!B1726</f>
        <v>206a.5</v>
      </c>
      <c r="C1726" s="147" t="str">
        <f>'Reported burning'!C1726</f>
        <v>Human, deliberate</v>
      </c>
      <c r="D1726" s="147" t="str">
        <f>'Reported burning'!D1726</f>
        <v>Crop field preparation</v>
      </c>
      <c r="E1726" s="147" t="str">
        <f>'Reported burning'!E1726</f>
        <v>Cropping, Swidden</v>
      </c>
      <c r="F1726" s="147" t="str">
        <f>'Reported burning'!F1726</f>
        <v>Secondary vegetation</v>
      </c>
      <c r="G1726" s="147" t="str">
        <f>'Reported burning'!G1726</f>
        <v>ND</v>
      </c>
      <c r="H1726" s="147" t="str">
        <f>'Reported burning'!H1726</f>
        <v>Presence</v>
      </c>
      <c r="I1726" s="3"/>
      <c r="J1726" s="4" t="s">
        <v>2272</v>
      </c>
      <c r="K1726" s="4" t="s">
        <v>2272</v>
      </c>
      <c r="L1726" s="4" t="s">
        <v>2272</v>
      </c>
      <c r="M1726" s="4" t="s">
        <v>2272</v>
      </c>
      <c r="N1726" s="4" t="s">
        <v>2272</v>
      </c>
      <c r="O1726" s="4" t="s">
        <v>2272</v>
      </c>
      <c r="P1726" s="4" t="s">
        <v>2272</v>
      </c>
      <c r="Q1726" s="4" t="s">
        <v>2272</v>
      </c>
      <c r="R1726" s="4" t="s">
        <v>2272</v>
      </c>
      <c r="S1726" s="4" t="s">
        <v>2272</v>
      </c>
      <c r="T1726" s="4" t="s">
        <v>2272</v>
      </c>
      <c r="U1726" s="4" t="s">
        <v>2272</v>
      </c>
      <c r="V1726" s="4" t="s">
        <v>2272</v>
      </c>
      <c r="W1726" s="4" t="s">
        <v>2272</v>
      </c>
      <c r="X1726" s="4" t="s">
        <v>2272</v>
      </c>
      <c r="Y1726" s="4" t="s">
        <v>2272</v>
      </c>
      <c r="Z1726" s="4" t="s">
        <v>2272</v>
      </c>
      <c r="AA1726" s="4" t="s">
        <v>2272</v>
      </c>
      <c r="AB1726" s="3"/>
      <c r="AC1726" s="3"/>
    </row>
    <row r="1727" spans="1:29" ht="37" customHeight="1">
      <c r="A1727" s="147" t="str">
        <f>'Reported burning'!A1727</f>
        <v>206a</v>
      </c>
      <c r="B1727" s="147" t="str">
        <f>'Reported burning'!B1727</f>
        <v>206a.6</v>
      </c>
      <c r="C1727" s="147" t="str">
        <f>'Reported burning'!C1727</f>
        <v>Human, deliberate</v>
      </c>
      <c r="D1727" s="147" t="str">
        <f>'Reported burning'!D1727</f>
        <v>Hunting</v>
      </c>
      <c r="E1727" s="147" t="str">
        <f>'Reported burning'!E1727</f>
        <v>Forestry, Small-scale</v>
      </c>
      <c r="F1727" s="147" t="str">
        <f>'Reported burning'!F1727</f>
        <v>Forest</v>
      </c>
      <c r="G1727" s="147" t="str">
        <f>'Reported burning'!G1727</f>
        <v>ND</v>
      </c>
      <c r="H1727" s="147" t="str">
        <f>'Reported burning'!H1727</f>
        <v>Presence</v>
      </c>
      <c r="I1727" s="3"/>
      <c r="J1727" s="4" t="s">
        <v>2272</v>
      </c>
      <c r="K1727" s="4" t="s">
        <v>2272</v>
      </c>
      <c r="L1727" s="4" t="s">
        <v>2272</v>
      </c>
      <c r="M1727" s="4" t="s">
        <v>2272</v>
      </c>
      <c r="N1727" s="4" t="s">
        <v>2272</v>
      </c>
      <c r="O1727" s="4" t="s">
        <v>2272</v>
      </c>
      <c r="P1727" s="4" t="s">
        <v>2272</v>
      </c>
      <c r="Q1727" s="4" t="s">
        <v>2272</v>
      </c>
      <c r="R1727" s="4" t="s">
        <v>2272</v>
      </c>
      <c r="S1727" s="4" t="s">
        <v>2272</v>
      </c>
      <c r="T1727" s="4" t="s">
        <v>2272</v>
      </c>
      <c r="U1727" s="4" t="s">
        <v>2272</v>
      </c>
      <c r="V1727" s="4" t="s">
        <v>2272</v>
      </c>
      <c r="W1727" s="4" t="s">
        <v>2272</v>
      </c>
      <c r="X1727" s="4" t="s">
        <v>2272</v>
      </c>
      <c r="Y1727" s="4" t="s">
        <v>2272</v>
      </c>
      <c r="Z1727" s="4" t="s">
        <v>2272</v>
      </c>
      <c r="AA1727" s="4" t="s">
        <v>2272</v>
      </c>
      <c r="AB1727" s="3"/>
      <c r="AC1727" s="3"/>
    </row>
    <row r="1728" spans="1:29" ht="37" customHeight="1">
      <c r="A1728" s="147" t="str">
        <f>'Reported burning'!A1728</f>
        <v>206a</v>
      </c>
      <c r="B1728" s="147" t="str">
        <f>'Reported burning'!B1728</f>
        <v>206a.7</v>
      </c>
      <c r="C1728" s="147" t="str">
        <f>'Reported burning'!C1728</f>
        <v>Human, deliberate</v>
      </c>
      <c r="D1728" s="147" t="str">
        <f>'Reported burning'!D1728</f>
        <v>Fishing</v>
      </c>
      <c r="E1728" s="147" t="str">
        <f>'Reported burning'!E1728</f>
        <v>Forestry, Small-scale</v>
      </c>
      <c r="F1728" s="147" t="str">
        <f>'Reported burning'!F1728</f>
        <v>Forest</v>
      </c>
      <c r="G1728" s="147" t="str">
        <f>'Reported burning'!G1728</f>
        <v>ND</v>
      </c>
      <c r="H1728" s="147" t="str">
        <f>'Reported burning'!H1728</f>
        <v>Presence</v>
      </c>
      <c r="I1728" s="3"/>
      <c r="J1728" s="4" t="s">
        <v>2272</v>
      </c>
      <c r="K1728" s="4" t="s">
        <v>2272</v>
      </c>
      <c r="L1728" s="4" t="s">
        <v>2272</v>
      </c>
      <c r="M1728" s="4" t="s">
        <v>2272</v>
      </c>
      <c r="N1728" s="4" t="s">
        <v>2272</v>
      </c>
      <c r="O1728" s="4" t="s">
        <v>2272</v>
      </c>
      <c r="P1728" s="4" t="s">
        <v>2272</v>
      </c>
      <c r="Q1728" s="4" t="s">
        <v>2272</v>
      </c>
      <c r="R1728" s="4" t="s">
        <v>2272</v>
      </c>
      <c r="S1728" s="4" t="s">
        <v>2272</v>
      </c>
      <c r="T1728" s="4" t="s">
        <v>2272</v>
      </c>
      <c r="U1728" s="4" t="s">
        <v>2272</v>
      </c>
      <c r="V1728" s="4" t="s">
        <v>2272</v>
      </c>
      <c r="W1728" s="4" t="s">
        <v>2272</v>
      </c>
      <c r="X1728" s="4" t="s">
        <v>2272</v>
      </c>
      <c r="Y1728" s="4" t="s">
        <v>2272</v>
      </c>
      <c r="Z1728" s="4" t="s">
        <v>2272</v>
      </c>
      <c r="AA1728" s="4" t="s">
        <v>2272</v>
      </c>
      <c r="AB1728" s="3"/>
      <c r="AC1728" s="3"/>
    </row>
    <row r="1729" spans="1:29" ht="37" customHeight="1">
      <c r="A1729" s="147" t="str">
        <f>'Reported burning'!A1729</f>
        <v>206a</v>
      </c>
      <c r="B1729" s="147" t="str">
        <f>'Reported burning'!B1729</f>
        <v>206a.8</v>
      </c>
      <c r="C1729" s="147" t="str">
        <f>'Reported burning'!C1729</f>
        <v>Human, deliberate</v>
      </c>
      <c r="D1729" s="147" t="str">
        <f>'Reported burning'!D1729</f>
        <v>Harvesting of NTFP</v>
      </c>
      <c r="E1729" s="147" t="str">
        <f>'Reported burning'!E1729</f>
        <v>Forestry, Small-scale</v>
      </c>
      <c r="F1729" s="147" t="str">
        <f>'Reported burning'!F1729</f>
        <v>Forest</v>
      </c>
      <c r="G1729" s="147" t="str">
        <f>'Reported burning'!G1729</f>
        <v>ND</v>
      </c>
      <c r="H1729" s="147" t="str">
        <f>'Reported burning'!H1729</f>
        <v>Presence</v>
      </c>
      <c r="I1729" s="3"/>
      <c r="J1729" s="4" t="s">
        <v>2272</v>
      </c>
      <c r="K1729" s="4" t="s">
        <v>2272</v>
      </c>
      <c r="L1729" s="4" t="s">
        <v>2272</v>
      </c>
      <c r="M1729" s="4" t="s">
        <v>2272</v>
      </c>
      <c r="N1729" s="4" t="s">
        <v>2272</v>
      </c>
      <c r="O1729" s="4" t="s">
        <v>2272</v>
      </c>
      <c r="P1729" s="4" t="s">
        <v>2272</v>
      </c>
      <c r="Q1729" s="4" t="s">
        <v>2272</v>
      </c>
      <c r="R1729" s="4" t="s">
        <v>2272</v>
      </c>
      <c r="S1729" s="4" t="s">
        <v>2272</v>
      </c>
      <c r="T1729" s="4" t="s">
        <v>2272</v>
      </c>
      <c r="U1729" s="4" t="s">
        <v>2272</v>
      </c>
      <c r="V1729" s="4" t="s">
        <v>2272</v>
      </c>
      <c r="W1729" s="4" t="s">
        <v>2272</v>
      </c>
      <c r="X1729" s="4" t="s">
        <v>2272</v>
      </c>
      <c r="Y1729" s="4" t="s">
        <v>2272</v>
      </c>
      <c r="Z1729" s="4" t="s">
        <v>2272</v>
      </c>
      <c r="AA1729" s="4" t="s">
        <v>2272</v>
      </c>
      <c r="AB1729" s="3"/>
      <c r="AC1729" s="3"/>
    </row>
    <row r="1730" spans="1:29" ht="37" customHeight="1">
      <c r="A1730" s="147" t="str">
        <f>'Reported burning'!A1730</f>
        <v>206a</v>
      </c>
      <c r="B1730" s="147" t="str">
        <f>'Reported burning'!B1730</f>
        <v>206a.9</v>
      </c>
      <c r="C1730" s="147" t="str">
        <f>'Reported burning'!C1730</f>
        <v>Human, deliberate</v>
      </c>
      <c r="D1730" s="147" t="str">
        <f>'Reported burning'!D1730</f>
        <v>Accessibility</v>
      </c>
      <c r="E1730" s="147" t="str">
        <f>'Reported burning'!E1730</f>
        <v>Forestry, Small-scale</v>
      </c>
      <c r="F1730" s="147" t="str">
        <f>'Reported burning'!F1730</f>
        <v>Forest</v>
      </c>
      <c r="G1730" s="147" t="str">
        <f>'Reported burning'!G1730</f>
        <v>ND</v>
      </c>
      <c r="H1730" s="147" t="str">
        <f>'Reported burning'!H1730</f>
        <v>Presence</v>
      </c>
      <c r="I1730" s="3"/>
      <c r="J1730" s="4" t="s">
        <v>2272</v>
      </c>
      <c r="K1730" s="4" t="s">
        <v>2272</v>
      </c>
      <c r="L1730" s="4" t="s">
        <v>2272</v>
      </c>
      <c r="M1730" s="4" t="s">
        <v>2272</v>
      </c>
      <c r="N1730" s="4" t="s">
        <v>2272</v>
      </c>
      <c r="O1730" s="4" t="s">
        <v>2272</v>
      </c>
      <c r="P1730" s="4" t="s">
        <v>2272</v>
      </c>
      <c r="Q1730" s="4" t="s">
        <v>2272</v>
      </c>
      <c r="R1730" s="4" t="s">
        <v>2272</v>
      </c>
      <c r="S1730" s="4" t="s">
        <v>2272</v>
      </c>
      <c r="T1730" s="4" t="s">
        <v>2272</v>
      </c>
      <c r="U1730" s="4" t="s">
        <v>2272</v>
      </c>
      <c r="V1730" s="4" t="s">
        <v>2272</v>
      </c>
      <c r="W1730" s="4" t="s">
        <v>2272</v>
      </c>
      <c r="X1730" s="4" t="s">
        <v>2272</v>
      </c>
      <c r="Y1730" s="4" t="s">
        <v>2272</v>
      </c>
      <c r="Z1730" s="4" t="s">
        <v>2272</v>
      </c>
      <c r="AA1730" s="4" t="s">
        <v>2272</v>
      </c>
      <c r="AB1730" s="3"/>
      <c r="AC1730" s="3"/>
    </row>
    <row r="1731" spans="1:29" ht="92" customHeight="1">
      <c r="A1731" s="151" t="str">
        <f>'Reported burning'!A1731</f>
        <v>206a</v>
      </c>
      <c r="B1731" s="151" t="str">
        <f>'Reported burning'!B1731</f>
        <v>206a.10</v>
      </c>
      <c r="C1731" s="151" t="str">
        <f>'Reported burning'!C1731</f>
        <v>Unknown</v>
      </c>
      <c r="D1731" s="151" t="str">
        <f>'Reported burning'!D1731</f>
        <v>All</v>
      </c>
      <c r="E1731" s="151" t="str">
        <f>'Reported burning'!E1731</f>
        <v>All</v>
      </c>
      <c r="F1731" s="151" t="str">
        <f>'Reported burning'!F1731</f>
        <v>ND</v>
      </c>
      <c r="G1731" s="151" t="str">
        <f>'Reported burning'!G1731</f>
        <v>ND</v>
      </c>
      <c r="H1731" s="151" t="str">
        <f>'Reported burning'!H1731</f>
        <v>Presence</v>
      </c>
      <c r="I1731" s="5"/>
      <c r="J1731" s="4" t="s">
        <v>2272</v>
      </c>
      <c r="K1731" s="4" t="s">
        <v>2272</v>
      </c>
      <c r="L1731" s="4" t="s">
        <v>2272</v>
      </c>
      <c r="M1731" s="4" t="s">
        <v>2272</v>
      </c>
      <c r="N1731" s="4" t="s">
        <v>2272</v>
      </c>
      <c r="O1731" s="4" t="s">
        <v>2272</v>
      </c>
      <c r="P1731" s="4" t="s">
        <v>2272</v>
      </c>
      <c r="Q1731" s="4" t="s">
        <v>2272</v>
      </c>
      <c r="R1731" s="4" t="s">
        <v>2272</v>
      </c>
      <c r="S1731" s="4" t="s">
        <v>2272</v>
      </c>
      <c r="T1731" s="4" t="s">
        <v>2272</v>
      </c>
      <c r="U1731" s="4" t="s">
        <v>2272</v>
      </c>
      <c r="V1731" s="4" t="s">
        <v>2272</v>
      </c>
      <c r="W1731" s="3" t="s">
        <v>2385</v>
      </c>
      <c r="X1731" s="4" t="s">
        <v>2272</v>
      </c>
      <c r="Y1731" s="4" t="s">
        <v>2272</v>
      </c>
      <c r="Z1731" s="4" t="s">
        <v>2272</v>
      </c>
      <c r="AA1731" s="4" t="s">
        <v>2272</v>
      </c>
      <c r="AB1731" s="3"/>
      <c r="AC1731" s="4" t="s">
        <v>5199</v>
      </c>
    </row>
    <row r="1732" spans="1:29" ht="43.5">
      <c r="A1732" s="151" t="str">
        <f>'Reported burning'!A1732</f>
        <v>207a</v>
      </c>
      <c r="B1732" s="151" t="str">
        <f>'Reported burning'!B1732</f>
        <v>207a.1</v>
      </c>
      <c r="C1732" s="151" t="str">
        <f>'Reported burning'!C1732</f>
        <v>Human, deliberate</v>
      </c>
      <c r="D1732" s="151" t="str">
        <f>'Reported burning'!D1732</f>
        <v>Conservation</v>
      </c>
      <c r="E1732" s="151" t="str">
        <f>'Reported burning'!E1732</f>
        <v>Biodiversity conservation</v>
      </c>
      <c r="F1732" s="151" t="str">
        <f>'Reported burning'!F1732</f>
        <v>Grassland</v>
      </c>
      <c r="G1732" s="151" t="str">
        <f>'Reported burning'!G1732</f>
        <v>Grassland</v>
      </c>
      <c r="H1732" s="151" t="str">
        <f>'Reported burning'!H1732</f>
        <v>Presence</v>
      </c>
      <c r="I1732" s="5"/>
      <c r="J1732" s="3" t="s">
        <v>2272</v>
      </c>
      <c r="K1732" s="198" t="s">
        <v>2272</v>
      </c>
      <c r="L1732" s="3" t="s">
        <v>2272</v>
      </c>
      <c r="M1732" s="3" t="s">
        <v>2272</v>
      </c>
      <c r="N1732" s="3" t="s">
        <v>2272</v>
      </c>
      <c r="O1732" s="3" t="s">
        <v>2272</v>
      </c>
      <c r="P1732" s="3" t="s">
        <v>2272</v>
      </c>
      <c r="Q1732" s="3" t="s">
        <v>2272</v>
      </c>
      <c r="R1732" s="3" t="s">
        <v>2272</v>
      </c>
      <c r="S1732" s="3" t="s">
        <v>2272</v>
      </c>
      <c r="T1732" s="3" t="s">
        <v>2272</v>
      </c>
      <c r="U1732" s="3" t="s">
        <v>2272</v>
      </c>
      <c r="V1732" s="3" t="s">
        <v>2272</v>
      </c>
      <c r="W1732" s="3" t="s">
        <v>2272</v>
      </c>
      <c r="X1732" s="3" t="s">
        <v>2272</v>
      </c>
      <c r="Y1732" s="3" t="s">
        <v>37</v>
      </c>
      <c r="Z1732" s="3" t="s">
        <v>84</v>
      </c>
      <c r="AA1732" s="3" t="s">
        <v>2272</v>
      </c>
      <c r="AB1732" s="4" t="s">
        <v>5212</v>
      </c>
      <c r="AC1732" s="3"/>
    </row>
    <row r="1733" spans="1:29" ht="43.5">
      <c r="A1733" s="151" t="str">
        <f>'Reported burning'!A1733</f>
        <v>207a</v>
      </c>
      <c r="B1733" s="151" t="str">
        <f>'Reported burning'!B1733</f>
        <v>207a.2</v>
      </c>
      <c r="C1733" s="151" t="str">
        <f>'Reported burning'!C1733</f>
        <v>Human, deliberate</v>
      </c>
      <c r="D1733" s="151" t="str">
        <f>'Reported burning'!D1733</f>
        <v>Cultural &amp; Spiritual</v>
      </c>
      <c r="E1733" s="151" t="str">
        <f>'Reported burning'!E1733</f>
        <v>Biodiversity conservation</v>
      </c>
      <c r="F1733" s="151" t="str">
        <f>'Reported burning'!F1733</f>
        <v>Grassland</v>
      </c>
      <c r="G1733" s="151" t="str">
        <f>'Reported burning'!G1733</f>
        <v>Grassland</v>
      </c>
      <c r="H1733" s="151" t="str">
        <f>'Reported burning'!H1733</f>
        <v>Presence</v>
      </c>
      <c r="I1733" s="5"/>
      <c r="J1733" s="3" t="s">
        <v>2272</v>
      </c>
      <c r="K1733" s="198" t="s">
        <v>2272</v>
      </c>
      <c r="L1733" s="3" t="s">
        <v>2272</v>
      </c>
      <c r="M1733" s="3" t="s">
        <v>2272</v>
      </c>
      <c r="N1733" s="3" t="s">
        <v>2272</v>
      </c>
      <c r="O1733" s="3" t="s">
        <v>2272</v>
      </c>
      <c r="P1733" s="3" t="s">
        <v>2272</v>
      </c>
      <c r="Q1733" s="3" t="s">
        <v>2272</v>
      </c>
      <c r="R1733" s="3" t="s">
        <v>2272</v>
      </c>
      <c r="S1733" s="3" t="s">
        <v>2272</v>
      </c>
      <c r="T1733" s="3" t="s">
        <v>2272</v>
      </c>
      <c r="U1733" s="3" t="s">
        <v>2272</v>
      </c>
      <c r="V1733" s="3" t="s">
        <v>2272</v>
      </c>
      <c r="W1733" s="3" t="s">
        <v>2272</v>
      </c>
      <c r="X1733" s="3" t="s">
        <v>2272</v>
      </c>
      <c r="Y1733" s="3" t="s">
        <v>37</v>
      </c>
      <c r="Z1733" s="3" t="s">
        <v>84</v>
      </c>
      <c r="AA1733" s="3" t="s">
        <v>2272</v>
      </c>
      <c r="AB1733" s="4" t="s">
        <v>5212</v>
      </c>
      <c r="AC1733" s="3"/>
    </row>
    <row r="1734" spans="1:29" ht="35.5" customHeight="1">
      <c r="A1734" s="151" t="str">
        <f>'Reported burning'!A1734</f>
        <v>208a</v>
      </c>
      <c r="B1734" s="151" t="str">
        <f>'Reported burning'!B1734</f>
        <v>208a.1</v>
      </c>
      <c r="C1734" s="151" t="str">
        <f>'Reported burning'!C1734</f>
        <v>Human, deliberate</v>
      </c>
      <c r="D1734" s="151" t="str">
        <f>'Reported burning'!D1734</f>
        <v>Pasture renewal</v>
      </c>
      <c r="E1734" s="151" t="str">
        <f>'Reported burning'!E1734</f>
        <v>Pastoralism, Migratory</v>
      </c>
      <c r="F1734" s="151" t="str">
        <f>'Reported burning'!F1734</f>
        <v>Grassland</v>
      </c>
      <c r="G1734" s="151" t="str">
        <f>'Reported burning'!G1734</f>
        <v>ND</v>
      </c>
      <c r="H1734" s="151" t="str">
        <f>'Reported burning'!H1734</f>
        <v>Presence</v>
      </c>
      <c r="I1734" s="5"/>
      <c r="J1734" s="3" t="s">
        <v>2272</v>
      </c>
      <c r="K1734" s="198" t="s">
        <v>2272</v>
      </c>
      <c r="L1734" s="3" t="s">
        <v>2272</v>
      </c>
      <c r="M1734" s="3" t="s">
        <v>2272</v>
      </c>
      <c r="N1734" s="3" t="s">
        <v>2272</v>
      </c>
      <c r="O1734" s="3" t="s">
        <v>2272</v>
      </c>
      <c r="P1734" s="3" t="s">
        <v>2272</v>
      </c>
      <c r="Q1734" s="3" t="s">
        <v>2272</v>
      </c>
      <c r="R1734" s="3" t="s">
        <v>2272</v>
      </c>
      <c r="S1734" s="3" t="s">
        <v>2272</v>
      </c>
      <c r="T1734" s="3" t="s">
        <v>2272</v>
      </c>
      <c r="U1734" s="3" t="s">
        <v>2272</v>
      </c>
      <c r="V1734" s="3" t="s">
        <v>2272</v>
      </c>
      <c r="W1734" s="3" t="s">
        <v>2272</v>
      </c>
      <c r="X1734" s="3" t="s">
        <v>2272</v>
      </c>
      <c r="Y1734" s="3" t="s">
        <v>2272</v>
      </c>
      <c r="Z1734" s="3" t="s">
        <v>2272</v>
      </c>
      <c r="AA1734" s="3" t="s">
        <v>2272</v>
      </c>
      <c r="AB1734" s="3"/>
      <c r="AC1734" s="3"/>
    </row>
    <row r="1735" spans="1:29" ht="35.5" customHeight="1">
      <c r="A1735" s="151" t="str">
        <f>'Reported burning'!A1735</f>
        <v>208a</v>
      </c>
      <c r="B1735" s="151" t="str">
        <f>'Reported burning'!B1735</f>
        <v>208a.2</v>
      </c>
      <c r="C1735" s="151" t="str">
        <f>'Reported burning'!C1735</f>
        <v>Human, deliberate</v>
      </c>
      <c r="D1735" s="151" t="str">
        <f>'Reported burning'!D1735</f>
        <v>Land clearance</v>
      </c>
      <c r="E1735" s="151" t="str">
        <f>'Reported burning'!E1735</f>
        <v>Cropping, Monoculture, Subsistence-oriented</v>
      </c>
      <c r="F1735" s="151" t="str">
        <f>'Reported burning'!F1735</f>
        <v>Shrubland (Mixed forest &amp; grassland)</v>
      </c>
      <c r="G1735" s="151" t="str">
        <f>'Reported burning'!G1735</f>
        <v>ND</v>
      </c>
      <c r="H1735" s="151" t="str">
        <f>'Reported burning'!H1735</f>
        <v>Presence</v>
      </c>
      <c r="I1735" s="5"/>
      <c r="J1735" s="3" t="s">
        <v>2272</v>
      </c>
      <c r="K1735" s="198" t="s">
        <v>2272</v>
      </c>
      <c r="L1735" s="3" t="s">
        <v>2272</v>
      </c>
      <c r="M1735" s="3" t="s">
        <v>2272</v>
      </c>
      <c r="N1735" s="3" t="s">
        <v>2272</v>
      </c>
      <c r="O1735" s="3" t="s">
        <v>2272</v>
      </c>
      <c r="P1735" s="3" t="s">
        <v>2272</v>
      </c>
      <c r="Q1735" s="3" t="s">
        <v>2272</v>
      </c>
      <c r="R1735" s="3" t="s">
        <v>2272</v>
      </c>
      <c r="S1735" s="3" t="s">
        <v>2272</v>
      </c>
      <c r="T1735" s="3" t="s">
        <v>2272</v>
      </c>
      <c r="U1735" s="3" t="s">
        <v>2272</v>
      </c>
      <c r="V1735" s="3" t="s">
        <v>2272</v>
      </c>
      <c r="W1735" s="3" t="s">
        <v>2272</v>
      </c>
      <c r="X1735" s="3" t="s">
        <v>2272</v>
      </c>
      <c r="Y1735" s="3" t="s">
        <v>2272</v>
      </c>
      <c r="Z1735" s="3" t="s">
        <v>2272</v>
      </c>
      <c r="AA1735" s="3" t="s">
        <v>2272</v>
      </c>
      <c r="AB1735" s="3"/>
      <c r="AC1735" s="3"/>
    </row>
    <row r="1736" spans="1:29" ht="35.5" customHeight="1">
      <c r="A1736" s="151" t="str">
        <f>'Reported burning'!A1736</f>
        <v>208a</v>
      </c>
      <c r="B1736" s="151" t="str">
        <f>'Reported burning'!B1736</f>
        <v>208a.3</v>
      </c>
      <c r="C1736" s="151" t="str">
        <f>'Reported burning'!C1736</f>
        <v>Human, deliberate</v>
      </c>
      <c r="D1736" s="151" t="str">
        <f>'Reported burning'!D1736</f>
        <v>Hunting</v>
      </c>
      <c r="E1736" s="151" t="str">
        <f>'Reported burning'!E1736</f>
        <v>Forestry, Traditional</v>
      </c>
      <c r="F1736" s="151" t="str">
        <f>'Reported burning'!F1736</f>
        <v>Grassland</v>
      </c>
      <c r="G1736" s="151" t="str">
        <f>'Reported burning'!G1736</f>
        <v>ND</v>
      </c>
      <c r="H1736" s="151" t="str">
        <f>'Reported burning'!H1736</f>
        <v>Presence</v>
      </c>
      <c r="I1736" s="5"/>
      <c r="J1736" s="3" t="s">
        <v>2272</v>
      </c>
      <c r="K1736" s="198" t="s">
        <v>2272</v>
      </c>
      <c r="L1736" s="3" t="s">
        <v>2272</v>
      </c>
      <c r="M1736" s="3" t="s">
        <v>2272</v>
      </c>
      <c r="N1736" s="3" t="s">
        <v>2272</v>
      </c>
      <c r="O1736" s="3" t="s">
        <v>2272</v>
      </c>
      <c r="P1736" s="3" t="s">
        <v>2272</v>
      </c>
      <c r="Q1736" s="3" t="s">
        <v>2272</v>
      </c>
      <c r="R1736" s="3" t="s">
        <v>2272</v>
      </c>
      <c r="S1736" s="3" t="s">
        <v>2272</v>
      </c>
      <c r="T1736" s="3" t="s">
        <v>2272</v>
      </c>
      <c r="U1736" s="3" t="s">
        <v>2272</v>
      </c>
      <c r="V1736" s="3" t="s">
        <v>2272</v>
      </c>
      <c r="W1736" s="3" t="s">
        <v>2272</v>
      </c>
      <c r="X1736" s="3" t="s">
        <v>2272</v>
      </c>
      <c r="Y1736" s="3" t="s">
        <v>2272</v>
      </c>
      <c r="Z1736" s="3" t="s">
        <v>2272</v>
      </c>
      <c r="AA1736" s="3" t="s">
        <v>2272</v>
      </c>
      <c r="AB1736" s="3"/>
      <c r="AC1736" s="3"/>
    </row>
    <row r="1737" spans="1:29" ht="35.5" customHeight="1">
      <c r="A1737" s="151" t="str">
        <f>'Reported burning'!A1737</f>
        <v>208a</v>
      </c>
      <c r="B1737" s="151" t="str">
        <f>'Reported burning'!B1737</f>
        <v>208a.4</v>
      </c>
      <c r="C1737" s="151" t="str">
        <f>'Reported burning'!C1737</f>
        <v>Human, deliberate</v>
      </c>
      <c r="D1737" s="151" t="str">
        <f>'Reported burning'!D1737</f>
        <v>Harvesting of NTFP</v>
      </c>
      <c r="E1737" s="151" t="str">
        <f>'Reported burning'!E1737</f>
        <v>Forestry, Traditional</v>
      </c>
      <c r="F1737" s="151" t="str">
        <f>'Reported burning'!F1737</f>
        <v>Forest</v>
      </c>
      <c r="G1737" s="151" t="str">
        <f>'Reported burning'!G1737</f>
        <v>ND</v>
      </c>
      <c r="H1737" s="151" t="str">
        <f>'Reported burning'!H1737</f>
        <v>Presence</v>
      </c>
      <c r="I1737" s="5"/>
      <c r="J1737" s="3" t="s">
        <v>2272</v>
      </c>
      <c r="K1737" s="198" t="s">
        <v>2272</v>
      </c>
      <c r="L1737" s="3" t="s">
        <v>2272</v>
      </c>
      <c r="M1737" s="3" t="s">
        <v>2272</v>
      </c>
      <c r="N1737" s="3" t="s">
        <v>2272</v>
      </c>
      <c r="O1737" s="3" t="s">
        <v>2272</v>
      </c>
      <c r="P1737" s="3" t="s">
        <v>2272</v>
      </c>
      <c r="Q1737" s="3" t="s">
        <v>2272</v>
      </c>
      <c r="R1737" s="3" t="s">
        <v>2272</v>
      </c>
      <c r="S1737" s="3" t="s">
        <v>2272</v>
      </c>
      <c r="T1737" s="3" t="s">
        <v>2272</v>
      </c>
      <c r="U1737" s="3" t="s">
        <v>2272</v>
      </c>
      <c r="V1737" s="3" t="s">
        <v>2272</v>
      </c>
      <c r="W1737" s="3" t="s">
        <v>2272</v>
      </c>
      <c r="X1737" s="3" t="s">
        <v>2272</v>
      </c>
      <c r="Y1737" s="3" t="s">
        <v>2272</v>
      </c>
      <c r="Z1737" s="3" t="s">
        <v>2272</v>
      </c>
      <c r="AA1737" s="3" t="s">
        <v>2272</v>
      </c>
      <c r="AB1737" s="3"/>
      <c r="AC1737" s="3"/>
    </row>
    <row r="1738" spans="1:29" ht="35.5" customHeight="1">
      <c r="A1738" s="151" t="str">
        <f>'Reported burning'!A1738</f>
        <v>208a</v>
      </c>
      <c r="B1738" s="151" t="str">
        <f>'Reported burning'!B1738</f>
        <v>208a.5</v>
      </c>
      <c r="C1738" s="151" t="str">
        <f>'Reported burning'!C1738</f>
        <v>Human, deliberate</v>
      </c>
      <c r="D1738" s="151" t="str">
        <f>'Reported burning'!D1738</f>
        <v>Harvesting of Timber</v>
      </c>
      <c r="E1738" s="151" t="str">
        <f>'Reported burning'!E1738</f>
        <v>Forestry, Small-scale</v>
      </c>
      <c r="F1738" s="151" t="str">
        <f>'Reported burning'!F1738</f>
        <v>Forest</v>
      </c>
      <c r="G1738" s="151" t="str">
        <f>'Reported burning'!G1738</f>
        <v>ND</v>
      </c>
      <c r="H1738" s="151" t="str">
        <f>'Reported burning'!H1738</f>
        <v>Presence</v>
      </c>
      <c r="I1738" s="5"/>
      <c r="J1738" s="3" t="s">
        <v>2272</v>
      </c>
      <c r="K1738" s="198" t="s">
        <v>2272</v>
      </c>
      <c r="L1738" s="3" t="s">
        <v>2272</v>
      </c>
      <c r="M1738" s="3" t="s">
        <v>2272</v>
      </c>
      <c r="N1738" s="3" t="s">
        <v>2272</v>
      </c>
      <c r="O1738" s="3" t="s">
        <v>2272</v>
      </c>
      <c r="P1738" s="3" t="s">
        <v>2272</v>
      </c>
      <c r="Q1738" s="3" t="s">
        <v>2272</v>
      </c>
      <c r="R1738" s="3" t="s">
        <v>2272</v>
      </c>
      <c r="S1738" s="3" t="s">
        <v>2272</v>
      </c>
      <c r="T1738" s="3" t="s">
        <v>2272</v>
      </c>
      <c r="U1738" s="3" t="s">
        <v>2272</v>
      </c>
      <c r="V1738" s="3" t="s">
        <v>2272</v>
      </c>
      <c r="W1738" s="3" t="s">
        <v>2272</v>
      </c>
      <c r="X1738" s="3" t="s">
        <v>2272</v>
      </c>
      <c r="Y1738" s="3" t="s">
        <v>2272</v>
      </c>
      <c r="Z1738" s="3" t="s">
        <v>2272</v>
      </c>
      <c r="AA1738" s="3" t="s">
        <v>2272</v>
      </c>
      <c r="AB1738" s="3"/>
      <c r="AC1738" s="3"/>
    </row>
    <row r="1739" spans="1:29" ht="63.5" customHeight="1">
      <c r="A1739" s="151" t="str">
        <f>'Reported burning'!A1739</f>
        <v>209a</v>
      </c>
      <c r="B1739" s="151" t="str">
        <f>'Reported burning'!B1739</f>
        <v>209a.1</v>
      </c>
      <c r="C1739" s="151" t="str">
        <f>'Reported burning'!C1739</f>
        <v>Human, deliberate</v>
      </c>
      <c r="D1739" s="151" t="str">
        <f>'Reported burning'!D1739</f>
        <v>Pasture renewal</v>
      </c>
      <c r="E1739" s="151" t="str">
        <f>'Reported burning'!E1739</f>
        <v>Pastoralism, Migratory</v>
      </c>
      <c r="F1739" s="151" t="str">
        <f>'Reported burning'!F1739</f>
        <v>Forest</v>
      </c>
      <c r="G1739" s="151" t="str">
        <f>'Reported burning'!G1739</f>
        <v>Forest</v>
      </c>
      <c r="H1739" s="151" t="str">
        <f>'Reported burning'!H1739</f>
        <v>Presence</v>
      </c>
      <c r="I1739" s="5"/>
      <c r="J1739" s="3" t="s">
        <v>2272</v>
      </c>
      <c r="K1739" s="198" t="s">
        <v>2272</v>
      </c>
      <c r="L1739" s="3" t="s">
        <v>2272</v>
      </c>
      <c r="M1739" s="3" t="s">
        <v>2272</v>
      </c>
      <c r="N1739" s="3" t="s">
        <v>2272</v>
      </c>
      <c r="O1739" s="3" t="s">
        <v>2272</v>
      </c>
      <c r="P1739" s="3" t="s">
        <v>2272</v>
      </c>
      <c r="Q1739" s="21" t="s">
        <v>2371</v>
      </c>
      <c r="R1739" s="3" t="s">
        <v>2272</v>
      </c>
      <c r="S1739" s="21" t="s">
        <v>2369</v>
      </c>
      <c r="T1739" s="3" t="s">
        <v>2272</v>
      </c>
      <c r="U1739" s="3" t="s">
        <v>2272</v>
      </c>
      <c r="V1739" s="3" t="s">
        <v>2272</v>
      </c>
      <c r="W1739" s="3" t="s">
        <v>2272</v>
      </c>
      <c r="X1739" s="3" t="s">
        <v>2272</v>
      </c>
      <c r="Y1739" s="3" t="s">
        <v>2272</v>
      </c>
      <c r="Z1739" s="3" t="s">
        <v>2272</v>
      </c>
      <c r="AA1739" s="3" t="s">
        <v>2272</v>
      </c>
      <c r="AB1739" s="3"/>
      <c r="AC1739" s="4" t="s">
        <v>5330</v>
      </c>
    </row>
    <row r="1740" spans="1:29" ht="35.5" customHeight="1">
      <c r="A1740" s="151" t="str">
        <f>'Reported burning'!A1740</f>
        <v>209a</v>
      </c>
      <c r="B1740" s="151" t="str">
        <f>'Reported burning'!B1740</f>
        <v>209a.2</v>
      </c>
      <c r="C1740" s="151" t="str">
        <f>'Reported burning'!C1740</f>
        <v>Human, deliberate</v>
      </c>
      <c r="D1740" s="151" t="str">
        <f>'Reported burning'!D1740</f>
        <v>Harvesting of NTFP</v>
      </c>
      <c r="E1740" s="151" t="str">
        <f>'Reported burning'!E1740</f>
        <v>Forestry, Traditional</v>
      </c>
      <c r="F1740" s="151" t="str">
        <f>'Reported burning'!F1740</f>
        <v>Forest</v>
      </c>
      <c r="G1740" s="151" t="str">
        <f>'Reported burning'!G1740</f>
        <v>Forest</v>
      </c>
      <c r="H1740" s="151" t="str">
        <f>'Reported burning'!H1740</f>
        <v>Presence</v>
      </c>
      <c r="I1740" s="5"/>
      <c r="J1740" s="3" t="s">
        <v>2272</v>
      </c>
      <c r="K1740" s="198" t="s">
        <v>2272</v>
      </c>
      <c r="L1740" s="3" t="s">
        <v>2272</v>
      </c>
      <c r="M1740" s="3" t="s">
        <v>2272</v>
      </c>
      <c r="N1740" s="3" t="s">
        <v>2272</v>
      </c>
      <c r="O1740" s="3" t="s">
        <v>2272</v>
      </c>
      <c r="P1740" s="3" t="s">
        <v>2272</v>
      </c>
      <c r="Q1740" s="3" t="s">
        <v>2272</v>
      </c>
      <c r="R1740" s="3" t="s">
        <v>2272</v>
      </c>
      <c r="S1740" s="3" t="s">
        <v>2272</v>
      </c>
      <c r="T1740" s="3" t="s">
        <v>2272</v>
      </c>
      <c r="U1740" s="3" t="s">
        <v>2272</v>
      </c>
      <c r="V1740" s="3" t="s">
        <v>2272</v>
      </c>
      <c r="W1740" s="3" t="s">
        <v>2272</v>
      </c>
      <c r="X1740" s="3" t="s">
        <v>2272</v>
      </c>
      <c r="Y1740" s="3" t="s">
        <v>2272</v>
      </c>
      <c r="Z1740" s="3" t="s">
        <v>2272</v>
      </c>
      <c r="AA1740" s="3" t="s">
        <v>2272</v>
      </c>
      <c r="AB1740" s="3"/>
      <c r="AC1740" s="3"/>
    </row>
    <row r="1741" spans="1:29" ht="35.5" customHeight="1">
      <c r="A1741" s="151" t="str">
        <f>'Reported burning'!A1741</f>
        <v>209a</v>
      </c>
      <c r="B1741" s="151" t="str">
        <f>'Reported burning'!B1741</f>
        <v>209a.3</v>
      </c>
      <c r="C1741" s="151" t="str">
        <f>'Reported burning'!C1741</f>
        <v>Human, deliberate</v>
      </c>
      <c r="D1741" s="151" t="str">
        <f>'Reported burning'!D1741</f>
        <v>Hunting</v>
      </c>
      <c r="E1741" s="151" t="str">
        <f>'Reported burning'!E1741</f>
        <v>Forestry, Traditional</v>
      </c>
      <c r="F1741" s="151" t="str">
        <f>'Reported burning'!F1741</f>
        <v>Forest</v>
      </c>
      <c r="G1741" s="151" t="str">
        <f>'Reported burning'!G1741</f>
        <v>Forest</v>
      </c>
      <c r="H1741" s="151" t="str">
        <f>'Reported burning'!H1741</f>
        <v>Presence</v>
      </c>
      <c r="I1741" s="5"/>
      <c r="J1741" s="3" t="s">
        <v>2272</v>
      </c>
      <c r="K1741" s="198" t="s">
        <v>2272</v>
      </c>
      <c r="L1741" s="3" t="s">
        <v>2272</v>
      </c>
      <c r="M1741" s="3" t="s">
        <v>2272</v>
      </c>
      <c r="N1741" s="3" t="s">
        <v>2272</v>
      </c>
      <c r="O1741" s="3" t="s">
        <v>2272</v>
      </c>
      <c r="P1741" s="3" t="s">
        <v>2272</v>
      </c>
      <c r="Q1741" s="3" t="s">
        <v>2272</v>
      </c>
      <c r="R1741" s="3" t="s">
        <v>2272</v>
      </c>
      <c r="S1741" s="3" t="s">
        <v>2272</v>
      </c>
      <c r="T1741" s="3" t="s">
        <v>2272</v>
      </c>
      <c r="U1741" s="3" t="s">
        <v>2272</v>
      </c>
      <c r="V1741" s="3" t="s">
        <v>2272</v>
      </c>
      <c r="W1741" s="3" t="s">
        <v>2272</v>
      </c>
      <c r="X1741" s="3" t="s">
        <v>2272</v>
      </c>
      <c r="Y1741" s="3" t="s">
        <v>2272</v>
      </c>
      <c r="Z1741" s="3" t="s">
        <v>2272</v>
      </c>
      <c r="AA1741" s="3" t="s">
        <v>2272</v>
      </c>
      <c r="AB1741" s="3"/>
      <c r="AC1741" s="3"/>
    </row>
    <row r="1742" spans="1:29" ht="35.5" customHeight="1">
      <c r="A1742" s="151" t="str">
        <f>'Reported burning'!A1742</f>
        <v>209a</v>
      </c>
      <c r="B1742" s="151" t="str">
        <f>'Reported burning'!B1742</f>
        <v>209a.4</v>
      </c>
      <c r="C1742" s="151" t="str">
        <f>'Reported burning'!C1742</f>
        <v>Human, deliberate</v>
      </c>
      <c r="D1742" s="151" t="str">
        <f>'Reported burning'!D1742</f>
        <v>Harvesting of Timber</v>
      </c>
      <c r="E1742" s="151" t="str">
        <f>'Reported burning'!E1742</f>
        <v>Forestry, Small-scale</v>
      </c>
      <c r="F1742" s="151" t="str">
        <f>'Reported burning'!F1742</f>
        <v>Forest</v>
      </c>
      <c r="G1742" s="151" t="str">
        <f>'Reported burning'!G1742</f>
        <v>Forest</v>
      </c>
      <c r="H1742" s="151" t="str">
        <f>'Reported burning'!H1742</f>
        <v>Presence</v>
      </c>
      <c r="I1742" s="5"/>
      <c r="J1742" s="3" t="s">
        <v>2272</v>
      </c>
      <c r="K1742" s="198" t="s">
        <v>2272</v>
      </c>
      <c r="L1742" s="3" t="s">
        <v>2272</v>
      </c>
      <c r="M1742" s="3" t="s">
        <v>2272</v>
      </c>
      <c r="N1742" s="3" t="s">
        <v>2272</v>
      </c>
      <c r="O1742" s="3" t="s">
        <v>2272</v>
      </c>
      <c r="P1742" s="3" t="s">
        <v>2272</v>
      </c>
      <c r="Q1742" s="3" t="s">
        <v>2272</v>
      </c>
      <c r="R1742" s="3" t="s">
        <v>2272</v>
      </c>
      <c r="S1742" s="3" t="s">
        <v>2272</v>
      </c>
      <c r="T1742" s="3" t="s">
        <v>2272</v>
      </c>
      <c r="U1742" s="3" t="s">
        <v>2272</v>
      </c>
      <c r="V1742" s="3" t="s">
        <v>2272</v>
      </c>
      <c r="W1742" s="3" t="s">
        <v>2272</v>
      </c>
      <c r="X1742" s="3" t="s">
        <v>2272</v>
      </c>
      <c r="Y1742" s="3" t="s">
        <v>2272</v>
      </c>
      <c r="Z1742" s="3" t="s">
        <v>2272</v>
      </c>
      <c r="AA1742" s="3" t="s">
        <v>2272</v>
      </c>
      <c r="AB1742" s="3"/>
      <c r="AC1742" s="3"/>
    </row>
    <row r="1743" spans="1:29" ht="35.5" customHeight="1">
      <c r="A1743" s="151" t="str">
        <f>'Reported burning'!A1743</f>
        <v>209a</v>
      </c>
      <c r="B1743" s="151" t="str">
        <f>'Reported burning'!B1743</f>
        <v>209a.5</v>
      </c>
      <c r="C1743" s="151" t="str">
        <f>'Reported burning'!C1743</f>
        <v>Human, deliberate</v>
      </c>
      <c r="D1743" s="151" t="str">
        <f>'Reported burning'!D1743</f>
        <v>Arson</v>
      </c>
      <c r="E1743" s="151" t="str">
        <f>'Reported burning'!E1743</f>
        <v>ND</v>
      </c>
      <c r="F1743" s="151" t="str">
        <f>'Reported burning'!F1743</f>
        <v>ND</v>
      </c>
      <c r="G1743" s="151" t="str">
        <f>'Reported burning'!G1743</f>
        <v>Forest</v>
      </c>
      <c r="H1743" s="151" t="str">
        <f>'Reported burning'!H1743</f>
        <v>Presence</v>
      </c>
      <c r="I1743" s="5"/>
      <c r="J1743" s="3" t="s">
        <v>2272</v>
      </c>
      <c r="K1743" s="198" t="s">
        <v>2272</v>
      </c>
      <c r="L1743" s="3" t="s">
        <v>2272</v>
      </c>
      <c r="M1743" s="3" t="s">
        <v>2272</v>
      </c>
      <c r="N1743" s="3" t="s">
        <v>2272</v>
      </c>
      <c r="O1743" s="3" t="s">
        <v>2272</v>
      </c>
      <c r="P1743" s="3" t="s">
        <v>2272</v>
      </c>
      <c r="Q1743" s="3" t="s">
        <v>2272</v>
      </c>
      <c r="R1743" s="3" t="s">
        <v>2272</v>
      </c>
      <c r="S1743" s="3" t="s">
        <v>2272</v>
      </c>
      <c r="T1743" s="3" t="s">
        <v>2272</v>
      </c>
      <c r="U1743" s="3" t="s">
        <v>2272</v>
      </c>
      <c r="V1743" s="3" t="s">
        <v>2272</v>
      </c>
      <c r="W1743" s="3" t="s">
        <v>2272</v>
      </c>
      <c r="X1743" s="3" t="s">
        <v>2272</v>
      </c>
      <c r="Y1743" s="3" t="s">
        <v>2272</v>
      </c>
      <c r="Z1743" s="3" t="s">
        <v>2272</v>
      </c>
      <c r="AA1743" s="3" t="s">
        <v>2272</v>
      </c>
      <c r="AB1743" s="3"/>
      <c r="AC1743" s="3"/>
    </row>
    <row r="1744" spans="1:29" ht="35.5" customHeight="1">
      <c r="A1744" s="151" t="str">
        <f>'Reported burning'!A1744</f>
        <v>209a</v>
      </c>
      <c r="B1744" s="151" t="str">
        <f>'Reported burning'!B1744</f>
        <v>209a.6</v>
      </c>
      <c r="C1744" s="151" t="str">
        <f>'Reported burning'!C1744</f>
        <v>Human, deliberate</v>
      </c>
      <c r="D1744" s="151" t="str">
        <f>'Reported burning'!D1744</f>
        <v>Crop field preparation</v>
      </c>
      <c r="E1744" s="151" t="str">
        <f>'Reported burning'!E1744</f>
        <v>Cropping, Swidden</v>
      </c>
      <c r="F1744" s="151" t="str">
        <f>'Reported burning'!F1744</f>
        <v>Forest</v>
      </c>
      <c r="G1744" s="151" t="str">
        <f>'Reported burning'!G1744</f>
        <v>ND</v>
      </c>
      <c r="H1744" s="151" t="str">
        <f>'Reported burning'!H1744</f>
        <v>Presence</v>
      </c>
      <c r="I1744" s="5"/>
      <c r="J1744" s="3" t="s">
        <v>2272</v>
      </c>
      <c r="K1744" s="198" t="s">
        <v>2272</v>
      </c>
      <c r="L1744" s="3" t="s">
        <v>2272</v>
      </c>
      <c r="M1744" s="3" t="s">
        <v>2272</v>
      </c>
      <c r="N1744" s="3" t="s">
        <v>2272</v>
      </c>
      <c r="O1744" s="3" t="s">
        <v>2272</v>
      </c>
      <c r="P1744" s="3" t="s">
        <v>2272</v>
      </c>
      <c r="Q1744" s="3" t="s">
        <v>2272</v>
      </c>
      <c r="R1744" s="3" t="s">
        <v>2272</v>
      </c>
      <c r="S1744" s="3" t="s">
        <v>2272</v>
      </c>
      <c r="T1744" s="3" t="s">
        <v>2272</v>
      </c>
      <c r="U1744" s="3" t="s">
        <v>2272</v>
      </c>
      <c r="V1744" s="3" t="s">
        <v>2272</v>
      </c>
      <c r="W1744" s="3" t="s">
        <v>2272</v>
      </c>
      <c r="X1744" s="3" t="s">
        <v>2272</v>
      </c>
      <c r="Y1744" s="3" t="s">
        <v>2272</v>
      </c>
      <c r="Z1744" s="3" t="s">
        <v>2272</v>
      </c>
      <c r="AA1744" s="3" t="s">
        <v>2272</v>
      </c>
      <c r="AB1744" s="3"/>
      <c r="AC1744" s="3"/>
    </row>
    <row r="1745" spans="1:29" ht="35.5" customHeight="1">
      <c r="A1745" s="151" t="str">
        <f>'Reported burning'!A1745</f>
        <v>209a</v>
      </c>
      <c r="B1745" s="151" t="str">
        <f>'Reported burning'!B1745</f>
        <v>209a.7</v>
      </c>
      <c r="C1745" s="151" t="str">
        <f>'Reported burning'!C1745</f>
        <v>Human, escaped</v>
      </c>
      <c r="D1745" s="151" t="str">
        <f>'Reported burning'!D1745</f>
        <v>Charcoal production</v>
      </c>
      <c r="E1745" s="151" t="str">
        <f>'Reported burning'!E1745</f>
        <v>ND</v>
      </c>
      <c r="F1745" s="151" t="str">
        <f>'Reported burning'!F1745</f>
        <v>ND</v>
      </c>
      <c r="G1745" s="151" t="str">
        <f>'Reported burning'!G1745</f>
        <v>Forest</v>
      </c>
      <c r="H1745" s="151" t="str">
        <f>'Reported burning'!H1745</f>
        <v>Presence</v>
      </c>
      <c r="I1745" s="5"/>
      <c r="J1745" s="3" t="s">
        <v>2272</v>
      </c>
      <c r="K1745" s="198" t="s">
        <v>2272</v>
      </c>
      <c r="L1745" s="3" t="s">
        <v>2272</v>
      </c>
      <c r="M1745" s="3" t="s">
        <v>2272</v>
      </c>
      <c r="N1745" s="3" t="s">
        <v>2272</v>
      </c>
      <c r="O1745" s="3" t="s">
        <v>2272</v>
      </c>
      <c r="P1745" s="3" t="s">
        <v>2272</v>
      </c>
      <c r="Q1745" s="3" t="s">
        <v>2272</v>
      </c>
      <c r="R1745" s="3" t="s">
        <v>2272</v>
      </c>
      <c r="S1745" s="3" t="s">
        <v>2272</v>
      </c>
      <c r="T1745" s="3" t="s">
        <v>2272</v>
      </c>
      <c r="U1745" s="3" t="s">
        <v>2272</v>
      </c>
      <c r="V1745" s="3" t="s">
        <v>2272</v>
      </c>
      <c r="W1745" s="3" t="s">
        <v>2272</v>
      </c>
      <c r="X1745" s="3" t="s">
        <v>2272</v>
      </c>
      <c r="Y1745" s="3" t="s">
        <v>2272</v>
      </c>
      <c r="Z1745" s="3" t="s">
        <v>2272</v>
      </c>
      <c r="AA1745" s="3" t="s">
        <v>2272</v>
      </c>
      <c r="AB1745" s="3"/>
      <c r="AC1745" s="3"/>
    </row>
    <row r="1746" spans="1:29" ht="35.5" customHeight="1">
      <c r="A1746" s="151" t="str">
        <f>'Reported burning'!A1746</f>
        <v>209a</v>
      </c>
      <c r="B1746" s="151" t="str">
        <f>'Reported burning'!B1746</f>
        <v>209a.8</v>
      </c>
      <c r="C1746" s="151" t="str">
        <f>'Reported burning'!C1746</f>
        <v>Human, accidental</v>
      </c>
      <c r="D1746" s="151" t="str">
        <f>'Reported burning'!D1746</f>
        <v>ND</v>
      </c>
      <c r="E1746" s="151" t="str">
        <f>'Reported burning'!E1746</f>
        <v>All</v>
      </c>
      <c r="F1746" s="151" t="str">
        <f>'Reported burning'!F1746</f>
        <v>ND</v>
      </c>
      <c r="G1746" s="151" t="str">
        <f>'Reported burning'!G1746</f>
        <v>Forest</v>
      </c>
      <c r="H1746" s="151" t="str">
        <f>'Reported burning'!H1746</f>
        <v>Presence</v>
      </c>
      <c r="I1746" s="5"/>
      <c r="J1746" s="3" t="s">
        <v>2272</v>
      </c>
      <c r="K1746" s="198" t="s">
        <v>2272</v>
      </c>
      <c r="L1746" s="3" t="s">
        <v>2272</v>
      </c>
      <c r="M1746" s="3" t="s">
        <v>2272</v>
      </c>
      <c r="N1746" s="3" t="s">
        <v>2272</v>
      </c>
      <c r="O1746" s="3" t="s">
        <v>2272</v>
      </c>
      <c r="P1746" s="3" t="s">
        <v>2272</v>
      </c>
      <c r="Q1746" s="3" t="s">
        <v>2272</v>
      </c>
      <c r="R1746" s="3" t="s">
        <v>2272</v>
      </c>
      <c r="S1746" s="3" t="s">
        <v>2272</v>
      </c>
      <c r="T1746" s="3" t="s">
        <v>2272</v>
      </c>
      <c r="U1746" s="3" t="s">
        <v>2272</v>
      </c>
      <c r="V1746" s="3" t="s">
        <v>2272</v>
      </c>
      <c r="W1746" s="3" t="s">
        <v>2272</v>
      </c>
      <c r="X1746" s="3" t="s">
        <v>2272</v>
      </c>
      <c r="Y1746" s="3" t="s">
        <v>2272</v>
      </c>
      <c r="Z1746" s="3" t="s">
        <v>2272</v>
      </c>
      <c r="AA1746" s="3" t="s">
        <v>2272</v>
      </c>
      <c r="AB1746" s="3"/>
      <c r="AC1746" s="3"/>
    </row>
    <row r="1747" spans="1:29" ht="35.5" customHeight="1">
      <c r="A1747" s="151" t="str">
        <f>'Reported burning'!A1747</f>
        <v>209a</v>
      </c>
      <c r="B1747" s="151" t="str">
        <f>'Reported burning'!B1747</f>
        <v>209a.9</v>
      </c>
      <c r="C1747" s="151" t="str">
        <f>'Reported burning'!C1747</f>
        <v>Human, escaped</v>
      </c>
      <c r="D1747" s="151" t="str">
        <f>'Reported burning'!D1747</f>
        <v>Cultural &amp; Spiritual</v>
      </c>
      <c r="E1747" s="151" t="str">
        <f>'Reported burning'!E1747</f>
        <v>All</v>
      </c>
      <c r="F1747" s="151" t="str">
        <f>'Reported burning'!F1747</f>
        <v>ND</v>
      </c>
      <c r="G1747" s="151" t="str">
        <f>'Reported burning'!G1747</f>
        <v>Forest</v>
      </c>
      <c r="H1747" s="151" t="str">
        <f>'Reported burning'!H1747</f>
        <v>Presence</v>
      </c>
      <c r="I1747" s="5"/>
      <c r="J1747" s="3" t="s">
        <v>2272</v>
      </c>
      <c r="K1747" s="198" t="s">
        <v>2272</v>
      </c>
      <c r="L1747" s="3" t="s">
        <v>2272</v>
      </c>
      <c r="M1747" s="3" t="s">
        <v>2272</v>
      </c>
      <c r="N1747" s="3" t="s">
        <v>2272</v>
      </c>
      <c r="O1747" s="3" t="s">
        <v>2272</v>
      </c>
      <c r="P1747" s="3" t="s">
        <v>2272</v>
      </c>
      <c r="Q1747" s="3" t="s">
        <v>2272</v>
      </c>
      <c r="R1747" s="3" t="s">
        <v>2272</v>
      </c>
      <c r="S1747" s="3" t="s">
        <v>2272</v>
      </c>
      <c r="T1747" s="3" t="s">
        <v>2272</v>
      </c>
      <c r="U1747" s="3" t="s">
        <v>2272</v>
      </c>
      <c r="V1747" s="3" t="s">
        <v>2272</v>
      </c>
      <c r="W1747" s="3" t="s">
        <v>2272</v>
      </c>
      <c r="X1747" s="3" t="s">
        <v>2272</v>
      </c>
      <c r="Y1747" s="3" t="s">
        <v>2272</v>
      </c>
      <c r="Z1747" s="3" t="s">
        <v>2272</v>
      </c>
      <c r="AA1747" s="3" t="s">
        <v>2272</v>
      </c>
      <c r="AB1747" s="3"/>
      <c r="AC1747" s="3"/>
    </row>
    <row r="1748" spans="1:29" ht="35.5" customHeight="1">
      <c r="A1748" s="151" t="str">
        <f>'Reported burning'!A1748</f>
        <v>209a</v>
      </c>
      <c r="B1748" s="151" t="str">
        <f>'Reported burning'!B1748</f>
        <v>209a.10</v>
      </c>
      <c r="C1748" s="151" t="str">
        <f>'Reported burning'!C1748</f>
        <v>Human, escaped</v>
      </c>
      <c r="D1748" s="151" t="str">
        <f>'Reported burning'!D1748</f>
        <v>Domestic</v>
      </c>
      <c r="E1748" s="151" t="str">
        <f>'Reported burning'!E1748</f>
        <v>All</v>
      </c>
      <c r="F1748" s="151" t="str">
        <f>'Reported burning'!F1748</f>
        <v>ND</v>
      </c>
      <c r="G1748" s="151" t="str">
        <f>'Reported burning'!G1748</f>
        <v>Forest</v>
      </c>
      <c r="H1748" s="151" t="str">
        <f>'Reported burning'!H1748</f>
        <v>Presence</v>
      </c>
      <c r="I1748" s="5"/>
      <c r="J1748" s="3" t="s">
        <v>2272</v>
      </c>
      <c r="K1748" s="198" t="s">
        <v>2272</v>
      </c>
      <c r="L1748" s="3" t="s">
        <v>2272</v>
      </c>
      <c r="M1748" s="3" t="s">
        <v>2272</v>
      </c>
      <c r="N1748" s="3" t="s">
        <v>2272</v>
      </c>
      <c r="O1748" s="3" t="s">
        <v>2272</v>
      </c>
      <c r="P1748" s="3" t="s">
        <v>2272</v>
      </c>
      <c r="Q1748" s="3" t="s">
        <v>2272</v>
      </c>
      <c r="R1748" s="3" t="s">
        <v>2272</v>
      </c>
      <c r="S1748" s="3" t="s">
        <v>2272</v>
      </c>
      <c r="T1748" s="3" t="s">
        <v>2272</v>
      </c>
      <c r="U1748" s="3" t="s">
        <v>2272</v>
      </c>
      <c r="V1748" s="3" t="s">
        <v>2272</v>
      </c>
      <c r="W1748" s="3" t="s">
        <v>2272</v>
      </c>
      <c r="X1748" s="3" t="s">
        <v>2272</v>
      </c>
      <c r="Y1748" s="3" t="s">
        <v>2272</v>
      </c>
      <c r="Z1748" s="3" t="s">
        <v>2272</v>
      </c>
      <c r="AA1748" s="3" t="s">
        <v>2272</v>
      </c>
      <c r="AB1748" s="3"/>
      <c r="AC1748" s="3"/>
    </row>
    <row r="1749" spans="1:29" ht="35.5" customHeight="1">
      <c r="A1749" s="151" t="str">
        <f>'Reported burning'!A1749</f>
        <v>209b</v>
      </c>
      <c r="B1749" s="151" t="str">
        <f>'Reported burning'!B1749</f>
        <v>209b.1</v>
      </c>
      <c r="C1749" s="151" t="str">
        <f>'Reported burning'!C1749</f>
        <v>Human, deliberate</v>
      </c>
      <c r="D1749" s="151" t="str">
        <f>'Reported burning'!D1749</f>
        <v>Pasture renewal</v>
      </c>
      <c r="E1749" s="151" t="str">
        <f>'Reported burning'!E1749</f>
        <v>Pastoralism, Migratory</v>
      </c>
      <c r="F1749" s="151" t="str">
        <f>'Reported burning'!F1749</f>
        <v>Forest</v>
      </c>
      <c r="G1749" s="151" t="str">
        <f>'Reported burning'!G1749</f>
        <v>Forest</v>
      </c>
      <c r="H1749" s="151" t="str">
        <f>'Reported burning'!H1749</f>
        <v>Presence</v>
      </c>
      <c r="I1749" s="5"/>
      <c r="J1749" s="3" t="s">
        <v>2272</v>
      </c>
      <c r="K1749" s="198" t="s">
        <v>2272</v>
      </c>
      <c r="L1749" s="3" t="s">
        <v>2272</v>
      </c>
      <c r="M1749" s="3" t="s">
        <v>2272</v>
      </c>
      <c r="N1749" s="3" t="s">
        <v>2272</v>
      </c>
      <c r="O1749" s="3" t="s">
        <v>2272</v>
      </c>
      <c r="P1749" s="3" t="s">
        <v>2272</v>
      </c>
      <c r="Q1749" s="21" t="s">
        <v>2371</v>
      </c>
      <c r="R1749" s="3" t="s">
        <v>2272</v>
      </c>
      <c r="S1749" s="21" t="s">
        <v>2369</v>
      </c>
      <c r="T1749" s="3" t="s">
        <v>2272</v>
      </c>
      <c r="U1749" s="3" t="s">
        <v>2272</v>
      </c>
      <c r="V1749" s="3" t="s">
        <v>2272</v>
      </c>
      <c r="W1749" s="3" t="s">
        <v>2272</v>
      </c>
      <c r="X1749" s="3" t="s">
        <v>2272</v>
      </c>
      <c r="Y1749" s="3" t="s">
        <v>2272</v>
      </c>
      <c r="Z1749" s="3" t="s">
        <v>2272</v>
      </c>
      <c r="AA1749" s="3" t="s">
        <v>2272</v>
      </c>
      <c r="AB1749" s="3"/>
      <c r="AC1749" s="4" t="s">
        <v>5330</v>
      </c>
    </row>
    <row r="1750" spans="1:29" ht="35.5" customHeight="1">
      <c r="A1750" s="151" t="str">
        <f>'Reported burning'!A1750</f>
        <v>209b</v>
      </c>
      <c r="B1750" s="151" t="str">
        <f>'Reported burning'!B1750</f>
        <v>209b.2</v>
      </c>
      <c r="C1750" s="151" t="str">
        <f>'Reported burning'!C1750</f>
        <v>Human, deliberate</v>
      </c>
      <c r="D1750" s="151" t="str">
        <f>'Reported burning'!D1750</f>
        <v>Harvesting of NTFP</v>
      </c>
      <c r="E1750" s="151" t="str">
        <f>'Reported burning'!E1750</f>
        <v>Forestry, Traditional</v>
      </c>
      <c r="F1750" s="151" t="str">
        <f>'Reported burning'!F1750</f>
        <v>Forest</v>
      </c>
      <c r="G1750" s="151" t="str">
        <f>'Reported burning'!G1750</f>
        <v>Forest</v>
      </c>
      <c r="H1750" s="151" t="str">
        <f>'Reported burning'!H1750</f>
        <v>Presence</v>
      </c>
      <c r="I1750" s="5"/>
      <c r="J1750" s="3" t="s">
        <v>2272</v>
      </c>
      <c r="K1750" s="198" t="s">
        <v>2272</v>
      </c>
      <c r="L1750" s="3" t="s">
        <v>2272</v>
      </c>
      <c r="M1750" s="3" t="s">
        <v>2272</v>
      </c>
      <c r="N1750" s="3" t="s">
        <v>2272</v>
      </c>
      <c r="O1750" s="3" t="s">
        <v>2272</v>
      </c>
      <c r="P1750" s="3" t="s">
        <v>2272</v>
      </c>
      <c r="Q1750" s="3" t="s">
        <v>2272</v>
      </c>
      <c r="R1750" s="3" t="s">
        <v>2272</v>
      </c>
      <c r="S1750" s="3" t="s">
        <v>2272</v>
      </c>
      <c r="T1750" s="3" t="s">
        <v>2272</v>
      </c>
      <c r="U1750" s="3" t="s">
        <v>2272</v>
      </c>
      <c r="V1750" s="3" t="s">
        <v>2272</v>
      </c>
      <c r="W1750" s="3" t="s">
        <v>2272</v>
      </c>
      <c r="X1750" s="3" t="s">
        <v>2272</v>
      </c>
      <c r="Y1750" s="3" t="s">
        <v>2272</v>
      </c>
      <c r="Z1750" s="3" t="s">
        <v>2272</v>
      </c>
      <c r="AA1750" s="3" t="s">
        <v>2272</v>
      </c>
      <c r="AB1750" s="3"/>
      <c r="AC1750" s="3"/>
    </row>
    <row r="1751" spans="1:29" ht="35.5" customHeight="1">
      <c r="A1751" s="151" t="str">
        <f>'Reported burning'!A1751</f>
        <v>209b</v>
      </c>
      <c r="B1751" s="151" t="str">
        <f>'Reported burning'!B1751</f>
        <v>209b.3</v>
      </c>
      <c r="C1751" s="151" t="str">
        <f>'Reported burning'!C1751</f>
        <v>Human, deliberate</v>
      </c>
      <c r="D1751" s="151" t="str">
        <f>'Reported burning'!D1751</f>
        <v>Hunting</v>
      </c>
      <c r="E1751" s="151" t="str">
        <f>'Reported burning'!E1751</f>
        <v>Forestry, Traditional</v>
      </c>
      <c r="F1751" s="151" t="str">
        <f>'Reported burning'!F1751</f>
        <v>Forest</v>
      </c>
      <c r="G1751" s="151" t="str">
        <f>'Reported burning'!G1751</f>
        <v>Forest</v>
      </c>
      <c r="H1751" s="151" t="str">
        <f>'Reported burning'!H1751</f>
        <v>Presence</v>
      </c>
      <c r="I1751" s="5"/>
      <c r="J1751" s="3" t="s">
        <v>2272</v>
      </c>
      <c r="K1751" s="198" t="s">
        <v>2272</v>
      </c>
      <c r="L1751" s="3" t="s">
        <v>2272</v>
      </c>
      <c r="M1751" s="3" t="s">
        <v>2272</v>
      </c>
      <c r="N1751" s="3" t="s">
        <v>2272</v>
      </c>
      <c r="O1751" s="3" t="s">
        <v>2272</v>
      </c>
      <c r="P1751" s="3" t="s">
        <v>2272</v>
      </c>
      <c r="Q1751" s="3" t="s">
        <v>2272</v>
      </c>
      <c r="R1751" s="3" t="s">
        <v>2272</v>
      </c>
      <c r="S1751" s="3" t="s">
        <v>2272</v>
      </c>
      <c r="T1751" s="3" t="s">
        <v>2272</v>
      </c>
      <c r="U1751" s="3" t="s">
        <v>2272</v>
      </c>
      <c r="V1751" s="3" t="s">
        <v>2272</v>
      </c>
      <c r="W1751" s="3" t="s">
        <v>2272</v>
      </c>
      <c r="X1751" s="3" t="s">
        <v>2272</v>
      </c>
      <c r="Y1751" s="3" t="s">
        <v>2272</v>
      </c>
      <c r="Z1751" s="3" t="s">
        <v>2272</v>
      </c>
      <c r="AA1751" s="3" t="s">
        <v>2272</v>
      </c>
      <c r="AB1751" s="3"/>
      <c r="AC1751" s="3"/>
    </row>
    <row r="1752" spans="1:29" ht="35.5" customHeight="1">
      <c r="A1752" s="151" t="str">
        <f>'Reported burning'!A1752</f>
        <v>209b</v>
      </c>
      <c r="B1752" s="151" t="str">
        <f>'Reported burning'!B1752</f>
        <v>209b.4</v>
      </c>
      <c r="C1752" s="151" t="str">
        <f>'Reported burning'!C1752</f>
        <v>Human, deliberate</v>
      </c>
      <c r="D1752" s="151" t="str">
        <f>'Reported burning'!D1752</f>
        <v>Harvesting of Timber</v>
      </c>
      <c r="E1752" s="151" t="str">
        <f>'Reported burning'!E1752</f>
        <v>Forestry, Small-scale</v>
      </c>
      <c r="F1752" s="151" t="str">
        <f>'Reported burning'!F1752</f>
        <v>Forest</v>
      </c>
      <c r="G1752" s="151" t="str">
        <f>'Reported burning'!G1752</f>
        <v>Forest</v>
      </c>
      <c r="H1752" s="151" t="str">
        <f>'Reported burning'!H1752</f>
        <v>Presence</v>
      </c>
      <c r="I1752" s="5"/>
      <c r="J1752" s="3" t="s">
        <v>2272</v>
      </c>
      <c r="K1752" s="198" t="s">
        <v>2272</v>
      </c>
      <c r="L1752" s="3" t="s">
        <v>2272</v>
      </c>
      <c r="M1752" s="3" t="s">
        <v>2272</v>
      </c>
      <c r="N1752" s="3" t="s">
        <v>2272</v>
      </c>
      <c r="O1752" s="3" t="s">
        <v>2272</v>
      </c>
      <c r="P1752" s="3" t="s">
        <v>2272</v>
      </c>
      <c r="Q1752" s="3" t="s">
        <v>2272</v>
      </c>
      <c r="R1752" s="3" t="s">
        <v>2272</v>
      </c>
      <c r="S1752" s="3" t="s">
        <v>2272</v>
      </c>
      <c r="T1752" s="3" t="s">
        <v>2272</v>
      </c>
      <c r="U1752" s="3" t="s">
        <v>2272</v>
      </c>
      <c r="V1752" s="3" t="s">
        <v>2272</v>
      </c>
      <c r="W1752" s="3" t="s">
        <v>2272</v>
      </c>
      <c r="X1752" s="3" t="s">
        <v>2272</v>
      </c>
      <c r="Y1752" s="3" t="s">
        <v>2272</v>
      </c>
      <c r="Z1752" s="3" t="s">
        <v>2272</v>
      </c>
      <c r="AA1752" s="3" t="s">
        <v>2272</v>
      </c>
      <c r="AB1752" s="3"/>
      <c r="AC1752" s="3"/>
    </row>
    <row r="1753" spans="1:29" ht="35.5" customHeight="1">
      <c r="A1753" s="151" t="str">
        <f>'Reported burning'!A1753</f>
        <v>209b</v>
      </c>
      <c r="B1753" s="151" t="str">
        <f>'Reported burning'!B1753</f>
        <v>209b.5</v>
      </c>
      <c r="C1753" s="151" t="str">
        <f>'Reported burning'!C1753</f>
        <v>Human, deliberate</v>
      </c>
      <c r="D1753" s="151" t="str">
        <f>'Reported burning'!D1753</f>
        <v>Arson</v>
      </c>
      <c r="E1753" s="151" t="str">
        <f>'Reported burning'!E1753</f>
        <v>ND</v>
      </c>
      <c r="F1753" s="151" t="str">
        <f>'Reported burning'!F1753</f>
        <v>ND</v>
      </c>
      <c r="G1753" s="151" t="str">
        <f>'Reported burning'!G1753</f>
        <v>Forest</v>
      </c>
      <c r="H1753" s="151" t="str">
        <f>'Reported burning'!H1753</f>
        <v>Presence</v>
      </c>
      <c r="I1753" s="5"/>
      <c r="J1753" s="3" t="s">
        <v>2272</v>
      </c>
      <c r="K1753" s="198" t="s">
        <v>2272</v>
      </c>
      <c r="L1753" s="3" t="s">
        <v>2272</v>
      </c>
      <c r="M1753" s="3" t="s">
        <v>2272</v>
      </c>
      <c r="N1753" s="3" t="s">
        <v>2272</v>
      </c>
      <c r="O1753" s="3" t="s">
        <v>2272</v>
      </c>
      <c r="P1753" s="3" t="s">
        <v>2272</v>
      </c>
      <c r="Q1753" s="3" t="s">
        <v>2272</v>
      </c>
      <c r="R1753" s="3" t="s">
        <v>2272</v>
      </c>
      <c r="S1753" s="3" t="s">
        <v>2272</v>
      </c>
      <c r="T1753" s="3" t="s">
        <v>2272</v>
      </c>
      <c r="U1753" s="3" t="s">
        <v>2272</v>
      </c>
      <c r="V1753" s="3" t="s">
        <v>2272</v>
      </c>
      <c r="W1753" s="3" t="s">
        <v>2272</v>
      </c>
      <c r="X1753" s="3" t="s">
        <v>2272</v>
      </c>
      <c r="Y1753" s="3" t="s">
        <v>2272</v>
      </c>
      <c r="Z1753" s="3" t="s">
        <v>2272</v>
      </c>
      <c r="AA1753" s="3" t="s">
        <v>2272</v>
      </c>
      <c r="AB1753" s="3"/>
      <c r="AC1753" s="3"/>
    </row>
    <row r="1754" spans="1:29" ht="35.5" customHeight="1">
      <c r="A1754" s="151" t="str">
        <f>'Reported burning'!A1754</f>
        <v>209b</v>
      </c>
      <c r="B1754" s="151" t="str">
        <f>'Reported burning'!B1754</f>
        <v>209b.6</v>
      </c>
      <c r="C1754" s="151" t="str">
        <f>'Reported burning'!C1754</f>
        <v>Human, deliberate</v>
      </c>
      <c r="D1754" s="151" t="str">
        <f>'Reported burning'!D1754</f>
        <v>Crop field preparation</v>
      </c>
      <c r="E1754" s="151" t="str">
        <f>'Reported burning'!E1754</f>
        <v>Cropping, Swidden</v>
      </c>
      <c r="F1754" s="151" t="str">
        <f>'Reported burning'!F1754</f>
        <v>Forest</v>
      </c>
      <c r="G1754" s="151" t="str">
        <f>'Reported burning'!G1754</f>
        <v>ND</v>
      </c>
      <c r="H1754" s="151" t="str">
        <f>'Reported burning'!H1754</f>
        <v>Presence</v>
      </c>
      <c r="I1754" s="5"/>
      <c r="J1754" s="3" t="s">
        <v>2272</v>
      </c>
      <c r="K1754" s="198" t="s">
        <v>2272</v>
      </c>
      <c r="L1754" s="3" t="s">
        <v>2272</v>
      </c>
      <c r="M1754" s="3" t="s">
        <v>2272</v>
      </c>
      <c r="N1754" s="3" t="s">
        <v>2272</v>
      </c>
      <c r="O1754" s="3" t="s">
        <v>2272</v>
      </c>
      <c r="P1754" s="3" t="s">
        <v>2272</v>
      </c>
      <c r="Q1754" s="3" t="s">
        <v>2272</v>
      </c>
      <c r="R1754" s="3" t="s">
        <v>2272</v>
      </c>
      <c r="S1754" s="3" t="s">
        <v>2272</v>
      </c>
      <c r="T1754" s="3" t="s">
        <v>2272</v>
      </c>
      <c r="U1754" s="3" t="s">
        <v>2272</v>
      </c>
      <c r="V1754" s="3" t="s">
        <v>2272</v>
      </c>
      <c r="W1754" s="3" t="s">
        <v>2272</v>
      </c>
      <c r="X1754" s="3" t="s">
        <v>2272</v>
      </c>
      <c r="Y1754" s="3" t="s">
        <v>2272</v>
      </c>
      <c r="Z1754" s="3" t="s">
        <v>2272</v>
      </c>
      <c r="AA1754" s="3" t="s">
        <v>2272</v>
      </c>
      <c r="AB1754" s="3"/>
      <c r="AC1754" s="3"/>
    </row>
    <row r="1755" spans="1:29" ht="35.5" customHeight="1">
      <c r="A1755" s="151" t="str">
        <f>'Reported burning'!A1755</f>
        <v>209b</v>
      </c>
      <c r="B1755" s="151" t="str">
        <f>'Reported burning'!B1755</f>
        <v>209b.7</v>
      </c>
      <c r="C1755" s="151" t="str">
        <f>'Reported burning'!C1755</f>
        <v>Human, escaped</v>
      </c>
      <c r="D1755" s="151" t="str">
        <f>'Reported burning'!D1755</f>
        <v>Charcoal production</v>
      </c>
      <c r="E1755" s="151" t="str">
        <f>'Reported burning'!E1755</f>
        <v>ND</v>
      </c>
      <c r="F1755" s="151" t="str">
        <f>'Reported burning'!F1755</f>
        <v>ND</v>
      </c>
      <c r="G1755" s="151" t="str">
        <f>'Reported burning'!G1755</f>
        <v>Forest</v>
      </c>
      <c r="H1755" s="151" t="str">
        <f>'Reported burning'!H1755</f>
        <v>Presence</v>
      </c>
      <c r="I1755" s="5"/>
      <c r="J1755" s="3" t="s">
        <v>2272</v>
      </c>
      <c r="K1755" s="198" t="s">
        <v>2272</v>
      </c>
      <c r="L1755" s="3" t="s">
        <v>2272</v>
      </c>
      <c r="M1755" s="3" t="s">
        <v>2272</v>
      </c>
      <c r="N1755" s="3" t="s">
        <v>2272</v>
      </c>
      <c r="O1755" s="3" t="s">
        <v>2272</v>
      </c>
      <c r="P1755" s="3" t="s">
        <v>2272</v>
      </c>
      <c r="Q1755" s="3" t="s">
        <v>2272</v>
      </c>
      <c r="R1755" s="3" t="s">
        <v>2272</v>
      </c>
      <c r="S1755" s="3" t="s">
        <v>2272</v>
      </c>
      <c r="T1755" s="3" t="s">
        <v>2272</v>
      </c>
      <c r="U1755" s="3" t="s">
        <v>2272</v>
      </c>
      <c r="V1755" s="3" t="s">
        <v>2272</v>
      </c>
      <c r="W1755" s="3" t="s">
        <v>2272</v>
      </c>
      <c r="X1755" s="3" t="s">
        <v>2272</v>
      </c>
      <c r="Y1755" s="3" t="s">
        <v>2272</v>
      </c>
      <c r="Z1755" s="3" t="s">
        <v>2272</v>
      </c>
      <c r="AA1755" s="3" t="s">
        <v>2272</v>
      </c>
      <c r="AB1755" s="3"/>
      <c r="AC1755" s="3"/>
    </row>
    <row r="1756" spans="1:29" ht="35.5" customHeight="1">
      <c r="A1756" s="151" t="str">
        <f>'Reported burning'!A1756</f>
        <v>209b</v>
      </c>
      <c r="B1756" s="151" t="str">
        <f>'Reported burning'!B1756</f>
        <v>209b.8</v>
      </c>
      <c r="C1756" s="151" t="str">
        <f>'Reported burning'!C1756</f>
        <v>Human, accidental</v>
      </c>
      <c r="D1756" s="151" t="str">
        <f>'Reported burning'!D1756</f>
        <v>ND</v>
      </c>
      <c r="E1756" s="151" t="str">
        <f>'Reported burning'!E1756</f>
        <v>All</v>
      </c>
      <c r="F1756" s="151" t="str">
        <f>'Reported burning'!F1756</f>
        <v>ND</v>
      </c>
      <c r="G1756" s="151" t="str">
        <f>'Reported burning'!G1756</f>
        <v>Forest</v>
      </c>
      <c r="H1756" s="151" t="str">
        <f>'Reported burning'!H1756</f>
        <v>Presence</v>
      </c>
      <c r="I1756" s="5"/>
      <c r="J1756" s="3" t="s">
        <v>2272</v>
      </c>
      <c r="K1756" s="198" t="s">
        <v>2272</v>
      </c>
      <c r="L1756" s="3" t="s">
        <v>2272</v>
      </c>
      <c r="M1756" s="3" t="s">
        <v>2272</v>
      </c>
      <c r="N1756" s="3" t="s">
        <v>2272</v>
      </c>
      <c r="O1756" s="3" t="s">
        <v>2272</v>
      </c>
      <c r="P1756" s="3" t="s">
        <v>2272</v>
      </c>
      <c r="Q1756" s="3" t="s">
        <v>2272</v>
      </c>
      <c r="R1756" s="3" t="s">
        <v>2272</v>
      </c>
      <c r="S1756" s="3" t="s">
        <v>2272</v>
      </c>
      <c r="T1756" s="3" t="s">
        <v>2272</v>
      </c>
      <c r="U1756" s="3" t="s">
        <v>2272</v>
      </c>
      <c r="V1756" s="3" t="s">
        <v>2272</v>
      </c>
      <c r="W1756" s="3" t="s">
        <v>2272</v>
      </c>
      <c r="X1756" s="3" t="s">
        <v>2272</v>
      </c>
      <c r="Y1756" s="3" t="s">
        <v>2272</v>
      </c>
      <c r="Z1756" s="3" t="s">
        <v>2272</v>
      </c>
      <c r="AA1756" s="3" t="s">
        <v>2272</v>
      </c>
      <c r="AB1756" s="3"/>
      <c r="AC1756" s="3"/>
    </row>
    <row r="1757" spans="1:29" ht="35.5" customHeight="1">
      <c r="A1757" s="151" t="str">
        <f>'Reported burning'!A1757</f>
        <v>209b</v>
      </c>
      <c r="B1757" s="151" t="str">
        <f>'Reported burning'!B1757</f>
        <v>209b.9</v>
      </c>
      <c r="C1757" s="151" t="str">
        <f>'Reported burning'!C1757</f>
        <v>Human, escaped</v>
      </c>
      <c r="D1757" s="151" t="str">
        <f>'Reported burning'!D1757</f>
        <v>Cultural &amp; Spiritual</v>
      </c>
      <c r="E1757" s="151" t="str">
        <f>'Reported burning'!E1757</f>
        <v>All</v>
      </c>
      <c r="F1757" s="151" t="str">
        <f>'Reported burning'!F1757</f>
        <v>ND</v>
      </c>
      <c r="G1757" s="151" t="str">
        <f>'Reported burning'!G1757</f>
        <v>Forest</v>
      </c>
      <c r="H1757" s="151" t="str">
        <f>'Reported burning'!H1757</f>
        <v>Presence</v>
      </c>
      <c r="I1757" s="5"/>
      <c r="J1757" s="3" t="s">
        <v>2272</v>
      </c>
      <c r="K1757" s="198" t="s">
        <v>2272</v>
      </c>
      <c r="L1757" s="3" t="s">
        <v>2272</v>
      </c>
      <c r="M1757" s="3" t="s">
        <v>2272</v>
      </c>
      <c r="N1757" s="3" t="s">
        <v>2272</v>
      </c>
      <c r="O1757" s="3" t="s">
        <v>2272</v>
      </c>
      <c r="P1757" s="3" t="s">
        <v>2272</v>
      </c>
      <c r="Q1757" s="3" t="s">
        <v>2272</v>
      </c>
      <c r="R1757" s="3" t="s">
        <v>2272</v>
      </c>
      <c r="S1757" s="3" t="s">
        <v>2272</v>
      </c>
      <c r="T1757" s="3" t="s">
        <v>2272</v>
      </c>
      <c r="U1757" s="3" t="s">
        <v>2272</v>
      </c>
      <c r="V1757" s="3" t="s">
        <v>2272</v>
      </c>
      <c r="W1757" s="3" t="s">
        <v>2272</v>
      </c>
      <c r="X1757" s="3" t="s">
        <v>2272</v>
      </c>
      <c r="Y1757" s="3" t="s">
        <v>2272</v>
      </c>
      <c r="Z1757" s="3" t="s">
        <v>2272</v>
      </c>
      <c r="AA1757" s="3" t="s">
        <v>2272</v>
      </c>
      <c r="AB1757" s="3"/>
      <c r="AC1757" s="3"/>
    </row>
    <row r="1758" spans="1:29" ht="35.5" customHeight="1">
      <c r="A1758" s="151" t="str">
        <f>'Reported burning'!A1758</f>
        <v>209b</v>
      </c>
      <c r="B1758" s="151" t="str">
        <f>'Reported burning'!B1758</f>
        <v>209b.10</v>
      </c>
      <c r="C1758" s="151" t="str">
        <f>'Reported burning'!C1758</f>
        <v>Human, escaped</v>
      </c>
      <c r="D1758" s="151" t="str">
        <f>'Reported burning'!D1758</f>
        <v>Domestic</v>
      </c>
      <c r="E1758" s="151" t="str">
        <f>'Reported burning'!E1758</f>
        <v>All</v>
      </c>
      <c r="F1758" s="151" t="str">
        <f>'Reported burning'!F1758</f>
        <v>ND</v>
      </c>
      <c r="G1758" s="151" t="str">
        <f>'Reported burning'!G1758</f>
        <v>Forest</v>
      </c>
      <c r="H1758" s="151" t="str">
        <f>'Reported burning'!H1758</f>
        <v>Presence</v>
      </c>
      <c r="I1758" s="5"/>
      <c r="J1758" s="3" t="s">
        <v>2272</v>
      </c>
      <c r="K1758" s="198" t="s">
        <v>2272</v>
      </c>
      <c r="L1758" s="3" t="s">
        <v>2272</v>
      </c>
      <c r="M1758" s="3" t="s">
        <v>2272</v>
      </c>
      <c r="N1758" s="3" t="s">
        <v>2272</v>
      </c>
      <c r="O1758" s="3" t="s">
        <v>2272</v>
      </c>
      <c r="P1758" s="3" t="s">
        <v>2272</v>
      </c>
      <c r="Q1758" s="3" t="s">
        <v>2272</v>
      </c>
      <c r="R1758" s="3" t="s">
        <v>2272</v>
      </c>
      <c r="S1758" s="3" t="s">
        <v>2272</v>
      </c>
      <c r="T1758" s="3" t="s">
        <v>2272</v>
      </c>
      <c r="U1758" s="3" t="s">
        <v>2272</v>
      </c>
      <c r="V1758" s="3" t="s">
        <v>2272</v>
      </c>
      <c r="W1758" s="3" t="s">
        <v>2272</v>
      </c>
      <c r="X1758" s="3" t="s">
        <v>2272</v>
      </c>
      <c r="Y1758" s="3" t="s">
        <v>2272</v>
      </c>
      <c r="Z1758" s="3" t="s">
        <v>2272</v>
      </c>
      <c r="AA1758" s="3" t="s">
        <v>2272</v>
      </c>
      <c r="AB1758" s="3"/>
      <c r="AC1758" s="3"/>
    </row>
    <row r="1759" spans="1:29" ht="35.5" customHeight="1">
      <c r="A1759" s="151" t="str">
        <f>'Reported burning'!A1759</f>
        <v>209c</v>
      </c>
      <c r="B1759" s="151" t="str">
        <f>'Reported burning'!B1759</f>
        <v>209c.1</v>
      </c>
      <c r="C1759" s="151" t="str">
        <f>'Reported burning'!C1759</f>
        <v>Human, deliberate</v>
      </c>
      <c r="D1759" s="151" t="str">
        <f>'Reported burning'!D1759</f>
        <v>Pasture renewal</v>
      </c>
      <c r="E1759" s="151" t="str">
        <f>'Reported burning'!E1759</f>
        <v>Pastoralism, Migratory</v>
      </c>
      <c r="F1759" s="151" t="str">
        <f>'Reported burning'!F1759</f>
        <v>Forest</v>
      </c>
      <c r="G1759" s="151" t="str">
        <f>'Reported burning'!G1759</f>
        <v>Forest</v>
      </c>
      <c r="H1759" s="151" t="str">
        <f>'Reported burning'!H1759</f>
        <v>Presence</v>
      </c>
      <c r="I1759" s="5"/>
      <c r="J1759" s="3" t="s">
        <v>2272</v>
      </c>
      <c r="K1759" s="198" t="s">
        <v>2272</v>
      </c>
      <c r="L1759" s="3" t="s">
        <v>2272</v>
      </c>
      <c r="M1759" s="3" t="s">
        <v>2272</v>
      </c>
      <c r="N1759" s="3" t="s">
        <v>2272</v>
      </c>
      <c r="O1759" s="3" t="s">
        <v>2272</v>
      </c>
      <c r="P1759" s="3" t="s">
        <v>2272</v>
      </c>
      <c r="Q1759" s="21" t="s">
        <v>2371</v>
      </c>
      <c r="R1759" s="3" t="s">
        <v>2272</v>
      </c>
      <c r="S1759" s="21" t="s">
        <v>2369</v>
      </c>
      <c r="T1759" s="3" t="s">
        <v>2272</v>
      </c>
      <c r="U1759" s="3" t="s">
        <v>2272</v>
      </c>
      <c r="V1759" s="3" t="s">
        <v>2272</v>
      </c>
      <c r="W1759" s="3" t="s">
        <v>2272</v>
      </c>
      <c r="X1759" s="3" t="s">
        <v>2272</v>
      </c>
      <c r="Y1759" s="3" t="s">
        <v>2272</v>
      </c>
      <c r="Z1759" s="3" t="s">
        <v>2272</v>
      </c>
      <c r="AA1759" s="3" t="s">
        <v>2272</v>
      </c>
      <c r="AB1759" s="3"/>
      <c r="AC1759" s="4" t="s">
        <v>5330</v>
      </c>
    </row>
    <row r="1760" spans="1:29" ht="35.5" customHeight="1">
      <c r="A1760" s="151" t="str">
        <f>'Reported burning'!A1760</f>
        <v>209c</v>
      </c>
      <c r="B1760" s="151" t="str">
        <f>'Reported burning'!B1760</f>
        <v>209c.2</v>
      </c>
      <c r="C1760" s="151" t="str">
        <f>'Reported burning'!C1760</f>
        <v>Human, deliberate</v>
      </c>
      <c r="D1760" s="151" t="str">
        <f>'Reported burning'!D1760</f>
        <v>Harvesting of NTFP</v>
      </c>
      <c r="E1760" s="151" t="str">
        <f>'Reported burning'!E1760</f>
        <v>Forestry, Traditional</v>
      </c>
      <c r="F1760" s="151" t="str">
        <f>'Reported burning'!F1760</f>
        <v>Forest</v>
      </c>
      <c r="G1760" s="151" t="str">
        <f>'Reported burning'!G1760</f>
        <v>Forest</v>
      </c>
      <c r="H1760" s="151" t="str">
        <f>'Reported burning'!H1760</f>
        <v>Presence</v>
      </c>
      <c r="I1760" s="5"/>
      <c r="J1760" s="3" t="s">
        <v>2272</v>
      </c>
      <c r="K1760" s="198" t="s">
        <v>2272</v>
      </c>
      <c r="L1760" s="3" t="s">
        <v>2272</v>
      </c>
      <c r="M1760" s="3" t="s">
        <v>2272</v>
      </c>
      <c r="N1760" s="3" t="s">
        <v>2272</v>
      </c>
      <c r="O1760" s="3" t="s">
        <v>2272</v>
      </c>
      <c r="P1760" s="3" t="s">
        <v>2272</v>
      </c>
      <c r="Q1760" s="3" t="s">
        <v>2272</v>
      </c>
      <c r="R1760" s="3" t="s">
        <v>2272</v>
      </c>
      <c r="S1760" s="3" t="s">
        <v>2272</v>
      </c>
      <c r="T1760" s="3" t="s">
        <v>2272</v>
      </c>
      <c r="U1760" s="3" t="s">
        <v>2272</v>
      </c>
      <c r="V1760" s="3" t="s">
        <v>2272</v>
      </c>
      <c r="W1760" s="3" t="s">
        <v>2272</v>
      </c>
      <c r="X1760" s="3" t="s">
        <v>2272</v>
      </c>
      <c r="Y1760" s="3" t="s">
        <v>2272</v>
      </c>
      <c r="Z1760" s="3" t="s">
        <v>2272</v>
      </c>
      <c r="AA1760" s="3" t="s">
        <v>2272</v>
      </c>
      <c r="AB1760" s="3"/>
      <c r="AC1760" s="3"/>
    </row>
    <row r="1761" spans="1:29" ht="35.5" customHeight="1">
      <c r="A1761" s="151" t="str">
        <f>'Reported burning'!A1761</f>
        <v>209c</v>
      </c>
      <c r="B1761" s="151" t="str">
        <f>'Reported burning'!B1761</f>
        <v>209c.3</v>
      </c>
      <c r="C1761" s="151" t="str">
        <f>'Reported burning'!C1761</f>
        <v>Human, deliberate</v>
      </c>
      <c r="D1761" s="151" t="str">
        <f>'Reported burning'!D1761</f>
        <v>Hunting</v>
      </c>
      <c r="E1761" s="151" t="str">
        <f>'Reported burning'!E1761</f>
        <v>Forestry, Traditional</v>
      </c>
      <c r="F1761" s="151" t="str">
        <f>'Reported burning'!F1761</f>
        <v>Forest</v>
      </c>
      <c r="G1761" s="151" t="str">
        <f>'Reported burning'!G1761</f>
        <v>Forest</v>
      </c>
      <c r="H1761" s="151" t="str">
        <f>'Reported burning'!H1761</f>
        <v>Presence</v>
      </c>
      <c r="I1761" s="5"/>
      <c r="J1761" s="3" t="s">
        <v>2272</v>
      </c>
      <c r="K1761" s="198" t="s">
        <v>2272</v>
      </c>
      <c r="L1761" s="3" t="s">
        <v>2272</v>
      </c>
      <c r="M1761" s="3" t="s">
        <v>2272</v>
      </c>
      <c r="N1761" s="3" t="s">
        <v>2272</v>
      </c>
      <c r="O1761" s="3" t="s">
        <v>2272</v>
      </c>
      <c r="P1761" s="3" t="s">
        <v>2272</v>
      </c>
      <c r="Q1761" s="3" t="s">
        <v>2272</v>
      </c>
      <c r="R1761" s="3" t="s">
        <v>2272</v>
      </c>
      <c r="S1761" s="3" t="s">
        <v>2272</v>
      </c>
      <c r="T1761" s="3" t="s">
        <v>2272</v>
      </c>
      <c r="U1761" s="3" t="s">
        <v>2272</v>
      </c>
      <c r="V1761" s="3" t="s">
        <v>2272</v>
      </c>
      <c r="W1761" s="3" t="s">
        <v>2272</v>
      </c>
      <c r="X1761" s="3" t="s">
        <v>2272</v>
      </c>
      <c r="Y1761" s="3" t="s">
        <v>2272</v>
      </c>
      <c r="Z1761" s="3" t="s">
        <v>2272</v>
      </c>
      <c r="AA1761" s="3" t="s">
        <v>2272</v>
      </c>
      <c r="AB1761" s="3"/>
      <c r="AC1761" s="3"/>
    </row>
    <row r="1762" spans="1:29" ht="35.5" customHeight="1">
      <c r="A1762" s="151" t="str">
        <f>'Reported burning'!A1762</f>
        <v>209c</v>
      </c>
      <c r="B1762" s="151" t="str">
        <f>'Reported burning'!B1762</f>
        <v>209c.4</v>
      </c>
      <c r="C1762" s="151" t="str">
        <f>'Reported burning'!C1762</f>
        <v>Human, deliberate</v>
      </c>
      <c r="D1762" s="151" t="str">
        <f>'Reported burning'!D1762</f>
        <v>Harvesting of Timber</v>
      </c>
      <c r="E1762" s="151" t="str">
        <f>'Reported burning'!E1762</f>
        <v>Forestry, Small-scale</v>
      </c>
      <c r="F1762" s="151" t="str">
        <f>'Reported burning'!F1762</f>
        <v>Forest</v>
      </c>
      <c r="G1762" s="151" t="str">
        <f>'Reported burning'!G1762</f>
        <v>Forest</v>
      </c>
      <c r="H1762" s="151" t="str">
        <f>'Reported burning'!H1762</f>
        <v>Presence</v>
      </c>
      <c r="I1762" s="5"/>
      <c r="J1762" s="3" t="s">
        <v>2272</v>
      </c>
      <c r="K1762" s="198" t="s">
        <v>2272</v>
      </c>
      <c r="L1762" s="3" t="s">
        <v>2272</v>
      </c>
      <c r="M1762" s="3" t="s">
        <v>2272</v>
      </c>
      <c r="N1762" s="3" t="s">
        <v>2272</v>
      </c>
      <c r="O1762" s="3" t="s">
        <v>2272</v>
      </c>
      <c r="P1762" s="3" t="s">
        <v>2272</v>
      </c>
      <c r="Q1762" s="3" t="s">
        <v>2272</v>
      </c>
      <c r="R1762" s="3" t="s">
        <v>2272</v>
      </c>
      <c r="S1762" s="3" t="s">
        <v>2272</v>
      </c>
      <c r="T1762" s="3" t="s">
        <v>2272</v>
      </c>
      <c r="U1762" s="3" t="s">
        <v>2272</v>
      </c>
      <c r="V1762" s="3" t="s">
        <v>2272</v>
      </c>
      <c r="W1762" s="3" t="s">
        <v>2272</v>
      </c>
      <c r="X1762" s="3" t="s">
        <v>2272</v>
      </c>
      <c r="Y1762" s="3" t="s">
        <v>2272</v>
      </c>
      <c r="Z1762" s="3" t="s">
        <v>2272</v>
      </c>
      <c r="AA1762" s="3" t="s">
        <v>2272</v>
      </c>
      <c r="AB1762" s="3"/>
      <c r="AC1762" s="3"/>
    </row>
    <row r="1763" spans="1:29" ht="35.5" customHeight="1">
      <c r="A1763" s="151" t="str">
        <f>'Reported burning'!A1763</f>
        <v>209c</v>
      </c>
      <c r="B1763" s="151" t="str">
        <f>'Reported burning'!B1763</f>
        <v>209c.5</v>
      </c>
      <c r="C1763" s="151" t="str">
        <f>'Reported burning'!C1763</f>
        <v>Human, deliberate</v>
      </c>
      <c r="D1763" s="151" t="str">
        <f>'Reported burning'!D1763</f>
        <v>Arson</v>
      </c>
      <c r="E1763" s="151" t="str">
        <f>'Reported burning'!E1763</f>
        <v>ND</v>
      </c>
      <c r="F1763" s="151" t="str">
        <f>'Reported burning'!F1763</f>
        <v>ND</v>
      </c>
      <c r="G1763" s="151" t="str">
        <f>'Reported burning'!G1763</f>
        <v>Forest</v>
      </c>
      <c r="H1763" s="151" t="str">
        <f>'Reported burning'!H1763</f>
        <v>Presence</v>
      </c>
      <c r="I1763" s="5"/>
      <c r="J1763" s="3" t="s">
        <v>2272</v>
      </c>
      <c r="K1763" s="198" t="s">
        <v>2272</v>
      </c>
      <c r="L1763" s="3" t="s">
        <v>2272</v>
      </c>
      <c r="M1763" s="3" t="s">
        <v>2272</v>
      </c>
      <c r="N1763" s="3" t="s">
        <v>2272</v>
      </c>
      <c r="O1763" s="3" t="s">
        <v>2272</v>
      </c>
      <c r="P1763" s="3" t="s">
        <v>2272</v>
      </c>
      <c r="Q1763" s="3" t="s">
        <v>2272</v>
      </c>
      <c r="R1763" s="3" t="s">
        <v>2272</v>
      </c>
      <c r="S1763" s="3" t="s">
        <v>2272</v>
      </c>
      <c r="T1763" s="3" t="s">
        <v>2272</v>
      </c>
      <c r="U1763" s="3" t="s">
        <v>2272</v>
      </c>
      <c r="V1763" s="3" t="s">
        <v>2272</v>
      </c>
      <c r="W1763" s="3" t="s">
        <v>2272</v>
      </c>
      <c r="X1763" s="3" t="s">
        <v>2272</v>
      </c>
      <c r="Y1763" s="3" t="s">
        <v>2272</v>
      </c>
      <c r="Z1763" s="3" t="s">
        <v>2272</v>
      </c>
      <c r="AA1763" s="3" t="s">
        <v>2272</v>
      </c>
      <c r="AB1763" s="3"/>
      <c r="AC1763" s="3"/>
    </row>
    <row r="1764" spans="1:29" ht="35.5" customHeight="1">
      <c r="A1764" s="151" t="str">
        <f>'Reported burning'!A1764</f>
        <v>209c</v>
      </c>
      <c r="B1764" s="151" t="str">
        <f>'Reported burning'!B1764</f>
        <v>209c.6</v>
      </c>
      <c r="C1764" s="151" t="str">
        <f>'Reported burning'!C1764</f>
        <v>Human, deliberate</v>
      </c>
      <c r="D1764" s="151" t="str">
        <f>'Reported burning'!D1764</f>
        <v>Crop field preparation</v>
      </c>
      <c r="E1764" s="151" t="str">
        <f>'Reported burning'!E1764</f>
        <v>Cropping, Swidden</v>
      </c>
      <c r="F1764" s="151" t="str">
        <f>'Reported burning'!F1764</f>
        <v>Forest</v>
      </c>
      <c r="G1764" s="151" t="str">
        <f>'Reported burning'!G1764</f>
        <v>ND</v>
      </c>
      <c r="H1764" s="151" t="str">
        <f>'Reported burning'!H1764</f>
        <v>Presence</v>
      </c>
      <c r="I1764" s="5"/>
      <c r="J1764" s="3" t="s">
        <v>2272</v>
      </c>
      <c r="K1764" s="198" t="s">
        <v>2272</v>
      </c>
      <c r="L1764" s="3" t="s">
        <v>2272</v>
      </c>
      <c r="M1764" s="3" t="s">
        <v>2272</v>
      </c>
      <c r="N1764" s="3" t="s">
        <v>2272</v>
      </c>
      <c r="O1764" s="3" t="s">
        <v>2272</v>
      </c>
      <c r="P1764" s="3" t="s">
        <v>2272</v>
      </c>
      <c r="Q1764" s="3" t="s">
        <v>2272</v>
      </c>
      <c r="R1764" s="3" t="s">
        <v>2272</v>
      </c>
      <c r="S1764" s="3" t="s">
        <v>2272</v>
      </c>
      <c r="T1764" s="3" t="s">
        <v>2272</v>
      </c>
      <c r="U1764" s="3" t="s">
        <v>2272</v>
      </c>
      <c r="V1764" s="3" t="s">
        <v>2272</v>
      </c>
      <c r="W1764" s="3" t="s">
        <v>2272</v>
      </c>
      <c r="X1764" s="3" t="s">
        <v>2272</v>
      </c>
      <c r="Y1764" s="3" t="s">
        <v>2272</v>
      </c>
      <c r="Z1764" s="3" t="s">
        <v>2272</v>
      </c>
      <c r="AA1764" s="3" t="s">
        <v>2272</v>
      </c>
      <c r="AB1764" s="3"/>
      <c r="AC1764" s="3"/>
    </row>
    <row r="1765" spans="1:29" ht="35.5" customHeight="1">
      <c r="A1765" s="151" t="str">
        <f>'Reported burning'!A1765</f>
        <v>209c</v>
      </c>
      <c r="B1765" s="151" t="str">
        <f>'Reported burning'!B1765</f>
        <v>209c.7</v>
      </c>
      <c r="C1765" s="151" t="str">
        <f>'Reported burning'!C1765</f>
        <v>Human, escaped</v>
      </c>
      <c r="D1765" s="151" t="str">
        <f>'Reported burning'!D1765</f>
        <v>Charcoal production</v>
      </c>
      <c r="E1765" s="151" t="str">
        <f>'Reported burning'!E1765</f>
        <v>ND</v>
      </c>
      <c r="F1765" s="151" t="str">
        <f>'Reported burning'!F1765</f>
        <v>ND</v>
      </c>
      <c r="G1765" s="151" t="str">
        <f>'Reported burning'!G1765</f>
        <v>Forest</v>
      </c>
      <c r="H1765" s="151" t="str">
        <f>'Reported burning'!H1765</f>
        <v>Presence</v>
      </c>
      <c r="I1765" s="5"/>
      <c r="J1765" s="3" t="s">
        <v>2272</v>
      </c>
      <c r="K1765" s="198" t="s">
        <v>2272</v>
      </c>
      <c r="L1765" s="3" t="s">
        <v>2272</v>
      </c>
      <c r="M1765" s="3" t="s">
        <v>2272</v>
      </c>
      <c r="N1765" s="3" t="s">
        <v>2272</v>
      </c>
      <c r="O1765" s="3" t="s">
        <v>2272</v>
      </c>
      <c r="P1765" s="3" t="s">
        <v>2272</v>
      </c>
      <c r="Q1765" s="3" t="s">
        <v>2272</v>
      </c>
      <c r="R1765" s="3" t="s">
        <v>2272</v>
      </c>
      <c r="S1765" s="3" t="s">
        <v>2272</v>
      </c>
      <c r="T1765" s="3" t="s">
        <v>2272</v>
      </c>
      <c r="U1765" s="3" t="s">
        <v>2272</v>
      </c>
      <c r="V1765" s="3" t="s">
        <v>2272</v>
      </c>
      <c r="W1765" s="3" t="s">
        <v>2272</v>
      </c>
      <c r="X1765" s="3" t="s">
        <v>2272</v>
      </c>
      <c r="Y1765" s="3" t="s">
        <v>2272</v>
      </c>
      <c r="Z1765" s="3" t="s">
        <v>2272</v>
      </c>
      <c r="AA1765" s="3" t="s">
        <v>2272</v>
      </c>
      <c r="AB1765" s="3"/>
      <c r="AC1765" s="3"/>
    </row>
    <row r="1766" spans="1:29" ht="35.5" customHeight="1">
      <c r="A1766" s="151" t="str">
        <f>'Reported burning'!A1766</f>
        <v>209c</v>
      </c>
      <c r="B1766" s="151" t="str">
        <f>'Reported burning'!B1766</f>
        <v>209c.8</v>
      </c>
      <c r="C1766" s="151" t="str">
        <f>'Reported burning'!C1766</f>
        <v>Human, accidental</v>
      </c>
      <c r="D1766" s="151" t="str">
        <f>'Reported burning'!D1766</f>
        <v>ND</v>
      </c>
      <c r="E1766" s="151" t="str">
        <f>'Reported burning'!E1766</f>
        <v>All</v>
      </c>
      <c r="F1766" s="151" t="str">
        <f>'Reported burning'!F1766</f>
        <v>ND</v>
      </c>
      <c r="G1766" s="151" t="str">
        <f>'Reported burning'!G1766</f>
        <v>Forest</v>
      </c>
      <c r="H1766" s="151" t="str">
        <f>'Reported burning'!H1766</f>
        <v>Presence</v>
      </c>
      <c r="I1766" s="5"/>
      <c r="J1766" s="3" t="s">
        <v>2272</v>
      </c>
      <c r="K1766" s="198" t="s">
        <v>2272</v>
      </c>
      <c r="L1766" s="3" t="s">
        <v>2272</v>
      </c>
      <c r="M1766" s="3" t="s">
        <v>2272</v>
      </c>
      <c r="N1766" s="3" t="s">
        <v>2272</v>
      </c>
      <c r="O1766" s="3" t="s">
        <v>2272</v>
      </c>
      <c r="P1766" s="3" t="s">
        <v>2272</v>
      </c>
      <c r="Q1766" s="3" t="s">
        <v>2272</v>
      </c>
      <c r="R1766" s="3" t="s">
        <v>2272</v>
      </c>
      <c r="S1766" s="3" t="s">
        <v>2272</v>
      </c>
      <c r="T1766" s="3" t="s">
        <v>2272</v>
      </c>
      <c r="U1766" s="3" t="s">
        <v>2272</v>
      </c>
      <c r="V1766" s="3" t="s">
        <v>2272</v>
      </c>
      <c r="W1766" s="3" t="s">
        <v>2272</v>
      </c>
      <c r="X1766" s="3" t="s">
        <v>2272</v>
      </c>
      <c r="Y1766" s="3" t="s">
        <v>2272</v>
      </c>
      <c r="Z1766" s="3" t="s">
        <v>2272</v>
      </c>
      <c r="AA1766" s="3" t="s">
        <v>2272</v>
      </c>
      <c r="AB1766" s="3"/>
      <c r="AC1766" s="3"/>
    </row>
    <row r="1767" spans="1:29" ht="35.5" customHeight="1">
      <c r="A1767" s="151" t="str">
        <f>'Reported burning'!A1767</f>
        <v>209c</v>
      </c>
      <c r="B1767" s="151" t="str">
        <f>'Reported burning'!B1767</f>
        <v>209c.9</v>
      </c>
      <c r="C1767" s="151" t="str">
        <f>'Reported burning'!C1767</f>
        <v>Human, escaped</v>
      </c>
      <c r="D1767" s="151" t="str">
        <f>'Reported burning'!D1767</f>
        <v>Cultural &amp; Spiritual</v>
      </c>
      <c r="E1767" s="151" t="str">
        <f>'Reported burning'!E1767</f>
        <v>All</v>
      </c>
      <c r="F1767" s="151" t="str">
        <f>'Reported burning'!F1767</f>
        <v>ND</v>
      </c>
      <c r="G1767" s="151" t="str">
        <f>'Reported burning'!G1767</f>
        <v>Forest</v>
      </c>
      <c r="H1767" s="151" t="str">
        <f>'Reported burning'!H1767</f>
        <v>Presence</v>
      </c>
      <c r="I1767" s="5"/>
      <c r="J1767" s="3" t="s">
        <v>2272</v>
      </c>
      <c r="K1767" s="198" t="s">
        <v>2272</v>
      </c>
      <c r="L1767" s="3" t="s">
        <v>2272</v>
      </c>
      <c r="M1767" s="3" t="s">
        <v>2272</v>
      </c>
      <c r="N1767" s="3" t="s">
        <v>2272</v>
      </c>
      <c r="O1767" s="3" t="s">
        <v>2272</v>
      </c>
      <c r="P1767" s="3" t="s">
        <v>2272</v>
      </c>
      <c r="Q1767" s="3" t="s">
        <v>2272</v>
      </c>
      <c r="R1767" s="3" t="s">
        <v>2272</v>
      </c>
      <c r="S1767" s="3" t="s">
        <v>2272</v>
      </c>
      <c r="T1767" s="3" t="s">
        <v>2272</v>
      </c>
      <c r="U1767" s="3" t="s">
        <v>2272</v>
      </c>
      <c r="V1767" s="3" t="s">
        <v>2272</v>
      </c>
      <c r="W1767" s="3" t="s">
        <v>2272</v>
      </c>
      <c r="X1767" s="3" t="s">
        <v>2272</v>
      </c>
      <c r="Y1767" s="3" t="s">
        <v>2272</v>
      </c>
      <c r="Z1767" s="3" t="s">
        <v>2272</v>
      </c>
      <c r="AA1767" s="3" t="s">
        <v>2272</v>
      </c>
      <c r="AB1767" s="3"/>
      <c r="AC1767" s="3"/>
    </row>
    <row r="1768" spans="1:29" ht="35.5" customHeight="1">
      <c r="A1768" s="151" t="str">
        <f>'Reported burning'!A1768</f>
        <v>209c</v>
      </c>
      <c r="B1768" s="151" t="str">
        <f>'Reported burning'!B1768</f>
        <v>209c.10</v>
      </c>
      <c r="C1768" s="151" t="str">
        <f>'Reported burning'!C1768</f>
        <v>Human, escaped</v>
      </c>
      <c r="D1768" s="151" t="str">
        <f>'Reported burning'!D1768</f>
        <v>Domestic</v>
      </c>
      <c r="E1768" s="151" t="str">
        <f>'Reported burning'!E1768</f>
        <v>All</v>
      </c>
      <c r="F1768" s="151" t="str">
        <f>'Reported burning'!F1768</f>
        <v>ND</v>
      </c>
      <c r="G1768" s="151" t="str">
        <f>'Reported burning'!G1768</f>
        <v>Forest</v>
      </c>
      <c r="H1768" s="151" t="str">
        <f>'Reported burning'!H1768</f>
        <v>Presence</v>
      </c>
      <c r="I1768" s="5"/>
      <c r="J1768" s="3" t="s">
        <v>2272</v>
      </c>
      <c r="K1768" s="198" t="s">
        <v>2272</v>
      </c>
      <c r="L1768" s="3" t="s">
        <v>2272</v>
      </c>
      <c r="M1768" s="3" t="s">
        <v>2272</v>
      </c>
      <c r="N1768" s="3" t="s">
        <v>2272</v>
      </c>
      <c r="O1768" s="3" t="s">
        <v>2272</v>
      </c>
      <c r="P1768" s="3" t="s">
        <v>2272</v>
      </c>
      <c r="Q1768" s="3" t="s">
        <v>2272</v>
      </c>
      <c r="R1768" s="3" t="s">
        <v>2272</v>
      </c>
      <c r="S1768" s="3" t="s">
        <v>2272</v>
      </c>
      <c r="T1768" s="3" t="s">
        <v>2272</v>
      </c>
      <c r="U1768" s="3" t="s">
        <v>2272</v>
      </c>
      <c r="V1768" s="3" t="s">
        <v>2272</v>
      </c>
      <c r="W1768" s="3" t="s">
        <v>2272</v>
      </c>
      <c r="X1768" s="3" t="s">
        <v>2272</v>
      </c>
      <c r="Y1768" s="3" t="s">
        <v>2272</v>
      </c>
      <c r="Z1768" s="3" t="s">
        <v>2272</v>
      </c>
      <c r="AA1768" s="3" t="s">
        <v>2272</v>
      </c>
      <c r="AB1768" s="3"/>
      <c r="AC1768" s="3"/>
    </row>
    <row r="1769" spans="1:29" ht="35.5" customHeight="1">
      <c r="A1769" s="151" t="str">
        <f>'Reported burning'!A1769</f>
        <v>209d</v>
      </c>
      <c r="B1769" s="151" t="str">
        <f>'Reported burning'!B1769</f>
        <v>209d.1</v>
      </c>
      <c r="C1769" s="151" t="str">
        <f>'Reported burning'!C1769</f>
        <v>Human, deliberate</v>
      </c>
      <c r="D1769" s="151" t="str">
        <f>'Reported burning'!D1769</f>
        <v>Pasture renewal</v>
      </c>
      <c r="E1769" s="151" t="str">
        <f>'Reported burning'!E1769</f>
        <v>Pastoralism, Migratory</v>
      </c>
      <c r="F1769" s="151" t="str">
        <f>'Reported burning'!F1769</f>
        <v>Forest</v>
      </c>
      <c r="G1769" s="151" t="str">
        <f>'Reported burning'!G1769</f>
        <v>Forest</v>
      </c>
      <c r="H1769" s="151" t="str">
        <f>'Reported burning'!H1769</f>
        <v>Presence</v>
      </c>
      <c r="I1769" s="5"/>
      <c r="J1769" s="3" t="s">
        <v>2272</v>
      </c>
      <c r="K1769" s="198" t="s">
        <v>2272</v>
      </c>
      <c r="L1769" s="3" t="s">
        <v>2272</v>
      </c>
      <c r="M1769" s="3" t="s">
        <v>2272</v>
      </c>
      <c r="N1769" s="3" t="s">
        <v>2272</v>
      </c>
      <c r="O1769" s="3" t="s">
        <v>2272</v>
      </c>
      <c r="P1769" s="3" t="s">
        <v>2272</v>
      </c>
      <c r="Q1769" s="21" t="s">
        <v>2371</v>
      </c>
      <c r="R1769" s="3" t="s">
        <v>2272</v>
      </c>
      <c r="S1769" s="21" t="s">
        <v>2369</v>
      </c>
      <c r="T1769" s="3" t="s">
        <v>2272</v>
      </c>
      <c r="U1769" s="3" t="s">
        <v>2272</v>
      </c>
      <c r="V1769" s="3" t="s">
        <v>2272</v>
      </c>
      <c r="W1769" s="3" t="s">
        <v>2272</v>
      </c>
      <c r="X1769" s="3" t="s">
        <v>2272</v>
      </c>
      <c r="Y1769" s="3" t="s">
        <v>2272</v>
      </c>
      <c r="Z1769" s="3" t="s">
        <v>2272</v>
      </c>
      <c r="AA1769" s="3" t="s">
        <v>2272</v>
      </c>
      <c r="AB1769" s="3"/>
      <c r="AC1769" s="4" t="s">
        <v>5330</v>
      </c>
    </row>
    <row r="1770" spans="1:29" ht="35.5" customHeight="1">
      <c r="A1770" s="151" t="str">
        <f>'Reported burning'!A1770</f>
        <v>209d</v>
      </c>
      <c r="B1770" s="151" t="str">
        <f>'Reported burning'!B1770</f>
        <v>209d.2</v>
      </c>
      <c r="C1770" s="151" t="str">
        <f>'Reported burning'!C1770</f>
        <v>Human, deliberate</v>
      </c>
      <c r="D1770" s="151" t="str">
        <f>'Reported burning'!D1770</f>
        <v>Harvesting of NTFP</v>
      </c>
      <c r="E1770" s="151" t="str">
        <f>'Reported burning'!E1770</f>
        <v>Forestry, Traditional</v>
      </c>
      <c r="F1770" s="151" t="str">
        <f>'Reported burning'!F1770</f>
        <v>Forest</v>
      </c>
      <c r="G1770" s="151" t="str">
        <f>'Reported burning'!G1770</f>
        <v>Forest</v>
      </c>
      <c r="H1770" s="151" t="str">
        <f>'Reported burning'!H1770</f>
        <v>Presence</v>
      </c>
      <c r="I1770" s="5"/>
      <c r="J1770" s="3" t="s">
        <v>2272</v>
      </c>
      <c r="K1770" s="198" t="s">
        <v>2272</v>
      </c>
      <c r="L1770" s="3" t="s">
        <v>2272</v>
      </c>
      <c r="M1770" s="3" t="s">
        <v>2272</v>
      </c>
      <c r="N1770" s="3" t="s">
        <v>2272</v>
      </c>
      <c r="O1770" s="3" t="s">
        <v>2272</v>
      </c>
      <c r="P1770" s="3" t="s">
        <v>2272</v>
      </c>
      <c r="Q1770" s="3" t="s">
        <v>2272</v>
      </c>
      <c r="R1770" s="3" t="s">
        <v>2272</v>
      </c>
      <c r="S1770" s="3" t="s">
        <v>2272</v>
      </c>
      <c r="T1770" s="3" t="s">
        <v>2272</v>
      </c>
      <c r="U1770" s="3" t="s">
        <v>2272</v>
      </c>
      <c r="V1770" s="3" t="s">
        <v>2272</v>
      </c>
      <c r="W1770" s="3" t="s">
        <v>2272</v>
      </c>
      <c r="X1770" s="3" t="s">
        <v>2272</v>
      </c>
      <c r="Y1770" s="3" t="s">
        <v>2272</v>
      </c>
      <c r="Z1770" s="3" t="s">
        <v>2272</v>
      </c>
      <c r="AA1770" s="3" t="s">
        <v>2272</v>
      </c>
      <c r="AB1770" s="3"/>
      <c r="AC1770" s="3"/>
    </row>
    <row r="1771" spans="1:29" ht="35.5" customHeight="1">
      <c r="A1771" s="151" t="str">
        <f>'Reported burning'!A1771</f>
        <v>209d</v>
      </c>
      <c r="B1771" s="151" t="str">
        <f>'Reported burning'!B1771</f>
        <v>209d.3</v>
      </c>
      <c r="C1771" s="151" t="str">
        <f>'Reported burning'!C1771</f>
        <v>Human, deliberate</v>
      </c>
      <c r="D1771" s="151" t="str">
        <f>'Reported burning'!D1771</f>
        <v>Hunting</v>
      </c>
      <c r="E1771" s="151" t="str">
        <f>'Reported burning'!E1771</f>
        <v>Forestry, Traditional</v>
      </c>
      <c r="F1771" s="151" t="str">
        <f>'Reported burning'!F1771</f>
        <v>Forest</v>
      </c>
      <c r="G1771" s="151" t="str">
        <f>'Reported burning'!G1771</f>
        <v>Forest</v>
      </c>
      <c r="H1771" s="151" t="str">
        <f>'Reported burning'!H1771</f>
        <v>Presence</v>
      </c>
      <c r="I1771" s="5"/>
      <c r="J1771" s="3" t="s">
        <v>2272</v>
      </c>
      <c r="K1771" s="198" t="s">
        <v>2272</v>
      </c>
      <c r="L1771" s="3" t="s">
        <v>2272</v>
      </c>
      <c r="M1771" s="3" t="s">
        <v>2272</v>
      </c>
      <c r="N1771" s="3" t="s">
        <v>2272</v>
      </c>
      <c r="O1771" s="3" t="s">
        <v>2272</v>
      </c>
      <c r="P1771" s="3" t="s">
        <v>2272</v>
      </c>
      <c r="Q1771" s="3" t="s">
        <v>2272</v>
      </c>
      <c r="R1771" s="3" t="s">
        <v>2272</v>
      </c>
      <c r="S1771" s="3" t="s">
        <v>2272</v>
      </c>
      <c r="T1771" s="3" t="s">
        <v>2272</v>
      </c>
      <c r="U1771" s="3" t="s">
        <v>2272</v>
      </c>
      <c r="V1771" s="3" t="s">
        <v>2272</v>
      </c>
      <c r="W1771" s="3" t="s">
        <v>2272</v>
      </c>
      <c r="X1771" s="3" t="s">
        <v>2272</v>
      </c>
      <c r="Y1771" s="3" t="s">
        <v>2272</v>
      </c>
      <c r="Z1771" s="3" t="s">
        <v>2272</v>
      </c>
      <c r="AA1771" s="3" t="s">
        <v>2272</v>
      </c>
      <c r="AB1771" s="3"/>
      <c r="AC1771" s="3"/>
    </row>
    <row r="1772" spans="1:29" ht="35.5" customHeight="1">
      <c r="A1772" s="151" t="str">
        <f>'Reported burning'!A1772</f>
        <v>209d</v>
      </c>
      <c r="B1772" s="151" t="str">
        <f>'Reported burning'!B1772</f>
        <v>209d.4</v>
      </c>
      <c r="C1772" s="151" t="str">
        <f>'Reported burning'!C1772</f>
        <v>Human, deliberate</v>
      </c>
      <c r="D1772" s="151" t="str">
        <f>'Reported burning'!D1772</f>
        <v>Harvesting of Timber</v>
      </c>
      <c r="E1772" s="151" t="str">
        <f>'Reported burning'!E1772</f>
        <v>Forestry, Small-scale</v>
      </c>
      <c r="F1772" s="151" t="str">
        <f>'Reported burning'!F1772</f>
        <v>Forest</v>
      </c>
      <c r="G1772" s="151" t="str">
        <f>'Reported burning'!G1772</f>
        <v>Forest</v>
      </c>
      <c r="H1772" s="151" t="str">
        <f>'Reported burning'!H1772</f>
        <v>Presence</v>
      </c>
      <c r="I1772" s="5"/>
      <c r="J1772" s="3" t="s">
        <v>2272</v>
      </c>
      <c r="K1772" s="198" t="s">
        <v>2272</v>
      </c>
      <c r="L1772" s="3" t="s">
        <v>2272</v>
      </c>
      <c r="M1772" s="3" t="s">
        <v>2272</v>
      </c>
      <c r="N1772" s="3" t="s">
        <v>2272</v>
      </c>
      <c r="O1772" s="3" t="s">
        <v>2272</v>
      </c>
      <c r="P1772" s="3" t="s">
        <v>2272</v>
      </c>
      <c r="Q1772" s="3" t="s">
        <v>2272</v>
      </c>
      <c r="R1772" s="3" t="s">
        <v>2272</v>
      </c>
      <c r="S1772" s="3" t="s">
        <v>2272</v>
      </c>
      <c r="T1772" s="3" t="s">
        <v>2272</v>
      </c>
      <c r="U1772" s="3" t="s">
        <v>2272</v>
      </c>
      <c r="V1772" s="3" t="s">
        <v>2272</v>
      </c>
      <c r="W1772" s="3" t="s">
        <v>2272</v>
      </c>
      <c r="X1772" s="3" t="s">
        <v>2272</v>
      </c>
      <c r="Y1772" s="3" t="s">
        <v>2272</v>
      </c>
      <c r="Z1772" s="3" t="s">
        <v>2272</v>
      </c>
      <c r="AA1772" s="3" t="s">
        <v>2272</v>
      </c>
      <c r="AB1772" s="3"/>
      <c r="AC1772" s="3"/>
    </row>
    <row r="1773" spans="1:29" ht="35.5" customHeight="1">
      <c r="A1773" s="151" t="str">
        <f>'Reported burning'!A1773</f>
        <v>209d</v>
      </c>
      <c r="B1773" s="151" t="str">
        <f>'Reported burning'!B1773</f>
        <v>209d.5</v>
      </c>
      <c r="C1773" s="151" t="str">
        <f>'Reported burning'!C1773</f>
        <v>Human, deliberate</v>
      </c>
      <c r="D1773" s="151" t="str">
        <f>'Reported burning'!D1773</f>
        <v>Arson</v>
      </c>
      <c r="E1773" s="151" t="str">
        <f>'Reported burning'!E1773</f>
        <v>ND</v>
      </c>
      <c r="F1773" s="151" t="str">
        <f>'Reported burning'!F1773</f>
        <v>ND</v>
      </c>
      <c r="G1773" s="151" t="str">
        <f>'Reported burning'!G1773</f>
        <v>Forest</v>
      </c>
      <c r="H1773" s="151" t="str">
        <f>'Reported burning'!H1773</f>
        <v>Presence</v>
      </c>
      <c r="I1773" s="5"/>
      <c r="J1773" s="3" t="s">
        <v>2272</v>
      </c>
      <c r="K1773" s="198" t="s">
        <v>2272</v>
      </c>
      <c r="L1773" s="3" t="s">
        <v>2272</v>
      </c>
      <c r="M1773" s="3" t="s">
        <v>2272</v>
      </c>
      <c r="N1773" s="3" t="s">
        <v>2272</v>
      </c>
      <c r="O1773" s="3" t="s">
        <v>2272</v>
      </c>
      <c r="P1773" s="3" t="s">
        <v>2272</v>
      </c>
      <c r="Q1773" s="3" t="s">
        <v>2272</v>
      </c>
      <c r="R1773" s="3" t="s">
        <v>2272</v>
      </c>
      <c r="S1773" s="3" t="s">
        <v>2272</v>
      </c>
      <c r="T1773" s="3" t="s">
        <v>2272</v>
      </c>
      <c r="U1773" s="3" t="s">
        <v>2272</v>
      </c>
      <c r="V1773" s="3" t="s">
        <v>2272</v>
      </c>
      <c r="W1773" s="3" t="s">
        <v>2272</v>
      </c>
      <c r="X1773" s="3" t="s">
        <v>2272</v>
      </c>
      <c r="Y1773" s="3" t="s">
        <v>2272</v>
      </c>
      <c r="Z1773" s="3" t="s">
        <v>2272</v>
      </c>
      <c r="AA1773" s="3" t="s">
        <v>2272</v>
      </c>
      <c r="AB1773" s="3"/>
      <c r="AC1773" s="3"/>
    </row>
    <row r="1774" spans="1:29" ht="35.5" customHeight="1">
      <c r="A1774" s="151" t="str">
        <f>'Reported burning'!A1774</f>
        <v>209d</v>
      </c>
      <c r="B1774" s="151" t="str">
        <f>'Reported burning'!B1774</f>
        <v>209d.6</v>
      </c>
      <c r="C1774" s="151" t="str">
        <f>'Reported burning'!C1774</f>
        <v>Human, deliberate</v>
      </c>
      <c r="D1774" s="151" t="str">
        <f>'Reported burning'!D1774</f>
        <v>Crop field preparation</v>
      </c>
      <c r="E1774" s="151" t="str">
        <f>'Reported burning'!E1774</f>
        <v>Cropping, Swidden</v>
      </c>
      <c r="F1774" s="151" t="str">
        <f>'Reported burning'!F1774</f>
        <v>Forest</v>
      </c>
      <c r="G1774" s="151" t="str">
        <f>'Reported burning'!G1774</f>
        <v>ND</v>
      </c>
      <c r="H1774" s="151" t="str">
        <f>'Reported burning'!H1774</f>
        <v>Presence</v>
      </c>
      <c r="I1774" s="5"/>
      <c r="J1774" s="3" t="s">
        <v>2272</v>
      </c>
      <c r="K1774" s="198" t="s">
        <v>2272</v>
      </c>
      <c r="L1774" s="3" t="s">
        <v>2272</v>
      </c>
      <c r="M1774" s="3" t="s">
        <v>2272</v>
      </c>
      <c r="N1774" s="3" t="s">
        <v>2272</v>
      </c>
      <c r="O1774" s="3" t="s">
        <v>2272</v>
      </c>
      <c r="P1774" s="3" t="s">
        <v>2272</v>
      </c>
      <c r="Q1774" s="3" t="s">
        <v>2272</v>
      </c>
      <c r="R1774" s="3" t="s">
        <v>2272</v>
      </c>
      <c r="S1774" s="3" t="s">
        <v>2272</v>
      </c>
      <c r="T1774" s="3" t="s">
        <v>2272</v>
      </c>
      <c r="U1774" s="3" t="s">
        <v>2272</v>
      </c>
      <c r="V1774" s="3" t="s">
        <v>2272</v>
      </c>
      <c r="W1774" s="3" t="s">
        <v>2272</v>
      </c>
      <c r="X1774" s="3" t="s">
        <v>2272</v>
      </c>
      <c r="Y1774" s="3" t="s">
        <v>2272</v>
      </c>
      <c r="Z1774" s="3" t="s">
        <v>2272</v>
      </c>
      <c r="AA1774" s="3" t="s">
        <v>2272</v>
      </c>
      <c r="AB1774" s="3"/>
      <c r="AC1774" s="3"/>
    </row>
    <row r="1775" spans="1:29" ht="35.5" customHeight="1">
      <c r="A1775" s="151" t="str">
        <f>'Reported burning'!A1775</f>
        <v>209d</v>
      </c>
      <c r="B1775" s="151" t="str">
        <f>'Reported burning'!B1775</f>
        <v>209d.7</v>
      </c>
      <c r="C1775" s="151" t="str">
        <f>'Reported burning'!C1775</f>
        <v>Human, escaped</v>
      </c>
      <c r="D1775" s="151" t="str">
        <f>'Reported burning'!D1775</f>
        <v>Charcoal production</v>
      </c>
      <c r="E1775" s="151" t="str">
        <f>'Reported burning'!E1775</f>
        <v>ND</v>
      </c>
      <c r="F1775" s="151" t="str">
        <f>'Reported burning'!F1775</f>
        <v>ND</v>
      </c>
      <c r="G1775" s="151" t="str">
        <f>'Reported burning'!G1775</f>
        <v>Forest</v>
      </c>
      <c r="H1775" s="151" t="str">
        <f>'Reported burning'!H1775</f>
        <v>Presence</v>
      </c>
      <c r="I1775" s="5"/>
      <c r="J1775" s="3" t="s">
        <v>2272</v>
      </c>
      <c r="K1775" s="198" t="s">
        <v>2272</v>
      </c>
      <c r="L1775" s="3" t="s">
        <v>2272</v>
      </c>
      <c r="M1775" s="3" t="s">
        <v>2272</v>
      </c>
      <c r="N1775" s="3" t="s">
        <v>2272</v>
      </c>
      <c r="O1775" s="3" t="s">
        <v>2272</v>
      </c>
      <c r="P1775" s="3" t="s">
        <v>2272</v>
      </c>
      <c r="Q1775" s="3" t="s">
        <v>2272</v>
      </c>
      <c r="R1775" s="3" t="s">
        <v>2272</v>
      </c>
      <c r="S1775" s="3" t="s">
        <v>2272</v>
      </c>
      <c r="T1775" s="3" t="s">
        <v>2272</v>
      </c>
      <c r="U1775" s="3" t="s">
        <v>2272</v>
      </c>
      <c r="V1775" s="3" t="s">
        <v>2272</v>
      </c>
      <c r="W1775" s="3" t="s">
        <v>2272</v>
      </c>
      <c r="X1775" s="3" t="s">
        <v>2272</v>
      </c>
      <c r="Y1775" s="3" t="s">
        <v>2272</v>
      </c>
      <c r="Z1775" s="3" t="s">
        <v>2272</v>
      </c>
      <c r="AA1775" s="3" t="s">
        <v>2272</v>
      </c>
      <c r="AB1775" s="3"/>
      <c r="AC1775" s="3"/>
    </row>
    <row r="1776" spans="1:29" ht="35.5" customHeight="1">
      <c r="A1776" s="151" t="str">
        <f>'Reported burning'!A1776</f>
        <v>209d</v>
      </c>
      <c r="B1776" s="151" t="str">
        <f>'Reported burning'!B1776</f>
        <v>209d.8</v>
      </c>
      <c r="C1776" s="151" t="str">
        <f>'Reported burning'!C1776</f>
        <v>Human, accidental</v>
      </c>
      <c r="D1776" s="151" t="str">
        <f>'Reported burning'!D1776</f>
        <v>ND</v>
      </c>
      <c r="E1776" s="151" t="str">
        <f>'Reported burning'!E1776</f>
        <v>All</v>
      </c>
      <c r="F1776" s="151" t="str">
        <f>'Reported burning'!F1776</f>
        <v>ND</v>
      </c>
      <c r="G1776" s="151" t="str">
        <f>'Reported burning'!G1776</f>
        <v>Forest</v>
      </c>
      <c r="H1776" s="151" t="str">
        <f>'Reported burning'!H1776</f>
        <v>Presence</v>
      </c>
      <c r="I1776" s="5"/>
      <c r="J1776" s="3" t="s">
        <v>2272</v>
      </c>
      <c r="K1776" s="198" t="s">
        <v>2272</v>
      </c>
      <c r="L1776" s="3" t="s">
        <v>2272</v>
      </c>
      <c r="M1776" s="3" t="s">
        <v>2272</v>
      </c>
      <c r="N1776" s="3" t="s">
        <v>2272</v>
      </c>
      <c r="O1776" s="3" t="s">
        <v>2272</v>
      </c>
      <c r="P1776" s="3" t="s">
        <v>2272</v>
      </c>
      <c r="Q1776" s="3" t="s">
        <v>2272</v>
      </c>
      <c r="R1776" s="3" t="s">
        <v>2272</v>
      </c>
      <c r="S1776" s="3" t="s">
        <v>2272</v>
      </c>
      <c r="T1776" s="3" t="s">
        <v>2272</v>
      </c>
      <c r="U1776" s="3" t="s">
        <v>2272</v>
      </c>
      <c r="V1776" s="3" t="s">
        <v>2272</v>
      </c>
      <c r="W1776" s="3" t="s">
        <v>2272</v>
      </c>
      <c r="X1776" s="3" t="s">
        <v>2272</v>
      </c>
      <c r="Y1776" s="3" t="s">
        <v>2272</v>
      </c>
      <c r="Z1776" s="3" t="s">
        <v>2272</v>
      </c>
      <c r="AA1776" s="3" t="s">
        <v>2272</v>
      </c>
      <c r="AB1776" s="3"/>
      <c r="AC1776" s="3"/>
    </row>
    <row r="1777" spans="1:29" ht="35.5" customHeight="1">
      <c r="A1777" s="151" t="str">
        <f>'Reported burning'!A1777</f>
        <v>209d</v>
      </c>
      <c r="B1777" s="151" t="str">
        <f>'Reported burning'!B1777</f>
        <v>209d.9</v>
      </c>
      <c r="C1777" s="151" t="str">
        <f>'Reported burning'!C1777</f>
        <v>Human, escaped</v>
      </c>
      <c r="D1777" s="151" t="str">
        <f>'Reported burning'!D1777</f>
        <v>Cultural &amp; Spiritual</v>
      </c>
      <c r="E1777" s="151" t="str">
        <f>'Reported burning'!E1777</f>
        <v>All</v>
      </c>
      <c r="F1777" s="151" t="str">
        <f>'Reported burning'!F1777</f>
        <v>ND</v>
      </c>
      <c r="G1777" s="151" t="str">
        <f>'Reported burning'!G1777</f>
        <v>Forest</v>
      </c>
      <c r="H1777" s="151" t="str">
        <f>'Reported burning'!H1777</f>
        <v>Presence</v>
      </c>
      <c r="I1777" s="5"/>
      <c r="J1777" s="3" t="s">
        <v>2272</v>
      </c>
      <c r="K1777" s="198" t="s">
        <v>2272</v>
      </c>
      <c r="L1777" s="3" t="s">
        <v>2272</v>
      </c>
      <c r="M1777" s="3" t="s">
        <v>2272</v>
      </c>
      <c r="N1777" s="3" t="s">
        <v>2272</v>
      </c>
      <c r="O1777" s="3" t="s">
        <v>2272</v>
      </c>
      <c r="P1777" s="3" t="s">
        <v>2272</v>
      </c>
      <c r="Q1777" s="3" t="s">
        <v>2272</v>
      </c>
      <c r="R1777" s="3" t="s">
        <v>2272</v>
      </c>
      <c r="S1777" s="3" t="s">
        <v>2272</v>
      </c>
      <c r="T1777" s="3" t="s">
        <v>2272</v>
      </c>
      <c r="U1777" s="3" t="s">
        <v>2272</v>
      </c>
      <c r="V1777" s="3" t="s">
        <v>2272</v>
      </c>
      <c r="W1777" s="3" t="s">
        <v>2272</v>
      </c>
      <c r="X1777" s="3" t="s">
        <v>2272</v>
      </c>
      <c r="Y1777" s="3" t="s">
        <v>2272</v>
      </c>
      <c r="Z1777" s="3" t="s">
        <v>2272</v>
      </c>
      <c r="AA1777" s="3" t="s">
        <v>2272</v>
      </c>
      <c r="AB1777" s="3"/>
      <c r="AC1777" s="3"/>
    </row>
    <row r="1778" spans="1:29" ht="35.5" customHeight="1">
      <c r="A1778" s="151" t="str">
        <f>'Reported burning'!A1778</f>
        <v>209d</v>
      </c>
      <c r="B1778" s="151" t="str">
        <f>'Reported burning'!B1778</f>
        <v>209d.10</v>
      </c>
      <c r="C1778" s="151" t="str">
        <f>'Reported burning'!C1778</f>
        <v>Human, escaped</v>
      </c>
      <c r="D1778" s="151" t="str">
        <f>'Reported burning'!D1778</f>
        <v>Domestic</v>
      </c>
      <c r="E1778" s="151" t="str">
        <f>'Reported burning'!E1778</f>
        <v>All</v>
      </c>
      <c r="F1778" s="151" t="str">
        <f>'Reported burning'!F1778</f>
        <v>ND</v>
      </c>
      <c r="G1778" s="151" t="str">
        <f>'Reported burning'!G1778</f>
        <v>Forest</v>
      </c>
      <c r="H1778" s="151" t="str">
        <f>'Reported burning'!H1778</f>
        <v>Presence</v>
      </c>
      <c r="I1778" s="5"/>
      <c r="J1778" s="3" t="s">
        <v>2272</v>
      </c>
      <c r="K1778" s="198" t="s">
        <v>2272</v>
      </c>
      <c r="L1778" s="3" t="s">
        <v>2272</v>
      </c>
      <c r="M1778" s="3" t="s">
        <v>2272</v>
      </c>
      <c r="N1778" s="3" t="s">
        <v>2272</v>
      </c>
      <c r="O1778" s="3" t="s">
        <v>2272</v>
      </c>
      <c r="P1778" s="3" t="s">
        <v>2272</v>
      </c>
      <c r="Q1778" s="3" t="s">
        <v>2272</v>
      </c>
      <c r="R1778" s="3" t="s">
        <v>2272</v>
      </c>
      <c r="S1778" s="3" t="s">
        <v>2272</v>
      </c>
      <c r="T1778" s="3" t="s">
        <v>2272</v>
      </c>
      <c r="U1778" s="3" t="s">
        <v>2272</v>
      </c>
      <c r="V1778" s="3" t="s">
        <v>2272</v>
      </c>
      <c r="W1778" s="3" t="s">
        <v>2272</v>
      </c>
      <c r="X1778" s="3" t="s">
        <v>2272</v>
      </c>
      <c r="Y1778" s="3" t="s">
        <v>2272</v>
      </c>
      <c r="Z1778" s="3" t="s">
        <v>2272</v>
      </c>
      <c r="AA1778" s="3" t="s">
        <v>2272</v>
      </c>
      <c r="AB1778" s="3"/>
      <c r="AC1778" s="3"/>
    </row>
    <row r="1779" spans="1:29" ht="35.5" customHeight="1">
      <c r="A1779" s="151" t="str">
        <f>'Reported burning'!A1779</f>
        <v>209e</v>
      </c>
      <c r="B1779" s="151" t="str">
        <f>'Reported burning'!B1779</f>
        <v>209e.1</v>
      </c>
      <c r="C1779" s="151" t="str">
        <f>'Reported burning'!C1779</f>
        <v>Human, deliberate</v>
      </c>
      <c r="D1779" s="151" t="str">
        <f>'Reported burning'!D1779</f>
        <v>Pasture renewal</v>
      </c>
      <c r="E1779" s="151" t="str">
        <f>'Reported burning'!E1779</f>
        <v>Pastoralism, Migratory</v>
      </c>
      <c r="F1779" s="151" t="str">
        <f>'Reported burning'!F1779</f>
        <v>Forest</v>
      </c>
      <c r="G1779" s="151" t="str">
        <f>'Reported burning'!G1779</f>
        <v>Forest</v>
      </c>
      <c r="H1779" s="151" t="str">
        <f>'Reported burning'!H1779</f>
        <v>Presence</v>
      </c>
      <c r="I1779" s="5"/>
      <c r="J1779" s="3" t="s">
        <v>2272</v>
      </c>
      <c r="K1779" s="198" t="s">
        <v>2272</v>
      </c>
      <c r="L1779" s="3" t="s">
        <v>2272</v>
      </c>
      <c r="M1779" s="3" t="s">
        <v>2272</v>
      </c>
      <c r="N1779" s="3" t="s">
        <v>2272</v>
      </c>
      <c r="O1779" s="3" t="s">
        <v>2272</v>
      </c>
      <c r="P1779" s="3" t="s">
        <v>2272</v>
      </c>
      <c r="Q1779" s="21" t="s">
        <v>2371</v>
      </c>
      <c r="R1779" s="3" t="s">
        <v>2272</v>
      </c>
      <c r="S1779" s="21" t="s">
        <v>2369</v>
      </c>
      <c r="T1779" s="3" t="s">
        <v>2272</v>
      </c>
      <c r="U1779" s="3" t="s">
        <v>2272</v>
      </c>
      <c r="V1779" s="3" t="s">
        <v>2272</v>
      </c>
      <c r="W1779" s="3" t="s">
        <v>2272</v>
      </c>
      <c r="X1779" s="3" t="s">
        <v>2272</v>
      </c>
      <c r="Y1779" s="3" t="s">
        <v>2272</v>
      </c>
      <c r="Z1779" s="3" t="s">
        <v>2272</v>
      </c>
      <c r="AA1779" s="3" t="s">
        <v>2272</v>
      </c>
      <c r="AB1779" s="3"/>
      <c r="AC1779" s="4" t="s">
        <v>5330</v>
      </c>
    </row>
    <row r="1780" spans="1:29" ht="35.5" customHeight="1">
      <c r="A1780" s="151" t="str">
        <f>'Reported burning'!A1780</f>
        <v>209e</v>
      </c>
      <c r="B1780" s="151" t="str">
        <f>'Reported burning'!B1780</f>
        <v>209e.2</v>
      </c>
      <c r="C1780" s="151" t="str">
        <f>'Reported burning'!C1780</f>
        <v>Human, deliberate</v>
      </c>
      <c r="D1780" s="151" t="str">
        <f>'Reported burning'!D1780</f>
        <v>Harvesting of NTFP</v>
      </c>
      <c r="E1780" s="151" t="str">
        <f>'Reported burning'!E1780</f>
        <v>Forestry, Traditional</v>
      </c>
      <c r="F1780" s="151" t="str">
        <f>'Reported burning'!F1780</f>
        <v>Forest</v>
      </c>
      <c r="G1780" s="151" t="str">
        <f>'Reported burning'!G1780</f>
        <v>Forest</v>
      </c>
      <c r="H1780" s="151" t="str">
        <f>'Reported burning'!H1780</f>
        <v>Presence</v>
      </c>
      <c r="I1780" s="5"/>
      <c r="J1780" s="3" t="s">
        <v>2272</v>
      </c>
      <c r="K1780" s="198" t="s">
        <v>2272</v>
      </c>
      <c r="L1780" s="3" t="s">
        <v>2272</v>
      </c>
      <c r="M1780" s="3" t="s">
        <v>2272</v>
      </c>
      <c r="N1780" s="3" t="s">
        <v>2272</v>
      </c>
      <c r="O1780" s="3" t="s">
        <v>2272</v>
      </c>
      <c r="P1780" s="3" t="s">
        <v>2272</v>
      </c>
      <c r="Q1780" s="3" t="s">
        <v>2272</v>
      </c>
      <c r="R1780" s="3" t="s">
        <v>2272</v>
      </c>
      <c r="S1780" s="3" t="s">
        <v>2272</v>
      </c>
      <c r="T1780" s="3" t="s">
        <v>2272</v>
      </c>
      <c r="U1780" s="3" t="s">
        <v>2272</v>
      </c>
      <c r="V1780" s="3" t="s">
        <v>2272</v>
      </c>
      <c r="W1780" s="3" t="s">
        <v>2272</v>
      </c>
      <c r="X1780" s="3" t="s">
        <v>2272</v>
      </c>
      <c r="Y1780" s="3" t="s">
        <v>2272</v>
      </c>
      <c r="Z1780" s="3" t="s">
        <v>2272</v>
      </c>
      <c r="AA1780" s="3" t="s">
        <v>2272</v>
      </c>
      <c r="AB1780" s="3"/>
      <c r="AC1780" s="3"/>
    </row>
    <row r="1781" spans="1:29" ht="35.5" customHeight="1">
      <c r="A1781" s="151" t="str">
        <f>'Reported burning'!A1781</f>
        <v>209e</v>
      </c>
      <c r="B1781" s="151" t="str">
        <f>'Reported burning'!B1781</f>
        <v>209e.3</v>
      </c>
      <c r="C1781" s="151" t="str">
        <f>'Reported burning'!C1781</f>
        <v>Human, deliberate</v>
      </c>
      <c r="D1781" s="151" t="str">
        <f>'Reported burning'!D1781</f>
        <v>Hunting</v>
      </c>
      <c r="E1781" s="151" t="str">
        <f>'Reported burning'!E1781</f>
        <v>Forestry, Traditional</v>
      </c>
      <c r="F1781" s="151" t="str">
        <f>'Reported burning'!F1781</f>
        <v>Forest</v>
      </c>
      <c r="G1781" s="151" t="str">
        <f>'Reported burning'!G1781</f>
        <v>Forest</v>
      </c>
      <c r="H1781" s="151" t="str">
        <f>'Reported burning'!H1781</f>
        <v>Presence</v>
      </c>
      <c r="I1781" s="5"/>
      <c r="J1781" s="3" t="s">
        <v>2272</v>
      </c>
      <c r="K1781" s="198" t="s">
        <v>2272</v>
      </c>
      <c r="L1781" s="3" t="s">
        <v>2272</v>
      </c>
      <c r="M1781" s="3" t="s">
        <v>2272</v>
      </c>
      <c r="N1781" s="3" t="s">
        <v>2272</v>
      </c>
      <c r="O1781" s="3" t="s">
        <v>2272</v>
      </c>
      <c r="P1781" s="3" t="s">
        <v>2272</v>
      </c>
      <c r="Q1781" s="3" t="s">
        <v>2272</v>
      </c>
      <c r="R1781" s="3" t="s">
        <v>2272</v>
      </c>
      <c r="S1781" s="3" t="s">
        <v>2272</v>
      </c>
      <c r="T1781" s="3" t="s">
        <v>2272</v>
      </c>
      <c r="U1781" s="3" t="s">
        <v>2272</v>
      </c>
      <c r="V1781" s="3" t="s">
        <v>2272</v>
      </c>
      <c r="W1781" s="3" t="s">
        <v>2272</v>
      </c>
      <c r="X1781" s="3" t="s">
        <v>2272</v>
      </c>
      <c r="Y1781" s="3" t="s">
        <v>2272</v>
      </c>
      <c r="Z1781" s="3" t="s">
        <v>2272</v>
      </c>
      <c r="AA1781" s="3" t="s">
        <v>2272</v>
      </c>
      <c r="AB1781" s="3"/>
      <c r="AC1781" s="3"/>
    </row>
    <row r="1782" spans="1:29" ht="35.5" customHeight="1">
      <c r="A1782" s="151" t="str">
        <f>'Reported burning'!A1782</f>
        <v>209e</v>
      </c>
      <c r="B1782" s="151" t="str">
        <f>'Reported burning'!B1782</f>
        <v>209e.4</v>
      </c>
      <c r="C1782" s="151" t="str">
        <f>'Reported burning'!C1782</f>
        <v>Human, deliberate</v>
      </c>
      <c r="D1782" s="151" t="str">
        <f>'Reported burning'!D1782</f>
        <v>Harvesting of Timber</v>
      </c>
      <c r="E1782" s="151" t="str">
        <f>'Reported burning'!E1782</f>
        <v>Forestry, Small-scale</v>
      </c>
      <c r="F1782" s="151" t="str">
        <f>'Reported burning'!F1782</f>
        <v>Forest</v>
      </c>
      <c r="G1782" s="151" t="str">
        <f>'Reported burning'!G1782</f>
        <v>Forest</v>
      </c>
      <c r="H1782" s="151" t="str">
        <f>'Reported burning'!H1782</f>
        <v>Presence</v>
      </c>
      <c r="I1782" s="5"/>
      <c r="J1782" s="3" t="s">
        <v>2272</v>
      </c>
      <c r="K1782" s="198" t="s">
        <v>2272</v>
      </c>
      <c r="L1782" s="3" t="s">
        <v>2272</v>
      </c>
      <c r="M1782" s="3" t="s">
        <v>2272</v>
      </c>
      <c r="N1782" s="3" t="s">
        <v>2272</v>
      </c>
      <c r="O1782" s="3" t="s">
        <v>2272</v>
      </c>
      <c r="P1782" s="3" t="s">
        <v>2272</v>
      </c>
      <c r="Q1782" s="3" t="s">
        <v>2272</v>
      </c>
      <c r="R1782" s="3" t="s">
        <v>2272</v>
      </c>
      <c r="S1782" s="3" t="s">
        <v>2272</v>
      </c>
      <c r="T1782" s="3" t="s">
        <v>2272</v>
      </c>
      <c r="U1782" s="3" t="s">
        <v>2272</v>
      </c>
      <c r="V1782" s="3" t="s">
        <v>2272</v>
      </c>
      <c r="W1782" s="3" t="s">
        <v>2272</v>
      </c>
      <c r="X1782" s="3" t="s">
        <v>2272</v>
      </c>
      <c r="Y1782" s="3" t="s">
        <v>2272</v>
      </c>
      <c r="Z1782" s="3" t="s">
        <v>2272</v>
      </c>
      <c r="AA1782" s="3" t="s">
        <v>2272</v>
      </c>
      <c r="AB1782" s="3"/>
      <c r="AC1782" s="3"/>
    </row>
    <row r="1783" spans="1:29" ht="35.5" customHeight="1">
      <c r="A1783" s="151" t="str">
        <f>'Reported burning'!A1783</f>
        <v>209e</v>
      </c>
      <c r="B1783" s="151" t="str">
        <f>'Reported burning'!B1783</f>
        <v>209e.5</v>
      </c>
      <c r="C1783" s="151" t="str">
        <f>'Reported burning'!C1783</f>
        <v>Human, deliberate</v>
      </c>
      <c r="D1783" s="151" t="str">
        <f>'Reported burning'!D1783</f>
        <v>Arson</v>
      </c>
      <c r="E1783" s="151" t="str">
        <f>'Reported burning'!E1783</f>
        <v>ND</v>
      </c>
      <c r="F1783" s="151" t="str">
        <f>'Reported burning'!F1783</f>
        <v>ND</v>
      </c>
      <c r="G1783" s="151" t="str">
        <f>'Reported burning'!G1783</f>
        <v>Forest</v>
      </c>
      <c r="H1783" s="151" t="str">
        <f>'Reported burning'!H1783</f>
        <v>Presence</v>
      </c>
      <c r="I1783" s="5"/>
      <c r="J1783" s="3" t="s">
        <v>2272</v>
      </c>
      <c r="K1783" s="198" t="s">
        <v>2272</v>
      </c>
      <c r="L1783" s="3" t="s">
        <v>2272</v>
      </c>
      <c r="M1783" s="3" t="s">
        <v>2272</v>
      </c>
      <c r="N1783" s="3" t="s">
        <v>2272</v>
      </c>
      <c r="O1783" s="3" t="s">
        <v>2272</v>
      </c>
      <c r="P1783" s="3" t="s">
        <v>2272</v>
      </c>
      <c r="Q1783" s="3" t="s">
        <v>2272</v>
      </c>
      <c r="R1783" s="3" t="s">
        <v>2272</v>
      </c>
      <c r="S1783" s="3" t="s">
        <v>2272</v>
      </c>
      <c r="T1783" s="3" t="s">
        <v>2272</v>
      </c>
      <c r="U1783" s="3" t="s">
        <v>2272</v>
      </c>
      <c r="V1783" s="3" t="s">
        <v>2272</v>
      </c>
      <c r="W1783" s="3" t="s">
        <v>2272</v>
      </c>
      <c r="X1783" s="3" t="s">
        <v>2272</v>
      </c>
      <c r="Y1783" s="3" t="s">
        <v>2272</v>
      </c>
      <c r="Z1783" s="3" t="s">
        <v>2272</v>
      </c>
      <c r="AA1783" s="3" t="s">
        <v>2272</v>
      </c>
      <c r="AB1783" s="3"/>
      <c r="AC1783" s="3"/>
    </row>
    <row r="1784" spans="1:29" ht="35.5" customHeight="1">
      <c r="A1784" s="151" t="str">
        <f>'Reported burning'!A1784</f>
        <v>209e</v>
      </c>
      <c r="B1784" s="151" t="str">
        <f>'Reported burning'!B1784</f>
        <v>209e.6</v>
      </c>
      <c r="C1784" s="151" t="str">
        <f>'Reported burning'!C1784</f>
        <v>Human, deliberate</v>
      </c>
      <c r="D1784" s="151" t="str">
        <f>'Reported burning'!D1784</f>
        <v>Crop field preparation</v>
      </c>
      <c r="E1784" s="151" t="str">
        <f>'Reported burning'!E1784</f>
        <v>Cropping, Swidden</v>
      </c>
      <c r="F1784" s="151" t="str">
        <f>'Reported burning'!F1784</f>
        <v>Forest</v>
      </c>
      <c r="G1784" s="151" t="str">
        <f>'Reported burning'!G1784</f>
        <v>ND</v>
      </c>
      <c r="H1784" s="151" t="str">
        <f>'Reported burning'!H1784</f>
        <v>Presence</v>
      </c>
      <c r="I1784" s="5"/>
      <c r="J1784" s="3" t="s">
        <v>2272</v>
      </c>
      <c r="K1784" s="198" t="s">
        <v>2272</v>
      </c>
      <c r="L1784" s="3" t="s">
        <v>2272</v>
      </c>
      <c r="M1784" s="3" t="s">
        <v>2272</v>
      </c>
      <c r="N1784" s="3" t="s">
        <v>2272</v>
      </c>
      <c r="O1784" s="3" t="s">
        <v>2272</v>
      </c>
      <c r="P1784" s="3" t="s">
        <v>2272</v>
      </c>
      <c r="Q1784" s="3" t="s">
        <v>2272</v>
      </c>
      <c r="R1784" s="3" t="s">
        <v>2272</v>
      </c>
      <c r="S1784" s="3" t="s">
        <v>2272</v>
      </c>
      <c r="T1784" s="3" t="s">
        <v>2272</v>
      </c>
      <c r="U1784" s="3" t="s">
        <v>2272</v>
      </c>
      <c r="V1784" s="3" t="s">
        <v>2272</v>
      </c>
      <c r="W1784" s="3" t="s">
        <v>2272</v>
      </c>
      <c r="X1784" s="3" t="s">
        <v>2272</v>
      </c>
      <c r="Y1784" s="3" t="s">
        <v>2272</v>
      </c>
      <c r="Z1784" s="3" t="s">
        <v>2272</v>
      </c>
      <c r="AA1784" s="3" t="s">
        <v>2272</v>
      </c>
      <c r="AB1784" s="3"/>
      <c r="AC1784" s="3"/>
    </row>
    <row r="1785" spans="1:29" ht="35.5" customHeight="1">
      <c r="A1785" s="151" t="str">
        <f>'Reported burning'!A1785</f>
        <v>209e</v>
      </c>
      <c r="B1785" s="151" t="str">
        <f>'Reported burning'!B1785</f>
        <v>209e.7</v>
      </c>
      <c r="C1785" s="151" t="str">
        <f>'Reported burning'!C1785</f>
        <v>Human, escaped</v>
      </c>
      <c r="D1785" s="151" t="str">
        <f>'Reported burning'!D1785</f>
        <v>Charcoal production</v>
      </c>
      <c r="E1785" s="151" t="str">
        <f>'Reported burning'!E1785</f>
        <v>ND</v>
      </c>
      <c r="F1785" s="151" t="str">
        <f>'Reported burning'!F1785</f>
        <v>ND</v>
      </c>
      <c r="G1785" s="151" t="str">
        <f>'Reported burning'!G1785</f>
        <v>Forest</v>
      </c>
      <c r="H1785" s="151" t="str">
        <f>'Reported burning'!H1785</f>
        <v>Presence</v>
      </c>
      <c r="I1785" s="5"/>
      <c r="J1785" s="3" t="s">
        <v>2272</v>
      </c>
      <c r="K1785" s="198" t="s">
        <v>2272</v>
      </c>
      <c r="L1785" s="3" t="s">
        <v>2272</v>
      </c>
      <c r="M1785" s="3" t="s">
        <v>2272</v>
      </c>
      <c r="N1785" s="3" t="s">
        <v>2272</v>
      </c>
      <c r="O1785" s="3" t="s">
        <v>2272</v>
      </c>
      <c r="P1785" s="3" t="s">
        <v>2272</v>
      </c>
      <c r="Q1785" s="3" t="s">
        <v>2272</v>
      </c>
      <c r="R1785" s="3" t="s">
        <v>2272</v>
      </c>
      <c r="S1785" s="3" t="s">
        <v>2272</v>
      </c>
      <c r="T1785" s="3" t="s">
        <v>2272</v>
      </c>
      <c r="U1785" s="3" t="s">
        <v>2272</v>
      </c>
      <c r="V1785" s="3" t="s">
        <v>2272</v>
      </c>
      <c r="W1785" s="3" t="s">
        <v>2272</v>
      </c>
      <c r="X1785" s="3" t="s">
        <v>2272</v>
      </c>
      <c r="Y1785" s="3" t="s">
        <v>2272</v>
      </c>
      <c r="Z1785" s="3" t="s">
        <v>2272</v>
      </c>
      <c r="AA1785" s="3" t="s">
        <v>2272</v>
      </c>
      <c r="AB1785" s="3"/>
      <c r="AC1785" s="3"/>
    </row>
    <row r="1786" spans="1:29" ht="35.5" customHeight="1">
      <c r="A1786" s="151" t="str">
        <f>'Reported burning'!A1786</f>
        <v>209e</v>
      </c>
      <c r="B1786" s="151" t="str">
        <f>'Reported burning'!B1786</f>
        <v>209e.8</v>
      </c>
      <c r="C1786" s="151" t="str">
        <f>'Reported burning'!C1786</f>
        <v>Human, accidental</v>
      </c>
      <c r="D1786" s="151" t="str">
        <f>'Reported burning'!D1786</f>
        <v>ND</v>
      </c>
      <c r="E1786" s="151" t="str">
        <f>'Reported burning'!E1786</f>
        <v>All</v>
      </c>
      <c r="F1786" s="151" t="str">
        <f>'Reported burning'!F1786</f>
        <v>ND</v>
      </c>
      <c r="G1786" s="151" t="str">
        <f>'Reported burning'!G1786</f>
        <v>Forest</v>
      </c>
      <c r="H1786" s="151" t="str">
        <f>'Reported burning'!H1786</f>
        <v>Presence</v>
      </c>
      <c r="I1786" s="5"/>
      <c r="J1786" s="3" t="s">
        <v>2272</v>
      </c>
      <c r="K1786" s="198" t="s">
        <v>2272</v>
      </c>
      <c r="L1786" s="3" t="s">
        <v>2272</v>
      </c>
      <c r="M1786" s="3" t="s">
        <v>2272</v>
      </c>
      <c r="N1786" s="3" t="s">
        <v>2272</v>
      </c>
      <c r="O1786" s="3" t="s">
        <v>2272</v>
      </c>
      <c r="P1786" s="3" t="s">
        <v>2272</v>
      </c>
      <c r="Q1786" s="3" t="s">
        <v>2272</v>
      </c>
      <c r="R1786" s="3" t="s">
        <v>2272</v>
      </c>
      <c r="S1786" s="3" t="s">
        <v>2272</v>
      </c>
      <c r="T1786" s="3" t="s">
        <v>2272</v>
      </c>
      <c r="U1786" s="3" t="s">
        <v>2272</v>
      </c>
      <c r="V1786" s="3" t="s">
        <v>2272</v>
      </c>
      <c r="W1786" s="3" t="s">
        <v>2272</v>
      </c>
      <c r="X1786" s="3" t="s">
        <v>2272</v>
      </c>
      <c r="Y1786" s="3" t="s">
        <v>2272</v>
      </c>
      <c r="Z1786" s="3" t="s">
        <v>2272</v>
      </c>
      <c r="AA1786" s="3" t="s">
        <v>2272</v>
      </c>
      <c r="AB1786" s="3"/>
      <c r="AC1786" s="3"/>
    </row>
    <row r="1787" spans="1:29" ht="35.5" customHeight="1">
      <c r="A1787" s="151" t="str">
        <f>'Reported burning'!A1787</f>
        <v>209e</v>
      </c>
      <c r="B1787" s="151" t="str">
        <f>'Reported burning'!B1787</f>
        <v>209e.9</v>
      </c>
      <c r="C1787" s="151" t="str">
        <f>'Reported burning'!C1787</f>
        <v>Human, escaped</v>
      </c>
      <c r="D1787" s="151" t="str">
        <f>'Reported burning'!D1787</f>
        <v>Cultural &amp; Spiritual</v>
      </c>
      <c r="E1787" s="151" t="str">
        <f>'Reported burning'!E1787</f>
        <v>All</v>
      </c>
      <c r="F1787" s="151" t="str">
        <f>'Reported burning'!F1787</f>
        <v>ND</v>
      </c>
      <c r="G1787" s="151" t="str">
        <f>'Reported burning'!G1787</f>
        <v>Forest</v>
      </c>
      <c r="H1787" s="151" t="str">
        <f>'Reported burning'!H1787</f>
        <v>Presence</v>
      </c>
      <c r="I1787" s="5"/>
      <c r="J1787" s="3" t="s">
        <v>2272</v>
      </c>
      <c r="K1787" s="198" t="s">
        <v>2272</v>
      </c>
      <c r="L1787" s="3" t="s">
        <v>2272</v>
      </c>
      <c r="M1787" s="3" t="s">
        <v>2272</v>
      </c>
      <c r="N1787" s="3" t="s">
        <v>2272</v>
      </c>
      <c r="O1787" s="3" t="s">
        <v>2272</v>
      </c>
      <c r="P1787" s="3" t="s">
        <v>2272</v>
      </c>
      <c r="Q1787" s="3" t="s">
        <v>2272</v>
      </c>
      <c r="R1787" s="3" t="s">
        <v>2272</v>
      </c>
      <c r="S1787" s="3" t="s">
        <v>2272</v>
      </c>
      <c r="T1787" s="3" t="s">
        <v>2272</v>
      </c>
      <c r="U1787" s="3" t="s">
        <v>2272</v>
      </c>
      <c r="V1787" s="3" t="s">
        <v>2272</v>
      </c>
      <c r="W1787" s="3" t="s">
        <v>2272</v>
      </c>
      <c r="X1787" s="3" t="s">
        <v>2272</v>
      </c>
      <c r="Y1787" s="3" t="s">
        <v>2272</v>
      </c>
      <c r="Z1787" s="3" t="s">
        <v>2272</v>
      </c>
      <c r="AA1787" s="3" t="s">
        <v>2272</v>
      </c>
      <c r="AB1787" s="3"/>
      <c r="AC1787" s="3"/>
    </row>
    <row r="1788" spans="1:29" ht="35.5" customHeight="1">
      <c r="A1788" s="151" t="str">
        <f>'Reported burning'!A1788</f>
        <v>209e</v>
      </c>
      <c r="B1788" s="151" t="str">
        <f>'Reported burning'!B1788</f>
        <v>209e.10</v>
      </c>
      <c r="C1788" s="151" t="str">
        <f>'Reported burning'!C1788</f>
        <v>Human, escaped</v>
      </c>
      <c r="D1788" s="151" t="str">
        <f>'Reported burning'!D1788</f>
        <v>Domestic</v>
      </c>
      <c r="E1788" s="151" t="str">
        <f>'Reported burning'!E1788</f>
        <v>All</v>
      </c>
      <c r="F1788" s="151" t="str">
        <f>'Reported burning'!F1788</f>
        <v>ND</v>
      </c>
      <c r="G1788" s="151" t="str">
        <f>'Reported burning'!G1788</f>
        <v>Forest</v>
      </c>
      <c r="H1788" s="151" t="str">
        <f>'Reported burning'!H1788</f>
        <v>Presence</v>
      </c>
      <c r="I1788" s="5"/>
      <c r="J1788" s="3" t="s">
        <v>2272</v>
      </c>
      <c r="K1788" s="198" t="s">
        <v>2272</v>
      </c>
      <c r="L1788" s="3" t="s">
        <v>2272</v>
      </c>
      <c r="M1788" s="3" t="s">
        <v>2272</v>
      </c>
      <c r="N1788" s="3" t="s">
        <v>2272</v>
      </c>
      <c r="O1788" s="3" t="s">
        <v>2272</v>
      </c>
      <c r="P1788" s="3" t="s">
        <v>2272</v>
      </c>
      <c r="Q1788" s="3" t="s">
        <v>2272</v>
      </c>
      <c r="R1788" s="3" t="s">
        <v>2272</v>
      </c>
      <c r="S1788" s="3" t="s">
        <v>2272</v>
      </c>
      <c r="T1788" s="3" t="s">
        <v>2272</v>
      </c>
      <c r="U1788" s="3" t="s">
        <v>2272</v>
      </c>
      <c r="V1788" s="3" t="s">
        <v>2272</v>
      </c>
      <c r="W1788" s="3" t="s">
        <v>2272</v>
      </c>
      <c r="X1788" s="3" t="s">
        <v>2272</v>
      </c>
      <c r="Y1788" s="3" t="s">
        <v>2272</v>
      </c>
      <c r="Z1788" s="3" t="s">
        <v>2272</v>
      </c>
      <c r="AA1788" s="3" t="s">
        <v>2272</v>
      </c>
      <c r="AB1788" s="3"/>
      <c r="AC1788" s="3"/>
    </row>
    <row r="1789" spans="1:29" ht="35.5" customHeight="1">
      <c r="A1789" s="151" t="str">
        <f>'Reported burning'!A1789</f>
        <v>209f</v>
      </c>
      <c r="B1789" s="151" t="str">
        <f>'Reported burning'!B1789</f>
        <v>209f.1</v>
      </c>
      <c r="C1789" s="151" t="str">
        <f>'Reported burning'!C1789</f>
        <v>Human, deliberate</v>
      </c>
      <c r="D1789" s="151" t="str">
        <f>'Reported burning'!D1789</f>
        <v>Pasture renewal</v>
      </c>
      <c r="E1789" s="151" t="str">
        <f>'Reported burning'!E1789</f>
        <v>Pastoralism, Migratory</v>
      </c>
      <c r="F1789" s="151" t="str">
        <f>'Reported burning'!F1789</f>
        <v>Forest</v>
      </c>
      <c r="G1789" s="151" t="str">
        <f>'Reported burning'!G1789</f>
        <v>Forest</v>
      </c>
      <c r="H1789" s="151" t="str">
        <f>'Reported burning'!H1789</f>
        <v>Presence</v>
      </c>
      <c r="I1789" s="5"/>
      <c r="J1789" s="3" t="s">
        <v>2272</v>
      </c>
      <c r="K1789" s="198" t="s">
        <v>2272</v>
      </c>
      <c r="L1789" s="3" t="s">
        <v>2272</v>
      </c>
      <c r="M1789" s="3" t="s">
        <v>2272</v>
      </c>
      <c r="N1789" s="3" t="s">
        <v>2272</v>
      </c>
      <c r="O1789" s="3" t="s">
        <v>2272</v>
      </c>
      <c r="P1789" s="3" t="s">
        <v>2272</v>
      </c>
      <c r="Q1789" s="21" t="s">
        <v>2371</v>
      </c>
      <c r="R1789" s="3" t="s">
        <v>2272</v>
      </c>
      <c r="S1789" s="21" t="s">
        <v>2369</v>
      </c>
      <c r="T1789" s="3" t="s">
        <v>2272</v>
      </c>
      <c r="U1789" s="3" t="s">
        <v>2272</v>
      </c>
      <c r="V1789" s="3" t="s">
        <v>2272</v>
      </c>
      <c r="W1789" s="3" t="s">
        <v>2272</v>
      </c>
      <c r="X1789" s="3" t="s">
        <v>2272</v>
      </c>
      <c r="Y1789" s="3" t="s">
        <v>2272</v>
      </c>
      <c r="Z1789" s="3" t="s">
        <v>2272</v>
      </c>
      <c r="AA1789" s="3" t="s">
        <v>2272</v>
      </c>
      <c r="AB1789" s="3"/>
      <c r="AC1789" s="4" t="s">
        <v>5330</v>
      </c>
    </row>
    <row r="1790" spans="1:29" ht="35.5" customHeight="1">
      <c r="A1790" s="151" t="str">
        <f>'Reported burning'!A1790</f>
        <v>209f</v>
      </c>
      <c r="B1790" s="151" t="str">
        <f>'Reported burning'!B1790</f>
        <v>209f.2</v>
      </c>
      <c r="C1790" s="151" t="str">
        <f>'Reported burning'!C1790</f>
        <v>Human, deliberate</v>
      </c>
      <c r="D1790" s="151" t="str">
        <f>'Reported burning'!D1790</f>
        <v>Harvesting of NTFP</v>
      </c>
      <c r="E1790" s="151" t="str">
        <f>'Reported burning'!E1790</f>
        <v>Forestry, Traditional</v>
      </c>
      <c r="F1790" s="151" t="str">
        <f>'Reported burning'!F1790</f>
        <v>Forest</v>
      </c>
      <c r="G1790" s="151" t="str">
        <f>'Reported burning'!G1790</f>
        <v>Forest</v>
      </c>
      <c r="H1790" s="151" t="str">
        <f>'Reported burning'!H1790</f>
        <v>Presence</v>
      </c>
      <c r="I1790" s="5"/>
      <c r="J1790" s="3" t="s">
        <v>2272</v>
      </c>
      <c r="K1790" s="198" t="s">
        <v>2272</v>
      </c>
      <c r="L1790" s="3" t="s">
        <v>2272</v>
      </c>
      <c r="M1790" s="3" t="s">
        <v>2272</v>
      </c>
      <c r="N1790" s="3" t="s">
        <v>2272</v>
      </c>
      <c r="O1790" s="3" t="s">
        <v>2272</v>
      </c>
      <c r="P1790" s="3" t="s">
        <v>2272</v>
      </c>
      <c r="Q1790" s="3" t="s">
        <v>2272</v>
      </c>
      <c r="R1790" s="3" t="s">
        <v>2272</v>
      </c>
      <c r="S1790" s="3" t="s">
        <v>2272</v>
      </c>
      <c r="T1790" s="3" t="s">
        <v>2272</v>
      </c>
      <c r="U1790" s="3" t="s">
        <v>2272</v>
      </c>
      <c r="V1790" s="3" t="s">
        <v>2272</v>
      </c>
      <c r="W1790" s="3" t="s">
        <v>2272</v>
      </c>
      <c r="X1790" s="3" t="s">
        <v>2272</v>
      </c>
      <c r="Y1790" s="3" t="s">
        <v>2272</v>
      </c>
      <c r="Z1790" s="3" t="s">
        <v>2272</v>
      </c>
      <c r="AA1790" s="3" t="s">
        <v>2272</v>
      </c>
      <c r="AB1790" s="3"/>
      <c r="AC1790" s="3"/>
    </row>
    <row r="1791" spans="1:29" ht="35.5" customHeight="1">
      <c r="A1791" s="151" t="str">
        <f>'Reported burning'!A1791</f>
        <v>209f</v>
      </c>
      <c r="B1791" s="151" t="str">
        <f>'Reported burning'!B1791</f>
        <v>209f.3</v>
      </c>
      <c r="C1791" s="151" t="str">
        <f>'Reported burning'!C1791</f>
        <v>Human, deliberate</v>
      </c>
      <c r="D1791" s="151" t="str">
        <f>'Reported burning'!D1791</f>
        <v>Hunting</v>
      </c>
      <c r="E1791" s="151" t="str">
        <f>'Reported burning'!E1791</f>
        <v>Forestry, Traditional</v>
      </c>
      <c r="F1791" s="151" t="str">
        <f>'Reported burning'!F1791</f>
        <v>Forest</v>
      </c>
      <c r="G1791" s="151" t="str">
        <f>'Reported burning'!G1791</f>
        <v>Forest</v>
      </c>
      <c r="H1791" s="151" t="str">
        <f>'Reported burning'!H1791</f>
        <v>Presence</v>
      </c>
      <c r="I1791" s="5"/>
      <c r="J1791" s="3" t="s">
        <v>2272</v>
      </c>
      <c r="K1791" s="198" t="s">
        <v>2272</v>
      </c>
      <c r="L1791" s="3" t="s">
        <v>2272</v>
      </c>
      <c r="M1791" s="3" t="s">
        <v>2272</v>
      </c>
      <c r="N1791" s="3" t="s">
        <v>2272</v>
      </c>
      <c r="O1791" s="3" t="s">
        <v>2272</v>
      </c>
      <c r="P1791" s="3" t="s">
        <v>2272</v>
      </c>
      <c r="Q1791" s="3" t="s">
        <v>2272</v>
      </c>
      <c r="R1791" s="3" t="s">
        <v>2272</v>
      </c>
      <c r="S1791" s="3" t="s">
        <v>2272</v>
      </c>
      <c r="T1791" s="3" t="s">
        <v>2272</v>
      </c>
      <c r="U1791" s="3" t="s">
        <v>2272</v>
      </c>
      <c r="V1791" s="3" t="s">
        <v>2272</v>
      </c>
      <c r="W1791" s="3" t="s">
        <v>2272</v>
      </c>
      <c r="X1791" s="3" t="s">
        <v>2272</v>
      </c>
      <c r="Y1791" s="3" t="s">
        <v>2272</v>
      </c>
      <c r="Z1791" s="3" t="s">
        <v>2272</v>
      </c>
      <c r="AA1791" s="3" t="s">
        <v>2272</v>
      </c>
      <c r="AB1791" s="3"/>
      <c r="AC1791" s="3"/>
    </row>
    <row r="1792" spans="1:29" ht="35.5" customHeight="1">
      <c r="A1792" s="151" t="str">
        <f>'Reported burning'!A1792</f>
        <v>209f</v>
      </c>
      <c r="B1792" s="151" t="str">
        <f>'Reported burning'!B1792</f>
        <v>209f.4</v>
      </c>
      <c r="C1792" s="151" t="str">
        <f>'Reported burning'!C1792</f>
        <v>Human, deliberate</v>
      </c>
      <c r="D1792" s="151" t="str">
        <f>'Reported burning'!D1792</f>
        <v>Harvesting of Timber</v>
      </c>
      <c r="E1792" s="151" t="str">
        <f>'Reported burning'!E1792</f>
        <v>Forestry, Small-scale</v>
      </c>
      <c r="F1792" s="151" t="str">
        <f>'Reported burning'!F1792</f>
        <v>Forest</v>
      </c>
      <c r="G1792" s="151" t="str">
        <f>'Reported burning'!G1792</f>
        <v>Forest</v>
      </c>
      <c r="H1792" s="151" t="str">
        <f>'Reported burning'!H1792</f>
        <v>Presence</v>
      </c>
      <c r="I1792" s="5"/>
      <c r="J1792" s="3" t="s">
        <v>2272</v>
      </c>
      <c r="K1792" s="198" t="s">
        <v>2272</v>
      </c>
      <c r="L1792" s="3" t="s">
        <v>2272</v>
      </c>
      <c r="M1792" s="3" t="s">
        <v>2272</v>
      </c>
      <c r="N1792" s="3" t="s">
        <v>2272</v>
      </c>
      <c r="O1792" s="3" t="s">
        <v>2272</v>
      </c>
      <c r="P1792" s="3" t="s">
        <v>2272</v>
      </c>
      <c r="Q1792" s="3" t="s">
        <v>2272</v>
      </c>
      <c r="R1792" s="3" t="s">
        <v>2272</v>
      </c>
      <c r="S1792" s="3" t="s">
        <v>2272</v>
      </c>
      <c r="T1792" s="3" t="s">
        <v>2272</v>
      </c>
      <c r="U1792" s="3" t="s">
        <v>2272</v>
      </c>
      <c r="V1792" s="3" t="s">
        <v>2272</v>
      </c>
      <c r="W1792" s="3" t="s">
        <v>2272</v>
      </c>
      <c r="X1792" s="3" t="s">
        <v>2272</v>
      </c>
      <c r="Y1792" s="3" t="s">
        <v>2272</v>
      </c>
      <c r="Z1792" s="3" t="s">
        <v>2272</v>
      </c>
      <c r="AA1792" s="3" t="s">
        <v>2272</v>
      </c>
      <c r="AB1792" s="3"/>
      <c r="AC1792" s="3"/>
    </row>
    <row r="1793" spans="1:29" ht="35.5" customHeight="1">
      <c r="A1793" s="151" t="str">
        <f>'Reported burning'!A1793</f>
        <v>209f</v>
      </c>
      <c r="B1793" s="151" t="str">
        <f>'Reported burning'!B1793</f>
        <v>209f.5</v>
      </c>
      <c r="C1793" s="151" t="str">
        <f>'Reported burning'!C1793</f>
        <v>Human, deliberate</v>
      </c>
      <c r="D1793" s="151" t="str">
        <f>'Reported burning'!D1793</f>
        <v>Arson</v>
      </c>
      <c r="E1793" s="151" t="str">
        <f>'Reported burning'!E1793</f>
        <v>ND</v>
      </c>
      <c r="F1793" s="151" t="str">
        <f>'Reported burning'!F1793</f>
        <v>ND</v>
      </c>
      <c r="G1793" s="151" t="str">
        <f>'Reported burning'!G1793</f>
        <v>Forest</v>
      </c>
      <c r="H1793" s="151" t="str">
        <f>'Reported burning'!H1793</f>
        <v>Presence</v>
      </c>
      <c r="I1793" s="5"/>
      <c r="J1793" s="3" t="s">
        <v>2272</v>
      </c>
      <c r="K1793" s="198" t="s">
        <v>2272</v>
      </c>
      <c r="L1793" s="3" t="s">
        <v>2272</v>
      </c>
      <c r="M1793" s="3" t="s">
        <v>2272</v>
      </c>
      <c r="N1793" s="3" t="s">
        <v>2272</v>
      </c>
      <c r="O1793" s="3" t="s">
        <v>2272</v>
      </c>
      <c r="P1793" s="3" t="s">
        <v>2272</v>
      </c>
      <c r="Q1793" s="3" t="s">
        <v>2272</v>
      </c>
      <c r="R1793" s="3" t="s">
        <v>2272</v>
      </c>
      <c r="S1793" s="3" t="s">
        <v>2272</v>
      </c>
      <c r="T1793" s="3" t="s">
        <v>2272</v>
      </c>
      <c r="U1793" s="3" t="s">
        <v>2272</v>
      </c>
      <c r="V1793" s="3" t="s">
        <v>2272</v>
      </c>
      <c r="W1793" s="3" t="s">
        <v>2272</v>
      </c>
      <c r="X1793" s="3" t="s">
        <v>2272</v>
      </c>
      <c r="Y1793" s="3" t="s">
        <v>2272</v>
      </c>
      <c r="Z1793" s="3" t="s">
        <v>2272</v>
      </c>
      <c r="AA1793" s="3" t="s">
        <v>2272</v>
      </c>
      <c r="AB1793" s="3"/>
      <c r="AC1793" s="3"/>
    </row>
    <row r="1794" spans="1:29" ht="35.5" customHeight="1">
      <c r="A1794" s="151" t="str">
        <f>'Reported burning'!A1794</f>
        <v>209f</v>
      </c>
      <c r="B1794" s="151" t="str">
        <f>'Reported burning'!B1794</f>
        <v>209f.6</v>
      </c>
      <c r="C1794" s="151" t="str">
        <f>'Reported burning'!C1794</f>
        <v>Human, deliberate</v>
      </c>
      <c r="D1794" s="151" t="str">
        <f>'Reported burning'!D1794</f>
        <v>Crop field preparation</v>
      </c>
      <c r="E1794" s="151" t="str">
        <f>'Reported burning'!E1794</f>
        <v>Cropping, Swidden</v>
      </c>
      <c r="F1794" s="151" t="str">
        <f>'Reported burning'!F1794</f>
        <v>Forest</v>
      </c>
      <c r="G1794" s="151" t="str">
        <f>'Reported burning'!G1794</f>
        <v>ND</v>
      </c>
      <c r="H1794" s="151" t="str">
        <f>'Reported burning'!H1794</f>
        <v>Presence</v>
      </c>
      <c r="I1794" s="5"/>
      <c r="J1794" s="3" t="s">
        <v>2272</v>
      </c>
      <c r="K1794" s="198" t="s">
        <v>2272</v>
      </c>
      <c r="L1794" s="3" t="s">
        <v>2272</v>
      </c>
      <c r="M1794" s="3" t="s">
        <v>2272</v>
      </c>
      <c r="N1794" s="3" t="s">
        <v>2272</v>
      </c>
      <c r="O1794" s="3" t="s">
        <v>2272</v>
      </c>
      <c r="P1794" s="3" t="s">
        <v>2272</v>
      </c>
      <c r="Q1794" s="3" t="s">
        <v>2272</v>
      </c>
      <c r="R1794" s="3" t="s">
        <v>2272</v>
      </c>
      <c r="S1794" s="3" t="s">
        <v>2272</v>
      </c>
      <c r="T1794" s="3" t="s">
        <v>2272</v>
      </c>
      <c r="U1794" s="3" t="s">
        <v>2272</v>
      </c>
      <c r="V1794" s="3" t="s">
        <v>2272</v>
      </c>
      <c r="W1794" s="3" t="s">
        <v>2272</v>
      </c>
      <c r="X1794" s="3" t="s">
        <v>2272</v>
      </c>
      <c r="Y1794" s="3" t="s">
        <v>2272</v>
      </c>
      <c r="Z1794" s="3" t="s">
        <v>2272</v>
      </c>
      <c r="AA1794" s="3" t="s">
        <v>2272</v>
      </c>
      <c r="AB1794" s="3"/>
      <c r="AC1794" s="3"/>
    </row>
    <row r="1795" spans="1:29" ht="35.5" customHeight="1">
      <c r="A1795" s="151" t="str">
        <f>'Reported burning'!A1795</f>
        <v>209f</v>
      </c>
      <c r="B1795" s="151" t="str">
        <f>'Reported burning'!B1795</f>
        <v>209f.7</v>
      </c>
      <c r="C1795" s="151" t="str">
        <f>'Reported burning'!C1795</f>
        <v>Human, escaped</v>
      </c>
      <c r="D1795" s="151" t="str">
        <f>'Reported burning'!D1795</f>
        <v>Charcoal production</v>
      </c>
      <c r="E1795" s="151" t="str">
        <f>'Reported burning'!E1795</f>
        <v>ND</v>
      </c>
      <c r="F1795" s="151" t="str">
        <f>'Reported burning'!F1795</f>
        <v>ND</v>
      </c>
      <c r="G1795" s="151" t="str">
        <f>'Reported burning'!G1795</f>
        <v>Forest</v>
      </c>
      <c r="H1795" s="151" t="str">
        <f>'Reported burning'!H1795</f>
        <v>Presence</v>
      </c>
      <c r="I1795" s="5"/>
      <c r="J1795" s="3" t="s">
        <v>2272</v>
      </c>
      <c r="K1795" s="198" t="s">
        <v>2272</v>
      </c>
      <c r="L1795" s="3" t="s">
        <v>2272</v>
      </c>
      <c r="M1795" s="3" t="s">
        <v>2272</v>
      </c>
      <c r="N1795" s="3" t="s">
        <v>2272</v>
      </c>
      <c r="O1795" s="3" t="s">
        <v>2272</v>
      </c>
      <c r="P1795" s="3" t="s">
        <v>2272</v>
      </c>
      <c r="Q1795" s="3" t="s">
        <v>2272</v>
      </c>
      <c r="R1795" s="3" t="s">
        <v>2272</v>
      </c>
      <c r="S1795" s="3" t="s">
        <v>2272</v>
      </c>
      <c r="T1795" s="3" t="s">
        <v>2272</v>
      </c>
      <c r="U1795" s="3" t="s">
        <v>2272</v>
      </c>
      <c r="V1795" s="3" t="s">
        <v>2272</v>
      </c>
      <c r="W1795" s="3" t="s">
        <v>2272</v>
      </c>
      <c r="X1795" s="3" t="s">
        <v>2272</v>
      </c>
      <c r="Y1795" s="3" t="s">
        <v>2272</v>
      </c>
      <c r="Z1795" s="3" t="s">
        <v>2272</v>
      </c>
      <c r="AA1795" s="3" t="s">
        <v>2272</v>
      </c>
      <c r="AB1795" s="3"/>
      <c r="AC1795" s="3"/>
    </row>
    <row r="1796" spans="1:29" ht="35.5" customHeight="1">
      <c r="A1796" s="151" t="str">
        <f>'Reported burning'!A1796</f>
        <v>209f</v>
      </c>
      <c r="B1796" s="151" t="str">
        <f>'Reported burning'!B1796</f>
        <v>209f.8</v>
      </c>
      <c r="C1796" s="151" t="str">
        <f>'Reported burning'!C1796</f>
        <v>Human, accidental</v>
      </c>
      <c r="D1796" s="151" t="str">
        <f>'Reported burning'!D1796</f>
        <v>ND</v>
      </c>
      <c r="E1796" s="151" t="str">
        <f>'Reported burning'!E1796</f>
        <v>All</v>
      </c>
      <c r="F1796" s="151" t="str">
        <f>'Reported burning'!F1796</f>
        <v>ND</v>
      </c>
      <c r="G1796" s="151" t="str">
        <f>'Reported burning'!G1796</f>
        <v>Forest</v>
      </c>
      <c r="H1796" s="151" t="str">
        <f>'Reported burning'!H1796</f>
        <v>Presence</v>
      </c>
      <c r="I1796" s="5"/>
      <c r="J1796" s="3" t="s">
        <v>2272</v>
      </c>
      <c r="K1796" s="198" t="s">
        <v>2272</v>
      </c>
      <c r="L1796" s="3" t="s">
        <v>2272</v>
      </c>
      <c r="M1796" s="3" t="s">
        <v>2272</v>
      </c>
      <c r="N1796" s="3" t="s">
        <v>2272</v>
      </c>
      <c r="O1796" s="3" t="s">
        <v>2272</v>
      </c>
      <c r="P1796" s="3" t="s">
        <v>2272</v>
      </c>
      <c r="Q1796" s="3" t="s">
        <v>2272</v>
      </c>
      <c r="R1796" s="3" t="s">
        <v>2272</v>
      </c>
      <c r="S1796" s="3" t="s">
        <v>2272</v>
      </c>
      <c r="T1796" s="3" t="s">
        <v>2272</v>
      </c>
      <c r="U1796" s="3" t="s">
        <v>2272</v>
      </c>
      <c r="V1796" s="3" t="s">
        <v>2272</v>
      </c>
      <c r="W1796" s="3" t="s">
        <v>2272</v>
      </c>
      <c r="X1796" s="3" t="s">
        <v>2272</v>
      </c>
      <c r="Y1796" s="3" t="s">
        <v>2272</v>
      </c>
      <c r="Z1796" s="3" t="s">
        <v>2272</v>
      </c>
      <c r="AA1796" s="3" t="s">
        <v>2272</v>
      </c>
      <c r="AB1796" s="3"/>
      <c r="AC1796" s="3"/>
    </row>
    <row r="1797" spans="1:29" ht="35.5" customHeight="1">
      <c r="A1797" s="151" t="str">
        <f>'Reported burning'!A1797</f>
        <v>209f</v>
      </c>
      <c r="B1797" s="151" t="str">
        <f>'Reported burning'!B1797</f>
        <v>209f.9</v>
      </c>
      <c r="C1797" s="151" t="str">
        <f>'Reported burning'!C1797</f>
        <v>Human, escaped</v>
      </c>
      <c r="D1797" s="151" t="str">
        <f>'Reported burning'!D1797</f>
        <v>Cultural &amp; Spiritual</v>
      </c>
      <c r="E1797" s="151" t="str">
        <f>'Reported burning'!E1797</f>
        <v>All</v>
      </c>
      <c r="F1797" s="151" t="str">
        <f>'Reported burning'!F1797</f>
        <v>ND</v>
      </c>
      <c r="G1797" s="151" t="str">
        <f>'Reported burning'!G1797</f>
        <v>Forest</v>
      </c>
      <c r="H1797" s="151" t="str">
        <f>'Reported burning'!H1797</f>
        <v>Presence</v>
      </c>
      <c r="I1797" s="5"/>
      <c r="J1797" s="3" t="s">
        <v>2272</v>
      </c>
      <c r="K1797" s="198" t="s">
        <v>2272</v>
      </c>
      <c r="L1797" s="3" t="s">
        <v>2272</v>
      </c>
      <c r="M1797" s="3" t="s">
        <v>2272</v>
      </c>
      <c r="N1797" s="3" t="s">
        <v>2272</v>
      </c>
      <c r="O1797" s="3" t="s">
        <v>2272</v>
      </c>
      <c r="P1797" s="3" t="s">
        <v>2272</v>
      </c>
      <c r="Q1797" s="3" t="s">
        <v>2272</v>
      </c>
      <c r="R1797" s="3" t="s">
        <v>2272</v>
      </c>
      <c r="S1797" s="3" t="s">
        <v>2272</v>
      </c>
      <c r="T1797" s="3" t="s">
        <v>2272</v>
      </c>
      <c r="U1797" s="3" t="s">
        <v>2272</v>
      </c>
      <c r="V1797" s="3" t="s">
        <v>2272</v>
      </c>
      <c r="W1797" s="3" t="s">
        <v>2272</v>
      </c>
      <c r="X1797" s="3" t="s">
        <v>2272</v>
      </c>
      <c r="Y1797" s="3" t="s">
        <v>2272</v>
      </c>
      <c r="Z1797" s="3" t="s">
        <v>2272</v>
      </c>
      <c r="AA1797" s="3" t="s">
        <v>2272</v>
      </c>
      <c r="AB1797" s="3"/>
      <c r="AC1797" s="3"/>
    </row>
    <row r="1798" spans="1:29" ht="35.5" customHeight="1">
      <c r="A1798" s="151" t="str">
        <f>'Reported burning'!A1798</f>
        <v>209f</v>
      </c>
      <c r="B1798" s="151" t="str">
        <f>'Reported burning'!B1798</f>
        <v>209f.10</v>
      </c>
      <c r="C1798" s="151" t="str">
        <f>'Reported burning'!C1798</f>
        <v>Human, escaped</v>
      </c>
      <c r="D1798" s="151" t="str">
        <f>'Reported burning'!D1798</f>
        <v>Domestic</v>
      </c>
      <c r="E1798" s="151" t="str">
        <f>'Reported burning'!E1798</f>
        <v>All</v>
      </c>
      <c r="F1798" s="151" t="str">
        <f>'Reported burning'!F1798</f>
        <v>ND</v>
      </c>
      <c r="G1798" s="151" t="str">
        <f>'Reported burning'!G1798</f>
        <v>Forest</v>
      </c>
      <c r="H1798" s="151" t="str">
        <f>'Reported burning'!H1798</f>
        <v>Presence</v>
      </c>
      <c r="I1798" s="5"/>
      <c r="J1798" s="3" t="s">
        <v>2272</v>
      </c>
      <c r="K1798" s="198" t="s">
        <v>2272</v>
      </c>
      <c r="L1798" s="3" t="s">
        <v>2272</v>
      </c>
      <c r="M1798" s="3" t="s">
        <v>2272</v>
      </c>
      <c r="N1798" s="3" t="s">
        <v>2272</v>
      </c>
      <c r="O1798" s="3" t="s">
        <v>2272</v>
      </c>
      <c r="P1798" s="3" t="s">
        <v>2272</v>
      </c>
      <c r="Q1798" s="3" t="s">
        <v>2272</v>
      </c>
      <c r="R1798" s="3" t="s">
        <v>2272</v>
      </c>
      <c r="S1798" s="3" t="s">
        <v>2272</v>
      </c>
      <c r="T1798" s="3" t="s">
        <v>2272</v>
      </c>
      <c r="U1798" s="3" t="s">
        <v>2272</v>
      </c>
      <c r="V1798" s="3" t="s">
        <v>2272</v>
      </c>
      <c r="W1798" s="3" t="s">
        <v>2272</v>
      </c>
      <c r="X1798" s="3" t="s">
        <v>2272</v>
      </c>
      <c r="Y1798" s="3" t="s">
        <v>2272</v>
      </c>
      <c r="Z1798" s="3" t="s">
        <v>2272</v>
      </c>
      <c r="AA1798" s="3" t="s">
        <v>2272</v>
      </c>
      <c r="AB1798" s="3"/>
      <c r="AC1798" s="3"/>
    </row>
    <row r="1799" spans="1:29" ht="35.5" customHeight="1">
      <c r="A1799" s="151" t="str">
        <f>'Reported burning'!A1799</f>
        <v>209g</v>
      </c>
      <c r="B1799" s="151" t="str">
        <f>'Reported burning'!B1799</f>
        <v>209g.1</v>
      </c>
      <c r="C1799" s="151" t="str">
        <f>'Reported burning'!C1799</f>
        <v>Human, deliberate</v>
      </c>
      <c r="D1799" s="151" t="str">
        <f>'Reported burning'!D1799</f>
        <v>Pasture renewal</v>
      </c>
      <c r="E1799" s="151" t="str">
        <f>'Reported burning'!E1799</f>
        <v>Pastoralism, Migratory</v>
      </c>
      <c r="F1799" s="151" t="str">
        <f>'Reported burning'!F1799</f>
        <v>Forest</v>
      </c>
      <c r="G1799" s="151" t="str">
        <f>'Reported burning'!G1799</f>
        <v>Forest</v>
      </c>
      <c r="H1799" s="151" t="str">
        <f>'Reported burning'!H1799</f>
        <v>Presence</v>
      </c>
      <c r="I1799" s="5"/>
      <c r="J1799" s="3" t="s">
        <v>2272</v>
      </c>
      <c r="K1799" s="198" t="s">
        <v>2272</v>
      </c>
      <c r="L1799" s="3" t="s">
        <v>2272</v>
      </c>
      <c r="M1799" s="3" t="s">
        <v>2272</v>
      </c>
      <c r="N1799" s="3" t="s">
        <v>2272</v>
      </c>
      <c r="O1799" s="3" t="s">
        <v>2272</v>
      </c>
      <c r="P1799" s="3" t="s">
        <v>2272</v>
      </c>
      <c r="Q1799" s="21" t="s">
        <v>2371</v>
      </c>
      <c r="R1799" s="3" t="s">
        <v>2272</v>
      </c>
      <c r="S1799" s="21" t="s">
        <v>2369</v>
      </c>
      <c r="T1799" s="3" t="s">
        <v>2272</v>
      </c>
      <c r="U1799" s="3" t="s">
        <v>2272</v>
      </c>
      <c r="V1799" s="3" t="s">
        <v>2272</v>
      </c>
      <c r="W1799" s="3" t="s">
        <v>2272</v>
      </c>
      <c r="X1799" s="3" t="s">
        <v>2272</v>
      </c>
      <c r="Y1799" s="3" t="s">
        <v>2272</v>
      </c>
      <c r="Z1799" s="3" t="s">
        <v>2272</v>
      </c>
      <c r="AA1799" s="3" t="s">
        <v>2272</v>
      </c>
      <c r="AB1799" s="3"/>
      <c r="AC1799" s="4" t="s">
        <v>5330</v>
      </c>
    </row>
    <row r="1800" spans="1:29" ht="35.5" customHeight="1">
      <c r="A1800" s="151" t="str">
        <f>'Reported burning'!A1800</f>
        <v>209g</v>
      </c>
      <c r="B1800" s="151" t="str">
        <f>'Reported burning'!B1800</f>
        <v>209g.2</v>
      </c>
      <c r="C1800" s="151" t="str">
        <f>'Reported burning'!C1800</f>
        <v>Human, deliberate</v>
      </c>
      <c r="D1800" s="151" t="str">
        <f>'Reported burning'!D1800</f>
        <v>Harvesting of NTFP</v>
      </c>
      <c r="E1800" s="151" t="str">
        <f>'Reported burning'!E1800</f>
        <v>Forestry, Traditional</v>
      </c>
      <c r="F1800" s="151" t="str">
        <f>'Reported burning'!F1800</f>
        <v>Forest</v>
      </c>
      <c r="G1800" s="151" t="str">
        <f>'Reported burning'!G1800</f>
        <v>Forest</v>
      </c>
      <c r="H1800" s="151" t="str">
        <f>'Reported burning'!H1800</f>
        <v>Presence</v>
      </c>
      <c r="I1800" s="5"/>
      <c r="J1800" s="3" t="s">
        <v>2272</v>
      </c>
      <c r="K1800" s="198" t="s">
        <v>2272</v>
      </c>
      <c r="L1800" s="3" t="s">
        <v>2272</v>
      </c>
      <c r="M1800" s="3" t="s">
        <v>2272</v>
      </c>
      <c r="N1800" s="3" t="s">
        <v>2272</v>
      </c>
      <c r="O1800" s="3" t="s">
        <v>2272</v>
      </c>
      <c r="P1800" s="3" t="s">
        <v>2272</v>
      </c>
      <c r="Q1800" s="3" t="s">
        <v>2272</v>
      </c>
      <c r="R1800" s="3" t="s">
        <v>2272</v>
      </c>
      <c r="S1800" s="3" t="s">
        <v>2272</v>
      </c>
      <c r="T1800" s="3" t="s">
        <v>2272</v>
      </c>
      <c r="U1800" s="3" t="s">
        <v>2272</v>
      </c>
      <c r="V1800" s="3" t="s">
        <v>2272</v>
      </c>
      <c r="W1800" s="3" t="s">
        <v>2272</v>
      </c>
      <c r="X1800" s="3" t="s">
        <v>2272</v>
      </c>
      <c r="Y1800" s="3" t="s">
        <v>2272</v>
      </c>
      <c r="Z1800" s="3" t="s">
        <v>2272</v>
      </c>
      <c r="AA1800" s="3" t="s">
        <v>2272</v>
      </c>
      <c r="AB1800" s="3"/>
      <c r="AC1800" s="3"/>
    </row>
    <row r="1801" spans="1:29" ht="35.5" customHeight="1">
      <c r="A1801" s="151" t="str">
        <f>'Reported burning'!A1801</f>
        <v>209g</v>
      </c>
      <c r="B1801" s="151" t="str">
        <f>'Reported burning'!B1801</f>
        <v>209g.3</v>
      </c>
      <c r="C1801" s="151" t="str">
        <f>'Reported burning'!C1801</f>
        <v>Human, deliberate</v>
      </c>
      <c r="D1801" s="151" t="str">
        <f>'Reported burning'!D1801</f>
        <v>Hunting</v>
      </c>
      <c r="E1801" s="151" t="str">
        <f>'Reported burning'!E1801</f>
        <v>Forestry, Traditional</v>
      </c>
      <c r="F1801" s="151" t="str">
        <f>'Reported burning'!F1801</f>
        <v>Forest</v>
      </c>
      <c r="G1801" s="151" t="str">
        <f>'Reported burning'!G1801</f>
        <v>Forest</v>
      </c>
      <c r="H1801" s="151" t="str">
        <f>'Reported burning'!H1801</f>
        <v>Presence</v>
      </c>
      <c r="I1801" s="5"/>
      <c r="J1801" s="3" t="s">
        <v>2272</v>
      </c>
      <c r="K1801" s="198" t="s">
        <v>2272</v>
      </c>
      <c r="L1801" s="3" t="s">
        <v>2272</v>
      </c>
      <c r="M1801" s="3" t="s">
        <v>2272</v>
      </c>
      <c r="N1801" s="3" t="s">
        <v>2272</v>
      </c>
      <c r="O1801" s="3" t="s">
        <v>2272</v>
      </c>
      <c r="P1801" s="3" t="s">
        <v>2272</v>
      </c>
      <c r="Q1801" s="3" t="s">
        <v>2272</v>
      </c>
      <c r="R1801" s="3" t="s">
        <v>2272</v>
      </c>
      <c r="S1801" s="3" t="s">
        <v>2272</v>
      </c>
      <c r="T1801" s="3" t="s">
        <v>2272</v>
      </c>
      <c r="U1801" s="3" t="s">
        <v>2272</v>
      </c>
      <c r="V1801" s="3" t="s">
        <v>2272</v>
      </c>
      <c r="W1801" s="3" t="s">
        <v>2272</v>
      </c>
      <c r="X1801" s="3" t="s">
        <v>2272</v>
      </c>
      <c r="Y1801" s="3" t="s">
        <v>2272</v>
      </c>
      <c r="Z1801" s="3" t="s">
        <v>2272</v>
      </c>
      <c r="AA1801" s="3" t="s">
        <v>2272</v>
      </c>
      <c r="AB1801" s="3"/>
      <c r="AC1801" s="3"/>
    </row>
    <row r="1802" spans="1:29" ht="35.5" customHeight="1">
      <c r="A1802" s="151" t="str">
        <f>'Reported burning'!A1802</f>
        <v>209g</v>
      </c>
      <c r="B1802" s="151" t="str">
        <f>'Reported burning'!B1802</f>
        <v>209g.4</v>
      </c>
      <c r="C1802" s="151" t="str">
        <f>'Reported burning'!C1802</f>
        <v>Human, deliberate</v>
      </c>
      <c r="D1802" s="151" t="str">
        <f>'Reported burning'!D1802</f>
        <v>Harvesting of Timber</v>
      </c>
      <c r="E1802" s="151" t="str">
        <f>'Reported burning'!E1802</f>
        <v>Forestry, Small-scale</v>
      </c>
      <c r="F1802" s="151" t="str">
        <f>'Reported burning'!F1802</f>
        <v>Forest</v>
      </c>
      <c r="G1802" s="151" t="str">
        <f>'Reported burning'!G1802</f>
        <v>Forest</v>
      </c>
      <c r="H1802" s="151" t="str">
        <f>'Reported burning'!H1802</f>
        <v>Presence</v>
      </c>
      <c r="I1802" s="5"/>
      <c r="J1802" s="3" t="s">
        <v>2272</v>
      </c>
      <c r="K1802" s="198" t="s">
        <v>2272</v>
      </c>
      <c r="L1802" s="3" t="s">
        <v>2272</v>
      </c>
      <c r="M1802" s="3" t="s">
        <v>2272</v>
      </c>
      <c r="N1802" s="3" t="s">
        <v>2272</v>
      </c>
      <c r="O1802" s="3" t="s">
        <v>2272</v>
      </c>
      <c r="P1802" s="3" t="s">
        <v>2272</v>
      </c>
      <c r="Q1802" s="3" t="s">
        <v>2272</v>
      </c>
      <c r="R1802" s="3" t="s">
        <v>2272</v>
      </c>
      <c r="S1802" s="3" t="s">
        <v>2272</v>
      </c>
      <c r="T1802" s="3" t="s">
        <v>2272</v>
      </c>
      <c r="U1802" s="3" t="s">
        <v>2272</v>
      </c>
      <c r="V1802" s="3" t="s">
        <v>2272</v>
      </c>
      <c r="W1802" s="3" t="s">
        <v>2272</v>
      </c>
      <c r="X1802" s="3" t="s">
        <v>2272</v>
      </c>
      <c r="Y1802" s="3" t="s">
        <v>2272</v>
      </c>
      <c r="Z1802" s="3" t="s">
        <v>2272</v>
      </c>
      <c r="AA1802" s="3" t="s">
        <v>2272</v>
      </c>
      <c r="AB1802" s="3"/>
      <c r="AC1802" s="3"/>
    </row>
    <row r="1803" spans="1:29" ht="35.5" customHeight="1">
      <c r="A1803" s="151" t="str">
        <f>'Reported burning'!A1803</f>
        <v>209g</v>
      </c>
      <c r="B1803" s="151" t="str">
        <f>'Reported burning'!B1803</f>
        <v>209g.5</v>
      </c>
      <c r="C1803" s="151" t="str">
        <f>'Reported burning'!C1803</f>
        <v>Human, deliberate</v>
      </c>
      <c r="D1803" s="151" t="str">
        <f>'Reported burning'!D1803</f>
        <v>Arson</v>
      </c>
      <c r="E1803" s="151" t="str">
        <f>'Reported burning'!E1803</f>
        <v>ND</v>
      </c>
      <c r="F1803" s="151" t="str">
        <f>'Reported burning'!F1803</f>
        <v>ND</v>
      </c>
      <c r="G1803" s="151" t="str">
        <f>'Reported burning'!G1803</f>
        <v>Forest</v>
      </c>
      <c r="H1803" s="151" t="str">
        <f>'Reported burning'!H1803</f>
        <v>Presence</v>
      </c>
      <c r="I1803" s="5"/>
      <c r="J1803" s="3" t="s">
        <v>2272</v>
      </c>
      <c r="K1803" s="198" t="s">
        <v>2272</v>
      </c>
      <c r="L1803" s="3" t="s">
        <v>2272</v>
      </c>
      <c r="M1803" s="3" t="s">
        <v>2272</v>
      </c>
      <c r="N1803" s="3" t="s">
        <v>2272</v>
      </c>
      <c r="O1803" s="3" t="s">
        <v>2272</v>
      </c>
      <c r="P1803" s="3" t="s">
        <v>2272</v>
      </c>
      <c r="Q1803" s="3" t="s">
        <v>2272</v>
      </c>
      <c r="R1803" s="3" t="s">
        <v>2272</v>
      </c>
      <c r="S1803" s="3" t="s">
        <v>2272</v>
      </c>
      <c r="T1803" s="3" t="s">
        <v>2272</v>
      </c>
      <c r="U1803" s="3" t="s">
        <v>2272</v>
      </c>
      <c r="V1803" s="3" t="s">
        <v>2272</v>
      </c>
      <c r="W1803" s="3" t="s">
        <v>2272</v>
      </c>
      <c r="X1803" s="3" t="s">
        <v>2272</v>
      </c>
      <c r="Y1803" s="3" t="s">
        <v>2272</v>
      </c>
      <c r="Z1803" s="3" t="s">
        <v>2272</v>
      </c>
      <c r="AA1803" s="3" t="s">
        <v>2272</v>
      </c>
      <c r="AB1803" s="3"/>
      <c r="AC1803" s="3"/>
    </row>
    <row r="1804" spans="1:29" ht="35.5" customHeight="1">
      <c r="A1804" s="151" t="str">
        <f>'Reported burning'!A1804</f>
        <v>209g</v>
      </c>
      <c r="B1804" s="151" t="str">
        <f>'Reported burning'!B1804</f>
        <v>209g.6</v>
      </c>
      <c r="C1804" s="151" t="str">
        <f>'Reported burning'!C1804</f>
        <v>Human, deliberate</v>
      </c>
      <c r="D1804" s="151" t="str">
        <f>'Reported burning'!D1804</f>
        <v>Crop field preparation</v>
      </c>
      <c r="E1804" s="151" t="str">
        <f>'Reported burning'!E1804</f>
        <v>Cropping, Swidden</v>
      </c>
      <c r="F1804" s="151" t="str">
        <f>'Reported burning'!F1804</f>
        <v>Forest</v>
      </c>
      <c r="G1804" s="151" t="str">
        <f>'Reported burning'!G1804</f>
        <v>ND</v>
      </c>
      <c r="H1804" s="151" t="str">
        <f>'Reported burning'!H1804</f>
        <v>Presence</v>
      </c>
      <c r="I1804" s="5"/>
      <c r="J1804" s="3" t="s">
        <v>2272</v>
      </c>
      <c r="K1804" s="198" t="s">
        <v>2272</v>
      </c>
      <c r="L1804" s="3" t="s">
        <v>2272</v>
      </c>
      <c r="M1804" s="3" t="s">
        <v>2272</v>
      </c>
      <c r="N1804" s="3" t="s">
        <v>2272</v>
      </c>
      <c r="O1804" s="3" t="s">
        <v>2272</v>
      </c>
      <c r="P1804" s="3" t="s">
        <v>2272</v>
      </c>
      <c r="Q1804" s="3" t="s">
        <v>2272</v>
      </c>
      <c r="R1804" s="3" t="s">
        <v>2272</v>
      </c>
      <c r="S1804" s="3" t="s">
        <v>2272</v>
      </c>
      <c r="T1804" s="3" t="s">
        <v>2272</v>
      </c>
      <c r="U1804" s="3" t="s">
        <v>2272</v>
      </c>
      <c r="V1804" s="3" t="s">
        <v>2272</v>
      </c>
      <c r="W1804" s="3" t="s">
        <v>2272</v>
      </c>
      <c r="X1804" s="3" t="s">
        <v>2272</v>
      </c>
      <c r="Y1804" s="3" t="s">
        <v>2272</v>
      </c>
      <c r="Z1804" s="3" t="s">
        <v>2272</v>
      </c>
      <c r="AA1804" s="3" t="s">
        <v>2272</v>
      </c>
      <c r="AB1804" s="3"/>
      <c r="AC1804" s="3"/>
    </row>
    <row r="1805" spans="1:29" ht="35.5" customHeight="1">
      <c r="A1805" s="151" t="str">
        <f>'Reported burning'!A1805</f>
        <v>209g</v>
      </c>
      <c r="B1805" s="151" t="str">
        <f>'Reported burning'!B1805</f>
        <v>209g.7</v>
      </c>
      <c r="C1805" s="151" t="str">
        <f>'Reported burning'!C1805</f>
        <v>Human, escaped</v>
      </c>
      <c r="D1805" s="151" t="str">
        <f>'Reported burning'!D1805</f>
        <v>Charcoal production</v>
      </c>
      <c r="E1805" s="151" t="str">
        <f>'Reported burning'!E1805</f>
        <v>ND</v>
      </c>
      <c r="F1805" s="151" t="str">
        <f>'Reported burning'!F1805</f>
        <v>ND</v>
      </c>
      <c r="G1805" s="151" t="str">
        <f>'Reported burning'!G1805</f>
        <v>Forest</v>
      </c>
      <c r="H1805" s="151" t="str">
        <f>'Reported burning'!H1805</f>
        <v>Presence</v>
      </c>
      <c r="I1805" s="5"/>
      <c r="J1805" s="3" t="s">
        <v>2272</v>
      </c>
      <c r="K1805" s="198" t="s">
        <v>2272</v>
      </c>
      <c r="L1805" s="3" t="s">
        <v>2272</v>
      </c>
      <c r="M1805" s="3" t="s">
        <v>2272</v>
      </c>
      <c r="N1805" s="3" t="s">
        <v>2272</v>
      </c>
      <c r="O1805" s="3" t="s">
        <v>2272</v>
      </c>
      <c r="P1805" s="3" t="s">
        <v>2272</v>
      </c>
      <c r="Q1805" s="3" t="s">
        <v>2272</v>
      </c>
      <c r="R1805" s="3" t="s">
        <v>2272</v>
      </c>
      <c r="S1805" s="3" t="s">
        <v>2272</v>
      </c>
      <c r="T1805" s="3" t="s">
        <v>2272</v>
      </c>
      <c r="U1805" s="3" t="s">
        <v>2272</v>
      </c>
      <c r="V1805" s="3" t="s">
        <v>2272</v>
      </c>
      <c r="W1805" s="3" t="s">
        <v>2272</v>
      </c>
      <c r="X1805" s="3" t="s">
        <v>2272</v>
      </c>
      <c r="Y1805" s="3" t="s">
        <v>2272</v>
      </c>
      <c r="Z1805" s="3" t="s">
        <v>2272</v>
      </c>
      <c r="AA1805" s="3" t="s">
        <v>2272</v>
      </c>
      <c r="AB1805" s="3"/>
      <c r="AC1805" s="3"/>
    </row>
    <row r="1806" spans="1:29" ht="35.5" customHeight="1">
      <c r="A1806" s="151" t="str">
        <f>'Reported burning'!A1806</f>
        <v>209g</v>
      </c>
      <c r="B1806" s="151" t="str">
        <f>'Reported burning'!B1806</f>
        <v>209g.8</v>
      </c>
      <c r="C1806" s="151" t="str">
        <f>'Reported burning'!C1806</f>
        <v>Human, accidental</v>
      </c>
      <c r="D1806" s="151" t="str">
        <f>'Reported burning'!D1806</f>
        <v>ND</v>
      </c>
      <c r="E1806" s="151" t="str">
        <f>'Reported burning'!E1806</f>
        <v>All</v>
      </c>
      <c r="F1806" s="151" t="str">
        <f>'Reported burning'!F1806</f>
        <v>ND</v>
      </c>
      <c r="G1806" s="151" t="str">
        <f>'Reported burning'!G1806</f>
        <v>Forest</v>
      </c>
      <c r="H1806" s="151" t="str">
        <f>'Reported burning'!H1806</f>
        <v>Presence</v>
      </c>
      <c r="I1806" s="5"/>
      <c r="J1806" s="3" t="s">
        <v>2272</v>
      </c>
      <c r="K1806" s="198" t="s">
        <v>2272</v>
      </c>
      <c r="L1806" s="3" t="s">
        <v>2272</v>
      </c>
      <c r="M1806" s="3" t="s">
        <v>2272</v>
      </c>
      <c r="N1806" s="3" t="s">
        <v>2272</v>
      </c>
      <c r="O1806" s="3" t="s">
        <v>2272</v>
      </c>
      <c r="P1806" s="3" t="s">
        <v>2272</v>
      </c>
      <c r="Q1806" s="3" t="s">
        <v>2272</v>
      </c>
      <c r="R1806" s="3" t="s">
        <v>2272</v>
      </c>
      <c r="S1806" s="3" t="s">
        <v>2272</v>
      </c>
      <c r="T1806" s="3" t="s">
        <v>2272</v>
      </c>
      <c r="U1806" s="3" t="s">
        <v>2272</v>
      </c>
      <c r="V1806" s="3" t="s">
        <v>2272</v>
      </c>
      <c r="W1806" s="3" t="s">
        <v>2272</v>
      </c>
      <c r="X1806" s="3" t="s">
        <v>2272</v>
      </c>
      <c r="Y1806" s="3" t="s">
        <v>2272</v>
      </c>
      <c r="Z1806" s="3" t="s">
        <v>2272</v>
      </c>
      <c r="AA1806" s="3" t="s">
        <v>2272</v>
      </c>
      <c r="AB1806" s="3"/>
      <c r="AC1806" s="3"/>
    </row>
    <row r="1807" spans="1:29" ht="35.5" customHeight="1">
      <c r="A1807" s="151" t="str">
        <f>'Reported burning'!A1807</f>
        <v>209g</v>
      </c>
      <c r="B1807" s="151" t="str">
        <f>'Reported burning'!B1807</f>
        <v>209g.9</v>
      </c>
      <c r="C1807" s="151" t="str">
        <f>'Reported burning'!C1807</f>
        <v>Human, escaped</v>
      </c>
      <c r="D1807" s="151" t="str">
        <f>'Reported burning'!D1807</f>
        <v>Cultural &amp; Spiritual</v>
      </c>
      <c r="E1807" s="151" t="str">
        <f>'Reported burning'!E1807</f>
        <v>All</v>
      </c>
      <c r="F1807" s="151" t="str">
        <f>'Reported burning'!F1807</f>
        <v>ND</v>
      </c>
      <c r="G1807" s="151" t="str">
        <f>'Reported burning'!G1807</f>
        <v>Forest</v>
      </c>
      <c r="H1807" s="151" t="str">
        <f>'Reported burning'!H1807</f>
        <v>Presence</v>
      </c>
      <c r="I1807" s="5"/>
      <c r="J1807" s="3" t="s">
        <v>2272</v>
      </c>
      <c r="K1807" s="198" t="s">
        <v>2272</v>
      </c>
      <c r="L1807" s="3" t="s">
        <v>2272</v>
      </c>
      <c r="M1807" s="3" t="s">
        <v>2272</v>
      </c>
      <c r="N1807" s="3" t="s">
        <v>2272</v>
      </c>
      <c r="O1807" s="3" t="s">
        <v>2272</v>
      </c>
      <c r="P1807" s="3" t="s">
        <v>2272</v>
      </c>
      <c r="Q1807" s="3" t="s">
        <v>2272</v>
      </c>
      <c r="R1807" s="3" t="s">
        <v>2272</v>
      </c>
      <c r="S1807" s="3" t="s">
        <v>2272</v>
      </c>
      <c r="T1807" s="3" t="s">
        <v>2272</v>
      </c>
      <c r="U1807" s="3" t="s">
        <v>2272</v>
      </c>
      <c r="V1807" s="3" t="s">
        <v>2272</v>
      </c>
      <c r="W1807" s="3" t="s">
        <v>2272</v>
      </c>
      <c r="X1807" s="3" t="s">
        <v>2272</v>
      </c>
      <c r="Y1807" s="3" t="s">
        <v>2272</v>
      </c>
      <c r="Z1807" s="3" t="s">
        <v>2272</v>
      </c>
      <c r="AA1807" s="3" t="s">
        <v>2272</v>
      </c>
      <c r="AB1807" s="3"/>
      <c r="AC1807" s="3"/>
    </row>
    <row r="1808" spans="1:29" ht="35.5" customHeight="1">
      <c r="A1808" s="151" t="str">
        <f>'Reported burning'!A1808</f>
        <v>209g</v>
      </c>
      <c r="B1808" s="151" t="str">
        <f>'Reported burning'!B1808</f>
        <v>209g.10</v>
      </c>
      <c r="C1808" s="151" t="str">
        <f>'Reported burning'!C1808</f>
        <v>Human, escaped</v>
      </c>
      <c r="D1808" s="151" t="str">
        <f>'Reported burning'!D1808</f>
        <v>Domestic</v>
      </c>
      <c r="E1808" s="151" t="str">
        <f>'Reported burning'!E1808</f>
        <v>All</v>
      </c>
      <c r="F1808" s="151" t="str">
        <f>'Reported burning'!F1808</f>
        <v>ND</v>
      </c>
      <c r="G1808" s="151" t="str">
        <f>'Reported burning'!G1808</f>
        <v>Forest</v>
      </c>
      <c r="H1808" s="151" t="str">
        <f>'Reported burning'!H1808</f>
        <v>Presence</v>
      </c>
      <c r="I1808" s="5"/>
      <c r="J1808" s="3" t="s">
        <v>2272</v>
      </c>
      <c r="K1808" s="198" t="s">
        <v>2272</v>
      </c>
      <c r="L1808" s="3" t="s">
        <v>2272</v>
      </c>
      <c r="M1808" s="3" t="s">
        <v>2272</v>
      </c>
      <c r="N1808" s="3" t="s">
        <v>2272</v>
      </c>
      <c r="O1808" s="3" t="s">
        <v>2272</v>
      </c>
      <c r="P1808" s="3" t="s">
        <v>2272</v>
      </c>
      <c r="Q1808" s="3" t="s">
        <v>2272</v>
      </c>
      <c r="R1808" s="3" t="s">
        <v>2272</v>
      </c>
      <c r="S1808" s="3" t="s">
        <v>2272</v>
      </c>
      <c r="T1808" s="3" t="s">
        <v>2272</v>
      </c>
      <c r="U1808" s="3" t="s">
        <v>2272</v>
      </c>
      <c r="V1808" s="3" t="s">
        <v>2272</v>
      </c>
      <c r="W1808" s="3" t="s">
        <v>2272</v>
      </c>
      <c r="X1808" s="3" t="s">
        <v>2272</v>
      </c>
      <c r="Y1808" s="3" t="s">
        <v>2272</v>
      </c>
      <c r="Z1808" s="3" t="s">
        <v>2272</v>
      </c>
      <c r="AA1808" s="3" t="s">
        <v>2272</v>
      </c>
      <c r="AB1808" s="3"/>
      <c r="AC1808" s="3"/>
    </row>
    <row r="1809" spans="1:29" ht="29" customHeight="1">
      <c r="A1809" s="151" t="str">
        <f>'Reported burning'!A1809</f>
        <v>209a</v>
      </c>
      <c r="B1809" s="151" t="str">
        <f>'Reported burning'!B1809</f>
        <v>209a.11</v>
      </c>
      <c r="C1809" s="151" t="str">
        <f>'Reported burning'!C1809</f>
        <v>All</v>
      </c>
      <c r="D1809" s="151" t="str">
        <f>'Reported burning'!D1809</f>
        <v>ND</v>
      </c>
      <c r="E1809" s="151" t="str">
        <f>'Reported burning'!E1809</f>
        <v>All</v>
      </c>
      <c r="F1809" s="151" t="str">
        <f>'Reported burning'!F1809</f>
        <v>ND</v>
      </c>
      <c r="G1809" s="151" t="str">
        <f>'Reported burning'!G1809</f>
        <v>Forest</v>
      </c>
      <c r="H1809" s="151" t="str">
        <f>'Reported burning'!H1809</f>
        <v>Presence</v>
      </c>
      <c r="I1809" s="5"/>
      <c r="J1809" s="3" t="s">
        <v>2272</v>
      </c>
      <c r="K1809" s="198" t="s">
        <v>2272</v>
      </c>
      <c r="L1809" s="3" t="s">
        <v>2272</v>
      </c>
      <c r="M1809" s="3" t="s">
        <v>2272</v>
      </c>
      <c r="N1809" s="3" t="s">
        <v>2272</v>
      </c>
      <c r="O1809" s="3" t="s">
        <v>2272</v>
      </c>
      <c r="P1809" s="3" t="s">
        <v>2272</v>
      </c>
      <c r="Q1809" s="21" t="s">
        <v>2371</v>
      </c>
      <c r="R1809" s="3" t="s">
        <v>2272</v>
      </c>
      <c r="S1809" s="21" t="s">
        <v>2369</v>
      </c>
      <c r="T1809" s="3" t="s">
        <v>2272</v>
      </c>
      <c r="U1809" s="3" t="s">
        <v>2272</v>
      </c>
      <c r="V1809" s="3" t="s">
        <v>2272</v>
      </c>
      <c r="W1809" s="3" t="s">
        <v>2272</v>
      </c>
      <c r="X1809" s="3" t="s">
        <v>2272</v>
      </c>
      <c r="Y1809" s="3" t="s">
        <v>397</v>
      </c>
      <c r="Z1809" s="3" t="s">
        <v>84</v>
      </c>
      <c r="AA1809" s="3" t="s">
        <v>75</v>
      </c>
      <c r="AB1809" s="3"/>
      <c r="AC1809" s="3" t="s">
        <v>5329</v>
      </c>
    </row>
    <row r="1810" spans="1:29" ht="29" customHeight="1">
      <c r="A1810" s="151" t="str">
        <f>'Reported burning'!A1810</f>
        <v>209a</v>
      </c>
      <c r="B1810" s="151" t="str">
        <f>'Reported burning'!B1810</f>
        <v>209a.12</v>
      </c>
      <c r="C1810" s="151" t="str">
        <f>'Reported burning'!C1810</f>
        <v>All</v>
      </c>
      <c r="D1810" s="151" t="str">
        <f>'Reported burning'!D1810</f>
        <v>ND</v>
      </c>
      <c r="E1810" s="151" t="str">
        <f>'Reported burning'!E1810</f>
        <v>All</v>
      </c>
      <c r="F1810" s="151" t="str">
        <f>'Reported burning'!F1810</f>
        <v>ND</v>
      </c>
      <c r="G1810" s="151" t="str">
        <f>'Reported burning'!G1810</f>
        <v>Forest</v>
      </c>
      <c r="H1810" s="151" t="str">
        <f>'Reported burning'!H1810</f>
        <v>Presence</v>
      </c>
      <c r="I1810" s="5"/>
      <c r="J1810" s="3" t="s">
        <v>2272</v>
      </c>
      <c r="K1810" s="198" t="s">
        <v>2272</v>
      </c>
      <c r="L1810" s="3" t="s">
        <v>2272</v>
      </c>
      <c r="M1810" s="3" t="s">
        <v>2272</v>
      </c>
      <c r="N1810" s="3" t="s">
        <v>2272</v>
      </c>
      <c r="O1810" s="3" t="s">
        <v>2272</v>
      </c>
      <c r="P1810" s="3" t="s">
        <v>2272</v>
      </c>
      <c r="Q1810" s="21" t="s">
        <v>2371</v>
      </c>
      <c r="R1810" s="3" t="s">
        <v>2272</v>
      </c>
      <c r="S1810" s="21" t="s">
        <v>2369</v>
      </c>
      <c r="T1810" s="3" t="s">
        <v>2272</v>
      </c>
      <c r="U1810" s="3" t="s">
        <v>2272</v>
      </c>
      <c r="V1810" s="3" t="s">
        <v>2272</v>
      </c>
      <c r="W1810" s="3" t="s">
        <v>2272</v>
      </c>
      <c r="X1810" s="3" t="s">
        <v>2272</v>
      </c>
      <c r="Y1810" s="3" t="s">
        <v>397</v>
      </c>
      <c r="Z1810" s="3" t="s">
        <v>84</v>
      </c>
      <c r="AA1810" s="3" t="s">
        <v>75</v>
      </c>
      <c r="AB1810" s="3"/>
      <c r="AC1810" s="3" t="s">
        <v>5329</v>
      </c>
    </row>
    <row r="1811" spans="1:29" ht="29" customHeight="1">
      <c r="A1811" s="151" t="str">
        <f>'Reported burning'!A1811</f>
        <v>209b</v>
      </c>
      <c r="B1811" s="151" t="str">
        <f>'Reported burning'!B1811</f>
        <v>209b.11</v>
      </c>
      <c r="C1811" s="151" t="str">
        <f>'Reported burning'!C1811</f>
        <v>All</v>
      </c>
      <c r="D1811" s="151" t="str">
        <f>'Reported burning'!D1811</f>
        <v>ND</v>
      </c>
      <c r="E1811" s="151" t="str">
        <f>'Reported burning'!E1811</f>
        <v>All</v>
      </c>
      <c r="F1811" s="151" t="str">
        <f>'Reported burning'!F1811</f>
        <v>ND</v>
      </c>
      <c r="G1811" s="151" t="str">
        <f>'Reported burning'!G1811</f>
        <v>Forest</v>
      </c>
      <c r="H1811" s="151" t="str">
        <f>'Reported burning'!H1811</f>
        <v>Presence</v>
      </c>
      <c r="I1811" s="5"/>
      <c r="J1811" s="3" t="s">
        <v>2272</v>
      </c>
      <c r="K1811" s="198" t="s">
        <v>2272</v>
      </c>
      <c r="L1811" s="3" t="s">
        <v>2272</v>
      </c>
      <c r="M1811" s="3" t="s">
        <v>2272</v>
      </c>
      <c r="N1811" s="3" t="s">
        <v>2272</v>
      </c>
      <c r="O1811" s="3" t="s">
        <v>2272</v>
      </c>
      <c r="P1811" s="3" t="s">
        <v>2272</v>
      </c>
      <c r="Q1811" s="21" t="s">
        <v>2371</v>
      </c>
      <c r="R1811" s="3" t="s">
        <v>2272</v>
      </c>
      <c r="S1811" s="21" t="s">
        <v>2369</v>
      </c>
      <c r="T1811" s="3" t="s">
        <v>2272</v>
      </c>
      <c r="U1811" s="3" t="s">
        <v>2272</v>
      </c>
      <c r="V1811" s="3" t="s">
        <v>2272</v>
      </c>
      <c r="W1811" s="3" t="s">
        <v>2272</v>
      </c>
      <c r="X1811" s="3" t="s">
        <v>2272</v>
      </c>
      <c r="Y1811" s="3" t="s">
        <v>397</v>
      </c>
      <c r="Z1811" s="3" t="s">
        <v>84</v>
      </c>
      <c r="AA1811" s="3" t="s">
        <v>75</v>
      </c>
      <c r="AB1811" s="3"/>
      <c r="AC1811" s="3" t="s">
        <v>5329</v>
      </c>
    </row>
    <row r="1812" spans="1:29" ht="29" customHeight="1">
      <c r="A1812" s="151" t="str">
        <f>'Reported burning'!A1812</f>
        <v>209b</v>
      </c>
      <c r="B1812" s="151" t="str">
        <f>'Reported burning'!B1812</f>
        <v>209b.12</v>
      </c>
      <c r="C1812" s="151" t="str">
        <f>'Reported burning'!C1812</f>
        <v>All</v>
      </c>
      <c r="D1812" s="151" t="str">
        <f>'Reported burning'!D1812</f>
        <v>ND</v>
      </c>
      <c r="E1812" s="151" t="str">
        <f>'Reported burning'!E1812</f>
        <v>All</v>
      </c>
      <c r="F1812" s="151" t="str">
        <f>'Reported burning'!F1812</f>
        <v>ND</v>
      </c>
      <c r="G1812" s="151" t="str">
        <f>'Reported burning'!G1812</f>
        <v>Forest</v>
      </c>
      <c r="H1812" s="151" t="str">
        <f>'Reported burning'!H1812</f>
        <v>Presence</v>
      </c>
      <c r="I1812" s="5"/>
      <c r="J1812" s="3" t="s">
        <v>2272</v>
      </c>
      <c r="K1812" s="198" t="s">
        <v>2272</v>
      </c>
      <c r="L1812" s="3" t="s">
        <v>2272</v>
      </c>
      <c r="M1812" s="3" t="s">
        <v>2272</v>
      </c>
      <c r="N1812" s="3" t="s">
        <v>2272</v>
      </c>
      <c r="O1812" s="3" t="s">
        <v>2272</v>
      </c>
      <c r="P1812" s="3" t="s">
        <v>2272</v>
      </c>
      <c r="Q1812" s="21" t="s">
        <v>2371</v>
      </c>
      <c r="R1812" s="3" t="s">
        <v>2272</v>
      </c>
      <c r="S1812" s="21" t="s">
        <v>2369</v>
      </c>
      <c r="T1812" s="3" t="s">
        <v>2272</v>
      </c>
      <c r="U1812" s="3" t="s">
        <v>2272</v>
      </c>
      <c r="V1812" s="3" t="s">
        <v>2272</v>
      </c>
      <c r="W1812" s="3" t="s">
        <v>2272</v>
      </c>
      <c r="X1812" s="3" t="s">
        <v>2272</v>
      </c>
      <c r="Y1812" s="3" t="s">
        <v>397</v>
      </c>
      <c r="Z1812" s="3" t="s">
        <v>84</v>
      </c>
      <c r="AA1812" s="3" t="s">
        <v>75</v>
      </c>
      <c r="AB1812" s="3"/>
      <c r="AC1812" s="3" t="s">
        <v>5329</v>
      </c>
    </row>
    <row r="1813" spans="1:29" ht="29" customHeight="1">
      <c r="A1813" s="151" t="str">
        <f>'Reported burning'!A1813</f>
        <v>209c</v>
      </c>
      <c r="B1813" s="151" t="str">
        <f>'Reported burning'!B1813</f>
        <v>209c.11</v>
      </c>
      <c r="C1813" s="151" t="str">
        <f>'Reported burning'!C1813</f>
        <v>All</v>
      </c>
      <c r="D1813" s="151" t="str">
        <f>'Reported burning'!D1813</f>
        <v>ND</v>
      </c>
      <c r="E1813" s="151" t="str">
        <f>'Reported burning'!E1813</f>
        <v>All</v>
      </c>
      <c r="F1813" s="151" t="str">
        <f>'Reported burning'!F1813</f>
        <v>ND</v>
      </c>
      <c r="G1813" s="151" t="str">
        <f>'Reported burning'!G1813</f>
        <v>Forest</v>
      </c>
      <c r="H1813" s="151" t="str">
        <f>'Reported burning'!H1813</f>
        <v>Presence</v>
      </c>
      <c r="I1813" s="5"/>
      <c r="J1813" s="3" t="s">
        <v>2272</v>
      </c>
      <c r="K1813" s="198" t="s">
        <v>2272</v>
      </c>
      <c r="L1813" s="3" t="s">
        <v>2272</v>
      </c>
      <c r="M1813" s="3" t="s">
        <v>2272</v>
      </c>
      <c r="N1813" s="3" t="s">
        <v>2272</v>
      </c>
      <c r="O1813" s="3" t="s">
        <v>2272</v>
      </c>
      <c r="P1813" s="3" t="s">
        <v>2272</v>
      </c>
      <c r="Q1813" s="21" t="s">
        <v>2371</v>
      </c>
      <c r="R1813" s="3" t="s">
        <v>2272</v>
      </c>
      <c r="S1813" s="21" t="s">
        <v>2369</v>
      </c>
      <c r="T1813" s="3" t="s">
        <v>2272</v>
      </c>
      <c r="U1813" s="3" t="s">
        <v>2272</v>
      </c>
      <c r="V1813" s="3" t="s">
        <v>2272</v>
      </c>
      <c r="W1813" s="3" t="s">
        <v>2272</v>
      </c>
      <c r="X1813" s="3" t="s">
        <v>2272</v>
      </c>
      <c r="Y1813" s="3" t="s">
        <v>397</v>
      </c>
      <c r="Z1813" s="3" t="s">
        <v>84</v>
      </c>
      <c r="AA1813" s="3" t="s">
        <v>75</v>
      </c>
      <c r="AB1813" s="3"/>
      <c r="AC1813" s="3" t="s">
        <v>5329</v>
      </c>
    </row>
    <row r="1814" spans="1:29" ht="29" customHeight="1">
      <c r="A1814" s="151" t="str">
        <f>'Reported burning'!A1814</f>
        <v>209c</v>
      </c>
      <c r="B1814" s="151" t="str">
        <f>'Reported burning'!B1814</f>
        <v>209c.12</v>
      </c>
      <c r="C1814" s="151" t="str">
        <f>'Reported burning'!C1814</f>
        <v>All</v>
      </c>
      <c r="D1814" s="151" t="str">
        <f>'Reported burning'!D1814</f>
        <v>ND</v>
      </c>
      <c r="E1814" s="151" t="str">
        <f>'Reported burning'!E1814</f>
        <v>All</v>
      </c>
      <c r="F1814" s="151" t="str">
        <f>'Reported burning'!F1814</f>
        <v>ND</v>
      </c>
      <c r="G1814" s="151" t="str">
        <f>'Reported burning'!G1814</f>
        <v>Forest</v>
      </c>
      <c r="H1814" s="151" t="str">
        <f>'Reported burning'!H1814</f>
        <v>Presence</v>
      </c>
      <c r="I1814" s="5"/>
      <c r="J1814" s="3" t="s">
        <v>2272</v>
      </c>
      <c r="K1814" s="198" t="s">
        <v>2272</v>
      </c>
      <c r="L1814" s="3" t="s">
        <v>2272</v>
      </c>
      <c r="M1814" s="3" t="s">
        <v>2272</v>
      </c>
      <c r="N1814" s="3" t="s">
        <v>2272</v>
      </c>
      <c r="O1814" s="3" t="s">
        <v>2272</v>
      </c>
      <c r="P1814" s="3" t="s">
        <v>2272</v>
      </c>
      <c r="Q1814" s="21" t="s">
        <v>2371</v>
      </c>
      <c r="R1814" s="3" t="s">
        <v>2272</v>
      </c>
      <c r="S1814" s="21" t="s">
        <v>2369</v>
      </c>
      <c r="T1814" s="3" t="s">
        <v>2272</v>
      </c>
      <c r="U1814" s="3" t="s">
        <v>2272</v>
      </c>
      <c r="V1814" s="3" t="s">
        <v>2272</v>
      </c>
      <c r="W1814" s="3" t="s">
        <v>2272</v>
      </c>
      <c r="X1814" s="3" t="s">
        <v>2272</v>
      </c>
      <c r="Y1814" s="3" t="s">
        <v>397</v>
      </c>
      <c r="Z1814" s="3" t="s">
        <v>84</v>
      </c>
      <c r="AA1814" s="3" t="s">
        <v>75</v>
      </c>
      <c r="AB1814" s="3"/>
      <c r="AC1814" s="3" t="s">
        <v>5329</v>
      </c>
    </row>
    <row r="1815" spans="1:29" ht="29" customHeight="1">
      <c r="A1815" s="151" t="str">
        <f>'Reported burning'!A1815</f>
        <v>209d</v>
      </c>
      <c r="B1815" s="151" t="str">
        <f>'Reported burning'!B1815</f>
        <v>209d.11</v>
      </c>
      <c r="C1815" s="151" t="str">
        <f>'Reported burning'!C1815</f>
        <v>All</v>
      </c>
      <c r="D1815" s="151" t="str">
        <f>'Reported burning'!D1815</f>
        <v>ND</v>
      </c>
      <c r="E1815" s="151" t="str">
        <f>'Reported burning'!E1815</f>
        <v>All</v>
      </c>
      <c r="F1815" s="151" t="str">
        <f>'Reported burning'!F1815</f>
        <v>ND</v>
      </c>
      <c r="G1815" s="151" t="str">
        <f>'Reported burning'!G1815</f>
        <v>Forest</v>
      </c>
      <c r="H1815" s="151" t="str">
        <f>'Reported burning'!H1815</f>
        <v>Presence</v>
      </c>
      <c r="I1815" s="5"/>
      <c r="J1815" s="3" t="s">
        <v>2272</v>
      </c>
      <c r="K1815" s="198" t="s">
        <v>2272</v>
      </c>
      <c r="L1815" s="3" t="s">
        <v>2272</v>
      </c>
      <c r="M1815" s="3" t="s">
        <v>2272</v>
      </c>
      <c r="N1815" s="3" t="s">
        <v>2272</v>
      </c>
      <c r="O1815" s="3" t="s">
        <v>2272</v>
      </c>
      <c r="P1815" s="3" t="s">
        <v>2272</v>
      </c>
      <c r="Q1815" s="21" t="s">
        <v>2371</v>
      </c>
      <c r="R1815" s="3" t="s">
        <v>2272</v>
      </c>
      <c r="S1815" s="21" t="s">
        <v>2369</v>
      </c>
      <c r="T1815" s="3" t="s">
        <v>2272</v>
      </c>
      <c r="U1815" s="3" t="s">
        <v>2272</v>
      </c>
      <c r="V1815" s="3" t="s">
        <v>2272</v>
      </c>
      <c r="W1815" s="3" t="s">
        <v>2272</v>
      </c>
      <c r="X1815" s="3" t="s">
        <v>2272</v>
      </c>
      <c r="Y1815" s="3" t="s">
        <v>397</v>
      </c>
      <c r="Z1815" s="3" t="s">
        <v>84</v>
      </c>
      <c r="AA1815" s="3" t="s">
        <v>75</v>
      </c>
      <c r="AB1815" s="3"/>
      <c r="AC1815" s="3" t="s">
        <v>5329</v>
      </c>
    </row>
    <row r="1816" spans="1:29" ht="29" customHeight="1">
      <c r="A1816" s="151" t="str">
        <f>'Reported burning'!A1816</f>
        <v>209d</v>
      </c>
      <c r="B1816" s="151" t="str">
        <f>'Reported burning'!B1816</f>
        <v>209d.12</v>
      </c>
      <c r="C1816" s="151" t="str">
        <f>'Reported burning'!C1816</f>
        <v>All</v>
      </c>
      <c r="D1816" s="151" t="str">
        <f>'Reported burning'!D1816</f>
        <v>ND</v>
      </c>
      <c r="E1816" s="151" t="str">
        <f>'Reported burning'!E1816</f>
        <v>All</v>
      </c>
      <c r="F1816" s="151" t="str">
        <f>'Reported burning'!F1816</f>
        <v>ND</v>
      </c>
      <c r="G1816" s="151" t="str">
        <f>'Reported burning'!G1816</f>
        <v>Forest</v>
      </c>
      <c r="H1816" s="151" t="str">
        <f>'Reported burning'!H1816</f>
        <v>Presence</v>
      </c>
      <c r="I1816" s="5"/>
      <c r="J1816" s="3" t="s">
        <v>2272</v>
      </c>
      <c r="K1816" s="198" t="s">
        <v>2272</v>
      </c>
      <c r="L1816" s="3" t="s">
        <v>2272</v>
      </c>
      <c r="M1816" s="3" t="s">
        <v>2272</v>
      </c>
      <c r="N1816" s="3" t="s">
        <v>2272</v>
      </c>
      <c r="O1816" s="3" t="s">
        <v>2272</v>
      </c>
      <c r="P1816" s="3" t="s">
        <v>2272</v>
      </c>
      <c r="Q1816" s="21" t="s">
        <v>2371</v>
      </c>
      <c r="R1816" s="3" t="s">
        <v>2272</v>
      </c>
      <c r="S1816" s="21" t="s">
        <v>2369</v>
      </c>
      <c r="T1816" s="3" t="s">
        <v>2272</v>
      </c>
      <c r="U1816" s="3" t="s">
        <v>2272</v>
      </c>
      <c r="V1816" s="3" t="s">
        <v>2272</v>
      </c>
      <c r="W1816" s="3" t="s">
        <v>2272</v>
      </c>
      <c r="X1816" s="3" t="s">
        <v>2272</v>
      </c>
      <c r="Y1816" s="3" t="s">
        <v>397</v>
      </c>
      <c r="Z1816" s="3" t="s">
        <v>84</v>
      </c>
      <c r="AA1816" s="3" t="s">
        <v>75</v>
      </c>
      <c r="AB1816" s="3"/>
      <c r="AC1816" s="3" t="s">
        <v>5329</v>
      </c>
    </row>
    <row r="1817" spans="1:29" ht="29" customHeight="1">
      <c r="A1817" s="151" t="str">
        <f>'Reported burning'!A1817</f>
        <v>209e</v>
      </c>
      <c r="B1817" s="151" t="str">
        <f>'Reported burning'!B1817</f>
        <v>209e.11</v>
      </c>
      <c r="C1817" s="151" t="str">
        <f>'Reported burning'!C1817</f>
        <v>All</v>
      </c>
      <c r="D1817" s="151" t="str">
        <f>'Reported burning'!D1817</f>
        <v>ND</v>
      </c>
      <c r="E1817" s="151" t="str">
        <f>'Reported burning'!E1817</f>
        <v>All</v>
      </c>
      <c r="F1817" s="151" t="str">
        <f>'Reported burning'!F1817</f>
        <v>ND</v>
      </c>
      <c r="G1817" s="151" t="str">
        <f>'Reported burning'!G1817</f>
        <v>Forest</v>
      </c>
      <c r="H1817" s="151" t="str">
        <f>'Reported burning'!H1817</f>
        <v>Presence</v>
      </c>
      <c r="I1817" s="5"/>
      <c r="J1817" s="3" t="s">
        <v>2272</v>
      </c>
      <c r="K1817" s="198" t="s">
        <v>2272</v>
      </c>
      <c r="L1817" s="3" t="s">
        <v>2272</v>
      </c>
      <c r="M1817" s="3" t="s">
        <v>2272</v>
      </c>
      <c r="N1817" s="3" t="s">
        <v>2272</v>
      </c>
      <c r="O1817" s="3" t="s">
        <v>2272</v>
      </c>
      <c r="P1817" s="3" t="s">
        <v>2272</v>
      </c>
      <c r="Q1817" s="21" t="s">
        <v>2371</v>
      </c>
      <c r="R1817" s="3" t="s">
        <v>2272</v>
      </c>
      <c r="S1817" s="21" t="s">
        <v>2369</v>
      </c>
      <c r="T1817" s="3" t="s">
        <v>2272</v>
      </c>
      <c r="U1817" s="3" t="s">
        <v>2272</v>
      </c>
      <c r="V1817" s="3" t="s">
        <v>2272</v>
      </c>
      <c r="W1817" s="3" t="s">
        <v>2272</v>
      </c>
      <c r="X1817" s="3" t="s">
        <v>2272</v>
      </c>
      <c r="Y1817" s="3" t="s">
        <v>397</v>
      </c>
      <c r="Z1817" s="3" t="s">
        <v>84</v>
      </c>
      <c r="AA1817" s="3" t="s">
        <v>75</v>
      </c>
      <c r="AB1817" s="3"/>
      <c r="AC1817" s="3" t="s">
        <v>5329</v>
      </c>
    </row>
    <row r="1818" spans="1:29" ht="29" customHeight="1">
      <c r="A1818" s="151" t="str">
        <f>'Reported burning'!A1818</f>
        <v>209e</v>
      </c>
      <c r="B1818" s="151" t="str">
        <f>'Reported burning'!B1818</f>
        <v>209e.12</v>
      </c>
      <c r="C1818" s="151" t="str">
        <f>'Reported burning'!C1818</f>
        <v>All</v>
      </c>
      <c r="D1818" s="151" t="str">
        <f>'Reported burning'!D1818</f>
        <v>ND</v>
      </c>
      <c r="E1818" s="151" t="str">
        <f>'Reported burning'!E1818</f>
        <v>All</v>
      </c>
      <c r="F1818" s="151" t="str">
        <f>'Reported burning'!F1818</f>
        <v>ND</v>
      </c>
      <c r="G1818" s="151" t="str">
        <f>'Reported burning'!G1818</f>
        <v>Forest</v>
      </c>
      <c r="H1818" s="151" t="str">
        <f>'Reported burning'!H1818</f>
        <v>Presence</v>
      </c>
      <c r="I1818" s="5"/>
      <c r="J1818" s="3" t="s">
        <v>2272</v>
      </c>
      <c r="K1818" s="198" t="s">
        <v>2272</v>
      </c>
      <c r="L1818" s="3" t="s">
        <v>2272</v>
      </c>
      <c r="M1818" s="3" t="s">
        <v>2272</v>
      </c>
      <c r="N1818" s="3" t="s">
        <v>2272</v>
      </c>
      <c r="O1818" s="3" t="s">
        <v>2272</v>
      </c>
      <c r="P1818" s="3" t="s">
        <v>2272</v>
      </c>
      <c r="Q1818" s="21" t="s">
        <v>2371</v>
      </c>
      <c r="R1818" s="3" t="s">
        <v>2272</v>
      </c>
      <c r="S1818" s="21" t="s">
        <v>2369</v>
      </c>
      <c r="T1818" s="3" t="s">
        <v>2272</v>
      </c>
      <c r="U1818" s="3" t="s">
        <v>2272</v>
      </c>
      <c r="V1818" s="3" t="s">
        <v>2272</v>
      </c>
      <c r="W1818" s="3" t="s">
        <v>2272</v>
      </c>
      <c r="X1818" s="3" t="s">
        <v>2272</v>
      </c>
      <c r="Y1818" s="3" t="s">
        <v>397</v>
      </c>
      <c r="Z1818" s="3" t="s">
        <v>84</v>
      </c>
      <c r="AA1818" s="3" t="s">
        <v>75</v>
      </c>
      <c r="AB1818" s="3"/>
      <c r="AC1818" s="3" t="s">
        <v>5329</v>
      </c>
    </row>
    <row r="1819" spans="1:29" ht="29" customHeight="1">
      <c r="A1819" s="151" t="str">
        <f>'Reported burning'!A1819</f>
        <v>209f</v>
      </c>
      <c r="B1819" s="151" t="str">
        <f>'Reported burning'!B1819</f>
        <v>209f.11</v>
      </c>
      <c r="C1819" s="151" t="str">
        <f>'Reported burning'!C1819</f>
        <v>All</v>
      </c>
      <c r="D1819" s="151" t="str">
        <f>'Reported burning'!D1819</f>
        <v>ND</v>
      </c>
      <c r="E1819" s="151" t="str">
        <f>'Reported burning'!E1819</f>
        <v>All</v>
      </c>
      <c r="F1819" s="151" t="str">
        <f>'Reported burning'!F1819</f>
        <v>ND</v>
      </c>
      <c r="G1819" s="151" t="str">
        <f>'Reported burning'!G1819</f>
        <v>Forest</v>
      </c>
      <c r="H1819" s="151" t="str">
        <f>'Reported burning'!H1819</f>
        <v>Presence</v>
      </c>
      <c r="I1819" s="5"/>
      <c r="J1819" s="3" t="s">
        <v>2272</v>
      </c>
      <c r="K1819" s="198" t="s">
        <v>2272</v>
      </c>
      <c r="L1819" s="3" t="s">
        <v>2272</v>
      </c>
      <c r="M1819" s="3" t="s">
        <v>2272</v>
      </c>
      <c r="N1819" s="3" t="s">
        <v>2272</v>
      </c>
      <c r="O1819" s="3" t="s">
        <v>2272</v>
      </c>
      <c r="P1819" s="3" t="s">
        <v>2272</v>
      </c>
      <c r="Q1819" s="21" t="s">
        <v>2371</v>
      </c>
      <c r="R1819" s="3" t="s">
        <v>2272</v>
      </c>
      <c r="S1819" s="21" t="s">
        <v>2369</v>
      </c>
      <c r="T1819" s="3" t="s">
        <v>2272</v>
      </c>
      <c r="U1819" s="3" t="s">
        <v>2272</v>
      </c>
      <c r="V1819" s="3" t="s">
        <v>2272</v>
      </c>
      <c r="W1819" s="3" t="s">
        <v>2272</v>
      </c>
      <c r="X1819" s="3" t="s">
        <v>2272</v>
      </c>
      <c r="Y1819" s="3" t="s">
        <v>397</v>
      </c>
      <c r="Z1819" s="3" t="s">
        <v>84</v>
      </c>
      <c r="AA1819" s="3" t="s">
        <v>75</v>
      </c>
      <c r="AB1819" s="3"/>
      <c r="AC1819" s="3" t="s">
        <v>5329</v>
      </c>
    </row>
    <row r="1820" spans="1:29" ht="29" customHeight="1">
      <c r="A1820" s="151" t="str">
        <f>'Reported burning'!A1820</f>
        <v>209f</v>
      </c>
      <c r="B1820" s="151" t="str">
        <f>'Reported burning'!B1820</f>
        <v>209f.12</v>
      </c>
      <c r="C1820" s="151" t="str">
        <f>'Reported burning'!C1820</f>
        <v>All</v>
      </c>
      <c r="D1820" s="151" t="str">
        <f>'Reported burning'!D1820</f>
        <v>ND</v>
      </c>
      <c r="E1820" s="151" t="str">
        <f>'Reported burning'!E1820</f>
        <v>All</v>
      </c>
      <c r="F1820" s="151" t="str">
        <f>'Reported burning'!F1820</f>
        <v>ND</v>
      </c>
      <c r="G1820" s="151" t="str">
        <f>'Reported burning'!G1820</f>
        <v>Forest</v>
      </c>
      <c r="H1820" s="151" t="str">
        <f>'Reported burning'!H1820</f>
        <v>Presence</v>
      </c>
      <c r="I1820" s="5"/>
      <c r="J1820" s="3" t="s">
        <v>2272</v>
      </c>
      <c r="K1820" s="198" t="s">
        <v>2272</v>
      </c>
      <c r="L1820" s="3" t="s">
        <v>2272</v>
      </c>
      <c r="M1820" s="3" t="s">
        <v>2272</v>
      </c>
      <c r="N1820" s="3" t="s">
        <v>2272</v>
      </c>
      <c r="O1820" s="3" t="s">
        <v>2272</v>
      </c>
      <c r="P1820" s="3" t="s">
        <v>2272</v>
      </c>
      <c r="Q1820" s="21" t="s">
        <v>2371</v>
      </c>
      <c r="R1820" s="3" t="s">
        <v>2272</v>
      </c>
      <c r="S1820" s="21" t="s">
        <v>2369</v>
      </c>
      <c r="T1820" s="3" t="s">
        <v>2272</v>
      </c>
      <c r="U1820" s="3" t="s">
        <v>2272</v>
      </c>
      <c r="V1820" s="3" t="s">
        <v>2272</v>
      </c>
      <c r="W1820" s="3" t="s">
        <v>2272</v>
      </c>
      <c r="X1820" s="3" t="s">
        <v>2272</v>
      </c>
      <c r="Y1820" s="3" t="s">
        <v>397</v>
      </c>
      <c r="Z1820" s="3" t="s">
        <v>84</v>
      </c>
      <c r="AA1820" s="3" t="s">
        <v>75</v>
      </c>
      <c r="AB1820" s="3"/>
      <c r="AC1820" s="3" t="s">
        <v>5329</v>
      </c>
    </row>
    <row r="1821" spans="1:29" ht="29" customHeight="1">
      <c r="A1821" s="151" t="str">
        <f>'Reported burning'!A1821</f>
        <v>209g</v>
      </c>
      <c r="B1821" s="151" t="str">
        <f>'Reported burning'!B1821</f>
        <v>209g.11</v>
      </c>
      <c r="C1821" s="151" t="str">
        <f>'Reported burning'!C1821</f>
        <v>All</v>
      </c>
      <c r="D1821" s="151" t="str">
        <f>'Reported burning'!D1821</f>
        <v>ND</v>
      </c>
      <c r="E1821" s="151" t="str">
        <f>'Reported burning'!E1821</f>
        <v>All</v>
      </c>
      <c r="F1821" s="151" t="str">
        <f>'Reported burning'!F1821</f>
        <v>ND</v>
      </c>
      <c r="G1821" s="151" t="str">
        <f>'Reported burning'!G1821</f>
        <v>Forest</v>
      </c>
      <c r="H1821" s="151" t="str">
        <f>'Reported burning'!H1821</f>
        <v>Presence</v>
      </c>
      <c r="I1821" s="5"/>
      <c r="J1821" s="3" t="s">
        <v>2272</v>
      </c>
      <c r="K1821" s="198" t="s">
        <v>2272</v>
      </c>
      <c r="L1821" s="3" t="s">
        <v>2272</v>
      </c>
      <c r="M1821" s="3" t="s">
        <v>2272</v>
      </c>
      <c r="N1821" s="3" t="s">
        <v>2272</v>
      </c>
      <c r="O1821" s="3" t="s">
        <v>2272</v>
      </c>
      <c r="P1821" s="3" t="s">
        <v>2272</v>
      </c>
      <c r="Q1821" s="21" t="s">
        <v>2371</v>
      </c>
      <c r="R1821" s="3" t="s">
        <v>2272</v>
      </c>
      <c r="S1821" s="21" t="s">
        <v>2369</v>
      </c>
      <c r="T1821" s="3" t="s">
        <v>2272</v>
      </c>
      <c r="U1821" s="3" t="s">
        <v>2272</v>
      </c>
      <c r="V1821" s="3" t="s">
        <v>2272</v>
      </c>
      <c r="W1821" s="3" t="s">
        <v>2272</v>
      </c>
      <c r="X1821" s="3" t="s">
        <v>2272</v>
      </c>
      <c r="Y1821" s="3" t="s">
        <v>397</v>
      </c>
      <c r="Z1821" s="3" t="s">
        <v>84</v>
      </c>
      <c r="AA1821" s="3" t="s">
        <v>75</v>
      </c>
      <c r="AB1821" s="3"/>
      <c r="AC1821" s="3" t="s">
        <v>5329</v>
      </c>
    </row>
    <row r="1822" spans="1:29" ht="29" customHeight="1">
      <c r="A1822" s="151" t="str">
        <f>'Reported burning'!A1822</f>
        <v>209g</v>
      </c>
      <c r="B1822" s="151" t="str">
        <f>'Reported burning'!B1822</f>
        <v>209g.12</v>
      </c>
      <c r="C1822" s="151" t="str">
        <f>'Reported burning'!C1822</f>
        <v>All</v>
      </c>
      <c r="D1822" s="151" t="str">
        <f>'Reported burning'!D1822</f>
        <v>ND</v>
      </c>
      <c r="E1822" s="151" t="str">
        <f>'Reported burning'!E1822</f>
        <v>All</v>
      </c>
      <c r="F1822" s="151" t="str">
        <f>'Reported burning'!F1822</f>
        <v>ND</v>
      </c>
      <c r="G1822" s="151" t="str">
        <f>'Reported burning'!G1822</f>
        <v>Forest</v>
      </c>
      <c r="H1822" s="151" t="str">
        <f>'Reported burning'!H1822</f>
        <v>Presence</v>
      </c>
      <c r="I1822" s="5"/>
      <c r="J1822" s="3" t="s">
        <v>2272</v>
      </c>
      <c r="K1822" s="198" t="s">
        <v>2272</v>
      </c>
      <c r="L1822" s="3" t="s">
        <v>2272</v>
      </c>
      <c r="M1822" s="3" t="s">
        <v>2272</v>
      </c>
      <c r="N1822" s="3" t="s">
        <v>2272</v>
      </c>
      <c r="O1822" s="3" t="s">
        <v>2272</v>
      </c>
      <c r="P1822" s="3" t="s">
        <v>2272</v>
      </c>
      <c r="Q1822" s="21" t="s">
        <v>2371</v>
      </c>
      <c r="R1822" s="3" t="s">
        <v>2272</v>
      </c>
      <c r="S1822" s="21" t="s">
        <v>2369</v>
      </c>
      <c r="T1822" s="3" t="s">
        <v>2272</v>
      </c>
      <c r="U1822" s="3" t="s">
        <v>2272</v>
      </c>
      <c r="V1822" s="3" t="s">
        <v>2272</v>
      </c>
      <c r="W1822" s="3" t="s">
        <v>2272</v>
      </c>
      <c r="X1822" s="3" t="s">
        <v>2272</v>
      </c>
      <c r="Y1822" s="3" t="s">
        <v>397</v>
      </c>
      <c r="Z1822" s="3" t="s">
        <v>84</v>
      </c>
      <c r="AA1822" s="3" t="s">
        <v>75</v>
      </c>
      <c r="AB1822" s="3"/>
      <c r="AC1822" s="3" t="s">
        <v>5329</v>
      </c>
    </row>
    <row r="1823" spans="1:29" ht="32.5" customHeight="1">
      <c r="A1823" s="151" t="str">
        <f>'Reported burning'!A1823</f>
        <v>210a</v>
      </c>
      <c r="B1823" s="151" t="str">
        <f>'Reported burning'!B1823</f>
        <v>210a.1</v>
      </c>
      <c r="C1823" s="151" t="str">
        <f>'Reported burning'!C1823</f>
        <v>Human, deliberate</v>
      </c>
      <c r="D1823" s="151" t="str">
        <f>'Reported burning'!D1823</f>
        <v>Crop field preparation</v>
      </c>
      <c r="E1823" s="151" t="str">
        <f>'Reported burning'!E1823</f>
        <v>Cropping, Swidden</v>
      </c>
      <c r="F1823" s="151" t="str">
        <f>'Reported burning'!G1823</f>
        <v>ND</v>
      </c>
      <c r="G1823" s="151" t="str">
        <f>'Reported burning'!F1823</f>
        <v>Forest</v>
      </c>
      <c r="H1823" s="151" t="str">
        <f>'Reported burning'!H1823</f>
        <v>Presence</v>
      </c>
      <c r="I1823" s="5"/>
      <c r="J1823" s="4" t="s">
        <v>2272</v>
      </c>
      <c r="K1823" s="4" t="s">
        <v>2272</v>
      </c>
      <c r="L1823" s="4" t="s">
        <v>2272</v>
      </c>
      <c r="M1823" s="4" t="s">
        <v>2272</v>
      </c>
      <c r="N1823" s="4" t="s">
        <v>2272</v>
      </c>
      <c r="O1823" s="4" t="s">
        <v>2272</v>
      </c>
      <c r="P1823" s="4" t="s">
        <v>2272</v>
      </c>
      <c r="Q1823" s="4" t="s">
        <v>2272</v>
      </c>
      <c r="R1823" s="4" t="s">
        <v>2272</v>
      </c>
      <c r="S1823" s="4" t="s">
        <v>2272</v>
      </c>
      <c r="T1823" s="4" t="s">
        <v>2272</v>
      </c>
      <c r="U1823" s="4" t="s">
        <v>2272</v>
      </c>
      <c r="V1823" s="4" t="s">
        <v>2272</v>
      </c>
      <c r="W1823" s="4" t="s">
        <v>2272</v>
      </c>
      <c r="X1823" s="4" t="s">
        <v>2272</v>
      </c>
      <c r="Y1823" s="4" t="s">
        <v>2272</v>
      </c>
      <c r="Z1823" s="4" t="s">
        <v>2272</v>
      </c>
      <c r="AA1823" s="4" t="s">
        <v>2272</v>
      </c>
      <c r="AB1823" s="3"/>
      <c r="AC1823" s="3"/>
    </row>
    <row r="1824" spans="1:29" ht="32.5" customHeight="1">
      <c r="A1824" s="151" t="str">
        <f>'Reported burning'!A1824</f>
        <v>210a</v>
      </c>
      <c r="B1824" s="151" t="str">
        <f>'Reported burning'!B1824</f>
        <v>210a.2</v>
      </c>
      <c r="C1824" s="151" t="str">
        <f>'Reported burning'!C1824</f>
        <v>Human, deliberate</v>
      </c>
      <c r="D1824" s="151" t="str">
        <f>'Reported burning'!D1824</f>
        <v>Land clearance</v>
      </c>
      <c r="E1824" s="151" t="str">
        <f>'Reported burning'!E1824</f>
        <v>Cropping, Swidden</v>
      </c>
      <c r="F1824" s="151" t="str">
        <f>'Reported burning'!G1824</f>
        <v>ND</v>
      </c>
      <c r="G1824" s="151" t="str">
        <f>'Reported burning'!F1824</f>
        <v>Forest</v>
      </c>
      <c r="H1824" s="151" t="str">
        <f>'Reported burning'!H1824</f>
        <v>Presence</v>
      </c>
      <c r="I1824" s="5"/>
      <c r="J1824" s="4" t="s">
        <v>2272</v>
      </c>
      <c r="K1824" s="4" t="s">
        <v>2272</v>
      </c>
      <c r="L1824" s="4" t="s">
        <v>2272</v>
      </c>
      <c r="M1824" s="4" t="s">
        <v>2272</v>
      </c>
      <c r="N1824" s="4" t="s">
        <v>2272</v>
      </c>
      <c r="O1824" s="4" t="s">
        <v>2272</v>
      </c>
      <c r="P1824" s="4" t="s">
        <v>2272</v>
      </c>
      <c r="Q1824" s="4" t="s">
        <v>2272</v>
      </c>
      <c r="R1824" s="4" t="s">
        <v>2272</v>
      </c>
      <c r="S1824" s="4" t="s">
        <v>2272</v>
      </c>
      <c r="T1824" s="4" t="s">
        <v>2272</v>
      </c>
      <c r="U1824" s="4" t="s">
        <v>2272</v>
      </c>
      <c r="V1824" s="4" t="s">
        <v>2272</v>
      </c>
      <c r="W1824" s="4" t="s">
        <v>2272</v>
      </c>
      <c r="X1824" s="4" t="s">
        <v>2272</v>
      </c>
      <c r="Y1824" s="4" t="s">
        <v>2272</v>
      </c>
      <c r="Z1824" s="4" t="s">
        <v>2272</v>
      </c>
      <c r="AA1824" s="4" t="s">
        <v>2272</v>
      </c>
      <c r="AB1824" s="3"/>
      <c r="AC1824" s="3"/>
    </row>
    <row r="1825" spans="1:29" ht="32.5" customHeight="1">
      <c r="A1825" s="151" t="str">
        <f>'Reported burning'!A1825</f>
        <v>210a</v>
      </c>
      <c r="B1825" s="151" t="str">
        <f>'Reported burning'!B1825</f>
        <v>210a.3</v>
      </c>
      <c r="C1825" s="151" t="str">
        <f>'Reported burning'!C1825</f>
        <v>Human, deliberate</v>
      </c>
      <c r="D1825" s="151" t="str">
        <f>'Reported burning'!D1825</f>
        <v>Land clearance</v>
      </c>
      <c r="E1825" s="151" t="str">
        <f>'Reported burning'!E1825</f>
        <v>Cropping, Monoculture, Market-oriented</v>
      </c>
      <c r="F1825" s="151" t="str">
        <f>'Reported burning'!G1825</f>
        <v>ND</v>
      </c>
      <c r="G1825" s="151" t="str">
        <f>'Reported burning'!F1825</f>
        <v>Forest</v>
      </c>
      <c r="H1825" s="151" t="str">
        <f>'Reported burning'!H1825</f>
        <v>Presence</v>
      </c>
      <c r="I1825" s="5"/>
      <c r="J1825" s="4" t="s">
        <v>2272</v>
      </c>
      <c r="K1825" s="4" t="s">
        <v>2272</v>
      </c>
      <c r="L1825" s="4" t="s">
        <v>2272</v>
      </c>
      <c r="M1825" s="4" t="s">
        <v>2272</v>
      </c>
      <c r="N1825" s="4" t="s">
        <v>2272</v>
      </c>
      <c r="O1825" s="4" t="s">
        <v>2272</v>
      </c>
      <c r="P1825" s="4" t="s">
        <v>2272</v>
      </c>
      <c r="Q1825" s="4" t="s">
        <v>2272</v>
      </c>
      <c r="R1825" s="4" t="s">
        <v>2272</v>
      </c>
      <c r="S1825" s="4" t="s">
        <v>2272</v>
      </c>
      <c r="T1825" s="4" t="s">
        <v>2272</v>
      </c>
      <c r="U1825" s="4" t="s">
        <v>2272</v>
      </c>
      <c r="V1825" s="4" t="s">
        <v>2272</v>
      </c>
      <c r="W1825" s="4" t="s">
        <v>2272</v>
      </c>
      <c r="X1825" s="4" t="s">
        <v>2272</v>
      </c>
      <c r="Y1825" s="4" t="s">
        <v>2272</v>
      </c>
      <c r="Z1825" s="4" t="s">
        <v>2272</v>
      </c>
      <c r="AA1825" s="4" t="s">
        <v>2272</v>
      </c>
      <c r="AB1825" s="3"/>
      <c r="AC1825" s="3"/>
    </row>
    <row r="1826" spans="1:29" ht="32.5" customHeight="1">
      <c r="A1826" s="151" t="str">
        <f>'Reported burning'!A1826</f>
        <v>210b</v>
      </c>
      <c r="B1826" s="151" t="str">
        <f>'Reported burning'!B1826</f>
        <v>210b.1</v>
      </c>
      <c r="C1826" s="151" t="str">
        <f>'Reported burning'!C1826</f>
        <v>Human, deliberate</v>
      </c>
      <c r="D1826" s="151" t="str">
        <f>'Reported burning'!D1826</f>
        <v>Crop field preparation</v>
      </c>
      <c r="E1826" s="151" t="str">
        <f>'Reported burning'!E1826</f>
        <v>Cropping, Swidden</v>
      </c>
      <c r="F1826" s="151" t="str">
        <f>'Reported burning'!G1826</f>
        <v>ND</v>
      </c>
      <c r="G1826" s="151" t="str">
        <f>'Reported burning'!F1826</f>
        <v>Forest</v>
      </c>
      <c r="H1826" s="151" t="str">
        <f>'Reported burning'!H1826</f>
        <v>Absence</v>
      </c>
      <c r="I1826" s="5"/>
      <c r="J1826" s="3">
        <v>0</v>
      </c>
      <c r="K1826" s="198">
        <v>0</v>
      </c>
      <c r="L1826" s="3">
        <v>0</v>
      </c>
      <c r="M1826" s="3">
        <v>0</v>
      </c>
      <c r="N1826" s="3">
        <v>0</v>
      </c>
      <c r="O1826" s="3">
        <v>0</v>
      </c>
      <c r="P1826" s="3">
        <v>0</v>
      </c>
      <c r="Q1826" s="3">
        <v>0</v>
      </c>
      <c r="R1826" s="3">
        <v>0</v>
      </c>
      <c r="S1826" s="3">
        <v>0</v>
      </c>
      <c r="T1826" s="3">
        <v>0</v>
      </c>
      <c r="U1826" s="3">
        <v>0</v>
      </c>
      <c r="V1826" s="3">
        <v>0</v>
      </c>
      <c r="W1826" s="3">
        <v>0</v>
      </c>
      <c r="X1826" s="4" t="s">
        <v>2272</v>
      </c>
      <c r="Y1826" s="4" t="s">
        <v>2272</v>
      </c>
      <c r="Z1826" s="4" t="s">
        <v>2272</v>
      </c>
      <c r="AA1826" s="4" t="s">
        <v>2272</v>
      </c>
      <c r="AB1826" s="4" t="s">
        <v>5346</v>
      </c>
      <c r="AC1826" s="3"/>
    </row>
    <row r="1827" spans="1:29" ht="32.5" customHeight="1">
      <c r="A1827" s="151" t="str">
        <f>'Reported burning'!A1827</f>
        <v>210b</v>
      </c>
      <c r="B1827" s="151" t="str">
        <f>'Reported burning'!B1827</f>
        <v>210b.2</v>
      </c>
      <c r="C1827" s="151" t="str">
        <f>'Reported burning'!C1827</f>
        <v>Human, deliberate</v>
      </c>
      <c r="D1827" s="151" t="str">
        <f>'Reported burning'!D1827</f>
        <v>Land clearance</v>
      </c>
      <c r="E1827" s="151" t="str">
        <f>'Reported burning'!E1827</f>
        <v>Cropping, Swidden</v>
      </c>
      <c r="F1827" s="151" t="str">
        <f>'Reported burning'!G1827</f>
        <v>ND</v>
      </c>
      <c r="G1827" s="151" t="str">
        <f>'Reported burning'!F1827</f>
        <v>Forest</v>
      </c>
      <c r="H1827" s="151" t="str">
        <f>'Reported burning'!H1827</f>
        <v>Absence</v>
      </c>
      <c r="I1827" s="5"/>
      <c r="J1827" s="3">
        <v>0</v>
      </c>
      <c r="K1827" s="198">
        <v>0</v>
      </c>
      <c r="L1827" s="3">
        <v>0</v>
      </c>
      <c r="M1827" s="3">
        <v>0</v>
      </c>
      <c r="N1827" s="3">
        <v>0</v>
      </c>
      <c r="O1827" s="3">
        <v>0</v>
      </c>
      <c r="P1827" s="3">
        <v>0</v>
      </c>
      <c r="Q1827" s="3">
        <v>0</v>
      </c>
      <c r="R1827" s="3">
        <v>0</v>
      </c>
      <c r="S1827" s="3">
        <v>0</v>
      </c>
      <c r="T1827" s="3">
        <v>0</v>
      </c>
      <c r="U1827" s="3">
        <v>0</v>
      </c>
      <c r="V1827" s="3">
        <v>0</v>
      </c>
      <c r="W1827" s="3">
        <v>0</v>
      </c>
      <c r="X1827" s="4" t="s">
        <v>2272</v>
      </c>
      <c r="Y1827" s="4" t="s">
        <v>2272</v>
      </c>
      <c r="Z1827" s="4" t="s">
        <v>2272</v>
      </c>
      <c r="AA1827" s="4" t="s">
        <v>2272</v>
      </c>
      <c r="AB1827" s="4" t="s">
        <v>5346</v>
      </c>
      <c r="AC1827" s="3"/>
    </row>
    <row r="1828" spans="1:29" ht="32.5" customHeight="1">
      <c r="A1828" s="151" t="str">
        <f>'Reported burning'!A1828</f>
        <v>210b</v>
      </c>
      <c r="B1828" s="151" t="str">
        <f>'Reported burning'!B1828</f>
        <v>210b.3</v>
      </c>
      <c r="C1828" s="151" t="str">
        <f>'Reported burning'!C1828</f>
        <v>Human, deliberate</v>
      </c>
      <c r="D1828" s="151" t="str">
        <f>'Reported burning'!D1828</f>
        <v>Land clearance</v>
      </c>
      <c r="E1828" s="151" t="str">
        <f>'Reported burning'!E1828</f>
        <v>Cropping, Monoculture, Market-oriented</v>
      </c>
      <c r="F1828" s="151" t="str">
        <f>'Reported burning'!G1828</f>
        <v>ND</v>
      </c>
      <c r="G1828" s="151" t="str">
        <f>'Reported burning'!F1828</f>
        <v>Forest</v>
      </c>
      <c r="H1828" s="151" t="str">
        <f>'Reported burning'!H1828</f>
        <v>Absence</v>
      </c>
      <c r="I1828" s="5"/>
      <c r="J1828" s="3">
        <v>0</v>
      </c>
      <c r="K1828" s="198">
        <v>0</v>
      </c>
      <c r="L1828" s="3">
        <v>0</v>
      </c>
      <c r="M1828" s="3">
        <v>0</v>
      </c>
      <c r="N1828" s="3">
        <v>0</v>
      </c>
      <c r="O1828" s="3">
        <v>0</v>
      </c>
      <c r="P1828" s="3">
        <v>0</v>
      </c>
      <c r="Q1828" s="3">
        <v>0</v>
      </c>
      <c r="R1828" s="3">
        <v>0</v>
      </c>
      <c r="S1828" s="3">
        <v>0</v>
      </c>
      <c r="T1828" s="3">
        <v>0</v>
      </c>
      <c r="U1828" s="3">
        <v>0</v>
      </c>
      <c r="V1828" s="3">
        <v>0</v>
      </c>
      <c r="W1828" s="3">
        <v>0</v>
      </c>
      <c r="X1828" s="4" t="s">
        <v>2272</v>
      </c>
      <c r="Y1828" s="4" t="s">
        <v>2272</v>
      </c>
      <c r="Z1828" s="4" t="s">
        <v>2272</v>
      </c>
      <c r="AA1828" s="4" t="s">
        <v>2272</v>
      </c>
      <c r="AB1828" s="4" t="s">
        <v>5346</v>
      </c>
      <c r="AC1828" s="3"/>
    </row>
    <row r="1829" spans="1:29" ht="32.5" customHeight="1">
      <c r="A1829" s="151" t="str">
        <f>'Reported burning'!A1829</f>
        <v>210c</v>
      </c>
      <c r="B1829" s="151" t="str">
        <f>'Reported burning'!B1829</f>
        <v>210c.1</v>
      </c>
      <c r="C1829" s="151" t="str">
        <f>'Reported burning'!C1829</f>
        <v>Human, deliberate</v>
      </c>
      <c r="D1829" s="151" t="str">
        <f>'Reported burning'!D1829</f>
        <v>Crop field preparation</v>
      </c>
      <c r="E1829" s="151" t="str">
        <f>'Reported burning'!E1829</f>
        <v>Cropping, Swidden</v>
      </c>
      <c r="F1829" s="151" t="str">
        <f>'Reported burning'!F1829</f>
        <v>Forest</v>
      </c>
      <c r="G1829" s="151" t="str">
        <f>'Reported burning'!G1829</f>
        <v>ND</v>
      </c>
      <c r="H1829" s="151" t="str">
        <f>'Reported burning'!H1829</f>
        <v>Presence</v>
      </c>
      <c r="I1829" s="5"/>
      <c r="J1829" s="4" t="s">
        <v>2272</v>
      </c>
      <c r="K1829" s="4" t="s">
        <v>2272</v>
      </c>
      <c r="L1829" s="4" t="s">
        <v>2272</v>
      </c>
      <c r="M1829" s="4" t="s">
        <v>2272</v>
      </c>
      <c r="N1829" s="4" t="s">
        <v>2272</v>
      </c>
      <c r="O1829" s="4" t="s">
        <v>2272</v>
      </c>
      <c r="P1829" s="4" t="s">
        <v>2272</v>
      </c>
      <c r="Q1829" s="4" t="s">
        <v>2272</v>
      </c>
      <c r="R1829" s="4" t="s">
        <v>2272</v>
      </c>
      <c r="S1829" s="4" t="s">
        <v>2272</v>
      </c>
      <c r="T1829" s="4" t="s">
        <v>2272</v>
      </c>
      <c r="U1829" s="4" t="s">
        <v>2272</v>
      </c>
      <c r="V1829" s="4" t="s">
        <v>2272</v>
      </c>
      <c r="W1829" s="4" t="s">
        <v>2272</v>
      </c>
      <c r="X1829" s="4" t="s">
        <v>2272</v>
      </c>
      <c r="Y1829" s="4" t="s">
        <v>2272</v>
      </c>
      <c r="Z1829" s="4" t="s">
        <v>2272</v>
      </c>
      <c r="AA1829" s="4" t="s">
        <v>2272</v>
      </c>
      <c r="AB1829" s="3"/>
      <c r="AC1829" s="3"/>
    </row>
    <row r="1830" spans="1:29" ht="32.5" customHeight="1">
      <c r="A1830" s="151" t="str">
        <f>'Reported burning'!A1830</f>
        <v>210c</v>
      </c>
      <c r="B1830" s="151" t="str">
        <f>'Reported burning'!B1830</f>
        <v>210c.2</v>
      </c>
      <c r="C1830" s="151" t="str">
        <f>'Reported burning'!C1830</f>
        <v>Human, deliberate</v>
      </c>
      <c r="D1830" s="151" t="str">
        <f>'Reported burning'!D1830</f>
        <v>Land clearance</v>
      </c>
      <c r="E1830" s="151" t="str">
        <f>'Reported burning'!E1830</f>
        <v>Cropping, Swidden</v>
      </c>
      <c r="F1830" s="151" t="str">
        <f>'Reported burning'!F1830</f>
        <v>Forest</v>
      </c>
      <c r="G1830" s="151" t="str">
        <f>'Reported burning'!G1830</f>
        <v>ND</v>
      </c>
      <c r="H1830" s="151" t="str">
        <f>'Reported burning'!H1830</f>
        <v>Presence</v>
      </c>
      <c r="I1830" s="5"/>
      <c r="J1830" s="4" t="s">
        <v>2272</v>
      </c>
      <c r="K1830" s="4" t="s">
        <v>2272</v>
      </c>
      <c r="L1830" s="4" t="s">
        <v>2272</v>
      </c>
      <c r="M1830" s="4" t="s">
        <v>2272</v>
      </c>
      <c r="N1830" s="4" t="s">
        <v>2272</v>
      </c>
      <c r="O1830" s="4" t="s">
        <v>2272</v>
      </c>
      <c r="P1830" s="4" t="s">
        <v>2272</v>
      </c>
      <c r="Q1830" s="4" t="s">
        <v>2272</v>
      </c>
      <c r="R1830" s="4" t="s">
        <v>2272</v>
      </c>
      <c r="S1830" s="4" t="s">
        <v>2272</v>
      </c>
      <c r="T1830" s="4" t="s">
        <v>2272</v>
      </c>
      <c r="U1830" s="4" t="s">
        <v>2272</v>
      </c>
      <c r="V1830" s="4" t="s">
        <v>2272</v>
      </c>
      <c r="W1830" s="4" t="s">
        <v>2272</v>
      </c>
      <c r="X1830" s="4" t="s">
        <v>2272</v>
      </c>
      <c r="Y1830" s="4" t="s">
        <v>2272</v>
      </c>
      <c r="Z1830" s="4" t="s">
        <v>2272</v>
      </c>
      <c r="AA1830" s="4" t="s">
        <v>2272</v>
      </c>
      <c r="AB1830" s="3"/>
      <c r="AC1830" s="3"/>
    </row>
    <row r="1831" spans="1:29" ht="32.5" customHeight="1">
      <c r="A1831" s="151" t="str">
        <f>'Reported burning'!A1831</f>
        <v>210c</v>
      </c>
      <c r="B1831" s="151" t="str">
        <f>'Reported burning'!B1831</f>
        <v>210c.3</v>
      </c>
      <c r="C1831" s="151" t="str">
        <f>'Reported burning'!C1831</f>
        <v>Human, deliberate</v>
      </c>
      <c r="D1831" s="151" t="str">
        <f>'Reported burning'!D1831</f>
        <v>Land clearance</v>
      </c>
      <c r="E1831" s="151" t="str">
        <f>'Reported burning'!E1831</f>
        <v>Cropping, Monoculture, Market-oriented</v>
      </c>
      <c r="F1831" s="151" t="str">
        <f>'Reported burning'!F1831</f>
        <v>Forest</v>
      </c>
      <c r="G1831" s="151" t="str">
        <f>'Reported burning'!G1831</f>
        <v>ND</v>
      </c>
      <c r="H1831" s="151" t="str">
        <f>'Reported burning'!H1831</f>
        <v>Presence</v>
      </c>
      <c r="I1831" s="5"/>
      <c r="J1831" s="4" t="s">
        <v>2272</v>
      </c>
      <c r="K1831" s="4" t="s">
        <v>2272</v>
      </c>
      <c r="L1831" s="4" t="s">
        <v>2272</v>
      </c>
      <c r="M1831" s="4" t="s">
        <v>2272</v>
      </c>
      <c r="N1831" s="4" t="s">
        <v>2272</v>
      </c>
      <c r="O1831" s="4" t="s">
        <v>2272</v>
      </c>
      <c r="P1831" s="4" t="s">
        <v>2272</v>
      </c>
      <c r="Q1831" s="4" t="s">
        <v>2272</v>
      </c>
      <c r="R1831" s="4" t="s">
        <v>2272</v>
      </c>
      <c r="S1831" s="4" t="s">
        <v>2272</v>
      </c>
      <c r="T1831" s="4" t="s">
        <v>2272</v>
      </c>
      <c r="U1831" s="4" t="s">
        <v>2272</v>
      </c>
      <c r="V1831" s="4" t="s">
        <v>2272</v>
      </c>
      <c r="W1831" s="4" t="s">
        <v>2272</v>
      </c>
      <c r="X1831" s="4" t="s">
        <v>2272</v>
      </c>
      <c r="Y1831" s="4" t="s">
        <v>2272</v>
      </c>
      <c r="Z1831" s="4" t="s">
        <v>2272</v>
      </c>
      <c r="AA1831" s="4" t="s">
        <v>2272</v>
      </c>
      <c r="AB1831" s="3"/>
      <c r="AC1831" s="3"/>
    </row>
    <row r="1832" spans="1:29" ht="29">
      <c r="A1832" s="151" t="str">
        <f>'Reported burning'!A1832</f>
        <v>211a</v>
      </c>
      <c r="B1832" s="151" t="str">
        <f>'Reported burning'!B1832</f>
        <v>211a.1</v>
      </c>
      <c r="C1832" s="151" t="str">
        <f>'Reported burning'!C1832</f>
        <v>Human, deliberate</v>
      </c>
      <c r="D1832" s="151" t="str">
        <f>'Reported burning'!D1832</f>
        <v>Hunting</v>
      </c>
      <c r="E1832" s="151" t="str">
        <f>'Reported burning'!E1832</f>
        <v>Forestry, Traditional</v>
      </c>
      <c r="F1832" s="151" t="str">
        <f>'Reported burning'!F1832</f>
        <v>Shrubland (Mixed forest &amp; grassland)</v>
      </c>
      <c r="G1832" s="151" t="str">
        <f>'Reported burning'!G1832</f>
        <v>ND</v>
      </c>
      <c r="H1832" s="151" t="str">
        <f>'Reported burning'!H1832</f>
        <v>Presence</v>
      </c>
      <c r="I1832" s="5"/>
      <c r="J1832" s="4" t="s">
        <v>2272</v>
      </c>
      <c r="K1832" s="4" t="s">
        <v>2272</v>
      </c>
      <c r="L1832" s="4" t="s">
        <v>2272</v>
      </c>
      <c r="M1832" s="4" t="s">
        <v>2272</v>
      </c>
      <c r="N1832" s="4" t="s">
        <v>2272</v>
      </c>
      <c r="O1832" s="4" t="s">
        <v>2272</v>
      </c>
      <c r="P1832" s="4" t="s">
        <v>2272</v>
      </c>
      <c r="Q1832" s="4" t="s">
        <v>2272</v>
      </c>
      <c r="R1832" s="4" t="s">
        <v>2272</v>
      </c>
      <c r="S1832" s="4" t="s">
        <v>2272</v>
      </c>
      <c r="T1832" s="4" t="s">
        <v>2272</v>
      </c>
      <c r="U1832" s="4" t="s">
        <v>2272</v>
      </c>
      <c r="V1832" s="4" t="s">
        <v>2272</v>
      </c>
      <c r="W1832" s="4" t="s">
        <v>2272</v>
      </c>
      <c r="X1832" s="4" t="s">
        <v>2272</v>
      </c>
      <c r="Y1832" s="4" t="s">
        <v>2272</v>
      </c>
      <c r="Z1832" s="4" t="s">
        <v>2272</v>
      </c>
      <c r="AA1832" s="4" t="s">
        <v>2272</v>
      </c>
      <c r="AB1832" s="3"/>
      <c r="AC1832" s="3"/>
    </row>
    <row r="1833" spans="1:29" ht="86" customHeight="1">
      <c r="A1833" s="151" t="str">
        <f>'Reported burning'!A1833</f>
        <v>211a</v>
      </c>
      <c r="B1833" s="151" t="str">
        <f>'Reported burning'!B1833</f>
        <v>211a.2</v>
      </c>
      <c r="C1833" s="151" t="str">
        <f>'Reported burning'!C1833</f>
        <v>Human, deliberate</v>
      </c>
      <c r="D1833" s="151" t="str">
        <f>'Reported burning'!D1833</f>
        <v>Crop field preparation</v>
      </c>
      <c r="E1833" s="151" t="str">
        <f>'Reported burning'!E1833</f>
        <v>Cropping, Swidden</v>
      </c>
      <c r="F1833" s="151" t="str">
        <f>'Reported burning'!F1833</f>
        <v>Secondary vegetation</v>
      </c>
      <c r="G1833" s="151" t="str">
        <f>'Reported burning'!G1833</f>
        <v>ND</v>
      </c>
      <c r="H1833" s="151" t="str">
        <f>'Reported burning'!H1833</f>
        <v>Presence</v>
      </c>
      <c r="I1833" s="5"/>
      <c r="J1833" s="4" t="s">
        <v>2272</v>
      </c>
      <c r="K1833" s="4" t="s">
        <v>2272</v>
      </c>
      <c r="L1833" s="4" t="s">
        <v>2272</v>
      </c>
      <c r="M1833" s="4" t="s">
        <v>2272</v>
      </c>
      <c r="N1833" s="4" t="s">
        <v>2272</v>
      </c>
      <c r="O1833" s="4" t="s">
        <v>2272</v>
      </c>
      <c r="P1833" s="4" t="s">
        <v>2272</v>
      </c>
      <c r="Q1833" s="4" t="s">
        <v>2272</v>
      </c>
      <c r="R1833" s="4" t="s">
        <v>2272</v>
      </c>
      <c r="S1833" s="4" t="s">
        <v>2272</v>
      </c>
      <c r="T1833" s="4" t="s">
        <v>2272</v>
      </c>
      <c r="U1833" s="21" t="s">
        <v>2522</v>
      </c>
      <c r="V1833" s="4" t="s">
        <v>2272</v>
      </c>
      <c r="W1833" s="4" t="s">
        <v>2272</v>
      </c>
      <c r="X1833" s="21" t="s">
        <v>2396</v>
      </c>
      <c r="Y1833" s="4" t="s">
        <v>2272</v>
      </c>
      <c r="Z1833" s="4" t="s">
        <v>2272</v>
      </c>
      <c r="AA1833" s="4" t="s">
        <v>2272</v>
      </c>
      <c r="AB1833" s="4" t="s">
        <v>5362</v>
      </c>
      <c r="AC1833" s="4" t="s">
        <v>5361</v>
      </c>
    </row>
    <row r="1834" spans="1:29" ht="29" customHeight="1">
      <c r="A1834" s="151" t="str">
        <f>'Reported burning'!A1834</f>
        <v>212a</v>
      </c>
      <c r="B1834" s="151" t="str">
        <f>'Reported burning'!B1834</f>
        <v>212a.1</v>
      </c>
      <c r="C1834" s="151" t="str">
        <f>'Reported burning'!C1834</f>
        <v>Human, deliberate</v>
      </c>
      <c r="D1834" s="151" t="str">
        <f>'Reported burning'!D1834</f>
        <v>Pyrome management</v>
      </c>
      <c r="E1834" s="151" t="str">
        <f>'Reported burning'!E1834</f>
        <v>Forestry, Traditional</v>
      </c>
      <c r="F1834" s="151" t="str">
        <f>'Reported burning'!F1834</f>
        <v>Forest</v>
      </c>
      <c r="G1834" s="151" t="str">
        <f>'Reported burning'!G1834</f>
        <v>ND</v>
      </c>
      <c r="H1834" s="151" t="str">
        <f>'Reported burning'!H1834</f>
        <v>Presence</v>
      </c>
      <c r="I1834" s="5"/>
      <c r="J1834" s="4" t="s">
        <v>2272</v>
      </c>
      <c r="K1834" s="4" t="s">
        <v>2272</v>
      </c>
      <c r="L1834" s="4" t="s">
        <v>2272</v>
      </c>
      <c r="M1834" s="4" t="s">
        <v>2272</v>
      </c>
      <c r="N1834" s="4" t="s">
        <v>2272</v>
      </c>
      <c r="O1834" s="4" t="s">
        <v>2272</v>
      </c>
      <c r="P1834" s="4" t="s">
        <v>2272</v>
      </c>
      <c r="Q1834" s="4" t="s">
        <v>2272</v>
      </c>
      <c r="R1834" s="4" t="s">
        <v>2272</v>
      </c>
      <c r="S1834" s="4" t="s">
        <v>2272</v>
      </c>
      <c r="T1834" s="4" t="s">
        <v>2272</v>
      </c>
      <c r="U1834" s="4" t="s">
        <v>2272</v>
      </c>
      <c r="V1834" s="4" t="s">
        <v>2272</v>
      </c>
      <c r="W1834" s="4" t="s">
        <v>2272</v>
      </c>
      <c r="X1834" s="4" t="s">
        <v>2272</v>
      </c>
      <c r="Y1834" s="3" t="s">
        <v>187</v>
      </c>
      <c r="Z1834" s="3" t="s">
        <v>403</v>
      </c>
      <c r="AA1834" s="3" t="s">
        <v>2650</v>
      </c>
      <c r="AB1834" s="3" t="s">
        <v>5372</v>
      </c>
      <c r="AC1834" s="3"/>
    </row>
    <row r="1835" spans="1:29" ht="33.5" customHeight="1">
      <c r="A1835" s="151" t="str">
        <f>'Reported burning'!A1835</f>
        <v>212a</v>
      </c>
      <c r="B1835" s="151" t="str">
        <f>'Reported burning'!B1835</f>
        <v>212a.2</v>
      </c>
      <c r="C1835" s="151" t="str">
        <f>'Reported burning'!C1835</f>
        <v>Human, deliberate</v>
      </c>
      <c r="D1835" s="151" t="str">
        <f>'Reported burning'!D1835</f>
        <v>Pasture renewal</v>
      </c>
      <c r="E1835" s="151" t="str">
        <f>'Reported burning'!E1835</f>
        <v>Cattle, Extensive</v>
      </c>
      <c r="F1835" s="151" t="str">
        <f>'Reported burning'!F1835</f>
        <v>Grassland</v>
      </c>
      <c r="G1835" s="151" t="str">
        <f>'Reported burning'!G1835</f>
        <v>ND</v>
      </c>
      <c r="H1835" s="151" t="str">
        <f>'Reported burning'!H1835</f>
        <v>Presence</v>
      </c>
      <c r="I1835" s="5"/>
      <c r="J1835" s="4" t="s">
        <v>2272</v>
      </c>
      <c r="K1835" s="4" t="s">
        <v>2272</v>
      </c>
      <c r="L1835" s="4" t="s">
        <v>2272</v>
      </c>
      <c r="M1835" s="4" t="s">
        <v>2272</v>
      </c>
      <c r="N1835" s="4" t="s">
        <v>2272</v>
      </c>
      <c r="O1835" s="4" t="s">
        <v>2272</v>
      </c>
      <c r="P1835" s="4" t="s">
        <v>2272</v>
      </c>
      <c r="Q1835" s="4" t="s">
        <v>2272</v>
      </c>
      <c r="R1835" s="4" t="s">
        <v>2272</v>
      </c>
      <c r="S1835" s="4" t="s">
        <v>2272</v>
      </c>
      <c r="T1835" s="4" t="s">
        <v>2272</v>
      </c>
      <c r="U1835" s="4" t="s">
        <v>2272</v>
      </c>
      <c r="V1835" s="4" t="s">
        <v>2272</v>
      </c>
      <c r="W1835" s="4" t="s">
        <v>2272</v>
      </c>
      <c r="X1835" s="4" t="s">
        <v>2272</v>
      </c>
      <c r="Y1835" s="3" t="s">
        <v>187</v>
      </c>
      <c r="Z1835" s="3" t="s">
        <v>37</v>
      </c>
      <c r="AA1835" s="3" t="s">
        <v>2272</v>
      </c>
      <c r="AB1835" s="4" t="s">
        <v>5371</v>
      </c>
      <c r="AC1835" s="3"/>
    </row>
    <row r="1836" spans="1:29" ht="29" customHeight="1">
      <c r="A1836" s="151" t="str">
        <f>'Reported burning'!A1836</f>
        <v>212a</v>
      </c>
      <c r="B1836" s="151" t="str">
        <f>'Reported burning'!B1836</f>
        <v>212a.3</v>
      </c>
      <c r="C1836" s="151" t="str">
        <f>'Reported burning'!C1836</f>
        <v>Human, deliberate</v>
      </c>
      <c r="D1836" s="151" t="str">
        <f>'Reported burning'!D1836</f>
        <v>Harvesting of NTFP</v>
      </c>
      <c r="E1836" s="151" t="str">
        <f>'Reported burning'!E1836</f>
        <v>Forestry, Traditional</v>
      </c>
      <c r="F1836" s="151" t="str">
        <f>'Reported burning'!F1836</f>
        <v>Forest</v>
      </c>
      <c r="G1836" s="151" t="str">
        <f>'Reported burning'!G1836</f>
        <v>ND</v>
      </c>
      <c r="H1836" s="151" t="str">
        <f>'Reported burning'!H1836</f>
        <v>Presence</v>
      </c>
      <c r="I1836" s="5"/>
      <c r="J1836" s="4" t="s">
        <v>2272</v>
      </c>
      <c r="K1836" s="4" t="s">
        <v>2272</v>
      </c>
      <c r="L1836" s="4" t="s">
        <v>2272</v>
      </c>
      <c r="M1836" s="4" t="s">
        <v>2272</v>
      </c>
      <c r="N1836" s="4" t="s">
        <v>2272</v>
      </c>
      <c r="O1836" s="4" t="s">
        <v>2272</v>
      </c>
      <c r="P1836" s="4" t="s">
        <v>2272</v>
      </c>
      <c r="Q1836" s="4" t="s">
        <v>2272</v>
      </c>
      <c r="R1836" s="4" t="s">
        <v>2272</v>
      </c>
      <c r="S1836" s="4" t="s">
        <v>2272</v>
      </c>
      <c r="T1836" s="4" t="s">
        <v>2272</v>
      </c>
      <c r="U1836" s="4" t="s">
        <v>2272</v>
      </c>
      <c r="V1836" s="4" t="s">
        <v>2272</v>
      </c>
      <c r="W1836" s="4" t="s">
        <v>2272</v>
      </c>
      <c r="X1836" s="4" t="s">
        <v>2272</v>
      </c>
      <c r="Y1836" s="3" t="s">
        <v>187</v>
      </c>
      <c r="Z1836" s="3" t="s">
        <v>403</v>
      </c>
      <c r="AA1836" s="3" t="s">
        <v>2650</v>
      </c>
      <c r="AB1836" s="3" t="s">
        <v>5372</v>
      </c>
      <c r="AC1836" s="3"/>
    </row>
    <row r="1837" spans="1:29" ht="37" customHeight="1">
      <c r="A1837" s="151" t="str">
        <f>'Reported burning'!A1837</f>
        <v>213a</v>
      </c>
      <c r="B1837" s="151" t="str">
        <f>'Reported burning'!B1837</f>
        <v>213a.1</v>
      </c>
      <c r="C1837" s="151" t="str">
        <f>'Reported burning'!C1837</f>
        <v>Human, deliberate</v>
      </c>
      <c r="D1837" s="151" t="str">
        <f>'Reported burning'!D1837</f>
        <v>Pyrome management</v>
      </c>
      <c r="E1837" s="151" t="str">
        <f>'Reported burning'!E1837</f>
        <v>Biodiversity conservation</v>
      </c>
      <c r="F1837" s="151" t="str">
        <f>'Reported burning'!F1837</f>
        <v>Shrubland (Mixed forest &amp; grassland)</v>
      </c>
      <c r="G1837" s="151" t="str">
        <f>'Reported burning'!G1837</f>
        <v>ND</v>
      </c>
      <c r="H1837" s="151" t="str">
        <f>'Reported burning'!H1837</f>
        <v>Presence</v>
      </c>
      <c r="I1837" s="5"/>
      <c r="J1837" s="4" t="s">
        <v>2272</v>
      </c>
      <c r="K1837" s="4" t="s">
        <v>2272</v>
      </c>
      <c r="L1837" s="4" t="s">
        <v>2272</v>
      </c>
      <c r="M1837" s="4" t="s">
        <v>2272</v>
      </c>
      <c r="N1837" s="4" t="s">
        <v>2272</v>
      </c>
      <c r="O1837" s="4" t="s">
        <v>2272</v>
      </c>
      <c r="P1837" s="4" t="s">
        <v>2272</v>
      </c>
      <c r="Q1837" s="4" t="s">
        <v>2272</v>
      </c>
      <c r="R1837" s="4" t="s">
        <v>2272</v>
      </c>
      <c r="S1837" s="4" t="s">
        <v>2272</v>
      </c>
      <c r="T1837" s="4" t="s">
        <v>2272</v>
      </c>
      <c r="U1837" s="4" t="s">
        <v>2272</v>
      </c>
      <c r="V1837" s="4" t="s">
        <v>2272</v>
      </c>
      <c r="W1837" s="4" t="s">
        <v>2272</v>
      </c>
      <c r="X1837" s="14" t="s">
        <v>2399</v>
      </c>
      <c r="Y1837" s="4" t="s">
        <v>2272</v>
      </c>
      <c r="Z1837" s="4" t="s">
        <v>2272</v>
      </c>
      <c r="AA1837" s="4" t="s">
        <v>2272</v>
      </c>
      <c r="AB1837" s="4" t="s">
        <v>5390</v>
      </c>
      <c r="AC1837" s="4" t="s">
        <v>5386</v>
      </c>
    </row>
    <row r="1838" spans="1:29" ht="50" customHeight="1">
      <c r="A1838" s="151" t="str">
        <f>'Reported burning'!A1838</f>
        <v>213a</v>
      </c>
      <c r="B1838" s="151" t="str">
        <f>'Reported burning'!B1838</f>
        <v>213a.2</v>
      </c>
      <c r="C1838" s="151" t="str">
        <f>'Reported burning'!C1838</f>
        <v>Human, deliberate</v>
      </c>
      <c r="D1838" s="151" t="str">
        <f>'Reported burning'!D1838</f>
        <v>Pyrome management</v>
      </c>
      <c r="E1838" s="151" t="str">
        <f>'Reported burning'!E1838</f>
        <v>Forestry, Traditional</v>
      </c>
      <c r="F1838" s="151" t="str">
        <f>'Reported burning'!F1838</f>
        <v>Shrubland (Mixed forest &amp; grassland)</v>
      </c>
      <c r="G1838" s="151" t="str">
        <f>'Reported burning'!G1838</f>
        <v>ND</v>
      </c>
      <c r="H1838" s="151" t="str">
        <f>'Reported burning'!H1838</f>
        <v>Presence</v>
      </c>
      <c r="I1838" s="5"/>
      <c r="J1838" s="4" t="s">
        <v>2272</v>
      </c>
      <c r="K1838" s="4" t="s">
        <v>2272</v>
      </c>
      <c r="L1838" s="4" t="s">
        <v>2272</v>
      </c>
      <c r="M1838" s="4" t="s">
        <v>2272</v>
      </c>
      <c r="N1838" s="4" t="s">
        <v>2272</v>
      </c>
      <c r="O1838" s="4" t="s">
        <v>2272</v>
      </c>
      <c r="P1838" s="4" t="s">
        <v>2272</v>
      </c>
      <c r="Q1838" s="4" t="s">
        <v>2272</v>
      </c>
      <c r="R1838" s="4" t="s">
        <v>2272</v>
      </c>
      <c r="S1838" s="4" t="s">
        <v>2272</v>
      </c>
      <c r="T1838" s="4" t="s">
        <v>2272</v>
      </c>
      <c r="U1838" s="4" t="s">
        <v>2272</v>
      </c>
      <c r="V1838" s="4" t="s">
        <v>2272</v>
      </c>
      <c r="W1838" s="4" t="s">
        <v>2272</v>
      </c>
      <c r="X1838" s="4" t="s">
        <v>2272</v>
      </c>
      <c r="Y1838" s="4" t="s">
        <v>2272</v>
      </c>
      <c r="Z1838" s="4" t="s">
        <v>2272</v>
      </c>
      <c r="AA1838" s="4" t="s">
        <v>2272</v>
      </c>
      <c r="AB1838" s="4" t="s">
        <v>5391</v>
      </c>
      <c r="AC1838" s="4" t="s">
        <v>5385</v>
      </c>
    </row>
    <row r="1839" spans="1:29" ht="34.5" customHeight="1">
      <c r="A1839" s="151" t="str">
        <f>'Reported burning'!A1839</f>
        <v>213a</v>
      </c>
      <c r="B1839" s="151" t="str">
        <f>'Reported burning'!B1839</f>
        <v>213a.3</v>
      </c>
      <c r="C1839" s="151" t="str">
        <f>'Reported burning'!C1839</f>
        <v>Human, escaped</v>
      </c>
      <c r="D1839" s="151" t="str">
        <f>'Reported burning'!D1839</f>
        <v>Pyrome management</v>
      </c>
      <c r="E1839" s="151" t="str">
        <f>'Reported burning'!E1839</f>
        <v>Biodiversity conservation</v>
      </c>
      <c r="F1839" s="151" t="str">
        <f>'Reported burning'!F1839</f>
        <v>Shrubland (Mixed forest &amp; grassland)</v>
      </c>
      <c r="G1839" s="151" t="str">
        <f>'Reported burning'!G1839</f>
        <v>ND</v>
      </c>
      <c r="H1839" s="151" t="str">
        <f>'Reported burning'!H1839</f>
        <v>Presence</v>
      </c>
      <c r="I1839" s="5"/>
      <c r="J1839" s="4" t="s">
        <v>2272</v>
      </c>
      <c r="K1839" s="4" t="s">
        <v>2272</v>
      </c>
      <c r="L1839" s="4" t="s">
        <v>2272</v>
      </c>
      <c r="M1839" s="4" t="s">
        <v>2272</v>
      </c>
      <c r="N1839" s="4" t="s">
        <v>2272</v>
      </c>
      <c r="O1839" s="4" t="s">
        <v>2272</v>
      </c>
      <c r="P1839" s="4" t="s">
        <v>2272</v>
      </c>
      <c r="Q1839" s="4" t="s">
        <v>2272</v>
      </c>
      <c r="R1839" s="4" t="s">
        <v>2272</v>
      </c>
      <c r="S1839" s="4" t="s">
        <v>2272</v>
      </c>
      <c r="T1839" s="4" t="s">
        <v>2272</v>
      </c>
      <c r="U1839" s="4" t="s">
        <v>2272</v>
      </c>
      <c r="V1839" s="4" t="s">
        <v>2272</v>
      </c>
      <c r="W1839" s="4" t="s">
        <v>2272</v>
      </c>
      <c r="X1839" s="4" t="s">
        <v>2272</v>
      </c>
      <c r="Y1839" s="4" t="s">
        <v>2272</v>
      </c>
      <c r="Z1839" s="4" t="s">
        <v>2272</v>
      </c>
      <c r="AA1839" s="4" t="s">
        <v>2272</v>
      </c>
      <c r="AB1839" s="3"/>
      <c r="AC1839" s="3"/>
    </row>
    <row r="1840" spans="1:29" ht="45.5" customHeight="1">
      <c r="A1840" s="151" t="str">
        <f>'Reported burning'!A1840</f>
        <v>214a</v>
      </c>
      <c r="B1840" s="151" t="str">
        <f>'Reported burning'!B1840</f>
        <v>214a.1</v>
      </c>
      <c r="C1840" s="151" t="str">
        <f>'Reported burning'!C1840</f>
        <v>Human, deliberate</v>
      </c>
      <c r="D1840" s="151" t="str">
        <f>'Reported burning'!D1840</f>
        <v>Pyrome management</v>
      </c>
      <c r="E1840" s="151" t="str">
        <f>'Reported burning'!E1840</f>
        <v>Forestry, Traditional</v>
      </c>
      <c r="F1840" s="151" t="str">
        <f>'Reported burning'!F1840</f>
        <v>Shrubland (Mixed forest &amp; grassland)</v>
      </c>
      <c r="G1840" s="151" t="str">
        <f>'Reported burning'!G1840</f>
        <v>ND</v>
      </c>
      <c r="H1840" s="151" t="str">
        <f>'Reported burning'!H1840</f>
        <v>Presence</v>
      </c>
      <c r="I1840" s="5"/>
      <c r="J1840" s="4" t="s">
        <v>2272</v>
      </c>
      <c r="K1840" s="4" t="s">
        <v>2272</v>
      </c>
      <c r="L1840" s="4" t="s">
        <v>2272</v>
      </c>
      <c r="M1840" s="4" t="s">
        <v>2272</v>
      </c>
      <c r="N1840" s="4" t="s">
        <v>2272</v>
      </c>
      <c r="O1840" s="4" t="s">
        <v>2272</v>
      </c>
      <c r="P1840" s="4" t="s">
        <v>2272</v>
      </c>
      <c r="Q1840" s="4" t="s">
        <v>2272</v>
      </c>
      <c r="R1840" s="4" t="s">
        <v>2272</v>
      </c>
      <c r="S1840" s="4" t="s">
        <v>2272</v>
      </c>
      <c r="T1840" s="4" t="s">
        <v>2272</v>
      </c>
      <c r="U1840" s="4" t="s">
        <v>2272</v>
      </c>
      <c r="V1840" s="4" t="s">
        <v>2272</v>
      </c>
      <c r="W1840" s="4" t="s">
        <v>2272</v>
      </c>
      <c r="X1840" s="4" t="s">
        <v>2272</v>
      </c>
      <c r="Y1840" s="3" t="s">
        <v>37</v>
      </c>
      <c r="Z1840" s="3" t="s">
        <v>67</v>
      </c>
      <c r="AA1840" s="4" t="s">
        <v>2272</v>
      </c>
      <c r="AB1840" s="3"/>
      <c r="AC1840" s="3"/>
    </row>
    <row r="1841" spans="1:29" ht="45.5" customHeight="1">
      <c r="A1841" s="151" t="str">
        <f>'Reported burning'!A1841</f>
        <v>214a</v>
      </c>
      <c r="B1841" s="151" t="str">
        <f>'Reported burning'!B1841</f>
        <v>214a.2</v>
      </c>
      <c r="C1841" s="151" t="str">
        <f>'Reported burning'!C1841</f>
        <v>Human, deliberate</v>
      </c>
      <c r="D1841" s="151" t="str">
        <f>'Reported burning'!D1841</f>
        <v>Hunting</v>
      </c>
      <c r="E1841" s="151" t="str">
        <f>'Reported burning'!E1841</f>
        <v>Forestry, Traditional</v>
      </c>
      <c r="F1841" s="151" t="str">
        <f>'Reported burning'!F1841</f>
        <v>Shrubland (Mixed forest &amp; grassland)</v>
      </c>
      <c r="G1841" s="151" t="str">
        <f>'Reported burning'!G1841</f>
        <v>ND</v>
      </c>
      <c r="H1841" s="151" t="str">
        <f>'Reported burning'!H1841</f>
        <v>Presence</v>
      </c>
      <c r="I1841" s="5"/>
      <c r="J1841" s="4" t="s">
        <v>2272</v>
      </c>
      <c r="K1841" s="4" t="s">
        <v>2272</v>
      </c>
      <c r="L1841" s="4" t="s">
        <v>2272</v>
      </c>
      <c r="M1841" s="4" t="s">
        <v>2272</v>
      </c>
      <c r="N1841" s="4" t="s">
        <v>2272</v>
      </c>
      <c r="O1841" s="4" t="s">
        <v>2272</v>
      </c>
      <c r="P1841" s="4" t="s">
        <v>2272</v>
      </c>
      <c r="Q1841" s="4" t="s">
        <v>2272</v>
      </c>
      <c r="R1841" s="4" t="s">
        <v>2272</v>
      </c>
      <c r="S1841" s="4" t="s">
        <v>2272</v>
      </c>
      <c r="T1841" s="4" t="s">
        <v>2272</v>
      </c>
      <c r="U1841" s="4" t="s">
        <v>2272</v>
      </c>
      <c r="V1841" s="4" t="s">
        <v>2272</v>
      </c>
      <c r="W1841" s="4" t="s">
        <v>2272</v>
      </c>
      <c r="X1841" s="4" t="s">
        <v>2272</v>
      </c>
      <c r="Y1841" s="3" t="s">
        <v>37</v>
      </c>
      <c r="Z1841" s="3" t="s">
        <v>67</v>
      </c>
      <c r="AA1841" s="4" t="s">
        <v>2272</v>
      </c>
      <c r="AB1841" s="3"/>
      <c r="AC1841" s="3"/>
    </row>
    <row r="1842" spans="1:29" ht="45.5" customHeight="1">
      <c r="A1842" s="151" t="str">
        <f>'Reported burning'!A1842</f>
        <v>214a</v>
      </c>
      <c r="B1842" s="151" t="str">
        <f>'Reported burning'!B1842</f>
        <v>214a.3</v>
      </c>
      <c r="C1842" s="151" t="str">
        <f>'Reported burning'!C1842</f>
        <v>Human, deliberate</v>
      </c>
      <c r="D1842" s="151" t="str">
        <f>'Reported burning'!D1842</f>
        <v>ND</v>
      </c>
      <c r="E1842" s="151" t="str">
        <f>'Reported burning'!E1842</f>
        <v>Forestry, Traditional</v>
      </c>
      <c r="F1842" s="151" t="str">
        <f>'Reported burning'!F1842</f>
        <v>Shrubland (Mixed forest &amp; grassland)</v>
      </c>
      <c r="G1842" s="151" t="str">
        <f>'Reported burning'!G1842</f>
        <v>ND</v>
      </c>
      <c r="H1842" s="151" t="str">
        <f>'Reported burning'!H1842</f>
        <v>Presence</v>
      </c>
      <c r="I1842" s="5"/>
      <c r="J1842" s="4" t="s">
        <v>2272</v>
      </c>
      <c r="K1842" s="4" t="s">
        <v>2272</v>
      </c>
      <c r="L1842" s="4" t="s">
        <v>2272</v>
      </c>
      <c r="M1842" s="4" t="s">
        <v>2272</v>
      </c>
      <c r="N1842" s="4" t="s">
        <v>2272</v>
      </c>
      <c r="O1842" s="4" t="s">
        <v>2272</v>
      </c>
      <c r="P1842" s="4" t="s">
        <v>2272</v>
      </c>
      <c r="Q1842" s="4" t="s">
        <v>2272</v>
      </c>
      <c r="R1842" s="4" t="s">
        <v>2272</v>
      </c>
      <c r="S1842" s="4" t="s">
        <v>2272</v>
      </c>
      <c r="T1842" s="4" t="s">
        <v>2272</v>
      </c>
      <c r="U1842" s="4" t="s">
        <v>2272</v>
      </c>
      <c r="V1842" s="4" t="s">
        <v>2272</v>
      </c>
      <c r="W1842" s="4" t="s">
        <v>2272</v>
      </c>
      <c r="X1842" s="4" t="s">
        <v>2272</v>
      </c>
      <c r="Y1842" s="3" t="s">
        <v>37</v>
      </c>
      <c r="Z1842" s="3" t="s">
        <v>67</v>
      </c>
      <c r="AA1842" s="4" t="s">
        <v>2272</v>
      </c>
      <c r="AB1842" s="3"/>
      <c r="AC1842" s="3"/>
    </row>
    <row r="1843" spans="1:29" ht="53.5" customHeight="1">
      <c r="A1843" s="151" t="str">
        <f>'Reported burning'!A1843</f>
        <v>214a</v>
      </c>
      <c r="B1843" s="151" t="str">
        <f>'Reported burning'!B1843</f>
        <v>214a.4</v>
      </c>
      <c r="C1843" s="151" t="str">
        <f>'Reported burning'!C1843</f>
        <v>Human, deliberate</v>
      </c>
      <c r="D1843" s="151" t="str">
        <f>'Reported burning'!D1843</f>
        <v>Pasture renewal</v>
      </c>
      <c r="E1843" s="151" t="str">
        <f>'Reported burning'!E1843</f>
        <v>Cattle, Intensive</v>
      </c>
      <c r="F1843" s="151" t="str">
        <f>'Reported burning'!F1843</f>
        <v>Pasture</v>
      </c>
      <c r="G1843" s="151" t="str">
        <f>'Reported burning'!G1843</f>
        <v>ND</v>
      </c>
      <c r="H1843" s="151" t="str">
        <f>'Reported burning'!H1843</f>
        <v>Presence</v>
      </c>
      <c r="I1843" s="5"/>
      <c r="J1843" s="4" t="s">
        <v>2272</v>
      </c>
      <c r="K1843" s="4" t="s">
        <v>2272</v>
      </c>
      <c r="L1843" s="4" t="s">
        <v>2272</v>
      </c>
      <c r="M1843" s="4" t="s">
        <v>2272</v>
      </c>
      <c r="N1843" s="4" t="s">
        <v>2272</v>
      </c>
      <c r="O1843" s="4" t="s">
        <v>2272</v>
      </c>
      <c r="P1843" s="4" t="s">
        <v>2272</v>
      </c>
      <c r="Q1843" s="4" t="s">
        <v>2272</v>
      </c>
      <c r="R1843" s="4" t="s">
        <v>2272</v>
      </c>
      <c r="S1843" s="4" t="s">
        <v>2272</v>
      </c>
      <c r="T1843" s="4" t="s">
        <v>2272</v>
      </c>
      <c r="U1843" s="4" t="s">
        <v>2272</v>
      </c>
      <c r="V1843" s="4" t="s">
        <v>2272</v>
      </c>
      <c r="W1843" s="4" t="s">
        <v>2272</v>
      </c>
      <c r="X1843" s="4" t="s">
        <v>2272</v>
      </c>
      <c r="Y1843" s="3" t="s">
        <v>37</v>
      </c>
      <c r="Z1843" s="3" t="s">
        <v>67</v>
      </c>
      <c r="AA1843" s="4" t="s">
        <v>2272</v>
      </c>
      <c r="AB1843" s="19" t="s">
        <v>5406</v>
      </c>
      <c r="AC1843" s="3"/>
    </row>
    <row r="1844" spans="1:29" ht="45.5" customHeight="1">
      <c r="A1844" s="151" t="str">
        <f>'Reported burning'!A1844</f>
        <v>214a</v>
      </c>
      <c r="B1844" s="151" t="str">
        <f>'Reported burning'!B1844</f>
        <v>214a.5</v>
      </c>
      <c r="C1844" s="151" t="str">
        <f>'Reported burning'!C1844</f>
        <v>Human, deliberate</v>
      </c>
      <c r="D1844" s="151" t="str">
        <f>'Reported burning'!D1844</f>
        <v>Pyrome management</v>
      </c>
      <c r="E1844" s="151" t="str">
        <f>'Reported burning'!E1844</f>
        <v>Cattle, Intensive</v>
      </c>
      <c r="F1844" s="151" t="str">
        <f>'Reported burning'!F1844</f>
        <v>Pasture</v>
      </c>
      <c r="G1844" s="151" t="str">
        <f>'Reported burning'!G1844</f>
        <v>ND</v>
      </c>
      <c r="H1844" s="151" t="str">
        <f>'Reported burning'!H1844</f>
        <v>Presence</v>
      </c>
      <c r="I1844" s="5"/>
      <c r="J1844" s="4" t="s">
        <v>2272</v>
      </c>
      <c r="K1844" s="4" t="s">
        <v>2272</v>
      </c>
      <c r="L1844" s="4" t="s">
        <v>2272</v>
      </c>
      <c r="M1844" s="4" t="s">
        <v>2272</v>
      </c>
      <c r="N1844" s="4" t="s">
        <v>2272</v>
      </c>
      <c r="O1844" s="4" t="s">
        <v>2272</v>
      </c>
      <c r="P1844" s="4" t="s">
        <v>2272</v>
      </c>
      <c r="Q1844" s="4" t="s">
        <v>2272</v>
      </c>
      <c r="R1844" s="4" t="s">
        <v>2272</v>
      </c>
      <c r="S1844" s="4" t="s">
        <v>2272</v>
      </c>
      <c r="T1844" s="4" t="s">
        <v>2272</v>
      </c>
      <c r="U1844" s="4" t="s">
        <v>2272</v>
      </c>
      <c r="V1844" s="4" t="s">
        <v>2272</v>
      </c>
      <c r="W1844" s="4" t="s">
        <v>2272</v>
      </c>
      <c r="X1844" s="4" t="s">
        <v>2272</v>
      </c>
      <c r="Y1844" s="3" t="s">
        <v>37</v>
      </c>
      <c r="Z1844" s="3" t="s">
        <v>67</v>
      </c>
      <c r="AA1844" s="4" t="s">
        <v>2272</v>
      </c>
      <c r="AB1844" s="3"/>
      <c r="AC1844" s="3"/>
    </row>
    <row r="1845" spans="1:29" ht="32.5" customHeight="1">
      <c r="A1845" s="147" t="str">
        <f>'Reported burning'!A1845</f>
        <v>215a</v>
      </c>
      <c r="B1845" s="147" t="str">
        <f>'Reported burning'!B1845</f>
        <v>215a.1</v>
      </c>
      <c r="C1845" s="147" t="str">
        <f>'Reported burning'!C1845</f>
        <v>Human, deliberate</v>
      </c>
      <c r="D1845" s="147" t="str">
        <f>'Reported burning'!D1845</f>
        <v>Pyrome management</v>
      </c>
      <c r="E1845" s="147" t="str">
        <f>'Reported burning'!E1845</f>
        <v>Biodiversity conservation</v>
      </c>
      <c r="F1845" s="147" t="str">
        <f>'Reported burning'!F1845</f>
        <v>Forest</v>
      </c>
      <c r="G1845" s="147" t="str">
        <f>'Reported burning'!G1845</f>
        <v>ND</v>
      </c>
      <c r="H1845" s="147" t="str">
        <f>'Reported burning'!H1845</f>
        <v>Presence</v>
      </c>
      <c r="I1845" s="3"/>
      <c r="J1845" s="4" t="s">
        <v>2272</v>
      </c>
      <c r="K1845" s="4" t="s">
        <v>2272</v>
      </c>
      <c r="L1845" s="4" t="s">
        <v>2272</v>
      </c>
      <c r="M1845" s="4" t="s">
        <v>2272</v>
      </c>
      <c r="N1845" s="4" t="s">
        <v>2272</v>
      </c>
      <c r="O1845" s="4" t="s">
        <v>2272</v>
      </c>
      <c r="P1845" s="4" t="s">
        <v>2272</v>
      </c>
      <c r="Q1845" s="4" t="s">
        <v>2272</v>
      </c>
      <c r="R1845" s="4" t="s">
        <v>2272</v>
      </c>
      <c r="S1845" s="4" t="s">
        <v>2272</v>
      </c>
      <c r="T1845" s="4" t="s">
        <v>2272</v>
      </c>
      <c r="U1845" s="4" t="s">
        <v>2272</v>
      </c>
      <c r="V1845" s="4" t="s">
        <v>2272</v>
      </c>
      <c r="W1845" s="4" t="s">
        <v>2272</v>
      </c>
      <c r="X1845" s="4" t="s">
        <v>2272</v>
      </c>
      <c r="Y1845" s="4" t="s">
        <v>2272</v>
      </c>
      <c r="Z1845" s="4" t="s">
        <v>2272</v>
      </c>
      <c r="AA1845" s="4" t="s">
        <v>2272</v>
      </c>
      <c r="AB1845" s="3"/>
      <c r="AC1845" s="3"/>
    </row>
    <row r="1846" spans="1:29" ht="81" customHeight="1">
      <c r="A1846" s="147" t="str">
        <f>'Reported burning'!A1846</f>
        <v>215a</v>
      </c>
      <c r="B1846" s="147" t="str">
        <f>'Reported burning'!B1846</f>
        <v>215a.2</v>
      </c>
      <c r="C1846" s="147" t="str">
        <f>'Reported burning'!C1846</f>
        <v>Human, deliberate</v>
      </c>
      <c r="D1846" s="147" t="str">
        <f>'Reported burning'!D1846</f>
        <v>Harvesting of NTFP</v>
      </c>
      <c r="E1846" s="147" t="str">
        <f>'Reported burning'!E1846</f>
        <v>Forestry, Traditional</v>
      </c>
      <c r="F1846" s="147" t="str">
        <f>'Reported burning'!F1846</f>
        <v>Grassland</v>
      </c>
      <c r="G1846" s="147" t="str">
        <f>'Reported burning'!G1846</f>
        <v>ND</v>
      </c>
      <c r="H1846" s="147" t="str">
        <f>'Reported burning'!H1846</f>
        <v>Presence</v>
      </c>
      <c r="I1846" s="3"/>
      <c r="J1846" s="4" t="s">
        <v>2272</v>
      </c>
      <c r="K1846" s="4" t="s">
        <v>2272</v>
      </c>
      <c r="L1846" s="4" t="s">
        <v>2272</v>
      </c>
      <c r="M1846" s="4" t="s">
        <v>2272</v>
      </c>
      <c r="N1846" s="21" t="s">
        <v>2368</v>
      </c>
      <c r="O1846" s="4" t="s">
        <v>2272</v>
      </c>
      <c r="P1846" s="4" t="s">
        <v>2272</v>
      </c>
      <c r="Q1846" s="4" t="s">
        <v>2272</v>
      </c>
      <c r="R1846" s="4" t="s">
        <v>2272</v>
      </c>
      <c r="S1846" s="4" t="s">
        <v>2272</v>
      </c>
      <c r="T1846" s="4" t="s">
        <v>2272</v>
      </c>
      <c r="U1846" s="21" t="s">
        <v>2522</v>
      </c>
      <c r="V1846" s="4" t="s">
        <v>2272</v>
      </c>
      <c r="W1846" s="4" t="s">
        <v>2272</v>
      </c>
      <c r="X1846" s="21" t="s">
        <v>2396</v>
      </c>
      <c r="Y1846" s="4" t="s">
        <v>2272</v>
      </c>
      <c r="Z1846" s="4" t="s">
        <v>2272</v>
      </c>
      <c r="AA1846" s="4" t="s">
        <v>2272</v>
      </c>
      <c r="AB1846" s="3"/>
      <c r="AC1846" s="4" t="s">
        <v>5413</v>
      </c>
    </row>
    <row r="1847" spans="1:29" ht="45.5" customHeight="1">
      <c r="A1847" s="151" t="str">
        <f>'Reported burning'!A1847</f>
        <v>216a</v>
      </c>
      <c r="B1847" s="151" t="str">
        <f>'Reported burning'!B1847</f>
        <v>216a.1</v>
      </c>
      <c r="C1847" s="151" t="str">
        <f>'Reported burning'!C1847</f>
        <v>Human, deliberate</v>
      </c>
      <c r="D1847" s="151" t="str">
        <f>'Reported burning'!D1847</f>
        <v>Pyrome management</v>
      </c>
      <c r="E1847" s="151" t="str">
        <f>'Reported burning'!E1847</f>
        <v>Biodiversity conservation</v>
      </c>
      <c r="F1847" s="151" t="str">
        <f>'Reported burning'!F1847</f>
        <v>Shrubland (Mixed forest &amp; grassland)</v>
      </c>
      <c r="G1847" s="151" t="str">
        <f>'Reported burning'!G1847</f>
        <v>ND</v>
      </c>
      <c r="H1847" s="151" t="str">
        <f>'Reported burning'!H1847</f>
        <v>Presence</v>
      </c>
      <c r="I1847" s="5"/>
      <c r="J1847" s="4" t="s">
        <v>2272</v>
      </c>
      <c r="K1847" s="4" t="s">
        <v>2272</v>
      </c>
      <c r="L1847" s="4" t="s">
        <v>2272</v>
      </c>
      <c r="M1847" s="4" t="s">
        <v>2272</v>
      </c>
      <c r="N1847" s="4" t="s">
        <v>2272</v>
      </c>
      <c r="O1847" s="4" t="s">
        <v>2272</v>
      </c>
      <c r="P1847" s="4" t="s">
        <v>2272</v>
      </c>
      <c r="Q1847" s="4" t="s">
        <v>2272</v>
      </c>
      <c r="R1847" s="4" t="s">
        <v>2272</v>
      </c>
      <c r="S1847" s="4" t="s">
        <v>2272</v>
      </c>
      <c r="T1847" s="4" t="s">
        <v>2272</v>
      </c>
      <c r="U1847" s="4" t="s">
        <v>2272</v>
      </c>
      <c r="V1847" s="4" t="s">
        <v>2272</v>
      </c>
      <c r="W1847" s="4" t="s">
        <v>2272</v>
      </c>
      <c r="X1847" s="4" t="s">
        <v>2272</v>
      </c>
      <c r="Y1847" s="3" t="s">
        <v>37</v>
      </c>
      <c r="Z1847" s="3" t="s">
        <v>402</v>
      </c>
      <c r="AA1847" s="3" t="s">
        <v>2650</v>
      </c>
      <c r="AB1847" s="3"/>
      <c r="AC1847" s="3"/>
    </row>
    <row r="1848" spans="1:29" ht="45.5" customHeight="1">
      <c r="A1848" s="151" t="str">
        <f>'Reported burning'!A1848</f>
        <v>216a</v>
      </c>
      <c r="B1848" s="151" t="str">
        <f>'Reported burning'!B1848</f>
        <v>216a.2</v>
      </c>
      <c r="C1848" s="151" t="str">
        <f>'Reported burning'!C1848</f>
        <v>Human, deliberate</v>
      </c>
      <c r="D1848" s="151" t="str">
        <f>'Reported burning'!D1848</f>
        <v>Pyrome management</v>
      </c>
      <c r="E1848" s="151" t="str">
        <f>'Reported burning'!E1848</f>
        <v>Forestry, Traditional</v>
      </c>
      <c r="F1848" s="151" t="str">
        <f>'Reported burning'!F1848</f>
        <v>Shrubland (Mixed forest &amp; grassland)</v>
      </c>
      <c r="G1848" s="151" t="str">
        <f>'Reported burning'!G1848</f>
        <v>ND</v>
      </c>
      <c r="H1848" s="151" t="str">
        <f>'Reported burning'!H1848</f>
        <v>Presence</v>
      </c>
      <c r="I1848" s="5"/>
      <c r="J1848" s="4" t="s">
        <v>2272</v>
      </c>
      <c r="K1848" s="4" t="s">
        <v>2272</v>
      </c>
      <c r="L1848" s="4" t="s">
        <v>2272</v>
      </c>
      <c r="M1848" s="4" t="s">
        <v>2272</v>
      </c>
      <c r="N1848" s="4" t="s">
        <v>2272</v>
      </c>
      <c r="O1848" s="4" t="s">
        <v>2272</v>
      </c>
      <c r="P1848" s="4" t="s">
        <v>2272</v>
      </c>
      <c r="Q1848" s="4" t="s">
        <v>2272</v>
      </c>
      <c r="R1848" s="4" t="s">
        <v>2272</v>
      </c>
      <c r="S1848" s="4" t="s">
        <v>2272</v>
      </c>
      <c r="T1848" s="4" t="s">
        <v>2272</v>
      </c>
      <c r="U1848" s="4" t="s">
        <v>2272</v>
      </c>
      <c r="V1848" s="4" t="s">
        <v>2272</v>
      </c>
      <c r="W1848" s="4" t="s">
        <v>2272</v>
      </c>
      <c r="X1848" s="4" t="s">
        <v>2272</v>
      </c>
      <c r="Y1848" s="3" t="s">
        <v>37</v>
      </c>
      <c r="Z1848" s="3" t="s">
        <v>402</v>
      </c>
      <c r="AA1848" s="3" t="s">
        <v>2650</v>
      </c>
      <c r="AB1848" s="3"/>
      <c r="AC1848" s="3"/>
    </row>
    <row r="1849" spans="1:29" ht="31.5" customHeight="1">
      <c r="A1849" s="151" t="str">
        <f>'Reported burning'!A1849</f>
        <v>217a</v>
      </c>
      <c r="B1849" s="151" t="str">
        <f>'Reported burning'!B1849</f>
        <v>217a.1</v>
      </c>
      <c r="C1849" s="151" t="str">
        <f>'Reported burning'!C1849</f>
        <v>Human, deliberate</v>
      </c>
      <c r="D1849" s="151" t="str">
        <f>'Reported burning'!D1849</f>
        <v>Pyrome management</v>
      </c>
      <c r="E1849" s="151" t="str">
        <f>'Reported burning'!E1849</f>
        <v>Biodiversity conservation</v>
      </c>
      <c r="F1849" s="151" t="str">
        <f>'Reported burning'!F1849</f>
        <v>Forest</v>
      </c>
      <c r="G1849" s="151" t="str">
        <f>'Reported burning'!G1849</f>
        <v>ND</v>
      </c>
      <c r="H1849" s="151"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21" t="s">
        <v>2272</v>
      </c>
      <c r="Y1849" s="4" t="s">
        <v>2272</v>
      </c>
      <c r="Z1849" s="4" t="s">
        <v>2272</v>
      </c>
      <c r="AA1849" s="4" t="s">
        <v>2272</v>
      </c>
      <c r="AB1849" s="4" t="s">
        <v>5429</v>
      </c>
      <c r="AC1849" s="3"/>
    </row>
    <row r="1850" spans="1:29" ht="31.5" customHeight="1">
      <c r="A1850" s="151" t="str">
        <f>'Reported burning'!A1850</f>
        <v>217a</v>
      </c>
      <c r="B1850" s="151" t="str">
        <f>'Reported burning'!B1850</f>
        <v>217a.2</v>
      </c>
      <c r="C1850" s="151" t="str">
        <f>'Reported burning'!C1850</f>
        <v>Human, deliberate</v>
      </c>
      <c r="D1850" s="151" t="str">
        <f>'Reported burning'!D1850</f>
        <v>Pyrome management</v>
      </c>
      <c r="E1850" s="151" t="str">
        <f>'Reported burning'!E1850</f>
        <v>Forestry, Traditional</v>
      </c>
      <c r="F1850" s="151" t="str">
        <f>'Reported burning'!F1850</f>
        <v>Forest</v>
      </c>
      <c r="G1850" s="151" t="str">
        <f>'Reported burning'!G1850</f>
        <v>ND</v>
      </c>
      <c r="H1850" s="151"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21" t="s">
        <v>2272</v>
      </c>
      <c r="Y1850" s="4" t="s">
        <v>2272</v>
      </c>
      <c r="Z1850" s="4" t="s">
        <v>2272</v>
      </c>
      <c r="AA1850" s="4" t="s">
        <v>2272</v>
      </c>
      <c r="AB1850" s="4" t="s">
        <v>5429</v>
      </c>
      <c r="AC1850" s="3"/>
    </row>
    <row r="1851" spans="1:29" ht="31.5" customHeight="1">
      <c r="A1851" s="151" t="str">
        <f>'Reported burning'!A1851</f>
        <v>217a</v>
      </c>
      <c r="B1851" s="151" t="str">
        <f>'Reported burning'!B1851</f>
        <v>217a.3</v>
      </c>
      <c r="C1851" s="151" t="str">
        <f>'Reported burning'!C1851</f>
        <v>Lightning</v>
      </c>
      <c r="D1851" s="151" t="str">
        <f>'Reported burning'!D1851</f>
        <v>ND</v>
      </c>
      <c r="E1851" s="151" t="str">
        <f>'Reported burning'!E1851</f>
        <v>ND</v>
      </c>
      <c r="F1851" s="151" t="str">
        <f>'Reported burning'!F1851</f>
        <v>ND</v>
      </c>
      <c r="G1851" s="151" t="str">
        <f>'Reported burning'!G1851</f>
        <v>Forest</v>
      </c>
      <c r="H1851" s="151" t="str">
        <f>'Reported burning'!H1851</f>
        <v>Presence</v>
      </c>
      <c r="I1851" s="3">
        <v>2016</v>
      </c>
      <c r="J1851" s="4" t="s">
        <v>2272</v>
      </c>
      <c r="K1851" s="4" t="s">
        <v>2272</v>
      </c>
      <c r="L1851" s="4" t="s">
        <v>2272</v>
      </c>
      <c r="M1851" s="4" t="s">
        <v>2272</v>
      </c>
      <c r="N1851" s="4" t="s">
        <v>2272</v>
      </c>
      <c r="O1851" s="4" t="s">
        <v>2272</v>
      </c>
      <c r="P1851" s="4" t="s">
        <v>2272</v>
      </c>
      <c r="Q1851" s="4" t="s">
        <v>2272</v>
      </c>
      <c r="R1851" s="4" t="s">
        <v>2272</v>
      </c>
      <c r="S1851" s="4" t="s">
        <v>2272</v>
      </c>
      <c r="T1851" s="4" t="s">
        <v>2272</v>
      </c>
      <c r="U1851" s="4" t="s">
        <v>2272</v>
      </c>
      <c r="V1851" s="4" t="s">
        <v>2272</v>
      </c>
      <c r="W1851" s="4" t="s">
        <v>2272</v>
      </c>
      <c r="X1851" s="4" t="s">
        <v>2272</v>
      </c>
      <c r="Y1851" s="3" t="s">
        <v>403</v>
      </c>
      <c r="Z1851" s="4" t="s">
        <v>2272</v>
      </c>
      <c r="AA1851" s="4" t="s">
        <v>2272</v>
      </c>
      <c r="AB1851" s="4" t="s">
        <v>5430</v>
      </c>
      <c r="AC1851" s="3"/>
    </row>
    <row r="1852" spans="1:29" ht="31.5" customHeight="1">
      <c r="A1852" s="151" t="str">
        <f>'Reported burning'!A1852</f>
        <v>217a</v>
      </c>
      <c r="B1852" s="151" t="str">
        <f>'Reported burning'!B1852</f>
        <v>217a.4</v>
      </c>
      <c r="C1852" s="151" t="str">
        <f>'Reported burning'!C1852</f>
        <v>Human, deliberate</v>
      </c>
      <c r="D1852" s="151" t="str">
        <f>'Reported burning'!D1852</f>
        <v>Pyrome management</v>
      </c>
      <c r="E1852" s="151" t="str">
        <f>'Reported burning'!E1852</f>
        <v>Biodiversity conservation</v>
      </c>
      <c r="F1852" s="151" t="str">
        <f>'Reported burning'!F1852</f>
        <v>Forest</v>
      </c>
      <c r="G1852" s="151" t="str">
        <f>'Reported burning'!G1852</f>
        <v>ND</v>
      </c>
      <c r="H1852" s="151" t="str">
        <f>'Reported burning'!H1852</f>
        <v>Presence</v>
      </c>
      <c r="I1852" s="11">
        <v>2017</v>
      </c>
      <c r="J1852" s="4" t="s">
        <v>2272</v>
      </c>
      <c r="K1852" s="4" t="s">
        <v>2272</v>
      </c>
      <c r="L1852" s="4" t="s">
        <v>2272</v>
      </c>
      <c r="M1852" s="4" t="s">
        <v>2272</v>
      </c>
      <c r="N1852" s="4" t="s">
        <v>2272</v>
      </c>
      <c r="O1852" s="4" t="s">
        <v>2272</v>
      </c>
      <c r="P1852" s="4" t="s">
        <v>2272</v>
      </c>
      <c r="Q1852" s="4" t="s">
        <v>2272</v>
      </c>
      <c r="R1852" s="4" t="s">
        <v>2272</v>
      </c>
      <c r="S1852" s="4" t="s">
        <v>2272</v>
      </c>
      <c r="T1852" s="4" t="s">
        <v>2272</v>
      </c>
      <c r="U1852" s="4" t="s">
        <v>2272</v>
      </c>
      <c r="V1852" s="4" t="s">
        <v>2272</v>
      </c>
      <c r="W1852" s="4" t="s">
        <v>2272</v>
      </c>
      <c r="X1852" s="4" t="s">
        <v>2272</v>
      </c>
      <c r="Y1852" s="4" t="s">
        <v>2272</v>
      </c>
      <c r="Z1852" s="4" t="s">
        <v>2272</v>
      </c>
      <c r="AA1852" s="4" t="s">
        <v>2272</v>
      </c>
      <c r="AB1852" s="4" t="s">
        <v>5429</v>
      </c>
      <c r="AC1852" s="3"/>
    </row>
    <row r="1853" spans="1:29" ht="31.5" customHeight="1">
      <c r="A1853" s="151" t="str">
        <f>'Reported burning'!A1853</f>
        <v>217a</v>
      </c>
      <c r="B1853" s="151" t="str">
        <f>'Reported burning'!B1853</f>
        <v>217a.5</v>
      </c>
      <c r="C1853" s="151" t="str">
        <f>'Reported burning'!C1853</f>
        <v>Human, deliberate</v>
      </c>
      <c r="D1853" s="151" t="str">
        <f>'Reported burning'!D1853</f>
        <v>Pyrome management</v>
      </c>
      <c r="E1853" s="151" t="str">
        <f>'Reported burning'!E1853</f>
        <v>Forestry, Traditional</v>
      </c>
      <c r="F1853" s="151" t="str">
        <f>'Reported burning'!F1853</f>
        <v>Forest</v>
      </c>
      <c r="G1853" s="151" t="str">
        <f>'Reported burning'!G1853</f>
        <v>ND</v>
      </c>
      <c r="H1853" s="151" t="str">
        <f>'Reported burning'!H1853</f>
        <v>Presence</v>
      </c>
      <c r="I1853" s="11">
        <v>2017</v>
      </c>
      <c r="J1853" s="4" t="s">
        <v>2272</v>
      </c>
      <c r="K1853" s="4" t="s">
        <v>2272</v>
      </c>
      <c r="L1853" s="4" t="s">
        <v>2272</v>
      </c>
      <c r="M1853" s="4" t="s">
        <v>2272</v>
      </c>
      <c r="N1853" s="4" t="s">
        <v>2272</v>
      </c>
      <c r="O1853" s="4" t="s">
        <v>2272</v>
      </c>
      <c r="P1853" s="4" t="s">
        <v>2272</v>
      </c>
      <c r="Q1853" s="4" t="s">
        <v>2272</v>
      </c>
      <c r="R1853" s="4" t="s">
        <v>2272</v>
      </c>
      <c r="S1853" s="4" t="s">
        <v>2272</v>
      </c>
      <c r="T1853" s="4" t="s">
        <v>2272</v>
      </c>
      <c r="U1853" s="4" t="s">
        <v>2272</v>
      </c>
      <c r="V1853" s="4" t="s">
        <v>2272</v>
      </c>
      <c r="W1853" s="4" t="s">
        <v>2272</v>
      </c>
      <c r="X1853" s="4" t="s">
        <v>2272</v>
      </c>
      <c r="Y1853" s="4" t="s">
        <v>2272</v>
      </c>
      <c r="Z1853" s="4" t="s">
        <v>2272</v>
      </c>
      <c r="AA1853" s="4" t="s">
        <v>2272</v>
      </c>
      <c r="AB1853" s="4" t="s">
        <v>5429</v>
      </c>
      <c r="AC1853" s="3"/>
    </row>
    <row r="1854" spans="1:29" ht="51.5" customHeight="1">
      <c r="A1854" s="147" t="str">
        <f>'Reported burning'!A1854</f>
        <v>218a</v>
      </c>
      <c r="B1854" s="147" t="str">
        <f>'Reported burning'!B1854</f>
        <v>218a.1</v>
      </c>
      <c r="C1854" s="147" t="str">
        <f>'Reported burning'!C1854</f>
        <v>Human, deliberate</v>
      </c>
      <c r="D1854" s="147" t="str">
        <f>'Reported burning'!D1854</f>
        <v>Crop field preparation</v>
      </c>
      <c r="E1854" s="147" t="str">
        <f>'Reported burning'!E1854</f>
        <v>Cropping, Swidden</v>
      </c>
      <c r="F1854" s="147" t="str">
        <f>'Reported burning'!F1854</f>
        <v>Secondary vegetation</v>
      </c>
      <c r="G1854" s="147" t="str">
        <f>'Reported burning'!G1854</f>
        <v>ND</v>
      </c>
      <c r="H1854" s="147" t="str">
        <f>'Reported burning'!H1854</f>
        <v>Presence</v>
      </c>
      <c r="I1854" s="3"/>
      <c r="J1854" s="4" t="s">
        <v>2272</v>
      </c>
      <c r="K1854" s="4" t="s">
        <v>2272</v>
      </c>
      <c r="L1854" s="4" t="s">
        <v>2272</v>
      </c>
      <c r="M1854" s="4" t="s">
        <v>2272</v>
      </c>
      <c r="N1854" s="4" t="s">
        <v>2272</v>
      </c>
      <c r="O1854" s="4" t="s">
        <v>2272</v>
      </c>
      <c r="P1854" s="4" t="s">
        <v>2272</v>
      </c>
      <c r="Q1854" s="4" t="s">
        <v>2272</v>
      </c>
      <c r="R1854" s="4" t="s">
        <v>2272</v>
      </c>
      <c r="S1854" s="4" t="s">
        <v>2272</v>
      </c>
      <c r="T1854" s="4" t="s">
        <v>2272</v>
      </c>
      <c r="U1854" s="4" t="s">
        <v>2272</v>
      </c>
      <c r="V1854" s="4" t="s">
        <v>2272</v>
      </c>
      <c r="W1854" s="4" t="s">
        <v>2272</v>
      </c>
      <c r="X1854" s="21" t="s">
        <v>2399</v>
      </c>
      <c r="Y1854" s="3" t="s">
        <v>84</v>
      </c>
      <c r="Z1854" s="3" t="s">
        <v>84</v>
      </c>
      <c r="AA1854" s="4" t="s">
        <v>2272</v>
      </c>
      <c r="AB1854" s="3"/>
      <c r="AC1854" s="19" t="s">
        <v>5457</v>
      </c>
    </row>
    <row r="1855" spans="1:29" ht="50.5" customHeight="1">
      <c r="A1855" s="147" t="str">
        <f>'Reported burning'!A1855</f>
        <v>218a</v>
      </c>
      <c r="B1855" s="147" t="str">
        <f>'Reported burning'!B1855</f>
        <v>218a.2</v>
      </c>
      <c r="C1855" s="147" t="str">
        <f>'Reported burning'!C1855</f>
        <v>Human, deliberate</v>
      </c>
      <c r="D1855" s="147" t="str">
        <f>'Reported burning'!D1855</f>
        <v>Crop field preparation</v>
      </c>
      <c r="E1855" s="147" t="str">
        <f>'Reported burning'!E1855</f>
        <v>Cropping, Swidden</v>
      </c>
      <c r="F1855" s="147" t="str">
        <f>'Reported burning'!F1855</f>
        <v>Cropland</v>
      </c>
      <c r="G1855" s="147" t="str">
        <f>'Reported burning'!G1855</f>
        <v>ND</v>
      </c>
      <c r="H1855" s="147" t="str">
        <f>'Reported burning'!H1855</f>
        <v>Presence</v>
      </c>
      <c r="I1855" s="5"/>
      <c r="J1855" s="4" t="s">
        <v>2272</v>
      </c>
      <c r="K1855" s="4" t="s">
        <v>2272</v>
      </c>
      <c r="L1855" s="4" t="s">
        <v>2272</v>
      </c>
      <c r="M1855" s="4" t="s">
        <v>2272</v>
      </c>
      <c r="N1855" s="4" t="s">
        <v>2272</v>
      </c>
      <c r="O1855" s="4" t="s">
        <v>2272</v>
      </c>
      <c r="P1855" s="4" t="s">
        <v>2272</v>
      </c>
      <c r="Q1855" s="4" t="s">
        <v>2272</v>
      </c>
      <c r="R1855" s="4" t="s">
        <v>2272</v>
      </c>
      <c r="S1855" s="4" t="s">
        <v>2272</v>
      </c>
      <c r="T1855" s="4" t="s">
        <v>2272</v>
      </c>
      <c r="U1855" s="4" t="s">
        <v>2272</v>
      </c>
      <c r="V1855" s="4" t="s">
        <v>2272</v>
      </c>
      <c r="W1855" s="4" t="s">
        <v>2272</v>
      </c>
      <c r="X1855" s="4" t="s">
        <v>2272</v>
      </c>
      <c r="Y1855" s="3" t="s">
        <v>84</v>
      </c>
      <c r="Z1855" s="3" t="s">
        <v>84</v>
      </c>
      <c r="AA1855" s="4" t="s">
        <v>2272</v>
      </c>
      <c r="AB1855" s="3"/>
      <c r="AC1855" s="3"/>
    </row>
    <row r="1856" spans="1:29" ht="50.5" customHeight="1">
      <c r="A1856" s="147" t="str">
        <f>'Reported burning'!A1856</f>
        <v>218a</v>
      </c>
      <c r="B1856" s="147" t="str">
        <f>'Reported burning'!B1856</f>
        <v>218a.3</v>
      </c>
      <c r="C1856" s="147" t="str">
        <f>'Reported burning'!C1856</f>
        <v>Human, deliberate</v>
      </c>
      <c r="D1856" s="147" t="str">
        <f>'Reported burning'!D1856</f>
        <v>Crop residue burning</v>
      </c>
      <c r="E1856" s="147" t="str">
        <f>'Reported burning'!E1856</f>
        <v>Cropping, Swidden</v>
      </c>
      <c r="F1856" s="147" t="str">
        <f>'Reported burning'!F1856</f>
        <v>Cropland</v>
      </c>
      <c r="G1856" s="147" t="str">
        <f>'Reported burning'!G1856</f>
        <v>ND</v>
      </c>
      <c r="H1856" s="147" t="str">
        <f>'Reported burning'!H1856</f>
        <v>Presence</v>
      </c>
      <c r="I1856" s="5"/>
      <c r="J1856" s="4" t="s">
        <v>2272</v>
      </c>
      <c r="K1856" s="4" t="s">
        <v>2272</v>
      </c>
      <c r="L1856" s="4" t="s">
        <v>2272</v>
      </c>
      <c r="M1856" s="4" t="s">
        <v>2272</v>
      </c>
      <c r="N1856" s="4" t="s">
        <v>2272</v>
      </c>
      <c r="O1856" s="4" t="s">
        <v>2272</v>
      </c>
      <c r="P1856" s="4" t="s">
        <v>2272</v>
      </c>
      <c r="Q1856" s="4" t="s">
        <v>2272</v>
      </c>
      <c r="R1856" s="4" t="s">
        <v>2272</v>
      </c>
      <c r="S1856" s="4" t="s">
        <v>2272</v>
      </c>
      <c r="T1856" s="4" t="s">
        <v>2272</v>
      </c>
      <c r="U1856" s="4" t="s">
        <v>2272</v>
      </c>
      <c r="V1856" s="4" t="s">
        <v>2272</v>
      </c>
      <c r="W1856" s="4" t="s">
        <v>2272</v>
      </c>
      <c r="X1856" s="4" t="s">
        <v>2272</v>
      </c>
      <c r="Y1856" s="3" t="s">
        <v>34</v>
      </c>
      <c r="Z1856" s="3" t="s">
        <v>125</v>
      </c>
      <c r="AA1856" s="3" t="s">
        <v>2650</v>
      </c>
      <c r="AB1856" s="3" t="s">
        <v>5454</v>
      </c>
      <c r="AC1856" s="3"/>
    </row>
    <row r="1857" spans="1:29" ht="50.5" customHeight="1">
      <c r="A1857" s="147" t="str">
        <f>'Reported burning'!A1857</f>
        <v>218a</v>
      </c>
      <c r="B1857" s="147" t="str">
        <f>'Reported burning'!B1857</f>
        <v>218a.4</v>
      </c>
      <c r="C1857" s="147" t="str">
        <f>'Reported burning'!C1857</f>
        <v>Human, deliberate</v>
      </c>
      <c r="D1857" s="147" t="str">
        <f>'Reported burning'!D1857</f>
        <v>Crop field preparation</v>
      </c>
      <c r="E1857" s="147" t="str">
        <f>'Reported burning'!E1857</f>
        <v>Cropping, Monoculture, Subsistence-oriented</v>
      </c>
      <c r="F1857" s="147" t="str">
        <f>'Reported burning'!F1857</f>
        <v>Cropland</v>
      </c>
      <c r="G1857" s="147" t="str">
        <f>'Reported burning'!G1857</f>
        <v>ND</v>
      </c>
      <c r="H1857" s="147" t="str">
        <f>'Reported burning'!H1857</f>
        <v>Presence</v>
      </c>
      <c r="I1857" s="5"/>
      <c r="J1857" s="4" t="s">
        <v>2272</v>
      </c>
      <c r="K1857" s="4" t="s">
        <v>2272</v>
      </c>
      <c r="L1857" s="4" t="s">
        <v>2272</v>
      </c>
      <c r="M1857" s="4" t="s">
        <v>2272</v>
      </c>
      <c r="N1857" s="4" t="s">
        <v>2272</v>
      </c>
      <c r="O1857" s="4" t="s">
        <v>2272</v>
      </c>
      <c r="P1857" s="4" t="s">
        <v>2272</v>
      </c>
      <c r="Q1857" s="4" t="s">
        <v>2272</v>
      </c>
      <c r="R1857" s="4" t="s">
        <v>2272</v>
      </c>
      <c r="S1857" s="4" t="s">
        <v>2272</v>
      </c>
      <c r="T1857" s="4" t="s">
        <v>2272</v>
      </c>
      <c r="U1857" s="4" t="s">
        <v>2272</v>
      </c>
      <c r="V1857" s="4" t="s">
        <v>2272</v>
      </c>
      <c r="W1857" s="4" t="s">
        <v>2272</v>
      </c>
      <c r="X1857" s="4" t="s">
        <v>2272</v>
      </c>
      <c r="Y1857" s="3" t="s">
        <v>187</v>
      </c>
      <c r="Z1857" s="3" t="s">
        <v>84</v>
      </c>
      <c r="AA1857" s="3" t="s">
        <v>63</v>
      </c>
      <c r="AB1857" s="19" t="s">
        <v>5453</v>
      </c>
      <c r="AC1857" s="3"/>
    </row>
    <row r="1858" spans="1:29" ht="50.5" customHeight="1">
      <c r="A1858" s="147" t="str">
        <f>'Reported burning'!A1858</f>
        <v>218a</v>
      </c>
      <c r="B1858" s="147" t="str">
        <f>'Reported burning'!B1858</f>
        <v>218a.5</v>
      </c>
      <c r="C1858" s="147" t="str">
        <f>'Reported burning'!C1858</f>
        <v>Human, deliberate</v>
      </c>
      <c r="D1858" s="147" t="str">
        <f>'Reported burning'!D1858</f>
        <v>Pasture renewal</v>
      </c>
      <c r="E1858" s="147" t="str">
        <f>'Reported burning'!E1858</f>
        <v>Pastoralism, Migratory</v>
      </c>
      <c r="F1858" s="147" t="str">
        <f>'Reported burning'!F1858</f>
        <v>Shrubland (Mixed forest &amp; grassland)</v>
      </c>
      <c r="G1858" s="147" t="str">
        <f>'Reported burning'!G1858</f>
        <v>ND</v>
      </c>
      <c r="H1858" s="147" t="str">
        <f>'Reported burning'!H1858</f>
        <v>Presence</v>
      </c>
      <c r="I1858" s="5"/>
      <c r="J1858" s="4" t="s">
        <v>2272</v>
      </c>
      <c r="K1858" s="4" t="s">
        <v>2272</v>
      </c>
      <c r="L1858" s="4" t="s">
        <v>2272</v>
      </c>
      <c r="M1858" s="4" t="s">
        <v>2272</v>
      </c>
      <c r="N1858" s="4" t="s">
        <v>2272</v>
      </c>
      <c r="O1858" s="4" t="s">
        <v>2272</v>
      </c>
      <c r="P1858" s="4" t="s">
        <v>2272</v>
      </c>
      <c r="Q1858" s="4" t="s">
        <v>2272</v>
      </c>
      <c r="R1858" s="4" t="s">
        <v>2272</v>
      </c>
      <c r="S1858" s="4" t="s">
        <v>2272</v>
      </c>
      <c r="T1858" s="4" t="s">
        <v>2272</v>
      </c>
      <c r="U1858" s="4" t="s">
        <v>2272</v>
      </c>
      <c r="V1858" s="4" t="s">
        <v>2272</v>
      </c>
      <c r="W1858" s="4" t="s">
        <v>2272</v>
      </c>
      <c r="X1858" s="4" t="s">
        <v>2272</v>
      </c>
      <c r="Y1858" s="3" t="s">
        <v>37</v>
      </c>
      <c r="Z1858" s="3" t="s">
        <v>84</v>
      </c>
      <c r="AA1858" s="4" t="s">
        <v>2272</v>
      </c>
      <c r="AB1858" s="3" t="s">
        <v>5454</v>
      </c>
      <c r="AC1858" s="3"/>
    </row>
    <row r="1859" spans="1:29" ht="50.5" customHeight="1">
      <c r="A1859" s="147" t="str">
        <f>'Reported burning'!A1859</f>
        <v>218a</v>
      </c>
      <c r="B1859" s="147" t="str">
        <f>'Reported burning'!B1859</f>
        <v>218a.6</v>
      </c>
      <c r="C1859" s="147" t="str">
        <f>'Reported burning'!C1859</f>
        <v>Human, deliberate</v>
      </c>
      <c r="D1859" s="147" t="str">
        <f>'Reported burning'!D1859</f>
        <v>Accessibility</v>
      </c>
      <c r="E1859" s="147" t="str">
        <f>'Reported burning'!E1859</f>
        <v>Forestry, Traditional</v>
      </c>
      <c r="F1859" s="147" t="str">
        <f>'Reported burning'!F1859</f>
        <v>Shrubland (Mixed forest &amp; grassland)</v>
      </c>
      <c r="G1859" s="147" t="str">
        <f>'Reported burning'!G1859</f>
        <v>ND</v>
      </c>
      <c r="H1859" s="147" t="str">
        <f>'Reported burning'!H1859</f>
        <v>Presence</v>
      </c>
      <c r="I1859" s="5"/>
      <c r="J1859" s="4" t="s">
        <v>2272</v>
      </c>
      <c r="K1859" s="4" t="s">
        <v>2272</v>
      </c>
      <c r="L1859" s="4" t="s">
        <v>2272</v>
      </c>
      <c r="M1859" s="4" t="s">
        <v>2272</v>
      </c>
      <c r="N1859" s="4" t="s">
        <v>2272</v>
      </c>
      <c r="O1859" s="4" t="s">
        <v>2272</v>
      </c>
      <c r="P1859" s="4" t="s">
        <v>2272</v>
      </c>
      <c r="Q1859" s="4" t="s">
        <v>2272</v>
      </c>
      <c r="R1859" s="4" t="s">
        <v>2272</v>
      </c>
      <c r="S1859" s="4" t="s">
        <v>2272</v>
      </c>
      <c r="T1859" s="4" t="s">
        <v>2272</v>
      </c>
      <c r="U1859" s="4" t="s">
        <v>2272</v>
      </c>
      <c r="V1859" s="4" t="s">
        <v>2272</v>
      </c>
      <c r="W1859" s="4" t="s">
        <v>2272</v>
      </c>
      <c r="X1859" s="4" t="s">
        <v>2272</v>
      </c>
      <c r="Y1859" s="3" t="s">
        <v>2272</v>
      </c>
      <c r="Z1859" s="3" t="s">
        <v>2272</v>
      </c>
      <c r="AA1859" s="3" t="s">
        <v>2272</v>
      </c>
      <c r="AB1859" s="3"/>
      <c r="AC1859" s="3"/>
    </row>
    <row r="1860" spans="1:29" ht="50.5" customHeight="1">
      <c r="A1860" s="147" t="str">
        <f>'Reported burning'!A1860</f>
        <v>218a</v>
      </c>
      <c r="B1860" s="147" t="str">
        <f>'Reported burning'!B1860</f>
        <v>218a.7</v>
      </c>
      <c r="C1860" s="147" t="str">
        <f>'Reported burning'!C1860</f>
        <v>Human, deliberate</v>
      </c>
      <c r="D1860" s="147" t="str">
        <f>'Reported burning'!D1860</f>
        <v>Hunting</v>
      </c>
      <c r="E1860" s="147" t="str">
        <f>'Reported burning'!E1860</f>
        <v>Forestry, Traditional</v>
      </c>
      <c r="F1860" s="147" t="str">
        <f>'Reported burning'!F1860</f>
        <v>Shrubland (Mixed forest &amp; grassland)</v>
      </c>
      <c r="G1860" s="147" t="str">
        <f>'Reported burning'!G1860</f>
        <v>ND</v>
      </c>
      <c r="H1860" s="147" t="str">
        <f>'Reported burning'!H1860</f>
        <v>Presence</v>
      </c>
      <c r="I1860" s="5"/>
      <c r="J1860" s="4" t="s">
        <v>2272</v>
      </c>
      <c r="K1860" s="4" t="s">
        <v>2272</v>
      </c>
      <c r="L1860" s="4" t="s">
        <v>2272</v>
      </c>
      <c r="M1860" s="4" t="s">
        <v>2272</v>
      </c>
      <c r="N1860" s="4" t="s">
        <v>2272</v>
      </c>
      <c r="O1860" s="4" t="s">
        <v>2272</v>
      </c>
      <c r="P1860" s="4" t="s">
        <v>2272</v>
      </c>
      <c r="Q1860" s="4" t="s">
        <v>2272</v>
      </c>
      <c r="R1860" s="4" t="s">
        <v>2272</v>
      </c>
      <c r="S1860" s="4" t="s">
        <v>2272</v>
      </c>
      <c r="T1860" s="4" t="s">
        <v>2272</v>
      </c>
      <c r="U1860" s="4" t="s">
        <v>2272</v>
      </c>
      <c r="V1860" s="4" t="s">
        <v>2272</v>
      </c>
      <c r="W1860" s="4" t="s">
        <v>2272</v>
      </c>
      <c r="X1860" s="4" t="s">
        <v>2272</v>
      </c>
      <c r="Y1860" s="3" t="s">
        <v>2272</v>
      </c>
      <c r="Z1860" s="3" t="s">
        <v>2272</v>
      </c>
      <c r="AA1860" s="4" t="s">
        <v>2272</v>
      </c>
      <c r="AB1860" s="3"/>
      <c r="AC1860" s="3"/>
    </row>
    <row r="1861" spans="1:29" ht="50.5" customHeight="1">
      <c r="A1861" s="147" t="str">
        <f>'Reported burning'!A1861</f>
        <v>218a</v>
      </c>
      <c r="B1861" s="147" t="str">
        <f>'Reported burning'!B1861</f>
        <v>218a.8</v>
      </c>
      <c r="C1861" s="147" t="str">
        <f>'Reported burning'!C1861</f>
        <v>Human, deliberate</v>
      </c>
      <c r="D1861" s="147" t="str">
        <f>'Reported burning'!D1861</f>
        <v>Harvesting of NTFP</v>
      </c>
      <c r="E1861" s="147" t="str">
        <f>'Reported burning'!E1861</f>
        <v>Forestry, Traditional</v>
      </c>
      <c r="F1861" s="147" t="str">
        <f>'Reported burning'!F1861</f>
        <v>Shrubland (Mixed forest &amp; grassland)</v>
      </c>
      <c r="G1861" s="147" t="str">
        <f>'Reported burning'!G1861</f>
        <v>ND</v>
      </c>
      <c r="H1861" s="147" t="str">
        <f>'Reported burning'!H1861</f>
        <v>Presence</v>
      </c>
      <c r="I1861" s="5"/>
      <c r="J1861" s="4" t="s">
        <v>2272</v>
      </c>
      <c r="K1861" s="4" t="s">
        <v>2272</v>
      </c>
      <c r="L1861" s="4" t="s">
        <v>2272</v>
      </c>
      <c r="M1861" s="4" t="s">
        <v>2272</v>
      </c>
      <c r="N1861" s="4" t="s">
        <v>2272</v>
      </c>
      <c r="O1861" s="4" t="s">
        <v>2272</v>
      </c>
      <c r="P1861" s="4" t="s">
        <v>2272</v>
      </c>
      <c r="Q1861" s="4" t="s">
        <v>2272</v>
      </c>
      <c r="R1861" s="4" t="s">
        <v>2272</v>
      </c>
      <c r="S1861" s="4" t="s">
        <v>2272</v>
      </c>
      <c r="T1861" s="4" t="s">
        <v>2272</v>
      </c>
      <c r="U1861" s="4" t="s">
        <v>2272</v>
      </c>
      <c r="V1861" s="4" t="s">
        <v>2272</v>
      </c>
      <c r="W1861" s="4" t="s">
        <v>2272</v>
      </c>
      <c r="X1861" s="4" t="s">
        <v>2272</v>
      </c>
      <c r="Y1861" s="3" t="s">
        <v>2272</v>
      </c>
      <c r="Z1861" s="3" t="s">
        <v>2272</v>
      </c>
      <c r="AA1861" s="3" t="s">
        <v>2272</v>
      </c>
      <c r="AB1861" s="3"/>
      <c r="AC1861" s="3"/>
    </row>
    <row r="1862" spans="1:29" ht="50.5" customHeight="1">
      <c r="A1862" s="151" t="str">
        <f>'Reported burning'!A1862</f>
        <v>218a</v>
      </c>
      <c r="B1862" s="151" t="str">
        <f>'Reported burning'!B1862</f>
        <v>218a.9</v>
      </c>
      <c r="C1862" s="151" t="str">
        <f>'Reported burning'!C1862</f>
        <v>Human, deliberate</v>
      </c>
      <c r="D1862" s="151" t="str">
        <f>'Reported burning'!D1862</f>
        <v>Pest management</v>
      </c>
      <c r="E1862" s="151" t="str">
        <f>'Reported burning'!E1862</f>
        <v>Pastoralism, Migratory</v>
      </c>
      <c r="F1862" s="151" t="str">
        <f>'Reported burning'!F1862</f>
        <v>Shrubland (Mixed forest &amp; grassland)</v>
      </c>
      <c r="G1862" s="151" t="str">
        <f>'Reported burning'!G1862</f>
        <v>ND</v>
      </c>
      <c r="H1862" s="151" t="str">
        <f>'Reported burning'!H1862</f>
        <v>Presence</v>
      </c>
      <c r="I1862" s="5"/>
      <c r="J1862" s="4" t="s">
        <v>2272</v>
      </c>
      <c r="K1862" s="4" t="s">
        <v>2272</v>
      </c>
      <c r="L1862" s="4" t="s">
        <v>2272</v>
      </c>
      <c r="M1862" s="4" t="s">
        <v>2272</v>
      </c>
      <c r="N1862" s="4" t="s">
        <v>2272</v>
      </c>
      <c r="O1862" s="4" t="s">
        <v>2272</v>
      </c>
      <c r="P1862" s="4" t="s">
        <v>2272</v>
      </c>
      <c r="Q1862" s="4" t="s">
        <v>2272</v>
      </c>
      <c r="R1862" s="4" t="s">
        <v>2272</v>
      </c>
      <c r="S1862" s="4" t="s">
        <v>2272</v>
      </c>
      <c r="T1862" s="4" t="s">
        <v>2272</v>
      </c>
      <c r="U1862" s="4" t="s">
        <v>2272</v>
      </c>
      <c r="V1862" s="4" t="s">
        <v>2272</v>
      </c>
      <c r="W1862" s="4" t="s">
        <v>2272</v>
      </c>
      <c r="X1862" s="4" t="s">
        <v>2272</v>
      </c>
      <c r="Y1862" s="4" t="s">
        <v>2272</v>
      </c>
      <c r="Z1862" s="4" t="s">
        <v>2272</v>
      </c>
      <c r="AA1862" s="4" t="s">
        <v>2272</v>
      </c>
      <c r="AB1862" s="3"/>
      <c r="AC1862" s="3"/>
    </row>
    <row r="1863" spans="1:29" ht="50.5" customHeight="1">
      <c r="A1863" s="151" t="str">
        <f>'Reported burning'!A1863</f>
        <v>218a</v>
      </c>
      <c r="B1863" s="151" t="str">
        <f>'Reported burning'!B1863</f>
        <v>218a.10</v>
      </c>
      <c r="C1863" s="151" t="str">
        <f>'Reported burning'!C1863</f>
        <v>Human, escaped</v>
      </c>
      <c r="D1863" s="151" t="str">
        <f>'Reported burning'!D1863</f>
        <v>Crop field preparation</v>
      </c>
      <c r="E1863" s="151" t="str">
        <f>'Reported burning'!E1863</f>
        <v>Cropping, Swidden</v>
      </c>
      <c r="F1863" s="151" t="str">
        <f>'Reported burning'!F1863</f>
        <v>Secondary vegetation</v>
      </c>
      <c r="G1863" s="151" t="str">
        <f>'Reported burning'!G1863</f>
        <v>ND</v>
      </c>
      <c r="H1863" s="151" t="str">
        <f>'Reported burning'!H1863</f>
        <v>Presence</v>
      </c>
      <c r="I1863" s="5"/>
      <c r="J1863" s="4" t="s">
        <v>2272</v>
      </c>
      <c r="K1863" s="4" t="s">
        <v>2272</v>
      </c>
      <c r="L1863" s="4" t="s">
        <v>2272</v>
      </c>
      <c r="M1863" s="4" t="s">
        <v>2272</v>
      </c>
      <c r="N1863" s="4" t="s">
        <v>2272</v>
      </c>
      <c r="O1863" s="4" t="s">
        <v>2272</v>
      </c>
      <c r="P1863" s="4" t="s">
        <v>2272</v>
      </c>
      <c r="Q1863" s="4" t="s">
        <v>2272</v>
      </c>
      <c r="R1863" s="4" t="s">
        <v>2272</v>
      </c>
      <c r="S1863" s="4" t="s">
        <v>2272</v>
      </c>
      <c r="T1863" s="4" t="s">
        <v>2272</v>
      </c>
      <c r="U1863" s="4" t="s">
        <v>2272</v>
      </c>
      <c r="V1863" s="4" t="s">
        <v>2272</v>
      </c>
      <c r="W1863" s="4" t="s">
        <v>2272</v>
      </c>
      <c r="X1863" s="4" t="s">
        <v>2272</v>
      </c>
      <c r="Y1863" s="3" t="s">
        <v>84</v>
      </c>
      <c r="Z1863" s="3" t="s">
        <v>84</v>
      </c>
      <c r="AA1863" s="4" t="s">
        <v>2272</v>
      </c>
      <c r="AB1863" s="3"/>
      <c r="AC1863" s="3"/>
    </row>
    <row r="1864" spans="1:29" ht="50.5" customHeight="1">
      <c r="A1864" s="151" t="str">
        <f>'Reported burning'!A1864</f>
        <v>218a</v>
      </c>
      <c r="B1864" s="151" t="str">
        <f>'Reported burning'!B1864</f>
        <v>218a.11</v>
      </c>
      <c r="C1864" s="151" t="str">
        <f>'Reported burning'!C1864</f>
        <v>Human, escaped</v>
      </c>
      <c r="D1864" s="151" t="str">
        <f>'Reported burning'!D1864</f>
        <v>Crop field preparation</v>
      </c>
      <c r="E1864" s="151" t="str">
        <f>'Reported burning'!E1864</f>
        <v>Cropping, Swidden</v>
      </c>
      <c r="F1864" s="151" t="str">
        <f>'Reported burning'!F1864</f>
        <v>Cropland</v>
      </c>
      <c r="G1864" s="151" t="str">
        <f>'Reported burning'!G1864</f>
        <v>ND</v>
      </c>
      <c r="H1864" s="151" t="str">
        <f>'Reported burning'!H1864</f>
        <v>Presence</v>
      </c>
      <c r="I1864" s="5"/>
      <c r="J1864" s="4" t="s">
        <v>2272</v>
      </c>
      <c r="K1864" s="4" t="s">
        <v>2272</v>
      </c>
      <c r="L1864" s="4" t="s">
        <v>2272</v>
      </c>
      <c r="M1864" s="4" t="s">
        <v>2272</v>
      </c>
      <c r="N1864" s="4" t="s">
        <v>2272</v>
      </c>
      <c r="O1864" s="4" t="s">
        <v>2272</v>
      </c>
      <c r="P1864" s="4" t="s">
        <v>2272</v>
      </c>
      <c r="Q1864" s="4" t="s">
        <v>2272</v>
      </c>
      <c r="R1864" s="4" t="s">
        <v>2272</v>
      </c>
      <c r="S1864" s="4" t="s">
        <v>2272</v>
      </c>
      <c r="T1864" s="4" t="s">
        <v>2272</v>
      </c>
      <c r="U1864" s="4" t="s">
        <v>2272</v>
      </c>
      <c r="V1864" s="4" t="s">
        <v>2272</v>
      </c>
      <c r="W1864" s="4" t="s">
        <v>2272</v>
      </c>
      <c r="X1864" s="14" t="s">
        <v>2370</v>
      </c>
      <c r="Y1864" s="3" t="s">
        <v>84</v>
      </c>
      <c r="Z1864" s="3" t="s">
        <v>84</v>
      </c>
      <c r="AA1864" s="4" t="s">
        <v>2272</v>
      </c>
      <c r="AB1864" s="3"/>
      <c r="AC1864" s="3"/>
    </row>
    <row r="1865" spans="1:29" ht="50.5" customHeight="1">
      <c r="A1865" s="151" t="str">
        <f>'Reported burning'!A1865</f>
        <v>218a</v>
      </c>
      <c r="B1865" s="151" t="str">
        <f>'Reported burning'!B1865</f>
        <v>218a.12</v>
      </c>
      <c r="C1865" s="151" t="str">
        <f>'Reported burning'!C1865</f>
        <v>Human, escaped</v>
      </c>
      <c r="D1865" s="151" t="str">
        <f>'Reported burning'!D1865</f>
        <v>Crop residue burning</v>
      </c>
      <c r="E1865" s="151" t="str">
        <f>'Reported burning'!E1865</f>
        <v>Cropping, Swidden</v>
      </c>
      <c r="F1865" s="151" t="str">
        <f>'Reported burning'!F1865</f>
        <v>Cropland</v>
      </c>
      <c r="G1865" s="151" t="str">
        <f>'Reported burning'!G1865</f>
        <v>ND</v>
      </c>
      <c r="H1865" s="151" t="str">
        <f>'Reported burning'!H1865</f>
        <v>Presence</v>
      </c>
      <c r="I1865" s="5"/>
      <c r="J1865" s="4" t="s">
        <v>2272</v>
      </c>
      <c r="K1865" s="4" t="s">
        <v>2272</v>
      </c>
      <c r="L1865" s="4" t="s">
        <v>2272</v>
      </c>
      <c r="M1865" s="4" t="s">
        <v>2272</v>
      </c>
      <c r="N1865" s="4" t="s">
        <v>2272</v>
      </c>
      <c r="O1865" s="4" t="s">
        <v>2272</v>
      </c>
      <c r="P1865" s="4" t="s">
        <v>2272</v>
      </c>
      <c r="Q1865" s="4" t="s">
        <v>2272</v>
      </c>
      <c r="R1865" s="4" t="s">
        <v>2272</v>
      </c>
      <c r="S1865" s="4" t="s">
        <v>2272</v>
      </c>
      <c r="T1865" s="4" t="s">
        <v>2272</v>
      </c>
      <c r="U1865" s="4" t="s">
        <v>2272</v>
      </c>
      <c r="V1865" s="4" t="s">
        <v>2272</v>
      </c>
      <c r="W1865" s="4" t="s">
        <v>2272</v>
      </c>
      <c r="X1865" s="21" t="s">
        <v>2370</v>
      </c>
      <c r="Y1865" s="3" t="s">
        <v>34</v>
      </c>
      <c r="Z1865" s="3" t="s">
        <v>125</v>
      </c>
      <c r="AA1865" s="3" t="s">
        <v>2650</v>
      </c>
      <c r="AB1865" s="3" t="s">
        <v>5454</v>
      </c>
      <c r="AC1865" s="3"/>
    </row>
    <row r="1866" spans="1:29" ht="29">
      <c r="A1866" s="147" t="str">
        <f>'Reported burning'!A1866</f>
        <v>218a</v>
      </c>
      <c r="B1866" s="147" t="str">
        <f>'Reported burning'!B1866</f>
        <v>218a.13</v>
      </c>
      <c r="C1866" s="147" t="str">
        <f>'Reported burning'!C1866</f>
        <v>Human, escaped</v>
      </c>
      <c r="D1866" s="147" t="str">
        <f>'Reported burning'!D1866</f>
        <v>Crop residue burning</v>
      </c>
      <c r="E1866" s="147" t="str">
        <f>'Reported burning'!E1866</f>
        <v>Cropping, Swidden</v>
      </c>
      <c r="F1866" s="147" t="str">
        <f>'Reported burning'!F1866</f>
        <v>Shrubland (Mixed forest &amp; grassland)</v>
      </c>
      <c r="G1866" s="147" t="str">
        <f>'Reported burning'!G1866</f>
        <v>ND</v>
      </c>
      <c r="H1866" s="147" t="str">
        <f>'Reported burning'!H1866</f>
        <v>Presence</v>
      </c>
      <c r="I1866" s="3"/>
      <c r="J1866" s="4" t="s">
        <v>2272</v>
      </c>
      <c r="K1866" s="4" t="s">
        <v>2272</v>
      </c>
      <c r="L1866" s="4" t="s">
        <v>2272</v>
      </c>
      <c r="M1866" s="4" t="s">
        <v>2272</v>
      </c>
      <c r="N1866" s="4" t="s">
        <v>2272</v>
      </c>
      <c r="O1866" s="4" t="s">
        <v>2272</v>
      </c>
      <c r="P1866" s="4" t="s">
        <v>2272</v>
      </c>
      <c r="Q1866" s="4" t="s">
        <v>2272</v>
      </c>
      <c r="R1866" s="4" t="s">
        <v>2272</v>
      </c>
      <c r="S1866" s="4" t="s">
        <v>2272</v>
      </c>
      <c r="T1866" s="4" t="s">
        <v>2272</v>
      </c>
      <c r="U1866" s="4" t="s">
        <v>2272</v>
      </c>
      <c r="V1866" s="4" t="s">
        <v>2272</v>
      </c>
      <c r="W1866" s="4" t="s">
        <v>2272</v>
      </c>
      <c r="X1866" s="4" t="s">
        <v>2272</v>
      </c>
      <c r="Y1866" s="4" t="s">
        <v>2272</v>
      </c>
      <c r="Z1866" s="4" t="s">
        <v>2272</v>
      </c>
      <c r="AA1866" s="4" t="s">
        <v>2272</v>
      </c>
      <c r="AB1866" s="3"/>
      <c r="AC1866" s="3"/>
    </row>
    <row r="1867" spans="1:29" ht="29">
      <c r="A1867" s="147" t="str">
        <f>'Reported burning'!A1867</f>
        <v>218a</v>
      </c>
      <c r="B1867" s="147" t="str">
        <f>'Reported burning'!B1867</f>
        <v>218a.14</v>
      </c>
      <c r="C1867" s="147" t="str">
        <f>'Reported burning'!C1867</f>
        <v>Human, deliberate</v>
      </c>
      <c r="D1867" s="147" t="str">
        <f>'Reported burning'!D1867</f>
        <v>Land clearance</v>
      </c>
      <c r="E1867" s="147" t="str">
        <f>'Reported burning'!E1867</f>
        <v>Cropping, Monoculture, Market-oriented</v>
      </c>
      <c r="F1867" s="147" t="str">
        <f>'Reported burning'!F1867</f>
        <v>Cropland</v>
      </c>
      <c r="G1867" s="147" t="str">
        <f>'Reported burning'!G1867</f>
        <v>ND</v>
      </c>
      <c r="H1867" s="147" t="str">
        <f>'Reported burning'!H1867</f>
        <v>Presence</v>
      </c>
      <c r="I1867" s="3"/>
      <c r="J1867" s="4" t="s">
        <v>2272</v>
      </c>
      <c r="K1867" s="4" t="s">
        <v>2272</v>
      </c>
      <c r="L1867" s="4" t="s">
        <v>2272</v>
      </c>
      <c r="M1867" s="4" t="s">
        <v>2272</v>
      </c>
      <c r="N1867" s="4" t="s">
        <v>2272</v>
      </c>
      <c r="O1867" s="4" t="s">
        <v>2272</v>
      </c>
      <c r="P1867" s="4" t="s">
        <v>2272</v>
      </c>
      <c r="Q1867" s="4" t="s">
        <v>2272</v>
      </c>
      <c r="R1867" s="4" t="s">
        <v>2272</v>
      </c>
      <c r="S1867" s="4" t="s">
        <v>2272</v>
      </c>
      <c r="T1867" s="4" t="s">
        <v>2272</v>
      </c>
      <c r="U1867" s="4" t="s">
        <v>2272</v>
      </c>
      <c r="V1867" s="4" t="s">
        <v>2272</v>
      </c>
      <c r="W1867" s="4" t="s">
        <v>2272</v>
      </c>
      <c r="X1867" s="4" t="s">
        <v>2272</v>
      </c>
      <c r="Y1867" s="4" t="s">
        <v>2272</v>
      </c>
      <c r="Z1867" s="4" t="s">
        <v>2272</v>
      </c>
      <c r="AA1867" s="4" t="s">
        <v>2272</v>
      </c>
      <c r="AB1867" s="3" t="s">
        <v>5469</v>
      </c>
      <c r="AC1867" s="3"/>
    </row>
    <row r="1868" spans="1:29" ht="35.5" customHeight="1">
      <c r="A1868" s="147" t="str">
        <f>'Reported burning'!A1868</f>
        <v>218a</v>
      </c>
      <c r="B1868" s="147" t="str">
        <f>'Reported burning'!B1868</f>
        <v>218a.15</v>
      </c>
      <c r="C1868" s="147" t="str">
        <f>'Reported burning'!C1868</f>
        <v>Human, deliberate</v>
      </c>
      <c r="D1868" s="147" t="str">
        <f>'Reported burning'!D1868</f>
        <v>Vegetation management</v>
      </c>
      <c r="E1868" s="147" t="str">
        <f>'Reported burning'!E1868</f>
        <v>Cropping, Monoculture, Market-oriented</v>
      </c>
      <c r="F1868" s="147" t="str">
        <f>'Reported burning'!F1868</f>
        <v>Cropland</v>
      </c>
      <c r="G1868" s="147" t="str">
        <f>'Reported burning'!G1868</f>
        <v>ND</v>
      </c>
      <c r="H1868" s="147" t="str">
        <f>'Reported burning'!H1868</f>
        <v>Presence</v>
      </c>
      <c r="I1868" s="3"/>
      <c r="J1868" s="4" t="s">
        <v>2272</v>
      </c>
      <c r="K1868" s="4" t="s">
        <v>2272</v>
      </c>
      <c r="L1868" s="4" t="s">
        <v>2272</v>
      </c>
      <c r="M1868" s="4" t="s">
        <v>2272</v>
      </c>
      <c r="N1868" s="4" t="s">
        <v>2272</v>
      </c>
      <c r="O1868" s="4" t="s">
        <v>2272</v>
      </c>
      <c r="P1868" s="4" t="s">
        <v>2272</v>
      </c>
      <c r="Q1868" s="4" t="s">
        <v>2272</v>
      </c>
      <c r="R1868" s="4" t="s">
        <v>2272</v>
      </c>
      <c r="S1868" s="4" t="s">
        <v>2272</v>
      </c>
      <c r="T1868" s="4" t="s">
        <v>2272</v>
      </c>
      <c r="U1868" s="4" t="s">
        <v>2272</v>
      </c>
      <c r="V1868" s="4" t="s">
        <v>2272</v>
      </c>
      <c r="W1868" s="4" t="s">
        <v>2272</v>
      </c>
      <c r="X1868" s="21" t="s">
        <v>2370</v>
      </c>
      <c r="Y1868" s="3" t="s">
        <v>187</v>
      </c>
      <c r="Z1868" s="3" t="s">
        <v>37</v>
      </c>
      <c r="AA1868" s="4" t="s">
        <v>2272</v>
      </c>
      <c r="AB1868" s="3" t="s">
        <v>5468</v>
      </c>
      <c r="AC1868" s="3"/>
    </row>
    <row r="1869" spans="1:29" ht="42.5" customHeight="1">
      <c r="A1869" s="151" t="str">
        <f>'Reported burning'!A1869</f>
        <v>218a</v>
      </c>
      <c r="B1869" s="151" t="str">
        <f>'Reported burning'!B1869</f>
        <v>218a.16</v>
      </c>
      <c r="C1869" s="151" t="str">
        <f>'Reported burning'!C1869</f>
        <v>Human, deliberate</v>
      </c>
      <c r="D1869" s="151" t="str">
        <f>'Reported burning'!D1869</f>
        <v>Arson</v>
      </c>
      <c r="E1869" s="151" t="str">
        <f>'Reported burning'!E1869</f>
        <v>Cropping, Swidden</v>
      </c>
      <c r="F1869" s="151" t="str">
        <f>'Reported burning'!F1869</f>
        <v>Cropland</v>
      </c>
      <c r="G1869" s="151" t="str">
        <f>'Reported burning'!G1869</f>
        <v>ND</v>
      </c>
      <c r="H1869" s="151" t="str">
        <f>'Reported burning'!H1869</f>
        <v>Presence</v>
      </c>
      <c r="I1869" s="5"/>
      <c r="J1869" s="4" t="s">
        <v>2272</v>
      </c>
      <c r="K1869" s="4" t="s">
        <v>2272</v>
      </c>
      <c r="L1869" s="4" t="s">
        <v>2272</v>
      </c>
      <c r="M1869" s="4" t="s">
        <v>2272</v>
      </c>
      <c r="N1869" s="4" t="s">
        <v>2272</v>
      </c>
      <c r="O1869" s="4" t="s">
        <v>2272</v>
      </c>
      <c r="P1869" s="4" t="s">
        <v>2272</v>
      </c>
      <c r="Q1869" s="4" t="s">
        <v>2272</v>
      </c>
      <c r="R1869" s="4" t="s">
        <v>2272</v>
      </c>
      <c r="S1869" s="4" t="s">
        <v>2272</v>
      </c>
      <c r="T1869" s="4" t="s">
        <v>2272</v>
      </c>
      <c r="U1869" s="4" t="s">
        <v>2272</v>
      </c>
      <c r="V1869" s="4" t="s">
        <v>2272</v>
      </c>
      <c r="W1869" s="4" t="s">
        <v>2272</v>
      </c>
      <c r="X1869" s="4" t="s">
        <v>2272</v>
      </c>
      <c r="Y1869" s="4" t="s">
        <v>2272</v>
      </c>
      <c r="Z1869" s="4" t="s">
        <v>2272</v>
      </c>
      <c r="AA1869" s="4" t="s">
        <v>2272</v>
      </c>
      <c r="AB1869" s="3"/>
      <c r="AC1869" s="3"/>
    </row>
    <row r="1870" spans="1:29" ht="39" customHeight="1">
      <c r="A1870" s="151" t="str">
        <f>'Reported burning'!A1870</f>
        <v>218a</v>
      </c>
      <c r="B1870" s="151" t="str">
        <f>'Reported burning'!B1870</f>
        <v>218a.17</v>
      </c>
      <c r="C1870" s="151" t="str">
        <f>'Reported burning'!C1870</f>
        <v>Human, deliberate</v>
      </c>
      <c r="D1870" s="151" t="str">
        <f>'Reported burning'!D1870</f>
        <v>Hunting</v>
      </c>
      <c r="E1870" s="151" t="str">
        <f>'Reported burning'!E1870</f>
        <v>Tourism manager</v>
      </c>
      <c r="F1870" s="151" t="str">
        <f>'Reported burning'!F1870</f>
        <v>Shrubland (Mixed forest &amp; grassland)</v>
      </c>
      <c r="G1870" s="151" t="str">
        <f>'Reported burning'!G1870</f>
        <v>ND</v>
      </c>
      <c r="H1870" s="151" t="str">
        <f>'Reported burning'!H1870</f>
        <v>Presence</v>
      </c>
      <c r="I1870" s="5"/>
      <c r="J1870" s="4" t="s">
        <v>2272</v>
      </c>
      <c r="K1870" s="4" t="s">
        <v>2272</v>
      </c>
      <c r="L1870" s="4" t="s">
        <v>2272</v>
      </c>
      <c r="M1870" s="4" t="s">
        <v>2272</v>
      </c>
      <c r="N1870" s="4" t="s">
        <v>2272</v>
      </c>
      <c r="O1870" s="4" t="s">
        <v>2272</v>
      </c>
      <c r="P1870" s="4" t="s">
        <v>2272</v>
      </c>
      <c r="Q1870" s="4" t="s">
        <v>2272</v>
      </c>
      <c r="R1870" s="4" t="s">
        <v>2272</v>
      </c>
      <c r="S1870" s="4" t="s">
        <v>2272</v>
      </c>
      <c r="T1870" s="4" t="s">
        <v>2272</v>
      </c>
      <c r="U1870" s="4" t="s">
        <v>2272</v>
      </c>
      <c r="V1870" s="4" t="s">
        <v>2272</v>
      </c>
      <c r="W1870" s="4" t="s">
        <v>2272</v>
      </c>
      <c r="X1870" s="4" t="s">
        <v>2272</v>
      </c>
      <c r="Y1870" s="4" t="s">
        <v>2272</v>
      </c>
      <c r="Z1870" s="4" t="s">
        <v>2272</v>
      </c>
      <c r="AA1870" s="4" t="s">
        <v>2272</v>
      </c>
      <c r="AB1870" s="3"/>
      <c r="AC1870" s="3"/>
    </row>
    <row r="1871" spans="1:29" ht="39" customHeight="1">
      <c r="A1871" s="151" t="str">
        <f>'Reported burning'!A1871</f>
        <v>218a</v>
      </c>
      <c r="B1871" s="151" t="str">
        <f>'Reported burning'!B1871</f>
        <v>218a.18</v>
      </c>
      <c r="C1871" s="151" t="str">
        <f>'Reported burning'!C1871</f>
        <v>Human, deliberate</v>
      </c>
      <c r="D1871" s="151" t="str">
        <f>'Reported burning'!D1871</f>
        <v>Accessibility</v>
      </c>
      <c r="E1871" s="151" t="str">
        <f>'Reported burning'!E1871</f>
        <v>Tourism manager</v>
      </c>
      <c r="F1871" s="151" t="str">
        <f>'Reported burning'!F1871</f>
        <v>Shrubland (Mixed forest &amp; grassland)</v>
      </c>
      <c r="G1871" s="151" t="str">
        <f>'Reported burning'!G1871</f>
        <v>ND</v>
      </c>
      <c r="H1871" s="151" t="str">
        <f>'Reported burning'!H1871</f>
        <v>Presence</v>
      </c>
      <c r="I1871" s="5"/>
      <c r="J1871" s="4" t="s">
        <v>2272</v>
      </c>
      <c r="K1871" s="4" t="s">
        <v>2272</v>
      </c>
      <c r="L1871" s="4" t="s">
        <v>2272</v>
      </c>
      <c r="M1871" s="4" t="s">
        <v>2272</v>
      </c>
      <c r="N1871" s="4" t="s">
        <v>2272</v>
      </c>
      <c r="O1871" s="4" t="s">
        <v>2272</v>
      </c>
      <c r="P1871" s="4" t="s">
        <v>2272</v>
      </c>
      <c r="Q1871" s="4" t="s">
        <v>2272</v>
      </c>
      <c r="R1871" s="4" t="s">
        <v>2272</v>
      </c>
      <c r="S1871" s="4" t="s">
        <v>2272</v>
      </c>
      <c r="T1871" s="4" t="s">
        <v>2272</v>
      </c>
      <c r="U1871" s="4" t="s">
        <v>2272</v>
      </c>
      <c r="V1871" s="4" t="s">
        <v>2272</v>
      </c>
      <c r="W1871" s="4" t="s">
        <v>2272</v>
      </c>
      <c r="X1871" s="4" t="s">
        <v>2272</v>
      </c>
      <c r="Y1871" s="4" t="s">
        <v>2272</v>
      </c>
      <c r="Z1871" s="4" t="s">
        <v>2272</v>
      </c>
      <c r="AA1871" s="4" t="s">
        <v>2272</v>
      </c>
      <c r="AB1871" s="3"/>
      <c r="AC1871" s="3"/>
    </row>
    <row r="1872" spans="1:29" ht="36.5" customHeight="1">
      <c r="A1872" s="151" t="str">
        <f>'Reported burning'!A1872</f>
        <v>218a</v>
      </c>
      <c r="B1872" s="151" t="str">
        <f>'Reported burning'!B1872</f>
        <v>218a.19</v>
      </c>
      <c r="C1872" s="151" t="str">
        <f>'Reported burning'!C1872</f>
        <v>Human, deliberate</v>
      </c>
      <c r="D1872" s="151" t="str">
        <f>'Reported burning'!D1872</f>
        <v>Harvesting of Timber</v>
      </c>
      <c r="E1872" s="151" t="str">
        <f>'Reported burning'!E1872</f>
        <v>Forestry, Industrial</v>
      </c>
      <c r="F1872" s="151" t="str">
        <f>'Reported burning'!F1872</f>
        <v>Forest</v>
      </c>
      <c r="G1872" s="151" t="str">
        <f>'Reported burning'!G1872</f>
        <v>ND</v>
      </c>
      <c r="H1872" s="151" t="str">
        <f>'Reported burning'!H1872</f>
        <v>Presence</v>
      </c>
      <c r="I1872" s="5"/>
      <c r="J1872" s="4" t="s">
        <v>2272</v>
      </c>
      <c r="K1872" s="4" t="s">
        <v>2272</v>
      </c>
      <c r="L1872" s="4" t="s">
        <v>2272</v>
      </c>
      <c r="M1872" s="4" t="s">
        <v>2272</v>
      </c>
      <c r="N1872" s="4" t="s">
        <v>2272</v>
      </c>
      <c r="O1872" s="4" t="s">
        <v>2272</v>
      </c>
      <c r="P1872" s="4" t="s">
        <v>2272</v>
      </c>
      <c r="Q1872" s="4" t="s">
        <v>2272</v>
      </c>
      <c r="R1872" s="4" t="s">
        <v>2272</v>
      </c>
      <c r="S1872" s="4" t="s">
        <v>2272</v>
      </c>
      <c r="T1872" s="4" t="s">
        <v>2272</v>
      </c>
      <c r="U1872" s="4" t="s">
        <v>2272</v>
      </c>
      <c r="V1872" s="4" t="s">
        <v>2272</v>
      </c>
      <c r="W1872" s="4" t="s">
        <v>2272</v>
      </c>
      <c r="X1872" s="4" t="s">
        <v>2272</v>
      </c>
      <c r="Y1872" s="4" t="s">
        <v>2272</v>
      </c>
      <c r="Z1872" s="4" t="s">
        <v>2272</v>
      </c>
      <c r="AA1872" s="4" t="s">
        <v>2272</v>
      </c>
      <c r="AB1872" s="3"/>
      <c r="AC1872" s="3"/>
    </row>
    <row r="1873" spans="1:29" ht="46.5" customHeight="1">
      <c r="A1873" s="151" t="str">
        <f>'Reported burning'!A1873</f>
        <v>218b</v>
      </c>
      <c r="B1873" s="151" t="str">
        <f>'Reported burning'!B1873</f>
        <v>218b.1</v>
      </c>
      <c r="C1873" s="151" t="str">
        <f>'Reported burning'!C1873</f>
        <v>Human, deliberate</v>
      </c>
      <c r="D1873" s="151" t="str">
        <f>'Reported burning'!D1873</f>
        <v>Crop field preparation</v>
      </c>
      <c r="E1873" s="151" t="str">
        <f>'Reported burning'!E1873</f>
        <v>Cropping, Swidden</v>
      </c>
      <c r="F1873" s="151" t="str">
        <f>'Reported burning'!F1873</f>
        <v>Secondary vegetation</v>
      </c>
      <c r="G1873" s="151" t="str">
        <f>'Reported burning'!G1873</f>
        <v>ND</v>
      </c>
      <c r="H1873" s="151" t="str">
        <f>'Reported burning'!H1873</f>
        <v>Presence</v>
      </c>
      <c r="I1873" s="5"/>
      <c r="J1873" s="4" t="s">
        <v>2272</v>
      </c>
      <c r="K1873" s="4" t="s">
        <v>2272</v>
      </c>
      <c r="L1873" s="4" t="s">
        <v>2272</v>
      </c>
      <c r="M1873" s="4" t="s">
        <v>2272</v>
      </c>
      <c r="N1873" s="4" t="s">
        <v>2272</v>
      </c>
      <c r="O1873" s="4" t="s">
        <v>2272</v>
      </c>
      <c r="P1873" s="4" t="s">
        <v>2272</v>
      </c>
      <c r="Q1873" s="4" t="s">
        <v>2272</v>
      </c>
      <c r="R1873" s="4" t="s">
        <v>2272</v>
      </c>
      <c r="S1873" s="4" t="s">
        <v>2272</v>
      </c>
      <c r="T1873" s="4" t="s">
        <v>2272</v>
      </c>
      <c r="U1873" s="4" t="s">
        <v>2272</v>
      </c>
      <c r="V1873" s="4" t="s">
        <v>2272</v>
      </c>
      <c r="W1873" s="4" t="s">
        <v>2272</v>
      </c>
      <c r="X1873" s="21" t="s">
        <v>2397</v>
      </c>
      <c r="Y1873" s="3" t="s">
        <v>84</v>
      </c>
      <c r="Z1873" s="3" t="s">
        <v>84</v>
      </c>
      <c r="AA1873" s="4" t="s">
        <v>2272</v>
      </c>
      <c r="AB1873" s="3"/>
      <c r="AC1873" s="3"/>
    </row>
    <row r="1874" spans="1:29" ht="46.5" customHeight="1">
      <c r="A1874" s="151" t="str">
        <f>'Reported burning'!A1874</f>
        <v>218b</v>
      </c>
      <c r="B1874" s="151" t="str">
        <f>'Reported burning'!B1874</f>
        <v>218b.2</v>
      </c>
      <c r="C1874" s="151" t="str">
        <f>'Reported burning'!C1874</f>
        <v>Human, deliberate</v>
      </c>
      <c r="D1874" s="151" t="str">
        <f>'Reported burning'!D1874</f>
        <v>Pasture renewal</v>
      </c>
      <c r="E1874" s="151" t="str">
        <f>'Reported burning'!E1874</f>
        <v>Pastoralism, Migratory</v>
      </c>
      <c r="F1874" s="151" t="str">
        <f>'Reported burning'!F1874</f>
        <v>Shrubland (Mixed forest &amp; grassland)</v>
      </c>
      <c r="G1874" s="151" t="str">
        <f>'Reported burning'!G1874</f>
        <v>ND</v>
      </c>
      <c r="H1874" s="151" t="str">
        <f>'Reported burning'!H1874</f>
        <v>Presence</v>
      </c>
      <c r="I1874" s="5"/>
      <c r="J1874" s="4" t="s">
        <v>2272</v>
      </c>
      <c r="K1874" s="4" t="s">
        <v>2272</v>
      </c>
      <c r="L1874" s="4" t="s">
        <v>2272</v>
      </c>
      <c r="M1874" s="4" t="s">
        <v>2272</v>
      </c>
      <c r="N1874" s="4" t="s">
        <v>2272</v>
      </c>
      <c r="O1874" s="4" t="s">
        <v>2272</v>
      </c>
      <c r="P1874" s="4" t="s">
        <v>2272</v>
      </c>
      <c r="Q1874" s="4" t="s">
        <v>2272</v>
      </c>
      <c r="R1874" s="4" t="s">
        <v>2272</v>
      </c>
      <c r="S1874" s="4" t="s">
        <v>2272</v>
      </c>
      <c r="T1874" s="4" t="s">
        <v>2272</v>
      </c>
      <c r="U1874" s="4" t="s">
        <v>2272</v>
      </c>
      <c r="V1874" s="4" t="s">
        <v>2272</v>
      </c>
      <c r="W1874" s="4" t="s">
        <v>2272</v>
      </c>
      <c r="X1874" s="4" t="s">
        <v>2272</v>
      </c>
      <c r="Y1874" s="3" t="s">
        <v>84</v>
      </c>
      <c r="Z1874" s="3" t="s">
        <v>84</v>
      </c>
      <c r="AA1874" s="4" t="s">
        <v>2272</v>
      </c>
      <c r="AB1874" s="3"/>
      <c r="AC1874" s="3"/>
    </row>
    <row r="1875" spans="1:29" ht="46.5" customHeight="1">
      <c r="A1875" s="151" t="str">
        <f>'Reported burning'!A1875</f>
        <v>218b</v>
      </c>
      <c r="B1875" s="151" t="str">
        <f>'Reported burning'!B1875</f>
        <v>218b.3</v>
      </c>
      <c r="C1875" s="151" t="str">
        <f>'Reported burning'!C1875</f>
        <v>Human, deliberate</v>
      </c>
      <c r="D1875" s="151" t="str">
        <f>'Reported burning'!D1875</f>
        <v>Accessibility</v>
      </c>
      <c r="E1875" s="151" t="str">
        <f>'Reported burning'!E1875</f>
        <v>Forestry, Traditional</v>
      </c>
      <c r="F1875" s="151" t="str">
        <f>'Reported burning'!F1875</f>
        <v>Shrubland (Mixed forest &amp; grassland)</v>
      </c>
      <c r="G1875" s="151" t="str">
        <f>'Reported burning'!G1875</f>
        <v>ND</v>
      </c>
      <c r="H1875" s="151" t="str">
        <f>'Reported burning'!H1875</f>
        <v>Presence</v>
      </c>
      <c r="I1875" s="5"/>
      <c r="J1875" s="4" t="s">
        <v>2272</v>
      </c>
      <c r="K1875" s="4" t="s">
        <v>2272</v>
      </c>
      <c r="L1875" s="4" t="s">
        <v>2272</v>
      </c>
      <c r="M1875" s="4" t="s">
        <v>2272</v>
      </c>
      <c r="N1875" s="4" t="s">
        <v>2272</v>
      </c>
      <c r="O1875" s="4" t="s">
        <v>2272</v>
      </c>
      <c r="P1875" s="4" t="s">
        <v>2272</v>
      </c>
      <c r="Q1875" s="4" t="s">
        <v>2272</v>
      </c>
      <c r="R1875" s="4" t="s">
        <v>2272</v>
      </c>
      <c r="S1875" s="4" t="s">
        <v>2272</v>
      </c>
      <c r="T1875" s="4" t="s">
        <v>2272</v>
      </c>
      <c r="U1875" s="4" t="s">
        <v>2272</v>
      </c>
      <c r="V1875" s="4" t="s">
        <v>2272</v>
      </c>
      <c r="W1875" s="4" t="s">
        <v>2272</v>
      </c>
      <c r="X1875" s="4" t="s">
        <v>2272</v>
      </c>
      <c r="Y1875" s="3" t="s">
        <v>2272</v>
      </c>
      <c r="Z1875" s="3" t="s">
        <v>2272</v>
      </c>
      <c r="AA1875" s="4" t="s">
        <v>2272</v>
      </c>
      <c r="AB1875" s="3"/>
      <c r="AC1875" s="3"/>
    </row>
    <row r="1876" spans="1:29" ht="46.5" customHeight="1">
      <c r="A1876" s="151" t="str">
        <f>'Reported burning'!A1876</f>
        <v>218b</v>
      </c>
      <c r="B1876" s="151" t="str">
        <f>'Reported burning'!B1876</f>
        <v>218b.4</v>
      </c>
      <c r="C1876" s="151" t="str">
        <f>'Reported burning'!C1876</f>
        <v>Human, deliberate</v>
      </c>
      <c r="D1876" s="151" t="str">
        <f>'Reported burning'!D1876</f>
        <v>Hunting</v>
      </c>
      <c r="E1876" s="151" t="str">
        <f>'Reported burning'!E1876</f>
        <v>Forestry, Traditional</v>
      </c>
      <c r="F1876" s="151" t="str">
        <f>'Reported burning'!F1876</f>
        <v>Shrubland (Mixed forest &amp; grassland)</v>
      </c>
      <c r="G1876" s="151" t="str">
        <f>'Reported burning'!G1876</f>
        <v>ND</v>
      </c>
      <c r="H1876" s="151" t="str">
        <f>'Reported burning'!H1876</f>
        <v>Presence</v>
      </c>
      <c r="I1876" s="5"/>
      <c r="J1876" s="4" t="s">
        <v>2272</v>
      </c>
      <c r="K1876" s="4" t="s">
        <v>2272</v>
      </c>
      <c r="L1876" s="4" t="s">
        <v>2272</v>
      </c>
      <c r="M1876" s="4" t="s">
        <v>2272</v>
      </c>
      <c r="N1876" s="4" t="s">
        <v>2272</v>
      </c>
      <c r="O1876" s="4" t="s">
        <v>2272</v>
      </c>
      <c r="P1876" s="4" t="s">
        <v>2272</v>
      </c>
      <c r="Q1876" s="4" t="s">
        <v>2272</v>
      </c>
      <c r="R1876" s="4" t="s">
        <v>2272</v>
      </c>
      <c r="S1876" s="4" t="s">
        <v>2272</v>
      </c>
      <c r="T1876" s="4" t="s">
        <v>2272</v>
      </c>
      <c r="U1876" s="4" t="s">
        <v>2272</v>
      </c>
      <c r="V1876" s="4" t="s">
        <v>2272</v>
      </c>
      <c r="W1876" s="4" t="s">
        <v>2272</v>
      </c>
      <c r="X1876" s="4" t="s">
        <v>2272</v>
      </c>
      <c r="Y1876" s="3" t="s">
        <v>187</v>
      </c>
      <c r="Z1876" s="3" t="s">
        <v>84</v>
      </c>
      <c r="AA1876" s="4" t="s">
        <v>2272</v>
      </c>
      <c r="AB1876" s="3"/>
      <c r="AC1876" s="3"/>
    </row>
    <row r="1877" spans="1:29" ht="46.5" customHeight="1">
      <c r="A1877" s="151" t="str">
        <f>'Reported burning'!A1877</f>
        <v>218b</v>
      </c>
      <c r="B1877" s="151" t="str">
        <f>'Reported burning'!B1877</f>
        <v>218b.5</v>
      </c>
      <c r="C1877" s="151" t="str">
        <f>'Reported burning'!C1877</f>
        <v>Human, deliberate</v>
      </c>
      <c r="D1877" s="151" t="str">
        <f>'Reported burning'!D1877</f>
        <v>Harvesting of NTFP</v>
      </c>
      <c r="E1877" s="151" t="str">
        <f>'Reported burning'!E1877</f>
        <v>Forestry, Traditional</v>
      </c>
      <c r="F1877" s="151" t="str">
        <f>'Reported burning'!F1877</f>
        <v>Shrubland (Mixed forest &amp; grassland)</v>
      </c>
      <c r="G1877" s="151" t="str">
        <f>'Reported burning'!G1877</f>
        <v>ND</v>
      </c>
      <c r="H1877" s="151" t="str">
        <f>'Reported burning'!H1877</f>
        <v>Presence</v>
      </c>
      <c r="I1877" s="5"/>
      <c r="J1877" s="4" t="s">
        <v>2272</v>
      </c>
      <c r="K1877" s="4" t="s">
        <v>2272</v>
      </c>
      <c r="L1877" s="4" t="s">
        <v>2272</v>
      </c>
      <c r="M1877" s="4" t="s">
        <v>2272</v>
      </c>
      <c r="N1877" s="4" t="s">
        <v>2272</v>
      </c>
      <c r="O1877" s="4" t="s">
        <v>2272</v>
      </c>
      <c r="P1877" s="4" t="s">
        <v>2272</v>
      </c>
      <c r="Q1877" s="4" t="s">
        <v>2272</v>
      </c>
      <c r="R1877" s="4" t="s">
        <v>2272</v>
      </c>
      <c r="S1877" s="4" t="s">
        <v>2272</v>
      </c>
      <c r="T1877" s="4" t="s">
        <v>2272</v>
      </c>
      <c r="U1877" s="4" t="s">
        <v>2272</v>
      </c>
      <c r="V1877" s="4" t="s">
        <v>2272</v>
      </c>
      <c r="W1877" s="4" t="s">
        <v>2272</v>
      </c>
      <c r="X1877" s="4" t="s">
        <v>2272</v>
      </c>
      <c r="Y1877" s="3" t="s">
        <v>186</v>
      </c>
      <c r="Z1877" s="3" t="s">
        <v>187</v>
      </c>
      <c r="AA1877" s="4" t="s">
        <v>2272</v>
      </c>
      <c r="AB1877" s="3"/>
      <c r="AC1877" s="3"/>
    </row>
    <row r="1878" spans="1:29" ht="46.5" customHeight="1">
      <c r="A1878" s="151" t="str">
        <f>'Reported burning'!A1878</f>
        <v>218b</v>
      </c>
      <c r="B1878" s="151" t="str">
        <f>'Reported burning'!B1878</f>
        <v>218b.6</v>
      </c>
      <c r="C1878" s="151" t="str">
        <f>'Reported burning'!C1878</f>
        <v>Human, deliberate</v>
      </c>
      <c r="D1878" s="151" t="str">
        <f>'Reported burning'!D1878</f>
        <v>Pest management</v>
      </c>
      <c r="E1878" s="151" t="str">
        <f>'Reported burning'!E1878</f>
        <v>Pastoralism, Migratory</v>
      </c>
      <c r="F1878" s="151" t="str">
        <f>'Reported burning'!F1878</f>
        <v>Shrubland (Mixed forest &amp; grassland)</v>
      </c>
      <c r="G1878" s="151" t="str">
        <f>'Reported burning'!G1878</f>
        <v>ND</v>
      </c>
      <c r="H1878" s="151" t="str">
        <f>'Reported burning'!H1878</f>
        <v>Presence</v>
      </c>
      <c r="I1878" s="5"/>
      <c r="J1878" s="4" t="s">
        <v>2272</v>
      </c>
      <c r="K1878" s="4" t="s">
        <v>2272</v>
      </c>
      <c r="L1878" s="4" t="s">
        <v>2272</v>
      </c>
      <c r="M1878" s="4" t="s">
        <v>2272</v>
      </c>
      <c r="N1878" s="4" t="s">
        <v>2272</v>
      </c>
      <c r="O1878" s="4" t="s">
        <v>2272</v>
      </c>
      <c r="P1878" s="4" t="s">
        <v>2272</v>
      </c>
      <c r="Q1878" s="4" t="s">
        <v>2272</v>
      </c>
      <c r="R1878" s="4" t="s">
        <v>2272</v>
      </c>
      <c r="S1878" s="4" t="s">
        <v>2272</v>
      </c>
      <c r="T1878" s="4" t="s">
        <v>2272</v>
      </c>
      <c r="U1878" s="4" t="s">
        <v>2272</v>
      </c>
      <c r="V1878" s="4" t="s">
        <v>2272</v>
      </c>
      <c r="W1878" s="4" t="s">
        <v>2272</v>
      </c>
      <c r="X1878" s="4" t="s">
        <v>2272</v>
      </c>
      <c r="Y1878" s="4" t="s">
        <v>2272</v>
      </c>
      <c r="Z1878" s="4" t="s">
        <v>2272</v>
      </c>
      <c r="AA1878" s="4" t="s">
        <v>2272</v>
      </c>
      <c r="AB1878" s="3"/>
      <c r="AC1878" s="3"/>
    </row>
    <row r="1879" spans="1:29" ht="46.5" customHeight="1">
      <c r="A1879" s="151" t="str">
        <f>'Reported burning'!A1879</f>
        <v>218b</v>
      </c>
      <c r="B1879" s="151" t="str">
        <f>'Reported burning'!B1879</f>
        <v>218b.7</v>
      </c>
      <c r="C1879" s="151" t="str">
        <f>'Reported burning'!C1879</f>
        <v>Human, escaped</v>
      </c>
      <c r="D1879" s="151" t="str">
        <f>'Reported burning'!D1879</f>
        <v>Crop field preparation</v>
      </c>
      <c r="E1879" s="151" t="str">
        <f>'Reported burning'!E1879</f>
        <v>Cropping, Swidden</v>
      </c>
      <c r="F1879" s="151" t="str">
        <f>'Reported burning'!F1879</f>
        <v>Secondary vegetation</v>
      </c>
      <c r="G1879" s="151" t="str">
        <f>'Reported burning'!G1879</f>
        <v>ND</v>
      </c>
      <c r="H1879" s="151" t="str">
        <f>'Reported burning'!H1879</f>
        <v>Presence</v>
      </c>
      <c r="I1879" s="5"/>
      <c r="J1879" s="4" t="s">
        <v>2272</v>
      </c>
      <c r="K1879" s="4" t="s">
        <v>2272</v>
      </c>
      <c r="L1879" s="4" t="s">
        <v>2272</v>
      </c>
      <c r="M1879" s="4" t="s">
        <v>2272</v>
      </c>
      <c r="N1879" s="4" t="s">
        <v>2272</v>
      </c>
      <c r="O1879" s="4" t="s">
        <v>2272</v>
      </c>
      <c r="P1879" s="4" t="s">
        <v>2272</v>
      </c>
      <c r="Q1879" s="4" t="s">
        <v>2272</v>
      </c>
      <c r="R1879" s="4" t="s">
        <v>2272</v>
      </c>
      <c r="S1879" s="4" t="s">
        <v>2272</v>
      </c>
      <c r="T1879" s="4" t="s">
        <v>2272</v>
      </c>
      <c r="U1879" s="4" t="s">
        <v>2272</v>
      </c>
      <c r="V1879" s="4" t="s">
        <v>2272</v>
      </c>
      <c r="W1879" s="4" t="s">
        <v>2272</v>
      </c>
      <c r="X1879" s="4" t="s">
        <v>2272</v>
      </c>
      <c r="Y1879" s="3" t="s">
        <v>84</v>
      </c>
      <c r="Z1879" s="3" t="s">
        <v>84</v>
      </c>
      <c r="AA1879" s="4" t="s">
        <v>2272</v>
      </c>
      <c r="AB1879" s="3"/>
      <c r="AC1879" s="3"/>
    </row>
    <row r="1880" spans="1:29" ht="46.5" customHeight="1">
      <c r="A1880" s="151" t="str">
        <f>'Reported burning'!A1880</f>
        <v>218b</v>
      </c>
      <c r="B1880" s="151" t="str">
        <f>'Reported burning'!B1880</f>
        <v>218b.8</v>
      </c>
      <c r="C1880" s="151" t="str">
        <f>'Reported burning'!C1880</f>
        <v>Human, deliberate</v>
      </c>
      <c r="D1880" s="151" t="str">
        <f>'Reported burning'!D1880</f>
        <v>Land clearance</v>
      </c>
      <c r="E1880" s="151" t="str">
        <f>'Reported burning'!E1880</f>
        <v>Cropping, Monoculture, Market-oriented</v>
      </c>
      <c r="F1880" s="151" t="str">
        <f>'Reported burning'!F1880</f>
        <v>Cropland</v>
      </c>
      <c r="G1880" s="151" t="str">
        <f>'Reported burning'!G1880</f>
        <v>ND</v>
      </c>
      <c r="H1880" s="151" t="str">
        <f>'Reported burning'!H1880</f>
        <v>Presence</v>
      </c>
      <c r="I1880" s="5"/>
      <c r="J1880" s="4" t="s">
        <v>2272</v>
      </c>
      <c r="K1880" s="4" t="s">
        <v>2272</v>
      </c>
      <c r="L1880" s="4" t="s">
        <v>2272</v>
      </c>
      <c r="M1880" s="4" t="s">
        <v>2272</v>
      </c>
      <c r="N1880" s="4" t="s">
        <v>2272</v>
      </c>
      <c r="O1880" s="4" t="s">
        <v>2272</v>
      </c>
      <c r="P1880" s="4" t="s">
        <v>2272</v>
      </c>
      <c r="Q1880" s="4" t="s">
        <v>2272</v>
      </c>
      <c r="R1880" s="4" t="s">
        <v>2272</v>
      </c>
      <c r="S1880" s="4" t="s">
        <v>2272</v>
      </c>
      <c r="T1880" s="4" t="s">
        <v>2272</v>
      </c>
      <c r="U1880" s="4" t="s">
        <v>2272</v>
      </c>
      <c r="V1880" s="4" t="s">
        <v>2272</v>
      </c>
      <c r="W1880" s="4" t="s">
        <v>2272</v>
      </c>
      <c r="X1880" s="4" t="s">
        <v>2272</v>
      </c>
      <c r="Y1880" s="4" t="s">
        <v>2272</v>
      </c>
      <c r="Z1880" s="4" t="s">
        <v>2272</v>
      </c>
      <c r="AA1880" s="4" t="s">
        <v>2272</v>
      </c>
      <c r="AB1880" s="3"/>
      <c r="AC1880" s="3"/>
    </row>
    <row r="1881" spans="1:29" ht="46.5" customHeight="1">
      <c r="A1881" s="151" t="str">
        <f>'Reported burning'!A1881</f>
        <v>218b</v>
      </c>
      <c r="B1881" s="151" t="str">
        <f>'Reported burning'!B1881</f>
        <v>218b.9</v>
      </c>
      <c r="C1881" s="151" t="str">
        <f>'Reported burning'!C1881</f>
        <v>Human, deliberate</v>
      </c>
      <c r="D1881" s="151" t="str">
        <f>'Reported burning'!D1881</f>
        <v>Vegetation management</v>
      </c>
      <c r="E1881" s="151" t="str">
        <f>'Reported burning'!E1881</f>
        <v>Cropping, Monoculture, Market-oriented</v>
      </c>
      <c r="F1881" s="151" t="str">
        <f>'Reported burning'!F1881</f>
        <v>Cropland</v>
      </c>
      <c r="G1881" s="151" t="str">
        <f>'Reported burning'!G1881</f>
        <v>ND</v>
      </c>
      <c r="H1881" s="151" t="str">
        <f>'Reported burning'!H1881</f>
        <v>Presence</v>
      </c>
      <c r="I1881" s="5"/>
      <c r="J1881" s="4" t="s">
        <v>2272</v>
      </c>
      <c r="K1881" s="4" t="s">
        <v>2272</v>
      </c>
      <c r="L1881" s="4" t="s">
        <v>2272</v>
      </c>
      <c r="M1881" s="4" t="s">
        <v>2272</v>
      </c>
      <c r="N1881" s="4" t="s">
        <v>2272</v>
      </c>
      <c r="O1881" s="4" t="s">
        <v>2272</v>
      </c>
      <c r="P1881" s="4" t="s">
        <v>2272</v>
      </c>
      <c r="Q1881" s="4" t="s">
        <v>2272</v>
      </c>
      <c r="R1881" s="4" t="s">
        <v>2272</v>
      </c>
      <c r="S1881" s="4" t="s">
        <v>2272</v>
      </c>
      <c r="T1881" s="4" t="s">
        <v>2272</v>
      </c>
      <c r="U1881" s="4" t="s">
        <v>2272</v>
      </c>
      <c r="V1881" s="4" t="s">
        <v>2272</v>
      </c>
      <c r="W1881" s="4" t="s">
        <v>2272</v>
      </c>
      <c r="X1881" s="4" t="s">
        <v>2272</v>
      </c>
      <c r="Y1881" s="3" t="s">
        <v>187</v>
      </c>
      <c r="Z1881" s="3" t="s">
        <v>37</v>
      </c>
      <c r="AA1881" s="4" t="s">
        <v>2272</v>
      </c>
      <c r="AB1881" s="3"/>
      <c r="AC1881" s="3"/>
    </row>
    <row r="1882" spans="1:29" ht="46.5" customHeight="1">
      <c r="A1882" s="151" t="str">
        <f>'Reported burning'!A1882</f>
        <v>218b</v>
      </c>
      <c r="B1882" s="151" t="str">
        <f>'Reported burning'!B1882</f>
        <v>218b.10</v>
      </c>
      <c r="C1882" s="151" t="str">
        <f>'Reported burning'!C1882</f>
        <v>Human, deliberate</v>
      </c>
      <c r="D1882" s="151" t="str">
        <f>'Reported burning'!D1882</f>
        <v>Arson</v>
      </c>
      <c r="E1882" s="151" t="str">
        <f>'Reported burning'!E1882</f>
        <v>Cropping, Swidden</v>
      </c>
      <c r="F1882" s="151" t="str">
        <f>'Reported burning'!F1882</f>
        <v>Cropland</v>
      </c>
      <c r="G1882" s="151" t="str">
        <f>'Reported burning'!G1882</f>
        <v>ND</v>
      </c>
      <c r="H1882" s="151" t="str">
        <f>'Reported burning'!H1882</f>
        <v>Presence</v>
      </c>
      <c r="I1882" s="5"/>
      <c r="J1882" s="4" t="s">
        <v>2272</v>
      </c>
      <c r="K1882" s="4" t="s">
        <v>2272</v>
      </c>
      <c r="L1882" s="4" t="s">
        <v>2272</v>
      </c>
      <c r="M1882" s="4" t="s">
        <v>2272</v>
      </c>
      <c r="N1882" s="4" t="s">
        <v>2272</v>
      </c>
      <c r="O1882" s="4" t="s">
        <v>2272</v>
      </c>
      <c r="P1882" s="4" t="s">
        <v>2272</v>
      </c>
      <c r="Q1882" s="4" t="s">
        <v>2272</v>
      </c>
      <c r="R1882" s="4" t="s">
        <v>2272</v>
      </c>
      <c r="S1882" s="4" t="s">
        <v>2272</v>
      </c>
      <c r="T1882" s="4" t="s">
        <v>2272</v>
      </c>
      <c r="U1882" s="4" t="s">
        <v>2272</v>
      </c>
      <c r="V1882" s="4" t="s">
        <v>2272</v>
      </c>
      <c r="W1882" s="4" t="s">
        <v>2272</v>
      </c>
      <c r="X1882" s="4" t="s">
        <v>2272</v>
      </c>
      <c r="Y1882" s="4" t="s">
        <v>2272</v>
      </c>
      <c r="Z1882" s="4" t="s">
        <v>2272</v>
      </c>
      <c r="AA1882" s="4" t="s">
        <v>2272</v>
      </c>
      <c r="AB1882" s="3"/>
      <c r="AC1882" s="3"/>
    </row>
    <row r="1883" spans="1:29" ht="46.5" customHeight="1">
      <c r="A1883" s="151" t="str">
        <f>'Reported burning'!A1883</f>
        <v>218b</v>
      </c>
      <c r="B1883" s="151" t="str">
        <f>'Reported burning'!B1883</f>
        <v>218b.11</v>
      </c>
      <c r="C1883" s="151" t="str">
        <f>'Reported burning'!C1883</f>
        <v>Human, deliberate</v>
      </c>
      <c r="D1883" s="151" t="str">
        <f>'Reported burning'!D1883</f>
        <v>Hunting</v>
      </c>
      <c r="E1883" s="151" t="str">
        <f>'Reported burning'!E1883</f>
        <v>Tourism manager</v>
      </c>
      <c r="F1883" s="151" t="str">
        <f>'Reported burning'!F1883</f>
        <v>Shrubland (Mixed forest &amp; grassland)</v>
      </c>
      <c r="G1883" s="151" t="str">
        <f>'Reported burning'!G1883</f>
        <v>ND</v>
      </c>
      <c r="H1883" s="151" t="str">
        <f>'Reported burning'!H1883</f>
        <v>Presence</v>
      </c>
      <c r="I1883" s="5"/>
      <c r="J1883" s="4" t="s">
        <v>2272</v>
      </c>
      <c r="K1883" s="4" t="s">
        <v>2272</v>
      </c>
      <c r="L1883" s="4" t="s">
        <v>2272</v>
      </c>
      <c r="M1883" s="4" t="s">
        <v>2272</v>
      </c>
      <c r="N1883" s="4" t="s">
        <v>2272</v>
      </c>
      <c r="O1883" s="4" t="s">
        <v>2272</v>
      </c>
      <c r="P1883" s="4" t="s">
        <v>2272</v>
      </c>
      <c r="Q1883" s="4" t="s">
        <v>2272</v>
      </c>
      <c r="R1883" s="4" t="s">
        <v>2272</v>
      </c>
      <c r="S1883" s="4" t="s">
        <v>2272</v>
      </c>
      <c r="T1883" s="4" t="s">
        <v>2272</v>
      </c>
      <c r="U1883" s="4" t="s">
        <v>2272</v>
      </c>
      <c r="V1883" s="4" t="s">
        <v>2272</v>
      </c>
      <c r="W1883" s="4" t="s">
        <v>2272</v>
      </c>
      <c r="X1883" s="4" t="s">
        <v>2272</v>
      </c>
      <c r="Y1883" s="4" t="s">
        <v>2272</v>
      </c>
      <c r="Z1883" s="4" t="s">
        <v>2272</v>
      </c>
      <c r="AA1883" s="4" t="s">
        <v>2272</v>
      </c>
      <c r="AB1883" s="3"/>
      <c r="AC1883" s="3"/>
    </row>
    <row r="1884" spans="1:29" ht="46.5" customHeight="1">
      <c r="A1884" s="151" t="str">
        <f>'Reported burning'!A1884</f>
        <v>218b</v>
      </c>
      <c r="B1884" s="151" t="str">
        <f>'Reported burning'!B1884</f>
        <v>218b.12</v>
      </c>
      <c r="C1884" s="151" t="str">
        <f>'Reported burning'!C1884</f>
        <v>Human, deliberate</v>
      </c>
      <c r="D1884" s="151" t="str">
        <f>'Reported burning'!D1884</f>
        <v>Accessibility</v>
      </c>
      <c r="E1884" s="151" t="str">
        <f>'Reported burning'!E1884</f>
        <v>Tourism manager</v>
      </c>
      <c r="F1884" s="151" t="str">
        <f>'Reported burning'!F1884</f>
        <v>Shrubland (Mixed forest &amp; grassland)</v>
      </c>
      <c r="G1884" s="151" t="str">
        <f>'Reported burning'!G1884</f>
        <v>ND</v>
      </c>
      <c r="H1884" s="151" t="str">
        <f>'Reported burning'!H1884</f>
        <v>Presence</v>
      </c>
      <c r="I1884" s="5"/>
      <c r="J1884" s="4" t="s">
        <v>2272</v>
      </c>
      <c r="K1884" s="4" t="s">
        <v>2272</v>
      </c>
      <c r="L1884" s="4" t="s">
        <v>2272</v>
      </c>
      <c r="M1884" s="4" t="s">
        <v>2272</v>
      </c>
      <c r="N1884" s="4" t="s">
        <v>2272</v>
      </c>
      <c r="O1884" s="4" t="s">
        <v>2272</v>
      </c>
      <c r="P1884" s="4" t="s">
        <v>2272</v>
      </c>
      <c r="Q1884" s="4" t="s">
        <v>2272</v>
      </c>
      <c r="R1884" s="4" t="s">
        <v>2272</v>
      </c>
      <c r="S1884" s="4" t="s">
        <v>2272</v>
      </c>
      <c r="T1884" s="4" t="s">
        <v>2272</v>
      </c>
      <c r="U1884" s="4" t="s">
        <v>2272</v>
      </c>
      <c r="V1884" s="4" t="s">
        <v>2272</v>
      </c>
      <c r="W1884" s="4" t="s">
        <v>2272</v>
      </c>
      <c r="X1884" s="4" t="s">
        <v>2272</v>
      </c>
      <c r="Y1884" s="4" t="s">
        <v>2272</v>
      </c>
      <c r="Z1884" s="4" t="s">
        <v>2272</v>
      </c>
      <c r="AA1884" s="4" t="s">
        <v>2272</v>
      </c>
      <c r="AB1884" s="3"/>
      <c r="AC1884" s="3"/>
    </row>
    <row r="1885" spans="1:29" ht="53" customHeight="1">
      <c r="A1885" s="151" t="str">
        <f>'Reported burning'!A1885</f>
        <v>218b</v>
      </c>
      <c r="B1885" s="151" t="str">
        <f>'Reported burning'!B1885</f>
        <v>218b.13</v>
      </c>
      <c r="C1885" s="151" t="str">
        <f>'Reported burning'!C1885</f>
        <v>Human, deliberate</v>
      </c>
      <c r="D1885" s="151" t="str">
        <f>'Reported burning'!D1885</f>
        <v>Harvesting of Timber</v>
      </c>
      <c r="E1885" s="151" t="str">
        <f>'Reported burning'!E1885</f>
        <v>Forestry, Industrial</v>
      </c>
      <c r="F1885" s="151" t="str">
        <f>'Reported burning'!F1885</f>
        <v>Forest</v>
      </c>
      <c r="G1885" s="151" t="str">
        <f>'Reported burning'!G1885</f>
        <v>ND</v>
      </c>
      <c r="H1885" s="151" t="str">
        <f>'Reported burning'!H1885</f>
        <v>Presence</v>
      </c>
      <c r="I1885" s="5"/>
      <c r="J1885" s="4" t="s">
        <v>2272</v>
      </c>
      <c r="K1885" s="4" t="s">
        <v>2272</v>
      </c>
      <c r="L1885" s="4" t="s">
        <v>2272</v>
      </c>
      <c r="M1885" s="4" t="s">
        <v>2272</v>
      </c>
      <c r="N1885" s="4" t="s">
        <v>2272</v>
      </c>
      <c r="O1885" s="4" t="s">
        <v>2272</v>
      </c>
      <c r="P1885" s="4" t="s">
        <v>2272</v>
      </c>
      <c r="Q1885" s="4" t="s">
        <v>2272</v>
      </c>
      <c r="R1885" s="4" t="s">
        <v>2272</v>
      </c>
      <c r="S1885" s="4" t="s">
        <v>2272</v>
      </c>
      <c r="T1885" s="4" t="s">
        <v>2272</v>
      </c>
      <c r="U1885" s="4" t="s">
        <v>2272</v>
      </c>
      <c r="V1885" s="4" t="s">
        <v>2272</v>
      </c>
      <c r="W1885" s="4" t="s">
        <v>2272</v>
      </c>
      <c r="X1885" s="4" t="s">
        <v>2272</v>
      </c>
      <c r="Y1885" s="4" t="s">
        <v>2272</v>
      </c>
      <c r="Z1885" s="4" t="s">
        <v>2272</v>
      </c>
      <c r="AA1885" s="4" t="s">
        <v>2272</v>
      </c>
      <c r="AB1885" s="3"/>
      <c r="AC1885" s="3"/>
    </row>
    <row r="1886" spans="1:29" ht="53" customHeight="1">
      <c r="A1886" s="151" t="str">
        <f>'Reported burning'!A1886</f>
        <v>218c</v>
      </c>
      <c r="B1886" s="151" t="str">
        <f>'Reported burning'!B1886</f>
        <v>218c.1</v>
      </c>
      <c r="C1886" s="151" t="str">
        <f>'Reported burning'!C1886</f>
        <v>Human, deliberate</v>
      </c>
      <c r="D1886" s="151" t="str">
        <f>'Reported burning'!D1886</f>
        <v>Crop field preparation</v>
      </c>
      <c r="E1886" s="151" t="str">
        <f>'Reported burning'!E1886</f>
        <v>Cropping, Swidden</v>
      </c>
      <c r="F1886" s="151" t="str">
        <f>'Reported burning'!F1886</f>
        <v>Secondary vegetation</v>
      </c>
      <c r="G1886" s="151" t="str">
        <f>'Reported burning'!G1886</f>
        <v>ND</v>
      </c>
      <c r="H1886" s="151" t="str">
        <f>'Reported burning'!H1886</f>
        <v>Presence</v>
      </c>
      <c r="I1886" s="5"/>
      <c r="J1886" s="4" t="s">
        <v>2272</v>
      </c>
      <c r="K1886" s="4" t="s">
        <v>2272</v>
      </c>
      <c r="L1886" s="4" t="s">
        <v>2272</v>
      </c>
      <c r="M1886" s="4" t="s">
        <v>2272</v>
      </c>
      <c r="N1886" s="4" t="s">
        <v>2272</v>
      </c>
      <c r="O1886" s="4" t="s">
        <v>2272</v>
      </c>
      <c r="P1886" s="4" t="s">
        <v>2272</v>
      </c>
      <c r="Q1886" s="4" t="s">
        <v>2272</v>
      </c>
      <c r="R1886" s="4" t="s">
        <v>2272</v>
      </c>
      <c r="S1886" s="4" t="s">
        <v>2272</v>
      </c>
      <c r="T1886" s="4" t="s">
        <v>2272</v>
      </c>
      <c r="U1886" s="4" t="s">
        <v>2272</v>
      </c>
      <c r="V1886" s="4" t="s">
        <v>2272</v>
      </c>
      <c r="W1886" s="4" t="s">
        <v>2272</v>
      </c>
      <c r="X1886" s="21" t="s">
        <v>2397</v>
      </c>
      <c r="Y1886" s="3" t="s">
        <v>84</v>
      </c>
      <c r="Z1886" s="3" t="s">
        <v>84</v>
      </c>
      <c r="AA1886" s="4" t="s">
        <v>2272</v>
      </c>
      <c r="AB1886" s="3"/>
      <c r="AC1886" s="3"/>
    </row>
    <row r="1887" spans="1:29" ht="53" customHeight="1">
      <c r="A1887" s="151" t="str">
        <f>'Reported burning'!A1887</f>
        <v>218c</v>
      </c>
      <c r="B1887" s="151" t="str">
        <f>'Reported burning'!B1887</f>
        <v>218c.2</v>
      </c>
      <c r="C1887" s="151" t="str">
        <f>'Reported burning'!C1887</f>
        <v>Human, deliberate</v>
      </c>
      <c r="D1887" s="151" t="str">
        <f>'Reported burning'!D1887</f>
        <v>Pasture renewal</v>
      </c>
      <c r="E1887" s="151" t="str">
        <f>'Reported burning'!E1887</f>
        <v>Pastoralism, Migratory</v>
      </c>
      <c r="F1887" s="151" t="str">
        <f>'Reported burning'!F1887</f>
        <v>Grassland</v>
      </c>
      <c r="G1887" s="151" t="str">
        <f>'Reported burning'!G1887</f>
        <v>ND</v>
      </c>
      <c r="H1887" s="151" t="str">
        <f>'Reported burning'!H1887</f>
        <v>Presence</v>
      </c>
      <c r="I1887" s="5"/>
      <c r="J1887" s="4" t="s">
        <v>2272</v>
      </c>
      <c r="K1887" s="4" t="s">
        <v>2272</v>
      </c>
      <c r="L1887" s="4" t="s">
        <v>2272</v>
      </c>
      <c r="M1887" s="4" t="s">
        <v>2272</v>
      </c>
      <c r="N1887" s="4" t="s">
        <v>2272</v>
      </c>
      <c r="O1887" s="4" t="s">
        <v>2272</v>
      </c>
      <c r="P1887" s="4" t="s">
        <v>2272</v>
      </c>
      <c r="Q1887" s="4" t="s">
        <v>2272</v>
      </c>
      <c r="R1887" s="4" t="s">
        <v>2272</v>
      </c>
      <c r="S1887" s="4" t="s">
        <v>2272</v>
      </c>
      <c r="T1887" s="4" t="s">
        <v>2272</v>
      </c>
      <c r="U1887" s="4" t="s">
        <v>2272</v>
      </c>
      <c r="V1887" s="4" t="s">
        <v>2272</v>
      </c>
      <c r="W1887" s="4" t="s">
        <v>2272</v>
      </c>
      <c r="X1887" s="4" t="s">
        <v>2272</v>
      </c>
      <c r="Y1887" s="3" t="s">
        <v>2272</v>
      </c>
      <c r="Z1887" s="3" t="s">
        <v>2272</v>
      </c>
      <c r="AA1887" s="4" t="s">
        <v>2272</v>
      </c>
      <c r="AB1887" s="3"/>
      <c r="AC1887" s="3"/>
    </row>
    <row r="1888" spans="1:29" ht="53" customHeight="1">
      <c r="A1888" s="151" t="str">
        <f>'Reported burning'!A1888</f>
        <v>218c</v>
      </c>
      <c r="B1888" s="151" t="str">
        <f>'Reported burning'!B1888</f>
        <v>218c.3</v>
      </c>
      <c r="C1888" s="151" t="str">
        <f>'Reported burning'!C1888</f>
        <v>Human, deliberate</v>
      </c>
      <c r="D1888" s="151" t="str">
        <f>'Reported burning'!D1888</f>
        <v>Harvesting of NTFP</v>
      </c>
      <c r="E1888" s="151" t="str">
        <f>'Reported burning'!E1888</f>
        <v>Forestry, Traditional</v>
      </c>
      <c r="F1888" s="151" t="str">
        <f>'Reported burning'!F1888</f>
        <v>Grassland</v>
      </c>
      <c r="G1888" s="151" t="str">
        <f>'Reported burning'!G1888</f>
        <v>ND</v>
      </c>
      <c r="H1888" s="151" t="str">
        <f>'Reported burning'!H1888</f>
        <v>Presence</v>
      </c>
      <c r="I1888" s="5"/>
      <c r="J1888" s="4" t="s">
        <v>2272</v>
      </c>
      <c r="K1888" s="4" t="s">
        <v>2272</v>
      </c>
      <c r="L1888" s="4" t="s">
        <v>2272</v>
      </c>
      <c r="M1888" s="4" t="s">
        <v>2272</v>
      </c>
      <c r="N1888" s="4" t="s">
        <v>2272</v>
      </c>
      <c r="O1888" s="4" t="s">
        <v>2272</v>
      </c>
      <c r="P1888" s="4" t="s">
        <v>2272</v>
      </c>
      <c r="Q1888" s="4" t="s">
        <v>2272</v>
      </c>
      <c r="R1888" s="4" t="s">
        <v>2272</v>
      </c>
      <c r="S1888" s="4" t="s">
        <v>2272</v>
      </c>
      <c r="T1888" s="4" t="s">
        <v>2272</v>
      </c>
      <c r="U1888" s="4" t="s">
        <v>2272</v>
      </c>
      <c r="V1888" s="4" t="s">
        <v>2272</v>
      </c>
      <c r="W1888" s="4" t="s">
        <v>2272</v>
      </c>
      <c r="X1888" s="4" t="s">
        <v>2272</v>
      </c>
      <c r="Y1888" s="3" t="s">
        <v>2272</v>
      </c>
      <c r="Z1888" s="3" t="s">
        <v>2272</v>
      </c>
      <c r="AA1888" s="4" t="s">
        <v>2272</v>
      </c>
      <c r="AB1888" s="3"/>
      <c r="AC1888" s="3"/>
    </row>
    <row r="1889" spans="1:29" ht="53" customHeight="1">
      <c r="A1889" s="151" t="str">
        <f>'Reported burning'!A1889</f>
        <v>218c</v>
      </c>
      <c r="B1889" s="151" t="str">
        <f>'Reported burning'!B1889</f>
        <v>218c.4</v>
      </c>
      <c r="C1889" s="151" t="str">
        <f>'Reported burning'!C1889</f>
        <v>Human, deliberate</v>
      </c>
      <c r="D1889" s="151" t="str">
        <f>'Reported burning'!D1889</f>
        <v>Hunting</v>
      </c>
      <c r="E1889" s="151" t="str">
        <f>'Reported burning'!E1889</f>
        <v>Forestry, Traditional</v>
      </c>
      <c r="F1889" s="151" t="str">
        <f>'Reported burning'!F1889</f>
        <v>Grassland</v>
      </c>
      <c r="G1889" s="151" t="str">
        <f>'Reported burning'!G1889</f>
        <v>ND</v>
      </c>
      <c r="H1889" s="151" t="str">
        <f>'Reported burning'!H1889</f>
        <v>Presence</v>
      </c>
      <c r="I1889" s="5"/>
      <c r="J1889" s="4" t="s">
        <v>2272</v>
      </c>
      <c r="K1889" s="4" t="s">
        <v>2272</v>
      </c>
      <c r="L1889" s="4" t="s">
        <v>2272</v>
      </c>
      <c r="M1889" s="4" t="s">
        <v>2272</v>
      </c>
      <c r="N1889" s="4" t="s">
        <v>2272</v>
      </c>
      <c r="O1889" s="4" t="s">
        <v>2272</v>
      </c>
      <c r="P1889" s="4" t="s">
        <v>2272</v>
      </c>
      <c r="Q1889" s="4" t="s">
        <v>2272</v>
      </c>
      <c r="R1889" s="4" t="s">
        <v>2272</v>
      </c>
      <c r="S1889" s="4" t="s">
        <v>2272</v>
      </c>
      <c r="T1889" s="4" t="s">
        <v>2272</v>
      </c>
      <c r="U1889" s="4" t="s">
        <v>2272</v>
      </c>
      <c r="V1889" s="4" t="s">
        <v>2272</v>
      </c>
      <c r="W1889" s="4" t="s">
        <v>2272</v>
      </c>
      <c r="X1889" s="4" t="s">
        <v>2272</v>
      </c>
      <c r="Y1889" s="4" t="s">
        <v>2272</v>
      </c>
      <c r="Z1889" s="4" t="s">
        <v>2272</v>
      </c>
      <c r="AA1889" s="4" t="s">
        <v>2272</v>
      </c>
      <c r="AB1889" s="3"/>
      <c r="AC1889" s="3"/>
    </row>
    <row r="1890" spans="1:29" ht="53" customHeight="1">
      <c r="A1890" s="151" t="str">
        <f>'Reported burning'!A1890</f>
        <v>218c</v>
      </c>
      <c r="B1890" s="151" t="str">
        <f>'Reported burning'!B1890</f>
        <v>218c.5</v>
      </c>
      <c r="C1890" s="151" t="str">
        <f>'Reported burning'!C1890</f>
        <v>Human, deliberate</v>
      </c>
      <c r="D1890" s="151" t="str">
        <f>'Reported burning'!D1890</f>
        <v>Land clearance</v>
      </c>
      <c r="E1890" s="151" t="str">
        <f>'Reported burning'!E1890</f>
        <v>Cropping, Monoculture, Market-oriented</v>
      </c>
      <c r="F1890" s="151" t="str">
        <f>'Reported burning'!F1890</f>
        <v>Cropland</v>
      </c>
      <c r="G1890" s="151" t="str">
        <f>'Reported burning'!G1890</f>
        <v>ND</v>
      </c>
      <c r="H1890" s="151" t="str">
        <f>'Reported burning'!H1890</f>
        <v>Presence</v>
      </c>
      <c r="I1890" s="5"/>
      <c r="J1890" s="4" t="s">
        <v>2272</v>
      </c>
      <c r="K1890" s="4" t="s">
        <v>2272</v>
      </c>
      <c r="L1890" s="4" t="s">
        <v>2272</v>
      </c>
      <c r="M1890" s="4" t="s">
        <v>2272</v>
      </c>
      <c r="N1890" s="4" t="s">
        <v>2272</v>
      </c>
      <c r="O1890" s="4" t="s">
        <v>2272</v>
      </c>
      <c r="P1890" s="4" t="s">
        <v>2272</v>
      </c>
      <c r="Q1890" s="4" t="s">
        <v>2272</v>
      </c>
      <c r="R1890" s="4" t="s">
        <v>2272</v>
      </c>
      <c r="S1890" s="4" t="s">
        <v>2272</v>
      </c>
      <c r="T1890" s="4" t="s">
        <v>2272</v>
      </c>
      <c r="U1890" s="4" t="s">
        <v>2272</v>
      </c>
      <c r="V1890" s="4" t="s">
        <v>2272</v>
      </c>
      <c r="W1890" s="4" t="s">
        <v>2272</v>
      </c>
      <c r="X1890" s="4" t="s">
        <v>2272</v>
      </c>
      <c r="Y1890" s="3" t="s">
        <v>2272</v>
      </c>
      <c r="Z1890" s="3" t="s">
        <v>2272</v>
      </c>
      <c r="AA1890" s="4" t="s">
        <v>2272</v>
      </c>
      <c r="AB1890" s="3"/>
      <c r="AC1890" s="3"/>
    </row>
    <row r="1891" spans="1:29" ht="53" customHeight="1">
      <c r="A1891" s="151" t="str">
        <f>'Reported burning'!A1891</f>
        <v>218c</v>
      </c>
      <c r="B1891" s="151" t="str">
        <f>'Reported burning'!B1891</f>
        <v>218c.6</v>
      </c>
      <c r="C1891" s="151" t="str">
        <f>'Reported burning'!C1891</f>
        <v>Human, deliberate</v>
      </c>
      <c r="D1891" s="151" t="str">
        <f>'Reported burning'!D1891</f>
        <v>Vegetation management</v>
      </c>
      <c r="E1891" s="151" t="str">
        <f>'Reported burning'!E1891</f>
        <v>Cropping, Monoculture, Market-oriented</v>
      </c>
      <c r="F1891" s="151" t="str">
        <f>'Reported burning'!F1891</f>
        <v>Cropland</v>
      </c>
      <c r="G1891" s="151" t="str">
        <f>'Reported burning'!G1891</f>
        <v>ND</v>
      </c>
      <c r="H1891" s="151" t="str">
        <f>'Reported burning'!H1891</f>
        <v>Presence</v>
      </c>
      <c r="I1891" s="5"/>
      <c r="J1891" s="4" t="s">
        <v>2272</v>
      </c>
      <c r="K1891" s="4" t="s">
        <v>2272</v>
      </c>
      <c r="L1891" s="4" t="s">
        <v>2272</v>
      </c>
      <c r="M1891" s="4" t="s">
        <v>2272</v>
      </c>
      <c r="N1891" s="4" t="s">
        <v>2272</v>
      </c>
      <c r="O1891" s="4" t="s">
        <v>2272</v>
      </c>
      <c r="P1891" s="4" t="s">
        <v>2272</v>
      </c>
      <c r="Q1891" s="4" t="s">
        <v>2272</v>
      </c>
      <c r="R1891" s="4" t="s">
        <v>2272</v>
      </c>
      <c r="S1891" s="4" t="s">
        <v>2272</v>
      </c>
      <c r="T1891" s="4" t="s">
        <v>2272</v>
      </c>
      <c r="U1891" s="4" t="s">
        <v>2272</v>
      </c>
      <c r="V1891" s="4" t="s">
        <v>2272</v>
      </c>
      <c r="W1891" s="4" t="s">
        <v>2272</v>
      </c>
      <c r="X1891" s="4" t="s">
        <v>2272</v>
      </c>
      <c r="Y1891" s="3" t="s">
        <v>84</v>
      </c>
      <c r="Z1891" s="3" t="s">
        <v>84</v>
      </c>
      <c r="AA1891" s="4" t="s">
        <v>2272</v>
      </c>
      <c r="AB1891" s="3"/>
      <c r="AC1891" s="3"/>
    </row>
    <row r="1892" spans="1:29" ht="53" customHeight="1">
      <c r="A1892" s="151" t="str">
        <f>'Reported burning'!A1892</f>
        <v>218c</v>
      </c>
      <c r="B1892" s="151" t="str">
        <f>'Reported burning'!B1892</f>
        <v>218c.7</v>
      </c>
      <c r="C1892" s="151" t="str">
        <f>'Reported burning'!C1892</f>
        <v>Human, deliberate</v>
      </c>
      <c r="D1892" s="151" t="str">
        <f>'Reported burning'!D1892</f>
        <v>Hunting</v>
      </c>
      <c r="E1892" s="151" t="str">
        <f>'Reported burning'!E1892</f>
        <v>Tourism manager</v>
      </c>
      <c r="F1892" s="151" t="str">
        <f>'Reported burning'!F1892</f>
        <v>Shrubland (Mixed forest &amp; grassland)</v>
      </c>
      <c r="G1892" s="151" t="str">
        <f>'Reported burning'!G1892</f>
        <v>ND</v>
      </c>
      <c r="H1892" s="151" t="str">
        <f>'Reported burning'!H1892</f>
        <v>Presence</v>
      </c>
      <c r="I1892" s="5"/>
      <c r="J1892" s="4" t="s">
        <v>2272</v>
      </c>
      <c r="K1892" s="4" t="s">
        <v>2272</v>
      </c>
      <c r="L1892" s="4" t="s">
        <v>2272</v>
      </c>
      <c r="M1892" s="4" t="s">
        <v>2272</v>
      </c>
      <c r="N1892" s="4" t="s">
        <v>2272</v>
      </c>
      <c r="O1892" s="4" t="s">
        <v>2272</v>
      </c>
      <c r="P1892" s="4" t="s">
        <v>2272</v>
      </c>
      <c r="Q1892" s="4" t="s">
        <v>2272</v>
      </c>
      <c r="R1892" s="4" t="s">
        <v>2272</v>
      </c>
      <c r="S1892" s="4" t="s">
        <v>2272</v>
      </c>
      <c r="T1892" s="4" t="s">
        <v>2272</v>
      </c>
      <c r="U1892" s="4" t="s">
        <v>2272</v>
      </c>
      <c r="V1892" s="4" t="s">
        <v>2272</v>
      </c>
      <c r="W1892" s="4" t="s">
        <v>2272</v>
      </c>
      <c r="X1892" s="4" t="s">
        <v>2272</v>
      </c>
      <c r="Y1892" s="4" t="s">
        <v>2272</v>
      </c>
      <c r="Z1892" s="4" t="s">
        <v>2272</v>
      </c>
      <c r="AA1892" s="4" t="s">
        <v>2272</v>
      </c>
      <c r="AB1892" s="3"/>
      <c r="AC1892" s="3"/>
    </row>
    <row r="1893" spans="1:29" ht="53" customHeight="1">
      <c r="A1893" s="179" t="str">
        <f>'Reported burning'!A1893</f>
        <v>218c</v>
      </c>
      <c r="B1893" s="179" t="str">
        <f>'Reported burning'!B1893</f>
        <v>218c.8</v>
      </c>
      <c r="C1893" s="179" t="str">
        <f>'Reported burning'!C1893</f>
        <v>Human, deliberate</v>
      </c>
      <c r="D1893" s="179" t="str">
        <f>'Reported burning'!D1893</f>
        <v>Accessibility</v>
      </c>
      <c r="E1893" s="179" t="str">
        <f>'Reported burning'!E1893</f>
        <v>Tourism manager</v>
      </c>
      <c r="F1893" s="179" t="str">
        <f>'Reported burning'!F1893</f>
        <v>Shrubland (Mixed forest &amp; grassland)</v>
      </c>
      <c r="G1893" s="179" t="str">
        <f>'Reported burning'!G1893</f>
        <v>ND</v>
      </c>
      <c r="H1893" s="179" t="str">
        <f>'Reported burning'!H1893</f>
        <v>Presence</v>
      </c>
      <c r="I1893" s="32"/>
      <c r="J1893" s="4" t="s">
        <v>2272</v>
      </c>
      <c r="K1893" s="4" t="s">
        <v>2272</v>
      </c>
      <c r="L1893" s="4" t="s">
        <v>2272</v>
      </c>
      <c r="M1893" s="4" t="s">
        <v>2272</v>
      </c>
      <c r="N1893" s="4" t="s">
        <v>2272</v>
      </c>
      <c r="O1893" s="4" t="s">
        <v>2272</v>
      </c>
      <c r="P1893" s="4" t="s">
        <v>2272</v>
      </c>
      <c r="Q1893" s="4" t="s">
        <v>2272</v>
      </c>
      <c r="R1893" s="4" t="s">
        <v>2272</v>
      </c>
      <c r="S1893" s="4" t="s">
        <v>2272</v>
      </c>
      <c r="T1893" s="4" t="s">
        <v>2272</v>
      </c>
      <c r="U1893" s="4" t="s">
        <v>2272</v>
      </c>
      <c r="V1893" s="4" t="s">
        <v>2272</v>
      </c>
      <c r="W1893" s="4" t="s">
        <v>2272</v>
      </c>
      <c r="X1893" s="4" t="s">
        <v>2272</v>
      </c>
      <c r="Y1893" s="4" t="s">
        <v>2272</v>
      </c>
      <c r="Z1893" s="4" t="s">
        <v>2272</v>
      </c>
      <c r="AA1893" s="4" t="s">
        <v>2272</v>
      </c>
      <c r="AB1893" s="3"/>
      <c r="AC1893" s="3"/>
    </row>
    <row r="1894" spans="1:29" ht="43.5" customHeight="1">
      <c r="A1894" s="147" t="str">
        <f>'Reported burning'!A1894</f>
        <v>218c</v>
      </c>
      <c r="B1894" s="147" t="str">
        <f>'Reported burning'!B1894</f>
        <v>218c.9</v>
      </c>
      <c r="C1894" s="147" t="str">
        <f>'Reported burning'!C1894</f>
        <v>Human, deliberate</v>
      </c>
      <c r="D1894" s="147" t="str">
        <f>'Reported burning'!D1894</f>
        <v>Harvesting of Timber</v>
      </c>
      <c r="E1894" s="147" t="str">
        <f>'Reported burning'!E1894</f>
        <v>Forestry, Industrial</v>
      </c>
      <c r="F1894" s="147" t="str">
        <f>'Reported burning'!F1894</f>
        <v>Forest</v>
      </c>
      <c r="G1894" s="147" t="str">
        <f>'Reported burning'!G1894</f>
        <v>ND</v>
      </c>
      <c r="H1894" s="147" t="str">
        <f>'Reported burning'!H1894</f>
        <v>Presence</v>
      </c>
      <c r="I1894" s="3"/>
      <c r="J1894" s="4" t="s">
        <v>2272</v>
      </c>
      <c r="K1894" s="4" t="s">
        <v>2272</v>
      </c>
      <c r="L1894" s="4" t="s">
        <v>2272</v>
      </c>
      <c r="M1894" s="4" t="s">
        <v>2272</v>
      </c>
      <c r="N1894" s="4" t="s">
        <v>2272</v>
      </c>
      <c r="O1894" s="4" t="s">
        <v>2272</v>
      </c>
      <c r="P1894" s="4" t="s">
        <v>2272</v>
      </c>
      <c r="Q1894" s="4" t="s">
        <v>2272</v>
      </c>
      <c r="R1894" s="4" t="s">
        <v>2272</v>
      </c>
      <c r="S1894" s="4" t="s">
        <v>2272</v>
      </c>
      <c r="T1894" s="4" t="s">
        <v>2272</v>
      </c>
      <c r="U1894" s="4" t="s">
        <v>2272</v>
      </c>
      <c r="V1894" s="4" t="s">
        <v>2272</v>
      </c>
      <c r="W1894" s="4" t="s">
        <v>2272</v>
      </c>
      <c r="X1894" s="4" t="s">
        <v>2272</v>
      </c>
      <c r="Y1894" s="4" t="s">
        <v>2272</v>
      </c>
      <c r="Z1894" s="4" t="s">
        <v>2272</v>
      </c>
      <c r="AA1894" s="4" t="s">
        <v>2272</v>
      </c>
      <c r="AB1894" s="3"/>
      <c r="AC1894" s="3"/>
    </row>
    <row r="1895" spans="1:29" ht="31" customHeight="1">
      <c r="A1895" s="151" t="str">
        <f>'Reported burning'!A1895</f>
        <v>218d</v>
      </c>
      <c r="B1895" s="151" t="str">
        <f>'Reported burning'!B1895</f>
        <v>218d.1</v>
      </c>
      <c r="C1895" s="151" t="str">
        <f>'Reported burning'!C1895</f>
        <v>Human, deliberate</v>
      </c>
      <c r="D1895" s="151" t="str">
        <f>'Reported burning'!D1895</f>
        <v>Crop field preparation</v>
      </c>
      <c r="E1895" s="151" t="str">
        <f>'Reported burning'!E1895</f>
        <v>Cropping, Swidden</v>
      </c>
      <c r="F1895" s="151" t="str">
        <f>'Reported burning'!F1895</f>
        <v>Secondary vegetation</v>
      </c>
      <c r="G1895" s="151" t="str">
        <f>'Reported burning'!G1895</f>
        <v>ND</v>
      </c>
      <c r="H1895" s="151" t="str">
        <f>'Reported burning'!H1895</f>
        <v>Presence</v>
      </c>
      <c r="I1895" s="5"/>
      <c r="J1895" s="4" t="s">
        <v>2272</v>
      </c>
      <c r="K1895" s="4" t="s">
        <v>2272</v>
      </c>
      <c r="L1895" s="4" t="s">
        <v>2272</v>
      </c>
      <c r="M1895" s="4" t="s">
        <v>2272</v>
      </c>
      <c r="N1895" s="4" t="s">
        <v>2272</v>
      </c>
      <c r="O1895" s="4" t="s">
        <v>2272</v>
      </c>
      <c r="P1895" s="4" t="s">
        <v>2272</v>
      </c>
      <c r="Q1895" s="4" t="s">
        <v>2272</v>
      </c>
      <c r="R1895" s="4" t="s">
        <v>2272</v>
      </c>
      <c r="S1895" s="4" t="s">
        <v>2272</v>
      </c>
      <c r="T1895" s="4" t="s">
        <v>2272</v>
      </c>
      <c r="U1895" s="4" t="s">
        <v>2272</v>
      </c>
      <c r="V1895" s="4" t="s">
        <v>2272</v>
      </c>
      <c r="W1895" s="4" t="s">
        <v>2272</v>
      </c>
      <c r="X1895" s="4" t="s">
        <v>2272</v>
      </c>
      <c r="Y1895" s="3" t="s">
        <v>84</v>
      </c>
      <c r="Z1895" s="3" t="s">
        <v>84</v>
      </c>
      <c r="AA1895" s="4" t="s">
        <v>2272</v>
      </c>
      <c r="AB1895" s="3"/>
      <c r="AC1895" s="3"/>
    </row>
    <row r="1896" spans="1:29" ht="29">
      <c r="A1896" s="151" t="str">
        <f>'Reported burning'!A1896</f>
        <v>218d</v>
      </c>
      <c r="B1896" s="151" t="str">
        <f>'Reported burning'!B1896</f>
        <v>218d.2</v>
      </c>
      <c r="C1896" s="151" t="str">
        <f>'Reported burning'!C1896</f>
        <v>Human, deliberate</v>
      </c>
      <c r="D1896" s="151" t="str">
        <f>'Reported burning'!D1896</f>
        <v>Pasture renewal</v>
      </c>
      <c r="E1896" s="151" t="str">
        <f>'Reported burning'!E1896</f>
        <v>Pastoralism, Migratory</v>
      </c>
      <c r="F1896" s="151" t="str">
        <f>'Reported burning'!F1896</f>
        <v>Shrubland (Mixed forest &amp; grassland)</v>
      </c>
      <c r="G1896" s="151" t="str">
        <f>'Reported burning'!G1896</f>
        <v>ND</v>
      </c>
      <c r="H1896" s="151" t="str">
        <f>'Reported burning'!H1896</f>
        <v>Presence</v>
      </c>
      <c r="I1896" s="5"/>
      <c r="J1896" s="4" t="s">
        <v>2272</v>
      </c>
      <c r="K1896" s="4" t="s">
        <v>2272</v>
      </c>
      <c r="L1896" s="4" t="s">
        <v>2272</v>
      </c>
      <c r="M1896" s="4" t="s">
        <v>2272</v>
      </c>
      <c r="N1896" s="4" t="s">
        <v>2272</v>
      </c>
      <c r="O1896" s="4" t="s">
        <v>2272</v>
      </c>
      <c r="P1896" s="4" t="s">
        <v>2272</v>
      </c>
      <c r="Q1896" s="4" t="s">
        <v>2272</v>
      </c>
      <c r="R1896" s="4" t="s">
        <v>2272</v>
      </c>
      <c r="S1896" s="4" t="s">
        <v>2272</v>
      </c>
      <c r="T1896" s="4" t="s">
        <v>2272</v>
      </c>
      <c r="U1896" s="4" t="s">
        <v>2272</v>
      </c>
      <c r="V1896" s="4" t="s">
        <v>2272</v>
      </c>
      <c r="W1896" s="4" t="s">
        <v>2272</v>
      </c>
      <c r="X1896" s="4" t="s">
        <v>2272</v>
      </c>
      <c r="Y1896" s="4" t="s">
        <v>2272</v>
      </c>
      <c r="Z1896" s="4" t="s">
        <v>2272</v>
      </c>
      <c r="AA1896" s="4" t="s">
        <v>2272</v>
      </c>
      <c r="AB1896" s="5"/>
      <c r="AC1896" s="5"/>
    </row>
    <row r="1897" spans="1:29" ht="29">
      <c r="A1897" s="151" t="str">
        <f>'Reported burning'!A1897</f>
        <v>218d</v>
      </c>
      <c r="B1897" s="151" t="str">
        <f>'Reported burning'!B1897</f>
        <v>218d.3</v>
      </c>
      <c r="C1897" s="151" t="str">
        <f>'Reported burning'!C1897</f>
        <v>Human, deliberate</v>
      </c>
      <c r="D1897" s="151" t="str">
        <f>'Reported burning'!D1897</f>
        <v>Harvesting of NTFP</v>
      </c>
      <c r="E1897" s="151" t="str">
        <f>'Reported burning'!E1897</f>
        <v>Forestry, Traditional</v>
      </c>
      <c r="F1897" s="151" t="str">
        <f>'Reported burning'!F1897</f>
        <v>Shrubland (Mixed forest &amp; grassland)</v>
      </c>
      <c r="G1897" s="151" t="str">
        <f>'Reported burning'!G1897</f>
        <v>ND</v>
      </c>
      <c r="H1897" s="151" t="str">
        <f>'Reported burning'!H1897</f>
        <v>Presence</v>
      </c>
      <c r="I1897" s="5"/>
      <c r="J1897" s="4" t="s">
        <v>2272</v>
      </c>
      <c r="K1897" s="4" t="s">
        <v>2272</v>
      </c>
      <c r="L1897" s="4" t="s">
        <v>2272</v>
      </c>
      <c r="M1897" s="4" t="s">
        <v>2272</v>
      </c>
      <c r="N1897" s="4" t="s">
        <v>2272</v>
      </c>
      <c r="O1897" s="4" t="s">
        <v>2272</v>
      </c>
      <c r="P1897" s="4" t="s">
        <v>2272</v>
      </c>
      <c r="Q1897" s="4" t="s">
        <v>2272</v>
      </c>
      <c r="R1897" s="4" t="s">
        <v>2272</v>
      </c>
      <c r="S1897" s="4" t="s">
        <v>2272</v>
      </c>
      <c r="T1897" s="4" t="s">
        <v>2272</v>
      </c>
      <c r="U1897" s="4" t="s">
        <v>2272</v>
      </c>
      <c r="V1897" s="4" t="s">
        <v>2272</v>
      </c>
      <c r="W1897" s="4" t="s">
        <v>2272</v>
      </c>
      <c r="X1897" s="4" t="s">
        <v>2272</v>
      </c>
      <c r="Y1897" s="3" t="s">
        <v>186</v>
      </c>
      <c r="Z1897" s="3" t="s">
        <v>187</v>
      </c>
      <c r="AA1897" s="4" t="s">
        <v>2272</v>
      </c>
      <c r="AB1897" s="3"/>
      <c r="AC1897" s="3"/>
    </row>
    <row r="1898" spans="1:29" ht="29">
      <c r="A1898" s="151" t="str">
        <f>'Reported burning'!A1898</f>
        <v>218d</v>
      </c>
      <c r="B1898" s="151" t="str">
        <f>'Reported burning'!B1898</f>
        <v>218d.4</v>
      </c>
      <c r="C1898" s="151" t="str">
        <f>'Reported burning'!C1898</f>
        <v>Human, deliberate</v>
      </c>
      <c r="D1898" s="151" t="str">
        <f>'Reported burning'!D1898</f>
        <v>Hunting</v>
      </c>
      <c r="E1898" s="151" t="str">
        <f>'Reported burning'!E1898</f>
        <v>Forestry, Traditional</v>
      </c>
      <c r="F1898" s="151" t="str">
        <f>'Reported burning'!F1898</f>
        <v>Shrubland (Mixed forest &amp; grassland)</v>
      </c>
      <c r="G1898" s="151" t="str">
        <f>'Reported burning'!G1898</f>
        <v>ND</v>
      </c>
      <c r="H1898" s="151" t="str">
        <f>'Reported burning'!H1898</f>
        <v>Presence</v>
      </c>
      <c r="I1898" s="5"/>
      <c r="J1898" s="4" t="s">
        <v>2272</v>
      </c>
      <c r="K1898" s="4" t="s">
        <v>2272</v>
      </c>
      <c r="L1898" s="4" t="s">
        <v>2272</v>
      </c>
      <c r="M1898" s="4" t="s">
        <v>2272</v>
      </c>
      <c r="N1898" s="4" t="s">
        <v>2272</v>
      </c>
      <c r="O1898" s="4" t="s">
        <v>2272</v>
      </c>
      <c r="P1898" s="4" t="s">
        <v>2272</v>
      </c>
      <c r="Q1898" s="4" t="s">
        <v>2272</v>
      </c>
      <c r="R1898" s="4" t="s">
        <v>2272</v>
      </c>
      <c r="S1898" s="4" t="s">
        <v>2272</v>
      </c>
      <c r="T1898" s="4" t="s">
        <v>2272</v>
      </c>
      <c r="U1898" s="4" t="s">
        <v>2272</v>
      </c>
      <c r="V1898" s="4" t="s">
        <v>2272</v>
      </c>
      <c r="W1898" s="4" t="s">
        <v>2272</v>
      </c>
      <c r="X1898" s="4" t="s">
        <v>2272</v>
      </c>
      <c r="Y1898" s="3" t="s">
        <v>187</v>
      </c>
      <c r="Z1898" s="3" t="s">
        <v>84</v>
      </c>
      <c r="AA1898" s="4" t="s">
        <v>2272</v>
      </c>
      <c r="AB1898" s="3"/>
      <c r="AC1898" s="3"/>
    </row>
    <row r="1899" spans="1:29" ht="37" customHeight="1">
      <c r="A1899" s="151" t="str">
        <f>'Reported burning'!A1899</f>
        <v>218d</v>
      </c>
      <c r="B1899" s="151" t="str">
        <f>'Reported burning'!B1899</f>
        <v>218d.5</v>
      </c>
      <c r="C1899" s="151" t="str">
        <f>'Reported burning'!C1899</f>
        <v>Human, escaped</v>
      </c>
      <c r="D1899" s="151" t="str">
        <f>'Reported burning'!D1899</f>
        <v>Crop field preparation</v>
      </c>
      <c r="E1899" s="151" t="str">
        <f>'Reported burning'!E1899</f>
        <v>Cropping, Swidden</v>
      </c>
      <c r="F1899" s="151" t="str">
        <f>'Reported burning'!F1899</f>
        <v>Secondary vegetation</v>
      </c>
      <c r="G1899" s="151" t="str">
        <f>'Reported burning'!G1899</f>
        <v>ND</v>
      </c>
      <c r="H1899" s="151" t="str">
        <f>'Reported burning'!H1899</f>
        <v>Presence</v>
      </c>
      <c r="I1899" s="5"/>
      <c r="J1899" s="4" t="s">
        <v>2272</v>
      </c>
      <c r="K1899" s="4" t="s">
        <v>2272</v>
      </c>
      <c r="L1899" s="4" t="s">
        <v>2272</v>
      </c>
      <c r="M1899" s="4" t="s">
        <v>2272</v>
      </c>
      <c r="N1899" s="4" t="s">
        <v>2272</v>
      </c>
      <c r="O1899" s="4" t="s">
        <v>2272</v>
      </c>
      <c r="P1899" s="4" t="s">
        <v>2272</v>
      </c>
      <c r="Q1899" s="4" t="s">
        <v>2272</v>
      </c>
      <c r="R1899" s="4" t="s">
        <v>2272</v>
      </c>
      <c r="S1899" s="4" t="s">
        <v>2272</v>
      </c>
      <c r="T1899" s="4" t="s">
        <v>2272</v>
      </c>
      <c r="U1899" s="4" t="s">
        <v>2272</v>
      </c>
      <c r="V1899" s="4" t="s">
        <v>2272</v>
      </c>
      <c r="W1899" s="4" t="s">
        <v>2272</v>
      </c>
      <c r="X1899" s="4" t="s">
        <v>2272</v>
      </c>
      <c r="Y1899" s="3" t="s">
        <v>84</v>
      </c>
      <c r="Z1899" s="3" t="s">
        <v>84</v>
      </c>
      <c r="AA1899" s="4" t="s">
        <v>2272</v>
      </c>
      <c r="AB1899" s="3"/>
      <c r="AC1899" s="3"/>
    </row>
    <row r="1900" spans="1:29" ht="29">
      <c r="A1900" s="151" t="str">
        <f>'Reported burning'!A1900</f>
        <v>218d</v>
      </c>
      <c r="B1900" s="151" t="str">
        <f>'Reported burning'!B1900</f>
        <v>218d.6</v>
      </c>
      <c r="C1900" s="151" t="str">
        <f>'Reported burning'!C1900</f>
        <v>Human, deliberate</v>
      </c>
      <c r="D1900" s="151" t="str">
        <f>'Reported burning'!D1900</f>
        <v>Land clearance</v>
      </c>
      <c r="E1900" s="151" t="str">
        <f>'Reported burning'!E1900</f>
        <v>Cropping, Monoculture, Market-oriented</v>
      </c>
      <c r="F1900" s="151" t="str">
        <f>'Reported burning'!F1900</f>
        <v>Cropland</v>
      </c>
      <c r="G1900" s="151" t="str">
        <f>'Reported burning'!G1900</f>
        <v>ND</v>
      </c>
      <c r="H1900" s="151" t="str">
        <f>'Reported burning'!H1900</f>
        <v>Presence</v>
      </c>
      <c r="I1900" s="5"/>
      <c r="J1900" s="4" t="s">
        <v>2272</v>
      </c>
      <c r="K1900" s="4" t="s">
        <v>2272</v>
      </c>
      <c r="L1900" s="4" t="s">
        <v>2272</v>
      </c>
      <c r="M1900" s="4" t="s">
        <v>2272</v>
      </c>
      <c r="N1900" s="4" t="s">
        <v>2272</v>
      </c>
      <c r="O1900" s="4" t="s">
        <v>2272</v>
      </c>
      <c r="P1900" s="4" t="s">
        <v>2272</v>
      </c>
      <c r="Q1900" s="4" t="s">
        <v>2272</v>
      </c>
      <c r="R1900" s="4" t="s">
        <v>2272</v>
      </c>
      <c r="S1900" s="4" t="s">
        <v>2272</v>
      </c>
      <c r="T1900" s="4" t="s">
        <v>2272</v>
      </c>
      <c r="U1900" s="4" t="s">
        <v>2272</v>
      </c>
      <c r="V1900" s="4" t="s">
        <v>2272</v>
      </c>
      <c r="W1900" s="4" t="s">
        <v>2272</v>
      </c>
      <c r="X1900" s="4" t="s">
        <v>2272</v>
      </c>
      <c r="Y1900" s="4" t="s">
        <v>2272</v>
      </c>
      <c r="Z1900" s="4" t="s">
        <v>2272</v>
      </c>
      <c r="AA1900" s="4" t="s">
        <v>2272</v>
      </c>
      <c r="AB1900" s="3"/>
      <c r="AC1900" s="3"/>
    </row>
    <row r="1901" spans="1:29" ht="29">
      <c r="A1901" s="151" t="str">
        <f>'Reported burning'!A1901</f>
        <v>218d</v>
      </c>
      <c r="B1901" s="151" t="str">
        <f>'Reported burning'!B1901</f>
        <v>218d.7</v>
      </c>
      <c r="C1901" s="151" t="str">
        <f>'Reported burning'!C1901</f>
        <v>Human, deliberate</v>
      </c>
      <c r="D1901" s="151" t="str">
        <f>'Reported burning'!D1901</f>
        <v>Vegetation management</v>
      </c>
      <c r="E1901" s="151" t="str">
        <f>'Reported burning'!E1901</f>
        <v>Cropping, Monoculture, Market-oriented</v>
      </c>
      <c r="F1901" s="151" t="str">
        <f>'Reported burning'!F1901</f>
        <v>Cropland</v>
      </c>
      <c r="G1901" s="151" t="str">
        <f>'Reported burning'!G1901</f>
        <v>ND</v>
      </c>
      <c r="H1901" s="151" t="str">
        <f>'Reported burning'!H1901</f>
        <v>Presence</v>
      </c>
      <c r="I1901" s="5"/>
      <c r="J1901" s="4" t="s">
        <v>2272</v>
      </c>
      <c r="K1901" s="4" t="s">
        <v>2272</v>
      </c>
      <c r="L1901" s="4" t="s">
        <v>2272</v>
      </c>
      <c r="M1901" s="4" t="s">
        <v>2272</v>
      </c>
      <c r="N1901" s="4" t="s">
        <v>2272</v>
      </c>
      <c r="O1901" s="4" t="s">
        <v>2272</v>
      </c>
      <c r="P1901" s="4" t="s">
        <v>2272</v>
      </c>
      <c r="Q1901" s="4" t="s">
        <v>2272</v>
      </c>
      <c r="R1901" s="4" t="s">
        <v>2272</v>
      </c>
      <c r="S1901" s="4" t="s">
        <v>2272</v>
      </c>
      <c r="T1901" s="4" t="s">
        <v>2272</v>
      </c>
      <c r="U1901" s="4" t="s">
        <v>2272</v>
      </c>
      <c r="V1901" s="4" t="s">
        <v>2272</v>
      </c>
      <c r="W1901" s="4" t="s">
        <v>2272</v>
      </c>
      <c r="X1901" s="4" t="s">
        <v>2272</v>
      </c>
      <c r="Y1901" s="4" t="s">
        <v>2272</v>
      </c>
      <c r="Z1901" s="4" t="s">
        <v>2272</v>
      </c>
      <c r="AA1901" s="4" t="s">
        <v>2272</v>
      </c>
      <c r="AB1901" s="3"/>
      <c r="AC1901" s="3"/>
    </row>
    <row r="1902" spans="1:29" ht="29">
      <c r="A1902" s="151" t="str">
        <f>'Reported burning'!A1902</f>
        <v>218d</v>
      </c>
      <c r="B1902" s="151" t="str">
        <f>'Reported burning'!B1902</f>
        <v>218d.8</v>
      </c>
      <c r="C1902" s="151" t="str">
        <f>'Reported burning'!C1902</f>
        <v>Human, deliberate</v>
      </c>
      <c r="D1902" s="151" t="str">
        <f>'Reported burning'!D1902</f>
        <v>Hunting</v>
      </c>
      <c r="E1902" s="151" t="str">
        <f>'Reported burning'!E1902</f>
        <v>Tourism manager</v>
      </c>
      <c r="F1902" s="151" t="str">
        <f>'Reported burning'!F1902</f>
        <v>Shrubland (Mixed forest &amp; grassland)</v>
      </c>
      <c r="G1902" s="151" t="str">
        <f>'Reported burning'!G1902</f>
        <v>ND</v>
      </c>
      <c r="H1902" s="151" t="str">
        <f>'Reported burning'!H1902</f>
        <v>Presence</v>
      </c>
      <c r="I1902" s="5"/>
      <c r="J1902" s="4" t="s">
        <v>2272</v>
      </c>
      <c r="K1902" s="4" t="s">
        <v>2272</v>
      </c>
      <c r="L1902" s="4" t="s">
        <v>2272</v>
      </c>
      <c r="M1902" s="4" t="s">
        <v>2272</v>
      </c>
      <c r="N1902" s="4" t="s">
        <v>2272</v>
      </c>
      <c r="O1902" s="4" t="s">
        <v>2272</v>
      </c>
      <c r="P1902" s="4" t="s">
        <v>2272</v>
      </c>
      <c r="Q1902" s="4" t="s">
        <v>2272</v>
      </c>
      <c r="R1902" s="4" t="s">
        <v>2272</v>
      </c>
      <c r="S1902" s="4" t="s">
        <v>2272</v>
      </c>
      <c r="T1902" s="4" t="s">
        <v>2272</v>
      </c>
      <c r="U1902" s="4" t="s">
        <v>2272</v>
      </c>
      <c r="V1902" s="4" t="s">
        <v>2272</v>
      </c>
      <c r="W1902" s="4" t="s">
        <v>2272</v>
      </c>
      <c r="X1902" s="4" t="s">
        <v>2272</v>
      </c>
      <c r="Y1902" s="4" t="s">
        <v>2272</v>
      </c>
      <c r="Z1902" s="4" t="s">
        <v>2272</v>
      </c>
      <c r="AA1902" s="4" t="s">
        <v>2272</v>
      </c>
      <c r="AB1902" s="3"/>
      <c r="AC1902" s="3"/>
    </row>
    <row r="1903" spans="1:29" ht="29">
      <c r="A1903" s="151" t="str">
        <f>'Reported burning'!A1903</f>
        <v>218d</v>
      </c>
      <c r="B1903" s="151" t="str">
        <f>'Reported burning'!B1903</f>
        <v>218d.9</v>
      </c>
      <c r="C1903" s="151" t="str">
        <f>'Reported burning'!C1903</f>
        <v>Human, deliberate</v>
      </c>
      <c r="D1903" s="151" t="str">
        <f>'Reported burning'!D1903</f>
        <v>Accessibility</v>
      </c>
      <c r="E1903" s="151" t="str">
        <f>'Reported burning'!E1903</f>
        <v>Tourism manager</v>
      </c>
      <c r="F1903" s="151" t="str">
        <f>'Reported burning'!F1903</f>
        <v>Shrubland (Mixed forest &amp; grassland)</v>
      </c>
      <c r="G1903" s="151" t="str">
        <f>'Reported burning'!G1903</f>
        <v>ND</v>
      </c>
      <c r="H1903" s="151" t="str">
        <f>'Reported burning'!H1903</f>
        <v>Presence</v>
      </c>
      <c r="I1903" s="5"/>
      <c r="J1903" s="4" t="s">
        <v>2272</v>
      </c>
      <c r="K1903" s="4" t="s">
        <v>2272</v>
      </c>
      <c r="L1903" s="4" t="s">
        <v>2272</v>
      </c>
      <c r="M1903" s="4" t="s">
        <v>2272</v>
      </c>
      <c r="N1903" s="4" t="s">
        <v>2272</v>
      </c>
      <c r="O1903" s="4" t="s">
        <v>2272</v>
      </c>
      <c r="P1903" s="4" t="s">
        <v>2272</v>
      </c>
      <c r="Q1903" s="4" t="s">
        <v>2272</v>
      </c>
      <c r="R1903" s="4" t="s">
        <v>2272</v>
      </c>
      <c r="S1903" s="4" t="s">
        <v>2272</v>
      </c>
      <c r="T1903" s="4" t="s">
        <v>2272</v>
      </c>
      <c r="U1903" s="4" t="s">
        <v>2272</v>
      </c>
      <c r="V1903" s="4" t="s">
        <v>2272</v>
      </c>
      <c r="W1903" s="4" t="s">
        <v>2272</v>
      </c>
      <c r="X1903" s="4" t="s">
        <v>2272</v>
      </c>
      <c r="Y1903" s="4" t="s">
        <v>2272</v>
      </c>
      <c r="Z1903" s="4" t="s">
        <v>2272</v>
      </c>
      <c r="AA1903" s="4" t="s">
        <v>2272</v>
      </c>
      <c r="AB1903" s="3"/>
      <c r="AC1903" s="3"/>
    </row>
    <row r="1904" spans="1:29" ht="26.5" customHeight="1">
      <c r="A1904" s="151" t="str">
        <f>'Reported burning'!A1904</f>
        <v>218d</v>
      </c>
      <c r="B1904" s="151" t="str">
        <f>'Reported burning'!B1904</f>
        <v>218d.10</v>
      </c>
      <c r="C1904" s="151" t="str">
        <f>'Reported burning'!C1904</f>
        <v>Human, deliberate</v>
      </c>
      <c r="D1904" s="151" t="str">
        <f>'Reported burning'!D1904</f>
        <v>Harvesting of Timber</v>
      </c>
      <c r="E1904" s="151" t="str">
        <f>'Reported burning'!E1904</f>
        <v>Forestry, Industrial</v>
      </c>
      <c r="F1904" s="151" t="str">
        <f>'Reported burning'!F1904</f>
        <v>Forest</v>
      </c>
      <c r="G1904" s="151" t="str">
        <f>'Reported burning'!G1904</f>
        <v>ND</v>
      </c>
      <c r="H1904" s="151" t="str">
        <f>'Reported burning'!H1904</f>
        <v>Presence</v>
      </c>
      <c r="I1904" s="5"/>
      <c r="J1904" s="4" t="s">
        <v>2272</v>
      </c>
      <c r="K1904" s="4" t="s">
        <v>2272</v>
      </c>
      <c r="L1904" s="4" t="s">
        <v>2272</v>
      </c>
      <c r="M1904" s="4" t="s">
        <v>2272</v>
      </c>
      <c r="N1904" s="4" t="s">
        <v>2272</v>
      </c>
      <c r="O1904" s="4" t="s">
        <v>2272</v>
      </c>
      <c r="P1904" s="4" t="s">
        <v>2272</v>
      </c>
      <c r="Q1904" s="4" t="s">
        <v>2272</v>
      </c>
      <c r="R1904" s="4" t="s">
        <v>2272</v>
      </c>
      <c r="S1904" s="4" t="s">
        <v>2272</v>
      </c>
      <c r="T1904" s="4" t="s">
        <v>2272</v>
      </c>
      <c r="U1904" s="4" t="s">
        <v>2272</v>
      </c>
      <c r="V1904" s="4" t="s">
        <v>2272</v>
      </c>
      <c r="W1904" s="4" t="s">
        <v>2272</v>
      </c>
      <c r="X1904" s="4" t="s">
        <v>2272</v>
      </c>
      <c r="Y1904" s="4" t="s">
        <v>2272</v>
      </c>
      <c r="Z1904" s="4" t="s">
        <v>2272</v>
      </c>
      <c r="AA1904" s="4" t="s">
        <v>2272</v>
      </c>
      <c r="AB1904" s="3"/>
      <c r="AC1904" s="3"/>
    </row>
    <row r="1905" spans="1:29" ht="26.5" customHeight="1">
      <c r="A1905" s="151" t="str">
        <f>'Reported burning'!A1905</f>
        <v>218e</v>
      </c>
      <c r="B1905" s="151" t="str">
        <f>'Reported burning'!B1905</f>
        <v>218e.1</v>
      </c>
      <c r="C1905" s="151" t="str">
        <f>'Reported burning'!C1905</f>
        <v>Human, deliberate</v>
      </c>
      <c r="D1905" s="151" t="str">
        <f>'Reported burning'!D1905</f>
        <v>Crop field preparation</v>
      </c>
      <c r="E1905" s="151" t="str">
        <f>'Reported burning'!E1905</f>
        <v>Cropping, Swidden</v>
      </c>
      <c r="F1905" s="151" t="str">
        <f>'Reported burning'!F1905</f>
        <v>Secondary vegetation</v>
      </c>
      <c r="G1905" s="151" t="str">
        <f>'Reported burning'!G1905</f>
        <v>ND</v>
      </c>
      <c r="H1905" s="151" t="str">
        <f>'Reported burning'!H1905</f>
        <v>Presence</v>
      </c>
      <c r="I1905" s="5"/>
      <c r="J1905" s="4" t="s">
        <v>2272</v>
      </c>
      <c r="K1905" s="4" t="s">
        <v>2272</v>
      </c>
      <c r="L1905" s="4" t="s">
        <v>2272</v>
      </c>
      <c r="M1905" s="4" t="s">
        <v>2272</v>
      </c>
      <c r="N1905" s="4" t="s">
        <v>2272</v>
      </c>
      <c r="O1905" s="4" t="s">
        <v>2272</v>
      </c>
      <c r="P1905" s="4" t="s">
        <v>2272</v>
      </c>
      <c r="Q1905" s="4" t="s">
        <v>2272</v>
      </c>
      <c r="R1905" s="4" t="s">
        <v>2272</v>
      </c>
      <c r="S1905" s="4" t="s">
        <v>2272</v>
      </c>
      <c r="T1905" s="4" t="s">
        <v>2272</v>
      </c>
      <c r="U1905" s="4" t="s">
        <v>2272</v>
      </c>
      <c r="V1905" s="4" t="s">
        <v>2272</v>
      </c>
      <c r="W1905" s="4" t="s">
        <v>2272</v>
      </c>
      <c r="X1905" s="4" t="s">
        <v>2272</v>
      </c>
      <c r="Y1905" s="3" t="s">
        <v>84</v>
      </c>
      <c r="Z1905" s="3" t="s">
        <v>84</v>
      </c>
      <c r="AA1905" s="4" t="s">
        <v>2272</v>
      </c>
      <c r="AB1905" s="3"/>
      <c r="AC1905" s="3"/>
    </row>
    <row r="1906" spans="1:29" ht="26.5" customHeight="1">
      <c r="A1906" s="151" t="str">
        <f>'Reported burning'!A1906</f>
        <v>218e</v>
      </c>
      <c r="B1906" s="151" t="str">
        <f>'Reported burning'!B1906</f>
        <v>218e.2</v>
      </c>
      <c r="C1906" s="151" t="str">
        <f>'Reported burning'!C1906</f>
        <v>Human, deliberate</v>
      </c>
      <c r="D1906" s="151" t="str">
        <f>'Reported burning'!D1906</f>
        <v>Pasture renewal</v>
      </c>
      <c r="E1906" s="151" t="str">
        <f>'Reported burning'!E1906</f>
        <v>Pastoralism, Migratory</v>
      </c>
      <c r="F1906" s="151" t="str">
        <f>'Reported burning'!F1906</f>
        <v>Grassland</v>
      </c>
      <c r="G1906" s="151" t="str">
        <f>'Reported burning'!G1906</f>
        <v>ND</v>
      </c>
      <c r="H1906" s="151" t="str">
        <f>'Reported burning'!H1906</f>
        <v>Presence</v>
      </c>
      <c r="I1906" s="5"/>
      <c r="J1906" s="4" t="s">
        <v>2272</v>
      </c>
      <c r="K1906" s="4" t="s">
        <v>2272</v>
      </c>
      <c r="L1906" s="4" t="s">
        <v>2272</v>
      </c>
      <c r="M1906" s="4" t="s">
        <v>2272</v>
      </c>
      <c r="N1906" s="4" t="s">
        <v>2272</v>
      </c>
      <c r="O1906" s="4" t="s">
        <v>2272</v>
      </c>
      <c r="P1906" s="4" t="s">
        <v>2272</v>
      </c>
      <c r="Q1906" s="4" t="s">
        <v>2272</v>
      </c>
      <c r="R1906" s="4" t="s">
        <v>2272</v>
      </c>
      <c r="S1906" s="4" t="s">
        <v>2272</v>
      </c>
      <c r="T1906" s="4" t="s">
        <v>2272</v>
      </c>
      <c r="U1906" s="4" t="s">
        <v>2272</v>
      </c>
      <c r="V1906" s="4" t="s">
        <v>2272</v>
      </c>
      <c r="W1906" s="4" t="s">
        <v>2272</v>
      </c>
      <c r="X1906" s="4" t="s">
        <v>2272</v>
      </c>
      <c r="Y1906" s="4" t="s">
        <v>2272</v>
      </c>
      <c r="Z1906" s="4" t="s">
        <v>2272</v>
      </c>
      <c r="AA1906" s="4" t="s">
        <v>2272</v>
      </c>
      <c r="AB1906" s="3"/>
      <c r="AC1906" s="3"/>
    </row>
    <row r="1907" spans="1:29" ht="26.5" customHeight="1">
      <c r="A1907" s="151" t="str">
        <f>'Reported burning'!A1907</f>
        <v>218e</v>
      </c>
      <c r="B1907" s="151" t="str">
        <f>'Reported burning'!B1907</f>
        <v>218e.3</v>
      </c>
      <c r="C1907" s="151" t="str">
        <f>'Reported burning'!C1907</f>
        <v>Human, deliberate</v>
      </c>
      <c r="D1907" s="151" t="str">
        <f>'Reported burning'!D1907</f>
        <v>Harvesting of NTFP</v>
      </c>
      <c r="E1907" s="151" t="str">
        <f>'Reported burning'!E1907</f>
        <v>Forestry, Traditional</v>
      </c>
      <c r="F1907" s="151" t="str">
        <f>'Reported burning'!F1907</f>
        <v>Grassland</v>
      </c>
      <c r="G1907" s="151" t="str">
        <f>'Reported burning'!G1907</f>
        <v>ND</v>
      </c>
      <c r="H1907" s="151" t="str">
        <f>'Reported burning'!H1907</f>
        <v>Presence</v>
      </c>
      <c r="I1907" s="5"/>
      <c r="J1907" s="4" t="s">
        <v>2272</v>
      </c>
      <c r="K1907" s="4" t="s">
        <v>2272</v>
      </c>
      <c r="L1907" s="4" t="s">
        <v>2272</v>
      </c>
      <c r="M1907" s="4" t="s">
        <v>2272</v>
      </c>
      <c r="N1907" s="4" t="s">
        <v>2272</v>
      </c>
      <c r="O1907" s="4" t="s">
        <v>2272</v>
      </c>
      <c r="P1907" s="4" t="s">
        <v>2272</v>
      </c>
      <c r="Q1907" s="4" t="s">
        <v>2272</v>
      </c>
      <c r="R1907" s="4" t="s">
        <v>2272</v>
      </c>
      <c r="S1907" s="4" t="s">
        <v>2272</v>
      </c>
      <c r="T1907" s="4" t="s">
        <v>2272</v>
      </c>
      <c r="U1907" s="4" t="s">
        <v>2272</v>
      </c>
      <c r="V1907" s="4" t="s">
        <v>2272</v>
      </c>
      <c r="W1907" s="4" t="s">
        <v>2272</v>
      </c>
      <c r="X1907" s="4" t="s">
        <v>2272</v>
      </c>
      <c r="Y1907" s="4" t="s">
        <v>2272</v>
      </c>
      <c r="Z1907" s="4" t="s">
        <v>2272</v>
      </c>
      <c r="AA1907" s="4" t="s">
        <v>2272</v>
      </c>
      <c r="AB1907" s="3"/>
      <c r="AC1907" s="3"/>
    </row>
    <row r="1908" spans="1:29" ht="26.5" customHeight="1">
      <c r="A1908" s="151" t="str">
        <f>'Reported burning'!A1908</f>
        <v>218e</v>
      </c>
      <c r="B1908" s="151" t="str">
        <f>'Reported burning'!B1908</f>
        <v>218e.4</v>
      </c>
      <c r="C1908" s="151" t="str">
        <f>'Reported burning'!C1908</f>
        <v>Human, deliberate</v>
      </c>
      <c r="D1908" s="151" t="str">
        <f>'Reported burning'!D1908</f>
        <v>Hunting</v>
      </c>
      <c r="E1908" s="151" t="str">
        <f>'Reported burning'!E1908</f>
        <v>Forestry, Traditional</v>
      </c>
      <c r="F1908" s="151" t="str">
        <f>'Reported burning'!F1908</f>
        <v>Grassland</v>
      </c>
      <c r="G1908" s="151" t="str">
        <f>'Reported burning'!G1908</f>
        <v>ND</v>
      </c>
      <c r="H1908" s="151" t="str">
        <f>'Reported burning'!H1908</f>
        <v>Presence</v>
      </c>
      <c r="I1908" s="5"/>
      <c r="J1908" s="4" t="s">
        <v>2272</v>
      </c>
      <c r="K1908" s="4" t="s">
        <v>2272</v>
      </c>
      <c r="L1908" s="4" t="s">
        <v>2272</v>
      </c>
      <c r="M1908" s="4" t="s">
        <v>2272</v>
      </c>
      <c r="N1908" s="4" t="s">
        <v>2272</v>
      </c>
      <c r="O1908" s="4" t="s">
        <v>2272</v>
      </c>
      <c r="P1908" s="4" t="s">
        <v>2272</v>
      </c>
      <c r="Q1908" s="4" t="s">
        <v>2272</v>
      </c>
      <c r="R1908" s="4" t="s">
        <v>2272</v>
      </c>
      <c r="S1908" s="4" t="s">
        <v>2272</v>
      </c>
      <c r="T1908" s="4" t="s">
        <v>2272</v>
      </c>
      <c r="U1908" s="4" t="s">
        <v>2272</v>
      </c>
      <c r="V1908" s="4" t="s">
        <v>2272</v>
      </c>
      <c r="W1908" s="4" t="s">
        <v>2272</v>
      </c>
      <c r="X1908" s="4" t="s">
        <v>2272</v>
      </c>
      <c r="Y1908" s="4" t="s">
        <v>2272</v>
      </c>
      <c r="Z1908" s="4" t="s">
        <v>2272</v>
      </c>
      <c r="AA1908" s="4" t="s">
        <v>2272</v>
      </c>
      <c r="AB1908" s="3"/>
      <c r="AC1908" s="3"/>
    </row>
    <row r="1909" spans="1:29" ht="26.5" customHeight="1">
      <c r="A1909" s="151" t="str">
        <f>'Reported burning'!A1909</f>
        <v>218e</v>
      </c>
      <c r="B1909" s="151" t="str">
        <f>'Reported burning'!B1909</f>
        <v>218e.5</v>
      </c>
      <c r="C1909" s="151" t="str">
        <f>'Reported burning'!C1909</f>
        <v>Human, deliberate</v>
      </c>
      <c r="D1909" s="151" t="str">
        <f>'Reported burning'!D1909</f>
        <v>Land clearance</v>
      </c>
      <c r="E1909" s="151" t="str">
        <f>'Reported burning'!E1909</f>
        <v>Cropping, Monoculture, Market-oriented</v>
      </c>
      <c r="F1909" s="151" t="str">
        <f>'Reported burning'!F1909</f>
        <v>Cropland</v>
      </c>
      <c r="G1909" s="151" t="str">
        <f>'Reported burning'!G1909</f>
        <v>ND</v>
      </c>
      <c r="H1909" s="151" t="str">
        <f>'Reported burning'!H1909</f>
        <v>Presence</v>
      </c>
      <c r="I1909" s="5"/>
      <c r="J1909" s="4" t="s">
        <v>2272</v>
      </c>
      <c r="K1909" s="4" t="s">
        <v>2272</v>
      </c>
      <c r="L1909" s="4" t="s">
        <v>2272</v>
      </c>
      <c r="M1909" s="4" t="s">
        <v>2272</v>
      </c>
      <c r="N1909" s="4" t="s">
        <v>2272</v>
      </c>
      <c r="O1909" s="4" t="s">
        <v>2272</v>
      </c>
      <c r="P1909" s="4" t="s">
        <v>2272</v>
      </c>
      <c r="Q1909" s="4" t="s">
        <v>2272</v>
      </c>
      <c r="R1909" s="4" t="s">
        <v>2272</v>
      </c>
      <c r="S1909" s="4" t="s">
        <v>2272</v>
      </c>
      <c r="T1909" s="4" t="s">
        <v>2272</v>
      </c>
      <c r="U1909" s="4" t="s">
        <v>2272</v>
      </c>
      <c r="V1909" s="4" t="s">
        <v>2272</v>
      </c>
      <c r="W1909" s="4" t="s">
        <v>2272</v>
      </c>
      <c r="X1909" s="4" t="s">
        <v>2272</v>
      </c>
      <c r="Y1909" s="4" t="s">
        <v>2272</v>
      </c>
      <c r="Z1909" s="4" t="s">
        <v>2272</v>
      </c>
      <c r="AA1909" s="4" t="s">
        <v>2272</v>
      </c>
      <c r="AB1909" s="3"/>
      <c r="AC1909" s="3"/>
    </row>
    <row r="1910" spans="1:29" ht="26.5" customHeight="1">
      <c r="A1910" s="151" t="str">
        <f>'Reported burning'!A1910</f>
        <v>218e</v>
      </c>
      <c r="B1910" s="151" t="str">
        <f>'Reported burning'!B1910</f>
        <v>218e.6</v>
      </c>
      <c r="C1910" s="151" t="str">
        <f>'Reported burning'!C1910</f>
        <v>Human, deliberate</v>
      </c>
      <c r="D1910" s="151" t="str">
        <f>'Reported burning'!D1910</f>
        <v>Vegetation management</v>
      </c>
      <c r="E1910" s="151" t="str">
        <f>'Reported burning'!E1910</f>
        <v>Cropping, Monoculture, Market-oriented</v>
      </c>
      <c r="F1910" s="151" t="str">
        <f>'Reported burning'!F1910</f>
        <v>Cropland</v>
      </c>
      <c r="G1910" s="151" t="str">
        <f>'Reported burning'!G1910</f>
        <v>ND</v>
      </c>
      <c r="H1910" s="151" t="str">
        <f>'Reported burning'!H1910</f>
        <v>Presence</v>
      </c>
      <c r="I1910" s="5"/>
      <c r="J1910" s="4" t="s">
        <v>2272</v>
      </c>
      <c r="K1910" s="4" t="s">
        <v>2272</v>
      </c>
      <c r="L1910" s="4" t="s">
        <v>2272</v>
      </c>
      <c r="M1910" s="4" t="s">
        <v>2272</v>
      </c>
      <c r="N1910" s="4" t="s">
        <v>2272</v>
      </c>
      <c r="O1910" s="4" t="s">
        <v>2272</v>
      </c>
      <c r="P1910" s="4" t="s">
        <v>2272</v>
      </c>
      <c r="Q1910" s="4" t="s">
        <v>2272</v>
      </c>
      <c r="R1910" s="4" t="s">
        <v>2272</v>
      </c>
      <c r="S1910" s="4" t="s">
        <v>2272</v>
      </c>
      <c r="T1910" s="4" t="s">
        <v>2272</v>
      </c>
      <c r="U1910" s="4" t="s">
        <v>2272</v>
      </c>
      <c r="V1910" s="4" t="s">
        <v>2272</v>
      </c>
      <c r="W1910" s="4" t="s">
        <v>2272</v>
      </c>
      <c r="X1910" s="4" t="s">
        <v>2272</v>
      </c>
      <c r="Y1910" s="4" t="s">
        <v>2272</v>
      </c>
      <c r="Z1910" s="4" t="s">
        <v>2272</v>
      </c>
      <c r="AA1910" s="4" t="s">
        <v>2272</v>
      </c>
      <c r="AB1910" s="3"/>
      <c r="AC1910" s="3"/>
    </row>
    <row r="1911" spans="1:29" ht="26.5" customHeight="1">
      <c r="A1911" s="151" t="str">
        <f>'Reported burning'!A1911</f>
        <v>218e</v>
      </c>
      <c r="B1911" s="151" t="str">
        <f>'Reported burning'!B1911</f>
        <v>218e.7</v>
      </c>
      <c r="C1911" s="151" t="str">
        <f>'Reported burning'!C1911</f>
        <v>Human, deliberate</v>
      </c>
      <c r="D1911" s="151" t="str">
        <f>'Reported burning'!D1911</f>
        <v>Hunting</v>
      </c>
      <c r="E1911" s="151" t="str">
        <f>'Reported burning'!E1911</f>
        <v>Tourism manager</v>
      </c>
      <c r="F1911" s="151" t="str">
        <f>'Reported burning'!F1911</f>
        <v>Shrubland (Mixed forest &amp; grassland)</v>
      </c>
      <c r="G1911" s="151" t="str">
        <f>'Reported burning'!G1911</f>
        <v>ND</v>
      </c>
      <c r="H1911" s="151" t="str">
        <f>'Reported burning'!H1911</f>
        <v>Presence</v>
      </c>
      <c r="I1911" s="5"/>
      <c r="J1911" s="4" t="s">
        <v>2272</v>
      </c>
      <c r="K1911" s="4" t="s">
        <v>2272</v>
      </c>
      <c r="L1911" s="4" t="s">
        <v>2272</v>
      </c>
      <c r="M1911" s="4" t="s">
        <v>2272</v>
      </c>
      <c r="N1911" s="4" t="s">
        <v>2272</v>
      </c>
      <c r="O1911" s="4" t="s">
        <v>2272</v>
      </c>
      <c r="P1911" s="4" t="s">
        <v>2272</v>
      </c>
      <c r="Q1911" s="4" t="s">
        <v>2272</v>
      </c>
      <c r="R1911" s="4" t="s">
        <v>2272</v>
      </c>
      <c r="S1911" s="4" t="s">
        <v>2272</v>
      </c>
      <c r="T1911" s="4" t="s">
        <v>2272</v>
      </c>
      <c r="U1911" s="4" t="s">
        <v>2272</v>
      </c>
      <c r="V1911" s="4" t="s">
        <v>2272</v>
      </c>
      <c r="W1911" s="4" t="s">
        <v>2272</v>
      </c>
      <c r="X1911" s="4" t="s">
        <v>2272</v>
      </c>
      <c r="Y1911" s="4" t="s">
        <v>2272</v>
      </c>
      <c r="Z1911" s="4" t="s">
        <v>2272</v>
      </c>
      <c r="AA1911" s="4" t="s">
        <v>2272</v>
      </c>
      <c r="AB1911" s="3"/>
      <c r="AC1911" s="3"/>
    </row>
    <row r="1912" spans="1:29" ht="26.5" customHeight="1">
      <c r="A1912" s="151" t="str">
        <f>'Reported burning'!A1912</f>
        <v>218e</v>
      </c>
      <c r="B1912" s="151" t="str">
        <f>'Reported burning'!B1912</f>
        <v>218e.8</v>
      </c>
      <c r="C1912" s="151" t="str">
        <f>'Reported burning'!C1912</f>
        <v>Human, deliberate</v>
      </c>
      <c r="D1912" s="151" t="str">
        <f>'Reported burning'!D1912</f>
        <v>Accessibility</v>
      </c>
      <c r="E1912" s="151" t="str">
        <f>'Reported burning'!E1912</f>
        <v>Tourism manager</v>
      </c>
      <c r="F1912" s="151" t="str">
        <f>'Reported burning'!F1912</f>
        <v>Shrubland (Mixed forest &amp; grassland)</v>
      </c>
      <c r="G1912" s="151" t="str">
        <f>'Reported burning'!G1912</f>
        <v>ND</v>
      </c>
      <c r="H1912" s="151" t="str">
        <f>'Reported burning'!H1912</f>
        <v>Presence</v>
      </c>
      <c r="I1912" s="5"/>
      <c r="J1912" s="4" t="s">
        <v>2272</v>
      </c>
      <c r="K1912" s="4" t="s">
        <v>2272</v>
      </c>
      <c r="L1912" s="4" t="s">
        <v>2272</v>
      </c>
      <c r="M1912" s="4" t="s">
        <v>2272</v>
      </c>
      <c r="N1912" s="4" t="s">
        <v>2272</v>
      </c>
      <c r="O1912" s="4" t="s">
        <v>2272</v>
      </c>
      <c r="P1912" s="4" t="s">
        <v>2272</v>
      </c>
      <c r="Q1912" s="4" t="s">
        <v>2272</v>
      </c>
      <c r="R1912" s="4" t="s">
        <v>2272</v>
      </c>
      <c r="S1912" s="4" t="s">
        <v>2272</v>
      </c>
      <c r="T1912" s="4" t="s">
        <v>2272</v>
      </c>
      <c r="U1912" s="4" t="s">
        <v>2272</v>
      </c>
      <c r="V1912" s="4" t="s">
        <v>2272</v>
      </c>
      <c r="W1912" s="4" t="s">
        <v>2272</v>
      </c>
      <c r="X1912" s="4" t="s">
        <v>2272</v>
      </c>
      <c r="Y1912" s="4" t="s">
        <v>2272</v>
      </c>
      <c r="Z1912" s="4" t="s">
        <v>2272</v>
      </c>
      <c r="AA1912" s="4" t="s">
        <v>2272</v>
      </c>
      <c r="AB1912" s="3"/>
      <c r="AC1912" s="3"/>
    </row>
    <row r="1913" spans="1:29" ht="26.5" customHeight="1">
      <c r="A1913" s="151" t="str">
        <f>'Reported burning'!A1913</f>
        <v>218e</v>
      </c>
      <c r="B1913" s="151" t="str">
        <f>'Reported burning'!B1913</f>
        <v>218e.9</v>
      </c>
      <c r="C1913" s="151" t="str">
        <f>'Reported burning'!C1913</f>
        <v>Human, deliberate</v>
      </c>
      <c r="D1913" s="151" t="str">
        <f>'Reported burning'!D1913</f>
        <v>Harvesting of Timber</v>
      </c>
      <c r="E1913" s="151" t="str">
        <f>'Reported burning'!E1913</f>
        <v>Forestry, Industrial</v>
      </c>
      <c r="F1913" s="151" t="str">
        <f>'Reported burning'!F1913</f>
        <v>Forest</v>
      </c>
      <c r="G1913" s="151" t="str">
        <f>'Reported burning'!G1913</f>
        <v>ND</v>
      </c>
      <c r="H1913" s="151" t="str">
        <f>'Reported burning'!H1913</f>
        <v>Presence</v>
      </c>
      <c r="I1913" s="5"/>
      <c r="J1913" s="4" t="s">
        <v>2272</v>
      </c>
      <c r="K1913" s="4" t="s">
        <v>2272</v>
      </c>
      <c r="L1913" s="4" t="s">
        <v>2272</v>
      </c>
      <c r="M1913" s="4" t="s">
        <v>2272</v>
      </c>
      <c r="N1913" s="4" t="s">
        <v>2272</v>
      </c>
      <c r="O1913" s="4" t="s">
        <v>2272</v>
      </c>
      <c r="P1913" s="4" t="s">
        <v>2272</v>
      </c>
      <c r="Q1913" s="4" t="s">
        <v>2272</v>
      </c>
      <c r="R1913" s="4" t="s">
        <v>2272</v>
      </c>
      <c r="S1913" s="4" t="s">
        <v>2272</v>
      </c>
      <c r="T1913" s="4" t="s">
        <v>2272</v>
      </c>
      <c r="U1913" s="4" t="s">
        <v>2272</v>
      </c>
      <c r="V1913" s="4" t="s">
        <v>2272</v>
      </c>
      <c r="W1913" s="4" t="s">
        <v>2272</v>
      </c>
      <c r="X1913" s="4" t="s">
        <v>2272</v>
      </c>
      <c r="Y1913" s="4" t="s">
        <v>2272</v>
      </c>
      <c r="Z1913" s="4" t="s">
        <v>2272</v>
      </c>
      <c r="AA1913" s="4" t="s">
        <v>2272</v>
      </c>
      <c r="AB1913" s="3"/>
      <c r="AC1913" s="3"/>
    </row>
    <row r="1914" spans="1:29">
      <c r="A1914" s="151" t="str">
        <f>'Reported burning'!A1914</f>
        <v>219a</v>
      </c>
      <c r="B1914" s="151" t="str">
        <f>'Reported burning'!B1914</f>
        <v>219a.1</v>
      </c>
      <c r="C1914" s="151" t="str">
        <f>'Reported burning'!C1914</f>
        <v>Human, deliberate</v>
      </c>
      <c r="D1914" s="151" t="str">
        <f>'Reported burning'!D1914</f>
        <v>Crop field preparation</v>
      </c>
      <c r="E1914" s="151" t="str">
        <f>'Reported burning'!E1914</f>
        <v>Cropping, Swidden</v>
      </c>
      <c r="F1914" s="151" t="str">
        <f>'Reported burning'!F1914</f>
        <v>Secondary vegetation</v>
      </c>
      <c r="G1914" s="151" t="str">
        <f>'Reported burning'!G1914</f>
        <v>ND</v>
      </c>
      <c r="H1914" s="151" t="str">
        <f>'Reported burning'!H1914</f>
        <v>Presence</v>
      </c>
      <c r="I1914" s="5"/>
      <c r="J1914" s="4" t="s">
        <v>2272</v>
      </c>
      <c r="K1914" s="4" t="s">
        <v>2272</v>
      </c>
      <c r="L1914" s="4" t="s">
        <v>2272</v>
      </c>
      <c r="M1914" s="4" t="s">
        <v>2272</v>
      </c>
      <c r="N1914" s="4" t="s">
        <v>2272</v>
      </c>
      <c r="O1914" s="4" t="s">
        <v>2272</v>
      </c>
      <c r="P1914" s="4" t="s">
        <v>2272</v>
      </c>
      <c r="Q1914" s="4" t="s">
        <v>2272</v>
      </c>
      <c r="R1914" s="4" t="s">
        <v>2272</v>
      </c>
      <c r="S1914" s="4" t="s">
        <v>2272</v>
      </c>
      <c r="T1914" s="4" t="s">
        <v>2272</v>
      </c>
      <c r="U1914" s="4" t="s">
        <v>2272</v>
      </c>
      <c r="V1914" s="4" t="s">
        <v>2272</v>
      </c>
      <c r="W1914" s="4" t="s">
        <v>2272</v>
      </c>
      <c r="X1914" s="4" t="s">
        <v>2272</v>
      </c>
      <c r="Y1914" s="4" t="s">
        <v>2272</v>
      </c>
      <c r="Z1914" s="4" t="s">
        <v>2272</v>
      </c>
      <c r="AA1914" s="4" t="s">
        <v>2272</v>
      </c>
      <c r="AB1914" s="3"/>
      <c r="AC1914" s="3"/>
    </row>
    <row r="1915" spans="1:29">
      <c r="A1915" s="151" t="str">
        <f>'Reported burning'!A1915</f>
        <v>219b</v>
      </c>
      <c r="B1915" s="151" t="str">
        <f>'Reported burning'!B1915</f>
        <v>219b.1</v>
      </c>
      <c r="C1915" s="151" t="str">
        <f>'Reported burning'!C1915</f>
        <v>Human, deliberate</v>
      </c>
      <c r="D1915" s="151" t="str">
        <f>'Reported burning'!D1915</f>
        <v>Crop field preparation</v>
      </c>
      <c r="E1915" s="151" t="str">
        <f>'Reported burning'!E1915</f>
        <v>Cropping, Swidden</v>
      </c>
      <c r="F1915" s="151" t="str">
        <f>'Reported burning'!F1915</f>
        <v>Secondary vegetation</v>
      </c>
      <c r="G1915" s="151" t="str">
        <f>'Reported burning'!G1915</f>
        <v>ND</v>
      </c>
      <c r="H1915" s="151" t="str">
        <f>'Reported burning'!H1915</f>
        <v>Presence</v>
      </c>
      <c r="I1915" s="5"/>
      <c r="J1915" s="4" t="s">
        <v>2272</v>
      </c>
      <c r="K1915" s="4" t="s">
        <v>2272</v>
      </c>
      <c r="L1915" s="4" t="s">
        <v>2272</v>
      </c>
      <c r="M1915" s="4" t="s">
        <v>2272</v>
      </c>
      <c r="N1915" s="4" t="s">
        <v>2272</v>
      </c>
      <c r="O1915" s="4" t="s">
        <v>2272</v>
      </c>
      <c r="P1915" s="4" t="s">
        <v>2272</v>
      </c>
      <c r="Q1915" s="4" t="s">
        <v>2272</v>
      </c>
      <c r="R1915" s="4" t="s">
        <v>2272</v>
      </c>
      <c r="S1915" s="4" t="s">
        <v>2272</v>
      </c>
      <c r="T1915" s="4" t="s">
        <v>2272</v>
      </c>
      <c r="U1915" s="4" t="s">
        <v>2272</v>
      </c>
      <c r="V1915" s="4" t="s">
        <v>2272</v>
      </c>
      <c r="W1915" s="4" t="s">
        <v>2272</v>
      </c>
      <c r="X1915" s="4" t="s">
        <v>2272</v>
      </c>
      <c r="Y1915" s="4" t="s">
        <v>2272</v>
      </c>
      <c r="Z1915" s="4" t="s">
        <v>2272</v>
      </c>
      <c r="AA1915" s="4" t="s">
        <v>2272</v>
      </c>
      <c r="AB1915" s="3"/>
      <c r="AC1915" s="3"/>
    </row>
    <row r="1916" spans="1:29">
      <c r="A1916" s="151" t="str">
        <f>'Reported burning'!A1916</f>
        <v>219c</v>
      </c>
      <c r="B1916" s="151" t="str">
        <f>'Reported burning'!B1916</f>
        <v>219c.1</v>
      </c>
      <c r="C1916" s="151" t="str">
        <f>'Reported burning'!C1916</f>
        <v>Human, deliberate</v>
      </c>
      <c r="D1916" s="151" t="str">
        <f>'Reported burning'!D1916</f>
        <v>Crop field preparation</v>
      </c>
      <c r="E1916" s="151" t="str">
        <f>'Reported burning'!E1916</f>
        <v>Cropping, Swidden</v>
      </c>
      <c r="F1916" s="151" t="str">
        <f>'Reported burning'!F1916</f>
        <v>Secondary vegetation</v>
      </c>
      <c r="G1916" s="151" t="str">
        <f>'Reported burning'!G1916</f>
        <v>ND</v>
      </c>
      <c r="H1916" s="151" t="str">
        <f>'Reported burning'!H1916</f>
        <v>Presence</v>
      </c>
      <c r="I1916" s="5"/>
      <c r="J1916" s="4" t="s">
        <v>2272</v>
      </c>
      <c r="K1916" s="4" t="s">
        <v>2272</v>
      </c>
      <c r="L1916" s="4" t="s">
        <v>2272</v>
      </c>
      <c r="M1916" s="4" t="s">
        <v>2272</v>
      </c>
      <c r="N1916" s="4" t="s">
        <v>2272</v>
      </c>
      <c r="O1916" s="4" t="s">
        <v>2272</v>
      </c>
      <c r="P1916" s="4" t="s">
        <v>2272</v>
      </c>
      <c r="Q1916" s="4" t="s">
        <v>2272</v>
      </c>
      <c r="R1916" s="4" t="s">
        <v>2272</v>
      </c>
      <c r="S1916" s="4" t="s">
        <v>2272</v>
      </c>
      <c r="T1916" s="4" t="s">
        <v>2272</v>
      </c>
      <c r="U1916" s="4" t="s">
        <v>2272</v>
      </c>
      <c r="V1916" s="4" t="s">
        <v>2272</v>
      </c>
      <c r="W1916" s="4" t="s">
        <v>2272</v>
      </c>
      <c r="X1916" s="4" t="s">
        <v>2272</v>
      </c>
      <c r="Y1916" s="4" t="s">
        <v>2272</v>
      </c>
      <c r="Z1916" s="4" t="s">
        <v>2272</v>
      </c>
      <c r="AA1916" s="4" t="s">
        <v>2272</v>
      </c>
      <c r="AB1916" s="3"/>
      <c r="AC1916" s="3"/>
    </row>
    <row r="1917" spans="1:29">
      <c r="A1917" s="151" t="str">
        <f>'Reported burning'!A1917</f>
        <v>219d</v>
      </c>
      <c r="B1917" s="151" t="str">
        <f>'Reported burning'!B1917</f>
        <v>219d.1</v>
      </c>
      <c r="C1917" s="151" t="str">
        <f>'Reported burning'!C1917</f>
        <v>Human, deliberate</v>
      </c>
      <c r="D1917" s="151" t="str">
        <f>'Reported burning'!D1917</f>
        <v>Crop field preparation</v>
      </c>
      <c r="E1917" s="151" t="str">
        <f>'Reported burning'!E1917</f>
        <v>Cropping, Swidden</v>
      </c>
      <c r="F1917" s="151" t="str">
        <f>'Reported burning'!F1917</f>
        <v>Secondary vegetation</v>
      </c>
      <c r="G1917" s="151" t="str">
        <f>'Reported burning'!G1917</f>
        <v>ND</v>
      </c>
      <c r="H1917" s="151" t="str">
        <f>'Reported burning'!H1917</f>
        <v>Presence</v>
      </c>
      <c r="I1917" s="5"/>
      <c r="J1917" s="4" t="s">
        <v>2272</v>
      </c>
      <c r="K1917" s="4" t="s">
        <v>2272</v>
      </c>
      <c r="L1917" s="4" t="s">
        <v>2272</v>
      </c>
      <c r="M1917" s="4" t="s">
        <v>2272</v>
      </c>
      <c r="N1917" s="4" t="s">
        <v>2272</v>
      </c>
      <c r="O1917" s="4" t="s">
        <v>2272</v>
      </c>
      <c r="P1917" s="4" t="s">
        <v>2272</v>
      </c>
      <c r="Q1917" s="4" t="s">
        <v>2272</v>
      </c>
      <c r="R1917" s="4" t="s">
        <v>2272</v>
      </c>
      <c r="S1917" s="4" t="s">
        <v>2272</v>
      </c>
      <c r="T1917" s="4" t="s">
        <v>2272</v>
      </c>
      <c r="U1917" s="4" t="s">
        <v>2272</v>
      </c>
      <c r="V1917" s="4" t="s">
        <v>2272</v>
      </c>
      <c r="W1917" s="4" t="s">
        <v>2272</v>
      </c>
      <c r="X1917" s="4" t="s">
        <v>2272</v>
      </c>
      <c r="Y1917" s="4" t="s">
        <v>2272</v>
      </c>
      <c r="Z1917" s="4" t="s">
        <v>2272</v>
      </c>
      <c r="AA1917" s="4" t="s">
        <v>2272</v>
      </c>
      <c r="AB1917" s="3"/>
      <c r="AC1917" s="3"/>
    </row>
    <row r="1918" spans="1:29">
      <c r="A1918" s="151" t="str">
        <f>'Reported burning'!A1918</f>
        <v>219e</v>
      </c>
      <c r="B1918" s="151" t="str">
        <f>'Reported burning'!B1918</f>
        <v>219e.1</v>
      </c>
      <c r="C1918" s="151" t="str">
        <f>'Reported burning'!C1918</f>
        <v>Human, deliberate</v>
      </c>
      <c r="D1918" s="151" t="str">
        <f>'Reported burning'!D1918</f>
        <v>Crop field preparation</v>
      </c>
      <c r="E1918" s="151" t="str">
        <f>'Reported burning'!E1918</f>
        <v>Cropping, Swidden</v>
      </c>
      <c r="F1918" s="151" t="str">
        <f>'Reported burning'!F1918</f>
        <v>Secondary vegetation</v>
      </c>
      <c r="G1918" s="151" t="str">
        <f>'Reported burning'!G1918</f>
        <v>ND</v>
      </c>
      <c r="H1918" s="151" t="str">
        <f>'Reported burning'!H1918</f>
        <v>Presence</v>
      </c>
      <c r="I1918" s="5"/>
      <c r="J1918" s="4" t="s">
        <v>2272</v>
      </c>
      <c r="K1918" s="4" t="s">
        <v>2272</v>
      </c>
      <c r="L1918" s="4" t="s">
        <v>2272</v>
      </c>
      <c r="M1918" s="4" t="s">
        <v>2272</v>
      </c>
      <c r="N1918" s="4" t="s">
        <v>2272</v>
      </c>
      <c r="O1918" s="4" t="s">
        <v>2272</v>
      </c>
      <c r="P1918" s="4" t="s">
        <v>2272</v>
      </c>
      <c r="Q1918" s="4" t="s">
        <v>2272</v>
      </c>
      <c r="R1918" s="4" t="s">
        <v>2272</v>
      </c>
      <c r="S1918" s="4" t="s">
        <v>2272</v>
      </c>
      <c r="T1918" s="4" t="s">
        <v>2272</v>
      </c>
      <c r="U1918" s="4" t="s">
        <v>2272</v>
      </c>
      <c r="V1918" s="4" t="s">
        <v>2272</v>
      </c>
      <c r="W1918" s="4" t="s">
        <v>2272</v>
      </c>
      <c r="X1918" s="4" t="s">
        <v>2272</v>
      </c>
      <c r="Y1918" s="4" t="s">
        <v>2272</v>
      </c>
      <c r="Z1918" s="4" t="s">
        <v>2272</v>
      </c>
      <c r="AA1918" s="4" t="s">
        <v>2272</v>
      </c>
      <c r="AB1918" s="3"/>
      <c r="AC1918" s="3"/>
    </row>
    <row r="1919" spans="1:29">
      <c r="A1919" s="151" t="str">
        <f>'Reported burning'!A1919</f>
        <v>219f</v>
      </c>
      <c r="B1919" s="151" t="str">
        <f>'Reported burning'!B1919</f>
        <v>219f.1</v>
      </c>
      <c r="C1919" s="151" t="str">
        <f>'Reported burning'!C1919</f>
        <v>Human, deliberate</v>
      </c>
      <c r="D1919" s="151" t="str">
        <f>'Reported burning'!D1919</f>
        <v>Crop field preparation</v>
      </c>
      <c r="E1919" s="151" t="str">
        <f>'Reported burning'!E1919</f>
        <v>Cropping, Swidden</v>
      </c>
      <c r="F1919" s="151" t="str">
        <f>'Reported burning'!F1919</f>
        <v>Secondary vegetation</v>
      </c>
      <c r="G1919" s="151" t="str">
        <f>'Reported burning'!G1919</f>
        <v>ND</v>
      </c>
      <c r="H1919" s="151" t="str">
        <f>'Reported burning'!H1919</f>
        <v>Presence</v>
      </c>
      <c r="I1919" s="5"/>
      <c r="J1919" s="4" t="s">
        <v>2272</v>
      </c>
      <c r="K1919" s="4" t="s">
        <v>2272</v>
      </c>
      <c r="L1919" s="4" t="s">
        <v>2272</v>
      </c>
      <c r="M1919" s="4" t="s">
        <v>2272</v>
      </c>
      <c r="N1919" s="4" t="s">
        <v>2272</v>
      </c>
      <c r="O1919" s="4" t="s">
        <v>2272</v>
      </c>
      <c r="P1919" s="4" t="s">
        <v>2272</v>
      </c>
      <c r="Q1919" s="4" t="s">
        <v>2272</v>
      </c>
      <c r="R1919" s="4" t="s">
        <v>2272</v>
      </c>
      <c r="S1919" s="4" t="s">
        <v>2272</v>
      </c>
      <c r="T1919" s="4" t="s">
        <v>2272</v>
      </c>
      <c r="U1919" s="4" t="s">
        <v>2272</v>
      </c>
      <c r="V1919" s="4" t="s">
        <v>2272</v>
      </c>
      <c r="W1919" s="4" t="s">
        <v>2272</v>
      </c>
      <c r="X1919" s="4" t="s">
        <v>2272</v>
      </c>
      <c r="Y1919" s="4" t="s">
        <v>2272</v>
      </c>
      <c r="Z1919" s="4" t="s">
        <v>2272</v>
      </c>
      <c r="AA1919" s="4" t="s">
        <v>2272</v>
      </c>
      <c r="AB1919" s="3"/>
      <c r="AC1919" s="3"/>
    </row>
    <row r="1920" spans="1:29">
      <c r="A1920" s="151" t="str">
        <f>'Reported burning'!A1920</f>
        <v>219g</v>
      </c>
      <c r="B1920" s="151" t="str">
        <f>'Reported burning'!B1920</f>
        <v>219g.1</v>
      </c>
      <c r="C1920" s="151" t="str">
        <f>'Reported burning'!C1920</f>
        <v>Human, deliberate</v>
      </c>
      <c r="D1920" s="151" t="str">
        <f>'Reported burning'!D1920</f>
        <v>Crop field preparation</v>
      </c>
      <c r="E1920" s="151" t="str">
        <f>'Reported burning'!E1920</f>
        <v>Cropping, Swidden</v>
      </c>
      <c r="F1920" s="151" t="str">
        <f>'Reported burning'!F1920</f>
        <v>Secondary vegetation</v>
      </c>
      <c r="G1920" s="151" t="str">
        <f>'Reported burning'!G1920</f>
        <v>ND</v>
      </c>
      <c r="H1920" s="151" t="str">
        <f>'Reported burning'!H1920</f>
        <v>Presence</v>
      </c>
      <c r="I1920" s="5"/>
      <c r="J1920" s="4" t="s">
        <v>2272</v>
      </c>
      <c r="K1920" s="4" t="s">
        <v>2272</v>
      </c>
      <c r="L1920" s="4" t="s">
        <v>2272</v>
      </c>
      <c r="M1920" s="4" t="s">
        <v>2272</v>
      </c>
      <c r="N1920" s="4" t="s">
        <v>2272</v>
      </c>
      <c r="O1920" s="4" t="s">
        <v>2272</v>
      </c>
      <c r="P1920" s="4" t="s">
        <v>2272</v>
      </c>
      <c r="Q1920" s="4" t="s">
        <v>2272</v>
      </c>
      <c r="R1920" s="4" t="s">
        <v>2272</v>
      </c>
      <c r="S1920" s="4" t="s">
        <v>2272</v>
      </c>
      <c r="T1920" s="4" t="s">
        <v>2272</v>
      </c>
      <c r="U1920" s="4" t="s">
        <v>2272</v>
      </c>
      <c r="V1920" s="4" t="s">
        <v>2272</v>
      </c>
      <c r="W1920" s="4" t="s">
        <v>2272</v>
      </c>
      <c r="X1920" s="4" t="s">
        <v>2272</v>
      </c>
      <c r="Y1920" s="4" t="s">
        <v>2272</v>
      </c>
      <c r="Z1920" s="4" t="s">
        <v>2272</v>
      </c>
      <c r="AA1920" s="4" t="s">
        <v>2272</v>
      </c>
      <c r="AB1920" s="3"/>
      <c r="AC1920" s="3"/>
    </row>
    <row r="1921" spans="1:29">
      <c r="A1921" s="151" t="str">
        <f>'Reported burning'!A1921</f>
        <v>219h</v>
      </c>
      <c r="B1921" s="151" t="str">
        <f>'Reported burning'!B1921</f>
        <v>219h.1</v>
      </c>
      <c r="C1921" s="151" t="str">
        <f>'Reported burning'!C1921</f>
        <v>Human, deliberate</v>
      </c>
      <c r="D1921" s="151" t="str">
        <f>'Reported burning'!D1921</f>
        <v>Crop field preparation</v>
      </c>
      <c r="E1921" s="151" t="str">
        <f>'Reported burning'!E1921</f>
        <v>Cropping, Swidden</v>
      </c>
      <c r="F1921" s="151" t="str">
        <f>'Reported burning'!F1921</f>
        <v>Secondary vegetation</v>
      </c>
      <c r="G1921" s="151" t="str">
        <f>'Reported burning'!G1921</f>
        <v>ND</v>
      </c>
      <c r="H1921" s="151" t="str">
        <f>'Reported burning'!H1921</f>
        <v>Presence</v>
      </c>
      <c r="I1921" s="5"/>
      <c r="J1921" s="4" t="s">
        <v>2272</v>
      </c>
      <c r="K1921" s="4" t="s">
        <v>2272</v>
      </c>
      <c r="L1921" s="4" t="s">
        <v>2272</v>
      </c>
      <c r="M1921" s="4" t="s">
        <v>2272</v>
      </c>
      <c r="N1921" s="4" t="s">
        <v>2272</v>
      </c>
      <c r="O1921" s="4" t="s">
        <v>2272</v>
      </c>
      <c r="P1921" s="4" t="s">
        <v>2272</v>
      </c>
      <c r="Q1921" s="4" t="s">
        <v>2272</v>
      </c>
      <c r="R1921" s="4" t="s">
        <v>2272</v>
      </c>
      <c r="S1921" s="4" t="s">
        <v>2272</v>
      </c>
      <c r="T1921" s="4" t="s">
        <v>2272</v>
      </c>
      <c r="U1921" s="4" t="s">
        <v>2272</v>
      </c>
      <c r="V1921" s="4" t="s">
        <v>2272</v>
      </c>
      <c r="W1921" s="4" t="s">
        <v>2272</v>
      </c>
      <c r="X1921" s="4" t="s">
        <v>2272</v>
      </c>
      <c r="Y1921" s="4" t="s">
        <v>2272</v>
      </c>
      <c r="Z1921" s="4" t="s">
        <v>2272</v>
      </c>
      <c r="AA1921" s="4" t="s">
        <v>2272</v>
      </c>
      <c r="AB1921" s="3"/>
      <c r="AC1921" s="3"/>
    </row>
    <row r="1922" spans="1:29" ht="29">
      <c r="A1922" s="151" t="str">
        <f>'Reported burning'!A1922</f>
        <v>219a</v>
      </c>
      <c r="B1922" s="151" t="str">
        <f>'Reported burning'!B1922</f>
        <v>219a.2</v>
      </c>
      <c r="C1922" s="151" t="str">
        <f>'Reported burning'!C1922</f>
        <v>Human, deliberate</v>
      </c>
      <c r="D1922" s="151" t="str">
        <f>'Reported burning'!D1922</f>
        <v>Crop field preparation</v>
      </c>
      <c r="E1922" s="151" t="str">
        <f>'Reported burning'!E1922</f>
        <v>Cropping, Monoculture, Subsistence-oriented</v>
      </c>
      <c r="F1922" s="151" t="str">
        <f>'Reported burning'!F1922</f>
        <v>ND</v>
      </c>
      <c r="G1922" s="151" t="str">
        <f>'Reported burning'!G1922</f>
        <v>ND</v>
      </c>
      <c r="H1922" s="151"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21">
        <v>0</v>
      </c>
      <c r="X1922" s="4" t="s">
        <v>2272</v>
      </c>
      <c r="Y1922" s="4" t="s">
        <v>2272</v>
      </c>
      <c r="Z1922" s="4" t="s">
        <v>2272</v>
      </c>
      <c r="AA1922" s="4" t="s">
        <v>2272</v>
      </c>
      <c r="AB1922" s="4" t="s">
        <v>5569</v>
      </c>
      <c r="AC1922" s="3"/>
    </row>
    <row r="1923" spans="1:29" ht="29">
      <c r="A1923" s="151" t="str">
        <f>'Reported burning'!A1923</f>
        <v>219b</v>
      </c>
      <c r="B1923" s="151" t="str">
        <f>'Reported burning'!B1923</f>
        <v>219b.2</v>
      </c>
      <c r="C1923" s="151" t="str">
        <f>'Reported burning'!C1923</f>
        <v>Human, deliberate</v>
      </c>
      <c r="D1923" s="151" t="str">
        <f>'Reported burning'!D1923</f>
        <v>Crop field preparation</v>
      </c>
      <c r="E1923" s="151" t="str">
        <f>'Reported burning'!E1923</f>
        <v>Cropping, Monoculture, Subsistence-oriented</v>
      </c>
      <c r="F1923" s="151" t="str">
        <f>'Reported burning'!F1923</f>
        <v>ND</v>
      </c>
      <c r="G1923" s="151" t="str">
        <f>'Reported burning'!G1923</f>
        <v>ND</v>
      </c>
      <c r="H1923" s="151"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21">
        <v>0</v>
      </c>
      <c r="X1923" s="4" t="s">
        <v>2272</v>
      </c>
      <c r="Y1923" s="4" t="s">
        <v>2272</v>
      </c>
      <c r="Z1923" s="4" t="s">
        <v>2272</v>
      </c>
      <c r="AA1923" s="4" t="s">
        <v>2272</v>
      </c>
      <c r="AB1923" s="4" t="s">
        <v>5569</v>
      </c>
      <c r="AC1923" s="3"/>
    </row>
    <row r="1924" spans="1:29" ht="29">
      <c r="A1924" s="151" t="str">
        <f>'Reported burning'!A1924</f>
        <v>219c</v>
      </c>
      <c r="B1924" s="151" t="str">
        <f>'Reported burning'!B1924</f>
        <v>219c.2</v>
      </c>
      <c r="C1924" s="151" t="str">
        <f>'Reported burning'!C1924</f>
        <v>Human, deliberate</v>
      </c>
      <c r="D1924" s="151" t="str">
        <f>'Reported burning'!D1924</f>
        <v>Crop field preparation</v>
      </c>
      <c r="E1924" s="151" t="str">
        <f>'Reported burning'!E1924</f>
        <v>Cropping, Monoculture, Subsistence-oriented</v>
      </c>
      <c r="F1924" s="151" t="str">
        <f>'Reported burning'!F1924</f>
        <v>ND</v>
      </c>
      <c r="G1924" s="151" t="str">
        <f>'Reported burning'!G1924</f>
        <v>ND</v>
      </c>
      <c r="H1924" s="151"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21">
        <v>0</v>
      </c>
      <c r="X1924" s="4" t="s">
        <v>2272</v>
      </c>
      <c r="Y1924" s="4" t="s">
        <v>2272</v>
      </c>
      <c r="Z1924" s="4" t="s">
        <v>2272</v>
      </c>
      <c r="AA1924" s="4" t="s">
        <v>2272</v>
      </c>
      <c r="AB1924" s="4" t="s">
        <v>5569</v>
      </c>
      <c r="AC1924" s="3"/>
    </row>
    <row r="1925" spans="1:29" ht="29">
      <c r="A1925" s="151" t="str">
        <f>'Reported burning'!A1925</f>
        <v>219d</v>
      </c>
      <c r="B1925" s="151" t="str">
        <f>'Reported burning'!B1925</f>
        <v>219d.2</v>
      </c>
      <c r="C1925" s="151" t="str">
        <f>'Reported burning'!C1925</f>
        <v>Human, deliberate</v>
      </c>
      <c r="D1925" s="151" t="str">
        <f>'Reported burning'!D1925</f>
        <v>Crop field preparation</v>
      </c>
      <c r="E1925" s="151" t="str">
        <f>'Reported burning'!E1925</f>
        <v>Cropping, Monoculture, Subsistence-oriented</v>
      </c>
      <c r="F1925" s="151" t="str">
        <f>'Reported burning'!F1925</f>
        <v>ND</v>
      </c>
      <c r="G1925" s="151" t="str">
        <f>'Reported burning'!G1925</f>
        <v>ND</v>
      </c>
      <c r="H1925" s="151"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21">
        <v>0</v>
      </c>
      <c r="X1925" s="4" t="s">
        <v>2272</v>
      </c>
      <c r="Y1925" s="4" t="s">
        <v>2272</v>
      </c>
      <c r="Z1925" s="4" t="s">
        <v>2272</v>
      </c>
      <c r="AA1925" s="4" t="s">
        <v>2272</v>
      </c>
      <c r="AB1925" s="4" t="s">
        <v>5569</v>
      </c>
      <c r="AC1925" s="3"/>
    </row>
    <row r="1926" spans="1:29" ht="29">
      <c r="A1926" s="151" t="str">
        <f>'Reported burning'!A1926</f>
        <v>219e</v>
      </c>
      <c r="B1926" s="151" t="str">
        <f>'Reported burning'!B1926</f>
        <v>219e.2</v>
      </c>
      <c r="C1926" s="151" t="str">
        <f>'Reported burning'!C1926</f>
        <v>Human, deliberate</v>
      </c>
      <c r="D1926" s="151" t="str">
        <f>'Reported burning'!D1926</f>
        <v>Crop field preparation</v>
      </c>
      <c r="E1926" s="151" t="str">
        <f>'Reported burning'!E1926</f>
        <v>Cropping, Monoculture, Subsistence-oriented</v>
      </c>
      <c r="F1926" s="151" t="str">
        <f>'Reported burning'!F1926</f>
        <v>ND</v>
      </c>
      <c r="G1926" s="151" t="str">
        <f>'Reported burning'!G1926</f>
        <v>ND</v>
      </c>
      <c r="H1926" s="151"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21">
        <v>0</v>
      </c>
      <c r="X1926" s="4" t="s">
        <v>2272</v>
      </c>
      <c r="Y1926" s="4" t="s">
        <v>2272</v>
      </c>
      <c r="Z1926" s="4" t="s">
        <v>2272</v>
      </c>
      <c r="AA1926" s="4" t="s">
        <v>2272</v>
      </c>
      <c r="AB1926" s="4" t="s">
        <v>5569</v>
      </c>
      <c r="AC1926" s="3"/>
    </row>
    <row r="1927" spans="1:29" ht="29">
      <c r="A1927" s="151" t="str">
        <f>'Reported burning'!A1927</f>
        <v>219f</v>
      </c>
      <c r="B1927" s="151" t="str">
        <f>'Reported burning'!B1927</f>
        <v>219f.2</v>
      </c>
      <c r="C1927" s="151" t="str">
        <f>'Reported burning'!C1927</f>
        <v>Human, deliberate</v>
      </c>
      <c r="D1927" s="151" t="str">
        <f>'Reported burning'!D1927</f>
        <v>Crop field preparation</v>
      </c>
      <c r="E1927" s="151" t="str">
        <f>'Reported burning'!E1927</f>
        <v>Cropping, Monoculture, Subsistence-oriented</v>
      </c>
      <c r="F1927" s="151" t="str">
        <f>'Reported burning'!F1927</f>
        <v>ND</v>
      </c>
      <c r="G1927" s="151" t="str">
        <f>'Reported burning'!G1927</f>
        <v>ND</v>
      </c>
      <c r="H1927" s="151"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21">
        <v>0</v>
      </c>
      <c r="X1927" s="4" t="s">
        <v>2272</v>
      </c>
      <c r="Y1927" s="4" t="s">
        <v>2272</v>
      </c>
      <c r="Z1927" s="4" t="s">
        <v>2272</v>
      </c>
      <c r="AA1927" s="4" t="s">
        <v>2272</v>
      </c>
      <c r="AB1927" s="4" t="s">
        <v>5569</v>
      </c>
      <c r="AC1927" s="3"/>
    </row>
    <row r="1928" spans="1:29" ht="29">
      <c r="A1928" s="151" t="str">
        <f>'Reported burning'!A1928</f>
        <v>219g</v>
      </c>
      <c r="B1928" s="151" t="str">
        <f>'Reported burning'!B1928</f>
        <v>219g.2</v>
      </c>
      <c r="C1928" s="151" t="str">
        <f>'Reported burning'!C1928</f>
        <v>Human, deliberate</v>
      </c>
      <c r="D1928" s="151" t="str">
        <f>'Reported burning'!D1928</f>
        <v>Crop field preparation</v>
      </c>
      <c r="E1928" s="151" t="str">
        <f>'Reported burning'!E1928</f>
        <v>Cropping, Monoculture, Subsistence-oriented</v>
      </c>
      <c r="F1928" s="151" t="str">
        <f>'Reported burning'!F1928</f>
        <v>ND</v>
      </c>
      <c r="G1928" s="151" t="str">
        <f>'Reported burning'!G1928</f>
        <v>ND</v>
      </c>
      <c r="H1928" s="151"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21">
        <v>0</v>
      </c>
      <c r="X1928" s="4" t="s">
        <v>2272</v>
      </c>
      <c r="Y1928" s="4" t="s">
        <v>2272</v>
      </c>
      <c r="Z1928" s="4" t="s">
        <v>2272</v>
      </c>
      <c r="AA1928" s="4" t="s">
        <v>2272</v>
      </c>
      <c r="AB1928" s="4" t="s">
        <v>5569</v>
      </c>
      <c r="AC1928" s="3"/>
    </row>
    <row r="1929" spans="1:29" ht="29">
      <c r="A1929" s="151" t="str">
        <f>'Reported burning'!A1929</f>
        <v>219h</v>
      </c>
      <c r="B1929" s="151" t="str">
        <f>'Reported burning'!B1929</f>
        <v>219h.2</v>
      </c>
      <c r="C1929" s="151" t="str">
        <f>'Reported burning'!C1929</f>
        <v>Human, deliberate</v>
      </c>
      <c r="D1929" s="151" t="str">
        <f>'Reported burning'!D1929</f>
        <v>Crop field preparation</v>
      </c>
      <c r="E1929" s="151" t="str">
        <f>'Reported burning'!E1929</f>
        <v>Cropping, Monoculture, Subsistence-oriented</v>
      </c>
      <c r="F1929" s="151" t="str">
        <f>'Reported burning'!F1929</f>
        <v>ND</v>
      </c>
      <c r="G1929" s="151" t="str">
        <f>'Reported burning'!G1929</f>
        <v>ND</v>
      </c>
      <c r="H1929" s="151"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21">
        <v>0</v>
      </c>
      <c r="X1929" s="4" t="s">
        <v>2272</v>
      </c>
      <c r="Y1929" s="4" t="s">
        <v>2272</v>
      </c>
      <c r="Z1929" s="4" t="s">
        <v>2272</v>
      </c>
      <c r="AA1929" s="4" t="s">
        <v>2272</v>
      </c>
      <c r="AB1929" s="4" t="s">
        <v>5569</v>
      </c>
      <c r="AC1929" s="3"/>
    </row>
    <row r="1930" spans="1:29" ht="29">
      <c r="A1930" s="151" t="str">
        <f>'Reported burning'!A1930</f>
        <v>219a</v>
      </c>
      <c r="B1930" s="151" t="str">
        <f>'Reported burning'!B1930</f>
        <v>219a.3</v>
      </c>
      <c r="C1930" s="151" t="str">
        <f>'Reported burning'!C1930</f>
        <v>Human, deliberate</v>
      </c>
      <c r="D1930" s="151" t="str">
        <f>'Reported burning'!D1930</f>
        <v>Crop field preparation</v>
      </c>
      <c r="E1930" s="151" t="str">
        <f>'Reported burning'!E1930</f>
        <v>Cropping, Monoculture, Market-oriented</v>
      </c>
      <c r="F1930" s="151" t="str">
        <f>'Reported burning'!F1930</f>
        <v>ND</v>
      </c>
      <c r="G1930" s="151" t="str">
        <f>'Reported burning'!G1930</f>
        <v>ND</v>
      </c>
      <c r="H1930" s="151"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21">
        <v>0</v>
      </c>
      <c r="X1930" s="4" t="s">
        <v>2272</v>
      </c>
      <c r="Y1930" s="4" t="s">
        <v>2272</v>
      </c>
      <c r="Z1930" s="4" t="s">
        <v>2272</v>
      </c>
      <c r="AA1930" s="4" t="s">
        <v>2272</v>
      </c>
      <c r="AB1930" s="4" t="s">
        <v>5569</v>
      </c>
      <c r="AC1930" s="3"/>
    </row>
    <row r="1931" spans="1:29" ht="29">
      <c r="A1931" s="151" t="str">
        <f>'Reported burning'!A1931</f>
        <v>219b</v>
      </c>
      <c r="B1931" s="151" t="str">
        <f>'Reported burning'!B1931</f>
        <v>219b.3</v>
      </c>
      <c r="C1931" s="151" t="str">
        <f>'Reported burning'!C1931</f>
        <v>Human, deliberate</v>
      </c>
      <c r="D1931" s="151" t="str">
        <f>'Reported burning'!D1931</f>
        <v>Crop field preparation</v>
      </c>
      <c r="E1931" s="151" t="str">
        <f>'Reported burning'!E1931</f>
        <v>Cropping, Monoculture, Market-oriented</v>
      </c>
      <c r="F1931" s="151" t="str">
        <f>'Reported burning'!F1931</f>
        <v>ND</v>
      </c>
      <c r="G1931" s="151" t="str">
        <f>'Reported burning'!G1931</f>
        <v>ND</v>
      </c>
      <c r="H1931" s="151"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21">
        <v>0</v>
      </c>
      <c r="X1931" s="4" t="s">
        <v>2272</v>
      </c>
      <c r="Y1931" s="4" t="s">
        <v>2272</v>
      </c>
      <c r="Z1931" s="4" t="s">
        <v>2272</v>
      </c>
      <c r="AA1931" s="4" t="s">
        <v>2272</v>
      </c>
      <c r="AB1931" s="4" t="s">
        <v>5569</v>
      </c>
      <c r="AC1931" s="3"/>
    </row>
    <row r="1932" spans="1:29" ht="29">
      <c r="A1932" s="151" t="str">
        <f>'Reported burning'!A1932</f>
        <v>219c</v>
      </c>
      <c r="B1932" s="151" t="str">
        <f>'Reported burning'!B1932</f>
        <v>219c.3</v>
      </c>
      <c r="C1932" s="151" t="str">
        <f>'Reported burning'!C1932</f>
        <v>Human, deliberate</v>
      </c>
      <c r="D1932" s="151" t="str">
        <f>'Reported burning'!D1932</f>
        <v>Crop field preparation</v>
      </c>
      <c r="E1932" s="151" t="str">
        <f>'Reported burning'!E1932</f>
        <v>Cropping, Monoculture, Market-oriented</v>
      </c>
      <c r="F1932" s="151" t="str">
        <f>'Reported burning'!F1932</f>
        <v>ND</v>
      </c>
      <c r="G1932" s="151" t="str">
        <f>'Reported burning'!G1932</f>
        <v>ND</v>
      </c>
      <c r="H1932" s="151"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21">
        <v>0</v>
      </c>
      <c r="X1932" s="4" t="s">
        <v>2272</v>
      </c>
      <c r="Y1932" s="4" t="s">
        <v>2272</v>
      </c>
      <c r="Z1932" s="4" t="s">
        <v>2272</v>
      </c>
      <c r="AA1932" s="4" t="s">
        <v>2272</v>
      </c>
      <c r="AB1932" s="4" t="s">
        <v>5569</v>
      </c>
      <c r="AC1932" s="3"/>
    </row>
    <row r="1933" spans="1:29" ht="29">
      <c r="A1933" s="151" t="str">
        <f>'Reported burning'!A1933</f>
        <v>219d</v>
      </c>
      <c r="B1933" s="151" t="str">
        <f>'Reported burning'!B1933</f>
        <v>219d.3</v>
      </c>
      <c r="C1933" s="151" t="str">
        <f>'Reported burning'!C1933</f>
        <v>Human, deliberate</v>
      </c>
      <c r="D1933" s="151" t="str">
        <f>'Reported burning'!D1933</f>
        <v>Crop field preparation</v>
      </c>
      <c r="E1933" s="151" t="str">
        <f>'Reported burning'!E1933</f>
        <v>Cropping, Monoculture, Market-oriented</v>
      </c>
      <c r="F1933" s="151" t="str">
        <f>'Reported burning'!F1933</f>
        <v>ND</v>
      </c>
      <c r="G1933" s="151" t="str">
        <f>'Reported burning'!G1933</f>
        <v>ND</v>
      </c>
      <c r="H1933" s="151"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21">
        <v>0</v>
      </c>
      <c r="X1933" s="4" t="s">
        <v>2272</v>
      </c>
      <c r="Y1933" s="4" t="s">
        <v>2272</v>
      </c>
      <c r="Z1933" s="4" t="s">
        <v>2272</v>
      </c>
      <c r="AA1933" s="4" t="s">
        <v>2272</v>
      </c>
      <c r="AB1933" s="4" t="s">
        <v>5569</v>
      </c>
      <c r="AC1933" s="3"/>
    </row>
    <row r="1934" spans="1:29" ht="29">
      <c r="A1934" s="151" t="str">
        <f>'Reported burning'!A1934</f>
        <v>219e</v>
      </c>
      <c r="B1934" s="151" t="str">
        <f>'Reported burning'!B1934</f>
        <v>219e.3</v>
      </c>
      <c r="C1934" s="151" t="str">
        <f>'Reported burning'!C1934</f>
        <v>Human, deliberate</v>
      </c>
      <c r="D1934" s="151" t="str">
        <f>'Reported burning'!D1934</f>
        <v>Crop field preparation</v>
      </c>
      <c r="E1934" s="151" t="str">
        <f>'Reported burning'!E1934</f>
        <v>Cropping, Monoculture, Market-oriented</v>
      </c>
      <c r="F1934" s="151" t="str">
        <f>'Reported burning'!F1934</f>
        <v>ND</v>
      </c>
      <c r="G1934" s="151" t="str">
        <f>'Reported burning'!G1934</f>
        <v>ND</v>
      </c>
      <c r="H1934" s="151"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21">
        <v>0</v>
      </c>
      <c r="X1934" s="4" t="s">
        <v>2272</v>
      </c>
      <c r="Y1934" s="4" t="s">
        <v>2272</v>
      </c>
      <c r="Z1934" s="4" t="s">
        <v>2272</v>
      </c>
      <c r="AA1934" s="4" t="s">
        <v>2272</v>
      </c>
      <c r="AB1934" s="4" t="s">
        <v>5569</v>
      </c>
      <c r="AC1934" s="3"/>
    </row>
    <row r="1935" spans="1:29" ht="29">
      <c r="A1935" s="151" t="str">
        <f>'Reported burning'!A1935</f>
        <v>219f</v>
      </c>
      <c r="B1935" s="151" t="str">
        <f>'Reported burning'!B1935</f>
        <v>219f.3</v>
      </c>
      <c r="C1935" s="151" t="str">
        <f>'Reported burning'!C1935</f>
        <v>Human, deliberate</v>
      </c>
      <c r="D1935" s="151" t="str">
        <f>'Reported burning'!D1935</f>
        <v>Crop field preparation</v>
      </c>
      <c r="E1935" s="151" t="str">
        <f>'Reported burning'!E1935</f>
        <v>Cropping, Monoculture, Market-oriented</v>
      </c>
      <c r="F1935" s="151" t="str">
        <f>'Reported burning'!F1935</f>
        <v>ND</v>
      </c>
      <c r="G1935" s="151" t="str">
        <f>'Reported burning'!G1935</f>
        <v>ND</v>
      </c>
      <c r="H1935" s="151"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21">
        <v>0</v>
      </c>
      <c r="X1935" s="4" t="s">
        <v>2272</v>
      </c>
      <c r="Y1935" s="4" t="s">
        <v>2272</v>
      </c>
      <c r="Z1935" s="4" t="s">
        <v>2272</v>
      </c>
      <c r="AA1935" s="4" t="s">
        <v>2272</v>
      </c>
      <c r="AB1935" s="4" t="s">
        <v>5569</v>
      </c>
      <c r="AC1935" s="3"/>
    </row>
    <row r="1936" spans="1:29" ht="29">
      <c r="A1936" s="151" t="str">
        <f>'Reported burning'!A1936</f>
        <v>219g</v>
      </c>
      <c r="B1936" s="151" t="str">
        <f>'Reported burning'!B1936</f>
        <v>219g.3</v>
      </c>
      <c r="C1936" s="151" t="str">
        <f>'Reported burning'!C1936</f>
        <v>Human, deliberate</v>
      </c>
      <c r="D1936" s="151" t="str">
        <f>'Reported burning'!D1936</f>
        <v>Crop field preparation</v>
      </c>
      <c r="E1936" s="151" t="str">
        <f>'Reported burning'!E1936</f>
        <v>Cropping, Monoculture, Market-oriented</v>
      </c>
      <c r="F1936" s="151" t="str">
        <f>'Reported burning'!F1936</f>
        <v>ND</v>
      </c>
      <c r="G1936" s="151" t="str">
        <f>'Reported burning'!G1936</f>
        <v>ND</v>
      </c>
      <c r="H1936" s="151"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21">
        <v>0</v>
      </c>
      <c r="X1936" s="4" t="s">
        <v>2272</v>
      </c>
      <c r="Y1936" s="4" t="s">
        <v>2272</v>
      </c>
      <c r="Z1936" s="4" t="s">
        <v>2272</v>
      </c>
      <c r="AA1936" s="4" t="s">
        <v>2272</v>
      </c>
      <c r="AB1936" s="4" t="s">
        <v>5569</v>
      </c>
      <c r="AC1936" s="3"/>
    </row>
    <row r="1937" spans="1:29" ht="29">
      <c r="A1937" s="151" t="str">
        <f>'Reported burning'!A1937</f>
        <v>219h</v>
      </c>
      <c r="B1937" s="151" t="str">
        <f>'Reported burning'!B1937</f>
        <v>219h.3</v>
      </c>
      <c r="C1937" s="151" t="str">
        <f>'Reported burning'!C1937</f>
        <v>Human, deliberate</v>
      </c>
      <c r="D1937" s="151" t="str">
        <f>'Reported burning'!D1937</f>
        <v>Crop field preparation</v>
      </c>
      <c r="E1937" s="151" t="str">
        <f>'Reported burning'!E1937</f>
        <v>Cropping, Monoculture, Market-oriented</v>
      </c>
      <c r="F1937" s="151" t="str">
        <f>'Reported burning'!F1937</f>
        <v>ND</v>
      </c>
      <c r="G1937" s="151" t="str">
        <f>'Reported burning'!G1937</f>
        <v>ND</v>
      </c>
      <c r="H1937" s="151"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21">
        <v>0</v>
      </c>
      <c r="X1937" s="4" t="s">
        <v>2272</v>
      </c>
      <c r="Y1937" s="4" t="s">
        <v>2272</v>
      </c>
      <c r="Z1937" s="4" t="s">
        <v>2272</v>
      </c>
      <c r="AA1937" s="4" t="s">
        <v>2272</v>
      </c>
      <c r="AB1937" s="4" t="s">
        <v>5569</v>
      </c>
      <c r="AC1937" s="3"/>
    </row>
    <row r="1938" spans="1:29" ht="29" customHeight="1">
      <c r="A1938" s="151" t="str">
        <f>'Reported burning'!A1938</f>
        <v>220a</v>
      </c>
      <c r="B1938" s="151" t="str">
        <f>'Reported burning'!B1938</f>
        <v>220a.1</v>
      </c>
      <c r="C1938" s="151" t="str">
        <f>'Reported burning'!C1938</f>
        <v>Human, deliberate</v>
      </c>
      <c r="D1938" s="151" t="str">
        <f>'Reported burning'!D1938</f>
        <v>Pyrome management</v>
      </c>
      <c r="E1938" s="151" t="str">
        <f>'Reported burning'!E1938</f>
        <v>Cropping, Monoculture, Subsistence-oriented</v>
      </c>
      <c r="F1938" s="151" t="str">
        <f>'Reported burning'!F1938</f>
        <v>ND</v>
      </c>
      <c r="G1938" s="151" t="str">
        <f>'Reported burning'!G1938</f>
        <v>ND</v>
      </c>
      <c r="H1938" s="151" t="str">
        <f>'Reported burning'!H1938</f>
        <v>Presence</v>
      </c>
      <c r="I1938" s="5"/>
      <c r="J1938" s="4" t="s">
        <v>2272</v>
      </c>
      <c r="K1938" s="4" t="s">
        <v>2272</v>
      </c>
      <c r="L1938" s="4" t="s">
        <v>2272</v>
      </c>
      <c r="M1938" s="4" t="s">
        <v>2272</v>
      </c>
      <c r="N1938" s="4" t="s">
        <v>2272</v>
      </c>
      <c r="O1938" s="4" t="s">
        <v>2272</v>
      </c>
      <c r="P1938" s="4" t="s">
        <v>2272</v>
      </c>
      <c r="Q1938" s="4" t="s">
        <v>2272</v>
      </c>
      <c r="R1938" s="4" t="s">
        <v>2272</v>
      </c>
      <c r="S1938" s="4" t="s">
        <v>2272</v>
      </c>
      <c r="T1938" s="4" t="s">
        <v>2272</v>
      </c>
      <c r="U1938" s="4" t="s">
        <v>2272</v>
      </c>
      <c r="V1938" s="4" t="s">
        <v>2272</v>
      </c>
      <c r="W1938" s="4" t="s">
        <v>2272</v>
      </c>
      <c r="X1938" s="4" t="s">
        <v>2272</v>
      </c>
      <c r="Y1938" s="4" t="s">
        <v>2272</v>
      </c>
      <c r="Z1938" s="4" t="s">
        <v>2272</v>
      </c>
      <c r="AA1938" s="4" t="s">
        <v>2272</v>
      </c>
      <c r="AB1938" s="3"/>
      <c r="AC1938" s="3"/>
    </row>
    <row r="1939" spans="1:29" ht="29" customHeight="1">
      <c r="A1939" s="179" t="str">
        <f>'Reported burning'!A1939</f>
        <v>220a</v>
      </c>
      <c r="B1939" s="179" t="str">
        <f>'Reported burning'!B1939</f>
        <v>220a.2</v>
      </c>
      <c r="C1939" s="179" t="str">
        <f>'Reported burning'!C1939</f>
        <v>Human, deliberate</v>
      </c>
      <c r="D1939" s="179" t="str">
        <f>'Reported burning'!D1939</f>
        <v>Pyrome management</v>
      </c>
      <c r="E1939" s="179" t="str">
        <f>'Reported burning'!E1939</f>
        <v>Agroforestry, Subsistence-oriented</v>
      </c>
      <c r="F1939" s="179" t="str">
        <f>'Reported burning'!F1939</f>
        <v>ND</v>
      </c>
      <c r="G1939" s="179" t="str">
        <f>'Reported burning'!G1939</f>
        <v>ND</v>
      </c>
      <c r="H1939" s="179" t="str">
        <f>'Reported burning'!H1939</f>
        <v>Presence</v>
      </c>
      <c r="I1939" s="32"/>
      <c r="J1939" s="163" t="s">
        <v>2272</v>
      </c>
      <c r="K1939" s="163" t="s">
        <v>2272</v>
      </c>
      <c r="L1939" s="163" t="s">
        <v>2272</v>
      </c>
      <c r="M1939" s="163" t="s">
        <v>2272</v>
      </c>
      <c r="N1939" s="163" t="s">
        <v>2272</v>
      </c>
      <c r="O1939" s="163" t="s">
        <v>2272</v>
      </c>
      <c r="P1939" s="163" t="s">
        <v>2272</v>
      </c>
      <c r="Q1939" s="163" t="s">
        <v>2272</v>
      </c>
      <c r="R1939" s="163" t="s">
        <v>2272</v>
      </c>
      <c r="S1939" s="163" t="s">
        <v>2272</v>
      </c>
      <c r="T1939" s="163" t="s">
        <v>2272</v>
      </c>
      <c r="U1939" s="163" t="s">
        <v>2272</v>
      </c>
      <c r="V1939" s="163" t="s">
        <v>2272</v>
      </c>
      <c r="W1939" s="163" t="s">
        <v>2272</v>
      </c>
      <c r="X1939" s="163" t="s">
        <v>2272</v>
      </c>
      <c r="Y1939" s="163" t="s">
        <v>2272</v>
      </c>
      <c r="Z1939" s="163" t="s">
        <v>2272</v>
      </c>
      <c r="AA1939" s="163" t="s">
        <v>2272</v>
      </c>
      <c r="AB1939" s="35"/>
      <c r="AC1939" s="35"/>
    </row>
    <row r="1940" spans="1:29" s="117" customFormat="1" ht="31" customHeight="1">
      <c r="A1940" s="147" t="str">
        <f>'Reported burning'!A1940</f>
        <v>221a</v>
      </c>
      <c r="B1940" s="147" t="str">
        <f>'Reported burning'!B1940</f>
        <v>221a.1</v>
      </c>
      <c r="C1940" s="147" t="str">
        <f>'Reported burning'!C1940</f>
        <v>Human, deliberate</v>
      </c>
      <c r="D1940" s="147" t="str">
        <f>'Reported burning'!D1940</f>
        <v>Crop field preparation</v>
      </c>
      <c r="E1940" s="147" t="str">
        <f>'Reported burning'!E1940</f>
        <v>Cropping, Swidden</v>
      </c>
      <c r="F1940" s="147" t="str">
        <f>'Reported burning'!F1940</f>
        <v>Forest</v>
      </c>
      <c r="G1940" s="147" t="str">
        <f>'Reported burning'!G1940</f>
        <v>ND</v>
      </c>
      <c r="H1940" s="147" t="str">
        <f>'Reported burning'!H1940</f>
        <v>Presence</v>
      </c>
      <c r="I1940" s="3"/>
      <c r="J1940" s="4" t="s">
        <v>2272</v>
      </c>
      <c r="K1940" s="4" t="s">
        <v>2272</v>
      </c>
      <c r="L1940" s="98" t="s">
        <v>2358</v>
      </c>
      <c r="M1940" s="4" t="s">
        <v>2272</v>
      </c>
      <c r="N1940" s="4" t="s">
        <v>2272</v>
      </c>
      <c r="O1940" s="4" t="s">
        <v>2272</v>
      </c>
      <c r="P1940" s="98" t="s">
        <v>2370</v>
      </c>
      <c r="Q1940" s="4" t="s">
        <v>2272</v>
      </c>
      <c r="R1940" s="98" t="s">
        <v>2370</v>
      </c>
      <c r="S1940" s="4" t="s">
        <v>2272</v>
      </c>
      <c r="T1940" s="4" t="s">
        <v>2272</v>
      </c>
      <c r="U1940" s="4" t="s">
        <v>2272</v>
      </c>
      <c r="V1940" s="4" t="s">
        <v>2272</v>
      </c>
      <c r="W1940" s="4" t="s">
        <v>2272</v>
      </c>
      <c r="X1940" s="4" t="s">
        <v>2272</v>
      </c>
      <c r="Y1940" s="4" t="s">
        <v>2272</v>
      </c>
      <c r="Z1940" s="4" t="s">
        <v>2272</v>
      </c>
      <c r="AA1940" s="4" t="s">
        <v>2272</v>
      </c>
      <c r="AB1940" s="3" t="s">
        <v>5589</v>
      </c>
      <c r="AC1940" s="3"/>
    </row>
    <row r="1941" spans="1:29" s="117" customFormat="1" ht="31" customHeight="1">
      <c r="A1941" s="147" t="str">
        <f>'Reported burning'!A1941</f>
        <v>221a</v>
      </c>
      <c r="B1941" s="147" t="str">
        <f>'Reported burning'!B1941</f>
        <v>221a.2</v>
      </c>
      <c r="C1941" s="147" t="str">
        <f>'Reported burning'!C1941</f>
        <v>Human, deliberate</v>
      </c>
      <c r="D1941" s="147" t="str">
        <f>'Reported burning'!D1941</f>
        <v>Land clearance</v>
      </c>
      <c r="E1941" s="147" t="str">
        <f>'Reported burning'!E1941</f>
        <v>Cropping, Intensive</v>
      </c>
      <c r="F1941" s="147" t="str">
        <f>'Reported burning'!F1941</f>
        <v>Forest</v>
      </c>
      <c r="G1941" s="147" t="str">
        <f>'Reported burning'!G1941</f>
        <v>ND</v>
      </c>
      <c r="H1941" s="147" t="str">
        <f>'Reported burning'!H1941</f>
        <v>Presence</v>
      </c>
      <c r="I1941" s="3"/>
      <c r="J1941" s="4" t="s">
        <v>2272</v>
      </c>
      <c r="K1941" s="4" t="s">
        <v>2272</v>
      </c>
      <c r="L1941" s="4" t="s">
        <v>2272</v>
      </c>
      <c r="M1941" s="4" t="s">
        <v>2272</v>
      </c>
      <c r="N1941" s="4" t="s">
        <v>2272</v>
      </c>
      <c r="O1941" s="4" t="s">
        <v>2272</v>
      </c>
      <c r="P1941" s="4" t="s">
        <v>2272</v>
      </c>
      <c r="Q1941" s="4" t="s">
        <v>2272</v>
      </c>
      <c r="R1941" s="4" t="s">
        <v>2272</v>
      </c>
      <c r="S1941" s="4" t="s">
        <v>2272</v>
      </c>
      <c r="T1941" s="4" t="s">
        <v>2272</v>
      </c>
      <c r="U1941" s="4" t="s">
        <v>2272</v>
      </c>
      <c r="V1941" s="4" t="s">
        <v>2272</v>
      </c>
      <c r="W1941" s="4" t="s">
        <v>2272</v>
      </c>
      <c r="X1941" s="4" t="s">
        <v>2272</v>
      </c>
      <c r="Y1941" s="4" t="s">
        <v>2272</v>
      </c>
      <c r="Z1941" s="4" t="s">
        <v>2272</v>
      </c>
      <c r="AA1941" s="4" t="s">
        <v>2272</v>
      </c>
      <c r="AB1941" s="3"/>
      <c r="AC1941" s="3"/>
    </row>
    <row r="1942" spans="1:29" ht="29" customHeight="1">
      <c r="A1942" s="151" t="str">
        <f>'Reported burning'!A1942</f>
        <v>222a</v>
      </c>
      <c r="B1942" s="151" t="str">
        <f>'Reported burning'!B1942</f>
        <v>222a.1</v>
      </c>
      <c r="C1942" s="151" t="str">
        <f>'Reported burning'!C1942</f>
        <v>Human, deliberate</v>
      </c>
      <c r="D1942" s="151" t="str">
        <f>'Reported burning'!D1942</f>
        <v>Crop field preparation</v>
      </c>
      <c r="E1942" s="151" t="str">
        <f>'Reported burning'!E1942</f>
        <v>Cropping, Swidden</v>
      </c>
      <c r="F1942" s="151" t="str">
        <f>'Reported burning'!F1942</f>
        <v>Secondary vegetation</v>
      </c>
      <c r="G1942" s="151" t="str">
        <f>'Reported burning'!G1942</f>
        <v>ND</v>
      </c>
      <c r="H1942" s="151" t="str">
        <f>'Reported burning'!H1942</f>
        <v>Presence</v>
      </c>
      <c r="I1942" s="5"/>
      <c r="J1942" s="4" t="s">
        <v>2272</v>
      </c>
      <c r="K1942" s="4" t="s">
        <v>2272</v>
      </c>
      <c r="L1942" s="4" t="s">
        <v>2272</v>
      </c>
      <c r="M1942" s="4" t="s">
        <v>2272</v>
      </c>
      <c r="N1942" s="4" t="s">
        <v>2272</v>
      </c>
      <c r="O1942" s="4" t="s">
        <v>2272</v>
      </c>
      <c r="P1942" s="4" t="s">
        <v>2272</v>
      </c>
      <c r="Q1942" s="4" t="s">
        <v>2272</v>
      </c>
      <c r="R1942" s="4" t="s">
        <v>2272</v>
      </c>
      <c r="S1942" s="4" t="s">
        <v>2272</v>
      </c>
      <c r="T1942" s="4" t="s">
        <v>2272</v>
      </c>
      <c r="U1942" s="4" t="s">
        <v>2272</v>
      </c>
      <c r="V1942" s="4" t="s">
        <v>2272</v>
      </c>
      <c r="W1942" s="4" t="s">
        <v>2272</v>
      </c>
      <c r="X1942" s="4" t="s">
        <v>2272</v>
      </c>
      <c r="Y1942" s="4" t="s">
        <v>2272</v>
      </c>
      <c r="Z1942" s="4" t="s">
        <v>2272</v>
      </c>
      <c r="AA1942" s="4" t="s">
        <v>2272</v>
      </c>
      <c r="AB1942" s="4"/>
      <c r="AC1942" s="4"/>
    </row>
    <row r="1943" spans="1:29" ht="29" customHeight="1">
      <c r="A1943" s="151" t="str">
        <f>'Reported burning'!A1943</f>
        <v>222b</v>
      </c>
      <c r="B1943" s="151" t="str">
        <f>'Reported burning'!B1943</f>
        <v>222b.1</v>
      </c>
      <c r="C1943" s="151" t="str">
        <f>'Reported burning'!C1943</f>
        <v>Human, deliberate</v>
      </c>
      <c r="D1943" s="151" t="str">
        <f>'Reported burning'!D1943</f>
        <v>Crop field preparation</v>
      </c>
      <c r="E1943" s="151" t="str">
        <f>'Reported burning'!E1943</f>
        <v>Cropping, Swidden</v>
      </c>
      <c r="F1943" s="151" t="str">
        <f>'Reported burning'!F1943</f>
        <v>Secondary vegetation</v>
      </c>
      <c r="G1943" s="151" t="str">
        <f>'Reported burning'!G1943</f>
        <v>ND</v>
      </c>
      <c r="H1943" s="151" t="str">
        <f>'Reported burning'!H1943</f>
        <v>Presence</v>
      </c>
      <c r="I1943" s="5"/>
      <c r="J1943" s="4" t="s">
        <v>2272</v>
      </c>
      <c r="K1943" s="4" t="s">
        <v>2272</v>
      </c>
      <c r="L1943" s="4" t="s">
        <v>2272</v>
      </c>
      <c r="M1943" s="4" t="s">
        <v>2272</v>
      </c>
      <c r="N1943" s="4" t="s">
        <v>2272</v>
      </c>
      <c r="O1943" s="4" t="s">
        <v>2272</v>
      </c>
      <c r="P1943" s="4" t="s">
        <v>2272</v>
      </c>
      <c r="Q1943" s="4" t="s">
        <v>2272</v>
      </c>
      <c r="R1943" s="4" t="s">
        <v>2272</v>
      </c>
      <c r="S1943" s="4" t="s">
        <v>2272</v>
      </c>
      <c r="T1943" s="4" t="s">
        <v>2272</v>
      </c>
      <c r="U1943" s="4" t="s">
        <v>2272</v>
      </c>
      <c r="V1943" s="4" t="s">
        <v>2272</v>
      </c>
      <c r="W1943" s="4" t="s">
        <v>2272</v>
      </c>
      <c r="X1943" s="4" t="s">
        <v>2272</v>
      </c>
      <c r="Y1943" s="4" t="s">
        <v>2272</v>
      </c>
      <c r="Z1943" s="4" t="s">
        <v>2272</v>
      </c>
      <c r="AA1943" s="4" t="s">
        <v>2272</v>
      </c>
      <c r="AB1943" s="4"/>
      <c r="AC1943" s="4"/>
    </row>
    <row r="1944" spans="1:29" ht="29" customHeight="1">
      <c r="A1944" s="151" t="str">
        <f>'Reported burning'!A1944</f>
        <v>222a</v>
      </c>
      <c r="B1944" s="151" t="str">
        <f>'Reported burning'!B1944</f>
        <v>222a.2</v>
      </c>
      <c r="C1944" s="151" t="str">
        <f>'Reported burning'!C1944</f>
        <v>Human, deliberate</v>
      </c>
      <c r="D1944" s="151" t="str">
        <f>'Reported burning'!D1944</f>
        <v>Crop field preparation</v>
      </c>
      <c r="E1944" s="151" t="str">
        <f>'Reported burning'!E1944</f>
        <v>Cropping, Swidden</v>
      </c>
      <c r="F1944" s="151" t="str">
        <f>'Reported burning'!F1944</f>
        <v>Forest</v>
      </c>
      <c r="G1944" s="151" t="str">
        <f>'Reported burning'!G1944</f>
        <v>ND</v>
      </c>
      <c r="H1944" s="151" t="str">
        <f>'Reported burning'!H1944</f>
        <v>Presence</v>
      </c>
      <c r="I1944" s="5"/>
      <c r="J1944" s="4" t="s">
        <v>2272</v>
      </c>
      <c r="K1944" s="4" t="s">
        <v>2272</v>
      </c>
      <c r="L1944" s="4" t="s">
        <v>2272</v>
      </c>
      <c r="M1944" s="4" t="s">
        <v>2272</v>
      </c>
      <c r="N1944" s="4" t="s">
        <v>2272</v>
      </c>
      <c r="O1944" s="4" t="s">
        <v>2272</v>
      </c>
      <c r="P1944" s="4" t="s">
        <v>2272</v>
      </c>
      <c r="Q1944" s="4" t="s">
        <v>2272</v>
      </c>
      <c r="R1944" s="4" t="s">
        <v>2272</v>
      </c>
      <c r="S1944" s="4" t="s">
        <v>2272</v>
      </c>
      <c r="T1944" s="4" t="s">
        <v>2272</v>
      </c>
      <c r="U1944" s="4" t="s">
        <v>2272</v>
      </c>
      <c r="V1944" s="4" t="s">
        <v>2272</v>
      </c>
      <c r="W1944" s="4" t="s">
        <v>2272</v>
      </c>
      <c r="X1944" s="4" t="s">
        <v>2272</v>
      </c>
      <c r="Y1944" s="4" t="s">
        <v>2272</v>
      </c>
      <c r="Z1944" s="4" t="s">
        <v>2272</v>
      </c>
      <c r="AA1944" s="4" t="s">
        <v>2272</v>
      </c>
      <c r="AB1944" s="4"/>
      <c r="AC1944" s="4"/>
    </row>
    <row r="1945" spans="1:29" ht="29" customHeight="1">
      <c r="A1945" s="151" t="str">
        <f>'Reported burning'!A1945</f>
        <v>222b</v>
      </c>
      <c r="B1945" s="151" t="str">
        <f>'Reported burning'!B1945</f>
        <v>222b.2</v>
      </c>
      <c r="C1945" s="151" t="str">
        <f>'Reported burning'!C1945</f>
        <v>Human, deliberate</v>
      </c>
      <c r="D1945" s="151" t="str">
        <f>'Reported burning'!D1945</f>
        <v>Crop field preparation</v>
      </c>
      <c r="E1945" s="151" t="str">
        <f>'Reported burning'!E1945</f>
        <v>Cropping, Swidden</v>
      </c>
      <c r="F1945" s="151" t="str">
        <f>'Reported burning'!F1945</f>
        <v>Forest</v>
      </c>
      <c r="G1945" s="151" t="str">
        <f>'Reported burning'!G1945</f>
        <v>ND</v>
      </c>
      <c r="H1945" s="151" t="str">
        <f>'Reported burning'!H1945</f>
        <v>Presence</v>
      </c>
      <c r="I1945" s="5"/>
      <c r="J1945" s="4" t="s">
        <v>2272</v>
      </c>
      <c r="K1945" s="4" t="s">
        <v>2272</v>
      </c>
      <c r="L1945" s="4" t="s">
        <v>2272</v>
      </c>
      <c r="M1945" s="4" t="s">
        <v>2272</v>
      </c>
      <c r="N1945" s="4" t="s">
        <v>2272</v>
      </c>
      <c r="O1945" s="4" t="s">
        <v>2272</v>
      </c>
      <c r="P1945" s="4" t="s">
        <v>2272</v>
      </c>
      <c r="Q1945" s="4" t="s">
        <v>2272</v>
      </c>
      <c r="R1945" s="4" t="s">
        <v>2272</v>
      </c>
      <c r="S1945" s="4" t="s">
        <v>2272</v>
      </c>
      <c r="T1945" s="4" t="s">
        <v>2272</v>
      </c>
      <c r="U1945" s="4" t="s">
        <v>2272</v>
      </c>
      <c r="V1945" s="4" t="s">
        <v>2272</v>
      </c>
      <c r="W1945" s="4" t="s">
        <v>2272</v>
      </c>
      <c r="X1945" s="4" t="s">
        <v>2272</v>
      </c>
      <c r="Y1945" s="4" t="s">
        <v>2272</v>
      </c>
      <c r="Z1945" s="4" t="s">
        <v>2272</v>
      </c>
      <c r="AA1945" s="4" t="s">
        <v>2272</v>
      </c>
      <c r="AB1945" s="4"/>
      <c r="AC1945" s="4"/>
    </row>
    <row r="1946" spans="1:29" ht="29" customHeight="1">
      <c r="A1946" s="151" t="str">
        <f>'Reported burning'!A1946</f>
        <v>222a</v>
      </c>
      <c r="B1946" s="151" t="str">
        <f>'Reported burning'!B1946</f>
        <v>222a.3</v>
      </c>
      <c r="C1946" s="151" t="str">
        <f>'Reported burning'!C1946</f>
        <v>Human, deliberate</v>
      </c>
      <c r="D1946" s="151" t="str">
        <f>'Reported burning'!D1946</f>
        <v>Pasture renewal</v>
      </c>
      <c r="E1946" s="151" t="str">
        <f>'Reported burning'!E1946</f>
        <v>Cattle, Extensive</v>
      </c>
      <c r="F1946" s="151" t="str">
        <f>'Reported burning'!F1946</f>
        <v>Pasture</v>
      </c>
      <c r="G1946" s="151" t="str">
        <f>'Reported burning'!G1946</f>
        <v>Pasture</v>
      </c>
      <c r="H1946" s="151" t="str">
        <f>'Reported burning'!H1946</f>
        <v>Presence</v>
      </c>
      <c r="I1946" s="5"/>
      <c r="J1946" s="4" t="s">
        <v>2272</v>
      </c>
      <c r="K1946" s="4" t="s">
        <v>2272</v>
      </c>
      <c r="L1946" s="4" t="s">
        <v>2272</v>
      </c>
      <c r="M1946" s="4" t="s">
        <v>2272</v>
      </c>
      <c r="N1946" s="4" t="s">
        <v>2272</v>
      </c>
      <c r="O1946" s="4" t="s">
        <v>2272</v>
      </c>
      <c r="P1946" s="4" t="s">
        <v>2272</v>
      </c>
      <c r="Q1946" s="4" t="s">
        <v>2272</v>
      </c>
      <c r="R1946" s="4" t="s">
        <v>2272</v>
      </c>
      <c r="S1946" s="4" t="s">
        <v>2272</v>
      </c>
      <c r="T1946" s="4" t="s">
        <v>2272</v>
      </c>
      <c r="U1946" s="4" t="s">
        <v>2272</v>
      </c>
      <c r="V1946" s="4" t="s">
        <v>2272</v>
      </c>
      <c r="W1946" s="4" t="s">
        <v>2272</v>
      </c>
      <c r="X1946" s="4" t="s">
        <v>2272</v>
      </c>
      <c r="Y1946" s="4" t="s">
        <v>2272</v>
      </c>
      <c r="Z1946" s="4" t="s">
        <v>2272</v>
      </c>
      <c r="AA1946" s="4" t="s">
        <v>2272</v>
      </c>
      <c r="AB1946" s="4"/>
      <c r="AC1946" s="4"/>
    </row>
    <row r="1947" spans="1:29" ht="29" customHeight="1">
      <c r="A1947" s="151" t="str">
        <f>'Reported burning'!A1947</f>
        <v>222b</v>
      </c>
      <c r="B1947" s="151" t="str">
        <f>'Reported burning'!B1947</f>
        <v>222b.3</v>
      </c>
      <c r="C1947" s="151" t="str">
        <f>'Reported burning'!C1947</f>
        <v>Human, deliberate</v>
      </c>
      <c r="D1947" s="151" t="str">
        <f>'Reported burning'!D1947</f>
        <v>Pasture renewal</v>
      </c>
      <c r="E1947" s="151" t="str">
        <f>'Reported burning'!E1947</f>
        <v>Cattle, Extensive</v>
      </c>
      <c r="F1947" s="151" t="str">
        <f>'Reported burning'!F1947</f>
        <v>Pasture</v>
      </c>
      <c r="G1947" s="151" t="str">
        <f>'Reported burning'!G1947</f>
        <v>Pasture</v>
      </c>
      <c r="H1947" s="151" t="str">
        <f>'Reported burning'!H1947</f>
        <v>Presence</v>
      </c>
      <c r="I1947" s="5"/>
      <c r="J1947" s="4" t="s">
        <v>2272</v>
      </c>
      <c r="K1947" s="4" t="s">
        <v>2272</v>
      </c>
      <c r="L1947" s="4" t="s">
        <v>2272</v>
      </c>
      <c r="M1947" s="4" t="s">
        <v>2272</v>
      </c>
      <c r="N1947" s="4" t="s">
        <v>2272</v>
      </c>
      <c r="O1947" s="4" t="s">
        <v>2272</v>
      </c>
      <c r="P1947" s="4" t="s">
        <v>2272</v>
      </c>
      <c r="Q1947" s="4" t="s">
        <v>2272</v>
      </c>
      <c r="R1947" s="4" t="s">
        <v>2272</v>
      </c>
      <c r="S1947" s="4" t="s">
        <v>2272</v>
      </c>
      <c r="T1947" s="4" t="s">
        <v>2272</v>
      </c>
      <c r="U1947" s="4" t="s">
        <v>2272</v>
      </c>
      <c r="V1947" s="4" t="s">
        <v>2272</v>
      </c>
      <c r="W1947" s="4" t="s">
        <v>2272</v>
      </c>
      <c r="X1947" s="4" t="s">
        <v>2272</v>
      </c>
      <c r="Y1947" s="4" t="s">
        <v>2272</v>
      </c>
      <c r="Z1947" s="4" t="s">
        <v>2272</v>
      </c>
      <c r="AA1947" s="4" t="s">
        <v>2272</v>
      </c>
      <c r="AB1947" s="4"/>
      <c r="AC1947" s="4"/>
    </row>
    <row r="1948" spans="1:29" ht="29" customHeight="1">
      <c r="A1948" s="151" t="str">
        <f>'Reported burning'!A1948</f>
        <v>222a</v>
      </c>
      <c r="B1948" s="151" t="str">
        <f>'Reported burning'!B1948</f>
        <v>222a.4</v>
      </c>
      <c r="C1948" s="151" t="str">
        <f>'Reported burning'!C1948</f>
        <v>Human, escaped</v>
      </c>
      <c r="D1948" s="151" t="str">
        <f>'Reported burning'!D1948</f>
        <v>Forest clearance</v>
      </c>
      <c r="E1948" s="151" t="str">
        <f>'Reported burning'!E1948</f>
        <v>Cattle, Extensive</v>
      </c>
      <c r="F1948" s="151" t="str">
        <f>'Reported burning'!F1948</f>
        <v>Pasture</v>
      </c>
      <c r="G1948" s="151" t="str">
        <f>'Reported burning'!G1948</f>
        <v>ND</v>
      </c>
      <c r="H1948" s="151" t="str">
        <f>'Reported burning'!H1948</f>
        <v>Presence</v>
      </c>
      <c r="I1948" s="5"/>
      <c r="J1948" s="4" t="s">
        <v>2272</v>
      </c>
      <c r="K1948" s="4" t="s">
        <v>2272</v>
      </c>
      <c r="L1948" s="4" t="s">
        <v>2272</v>
      </c>
      <c r="M1948" s="4" t="s">
        <v>2272</v>
      </c>
      <c r="N1948" s="4" t="s">
        <v>2272</v>
      </c>
      <c r="O1948" s="4" t="s">
        <v>2272</v>
      </c>
      <c r="P1948" s="4" t="s">
        <v>2272</v>
      </c>
      <c r="Q1948" s="4" t="s">
        <v>2272</v>
      </c>
      <c r="R1948" s="4" t="s">
        <v>2272</v>
      </c>
      <c r="S1948" s="4" t="s">
        <v>2272</v>
      </c>
      <c r="T1948" s="4" t="s">
        <v>2272</v>
      </c>
      <c r="U1948" s="4" t="s">
        <v>2272</v>
      </c>
      <c r="V1948" s="4" t="s">
        <v>2272</v>
      </c>
      <c r="W1948" s="4" t="s">
        <v>2272</v>
      </c>
      <c r="X1948" s="4" t="s">
        <v>2272</v>
      </c>
      <c r="Y1948" s="4" t="s">
        <v>2272</v>
      </c>
      <c r="Z1948" s="4" t="s">
        <v>2272</v>
      </c>
      <c r="AA1948" s="4" t="s">
        <v>2272</v>
      </c>
      <c r="AB1948" s="4"/>
      <c r="AC1948" s="4"/>
    </row>
    <row r="1949" spans="1:29" ht="29" customHeight="1">
      <c r="A1949" s="151" t="str">
        <f>'Reported burning'!A1949</f>
        <v>222b</v>
      </c>
      <c r="B1949" s="151" t="str">
        <f>'Reported burning'!B1949</f>
        <v>222b.4</v>
      </c>
      <c r="C1949" s="151" t="str">
        <f>'Reported burning'!C1949</f>
        <v>Human, escaped</v>
      </c>
      <c r="D1949" s="151" t="str">
        <f>'Reported burning'!D1949</f>
        <v>Forest clearance</v>
      </c>
      <c r="E1949" s="151" t="str">
        <f>'Reported burning'!E1949</f>
        <v>Cattle, Extensive</v>
      </c>
      <c r="F1949" s="151" t="str">
        <f>'Reported burning'!F1949</f>
        <v>Pasture</v>
      </c>
      <c r="G1949" s="151" t="str">
        <f>'Reported burning'!G1949</f>
        <v>ND</v>
      </c>
      <c r="H1949" s="151" t="str">
        <f>'Reported burning'!H1949</f>
        <v>Presence</v>
      </c>
      <c r="I1949" s="5"/>
      <c r="J1949" s="4" t="s">
        <v>2272</v>
      </c>
      <c r="K1949" s="4" t="s">
        <v>2272</v>
      </c>
      <c r="L1949" s="4" t="s">
        <v>2272</v>
      </c>
      <c r="M1949" s="4" t="s">
        <v>2272</v>
      </c>
      <c r="N1949" s="4" t="s">
        <v>2272</v>
      </c>
      <c r="O1949" s="4" t="s">
        <v>2272</v>
      </c>
      <c r="P1949" s="4" t="s">
        <v>2272</v>
      </c>
      <c r="Q1949" s="4" t="s">
        <v>2272</v>
      </c>
      <c r="R1949" s="4" t="s">
        <v>2272</v>
      </c>
      <c r="S1949" s="4" t="s">
        <v>2272</v>
      </c>
      <c r="T1949" s="4" t="s">
        <v>2272</v>
      </c>
      <c r="U1949" s="4" t="s">
        <v>2272</v>
      </c>
      <c r="V1949" s="4" t="s">
        <v>2272</v>
      </c>
      <c r="W1949" s="4" t="s">
        <v>2272</v>
      </c>
      <c r="X1949" s="4" t="s">
        <v>2272</v>
      </c>
      <c r="Y1949" s="4" t="s">
        <v>2272</v>
      </c>
      <c r="Z1949" s="4" t="s">
        <v>2272</v>
      </c>
      <c r="AA1949" s="4" t="s">
        <v>2272</v>
      </c>
      <c r="AB1949" s="4"/>
      <c r="AC1949" s="4"/>
    </row>
    <row r="1950" spans="1:29" ht="111" customHeight="1">
      <c r="A1950" s="151" t="str">
        <f>'Reported burning'!A1950</f>
        <v>222a</v>
      </c>
      <c r="B1950" s="151" t="str">
        <f>'Reported burning'!B1950</f>
        <v>222a.5</v>
      </c>
      <c r="C1950" s="151" t="str">
        <f>'Reported burning'!C1950</f>
        <v>Human, escaped</v>
      </c>
      <c r="D1950" s="151" t="str">
        <f>'Reported burning'!D1950</f>
        <v>ND</v>
      </c>
      <c r="E1950" s="151" t="str">
        <f>'Reported burning'!E1950</f>
        <v>Cattle, Extensive</v>
      </c>
      <c r="F1950" s="151" t="str">
        <f>'Reported burning'!F1950</f>
        <v>Pasture</v>
      </c>
      <c r="G1950" s="151" t="str">
        <f>'Reported burning'!G1950</f>
        <v>ND</v>
      </c>
      <c r="H1950" s="151" t="str">
        <f>'Reported burning'!H1950</f>
        <v>Presence</v>
      </c>
      <c r="I1950" s="5"/>
      <c r="J1950" s="4" t="s">
        <v>2272</v>
      </c>
      <c r="K1950" s="4" t="s">
        <v>2272</v>
      </c>
      <c r="L1950" s="4" t="s">
        <v>2272</v>
      </c>
      <c r="M1950" s="4" t="s">
        <v>2272</v>
      </c>
      <c r="N1950" s="4" t="s">
        <v>2272</v>
      </c>
      <c r="O1950" s="4" t="s">
        <v>2272</v>
      </c>
      <c r="P1950" s="4" t="s">
        <v>2272</v>
      </c>
      <c r="Q1950" s="4" t="s">
        <v>2272</v>
      </c>
      <c r="R1950" s="4" t="s">
        <v>2272</v>
      </c>
      <c r="S1950" s="4" t="s">
        <v>2272</v>
      </c>
      <c r="T1950" s="4" t="s">
        <v>2272</v>
      </c>
      <c r="U1950" s="4" t="s">
        <v>2272</v>
      </c>
      <c r="V1950" s="4" t="s">
        <v>2272</v>
      </c>
      <c r="W1950" s="4" t="s">
        <v>2272</v>
      </c>
      <c r="X1950" s="21" t="s">
        <v>2396</v>
      </c>
      <c r="Y1950" s="4" t="s">
        <v>2272</v>
      </c>
      <c r="Z1950" s="4" t="s">
        <v>2272</v>
      </c>
      <c r="AA1950" s="4" t="s">
        <v>2272</v>
      </c>
      <c r="AB1950" s="4" t="s">
        <v>5608</v>
      </c>
      <c r="AC1950" s="4" t="s">
        <v>5607</v>
      </c>
    </row>
    <row r="1951" spans="1:29" ht="111" customHeight="1">
      <c r="A1951" s="151" t="str">
        <f>'Reported burning'!A1951</f>
        <v>222b</v>
      </c>
      <c r="B1951" s="151" t="str">
        <f>'Reported burning'!B1951</f>
        <v>222b.5</v>
      </c>
      <c r="C1951" s="151" t="str">
        <f>'Reported burning'!C1951</f>
        <v>Human, escaped</v>
      </c>
      <c r="D1951" s="151" t="str">
        <f>'Reported burning'!D1951</f>
        <v>ND</v>
      </c>
      <c r="E1951" s="151" t="str">
        <f>'Reported burning'!E1951</f>
        <v>Cattle, Extensive</v>
      </c>
      <c r="F1951" s="151" t="str">
        <f>'Reported burning'!F1951</f>
        <v>Pasture</v>
      </c>
      <c r="G1951" s="151" t="str">
        <f>'Reported burning'!G1951</f>
        <v>ND</v>
      </c>
      <c r="H1951" s="151" t="str">
        <f>'Reported burning'!H1951</f>
        <v>Presence</v>
      </c>
      <c r="I1951" s="5"/>
      <c r="J1951" s="4" t="s">
        <v>2272</v>
      </c>
      <c r="K1951" s="4" t="s">
        <v>2272</v>
      </c>
      <c r="L1951" s="4" t="s">
        <v>2272</v>
      </c>
      <c r="M1951" s="4" t="s">
        <v>2272</v>
      </c>
      <c r="N1951" s="4" t="s">
        <v>2272</v>
      </c>
      <c r="O1951" s="4" t="s">
        <v>2272</v>
      </c>
      <c r="P1951" s="4" t="s">
        <v>2272</v>
      </c>
      <c r="Q1951" s="4" t="s">
        <v>2272</v>
      </c>
      <c r="R1951" s="4" t="s">
        <v>2272</v>
      </c>
      <c r="S1951" s="4" t="s">
        <v>2272</v>
      </c>
      <c r="T1951" s="4" t="s">
        <v>2272</v>
      </c>
      <c r="U1951" s="4" t="s">
        <v>2272</v>
      </c>
      <c r="V1951" s="4" t="s">
        <v>2272</v>
      </c>
      <c r="W1951" s="4" t="s">
        <v>2272</v>
      </c>
      <c r="X1951" s="21" t="s">
        <v>2396</v>
      </c>
      <c r="Y1951" s="4" t="s">
        <v>2272</v>
      </c>
      <c r="Z1951" s="4" t="s">
        <v>2272</v>
      </c>
      <c r="AA1951" s="4" t="s">
        <v>2272</v>
      </c>
      <c r="AB1951" s="4" t="s">
        <v>5608</v>
      </c>
      <c r="AC1951" s="4" t="s">
        <v>5607</v>
      </c>
    </row>
    <row r="1952" spans="1:29" ht="29" customHeight="1">
      <c r="A1952" s="151" t="str">
        <f>'Reported burning'!A1952</f>
        <v>222b</v>
      </c>
      <c r="B1952" s="151" t="str">
        <f>'Reported burning'!B1952</f>
        <v>222b.6</v>
      </c>
      <c r="C1952" s="151" t="str">
        <f>'Reported burning'!C1952</f>
        <v>Human, accidental</v>
      </c>
      <c r="D1952" s="151" t="str">
        <f>'Reported burning'!D1952</f>
        <v>Accidental</v>
      </c>
      <c r="E1952" s="151" t="str">
        <f>'Reported burning'!E1952</f>
        <v>ND</v>
      </c>
      <c r="F1952" s="151" t="str">
        <f>'Reported burning'!F1952</f>
        <v>ND</v>
      </c>
      <c r="G1952" s="151" t="str">
        <f>'Reported burning'!G1952</f>
        <v>ND</v>
      </c>
      <c r="H1952" s="151" t="str">
        <f>'Reported burning'!H1952</f>
        <v>Presence</v>
      </c>
      <c r="I1952" s="5"/>
      <c r="J1952" s="4" t="s">
        <v>2272</v>
      </c>
      <c r="K1952" s="4" t="s">
        <v>2272</v>
      </c>
      <c r="L1952" s="4" t="s">
        <v>2272</v>
      </c>
      <c r="M1952" s="4" t="s">
        <v>2272</v>
      </c>
      <c r="N1952" s="4" t="s">
        <v>2272</v>
      </c>
      <c r="O1952" s="4" t="s">
        <v>2272</v>
      </c>
      <c r="P1952" s="4" t="s">
        <v>2272</v>
      </c>
      <c r="Q1952" s="4" t="s">
        <v>2272</v>
      </c>
      <c r="R1952" s="4" t="s">
        <v>2272</v>
      </c>
      <c r="S1952" s="4" t="s">
        <v>2272</v>
      </c>
      <c r="T1952" s="4" t="s">
        <v>2272</v>
      </c>
      <c r="U1952" s="4" t="s">
        <v>2272</v>
      </c>
      <c r="V1952" s="4" t="s">
        <v>2272</v>
      </c>
      <c r="W1952" s="4" t="s">
        <v>2272</v>
      </c>
      <c r="X1952" s="4" t="s">
        <v>2272</v>
      </c>
      <c r="Y1952" s="4" t="s">
        <v>2272</v>
      </c>
      <c r="Z1952" s="4" t="s">
        <v>2272</v>
      </c>
      <c r="AA1952" s="4" t="s">
        <v>2272</v>
      </c>
      <c r="AB1952" s="3"/>
      <c r="AC1952" s="3"/>
    </row>
    <row r="1953" spans="1:29" ht="29" customHeight="1">
      <c r="A1953" s="151" t="str">
        <f>'Reported burning'!A1953</f>
        <v>222b</v>
      </c>
      <c r="B1953" s="151" t="str">
        <f>'Reported burning'!B1953</f>
        <v>222b.7</v>
      </c>
      <c r="C1953" s="151" t="str">
        <f>'Reported burning'!C1953</f>
        <v>Human, deliberate</v>
      </c>
      <c r="D1953" s="151" t="str">
        <f>'Reported burning'!D1953</f>
        <v>Arson</v>
      </c>
      <c r="E1953" s="151" t="str">
        <f>'Reported burning'!E1953</f>
        <v>ND</v>
      </c>
      <c r="F1953" s="151" t="str">
        <f>'Reported burning'!F1953</f>
        <v>ND</v>
      </c>
      <c r="G1953" s="151" t="str">
        <f>'Reported burning'!G1953</f>
        <v>ND</v>
      </c>
      <c r="H1953" s="151" t="str">
        <f>'Reported burning'!H1953</f>
        <v>Presence</v>
      </c>
      <c r="I1953" s="5"/>
      <c r="J1953" s="4" t="s">
        <v>2272</v>
      </c>
      <c r="K1953" s="4" t="s">
        <v>2272</v>
      </c>
      <c r="L1953" s="4" t="s">
        <v>2272</v>
      </c>
      <c r="M1953" s="4" t="s">
        <v>2272</v>
      </c>
      <c r="N1953" s="4" t="s">
        <v>2272</v>
      </c>
      <c r="O1953" s="4" t="s">
        <v>2272</v>
      </c>
      <c r="P1953" s="4" t="s">
        <v>2272</v>
      </c>
      <c r="Q1953" s="4" t="s">
        <v>2272</v>
      </c>
      <c r="R1953" s="4" t="s">
        <v>2272</v>
      </c>
      <c r="S1953" s="4" t="s">
        <v>2272</v>
      </c>
      <c r="T1953" s="4" t="s">
        <v>2272</v>
      </c>
      <c r="U1953" s="4" t="s">
        <v>2272</v>
      </c>
      <c r="V1953" s="4" t="s">
        <v>2272</v>
      </c>
      <c r="W1953" s="4" t="s">
        <v>2272</v>
      </c>
      <c r="X1953" s="4" t="s">
        <v>2272</v>
      </c>
      <c r="Y1953" s="4" t="s">
        <v>2272</v>
      </c>
      <c r="Z1953" s="4" t="s">
        <v>2272</v>
      </c>
      <c r="AA1953" s="4" t="s">
        <v>2272</v>
      </c>
      <c r="AB1953" s="3"/>
      <c r="AC1953" s="3"/>
    </row>
    <row r="1954" spans="1:29" ht="29" customHeight="1">
      <c r="A1954" s="151" t="str">
        <f>'Reported burning'!A1954</f>
        <v>222b</v>
      </c>
      <c r="B1954" s="151" t="str">
        <f>'Reported burning'!B1954</f>
        <v>222b.8</v>
      </c>
      <c r="C1954" s="151" t="str">
        <f>'Reported burning'!C1954</f>
        <v>Human, deliberate</v>
      </c>
      <c r="D1954" s="151" t="str">
        <f>'Reported burning'!D1954</f>
        <v>Domestic</v>
      </c>
      <c r="E1954" s="151" t="str">
        <f>'Reported burning'!E1954</f>
        <v>ND</v>
      </c>
      <c r="F1954" s="151" t="str">
        <f>'Reported burning'!F1954</f>
        <v>ND</v>
      </c>
      <c r="G1954" s="151" t="str">
        <f>'Reported burning'!G1954</f>
        <v>ND</v>
      </c>
      <c r="H1954" s="151" t="str">
        <f>'Reported burning'!H1954</f>
        <v>Presence</v>
      </c>
      <c r="I1954" s="5"/>
      <c r="J1954" s="4" t="s">
        <v>2272</v>
      </c>
      <c r="K1954" s="4" t="s">
        <v>2272</v>
      </c>
      <c r="L1954" s="4" t="s">
        <v>2272</v>
      </c>
      <c r="M1954" s="4" t="s">
        <v>2272</v>
      </c>
      <c r="N1954" s="4" t="s">
        <v>2272</v>
      </c>
      <c r="O1954" s="4" t="s">
        <v>2272</v>
      </c>
      <c r="P1954" s="4" t="s">
        <v>2272</v>
      </c>
      <c r="Q1954" s="4" t="s">
        <v>2272</v>
      </c>
      <c r="R1954" s="4" t="s">
        <v>2272</v>
      </c>
      <c r="S1954" s="4" t="s">
        <v>2272</v>
      </c>
      <c r="T1954" s="4" t="s">
        <v>2272</v>
      </c>
      <c r="U1954" s="4" t="s">
        <v>2272</v>
      </c>
      <c r="V1954" s="4" t="s">
        <v>2272</v>
      </c>
      <c r="W1954" s="4" t="s">
        <v>2272</v>
      </c>
      <c r="X1954" s="4" t="s">
        <v>2272</v>
      </c>
      <c r="Y1954" s="4" t="s">
        <v>2272</v>
      </c>
      <c r="Z1954" s="4" t="s">
        <v>2272</v>
      </c>
      <c r="AA1954" s="4" t="s">
        <v>2272</v>
      </c>
      <c r="AB1954" s="3"/>
      <c r="AC1954" s="3"/>
    </row>
    <row r="1955" spans="1:29" ht="32.5" customHeight="1">
      <c r="A1955" s="151" t="str">
        <f>'Reported burning'!A1955</f>
        <v>223a</v>
      </c>
      <c r="B1955" s="151" t="str">
        <f>'Reported burning'!B1955</f>
        <v>223a.1</v>
      </c>
      <c r="C1955" s="151" t="str">
        <f>'Reported burning'!C1955</f>
        <v>Human, deliberate</v>
      </c>
      <c r="D1955" s="151" t="str">
        <f>'Reported burning'!D1955</f>
        <v>Crop field preparation</v>
      </c>
      <c r="E1955" s="151" t="str">
        <f>'Reported burning'!E1955</f>
        <v>Cropping, Swidden</v>
      </c>
      <c r="F1955" s="151" t="str">
        <f>'Reported burning'!F1955</f>
        <v>Secondary vegetation</v>
      </c>
      <c r="G1955" s="151" t="str">
        <f>'Reported burning'!G1955</f>
        <v>ND</v>
      </c>
      <c r="H1955" s="151" t="str">
        <f>'Reported burning'!H1955</f>
        <v>Presence</v>
      </c>
      <c r="I1955" s="5"/>
      <c r="J1955" s="4" t="s">
        <v>2272</v>
      </c>
      <c r="K1955" s="4" t="s">
        <v>2272</v>
      </c>
      <c r="L1955" s="4" t="s">
        <v>2272</v>
      </c>
      <c r="M1955" s="4" t="s">
        <v>2272</v>
      </c>
      <c r="N1955" s="4" t="s">
        <v>2272</v>
      </c>
      <c r="O1955" s="4" t="s">
        <v>2272</v>
      </c>
      <c r="P1955" s="4" t="s">
        <v>2272</v>
      </c>
      <c r="Q1955" s="4" t="s">
        <v>2272</v>
      </c>
      <c r="R1955" s="4" t="s">
        <v>2272</v>
      </c>
      <c r="S1955" s="4" t="s">
        <v>2272</v>
      </c>
      <c r="T1955" s="4" t="s">
        <v>2272</v>
      </c>
      <c r="U1955" s="4" t="s">
        <v>2272</v>
      </c>
      <c r="V1955" s="4" t="s">
        <v>2272</v>
      </c>
      <c r="W1955" s="4" t="s">
        <v>2272</v>
      </c>
      <c r="X1955" s="4" t="s">
        <v>2272</v>
      </c>
      <c r="Y1955" s="4" t="s">
        <v>2272</v>
      </c>
      <c r="Z1955" s="4" t="s">
        <v>2272</v>
      </c>
      <c r="AA1955" s="4" t="s">
        <v>2272</v>
      </c>
      <c r="AB1955" s="3"/>
      <c r="AC1955" s="3"/>
    </row>
    <row r="1956" spans="1:29" ht="32.5" customHeight="1">
      <c r="A1956" s="151" t="str">
        <f>'Reported burning'!A1956</f>
        <v>223b</v>
      </c>
      <c r="B1956" s="151" t="str">
        <f>'Reported burning'!B1956</f>
        <v>223b.1</v>
      </c>
      <c r="C1956" s="151" t="str">
        <f>'Reported burning'!C1956</f>
        <v>Human, deliberate</v>
      </c>
      <c r="D1956" s="151" t="str">
        <f>'Reported burning'!D1956</f>
        <v>Crop field preparation</v>
      </c>
      <c r="E1956" s="151" t="str">
        <f>'Reported burning'!E1956</f>
        <v>Cropping, Swidden</v>
      </c>
      <c r="F1956" s="151" t="str">
        <f>'Reported burning'!F1956</f>
        <v>Secondary vegetation</v>
      </c>
      <c r="G1956" s="151" t="str">
        <f>'Reported burning'!G1956</f>
        <v>ND</v>
      </c>
      <c r="H1956" s="151" t="str">
        <f>'Reported burning'!H1956</f>
        <v>Presence</v>
      </c>
      <c r="I1956" s="5"/>
      <c r="J1956" s="4" t="s">
        <v>2272</v>
      </c>
      <c r="K1956" s="4" t="s">
        <v>2272</v>
      </c>
      <c r="L1956" s="4" t="s">
        <v>2272</v>
      </c>
      <c r="M1956" s="4" t="s">
        <v>2272</v>
      </c>
      <c r="N1956" s="4" t="s">
        <v>2272</v>
      </c>
      <c r="O1956" s="4" t="s">
        <v>2272</v>
      </c>
      <c r="P1956" s="4" t="s">
        <v>2272</v>
      </c>
      <c r="Q1956" s="4" t="s">
        <v>2272</v>
      </c>
      <c r="R1956" s="4" t="s">
        <v>2272</v>
      </c>
      <c r="S1956" s="4" t="s">
        <v>2272</v>
      </c>
      <c r="T1956" s="4" t="s">
        <v>2272</v>
      </c>
      <c r="U1956" s="4" t="s">
        <v>2272</v>
      </c>
      <c r="V1956" s="4" t="s">
        <v>2272</v>
      </c>
      <c r="W1956" s="4" t="s">
        <v>2272</v>
      </c>
      <c r="X1956" s="4" t="s">
        <v>2272</v>
      </c>
      <c r="Y1956" s="4" t="s">
        <v>2272</v>
      </c>
      <c r="Z1956" s="4" t="s">
        <v>2272</v>
      </c>
      <c r="AA1956" s="4" t="s">
        <v>2272</v>
      </c>
      <c r="AB1956" s="3"/>
      <c r="AC1956" s="3"/>
    </row>
    <row r="1957" spans="1:29" ht="32.5" customHeight="1">
      <c r="A1957" s="151" t="str">
        <f>'Reported burning'!A1957</f>
        <v>223c</v>
      </c>
      <c r="B1957" s="151" t="str">
        <f>'Reported burning'!B1957</f>
        <v>223c.1</v>
      </c>
      <c r="C1957" s="151" t="str">
        <f>'Reported burning'!C1957</f>
        <v>Human, deliberate</v>
      </c>
      <c r="D1957" s="151" t="str">
        <f>'Reported burning'!D1957</f>
        <v>Crop field preparation</v>
      </c>
      <c r="E1957" s="151" t="str">
        <f>'Reported burning'!E1957</f>
        <v>Cropping, Swidden</v>
      </c>
      <c r="F1957" s="151" t="str">
        <f>'Reported burning'!F1957</f>
        <v>Secondary vegetation</v>
      </c>
      <c r="G1957" s="151" t="str">
        <f>'Reported burning'!G1957</f>
        <v>ND</v>
      </c>
      <c r="H1957" s="151" t="str">
        <f>'Reported burning'!H1957</f>
        <v>Presence</v>
      </c>
      <c r="I1957" s="5"/>
      <c r="J1957" s="4" t="s">
        <v>2272</v>
      </c>
      <c r="K1957" s="4" t="s">
        <v>2272</v>
      </c>
      <c r="L1957" s="4" t="s">
        <v>2272</v>
      </c>
      <c r="M1957" s="4" t="s">
        <v>2272</v>
      </c>
      <c r="N1957" s="4" t="s">
        <v>2272</v>
      </c>
      <c r="O1957" s="4" t="s">
        <v>2272</v>
      </c>
      <c r="P1957" s="4" t="s">
        <v>2272</v>
      </c>
      <c r="Q1957" s="4" t="s">
        <v>2272</v>
      </c>
      <c r="R1957" s="4" t="s">
        <v>2272</v>
      </c>
      <c r="S1957" s="4" t="s">
        <v>2272</v>
      </c>
      <c r="T1957" s="4" t="s">
        <v>2272</v>
      </c>
      <c r="U1957" s="4" t="s">
        <v>2272</v>
      </c>
      <c r="V1957" s="4" t="s">
        <v>2272</v>
      </c>
      <c r="W1957" s="4" t="s">
        <v>2272</v>
      </c>
      <c r="X1957" s="4" t="s">
        <v>2272</v>
      </c>
      <c r="Y1957" s="4" t="s">
        <v>2272</v>
      </c>
      <c r="Z1957" s="4" t="s">
        <v>2272</v>
      </c>
      <c r="AA1957" s="4" t="s">
        <v>2272</v>
      </c>
      <c r="AB1957" s="3"/>
      <c r="AC1957" s="3"/>
    </row>
    <row r="1958" spans="1:29" ht="32.5" customHeight="1">
      <c r="A1958" s="151" t="str">
        <f>'Reported burning'!A1958</f>
        <v>223d</v>
      </c>
      <c r="B1958" s="151" t="str">
        <f>'Reported burning'!B1958</f>
        <v>223d.1</v>
      </c>
      <c r="C1958" s="151" t="str">
        <f>'Reported burning'!C1958</f>
        <v>Human, deliberate</v>
      </c>
      <c r="D1958" s="151" t="str">
        <f>'Reported burning'!D1958</f>
        <v>Crop field preparation</v>
      </c>
      <c r="E1958" s="151" t="str">
        <f>'Reported burning'!E1958</f>
        <v>Cropping, Swidden</v>
      </c>
      <c r="F1958" s="151" t="str">
        <f>'Reported burning'!F1958</f>
        <v>Secondary vegetation</v>
      </c>
      <c r="G1958" s="151" t="str">
        <f>'Reported burning'!G1958</f>
        <v>ND</v>
      </c>
      <c r="H1958" s="151" t="str">
        <f>'Reported burning'!H1958</f>
        <v>Presence</v>
      </c>
      <c r="I1958" s="5"/>
      <c r="J1958" s="4" t="s">
        <v>2272</v>
      </c>
      <c r="K1958" s="4" t="s">
        <v>2272</v>
      </c>
      <c r="L1958" s="4" t="s">
        <v>2272</v>
      </c>
      <c r="M1958" s="4" t="s">
        <v>2272</v>
      </c>
      <c r="N1958" s="4" t="s">
        <v>2272</v>
      </c>
      <c r="O1958" s="4" t="s">
        <v>2272</v>
      </c>
      <c r="P1958" s="4" t="s">
        <v>2272</v>
      </c>
      <c r="Q1958" s="4" t="s">
        <v>2272</v>
      </c>
      <c r="R1958" s="4" t="s">
        <v>2272</v>
      </c>
      <c r="S1958" s="4" t="s">
        <v>2272</v>
      </c>
      <c r="T1958" s="4" t="s">
        <v>2272</v>
      </c>
      <c r="U1958" s="4" t="s">
        <v>2272</v>
      </c>
      <c r="V1958" s="4" t="s">
        <v>2272</v>
      </c>
      <c r="W1958" s="4" t="s">
        <v>2272</v>
      </c>
      <c r="X1958" s="4" t="s">
        <v>2272</v>
      </c>
      <c r="Y1958" s="4" t="s">
        <v>2272</v>
      </c>
      <c r="Z1958" s="4" t="s">
        <v>2272</v>
      </c>
      <c r="AA1958" s="4" t="s">
        <v>2272</v>
      </c>
      <c r="AB1958" s="3"/>
      <c r="AC1958" s="3"/>
    </row>
    <row r="1959" spans="1:29" ht="32.5" customHeight="1">
      <c r="A1959" s="151" t="str">
        <f>'Reported burning'!A1959</f>
        <v>223a</v>
      </c>
      <c r="B1959" s="151" t="str">
        <f>'Reported burning'!B1959</f>
        <v>223a.2</v>
      </c>
      <c r="C1959" s="151" t="str">
        <f>'Reported burning'!C1959</f>
        <v>Human, deliberate</v>
      </c>
      <c r="D1959" s="151" t="str">
        <f>'Reported burning'!D1959</f>
        <v>Pasture renewal</v>
      </c>
      <c r="E1959" s="151" t="str">
        <f>'Reported burning'!E1959</f>
        <v>Cattle, Extensive</v>
      </c>
      <c r="F1959" s="151" t="str">
        <f>'Reported burning'!F1959</f>
        <v>Pasture</v>
      </c>
      <c r="G1959" s="151" t="str">
        <f>'Reported burning'!G1959</f>
        <v>ND</v>
      </c>
      <c r="H1959" s="151" t="str">
        <f>'Reported burning'!H1959</f>
        <v>Presence</v>
      </c>
      <c r="I1959" s="5"/>
      <c r="J1959" s="4" t="s">
        <v>2272</v>
      </c>
      <c r="K1959" s="4" t="s">
        <v>2272</v>
      </c>
      <c r="L1959" s="4" t="s">
        <v>2272</v>
      </c>
      <c r="M1959" s="4" t="s">
        <v>2272</v>
      </c>
      <c r="N1959" s="4" t="s">
        <v>2272</v>
      </c>
      <c r="O1959" s="4" t="s">
        <v>2272</v>
      </c>
      <c r="P1959" s="4" t="s">
        <v>2272</v>
      </c>
      <c r="Q1959" s="4" t="s">
        <v>2272</v>
      </c>
      <c r="R1959" s="4" t="s">
        <v>2272</v>
      </c>
      <c r="S1959" s="4" t="s">
        <v>2272</v>
      </c>
      <c r="T1959" s="4" t="s">
        <v>2272</v>
      </c>
      <c r="U1959" s="4" t="s">
        <v>2272</v>
      </c>
      <c r="V1959" s="4" t="s">
        <v>2272</v>
      </c>
      <c r="W1959" s="4" t="s">
        <v>2272</v>
      </c>
      <c r="X1959" s="4" t="s">
        <v>2272</v>
      </c>
      <c r="Y1959" s="4" t="s">
        <v>2272</v>
      </c>
      <c r="Z1959" s="4" t="s">
        <v>2272</v>
      </c>
      <c r="AA1959" s="4" t="s">
        <v>2272</v>
      </c>
      <c r="AB1959" s="3"/>
      <c r="AC1959" s="3"/>
    </row>
    <row r="1960" spans="1:29" ht="32.5" customHeight="1">
      <c r="A1960" s="151" t="str">
        <f>'Reported burning'!A1960</f>
        <v>223b</v>
      </c>
      <c r="B1960" s="151" t="str">
        <f>'Reported burning'!B1960</f>
        <v>223b.2</v>
      </c>
      <c r="C1960" s="151" t="str">
        <f>'Reported burning'!C1960</f>
        <v>Human, deliberate</v>
      </c>
      <c r="D1960" s="151" t="str">
        <f>'Reported burning'!D1960</f>
        <v>Pasture renewal</v>
      </c>
      <c r="E1960" s="151" t="str">
        <f>'Reported burning'!E1960</f>
        <v>Cattle, Extensive</v>
      </c>
      <c r="F1960" s="151" t="str">
        <f>'Reported burning'!F1960</f>
        <v>Pasture</v>
      </c>
      <c r="G1960" s="151" t="str">
        <f>'Reported burning'!G1960</f>
        <v>ND</v>
      </c>
      <c r="H1960" s="151" t="str">
        <f>'Reported burning'!H1960</f>
        <v>Presence</v>
      </c>
      <c r="I1960" s="5"/>
      <c r="J1960" s="4" t="s">
        <v>2272</v>
      </c>
      <c r="K1960" s="4" t="s">
        <v>2272</v>
      </c>
      <c r="L1960" s="4" t="s">
        <v>2272</v>
      </c>
      <c r="M1960" s="4" t="s">
        <v>2272</v>
      </c>
      <c r="N1960" s="4" t="s">
        <v>2272</v>
      </c>
      <c r="O1960" s="4" t="s">
        <v>2272</v>
      </c>
      <c r="P1960" s="4" t="s">
        <v>2272</v>
      </c>
      <c r="Q1960" s="4" t="s">
        <v>2272</v>
      </c>
      <c r="R1960" s="4" t="s">
        <v>2272</v>
      </c>
      <c r="S1960" s="4" t="s">
        <v>2272</v>
      </c>
      <c r="T1960" s="4" t="s">
        <v>2272</v>
      </c>
      <c r="U1960" s="4" t="s">
        <v>2272</v>
      </c>
      <c r="V1960" s="4" t="s">
        <v>2272</v>
      </c>
      <c r="W1960" s="4" t="s">
        <v>2272</v>
      </c>
      <c r="X1960" s="4" t="s">
        <v>2272</v>
      </c>
      <c r="Y1960" s="4" t="s">
        <v>2272</v>
      </c>
      <c r="Z1960" s="4" t="s">
        <v>2272</v>
      </c>
      <c r="AA1960" s="4" t="s">
        <v>2272</v>
      </c>
      <c r="AB1960" s="3"/>
      <c r="AC1960" s="3"/>
    </row>
    <row r="1961" spans="1:29" ht="32.5" customHeight="1">
      <c r="A1961" s="151" t="str">
        <f>'Reported burning'!A1961</f>
        <v>223c</v>
      </c>
      <c r="B1961" s="151" t="str">
        <f>'Reported burning'!B1961</f>
        <v>223c.2</v>
      </c>
      <c r="C1961" s="151" t="str">
        <f>'Reported burning'!C1961</f>
        <v>Human, deliberate</v>
      </c>
      <c r="D1961" s="151" t="str">
        <f>'Reported burning'!D1961</f>
        <v>Pasture renewal</v>
      </c>
      <c r="E1961" s="151" t="str">
        <f>'Reported burning'!E1961</f>
        <v>Cattle, Extensive</v>
      </c>
      <c r="F1961" s="151" t="str">
        <f>'Reported burning'!F1961</f>
        <v>Pasture</v>
      </c>
      <c r="G1961" s="151" t="str">
        <f>'Reported burning'!G1961</f>
        <v>ND</v>
      </c>
      <c r="H1961" s="151" t="str">
        <f>'Reported burning'!H1961</f>
        <v>Presence</v>
      </c>
      <c r="I1961" s="5"/>
      <c r="J1961" s="4" t="s">
        <v>2272</v>
      </c>
      <c r="K1961" s="4" t="s">
        <v>2272</v>
      </c>
      <c r="L1961" s="4" t="s">
        <v>2272</v>
      </c>
      <c r="M1961" s="4" t="s">
        <v>2272</v>
      </c>
      <c r="N1961" s="4" t="s">
        <v>2272</v>
      </c>
      <c r="O1961" s="4" t="s">
        <v>2272</v>
      </c>
      <c r="P1961" s="4" t="s">
        <v>2272</v>
      </c>
      <c r="Q1961" s="4" t="s">
        <v>2272</v>
      </c>
      <c r="R1961" s="4" t="s">
        <v>2272</v>
      </c>
      <c r="S1961" s="4" t="s">
        <v>2272</v>
      </c>
      <c r="T1961" s="4" t="s">
        <v>2272</v>
      </c>
      <c r="U1961" s="4" t="s">
        <v>2272</v>
      </c>
      <c r="V1961" s="4" t="s">
        <v>2272</v>
      </c>
      <c r="W1961" s="4" t="s">
        <v>2272</v>
      </c>
      <c r="X1961" s="4" t="s">
        <v>2272</v>
      </c>
      <c r="Y1961" s="4" t="s">
        <v>2272</v>
      </c>
      <c r="Z1961" s="4" t="s">
        <v>2272</v>
      </c>
      <c r="AA1961" s="4" t="s">
        <v>2272</v>
      </c>
      <c r="AB1961" s="3"/>
      <c r="AC1961" s="3"/>
    </row>
    <row r="1962" spans="1:29" ht="85.5" customHeight="1">
      <c r="A1962" s="151" t="str">
        <f>'Reported burning'!A1962</f>
        <v>223d</v>
      </c>
      <c r="B1962" s="151" t="str">
        <f>'Reported burning'!B1962</f>
        <v>223d.2</v>
      </c>
      <c r="C1962" s="151" t="str">
        <f>'Reported burning'!C1962</f>
        <v>Human, deliberate</v>
      </c>
      <c r="D1962" s="151" t="str">
        <f>'Reported burning'!D1962</f>
        <v>Pasture renewal</v>
      </c>
      <c r="E1962" s="151" t="str">
        <f>'Reported burning'!E1962</f>
        <v>Cattle, Extensive</v>
      </c>
      <c r="F1962" s="151" t="str">
        <f>'Reported burning'!F1962</f>
        <v>Pasture</v>
      </c>
      <c r="G1962" s="151" t="str">
        <f>'Reported burning'!G1962</f>
        <v>ND</v>
      </c>
      <c r="H1962" s="151" t="str">
        <f>'Reported burning'!H1962</f>
        <v>Presence</v>
      </c>
      <c r="I1962" s="5"/>
      <c r="J1962" s="4" t="s">
        <v>2272</v>
      </c>
      <c r="K1962" s="4" t="s">
        <v>2272</v>
      </c>
      <c r="L1962" s="4" t="s">
        <v>2272</v>
      </c>
      <c r="M1962" s="4" t="s">
        <v>2272</v>
      </c>
      <c r="N1962" s="4" t="s">
        <v>2272</v>
      </c>
      <c r="O1962" s="4" t="s">
        <v>2272</v>
      </c>
      <c r="P1962" s="4" t="s">
        <v>2272</v>
      </c>
      <c r="Q1962" s="4" t="s">
        <v>2272</v>
      </c>
      <c r="R1962" s="4" t="s">
        <v>2272</v>
      </c>
      <c r="S1962" s="4" t="s">
        <v>2272</v>
      </c>
      <c r="T1962" s="4" t="s">
        <v>2272</v>
      </c>
      <c r="U1962" s="4" t="s">
        <v>2272</v>
      </c>
      <c r="V1962" s="4" t="s">
        <v>2272</v>
      </c>
      <c r="W1962" s="4" t="s">
        <v>2272</v>
      </c>
      <c r="X1962" s="4" t="s">
        <v>2272</v>
      </c>
      <c r="Y1962" s="4" t="s">
        <v>2272</v>
      </c>
      <c r="Z1962" s="4" t="s">
        <v>2272</v>
      </c>
      <c r="AA1962" s="4" t="s">
        <v>2272</v>
      </c>
      <c r="AB1962" s="4"/>
      <c r="AC1962" s="4"/>
    </row>
    <row r="1963" spans="1:29" ht="85.5" customHeight="1">
      <c r="A1963" s="151" t="str">
        <f>'Reported burning'!A1963</f>
        <v>223a</v>
      </c>
      <c r="B1963" s="151" t="str">
        <f>'Reported burning'!B1963</f>
        <v>223a.3</v>
      </c>
      <c r="C1963" s="151" t="str">
        <f>'Reported burning'!C1963</f>
        <v>Human, escaped</v>
      </c>
      <c r="D1963" s="151" t="str">
        <f>'Reported burning'!D1963</f>
        <v>ND</v>
      </c>
      <c r="E1963" s="151" t="str">
        <f>'Reported burning'!E1963</f>
        <v>ND</v>
      </c>
      <c r="F1963" s="151" t="str">
        <f>'Reported burning'!F1963</f>
        <v>ND</v>
      </c>
      <c r="G1963" s="151" t="str">
        <f>'Reported burning'!G1963</f>
        <v>ND</v>
      </c>
      <c r="H1963" s="151" t="str">
        <f>'Reported burning'!H1963</f>
        <v>Presence</v>
      </c>
      <c r="I1963" s="5"/>
      <c r="J1963" s="4" t="s">
        <v>2272</v>
      </c>
      <c r="K1963" s="4" t="s">
        <v>2272</v>
      </c>
      <c r="L1963" s="4" t="s">
        <v>2272</v>
      </c>
      <c r="M1963" s="4" t="s">
        <v>2272</v>
      </c>
      <c r="N1963" s="4" t="s">
        <v>2272</v>
      </c>
      <c r="O1963" s="4" t="s">
        <v>2272</v>
      </c>
      <c r="P1963" s="4" t="s">
        <v>2272</v>
      </c>
      <c r="Q1963" s="4" t="s">
        <v>2272</v>
      </c>
      <c r="R1963" s="4" t="s">
        <v>2272</v>
      </c>
      <c r="S1963" s="21" t="s">
        <v>2373</v>
      </c>
      <c r="T1963" s="4" t="s">
        <v>2272</v>
      </c>
      <c r="U1963" s="4" t="s">
        <v>2272</v>
      </c>
      <c r="V1963" s="4" t="s">
        <v>2272</v>
      </c>
      <c r="W1963" s="4" t="s">
        <v>2272</v>
      </c>
      <c r="X1963" s="21" t="s">
        <v>2398</v>
      </c>
      <c r="Y1963" s="4" t="s">
        <v>2272</v>
      </c>
      <c r="Z1963" s="4" t="s">
        <v>2272</v>
      </c>
      <c r="AA1963" s="4" t="s">
        <v>2272</v>
      </c>
      <c r="AB1963" s="4" t="s">
        <v>5640</v>
      </c>
      <c r="AC1963" s="4" t="s">
        <v>5641</v>
      </c>
    </row>
    <row r="1964" spans="1:29" ht="85.5" customHeight="1">
      <c r="A1964" s="151" t="str">
        <f>'Reported burning'!A1964</f>
        <v>223b</v>
      </c>
      <c r="B1964" s="151" t="str">
        <f>'Reported burning'!B1964</f>
        <v>223b.3</v>
      </c>
      <c r="C1964" s="151" t="str">
        <f>'Reported burning'!C1964</f>
        <v>Human, escaped</v>
      </c>
      <c r="D1964" s="151" t="str">
        <f>'Reported burning'!D1964</f>
        <v>ND</v>
      </c>
      <c r="E1964" s="151" t="str">
        <f>'Reported burning'!E1964</f>
        <v>ND</v>
      </c>
      <c r="F1964" s="151" t="str">
        <f>'Reported burning'!F1964</f>
        <v>ND</v>
      </c>
      <c r="G1964" s="151" t="str">
        <f>'Reported burning'!G1964</f>
        <v>ND</v>
      </c>
      <c r="H1964" s="151" t="str">
        <f>'Reported burning'!H1964</f>
        <v>Presence</v>
      </c>
      <c r="I1964" s="5"/>
      <c r="J1964" s="4" t="s">
        <v>2272</v>
      </c>
      <c r="K1964" s="4" t="s">
        <v>2272</v>
      </c>
      <c r="L1964" s="4" t="s">
        <v>2272</v>
      </c>
      <c r="M1964" s="4" t="s">
        <v>2272</v>
      </c>
      <c r="N1964" s="4" t="s">
        <v>2272</v>
      </c>
      <c r="O1964" s="4" t="s">
        <v>2272</v>
      </c>
      <c r="P1964" s="4" t="s">
        <v>2272</v>
      </c>
      <c r="Q1964" s="4" t="s">
        <v>2272</v>
      </c>
      <c r="R1964" s="4" t="s">
        <v>2272</v>
      </c>
      <c r="S1964" s="21" t="s">
        <v>2373</v>
      </c>
      <c r="T1964" s="4" t="s">
        <v>2272</v>
      </c>
      <c r="U1964" s="4" t="s">
        <v>2272</v>
      </c>
      <c r="V1964" s="4" t="s">
        <v>2272</v>
      </c>
      <c r="W1964" s="4" t="s">
        <v>2272</v>
      </c>
      <c r="X1964" s="21" t="s">
        <v>2398</v>
      </c>
      <c r="Y1964" s="4" t="s">
        <v>2272</v>
      </c>
      <c r="Z1964" s="4" t="s">
        <v>2272</v>
      </c>
      <c r="AA1964" s="4" t="s">
        <v>2272</v>
      </c>
      <c r="AB1964" s="4" t="s">
        <v>5640</v>
      </c>
      <c r="AC1964" s="4" t="s">
        <v>5641</v>
      </c>
    </row>
    <row r="1965" spans="1:29" ht="85.5" customHeight="1">
      <c r="A1965" s="151" t="str">
        <f>'Reported burning'!A1965</f>
        <v>223c</v>
      </c>
      <c r="B1965" s="151" t="str">
        <f>'Reported burning'!B1965</f>
        <v>223c.3</v>
      </c>
      <c r="C1965" s="151" t="str">
        <f>'Reported burning'!C1965</f>
        <v>Human, escaped</v>
      </c>
      <c r="D1965" s="151" t="str">
        <f>'Reported burning'!D1965</f>
        <v>ND</v>
      </c>
      <c r="E1965" s="151" t="str">
        <f>'Reported burning'!E1965</f>
        <v>ND</v>
      </c>
      <c r="F1965" s="151" t="str">
        <f>'Reported burning'!F1965</f>
        <v>ND</v>
      </c>
      <c r="G1965" s="151" t="str">
        <f>'Reported burning'!G1965</f>
        <v>ND</v>
      </c>
      <c r="H1965" s="151" t="str">
        <f>'Reported burning'!H1965</f>
        <v>Presence</v>
      </c>
      <c r="I1965" s="5"/>
      <c r="J1965" s="4" t="s">
        <v>2272</v>
      </c>
      <c r="K1965" s="4" t="s">
        <v>2272</v>
      </c>
      <c r="L1965" s="4" t="s">
        <v>2272</v>
      </c>
      <c r="M1965" s="4" t="s">
        <v>2272</v>
      </c>
      <c r="N1965" s="4" t="s">
        <v>2272</v>
      </c>
      <c r="O1965" s="4" t="s">
        <v>2272</v>
      </c>
      <c r="P1965" s="4" t="s">
        <v>2272</v>
      </c>
      <c r="Q1965" s="4" t="s">
        <v>2272</v>
      </c>
      <c r="R1965" s="4" t="s">
        <v>2272</v>
      </c>
      <c r="S1965" s="21" t="s">
        <v>2373</v>
      </c>
      <c r="T1965" s="4" t="s">
        <v>2272</v>
      </c>
      <c r="U1965" s="4" t="s">
        <v>2272</v>
      </c>
      <c r="V1965" s="4" t="s">
        <v>2272</v>
      </c>
      <c r="W1965" s="4" t="s">
        <v>2272</v>
      </c>
      <c r="X1965" s="21" t="s">
        <v>2398</v>
      </c>
      <c r="Y1965" s="4" t="s">
        <v>2272</v>
      </c>
      <c r="Z1965" s="4" t="s">
        <v>2272</v>
      </c>
      <c r="AA1965" s="4" t="s">
        <v>2272</v>
      </c>
      <c r="AB1965" s="4" t="s">
        <v>5640</v>
      </c>
      <c r="AC1965" s="4" t="s">
        <v>5641</v>
      </c>
    </row>
    <row r="1966" spans="1:29" ht="85.5" customHeight="1">
      <c r="A1966" s="151" t="str">
        <f>'Reported burning'!A1966</f>
        <v>223d</v>
      </c>
      <c r="B1966" s="151" t="str">
        <f>'Reported burning'!B1966</f>
        <v>223d.3</v>
      </c>
      <c r="C1966" s="151" t="str">
        <f>'Reported burning'!C1966</f>
        <v>Human, escaped</v>
      </c>
      <c r="D1966" s="151" t="str">
        <f>'Reported burning'!D1966</f>
        <v>ND</v>
      </c>
      <c r="E1966" s="151" t="str">
        <f>'Reported burning'!E1966</f>
        <v>ND</v>
      </c>
      <c r="F1966" s="151" t="str">
        <f>'Reported burning'!F1966</f>
        <v>ND</v>
      </c>
      <c r="G1966" s="151" t="str">
        <f>'Reported burning'!G1966</f>
        <v>ND</v>
      </c>
      <c r="H1966" s="151" t="str">
        <f>'Reported burning'!H1966</f>
        <v>Presence</v>
      </c>
      <c r="I1966" s="5"/>
      <c r="J1966" s="4" t="s">
        <v>2272</v>
      </c>
      <c r="K1966" s="4" t="s">
        <v>2272</v>
      </c>
      <c r="L1966" s="4" t="s">
        <v>2272</v>
      </c>
      <c r="M1966" s="4" t="s">
        <v>2272</v>
      </c>
      <c r="N1966" s="4" t="s">
        <v>2272</v>
      </c>
      <c r="O1966" s="4" t="s">
        <v>2272</v>
      </c>
      <c r="P1966" s="4" t="s">
        <v>2272</v>
      </c>
      <c r="Q1966" s="4" t="s">
        <v>2272</v>
      </c>
      <c r="R1966" s="4" t="s">
        <v>2272</v>
      </c>
      <c r="S1966" s="21" t="s">
        <v>2373</v>
      </c>
      <c r="T1966" s="4" t="s">
        <v>2272</v>
      </c>
      <c r="U1966" s="4" t="s">
        <v>2272</v>
      </c>
      <c r="V1966" s="4" t="s">
        <v>2272</v>
      </c>
      <c r="W1966" s="4" t="s">
        <v>2272</v>
      </c>
      <c r="X1966" s="21" t="s">
        <v>2398</v>
      </c>
      <c r="Y1966" s="4" t="s">
        <v>2272</v>
      </c>
      <c r="Z1966" s="4" t="s">
        <v>2272</v>
      </c>
      <c r="AA1966" s="4" t="s">
        <v>2272</v>
      </c>
      <c r="AB1966" s="4" t="s">
        <v>5640</v>
      </c>
      <c r="AC1966" s="4" t="s">
        <v>5641</v>
      </c>
    </row>
    <row r="1967" spans="1:29" ht="40" customHeight="1">
      <c r="A1967" s="151" t="str">
        <f>'Reported burning'!A1967</f>
        <v>224a</v>
      </c>
      <c r="B1967" s="151" t="str">
        <f>'Reported burning'!B1967</f>
        <v>224a.1</v>
      </c>
      <c r="C1967" s="151" t="str">
        <f>'Reported burning'!C1967</f>
        <v>Human, deliberate</v>
      </c>
      <c r="D1967" s="151" t="str">
        <f>'Reported burning'!D1967</f>
        <v>Land clearance</v>
      </c>
      <c r="E1967" s="151" t="str">
        <f>'Reported burning'!E1967</f>
        <v>Cropping, Swidden</v>
      </c>
      <c r="F1967" s="151" t="str">
        <f>'Reported burning'!F1967</f>
        <v>Forest</v>
      </c>
      <c r="G1967" s="151" t="str">
        <f>'Reported burning'!G1967</f>
        <v>ND</v>
      </c>
      <c r="H1967" s="151" t="str">
        <f>'Reported burning'!H1967</f>
        <v>Presence</v>
      </c>
      <c r="I1967" s="5"/>
      <c r="J1967" s="4" t="s">
        <v>2272</v>
      </c>
      <c r="K1967" s="4" t="s">
        <v>2272</v>
      </c>
      <c r="L1967" s="4" t="s">
        <v>2272</v>
      </c>
      <c r="M1967" s="4" t="s">
        <v>2272</v>
      </c>
      <c r="N1967" s="4" t="s">
        <v>2272</v>
      </c>
      <c r="O1967" s="4" t="s">
        <v>2272</v>
      </c>
      <c r="P1967" s="4" t="s">
        <v>2272</v>
      </c>
      <c r="Q1967" s="4" t="s">
        <v>2272</v>
      </c>
      <c r="R1967" s="4" t="s">
        <v>2272</v>
      </c>
      <c r="S1967" s="4" t="s">
        <v>2272</v>
      </c>
      <c r="T1967" s="4" t="s">
        <v>2272</v>
      </c>
      <c r="U1967" s="4" t="s">
        <v>2272</v>
      </c>
      <c r="V1967" s="4" t="s">
        <v>2272</v>
      </c>
      <c r="W1967" s="4" t="s">
        <v>2272</v>
      </c>
      <c r="X1967" s="4" t="s">
        <v>2272</v>
      </c>
      <c r="Y1967" s="4" t="s">
        <v>2272</v>
      </c>
      <c r="Z1967" s="4" t="s">
        <v>2272</v>
      </c>
      <c r="AA1967" s="4" t="s">
        <v>2272</v>
      </c>
      <c r="AB1967" s="3"/>
      <c r="AC1967" s="3"/>
    </row>
    <row r="1968" spans="1:29" ht="40" customHeight="1">
      <c r="A1968" s="151" t="str">
        <f>'Reported burning'!A1968</f>
        <v>224a</v>
      </c>
      <c r="B1968" s="151" t="str">
        <f>'Reported burning'!B1968</f>
        <v>224a.2</v>
      </c>
      <c r="C1968" s="151" t="str">
        <f>'Reported burning'!C1968</f>
        <v>Human, deliberate</v>
      </c>
      <c r="D1968" s="151" t="str">
        <f>'Reported burning'!D1968</f>
        <v>Land clearance</v>
      </c>
      <c r="E1968" s="151" t="str">
        <f>'Reported burning'!E1968</f>
        <v>Cropping, Monoculture, Market-oriented</v>
      </c>
      <c r="F1968" s="151" t="str">
        <f>'Reported burning'!F1968</f>
        <v>Forest</v>
      </c>
      <c r="G1968" s="151" t="str">
        <f>'Reported burning'!G1968</f>
        <v>ND</v>
      </c>
      <c r="H1968" s="151" t="str">
        <f>'Reported burning'!H1968</f>
        <v>Presence</v>
      </c>
      <c r="I1968" s="5"/>
      <c r="J1968" s="4" t="s">
        <v>2272</v>
      </c>
      <c r="K1968" s="4" t="s">
        <v>2272</v>
      </c>
      <c r="L1968" s="4" t="s">
        <v>2272</v>
      </c>
      <c r="M1968" s="4" t="s">
        <v>2272</v>
      </c>
      <c r="N1968" s="4" t="s">
        <v>2272</v>
      </c>
      <c r="O1968" s="4" t="s">
        <v>2272</v>
      </c>
      <c r="P1968" s="4" t="s">
        <v>2272</v>
      </c>
      <c r="Q1968" s="4" t="s">
        <v>2272</v>
      </c>
      <c r="R1968" s="4" t="s">
        <v>2272</v>
      </c>
      <c r="S1968" s="4" t="s">
        <v>2272</v>
      </c>
      <c r="T1968" s="4" t="s">
        <v>2272</v>
      </c>
      <c r="U1968" s="4" t="s">
        <v>2272</v>
      </c>
      <c r="V1968" s="4" t="s">
        <v>2272</v>
      </c>
      <c r="W1968" s="4" t="s">
        <v>2272</v>
      </c>
      <c r="X1968" s="4" t="s">
        <v>2272</v>
      </c>
      <c r="Y1968" s="4" t="s">
        <v>2272</v>
      </c>
      <c r="Z1968" s="4" t="s">
        <v>2272</v>
      </c>
      <c r="AA1968" s="4" t="s">
        <v>2272</v>
      </c>
      <c r="AB1968" s="3"/>
      <c r="AC1968" s="3"/>
    </row>
    <row r="1969" spans="1:29" ht="40" customHeight="1">
      <c r="A1969" s="151" t="str">
        <f>'Reported burning'!A1969</f>
        <v>224a</v>
      </c>
      <c r="B1969" s="151" t="str">
        <f>'Reported burning'!B1969</f>
        <v>224a.3</v>
      </c>
      <c r="C1969" s="151" t="str">
        <f>'Reported burning'!C1969</f>
        <v>Human, deliberate</v>
      </c>
      <c r="D1969" s="151" t="str">
        <f>'Reported burning'!D1969</f>
        <v>Land clearance</v>
      </c>
      <c r="E1969" s="151" t="str">
        <f>'Reported burning'!E1969</f>
        <v>Cattle, Intensive</v>
      </c>
      <c r="F1969" s="151" t="str">
        <f>'Reported burning'!F1969</f>
        <v>Forest</v>
      </c>
      <c r="G1969" s="151" t="str">
        <f>'Reported burning'!G1969</f>
        <v>ND</v>
      </c>
      <c r="H1969" s="151" t="str">
        <f>'Reported burning'!H1969</f>
        <v>Presence</v>
      </c>
      <c r="I1969" s="5"/>
      <c r="J1969" s="4" t="s">
        <v>2272</v>
      </c>
      <c r="K1969" s="4" t="s">
        <v>2272</v>
      </c>
      <c r="L1969" s="4" t="s">
        <v>2272</v>
      </c>
      <c r="M1969" s="4" t="s">
        <v>2272</v>
      </c>
      <c r="N1969" s="4" t="s">
        <v>2272</v>
      </c>
      <c r="O1969" s="4" t="s">
        <v>2272</v>
      </c>
      <c r="P1969" s="4" t="s">
        <v>2272</v>
      </c>
      <c r="Q1969" s="4" t="s">
        <v>2272</v>
      </c>
      <c r="R1969" s="4" t="s">
        <v>2272</v>
      </c>
      <c r="S1969" s="4" t="s">
        <v>2272</v>
      </c>
      <c r="T1969" s="4" t="s">
        <v>2272</v>
      </c>
      <c r="U1969" s="4" t="s">
        <v>2272</v>
      </c>
      <c r="V1969" s="4" t="s">
        <v>2272</v>
      </c>
      <c r="W1969" s="4" t="s">
        <v>2272</v>
      </c>
      <c r="X1969" s="4" t="s">
        <v>2272</v>
      </c>
      <c r="Y1969" s="4" t="s">
        <v>2272</v>
      </c>
      <c r="Z1969" s="4" t="s">
        <v>2272</v>
      </c>
      <c r="AA1969" s="4" t="s">
        <v>2272</v>
      </c>
      <c r="AB1969" s="3"/>
      <c r="AC1969" s="3"/>
    </row>
    <row r="1970" spans="1:29" ht="40" customHeight="1">
      <c r="A1970" s="151" t="str">
        <f>'Reported burning'!A1970</f>
        <v>224a</v>
      </c>
      <c r="B1970" s="151" t="str">
        <f>'Reported burning'!B1970</f>
        <v>224a.4</v>
      </c>
      <c r="C1970" s="151" t="str">
        <f>'Reported burning'!C1970</f>
        <v>Human, deliberate</v>
      </c>
      <c r="D1970" s="151" t="str">
        <f>'Reported burning'!D1970</f>
        <v>Arson</v>
      </c>
      <c r="E1970" s="151" t="str">
        <f>'Reported burning'!E1970</f>
        <v>Cropping, Monoculture, Market-oriented</v>
      </c>
      <c r="F1970" s="151" t="str">
        <f>'Reported burning'!F1970</f>
        <v>Forest</v>
      </c>
      <c r="G1970" s="151" t="str">
        <f>'Reported burning'!G1970</f>
        <v>ND</v>
      </c>
      <c r="H1970" s="151" t="str">
        <f>'Reported burning'!H1970</f>
        <v>Presence</v>
      </c>
      <c r="I1970" s="5"/>
      <c r="J1970" s="4" t="s">
        <v>2272</v>
      </c>
      <c r="K1970" s="4" t="s">
        <v>2272</v>
      </c>
      <c r="L1970" s="4" t="s">
        <v>2272</v>
      </c>
      <c r="M1970" s="4" t="s">
        <v>2272</v>
      </c>
      <c r="N1970" s="4" t="s">
        <v>2272</v>
      </c>
      <c r="O1970" s="4" t="s">
        <v>2272</v>
      </c>
      <c r="P1970" s="4" t="s">
        <v>2272</v>
      </c>
      <c r="Q1970" s="4" t="s">
        <v>2272</v>
      </c>
      <c r="R1970" s="4" t="s">
        <v>2272</v>
      </c>
      <c r="S1970" s="4" t="s">
        <v>2272</v>
      </c>
      <c r="T1970" s="4" t="s">
        <v>2272</v>
      </c>
      <c r="U1970" s="4" t="s">
        <v>2272</v>
      </c>
      <c r="V1970" s="4" t="s">
        <v>2272</v>
      </c>
      <c r="W1970" s="4" t="s">
        <v>2272</v>
      </c>
      <c r="X1970" s="4" t="s">
        <v>2272</v>
      </c>
      <c r="Y1970" s="4" t="s">
        <v>2272</v>
      </c>
      <c r="Z1970" s="4" t="s">
        <v>2272</v>
      </c>
      <c r="AA1970" s="4" t="s">
        <v>2272</v>
      </c>
      <c r="AB1970" s="3"/>
      <c r="AC1970" s="3"/>
    </row>
    <row r="1971" spans="1:29" ht="40" customHeight="1">
      <c r="A1971" s="151" t="str">
        <f>'Reported burning'!A1971</f>
        <v>224a</v>
      </c>
      <c r="B1971" s="151" t="str">
        <f>'Reported burning'!B1971</f>
        <v>224a.5</v>
      </c>
      <c r="C1971" s="151" t="str">
        <f>'Reported burning'!C1971</f>
        <v>Human, deliberate</v>
      </c>
      <c r="D1971" s="151" t="str">
        <f>'Reported burning'!D1971</f>
        <v>Arson</v>
      </c>
      <c r="E1971" s="151" t="str">
        <f>'Reported burning'!E1971</f>
        <v>Cattle, Intensive</v>
      </c>
      <c r="F1971" s="151" t="str">
        <f>'Reported burning'!F1971</f>
        <v>Forest</v>
      </c>
      <c r="G1971" s="151" t="str">
        <f>'Reported burning'!G1971</f>
        <v>ND</v>
      </c>
      <c r="H1971" s="151" t="str">
        <f>'Reported burning'!H1971</f>
        <v>Presence</v>
      </c>
      <c r="I1971" s="5"/>
      <c r="J1971" s="4" t="s">
        <v>2272</v>
      </c>
      <c r="K1971" s="4" t="s">
        <v>2272</v>
      </c>
      <c r="L1971" s="4" t="s">
        <v>2272</v>
      </c>
      <c r="M1971" s="4" t="s">
        <v>2272</v>
      </c>
      <c r="N1971" s="4" t="s">
        <v>2272</v>
      </c>
      <c r="O1971" s="4" t="s">
        <v>2272</v>
      </c>
      <c r="P1971" s="4" t="s">
        <v>2272</v>
      </c>
      <c r="Q1971" s="4" t="s">
        <v>2272</v>
      </c>
      <c r="R1971" s="4" t="s">
        <v>2272</v>
      </c>
      <c r="S1971" s="4" t="s">
        <v>2272</v>
      </c>
      <c r="T1971" s="4" t="s">
        <v>2272</v>
      </c>
      <c r="U1971" s="4" t="s">
        <v>2272</v>
      </c>
      <c r="V1971" s="4" t="s">
        <v>2272</v>
      </c>
      <c r="W1971" s="4" t="s">
        <v>2272</v>
      </c>
      <c r="X1971" s="4" t="s">
        <v>2272</v>
      </c>
      <c r="Y1971" s="4" t="s">
        <v>2272</v>
      </c>
      <c r="Z1971" s="4" t="s">
        <v>2272</v>
      </c>
      <c r="AA1971" s="4" t="s">
        <v>2272</v>
      </c>
      <c r="AB1971" s="3"/>
      <c r="AC1971" s="3"/>
    </row>
    <row r="1972" spans="1:29" ht="29">
      <c r="A1972" s="151" t="str">
        <f>'Reported burning'!A1972</f>
        <v>225a</v>
      </c>
      <c r="B1972" s="151" t="str">
        <f>'Reported burning'!B1972</f>
        <v>225a.1</v>
      </c>
      <c r="C1972" s="151" t="str">
        <f>'Reported burning'!C1972</f>
        <v>Human, deliberate</v>
      </c>
      <c r="D1972" s="151" t="str">
        <f>'Reported burning'!D1972</f>
        <v>Cultural &amp; Spiritual</v>
      </c>
      <c r="E1972" s="151" t="str">
        <f>'Reported burning'!E1972</f>
        <v>Biodiversity conservation</v>
      </c>
      <c r="F1972" s="151" t="str">
        <f>'Reported burning'!F1972</f>
        <v>Shrubland (Mixed forest &amp; grassland)</v>
      </c>
      <c r="G1972" s="151" t="str">
        <f>'Reported burning'!G1972</f>
        <v>ND</v>
      </c>
      <c r="H1972" s="151"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21">
        <v>0</v>
      </c>
      <c r="X1972" s="4" t="s">
        <v>2272</v>
      </c>
      <c r="Y1972" s="4" t="s">
        <v>2272</v>
      </c>
      <c r="Z1972" s="4" t="s">
        <v>2272</v>
      </c>
      <c r="AA1972" s="4" t="s">
        <v>2272</v>
      </c>
      <c r="AB1972" s="4" t="s">
        <v>5666</v>
      </c>
      <c r="AC1972" s="3"/>
    </row>
    <row r="1973" spans="1:29" ht="29">
      <c r="A1973" s="151" t="str">
        <f>'Reported burning'!A1973</f>
        <v>225a</v>
      </c>
      <c r="B1973" s="151" t="str">
        <f>'Reported burning'!B1973</f>
        <v>225a.2</v>
      </c>
      <c r="C1973" s="151" t="str">
        <f>'Reported burning'!C1973</f>
        <v>Human, deliberate</v>
      </c>
      <c r="D1973" s="151" t="str">
        <f>'Reported burning'!D1973</f>
        <v>Pyrome management</v>
      </c>
      <c r="E1973" s="151" t="str">
        <f>'Reported burning'!E1973</f>
        <v>Biodiversity conservation</v>
      </c>
      <c r="F1973" s="151" t="str">
        <f>'Reported burning'!F1973</f>
        <v>Shrubland (Mixed forest &amp; grassland)</v>
      </c>
      <c r="G1973" s="151" t="str">
        <f>'Reported burning'!G1973</f>
        <v>ND</v>
      </c>
      <c r="H1973" s="151"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21">
        <v>0</v>
      </c>
      <c r="X1973" s="4" t="s">
        <v>2272</v>
      </c>
      <c r="Y1973" s="4" t="s">
        <v>2272</v>
      </c>
      <c r="Z1973" s="4" t="s">
        <v>2272</v>
      </c>
      <c r="AA1973" s="4" t="s">
        <v>2272</v>
      </c>
      <c r="AB1973" s="4" t="s">
        <v>5666</v>
      </c>
      <c r="AC1973" s="3"/>
    </row>
    <row r="1974" spans="1:29" ht="29">
      <c r="A1974" s="151" t="str">
        <f>'Reported burning'!A1974</f>
        <v>225a</v>
      </c>
      <c r="B1974" s="151" t="str">
        <f>'Reported burning'!B1974</f>
        <v>225a.3</v>
      </c>
      <c r="C1974" s="151" t="str">
        <f>'Reported burning'!C1974</f>
        <v>Human, deliberate</v>
      </c>
      <c r="D1974" s="151" t="str">
        <f>'Reported burning'!D1974</f>
        <v>Cultural &amp; Spiritual</v>
      </c>
      <c r="E1974" s="151" t="str">
        <f>'Reported burning'!E1974</f>
        <v>Biodiversity conservation</v>
      </c>
      <c r="F1974" s="151" t="str">
        <f>'Reported burning'!F1974</f>
        <v>Shrubland (Mixed forest &amp; grassland)</v>
      </c>
      <c r="G1974" s="151" t="str">
        <f>'Reported burning'!G1974</f>
        <v>ND</v>
      </c>
      <c r="H1974" s="151"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21">
        <v>0</v>
      </c>
      <c r="X1974" s="4" t="s">
        <v>2272</v>
      </c>
      <c r="Y1974" s="4" t="s">
        <v>2272</v>
      </c>
      <c r="Z1974" s="4" t="s">
        <v>2272</v>
      </c>
      <c r="AA1974" s="4" t="s">
        <v>2272</v>
      </c>
      <c r="AB1974" s="4" t="s">
        <v>5666</v>
      </c>
      <c r="AC1974" s="3"/>
    </row>
    <row r="1975" spans="1:29" ht="29">
      <c r="A1975" s="151" t="str">
        <f>'Reported burning'!A1975</f>
        <v>225a</v>
      </c>
      <c r="B1975" s="151" t="str">
        <f>'Reported burning'!B1975</f>
        <v>225a.4</v>
      </c>
      <c r="C1975" s="151" t="str">
        <f>'Reported burning'!C1975</f>
        <v>Human, deliberate</v>
      </c>
      <c r="D1975" s="151" t="str">
        <f>'Reported burning'!D1975</f>
        <v>Pyrome management</v>
      </c>
      <c r="E1975" s="151" t="str">
        <f>'Reported burning'!E1975</f>
        <v>Biodiversity conservation</v>
      </c>
      <c r="F1975" s="151" t="str">
        <f>'Reported burning'!F1975</f>
        <v>Shrubland (Mixed forest &amp; grassland)</v>
      </c>
      <c r="G1975" s="151" t="str">
        <f>'Reported burning'!G1975</f>
        <v>ND</v>
      </c>
      <c r="H1975" s="151"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21">
        <v>0</v>
      </c>
      <c r="X1975" s="4" t="s">
        <v>2272</v>
      </c>
      <c r="Y1975" s="4" t="s">
        <v>2272</v>
      </c>
      <c r="Z1975" s="4" t="s">
        <v>2272</v>
      </c>
      <c r="AA1975" s="4" t="s">
        <v>2272</v>
      </c>
      <c r="AB1975" s="4" t="s">
        <v>5666</v>
      </c>
      <c r="AC1975" s="3"/>
    </row>
    <row r="1976" spans="1:29" ht="29">
      <c r="A1976" s="151" t="str">
        <f>'Reported burning'!A1976</f>
        <v>225a</v>
      </c>
      <c r="B1976" s="151" t="str">
        <f>'Reported burning'!B1976</f>
        <v>225a.5</v>
      </c>
      <c r="C1976" s="151" t="str">
        <f>'Reported burning'!C1976</f>
        <v>Human, deliberate</v>
      </c>
      <c r="D1976" s="151" t="str">
        <f>'Reported burning'!D1976</f>
        <v>Cultural &amp; Spiritual</v>
      </c>
      <c r="E1976" s="151" t="str">
        <f>'Reported burning'!E1976</f>
        <v>Forestry, Traditional</v>
      </c>
      <c r="F1976" s="151" t="str">
        <f>'Reported burning'!F1976</f>
        <v>Shrubland (Mixed forest &amp; grassland)</v>
      </c>
      <c r="G1976" s="151" t="str">
        <f>'Reported burning'!G1976</f>
        <v>ND</v>
      </c>
      <c r="H1976" s="151" t="str">
        <f>'Reported burning'!H1976</f>
        <v>Presence</v>
      </c>
      <c r="I1976" s="5"/>
      <c r="J1976" s="4" t="s">
        <v>2272</v>
      </c>
      <c r="K1976" s="4" t="s">
        <v>2272</v>
      </c>
      <c r="L1976" s="4" t="s">
        <v>2272</v>
      </c>
      <c r="M1976" s="4" t="s">
        <v>2272</v>
      </c>
      <c r="N1976" s="4" t="s">
        <v>2272</v>
      </c>
      <c r="O1976" s="4" t="s">
        <v>2272</v>
      </c>
      <c r="P1976" s="4" t="s">
        <v>2272</v>
      </c>
      <c r="Q1976" s="4" t="s">
        <v>2272</v>
      </c>
      <c r="R1976" s="4" t="s">
        <v>2272</v>
      </c>
      <c r="S1976" s="4" t="s">
        <v>2272</v>
      </c>
      <c r="T1976" s="4" t="s">
        <v>2272</v>
      </c>
      <c r="U1976" s="4" t="s">
        <v>2272</v>
      </c>
      <c r="V1976" s="4" t="s">
        <v>2272</v>
      </c>
      <c r="W1976" s="4" t="s">
        <v>2272</v>
      </c>
      <c r="X1976" s="4" t="s">
        <v>2272</v>
      </c>
      <c r="Y1976" s="4" t="s">
        <v>2272</v>
      </c>
      <c r="Z1976" s="4" t="s">
        <v>2272</v>
      </c>
      <c r="AA1976" s="4" t="s">
        <v>2272</v>
      </c>
      <c r="AB1976" s="4" t="s">
        <v>5667</v>
      </c>
      <c r="AC1976" s="3"/>
    </row>
    <row r="1977" spans="1:29" ht="29">
      <c r="A1977" s="151" t="str">
        <f>'Reported burning'!A1977</f>
        <v>225a</v>
      </c>
      <c r="B1977" s="151" t="str">
        <f>'Reported burning'!B1977</f>
        <v>225a.6</v>
      </c>
      <c r="C1977" s="151" t="str">
        <f>'Reported burning'!C1977</f>
        <v>Human, deliberate</v>
      </c>
      <c r="D1977" s="151" t="str">
        <f>'Reported burning'!D1977</f>
        <v>Pyrome management</v>
      </c>
      <c r="E1977" s="151" t="str">
        <f>'Reported burning'!E1977</f>
        <v>Forestry, Traditional</v>
      </c>
      <c r="F1977" s="151" t="str">
        <f>'Reported burning'!F1977</f>
        <v>Shrubland (Mixed forest &amp; grassland)</v>
      </c>
      <c r="G1977" s="151" t="str">
        <f>'Reported burning'!G1977</f>
        <v>ND</v>
      </c>
      <c r="H1977" s="151" t="str">
        <f>'Reported burning'!H1977</f>
        <v>Presence</v>
      </c>
      <c r="I1977" s="5"/>
      <c r="J1977" s="4" t="s">
        <v>2272</v>
      </c>
      <c r="K1977" s="4" t="s">
        <v>2272</v>
      </c>
      <c r="L1977" s="4" t="s">
        <v>2272</v>
      </c>
      <c r="M1977" s="4" t="s">
        <v>2272</v>
      </c>
      <c r="N1977" s="4" t="s">
        <v>2272</v>
      </c>
      <c r="O1977" s="4" t="s">
        <v>2272</v>
      </c>
      <c r="P1977" s="4" t="s">
        <v>2272</v>
      </c>
      <c r="Q1977" s="4" t="s">
        <v>2272</v>
      </c>
      <c r="R1977" s="4" t="s">
        <v>2272</v>
      </c>
      <c r="S1977" s="4" t="s">
        <v>2272</v>
      </c>
      <c r="T1977" s="4" t="s">
        <v>2272</v>
      </c>
      <c r="U1977" s="4" t="s">
        <v>2272</v>
      </c>
      <c r="V1977" s="4" t="s">
        <v>2272</v>
      </c>
      <c r="W1977" s="4" t="s">
        <v>2272</v>
      </c>
      <c r="X1977" s="4" t="s">
        <v>2272</v>
      </c>
      <c r="Y1977" s="4" t="s">
        <v>2272</v>
      </c>
      <c r="Z1977" s="4" t="s">
        <v>2272</v>
      </c>
      <c r="AA1977" s="4" t="s">
        <v>2272</v>
      </c>
      <c r="AB1977" s="4" t="s">
        <v>5667</v>
      </c>
      <c r="AC1977" s="3"/>
    </row>
    <row r="1978" spans="1:29" ht="29">
      <c r="A1978" s="151" t="str">
        <f>'Reported burning'!A1978</f>
        <v>225a</v>
      </c>
      <c r="B1978" s="151" t="str">
        <f>'Reported burning'!B1978</f>
        <v>225a.7</v>
      </c>
      <c r="C1978" s="151" t="str">
        <f>'Reported burning'!C1978</f>
        <v>Human, deliberate</v>
      </c>
      <c r="D1978" s="151" t="str">
        <f>'Reported burning'!D1978</f>
        <v>Cultural &amp; Spiritual</v>
      </c>
      <c r="E1978" s="151" t="str">
        <f>'Reported burning'!E1978</f>
        <v>Forestry, Traditional</v>
      </c>
      <c r="F1978" s="151" t="str">
        <f>'Reported burning'!F1978</f>
        <v>Shrubland (Mixed forest &amp; grassland)</v>
      </c>
      <c r="G1978" s="151" t="str">
        <f>'Reported burning'!G1978</f>
        <v>ND</v>
      </c>
      <c r="H1978" s="151" t="str">
        <f>'Reported burning'!H1978</f>
        <v>Presence</v>
      </c>
      <c r="I1978" s="5"/>
      <c r="J1978" s="4" t="s">
        <v>2272</v>
      </c>
      <c r="K1978" s="4" t="s">
        <v>2272</v>
      </c>
      <c r="L1978" s="4" t="s">
        <v>2272</v>
      </c>
      <c r="M1978" s="4" t="s">
        <v>2272</v>
      </c>
      <c r="N1978" s="4" t="s">
        <v>2272</v>
      </c>
      <c r="O1978" s="4" t="s">
        <v>2272</v>
      </c>
      <c r="P1978" s="4" t="s">
        <v>2272</v>
      </c>
      <c r="Q1978" s="4" t="s">
        <v>2272</v>
      </c>
      <c r="R1978" s="4" t="s">
        <v>2272</v>
      </c>
      <c r="S1978" s="4" t="s">
        <v>2272</v>
      </c>
      <c r="T1978" s="4" t="s">
        <v>2272</v>
      </c>
      <c r="U1978" s="4" t="s">
        <v>2272</v>
      </c>
      <c r="V1978" s="4" t="s">
        <v>2272</v>
      </c>
      <c r="W1978" s="4" t="s">
        <v>2272</v>
      </c>
      <c r="X1978" s="4" t="s">
        <v>2272</v>
      </c>
      <c r="Y1978" s="4" t="s">
        <v>2272</v>
      </c>
      <c r="Z1978" s="4" t="s">
        <v>2272</v>
      </c>
      <c r="AA1978" s="4" t="s">
        <v>2272</v>
      </c>
      <c r="AB1978" s="4" t="s">
        <v>5667</v>
      </c>
      <c r="AC1978" s="3"/>
    </row>
    <row r="1979" spans="1:29" ht="29">
      <c r="A1979" s="151" t="str">
        <f>'Reported burning'!A1979</f>
        <v>225a</v>
      </c>
      <c r="B1979" s="151" t="str">
        <f>'Reported burning'!B1979</f>
        <v>225a.8</v>
      </c>
      <c r="C1979" s="151" t="str">
        <f>'Reported burning'!C1979</f>
        <v>Human, deliberate</v>
      </c>
      <c r="D1979" s="151" t="str">
        <f>'Reported burning'!D1979</f>
        <v>Pyrome management</v>
      </c>
      <c r="E1979" s="151" t="str">
        <f>'Reported burning'!E1979</f>
        <v>Forestry, Traditional</v>
      </c>
      <c r="F1979" s="151" t="str">
        <f>'Reported burning'!F1979</f>
        <v>Shrubland (Mixed forest &amp; grassland)</v>
      </c>
      <c r="G1979" s="151" t="str">
        <f>'Reported burning'!G1979</f>
        <v>ND</v>
      </c>
      <c r="H1979" s="151" t="str">
        <f>'Reported burning'!H1979</f>
        <v>Presence</v>
      </c>
      <c r="I1979" s="5"/>
      <c r="J1979" s="4" t="s">
        <v>2272</v>
      </c>
      <c r="K1979" s="4" t="s">
        <v>2272</v>
      </c>
      <c r="L1979" s="4" t="s">
        <v>2272</v>
      </c>
      <c r="M1979" s="4" t="s">
        <v>2272</v>
      </c>
      <c r="N1979" s="4" t="s">
        <v>2272</v>
      </c>
      <c r="O1979" s="4" t="s">
        <v>2272</v>
      </c>
      <c r="P1979" s="4" t="s">
        <v>2272</v>
      </c>
      <c r="Q1979" s="4" t="s">
        <v>2272</v>
      </c>
      <c r="R1979" s="4" t="s">
        <v>2272</v>
      </c>
      <c r="S1979" s="4" t="s">
        <v>2272</v>
      </c>
      <c r="T1979" s="4" t="s">
        <v>2272</v>
      </c>
      <c r="U1979" s="4" t="s">
        <v>2272</v>
      </c>
      <c r="V1979" s="4" t="s">
        <v>2272</v>
      </c>
      <c r="W1979" s="4" t="s">
        <v>2272</v>
      </c>
      <c r="X1979" s="4" t="s">
        <v>2272</v>
      </c>
      <c r="Y1979" s="4" t="s">
        <v>2272</v>
      </c>
      <c r="Z1979" s="4" t="s">
        <v>2272</v>
      </c>
      <c r="AA1979" s="4" t="s">
        <v>2272</v>
      </c>
      <c r="AB1979" s="4" t="s">
        <v>5667</v>
      </c>
      <c r="AC1979" s="3"/>
    </row>
    <row r="1980" spans="1:29" ht="24.5" customHeight="1">
      <c r="A1980" s="151" t="str">
        <f>'Reported burning'!A1980</f>
        <v>226a</v>
      </c>
      <c r="B1980" s="151" t="str">
        <f>'Reported burning'!B1980</f>
        <v>226a.1</v>
      </c>
      <c r="C1980" s="151" t="str">
        <f>'Reported burning'!C1980</f>
        <v>Human, deliberate</v>
      </c>
      <c r="D1980" s="151" t="str">
        <f>'Reported burning'!D1980</f>
        <v>Pyrome management</v>
      </c>
      <c r="E1980" s="151" t="str">
        <f>'Reported burning'!E1980</f>
        <v>Biodiversity conservation</v>
      </c>
      <c r="F1980" s="151" t="str">
        <f>'Reported burning'!F1980</f>
        <v>Forest</v>
      </c>
      <c r="G1980" s="151" t="str">
        <f>'Reported burning'!G1980</f>
        <v>ND</v>
      </c>
      <c r="H1980" s="151" t="str">
        <f>'Reported burning'!H1980</f>
        <v>Presence</v>
      </c>
      <c r="I1980" s="5"/>
      <c r="J1980" s="4" t="s">
        <v>2272</v>
      </c>
      <c r="K1980" s="4" t="s">
        <v>2272</v>
      </c>
      <c r="L1980" s="4" t="s">
        <v>2272</v>
      </c>
      <c r="M1980" s="4" t="s">
        <v>2272</v>
      </c>
      <c r="N1980" s="4" t="s">
        <v>2272</v>
      </c>
      <c r="O1980" s="4" t="s">
        <v>2272</v>
      </c>
      <c r="P1980" s="4" t="s">
        <v>2272</v>
      </c>
      <c r="Q1980" s="4" t="s">
        <v>2272</v>
      </c>
      <c r="R1980" s="4" t="s">
        <v>2272</v>
      </c>
      <c r="S1980" s="4" t="s">
        <v>2272</v>
      </c>
      <c r="T1980" s="4" t="s">
        <v>2272</v>
      </c>
      <c r="U1980" s="4" t="s">
        <v>2272</v>
      </c>
      <c r="V1980" s="4" t="s">
        <v>2272</v>
      </c>
      <c r="W1980" s="4" t="s">
        <v>2272</v>
      </c>
      <c r="X1980" s="4" t="s">
        <v>2272</v>
      </c>
      <c r="Y1980" s="4" t="s">
        <v>2272</v>
      </c>
      <c r="Z1980" s="4" t="s">
        <v>2272</v>
      </c>
      <c r="AA1980" s="4" t="s">
        <v>2272</v>
      </c>
      <c r="AB1980" s="3"/>
      <c r="AC1980" s="3"/>
    </row>
    <row r="1981" spans="1:29" ht="24.5" customHeight="1">
      <c r="A1981" s="151" t="str">
        <f>'Reported burning'!A1981</f>
        <v>226a</v>
      </c>
      <c r="B1981" s="151" t="str">
        <f>'Reported burning'!B1981</f>
        <v>226a.2</v>
      </c>
      <c r="C1981" s="151" t="str">
        <f>'Reported burning'!C1981</f>
        <v>Human, deliberate</v>
      </c>
      <c r="D1981" s="151" t="str">
        <f>'Reported burning'!D1981</f>
        <v>Pyrome management</v>
      </c>
      <c r="E1981" s="151" t="str">
        <f>'Reported burning'!E1981</f>
        <v>Forestry, Industrial</v>
      </c>
      <c r="F1981" s="151" t="str">
        <f>'Reported burning'!F1981</f>
        <v>Forest</v>
      </c>
      <c r="G1981" s="151" t="str">
        <f>'Reported burning'!G1981</f>
        <v>ND</v>
      </c>
      <c r="H1981" s="151" t="str">
        <f>'Reported burning'!H1981</f>
        <v>Presence</v>
      </c>
      <c r="I1981" s="5"/>
      <c r="J1981" s="4" t="s">
        <v>2272</v>
      </c>
      <c r="K1981" s="4" t="s">
        <v>2272</v>
      </c>
      <c r="L1981" s="4" t="s">
        <v>2272</v>
      </c>
      <c r="M1981" s="4" t="s">
        <v>2272</v>
      </c>
      <c r="N1981" s="4" t="s">
        <v>2272</v>
      </c>
      <c r="O1981" s="4" t="s">
        <v>2272</v>
      </c>
      <c r="P1981" s="4" t="s">
        <v>2272</v>
      </c>
      <c r="Q1981" s="4" t="s">
        <v>2272</v>
      </c>
      <c r="R1981" s="4" t="s">
        <v>2272</v>
      </c>
      <c r="S1981" s="4" t="s">
        <v>2272</v>
      </c>
      <c r="T1981" s="4" t="s">
        <v>2272</v>
      </c>
      <c r="U1981" s="4" t="s">
        <v>2272</v>
      </c>
      <c r="V1981" s="4" t="s">
        <v>2272</v>
      </c>
      <c r="W1981" s="4" t="s">
        <v>2272</v>
      </c>
      <c r="X1981" s="4" t="s">
        <v>2272</v>
      </c>
      <c r="Y1981" s="4" t="s">
        <v>2272</v>
      </c>
      <c r="Z1981" s="4" t="s">
        <v>2272</v>
      </c>
      <c r="AA1981" s="4" t="s">
        <v>2272</v>
      </c>
      <c r="AB1981" s="3"/>
      <c r="AC1981" s="3"/>
    </row>
    <row r="1982" spans="1:29" ht="24.5" customHeight="1">
      <c r="A1982" s="151" t="str">
        <f>'Reported burning'!A1982</f>
        <v>226a</v>
      </c>
      <c r="B1982" s="151" t="str">
        <f>'Reported burning'!B1982</f>
        <v>226a.3</v>
      </c>
      <c r="C1982" s="151" t="str">
        <f>'Reported burning'!C1982</f>
        <v>Human, deliberate</v>
      </c>
      <c r="D1982" s="151" t="str">
        <f>'Reported burning'!D1982</f>
        <v>Harvesting of NTFP</v>
      </c>
      <c r="E1982" s="151" t="str">
        <f>'Reported burning'!E1982</f>
        <v>Forestry, Traditional</v>
      </c>
      <c r="F1982" s="151" t="str">
        <f>'Reported burning'!F1982</f>
        <v>Forest</v>
      </c>
      <c r="G1982" s="151" t="str">
        <f>'Reported burning'!G1982</f>
        <v>ND</v>
      </c>
      <c r="H1982" s="151" t="str">
        <f>'Reported burning'!H1982</f>
        <v>Presence</v>
      </c>
      <c r="I1982" s="5"/>
      <c r="J1982" s="4" t="s">
        <v>2272</v>
      </c>
      <c r="K1982" s="4" t="s">
        <v>2272</v>
      </c>
      <c r="L1982" s="4" t="s">
        <v>2272</v>
      </c>
      <c r="M1982" s="4" t="s">
        <v>2272</v>
      </c>
      <c r="N1982" s="4" t="s">
        <v>2272</v>
      </c>
      <c r="O1982" s="4" t="s">
        <v>2272</v>
      </c>
      <c r="P1982" s="4" t="s">
        <v>2272</v>
      </c>
      <c r="Q1982" s="4" t="s">
        <v>2272</v>
      </c>
      <c r="R1982" s="4" t="s">
        <v>2272</v>
      </c>
      <c r="S1982" s="4" t="s">
        <v>2272</v>
      </c>
      <c r="T1982" s="4" t="s">
        <v>2272</v>
      </c>
      <c r="U1982" s="4" t="s">
        <v>2272</v>
      </c>
      <c r="V1982" s="4" t="s">
        <v>2272</v>
      </c>
      <c r="W1982" s="4" t="s">
        <v>2272</v>
      </c>
      <c r="X1982" s="4" t="s">
        <v>2272</v>
      </c>
      <c r="Y1982" s="4" t="s">
        <v>2272</v>
      </c>
      <c r="Z1982" s="4" t="s">
        <v>2272</v>
      </c>
      <c r="AA1982" s="4" t="s">
        <v>2272</v>
      </c>
      <c r="AB1982" s="3"/>
      <c r="AC1982" s="3"/>
    </row>
    <row r="1983" spans="1:29" ht="25.5" customHeight="1">
      <c r="A1983" s="151" t="str">
        <f>'Reported burning'!A1983</f>
        <v>227a</v>
      </c>
      <c r="B1983" s="151" t="str">
        <f>'Reported burning'!B1983</f>
        <v>227a.1</v>
      </c>
      <c r="C1983" s="151" t="str">
        <f>'Reported burning'!C1983</f>
        <v>Human, deliberate</v>
      </c>
      <c r="D1983" s="151" t="str">
        <f>'Reported burning'!D1983</f>
        <v>Pyrome management</v>
      </c>
      <c r="E1983" s="151" t="str">
        <f>'Reported burning'!E1983</f>
        <v>Biodiversity conservation</v>
      </c>
      <c r="F1983" s="151" t="str">
        <f>'Reported burning'!F1983</f>
        <v>Forest</v>
      </c>
      <c r="G1983" s="151" t="str">
        <f>'Reported burning'!G1983</f>
        <v>ND</v>
      </c>
      <c r="H1983" s="151" t="str">
        <f>'Reported burning'!H1983</f>
        <v>Presence</v>
      </c>
      <c r="I1983" s="5"/>
      <c r="J1983" s="4" t="s">
        <v>2272</v>
      </c>
      <c r="K1983" s="4" t="s">
        <v>2272</v>
      </c>
      <c r="L1983" s="4" t="s">
        <v>2272</v>
      </c>
      <c r="M1983" s="4" t="s">
        <v>2272</v>
      </c>
      <c r="N1983" s="4" t="s">
        <v>2272</v>
      </c>
      <c r="O1983" s="4" t="s">
        <v>2272</v>
      </c>
      <c r="P1983" s="4" t="s">
        <v>2272</v>
      </c>
      <c r="Q1983" s="4" t="s">
        <v>2272</v>
      </c>
      <c r="R1983" s="4" t="s">
        <v>2272</v>
      </c>
      <c r="S1983" s="4" t="s">
        <v>2272</v>
      </c>
      <c r="T1983" s="4" t="s">
        <v>2272</v>
      </c>
      <c r="U1983" s="4" t="s">
        <v>2272</v>
      </c>
      <c r="V1983" s="4" t="s">
        <v>2272</v>
      </c>
      <c r="W1983" s="4" t="s">
        <v>2272</v>
      </c>
      <c r="X1983" s="4" t="s">
        <v>2272</v>
      </c>
      <c r="Y1983" s="4" t="s">
        <v>2272</v>
      </c>
      <c r="Z1983" s="4" t="s">
        <v>2272</v>
      </c>
      <c r="AA1983" s="4" t="s">
        <v>2272</v>
      </c>
      <c r="AB1983" s="3"/>
      <c r="AC1983" s="3"/>
    </row>
    <row r="1984" spans="1:29" ht="25.5" customHeight="1">
      <c r="A1984" s="151" t="str">
        <f>'Reported burning'!A1984</f>
        <v>227a</v>
      </c>
      <c r="B1984" s="151" t="str">
        <f>'Reported burning'!B1984</f>
        <v>227a.2</v>
      </c>
      <c r="C1984" s="151" t="str">
        <f>'Reported burning'!C1984</f>
        <v>Human, deliberate</v>
      </c>
      <c r="D1984" s="151" t="str">
        <f>'Reported burning'!D1984</f>
        <v>Cultural &amp; Spiritual</v>
      </c>
      <c r="E1984" s="151" t="str">
        <f>'Reported burning'!E1984</f>
        <v>Forestry, Traditional</v>
      </c>
      <c r="F1984" s="151" t="str">
        <f>'Reported burning'!F1984</f>
        <v>Forest</v>
      </c>
      <c r="G1984" s="151" t="str">
        <f>'Reported burning'!G1984</f>
        <v>ND</v>
      </c>
      <c r="H1984" s="151" t="str">
        <f>'Reported burning'!H1984</f>
        <v>Presence</v>
      </c>
      <c r="I1984" s="5"/>
      <c r="J1984" s="4" t="s">
        <v>2272</v>
      </c>
      <c r="K1984" s="4" t="s">
        <v>2272</v>
      </c>
      <c r="L1984" s="4" t="s">
        <v>2272</v>
      </c>
      <c r="M1984" s="4" t="s">
        <v>2272</v>
      </c>
      <c r="N1984" s="4" t="s">
        <v>2272</v>
      </c>
      <c r="O1984" s="4" t="s">
        <v>2272</v>
      </c>
      <c r="P1984" s="4" t="s">
        <v>2272</v>
      </c>
      <c r="Q1984" s="4" t="s">
        <v>2272</v>
      </c>
      <c r="R1984" s="4" t="s">
        <v>2272</v>
      </c>
      <c r="S1984" s="4" t="s">
        <v>2272</v>
      </c>
      <c r="T1984" s="4" t="s">
        <v>2272</v>
      </c>
      <c r="U1984" s="4" t="s">
        <v>2272</v>
      </c>
      <c r="V1984" s="4" t="s">
        <v>2272</v>
      </c>
      <c r="W1984" s="4" t="s">
        <v>2272</v>
      </c>
      <c r="X1984" s="4" t="s">
        <v>2272</v>
      </c>
      <c r="Y1984" s="4" t="s">
        <v>2272</v>
      </c>
      <c r="Z1984" s="4" t="s">
        <v>2272</v>
      </c>
      <c r="AA1984" s="4" t="s">
        <v>2272</v>
      </c>
      <c r="AB1984" s="3"/>
      <c r="AC1984" s="3"/>
    </row>
    <row r="1985" spans="1:29" ht="25.5" customHeight="1">
      <c r="A1985" s="151" t="str">
        <f>'Reported burning'!A1985</f>
        <v>227a</v>
      </c>
      <c r="B1985" s="151" t="str">
        <f>'Reported burning'!B1985</f>
        <v>227a.3</v>
      </c>
      <c r="C1985" s="151" t="str">
        <f>'Reported burning'!C1985</f>
        <v>Human, deliberate</v>
      </c>
      <c r="D1985" s="151" t="str">
        <f>'Reported burning'!D1985</f>
        <v>Harvesting of NTFP</v>
      </c>
      <c r="E1985" s="151" t="str">
        <f>'Reported burning'!E1985</f>
        <v>Forestry, Traditional</v>
      </c>
      <c r="F1985" s="151" t="str">
        <f>'Reported burning'!F1985</f>
        <v>Forest</v>
      </c>
      <c r="G1985" s="151" t="str">
        <f>'Reported burning'!G1985</f>
        <v>ND</v>
      </c>
      <c r="H1985" s="151" t="str">
        <f>'Reported burning'!H1985</f>
        <v>Presence</v>
      </c>
      <c r="I1985" s="5"/>
      <c r="J1985" s="4" t="s">
        <v>2272</v>
      </c>
      <c r="K1985" s="4" t="s">
        <v>2272</v>
      </c>
      <c r="L1985" s="4" t="s">
        <v>2272</v>
      </c>
      <c r="M1985" s="4" t="s">
        <v>2272</v>
      </c>
      <c r="N1985" s="4" t="s">
        <v>2272</v>
      </c>
      <c r="O1985" s="4" t="s">
        <v>2272</v>
      </c>
      <c r="P1985" s="4" t="s">
        <v>2272</v>
      </c>
      <c r="Q1985" s="4" t="s">
        <v>2272</v>
      </c>
      <c r="R1985" s="4" t="s">
        <v>2272</v>
      </c>
      <c r="S1985" s="4" t="s">
        <v>2272</v>
      </c>
      <c r="T1985" s="4" t="s">
        <v>2272</v>
      </c>
      <c r="U1985" s="4" t="s">
        <v>2272</v>
      </c>
      <c r="V1985" s="4" t="s">
        <v>2272</v>
      </c>
      <c r="W1985" s="4" t="s">
        <v>2272</v>
      </c>
      <c r="X1985" s="4" t="s">
        <v>2272</v>
      </c>
      <c r="Y1985" s="4" t="s">
        <v>2272</v>
      </c>
      <c r="Z1985" s="4" t="s">
        <v>2272</v>
      </c>
      <c r="AA1985" s="4" t="s">
        <v>2272</v>
      </c>
      <c r="AB1985" s="3"/>
      <c r="AC1985" s="3"/>
    </row>
    <row r="1986" spans="1:29" ht="39.5" customHeight="1">
      <c r="A1986" s="147" t="str">
        <f>'Reported burning'!A1986</f>
        <v>228a</v>
      </c>
      <c r="B1986" s="147" t="str">
        <f>'Reported burning'!B1986</f>
        <v>228a.1</v>
      </c>
      <c r="C1986" s="147" t="str">
        <f>'Reported burning'!C1986</f>
        <v>Human, deliberate</v>
      </c>
      <c r="D1986" s="147" t="str">
        <f>'Reported burning'!D1986</f>
        <v>Crop field preparation</v>
      </c>
      <c r="E1986" s="147" t="str">
        <f>'Reported burning'!E1986</f>
        <v>Cropping, Swidden</v>
      </c>
      <c r="F1986" s="147" t="str">
        <f>'Reported burning'!F1986</f>
        <v>Forest</v>
      </c>
      <c r="G1986" s="147" t="str">
        <f>'Reported burning'!G1986</f>
        <v>ND</v>
      </c>
      <c r="H1986" s="147" t="str">
        <f>'Reported burning'!H1986</f>
        <v>Presence</v>
      </c>
      <c r="I1986" s="3"/>
      <c r="J1986" s="4" t="s">
        <v>2272</v>
      </c>
      <c r="K1986" s="4" t="s">
        <v>2272</v>
      </c>
      <c r="L1986" s="4" t="s">
        <v>2272</v>
      </c>
      <c r="M1986" s="4" t="s">
        <v>2272</v>
      </c>
      <c r="N1986" s="4" t="s">
        <v>2272</v>
      </c>
      <c r="O1986" s="4" t="s">
        <v>2272</v>
      </c>
      <c r="P1986" s="21" t="s">
        <v>2368</v>
      </c>
      <c r="Q1986" s="21"/>
      <c r="R1986" s="21" t="s">
        <v>2370</v>
      </c>
      <c r="S1986" s="4" t="s">
        <v>2272</v>
      </c>
      <c r="T1986" s="4" t="s">
        <v>2272</v>
      </c>
      <c r="U1986" s="4" t="s">
        <v>2272</v>
      </c>
      <c r="V1986" s="4" t="s">
        <v>2272</v>
      </c>
      <c r="W1986" s="4" t="s">
        <v>2272</v>
      </c>
      <c r="X1986" s="4" t="s">
        <v>2272</v>
      </c>
      <c r="Y1986" s="3" t="s">
        <v>34</v>
      </c>
      <c r="Z1986" s="3" t="s">
        <v>125</v>
      </c>
      <c r="AA1986" s="3" t="s">
        <v>2650</v>
      </c>
      <c r="AB1986" s="4" t="s">
        <v>5697</v>
      </c>
      <c r="AC1986" s="3"/>
    </row>
    <row r="1987" spans="1:29" ht="30" customHeight="1">
      <c r="A1987" s="147" t="str">
        <f>'Reported burning'!A1987</f>
        <v>228a</v>
      </c>
      <c r="B1987" s="147" t="str">
        <f>'Reported burning'!B1987</f>
        <v>228a.2</v>
      </c>
      <c r="C1987" s="147" t="str">
        <f>'Reported burning'!C1987</f>
        <v>Human, deliberate</v>
      </c>
      <c r="D1987" s="147" t="str">
        <f>'Reported burning'!D1987</f>
        <v>Pasture renewal</v>
      </c>
      <c r="E1987" s="147" t="str">
        <f>'Reported burning'!E1987</f>
        <v>Cattle, Extensive</v>
      </c>
      <c r="F1987" s="147" t="str">
        <f>'Reported burning'!F1987</f>
        <v>Grassland</v>
      </c>
      <c r="G1987" s="147" t="str">
        <f>'Reported burning'!G1987</f>
        <v>ND</v>
      </c>
      <c r="H1987" s="147" t="str">
        <f>'Reported burning'!H1987</f>
        <v>Presence</v>
      </c>
      <c r="I1987" s="3"/>
      <c r="J1987" s="4" t="s">
        <v>2272</v>
      </c>
      <c r="K1987" s="4" t="s">
        <v>2272</v>
      </c>
      <c r="L1987" s="4" t="s">
        <v>2272</v>
      </c>
      <c r="M1987" s="4" t="s">
        <v>2272</v>
      </c>
      <c r="N1987" s="4" t="s">
        <v>2272</v>
      </c>
      <c r="O1987" s="4" t="s">
        <v>2272</v>
      </c>
      <c r="P1987" s="4" t="s">
        <v>2272</v>
      </c>
      <c r="Q1987" s="4" t="s">
        <v>2272</v>
      </c>
      <c r="R1987" s="4" t="s">
        <v>2272</v>
      </c>
      <c r="S1987" s="4" t="s">
        <v>2272</v>
      </c>
      <c r="T1987" s="4" t="s">
        <v>2272</v>
      </c>
      <c r="U1987" s="4" t="s">
        <v>2272</v>
      </c>
      <c r="V1987" s="4" t="s">
        <v>2272</v>
      </c>
      <c r="W1987" s="4" t="s">
        <v>2272</v>
      </c>
      <c r="X1987" s="21" t="s">
        <v>2396</v>
      </c>
      <c r="Y1987" s="3" t="s">
        <v>33</v>
      </c>
      <c r="Z1987" s="3" t="s">
        <v>402</v>
      </c>
      <c r="AA1987" s="3" t="s">
        <v>2650</v>
      </c>
      <c r="AB1987" s="11" t="s">
        <v>5696</v>
      </c>
      <c r="AC1987" s="3"/>
    </row>
    <row r="1988" spans="1:29" ht="30" customHeight="1">
      <c r="A1988" s="147" t="str">
        <f>'Reported burning'!A1988</f>
        <v>228a</v>
      </c>
      <c r="B1988" s="147" t="str">
        <f>'Reported burning'!B1988</f>
        <v>228a.3</v>
      </c>
      <c r="C1988" s="147" t="str">
        <f>'Reported burning'!C1988</f>
        <v>Human, deliberate</v>
      </c>
      <c r="D1988" s="147" t="str">
        <f>'Reported burning'!D1988</f>
        <v>Pasture renewal</v>
      </c>
      <c r="E1988" s="147" t="str">
        <f>'Reported burning'!E1988</f>
        <v>Cattle, Extensive</v>
      </c>
      <c r="F1988" s="147" t="str">
        <f>'Reported burning'!F1988</f>
        <v>Pasture</v>
      </c>
      <c r="G1988" s="147" t="str">
        <f>'Reported burning'!G1988</f>
        <v>ND</v>
      </c>
      <c r="H1988" s="147" t="str">
        <f>'Reported burning'!H1988</f>
        <v>Presence</v>
      </c>
      <c r="I1988" s="3"/>
      <c r="J1988" s="4" t="s">
        <v>2272</v>
      </c>
      <c r="K1988" s="4" t="s">
        <v>2272</v>
      </c>
      <c r="L1988" s="4" t="s">
        <v>2272</v>
      </c>
      <c r="M1988" s="4" t="s">
        <v>2272</v>
      </c>
      <c r="N1988" s="4" t="s">
        <v>2272</v>
      </c>
      <c r="O1988" s="4" t="s">
        <v>2272</v>
      </c>
      <c r="P1988" s="4" t="s">
        <v>2272</v>
      </c>
      <c r="Q1988" s="4" t="s">
        <v>2272</v>
      </c>
      <c r="R1988" s="4" t="s">
        <v>2272</v>
      </c>
      <c r="S1988" s="4" t="s">
        <v>2272</v>
      </c>
      <c r="T1988" s="4" t="s">
        <v>2272</v>
      </c>
      <c r="U1988" s="4" t="s">
        <v>2272</v>
      </c>
      <c r="V1988" s="4" t="s">
        <v>2272</v>
      </c>
      <c r="W1988" s="4" t="s">
        <v>2272</v>
      </c>
      <c r="X1988" s="21" t="s">
        <v>2396</v>
      </c>
      <c r="Y1988" s="3" t="s">
        <v>33</v>
      </c>
      <c r="Z1988" s="3" t="s">
        <v>402</v>
      </c>
      <c r="AA1988" s="3" t="s">
        <v>2650</v>
      </c>
      <c r="AB1988" s="11" t="s">
        <v>5696</v>
      </c>
      <c r="AC1988" s="3"/>
    </row>
    <row r="1989" spans="1:29" ht="30" customHeight="1">
      <c r="A1989" s="147" t="str">
        <f>'Reported burning'!A1989</f>
        <v>228a</v>
      </c>
      <c r="B1989" s="147" t="str">
        <f>'Reported burning'!B1989</f>
        <v>228a.3</v>
      </c>
      <c r="C1989" s="147" t="str">
        <f>'Reported burning'!C1989</f>
        <v>Human, deliberate</v>
      </c>
      <c r="D1989" s="147" t="str">
        <f>'Reported burning'!D1989</f>
        <v>Forest clearance</v>
      </c>
      <c r="E1989" s="147" t="str">
        <f>'Reported burning'!E1989</f>
        <v>Cattle, Extensive</v>
      </c>
      <c r="F1989" s="147" t="str">
        <f>'Reported burning'!F1989</f>
        <v>Forest</v>
      </c>
      <c r="G1989" s="147" t="str">
        <f>'Reported burning'!G1989</f>
        <v>ND</v>
      </c>
      <c r="H1989" s="147" t="str">
        <f>'Reported burning'!H1989</f>
        <v>Presence</v>
      </c>
      <c r="I1989" s="3"/>
      <c r="J1989" s="4" t="s">
        <v>2272</v>
      </c>
      <c r="K1989" s="4" t="s">
        <v>2272</v>
      </c>
      <c r="L1989" s="4" t="s">
        <v>2272</v>
      </c>
      <c r="M1989" s="4" t="s">
        <v>2272</v>
      </c>
      <c r="N1989" s="4" t="s">
        <v>2272</v>
      </c>
      <c r="O1989" s="4" t="s">
        <v>2272</v>
      </c>
      <c r="P1989" s="4" t="s">
        <v>2272</v>
      </c>
      <c r="Q1989" s="4" t="s">
        <v>2272</v>
      </c>
      <c r="R1989" s="4" t="s">
        <v>2272</v>
      </c>
      <c r="S1989" s="4" t="s">
        <v>2272</v>
      </c>
      <c r="T1989" s="4" t="s">
        <v>2272</v>
      </c>
      <c r="U1989" s="4" t="s">
        <v>2272</v>
      </c>
      <c r="V1989" s="4" t="s">
        <v>2272</v>
      </c>
      <c r="W1989" s="4" t="s">
        <v>2272</v>
      </c>
      <c r="X1989" s="4" t="s">
        <v>2272</v>
      </c>
      <c r="Y1989" s="4" t="s">
        <v>2272</v>
      </c>
      <c r="Z1989" s="4" t="s">
        <v>2272</v>
      </c>
      <c r="AA1989" s="4" t="s">
        <v>2272</v>
      </c>
      <c r="AB1989" s="3"/>
      <c r="AC1989" s="3"/>
    </row>
    <row r="1990" spans="1:29" ht="30" customHeight="1">
      <c r="A1990" s="147" t="str">
        <f>'Reported burning'!A1990</f>
        <v>228a</v>
      </c>
      <c r="B1990" s="147" t="str">
        <f>'Reported burning'!B1990</f>
        <v>228a.4</v>
      </c>
      <c r="C1990" s="147" t="str">
        <f>'Reported burning'!C1990</f>
        <v>Human, deliberate</v>
      </c>
      <c r="D1990" s="147" t="str">
        <f>'Reported burning'!D1990</f>
        <v>Forest clearance</v>
      </c>
      <c r="E1990" s="147" t="str">
        <f>'Reported burning'!E1990</f>
        <v>Cattle, Intensive</v>
      </c>
      <c r="F1990" s="147" t="str">
        <f>'Reported burning'!F1990</f>
        <v>Forest</v>
      </c>
      <c r="G1990" s="147" t="str">
        <f>'Reported burning'!G1990</f>
        <v>ND</v>
      </c>
      <c r="H1990" s="147"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v>0</v>
      </c>
      <c r="X1990" s="4" t="s">
        <v>2272</v>
      </c>
      <c r="Y1990" s="4" t="s">
        <v>2272</v>
      </c>
      <c r="Z1990" s="4" t="s">
        <v>2272</v>
      </c>
      <c r="AA1990" s="4" t="s">
        <v>2272</v>
      </c>
      <c r="AB1990" s="3" t="s">
        <v>5698</v>
      </c>
      <c r="AC1990" s="3"/>
    </row>
    <row r="1991" spans="1:29" ht="32.5" customHeight="1">
      <c r="A1991" s="151" t="str">
        <f>'Reported burning'!A1991</f>
        <v>228a</v>
      </c>
      <c r="B1991" s="151" t="str">
        <f>'Reported burning'!B1991</f>
        <v>228a.5</v>
      </c>
      <c r="C1991" s="151" t="str">
        <f>'Reported burning'!C1991</f>
        <v>Human, escaped</v>
      </c>
      <c r="D1991" s="151" t="str">
        <f>'Reported burning'!D1991</f>
        <v>Crop field preparation</v>
      </c>
      <c r="E1991" s="151" t="str">
        <f>'Reported burning'!E1991</f>
        <v>Cropping, Swidden</v>
      </c>
      <c r="F1991" s="151" t="str">
        <f>'Reported burning'!F1991</f>
        <v>Forest</v>
      </c>
      <c r="G1991" s="151" t="str">
        <f>'Reported burning'!G1991</f>
        <v>ND</v>
      </c>
      <c r="H1991" s="151" t="str">
        <f>'Reported burning'!H1991</f>
        <v>Presence</v>
      </c>
      <c r="I1991" s="5"/>
      <c r="J1991" s="4" t="s">
        <v>2272</v>
      </c>
      <c r="K1991" s="4" t="s">
        <v>2272</v>
      </c>
      <c r="L1991" s="4" t="s">
        <v>2272</v>
      </c>
      <c r="M1991" s="4" t="s">
        <v>2272</v>
      </c>
      <c r="N1991" s="4" t="s">
        <v>2272</v>
      </c>
      <c r="O1991" s="4" t="s">
        <v>2272</v>
      </c>
      <c r="P1991" s="4" t="s">
        <v>2272</v>
      </c>
      <c r="Q1991" s="4" t="s">
        <v>2272</v>
      </c>
      <c r="R1991" s="4" t="s">
        <v>2272</v>
      </c>
      <c r="S1991" s="4" t="s">
        <v>2272</v>
      </c>
      <c r="T1991" s="4" t="s">
        <v>2272</v>
      </c>
      <c r="U1991" s="4" t="s">
        <v>2272</v>
      </c>
      <c r="V1991" s="4" t="s">
        <v>2272</v>
      </c>
      <c r="W1991" s="4" t="s">
        <v>2272</v>
      </c>
      <c r="X1991" s="4" t="s">
        <v>2272</v>
      </c>
      <c r="Y1991" s="4" t="s">
        <v>2272</v>
      </c>
      <c r="Z1991" s="4" t="s">
        <v>2272</v>
      </c>
      <c r="AA1991" s="4" t="s">
        <v>2272</v>
      </c>
      <c r="AB1991" s="3"/>
      <c r="AC1991" s="3"/>
    </row>
    <row r="1992" spans="1:29" ht="32.5" customHeight="1">
      <c r="A1992" s="151" t="str">
        <f>'Reported burning'!A1992</f>
        <v>228a</v>
      </c>
      <c r="B1992" s="151" t="str">
        <f>'Reported burning'!B1992</f>
        <v>228a.6</v>
      </c>
      <c r="C1992" s="151" t="str">
        <f>'Reported burning'!C1992</f>
        <v>Human, escaped</v>
      </c>
      <c r="D1992" s="151" t="str">
        <f>'Reported burning'!D1992</f>
        <v>Pasture renewal</v>
      </c>
      <c r="E1992" s="151" t="str">
        <f>'Reported burning'!E1992</f>
        <v>Cattle, Extensive</v>
      </c>
      <c r="F1992" s="151" t="str">
        <f>'Reported burning'!F1992</f>
        <v>Grassland</v>
      </c>
      <c r="G1992" s="151" t="str">
        <f>'Reported burning'!G1992</f>
        <v>ND</v>
      </c>
      <c r="H1992" s="151" t="str">
        <f>'Reported burning'!H1992</f>
        <v>Presence</v>
      </c>
      <c r="I1992" s="5"/>
      <c r="J1992" s="4" t="s">
        <v>2272</v>
      </c>
      <c r="K1992" s="4" t="s">
        <v>2272</v>
      </c>
      <c r="L1992" s="4" t="s">
        <v>2272</v>
      </c>
      <c r="M1992" s="4" t="s">
        <v>2272</v>
      </c>
      <c r="N1992" s="4" t="s">
        <v>2272</v>
      </c>
      <c r="O1992" s="4" t="s">
        <v>2272</v>
      </c>
      <c r="P1992" s="4" t="s">
        <v>2272</v>
      </c>
      <c r="Q1992" s="4" t="s">
        <v>2272</v>
      </c>
      <c r="R1992" s="4" t="s">
        <v>2272</v>
      </c>
      <c r="S1992" s="4" t="s">
        <v>2272</v>
      </c>
      <c r="T1992" s="4" t="s">
        <v>2272</v>
      </c>
      <c r="U1992" s="4" t="s">
        <v>2272</v>
      </c>
      <c r="V1992" s="4" t="s">
        <v>2272</v>
      </c>
      <c r="W1992" s="4" t="s">
        <v>2272</v>
      </c>
      <c r="X1992" s="4" t="s">
        <v>2272</v>
      </c>
      <c r="Y1992" s="4" t="s">
        <v>2272</v>
      </c>
      <c r="Z1992" s="4" t="s">
        <v>2272</v>
      </c>
      <c r="AA1992" s="4" t="s">
        <v>2272</v>
      </c>
      <c r="AB1992" s="3"/>
      <c r="AC1992" s="3"/>
    </row>
    <row r="1993" spans="1:29" ht="32.5" customHeight="1">
      <c r="A1993" s="151" t="str">
        <f>'Reported burning'!A1993</f>
        <v>228a</v>
      </c>
      <c r="B1993" s="151" t="str">
        <f>'Reported burning'!B1993</f>
        <v>228a.7</v>
      </c>
      <c r="C1993" s="151" t="str">
        <f>'Reported burning'!C1993</f>
        <v>Human, escaped</v>
      </c>
      <c r="D1993" s="151" t="str">
        <f>'Reported burning'!D1993</f>
        <v>Pasture renewal</v>
      </c>
      <c r="E1993" s="151" t="str">
        <f>'Reported burning'!E1993</f>
        <v>Cattle, Extensive</v>
      </c>
      <c r="F1993" s="151" t="str">
        <f>'Reported burning'!F1993</f>
        <v>Pasture</v>
      </c>
      <c r="G1993" s="151" t="str">
        <f>'Reported burning'!G1993</f>
        <v>ND</v>
      </c>
      <c r="H1993" s="151" t="str">
        <f>'Reported burning'!H1993</f>
        <v>Presence</v>
      </c>
      <c r="I1993" s="5"/>
      <c r="J1993" s="4" t="s">
        <v>2272</v>
      </c>
      <c r="K1993" s="4" t="s">
        <v>2272</v>
      </c>
      <c r="L1993" s="4" t="s">
        <v>2272</v>
      </c>
      <c r="M1993" s="4" t="s">
        <v>2272</v>
      </c>
      <c r="N1993" s="4" t="s">
        <v>2272</v>
      </c>
      <c r="O1993" s="4" t="s">
        <v>2272</v>
      </c>
      <c r="P1993" s="4" t="s">
        <v>2272</v>
      </c>
      <c r="Q1993" s="4" t="s">
        <v>2272</v>
      </c>
      <c r="R1993" s="4" t="s">
        <v>2272</v>
      </c>
      <c r="S1993" s="4" t="s">
        <v>2272</v>
      </c>
      <c r="T1993" s="4" t="s">
        <v>2272</v>
      </c>
      <c r="U1993" s="4" t="s">
        <v>2272</v>
      </c>
      <c r="V1993" s="4" t="s">
        <v>2272</v>
      </c>
      <c r="W1993" s="4" t="s">
        <v>2272</v>
      </c>
      <c r="X1993" s="4" t="s">
        <v>2272</v>
      </c>
      <c r="Y1993" s="4" t="s">
        <v>2272</v>
      </c>
      <c r="Z1993" s="4" t="s">
        <v>2272</v>
      </c>
      <c r="AA1993" s="4" t="s">
        <v>2272</v>
      </c>
      <c r="AB1993" s="3"/>
      <c r="AC1993" s="3"/>
    </row>
    <row r="1994" spans="1:29" ht="32.5" customHeight="1">
      <c r="A1994" s="151" t="str">
        <f>'Reported burning'!A1994</f>
        <v>228a</v>
      </c>
      <c r="B1994" s="151" t="str">
        <f>'Reported burning'!B1994</f>
        <v>228a.8</v>
      </c>
      <c r="C1994" s="151" t="str">
        <f>'Reported burning'!C1994</f>
        <v>Human, deliberate</v>
      </c>
      <c r="D1994" s="151" t="str">
        <f>'Reported burning'!D1994</f>
        <v>Hunting</v>
      </c>
      <c r="E1994" s="151" t="str">
        <f>'Reported burning'!E1994</f>
        <v>Forestry, Traditional</v>
      </c>
      <c r="F1994" s="151" t="str">
        <f>'Reported burning'!F1994</f>
        <v>ND</v>
      </c>
      <c r="G1994" s="151" t="str">
        <f>'Reported burning'!G1994</f>
        <v>ND</v>
      </c>
      <c r="H1994" s="151" t="str">
        <f>'Reported burning'!H1994</f>
        <v>Presence</v>
      </c>
      <c r="I1994" s="5"/>
      <c r="J1994" s="4" t="s">
        <v>2272</v>
      </c>
      <c r="K1994" s="4" t="s">
        <v>2272</v>
      </c>
      <c r="L1994" s="4" t="s">
        <v>2272</v>
      </c>
      <c r="M1994" s="4" t="s">
        <v>2272</v>
      </c>
      <c r="N1994" s="4" t="s">
        <v>2272</v>
      </c>
      <c r="O1994" s="4" t="s">
        <v>2272</v>
      </c>
      <c r="P1994" s="4" t="s">
        <v>2272</v>
      </c>
      <c r="Q1994" s="4" t="s">
        <v>2272</v>
      </c>
      <c r="R1994" s="4" t="s">
        <v>2272</v>
      </c>
      <c r="S1994" s="4" t="s">
        <v>2272</v>
      </c>
      <c r="T1994" s="4" t="s">
        <v>2272</v>
      </c>
      <c r="U1994" s="4" t="s">
        <v>2272</v>
      </c>
      <c r="V1994" s="4" t="s">
        <v>2272</v>
      </c>
      <c r="W1994" s="4" t="s">
        <v>2272</v>
      </c>
      <c r="X1994" s="4" t="s">
        <v>2272</v>
      </c>
      <c r="Y1994" s="4" t="s">
        <v>2272</v>
      </c>
      <c r="Z1994" s="4" t="s">
        <v>2272</v>
      </c>
      <c r="AA1994" s="4" t="s">
        <v>2272</v>
      </c>
      <c r="AB1994" s="3"/>
      <c r="AC1994" s="3"/>
    </row>
    <row r="1995" spans="1:29" ht="32.5" customHeight="1">
      <c r="A1995" s="151" t="str">
        <f>'Reported burning'!A1995</f>
        <v>229a</v>
      </c>
      <c r="B1995" s="151" t="str">
        <f>'Reported burning'!B1995</f>
        <v>229a.1</v>
      </c>
      <c r="C1995" s="151" t="str">
        <f>'Reported burning'!C1995</f>
        <v>Human, deliberate</v>
      </c>
      <c r="D1995" s="151" t="str">
        <f>'Reported burning'!D1995</f>
        <v>Crop field preparation</v>
      </c>
      <c r="E1995" s="151" t="str">
        <f>'Reported burning'!E1995</f>
        <v>Cropping, Swidden</v>
      </c>
      <c r="F1995" s="151" t="str">
        <f>'Reported burning'!F1995</f>
        <v>Forest</v>
      </c>
      <c r="G1995" s="151" t="str">
        <f>'Reported burning'!G1995</f>
        <v>ND</v>
      </c>
      <c r="H1995" s="151"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21">
        <v>0</v>
      </c>
      <c r="X1995" s="4" t="s">
        <v>2272</v>
      </c>
      <c r="Y1995" s="4" t="s">
        <v>2272</v>
      </c>
      <c r="Z1995" s="4" t="s">
        <v>2272</v>
      </c>
      <c r="AA1995" s="4" t="s">
        <v>2272</v>
      </c>
      <c r="AB1995" s="3"/>
      <c r="AC1995" s="3"/>
    </row>
    <row r="1996" spans="1:29" ht="32.5" customHeight="1">
      <c r="A1996" s="151" t="str">
        <f>'Reported burning'!A1996</f>
        <v>229a</v>
      </c>
      <c r="B1996" s="151" t="str">
        <f>'Reported burning'!B1996</f>
        <v>229a.2</v>
      </c>
      <c r="C1996" s="151" t="str">
        <f>'Reported burning'!C1996</f>
        <v>Human, deliberate</v>
      </c>
      <c r="D1996" s="151" t="str">
        <f>'Reported burning'!D1996</f>
        <v>Pasture renewal</v>
      </c>
      <c r="E1996" s="151" t="str">
        <f>'Reported burning'!E1996</f>
        <v>Cattle, Extensive</v>
      </c>
      <c r="F1996" s="151" t="str">
        <f>'Reported burning'!F1996</f>
        <v>Forest</v>
      </c>
      <c r="G1996" s="151" t="str">
        <f>'Reported burning'!G1996</f>
        <v>ND</v>
      </c>
      <c r="H1996" s="151"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21">
        <v>0</v>
      </c>
      <c r="X1996" s="4" t="s">
        <v>2272</v>
      </c>
      <c r="Y1996" s="4" t="s">
        <v>2272</v>
      </c>
      <c r="Z1996" s="4" t="s">
        <v>2272</v>
      </c>
      <c r="AA1996" s="4" t="s">
        <v>2272</v>
      </c>
      <c r="AB1996" s="3"/>
      <c r="AC1996" s="3"/>
    </row>
    <row r="1997" spans="1:29" ht="32.5" customHeight="1">
      <c r="A1997" s="151" t="str">
        <f>'Reported burning'!A1997</f>
        <v>229a</v>
      </c>
      <c r="B1997" s="151" t="str">
        <f>'Reported burning'!B1997</f>
        <v>229a.3</v>
      </c>
      <c r="C1997" s="151" t="str">
        <f>'Reported burning'!C1997</f>
        <v>Human, deliberate</v>
      </c>
      <c r="D1997" s="151" t="str">
        <f>'Reported burning'!D1997</f>
        <v>Harvesting of NTFP</v>
      </c>
      <c r="E1997" s="151" t="str">
        <f>'Reported burning'!E1997</f>
        <v>Forestry, Traditional</v>
      </c>
      <c r="F1997" s="151" t="str">
        <f>'Reported burning'!F1997</f>
        <v>Forest</v>
      </c>
      <c r="G1997" s="151" t="str">
        <f>'Reported burning'!G1997</f>
        <v>ND</v>
      </c>
      <c r="H1997" s="151"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21">
        <v>0</v>
      </c>
      <c r="X1997" s="4" t="s">
        <v>2272</v>
      </c>
      <c r="Y1997" s="4" t="s">
        <v>2272</v>
      </c>
      <c r="Z1997" s="4" t="s">
        <v>2272</v>
      </c>
      <c r="AA1997" s="4" t="s">
        <v>2272</v>
      </c>
      <c r="AB1997" s="3"/>
      <c r="AC1997" s="3"/>
    </row>
    <row r="1998" spans="1:29" ht="39" customHeight="1">
      <c r="A1998" s="151" t="str">
        <f>'Reported burning'!A1998</f>
        <v>229a</v>
      </c>
      <c r="B1998" s="151" t="str">
        <f>'Reported burning'!B1998</f>
        <v>229a.4</v>
      </c>
      <c r="C1998" s="151" t="str">
        <f>'Reported burning'!C1998</f>
        <v>Human, deliberate</v>
      </c>
      <c r="D1998" s="151" t="str">
        <f>'Reported burning'!D1998</f>
        <v>All</v>
      </c>
      <c r="E1998" s="151" t="str">
        <f>'Reported burning'!E1998</f>
        <v>Biodiversity conservation</v>
      </c>
      <c r="F1998" s="151" t="str">
        <f>'Reported burning'!F1998</f>
        <v>Forest</v>
      </c>
      <c r="G1998" s="151" t="str">
        <f>'Reported burning'!G1998</f>
        <v>ND</v>
      </c>
      <c r="H1998" s="151"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21">
        <v>0</v>
      </c>
      <c r="X1998" s="4" t="s">
        <v>2272</v>
      </c>
      <c r="Y1998" s="4" t="s">
        <v>2272</v>
      </c>
      <c r="Z1998" s="4" t="s">
        <v>2272</v>
      </c>
      <c r="AA1998" s="4" t="s">
        <v>2272</v>
      </c>
      <c r="AB1998" s="3"/>
      <c r="AC1998" s="3"/>
    </row>
    <row r="1999" spans="1:29" ht="65.5" customHeight="1">
      <c r="A1999" s="151" t="str">
        <f>'Reported burning'!A1999</f>
        <v>230a</v>
      </c>
      <c r="B1999" s="151" t="str">
        <f>'Reported burning'!B1999</f>
        <v>230a.1</v>
      </c>
      <c r="C1999" s="151" t="str">
        <f>'Reported burning'!C1999</f>
        <v>Human, deliberate</v>
      </c>
      <c r="D1999" s="151" t="str">
        <f>'Reported burning'!D1999</f>
        <v>Pest management</v>
      </c>
      <c r="E1999" s="151" t="str">
        <f>'Reported burning'!E1999</f>
        <v>Cropping, Monoculture, Market-oriented</v>
      </c>
      <c r="F1999" s="151" t="str">
        <f>'Reported burning'!F1999</f>
        <v>Cropland</v>
      </c>
      <c r="G1999" s="151" t="str">
        <f>'Reported burning'!G1999</f>
        <v>ND</v>
      </c>
      <c r="H1999" s="151" t="str">
        <f>'Reported burning'!H1999</f>
        <v>Presence</v>
      </c>
      <c r="I1999" s="5"/>
      <c r="J1999" s="4" t="s">
        <v>2272</v>
      </c>
      <c r="K1999" s="4" t="s">
        <v>2272</v>
      </c>
      <c r="L1999" s="4" t="s">
        <v>2272</v>
      </c>
      <c r="M1999" s="4" t="s">
        <v>2272</v>
      </c>
      <c r="N1999" s="4" t="s">
        <v>2272</v>
      </c>
      <c r="O1999" s="4" t="s">
        <v>2272</v>
      </c>
      <c r="P1999" s="4" t="s">
        <v>2272</v>
      </c>
      <c r="Q1999" s="4" t="s">
        <v>2272</v>
      </c>
      <c r="R1999" s="4" t="s">
        <v>2272</v>
      </c>
      <c r="S1999" s="4" t="s">
        <v>2272</v>
      </c>
      <c r="T1999" s="4" t="s">
        <v>2272</v>
      </c>
      <c r="U1999" s="4" t="s">
        <v>2272</v>
      </c>
      <c r="V1999" s="4" t="s">
        <v>2272</v>
      </c>
      <c r="W1999" s="4" t="s">
        <v>2272</v>
      </c>
      <c r="X1999" s="4" t="s">
        <v>2272</v>
      </c>
      <c r="Y1999" s="4" t="s">
        <v>2272</v>
      </c>
      <c r="Z1999" s="4" t="s">
        <v>2272</v>
      </c>
      <c r="AA1999" s="4" t="s">
        <v>2272</v>
      </c>
      <c r="AB1999" s="4" t="s">
        <v>5727</v>
      </c>
      <c r="AC1999" s="3"/>
    </row>
    <row r="2000" spans="1:29" ht="43.5">
      <c r="A2000" s="151" t="str">
        <f>'Reported burning'!A2000</f>
        <v>230b</v>
      </c>
      <c r="B2000" s="151" t="str">
        <f>'Reported burning'!B2000</f>
        <v>230b.1</v>
      </c>
      <c r="C2000" s="151" t="str">
        <f>'Reported burning'!C2000</f>
        <v>Human, deliberate</v>
      </c>
      <c r="D2000" s="151" t="str">
        <f>'Reported burning'!D2000</f>
        <v>Pest management</v>
      </c>
      <c r="E2000" s="151" t="str">
        <f>'Reported burning'!E2000</f>
        <v>Cropping, Monoculture, Market-oriented</v>
      </c>
      <c r="F2000" s="151" t="str">
        <f>'Reported burning'!F2000</f>
        <v>Cropland</v>
      </c>
      <c r="G2000" s="151" t="str">
        <f>'Reported burning'!G2000</f>
        <v>ND</v>
      </c>
      <c r="H2000" s="151" t="str">
        <f>'Reported burning'!H2000</f>
        <v>Presence</v>
      </c>
      <c r="I2000" s="5"/>
      <c r="J2000" s="4" t="s">
        <v>2272</v>
      </c>
      <c r="K2000" s="4" t="s">
        <v>2272</v>
      </c>
      <c r="L2000" s="4" t="s">
        <v>2272</v>
      </c>
      <c r="M2000" s="4" t="s">
        <v>2272</v>
      </c>
      <c r="N2000" s="4" t="s">
        <v>2272</v>
      </c>
      <c r="O2000" s="4" t="s">
        <v>2272</v>
      </c>
      <c r="P2000" s="4" t="s">
        <v>2272</v>
      </c>
      <c r="Q2000" s="4" t="s">
        <v>2272</v>
      </c>
      <c r="R2000" s="4" t="s">
        <v>2272</v>
      </c>
      <c r="S2000" s="4" t="s">
        <v>2272</v>
      </c>
      <c r="T2000" s="4" t="s">
        <v>2272</v>
      </c>
      <c r="U2000" s="4" t="s">
        <v>2272</v>
      </c>
      <c r="V2000" s="4" t="s">
        <v>2272</v>
      </c>
      <c r="W2000" s="4" t="s">
        <v>2272</v>
      </c>
      <c r="X2000" s="4" t="s">
        <v>2272</v>
      </c>
      <c r="Y2000" s="4" t="s">
        <v>2272</v>
      </c>
      <c r="Z2000" s="4" t="s">
        <v>2272</v>
      </c>
      <c r="AA2000" s="4" t="s">
        <v>2272</v>
      </c>
      <c r="AB2000" s="4" t="s">
        <v>5727</v>
      </c>
      <c r="AC2000" s="3"/>
    </row>
    <row r="2001" spans="1:29" ht="43.5">
      <c r="A2001" s="151" t="str">
        <f>'Reported burning'!A2001</f>
        <v>230c</v>
      </c>
      <c r="B2001" s="151" t="str">
        <f>'Reported burning'!B2001</f>
        <v>230c.1</v>
      </c>
      <c r="C2001" s="151" t="str">
        <f>'Reported burning'!C2001</f>
        <v>Human, deliberate</v>
      </c>
      <c r="D2001" s="151" t="str">
        <f>'Reported burning'!D2001</f>
        <v>Pest management</v>
      </c>
      <c r="E2001" s="151" t="str">
        <f>'Reported burning'!E2001</f>
        <v>Cropping, Monoculture, Market-oriented</v>
      </c>
      <c r="F2001" s="151" t="str">
        <f>'Reported burning'!F2001</f>
        <v>Cropland</v>
      </c>
      <c r="G2001" s="151" t="str">
        <f>'Reported burning'!G2001</f>
        <v>ND</v>
      </c>
      <c r="H2001" s="151" t="str">
        <f>'Reported burning'!H2001</f>
        <v>Presence</v>
      </c>
      <c r="I2001" s="5"/>
      <c r="J2001" s="4" t="s">
        <v>2272</v>
      </c>
      <c r="K2001" s="4" t="s">
        <v>2272</v>
      </c>
      <c r="L2001" s="4" t="s">
        <v>2272</v>
      </c>
      <c r="M2001" s="4" t="s">
        <v>2272</v>
      </c>
      <c r="N2001" s="4" t="s">
        <v>2272</v>
      </c>
      <c r="O2001" s="4" t="s">
        <v>2272</v>
      </c>
      <c r="P2001" s="4" t="s">
        <v>2272</v>
      </c>
      <c r="Q2001" s="4" t="s">
        <v>2272</v>
      </c>
      <c r="R2001" s="4" t="s">
        <v>2272</v>
      </c>
      <c r="S2001" s="4" t="s">
        <v>2272</v>
      </c>
      <c r="T2001" s="4" t="s">
        <v>2272</v>
      </c>
      <c r="U2001" s="4" t="s">
        <v>2272</v>
      </c>
      <c r="V2001" s="4" t="s">
        <v>2272</v>
      </c>
      <c r="W2001" s="4" t="s">
        <v>2272</v>
      </c>
      <c r="X2001" s="4" t="s">
        <v>2272</v>
      </c>
      <c r="Y2001" s="4" t="s">
        <v>2272</v>
      </c>
      <c r="Z2001" s="4" t="s">
        <v>2272</v>
      </c>
      <c r="AA2001" s="4" t="s">
        <v>2272</v>
      </c>
      <c r="AB2001" s="4" t="s">
        <v>5727</v>
      </c>
      <c r="AC2001" s="3"/>
    </row>
    <row r="2002" spans="1:29" ht="43.5">
      <c r="A2002" s="151" t="str">
        <f>'Reported burning'!A2002</f>
        <v>230d</v>
      </c>
      <c r="B2002" s="151" t="str">
        <f>'Reported burning'!B2002</f>
        <v>230d.1</v>
      </c>
      <c r="C2002" s="151" t="str">
        <f>'Reported burning'!C2002</f>
        <v>Human, deliberate</v>
      </c>
      <c r="D2002" s="151" t="str">
        <f>'Reported burning'!D2002</f>
        <v>Pest management</v>
      </c>
      <c r="E2002" s="151" t="str">
        <f>'Reported burning'!E2002</f>
        <v>Cropping, Monoculture, Market-oriented</v>
      </c>
      <c r="F2002" s="151" t="str">
        <f>'Reported burning'!F2002</f>
        <v>Cropland</v>
      </c>
      <c r="G2002" s="151" t="str">
        <f>'Reported burning'!G2002</f>
        <v>ND</v>
      </c>
      <c r="H2002" s="151" t="str">
        <f>'Reported burning'!H2002</f>
        <v>Presence</v>
      </c>
      <c r="I2002" s="5"/>
      <c r="J2002" s="4" t="s">
        <v>2272</v>
      </c>
      <c r="K2002" s="4" t="s">
        <v>2272</v>
      </c>
      <c r="L2002" s="4" t="s">
        <v>2272</v>
      </c>
      <c r="M2002" s="4" t="s">
        <v>2272</v>
      </c>
      <c r="N2002" s="4" t="s">
        <v>2272</v>
      </c>
      <c r="O2002" s="4" t="s">
        <v>2272</v>
      </c>
      <c r="P2002" s="4" t="s">
        <v>2272</v>
      </c>
      <c r="Q2002" s="4" t="s">
        <v>2272</v>
      </c>
      <c r="R2002" s="4" t="s">
        <v>2272</v>
      </c>
      <c r="S2002" s="4" t="s">
        <v>2272</v>
      </c>
      <c r="T2002" s="4" t="s">
        <v>2272</v>
      </c>
      <c r="U2002" s="4" t="s">
        <v>2272</v>
      </c>
      <c r="V2002" s="4" t="s">
        <v>2272</v>
      </c>
      <c r="W2002" s="4" t="s">
        <v>2272</v>
      </c>
      <c r="X2002" s="4" t="s">
        <v>2272</v>
      </c>
      <c r="Y2002" s="4" t="s">
        <v>2272</v>
      </c>
      <c r="Z2002" s="4" t="s">
        <v>2272</v>
      </c>
      <c r="AA2002" s="4" t="s">
        <v>2272</v>
      </c>
      <c r="AB2002" s="4" t="s">
        <v>5727</v>
      </c>
      <c r="AC2002" s="3"/>
    </row>
    <row r="2003" spans="1:29" ht="40" customHeight="1">
      <c r="A2003" s="147" t="str">
        <f>'Reported burning'!A2003</f>
        <v>231a</v>
      </c>
      <c r="B2003" s="147" t="str">
        <f>'Reported burning'!B2003</f>
        <v>231a.1</v>
      </c>
      <c r="C2003" s="147" t="str">
        <f>'Reported burning'!C2003</f>
        <v>All</v>
      </c>
      <c r="D2003" s="147" t="str">
        <f>'Reported burning'!D2003</f>
        <v>All</v>
      </c>
      <c r="E2003" s="147" t="str">
        <f>'Reported burning'!E2003</f>
        <v>All</v>
      </c>
      <c r="F2003" s="147" t="str">
        <f>'Reported burning'!F2003</f>
        <v>All</v>
      </c>
      <c r="G2003" s="147" t="str">
        <f>'Reported burning'!G2003</f>
        <v>Forest</v>
      </c>
      <c r="H2003" s="147" t="str">
        <f>'Reported burning'!H2003</f>
        <v>Presence</v>
      </c>
      <c r="I2003" s="3"/>
      <c r="J2003" s="4" t="s">
        <v>2272</v>
      </c>
      <c r="K2003" s="4" t="s">
        <v>2272</v>
      </c>
      <c r="L2003" s="4" t="s">
        <v>2272</v>
      </c>
      <c r="M2003" s="21" t="s">
        <v>2358</v>
      </c>
      <c r="N2003" s="4" t="s">
        <v>2272</v>
      </c>
      <c r="O2003" s="21" t="s">
        <v>2375</v>
      </c>
      <c r="P2003" s="4" t="s">
        <v>2272</v>
      </c>
      <c r="Q2003" s="21" t="s">
        <v>2372</v>
      </c>
      <c r="R2003" s="4" t="s">
        <v>2272</v>
      </c>
      <c r="S2003" s="21" t="s">
        <v>2358</v>
      </c>
      <c r="T2003" s="4" t="s">
        <v>2272</v>
      </c>
      <c r="U2003" s="4" t="s">
        <v>2272</v>
      </c>
      <c r="V2003" s="4" t="s">
        <v>2272</v>
      </c>
      <c r="W2003" s="4" t="s">
        <v>2272</v>
      </c>
      <c r="X2003" s="4" t="s">
        <v>2272</v>
      </c>
      <c r="Y2003" s="4" t="s">
        <v>2272</v>
      </c>
      <c r="Z2003" s="4" t="s">
        <v>2272</v>
      </c>
      <c r="AA2003" s="4" t="s">
        <v>2272</v>
      </c>
      <c r="AB2003" s="4"/>
      <c r="AC2003" s="4" t="s">
        <v>5743</v>
      </c>
    </row>
    <row r="2004" spans="1:29" ht="40" customHeight="1">
      <c r="A2004" s="147" t="str">
        <f>'Reported burning'!A2004</f>
        <v>231b</v>
      </c>
      <c r="B2004" s="147" t="str">
        <f>'Reported burning'!B2004</f>
        <v>231b.1</v>
      </c>
      <c r="C2004" s="147" t="str">
        <f>'Reported burning'!C2004</f>
        <v>All</v>
      </c>
      <c r="D2004" s="147" t="str">
        <f>'Reported burning'!D2004</f>
        <v>All</v>
      </c>
      <c r="E2004" s="147" t="str">
        <f>'Reported burning'!E2004</f>
        <v>All</v>
      </c>
      <c r="F2004" s="147" t="str">
        <f>'Reported burning'!F2004</f>
        <v>All</v>
      </c>
      <c r="G2004" s="147" t="str">
        <f>'Reported burning'!G2004</f>
        <v>Forest</v>
      </c>
      <c r="H2004" s="147" t="str">
        <f>'Reported burning'!H2004</f>
        <v>Presence</v>
      </c>
      <c r="I2004" s="3"/>
      <c r="J2004" s="4" t="s">
        <v>2272</v>
      </c>
      <c r="K2004" s="4" t="s">
        <v>2272</v>
      </c>
      <c r="L2004" s="4" t="s">
        <v>2272</v>
      </c>
      <c r="M2004" s="21" t="s">
        <v>2358</v>
      </c>
      <c r="N2004" s="4" t="s">
        <v>2272</v>
      </c>
      <c r="O2004" s="21" t="s">
        <v>2375</v>
      </c>
      <c r="P2004" s="4" t="s">
        <v>2272</v>
      </c>
      <c r="Q2004" s="21" t="s">
        <v>2372</v>
      </c>
      <c r="R2004" s="4" t="s">
        <v>2272</v>
      </c>
      <c r="S2004" s="21" t="s">
        <v>2358</v>
      </c>
      <c r="T2004" s="4" t="s">
        <v>2272</v>
      </c>
      <c r="U2004" s="4" t="s">
        <v>2272</v>
      </c>
      <c r="V2004" s="4" t="s">
        <v>2272</v>
      </c>
      <c r="W2004" s="4" t="s">
        <v>2272</v>
      </c>
      <c r="X2004" s="4" t="s">
        <v>2272</v>
      </c>
      <c r="Y2004" s="4" t="s">
        <v>2272</v>
      </c>
      <c r="Z2004" s="4" t="s">
        <v>2272</v>
      </c>
      <c r="AA2004" s="4" t="s">
        <v>2272</v>
      </c>
      <c r="AB2004" s="3"/>
      <c r="AC2004" s="4" t="s">
        <v>5743</v>
      </c>
    </row>
    <row r="2005" spans="1:29" ht="40" customHeight="1">
      <c r="A2005" s="147" t="str">
        <f>'Reported burning'!A2005</f>
        <v>231c</v>
      </c>
      <c r="B2005" s="147" t="str">
        <f>'Reported burning'!B2005</f>
        <v>231c.1</v>
      </c>
      <c r="C2005" s="147" t="str">
        <f>'Reported burning'!C2005</f>
        <v>All</v>
      </c>
      <c r="D2005" s="147" t="str">
        <f>'Reported burning'!D2005</f>
        <v>All</v>
      </c>
      <c r="E2005" s="147" t="str">
        <f>'Reported burning'!E2005</f>
        <v>All</v>
      </c>
      <c r="F2005" s="147" t="str">
        <f>'Reported burning'!F2005</f>
        <v>All</v>
      </c>
      <c r="G2005" s="147" t="str">
        <f>'Reported burning'!G2005</f>
        <v>Forest</v>
      </c>
      <c r="H2005" s="147" t="str">
        <f>'Reported burning'!H2005</f>
        <v>Presence</v>
      </c>
      <c r="I2005" s="3"/>
      <c r="J2005" s="4" t="s">
        <v>2272</v>
      </c>
      <c r="K2005" s="4" t="s">
        <v>2272</v>
      </c>
      <c r="L2005" s="4" t="s">
        <v>2272</v>
      </c>
      <c r="M2005" s="21" t="s">
        <v>2358</v>
      </c>
      <c r="N2005" s="4" t="s">
        <v>2272</v>
      </c>
      <c r="O2005" s="21" t="s">
        <v>2375</v>
      </c>
      <c r="P2005" s="4" t="s">
        <v>2272</v>
      </c>
      <c r="Q2005" s="21" t="s">
        <v>2372</v>
      </c>
      <c r="R2005" s="4" t="s">
        <v>2272</v>
      </c>
      <c r="S2005" s="21" t="s">
        <v>2358</v>
      </c>
      <c r="T2005" s="4" t="s">
        <v>2272</v>
      </c>
      <c r="U2005" s="4" t="s">
        <v>2272</v>
      </c>
      <c r="V2005" s="4" t="s">
        <v>2272</v>
      </c>
      <c r="W2005" s="4" t="s">
        <v>2272</v>
      </c>
      <c r="X2005" s="4" t="s">
        <v>2272</v>
      </c>
      <c r="Y2005" s="4" t="s">
        <v>2272</v>
      </c>
      <c r="Z2005" s="4" t="s">
        <v>2272</v>
      </c>
      <c r="AA2005" s="4" t="s">
        <v>2272</v>
      </c>
      <c r="AB2005" s="3"/>
      <c r="AC2005" s="4" t="s">
        <v>5743</v>
      </c>
    </row>
    <row r="2006" spans="1:29" ht="51" customHeight="1">
      <c r="A2006" s="151" t="str">
        <f>'Reported burning'!A2006</f>
        <v>231a</v>
      </c>
      <c r="B2006" s="151" t="str">
        <f>'Reported burning'!B2006</f>
        <v>231a.2</v>
      </c>
      <c r="C2006" s="151" t="str">
        <f>'Reported burning'!C2006</f>
        <v>Human, deliberate</v>
      </c>
      <c r="D2006" s="151" t="str">
        <f>'Reported burning'!D2006</f>
        <v>Pyrome management</v>
      </c>
      <c r="E2006" s="151" t="str">
        <f>'Reported burning'!E2006</f>
        <v>Cropping, Monoculture, Subsistence-oriented</v>
      </c>
      <c r="F2006" s="151" t="str">
        <f>'Reported burning'!F2006</f>
        <v>Forest</v>
      </c>
      <c r="G2006" s="151" t="str">
        <f>'Reported burning'!G2006</f>
        <v>ND</v>
      </c>
      <c r="H2006" s="151" t="str">
        <f>'Reported burning'!H2006</f>
        <v>Presence</v>
      </c>
      <c r="I2006" s="5"/>
      <c r="J2006" s="4" t="s">
        <v>2272</v>
      </c>
      <c r="K2006" s="4" t="s">
        <v>2272</v>
      </c>
      <c r="L2006" s="21" t="s">
        <v>2358</v>
      </c>
      <c r="M2006" s="4" t="s">
        <v>2272</v>
      </c>
      <c r="N2006" s="4" t="s">
        <v>2272</v>
      </c>
      <c r="O2006" s="4" t="s">
        <v>2272</v>
      </c>
      <c r="P2006" s="21" t="s">
        <v>2358</v>
      </c>
      <c r="Q2006" s="4" t="s">
        <v>2272</v>
      </c>
      <c r="R2006" s="21" t="s">
        <v>2358</v>
      </c>
      <c r="S2006" s="4" t="s">
        <v>2272</v>
      </c>
      <c r="T2006" s="4" t="s">
        <v>2272</v>
      </c>
      <c r="U2006" s="4" t="s">
        <v>2272</v>
      </c>
      <c r="V2006" s="4" t="s">
        <v>2272</v>
      </c>
      <c r="W2006" s="4" t="s">
        <v>2272</v>
      </c>
      <c r="X2006" s="4" t="s">
        <v>2272</v>
      </c>
      <c r="Y2006" s="4" t="s">
        <v>2272</v>
      </c>
      <c r="Z2006" s="4" t="s">
        <v>2272</v>
      </c>
      <c r="AA2006" s="4" t="s">
        <v>2272</v>
      </c>
      <c r="AB2006" s="3"/>
      <c r="AC2006" s="4" t="s">
        <v>5752</v>
      </c>
    </row>
    <row r="2007" spans="1:29" ht="51" customHeight="1">
      <c r="A2007" s="151" t="str">
        <f>'Reported burning'!A2007</f>
        <v>231b</v>
      </c>
      <c r="B2007" s="151" t="str">
        <f>'Reported burning'!B2007</f>
        <v>231b.2</v>
      </c>
      <c r="C2007" s="151" t="str">
        <f>'Reported burning'!C2007</f>
        <v>Human, deliberate</v>
      </c>
      <c r="D2007" s="151" t="str">
        <f>'Reported burning'!D2007</f>
        <v>Pyrome management</v>
      </c>
      <c r="E2007" s="151" t="str">
        <f>'Reported burning'!E2007</f>
        <v>Cropping, Monoculture, Subsistence-oriented</v>
      </c>
      <c r="F2007" s="151" t="str">
        <f>'Reported burning'!F2007</f>
        <v>Forest</v>
      </c>
      <c r="G2007" s="151" t="str">
        <f>'Reported burning'!G2007</f>
        <v>ND</v>
      </c>
      <c r="H2007" s="151" t="str">
        <f>'Reported burning'!H2007</f>
        <v>Presence</v>
      </c>
      <c r="I2007" s="5"/>
      <c r="J2007" s="4" t="s">
        <v>2272</v>
      </c>
      <c r="K2007" s="4" t="s">
        <v>2272</v>
      </c>
      <c r="L2007" s="21" t="s">
        <v>2358</v>
      </c>
      <c r="M2007" s="4" t="s">
        <v>2272</v>
      </c>
      <c r="N2007" s="4" t="s">
        <v>2272</v>
      </c>
      <c r="O2007" s="4" t="s">
        <v>2272</v>
      </c>
      <c r="P2007" s="21" t="s">
        <v>2358</v>
      </c>
      <c r="Q2007" s="4" t="s">
        <v>2272</v>
      </c>
      <c r="R2007" s="21" t="s">
        <v>2358</v>
      </c>
      <c r="S2007" s="4" t="s">
        <v>2272</v>
      </c>
      <c r="T2007" s="4" t="s">
        <v>2272</v>
      </c>
      <c r="U2007" s="4" t="s">
        <v>2272</v>
      </c>
      <c r="V2007" s="4" t="s">
        <v>2272</v>
      </c>
      <c r="W2007" s="4" t="s">
        <v>2272</v>
      </c>
      <c r="X2007" s="4" t="s">
        <v>2272</v>
      </c>
      <c r="Y2007" s="4" t="s">
        <v>2272</v>
      </c>
      <c r="Z2007" s="4" t="s">
        <v>2272</v>
      </c>
      <c r="AA2007" s="4" t="s">
        <v>2272</v>
      </c>
      <c r="AB2007" s="3"/>
      <c r="AC2007" s="4" t="s">
        <v>5752</v>
      </c>
    </row>
    <row r="2008" spans="1:29" ht="51" customHeight="1">
      <c r="A2008" s="151" t="str">
        <f>'Reported burning'!A2008</f>
        <v>231c</v>
      </c>
      <c r="B2008" s="151" t="str">
        <f>'Reported burning'!B2008</f>
        <v>231c.2</v>
      </c>
      <c r="C2008" s="151" t="str">
        <f>'Reported burning'!C2008</f>
        <v>Human, deliberate</v>
      </c>
      <c r="D2008" s="151" t="str">
        <f>'Reported burning'!D2008</f>
        <v>Pyrome management</v>
      </c>
      <c r="E2008" s="151" t="str">
        <f>'Reported burning'!E2008</f>
        <v>Cropping, Monoculture, Subsistence-oriented</v>
      </c>
      <c r="F2008" s="151" t="str">
        <f>'Reported burning'!F2008</f>
        <v>Forest</v>
      </c>
      <c r="G2008" s="151" t="str">
        <f>'Reported burning'!G2008</f>
        <v>ND</v>
      </c>
      <c r="H2008" s="151" t="str">
        <f>'Reported burning'!H2008</f>
        <v>Presence</v>
      </c>
      <c r="I2008" s="5"/>
      <c r="J2008" s="4" t="s">
        <v>2272</v>
      </c>
      <c r="K2008" s="4" t="s">
        <v>2272</v>
      </c>
      <c r="L2008" s="21" t="s">
        <v>2358</v>
      </c>
      <c r="M2008" s="4" t="s">
        <v>2272</v>
      </c>
      <c r="N2008" s="4" t="s">
        <v>2272</v>
      </c>
      <c r="O2008" s="4" t="s">
        <v>2272</v>
      </c>
      <c r="P2008" s="21" t="s">
        <v>2358</v>
      </c>
      <c r="Q2008" s="4" t="s">
        <v>2272</v>
      </c>
      <c r="R2008" s="21" t="s">
        <v>2358</v>
      </c>
      <c r="S2008" s="4" t="s">
        <v>2272</v>
      </c>
      <c r="T2008" s="4" t="s">
        <v>2272</v>
      </c>
      <c r="U2008" s="4" t="s">
        <v>2272</v>
      </c>
      <c r="V2008" s="4" t="s">
        <v>2272</v>
      </c>
      <c r="W2008" s="4" t="s">
        <v>2272</v>
      </c>
      <c r="X2008" s="4" t="s">
        <v>2272</v>
      </c>
      <c r="Y2008" s="4" t="s">
        <v>2272</v>
      </c>
      <c r="Z2008" s="4" t="s">
        <v>2272</v>
      </c>
      <c r="AA2008" s="4" t="s">
        <v>2272</v>
      </c>
      <c r="AB2008" s="3"/>
      <c r="AC2008" s="4" t="s">
        <v>5752</v>
      </c>
    </row>
    <row r="2009" spans="1:29" ht="65" customHeight="1">
      <c r="A2009" s="151" t="str">
        <f>'Reported burning'!A2009</f>
        <v>231a</v>
      </c>
      <c r="B2009" s="151" t="str">
        <f>'Reported burning'!B2009</f>
        <v>231a.3</v>
      </c>
      <c r="C2009" s="151" t="str">
        <f>'Reported burning'!C2009</f>
        <v>Human, deliberate</v>
      </c>
      <c r="D2009" s="151" t="str">
        <f>'Reported burning'!D2009</f>
        <v>Crop residue burning</v>
      </c>
      <c r="E2009" s="151" t="str">
        <f>'Reported burning'!E2009</f>
        <v>Cropping, Monoculture, Subsistence-oriented</v>
      </c>
      <c r="F2009" s="151" t="str">
        <f>'Reported burning'!F2009</f>
        <v>Cropland</v>
      </c>
      <c r="G2009" s="151" t="str">
        <f>'Reported burning'!G2009</f>
        <v>ND</v>
      </c>
      <c r="H2009" s="151" t="str">
        <f>'Reported burning'!H2009</f>
        <v>Presence</v>
      </c>
      <c r="I2009" s="5"/>
      <c r="J2009" s="4" t="s">
        <v>2272</v>
      </c>
      <c r="K2009" s="4" t="s">
        <v>2272</v>
      </c>
      <c r="L2009" s="98" t="s">
        <v>2358</v>
      </c>
      <c r="M2009" s="4" t="s">
        <v>2272</v>
      </c>
      <c r="N2009" s="4" t="s">
        <v>2272</v>
      </c>
      <c r="O2009" s="4" t="s">
        <v>2272</v>
      </c>
      <c r="P2009" s="98" t="s">
        <v>2358</v>
      </c>
      <c r="Q2009" s="4" t="s">
        <v>2272</v>
      </c>
      <c r="R2009" s="98" t="s">
        <v>2358</v>
      </c>
      <c r="S2009" s="4" t="s">
        <v>2272</v>
      </c>
      <c r="T2009" s="21" t="s">
        <v>2384</v>
      </c>
      <c r="U2009" s="4" t="s">
        <v>2272</v>
      </c>
      <c r="V2009" s="4" t="s">
        <v>2272</v>
      </c>
      <c r="W2009" s="4" t="s">
        <v>2272</v>
      </c>
      <c r="X2009" s="4" t="s">
        <v>2272</v>
      </c>
      <c r="Y2009" s="4" t="s">
        <v>2272</v>
      </c>
      <c r="Z2009" s="4" t="s">
        <v>2272</v>
      </c>
      <c r="AA2009" s="4" t="s">
        <v>2272</v>
      </c>
      <c r="AB2009" s="3"/>
      <c r="AC2009" s="4" t="s">
        <v>5757</v>
      </c>
    </row>
    <row r="2010" spans="1:29" ht="65" customHeight="1">
      <c r="A2010" s="151" t="str">
        <f>'Reported burning'!A2010</f>
        <v>231b</v>
      </c>
      <c r="B2010" s="151" t="str">
        <f>'Reported burning'!B2010</f>
        <v>231b.3</v>
      </c>
      <c r="C2010" s="151" t="str">
        <f>'Reported burning'!C2010</f>
        <v>Human, deliberate</v>
      </c>
      <c r="D2010" s="151" t="str">
        <f>'Reported burning'!D2010</f>
        <v>Crop residue burning</v>
      </c>
      <c r="E2010" s="151" t="str">
        <f>'Reported burning'!E2010</f>
        <v>Cropping, Monoculture, Subsistence-oriented</v>
      </c>
      <c r="F2010" s="151" t="str">
        <f>'Reported burning'!F2010</f>
        <v>Cropland</v>
      </c>
      <c r="G2010" s="151" t="str">
        <f>'Reported burning'!G2010</f>
        <v>ND</v>
      </c>
      <c r="H2010" s="151" t="str">
        <f>'Reported burning'!H2010</f>
        <v>Presence</v>
      </c>
      <c r="I2010" s="5"/>
      <c r="J2010" s="4" t="s">
        <v>2272</v>
      </c>
      <c r="K2010" s="4" t="s">
        <v>2272</v>
      </c>
      <c r="L2010" s="98" t="s">
        <v>2358</v>
      </c>
      <c r="M2010" s="4" t="s">
        <v>2272</v>
      </c>
      <c r="N2010" s="4" t="s">
        <v>2272</v>
      </c>
      <c r="O2010" s="4" t="s">
        <v>2272</v>
      </c>
      <c r="P2010" s="98" t="s">
        <v>2358</v>
      </c>
      <c r="Q2010" s="4" t="s">
        <v>2272</v>
      </c>
      <c r="R2010" s="98" t="s">
        <v>2358</v>
      </c>
      <c r="S2010" s="4" t="s">
        <v>2272</v>
      </c>
      <c r="T2010" s="21" t="s">
        <v>2384</v>
      </c>
      <c r="U2010" s="4" t="s">
        <v>2272</v>
      </c>
      <c r="V2010" s="4" t="s">
        <v>2272</v>
      </c>
      <c r="W2010" s="4" t="s">
        <v>2272</v>
      </c>
      <c r="X2010" s="4" t="s">
        <v>2272</v>
      </c>
      <c r="Y2010" s="4" t="s">
        <v>2272</v>
      </c>
      <c r="Z2010" s="4" t="s">
        <v>2272</v>
      </c>
      <c r="AA2010" s="4" t="s">
        <v>2272</v>
      </c>
      <c r="AB2010" s="3"/>
      <c r="AC2010" s="4" t="s">
        <v>5757</v>
      </c>
    </row>
    <row r="2011" spans="1:29" ht="65" customHeight="1">
      <c r="A2011" s="151" t="str">
        <f>'Reported burning'!A2011</f>
        <v>231c</v>
      </c>
      <c r="B2011" s="151" t="str">
        <f>'Reported burning'!B2011</f>
        <v>231c.3</v>
      </c>
      <c r="C2011" s="151" t="str">
        <f>'Reported burning'!C2011</f>
        <v>Human, deliberate</v>
      </c>
      <c r="D2011" s="151" t="str">
        <f>'Reported burning'!D2011</f>
        <v>Crop residue burning</v>
      </c>
      <c r="E2011" s="151" t="str">
        <f>'Reported burning'!E2011</f>
        <v>Cropping, Monoculture, Subsistence-oriented</v>
      </c>
      <c r="F2011" s="151" t="str">
        <f>'Reported burning'!F2011</f>
        <v>Cropland</v>
      </c>
      <c r="G2011" s="151" t="str">
        <f>'Reported burning'!G2011</f>
        <v>ND</v>
      </c>
      <c r="H2011" s="151" t="str">
        <f>'Reported burning'!H2011</f>
        <v>Presence</v>
      </c>
      <c r="I2011" s="5"/>
      <c r="J2011" s="4" t="s">
        <v>2272</v>
      </c>
      <c r="K2011" s="4" t="s">
        <v>2272</v>
      </c>
      <c r="L2011" s="98" t="s">
        <v>2358</v>
      </c>
      <c r="M2011" s="4" t="s">
        <v>2272</v>
      </c>
      <c r="N2011" s="4" t="s">
        <v>2272</v>
      </c>
      <c r="O2011" s="4" t="s">
        <v>2272</v>
      </c>
      <c r="P2011" s="98" t="s">
        <v>2358</v>
      </c>
      <c r="Q2011" s="4" t="s">
        <v>2272</v>
      </c>
      <c r="R2011" s="98" t="s">
        <v>2358</v>
      </c>
      <c r="S2011" s="4" t="s">
        <v>2272</v>
      </c>
      <c r="T2011" s="21" t="s">
        <v>2384</v>
      </c>
      <c r="U2011" s="4" t="s">
        <v>2272</v>
      </c>
      <c r="V2011" s="4" t="s">
        <v>2272</v>
      </c>
      <c r="W2011" s="4" t="s">
        <v>2272</v>
      </c>
      <c r="X2011" s="4" t="s">
        <v>2272</v>
      </c>
      <c r="Y2011" s="4" t="s">
        <v>2272</v>
      </c>
      <c r="Z2011" s="4" t="s">
        <v>2272</v>
      </c>
      <c r="AA2011" s="4" t="s">
        <v>2272</v>
      </c>
      <c r="AB2011" s="3"/>
      <c r="AC2011" s="4" t="s">
        <v>5757</v>
      </c>
    </row>
    <row r="2012" spans="1:29" ht="30" customHeight="1">
      <c r="A2012" s="151" t="str">
        <f>'Reported burning'!A2012</f>
        <v>231a</v>
      </c>
      <c r="B2012" s="151" t="str">
        <f>'Reported burning'!B2012</f>
        <v>231a.4</v>
      </c>
      <c r="C2012" s="151" t="str">
        <f>'Reported burning'!C2012</f>
        <v>Human, deliberate</v>
      </c>
      <c r="D2012" s="151" t="str">
        <f>'Reported burning'!D2012</f>
        <v>Domestic</v>
      </c>
      <c r="E2012" s="151" t="str">
        <f>'Reported burning'!E2012</f>
        <v>ND</v>
      </c>
      <c r="F2012" s="151" t="str">
        <f>'Reported burning'!F2012</f>
        <v>ND</v>
      </c>
      <c r="G2012" s="151" t="str">
        <f>'Reported burning'!G2012</f>
        <v>ND</v>
      </c>
      <c r="H2012" s="151" t="str">
        <f>'Reported burning'!H2012</f>
        <v>Presence</v>
      </c>
      <c r="I2012" s="5"/>
      <c r="J2012" s="4" t="s">
        <v>2272</v>
      </c>
      <c r="K2012" s="4" t="s">
        <v>2272</v>
      </c>
      <c r="L2012" s="4" t="s">
        <v>2272</v>
      </c>
      <c r="M2012" s="4" t="s">
        <v>2272</v>
      </c>
      <c r="N2012" s="4" t="s">
        <v>2272</v>
      </c>
      <c r="O2012" s="4" t="s">
        <v>2272</v>
      </c>
      <c r="P2012" s="4" t="s">
        <v>2272</v>
      </c>
      <c r="Q2012" s="4" t="s">
        <v>2272</v>
      </c>
      <c r="R2012" s="4" t="s">
        <v>2272</v>
      </c>
      <c r="S2012" s="4" t="s">
        <v>2272</v>
      </c>
      <c r="T2012" s="4" t="s">
        <v>2272</v>
      </c>
      <c r="U2012" s="4" t="s">
        <v>2272</v>
      </c>
      <c r="V2012" s="4" t="s">
        <v>2272</v>
      </c>
      <c r="W2012" s="4" t="s">
        <v>2272</v>
      </c>
      <c r="X2012" s="4" t="s">
        <v>2272</v>
      </c>
      <c r="Y2012" s="4" t="s">
        <v>2272</v>
      </c>
      <c r="Z2012" s="4" t="s">
        <v>2272</v>
      </c>
      <c r="AA2012" s="4" t="s">
        <v>2272</v>
      </c>
      <c r="AB2012" s="3" t="s">
        <v>5764</v>
      </c>
      <c r="AC2012" s="3"/>
    </row>
    <row r="2013" spans="1:29" ht="30" customHeight="1">
      <c r="A2013" s="151" t="str">
        <f>'Reported burning'!A2013</f>
        <v>231b</v>
      </c>
      <c r="B2013" s="151" t="str">
        <f>'Reported burning'!B2013</f>
        <v>231b.4</v>
      </c>
      <c r="C2013" s="151" t="str">
        <f>'Reported burning'!C2013</f>
        <v>Human, deliberate</v>
      </c>
      <c r="D2013" s="151" t="str">
        <f>'Reported burning'!D2013</f>
        <v>Domestic</v>
      </c>
      <c r="E2013" s="151" t="str">
        <f>'Reported burning'!E2013</f>
        <v>ND</v>
      </c>
      <c r="F2013" s="151" t="str">
        <f>'Reported burning'!F2013</f>
        <v>ND</v>
      </c>
      <c r="G2013" s="151" t="str">
        <f>'Reported burning'!G2013</f>
        <v>ND</v>
      </c>
      <c r="H2013" s="151" t="str">
        <f>'Reported burning'!H2013</f>
        <v>Presence</v>
      </c>
      <c r="I2013" s="5"/>
      <c r="J2013" s="4" t="s">
        <v>2272</v>
      </c>
      <c r="K2013" s="4" t="s">
        <v>2272</v>
      </c>
      <c r="L2013" s="4" t="s">
        <v>2272</v>
      </c>
      <c r="M2013" s="4" t="s">
        <v>2272</v>
      </c>
      <c r="N2013" s="4" t="s">
        <v>2272</v>
      </c>
      <c r="O2013" s="4" t="s">
        <v>2272</v>
      </c>
      <c r="P2013" s="4" t="s">
        <v>2272</v>
      </c>
      <c r="Q2013" s="4" t="s">
        <v>2272</v>
      </c>
      <c r="R2013" s="4" t="s">
        <v>2272</v>
      </c>
      <c r="S2013" s="4" t="s">
        <v>2272</v>
      </c>
      <c r="T2013" s="4" t="s">
        <v>2272</v>
      </c>
      <c r="U2013" s="4" t="s">
        <v>2272</v>
      </c>
      <c r="V2013" s="4" t="s">
        <v>2272</v>
      </c>
      <c r="W2013" s="4" t="s">
        <v>2272</v>
      </c>
      <c r="X2013" s="4" t="s">
        <v>2272</v>
      </c>
      <c r="Y2013" s="4" t="s">
        <v>2272</v>
      </c>
      <c r="Z2013" s="4" t="s">
        <v>2272</v>
      </c>
      <c r="AA2013" s="4" t="s">
        <v>2272</v>
      </c>
      <c r="AB2013" s="3" t="s">
        <v>5764</v>
      </c>
      <c r="AC2013" s="3"/>
    </row>
    <row r="2014" spans="1:29" ht="30" customHeight="1">
      <c r="A2014" s="151" t="str">
        <f>'Reported burning'!A2014</f>
        <v>231c</v>
      </c>
      <c r="B2014" s="151" t="str">
        <f>'Reported burning'!B2014</f>
        <v>231c.4</v>
      </c>
      <c r="C2014" s="151" t="str">
        <f>'Reported burning'!C2014</f>
        <v>Human, deliberate</v>
      </c>
      <c r="D2014" s="151" t="str">
        <f>'Reported burning'!D2014</f>
        <v>Domestic</v>
      </c>
      <c r="E2014" s="151" t="str">
        <f>'Reported burning'!E2014</f>
        <v>ND</v>
      </c>
      <c r="F2014" s="151" t="str">
        <f>'Reported burning'!F2014</f>
        <v>ND</v>
      </c>
      <c r="G2014" s="151" t="str">
        <f>'Reported burning'!G2014</f>
        <v>ND</v>
      </c>
      <c r="H2014" s="151" t="str">
        <f>'Reported burning'!H2014</f>
        <v>Presence</v>
      </c>
      <c r="I2014" s="5"/>
      <c r="J2014" s="4" t="s">
        <v>2272</v>
      </c>
      <c r="K2014" s="4" t="s">
        <v>2272</v>
      </c>
      <c r="L2014" s="4" t="s">
        <v>2272</v>
      </c>
      <c r="M2014" s="4" t="s">
        <v>2272</v>
      </c>
      <c r="N2014" s="4" t="s">
        <v>2272</v>
      </c>
      <c r="O2014" s="4" t="s">
        <v>2272</v>
      </c>
      <c r="P2014" s="4" t="s">
        <v>2272</v>
      </c>
      <c r="Q2014" s="4" t="s">
        <v>2272</v>
      </c>
      <c r="R2014" s="4" t="s">
        <v>2272</v>
      </c>
      <c r="S2014" s="4" t="s">
        <v>2272</v>
      </c>
      <c r="T2014" s="4" t="s">
        <v>2272</v>
      </c>
      <c r="U2014" s="4" t="s">
        <v>2272</v>
      </c>
      <c r="V2014" s="4" t="s">
        <v>2272</v>
      </c>
      <c r="W2014" s="4" t="s">
        <v>2272</v>
      </c>
      <c r="X2014" s="4" t="s">
        <v>2272</v>
      </c>
      <c r="Y2014" s="4" t="s">
        <v>2272</v>
      </c>
      <c r="Z2014" s="4" t="s">
        <v>2272</v>
      </c>
      <c r="AA2014" s="4" t="s">
        <v>2272</v>
      </c>
      <c r="AB2014" s="3" t="s">
        <v>5764</v>
      </c>
      <c r="AC2014" s="3"/>
    </row>
    <row r="2015" spans="1:29" ht="30" customHeight="1">
      <c r="A2015" s="151" t="str">
        <f>'Reported burning'!A2015</f>
        <v>231a</v>
      </c>
      <c r="B2015" s="151" t="str">
        <f>'Reported burning'!B2015</f>
        <v>231a.5</v>
      </c>
      <c r="C2015" s="151" t="str">
        <f>'Reported burning'!C2015</f>
        <v>Human, deliberate</v>
      </c>
      <c r="D2015" s="151" t="str">
        <f>'Reported burning'!D2015</f>
        <v>Rangeland management</v>
      </c>
      <c r="E2015" s="151" t="str">
        <f>'Reported burning'!E2015</f>
        <v>Cattle, Extensive</v>
      </c>
      <c r="F2015" s="151" t="str">
        <f>'Reported burning'!F2015</f>
        <v>Shrubland (Mixed forest &amp; grassland)</v>
      </c>
      <c r="G2015" s="151" t="str">
        <f>'Reported burning'!G2015</f>
        <v>ND</v>
      </c>
      <c r="H2015" s="151" t="str">
        <f>'Reported burning'!H2015</f>
        <v>Presence</v>
      </c>
      <c r="I2015" s="5"/>
      <c r="J2015" s="4" t="s">
        <v>2272</v>
      </c>
      <c r="K2015" s="4" t="s">
        <v>2272</v>
      </c>
      <c r="L2015" s="4" t="s">
        <v>2272</v>
      </c>
      <c r="M2015" s="4" t="s">
        <v>2272</v>
      </c>
      <c r="N2015" s="4" t="s">
        <v>2272</v>
      </c>
      <c r="O2015" s="4" t="s">
        <v>2272</v>
      </c>
      <c r="P2015" s="4" t="s">
        <v>2272</v>
      </c>
      <c r="Q2015" s="4" t="s">
        <v>2272</v>
      </c>
      <c r="R2015" s="4" t="s">
        <v>2272</v>
      </c>
      <c r="S2015" s="4" t="s">
        <v>2272</v>
      </c>
      <c r="T2015" s="4" t="s">
        <v>2272</v>
      </c>
      <c r="U2015" s="4" t="s">
        <v>2272</v>
      </c>
      <c r="V2015" s="4" t="s">
        <v>2272</v>
      </c>
      <c r="W2015" s="4" t="s">
        <v>2272</v>
      </c>
      <c r="X2015" s="4" t="s">
        <v>2272</v>
      </c>
      <c r="Y2015" s="4" t="s">
        <v>2272</v>
      </c>
      <c r="Z2015" s="4" t="s">
        <v>2272</v>
      </c>
      <c r="AA2015" s="4" t="s">
        <v>2272</v>
      </c>
      <c r="AB2015" s="3"/>
      <c r="AC2015" s="3"/>
    </row>
    <row r="2016" spans="1:29" ht="30" customHeight="1">
      <c r="A2016" s="151" t="str">
        <f>'Reported burning'!A2016</f>
        <v>231b</v>
      </c>
      <c r="B2016" s="151" t="str">
        <f>'Reported burning'!B2016</f>
        <v>231b.5</v>
      </c>
      <c r="C2016" s="151" t="str">
        <f>'Reported burning'!C2016</f>
        <v>Human, deliberate</v>
      </c>
      <c r="D2016" s="151" t="str">
        <f>'Reported burning'!D2016</f>
        <v>Rangeland management</v>
      </c>
      <c r="E2016" s="151" t="str">
        <f>'Reported burning'!E2016</f>
        <v>Cattle, Extensive</v>
      </c>
      <c r="F2016" s="151" t="str">
        <f>'Reported burning'!F2016</f>
        <v>Shrubland (Mixed forest &amp; grassland)</v>
      </c>
      <c r="G2016" s="151" t="str">
        <f>'Reported burning'!G2016</f>
        <v>ND</v>
      </c>
      <c r="H2016" s="151" t="str">
        <f>'Reported burning'!H2016</f>
        <v>Presence</v>
      </c>
      <c r="I2016" s="5"/>
      <c r="J2016" s="4" t="s">
        <v>2272</v>
      </c>
      <c r="K2016" s="4" t="s">
        <v>2272</v>
      </c>
      <c r="L2016" s="4" t="s">
        <v>2272</v>
      </c>
      <c r="M2016" s="4" t="s">
        <v>2272</v>
      </c>
      <c r="N2016" s="4" t="s">
        <v>2272</v>
      </c>
      <c r="O2016" s="4" t="s">
        <v>2272</v>
      </c>
      <c r="P2016" s="4" t="s">
        <v>2272</v>
      </c>
      <c r="Q2016" s="4" t="s">
        <v>2272</v>
      </c>
      <c r="R2016" s="4" t="s">
        <v>2272</v>
      </c>
      <c r="S2016" s="4" t="s">
        <v>2272</v>
      </c>
      <c r="T2016" s="4" t="s">
        <v>2272</v>
      </c>
      <c r="U2016" s="4" t="s">
        <v>2272</v>
      </c>
      <c r="V2016" s="4" t="s">
        <v>2272</v>
      </c>
      <c r="W2016" s="4" t="s">
        <v>2272</v>
      </c>
      <c r="X2016" s="4" t="s">
        <v>2272</v>
      </c>
      <c r="Y2016" s="4" t="s">
        <v>2272</v>
      </c>
      <c r="Z2016" s="4" t="s">
        <v>2272</v>
      </c>
      <c r="AA2016" s="4" t="s">
        <v>2272</v>
      </c>
      <c r="AB2016" s="3"/>
      <c r="AC2016" s="3"/>
    </row>
    <row r="2017" spans="1:29" ht="30" customHeight="1">
      <c r="A2017" s="151" t="str">
        <f>'Reported burning'!A2017</f>
        <v>231c</v>
      </c>
      <c r="B2017" s="151" t="str">
        <f>'Reported burning'!B2017</f>
        <v>231c.5</v>
      </c>
      <c r="C2017" s="151" t="str">
        <f>'Reported burning'!C2017</f>
        <v>Human, deliberate</v>
      </c>
      <c r="D2017" s="151" t="str">
        <f>'Reported burning'!D2017</f>
        <v>Rangeland management</v>
      </c>
      <c r="E2017" s="151" t="str">
        <f>'Reported burning'!E2017</f>
        <v>Cattle, Extensive</v>
      </c>
      <c r="F2017" s="151" t="str">
        <f>'Reported burning'!F2017</f>
        <v>Shrubland (Mixed forest &amp; grassland)</v>
      </c>
      <c r="G2017" s="151" t="str">
        <f>'Reported burning'!G2017</f>
        <v>ND</v>
      </c>
      <c r="H2017" s="151" t="str">
        <f>'Reported burning'!H2017</f>
        <v>Presence</v>
      </c>
      <c r="I2017" s="5"/>
      <c r="J2017" s="4" t="s">
        <v>2272</v>
      </c>
      <c r="K2017" s="4" t="s">
        <v>2272</v>
      </c>
      <c r="L2017" s="4" t="s">
        <v>2272</v>
      </c>
      <c r="M2017" s="4" t="s">
        <v>2272</v>
      </c>
      <c r="N2017" s="4" t="s">
        <v>2272</v>
      </c>
      <c r="O2017" s="4" t="s">
        <v>2272</v>
      </c>
      <c r="P2017" s="4" t="s">
        <v>2272</v>
      </c>
      <c r="Q2017" s="4" t="s">
        <v>2272</v>
      </c>
      <c r="R2017" s="4" t="s">
        <v>2272</v>
      </c>
      <c r="S2017" s="4" t="s">
        <v>2272</v>
      </c>
      <c r="T2017" s="4" t="s">
        <v>2272</v>
      </c>
      <c r="U2017" s="4" t="s">
        <v>2272</v>
      </c>
      <c r="V2017" s="4" t="s">
        <v>2272</v>
      </c>
      <c r="W2017" s="4" t="s">
        <v>2272</v>
      </c>
      <c r="X2017" s="4" t="s">
        <v>2272</v>
      </c>
      <c r="Y2017" s="4" t="s">
        <v>2272</v>
      </c>
      <c r="Z2017" s="4" t="s">
        <v>2272</v>
      </c>
      <c r="AA2017" s="4" t="s">
        <v>2272</v>
      </c>
      <c r="AB2017" s="3"/>
      <c r="AC2017" s="3"/>
    </row>
    <row r="2018" spans="1:29" ht="30" customHeight="1">
      <c r="A2018" s="151" t="str">
        <f>'Reported burning'!A2018</f>
        <v>231a</v>
      </c>
      <c r="B2018" s="151" t="str">
        <f>'Reported burning'!B2018</f>
        <v>231a.6</v>
      </c>
      <c r="C2018" s="151" t="str">
        <f>'Reported burning'!C2018</f>
        <v>Human, deliberate</v>
      </c>
      <c r="D2018" s="151" t="str">
        <f>'Reported burning'!D2018</f>
        <v>Harvesting of NTFP</v>
      </c>
      <c r="E2018" s="151" t="str">
        <f>'Reported burning'!E2018</f>
        <v>ND</v>
      </c>
      <c r="F2018" s="151" t="str">
        <f>'Reported burning'!F2018</f>
        <v>Forest</v>
      </c>
      <c r="G2018" s="151" t="str">
        <f>'Reported burning'!G2018</f>
        <v>ND</v>
      </c>
      <c r="H2018" s="151" t="str">
        <f>'Reported burning'!H2018</f>
        <v>Presence</v>
      </c>
      <c r="I2018" s="5"/>
      <c r="J2018" s="4" t="s">
        <v>2272</v>
      </c>
      <c r="K2018" s="4" t="s">
        <v>2272</v>
      </c>
      <c r="L2018" s="4" t="s">
        <v>2272</v>
      </c>
      <c r="M2018" s="4" t="s">
        <v>2272</v>
      </c>
      <c r="N2018" s="4" t="s">
        <v>2272</v>
      </c>
      <c r="O2018" s="4" t="s">
        <v>2272</v>
      </c>
      <c r="P2018" s="4" t="s">
        <v>2272</v>
      </c>
      <c r="Q2018" s="4" t="s">
        <v>2272</v>
      </c>
      <c r="R2018" s="4" t="s">
        <v>2272</v>
      </c>
      <c r="S2018" s="4" t="s">
        <v>2272</v>
      </c>
      <c r="T2018" s="4" t="s">
        <v>2272</v>
      </c>
      <c r="U2018" s="4" t="s">
        <v>2272</v>
      </c>
      <c r="V2018" s="4" t="s">
        <v>2272</v>
      </c>
      <c r="W2018" s="4" t="s">
        <v>2272</v>
      </c>
      <c r="X2018" s="4" t="s">
        <v>2272</v>
      </c>
      <c r="Y2018" s="4" t="s">
        <v>2272</v>
      </c>
      <c r="Z2018" s="4" t="s">
        <v>2272</v>
      </c>
      <c r="AA2018" s="4" t="s">
        <v>2272</v>
      </c>
      <c r="AB2018" s="3"/>
      <c r="AC2018" s="3"/>
    </row>
    <row r="2019" spans="1:29" ht="30" customHeight="1">
      <c r="A2019" s="151" t="str">
        <f>'Reported burning'!A2019</f>
        <v>231b</v>
      </c>
      <c r="B2019" s="151" t="str">
        <f>'Reported burning'!B2019</f>
        <v>231b.6</v>
      </c>
      <c r="C2019" s="151" t="str">
        <f>'Reported burning'!C2019</f>
        <v>Human, deliberate</v>
      </c>
      <c r="D2019" s="151" t="str">
        <f>'Reported burning'!D2019</f>
        <v>Harvesting of NTFP</v>
      </c>
      <c r="E2019" s="151" t="str">
        <f>'Reported burning'!E2019</f>
        <v>ND</v>
      </c>
      <c r="F2019" s="151" t="str">
        <f>'Reported burning'!F2019</f>
        <v>Forest</v>
      </c>
      <c r="G2019" s="151" t="str">
        <f>'Reported burning'!G2019</f>
        <v>ND</v>
      </c>
      <c r="H2019" s="151" t="str">
        <f>'Reported burning'!H2019</f>
        <v>Presence</v>
      </c>
      <c r="I2019" s="5"/>
      <c r="J2019" s="4" t="s">
        <v>2272</v>
      </c>
      <c r="K2019" s="4" t="s">
        <v>2272</v>
      </c>
      <c r="L2019" s="4" t="s">
        <v>2272</v>
      </c>
      <c r="M2019" s="4" t="s">
        <v>2272</v>
      </c>
      <c r="N2019" s="4" t="s">
        <v>2272</v>
      </c>
      <c r="O2019" s="4" t="s">
        <v>2272</v>
      </c>
      <c r="P2019" s="4" t="s">
        <v>2272</v>
      </c>
      <c r="Q2019" s="4" t="s">
        <v>2272</v>
      </c>
      <c r="R2019" s="4" t="s">
        <v>2272</v>
      </c>
      <c r="S2019" s="4" t="s">
        <v>2272</v>
      </c>
      <c r="T2019" s="4" t="s">
        <v>2272</v>
      </c>
      <c r="U2019" s="4" t="s">
        <v>2272</v>
      </c>
      <c r="V2019" s="4" t="s">
        <v>2272</v>
      </c>
      <c r="W2019" s="4" t="s">
        <v>2272</v>
      </c>
      <c r="X2019" s="4" t="s">
        <v>2272</v>
      </c>
      <c r="Y2019" s="4" t="s">
        <v>2272</v>
      </c>
      <c r="Z2019" s="4" t="s">
        <v>2272</v>
      </c>
      <c r="AA2019" s="4" t="s">
        <v>2272</v>
      </c>
      <c r="AB2019" s="3"/>
      <c r="AC2019" s="3"/>
    </row>
    <row r="2020" spans="1:29" ht="30" customHeight="1">
      <c r="A2020" s="151" t="str">
        <f>'Reported burning'!A2020</f>
        <v>231c</v>
      </c>
      <c r="B2020" s="151" t="str">
        <f>'Reported burning'!B2020</f>
        <v>231c.6</v>
      </c>
      <c r="C2020" s="151" t="str">
        <f>'Reported burning'!C2020</f>
        <v>Human, deliberate</v>
      </c>
      <c r="D2020" s="151" t="str">
        <f>'Reported burning'!D2020</f>
        <v>Harvesting of NTFP</v>
      </c>
      <c r="E2020" s="151" t="str">
        <f>'Reported burning'!E2020</f>
        <v>ND</v>
      </c>
      <c r="F2020" s="151" t="str">
        <f>'Reported burning'!F2020</f>
        <v>Forest</v>
      </c>
      <c r="G2020" s="151" t="str">
        <f>'Reported burning'!G2020</f>
        <v>ND</v>
      </c>
      <c r="H2020" s="151" t="str">
        <f>'Reported burning'!H2020</f>
        <v>Presence</v>
      </c>
      <c r="I2020" s="5"/>
      <c r="J2020" s="4" t="s">
        <v>2272</v>
      </c>
      <c r="K2020" s="4" t="s">
        <v>2272</v>
      </c>
      <c r="L2020" s="4" t="s">
        <v>2272</v>
      </c>
      <c r="M2020" s="4" t="s">
        <v>2272</v>
      </c>
      <c r="N2020" s="4" t="s">
        <v>2272</v>
      </c>
      <c r="O2020" s="4" t="s">
        <v>2272</v>
      </c>
      <c r="P2020" s="4" t="s">
        <v>2272</v>
      </c>
      <c r="Q2020" s="4" t="s">
        <v>2272</v>
      </c>
      <c r="R2020" s="4" t="s">
        <v>2272</v>
      </c>
      <c r="S2020" s="4" t="s">
        <v>2272</v>
      </c>
      <c r="T2020" s="4" t="s">
        <v>2272</v>
      </c>
      <c r="U2020" s="4" t="s">
        <v>2272</v>
      </c>
      <c r="V2020" s="4" t="s">
        <v>2272</v>
      </c>
      <c r="W2020" s="4" t="s">
        <v>2272</v>
      </c>
      <c r="X2020" s="4" t="s">
        <v>2272</v>
      </c>
      <c r="Y2020" s="4" t="s">
        <v>2272</v>
      </c>
      <c r="Z2020" s="4" t="s">
        <v>2272</v>
      </c>
      <c r="AA2020" s="4" t="s">
        <v>2272</v>
      </c>
      <c r="AB2020" s="3"/>
      <c r="AC2020" s="3"/>
    </row>
    <row r="2021" spans="1:29" ht="30" customHeight="1">
      <c r="A2021" s="151" t="str">
        <f>'Reported burning'!A2021</f>
        <v>231a</v>
      </c>
      <c r="B2021" s="151" t="str">
        <f>'Reported burning'!B2021</f>
        <v>231a.7</v>
      </c>
      <c r="C2021" s="151" t="str">
        <f>'Reported burning'!C2021</f>
        <v>Human, deliberate</v>
      </c>
      <c r="D2021" s="151" t="str">
        <f>'Reported burning'!D2021</f>
        <v>Forest clearance</v>
      </c>
      <c r="E2021" s="151" t="str">
        <f>'Reported burning'!E2021</f>
        <v>Cattle, Extensive</v>
      </c>
      <c r="F2021" s="151" t="str">
        <f>'Reported burning'!F2021</f>
        <v>Forest</v>
      </c>
      <c r="G2021" s="151" t="str">
        <f>'Reported burning'!G2021</f>
        <v>ND</v>
      </c>
      <c r="H2021" s="151" t="str">
        <f>'Reported burning'!H2021</f>
        <v>Presence</v>
      </c>
      <c r="I2021" s="5"/>
      <c r="J2021" s="4" t="s">
        <v>2272</v>
      </c>
      <c r="K2021" s="4" t="s">
        <v>2272</v>
      </c>
      <c r="L2021" s="4" t="s">
        <v>2272</v>
      </c>
      <c r="M2021" s="4" t="s">
        <v>2272</v>
      </c>
      <c r="N2021" s="4" t="s">
        <v>2272</v>
      </c>
      <c r="O2021" s="4" t="s">
        <v>2272</v>
      </c>
      <c r="P2021" s="4" t="s">
        <v>2272</v>
      </c>
      <c r="Q2021" s="4" t="s">
        <v>2272</v>
      </c>
      <c r="R2021" s="4" t="s">
        <v>2272</v>
      </c>
      <c r="S2021" s="4" t="s">
        <v>2272</v>
      </c>
      <c r="T2021" s="4" t="s">
        <v>2272</v>
      </c>
      <c r="U2021" s="4" t="s">
        <v>2272</v>
      </c>
      <c r="V2021" s="4" t="s">
        <v>2272</v>
      </c>
      <c r="W2021" s="4" t="s">
        <v>2272</v>
      </c>
      <c r="X2021" s="4" t="s">
        <v>2272</v>
      </c>
      <c r="Y2021" s="4" t="s">
        <v>2272</v>
      </c>
      <c r="Z2021" s="4" t="s">
        <v>2272</v>
      </c>
      <c r="AA2021" s="4" t="s">
        <v>2272</v>
      </c>
      <c r="AB2021" s="3"/>
      <c r="AC2021" s="3"/>
    </row>
    <row r="2022" spans="1:29" ht="30" customHeight="1">
      <c r="A2022" s="151" t="str">
        <f>'Reported burning'!A2022</f>
        <v>231b</v>
      </c>
      <c r="B2022" s="151" t="str">
        <f>'Reported burning'!B2022</f>
        <v>231b.7</v>
      </c>
      <c r="C2022" s="151" t="str">
        <f>'Reported burning'!C2022</f>
        <v>Human, deliberate</v>
      </c>
      <c r="D2022" s="151" t="str">
        <f>'Reported burning'!D2022</f>
        <v>Forest clearance</v>
      </c>
      <c r="E2022" s="151" t="str">
        <f>'Reported burning'!E2022</f>
        <v>Cattle, Extensive</v>
      </c>
      <c r="F2022" s="151" t="str">
        <f>'Reported burning'!F2022</f>
        <v>Forest</v>
      </c>
      <c r="G2022" s="151" t="str">
        <f>'Reported burning'!G2022</f>
        <v>ND</v>
      </c>
      <c r="H2022" s="151" t="str">
        <f>'Reported burning'!H2022</f>
        <v>Presence</v>
      </c>
      <c r="I2022" s="5"/>
      <c r="J2022" s="4" t="s">
        <v>2272</v>
      </c>
      <c r="K2022" s="4" t="s">
        <v>2272</v>
      </c>
      <c r="L2022" s="4" t="s">
        <v>2272</v>
      </c>
      <c r="M2022" s="4" t="s">
        <v>2272</v>
      </c>
      <c r="N2022" s="4" t="s">
        <v>2272</v>
      </c>
      <c r="O2022" s="4" t="s">
        <v>2272</v>
      </c>
      <c r="P2022" s="4" t="s">
        <v>2272</v>
      </c>
      <c r="Q2022" s="4" t="s">
        <v>2272</v>
      </c>
      <c r="R2022" s="4" t="s">
        <v>2272</v>
      </c>
      <c r="S2022" s="4" t="s">
        <v>2272</v>
      </c>
      <c r="T2022" s="4" t="s">
        <v>2272</v>
      </c>
      <c r="U2022" s="4" t="s">
        <v>2272</v>
      </c>
      <c r="V2022" s="4" t="s">
        <v>2272</v>
      </c>
      <c r="W2022" s="4" t="s">
        <v>2272</v>
      </c>
      <c r="X2022" s="4" t="s">
        <v>2272</v>
      </c>
      <c r="Y2022" s="4" t="s">
        <v>2272</v>
      </c>
      <c r="Z2022" s="4" t="s">
        <v>2272</v>
      </c>
      <c r="AA2022" s="4" t="s">
        <v>2272</v>
      </c>
      <c r="AB2022" s="3"/>
      <c r="AC2022" s="3"/>
    </row>
    <row r="2023" spans="1:29" ht="30" customHeight="1">
      <c r="A2023" s="151" t="str">
        <f>'Reported burning'!A2023</f>
        <v>231c</v>
      </c>
      <c r="B2023" s="151" t="str">
        <f>'Reported burning'!B2023</f>
        <v>231c.7</v>
      </c>
      <c r="C2023" s="151" t="str">
        <f>'Reported burning'!C2023</f>
        <v>Human, deliberate</v>
      </c>
      <c r="D2023" s="151" t="str">
        <f>'Reported burning'!D2023</f>
        <v>Forest clearance</v>
      </c>
      <c r="E2023" s="151" t="str">
        <f>'Reported burning'!E2023</f>
        <v>Cattle, Extensive</v>
      </c>
      <c r="F2023" s="151" t="str">
        <f>'Reported burning'!F2023</f>
        <v>Forest</v>
      </c>
      <c r="G2023" s="151" t="str">
        <f>'Reported burning'!G2023</f>
        <v>ND</v>
      </c>
      <c r="H2023" s="151" t="str">
        <f>'Reported burning'!H2023</f>
        <v>Presence</v>
      </c>
      <c r="I2023" s="5"/>
      <c r="J2023" s="4" t="s">
        <v>2272</v>
      </c>
      <c r="K2023" s="4" t="s">
        <v>2272</v>
      </c>
      <c r="L2023" s="4" t="s">
        <v>2272</v>
      </c>
      <c r="M2023" s="4" t="s">
        <v>2272</v>
      </c>
      <c r="N2023" s="4" t="s">
        <v>2272</v>
      </c>
      <c r="O2023" s="4" t="s">
        <v>2272</v>
      </c>
      <c r="P2023" s="4" t="s">
        <v>2272</v>
      </c>
      <c r="Q2023" s="4" t="s">
        <v>2272</v>
      </c>
      <c r="R2023" s="4" t="s">
        <v>2272</v>
      </c>
      <c r="S2023" s="4" t="s">
        <v>2272</v>
      </c>
      <c r="T2023" s="4" t="s">
        <v>2272</v>
      </c>
      <c r="U2023" s="4" t="s">
        <v>2272</v>
      </c>
      <c r="V2023" s="4" t="s">
        <v>2272</v>
      </c>
      <c r="W2023" s="4" t="s">
        <v>2272</v>
      </c>
      <c r="X2023" s="4" t="s">
        <v>2272</v>
      </c>
      <c r="Y2023" s="4" t="s">
        <v>2272</v>
      </c>
      <c r="Z2023" s="4" t="s">
        <v>2272</v>
      </c>
      <c r="AA2023" s="4" t="s">
        <v>2272</v>
      </c>
      <c r="AB2023" s="3"/>
      <c r="AC2023" s="3"/>
    </row>
    <row r="2024" spans="1:29" ht="30" customHeight="1">
      <c r="A2024" s="151" t="str">
        <f>'Reported burning'!A2024</f>
        <v>231a</v>
      </c>
      <c r="B2024" s="151" t="str">
        <f>'Reported burning'!B2024</f>
        <v>231a.8</v>
      </c>
      <c r="C2024" s="151" t="str">
        <f>'Reported burning'!C2024</f>
        <v>Human, deliberate</v>
      </c>
      <c r="D2024" s="151" t="str">
        <f>'Reported burning'!D2024</f>
        <v>Forest clearance</v>
      </c>
      <c r="E2024" s="151" t="str">
        <f>'Reported burning'!E2024</f>
        <v>Cropping, Monoculture, Subsistence-oriented</v>
      </c>
      <c r="F2024" s="151" t="str">
        <f>'Reported burning'!F2024</f>
        <v>Forest</v>
      </c>
      <c r="G2024" s="151" t="str">
        <f>'Reported burning'!G2024</f>
        <v>ND</v>
      </c>
      <c r="H2024" s="151" t="str">
        <f>'Reported burning'!H2024</f>
        <v>Presence</v>
      </c>
      <c r="I2024" s="5"/>
      <c r="J2024" s="4" t="s">
        <v>2272</v>
      </c>
      <c r="K2024" s="4" t="s">
        <v>2272</v>
      </c>
      <c r="L2024" s="4" t="s">
        <v>2272</v>
      </c>
      <c r="M2024" s="4" t="s">
        <v>2272</v>
      </c>
      <c r="N2024" s="4" t="s">
        <v>2272</v>
      </c>
      <c r="O2024" s="4" t="s">
        <v>2272</v>
      </c>
      <c r="P2024" s="4" t="s">
        <v>2272</v>
      </c>
      <c r="Q2024" s="4" t="s">
        <v>2272</v>
      </c>
      <c r="R2024" s="4" t="s">
        <v>2272</v>
      </c>
      <c r="S2024" s="4" t="s">
        <v>2272</v>
      </c>
      <c r="T2024" s="4" t="s">
        <v>2272</v>
      </c>
      <c r="U2024" s="4" t="s">
        <v>2272</v>
      </c>
      <c r="V2024" s="4" t="s">
        <v>2272</v>
      </c>
      <c r="W2024" s="4" t="s">
        <v>2272</v>
      </c>
      <c r="X2024" s="4" t="s">
        <v>2272</v>
      </c>
      <c r="Y2024" s="4" t="s">
        <v>2272</v>
      </c>
      <c r="Z2024" s="4" t="s">
        <v>2272</v>
      </c>
      <c r="AA2024" s="4" t="s">
        <v>2272</v>
      </c>
      <c r="AB2024" s="3"/>
      <c r="AC2024" s="3"/>
    </row>
    <row r="2025" spans="1:29" ht="30" customHeight="1">
      <c r="A2025" s="151" t="str">
        <f>'Reported burning'!A2025</f>
        <v>231b</v>
      </c>
      <c r="B2025" s="151" t="str">
        <f>'Reported burning'!B2025</f>
        <v>231b.8</v>
      </c>
      <c r="C2025" s="151" t="str">
        <f>'Reported burning'!C2025</f>
        <v>Human, deliberate</v>
      </c>
      <c r="D2025" s="151" t="str">
        <f>'Reported burning'!D2025</f>
        <v>Forest clearance</v>
      </c>
      <c r="E2025" s="151" t="str">
        <f>'Reported burning'!E2025</f>
        <v>Cropping, Monoculture, Subsistence-oriented</v>
      </c>
      <c r="F2025" s="151" t="str">
        <f>'Reported burning'!F2025</f>
        <v>Forest</v>
      </c>
      <c r="G2025" s="151" t="str">
        <f>'Reported burning'!G2025</f>
        <v>ND</v>
      </c>
      <c r="H2025" s="151" t="str">
        <f>'Reported burning'!H2025</f>
        <v>Presence</v>
      </c>
      <c r="I2025" s="5"/>
      <c r="J2025" s="4" t="s">
        <v>2272</v>
      </c>
      <c r="K2025" s="4" t="s">
        <v>2272</v>
      </c>
      <c r="L2025" s="4" t="s">
        <v>2272</v>
      </c>
      <c r="M2025" s="4" t="s">
        <v>2272</v>
      </c>
      <c r="N2025" s="4" t="s">
        <v>2272</v>
      </c>
      <c r="O2025" s="4" t="s">
        <v>2272</v>
      </c>
      <c r="P2025" s="4" t="s">
        <v>2272</v>
      </c>
      <c r="Q2025" s="4" t="s">
        <v>2272</v>
      </c>
      <c r="R2025" s="4" t="s">
        <v>2272</v>
      </c>
      <c r="S2025" s="4" t="s">
        <v>2272</v>
      </c>
      <c r="T2025" s="4" t="s">
        <v>2272</v>
      </c>
      <c r="U2025" s="4" t="s">
        <v>2272</v>
      </c>
      <c r="V2025" s="4" t="s">
        <v>2272</v>
      </c>
      <c r="W2025" s="4" t="s">
        <v>2272</v>
      </c>
      <c r="X2025" s="4" t="s">
        <v>2272</v>
      </c>
      <c r="Y2025" s="4" t="s">
        <v>2272</v>
      </c>
      <c r="Z2025" s="4" t="s">
        <v>2272</v>
      </c>
      <c r="AA2025" s="4" t="s">
        <v>2272</v>
      </c>
      <c r="AB2025" s="3"/>
      <c r="AC2025" s="3"/>
    </row>
    <row r="2026" spans="1:29" ht="30" customHeight="1">
      <c r="A2026" s="151" t="str">
        <f>'Reported burning'!A2026</f>
        <v>231c</v>
      </c>
      <c r="B2026" s="151" t="str">
        <f>'Reported burning'!B2026</f>
        <v>231c.8</v>
      </c>
      <c r="C2026" s="151" t="str">
        <f>'Reported burning'!C2026</f>
        <v>Human, deliberate</v>
      </c>
      <c r="D2026" s="151" t="str">
        <f>'Reported burning'!D2026</f>
        <v>Forest clearance</v>
      </c>
      <c r="E2026" s="151" t="str">
        <f>'Reported burning'!E2026</f>
        <v>Cropping, Monoculture, Subsistence-oriented</v>
      </c>
      <c r="F2026" s="151" t="str">
        <f>'Reported burning'!F2026</f>
        <v>Forest</v>
      </c>
      <c r="G2026" s="151" t="str">
        <f>'Reported burning'!G2026</f>
        <v>ND</v>
      </c>
      <c r="H2026" s="151" t="str">
        <f>'Reported burning'!H2026</f>
        <v>Presence</v>
      </c>
      <c r="I2026" s="5"/>
      <c r="J2026" s="4" t="s">
        <v>2272</v>
      </c>
      <c r="K2026" s="4" t="s">
        <v>2272</v>
      </c>
      <c r="L2026" s="4" t="s">
        <v>2272</v>
      </c>
      <c r="M2026" s="4" t="s">
        <v>2272</v>
      </c>
      <c r="N2026" s="4" t="s">
        <v>2272</v>
      </c>
      <c r="O2026" s="4" t="s">
        <v>2272</v>
      </c>
      <c r="P2026" s="4" t="s">
        <v>2272</v>
      </c>
      <c r="Q2026" s="4" t="s">
        <v>2272</v>
      </c>
      <c r="R2026" s="4" t="s">
        <v>2272</v>
      </c>
      <c r="S2026" s="4" t="s">
        <v>2272</v>
      </c>
      <c r="T2026" s="4" t="s">
        <v>2272</v>
      </c>
      <c r="U2026" s="4" t="s">
        <v>2272</v>
      </c>
      <c r="V2026" s="4" t="s">
        <v>2272</v>
      </c>
      <c r="W2026" s="4" t="s">
        <v>2272</v>
      </c>
      <c r="X2026" s="4" t="s">
        <v>2272</v>
      </c>
      <c r="Y2026" s="4" t="s">
        <v>2272</v>
      </c>
      <c r="Z2026" s="4" t="s">
        <v>2272</v>
      </c>
      <c r="AA2026" s="4" t="s">
        <v>2272</v>
      </c>
      <c r="AB2026" s="3"/>
      <c r="AC2026" s="3"/>
    </row>
    <row r="2027" spans="1:29" ht="29" customHeight="1">
      <c r="A2027" s="147" t="str">
        <f>'Reported burning'!A2027</f>
        <v>232a</v>
      </c>
      <c r="B2027" s="147" t="str">
        <f>'Reported burning'!B2027</f>
        <v>232a.1</v>
      </c>
      <c r="C2027" s="147" t="str">
        <f>'Reported burning'!C2027</f>
        <v>Human, deliberate</v>
      </c>
      <c r="D2027" s="147" t="str">
        <f>'Reported burning'!D2027</f>
        <v>Pyrome management</v>
      </c>
      <c r="E2027" s="147" t="str">
        <f>'Reported burning'!E2027</f>
        <v>All</v>
      </c>
      <c r="F2027" s="147" t="str">
        <f>'Reported burning'!F2027</f>
        <v>Forest</v>
      </c>
      <c r="G2027" s="147" t="str">
        <f>'Reported burning'!G2027</f>
        <v>ND</v>
      </c>
      <c r="H2027" s="147"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21">
        <v>0</v>
      </c>
      <c r="W2027" s="4" t="s">
        <v>2272</v>
      </c>
      <c r="X2027" s="4" t="s">
        <v>2272</v>
      </c>
      <c r="Y2027" s="4" t="s">
        <v>2272</v>
      </c>
      <c r="Z2027" s="4" t="s">
        <v>2272</v>
      </c>
      <c r="AA2027" s="4" t="s">
        <v>2272</v>
      </c>
      <c r="AB2027" s="3"/>
      <c r="AC2027" s="3"/>
    </row>
    <row r="2028" spans="1:29" ht="29" customHeight="1">
      <c r="A2028" s="147" t="str">
        <f>'Reported burning'!A2028</f>
        <v>232a</v>
      </c>
      <c r="B2028" s="147" t="str">
        <f>'Reported burning'!B2028</f>
        <v>232a.2</v>
      </c>
      <c r="C2028" s="147" t="str">
        <f>'Reported burning'!C2028</f>
        <v>Human, deliberate</v>
      </c>
      <c r="D2028" s="147" t="str">
        <f>'Reported burning'!D2028</f>
        <v>Pyrome management</v>
      </c>
      <c r="E2028" s="147" t="str">
        <f>'Reported burning'!E2028</f>
        <v>All</v>
      </c>
      <c r="F2028" s="147" t="str">
        <f>'Reported burning'!F2028</f>
        <v>Forest</v>
      </c>
      <c r="G2028" s="147" t="str">
        <f>'Reported burning'!G2028</f>
        <v>ND</v>
      </c>
      <c r="H2028" s="147"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21">
        <v>0</v>
      </c>
      <c r="W2028" s="4" t="s">
        <v>2272</v>
      </c>
      <c r="X2028" s="4" t="s">
        <v>2272</v>
      </c>
      <c r="Y2028" s="4" t="s">
        <v>2272</v>
      </c>
      <c r="Z2028" s="4" t="s">
        <v>2272</v>
      </c>
      <c r="AA2028" s="4" t="s">
        <v>2272</v>
      </c>
      <c r="AB2028" s="3"/>
      <c r="AC2028" s="3"/>
    </row>
    <row r="2029" spans="1:29" ht="29" customHeight="1">
      <c r="A2029" s="147" t="str">
        <f>'Reported burning'!A2029</f>
        <v>232b</v>
      </c>
      <c r="B2029" s="147" t="str">
        <f>'Reported burning'!B2029</f>
        <v>232b.1</v>
      </c>
      <c r="C2029" s="147" t="str">
        <f>'Reported burning'!C2029</f>
        <v>Human, deliberate</v>
      </c>
      <c r="D2029" s="147" t="str">
        <f>'Reported burning'!D2029</f>
        <v>Hunting</v>
      </c>
      <c r="E2029" s="147" t="str">
        <f>'Reported burning'!E2029</f>
        <v>Forestry, Traditional</v>
      </c>
      <c r="F2029" s="147" t="str">
        <f>'Reported burning'!F2029</f>
        <v>Forest</v>
      </c>
      <c r="G2029" s="147" t="str">
        <f>'Reported burning'!G2029</f>
        <v>ND</v>
      </c>
      <c r="H2029" s="147" t="str">
        <f>'Reported burning'!H2029</f>
        <v>Presence</v>
      </c>
      <c r="I2029" s="3"/>
      <c r="J2029" s="4" t="s">
        <v>2272</v>
      </c>
      <c r="K2029" s="4" t="s">
        <v>2272</v>
      </c>
      <c r="L2029" s="4" t="s">
        <v>2272</v>
      </c>
      <c r="M2029" s="4" t="s">
        <v>2272</v>
      </c>
      <c r="N2029" s="4" t="s">
        <v>2272</v>
      </c>
      <c r="O2029" s="4" t="s">
        <v>2272</v>
      </c>
      <c r="P2029" s="4" t="s">
        <v>2272</v>
      </c>
      <c r="Q2029" s="4" t="s">
        <v>2272</v>
      </c>
      <c r="R2029" s="4" t="s">
        <v>2272</v>
      </c>
      <c r="S2029" s="4" t="s">
        <v>2272</v>
      </c>
      <c r="T2029" s="4" t="s">
        <v>2272</v>
      </c>
      <c r="U2029" s="4" t="s">
        <v>2272</v>
      </c>
      <c r="V2029" s="4" t="s">
        <v>2272</v>
      </c>
      <c r="W2029" s="4" t="s">
        <v>2272</v>
      </c>
      <c r="X2029" s="4" t="s">
        <v>2272</v>
      </c>
      <c r="Y2029" s="4" t="s">
        <v>2272</v>
      </c>
      <c r="Z2029" s="4" t="s">
        <v>2272</v>
      </c>
      <c r="AA2029" s="4" t="s">
        <v>2272</v>
      </c>
      <c r="AB2029" s="3"/>
      <c r="AC2029" s="3"/>
    </row>
    <row r="2030" spans="1:29" ht="29" customHeight="1">
      <c r="A2030" s="147" t="str">
        <f>'Reported burning'!A2030</f>
        <v>232b</v>
      </c>
      <c r="B2030" s="147" t="str">
        <f>'Reported burning'!B2030</f>
        <v>232b.2</v>
      </c>
      <c r="C2030" s="147" t="str">
        <f>'Reported burning'!C2030</f>
        <v>Human, deliberate</v>
      </c>
      <c r="D2030" s="147" t="str">
        <f>'Reported burning'!D2030</f>
        <v>Hunting</v>
      </c>
      <c r="E2030" s="147" t="str">
        <f>'Reported burning'!E2030</f>
        <v>Forestry, Traditional</v>
      </c>
      <c r="F2030" s="147" t="str">
        <f>'Reported burning'!F2030</f>
        <v>Forest</v>
      </c>
      <c r="G2030" s="147" t="str">
        <f>'Reported burning'!G2030</f>
        <v>ND</v>
      </c>
      <c r="H2030" s="147"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21">
        <v>0</v>
      </c>
      <c r="W2030" s="4" t="s">
        <v>2272</v>
      </c>
      <c r="X2030" s="4" t="s">
        <v>2272</v>
      </c>
      <c r="Y2030" s="4" t="s">
        <v>2272</v>
      </c>
      <c r="Z2030" s="4" t="s">
        <v>2272</v>
      </c>
      <c r="AA2030" s="4" t="s">
        <v>2272</v>
      </c>
      <c r="AB2030" s="4" t="s">
        <v>5789</v>
      </c>
      <c r="AC2030" s="3"/>
    </row>
    <row r="2031" spans="1:29" ht="29" customHeight="1">
      <c r="A2031" s="147" t="str">
        <f>'Reported burning'!A2031</f>
        <v>232b</v>
      </c>
      <c r="B2031" s="147" t="str">
        <f>'Reported burning'!B2031</f>
        <v>232b.3</v>
      </c>
      <c r="C2031" s="147" t="str">
        <f>'Reported burning'!C2031</f>
        <v>Human, deliberate</v>
      </c>
      <c r="D2031" s="147" t="str">
        <f>'Reported burning'!D2031</f>
        <v>Hunting</v>
      </c>
      <c r="E2031" s="147" t="str">
        <f>'Reported burning'!E2031</f>
        <v>Forestry, Traditional</v>
      </c>
      <c r="F2031" s="147" t="str">
        <f>'Reported burning'!F2031</f>
        <v>Forest</v>
      </c>
      <c r="G2031" s="147" t="str">
        <f>'Reported burning'!G2031</f>
        <v>ND</v>
      </c>
      <c r="H2031" s="147"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21">
        <v>0</v>
      </c>
      <c r="W2031" s="4" t="s">
        <v>2272</v>
      </c>
      <c r="X2031" s="4" t="s">
        <v>2272</v>
      </c>
      <c r="Y2031" s="4" t="s">
        <v>2272</v>
      </c>
      <c r="Z2031" s="4" t="s">
        <v>2272</v>
      </c>
      <c r="AA2031" s="4" t="s">
        <v>2272</v>
      </c>
      <c r="AB2031" s="4" t="s">
        <v>5789</v>
      </c>
      <c r="AC2031" s="3"/>
    </row>
    <row r="2032" spans="1:29" ht="29" customHeight="1">
      <c r="A2032" s="147" t="str">
        <f>'Reported burning'!A2032</f>
        <v>232b</v>
      </c>
      <c r="B2032" s="147" t="str">
        <f>'Reported burning'!B2032</f>
        <v>232b.4</v>
      </c>
      <c r="C2032" s="147" t="str">
        <f>'Reported burning'!C2032</f>
        <v>Human, deliberate</v>
      </c>
      <c r="D2032" s="147" t="str">
        <f>'Reported burning'!D2032</f>
        <v>Pyrome management</v>
      </c>
      <c r="E2032" s="147" t="str">
        <f>'Reported burning'!E2032</f>
        <v>Forestry, Traditional</v>
      </c>
      <c r="F2032" s="147" t="str">
        <f>'Reported burning'!F2032</f>
        <v>Forest</v>
      </c>
      <c r="G2032" s="147" t="str">
        <f>'Reported burning'!G2032</f>
        <v>ND</v>
      </c>
      <c r="H2032" s="147" t="str">
        <f>'Reported burning'!H2032</f>
        <v>Presence</v>
      </c>
      <c r="I2032" s="3"/>
      <c r="J2032" s="4" t="s">
        <v>2272</v>
      </c>
      <c r="K2032" s="4" t="s">
        <v>2272</v>
      </c>
      <c r="L2032" s="4" t="s">
        <v>2272</v>
      </c>
      <c r="M2032" s="4" t="s">
        <v>2272</v>
      </c>
      <c r="N2032" s="4" t="s">
        <v>2272</v>
      </c>
      <c r="O2032" s="4" t="s">
        <v>2272</v>
      </c>
      <c r="P2032" s="4" t="s">
        <v>2272</v>
      </c>
      <c r="Q2032" s="4" t="s">
        <v>2272</v>
      </c>
      <c r="R2032" s="4" t="s">
        <v>2272</v>
      </c>
      <c r="S2032" s="4" t="s">
        <v>2272</v>
      </c>
      <c r="T2032" s="4" t="s">
        <v>2272</v>
      </c>
      <c r="U2032" s="4" t="s">
        <v>2272</v>
      </c>
      <c r="V2032" s="4" t="s">
        <v>2272</v>
      </c>
      <c r="W2032" s="4" t="s">
        <v>2272</v>
      </c>
      <c r="X2032" s="4" t="s">
        <v>2272</v>
      </c>
      <c r="Y2032" s="4" t="s">
        <v>2272</v>
      </c>
      <c r="Z2032" s="4" t="s">
        <v>2272</v>
      </c>
      <c r="AA2032" s="4" t="s">
        <v>2272</v>
      </c>
      <c r="AB2032" s="4"/>
      <c r="AC2032" s="3"/>
    </row>
    <row r="2033" spans="1:29" ht="29" customHeight="1">
      <c r="A2033" s="147" t="str">
        <f>'Reported burning'!A2033</f>
        <v>232b</v>
      </c>
      <c r="B2033" s="147" t="str">
        <f>'Reported burning'!B2033</f>
        <v>232b.5</v>
      </c>
      <c r="C2033" s="147" t="str">
        <f>'Reported burning'!C2033</f>
        <v>Human, deliberate</v>
      </c>
      <c r="D2033" s="147" t="str">
        <f>'Reported burning'!D2033</f>
        <v>Pyrome management</v>
      </c>
      <c r="E2033" s="147" t="str">
        <f>'Reported burning'!E2033</f>
        <v>Forestry, Traditional</v>
      </c>
      <c r="F2033" s="147" t="str">
        <f>'Reported burning'!F2033</f>
        <v>Forest</v>
      </c>
      <c r="G2033" s="147" t="str">
        <f>'Reported burning'!G2033</f>
        <v>ND</v>
      </c>
      <c r="H2033" s="147"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21">
        <v>0</v>
      </c>
      <c r="W2033" s="4" t="s">
        <v>2272</v>
      </c>
      <c r="X2033" s="4" t="s">
        <v>2272</v>
      </c>
      <c r="Y2033" s="4" t="s">
        <v>2272</v>
      </c>
      <c r="Z2033" s="4" t="s">
        <v>2272</v>
      </c>
      <c r="AA2033" s="4" t="s">
        <v>2272</v>
      </c>
      <c r="AB2033" s="4" t="s">
        <v>5789</v>
      </c>
      <c r="AC2033" s="3"/>
    </row>
    <row r="2034" spans="1:29" ht="29" customHeight="1">
      <c r="A2034" s="147" t="str">
        <f>'Reported burning'!A2034</f>
        <v>232b</v>
      </c>
      <c r="B2034" s="147" t="str">
        <f>'Reported burning'!B2034</f>
        <v>232b.6</v>
      </c>
      <c r="C2034" s="147" t="str">
        <f>'Reported burning'!C2034</f>
        <v>Human, deliberate</v>
      </c>
      <c r="D2034" s="147" t="str">
        <f>'Reported burning'!D2034</f>
        <v>Pyrome management</v>
      </c>
      <c r="E2034" s="147" t="str">
        <f>'Reported burning'!E2034</f>
        <v>Forestry, Traditional</v>
      </c>
      <c r="F2034" s="147" t="str">
        <f>'Reported burning'!F2034</f>
        <v>Forest</v>
      </c>
      <c r="G2034" s="147" t="str">
        <f>'Reported burning'!G2034</f>
        <v>ND</v>
      </c>
      <c r="H2034" s="147"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21">
        <v>0</v>
      </c>
      <c r="W2034" s="4" t="s">
        <v>2272</v>
      </c>
      <c r="X2034" s="4" t="s">
        <v>2272</v>
      </c>
      <c r="Y2034" s="4" t="s">
        <v>2272</v>
      </c>
      <c r="Z2034" s="4" t="s">
        <v>2272</v>
      </c>
      <c r="AA2034" s="4" t="s">
        <v>2272</v>
      </c>
      <c r="AB2034" s="4" t="s">
        <v>5789</v>
      </c>
      <c r="AC2034" s="3"/>
    </row>
    <row r="2035" spans="1:29" ht="29">
      <c r="A2035" s="147" t="str">
        <f>'Reported burning'!A2035</f>
        <v>233a</v>
      </c>
      <c r="B2035" s="147" t="str">
        <f>'Reported burning'!B2035</f>
        <v>233a.1</v>
      </c>
      <c r="C2035" s="147" t="str">
        <f>'Reported burning'!C2035</f>
        <v>Human, deliberate</v>
      </c>
      <c r="D2035" s="147" t="str">
        <f>'Reported burning'!D2035</f>
        <v>Crop residue burning</v>
      </c>
      <c r="E2035" s="147" t="str">
        <f>'Reported burning'!E2035</f>
        <v>Cropping, Monoculture, Market-oriented</v>
      </c>
      <c r="F2035" s="147" t="str">
        <f>'Reported burning'!F2035</f>
        <v>Cropland</v>
      </c>
      <c r="G2035" s="147" t="str">
        <f>'Reported burning'!G2035</f>
        <v>ND</v>
      </c>
      <c r="H2035" s="147" t="str">
        <f>'Reported burning'!H2035</f>
        <v>Presence</v>
      </c>
      <c r="I2035" s="3"/>
      <c r="J2035" s="4" t="s">
        <v>2272</v>
      </c>
      <c r="K2035" s="4" t="s">
        <v>2272</v>
      </c>
      <c r="L2035" s="4" t="s">
        <v>2272</v>
      </c>
      <c r="M2035" s="4" t="s">
        <v>2272</v>
      </c>
      <c r="N2035" s="4" t="s">
        <v>2272</v>
      </c>
      <c r="O2035" s="4" t="s">
        <v>2272</v>
      </c>
      <c r="P2035" s="4" t="s">
        <v>2272</v>
      </c>
      <c r="Q2035" s="4" t="s">
        <v>2272</v>
      </c>
      <c r="R2035" s="4" t="s">
        <v>2272</v>
      </c>
      <c r="S2035" s="4" t="s">
        <v>2272</v>
      </c>
      <c r="T2035" s="4" t="s">
        <v>2272</v>
      </c>
      <c r="U2035" s="4" t="s">
        <v>2272</v>
      </c>
      <c r="V2035" s="4" t="s">
        <v>2272</v>
      </c>
      <c r="W2035" s="4" t="s">
        <v>2272</v>
      </c>
      <c r="X2035" s="4" t="s">
        <v>2272</v>
      </c>
      <c r="Y2035" s="4" t="s">
        <v>2272</v>
      </c>
      <c r="Z2035" s="4" t="s">
        <v>2272</v>
      </c>
      <c r="AA2035" s="4" t="s">
        <v>2272</v>
      </c>
      <c r="AB2035" s="3"/>
      <c r="AC2035" s="3"/>
    </row>
    <row r="2036" spans="1:29" ht="31.5" customHeight="1">
      <c r="A2036" s="147" t="str">
        <f>'Reported burning'!A2036</f>
        <v>233a</v>
      </c>
      <c r="B2036" s="147" t="str">
        <f>'Reported burning'!B2036</f>
        <v>233a.2</v>
      </c>
      <c r="C2036" s="147" t="str">
        <f>'Reported burning'!C2036</f>
        <v>Human, deliberate</v>
      </c>
      <c r="D2036" s="147" t="str">
        <f>'Reported burning'!D2036</f>
        <v>Domestic</v>
      </c>
      <c r="E2036" s="147" t="str">
        <f>'Reported burning'!E2036</f>
        <v>Cropping, Monoculture, Market-oriented</v>
      </c>
      <c r="F2036" s="147" t="str">
        <f>'Reported burning'!F2036</f>
        <v>ND</v>
      </c>
      <c r="G2036" s="147" t="str">
        <f>'Reported burning'!G2036</f>
        <v>ND</v>
      </c>
      <c r="H2036" s="147" t="str">
        <f>'Reported burning'!H2036</f>
        <v>Presence</v>
      </c>
      <c r="I2036" s="3"/>
      <c r="J2036" s="4" t="s">
        <v>2272</v>
      </c>
      <c r="K2036" s="4" t="s">
        <v>2272</v>
      </c>
      <c r="L2036" s="4" t="s">
        <v>2272</v>
      </c>
      <c r="M2036" s="4" t="s">
        <v>2272</v>
      </c>
      <c r="N2036" s="4" t="s">
        <v>2272</v>
      </c>
      <c r="O2036" s="4" t="s">
        <v>2272</v>
      </c>
      <c r="P2036" s="4" t="s">
        <v>2272</v>
      </c>
      <c r="Q2036" s="4" t="s">
        <v>2272</v>
      </c>
      <c r="R2036" s="4" t="s">
        <v>2272</v>
      </c>
      <c r="S2036" s="4" t="s">
        <v>2272</v>
      </c>
      <c r="T2036" s="4" t="s">
        <v>2272</v>
      </c>
      <c r="U2036" s="4" t="s">
        <v>2272</v>
      </c>
      <c r="V2036" s="4" t="s">
        <v>2272</v>
      </c>
      <c r="W2036" s="4" t="s">
        <v>2272</v>
      </c>
      <c r="X2036" s="4" t="s">
        <v>2272</v>
      </c>
      <c r="Y2036" s="4" t="s">
        <v>2272</v>
      </c>
      <c r="Z2036" s="4" t="s">
        <v>2272</v>
      </c>
      <c r="AA2036" s="4" t="s">
        <v>2272</v>
      </c>
      <c r="AB2036" s="3"/>
      <c r="AC2036" s="3"/>
    </row>
    <row r="2037" spans="1:29" ht="31.5" customHeight="1">
      <c r="A2037" s="151" t="str">
        <f>'Reported burning'!A2037</f>
        <v>233a</v>
      </c>
      <c r="B2037" s="151" t="str">
        <f>'Reported burning'!B2037</f>
        <v>233a.3</v>
      </c>
      <c r="C2037" s="151" t="str">
        <f>'Reported burning'!C2037</f>
        <v>Human, deliberate</v>
      </c>
      <c r="D2037" s="151" t="str">
        <f>'Reported burning'!D2037</f>
        <v>Vegetation management</v>
      </c>
      <c r="E2037" s="151" t="str">
        <f>'Reported burning'!E2037</f>
        <v>Cropping, Monoculture, Market-oriented</v>
      </c>
      <c r="F2037" s="151" t="str">
        <f>'Reported burning'!F2037</f>
        <v>Cropland</v>
      </c>
      <c r="G2037" s="151" t="str">
        <f>'Reported burning'!G2037</f>
        <v>ND</v>
      </c>
      <c r="H2037" s="151" t="str">
        <f>'Reported burning'!H2037</f>
        <v>Presence</v>
      </c>
      <c r="I2037" s="5"/>
      <c r="J2037" s="4" t="s">
        <v>2272</v>
      </c>
      <c r="K2037" s="4" t="s">
        <v>2272</v>
      </c>
      <c r="L2037" s="4" t="s">
        <v>2272</v>
      </c>
      <c r="M2037" s="4" t="s">
        <v>2272</v>
      </c>
      <c r="N2037" s="4" t="s">
        <v>2272</v>
      </c>
      <c r="O2037" s="4" t="s">
        <v>2272</v>
      </c>
      <c r="P2037" s="4" t="s">
        <v>2272</v>
      </c>
      <c r="Q2037" s="4" t="s">
        <v>2272</v>
      </c>
      <c r="R2037" s="4" t="s">
        <v>2272</v>
      </c>
      <c r="S2037" s="4" t="s">
        <v>2272</v>
      </c>
      <c r="T2037" s="4" t="s">
        <v>2272</v>
      </c>
      <c r="U2037" s="4" t="s">
        <v>2272</v>
      </c>
      <c r="V2037" s="4" t="s">
        <v>2272</v>
      </c>
      <c r="W2037" s="4" t="s">
        <v>2272</v>
      </c>
      <c r="X2037" s="4" t="s">
        <v>2272</v>
      </c>
      <c r="Y2037" s="4" t="s">
        <v>2272</v>
      </c>
      <c r="Z2037" s="4" t="s">
        <v>2272</v>
      </c>
      <c r="AA2037" s="4" t="s">
        <v>2272</v>
      </c>
      <c r="AB2037" s="3"/>
      <c r="AC2037" s="3"/>
    </row>
    <row r="2038" spans="1:29" ht="31.5" customHeight="1">
      <c r="A2038" s="151" t="str">
        <f>'Reported burning'!A2038</f>
        <v>233a</v>
      </c>
      <c r="B2038" s="151" t="str">
        <f>'Reported burning'!B2038</f>
        <v>233a.4</v>
      </c>
      <c r="C2038" s="151" t="str">
        <f>'Reported burning'!C2038</f>
        <v>Human, deliberate</v>
      </c>
      <c r="D2038" s="151" t="str">
        <f>'Reported burning'!D2038</f>
        <v>Pyrome management</v>
      </c>
      <c r="E2038" s="151" t="str">
        <f>'Reported burning'!E2038</f>
        <v>Cropping, Monoculture, Market-oriented</v>
      </c>
      <c r="F2038" s="151" t="str">
        <f>'Reported burning'!F2038</f>
        <v>Shrubland (Mixed forest &amp; grassland)</v>
      </c>
      <c r="G2038" s="151" t="str">
        <f>'Reported burning'!G2038</f>
        <v>ND</v>
      </c>
      <c r="H2038" s="151" t="str">
        <f>'Reported burning'!H2038</f>
        <v>Presence</v>
      </c>
      <c r="I2038" s="5"/>
      <c r="J2038" s="4" t="s">
        <v>2272</v>
      </c>
      <c r="K2038" s="4" t="s">
        <v>2272</v>
      </c>
      <c r="L2038" s="4" t="s">
        <v>2272</v>
      </c>
      <c r="M2038" s="4" t="s">
        <v>2272</v>
      </c>
      <c r="N2038" s="4" t="s">
        <v>2272</v>
      </c>
      <c r="O2038" s="4" t="s">
        <v>2272</v>
      </c>
      <c r="P2038" s="4" t="s">
        <v>2272</v>
      </c>
      <c r="Q2038" s="4" t="s">
        <v>2272</v>
      </c>
      <c r="R2038" s="4" t="s">
        <v>2272</v>
      </c>
      <c r="S2038" s="4" t="s">
        <v>2272</v>
      </c>
      <c r="T2038" s="4" t="s">
        <v>2272</v>
      </c>
      <c r="U2038" s="4" t="s">
        <v>2272</v>
      </c>
      <c r="V2038" s="4" t="s">
        <v>2272</v>
      </c>
      <c r="W2038" s="4" t="s">
        <v>2272</v>
      </c>
      <c r="X2038" s="4" t="s">
        <v>2272</v>
      </c>
      <c r="Y2038" s="4" t="s">
        <v>2272</v>
      </c>
      <c r="Z2038" s="4" t="s">
        <v>2272</v>
      </c>
      <c r="AA2038" s="4" t="s">
        <v>2272</v>
      </c>
      <c r="AB2038" s="3"/>
      <c r="AC2038" s="3"/>
    </row>
    <row r="2039" spans="1:29" ht="31.5" customHeight="1">
      <c r="A2039" s="151" t="str">
        <f>'Reported burning'!A2039</f>
        <v>233a</v>
      </c>
      <c r="B2039" s="151" t="str">
        <f>'Reported burning'!B2039</f>
        <v>233a.5</v>
      </c>
      <c r="C2039" s="151" t="str">
        <f>'Reported burning'!C2039</f>
        <v>Human, deliberate</v>
      </c>
      <c r="D2039" s="151" t="str">
        <f>'Reported burning'!D2039</f>
        <v>Arson</v>
      </c>
      <c r="E2039" s="151" t="str">
        <f>'Reported burning'!E2039</f>
        <v>ND</v>
      </c>
      <c r="F2039" s="151" t="str">
        <f>'Reported burning'!F2039</f>
        <v>ND</v>
      </c>
      <c r="G2039" s="151" t="str">
        <f>'Reported burning'!G2039</f>
        <v>ND</v>
      </c>
      <c r="H2039" s="151" t="str">
        <f>'Reported burning'!H2039</f>
        <v>Presence</v>
      </c>
      <c r="I2039" s="5"/>
      <c r="J2039" s="4" t="s">
        <v>2272</v>
      </c>
      <c r="K2039" s="4" t="s">
        <v>2272</v>
      </c>
      <c r="L2039" s="4" t="s">
        <v>2272</v>
      </c>
      <c r="M2039" s="4" t="s">
        <v>2272</v>
      </c>
      <c r="N2039" s="4" t="s">
        <v>2272</v>
      </c>
      <c r="O2039" s="4" t="s">
        <v>2272</v>
      </c>
      <c r="P2039" s="4" t="s">
        <v>2272</v>
      </c>
      <c r="Q2039" s="4" t="s">
        <v>2272</v>
      </c>
      <c r="R2039" s="4" t="s">
        <v>2272</v>
      </c>
      <c r="S2039" s="4" t="s">
        <v>2272</v>
      </c>
      <c r="T2039" s="4" t="s">
        <v>2272</v>
      </c>
      <c r="U2039" s="4" t="s">
        <v>2272</v>
      </c>
      <c r="V2039" s="4" t="s">
        <v>2272</v>
      </c>
      <c r="W2039" s="4" t="s">
        <v>2272</v>
      </c>
      <c r="X2039" s="4" t="s">
        <v>2272</v>
      </c>
      <c r="Y2039" s="4" t="s">
        <v>2272</v>
      </c>
      <c r="Z2039" s="4" t="s">
        <v>2272</v>
      </c>
      <c r="AA2039" s="4" t="s">
        <v>2272</v>
      </c>
      <c r="AB2039" s="3"/>
      <c r="AC2039" s="3"/>
    </row>
    <row r="2040" spans="1:29" ht="31.5" customHeight="1">
      <c r="A2040" s="151" t="str">
        <f>'Reported burning'!A2040</f>
        <v>233a</v>
      </c>
      <c r="B2040" s="151" t="str">
        <f>'Reported burning'!B2040</f>
        <v>233a.6</v>
      </c>
      <c r="C2040" s="151" t="str">
        <f>'Reported burning'!C2040</f>
        <v>Human, escaped</v>
      </c>
      <c r="D2040" s="151" t="str">
        <f>'Reported burning'!D2040</f>
        <v>Domestic</v>
      </c>
      <c r="E2040" s="151" t="str">
        <f>'Reported burning'!E2040</f>
        <v>Tourism manager</v>
      </c>
      <c r="F2040" s="151" t="str">
        <f>'Reported burning'!F2040</f>
        <v>ND</v>
      </c>
      <c r="G2040" s="151" t="str">
        <f>'Reported burning'!G2040</f>
        <v>ND</v>
      </c>
      <c r="H2040" s="151" t="str">
        <f>'Reported burning'!H2040</f>
        <v>Presence</v>
      </c>
      <c r="I2040" s="5"/>
      <c r="J2040" s="4" t="s">
        <v>2272</v>
      </c>
      <c r="K2040" s="4" t="s">
        <v>2272</v>
      </c>
      <c r="L2040" s="4" t="s">
        <v>2272</v>
      </c>
      <c r="M2040" s="4" t="s">
        <v>2272</v>
      </c>
      <c r="N2040" s="4" t="s">
        <v>2272</v>
      </c>
      <c r="O2040" s="4" t="s">
        <v>2272</v>
      </c>
      <c r="P2040" s="4" t="s">
        <v>2272</v>
      </c>
      <c r="Q2040" s="4" t="s">
        <v>2272</v>
      </c>
      <c r="R2040" s="4" t="s">
        <v>2272</v>
      </c>
      <c r="S2040" s="4" t="s">
        <v>2272</v>
      </c>
      <c r="T2040" s="4" t="s">
        <v>2272</v>
      </c>
      <c r="U2040" s="4" t="s">
        <v>2272</v>
      </c>
      <c r="V2040" s="4" t="s">
        <v>2272</v>
      </c>
      <c r="W2040" s="4" t="s">
        <v>2272</v>
      </c>
      <c r="X2040" s="4" t="s">
        <v>2272</v>
      </c>
      <c r="Y2040" s="4" t="s">
        <v>2272</v>
      </c>
      <c r="Z2040" s="4" t="s">
        <v>2272</v>
      </c>
      <c r="AA2040" s="4" t="s">
        <v>2272</v>
      </c>
      <c r="AB2040" s="3"/>
      <c r="AC2040" s="3"/>
    </row>
    <row r="2041" spans="1:29" ht="68.5" customHeight="1">
      <c r="A2041" s="151" t="str">
        <f>'Reported burning'!A2041</f>
        <v>233a</v>
      </c>
      <c r="B2041" s="151" t="str">
        <f>'Reported burning'!B2041</f>
        <v>233a.7</v>
      </c>
      <c r="C2041" s="151" t="str">
        <f>'Reported burning'!C2041</f>
        <v>All</v>
      </c>
      <c r="D2041" s="151" t="str">
        <f>'Reported burning'!D2041</f>
        <v>All</v>
      </c>
      <c r="E2041" s="151" t="str">
        <f>'Reported burning'!E2041</f>
        <v>All</v>
      </c>
      <c r="F2041" s="151" t="str">
        <f>'Reported burning'!F2041</f>
        <v>ND</v>
      </c>
      <c r="G2041" s="151" t="str">
        <f>'Reported burning'!G2041</f>
        <v>ND</v>
      </c>
      <c r="H2041" s="151" t="str">
        <f>'Reported burning'!H2041</f>
        <v>Presence</v>
      </c>
      <c r="I2041" s="5"/>
      <c r="J2041" s="4" t="s">
        <v>2272</v>
      </c>
      <c r="K2041" s="21" t="s">
        <v>2367</v>
      </c>
      <c r="L2041" s="98" t="s">
        <v>2358</v>
      </c>
      <c r="M2041" s="21" t="s">
        <v>2358</v>
      </c>
      <c r="N2041" s="4" t="s">
        <v>2272</v>
      </c>
      <c r="O2041" s="4" t="s">
        <v>2272</v>
      </c>
      <c r="P2041" s="4" t="s">
        <v>2272</v>
      </c>
      <c r="Q2041" s="21" t="s">
        <v>2368</v>
      </c>
      <c r="R2041" s="21" t="s">
        <v>2358</v>
      </c>
      <c r="S2041" s="21" t="s">
        <v>2358</v>
      </c>
      <c r="T2041" s="4" t="s">
        <v>2272</v>
      </c>
      <c r="U2041" s="4" t="s">
        <v>2272</v>
      </c>
      <c r="V2041" s="4" t="s">
        <v>2272</v>
      </c>
      <c r="W2041" s="21" t="s">
        <v>2522</v>
      </c>
      <c r="X2041" s="4" t="s">
        <v>2272</v>
      </c>
      <c r="Y2041" s="4" t="s">
        <v>2272</v>
      </c>
      <c r="Z2041" s="4" t="s">
        <v>2272</v>
      </c>
      <c r="AA2041" s="4" t="s">
        <v>2272</v>
      </c>
      <c r="AB2041" s="3"/>
      <c r="AC2041" s="4" t="s">
        <v>5803</v>
      </c>
    </row>
    <row r="2042" spans="1:29" ht="32.5" customHeight="1">
      <c r="A2042" s="151" t="str">
        <f>'Reported burning'!A2042</f>
        <v>234a</v>
      </c>
      <c r="B2042" s="151" t="str">
        <f>'Reported burning'!B2042</f>
        <v>234a.1</v>
      </c>
      <c r="C2042" s="151" t="str">
        <f>'Reported burning'!C2042</f>
        <v>Human, deliberate</v>
      </c>
      <c r="D2042" s="151" t="str">
        <f>'Reported burning'!D2042</f>
        <v>Crop field preparation</v>
      </c>
      <c r="E2042" s="151" t="str">
        <f>'Reported burning'!E2042</f>
        <v>Cropping, Swidden</v>
      </c>
      <c r="F2042" s="151" t="str">
        <f>'Reported burning'!F2042</f>
        <v>Secondary vegetation</v>
      </c>
      <c r="G2042" s="151" t="str">
        <f>'Reported burning'!G2042</f>
        <v>ND</v>
      </c>
      <c r="H2042" s="151" t="str">
        <f>'Reported burning'!H2042</f>
        <v>Presence</v>
      </c>
      <c r="I2042" s="5"/>
      <c r="J2042" s="4" t="s">
        <v>2272</v>
      </c>
      <c r="K2042" s="4" t="s">
        <v>2272</v>
      </c>
      <c r="L2042" s="4" t="s">
        <v>2272</v>
      </c>
      <c r="M2042" s="4" t="s">
        <v>2272</v>
      </c>
      <c r="N2042" s="4" t="s">
        <v>2272</v>
      </c>
      <c r="O2042" s="4" t="s">
        <v>2272</v>
      </c>
      <c r="P2042" s="4" t="s">
        <v>2272</v>
      </c>
      <c r="Q2042" s="4" t="s">
        <v>2272</v>
      </c>
      <c r="R2042" s="4" t="s">
        <v>2272</v>
      </c>
      <c r="S2042" s="4" t="s">
        <v>2272</v>
      </c>
      <c r="T2042" s="4" t="s">
        <v>2272</v>
      </c>
      <c r="U2042" s="4" t="s">
        <v>2272</v>
      </c>
      <c r="V2042" s="4" t="s">
        <v>2272</v>
      </c>
      <c r="W2042" s="4" t="s">
        <v>2272</v>
      </c>
      <c r="X2042" s="4" t="s">
        <v>2272</v>
      </c>
      <c r="Y2042" s="4" t="s">
        <v>2272</v>
      </c>
      <c r="Z2042" s="4" t="s">
        <v>2272</v>
      </c>
      <c r="AA2042" s="4" t="s">
        <v>2272</v>
      </c>
      <c r="AB2042" s="3"/>
      <c r="AC2042" s="3"/>
    </row>
    <row r="2043" spans="1:29" ht="32.5" customHeight="1">
      <c r="A2043" s="151" t="str">
        <f>'Reported burning'!A2043</f>
        <v>234a</v>
      </c>
      <c r="B2043" s="151" t="str">
        <f>'Reported burning'!B2043</f>
        <v>234a.2</v>
      </c>
      <c r="C2043" s="151" t="str">
        <f>'Reported burning'!C2043</f>
        <v>Human, deliberate</v>
      </c>
      <c r="D2043" s="151" t="str">
        <f>'Reported burning'!D2043</f>
        <v>Crop field preparation</v>
      </c>
      <c r="E2043" s="151" t="str">
        <f>'Reported burning'!E2043</f>
        <v>Cropping, Monoculture, Market-oriented</v>
      </c>
      <c r="F2043" s="151" t="str">
        <f>'Reported burning'!F2043</f>
        <v>Secondary vegetation</v>
      </c>
      <c r="G2043" s="151" t="str">
        <f>'Reported burning'!G2043</f>
        <v>ND</v>
      </c>
      <c r="H2043" s="151"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21">
        <v>0</v>
      </c>
      <c r="X2043" s="4" t="s">
        <v>2272</v>
      </c>
      <c r="Y2043" s="4" t="s">
        <v>2272</v>
      </c>
      <c r="Z2043" s="4" t="s">
        <v>2272</v>
      </c>
      <c r="AA2043" s="4" t="s">
        <v>2272</v>
      </c>
      <c r="AB2043" s="3"/>
      <c r="AC2043" s="3"/>
    </row>
    <row r="2044" spans="1:29" ht="32.5" customHeight="1">
      <c r="A2044" s="151" t="str">
        <f>'Reported burning'!A2044</f>
        <v>234a</v>
      </c>
      <c r="B2044" s="151" t="str">
        <f>'Reported burning'!B2044</f>
        <v>234a.3</v>
      </c>
      <c r="C2044" s="151" t="str">
        <f>'Reported burning'!C2044</f>
        <v>Human, deliberate</v>
      </c>
      <c r="D2044" s="151" t="str">
        <f>'Reported burning'!D2044</f>
        <v>Land clearance</v>
      </c>
      <c r="E2044" s="151" t="str">
        <f>'Reported burning'!E2044</f>
        <v>Cropping, Monoculture, Market-oriented</v>
      </c>
      <c r="F2044" s="151" t="str">
        <f>'Reported burning'!F2044</f>
        <v>Secondary vegetation</v>
      </c>
      <c r="G2044" s="151" t="str">
        <f>'Reported burning'!G2044</f>
        <v>ND</v>
      </c>
      <c r="H2044" s="151" t="str">
        <f>'Reported burning'!H2044</f>
        <v>Presence</v>
      </c>
      <c r="I2044" s="5"/>
      <c r="J2044" s="4" t="s">
        <v>2272</v>
      </c>
      <c r="K2044" s="4" t="s">
        <v>2272</v>
      </c>
      <c r="L2044" s="4" t="s">
        <v>2272</v>
      </c>
      <c r="M2044" s="4" t="s">
        <v>2272</v>
      </c>
      <c r="N2044" s="4" t="s">
        <v>2272</v>
      </c>
      <c r="O2044" s="4" t="s">
        <v>2272</v>
      </c>
      <c r="P2044" s="4" t="s">
        <v>2272</v>
      </c>
      <c r="Q2044" s="4" t="s">
        <v>2272</v>
      </c>
      <c r="R2044" s="4" t="s">
        <v>2272</v>
      </c>
      <c r="S2044" s="4" t="s">
        <v>2272</v>
      </c>
      <c r="T2044" s="4" t="s">
        <v>2272</v>
      </c>
      <c r="U2044" s="4" t="s">
        <v>2272</v>
      </c>
      <c r="V2044" s="4" t="s">
        <v>2272</v>
      </c>
      <c r="W2044" s="4" t="s">
        <v>2272</v>
      </c>
      <c r="X2044" s="4" t="s">
        <v>2272</v>
      </c>
      <c r="Y2044" s="4" t="s">
        <v>2272</v>
      </c>
      <c r="Z2044" s="4" t="s">
        <v>2272</v>
      </c>
      <c r="AA2044" s="4" t="s">
        <v>2272</v>
      </c>
      <c r="AB2044" s="3"/>
      <c r="AC2044" s="3"/>
    </row>
    <row r="2045" spans="1:29" ht="33" customHeight="1">
      <c r="A2045" s="151" t="str">
        <f>'Reported burning'!A2045</f>
        <v>234b</v>
      </c>
      <c r="B2045" s="151" t="str">
        <f>'Reported burning'!B2045</f>
        <v>234b.1</v>
      </c>
      <c r="C2045" s="151" t="str">
        <f>'Reported burning'!C2045</f>
        <v>Human, deliberate</v>
      </c>
      <c r="D2045" s="151" t="str">
        <f>'Reported burning'!D2045</f>
        <v>Crop field preparation</v>
      </c>
      <c r="E2045" s="151" t="str">
        <f>'Reported burning'!E2045</f>
        <v>Cropping, Swidden</v>
      </c>
      <c r="F2045" s="151" t="str">
        <f>'Reported burning'!F2045</f>
        <v>Secondary vegetation</v>
      </c>
      <c r="G2045" s="151" t="str">
        <f>'Reported burning'!G2045</f>
        <v>ND</v>
      </c>
      <c r="H2045" s="151" t="str">
        <f>'Reported burning'!H2045</f>
        <v>Presence</v>
      </c>
      <c r="I2045" s="5"/>
      <c r="J2045" s="4" t="s">
        <v>2272</v>
      </c>
      <c r="K2045" s="4" t="s">
        <v>2272</v>
      </c>
      <c r="L2045" s="4" t="s">
        <v>2272</v>
      </c>
      <c r="M2045" s="4" t="s">
        <v>2272</v>
      </c>
      <c r="N2045" s="4" t="s">
        <v>2272</v>
      </c>
      <c r="O2045" s="4" t="s">
        <v>2272</v>
      </c>
      <c r="P2045" s="4" t="s">
        <v>2272</v>
      </c>
      <c r="Q2045" s="4" t="s">
        <v>2272</v>
      </c>
      <c r="R2045" s="4" t="s">
        <v>2272</v>
      </c>
      <c r="S2045" s="4" t="s">
        <v>2272</v>
      </c>
      <c r="T2045" s="4" t="s">
        <v>2272</v>
      </c>
      <c r="U2045" s="4" t="s">
        <v>2272</v>
      </c>
      <c r="V2045" s="4" t="s">
        <v>2272</v>
      </c>
      <c r="W2045" s="4" t="s">
        <v>2272</v>
      </c>
      <c r="X2045" s="4" t="s">
        <v>2272</v>
      </c>
      <c r="Y2045" s="4" t="s">
        <v>2272</v>
      </c>
      <c r="Z2045" s="4" t="s">
        <v>2272</v>
      </c>
      <c r="AA2045" s="4" t="s">
        <v>2272</v>
      </c>
      <c r="AB2045" s="3"/>
      <c r="AC2045" s="3"/>
    </row>
    <row r="2046" spans="1:29" ht="33" customHeight="1">
      <c r="A2046" s="151" t="str">
        <f>'Reported burning'!A2046</f>
        <v>234b</v>
      </c>
      <c r="B2046" s="151" t="str">
        <f>'Reported burning'!B2046</f>
        <v>234b.2</v>
      </c>
      <c r="C2046" s="151" t="str">
        <f>'Reported burning'!C2046</f>
        <v>Human, deliberate</v>
      </c>
      <c r="D2046" s="151" t="str">
        <f>'Reported burning'!D2046</f>
        <v>Crop field preparation</v>
      </c>
      <c r="E2046" s="151" t="str">
        <f>'Reported burning'!E2046</f>
        <v>Cropping, Monoculture, Market-oriented</v>
      </c>
      <c r="F2046" s="151" t="str">
        <f>'Reported burning'!F2046</f>
        <v>Secondary vegetation</v>
      </c>
      <c r="G2046" s="151" t="str">
        <f>'Reported burning'!G2046</f>
        <v>ND</v>
      </c>
      <c r="H2046" s="151"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21">
        <v>0</v>
      </c>
      <c r="X2046" s="4" t="s">
        <v>2272</v>
      </c>
      <c r="Y2046" s="4" t="s">
        <v>2272</v>
      </c>
      <c r="Z2046" s="4" t="s">
        <v>2272</v>
      </c>
      <c r="AA2046" s="4" t="s">
        <v>2272</v>
      </c>
      <c r="AB2046" s="3"/>
      <c r="AC2046" s="3"/>
    </row>
    <row r="2047" spans="1:29" ht="33" customHeight="1">
      <c r="A2047" s="151" t="str">
        <f>'Reported burning'!A2047</f>
        <v>234b</v>
      </c>
      <c r="B2047" s="151" t="str">
        <f>'Reported burning'!B2047</f>
        <v>234b.3</v>
      </c>
      <c r="C2047" s="151" t="str">
        <f>'Reported burning'!C2047</f>
        <v>Human, deliberate</v>
      </c>
      <c r="D2047" s="151" t="str">
        <f>'Reported burning'!D2047</f>
        <v>Land clearance</v>
      </c>
      <c r="E2047" s="151" t="str">
        <f>'Reported burning'!E2047</f>
        <v>Cropping, Monoculture, Market-oriented</v>
      </c>
      <c r="F2047" s="151" t="str">
        <f>'Reported burning'!F2047</f>
        <v>Secondary vegetation</v>
      </c>
      <c r="G2047" s="151" t="str">
        <f>'Reported burning'!G2047</f>
        <v>ND</v>
      </c>
      <c r="H2047" s="151" t="str">
        <f>'Reported burning'!H2047</f>
        <v>Presence</v>
      </c>
      <c r="I2047" s="5"/>
      <c r="J2047" s="4" t="s">
        <v>2272</v>
      </c>
      <c r="K2047" s="4" t="s">
        <v>2272</v>
      </c>
      <c r="L2047" s="4" t="s">
        <v>2272</v>
      </c>
      <c r="M2047" s="4" t="s">
        <v>2272</v>
      </c>
      <c r="N2047" s="4" t="s">
        <v>2272</v>
      </c>
      <c r="O2047" s="4" t="s">
        <v>2272</v>
      </c>
      <c r="P2047" s="4" t="s">
        <v>2272</v>
      </c>
      <c r="Q2047" s="4" t="s">
        <v>2272</v>
      </c>
      <c r="R2047" s="4" t="s">
        <v>2272</v>
      </c>
      <c r="S2047" s="4" t="s">
        <v>2272</v>
      </c>
      <c r="T2047" s="4" t="s">
        <v>2272</v>
      </c>
      <c r="U2047" s="4" t="s">
        <v>2272</v>
      </c>
      <c r="V2047" s="4" t="s">
        <v>2272</v>
      </c>
      <c r="W2047" s="4" t="s">
        <v>2272</v>
      </c>
      <c r="X2047" s="4" t="s">
        <v>2272</v>
      </c>
      <c r="Y2047" s="4" t="s">
        <v>2272</v>
      </c>
      <c r="Z2047" s="4" t="s">
        <v>2272</v>
      </c>
      <c r="AA2047" s="4" t="s">
        <v>2272</v>
      </c>
      <c r="AB2047" s="3"/>
      <c r="AC2047" s="3"/>
    </row>
    <row r="2048" spans="1:29" ht="50" customHeight="1">
      <c r="A2048" s="151" t="str">
        <f>'Reported burning'!A2048</f>
        <v>235a</v>
      </c>
      <c r="B2048" s="151" t="str">
        <f>'Reported burning'!B2048</f>
        <v>235a.1</v>
      </c>
      <c r="C2048" s="151" t="str">
        <f>'Reported burning'!C2048</f>
        <v>Human, deliberate</v>
      </c>
      <c r="D2048" s="151" t="str">
        <f>'Reported burning'!D2048</f>
        <v>Crop field preparation</v>
      </c>
      <c r="E2048" s="151" t="str">
        <f>'Reported burning'!E2048</f>
        <v>Cropping, Swidden</v>
      </c>
      <c r="F2048" s="151" t="str">
        <f>'Reported burning'!F2048</f>
        <v>Cropland</v>
      </c>
      <c r="G2048" s="151" t="str">
        <f>'Reported burning'!G2048</f>
        <v>Cropland</v>
      </c>
      <c r="H2048" s="151" t="str">
        <f>'Reported burning'!H2048</f>
        <v>Presence</v>
      </c>
      <c r="I2048" s="5"/>
      <c r="J2048" s="4" t="s">
        <v>2272</v>
      </c>
      <c r="K2048" s="4" t="s">
        <v>2272</v>
      </c>
      <c r="L2048" s="4" t="s">
        <v>2272</v>
      </c>
      <c r="M2048" s="4" t="s">
        <v>2272</v>
      </c>
      <c r="N2048" s="4" t="s">
        <v>2272</v>
      </c>
      <c r="O2048" s="4" t="s">
        <v>2272</v>
      </c>
      <c r="P2048" s="4" t="s">
        <v>2272</v>
      </c>
      <c r="Q2048" s="4" t="s">
        <v>2272</v>
      </c>
      <c r="R2048" s="4" t="s">
        <v>2272</v>
      </c>
      <c r="S2048" s="4" t="s">
        <v>2272</v>
      </c>
      <c r="T2048" s="4" t="s">
        <v>2272</v>
      </c>
      <c r="U2048" s="4" t="s">
        <v>2272</v>
      </c>
      <c r="V2048" s="4" t="s">
        <v>2272</v>
      </c>
      <c r="W2048" s="4" t="s">
        <v>2272</v>
      </c>
      <c r="X2048" s="4" t="s">
        <v>2272</v>
      </c>
      <c r="Y2048" s="4" t="s">
        <v>2272</v>
      </c>
      <c r="Z2048" s="4" t="s">
        <v>2272</v>
      </c>
      <c r="AA2048" s="4" t="s">
        <v>2272</v>
      </c>
      <c r="AB2048" s="4" t="s">
        <v>5828</v>
      </c>
      <c r="AC2048" s="3"/>
    </row>
    <row r="2049" spans="1:29" ht="38" customHeight="1">
      <c r="A2049" s="151" t="str">
        <f>'Reported burning'!A2049</f>
        <v>235a</v>
      </c>
      <c r="B2049" s="151" t="str">
        <f>'Reported burning'!B2049</f>
        <v>235a.2</v>
      </c>
      <c r="C2049" s="151" t="str">
        <f>'Reported burning'!C2049</f>
        <v>Human, deliberate</v>
      </c>
      <c r="D2049" s="151" t="str">
        <f>'Reported burning'!D2049</f>
        <v>Crop field preparation</v>
      </c>
      <c r="E2049" s="151" t="str">
        <f>'Reported burning'!E2049</f>
        <v>Cropping, Swidden</v>
      </c>
      <c r="F2049" s="151" t="str">
        <f>'Reported burning'!F2049</f>
        <v>Secondary vegetation</v>
      </c>
      <c r="G2049" s="151" t="str">
        <f>'Reported burning'!G2049</f>
        <v>Cropland</v>
      </c>
      <c r="H2049" s="151"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21">
        <v>0</v>
      </c>
      <c r="X2049" s="4" t="s">
        <v>2272</v>
      </c>
      <c r="Y2049" s="4" t="s">
        <v>2272</v>
      </c>
      <c r="Z2049" s="4" t="s">
        <v>2272</v>
      </c>
      <c r="AA2049" s="4" t="s">
        <v>2272</v>
      </c>
      <c r="AB2049" s="4" t="s">
        <v>5829</v>
      </c>
      <c r="AC2049" s="3"/>
    </row>
    <row r="2050" spans="1:29" ht="32.5" customHeight="1">
      <c r="A2050" s="151" t="str">
        <f>'Reported burning'!A2050</f>
        <v>236a</v>
      </c>
      <c r="B2050" s="151" t="str">
        <f>'Reported burning'!B2050</f>
        <v>236a.1</v>
      </c>
      <c r="C2050" s="151" t="str">
        <f>'Reported burning'!C2050</f>
        <v>Human, deliberate</v>
      </c>
      <c r="D2050" s="151" t="str">
        <f>'Reported burning'!D2050</f>
        <v>Pasture renewal</v>
      </c>
      <c r="E2050" s="151" t="str">
        <f>'Reported burning'!E2050</f>
        <v>Cattle, Extensive</v>
      </c>
      <c r="F2050" s="151" t="str">
        <f>'Reported burning'!F2050</f>
        <v>Shrubland (Mixed forest &amp; grassland)</v>
      </c>
      <c r="G2050" s="151" t="str">
        <f>'Reported burning'!G2050</f>
        <v>ND</v>
      </c>
      <c r="H2050" s="151" t="str">
        <f>'Reported burning'!H2050</f>
        <v>Presence</v>
      </c>
      <c r="I2050" s="5"/>
      <c r="J2050" s="4" t="s">
        <v>2272</v>
      </c>
      <c r="K2050" s="4" t="s">
        <v>2272</v>
      </c>
      <c r="L2050" s="4" t="s">
        <v>2272</v>
      </c>
      <c r="M2050" s="4" t="s">
        <v>2272</v>
      </c>
      <c r="N2050" s="4" t="s">
        <v>2272</v>
      </c>
      <c r="O2050" s="4" t="s">
        <v>2272</v>
      </c>
      <c r="P2050" s="4" t="s">
        <v>2272</v>
      </c>
      <c r="Q2050" s="4" t="s">
        <v>2272</v>
      </c>
      <c r="R2050" s="4" t="s">
        <v>2272</v>
      </c>
      <c r="S2050" s="4" t="s">
        <v>2272</v>
      </c>
      <c r="T2050" s="4" t="s">
        <v>2272</v>
      </c>
      <c r="U2050" s="4" t="s">
        <v>2272</v>
      </c>
      <c r="V2050" s="4" t="s">
        <v>2272</v>
      </c>
      <c r="W2050" s="4" t="s">
        <v>2272</v>
      </c>
      <c r="X2050" s="21" t="s">
        <v>2396</v>
      </c>
      <c r="Y2050" s="3" t="s">
        <v>397</v>
      </c>
      <c r="Z2050" s="3" t="s">
        <v>187</v>
      </c>
      <c r="AA2050" s="4" t="s">
        <v>2272</v>
      </c>
      <c r="AB2050" s="3"/>
      <c r="AC2050" s="3"/>
    </row>
    <row r="2051" spans="1:29" ht="29">
      <c r="A2051" s="151" t="str">
        <f>'Reported burning'!A2051</f>
        <v>237a</v>
      </c>
      <c r="B2051" s="151" t="str">
        <f>'Reported burning'!B2051</f>
        <v>237a.1</v>
      </c>
      <c r="C2051" s="151" t="str">
        <f>'Reported burning'!C2051</f>
        <v>Human, deliberate</v>
      </c>
      <c r="D2051" s="151" t="str">
        <f>'Reported burning'!D2051</f>
        <v>Hunting</v>
      </c>
      <c r="E2051" s="151" t="str">
        <f>'Reported burning'!E2051</f>
        <v>Forestry, Traditional</v>
      </c>
      <c r="F2051" s="151" t="str">
        <f>'Reported burning'!F2051</f>
        <v>Shrubland (Mixed forest &amp; grassland)</v>
      </c>
      <c r="G2051" s="151" t="str">
        <f>'Reported burning'!G2051</f>
        <v>Shrubland (Mixed forest &amp; grassland)</v>
      </c>
      <c r="H2051" s="151" t="str">
        <f>'Reported burning'!H2051</f>
        <v>Presence</v>
      </c>
      <c r="I2051" s="5"/>
      <c r="J2051" s="4" t="s">
        <v>2272</v>
      </c>
      <c r="K2051" s="4" t="s">
        <v>2272</v>
      </c>
      <c r="L2051" s="4" t="s">
        <v>2272</v>
      </c>
      <c r="M2051" s="4" t="s">
        <v>2272</v>
      </c>
      <c r="N2051" s="4" t="s">
        <v>2272</v>
      </c>
      <c r="O2051" s="4" t="s">
        <v>2272</v>
      </c>
      <c r="P2051" s="4" t="s">
        <v>2272</v>
      </c>
      <c r="Q2051" s="4" t="s">
        <v>2272</v>
      </c>
      <c r="R2051" s="4" t="s">
        <v>2272</v>
      </c>
      <c r="S2051" s="4" t="s">
        <v>2272</v>
      </c>
      <c r="T2051" s="4" t="s">
        <v>2272</v>
      </c>
      <c r="U2051" s="4" t="s">
        <v>2272</v>
      </c>
      <c r="V2051" s="4" t="s">
        <v>2272</v>
      </c>
      <c r="W2051" s="4" t="s">
        <v>2272</v>
      </c>
      <c r="X2051" s="4" t="s">
        <v>2272</v>
      </c>
      <c r="Y2051" s="3" t="s">
        <v>397</v>
      </c>
      <c r="Z2051" s="3" t="s">
        <v>187</v>
      </c>
      <c r="AA2051" s="4" t="s">
        <v>2272</v>
      </c>
      <c r="AB2051" s="3"/>
      <c r="AC2051" s="3"/>
    </row>
    <row r="2052" spans="1:29" ht="29">
      <c r="A2052" s="151" t="str">
        <f>'Reported burning'!A2052</f>
        <v>237a</v>
      </c>
      <c r="B2052" s="151" t="str">
        <f>'Reported burning'!B2052</f>
        <v>237a.2</v>
      </c>
      <c r="C2052" s="151" t="str">
        <f>'Reported burning'!C2052</f>
        <v>Human, deliberate</v>
      </c>
      <c r="D2052" s="151" t="str">
        <f>'Reported burning'!D2052</f>
        <v>Pasture renewal</v>
      </c>
      <c r="E2052" s="151" t="str">
        <f>'Reported burning'!E2052</f>
        <v>Pastoralism, Migratory</v>
      </c>
      <c r="F2052" s="151" t="str">
        <f>'Reported burning'!F2052</f>
        <v>Shrubland (Mixed forest &amp; grassland)</v>
      </c>
      <c r="G2052" s="151" t="str">
        <f>'Reported burning'!G2052</f>
        <v>Shrubland (Mixed forest &amp; grassland)</v>
      </c>
      <c r="H2052" s="151" t="str">
        <f>'Reported burning'!H2052</f>
        <v>Presence</v>
      </c>
      <c r="I2052" s="5"/>
      <c r="J2052" s="4" t="s">
        <v>2272</v>
      </c>
      <c r="K2052" s="4" t="s">
        <v>2272</v>
      </c>
      <c r="L2052" s="4" t="s">
        <v>2272</v>
      </c>
      <c r="M2052" s="4" t="s">
        <v>2272</v>
      </c>
      <c r="N2052" s="4" t="s">
        <v>2272</v>
      </c>
      <c r="O2052" s="4" t="s">
        <v>2272</v>
      </c>
      <c r="P2052" s="4" t="s">
        <v>2272</v>
      </c>
      <c r="Q2052" s="4" t="s">
        <v>2272</v>
      </c>
      <c r="R2052" s="4" t="s">
        <v>2272</v>
      </c>
      <c r="S2052" s="4" t="s">
        <v>2272</v>
      </c>
      <c r="T2052" s="4" t="s">
        <v>2272</v>
      </c>
      <c r="U2052" s="4" t="s">
        <v>2272</v>
      </c>
      <c r="V2052" s="4" t="s">
        <v>2272</v>
      </c>
      <c r="W2052" s="4" t="s">
        <v>2272</v>
      </c>
      <c r="X2052" s="4" t="s">
        <v>2272</v>
      </c>
      <c r="Y2052" s="3" t="s">
        <v>397</v>
      </c>
      <c r="Z2052" s="3" t="s">
        <v>187</v>
      </c>
      <c r="AA2052" s="4" t="s">
        <v>2272</v>
      </c>
      <c r="AB2052" s="3"/>
      <c r="AC2052" s="3"/>
    </row>
    <row r="2053" spans="1:29" ht="29">
      <c r="A2053" s="151" t="str">
        <f>'Reported burning'!A2053</f>
        <v>237a</v>
      </c>
      <c r="B2053" s="151" t="str">
        <f>'Reported burning'!B2053</f>
        <v>237a.3</v>
      </c>
      <c r="C2053" s="151" t="str">
        <f>'Reported burning'!C2053</f>
        <v>All</v>
      </c>
      <c r="D2053" s="151" t="str">
        <f>'Reported burning'!D2053</f>
        <v>All</v>
      </c>
      <c r="E2053" s="151" t="str">
        <f>'Reported burning'!E2053</f>
        <v>All</v>
      </c>
      <c r="F2053" s="151" t="str">
        <f>'Reported burning'!F2053</f>
        <v>ND</v>
      </c>
      <c r="G2053" s="151" t="str">
        <f>'Reported burning'!G2053</f>
        <v>Shrubland (Mixed forest &amp; grassland)</v>
      </c>
      <c r="H2053" s="151" t="str">
        <f>'Reported burning'!H2053</f>
        <v>Presence</v>
      </c>
      <c r="I2053" s="5"/>
      <c r="J2053" s="4" t="s">
        <v>2272</v>
      </c>
      <c r="K2053" s="4" t="s">
        <v>2272</v>
      </c>
      <c r="L2053" s="4" t="s">
        <v>2272</v>
      </c>
      <c r="M2053" s="4" t="s">
        <v>2272</v>
      </c>
      <c r="N2053" s="4" t="s">
        <v>2272</v>
      </c>
      <c r="O2053" s="4" t="s">
        <v>2272</v>
      </c>
      <c r="P2053" s="4" t="s">
        <v>2272</v>
      </c>
      <c r="Q2053" s="4" t="s">
        <v>2272</v>
      </c>
      <c r="R2053" s="4" t="s">
        <v>2272</v>
      </c>
      <c r="S2053" s="4" t="s">
        <v>2272</v>
      </c>
      <c r="T2053" s="4" t="s">
        <v>2272</v>
      </c>
      <c r="U2053" s="4" t="s">
        <v>2272</v>
      </c>
      <c r="V2053" s="4" t="s">
        <v>2272</v>
      </c>
      <c r="W2053" s="4" t="s">
        <v>2272</v>
      </c>
      <c r="X2053" s="4" t="s">
        <v>2272</v>
      </c>
      <c r="Y2053" s="3" t="s">
        <v>397</v>
      </c>
      <c r="Z2053" s="3" t="s">
        <v>187</v>
      </c>
      <c r="AA2053" s="4" t="s">
        <v>2272</v>
      </c>
      <c r="AB2053" s="3"/>
      <c r="AC2053" s="3" t="s">
        <v>5847</v>
      </c>
    </row>
    <row r="2054" spans="1:29" ht="29">
      <c r="A2054" s="151" t="str">
        <f>'Reported burning'!A2054</f>
        <v>238a</v>
      </c>
      <c r="B2054" s="151" t="str">
        <f>'Reported burning'!B2054</f>
        <v>238a.1</v>
      </c>
      <c r="C2054" s="151" t="str">
        <f>'Reported burning'!C2054</f>
        <v>Human, deliberate</v>
      </c>
      <c r="D2054" s="151" t="str">
        <f>'Reported burning'!D2054</f>
        <v>Pasture renewal</v>
      </c>
      <c r="E2054" s="151" t="str">
        <f>'Reported burning'!E2054</f>
        <v>Pastoralism, Migratory</v>
      </c>
      <c r="F2054" s="151" t="str">
        <f>'Reported burning'!F2054</f>
        <v>Shrubland (Mixed forest &amp; grassland)</v>
      </c>
      <c r="G2054" s="151" t="str">
        <f>'Reported burning'!G2054</f>
        <v>ND</v>
      </c>
      <c r="H2054" s="151" t="str">
        <f>'Reported burning'!H2054</f>
        <v>Presence</v>
      </c>
      <c r="I2054" s="5"/>
      <c r="J2054" s="4" t="s">
        <v>2272</v>
      </c>
      <c r="K2054" s="4" t="s">
        <v>2272</v>
      </c>
      <c r="L2054" s="181" t="s">
        <v>2272</v>
      </c>
      <c r="M2054" s="181" t="s">
        <v>2272</v>
      </c>
      <c r="N2054" s="181" t="s">
        <v>2272</v>
      </c>
      <c r="O2054" s="181" t="s">
        <v>2272</v>
      </c>
      <c r="P2054" s="21" t="s">
        <v>2368</v>
      </c>
      <c r="Q2054" s="4" t="s">
        <v>2272</v>
      </c>
      <c r="R2054" s="21" t="s">
        <v>2368</v>
      </c>
      <c r="S2054" s="181" t="s">
        <v>2272</v>
      </c>
      <c r="T2054" s="181" t="s">
        <v>2272</v>
      </c>
      <c r="U2054" s="181" t="s">
        <v>2272</v>
      </c>
      <c r="V2054" s="181" t="s">
        <v>2272</v>
      </c>
      <c r="W2054" s="181" t="s">
        <v>2272</v>
      </c>
      <c r="X2054" s="181" t="s">
        <v>2272</v>
      </c>
      <c r="Y2054" s="3" t="s">
        <v>397</v>
      </c>
      <c r="Z2054" s="3" t="s">
        <v>187</v>
      </c>
      <c r="AA2054" s="4" t="s">
        <v>2272</v>
      </c>
      <c r="AB2054" s="3"/>
      <c r="AC2054" s="3"/>
    </row>
    <row r="2055" spans="1:29" ht="29">
      <c r="A2055" s="151" t="str">
        <f>'Reported burning'!A2055</f>
        <v>238a</v>
      </c>
      <c r="B2055" s="151" t="str">
        <f>'Reported burning'!B2055</f>
        <v>238a.2</v>
      </c>
      <c r="C2055" s="151" t="str">
        <f>'Reported burning'!C2055</f>
        <v>Human, escaped</v>
      </c>
      <c r="D2055" s="151" t="str">
        <f>'Reported burning'!D2055</f>
        <v>Pasture renewal</v>
      </c>
      <c r="E2055" s="151" t="str">
        <f>'Reported burning'!E2055</f>
        <v>Pastoralism, Migratory</v>
      </c>
      <c r="F2055" s="151" t="str">
        <f>'Reported burning'!F2055</f>
        <v>Shrubland (Mixed forest &amp; grassland)</v>
      </c>
      <c r="G2055" s="151" t="str">
        <f>'Reported burning'!G2055</f>
        <v>ND</v>
      </c>
      <c r="H2055" s="151" t="str">
        <f>'Reported burning'!H2055</f>
        <v>Presence</v>
      </c>
      <c r="I2055" s="5"/>
      <c r="J2055" s="181" t="s">
        <v>2272</v>
      </c>
      <c r="K2055" s="181" t="s">
        <v>2272</v>
      </c>
      <c r="L2055" s="181" t="s">
        <v>2272</v>
      </c>
      <c r="M2055" s="181" t="s">
        <v>2272</v>
      </c>
      <c r="N2055" s="181" t="s">
        <v>2272</v>
      </c>
      <c r="O2055" s="181" t="s">
        <v>2272</v>
      </c>
      <c r="P2055" s="181" t="s">
        <v>2272</v>
      </c>
      <c r="Q2055" s="181" t="s">
        <v>2272</v>
      </c>
      <c r="R2055" s="181" t="s">
        <v>2272</v>
      </c>
      <c r="S2055" s="181" t="s">
        <v>2272</v>
      </c>
      <c r="T2055" s="181" t="s">
        <v>2272</v>
      </c>
      <c r="U2055" s="181" t="s">
        <v>2272</v>
      </c>
      <c r="V2055" s="181" t="s">
        <v>2272</v>
      </c>
      <c r="W2055" s="181" t="s">
        <v>2272</v>
      </c>
      <c r="X2055" s="181" t="s">
        <v>2272</v>
      </c>
      <c r="Y2055" s="3" t="s">
        <v>397</v>
      </c>
      <c r="Z2055" s="3" t="s">
        <v>187</v>
      </c>
      <c r="AA2055" s="4" t="s">
        <v>2272</v>
      </c>
      <c r="AB2055" s="3"/>
      <c r="AC2055" s="3"/>
    </row>
    <row r="2056" spans="1:29" ht="32.5" customHeight="1">
      <c r="A2056" s="151" t="str">
        <f>'Reported burning'!A2056</f>
        <v>238a</v>
      </c>
      <c r="B2056" s="151" t="str">
        <f>'Reported burning'!B2056</f>
        <v>238a.3</v>
      </c>
      <c r="C2056" s="151" t="str">
        <f>'Reported burning'!C2056</f>
        <v>Lightning</v>
      </c>
      <c r="D2056" s="151" t="str">
        <f>'Reported burning'!D2056</f>
        <v>ND</v>
      </c>
      <c r="E2056" s="151" t="str">
        <f>'Reported burning'!E2056</f>
        <v>ND</v>
      </c>
      <c r="F2056" s="151" t="str">
        <f>'Reported burning'!F2056</f>
        <v>ND</v>
      </c>
      <c r="G2056" s="151" t="str">
        <f>'Reported burning'!G2056</f>
        <v>Shrubland (Mixed forest &amp; grassland)</v>
      </c>
      <c r="H2056" s="151"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21">
        <v>0</v>
      </c>
      <c r="X2056" s="181" t="s">
        <v>2272</v>
      </c>
      <c r="Y2056" s="3" t="s">
        <v>397</v>
      </c>
      <c r="Z2056" s="3" t="s">
        <v>187</v>
      </c>
      <c r="AA2056" s="4" t="s">
        <v>2272</v>
      </c>
      <c r="AB2056" s="3"/>
      <c r="AC2056" s="3"/>
    </row>
    <row r="2057" spans="1:29" ht="67" customHeight="1">
      <c r="A2057" s="151" t="str">
        <f>'Reported burning'!A2057</f>
        <v>238a</v>
      </c>
      <c r="B2057" s="151" t="str">
        <f>'Reported burning'!B2057</f>
        <v>238a.4</v>
      </c>
      <c r="C2057" s="151" t="str">
        <f>'Reported burning'!C2057</f>
        <v>All</v>
      </c>
      <c r="D2057" s="151" t="str">
        <f>'Reported burning'!D2057</f>
        <v>All</v>
      </c>
      <c r="E2057" s="151" t="str">
        <f>'Reported burning'!E2057</f>
        <v>All</v>
      </c>
      <c r="F2057" s="151" t="str">
        <f>'Reported burning'!F2057</f>
        <v>ND</v>
      </c>
      <c r="G2057" s="151" t="str">
        <f>'Reported burning'!G2057</f>
        <v>Shrubland (Mixed forest &amp; grassland)</v>
      </c>
      <c r="H2057" s="151" t="str">
        <f>'Reported burning'!H2057</f>
        <v>Presence</v>
      </c>
      <c r="I2057" s="5"/>
      <c r="J2057" s="181" t="s">
        <v>2272</v>
      </c>
      <c r="K2057" s="181" t="s">
        <v>2272</v>
      </c>
      <c r="L2057" s="181" t="s">
        <v>2272</v>
      </c>
      <c r="M2057" s="181" t="s">
        <v>2272</v>
      </c>
      <c r="N2057" s="181" t="s">
        <v>2272</v>
      </c>
      <c r="O2057" s="181" t="s">
        <v>2272</v>
      </c>
      <c r="P2057" s="181" t="s">
        <v>2272</v>
      </c>
      <c r="Q2057" s="181" t="s">
        <v>2272</v>
      </c>
      <c r="R2057" s="181" t="s">
        <v>2272</v>
      </c>
      <c r="S2057" s="181" t="s">
        <v>2272</v>
      </c>
      <c r="T2057" s="181" t="s">
        <v>2272</v>
      </c>
      <c r="U2057" s="181" t="s">
        <v>2272</v>
      </c>
      <c r="V2057" s="181" t="s">
        <v>2272</v>
      </c>
      <c r="W2057" s="181" t="s">
        <v>2272</v>
      </c>
      <c r="X2057" s="181" t="s">
        <v>2272</v>
      </c>
      <c r="Y2057" s="3" t="s">
        <v>397</v>
      </c>
      <c r="Z2057" s="3" t="s">
        <v>187</v>
      </c>
      <c r="AA2057" s="4" t="s">
        <v>2272</v>
      </c>
      <c r="AB2057" s="3"/>
      <c r="AC2057" s="4" t="s">
        <v>5859</v>
      </c>
    </row>
    <row r="2058" spans="1:29" ht="67" customHeight="1">
      <c r="A2058" s="151" t="str">
        <f>'Reported burning'!A2058</f>
        <v>238a</v>
      </c>
      <c r="B2058" s="151" t="str">
        <f>'Reported burning'!B2058</f>
        <v>238a.5</v>
      </c>
      <c r="C2058" s="151" t="str">
        <f>'Reported burning'!C2058</f>
        <v>All</v>
      </c>
      <c r="D2058" s="151" t="str">
        <f>'Reported burning'!D2058</f>
        <v>All</v>
      </c>
      <c r="E2058" s="151" t="str">
        <f>'Reported burning'!E2058</f>
        <v>All</v>
      </c>
      <c r="F2058" s="151" t="str">
        <f>'Reported burning'!F2058</f>
        <v>ND</v>
      </c>
      <c r="G2058" s="151" t="str">
        <f>'Reported burning'!G2058</f>
        <v>Shrubland (Mixed forest &amp; grassland)</v>
      </c>
      <c r="H2058" s="151" t="str">
        <f>'Reported burning'!H2058</f>
        <v>Presence</v>
      </c>
      <c r="I2058" s="5"/>
      <c r="J2058" s="181" t="s">
        <v>2272</v>
      </c>
      <c r="K2058" s="181" t="s">
        <v>2272</v>
      </c>
      <c r="L2058" s="181" t="s">
        <v>2272</v>
      </c>
      <c r="M2058" s="181" t="s">
        <v>2272</v>
      </c>
      <c r="N2058" s="181" t="s">
        <v>2272</v>
      </c>
      <c r="O2058" s="4" t="s">
        <v>2272</v>
      </c>
      <c r="P2058" s="4" t="s">
        <v>2272</v>
      </c>
      <c r="Q2058" s="4" t="s">
        <v>2272</v>
      </c>
      <c r="R2058" s="4" t="s">
        <v>2272</v>
      </c>
      <c r="S2058" s="4" t="s">
        <v>2272</v>
      </c>
      <c r="T2058" s="181" t="s">
        <v>2272</v>
      </c>
      <c r="U2058" s="181" t="s">
        <v>2272</v>
      </c>
      <c r="V2058" s="4" t="s">
        <v>2272</v>
      </c>
      <c r="W2058" s="21" t="s">
        <v>2384</v>
      </c>
      <c r="X2058" s="181" t="s">
        <v>2272</v>
      </c>
      <c r="Y2058" s="3" t="s">
        <v>397</v>
      </c>
      <c r="Z2058" s="3" t="s">
        <v>187</v>
      </c>
      <c r="AA2058" s="4" t="s">
        <v>2272</v>
      </c>
      <c r="AB2058" s="3"/>
      <c r="AC2058" s="4" t="s">
        <v>5860</v>
      </c>
    </row>
    <row r="2059" spans="1:29" ht="31.5" customHeight="1">
      <c r="A2059" s="151" t="str">
        <f>'Reported burning'!A2059</f>
        <v>239a</v>
      </c>
      <c r="B2059" s="151" t="str">
        <f>'Reported burning'!B2059</f>
        <v>239a.1</v>
      </c>
      <c r="C2059" s="151" t="str">
        <f>'Reported burning'!C2059</f>
        <v>Human, deliberate</v>
      </c>
      <c r="D2059" s="151" t="str">
        <f>'Reported burning'!D2059</f>
        <v>Pasture renewal</v>
      </c>
      <c r="E2059" s="151" t="str">
        <f>'Reported burning'!E2059</f>
        <v>Pastoralism, Migratory</v>
      </c>
      <c r="F2059" s="151" t="str">
        <f>'Reported burning'!F2059</f>
        <v>Shrubland (Mixed forest &amp; grassland)</v>
      </c>
      <c r="G2059" s="151" t="str">
        <f>'Reported burning'!G2059</f>
        <v>ND</v>
      </c>
      <c r="H2059" s="151" t="str">
        <f>'Reported burning'!H2059</f>
        <v>Presence</v>
      </c>
      <c r="I2059" s="5"/>
      <c r="J2059" s="181" t="s">
        <v>2272</v>
      </c>
      <c r="K2059" s="181" t="s">
        <v>2272</v>
      </c>
      <c r="L2059" s="181" t="s">
        <v>2272</v>
      </c>
      <c r="M2059" s="181" t="s">
        <v>2272</v>
      </c>
      <c r="N2059" s="181" t="s">
        <v>2272</v>
      </c>
      <c r="O2059" s="181" t="s">
        <v>2272</v>
      </c>
      <c r="P2059" s="181" t="s">
        <v>2272</v>
      </c>
      <c r="Q2059" s="181" t="s">
        <v>2272</v>
      </c>
      <c r="R2059" s="181" t="s">
        <v>2272</v>
      </c>
      <c r="S2059" s="181" t="s">
        <v>2272</v>
      </c>
      <c r="T2059" s="181" t="s">
        <v>2272</v>
      </c>
      <c r="U2059" s="181" t="s">
        <v>2272</v>
      </c>
      <c r="V2059" s="181" t="s">
        <v>2272</v>
      </c>
      <c r="W2059" s="181" t="s">
        <v>2272</v>
      </c>
      <c r="X2059" s="181" t="s">
        <v>2272</v>
      </c>
      <c r="Y2059" s="181" t="s">
        <v>2272</v>
      </c>
      <c r="Z2059" s="181" t="s">
        <v>2272</v>
      </c>
      <c r="AA2059" s="181" t="s">
        <v>2272</v>
      </c>
      <c r="AB2059" s="3"/>
      <c r="AC2059" s="3"/>
    </row>
    <row r="2060" spans="1:29" ht="31.5" customHeight="1">
      <c r="A2060" s="151" t="str">
        <f>'Reported burning'!A2060</f>
        <v>239a</v>
      </c>
      <c r="B2060" s="151" t="str">
        <f>'Reported burning'!B2060</f>
        <v>239a.2</v>
      </c>
      <c r="C2060" s="151" t="str">
        <f>'Reported burning'!C2060</f>
        <v>Human, deliberate</v>
      </c>
      <c r="D2060" s="151" t="str">
        <f>'Reported burning'!D2060</f>
        <v>Crop field preparation</v>
      </c>
      <c r="E2060" s="151" t="str">
        <f>'Reported burning'!E2060</f>
        <v>Cropping, Swidden</v>
      </c>
      <c r="F2060" s="151" t="str">
        <f>'Reported burning'!F2060</f>
        <v>Secondary vegetation</v>
      </c>
      <c r="G2060" s="151" t="str">
        <f>'Reported burning'!G2060</f>
        <v>ND</v>
      </c>
      <c r="H2060" s="151" t="str">
        <f>'Reported burning'!H2060</f>
        <v>Presence</v>
      </c>
      <c r="I2060" s="5"/>
      <c r="J2060" s="181" t="s">
        <v>2272</v>
      </c>
      <c r="K2060" s="181" t="s">
        <v>2272</v>
      </c>
      <c r="L2060" s="181" t="s">
        <v>2272</v>
      </c>
      <c r="M2060" s="181" t="s">
        <v>2272</v>
      </c>
      <c r="N2060" s="181" t="s">
        <v>2272</v>
      </c>
      <c r="O2060" s="181" t="s">
        <v>2272</v>
      </c>
      <c r="P2060" s="181" t="s">
        <v>2272</v>
      </c>
      <c r="Q2060" s="181" t="s">
        <v>2272</v>
      </c>
      <c r="R2060" s="181" t="s">
        <v>2272</v>
      </c>
      <c r="S2060" s="181" t="s">
        <v>2272</v>
      </c>
      <c r="T2060" s="181" t="s">
        <v>2272</v>
      </c>
      <c r="U2060" s="181" t="s">
        <v>2272</v>
      </c>
      <c r="V2060" s="181" t="s">
        <v>2272</v>
      </c>
      <c r="W2060" s="181" t="s">
        <v>2272</v>
      </c>
      <c r="X2060" s="181" t="s">
        <v>2272</v>
      </c>
      <c r="Y2060" s="181" t="s">
        <v>2272</v>
      </c>
      <c r="Z2060" s="181" t="s">
        <v>2272</v>
      </c>
      <c r="AA2060" s="181" t="s">
        <v>2272</v>
      </c>
      <c r="AB2060" s="3"/>
      <c r="AC2060" s="3"/>
    </row>
    <row r="2061" spans="1:29" ht="31.5" customHeight="1">
      <c r="A2061" s="151" t="str">
        <f>'Reported burning'!A2061</f>
        <v>239b</v>
      </c>
      <c r="B2061" s="151" t="str">
        <f>'Reported burning'!B2061</f>
        <v>239b.1</v>
      </c>
      <c r="C2061" s="151" t="str">
        <f>'Reported burning'!C2061</f>
        <v>Human, deliberate</v>
      </c>
      <c r="D2061" s="151" t="str">
        <f>'Reported burning'!D2061</f>
        <v>Pasture renewal</v>
      </c>
      <c r="E2061" s="151" t="str">
        <f>'Reported burning'!E2061</f>
        <v>Pastoralism, Migratory</v>
      </c>
      <c r="F2061" s="151" t="str">
        <f>'Reported burning'!F2061</f>
        <v>Shrubland (Mixed forest &amp; grassland)</v>
      </c>
      <c r="G2061" s="151" t="str">
        <f>'Reported burning'!G2061</f>
        <v>ND</v>
      </c>
      <c r="H2061" s="151" t="str">
        <f>'Reported burning'!H2061</f>
        <v>Presence</v>
      </c>
      <c r="I2061" s="5"/>
      <c r="J2061" s="181" t="s">
        <v>2272</v>
      </c>
      <c r="K2061" s="181" t="s">
        <v>2272</v>
      </c>
      <c r="L2061" s="181" t="s">
        <v>2272</v>
      </c>
      <c r="M2061" s="181" t="s">
        <v>2272</v>
      </c>
      <c r="N2061" s="181" t="s">
        <v>2272</v>
      </c>
      <c r="O2061" s="181" t="s">
        <v>2272</v>
      </c>
      <c r="P2061" s="181" t="s">
        <v>2272</v>
      </c>
      <c r="Q2061" s="181" t="s">
        <v>2272</v>
      </c>
      <c r="R2061" s="181" t="s">
        <v>2272</v>
      </c>
      <c r="S2061" s="181" t="s">
        <v>2272</v>
      </c>
      <c r="T2061" s="181" t="s">
        <v>2272</v>
      </c>
      <c r="U2061" s="181" t="s">
        <v>2272</v>
      </c>
      <c r="V2061" s="181" t="s">
        <v>2272</v>
      </c>
      <c r="W2061" s="181" t="s">
        <v>2272</v>
      </c>
      <c r="X2061" s="181" t="s">
        <v>2272</v>
      </c>
      <c r="Y2061" s="181" t="s">
        <v>2272</v>
      </c>
      <c r="Z2061" s="181" t="s">
        <v>2272</v>
      </c>
      <c r="AA2061" s="181" t="s">
        <v>2272</v>
      </c>
      <c r="AB2061" s="3"/>
      <c r="AC2061" s="3"/>
    </row>
    <row r="2062" spans="1:29" ht="31.5" customHeight="1">
      <c r="A2062" s="151" t="str">
        <f>'Reported burning'!A2062</f>
        <v>239c</v>
      </c>
      <c r="B2062" s="151" t="str">
        <f>'Reported burning'!B2062</f>
        <v>239c.1</v>
      </c>
      <c r="C2062" s="151" t="str">
        <f>'Reported burning'!C2062</f>
        <v>Human, deliberate</v>
      </c>
      <c r="D2062" s="151" t="str">
        <f>'Reported burning'!D2062</f>
        <v>Hunting</v>
      </c>
      <c r="E2062" s="151" t="str">
        <f>'Reported burning'!E2062</f>
        <v>Forestry, Traditional</v>
      </c>
      <c r="F2062" s="151" t="str">
        <f>'Reported burning'!F2062</f>
        <v>Shrubland (Mixed forest &amp; grassland)</v>
      </c>
      <c r="G2062" s="151" t="str">
        <f>'Reported burning'!G2062</f>
        <v>ND</v>
      </c>
      <c r="H2062" s="151" t="str">
        <f>'Reported burning'!H2062</f>
        <v>Presence</v>
      </c>
      <c r="I2062" s="5"/>
      <c r="J2062" s="181" t="s">
        <v>2272</v>
      </c>
      <c r="K2062" s="181" t="s">
        <v>2272</v>
      </c>
      <c r="L2062" s="181" t="s">
        <v>2272</v>
      </c>
      <c r="M2062" s="181" t="s">
        <v>2272</v>
      </c>
      <c r="N2062" s="181" t="s">
        <v>2272</v>
      </c>
      <c r="O2062" s="181" t="s">
        <v>2272</v>
      </c>
      <c r="P2062" s="181" t="s">
        <v>2272</v>
      </c>
      <c r="Q2062" s="181" t="s">
        <v>2272</v>
      </c>
      <c r="R2062" s="181" t="s">
        <v>2272</v>
      </c>
      <c r="S2062" s="181" t="s">
        <v>2272</v>
      </c>
      <c r="T2062" s="181" t="s">
        <v>2272</v>
      </c>
      <c r="U2062" s="181" t="s">
        <v>2272</v>
      </c>
      <c r="V2062" s="181" t="s">
        <v>2272</v>
      </c>
      <c r="W2062" s="181" t="s">
        <v>2272</v>
      </c>
      <c r="X2062" s="181" t="s">
        <v>2272</v>
      </c>
      <c r="Y2062" s="181" t="s">
        <v>2272</v>
      </c>
      <c r="Z2062" s="181" t="s">
        <v>2272</v>
      </c>
      <c r="AA2062" s="181" t="s">
        <v>2272</v>
      </c>
      <c r="AB2062" s="3"/>
      <c r="AC2062" s="3"/>
    </row>
    <row r="2063" spans="1:29" ht="35.5" customHeight="1">
      <c r="A2063" s="151" t="str">
        <f>'Reported burning'!A2063</f>
        <v>240a</v>
      </c>
      <c r="B2063" s="151" t="str">
        <f>'Reported burning'!B2063</f>
        <v>240a.1</v>
      </c>
      <c r="C2063" s="151" t="str">
        <f>'Reported burning'!C2063</f>
        <v>Human, deliberate</v>
      </c>
      <c r="D2063" s="151" t="str">
        <f>'Reported burning'!D2063</f>
        <v>Land clearance</v>
      </c>
      <c r="E2063" s="151" t="str">
        <f>'Reported burning'!E2063</f>
        <v>Cattle, Extensive</v>
      </c>
      <c r="F2063" s="151" t="str">
        <f>'Reported burning'!F2063</f>
        <v>Shrubland (Mixed forest &amp; grassland)</v>
      </c>
      <c r="G2063" s="151" t="str">
        <f>'Reported burning'!G2063</f>
        <v>ND</v>
      </c>
      <c r="H2063" s="151" t="str">
        <f>'Reported burning'!H2063</f>
        <v>Presence</v>
      </c>
      <c r="I2063" s="5"/>
      <c r="J2063" s="181" t="s">
        <v>2272</v>
      </c>
      <c r="K2063" s="181" t="s">
        <v>2272</v>
      </c>
      <c r="L2063" s="181" t="s">
        <v>2272</v>
      </c>
      <c r="M2063" s="181" t="s">
        <v>2272</v>
      </c>
      <c r="N2063" s="181" t="s">
        <v>2272</v>
      </c>
      <c r="O2063" s="181" t="s">
        <v>2272</v>
      </c>
      <c r="P2063" s="181" t="s">
        <v>2272</v>
      </c>
      <c r="Q2063" s="181" t="s">
        <v>2272</v>
      </c>
      <c r="R2063" s="181" t="s">
        <v>2272</v>
      </c>
      <c r="S2063" s="181" t="s">
        <v>2272</v>
      </c>
      <c r="T2063" s="181" t="s">
        <v>2272</v>
      </c>
      <c r="U2063" s="181" t="s">
        <v>2272</v>
      </c>
      <c r="V2063" s="181" t="s">
        <v>2272</v>
      </c>
      <c r="W2063" s="181" t="s">
        <v>2272</v>
      </c>
      <c r="X2063" s="181" t="s">
        <v>2272</v>
      </c>
      <c r="Y2063" s="181" t="s">
        <v>2272</v>
      </c>
      <c r="Z2063" s="181" t="s">
        <v>2272</v>
      </c>
      <c r="AA2063" s="181" t="s">
        <v>2272</v>
      </c>
      <c r="AB2063" s="3"/>
      <c r="AC2063" s="3"/>
    </row>
    <row r="2064" spans="1:29" ht="35.5" customHeight="1">
      <c r="A2064" s="151" t="str">
        <f>'Reported burning'!A2064</f>
        <v>240a</v>
      </c>
      <c r="B2064" s="151" t="str">
        <f>'Reported burning'!B2064</f>
        <v>240a.2</v>
      </c>
      <c r="C2064" s="151" t="str">
        <f>'Reported burning'!C2064</f>
        <v>Human, deliberate</v>
      </c>
      <c r="D2064" s="151" t="str">
        <f>'Reported burning'!D2064</f>
        <v>Domestic</v>
      </c>
      <c r="E2064" s="151" t="str">
        <f>'Reported burning'!E2064</f>
        <v>Urban planner</v>
      </c>
      <c r="F2064" s="151" t="str">
        <f>'Reported burning'!F2064</f>
        <v>ND</v>
      </c>
      <c r="G2064" s="151" t="str">
        <f>'Reported burning'!G2064</f>
        <v>ND</v>
      </c>
      <c r="H2064" s="151" t="str">
        <f>'Reported burning'!H2064</f>
        <v>Presence</v>
      </c>
      <c r="I2064" s="5"/>
      <c r="J2064" s="181" t="s">
        <v>2272</v>
      </c>
      <c r="K2064" s="181" t="s">
        <v>2272</v>
      </c>
      <c r="L2064" s="181" t="s">
        <v>2272</v>
      </c>
      <c r="M2064" s="181" t="s">
        <v>2272</v>
      </c>
      <c r="N2064" s="181" t="s">
        <v>2272</v>
      </c>
      <c r="O2064" s="181" t="s">
        <v>2272</v>
      </c>
      <c r="P2064" s="181" t="s">
        <v>2272</v>
      </c>
      <c r="Q2064" s="181" t="s">
        <v>2272</v>
      </c>
      <c r="R2064" s="181" t="s">
        <v>2272</v>
      </c>
      <c r="S2064" s="181" t="s">
        <v>2272</v>
      </c>
      <c r="T2064" s="181" t="s">
        <v>2272</v>
      </c>
      <c r="U2064" s="181" t="s">
        <v>2272</v>
      </c>
      <c r="V2064" s="181" t="s">
        <v>2272</v>
      </c>
      <c r="W2064" s="181" t="s">
        <v>2272</v>
      </c>
      <c r="X2064" s="181" t="s">
        <v>2272</v>
      </c>
      <c r="Y2064" s="181" t="s">
        <v>2272</v>
      </c>
      <c r="Z2064" s="181" t="s">
        <v>2272</v>
      </c>
      <c r="AA2064" s="181" t="s">
        <v>2272</v>
      </c>
      <c r="AB2064" s="3"/>
      <c r="AC2064" s="3"/>
    </row>
    <row r="2065" spans="1:29" ht="35.5" customHeight="1">
      <c r="A2065" s="151" t="str">
        <f>'Reported burning'!A2065</f>
        <v>240a</v>
      </c>
      <c r="B2065" s="151" t="str">
        <f>'Reported burning'!B2065</f>
        <v>240a.3</v>
      </c>
      <c r="C2065" s="151" t="str">
        <f>'Reported burning'!C2065</f>
        <v>Human, escaped</v>
      </c>
      <c r="D2065" s="151" t="str">
        <f>'Reported burning'!D2065</f>
        <v>Domestic</v>
      </c>
      <c r="E2065" s="151" t="str">
        <f>'Reported burning'!E2065</f>
        <v>Urban planner</v>
      </c>
      <c r="F2065" s="151" t="str">
        <f>'Reported burning'!F2065</f>
        <v>ND</v>
      </c>
      <c r="G2065" s="151" t="str">
        <f>'Reported burning'!G2065</f>
        <v>ND</v>
      </c>
      <c r="H2065" s="151" t="str">
        <f>'Reported burning'!H2065</f>
        <v>Presence</v>
      </c>
      <c r="I2065" s="5"/>
      <c r="J2065" s="181" t="s">
        <v>2272</v>
      </c>
      <c r="K2065" s="181" t="s">
        <v>2272</v>
      </c>
      <c r="L2065" s="181" t="s">
        <v>2272</v>
      </c>
      <c r="M2065" s="181" t="s">
        <v>2272</v>
      </c>
      <c r="N2065" s="181" t="s">
        <v>2272</v>
      </c>
      <c r="O2065" s="181" t="s">
        <v>2272</v>
      </c>
      <c r="P2065" s="181" t="s">
        <v>2272</v>
      </c>
      <c r="Q2065" s="181" t="s">
        <v>2272</v>
      </c>
      <c r="R2065" s="181" t="s">
        <v>2272</v>
      </c>
      <c r="S2065" s="181" t="s">
        <v>2272</v>
      </c>
      <c r="T2065" s="181" t="s">
        <v>2272</v>
      </c>
      <c r="U2065" s="181" t="s">
        <v>2272</v>
      </c>
      <c r="V2065" s="181" t="s">
        <v>2272</v>
      </c>
      <c r="W2065" s="181" t="s">
        <v>2272</v>
      </c>
      <c r="X2065" s="181" t="s">
        <v>2272</v>
      </c>
      <c r="Y2065" s="181" t="s">
        <v>2272</v>
      </c>
      <c r="Z2065" s="181" t="s">
        <v>2272</v>
      </c>
      <c r="AA2065" s="181" t="s">
        <v>2272</v>
      </c>
      <c r="AB2065" s="3"/>
      <c r="AC2065" s="3"/>
    </row>
    <row r="2066" spans="1:29" ht="35.5" customHeight="1">
      <c r="A2066" s="151" t="str">
        <f>'Reported burning'!A2066</f>
        <v>240a</v>
      </c>
      <c r="B2066" s="151" t="str">
        <f>'Reported burning'!B2066</f>
        <v>240a.4</v>
      </c>
      <c r="C2066" s="151" t="str">
        <f>'Reported burning'!C2066</f>
        <v>Human, deliberate</v>
      </c>
      <c r="D2066" s="151" t="str">
        <f>'Reported burning'!D2066</f>
        <v>Domestic</v>
      </c>
      <c r="E2066" s="151" t="str">
        <f>'Reported burning'!E2066</f>
        <v>Cattle, Extensive</v>
      </c>
      <c r="F2066" s="151" t="str">
        <f>'Reported burning'!F2066</f>
        <v>ND</v>
      </c>
      <c r="G2066" s="151" t="str">
        <f>'Reported burning'!G2066</f>
        <v>ND</v>
      </c>
      <c r="H2066" s="151" t="str">
        <f>'Reported burning'!H2066</f>
        <v>Presence</v>
      </c>
      <c r="I2066" s="5"/>
      <c r="J2066" s="181" t="s">
        <v>2272</v>
      </c>
      <c r="K2066" s="181" t="s">
        <v>2272</v>
      </c>
      <c r="L2066" s="181" t="s">
        <v>2272</v>
      </c>
      <c r="M2066" s="181" t="s">
        <v>2272</v>
      </c>
      <c r="N2066" s="181" t="s">
        <v>2272</v>
      </c>
      <c r="O2066" s="181" t="s">
        <v>2272</v>
      </c>
      <c r="P2066" s="181" t="s">
        <v>2272</v>
      </c>
      <c r="Q2066" s="181" t="s">
        <v>2272</v>
      </c>
      <c r="R2066" s="181" t="s">
        <v>2272</v>
      </c>
      <c r="S2066" s="181" t="s">
        <v>2272</v>
      </c>
      <c r="T2066" s="181" t="s">
        <v>2272</v>
      </c>
      <c r="U2066" s="181" t="s">
        <v>2272</v>
      </c>
      <c r="V2066" s="181" t="s">
        <v>2272</v>
      </c>
      <c r="W2066" s="181" t="s">
        <v>2272</v>
      </c>
      <c r="X2066" s="181" t="s">
        <v>2272</v>
      </c>
      <c r="Y2066" s="181" t="s">
        <v>2272</v>
      </c>
      <c r="Z2066" s="181" t="s">
        <v>2272</v>
      </c>
      <c r="AA2066" s="181" t="s">
        <v>2272</v>
      </c>
      <c r="AB2066" s="3"/>
      <c r="AC2066" s="3"/>
    </row>
    <row r="2067" spans="1:29" ht="35.5" customHeight="1">
      <c r="A2067" s="151" t="str">
        <f>'Reported burning'!A2067</f>
        <v>240a</v>
      </c>
      <c r="B2067" s="151" t="str">
        <f>'Reported burning'!B2067</f>
        <v>240a.5</v>
      </c>
      <c r="C2067" s="151" t="str">
        <f>'Reported burning'!C2067</f>
        <v>Human, escaped</v>
      </c>
      <c r="D2067" s="151" t="str">
        <f>'Reported burning'!D2067</f>
        <v>Domestic</v>
      </c>
      <c r="E2067" s="151" t="str">
        <f>'Reported burning'!E2067</f>
        <v>Cattle, Extensive</v>
      </c>
      <c r="F2067" s="151" t="str">
        <f>'Reported burning'!F2067</f>
        <v>ND</v>
      </c>
      <c r="G2067" s="151" t="str">
        <f>'Reported burning'!G2067</f>
        <v>ND</v>
      </c>
      <c r="H2067" s="151" t="str">
        <f>'Reported burning'!H2067</f>
        <v>Presence</v>
      </c>
      <c r="I2067" s="5"/>
      <c r="J2067" s="181" t="s">
        <v>2272</v>
      </c>
      <c r="K2067" s="181" t="s">
        <v>2272</v>
      </c>
      <c r="L2067" s="181" t="s">
        <v>2272</v>
      </c>
      <c r="M2067" s="181" t="s">
        <v>2272</v>
      </c>
      <c r="N2067" s="181" t="s">
        <v>2272</v>
      </c>
      <c r="O2067" s="181" t="s">
        <v>2272</v>
      </c>
      <c r="P2067" s="181" t="s">
        <v>2272</v>
      </c>
      <c r="Q2067" s="181" t="s">
        <v>2272</v>
      </c>
      <c r="R2067" s="181" t="s">
        <v>2272</v>
      </c>
      <c r="S2067" s="181" t="s">
        <v>2272</v>
      </c>
      <c r="T2067" s="181" t="s">
        <v>2272</v>
      </c>
      <c r="U2067" s="181" t="s">
        <v>2272</v>
      </c>
      <c r="V2067" s="181" t="s">
        <v>2272</v>
      </c>
      <c r="W2067" s="181" t="s">
        <v>2272</v>
      </c>
      <c r="X2067" s="181" t="s">
        <v>2272</v>
      </c>
      <c r="Y2067" s="181" t="s">
        <v>2272</v>
      </c>
      <c r="Z2067" s="181" t="s">
        <v>2272</v>
      </c>
      <c r="AA2067" s="181" t="s">
        <v>2272</v>
      </c>
      <c r="AB2067" s="3"/>
      <c r="AC2067" s="3"/>
    </row>
    <row r="2068" spans="1:29" ht="35.5" customHeight="1">
      <c r="A2068" s="151" t="str">
        <f>'Reported burning'!A2068</f>
        <v>240a</v>
      </c>
      <c r="B2068" s="151" t="str">
        <f>'Reported burning'!B2068</f>
        <v>240a.6</v>
      </c>
      <c r="C2068" s="151" t="str">
        <f>'Reported burning'!C2068</f>
        <v>Human, deliberate</v>
      </c>
      <c r="D2068" s="151" t="str">
        <f>'Reported burning'!D2068</f>
        <v>Cultural &amp; Spiritual</v>
      </c>
      <c r="E2068" s="151" t="str">
        <f>'Reported burning'!E2068</f>
        <v>Cattle, Extensive</v>
      </c>
      <c r="F2068" s="151" t="str">
        <f>'Reported burning'!F2068</f>
        <v>ND</v>
      </c>
      <c r="G2068" s="151" t="str">
        <f>'Reported burning'!G2068</f>
        <v>ND</v>
      </c>
      <c r="H2068" s="151" t="str">
        <f>'Reported burning'!H2068</f>
        <v>Presence</v>
      </c>
      <c r="I2068" s="5"/>
      <c r="J2068" s="181" t="s">
        <v>2272</v>
      </c>
      <c r="K2068" s="181" t="s">
        <v>2272</v>
      </c>
      <c r="L2068" s="181" t="s">
        <v>2272</v>
      </c>
      <c r="M2068" s="181" t="s">
        <v>2272</v>
      </c>
      <c r="N2068" s="181" t="s">
        <v>2272</v>
      </c>
      <c r="O2068" s="181" t="s">
        <v>2272</v>
      </c>
      <c r="P2068" s="181" t="s">
        <v>2272</v>
      </c>
      <c r="Q2068" s="181" t="s">
        <v>2272</v>
      </c>
      <c r="R2068" s="181" t="s">
        <v>2272</v>
      </c>
      <c r="S2068" s="181" t="s">
        <v>2272</v>
      </c>
      <c r="T2068" s="181" t="s">
        <v>2272</v>
      </c>
      <c r="U2068" s="181" t="s">
        <v>2272</v>
      </c>
      <c r="V2068" s="181" t="s">
        <v>2272</v>
      </c>
      <c r="W2068" s="181" t="s">
        <v>2272</v>
      </c>
      <c r="X2068" s="181" t="s">
        <v>2272</v>
      </c>
      <c r="Y2068" s="181" t="s">
        <v>2272</v>
      </c>
      <c r="Z2068" s="181" t="s">
        <v>2272</v>
      </c>
      <c r="AA2068" s="181" t="s">
        <v>2272</v>
      </c>
      <c r="AB2068" s="3"/>
      <c r="AC2068" s="3"/>
    </row>
    <row r="2069" spans="1:29" ht="35.5" customHeight="1">
      <c r="A2069" s="151" t="str">
        <f>'Reported burning'!A2069</f>
        <v>240a</v>
      </c>
      <c r="B2069" s="151" t="str">
        <f>'Reported burning'!B2069</f>
        <v>240a.7</v>
      </c>
      <c r="C2069" s="151" t="str">
        <f>'Reported burning'!C2069</f>
        <v>Human, escaped</v>
      </c>
      <c r="D2069" s="151" t="str">
        <f>'Reported burning'!D2069</f>
        <v>Domestic</v>
      </c>
      <c r="E2069" s="151" t="str">
        <f>'Reported burning'!E2069</f>
        <v>Tourism manager</v>
      </c>
      <c r="F2069" s="151" t="str">
        <f>'Reported burning'!F2069</f>
        <v>ND</v>
      </c>
      <c r="G2069" s="151" t="str">
        <f>'Reported burning'!G2069</f>
        <v>ND</v>
      </c>
      <c r="H2069" s="151" t="str">
        <f>'Reported burning'!H2069</f>
        <v>Presence</v>
      </c>
      <c r="I2069" s="5"/>
      <c r="J2069" s="181" t="s">
        <v>2272</v>
      </c>
      <c r="K2069" s="181" t="s">
        <v>2272</v>
      </c>
      <c r="L2069" s="181" t="s">
        <v>2272</v>
      </c>
      <c r="M2069" s="181" t="s">
        <v>2272</v>
      </c>
      <c r="N2069" s="181" t="s">
        <v>2272</v>
      </c>
      <c r="O2069" s="181" t="s">
        <v>2272</v>
      </c>
      <c r="P2069" s="181" t="s">
        <v>2272</v>
      </c>
      <c r="Q2069" s="181" t="s">
        <v>2272</v>
      </c>
      <c r="R2069" s="181" t="s">
        <v>2272</v>
      </c>
      <c r="S2069" s="181" t="s">
        <v>2272</v>
      </c>
      <c r="T2069" s="181" t="s">
        <v>2272</v>
      </c>
      <c r="U2069" s="181" t="s">
        <v>2272</v>
      </c>
      <c r="V2069" s="181" t="s">
        <v>2272</v>
      </c>
      <c r="W2069" s="181" t="s">
        <v>2272</v>
      </c>
      <c r="X2069" s="181" t="s">
        <v>2272</v>
      </c>
      <c r="Y2069" s="181" t="s">
        <v>2272</v>
      </c>
      <c r="Z2069" s="181" t="s">
        <v>2272</v>
      </c>
      <c r="AA2069" s="181" t="s">
        <v>2272</v>
      </c>
      <c r="AB2069" s="3"/>
      <c r="AC2069" s="3"/>
    </row>
    <row r="2070" spans="1:29" ht="35.5" customHeight="1">
      <c r="A2070" s="151" t="str">
        <f>'Reported burning'!A2070</f>
        <v>240b</v>
      </c>
      <c r="B2070" s="151" t="str">
        <f>'Reported burning'!B2070</f>
        <v>240b.1</v>
      </c>
      <c r="C2070" s="151" t="str">
        <f>'Reported burning'!C2070</f>
        <v>Human, escaped</v>
      </c>
      <c r="D2070" s="151" t="str">
        <f>'Reported burning'!D2070</f>
        <v>ND</v>
      </c>
      <c r="E2070" s="151" t="str">
        <f>'Reported burning'!E2070</f>
        <v>All</v>
      </c>
      <c r="F2070" s="151" t="str">
        <f>'Reported burning'!F2070</f>
        <v>ND</v>
      </c>
      <c r="G2070" s="151" t="str">
        <f>'Reported burning'!G2070</f>
        <v>ND</v>
      </c>
      <c r="H2070" s="151" t="str">
        <f>'Reported burning'!H2070</f>
        <v>Presence</v>
      </c>
      <c r="I2070" s="5"/>
      <c r="J2070" s="181" t="s">
        <v>2272</v>
      </c>
      <c r="K2070" s="21" t="s">
        <v>2362</v>
      </c>
      <c r="L2070" s="181" t="s">
        <v>2272</v>
      </c>
      <c r="M2070" s="181" t="s">
        <v>2272</v>
      </c>
      <c r="N2070" s="181" t="s">
        <v>2272</v>
      </c>
      <c r="O2070" s="181" t="s">
        <v>2272</v>
      </c>
      <c r="P2070" s="181" t="s">
        <v>2272</v>
      </c>
      <c r="Q2070" s="181" t="s">
        <v>2272</v>
      </c>
      <c r="R2070" s="181" t="s">
        <v>2272</v>
      </c>
      <c r="S2070" s="181" t="s">
        <v>2272</v>
      </c>
      <c r="T2070" s="181" t="s">
        <v>2272</v>
      </c>
      <c r="U2070" s="181" t="s">
        <v>2272</v>
      </c>
      <c r="V2070" s="181" t="s">
        <v>2272</v>
      </c>
      <c r="W2070" s="181" t="s">
        <v>2272</v>
      </c>
      <c r="X2070" s="181" t="s">
        <v>2272</v>
      </c>
      <c r="Y2070" s="181" t="s">
        <v>2272</v>
      </c>
      <c r="Z2070" s="181" t="s">
        <v>2272</v>
      </c>
      <c r="AA2070" s="181" t="s">
        <v>2272</v>
      </c>
      <c r="AB2070" s="3"/>
      <c r="AC2070" s="3"/>
    </row>
    <row r="2071" spans="1:29" ht="32.5" customHeight="1">
      <c r="A2071" s="151" t="str">
        <f>'Reported burning'!A2071</f>
        <v>240b</v>
      </c>
      <c r="B2071" s="151" t="str">
        <f>'Reported burning'!B2071</f>
        <v>240b.2</v>
      </c>
      <c r="C2071" s="151" t="str">
        <f>'Reported burning'!C2071</f>
        <v>Human, deliberate</v>
      </c>
      <c r="D2071" s="151" t="str">
        <f>'Reported burning'!D2071</f>
        <v>Arson</v>
      </c>
      <c r="E2071" s="151" t="str">
        <f>'Reported burning'!E2071</f>
        <v>ND</v>
      </c>
      <c r="F2071" s="151" t="str">
        <f>'Reported burning'!F2071</f>
        <v>ND</v>
      </c>
      <c r="G2071" s="151" t="str">
        <f>'Reported burning'!G2071</f>
        <v>ND</v>
      </c>
      <c r="H2071" s="151" t="str">
        <f>'Reported burning'!H2071</f>
        <v>Presence</v>
      </c>
      <c r="I2071" s="5"/>
      <c r="J2071" s="181" t="s">
        <v>2272</v>
      </c>
      <c r="K2071" s="21" t="s">
        <v>2360</v>
      </c>
      <c r="L2071" s="181" t="s">
        <v>2272</v>
      </c>
      <c r="M2071" s="181" t="s">
        <v>2272</v>
      </c>
      <c r="N2071" s="181" t="s">
        <v>2272</v>
      </c>
      <c r="O2071" s="181" t="s">
        <v>2272</v>
      </c>
      <c r="P2071" s="181" t="s">
        <v>2272</v>
      </c>
      <c r="Q2071" s="181" t="s">
        <v>2272</v>
      </c>
      <c r="R2071" s="181" t="s">
        <v>2272</v>
      </c>
      <c r="S2071" s="181" t="s">
        <v>2272</v>
      </c>
      <c r="T2071" s="181" t="s">
        <v>2272</v>
      </c>
      <c r="U2071" s="181" t="s">
        <v>2272</v>
      </c>
      <c r="V2071" s="181" t="s">
        <v>2272</v>
      </c>
      <c r="W2071" s="181" t="s">
        <v>2272</v>
      </c>
      <c r="X2071" s="181" t="s">
        <v>2272</v>
      </c>
      <c r="Y2071" s="181" t="s">
        <v>2272</v>
      </c>
      <c r="Z2071" s="181" t="s">
        <v>2272</v>
      </c>
      <c r="AA2071" s="181" t="s">
        <v>2272</v>
      </c>
      <c r="AB2071" s="3"/>
      <c r="AC2071" s="3"/>
    </row>
    <row r="2072" spans="1:29" ht="100" customHeight="1">
      <c r="A2072" s="151" t="str">
        <f>'Reported burning'!A2072</f>
        <v>241a</v>
      </c>
      <c r="B2072" s="151" t="str">
        <f>'Reported burning'!B2072</f>
        <v>241a.1</v>
      </c>
      <c r="C2072" s="151" t="str">
        <f>'Reported burning'!C2072</f>
        <v>Human, deliberate</v>
      </c>
      <c r="D2072" s="151" t="str">
        <f>'Reported burning'!D2072</f>
        <v>Conservation</v>
      </c>
      <c r="E2072" s="151" t="str">
        <f>'Reported burning'!E2072</f>
        <v>Cattle, Intensive</v>
      </c>
      <c r="F2072" s="151" t="str">
        <f>'Reported burning'!F2072</f>
        <v>Grassland</v>
      </c>
      <c r="G2072" s="151" t="str">
        <f>'Reported burning'!G2072</f>
        <v>ND</v>
      </c>
      <c r="H2072" s="151"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21">
        <v>0</v>
      </c>
      <c r="X2072" s="4" t="s">
        <v>2272</v>
      </c>
      <c r="Y2072" s="4" t="s">
        <v>2272</v>
      </c>
      <c r="Z2072" s="4" t="s">
        <v>2272</v>
      </c>
      <c r="AA2072" s="4" t="s">
        <v>2272</v>
      </c>
      <c r="AB2072" s="4" t="s">
        <v>5898</v>
      </c>
      <c r="AC2072" s="3"/>
    </row>
    <row r="2073" spans="1:29" ht="100" customHeight="1">
      <c r="A2073" s="151" t="str">
        <f>'Reported burning'!A2073</f>
        <v>241a</v>
      </c>
      <c r="B2073" s="151" t="str">
        <f>'Reported burning'!B2073</f>
        <v>241a.2</v>
      </c>
      <c r="C2073" s="151" t="str">
        <f>'Reported burning'!C2073</f>
        <v>Human, deliberate</v>
      </c>
      <c r="D2073" s="151" t="str">
        <f>'Reported burning'!D2073</f>
        <v>Conservation</v>
      </c>
      <c r="E2073" s="151" t="str">
        <f>'Reported burning'!E2073</f>
        <v>Tourism manager</v>
      </c>
      <c r="F2073" s="151" t="str">
        <f>'Reported burning'!F2073</f>
        <v>Grassland</v>
      </c>
      <c r="G2073" s="151" t="str">
        <f>'Reported burning'!G2073</f>
        <v>ND</v>
      </c>
      <c r="H2073" s="151"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21">
        <v>0</v>
      </c>
      <c r="X2073" s="4" t="s">
        <v>2272</v>
      </c>
      <c r="Y2073" s="4" t="s">
        <v>2272</v>
      </c>
      <c r="Z2073" s="4" t="s">
        <v>2272</v>
      </c>
      <c r="AA2073" s="4" t="s">
        <v>2272</v>
      </c>
      <c r="AB2073" s="4" t="s">
        <v>5898</v>
      </c>
      <c r="AC2073" s="3"/>
    </row>
    <row r="2074" spans="1:29" ht="100" customHeight="1">
      <c r="A2074" s="151" t="str">
        <f>'Reported burning'!A2074</f>
        <v>241a</v>
      </c>
      <c r="B2074" s="151" t="str">
        <f>'Reported burning'!B2074</f>
        <v>241a.3</v>
      </c>
      <c r="C2074" s="151" t="str">
        <f>'Reported burning'!C2074</f>
        <v>Human, deliberate</v>
      </c>
      <c r="D2074" s="151" t="str">
        <f>'Reported burning'!D2074</f>
        <v>Pasture renewal</v>
      </c>
      <c r="E2074" s="151" t="str">
        <f>'Reported burning'!E2074</f>
        <v>Cattle, Intensive</v>
      </c>
      <c r="F2074" s="151" t="str">
        <f>'Reported burning'!F2074</f>
        <v>Grassland</v>
      </c>
      <c r="G2074" s="151" t="str">
        <f>'Reported burning'!G2074</f>
        <v>ND</v>
      </c>
      <c r="H2074" s="151"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21">
        <v>0</v>
      </c>
      <c r="X2074" s="4" t="s">
        <v>2272</v>
      </c>
      <c r="Y2074" s="4" t="s">
        <v>2272</v>
      </c>
      <c r="Z2074" s="4" t="s">
        <v>2272</v>
      </c>
      <c r="AA2074" s="4" t="s">
        <v>2272</v>
      </c>
      <c r="AB2074" s="4" t="s">
        <v>5898</v>
      </c>
      <c r="AC2074" s="3"/>
    </row>
    <row r="2075" spans="1:29" ht="100" customHeight="1">
      <c r="A2075" s="151" t="str">
        <f>'Reported burning'!A2075</f>
        <v>241a</v>
      </c>
      <c r="B2075" s="151" t="str">
        <f>'Reported burning'!B2075</f>
        <v>241a.4</v>
      </c>
      <c r="C2075" s="151" t="str">
        <f>'Reported burning'!C2075</f>
        <v>Human, deliberate</v>
      </c>
      <c r="D2075" s="151" t="str">
        <f>'Reported burning'!D2075</f>
        <v>Conservation</v>
      </c>
      <c r="E2075" s="151" t="str">
        <f>'Reported burning'!E2075</f>
        <v>Biodiversity conservation</v>
      </c>
      <c r="F2075" s="151" t="str">
        <f>'Reported burning'!F2075</f>
        <v>Grassland</v>
      </c>
      <c r="G2075" s="151" t="str">
        <f>'Reported burning'!G2075</f>
        <v>ND</v>
      </c>
      <c r="H2075" s="151" t="str">
        <f>'Reported burning'!H2075</f>
        <v>Presence</v>
      </c>
      <c r="I2075" s="5"/>
      <c r="J2075" s="6" t="s">
        <v>2272</v>
      </c>
      <c r="K2075" s="6" t="s">
        <v>2272</v>
      </c>
      <c r="L2075" s="6" t="s">
        <v>2272</v>
      </c>
      <c r="M2075" s="6" t="s">
        <v>2272</v>
      </c>
      <c r="N2075" s="6" t="s">
        <v>2272</v>
      </c>
      <c r="O2075" s="6" t="s">
        <v>2272</v>
      </c>
      <c r="P2075" s="6" t="s">
        <v>2272</v>
      </c>
      <c r="Q2075" s="6" t="s">
        <v>2272</v>
      </c>
      <c r="R2075" s="6" t="s">
        <v>2272</v>
      </c>
      <c r="S2075" s="6" t="s">
        <v>2272</v>
      </c>
      <c r="T2075" s="6" t="s">
        <v>2272</v>
      </c>
      <c r="U2075" s="6" t="s">
        <v>2272</v>
      </c>
      <c r="V2075" s="6" t="s">
        <v>2272</v>
      </c>
      <c r="W2075" s="6" t="s">
        <v>2272</v>
      </c>
      <c r="X2075" s="4" t="s">
        <v>2272</v>
      </c>
      <c r="Y2075" s="4" t="s">
        <v>2272</v>
      </c>
      <c r="Z2075" s="4" t="s">
        <v>2272</v>
      </c>
      <c r="AA2075" s="4" t="s">
        <v>2272</v>
      </c>
      <c r="AB2075" s="4" t="s">
        <v>5899</v>
      </c>
      <c r="AC2075" s="3"/>
    </row>
    <row r="2076" spans="1:29" ht="33" customHeight="1">
      <c r="A2076" s="151" t="str">
        <f>'Reported burning'!A2076</f>
        <v>242a</v>
      </c>
      <c r="B2076" s="151" t="str">
        <f>'Reported burning'!B2076</f>
        <v>242a.1</v>
      </c>
      <c r="C2076" s="151" t="str">
        <f>'Reported burning'!C2076</f>
        <v>Human, deliberate</v>
      </c>
      <c r="D2076" s="151" t="str">
        <f>'Reported burning'!D2076</f>
        <v>Rangeland management</v>
      </c>
      <c r="E2076" s="151" t="str">
        <f>'Reported burning'!E2076</f>
        <v>Tourism manager</v>
      </c>
      <c r="F2076" s="151" t="str">
        <f>'Reported burning'!F2076</f>
        <v>Grassland</v>
      </c>
      <c r="G2076" s="151" t="str">
        <f>'Reported burning'!G2076</f>
        <v>ND</v>
      </c>
      <c r="H2076" s="151" t="str">
        <f>'Reported burning'!H2076</f>
        <v>Presence</v>
      </c>
      <c r="I2076" s="5"/>
      <c r="J2076" s="6" t="s">
        <v>2272</v>
      </c>
      <c r="K2076" s="6" t="s">
        <v>2272</v>
      </c>
      <c r="L2076" s="4" t="s">
        <v>2272</v>
      </c>
      <c r="M2076" s="4" t="s">
        <v>2272</v>
      </c>
      <c r="N2076" s="4" t="s">
        <v>2272</v>
      </c>
      <c r="O2076" s="4" t="s">
        <v>2272</v>
      </c>
      <c r="P2076" s="4" t="s">
        <v>2272</v>
      </c>
      <c r="Q2076" s="4" t="s">
        <v>2272</v>
      </c>
      <c r="R2076" s="4" t="s">
        <v>2272</v>
      </c>
      <c r="S2076" s="4" t="s">
        <v>2272</v>
      </c>
      <c r="T2076" s="4" t="s">
        <v>2272</v>
      </c>
      <c r="U2076" s="4" t="s">
        <v>2272</v>
      </c>
      <c r="V2076" s="4" t="s">
        <v>2272</v>
      </c>
      <c r="W2076" s="4" t="s">
        <v>2272</v>
      </c>
      <c r="X2076" s="4" t="s">
        <v>2272</v>
      </c>
      <c r="Y2076" s="4" t="s">
        <v>2272</v>
      </c>
      <c r="Z2076" s="4" t="s">
        <v>2272</v>
      </c>
      <c r="AA2076" s="4" t="s">
        <v>2272</v>
      </c>
      <c r="AB2076" s="3"/>
      <c r="AC2076" s="3"/>
    </row>
    <row r="2077" spans="1:29" ht="33" customHeight="1">
      <c r="A2077" s="151" t="str">
        <f>'Reported burning'!A2077</f>
        <v>242a</v>
      </c>
      <c r="B2077" s="151" t="str">
        <f>'Reported burning'!B2077</f>
        <v>242a.2</v>
      </c>
      <c r="C2077" s="151" t="str">
        <f>'Reported burning'!C2077</f>
        <v>Human, deliberate</v>
      </c>
      <c r="D2077" s="151" t="str">
        <f>'Reported burning'!D2077</f>
        <v>Rangeland management</v>
      </c>
      <c r="E2077" s="151" t="str">
        <f>'Reported burning'!E2077</f>
        <v>Cattle, Intensive</v>
      </c>
      <c r="F2077" s="151" t="str">
        <f>'Reported burning'!F2077</f>
        <v>Grassland</v>
      </c>
      <c r="G2077" s="151" t="str">
        <f>'Reported burning'!G2077</f>
        <v>ND</v>
      </c>
      <c r="H2077" s="151" t="str">
        <f>'Reported burning'!H2077</f>
        <v>Presence</v>
      </c>
      <c r="I2077" s="5"/>
      <c r="J2077" s="6" t="s">
        <v>2272</v>
      </c>
      <c r="K2077" s="6" t="s">
        <v>2272</v>
      </c>
      <c r="L2077" s="4" t="s">
        <v>2272</v>
      </c>
      <c r="M2077" s="4" t="s">
        <v>2272</v>
      </c>
      <c r="N2077" s="4" t="s">
        <v>2272</v>
      </c>
      <c r="O2077" s="4" t="s">
        <v>2272</v>
      </c>
      <c r="P2077" s="4" t="s">
        <v>2272</v>
      </c>
      <c r="Q2077" s="4" t="s">
        <v>2272</v>
      </c>
      <c r="R2077" s="4" t="s">
        <v>2272</v>
      </c>
      <c r="S2077" s="4" t="s">
        <v>2272</v>
      </c>
      <c r="T2077" s="4" t="s">
        <v>2272</v>
      </c>
      <c r="U2077" s="4" t="s">
        <v>2272</v>
      </c>
      <c r="V2077" s="4" t="s">
        <v>2272</v>
      </c>
      <c r="W2077" s="4" t="s">
        <v>2272</v>
      </c>
      <c r="X2077" s="4" t="s">
        <v>2272</v>
      </c>
      <c r="Y2077" s="4" t="s">
        <v>2272</v>
      </c>
      <c r="Z2077" s="4" t="s">
        <v>2272</v>
      </c>
      <c r="AA2077" s="4" t="s">
        <v>2272</v>
      </c>
      <c r="AB2077" s="3"/>
      <c r="AC2077" s="3"/>
    </row>
    <row r="2078" spans="1:29" ht="33" customHeight="1">
      <c r="A2078" s="151" t="str">
        <f>'Reported burning'!A2078</f>
        <v>243a</v>
      </c>
      <c r="B2078" s="151" t="str">
        <f>'Reported burning'!B2078</f>
        <v>243a.1</v>
      </c>
      <c r="C2078" s="151" t="str">
        <f>'Reported burning'!C2078</f>
        <v>Human, accidental</v>
      </c>
      <c r="D2078" s="151" t="str">
        <f>'Reported burning'!D2078</f>
        <v>Accidental</v>
      </c>
      <c r="E2078" s="151" t="str">
        <f>'Reported burning'!E2078</f>
        <v>ND</v>
      </c>
      <c r="F2078" s="151" t="str">
        <f>'Reported burning'!F2078</f>
        <v>ND</v>
      </c>
      <c r="G2078" s="151" t="str">
        <f>'Reported burning'!G2078</f>
        <v>ND</v>
      </c>
      <c r="H2078" s="151" t="str">
        <f>'Reported burning'!H2078</f>
        <v>Presence</v>
      </c>
      <c r="I2078" s="5"/>
      <c r="J2078" s="6" t="s">
        <v>2272</v>
      </c>
      <c r="K2078" s="6" t="s">
        <v>2272</v>
      </c>
      <c r="L2078" s="4" t="s">
        <v>2272</v>
      </c>
      <c r="M2078" s="4" t="s">
        <v>2272</v>
      </c>
      <c r="N2078" s="4" t="s">
        <v>2272</v>
      </c>
      <c r="O2078" s="4" t="s">
        <v>2272</v>
      </c>
      <c r="P2078" s="4" t="s">
        <v>2272</v>
      </c>
      <c r="Q2078" s="4" t="s">
        <v>2272</v>
      </c>
      <c r="R2078" s="4" t="s">
        <v>2272</v>
      </c>
      <c r="S2078" s="4" t="s">
        <v>2272</v>
      </c>
      <c r="T2078" s="4" t="s">
        <v>2272</v>
      </c>
      <c r="U2078" s="4" t="s">
        <v>2272</v>
      </c>
      <c r="V2078" s="4" t="s">
        <v>2272</v>
      </c>
      <c r="W2078" s="4" t="s">
        <v>2272</v>
      </c>
      <c r="X2078" s="4" t="s">
        <v>2272</v>
      </c>
      <c r="Y2078" s="4" t="s">
        <v>2272</v>
      </c>
      <c r="Z2078" s="4" t="s">
        <v>2272</v>
      </c>
      <c r="AA2078" s="4" t="s">
        <v>2272</v>
      </c>
      <c r="AB2078" s="3"/>
      <c r="AC2078" s="3"/>
    </row>
    <row r="2079" spans="1:29" ht="33" customHeight="1">
      <c r="A2079" s="151" t="str">
        <f>'Reported burning'!A2079</f>
        <v>243a</v>
      </c>
      <c r="B2079" s="151" t="str">
        <f>'Reported burning'!B2079</f>
        <v>243a.2</v>
      </c>
      <c r="C2079" s="151" t="str">
        <f>'Reported burning'!C2079</f>
        <v>Human, deliberate</v>
      </c>
      <c r="D2079" s="151" t="str">
        <f>'Reported burning'!D2079</f>
        <v>Arson</v>
      </c>
      <c r="E2079" s="151" t="str">
        <f>'Reported burning'!E2079</f>
        <v>Pastoralism, Migratory</v>
      </c>
      <c r="F2079" s="151" t="str">
        <f>'Reported burning'!F2079</f>
        <v>ND</v>
      </c>
      <c r="G2079" s="151" t="str">
        <f>'Reported burning'!G2079</f>
        <v>ND</v>
      </c>
      <c r="H2079" s="151" t="str">
        <f>'Reported burning'!H2079</f>
        <v>Presence</v>
      </c>
      <c r="I2079" s="5"/>
      <c r="J2079" s="6" t="s">
        <v>2272</v>
      </c>
      <c r="K2079" s="6" t="s">
        <v>2272</v>
      </c>
      <c r="L2079" s="4" t="s">
        <v>2272</v>
      </c>
      <c r="M2079" s="4" t="s">
        <v>2272</v>
      </c>
      <c r="N2079" s="4" t="s">
        <v>2272</v>
      </c>
      <c r="O2079" s="4" t="s">
        <v>2272</v>
      </c>
      <c r="P2079" s="4" t="s">
        <v>2272</v>
      </c>
      <c r="Q2079" s="4" t="s">
        <v>2272</v>
      </c>
      <c r="R2079" s="4" t="s">
        <v>2272</v>
      </c>
      <c r="S2079" s="4" t="s">
        <v>2272</v>
      </c>
      <c r="T2079" s="4" t="s">
        <v>2272</v>
      </c>
      <c r="U2079" s="4" t="s">
        <v>2272</v>
      </c>
      <c r="V2079" s="4" t="s">
        <v>2272</v>
      </c>
      <c r="W2079" s="4" t="s">
        <v>2272</v>
      </c>
      <c r="X2079" s="4" t="s">
        <v>2272</v>
      </c>
      <c r="Y2079" s="4" t="s">
        <v>2272</v>
      </c>
      <c r="Z2079" s="4" t="s">
        <v>2272</v>
      </c>
      <c r="AA2079" s="4" t="s">
        <v>2272</v>
      </c>
      <c r="AB2079" s="3"/>
      <c r="AC2079" s="3"/>
    </row>
    <row r="2080" spans="1:29" ht="33" customHeight="1">
      <c r="A2080" s="151" t="str">
        <f>'Reported burning'!A2080</f>
        <v>243a</v>
      </c>
      <c r="B2080" s="151" t="str">
        <f>'Reported burning'!B2080</f>
        <v>243a.3</v>
      </c>
      <c r="C2080" s="151" t="str">
        <f>'Reported burning'!C2080</f>
        <v>Human, deliberate</v>
      </c>
      <c r="D2080" s="151" t="str">
        <f>'Reported burning'!D2080</f>
        <v>Arson</v>
      </c>
      <c r="E2080" s="151" t="str">
        <f>'Reported burning'!E2080</f>
        <v>Forestry, Traditional</v>
      </c>
      <c r="F2080" s="151" t="str">
        <f>'Reported burning'!F2080</f>
        <v>ND</v>
      </c>
      <c r="G2080" s="151" t="str">
        <f>'Reported burning'!G2080</f>
        <v>ND</v>
      </c>
      <c r="H2080" s="151" t="str">
        <f>'Reported burning'!H2080</f>
        <v>Presence</v>
      </c>
      <c r="I2080" s="5"/>
      <c r="J2080" s="6" t="s">
        <v>2272</v>
      </c>
      <c r="K2080" s="6" t="s">
        <v>2272</v>
      </c>
      <c r="L2080" s="4" t="s">
        <v>2272</v>
      </c>
      <c r="M2080" s="4" t="s">
        <v>2272</v>
      </c>
      <c r="N2080" s="4" t="s">
        <v>2272</v>
      </c>
      <c r="O2080" s="4" t="s">
        <v>2272</v>
      </c>
      <c r="P2080" s="4" t="s">
        <v>2272</v>
      </c>
      <c r="Q2080" s="4" t="s">
        <v>2272</v>
      </c>
      <c r="R2080" s="4" t="s">
        <v>2272</v>
      </c>
      <c r="S2080" s="4" t="s">
        <v>2272</v>
      </c>
      <c r="T2080" s="4" t="s">
        <v>2272</v>
      </c>
      <c r="U2080" s="4" t="s">
        <v>2272</v>
      </c>
      <c r="V2080" s="4" t="s">
        <v>2272</v>
      </c>
      <c r="W2080" s="4" t="s">
        <v>2272</v>
      </c>
      <c r="X2080" s="4" t="s">
        <v>2272</v>
      </c>
      <c r="Y2080" s="4" t="s">
        <v>2272</v>
      </c>
      <c r="Z2080" s="4" t="s">
        <v>2272</v>
      </c>
      <c r="AA2080" s="4" t="s">
        <v>2272</v>
      </c>
      <c r="AB2080" s="3"/>
      <c r="AC2080" s="3"/>
    </row>
    <row r="2081" spans="1:29" ht="33" customHeight="1">
      <c r="A2081" s="151" t="str">
        <f>'Reported burning'!A2081</f>
        <v>243a</v>
      </c>
      <c r="B2081" s="151" t="str">
        <f>'Reported burning'!B2081</f>
        <v>243a.4</v>
      </c>
      <c r="C2081" s="151" t="str">
        <f>'Reported burning'!C2081</f>
        <v>Human, deliberate</v>
      </c>
      <c r="D2081" s="151" t="str">
        <f>'Reported burning'!D2081</f>
        <v>Harvesting of NTFP</v>
      </c>
      <c r="E2081" s="151" t="str">
        <f>'Reported burning'!E2081</f>
        <v>Forestry, Traditional</v>
      </c>
      <c r="F2081" s="151" t="str">
        <f>'Reported burning'!F2081</f>
        <v>ND</v>
      </c>
      <c r="G2081" s="151" t="str">
        <f>'Reported burning'!G2081</f>
        <v>ND</v>
      </c>
      <c r="H2081" s="151" t="str">
        <f>'Reported burning'!H2081</f>
        <v>Presence</v>
      </c>
      <c r="I2081" s="5"/>
      <c r="J2081" s="6" t="s">
        <v>2272</v>
      </c>
      <c r="K2081" s="6" t="s">
        <v>2272</v>
      </c>
      <c r="L2081" s="4" t="s">
        <v>2272</v>
      </c>
      <c r="M2081" s="4" t="s">
        <v>2272</v>
      </c>
      <c r="N2081" s="4" t="s">
        <v>2272</v>
      </c>
      <c r="O2081" s="4" t="s">
        <v>2272</v>
      </c>
      <c r="P2081" s="4" t="s">
        <v>2272</v>
      </c>
      <c r="Q2081" s="4" t="s">
        <v>2272</v>
      </c>
      <c r="R2081" s="4" t="s">
        <v>2272</v>
      </c>
      <c r="S2081" s="4" t="s">
        <v>2272</v>
      </c>
      <c r="T2081" s="4" t="s">
        <v>2272</v>
      </c>
      <c r="U2081" s="4" t="s">
        <v>2272</v>
      </c>
      <c r="V2081" s="4" t="s">
        <v>2272</v>
      </c>
      <c r="W2081" s="4" t="s">
        <v>2272</v>
      </c>
      <c r="X2081" s="4" t="s">
        <v>2272</v>
      </c>
      <c r="Y2081" s="4" t="s">
        <v>2272</v>
      </c>
      <c r="Z2081" s="4" t="s">
        <v>2272</v>
      </c>
      <c r="AA2081" s="4" t="s">
        <v>2272</v>
      </c>
      <c r="AB2081" s="3"/>
      <c r="AC2081" s="3"/>
    </row>
    <row r="2082" spans="1:29" ht="33" customHeight="1">
      <c r="A2082" s="151" t="str">
        <f>'Reported burning'!A2082</f>
        <v>243a</v>
      </c>
      <c r="B2082" s="151" t="str">
        <f>'Reported burning'!B2082</f>
        <v>243a.5</v>
      </c>
      <c r="C2082" s="151" t="str">
        <f>'Reported burning'!C2082</f>
        <v>Human, deliberate</v>
      </c>
      <c r="D2082" s="151" t="str">
        <f>'Reported burning'!D2082</f>
        <v>Hunting</v>
      </c>
      <c r="E2082" s="151" t="str">
        <f>'Reported burning'!E2082</f>
        <v>Forestry, Traditional</v>
      </c>
      <c r="F2082" s="151" t="str">
        <f>'Reported burning'!F2082</f>
        <v>ND</v>
      </c>
      <c r="G2082" s="151" t="str">
        <f>'Reported burning'!G2082</f>
        <v>ND</v>
      </c>
      <c r="H2082" s="151" t="str">
        <f>'Reported burning'!H2082</f>
        <v>Presence</v>
      </c>
      <c r="I2082" s="5"/>
      <c r="J2082" s="6" t="s">
        <v>2272</v>
      </c>
      <c r="K2082" s="6" t="s">
        <v>2272</v>
      </c>
      <c r="L2082" s="4" t="s">
        <v>2272</v>
      </c>
      <c r="M2082" s="4" t="s">
        <v>2272</v>
      </c>
      <c r="N2082" s="4" t="s">
        <v>2272</v>
      </c>
      <c r="O2082" s="4" t="s">
        <v>2272</v>
      </c>
      <c r="P2082" s="4" t="s">
        <v>2272</v>
      </c>
      <c r="Q2082" s="4" t="s">
        <v>2272</v>
      </c>
      <c r="R2082" s="4" t="s">
        <v>2272</v>
      </c>
      <c r="S2082" s="4" t="s">
        <v>2272</v>
      </c>
      <c r="T2082" s="4" t="s">
        <v>2272</v>
      </c>
      <c r="U2082" s="4" t="s">
        <v>2272</v>
      </c>
      <c r="V2082" s="4" t="s">
        <v>2272</v>
      </c>
      <c r="W2082" s="4" t="s">
        <v>2272</v>
      </c>
      <c r="X2082" s="4" t="s">
        <v>2272</v>
      </c>
      <c r="Y2082" s="4" t="s">
        <v>2272</v>
      </c>
      <c r="Z2082" s="4" t="s">
        <v>2272</v>
      </c>
      <c r="AA2082" s="4" t="s">
        <v>2272</v>
      </c>
      <c r="AB2082" s="3"/>
      <c r="AC2082" s="3"/>
    </row>
    <row r="2083" spans="1:29" ht="33" customHeight="1">
      <c r="A2083" s="151" t="str">
        <f>'Reported burning'!A2083</f>
        <v>243a</v>
      </c>
      <c r="B2083" s="151" t="str">
        <f>'Reported burning'!B2083</f>
        <v>243a.6</v>
      </c>
      <c r="C2083" s="151" t="str">
        <f>'Reported burning'!C2083</f>
        <v>Human, deliberate</v>
      </c>
      <c r="D2083" s="151" t="str">
        <f>'Reported burning'!D2083</f>
        <v>Pasture renewal</v>
      </c>
      <c r="E2083" s="151" t="str">
        <f>'Reported burning'!E2083</f>
        <v>Pastoralism, Migratory</v>
      </c>
      <c r="F2083" s="151" t="str">
        <f>'Reported burning'!F2083</f>
        <v>ND</v>
      </c>
      <c r="G2083" s="151" t="str">
        <f>'Reported burning'!G2083</f>
        <v>ND</v>
      </c>
      <c r="H2083" s="151" t="str">
        <f>'Reported burning'!H2083</f>
        <v>Presence</v>
      </c>
      <c r="I2083" s="5"/>
      <c r="J2083" s="6" t="s">
        <v>2272</v>
      </c>
      <c r="K2083" s="6" t="s">
        <v>2272</v>
      </c>
      <c r="L2083" s="4" t="s">
        <v>2272</v>
      </c>
      <c r="M2083" s="4" t="s">
        <v>2272</v>
      </c>
      <c r="N2083" s="4" t="s">
        <v>2272</v>
      </c>
      <c r="O2083" s="4" t="s">
        <v>2272</v>
      </c>
      <c r="P2083" s="4" t="s">
        <v>2272</v>
      </c>
      <c r="Q2083" s="4" t="s">
        <v>2272</v>
      </c>
      <c r="R2083" s="4" t="s">
        <v>2272</v>
      </c>
      <c r="S2083" s="4" t="s">
        <v>2272</v>
      </c>
      <c r="T2083" s="4" t="s">
        <v>2272</v>
      </c>
      <c r="U2083" s="4" t="s">
        <v>2272</v>
      </c>
      <c r="V2083" s="4" t="s">
        <v>2272</v>
      </c>
      <c r="W2083" s="4" t="s">
        <v>2272</v>
      </c>
      <c r="X2083" s="4" t="s">
        <v>2272</v>
      </c>
      <c r="Y2083" s="4" t="s">
        <v>2272</v>
      </c>
      <c r="Z2083" s="4" t="s">
        <v>2272</v>
      </c>
      <c r="AA2083" s="4" t="s">
        <v>2272</v>
      </c>
      <c r="AB2083" s="3"/>
      <c r="AC2083" s="3"/>
    </row>
    <row r="2084" spans="1:29" ht="33" customHeight="1">
      <c r="A2084" s="151" t="str">
        <f>'Reported burning'!A2084</f>
        <v>243a</v>
      </c>
      <c r="B2084" s="151" t="str">
        <f>'Reported burning'!B2084</f>
        <v>243a.7</v>
      </c>
      <c r="C2084" s="151" t="str">
        <f>'Reported burning'!C2084</f>
        <v>Human, deliberate</v>
      </c>
      <c r="D2084" s="151" t="str">
        <f>'Reported burning'!D2084</f>
        <v>Accessibility</v>
      </c>
      <c r="E2084" s="151" t="str">
        <f>'Reported burning'!E2084</f>
        <v>Pastoralism, Migratory</v>
      </c>
      <c r="F2084" s="151" t="str">
        <f>'Reported burning'!F2084</f>
        <v>ND</v>
      </c>
      <c r="G2084" s="151" t="str">
        <f>'Reported burning'!G2084</f>
        <v>ND</v>
      </c>
      <c r="H2084" s="151" t="str">
        <f>'Reported burning'!H2084</f>
        <v>Presence</v>
      </c>
      <c r="I2084" s="5"/>
      <c r="J2084" s="6" t="s">
        <v>2272</v>
      </c>
      <c r="K2084" s="6" t="s">
        <v>2272</v>
      </c>
      <c r="L2084" s="4" t="s">
        <v>2272</v>
      </c>
      <c r="M2084" s="4" t="s">
        <v>2272</v>
      </c>
      <c r="N2084" s="4" t="s">
        <v>2272</v>
      </c>
      <c r="O2084" s="4" t="s">
        <v>2272</v>
      </c>
      <c r="P2084" s="4" t="s">
        <v>2272</v>
      </c>
      <c r="Q2084" s="4" t="s">
        <v>2272</v>
      </c>
      <c r="R2084" s="4" t="s">
        <v>2272</v>
      </c>
      <c r="S2084" s="4" t="s">
        <v>2272</v>
      </c>
      <c r="T2084" s="4" t="s">
        <v>2272</v>
      </c>
      <c r="U2084" s="4" t="s">
        <v>2272</v>
      </c>
      <c r="V2084" s="4" t="s">
        <v>2272</v>
      </c>
      <c r="W2084" s="4" t="s">
        <v>2272</v>
      </c>
      <c r="X2084" s="4" t="s">
        <v>2272</v>
      </c>
      <c r="Y2084" s="4" t="s">
        <v>2272</v>
      </c>
      <c r="Z2084" s="4" t="s">
        <v>2272</v>
      </c>
      <c r="AA2084" s="4" t="s">
        <v>2272</v>
      </c>
      <c r="AB2084" s="3"/>
      <c r="AC2084" s="3"/>
    </row>
    <row r="2085" spans="1:29" ht="33" customHeight="1">
      <c r="A2085" s="151" t="str">
        <f>'Reported burning'!A2085</f>
        <v>243a</v>
      </c>
      <c r="B2085" s="151" t="str">
        <f>'Reported burning'!B2085</f>
        <v>243a.8</v>
      </c>
      <c r="C2085" s="151" t="str">
        <f>'Reported burning'!C2085</f>
        <v>Human, escaped</v>
      </c>
      <c r="D2085" s="151" t="str">
        <f>'Reported burning'!D2085</f>
        <v>Charcoal production</v>
      </c>
      <c r="E2085" s="151" t="str">
        <f>'Reported burning'!E2085</f>
        <v>Forestry, Small-scale</v>
      </c>
      <c r="F2085" s="151" t="str">
        <f>'Reported burning'!F2085</f>
        <v>ND</v>
      </c>
      <c r="G2085" s="151" t="str">
        <f>'Reported burning'!G2085</f>
        <v>ND</v>
      </c>
      <c r="H2085" s="151" t="str">
        <f>'Reported burning'!H2085</f>
        <v>Presence</v>
      </c>
      <c r="I2085" s="5"/>
      <c r="J2085" s="6" t="s">
        <v>2272</v>
      </c>
      <c r="K2085" s="6" t="s">
        <v>2272</v>
      </c>
      <c r="L2085" s="4" t="s">
        <v>2272</v>
      </c>
      <c r="M2085" s="4" t="s">
        <v>2272</v>
      </c>
      <c r="N2085" s="4" t="s">
        <v>2272</v>
      </c>
      <c r="O2085" s="4" t="s">
        <v>2272</v>
      </c>
      <c r="P2085" s="4" t="s">
        <v>2272</v>
      </c>
      <c r="Q2085" s="4" t="s">
        <v>2272</v>
      </c>
      <c r="R2085" s="4" t="s">
        <v>2272</v>
      </c>
      <c r="S2085" s="4" t="s">
        <v>2272</v>
      </c>
      <c r="T2085" s="4" t="s">
        <v>2272</v>
      </c>
      <c r="U2085" s="4" t="s">
        <v>2272</v>
      </c>
      <c r="V2085" s="4" t="s">
        <v>2272</v>
      </c>
      <c r="W2085" s="4" t="s">
        <v>2272</v>
      </c>
      <c r="X2085" s="4" t="s">
        <v>2272</v>
      </c>
      <c r="Y2085" s="4" t="s">
        <v>2272</v>
      </c>
      <c r="Z2085" s="4" t="s">
        <v>2272</v>
      </c>
      <c r="AA2085" s="4" t="s">
        <v>2272</v>
      </c>
      <c r="AB2085" s="3"/>
      <c r="AC2085" s="3"/>
    </row>
    <row r="2086" spans="1:29" ht="33" customHeight="1">
      <c r="A2086" s="151" t="str">
        <f>'Reported burning'!A2086</f>
        <v>243a</v>
      </c>
      <c r="B2086" s="151" t="str">
        <f>'Reported burning'!B2086</f>
        <v>243a.9</v>
      </c>
      <c r="C2086" s="151" t="str">
        <f>'Reported burning'!C2086</f>
        <v>Human, deliberate</v>
      </c>
      <c r="D2086" s="151" t="str">
        <f>'Reported burning'!D2086</f>
        <v>Crop field preparation</v>
      </c>
      <c r="E2086" s="151" t="str">
        <f>'Reported burning'!E2086</f>
        <v>Cropping, Swidden</v>
      </c>
      <c r="F2086" s="151" t="str">
        <f>'Reported burning'!F2086</f>
        <v>ND</v>
      </c>
      <c r="G2086" s="151" t="str">
        <f>'Reported burning'!G2086</f>
        <v>ND</v>
      </c>
      <c r="H2086" s="151" t="str">
        <f>'Reported burning'!H2086</f>
        <v>Presence</v>
      </c>
      <c r="I2086" s="5"/>
      <c r="J2086" s="6" t="s">
        <v>2272</v>
      </c>
      <c r="K2086" s="6" t="s">
        <v>2272</v>
      </c>
      <c r="L2086" s="4" t="s">
        <v>2272</v>
      </c>
      <c r="M2086" s="4" t="s">
        <v>2272</v>
      </c>
      <c r="N2086" s="4" t="s">
        <v>2272</v>
      </c>
      <c r="O2086" s="4" t="s">
        <v>2272</v>
      </c>
      <c r="P2086" s="4" t="s">
        <v>2272</v>
      </c>
      <c r="Q2086" s="4" t="s">
        <v>2272</v>
      </c>
      <c r="R2086" s="4" t="s">
        <v>2272</v>
      </c>
      <c r="S2086" s="4" t="s">
        <v>2272</v>
      </c>
      <c r="T2086" s="4" t="s">
        <v>2272</v>
      </c>
      <c r="U2086" s="4" t="s">
        <v>2272</v>
      </c>
      <c r="V2086" s="4" t="s">
        <v>2272</v>
      </c>
      <c r="W2086" s="4" t="s">
        <v>2272</v>
      </c>
      <c r="X2086" s="4" t="s">
        <v>2272</v>
      </c>
      <c r="Y2086" s="3" t="s">
        <v>397</v>
      </c>
      <c r="Z2086" s="3" t="s">
        <v>187</v>
      </c>
      <c r="AA2086" s="4" t="s">
        <v>2272</v>
      </c>
      <c r="AB2086" s="3"/>
      <c r="AC2086" s="3"/>
    </row>
    <row r="2087" spans="1:29" ht="50.5" customHeight="1">
      <c r="A2087" s="151" t="str">
        <f>'Reported burning'!A2087</f>
        <v>243a</v>
      </c>
      <c r="B2087" s="151" t="str">
        <f>'Reported burning'!B2087</f>
        <v>243a.10</v>
      </c>
      <c r="C2087" s="151" t="str">
        <f>'Reported burning'!C2087</f>
        <v>Human, escaped</v>
      </c>
      <c r="D2087" s="151" t="str">
        <f>'Reported burning'!D2087</f>
        <v>ND</v>
      </c>
      <c r="E2087" s="151" t="str">
        <f>'Reported burning'!E2087</f>
        <v>ND</v>
      </c>
      <c r="F2087" s="151" t="str">
        <f>'Reported burning'!F2087</f>
        <v>ND</v>
      </c>
      <c r="G2087" s="151" t="str">
        <f>'Reported burning'!G2087</f>
        <v>ND</v>
      </c>
      <c r="H2087" s="151" t="str">
        <f>'Reported burning'!H2087</f>
        <v>Presence</v>
      </c>
      <c r="I2087" s="5"/>
      <c r="J2087" s="6" t="s">
        <v>2272</v>
      </c>
      <c r="K2087" s="21" t="s">
        <v>2361</v>
      </c>
      <c r="L2087" s="4" t="s">
        <v>2272</v>
      </c>
      <c r="M2087" s="4" t="s">
        <v>2272</v>
      </c>
      <c r="N2087" s="4" t="s">
        <v>2272</v>
      </c>
      <c r="O2087" s="4" t="s">
        <v>2272</v>
      </c>
      <c r="P2087" s="4" t="s">
        <v>2272</v>
      </c>
      <c r="Q2087" s="4" t="s">
        <v>2272</v>
      </c>
      <c r="R2087" s="4" t="s">
        <v>2272</v>
      </c>
      <c r="S2087" s="4" t="s">
        <v>2272</v>
      </c>
      <c r="T2087" s="4" t="s">
        <v>2272</v>
      </c>
      <c r="U2087" s="4" t="s">
        <v>2272</v>
      </c>
      <c r="V2087" s="4" t="s">
        <v>2272</v>
      </c>
      <c r="W2087" s="4" t="s">
        <v>2272</v>
      </c>
      <c r="X2087" s="4" t="s">
        <v>2272</v>
      </c>
      <c r="Y2087" s="3" t="s">
        <v>397</v>
      </c>
      <c r="Z2087" s="3" t="s">
        <v>187</v>
      </c>
      <c r="AA2087" s="4" t="s">
        <v>2272</v>
      </c>
      <c r="AB2087" s="3"/>
      <c r="AC2087" s="4" t="s">
        <v>5918</v>
      </c>
    </row>
    <row r="2088" spans="1:29" ht="50.5" customHeight="1">
      <c r="A2088" s="151" t="str">
        <f>'Reported burning'!A2088</f>
        <v>243a</v>
      </c>
      <c r="B2088" s="151" t="str">
        <f>'Reported burning'!B2088</f>
        <v>243a.11</v>
      </c>
      <c r="C2088" s="151" t="str">
        <f>'Reported burning'!C2088</f>
        <v>Human, escaped</v>
      </c>
      <c r="D2088" s="151" t="str">
        <f>'Reported burning'!D2088</f>
        <v>ND</v>
      </c>
      <c r="E2088" s="151" t="str">
        <f>'Reported burning'!E2088</f>
        <v>ND</v>
      </c>
      <c r="F2088" s="151" t="str">
        <f>'Reported burning'!F2088</f>
        <v>ND</v>
      </c>
      <c r="G2088" s="151" t="str">
        <f>'Reported burning'!G2088</f>
        <v>ND</v>
      </c>
      <c r="H2088" s="151" t="str">
        <f>'Reported burning'!H2088</f>
        <v>Presence</v>
      </c>
      <c r="I2088" s="5"/>
      <c r="J2088" s="6" t="s">
        <v>2272</v>
      </c>
      <c r="K2088" s="21" t="s">
        <v>2361</v>
      </c>
      <c r="L2088" s="4" t="s">
        <v>2272</v>
      </c>
      <c r="M2088" s="4" t="s">
        <v>2272</v>
      </c>
      <c r="N2088" s="4" t="s">
        <v>2272</v>
      </c>
      <c r="O2088" s="4" t="s">
        <v>2272</v>
      </c>
      <c r="P2088" s="4" t="s">
        <v>2272</v>
      </c>
      <c r="Q2088" s="4" t="s">
        <v>2272</v>
      </c>
      <c r="R2088" s="4" t="s">
        <v>2272</v>
      </c>
      <c r="S2088" s="4" t="s">
        <v>2272</v>
      </c>
      <c r="T2088" s="4" t="s">
        <v>2272</v>
      </c>
      <c r="U2088" s="4" t="s">
        <v>2272</v>
      </c>
      <c r="V2088" s="4" t="s">
        <v>2272</v>
      </c>
      <c r="W2088" s="4" t="s">
        <v>2272</v>
      </c>
      <c r="X2088" s="4" t="s">
        <v>2272</v>
      </c>
      <c r="Y2088" s="3" t="s">
        <v>403</v>
      </c>
      <c r="Z2088" s="3" t="s">
        <v>67</v>
      </c>
      <c r="AA2088" s="4" t="s">
        <v>2272</v>
      </c>
      <c r="AB2088" s="3"/>
      <c r="AC2088" s="4" t="s">
        <v>5918</v>
      </c>
    </row>
    <row r="2089" spans="1:29" ht="46.5" customHeight="1">
      <c r="A2089" s="151" t="str">
        <f>'Reported burning'!A2089</f>
        <v>243a</v>
      </c>
      <c r="B2089" s="151" t="str">
        <f>'Reported burning'!B2089</f>
        <v>243a.12</v>
      </c>
      <c r="C2089" s="151" t="str">
        <f>'Reported burning'!C2089</f>
        <v>Human, deliberate</v>
      </c>
      <c r="D2089" s="151" t="str">
        <f>'Reported burning'!D2089</f>
        <v>Pyrome management</v>
      </c>
      <c r="E2089" s="151" t="str">
        <f>'Reported burning'!E2089</f>
        <v>Biodiversity conservation</v>
      </c>
      <c r="F2089" s="151" t="str">
        <f>'Reported burning'!F2089</f>
        <v>ND</v>
      </c>
      <c r="G2089" s="151" t="str">
        <f>'Reported burning'!G2089</f>
        <v>ND</v>
      </c>
      <c r="H2089" s="151"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21">
        <v>0</v>
      </c>
      <c r="X2089" s="4" t="s">
        <v>2272</v>
      </c>
      <c r="Y2089" s="4" t="s">
        <v>2272</v>
      </c>
      <c r="Z2089" s="4" t="s">
        <v>2272</v>
      </c>
      <c r="AA2089" s="4" t="s">
        <v>2272</v>
      </c>
      <c r="AB2089" s="4" t="s">
        <v>5920</v>
      </c>
      <c r="AC2089" s="3"/>
    </row>
    <row r="2090" spans="1:29" ht="46.5" customHeight="1">
      <c r="A2090" s="151" t="str">
        <f>'Reported burning'!A2090</f>
        <v>243a</v>
      </c>
      <c r="B2090" s="151" t="str">
        <f>'Reported burning'!B2090</f>
        <v>243a.13</v>
      </c>
      <c r="C2090" s="151" t="str">
        <f>'Reported burning'!C2090</f>
        <v>Human, deliberate</v>
      </c>
      <c r="D2090" s="151" t="str">
        <f>'Reported burning'!D2090</f>
        <v>Conservation</v>
      </c>
      <c r="E2090" s="151" t="str">
        <f>'Reported burning'!E2090</f>
        <v>Biodiversity conservation</v>
      </c>
      <c r="F2090" s="151" t="str">
        <f>'Reported burning'!F2090</f>
        <v>ND</v>
      </c>
      <c r="G2090" s="151" t="str">
        <f>'Reported burning'!G2090</f>
        <v>ND</v>
      </c>
      <c r="H2090" s="151"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21">
        <v>0</v>
      </c>
      <c r="X2090" s="4" t="s">
        <v>2272</v>
      </c>
      <c r="Y2090" s="4" t="s">
        <v>2272</v>
      </c>
      <c r="Z2090" s="4" t="s">
        <v>2272</v>
      </c>
      <c r="AA2090" s="4" t="s">
        <v>2272</v>
      </c>
      <c r="AB2090" s="4" t="s">
        <v>5920</v>
      </c>
      <c r="AC2090" s="3"/>
    </row>
    <row r="2091" spans="1:29" ht="29">
      <c r="A2091" s="151" t="str">
        <f>'Reported burning'!A2091</f>
        <v>244a</v>
      </c>
      <c r="B2091" s="151" t="str">
        <f>'Reported burning'!B2091</f>
        <v>244a.1</v>
      </c>
      <c r="C2091" s="151" t="str">
        <f>'Reported burning'!C2091</f>
        <v>Human, deliberate</v>
      </c>
      <c r="D2091" s="151" t="str">
        <f>'Reported burning'!D2091</f>
        <v>Hunting</v>
      </c>
      <c r="E2091" s="151" t="str">
        <f>'Reported burning'!E2091</f>
        <v>Forestry, Traditional</v>
      </c>
      <c r="F2091" s="151" t="str">
        <f>'Reported burning'!F2091</f>
        <v>Shrubland (Mixed forest &amp; grassland)</v>
      </c>
      <c r="G2091" s="151" t="str">
        <f>'Reported burning'!G2091</f>
        <v>ND</v>
      </c>
      <c r="H2091" s="151" t="str">
        <f>'Reported burning'!H2091</f>
        <v>Presence</v>
      </c>
      <c r="I2091" s="5"/>
      <c r="J2091" s="4" t="s">
        <v>2272</v>
      </c>
      <c r="K2091" s="4" t="s">
        <v>2272</v>
      </c>
      <c r="L2091" s="4" t="s">
        <v>2272</v>
      </c>
      <c r="M2091" s="4" t="s">
        <v>2272</v>
      </c>
      <c r="N2091" s="4" t="s">
        <v>2272</v>
      </c>
      <c r="O2091" s="4" t="s">
        <v>2272</v>
      </c>
      <c r="P2091" s="4" t="s">
        <v>2272</v>
      </c>
      <c r="Q2091" s="4" t="s">
        <v>2272</v>
      </c>
      <c r="R2091" s="4" t="s">
        <v>2272</v>
      </c>
      <c r="S2091" s="4" t="s">
        <v>2272</v>
      </c>
      <c r="T2091" s="4" t="s">
        <v>2272</v>
      </c>
      <c r="U2091" s="4" t="s">
        <v>2272</v>
      </c>
      <c r="V2091" s="4" t="s">
        <v>2272</v>
      </c>
      <c r="W2091" s="4" t="s">
        <v>2272</v>
      </c>
      <c r="X2091" s="4" t="s">
        <v>2272</v>
      </c>
      <c r="Y2091" s="4" t="s">
        <v>2272</v>
      </c>
      <c r="Z2091" s="4" t="s">
        <v>2272</v>
      </c>
      <c r="AA2091" s="4" t="s">
        <v>2272</v>
      </c>
      <c r="AB2091" s="3"/>
      <c r="AC2091" s="3"/>
    </row>
    <row r="2092" spans="1:29" ht="29">
      <c r="A2092" s="151" t="str">
        <f>'Reported burning'!A2092</f>
        <v>244a</v>
      </c>
      <c r="B2092" s="151" t="str">
        <f>'Reported burning'!B2092</f>
        <v>244a.2</v>
      </c>
      <c r="C2092" s="151" t="str">
        <f>'Reported burning'!C2092</f>
        <v>Human, deliberate</v>
      </c>
      <c r="D2092" s="151" t="str">
        <f>'Reported burning'!D2092</f>
        <v>Accessibility</v>
      </c>
      <c r="E2092" s="151" t="str">
        <f>'Reported burning'!E2092</f>
        <v>Forestry, Traditional</v>
      </c>
      <c r="F2092" s="151" t="str">
        <f>'Reported burning'!F2092</f>
        <v>Shrubland (Mixed forest &amp; grassland)</v>
      </c>
      <c r="G2092" s="151" t="str">
        <f>'Reported burning'!G2092</f>
        <v>ND</v>
      </c>
      <c r="H2092" s="151" t="str">
        <f>'Reported burning'!H2092</f>
        <v>Presence</v>
      </c>
      <c r="I2092" s="5"/>
      <c r="J2092" s="4" t="s">
        <v>2272</v>
      </c>
      <c r="K2092" s="4" t="s">
        <v>2272</v>
      </c>
      <c r="L2092" s="4" t="s">
        <v>2272</v>
      </c>
      <c r="M2092" s="4" t="s">
        <v>2272</v>
      </c>
      <c r="N2092" s="4" t="s">
        <v>2272</v>
      </c>
      <c r="O2092" s="4" t="s">
        <v>2272</v>
      </c>
      <c r="P2092" s="4" t="s">
        <v>2272</v>
      </c>
      <c r="Q2092" s="4" t="s">
        <v>2272</v>
      </c>
      <c r="R2092" s="4" t="s">
        <v>2272</v>
      </c>
      <c r="S2092" s="4" t="s">
        <v>2272</v>
      </c>
      <c r="T2092" s="4" t="s">
        <v>2272</v>
      </c>
      <c r="U2092" s="4" t="s">
        <v>2272</v>
      </c>
      <c r="V2092" s="4" t="s">
        <v>2272</v>
      </c>
      <c r="W2092" s="4" t="s">
        <v>2272</v>
      </c>
      <c r="X2092" s="4" t="s">
        <v>2272</v>
      </c>
      <c r="Y2092" s="4" t="s">
        <v>2272</v>
      </c>
      <c r="Z2092" s="4" t="s">
        <v>2272</v>
      </c>
      <c r="AA2092" s="4" t="s">
        <v>2272</v>
      </c>
      <c r="AB2092" s="3"/>
      <c r="AC2092" s="3"/>
    </row>
    <row r="2093" spans="1:29" ht="29">
      <c r="A2093" s="151" t="str">
        <f>'Reported burning'!A2093</f>
        <v>244a</v>
      </c>
      <c r="B2093" s="151" t="str">
        <f>'Reported burning'!B2093</f>
        <v>244a.3</v>
      </c>
      <c r="C2093" s="151" t="str">
        <f>'Reported burning'!C2093</f>
        <v>Human, deliberate</v>
      </c>
      <c r="D2093" s="151" t="str">
        <f>'Reported burning'!D2093</f>
        <v>Pyrome management</v>
      </c>
      <c r="E2093" s="151" t="str">
        <f>'Reported burning'!E2093</f>
        <v>Forestry, Traditional</v>
      </c>
      <c r="F2093" s="151" t="str">
        <f>'Reported burning'!F2093</f>
        <v>Shrubland (Mixed forest &amp; grassland)</v>
      </c>
      <c r="G2093" s="151" t="str">
        <f>'Reported burning'!G2093</f>
        <v>ND</v>
      </c>
      <c r="H2093" s="151" t="str">
        <f>'Reported burning'!H2093</f>
        <v>Presence</v>
      </c>
      <c r="I2093" s="5"/>
      <c r="J2093" s="4" t="s">
        <v>2272</v>
      </c>
      <c r="K2093" s="4" t="s">
        <v>2272</v>
      </c>
      <c r="L2093" s="4" t="s">
        <v>2272</v>
      </c>
      <c r="M2093" s="4" t="s">
        <v>2272</v>
      </c>
      <c r="N2093" s="4" t="s">
        <v>2272</v>
      </c>
      <c r="O2093" s="4" t="s">
        <v>2272</v>
      </c>
      <c r="P2093" s="4" t="s">
        <v>2272</v>
      </c>
      <c r="Q2093" s="4" t="s">
        <v>2272</v>
      </c>
      <c r="R2093" s="4" t="s">
        <v>2272</v>
      </c>
      <c r="S2093" s="4" t="s">
        <v>2272</v>
      </c>
      <c r="T2093" s="4" t="s">
        <v>2272</v>
      </c>
      <c r="U2093" s="4" t="s">
        <v>2272</v>
      </c>
      <c r="V2093" s="4" t="s">
        <v>2272</v>
      </c>
      <c r="W2093" s="4" t="s">
        <v>2272</v>
      </c>
      <c r="X2093" s="4" t="s">
        <v>2272</v>
      </c>
      <c r="Y2093" s="4" t="s">
        <v>2272</v>
      </c>
      <c r="Z2093" s="4" t="s">
        <v>2272</v>
      </c>
      <c r="AA2093" s="4" t="s">
        <v>2272</v>
      </c>
      <c r="AB2093" s="3"/>
      <c r="AC2093" s="3"/>
    </row>
    <row r="2094" spans="1:29" ht="29">
      <c r="A2094" s="151" t="str">
        <f>'Reported burning'!A2094</f>
        <v>244a</v>
      </c>
      <c r="B2094" s="151" t="str">
        <f>'Reported burning'!B2094</f>
        <v>244a.4</v>
      </c>
      <c r="C2094" s="151" t="str">
        <f>'Reported burning'!C2094</f>
        <v>Human, deliberate</v>
      </c>
      <c r="D2094" s="151" t="str">
        <f>'Reported burning'!D2094</f>
        <v>Cultural &amp; Spiritual</v>
      </c>
      <c r="E2094" s="151" t="str">
        <f>'Reported burning'!E2094</f>
        <v>Forestry, Traditional</v>
      </c>
      <c r="F2094" s="151" t="str">
        <f>'Reported burning'!F2094</f>
        <v>Shrubland (Mixed forest &amp; grassland)</v>
      </c>
      <c r="G2094" s="151" t="str">
        <f>'Reported burning'!G2094</f>
        <v>ND</v>
      </c>
      <c r="H2094" s="151" t="str">
        <f>'Reported burning'!H2094</f>
        <v>Presence</v>
      </c>
      <c r="I2094" s="5"/>
      <c r="J2094" s="4" t="s">
        <v>2272</v>
      </c>
      <c r="K2094" s="4" t="s">
        <v>2272</v>
      </c>
      <c r="L2094" s="4" t="s">
        <v>2272</v>
      </c>
      <c r="M2094" s="4" t="s">
        <v>2272</v>
      </c>
      <c r="N2094" s="4" t="s">
        <v>2272</v>
      </c>
      <c r="O2094" s="4" t="s">
        <v>2272</v>
      </c>
      <c r="P2094" s="4" t="s">
        <v>2272</v>
      </c>
      <c r="Q2094" s="4" t="s">
        <v>2272</v>
      </c>
      <c r="R2094" s="4" t="s">
        <v>2272</v>
      </c>
      <c r="S2094" s="4" t="s">
        <v>2272</v>
      </c>
      <c r="T2094" s="4" t="s">
        <v>2272</v>
      </c>
      <c r="U2094" s="4" t="s">
        <v>2272</v>
      </c>
      <c r="V2094" s="4" t="s">
        <v>2272</v>
      </c>
      <c r="W2094" s="4" t="s">
        <v>2272</v>
      </c>
      <c r="X2094" s="4" t="s">
        <v>2272</v>
      </c>
      <c r="Y2094" s="4" t="s">
        <v>2272</v>
      </c>
      <c r="Z2094" s="4" t="s">
        <v>2272</v>
      </c>
      <c r="AA2094" s="4" t="s">
        <v>2272</v>
      </c>
      <c r="AB2094" s="3"/>
      <c r="AC2094" s="3"/>
    </row>
    <row r="2095" spans="1:29" ht="29">
      <c r="A2095" s="151" t="str">
        <f>'Reported burning'!A2095</f>
        <v>244a</v>
      </c>
      <c r="B2095" s="151" t="str">
        <f>'Reported burning'!B2095</f>
        <v>244a.5</v>
      </c>
      <c r="C2095" s="151" t="str">
        <f>'Reported burning'!C2095</f>
        <v>Human, deliberate</v>
      </c>
      <c r="D2095" s="151" t="str">
        <f>'Reported burning'!D2095</f>
        <v>Conservation</v>
      </c>
      <c r="E2095" s="151" t="str">
        <f>'Reported burning'!E2095</f>
        <v>Forestry, Traditional</v>
      </c>
      <c r="F2095" s="151" t="str">
        <f>'Reported burning'!F2095</f>
        <v>Shrubland (Mixed forest &amp; grassland)</v>
      </c>
      <c r="G2095" s="151" t="str">
        <f>'Reported burning'!G2095</f>
        <v>ND</v>
      </c>
      <c r="H2095" s="151" t="str">
        <f>'Reported burning'!H2095</f>
        <v>Presence</v>
      </c>
      <c r="I2095" s="5"/>
      <c r="J2095" s="4" t="s">
        <v>2272</v>
      </c>
      <c r="K2095" s="4" t="s">
        <v>2272</v>
      </c>
      <c r="L2095" s="4" t="s">
        <v>2272</v>
      </c>
      <c r="M2095" s="4" t="s">
        <v>2272</v>
      </c>
      <c r="N2095" s="4" t="s">
        <v>2272</v>
      </c>
      <c r="O2095" s="4" t="s">
        <v>2272</v>
      </c>
      <c r="P2095" s="4" t="s">
        <v>2272</v>
      </c>
      <c r="Q2095" s="4" t="s">
        <v>2272</v>
      </c>
      <c r="R2095" s="4" t="s">
        <v>2272</v>
      </c>
      <c r="S2095" s="4" t="s">
        <v>2272</v>
      </c>
      <c r="T2095" s="4" t="s">
        <v>2272</v>
      </c>
      <c r="U2095" s="4" t="s">
        <v>2272</v>
      </c>
      <c r="V2095" s="4" t="s">
        <v>2272</v>
      </c>
      <c r="W2095" s="4" t="s">
        <v>2272</v>
      </c>
      <c r="X2095" s="4" t="s">
        <v>2272</v>
      </c>
      <c r="Y2095" s="4" t="s">
        <v>2272</v>
      </c>
      <c r="Z2095" s="4" t="s">
        <v>2272</v>
      </c>
      <c r="AA2095" s="4" t="s">
        <v>2272</v>
      </c>
      <c r="AB2095" s="3"/>
      <c r="AC2095" s="3"/>
    </row>
    <row r="2096" spans="1:29" ht="29">
      <c r="A2096" s="151" t="str">
        <f>'Reported burning'!A2096</f>
        <v>244a</v>
      </c>
      <c r="B2096" s="151" t="str">
        <f>'Reported burning'!B2096</f>
        <v>244a.6</v>
      </c>
      <c r="C2096" s="151" t="str">
        <f>'Reported burning'!C2096</f>
        <v>Human, deliberate</v>
      </c>
      <c r="D2096" s="151" t="str">
        <f>'Reported burning'!D2096</f>
        <v>Arson</v>
      </c>
      <c r="E2096" s="151" t="str">
        <f>'Reported burning'!E2096</f>
        <v>Forestry, Traditional</v>
      </c>
      <c r="F2096" s="151" t="str">
        <f>'Reported burning'!F2096</f>
        <v>Shrubland (Mixed forest &amp; grassland)</v>
      </c>
      <c r="G2096" s="151" t="str">
        <f>'Reported burning'!G2096</f>
        <v>ND</v>
      </c>
      <c r="H2096" s="151" t="str">
        <f>'Reported burning'!H2096</f>
        <v>Presence</v>
      </c>
      <c r="I2096" s="5"/>
      <c r="J2096" s="4" t="s">
        <v>2272</v>
      </c>
      <c r="K2096" s="4" t="s">
        <v>2272</v>
      </c>
      <c r="L2096" s="4" t="s">
        <v>2272</v>
      </c>
      <c r="M2096" s="4" t="s">
        <v>2272</v>
      </c>
      <c r="N2096" s="4" t="s">
        <v>2272</v>
      </c>
      <c r="O2096" s="4" t="s">
        <v>2272</v>
      </c>
      <c r="P2096" s="4" t="s">
        <v>2272</v>
      </c>
      <c r="Q2096" s="4" t="s">
        <v>2272</v>
      </c>
      <c r="R2096" s="4" t="s">
        <v>2272</v>
      </c>
      <c r="S2096" s="4" t="s">
        <v>2272</v>
      </c>
      <c r="T2096" s="4" t="s">
        <v>2272</v>
      </c>
      <c r="U2096" s="4" t="s">
        <v>2272</v>
      </c>
      <c r="V2096" s="4" t="s">
        <v>2272</v>
      </c>
      <c r="W2096" s="4" t="s">
        <v>2272</v>
      </c>
      <c r="X2096" s="4" t="s">
        <v>2272</v>
      </c>
      <c r="Y2096" s="4" t="s">
        <v>2272</v>
      </c>
      <c r="Z2096" s="4" t="s">
        <v>2272</v>
      </c>
      <c r="AA2096" s="4" t="s">
        <v>2272</v>
      </c>
      <c r="AB2096" s="3"/>
      <c r="AC2096" s="3"/>
    </row>
    <row r="2097" spans="1:29" ht="29">
      <c r="A2097" s="151" t="str">
        <f>'Reported burning'!A2097</f>
        <v>244a</v>
      </c>
      <c r="B2097" s="151" t="str">
        <f>'Reported burning'!B2097</f>
        <v>244a.7</v>
      </c>
      <c r="C2097" s="151" t="str">
        <f>'Reported burning'!C2097</f>
        <v>Human, deliberate</v>
      </c>
      <c r="D2097" s="151" t="str">
        <f>'Reported burning'!D2097</f>
        <v>Crop field preparation</v>
      </c>
      <c r="E2097" s="151" t="str">
        <f>'Reported burning'!E2097</f>
        <v>Cropping, Swidden</v>
      </c>
      <c r="F2097" s="151" t="str">
        <f>'Reported burning'!F2097</f>
        <v>Shrubland (Mixed forest &amp; grassland)</v>
      </c>
      <c r="G2097" s="151" t="str">
        <f>'Reported burning'!G2097</f>
        <v>ND</v>
      </c>
      <c r="H2097" s="151" t="str">
        <f>'Reported burning'!H2097</f>
        <v>Presence</v>
      </c>
      <c r="I2097" s="5"/>
      <c r="J2097" s="4" t="s">
        <v>2272</v>
      </c>
      <c r="K2097" s="4" t="s">
        <v>2272</v>
      </c>
      <c r="L2097" s="4" t="s">
        <v>2272</v>
      </c>
      <c r="M2097" s="4" t="s">
        <v>2272</v>
      </c>
      <c r="N2097" s="4" t="s">
        <v>2272</v>
      </c>
      <c r="O2097" s="4" t="s">
        <v>2272</v>
      </c>
      <c r="P2097" s="4" t="s">
        <v>2272</v>
      </c>
      <c r="Q2097" s="4" t="s">
        <v>2272</v>
      </c>
      <c r="R2097" s="4" t="s">
        <v>2272</v>
      </c>
      <c r="S2097" s="4" t="s">
        <v>2272</v>
      </c>
      <c r="T2097" s="4" t="s">
        <v>2272</v>
      </c>
      <c r="U2097" s="4" t="s">
        <v>2272</v>
      </c>
      <c r="V2097" s="4" t="s">
        <v>2272</v>
      </c>
      <c r="W2097" s="4" t="s">
        <v>2272</v>
      </c>
      <c r="X2097" s="4" t="s">
        <v>2272</v>
      </c>
      <c r="Y2097" s="4" t="s">
        <v>2272</v>
      </c>
      <c r="Z2097" s="4" t="s">
        <v>2272</v>
      </c>
      <c r="AA2097" s="4" t="s">
        <v>2272</v>
      </c>
      <c r="AB2097" s="3"/>
      <c r="AC2097" s="3"/>
    </row>
    <row r="2098" spans="1:29" ht="38" customHeight="1">
      <c r="A2098" s="151" t="str">
        <f>'Reported burning'!A2098</f>
        <v>245a</v>
      </c>
      <c r="B2098" s="151" t="str">
        <f>'Reported burning'!B2098</f>
        <v>245a.1</v>
      </c>
      <c r="C2098" s="151" t="str">
        <f>'Reported burning'!C2098</f>
        <v>Human, deliberate</v>
      </c>
      <c r="D2098" s="151" t="str">
        <f>'Reported burning'!D2098</f>
        <v>Arson</v>
      </c>
      <c r="E2098" s="151" t="str">
        <f>'Reported burning'!E2098</f>
        <v>Cropping, Swidden</v>
      </c>
      <c r="F2098" s="151" t="str">
        <f>'Reported burning'!F2098</f>
        <v>Cropland</v>
      </c>
      <c r="G2098" s="151" t="str">
        <f>'Reported burning'!G2098</f>
        <v>ND</v>
      </c>
      <c r="H2098" s="151" t="str">
        <f>'Reported burning'!H2098</f>
        <v>Presence</v>
      </c>
      <c r="I2098" s="3">
        <v>2011</v>
      </c>
      <c r="J2098" s="4" t="s">
        <v>2272</v>
      </c>
      <c r="K2098" s="4" t="s">
        <v>2272</v>
      </c>
      <c r="L2098" s="4" t="s">
        <v>2272</v>
      </c>
      <c r="M2098" s="4" t="s">
        <v>2272</v>
      </c>
      <c r="N2098" s="4" t="s">
        <v>2272</v>
      </c>
      <c r="O2098" s="4" t="s">
        <v>2272</v>
      </c>
      <c r="P2098" s="4" t="s">
        <v>2272</v>
      </c>
      <c r="Q2098" s="4" t="s">
        <v>2272</v>
      </c>
      <c r="R2098" s="4" t="s">
        <v>2272</v>
      </c>
      <c r="S2098" s="4" t="s">
        <v>2272</v>
      </c>
      <c r="T2098" s="4" t="s">
        <v>2272</v>
      </c>
      <c r="U2098" s="4" t="s">
        <v>2272</v>
      </c>
      <c r="V2098" s="4" t="s">
        <v>2272</v>
      </c>
      <c r="W2098" s="4" t="s">
        <v>2272</v>
      </c>
      <c r="X2098" s="4" t="s">
        <v>2272</v>
      </c>
      <c r="Y2098" s="4" t="s">
        <v>2272</v>
      </c>
      <c r="Z2098" s="4" t="s">
        <v>2272</v>
      </c>
      <c r="AA2098" s="4" t="s">
        <v>2272</v>
      </c>
      <c r="AB2098" s="4" t="s">
        <v>5948</v>
      </c>
      <c r="AC2098" s="3"/>
    </row>
    <row r="2099" spans="1:29" ht="39.5" customHeight="1">
      <c r="A2099" s="151" t="str">
        <f>'Reported burning'!A2099</f>
        <v>246a</v>
      </c>
      <c r="B2099" s="151" t="str">
        <f>'Reported burning'!B2099</f>
        <v>246a.1</v>
      </c>
      <c r="C2099" s="151" t="str">
        <f>'Reported burning'!C2099</f>
        <v>Human, deliberate</v>
      </c>
      <c r="D2099" s="151" t="str">
        <f>'Reported burning'!D2099</f>
        <v>Conservation</v>
      </c>
      <c r="E2099" s="151" t="str">
        <f>'Reported burning'!E2099</f>
        <v>Biodiversity conservation</v>
      </c>
      <c r="F2099" s="151" t="str">
        <f>'Reported burning'!F2099</f>
        <v>Forest</v>
      </c>
      <c r="G2099" s="151" t="str">
        <f>'Reported burning'!G2099</f>
        <v>ND</v>
      </c>
      <c r="H2099" s="151" t="str">
        <f>'Reported burning'!H2099</f>
        <v>Presence</v>
      </c>
      <c r="I2099" s="5"/>
      <c r="J2099" s="4" t="s">
        <v>2272</v>
      </c>
      <c r="K2099" s="4" t="s">
        <v>2272</v>
      </c>
      <c r="L2099" s="4" t="s">
        <v>2272</v>
      </c>
      <c r="M2099" s="4" t="s">
        <v>2272</v>
      </c>
      <c r="N2099" s="4" t="s">
        <v>2272</v>
      </c>
      <c r="O2099" s="4" t="s">
        <v>2272</v>
      </c>
      <c r="P2099" s="4" t="s">
        <v>2272</v>
      </c>
      <c r="Q2099" s="4" t="s">
        <v>2272</v>
      </c>
      <c r="R2099" s="4" t="s">
        <v>2272</v>
      </c>
      <c r="S2099" s="4" t="s">
        <v>2272</v>
      </c>
      <c r="T2099" s="4" t="s">
        <v>2272</v>
      </c>
      <c r="U2099" s="4" t="s">
        <v>2272</v>
      </c>
      <c r="V2099" s="4" t="s">
        <v>2272</v>
      </c>
      <c r="W2099" s="4" t="s">
        <v>2272</v>
      </c>
      <c r="X2099" s="4" t="s">
        <v>2272</v>
      </c>
      <c r="Y2099" s="4" t="s">
        <v>2272</v>
      </c>
      <c r="Z2099" s="4" t="s">
        <v>2272</v>
      </c>
      <c r="AA2099" s="4" t="s">
        <v>2272</v>
      </c>
      <c r="AB2099" s="4" t="s">
        <v>5955</v>
      </c>
      <c r="AC2099" s="3"/>
    </row>
    <row r="2100" spans="1:29" ht="39.5" customHeight="1">
      <c r="A2100" s="151" t="str">
        <f>'Reported burning'!A2100</f>
        <v>246a</v>
      </c>
      <c r="B2100" s="151" t="str">
        <f>'Reported burning'!B2100</f>
        <v>246a.2</v>
      </c>
      <c r="C2100" s="151" t="str">
        <f>'Reported burning'!C2100</f>
        <v>Human, deliberate</v>
      </c>
      <c r="D2100" s="151" t="str">
        <f>'Reported burning'!D2100</f>
        <v>Conservation</v>
      </c>
      <c r="E2100" s="151" t="str">
        <f>'Reported burning'!E2100</f>
        <v>Forestry, Traditional</v>
      </c>
      <c r="F2100" s="151" t="str">
        <f>'Reported burning'!F2100</f>
        <v>Forest</v>
      </c>
      <c r="G2100" s="151" t="str">
        <f>'Reported burning'!G2100</f>
        <v>ND</v>
      </c>
      <c r="H2100" s="151" t="str">
        <f>'Reported burning'!H2100</f>
        <v>Presence</v>
      </c>
      <c r="I2100" s="5"/>
      <c r="J2100" s="4" t="s">
        <v>2272</v>
      </c>
      <c r="K2100" s="4" t="s">
        <v>2272</v>
      </c>
      <c r="L2100" s="4" t="s">
        <v>2272</v>
      </c>
      <c r="M2100" s="4" t="s">
        <v>2272</v>
      </c>
      <c r="N2100" s="4" t="s">
        <v>2272</v>
      </c>
      <c r="O2100" s="4" t="s">
        <v>2272</v>
      </c>
      <c r="P2100" s="4" t="s">
        <v>2272</v>
      </c>
      <c r="Q2100" s="4" t="s">
        <v>2272</v>
      </c>
      <c r="R2100" s="4" t="s">
        <v>2272</v>
      </c>
      <c r="S2100" s="4" t="s">
        <v>2272</v>
      </c>
      <c r="T2100" s="4" t="s">
        <v>2272</v>
      </c>
      <c r="U2100" s="4" t="s">
        <v>2272</v>
      </c>
      <c r="V2100" s="4" t="s">
        <v>2272</v>
      </c>
      <c r="W2100" s="4" t="s">
        <v>2272</v>
      </c>
      <c r="X2100" s="4" t="s">
        <v>2272</v>
      </c>
      <c r="Y2100" s="4" t="s">
        <v>2272</v>
      </c>
      <c r="Z2100" s="4" t="s">
        <v>2272</v>
      </c>
      <c r="AA2100" s="4" t="s">
        <v>2272</v>
      </c>
      <c r="AB2100" s="4" t="s">
        <v>5955</v>
      </c>
      <c r="AC2100" s="3"/>
    </row>
    <row r="2101" spans="1:29" ht="39.5" customHeight="1">
      <c r="A2101" s="151" t="str">
        <f>'Reported burning'!A2101</f>
        <v>246a</v>
      </c>
      <c r="B2101" s="151" t="str">
        <f>'Reported burning'!B2101</f>
        <v>246a.3</v>
      </c>
      <c r="C2101" s="151" t="str">
        <f>'Reported burning'!C2101</f>
        <v>Human, deliberate</v>
      </c>
      <c r="D2101" s="151" t="str">
        <f>'Reported burning'!D2101</f>
        <v>Harvesting of NTFP</v>
      </c>
      <c r="E2101" s="151" t="str">
        <f>'Reported burning'!E2101</f>
        <v>Forestry, Traditional</v>
      </c>
      <c r="F2101" s="151" t="str">
        <f>'Reported burning'!F2101</f>
        <v>Forest</v>
      </c>
      <c r="G2101" s="151" t="str">
        <f>'Reported burning'!G2101</f>
        <v>ND</v>
      </c>
      <c r="H2101" s="151" t="str">
        <f>'Reported burning'!H2101</f>
        <v>Presence</v>
      </c>
      <c r="I2101" s="5"/>
      <c r="J2101" s="4" t="s">
        <v>2272</v>
      </c>
      <c r="K2101" s="4" t="s">
        <v>2272</v>
      </c>
      <c r="L2101" s="4" t="s">
        <v>2272</v>
      </c>
      <c r="M2101" s="4" t="s">
        <v>2272</v>
      </c>
      <c r="N2101" s="4" t="s">
        <v>2272</v>
      </c>
      <c r="O2101" s="4" t="s">
        <v>2272</v>
      </c>
      <c r="P2101" s="4" t="s">
        <v>2272</v>
      </c>
      <c r="Q2101" s="4" t="s">
        <v>2272</v>
      </c>
      <c r="R2101" s="4" t="s">
        <v>2272</v>
      </c>
      <c r="S2101" s="4" t="s">
        <v>2272</v>
      </c>
      <c r="T2101" s="4" t="s">
        <v>2272</v>
      </c>
      <c r="U2101" s="4" t="s">
        <v>2272</v>
      </c>
      <c r="V2101" s="4" t="s">
        <v>2272</v>
      </c>
      <c r="W2101" s="4" t="s">
        <v>2272</v>
      </c>
      <c r="X2101" s="4" t="s">
        <v>2272</v>
      </c>
      <c r="Y2101" s="4" t="s">
        <v>2272</v>
      </c>
      <c r="Z2101" s="4" t="s">
        <v>2272</v>
      </c>
      <c r="AA2101" s="4" t="s">
        <v>2272</v>
      </c>
      <c r="AB2101" s="4" t="s">
        <v>5955</v>
      </c>
      <c r="AC2101" s="3"/>
    </row>
    <row r="2102" spans="1:29" ht="89" customHeight="1">
      <c r="A2102" s="151" t="str">
        <f>'Reported burning'!A2102</f>
        <v>247a</v>
      </c>
      <c r="B2102" s="151" t="str">
        <f>'Reported burning'!B2102</f>
        <v>247a.1</v>
      </c>
      <c r="C2102" s="151" t="str">
        <f>'Reported burning'!C2102</f>
        <v>Human, deliberate</v>
      </c>
      <c r="D2102" s="151" t="str">
        <f>'Reported burning'!D2102</f>
        <v>Forest clearance</v>
      </c>
      <c r="E2102" s="151" t="str">
        <f>'Reported burning'!E2102</f>
        <v>Cropping, Intensive</v>
      </c>
      <c r="F2102" s="151" t="str">
        <f>'Reported burning'!F2102</f>
        <v>Forest</v>
      </c>
      <c r="G2102" s="151" t="str">
        <f>'Reported burning'!G2102</f>
        <v>ND</v>
      </c>
      <c r="H2102" s="151" t="str">
        <f>'Reported burning'!H2102</f>
        <v>Presence</v>
      </c>
      <c r="I2102" s="5"/>
      <c r="J2102" s="4" t="s">
        <v>2272</v>
      </c>
      <c r="K2102" s="4" t="s">
        <v>2272</v>
      </c>
      <c r="L2102" s="4" t="s">
        <v>2272</v>
      </c>
      <c r="M2102" s="4" t="s">
        <v>2272</v>
      </c>
      <c r="N2102" s="4" t="s">
        <v>2272</v>
      </c>
      <c r="O2102" s="4" t="s">
        <v>2272</v>
      </c>
      <c r="P2102" s="21" t="s">
        <v>2373</v>
      </c>
      <c r="Q2102" s="4" t="s">
        <v>2272</v>
      </c>
      <c r="R2102" s="4" t="s">
        <v>2272</v>
      </c>
      <c r="S2102" s="4" t="s">
        <v>2272</v>
      </c>
      <c r="T2102" s="4" t="s">
        <v>2272</v>
      </c>
      <c r="U2102" s="4" t="s">
        <v>2272</v>
      </c>
      <c r="V2102" s="4" t="s">
        <v>2272</v>
      </c>
      <c r="W2102" s="4" t="s">
        <v>2272</v>
      </c>
      <c r="X2102" s="4" t="s">
        <v>2272</v>
      </c>
      <c r="Y2102" s="4" t="s">
        <v>2272</v>
      </c>
      <c r="Z2102" s="4" t="s">
        <v>2272</v>
      </c>
      <c r="AA2102" s="4" t="s">
        <v>2272</v>
      </c>
      <c r="AB2102" s="4" t="s">
        <v>5972</v>
      </c>
      <c r="AC2102" s="4" t="s">
        <v>5971</v>
      </c>
    </row>
    <row r="2103" spans="1:29" ht="84.5" customHeight="1">
      <c r="A2103" s="151" t="str">
        <f>'Reported burning'!A2103</f>
        <v>247a</v>
      </c>
      <c r="B2103" s="151" t="str">
        <f>'Reported burning'!B2103</f>
        <v>247a.2</v>
      </c>
      <c r="C2103" s="151" t="str">
        <f>'Reported burning'!C2103</f>
        <v>Human, deliberate</v>
      </c>
      <c r="D2103" s="151" t="str">
        <f>'Reported burning'!D2103</f>
        <v>Forest clearance</v>
      </c>
      <c r="E2103" s="151" t="str">
        <f>'Reported burning'!E2103</f>
        <v>Cropping, Monoculture, Market-oriented</v>
      </c>
      <c r="F2103" s="151" t="str">
        <f>'Reported burning'!F2103</f>
        <v>Forest</v>
      </c>
      <c r="G2103" s="151" t="str">
        <f>'Reported burning'!G2103</f>
        <v>ND</v>
      </c>
      <c r="H2103" s="151" t="str">
        <f>'Reported burning'!H2103</f>
        <v>Presence</v>
      </c>
      <c r="I2103" s="5"/>
      <c r="J2103" s="4" t="s">
        <v>2272</v>
      </c>
      <c r="K2103" s="4" t="s">
        <v>2272</v>
      </c>
      <c r="L2103" s="4" t="s">
        <v>2272</v>
      </c>
      <c r="M2103" s="4" t="s">
        <v>2272</v>
      </c>
      <c r="N2103" s="4" t="s">
        <v>2272</v>
      </c>
      <c r="O2103" s="4" t="s">
        <v>2272</v>
      </c>
      <c r="P2103" s="21" t="s">
        <v>2372</v>
      </c>
      <c r="Q2103" s="4" t="s">
        <v>2272</v>
      </c>
      <c r="R2103" s="4" t="s">
        <v>2272</v>
      </c>
      <c r="S2103" s="4" t="s">
        <v>2272</v>
      </c>
      <c r="T2103" s="4" t="s">
        <v>2272</v>
      </c>
      <c r="U2103" s="4" t="s">
        <v>2272</v>
      </c>
      <c r="V2103" s="4" t="s">
        <v>2272</v>
      </c>
      <c r="W2103" s="4" t="s">
        <v>2272</v>
      </c>
      <c r="X2103" s="4" t="s">
        <v>2272</v>
      </c>
      <c r="Y2103" s="4" t="s">
        <v>2272</v>
      </c>
      <c r="Z2103" s="4" t="s">
        <v>2272</v>
      </c>
      <c r="AA2103" s="4" t="s">
        <v>2272</v>
      </c>
      <c r="AB2103" s="4" t="s">
        <v>5972</v>
      </c>
      <c r="AC2103" s="4" t="s">
        <v>5971</v>
      </c>
    </row>
    <row r="2104" spans="1:29" ht="52.5" customHeight="1">
      <c r="A2104" s="151" t="str">
        <f>'Reported burning'!A2104</f>
        <v>247a</v>
      </c>
      <c r="B2104" s="151" t="str">
        <f>'Reported burning'!B2104</f>
        <v>247a.3</v>
      </c>
      <c r="C2104" s="151" t="str">
        <f>'Reported burning'!C2104</f>
        <v>Human, deliberate</v>
      </c>
      <c r="D2104" s="151" t="str">
        <f>'Reported burning'!D2104</f>
        <v>Forest clearance</v>
      </c>
      <c r="E2104" s="151" t="str">
        <f>'Reported burning'!E2104</f>
        <v>Cropping, Swidden</v>
      </c>
      <c r="F2104" s="151" t="str">
        <f>'Reported burning'!F2104</f>
        <v>Forest</v>
      </c>
      <c r="G2104" s="151" t="str">
        <f>'Reported burning'!G2104</f>
        <v>ND</v>
      </c>
      <c r="H2104" s="151" t="str">
        <f>'Reported burning'!H2104</f>
        <v>Presence</v>
      </c>
      <c r="I2104" s="5"/>
      <c r="J2104" s="4" t="s">
        <v>2272</v>
      </c>
      <c r="K2104" s="4" t="s">
        <v>2272</v>
      </c>
      <c r="L2104" s="4" t="s">
        <v>2272</v>
      </c>
      <c r="M2104" s="4" t="s">
        <v>2272</v>
      </c>
      <c r="N2104" s="4" t="s">
        <v>2272</v>
      </c>
      <c r="O2104" s="4" t="s">
        <v>2272</v>
      </c>
      <c r="P2104" s="21" t="s">
        <v>2370</v>
      </c>
      <c r="Q2104" s="4" t="s">
        <v>2272</v>
      </c>
      <c r="R2104" s="4" t="s">
        <v>2272</v>
      </c>
      <c r="S2104" s="4" t="s">
        <v>2272</v>
      </c>
      <c r="T2104" s="4" t="s">
        <v>2272</v>
      </c>
      <c r="U2104" s="4" t="s">
        <v>2272</v>
      </c>
      <c r="V2104" s="4" t="s">
        <v>2272</v>
      </c>
      <c r="W2104" s="4" t="s">
        <v>2272</v>
      </c>
      <c r="X2104" s="4" t="s">
        <v>2272</v>
      </c>
      <c r="Y2104" s="4" t="s">
        <v>2272</v>
      </c>
      <c r="Z2104" s="4" t="s">
        <v>2272</v>
      </c>
      <c r="AA2104" s="4" t="s">
        <v>2272</v>
      </c>
      <c r="AB2104" s="3"/>
      <c r="AC2104" s="4" t="s">
        <v>5971</v>
      </c>
    </row>
    <row r="2105" spans="1:29" ht="34" customHeight="1">
      <c r="A2105" s="151" t="str">
        <f>'Reported burning'!A2105</f>
        <v>247a</v>
      </c>
      <c r="B2105" s="151" t="str">
        <f>'Reported burning'!B2105</f>
        <v>247a.4</v>
      </c>
      <c r="C2105" s="151" t="str">
        <f>'Reported burning'!C2105</f>
        <v>Human, deliberate</v>
      </c>
      <c r="D2105" s="151" t="str">
        <f>'Reported burning'!D2105</f>
        <v>Arson</v>
      </c>
      <c r="E2105" s="151" t="str">
        <f>'Reported burning'!E2105</f>
        <v>Cropping, Swidden</v>
      </c>
      <c r="F2105" s="151" t="str">
        <f>'Reported burning'!F2105</f>
        <v>Cropland</v>
      </c>
      <c r="G2105" s="151" t="str">
        <f>'Reported burning'!G2105</f>
        <v>ND</v>
      </c>
      <c r="H2105" s="151" t="str">
        <f>'Reported burning'!H2105</f>
        <v>Presence</v>
      </c>
      <c r="I2105" s="5"/>
      <c r="J2105" s="4" t="s">
        <v>2272</v>
      </c>
      <c r="K2105" s="4" t="s">
        <v>2272</v>
      </c>
      <c r="L2105" s="4" t="s">
        <v>2272</v>
      </c>
      <c r="M2105" s="4" t="s">
        <v>2272</v>
      </c>
      <c r="N2105" s="4" t="s">
        <v>2272</v>
      </c>
      <c r="O2105" s="4" t="s">
        <v>2272</v>
      </c>
      <c r="P2105" s="4" t="s">
        <v>2272</v>
      </c>
      <c r="Q2105" s="4" t="s">
        <v>2272</v>
      </c>
      <c r="R2105" s="4" t="s">
        <v>2272</v>
      </c>
      <c r="S2105" s="4" t="s">
        <v>2272</v>
      </c>
      <c r="T2105" s="4" t="s">
        <v>2272</v>
      </c>
      <c r="U2105" s="4" t="s">
        <v>2272</v>
      </c>
      <c r="V2105" s="4" t="s">
        <v>2272</v>
      </c>
      <c r="W2105" s="4" t="s">
        <v>2272</v>
      </c>
      <c r="X2105" s="4" t="s">
        <v>2272</v>
      </c>
      <c r="Y2105" s="4" t="s">
        <v>2272</v>
      </c>
      <c r="Z2105" s="4" t="s">
        <v>2272</v>
      </c>
      <c r="AA2105" s="4" t="s">
        <v>2272</v>
      </c>
      <c r="AB2105" s="3"/>
      <c r="AC2105" s="3"/>
    </row>
    <row r="2106" spans="1:29" ht="34" customHeight="1">
      <c r="A2106" s="151" t="str">
        <f>'Reported burning'!A2106</f>
        <v>247a</v>
      </c>
      <c r="B2106" s="151" t="str">
        <f>'Reported burning'!B2106</f>
        <v>247a.5</v>
      </c>
      <c r="C2106" s="151" t="str">
        <f>'Reported burning'!C2106</f>
        <v>Human, deliberate</v>
      </c>
      <c r="D2106" s="151" t="str">
        <f>'Reported burning'!D2106</f>
        <v>Arson</v>
      </c>
      <c r="E2106" s="151" t="str">
        <f>'Reported burning'!E2106</f>
        <v>Cropping, Monoculture, Market-oriented</v>
      </c>
      <c r="F2106" s="151" t="str">
        <f>'Reported burning'!F2106</f>
        <v>Cropland</v>
      </c>
      <c r="G2106" s="151" t="str">
        <f>'Reported burning'!G2106</f>
        <v>ND</v>
      </c>
      <c r="H2106" s="151" t="str">
        <f>'Reported burning'!H2106</f>
        <v>Presence</v>
      </c>
      <c r="I2106" s="5"/>
      <c r="J2106" s="4" t="s">
        <v>2272</v>
      </c>
      <c r="K2106" s="4" t="s">
        <v>2272</v>
      </c>
      <c r="L2106" s="4" t="s">
        <v>2272</v>
      </c>
      <c r="M2106" s="4" t="s">
        <v>2272</v>
      </c>
      <c r="N2106" s="4" t="s">
        <v>2272</v>
      </c>
      <c r="O2106" s="4" t="s">
        <v>2272</v>
      </c>
      <c r="P2106" s="4" t="s">
        <v>2272</v>
      </c>
      <c r="Q2106" s="4" t="s">
        <v>2272</v>
      </c>
      <c r="R2106" s="4" t="s">
        <v>2272</v>
      </c>
      <c r="S2106" s="4" t="s">
        <v>2272</v>
      </c>
      <c r="T2106" s="4" t="s">
        <v>2272</v>
      </c>
      <c r="U2106" s="4" t="s">
        <v>2272</v>
      </c>
      <c r="V2106" s="4" t="s">
        <v>2272</v>
      </c>
      <c r="W2106" s="4" t="s">
        <v>2272</v>
      </c>
      <c r="X2106" s="4" t="s">
        <v>2272</v>
      </c>
      <c r="Y2106" s="4" t="s">
        <v>2272</v>
      </c>
      <c r="Z2106" s="4" t="s">
        <v>2272</v>
      </c>
      <c r="AA2106" s="4" t="s">
        <v>2272</v>
      </c>
      <c r="AB2106" s="3"/>
      <c r="AC2106" s="3"/>
    </row>
    <row r="2107" spans="1:29" ht="71.5" customHeight="1">
      <c r="A2107" s="151" t="str">
        <f>'Reported burning'!A2107</f>
        <v>248a</v>
      </c>
      <c r="B2107" s="151" t="str">
        <f>'Reported burning'!B2107</f>
        <v>248a.1</v>
      </c>
      <c r="C2107" s="151" t="str">
        <f>'Reported burning'!C2107</f>
        <v>Human, deliberate</v>
      </c>
      <c r="D2107" s="151" t="str">
        <f>'Reported burning'!D2107</f>
        <v>Crop field preparation</v>
      </c>
      <c r="E2107" s="151" t="str">
        <f>'Reported burning'!E2107</f>
        <v>Cropping, Swidden</v>
      </c>
      <c r="F2107" s="151" t="str">
        <f>'Reported burning'!F2107</f>
        <v>Secondary vegetation</v>
      </c>
      <c r="G2107" s="151" t="str">
        <f>'Reported burning'!G2107</f>
        <v>ND</v>
      </c>
      <c r="H2107" s="151" t="str">
        <f>'Reported burning'!H2107</f>
        <v>Presence</v>
      </c>
      <c r="I2107" s="5"/>
      <c r="J2107" s="4" t="s">
        <v>2272</v>
      </c>
      <c r="K2107" s="4" t="s">
        <v>2272</v>
      </c>
      <c r="L2107" s="4" t="s">
        <v>2272</v>
      </c>
      <c r="M2107" s="4" t="s">
        <v>2272</v>
      </c>
      <c r="N2107" s="4" t="s">
        <v>2272</v>
      </c>
      <c r="O2107" s="4" t="s">
        <v>2272</v>
      </c>
      <c r="P2107" s="4" t="s">
        <v>2272</v>
      </c>
      <c r="Q2107" s="4" t="s">
        <v>2272</v>
      </c>
      <c r="R2107" s="4" t="s">
        <v>2272</v>
      </c>
      <c r="S2107" s="4" t="s">
        <v>2272</v>
      </c>
      <c r="T2107" s="4" t="s">
        <v>2272</v>
      </c>
      <c r="U2107" s="4" t="s">
        <v>2272</v>
      </c>
      <c r="V2107" s="4" t="s">
        <v>2272</v>
      </c>
      <c r="W2107" s="4" t="s">
        <v>2272</v>
      </c>
      <c r="X2107" s="21" t="s">
        <v>2399</v>
      </c>
      <c r="Y2107" s="3" t="s">
        <v>403</v>
      </c>
      <c r="Z2107" s="3" t="s">
        <v>403</v>
      </c>
      <c r="AA2107" s="3" t="s">
        <v>2650</v>
      </c>
      <c r="AB2107" s="4" t="s">
        <v>5983</v>
      </c>
      <c r="AC2107" s="4" t="s">
        <v>5982</v>
      </c>
    </row>
    <row r="2108" spans="1:29" ht="71.5" customHeight="1">
      <c r="A2108" s="151" t="str">
        <f>'Reported burning'!A2108</f>
        <v>248a</v>
      </c>
      <c r="B2108" s="151" t="str">
        <f>'Reported burning'!B2108</f>
        <v>248a.2</v>
      </c>
      <c r="C2108" s="151" t="str">
        <f>'Reported burning'!C2108</f>
        <v>Human, deliberate</v>
      </c>
      <c r="D2108" s="151" t="str">
        <f>'Reported burning'!D2108</f>
        <v>Crop field preparation</v>
      </c>
      <c r="E2108" s="151" t="str">
        <f>'Reported burning'!E2108</f>
        <v>Tourism manager</v>
      </c>
      <c r="F2108" s="151" t="str">
        <f>'Reported burning'!F2108</f>
        <v>Secondary vegetation</v>
      </c>
      <c r="G2108" s="151" t="str">
        <f>'Reported burning'!G2108</f>
        <v>ND</v>
      </c>
      <c r="H2108" s="151" t="str">
        <f>'Reported burning'!H2108</f>
        <v>Presence</v>
      </c>
      <c r="I2108" s="5"/>
      <c r="J2108" s="4" t="s">
        <v>2272</v>
      </c>
      <c r="K2108" s="4" t="s">
        <v>2272</v>
      </c>
      <c r="L2108" s="4" t="s">
        <v>2272</v>
      </c>
      <c r="M2108" s="4" t="s">
        <v>2272</v>
      </c>
      <c r="N2108" s="4" t="s">
        <v>2272</v>
      </c>
      <c r="O2108" s="4" t="s">
        <v>2272</v>
      </c>
      <c r="P2108" s="4" t="s">
        <v>2272</v>
      </c>
      <c r="Q2108" s="4" t="s">
        <v>2272</v>
      </c>
      <c r="R2108" s="4" t="s">
        <v>2272</v>
      </c>
      <c r="S2108" s="4" t="s">
        <v>2272</v>
      </c>
      <c r="T2108" s="4" t="s">
        <v>2272</v>
      </c>
      <c r="U2108" s="4" t="s">
        <v>2272</v>
      </c>
      <c r="V2108" s="4" t="s">
        <v>2272</v>
      </c>
      <c r="W2108" s="4" t="s">
        <v>2272</v>
      </c>
      <c r="X2108" s="21" t="s">
        <v>2399</v>
      </c>
      <c r="Y2108" s="3" t="s">
        <v>403</v>
      </c>
      <c r="Z2108" s="3" t="s">
        <v>403</v>
      </c>
      <c r="AA2108" s="3" t="s">
        <v>2650</v>
      </c>
      <c r="AB2108" s="4" t="s">
        <v>5984</v>
      </c>
      <c r="AC2108" s="4" t="s">
        <v>5982</v>
      </c>
    </row>
    <row r="2109" spans="1:29" ht="41" customHeight="1">
      <c r="A2109" s="151" t="str">
        <f>'Reported burning'!A2109</f>
        <v>249a</v>
      </c>
      <c r="B2109" s="151" t="str">
        <f>'Reported burning'!B2109</f>
        <v>249a.1</v>
      </c>
      <c r="C2109" s="151" t="str">
        <f>'Reported burning'!C2109</f>
        <v>Human, deliberate</v>
      </c>
      <c r="D2109" s="151" t="str">
        <f>'Reported burning'!D2109</f>
        <v>All</v>
      </c>
      <c r="E2109" s="151" t="str">
        <f>'Reported burning'!E2109</f>
        <v>Forestry, Traditional</v>
      </c>
      <c r="F2109" s="151" t="str">
        <f>'Reported burning'!F2109</f>
        <v>Shrubland (Mixed forest &amp; grassland)</v>
      </c>
      <c r="G2109" s="151" t="str">
        <f>'Reported burning'!G2109</f>
        <v>Shrubland (Mixed forest &amp; grassland)</v>
      </c>
      <c r="H2109" s="151" t="str">
        <f>'Reported burning'!H2109</f>
        <v>Presence</v>
      </c>
      <c r="I2109" s="5"/>
      <c r="J2109" s="21" t="s">
        <v>2363</v>
      </c>
      <c r="K2109" s="21" t="s">
        <v>2363</v>
      </c>
      <c r="L2109" s="98" t="s">
        <v>2358</v>
      </c>
      <c r="M2109" s="4" t="s">
        <v>2272</v>
      </c>
      <c r="N2109" s="4" t="s">
        <v>2272</v>
      </c>
      <c r="O2109" s="4" t="s">
        <v>2272</v>
      </c>
      <c r="P2109" s="21" t="s">
        <v>2372</v>
      </c>
      <c r="Q2109" s="4" t="s">
        <v>2272</v>
      </c>
      <c r="R2109" s="4" t="s">
        <v>2272</v>
      </c>
      <c r="S2109" s="4" t="s">
        <v>2272</v>
      </c>
      <c r="T2109" s="4" t="s">
        <v>2272</v>
      </c>
      <c r="U2109" s="4" t="s">
        <v>2272</v>
      </c>
      <c r="V2109" s="4" t="s">
        <v>2272</v>
      </c>
      <c r="W2109" s="4" t="s">
        <v>2272</v>
      </c>
      <c r="X2109" s="4" t="s">
        <v>2272</v>
      </c>
      <c r="Y2109" s="3" t="s">
        <v>34</v>
      </c>
      <c r="Z2109" s="3" t="s">
        <v>84</v>
      </c>
      <c r="AA2109" s="3" t="s">
        <v>2272</v>
      </c>
      <c r="AB2109" s="3"/>
      <c r="AC2109" s="4" t="s">
        <v>11597</v>
      </c>
    </row>
    <row r="2110" spans="1:29" ht="41" customHeight="1">
      <c r="A2110" s="151" t="str">
        <f>'Reported burning'!A2110</f>
        <v>249a</v>
      </c>
      <c r="B2110" s="151" t="str">
        <f>'Reported burning'!B2110</f>
        <v>249a.2</v>
      </c>
      <c r="C2110" s="151" t="str">
        <f>'Reported burning'!C2110</f>
        <v>Human, deliberate</v>
      </c>
      <c r="D2110" s="151" t="str">
        <f>'Reported burning'!D2110</f>
        <v>All</v>
      </c>
      <c r="E2110" s="151" t="str">
        <f>'Reported burning'!E2110</f>
        <v>Forestry, Traditional</v>
      </c>
      <c r="F2110" s="151" t="str">
        <f>'Reported burning'!F2110</f>
        <v>Shrubland (Mixed forest &amp; grassland)</v>
      </c>
      <c r="G2110" s="151" t="str">
        <f>'Reported burning'!G2110</f>
        <v>Shrubland (Mixed forest &amp; grassland)</v>
      </c>
      <c r="H2110" s="151" t="str">
        <f>'Reported burning'!H2110</f>
        <v>Presence</v>
      </c>
      <c r="I2110" s="5"/>
      <c r="J2110" s="21" t="s">
        <v>2363</v>
      </c>
      <c r="K2110" s="21" t="s">
        <v>2363</v>
      </c>
      <c r="L2110" s="98" t="s">
        <v>2358</v>
      </c>
      <c r="M2110" s="4" t="s">
        <v>2272</v>
      </c>
      <c r="N2110" s="4" t="s">
        <v>2272</v>
      </c>
      <c r="O2110" s="4" t="s">
        <v>2272</v>
      </c>
      <c r="P2110" s="21" t="s">
        <v>2372</v>
      </c>
      <c r="Q2110" s="4" t="s">
        <v>2272</v>
      </c>
      <c r="R2110" s="4" t="s">
        <v>2272</v>
      </c>
      <c r="S2110" s="4" t="s">
        <v>2272</v>
      </c>
      <c r="T2110" s="4" t="s">
        <v>2272</v>
      </c>
      <c r="U2110" s="4" t="s">
        <v>2272</v>
      </c>
      <c r="V2110" s="4" t="s">
        <v>2272</v>
      </c>
      <c r="W2110" s="4" t="s">
        <v>2272</v>
      </c>
      <c r="X2110" s="4" t="s">
        <v>2272</v>
      </c>
      <c r="Y2110" s="3" t="s">
        <v>33</v>
      </c>
      <c r="Z2110" s="3" t="s">
        <v>67</v>
      </c>
      <c r="AA2110" s="3" t="s">
        <v>2272</v>
      </c>
      <c r="AB2110" s="3"/>
      <c r="AC2110" s="4" t="s">
        <v>11597</v>
      </c>
    </row>
    <row r="2111" spans="1:29" ht="41" customHeight="1">
      <c r="A2111" s="151" t="str">
        <f>'Reported burning'!A2111</f>
        <v>249a</v>
      </c>
      <c r="B2111" s="151" t="str">
        <f>'Reported burning'!B2111</f>
        <v>249a.3</v>
      </c>
      <c r="C2111" s="151" t="str">
        <f>'Reported burning'!C2111</f>
        <v>Human, escaped</v>
      </c>
      <c r="D2111" s="151" t="str">
        <f>'Reported burning'!D2111</f>
        <v>All</v>
      </c>
      <c r="E2111" s="151" t="str">
        <f>'Reported burning'!E2111</f>
        <v>Forestry, Traditional</v>
      </c>
      <c r="F2111" s="151" t="str">
        <f>'Reported burning'!F2111</f>
        <v>Shrubland (Mixed forest &amp; grassland)</v>
      </c>
      <c r="G2111" s="151" t="str">
        <f>'Reported burning'!G2111</f>
        <v>Shrubland (Mixed forest &amp; grassland)</v>
      </c>
      <c r="H2111" s="151" t="str">
        <f>'Reported burning'!H2111</f>
        <v>Presence</v>
      </c>
      <c r="I2111" s="5"/>
      <c r="J2111" s="4" t="s">
        <v>2272</v>
      </c>
      <c r="K2111" s="4" t="s">
        <v>2272</v>
      </c>
      <c r="L2111" s="4" t="s">
        <v>2272</v>
      </c>
      <c r="M2111" s="4" t="s">
        <v>2272</v>
      </c>
      <c r="N2111" s="4" t="s">
        <v>2272</v>
      </c>
      <c r="O2111" s="21" t="s">
        <v>2381</v>
      </c>
      <c r="P2111" s="4" t="s">
        <v>2272</v>
      </c>
      <c r="Q2111" s="4" t="s">
        <v>2272</v>
      </c>
      <c r="R2111" s="4" t="s">
        <v>2272</v>
      </c>
      <c r="S2111" s="4" t="s">
        <v>2272</v>
      </c>
      <c r="T2111" s="4" t="s">
        <v>2272</v>
      </c>
      <c r="U2111" s="4" t="s">
        <v>2272</v>
      </c>
      <c r="V2111" s="4" t="s">
        <v>2272</v>
      </c>
      <c r="W2111" s="4" t="s">
        <v>2272</v>
      </c>
      <c r="X2111" s="4" t="s">
        <v>2272</v>
      </c>
      <c r="Y2111" s="3" t="s">
        <v>2272</v>
      </c>
      <c r="Z2111" s="3" t="s">
        <v>2272</v>
      </c>
      <c r="AA2111" s="3" t="s">
        <v>2272</v>
      </c>
      <c r="AB2111" s="3"/>
      <c r="AC2111" s="3"/>
    </row>
    <row r="2112" spans="1:29" ht="43.5" customHeight="1">
      <c r="A2112" s="151" t="str">
        <f>'Reported burning'!A2112</f>
        <v>249b</v>
      </c>
      <c r="B2112" s="151" t="str">
        <f>'Reported burning'!B2112</f>
        <v>249b.1</v>
      </c>
      <c r="C2112" s="151" t="str">
        <f>'Reported burning'!C2112</f>
        <v>Lightning</v>
      </c>
      <c r="D2112" s="151" t="str">
        <f>'Reported burning'!D2112</f>
        <v>ND</v>
      </c>
      <c r="E2112" s="151" t="str">
        <f>'Reported burning'!E2112</f>
        <v>ND</v>
      </c>
      <c r="F2112" s="151" t="str">
        <f>'Reported burning'!F2112</f>
        <v>ND</v>
      </c>
      <c r="G2112" s="151" t="str">
        <f>'Reported burning'!G2112</f>
        <v>Shrubland (Mixed forest &amp; grassland)</v>
      </c>
      <c r="H2112" s="151" t="str">
        <f>'Reported burning'!H2112</f>
        <v>Presence</v>
      </c>
      <c r="I2112" s="5"/>
      <c r="J2112" s="21" t="s">
        <v>2361</v>
      </c>
      <c r="K2112" s="21" t="s">
        <v>2361</v>
      </c>
      <c r="L2112" s="4" t="s">
        <v>2272</v>
      </c>
      <c r="M2112" s="98" t="s">
        <v>2358</v>
      </c>
      <c r="N2112" s="4" t="s">
        <v>2272</v>
      </c>
      <c r="O2112" s="21" t="s">
        <v>2381</v>
      </c>
      <c r="P2112" s="4" t="s">
        <v>2272</v>
      </c>
      <c r="Q2112" s="4" t="s">
        <v>2272</v>
      </c>
      <c r="R2112" s="4" t="s">
        <v>2272</v>
      </c>
      <c r="S2112" s="4" t="s">
        <v>2272</v>
      </c>
      <c r="T2112" s="4" t="s">
        <v>2272</v>
      </c>
      <c r="U2112" s="4" t="s">
        <v>2272</v>
      </c>
      <c r="V2112" s="4" t="s">
        <v>2272</v>
      </c>
      <c r="W2112" s="4" t="s">
        <v>2272</v>
      </c>
      <c r="X2112" s="4" t="s">
        <v>2272</v>
      </c>
      <c r="Y2112" s="3" t="s">
        <v>34</v>
      </c>
      <c r="Z2112" s="3" t="s">
        <v>84</v>
      </c>
      <c r="AA2112" s="3" t="s">
        <v>2272</v>
      </c>
      <c r="AB2112" s="3"/>
      <c r="AC2112" s="4" t="s">
        <v>11598</v>
      </c>
    </row>
    <row r="2113" spans="1:29" ht="51.5" customHeight="1">
      <c r="A2113" s="151" t="str">
        <f>'Reported burning'!A2113</f>
        <v>249b</v>
      </c>
      <c r="B2113" s="151" t="str">
        <f>'Reported burning'!B2113</f>
        <v>249b.2</v>
      </c>
      <c r="C2113" s="151" t="str">
        <f>'Reported burning'!C2113</f>
        <v>Lightning</v>
      </c>
      <c r="D2113" s="151" t="str">
        <f>'Reported burning'!D2113</f>
        <v>ND</v>
      </c>
      <c r="E2113" s="151" t="str">
        <f>'Reported burning'!E2113</f>
        <v>ND</v>
      </c>
      <c r="F2113" s="151" t="str">
        <f>'Reported burning'!F2113</f>
        <v>ND</v>
      </c>
      <c r="G2113" s="151" t="str">
        <f>'Reported burning'!G2113</f>
        <v>Shrubland (Mixed forest &amp; grassland)</v>
      </c>
      <c r="H2113" s="151" t="str">
        <f>'Reported burning'!H2113</f>
        <v>Presence</v>
      </c>
      <c r="I2113" s="5"/>
      <c r="J2113" s="21" t="s">
        <v>2361</v>
      </c>
      <c r="K2113" s="21" t="s">
        <v>2361</v>
      </c>
      <c r="L2113" s="4" t="s">
        <v>2272</v>
      </c>
      <c r="M2113" s="98" t="s">
        <v>2358</v>
      </c>
      <c r="N2113" s="4" t="s">
        <v>2272</v>
      </c>
      <c r="O2113" s="21" t="s">
        <v>2381</v>
      </c>
      <c r="P2113" s="4" t="s">
        <v>2272</v>
      </c>
      <c r="Q2113" s="4" t="s">
        <v>2272</v>
      </c>
      <c r="R2113" s="4" t="s">
        <v>2272</v>
      </c>
      <c r="S2113" s="4" t="s">
        <v>2272</v>
      </c>
      <c r="T2113" s="4" t="s">
        <v>2272</v>
      </c>
      <c r="U2113" s="4" t="s">
        <v>2272</v>
      </c>
      <c r="V2113" s="4" t="s">
        <v>2272</v>
      </c>
      <c r="W2113" s="4" t="s">
        <v>2272</v>
      </c>
      <c r="X2113" s="4" t="s">
        <v>2272</v>
      </c>
      <c r="Y2113" s="3" t="s">
        <v>33</v>
      </c>
      <c r="Z2113" s="3" t="s">
        <v>67</v>
      </c>
      <c r="AA2113" s="3" t="s">
        <v>2272</v>
      </c>
      <c r="AB2113" s="3"/>
      <c r="AC2113" s="4" t="s">
        <v>11598</v>
      </c>
    </row>
    <row r="2114" spans="1:29" ht="36.5" customHeight="1">
      <c r="A2114" s="151" t="str">
        <f>'Reported burning'!A2114</f>
        <v>249a</v>
      </c>
      <c r="B2114" s="151" t="str">
        <f>'Reported burning'!B2114</f>
        <v>249a.4</v>
      </c>
      <c r="C2114" s="151" t="str">
        <f>'Reported burning'!C2114</f>
        <v>Human, deliberate</v>
      </c>
      <c r="D2114" s="151" t="str">
        <f>'Reported burning'!D2114</f>
        <v>Harvesting of NTFP</v>
      </c>
      <c r="E2114" s="151" t="str">
        <f>'Reported burning'!E2114</f>
        <v>Forestry, Traditional</v>
      </c>
      <c r="F2114" s="151" t="str">
        <f>'Reported burning'!F2114</f>
        <v>Shrubland (Mixed forest &amp; grassland)</v>
      </c>
      <c r="G2114" s="151" t="str">
        <f>'Reported burning'!G2114</f>
        <v>Shrubland (Mixed forest &amp; grassland)</v>
      </c>
      <c r="H2114" s="151" t="str">
        <f>'Reported burning'!H2114</f>
        <v>Presence</v>
      </c>
      <c r="I2114" s="5"/>
      <c r="J2114" s="4" t="s">
        <v>2272</v>
      </c>
      <c r="K2114" s="4" t="s">
        <v>2272</v>
      </c>
      <c r="L2114" s="4" t="s">
        <v>2272</v>
      </c>
      <c r="M2114" s="4" t="s">
        <v>2272</v>
      </c>
      <c r="N2114" s="4" t="s">
        <v>2272</v>
      </c>
      <c r="O2114" s="4" t="s">
        <v>2272</v>
      </c>
      <c r="P2114" s="4" t="s">
        <v>2272</v>
      </c>
      <c r="Q2114" s="4" t="s">
        <v>2272</v>
      </c>
      <c r="R2114" s="4" t="s">
        <v>2272</v>
      </c>
      <c r="S2114" s="4" t="s">
        <v>2272</v>
      </c>
      <c r="T2114" s="4" t="s">
        <v>2272</v>
      </c>
      <c r="U2114" s="4" t="s">
        <v>2272</v>
      </c>
      <c r="V2114" s="4" t="s">
        <v>2272</v>
      </c>
      <c r="W2114" s="4" t="s">
        <v>2272</v>
      </c>
      <c r="X2114" s="4" t="s">
        <v>2272</v>
      </c>
      <c r="Y2114" s="3" t="s">
        <v>37</v>
      </c>
      <c r="Z2114" s="3" t="s">
        <v>423</v>
      </c>
      <c r="AA2114" s="3" t="s">
        <v>2272</v>
      </c>
      <c r="AB2114" s="3"/>
      <c r="AC2114" s="3"/>
    </row>
    <row r="2115" spans="1:29" ht="36.5" customHeight="1">
      <c r="A2115" s="151" t="str">
        <f>'Reported burning'!A2115</f>
        <v>249a</v>
      </c>
      <c r="B2115" s="151" t="str">
        <f>'Reported burning'!B2115</f>
        <v>249a.5</v>
      </c>
      <c r="C2115" s="151" t="str">
        <f>'Reported burning'!C2115</f>
        <v>Human, deliberate</v>
      </c>
      <c r="D2115" s="151" t="str">
        <f>'Reported burning'!D2115</f>
        <v>Hunting</v>
      </c>
      <c r="E2115" s="151" t="str">
        <f>'Reported burning'!E2115</f>
        <v>Forestry, Traditional</v>
      </c>
      <c r="F2115" s="151" t="str">
        <f>'Reported burning'!F2115</f>
        <v>Shrubland (Mixed forest &amp; grassland)</v>
      </c>
      <c r="G2115" s="151" t="str">
        <f>'Reported burning'!G2115</f>
        <v>Shrubland (Mixed forest &amp; grassland)</v>
      </c>
      <c r="H2115" s="151" t="str">
        <f>'Reported burning'!H2115</f>
        <v>Presence</v>
      </c>
      <c r="I2115" s="5"/>
      <c r="J2115" s="4" t="s">
        <v>2272</v>
      </c>
      <c r="K2115" s="4" t="s">
        <v>2272</v>
      </c>
      <c r="L2115" s="4" t="s">
        <v>2272</v>
      </c>
      <c r="M2115" s="4" t="s">
        <v>2272</v>
      </c>
      <c r="N2115" s="4" t="s">
        <v>2272</v>
      </c>
      <c r="O2115" s="4" t="s">
        <v>2272</v>
      </c>
      <c r="P2115" s="4" t="s">
        <v>2272</v>
      </c>
      <c r="Q2115" s="4" t="s">
        <v>2272</v>
      </c>
      <c r="R2115" s="4" t="s">
        <v>2272</v>
      </c>
      <c r="S2115" s="4" t="s">
        <v>2272</v>
      </c>
      <c r="T2115" s="4" t="s">
        <v>2272</v>
      </c>
      <c r="U2115" s="4" t="s">
        <v>2272</v>
      </c>
      <c r="V2115" s="4" t="s">
        <v>2272</v>
      </c>
      <c r="W2115" s="4" t="s">
        <v>2272</v>
      </c>
      <c r="X2115" s="4" t="s">
        <v>2272</v>
      </c>
      <c r="Y2115" s="3" t="s">
        <v>37</v>
      </c>
      <c r="Z2115" s="3" t="s">
        <v>423</v>
      </c>
      <c r="AA2115" s="3" t="s">
        <v>2272</v>
      </c>
      <c r="AB2115" s="3"/>
      <c r="AC2115" s="3"/>
    </row>
    <row r="2116" spans="1:29" ht="31.5" customHeight="1">
      <c r="A2116" s="151" t="str">
        <f>'Reported burning'!A2116</f>
        <v>250a</v>
      </c>
      <c r="B2116" s="151" t="str">
        <f>'Reported burning'!B2116</f>
        <v>250a.1</v>
      </c>
      <c r="C2116" s="151" t="str">
        <f>'Reported burning'!C2116</f>
        <v>Human, deliberate</v>
      </c>
      <c r="D2116" s="151" t="str">
        <f>'Reported burning'!D2116</f>
        <v>Crop field preparation</v>
      </c>
      <c r="E2116" s="151" t="str">
        <f>'Reported burning'!E2116</f>
        <v>Cropping, Swidden</v>
      </c>
      <c r="F2116" s="151" t="str">
        <f>'Reported burning'!F2116</f>
        <v>Secondary vegetation</v>
      </c>
      <c r="G2116" s="151" t="str">
        <f>'Reported burning'!G2116</f>
        <v>ND</v>
      </c>
      <c r="H2116" s="151" t="str">
        <f>'Reported burning'!H2116</f>
        <v>Presence</v>
      </c>
      <c r="I2116" s="5"/>
      <c r="J2116" s="3" t="s">
        <v>2272</v>
      </c>
      <c r="K2116" s="198" t="s">
        <v>2272</v>
      </c>
      <c r="L2116" s="3" t="s">
        <v>2272</v>
      </c>
      <c r="M2116" s="3" t="s">
        <v>2272</v>
      </c>
      <c r="N2116" s="3" t="s">
        <v>2272</v>
      </c>
      <c r="O2116" s="3" t="s">
        <v>2272</v>
      </c>
      <c r="P2116" s="3" t="s">
        <v>2272</v>
      </c>
      <c r="Q2116" s="3" t="s">
        <v>2272</v>
      </c>
      <c r="R2116" s="3" t="s">
        <v>2272</v>
      </c>
      <c r="S2116" s="3" t="s">
        <v>2272</v>
      </c>
      <c r="T2116" s="3" t="s">
        <v>2272</v>
      </c>
      <c r="U2116" s="3" t="s">
        <v>2272</v>
      </c>
      <c r="V2116" s="3" t="s">
        <v>2272</v>
      </c>
      <c r="W2116" s="3" t="s">
        <v>2272</v>
      </c>
      <c r="X2116" s="3" t="s">
        <v>2272</v>
      </c>
      <c r="Y2116" s="3" t="s">
        <v>2272</v>
      </c>
      <c r="Z2116" s="3" t="s">
        <v>2272</v>
      </c>
      <c r="AA2116" s="3" t="s">
        <v>2272</v>
      </c>
      <c r="AB2116" s="3"/>
      <c r="AC2116" s="3"/>
    </row>
    <row r="2117" spans="1:29" ht="31.5" customHeight="1">
      <c r="A2117" s="151" t="str">
        <f>'Reported burning'!A2117</f>
        <v>250a</v>
      </c>
      <c r="B2117" s="151" t="str">
        <f>'Reported burning'!B2117</f>
        <v>250a.2</v>
      </c>
      <c r="C2117" s="151" t="str">
        <f>'Reported burning'!C2117</f>
        <v>Human, deliberate</v>
      </c>
      <c r="D2117" s="151" t="str">
        <f>'Reported burning'!D2117</f>
        <v>Pasture renewal</v>
      </c>
      <c r="E2117" s="151" t="str">
        <f>'Reported burning'!E2117</f>
        <v>Cattle, Extensive</v>
      </c>
      <c r="F2117" s="151" t="str">
        <f>'Reported burning'!F2117</f>
        <v>Shrubland (Mixed forest &amp; grassland)</v>
      </c>
      <c r="G2117" s="151" t="str">
        <f>'Reported burning'!G2117</f>
        <v>ND</v>
      </c>
      <c r="H2117" s="151" t="str">
        <f>'Reported burning'!H2117</f>
        <v>Presence</v>
      </c>
      <c r="I2117" s="5"/>
      <c r="J2117" s="3" t="s">
        <v>2272</v>
      </c>
      <c r="K2117" s="198" t="s">
        <v>2272</v>
      </c>
      <c r="L2117" s="3" t="s">
        <v>2272</v>
      </c>
      <c r="M2117" s="3" t="s">
        <v>2272</v>
      </c>
      <c r="N2117" s="3" t="s">
        <v>2272</v>
      </c>
      <c r="O2117" s="3" t="s">
        <v>2272</v>
      </c>
      <c r="P2117" s="3" t="s">
        <v>2272</v>
      </c>
      <c r="Q2117" s="3" t="s">
        <v>2272</v>
      </c>
      <c r="R2117" s="3" t="s">
        <v>2272</v>
      </c>
      <c r="S2117" s="3" t="s">
        <v>2272</v>
      </c>
      <c r="T2117" s="3" t="s">
        <v>2272</v>
      </c>
      <c r="U2117" s="3" t="s">
        <v>2272</v>
      </c>
      <c r="V2117" s="3" t="s">
        <v>2272</v>
      </c>
      <c r="W2117" s="3" t="s">
        <v>2272</v>
      </c>
      <c r="X2117" s="21" t="s">
        <v>2396</v>
      </c>
      <c r="Y2117" s="3" t="s">
        <v>2272</v>
      </c>
      <c r="Z2117" s="3" t="s">
        <v>2272</v>
      </c>
      <c r="AA2117" s="3" t="s">
        <v>2272</v>
      </c>
      <c r="AB2117" s="3"/>
      <c r="AC2117" s="3" t="s">
        <v>6009</v>
      </c>
    </row>
    <row r="2118" spans="1:29" ht="31.5" customHeight="1">
      <c r="A2118" s="151" t="str">
        <f>'Reported burning'!A2118</f>
        <v>250a</v>
      </c>
      <c r="B2118" s="151" t="str">
        <f>'Reported burning'!B2118</f>
        <v>250a.3</v>
      </c>
      <c r="C2118" s="151" t="str">
        <f>'Reported burning'!C2118</f>
        <v>Human, deliberate</v>
      </c>
      <c r="D2118" s="151" t="str">
        <f>'Reported burning'!D2118</f>
        <v>Pasture renewal</v>
      </c>
      <c r="E2118" s="151" t="str">
        <f>'Reported burning'!E2118</f>
        <v>Cattle, Extensive</v>
      </c>
      <c r="F2118" s="151" t="str">
        <f>'Reported burning'!F2118</f>
        <v>Pasture</v>
      </c>
      <c r="G2118" s="151" t="str">
        <f>'Reported burning'!G2118</f>
        <v>ND</v>
      </c>
      <c r="H2118" s="151" t="str">
        <f>'Reported burning'!H2118</f>
        <v>Presence</v>
      </c>
      <c r="I2118" s="5"/>
      <c r="J2118" s="3" t="s">
        <v>2272</v>
      </c>
      <c r="K2118" s="198" t="s">
        <v>2272</v>
      </c>
      <c r="L2118" s="3" t="s">
        <v>2272</v>
      </c>
      <c r="M2118" s="3" t="s">
        <v>2272</v>
      </c>
      <c r="N2118" s="3" t="s">
        <v>2272</v>
      </c>
      <c r="O2118" s="3" t="s">
        <v>2272</v>
      </c>
      <c r="P2118" s="3" t="s">
        <v>2272</v>
      </c>
      <c r="Q2118" s="3" t="s">
        <v>2272</v>
      </c>
      <c r="R2118" s="3" t="s">
        <v>2272</v>
      </c>
      <c r="S2118" s="3" t="s">
        <v>2272</v>
      </c>
      <c r="T2118" s="3" t="s">
        <v>2272</v>
      </c>
      <c r="U2118" s="3" t="s">
        <v>2272</v>
      </c>
      <c r="V2118" s="3" t="s">
        <v>2272</v>
      </c>
      <c r="W2118" s="3" t="s">
        <v>2272</v>
      </c>
      <c r="X2118" s="21" t="s">
        <v>2396</v>
      </c>
      <c r="Y2118" s="3" t="s">
        <v>2272</v>
      </c>
      <c r="Z2118" s="3" t="s">
        <v>2272</v>
      </c>
      <c r="AA2118" s="3" t="s">
        <v>2272</v>
      </c>
      <c r="AB2118" s="3"/>
      <c r="AC2118" s="3" t="s">
        <v>6009</v>
      </c>
    </row>
    <row r="2119" spans="1:29" ht="48" customHeight="1">
      <c r="A2119" s="151" t="str">
        <f>'Reported burning'!A2119</f>
        <v>251a</v>
      </c>
      <c r="B2119" s="151" t="str">
        <f>'Reported burning'!B2119</f>
        <v>251a.1</v>
      </c>
      <c r="C2119" s="151" t="str">
        <f>'Reported burning'!C2119</f>
        <v>Human, deliberate</v>
      </c>
      <c r="D2119" s="151" t="str">
        <f>'Reported burning'!D2119</f>
        <v>Harvesting of NTFP</v>
      </c>
      <c r="E2119" s="151" t="str">
        <f>'Reported burning'!E2119</f>
        <v>Forestry, Traditional</v>
      </c>
      <c r="F2119" s="151" t="str">
        <f>'Reported burning'!F2119</f>
        <v>Forest</v>
      </c>
      <c r="G2119" s="151" t="str">
        <f>'Reported burning'!G2119</f>
        <v>ND</v>
      </c>
      <c r="H2119" s="151" t="str">
        <f>'Reported burning'!H2119</f>
        <v>Presence</v>
      </c>
      <c r="I2119" s="5"/>
      <c r="J2119" s="3" t="s">
        <v>2272</v>
      </c>
      <c r="K2119" s="198" t="s">
        <v>2272</v>
      </c>
      <c r="L2119" s="3" t="s">
        <v>2272</v>
      </c>
      <c r="M2119" s="3" t="s">
        <v>2272</v>
      </c>
      <c r="N2119" s="3" t="s">
        <v>2272</v>
      </c>
      <c r="O2119" s="3" t="s">
        <v>2272</v>
      </c>
      <c r="P2119" s="3" t="s">
        <v>2272</v>
      </c>
      <c r="Q2119" s="3" t="s">
        <v>2272</v>
      </c>
      <c r="R2119" s="3" t="s">
        <v>2272</v>
      </c>
      <c r="S2119" s="3" t="s">
        <v>2272</v>
      </c>
      <c r="T2119" s="3" t="s">
        <v>2272</v>
      </c>
      <c r="U2119" s="3" t="s">
        <v>2272</v>
      </c>
      <c r="V2119" s="3" t="s">
        <v>2272</v>
      </c>
      <c r="W2119" s="3" t="s">
        <v>2272</v>
      </c>
      <c r="X2119" s="3" t="s">
        <v>2272</v>
      </c>
      <c r="Y2119" s="3" t="s">
        <v>2272</v>
      </c>
      <c r="Z2119" s="3" t="s">
        <v>2272</v>
      </c>
      <c r="AA2119" s="3" t="s">
        <v>2272</v>
      </c>
      <c r="AB2119" s="4" t="s">
        <v>6022</v>
      </c>
      <c r="AC2119" s="3"/>
    </row>
    <row r="2120" spans="1:29" ht="48" customHeight="1">
      <c r="A2120" s="151" t="str">
        <f>'Reported burning'!A2120</f>
        <v>251a</v>
      </c>
      <c r="B2120" s="151" t="str">
        <f>'Reported burning'!B2120</f>
        <v>251a.2</v>
      </c>
      <c r="C2120" s="151" t="str">
        <f>'Reported burning'!C2120</f>
        <v>Human, deliberate</v>
      </c>
      <c r="D2120" s="151" t="str">
        <f>'Reported burning'!D2120</f>
        <v>Conservation</v>
      </c>
      <c r="E2120" s="151" t="str">
        <f>'Reported burning'!E2120</f>
        <v>Forestry, Traditional</v>
      </c>
      <c r="F2120" s="151" t="str">
        <f>'Reported burning'!F2120</f>
        <v>Forest</v>
      </c>
      <c r="G2120" s="151" t="str">
        <f>'Reported burning'!G2120</f>
        <v>ND</v>
      </c>
      <c r="H2120" s="151" t="str">
        <f>'Reported burning'!H2120</f>
        <v>Presence</v>
      </c>
      <c r="I2120" s="5"/>
      <c r="J2120" s="3" t="s">
        <v>2272</v>
      </c>
      <c r="K2120" s="198" t="s">
        <v>2272</v>
      </c>
      <c r="L2120" s="3" t="s">
        <v>2272</v>
      </c>
      <c r="M2120" s="3" t="s">
        <v>2272</v>
      </c>
      <c r="N2120" s="3" t="s">
        <v>2272</v>
      </c>
      <c r="O2120" s="3" t="s">
        <v>2272</v>
      </c>
      <c r="P2120" s="3" t="s">
        <v>2272</v>
      </c>
      <c r="Q2120" s="3" t="s">
        <v>2272</v>
      </c>
      <c r="R2120" s="3" t="s">
        <v>2272</v>
      </c>
      <c r="S2120" s="3" t="s">
        <v>2272</v>
      </c>
      <c r="T2120" s="3" t="s">
        <v>2272</v>
      </c>
      <c r="U2120" s="3" t="s">
        <v>2272</v>
      </c>
      <c r="V2120" s="3" t="s">
        <v>2272</v>
      </c>
      <c r="W2120" s="3" t="s">
        <v>2272</v>
      </c>
      <c r="X2120" s="3" t="s">
        <v>2272</v>
      </c>
      <c r="Y2120" s="3" t="s">
        <v>2272</v>
      </c>
      <c r="Z2120" s="3" t="s">
        <v>2272</v>
      </c>
      <c r="AA2120" s="3" t="s">
        <v>2272</v>
      </c>
      <c r="AB2120" s="4" t="s">
        <v>6022</v>
      </c>
      <c r="AC2120" s="3"/>
    </row>
    <row r="2121" spans="1:29" ht="48" customHeight="1">
      <c r="A2121" s="151" t="str">
        <f>'Reported burning'!A2121</f>
        <v>251a</v>
      </c>
      <c r="B2121" s="151" t="str">
        <f>'Reported burning'!B2121</f>
        <v>251a.3</v>
      </c>
      <c r="C2121" s="151" t="str">
        <f>'Reported burning'!C2121</f>
        <v>Human, deliberate</v>
      </c>
      <c r="D2121" s="151" t="str">
        <f>'Reported burning'!D2121</f>
        <v>Cultural &amp; Spiritual</v>
      </c>
      <c r="E2121" s="151" t="str">
        <f>'Reported burning'!E2121</f>
        <v>Forestry, Traditional</v>
      </c>
      <c r="F2121" s="151" t="str">
        <f>'Reported burning'!F2121</f>
        <v>Forest</v>
      </c>
      <c r="G2121" s="151" t="str">
        <f>'Reported burning'!G2121</f>
        <v>ND</v>
      </c>
      <c r="H2121" s="151" t="str">
        <f>'Reported burning'!H2121</f>
        <v>Presence</v>
      </c>
      <c r="I2121" s="5"/>
      <c r="J2121" s="3" t="s">
        <v>2272</v>
      </c>
      <c r="K2121" s="198" t="s">
        <v>2272</v>
      </c>
      <c r="L2121" s="3" t="s">
        <v>2272</v>
      </c>
      <c r="M2121" s="3" t="s">
        <v>2272</v>
      </c>
      <c r="N2121" s="3" t="s">
        <v>2272</v>
      </c>
      <c r="O2121" s="3" t="s">
        <v>2272</v>
      </c>
      <c r="P2121" s="3" t="s">
        <v>2272</v>
      </c>
      <c r="Q2121" s="3" t="s">
        <v>2272</v>
      </c>
      <c r="R2121" s="3" t="s">
        <v>2272</v>
      </c>
      <c r="S2121" s="3" t="s">
        <v>2272</v>
      </c>
      <c r="T2121" s="3" t="s">
        <v>2272</v>
      </c>
      <c r="U2121" s="3" t="s">
        <v>2272</v>
      </c>
      <c r="V2121" s="3" t="s">
        <v>2272</v>
      </c>
      <c r="W2121" s="3" t="s">
        <v>2272</v>
      </c>
      <c r="X2121" s="3" t="s">
        <v>2272</v>
      </c>
      <c r="Y2121" s="3" t="s">
        <v>2272</v>
      </c>
      <c r="Z2121" s="3" t="s">
        <v>2272</v>
      </c>
      <c r="AA2121" s="3" t="s">
        <v>2272</v>
      </c>
      <c r="AB2121" s="4" t="s">
        <v>6022</v>
      </c>
      <c r="AC2121" s="3"/>
    </row>
    <row r="2122" spans="1:29" ht="48" customHeight="1">
      <c r="A2122" s="151" t="str">
        <f>'Reported burning'!A2122</f>
        <v>251a</v>
      </c>
      <c r="B2122" s="151" t="str">
        <f>'Reported burning'!B2122</f>
        <v>251a.4</v>
      </c>
      <c r="C2122" s="151" t="str">
        <f>'Reported burning'!C2122</f>
        <v>Human, deliberate</v>
      </c>
      <c r="D2122" s="151" t="str">
        <f>'Reported burning'!D2122</f>
        <v>Conservation</v>
      </c>
      <c r="E2122" s="151" t="str">
        <f>'Reported burning'!E2122</f>
        <v>Biodiversity conservation</v>
      </c>
      <c r="F2122" s="151" t="str">
        <f>'Reported burning'!F2122</f>
        <v>Forest</v>
      </c>
      <c r="G2122" s="151" t="str">
        <f>'Reported burning'!G2122</f>
        <v>ND</v>
      </c>
      <c r="H2122" s="151" t="str">
        <f>'Reported burning'!H2122</f>
        <v>Presence</v>
      </c>
      <c r="I2122" s="5"/>
      <c r="J2122" s="3" t="s">
        <v>2272</v>
      </c>
      <c r="K2122" s="198" t="s">
        <v>2272</v>
      </c>
      <c r="L2122" s="3" t="s">
        <v>2272</v>
      </c>
      <c r="M2122" s="3" t="s">
        <v>2272</v>
      </c>
      <c r="N2122" s="3" t="s">
        <v>2272</v>
      </c>
      <c r="O2122" s="3" t="s">
        <v>2272</v>
      </c>
      <c r="P2122" s="3" t="s">
        <v>2272</v>
      </c>
      <c r="Q2122" s="3" t="s">
        <v>2272</v>
      </c>
      <c r="R2122" s="3" t="s">
        <v>2272</v>
      </c>
      <c r="S2122" s="3" t="s">
        <v>2272</v>
      </c>
      <c r="T2122" s="3" t="s">
        <v>2272</v>
      </c>
      <c r="U2122" s="3" t="s">
        <v>2272</v>
      </c>
      <c r="V2122" s="3" t="s">
        <v>2272</v>
      </c>
      <c r="W2122" s="3" t="s">
        <v>2272</v>
      </c>
      <c r="X2122" s="3" t="s">
        <v>2272</v>
      </c>
      <c r="Y2122" s="3" t="s">
        <v>2272</v>
      </c>
      <c r="Z2122" s="3" t="s">
        <v>2272</v>
      </c>
      <c r="AA2122" s="3" t="s">
        <v>2272</v>
      </c>
      <c r="AB2122" s="4" t="s">
        <v>6022</v>
      </c>
      <c r="AC2122" s="3"/>
    </row>
    <row r="2123" spans="1:29" ht="49" customHeight="1">
      <c r="A2123" s="151" t="str">
        <f>'Reported burning'!A2123</f>
        <v>251a</v>
      </c>
      <c r="B2123" s="151" t="str">
        <f>'Reported burning'!B2123</f>
        <v>251a.5</v>
      </c>
      <c r="C2123" s="151" t="str">
        <f>'Reported burning'!C2123</f>
        <v>Human, deliberate</v>
      </c>
      <c r="D2123" s="151" t="str">
        <f>'Reported burning'!D2123</f>
        <v>Harvesting of NTFP</v>
      </c>
      <c r="E2123" s="151" t="str">
        <f>'Reported burning'!E2123</f>
        <v>Forestry, Traditional</v>
      </c>
      <c r="F2123" s="151" t="str">
        <f>'Reported burning'!F2123</f>
        <v>Forest</v>
      </c>
      <c r="G2123" s="151" t="str">
        <f>'Reported burning'!G2123</f>
        <v>ND</v>
      </c>
      <c r="H2123" s="151"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21">
        <v>0</v>
      </c>
      <c r="X2123" s="3" t="s">
        <v>2272</v>
      </c>
      <c r="Y2123" s="3" t="s">
        <v>2272</v>
      </c>
      <c r="Z2123" s="3" t="s">
        <v>2272</v>
      </c>
      <c r="AA2123" s="3" t="s">
        <v>2272</v>
      </c>
      <c r="AB2123" s="4" t="s">
        <v>6023</v>
      </c>
      <c r="AC2123" s="3"/>
    </row>
    <row r="2124" spans="1:29" ht="49" customHeight="1">
      <c r="A2124" s="151" t="str">
        <f>'Reported burning'!A2124</f>
        <v>251a</v>
      </c>
      <c r="B2124" s="151" t="str">
        <f>'Reported burning'!B2124</f>
        <v>251a.6</v>
      </c>
      <c r="C2124" s="151" t="str">
        <f>'Reported burning'!C2124</f>
        <v>Human, deliberate</v>
      </c>
      <c r="D2124" s="151" t="str">
        <f>'Reported burning'!D2124</f>
        <v>Conservation</v>
      </c>
      <c r="E2124" s="151" t="str">
        <f>'Reported burning'!E2124</f>
        <v>Forestry, Traditional</v>
      </c>
      <c r="F2124" s="151" t="str">
        <f>'Reported burning'!F2124</f>
        <v>Forest</v>
      </c>
      <c r="G2124" s="151" t="str">
        <f>'Reported burning'!G2124</f>
        <v>ND</v>
      </c>
      <c r="H2124" s="151"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21">
        <v>0</v>
      </c>
      <c r="X2124" s="3" t="s">
        <v>2272</v>
      </c>
      <c r="Y2124" s="3" t="s">
        <v>2272</v>
      </c>
      <c r="Z2124" s="3" t="s">
        <v>2272</v>
      </c>
      <c r="AA2124" s="3" t="s">
        <v>2272</v>
      </c>
      <c r="AB2124" s="4" t="s">
        <v>6023</v>
      </c>
      <c r="AC2124" s="3"/>
    </row>
    <row r="2125" spans="1:29" ht="49" customHeight="1">
      <c r="A2125" s="151" t="str">
        <f>'Reported burning'!A2125</f>
        <v>251a</v>
      </c>
      <c r="B2125" s="151" t="str">
        <f>'Reported burning'!B2125</f>
        <v>251a.7</v>
      </c>
      <c r="C2125" s="151" t="str">
        <f>'Reported burning'!C2125</f>
        <v>Human, deliberate</v>
      </c>
      <c r="D2125" s="151" t="str">
        <f>'Reported burning'!D2125</f>
        <v>Cultural &amp; Spiritual</v>
      </c>
      <c r="E2125" s="151" t="str">
        <f>'Reported burning'!E2125</f>
        <v>Forestry, Traditional</v>
      </c>
      <c r="F2125" s="151" t="str">
        <f>'Reported burning'!F2125</f>
        <v>Forest</v>
      </c>
      <c r="G2125" s="151" t="str">
        <f>'Reported burning'!G2125</f>
        <v>ND</v>
      </c>
      <c r="H2125" s="151"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21">
        <v>0</v>
      </c>
      <c r="X2125" s="3" t="s">
        <v>2272</v>
      </c>
      <c r="Y2125" s="3" t="s">
        <v>2272</v>
      </c>
      <c r="Z2125" s="3" t="s">
        <v>2272</v>
      </c>
      <c r="AA2125" s="3" t="s">
        <v>2272</v>
      </c>
      <c r="AB2125" s="4" t="s">
        <v>6023</v>
      </c>
      <c r="AC2125" s="3"/>
    </row>
    <row r="2126" spans="1:29" ht="49" customHeight="1">
      <c r="A2126" s="151" t="str">
        <f>'Reported burning'!A2126</f>
        <v>251a</v>
      </c>
      <c r="B2126" s="151" t="str">
        <f>'Reported burning'!B2126</f>
        <v>251a.8</v>
      </c>
      <c r="C2126" s="151" t="str">
        <f>'Reported burning'!C2126</f>
        <v>Human, deliberate</v>
      </c>
      <c r="D2126" s="151" t="str">
        <f>'Reported burning'!D2126</f>
        <v>Conservation</v>
      </c>
      <c r="E2126" s="151" t="str">
        <f>'Reported burning'!E2126</f>
        <v>Biodiversity conservation</v>
      </c>
      <c r="F2126" s="151" t="str">
        <f>'Reported burning'!F2126</f>
        <v>Forest</v>
      </c>
      <c r="G2126" s="151" t="str">
        <f>'Reported burning'!G2126</f>
        <v>ND</v>
      </c>
      <c r="H2126" s="151"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21">
        <v>0</v>
      </c>
      <c r="X2126" s="3" t="s">
        <v>2272</v>
      </c>
      <c r="Y2126" s="3" t="s">
        <v>2272</v>
      </c>
      <c r="Z2126" s="3" t="s">
        <v>2272</v>
      </c>
      <c r="AA2126" s="3" t="s">
        <v>2272</v>
      </c>
      <c r="AB2126" s="4" t="s">
        <v>6023</v>
      </c>
      <c r="AC2126" s="3"/>
    </row>
    <row r="2127" spans="1:29" ht="34.5" customHeight="1">
      <c r="A2127" s="151" t="str">
        <f>'Reported burning'!A2127</f>
        <v>252a</v>
      </c>
      <c r="B2127" s="151" t="str">
        <f>'Reported burning'!B2127</f>
        <v>252a.1</v>
      </c>
      <c r="C2127" s="151" t="str">
        <f>'Reported burning'!C2127</f>
        <v>Human, deliberate</v>
      </c>
      <c r="D2127" s="151" t="str">
        <f>'Reported burning'!D2127</f>
        <v>Conservation</v>
      </c>
      <c r="E2127" s="151" t="str">
        <f>'Reported burning'!E2127</f>
        <v>Biodiversity conservation</v>
      </c>
      <c r="F2127" s="151" t="str">
        <f>'Reported burning'!F2127</f>
        <v>Grassland</v>
      </c>
      <c r="G2127" s="151" t="str">
        <f>'Reported burning'!G2127</f>
        <v>ND</v>
      </c>
      <c r="H2127" s="151" t="str">
        <f>'Reported burning'!H2127</f>
        <v>Presence</v>
      </c>
      <c r="I2127" s="5"/>
      <c r="J2127" s="3" t="s">
        <v>2272</v>
      </c>
      <c r="K2127" s="198" t="s">
        <v>2272</v>
      </c>
      <c r="L2127" s="3" t="s">
        <v>2272</v>
      </c>
      <c r="M2127" s="3" t="s">
        <v>2272</v>
      </c>
      <c r="N2127" s="3" t="s">
        <v>2272</v>
      </c>
      <c r="O2127" s="3" t="s">
        <v>2272</v>
      </c>
      <c r="P2127" s="3" t="s">
        <v>2272</v>
      </c>
      <c r="Q2127" s="3" t="s">
        <v>2272</v>
      </c>
      <c r="R2127" s="3" t="s">
        <v>2272</v>
      </c>
      <c r="S2127" s="3" t="s">
        <v>2272</v>
      </c>
      <c r="T2127" s="3" t="s">
        <v>2272</v>
      </c>
      <c r="U2127" s="3" t="s">
        <v>2272</v>
      </c>
      <c r="V2127" s="3" t="s">
        <v>2272</v>
      </c>
      <c r="W2127" s="3" t="s">
        <v>2272</v>
      </c>
      <c r="X2127" s="3" t="s">
        <v>2272</v>
      </c>
      <c r="Y2127" s="3" t="s">
        <v>2272</v>
      </c>
      <c r="Z2127" s="3" t="s">
        <v>2272</v>
      </c>
      <c r="AA2127" s="3" t="s">
        <v>2272</v>
      </c>
      <c r="AB2127" s="3"/>
      <c r="AC2127" s="3"/>
    </row>
    <row r="2128" spans="1:29" ht="34.5" customHeight="1">
      <c r="A2128" s="151" t="str">
        <f>'Reported burning'!A2128</f>
        <v>252a</v>
      </c>
      <c r="B2128" s="151" t="str">
        <f>'Reported burning'!B2128</f>
        <v>252a.2</v>
      </c>
      <c r="C2128" s="151" t="str">
        <f>'Reported burning'!C2128</f>
        <v>Human, deliberate</v>
      </c>
      <c r="D2128" s="151" t="str">
        <f>'Reported burning'!D2128</f>
        <v>Pasture renewal</v>
      </c>
      <c r="E2128" s="151" t="str">
        <f>'Reported burning'!E2128</f>
        <v>Cattle, Extensive</v>
      </c>
      <c r="F2128" s="151" t="str">
        <f>'Reported burning'!F2128</f>
        <v>Grassland</v>
      </c>
      <c r="G2128" s="151" t="str">
        <f>'Reported burning'!G2128</f>
        <v>ND</v>
      </c>
      <c r="H2128" s="151" t="str">
        <f>'Reported burning'!H2128</f>
        <v>Presence</v>
      </c>
      <c r="I2128" s="5"/>
      <c r="J2128" s="3" t="s">
        <v>2272</v>
      </c>
      <c r="K2128" s="198" t="s">
        <v>2272</v>
      </c>
      <c r="L2128" s="3" t="s">
        <v>2272</v>
      </c>
      <c r="M2128" s="3" t="s">
        <v>2272</v>
      </c>
      <c r="N2128" s="3" t="s">
        <v>2272</v>
      </c>
      <c r="O2128" s="3" t="s">
        <v>2272</v>
      </c>
      <c r="P2128" s="3" t="s">
        <v>2272</v>
      </c>
      <c r="Q2128" s="3" t="s">
        <v>2272</v>
      </c>
      <c r="R2128" s="3" t="s">
        <v>2272</v>
      </c>
      <c r="S2128" s="3" t="s">
        <v>2272</v>
      </c>
      <c r="T2128" s="3" t="s">
        <v>2272</v>
      </c>
      <c r="U2128" s="3" t="s">
        <v>2272</v>
      </c>
      <c r="V2128" s="3" t="s">
        <v>2272</v>
      </c>
      <c r="W2128" s="3" t="s">
        <v>2272</v>
      </c>
      <c r="X2128" s="3" t="s">
        <v>2272</v>
      </c>
      <c r="Y2128" s="3" t="s">
        <v>2272</v>
      </c>
      <c r="Z2128" s="3" t="s">
        <v>2272</v>
      </c>
      <c r="AA2128" s="3" t="s">
        <v>2272</v>
      </c>
      <c r="AB2128" s="4"/>
      <c r="AC2128" s="3"/>
    </row>
    <row r="2129" spans="1:30" ht="34.5" customHeight="1">
      <c r="A2129" s="151" t="str">
        <f>'Reported burning'!A2129</f>
        <v>252a</v>
      </c>
      <c r="B2129" s="151" t="str">
        <f>'Reported burning'!B2129</f>
        <v>252a.3</v>
      </c>
      <c r="C2129" s="151" t="str">
        <f>'Reported burning'!C2129</f>
        <v>Human, deliberate</v>
      </c>
      <c r="D2129" s="151" t="str">
        <f>'Reported burning'!D2129</f>
        <v>All</v>
      </c>
      <c r="E2129" s="151" t="str">
        <f>'Reported burning'!E2129</f>
        <v>Abandoned agricultural land</v>
      </c>
      <c r="F2129" s="151" t="str">
        <f>'Reported burning'!F2129</f>
        <v>Grassland</v>
      </c>
      <c r="G2129" s="151" t="str">
        <f>'Reported burning'!G2129</f>
        <v>ND</v>
      </c>
      <c r="H2129" s="151"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21">
        <v>0</v>
      </c>
      <c r="X2129" s="3" t="s">
        <v>2272</v>
      </c>
      <c r="Y2129" s="3" t="s">
        <v>2272</v>
      </c>
      <c r="Z2129" s="3" t="s">
        <v>2272</v>
      </c>
      <c r="AA2129" s="3" t="s">
        <v>2272</v>
      </c>
      <c r="AB2129" s="4"/>
      <c r="AC2129" s="3"/>
    </row>
    <row r="2130" spans="1:30" ht="48" customHeight="1">
      <c r="A2130" s="151" t="str">
        <f>'Reported burning'!A2130</f>
        <v>253a</v>
      </c>
      <c r="B2130" s="151" t="str">
        <f>'Reported burning'!B2130</f>
        <v>253a.1</v>
      </c>
      <c r="C2130" s="151" t="str">
        <f>'Reported burning'!C2130</f>
        <v>Human, deliberate</v>
      </c>
      <c r="D2130" s="151" t="str">
        <f>'Reported burning'!D2130</f>
        <v>Pasture renewal</v>
      </c>
      <c r="E2130" s="151" t="str">
        <f>'Reported burning'!E2130</f>
        <v>Pastoralism, Migratory</v>
      </c>
      <c r="F2130" s="151" t="str">
        <f>'Reported burning'!F2130</f>
        <v>Grassland</v>
      </c>
      <c r="G2130" s="151" t="str">
        <f>'Reported burning'!G2130</f>
        <v>ND</v>
      </c>
      <c r="H2130" s="151" t="str">
        <f>'Reported burning'!H2130</f>
        <v>Presence</v>
      </c>
      <c r="I2130" s="5"/>
      <c r="J2130" s="3" t="s">
        <v>2272</v>
      </c>
      <c r="K2130" s="198" t="s">
        <v>2272</v>
      </c>
      <c r="L2130" s="3" t="s">
        <v>2272</v>
      </c>
      <c r="M2130" s="3" t="s">
        <v>2272</v>
      </c>
      <c r="N2130" s="3" t="s">
        <v>2272</v>
      </c>
      <c r="O2130" s="3" t="s">
        <v>2272</v>
      </c>
      <c r="P2130" s="3" t="s">
        <v>2272</v>
      </c>
      <c r="Q2130" s="3" t="s">
        <v>2272</v>
      </c>
      <c r="R2130" s="3" t="s">
        <v>2272</v>
      </c>
      <c r="S2130" s="3" t="s">
        <v>2272</v>
      </c>
      <c r="T2130" s="3" t="s">
        <v>2272</v>
      </c>
      <c r="U2130" s="3" t="s">
        <v>2272</v>
      </c>
      <c r="V2130" s="3" t="s">
        <v>2272</v>
      </c>
      <c r="W2130" s="3" t="s">
        <v>2272</v>
      </c>
      <c r="X2130" s="3" t="s">
        <v>2272</v>
      </c>
      <c r="Y2130" s="3" t="s">
        <v>2272</v>
      </c>
      <c r="Z2130" s="3" t="s">
        <v>2272</v>
      </c>
      <c r="AA2130" s="3" t="s">
        <v>2272</v>
      </c>
      <c r="AB2130" s="4" t="s">
        <v>6040</v>
      </c>
      <c r="AC2130" s="3"/>
    </row>
    <row r="2131" spans="1:30" ht="48" customHeight="1">
      <c r="A2131" s="151" t="str">
        <f>'Reported burning'!A2131</f>
        <v>253a</v>
      </c>
      <c r="B2131" s="151" t="str">
        <f>'Reported burning'!B2131</f>
        <v>253a.2</v>
      </c>
      <c r="C2131" s="151" t="str">
        <f>'Reported burning'!C2131</f>
        <v>Human, deliberate</v>
      </c>
      <c r="D2131" s="151" t="str">
        <f>'Reported burning'!D2131</f>
        <v>Pasture renewal</v>
      </c>
      <c r="E2131" s="151" t="str">
        <f>'Reported burning'!E2131</f>
        <v>Mixed cropping-livestock small holder, Market-oriented</v>
      </c>
      <c r="F2131" s="151" t="str">
        <f>'Reported burning'!F2131</f>
        <v>Grassland</v>
      </c>
      <c r="G2131" s="151" t="str">
        <f>'Reported burning'!G2131</f>
        <v>ND</v>
      </c>
      <c r="H2131" s="151" t="str">
        <f>'Reported burning'!H2131</f>
        <v>Presence</v>
      </c>
      <c r="I2131" s="5"/>
      <c r="J2131" s="3" t="s">
        <v>2272</v>
      </c>
      <c r="K2131" s="198" t="s">
        <v>2272</v>
      </c>
      <c r="L2131" s="3" t="s">
        <v>2272</v>
      </c>
      <c r="M2131" s="3" t="s">
        <v>2272</v>
      </c>
      <c r="N2131" s="3" t="s">
        <v>2272</v>
      </c>
      <c r="O2131" s="3" t="s">
        <v>2272</v>
      </c>
      <c r="P2131" s="3" t="s">
        <v>2272</v>
      </c>
      <c r="Q2131" s="3" t="s">
        <v>2272</v>
      </c>
      <c r="R2131" s="3" t="s">
        <v>2272</v>
      </c>
      <c r="S2131" s="3" t="s">
        <v>2272</v>
      </c>
      <c r="T2131" s="3" t="s">
        <v>2272</v>
      </c>
      <c r="U2131" s="3" t="s">
        <v>2272</v>
      </c>
      <c r="V2131" s="3" t="s">
        <v>2272</v>
      </c>
      <c r="W2131" s="3" t="s">
        <v>2272</v>
      </c>
      <c r="X2131" s="3" t="s">
        <v>2272</v>
      </c>
      <c r="Y2131" s="3" t="s">
        <v>2272</v>
      </c>
      <c r="Z2131" s="3" t="s">
        <v>2272</v>
      </c>
      <c r="AA2131" s="3" t="s">
        <v>2272</v>
      </c>
      <c r="AB2131" s="4" t="s">
        <v>6039</v>
      </c>
      <c r="AC2131" s="3"/>
    </row>
    <row r="2132" spans="1:30" ht="48" customHeight="1">
      <c r="A2132" s="151" t="str">
        <f>'Reported burning'!A2132</f>
        <v>253a</v>
      </c>
      <c r="B2132" s="151" t="str">
        <f>'Reported burning'!B2132</f>
        <v>253a.3</v>
      </c>
      <c r="C2132" s="151" t="str">
        <f>'Reported burning'!C2132</f>
        <v>Human, deliberate</v>
      </c>
      <c r="D2132" s="151" t="str">
        <f>'Reported burning'!D2132</f>
        <v>Pasture renewal</v>
      </c>
      <c r="E2132" s="151" t="str">
        <f>'Reported burning'!E2132</f>
        <v>Abandoned agricultural land</v>
      </c>
      <c r="F2132" s="151" t="str">
        <f>'Reported burning'!F2132</f>
        <v>Grassland</v>
      </c>
      <c r="G2132" s="151" t="str">
        <f>'Reported burning'!G2132</f>
        <v>ND</v>
      </c>
      <c r="H2132" s="151"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21">
        <v>0</v>
      </c>
      <c r="X2132" s="3" t="s">
        <v>2272</v>
      </c>
      <c r="Y2132" s="3" t="s">
        <v>2272</v>
      </c>
      <c r="Z2132" s="3" t="s">
        <v>2272</v>
      </c>
      <c r="AA2132" s="3" t="s">
        <v>2272</v>
      </c>
      <c r="AB2132" s="3"/>
      <c r="AC2132" s="3"/>
    </row>
    <row r="2133" spans="1:30" ht="31.5" customHeight="1">
      <c r="A2133" s="151" t="str">
        <f>'Reported burning'!A2133</f>
        <v>254a</v>
      </c>
      <c r="B2133" s="151" t="str">
        <f>'Reported burning'!B2133</f>
        <v>254a.1</v>
      </c>
      <c r="C2133" s="151" t="str">
        <f>'Reported burning'!C2133</f>
        <v>Human, deliberate</v>
      </c>
      <c r="D2133" s="151" t="str">
        <f>'Reported burning'!D2133</f>
        <v>Crop field preparation</v>
      </c>
      <c r="E2133" s="151" t="str">
        <f>'Reported burning'!E2133</f>
        <v>Cropping, Swidden</v>
      </c>
      <c r="F2133" s="151" t="str">
        <f>'Reported burning'!F2133</f>
        <v>Secondary vegetation</v>
      </c>
      <c r="G2133" s="151" t="str">
        <f>'Reported burning'!G2133</f>
        <v>ND</v>
      </c>
      <c r="H2133" s="151" t="str">
        <f>'Reported burning'!H2133</f>
        <v>Presence</v>
      </c>
      <c r="I2133" s="5"/>
      <c r="J2133" s="3" t="s">
        <v>2272</v>
      </c>
      <c r="K2133" s="198" t="s">
        <v>2272</v>
      </c>
      <c r="L2133" s="3" t="s">
        <v>2272</v>
      </c>
      <c r="M2133" s="3" t="s">
        <v>2272</v>
      </c>
      <c r="N2133" s="3" t="s">
        <v>2272</v>
      </c>
      <c r="O2133" s="3" t="s">
        <v>2272</v>
      </c>
      <c r="P2133" s="3" t="s">
        <v>2272</v>
      </c>
      <c r="Q2133" s="3" t="s">
        <v>2272</v>
      </c>
      <c r="R2133" s="3" t="s">
        <v>2272</v>
      </c>
      <c r="S2133" s="3" t="s">
        <v>2272</v>
      </c>
      <c r="T2133" s="3" t="s">
        <v>2272</v>
      </c>
      <c r="U2133" s="3" t="s">
        <v>2272</v>
      </c>
      <c r="V2133" s="3" t="s">
        <v>2272</v>
      </c>
      <c r="W2133" s="3" t="s">
        <v>2272</v>
      </c>
      <c r="X2133" s="3" t="s">
        <v>2272</v>
      </c>
      <c r="Y2133" s="3" t="s">
        <v>2272</v>
      </c>
      <c r="Z2133" s="3" t="s">
        <v>37</v>
      </c>
      <c r="AA2133" s="3" t="s">
        <v>84</v>
      </c>
      <c r="AB2133" s="3"/>
      <c r="AC2133" s="3"/>
      <c r="AD2133" s="3"/>
    </row>
    <row r="2134" spans="1:30" ht="31.5" customHeight="1">
      <c r="A2134" s="151" t="str">
        <f>'Reported burning'!A2134</f>
        <v>254a</v>
      </c>
      <c r="B2134" s="151" t="str">
        <f>'Reported burning'!B2134</f>
        <v>254a.2</v>
      </c>
      <c r="C2134" s="151" t="str">
        <f>'Reported burning'!C2134</f>
        <v>Human, deliberate</v>
      </c>
      <c r="D2134" s="151" t="str">
        <f>'Reported burning'!D2134</f>
        <v>Pasture renewal</v>
      </c>
      <c r="E2134" s="151" t="str">
        <f>'Reported burning'!E2134</f>
        <v>Cattle, Extensive</v>
      </c>
      <c r="F2134" s="151" t="str">
        <f>'Reported burning'!F2134</f>
        <v>Pasture</v>
      </c>
      <c r="G2134" s="151" t="str">
        <f>'Reported burning'!G2134</f>
        <v>ND</v>
      </c>
      <c r="H2134" s="151" t="str">
        <f>'Reported burning'!H2134</f>
        <v>Presence</v>
      </c>
      <c r="I2134" s="5"/>
      <c r="J2134" s="3" t="s">
        <v>2272</v>
      </c>
      <c r="K2134" s="198" t="s">
        <v>2272</v>
      </c>
      <c r="L2134" s="3" t="s">
        <v>2272</v>
      </c>
      <c r="M2134" s="3" t="s">
        <v>2272</v>
      </c>
      <c r="N2134" s="3" t="s">
        <v>2272</v>
      </c>
      <c r="O2134" s="3" t="s">
        <v>2272</v>
      </c>
      <c r="P2134" s="3" t="s">
        <v>2272</v>
      </c>
      <c r="Q2134" s="3" t="s">
        <v>2272</v>
      </c>
      <c r="R2134" s="3" t="s">
        <v>2272</v>
      </c>
      <c r="S2134" s="3" t="s">
        <v>2272</v>
      </c>
      <c r="T2134" s="3" t="s">
        <v>2272</v>
      </c>
      <c r="U2134" s="3" t="s">
        <v>2272</v>
      </c>
      <c r="V2134" s="3" t="s">
        <v>2272</v>
      </c>
      <c r="W2134" s="3" t="s">
        <v>2272</v>
      </c>
      <c r="X2134" s="3" t="s">
        <v>2272</v>
      </c>
      <c r="Y2134" s="3" t="s">
        <v>2272</v>
      </c>
      <c r="Z2134" s="3" t="s">
        <v>2272</v>
      </c>
      <c r="AA2134" s="3" t="s">
        <v>2272</v>
      </c>
      <c r="AB2134" s="3"/>
      <c r="AC2134" s="3"/>
      <c r="AD2134" s="3"/>
    </row>
    <row r="2135" spans="1:30" ht="61" customHeight="1">
      <c r="A2135" s="151" t="str">
        <f>'Reported burning'!A2135</f>
        <v>254a</v>
      </c>
      <c r="B2135" s="151" t="str">
        <f>'Reported burning'!B2135</f>
        <v>254a.3</v>
      </c>
      <c r="C2135" s="151" t="str">
        <f>'Reported burning'!C2135</f>
        <v>Human, escaped</v>
      </c>
      <c r="D2135" s="151" t="str">
        <f>'Reported burning'!D2135</f>
        <v>Crop field preparation</v>
      </c>
      <c r="E2135" s="151" t="str">
        <f>'Reported burning'!E2135</f>
        <v>Cropping, Swidden</v>
      </c>
      <c r="F2135" s="151" t="str">
        <f>'Reported burning'!F2135</f>
        <v>Secondary vegetation</v>
      </c>
      <c r="G2135" s="151" t="str">
        <f>'Reported burning'!G2135</f>
        <v>ND</v>
      </c>
      <c r="H2135" s="151" t="str">
        <f>'Reported burning'!H2135</f>
        <v>Presence</v>
      </c>
      <c r="I2135" s="5"/>
      <c r="J2135" s="3" t="s">
        <v>2272</v>
      </c>
      <c r="K2135" s="198" t="s">
        <v>2272</v>
      </c>
      <c r="L2135" s="3" t="s">
        <v>2272</v>
      </c>
      <c r="M2135" s="3" t="s">
        <v>2272</v>
      </c>
      <c r="N2135" s="3" t="s">
        <v>2272</v>
      </c>
      <c r="O2135" s="3" t="s">
        <v>2272</v>
      </c>
      <c r="P2135" s="3" t="s">
        <v>2272</v>
      </c>
      <c r="Q2135" s="3" t="s">
        <v>2272</v>
      </c>
      <c r="R2135" s="3" t="s">
        <v>2272</v>
      </c>
      <c r="S2135" s="21" t="s">
        <v>2358</v>
      </c>
      <c r="T2135" s="3" t="s">
        <v>2272</v>
      </c>
      <c r="U2135" s="3" t="s">
        <v>2272</v>
      </c>
      <c r="V2135" s="3" t="s">
        <v>2272</v>
      </c>
      <c r="W2135" s="3" t="s">
        <v>2272</v>
      </c>
      <c r="X2135" s="3" t="s">
        <v>2272</v>
      </c>
      <c r="Y2135" s="3" t="s">
        <v>2272</v>
      </c>
      <c r="Z2135" s="3" t="s">
        <v>37</v>
      </c>
      <c r="AA2135" s="3" t="s">
        <v>84</v>
      </c>
      <c r="AB2135" s="4" t="s">
        <v>6050</v>
      </c>
      <c r="AC2135" s="3"/>
      <c r="AD2135" s="3"/>
    </row>
    <row r="2136" spans="1:30" ht="38" customHeight="1">
      <c r="A2136" s="151" t="str">
        <f>'Reported burning'!A2136</f>
        <v>255b</v>
      </c>
      <c r="B2136" s="151" t="str">
        <f>'Reported burning'!B2136</f>
        <v>255b.1</v>
      </c>
      <c r="C2136" s="151" t="str">
        <f>'Reported burning'!C2136</f>
        <v>Human, deliberate</v>
      </c>
      <c r="D2136" s="151" t="str">
        <f>'Reported burning'!D2136</f>
        <v>Crop field preparation</v>
      </c>
      <c r="E2136" s="151" t="str">
        <f>'Reported burning'!E2136</f>
        <v>Cropping, Swidden</v>
      </c>
      <c r="F2136" s="151" t="str">
        <f>'Reported burning'!F2136</f>
        <v>Forest</v>
      </c>
      <c r="G2136" s="151" t="str">
        <f>'Reported burning'!G2136</f>
        <v>ND</v>
      </c>
      <c r="H2136" s="151" t="str">
        <f>'Reported burning'!H2136</f>
        <v>Presence</v>
      </c>
      <c r="I2136" s="5"/>
      <c r="J2136" s="3" t="s">
        <v>2272</v>
      </c>
      <c r="K2136" s="198" t="s">
        <v>2272</v>
      </c>
      <c r="L2136" s="3" t="s">
        <v>2272</v>
      </c>
      <c r="M2136" s="3" t="s">
        <v>2272</v>
      </c>
      <c r="N2136" s="3" t="s">
        <v>2272</v>
      </c>
      <c r="O2136" s="3" t="s">
        <v>2272</v>
      </c>
      <c r="P2136" s="3" t="s">
        <v>2272</v>
      </c>
      <c r="Q2136" s="3" t="s">
        <v>2272</v>
      </c>
      <c r="R2136" s="3" t="s">
        <v>2272</v>
      </c>
      <c r="S2136" s="3" t="s">
        <v>2272</v>
      </c>
      <c r="T2136" s="3" t="s">
        <v>2272</v>
      </c>
      <c r="U2136" s="3" t="s">
        <v>2272</v>
      </c>
      <c r="V2136" s="3" t="s">
        <v>2272</v>
      </c>
      <c r="W2136" s="3" t="s">
        <v>2272</v>
      </c>
      <c r="X2136" s="3" t="s">
        <v>2272</v>
      </c>
      <c r="Y2136" s="3" t="s">
        <v>2272</v>
      </c>
      <c r="Z2136" s="3" t="s">
        <v>2272</v>
      </c>
      <c r="AA2136" s="3" t="s">
        <v>2272</v>
      </c>
      <c r="AB2136" s="3"/>
      <c r="AC2136" s="3"/>
    </row>
    <row r="2137" spans="1:30" ht="38" customHeight="1">
      <c r="A2137" s="151" t="str">
        <f>'Reported burning'!A2137</f>
        <v>255b</v>
      </c>
      <c r="B2137" s="151" t="str">
        <f>'Reported burning'!B2137</f>
        <v>255b.2</v>
      </c>
      <c r="C2137" s="151" t="str">
        <f>'Reported burning'!C2137</f>
        <v>Human, deliberate</v>
      </c>
      <c r="D2137" s="151" t="str">
        <f>'Reported burning'!D2137</f>
        <v>Forest clearance</v>
      </c>
      <c r="E2137" s="151" t="str">
        <f>'Reported burning'!E2137</f>
        <v>Cattle, Extensive</v>
      </c>
      <c r="F2137" s="151" t="str">
        <f>'Reported burning'!F2137</f>
        <v>Forest</v>
      </c>
      <c r="G2137" s="151" t="str">
        <f>'Reported burning'!G2137</f>
        <v>ND</v>
      </c>
      <c r="H2137" s="151" t="str">
        <f>'Reported burning'!H2137</f>
        <v>Presence</v>
      </c>
      <c r="I2137" s="5"/>
      <c r="J2137" s="3" t="s">
        <v>2272</v>
      </c>
      <c r="K2137" s="198" t="s">
        <v>2272</v>
      </c>
      <c r="L2137" s="3" t="s">
        <v>2272</v>
      </c>
      <c r="M2137" s="3" t="s">
        <v>2272</v>
      </c>
      <c r="N2137" s="3" t="s">
        <v>2272</v>
      </c>
      <c r="O2137" s="3" t="s">
        <v>2272</v>
      </c>
      <c r="P2137" s="3" t="s">
        <v>2272</v>
      </c>
      <c r="Q2137" s="3" t="s">
        <v>2272</v>
      </c>
      <c r="R2137" s="3" t="s">
        <v>2272</v>
      </c>
      <c r="S2137" s="3" t="s">
        <v>2272</v>
      </c>
      <c r="T2137" s="3" t="s">
        <v>2272</v>
      </c>
      <c r="U2137" s="3" t="s">
        <v>2272</v>
      </c>
      <c r="V2137" s="3" t="s">
        <v>2272</v>
      </c>
      <c r="W2137" s="3" t="s">
        <v>2272</v>
      </c>
      <c r="X2137" s="3" t="s">
        <v>2272</v>
      </c>
      <c r="Y2137" s="3" t="s">
        <v>2272</v>
      </c>
      <c r="Z2137" s="3" t="s">
        <v>2272</v>
      </c>
      <c r="AA2137" s="3" t="s">
        <v>2272</v>
      </c>
      <c r="AB2137" s="3"/>
      <c r="AC2137" s="3"/>
    </row>
    <row r="2138" spans="1:30" ht="38" customHeight="1">
      <c r="A2138" s="151" t="str">
        <f>'Reported burning'!A2138</f>
        <v>255c</v>
      </c>
      <c r="B2138" s="151" t="str">
        <f>'Reported burning'!B2138</f>
        <v>255c.1</v>
      </c>
      <c r="C2138" s="151" t="str">
        <f>'Reported burning'!C2138</f>
        <v>Human, deliberate</v>
      </c>
      <c r="D2138" s="151" t="str">
        <f>'Reported burning'!D2138</f>
        <v>Forest clearance</v>
      </c>
      <c r="E2138" s="151" t="str">
        <f>'Reported burning'!E2138</f>
        <v>Cattle, Extensive</v>
      </c>
      <c r="F2138" s="151" t="str">
        <f>'Reported burning'!F2138</f>
        <v>Forest</v>
      </c>
      <c r="G2138" s="151" t="str">
        <f>'Reported burning'!G2138</f>
        <v>ND</v>
      </c>
      <c r="H2138" s="151" t="str">
        <f>'Reported burning'!H2138</f>
        <v>Presence</v>
      </c>
      <c r="I2138" s="5"/>
      <c r="J2138" s="3" t="s">
        <v>2272</v>
      </c>
      <c r="K2138" s="198" t="s">
        <v>2272</v>
      </c>
      <c r="L2138" s="3" t="s">
        <v>2272</v>
      </c>
      <c r="M2138" s="3" t="s">
        <v>2272</v>
      </c>
      <c r="N2138" s="3" t="s">
        <v>2272</v>
      </c>
      <c r="O2138" s="3" t="s">
        <v>2272</v>
      </c>
      <c r="P2138" s="3" t="s">
        <v>2272</v>
      </c>
      <c r="Q2138" s="3" t="s">
        <v>2272</v>
      </c>
      <c r="R2138" s="3" t="s">
        <v>2272</v>
      </c>
      <c r="S2138" s="3" t="s">
        <v>2272</v>
      </c>
      <c r="T2138" s="3" t="s">
        <v>2272</v>
      </c>
      <c r="U2138" s="3" t="s">
        <v>2272</v>
      </c>
      <c r="V2138" s="3" t="s">
        <v>2272</v>
      </c>
      <c r="W2138" s="3" t="s">
        <v>2272</v>
      </c>
      <c r="X2138" s="3" t="s">
        <v>2272</v>
      </c>
      <c r="Y2138" s="3" t="s">
        <v>2272</v>
      </c>
      <c r="Z2138" s="3" t="s">
        <v>2272</v>
      </c>
      <c r="AA2138" s="3" t="s">
        <v>2272</v>
      </c>
      <c r="AB2138" s="3"/>
      <c r="AC2138" s="3"/>
    </row>
    <row r="2139" spans="1:30" ht="38" customHeight="1">
      <c r="A2139" s="151" t="str">
        <f>'Reported burning'!A2139</f>
        <v>255b</v>
      </c>
      <c r="B2139" s="151" t="str">
        <f>'Reported burning'!B2139</f>
        <v>255b.3</v>
      </c>
      <c r="C2139" s="151" t="str">
        <f>'Reported burning'!C2139</f>
        <v>Human, deliberate</v>
      </c>
      <c r="D2139" s="151" t="str">
        <f>'Reported burning'!D2139</f>
        <v>Pasture renewal</v>
      </c>
      <c r="E2139" s="151" t="str">
        <f>'Reported burning'!E2139</f>
        <v>Cattle, Extensive</v>
      </c>
      <c r="F2139" s="151" t="str">
        <f>'Reported burning'!F2139</f>
        <v>Pasture</v>
      </c>
      <c r="G2139" s="151" t="str">
        <f>'Reported burning'!G2139</f>
        <v>ND</v>
      </c>
      <c r="H2139" s="151" t="str">
        <f>'Reported burning'!H2139</f>
        <v>Presence</v>
      </c>
      <c r="I2139" s="5"/>
      <c r="J2139" s="3" t="s">
        <v>2272</v>
      </c>
      <c r="K2139" s="198" t="s">
        <v>2272</v>
      </c>
      <c r="L2139" s="3" t="s">
        <v>2272</v>
      </c>
      <c r="M2139" s="3" t="s">
        <v>2272</v>
      </c>
      <c r="N2139" s="3" t="s">
        <v>2272</v>
      </c>
      <c r="O2139" s="3" t="s">
        <v>2272</v>
      </c>
      <c r="P2139" s="3" t="s">
        <v>2272</v>
      </c>
      <c r="Q2139" s="3" t="s">
        <v>2272</v>
      </c>
      <c r="R2139" s="3" t="s">
        <v>2272</v>
      </c>
      <c r="S2139" s="3" t="s">
        <v>2272</v>
      </c>
      <c r="T2139" s="3" t="s">
        <v>2272</v>
      </c>
      <c r="U2139" s="3" t="s">
        <v>2272</v>
      </c>
      <c r="V2139" s="3" t="s">
        <v>2272</v>
      </c>
      <c r="W2139" s="3" t="s">
        <v>2272</v>
      </c>
      <c r="X2139" s="3" t="s">
        <v>2272</v>
      </c>
      <c r="Y2139" s="3" t="s">
        <v>2272</v>
      </c>
      <c r="Z2139" s="3" t="s">
        <v>2272</v>
      </c>
      <c r="AA2139" s="3" t="s">
        <v>2272</v>
      </c>
      <c r="AB2139" s="3"/>
      <c r="AC2139" s="3"/>
    </row>
    <row r="2140" spans="1:30" ht="38" customHeight="1">
      <c r="A2140" s="151" t="str">
        <f>'Reported burning'!A2140</f>
        <v>255c</v>
      </c>
      <c r="B2140" s="151" t="str">
        <f>'Reported burning'!B2140</f>
        <v>255c.2</v>
      </c>
      <c r="C2140" s="151" t="str">
        <f>'Reported burning'!C2140</f>
        <v>Human, deliberate</v>
      </c>
      <c r="D2140" s="151" t="str">
        <f>'Reported burning'!D2140</f>
        <v>Pasture renewal</v>
      </c>
      <c r="E2140" s="151" t="str">
        <f>'Reported burning'!E2140</f>
        <v>Cattle, Extensive</v>
      </c>
      <c r="F2140" s="151" t="str">
        <f>'Reported burning'!F2140</f>
        <v>Pasture</v>
      </c>
      <c r="G2140" s="151" t="str">
        <f>'Reported burning'!G2140</f>
        <v>ND</v>
      </c>
      <c r="H2140" s="151" t="str">
        <f>'Reported burning'!H2140</f>
        <v>Presence</v>
      </c>
      <c r="I2140" s="5"/>
      <c r="J2140" s="3" t="s">
        <v>2272</v>
      </c>
      <c r="K2140" s="198" t="s">
        <v>2272</v>
      </c>
      <c r="L2140" s="3" t="s">
        <v>2272</v>
      </c>
      <c r="M2140" s="3" t="s">
        <v>2272</v>
      </c>
      <c r="N2140" s="3" t="s">
        <v>2272</v>
      </c>
      <c r="O2140" s="3" t="s">
        <v>2272</v>
      </c>
      <c r="P2140" s="3" t="s">
        <v>2272</v>
      </c>
      <c r="Q2140" s="3" t="s">
        <v>2272</v>
      </c>
      <c r="R2140" s="3" t="s">
        <v>2272</v>
      </c>
      <c r="S2140" s="3" t="s">
        <v>2272</v>
      </c>
      <c r="T2140" s="3" t="s">
        <v>2272</v>
      </c>
      <c r="U2140" s="3" t="s">
        <v>2272</v>
      </c>
      <c r="V2140" s="3" t="s">
        <v>2272</v>
      </c>
      <c r="W2140" s="3" t="s">
        <v>2272</v>
      </c>
      <c r="X2140" s="3" t="s">
        <v>2272</v>
      </c>
      <c r="Y2140" s="3" t="s">
        <v>2272</v>
      </c>
      <c r="Z2140" s="3" t="s">
        <v>2272</v>
      </c>
      <c r="AA2140" s="3" t="s">
        <v>2272</v>
      </c>
      <c r="AB2140" s="3"/>
      <c r="AC2140" s="3"/>
    </row>
    <row r="2141" spans="1:30" ht="38" customHeight="1">
      <c r="A2141" s="151" t="str">
        <f>'Reported burning'!A2141</f>
        <v>255c</v>
      </c>
      <c r="B2141" s="151" t="str">
        <f>'Reported burning'!B2141</f>
        <v>255c.3</v>
      </c>
      <c r="C2141" s="151" t="str">
        <f>'Reported burning'!C2141</f>
        <v>Human, deliberate</v>
      </c>
      <c r="D2141" s="151" t="str">
        <f>'Reported burning'!D2141</f>
        <v>Pasture renewal</v>
      </c>
      <c r="E2141" s="151" t="str">
        <f>'Reported burning'!E2141</f>
        <v>Cattle, Intensive</v>
      </c>
      <c r="F2141" s="151" t="str">
        <f>'Reported burning'!F2141</f>
        <v>Pasture</v>
      </c>
      <c r="G2141" s="151" t="str">
        <f>'Reported burning'!G2141</f>
        <v>ND</v>
      </c>
      <c r="H2141" s="151" t="str">
        <f>'Reported burning'!H2141</f>
        <v>Absence</v>
      </c>
      <c r="I2141" s="5"/>
      <c r="J2141" s="3">
        <v>0</v>
      </c>
      <c r="K2141" s="198">
        <v>0</v>
      </c>
      <c r="L2141" s="3">
        <v>0</v>
      </c>
      <c r="M2141" s="3">
        <v>0</v>
      </c>
      <c r="N2141" s="3">
        <v>0</v>
      </c>
      <c r="O2141" s="3">
        <v>0</v>
      </c>
      <c r="P2141" s="3">
        <v>0</v>
      </c>
      <c r="Q2141" s="3">
        <v>0</v>
      </c>
      <c r="R2141" s="3">
        <v>0</v>
      </c>
      <c r="S2141" s="3">
        <v>0</v>
      </c>
      <c r="T2141" s="3">
        <v>0</v>
      </c>
      <c r="U2141" s="3">
        <v>0</v>
      </c>
      <c r="V2141" s="3">
        <v>0</v>
      </c>
      <c r="W2141" s="3">
        <v>0</v>
      </c>
      <c r="X2141" s="3" t="s">
        <v>2272</v>
      </c>
      <c r="Y2141" s="3" t="s">
        <v>2272</v>
      </c>
      <c r="Z2141" s="3" t="s">
        <v>2272</v>
      </c>
      <c r="AA2141" s="3" t="s">
        <v>2272</v>
      </c>
      <c r="AB2141" s="3"/>
      <c r="AC2141" s="3"/>
    </row>
    <row r="2142" spans="1:30" ht="36.5" customHeight="1">
      <c r="A2142" s="151" t="str">
        <f>'Reported burning'!A2142</f>
        <v>256a</v>
      </c>
      <c r="B2142" s="151" t="str">
        <f>'Reported burning'!B2142</f>
        <v>256a.1</v>
      </c>
      <c r="C2142" s="151" t="str">
        <f>'Reported burning'!C2142</f>
        <v>Human, deliberate</v>
      </c>
      <c r="D2142" s="151" t="str">
        <f>'Reported burning'!D2142</f>
        <v>Rangeland management</v>
      </c>
      <c r="E2142" s="151" t="str">
        <f>'Reported burning'!E2142</f>
        <v>Cattle, Extensive</v>
      </c>
      <c r="F2142" s="151" t="str">
        <f>'Reported burning'!F2142</f>
        <v>Shrubland (Mixed forest &amp; grassland)</v>
      </c>
      <c r="G2142" s="151" t="str">
        <f>'Reported burning'!G2142</f>
        <v>ND</v>
      </c>
      <c r="H2142" s="151" t="str">
        <f>'Reported burning'!H2142</f>
        <v>Presence</v>
      </c>
      <c r="I2142" s="5"/>
      <c r="J2142" s="3" t="s">
        <v>2272</v>
      </c>
      <c r="K2142" s="198" t="s">
        <v>2272</v>
      </c>
      <c r="L2142" s="3" t="s">
        <v>2272</v>
      </c>
      <c r="M2142" s="3" t="s">
        <v>2272</v>
      </c>
      <c r="N2142" s="3" t="s">
        <v>2272</v>
      </c>
      <c r="O2142" s="3" t="s">
        <v>2272</v>
      </c>
      <c r="P2142" s="3" t="s">
        <v>2272</v>
      </c>
      <c r="Q2142" s="3" t="s">
        <v>2272</v>
      </c>
      <c r="R2142" s="3" t="s">
        <v>2272</v>
      </c>
      <c r="S2142" s="3" t="s">
        <v>2272</v>
      </c>
      <c r="T2142" s="3" t="s">
        <v>2272</v>
      </c>
      <c r="U2142" s="3" t="s">
        <v>2272</v>
      </c>
      <c r="V2142" s="3" t="s">
        <v>2272</v>
      </c>
      <c r="W2142" s="3" t="s">
        <v>2272</v>
      </c>
      <c r="X2142" s="3" t="s">
        <v>2272</v>
      </c>
      <c r="Y2142" s="3" t="s">
        <v>2272</v>
      </c>
      <c r="Z2142" s="3" t="s">
        <v>2272</v>
      </c>
      <c r="AA2142" s="3" t="s">
        <v>2272</v>
      </c>
      <c r="AB2142" s="3"/>
      <c r="AC2142" s="3"/>
    </row>
    <row r="2143" spans="1:30" ht="36.5" customHeight="1">
      <c r="A2143" s="151" t="str">
        <f>'Reported burning'!A2143</f>
        <v>256a</v>
      </c>
      <c r="B2143" s="151" t="str">
        <f>'Reported burning'!B2143</f>
        <v>256a.2</v>
      </c>
      <c r="C2143" s="151" t="str">
        <f>'Reported burning'!C2143</f>
        <v>Human, deliberate</v>
      </c>
      <c r="D2143" s="151" t="str">
        <f>'Reported burning'!D2143</f>
        <v>Rangeland management</v>
      </c>
      <c r="E2143" s="151" t="str">
        <f>'Reported burning'!E2143</f>
        <v>Pastoralism, Migratory</v>
      </c>
      <c r="F2143" s="151" t="str">
        <f>'Reported burning'!F2143</f>
        <v>Shrubland (Mixed forest &amp; grassland)</v>
      </c>
      <c r="G2143" s="151" t="str">
        <f>'Reported burning'!G2143</f>
        <v>ND</v>
      </c>
      <c r="H2143" s="151" t="str">
        <f>'Reported burning'!H2143</f>
        <v>Presence</v>
      </c>
      <c r="I2143" s="5"/>
      <c r="J2143" s="3" t="s">
        <v>2272</v>
      </c>
      <c r="K2143" s="198" t="s">
        <v>2272</v>
      </c>
      <c r="L2143" s="3" t="s">
        <v>2272</v>
      </c>
      <c r="M2143" s="3" t="s">
        <v>2272</v>
      </c>
      <c r="N2143" s="3" t="s">
        <v>2272</v>
      </c>
      <c r="O2143" s="3" t="s">
        <v>2272</v>
      </c>
      <c r="P2143" s="3" t="s">
        <v>2272</v>
      </c>
      <c r="Q2143" s="3" t="s">
        <v>2272</v>
      </c>
      <c r="R2143" s="3" t="s">
        <v>2272</v>
      </c>
      <c r="S2143" s="3" t="s">
        <v>2272</v>
      </c>
      <c r="T2143" s="3" t="s">
        <v>2272</v>
      </c>
      <c r="U2143" s="3" t="s">
        <v>2272</v>
      </c>
      <c r="V2143" s="3" t="s">
        <v>2272</v>
      </c>
      <c r="W2143" s="3" t="s">
        <v>2272</v>
      </c>
      <c r="X2143" s="3" t="s">
        <v>2272</v>
      </c>
      <c r="Y2143" s="3" t="s">
        <v>2272</v>
      </c>
      <c r="Z2143" s="3" t="s">
        <v>2272</v>
      </c>
      <c r="AA2143" s="3" t="s">
        <v>2272</v>
      </c>
      <c r="AB2143" s="3"/>
      <c r="AC2143" s="3"/>
    </row>
    <row r="2144" spans="1:30" ht="36.5" customHeight="1">
      <c r="A2144" s="151" t="str">
        <f>'Reported burning'!A2144</f>
        <v>256a</v>
      </c>
      <c r="B2144" s="151" t="str">
        <f>'Reported burning'!B2144</f>
        <v>256a.3</v>
      </c>
      <c r="C2144" s="151" t="str">
        <f>'Reported burning'!C2144</f>
        <v>Human, deliberate</v>
      </c>
      <c r="D2144" s="151" t="str">
        <f>'Reported burning'!D2144</f>
        <v>Rangeland management</v>
      </c>
      <c r="E2144" s="151" t="str">
        <f>'Reported burning'!E2144</f>
        <v>Cropping, Swidden</v>
      </c>
      <c r="F2144" s="151" t="str">
        <f>'Reported burning'!F2144</f>
        <v>Shrubland (Mixed forest &amp; grassland)</v>
      </c>
      <c r="G2144" s="151" t="str">
        <f>'Reported burning'!G2144</f>
        <v>ND</v>
      </c>
      <c r="H2144" s="151" t="str">
        <f>'Reported burning'!H2144</f>
        <v>Presence</v>
      </c>
      <c r="I2144" s="5"/>
      <c r="J2144" s="3" t="s">
        <v>2272</v>
      </c>
      <c r="K2144" s="198" t="s">
        <v>2272</v>
      </c>
      <c r="L2144" s="3" t="s">
        <v>2272</v>
      </c>
      <c r="M2144" s="3" t="s">
        <v>2272</v>
      </c>
      <c r="N2144" s="3" t="s">
        <v>2272</v>
      </c>
      <c r="O2144" s="3" t="s">
        <v>2272</v>
      </c>
      <c r="P2144" s="3" t="s">
        <v>2272</v>
      </c>
      <c r="Q2144" s="3" t="s">
        <v>2272</v>
      </c>
      <c r="R2144" s="3" t="s">
        <v>2272</v>
      </c>
      <c r="S2144" s="3" t="s">
        <v>2272</v>
      </c>
      <c r="T2144" s="3" t="s">
        <v>2272</v>
      </c>
      <c r="U2144" s="3" t="s">
        <v>2272</v>
      </c>
      <c r="V2144" s="3" t="s">
        <v>2272</v>
      </c>
      <c r="W2144" s="3" t="s">
        <v>2272</v>
      </c>
      <c r="X2144" s="3" t="s">
        <v>2272</v>
      </c>
      <c r="Y2144" s="3" t="s">
        <v>2272</v>
      </c>
      <c r="Z2144" s="3" t="s">
        <v>2272</v>
      </c>
      <c r="AA2144" s="3" t="s">
        <v>2272</v>
      </c>
      <c r="AB2144" s="3"/>
      <c r="AC2144" s="3"/>
    </row>
    <row r="2145" spans="1:29" s="197" customFormat="1" ht="65" customHeight="1">
      <c r="A2145" s="151" t="str">
        <f>'Reported burning'!A2145</f>
        <v>257a</v>
      </c>
      <c r="B2145" s="151" t="str">
        <f>'Reported burning'!B2145</f>
        <v>257a.1</v>
      </c>
      <c r="C2145" s="151" t="str">
        <f>'Reported burning'!C2145</f>
        <v>Human, deliberate</v>
      </c>
      <c r="D2145" s="151" t="str">
        <f>'Reported burning'!D2145</f>
        <v>Rangeland management</v>
      </c>
      <c r="E2145" s="151" t="str">
        <f>'Reported burning'!E2145</f>
        <v>Pastoralism, Migratory</v>
      </c>
      <c r="F2145" s="151" t="str">
        <f>'Reported burning'!F2145</f>
        <v>Shrubland (Mixed forest &amp; grassland)</v>
      </c>
      <c r="G2145" s="151" t="str">
        <f>'Reported burning'!G2145</f>
        <v>ND</v>
      </c>
      <c r="H2145" s="151" t="str">
        <f>'Reported burning'!H2145</f>
        <v>Presence</v>
      </c>
      <c r="I2145" s="5"/>
      <c r="J2145" s="198" t="s">
        <v>2272</v>
      </c>
      <c r="K2145" s="198" t="s">
        <v>2272</v>
      </c>
      <c r="L2145" s="198" t="s">
        <v>2272</v>
      </c>
      <c r="M2145" s="198" t="s">
        <v>2272</v>
      </c>
      <c r="N2145" s="198" t="s">
        <v>2272</v>
      </c>
      <c r="O2145" s="198" t="s">
        <v>2272</v>
      </c>
      <c r="P2145" s="198" t="s">
        <v>2272</v>
      </c>
      <c r="Q2145" s="198" t="s">
        <v>2272</v>
      </c>
      <c r="R2145" s="198" t="s">
        <v>2272</v>
      </c>
      <c r="S2145" s="198" t="s">
        <v>2272</v>
      </c>
      <c r="T2145" s="198" t="s">
        <v>2272</v>
      </c>
      <c r="U2145" s="198" t="s">
        <v>2272</v>
      </c>
      <c r="V2145" s="198" t="s">
        <v>2272</v>
      </c>
      <c r="W2145" s="198" t="s">
        <v>2272</v>
      </c>
      <c r="X2145" s="21" t="s">
        <v>2370</v>
      </c>
      <c r="Y2145" s="198" t="s">
        <v>67</v>
      </c>
      <c r="Z2145" s="198" t="s">
        <v>186</v>
      </c>
      <c r="AA2145" s="198" t="s">
        <v>2650</v>
      </c>
      <c r="AB2145" s="4" t="s">
        <v>6973</v>
      </c>
      <c r="AC2145" s="4" t="s">
        <v>6976</v>
      </c>
    </row>
    <row r="2146" spans="1:29" s="197" customFormat="1" ht="65" customHeight="1">
      <c r="A2146" s="151" t="str">
        <f>'Reported burning'!A2146</f>
        <v>257a</v>
      </c>
      <c r="B2146" s="151" t="str">
        <f>'Reported burning'!B2146</f>
        <v>257a.2</v>
      </c>
      <c r="C2146" s="151" t="str">
        <f>'Reported burning'!C2146</f>
        <v>Human, deliberate</v>
      </c>
      <c r="D2146" s="151" t="str">
        <f>'Reported burning'!D2146</f>
        <v>Crop field preparation</v>
      </c>
      <c r="E2146" s="151" t="str">
        <f>'Reported burning'!E2146</f>
        <v>Cropping, Swidden</v>
      </c>
      <c r="F2146" s="151" t="str">
        <f>'Reported burning'!F2146</f>
        <v>Secondary vegetation</v>
      </c>
      <c r="G2146" s="151" t="str">
        <f>'Reported burning'!G2146</f>
        <v>ND</v>
      </c>
      <c r="H2146" s="151" t="str">
        <f>'Reported burning'!H2146</f>
        <v>Presence</v>
      </c>
      <c r="I2146" s="5"/>
      <c r="J2146" s="198" t="s">
        <v>2272</v>
      </c>
      <c r="K2146" s="198" t="s">
        <v>2272</v>
      </c>
      <c r="L2146" s="198" t="s">
        <v>2272</v>
      </c>
      <c r="M2146" s="198" t="s">
        <v>2272</v>
      </c>
      <c r="N2146" s="198" t="s">
        <v>2272</v>
      </c>
      <c r="O2146" s="198" t="s">
        <v>2272</v>
      </c>
      <c r="P2146" s="198" t="s">
        <v>2272</v>
      </c>
      <c r="Q2146" s="198" t="s">
        <v>2272</v>
      </c>
      <c r="R2146" s="198" t="s">
        <v>2272</v>
      </c>
      <c r="S2146" s="198" t="s">
        <v>2272</v>
      </c>
      <c r="T2146" s="198" t="s">
        <v>2272</v>
      </c>
      <c r="U2146" s="198" t="s">
        <v>2272</v>
      </c>
      <c r="V2146" s="198" t="s">
        <v>2272</v>
      </c>
      <c r="W2146" s="198" t="s">
        <v>2272</v>
      </c>
      <c r="X2146" s="21" t="s">
        <v>2399</v>
      </c>
      <c r="Y2146" s="198" t="s">
        <v>2272</v>
      </c>
      <c r="Z2146" s="198" t="s">
        <v>2272</v>
      </c>
      <c r="AA2146" s="198" t="s">
        <v>2272</v>
      </c>
      <c r="AB2146" s="198"/>
      <c r="AC2146" s="4" t="s">
        <v>6977</v>
      </c>
    </row>
    <row r="2147" spans="1:29" s="197" customFormat="1" ht="65" customHeight="1">
      <c r="A2147" s="151" t="str">
        <f>'Reported burning'!A2147</f>
        <v>257b</v>
      </c>
      <c r="B2147" s="151" t="str">
        <f>'Reported burning'!B2147</f>
        <v>257b.1</v>
      </c>
      <c r="C2147" s="151" t="str">
        <f>'Reported burning'!C2147</f>
        <v>Human, deliberate</v>
      </c>
      <c r="D2147" s="151" t="str">
        <f>'Reported burning'!D2147</f>
        <v>Rangeland management</v>
      </c>
      <c r="E2147" s="151" t="str">
        <f>'Reported burning'!E2147</f>
        <v>Pastoralism, Migratory</v>
      </c>
      <c r="F2147" s="151" t="str">
        <f>'Reported burning'!F2147</f>
        <v>Shrubland (Mixed forest &amp; grassland)</v>
      </c>
      <c r="G2147" s="151" t="str">
        <f>'Reported burning'!G2147</f>
        <v>ND</v>
      </c>
      <c r="H2147" s="151" t="str">
        <f>'Reported burning'!H2147</f>
        <v>Presence</v>
      </c>
      <c r="I2147" s="5"/>
      <c r="J2147" s="198" t="s">
        <v>2272</v>
      </c>
      <c r="K2147" s="198" t="s">
        <v>2272</v>
      </c>
      <c r="L2147" s="198" t="s">
        <v>2272</v>
      </c>
      <c r="M2147" s="198" t="s">
        <v>2272</v>
      </c>
      <c r="N2147" s="198" t="s">
        <v>2272</v>
      </c>
      <c r="O2147" s="198" t="s">
        <v>2272</v>
      </c>
      <c r="P2147" s="198" t="s">
        <v>2272</v>
      </c>
      <c r="Q2147" s="198" t="s">
        <v>2272</v>
      </c>
      <c r="R2147" s="198" t="s">
        <v>2272</v>
      </c>
      <c r="S2147" s="198" t="s">
        <v>2272</v>
      </c>
      <c r="T2147" s="198" t="s">
        <v>2272</v>
      </c>
      <c r="U2147" s="198" t="s">
        <v>2272</v>
      </c>
      <c r="V2147" s="198" t="s">
        <v>2272</v>
      </c>
      <c r="W2147" s="198" t="s">
        <v>2272</v>
      </c>
      <c r="X2147" s="21" t="s">
        <v>2370</v>
      </c>
      <c r="Y2147" s="198" t="s">
        <v>67</v>
      </c>
      <c r="Z2147" s="198" t="s">
        <v>186</v>
      </c>
      <c r="AA2147" s="198" t="s">
        <v>2650</v>
      </c>
      <c r="AB2147" s="4" t="s">
        <v>6973</v>
      </c>
      <c r="AC2147" s="4" t="s">
        <v>6976</v>
      </c>
    </row>
    <row r="2148" spans="1:29" s="197" customFormat="1" ht="65" customHeight="1">
      <c r="A2148" s="151" t="str">
        <f>'Reported burning'!A2148</f>
        <v>257b</v>
      </c>
      <c r="B2148" s="151" t="str">
        <f>'Reported burning'!B2148</f>
        <v>257b.2</v>
      </c>
      <c r="C2148" s="151" t="str">
        <f>'Reported burning'!C2148</f>
        <v>Human, deliberate</v>
      </c>
      <c r="D2148" s="151" t="str">
        <f>'Reported burning'!D2148</f>
        <v>Crop field preparation</v>
      </c>
      <c r="E2148" s="151" t="str">
        <f>'Reported burning'!E2148</f>
        <v>Cropping, Swidden</v>
      </c>
      <c r="F2148" s="151" t="str">
        <f>'Reported burning'!F2148</f>
        <v>Secondary vegetation</v>
      </c>
      <c r="G2148" s="151" t="str">
        <f>'Reported burning'!G2148</f>
        <v>ND</v>
      </c>
      <c r="H2148" s="151" t="str">
        <f>'Reported burning'!H2148</f>
        <v>Presence</v>
      </c>
      <c r="I2148" s="5"/>
      <c r="J2148" s="198" t="s">
        <v>2272</v>
      </c>
      <c r="K2148" s="198" t="s">
        <v>2272</v>
      </c>
      <c r="L2148" s="198" t="s">
        <v>2272</v>
      </c>
      <c r="M2148" s="198" t="s">
        <v>2272</v>
      </c>
      <c r="N2148" s="198" t="s">
        <v>2272</v>
      </c>
      <c r="O2148" s="198" t="s">
        <v>2272</v>
      </c>
      <c r="P2148" s="198" t="s">
        <v>2272</v>
      </c>
      <c r="Q2148" s="198" t="s">
        <v>2272</v>
      </c>
      <c r="R2148" s="198" t="s">
        <v>2272</v>
      </c>
      <c r="S2148" s="198" t="s">
        <v>2272</v>
      </c>
      <c r="T2148" s="198" t="s">
        <v>2272</v>
      </c>
      <c r="U2148" s="198" t="s">
        <v>2272</v>
      </c>
      <c r="V2148" s="198" t="s">
        <v>2272</v>
      </c>
      <c r="W2148" s="198" t="s">
        <v>2272</v>
      </c>
      <c r="X2148" s="198" t="s">
        <v>2272</v>
      </c>
      <c r="Y2148" s="198" t="s">
        <v>2272</v>
      </c>
      <c r="Z2148" s="198" t="s">
        <v>2272</v>
      </c>
      <c r="AA2148" s="198" t="s">
        <v>2272</v>
      </c>
      <c r="AB2148" s="198"/>
      <c r="AC2148" s="198"/>
    </row>
    <row r="2149" spans="1:29" ht="46" customHeight="1">
      <c r="A2149" s="151" t="str">
        <f>'Reported burning'!A2149</f>
        <v>258a</v>
      </c>
      <c r="B2149" s="151" t="str">
        <f>'Reported burning'!B2149</f>
        <v>258a.1</v>
      </c>
      <c r="C2149" s="151" t="str">
        <f>'Reported burning'!C2149</f>
        <v>Lightning</v>
      </c>
      <c r="D2149" s="151" t="s">
        <v>2272</v>
      </c>
      <c r="E2149" s="151" t="str">
        <f>'Reported burning'!E2149</f>
        <v>ND</v>
      </c>
      <c r="F2149" s="151" t="str">
        <f>'Reported burning'!F2149</f>
        <v>ND</v>
      </c>
      <c r="G2149" s="151" t="str">
        <f>'Reported burning'!G2149</f>
        <v>Forest</v>
      </c>
      <c r="H2149" s="151" t="str">
        <f>'Reported burning'!H2149</f>
        <v>Presence</v>
      </c>
      <c r="I2149" s="3"/>
      <c r="J2149" s="21" t="s">
        <v>2272</v>
      </c>
      <c r="K2149" s="21" t="s">
        <v>2272</v>
      </c>
      <c r="L2149" s="98" t="s">
        <v>2272</v>
      </c>
      <c r="M2149" s="21" t="s">
        <v>2272</v>
      </c>
      <c r="N2149" s="21" t="s">
        <v>2272</v>
      </c>
      <c r="O2149" s="21" t="s">
        <v>2381</v>
      </c>
      <c r="P2149" s="21" t="s">
        <v>2272</v>
      </c>
      <c r="Q2149" s="21" t="s">
        <v>2272</v>
      </c>
      <c r="R2149" s="21" t="s">
        <v>2272</v>
      </c>
      <c r="S2149" s="21" t="s">
        <v>2272</v>
      </c>
      <c r="T2149" s="21" t="s">
        <v>2272</v>
      </c>
      <c r="U2149" s="21" t="s">
        <v>2272</v>
      </c>
      <c r="V2149" s="21" t="s">
        <v>2272</v>
      </c>
      <c r="W2149" s="21" t="s">
        <v>2272</v>
      </c>
      <c r="X2149" s="21" t="s">
        <v>2272</v>
      </c>
      <c r="Y2149" s="3" t="s">
        <v>402</v>
      </c>
      <c r="Z2149" s="3" t="s">
        <v>403</v>
      </c>
      <c r="AA2149" s="3" t="s">
        <v>2272</v>
      </c>
      <c r="AB2149" s="3"/>
      <c r="AC2149" s="3"/>
    </row>
    <row r="2150" spans="1:29" ht="46" customHeight="1">
      <c r="A2150" s="151" t="str">
        <f>'Reported burning'!A2150</f>
        <v>258a</v>
      </c>
      <c r="B2150" s="151" t="str">
        <f>'Reported burning'!B2150</f>
        <v>258a.2</v>
      </c>
      <c r="C2150" s="151" t="str">
        <f>'Reported burning'!C2150</f>
        <v>Human, escaped</v>
      </c>
      <c r="D2150" s="151" t="str">
        <f>'Reported burning'!D2150</f>
        <v>Domestic</v>
      </c>
      <c r="E2150" s="151" t="str">
        <f>'Reported burning'!E2150</f>
        <v>Tourism manager</v>
      </c>
      <c r="F2150" s="151" t="str">
        <f>'Reported burning'!F2150</f>
        <v>ND</v>
      </c>
      <c r="G2150" s="151" t="str">
        <f>'Reported burning'!G2150</f>
        <v>Forest</v>
      </c>
      <c r="H2150" s="151" t="str">
        <f>'Reported burning'!H2150</f>
        <v>Presence</v>
      </c>
      <c r="I2150" s="3"/>
      <c r="J2150" s="21" t="s">
        <v>2272</v>
      </c>
      <c r="K2150" s="21" t="s">
        <v>2272</v>
      </c>
      <c r="L2150" s="98" t="s">
        <v>2272</v>
      </c>
      <c r="M2150" s="21" t="s">
        <v>2272</v>
      </c>
      <c r="N2150" s="21" t="s">
        <v>2272</v>
      </c>
      <c r="O2150" s="21" t="s">
        <v>2381</v>
      </c>
      <c r="P2150" s="21" t="s">
        <v>2272</v>
      </c>
      <c r="Q2150" s="21" t="s">
        <v>2272</v>
      </c>
      <c r="R2150" s="21" t="s">
        <v>2272</v>
      </c>
      <c r="S2150" s="21" t="s">
        <v>2272</v>
      </c>
      <c r="T2150" s="21" t="s">
        <v>2272</v>
      </c>
      <c r="U2150" s="21" t="s">
        <v>2272</v>
      </c>
      <c r="V2150" s="21" t="s">
        <v>2272</v>
      </c>
      <c r="W2150" s="21" t="s">
        <v>2272</v>
      </c>
      <c r="X2150" s="21" t="s">
        <v>2272</v>
      </c>
      <c r="Y2150" s="3" t="s">
        <v>402</v>
      </c>
      <c r="Z2150" s="3" t="s">
        <v>403</v>
      </c>
      <c r="AA2150" s="3" t="s">
        <v>2272</v>
      </c>
      <c r="AB2150" s="3"/>
      <c r="AC2150" s="3"/>
    </row>
    <row r="2151" spans="1:29" s="197" customFormat="1" ht="46" customHeight="1">
      <c r="A2151" s="151" t="str">
        <f>'Reported burning'!A2151</f>
        <v>258a</v>
      </c>
      <c r="B2151" s="151" t="str">
        <f>'Reported burning'!B2151</f>
        <v>258a.3</v>
      </c>
      <c r="C2151" s="151" t="str">
        <f>'Reported burning'!C2151</f>
        <v>Human, deliberate</v>
      </c>
      <c r="D2151" s="151" t="str">
        <f>'Reported burning'!D2151</f>
        <v>Pyrome management</v>
      </c>
      <c r="E2151" s="151" t="str">
        <f>'Reported burning'!E2151</f>
        <v>Forestry, Industrial</v>
      </c>
      <c r="F2151" s="151" t="str">
        <f>'Reported burning'!F2151</f>
        <v>Forest</v>
      </c>
      <c r="G2151" s="151" t="str">
        <f>'Reported burning'!G2151</f>
        <v>Forest</v>
      </c>
      <c r="H2151" s="151" t="str">
        <f>'Reported burning'!H2151</f>
        <v>Presence</v>
      </c>
      <c r="I2151" s="198"/>
      <c r="J2151" s="21" t="s">
        <v>2272</v>
      </c>
      <c r="K2151" s="21" t="s">
        <v>2272</v>
      </c>
      <c r="L2151" s="21" t="s">
        <v>2272</v>
      </c>
      <c r="M2151" s="21" t="s">
        <v>2272</v>
      </c>
      <c r="N2151" s="21" t="s">
        <v>2272</v>
      </c>
      <c r="O2151" s="21" t="s">
        <v>2272</v>
      </c>
      <c r="P2151" s="21" t="s">
        <v>2272</v>
      </c>
      <c r="Q2151" s="21" t="s">
        <v>2272</v>
      </c>
      <c r="R2151" s="21" t="s">
        <v>2272</v>
      </c>
      <c r="S2151" s="21" t="s">
        <v>2272</v>
      </c>
      <c r="T2151" s="21" t="s">
        <v>2272</v>
      </c>
      <c r="U2151" s="21" t="s">
        <v>2272</v>
      </c>
      <c r="V2151" s="21" t="s">
        <v>2272</v>
      </c>
      <c r="W2151" s="21" t="s">
        <v>2272</v>
      </c>
      <c r="X2151" s="21" t="s">
        <v>2272</v>
      </c>
      <c r="Y2151" s="21" t="s">
        <v>2272</v>
      </c>
      <c r="Z2151" s="21" t="s">
        <v>2272</v>
      </c>
      <c r="AA2151" s="21" t="s">
        <v>2272</v>
      </c>
      <c r="AB2151" s="198"/>
      <c r="AC2151" s="198"/>
    </row>
    <row r="2152" spans="1:29" ht="46" customHeight="1">
      <c r="A2152" s="151" t="str">
        <f>'Reported burning'!A2152</f>
        <v>258a</v>
      </c>
      <c r="B2152" s="151" t="str">
        <f>'Reported burning'!B2152</f>
        <v>258a.4</v>
      </c>
      <c r="C2152" s="151" t="str">
        <f>'Reported burning'!C2152</f>
        <v>Human, deliberate</v>
      </c>
      <c r="D2152" s="151" t="str">
        <f>'Reported burning'!D2152</f>
        <v>Pyrome management</v>
      </c>
      <c r="E2152" s="151" t="str">
        <f>'Reported burning'!E2152</f>
        <v>Biodiversity conservation</v>
      </c>
      <c r="F2152" s="151" t="str">
        <f>'Reported burning'!F2152</f>
        <v>Forest</v>
      </c>
      <c r="G2152" s="151" t="str">
        <f>'Reported burning'!G2152</f>
        <v>Forest</v>
      </c>
      <c r="H2152" s="151" t="str">
        <f>'Reported burning'!H2152</f>
        <v>Presence</v>
      </c>
      <c r="I2152" s="3"/>
      <c r="J2152" s="21" t="s">
        <v>2272</v>
      </c>
      <c r="K2152" s="21" t="s">
        <v>2272</v>
      </c>
      <c r="L2152" s="98" t="s">
        <v>2272</v>
      </c>
      <c r="M2152" s="21" t="s">
        <v>2272</v>
      </c>
      <c r="N2152" s="21" t="s">
        <v>2272</v>
      </c>
      <c r="O2152" s="21" t="s">
        <v>2272</v>
      </c>
      <c r="P2152" s="21" t="s">
        <v>2272</v>
      </c>
      <c r="Q2152" s="21" t="s">
        <v>2272</v>
      </c>
      <c r="R2152" s="21" t="s">
        <v>2272</v>
      </c>
      <c r="S2152" s="21" t="s">
        <v>2272</v>
      </c>
      <c r="T2152" s="21" t="s">
        <v>2272</v>
      </c>
      <c r="U2152" s="21" t="s">
        <v>2272</v>
      </c>
      <c r="V2152" s="21" t="s">
        <v>2272</v>
      </c>
      <c r="W2152" s="21" t="s">
        <v>2272</v>
      </c>
      <c r="X2152" s="21" t="s">
        <v>2272</v>
      </c>
      <c r="Y2152" s="21" t="s">
        <v>2272</v>
      </c>
      <c r="Z2152" s="21" t="s">
        <v>2272</v>
      </c>
      <c r="AA2152" s="3" t="s">
        <v>2272</v>
      </c>
      <c r="AB2152" s="3"/>
      <c r="AC2152" s="3"/>
    </row>
    <row r="2153" spans="1:29" ht="46" customHeight="1">
      <c r="A2153" s="151" t="str">
        <f>'Reported burning'!A2153</f>
        <v>258b</v>
      </c>
      <c r="B2153" s="151" t="str">
        <f>'Reported burning'!B2153</f>
        <v>258b.1</v>
      </c>
      <c r="C2153" s="151" t="str">
        <f>'Reported burning'!C2153</f>
        <v>Human, accidental</v>
      </c>
      <c r="D2153" s="151" t="str">
        <f>'Reported burning'!D2153</f>
        <v>Accidental</v>
      </c>
      <c r="E2153" s="151" t="str">
        <f>'Reported burning'!E2153</f>
        <v>Urban planner</v>
      </c>
      <c r="F2153" s="151" t="str">
        <f>'Reported burning'!F2153</f>
        <v>ND</v>
      </c>
      <c r="G2153" s="151" t="str">
        <f>'Reported burning'!G2153</f>
        <v>Forest</v>
      </c>
      <c r="H2153" s="151" t="str">
        <f>'Reported burning'!H2153</f>
        <v>Presence</v>
      </c>
      <c r="I2153" s="3"/>
      <c r="J2153" s="21" t="s">
        <v>2272</v>
      </c>
      <c r="K2153" s="21" t="s">
        <v>2272</v>
      </c>
      <c r="L2153" s="98" t="s">
        <v>2272</v>
      </c>
      <c r="M2153" s="21" t="s">
        <v>2272</v>
      </c>
      <c r="N2153" s="21" t="s">
        <v>2272</v>
      </c>
      <c r="O2153" s="21" t="s">
        <v>2381</v>
      </c>
      <c r="P2153" s="21" t="s">
        <v>2272</v>
      </c>
      <c r="Q2153" s="21" t="s">
        <v>2272</v>
      </c>
      <c r="R2153" s="21" t="s">
        <v>2272</v>
      </c>
      <c r="S2153" s="21" t="s">
        <v>2272</v>
      </c>
      <c r="T2153" s="21" t="s">
        <v>2272</v>
      </c>
      <c r="U2153" s="21" t="s">
        <v>2272</v>
      </c>
      <c r="V2153" s="21" t="s">
        <v>2272</v>
      </c>
      <c r="W2153" s="21" t="s">
        <v>2272</v>
      </c>
      <c r="X2153" s="21" t="s">
        <v>2272</v>
      </c>
      <c r="Y2153" s="3" t="s">
        <v>67</v>
      </c>
      <c r="Z2153" s="3" t="s">
        <v>125</v>
      </c>
      <c r="AA2153" s="3" t="s">
        <v>2272</v>
      </c>
      <c r="AB2153" s="3" t="s">
        <v>6182</v>
      </c>
      <c r="AC2153" s="3"/>
    </row>
    <row r="2154" spans="1:29" ht="46" customHeight="1">
      <c r="A2154" s="151" t="str">
        <f>'Reported burning'!A2154</f>
        <v>258b</v>
      </c>
      <c r="B2154" s="151" t="str">
        <f>'Reported burning'!B2154</f>
        <v>258b.2</v>
      </c>
      <c r="C2154" s="151" t="str">
        <f>'Reported burning'!C2154</f>
        <v>Human, accidental</v>
      </c>
      <c r="D2154" s="151" t="str">
        <f>'Reported burning'!D2154</f>
        <v>ND</v>
      </c>
      <c r="E2154" s="151" t="str">
        <f>'Reported burning'!E2154</f>
        <v>Tourism manager</v>
      </c>
      <c r="F2154" s="151" t="str">
        <f>'Reported burning'!F2154</f>
        <v>ND</v>
      </c>
      <c r="G2154" s="151" t="str">
        <f>'Reported burning'!G2154</f>
        <v>Forest</v>
      </c>
      <c r="H2154" s="151" t="str">
        <f>'Reported burning'!H2154</f>
        <v>Presence</v>
      </c>
      <c r="I2154" s="3"/>
      <c r="J2154" s="21" t="s">
        <v>2272</v>
      </c>
      <c r="K2154" s="21" t="s">
        <v>2272</v>
      </c>
      <c r="L2154" s="98" t="s">
        <v>2272</v>
      </c>
      <c r="M2154" s="21" t="s">
        <v>2272</v>
      </c>
      <c r="N2154" s="21" t="s">
        <v>2272</v>
      </c>
      <c r="O2154" s="21" t="s">
        <v>2381</v>
      </c>
      <c r="P2154" s="21" t="s">
        <v>2272</v>
      </c>
      <c r="Q2154" s="21" t="s">
        <v>2272</v>
      </c>
      <c r="R2154" s="21" t="s">
        <v>2272</v>
      </c>
      <c r="S2154" s="21" t="s">
        <v>2272</v>
      </c>
      <c r="T2154" s="21" t="s">
        <v>2272</v>
      </c>
      <c r="U2154" s="21" t="s">
        <v>2272</v>
      </c>
      <c r="V2154" s="21" t="s">
        <v>2272</v>
      </c>
      <c r="W2154" s="21" t="s">
        <v>2272</v>
      </c>
      <c r="X2154" s="21" t="s">
        <v>2272</v>
      </c>
      <c r="Y2154" s="3" t="s">
        <v>67</v>
      </c>
      <c r="Z2154" s="3" t="s">
        <v>125</v>
      </c>
      <c r="AA2154" s="3" t="s">
        <v>2272</v>
      </c>
      <c r="AB2154" s="3" t="s">
        <v>6182</v>
      </c>
      <c r="AC2154" s="3"/>
    </row>
    <row r="2155" spans="1:29" ht="46" customHeight="1">
      <c r="A2155" s="151" t="str">
        <f>'Reported burning'!A2155</f>
        <v>258b</v>
      </c>
      <c r="B2155" s="151" t="str">
        <f>'Reported burning'!B2155</f>
        <v>258b.3</v>
      </c>
      <c r="C2155" s="151" t="str">
        <f>'Reported burning'!C2155</f>
        <v>Human, deliberate</v>
      </c>
      <c r="D2155" s="151" t="str">
        <f>'Reported burning'!D2155</f>
        <v>Pyrome management</v>
      </c>
      <c r="E2155" s="151" t="str">
        <f>'Reported burning'!E2155</f>
        <v>Biodiversity conservation</v>
      </c>
      <c r="F2155" s="151" t="str">
        <f>'Reported burning'!F2155</f>
        <v>Forest</v>
      </c>
      <c r="G2155" s="151" t="str">
        <f>'Reported burning'!G2155</f>
        <v>Forest</v>
      </c>
      <c r="H2155" s="151" t="str">
        <f>'Reported burning'!H2155</f>
        <v>Presence</v>
      </c>
      <c r="I2155" s="3"/>
      <c r="J2155" s="21" t="s">
        <v>2272</v>
      </c>
      <c r="K2155" s="21" t="s">
        <v>2272</v>
      </c>
      <c r="L2155" s="98" t="s">
        <v>2272</v>
      </c>
      <c r="M2155" s="21" t="s">
        <v>2272</v>
      </c>
      <c r="N2155" s="21" t="s">
        <v>2272</v>
      </c>
      <c r="O2155" s="21" t="s">
        <v>2272</v>
      </c>
      <c r="P2155" s="21" t="s">
        <v>2272</v>
      </c>
      <c r="Q2155" s="21" t="s">
        <v>2272</v>
      </c>
      <c r="R2155" s="21" t="s">
        <v>2272</v>
      </c>
      <c r="S2155" s="21" t="s">
        <v>2272</v>
      </c>
      <c r="T2155" s="21" t="s">
        <v>2272</v>
      </c>
      <c r="U2155" s="21" t="s">
        <v>2272</v>
      </c>
      <c r="V2155" s="21" t="s">
        <v>2272</v>
      </c>
      <c r="W2155" s="21" t="s">
        <v>2272</v>
      </c>
      <c r="X2155" s="21" t="s">
        <v>2272</v>
      </c>
      <c r="Y2155" s="21" t="s">
        <v>2272</v>
      </c>
      <c r="Z2155" s="21" t="s">
        <v>2272</v>
      </c>
      <c r="AA2155" s="21" t="s">
        <v>2272</v>
      </c>
      <c r="AB2155" s="3"/>
      <c r="AC2155" s="3"/>
    </row>
    <row r="2156" spans="1:29" ht="46" customHeight="1">
      <c r="A2156" s="151" t="str">
        <f>'Reported burning'!A2156</f>
        <v>258b</v>
      </c>
      <c r="B2156" s="151" t="str">
        <f>'Reported burning'!B2156</f>
        <v>258b.4</v>
      </c>
      <c r="C2156" s="151" t="str">
        <f>'Reported burning'!C2156</f>
        <v>Human, deliberate</v>
      </c>
      <c r="D2156" s="151" t="str">
        <f>'Reported burning'!D2156</f>
        <v>Pyrome management</v>
      </c>
      <c r="E2156" s="151" t="str">
        <f>'Reported burning'!E2156</f>
        <v>Forestry, Industrial</v>
      </c>
      <c r="F2156" s="151" t="str">
        <f>'Reported burning'!F2156</f>
        <v>Forest</v>
      </c>
      <c r="G2156" s="151" t="str">
        <f>'Reported burning'!G2156</f>
        <v>Forest</v>
      </c>
      <c r="H2156" s="151" t="str">
        <f>'Reported burning'!H2156</f>
        <v>Presence</v>
      </c>
      <c r="I2156" s="3"/>
      <c r="J2156" s="21" t="s">
        <v>2272</v>
      </c>
      <c r="K2156" s="21" t="s">
        <v>2272</v>
      </c>
      <c r="L2156" s="21" t="s">
        <v>2272</v>
      </c>
      <c r="M2156" s="21" t="s">
        <v>2272</v>
      </c>
      <c r="N2156" s="21" t="s">
        <v>2272</v>
      </c>
      <c r="O2156" s="21" t="s">
        <v>2272</v>
      </c>
      <c r="P2156" s="21" t="s">
        <v>2272</v>
      </c>
      <c r="Q2156" s="21" t="s">
        <v>2272</v>
      </c>
      <c r="R2156" s="21" t="s">
        <v>2272</v>
      </c>
      <c r="S2156" s="21" t="s">
        <v>2272</v>
      </c>
      <c r="T2156" s="21" t="s">
        <v>2272</v>
      </c>
      <c r="U2156" s="21" t="s">
        <v>2272</v>
      </c>
      <c r="V2156" s="21" t="s">
        <v>2272</v>
      </c>
      <c r="W2156" s="21" t="s">
        <v>2272</v>
      </c>
      <c r="X2156" s="21" t="s">
        <v>2272</v>
      </c>
      <c r="Y2156" s="21" t="s">
        <v>2272</v>
      </c>
      <c r="Z2156" s="21" t="s">
        <v>2272</v>
      </c>
      <c r="AA2156" s="21" t="s">
        <v>2272</v>
      </c>
      <c r="AB2156" s="3"/>
      <c r="AC2156" s="3"/>
    </row>
    <row r="2157" spans="1:29" s="197" customFormat="1" ht="46" customHeight="1">
      <c r="A2157" s="151" t="str">
        <f>'Reported burning'!A2157</f>
        <v>258c</v>
      </c>
      <c r="B2157" s="151" t="str">
        <f>'Reported burning'!B2157</f>
        <v>258c.1</v>
      </c>
      <c r="C2157" s="151" t="str">
        <f>'Reported burning'!C2157</f>
        <v>Human, deliberate</v>
      </c>
      <c r="D2157" s="151" t="str">
        <f>'Reported burning'!D2157</f>
        <v>Pyrome management</v>
      </c>
      <c r="E2157" s="151" t="str">
        <f>'Reported burning'!E2157</f>
        <v>Biodiversity conservation</v>
      </c>
      <c r="F2157" s="151" t="str">
        <f>'Reported burning'!F2157</f>
        <v>Forest</v>
      </c>
      <c r="G2157" s="151" t="str">
        <f>'Reported burning'!G2157</f>
        <v>Forest</v>
      </c>
      <c r="H2157" s="151" t="str">
        <f>'Reported burning'!H2157</f>
        <v>Presence</v>
      </c>
      <c r="I2157" s="198"/>
      <c r="J2157" s="21" t="s">
        <v>2272</v>
      </c>
      <c r="K2157" s="21" t="s">
        <v>2272</v>
      </c>
      <c r="L2157" s="21" t="s">
        <v>2272</v>
      </c>
      <c r="M2157" s="21" t="s">
        <v>2272</v>
      </c>
      <c r="N2157" s="21" t="s">
        <v>2272</v>
      </c>
      <c r="O2157" s="21" t="s">
        <v>2272</v>
      </c>
      <c r="P2157" s="21" t="s">
        <v>2272</v>
      </c>
      <c r="Q2157" s="21" t="s">
        <v>2272</v>
      </c>
      <c r="R2157" s="21" t="s">
        <v>2272</v>
      </c>
      <c r="S2157" s="21" t="s">
        <v>2272</v>
      </c>
      <c r="T2157" s="21" t="s">
        <v>2522</v>
      </c>
      <c r="U2157" s="21" t="s">
        <v>2272</v>
      </c>
      <c r="V2157" s="21" t="s">
        <v>2522</v>
      </c>
      <c r="W2157" s="21" t="s">
        <v>2272</v>
      </c>
      <c r="X2157" s="21" t="s">
        <v>2272</v>
      </c>
      <c r="Y2157" s="21" t="s">
        <v>2272</v>
      </c>
      <c r="Z2157" s="21" t="s">
        <v>2272</v>
      </c>
      <c r="AA2157" s="21" t="s">
        <v>2272</v>
      </c>
      <c r="AB2157" s="198"/>
      <c r="AC2157" s="198"/>
    </row>
    <row r="2158" spans="1:29" s="197" customFormat="1" ht="46" customHeight="1">
      <c r="A2158" s="151" t="str">
        <f>'Reported burning'!A2158</f>
        <v>258c</v>
      </c>
      <c r="B2158" s="151" t="str">
        <f>'Reported burning'!B2158</f>
        <v>258c.2</v>
      </c>
      <c r="C2158" s="151" t="str">
        <f>'Reported burning'!C2158</f>
        <v>Human, deliberate</v>
      </c>
      <c r="D2158" s="151" t="str">
        <f>'Reported burning'!D2158</f>
        <v>Pyrome management</v>
      </c>
      <c r="E2158" s="151" t="str">
        <f>'Reported burning'!E2158</f>
        <v>Forestry, Industrial</v>
      </c>
      <c r="F2158" s="151" t="str">
        <f>'Reported burning'!F2158</f>
        <v>Forest</v>
      </c>
      <c r="G2158" s="151" t="str">
        <f>'Reported burning'!G2158</f>
        <v>Forest</v>
      </c>
      <c r="H2158" s="151" t="str">
        <f>'Reported burning'!H2158</f>
        <v>Presence</v>
      </c>
      <c r="I2158" s="198"/>
      <c r="J2158" s="21" t="s">
        <v>2272</v>
      </c>
      <c r="K2158" s="21" t="s">
        <v>2272</v>
      </c>
      <c r="L2158" s="21" t="s">
        <v>2272</v>
      </c>
      <c r="M2158" s="21" t="s">
        <v>2272</v>
      </c>
      <c r="N2158" s="21" t="s">
        <v>2272</v>
      </c>
      <c r="O2158" s="21" t="s">
        <v>2272</v>
      </c>
      <c r="P2158" s="21" t="s">
        <v>2272</v>
      </c>
      <c r="Q2158" s="21" t="s">
        <v>2272</v>
      </c>
      <c r="R2158" s="21" t="s">
        <v>2272</v>
      </c>
      <c r="S2158" s="21" t="s">
        <v>2272</v>
      </c>
      <c r="T2158" s="21" t="s">
        <v>2522</v>
      </c>
      <c r="U2158" s="21" t="s">
        <v>2272</v>
      </c>
      <c r="V2158" s="21" t="s">
        <v>2522</v>
      </c>
      <c r="W2158" s="21" t="s">
        <v>2272</v>
      </c>
      <c r="X2158" s="21" t="s">
        <v>2272</v>
      </c>
      <c r="Y2158" s="21" t="s">
        <v>2272</v>
      </c>
      <c r="Z2158" s="21" t="s">
        <v>2272</v>
      </c>
      <c r="AA2158" s="21" t="s">
        <v>2272</v>
      </c>
      <c r="AB2158" s="198"/>
      <c r="AC2158" s="198"/>
    </row>
    <row r="2159" spans="1:29" s="197" customFormat="1" ht="46" customHeight="1">
      <c r="A2159" s="151" t="str">
        <f>'Reported burning'!A2159</f>
        <v>258d</v>
      </c>
      <c r="B2159" s="151" t="str">
        <f>'Reported burning'!B2159</f>
        <v>258d.1</v>
      </c>
      <c r="C2159" s="151" t="str">
        <f>'Reported burning'!C2159</f>
        <v>Human, deliberate</v>
      </c>
      <c r="D2159" s="151" t="str">
        <f>'Reported burning'!D2159</f>
        <v>Pyrome management</v>
      </c>
      <c r="E2159" s="151" t="str">
        <f>'Reported burning'!E2159</f>
        <v>Biodiversity conservation</v>
      </c>
      <c r="F2159" s="151" t="str">
        <f>'Reported burning'!F2159</f>
        <v>Forest</v>
      </c>
      <c r="G2159" s="151" t="str">
        <f>'Reported burning'!G2159</f>
        <v>Forest</v>
      </c>
      <c r="H2159" s="151" t="str">
        <f>'Reported burning'!H2159</f>
        <v>Presence</v>
      </c>
      <c r="I2159" s="198"/>
      <c r="J2159" s="21" t="s">
        <v>2272</v>
      </c>
      <c r="K2159" s="21" t="s">
        <v>2272</v>
      </c>
      <c r="L2159" s="21" t="s">
        <v>2272</v>
      </c>
      <c r="M2159" s="21" t="s">
        <v>2272</v>
      </c>
      <c r="N2159" s="21" t="s">
        <v>2272</v>
      </c>
      <c r="O2159" s="21" t="s">
        <v>2272</v>
      </c>
      <c r="P2159" s="21" t="s">
        <v>2272</v>
      </c>
      <c r="Q2159" s="21" t="s">
        <v>2272</v>
      </c>
      <c r="R2159" s="21" t="s">
        <v>2272</v>
      </c>
      <c r="S2159" s="21" t="s">
        <v>2272</v>
      </c>
      <c r="T2159" s="21" t="s">
        <v>2522</v>
      </c>
      <c r="U2159" s="21" t="s">
        <v>2272</v>
      </c>
      <c r="V2159" s="21" t="s">
        <v>2522</v>
      </c>
      <c r="W2159" s="21" t="s">
        <v>2272</v>
      </c>
      <c r="X2159" s="21" t="s">
        <v>2272</v>
      </c>
      <c r="Y2159" s="21" t="s">
        <v>2272</v>
      </c>
      <c r="Z2159" s="21" t="s">
        <v>2272</v>
      </c>
      <c r="AA2159" s="21" t="s">
        <v>2272</v>
      </c>
      <c r="AB2159" s="198"/>
      <c r="AC2159" s="198"/>
    </row>
    <row r="2160" spans="1:29" s="197" customFormat="1" ht="46" customHeight="1">
      <c r="A2160" s="151" t="str">
        <f>'Reported burning'!A2160</f>
        <v>258d</v>
      </c>
      <c r="B2160" s="151" t="str">
        <f>'Reported burning'!B2160</f>
        <v>258d.2</v>
      </c>
      <c r="C2160" s="151" t="str">
        <f>'Reported burning'!C2160</f>
        <v>Human, deliberate</v>
      </c>
      <c r="D2160" s="151" t="str">
        <f>'Reported burning'!D2160</f>
        <v>Pyrome management</v>
      </c>
      <c r="E2160" s="151" t="str">
        <f>'Reported burning'!E2160</f>
        <v>Forestry, Industrial</v>
      </c>
      <c r="F2160" s="151" t="str">
        <f>'Reported burning'!F2160</f>
        <v>Forest</v>
      </c>
      <c r="G2160" s="151" t="str">
        <f>'Reported burning'!G2160</f>
        <v>Forest</v>
      </c>
      <c r="H2160" s="151" t="str">
        <f>'Reported burning'!H2160</f>
        <v>Presence</v>
      </c>
      <c r="I2160" s="198"/>
      <c r="J2160" s="21" t="s">
        <v>2272</v>
      </c>
      <c r="K2160" s="21" t="s">
        <v>2272</v>
      </c>
      <c r="L2160" s="21" t="s">
        <v>2272</v>
      </c>
      <c r="M2160" s="21" t="s">
        <v>2272</v>
      </c>
      <c r="N2160" s="21" t="s">
        <v>2272</v>
      </c>
      <c r="O2160" s="21" t="s">
        <v>2272</v>
      </c>
      <c r="P2160" s="21" t="s">
        <v>2272</v>
      </c>
      <c r="Q2160" s="21" t="s">
        <v>2272</v>
      </c>
      <c r="R2160" s="21" t="s">
        <v>2272</v>
      </c>
      <c r="S2160" s="21" t="s">
        <v>2272</v>
      </c>
      <c r="T2160" s="21" t="s">
        <v>2522</v>
      </c>
      <c r="U2160" s="21" t="s">
        <v>2272</v>
      </c>
      <c r="V2160" s="21" t="s">
        <v>2522</v>
      </c>
      <c r="W2160" s="21" t="s">
        <v>2272</v>
      </c>
      <c r="X2160" s="21" t="s">
        <v>2272</v>
      </c>
      <c r="Y2160" s="21" t="s">
        <v>2272</v>
      </c>
      <c r="Z2160" s="21" t="s">
        <v>2272</v>
      </c>
      <c r="AA2160" s="21" t="s">
        <v>2272</v>
      </c>
      <c r="AB2160" s="198"/>
      <c r="AC2160" s="198"/>
    </row>
    <row r="2161" spans="1:29" s="197" customFormat="1" ht="46" customHeight="1">
      <c r="A2161" s="151" t="str">
        <f>'Reported burning'!A2161</f>
        <v>258e</v>
      </c>
      <c r="B2161" s="151" t="str">
        <f>'Reported burning'!B2161</f>
        <v>258e.1</v>
      </c>
      <c r="C2161" s="151" t="str">
        <f>'Reported burning'!C2161</f>
        <v>Human, deliberate</v>
      </c>
      <c r="D2161" s="151" t="str">
        <f>'Reported burning'!D2161</f>
        <v>Pyrome management</v>
      </c>
      <c r="E2161" s="151" t="str">
        <f>'Reported burning'!E2161</f>
        <v>Biodiversity conservation</v>
      </c>
      <c r="F2161" s="151" t="str">
        <f>'Reported burning'!F2161</f>
        <v>Forest</v>
      </c>
      <c r="G2161" s="151" t="str">
        <f>'Reported burning'!G2161</f>
        <v>Forest</v>
      </c>
      <c r="H2161" s="151" t="str">
        <f>'Reported burning'!H2161</f>
        <v>Presence</v>
      </c>
      <c r="I2161" s="198"/>
      <c r="J2161" s="21" t="s">
        <v>2272</v>
      </c>
      <c r="K2161" s="21" t="s">
        <v>2272</v>
      </c>
      <c r="L2161" s="21" t="s">
        <v>2272</v>
      </c>
      <c r="M2161" s="21" t="s">
        <v>2272</v>
      </c>
      <c r="N2161" s="21" t="s">
        <v>2272</v>
      </c>
      <c r="O2161" s="21" t="s">
        <v>2272</v>
      </c>
      <c r="P2161" s="21" t="s">
        <v>2272</v>
      </c>
      <c r="Q2161" s="21" t="s">
        <v>2272</v>
      </c>
      <c r="R2161" s="21" t="s">
        <v>2272</v>
      </c>
      <c r="S2161" s="21" t="s">
        <v>2272</v>
      </c>
      <c r="T2161" s="21" t="s">
        <v>2522</v>
      </c>
      <c r="U2161" s="21" t="s">
        <v>2272</v>
      </c>
      <c r="V2161" s="21" t="s">
        <v>2522</v>
      </c>
      <c r="W2161" s="21" t="s">
        <v>2272</v>
      </c>
      <c r="X2161" s="21" t="s">
        <v>2272</v>
      </c>
      <c r="Y2161" s="21" t="s">
        <v>2272</v>
      </c>
      <c r="Z2161" s="21" t="s">
        <v>2272</v>
      </c>
      <c r="AA2161" s="21" t="s">
        <v>2272</v>
      </c>
      <c r="AB2161" s="198"/>
      <c r="AC2161" s="198"/>
    </row>
    <row r="2162" spans="1:29" s="197" customFormat="1" ht="46" customHeight="1">
      <c r="A2162" s="151" t="str">
        <f>'Reported burning'!A2162</f>
        <v>258e</v>
      </c>
      <c r="B2162" s="151" t="str">
        <f>'Reported burning'!B2162</f>
        <v>258e.2</v>
      </c>
      <c r="C2162" s="151" t="str">
        <f>'Reported burning'!C2162</f>
        <v>Human, deliberate</v>
      </c>
      <c r="D2162" s="151" t="str">
        <f>'Reported burning'!D2162</f>
        <v>Pyrome management</v>
      </c>
      <c r="E2162" s="151" t="str">
        <f>'Reported burning'!E2162</f>
        <v>Forestry, Industrial</v>
      </c>
      <c r="F2162" s="151" t="str">
        <f>'Reported burning'!F2162</f>
        <v>Forest</v>
      </c>
      <c r="G2162" s="151" t="str">
        <f>'Reported burning'!G2162</f>
        <v>Forest</v>
      </c>
      <c r="H2162" s="151" t="str">
        <f>'Reported burning'!H2162</f>
        <v>Presence</v>
      </c>
      <c r="I2162" s="198"/>
      <c r="J2162" s="21" t="s">
        <v>2272</v>
      </c>
      <c r="K2162" s="21" t="s">
        <v>2272</v>
      </c>
      <c r="L2162" s="21" t="s">
        <v>2272</v>
      </c>
      <c r="M2162" s="21" t="s">
        <v>2272</v>
      </c>
      <c r="N2162" s="21" t="s">
        <v>2272</v>
      </c>
      <c r="O2162" s="21" t="s">
        <v>2272</v>
      </c>
      <c r="P2162" s="21" t="s">
        <v>2272</v>
      </c>
      <c r="Q2162" s="21" t="s">
        <v>2272</v>
      </c>
      <c r="R2162" s="21" t="s">
        <v>2272</v>
      </c>
      <c r="S2162" s="21" t="s">
        <v>2272</v>
      </c>
      <c r="T2162" s="21" t="s">
        <v>2522</v>
      </c>
      <c r="U2162" s="21" t="s">
        <v>2272</v>
      </c>
      <c r="V2162" s="21" t="s">
        <v>2522</v>
      </c>
      <c r="W2162" s="21" t="s">
        <v>2272</v>
      </c>
      <c r="X2162" s="21" t="s">
        <v>2272</v>
      </c>
      <c r="Y2162" s="21" t="s">
        <v>2272</v>
      </c>
      <c r="Z2162" s="21" t="s">
        <v>2272</v>
      </c>
      <c r="AA2162" s="21" t="s">
        <v>2272</v>
      </c>
      <c r="AB2162" s="198"/>
      <c r="AC2162" s="198"/>
    </row>
    <row r="2163" spans="1:29" ht="46" customHeight="1">
      <c r="A2163" s="151" t="str">
        <f>'Reported burning'!A2163</f>
        <v>259a</v>
      </c>
      <c r="B2163" s="151" t="str">
        <f>'Reported burning'!B2163</f>
        <v>259a.1</v>
      </c>
      <c r="C2163" s="151" t="str">
        <f>'Reported burning'!C2163</f>
        <v>Unknown</v>
      </c>
      <c r="D2163" s="151" t="str">
        <f>'Reported burning'!D2163</f>
        <v>ND</v>
      </c>
      <c r="E2163" s="151" t="str">
        <f>'Reported burning'!E2163</f>
        <v>ND</v>
      </c>
      <c r="F2163" s="151" t="str">
        <f>'Reported burning'!F2163</f>
        <v>ND</v>
      </c>
      <c r="G2163" s="151" t="str">
        <f>'Reported burning'!G2163</f>
        <v>Shrubland (Mixed forest &amp; grassland)</v>
      </c>
      <c r="H2163" s="151" t="str">
        <f>'Reported burning'!H2163</f>
        <v>Presence</v>
      </c>
      <c r="I2163" s="3">
        <v>2007</v>
      </c>
      <c r="J2163" s="21" t="s">
        <v>2272</v>
      </c>
      <c r="K2163" s="21" t="s">
        <v>2272</v>
      </c>
      <c r="L2163" s="98" t="s">
        <v>2272</v>
      </c>
      <c r="M2163" s="21" t="s">
        <v>2358</v>
      </c>
      <c r="N2163" s="21" t="s">
        <v>2272</v>
      </c>
      <c r="O2163" s="21" t="s">
        <v>2381</v>
      </c>
      <c r="P2163" s="21" t="s">
        <v>2272</v>
      </c>
      <c r="Q2163" s="21" t="s">
        <v>2272</v>
      </c>
      <c r="R2163" s="21" t="s">
        <v>2272</v>
      </c>
      <c r="S2163" s="21" t="s">
        <v>2358</v>
      </c>
      <c r="T2163" s="21" t="s">
        <v>2272</v>
      </c>
      <c r="U2163" s="21" t="s">
        <v>2272</v>
      </c>
      <c r="V2163" s="21" t="s">
        <v>2272</v>
      </c>
      <c r="W2163" s="21" t="s">
        <v>2272</v>
      </c>
      <c r="X2163" s="21" t="s">
        <v>2272</v>
      </c>
      <c r="Y2163" s="3" t="s">
        <v>33</v>
      </c>
      <c r="Z2163" s="3" t="s">
        <v>403</v>
      </c>
      <c r="AA2163" s="3" t="s">
        <v>2272</v>
      </c>
      <c r="AB2163" s="4" t="s">
        <v>11575</v>
      </c>
      <c r="AC2163" s="4" t="s">
        <v>6654</v>
      </c>
    </row>
    <row r="2164" spans="1:29" s="197" customFormat="1" ht="46" customHeight="1">
      <c r="A2164" s="151" t="str">
        <f>'Reported burning'!A2164</f>
        <v>259a</v>
      </c>
      <c r="B2164" s="151" t="str">
        <f>'Reported burning'!B2164</f>
        <v>259a.2</v>
      </c>
      <c r="C2164" s="151" t="str">
        <f>'Reported burning'!C2164</f>
        <v>Unknown</v>
      </c>
      <c r="D2164" s="151" t="str">
        <f>'Reported burning'!D2164</f>
        <v>ND</v>
      </c>
      <c r="E2164" s="151" t="str">
        <f>'Reported burning'!E2164</f>
        <v>ND</v>
      </c>
      <c r="F2164" s="151" t="str">
        <f>'Reported burning'!F2164</f>
        <v>ND</v>
      </c>
      <c r="G2164" s="151" t="str">
        <f>'Reported burning'!G2164</f>
        <v>Shrubland (Mixed forest &amp; grassland)</v>
      </c>
      <c r="H2164" s="151" t="str">
        <f>'Reported burning'!H2164</f>
        <v>Presence</v>
      </c>
      <c r="I2164" s="198">
        <v>2000</v>
      </c>
      <c r="J2164" s="21" t="s">
        <v>2272</v>
      </c>
      <c r="K2164" s="21" t="s">
        <v>2272</v>
      </c>
      <c r="L2164" s="98" t="s">
        <v>2272</v>
      </c>
      <c r="M2164" s="21" t="s">
        <v>2358</v>
      </c>
      <c r="N2164" s="21" t="s">
        <v>2272</v>
      </c>
      <c r="O2164" s="21" t="s">
        <v>2380</v>
      </c>
      <c r="P2164" s="21" t="s">
        <v>2272</v>
      </c>
      <c r="Q2164" s="21" t="s">
        <v>2371</v>
      </c>
      <c r="R2164" s="21" t="s">
        <v>2272</v>
      </c>
      <c r="S2164" s="21" t="s">
        <v>2358</v>
      </c>
      <c r="T2164" s="21" t="s">
        <v>2272</v>
      </c>
      <c r="U2164" s="21" t="s">
        <v>2272</v>
      </c>
      <c r="V2164" s="21" t="s">
        <v>2272</v>
      </c>
      <c r="W2164" s="21" t="s">
        <v>2272</v>
      </c>
      <c r="X2164" s="21" t="s">
        <v>2272</v>
      </c>
      <c r="Y2164" s="198" t="s">
        <v>33</v>
      </c>
      <c r="Z2164" s="198" t="s">
        <v>403</v>
      </c>
      <c r="AA2164" s="198" t="s">
        <v>2272</v>
      </c>
      <c r="AB2164" s="4" t="s">
        <v>11575</v>
      </c>
      <c r="AC2164" s="4" t="s">
        <v>6654</v>
      </c>
    </row>
    <row r="2165" spans="1:29" s="197" customFormat="1" ht="46" customHeight="1">
      <c r="A2165" s="151" t="str">
        <f>'Reported burning'!A2165</f>
        <v>259a</v>
      </c>
      <c r="B2165" s="151" t="str">
        <f>'Reported burning'!B2165</f>
        <v>259a.3</v>
      </c>
      <c r="C2165" s="151" t="str">
        <f>'Reported burning'!C2165</f>
        <v>Unknown</v>
      </c>
      <c r="D2165" s="151" t="str">
        <f>'Reported burning'!D2165</f>
        <v>ND</v>
      </c>
      <c r="E2165" s="151" t="str">
        <f>'Reported burning'!E2165</f>
        <v>ND</v>
      </c>
      <c r="F2165" s="151" t="str">
        <f>'Reported burning'!F2165</f>
        <v>ND</v>
      </c>
      <c r="G2165" s="151" t="str">
        <f>'Reported burning'!G2165</f>
        <v>Shrubland (Mixed forest &amp; grassland)</v>
      </c>
      <c r="H2165" s="151" t="str">
        <f>'Reported burning'!H2165</f>
        <v>Presence</v>
      </c>
      <c r="I2165" s="198">
        <v>2001</v>
      </c>
      <c r="J2165" s="21" t="s">
        <v>2272</v>
      </c>
      <c r="K2165" s="21" t="s">
        <v>2272</v>
      </c>
      <c r="L2165" s="98" t="s">
        <v>2272</v>
      </c>
      <c r="M2165" s="21" t="s">
        <v>2358</v>
      </c>
      <c r="N2165" s="21" t="s">
        <v>2272</v>
      </c>
      <c r="O2165" s="21" t="s">
        <v>2272</v>
      </c>
      <c r="P2165" s="21" t="s">
        <v>2272</v>
      </c>
      <c r="Q2165" s="21" t="s">
        <v>2358</v>
      </c>
      <c r="R2165" s="21" t="s">
        <v>2272</v>
      </c>
      <c r="S2165" s="21" t="s">
        <v>2358</v>
      </c>
      <c r="T2165" s="21" t="s">
        <v>2272</v>
      </c>
      <c r="U2165" s="21" t="s">
        <v>2272</v>
      </c>
      <c r="V2165" s="21" t="s">
        <v>2272</v>
      </c>
      <c r="W2165" s="21" t="s">
        <v>2272</v>
      </c>
      <c r="X2165" s="21" t="s">
        <v>2272</v>
      </c>
      <c r="Y2165" s="198" t="s">
        <v>33</v>
      </c>
      <c r="Z2165" s="198" t="s">
        <v>403</v>
      </c>
      <c r="AA2165" s="198" t="s">
        <v>2272</v>
      </c>
      <c r="AB2165" s="4" t="s">
        <v>11575</v>
      </c>
      <c r="AC2165" s="4"/>
    </row>
    <row r="2166" spans="1:29" s="197" customFormat="1" ht="46" customHeight="1">
      <c r="A2166" s="151" t="str">
        <f>'Reported burning'!A2166</f>
        <v>259a</v>
      </c>
      <c r="B2166" s="151" t="str">
        <f>'Reported burning'!B2166</f>
        <v>259a.4</v>
      </c>
      <c r="C2166" s="151" t="str">
        <f>'Reported burning'!C2166</f>
        <v>Unknown</v>
      </c>
      <c r="D2166" s="151" t="str">
        <f>'Reported burning'!D2166</f>
        <v>ND</v>
      </c>
      <c r="E2166" s="151" t="str">
        <f>'Reported burning'!E2166</f>
        <v>ND</v>
      </c>
      <c r="F2166" s="151" t="str">
        <f>'Reported burning'!F2166</f>
        <v>ND</v>
      </c>
      <c r="G2166" s="151" t="str">
        <f>'Reported burning'!G2166</f>
        <v>Shrubland (Mixed forest &amp; grassland)</v>
      </c>
      <c r="H2166" s="151" t="str">
        <f>'Reported burning'!H2166</f>
        <v>Presence</v>
      </c>
      <c r="I2166" s="198">
        <v>2002</v>
      </c>
      <c r="J2166" s="21" t="s">
        <v>2272</v>
      </c>
      <c r="K2166" s="21" t="s">
        <v>2272</v>
      </c>
      <c r="L2166" s="98" t="s">
        <v>2272</v>
      </c>
      <c r="M2166" s="21" t="s">
        <v>2358</v>
      </c>
      <c r="N2166" s="21" t="s">
        <v>2272</v>
      </c>
      <c r="O2166" s="21" t="s">
        <v>2272</v>
      </c>
      <c r="P2166" s="21" t="s">
        <v>2272</v>
      </c>
      <c r="Q2166" s="21" t="s">
        <v>2358</v>
      </c>
      <c r="R2166" s="21" t="s">
        <v>2272</v>
      </c>
      <c r="S2166" s="21" t="s">
        <v>2358</v>
      </c>
      <c r="T2166" s="21" t="s">
        <v>2272</v>
      </c>
      <c r="U2166" s="21" t="s">
        <v>2272</v>
      </c>
      <c r="V2166" s="21" t="s">
        <v>2272</v>
      </c>
      <c r="W2166" s="21" t="s">
        <v>2272</v>
      </c>
      <c r="X2166" s="21" t="s">
        <v>2272</v>
      </c>
      <c r="Y2166" s="198" t="s">
        <v>33</v>
      </c>
      <c r="Z2166" s="198" t="s">
        <v>403</v>
      </c>
      <c r="AA2166" s="198" t="s">
        <v>2272</v>
      </c>
      <c r="AB2166" s="4" t="s">
        <v>11575</v>
      </c>
      <c r="AC2166" s="4"/>
    </row>
    <row r="2167" spans="1:29" s="197" customFormat="1" ht="46" customHeight="1">
      <c r="A2167" s="151" t="str">
        <f>'Reported burning'!A2167</f>
        <v>259a</v>
      </c>
      <c r="B2167" s="151" t="str">
        <f>'Reported burning'!B2167</f>
        <v>259a.5</v>
      </c>
      <c r="C2167" s="151" t="str">
        <f>'Reported burning'!C2167</f>
        <v>Unknown</v>
      </c>
      <c r="D2167" s="151" t="str">
        <f>'Reported burning'!D2167</f>
        <v>ND</v>
      </c>
      <c r="E2167" s="151" t="str">
        <f>'Reported burning'!E2167</f>
        <v>ND</v>
      </c>
      <c r="F2167" s="151" t="str">
        <f>'Reported burning'!F2167</f>
        <v>ND</v>
      </c>
      <c r="G2167" s="151" t="str">
        <f>'Reported burning'!G2167</f>
        <v>Shrubland (Mixed forest &amp; grassland)</v>
      </c>
      <c r="H2167" s="151" t="str">
        <f>'Reported burning'!H2167</f>
        <v>Presence</v>
      </c>
      <c r="I2167" s="198">
        <v>2003</v>
      </c>
      <c r="J2167" s="21" t="s">
        <v>2272</v>
      </c>
      <c r="K2167" s="21" t="s">
        <v>2272</v>
      </c>
      <c r="L2167" s="98" t="s">
        <v>2272</v>
      </c>
      <c r="M2167" s="21" t="s">
        <v>2358</v>
      </c>
      <c r="N2167" s="21" t="s">
        <v>2272</v>
      </c>
      <c r="O2167" s="21" t="s">
        <v>2272</v>
      </c>
      <c r="P2167" s="21" t="s">
        <v>2272</v>
      </c>
      <c r="Q2167" s="21" t="s">
        <v>2358</v>
      </c>
      <c r="R2167" s="21" t="s">
        <v>2272</v>
      </c>
      <c r="S2167" s="21" t="s">
        <v>2358</v>
      </c>
      <c r="T2167" s="21" t="s">
        <v>2272</v>
      </c>
      <c r="U2167" s="21" t="s">
        <v>2272</v>
      </c>
      <c r="V2167" s="21" t="s">
        <v>2272</v>
      </c>
      <c r="W2167" s="21" t="s">
        <v>2272</v>
      </c>
      <c r="X2167" s="21" t="s">
        <v>2272</v>
      </c>
      <c r="Y2167" s="198" t="s">
        <v>33</v>
      </c>
      <c r="Z2167" s="198" t="s">
        <v>403</v>
      </c>
      <c r="AA2167" s="198" t="s">
        <v>2272</v>
      </c>
      <c r="AB2167" s="4" t="s">
        <v>11575</v>
      </c>
      <c r="AC2167" s="4"/>
    </row>
    <row r="2168" spans="1:29" s="197" customFormat="1" ht="46" customHeight="1">
      <c r="A2168" s="151" t="str">
        <f>'Reported burning'!A2168</f>
        <v>259a</v>
      </c>
      <c r="B2168" s="151" t="str">
        <f>'Reported burning'!B2168</f>
        <v>259a.6</v>
      </c>
      <c r="C2168" s="151" t="str">
        <f>'Reported burning'!C2168</f>
        <v>Unknown</v>
      </c>
      <c r="D2168" s="151" t="str">
        <f>'Reported burning'!D2168</f>
        <v>ND</v>
      </c>
      <c r="E2168" s="151" t="str">
        <f>'Reported burning'!E2168</f>
        <v>ND</v>
      </c>
      <c r="F2168" s="151" t="str">
        <f>'Reported burning'!F2168</f>
        <v>ND</v>
      </c>
      <c r="G2168" s="151" t="str">
        <f>'Reported burning'!G2168</f>
        <v>Shrubland (Mixed forest &amp; grassland)</v>
      </c>
      <c r="H2168" s="151" t="str">
        <f>'Reported burning'!H2168</f>
        <v>Presence</v>
      </c>
      <c r="I2168" s="198">
        <v>2004</v>
      </c>
      <c r="J2168" s="21" t="s">
        <v>2272</v>
      </c>
      <c r="K2168" s="21" t="s">
        <v>2272</v>
      </c>
      <c r="L2168" s="98" t="s">
        <v>2272</v>
      </c>
      <c r="M2168" s="21" t="s">
        <v>2358</v>
      </c>
      <c r="N2168" s="21" t="s">
        <v>2272</v>
      </c>
      <c r="O2168" s="21" t="s">
        <v>2272</v>
      </c>
      <c r="P2168" s="21" t="s">
        <v>2272</v>
      </c>
      <c r="Q2168" s="21" t="s">
        <v>2358</v>
      </c>
      <c r="R2168" s="21" t="s">
        <v>2272</v>
      </c>
      <c r="S2168" s="21" t="s">
        <v>2358</v>
      </c>
      <c r="T2168" s="21" t="s">
        <v>2272</v>
      </c>
      <c r="U2168" s="21" t="s">
        <v>2272</v>
      </c>
      <c r="V2168" s="21" t="s">
        <v>2272</v>
      </c>
      <c r="W2168" s="21" t="s">
        <v>2272</v>
      </c>
      <c r="X2168" s="21" t="s">
        <v>2272</v>
      </c>
      <c r="Y2168" s="198" t="s">
        <v>33</v>
      </c>
      <c r="Z2168" s="198" t="s">
        <v>403</v>
      </c>
      <c r="AA2168" s="198" t="s">
        <v>2272</v>
      </c>
      <c r="AB2168" s="4" t="s">
        <v>11575</v>
      </c>
      <c r="AC2168" s="4"/>
    </row>
    <row r="2169" spans="1:29" s="197" customFormat="1" ht="46" customHeight="1">
      <c r="A2169" s="151" t="str">
        <f>'Reported burning'!A2169</f>
        <v>259a</v>
      </c>
      <c r="B2169" s="151" t="str">
        <f>'Reported burning'!B2169</f>
        <v>259a.7</v>
      </c>
      <c r="C2169" s="151" t="str">
        <f>'Reported burning'!C2169</f>
        <v>Unknown</v>
      </c>
      <c r="D2169" s="151" t="str">
        <f>'Reported burning'!D2169</f>
        <v>ND</v>
      </c>
      <c r="E2169" s="151" t="str">
        <f>'Reported burning'!E2169</f>
        <v>ND</v>
      </c>
      <c r="F2169" s="151" t="str">
        <f>'Reported burning'!F2169</f>
        <v>ND</v>
      </c>
      <c r="G2169" s="151" t="str">
        <f>'Reported burning'!G2169</f>
        <v>Shrubland (Mixed forest &amp; grassland)</v>
      </c>
      <c r="H2169" s="151" t="str">
        <f>'Reported burning'!H2169</f>
        <v>Presence</v>
      </c>
      <c r="I2169" s="198">
        <v>2005</v>
      </c>
      <c r="J2169" s="21" t="s">
        <v>2272</v>
      </c>
      <c r="K2169" s="21" t="s">
        <v>2272</v>
      </c>
      <c r="L2169" s="98" t="s">
        <v>2272</v>
      </c>
      <c r="M2169" s="21" t="s">
        <v>2358</v>
      </c>
      <c r="N2169" s="21" t="s">
        <v>2272</v>
      </c>
      <c r="O2169" s="21" t="s">
        <v>2272</v>
      </c>
      <c r="P2169" s="21" t="s">
        <v>2272</v>
      </c>
      <c r="Q2169" s="21" t="s">
        <v>2358</v>
      </c>
      <c r="R2169" s="21" t="s">
        <v>2272</v>
      </c>
      <c r="S2169" s="21" t="s">
        <v>2358</v>
      </c>
      <c r="T2169" s="21" t="s">
        <v>2272</v>
      </c>
      <c r="U2169" s="21" t="s">
        <v>2272</v>
      </c>
      <c r="V2169" s="21" t="s">
        <v>2272</v>
      </c>
      <c r="W2169" s="21" t="s">
        <v>2272</v>
      </c>
      <c r="X2169" s="21" t="s">
        <v>2272</v>
      </c>
      <c r="Y2169" s="198" t="s">
        <v>33</v>
      </c>
      <c r="Z2169" s="198" t="s">
        <v>403</v>
      </c>
      <c r="AA2169" s="198" t="s">
        <v>2272</v>
      </c>
      <c r="AB2169" s="4" t="s">
        <v>11575</v>
      </c>
      <c r="AC2169" s="4"/>
    </row>
    <row r="2170" spans="1:29" s="197" customFormat="1" ht="46" customHeight="1">
      <c r="A2170" s="151" t="str">
        <f>'Reported burning'!A2170</f>
        <v>259a</v>
      </c>
      <c r="B2170" s="151" t="str">
        <f>'Reported burning'!B2170</f>
        <v>259a.8</v>
      </c>
      <c r="C2170" s="151" t="str">
        <f>'Reported burning'!C2170</f>
        <v>Unknown</v>
      </c>
      <c r="D2170" s="151" t="str">
        <f>'Reported burning'!D2170</f>
        <v>ND</v>
      </c>
      <c r="E2170" s="151" t="str">
        <f>'Reported burning'!E2170</f>
        <v>ND</v>
      </c>
      <c r="F2170" s="151" t="str">
        <f>'Reported burning'!F2170</f>
        <v>ND</v>
      </c>
      <c r="G2170" s="151" t="str">
        <f>'Reported burning'!G2170</f>
        <v>Shrubland (Mixed forest &amp; grassland)</v>
      </c>
      <c r="H2170" s="151" t="str">
        <f>'Reported burning'!H2170</f>
        <v>Presence</v>
      </c>
      <c r="I2170" s="198">
        <v>2006</v>
      </c>
      <c r="J2170" s="21" t="s">
        <v>2272</v>
      </c>
      <c r="K2170" s="21" t="s">
        <v>2272</v>
      </c>
      <c r="L2170" s="98" t="s">
        <v>2272</v>
      </c>
      <c r="M2170" s="21" t="s">
        <v>2358</v>
      </c>
      <c r="N2170" s="21" t="s">
        <v>2272</v>
      </c>
      <c r="O2170" s="21" t="s">
        <v>2272</v>
      </c>
      <c r="P2170" s="21" t="s">
        <v>2272</v>
      </c>
      <c r="Q2170" s="21" t="s">
        <v>2358</v>
      </c>
      <c r="R2170" s="21" t="s">
        <v>2272</v>
      </c>
      <c r="S2170" s="21" t="s">
        <v>2358</v>
      </c>
      <c r="T2170" s="21" t="s">
        <v>2272</v>
      </c>
      <c r="U2170" s="21" t="s">
        <v>2272</v>
      </c>
      <c r="V2170" s="21" t="s">
        <v>2272</v>
      </c>
      <c r="W2170" s="21" t="s">
        <v>2272</v>
      </c>
      <c r="X2170" s="21" t="s">
        <v>2272</v>
      </c>
      <c r="Y2170" s="198" t="s">
        <v>33</v>
      </c>
      <c r="Z2170" s="198" t="s">
        <v>403</v>
      </c>
      <c r="AA2170" s="198" t="s">
        <v>2272</v>
      </c>
      <c r="AB2170" s="4" t="s">
        <v>11575</v>
      </c>
      <c r="AC2170" s="4"/>
    </row>
    <row r="2171" spans="1:29" ht="46" customHeight="1">
      <c r="A2171" s="151" t="str">
        <f>'Reported burning'!A2171</f>
        <v>260a</v>
      </c>
      <c r="B2171" s="151" t="str">
        <f>'Reported burning'!B2171</f>
        <v>260a.1</v>
      </c>
      <c r="C2171" s="151" t="str">
        <f>'Reported burning'!C2171</f>
        <v>All</v>
      </c>
      <c r="D2171" s="151" t="str">
        <f>'Reported burning'!D2171</f>
        <v>All</v>
      </c>
      <c r="E2171" s="151" t="str">
        <f>'Reported burning'!E2171</f>
        <v>All</v>
      </c>
      <c r="F2171" s="151" t="str">
        <f>'Reported burning'!F2171</f>
        <v>ND</v>
      </c>
      <c r="G2171" s="151" t="str">
        <f>'Reported burning'!G2171</f>
        <v>ND</v>
      </c>
      <c r="H2171" s="151" t="str">
        <f>'Reported burning'!H2171</f>
        <v>Presence</v>
      </c>
      <c r="I2171" s="4">
        <v>2003</v>
      </c>
      <c r="J2171" s="21" t="s">
        <v>2272</v>
      </c>
      <c r="K2171" s="21" t="s">
        <v>2272</v>
      </c>
      <c r="L2171" s="98" t="s">
        <v>2272</v>
      </c>
      <c r="M2171" s="21" t="s">
        <v>2358</v>
      </c>
      <c r="N2171" s="21" t="s">
        <v>2272</v>
      </c>
      <c r="O2171" s="21" t="s">
        <v>2272</v>
      </c>
      <c r="P2171" s="21" t="s">
        <v>2272</v>
      </c>
      <c r="Q2171" s="21" t="s">
        <v>2272</v>
      </c>
      <c r="R2171" s="21" t="s">
        <v>2272</v>
      </c>
      <c r="S2171" s="21" t="s">
        <v>2358</v>
      </c>
      <c r="T2171" s="21" t="s">
        <v>2272</v>
      </c>
      <c r="U2171" s="21" t="s">
        <v>2272</v>
      </c>
      <c r="V2171" s="21" t="s">
        <v>2272</v>
      </c>
      <c r="W2171" s="21" t="s">
        <v>2272</v>
      </c>
      <c r="X2171" s="21" t="s">
        <v>2272</v>
      </c>
      <c r="Y2171" s="21" t="s">
        <v>2272</v>
      </c>
      <c r="Z2171" s="21" t="s">
        <v>2272</v>
      </c>
      <c r="AA2171" s="21" t="s">
        <v>2272</v>
      </c>
      <c r="AB2171" s="3"/>
      <c r="AC2171" s="4" t="s">
        <v>6662</v>
      </c>
    </row>
    <row r="2172" spans="1:29" ht="52.5" customHeight="1">
      <c r="A2172" s="151" t="str">
        <f>'Reported burning'!A2172</f>
        <v>260a</v>
      </c>
      <c r="B2172" s="151" t="str">
        <f>'Reported burning'!B2172</f>
        <v>260a.2</v>
      </c>
      <c r="C2172" s="151" t="str">
        <f>'Reported burning'!C2173</f>
        <v>All</v>
      </c>
      <c r="D2172" s="151" t="str">
        <f>'Reported burning'!D2173</f>
        <v>All</v>
      </c>
      <c r="E2172" s="151" t="str">
        <f>'Reported burning'!E2173</f>
        <v>All</v>
      </c>
      <c r="F2172" s="151" t="str">
        <f>'Reported burning'!F2173</f>
        <v>ND</v>
      </c>
      <c r="G2172" s="151" t="str">
        <f>'Reported burning'!G2173</f>
        <v>Forest</v>
      </c>
      <c r="H2172" s="151" t="str">
        <f>'Reported burning'!H2173</f>
        <v>Presence</v>
      </c>
      <c r="I2172" s="4">
        <v>2003</v>
      </c>
      <c r="J2172" s="21" t="s">
        <v>2272</v>
      </c>
      <c r="K2172" s="21" t="s">
        <v>2272</v>
      </c>
      <c r="L2172" s="98" t="s">
        <v>2272</v>
      </c>
      <c r="M2172" s="21" t="s">
        <v>2358</v>
      </c>
      <c r="N2172" s="21" t="s">
        <v>2272</v>
      </c>
      <c r="O2172" s="21" t="s">
        <v>2272</v>
      </c>
      <c r="P2172" s="21" t="s">
        <v>2272</v>
      </c>
      <c r="Q2172" s="21" t="s">
        <v>2272</v>
      </c>
      <c r="R2172" s="21" t="s">
        <v>2272</v>
      </c>
      <c r="S2172" s="21" t="s">
        <v>2358</v>
      </c>
      <c r="T2172" s="21" t="s">
        <v>2272</v>
      </c>
      <c r="U2172" s="21" t="s">
        <v>2272</v>
      </c>
      <c r="V2172" s="21" t="s">
        <v>2272</v>
      </c>
      <c r="W2172" s="21" t="s">
        <v>2272</v>
      </c>
      <c r="X2172" s="21" t="s">
        <v>2272</v>
      </c>
      <c r="Y2172" s="21" t="s">
        <v>2272</v>
      </c>
      <c r="Z2172" s="21" t="s">
        <v>2272</v>
      </c>
      <c r="AA2172" s="21" t="s">
        <v>2272</v>
      </c>
      <c r="AB2172" s="4"/>
      <c r="AC2172" s="4" t="s">
        <v>6662</v>
      </c>
    </row>
    <row r="2173" spans="1:29" s="197" customFormat="1" ht="48.5" customHeight="1">
      <c r="A2173" s="151" t="str">
        <f>'Reported burning'!A2173</f>
        <v>260a</v>
      </c>
      <c r="B2173" s="151" t="str">
        <f>'Reported burning'!B2173</f>
        <v>260a.3</v>
      </c>
      <c r="C2173" s="151" t="str">
        <f>'Reported burning'!C2173</f>
        <v>All</v>
      </c>
      <c r="D2173" s="151" t="str">
        <f>'Reported burning'!D2173</f>
        <v>All</v>
      </c>
      <c r="E2173" s="151" t="str">
        <f>'Reported burning'!E2173</f>
        <v>All</v>
      </c>
      <c r="F2173" s="151" t="str">
        <f>'Reported burning'!F2173</f>
        <v>ND</v>
      </c>
      <c r="G2173" s="151" t="str">
        <f>'Reported burning'!G2173</f>
        <v>Forest</v>
      </c>
      <c r="H2173" s="151" t="str">
        <f>'Reported burning'!H2173</f>
        <v>Presence</v>
      </c>
      <c r="I2173" s="4">
        <v>2005</v>
      </c>
      <c r="J2173" s="21" t="s">
        <v>2272</v>
      </c>
      <c r="K2173" s="21" t="s">
        <v>2272</v>
      </c>
      <c r="L2173" s="98" t="s">
        <v>2272</v>
      </c>
      <c r="M2173" s="21" t="s">
        <v>2358</v>
      </c>
      <c r="N2173" s="21" t="s">
        <v>2272</v>
      </c>
      <c r="O2173" s="21" t="s">
        <v>2272</v>
      </c>
      <c r="P2173" s="21" t="s">
        <v>2272</v>
      </c>
      <c r="Q2173" s="21" t="s">
        <v>2272</v>
      </c>
      <c r="R2173" s="21" t="s">
        <v>2272</v>
      </c>
      <c r="S2173" s="21" t="s">
        <v>2358</v>
      </c>
      <c r="T2173" s="21" t="s">
        <v>2272</v>
      </c>
      <c r="U2173" s="21" t="s">
        <v>2272</v>
      </c>
      <c r="V2173" s="21" t="s">
        <v>2272</v>
      </c>
      <c r="W2173" s="21" t="s">
        <v>2272</v>
      </c>
      <c r="X2173" s="21" t="s">
        <v>2272</v>
      </c>
      <c r="Y2173" s="21" t="s">
        <v>2272</v>
      </c>
      <c r="Z2173" s="21" t="s">
        <v>2272</v>
      </c>
      <c r="AA2173" s="21" t="s">
        <v>2272</v>
      </c>
      <c r="AB2173" s="4"/>
      <c r="AC2173" s="4" t="s">
        <v>6663</v>
      </c>
    </row>
    <row r="2174" spans="1:29" s="197" customFormat="1" ht="48" customHeight="1">
      <c r="A2174" s="151" t="str">
        <f>'Reported burning'!A2174</f>
        <v>260a</v>
      </c>
      <c r="B2174" s="151" t="str">
        <f>'Reported burning'!B2174</f>
        <v>260a.4</v>
      </c>
      <c r="C2174" s="151" t="str">
        <f>'Reported burning'!C2175</f>
        <v>All</v>
      </c>
      <c r="D2174" s="151" t="str">
        <f>'Reported burning'!D2175</f>
        <v>All</v>
      </c>
      <c r="E2174" s="151" t="str">
        <f>'Reported burning'!E2175</f>
        <v>All</v>
      </c>
      <c r="F2174" s="151" t="str">
        <f>'Reported burning'!F2175</f>
        <v>ND</v>
      </c>
      <c r="G2174" s="151" t="str">
        <f>'Reported burning'!G2175</f>
        <v>ND</v>
      </c>
      <c r="H2174" s="151" t="str">
        <f>'Reported burning'!H2175</f>
        <v>Presence</v>
      </c>
      <c r="I2174" s="4">
        <v>2002</v>
      </c>
      <c r="J2174" s="21" t="s">
        <v>2272</v>
      </c>
      <c r="K2174" s="21" t="s">
        <v>2272</v>
      </c>
      <c r="L2174" s="98" t="s">
        <v>2272</v>
      </c>
      <c r="M2174" s="21" t="s">
        <v>2358</v>
      </c>
      <c r="N2174" s="21" t="s">
        <v>2272</v>
      </c>
      <c r="O2174" s="21" t="s">
        <v>2272</v>
      </c>
      <c r="P2174" s="21" t="s">
        <v>2272</v>
      </c>
      <c r="Q2174" s="21" t="s">
        <v>2272</v>
      </c>
      <c r="R2174" s="21" t="s">
        <v>2272</v>
      </c>
      <c r="S2174" s="21" t="s">
        <v>2358</v>
      </c>
      <c r="T2174" s="21" t="s">
        <v>2272</v>
      </c>
      <c r="U2174" s="21" t="s">
        <v>2272</v>
      </c>
      <c r="V2174" s="21" t="s">
        <v>2272</v>
      </c>
      <c r="W2174" s="21" t="s">
        <v>2272</v>
      </c>
      <c r="X2174" s="21" t="s">
        <v>2272</v>
      </c>
      <c r="Y2174" s="21" t="s">
        <v>2272</v>
      </c>
      <c r="Z2174" s="21" t="s">
        <v>2272</v>
      </c>
      <c r="AA2174" s="21" t="s">
        <v>2272</v>
      </c>
      <c r="AB2174" s="4"/>
      <c r="AC2174" s="4" t="s">
        <v>6663</v>
      </c>
    </row>
    <row r="2175" spans="1:29" s="197" customFormat="1" ht="52.5" customHeight="1">
      <c r="A2175" s="151" t="str">
        <f>'Reported burning'!A2175</f>
        <v>260a</v>
      </c>
      <c r="B2175" s="151" t="str">
        <f>'Reported burning'!B2175</f>
        <v>260a.5</v>
      </c>
      <c r="C2175" s="151" t="str">
        <f>'Reported burning'!C2175</f>
        <v>All</v>
      </c>
      <c r="D2175" s="151" t="str">
        <f>'Reported burning'!D2175</f>
        <v>All</v>
      </c>
      <c r="E2175" s="151" t="str">
        <f>'Reported burning'!E2175</f>
        <v>All</v>
      </c>
      <c r="F2175" s="151" t="str">
        <f>'Reported burning'!F2175</f>
        <v>ND</v>
      </c>
      <c r="G2175" s="151" t="str">
        <f>'Reported burning'!G2175</f>
        <v>ND</v>
      </c>
      <c r="H2175" s="151" t="str">
        <f>'Reported burning'!H2175</f>
        <v>Presence</v>
      </c>
      <c r="I2175" s="4">
        <v>2006</v>
      </c>
      <c r="J2175" s="21" t="s">
        <v>2272</v>
      </c>
      <c r="K2175" s="21" t="s">
        <v>2272</v>
      </c>
      <c r="L2175" s="98" t="s">
        <v>2272</v>
      </c>
      <c r="M2175" s="21" t="s">
        <v>2358</v>
      </c>
      <c r="N2175" s="21" t="s">
        <v>2272</v>
      </c>
      <c r="O2175" s="21" t="s">
        <v>2272</v>
      </c>
      <c r="P2175" s="21" t="s">
        <v>2272</v>
      </c>
      <c r="Q2175" s="21" t="s">
        <v>2272</v>
      </c>
      <c r="R2175" s="21" t="s">
        <v>2272</v>
      </c>
      <c r="S2175" s="21" t="s">
        <v>2358</v>
      </c>
      <c r="T2175" s="21" t="s">
        <v>2272</v>
      </c>
      <c r="U2175" s="21" t="s">
        <v>2272</v>
      </c>
      <c r="V2175" s="21" t="s">
        <v>2272</v>
      </c>
      <c r="W2175" s="21" t="s">
        <v>2272</v>
      </c>
      <c r="X2175" s="21" t="s">
        <v>2272</v>
      </c>
      <c r="Y2175" s="21" t="s">
        <v>2272</v>
      </c>
      <c r="Z2175" s="21" t="s">
        <v>2272</v>
      </c>
      <c r="AA2175" s="21" t="s">
        <v>2272</v>
      </c>
      <c r="AB2175" s="4"/>
      <c r="AC2175" s="4" t="s">
        <v>6663</v>
      </c>
    </row>
    <row r="2176" spans="1:29" s="197" customFormat="1" ht="46" customHeight="1">
      <c r="A2176" s="151" t="str">
        <f>'Reported burning'!A2176</f>
        <v>260a</v>
      </c>
      <c r="B2176" s="151" t="str">
        <f>'Reported burning'!B2176</f>
        <v>260a.6</v>
      </c>
      <c r="C2176" s="151" t="str">
        <f>'Reported burning'!C2177</f>
        <v>Human, deliberate</v>
      </c>
      <c r="D2176" s="151" t="str">
        <f>'Reported burning'!D2177</f>
        <v>Arson</v>
      </c>
      <c r="E2176" s="151" t="str">
        <f>'Reported burning'!E2176</f>
        <v>Urban planner</v>
      </c>
      <c r="F2176" s="151" t="str">
        <f>'Reported burning'!F2177</f>
        <v>ND</v>
      </c>
      <c r="G2176" s="151" t="str">
        <f>'Reported burning'!G2177</f>
        <v>ND</v>
      </c>
      <c r="H2176" s="151" t="str">
        <f>'Reported burning'!H2177</f>
        <v>Presence</v>
      </c>
      <c r="I2176" s="198"/>
      <c r="J2176" s="21" t="s">
        <v>2272</v>
      </c>
      <c r="K2176" s="21" t="s">
        <v>2272</v>
      </c>
      <c r="L2176" s="98" t="s">
        <v>2272</v>
      </c>
      <c r="M2176" s="98" t="s">
        <v>2272</v>
      </c>
      <c r="N2176" s="98" t="s">
        <v>2272</v>
      </c>
      <c r="O2176" s="98" t="s">
        <v>2272</v>
      </c>
      <c r="P2176" s="98" t="s">
        <v>2272</v>
      </c>
      <c r="Q2176" s="98" t="s">
        <v>2272</v>
      </c>
      <c r="R2176" s="98" t="s">
        <v>2272</v>
      </c>
      <c r="S2176" s="98" t="s">
        <v>2272</v>
      </c>
      <c r="T2176" s="98" t="s">
        <v>2272</v>
      </c>
      <c r="U2176" s="98" t="s">
        <v>2272</v>
      </c>
      <c r="V2176" s="98" t="s">
        <v>2272</v>
      </c>
      <c r="W2176" s="98" t="s">
        <v>2272</v>
      </c>
      <c r="X2176" s="98" t="s">
        <v>2272</v>
      </c>
      <c r="Y2176" s="98" t="s">
        <v>2272</v>
      </c>
      <c r="Z2176" s="98" t="s">
        <v>2272</v>
      </c>
      <c r="AA2176" s="98" t="s">
        <v>2272</v>
      </c>
      <c r="AB2176" s="4"/>
      <c r="AC2176" s="198"/>
    </row>
    <row r="2177" spans="1:29" ht="46" customHeight="1">
      <c r="A2177" s="151" t="str">
        <f>'Reported burning'!A2177</f>
        <v>260b</v>
      </c>
      <c r="B2177" s="151" t="str">
        <f>'Reported burning'!B2177</f>
        <v>260b.1</v>
      </c>
      <c r="C2177" s="151" t="str">
        <f>'Reported burning'!C2177</f>
        <v>Human, deliberate</v>
      </c>
      <c r="D2177" s="151" t="str">
        <f>'Reported burning'!D2177</f>
        <v>Arson</v>
      </c>
      <c r="E2177" s="151" t="str">
        <f>'Reported burning'!E2177</f>
        <v>ND</v>
      </c>
      <c r="F2177" s="151" t="str">
        <f>'Reported burning'!F2177</f>
        <v>ND</v>
      </c>
      <c r="G2177" s="151" t="str">
        <f>'Reported burning'!G2177</f>
        <v>ND</v>
      </c>
      <c r="H2177" s="151" t="str">
        <f>'Reported burning'!H2177</f>
        <v>Presence</v>
      </c>
      <c r="I2177" s="3"/>
      <c r="J2177" s="21" t="s">
        <v>2272</v>
      </c>
      <c r="K2177" s="21" t="s">
        <v>2272</v>
      </c>
      <c r="L2177" s="98" t="s">
        <v>2272</v>
      </c>
      <c r="M2177" s="21" t="s">
        <v>2272</v>
      </c>
      <c r="N2177" s="21" t="s">
        <v>2272</v>
      </c>
      <c r="O2177" s="21" t="s">
        <v>2272</v>
      </c>
      <c r="P2177" s="21" t="s">
        <v>2272</v>
      </c>
      <c r="Q2177" s="21" t="s">
        <v>2272</v>
      </c>
      <c r="R2177" s="21" t="s">
        <v>2272</v>
      </c>
      <c r="S2177" s="21" t="s">
        <v>2272</v>
      </c>
      <c r="T2177" s="21" t="s">
        <v>2272</v>
      </c>
      <c r="U2177" s="21" t="s">
        <v>2272</v>
      </c>
      <c r="V2177" s="21" t="s">
        <v>2272</v>
      </c>
      <c r="W2177" s="21" t="s">
        <v>2272</v>
      </c>
      <c r="X2177" s="21" t="s">
        <v>2272</v>
      </c>
      <c r="Y2177" s="4" t="s">
        <v>402</v>
      </c>
      <c r="Z2177" s="4" t="s">
        <v>403</v>
      </c>
      <c r="AA2177" s="198" t="s">
        <v>63</v>
      </c>
      <c r="AB2177" s="3"/>
      <c r="AC2177" s="3"/>
    </row>
    <row r="2178" spans="1:29" s="197" customFormat="1" ht="46" customHeight="1">
      <c r="A2178" s="151" t="str">
        <f>'Reported burning'!A2178</f>
        <v>260b</v>
      </c>
      <c r="B2178" s="151" t="str">
        <f>'Reported burning'!B2178</f>
        <v>260b.2</v>
      </c>
      <c r="C2178" s="151" t="str">
        <f>'Reported burning'!C2178</f>
        <v>All</v>
      </c>
      <c r="D2178" s="151" t="str">
        <f>'Reported burning'!D2178</f>
        <v>All</v>
      </c>
      <c r="E2178" s="151" t="str">
        <f>'Reported burning'!E2178</f>
        <v>All</v>
      </c>
      <c r="F2178" s="151" t="str">
        <f>'Reported burning'!F2178</f>
        <v>ND</v>
      </c>
      <c r="G2178" s="151" t="str">
        <f>'Reported burning'!G2178</f>
        <v>ND</v>
      </c>
      <c r="H2178" s="151" t="str">
        <f>'Reported burning'!H2178</f>
        <v>Presence</v>
      </c>
      <c r="I2178" s="198"/>
      <c r="J2178" s="21" t="s">
        <v>2272</v>
      </c>
      <c r="K2178" s="21" t="s">
        <v>2272</v>
      </c>
      <c r="L2178" s="21" t="s">
        <v>2272</v>
      </c>
      <c r="M2178" s="21" t="s">
        <v>2272</v>
      </c>
      <c r="N2178" s="21" t="s">
        <v>2272</v>
      </c>
      <c r="O2178" s="21" t="s">
        <v>2272</v>
      </c>
      <c r="P2178" s="21" t="s">
        <v>2272</v>
      </c>
      <c r="Q2178" s="21" t="s">
        <v>2272</v>
      </c>
      <c r="R2178" s="21" t="s">
        <v>2272</v>
      </c>
      <c r="S2178" s="21" t="s">
        <v>2272</v>
      </c>
      <c r="T2178" s="21" t="s">
        <v>2272</v>
      </c>
      <c r="U2178" s="21" t="s">
        <v>2272</v>
      </c>
      <c r="V2178" s="21" t="s">
        <v>2272</v>
      </c>
      <c r="W2178" s="21" t="s">
        <v>2272</v>
      </c>
      <c r="X2178" s="21" t="s">
        <v>2272</v>
      </c>
      <c r="Y2178" s="4" t="s">
        <v>402</v>
      </c>
      <c r="Z2178" s="4" t="s">
        <v>403</v>
      </c>
      <c r="AA2178" s="198" t="s">
        <v>63</v>
      </c>
      <c r="AB2178" s="198"/>
      <c r="AC2178" s="198"/>
    </row>
    <row r="2179" spans="1:29" s="197" customFormat="1" ht="46" customHeight="1">
      <c r="A2179" s="151" t="str">
        <f>'Reported burning'!A2179</f>
        <v>260c</v>
      </c>
      <c r="B2179" s="151" t="str">
        <f>'Reported burning'!B2179</f>
        <v>260c.1</v>
      </c>
      <c r="C2179" s="151" t="str">
        <f>'Reported burning'!C2179</f>
        <v>All</v>
      </c>
      <c r="D2179" s="151" t="str">
        <f>'Reported burning'!D2179</f>
        <v>All</v>
      </c>
      <c r="E2179" s="151" t="str">
        <f>'Reported burning'!E2179</f>
        <v>All</v>
      </c>
      <c r="F2179" s="151" t="str">
        <f>'Reported burning'!F2179</f>
        <v>ND</v>
      </c>
      <c r="G2179" s="151" t="str">
        <f>'Reported burning'!G2179</f>
        <v>ND</v>
      </c>
      <c r="H2179" s="151" t="str">
        <f>'Reported burning'!H2179</f>
        <v>Presence</v>
      </c>
      <c r="I2179" s="198"/>
      <c r="J2179" s="21" t="s">
        <v>2272</v>
      </c>
      <c r="K2179" s="21" t="s">
        <v>2272</v>
      </c>
      <c r="L2179" s="21" t="s">
        <v>2272</v>
      </c>
      <c r="M2179" s="21" t="s">
        <v>2272</v>
      </c>
      <c r="N2179" s="21" t="s">
        <v>2272</v>
      </c>
      <c r="O2179" s="21" t="s">
        <v>2272</v>
      </c>
      <c r="P2179" s="21" t="s">
        <v>2272</v>
      </c>
      <c r="Q2179" s="21" t="s">
        <v>2272</v>
      </c>
      <c r="R2179" s="21" t="s">
        <v>2272</v>
      </c>
      <c r="S2179" s="21" t="s">
        <v>2272</v>
      </c>
      <c r="T2179" s="21" t="s">
        <v>2272</v>
      </c>
      <c r="U2179" s="21" t="s">
        <v>2272</v>
      </c>
      <c r="V2179" s="21" t="s">
        <v>2272</v>
      </c>
      <c r="W2179" s="21" t="s">
        <v>2272</v>
      </c>
      <c r="X2179" s="21" t="s">
        <v>2272</v>
      </c>
      <c r="Y2179" s="4" t="s">
        <v>2272</v>
      </c>
      <c r="Z2179" s="4" t="s">
        <v>2272</v>
      </c>
      <c r="AA2179" s="4" t="s">
        <v>2272</v>
      </c>
      <c r="AB2179" s="198"/>
      <c r="AC2179" s="198"/>
    </row>
    <row r="2180" spans="1:29" ht="46" customHeight="1">
      <c r="A2180" s="151" t="str">
        <f>'Reported burning'!A2180</f>
        <v>260d</v>
      </c>
      <c r="B2180" s="151" t="str">
        <f>'Reported burning'!B2180</f>
        <v>260d.1</v>
      </c>
      <c r="C2180" s="151" t="str">
        <f>'Reported burning'!C2180</f>
        <v>All</v>
      </c>
      <c r="D2180" s="151" t="str">
        <f>'Reported burning'!D2180</f>
        <v>All</v>
      </c>
      <c r="E2180" s="151" t="str">
        <f>'Reported burning'!E2180</f>
        <v>All</v>
      </c>
      <c r="F2180" s="151" t="str">
        <f>'Reported burning'!F2180</f>
        <v>ND</v>
      </c>
      <c r="G2180" s="151" t="str">
        <f>'Reported burning'!G2180</f>
        <v>ND</v>
      </c>
      <c r="H2180" s="151" t="str">
        <f>'Reported burning'!H2180</f>
        <v>Presence</v>
      </c>
      <c r="I2180" s="3"/>
      <c r="J2180" s="21" t="s">
        <v>2272</v>
      </c>
      <c r="K2180" s="21" t="s">
        <v>2272</v>
      </c>
      <c r="L2180" s="98" t="s">
        <v>2272</v>
      </c>
      <c r="M2180" s="21" t="s">
        <v>2272</v>
      </c>
      <c r="N2180" s="21" t="s">
        <v>2272</v>
      </c>
      <c r="O2180" s="21" t="s">
        <v>2381</v>
      </c>
      <c r="P2180" s="21" t="s">
        <v>2272</v>
      </c>
      <c r="Q2180" s="21" t="s">
        <v>2272</v>
      </c>
      <c r="R2180" s="21" t="s">
        <v>2272</v>
      </c>
      <c r="S2180" s="21" t="s">
        <v>2272</v>
      </c>
      <c r="T2180" s="21" t="s">
        <v>2272</v>
      </c>
      <c r="U2180" s="21" t="s">
        <v>2272</v>
      </c>
      <c r="V2180" s="21" t="s">
        <v>2272</v>
      </c>
      <c r="W2180" s="21" t="s">
        <v>2272</v>
      </c>
      <c r="X2180" s="21" t="s">
        <v>2272</v>
      </c>
      <c r="Y2180" s="3" t="s">
        <v>402</v>
      </c>
      <c r="Z2180" s="3" t="s">
        <v>403</v>
      </c>
      <c r="AA2180" s="3" t="s">
        <v>2272</v>
      </c>
      <c r="AB2180" s="4" t="s">
        <v>6670</v>
      </c>
      <c r="AC2180" s="3"/>
    </row>
    <row r="2181" spans="1:29" ht="46" customHeight="1">
      <c r="A2181" s="151" t="str">
        <f>'Reported burning'!A2181</f>
        <v>261a</v>
      </c>
      <c r="B2181" s="151" t="str">
        <f>'Reported burning'!B2181</f>
        <v>261a.1</v>
      </c>
      <c r="C2181" s="151" t="str">
        <f>'Reported burning'!C2181</f>
        <v>All</v>
      </c>
      <c r="D2181" s="151" t="str">
        <f>'Reported burning'!D2181</f>
        <v>All</v>
      </c>
      <c r="E2181" s="151" t="str">
        <f>'Reported burning'!E2181</f>
        <v>All</v>
      </c>
      <c r="F2181" s="151" t="str">
        <f>'Reported burning'!F2181</f>
        <v>ND</v>
      </c>
      <c r="G2181" s="151" t="str">
        <f>'Reported burning'!G2181</f>
        <v>Shrubland (Mixed forest &amp; grassland)</v>
      </c>
      <c r="H2181" s="151" t="str">
        <f>'Reported burning'!H2181</f>
        <v>Presence</v>
      </c>
      <c r="I2181" s="3"/>
      <c r="J2181" s="21" t="s">
        <v>2272</v>
      </c>
      <c r="K2181" s="21" t="s">
        <v>2363</v>
      </c>
      <c r="L2181" s="98" t="s">
        <v>2272</v>
      </c>
      <c r="M2181" s="21" t="s">
        <v>2272</v>
      </c>
      <c r="N2181" s="21" t="s">
        <v>2272</v>
      </c>
      <c r="O2181" s="21" t="s">
        <v>2272</v>
      </c>
      <c r="P2181" s="21" t="s">
        <v>2272</v>
      </c>
      <c r="Q2181" s="21" t="s">
        <v>2272</v>
      </c>
      <c r="R2181" s="21" t="s">
        <v>2272</v>
      </c>
      <c r="S2181" s="21" t="s">
        <v>2272</v>
      </c>
      <c r="T2181" s="21" t="s">
        <v>2272</v>
      </c>
      <c r="U2181" s="21" t="s">
        <v>2272</v>
      </c>
      <c r="V2181" s="21" t="s">
        <v>2272</v>
      </c>
      <c r="W2181" s="21" t="s">
        <v>2384</v>
      </c>
      <c r="X2181" s="21" t="s">
        <v>2272</v>
      </c>
      <c r="Y2181" s="3" t="s">
        <v>2272</v>
      </c>
      <c r="Z2181" s="3" t="s">
        <v>2272</v>
      </c>
      <c r="AA2181" s="3" t="s">
        <v>2272</v>
      </c>
      <c r="AB2181" s="3" t="s">
        <v>6181</v>
      </c>
      <c r="AC2181" s="3"/>
    </row>
    <row r="2182" spans="1:29" ht="46" customHeight="1">
      <c r="A2182" s="151" t="str">
        <f>'Reported burning'!A2182</f>
        <v>261b</v>
      </c>
      <c r="B2182" s="151" t="str">
        <f>'Reported burning'!B2182</f>
        <v>261b.1</v>
      </c>
      <c r="C2182" s="151" t="str">
        <f>'Reported burning'!C2182</f>
        <v>All</v>
      </c>
      <c r="D2182" s="151" t="str">
        <f>'Reported burning'!D2182</f>
        <v>All</v>
      </c>
      <c r="E2182" s="151" t="str">
        <f>'Reported burning'!E2182</f>
        <v>All</v>
      </c>
      <c r="F2182" s="151" t="str">
        <f>'Reported burning'!F2182</f>
        <v>ND</v>
      </c>
      <c r="G2182" s="151" t="str">
        <f>'Reported burning'!G2182</f>
        <v>Shrubland (Mixed forest &amp; grassland)</v>
      </c>
      <c r="H2182" s="151" t="str">
        <f>'Reported burning'!H2182</f>
        <v>Presence</v>
      </c>
      <c r="I2182" s="3"/>
      <c r="J2182" s="21" t="s">
        <v>2272</v>
      </c>
      <c r="K2182" s="21" t="s">
        <v>2363</v>
      </c>
      <c r="L2182" s="98" t="s">
        <v>2272</v>
      </c>
      <c r="M2182" s="21" t="s">
        <v>2272</v>
      </c>
      <c r="N2182" s="21" t="s">
        <v>2272</v>
      </c>
      <c r="O2182" s="21" t="s">
        <v>2272</v>
      </c>
      <c r="P2182" s="21" t="s">
        <v>2272</v>
      </c>
      <c r="Q2182" s="21" t="s">
        <v>2272</v>
      </c>
      <c r="R2182" s="21" t="s">
        <v>2272</v>
      </c>
      <c r="S2182" s="21" t="s">
        <v>2272</v>
      </c>
      <c r="T2182" s="21" t="s">
        <v>2272</v>
      </c>
      <c r="U2182" s="21" t="s">
        <v>2272</v>
      </c>
      <c r="V2182" s="21" t="s">
        <v>2272</v>
      </c>
      <c r="W2182" s="21" t="s">
        <v>2384</v>
      </c>
      <c r="X2182" s="21" t="s">
        <v>2272</v>
      </c>
      <c r="Y2182" s="3" t="s">
        <v>2272</v>
      </c>
      <c r="Z2182" s="3" t="s">
        <v>2272</v>
      </c>
      <c r="AA2182" s="3" t="s">
        <v>2272</v>
      </c>
      <c r="AB2182" s="3" t="s">
        <v>6181</v>
      </c>
      <c r="AC2182" s="3"/>
    </row>
    <row r="2183" spans="1:29" ht="46" customHeight="1">
      <c r="A2183" s="151" t="str">
        <f>'Reported burning'!A2183</f>
        <v>261c</v>
      </c>
      <c r="B2183" s="151" t="str">
        <f>'Reported burning'!B2183</f>
        <v>261c.1</v>
      </c>
      <c r="C2183" s="151" t="str">
        <f>'Reported burning'!C2183</f>
        <v>All</v>
      </c>
      <c r="D2183" s="151" t="str">
        <f>'Reported burning'!D2183</f>
        <v>All</v>
      </c>
      <c r="E2183" s="151" t="str">
        <f>'Reported burning'!E2183</f>
        <v>All</v>
      </c>
      <c r="F2183" s="151" t="str">
        <f>'Reported burning'!F2183</f>
        <v>ND</v>
      </c>
      <c r="G2183" s="151" t="str">
        <f>'Reported burning'!G2183</f>
        <v>Shrubland (Mixed forest &amp; grassland)</v>
      </c>
      <c r="H2183" s="151" t="str">
        <f>'Reported burning'!H2183</f>
        <v>Presence</v>
      </c>
      <c r="I2183" s="3"/>
      <c r="J2183" s="21" t="s">
        <v>2272</v>
      </c>
      <c r="K2183" s="21" t="s">
        <v>2362</v>
      </c>
      <c r="L2183" s="98" t="s">
        <v>2272</v>
      </c>
      <c r="M2183" s="21" t="s">
        <v>2272</v>
      </c>
      <c r="N2183" s="21" t="s">
        <v>2272</v>
      </c>
      <c r="O2183" s="21" t="s">
        <v>2272</v>
      </c>
      <c r="P2183" s="21" t="s">
        <v>2272</v>
      </c>
      <c r="Q2183" s="21" t="s">
        <v>2272</v>
      </c>
      <c r="R2183" s="21" t="s">
        <v>2272</v>
      </c>
      <c r="S2183" s="21" t="s">
        <v>2272</v>
      </c>
      <c r="T2183" s="21" t="s">
        <v>2272</v>
      </c>
      <c r="U2183" s="21" t="s">
        <v>2272</v>
      </c>
      <c r="V2183" s="21" t="s">
        <v>2272</v>
      </c>
      <c r="W2183" s="21" t="s">
        <v>2371</v>
      </c>
      <c r="X2183" s="21" t="s">
        <v>2272</v>
      </c>
      <c r="Y2183" s="3" t="s">
        <v>2272</v>
      </c>
      <c r="Z2183" s="3" t="s">
        <v>2272</v>
      </c>
      <c r="AA2183" s="3" t="s">
        <v>2272</v>
      </c>
      <c r="AB2183" s="3" t="s">
        <v>6181</v>
      </c>
      <c r="AC2183" s="3"/>
    </row>
    <row r="2184" spans="1:29" ht="46" customHeight="1">
      <c r="A2184" s="151" t="str">
        <f>'Reported burning'!A2184</f>
        <v>261d</v>
      </c>
      <c r="B2184" s="151" t="str">
        <f>'Reported burning'!B2184</f>
        <v>261d.1</v>
      </c>
      <c r="C2184" s="151" t="str">
        <f>'Reported burning'!C2184</f>
        <v>All</v>
      </c>
      <c r="D2184" s="151" t="str">
        <f>'Reported burning'!D2184</f>
        <v>All</v>
      </c>
      <c r="E2184" s="151" t="str">
        <f>'Reported burning'!E2184</f>
        <v>All</v>
      </c>
      <c r="F2184" s="151" t="str">
        <f>'Reported burning'!F2184</f>
        <v>ND</v>
      </c>
      <c r="G2184" s="151" t="str">
        <f>'Reported burning'!G2184</f>
        <v>Shrubland (Mixed forest &amp; grassland)</v>
      </c>
      <c r="H2184" s="151" t="str">
        <f>'Reported burning'!H2184</f>
        <v>Presence</v>
      </c>
      <c r="I2184" s="3"/>
      <c r="J2184" s="21" t="s">
        <v>2272</v>
      </c>
      <c r="K2184" s="21" t="s">
        <v>2361</v>
      </c>
      <c r="L2184" s="98" t="s">
        <v>2272</v>
      </c>
      <c r="M2184" s="21" t="s">
        <v>2272</v>
      </c>
      <c r="N2184" s="21" t="s">
        <v>2272</v>
      </c>
      <c r="O2184" s="21" t="s">
        <v>2272</v>
      </c>
      <c r="P2184" s="21" t="s">
        <v>2272</v>
      </c>
      <c r="Q2184" s="21" t="s">
        <v>2272</v>
      </c>
      <c r="R2184" s="21" t="s">
        <v>2272</v>
      </c>
      <c r="S2184" s="21" t="s">
        <v>2272</v>
      </c>
      <c r="T2184" s="21" t="s">
        <v>2272</v>
      </c>
      <c r="U2184" s="21" t="s">
        <v>2272</v>
      </c>
      <c r="V2184" s="21" t="s">
        <v>2272</v>
      </c>
      <c r="W2184" s="21" t="s">
        <v>2369</v>
      </c>
      <c r="X2184" s="21" t="s">
        <v>2272</v>
      </c>
      <c r="Y2184" s="3" t="s">
        <v>2272</v>
      </c>
      <c r="Z2184" s="3" t="s">
        <v>2272</v>
      </c>
      <c r="AA2184" s="3" t="s">
        <v>2272</v>
      </c>
      <c r="AB2184" s="3" t="s">
        <v>6181</v>
      </c>
      <c r="AC2184" s="3"/>
    </row>
    <row r="2185" spans="1:29" ht="46" customHeight="1">
      <c r="A2185" s="151" t="str">
        <f>'Reported burning'!A2185</f>
        <v>261e</v>
      </c>
      <c r="B2185" s="151" t="str">
        <f>'Reported burning'!B2185</f>
        <v>261e.1</v>
      </c>
      <c r="C2185" s="151" t="str">
        <f>'Reported burning'!C2185</f>
        <v>All</v>
      </c>
      <c r="D2185" s="151" t="str">
        <f>'Reported burning'!D2185</f>
        <v>All</v>
      </c>
      <c r="E2185" s="151" t="str">
        <f>'Reported burning'!E2185</f>
        <v>All</v>
      </c>
      <c r="F2185" s="151" t="str">
        <f>'Reported burning'!F2185</f>
        <v>ND</v>
      </c>
      <c r="G2185" s="151" t="str">
        <f>'Reported burning'!G2185</f>
        <v>Shrubland (Mixed forest &amp; grassland)</v>
      </c>
      <c r="H2185" s="151" t="str">
        <f>'Reported burning'!H2185</f>
        <v>Presence</v>
      </c>
      <c r="I2185" s="3"/>
      <c r="J2185" s="21" t="s">
        <v>2272</v>
      </c>
      <c r="K2185" s="21" t="s">
        <v>2361</v>
      </c>
      <c r="L2185" s="98" t="s">
        <v>2272</v>
      </c>
      <c r="M2185" s="21" t="s">
        <v>2272</v>
      </c>
      <c r="N2185" s="21" t="s">
        <v>2272</v>
      </c>
      <c r="O2185" s="21" t="s">
        <v>2272</v>
      </c>
      <c r="P2185" s="21" t="s">
        <v>2272</v>
      </c>
      <c r="Q2185" s="21" t="s">
        <v>2272</v>
      </c>
      <c r="R2185" s="21" t="s">
        <v>2272</v>
      </c>
      <c r="S2185" s="21" t="s">
        <v>2272</v>
      </c>
      <c r="T2185" s="21" t="s">
        <v>2272</v>
      </c>
      <c r="U2185" s="21" t="s">
        <v>2272</v>
      </c>
      <c r="V2185" s="21" t="s">
        <v>2272</v>
      </c>
      <c r="W2185" s="21" t="s">
        <v>2522</v>
      </c>
      <c r="X2185" s="21" t="s">
        <v>2272</v>
      </c>
      <c r="Y2185" s="3" t="s">
        <v>2272</v>
      </c>
      <c r="Z2185" s="3" t="s">
        <v>2272</v>
      </c>
      <c r="AA2185" s="3" t="s">
        <v>2272</v>
      </c>
      <c r="AB2185" s="3" t="s">
        <v>6181</v>
      </c>
      <c r="AC2185" s="3"/>
    </row>
    <row r="2186" spans="1:29" ht="46" customHeight="1">
      <c r="A2186" s="151" t="str">
        <f>'Reported burning'!A2186</f>
        <v>261f</v>
      </c>
      <c r="B2186" s="151" t="str">
        <f>'Reported burning'!B2186</f>
        <v>261f.1</v>
      </c>
      <c r="C2186" s="151" t="str">
        <f>'Reported burning'!C2186</f>
        <v>All</v>
      </c>
      <c r="D2186" s="151" t="str">
        <f>'Reported burning'!D2186</f>
        <v>All</v>
      </c>
      <c r="E2186" s="151" t="str">
        <f>'Reported burning'!E2186</f>
        <v>All</v>
      </c>
      <c r="F2186" s="151" t="str">
        <f>'Reported burning'!F2186</f>
        <v>ND</v>
      </c>
      <c r="G2186" s="151" t="str">
        <f>'Reported burning'!G2186</f>
        <v>Shrubland (Mixed forest &amp; grassland)</v>
      </c>
      <c r="H2186" s="151" t="str">
        <f>'Reported burning'!H2186</f>
        <v>Presence</v>
      </c>
      <c r="I2186" s="3"/>
      <c r="J2186" s="21" t="s">
        <v>2272</v>
      </c>
      <c r="K2186" s="21" t="s">
        <v>2361</v>
      </c>
      <c r="L2186" s="98" t="s">
        <v>2272</v>
      </c>
      <c r="M2186" s="21" t="s">
        <v>2272</v>
      </c>
      <c r="N2186" s="21" t="s">
        <v>2272</v>
      </c>
      <c r="O2186" s="21" t="s">
        <v>2272</v>
      </c>
      <c r="P2186" s="21" t="s">
        <v>2272</v>
      </c>
      <c r="Q2186" s="21" t="s">
        <v>2272</v>
      </c>
      <c r="R2186" s="21" t="s">
        <v>2272</v>
      </c>
      <c r="S2186" s="21" t="s">
        <v>2272</v>
      </c>
      <c r="T2186" s="21" t="s">
        <v>2272</v>
      </c>
      <c r="U2186" s="21" t="s">
        <v>2272</v>
      </c>
      <c r="V2186" s="21" t="s">
        <v>2272</v>
      </c>
      <c r="W2186" s="21" t="s">
        <v>2369</v>
      </c>
      <c r="X2186" s="21" t="s">
        <v>2272</v>
      </c>
      <c r="Y2186" s="3" t="s">
        <v>2272</v>
      </c>
      <c r="Z2186" s="3" t="s">
        <v>2272</v>
      </c>
      <c r="AA2186" s="3" t="s">
        <v>2272</v>
      </c>
      <c r="AB2186" s="3" t="s">
        <v>6181</v>
      </c>
      <c r="AC2186" s="3"/>
    </row>
    <row r="2187" spans="1:29" ht="49.5" customHeight="1">
      <c r="A2187" s="151" t="str">
        <f>'Reported burning'!A2187</f>
        <v>262a</v>
      </c>
      <c r="B2187" s="151" t="str">
        <f>'Reported burning'!B2187</f>
        <v>262a.1</v>
      </c>
      <c r="C2187" s="151" t="str">
        <f>'Reported burning'!C2187</f>
        <v>Human, accidental</v>
      </c>
      <c r="D2187" s="151" t="str">
        <f>'Reported burning'!D2187</f>
        <v>Accidental</v>
      </c>
      <c r="E2187" s="151" t="str">
        <f>'Reported burning'!E2187</f>
        <v>Urban planner</v>
      </c>
      <c r="F2187" s="151" t="str">
        <f>'Reported burning'!F2187</f>
        <v>ND</v>
      </c>
      <c r="G2187" s="151" t="str">
        <f>'Reported burning'!G2187</f>
        <v>Forest</v>
      </c>
      <c r="H2187" s="151" t="str">
        <f>'Reported burning'!H2187</f>
        <v>Presence</v>
      </c>
      <c r="I2187" s="3"/>
      <c r="J2187" s="21" t="s">
        <v>2272</v>
      </c>
      <c r="K2187" s="21" t="s">
        <v>2272</v>
      </c>
      <c r="L2187" s="98" t="s">
        <v>2272</v>
      </c>
      <c r="M2187" s="21" t="s">
        <v>2272</v>
      </c>
      <c r="N2187" s="21" t="s">
        <v>2272</v>
      </c>
      <c r="O2187" s="21" t="s">
        <v>2372</v>
      </c>
      <c r="P2187" s="21" t="s">
        <v>2272</v>
      </c>
      <c r="Q2187" s="21" t="s">
        <v>2272</v>
      </c>
      <c r="R2187" s="21" t="s">
        <v>2272</v>
      </c>
      <c r="S2187" s="21" t="s">
        <v>2368</v>
      </c>
      <c r="T2187" s="21" t="s">
        <v>2272</v>
      </c>
      <c r="U2187" s="21" t="s">
        <v>2272</v>
      </c>
      <c r="V2187" s="21" t="s">
        <v>2272</v>
      </c>
      <c r="W2187" s="21" t="s">
        <v>2272</v>
      </c>
      <c r="X2187" s="21" t="s">
        <v>2272</v>
      </c>
      <c r="Y2187" s="3" t="s">
        <v>186</v>
      </c>
      <c r="Z2187" s="3" t="s">
        <v>187</v>
      </c>
      <c r="AA2187" s="3" t="s">
        <v>2272</v>
      </c>
      <c r="AB2187" s="4"/>
      <c r="AC2187" s="4" t="s">
        <v>6673</v>
      </c>
    </row>
    <row r="2188" spans="1:29" s="197" customFormat="1" ht="46" customHeight="1">
      <c r="A2188" s="151" t="str">
        <f>'Reported burning'!A2188</f>
        <v>262a</v>
      </c>
      <c r="B2188" s="151" t="str">
        <f>'Reported burning'!B2188</f>
        <v>262a.2</v>
      </c>
      <c r="C2188" s="151" t="str">
        <f>'Reported burning'!C2188</f>
        <v>Human, accidental</v>
      </c>
      <c r="D2188" s="151" t="str">
        <f>'Reported burning'!D2188</f>
        <v>Accidental</v>
      </c>
      <c r="E2188" s="151" t="str">
        <f>'Reported burning'!E2188</f>
        <v>Tourism manager</v>
      </c>
      <c r="F2188" s="151" t="str">
        <f>'Reported burning'!F2188</f>
        <v>ND</v>
      </c>
      <c r="G2188" s="151" t="str">
        <f>'Reported burning'!G2188</f>
        <v>Forest</v>
      </c>
      <c r="H2188" s="151" t="str">
        <f>'Reported burning'!H2188</f>
        <v>Presence</v>
      </c>
      <c r="I2188" s="198"/>
      <c r="J2188" s="21" t="s">
        <v>2272</v>
      </c>
      <c r="K2188" s="21" t="s">
        <v>2272</v>
      </c>
      <c r="L2188" s="21" t="s">
        <v>2272</v>
      </c>
      <c r="M2188" s="21" t="s">
        <v>2272</v>
      </c>
      <c r="N2188" s="21" t="s">
        <v>2272</v>
      </c>
      <c r="O2188" s="21" t="s">
        <v>2372</v>
      </c>
      <c r="P2188" s="21" t="s">
        <v>2272</v>
      </c>
      <c r="Q2188" s="21" t="s">
        <v>2272</v>
      </c>
      <c r="R2188" s="21" t="s">
        <v>2272</v>
      </c>
      <c r="S2188" s="21" t="s">
        <v>2368</v>
      </c>
      <c r="T2188" s="21" t="s">
        <v>2272</v>
      </c>
      <c r="U2188" s="21" t="s">
        <v>2272</v>
      </c>
      <c r="V2188" s="21" t="s">
        <v>2272</v>
      </c>
      <c r="W2188" s="21" t="s">
        <v>2272</v>
      </c>
      <c r="X2188" s="21" t="s">
        <v>2272</v>
      </c>
      <c r="Y2188" s="198" t="s">
        <v>186</v>
      </c>
      <c r="Z2188" s="198" t="s">
        <v>187</v>
      </c>
      <c r="AA2188" s="21" t="s">
        <v>2272</v>
      </c>
      <c r="AB2188" s="4"/>
      <c r="AC2188" s="198"/>
    </row>
    <row r="2189" spans="1:29" ht="46" customHeight="1">
      <c r="A2189" s="151" t="str">
        <f>'Reported burning'!A2189</f>
        <v>263a</v>
      </c>
      <c r="B2189" s="151" t="str">
        <f>'Reported burning'!B2189</f>
        <v>263a.1</v>
      </c>
      <c r="C2189" s="151" t="str">
        <f>'Reported burning'!C2189</f>
        <v>Human, deliberate</v>
      </c>
      <c r="D2189" s="151" t="str">
        <f>'Reported burning'!D2189</f>
        <v>Arson</v>
      </c>
      <c r="E2189" s="151" t="str">
        <f>'Reported burning'!E2189</f>
        <v>Forestry, Industrial</v>
      </c>
      <c r="F2189" s="151" t="str">
        <f>'Reported burning'!F2189</f>
        <v>Forest</v>
      </c>
      <c r="G2189" s="151" t="str">
        <f>'Reported burning'!G2189</f>
        <v>Forest</v>
      </c>
      <c r="H2189" s="151" t="str">
        <f>'Reported burning'!H2189</f>
        <v>Presence</v>
      </c>
      <c r="I2189" s="3"/>
      <c r="J2189" s="21" t="s">
        <v>2272</v>
      </c>
      <c r="K2189" s="21" t="s">
        <v>2272</v>
      </c>
      <c r="L2189" s="21" t="s">
        <v>2272</v>
      </c>
      <c r="M2189" s="21" t="s">
        <v>2272</v>
      </c>
      <c r="N2189" s="21" t="s">
        <v>2272</v>
      </c>
      <c r="O2189" s="21" t="s">
        <v>2272</v>
      </c>
      <c r="P2189" s="21" t="s">
        <v>2272</v>
      </c>
      <c r="Q2189" s="21" t="s">
        <v>2272</v>
      </c>
      <c r="R2189" s="21" t="s">
        <v>2272</v>
      </c>
      <c r="S2189" s="21" t="s">
        <v>2272</v>
      </c>
      <c r="T2189" s="21" t="s">
        <v>2272</v>
      </c>
      <c r="U2189" s="21" t="s">
        <v>2272</v>
      </c>
      <c r="V2189" s="21" t="s">
        <v>2272</v>
      </c>
      <c r="W2189" s="21" t="s">
        <v>2272</v>
      </c>
      <c r="X2189" s="21" t="s">
        <v>2272</v>
      </c>
      <c r="Y2189" s="21" t="s">
        <v>2272</v>
      </c>
      <c r="Z2189" s="21" t="s">
        <v>2272</v>
      </c>
      <c r="AA2189" s="21" t="s">
        <v>2272</v>
      </c>
      <c r="AB2189" s="3"/>
      <c r="AC2189" s="3"/>
    </row>
    <row r="2190" spans="1:29" s="197" customFormat="1" ht="46" customHeight="1">
      <c r="A2190" s="151" t="str">
        <f>'Reported burning'!A2190</f>
        <v>263a</v>
      </c>
      <c r="B2190" s="151" t="str">
        <f>'Reported burning'!B2190</f>
        <v>263a.2</v>
      </c>
      <c r="C2190" s="151" t="str">
        <f>'Reported burning'!C2190</f>
        <v>Lightning</v>
      </c>
      <c r="D2190" s="151" t="str">
        <f>'Reported burning'!D2190</f>
        <v>ND</v>
      </c>
      <c r="E2190" s="151" t="str">
        <f>'Reported burning'!E2190</f>
        <v>Forestry, Industrial</v>
      </c>
      <c r="F2190" s="151" t="str">
        <f>'Reported burning'!F2190</f>
        <v>Forest</v>
      </c>
      <c r="G2190" s="151" t="str">
        <f>'Reported burning'!G2190</f>
        <v>Forest</v>
      </c>
      <c r="H2190" s="151" t="str">
        <f>'Reported burning'!H2190</f>
        <v>Presence</v>
      </c>
      <c r="I2190" s="198"/>
      <c r="J2190" s="21" t="s">
        <v>2272</v>
      </c>
      <c r="K2190" s="21" t="s">
        <v>2272</v>
      </c>
      <c r="L2190" s="21" t="s">
        <v>2272</v>
      </c>
      <c r="M2190" s="21" t="s">
        <v>2272</v>
      </c>
      <c r="N2190" s="21" t="s">
        <v>2272</v>
      </c>
      <c r="O2190" s="21" t="s">
        <v>2272</v>
      </c>
      <c r="P2190" s="21" t="s">
        <v>2272</v>
      </c>
      <c r="Q2190" s="21" t="s">
        <v>2272</v>
      </c>
      <c r="R2190" s="21" t="s">
        <v>2272</v>
      </c>
      <c r="S2190" s="21" t="s">
        <v>2272</v>
      </c>
      <c r="T2190" s="21" t="s">
        <v>2272</v>
      </c>
      <c r="U2190" s="21" t="s">
        <v>2272</v>
      </c>
      <c r="V2190" s="21" t="s">
        <v>2272</v>
      </c>
      <c r="W2190" s="21" t="s">
        <v>2272</v>
      </c>
      <c r="X2190" s="21" t="s">
        <v>2272</v>
      </c>
      <c r="Y2190" s="21" t="s">
        <v>2272</v>
      </c>
      <c r="Z2190" s="21" t="s">
        <v>2272</v>
      </c>
      <c r="AA2190" s="21" t="s">
        <v>2272</v>
      </c>
      <c r="AB2190" s="198"/>
      <c r="AC2190" s="198"/>
    </row>
    <row r="2191" spans="1:29" s="197" customFormat="1" ht="46" customHeight="1">
      <c r="A2191" s="151" t="str">
        <f>'Reported burning'!A2191</f>
        <v>263a</v>
      </c>
      <c r="B2191" s="151" t="str">
        <f>'Reported burning'!B2191</f>
        <v>263a.3</v>
      </c>
      <c r="C2191" s="151" t="str">
        <f>'Reported burning'!C2191</f>
        <v>Unknown</v>
      </c>
      <c r="D2191" s="151" t="str">
        <f>'Reported burning'!D2191</f>
        <v>ND</v>
      </c>
      <c r="E2191" s="151" t="str">
        <f>'Reported burning'!E2191</f>
        <v>Forestry, Industrial</v>
      </c>
      <c r="F2191" s="151" t="str">
        <f>'Reported burning'!F2191</f>
        <v>Forest</v>
      </c>
      <c r="G2191" s="151" t="str">
        <f>'Reported burning'!G2191</f>
        <v>Forest</v>
      </c>
      <c r="H2191" s="151" t="str">
        <f>'Reported burning'!H2191</f>
        <v>Presence</v>
      </c>
      <c r="I2191" s="198"/>
      <c r="J2191" s="21" t="s">
        <v>2272</v>
      </c>
      <c r="K2191" s="21" t="s">
        <v>2272</v>
      </c>
      <c r="L2191" s="21" t="s">
        <v>2272</v>
      </c>
      <c r="M2191" s="21" t="s">
        <v>2272</v>
      </c>
      <c r="N2191" s="21" t="s">
        <v>2272</v>
      </c>
      <c r="O2191" s="21" t="s">
        <v>2272</v>
      </c>
      <c r="P2191" s="21" t="s">
        <v>2272</v>
      </c>
      <c r="Q2191" s="21" t="s">
        <v>2272</v>
      </c>
      <c r="R2191" s="21" t="s">
        <v>2272</v>
      </c>
      <c r="S2191" s="21" t="s">
        <v>2272</v>
      </c>
      <c r="T2191" s="21" t="s">
        <v>2272</v>
      </c>
      <c r="U2191" s="21" t="s">
        <v>2272</v>
      </c>
      <c r="V2191" s="21" t="s">
        <v>2272</v>
      </c>
      <c r="W2191" s="21" t="s">
        <v>2272</v>
      </c>
      <c r="X2191" s="21" t="s">
        <v>2272</v>
      </c>
      <c r="Y2191" s="21" t="s">
        <v>2272</v>
      </c>
      <c r="Z2191" s="21" t="s">
        <v>2272</v>
      </c>
      <c r="AA2191" s="21" t="s">
        <v>2272</v>
      </c>
      <c r="AB2191" s="198"/>
      <c r="AC2191" s="198"/>
    </row>
    <row r="2192" spans="1:29" ht="46" customHeight="1">
      <c r="A2192" s="151" t="str">
        <f>'Reported burning'!A2192</f>
        <v>263a</v>
      </c>
      <c r="B2192" s="151" t="str">
        <f>'Reported burning'!B2192</f>
        <v>263a.4</v>
      </c>
      <c r="C2192" s="151" t="str">
        <f>'Reported burning'!C2192</f>
        <v>Human, deliberate</v>
      </c>
      <c r="D2192" s="151" t="str">
        <f>'Reported burning'!D2192</f>
        <v>Arson</v>
      </c>
      <c r="E2192" s="151" t="str">
        <f>'Reported burning'!E2192</f>
        <v>Forestry, Small-scale</v>
      </c>
      <c r="F2192" s="151" t="str">
        <f>'Reported burning'!F2192</f>
        <v>Forest</v>
      </c>
      <c r="G2192" s="151" t="str">
        <f>'Reported burning'!G2192</f>
        <v>Forest</v>
      </c>
      <c r="H2192" s="151" t="str">
        <f>'Reported burning'!H2192</f>
        <v>Presence</v>
      </c>
      <c r="I2192" s="3"/>
      <c r="J2192" s="21" t="s">
        <v>2272</v>
      </c>
      <c r="K2192" s="21" t="s">
        <v>2272</v>
      </c>
      <c r="L2192" s="21" t="s">
        <v>2272</v>
      </c>
      <c r="M2192" s="21" t="s">
        <v>2272</v>
      </c>
      <c r="N2192" s="21" t="s">
        <v>2272</v>
      </c>
      <c r="O2192" s="21" t="s">
        <v>2272</v>
      </c>
      <c r="P2192" s="21" t="s">
        <v>2272</v>
      </c>
      <c r="Q2192" s="21" t="s">
        <v>2272</v>
      </c>
      <c r="R2192" s="21" t="s">
        <v>2272</v>
      </c>
      <c r="S2192" s="21" t="s">
        <v>2272</v>
      </c>
      <c r="T2192" s="21" t="s">
        <v>2272</v>
      </c>
      <c r="U2192" s="21" t="s">
        <v>2272</v>
      </c>
      <c r="V2192" s="21" t="s">
        <v>2272</v>
      </c>
      <c r="W2192" s="21" t="s">
        <v>2272</v>
      </c>
      <c r="X2192" s="21" t="s">
        <v>2272</v>
      </c>
      <c r="Y2192" s="21" t="s">
        <v>2272</v>
      </c>
      <c r="Z2192" s="21" t="s">
        <v>2272</v>
      </c>
      <c r="AA2192" s="21" t="s">
        <v>2272</v>
      </c>
      <c r="AB2192" s="3"/>
      <c r="AC2192" s="3"/>
    </row>
    <row r="2193" spans="1:29" s="197" customFormat="1" ht="46" customHeight="1">
      <c r="A2193" s="151" t="str">
        <f>'Reported burning'!A2193</f>
        <v>263a</v>
      </c>
      <c r="B2193" s="151" t="str">
        <f>'Reported burning'!B2193</f>
        <v>263a.5</v>
      </c>
      <c r="C2193" s="151" t="str">
        <f>'Reported burning'!C2193</f>
        <v>Lightning</v>
      </c>
      <c r="D2193" s="151" t="str">
        <f>'Reported burning'!D2193</f>
        <v>ND</v>
      </c>
      <c r="E2193" s="151" t="str">
        <f>'Reported burning'!E2193</f>
        <v>Forestry, Small-scale</v>
      </c>
      <c r="F2193" s="151" t="str">
        <f>'Reported burning'!F2193</f>
        <v>Forest</v>
      </c>
      <c r="G2193" s="151" t="str">
        <f>'Reported burning'!G2193</f>
        <v>Forest</v>
      </c>
      <c r="H2193" s="151" t="str">
        <f>'Reported burning'!H2193</f>
        <v>Presence</v>
      </c>
      <c r="I2193" s="198"/>
      <c r="J2193" s="21" t="s">
        <v>2272</v>
      </c>
      <c r="K2193" s="21" t="s">
        <v>2272</v>
      </c>
      <c r="L2193" s="21" t="s">
        <v>2272</v>
      </c>
      <c r="M2193" s="21" t="s">
        <v>2272</v>
      </c>
      <c r="N2193" s="21" t="s">
        <v>2272</v>
      </c>
      <c r="O2193" s="21" t="s">
        <v>2272</v>
      </c>
      <c r="P2193" s="21" t="s">
        <v>2272</v>
      </c>
      <c r="Q2193" s="21" t="s">
        <v>2272</v>
      </c>
      <c r="R2193" s="21" t="s">
        <v>2272</v>
      </c>
      <c r="S2193" s="21" t="s">
        <v>2272</v>
      </c>
      <c r="T2193" s="21" t="s">
        <v>2272</v>
      </c>
      <c r="U2193" s="21" t="s">
        <v>2272</v>
      </c>
      <c r="V2193" s="21" t="s">
        <v>2272</v>
      </c>
      <c r="W2193" s="21" t="s">
        <v>2272</v>
      </c>
      <c r="X2193" s="21" t="s">
        <v>2272</v>
      </c>
      <c r="Y2193" s="21" t="s">
        <v>2272</v>
      </c>
      <c r="Z2193" s="21" t="s">
        <v>2272</v>
      </c>
      <c r="AA2193" s="21" t="s">
        <v>2272</v>
      </c>
      <c r="AB2193" s="198"/>
      <c r="AC2193" s="198"/>
    </row>
    <row r="2194" spans="1:29" s="197" customFormat="1" ht="46" customHeight="1">
      <c r="A2194" s="151" t="str">
        <f>'Reported burning'!A2194</f>
        <v>263a</v>
      </c>
      <c r="B2194" s="151" t="str">
        <f>'Reported burning'!B2194</f>
        <v>263a.6</v>
      </c>
      <c r="C2194" s="151" t="str">
        <f>'Reported burning'!C2194</f>
        <v>Unknown</v>
      </c>
      <c r="D2194" s="151" t="str">
        <f>'Reported burning'!D2194</f>
        <v>ND</v>
      </c>
      <c r="E2194" s="151" t="str">
        <f>'Reported burning'!E2194</f>
        <v>Forestry, Small-scale</v>
      </c>
      <c r="F2194" s="151" t="str">
        <f>'Reported burning'!F2194</f>
        <v>Forest</v>
      </c>
      <c r="G2194" s="151" t="str">
        <f>'Reported burning'!G2194</f>
        <v>Forest</v>
      </c>
      <c r="H2194" s="151" t="str">
        <f>'Reported burning'!H2194</f>
        <v>Presence</v>
      </c>
      <c r="I2194" s="198"/>
      <c r="J2194" s="21" t="s">
        <v>2272</v>
      </c>
      <c r="K2194" s="21" t="s">
        <v>2272</v>
      </c>
      <c r="L2194" s="21" t="s">
        <v>2272</v>
      </c>
      <c r="M2194" s="21" t="s">
        <v>2272</v>
      </c>
      <c r="N2194" s="21" t="s">
        <v>2272</v>
      </c>
      <c r="O2194" s="21" t="s">
        <v>2272</v>
      </c>
      <c r="P2194" s="21" t="s">
        <v>2272</v>
      </c>
      <c r="Q2194" s="21" t="s">
        <v>2272</v>
      </c>
      <c r="R2194" s="21" t="s">
        <v>2272</v>
      </c>
      <c r="S2194" s="21" t="s">
        <v>2272</v>
      </c>
      <c r="T2194" s="21" t="s">
        <v>2272</v>
      </c>
      <c r="U2194" s="21" t="s">
        <v>2272</v>
      </c>
      <c r="V2194" s="21" t="s">
        <v>2272</v>
      </c>
      <c r="W2194" s="21" t="s">
        <v>2272</v>
      </c>
      <c r="X2194" s="21" t="s">
        <v>2272</v>
      </c>
      <c r="Y2194" s="21" t="s">
        <v>2272</v>
      </c>
      <c r="Z2194" s="21" t="s">
        <v>2272</v>
      </c>
      <c r="AA2194" s="21" t="s">
        <v>2272</v>
      </c>
      <c r="AB2194" s="198"/>
      <c r="AC2194" s="198"/>
    </row>
    <row r="2195" spans="1:29" ht="46" customHeight="1">
      <c r="A2195" s="151" t="str">
        <f>'Reported burning'!A2195</f>
        <v>263a</v>
      </c>
      <c r="B2195" s="151" t="str">
        <f>'Reported burning'!B2195</f>
        <v>263a.7</v>
      </c>
      <c r="C2195" s="151" t="str">
        <f>'Reported burning'!C2195</f>
        <v>Human, deliberate</v>
      </c>
      <c r="D2195" s="151" t="str">
        <f>'Reported burning'!D2195</f>
        <v>Arson</v>
      </c>
      <c r="E2195" s="151" t="str">
        <f>'Reported burning'!E2195</f>
        <v>Biodiversity conservation</v>
      </c>
      <c r="F2195" s="151" t="str">
        <f>'Reported burning'!F2195</f>
        <v>Forest</v>
      </c>
      <c r="G2195" s="151" t="str">
        <f>'Reported burning'!G2195</f>
        <v>Forest</v>
      </c>
      <c r="H2195" s="151" t="str">
        <f>'Reported burning'!H2195</f>
        <v>Presence</v>
      </c>
      <c r="I2195" s="3"/>
      <c r="J2195" s="21" t="s">
        <v>2272</v>
      </c>
      <c r="K2195" s="21" t="s">
        <v>2272</v>
      </c>
      <c r="L2195" s="21" t="s">
        <v>2272</v>
      </c>
      <c r="M2195" s="21" t="s">
        <v>2272</v>
      </c>
      <c r="N2195" s="21" t="s">
        <v>2272</v>
      </c>
      <c r="O2195" s="21" t="s">
        <v>2272</v>
      </c>
      <c r="P2195" s="21" t="s">
        <v>2272</v>
      </c>
      <c r="Q2195" s="21" t="s">
        <v>2272</v>
      </c>
      <c r="R2195" s="21" t="s">
        <v>2272</v>
      </c>
      <c r="S2195" s="21" t="s">
        <v>2272</v>
      </c>
      <c r="T2195" s="21" t="s">
        <v>2272</v>
      </c>
      <c r="U2195" s="21" t="s">
        <v>2272</v>
      </c>
      <c r="V2195" s="21" t="s">
        <v>2272</v>
      </c>
      <c r="W2195" s="21" t="s">
        <v>2272</v>
      </c>
      <c r="X2195" s="21" t="s">
        <v>2272</v>
      </c>
      <c r="Y2195" s="21" t="s">
        <v>2272</v>
      </c>
      <c r="Z2195" s="21" t="s">
        <v>2272</v>
      </c>
      <c r="AA2195" s="21" t="s">
        <v>2272</v>
      </c>
      <c r="AB2195" s="3"/>
      <c r="AC2195" s="3"/>
    </row>
    <row r="2196" spans="1:29" s="197" customFormat="1" ht="46" customHeight="1">
      <c r="A2196" s="151" t="str">
        <f>'Reported burning'!A2196</f>
        <v>263a</v>
      </c>
      <c r="B2196" s="151" t="str">
        <f>'Reported burning'!B2196</f>
        <v>263a.8</v>
      </c>
      <c r="C2196" s="151" t="str">
        <f>'Reported burning'!C2196</f>
        <v>Lightning</v>
      </c>
      <c r="D2196" s="151" t="str">
        <f>'Reported burning'!D2196</f>
        <v>ND</v>
      </c>
      <c r="E2196" s="151" t="str">
        <f>'Reported burning'!E2196</f>
        <v>Biodiversity conservation</v>
      </c>
      <c r="F2196" s="151" t="str">
        <f>'Reported burning'!F2196</f>
        <v>Forest</v>
      </c>
      <c r="G2196" s="151" t="str">
        <f>'Reported burning'!G2196</f>
        <v>Forest</v>
      </c>
      <c r="H2196" s="151" t="str">
        <f>'Reported burning'!H2196</f>
        <v>Presence</v>
      </c>
      <c r="I2196" s="198"/>
      <c r="J2196" s="21" t="s">
        <v>2272</v>
      </c>
      <c r="K2196" s="21" t="s">
        <v>2272</v>
      </c>
      <c r="L2196" s="21" t="s">
        <v>2272</v>
      </c>
      <c r="M2196" s="21" t="s">
        <v>2272</v>
      </c>
      <c r="N2196" s="21" t="s">
        <v>2272</v>
      </c>
      <c r="O2196" s="21" t="s">
        <v>2272</v>
      </c>
      <c r="P2196" s="21" t="s">
        <v>2272</v>
      </c>
      <c r="Q2196" s="21" t="s">
        <v>2272</v>
      </c>
      <c r="R2196" s="21" t="s">
        <v>2272</v>
      </c>
      <c r="S2196" s="21" t="s">
        <v>2272</v>
      </c>
      <c r="T2196" s="21" t="s">
        <v>2272</v>
      </c>
      <c r="U2196" s="21" t="s">
        <v>2272</v>
      </c>
      <c r="V2196" s="21" t="s">
        <v>2272</v>
      </c>
      <c r="W2196" s="21" t="s">
        <v>2272</v>
      </c>
      <c r="X2196" s="21" t="s">
        <v>2272</v>
      </c>
      <c r="Y2196" s="21" t="s">
        <v>2272</v>
      </c>
      <c r="Z2196" s="21" t="s">
        <v>2272</v>
      </c>
      <c r="AA2196" s="21" t="s">
        <v>2272</v>
      </c>
      <c r="AB2196" s="198"/>
      <c r="AC2196" s="198"/>
    </row>
    <row r="2197" spans="1:29" s="197" customFormat="1" ht="46" customHeight="1">
      <c r="A2197" s="151" t="str">
        <f>'Reported burning'!A2197</f>
        <v>263a</v>
      </c>
      <c r="B2197" s="151" t="str">
        <f>'Reported burning'!B2197</f>
        <v>263a.9</v>
      </c>
      <c r="C2197" s="151" t="str">
        <f>'Reported burning'!C2197</f>
        <v>Unknown</v>
      </c>
      <c r="D2197" s="151" t="str">
        <f>'Reported burning'!D2197</f>
        <v>ND</v>
      </c>
      <c r="E2197" s="151" t="str">
        <f>'Reported burning'!E2197</f>
        <v>Biodiversity conservation</v>
      </c>
      <c r="F2197" s="151" t="str">
        <f>'Reported burning'!F2197</f>
        <v>Forest</v>
      </c>
      <c r="G2197" s="151" t="str">
        <f>'Reported burning'!G2197</f>
        <v>Forest</v>
      </c>
      <c r="H2197" s="151" t="str">
        <f>'Reported burning'!H2197</f>
        <v>Presence</v>
      </c>
      <c r="I2197" s="198"/>
      <c r="J2197" s="21" t="s">
        <v>2272</v>
      </c>
      <c r="K2197" s="21" t="s">
        <v>2272</v>
      </c>
      <c r="L2197" s="21" t="s">
        <v>2272</v>
      </c>
      <c r="M2197" s="21" t="s">
        <v>2272</v>
      </c>
      <c r="N2197" s="21" t="s">
        <v>2272</v>
      </c>
      <c r="O2197" s="21" t="s">
        <v>2272</v>
      </c>
      <c r="P2197" s="21" t="s">
        <v>2272</v>
      </c>
      <c r="Q2197" s="21" t="s">
        <v>2272</v>
      </c>
      <c r="R2197" s="21" t="s">
        <v>2272</v>
      </c>
      <c r="S2197" s="21" t="s">
        <v>2272</v>
      </c>
      <c r="T2197" s="21" t="s">
        <v>2272</v>
      </c>
      <c r="U2197" s="21" t="s">
        <v>2272</v>
      </c>
      <c r="V2197" s="21" t="s">
        <v>2272</v>
      </c>
      <c r="W2197" s="21" t="s">
        <v>2272</v>
      </c>
      <c r="X2197" s="21" t="s">
        <v>2272</v>
      </c>
      <c r="Y2197" s="21" t="s">
        <v>2272</v>
      </c>
      <c r="Z2197" s="21" t="s">
        <v>2272</v>
      </c>
      <c r="AA2197" s="21" t="s">
        <v>2272</v>
      </c>
      <c r="AB2197" s="198"/>
      <c r="AC2197" s="198"/>
    </row>
    <row r="2198" spans="1:29" s="197" customFormat="1" ht="46" customHeight="1">
      <c r="A2198" s="151" t="str">
        <f>'Reported burning'!A2198</f>
        <v>263a</v>
      </c>
      <c r="B2198" s="151" t="str">
        <f>'Reported burning'!B2198</f>
        <v>263a.10</v>
      </c>
      <c r="C2198" s="151" t="str">
        <f>'Reported burning'!C2198</f>
        <v>Human, deliberate</v>
      </c>
      <c r="D2198" s="151" t="str">
        <f>'Reported burning'!D2198</f>
        <v>Arson</v>
      </c>
      <c r="E2198" s="151" t="str">
        <f>'Reported burning'!E2198</f>
        <v>ND</v>
      </c>
      <c r="F2198" s="151" t="str">
        <f>'Reported burning'!F2198</f>
        <v>ND</v>
      </c>
      <c r="G2198" s="151" t="str">
        <f>'Reported burning'!G2198</f>
        <v>ND</v>
      </c>
      <c r="H2198" s="151" t="str">
        <f>'Reported burning'!H2198</f>
        <v>Presence</v>
      </c>
      <c r="I2198" s="198"/>
      <c r="J2198" s="21" t="s">
        <v>2272</v>
      </c>
      <c r="K2198" s="21" t="s">
        <v>2272</v>
      </c>
      <c r="L2198" s="21" t="s">
        <v>2272</v>
      </c>
      <c r="M2198" s="21" t="s">
        <v>2272</v>
      </c>
      <c r="N2198" s="21" t="s">
        <v>2272</v>
      </c>
      <c r="O2198" s="21" t="s">
        <v>2272</v>
      </c>
      <c r="P2198" s="21" t="s">
        <v>2272</v>
      </c>
      <c r="Q2198" s="21" t="s">
        <v>2272</v>
      </c>
      <c r="R2198" s="21" t="s">
        <v>2272</v>
      </c>
      <c r="S2198" s="21" t="s">
        <v>2272</v>
      </c>
      <c r="T2198" s="21" t="s">
        <v>2272</v>
      </c>
      <c r="U2198" s="21" t="s">
        <v>2272</v>
      </c>
      <c r="V2198" s="21" t="s">
        <v>2272</v>
      </c>
      <c r="W2198" s="21" t="s">
        <v>2272</v>
      </c>
      <c r="X2198" s="21" t="s">
        <v>2272</v>
      </c>
      <c r="Y2198" s="21" t="s">
        <v>2272</v>
      </c>
      <c r="Z2198" s="21" t="s">
        <v>2272</v>
      </c>
      <c r="AA2198" s="21" t="s">
        <v>2272</v>
      </c>
      <c r="AB2198" s="198"/>
      <c r="AC2198" s="198"/>
    </row>
    <row r="2199" spans="1:29" s="197" customFormat="1" ht="46" customHeight="1">
      <c r="A2199" s="151" t="str">
        <f>'Reported burning'!A2199</f>
        <v>263a</v>
      </c>
      <c r="B2199" s="151" t="str">
        <f>'Reported burning'!B2199</f>
        <v>263a.11</v>
      </c>
      <c r="C2199" s="151" t="str">
        <f>'Reported burning'!C2199</f>
        <v>Lightning</v>
      </c>
      <c r="D2199" s="151" t="str">
        <f>'Reported burning'!D2199</f>
        <v>ND</v>
      </c>
      <c r="E2199" s="151" t="str">
        <f>'Reported burning'!E2199</f>
        <v>ND</v>
      </c>
      <c r="F2199" s="151" t="str">
        <f>'Reported burning'!F2199</f>
        <v>ND</v>
      </c>
      <c r="G2199" s="151" t="str">
        <f>'Reported burning'!G2199</f>
        <v>ND</v>
      </c>
      <c r="H2199" s="151" t="str">
        <f>'Reported burning'!H2199</f>
        <v>Presence</v>
      </c>
      <c r="I2199" s="198"/>
      <c r="J2199" s="21" t="s">
        <v>2272</v>
      </c>
      <c r="K2199" s="21" t="s">
        <v>2272</v>
      </c>
      <c r="L2199" s="21" t="s">
        <v>2272</v>
      </c>
      <c r="M2199" s="21" t="s">
        <v>2272</v>
      </c>
      <c r="N2199" s="21" t="s">
        <v>2272</v>
      </c>
      <c r="O2199" s="21" t="s">
        <v>2272</v>
      </c>
      <c r="P2199" s="21" t="s">
        <v>2272</v>
      </c>
      <c r="Q2199" s="21" t="s">
        <v>2272</v>
      </c>
      <c r="R2199" s="21" t="s">
        <v>2272</v>
      </c>
      <c r="S2199" s="21" t="s">
        <v>2272</v>
      </c>
      <c r="T2199" s="21" t="s">
        <v>2272</v>
      </c>
      <c r="U2199" s="21" t="s">
        <v>2272</v>
      </c>
      <c r="V2199" s="21" t="s">
        <v>2272</v>
      </c>
      <c r="W2199" s="21" t="s">
        <v>2272</v>
      </c>
      <c r="X2199" s="21" t="s">
        <v>2272</v>
      </c>
      <c r="Y2199" s="21" t="s">
        <v>2272</v>
      </c>
      <c r="Z2199" s="21" t="s">
        <v>2272</v>
      </c>
      <c r="AA2199" s="21" t="s">
        <v>2272</v>
      </c>
      <c r="AB2199" s="198"/>
      <c r="AC2199" s="198"/>
    </row>
    <row r="2200" spans="1:29" s="197" customFormat="1" ht="46" customHeight="1">
      <c r="A2200" s="151" t="str">
        <f>'Reported burning'!A2200</f>
        <v>263a</v>
      </c>
      <c r="B2200" s="151" t="str">
        <f>'Reported burning'!B2200</f>
        <v>263a.12</v>
      </c>
      <c r="C2200" s="151" t="str">
        <f>'Reported burning'!C2200</f>
        <v>Unknown</v>
      </c>
      <c r="D2200" s="151" t="str">
        <f>'Reported burning'!D2200</f>
        <v>ND</v>
      </c>
      <c r="E2200" s="151" t="str">
        <f>'Reported burning'!E2200</f>
        <v>ND</v>
      </c>
      <c r="F2200" s="151" t="str">
        <f>'Reported burning'!F2200</f>
        <v>ND</v>
      </c>
      <c r="G2200" s="151" t="str">
        <f>'Reported burning'!G2200</f>
        <v>ND</v>
      </c>
      <c r="H2200" s="151" t="str">
        <f>'Reported burning'!H2200</f>
        <v>Presence</v>
      </c>
      <c r="I2200" s="198"/>
      <c r="J2200" s="21" t="s">
        <v>2272</v>
      </c>
      <c r="K2200" s="21" t="s">
        <v>2272</v>
      </c>
      <c r="L2200" s="21" t="s">
        <v>2272</v>
      </c>
      <c r="M2200" s="21" t="s">
        <v>2272</v>
      </c>
      <c r="N2200" s="21" t="s">
        <v>2272</v>
      </c>
      <c r="O2200" s="21" t="s">
        <v>2272</v>
      </c>
      <c r="P2200" s="21" t="s">
        <v>2272</v>
      </c>
      <c r="Q2200" s="21" t="s">
        <v>2272</v>
      </c>
      <c r="R2200" s="21" t="s">
        <v>2272</v>
      </c>
      <c r="S2200" s="21" t="s">
        <v>2272</v>
      </c>
      <c r="T2200" s="21" t="s">
        <v>2272</v>
      </c>
      <c r="U2200" s="21" t="s">
        <v>2272</v>
      </c>
      <c r="V2200" s="21" t="s">
        <v>2272</v>
      </c>
      <c r="W2200" s="21" t="s">
        <v>2272</v>
      </c>
      <c r="X2200" s="21" t="s">
        <v>2272</v>
      </c>
      <c r="Y2200" s="21" t="s">
        <v>2272</v>
      </c>
      <c r="Z2200" s="21" t="s">
        <v>2272</v>
      </c>
      <c r="AA2200" s="21" t="s">
        <v>2272</v>
      </c>
      <c r="AB2200" s="198"/>
      <c r="AC2200" s="198"/>
    </row>
    <row r="2201" spans="1:29" s="197" customFormat="1" ht="46" customHeight="1">
      <c r="A2201" s="151" t="str">
        <f>'Reported burning'!A2201</f>
        <v>264a</v>
      </c>
      <c r="B2201" s="151" t="str">
        <f>'Reported burning'!B2201</f>
        <v>264a.1</v>
      </c>
      <c r="C2201" s="151" t="str">
        <f>'Reported burning'!C2201</f>
        <v>All</v>
      </c>
      <c r="D2201" s="151" t="str">
        <f>'Reported burning'!D2201</f>
        <v>All</v>
      </c>
      <c r="E2201" s="151" t="str">
        <f>'Reported burning'!E2201</f>
        <v>All</v>
      </c>
      <c r="F2201" s="151" t="str">
        <f>'Reported burning'!F2201</f>
        <v>ND</v>
      </c>
      <c r="G2201" s="151" t="str">
        <f>'Reported burning'!G2201</f>
        <v>ND</v>
      </c>
      <c r="H2201" s="151" t="str">
        <f>'Reported burning'!H2201</f>
        <v>Presence</v>
      </c>
      <c r="I2201" s="198"/>
      <c r="J2201" s="21" t="s">
        <v>2272</v>
      </c>
      <c r="K2201" s="21" t="s">
        <v>2272</v>
      </c>
      <c r="L2201" s="21" t="s">
        <v>2272</v>
      </c>
      <c r="M2201" s="21" t="s">
        <v>2272</v>
      </c>
      <c r="N2201" s="21" t="s">
        <v>2272</v>
      </c>
      <c r="O2201" s="21" t="s">
        <v>2272</v>
      </c>
      <c r="P2201" s="21" t="s">
        <v>2272</v>
      </c>
      <c r="Q2201" s="21" t="s">
        <v>2272</v>
      </c>
      <c r="R2201" s="21" t="s">
        <v>2272</v>
      </c>
      <c r="S2201" s="21" t="s">
        <v>2272</v>
      </c>
      <c r="T2201" s="21" t="s">
        <v>2272</v>
      </c>
      <c r="U2201" s="21" t="s">
        <v>2272</v>
      </c>
      <c r="V2201" s="21" t="s">
        <v>2272</v>
      </c>
      <c r="W2201" s="21" t="s">
        <v>2272</v>
      </c>
      <c r="X2201" s="21" t="s">
        <v>2272</v>
      </c>
      <c r="Y2201" s="21" t="s">
        <v>2272</v>
      </c>
      <c r="Z2201" s="21" t="s">
        <v>2272</v>
      </c>
      <c r="AA2201" s="21" t="s">
        <v>2272</v>
      </c>
      <c r="AB2201" s="198"/>
      <c r="AC2201" s="198"/>
    </row>
    <row r="2202" spans="1:29" ht="84" customHeight="1">
      <c r="A2202" s="151" t="str">
        <f>'Reported burning'!A2202</f>
        <v>264a</v>
      </c>
      <c r="B2202" s="151" t="str">
        <f>'Reported burning'!B2202</f>
        <v>264a.2</v>
      </c>
      <c r="C2202" s="151" t="str">
        <f>'Reported burning'!C2202</f>
        <v>Human, deliberate</v>
      </c>
      <c r="D2202" s="151" t="str">
        <f>'Reported burning'!D2202</f>
        <v>Vegetation management</v>
      </c>
      <c r="E2202" s="151" t="str">
        <f>'Reported burning'!E2202</f>
        <v>Forestry, Industrial</v>
      </c>
      <c r="F2202" s="151" t="str">
        <f>'Reported burning'!F2202</f>
        <v>Plantation forest</v>
      </c>
      <c r="G2202" s="151" t="str">
        <f>'Reported burning'!G2202</f>
        <v>Plantation forest</v>
      </c>
      <c r="H2202" s="151" t="str">
        <f>'Reported burning'!H2202</f>
        <v>Presence</v>
      </c>
      <c r="I2202" s="3"/>
      <c r="J2202" s="21" t="s">
        <v>2272</v>
      </c>
      <c r="K2202" s="21" t="s">
        <v>2272</v>
      </c>
      <c r="L2202" s="98" t="s">
        <v>2272</v>
      </c>
      <c r="M2202" s="21" t="s">
        <v>2272</v>
      </c>
      <c r="N2202" s="21" t="s">
        <v>2272</v>
      </c>
      <c r="O2202" s="21" t="s">
        <v>2272</v>
      </c>
      <c r="P2202" s="21" t="s">
        <v>2272</v>
      </c>
      <c r="Q2202" s="21" t="s">
        <v>2272</v>
      </c>
      <c r="R2202" s="21" t="s">
        <v>2272</v>
      </c>
      <c r="S2202" s="21" t="s">
        <v>2272</v>
      </c>
      <c r="T2202" s="21" t="s">
        <v>2272</v>
      </c>
      <c r="U2202" s="21" t="s">
        <v>2272</v>
      </c>
      <c r="V2202" s="21" t="s">
        <v>2272</v>
      </c>
      <c r="W2202" s="21" t="s">
        <v>2272</v>
      </c>
      <c r="X2202" s="21" t="s">
        <v>2272</v>
      </c>
      <c r="Y2202" s="3" t="s">
        <v>2272</v>
      </c>
      <c r="Z2202" s="3" t="s">
        <v>2272</v>
      </c>
      <c r="AA2202" s="3" t="s">
        <v>2272</v>
      </c>
      <c r="AB2202" s="4"/>
      <c r="AC2202" s="3"/>
    </row>
    <row r="2203" spans="1:29" ht="77.5" customHeight="1">
      <c r="A2203" s="151" t="str">
        <f>'Reported burning'!A2203</f>
        <v>264a</v>
      </c>
      <c r="B2203" s="151" t="str">
        <f>'Reported burning'!B2203</f>
        <v>264a.3</v>
      </c>
      <c r="C2203" s="151" t="str">
        <f>'Reported burning'!C2203</f>
        <v>Human, deliberate</v>
      </c>
      <c r="D2203" s="151" t="str">
        <f>'Reported burning'!D2203</f>
        <v>Crop residue burning</v>
      </c>
      <c r="E2203" s="151" t="str">
        <f>'Reported burning'!E2203</f>
        <v>Mixed cropping-livestock small holder, Market-oriented</v>
      </c>
      <c r="F2203" s="151" t="str">
        <f>'Reported burning'!F2203</f>
        <v>Cropland</v>
      </c>
      <c r="G2203" s="151" t="str">
        <f>'Reported burning'!G2203</f>
        <v>ND</v>
      </c>
      <c r="H2203" s="151" t="str">
        <f>'Reported burning'!H2203</f>
        <v>Presence</v>
      </c>
      <c r="I2203" s="3"/>
      <c r="J2203" s="21" t="s">
        <v>2272</v>
      </c>
      <c r="K2203" s="21" t="s">
        <v>2272</v>
      </c>
      <c r="L2203" s="98" t="s">
        <v>2272</v>
      </c>
      <c r="M2203" s="21" t="s">
        <v>2272</v>
      </c>
      <c r="N2203" s="21" t="s">
        <v>2272</v>
      </c>
      <c r="O2203" s="21" t="s">
        <v>2272</v>
      </c>
      <c r="P2203" s="21" t="s">
        <v>2272</v>
      </c>
      <c r="Q2203" s="21" t="s">
        <v>2272</v>
      </c>
      <c r="R2203" s="21" t="s">
        <v>2272</v>
      </c>
      <c r="S2203" s="21" t="s">
        <v>2272</v>
      </c>
      <c r="T2203" s="21" t="s">
        <v>2272</v>
      </c>
      <c r="U2203" s="21" t="s">
        <v>2272</v>
      </c>
      <c r="V2203" s="21" t="s">
        <v>2272</v>
      </c>
      <c r="W2203" s="21" t="s">
        <v>2272</v>
      </c>
      <c r="X2203" s="21" t="s">
        <v>2272</v>
      </c>
      <c r="Y2203" s="3" t="s">
        <v>2272</v>
      </c>
      <c r="Z2203" s="3" t="s">
        <v>2272</v>
      </c>
      <c r="AA2203" s="3" t="s">
        <v>2272</v>
      </c>
      <c r="AB2203" s="4" t="s">
        <v>6690</v>
      </c>
      <c r="AC2203" s="3"/>
    </row>
    <row r="2204" spans="1:29" ht="81.5" customHeight="1">
      <c r="A2204" s="151" t="str">
        <f>'Reported burning'!A2204</f>
        <v>264a</v>
      </c>
      <c r="B2204" s="151" t="str">
        <f>'Reported burning'!B2204</f>
        <v>264a.4</v>
      </c>
      <c r="C2204" s="151" t="str">
        <f>'Reported burning'!C2204</f>
        <v>Human, deliberate</v>
      </c>
      <c r="D2204" s="151" t="str">
        <f>'Reported burning'!D2204</f>
        <v>Pasture renewal</v>
      </c>
      <c r="E2204" s="151" t="str">
        <f>'Reported burning'!E2204</f>
        <v>Mixed cropping-livestock small holder, Market-oriented</v>
      </c>
      <c r="F2204" s="151" t="str">
        <f>'Reported burning'!F2204</f>
        <v>Pasture</v>
      </c>
      <c r="G2204" s="151" t="str">
        <f>'Reported burning'!G2204</f>
        <v>ND</v>
      </c>
      <c r="H2204" s="151" t="str">
        <f>'Reported burning'!H2204</f>
        <v>Presence</v>
      </c>
      <c r="I2204" s="3"/>
      <c r="J2204" s="21" t="s">
        <v>2272</v>
      </c>
      <c r="K2204" s="21" t="s">
        <v>2272</v>
      </c>
      <c r="L2204" s="98" t="s">
        <v>2272</v>
      </c>
      <c r="M2204" s="21" t="s">
        <v>2272</v>
      </c>
      <c r="N2204" s="21" t="s">
        <v>2272</v>
      </c>
      <c r="O2204" s="21" t="s">
        <v>2272</v>
      </c>
      <c r="P2204" s="21" t="s">
        <v>2272</v>
      </c>
      <c r="Q2204" s="21" t="s">
        <v>2272</v>
      </c>
      <c r="R2204" s="21" t="s">
        <v>2272</v>
      </c>
      <c r="S2204" s="21" t="s">
        <v>2272</v>
      </c>
      <c r="T2204" s="21" t="s">
        <v>2272</v>
      </c>
      <c r="U2204" s="21" t="s">
        <v>2272</v>
      </c>
      <c r="V2204" s="21" t="s">
        <v>2272</v>
      </c>
      <c r="W2204" s="21" t="s">
        <v>2272</v>
      </c>
      <c r="X2204" s="21" t="s">
        <v>2272</v>
      </c>
      <c r="Y2204" s="3" t="s">
        <v>2272</v>
      </c>
      <c r="Z2204" s="3" t="s">
        <v>2272</v>
      </c>
      <c r="AA2204" s="3" t="s">
        <v>2272</v>
      </c>
      <c r="AB2204" s="4" t="s">
        <v>6691</v>
      </c>
      <c r="AC2204" s="3"/>
    </row>
    <row r="2205" spans="1:29" s="197" customFormat="1" ht="81.5" customHeight="1">
      <c r="A2205" s="151" t="str">
        <f>'Reported burning'!A2205</f>
        <v>264a</v>
      </c>
      <c r="B2205" s="151" t="str">
        <f>'Reported burning'!B2205</f>
        <v>264a.5</v>
      </c>
      <c r="C2205" s="151" t="str">
        <f>'Reported burning'!C2205</f>
        <v>Human, deliberate</v>
      </c>
      <c r="D2205" s="151" t="str">
        <f>'Reported burning'!D2205</f>
        <v>Land clearance</v>
      </c>
      <c r="E2205" s="151" t="str">
        <f>'Reported burning'!E2205</f>
        <v>Mixed cropping-livestock small holder, Market-oriented</v>
      </c>
      <c r="F2205" s="151" t="str">
        <f>'Reported burning'!F2205</f>
        <v>Shrubland (Mixed forest &amp; grassland)</v>
      </c>
      <c r="G2205" s="151" t="str">
        <f>'Reported burning'!G2205</f>
        <v>ND</v>
      </c>
      <c r="H2205" s="151" t="str">
        <f>'Reported burning'!H2205</f>
        <v>Presence</v>
      </c>
      <c r="I2205" s="198"/>
      <c r="J2205" s="21" t="s">
        <v>2272</v>
      </c>
      <c r="K2205" s="21" t="s">
        <v>2272</v>
      </c>
      <c r="L2205" s="98" t="s">
        <v>2272</v>
      </c>
      <c r="M2205" s="21" t="s">
        <v>2272</v>
      </c>
      <c r="N2205" s="21" t="s">
        <v>2272</v>
      </c>
      <c r="O2205" s="21" t="s">
        <v>2272</v>
      </c>
      <c r="P2205" s="21" t="s">
        <v>2272</v>
      </c>
      <c r="Q2205" s="21" t="s">
        <v>2272</v>
      </c>
      <c r="R2205" s="21" t="s">
        <v>2272</v>
      </c>
      <c r="S2205" s="21" t="s">
        <v>2272</v>
      </c>
      <c r="T2205" s="21" t="s">
        <v>2272</v>
      </c>
      <c r="U2205" s="21" t="s">
        <v>2272</v>
      </c>
      <c r="V2205" s="21" t="s">
        <v>2272</v>
      </c>
      <c r="W2205" s="21" t="s">
        <v>2272</v>
      </c>
      <c r="X2205" s="21" t="s">
        <v>2272</v>
      </c>
      <c r="Y2205" s="198" t="s">
        <v>2272</v>
      </c>
      <c r="Z2205" s="198" t="s">
        <v>2272</v>
      </c>
      <c r="AA2205" s="198" t="s">
        <v>2272</v>
      </c>
      <c r="AB2205" s="4" t="s">
        <v>6690</v>
      </c>
      <c r="AC2205" s="198"/>
    </row>
    <row r="2206" spans="1:29" ht="80.5" customHeight="1">
      <c r="A2206" s="151" t="str">
        <f>'Reported burning'!A2206</f>
        <v>264a</v>
      </c>
      <c r="B2206" s="151" t="str">
        <f>'Reported burning'!B2206</f>
        <v>264a.6</v>
      </c>
      <c r="C2206" s="151" t="str">
        <f>'Reported burning'!C2206</f>
        <v>Human, deliberate</v>
      </c>
      <c r="D2206" s="151" t="str">
        <f>'Reported burning'!D2206</f>
        <v>Arson</v>
      </c>
      <c r="E2206" s="151" t="str">
        <f>'Reported burning'!E2206</f>
        <v>ND</v>
      </c>
      <c r="F2206" s="151" t="str">
        <f>'Reported burning'!F2206</f>
        <v>ND</v>
      </c>
      <c r="G2206" s="151" t="str">
        <f>'Reported burning'!G2206</f>
        <v>ND</v>
      </c>
      <c r="H2206" s="151" t="str">
        <f>'Reported burning'!H2206</f>
        <v>Presence</v>
      </c>
      <c r="I2206" s="3"/>
      <c r="J2206" s="21" t="s">
        <v>2272</v>
      </c>
      <c r="K2206" s="21" t="s">
        <v>2272</v>
      </c>
      <c r="L2206" s="98" t="s">
        <v>2272</v>
      </c>
      <c r="M2206" s="21" t="s">
        <v>2272</v>
      </c>
      <c r="N2206" s="21" t="s">
        <v>2272</v>
      </c>
      <c r="O2206" s="21" t="s">
        <v>2272</v>
      </c>
      <c r="P2206" s="21" t="s">
        <v>2272</v>
      </c>
      <c r="Q2206" s="21" t="s">
        <v>2272</v>
      </c>
      <c r="R2206" s="21" t="s">
        <v>2272</v>
      </c>
      <c r="S2206" s="21" t="s">
        <v>2272</v>
      </c>
      <c r="T2206" s="21" t="s">
        <v>2272</v>
      </c>
      <c r="U2206" s="21" t="s">
        <v>2272</v>
      </c>
      <c r="V2206" s="21" t="s">
        <v>2272</v>
      </c>
      <c r="W2206" s="21" t="s">
        <v>2272</v>
      </c>
      <c r="X2206" s="21" t="s">
        <v>2272</v>
      </c>
      <c r="Y2206" s="3" t="s">
        <v>2272</v>
      </c>
      <c r="Z2206" s="3" t="s">
        <v>2272</v>
      </c>
      <c r="AA2206" s="3" t="s">
        <v>2272</v>
      </c>
      <c r="AB2206" s="4" t="s">
        <v>6692</v>
      </c>
      <c r="AC2206" s="3"/>
    </row>
    <row r="2207" spans="1:29" s="197" customFormat="1" ht="80.5" customHeight="1">
      <c r="A2207" s="151" t="str">
        <f>'Reported burning'!A2207</f>
        <v>264a</v>
      </c>
      <c r="B2207" s="151" t="str">
        <f>'Reported burning'!B2207</f>
        <v>264a.7</v>
      </c>
      <c r="C2207" s="151" t="str">
        <f>'Reported burning'!C2207</f>
        <v>Human, escaped</v>
      </c>
      <c r="D2207" s="151" t="str">
        <f>'Reported burning'!D2207</f>
        <v>Domestic</v>
      </c>
      <c r="E2207" s="151" t="str">
        <f>'Reported burning'!E2207</f>
        <v>Urban planner</v>
      </c>
      <c r="F2207" s="151" t="str">
        <f>'Reported burning'!F2207</f>
        <v>ND</v>
      </c>
      <c r="G2207" s="151" t="str">
        <f>'Reported burning'!G2207</f>
        <v>ND</v>
      </c>
      <c r="H2207" s="151" t="str">
        <f>'Reported burning'!H2207</f>
        <v>Presence</v>
      </c>
      <c r="I2207" s="198"/>
      <c r="J2207" s="21" t="s">
        <v>2272</v>
      </c>
      <c r="K2207" s="21" t="s">
        <v>2272</v>
      </c>
      <c r="L2207" s="21" t="s">
        <v>2272</v>
      </c>
      <c r="M2207" s="21" t="s">
        <v>2272</v>
      </c>
      <c r="N2207" s="21" t="s">
        <v>2272</v>
      </c>
      <c r="O2207" s="21" t="s">
        <v>2272</v>
      </c>
      <c r="P2207" s="21" t="s">
        <v>2272</v>
      </c>
      <c r="Q2207" s="21" t="s">
        <v>2272</v>
      </c>
      <c r="R2207" s="21" t="s">
        <v>2272</v>
      </c>
      <c r="S2207" s="21" t="s">
        <v>2272</v>
      </c>
      <c r="T2207" s="21" t="s">
        <v>2272</v>
      </c>
      <c r="U2207" s="21" t="s">
        <v>2272</v>
      </c>
      <c r="V2207" s="21" t="s">
        <v>2272</v>
      </c>
      <c r="W2207" s="21" t="s">
        <v>2272</v>
      </c>
      <c r="X2207" s="21" t="s">
        <v>2272</v>
      </c>
      <c r="Y2207" s="21" t="s">
        <v>2272</v>
      </c>
      <c r="Z2207" s="21" t="s">
        <v>2272</v>
      </c>
      <c r="AA2207" s="21" t="s">
        <v>2272</v>
      </c>
      <c r="AB2207" s="4" t="s">
        <v>6693</v>
      </c>
      <c r="AC2207" s="198"/>
    </row>
    <row r="2208" spans="1:29" s="197" customFormat="1" ht="80.5" customHeight="1">
      <c r="A2208" s="151" t="str">
        <f>'Reported burning'!A2208</f>
        <v>264a</v>
      </c>
      <c r="B2208" s="151" t="str">
        <f>'Reported burning'!B2208</f>
        <v>264a.8</v>
      </c>
      <c r="C2208" s="151" t="str">
        <f>'Reported burning'!C2208</f>
        <v>Human, deliberate</v>
      </c>
      <c r="D2208" s="151" t="str">
        <f>'Reported burning'!D2208</f>
        <v>Hunting</v>
      </c>
      <c r="E2208" s="151" t="str">
        <f>'Reported burning'!E2208</f>
        <v>Mixed cropping-livestock small holder, Market-oriented</v>
      </c>
      <c r="F2208" s="151" t="str">
        <f>'Reported burning'!F2208</f>
        <v>ND</v>
      </c>
      <c r="G2208" s="151" t="str">
        <f>'Reported burning'!G2208</f>
        <v>ND</v>
      </c>
      <c r="H2208" s="151" t="str">
        <f>'Reported burning'!H2208</f>
        <v>Presence</v>
      </c>
      <c r="I2208" s="198"/>
      <c r="J2208" s="21" t="s">
        <v>2272</v>
      </c>
      <c r="K2208" s="21" t="s">
        <v>2272</v>
      </c>
      <c r="L2208" s="21" t="s">
        <v>2272</v>
      </c>
      <c r="M2208" s="21" t="s">
        <v>2272</v>
      </c>
      <c r="N2208" s="21" t="s">
        <v>2272</v>
      </c>
      <c r="O2208" s="21" t="s">
        <v>2272</v>
      </c>
      <c r="P2208" s="21" t="s">
        <v>2272</v>
      </c>
      <c r="Q2208" s="21" t="s">
        <v>2272</v>
      </c>
      <c r="R2208" s="21" t="s">
        <v>2272</v>
      </c>
      <c r="S2208" s="21" t="s">
        <v>2272</v>
      </c>
      <c r="T2208" s="21" t="s">
        <v>2272</v>
      </c>
      <c r="U2208" s="21" t="s">
        <v>2272</v>
      </c>
      <c r="V2208" s="21" t="s">
        <v>2272</v>
      </c>
      <c r="W2208" s="21" t="s">
        <v>2272</v>
      </c>
      <c r="X2208" s="21" t="s">
        <v>2272</v>
      </c>
      <c r="Y2208" s="21" t="s">
        <v>2272</v>
      </c>
      <c r="Z2208" s="21" t="s">
        <v>2272</v>
      </c>
      <c r="AA2208" s="21" t="s">
        <v>2272</v>
      </c>
      <c r="AB2208" s="4" t="s">
        <v>6693</v>
      </c>
      <c r="AC2208" s="198"/>
    </row>
    <row r="2209" spans="1:29" s="197" customFormat="1" ht="80.5" customHeight="1">
      <c r="A2209" s="151" t="str">
        <f>'Reported burning'!A2209</f>
        <v>264a</v>
      </c>
      <c r="B2209" s="151" t="str">
        <f>'Reported burning'!B2209</f>
        <v>264a.9</v>
      </c>
      <c r="C2209" s="151" t="str">
        <f>'Reported burning'!C2209</f>
        <v>Human, accidental</v>
      </c>
      <c r="D2209" s="151" t="str">
        <f>'Reported burning'!D2209</f>
        <v>Accidental</v>
      </c>
      <c r="E2209" s="151" t="str">
        <f>'Reported burning'!E2209</f>
        <v>ND</v>
      </c>
      <c r="F2209" s="151" t="str">
        <f>'Reported burning'!F2209</f>
        <v>ND</v>
      </c>
      <c r="G2209" s="151" t="str">
        <f>'Reported burning'!G2209</f>
        <v>ND</v>
      </c>
      <c r="H2209" s="151" t="str">
        <f>'Reported burning'!H2209</f>
        <v>Presence</v>
      </c>
      <c r="I2209" s="198"/>
      <c r="J2209" s="21" t="s">
        <v>2272</v>
      </c>
      <c r="K2209" s="21" t="s">
        <v>2272</v>
      </c>
      <c r="L2209" s="21" t="s">
        <v>2272</v>
      </c>
      <c r="M2209" s="21" t="s">
        <v>2272</v>
      </c>
      <c r="N2209" s="21" t="s">
        <v>2272</v>
      </c>
      <c r="O2209" s="21" t="s">
        <v>2272</v>
      </c>
      <c r="P2209" s="21" t="s">
        <v>2272</v>
      </c>
      <c r="Q2209" s="21" t="s">
        <v>2272</v>
      </c>
      <c r="R2209" s="21" t="s">
        <v>2272</v>
      </c>
      <c r="S2209" s="21" t="s">
        <v>2272</v>
      </c>
      <c r="T2209" s="21" t="s">
        <v>2272</v>
      </c>
      <c r="U2209" s="21" t="s">
        <v>2272</v>
      </c>
      <c r="V2209" s="21" t="s">
        <v>2272</v>
      </c>
      <c r="W2209" s="21" t="s">
        <v>2272</v>
      </c>
      <c r="X2209" s="21" t="s">
        <v>2272</v>
      </c>
      <c r="Y2209" s="21" t="s">
        <v>2272</v>
      </c>
      <c r="Z2209" s="21" t="s">
        <v>2272</v>
      </c>
      <c r="AA2209" s="21" t="s">
        <v>2272</v>
      </c>
      <c r="AB2209" s="4" t="s">
        <v>6693</v>
      </c>
      <c r="AC2209" s="198"/>
    </row>
    <row r="2210" spans="1:29" s="197" customFormat="1" ht="80.5" customHeight="1">
      <c r="A2210" s="151" t="str">
        <f>'Reported burning'!A2210</f>
        <v>264a</v>
      </c>
      <c r="B2210" s="151" t="str">
        <f>'Reported burning'!B2210</f>
        <v>264a.10</v>
      </c>
      <c r="C2210" s="151" t="str">
        <f>'Reported burning'!C2210</f>
        <v>Lightning</v>
      </c>
      <c r="D2210" s="151" t="str">
        <f>'Reported burning'!D2210</f>
        <v>ND</v>
      </c>
      <c r="E2210" s="151" t="str">
        <f>'Reported burning'!E2210</f>
        <v>ND</v>
      </c>
      <c r="F2210" s="151" t="str">
        <f>'Reported burning'!F2210</f>
        <v>ND</v>
      </c>
      <c r="G2210" s="151" t="str">
        <f>'Reported burning'!G2210</f>
        <v>ND</v>
      </c>
      <c r="H2210" s="151" t="str">
        <f>'Reported burning'!H2210</f>
        <v>Presence</v>
      </c>
      <c r="I2210" s="198"/>
      <c r="J2210" s="21" t="s">
        <v>2272</v>
      </c>
      <c r="K2210" s="21" t="s">
        <v>2272</v>
      </c>
      <c r="L2210" s="21" t="s">
        <v>2272</v>
      </c>
      <c r="M2210" s="21" t="s">
        <v>2272</v>
      </c>
      <c r="N2210" s="21" t="s">
        <v>2272</v>
      </c>
      <c r="O2210" s="21" t="s">
        <v>2272</v>
      </c>
      <c r="P2210" s="21" t="s">
        <v>2272</v>
      </c>
      <c r="Q2210" s="21" t="s">
        <v>2272</v>
      </c>
      <c r="R2210" s="21" t="s">
        <v>2272</v>
      </c>
      <c r="S2210" s="21" t="s">
        <v>2272</v>
      </c>
      <c r="T2210" s="21" t="s">
        <v>2272</v>
      </c>
      <c r="U2210" s="21" t="s">
        <v>2272</v>
      </c>
      <c r="V2210" s="21" t="s">
        <v>2272</v>
      </c>
      <c r="W2210" s="21" t="s">
        <v>2272</v>
      </c>
      <c r="X2210" s="21" t="s">
        <v>2272</v>
      </c>
      <c r="Y2210" s="21" t="s">
        <v>2272</v>
      </c>
      <c r="Z2210" s="21" t="s">
        <v>2272</v>
      </c>
      <c r="AA2210" s="21" t="s">
        <v>2272</v>
      </c>
      <c r="AB2210" s="4" t="s">
        <v>6693</v>
      </c>
      <c r="AC2210" s="198"/>
    </row>
    <row r="2211" spans="1:29" ht="58.5" customHeight="1">
      <c r="A2211" s="151" t="str">
        <f>'Reported burning'!A2211</f>
        <v>265a</v>
      </c>
      <c r="B2211" s="151" t="str">
        <f>'Reported burning'!B2211</f>
        <v>265a.1</v>
      </c>
      <c r="C2211" s="151" t="str">
        <f>'Reported burning'!C2211</f>
        <v>All</v>
      </c>
      <c r="D2211" s="151" t="str">
        <f>'Reported burning'!D2211</f>
        <v>All</v>
      </c>
      <c r="E2211" s="151" t="str">
        <f>'Reported burning'!E2211</f>
        <v>All</v>
      </c>
      <c r="F2211" s="151" t="str">
        <f>'Reported burning'!F2211</f>
        <v>ND</v>
      </c>
      <c r="G2211" s="151" t="str">
        <f>'Reported burning'!G2211</f>
        <v>ND</v>
      </c>
      <c r="H2211" s="151" t="str">
        <f>'Reported burning'!H2211</f>
        <v>Presence</v>
      </c>
      <c r="I2211" s="4">
        <v>2003</v>
      </c>
      <c r="J2211" s="21" t="s">
        <v>2272</v>
      </c>
      <c r="K2211" s="73" t="s">
        <v>2365</v>
      </c>
      <c r="L2211" s="98" t="s">
        <v>2272</v>
      </c>
      <c r="M2211" s="21" t="s">
        <v>2358</v>
      </c>
      <c r="N2211" s="21" t="s">
        <v>2272</v>
      </c>
      <c r="O2211" s="21" t="s">
        <v>2272</v>
      </c>
      <c r="P2211" s="21" t="s">
        <v>2272</v>
      </c>
      <c r="Q2211" s="21" t="s">
        <v>2272</v>
      </c>
      <c r="R2211" s="21" t="s">
        <v>2272</v>
      </c>
      <c r="S2211" s="21" t="s">
        <v>2272</v>
      </c>
      <c r="T2211" s="21" t="s">
        <v>2272</v>
      </c>
      <c r="U2211" s="21" t="s">
        <v>2272</v>
      </c>
      <c r="V2211" s="21" t="s">
        <v>2272</v>
      </c>
      <c r="W2211" s="21" t="s">
        <v>2272</v>
      </c>
      <c r="X2211" s="21" t="s">
        <v>2272</v>
      </c>
      <c r="Y2211" s="198" t="s">
        <v>84</v>
      </c>
      <c r="Z2211" s="198" t="s">
        <v>403</v>
      </c>
      <c r="AA2211" s="4" t="s">
        <v>2272</v>
      </c>
      <c r="AB2211" s="4"/>
      <c r="AC2211" s="3" t="s">
        <v>6701</v>
      </c>
    </row>
    <row r="2212" spans="1:29" ht="87" customHeight="1">
      <c r="A2212" s="151" t="str">
        <f>'Reported burning'!A2212</f>
        <v>265b</v>
      </c>
      <c r="B2212" s="151" t="str">
        <f>'Reported burning'!B2212</f>
        <v>265b.1</v>
      </c>
      <c r="C2212" s="151" t="str">
        <f>'Reported burning'!C2212</f>
        <v>All</v>
      </c>
      <c r="D2212" s="151" t="str">
        <f>'Reported burning'!D2212</f>
        <v>All</v>
      </c>
      <c r="E2212" s="151" t="str">
        <f>'Reported burning'!E2212</f>
        <v>All</v>
      </c>
      <c r="F2212" s="151" t="str">
        <f>'Reported burning'!F2212</f>
        <v>ND</v>
      </c>
      <c r="G2212" s="151" t="str">
        <f>'Reported burning'!G2212</f>
        <v>ND</v>
      </c>
      <c r="H2212" s="151" t="str">
        <f>'Reported burning'!H2212</f>
        <v>Presence</v>
      </c>
      <c r="I2212" s="4">
        <v>2003</v>
      </c>
      <c r="J2212" s="21" t="s">
        <v>2272</v>
      </c>
      <c r="K2212" s="73" t="s">
        <v>2366</v>
      </c>
      <c r="L2212" s="98" t="s">
        <v>2272</v>
      </c>
      <c r="M2212" s="21" t="s">
        <v>2358</v>
      </c>
      <c r="N2212" s="21" t="s">
        <v>2272</v>
      </c>
      <c r="O2212" s="21" t="s">
        <v>2272</v>
      </c>
      <c r="P2212" s="21" t="s">
        <v>2272</v>
      </c>
      <c r="Q2212" s="21" t="s">
        <v>2272</v>
      </c>
      <c r="R2212" s="21" t="s">
        <v>2272</v>
      </c>
      <c r="S2212" s="21" t="s">
        <v>2272</v>
      </c>
      <c r="T2212" s="21" t="s">
        <v>2272</v>
      </c>
      <c r="U2212" s="21" t="s">
        <v>2272</v>
      </c>
      <c r="V2212" s="21" t="s">
        <v>2272</v>
      </c>
      <c r="W2212" s="21" t="s">
        <v>2272</v>
      </c>
      <c r="X2212" s="21" t="s">
        <v>2272</v>
      </c>
      <c r="Y2212" s="198" t="s">
        <v>84</v>
      </c>
      <c r="Z2212" s="198" t="s">
        <v>403</v>
      </c>
      <c r="AA2212" s="4" t="s">
        <v>2272</v>
      </c>
      <c r="AB2212" s="4"/>
      <c r="AC2212" s="198" t="s">
        <v>6701</v>
      </c>
    </row>
    <row r="2213" spans="1:29" ht="87" customHeight="1">
      <c r="A2213" s="151" t="str">
        <f>'Reported burning'!A2213</f>
        <v>265c</v>
      </c>
      <c r="B2213" s="151" t="str">
        <f>'Reported burning'!B2213</f>
        <v>265c.1</v>
      </c>
      <c r="C2213" s="151" t="str">
        <f>'Reported burning'!C2213</f>
        <v>All</v>
      </c>
      <c r="D2213" s="151" t="str">
        <f>'Reported burning'!D2213</f>
        <v>All</v>
      </c>
      <c r="E2213" s="151" t="str">
        <f>'Reported burning'!E2213</f>
        <v>All</v>
      </c>
      <c r="F2213" s="151" t="str">
        <f>'Reported burning'!F2213</f>
        <v>ND</v>
      </c>
      <c r="G2213" s="151" t="str">
        <f>'Reported burning'!G2213</f>
        <v>ND</v>
      </c>
      <c r="H2213" s="151" t="str">
        <f>'Reported burning'!H2213</f>
        <v>Presence</v>
      </c>
      <c r="I2213" s="4">
        <v>2003</v>
      </c>
      <c r="J2213" s="21" t="s">
        <v>2272</v>
      </c>
      <c r="K2213" s="73" t="s">
        <v>2366</v>
      </c>
      <c r="L2213" s="98" t="s">
        <v>2272</v>
      </c>
      <c r="M2213" s="21" t="s">
        <v>2358</v>
      </c>
      <c r="N2213" s="21" t="s">
        <v>2272</v>
      </c>
      <c r="O2213" s="21" t="s">
        <v>2272</v>
      </c>
      <c r="P2213" s="21" t="s">
        <v>2272</v>
      </c>
      <c r="Q2213" s="21" t="s">
        <v>2272</v>
      </c>
      <c r="R2213" s="21" t="s">
        <v>2272</v>
      </c>
      <c r="S2213" s="21" t="s">
        <v>2272</v>
      </c>
      <c r="T2213" s="21" t="s">
        <v>2272</v>
      </c>
      <c r="U2213" s="21" t="s">
        <v>2272</v>
      </c>
      <c r="V2213" s="21" t="s">
        <v>2272</v>
      </c>
      <c r="W2213" s="21" t="s">
        <v>2272</v>
      </c>
      <c r="X2213" s="21" t="s">
        <v>2272</v>
      </c>
      <c r="Y2213" s="198" t="s">
        <v>84</v>
      </c>
      <c r="Z2213" s="198" t="s">
        <v>403</v>
      </c>
      <c r="AA2213" s="4" t="s">
        <v>2272</v>
      </c>
      <c r="AB2213" s="4"/>
      <c r="AC2213" s="198" t="s">
        <v>6701</v>
      </c>
    </row>
    <row r="2214" spans="1:29" s="197" customFormat="1" ht="87" customHeight="1">
      <c r="A2214" s="151" t="str">
        <f>'Reported burning'!A2214</f>
        <v>265a</v>
      </c>
      <c r="B2214" s="151" t="str">
        <f>'Reported burning'!B2214</f>
        <v>265a.2</v>
      </c>
      <c r="C2214" s="151" t="str">
        <f>'Reported burning'!C2214</f>
        <v>All</v>
      </c>
      <c r="D2214" s="151" t="str">
        <f>'Reported burning'!D2214</f>
        <v>All</v>
      </c>
      <c r="E2214" s="151" t="str">
        <f>'Reported burning'!E2214</f>
        <v>All</v>
      </c>
      <c r="F2214" s="151" t="str">
        <f>'Reported burning'!F2214</f>
        <v>ND</v>
      </c>
      <c r="G2214" s="151" t="str">
        <f>'Reported burning'!G2214</f>
        <v>Forest</v>
      </c>
      <c r="H2214" s="151" t="str">
        <f>'Reported burning'!H2214</f>
        <v>Presence</v>
      </c>
      <c r="I2214" s="198"/>
      <c r="J2214" s="21" t="s">
        <v>2272</v>
      </c>
      <c r="K2214" s="98" t="s">
        <v>2272</v>
      </c>
      <c r="L2214" s="98" t="s">
        <v>2272</v>
      </c>
      <c r="M2214" s="21" t="s">
        <v>2358</v>
      </c>
      <c r="N2214" s="21" t="s">
        <v>2272</v>
      </c>
      <c r="O2214" s="21" t="s">
        <v>2272</v>
      </c>
      <c r="P2214" s="21" t="s">
        <v>2272</v>
      </c>
      <c r="Q2214" s="21" t="s">
        <v>2371</v>
      </c>
      <c r="R2214" s="21" t="s">
        <v>2272</v>
      </c>
      <c r="S2214" s="21" t="s">
        <v>2368</v>
      </c>
      <c r="T2214" s="21" t="s">
        <v>2272</v>
      </c>
      <c r="U2214" s="21" t="s">
        <v>2272</v>
      </c>
      <c r="V2214" s="21" t="s">
        <v>2272</v>
      </c>
      <c r="W2214" s="21" t="s">
        <v>2272</v>
      </c>
      <c r="X2214" s="21" t="s">
        <v>2272</v>
      </c>
      <c r="Y2214" s="198" t="s">
        <v>84</v>
      </c>
      <c r="Z2214" s="198" t="s">
        <v>403</v>
      </c>
      <c r="AA2214" s="4" t="s">
        <v>2272</v>
      </c>
      <c r="AB2214" s="4"/>
      <c r="AC2214" s="4" t="s">
        <v>6697</v>
      </c>
    </row>
    <row r="2215" spans="1:29" s="197" customFormat="1" ht="87" customHeight="1">
      <c r="A2215" s="151" t="str">
        <f>'Reported burning'!A2215</f>
        <v>265b</v>
      </c>
      <c r="B2215" s="151" t="str">
        <f>'Reported burning'!B2215</f>
        <v>265b.2</v>
      </c>
      <c r="C2215" s="151" t="str">
        <f>'Reported burning'!C2215</f>
        <v>All</v>
      </c>
      <c r="D2215" s="151" t="str">
        <f>'Reported burning'!D2215</f>
        <v>All</v>
      </c>
      <c r="E2215" s="151" t="str">
        <f>'Reported burning'!E2215</f>
        <v>All</v>
      </c>
      <c r="F2215" s="151" t="str">
        <f>'Reported burning'!F2215</f>
        <v>ND</v>
      </c>
      <c r="G2215" s="151" t="str">
        <f>'Reported burning'!G2215</f>
        <v>Forest</v>
      </c>
      <c r="H2215" s="151" t="str">
        <f>'Reported burning'!H2215</f>
        <v>Presence</v>
      </c>
      <c r="I2215" s="198"/>
      <c r="J2215" s="21" t="s">
        <v>2272</v>
      </c>
      <c r="K2215" s="98"/>
      <c r="L2215" s="98" t="s">
        <v>2272</v>
      </c>
      <c r="M2215" s="21" t="s">
        <v>2358</v>
      </c>
      <c r="N2215" s="21" t="s">
        <v>2272</v>
      </c>
      <c r="O2215" s="21" t="s">
        <v>2272</v>
      </c>
      <c r="P2215" s="21" t="s">
        <v>2272</v>
      </c>
      <c r="Q2215" s="21" t="s">
        <v>2371</v>
      </c>
      <c r="R2215" s="21" t="s">
        <v>2272</v>
      </c>
      <c r="S2215" s="21" t="s">
        <v>2368</v>
      </c>
      <c r="T2215" s="21" t="s">
        <v>2272</v>
      </c>
      <c r="U2215" s="21" t="s">
        <v>2272</v>
      </c>
      <c r="V2215" s="21" t="s">
        <v>2272</v>
      </c>
      <c r="W2215" s="21" t="s">
        <v>2272</v>
      </c>
      <c r="X2215" s="21" t="s">
        <v>2272</v>
      </c>
      <c r="Y2215" s="198" t="s">
        <v>84</v>
      </c>
      <c r="Z2215" s="198" t="s">
        <v>403</v>
      </c>
      <c r="AA2215" s="4" t="s">
        <v>2272</v>
      </c>
      <c r="AB2215" s="4"/>
      <c r="AC2215" s="4" t="s">
        <v>6697</v>
      </c>
    </row>
    <row r="2216" spans="1:29" s="197" customFormat="1" ht="87" customHeight="1">
      <c r="A2216" s="151" t="str">
        <f>'Reported burning'!A2216</f>
        <v>265c</v>
      </c>
      <c r="B2216" s="151" t="str">
        <f>'Reported burning'!B2216</f>
        <v>265c.2</v>
      </c>
      <c r="C2216" s="151" t="str">
        <f>'Reported burning'!C2216</f>
        <v>All</v>
      </c>
      <c r="D2216" s="151" t="str">
        <f>'Reported burning'!D2216</f>
        <v>All</v>
      </c>
      <c r="E2216" s="151" t="str">
        <f>'Reported burning'!E2216</f>
        <v>All</v>
      </c>
      <c r="F2216" s="151" t="str">
        <f>'Reported burning'!F2216</f>
        <v>ND</v>
      </c>
      <c r="G2216" s="151" t="str">
        <f>'Reported burning'!G2216</f>
        <v>Forest</v>
      </c>
      <c r="H2216" s="151" t="str">
        <f>'Reported burning'!H2216</f>
        <v>Presence</v>
      </c>
      <c r="I2216" s="198"/>
      <c r="J2216" s="21" t="s">
        <v>2272</v>
      </c>
      <c r="K2216" s="98"/>
      <c r="L2216" s="98" t="s">
        <v>2272</v>
      </c>
      <c r="M2216" s="21" t="s">
        <v>2358</v>
      </c>
      <c r="N2216" s="21" t="s">
        <v>2272</v>
      </c>
      <c r="O2216" s="21" t="s">
        <v>2272</v>
      </c>
      <c r="P2216" s="21" t="s">
        <v>2272</v>
      </c>
      <c r="Q2216" s="21" t="s">
        <v>2371</v>
      </c>
      <c r="R2216" s="21" t="s">
        <v>2272</v>
      </c>
      <c r="S2216" s="21" t="s">
        <v>2368</v>
      </c>
      <c r="T2216" s="21" t="s">
        <v>2272</v>
      </c>
      <c r="U2216" s="21" t="s">
        <v>2272</v>
      </c>
      <c r="V2216" s="21" t="s">
        <v>2272</v>
      </c>
      <c r="W2216" s="21" t="s">
        <v>2272</v>
      </c>
      <c r="X2216" s="21" t="s">
        <v>2272</v>
      </c>
      <c r="Y2216" s="198" t="s">
        <v>84</v>
      </c>
      <c r="Z2216" s="198" t="s">
        <v>403</v>
      </c>
      <c r="AA2216" s="4" t="s">
        <v>2272</v>
      </c>
      <c r="AB2216" s="4"/>
      <c r="AC2216" s="4" t="s">
        <v>6697</v>
      </c>
    </row>
    <row r="2217" spans="1:29" s="197" customFormat="1" ht="87" customHeight="1">
      <c r="A2217" s="151" t="str">
        <f>'Reported burning'!A2217</f>
        <v>265a</v>
      </c>
      <c r="B2217" s="151" t="str">
        <f>'Reported burning'!B2217</f>
        <v>265a.3</v>
      </c>
      <c r="C2217" s="151" t="str">
        <f>'Reported burning'!C2217</f>
        <v>All</v>
      </c>
      <c r="D2217" s="151" t="str">
        <f>'Reported burning'!D2217</f>
        <v>All</v>
      </c>
      <c r="E2217" s="151" t="str">
        <f>'Reported burning'!E2217</f>
        <v>All</v>
      </c>
      <c r="F2217" s="151" t="str">
        <f>'Reported burning'!F2217</f>
        <v>ND</v>
      </c>
      <c r="G2217" s="151" t="str">
        <f>'Reported burning'!G2217</f>
        <v>ND</v>
      </c>
      <c r="H2217" s="151" t="str">
        <f>'Reported burning'!H2217</f>
        <v>Presence</v>
      </c>
      <c r="I2217" s="198"/>
      <c r="J2217" s="21" t="s">
        <v>2272</v>
      </c>
      <c r="K2217" s="73" t="s">
        <v>2364</v>
      </c>
      <c r="L2217" s="98" t="s">
        <v>2272</v>
      </c>
      <c r="M2217" s="21" t="s">
        <v>2358</v>
      </c>
      <c r="N2217" s="21" t="s">
        <v>2272</v>
      </c>
      <c r="O2217" s="21" t="s">
        <v>2272</v>
      </c>
      <c r="P2217" s="21" t="s">
        <v>2272</v>
      </c>
      <c r="Q2217" s="21" t="s">
        <v>2272</v>
      </c>
      <c r="R2217" s="21" t="s">
        <v>2272</v>
      </c>
      <c r="S2217" s="21" t="s">
        <v>2272</v>
      </c>
      <c r="T2217" s="21" t="s">
        <v>2272</v>
      </c>
      <c r="U2217" s="21" t="s">
        <v>2272</v>
      </c>
      <c r="V2217" s="21" t="s">
        <v>2272</v>
      </c>
      <c r="W2217" s="21" t="s">
        <v>2272</v>
      </c>
      <c r="X2217" s="21" t="s">
        <v>2272</v>
      </c>
      <c r="Y2217" s="198" t="s">
        <v>84</v>
      </c>
      <c r="Z2217" s="198" t="s">
        <v>403</v>
      </c>
      <c r="AA2217" s="4" t="s">
        <v>2272</v>
      </c>
      <c r="AB2217" s="4"/>
      <c r="AC2217" s="198" t="s">
        <v>6701</v>
      </c>
    </row>
    <row r="2218" spans="1:29" s="197" customFormat="1" ht="87" customHeight="1">
      <c r="A2218" s="151" t="str">
        <f>'Reported burning'!A2218</f>
        <v>265b</v>
      </c>
      <c r="B2218" s="151" t="str">
        <f>'Reported burning'!B2218</f>
        <v>265b.3</v>
      </c>
      <c r="C2218" s="151" t="str">
        <f>'Reported burning'!C2218</f>
        <v>All</v>
      </c>
      <c r="D2218" s="151" t="str">
        <f>'Reported burning'!D2218</f>
        <v>All</v>
      </c>
      <c r="E2218" s="151" t="str">
        <f>'Reported burning'!E2218</f>
        <v>All</v>
      </c>
      <c r="F2218" s="151" t="str">
        <f>'Reported burning'!F2218</f>
        <v>ND</v>
      </c>
      <c r="G2218" s="151" t="str">
        <f>'Reported burning'!G2218</f>
        <v>ND</v>
      </c>
      <c r="H2218" s="151" t="str">
        <f>'Reported burning'!H2218</f>
        <v>Presence</v>
      </c>
      <c r="I2218" s="198"/>
      <c r="J2218" s="21" t="s">
        <v>2272</v>
      </c>
      <c r="K2218" s="73" t="s">
        <v>2364</v>
      </c>
      <c r="L2218" s="98" t="s">
        <v>2272</v>
      </c>
      <c r="M2218" s="21" t="s">
        <v>2358</v>
      </c>
      <c r="N2218" s="21" t="s">
        <v>2272</v>
      </c>
      <c r="O2218" s="21" t="s">
        <v>2272</v>
      </c>
      <c r="P2218" s="21" t="s">
        <v>2272</v>
      </c>
      <c r="Q2218" s="21" t="s">
        <v>2272</v>
      </c>
      <c r="R2218" s="21" t="s">
        <v>2272</v>
      </c>
      <c r="S2218" s="21" t="s">
        <v>2272</v>
      </c>
      <c r="T2218" s="21" t="s">
        <v>2272</v>
      </c>
      <c r="U2218" s="21" t="s">
        <v>2272</v>
      </c>
      <c r="V2218" s="21" t="s">
        <v>2272</v>
      </c>
      <c r="W2218" s="21" t="s">
        <v>2272</v>
      </c>
      <c r="X2218" s="21" t="s">
        <v>2272</v>
      </c>
      <c r="Y2218" s="198" t="s">
        <v>84</v>
      </c>
      <c r="Z2218" s="198" t="s">
        <v>403</v>
      </c>
      <c r="AA2218" s="4" t="s">
        <v>2272</v>
      </c>
      <c r="AB2218" s="4"/>
      <c r="AC2218" s="198" t="s">
        <v>6701</v>
      </c>
    </row>
    <row r="2219" spans="1:29" s="197" customFormat="1" ht="87" customHeight="1">
      <c r="A2219" s="151" t="str">
        <f>'Reported burning'!A2219</f>
        <v>265c</v>
      </c>
      <c r="B2219" s="151" t="str">
        <f>'Reported burning'!B2219</f>
        <v>265c.3</v>
      </c>
      <c r="C2219" s="151" t="str">
        <f>'Reported burning'!C2219</f>
        <v>All</v>
      </c>
      <c r="D2219" s="151" t="str">
        <f>'Reported burning'!D2219</f>
        <v>All</v>
      </c>
      <c r="E2219" s="151" t="str">
        <f>'Reported burning'!E2219</f>
        <v>All</v>
      </c>
      <c r="F2219" s="151" t="str">
        <f>'Reported burning'!F2219</f>
        <v>ND</v>
      </c>
      <c r="G2219" s="151" t="str">
        <f>'Reported burning'!G2219</f>
        <v>ND</v>
      </c>
      <c r="H2219" s="151" t="str">
        <f>'Reported burning'!H2219</f>
        <v>Presence</v>
      </c>
      <c r="I2219" s="198"/>
      <c r="J2219" s="21" t="s">
        <v>2272</v>
      </c>
      <c r="K2219" s="73" t="s">
        <v>2362</v>
      </c>
      <c r="L2219" s="98" t="s">
        <v>2272</v>
      </c>
      <c r="M2219" s="21" t="s">
        <v>2358</v>
      </c>
      <c r="N2219" s="21" t="s">
        <v>2272</v>
      </c>
      <c r="O2219" s="21" t="s">
        <v>2272</v>
      </c>
      <c r="P2219" s="21" t="s">
        <v>2272</v>
      </c>
      <c r="Q2219" s="21" t="s">
        <v>2272</v>
      </c>
      <c r="R2219" s="21" t="s">
        <v>2272</v>
      </c>
      <c r="S2219" s="21" t="s">
        <v>2272</v>
      </c>
      <c r="T2219" s="21" t="s">
        <v>2272</v>
      </c>
      <c r="U2219" s="21" t="s">
        <v>2272</v>
      </c>
      <c r="V2219" s="21" t="s">
        <v>2272</v>
      </c>
      <c r="W2219" s="21" t="s">
        <v>2272</v>
      </c>
      <c r="X2219" s="21" t="s">
        <v>2272</v>
      </c>
      <c r="Y2219" s="198" t="s">
        <v>84</v>
      </c>
      <c r="Z2219" s="198" t="s">
        <v>403</v>
      </c>
      <c r="AA2219" s="4" t="s">
        <v>2272</v>
      </c>
      <c r="AB2219" s="4"/>
      <c r="AC2219" s="198" t="s">
        <v>6701</v>
      </c>
    </row>
    <row r="2220" spans="1:29" s="197" customFormat="1" ht="54" customHeight="1">
      <c r="A2220" s="209" t="str">
        <f>'Reported burning'!A2220</f>
        <v>266a</v>
      </c>
      <c r="B2220" s="209" t="str">
        <f>'Reported burning'!B2220</f>
        <v>266a.1</v>
      </c>
      <c r="C2220" s="209" t="str">
        <f>'Reported burning'!C2220</f>
        <v>All</v>
      </c>
      <c r="D2220" s="209" t="str">
        <f>'Reported burning'!D2220</f>
        <v>All</v>
      </c>
      <c r="E2220" s="209" t="str">
        <f>'Reported burning'!E2220</f>
        <v>All</v>
      </c>
      <c r="F2220" s="209" t="str">
        <f>'Reported burning'!F2220</f>
        <v>ND</v>
      </c>
      <c r="G2220" s="209" t="str">
        <f>'Reported burning'!G2220</f>
        <v>ND</v>
      </c>
      <c r="H2220" s="209" t="str">
        <f>'Reported burning'!H2220</f>
        <v>Presence</v>
      </c>
      <c r="I2220" s="11"/>
      <c r="J2220" s="210" t="s">
        <v>2272</v>
      </c>
      <c r="K2220" s="210" t="s">
        <v>2272</v>
      </c>
      <c r="L2220" s="210" t="s">
        <v>2272</v>
      </c>
      <c r="M2220" s="210" t="s">
        <v>2272</v>
      </c>
      <c r="N2220" s="210" t="s">
        <v>2272</v>
      </c>
      <c r="O2220" s="21" t="s">
        <v>2375</v>
      </c>
      <c r="P2220" s="210" t="s">
        <v>2272</v>
      </c>
      <c r="Q2220" s="210" t="s">
        <v>2272</v>
      </c>
      <c r="R2220" s="210" t="s">
        <v>2272</v>
      </c>
      <c r="S2220" s="210" t="s">
        <v>2272</v>
      </c>
      <c r="T2220" s="210" t="s">
        <v>2272</v>
      </c>
      <c r="U2220" s="210" t="s">
        <v>2272</v>
      </c>
      <c r="V2220" s="210" t="s">
        <v>2272</v>
      </c>
      <c r="W2220" s="210" t="s">
        <v>2272</v>
      </c>
      <c r="X2220" s="210" t="s">
        <v>2272</v>
      </c>
      <c r="Y2220" s="210" t="s">
        <v>2272</v>
      </c>
      <c r="Z2220" s="210" t="s">
        <v>2272</v>
      </c>
      <c r="AA2220" s="210" t="s">
        <v>2272</v>
      </c>
      <c r="AB2220" s="210" t="s">
        <v>2272</v>
      </c>
      <c r="AC2220" s="11"/>
    </row>
    <row r="2221" spans="1:29" s="197" customFormat="1" ht="127.5" customHeight="1">
      <c r="A2221" s="151" t="str">
        <f>'Reported burning'!A2221</f>
        <v>266b</v>
      </c>
      <c r="B2221" s="151" t="str">
        <f>'Reported burning'!B2221</f>
        <v>266b.1</v>
      </c>
      <c r="C2221" s="151" t="str">
        <f>'Reported burning'!C2221</f>
        <v>All</v>
      </c>
      <c r="D2221" s="151" t="str">
        <f>'Reported burning'!D2221</f>
        <v>All</v>
      </c>
      <c r="E2221" s="151" t="str">
        <f>'Reported burning'!E2221</f>
        <v>All</v>
      </c>
      <c r="F2221" s="151" t="str">
        <f>'Reported burning'!F2221</f>
        <v>ND</v>
      </c>
      <c r="G2221" s="151" t="str">
        <f>'Reported burning'!G2221</f>
        <v>ND</v>
      </c>
      <c r="H2221" s="151" t="str">
        <f>'Reported burning'!H2221</f>
        <v>Presence</v>
      </c>
      <c r="I2221" s="198"/>
      <c r="J2221" s="210" t="s">
        <v>2272</v>
      </c>
      <c r="K2221" s="73" t="s">
        <v>2366</v>
      </c>
      <c r="L2221" s="98" t="s">
        <v>2272</v>
      </c>
      <c r="M2221" s="98" t="s">
        <v>2272</v>
      </c>
      <c r="N2221" s="98" t="s">
        <v>2272</v>
      </c>
      <c r="O2221" s="98" t="s">
        <v>2272</v>
      </c>
      <c r="P2221" s="98" t="s">
        <v>2272</v>
      </c>
      <c r="Q2221" s="98" t="s">
        <v>2272</v>
      </c>
      <c r="R2221" s="98" t="s">
        <v>2272</v>
      </c>
      <c r="S2221" s="70" t="s">
        <v>2368</v>
      </c>
      <c r="T2221" s="98" t="s">
        <v>2272</v>
      </c>
      <c r="U2221" s="98" t="s">
        <v>2272</v>
      </c>
      <c r="V2221" s="98" t="s">
        <v>2272</v>
      </c>
      <c r="W2221" s="98" t="s">
        <v>2272</v>
      </c>
      <c r="X2221" s="98" t="s">
        <v>2272</v>
      </c>
      <c r="Y2221" s="98" t="s">
        <v>2272</v>
      </c>
      <c r="Z2221" s="98" t="s">
        <v>2272</v>
      </c>
      <c r="AA2221" s="98" t="s">
        <v>2272</v>
      </c>
      <c r="AB2221" s="19" t="s">
        <v>6793</v>
      </c>
      <c r="AC2221" s="11"/>
    </row>
    <row r="2222" spans="1:29" ht="46" customHeight="1">
      <c r="A2222" s="151" t="str">
        <f>'Reported burning'!A2222</f>
        <v>267a</v>
      </c>
      <c r="B2222" s="151" t="str">
        <f>'Reported burning'!B2222</f>
        <v>267a.1</v>
      </c>
      <c r="C2222" s="151" t="str">
        <f>'Reported burning'!C2222</f>
        <v>Human, escaped</v>
      </c>
      <c r="D2222" s="151" t="str">
        <f>'Reported burning'!D2222</f>
        <v>Crop residue burning</v>
      </c>
      <c r="E2222" s="151" t="str">
        <f>'Reported burning'!E2222</f>
        <v>Mixed cropping-livestock small holder, Market-oriented</v>
      </c>
      <c r="F2222" s="151" t="str">
        <f>'Reported burning'!F2222</f>
        <v>Cropland</v>
      </c>
      <c r="G2222" s="151" t="str">
        <f>'Reported burning'!G2222</f>
        <v>Forest</v>
      </c>
      <c r="H2222" s="151" t="str">
        <f>'Reported burning'!H2222</f>
        <v>Presence</v>
      </c>
      <c r="I2222" s="3"/>
      <c r="J2222" s="4" t="s">
        <v>2272</v>
      </c>
      <c r="K2222" s="4" t="s">
        <v>2272</v>
      </c>
      <c r="L2222" s="4" t="s">
        <v>2272</v>
      </c>
      <c r="M2222" s="4" t="s">
        <v>2272</v>
      </c>
      <c r="N2222" s="4" t="s">
        <v>2272</v>
      </c>
      <c r="O2222" s="4" t="s">
        <v>2272</v>
      </c>
      <c r="P2222" s="4" t="s">
        <v>2272</v>
      </c>
      <c r="Q2222" s="4" t="s">
        <v>2272</v>
      </c>
      <c r="R2222" s="4" t="s">
        <v>2272</v>
      </c>
      <c r="S2222" s="4" t="s">
        <v>2272</v>
      </c>
      <c r="T2222" s="4" t="s">
        <v>2272</v>
      </c>
      <c r="U2222" s="4" t="s">
        <v>2272</v>
      </c>
      <c r="V2222" s="4" t="s">
        <v>2272</v>
      </c>
      <c r="W2222" s="4" t="s">
        <v>2272</v>
      </c>
      <c r="X2222" s="4" t="s">
        <v>2272</v>
      </c>
      <c r="Y2222" s="4" t="s">
        <v>2272</v>
      </c>
      <c r="Z2222" s="4" t="s">
        <v>2272</v>
      </c>
      <c r="AA2222" s="4" t="s">
        <v>2272</v>
      </c>
      <c r="AB2222" s="3"/>
      <c r="AC2222" s="3"/>
    </row>
    <row r="2223" spans="1:29" ht="46" customHeight="1">
      <c r="A2223" s="151" t="str">
        <f>'Reported burning'!A2223</f>
        <v>267a</v>
      </c>
      <c r="B2223" s="151" t="str">
        <f>'Reported burning'!B2223</f>
        <v>267a.2</v>
      </c>
      <c r="C2223" s="151" t="str">
        <f>'Reported burning'!C2223</f>
        <v>Human, escaped</v>
      </c>
      <c r="D2223" s="151" t="str">
        <f>'Reported burning'!D2223</f>
        <v>Forest clearance</v>
      </c>
      <c r="E2223" s="151" t="str">
        <f>'Reported burning'!E2223</f>
        <v>Mixed cropping-livestock small holder, Market-oriented</v>
      </c>
      <c r="F2223" s="151" t="str">
        <f>'Reported burning'!F2223</f>
        <v>Cropland</v>
      </c>
      <c r="G2223" s="151" t="str">
        <f>'Reported burning'!G2223</f>
        <v>Forest</v>
      </c>
      <c r="H2223" s="151"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t="s">
        <v>2272</v>
      </c>
      <c r="Y2223" s="4">
        <v>0</v>
      </c>
      <c r="Z2223" s="4" t="s">
        <v>2272</v>
      </c>
      <c r="AA2223" s="4" t="s">
        <v>2272</v>
      </c>
      <c r="AB2223" s="3"/>
      <c r="AC2223" s="3"/>
    </row>
    <row r="2224" spans="1:29" ht="46" customHeight="1">
      <c r="A2224" s="151" t="str">
        <f>'Reported burning'!A2224</f>
        <v>267a</v>
      </c>
      <c r="B2224" s="151" t="str">
        <f>'Reported burning'!B2224</f>
        <v>267a.3</v>
      </c>
      <c r="C2224" s="151" t="str">
        <f>'Reported burning'!C2224</f>
        <v>Human, deliberate</v>
      </c>
      <c r="D2224" s="151" t="str">
        <f>'Reported burning'!D2224</f>
        <v>Crop residue burning</v>
      </c>
      <c r="E2224" s="151" t="str">
        <f>'Reported burning'!E2224</f>
        <v>Mixed cropping-livestock small holder, Market-oriented</v>
      </c>
      <c r="F2224" s="151" t="str">
        <f>'Reported burning'!F2224</f>
        <v>Cropland</v>
      </c>
      <c r="G2224" s="151" t="str">
        <f>'Reported burning'!G2224</f>
        <v>Cropland</v>
      </c>
      <c r="H2224" s="151" t="str">
        <f>'Reported burning'!H2224</f>
        <v>Presence</v>
      </c>
      <c r="I2224" s="3"/>
      <c r="J2224" s="4" t="s">
        <v>2272</v>
      </c>
      <c r="K2224" s="4" t="s">
        <v>2272</v>
      </c>
      <c r="L2224" s="4" t="s">
        <v>2272</v>
      </c>
      <c r="M2224" s="4" t="s">
        <v>2272</v>
      </c>
      <c r="N2224" s="4" t="s">
        <v>2272</v>
      </c>
      <c r="O2224" s="4" t="s">
        <v>2272</v>
      </c>
      <c r="P2224" s="4" t="s">
        <v>2272</v>
      </c>
      <c r="Q2224" s="4" t="s">
        <v>2272</v>
      </c>
      <c r="R2224" s="4" t="s">
        <v>2272</v>
      </c>
      <c r="S2224" s="4" t="s">
        <v>2272</v>
      </c>
      <c r="T2224" s="4" t="s">
        <v>2272</v>
      </c>
      <c r="U2224" s="4" t="s">
        <v>2272</v>
      </c>
      <c r="V2224" s="4" t="s">
        <v>2272</v>
      </c>
      <c r="W2224" s="4" t="s">
        <v>2272</v>
      </c>
      <c r="X2224" s="4" t="s">
        <v>2272</v>
      </c>
      <c r="Y2224" s="4" t="s">
        <v>2272</v>
      </c>
      <c r="Z2224" s="4" t="s">
        <v>2272</v>
      </c>
      <c r="AA2224" s="4" t="s">
        <v>2272</v>
      </c>
      <c r="AB2224" s="3"/>
      <c r="AC2224" s="3"/>
    </row>
    <row r="2225" spans="1:29" ht="46" customHeight="1">
      <c r="A2225" s="151" t="str">
        <f>'Reported burning'!A2225</f>
        <v>267a</v>
      </c>
      <c r="B2225" s="151" t="str">
        <f>'Reported burning'!B2225</f>
        <v>267a.4</v>
      </c>
      <c r="C2225" s="151" t="str">
        <f>'Reported burning'!C2225</f>
        <v>Human, deliberate</v>
      </c>
      <c r="D2225" s="151" t="str">
        <f>'Reported burning'!D2225</f>
        <v>Forest clearance</v>
      </c>
      <c r="E2225" s="151" t="str">
        <f>'Reported burning'!E2225</f>
        <v>Mixed cropping-livestock small holder, Market-oriented</v>
      </c>
      <c r="F2225" s="151" t="str">
        <f>'Reported burning'!F2225</f>
        <v>Cropland</v>
      </c>
      <c r="G2225" s="151" t="str">
        <f>'Reported burning'!G2225</f>
        <v>Cropland</v>
      </c>
      <c r="H2225" s="151"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t="s">
        <v>2272</v>
      </c>
      <c r="Y2225" s="4">
        <v>0</v>
      </c>
      <c r="Z2225" s="4" t="s">
        <v>2272</v>
      </c>
      <c r="AA2225" s="4" t="s">
        <v>2272</v>
      </c>
      <c r="AB2225" s="3"/>
      <c r="AC2225" s="3"/>
    </row>
    <row r="2226" spans="1:29" ht="46" customHeight="1">
      <c r="A2226" s="151" t="str">
        <f>'Reported burning'!A2226</f>
        <v>267a</v>
      </c>
      <c r="B2226" s="151" t="str">
        <f>'Reported burning'!B2226</f>
        <v>267a.5</v>
      </c>
      <c r="C2226" s="151" t="str">
        <f>'Reported burning'!C2226</f>
        <v>Human, escaped</v>
      </c>
      <c r="D2226" s="151" t="str">
        <f>'Reported burning'!D2226</f>
        <v>Pasture renewal</v>
      </c>
      <c r="E2226" s="151" t="str">
        <f>'Reported burning'!E2226</f>
        <v>Mixed cropping-livestock small holder, Market-oriented</v>
      </c>
      <c r="F2226" s="151" t="str">
        <f>'Reported burning'!F2226</f>
        <v>Pasture</v>
      </c>
      <c r="G2226" s="151" t="str">
        <f>'Reported burning'!G2226</f>
        <v>Cropland</v>
      </c>
      <c r="H2226" s="151" t="str">
        <f>'Reported burning'!H2226</f>
        <v>Presence</v>
      </c>
      <c r="I2226" s="3"/>
      <c r="J2226" s="4" t="s">
        <v>2272</v>
      </c>
      <c r="K2226" s="4" t="s">
        <v>2272</v>
      </c>
      <c r="L2226" s="4" t="s">
        <v>2272</v>
      </c>
      <c r="M2226" s="4" t="s">
        <v>2272</v>
      </c>
      <c r="N2226" s="4" t="s">
        <v>2272</v>
      </c>
      <c r="O2226" s="4" t="s">
        <v>2272</v>
      </c>
      <c r="P2226" s="4" t="s">
        <v>2272</v>
      </c>
      <c r="Q2226" s="4" t="s">
        <v>2272</v>
      </c>
      <c r="R2226" s="4" t="s">
        <v>2272</v>
      </c>
      <c r="S2226" s="4" t="s">
        <v>2272</v>
      </c>
      <c r="T2226" s="4" t="s">
        <v>2272</v>
      </c>
      <c r="U2226" s="4" t="s">
        <v>2272</v>
      </c>
      <c r="V2226" s="4" t="s">
        <v>2272</v>
      </c>
      <c r="W2226" s="4" t="s">
        <v>2272</v>
      </c>
      <c r="X2226" s="4" t="s">
        <v>2272</v>
      </c>
      <c r="Y2226" s="4" t="s">
        <v>2272</v>
      </c>
      <c r="Z2226" s="4" t="s">
        <v>2272</v>
      </c>
      <c r="AA2226" s="4" t="s">
        <v>2272</v>
      </c>
      <c r="AB2226" s="3"/>
      <c r="AC2226" s="3"/>
    </row>
    <row r="2227" spans="1:29" ht="46" customHeight="1">
      <c r="A2227" s="151" t="str">
        <f>'Reported burning'!A2227</f>
        <v>267a</v>
      </c>
      <c r="B2227" s="151" t="str">
        <f>'Reported burning'!B2227</f>
        <v>267a.6</v>
      </c>
      <c r="C2227" s="151" t="str">
        <f>'Reported burning'!C2227</f>
        <v>Human, deliberate</v>
      </c>
      <c r="D2227" s="151" t="str">
        <f>'Reported burning'!D2227</f>
        <v>Pasture renewal</v>
      </c>
      <c r="E2227" s="151" t="str">
        <f>'Reported burning'!E2227</f>
        <v>Mixed cropping-livestock small holder, Market-oriented</v>
      </c>
      <c r="F2227" s="151" t="str">
        <f>'Reported burning'!F2227</f>
        <v>Pasture</v>
      </c>
      <c r="G2227" s="151" t="str">
        <f>'Reported burning'!G2227</f>
        <v>Cropland</v>
      </c>
      <c r="H2227" s="151" t="str">
        <f>'Reported burning'!H2227</f>
        <v>Presence</v>
      </c>
      <c r="I2227" s="3"/>
      <c r="J2227" s="4" t="s">
        <v>2272</v>
      </c>
      <c r="K2227" s="4" t="s">
        <v>2272</v>
      </c>
      <c r="L2227" s="4" t="s">
        <v>2272</v>
      </c>
      <c r="M2227" s="4" t="s">
        <v>2272</v>
      </c>
      <c r="N2227" s="4" t="s">
        <v>2272</v>
      </c>
      <c r="O2227" s="4" t="s">
        <v>2272</v>
      </c>
      <c r="P2227" s="4" t="s">
        <v>2272</v>
      </c>
      <c r="Q2227" s="4" t="s">
        <v>2272</v>
      </c>
      <c r="R2227" s="4" t="s">
        <v>2272</v>
      </c>
      <c r="S2227" s="4" t="s">
        <v>2272</v>
      </c>
      <c r="T2227" s="4" t="s">
        <v>2272</v>
      </c>
      <c r="U2227" s="4" t="s">
        <v>2272</v>
      </c>
      <c r="V2227" s="4" t="s">
        <v>2272</v>
      </c>
      <c r="W2227" s="4" t="s">
        <v>2272</v>
      </c>
      <c r="X2227" s="4" t="s">
        <v>2272</v>
      </c>
      <c r="Y2227" s="4" t="s">
        <v>2272</v>
      </c>
      <c r="Z2227" s="4" t="s">
        <v>2272</v>
      </c>
      <c r="AA2227" s="4" t="s">
        <v>2272</v>
      </c>
      <c r="AB2227" s="3"/>
      <c r="AC2227" s="3"/>
    </row>
    <row r="2228" spans="1:29" ht="46" customHeight="1">
      <c r="A2228" s="151" t="str">
        <f>'Reported burning'!A2228</f>
        <v>267a</v>
      </c>
      <c r="B2228" s="151" t="str">
        <f>'Reported burning'!B2228</f>
        <v>267a.7</v>
      </c>
      <c r="C2228" s="151" t="str">
        <f>'Reported burning'!C2228</f>
        <v>Human, deliberate</v>
      </c>
      <c r="D2228" s="151" t="str">
        <f>'Reported burning'!D2228</f>
        <v>Arson</v>
      </c>
      <c r="E2228" s="151" t="str">
        <f>'Reported burning'!E2228</f>
        <v>Mixed cropping-livestock small holder, Market-oriented</v>
      </c>
      <c r="F2228" s="151" t="str">
        <f>'Reported burning'!F2228</f>
        <v>ND</v>
      </c>
      <c r="G2228" s="151" t="str">
        <f>'Reported burning'!G2228</f>
        <v>ND</v>
      </c>
      <c r="H2228" s="151" t="str">
        <f>'Reported burning'!H2228</f>
        <v>Presence</v>
      </c>
      <c r="I2228" s="3"/>
      <c r="J2228" s="4" t="s">
        <v>2272</v>
      </c>
      <c r="K2228" s="4" t="s">
        <v>2272</v>
      </c>
      <c r="L2228" s="4" t="s">
        <v>2272</v>
      </c>
      <c r="M2228" s="4" t="s">
        <v>2272</v>
      </c>
      <c r="N2228" s="4" t="s">
        <v>2272</v>
      </c>
      <c r="O2228" s="4" t="s">
        <v>2272</v>
      </c>
      <c r="P2228" s="4" t="s">
        <v>2272</v>
      </c>
      <c r="Q2228" s="4" t="s">
        <v>2272</v>
      </c>
      <c r="R2228" s="4" t="s">
        <v>2272</v>
      </c>
      <c r="S2228" s="4" t="s">
        <v>2272</v>
      </c>
      <c r="T2228" s="4" t="s">
        <v>2272</v>
      </c>
      <c r="U2228" s="4" t="s">
        <v>2272</v>
      </c>
      <c r="V2228" s="4" t="s">
        <v>2272</v>
      </c>
      <c r="W2228" s="4" t="s">
        <v>2272</v>
      </c>
      <c r="X2228" s="4" t="s">
        <v>2272</v>
      </c>
      <c r="Y2228" s="4" t="s">
        <v>2272</v>
      </c>
      <c r="Z2228" s="4" t="s">
        <v>2272</v>
      </c>
      <c r="AA2228" s="4" t="s">
        <v>2272</v>
      </c>
      <c r="AB2228" s="3"/>
      <c r="AC2228" s="3"/>
    </row>
    <row r="2229" spans="1:29" ht="46" customHeight="1">
      <c r="A2229" s="151" t="str">
        <f>'Reported burning'!A2229</f>
        <v>267b</v>
      </c>
      <c r="B2229" s="151" t="str">
        <f>'Reported burning'!B2229</f>
        <v>267b.1</v>
      </c>
      <c r="C2229" s="151" t="str">
        <f>'Reported burning'!C2229</f>
        <v>Human, escaped</v>
      </c>
      <c r="D2229" s="151" t="str">
        <f>'Reported burning'!D2229</f>
        <v>Crop residue burning</v>
      </c>
      <c r="E2229" s="151" t="str">
        <f>'Reported burning'!E2229</f>
        <v>Mixed cropping-livestock small holder, Market-oriented</v>
      </c>
      <c r="F2229" s="151" t="str">
        <f>'Reported burning'!F2229</f>
        <v>Cropland</v>
      </c>
      <c r="G2229" s="151" t="str">
        <f>'Reported burning'!G2229</f>
        <v>Forest</v>
      </c>
      <c r="H2229" s="151" t="str">
        <f>'Reported burning'!H2229</f>
        <v>Presence</v>
      </c>
      <c r="I2229" s="3"/>
      <c r="J2229" s="4" t="s">
        <v>2272</v>
      </c>
      <c r="K2229" s="4" t="s">
        <v>2272</v>
      </c>
      <c r="L2229" s="4" t="s">
        <v>2272</v>
      </c>
      <c r="M2229" s="4" t="s">
        <v>2272</v>
      </c>
      <c r="N2229" s="4" t="s">
        <v>2272</v>
      </c>
      <c r="O2229" s="4" t="s">
        <v>2272</v>
      </c>
      <c r="P2229" s="4" t="s">
        <v>2272</v>
      </c>
      <c r="Q2229" s="4" t="s">
        <v>2272</v>
      </c>
      <c r="R2229" s="4" t="s">
        <v>2272</v>
      </c>
      <c r="S2229" s="4" t="s">
        <v>2272</v>
      </c>
      <c r="T2229" s="4" t="s">
        <v>2272</v>
      </c>
      <c r="U2229" s="4" t="s">
        <v>2272</v>
      </c>
      <c r="V2229" s="4" t="s">
        <v>2272</v>
      </c>
      <c r="W2229" s="4" t="s">
        <v>2272</v>
      </c>
      <c r="X2229" s="4" t="s">
        <v>2272</v>
      </c>
      <c r="Y2229" s="4" t="s">
        <v>2272</v>
      </c>
      <c r="Z2229" s="4" t="s">
        <v>2272</v>
      </c>
      <c r="AA2229" s="4" t="s">
        <v>2272</v>
      </c>
      <c r="AB2229" s="3"/>
      <c r="AC2229" s="3"/>
    </row>
    <row r="2230" spans="1:29" ht="46" customHeight="1">
      <c r="A2230" s="151" t="str">
        <f>'Reported burning'!A2230</f>
        <v>267b</v>
      </c>
      <c r="B2230" s="151" t="str">
        <f>'Reported burning'!B2230</f>
        <v>267b.2</v>
      </c>
      <c r="C2230" s="151" t="str">
        <f>'Reported burning'!C2230</f>
        <v>Human, escaped</v>
      </c>
      <c r="D2230" s="151" t="str">
        <f>'Reported burning'!D2230</f>
        <v>Forest clearance</v>
      </c>
      <c r="E2230" s="151" t="str">
        <f>'Reported burning'!E2230</f>
        <v>Mixed cropping-livestock small holder, Market-oriented</v>
      </c>
      <c r="F2230" s="151" t="str">
        <f>'Reported burning'!F2230</f>
        <v>Cropland</v>
      </c>
      <c r="G2230" s="151" t="str">
        <f>'Reported burning'!G2230</f>
        <v>Forest</v>
      </c>
      <c r="H2230" s="151"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t="s">
        <v>2272</v>
      </c>
      <c r="Y2230" s="4">
        <v>0</v>
      </c>
      <c r="Z2230" s="4" t="s">
        <v>2272</v>
      </c>
      <c r="AA2230" s="4" t="s">
        <v>2272</v>
      </c>
      <c r="AB2230" s="3"/>
      <c r="AC2230" s="3"/>
    </row>
    <row r="2231" spans="1:29" ht="46" customHeight="1">
      <c r="A2231" s="151" t="str">
        <f>'Reported burning'!A2231</f>
        <v>267b</v>
      </c>
      <c r="B2231" s="151" t="str">
        <f>'Reported burning'!B2231</f>
        <v>267b.3</v>
      </c>
      <c r="C2231" s="151" t="str">
        <f>'Reported burning'!C2231</f>
        <v>Human, deliberate</v>
      </c>
      <c r="D2231" s="151" t="str">
        <f>'Reported burning'!D2231</f>
        <v>Crop residue burning</v>
      </c>
      <c r="E2231" s="151" t="str">
        <f>'Reported burning'!E2231</f>
        <v>Mixed cropping-livestock small holder, Market-oriented</v>
      </c>
      <c r="F2231" s="151" t="str">
        <f>'Reported burning'!F2231</f>
        <v>Cropland</v>
      </c>
      <c r="G2231" s="151" t="str">
        <f>'Reported burning'!G2231</f>
        <v>Cropland</v>
      </c>
      <c r="H2231" s="151" t="str">
        <f>'Reported burning'!H2231</f>
        <v>Presence</v>
      </c>
      <c r="I2231" s="3"/>
      <c r="J2231" s="4" t="s">
        <v>2272</v>
      </c>
      <c r="K2231" s="4" t="s">
        <v>2272</v>
      </c>
      <c r="L2231" s="4" t="s">
        <v>2272</v>
      </c>
      <c r="M2231" s="4" t="s">
        <v>2272</v>
      </c>
      <c r="N2231" s="4" t="s">
        <v>2272</v>
      </c>
      <c r="O2231" s="4" t="s">
        <v>2272</v>
      </c>
      <c r="P2231" s="4" t="s">
        <v>2272</v>
      </c>
      <c r="Q2231" s="4" t="s">
        <v>2272</v>
      </c>
      <c r="R2231" s="4" t="s">
        <v>2272</v>
      </c>
      <c r="S2231" s="4" t="s">
        <v>2272</v>
      </c>
      <c r="T2231" s="4" t="s">
        <v>2272</v>
      </c>
      <c r="U2231" s="4" t="s">
        <v>2272</v>
      </c>
      <c r="V2231" s="4" t="s">
        <v>2272</v>
      </c>
      <c r="W2231" s="4" t="s">
        <v>2272</v>
      </c>
      <c r="X2231" s="4" t="s">
        <v>2272</v>
      </c>
      <c r="Y2231" s="4" t="s">
        <v>2272</v>
      </c>
      <c r="Z2231" s="4" t="s">
        <v>2272</v>
      </c>
      <c r="AA2231" s="4" t="s">
        <v>2272</v>
      </c>
      <c r="AB2231" s="3"/>
      <c r="AC2231" s="3"/>
    </row>
    <row r="2232" spans="1:29" ht="46" customHeight="1">
      <c r="A2232" s="151" t="str">
        <f>'Reported burning'!A2232</f>
        <v>267b</v>
      </c>
      <c r="B2232" s="151" t="str">
        <f>'Reported burning'!B2232</f>
        <v>267b.4</v>
      </c>
      <c r="C2232" s="151" t="str">
        <f>'Reported burning'!C2232</f>
        <v>Human, deliberate</v>
      </c>
      <c r="D2232" s="151" t="str">
        <f>'Reported burning'!D2232</f>
        <v>Forest clearance</v>
      </c>
      <c r="E2232" s="151" t="str">
        <f>'Reported burning'!E2232</f>
        <v>Mixed cropping-livestock small holder, Market-oriented</v>
      </c>
      <c r="F2232" s="151" t="str">
        <f>'Reported burning'!F2232</f>
        <v>Cropland</v>
      </c>
      <c r="G2232" s="151" t="str">
        <f>'Reported burning'!G2232</f>
        <v>Cropland</v>
      </c>
      <c r="H2232" s="151"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t="s">
        <v>2272</v>
      </c>
      <c r="Y2232" s="4">
        <v>0</v>
      </c>
      <c r="Z2232" s="4" t="s">
        <v>2272</v>
      </c>
      <c r="AA2232" s="4" t="s">
        <v>2272</v>
      </c>
      <c r="AB2232" s="3"/>
      <c r="AC2232" s="3"/>
    </row>
    <row r="2233" spans="1:29" ht="46" customHeight="1">
      <c r="A2233" s="151" t="str">
        <f>'Reported burning'!A2233</f>
        <v>267b</v>
      </c>
      <c r="B2233" s="151" t="str">
        <f>'Reported burning'!B2233</f>
        <v>267b.5</v>
      </c>
      <c r="C2233" s="151" t="str">
        <f>'Reported burning'!C2233</f>
        <v>Human, escaped</v>
      </c>
      <c r="D2233" s="151" t="str">
        <f>'Reported burning'!D2233</f>
        <v>Pasture renewal</v>
      </c>
      <c r="E2233" s="151" t="str">
        <f>'Reported burning'!E2233</f>
        <v>Mixed cropping-livestock small holder, Market-oriented</v>
      </c>
      <c r="F2233" s="151" t="str">
        <f>'Reported burning'!F2233</f>
        <v>Pasture</v>
      </c>
      <c r="G2233" s="151" t="str">
        <f>'Reported burning'!G2233</f>
        <v>Cropland</v>
      </c>
      <c r="H2233" s="151" t="str">
        <f>'Reported burning'!H2233</f>
        <v>Presence</v>
      </c>
      <c r="I2233" s="3"/>
      <c r="J2233" s="4" t="s">
        <v>2272</v>
      </c>
      <c r="K2233" s="4" t="s">
        <v>2272</v>
      </c>
      <c r="L2233" s="4" t="s">
        <v>2272</v>
      </c>
      <c r="M2233" s="4" t="s">
        <v>2272</v>
      </c>
      <c r="N2233" s="4" t="s">
        <v>2272</v>
      </c>
      <c r="O2233" s="4" t="s">
        <v>2272</v>
      </c>
      <c r="P2233" s="4" t="s">
        <v>2272</v>
      </c>
      <c r="Q2233" s="4" t="s">
        <v>2272</v>
      </c>
      <c r="R2233" s="4" t="s">
        <v>2272</v>
      </c>
      <c r="S2233" s="4" t="s">
        <v>2272</v>
      </c>
      <c r="T2233" s="4" t="s">
        <v>2272</v>
      </c>
      <c r="U2233" s="4" t="s">
        <v>2272</v>
      </c>
      <c r="V2233" s="4" t="s">
        <v>2272</v>
      </c>
      <c r="W2233" s="4" t="s">
        <v>2272</v>
      </c>
      <c r="X2233" s="4" t="s">
        <v>2272</v>
      </c>
      <c r="Y2233" s="4" t="s">
        <v>2272</v>
      </c>
      <c r="Z2233" s="4" t="s">
        <v>2272</v>
      </c>
      <c r="AA2233" s="4" t="s">
        <v>2272</v>
      </c>
      <c r="AB2233" s="3"/>
      <c r="AC2233" s="3"/>
    </row>
    <row r="2234" spans="1:29" ht="46" customHeight="1">
      <c r="A2234" s="151" t="str">
        <f>'Reported burning'!A2234</f>
        <v>267b</v>
      </c>
      <c r="B2234" s="151" t="str">
        <f>'Reported burning'!B2234</f>
        <v>267b.6</v>
      </c>
      <c r="C2234" s="151" t="str">
        <f>'Reported burning'!C2234</f>
        <v>Human, deliberate</v>
      </c>
      <c r="D2234" s="151" t="str">
        <f>'Reported burning'!D2234</f>
        <v>Pasture renewal</v>
      </c>
      <c r="E2234" s="151" t="str">
        <f>'Reported burning'!E2234</f>
        <v>Mixed cropping-livestock small holder, Market-oriented</v>
      </c>
      <c r="F2234" s="151" t="str">
        <f>'Reported burning'!F2234</f>
        <v>Pasture</v>
      </c>
      <c r="G2234" s="151" t="str">
        <f>'Reported burning'!G2234</f>
        <v>Cropland</v>
      </c>
      <c r="H2234" s="151" t="str">
        <f>'Reported burning'!H2234</f>
        <v>Presence</v>
      </c>
      <c r="I2234" s="3"/>
      <c r="J2234" s="4" t="s">
        <v>2272</v>
      </c>
      <c r="K2234" s="4" t="s">
        <v>2272</v>
      </c>
      <c r="L2234" s="4" t="s">
        <v>2272</v>
      </c>
      <c r="M2234" s="4" t="s">
        <v>2272</v>
      </c>
      <c r="N2234" s="4" t="s">
        <v>2272</v>
      </c>
      <c r="O2234" s="4" t="s">
        <v>2272</v>
      </c>
      <c r="P2234" s="4" t="s">
        <v>2272</v>
      </c>
      <c r="Q2234" s="4" t="s">
        <v>2272</v>
      </c>
      <c r="R2234" s="4" t="s">
        <v>2272</v>
      </c>
      <c r="S2234" s="4" t="s">
        <v>2272</v>
      </c>
      <c r="T2234" s="4" t="s">
        <v>2272</v>
      </c>
      <c r="U2234" s="4" t="s">
        <v>2272</v>
      </c>
      <c r="V2234" s="4" t="s">
        <v>2272</v>
      </c>
      <c r="W2234" s="4" t="s">
        <v>2272</v>
      </c>
      <c r="X2234" s="4" t="s">
        <v>2272</v>
      </c>
      <c r="Y2234" s="4" t="s">
        <v>2272</v>
      </c>
      <c r="Z2234" s="4" t="s">
        <v>2272</v>
      </c>
      <c r="AA2234" s="4" t="s">
        <v>2272</v>
      </c>
      <c r="AB2234" s="3"/>
      <c r="AC2234" s="3"/>
    </row>
    <row r="2235" spans="1:29" ht="46" customHeight="1">
      <c r="A2235" s="151" t="str">
        <f>'Reported burning'!A2235</f>
        <v>267b</v>
      </c>
      <c r="B2235" s="151" t="str">
        <f>'Reported burning'!B2235</f>
        <v>267b.7</v>
      </c>
      <c r="C2235" s="151" t="str">
        <f>'Reported burning'!C2235</f>
        <v>Human, deliberate</v>
      </c>
      <c r="D2235" s="151" t="str">
        <f>'Reported burning'!D2235</f>
        <v>Arson</v>
      </c>
      <c r="E2235" s="151" t="str">
        <f>'Reported burning'!E2235</f>
        <v>Mixed cropping-livestock small holder, Market-oriented</v>
      </c>
      <c r="F2235" s="151" t="str">
        <f>'Reported burning'!F2235</f>
        <v>ND</v>
      </c>
      <c r="G2235" s="151" t="str">
        <f>'Reported burning'!G2235</f>
        <v>ND</v>
      </c>
      <c r="H2235" s="151" t="str">
        <f>'Reported burning'!H2235</f>
        <v>Presence</v>
      </c>
      <c r="I2235" s="3"/>
      <c r="J2235" s="4" t="s">
        <v>2272</v>
      </c>
      <c r="K2235" s="4" t="s">
        <v>2272</v>
      </c>
      <c r="L2235" s="4" t="s">
        <v>2272</v>
      </c>
      <c r="M2235" s="4" t="s">
        <v>2272</v>
      </c>
      <c r="N2235" s="4" t="s">
        <v>2272</v>
      </c>
      <c r="O2235" s="4" t="s">
        <v>2272</v>
      </c>
      <c r="P2235" s="4" t="s">
        <v>2272</v>
      </c>
      <c r="Q2235" s="4" t="s">
        <v>2272</v>
      </c>
      <c r="R2235" s="4" t="s">
        <v>2272</v>
      </c>
      <c r="S2235" s="4" t="s">
        <v>2272</v>
      </c>
      <c r="T2235" s="4" t="s">
        <v>2272</v>
      </c>
      <c r="U2235" s="4" t="s">
        <v>2272</v>
      </c>
      <c r="V2235" s="4" t="s">
        <v>2272</v>
      </c>
      <c r="W2235" s="4" t="s">
        <v>2272</v>
      </c>
      <c r="X2235" s="4" t="s">
        <v>2272</v>
      </c>
      <c r="Y2235" s="4" t="s">
        <v>2272</v>
      </c>
      <c r="Z2235" s="4" t="s">
        <v>2272</v>
      </c>
      <c r="AA2235" s="4" t="s">
        <v>2272</v>
      </c>
      <c r="AB2235" s="3"/>
      <c r="AC2235" s="3"/>
    </row>
    <row r="2236" spans="1:29" ht="46" customHeight="1">
      <c r="A2236" s="151" t="str">
        <f>'Reported burning'!A2236</f>
        <v>267c</v>
      </c>
      <c r="B2236" s="151" t="str">
        <f>'Reported burning'!B2236</f>
        <v>267c.1</v>
      </c>
      <c r="C2236" s="151" t="str">
        <f>'Reported burning'!C2236</f>
        <v>Human, escaped</v>
      </c>
      <c r="D2236" s="151" t="str">
        <f>'Reported burning'!D2236</f>
        <v>Crop residue burning</v>
      </c>
      <c r="E2236" s="151" t="str">
        <f>'Reported burning'!E2236</f>
        <v>Mixed cropping-livestock small holder, Market-oriented</v>
      </c>
      <c r="F2236" s="151" t="str">
        <f>'Reported burning'!F2236</f>
        <v>Cropland</v>
      </c>
      <c r="G2236" s="151" t="str">
        <f>'Reported burning'!G2236</f>
        <v>Forest</v>
      </c>
      <c r="H2236" s="151" t="str">
        <f>'Reported burning'!H2236</f>
        <v>Presence</v>
      </c>
      <c r="I2236" s="3"/>
      <c r="J2236" s="4" t="s">
        <v>2272</v>
      </c>
      <c r="K2236" s="4" t="s">
        <v>2272</v>
      </c>
      <c r="L2236" s="4" t="s">
        <v>2272</v>
      </c>
      <c r="M2236" s="4" t="s">
        <v>2272</v>
      </c>
      <c r="N2236" s="4" t="s">
        <v>2272</v>
      </c>
      <c r="O2236" s="4" t="s">
        <v>2272</v>
      </c>
      <c r="P2236" s="4" t="s">
        <v>2272</v>
      </c>
      <c r="Q2236" s="4" t="s">
        <v>2272</v>
      </c>
      <c r="R2236" s="4" t="s">
        <v>2272</v>
      </c>
      <c r="S2236" s="4" t="s">
        <v>2272</v>
      </c>
      <c r="T2236" s="4" t="s">
        <v>2272</v>
      </c>
      <c r="U2236" s="4" t="s">
        <v>2272</v>
      </c>
      <c r="V2236" s="4" t="s">
        <v>2272</v>
      </c>
      <c r="W2236" s="4" t="s">
        <v>2272</v>
      </c>
      <c r="X2236" s="4" t="s">
        <v>2272</v>
      </c>
      <c r="Y2236" s="4" t="s">
        <v>2272</v>
      </c>
      <c r="Z2236" s="4" t="s">
        <v>2272</v>
      </c>
      <c r="AA2236" s="4" t="s">
        <v>2272</v>
      </c>
      <c r="AB2236" s="3"/>
      <c r="AC2236" s="3"/>
    </row>
    <row r="2237" spans="1:29" ht="46" customHeight="1">
      <c r="A2237" s="151" t="str">
        <f>'Reported burning'!A2237</f>
        <v>267c</v>
      </c>
      <c r="B2237" s="151" t="str">
        <f>'Reported burning'!B2237</f>
        <v>267c.2</v>
      </c>
      <c r="C2237" s="151" t="str">
        <f>'Reported burning'!C2237</f>
        <v>Human, escaped</v>
      </c>
      <c r="D2237" s="151" t="str">
        <f>'Reported burning'!D2237</f>
        <v>Forest clearance</v>
      </c>
      <c r="E2237" s="151" t="str">
        <f>'Reported burning'!E2237</f>
        <v>Mixed cropping-livestock small holder, Market-oriented</v>
      </c>
      <c r="F2237" s="151" t="str">
        <f>'Reported burning'!F2237</f>
        <v>Cropland</v>
      </c>
      <c r="G2237" s="151" t="str">
        <f>'Reported burning'!G2237</f>
        <v>Forest</v>
      </c>
      <c r="H2237" s="151"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t="s">
        <v>2272</v>
      </c>
      <c r="Y2237" s="4">
        <v>0</v>
      </c>
      <c r="Z2237" s="4" t="s">
        <v>2272</v>
      </c>
      <c r="AA2237" s="4" t="s">
        <v>2272</v>
      </c>
      <c r="AB2237" s="3"/>
      <c r="AC2237" s="3"/>
    </row>
    <row r="2238" spans="1:29" ht="46" customHeight="1">
      <c r="A2238" s="151" t="str">
        <f>'Reported burning'!A2238</f>
        <v>267c</v>
      </c>
      <c r="B2238" s="151" t="str">
        <f>'Reported burning'!B2238</f>
        <v>267c.3</v>
      </c>
      <c r="C2238" s="151" t="str">
        <f>'Reported burning'!C2238</f>
        <v>Human, deliberate</v>
      </c>
      <c r="D2238" s="151" t="str">
        <f>'Reported burning'!D2238</f>
        <v>Crop residue burning</v>
      </c>
      <c r="E2238" s="151" t="str">
        <f>'Reported burning'!E2238</f>
        <v>Mixed cropping-livestock small holder, Market-oriented</v>
      </c>
      <c r="F2238" s="151" t="str">
        <f>'Reported burning'!F2238</f>
        <v>Cropland</v>
      </c>
      <c r="G2238" s="151" t="str">
        <f>'Reported burning'!G2238</f>
        <v>Cropland</v>
      </c>
      <c r="H2238" s="151" t="str">
        <f>'Reported burning'!H2238</f>
        <v>Presence</v>
      </c>
      <c r="I2238" s="3"/>
      <c r="J2238" s="4" t="s">
        <v>2272</v>
      </c>
      <c r="K2238" s="4" t="s">
        <v>2272</v>
      </c>
      <c r="L2238" s="4" t="s">
        <v>2272</v>
      </c>
      <c r="M2238" s="4" t="s">
        <v>2272</v>
      </c>
      <c r="N2238" s="4" t="s">
        <v>2272</v>
      </c>
      <c r="O2238" s="4" t="s">
        <v>2272</v>
      </c>
      <c r="P2238" s="4" t="s">
        <v>2272</v>
      </c>
      <c r="Q2238" s="4" t="s">
        <v>2272</v>
      </c>
      <c r="R2238" s="4" t="s">
        <v>2272</v>
      </c>
      <c r="S2238" s="4" t="s">
        <v>2272</v>
      </c>
      <c r="T2238" s="4" t="s">
        <v>2272</v>
      </c>
      <c r="U2238" s="4" t="s">
        <v>2272</v>
      </c>
      <c r="V2238" s="4" t="s">
        <v>2272</v>
      </c>
      <c r="W2238" s="4" t="s">
        <v>2272</v>
      </c>
      <c r="X2238" s="4" t="s">
        <v>2272</v>
      </c>
      <c r="Y2238" s="4" t="s">
        <v>2272</v>
      </c>
      <c r="Z2238" s="4" t="s">
        <v>2272</v>
      </c>
      <c r="AA2238" s="4" t="s">
        <v>2272</v>
      </c>
      <c r="AB2238" s="3"/>
      <c r="AC2238" s="3"/>
    </row>
    <row r="2239" spans="1:29" ht="46" customHeight="1">
      <c r="A2239" s="151" t="str">
        <f>'Reported burning'!A2239</f>
        <v>267c</v>
      </c>
      <c r="B2239" s="151" t="str">
        <f>'Reported burning'!B2239</f>
        <v>267c.4</v>
      </c>
      <c r="C2239" s="151" t="str">
        <f>'Reported burning'!C2239</f>
        <v>Human, deliberate</v>
      </c>
      <c r="D2239" s="151" t="str">
        <f>'Reported burning'!D2239</f>
        <v>Forest clearance</v>
      </c>
      <c r="E2239" s="151" t="str">
        <f>'Reported burning'!E2239</f>
        <v>Mixed cropping-livestock small holder, Market-oriented</v>
      </c>
      <c r="F2239" s="151" t="str">
        <f>'Reported burning'!F2239</f>
        <v>Cropland</v>
      </c>
      <c r="G2239" s="151" t="str">
        <f>'Reported burning'!G2239</f>
        <v>Cropland</v>
      </c>
      <c r="H2239" s="151"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t="s">
        <v>2272</v>
      </c>
      <c r="Y2239" s="4">
        <v>0</v>
      </c>
      <c r="Z2239" s="4" t="s">
        <v>2272</v>
      </c>
      <c r="AA2239" s="4" t="s">
        <v>2272</v>
      </c>
      <c r="AB2239" s="3"/>
      <c r="AC2239" s="3"/>
    </row>
    <row r="2240" spans="1:29" s="197" customFormat="1" ht="46" customHeight="1">
      <c r="A2240" s="151" t="str">
        <f>'Reported burning'!A2240</f>
        <v>267c</v>
      </c>
      <c r="B2240" s="151" t="str">
        <f>'Reported burning'!B2240</f>
        <v>267c.5</v>
      </c>
      <c r="C2240" s="151" t="str">
        <f>'Reported burning'!C2240</f>
        <v>Human, escaped</v>
      </c>
      <c r="D2240" s="151" t="str">
        <f>'Reported burning'!D2240</f>
        <v>Pasture renewal</v>
      </c>
      <c r="E2240" s="151" t="str">
        <f>'Reported burning'!E2240</f>
        <v>Mixed cropping-livestock small holder, Market-oriented</v>
      </c>
      <c r="F2240" s="151" t="str">
        <f>'Reported burning'!F2240</f>
        <v>Pasture</v>
      </c>
      <c r="G2240" s="151" t="str">
        <f>'Reported burning'!G2240</f>
        <v>Cropland</v>
      </c>
      <c r="H2240" s="151" t="str">
        <f>'Reported burning'!H2240</f>
        <v>Presence</v>
      </c>
      <c r="I2240" s="198"/>
      <c r="J2240" s="4" t="s">
        <v>2272</v>
      </c>
      <c r="K2240" s="4" t="s">
        <v>2272</v>
      </c>
      <c r="L2240" s="4" t="s">
        <v>2272</v>
      </c>
      <c r="M2240" s="4" t="s">
        <v>2272</v>
      </c>
      <c r="N2240" s="4" t="s">
        <v>2272</v>
      </c>
      <c r="O2240" s="4" t="s">
        <v>2272</v>
      </c>
      <c r="P2240" s="4" t="s">
        <v>2272</v>
      </c>
      <c r="Q2240" s="4" t="s">
        <v>2272</v>
      </c>
      <c r="R2240" s="4" t="s">
        <v>2272</v>
      </c>
      <c r="S2240" s="4" t="s">
        <v>2272</v>
      </c>
      <c r="T2240" s="4" t="s">
        <v>2272</v>
      </c>
      <c r="U2240" s="4" t="s">
        <v>2272</v>
      </c>
      <c r="V2240" s="4" t="s">
        <v>2272</v>
      </c>
      <c r="W2240" s="4" t="s">
        <v>2272</v>
      </c>
      <c r="X2240" s="4" t="s">
        <v>2272</v>
      </c>
      <c r="Y2240" s="4" t="s">
        <v>2272</v>
      </c>
      <c r="Z2240" s="4" t="s">
        <v>2272</v>
      </c>
      <c r="AA2240" s="4" t="s">
        <v>2272</v>
      </c>
      <c r="AB2240" s="198"/>
      <c r="AC2240" s="198"/>
    </row>
    <row r="2241" spans="1:29" s="197" customFormat="1" ht="46" customHeight="1">
      <c r="A2241" s="151" t="str">
        <f>'Reported burning'!A2241</f>
        <v>267c</v>
      </c>
      <c r="B2241" s="151" t="str">
        <f>'Reported burning'!B2241</f>
        <v>267c.6</v>
      </c>
      <c r="C2241" s="151" t="str">
        <f>'Reported burning'!C2241</f>
        <v>Human, deliberate</v>
      </c>
      <c r="D2241" s="151" t="str">
        <f>'Reported burning'!D2241</f>
        <v>Pasture renewal</v>
      </c>
      <c r="E2241" s="151" t="str">
        <f>'Reported burning'!E2241</f>
        <v>Mixed cropping-livestock small holder, Market-oriented</v>
      </c>
      <c r="F2241" s="151" t="str">
        <f>'Reported burning'!F2241</f>
        <v>Pasture</v>
      </c>
      <c r="G2241" s="151" t="str">
        <f>'Reported burning'!G2241</f>
        <v>Cropland</v>
      </c>
      <c r="H2241" s="151" t="str">
        <f>'Reported burning'!H2241</f>
        <v>Presence</v>
      </c>
      <c r="I2241" s="198"/>
      <c r="J2241" s="4" t="s">
        <v>2272</v>
      </c>
      <c r="K2241" s="4" t="s">
        <v>2272</v>
      </c>
      <c r="L2241" s="4" t="s">
        <v>2272</v>
      </c>
      <c r="M2241" s="4" t="s">
        <v>2272</v>
      </c>
      <c r="N2241" s="4" t="s">
        <v>2272</v>
      </c>
      <c r="O2241" s="4" t="s">
        <v>2272</v>
      </c>
      <c r="P2241" s="4" t="s">
        <v>2272</v>
      </c>
      <c r="Q2241" s="4" t="s">
        <v>2272</v>
      </c>
      <c r="R2241" s="4" t="s">
        <v>2272</v>
      </c>
      <c r="S2241" s="4" t="s">
        <v>2272</v>
      </c>
      <c r="T2241" s="4" t="s">
        <v>2272</v>
      </c>
      <c r="U2241" s="4" t="s">
        <v>2272</v>
      </c>
      <c r="V2241" s="4" t="s">
        <v>2272</v>
      </c>
      <c r="W2241" s="4" t="s">
        <v>2272</v>
      </c>
      <c r="X2241" s="4" t="s">
        <v>2272</v>
      </c>
      <c r="Y2241" s="4" t="s">
        <v>2272</v>
      </c>
      <c r="Z2241" s="4" t="s">
        <v>2272</v>
      </c>
      <c r="AA2241" s="4" t="s">
        <v>2272</v>
      </c>
      <c r="AB2241" s="198"/>
      <c r="AC2241" s="198"/>
    </row>
    <row r="2242" spans="1:29" s="197" customFormat="1" ht="46" customHeight="1">
      <c r="A2242" s="151" t="str">
        <f>'Reported burning'!A2242</f>
        <v>267c</v>
      </c>
      <c r="B2242" s="151" t="str">
        <f>'Reported burning'!B2242</f>
        <v>267c.7</v>
      </c>
      <c r="C2242" s="151" t="str">
        <f>'Reported burning'!C2242</f>
        <v>Human, deliberate</v>
      </c>
      <c r="D2242" s="151" t="str">
        <f>'Reported burning'!D2242</f>
        <v>Arson</v>
      </c>
      <c r="E2242" s="151" t="str">
        <f>'Reported burning'!E2242</f>
        <v>Mixed cropping-livestock small holder, Market-oriented</v>
      </c>
      <c r="F2242" s="151" t="str">
        <f>'Reported burning'!F2242</f>
        <v>ND</v>
      </c>
      <c r="G2242" s="151" t="str">
        <f>'Reported burning'!G2242</f>
        <v>ND</v>
      </c>
      <c r="H2242" s="151" t="str">
        <f>'Reported burning'!H2242</f>
        <v>Presence</v>
      </c>
      <c r="I2242" s="198"/>
      <c r="J2242" s="4" t="s">
        <v>2272</v>
      </c>
      <c r="K2242" s="4" t="s">
        <v>2272</v>
      </c>
      <c r="L2242" s="4" t="s">
        <v>2272</v>
      </c>
      <c r="M2242" s="4" t="s">
        <v>2272</v>
      </c>
      <c r="N2242" s="4" t="s">
        <v>2272</v>
      </c>
      <c r="O2242" s="4" t="s">
        <v>2272</v>
      </c>
      <c r="P2242" s="4" t="s">
        <v>2272</v>
      </c>
      <c r="Q2242" s="4" t="s">
        <v>2272</v>
      </c>
      <c r="R2242" s="4" t="s">
        <v>2272</v>
      </c>
      <c r="S2242" s="4" t="s">
        <v>2272</v>
      </c>
      <c r="T2242" s="4" t="s">
        <v>2272</v>
      </c>
      <c r="U2242" s="4" t="s">
        <v>2272</v>
      </c>
      <c r="V2242" s="4" t="s">
        <v>2272</v>
      </c>
      <c r="W2242" s="4" t="s">
        <v>2272</v>
      </c>
      <c r="X2242" s="4" t="s">
        <v>2272</v>
      </c>
      <c r="Y2242" s="4" t="s">
        <v>2272</v>
      </c>
      <c r="Z2242" s="4" t="s">
        <v>2272</v>
      </c>
      <c r="AA2242" s="4" t="s">
        <v>2272</v>
      </c>
      <c r="AB2242" s="198"/>
      <c r="AC2242" s="198"/>
    </row>
    <row r="2243" spans="1:29" s="197" customFormat="1" ht="46" customHeight="1">
      <c r="A2243" s="151" t="str">
        <f>'Reported burning'!A2243</f>
        <v>267d</v>
      </c>
      <c r="B2243" s="151" t="str">
        <f>'Reported burning'!B2243</f>
        <v>267d.1</v>
      </c>
      <c r="C2243" s="151" t="str">
        <f>'Reported burning'!C2243</f>
        <v>Human, escaped</v>
      </c>
      <c r="D2243" s="151" t="str">
        <f>'Reported burning'!D2243</f>
        <v>Crop residue burning</v>
      </c>
      <c r="E2243" s="151" t="str">
        <f>'Reported burning'!E2243</f>
        <v>Mixed cropping-livestock small holder, Market-oriented</v>
      </c>
      <c r="F2243" s="151" t="str">
        <f>'Reported burning'!F2243</f>
        <v>Cropland</v>
      </c>
      <c r="G2243" s="151" t="str">
        <f>'Reported burning'!G2243</f>
        <v>Forest</v>
      </c>
      <c r="H2243" s="151" t="str">
        <f>'Reported burning'!H2243</f>
        <v>Presence</v>
      </c>
      <c r="I2243" s="198"/>
      <c r="J2243" s="4" t="s">
        <v>2272</v>
      </c>
      <c r="K2243" s="4" t="s">
        <v>2272</v>
      </c>
      <c r="L2243" s="4" t="s">
        <v>2272</v>
      </c>
      <c r="M2243" s="4" t="s">
        <v>2272</v>
      </c>
      <c r="N2243" s="4" t="s">
        <v>2272</v>
      </c>
      <c r="O2243" s="4" t="s">
        <v>2272</v>
      </c>
      <c r="P2243" s="4" t="s">
        <v>2272</v>
      </c>
      <c r="Q2243" s="4" t="s">
        <v>2272</v>
      </c>
      <c r="R2243" s="4" t="s">
        <v>2272</v>
      </c>
      <c r="S2243" s="4" t="s">
        <v>2272</v>
      </c>
      <c r="T2243" s="4" t="s">
        <v>2272</v>
      </c>
      <c r="U2243" s="4" t="s">
        <v>2272</v>
      </c>
      <c r="V2243" s="4" t="s">
        <v>2272</v>
      </c>
      <c r="W2243" s="4" t="s">
        <v>2272</v>
      </c>
      <c r="X2243" s="4" t="s">
        <v>2272</v>
      </c>
      <c r="Y2243" s="4" t="s">
        <v>2272</v>
      </c>
      <c r="Z2243" s="4" t="s">
        <v>2272</v>
      </c>
      <c r="AA2243" s="4" t="s">
        <v>2272</v>
      </c>
      <c r="AB2243" s="198"/>
      <c r="AC2243" s="198"/>
    </row>
    <row r="2244" spans="1:29" s="197" customFormat="1" ht="46" customHeight="1">
      <c r="A2244" s="151" t="str">
        <f>'Reported burning'!A2244</f>
        <v>267d</v>
      </c>
      <c r="B2244" s="151" t="str">
        <f>'Reported burning'!B2244</f>
        <v>267d.2</v>
      </c>
      <c r="C2244" s="151" t="str">
        <f>'Reported burning'!C2244</f>
        <v>Human, escaped</v>
      </c>
      <c r="D2244" s="151" t="str">
        <f>'Reported burning'!D2244</f>
        <v>Forest clearance</v>
      </c>
      <c r="E2244" s="151" t="str">
        <f>'Reported burning'!E2244</f>
        <v>Mixed cropping-livestock small holder, Market-oriented</v>
      </c>
      <c r="F2244" s="151" t="str">
        <f>'Reported burning'!F2244</f>
        <v>Cropland</v>
      </c>
      <c r="G2244" s="151" t="str">
        <f>'Reported burning'!G2244</f>
        <v>Forest</v>
      </c>
      <c r="H2244" s="151" t="str">
        <f>'Reported burning'!H2244</f>
        <v>Absence</v>
      </c>
      <c r="I2244" s="198"/>
      <c r="J2244" s="4">
        <v>0</v>
      </c>
      <c r="K2244" s="4">
        <v>0</v>
      </c>
      <c r="L2244" s="4">
        <v>0</v>
      </c>
      <c r="M2244" s="4">
        <v>0</v>
      </c>
      <c r="N2244" s="4">
        <v>0</v>
      </c>
      <c r="O2244" s="4">
        <v>0</v>
      </c>
      <c r="P2244" s="4">
        <v>0</v>
      </c>
      <c r="Q2244" s="4">
        <v>0</v>
      </c>
      <c r="R2244" s="4">
        <v>0</v>
      </c>
      <c r="S2244" s="4">
        <v>0</v>
      </c>
      <c r="T2244" s="4">
        <v>0</v>
      </c>
      <c r="U2244" s="4">
        <v>0</v>
      </c>
      <c r="V2244" s="4">
        <v>0</v>
      </c>
      <c r="W2244" s="4">
        <v>0</v>
      </c>
      <c r="X2244" s="4" t="s">
        <v>2272</v>
      </c>
      <c r="Y2244" s="4">
        <v>0</v>
      </c>
      <c r="Z2244" s="4" t="s">
        <v>2272</v>
      </c>
      <c r="AA2244" s="4" t="s">
        <v>2272</v>
      </c>
      <c r="AB2244" s="198"/>
      <c r="AC2244" s="198"/>
    </row>
    <row r="2245" spans="1:29" s="197" customFormat="1" ht="46" customHeight="1">
      <c r="A2245" s="151" t="str">
        <f>'Reported burning'!A2245</f>
        <v>267d</v>
      </c>
      <c r="B2245" s="151" t="str">
        <f>'Reported burning'!B2245</f>
        <v>267d.3</v>
      </c>
      <c r="C2245" s="151" t="str">
        <f>'Reported burning'!C2245</f>
        <v>Human, deliberate</v>
      </c>
      <c r="D2245" s="151" t="str">
        <f>'Reported burning'!D2245</f>
        <v>Crop residue burning</v>
      </c>
      <c r="E2245" s="151" t="str">
        <f>'Reported burning'!E2245</f>
        <v>Mixed cropping-livestock small holder, Market-oriented</v>
      </c>
      <c r="F2245" s="151" t="str">
        <f>'Reported burning'!F2245</f>
        <v>Cropland</v>
      </c>
      <c r="G2245" s="151" t="str">
        <f>'Reported burning'!G2245</f>
        <v>Cropland</v>
      </c>
      <c r="H2245" s="151" t="str">
        <f>'Reported burning'!H2245</f>
        <v>Presence</v>
      </c>
      <c r="I2245" s="198"/>
      <c r="J2245" s="4" t="s">
        <v>2272</v>
      </c>
      <c r="K2245" s="4" t="s">
        <v>2272</v>
      </c>
      <c r="L2245" s="4" t="s">
        <v>2272</v>
      </c>
      <c r="M2245" s="4" t="s">
        <v>2272</v>
      </c>
      <c r="N2245" s="4" t="s">
        <v>2272</v>
      </c>
      <c r="O2245" s="4" t="s">
        <v>2272</v>
      </c>
      <c r="P2245" s="4" t="s">
        <v>2272</v>
      </c>
      <c r="Q2245" s="4" t="s">
        <v>2272</v>
      </c>
      <c r="R2245" s="4" t="s">
        <v>2272</v>
      </c>
      <c r="S2245" s="4" t="s">
        <v>2272</v>
      </c>
      <c r="T2245" s="4" t="s">
        <v>2272</v>
      </c>
      <c r="U2245" s="4" t="s">
        <v>2272</v>
      </c>
      <c r="V2245" s="4" t="s">
        <v>2272</v>
      </c>
      <c r="W2245" s="4" t="s">
        <v>2272</v>
      </c>
      <c r="X2245" s="4" t="s">
        <v>2272</v>
      </c>
      <c r="Y2245" s="4" t="s">
        <v>2272</v>
      </c>
      <c r="Z2245" s="4" t="s">
        <v>2272</v>
      </c>
      <c r="AA2245" s="4" t="s">
        <v>2272</v>
      </c>
      <c r="AB2245" s="198"/>
      <c r="AC2245" s="198"/>
    </row>
    <row r="2246" spans="1:29" s="197" customFormat="1" ht="46" customHeight="1">
      <c r="A2246" s="151" t="str">
        <f>'Reported burning'!A2246</f>
        <v>267d</v>
      </c>
      <c r="B2246" s="151" t="str">
        <f>'Reported burning'!B2246</f>
        <v>267d.4</v>
      </c>
      <c r="C2246" s="151" t="str">
        <f>'Reported burning'!C2246</f>
        <v>Human, deliberate</v>
      </c>
      <c r="D2246" s="151" t="str">
        <f>'Reported burning'!D2246</f>
        <v>Forest clearance</v>
      </c>
      <c r="E2246" s="151" t="str">
        <f>'Reported burning'!E2246</f>
        <v>Mixed cropping-livestock small holder, Market-oriented</v>
      </c>
      <c r="F2246" s="151" t="str">
        <f>'Reported burning'!F2246</f>
        <v>Cropland</v>
      </c>
      <c r="G2246" s="151" t="str">
        <f>'Reported burning'!G2246</f>
        <v>Cropland</v>
      </c>
      <c r="H2246" s="151" t="str">
        <f>'Reported burning'!H2246</f>
        <v>Absence</v>
      </c>
      <c r="I2246" s="198"/>
      <c r="J2246" s="4">
        <v>0</v>
      </c>
      <c r="K2246" s="4">
        <v>0</v>
      </c>
      <c r="L2246" s="4">
        <v>0</v>
      </c>
      <c r="M2246" s="4">
        <v>0</v>
      </c>
      <c r="N2246" s="4">
        <v>0</v>
      </c>
      <c r="O2246" s="4">
        <v>0</v>
      </c>
      <c r="P2246" s="4">
        <v>0</v>
      </c>
      <c r="Q2246" s="4">
        <v>0</v>
      </c>
      <c r="R2246" s="4">
        <v>0</v>
      </c>
      <c r="S2246" s="4">
        <v>0</v>
      </c>
      <c r="T2246" s="4">
        <v>0</v>
      </c>
      <c r="U2246" s="4">
        <v>0</v>
      </c>
      <c r="V2246" s="4">
        <v>0</v>
      </c>
      <c r="W2246" s="4">
        <v>0</v>
      </c>
      <c r="X2246" s="4" t="s">
        <v>2272</v>
      </c>
      <c r="Y2246" s="4">
        <v>0</v>
      </c>
      <c r="Z2246" s="4" t="s">
        <v>2272</v>
      </c>
      <c r="AA2246" s="4" t="s">
        <v>2272</v>
      </c>
      <c r="AB2246" s="198"/>
      <c r="AC2246" s="198"/>
    </row>
    <row r="2247" spans="1:29" s="197" customFormat="1" ht="46" customHeight="1">
      <c r="A2247" s="151" t="str">
        <f>'Reported burning'!A2247</f>
        <v>267d</v>
      </c>
      <c r="B2247" s="151" t="str">
        <f>'Reported burning'!B2247</f>
        <v>267d.5</v>
      </c>
      <c r="C2247" s="151" t="str">
        <f>'Reported burning'!C2247</f>
        <v>Human, escaped</v>
      </c>
      <c r="D2247" s="151" t="str">
        <f>'Reported burning'!D2247</f>
        <v>Pasture renewal</v>
      </c>
      <c r="E2247" s="151" t="str">
        <f>'Reported burning'!E2247</f>
        <v>Mixed cropping-livestock small holder, Market-oriented</v>
      </c>
      <c r="F2247" s="151" t="str">
        <f>'Reported burning'!F2247</f>
        <v>Pasture</v>
      </c>
      <c r="G2247" s="151" t="str">
        <f>'Reported burning'!G2247</f>
        <v>Cropland</v>
      </c>
      <c r="H2247" s="151" t="str">
        <f>'Reported burning'!H2247</f>
        <v>Presence</v>
      </c>
      <c r="I2247" s="198"/>
      <c r="J2247" s="4" t="s">
        <v>2272</v>
      </c>
      <c r="K2247" s="4" t="s">
        <v>2272</v>
      </c>
      <c r="L2247" s="4" t="s">
        <v>2272</v>
      </c>
      <c r="M2247" s="4" t="s">
        <v>2272</v>
      </c>
      <c r="N2247" s="4" t="s">
        <v>2272</v>
      </c>
      <c r="O2247" s="4" t="s">
        <v>2272</v>
      </c>
      <c r="P2247" s="4" t="s">
        <v>2272</v>
      </c>
      <c r="Q2247" s="4" t="s">
        <v>2272</v>
      </c>
      <c r="R2247" s="4" t="s">
        <v>2272</v>
      </c>
      <c r="S2247" s="4" t="s">
        <v>2272</v>
      </c>
      <c r="T2247" s="4" t="s">
        <v>2272</v>
      </c>
      <c r="U2247" s="4" t="s">
        <v>2272</v>
      </c>
      <c r="V2247" s="4" t="s">
        <v>2272</v>
      </c>
      <c r="W2247" s="4" t="s">
        <v>2272</v>
      </c>
      <c r="X2247" s="4" t="s">
        <v>2272</v>
      </c>
      <c r="Y2247" s="4" t="s">
        <v>2272</v>
      </c>
      <c r="Z2247" s="4" t="s">
        <v>2272</v>
      </c>
      <c r="AA2247" s="4" t="s">
        <v>2272</v>
      </c>
      <c r="AB2247" s="198"/>
      <c r="AC2247" s="198"/>
    </row>
    <row r="2248" spans="1:29" s="197" customFormat="1" ht="46" customHeight="1">
      <c r="A2248" s="151" t="str">
        <f>'Reported burning'!A2248</f>
        <v>267d</v>
      </c>
      <c r="B2248" s="151" t="str">
        <f>'Reported burning'!B2248</f>
        <v>267d.6</v>
      </c>
      <c r="C2248" s="151" t="str">
        <f>'Reported burning'!C2248</f>
        <v>Human, deliberate</v>
      </c>
      <c r="D2248" s="151" t="str">
        <f>'Reported burning'!D2248</f>
        <v>Pasture renewal</v>
      </c>
      <c r="E2248" s="151" t="str">
        <f>'Reported burning'!E2248</f>
        <v>Mixed cropping-livestock small holder, Market-oriented</v>
      </c>
      <c r="F2248" s="151" t="str">
        <f>'Reported burning'!F2248</f>
        <v>Pasture</v>
      </c>
      <c r="G2248" s="151" t="str">
        <f>'Reported burning'!G2248</f>
        <v>Cropland</v>
      </c>
      <c r="H2248" s="151" t="str">
        <f>'Reported burning'!H2248</f>
        <v>Presence</v>
      </c>
      <c r="I2248" s="198"/>
      <c r="J2248" s="4" t="s">
        <v>2272</v>
      </c>
      <c r="K2248" s="4" t="s">
        <v>2272</v>
      </c>
      <c r="L2248" s="4" t="s">
        <v>2272</v>
      </c>
      <c r="M2248" s="4" t="s">
        <v>2272</v>
      </c>
      <c r="N2248" s="4" t="s">
        <v>2272</v>
      </c>
      <c r="O2248" s="4" t="s">
        <v>2272</v>
      </c>
      <c r="P2248" s="4" t="s">
        <v>2272</v>
      </c>
      <c r="Q2248" s="4" t="s">
        <v>2272</v>
      </c>
      <c r="R2248" s="4" t="s">
        <v>2272</v>
      </c>
      <c r="S2248" s="4" t="s">
        <v>2272</v>
      </c>
      <c r="T2248" s="4" t="s">
        <v>2272</v>
      </c>
      <c r="U2248" s="4" t="s">
        <v>2272</v>
      </c>
      <c r="V2248" s="4" t="s">
        <v>2272</v>
      </c>
      <c r="W2248" s="4" t="s">
        <v>2272</v>
      </c>
      <c r="X2248" s="4" t="s">
        <v>2272</v>
      </c>
      <c r="Y2248" s="4" t="s">
        <v>2272</v>
      </c>
      <c r="Z2248" s="4" t="s">
        <v>2272</v>
      </c>
      <c r="AA2248" s="4" t="s">
        <v>2272</v>
      </c>
      <c r="AB2248" s="198"/>
      <c r="AC2248" s="198"/>
    </row>
    <row r="2249" spans="1:29" s="197" customFormat="1" ht="46" customHeight="1">
      <c r="A2249" s="151" t="str">
        <f>'Reported burning'!A2249</f>
        <v>267d</v>
      </c>
      <c r="B2249" s="151" t="str">
        <f>'Reported burning'!B2249</f>
        <v>267d.7</v>
      </c>
      <c r="C2249" s="151" t="str">
        <f>'Reported burning'!C2249</f>
        <v>Human, deliberate</v>
      </c>
      <c r="D2249" s="151" t="str">
        <f>'Reported burning'!D2249</f>
        <v>Arson</v>
      </c>
      <c r="E2249" s="151" t="str">
        <f>'Reported burning'!E2249</f>
        <v>Mixed cropping-livestock small holder, Market-oriented</v>
      </c>
      <c r="F2249" s="151" t="str">
        <f>'Reported burning'!F2249</f>
        <v>ND</v>
      </c>
      <c r="G2249" s="151" t="str">
        <f>'Reported burning'!G2249</f>
        <v>ND</v>
      </c>
      <c r="H2249" s="151" t="str">
        <f>'Reported burning'!H2249</f>
        <v>Presence</v>
      </c>
      <c r="I2249" s="198"/>
      <c r="J2249" s="4" t="s">
        <v>2272</v>
      </c>
      <c r="K2249" s="4" t="s">
        <v>2272</v>
      </c>
      <c r="L2249" s="4" t="s">
        <v>2272</v>
      </c>
      <c r="M2249" s="4" t="s">
        <v>2272</v>
      </c>
      <c r="N2249" s="4" t="s">
        <v>2272</v>
      </c>
      <c r="O2249" s="4" t="s">
        <v>2272</v>
      </c>
      <c r="P2249" s="4" t="s">
        <v>2272</v>
      </c>
      <c r="Q2249" s="4" t="s">
        <v>2272</v>
      </c>
      <c r="R2249" s="4" t="s">
        <v>2272</v>
      </c>
      <c r="S2249" s="4" t="s">
        <v>2272</v>
      </c>
      <c r="T2249" s="4" t="s">
        <v>2272</v>
      </c>
      <c r="U2249" s="4" t="s">
        <v>2272</v>
      </c>
      <c r="V2249" s="4" t="s">
        <v>2272</v>
      </c>
      <c r="W2249" s="4" t="s">
        <v>2272</v>
      </c>
      <c r="X2249" s="4" t="s">
        <v>2272</v>
      </c>
      <c r="Y2249" s="4" t="s">
        <v>2272</v>
      </c>
      <c r="Z2249" s="4" t="s">
        <v>2272</v>
      </c>
      <c r="AA2249" s="4" t="s">
        <v>2272</v>
      </c>
      <c r="AB2249" s="198"/>
      <c r="AC2249" s="198"/>
    </row>
    <row r="2250" spans="1:29" s="197" customFormat="1" ht="46" customHeight="1">
      <c r="A2250" s="151" t="str">
        <f>'Reported burning'!A2250</f>
        <v>267e</v>
      </c>
      <c r="B2250" s="151" t="str">
        <f>'Reported burning'!B2250</f>
        <v>267e.1</v>
      </c>
      <c r="C2250" s="151" t="str">
        <f>'Reported burning'!C2250</f>
        <v>Human, escaped</v>
      </c>
      <c r="D2250" s="151" t="str">
        <f>'Reported burning'!D2250</f>
        <v>Crop residue burning</v>
      </c>
      <c r="E2250" s="151" t="str">
        <f>'Reported burning'!E2250</f>
        <v>Mixed cropping-livestock small holder, Market-oriented</v>
      </c>
      <c r="F2250" s="151" t="str">
        <f>'Reported burning'!F2250</f>
        <v>Cropland</v>
      </c>
      <c r="G2250" s="151" t="str">
        <f>'Reported burning'!G2250</f>
        <v>Forest</v>
      </c>
      <c r="H2250" s="151" t="str">
        <f>'Reported burning'!H2250</f>
        <v>Presence</v>
      </c>
      <c r="I2250" s="198"/>
      <c r="J2250" s="4" t="s">
        <v>2272</v>
      </c>
      <c r="K2250" s="4" t="s">
        <v>2272</v>
      </c>
      <c r="L2250" s="4" t="s">
        <v>2272</v>
      </c>
      <c r="M2250" s="4" t="s">
        <v>2272</v>
      </c>
      <c r="N2250" s="4" t="s">
        <v>2272</v>
      </c>
      <c r="O2250" s="4" t="s">
        <v>2272</v>
      </c>
      <c r="P2250" s="4" t="s">
        <v>2272</v>
      </c>
      <c r="Q2250" s="4" t="s">
        <v>2272</v>
      </c>
      <c r="R2250" s="4" t="s">
        <v>2272</v>
      </c>
      <c r="S2250" s="4" t="s">
        <v>2272</v>
      </c>
      <c r="T2250" s="4" t="s">
        <v>2272</v>
      </c>
      <c r="U2250" s="4" t="s">
        <v>2272</v>
      </c>
      <c r="V2250" s="4" t="s">
        <v>2272</v>
      </c>
      <c r="W2250" s="4" t="s">
        <v>2272</v>
      </c>
      <c r="X2250" s="4" t="s">
        <v>2272</v>
      </c>
      <c r="Y2250" s="4" t="s">
        <v>2272</v>
      </c>
      <c r="Z2250" s="4" t="s">
        <v>2272</v>
      </c>
      <c r="AA2250" s="4" t="s">
        <v>2272</v>
      </c>
      <c r="AB2250" s="198"/>
      <c r="AC2250" s="198"/>
    </row>
    <row r="2251" spans="1:29" s="197" customFormat="1" ht="46" customHeight="1">
      <c r="A2251" s="151" t="str">
        <f>'Reported burning'!A2251</f>
        <v>267e</v>
      </c>
      <c r="B2251" s="151" t="str">
        <f>'Reported burning'!B2251</f>
        <v>267e.2</v>
      </c>
      <c r="C2251" s="151" t="str">
        <f>'Reported burning'!C2251</f>
        <v>Human, escaped</v>
      </c>
      <c r="D2251" s="151" t="str">
        <f>'Reported burning'!D2251</f>
        <v>Forest clearance</v>
      </c>
      <c r="E2251" s="151" t="str">
        <f>'Reported burning'!E2251</f>
        <v>Mixed cropping-livestock small holder, Market-oriented</v>
      </c>
      <c r="F2251" s="151" t="str">
        <f>'Reported burning'!F2251</f>
        <v>Cropland</v>
      </c>
      <c r="G2251" s="151" t="str">
        <f>'Reported burning'!G2251</f>
        <v>Forest</v>
      </c>
      <c r="H2251" s="151" t="str">
        <f>'Reported burning'!H2251</f>
        <v>Absence</v>
      </c>
      <c r="I2251" s="198"/>
      <c r="J2251" s="4">
        <v>0</v>
      </c>
      <c r="K2251" s="4">
        <v>0</v>
      </c>
      <c r="L2251" s="4">
        <v>0</v>
      </c>
      <c r="M2251" s="4">
        <v>0</v>
      </c>
      <c r="N2251" s="4">
        <v>0</v>
      </c>
      <c r="O2251" s="4">
        <v>0</v>
      </c>
      <c r="P2251" s="4">
        <v>0</v>
      </c>
      <c r="Q2251" s="4">
        <v>0</v>
      </c>
      <c r="R2251" s="4">
        <v>0</v>
      </c>
      <c r="S2251" s="4">
        <v>0</v>
      </c>
      <c r="T2251" s="4">
        <v>0</v>
      </c>
      <c r="U2251" s="4">
        <v>0</v>
      </c>
      <c r="V2251" s="4">
        <v>0</v>
      </c>
      <c r="W2251" s="4">
        <v>0</v>
      </c>
      <c r="X2251" s="4" t="s">
        <v>2272</v>
      </c>
      <c r="Y2251" s="4">
        <v>0</v>
      </c>
      <c r="Z2251" s="4" t="s">
        <v>2272</v>
      </c>
      <c r="AA2251" s="4" t="s">
        <v>2272</v>
      </c>
      <c r="AB2251" s="198"/>
      <c r="AC2251" s="198"/>
    </row>
    <row r="2252" spans="1:29" s="197" customFormat="1" ht="46" customHeight="1">
      <c r="A2252" s="151" t="str">
        <f>'Reported burning'!A2252</f>
        <v>267e</v>
      </c>
      <c r="B2252" s="151" t="str">
        <f>'Reported burning'!B2252</f>
        <v>267e.3</v>
      </c>
      <c r="C2252" s="151" t="str">
        <f>'Reported burning'!C2252</f>
        <v>Human, deliberate</v>
      </c>
      <c r="D2252" s="151" t="str">
        <f>'Reported burning'!D2252</f>
        <v>Crop residue burning</v>
      </c>
      <c r="E2252" s="151" t="str">
        <f>'Reported burning'!E2252</f>
        <v>Mixed cropping-livestock small holder, Market-oriented</v>
      </c>
      <c r="F2252" s="151" t="str">
        <f>'Reported burning'!F2252</f>
        <v>Cropland</v>
      </c>
      <c r="G2252" s="151" t="str">
        <f>'Reported burning'!G2252</f>
        <v>Cropland</v>
      </c>
      <c r="H2252" s="151" t="str">
        <f>'Reported burning'!H2252</f>
        <v>Presence</v>
      </c>
      <c r="I2252" s="198"/>
      <c r="J2252" s="4" t="s">
        <v>2272</v>
      </c>
      <c r="K2252" s="4" t="s">
        <v>2272</v>
      </c>
      <c r="L2252" s="4" t="s">
        <v>2272</v>
      </c>
      <c r="M2252" s="4" t="s">
        <v>2272</v>
      </c>
      <c r="N2252" s="4" t="s">
        <v>2272</v>
      </c>
      <c r="O2252" s="4" t="s">
        <v>2272</v>
      </c>
      <c r="P2252" s="4" t="s">
        <v>2272</v>
      </c>
      <c r="Q2252" s="4" t="s">
        <v>2272</v>
      </c>
      <c r="R2252" s="4" t="s">
        <v>2272</v>
      </c>
      <c r="S2252" s="4" t="s">
        <v>2272</v>
      </c>
      <c r="T2252" s="4" t="s">
        <v>2272</v>
      </c>
      <c r="U2252" s="4" t="s">
        <v>2272</v>
      </c>
      <c r="V2252" s="4" t="s">
        <v>2272</v>
      </c>
      <c r="W2252" s="4" t="s">
        <v>2272</v>
      </c>
      <c r="X2252" s="4" t="s">
        <v>2272</v>
      </c>
      <c r="Y2252" s="4" t="s">
        <v>2272</v>
      </c>
      <c r="Z2252" s="4" t="s">
        <v>2272</v>
      </c>
      <c r="AA2252" s="4" t="s">
        <v>2272</v>
      </c>
      <c r="AB2252" s="198"/>
      <c r="AC2252" s="198"/>
    </row>
    <row r="2253" spans="1:29" s="197" customFormat="1" ht="46" customHeight="1">
      <c r="A2253" s="151" t="str">
        <f>'Reported burning'!A2253</f>
        <v>267e</v>
      </c>
      <c r="B2253" s="151" t="str">
        <f>'Reported burning'!B2253</f>
        <v>267e.4</v>
      </c>
      <c r="C2253" s="151" t="str">
        <f>'Reported burning'!C2253</f>
        <v>Human, deliberate</v>
      </c>
      <c r="D2253" s="151" t="str">
        <f>'Reported burning'!D2253</f>
        <v>Forest clearance</v>
      </c>
      <c r="E2253" s="151" t="str">
        <f>'Reported burning'!E2253</f>
        <v>Mixed cropping-livestock small holder, Market-oriented</v>
      </c>
      <c r="F2253" s="151" t="str">
        <f>'Reported burning'!F2253</f>
        <v>Cropland</v>
      </c>
      <c r="G2253" s="151" t="str">
        <f>'Reported burning'!G2253</f>
        <v>Cropland</v>
      </c>
      <c r="H2253" s="151" t="str">
        <f>'Reported burning'!H2253</f>
        <v>Absence</v>
      </c>
      <c r="I2253" s="198"/>
      <c r="J2253" s="4">
        <v>0</v>
      </c>
      <c r="K2253" s="4">
        <v>0</v>
      </c>
      <c r="L2253" s="4">
        <v>0</v>
      </c>
      <c r="M2253" s="4">
        <v>0</v>
      </c>
      <c r="N2253" s="4">
        <v>0</v>
      </c>
      <c r="O2253" s="4">
        <v>0</v>
      </c>
      <c r="P2253" s="4">
        <v>0</v>
      </c>
      <c r="Q2253" s="4">
        <v>0</v>
      </c>
      <c r="R2253" s="4">
        <v>0</v>
      </c>
      <c r="S2253" s="4">
        <v>0</v>
      </c>
      <c r="T2253" s="4">
        <v>0</v>
      </c>
      <c r="U2253" s="4">
        <v>0</v>
      </c>
      <c r="V2253" s="4">
        <v>0</v>
      </c>
      <c r="W2253" s="4">
        <v>0</v>
      </c>
      <c r="X2253" s="4" t="s">
        <v>2272</v>
      </c>
      <c r="Y2253" s="4">
        <v>0</v>
      </c>
      <c r="Z2253" s="4" t="s">
        <v>2272</v>
      </c>
      <c r="AA2253" s="4" t="s">
        <v>2272</v>
      </c>
      <c r="AB2253" s="198"/>
      <c r="AC2253" s="198"/>
    </row>
    <row r="2254" spans="1:29" s="197" customFormat="1" ht="46" customHeight="1">
      <c r="A2254" s="151" t="str">
        <f>'Reported burning'!A2254</f>
        <v>267e</v>
      </c>
      <c r="B2254" s="151" t="str">
        <f>'Reported burning'!B2254</f>
        <v>267e.5</v>
      </c>
      <c r="C2254" s="151" t="str">
        <f>'Reported burning'!C2254</f>
        <v>Human, escaped</v>
      </c>
      <c r="D2254" s="151" t="str">
        <f>'Reported burning'!D2254</f>
        <v>Pasture renewal</v>
      </c>
      <c r="E2254" s="151" t="str">
        <f>'Reported burning'!E2254</f>
        <v>Mixed cropping-livestock small holder, Market-oriented</v>
      </c>
      <c r="F2254" s="151" t="str">
        <f>'Reported burning'!F2254</f>
        <v>Pasture</v>
      </c>
      <c r="G2254" s="151" t="str">
        <f>'Reported burning'!G2254</f>
        <v>Cropland</v>
      </c>
      <c r="H2254" s="151" t="str">
        <f>'Reported burning'!H2254</f>
        <v>Presence</v>
      </c>
      <c r="I2254" s="198"/>
      <c r="J2254" s="4" t="s">
        <v>2272</v>
      </c>
      <c r="K2254" s="4" t="s">
        <v>2272</v>
      </c>
      <c r="L2254" s="4" t="s">
        <v>2272</v>
      </c>
      <c r="M2254" s="4" t="s">
        <v>2272</v>
      </c>
      <c r="N2254" s="4" t="s">
        <v>2272</v>
      </c>
      <c r="O2254" s="4" t="s">
        <v>2272</v>
      </c>
      <c r="P2254" s="4" t="s">
        <v>2272</v>
      </c>
      <c r="Q2254" s="4" t="s">
        <v>2272</v>
      </c>
      <c r="R2254" s="4" t="s">
        <v>2272</v>
      </c>
      <c r="S2254" s="4" t="s">
        <v>2272</v>
      </c>
      <c r="T2254" s="4" t="s">
        <v>2272</v>
      </c>
      <c r="U2254" s="4" t="s">
        <v>2272</v>
      </c>
      <c r="V2254" s="4" t="s">
        <v>2272</v>
      </c>
      <c r="W2254" s="4" t="s">
        <v>2272</v>
      </c>
      <c r="X2254" s="4" t="s">
        <v>2272</v>
      </c>
      <c r="Y2254" s="4" t="s">
        <v>2272</v>
      </c>
      <c r="Z2254" s="4" t="s">
        <v>2272</v>
      </c>
      <c r="AA2254" s="4" t="s">
        <v>2272</v>
      </c>
      <c r="AB2254" s="198"/>
      <c r="AC2254" s="198"/>
    </row>
    <row r="2255" spans="1:29" s="197" customFormat="1" ht="46" customHeight="1">
      <c r="A2255" s="151" t="str">
        <f>'Reported burning'!A2255</f>
        <v>267e</v>
      </c>
      <c r="B2255" s="151" t="str">
        <f>'Reported burning'!B2255</f>
        <v>267e.6</v>
      </c>
      <c r="C2255" s="151" t="str">
        <f>'Reported burning'!C2255</f>
        <v>Human, deliberate</v>
      </c>
      <c r="D2255" s="151" t="str">
        <f>'Reported burning'!D2255</f>
        <v>Pasture renewal</v>
      </c>
      <c r="E2255" s="151" t="str">
        <f>'Reported burning'!E2255</f>
        <v>Mixed cropping-livestock small holder, Market-oriented</v>
      </c>
      <c r="F2255" s="151" t="str">
        <f>'Reported burning'!F2255</f>
        <v>Pasture</v>
      </c>
      <c r="G2255" s="151" t="str">
        <f>'Reported burning'!G2255</f>
        <v>Cropland</v>
      </c>
      <c r="H2255" s="151" t="str">
        <f>'Reported burning'!H2255</f>
        <v>Presence</v>
      </c>
      <c r="I2255" s="198"/>
      <c r="J2255" s="4" t="s">
        <v>2272</v>
      </c>
      <c r="K2255" s="4" t="s">
        <v>2272</v>
      </c>
      <c r="L2255" s="4" t="s">
        <v>2272</v>
      </c>
      <c r="M2255" s="4" t="s">
        <v>2272</v>
      </c>
      <c r="N2255" s="4" t="s">
        <v>2272</v>
      </c>
      <c r="O2255" s="4" t="s">
        <v>2272</v>
      </c>
      <c r="P2255" s="4" t="s">
        <v>2272</v>
      </c>
      <c r="Q2255" s="4" t="s">
        <v>2272</v>
      </c>
      <c r="R2255" s="4" t="s">
        <v>2272</v>
      </c>
      <c r="S2255" s="4" t="s">
        <v>2272</v>
      </c>
      <c r="T2255" s="4" t="s">
        <v>2272</v>
      </c>
      <c r="U2255" s="4" t="s">
        <v>2272</v>
      </c>
      <c r="V2255" s="4" t="s">
        <v>2272</v>
      </c>
      <c r="W2255" s="4" t="s">
        <v>2272</v>
      </c>
      <c r="X2255" s="4" t="s">
        <v>2272</v>
      </c>
      <c r="Y2255" s="4" t="s">
        <v>2272</v>
      </c>
      <c r="Z2255" s="4" t="s">
        <v>2272</v>
      </c>
      <c r="AA2255" s="4" t="s">
        <v>2272</v>
      </c>
      <c r="AB2255" s="198"/>
      <c r="AC2255" s="198"/>
    </row>
    <row r="2256" spans="1:29" s="197" customFormat="1" ht="46" customHeight="1">
      <c r="A2256" s="151" t="str">
        <f>'Reported burning'!A2256</f>
        <v>267e</v>
      </c>
      <c r="B2256" s="151" t="str">
        <f>'Reported burning'!B2256</f>
        <v>267e.7</v>
      </c>
      <c r="C2256" s="151" t="str">
        <f>'Reported burning'!C2256</f>
        <v>Human, deliberate</v>
      </c>
      <c r="D2256" s="151" t="str">
        <f>'Reported burning'!D2256</f>
        <v>Arson</v>
      </c>
      <c r="E2256" s="151" t="str">
        <f>'Reported burning'!E2256</f>
        <v>Mixed cropping-livestock small holder, Market-oriented</v>
      </c>
      <c r="F2256" s="151" t="str">
        <f>'Reported burning'!F2256</f>
        <v>ND</v>
      </c>
      <c r="G2256" s="151" t="str">
        <f>'Reported burning'!G2256</f>
        <v>ND</v>
      </c>
      <c r="H2256" s="151" t="str">
        <f>'Reported burning'!H2256</f>
        <v>Presence</v>
      </c>
      <c r="I2256" s="198"/>
      <c r="J2256" s="4" t="s">
        <v>2272</v>
      </c>
      <c r="K2256" s="4" t="s">
        <v>2272</v>
      </c>
      <c r="L2256" s="4" t="s">
        <v>2272</v>
      </c>
      <c r="M2256" s="4" t="s">
        <v>2272</v>
      </c>
      <c r="N2256" s="4" t="s">
        <v>2272</v>
      </c>
      <c r="O2256" s="4" t="s">
        <v>2272</v>
      </c>
      <c r="P2256" s="4" t="s">
        <v>2272</v>
      </c>
      <c r="Q2256" s="4" t="s">
        <v>2272</v>
      </c>
      <c r="R2256" s="4" t="s">
        <v>2272</v>
      </c>
      <c r="S2256" s="4" t="s">
        <v>2272</v>
      </c>
      <c r="T2256" s="4" t="s">
        <v>2272</v>
      </c>
      <c r="U2256" s="4" t="s">
        <v>2272</v>
      </c>
      <c r="V2256" s="4" t="s">
        <v>2272</v>
      </c>
      <c r="W2256" s="4" t="s">
        <v>2272</v>
      </c>
      <c r="X2256" s="4" t="s">
        <v>2272</v>
      </c>
      <c r="Y2256" s="4" t="s">
        <v>2272</v>
      </c>
      <c r="Z2256" s="4" t="s">
        <v>2272</v>
      </c>
      <c r="AA2256" s="4" t="s">
        <v>2272</v>
      </c>
      <c r="AB2256" s="198"/>
      <c r="AC2256" s="198"/>
    </row>
    <row r="2257" spans="1:29" s="197" customFormat="1" ht="46" customHeight="1">
      <c r="A2257" s="151" t="str">
        <f>'Reported burning'!A2257</f>
        <v>267f</v>
      </c>
      <c r="B2257" s="151" t="str">
        <f>'Reported burning'!B2257</f>
        <v>267f.1</v>
      </c>
      <c r="C2257" s="151" t="str">
        <f>'Reported burning'!C2257</f>
        <v>Human, escaped</v>
      </c>
      <c r="D2257" s="151" t="str">
        <f>'Reported burning'!D2257</f>
        <v>Crop residue burning</v>
      </c>
      <c r="E2257" s="151" t="str">
        <f>'Reported burning'!E2257</f>
        <v>Mixed cropping-livestock small holder, Market-oriented</v>
      </c>
      <c r="F2257" s="151" t="str">
        <f>'Reported burning'!F2257</f>
        <v>Cropland</v>
      </c>
      <c r="G2257" s="151" t="str">
        <f>'Reported burning'!G2257</f>
        <v>Forest</v>
      </c>
      <c r="H2257" s="151" t="str">
        <f>'Reported burning'!H2257</f>
        <v>Presence</v>
      </c>
      <c r="I2257" s="198"/>
      <c r="J2257" s="4" t="s">
        <v>2272</v>
      </c>
      <c r="K2257" s="4" t="s">
        <v>2272</v>
      </c>
      <c r="L2257" s="4" t="s">
        <v>2272</v>
      </c>
      <c r="M2257" s="4" t="s">
        <v>2272</v>
      </c>
      <c r="N2257" s="4" t="s">
        <v>2272</v>
      </c>
      <c r="O2257" s="4" t="s">
        <v>2272</v>
      </c>
      <c r="P2257" s="4" t="s">
        <v>2272</v>
      </c>
      <c r="Q2257" s="4" t="s">
        <v>2272</v>
      </c>
      <c r="R2257" s="4" t="s">
        <v>2272</v>
      </c>
      <c r="S2257" s="4" t="s">
        <v>2272</v>
      </c>
      <c r="T2257" s="4" t="s">
        <v>2272</v>
      </c>
      <c r="U2257" s="4" t="s">
        <v>2272</v>
      </c>
      <c r="V2257" s="4" t="s">
        <v>2272</v>
      </c>
      <c r="W2257" s="4" t="s">
        <v>2272</v>
      </c>
      <c r="X2257" s="4" t="s">
        <v>2272</v>
      </c>
      <c r="Y2257" s="4" t="s">
        <v>2272</v>
      </c>
      <c r="Z2257" s="4" t="s">
        <v>2272</v>
      </c>
      <c r="AA2257" s="4" t="s">
        <v>2272</v>
      </c>
      <c r="AB2257" s="198"/>
      <c r="AC2257" s="198"/>
    </row>
    <row r="2258" spans="1:29" s="197" customFormat="1" ht="46" customHeight="1">
      <c r="A2258" s="151" t="str">
        <f>'Reported burning'!A2258</f>
        <v>267f</v>
      </c>
      <c r="B2258" s="151" t="str">
        <f>'Reported burning'!B2258</f>
        <v>267f.2</v>
      </c>
      <c r="C2258" s="151" t="str">
        <f>'Reported burning'!C2258</f>
        <v>Human, escaped</v>
      </c>
      <c r="D2258" s="151" t="str">
        <f>'Reported burning'!D2258</f>
        <v>Forest clearance</v>
      </c>
      <c r="E2258" s="151" t="str">
        <f>'Reported burning'!E2258</f>
        <v>Mixed cropping-livestock small holder, Market-oriented</v>
      </c>
      <c r="F2258" s="151" t="str">
        <f>'Reported burning'!F2258</f>
        <v>Cropland</v>
      </c>
      <c r="G2258" s="151" t="str">
        <f>'Reported burning'!G2258</f>
        <v>Forest</v>
      </c>
      <c r="H2258" s="151" t="str">
        <f>'Reported burning'!H2258</f>
        <v>Absence</v>
      </c>
      <c r="I2258" s="198"/>
      <c r="J2258" s="4">
        <v>0</v>
      </c>
      <c r="K2258" s="4">
        <v>0</v>
      </c>
      <c r="L2258" s="4">
        <v>0</v>
      </c>
      <c r="M2258" s="4">
        <v>0</v>
      </c>
      <c r="N2258" s="4">
        <v>0</v>
      </c>
      <c r="O2258" s="4">
        <v>0</v>
      </c>
      <c r="P2258" s="4">
        <v>0</v>
      </c>
      <c r="Q2258" s="4">
        <v>0</v>
      </c>
      <c r="R2258" s="4">
        <v>0</v>
      </c>
      <c r="S2258" s="4">
        <v>0</v>
      </c>
      <c r="T2258" s="4">
        <v>0</v>
      </c>
      <c r="U2258" s="4">
        <v>0</v>
      </c>
      <c r="V2258" s="4">
        <v>0</v>
      </c>
      <c r="W2258" s="4">
        <v>0</v>
      </c>
      <c r="X2258" s="4" t="s">
        <v>2272</v>
      </c>
      <c r="Y2258" s="4">
        <v>0</v>
      </c>
      <c r="Z2258" s="4" t="s">
        <v>2272</v>
      </c>
      <c r="AA2258" s="4" t="s">
        <v>2272</v>
      </c>
      <c r="AB2258" s="198"/>
      <c r="AC2258" s="198"/>
    </row>
    <row r="2259" spans="1:29" s="197" customFormat="1" ht="46" customHeight="1">
      <c r="A2259" s="151" t="str">
        <f>'Reported burning'!A2259</f>
        <v>267f</v>
      </c>
      <c r="B2259" s="151" t="str">
        <f>'Reported burning'!B2259</f>
        <v>267f.3</v>
      </c>
      <c r="C2259" s="151" t="str">
        <f>'Reported burning'!C2259</f>
        <v>Human, deliberate</v>
      </c>
      <c r="D2259" s="151" t="str">
        <f>'Reported burning'!D2259</f>
        <v>Crop residue burning</v>
      </c>
      <c r="E2259" s="151" t="str">
        <f>'Reported burning'!E2259</f>
        <v>Mixed cropping-livestock small holder, Market-oriented</v>
      </c>
      <c r="F2259" s="151" t="str">
        <f>'Reported burning'!F2259</f>
        <v>Cropland</v>
      </c>
      <c r="G2259" s="151" t="str">
        <f>'Reported burning'!G2259</f>
        <v>Cropland</v>
      </c>
      <c r="H2259" s="151" t="str">
        <f>'Reported burning'!H2259</f>
        <v>Presence</v>
      </c>
      <c r="I2259" s="198"/>
      <c r="J2259" s="4" t="s">
        <v>2272</v>
      </c>
      <c r="K2259" s="4" t="s">
        <v>2272</v>
      </c>
      <c r="L2259" s="4" t="s">
        <v>2272</v>
      </c>
      <c r="M2259" s="4" t="s">
        <v>2272</v>
      </c>
      <c r="N2259" s="4" t="s">
        <v>2272</v>
      </c>
      <c r="O2259" s="4" t="s">
        <v>2272</v>
      </c>
      <c r="P2259" s="4" t="s">
        <v>2272</v>
      </c>
      <c r="Q2259" s="4" t="s">
        <v>2272</v>
      </c>
      <c r="R2259" s="4" t="s">
        <v>2272</v>
      </c>
      <c r="S2259" s="4" t="s">
        <v>2272</v>
      </c>
      <c r="T2259" s="4" t="s">
        <v>2272</v>
      </c>
      <c r="U2259" s="4" t="s">
        <v>2272</v>
      </c>
      <c r="V2259" s="4" t="s">
        <v>2272</v>
      </c>
      <c r="W2259" s="4" t="s">
        <v>2272</v>
      </c>
      <c r="X2259" s="4" t="s">
        <v>2272</v>
      </c>
      <c r="Y2259" s="4" t="s">
        <v>2272</v>
      </c>
      <c r="Z2259" s="4" t="s">
        <v>2272</v>
      </c>
      <c r="AA2259" s="4" t="s">
        <v>2272</v>
      </c>
      <c r="AB2259" s="198"/>
      <c r="AC2259" s="198"/>
    </row>
    <row r="2260" spans="1:29" s="197" customFormat="1" ht="46" customHeight="1">
      <c r="A2260" s="151" t="str">
        <f>'Reported burning'!A2260</f>
        <v>267f</v>
      </c>
      <c r="B2260" s="151" t="str">
        <f>'Reported burning'!B2260</f>
        <v>267f.4</v>
      </c>
      <c r="C2260" s="151" t="str">
        <f>'Reported burning'!C2260</f>
        <v>Human, deliberate</v>
      </c>
      <c r="D2260" s="151" t="str">
        <f>'Reported burning'!D2260</f>
        <v>Forest clearance</v>
      </c>
      <c r="E2260" s="151" t="str">
        <f>'Reported burning'!E2260</f>
        <v>Mixed cropping-livestock small holder, Market-oriented</v>
      </c>
      <c r="F2260" s="151" t="str">
        <f>'Reported burning'!F2260</f>
        <v>Cropland</v>
      </c>
      <c r="G2260" s="151" t="str">
        <f>'Reported burning'!G2260</f>
        <v>Cropland</v>
      </c>
      <c r="H2260" s="151" t="str">
        <f>'Reported burning'!H2260</f>
        <v>Absence</v>
      </c>
      <c r="I2260" s="198"/>
      <c r="J2260" s="4">
        <v>0</v>
      </c>
      <c r="K2260" s="4">
        <v>0</v>
      </c>
      <c r="L2260" s="4">
        <v>0</v>
      </c>
      <c r="M2260" s="4">
        <v>0</v>
      </c>
      <c r="N2260" s="4">
        <v>0</v>
      </c>
      <c r="O2260" s="4">
        <v>0</v>
      </c>
      <c r="P2260" s="4">
        <v>0</v>
      </c>
      <c r="Q2260" s="4">
        <v>0</v>
      </c>
      <c r="R2260" s="4">
        <v>0</v>
      </c>
      <c r="S2260" s="4">
        <v>0</v>
      </c>
      <c r="T2260" s="4">
        <v>0</v>
      </c>
      <c r="U2260" s="4">
        <v>0</v>
      </c>
      <c r="V2260" s="4">
        <v>0</v>
      </c>
      <c r="W2260" s="4">
        <v>0</v>
      </c>
      <c r="X2260" s="4" t="s">
        <v>2272</v>
      </c>
      <c r="Y2260" s="4">
        <v>0</v>
      </c>
      <c r="Z2260" s="4" t="s">
        <v>2272</v>
      </c>
      <c r="AA2260" s="4" t="s">
        <v>2272</v>
      </c>
      <c r="AB2260" s="198"/>
      <c r="AC2260" s="198"/>
    </row>
    <row r="2261" spans="1:29" s="197" customFormat="1" ht="46" customHeight="1">
      <c r="A2261" s="151" t="str">
        <f>'Reported burning'!A2261</f>
        <v>267f</v>
      </c>
      <c r="B2261" s="151" t="str">
        <f>'Reported burning'!B2261</f>
        <v>267f.5</v>
      </c>
      <c r="C2261" s="151" t="str">
        <f>'Reported burning'!C2261</f>
        <v>Human, escaped</v>
      </c>
      <c r="D2261" s="151" t="str">
        <f>'Reported burning'!D2261</f>
        <v>Pasture renewal</v>
      </c>
      <c r="E2261" s="151" t="str">
        <f>'Reported burning'!E2261</f>
        <v>Mixed cropping-livestock small holder, Market-oriented</v>
      </c>
      <c r="F2261" s="151" t="str">
        <f>'Reported burning'!F2261</f>
        <v>Pasture</v>
      </c>
      <c r="G2261" s="151" t="str">
        <f>'Reported burning'!G2261</f>
        <v>Cropland</v>
      </c>
      <c r="H2261" s="151" t="str">
        <f>'Reported burning'!H2261</f>
        <v>Presence</v>
      </c>
      <c r="I2261" s="198"/>
      <c r="J2261" s="4" t="s">
        <v>2272</v>
      </c>
      <c r="K2261" s="4" t="s">
        <v>2272</v>
      </c>
      <c r="L2261" s="4" t="s">
        <v>2272</v>
      </c>
      <c r="M2261" s="4" t="s">
        <v>2272</v>
      </c>
      <c r="N2261" s="4" t="s">
        <v>2272</v>
      </c>
      <c r="O2261" s="4" t="s">
        <v>2272</v>
      </c>
      <c r="P2261" s="4" t="s">
        <v>2272</v>
      </c>
      <c r="Q2261" s="4" t="s">
        <v>2272</v>
      </c>
      <c r="R2261" s="4" t="s">
        <v>2272</v>
      </c>
      <c r="S2261" s="4" t="s">
        <v>2272</v>
      </c>
      <c r="T2261" s="4" t="s">
        <v>2272</v>
      </c>
      <c r="U2261" s="4" t="s">
        <v>2272</v>
      </c>
      <c r="V2261" s="4" t="s">
        <v>2272</v>
      </c>
      <c r="W2261" s="4" t="s">
        <v>2272</v>
      </c>
      <c r="X2261" s="4" t="s">
        <v>2272</v>
      </c>
      <c r="Y2261" s="4" t="s">
        <v>2272</v>
      </c>
      <c r="Z2261" s="4" t="s">
        <v>2272</v>
      </c>
      <c r="AA2261" s="4" t="s">
        <v>2272</v>
      </c>
      <c r="AB2261" s="198"/>
      <c r="AC2261" s="198"/>
    </row>
    <row r="2262" spans="1:29" s="197" customFormat="1" ht="46" customHeight="1">
      <c r="A2262" s="151" t="str">
        <f>'Reported burning'!A2262</f>
        <v>267f</v>
      </c>
      <c r="B2262" s="151" t="str">
        <f>'Reported burning'!B2262</f>
        <v>267f.6</v>
      </c>
      <c r="C2262" s="151" t="str">
        <f>'Reported burning'!C2262</f>
        <v>Human, deliberate</v>
      </c>
      <c r="D2262" s="151" t="str">
        <f>'Reported burning'!D2262</f>
        <v>Pasture renewal</v>
      </c>
      <c r="E2262" s="151" t="str">
        <f>'Reported burning'!E2262</f>
        <v>Mixed cropping-livestock small holder, Market-oriented</v>
      </c>
      <c r="F2262" s="151" t="str">
        <f>'Reported burning'!F2262</f>
        <v>Pasture</v>
      </c>
      <c r="G2262" s="151" t="str">
        <f>'Reported burning'!G2262</f>
        <v>Cropland</v>
      </c>
      <c r="H2262" s="151" t="str">
        <f>'Reported burning'!H2262</f>
        <v>Presence</v>
      </c>
      <c r="I2262" s="198"/>
      <c r="J2262" s="4" t="s">
        <v>2272</v>
      </c>
      <c r="K2262" s="4" t="s">
        <v>2272</v>
      </c>
      <c r="L2262" s="4" t="s">
        <v>2272</v>
      </c>
      <c r="M2262" s="4" t="s">
        <v>2272</v>
      </c>
      <c r="N2262" s="4" t="s">
        <v>2272</v>
      </c>
      <c r="O2262" s="4" t="s">
        <v>2272</v>
      </c>
      <c r="P2262" s="4" t="s">
        <v>2272</v>
      </c>
      <c r="Q2262" s="4" t="s">
        <v>2272</v>
      </c>
      <c r="R2262" s="4" t="s">
        <v>2272</v>
      </c>
      <c r="S2262" s="4" t="s">
        <v>2272</v>
      </c>
      <c r="T2262" s="4" t="s">
        <v>2272</v>
      </c>
      <c r="U2262" s="4" t="s">
        <v>2272</v>
      </c>
      <c r="V2262" s="4" t="s">
        <v>2272</v>
      </c>
      <c r="W2262" s="4" t="s">
        <v>2272</v>
      </c>
      <c r="X2262" s="4" t="s">
        <v>2272</v>
      </c>
      <c r="Y2262" s="4" t="s">
        <v>2272</v>
      </c>
      <c r="Z2262" s="4" t="s">
        <v>2272</v>
      </c>
      <c r="AA2262" s="4" t="s">
        <v>2272</v>
      </c>
      <c r="AB2262" s="198"/>
      <c r="AC2262" s="198"/>
    </row>
    <row r="2263" spans="1:29" s="197" customFormat="1" ht="46" customHeight="1">
      <c r="A2263" s="151" t="str">
        <f>'Reported burning'!A2263</f>
        <v>267f</v>
      </c>
      <c r="B2263" s="151" t="str">
        <f>'Reported burning'!B2263</f>
        <v>267f.7</v>
      </c>
      <c r="C2263" s="151" t="str">
        <f>'Reported burning'!C2263</f>
        <v>Human, deliberate</v>
      </c>
      <c r="D2263" s="151" t="str">
        <f>'Reported burning'!D2263</f>
        <v>Arson</v>
      </c>
      <c r="E2263" s="151" t="str">
        <f>'Reported burning'!E2263</f>
        <v>Mixed cropping-livestock small holder, Market-oriented</v>
      </c>
      <c r="F2263" s="151" t="str">
        <f>'Reported burning'!F2263</f>
        <v>ND</v>
      </c>
      <c r="G2263" s="151" t="str">
        <f>'Reported burning'!G2263</f>
        <v>ND</v>
      </c>
      <c r="H2263" s="151" t="str">
        <f>'Reported burning'!H2263</f>
        <v>Presence</v>
      </c>
      <c r="I2263" s="198"/>
      <c r="J2263" s="4" t="s">
        <v>2272</v>
      </c>
      <c r="K2263" s="4" t="s">
        <v>2272</v>
      </c>
      <c r="L2263" s="4" t="s">
        <v>2272</v>
      </c>
      <c r="M2263" s="4" t="s">
        <v>2272</v>
      </c>
      <c r="N2263" s="4" t="s">
        <v>2272</v>
      </c>
      <c r="O2263" s="4" t="s">
        <v>2272</v>
      </c>
      <c r="P2263" s="4" t="s">
        <v>2272</v>
      </c>
      <c r="Q2263" s="4" t="s">
        <v>2272</v>
      </c>
      <c r="R2263" s="4" t="s">
        <v>2272</v>
      </c>
      <c r="S2263" s="4" t="s">
        <v>2272</v>
      </c>
      <c r="T2263" s="4" t="s">
        <v>2272</v>
      </c>
      <c r="U2263" s="4" t="s">
        <v>2272</v>
      </c>
      <c r="V2263" s="4" t="s">
        <v>2272</v>
      </c>
      <c r="W2263" s="4" t="s">
        <v>2272</v>
      </c>
      <c r="X2263" s="4" t="s">
        <v>2272</v>
      </c>
      <c r="Y2263" s="4" t="s">
        <v>2272</v>
      </c>
      <c r="Z2263" s="4" t="s">
        <v>2272</v>
      </c>
      <c r="AA2263" s="4" t="s">
        <v>2272</v>
      </c>
      <c r="AB2263" s="198"/>
      <c r="AC2263" s="198"/>
    </row>
    <row r="2264" spans="1:29" s="197" customFormat="1" ht="46" customHeight="1">
      <c r="A2264" s="151" t="str">
        <f>'Reported burning'!A2264</f>
        <v>267g</v>
      </c>
      <c r="B2264" s="151" t="str">
        <f>'Reported burning'!B2264</f>
        <v>267g.1</v>
      </c>
      <c r="C2264" s="151" t="str">
        <f>'Reported burning'!C2264</f>
        <v>Human, escaped</v>
      </c>
      <c r="D2264" s="151" t="str">
        <f>'Reported burning'!D2264</f>
        <v>Crop residue burning</v>
      </c>
      <c r="E2264" s="151" t="str">
        <f>'Reported burning'!E2264</f>
        <v>Mixed cropping-livestock small holder, Market-oriented</v>
      </c>
      <c r="F2264" s="151" t="str">
        <f>'Reported burning'!F2264</f>
        <v>Cropland</v>
      </c>
      <c r="G2264" s="151" t="str">
        <f>'Reported burning'!G2264</f>
        <v>Forest</v>
      </c>
      <c r="H2264" s="151" t="str">
        <f>'Reported burning'!H2264</f>
        <v>Presence</v>
      </c>
      <c r="I2264" s="198"/>
      <c r="J2264" s="4" t="s">
        <v>2272</v>
      </c>
      <c r="K2264" s="4" t="s">
        <v>2272</v>
      </c>
      <c r="L2264" s="4" t="s">
        <v>2272</v>
      </c>
      <c r="M2264" s="4" t="s">
        <v>2272</v>
      </c>
      <c r="N2264" s="4" t="s">
        <v>2272</v>
      </c>
      <c r="O2264" s="4" t="s">
        <v>2272</v>
      </c>
      <c r="P2264" s="4" t="s">
        <v>2272</v>
      </c>
      <c r="Q2264" s="4" t="s">
        <v>2272</v>
      </c>
      <c r="R2264" s="4" t="s">
        <v>2272</v>
      </c>
      <c r="S2264" s="4" t="s">
        <v>2272</v>
      </c>
      <c r="T2264" s="4" t="s">
        <v>2272</v>
      </c>
      <c r="U2264" s="4" t="s">
        <v>2272</v>
      </c>
      <c r="V2264" s="4" t="s">
        <v>2272</v>
      </c>
      <c r="W2264" s="4" t="s">
        <v>2272</v>
      </c>
      <c r="X2264" s="4" t="s">
        <v>2272</v>
      </c>
      <c r="Y2264" s="4" t="s">
        <v>2272</v>
      </c>
      <c r="Z2264" s="4" t="s">
        <v>2272</v>
      </c>
      <c r="AA2264" s="4" t="s">
        <v>2272</v>
      </c>
      <c r="AB2264" s="198"/>
      <c r="AC2264" s="198"/>
    </row>
    <row r="2265" spans="1:29" s="197" customFormat="1" ht="46" customHeight="1">
      <c r="A2265" s="151" t="str">
        <f>'Reported burning'!A2265</f>
        <v>267g</v>
      </c>
      <c r="B2265" s="151" t="str">
        <f>'Reported burning'!B2265</f>
        <v>267g.2</v>
      </c>
      <c r="C2265" s="151" t="str">
        <f>'Reported burning'!C2265</f>
        <v>Human, escaped</v>
      </c>
      <c r="D2265" s="151" t="str">
        <f>'Reported burning'!D2265</f>
        <v>Forest clearance</v>
      </c>
      <c r="E2265" s="151" t="str">
        <f>'Reported burning'!E2265</f>
        <v>Mixed cropping-livestock small holder, Market-oriented</v>
      </c>
      <c r="F2265" s="151" t="str">
        <f>'Reported burning'!F2265</f>
        <v>Cropland</v>
      </c>
      <c r="G2265" s="151" t="str">
        <f>'Reported burning'!G2265</f>
        <v>Forest</v>
      </c>
      <c r="H2265" s="151" t="str">
        <f>'Reported burning'!H2265</f>
        <v>Absence</v>
      </c>
      <c r="I2265" s="198"/>
      <c r="J2265" s="4">
        <v>0</v>
      </c>
      <c r="K2265" s="4">
        <v>0</v>
      </c>
      <c r="L2265" s="4">
        <v>0</v>
      </c>
      <c r="M2265" s="4">
        <v>0</v>
      </c>
      <c r="N2265" s="4">
        <v>0</v>
      </c>
      <c r="O2265" s="4">
        <v>0</v>
      </c>
      <c r="P2265" s="4">
        <v>0</v>
      </c>
      <c r="Q2265" s="4">
        <v>0</v>
      </c>
      <c r="R2265" s="4">
        <v>0</v>
      </c>
      <c r="S2265" s="4">
        <v>0</v>
      </c>
      <c r="T2265" s="4">
        <v>0</v>
      </c>
      <c r="U2265" s="4">
        <v>0</v>
      </c>
      <c r="V2265" s="4">
        <v>0</v>
      </c>
      <c r="W2265" s="4">
        <v>0</v>
      </c>
      <c r="X2265" s="4" t="s">
        <v>2272</v>
      </c>
      <c r="Y2265" s="4">
        <v>0</v>
      </c>
      <c r="Z2265" s="4" t="s">
        <v>2272</v>
      </c>
      <c r="AA2265" s="4" t="s">
        <v>2272</v>
      </c>
      <c r="AB2265" s="198"/>
      <c r="AC2265" s="198"/>
    </row>
    <row r="2266" spans="1:29" s="197" customFormat="1" ht="46" customHeight="1">
      <c r="A2266" s="151" t="str">
        <f>'Reported burning'!A2266</f>
        <v>267g</v>
      </c>
      <c r="B2266" s="151" t="str">
        <f>'Reported burning'!B2266</f>
        <v>267g.3</v>
      </c>
      <c r="C2266" s="151" t="str">
        <f>'Reported burning'!C2266</f>
        <v>Human, deliberate</v>
      </c>
      <c r="D2266" s="151" t="str">
        <f>'Reported burning'!D2266</f>
        <v>Crop residue burning</v>
      </c>
      <c r="E2266" s="151" t="str">
        <f>'Reported burning'!E2266</f>
        <v>Mixed cropping-livestock small holder, Market-oriented</v>
      </c>
      <c r="F2266" s="151" t="str">
        <f>'Reported burning'!F2266</f>
        <v>Cropland</v>
      </c>
      <c r="G2266" s="151" t="str">
        <f>'Reported burning'!G2266</f>
        <v>Cropland</v>
      </c>
      <c r="H2266" s="151" t="str">
        <f>'Reported burning'!H2266</f>
        <v>Presence</v>
      </c>
      <c r="I2266" s="198"/>
      <c r="J2266" s="4" t="s">
        <v>2272</v>
      </c>
      <c r="K2266" s="4" t="s">
        <v>2272</v>
      </c>
      <c r="L2266" s="4" t="s">
        <v>2272</v>
      </c>
      <c r="M2266" s="4" t="s">
        <v>2272</v>
      </c>
      <c r="N2266" s="4" t="s">
        <v>2272</v>
      </c>
      <c r="O2266" s="4" t="s">
        <v>2272</v>
      </c>
      <c r="P2266" s="4" t="s">
        <v>2272</v>
      </c>
      <c r="Q2266" s="4" t="s">
        <v>2272</v>
      </c>
      <c r="R2266" s="4" t="s">
        <v>2272</v>
      </c>
      <c r="S2266" s="4" t="s">
        <v>2272</v>
      </c>
      <c r="T2266" s="4" t="s">
        <v>2272</v>
      </c>
      <c r="U2266" s="4" t="s">
        <v>2272</v>
      </c>
      <c r="V2266" s="4" t="s">
        <v>2272</v>
      </c>
      <c r="W2266" s="4" t="s">
        <v>2272</v>
      </c>
      <c r="X2266" s="4" t="s">
        <v>2272</v>
      </c>
      <c r="Y2266" s="4" t="s">
        <v>2272</v>
      </c>
      <c r="Z2266" s="4" t="s">
        <v>2272</v>
      </c>
      <c r="AA2266" s="4" t="s">
        <v>2272</v>
      </c>
      <c r="AB2266" s="198"/>
      <c r="AC2266" s="198"/>
    </row>
    <row r="2267" spans="1:29" s="197" customFormat="1" ht="46" customHeight="1">
      <c r="A2267" s="151" t="str">
        <f>'Reported burning'!A2267</f>
        <v>267g</v>
      </c>
      <c r="B2267" s="151" t="str">
        <f>'Reported burning'!B2267</f>
        <v>267g.4</v>
      </c>
      <c r="C2267" s="151" t="str">
        <f>'Reported burning'!C2267</f>
        <v>Human, deliberate</v>
      </c>
      <c r="D2267" s="151" t="str">
        <f>'Reported burning'!D2267</f>
        <v>Forest clearance</v>
      </c>
      <c r="E2267" s="151" t="str">
        <f>'Reported burning'!E2267</f>
        <v>Mixed cropping-livestock small holder, Market-oriented</v>
      </c>
      <c r="F2267" s="151" t="str">
        <f>'Reported burning'!F2267</f>
        <v>Cropland</v>
      </c>
      <c r="G2267" s="151" t="str">
        <f>'Reported burning'!G2267</f>
        <v>Cropland</v>
      </c>
      <c r="H2267" s="151" t="str">
        <f>'Reported burning'!H2267</f>
        <v>Absence</v>
      </c>
      <c r="I2267" s="198"/>
      <c r="J2267" s="4">
        <v>0</v>
      </c>
      <c r="K2267" s="4">
        <v>0</v>
      </c>
      <c r="L2267" s="4">
        <v>0</v>
      </c>
      <c r="M2267" s="4">
        <v>0</v>
      </c>
      <c r="N2267" s="4">
        <v>0</v>
      </c>
      <c r="O2267" s="4">
        <v>0</v>
      </c>
      <c r="P2267" s="4">
        <v>0</v>
      </c>
      <c r="Q2267" s="4">
        <v>0</v>
      </c>
      <c r="R2267" s="4">
        <v>0</v>
      </c>
      <c r="S2267" s="4">
        <v>0</v>
      </c>
      <c r="T2267" s="4">
        <v>0</v>
      </c>
      <c r="U2267" s="4">
        <v>0</v>
      </c>
      <c r="V2267" s="4">
        <v>0</v>
      </c>
      <c r="W2267" s="4">
        <v>0</v>
      </c>
      <c r="X2267" s="4" t="s">
        <v>2272</v>
      </c>
      <c r="Y2267" s="4">
        <v>0</v>
      </c>
      <c r="Z2267" s="4" t="s">
        <v>2272</v>
      </c>
      <c r="AA2267" s="4" t="s">
        <v>2272</v>
      </c>
      <c r="AB2267" s="198"/>
      <c r="AC2267" s="198"/>
    </row>
    <row r="2268" spans="1:29" s="197" customFormat="1" ht="46" customHeight="1">
      <c r="A2268" s="151" t="str">
        <f>'Reported burning'!A2268</f>
        <v>267g</v>
      </c>
      <c r="B2268" s="151" t="str">
        <f>'Reported burning'!B2268</f>
        <v>267g.5</v>
      </c>
      <c r="C2268" s="151" t="str">
        <f>'Reported burning'!C2268</f>
        <v>Human, escaped</v>
      </c>
      <c r="D2268" s="151" t="str">
        <f>'Reported burning'!D2268</f>
        <v>Pasture renewal</v>
      </c>
      <c r="E2268" s="151" t="str">
        <f>'Reported burning'!E2268</f>
        <v>Mixed cropping-livestock small holder, Market-oriented</v>
      </c>
      <c r="F2268" s="151" t="str">
        <f>'Reported burning'!F2268</f>
        <v>Pasture</v>
      </c>
      <c r="G2268" s="151" t="str">
        <f>'Reported burning'!G2268</f>
        <v>Cropland</v>
      </c>
      <c r="H2268" s="151" t="str">
        <f>'Reported burning'!H2268</f>
        <v>Presence</v>
      </c>
      <c r="I2268" s="198"/>
      <c r="J2268" s="4" t="s">
        <v>2272</v>
      </c>
      <c r="K2268" s="4" t="s">
        <v>2272</v>
      </c>
      <c r="L2268" s="4" t="s">
        <v>2272</v>
      </c>
      <c r="M2268" s="4" t="s">
        <v>2272</v>
      </c>
      <c r="N2268" s="4" t="s">
        <v>2272</v>
      </c>
      <c r="O2268" s="4" t="s">
        <v>2272</v>
      </c>
      <c r="P2268" s="4" t="s">
        <v>2272</v>
      </c>
      <c r="Q2268" s="4" t="s">
        <v>2272</v>
      </c>
      <c r="R2268" s="4" t="s">
        <v>2272</v>
      </c>
      <c r="S2268" s="4" t="s">
        <v>2272</v>
      </c>
      <c r="T2268" s="4" t="s">
        <v>2272</v>
      </c>
      <c r="U2268" s="4" t="s">
        <v>2272</v>
      </c>
      <c r="V2268" s="4" t="s">
        <v>2272</v>
      </c>
      <c r="W2268" s="4" t="s">
        <v>2272</v>
      </c>
      <c r="X2268" s="4" t="s">
        <v>2272</v>
      </c>
      <c r="Y2268" s="4" t="s">
        <v>2272</v>
      </c>
      <c r="Z2268" s="4" t="s">
        <v>2272</v>
      </c>
      <c r="AA2268" s="4" t="s">
        <v>2272</v>
      </c>
      <c r="AB2268" s="198"/>
      <c r="AC2268" s="198"/>
    </row>
    <row r="2269" spans="1:29" s="197" customFormat="1" ht="46" customHeight="1">
      <c r="A2269" s="151" t="str">
        <f>'Reported burning'!A2269</f>
        <v>267g</v>
      </c>
      <c r="B2269" s="151" t="str">
        <f>'Reported burning'!B2269</f>
        <v>267g.6</v>
      </c>
      <c r="C2269" s="151" t="str">
        <f>'Reported burning'!C2269</f>
        <v>Human, deliberate</v>
      </c>
      <c r="D2269" s="151" t="str">
        <f>'Reported burning'!D2269</f>
        <v>Pasture renewal</v>
      </c>
      <c r="E2269" s="151" t="str">
        <f>'Reported burning'!E2269</f>
        <v>Mixed cropping-livestock small holder, Market-oriented</v>
      </c>
      <c r="F2269" s="151" t="str">
        <f>'Reported burning'!F2269</f>
        <v>Pasture</v>
      </c>
      <c r="G2269" s="151" t="str">
        <f>'Reported burning'!G2269</f>
        <v>Cropland</v>
      </c>
      <c r="H2269" s="151" t="str">
        <f>'Reported burning'!H2269</f>
        <v>Presence</v>
      </c>
      <c r="I2269" s="198"/>
      <c r="J2269" s="4" t="s">
        <v>2272</v>
      </c>
      <c r="K2269" s="4" t="s">
        <v>2272</v>
      </c>
      <c r="L2269" s="4" t="s">
        <v>2272</v>
      </c>
      <c r="M2269" s="4" t="s">
        <v>2272</v>
      </c>
      <c r="N2269" s="4" t="s">
        <v>2272</v>
      </c>
      <c r="O2269" s="4" t="s">
        <v>2272</v>
      </c>
      <c r="P2269" s="4" t="s">
        <v>2272</v>
      </c>
      <c r="Q2269" s="4" t="s">
        <v>2272</v>
      </c>
      <c r="R2269" s="4" t="s">
        <v>2272</v>
      </c>
      <c r="S2269" s="4" t="s">
        <v>2272</v>
      </c>
      <c r="T2269" s="4" t="s">
        <v>2272</v>
      </c>
      <c r="U2269" s="4" t="s">
        <v>2272</v>
      </c>
      <c r="V2269" s="4" t="s">
        <v>2272</v>
      </c>
      <c r="W2269" s="4" t="s">
        <v>2272</v>
      </c>
      <c r="X2269" s="4" t="s">
        <v>2272</v>
      </c>
      <c r="Y2269" s="4" t="s">
        <v>2272</v>
      </c>
      <c r="Z2269" s="4" t="s">
        <v>2272</v>
      </c>
      <c r="AA2269" s="4" t="s">
        <v>2272</v>
      </c>
      <c r="AB2269" s="198"/>
      <c r="AC2269" s="198"/>
    </row>
    <row r="2270" spans="1:29" s="197" customFormat="1" ht="46" customHeight="1">
      <c r="A2270" s="151" t="str">
        <f>'Reported burning'!A2270</f>
        <v>267g</v>
      </c>
      <c r="B2270" s="151" t="str">
        <f>'Reported burning'!B2270</f>
        <v>267g.7</v>
      </c>
      <c r="C2270" s="151" t="str">
        <f>'Reported burning'!C2270</f>
        <v>Human, deliberate</v>
      </c>
      <c r="D2270" s="151" t="str">
        <f>'Reported burning'!D2270</f>
        <v>Arson</v>
      </c>
      <c r="E2270" s="151" t="str">
        <f>'Reported burning'!E2270</f>
        <v>Mixed cropping-livestock small holder, Market-oriented</v>
      </c>
      <c r="F2270" s="151" t="str">
        <f>'Reported burning'!F2270</f>
        <v>ND</v>
      </c>
      <c r="G2270" s="151" t="str">
        <f>'Reported burning'!G2270</f>
        <v>ND</v>
      </c>
      <c r="H2270" s="151" t="str">
        <f>'Reported burning'!H2270</f>
        <v>Presence</v>
      </c>
      <c r="I2270" s="198"/>
      <c r="J2270" s="4" t="s">
        <v>2272</v>
      </c>
      <c r="K2270" s="4" t="s">
        <v>2272</v>
      </c>
      <c r="L2270" s="4" t="s">
        <v>2272</v>
      </c>
      <c r="M2270" s="4" t="s">
        <v>2272</v>
      </c>
      <c r="N2270" s="4" t="s">
        <v>2272</v>
      </c>
      <c r="O2270" s="4" t="s">
        <v>2272</v>
      </c>
      <c r="P2270" s="4" t="s">
        <v>2272</v>
      </c>
      <c r="Q2270" s="4" t="s">
        <v>2272</v>
      </c>
      <c r="R2270" s="4" t="s">
        <v>2272</v>
      </c>
      <c r="S2270" s="4" t="s">
        <v>2272</v>
      </c>
      <c r="T2270" s="4" t="s">
        <v>2272</v>
      </c>
      <c r="U2270" s="4" t="s">
        <v>2272</v>
      </c>
      <c r="V2270" s="4" t="s">
        <v>2272</v>
      </c>
      <c r="W2270" s="4" t="s">
        <v>2272</v>
      </c>
      <c r="X2270" s="4" t="s">
        <v>2272</v>
      </c>
      <c r="Y2270" s="4" t="s">
        <v>2272</v>
      </c>
      <c r="Z2270" s="4" t="s">
        <v>2272</v>
      </c>
      <c r="AA2270" s="4" t="s">
        <v>2272</v>
      </c>
      <c r="AB2270" s="198"/>
      <c r="AC2270" s="198"/>
    </row>
    <row r="2271" spans="1:29" s="197" customFormat="1" ht="46" customHeight="1">
      <c r="A2271" s="151" t="str">
        <f>'Reported burning'!A2271</f>
        <v>267h</v>
      </c>
      <c r="B2271" s="151" t="str">
        <f>'Reported burning'!B2271</f>
        <v>267h.1</v>
      </c>
      <c r="C2271" s="151" t="str">
        <f>'Reported burning'!C2271</f>
        <v>Human, escaped</v>
      </c>
      <c r="D2271" s="151" t="str">
        <f>'Reported burning'!D2271</f>
        <v>Crop residue burning</v>
      </c>
      <c r="E2271" s="151" t="str">
        <f>'Reported burning'!E2271</f>
        <v>Mixed cropping-livestock small holder, Market-oriented</v>
      </c>
      <c r="F2271" s="151" t="str">
        <f>'Reported burning'!F2271</f>
        <v>Cropland</v>
      </c>
      <c r="G2271" s="151" t="str">
        <f>'Reported burning'!G2271</f>
        <v>Forest</v>
      </c>
      <c r="H2271" s="151" t="str">
        <f>'Reported burning'!H2271</f>
        <v>Presence</v>
      </c>
      <c r="I2271" s="198"/>
      <c r="J2271" s="4" t="s">
        <v>2272</v>
      </c>
      <c r="K2271" s="4" t="s">
        <v>2272</v>
      </c>
      <c r="L2271" s="4" t="s">
        <v>2272</v>
      </c>
      <c r="M2271" s="4" t="s">
        <v>2272</v>
      </c>
      <c r="N2271" s="4" t="s">
        <v>2272</v>
      </c>
      <c r="O2271" s="4" t="s">
        <v>2272</v>
      </c>
      <c r="P2271" s="4" t="s">
        <v>2272</v>
      </c>
      <c r="Q2271" s="4" t="s">
        <v>2272</v>
      </c>
      <c r="R2271" s="4" t="s">
        <v>2272</v>
      </c>
      <c r="S2271" s="4" t="s">
        <v>2272</v>
      </c>
      <c r="T2271" s="4" t="s">
        <v>2272</v>
      </c>
      <c r="U2271" s="4" t="s">
        <v>2272</v>
      </c>
      <c r="V2271" s="4" t="s">
        <v>2272</v>
      </c>
      <c r="W2271" s="4" t="s">
        <v>2272</v>
      </c>
      <c r="X2271" s="4" t="s">
        <v>2272</v>
      </c>
      <c r="Y2271" s="4" t="s">
        <v>2272</v>
      </c>
      <c r="Z2271" s="4" t="s">
        <v>2272</v>
      </c>
      <c r="AA2271" s="4" t="s">
        <v>2272</v>
      </c>
      <c r="AB2271" s="198"/>
      <c r="AC2271" s="198"/>
    </row>
    <row r="2272" spans="1:29" s="197" customFormat="1" ht="46" customHeight="1">
      <c r="A2272" s="151" t="str">
        <f>'Reported burning'!A2272</f>
        <v>267h</v>
      </c>
      <c r="B2272" s="151" t="str">
        <f>'Reported burning'!B2272</f>
        <v>267h.2</v>
      </c>
      <c r="C2272" s="151" t="str">
        <f>'Reported burning'!C2272</f>
        <v>Human, escaped</v>
      </c>
      <c r="D2272" s="151" t="str">
        <f>'Reported burning'!D2272</f>
        <v>Forest clearance</v>
      </c>
      <c r="E2272" s="151" t="str">
        <f>'Reported burning'!E2272</f>
        <v>Mixed cropping-livestock small holder, Market-oriented</v>
      </c>
      <c r="F2272" s="151" t="str">
        <f>'Reported burning'!F2272</f>
        <v>Cropland</v>
      </c>
      <c r="G2272" s="151" t="str">
        <f>'Reported burning'!G2272</f>
        <v>Forest</v>
      </c>
      <c r="H2272" s="151" t="str">
        <f>'Reported burning'!H2272</f>
        <v>Absence</v>
      </c>
      <c r="I2272" s="198"/>
      <c r="J2272" s="4">
        <v>0</v>
      </c>
      <c r="K2272" s="4">
        <v>0</v>
      </c>
      <c r="L2272" s="4">
        <v>0</v>
      </c>
      <c r="M2272" s="4">
        <v>0</v>
      </c>
      <c r="N2272" s="4">
        <v>0</v>
      </c>
      <c r="O2272" s="4">
        <v>0</v>
      </c>
      <c r="P2272" s="4">
        <v>0</v>
      </c>
      <c r="Q2272" s="4">
        <v>0</v>
      </c>
      <c r="R2272" s="4">
        <v>0</v>
      </c>
      <c r="S2272" s="4">
        <v>0</v>
      </c>
      <c r="T2272" s="4">
        <v>0</v>
      </c>
      <c r="U2272" s="4">
        <v>0</v>
      </c>
      <c r="V2272" s="4">
        <v>0</v>
      </c>
      <c r="W2272" s="4">
        <v>0</v>
      </c>
      <c r="X2272" s="4" t="s">
        <v>2272</v>
      </c>
      <c r="Y2272" s="4">
        <v>0</v>
      </c>
      <c r="Z2272" s="4" t="s">
        <v>2272</v>
      </c>
      <c r="AA2272" s="4" t="s">
        <v>2272</v>
      </c>
      <c r="AB2272" s="198"/>
      <c r="AC2272" s="198"/>
    </row>
    <row r="2273" spans="1:29" s="197" customFormat="1" ht="46" customHeight="1">
      <c r="A2273" s="151" t="str">
        <f>'Reported burning'!A2273</f>
        <v>267h</v>
      </c>
      <c r="B2273" s="151" t="str">
        <f>'Reported burning'!B2273</f>
        <v>267h.3</v>
      </c>
      <c r="C2273" s="151" t="str">
        <f>'Reported burning'!C2273</f>
        <v>Human, deliberate</v>
      </c>
      <c r="D2273" s="151" t="str">
        <f>'Reported burning'!D2273</f>
        <v>Crop residue burning</v>
      </c>
      <c r="E2273" s="151" t="str">
        <f>'Reported burning'!E2273</f>
        <v>Mixed cropping-livestock small holder, Market-oriented</v>
      </c>
      <c r="F2273" s="151" t="str">
        <f>'Reported burning'!F2273</f>
        <v>Cropland</v>
      </c>
      <c r="G2273" s="151" t="str">
        <f>'Reported burning'!G2273</f>
        <v>Cropland</v>
      </c>
      <c r="H2273" s="151" t="str">
        <f>'Reported burning'!H2273</f>
        <v>Presence</v>
      </c>
      <c r="I2273" s="198"/>
      <c r="J2273" s="4" t="s">
        <v>2272</v>
      </c>
      <c r="K2273" s="4" t="s">
        <v>2272</v>
      </c>
      <c r="L2273" s="4" t="s">
        <v>2272</v>
      </c>
      <c r="M2273" s="4" t="s">
        <v>2272</v>
      </c>
      <c r="N2273" s="4" t="s">
        <v>2272</v>
      </c>
      <c r="O2273" s="4" t="s">
        <v>2272</v>
      </c>
      <c r="P2273" s="4" t="s">
        <v>2272</v>
      </c>
      <c r="Q2273" s="4" t="s">
        <v>2272</v>
      </c>
      <c r="R2273" s="4" t="s">
        <v>2272</v>
      </c>
      <c r="S2273" s="4" t="s">
        <v>2272</v>
      </c>
      <c r="T2273" s="4" t="s">
        <v>2272</v>
      </c>
      <c r="U2273" s="4" t="s">
        <v>2272</v>
      </c>
      <c r="V2273" s="4" t="s">
        <v>2272</v>
      </c>
      <c r="W2273" s="4" t="s">
        <v>2272</v>
      </c>
      <c r="X2273" s="4" t="s">
        <v>2272</v>
      </c>
      <c r="Y2273" s="4" t="s">
        <v>2272</v>
      </c>
      <c r="Z2273" s="4" t="s">
        <v>2272</v>
      </c>
      <c r="AA2273" s="4" t="s">
        <v>2272</v>
      </c>
      <c r="AB2273" s="198"/>
      <c r="AC2273" s="198"/>
    </row>
    <row r="2274" spans="1:29" s="197" customFormat="1" ht="46" customHeight="1">
      <c r="A2274" s="151" t="str">
        <f>'Reported burning'!A2274</f>
        <v>267h</v>
      </c>
      <c r="B2274" s="151" t="str">
        <f>'Reported burning'!B2274</f>
        <v>267h.4</v>
      </c>
      <c r="C2274" s="151" t="str">
        <f>'Reported burning'!C2274</f>
        <v>Human, deliberate</v>
      </c>
      <c r="D2274" s="151" t="str">
        <f>'Reported burning'!D2274</f>
        <v>Forest clearance</v>
      </c>
      <c r="E2274" s="151" t="str">
        <f>'Reported burning'!E2274</f>
        <v>Mixed cropping-livestock small holder, Market-oriented</v>
      </c>
      <c r="F2274" s="151" t="str">
        <f>'Reported burning'!F2274</f>
        <v>Cropland</v>
      </c>
      <c r="G2274" s="151" t="str">
        <f>'Reported burning'!G2274</f>
        <v>Cropland</v>
      </c>
      <c r="H2274" s="151" t="str">
        <f>'Reported burning'!H2274</f>
        <v>Absence</v>
      </c>
      <c r="I2274" s="198"/>
      <c r="J2274" s="4">
        <v>0</v>
      </c>
      <c r="K2274" s="4">
        <v>0</v>
      </c>
      <c r="L2274" s="4">
        <v>0</v>
      </c>
      <c r="M2274" s="4">
        <v>0</v>
      </c>
      <c r="N2274" s="4">
        <v>0</v>
      </c>
      <c r="O2274" s="4">
        <v>0</v>
      </c>
      <c r="P2274" s="4">
        <v>0</v>
      </c>
      <c r="Q2274" s="4">
        <v>0</v>
      </c>
      <c r="R2274" s="4">
        <v>0</v>
      </c>
      <c r="S2274" s="4">
        <v>0</v>
      </c>
      <c r="T2274" s="4">
        <v>0</v>
      </c>
      <c r="U2274" s="4">
        <v>0</v>
      </c>
      <c r="V2274" s="4">
        <v>0</v>
      </c>
      <c r="W2274" s="4">
        <v>0</v>
      </c>
      <c r="X2274" s="4" t="s">
        <v>2272</v>
      </c>
      <c r="Y2274" s="4">
        <v>0</v>
      </c>
      <c r="Z2274" s="4" t="s">
        <v>2272</v>
      </c>
      <c r="AA2274" s="4" t="s">
        <v>2272</v>
      </c>
      <c r="AB2274" s="198"/>
      <c r="AC2274" s="198"/>
    </row>
    <row r="2275" spans="1:29" s="197" customFormat="1" ht="46" customHeight="1">
      <c r="A2275" s="151" t="str">
        <f>'Reported burning'!A2275</f>
        <v>267h</v>
      </c>
      <c r="B2275" s="151" t="str">
        <f>'Reported burning'!B2275</f>
        <v>267h.5</v>
      </c>
      <c r="C2275" s="151" t="str">
        <f>'Reported burning'!C2275</f>
        <v>Human, escaped</v>
      </c>
      <c r="D2275" s="151" t="str">
        <f>'Reported burning'!D2275</f>
        <v>Pasture renewal</v>
      </c>
      <c r="E2275" s="151" t="str">
        <f>'Reported burning'!E2275</f>
        <v>Mixed cropping-livestock small holder, Market-oriented</v>
      </c>
      <c r="F2275" s="151" t="str">
        <f>'Reported burning'!F2275</f>
        <v>Pasture</v>
      </c>
      <c r="G2275" s="151" t="str">
        <f>'Reported burning'!G2275</f>
        <v>Cropland</v>
      </c>
      <c r="H2275" s="151" t="str">
        <f>'Reported burning'!H2275</f>
        <v>Presence</v>
      </c>
      <c r="I2275" s="198"/>
      <c r="J2275" s="4" t="s">
        <v>2272</v>
      </c>
      <c r="K2275" s="4" t="s">
        <v>2272</v>
      </c>
      <c r="L2275" s="4" t="s">
        <v>2272</v>
      </c>
      <c r="M2275" s="4" t="s">
        <v>2272</v>
      </c>
      <c r="N2275" s="4" t="s">
        <v>2272</v>
      </c>
      <c r="O2275" s="4" t="s">
        <v>2272</v>
      </c>
      <c r="P2275" s="4" t="s">
        <v>2272</v>
      </c>
      <c r="Q2275" s="4" t="s">
        <v>2272</v>
      </c>
      <c r="R2275" s="4" t="s">
        <v>2272</v>
      </c>
      <c r="S2275" s="4" t="s">
        <v>2272</v>
      </c>
      <c r="T2275" s="4" t="s">
        <v>2272</v>
      </c>
      <c r="U2275" s="4" t="s">
        <v>2272</v>
      </c>
      <c r="V2275" s="4" t="s">
        <v>2272</v>
      </c>
      <c r="W2275" s="4" t="s">
        <v>2272</v>
      </c>
      <c r="X2275" s="4" t="s">
        <v>2272</v>
      </c>
      <c r="Y2275" s="4" t="s">
        <v>2272</v>
      </c>
      <c r="Z2275" s="4" t="s">
        <v>2272</v>
      </c>
      <c r="AA2275" s="4" t="s">
        <v>2272</v>
      </c>
      <c r="AB2275" s="198"/>
      <c r="AC2275" s="198"/>
    </row>
    <row r="2276" spans="1:29" s="197" customFormat="1" ht="46" customHeight="1">
      <c r="A2276" s="151" t="str">
        <f>'Reported burning'!A2276</f>
        <v>267h</v>
      </c>
      <c r="B2276" s="151" t="str">
        <f>'Reported burning'!B2276</f>
        <v>267h.6</v>
      </c>
      <c r="C2276" s="151" t="str">
        <f>'Reported burning'!C2276</f>
        <v>Human, deliberate</v>
      </c>
      <c r="D2276" s="151" t="str">
        <f>'Reported burning'!D2276</f>
        <v>Pasture renewal</v>
      </c>
      <c r="E2276" s="151" t="str">
        <f>'Reported burning'!E2276</f>
        <v>Mixed cropping-livestock small holder, Market-oriented</v>
      </c>
      <c r="F2276" s="151" t="str">
        <f>'Reported burning'!F2276</f>
        <v>Pasture</v>
      </c>
      <c r="G2276" s="151" t="str">
        <f>'Reported burning'!G2276</f>
        <v>Cropland</v>
      </c>
      <c r="H2276" s="151" t="str">
        <f>'Reported burning'!H2276</f>
        <v>Presence</v>
      </c>
      <c r="I2276" s="198"/>
      <c r="J2276" s="4" t="s">
        <v>2272</v>
      </c>
      <c r="K2276" s="4" t="s">
        <v>2272</v>
      </c>
      <c r="L2276" s="4" t="s">
        <v>2272</v>
      </c>
      <c r="M2276" s="4" t="s">
        <v>2272</v>
      </c>
      <c r="N2276" s="4" t="s">
        <v>2272</v>
      </c>
      <c r="O2276" s="4" t="s">
        <v>2272</v>
      </c>
      <c r="P2276" s="4" t="s">
        <v>2272</v>
      </c>
      <c r="Q2276" s="4" t="s">
        <v>2272</v>
      </c>
      <c r="R2276" s="4" t="s">
        <v>2272</v>
      </c>
      <c r="S2276" s="4" t="s">
        <v>2272</v>
      </c>
      <c r="T2276" s="4" t="s">
        <v>2272</v>
      </c>
      <c r="U2276" s="4" t="s">
        <v>2272</v>
      </c>
      <c r="V2276" s="4" t="s">
        <v>2272</v>
      </c>
      <c r="W2276" s="4" t="s">
        <v>2272</v>
      </c>
      <c r="X2276" s="4" t="s">
        <v>2272</v>
      </c>
      <c r="Y2276" s="4" t="s">
        <v>2272</v>
      </c>
      <c r="Z2276" s="4" t="s">
        <v>2272</v>
      </c>
      <c r="AA2276" s="4" t="s">
        <v>2272</v>
      </c>
      <c r="AB2276" s="198"/>
      <c r="AC2276" s="198"/>
    </row>
    <row r="2277" spans="1:29" s="197" customFormat="1" ht="46" customHeight="1">
      <c r="A2277" s="151" t="str">
        <f>'Reported burning'!A2277</f>
        <v>267h</v>
      </c>
      <c r="B2277" s="151" t="str">
        <f>'Reported burning'!B2277</f>
        <v>267h.7</v>
      </c>
      <c r="C2277" s="151" t="str">
        <f>'Reported burning'!C2277</f>
        <v>Human, deliberate</v>
      </c>
      <c r="D2277" s="151" t="str">
        <f>'Reported burning'!D2277</f>
        <v>Arson</v>
      </c>
      <c r="E2277" s="151" t="str">
        <f>'Reported burning'!E2277</f>
        <v>Mixed cropping-livestock small holder, Market-oriented</v>
      </c>
      <c r="F2277" s="151" t="str">
        <f>'Reported burning'!F2277</f>
        <v>ND</v>
      </c>
      <c r="G2277" s="151" t="str">
        <f>'Reported burning'!G2277</f>
        <v>ND</v>
      </c>
      <c r="H2277" s="151" t="str">
        <f>'Reported burning'!H2277</f>
        <v>Presence</v>
      </c>
      <c r="I2277" s="198"/>
      <c r="J2277" s="4" t="s">
        <v>2272</v>
      </c>
      <c r="K2277" s="4" t="s">
        <v>2272</v>
      </c>
      <c r="L2277" s="4" t="s">
        <v>2272</v>
      </c>
      <c r="M2277" s="4" t="s">
        <v>2272</v>
      </c>
      <c r="N2277" s="4" t="s">
        <v>2272</v>
      </c>
      <c r="O2277" s="4" t="s">
        <v>2272</v>
      </c>
      <c r="P2277" s="4" t="s">
        <v>2272</v>
      </c>
      <c r="Q2277" s="4" t="s">
        <v>2272</v>
      </c>
      <c r="R2277" s="4" t="s">
        <v>2272</v>
      </c>
      <c r="S2277" s="4" t="s">
        <v>2272</v>
      </c>
      <c r="T2277" s="4" t="s">
        <v>2272</v>
      </c>
      <c r="U2277" s="4" t="s">
        <v>2272</v>
      </c>
      <c r="V2277" s="4" t="s">
        <v>2272</v>
      </c>
      <c r="W2277" s="4" t="s">
        <v>2272</v>
      </c>
      <c r="X2277" s="4" t="s">
        <v>2272</v>
      </c>
      <c r="Y2277" s="4" t="s">
        <v>2272</v>
      </c>
      <c r="Z2277" s="4" t="s">
        <v>2272</v>
      </c>
      <c r="AA2277" s="4" t="s">
        <v>2272</v>
      </c>
      <c r="AB2277" s="198"/>
      <c r="AC2277" s="198"/>
    </row>
    <row r="2278" spans="1:29" s="197" customFormat="1" ht="46" customHeight="1">
      <c r="A2278" s="151" t="str">
        <f>'Reported burning'!A2278</f>
        <v>267i</v>
      </c>
      <c r="B2278" s="151" t="str">
        <f>'Reported burning'!B2278</f>
        <v>267i.1</v>
      </c>
      <c r="C2278" s="151" t="str">
        <f>'Reported burning'!C2278</f>
        <v>Human, escaped</v>
      </c>
      <c r="D2278" s="151" t="str">
        <f>'Reported burning'!D2278</f>
        <v>Crop residue burning</v>
      </c>
      <c r="E2278" s="151" t="str">
        <f>'Reported burning'!E2278</f>
        <v>Mixed cropping-livestock small holder, Market-oriented</v>
      </c>
      <c r="F2278" s="151" t="str">
        <f>'Reported burning'!F2278</f>
        <v>Cropland</v>
      </c>
      <c r="G2278" s="151" t="str">
        <f>'Reported burning'!G2278</f>
        <v>Forest</v>
      </c>
      <c r="H2278" s="151" t="str">
        <f>'Reported burning'!H2278</f>
        <v>Presence</v>
      </c>
      <c r="I2278" s="198"/>
      <c r="J2278" s="4" t="s">
        <v>2272</v>
      </c>
      <c r="K2278" s="4" t="s">
        <v>2272</v>
      </c>
      <c r="L2278" s="4" t="s">
        <v>2272</v>
      </c>
      <c r="M2278" s="4" t="s">
        <v>2272</v>
      </c>
      <c r="N2278" s="4" t="s">
        <v>2272</v>
      </c>
      <c r="O2278" s="4" t="s">
        <v>2272</v>
      </c>
      <c r="P2278" s="4" t="s">
        <v>2272</v>
      </c>
      <c r="Q2278" s="4" t="s">
        <v>2272</v>
      </c>
      <c r="R2278" s="4" t="s">
        <v>2272</v>
      </c>
      <c r="S2278" s="4" t="s">
        <v>2272</v>
      </c>
      <c r="T2278" s="4" t="s">
        <v>2272</v>
      </c>
      <c r="U2278" s="4" t="s">
        <v>2272</v>
      </c>
      <c r="V2278" s="4" t="s">
        <v>2272</v>
      </c>
      <c r="W2278" s="4" t="s">
        <v>2272</v>
      </c>
      <c r="X2278" s="4" t="s">
        <v>2272</v>
      </c>
      <c r="Y2278" s="4" t="s">
        <v>2272</v>
      </c>
      <c r="Z2278" s="4" t="s">
        <v>2272</v>
      </c>
      <c r="AA2278" s="4" t="s">
        <v>2272</v>
      </c>
      <c r="AB2278" s="198"/>
      <c r="AC2278" s="198"/>
    </row>
    <row r="2279" spans="1:29" s="197" customFormat="1" ht="46" customHeight="1">
      <c r="A2279" s="151" t="str">
        <f>'Reported burning'!A2279</f>
        <v>267i</v>
      </c>
      <c r="B2279" s="151" t="str">
        <f>'Reported burning'!B2279</f>
        <v>267i.2</v>
      </c>
      <c r="C2279" s="151" t="str">
        <f>'Reported burning'!C2279</f>
        <v>Human, escaped</v>
      </c>
      <c r="D2279" s="151" t="str">
        <f>'Reported burning'!D2279</f>
        <v>Forest clearance</v>
      </c>
      <c r="E2279" s="151" t="str">
        <f>'Reported burning'!E2279</f>
        <v>Mixed cropping-livestock small holder, Market-oriented</v>
      </c>
      <c r="F2279" s="151" t="str">
        <f>'Reported burning'!F2279</f>
        <v>Cropland</v>
      </c>
      <c r="G2279" s="151" t="str">
        <f>'Reported burning'!G2279</f>
        <v>Forest</v>
      </c>
      <c r="H2279" s="151" t="str">
        <f>'Reported burning'!H2279</f>
        <v>Absence</v>
      </c>
      <c r="I2279" s="198"/>
      <c r="J2279" s="4">
        <v>0</v>
      </c>
      <c r="K2279" s="4">
        <v>0</v>
      </c>
      <c r="L2279" s="4">
        <v>0</v>
      </c>
      <c r="M2279" s="4">
        <v>0</v>
      </c>
      <c r="N2279" s="4">
        <v>0</v>
      </c>
      <c r="O2279" s="4">
        <v>0</v>
      </c>
      <c r="P2279" s="4">
        <v>0</v>
      </c>
      <c r="Q2279" s="4">
        <v>0</v>
      </c>
      <c r="R2279" s="4">
        <v>0</v>
      </c>
      <c r="S2279" s="4">
        <v>0</v>
      </c>
      <c r="T2279" s="4">
        <v>0</v>
      </c>
      <c r="U2279" s="4">
        <v>0</v>
      </c>
      <c r="V2279" s="4">
        <v>0</v>
      </c>
      <c r="W2279" s="4">
        <v>0</v>
      </c>
      <c r="X2279" s="4" t="s">
        <v>2272</v>
      </c>
      <c r="Y2279" s="4">
        <v>0</v>
      </c>
      <c r="Z2279" s="4" t="s">
        <v>2272</v>
      </c>
      <c r="AA2279" s="4" t="s">
        <v>2272</v>
      </c>
      <c r="AB2279" s="198"/>
      <c r="AC2279" s="198"/>
    </row>
    <row r="2280" spans="1:29" s="197" customFormat="1" ht="46" customHeight="1">
      <c r="A2280" s="151" t="str">
        <f>'Reported burning'!A2280</f>
        <v>267i</v>
      </c>
      <c r="B2280" s="151" t="str">
        <f>'Reported burning'!B2280</f>
        <v>267i.3</v>
      </c>
      <c r="C2280" s="151" t="str">
        <f>'Reported burning'!C2280</f>
        <v>Human, deliberate</v>
      </c>
      <c r="D2280" s="151" t="str">
        <f>'Reported burning'!D2280</f>
        <v>Crop residue burning</v>
      </c>
      <c r="E2280" s="151" t="str">
        <f>'Reported burning'!E2280</f>
        <v>Mixed cropping-livestock small holder, Market-oriented</v>
      </c>
      <c r="F2280" s="151" t="str">
        <f>'Reported burning'!F2280</f>
        <v>Cropland</v>
      </c>
      <c r="G2280" s="151" t="str">
        <f>'Reported burning'!G2280</f>
        <v>Cropland</v>
      </c>
      <c r="H2280" s="151" t="str">
        <f>'Reported burning'!H2280</f>
        <v>Presence</v>
      </c>
      <c r="I2280" s="198"/>
      <c r="J2280" s="4" t="s">
        <v>2272</v>
      </c>
      <c r="K2280" s="4" t="s">
        <v>2272</v>
      </c>
      <c r="L2280" s="4" t="s">
        <v>2272</v>
      </c>
      <c r="M2280" s="4" t="s">
        <v>2272</v>
      </c>
      <c r="N2280" s="4" t="s">
        <v>2272</v>
      </c>
      <c r="O2280" s="4" t="s">
        <v>2272</v>
      </c>
      <c r="P2280" s="4" t="s">
        <v>2272</v>
      </c>
      <c r="Q2280" s="4" t="s">
        <v>2272</v>
      </c>
      <c r="R2280" s="4" t="s">
        <v>2272</v>
      </c>
      <c r="S2280" s="4" t="s">
        <v>2272</v>
      </c>
      <c r="T2280" s="4" t="s">
        <v>2272</v>
      </c>
      <c r="U2280" s="4" t="s">
        <v>2272</v>
      </c>
      <c r="V2280" s="4" t="s">
        <v>2272</v>
      </c>
      <c r="W2280" s="4" t="s">
        <v>2272</v>
      </c>
      <c r="X2280" s="4" t="s">
        <v>2272</v>
      </c>
      <c r="Y2280" s="4" t="s">
        <v>2272</v>
      </c>
      <c r="Z2280" s="4" t="s">
        <v>2272</v>
      </c>
      <c r="AA2280" s="4" t="s">
        <v>2272</v>
      </c>
      <c r="AB2280" s="198"/>
      <c r="AC2280" s="198"/>
    </row>
    <row r="2281" spans="1:29" s="197" customFormat="1" ht="46" customHeight="1">
      <c r="A2281" s="151" t="str">
        <f>'Reported burning'!A2281</f>
        <v>267i</v>
      </c>
      <c r="B2281" s="151" t="str">
        <f>'Reported burning'!B2281</f>
        <v>267i.4</v>
      </c>
      <c r="C2281" s="151" t="str">
        <f>'Reported burning'!C2281</f>
        <v>Human, deliberate</v>
      </c>
      <c r="D2281" s="151" t="str">
        <f>'Reported burning'!D2281</f>
        <v>Forest clearance</v>
      </c>
      <c r="E2281" s="151" t="str">
        <f>'Reported burning'!E2281</f>
        <v>Mixed cropping-livestock small holder, Market-oriented</v>
      </c>
      <c r="F2281" s="151" t="str">
        <f>'Reported burning'!F2281</f>
        <v>Cropland</v>
      </c>
      <c r="G2281" s="151" t="str">
        <f>'Reported burning'!G2281</f>
        <v>Cropland</v>
      </c>
      <c r="H2281" s="151" t="str">
        <f>'Reported burning'!H2281</f>
        <v>Absence</v>
      </c>
      <c r="I2281" s="198"/>
      <c r="J2281" s="4">
        <v>0</v>
      </c>
      <c r="K2281" s="4">
        <v>0</v>
      </c>
      <c r="L2281" s="4">
        <v>0</v>
      </c>
      <c r="M2281" s="4">
        <v>0</v>
      </c>
      <c r="N2281" s="4">
        <v>0</v>
      </c>
      <c r="O2281" s="4">
        <v>0</v>
      </c>
      <c r="P2281" s="4">
        <v>0</v>
      </c>
      <c r="Q2281" s="4">
        <v>0</v>
      </c>
      <c r="R2281" s="4">
        <v>0</v>
      </c>
      <c r="S2281" s="4">
        <v>0</v>
      </c>
      <c r="T2281" s="4">
        <v>0</v>
      </c>
      <c r="U2281" s="4">
        <v>0</v>
      </c>
      <c r="V2281" s="4">
        <v>0</v>
      </c>
      <c r="W2281" s="4">
        <v>0</v>
      </c>
      <c r="X2281" s="4" t="s">
        <v>2272</v>
      </c>
      <c r="Y2281" s="4">
        <v>0</v>
      </c>
      <c r="Z2281" s="4" t="s">
        <v>2272</v>
      </c>
      <c r="AA2281" s="4" t="s">
        <v>2272</v>
      </c>
      <c r="AB2281" s="198"/>
      <c r="AC2281" s="198"/>
    </row>
    <row r="2282" spans="1:29" s="197" customFormat="1" ht="46" customHeight="1">
      <c r="A2282" s="151" t="str">
        <f>'Reported burning'!A2282</f>
        <v>267i</v>
      </c>
      <c r="B2282" s="151" t="str">
        <f>'Reported burning'!B2282</f>
        <v>267i.5</v>
      </c>
      <c r="C2282" s="151" t="str">
        <f>'Reported burning'!C2282</f>
        <v>Human, escaped</v>
      </c>
      <c r="D2282" s="151" t="str">
        <f>'Reported burning'!D2282</f>
        <v>Pasture renewal</v>
      </c>
      <c r="E2282" s="151" t="str">
        <f>'Reported burning'!E2282</f>
        <v>Mixed cropping-livestock small holder, Market-oriented</v>
      </c>
      <c r="F2282" s="151" t="str">
        <f>'Reported burning'!F2282</f>
        <v>Pasture</v>
      </c>
      <c r="G2282" s="151" t="str">
        <f>'Reported burning'!G2282</f>
        <v>Cropland</v>
      </c>
      <c r="H2282" s="151" t="str">
        <f>'Reported burning'!H2282</f>
        <v>Presence</v>
      </c>
      <c r="I2282" s="198"/>
      <c r="J2282" s="4" t="s">
        <v>2272</v>
      </c>
      <c r="K2282" s="4" t="s">
        <v>2272</v>
      </c>
      <c r="L2282" s="4" t="s">
        <v>2272</v>
      </c>
      <c r="M2282" s="4" t="s">
        <v>2272</v>
      </c>
      <c r="N2282" s="4" t="s">
        <v>2272</v>
      </c>
      <c r="O2282" s="4" t="s">
        <v>2272</v>
      </c>
      <c r="P2282" s="4" t="s">
        <v>2272</v>
      </c>
      <c r="Q2282" s="4" t="s">
        <v>2272</v>
      </c>
      <c r="R2282" s="4" t="s">
        <v>2272</v>
      </c>
      <c r="S2282" s="4" t="s">
        <v>2272</v>
      </c>
      <c r="T2282" s="4" t="s">
        <v>2272</v>
      </c>
      <c r="U2282" s="4" t="s">
        <v>2272</v>
      </c>
      <c r="V2282" s="4" t="s">
        <v>2272</v>
      </c>
      <c r="W2282" s="4" t="s">
        <v>2272</v>
      </c>
      <c r="X2282" s="4" t="s">
        <v>2272</v>
      </c>
      <c r="Y2282" s="4" t="s">
        <v>2272</v>
      </c>
      <c r="Z2282" s="4" t="s">
        <v>2272</v>
      </c>
      <c r="AA2282" s="4" t="s">
        <v>2272</v>
      </c>
      <c r="AB2282" s="198"/>
      <c r="AC2282" s="198"/>
    </row>
    <row r="2283" spans="1:29" s="197" customFormat="1" ht="46" customHeight="1">
      <c r="A2283" s="151" t="str">
        <f>'Reported burning'!A2283</f>
        <v>267i</v>
      </c>
      <c r="B2283" s="151" t="str">
        <f>'Reported burning'!B2283</f>
        <v>267i.6</v>
      </c>
      <c r="C2283" s="151" t="str">
        <f>'Reported burning'!C2283</f>
        <v>Human, deliberate</v>
      </c>
      <c r="D2283" s="151" t="str">
        <f>'Reported burning'!D2283</f>
        <v>Pasture renewal</v>
      </c>
      <c r="E2283" s="151" t="str">
        <f>'Reported burning'!E2283</f>
        <v>Mixed cropping-livestock small holder, Market-oriented</v>
      </c>
      <c r="F2283" s="151" t="str">
        <f>'Reported burning'!F2283</f>
        <v>Pasture</v>
      </c>
      <c r="G2283" s="151" t="str">
        <f>'Reported burning'!G2283</f>
        <v>Cropland</v>
      </c>
      <c r="H2283" s="151" t="str">
        <f>'Reported burning'!H2283</f>
        <v>Presence</v>
      </c>
      <c r="I2283" s="198"/>
      <c r="J2283" s="4" t="s">
        <v>2272</v>
      </c>
      <c r="K2283" s="4" t="s">
        <v>2272</v>
      </c>
      <c r="L2283" s="4" t="s">
        <v>2272</v>
      </c>
      <c r="M2283" s="4" t="s">
        <v>2272</v>
      </c>
      <c r="N2283" s="4" t="s">
        <v>2272</v>
      </c>
      <c r="O2283" s="4" t="s">
        <v>2272</v>
      </c>
      <c r="P2283" s="4" t="s">
        <v>2272</v>
      </c>
      <c r="Q2283" s="4" t="s">
        <v>2272</v>
      </c>
      <c r="R2283" s="4" t="s">
        <v>2272</v>
      </c>
      <c r="S2283" s="4" t="s">
        <v>2272</v>
      </c>
      <c r="T2283" s="4" t="s">
        <v>2272</v>
      </c>
      <c r="U2283" s="4" t="s">
        <v>2272</v>
      </c>
      <c r="V2283" s="4" t="s">
        <v>2272</v>
      </c>
      <c r="W2283" s="4" t="s">
        <v>2272</v>
      </c>
      <c r="X2283" s="4" t="s">
        <v>2272</v>
      </c>
      <c r="Y2283" s="4" t="s">
        <v>2272</v>
      </c>
      <c r="Z2283" s="4" t="s">
        <v>2272</v>
      </c>
      <c r="AA2283" s="4" t="s">
        <v>2272</v>
      </c>
      <c r="AB2283" s="198"/>
      <c r="AC2283" s="198"/>
    </row>
    <row r="2284" spans="1:29" s="197" customFormat="1" ht="46" customHeight="1">
      <c r="A2284" s="151" t="str">
        <f>'Reported burning'!A2284</f>
        <v>267i</v>
      </c>
      <c r="B2284" s="151" t="str">
        <f>'Reported burning'!B2284</f>
        <v>267i.7</v>
      </c>
      <c r="C2284" s="151" t="str">
        <f>'Reported burning'!C2284</f>
        <v>Human, deliberate</v>
      </c>
      <c r="D2284" s="151" t="str">
        <f>'Reported burning'!D2284</f>
        <v>Arson</v>
      </c>
      <c r="E2284" s="151" t="str">
        <f>'Reported burning'!E2284</f>
        <v>Mixed cropping-livestock small holder, Market-oriented</v>
      </c>
      <c r="F2284" s="151" t="str">
        <f>'Reported burning'!F2284</f>
        <v>ND</v>
      </c>
      <c r="G2284" s="151" t="str">
        <f>'Reported burning'!G2284</f>
        <v>ND</v>
      </c>
      <c r="H2284" s="151" t="str">
        <f>'Reported burning'!H2284</f>
        <v>Presence</v>
      </c>
      <c r="I2284" s="198"/>
      <c r="J2284" s="4" t="s">
        <v>2272</v>
      </c>
      <c r="K2284" s="4" t="s">
        <v>2272</v>
      </c>
      <c r="L2284" s="4" t="s">
        <v>2272</v>
      </c>
      <c r="M2284" s="4" t="s">
        <v>2272</v>
      </c>
      <c r="N2284" s="4" t="s">
        <v>2272</v>
      </c>
      <c r="O2284" s="4" t="s">
        <v>2272</v>
      </c>
      <c r="P2284" s="4" t="s">
        <v>2272</v>
      </c>
      <c r="Q2284" s="4" t="s">
        <v>2272</v>
      </c>
      <c r="R2284" s="4" t="s">
        <v>2272</v>
      </c>
      <c r="S2284" s="4" t="s">
        <v>2272</v>
      </c>
      <c r="T2284" s="4" t="s">
        <v>2272</v>
      </c>
      <c r="U2284" s="4" t="s">
        <v>2272</v>
      </c>
      <c r="V2284" s="4" t="s">
        <v>2272</v>
      </c>
      <c r="W2284" s="4" t="s">
        <v>2272</v>
      </c>
      <c r="X2284" s="4" t="s">
        <v>2272</v>
      </c>
      <c r="Y2284" s="4" t="s">
        <v>2272</v>
      </c>
      <c r="Z2284" s="4" t="s">
        <v>2272</v>
      </c>
      <c r="AA2284" s="4" t="s">
        <v>2272</v>
      </c>
      <c r="AB2284" s="198"/>
      <c r="AC2284" s="198"/>
    </row>
    <row r="2285" spans="1:29" s="197" customFormat="1" ht="46" customHeight="1">
      <c r="A2285" s="151" t="str">
        <f>'Reported burning'!A2285</f>
        <v>267j</v>
      </c>
      <c r="B2285" s="151" t="str">
        <f>'Reported burning'!B2285</f>
        <v>267j.1</v>
      </c>
      <c r="C2285" s="151" t="str">
        <f>'Reported burning'!C2285</f>
        <v>Human, escaped</v>
      </c>
      <c r="D2285" s="151" t="str">
        <f>'Reported burning'!D2285</f>
        <v>Crop residue burning</v>
      </c>
      <c r="E2285" s="151" t="str">
        <f>'Reported burning'!E2285</f>
        <v>Mixed cropping-livestock small holder, Market-oriented</v>
      </c>
      <c r="F2285" s="151" t="str">
        <f>'Reported burning'!F2285</f>
        <v>Cropland</v>
      </c>
      <c r="G2285" s="151" t="str">
        <f>'Reported burning'!G2285</f>
        <v>Forest</v>
      </c>
      <c r="H2285" s="151" t="str">
        <f>'Reported burning'!H2285</f>
        <v>Presence</v>
      </c>
      <c r="I2285" s="198"/>
      <c r="J2285" s="4" t="s">
        <v>2272</v>
      </c>
      <c r="K2285" s="4" t="s">
        <v>2272</v>
      </c>
      <c r="L2285" s="4" t="s">
        <v>2272</v>
      </c>
      <c r="M2285" s="4" t="s">
        <v>2272</v>
      </c>
      <c r="N2285" s="4" t="s">
        <v>2272</v>
      </c>
      <c r="O2285" s="4" t="s">
        <v>2272</v>
      </c>
      <c r="P2285" s="4" t="s">
        <v>2272</v>
      </c>
      <c r="Q2285" s="4" t="s">
        <v>2272</v>
      </c>
      <c r="R2285" s="4" t="s">
        <v>2272</v>
      </c>
      <c r="S2285" s="4" t="s">
        <v>2272</v>
      </c>
      <c r="T2285" s="4" t="s">
        <v>2272</v>
      </c>
      <c r="U2285" s="4" t="s">
        <v>2272</v>
      </c>
      <c r="V2285" s="4" t="s">
        <v>2272</v>
      </c>
      <c r="W2285" s="4" t="s">
        <v>2272</v>
      </c>
      <c r="X2285" s="4" t="s">
        <v>2272</v>
      </c>
      <c r="Y2285" s="4" t="s">
        <v>2272</v>
      </c>
      <c r="Z2285" s="4" t="s">
        <v>2272</v>
      </c>
      <c r="AA2285" s="4" t="s">
        <v>2272</v>
      </c>
      <c r="AB2285" s="198"/>
      <c r="AC2285" s="198"/>
    </row>
    <row r="2286" spans="1:29" s="197" customFormat="1" ht="46" customHeight="1">
      <c r="A2286" s="151" t="str">
        <f>'Reported burning'!A2286</f>
        <v>267j</v>
      </c>
      <c r="B2286" s="151" t="str">
        <f>'Reported burning'!B2286</f>
        <v>267j.2</v>
      </c>
      <c r="C2286" s="151" t="str">
        <f>'Reported burning'!C2286</f>
        <v>Human, escaped</v>
      </c>
      <c r="D2286" s="151" t="str">
        <f>'Reported burning'!D2286</f>
        <v>Forest clearance</v>
      </c>
      <c r="E2286" s="151" t="str">
        <f>'Reported burning'!E2286</f>
        <v>Mixed cropping-livestock small holder, Market-oriented</v>
      </c>
      <c r="F2286" s="151" t="str">
        <f>'Reported burning'!F2286</f>
        <v>Cropland</v>
      </c>
      <c r="G2286" s="151" t="str">
        <f>'Reported burning'!G2286</f>
        <v>Forest</v>
      </c>
      <c r="H2286" s="151" t="str">
        <f>'Reported burning'!H2286</f>
        <v>Absence</v>
      </c>
      <c r="I2286" s="198"/>
      <c r="J2286" s="4">
        <v>0</v>
      </c>
      <c r="K2286" s="4">
        <v>0</v>
      </c>
      <c r="L2286" s="4">
        <v>0</v>
      </c>
      <c r="M2286" s="4">
        <v>0</v>
      </c>
      <c r="N2286" s="4">
        <v>0</v>
      </c>
      <c r="O2286" s="4">
        <v>0</v>
      </c>
      <c r="P2286" s="4">
        <v>0</v>
      </c>
      <c r="Q2286" s="4">
        <v>0</v>
      </c>
      <c r="R2286" s="4">
        <v>0</v>
      </c>
      <c r="S2286" s="4">
        <v>0</v>
      </c>
      <c r="T2286" s="4">
        <v>0</v>
      </c>
      <c r="U2286" s="4">
        <v>0</v>
      </c>
      <c r="V2286" s="4">
        <v>0</v>
      </c>
      <c r="W2286" s="4">
        <v>0</v>
      </c>
      <c r="X2286" s="4" t="s">
        <v>2272</v>
      </c>
      <c r="Y2286" s="4">
        <v>0</v>
      </c>
      <c r="Z2286" s="4" t="s">
        <v>2272</v>
      </c>
      <c r="AA2286" s="4" t="s">
        <v>2272</v>
      </c>
      <c r="AB2286" s="198"/>
      <c r="AC2286" s="198"/>
    </row>
    <row r="2287" spans="1:29" s="197" customFormat="1" ht="46" customHeight="1">
      <c r="A2287" s="151" t="str">
        <f>'Reported burning'!A2287</f>
        <v>267j</v>
      </c>
      <c r="B2287" s="151" t="str">
        <f>'Reported burning'!B2287</f>
        <v>267j.3</v>
      </c>
      <c r="C2287" s="151" t="str">
        <f>'Reported burning'!C2287</f>
        <v>Human, deliberate</v>
      </c>
      <c r="D2287" s="151" t="str">
        <f>'Reported burning'!D2287</f>
        <v>Crop residue burning</v>
      </c>
      <c r="E2287" s="151" t="str">
        <f>'Reported burning'!E2287</f>
        <v>Mixed cropping-livestock small holder, Market-oriented</v>
      </c>
      <c r="F2287" s="151" t="str">
        <f>'Reported burning'!F2287</f>
        <v>Cropland</v>
      </c>
      <c r="G2287" s="151" t="str">
        <f>'Reported burning'!G2287</f>
        <v>Cropland</v>
      </c>
      <c r="H2287" s="151" t="str">
        <f>'Reported burning'!H2287</f>
        <v>Presence</v>
      </c>
      <c r="I2287" s="198"/>
      <c r="J2287" s="4" t="s">
        <v>2272</v>
      </c>
      <c r="K2287" s="4" t="s">
        <v>2272</v>
      </c>
      <c r="L2287" s="4" t="s">
        <v>2272</v>
      </c>
      <c r="M2287" s="4" t="s">
        <v>2272</v>
      </c>
      <c r="N2287" s="4" t="s">
        <v>2272</v>
      </c>
      <c r="O2287" s="4" t="s">
        <v>2272</v>
      </c>
      <c r="P2287" s="4" t="s">
        <v>2272</v>
      </c>
      <c r="Q2287" s="4" t="s">
        <v>2272</v>
      </c>
      <c r="R2287" s="4" t="s">
        <v>2272</v>
      </c>
      <c r="S2287" s="4" t="s">
        <v>2272</v>
      </c>
      <c r="T2287" s="4" t="s">
        <v>2272</v>
      </c>
      <c r="U2287" s="4" t="s">
        <v>2272</v>
      </c>
      <c r="V2287" s="4" t="s">
        <v>2272</v>
      </c>
      <c r="W2287" s="4" t="s">
        <v>2272</v>
      </c>
      <c r="X2287" s="4" t="s">
        <v>2272</v>
      </c>
      <c r="Y2287" s="4" t="s">
        <v>2272</v>
      </c>
      <c r="Z2287" s="4" t="s">
        <v>2272</v>
      </c>
      <c r="AA2287" s="4" t="s">
        <v>2272</v>
      </c>
      <c r="AB2287" s="198"/>
      <c r="AC2287" s="198"/>
    </row>
    <row r="2288" spans="1:29" s="197" customFormat="1" ht="46" customHeight="1">
      <c r="A2288" s="151" t="str">
        <f>'Reported burning'!A2288</f>
        <v>267j</v>
      </c>
      <c r="B2288" s="151" t="str">
        <f>'Reported burning'!B2288</f>
        <v>267j.4</v>
      </c>
      <c r="C2288" s="151" t="str">
        <f>'Reported burning'!C2288</f>
        <v>Human, deliberate</v>
      </c>
      <c r="D2288" s="151" t="str">
        <f>'Reported burning'!D2288</f>
        <v>Forest clearance</v>
      </c>
      <c r="E2288" s="151" t="str">
        <f>'Reported burning'!E2288</f>
        <v>Mixed cropping-livestock small holder, Market-oriented</v>
      </c>
      <c r="F2288" s="151" t="str">
        <f>'Reported burning'!F2288</f>
        <v>Cropland</v>
      </c>
      <c r="G2288" s="151" t="str">
        <f>'Reported burning'!G2288</f>
        <v>Cropland</v>
      </c>
      <c r="H2288" s="151" t="str">
        <f>'Reported burning'!H2288</f>
        <v>Absence</v>
      </c>
      <c r="I2288" s="198"/>
      <c r="J2288" s="4">
        <v>0</v>
      </c>
      <c r="K2288" s="4">
        <v>0</v>
      </c>
      <c r="L2288" s="4">
        <v>0</v>
      </c>
      <c r="M2288" s="4">
        <v>0</v>
      </c>
      <c r="N2288" s="4">
        <v>0</v>
      </c>
      <c r="O2288" s="4">
        <v>0</v>
      </c>
      <c r="P2288" s="4">
        <v>0</v>
      </c>
      <c r="Q2288" s="4">
        <v>0</v>
      </c>
      <c r="R2288" s="4">
        <v>0</v>
      </c>
      <c r="S2288" s="4">
        <v>0</v>
      </c>
      <c r="T2288" s="4">
        <v>0</v>
      </c>
      <c r="U2288" s="4">
        <v>0</v>
      </c>
      <c r="V2288" s="4">
        <v>0</v>
      </c>
      <c r="W2288" s="4">
        <v>0</v>
      </c>
      <c r="X2288" s="4" t="s">
        <v>2272</v>
      </c>
      <c r="Y2288" s="4">
        <v>0</v>
      </c>
      <c r="Z2288" s="4" t="s">
        <v>2272</v>
      </c>
      <c r="AA2288" s="4" t="s">
        <v>2272</v>
      </c>
      <c r="AB2288" s="198"/>
      <c r="AC2288" s="198"/>
    </row>
    <row r="2289" spans="1:29" s="197" customFormat="1" ht="46" customHeight="1">
      <c r="A2289" s="151" t="str">
        <f>'Reported burning'!A2289</f>
        <v>267j</v>
      </c>
      <c r="B2289" s="151" t="str">
        <f>'Reported burning'!B2289</f>
        <v>267j.5</v>
      </c>
      <c r="C2289" s="151" t="str">
        <f>'Reported burning'!C2289</f>
        <v>Human, escaped</v>
      </c>
      <c r="D2289" s="151" t="str">
        <f>'Reported burning'!D2289</f>
        <v>Pasture renewal</v>
      </c>
      <c r="E2289" s="151" t="str">
        <f>'Reported burning'!E2289</f>
        <v>Mixed cropping-livestock small holder, Market-oriented</v>
      </c>
      <c r="F2289" s="151" t="str">
        <f>'Reported burning'!F2289</f>
        <v>Pasture</v>
      </c>
      <c r="G2289" s="151" t="str">
        <f>'Reported burning'!G2289</f>
        <v>Cropland</v>
      </c>
      <c r="H2289" s="151" t="str">
        <f>'Reported burning'!H2289</f>
        <v>Presence</v>
      </c>
      <c r="I2289" s="198"/>
      <c r="J2289" s="4" t="s">
        <v>2272</v>
      </c>
      <c r="K2289" s="4" t="s">
        <v>2272</v>
      </c>
      <c r="L2289" s="4" t="s">
        <v>2272</v>
      </c>
      <c r="M2289" s="4" t="s">
        <v>2272</v>
      </c>
      <c r="N2289" s="4" t="s">
        <v>2272</v>
      </c>
      <c r="O2289" s="4" t="s">
        <v>2272</v>
      </c>
      <c r="P2289" s="4" t="s">
        <v>2272</v>
      </c>
      <c r="Q2289" s="4" t="s">
        <v>2272</v>
      </c>
      <c r="R2289" s="4" t="s">
        <v>2272</v>
      </c>
      <c r="S2289" s="4" t="s">
        <v>2272</v>
      </c>
      <c r="T2289" s="4" t="s">
        <v>2272</v>
      </c>
      <c r="U2289" s="4" t="s">
        <v>2272</v>
      </c>
      <c r="V2289" s="4" t="s">
        <v>2272</v>
      </c>
      <c r="W2289" s="4" t="s">
        <v>2272</v>
      </c>
      <c r="X2289" s="4" t="s">
        <v>2272</v>
      </c>
      <c r="Y2289" s="4" t="s">
        <v>2272</v>
      </c>
      <c r="Z2289" s="4" t="s">
        <v>2272</v>
      </c>
      <c r="AA2289" s="4" t="s">
        <v>2272</v>
      </c>
      <c r="AB2289" s="198"/>
      <c r="AC2289" s="198"/>
    </row>
    <row r="2290" spans="1:29" s="197" customFormat="1" ht="46" customHeight="1">
      <c r="A2290" s="151" t="str">
        <f>'Reported burning'!A2290</f>
        <v>267j</v>
      </c>
      <c r="B2290" s="151" t="str">
        <f>'Reported burning'!B2290</f>
        <v>267j.6</v>
      </c>
      <c r="C2290" s="151" t="str">
        <f>'Reported burning'!C2290</f>
        <v>Human, deliberate</v>
      </c>
      <c r="D2290" s="151" t="str">
        <f>'Reported burning'!D2290</f>
        <v>Pasture renewal</v>
      </c>
      <c r="E2290" s="151" t="str">
        <f>'Reported burning'!E2290</f>
        <v>Mixed cropping-livestock small holder, Market-oriented</v>
      </c>
      <c r="F2290" s="151" t="str">
        <f>'Reported burning'!F2290</f>
        <v>Pasture</v>
      </c>
      <c r="G2290" s="151" t="str">
        <f>'Reported burning'!G2290</f>
        <v>Cropland</v>
      </c>
      <c r="H2290" s="151" t="str">
        <f>'Reported burning'!H2290</f>
        <v>Presence</v>
      </c>
      <c r="I2290" s="198"/>
      <c r="J2290" s="4" t="s">
        <v>2272</v>
      </c>
      <c r="K2290" s="4" t="s">
        <v>2272</v>
      </c>
      <c r="L2290" s="4" t="s">
        <v>2272</v>
      </c>
      <c r="M2290" s="4" t="s">
        <v>2272</v>
      </c>
      <c r="N2290" s="4" t="s">
        <v>2272</v>
      </c>
      <c r="O2290" s="4" t="s">
        <v>2272</v>
      </c>
      <c r="P2290" s="4" t="s">
        <v>2272</v>
      </c>
      <c r="Q2290" s="4" t="s">
        <v>2272</v>
      </c>
      <c r="R2290" s="4" t="s">
        <v>2272</v>
      </c>
      <c r="S2290" s="4" t="s">
        <v>2272</v>
      </c>
      <c r="T2290" s="4" t="s">
        <v>2272</v>
      </c>
      <c r="U2290" s="4" t="s">
        <v>2272</v>
      </c>
      <c r="V2290" s="4" t="s">
        <v>2272</v>
      </c>
      <c r="W2290" s="4" t="s">
        <v>2272</v>
      </c>
      <c r="X2290" s="4" t="s">
        <v>2272</v>
      </c>
      <c r="Y2290" s="4" t="s">
        <v>2272</v>
      </c>
      <c r="Z2290" s="4" t="s">
        <v>2272</v>
      </c>
      <c r="AA2290" s="4" t="s">
        <v>2272</v>
      </c>
      <c r="AB2290" s="198"/>
      <c r="AC2290" s="198"/>
    </row>
    <row r="2291" spans="1:29" s="197" customFormat="1" ht="46" customHeight="1">
      <c r="A2291" s="151" t="str">
        <f>'Reported burning'!A2291</f>
        <v>267j</v>
      </c>
      <c r="B2291" s="151" t="str">
        <f>'Reported burning'!B2291</f>
        <v>267j.7</v>
      </c>
      <c r="C2291" s="151" t="str">
        <f>'Reported burning'!C2291</f>
        <v>Human, deliberate</v>
      </c>
      <c r="D2291" s="151" t="str">
        <f>'Reported burning'!D2291</f>
        <v>Arson</v>
      </c>
      <c r="E2291" s="151" t="str">
        <f>'Reported burning'!E2291</f>
        <v>Mixed cropping-livestock small holder, Market-oriented</v>
      </c>
      <c r="F2291" s="151" t="str">
        <f>'Reported burning'!F2291</f>
        <v>ND</v>
      </c>
      <c r="G2291" s="151" t="str">
        <f>'Reported burning'!G2291</f>
        <v>ND</v>
      </c>
      <c r="H2291" s="151" t="str">
        <f>'Reported burning'!H2291</f>
        <v>Presence</v>
      </c>
      <c r="I2291" s="198"/>
      <c r="J2291" s="4" t="s">
        <v>2272</v>
      </c>
      <c r="K2291" s="4" t="s">
        <v>2272</v>
      </c>
      <c r="L2291" s="4" t="s">
        <v>2272</v>
      </c>
      <c r="M2291" s="4" t="s">
        <v>2272</v>
      </c>
      <c r="N2291" s="4" t="s">
        <v>2272</v>
      </c>
      <c r="O2291" s="4" t="s">
        <v>2272</v>
      </c>
      <c r="P2291" s="4" t="s">
        <v>2272</v>
      </c>
      <c r="Q2291" s="4" t="s">
        <v>2272</v>
      </c>
      <c r="R2291" s="4" t="s">
        <v>2272</v>
      </c>
      <c r="S2291" s="4" t="s">
        <v>2272</v>
      </c>
      <c r="T2291" s="4" t="s">
        <v>2272</v>
      </c>
      <c r="U2291" s="4" t="s">
        <v>2272</v>
      </c>
      <c r="V2291" s="4" t="s">
        <v>2272</v>
      </c>
      <c r="W2291" s="4" t="s">
        <v>2272</v>
      </c>
      <c r="X2291" s="4" t="s">
        <v>2272</v>
      </c>
      <c r="Y2291" s="4" t="s">
        <v>2272</v>
      </c>
      <c r="Z2291" s="4" t="s">
        <v>2272</v>
      </c>
      <c r="AA2291" s="4" t="s">
        <v>2272</v>
      </c>
      <c r="AB2291" s="198"/>
      <c r="AC2291" s="198"/>
    </row>
    <row r="2292" spans="1:29" s="197" customFormat="1" ht="46" customHeight="1">
      <c r="A2292" s="151" t="str">
        <f>'Reported burning'!A2292</f>
        <v>267k</v>
      </c>
      <c r="B2292" s="151" t="str">
        <f>'Reported burning'!B2292</f>
        <v>267k.1</v>
      </c>
      <c r="C2292" s="151" t="str">
        <f>'Reported burning'!C2292</f>
        <v>Human, escaped</v>
      </c>
      <c r="D2292" s="151" t="str">
        <f>'Reported burning'!D2292</f>
        <v>Crop residue burning</v>
      </c>
      <c r="E2292" s="151" t="str">
        <f>'Reported burning'!E2292</f>
        <v>Mixed cropping-livestock small holder, Market-oriented</v>
      </c>
      <c r="F2292" s="151" t="str">
        <f>'Reported burning'!F2292</f>
        <v>Cropland</v>
      </c>
      <c r="G2292" s="151" t="str">
        <f>'Reported burning'!G2292</f>
        <v>Forest</v>
      </c>
      <c r="H2292" s="151" t="str">
        <f>'Reported burning'!H2292</f>
        <v>Presence</v>
      </c>
      <c r="I2292" s="198"/>
      <c r="J2292" s="4" t="s">
        <v>2272</v>
      </c>
      <c r="K2292" s="4" t="s">
        <v>2272</v>
      </c>
      <c r="L2292" s="4" t="s">
        <v>2272</v>
      </c>
      <c r="M2292" s="4" t="s">
        <v>2272</v>
      </c>
      <c r="N2292" s="4" t="s">
        <v>2272</v>
      </c>
      <c r="O2292" s="4" t="s">
        <v>2272</v>
      </c>
      <c r="P2292" s="4" t="s">
        <v>2272</v>
      </c>
      <c r="Q2292" s="4" t="s">
        <v>2272</v>
      </c>
      <c r="R2292" s="4" t="s">
        <v>2272</v>
      </c>
      <c r="S2292" s="4" t="s">
        <v>2272</v>
      </c>
      <c r="T2292" s="4" t="s">
        <v>2272</v>
      </c>
      <c r="U2292" s="4" t="s">
        <v>2272</v>
      </c>
      <c r="V2292" s="4" t="s">
        <v>2272</v>
      </c>
      <c r="W2292" s="4" t="s">
        <v>2272</v>
      </c>
      <c r="X2292" s="4" t="s">
        <v>2272</v>
      </c>
      <c r="Y2292" s="4" t="s">
        <v>2272</v>
      </c>
      <c r="Z2292" s="4" t="s">
        <v>2272</v>
      </c>
      <c r="AA2292" s="4" t="s">
        <v>2272</v>
      </c>
      <c r="AB2292" s="198"/>
      <c r="AC2292" s="198"/>
    </row>
    <row r="2293" spans="1:29" s="197" customFormat="1" ht="46" customHeight="1">
      <c r="A2293" s="151" t="str">
        <f>'Reported burning'!A2293</f>
        <v>267k</v>
      </c>
      <c r="B2293" s="151" t="str">
        <f>'Reported burning'!B2293</f>
        <v>267k.2</v>
      </c>
      <c r="C2293" s="151" t="str">
        <f>'Reported burning'!C2293</f>
        <v>Human, escaped</v>
      </c>
      <c r="D2293" s="151" t="str">
        <f>'Reported burning'!D2293</f>
        <v>Forest clearance</v>
      </c>
      <c r="E2293" s="151" t="str">
        <f>'Reported burning'!E2293</f>
        <v>Mixed cropping-livestock small holder, Market-oriented</v>
      </c>
      <c r="F2293" s="151" t="str">
        <f>'Reported burning'!F2293</f>
        <v>Cropland</v>
      </c>
      <c r="G2293" s="151" t="str">
        <f>'Reported burning'!G2293</f>
        <v>Forest</v>
      </c>
      <c r="H2293" s="151" t="str">
        <f>'Reported burning'!H2293</f>
        <v>Absence</v>
      </c>
      <c r="I2293" s="198"/>
      <c r="J2293" s="4">
        <v>0</v>
      </c>
      <c r="K2293" s="4">
        <v>0</v>
      </c>
      <c r="L2293" s="4">
        <v>0</v>
      </c>
      <c r="M2293" s="4">
        <v>0</v>
      </c>
      <c r="N2293" s="4">
        <v>0</v>
      </c>
      <c r="O2293" s="4">
        <v>0</v>
      </c>
      <c r="P2293" s="4">
        <v>0</v>
      </c>
      <c r="Q2293" s="4">
        <v>0</v>
      </c>
      <c r="R2293" s="4">
        <v>0</v>
      </c>
      <c r="S2293" s="4">
        <v>0</v>
      </c>
      <c r="T2293" s="4">
        <v>0</v>
      </c>
      <c r="U2293" s="4">
        <v>0</v>
      </c>
      <c r="V2293" s="4">
        <v>0</v>
      </c>
      <c r="W2293" s="4">
        <v>0</v>
      </c>
      <c r="X2293" s="4" t="s">
        <v>2272</v>
      </c>
      <c r="Y2293" s="4">
        <v>0</v>
      </c>
      <c r="Z2293" s="4" t="s">
        <v>2272</v>
      </c>
      <c r="AA2293" s="4" t="s">
        <v>2272</v>
      </c>
      <c r="AB2293" s="198"/>
      <c r="AC2293" s="198"/>
    </row>
    <row r="2294" spans="1:29" s="197" customFormat="1" ht="46" customHeight="1">
      <c r="A2294" s="151" t="str">
        <f>'Reported burning'!A2294</f>
        <v>267k</v>
      </c>
      <c r="B2294" s="151" t="str">
        <f>'Reported burning'!B2294</f>
        <v>267k.3</v>
      </c>
      <c r="C2294" s="151" t="str">
        <f>'Reported burning'!C2294</f>
        <v>Human, deliberate</v>
      </c>
      <c r="D2294" s="151" t="str">
        <f>'Reported burning'!D2294</f>
        <v>Crop residue burning</v>
      </c>
      <c r="E2294" s="151" t="str">
        <f>'Reported burning'!E2294</f>
        <v>Mixed cropping-livestock small holder, Market-oriented</v>
      </c>
      <c r="F2294" s="151" t="str">
        <f>'Reported burning'!F2294</f>
        <v>Cropland</v>
      </c>
      <c r="G2294" s="151" t="str">
        <f>'Reported burning'!G2294</f>
        <v>Cropland</v>
      </c>
      <c r="H2294" s="151" t="str">
        <f>'Reported burning'!H2294</f>
        <v>Presence</v>
      </c>
      <c r="I2294" s="198"/>
      <c r="J2294" s="4" t="s">
        <v>2272</v>
      </c>
      <c r="K2294" s="4" t="s">
        <v>2272</v>
      </c>
      <c r="L2294" s="4" t="s">
        <v>2272</v>
      </c>
      <c r="M2294" s="4" t="s">
        <v>2272</v>
      </c>
      <c r="N2294" s="4" t="s">
        <v>2272</v>
      </c>
      <c r="O2294" s="4" t="s">
        <v>2272</v>
      </c>
      <c r="P2294" s="4" t="s">
        <v>2272</v>
      </c>
      <c r="Q2294" s="4" t="s">
        <v>2272</v>
      </c>
      <c r="R2294" s="4" t="s">
        <v>2272</v>
      </c>
      <c r="S2294" s="4" t="s">
        <v>2272</v>
      </c>
      <c r="T2294" s="4" t="s">
        <v>2272</v>
      </c>
      <c r="U2294" s="4" t="s">
        <v>2272</v>
      </c>
      <c r="V2294" s="4" t="s">
        <v>2272</v>
      </c>
      <c r="W2294" s="4" t="s">
        <v>2272</v>
      </c>
      <c r="X2294" s="4" t="s">
        <v>2272</v>
      </c>
      <c r="Y2294" s="4" t="s">
        <v>2272</v>
      </c>
      <c r="Z2294" s="4" t="s">
        <v>2272</v>
      </c>
      <c r="AA2294" s="4" t="s">
        <v>2272</v>
      </c>
      <c r="AB2294" s="198"/>
      <c r="AC2294" s="198"/>
    </row>
    <row r="2295" spans="1:29" s="197" customFormat="1" ht="46" customHeight="1">
      <c r="A2295" s="151" t="str">
        <f>'Reported burning'!A2295</f>
        <v>267k</v>
      </c>
      <c r="B2295" s="151" t="str">
        <f>'Reported burning'!B2295</f>
        <v>267k.4</v>
      </c>
      <c r="C2295" s="151" t="str">
        <f>'Reported burning'!C2295</f>
        <v>Human, deliberate</v>
      </c>
      <c r="D2295" s="151" t="str">
        <f>'Reported burning'!D2295</f>
        <v>Forest clearance</v>
      </c>
      <c r="E2295" s="151" t="str">
        <f>'Reported burning'!E2295</f>
        <v>Mixed cropping-livestock small holder, Market-oriented</v>
      </c>
      <c r="F2295" s="151" t="str">
        <f>'Reported burning'!F2295</f>
        <v>Cropland</v>
      </c>
      <c r="G2295" s="151" t="str">
        <f>'Reported burning'!G2295</f>
        <v>Cropland</v>
      </c>
      <c r="H2295" s="151" t="str">
        <f>'Reported burning'!H2295</f>
        <v>Absence</v>
      </c>
      <c r="I2295" s="198"/>
      <c r="J2295" s="4">
        <v>0</v>
      </c>
      <c r="K2295" s="4">
        <v>0</v>
      </c>
      <c r="L2295" s="4">
        <v>0</v>
      </c>
      <c r="M2295" s="4">
        <v>0</v>
      </c>
      <c r="N2295" s="4">
        <v>0</v>
      </c>
      <c r="O2295" s="4">
        <v>0</v>
      </c>
      <c r="P2295" s="4">
        <v>0</v>
      </c>
      <c r="Q2295" s="4">
        <v>0</v>
      </c>
      <c r="R2295" s="4">
        <v>0</v>
      </c>
      <c r="S2295" s="4">
        <v>0</v>
      </c>
      <c r="T2295" s="4">
        <v>0</v>
      </c>
      <c r="U2295" s="4">
        <v>0</v>
      </c>
      <c r="V2295" s="4">
        <v>0</v>
      </c>
      <c r="W2295" s="4">
        <v>0</v>
      </c>
      <c r="X2295" s="4" t="s">
        <v>2272</v>
      </c>
      <c r="Y2295" s="4">
        <v>0</v>
      </c>
      <c r="Z2295" s="4" t="s">
        <v>2272</v>
      </c>
      <c r="AA2295" s="4" t="s">
        <v>2272</v>
      </c>
      <c r="AB2295" s="198"/>
      <c r="AC2295" s="198"/>
    </row>
    <row r="2296" spans="1:29" s="197" customFormat="1" ht="46" customHeight="1">
      <c r="A2296" s="151" t="str">
        <f>'Reported burning'!A2296</f>
        <v>267k</v>
      </c>
      <c r="B2296" s="151" t="str">
        <f>'Reported burning'!B2296</f>
        <v>267k.5</v>
      </c>
      <c r="C2296" s="151" t="str">
        <f>'Reported burning'!C2296</f>
        <v>Human, escaped</v>
      </c>
      <c r="D2296" s="151" t="str">
        <f>'Reported burning'!D2296</f>
        <v>Pasture renewal</v>
      </c>
      <c r="E2296" s="151" t="str">
        <f>'Reported burning'!E2296</f>
        <v>Mixed cropping-livestock small holder, Market-oriented</v>
      </c>
      <c r="F2296" s="151" t="str">
        <f>'Reported burning'!F2296</f>
        <v>Pasture</v>
      </c>
      <c r="G2296" s="151" t="str">
        <f>'Reported burning'!G2296</f>
        <v>Cropland</v>
      </c>
      <c r="H2296" s="151" t="str">
        <f>'Reported burning'!H2296</f>
        <v>Presence</v>
      </c>
      <c r="I2296" s="198"/>
      <c r="J2296" s="4" t="s">
        <v>2272</v>
      </c>
      <c r="K2296" s="4" t="s">
        <v>2272</v>
      </c>
      <c r="L2296" s="4" t="s">
        <v>2272</v>
      </c>
      <c r="M2296" s="4" t="s">
        <v>2272</v>
      </c>
      <c r="N2296" s="4" t="s">
        <v>2272</v>
      </c>
      <c r="O2296" s="4" t="s">
        <v>2272</v>
      </c>
      <c r="P2296" s="4" t="s">
        <v>2272</v>
      </c>
      <c r="Q2296" s="4" t="s">
        <v>2272</v>
      </c>
      <c r="R2296" s="4" t="s">
        <v>2272</v>
      </c>
      <c r="S2296" s="4" t="s">
        <v>2272</v>
      </c>
      <c r="T2296" s="4" t="s">
        <v>2272</v>
      </c>
      <c r="U2296" s="4" t="s">
        <v>2272</v>
      </c>
      <c r="V2296" s="4" t="s">
        <v>2272</v>
      </c>
      <c r="W2296" s="4" t="s">
        <v>2272</v>
      </c>
      <c r="X2296" s="4" t="s">
        <v>2272</v>
      </c>
      <c r="Y2296" s="4" t="s">
        <v>2272</v>
      </c>
      <c r="Z2296" s="4" t="s">
        <v>2272</v>
      </c>
      <c r="AA2296" s="4" t="s">
        <v>2272</v>
      </c>
      <c r="AB2296" s="198"/>
      <c r="AC2296" s="198"/>
    </row>
    <row r="2297" spans="1:29" s="197" customFormat="1" ht="46" customHeight="1">
      <c r="A2297" s="151" t="str">
        <f>'Reported burning'!A2297</f>
        <v>267k</v>
      </c>
      <c r="B2297" s="151" t="str">
        <f>'Reported burning'!B2297</f>
        <v>267k.6</v>
      </c>
      <c r="C2297" s="151" t="str">
        <f>'Reported burning'!C2297</f>
        <v>Human, deliberate</v>
      </c>
      <c r="D2297" s="151" t="str">
        <f>'Reported burning'!D2297</f>
        <v>Pasture renewal</v>
      </c>
      <c r="E2297" s="151" t="str">
        <f>'Reported burning'!E2297</f>
        <v>Mixed cropping-livestock small holder, Market-oriented</v>
      </c>
      <c r="F2297" s="151" t="str">
        <f>'Reported burning'!F2297</f>
        <v>Pasture</v>
      </c>
      <c r="G2297" s="151" t="str">
        <f>'Reported burning'!G2297</f>
        <v>Cropland</v>
      </c>
      <c r="H2297" s="151" t="str">
        <f>'Reported burning'!H2297</f>
        <v>Presence</v>
      </c>
      <c r="I2297" s="198"/>
      <c r="J2297" s="4" t="s">
        <v>2272</v>
      </c>
      <c r="K2297" s="4" t="s">
        <v>2272</v>
      </c>
      <c r="L2297" s="4" t="s">
        <v>2272</v>
      </c>
      <c r="M2297" s="4" t="s">
        <v>2272</v>
      </c>
      <c r="N2297" s="4" t="s">
        <v>2272</v>
      </c>
      <c r="O2297" s="4" t="s">
        <v>2272</v>
      </c>
      <c r="P2297" s="4" t="s">
        <v>2272</v>
      </c>
      <c r="Q2297" s="4" t="s">
        <v>2272</v>
      </c>
      <c r="R2297" s="4" t="s">
        <v>2272</v>
      </c>
      <c r="S2297" s="4" t="s">
        <v>2272</v>
      </c>
      <c r="T2297" s="4" t="s">
        <v>2272</v>
      </c>
      <c r="U2297" s="4" t="s">
        <v>2272</v>
      </c>
      <c r="V2297" s="4" t="s">
        <v>2272</v>
      </c>
      <c r="W2297" s="4" t="s">
        <v>2272</v>
      </c>
      <c r="X2297" s="4" t="s">
        <v>2272</v>
      </c>
      <c r="Y2297" s="4" t="s">
        <v>2272</v>
      </c>
      <c r="Z2297" s="4" t="s">
        <v>2272</v>
      </c>
      <c r="AA2297" s="4" t="s">
        <v>2272</v>
      </c>
      <c r="AB2297" s="198"/>
      <c r="AC2297" s="198"/>
    </row>
    <row r="2298" spans="1:29" s="197" customFormat="1" ht="46" customHeight="1">
      <c r="A2298" s="151" t="str">
        <f>'Reported burning'!A2298</f>
        <v>267k</v>
      </c>
      <c r="B2298" s="151" t="str">
        <f>'Reported burning'!B2298</f>
        <v>267k.7</v>
      </c>
      <c r="C2298" s="151" t="str">
        <f>'Reported burning'!C2298</f>
        <v>Human, deliberate</v>
      </c>
      <c r="D2298" s="151" t="str">
        <f>'Reported burning'!D2298</f>
        <v>Arson</v>
      </c>
      <c r="E2298" s="151" t="str">
        <f>'Reported burning'!E2298</f>
        <v>Mixed cropping-livestock small holder, Market-oriented</v>
      </c>
      <c r="F2298" s="151" t="str">
        <f>'Reported burning'!F2298</f>
        <v>ND</v>
      </c>
      <c r="G2298" s="151" t="str">
        <f>'Reported burning'!G2298</f>
        <v>ND</v>
      </c>
      <c r="H2298" s="151" t="str">
        <f>'Reported burning'!H2298</f>
        <v>Presence</v>
      </c>
      <c r="I2298" s="198"/>
      <c r="J2298" s="4" t="s">
        <v>2272</v>
      </c>
      <c r="K2298" s="4" t="s">
        <v>2272</v>
      </c>
      <c r="L2298" s="4" t="s">
        <v>2272</v>
      </c>
      <c r="M2298" s="4" t="s">
        <v>2272</v>
      </c>
      <c r="N2298" s="4" t="s">
        <v>2272</v>
      </c>
      <c r="O2298" s="4" t="s">
        <v>2272</v>
      </c>
      <c r="P2298" s="4" t="s">
        <v>2272</v>
      </c>
      <c r="Q2298" s="4" t="s">
        <v>2272</v>
      </c>
      <c r="R2298" s="4" t="s">
        <v>2272</v>
      </c>
      <c r="S2298" s="4" t="s">
        <v>2272</v>
      </c>
      <c r="T2298" s="4" t="s">
        <v>2272</v>
      </c>
      <c r="U2298" s="4" t="s">
        <v>2272</v>
      </c>
      <c r="V2298" s="4" t="s">
        <v>2272</v>
      </c>
      <c r="W2298" s="4" t="s">
        <v>2272</v>
      </c>
      <c r="X2298" s="4" t="s">
        <v>2272</v>
      </c>
      <c r="Y2298" s="4" t="s">
        <v>2272</v>
      </c>
      <c r="Z2298" s="4" t="s">
        <v>2272</v>
      </c>
      <c r="AA2298" s="4" t="s">
        <v>2272</v>
      </c>
      <c r="AB2298" s="198"/>
      <c r="AC2298" s="198"/>
    </row>
    <row r="2299" spans="1:29" s="197" customFormat="1" ht="46" customHeight="1">
      <c r="A2299" s="151" t="str">
        <f>'Reported burning'!A2299</f>
        <v>267l</v>
      </c>
      <c r="B2299" s="151" t="str">
        <f>'Reported burning'!B2299</f>
        <v>267l.1</v>
      </c>
      <c r="C2299" s="151" t="str">
        <f>'Reported burning'!C2299</f>
        <v>Human, escaped</v>
      </c>
      <c r="D2299" s="151" t="str">
        <f>'Reported burning'!D2299</f>
        <v>Crop residue burning</v>
      </c>
      <c r="E2299" s="151" t="str">
        <f>'Reported burning'!E2299</f>
        <v>Mixed cropping-livestock small holder, Market-oriented</v>
      </c>
      <c r="F2299" s="151" t="str">
        <f>'Reported burning'!F2299</f>
        <v>Cropland</v>
      </c>
      <c r="G2299" s="151" t="str">
        <f>'Reported burning'!G2299</f>
        <v>Forest</v>
      </c>
      <c r="H2299" s="151" t="str">
        <f>'Reported burning'!H2299</f>
        <v>Presence</v>
      </c>
      <c r="I2299" s="198"/>
      <c r="J2299" s="4" t="s">
        <v>2272</v>
      </c>
      <c r="K2299" s="4" t="s">
        <v>2272</v>
      </c>
      <c r="L2299" s="4" t="s">
        <v>2272</v>
      </c>
      <c r="M2299" s="4" t="s">
        <v>2272</v>
      </c>
      <c r="N2299" s="4" t="s">
        <v>2272</v>
      </c>
      <c r="O2299" s="4" t="s">
        <v>2272</v>
      </c>
      <c r="P2299" s="4" t="s">
        <v>2272</v>
      </c>
      <c r="Q2299" s="4" t="s">
        <v>2272</v>
      </c>
      <c r="R2299" s="4" t="s">
        <v>2272</v>
      </c>
      <c r="S2299" s="4" t="s">
        <v>2272</v>
      </c>
      <c r="T2299" s="4" t="s">
        <v>2272</v>
      </c>
      <c r="U2299" s="4" t="s">
        <v>2272</v>
      </c>
      <c r="V2299" s="4" t="s">
        <v>2272</v>
      </c>
      <c r="W2299" s="4" t="s">
        <v>2272</v>
      </c>
      <c r="X2299" s="4" t="s">
        <v>2272</v>
      </c>
      <c r="Y2299" s="4" t="s">
        <v>2272</v>
      </c>
      <c r="Z2299" s="4" t="s">
        <v>2272</v>
      </c>
      <c r="AA2299" s="4" t="s">
        <v>2272</v>
      </c>
      <c r="AB2299" s="198"/>
      <c r="AC2299" s="198"/>
    </row>
    <row r="2300" spans="1:29" s="197" customFormat="1" ht="46" customHeight="1">
      <c r="A2300" s="151" t="str">
        <f>'Reported burning'!A2300</f>
        <v>267l</v>
      </c>
      <c r="B2300" s="151" t="str">
        <f>'Reported burning'!B2300</f>
        <v>267l.2</v>
      </c>
      <c r="C2300" s="151" t="str">
        <f>'Reported burning'!C2300</f>
        <v>Human, escaped</v>
      </c>
      <c r="D2300" s="151" t="str">
        <f>'Reported burning'!D2300</f>
        <v>Forest clearance</v>
      </c>
      <c r="E2300" s="151" t="str">
        <f>'Reported burning'!E2300</f>
        <v>Mixed cropping-livestock small holder, Market-oriented</v>
      </c>
      <c r="F2300" s="151" t="str">
        <f>'Reported burning'!F2300</f>
        <v>Cropland</v>
      </c>
      <c r="G2300" s="151" t="str">
        <f>'Reported burning'!G2300</f>
        <v>Forest</v>
      </c>
      <c r="H2300" s="151" t="str">
        <f>'Reported burning'!H2300</f>
        <v>Absence</v>
      </c>
      <c r="I2300" s="198"/>
      <c r="J2300" s="4">
        <v>0</v>
      </c>
      <c r="K2300" s="4">
        <v>0</v>
      </c>
      <c r="L2300" s="4">
        <v>0</v>
      </c>
      <c r="M2300" s="4">
        <v>0</v>
      </c>
      <c r="N2300" s="4">
        <v>0</v>
      </c>
      <c r="O2300" s="4">
        <v>0</v>
      </c>
      <c r="P2300" s="4">
        <v>0</v>
      </c>
      <c r="Q2300" s="4">
        <v>0</v>
      </c>
      <c r="R2300" s="4">
        <v>0</v>
      </c>
      <c r="S2300" s="4">
        <v>0</v>
      </c>
      <c r="T2300" s="4">
        <v>0</v>
      </c>
      <c r="U2300" s="4">
        <v>0</v>
      </c>
      <c r="V2300" s="4">
        <v>0</v>
      </c>
      <c r="W2300" s="4">
        <v>0</v>
      </c>
      <c r="X2300" s="4" t="s">
        <v>2272</v>
      </c>
      <c r="Y2300" s="4">
        <v>0</v>
      </c>
      <c r="Z2300" s="4" t="s">
        <v>2272</v>
      </c>
      <c r="AA2300" s="4" t="s">
        <v>2272</v>
      </c>
      <c r="AB2300" s="198"/>
      <c r="AC2300" s="198"/>
    </row>
    <row r="2301" spans="1:29" s="197" customFormat="1" ht="46" customHeight="1">
      <c r="A2301" s="151" t="str">
        <f>'Reported burning'!A2301</f>
        <v>267l</v>
      </c>
      <c r="B2301" s="151" t="str">
        <f>'Reported burning'!B2301</f>
        <v>267l.3</v>
      </c>
      <c r="C2301" s="151" t="str">
        <f>'Reported burning'!C2301</f>
        <v>Human, deliberate</v>
      </c>
      <c r="D2301" s="151" t="str">
        <f>'Reported burning'!D2301</f>
        <v>Crop residue burning</v>
      </c>
      <c r="E2301" s="151" t="str">
        <f>'Reported burning'!E2301</f>
        <v>Mixed cropping-livestock small holder, Market-oriented</v>
      </c>
      <c r="F2301" s="151" t="str">
        <f>'Reported burning'!F2301</f>
        <v>Cropland</v>
      </c>
      <c r="G2301" s="151" t="str">
        <f>'Reported burning'!G2301</f>
        <v>Cropland</v>
      </c>
      <c r="H2301" s="151" t="str">
        <f>'Reported burning'!H2301</f>
        <v>Presence</v>
      </c>
      <c r="I2301" s="198"/>
      <c r="J2301" s="4" t="s">
        <v>2272</v>
      </c>
      <c r="K2301" s="4" t="s">
        <v>2272</v>
      </c>
      <c r="L2301" s="4" t="s">
        <v>2272</v>
      </c>
      <c r="M2301" s="4" t="s">
        <v>2272</v>
      </c>
      <c r="N2301" s="4" t="s">
        <v>2272</v>
      </c>
      <c r="O2301" s="4" t="s">
        <v>2272</v>
      </c>
      <c r="P2301" s="4" t="s">
        <v>2272</v>
      </c>
      <c r="Q2301" s="4" t="s">
        <v>2272</v>
      </c>
      <c r="R2301" s="4" t="s">
        <v>2272</v>
      </c>
      <c r="S2301" s="4" t="s">
        <v>2272</v>
      </c>
      <c r="T2301" s="4" t="s">
        <v>2272</v>
      </c>
      <c r="U2301" s="4" t="s">
        <v>2272</v>
      </c>
      <c r="V2301" s="4" t="s">
        <v>2272</v>
      </c>
      <c r="W2301" s="4" t="s">
        <v>2272</v>
      </c>
      <c r="X2301" s="4" t="s">
        <v>2272</v>
      </c>
      <c r="Y2301" s="4" t="s">
        <v>2272</v>
      </c>
      <c r="Z2301" s="4" t="s">
        <v>2272</v>
      </c>
      <c r="AA2301" s="4" t="s">
        <v>2272</v>
      </c>
      <c r="AB2301" s="198"/>
      <c r="AC2301" s="198"/>
    </row>
    <row r="2302" spans="1:29" s="197" customFormat="1" ht="46" customHeight="1">
      <c r="A2302" s="151" t="str">
        <f>'Reported burning'!A2302</f>
        <v>267l</v>
      </c>
      <c r="B2302" s="151" t="str">
        <f>'Reported burning'!B2302</f>
        <v>267l.4</v>
      </c>
      <c r="C2302" s="151" t="str">
        <f>'Reported burning'!C2302</f>
        <v>Human, deliberate</v>
      </c>
      <c r="D2302" s="151" t="str">
        <f>'Reported burning'!D2302</f>
        <v>Forest clearance</v>
      </c>
      <c r="E2302" s="151" t="str">
        <f>'Reported burning'!E2302</f>
        <v>Mixed cropping-livestock small holder, Market-oriented</v>
      </c>
      <c r="F2302" s="151" t="str">
        <f>'Reported burning'!F2302</f>
        <v>Cropland</v>
      </c>
      <c r="G2302" s="151" t="str">
        <f>'Reported burning'!G2302</f>
        <v>Cropland</v>
      </c>
      <c r="H2302" s="151" t="str">
        <f>'Reported burning'!H2302</f>
        <v>Absence</v>
      </c>
      <c r="I2302" s="198"/>
      <c r="J2302" s="4">
        <v>0</v>
      </c>
      <c r="K2302" s="4">
        <v>0</v>
      </c>
      <c r="L2302" s="4">
        <v>0</v>
      </c>
      <c r="M2302" s="4">
        <v>0</v>
      </c>
      <c r="N2302" s="4">
        <v>0</v>
      </c>
      <c r="O2302" s="4">
        <v>0</v>
      </c>
      <c r="P2302" s="4">
        <v>0</v>
      </c>
      <c r="Q2302" s="4">
        <v>0</v>
      </c>
      <c r="R2302" s="4">
        <v>0</v>
      </c>
      <c r="S2302" s="4">
        <v>0</v>
      </c>
      <c r="T2302" s="4">
        <v>0</v>
      </c>
      <c r="U2302" s="4">
        <v>0</v>
      </c>
      <c r="V2302" s="4">
        <v>0</v>
      </c>
      <c r="W2302" s="4">
        <v>0</v>
      </c>
      <c r="X2302" s="4" t="s">
        <v>2272</v>
      </c>
      <c r="Y2302" s="4">
        <v>0</v>
      </c>
      <c r="Z2302" s="4" t="s">
        <v>2272</v>
      </c>
      <c r="AA2302" s="4" t="s">
        <v>2272</v>
      </c>
      <c r="AB2302" s="198"/>
      <c r="AC2302" s="198"/>
    </row>
    <row r="2303" spans="1:29" s="197" customFormat="1" ht="46" customHeight="1">
      <c r="A2303" s="151" t="str">
        <f>'Reported burning'!A2303</f>
        <v>267l</v>
      </c>
      <c r="B2303" s="151" t="str">
        <f>'Reported burning'!B2303</f>
        <v>267l.5</v>
      </c>
      <c r="C2303" s="151" t="str">
        <f>'Reported burning'!C2303</f>
        <v>Human, escaped</v>
      </c>
      <c r="D2303" s="151" t="str">
        <f>'Reported burning'!D2303</f>
        <v>Pasture renewal</v>
      </c>
      <c r="E2303" s="151" t="str">
        <f>'Reported burning'!E2303</f>
        <v>Mixed cropping-livestock small holder, Market-oriented</v>
      </c>
      <c r="F2303" s="151" t="str">
        <f>'Reported burning'!F2303</f>
        <v>Pasture</v>
      </c>
      <c r="G2303" s="151" t="str">
        <f>'Reported burning'!G2303</f>
        <v>Cropland</v>
      </c>
      <c r="H2303" s="151" t="str">
        <f>'Reported burning'!H2303</f>
        <v>Presence</v>
      </c>
      <c r="I2303" s="198"/>
      <c r="J2303" s="4" t="s">
        <v>2272</v>
      </c>
      <c r="K2303" s="4" t="s">
        <v>2272</v>
      </c>
      <c r="L2303" s="4" t="s">
        <v>2272</v>
      </c>
      <c r="M2303" s="4" t="s">
        <v>2272</v>
      </c>
      <c r="N2303" s="4" t="s">
        <v>2272</v>
      </c>
      <c r="O2303" s="4" t="s">
        <v>2272</v>
      </c>
      <c r="P2303" s="4" t="s">
        <v>2272</v>
      </c>
      <c r="Q2303" s="4" t="s">
        <v>2272</v>
      </c>
      <c r="R2303" s="4" t="s">
        <v>2272</v>
      </c>
      <c r="S2303" s="4" t="s">
        <v>2272</v>
      </c>
      <c r="T2303" s="4" t="s">
        <v>2272</v>
      </c>
      <c r="U2303" s="4" t="s">
        <v>2272</v>
      </c>
      <c r="V2303" s="4" t="s">
        <v>2272</v>
      </c>
      <c r="W2303" s="4" t="s">
        <v>2272</v>
      </c>
      <c r="X2303" s="4" t="s">
        <v>2272</v>
      </c>
      <c r="Y2303" s="4" t="s">
        <v>2272</v>
      </c>
      <c r="Z2303" s="4" t="s">
        <v>2272</v>
      </c>
      <c r="AA2303" s="4" t="s">
        <v>2272</v>
      </c>
      <c r="AB2303" s="198"/>
      <c r="AC2303" s="198"/>
    </row>
    <row r="2304" spans="1:29" s="197" customFormat="1" ht="46" customHeight="1">
      <c r="A2304" s="151" t="str">
        <f>'Reported burning'!A2304</f>
        <v>267l</v>
      </c>
      <c r="B2304" s="151" t="str">
        <f>'Reported burning'!B2304</f>
        <v>267l.6</v>
      </c>
      <c r="C2304" s="151" t="str">
        <f>'Reported burning'!C2304</f>
        <v>Human, deliberate</v>
      </c>
      <c r="D2304" s="151" t="str">
        <f>'Reported burning'!D2304</f>
        <v>Pasture renewal</v>
      </c>
      <c r="E2304" s="151" t="str">
        <f>'Reported burning'!E2304</f>
        <v>Mixed cropping-livestock small holder, Market-oriented</v>
      </c>
      <c r="F2304" s="151" t="str">
        <f>'Reported burning'!F2304</f>
        <v>Pasture</v>
      </c>
      <c r="G2304" s="151" t="str">
        <f>'Reported burning'!G2304</f>
        <v>Cropland</v>
      </c>
      <c r="H2304" s="151" t="str">
        <f>'Reported burning'!H2304</f>
        <v>Presence</v>
      </c>
      <c r="I2304" s="198"/>
      <c r="J2304" s="4" t="s">
        <v>2272</v>
      </c>
      <c r="K2304" s="4" t="s">
        <v>2272</v>
      </c>
      <c r="L2304" s="4" t="s">
        <v>2272</v>
      </c>
      <c r="M2304" s="4" t="s">
        <v>2272</v>
      </c>
      <c r="N2304" s="4" t="s">
        <v>2272</v>
      </c>
      <c r="O2304" s="4" t="s">
        <v>2272</v>
      </c>
      <c r="P2304" s="4" t="s">
        <v>2272</v>
      </c>
      <c r="Q2304" s="4" t="s">
        <v>2272</v>
      </c>
      <c r="R2304" s="4" t="s">
        <v>2272</v>
      </c>
      <c r="S2304" s="4" t="s">
        <v>2272</v>
      </c>
      <c r="T2304" s="4" t="s">
        <v>2272</v>
      </c>
      <c r="U2304" s="4" t="s">
        <v>2272</v>
      </c>
      <c r="V2304" s="4" t="s">
        <v>2272</v>
      </c>
      <c r="W2304" s="4" t="s">
        <v>2272</v>
      </c>
      <c r="X2304" s="4" t="s">
        <v>2272</v>
      </c>
      <c r="Y2304" s="4" t="s">
        <v>2272</v>
      </c>
      <c r="Z2304" s="4" t="s">
        <v>2272</v>
      </c>
      <c r="AA2304" s="4" t="s">
        <v>2272</v>
      </c>
      <c r="AB2304" s="198"/>
      <c r="AC2304" s="198"/>
    </row>
    <row r="2305" spans="1:29" s="197" customFormat="1" ht="46" customHeight="1">
      <c r="A2305" s="151" t="str">
        <f>'Reported burning'!A2305</f>
        <v>267l</v>
      </c>
      <c r="B2305" s="151" t="str">
        <f>'Reported burning'!B2305</f>
        <v>267l.7</v>
      </c>
      <c r="C2305" s="151" t="str">
        <f>'Reported burning'!C2305</f>
        <v>Human, deliberate</v>
      </c>
      <c r="D2305" s="151" t="str">
        <f>'Reported burning'!D2305</f>
        <v>Arson</v>
      </c>
      <c r="E2305" s="151" t="str">
        <f>'Reported burning'!E2305</f>
        <v>Mixed cropping-livestock small holder, Market-oriented</v>
      </c>
      <c r="F2305" s="151" t="str">
        <f>'Reported burning'!F2305</f>
        <v>ND</v>
      </c>
      <c r="G2305" s="151" t="str">
        <f>'Reported burning'!G2305</f>
        <v>ND</v>
      </c>
      <c r="H2305" s="151" t="str">
        <f>'Reported burning'!H2305</f>
        <v>Presence</v>
      </c>
      <c r="I2305" s="198"/>
      <c r="J2305" s="4" t="s">
        <v>2272</v>
      </c>
      <c r="K2305" s="4" t="s">
        <v>2272</v>
      </c>
      <c r="L2305" s="4" t="s">
        <v>2272</v>
      </c>
      <c r="M2305" s="4" t="s">
        <v>2272</v>
      </c>
      <c r="N2305" s="4" t="s">
        <v>2272</v>
      </c>
      <c r="O2305" s="4" t="s">
        <v>2272</v>
      </c>
      <c r="P2305" s="4" t="s">
        <v>2272</v>
      </c>
      <c r="Q2305" s="4" t="s">
        <v>2272</v>
      </c>
      <c r="R2305" s="4" t="s">
        <v>2272</v>
      </c>
      <c r="S2305" s="4" t="s">
        <v>2272</v>
      </c>
      <c r="T2305" s="4" t="s">
        <v>2272</v>
      </c>
      <c r="U2305" s="4" t="s">
        <v>2272</v>
      </c>
      <c r="V2305" s="4" t="s">
        <v>2272</v>
      </c>
      <c r="W2305" s="4" t="s">
        <v>2272</v>
      </c>
      <c r="X2305" s="4" t="s">
        <v>2272</v>
      </c>
      <c r="Y2305" s="4" t="s">
        <v>2272</v>
      </c>
      <c r="Z2305" s="4" t="s">
        <v>2272</v>
      </c>
      <c r="AA2305" s="4" t="s">
        <v>2272</v>
      </c>
      <c r="AB2305" s="198"/>
      <c r="AC2305" s="198"/>
    </row>
    <row r="2306" spans="1:29" ht="46" customHeight="1">
      <c r="A2306" s="151" t="str">
        <f>'Reported burning'!A2306</f>
        <v>268a</v>
      </c>
      <c r="B2306" s="151" t="str">
        <f>'Reported burning'!B2306</f>
        <v>268a.1</v>
      </c>
      <c r="C2306" s="151" t="str">
        <f>'Reported burning'!C2306</f>
        <v>Human, deliberate</v>
      </c>
      <c r="D2306" s="151" t="str">
        <f>'Reported burning'!D2306</f>
        <v>Pasture renewal</v>
      </c>
      <c r="E2306" s="151" t="str">
        <f>'Reported burning'!E2306</f>
        <v>Cropping, Monoculture, Subsistence-oriented</v>
      </c>
      <c r="F2306" s="151" t="str">
        <f>'Reported burning'!F2306</f>
        <v>Grassland</v>
      </c>
      <c r="G2306" s="151" t="str">
        <f>'Reported burning'!G2306</f>
        <v>Grassland</v>
      </c>
      <c r="H2306" s="151" t="str">
        <f>'Reported burning'!H2306</f>
        <v>Presence</v>
      </c>
      <c r="I2306" s="3"/>
      <c r="J2306" s="21" t="s">
        <v>2272</v>
      </c>
      <c r="K2306" s="21" t="s">
        <v>2272</v>
      </c>
      <c r="L2306" s="98" t="s">
        <v>2272</v>
      </c>
      <c r="M2306" s="21" t="s">
        <v>2272</v>
      </c>
      <c r="N2306" s="21" t="s">
        <v>2272</v>
      </c>
      <c r="O2306" s="21" t="s">
        <v>2272</v>
      </c>
      <c r="P2306" s="21" t="s">
        <v>2272</v>
      </c>
      <c r="Q2306" s="21" t="s">
        <v>2272</v>
      </c>
      <c r="R2306" s="21" t="s">
        <v>2272</v>
      </c>
      <c r="S2306" s="21" t="s">
        <v>2272</v>
      </c>
      <c r="T2306" s="21" t="s">
        <v>2272</v>
      </c>
      <c r="U2306" s="21" t="s">
        <v>2272</v>
      </c>
      <c r="V2306" s="21" t="s">
        <v>2272</v>
      </c>
      <c r="W2306" s="21" t="s">
        <v>2272</v>
      </c>
      <c r="X2306" s="21" t="s">
        <v>2272</v>
      </c>
      <c r="Y2306" s="3" t="s">
        <v>2272</v>
      </c>
      <c r="Z2306" s="3" t="s">
        <v>2272</v>
      </c>
      <c r="AA2306" s="3" t="s">
        <v>2272</v>
      </c>
      <c r="AB2306" s="3"/>
      <c r="AC2306" s="3"/>
    </row>
    <row r="2307" spans="1:29" s="197" customFormat="1" ht="46" customHeight="1">
      <c r="A2307" s="151" t="str">
        <f>'Reported burning'!A2307</f>
        <v>268a</v>
      </c>
      <c r="B2307" s="151" t="str">
        <f>'Reported burning'!B2307</f>
        <v>268a.2</v>
      </c>
      <c r="C2307" s="151" t="str">
        <f>'Reported burning'!C2307</f>
        <v>Human, deliberate</v>
      </c>
      <c r="D2307" s="151" t="str">
        <f>'Reported burning'!D2307</f>
        <v>Pasture renewal</v>
      </c>
      <c r="E2307" s="151" t="str">
        <f>'Reported burning'!E2307</f>
        <v>Cropping, Agroecology</v>
      </c>
      <c r="F2307" s="151" t="str">
        <f>'Reported burning'!F2307</f>
        <v>Grassland</v>
      </c>
      <c r="G2307" s="151" t="str">
        <f>'Reported burning'!G2307</f>
        <v>Grassland</v>
      </c>
      <c r="H2307" s="151" t="str">
        <f>'Reported burning'!H2307</f>
        <v>Presence</v>
      </c>
      <c r="I2307" s="198"/>
      <c r="J2307" s="21" t="s">
        <v>2272</v>
      </c>
      <c r="K2307" s="21" t="s">
        <v>2272</v>
      </c>
      <c r="L2307" s="21" t="s">
        <v>2272</v>
      </c>
      <c r="M2307" s="21" t="s">
        <v>2272</v>
      </c>
      <c r="N2307" s="21" t="s">
        <v>2272</v>
      </c>
      <c r="O2307" s="21" t="s">
        <v>2272</v>
      </c>
      <c r="P2307" s="21" t="s">
        <v>2272</v>
      </c>
      <c r="Q2307" s="21" t="s">
        <v>2272</v>
      </c>
      <c r="R2307" s="21" t="s">
        <v>2272</v>
      </c>
      <c r="S2307" s="21" t="s">
        <v>2272</v>
      </c>
      <c r="T2307" s="21" t="s">
        <v>2272</v>
      </c>
      <c r="U2307" s="21" t="s">
        <v>2272</v>
      </c>
      <c r="V2307" s="21" t="s">
        <v>2272</v>
      </c>
      <c r="W2307" s="21" t="s">
        <v>2272</v>
      </c>
      <c r="X2307" s="21" t="s">
        <v>2272</v>
      </c>
      <c r="Y2307" s="21" t="s">
        <v>2272</v>
      </c>
      <c r="Z2307" s="21" t="s">
        <v>2272</v>
      </c>
      <c r="AA2307" s="21" t="s">
        <v>2272</v>
      </c>
      <c r="AB2307" s="198"/>
      <c r="AC2307" s="198"/>
    </row>
    <row r="2308" spans="1:29" s="197" customFormat="1" ht="46" customHeight="1">
      <c r="A2308" s="151" t="str">
        <f>'Reported burning'!A2308</f>
        <v>268a</v>
      </c>
      <c r="B2308" s="151" t="str">
        <f>'Reported burning'!B2308</f>
        <v>268a.3</v>
      </c>
      <c r="C2308" s="151" t="str">
        <f>'Reported burning'!C2308</f>
        <v>Human, deliberate</v>
      </c>
      <c r="D2308" s="151" t="str">
        <f>'Reported burning'!D2308</f>
        <v>Conservation</v>
      </c>
      <c r="E2308" s="151" t="str">
        <f>'Reported burning'!E2308</f>
        <v>Cropping, Agroecology</v>
      </c>
      <c r="F2308" s="151" t="str">
        <f>'Reported burning'!F2308</f>
        <v>Grassland</v>
      </c>
      <c r="G2308" s="151" t="str">
        <f>'Reported burning'!G2308</f>
        <v>Grassland</v>
      </c>
      <c r="H2308" s="151" t="str">
        <f>'Reported burning'!H2308</f>
        <v>Presence</v>
      </c>
      <c r="I2308" s="198"/>
      <c r="J2308" s="21" t="s">
        <v>2272</v>
      </c>
      <c r="K2308" s="21" t="s">
        <v>2272</v>
      </c>
      <c r="L2308" s="21" t="s">
        <v>2272</v>
      </c>
      <c r="M2308" s="21" t="s">
        <v>2272</v>
      </c>
      <c r="N2308" s="21" t="s">
        <v>2272</v>
      </c>
      <c r="O2308" s="21" t="s">
        <v>2272</v>
      </c>
      <c r="P2308" s="21" t="s">
        <v>2272</v>
      </c>
      <c r="Q2308" s="21" t="s">
        <v>2272</v>
      </c>
      <c r="R2308" s="21" t="s">
        <v>2272</v>
      </c>
      <c r="S2308" s="21" t="s">
        <v>2272</v>
      </c>
      <c r="T2308" s="21" t="s">
        <v>2272</v>
      </c>
      <c r="U2308" s="21" t="s">
        <v>2272</v>
      </c>
      <c r="V2308" s="21" t="s">
        <v>2272</v>
      </c>
      <c r="W2308" s="21" t="s">
        <v>2272</v>
      </c>
      <c r="X2308" s="21" t="s">
        <v>2272</v>
      </c>
      <c r="Y2308" s="21" t="s">
        <v>2272</v>
      </c>
      <c r="Z2308" s="21" t="s">
        <v>2272</v>
      </c>
      <c r="AA2308" s="21" t="s">
        <v>2272</v>
      </c>
      <c r="AB2308" s="198"/>
      <c r="AC2308" s="198"/>
    </row>
    <row r="2309" spans="1:29" s="197" customFormat="1" ht="46" customHeight="1">
      <c r="A2309" s="151" t="str">
        <f>'Reported burning'!A2309</f>
        <v>270a</v>
      </c>
      <c r="B2309" s="151" t="str">
        <f>'Reported burning'!B2309</f>
        <v>270a.1</v>
      </c>
      <c r="C2309" s="151" t="str">
        <f>'Reported burning'!C2309</f>
        <v>All</v>
      </c>
      <c r="D2309" s="151" t="str">
        <f>'Reported burning'!D2309</f>
        <v>All</v>
      </c>
      <c r="E2309" s="151" t="str">
        <f>'Reported burning'!E2309</f>
        <v>All</v>
      </c>
      <c r="F2309" s="151" t="str">
        <f>'Reported burning'!F2309</f>
        <v>ND</v>
      </c>
      <c r="G2309" s="151" t="str">
        <f>'Reported burning'!G2309</f>
        <v>ND</v>
      </c>
      <c r="H2309" s="151" t="str">
        <f>'Reported burning'!H2309</f>
        <v>Presence</v>
      </c>
      <c r="I2309" s="198"/>
      <c r="J2309" s="21" t="s">
        <v>2272</v>
      </c>
      <c r="K2309" s="21" t="s">
        <v>2272</v>
      </c>
      <c r="L2309" s="21" t="s">
        <v>2272</v>
      </c>
      <c r="M2309" s="21" t="s">
        <v>2272</v>
      </c>
      <c r="N2309" s="21" t="s">
        <v>2272</v>
      </c>
      <c r="O2309" s="21" t="s">
        <v>2272</v>
      </c>
      <c r="P2309" s="21" t="s">
        <v>2272</v>
      </c>
      <c r="Q2309" s="21" t="s">
        <v>2272</v>
      </c>
      <c r="R2309" s="21" t="s">
        <v>2272</v>
      </c>
      <c r="S2309" s="21" t="s">
        <v>2272</v>
      </c>
      <c r="T2309" s="21" t="s">
        <v>2272</v>
      </c>
      <c r="U2309" s="21" t="s">
        <v>2272</v>
      </c>
      <c r="V2309" s="21" t="s">
        <v>2272</v>
      </c>
      <c r="W2309" s="21" t="s">
        <v>2272</v>
      </c>
      <c r="X2309" s="21" t="s">
        <v>2272</v>
      </c>
      <c r="Y2309" s="21" t="s">
        <v>2272</v>
      </c>
      <c r="Z2309" s="21" t="s">
        <v>2272</v>
      </c>
      <c r="AA2309" s="21" t="s">
        <v>2272</v>
      </c>
      <c r="AB2309" s="198"/>
      <c r="AC2309" s="198"/>
    </row>
    <row r="2310" spans="1:29" ht="46" customHeight="1">
      <c r="A2310" s="151" t="str">
        <f>'Reported burning'!A2310</f>
        <v>270a</v>
      </c>
      <c r="B2310" s="151" t="str">
        <f>'Reported burning'!B2310</f>
        <v>270a.2</v>
      </c>
      <c r="C2310" s="151" t="str">
        <f>'Reported burning'!C2310</f>
        <v>All</v>
      </c>
      <c r="D2310" s="151" t="str">
        <f>'Reported burning'!D2310</f>
        <v>All</v>
      </c>
      <c r="E2310" s="151" t="str">
        <f>'Reported burning'!E2310</f>
        <v>Abandoned agricultural land</v>
      </c>
      <c r="F2310" s="151" t="str">
        <f>'Reported burning'!F2310</f>
        <v>ND</v>
      </c>
      <c r="G2310" s="151" t="str">
        <f>'Reported burning'!G2310</f>
        <v>ND</v>
      </c>
      <c r="H2310" s="151" t="str">
        <f>'Reported burning'!H2310</f>
        <v>Presence</v>
      </c>
      <c r="I2310" s="3"/>
      <c r="J2310" s="21" t="s">
        <v>2272</v>
      </c>
      <c r="K2310" s="21" t="s">
        <v>2272</v>
      </c>
      <c r="L2310" s="98" t="s">
        <v>2272</v>
      </c>
      <c r="M2310" s="21" t="s">
        <v>2272</v>
      </c>
      <c r="N2310" s="21" t="s">
        <v>2272</v>
      </c>
      <c r="O2310" s="21" t="s">
        <v>2272</v>
      </c>
      <c r="P2310" s="21" t="s">
        <v>2272</v>
      </c>
      <c r="Q2310" s="21" t="s">
        <v>2272</v>
      </c>
      <c r="R2310" s="21" t="s">
        <v>2272</v>
      </c>
      <c r="S2310" s="21" t="s">
        <v>2272</v>
      </c>
      <c r="T2310" s="21" t="s">
        <v>2272</v>
      </c>
      <c r="U2310" s="21" t="s">
        <v>2272</v>
      </c>
      <c r="V2310" s="21" t="s">
        <v>2272</v>
      </c>
      <c r="W2310" s="21" t="s">
        <v>2272</v>
      </c>
      <c r="X2310" s="21" t="s">
        <v>2272</v>
      </c>
      <c r="Y2310" s="3" t="s">
        <v>2272</v>
      </c>
      <c r="Z2310" s="3" t="s">
        <v>2272</v>
      </c>
      <c r="AA2310" s="3" t="s">
        <v>2272</v>
      </c>
      <c r="AB2310" s="4" t="s">
        <v>6779</v>
      </c>
      <c r="AC2310" s="3"/>
    </row>
    <row r="2311" spans="1:29" s="197" customFormat="1" ht="46" customHeight="1">
      <c r="A2311" s="151" t="str">
        <f>'Reported burning'!A2311</f>
        <v>270a</v>
      </c>
      <c r="B2311" s="151" t="str">
        <f>'Reported burning'!B2311</f>
        <v>270a.3</v>
      </c>
      <c r="C2311" s="151" t="str">
        <f>'Reported burning'!C2311</f>
        <v>Human, deliberate</v>
      </c>
      <c r="D2311" s="151" t="str">
        <f>'Reported burning'!D2311</f>
        <v>ND</v>
      </c>
      <c r="E2311" s="151" t="str">
        <f>'Reported burning'!E2311</f>
        <v>Mixed cropping-livestock small holder, Market-oriented</v>
      </c>
      <c r="F2311" s="151" t="str">
        <f>'Reported burning'!F2311</f>
        <v>Cropland</v>
      </c>
      <c r="G2311" s="151" t="str">
        <f>'Reported burning'!G2311</f>
        <v>Cropland</v>
      </c>
      <c r="H2311" s="151" t="str">
        <f>'Reported burning'!H2311</f>
        <v>Presence</v>
      </c>
      <c r="I2311" s="198"/>
      <c r="J2311" s="21" t="s">
        <v>2272</v>
      </c>
      <c r="K2311" s="21" t="s">
        <v>2272</v>
      </c>
      <c r="L2311" s="98" t="s">
        <v>2272</v>
      </c>
      <c r="M2311" s="21" t="s">
        <v>2272</v>
      </c>
      <c r="N2311" s="21" t="s">
        <v>2272</v>
      </c>
      <c r="O2311" s="21" t="s">
        <v>2272</v>
      </c>
      <c r="P2311" s="21" t="s">
        <v>2272</v>
      </c>
      <c r="Q2311" s="21" t="s">
        <v>2272</v>
      </c>
      <c r="R2311" s="21" t="s">
        <v>2272</v>
      </c>
      <c r="S2311" s="21" t="s">
        <v>2272</v>
      </c>
      <c r="T2311" s="21" t="s">
        <v>2272</v>
      </c>
      <c r="U2311" s="21" t="s">
        <v>2272</v>
      </c>
      <c r="V2311" s="21" t="s">
        <v>2272</v>
      </c>
      <c r="W2311" s="21" t="s">
        <v>2272</v>
      </c>
      <c r="X2311" s="21" t="s">
        <v>2272</v>
      </c>
      <c r="Y2311" s="198" t="s">
        <v>2272</v>
      </c>
      <c r="Z2311" s="198" t="s">
        <v>2272</v>
      </c>
      <c r="AA2311" s="198" t="s">
        <v>2272</v>
      </c>
      <c r="AB2311" s="4" t="s">
        <v>6782</v>
      </c>
      <c r="AC2311" s="198"/>
    </row>
    <row r="2312" spans="1:29" s="197" customFormat="1" ht="46" customHeight="1">
      <c r="A2312" s="151" t="str">
        <f>'Reported burning'!A2312</f>
        <v>270a</v>
      </c>
      <c r="B2312" s="151" t="str">
        <f>'Reported burning'!B2312</f>
        <v>270a.4</v>
      </c>
      <c r="C2312" s="151" t="str">
        <f>'Reported burning'!C2312</f>
        <v>Human, deliberate</v>
      </c>
      <c r="D2312" s="151" t="str">
        <f>'Reported burning'!D2312</f>
        <v>ND</v>
      </c>
      <c r="E2312" s="151" t="str">
        <f>'Reported burning'!E2312</f>
        <v>Mixed cropping-livestock small holder, Market-oriented</v>
      </c>
      <c r="F2312" s="151" t="str">
        <f>'Reported burning'!F2312</f>
        <v>Pasture</v>
      </c>
      <c r="G2312" s="151" t="str">
        <f>'Reported burning'!G2312</f>
        <v>Pasture</v>
      </c>
      <c r="H2312" s="151" t="str">
        <f>'Reported burning'!H2312</f>
        <v>Presence</v>
      </c>
      <c r="I2312" s="198"/>
      <c r="J2312" s="21" t="s">
        <v>2272</v>
      </c>
      <c r="K2312" s="21" t="s">
        <v>2272</v>
      </c>
      <c r="L2312" s="98" t="s">
        <v>2272</v>
      </c>
      <c r="M2312" s="21" t="s">
        <v>2272</v>
      </c>
      <c r="N2312" s="21" t="s">
        <v>2272</v>
      </c>
      <c r="O2312" s="21" t="s">
        <v>2272</v>
      </c>
      <c r="P2312" s="21" t="s">
        <v>2272</v>
      </c>
      <c r="Q2312" s="21" t="s">
        <v>2272</v>
      </c>
      <c r="R2312" s="21" t="s">
        <v>2272</v>
      </c>
      <c r="S2312" s="21" t="s">
        <v>2272</v>
      </c>
      <c r="T2312" s="21" t="s">
        <v>2272</v>
      </c>
      <c r="U2312" s="21" t="s">
        <v>2272</v>
      </c>
      <c r="V2312" s="21" t="s">
        <v>2272</v>
      </c>
      <c r="W2312" s="21" t="s">
        <v>2272</v>
      </c>
      <c r="X2312" s="21" t="s">
        <v>2272</v>
      </c>
      <c r="Y2312" s="198" t="s">
        <v>2272</v>
      </c>
      <c r="Z2312" s="198" t="s">
        <v>2272</v>
      </c>
      <c r="AA2312" s="198" t="s">
        <v>2272</v>
      </c>
      <c r="AB2312" s="4" t="s">
        <v>6782</v>
      </c>
      <c r="AC2312" s="198"/>
    </row>
    <row r="2313" spans="1:29" ht="46" customHeight="1">
      <c r="A2313" s="151" t="str">
        <f>'Reported burning'!A2313</f>
        <v>271a</v>
      </c>
      <c r="B2313" s="151" t="str">
        <f>'Reported burning'!B2313</f>
        <v>271a.1</v>
      </c>
      <c r="C2313" s="151" t="str">
        <f>'Reported burning'!C2313</f>
        <v>All</v>
      </c>
      <c r="D2313" s="151" t="str">
        <f>'Reported burning'!D2313</f>
        <v>ND</v>
      </c>
      <c r="E2313" s="151" t="str">
        <f>'Reported burning'!E2313</f>
        <v>ND</v>
      </c>
      <c r="F2313" s="151" t="str">
        <f>'Reported burning'!F2313</f>
        <v>ND</v>
      </c>
      <c r="G2313" s="151" t="str">
        <f>'Reported burning'!G2313</f>
        <v>ND</v>
      </c>
      <c r="H2313" s="151" t="str">
        <f>'Reported burning'!H2313</f>
        <v>Presence</v>
      </c>
      <c r="I2313" s="3"/>
      <c r="J2313" s="21" t="s">
        <v>2272</v>
      </c>
      <c r="K2313" s="21" t="s">
        <v>2272</v>
      </c>
      <c r="L2313" s="98" t="s">
        <v>2272</v>
      </c>
      <c r="M2313" s="21" t="s">
        <v>2272</v>
      </c>
      <c r="N2313" s="21" t="s">
        <v>2272</v>
      </c>
      <c r="O2313" s="21" t="s">
        <v>2272</v>
      </c>
      <c r="P2313" s="21" t="s">
        <v>2272</v>
      </c>
      <c r="Q2313" s="21" t="s">
        <v>2272</v>
      </c>
      <c r="R2313" s="21" t="s">
        <v>2272</v>
      </c>
      <c r="S2313" s="21" t="s">
        <v>2272</v>
      </c>
      <c r="T2313" s="21" t="s">
        <v>2272</v>
      </c>
      <c r="U2313" s="21" t="s">
        <v>2272</v>
      </c>
      <c r="V2313" s="21" t="s">
        <v>2272</v>
      </c>
      <c r="W2313" s="21" t="s">
        <v>2272</v>
      </c>
      <c r="X2313" s="21" t="s">
        <v>2272</v>
      </c>
      <c r="Y2313" s="3" t="s">
        <v>2272</v>
      </c>
      <c r="Z2313" s="3" t="s">
        <v>2272</v>
      </c>
      <c r="AA2313" s="3" t="s">
        <v>2272</v>
      </c>
      <c r="AB2313" s="3"/>
      <c r="AC2313" s="3"/>
    </row>
    <row r="2314" spans="1:29" s="197" customFormat="1" ht="46" customHeight="1">
      <c r="A2314" s="151" t="str">
        <f>'Reported burning'!A2314</f>
        <v>271a</v>
      </c>
      <c r="B2314" s="151" t="str">
        <f>'Reported burning'!B2314</f>
        <v>271a.2</v>
      </c>
      <c r="C2314" s="151" t="str">
        <f>'Reported burning'!C2314</f>
        <v>Human, accidental</v>
      </c>
      <c r="D2314" s="151" t="str">
        <f>'Reported burning'!D2314</f>
        <v>Accidental</v>
      </c>
      <c r="E2314" s="151" t="str">
        <f>'Reported burning'!E2314</f>
        <v>Urban planner</v>
      </c>
      <c r="F2314" s="151" t="str">
        <f>'Reported burning'!F2314</f>
        <v>ND</v>
      </c>
      <c r="G2314" s="151" t="str">
        <f>'Reported burning'!G2314</f>
        <v>Shrubland (Mixed forest &amp; grassland)</v>
      </c>
      <c r="H2314" s="151" t="str">
        <f>'Reported burning'!H2314</f>
        <v>Presence</v>
      </c>
      <c r="I2314" s="198"/>
      <c r="J2314" s="21" t="s">
        <v>2367</v>
      </c>
      <c r="K2314" s="21" t="s">
        <v>2272</v>
      </c>
      <c r="L2314" s="21" t="s">
        <v>2272</v>
      </c>
      <c r="M2314" s="21" t="s">
        <v>2272</v>
      </c>
      <c r="N2314" s="21" t="s">
        <v>2272</v>
      </c>
      <c r="O2314" s="21" t="s">
        <v>2272</v>
      </c>
      <c r="P2314" s="21" t="s">
        <v>2272</v>
      </c>
      <c r="Q2314" s="21" t="s">
        <v>2272</v>
      </c>
      <c r="R2314" s="21" t="s">
        <v>2272</v>
      </c>
      <c r="S2314" s="21" t="s">
        <v>2272</v>
      </c>
      <c r="T2314" s="21" t="s">
        <v>2272</v>
      </c>
      <c r="U2314" s="21" t="s">
        <v>2272</v>
      </c>
      <c r="V2314" s="21" t="s">
        <v>2272</v>
      </c>
      <c r="W2314" s="4" t="s">
        <v>2522</v>
      </c>
      <c r="X2314" s="21" t="s">
        <v>2272</v>
      </c>
      <c r="Y2314" s="21" t="s">
        <v>2272</v>
      </c>
      <c r="Z2314" s="21" t="s">
        <v>2272</v>
      </c>
      <c r="AA2314" s="21" t="s">
        <v>2272</v>
      </c>
      <c r="AB2314" s="198"/>
      <c r="AC2314" s="4" t="s">
        <v>6785</v>
      </c>
    </row>
    <row r="2315" spans="1:29" s="197" customFormat="1" ht="46" customHeight="1">
      <c r="A2315" s="151" t="str">
        <f>'Reported burning'!A2315</f>
        <v>271a</v>
      </c>
      <c r="B2315" s="151" t="str">
        <f>'Reported burning'!B2315</f>
        <v>271a.3</v>
      </c>
      <c r="C2315" s="151" t="str">
        <f>'Reported burning'!C2315</f>
        <v>Human, escaped</v>
      </c>
      <c r="D2315" s="151" t="str">
        <f>'Reported burning'!D2315</f>
        <v>Pasture renewal</v>
      </c>
      <c r="E2315" s="151" t="str">
        <f>'Reported burning'!E2315</f>
        <v>Mixed cropping-livestock small holder, Market-oriented</v>
      </c>
      <c r="F2315" s="151" t="str">
        <f>'Reported burning'!F2315</f>
        <v>Pasture</v>
      </c>
      <c r="G2315" s="151" t="str">
        <f>'Reported burning'!G2315</f>
        <v>ND</v>
      </c>
      <c r="H2315" s="151" t="str">
        <f>'Reported burning'!H2315</f>
        <v>Presence</v>
      </c>
      <c r="I2315" s="198"/>
      <c r="J2315" s="21" t="s">
        <v>2272</v>
      </c>
      <c r="K2315" s="21" t="s">
        <v>2272</v>
      </c>
      <c r="L2315" s="21" t="s">
        <v>2272</v>
      </c>
      <c r="M2315" s="21" t="s">
        <v>2272</v>
      </c>
      <c r="N2315" s="21" t="s">
        <v>2272</v>
      </c>
      <c r="O2315" s="21" t="s">
        <v>2272</v>
      </c>
      <c r="P2315" s="21" t="s">
        <v>2272</v>
      </c>
      <c r="Q2315" s="21" t="s">
        <v>2272</v>
      </c>
      <c r="R2315" s="21" t="s">
        <v>2272</v>
      </c>
      <c r="S2315" s="21" t="s">
        <v>2272</v>
      </c>
      <c r="T2315" s="21" t="s">
        <v>2272</v>
      </c>
      <c r="U2315" s="21" t="s">
        <v>2272</v>
      </c>
      <c r="V2315" s="21" t="s">
        <v>2272</v>
      </c>
      <c r="W2315" s="21" t="s">
        <v>2272</v>
      </c>
      <c r="X2315" s="21" t="s">
        <v>2272</v>
      </c>
      <c r="Y2315" s="21" t="s">
        <v>2272</v>
      </c>
      <c r="Z2315" s="21" t="s">
        <v>2272</v>
      </c>
      <c r="AA2315" s="21" t="s">
        <v>2272</v>
      </c>
      <c r="AB2315" s="198"/>
      <c r="AC2315" s="198"/>
    </row>
    <row r="2316" spans="1:29" s="197" customFormat="1" ht="46" customHeight="1">
      <c r="A2316" s="151" t="str">
        <f>'Reported burning'!A2316</f>
        <v>272a</v>
      </c>
      <c r="B2316" s="151" t="str">
        <f>'Reported burning'!B2316</f>
        <v>272a.1</v>
      </c>
      <c r="C2316" s="151" t="str">
        <f>'Reported burning'!C2316</f>
        <v>All</v>
      </c>
      <c r="D2316" s="151" t="str">
        <f>'Reported burning'!D2316</f>
        <v>ND</v>
      </c>
      <c r="E2316" s="151" t="str">
        <f>'Reported burning'!E2316</f>
        <v>ND</v>
      </c>
      <c r="F2316" s="151" t="str">
        <f>'Reported burning'!F2316</f>
        <v>ND</v>
      </c>
      <c r="G2316" s="151" t="str">
        <f>'Reported burning'!G2316</f>
        <v>Forest</v>
      </c>
      <c r="H2316" s="151" t="str">
        <f>'Reported burning'!H2316</f>
        <v>Presence</v>
      </c>
      <c r="I2316" s="198"/>
      <c r="J2316" s="21" t="s">
        <v>2272</v>
      </c>
      <c r="K2316" s="21" t="s">
        <v>2272</v>
      </c>
      <c r="L2316" s="21" t="s">
        <v>2272</v>
      </c>
      <c r="M2316" s="21" t="s">
        <v>2272</v>
      </c>
      <c r="N2316" s="21" t="s">
        <v>2272</v>
      </c>
      <c r="O2316" s="21" t="s">
        <v>2272</v>
      </c>
      <c r="P2316" s="21" t="s">
        <v>2272</v>
      </c>
      <c r="Q2316" s="21" t="s">
        <v>2272</v>
      </c>
      <c r="R2316" s="21" t="s">
        <v>2272</v>
      </c>
      <c r="S2316" s="21" t="s">
        <v>2272</v>
      </c>
      <c r="T2316" s="21" t="s">
        <v>2272</v>
      </c>
      <c r="U2316" s="21" t="s">
        <v>2272</v>
      </c>
      <c r="V2316" s="21" t="s">
        <v>2272</v>
      </c>
      <c r="W2316" s="21" t="s">
        <v>2272</v>
      </c>
      <c r="X2316" s="21" t="s">
        <v>2272</v>
      </c>
      <c r="Y2316" s="21" t="s">
        <v>2272</v>
      </c>
      <c r="Z2316" s="21" t="s">
        <v>2272</v>
      </c>
      <c r="AA2316" s="21" t="s">
        <v>2272</v>
      </c>
      <c r="AB2316" s="198"/>
      <c r="AC2316" s="198"/>
    </row>
    <row r="2317" spans="1:29" s="197" customFormat="1" ht="46" customHeight="1">
      <c r="A2317" s="151" t="str">
        <f>'Reported burning'!A2317</f>
        <v>272a</v>
      </c>
      <c r="B2317" s="151" t="str">
        <f>'Reported burning'!B2317</f>
        <v>272a.2</v>
      </c>
      <c r="C2317" s="151" t="str">
        <f>'Reported burning'!C2317</f>
        <v>Human, deliberate</v>
      </c>
      <c r="D2317" s="151" t="str">
        <f>'Reported burning'!D2317</f>
        <v>ND</v>
      </c>
      <c r="E2317" s="151" t="str">
        <f>'Reported burning'!E2317</f>
        <v>ND</v>
      </c>
      <c r="F2317" s="151" t="str">
        <f>'Reported burning'!F2317</f>
        <v>ND</v>
      </c>
      <c r="G2317" s="151" t="str">
        <f>'Reported burning'!G2317</f>
        <v>Forest</v>
      </c>
      <c r="H2317" s="151" t="str">
        <f>'Reported burning'!H2317</f>
        <v>Presence</v>
      </c>
      <c r="I2317" s="198"/>
      <c r="J2317" s="21" t="s">
        <v>2272</v>
      </c>
      <c r="K2317" s="21" t="s">
        <v>2272</v>
      </c>
      <c r="L2317" s="21" t="s">
        <v>2272</v>
      </c>
      <c r="M2317" s="21" t="s">
        <v>2272</v>
      </c>
      <c r="N2317" s="21" t="s">
        <v>2272</v>
      </c>
      <c r="O2317" s="21" t="s">
        <v>2272</v>
      </c>
      <c r="P2317" s="21" t="s">
        <v>2272</v>
      </c>
      <c r="Q2317" s="4" t="s">
        <v>2368</v>
      </c>
      <c r="R2317" s="21" t="s">
        <v>2272</v>
      </c>
      <c r="S2317" s="21" t="s">
        <v>2272</v>
      </c>
      <c r="T2317" s="21" t="s">
        <v>2272</v>
      </c>
      <c r="U2317" s="4" t="s">
        <v>2522</v>
      </c>
      <c r="V2317" s="21" t="s">
        <v>2272</v>
      </c>
      <c r="W2317" s="4" t="s">
        <v>2522</v>
      </c>
      <c r="X2317" s="21" t="s">
        <v>2272</v>
      </c>
      <c r="Y2317" s="21" t="s">
        <v>2272</v>
      </c>
      <c r="Z2317" s="21" t="s">
        <v>2272</v>
      </c>
      <c r="AA2317" s="21" t="s">
        <v>2272</v>
      </c>
      <c r="AB2317" s="198"/>
      <c r="AC2317" s="198"/>
    </row>
    <row r="2318" spans="1:29" s="197" customFormat="1" ht="46" customHeight="1">
      <c r="A2318" s="151" t="str">
        <f>'Reported burning'!A2318</f>
        <v>272a</v>
      </c>
      <c r="B2318" s="151" t="str">
        <f>'Reported burning'!B2318</f>
        <v>272a.3</v>
      </c>
      <c r="C2318" s="151" t="str">
        <f>'Reported burning'!C2318</f>
        <v>Human, accidental</v>
      </c>
      <c r="D2318" s="151" t="str">
        <f>'Reported burning'!D2318</f>
        <v>ND</v>
      </c>
      <c r="E2318" s="151" t="str">
        <f>'Reported burning'!E2318</f>
        <v>ND</v>
      </c>
      <c r="F2318" s="151" t="str">
        <f>'Reported burning'!F2318</f>
        <v>ND</v>
      </c>
      <c r="G2318" s="151" t="str">
        <f>'Reported burning'!G2318</f>
        <v>Forest</v>
      </c>
      <c r="H2318" s="151" t="str">
        <f>'Reported burning'!H2318</f>
        <v>Presence</v>
      </c>
      <c r="I2318" s="198"/>
      <c r="J2318" s="21" t="s">
        <v>2272</v>
      </c>
      <c r="K2318" s="21" t="s">
        <v>2272</v>
      </c>
      <c r="L2318" s="21" t="s">
        <v>2272</v>
      </c>
      <c r="M2318" s="21" t="s">
        <v>2272</v>
      </c>
      <c r="N2318" s="21" t="s">
        <v>2272</v>
      </c>
      <c r="O2318" s="21" t="s">
        <v>2272</v>
      </c>
      <c r="P2318" s="21" t="s">
        <v>2272</v>
      </c>
      <c r="Q2318" s="4" t="s">
        <v>2368</v>
      </c>
      <c r="R2318" s="21" t="s">
        <v>2272</v>
      </c>
      <c r="S2318" s="21" t="s">
        <v>2272</v>
      </c>
      <c r="T2318" s="21" t="s">
        <v>2272</v>
      </c>
      <c r="U2318" s="4" t="s">
        <v>2522</v>
      </c>
      <c r="V2318" s="21" t="s">
        <v>2272</v>
      </c>
      <c r="W2318" s="4" t="s">
        <v>2522</v>
      </c>
      <c r="X2318" s="21" t="s">
        <v>2272</v>
      </c>
      <c r="Y2318" s="21" t="s">
        <v>2272</v>
      </c>
      <c r="Z2318" s="21" t="s">
        <v>2272</v>
      </c>
      <c r="AA2318" s="21" t="s">
        <v>2272</v>
      </c>
      <c r="AB2318" s="198"/>
      <c r="AC2318" s="198"/>
    </row>
    <row r="2319" spans="1:29" s="197" customFormat="1" ht="46" customHeight="1">
      <c r="A2319" s="151" t="str">
        <f>'Reported burning'!A2319</f>
        <v>272a</v>
      </c>
      <c r="B2319" s="151" t="str">
        <f>'Reported burning'!B2319</f>
        <v>272a.4</v>
      </c>
      <c r="C2319" s="151" t="str">
        <f>'Reported burning'!C2319</f>
        <v>Unknown</v>
      </c>
      <c r="D2319" s="151" t="str">
        <f>'Reported burning'!D2319</f>
        <v>ND</v>
      </c>
      <c r="E2319" s="151" t="str">
        <f>'Reported burning'!E2319</f>
        <v>ND</v>
      </c>
      <c r="F2319" s="151" t="str">
        <f>'Reported burning'!F2319</f>
        <v>ND</v>
      </c>
      <c r="G2319" s="151" t="str">
        <f>'Reported burning'!G2319</f>
        <v>Forest</v>
      </c>
      <c r="H2319" s="151" t="str">
        <f>'Reported burning'!H2319</f>
        <v>Presence</v>
      </c>
      <c r="I2319" s="198"/>
      <c r="J2319" s="21" t="s">
        <v>2272</v>
      </c>
      <c r="K2319" s="21" t="s">
        <v>2272</v>
      </c>
      <c r="L2319" s="21" t="s">
        <v>2272</v>
      </c>
      <c r="M2319" s="21" t="s">
        <v>2272</v>
      </c>
      <c r="N2319" s="21" t="s">
        <v>2272</v>
      </c>
      <c r="O2319" s="21" t="s">
        <v>2272</v>
      </c>
      <c r="P2319" s="21" t="s">
        <v>2272</v>
      </c>
      <c r="Q2319" s="4" t="s">
        <v>2368</v>
      </c>
      <c r="R2319" s="21" t="s">
        <v>2272</v>
      </c>
      <c r="S2319" s="21" t="s">
        <v>2272</v>
      </c>
      <c r="T2319" s="21" t="s">
        <v>2272</v>
      </c>
      <c r="U2319" s="4" t="s">
        <v>2522</v>
      </c>
      <c r="V2319" s="21" t="s">
        <v>2272</v>
      </c>
      <c r="W2319" s="4" t="s">
        <v>2522</v>
      </c>
      <c r="X2319" s="21" t="s">
        <v>2272</v>
      </c>
      <c r="Y2319" s="21" t="s">
        <v>2272</v>
      </c>
      <c r="Z2319" s="21" t="s">
        <v>2272</v>
      </c>
      <c r="AA2319" s="21" t="s">
        <v>2272</v>
      </c>
      <c r="AB2319" s="198"/>
      <c r="AC2319" s="198"/>
    </row>
    <row r="2320" spans="1:29" s="197" customFormat="1" ht="46" customHeight="1">
      <c r="A2320" s="151" t="str">
        <f>'Reported burning'!A2320</f>
        <v>272a</v>
      </c>
      <c r="B2320" s="151" t="str">
        <f>'Reported burning'!B2320</f>
        <v>272a.5</v>
      </c>
      <c r="C2320" s="151" t="str">
        <f>'Reported burning'!C2320</f>
        <v>Lightning</v>
      </c>
      <c r="D2320" s="151" t="str">
        <f>'Reported burning'!D2320</f>
        <v>ND</v>
      </c>
      <c r="E2320" s="151" t="str">
        <f>'Reported burning'!E2320</f>
        <v>ND</v>
      </c>
      <c r="F2320" s="151" t="str">
        <f>'Reported burning'!F2320</f>
        <v>ND</v>
      </c>
      <c r="G2320" s="151" t="str">
        <f>'Reported burning'!G2320</f>
        <v>Forest</v>
      </c>
      <c r="H2320" s="151" t="str">
        <f>'Reported burning'!H2320</f>
        <v>Presence</v>
      </c>
      <c r="I2320" s="198"/>
      <c r="J2320" s="21" t="s">
        <v>2272</v>
      </c>
      <c r="K2320" s="21" t="s">
        <v>2272</v>
      </c>
      <c r="L2320" s="21" t="s">
        <v>2272</v>
      </c>
      <c r="M2320" s="21" t="s">
        <v>2272</v>
      </c>
      <c r="N2320" s="21" t="s">
        <v>2272</v>
      </c>
      <c r="O2320" s="21" t="s">
        <v>2272</v>
      </c>
      <c r="P2320" s="21" t="s">
        <v>2272</v>
      </c>
      <c r="Q2320" s="4" t="s">
        <v>2368</v>
      </c>
      <c r="R2320" s="21" t="s">
        <v>2272</v>
      </c>
      <c r="S2320" s="21" t="s">
        <v>2272</v>
      </c>
      <c r="T2320" s="21" t="s">
        <v>2272</v>
      </c>
      <c r="U2320" s="4" t="s">
        <v>2522</v>
      </c>
      <c r="V2320" s="21" t="s">
        <v>2272</v>
      </c>
      <c r="W2320" s="4" t="s">
        <v>2522</v>
      </c>
      <c r="X2320" s="21" t="s">
        <v>2272</v>
      </c>
      <c r="Y2320" s="21" t="s">
        <v>2272</v>
      </c>
      <c r="Z2320" s="21" t="s">
        <v>2272</v>
      </c>
      <c r="AA2320" s="21" t="s">
        <v>2272</v>
      </c>
      <c r="AB2320" s="198"/>
      <c r="AC2320" s="198"/>
    </row>
    <row r="2321" spans="1:29" s="197" customFormat="1" ht="46" customHeight="1">
      <c r="A2321" s="151" t="str">
        <f>'Reported burning'!A2321</f>
        <v>272a</v>
      </c>
      <c r="B2321" s="151" t="str">
        <f>'Reported burning'!B2321</f>
        <v>272a.6</v>
      </c>
      <c r="C2321" s="151" t="str">
        <f>'Reported burning'!C2321</f>
        <v>Human, escaped</v>
      </c>
      <c r="D2321" s="151" t="str">
        <f>'Reported burning'!D2321</f>
        <v>Pasture renewal</v>
      </c>
      <c r="E2321" s="151" t="str">
        <f>'Reported burning'!E2321</f>
        <v>Mixed cropping-livestock small holder, Market-oriented</v>
      </c>
      <c r="F2321" s="151" t="str">
        <f>'Reported burning'!F2321</f>
        <v>Pasture</v>
      </c>
      <c r="G2321" s="151" t="str">
        <f>'Reported burning'!G2321</f>
        <v>Forest</v>
      </c>
      <c r="H2321" s="151" t="str">
        <f>'Reported burning'!H2321</f>
        <v>Presence</v>
      </c>
      <c r="I2321" s="198"/>
      <c r="J2321" s="21" t="s">
        <v>2272</v>
      </c>
      <c r="K2321" s="21" t="s">
        <v>2272</v>
      </c>
      <c r="L2321" s="21" t="s">
        <v>2272</v>
      </c>
      <c r="M2321" s="21" t="s">
        <v>2272</v>
      </c>
      <c r="N2321" s="21" t="s">
        <v>2272</v>
      </c>
      <c r="O2321" s="21" t="s">
        <v>2272</v>
      </c>
      <c r="P2321" s="21" t="s">
        <v>2272</v>
      </c>
      <c r="Q2321" s="21" t="s">
        <v>2272</v>
      </c>
      <c r="R2321" s="21" t="s">
        <v>2272</v>
      </c>
      <c r="S2321" s="21" t="s">
        <v>2272</v>
      </c>
      <c r="T2321" s="21" t="s">
        <v>2272</v>
      </c>
      <c r="U2321" s="21" t="s">
        <v>2272</v>
      </c>
      <c r="V2321" s="21" t="s">
        <v>2272</v>
      </c>
      <c r="W2321" s="21" t="s">
        <v>2272</v>
      </c>
      <c r="X2321" s="21" t="s">
        <v>2272</v>
      </c>
      <c r="Y2321" s="21" t="s">
        <v>2272</v>
      </c>
      <c r="Z2321" s="21" t="s">
        <v>2272</v>
      </c>
      <c r="AA2321" s="21" t="s">
        <v>2272</v>
      </c>
      <c r="AB2321" s="198"/>
      <c r="AC2321" s="198"/>
    </row>
    <row r="2322" spans="1:29" s="197" customFormat="1" ht="46" customHeight="1">
      <c r="A2322" s="151" t="str">
        <f>'Reported burning'!A2322</f>
        <v>272a</v>
      </c>
      <c r="B2322" s="151" t="str">
        <f>'Reported burning'!B2322</f>
        <v>272a.7</v>
      </c>
      <c r="C2322" s="151" t="str">
        <f>'Reported burning'!C2322</f>
        <v>Human, deliberate</v>
      </c>
      <c r="D2322" s="151" t="str">
        <f>'Reported burning'!D2322</f>
        <v>Rangeland management</v>
      </c>
      <c r="E2322" s="151" t="str">
        <f>'Reported burning'!E2322</f>
        <v>Mixed cropping-livestock small holder, Market-oriented</v>
      </c>
      <c r="F2322" s="151" t="str">
        <f>'Reported burning'!F2322</f>
        <v>Shrubland (Mixed forest &amp; grassland)</v>
      </c>
      <c r="G2322" s="151" t="str">
        <f>'Reported burning'!G2322</f>
        <v>Shrubland (Mixed forest &amp; grassland)</v>
      </c>
      <c r="H2322" s="151" t="str">
        <f>'Reported burning'!H2322</f>
        <v>Presence</v>
      </c>
      <c r="I2322" s="198"/>
      <c r="J2322" s="21" t="s">
        <v>2272</v>
      </c>
      <c r="K2322" s="21" t="s">
        <v>2272</v>
      </c>
      <c r="L2322" s="21" t="s">
        <v>2272</v>
      </c>
      <c r="M2322" s="21" t="s">
        <v>2272</v>
      </c>
      <c r="N2322" s="21" t="s">
        <v>2272</v>
      </c>
      <c r="O2322" s="21" t="s">
        <v>2272</v>
      </c>
      <c r="P2322" s="21" t="s">
        <v>2272</v>
      </c>
      <c r="Q2322" s="21" t="s">
        <v>2272</v>
      </c>
      <c r="R2322" s="21" t="s">
        <v>2272</v>
      </c>
      <c r="S2322" s="21" t="s">
        <v>2272</v>
      </c>
      <c r="T2322" s="21" t="s">
        <v>2272</v>
      </c>
      <c r="U2322" s="21" t="s">
        <v>2272</v>
      </c>
      <c r="V2322" s="21" t="s">
        <v>2272</v>
      </c>
      <c r="W2322" s="21" t="s">
        <v>2272</v>
      </c>
      <c r="X2322" s="21" t="s">
        <v>2272</v>
      </c>
      <c r="Y2322" s="21" t="s">
        <v>2272</v>
      </c>
      <c r="Z2322" s="21" t="s">
        <v>2272</v>
      </c>
      <c r="AA2322" s="21" t="s">
        <v>2272</v>
      </c>
      <c r="AB2322" s="198"/>
      <c r="AC2322" s="198"/>
    </row>
    <row r="2323" spans="1:29" s="197" customFormat="1" ht="46" customHeight="1">
      <c r="A2323" s="151" t="str">
        <f>'Reported burning'!A2323</f>
        <v>272a</v>
      </c>
      <c r="B2323" s="151" t="str">
        <f>'Reported burning'!B2323</f>
        <v>272a.8</v>
      </c>
      <c r="C2323" s="151" t="str">
        <f>'Reported burning'!C2323</f>
        <v>Human, escaped</v>
      </c>
      <c r="D2323" s="151" t="str">
        <f>'Reported burning'!D2323</f>
        <v>Land clearance</v>
      </c>
      <c r="E2323" s="151" t="str">
        <f>'Reported burning'!E2323</f>
        <v>Forestry, Industrial</v>
      </c>
      <c r="F2323" s="151" t="str">
        <f>'Reported burning'!F2323</f>
        <v>Shrubland (Mixed forest &amp; grassland)</v>
      </c>
      <c r="G2323" s="151" t="str">
        <f>'Reported burning'!G2323</f>
        <v>Forest</v>
      </c>
      <c r="H2323" s="151" t="str">
        <f>'Reported burning'!H2323</f>
        <v>Presence</v>
      </c>
      <c r="I2323" s="198"/>
      <c r="J2323" s="21" t="s">
        <v>2272</v>
      </c>
      <c r="K2323" s="21" t="s">
        <v>2272</v>
      </c>
      <c r="L2323" s="21" t="s">
        <v>2272</v>
      </c>
      <c r="M2323" s="21" t="s">
        <v>2272</v>
      </c>
      <c r="N2323" s="21" t="s">
        <v>2272</v>
      </c>
      <c r="O2323" s="21" t="s">
        <v>2272</v>
      </c>
      <c r="P2323" s="21" t="s">
        <v>2272</v>
      </c>
      <c r="Q2323" s="21" t="s">
        <v>2272</v>
      </c>
      <c r="R2323" s="21" t="s">
        <v>2272</v>
      </c>
      <c r="S2323" s="21" t="s">
        <v>2272</v>
      </c>
      <c r="T2323" s="21" t="s">
        <v>2272</v>
      </c>
      <c r="U2323" s="21" t="s">
        <v>2272</v>
      </c>
      <c r="V2323" s="21" t="s">
        <v>2272</v>
      </c>
      <c r="W2323" s="21" t="s">
        <v>2272</v>
      </c>
      <c r="X2323" s="21" t="s">
        <v>2272</v>
      </c>
      <c r="Y2323" s="21" t="s">
        <v>2272</v>
      </c>
      <c r="Z2323" s="21" t="s">
        <v>2272</v>
      </c>
      <c r="AA2323" s="21" t="s">
        <v>2272</v>
      </c>
      <c r="AB2323" s="198"/>
      <c r="AC2323" s="198"/>
    </row>
    <row r="2324" spans="1:29" s="197" customFormat="1" ht="46" customHeight="1">
      <c r="A2324" s="151" t="str">
        <f>'Reported burning'!A2324</f>
        <v>272a</v>
      </c>
      <c r="B2324" s="151" t="str">
        <f>'Reported burning'!B2324</f>
        <v>272a.9</v>
      </c>
      <c r="C2324" s="151" t="str">
        <f>'Reported burning'!C2324</f>
        <v>Human, deliberate</v>
      </c>
      <c r="D2324" s="151" t="str">
        <f>'Reported burning'!D2324</f>
        <v>Land clearance</v>
      </c>
      <c r="E2324" s="151" t="str">
        <f>'Reported burning'!E2324</f>
        <v>Forestry, Industrial</v>
      </c>
      <c r="F2324" s="151" t="str">
        <f>'Reported burning'!F2324</f>
        <v>Shrubland (Mixed forest &amp; grassland)</v>
      </c>
      <c r="G2324" s="151" t="str">
        <f>'Reported burning'!G2324</f>
        <v>Shrubland (Mixed forest &amp; grassland)</v>
      </c>
      <c r="H2324" s="151" t="str">
        <f>'Reported burning'!H2324</f>
        <v>Presence</v>
      </c>
      <c r="I2324" s="198"/>
      <c r="J2324" s="21" t="s">
        <v>2272</v>
      </c>
      <c r="K2324" s="21" t="s">
        <v>2272</v>
      </c>
      <c r="L2324" s="21" t="s">
        <v>2272</v>
      </c>
      <c r="M2324" s="21" t="s">
        <v>2272</v>
      </c>
      <c r="N2324" s="21" t="s">
        <v>2272</v>
      </c>
      <c r="O2324" s="21" t="s">
        <v>2272</v>
      </c>
      <c r="P2324" s="21" t="s">
        <v>2272</v>
      </c>
      <c r="Q2324" s="21" t="s">
        <v>2272</v>
      </c>
      <c r="R2324" s="21" t="s">
        <v>2272</v>
      </c>
      <c r="S2324" s="21" t="s">
        <v>2272</v>
      </c>
      <c r="T2324" s="21" t="s">
        <v>2272</v>
      </c>
      <c r="U2324" s="21" t="s">
        <v>2272</v>
      </c>
      <c r="V2324" s="21" t="s">
        <v>2272</v>
      </c>
      <c r="W2324" s="21" t="s">
        <v>2272</v>
      </c>
      <c r="X2324" s="21" t="s">
        <v>2272</v>
      </c>
      <c r="Y2324" s="21" t="s">
        <v>2272</v>
      </c>
      <c r="Z2324" s="21" t="s">
        <v>2272</v>
      </c>
      <c r="AA2324" s="21" t="s">
        <v>2272</v>
      </c>
      <c r="AB2324" s="198"/>
      <c r="AC2324" s="198"/>
    </row>
    <row r="2325" spans="1:29" s="197" customFormat="1" ht="46" customHeight="1">
      <c r="A2325" s="151" t="str">
        <f>'Reported burning'!A2325</f>
        <v>272a</v>
      </c>
      <c r="B2325" s="151" t="str">
        <f>'Reported burning'!B2325</f>
        <v>272a.10</v>
      </c>
      <c r="C2325" s="151" t="str">
        <f>'Reported burning'!C2325</f>
        <v>Human, escaped</v>
      </c>
      <c r="D2325" s="151" t="str">
        <f>'Reported burning'!D2325</f>
        <v>Crop residue burning</v>
      </c>
      <c r="E2325" s="151" t="str">
        <f>'Reported burning'!E2325</f>
        <v>Mixed cropping-livestock small holder, Market-oriented</v>
      </c>
      <c r="F2325" s="151" t="str">
        <f>'Reported burning'!F2325</f>
        <v>Cropland</v>
      </c>
      <c r="G2325" s="151" t="str">
        <f>'Reported burning'!G2325</f>
        <v>Forest</v>
      </c>
      <c r="H2325" s="151" t="str">
        <f>'Reported burning'!H2325</f>
        <v>Presence</v>
      </c>
      <c r="I2325" s="198"/>
      <c r="J2325" s="21" t="s">
        <v>2272</v>
      </c>
      <c r="K2325" s="21" t="s">
        <v>2272</v>
      </c>
      <c r="L2325" s="21" t="s">
        <v>2272</v>
      </c>
      <c r="M2325" s="21" t="s">
        <v>2272</v>
      </c>
      <c r="N2325" s="21" t="s">
        <v>2272</v>
      </c>
      <c r="O2325" s="21" t="s">
        <v>2272</v>
      </c>
      <c r="P2325" s="21" t="s">
        <v>2272</v>
      </c>
      <c r="Q2325" s="21" t="s">
        <v>2272</v>
      </c>
      <c r="R2325" s="21" t="s">
        <v>2272</v>
      </c>
      <c r="S2325" s="21" t="s">
        <v>2272</v>
      </c>
      <c r="T2325" s="21" t="s">
        <v>2272</v>
      </c>
      <c r="U2325" s="21" t="s">
        <v>2272</v>
      </c>
      <c r="V2325" s="21" t="s">
        <v>2272</v>
      </c>
      <c r="W2325" s="21" t="s">
        <v>2272</v>
      </c>
      <c r="X2325" s="21" t="s">
        <v>2272</v>
      </c>
      <c r="Y2325" s="21" t="s">
        <v>2272</v>
      </c>
      <c r="Z2325" s="21" t="s">
        <v>2272</v>
      </c>
      <c r="AA2325" s="21" t="s">
        <v>2272</v>
      </c>
      <c r="AB2325" s="198"/>
      <c r="AC2325" s="198"/>
    </row>
    <row r="2326" spans="1:29" s="197" customFormat="1" ht="46" customHeight="1">
      <c r="A2326" s="151" t="str">
        <f>'Reported burning'!A2326</f>
        <v>272a</v>
      </c>
      <c r="B2326" s="151" t="str">
        <f>'Reported burning'!B2326</f>
        <v>272a.11</v>
      </c>
      <c r="C2326" s="151" t="str">
        <f>'Reported burning'!C2326</f>
        <v>Human, deliberate</v>
      </c>
      <c r="D2326" s="151" t="str">
        <f>'Reported burning'!D2326</f>
        <v>Land clearance</v>
      </c>
      <c r="E2326" s="151" t="str">
        <f>'Reported burning'!E2326</f>
        <v>Mixed cropping-livestock small holder, Market-oriented</v>
      </c>
      <c r="F2326" s="151" t="str">
        <f>'Reported burning'!F2326</f>
        <v>Shrubland (Mixed forest &amp; grassland)</v>
      </c>
      <c r="G2326" s="151" t="str">
        <f>'Reported burning'!G2326</f>
        <v>Shrubland (Mixed forest &amp; grassland)</v>
      </c>
      <c r="H2326" s="151" t="str">
        <f>'Reported burning'!H2326</f>
        <v>Presence</v>
      </c>
      <c r="I2326" s="198"/>
      <c r="J2326" s="21" t="s">
        <v>2272</v>
      </c>
      <c r="K2326" s="21" t="s">
        <v>2272</v>
      </c>
      <c r="L2326" s="21" t="s">
        <v>2272</v>
      </c>
      <c r="M2326" s="21" t="s">
        <v>2272</v>
      </c>
      <c r="N2326" s="21" t="s">
        <v>2272</v>
      </c>
      <c r="O2326" s="21" t="s">
        <v>2272</v>
      </c>
      <c r="P2326" s="21" t="s">
        <v>2272</v>
      </c>
      <c r="Q2326" s="21" t="s">
        <v>2272</v>
      </c>
      <c r="R2326" s="21" t="s">
        <v>2272</v>
      </c>
      <c r="S2326" s="21" t="s">
        <v>2272</v>
      </c>
      <c r="T2326" s="21" t="s">
        <v>2272</v>
      </c>
      <c r="U2326" s="21" t="s">
        <v>2272</v>
      </c>
      <c r="V2326" s="21" t="s">
        <v>2272</v>
      </c>
      <c r="W2326" s="21" t="s">
        <v>2272</v>
      </c>
      <c r="X2326" s="21" t="s">
        <v>2272</v>
      </c>
      <c r="Y2326" s="21" t="s">
        <v>2272</v>
      </c>
      <c r="Z2326" s="21" t="s">
        <v>2272</v>
      </c>
      <c r="AA2326" s="21" t="s">
        <v>2272</v>
      </c>
      <c r="AB2326" s="198"/>
      <c r="AC2326" s="198"/>
    </row>
    <row r="2327" spans="1:29" s="197" customFormat="1" ht="46" customHeight="1">
      <c r="A2327" s="151" t="str">
        <f>'Reported burning'!A2327</f>
        <v>272a</v>
      </c>
      <c r="B2327" s="151" t="str">
        <f>'Reported burning'!B2327</f>
        <v>272a.12</v>
      </c>
      <c r="C2327" s="151" t="str">
        <f>'Reported burning'!C2327</f>
        <v>Human, deliberate</v>
      </c>
      <c r="D2327" s="151" t="str">
        <f>'Reported burning'!D2327</f>
        <v>Arson</v>
      </c>
      <c r="E2327" s="151" t="str">
        <f>'Reported burning'!E2327</f>
        <v>Mixed cropping-livestock small holder, Market-oriented</v>
      </c>
      <c r="F2327" s="151" t="str">
        <f>'Reported burning'!F2327</f>
        <v>Plantation forest</v>
      </c>
      <c r="G2327" s="151" t="str">
        <f>'Reported burning'!G2327</f>
        <v>Plantation forest</v>
      </c>
      <c r="H2327" s="151" t="str">
        <f>'Reported burning'!H2327</f>
        <v>Presence</v>
      </c>
      <c r="I2327" s="198"/>
      <c r="J2327" s="21" t="s">
        <v>2272</v>
      </c>
      <c r="K2327" s="21" t="s">
        <v>2272</v>
      </c>
      <c r="L2327" s="21" t="s">
        <v>2272</v>
      </c>
      <c r="M2327" s="21" t="s">
        <v>2272</v>
      </c>
      <c r="N2327" s="21" t="s">
        <v>2272</v>
      </c>
      <c r="O2327" s="21" t="s">
        <v>2272</v>
      </c>
      <c r="P2327" s="21" t="s">
        <v>2272</v>
      </c>
      <c r="Q2327" s="21" t="s">
        <v>2272</v>
      </c>
      <c r="R2327" s="21" t="s">
        <v>2272</v>
      </c>
      <c r="S2327" s="21" t="s">
        <v>2272</v>
      </c>
      <c r="T2327" s="21" t="s">
        <v>2272</v>
      </c>
      <c r="U2327" s="21" t="s">
        <v>2272</v>
      </c>
      <c r="V2327" s="21" t="s">
        <v>2272</v>
      </c>
      <c r="W2327" s="21" t="s">
        <v>2272</v>
      </c>
      <c r="X2327" s="21" t="s">
        <v>2272</v>
      </c>
      <c r="Y2327" s="21" t="s">
        <v>2272</v>
      </c>
      <c r="Z2327" s="21" t="s">
        <v>2272</v>
      </c>
      <c r="AA2327" s="21" t="s">
        <v>2272</v>
      </c>
      <c r="AB2327" s="198"/>
      <c r="AC2327" s="198"/>
    </row>
    <row r="2328" spans="1:29" s="197" customFormat="1" ht="46" customHeight="1">
      <c r="A2328" s="151" t="str">
        <f>'Reported burning'!A2328</f>
        <v>272a</v>
      </c>
      <c r="B2328" s="151" t="str">
        <f>'Reported burning'!B2328</f>
        <v>272a.13</v>
      </c>
      <c r="C2328" s="151" t="str">
        <f>'Reported burning'!C2328</f>
        <v>Human, deliberate</v>
      </c>
      <c r="D2328" s="151" t="str">
        <f>'Reported burning'!D2328</f>
        <v>Hunting</v>
      </c>
      <c r="E2328" s="151" t="str">
        <f>'Reported burning'!E2328</f>
        <v>Mixed cropping-livestock small holder, Market-oriented</v>
      </c>
      <c r="F2328" s="151" t="str">
        <f>'Reported burning'!F2328</f>
        <v>Forest</v>
      </c>
      <c r="G2328" s="151" t="str">
        <f>'Reported burning'!G2328</f>
        <v>Forest</v>
      </c>
      <c r="H2328" s="151" t="str">
        <f>'Reported burning'!H2328</f>
        <v>Presence</v>
      </c>
      <c r="I2328" s="198"/>
      <c r="J2328" s="21" t="s">
        <v>2272</v>
      </c>
      <c r="K2328" s="21" t="s">
        <v>2272</v>
      </c>
      <c r="L2328" s="21" t="s">
        <v>2272</v>
      </c>
      <c r="M2328" s="21" t="s">
        <v>2272</v>
      </c>
      <c r="N2328" s="21" t="s">
        <v>2272</v>
      </c>
      <c r="O2328" s="21" t="s">
        <v>2272</v>
      </c>
      <c r="P2328" s="21" t="s">
        <v>2272</v>
      </c>
      <c r="Q2328" s="21" t="s">
        <v>2272</v>
      </c>
      <c r="R2328" s="21" t="s">
        <v>2272</v>
      </c>
      <c r="S2328" s="21" t="s">
        <v>2272</v>
      </c>
      <c r="T2328" s="21" t="s">
        <v>2272</v>
      </c>
      <c r="U2328" s="21" t="s">
        <v>2272</v>
      </c>
      <c r="V2328" s="21" t="s">
        <v>2272</v>
      </c>
      <c r="W2328" s="21" t="s">
        <v>2272</v>
      </c>
      <c r="X2328" s="21" t="s">
        <v>2272</v>
      </c>
      <c r="Y2328" s="21" t="s">
        <v>2272</v>
      </c>
      <c r="Z2328" s="21" t="s">
        <v>2272</v>
      </c>
      <c r="AA2328" s="21" t="s">
        <v>2272</v>
      </c>
      <c r="AB2328" s="198"/>
      <c r="AC2328" s="198"/>
    </row>
    <row r="2329" spans="1:29" s="197" customFormat="1" ht="46" customHeight="1">
      <c r="A2329" s="151" t="str">
        <f>'Reported burning'!A2329</f>
        <v>272b</v>
      </c>
      <c r="B2329" s="151" t="str">
        <f>'Reported burning'!B2329</f>
        <v>272b.1</v>
      </c>
      <c r="C2329" s="151" t="str">
        <f>'Reported burning'!C2329</f>
        <v>All</v>
      </c>
      <c r="D2329" s="151" t="str">
        <f>'Reported burning'!D2329</f>
        <v>All</v>
      </c>
      <c r="E2329" s="151" t="str">
        <f>'Reported burning'!E2329</f>
        <v>All</v>
      </c>
      <c r="F2329" s="151" t="str">
        <f>'Reported burning'!F2329</f>
        <v>ND</v>
      </c>
      <c r="G2329" s="151" t="str">
        <f>'Reported burning'!G2329</f>
        <v>Forest</v>
      </c>
      <c r="H2329" s="151" t="str">
        <f>'Reported burning'!H2329</f>
        <v>Presence</v>
      </c>
      <c r="I2329" s="198"/>
      <c r="J2329" s="21" t="s">
        <v>2367</v>
      </c>
      <c r="K2329" s="21" t="s">
        <v>2272</v>
      </c>
      <c r="L2329" s="21" t="s">
        <v>2272</v>
      </c>
      <c r="M2329" s="21" t="s">
        <v>2272</v>
      </c>
      <c r="N2329" s="21" t="s">
        <v>2272</v>
      </c>
      <c r="O2329" s="21" t="s">
        <v>2272</v>
      </c>
      <c r="P2329" s="21" t="s">
        <v>2272</v>
      </c>
      <c r="Q2329" s="21" t="s">
        <v>2272</v>
      </c>
      <c r="R2329" s="21" t="s">
        <v>2272</v>
      </c>
      <c r="S2329" s="21" t="s">
        <v>2272</v>
      </c>
      <c r="T2329" s="21" t="s">
        <v>2272</v>
      </c>
      <c r="U2329" s="21" t="s">
        <v>2272</v>
      </c>
      <c r="V2329" s="21" t="s">
        <v>2272</v>
      </c>
      <c r="W2329" s="4" t="s">
        <v>2522</v>
      </c>
      <c r="X2329" s="21" t="s">
        <v>2272</v>
      </c>
      <c r="Y2329" s="21" t="s">
        <v>2272</v>
      </c>
      <c r="Z2329" s="21" t="s">
        <v>2272</v>
      </c>
      <c r="AA2329" s="21" t="s">
        <v>2272</v>
      </c>
      <c r="AB2329" s="198"/>
      <c r="AC2329" s="198"/>
    </row>
    <row r="2330" spans="1:29" s="197" customFormat="1" ht="46" customHeight="1">
      <c r="A2330" s="151" t="str">
        <f>'Reported burning'!A2330</f>
        <v>272b</v>
      </c>
      <c r="B2330" s="151" t="str">
        <f>'Reported burning'!B2330</f>
        <v>272b.2</v>
      </c>
      <c r="C2330" s="151" t="str">
        <f>'Reported burning'!C2330</f>
        <v>Human, deliberate</v>
      </c>
      <c r="D2330" s="151" t="str">
        <f>'Reported burning'!D2330</f>
        <v>ND</v>
      </c>
      <c r="E2330" s="151" t="str">
        <f>'Reported burning'!E2330</f>
        <v>Forestry, Industrial</v>
      </c>
      <c r="F2330" s="151" t="str">
        <f>'Reported burning'!F2330</f>
        <v>Forest</v>
      </c>
      <c r="G2330" s="151" t="str">
        <f>'Reported burning'!G2330</f>
        <v>Forest</v>
      </c>
      <c r="H2330" s="151" t="str">
        <f>'Reported burning'!H2330</f>
        <v>Presence</v>
      </c>
      <c r="I2330" s="198"/>
      <c r="J2330" s="21" t="s">
        <v>2367</v>
      </c>
      <c r="K2330" s="21" t="s">
        <v>2272</v>
      </c>
      <c r="L2330" s="21" t="s">
        <v>2272</v>
      </c>
      <c r="M2330" s="21" t="s">
        <v>2272</v>
      </c>
      <c r="N2330" s="21" t="s">
        <v>2272</v>
      </c>
      <c r="O2330" s="21" t="s">
        <v>2272</v>
      </c>
      <c r="P2330" s="21" t="s">
        <v>2272</v>
      </c>
      <c r="Q2330" s="21" t="s">
        <v>2272</v>
      </c>
      <c r="R2330" s="21" t="s">
        <v>2272</v>
      </c>
      <c r="S2330" s="21" t="s">
        <v>2272</v>
      </c>
      <c r="T2330" s="21" t="s">
        <v>2272</v>
      </c>
      <c r="U2330" s="21" t="s">
        <v>2272</v>
      </c>
      <c r="V2330" s="21" t="s">
        <v>2272</v>
      </c>
      <c r="W2330" s="21" t="s">
        <v>2272</v>
      </c>
      <c r="X2330" s="21" t="s">
        <v>2272</v>
      </c>
      <c r="Y2330" s="21" t="s">
        <v>2272</v>
      </c>
      <c r="Z2330" s="21" t="s">
        <v>2272</v>
      </c>
      <c r="AA2330" s="21" t="s">
        <v>2272</v>
      </c>
      <c r="AB2330" s="198"/>
      <c r="AC2330" s="198"/>
    </row>
    <row r="2331" spans="1:29" s="197" customFormat="1" ht="46" customHeight="1">
      <c r="A2331" s="151" t="str">
        <f>'Reported burning'!A2331</f>
        <v>272b</v>
      </c>
      <c r="B2331" s="151" t="str">
        <f>'Reported burning'!B2331</f>
        <v>272b.3</v>
      </c>
      <c r="C2331" s="151" t="str">
        <f>'Reported burning'!C2331</f>
        <v>Human, deliberate</v>
      </c>
      <c r="D2331" s="151" t="str">
        <f>'Reported burning'!D2331</f>
        <v>ND</v>
      </c>
      <c r="E2331" s="151" t="str">
        <f>'Reported burning'!E2331</f>
        <v>Mixed cropping-livestock small holder, Market-oriented</v>
      </c>
      <c r="F2331" s="151" t="str">
        <f>'Reported burning'!F2331</f>
        <v>Forest</v>
      </c>
      <c r="G2331" s="151" t="str">
        <f>'Reported burning'!G2331</f>
        <v>Forest</v>
      </c>
      <c r="H2331" s="151" t="str">
        <f>'Reported burning'!H2331</f>
        <v>Presence</v>
      </c>
      <c r="I2331" s="198"/>
      <c r="J2331" s="21" t="s">
        <v>2367</v>
      </c>
      <c r="K2331" s="21" t="s">
        <v>2272</v>
      </c>
      <c r="L2331" s="21" t="s">
        <v>2272</v>
      </c>
      <c r="M2331" s="21" t="s">
        <v>2272</v>
      </c>
      <c r="N2331" s="21" t="s">
        <v>2272</v>
      </c>
      <c r="O2331" s="21" t="s">
        <v>2272</v>
      </c>
      <c r="P2331" s="21" t="s">
        <v>2272</v>
      </c>
      <c r="Q2331" s="21" t="s">
        <v>2272</v>
      </c>
      <c r="R2331" s="21" t="s">
        <v>2272</v>
      </c>
      <c r="S2331" s="21" t="s">
        <v>2272</v>
      </c>
      <c r="T2331" s="21" t="s">
        <v>2272</v>
      </c>
      <c r="U2331" s="21" t="s">
        <v>2272</v>
      </c>
      <c r="V2331" s="21" t="s">
        <v>2272</v>
      </c>
      <c r="W2331" s="21" t="s">
        <v>2272</v>
      </c>
      <c r="X2331" s="21" t="s">
        <v>2272</v>
      </c>
      <c r="Y2331" s="21" t="s">
        <v>2272</v>
      </c>
      <c r="Z2331" s="21" t="s">
        <v>2272</v>
      </c>
      <c r="AA2331" s="21" t="s">
        <v>2272</v>
      </c>
      <c r="AB2331" s="198"/>
      <c r="AC2331" s="198"/>
    </row>
    <row r="2332" spans="1:29" s="197" customFormat="1" ht="46" customHeight="1">
      <c r="A2332" s="151" t="str">
        <f>'Reported burning'!A2332</f>
        <v>272b</v>
      </c>
      <c r="B2332" s="151" t="str">
        <f>'Reported burning'!B2332</f>
        <v>272b.4</v>
      </c>
      <c r="C2332" s="151" t="str">
        <f>'Reported burning'!C2332</f>
        <v>Human, escaped</v>
      </c>
      <c r="D2332" s="151" t="str">
        <f>'Reported burning'!D2332</f>
        <v>ND</v>
      </c>
      <c r="E2332" s="151" t="str">
        <f>'Reported burning'!E2332</f>
        <v>Mixed cropping-livestock small holder, Market-oriented</v>
      </c>
      <c r="F2332" s="151" t="str">
        <f>'Reported burning'!F2332</f>
        <v>ND</v>
      </c>
      <c r="G2332" s="151" t="str">
        <f>'Reported burning'!G2332</f>
        <v>Forest</v>
      </c>
      <c r="H2332" s="151" t="str">
        <f>'Reported burning'!H2332</f>
        <v>Presence</v>
      </c>
      <c r="I2332" s="198"/>
      <c r="J2332" s="21" t="s">
        <v>2362</v>
      </c>
      <c r="K2332" s="21" t="s">
        <v>2272</v>
      </c>
      <c r="L2332" s="21" t="s">
        <v>2272</v>
      </c>
      <c r="M2332" s="21" t="s">
        <v>2272</v>
      </c>
      <c r="N2332" s="21" t="s">
        <v>2272</v>
      </c>
      <c r="O2332" s="21" t="s">
        <v>2272</v>
      </c>
      <c r="P2332" s="21" t="s">
        <v>2272</v>
      </c>
      <c r="Q2332" s="21" t="s">
        <v>2272</v>
      </c>
      <c r="R2332" s="21" t="s">
        <v>2272</v>
      </c>
      <c r="S2332" s="21" t="s">
        <v>2272</v>
      </c>
      <c r="T2332" s="21" t="s">
        <v>2272</v>
      </c>
      <c r="U2332" s="21" t="s">
        <v>2272</v>
      </c>
      <c r="V2332" s="21" t="s">
        <v>2272</v>
      </c>
      <c r="W2332" s="21" t="s">
        <v>2272</v>
      </c>
      <c r="X2332" s="21" t="s">
        <v>2272</v>
      </c>
      <c r="Y2332" s="21" t="s">
        <v>2272</v>
      </c>
      <c r="Z2332" s="21" t="s">
        <v>2272</v>
      </c>
      <c r="AA2332" s="21" t="s">
        <v>2272</v>
      </c>
      <c r="AB2332" s="198"/>
      <c r="AC2332" s="198"/>
    </row>
    <row r="2333" spans="1:29" s="197" customFormat="1" ht="46" customHeight="1">
      <c r="A2333" s="151" t="str">
        <f>'Reported burning'!A2333</f>
        <v>272b</v>
      </c>
      <c r="B2333" s="151" t="str">
        <f>'Reported burning'!B2333</f>
        <v>272b.5</v>
      </c>
      <c r="C2333" s="151" t="str">
        <f>'Reported burning'!C2333</f>
        <v>Human, escaped</v>
      </c>
      <c r="D2333" s="151" t="str">
        <f>'Reported burning'!D2333</f>
        <v>ND</v>
      </c>
      <c r="E2333" s="151" t="str">
        <f>'Reported burning'!E2333</f>
        <v>Forestry, Industrial</v>
      </c>
      <c r="F2333" s="151" t="str">
        <f>'Reported burning'!F2333</f>
        <v>Shrubland (Mixed forest &amp; grassland)</v>
      </c>
      <c r="G2333" s="151" t="str">
        <f>'Reported burning'!G2333</f>
        <v>Forest</v>
      </c>
      <c r="H2333" s="151" t="str">
        <f>'Reported burning'!H2333</f>
        <v>Presence</v>
      </c>
      <c r="I2333" s="198"/>
      <c r="J2333" s="21" t="s">
        <v>2362</v>
      </c>
      <c r="K2333" s="21" t="s">
        <v>2272</v>
      </c>
      <c r="L2333" s="21" t="s">
        <v>2272</v>
      </c>
      <c r="M2333" s="21" t="s">
        <v>2272</v>
      </c>
      <c r="N2333" s="21" t="s">
        <v>2272</v>
      </c>
      <c r="O2333" s="21" t="s">
        <v>2272</v>
      </c>
      <c r="P2333" s="21" t="s">
        <v>2272</v>
      </c>
      <c r="Q2333" s="21" t="s">
        <v>2272</v>
      </c>
      <c r="R2333" s="21" t="s">
        <v>2272</v>
      </c>
      <c r="S2333" s="21" t="s">
        <v>2272</v>
      </c>
      <c r="T2333" s="21" t="s">
        <v>2272</v>
      </c>
      <c r="U2333" s="21" t="s">
        <v>2272</v>
      </c>
      <c r="V2333" s="21" t="s">
        <v>2272</v>
      </c>
      <c r="W2333" s="21" t="s">
        <v>2272</v>
      </c>
      <c r="X2333" s="21" t="s">
        <v>2272</v>
      </c>
      <c r="Y2333" s="21" t="s">
        <v>2272</v>
      </c>
      <c r="Z2333" s="21" t="s">
        <v>2272</v>
      </c>
      <c r="AA2333" s="21" t="s">
        <v>2272</v>
      </c>
      <c r="AB2333" s="198"/>
      <c r="AC2333" s="198"/>
    </row>
    <row r="2334" spans="1:29" s="197" customFormat="1" ht="46" customHeight="1">
      <c r="A2334" s="151" t="str">
        <f>'Reported burning'!A2334</f>
        <v>272b</v>
      </c>
      <c r="B2334" s="151" t="str">
        <f>'Reported burning'!B2334</f>
        <v>272b.6</v>
      </c>
      <c r="C2334" s="151" t="str">
        <f>'Reported burning'!C2334</f>
        <v>Human, deliberate</v>
      </c>
      <c r="D2334" s="151" t="str">
        <f>'Reported burning'!D2334</f>
        <v>Arson</v>
      </c>
      <c r="E2334" s="151" t="str">
        <f>'Reported burning'!E2334</f>
        <v>Mixed cropping-livestock small holder, Market-oriented</v>
      </c>
      <c r="F2334" s="151" t="str">
        <f>'Reported burning'!F2334</f>
        <v>Plantation forest</v>
      </c>
      <c r="G2334" s="151" t="str">
        <f>'Reported burning'!G2334</f>
        <v>Plantation forest</v>
      </c>
      <c r="H2334" s="151" t="str">
        <f>'Reported burning'!H2334</f>
        <v>Presence</v>
      </c>
      <c r="I2334" s="198"/>
      <c r="J2334" s="21" t="s">
        <v>2365</v>
      </c>
      <c r="K2334" s="21" t="s">
        <v>2272</v>
      </c>
      <c r="L2334" s="21" t="s">
        <v>2272</v>
      </c>
      <c r="M2334" s="21" t="s">
        <v>2272</v>
      </c>
      <c r="N2334" s="21" t="s">
        <v>2272</v>
      </c>
      <c r="O2334" s="21" t="s">
        <v>2272</v>
      </c>
      <c r="P2334" s="21" t="s">
        <v>2272</v>
      </c>
      <c r="Q2334" s="21" t="s">
        <v>2272</v>
      </c>
      <c r="R2334" s="21" t="s">
        <v>2272</v>
      </c>
      <c r="S2334" s="21" t="s">
        <v>2272</v>
      </c>
      <c r="T2334" s="21" t="s">
        <v>2272</v>
      </c>
      <c r="U2334" s="21" t="s">
        <v>2272</v>
      </c>
      <c r="V2334" s="21" t="s">
        <v>2272</v>
      </c>
      <c r="W2334" s="21" t="s">
        <v>2272</v>
      </c>
      <c r="X2334" s="21" t="s">
        <v>2272</v>
      </c>
      <c r="Y2334" s="21" t="s">
        <v>2272</v>
      </c>
      <c r="Z2334" s="21" t="s">
        <v>2272</v>
      </c>
      <c r="AA2334" s="21" t="s">
        <v>2272</v>
      </c>
      <c r="AB2334" s="198"/>
      <c r="AC2334" s="198"/>
    </row>
    <row r="2335" spans="1:29" s="197" customFormat="1" ht="46" customHeight="1">
      <c r="A2335" s="151" t="str">
        <f>'Reported burning'!A2335</f>
        <v>272b</v>
      </c>
      <c r="B2335" s="151" t="str">
        <f>'Reported burning'!B2335</f>
        <v>272b.7</v>
      </c>
      <c r="C2335" s="151" t="str">
        <f>'Reported burning'!C2335</f>
        <v>Human, accidental</v>
      </c>
      <c r="D2335" s="151" t="str">
        <f>'Reported burning'!D2335</f>
        <v>Accidental</v>
      </c>
      <c r="E2335" s="151" t="str">
        <f>'Reported burning'!E2335</f>
        <v>ND</v>
      </c>
      <c r="F2335" s="151" t="str">
        <f>'Reported burning'!F2335</f>
        <v>ND</v>
      </c>
      <c r="G2335" s="151" t="str">
        <f>'Reported burning'!G2335</f>
        <v>Forest</v>
      </c>
      <c r="H2335" s="151" t="str">
        <f>'Reported burning'!H2335</f>
        <v>Presence</v>
      </c>
      <c r="I2335" s="198"/>
      <c r="J2335" s="21" t="s">
        <v>2363</v>
      </c>
      <c r="K2335" s="21" t="s">
        <v>2272</v>
      </c>
      <c r="L2335" s="21" t="s">
        <v>2272</v>
      </c>
      <c r="M2335" s="21" t="s">
        <v>2272</v>
      </c>
      <c r="N2335" s="21" t="s">
        <v>2272</v>
      </c>
      <c r="O2335" s="21" t="s">
        <v>2272</v>
      </c>
      <c r="P2335" s="21" t="s">
        <v>2272</v>
      </c>
      <c r="Q2335" s="21" t="s">
        <v>2272</v>
      </c>
      <c r="R2335" s="21" t="s">
        <v>2272</v>
      </c>
      <c r="S2335" s="21" t="s">
        <v>2272</v>
      </c>
      <c r="T2335" s="21" t="s">
        <v>2272</v>
      </c>
      <c r="U2335" s="21" t="s">
        <v>2272</v>
      </c>
      <c r="V2335" s="21" t="s">
        <v>2272</v>
      </c>
      <c r="W2335" s="21" t="s">
        <v>2272</v>
      </c>
      <c r="X2335" s="21" t="s">
        <v>2272</v>
      </c>
      <c r="Y2335" s="21" t="s">
        <v>2272</v>
      </c>
      <c r="Z2335" s="21" t="s">
        <v>2272</v>
      </c>
      <c r="AA2335" s="21" t="s">
        <v>2272</v>
      </c>
      <c r="AB2335" s="198"/>
      <c r="AC2335" s="198"/>
    </row>
    <row r="2336" spans="1:29" s="197" customFormat="1" ht="46" customHeight="1">
      <c r="A2336" s="151" t="str">
        <f>'Reported burning'!A2336</f>
        <v>272b</v>
      </c>
      <c r="B2336" s="151" t="str">
        <f>'Reported burning'!B2336</f>
        <v>272b.8</v>
      </c>
      <c r="C2336" s="151" t="str">
        <f>'Reported burning'!C2336</f>
        <v>Lightning</v>
      </c>
      <c r="D2336" s="151" t="str">
        <f>'Reported burning'!D2336</f>
        <v>ND</v>
      </c>
      <c r="E2336" s="151" t="str">
        <f>'Reported burning'!E2336</f>
        <v>Mixed cropping-livestock small holder, Market-oriented</v>
      </c>
      <c r="F2336" s="151" t="str">
        <f>'Reported burning'!F2336</f>
        <v>ND</v>
      </c>
      <c r="G2336" s="151" t="str">
        <f>'Reported burning'!G2336</f>
        <v>Forest</v>
      </c>
      <c r="H2336" s="151" t="str">
        <f>'Reported burning'!H2336</f>
        <v>Presence</v>
      </c>
      <c r="I2336" s="198"/>
      <c r="J2336" s="21" t="s">
        <v>2361</v>
      </c>
      <c r="K2336" s="21" t="s">
        <v>2272</v>
      </c>
      <c r="L2336" s="21" t="s">
        <v>2272</v>
      </c>
      <c r="M2336" s="21" t="s">
        <v>2272</v>
      </c>
      <c r="N2336" s="21" t="s">
        <v>2272</v>
      </c>
      <c r="O2336" s="21" t="s">
        <v>2272</v>
      </c>
      <c r="P2336" s="21" t="s">
        <v>2272</v>
      </c>
      <c r="Q2336" s="21" t="s">
        <v>2272</v>
      </c>
      <c r="R2336" s="21" t="s">
        <v>2272</v>
      </c>
      <c r="S2336" s="21" t="s">
        <v>2272</v>
      </c>
      <c r="T2336" s="21" t="s">
        <v>2272</v>
      </c>
      <c r="U2336" s="21" t="s">
        <v>2272</v>
      </c>
      <c r="V2336" s="21" t="s">
        <v>2272</v>
      </c>
      <c r="W2336" s="21" t="s">
        <v>2272</v>
      </c>
      <c r="X2336" s="21" t="s">
        <v>2272</v>
      </c>
      <c r="Y2336" s="21" t="s">
        <v>2272</v>
      </c>
      <c r="Z2336" s="21" t="s">
        <v>2272</v>
      </c>
      <c r="AA2336" s="21" t="s">
        <v>2272</v>
      </c>
      <c r="AB2336" s="198"/>
      <c r="AC2336" s="198"/>
    </row>
    <row r="2337" spans="1:29" s="197" customFormat="1" ht="46" customHeight="1">
      <c r="A2337" s="151" t="str">
        <f>'Reported burning'!A2337</f>
        <v>272b</v>
      </c>
      <c r="B2337" s="151" t="str">
        <f>'Reported burning'!B2337</f>
        <v>272b.9</v>
      </c>
      <c r="C2337" s="151" t="str">
        <f>'Reported burning'!C2337</f>
        <v>Unknown</v>
      </c>
      <c r="D2337" s="151" t="str">
        <f>'Reported burning'!D2337</f>
        <v>ND</v>
      </c>
      <c r="E2337" s="151" t="str">
        <f>'Reported burning'!E2337</f>
        <v>ND</v>
      </c>
      <c r="F2337" s="151" t="str">
        <f>'Reported burning'!F2337</f>
        <v>ND</v>
      </c>
      <c r="G2337" s="151" t="str">
        <f>'Reported burning'!G2337</f>
        <v>Forest</v>
      </c>
      <c r="H2337" s="151" t="str">
        <f>'Reported burning'!H2337</f>
        <v>Presence</v>
      </c>
      <c r="I2337" s="198"/>
      <c r="J2337" s="21" t="s">
        <v>2366</v>
      </c>
      <c r="K2337" s="21" t="s">
        <v>2272</v>
      </c>
      <c r="L2337" s="21" t="s">
        <v>2272</v>
      </c>
      <c r="M2337" s="21" t="s">
        <v>2272</v>
      </c>
      <c r="N2337" s="21" t="s">
        <v>2272</v>
      </c>
      <c r="O2337" s="21" t="s">
        <v>2272</v>
      </c>
      <c r="P2337" s="21" t="s">
        <v>2272</v>
      </c>
      <c r="Q2337" s="21" t="s">
        <v>2272</v>
      </c>
      <c r="R2337" s="21" t="s">
        <v>2272</v>
      </c>
      <c r="S2337" s="21" t="s">
        <v>2272</v>
      </c>
      <c r="T2337" s="21" t="s">
        <v>2272</v>
      </c>
      <c r="U2337" s="21" t="s">
        <v>2272</v>
      </c>
      <c r="V2337" s="21" t="s">
        <v>2272</v>
      </c>
      <c r="W2337" s="21" t="s">
        <v>2272</v>
      </c>
      <c r="X2337" s="21" t="s">
        <v>2272</v>
      </c>
      <c r="Y2337" s="21" t="s">
        <v>2272</v>
      </c>
      <c r="Z2337" s="21" t="s">
        <v>2272</v>
      </c>
      <c r="AA2337" s="21" t="s">
        <v>2272</v>
      </c>
      <c r="AB2337" s="198"/>
      <c r="AC2337" s="198"/>
    </row>
    <row r="2338" spans="1:29" s="197" customFormat="1" ht="46" customHeight="1">
      <c r="A2338" s="151" t="str">
        <f>'Reported burning'!A2338</f>
        <v>272c</v>
      </c>
      <c r="B2338" s="151" t="str">
        <f>'Reported burning'!B2338</f>
        <v>272c.1</v>
      </c>
      <c r="C2338" s="151" t="str">
        <f>'Reported burning'!C2338</f>
        <v>All</v>
      </c>
      <c r="D2338" s="151" t="str">
        <f>'Reported burning'!D2338</f>
        <v>All</v>
      </c>
      <c r="E2338" s="151" t="str">
        <f>'Reported burning'!E2338</f>
        <v>All</v>
      </c>
      <c r="F2338" s="151" t="str">
        <f>'Reported burning'!F2338</f>
        <v>ND</v>
      </c>
      <c r="G2338" s="151" t="str">
        <f>'Reported burning'!G2338</f>
        <v>Forest</v>
      </c>
      <c r="H2338" s="151" t="str">
        <f>'Reported burning'!H2338</f>
        <v>Presence</v>
      </c>
      <c r="I2338" s="198"/>
      <c r="J2338" s="21" t="s">
        <v>2367</v>
      </c>
      <c r="K2338" s="21" t="s">
        <v>2272</v>
      </c>
      <c r="L2338" s="21" t="s">
        <v>2272</v>
      </c>
      <c r="M2338" s="21" t="s">
        <v>2272</v>
      </c>
      <c r="N2338" s="21" t="s">
        <v>2272</v>
      </c>
      <c r="O2338" s="21" t="s">
        <v>2272</v>
      </c>
      <c r="P2338" s="21" t="s">
        <v>2272</v>
      </c>
      <c r="Q2338" s="21" t="s">
        <v>2272</v>
      </c>
      <c r="R2338" s="21" t="s">
        <v>2272</v>
      </c>
      <c r="S2338" s="21" t="s">
        <v>2272</v>
      </c>
      <c r="T2338" s="21" t="s">
        <v>2272</v>
      </c>
      <c r="U2338" s="21" t="s">
        <v>2272</v>
      </c>
      <c r="V2338" s="21" t="s">
        <v>2272</v>
      </c>
      <c r="W2338" s="4" t="s">
        <v>2522</v>
      </c>
      <c r="X2338" s="21" t="s">
        <v>2272</v>
      </c>
      <c r="Y2338" s="21" t="s">
        <v>2272</v>
      </c>
      <c r="Z2338" s="21" t="s">
        <v>2272</v>
      </c>
      <c r="AA2338" s="21" t="s">
        <v>2272</v>
      </c>
      <c r="AB2338" s="198"/>
      <c r="AC2338" s="198"/>
    </row>
    <row r="2339" spans="1:29" ht="46" customHeight="1">
      <c r="A2339" s="151" t="str">
        <f>'Reported burning'!A2339</f>
        <v>272c</v>
      </c>
      <c r="B2339" s="151" t="str">
        <f>'Reported burning'!B2339</f>
        <v>272c.2</v>
      </c>
      <c r="C2339" s="151" t="str">
        <f>'Reported burning'!C2339</f>
        <v>Human, deliberate</v>
      </c>
      <c r="D2339" s="151" t="str">
        <f>'Reported burning'!D2339</f>
        <v>ND</v>
      </c>
      <c r="E2339" s="151" t="str">
        <f>'Reported burning'!E2339</f>
        <v>Forestry, Industrial</v>
      </c>
      <c r="F2339" s="151" t="str">
        <f>'Reported burning'!F2339</f>
        <v>Forest</v>
      </c>
      <c r="G2339" s="151" t="str">
        <f>'Reported burning'!G2339</f>
        <v>Forest</v>
      </c>
      <c r="H2339" s="151" t="str">
        <f>'Reported burning'!H2339</f>
        <v>Presence</v>
      </c>
      <c r="I2339" s="3"/>
      <c r="J2339" s="21" t="s">
        <v>2366</v>
      </c>
      <c r="K2339" s="21" t="s">
        <v>2272</v>
      </c>
      <c r="L2339" s="21" t="s">
        <v>2272</v>
      </c>
      <c r="M2339" s="21" t="s">
        <v>2272</v>
      </c>
      <c r="N2339" s="21" t="s">
        <v>2272</v>
      </c>
      <c r="O2339" s="21" t="s">
        <v>2272</v>
      </c>
      <c r="P2339" s="21" t="s">
        <v>2272</v>
      </c>
      <c r="Q2339" s="21" t="s">
        <v>2272</v>
      </c>
      <c r="R2339" s="21" t="s">
        <v>2272</v>
      </c>
      <c r="S2339" s="21" t="s">
        <v>2272</v>
      </c>
      <c r="T2339" s="21" t="s">
        <v>2272</v>
      </c>
      <c r="U2339" s="21" t="s">
        <v>2272</v>
      </c>
      <c r="V2339" s="21" t="s">
        <v>2272</v>
      </c>
      <c r="W2339" s="21" t="s">
        <v>2272</v>
      </c>
      <c r="X2339" s="21" t="s">
        <v>2272</v>
      </c>
      <c r="Y2339" s="21" t="s">
        <v>2272</v>
      </c>
      <c r="Z2339" s="21" t="s">
        <v>2272</v>
      </c>
      <c r="AA2339" s="21" t="s">
        <v>2272</v>
      </c>
      <c r="AB2339" s="3"/>
      <c r="AC2339" s="3"/>
    </row>
    <row r="2340" spans="1:29" s="197" customFormat="1" ht="46" customHeight="1">
      <c r="A2340" s="151" t="str">
        <f>'Reported burning'!A2340</f>
        <v>272c</v>
      </c>
      <c r="B2340" s="151" t="str">
        <f>'Reported burning'!B2340</f>
        <v>272c.3</v>
      </c>
      <c r="C2340" s="151" t="str">
        <f>'Reported burning'!C2340</f>
        <v>Human, deliberate</v>
      </c>
      <c r="D2340" s="151" t="str">
        <f>'Reported burning'!D2340</f>
        <v>ND</v>
      </c>
      <c r="E2340" s="151" t="str">
        <f>'Reported burning'!E2340</f>
        <v>Mixed cropping-livestock small holder, Market-oriented</v>
      </c>
      <c r="F2340" s="151" t="str">
        <f>'Reported burning'!F2340</f>
        <v>Forest</v>
      </c>
      <c r="G2340" s="151" t="str">
        <f>'Reported burning'!G2340</f>
        <v>Forest</v>
      </c>
      <c r="H2340" s="151" t="str">
        <f>'Reported burning'!H2340</f>
        <v>Presence</v>
      </c>
      <c r="I2340" s="5"/>
      <c r="J2340" s="21" t="s">
        <v>2366</v>
      </c>
      <c r="K2340" s="21" t="s">
        <v>2272</v>
      </c>
      <c r="L2340" s="21" t="s">
        <v>2272</v>
      </c>
      <c r="M2340" s="21" t="s">
        <v>2272</v>
      </c>
      <c r="N2340" s="21" t="s">
        <v>2272</v>
      </c>
      <c r="O2340" s="21" t="s">
        <v>2272</v>
      </c>
      <c r="P2340" s="21" t="s">
        <v>2272</v>
      </c>
      <c r="Q2340" s="21" t="s">
        <v>2272</v>
      </c>
      <c r="R2340" s="21" t="s">
        <v>2272</v>
      </c>
      <c r="S2340" s="21" t="s">
        <v>2272</v>
      </c>
      <c r="T2340" s="21" t="s">
        <v>2272</v>
      </c>
      <c r="U2340" s="21" t="s">
        <v>2272</v>
      </c>
      <c r="V2340" s="21" t="s">
        <v>2272</v>
      </c>
      <c r="W2340" s="21" t="s">
        <v>2272</v>
      </c>
      <c r="X2340" s="21" t="s">
        <v>2272</v>
      </c>
      <c r="Y2340" s="21" t="s">
        <v>2272</v>
      </c>
      <c r="Z2340" s="21" t="s">
        <v>2272</v>
      </c>
      <c r="AA2340" s="21" t="s">
        <v>2272</v>
      </c>
      <c r="AB2340" s="198"/>
      <c r="AC2340" s="198"/>
    </row>
    <row r="2341" spans="1:29" s="197" customFormat="1" ht="46" customHeight="1">
      <c r="A2341" s="151" t="str">
        <f>'Reported burning'!A2341</f>
        <v>272c</v>
      </c>
      <c r="B2341" s="151" t="str">
        <f>'Reported burning'!B2341</f>
        <v>272c.4</v>
      </c>
      <c r="C2341" s="151" t="str">
        <f>'Reported burning'!C2341</f>
        <v>Human, escaped</v>
      </c>
      <c r="D2341" s="151" t="str">
        <f>'Reported burning'!D2341</f>
        <v>ND</v>
      </c>
      <c r="E2341" s="151" t="str">
        <f>'Reported burning'!E2341</f>
        <v>Mixed cropping-livestock small holder, Market-oriented</v>
      </c>
      <c r="F2341" s="151" t="str">
        <f>'Reported burning'!F2341</f>
        <v>ND</v>
      </c>
      <c r="G2341" s="151" t="str">
        <f>'Reported burning'!G2341</f>
        <v>Forest</v>
      </c>
      <c r="H2341" s="151" t="str">
        <f>'Reported burning'!H2341</f>
        <v>Presence</v>
      </c>
      <c r="I2341" s="5"/>
      <c r="J2341" s="21" t="s">
        <v>2361</v>
      </c>
      <c r="K2341" s="21" t="s">
        <v>2272</v>
      </c>
      <c r="L2341" s="21" t="s">
        <v>2272</v>
      </c>
      <c r="M2341" s="21" t="s">
        <v>2272</v>
      </c>
      <c r="N2341" s="21" t="s">
        <v>2272</v>
      </c>
      <c r="O2341" s="21" t="s">
        <v>2272</v>
      </c>
      <c r="P2341" s="21" t="s">
        <v>2272</v>
      </c>
      <c r="Q2341" s="21" t="s">
        <v>2272</v>
      </c>
      <c r="R2341" s="21" t="s">
        <v>2272</v>
      </c>
      <c r="S2341" s="21" t="s">
        <v>2272</v>
      </c>
      <c r="T2341" s="21" t="s">
        <v>2272</v>
      </c>
      <c r="U2341" s="21" t="s">
        <v>2272</v>
      </c>
      <c r="V2341" s="21" t="s">
        <v>2272</v>
      </c>
      <c r="W2341" s="21" t="s">
        <v>2272</v>
      </c>
      <c r="X2341" s="21" t="s">
        <v>2272</v>
      </c>
      <c r="Y2341" s="21" t="s">
        <v>2272</v>
      </c>
      <c r="Z2341" s="21" t="s">
        <v>2272</v>
      </c>
      <c r="AA2341" s="21" t="s">
        <v>2272</v>
      </c>
      <c r="AB2341" s="198"/>
      <c r="AC2341" s="198"/>
    </row>
    <row r="2342" spans="1:29" s="197" customFormat="1" ht="46" customHeight="1">
      <c r="A2342" s="151" t="str">
        <f>'Reported burning'!A2342</f>
        <v>272c</v>
      </c>
      <c r="B2342" s="151" t="str">
        <f>'Reported burning'!B2342</f>
        <v>272c.5</v>
      </c>
      <c r="C2342" s="151" t="str">
        <f>'Reported burning'!C2342</f>
        <v>Human, escaped</v>
      </c>
      <c r="D2342" s="151" t="str">
        <f>'Reported burning'!D2342</f>
        <v>ND</v>
      </c>
      <c r="E2342" s="151" t="str">
        <f>'Reported burning'!E2342</f>
        <v>Forestry, Industrial</v>
      </c>
      <c r="F2342" s="151" t="str">
        <f>'Reported burning'!F2342</f>
        <v>Shrubland (Mixed forest &amp; grassland)</v>
      </c>
      <c r="G2342" s="151" t="str">
        <f>'Reported burning'!G2342</f>
        <v>Forest</v>
      </c>
      <c r="H2342" s="151" t="str">
        <f>'Reported burning'!H2342</f>
        <v>Presence</v>
      </c>
      <c r="I2342" s="5"/>
      <c r="J2342" s="21" t="s">
        <v>2361</v>
      </c>
      <c r="K2342" s="21" t="s">
        <v>2272</v>
      </c>
      <c r="L2342" s="21" t="s">
        <v>2272</v>
      </c>
      <c r="M2342" s="21" t="s">
        <v>2272</v>
      </c>
      <c r="N2342" s="21" t="s">
        <v>2272</v>
      </c>
      <c r="O2342" s="21" t="s">
        <v>2272</v>
      </c>
      <c r="P2342" s="21" t="s">
        <v>2272</v>
      </c>
      <c r="Q2342" s="21" t="s">
        <v>2272</v>
      </c>
      <c r="R2342" s="21" t="s">
        <v>2272</v>
      </c>
      <c r="S2342" s="21" t="s">
        <v>2272</v>
      </c>
      <c r="T2342" s="21" t="s">
        <v>2272</v>
      </c>
      <c r="U2342" s="21" t="s">
        <v>2272</v>
      </c>
      <c r="V2342" s="21" t="s">
        <v>2272</v>
      </c>
      <c r="W2342" s="21" t="s">
        <v>2272</v>
      </c>
      <c r="X2342" s="21" t="s">
        <v>2272</v>
      </c>
      <c r="Y2342" s="21" t="s">
        <v>2272</v>
      </c>
      <c r="Z2342" s="21" t="s">
        <v>2272</v>
      </c>
      <c r="AA2342" s="21" t="s">
        <v>2272</v>
      </c>
      <c r="AB2342" s="198"/>
      <c r="AC2342" s="198"/>
    </row>
    <row r="2343" spans="1:29" s="197" customFormat="1" ht="46" customHeight="1">
      <c r="A2343" s="151" t="str">
        <f>'Reported burning'!A2343</f>
        <v>272c</v>
      </c>
      <c r="B2343" s="151" t="str">
        <f>'Reported burning'!B2343</f>
        <v>272c.6</v>
      </c>
      <c r="C2343" s="151" t="str">
        <f>'Reported burning'!C2343</f>
        <v>Human, deliberate</v>
      </c>
      <c r="D2343" s="151" t="str">
        <f>'Reported burning'!D2343</f>
        <v>Arson</v>
      </c>
      <c r="E2343" s="151" t="str">
        <f>'Reported burning'!E2343</f>
        <v>Mixed cropping-livestock small holder, Market-oriented</v>
      </c>
      <c r="F2343" s="151" t="str">
        <f>'Reported burning'!F2343</f>
        <v>Plantation forest</v>
      </c>
      <c r="G2343" s="151" t="str">
        <f>'Reported burning'!G2343</f>
        <v>Plantation forest</v>
      </c>
      <c r="H2343" s="151" t="str">
        <f>'Reported burning'!H2343</f>
        <v>Presence</v>
      </c>
      <c r="I2343" s="5"/>
      <c r="J2343" s="21" t="s">
        <v>2361</v>
      </c>
      <c r="K2343" s="21" t="s">
        <v>2272</v>
      </c>
      <c r="L2343" s="21" t="s">
        <v>2272</v>
      </c>
      <c r="M2343" s="21" t="s">
        <v>2272</v>
      </c>
      <c r="N2343" s="21" t="s">
        <v>2272</v>
      </c>
      <c r="O2343" s="21" t="s">
        <v>2272</v>
      </c>
      <c r="P2343" s="21" t="s">
        <v>2272</v>
      </c>
      <c r="Q2343" s="21" t="s">
        <v>2272</v>
      </c>
      <c r="R2343" s="21" t="s">
        <v>2272</v>
      </c>
      <c r="S2343" s="21" t="s">
        <v>2272</v>
      </c>
      <c r="T2343" s="21" t="s">
        <v>2272</v>
      </c>
      <c r="U2343" s="21" t="s">
        <v>2272</v>
      </c>
      <c r="V2343" s="21" t="s">
        <v>2272</v>
      </c>
      <c r="W2343" s="21" t="s">
        <v>2272</v>
      </c>
      <c r="X2343" s="21" t="s">
        <v>2272</v>
      </c>
      <c r="Y2343" s="21" t="s">
        <v>2272</v>
      </c>
      <c r="Z2343" s="21" t="s">
        <v>2272</v>
      </c>
      <c r="AA2343" s="21" t="s">
        <v>2272</v>
      </c>
      <c r="AB2343" s="198"/>
      <c r="AC2343" s="198"/>
    </row>
    <row r="2344" spans="1:29" s="197" customFormat="1" ht="46" customHeight="1">
      <c r="A2344" s="151" t="str">
        <f>'Reported burning'!A2344</f>
        <v>272c</v>
      </c>
      <c r="B2344" s="151" t="str">
        <f>'Reported burning'!B2344</f>
        <v>272c.7</v>
      </c>
      <c r="C2344" s="151" t="str">
        <f>'Reported burning'!C2344</f>
        <v>Human, accidental</v>
      </c>
      <c r="D2344" s="151" t="str">
        <f>'Reported burning'!D2344</f>
        <v>Accidental</v>
      </c>
      <c r="E2344" s="151" t="str">
        <f>'Reported burning'!E2344</f>
        <v>ND</v>
      </c>
      <c r="F2344" s="151" t="str">
        <f>'Reported burning'!F2344</f>
        <v>ND</v>
      </c>
      <c r="G2344" s="151" t="str">
        <f>'Reported burning'!G2344</f>
        <v>Forest</v>
      </c>
      <c r="H2344" s="151" t="str">
        <f>'Reported burning'!H2344</f>
        <v>Presence</v>
      </c>
      <c r="I2344" s="5"/>
      <c r="J2344" s="21" t="s">
        <v>2361</v>
      </c>
      <c r="K2344" s="21" t="s">
        <v>2272</v>
      </c>
      <c r="L2344" s="21" t="s">
        <v>2272</v>
      </c>
      <c r="M2344" s="21" t="s">
        <v>2272</v>
      </c>
      <c r="N2344" s="21" t="s">
        <v>2272</v>
      </c>
      <c r="O2344" s="21" t="s">
        <v>2272</v>
      </c>
      <c r="P2344" s="21" t="s">
        <v>2272</v>
      </c>
      <c r="Q2344" s="21" t="s">
        <v>2272</v>
      </c>
      <c r="R2344" s="21" t="s">
        <v>2272</v>
      </c>
      <c r="S2344" s="21" t="s">
        <v>2272</v>
      </c>
      <c r="T2344" s="21" t="s">
        <v>2272</v>
      </c>
      <c r="U2344" s="21" t="s">
        <v>2272</v>
      </c>
      <c r="V2344" s="21" t="s">
        <v>2272</v>
      </c>
      <c r="W2344" s="21" t="s">
        <v>2272</v>
      </c>
      <c r="X2344" s="21" t="s">
        <v>2272</v>
      </c>
      <c r="Y2344" s="21" t="s">
        <v>2272</v>
      </c>
      <c r="Z2344" s="21" t="s">
        <v>2272</v>
      </c>
      <c r="AA2344" s="21" t="s">
        <v>2272</v>
      </c>
      <c r="AB2344" s="198"/>
      <c r="AC2344" s="198"/>
    </row>
    <row r="2345" spans="1:29" s="197" customFormat="1" ht="46" customHeight="1">
      <c r="A2345" s="151" t="str">
        <f>'Reported burning'!A2345</f>
        <v>272c</v>
      </c>
      <c r="B2345" s="151" t="str">
        <f>'Reported burning'!B2345</f>
        <v>272c.8</v>
      </c>
      <c r="C2345" s="151" t="str">
        <f>'Reported burning'!C2345</f>
        <v>Lightning</v>
      </c>
      <c r="D2345" s="151" t="str">
        <f>'Reported burning'!D2345</f>
        <v>ND</v>
      </c>
      <c r="E2345" s="151" t="str">
        <f>'Reported burning'!E2345</f>
        <v>Mixed cropping-livestock small holder, Market-oriented</v>
      </c>
      <c r="F2345" s="151" t="str">
        <f>'Reported burning'!F2345</f>
        <v>ND</v>
      </c>
      <c r="G2345" s="151" t="str">
        <f>'Reported burning'!G2345</f>
        <v>Forest</v>
      </c>
      <c r="H2345" s="151" t="str">
        <f>'Reported burning'!H2345</f>
        <v>Presence</v>
      </c>
      <c r="I2345" s="5"/>
      <c r="J2345" s="21" t="s">
        <v>2361</v>
      </c>
      <c r="K2345" s="21" t="s">
        <v>2272</v>
      </c>
      <c r="L2345" s="21" t="s">
        <v>2272</v>
      </c>
      <c r="M2345" s="21" t="s">
        <v>2272</v>
      </c>
      <c r="N2345" s="21" t="s">
        <v>2272</v>
      </c>
      <c r="O2345" s="21" t="s">
        <v>2272</v>
      </c>
      <c r="P2345" s="21" t="s">
        <v>2272</v>
      </c>
      <c r="Q2345" s="21" t="s">
        <v>2272</v>
      </c>
      <c r="R2345" s="21" t="s">
        <v>2272</v>
      </c>
      <c r="S2345" s="21" t="s">
        <v>2272</v>
      </c>
      <c r="T2345" s="21" t="s">
        <v>2272</v>
      </c>
      <c r="U2345" s="21" t="s">
        <v>2272</v>
      </c>
      <c r="V2345" s="21" t="s">
        <v>2272</v>
      </c>
      <c r="W2345" s="21" t="s">
        <v>2272</v>
      </c>
      <c r="X2345" s="21" t="s">
        <v>2272</v>
      </c>
      <c r="Y2345" s="21" t="s">
        <v>2272</v>
      </c>
      <c r="Z2345" s="21" t="s">
        <v>2272</v>
      </c>
      <c r="AA2345" s="21" t="s">
        <v>2272</v>
      </c>
      <c r="AB2345" s="198"/>
      <c r="AC2345" s="198"/>
    </row>
    <row r="2346" spans="1:29" s="197" customFormat="1" ht="46" customHeight="1">
      <c r="A2346" s="151" t="str">
        <f>'Reported burning'!A2346</f>
        <v>272c</v>
      </c>
      <c r="B2346" s="151" t="str">
        <f>'Reported burning'!B2346</f>
        <v>272c.9</v>
      </c>
      <c r="C2346" s="151" t="str">
        <f>'Reported burning'!C2346</f>
        <v>Unknown</v>
      </c>
      <c r="D2346" s="151" t="str">
        <f>'Reported burning'!D2346</f>
        <v>ND</v>
      </c>
      <c r="E2346" s="151" t="str">
        <f>'Reported burning'!E2346</f>
        <v>ND</v>
      </c>
      <c r="F2346" s="151" t="str">
        <f>'Reported burning'!F2346</f>
        <v>ND</v>
      </c>
      <c r="G2346" s="151" t="str">
        <f>'Reported burning'!G2346</f>
        <v>Forest</v>
      </c>
      <c r="H2346" s="151" t="str">
        <f>'Reported burning'!H2346</f>
        <v>Presence</v>
      </c>
      <c r="I2346" s="5"/>
      <c r="J2346" s="21" t="s">
        <v>2363</v>
      </c>
      <c r="K2346" s="21" t="s">
        <v>2272</v>
      </c>
      <c r="L2346" s="21" t="s">
        <v>2272</v>
      </c>
      <c r="M2346" s="21" t="s">
        <v>2272</v>
      </c>
      <c r="N2346" s="21" t="s">
        <v>2272</v>
      </c>
      <c r="O2346" s="21" t="s">
        <v>2272</v>
      </c>
      <c r="P2346" s="21" t="s">
        <v>2272</v>
      </c>
      <c r="Q2346" s="21" t="s">
        <v>2272</v>
      </c>
      <c r="R2346" s="21" t="s">
        <v>2272</v>
      </c>
      <c r="S2346" s="21" t="s">
        <v>2272</v>
      </c>
      <c r="T2346" s="21" t="s">
        <v>2272</v>
      </c>
      <c r="U2346" s="21" t="s">
        <v>2272</v>
      </c>
      <c r="V2346" s="21" t="s">
        <v>2272</v>
      </c>
      <c r="W2346" s="21" t="s">
        <v>2272</v>
      </c>
      <c r="X2346" s="21" t="s">
        <v>2272</v>
      </c>
      <c r="Y2346" s="21" t="s">
        <v>2272</v>
      </c>
      <c r="Z2346" s="21" t="s">
        <v>2272</v>
      </c>
      <c r="AA2346" s="21" t="s">
        <v>2272</v>
      </c>
      <c r="AB2346" s="198"/>
      <c r="AC2346" s="198"/>
    </row>
    <row r="2347" spans="1:29" s="197" customFormat="1" ht="46" customHeight="1">
      <c r="A2347" s="151" t="str">
        <f>'Reported burning'!A2347</f>
        <v>272d</v>
      </c>
      <c r="B2347" s="151" t="str">
        <f>'Reported burning'!B2347</f>
        <v>272d.1</v>
      </c>
      <c r="C2347" s="151" t="str">
        <f>'Reported burning'!C2347</f>
        <v>All</v>
      </c>
      <c r="D2347" s="151" t="str">
        <f>'Reported burning'!D2347</f>
        <v>All</v>
      </c>
      <c r="E2347" s="151" t="str">
        <f>'Reported burning'!E2347</f>
        <v>All</v>
      </c>
      <c r="F2347" s="151" t="str">
        <f>'Reported burning'!F2347</f>
        <v>ND</v>
      </c>
      <c r="G2347" s="151" t="str">
        <f>'Reported burning'!G2347</f>
        <v>Forest</v>
      </c>
      <c r="H2347" s="151" t="str">
        <f>'Reported burning'!H2347</f>
        <v>Presence</v>
      </c>
      <c r="I2347" s="5"/>
      <c r="J2347" s="21" t="s">
        <v>2366</v>
      </c>
      <c r="K2347" s="21" t="s">
        <v>2272</v>
      </c>
      <c r="L2347" s="21" t="s">
        <v>2272</v>
      </c>
      <c r="M2347" s="21" t="s">
        <v>2272</v>
      </c>
      <c r="N2347" s="21" t="s">
        <v>2272</v>
      </c>
      <c r="O2347" s="21" t="s">
        <v>2272</v>
      </c>
      <c r="P2347" s="21" t="s">
        <v>2272</v>
      </c>
      <c r="Q2347" s="21" t="s">
        <v>2272</v>
      </c>
      <c r="R2347" s="21" t="s">
        <v>2272</v>
      </c>
      <c r="S2347" s="21" t="s">
        <v>2272</v>
      </c>
      <c r="T2347" s="21" t="s">
        <v>2272</v>
      </c>
      <c r="U2347" s="21" t="s">
        <v>2272</v>
      </c>
      <c r="V2347" s="21" t="s">
        <v>2272</v>
      </c>
      <c r="W2347" s="4" t="s">
        <v>2522</v>
      </c>
      <c r="X2347" s="21" t="s">
        <v>2272</v>
      </c>
      <c r="Y2347" s="21" t="s">
        <v>2272</v>
      </c>
      <c r="Z2347" s="21" t="s">
        <v>2272</v>
      </c>
      <c r="AA2347" s="21" t="s">
        <v>2272</v>
      </c>
      <c r="AB2347" s="198"/>
      <c r="AC2347" s="198"/>
    </row>
    <row r="2348" spans="1:29" s="197" customFormat="1" ht="46" customHeight="1">
      <c r="A2348" s="151" t="str">
        <f>'Reported burning'!A2348</f>
        <v>272d</v>
      </c>
      <c r="B2348" s="151" t="str">
        <f>'Reported burning'!B2348</f>
        <v>272d.2</v>
      </c>
      <c r="C2348" s="151" t="str">
        <f>'Reported burning'!C2348</f>
        <v>Human, deliberate</v>
      </c>
      <c r="D2348" s="151" t="str">
        <f>'Reported burning'!D2348</f>
        <v>ND</v>
      </c>
      <c r="E2348" s="151" t="str">
        <f>'Reported burning'!E2348</f>
        <v>Forestry, Industrial</v>
      </c>
      <c r="F2348" s="151" t="str">
        <f>'Reported burning'!F2348</f>
        <v>Forest</v>
      </c>
      <c r="G2348" s="151" t="str">
        <f>'Reported burning'!G2348</f>
        <v>Forest</v>
      </c>
      <c r="H2348" s="151" t="str">
        <f>'Reported burning'!H2348</f>
        <v>Presence</v>
      </c>
      <c r="I2348" s="5"/>
      <c r="J2348" s="21" t="s">
        <v>2366</v>
      </c>
      <c r="K2348" s="21" t="s">
        <v>2272</v>
      </c>
      <c r="L2348" s="21" t="s">
        <v>2272</v>
      </c>
      <c r="M2348" s="21" t="s">
        <v>2272</v>
      </c>
      <c r="N2348" s="21" t="s">
        <v>2272</v>
      </c>
      <c r="O2348" s="21" t="s">
        <v>2272</v>
      </c>
      <c r="P2348" s="21" t="s">
        <v>2272</v>
      </c>
      <c r="Q2348" s="21" t="s">
        <v>2272</v>
      </c>
      <c r="R2348" s="21" t="s">
        <v>2272</v>
      </c>
      <c r="S2348" s="21" t="s">
        <v>2272</v>
      </c>
      <c r="T2348" s="21" t="s">
        <v>2272</v>
      </c>
      <c r="U2348" s="21" t="s">
        <v>2272</v>
      </c>
      <c r="V2348" s="21" t="s">
        <v>2272</v>
      </c>
      <c r="W2348" s="21" t="s">
        <v>2272</v>
      </c>
      <c r="X2348" s="21" t="s">
        <v>2272</v>
      </c>
      <c r="Y2348" s="21" t="s">
        <v>2272</v>
      </c>
      <c r="Z2348" s="21" t="s">
        <v>2272</v>
      </c>
      <c r="AA2348" s="21" t="s">
        <v>2272</v>
      </c>
      <c r="AB2348" s="198"/>
      <c r="AC2348" s="198"/>
    </row>
    <row r="2349" spans="1:29" s="197" customFormat="1" ht="46" customHeight="1">
      <c r="A2349" s="151" t="str">
        <f>'Reported burning'!A2349</f>
        <v>272d</v>
      </c>
      <c r="B2349" s="151" t="str">
        <f>'Reported burning'!B2349</f>
        <v>272d.3</v>
      </c>
      <c r="C2349" s="151" t="str">
        <f>'Reported burning'!C2349</f>
        <v>Human, deliberate</v>
      </c>
      <c r="D2349" s="151" t="str">
        <f>'Reported burning'!D2349</f>
        <v>ND</v>
      </c>
      <c r="E2349" s="151" t="str">
        <f>'Reported burning'!E2349</f>
        <v>Mixed cropping-livestock small holder, Market-oriented</v>
      </c>
      <c r="F2349" s="151" t="str">
        <f>'Reported burning'!F2349</f>
        <v>Forest</v>
      </c>
      <c r="G2349" s="151" t="str">
        <f>'Reported burning'!G2349</f>
        <v>Forest</v>
      </c>
      <c r="H2349" s="151" t="str">
        <f>'Reported burning'!H2349</f>
        <v>Presence</v>
      </c>
      <c r="I2349" s="5"/>
      <c r="J2349" s="21" t="s">
        <v>2364</v>
      </c>
      <c r="K2349" s="21" t="s">
        <v>2272</v>
      </c>
      <c r="L2349" s="21" t="s">
        <v>2272</v>
      </c>
      <c r="M2349" s="21" t="s">
        <v>2272</v>
      </c>
      <c r="N2349" s="21" t="s">
        <v>2272</v>
      </c>
      <c r="O2349" s="21" t="s">
        <v>2272</v>
      </c>
      <c r="P2349" s="21" t="s">
        <v>2272</v>
      </c>
      <c r="Q2349" s="21" t="s">
        <v>2272</v>
      </c>
      <c r="R2349" s="21" t="s">
        <v>2272</v>
      </c>
      <c r="S2349" s="21" t="s">
        <v>2272</v>
      </c>
      <c r="T2349" s="21" t="s">
        <v>2272</v>
      </c>
      <c r="U2349" s="21" t="s">
        <v>2272</v>
      </c>
      <c r="V2349" s="21" t="s">
        <v>2272</v>
      </c>
      <c r="W2349" s="21" t="s">
        <v>2272</v>
      </c>
      <c r="X2349" s="21" t="s">
        <v>2272</v>
      </c>
      <c r="Y2349" s="21" t="s">
        <v>2272</v>
      </c>
      <c r="Z2349" s="21" t="s">
        <v>2272</v>
      </c>
      <c r="AA2349" s="21" t="s">
        <v>2272</v>
      </c>
      <c r="AB2349" s="198"/>
      <c r="AC2349" s="198"/>
    </row>
    <row r="2350" spans="1:29" s="197" customFormat="1" ht="46" customHeight="1">
      <c r="A2350" s="151" t="str">
        <f>'Reported burning'!A2350</f>
        <v>272d</v>
      </c>
      <c r="B2350" s="151" t="str">
        <f>'Reported burning'!B2350</f>
        <v>272d.4</v>
      </c>
      <c r="C2350" s="151" t="str">
        <f>'Reported burning'!C2350</f>
        <v>Human, escaped</v>
      </c>
      <c r="D2350" s="151" t="str">
        <f>'Reported burning'!D2350</f>
        <v>ND</v>
      </c>
      <c r="E2350" s="151" t="str">
        <f>'Reported burning'!E2350</f>
        <v>Mixed cropping-livestock small holder, Market-oriented</v>
      </c>
      <c r="F2350" s="151" t="str">
        <f>'Reported burning'!F2350</f>
        <v>ND</v>
      </c>
      <c r="G2350" s="151" t="str">
        <f>'Reported burning'!G2350</f>
        <v>Forest</v>
      </c>
      <c r="H2350" s="151" t="str">
        <f>'Reported burning'!H2350</f>
        <v>Presence</v>
      </c>
      <c r="I2350" s="5"/>
      <c r="J2350" s="21" t="s">
        <v>2361</v>
      </c>
      <c r="K2350" s="21" t="s">
        <v>2272</v>
      </c>
      <c r="L2350" s="21" t="s">
        <v>2272</v>
      </c>
      <c r="M2350" s="21" t="s">
        <v>2272</v>
      </c>
      <c r="N2350" s="21" t="s">
        <v>2272</v>
      </c>
      <c r="O2350" s="21" t="s">
        <v>2272</v>
      </c>
      <c r="P2350" s="21" t="s">
        <v>2272</v>
      </c>
      <c r="Q2350" s="21" t="s">
        <v>2272</v>
      </c>
      <c r="R2350" s="21" t="s">
        <v>2272</v>
      </c>
      <c r="S2350" s="21" t="s">
        <v>2272</v>
      </c>
      <c r="T2350" s="21" t="s">
        <v>2272</v>
      </c>
      <c r="U2350" s="21" t="s">
        <v>2272</v>
      </c>
      <c r="V2350" s="21" t="s">
        <v>2272</v>
      </c>
      <c r="W2350" s="21" t="s">
        <v>2272</v>
      </c>
      <c r="X2350" s="21" t="s">
        <v>2272</v>
      </c>
      <c r="Y2350" s="21" t="s">
        <v>2272</v>
      </c>
      <c r="Z2350" s="21" t="s">
        <v>2272</v>
      </c>
      <c r="AA2350" s="21" t="s">
        <v>2272</v>
      </c>
      <c r="AB2350" s="198"/>
      <c r="AC2350" s="198"/>
    </row>
    <row r="2351" spans="1:29" s="197" customFormat="1" ht="46" customHeight="1">
      <c r="A2351" s="151" t="str">
        <f>'Reported burning'!A2351</f>
        <v>272d</v>
      </c>
      <c r="B2351" s="151" t="str">
        <f>'Reported burning'!B2351</f>
        <v>272d.5</v>
      </c>
      <c r="C2351" s="151" t="str">
        <f>'Reported burning'!C2351</f>
        <v>Human, escaped</v>
      </c>
      <c r="D2351" s="151" t="str">
        <f>'Reported burning'!D2351</f>
        <v>ND</v>
      </c>
      <c r="E2351" s="151" t="str">
        <f>'Reported burning'!E2351</f>
        <v>Forestry, Industrial</v>
      </c>
      <c r="F2351" s="151" t="str">
        <f>'Reported burning'!F2351</f>
        <v>Shrubland (Mixed forest &amp; grassland)</v>
      </c>
      <c r="G2351" s="151" t="str">
        <f>'Reported burning'!G2351</f>
        <v>Forest</v>
      </c>
      <c r="H2351" s="151" t="str">
        <f>'Reported burning'!H2351</f>
        <v>Presence</v>
      </c>
      <c r="I2351" s="5"/>
      <c r="J2351" s="21" t="s">
        <v>2361</v>
      </c>
      <c r="K2351" s="21" t="s">
        <v>2272</v>
      </c>
      <c r="L2351" s="21" t="s">
        <v>2272</v>
      </c>
      <c r="M2351" s="21" t="s">
        <v>2272</v>
      </c>
      <c r="N2351" s="21" t="s">
        <v>2272</v>
      </c>
      <c r="O2351" s="21" t="s">
        <v>2272</v>
      </c>
      <c r="P2351" s="21" t="s">
        <v>2272</v>
      </c>
      <c r="Q2351" s="21" t="s">
        <v>2272</v>
      </c>
      <c r="R2351" s="21" t="s">
        <v>2272</v>
      </c>
      <c r="S2351" s="21" t="s">
        <v>2272</v>
      </c>
      <c r="T2351" s="21" t="s">
        <v>2272</v>
      </c>
      <c r="U2351" s="21" t="s">
        <v>2272</v>
      </c>
      <c r="V2351" s="21" t="s">
        <v>2272</v>
      </c>
      <c r="W2351" s="21" t="s">
        <v>2272</v>
      </c>
      <c r="X2351" s="21" t="s">
        <v>2272</v>
      </c>
      <c r="Y2351" s="21" t="s">
        <v>2272</v>
      </c>
      <c r="Z2351" s="21" t="s">
        <v>2272</v>
      </c>
      <c r="AA2351" s="21" t="s">
        <v>2272</v>
      </c>
      <c r="AB2351" s="198"/>
      <c r="AC2351" s="198"/>
    </row>
    <row r="2352" spans="1:29" s="197" customFormat="1" ht="46" customHeight="1">
      <c r="A2352" s="151" t="str">
        <f>'Reported burning'!A2352</f>
        <v>272d</v>
      </c>
      <c r="B2352" s="151" t="str">
        <f>'Reported burning'!B2352</f>
        <v>272d.6</v>
      </c>
      <c r="C2352" s="151" t="str">
        <f>'Reported burning'!C2352</f>
        <v>Human, deliberate</v>
      </c>
      <c r="D2352" s="151" t="str">
        <f>'Reported burning'!D2352</f>
        <v>Arson</v>
      </c>
      <c r="E2352" s="151" t="str">
        <f>'Reported burning'!E2352</f>
        <v>Mixed cropping-livestock small holder, Market-oriented</v>
      </c>
      <c r="F2352" s="151" t="str">
        <f>'Reported burning'!F2352</f>
        <v>Plantation forest</v>
      </c>
      <c r="G2352" s="151" t="str">
        <f>'Reported burning'!G2352</f>
        <v>Plantation forest</v>
      </c>
      <c r="H2352" s="151" t="str">
        <f>'Reported burning'!H2352</f>
        <v>Presence</v>
      </c>
      <c r="I2352" s="5"/>
      <c r="J2352" s="21" t="s">
        <v>2361</v>
      </c>
      <c r="K2352" s="21" t="s">
        <v>2272</v>
      </c>
      <c r="L2352" s="21" t="s">
        <v>2272</v>
      </c>
      <c r="M2352" s="21" t="s">
        <v>2272</v>
      </c>
      <c r="N2352" s="21" t="s">
        <v>2272</v>
      </c>
      <c r="O2352" s="21" t="s">
        <v>2272</v>
      </c>
      <c r="P2352" s="21" t="s">
        <v>2272</v>
      </c>
      <c r="Q2352" s="21" t="s">
        <v>2272</v>
      </c>
      <c r="R2352" s="21" t="s">
        <v>2272</v>
      </c>
      <c r="S2352" s="21" t="s">
        <v>2272</v>
      </c>
      <c r="T2352" s="21" t="s">
        <v>2272</v>
      </c>
      <c r="U2352" s="21" t="s">
        <v>2272</v>
      </c>
      <c r="V2352" s="21" t="s">
        <v>2272</v>
      </c>
      <c r="W2352" s="21" t="s">
        <v>2272</v>
      </c>
      <c r="X2352" s="21" t="s">
        <v>2272</v>
      </c>
      <c r="Y2352" s="21" t="s">
        <v>2272</v>
      </c>
      <c r="Z2352" s="21" t="s">
        <v>2272</v>
      </c>
      <c r="AA2352" s="21" t="s">
        <v>2272</v>
      </c>
      <c r="AB2352" s="198"/>
      <c r="AC2352" s="198"/>
    </row>
    <row r="2353" spans="1:29" s="197" customFormat="1" ht="46" customHeight="1">
      <c r="A2353" s="151" t="str">
        <f>'Reported burning'!A2353</f>
        <v>272d</v>
      </c>
      <c r="B2353" s="151" t="str">
        <f>'Reported burning'!B2353</f>
        <v>272d.7</v>
      </c>
      <c r="C2353" s="151" t="str">
        <f>'Reported burning'!C2353</f>
        <v>Human, accidental</v>
      </c>
      <c r="D2353" s="151" t="str">
        <f>'Reported burning'!D2353</f>
        <v>Accidental</v>
      </c>
      <c r="E2353" s="151" t="str">
        <f>'Reported burning'!E2353</f>
        <v>ND</v>
      </c>
      <c r="F2353" s="151" t="str">
        <f>'Reported burning'!F2353</f>
        <v>ND</v>
      </c>
      <c r="G2353" s="151" t="str">
        <f>'Reported burning'!G2353</f>
        <v>Forest</v>
      </c>
      <c r="H2353" s="151" t="str">
        <f>'Reported burning'!H2353</f>
        <v>Presence</v>
      </c>
      <c r="I2353" s="5"/>
      <c r="J2353" s="21" t="s">
        <v>2362</v>
      </c>
      <c r="K2353" s="21" t="s">
        <v>2272</v>
      </c>
      <c r="L2353" s="21" t="s">
        <v>2272</v>
      </c>
      <c r="M2353" s="21" t="s">
        <v>2272</v>
      </c>
      <c r="N2353" s="21" t="s">
        <v>2272</v>
      </c>
      <c r="O2353" s="21" t="s">
        <v>2272</v>
      </c>
      <c r="P2353" s="21" t="s">
        <v>2272</v>
      </c>
      <c r="Q2353" s="21" t="s">
        <v>2272</v>
      </c>
      <c r="R2353" s="21" t="s">
        <v>2272</v>
      </c>
      <c r="S2353" s="21" t="s">
        <v>2272</v>
      </c>
      <c r="T2353" s="21" t="s">
        <v>2272</v>
      </c>
      <c r="U2353" s="21" t="s">
        <v>2272</v>
      </c>
      <c r="V2353" s="21" t="s">
        <v>2272</v>
      </c>
      <c r="W2353" s="21" t="s">
        <v>2272</v>
      </c>
      <c r="X2353" s="21" t="s">
        <v>2272</v>
      </c>
      <c r="Y2353" s="21" t="s">
        <v>2272</v>
      </c>
      <c r="Z2353" s="21" t="s">
        <v>2272</v>
      </c>
      <c r="AA2353" s="21" t="s">
        <v>2272</v>
      </c>
      <c r="AB2353" s="198"/>
      <c r="AC2353" s="198"/>
    </row>
    <row r="2354" spans="1:29" s="197" customFormat="1" ht="46" customHeight="1">
      <c r="A2354" s="151" t="str">
        <f>'Reported burning'!A2354</f>
        <v>272d</v>
      </c>
      <c r="B2354" s="151" t="str">
        <f>'Reported burning'!B2354</f>
        <v>272d.8</v>
      </c>
      <c r="C2354" s="151" t="str">
        <f>'Reported burning'!C2354</f>
        <v>Lightning</v>
      </c>
      <c r="D2354" s="151" t="str">
        <f>'Reported burning'!D2354</f>
        <v>ND</v>
      </c>
      <c r="E2354" s="151" t="str">
        <f>'Reported burning'!E2354</f>
        <v>Mixed cropping-livestock small holder, Market-oriented</v>
      </c>
      <c r="F2354" s="151" t="str">
        <f>'Reported burning'!F2354</f>
        <v>ND</v>
      </c>
      <c r="G2354" s="151" t="str">
        <f>'Reported burning'!G2354</f>
        <v>Forest</v>
      </c>
      <c r="H2354" s="151" t="str">
        <f>'Reported burning'!H2354</f>
        <v>Presence</v>
      </c>
      <c r="I2354" s="5"/>
      <c r="J2354" s="21" t="s">
        <v>2361</v>
      </c>
      <c r="K2354" s="21" t="s">
        <v>2272</v>
      </c>
      <c r="L2354" s="21" t="s">
        <v>2272</v>
      </c>
      <c r="M2354" s="21" t="s">
        <v>2272</v>
      </c>
      <c r="N2354" s="21" t="s">
        <v>2272</v>
      </c>
      <c r="O2354" s="21" t="s">
        <v>2272</v>
      </c>
      <c r="P2354" s="21" t="s">
        <v>2272</v>
      </c>
      <c r="Q2354" s="21" t="s">
        <v>2272</v>
      </c>
      <c r="R2354" s="21" t="s">
        <v>2272</v>
      </c>
      <c r="S2354" s="21" t="s">
        <v>2272</v>
      </c>
      <c r="T2354" s="21" t="s">
        <v>2272</v>
      </c>
      <c r="U2354" s="21" t="s">
        <v>2272</v>
      </c>
      <c r="V2354" s="21" t="s">
        <v>2272</v>
      </c>
      <c r="W2354" s="21" t="s">
        <v>2272</v>
      </c>
      <c r="X2354" s="21" t="s">
        <v>2272</v>
      </c>
      <c r="Y2354" s="21" t="s">
        <v>2272</v>
      </c>
      <c r="Z2354" s="21" t="s">
        <v>2272</v>
      </c>
      <c r="AA2354" s="21" t="s">
        <v>2272</v>
      </c>
      <c r="AB2354" s="198"/>
      <c r="AC2354" s="198"/>
    </row>
    <row r="2355" spans="1:29" s="197" customFormat="1" ht="46" customHeight="1">
      <c r="A2355" s="151" t="str">
        <f>'Reported burning'!A2355</f>
        <v>272d</v>
      </c>
      <c r="B2355" s="151" t="str">
        <f>'Reported burning'!B2355</f>
        <v>272d.9</v>
      </c>
      <c r="C2355" s="151" t="str">
        <f>'Reported burning'!C2355</f>
        <v>Unknown</v>
      </c>
      <c r="D2355" s="151" t="str">
        <f>'Reported burning'!D2355</f>
        <v>ND</v>
      </c>
      <c r="E2355" s="151" t="str">
        <f>'Reported burning'!E2355</f>
        <v>ND</v>
      </c>
      <c r="F2355" s="151" t="str">
        <f>'Reported burning'!F2355</f>
        <v>ND</v>
      </c>
      <c r="G2355" s="151" t="str">
        <f>'Reported burning'!G2355</f>
        <v>Forest</v>
      </c>
      <c r="H2355" s="151" t="str">
        <f>'Reported burning'!H2355</f>
        <v>Presence</v>
      </c>
      <c r="I2355" s="5"/>
      <c r="J2355" s="21" t="s">
        <v>2364</v>
      </c>
      <c r="K2355" s="21" t="s">
        <v>2272</v>
      </c>
      <c r="L2355" s="21" t="s">
        <v>2272</v>
      </c>
      <c r="M2355" s="21" t="s">
        <v>2272</v>
      </c>
      <c r="N2355" s="21" t="s">
        <v>2272</v>
      </c>
      <c r="O2355" s="21" t="s">
        <v>2272</v>
      </c>
      <c r="P2355" s="21" t="s">
        <v>2272</v>
      </c>
      <c r="Q2355" s="21" t="s">
        <v>2272</v>
      </c>
      <c r="R2355" s="21" t="s">
        <v>2272</v>
      </c>
      <c r="S2355" s="21" t="s">
        <v>2272</v>
      </c>
      <c r="T2355" s="21" t="s">
        <v>2272</v>
      </c>
      <c r="U2355" s="21" t="s">
        <v>2272</v>
      </c>
      <c r="V2355" s="21" t="s">
        <v>2272</v>
      </c>
      <c r="W2355" s="21" t="s">
        <v>2272</v>
      </c>
      <c r="X2355" s="21" t="s">
        <v>2272</v>
      </c>
      <c r="Y2355" s="21" t="s">
        <v>2272</v>
      </c>
      <c r="Z2355" s="21" t="s">
        <v>2272</v>
      </c>
      <c r="AA2355" s="21" t="s">
        <v>2272</v>
      </c>
      <c r="AB2355" s="198"/>
      <c r="AC2355" s="198"/>
    </row>
    <row r="2356" spans="1:29" s="197" customFormat="1" ht="46" customHeight="1">
      <c r="A2356" s="151" t="str">
        <f>'Reported burning'!A2356</f>
        <v>272e</v>
      </c>
      <c r="B2356" s="151" t="str">
        <f>'Reported burning'!B2356</f>
        <v>272e.1</v>
      </c>
      <c r="C2356" s="151" t="str">
        <f>'Reported burning'!C2356</f>
        <v>All</v>
      </c>
      <c r="D2356" s="151" t="str">
        <f>'Reported burning'!D2356</f>
        <v>All</v>
      </c>
      <c r="E2356" s="151" t="str">
        <f>'Reported burning'!E2356</f>
        <v>All</v>
      </c>
      <c r="F2356" s="151" t="str">
        <f>'Reported burning'!F2356</f>
        <v>ND</v>
      </c>
      <c r="G2356" s="151" t="str">
        <f>'Reported burning'!G2356</f>
        <v>Forest</v>
      </c>
      <c r="H2356" s="151" t="str">
        <f>'Reported burning'!H2356</f>
        <v>Presence</v>
      </c>
      <c r="I2356" s="5"/>
      <c r="J2356" s="21" t="s">
        <v>2272</v>
      </c>
      <c r="K2356" s="21" t="s">
        <v>2272</v>
      </c>
      <c r="L2356" s="21" t="s">
        <v>2272</v>
      </c>
      <c r="M2356" s="21" t="s">
        <v>2272</v>
      </c>
      <c r="N2356" s="21" t="s">
        <v>2272</v>
      </c>
      <c r="O2356" s="21" t="s">
        <v>2272</v>
      </c>
      <c r="P2356" s="21" t="s">
        <v>2272</v>
      </c>
      <c r="Q2356" s="21" t="s">
        <v>2272</v>
      </c>
      <c r="R2356" s="21" t="s">
        <v>2272</v>
      </c>
      <c r="S2356" s="21" t="s">
        <v>2272</v>
      </c>
      <c r="T2356" s="21" t="s">
        <v>2272</v>
      </c>
      <c r="U2356" s="21" t="s">
        <v>2272</v>
      </c>
      <c r="V2356" s="21" t="s">
        <v>2272</v>
      </c>
      <c r="W2356" s="4" t="s">
        <v>2522</v>
      </c>
      <c r="X2356" s="21" t="s">
        <v>2272</v>
      </c>
      <c r="Y2356" s="21" t="s">
        <v>2272</v>
      </c>
      <c r="Z2356" s="21" t="s">
        <v>2272</v>
      </c>
      <c r="AA2356" s="21" t="s">
        <v>2272</v>
      </c>
      <c r="AB2356" s="198"/>
      <c r="AC2356" s="198"/>
    </row>
    <row r="2357" spans="1:29" s="197" customFormat="1" ht="46" customHeight="1">
      <c r="A2357" s="151" t="str">
        <f>'Reported burning'!A2357</f>
        <v>272e</v>
      </c>
      <c r="B2357" s="151" t="str">
        <f>'Reported burning'!B2357</f>
        <v>272e.2</v>
      </c>
      <c r="C2357" s="151" t="str">
        <f>'Reported burning'!C2357</f>
        <v>Human, deliberate</v>
      </c>
      <c r="D2357" s="151" t="str">
        <f>'Reported burning'!D2357</f>
        <v>ND</v>
      </c>
      <c r="E2357" s="151" t="str">
        <f>'Reported burning'!E2357</f>
        <v>Forestry, Industrial</v>
      </c>
      <c r="F2357" s="151" t="str">
        <f>'Reported burning'!F2357</f>
        <v>Forest</v>
      </c>
      <c r="G2357" s="151" t="str">
        <f>'Reported burning'!G2357</f>
        <v>Forest</v>
      </c>
      <c r="H2357" s="151" t="str">
        <f>'Reported burning'!H2357</f>
        <v>Presence</v>
      </c>
      <c r="I2357" s="5"/>
      <c r="J2357" s="21" t="s">
        <v>2272</v>
      </c>
      <c r="K2357" s="21" t="s">
        <v>2272</v>
      </c>
      <c r="L2357" s="21" t="s">
        <v>2272</v>
      </c>
      <c r="M2357" s="21" t="s">
        <v>2272</v>
      </c>
      <c r="N2357" s="21" t="s">
        <v>2272</v>
      </c>
      <c r="O2357" s="21" t="s">
        <v>2272</v>
      </c>
      <c r="P2357" s="21" t="s">
        <v>2272</v>
      </c>
      <c r="Q2357" s="21" t="s">
        <v>2272</v>
      </c>
      <c r="R2357" s="21" t="s">
        <v>2272</v>
      </c>
      <c r="S2357" s="21" t="s">
        <v>2272</v>
      </c>
      <c r="T2357" s="21" t="s">
        <v>2272</v>
      </c>
      <c r="U2357" s="21" t="s">
        <v>2272</v>
      </c>
      <c r="V2357" s="21" t="s">
        <v>2272</v>
      </c>
      <c r="W2357" s="21" t="s">
        <v>2272</v>
      </c>
      <c r="X2357" s="21" t="s">
        <v>2272</v>
      </c>
      <c r="Y2357" s="21" t="s">
        <v>2272</v>
      </c>
      <c r="Z2357" s="21" t="s">
        <v>2272</v>
      </c>
      <c r="AA2357" s="21" t="s">
        <v>2272</v>
      </c>
      <c r="AB2357" s="198"/>
      <c r="AC2357" s="198"/>
    </row>
    <row r="2358" spans="1:29" s="197" customFormat="1" ht="46" customHeight="1">
      <c r="A2358" s="151" t="str">
        <f>'Reported burning'!A2358</f>
        <v>272e</v>
      </c>
      <c r="B2358" s="151" t="str">
        <f>'Reported burning'!B2358</f>
        <v>272e.3</v>
      </c>
      <c r="C2358" s="151" t="str">
        <f>'Reported burning'!C2358</f>
        <v>Human, deliberate</v>
      </c>
      <c r="D2358" s="151" t="str">
        <f>'Reported burning'!D2358</f>
        <v>ND</v>
      </c>
      <c r="E2358" s="151" t="str">
        <f>'Reported burning'!E2358</f>
        <v>Mixed cropping-livestock small holder, Market-oriented</v>
      </c>
      <c r="F2358" s="151" t="str">
        <f>'Reported burning'!F2358</f>
        <v>Forest</v>
      </c>
      <c r="G2358" s="151" t="str">
        <f>'Reported burning'!G2358</f>
        <v>Forest</v>
      </c>
      <c r="H2358" s="151" t="str">
        <f>'Reported burning'!H2358</f>
        <v>Presence</v>
      </c>
      <c r="I2358" s="5"/>
      <c r="J2358" s="21" t="s">
        <v>2272</v>
      </c>
      <c r="K2358" s="21" t="s">
        <v>2272</v>
      </c>
      <c r="L2358" s="21" t="s">
        <v>2272</v>
      </c>
      <c r="M2358" s="21" t="s">
        <v>2272</v>
      </c>
      <c r="N2358" s="21" t="s">
        <v>2272</v>
      </c>
      <c r="O2358" s="21" t="s">
        <v>2272</v>
      </c>
      <c r="P2358" s="21" t="s">
        <v>2272</v>
      </c>
      <c r="Q2358" s="21" t="s">
        <v>2272</v>
      </c>
      <c r="R2358" s="21" t="s">
        <v>2272</v>
      </c>
      <c r="S2358" s="21" t="s">
        <v>2272</v>
      </c>
      <c r="T2358" s="21" t="s">
        <v>2272</v>
      </c>
      <c r="U2358" s="21" t="s">
        <v>2272</v>
      </c>
      <c r="V2358" s="21" t="s">
        <v>2272</v>
      </c>
      <c r="W2358" s="21" t="s">
        <v>2272</v>
      </c>
      <c r="X2358" s="21" t="s">
        <v>2272</v>
      </c>
      <c r="Y2358" s="21" t="s">
        <v>2272</v>
      </c>
      <c r="Z2358" s="21" t="s">
        <v>2272</v>
      </c>
      <c r="AA2358" s="21" t="s">
        <v>2272</v>
      </c>
      <c r="AB2358" s="198"/>
      <c r="AC2358" s="198"/>
    </row>
    <row r="2359" spans="1:29" s="197" customFormat="1" ht="46" customHeight="1">
      <c r="A2359" s="151" t="str">
        <f>'Reported burning'!A2359</f>
        <v>272e</v>
      </c>
      <c r="B2359" s="151" t="str">
        <f>'Reported burning'!B2359</f>
        <v>272e.4</v>
      </c>
      <c r="C2359" s="151" t="str">
        <f>'Reported burning'!C2359</f>
        <v>Human, escaped</v>
      </c>
      <c r="D2359" s="151" t="str">
        <f>'Reported burning'!D2359</f>
        <v>ND</v>
      </c>
      <c r="E2359" s="151" t="str">
        <f>'Reported burning'!E2359</f>
        <v>Mixed cropping-livestock small holder, Market-oriented</v>
      </c>
      <c r="F2359" s="151" t="str">
        <f>'Reported burning'!F2359</f>
        <v>ND</v>
      </c>
      <c r="G2359" s="151" t="str">
        <f>'Reported burning'!G2359</f>
        <v>Forest</v>
      </c>
      <c r="H2359" s="151" t="str">
        <f>'Reported burning'!H2359</f>
        <v>Presence</v>
      </c>
      <c r="I2359" s="5"/>
      <c r="J2359" s="21" t="s">
        <v>2272</v>
      </c>
      <c r="K2359" s="21" t="s">
        <v>2272</v>
      </c>
      <c r="L2359" s="21" t="s">
        <v>2272</v>
      </c>
      <c r="M2359" s="21" t="s">
        <v>2272</v>
      </c>
      <c r="N2359" s="21" t="s">
        <v>2272</v>
      </c>
      <c r="O2359" s="21" t="s">
        <v>2272</v>
      </c>
      <c r="P2359" s="21" t="s">
        <v>2272</v>
      </c>
      <c r="Q2359" s="21" t="s">
        <v>2272</v>
      </c>
      <c r="R2359" s="21" t="s">
        <v>2272</v>
      </c>
      <c r="S2359" s="21" t="s">
        <v>2272</v>
      </c>
      <c r="T2359" s="21" t="s">
        <v>2272</v>
      </c>
      <c r="U2359" s="21" t="s">
        <v>2272</v>
      </c>
      <c r="V2359" s="21" t="s">
        <v>2272</v>
      </c>
      <c r="W2359" s="21" t="s">
        <v>2272</v>
      </c>
      <c r="X2359" s="21" t="s">
        <v>2272</v>
      </c>
      <c r="Y2359" s="21" t="s">
        <v>2272</v>
      </c>
      <c r="Z2359" s="21" t="s">
        <v>2272</v>
      </c>
      <c r="AA2359" s="21" t="s">
        <v>2272</v>
      </c>
      <c r="AB2359" s="198"/>
      <c r="AC2359" s="198"/>
    </row>
    <row r="2360" spans="1:29" s="197" customFormat="1" ht="46" customHeight="1">
      <c r="A2360" s="151" t="str">
        <f>'Reported burning'!A2360</f>
        <v>272e</v>
      </c>
      <c r="B2360" s="151" t="str">
        <f>'Reported burning'!B2360</f>
        <v>272e.5</v>
      </c>
      <c r="C2360" s="151" t="str">
        <f>'Reported burning'!C2360</f>
        <v>Human, escaped</v>
      </c>
      <c r="D2360" s="151" t="str">
        <f>'Reported burning'!D2360</f>
        <v>ND</v>
      </c>
      <c r="E2360" s="151" t="str">
        <f>'Reported burning'!E2360</f>
        <v>Forestry, Industrial</v>
      </c>
      <c r="F2360" s="151" t="str">
        <f>'Reported burning'!F2360</f>
        <v>Shrubland (Mixed forest &amp; grassland)</v>
      </c>
      <c r="G2360" s="151" t="str">
        <f>'Reported burning'!G2360</f>
        <v>Forest</v>
      </c>
      <c r="H2360" s="151" t="str">
        <f>'Reported burning'!H2360</f>
        <v>Presence</v>
      </c>
      <c r="I2360" s="5"/>
      <c r="J2360" s="21" t="s">
        <v>2272</v>
      </c>
      <c r="K2360" s="21" t="s">
        <v>2272</v>
      </c>
      <c r="L2360" s="21" t="s">
        <v>2272</v>
      </c>
      <c r="M2360" s="21" t="s">
        <v>2272</v>
      </c>
      <c r="N2360" s="21" t="s">
        <v>2272</v>
      </c>
      <c r="O2360" s="21" t="s">
        <v>2272</v>
      </c>
      <c r="P2360" s="21" t="s">
        <v>2272</v>
      </c>
      <c r="Q2360" s="21" t="s">
        <v>2272</v>
      </c>
      <c r="R2360" s="21" t="s">
        <v>2272</v>
      </c>
      <c r="S2360" s="21" t="s">
        <v>2272</v>
      </c>
      <c r="T2360" s="21" t="s">
        <v>2272</v>
      </c>
      <c r="U2360" s="21" t="s">
        <v>2272</v>
      </c>
      <c r="V2360" s="21" t="s">
        <v>2272</v>
      </c>
      <c r="W2360" s="21" t="s">
        <v>2272</v>
      </c>
      <c r="X2360" s="21" t="s">
        <v>2272</v>
      </c>
      <c r="Y2360" s="21" t="s">
        <v>2272</v>
      </c>
      <c r="Z2360" s="21" t="s">
        <v>2272</v>
      </c>
      <c r="AA2360" s="21" t="s">
        <v>2272</v>
      </c>
      <c r="AB2360" s="198"/>
      <c r="AC2360" s="198"/>
    </row>
    <row r="2361" spans="1:29" s="197" customFormat="1" ht="46" customHeight="1">
      <c r="A2361" s="151" t="str">
        <f>'Reported burning'!A2361</f>
        <v>272e</v>
      </c>
      <c r="B2361" s="151" t="str">
        <f>'Reported burning'!B2361</f>
        <v>272e.6</v>
      </c>
      <c r="C2361" s="151" t="str">
        <f>'Reported burning'!C2361</f>
        <v>Human, deliberate</v>
      </c>
      <c r="D2361" s="151" t="str">
        <f>'Reported burning'!D2361</f>
        <v>Arson</v>
      </c>
      <c r="E2361" s="151" t="str">
        <f>'Reported burning'!E2361</f>
        <v>Mixed cropping-livestock small holder, Market-oriented</v>
      </c>
      <c r="F2361" s="151" t="str">
        <f>'Reported burning'!F2361</f>
        <v>Plantation forest</v>
      </c>
      <c r="G2361" s="151" t="str">
        <f>'Reported burning'!G2361</f>
        <v>Plantation forest</v>
      </c>
      <c r="H2361" s="151" t="str">
        <f>'Reported burning'!H2361</f>
        <v>Presence</v>
      </c>
      <c r="I2361" s="5"/>
      <c r="J2361" s="21" t="s">
        <v>2272</v>
      </c>
      <c r="K2361" s="21" t="s">
        <v>2272</v>
      </c>
      <c r="L2361" s="21" t="s">
        <v>2272</v>
      </c>
      <c r="M2361" s="21" t="s">
        <v>2272</v>
      </c>
      <c r="N2361" s="21" t="s">
        <v>2272</v>
      </c>
      <c r="O2361" s="21" t="s">
        <v>2272</v>
      </c>
      <c r="P2361" s="21" t="s">
        <v>2272</v>
      </c>
      <c r="Q2361" s="21" t="s">
        <v>2272</v>
      </c>
      <c r="R2361" s="21" t="s">
        <v>2272</v>
      </c>
      <c r="S2361" s="21" t="s">
        <v>2272</v>
      </c>
      <c r="T2361" s="21" t="s">
        <v>2272</v>
      </c>
      <c r="U2361" s="21" t="s">
        <v>2272</v>
      </c>
      <c r="V2361" s="21" t="s">
        <v>2272</v>
      </c>
      <c r="W2361" s="21" t="s">
        <v>2272</v>
      </c>
      <c r="X2361" s="21" t="s">
        <v>2272</v>
      </c>
      <c r="Y2361" s="21" t="s">
        <v>2272</v>
      </c>
      <c r="Z2361" s="21" t="s">
        <v>2272</v>
      </c>
      <c r="AA2361" s="21" t="s">
        <v>2272</v>
      </c>
      <c r="AB2361" s="198"/>
      <c r="AC2361" s="198"/>
    </row>
    <row r="2362" spans="1:29" s="197" customFormat="1" ht="46" customHeight="1">
      <c r="A2362" s="151" t="str">
        <f>'Reported burning'!A2362</f>
        <v>272e</v>
      </c>
      <c r="B2362" s="151" t="str">
        <f>'Reported burning'!B2362</f>
        <v>272e.7</v>
      </c>
      <c r="C2362" s="151" t="str">
        <f>'Reported burning'!C2362</f>
        <v>Human, accidental</v>
      </c>
      <c r="D2362" s="151" t="str">
        <f>'Reported burning'!D2362</f>
        <v>Accidental</v>
      </c>
      <c r="E2362" s="151" t="str">
        <f>'Reported burning'!E2362</f>
        <v>ND</v>
      </c>
      <c r="F2362" s="151" t="str">
        <f>'Reported burning'!F2362</f>
        <v>ND</v>
      </c>
      <c r="G2362" s="151" t="str">
        <f>'Reported burning'!G2362</f>
        <v>Forest</v>
      </c>
      <c r="H2362" s="151" t="str">
        <f>'Reported burning'!H2362</f>
        <v>Presence</v>
      </c>
      <c r="I2362" s="5"/>
      <c r="J2362" s="21" t="s">
        <v>2272</v>
      </c>
      <c r="K2362" s="21" t="s">
        <v>2272</v>
      </c>
      <c r="L2362" s="21" t="s">
        <v>2272</v>
      </c>
      <c r="M2362" s="21" t="s">
        <v>2272</v>
      </c>
      <c r="N2362" s="21" t="s">
        <v>2272</v>
      </c>
      <c r="O2362" s="21" t="s">
        <v>2272</v>
      </c>
      <c r="P2362" s="21" t="s">
        <v>2272</v>
      </c>
      <c r="Q2362" s="21" t="s">
        <v>2272</v>
      </c>
      <c r="R2362" s="21" t="s">
        <v>2272</v>
      </c>
      <c r="S2362" s="21" t="s">
        <v>2272</v>
      </c>
      <c r="T2362" s="21" t="s">
        <v>2272</v>
      </c>
      <c r="U2362" s="21" t="s">
        <v>2272</v>
      </c>
      <c r="V2362" s="21" t="s">
        <v>2272</v>
      </c>
      <c r="W2362" s="21" t="s">
        <v>2272</v>
      </c>
      <c r="X2362" s="21" t="s">
        <v>2272</v>
      </c>
      <c r="Y2362" s="21" t="s">
        <v>2272</v>
      </c>
      <c r="Z2362" s="21" t="s">
        <v>2272</v>
      </c>
      <c r="AA2362" s="21" t="s">
        <v>2272</v>
      </c>
      <c r="AB2362" s="198"/>
      <c r="AC2362" s="198"/>
    </row>
    <row r="2363" spans="1:29" s="197" customFormat="1" ht="46" customHeight="1">
      <c r="A2363" s="151" t="str">
        <f>'Reported burning'!A2363</f>
        <v>272e</v>
      </c>
      <c r="B2363" s="151" t="str">
        <f>'Reported burning'!B2363</f>
        <v>272e.8</v>
      </c>
      <c r="C2363" s="151" t="str">
        <f>'Reported burning'!C2363</f>
        <v>Lightning</v>
      </c>
      <c r="D2363" s="151" t="str">
        <f>'Reported burning'!D2363</f>
        <v>ND</v>
      </c>
      <c r="E2363" s="151" t="str">
        <f>'Reported burning'!E2363</f>
        <v>Mixed cropping-livestock small holder, Market-oriented</v>
      </c>
      <c r="F2363" s="151" t="str">
        <f>'Reported burning'!F2363</f>
        <v>ND</v>
      </c>
      <c r="G2363" s="151" t="str">
        <f>'Reported burning'!G2363</f>
        <v>Forest</v>
      </c>
      <c r="H2363" s="151" t="str">
        <f>'Reported burning'!H2363</f>
        <v>Presence</v>
      </c>
      <c r="I2363" s="5"/>
      <c r="J2363" s="21" t="s">
        <v>2272</v>
      </c>
      <c r="K2363" s="21" t="s">
        <v>2272</v>
      </c>
      <c r="L2363" s="21" t="s">
        <v>2272</v>
      </c>
      <c r="M2363" s="21" t="s">
        <v>2272</v>
      </c>
      <c r="N2363" s="21" t="s">
        <v>2272</v>
      </c>
      <c r="O2363" s="21" t="s">
        <v>2272</v>
      </c>
      <c r="P2363" s="21" t="s">
        <v>2272</v>
      </c>
      <c r="Q2363" s="21" t="s">
        <v>2272</v>
      </c>
      <c r="R2363" s="21" t="s">
        <v>2272</v>
      </c>
      <c r="S2363" s="21" t="s">
        <v>2272</v>
      </c>
      <c r="T2363" s="21" t="s">
        <v>2272</v>
      </c>
      <c r="U2363" s="21" t="s">
        <v>2272</v>
      </c>
      <c r="V2363" s="21" t="s">
        <v>2272</v>
      </c>
      <c r="W2363" s="21" t="s">
        <v>2272</v>
      </c>
      <c r="X2363" s="21" t="s">
        <v>2272</v>
      </c>
      <c r="Y2363" s="21" t="s">
        <v>2272</v>
      </c>
      <c r="Z2363" s="21" t="s">
        <v>2272</v>
      </c>
      <c r="AA2363" s="21" t="s">
        <v>2272</v>
      </c>
      <c r="AB2363" s="198"/>
      <c r="AC2363" s="198"/>
    </row>
    <row r="2364" spans="1:29" s="197" customFormat="1" ht="46" customHeight="1">
      <c r="A2364" s="151" t="str">
        <f>'Reported burning'!A2364</f>
        <v>272e</v>
      </c>
      <c r="B2364" s="151" t="str">
        <f>'Reported burning'!B2364</f>
        <v>272e.9</v>
      </c>
      <c r="C2364" s="151" t="str">
        <f>'Reported burning'!C2364</f>
        <v>Unknown</v>
      </c>
      <c r="D2364" s="151" t="str">
        <f>'Reported burning'!D2364</f>
        <v>ND</v>
      </c>
      <c r="E2364" s="151" t="str">
        <f>'Reported burning'!E2364</f>
        <v>ND</v>
      </c>
      <c r="F2364" s="151" t="str">
        <f>'Reported burning'!F2364</f>
        <v>ND</v>
      </c>
      <c r="G2364" s="151" t="str">
        <f>'Reported burning'!G2364</f>
        <v>Forest</v>
      </c>
      <c r="H2364" s="151" t="str">
        <f>'Reported burning'!H2364</f>
        <v>Presence</v>
      </c>
      <c r="I2364" s="5"/>
      <c r="J2364" s="21" t="s">
        <v>2272</v>
      </c>
      <c r="K2364" s="21" t="s">
        <v>2272</v>
      </c>
      <c r="L2364" s="21" t="s">
        <v>2272</v>
      </c>
      <c r="M2364" s="21" t="s">
        <v>2272</v>
      </c>
      <c r="N2364" s="21" t="s">
        <v>2272</v>
      </c>
      <c r="O2364" s="21" t="s">
        <v>2272</v>
      </c>
      <c r="P2364" s="21" t="s">
        <v>2272</v>
      </c>
      <c r="Q2364" s="21" t="s">
        <v>2272</v>
      </c>
      <c r="R2364" s="21" t="s">
        <v>2272</v>
      </c>
      <c r="S2364" s="21" t="s">
        <v>2272</v>
      </c>
      <c r="T2364" s="21" t="s">
        <v>2272</v>
      </c>
      <c r="U2364" s="21" t="s">
        <v>2272</v>
      </c>
      <c r="V2364" s="21" t="s">
        <v>2272</v>
      </c>
      <c r="W2364" s="21" t="s">
        <v>2272</v>
      </c>
      <c r="X2364" s="21" t="s">
        <v>2272</v>
      </c>
      <c r="Y2364" s="21" t="s">
        <v>2272</v>
      </c>
      <c r="Z2364" s="21" t="s">
        <v>2272</v>
      </c>
      <c r="AA2364" s="21" t="s">
        <v>2272</v>
      </c>
      <c r="AB2364" s="198"/>
      <c r="AC2364" s="198"/>
    </row>
    <row r="2365" spans="1:29" s="197" customFormat="1" ht="46" customHeight="1">
      <c r="A2365" s="151" t="str">
        <f>'Reported burning'!A2365</f>
        <v>272f</v>
      </c>
      <c r="B2365" s="151" t="str">
        <f>'Reported burning'!B2365</f>
        <v>272f.1</v>
      </c>
      <c r="C2365" s="151" t="str">
        <f>'Reported burning'!C2365</f>
        <v>All</v>
      </c>
      <c r="D2365" s="151" t="str">
        <f>'Reported burning'!D2365</f>
        <v>All</v>
      </c>
      <c r="E2365" s="151" t="str">
        <f>'Reported burning'!E2365</f>
        <v>All</v>
      </c>
      <c r="F2365" s="151" t="str">
        <f>'Reported burning'!F2365</f>
        <v>ND</v>
      </c>
      <c r="G2365" s="151" t="str">
        <f>'Reported burning'!G2365</f>
        <v>Forest</v>
      </c>
      <c r="H2365" s="151" t="str">
        <f>'Reported burning'!H2365</f>
        <v>Presence</v>
      </c>
      <c r="I2365" s="5"/>
      <c r="J2365" s="21" t="s">
        <v>2272</v>
      </c>
      <c r="K2365" s="21" t="s">
        <v>2272</v>
      </c>
      <c r="L2365" s="21" t="s">
        <v>2272</v>
      </c>
      <c r="M2365" s="21" t="s">
        <v>2272</v>
      </c>
      <c r="N2365" s="21" t="s">
        <v>2272</v>
      </c>
      <c r="O2365" s="21" t="s">
        <v>2272</v>
      </c>
      <c r="P2365" s="21" t="s">
        <v>2272</v>
      </c>
      <c r="Q2365" s="21" t="s">
        <v>2272</v>
      </c>
      <c r="R2365" s="21" t="s">
        <v>2272</v>
      </c>
      <c r="S2365" s="21" t="s">
        <v>2272</v>
      </c>
      <c r="T2365" s="21" t="s">
        <v>2272</v>
      </c>
      <c r="U2365" s="21" t="s">
        <v>2272</v>
      </c>
      <c r="V2365" s="21" t="s">
        <v>2272</v>
      </c>
      <c r="W2365" s="4" t="s">
        <v>2522</v>
      </c>
      <c r="X2365" s="21" t="s">
        <v>2272</v>
      </c>
      <c r="Y2365" s="21" t="s">
        <v>2272</v>
      </c>
      <c r="Z2365" s="21" t="s">
        <v>2272</v>
      </c>
      <c r="AA2365" s="21" t="s">
        <v>2272</v>
      </c>
      <c r="AB2365" s="198"/>
      <c r="AC2365" s="198"/>
    </row>
    <row r="2366" spans="1:29" s="197" customFormat="1" ht="46" customHeight="1">
      <c r="A2366" s="151" t="str">
        <f>'Reported burning'!A2366</f>
        <v>272f</v>
      </c>
      <c r="B2366" s="151" t="str">
        <f>'Reported burning'!B2366</f>
        <v>272f.2</v>
      </c>
      <c r="C2366" s="151" t="str">
        <f>'Reported burning'!C2366</f>
        <v>Human, deliberate</v>
      </c>
      <c r="D2366" s="151" t="str">
        <f>'Reported burning'!D2366</f>
        <v>ND</v>
      </c>
      <c r="E2366" s="151" t="str">
        <f>'Reported burning'!E2366</f>
        <v>Forestry, Industrial</v>
      </c>
      <c r="F2366" s="151" t="str">
        <f>'Reported burning'!F2366</f>
        <v>Forest</v>
      </c>
      <c r="G2366" s="151" t="str">
        <f>'Reported burning'!G2366</f>
        <v>Forest</v>
      </c>
      <c r="H2366" s="151" t="str">
        <f>'Reported burning'!H2366</f>
        <v>Presence</v>
      </c>
      <c r="I2366" s="5"/>
      <c r="J2366" s="21" t="s">
        <v>2272</v>
      </c>
      <c r="K2366" s="21" t="s">
        <v>2272</v>
      </c>
      <c r="L2366" s="21" t="s">
        <v>2272</v>
      </c>
      <c r="M2366" s="21" t="s">
        <v>2272</v>
      </c>
      <c r="N2366" s="21" t="s">
        <v>2272</v>
      </c>
      <c r="O2366" s="21" t="s">
        <v>2272</v>
      </c>
      <c r="P2366" s="21" t="s">
        <v>2272</v>
      </c>
      <c r="Q2366" s="21" t="s">
        <v>2272</v>
      </c>
      <c r="R2366" s="21" t="s">
        <v>2272</v>
      </c>
      <c r="S2366" s="21" t="s">
        <v>2272</v>
      </c>
      <c r="T2366" s="21" t="s">
        <v>2272</v>
      </c>
      <c r="U2366" s="21" t="s">
        <v>2272</v>
      </c>
      <c r="V2366" s="21" t="s">
        <v>2272</v>
      </c>
      <c r="W2366" s="21" t="s">
        <v>2272</v>
      </c>
      <c r="X2366" s="21" t="s">
        <v>2272</v>
      </c>
      <c r="Y2366" s="21" t="s">
        <v>2272</v>
      </c>
      <c r="Z2366" s="21" t="s">
        <v>2272</v>
      </c>
      <c r="AA2366" s="21" t="s">
        <v>2272</v>
      </c>
      <c r="AB2366" s="198"/>
      <c r="AC2366" s="198"/>
    </row>
    <row r="2367" spans="1:29" s="197" customFormat="1" ht="46" customHeight="1">
      <c r="A2367" s="151" t="str">
        <f>'Reported burning'!A2367</f>
        <v>272f</v>
      </c>
      <c r="B2367" s="151" t="str">
        <f>'Reported burning'!B2367</f>
        <v>272f.3</v>
      </c>
      <c r="C2367" s="151" t="str">
        <f>'Reported burning'!C2367</f>
        <v>Human, deliberate</v>
      </c>
      <c r="D2367" s="151" t="str">
        <f>'Reported burning'!D2367</f>
        <v>ND</v>
      </c>
      <c r="E2367" s="151" t="str">
        <f>'Reported burning'!E2367</f>
        <v>Mixed cropping-livestock small holder, Market-oriented</v>
      </c>
      <c r="F2367" s="151" t="str">
        <f>'Reported burning'!F2367</f>
        <v>Forest</v>
      </c>
      <c r="G2367" s="151" t="str">
        <f>'Reported burning'!G2367</f>
        <v>Forest</v>
      </c>
      <c r="H2367" s="151" t="str">
        <f>'Reported burning'!H2367</f>
        <v>Presence</v>
      </c>
      <c r="I2367" s="5"/>
      <c r="J2367" s="21" t="s">
        <v>2272</v>
      </c>
      <c r="K2367" s="21" t="s">
        <v>2272</v>
      </c>
      <c r="L2367" s="21" t="s">
        <v>2272</v>
      </c>
      <c r="M2367" s="21" t="s">
        <v>2272</v>
      </c>
      <c r="N2367" s="21" t="s">
        <v>2272</v>
      </c>
      <c r="O2367" s="21" t="s">
        <v>2272</v>
      </c>
      <c r="P2367" s="21" t="s">
        <v>2272</v>
      </c>
      <c r="Q2367" s="21" t="s">
        <v>2272</v>
      </c>
      <c r="R2367" s="21" t="s">
        <v>2272</v>
      </c>
      <c r="S2367" s="21" t="s">
        <v>2272</v>
      </c>
      <c r="T2367" s="21" t="s">
        <v>2272</v>
      </c>
      <c r="U2367" s="21" t="s">
        <v>2272</v>
      </c>
      <c r="V2367" s="21" t="s">
        <v>2272</v>
      </c>
      <c r="W2367" s="21" t="s">
        <v>2272</v>
      </c>
      <c r="X2367" s="21" t="s">
        <v>2272</v>
      </c>
      <c r="Y2367" s="21" t="s">
        <v>2272</v>
      </c>
      <c r="Z2367" s="21" t="s">
        <v>2272</v>
      </c>
      <c r="AA2367" s="21" t="s">
        <v>2272</v>
      </c>
      <c r="AB2367" s="198"/>
      <c r="AC2367" s="198"/>
    </row>
    <row r="2368" spans="1:29" s="197" customFormat="1" ht="46" customHeight="1">
      <c r="A2368" s="151" t="str">
        <f>'Reported burning'!A2368</f>
        <v>272f</v>
      </c>
      <c r="B2368" s="151" t="str">
        <f>'Reported burning'!B2368</f>
        <v>272f.4</v>
      </c>
      <c r="C2368" s="151" t="str">
        <f>'Reported burning'!C2368</f>
        <v>Human, escaped</v>
      </c>
      <c r="D2368" s="151" t="str">
        <f>'Reported burning'!D2368</f>
        <v>ND</v>
      </c>
      <c r="E2368" s="151" t="str">
        <f>'Reported burning'!E2368</f>
        <v>Mixed cropping-livestock small holder, Market-oriented</v>
      </c>
      <c r="F2368" s="151" t="str">
        <f>'Reported burning'!F2368</f>
        <v>ND</v>
      </c>
      <c r="G2368" s="151" t="str">
        <f>'Reported burning'!G2368</f>
        <v>Forest</v>
      </c>
      <c r="H2368" s="151" t="str">
        <f>'Reported burning'!H2368</f>
        <v>Presence</v>
      </c>
      <c r="I2368" s="5"/>
      <c r="J2368" s="21" t="s">
        <v>2272</v>
      </c>
      <c r="K2368" s="21" t="s">
        <v>2272</v>
      </c>
      <c r="L2368" s="21" t="s">
        <v>2272</v>
      </c>
      <c r="M2368" s="21" t="s">
        <v>2272</v>
      </c>
      <c r="N2368" s="21" t="s">
        <v>2272</v>
      </c>
      <c r="O2368" s="21" t="s">
        <v>2272</v>
      </c>
      <c r="P2368" s="21" t="s">
        <v>2272</v>
      </c>
      <c r="Q2368" s="21" t="s">
        <v>2272</v>
      </c>
      <c r="R2368" s="21" t="s">
        <v>2272</v>
      </c>
      <c r="S2368" s="21" t="s">
        <v>2272</v>
      </c>
      <c r="T2368" s="21" t="s">
        <v>2272</v>
      </c>
      <c r="U2368" s="21" t="s">
        <v>2272</v>
      </c>
      <c r="V2368" s="21" t="s">
        <v>2272</v>
      </c>
      <c r="W2368" s="21" t="s">
        <v>2272</v>
      </c>
      <c r="X2368" s="21" t="s">
        <v>2272</v>
      </c>
      <c r="Y2368" s="21" t="s">
        <v>2272</v>
      </c>
      <c r="Z2368" s="21" t="s">
        <v>2272</v>
      </c>
      <c r="AA2368" s="21" t="s">
        <v>2272</v>
      </c>
      <c r="AB2368" s="198"/>
      <c r="AC2368" s="198"/>
    </row>
    <row r="2369" spans="1:29" s="197" customFormat="1" ht="46" customHeight="1">
      <c r="A2369" s="151" t="str">
        <f>'Reported burning'!A2369</f>
        <v>272f</v>
      </c>
      <c r="B2369" s="151" t="str">
        <f>'Reported burning'!B2369</f>
        <v>272f.5</v>
      </c>
      <c r="C2369" s="151" t="str">
        <f>'Reported burning'!C2369</f>
        <v>Human, escaped</v>
      </c>
      <c r="D2369" s="151" t="str">
        <f>'Reported burning'!D2369</f>
        <v>ND</v>
      </c>
      <c r="E2369" s="151" t="str">
        <f>'Reported burning'!E2369</f>
        <v>Forestry, Industrial</v>
      </c>
      <c r="F2369" s="151" t="str">
        <f>'Reported burning'!F2369</f>
        <v>Shrubland (Mixed forest &amp; grassland)</v>
      </c>
      <c r="G2369" s="151" t="str">
        <f>'Reported burning'!G2369</f>
        <v>Forest</v>
      </c>
      <c r="H2369" s="151" t="str">
        <f>'Reported burning'!H2369</f>
        <v>Presence</v>
      </c>
      <c r="I2369" s="5"/>
      <c r="J2369" s="21" t="s">
        <v>2272</v>
      </c>
      <c r="K2369" s="21" t="s">
        <v>2272</v>
      </c>
      <c r="L2369" s="21" t="s">
        <v>2272</v>
      </c>
      <c r="M2369" s="21" t="s">
        <v>2272</v>
      </c>
      <c r="N2369" s="21" t="s">
        <v>2272</v>
      </c>
      <c r="O2369" s="21" t="s">
        <v>2272</v>
      </c>
      <c r="P2369" s="21" t="s">
        <v>2272</v>
      </c>
      <c r="Q2369" s="21" t="s">
        <v>2272</v>
      </c>
      <c r="R2369" s="21" t="s">
        <v>2272</v>
      </c>
      <c r="S2369" s="21" t="s">
        <v>2272</v>
      </c>
      <c r="T2369" s="21" t="s">
        <v>2272</v>
      </c>
      <c r="U2369" s="21" t="s">
        <v>2272</v>
      </c>
      <c r="V2369" s="21" t="s">
        <v>2272</v>
      </c>
      <c r="W2369" s="21" t="s">
        <v>2272</v>
      </c>
      <c r="X2369" s="21" t="s">
        <v>2272</v>
      </c>
      <c r="Y2369" s="21" t="s">
        <v>2272</v>
      </c>
      <c r="Z2369" s="21" t="s">
        <v>2272</v>
      </c>
      <c r="AA2369" s="21" t="s">
        <v>2272</v>
      </c>
      <c r="AB2369" s="198"/>
      <c r="AC2369" s="198"/>
    </row>
    <row r="2370" spans="1:29" s="197" customFormat="1" ht="46" customHeight="1">
      <c r="A2370" s="151" t="str">
        <f>'Reported burning'!A2370</f>
        <v>272f</v>
      </c>
      <c r="B2370" s="151" t="str">
        <f>'Reported burning'!B2370</f>
        <v>272f.6</v>
      </c>
      <c r="C2370" s="151" t="str">
        <f>'Reported burning'!C2370</f>
        <v>Human, deliberate</v>
      </c>
      <c r="D2370" s="151" t="str">
        <f>'Reported burning'!D2370</f>
        <v>Arson</v>
      </c>
      <c r="E2370" s="151" t="str">
        <f>'Reported burning'!E2370</f>
        <v>Mixed cropping-livestock small holder, Market-oriented</v>
      </c>
      <c r="F2370" s="151" t="str">
        <f>'Reported burning'!F2370</f>
        <v>Plantation forest</v>
      </c>
      <c r="G2370" s="151" t="str">
        <f>'Reported burning'!G2370</f>
        <v>Plantation forest</v>
      </c>
      <c r="H2370" s="151" t="str">
        <f>'Reported burning'!H2370</f>
        <v>Presence</v>
      </c>
      <c r="I2370" s="5"/>
      <c r="J2370" s="21" t="s">
        <v>2272</v>
      </c>
      <c r="K2370" s="21" t="s">
        <v>2272</v>
      </c>
      <c r="L2370" s="21" t="s">
        <v>2272</v>
      </c>
      <c r="M2370" s="21" t="s">
        <v>2272</v>
      </c>
      <c r="N2370" s="21" t="s">
        <v>2272</v>
      </c>
      <c r="O2370" s="21" t="s">
        <v>2272</v>
      </c>
      <c r="P2370" s="21" t="s">
        <v>2272</v>
      </c>
      <c r="Q2370" s="21" t="s">
        <v>2272</v>
      </c>
      <c r="R2370" s="21" t="s">
        <v>2272</v>
      </c>
      <c r="S2370" s="21" t="s">
        <v>2272</v>
      </c>
      <c r="T2370" s="21" t="s">
        <v>2272</v>
      </c>
      <c r="U2370" s="21" t="s">
        <v>2272</v>
      </c>
      <c r="V2370" s="21" t="s">
        <v>2272</v>
      </c>
      <c r="W2370" s="21" t="s">
        <v>2272</v>
      </c>
      <c r="X2370" s="21" t="s">
        <v>2272</v>
      </c>
      <c r="Y2370" s="21" t="s">
        <v>2272</v>
      </c>
      <c r="Z2370" s="21" t="s">
        <v>2272</v>
      </c>
      <c r="AA2370" s="21" t="s">
        <v>2272</v>
      </c>
      <c r="AB2370" s="198"/>
      <c r="AC2370" s="198"/>
    </row>
    <row r="2371" spans="1:29" s="197" customFormat="1" ht="46" customHeight="1">
      <c r="A2371" s="151" t="str">
        <f>'Reported burning'!A2371</f>
        <v>272f</v>
      </c>
      <c r="B2371" s="151" t="str">
        <f>'Reported burning'!B2371</f>
        <v>272f.7</v>
      </c>
      <c r="C2371" s="151" t="str">
        <f>'Reported burning'!C2371</f>
        <v>Human, accidental</v>
      </c>
      <c r="D2371" s="151" t="str">
        <f>'Reported burning'!D2371</f>
        <v>Accidental</v>
      </c>
      <c r="E2371" s="151" t="str">
        <f>'Reported burning'!E2371</f>
        <v>ND</v>
      </c>
      <c r="F2371" s="151" t="str">
        <f>'Reported burning'!F2371</f>
        <v>ND</v>
      </c>
      <c r="G2371" s="151" t="str">
        <f>'Reported burning'!G2371</f>
        <v>Forest</v>
      </c>
      <c r="H2371" s="151" t="str">
        <f>'Reported burning'!H2371</f>
        <v>Presence</v>
      </c>
      <c r="I2371" s="5"/>
      <c r="J2371" s="21" t="s">
        <v>2272</v>
      </c>
      <c r="K2371" s="21" t="s">
        <v>2272</v>
      </c>
      <c r="L2371" s="21" t="s">
        <v>2272</v>
      </c>
      <c r="M2371" s="21" t="s">
        <v>2272</v>
      </c>
      <c r="N2371" s="21" t="s">
        <v>2272</v>
      </c>
      <c r="O2371" s="21" t="s">
        <v>2272</v>
      </c>
      <c r="P2371" s="21" t="s">
        <v>2272</v>
      </c>
      <c r="Q2371" s="21" t="s">
        <v>2272</v>
      </c>
      <c r="R2371" s="21" t="s">
        <v>2272</v>
      </c>
      <c r="S2371" s="21" t="s">
        <v>2272</v>
      </c>
      <c r="T2371" s="21" t="s">
        <v>2272</v>
      </c>
      <c r="U2371" s="21" t="s">
        <v>2272</v>
      </c>
      <c r="V2371" s="21" t="s">
        <v>2272</v>
      </c>
      <c r="W2371" s="21" t="s">
        <v>2272</v>
      </c>
      <c r="X2371" s="21" t="s">
        <v>2272</v>
      </c>
      <c r="Y2371" s="21" t="s">
        <v>2272</v>
      </c>
      <c r="Z2371" s="21" t="s">
        <v>2272</v>
      </c>
      <c r="AA2371" s="21" t="s">
        <v>2272</v>
      </c>
      <c r="AB2371" s="198"/>
      <c r="AC2371" s="198"/>
    </row>
    <row r="2372" spans="1:29" s="197" customFormat="1" ht="46" customHeight="1">
      <c r="A2372" s="151" t="str">
        <f>'Reported burning'!A2372</f>
        <v>272f</v>
      </c>
      <c r="B2372" s="151" t="str">
        <f>'Reported burning'!B2372</f>
        <v>272f.8</v>
      </c>
      <c r="C2372" s="151" t="str">
        <f>'Reported burning'!C2372</f>
        <v>Lightning</v>
      </c>
      <c r="D2372" s="151" t="str">
        <f>'Reported burning'!D2372</f>
        <v>ND</v>
      </c>
      <c r="E2372" s="151" t="str">
        <f>'Reported burning'!E2372</f>
        <v>Mixed cropping-livestock small holder, Market-oriented</v>
      </c>
      <c r="F2372" s="151" t="str">
        <f>'Reported burning'!F2372</f>
        <v>ND</v>
      </c>
      <c r="G2372" s="151" t="str">
        <f>'Reported burning'!G2372</f>
        <v>Forest</v>
      </c>
      <c r="H2372" s="151" t="str">
        <f>'Reported burning'!H2372</f>
        <v>Presence</v>
      </c>
      <c r="I2372" s="5"/>
      <c r="J2372" s="21" t="s">
        <v>2272</v>
      </c>
      <c r="K2372" s="21" t="s">
        <v>2272</v>
      </c>
      <c r="L2372" s="21" t="s">
        <v>2272</v>
      </c>
      <c r="M2372" s="21" t="s">
        <v>2272</v>
      </c>
      <c r="N2372" s="21" t="s">
        <v>2272</v>
      </c>
      <c r="O2372" s="21" t="s">
        <v>2272</v>
      </c>
      <c r="P2372" s="21" t="s">
        <v>2272</v>
      </c>
      <c r="Q2372" s="21" t="s">
        <v>2272</v>
      </c>
      <c r="R2372" s="21" t="s">
        <v>2272</v>
      </c>
      <c r="S2372" s="21" t="s">
        <v>2272</v>
      </c>
      <c r="T2372" s="21" t="s">
        <v>2272</v>
      </c>
      <c r="U2372" s="21" t="s">
        <v>2272</v>
      </c>
      <c r="V2372" s="21" t="s">
        <v>2272</v>
      </c>
      <c r="W2372" s="21" t="s">
        <v>2272</v>
      </c>
      <c r="X2372" s="21" t="s">
        <v>2272</v>
      </c>
      <c r="Y2372" s="21" t="s">
        <v>2272</v>
      </c>
      <c r="Z2372" s="21" t="s">
        <v>2272</v>
      </c>
      <c r="AA2372" s="21" t="s">
        <v>2272</v>
      </c>
      <c r="AB2372" s="198"/>
      <c r="AC2372" s="198"/>
    </row>
    <row r="2373" spans="1:29" s="197" customFormat="1" ht="46" customHeight="1">
      <c r="A2373" s="151" t="str">
        <f>'Reported burning'!A2373</f>
        <v>272f</v>
      </c>
      <c r="B2373" s="151" t="str">
        <f>'Reported burning'!B2373</f>
        <v>272f.9</v>
      </c>
      <c r="C2373" s="151" t="str">
        <f>'Reported burning'!C2373</f>
        <v>Unknown</v>
      </c>
      <c r="D2373" s="151" t="str">
        <f>'Reported burning'!D2373</f>
        <v>ND</v>
      </c>
      <c r="E2373" s="151" t="str">
        <f>'Reported burning'!E2373</f>
        <v>ND</v>
      </c>
      <c r="F2373" s="151" t="str">
        <f>'Reported burning'!F2373</f>
        <v>ND</v>
      </c>
      <c r="G2373" s="151" t="str">
        <f>'Reported burning'!G2373</f>
        <v>Forest</v>
      </c>
      <c r="H2373" s="151" t="str">
        <f>'Reported burning'!H2373</f>
        <v>Presence</v>
      </c>
      <c r="I2373" s="5"/>
      <c r="J2373" s="21" t="s">
        <v>2272</v>
      </c>
      <c r="K2373" s="21" t="s">
        <v>2272</v>
      </c>
      <c r="L2373" s="21" t="s">
        <v>2272</v>
      </c>
      <c r="M2373" s="21" t="s">
        <v>2272</v>
      </c>
      <c r="N2373" s="21" t="s">
        <v>2272</v>
      </c>
      <c r="O2373" s="21" t="s">
        <v>2272</v>
      </c>
      <c r="P2373" s="21" t="s">
        <v>2272</v>
      </c>
      <c r="Q2373" s="21" t="s">
        <v>2272</v>
      </c>
      <c r="R2373" s="21" t="s">
        <v>2272</v>
      </c>
      <c r="S2373" s="21" t="s">
        <v>2272</v>
      </c>
      <c r="T2373" s="21" t="s">
        <v>2272</v>
      </c>
      <c r="U2373" s="21" t="s">
        <v>2272</v>
      </c>
      <c r="V2373" s="21" t="s">
        <v>2272</v>
      </c>
      <c r="W2373" s="21" t="s">
        <v>2272</v>
      </c>
      <c r="X2373" s="21" t="s">
        <v>2272</v>
      </c>
      <c r="Y2373" s="21" t="s">
        <v>2272</v>
      </c>
      <c r="Z2373" s="21" t="s">
        <v>2272</v>
      </c>
      <c r="AA2373" s="21" t="s">
        <v>2272</v>
      </c>
      <c r="AB2373" s="198"/>
      <c r="AC2373" s="198"/>
    </row>
    <row r="2374" spans="1:29" s="197" customFormat="1" ht="46" customHeight="1">
      <c r="A2374" s="151" t="str">
        <f>'Reported burning'!A2374</f>
        <v>272g</v>
      </c>
      <c r="B2374" s="151" t="str">
        <f>'Reported burning'!B2374</f>
        <v>272g.1</v>
      </c>
      <c r="C2374" s="151" t="str">
        <f>'Reported burning'!C2374</f>
        <v>All</v>
      </c>
      <c r="D2374" s="151" t="str">
        <f>'Reported burning'!D2374</f>
        <v>All</v>
      </c>
      <c r="E2374" s="151" t="str">
        <f>'Reported burning'!E2374</f>
        <v>All</v>
      </c>
      <c r="F2374" s="151" t="str">
        <f>'Reported burning'!F2374</f>
        <v>ND</v>
      </c>
      <c r="G2374" s="151" t="str">
        <f>'Reported burning'!G2374</f>
        <v>Forest</v>
      </c>
      <c r="H2374" s="151" t="str">
        <f>'Reported burning'!H2374</f>
        <v>Presence</v>
      </c>
      <c r="I2374" s="5"/>
      <c r="J2374" s="21" t="s">
        <v>2365</v>
      </c>
      <c r="K2374" s="21" t="s">
        <v>2272</v>
      </c>
      <c r="L2374" s="21" t="s">
        <v>2272</v>
      </c>
      <c r="M2374" s="21" t="s">
        <v>2272</v>
      </c>
      <c r="N2374" s="21" t="s">
        <v>2272</v>
      </c>
      <c r="O2374" s="21" t="s">
        <v>2272</v>
      </c>
      <c r="P2374" s="21" t="s">
        <v>2272</v>
      </c>
      <c r="Q2374" s="21" t="s">
        <v>2272</v>
      </c>
      <c r="R2374" s="21" t="s">
        <v>2272</v>
      </c>
      <c r="S2374" s="21" t="s">
        <v>2272</v>
      </c>
      <c r="T2374" s="21" t="s">
        <v>2272</v>
      </c>
      <c r="U2374" s="21" t="s">
        <v>2272</v>
      </c>
      <c r="V2374" s="21" t="s">
        <v>2272</v>
      </c>
      <c r="W2374" s="4" t="s">
        <v>2522</v>
      </c>
      <c r="X2374" s="21" t="s">
        <v>2272</v>
      </c>
      <c r="Y2374" s="21" t="s">
        <v>2272</v>
      </c>
      <c r="Z2374" s="21" t="s">
        <v>2272</v>
      </c>
      <c r="AA2374" s="21" t="s">
        <v>2272</v>
      </c>
      <c r="AB2374" s="198"/>
      <c r="AC2374" s="198"/>
    </row>
    <row r="2375" spans="1:29" s="197" customFormat="1" ht="46" customHeight="1">
      <c r="A2375" s="151" t="str">
        <f>'Reported burning'!A2375</f>
        <v>272g</v>
      </c>
      <c r="B2375" s="151" t="str">
        <f>'Reported burning'!B2375</f>
        <v>272g.2</v>
      </c>
      <c r="C2375" s="151" t="str">
        <f>'Reported burning'!C2375</f>
        <v>Human, deliberate</v>
      </c>
      <c r="D2375" s="151" t="str">
        <f>'Reported burning'!D2375</f>
        <v>ND</v>
      </c>
      <c r="E2375" s="151" t="str">
        <f>'Reported burning'!E2375</f>
        <v>Forestry, Industrial</v>
      </c>
      <c r="F2375" s="151" t="str">
        <f>'Reported burning'!F2375</f>
        <v>Forest</v>
      </c>
      <c r="G2375" s="151" t="str">
        <f>'Reported burning'!G2375</f>
        <v>Forest</v>
      </c>
      <c r="H2375" s="151" t="str">
        <f>'Reported burning'!H2375</f>
        <v>Presence</v>
      </c>
      <c r="I2375" s="5"/>
      <c r="J2375" s="21" t="s">
        <v>2363</v>
      </c>
      <c r="K2375" s="21" t="s">
        <v>2272</v>
      </c>
      <c r="L2375" s="21" t="s">
        <v>2272</v>
      </c>
      <c r="M2375" s="21" t="s">
        <v>2272</v>
      </c>
      <c r="N2375" s="21" t="s">
        <v>2272</v>
      </c>
      <c r="O2375" s="21" t="s">
        <v>2272</v>
      </c>
      <c r="P2375" s="21" t="s">
        <v>2272</v>
      </c>
      <c r="Q2375" s="21" t="s">
        <v>2272</v>
      </c>
      <c r="R2375" s="21" t="s">
        <v>2272</v>
      </c>
      <c r="S2375" s="21" t="s">
        <v>2272</v>
      </c>
      <c r="T2375" s="21" t="s">
        <v>2272</v>
      </c>
      <c r="U2375" s="21" t="s">
        <v>2272</v>
      </c>
      <c r="V2375" s="21" t="s">
        <v>2272</v>
      </c>
      <c r="W2375" s="21" t="s">
        <v>2272</v>
      </c>
      <c r="X2375" s="21" t="s">
        <v>2272</v>
      </c>
      <c r="Y2375" s="21" t="s">
        <v>2272</v>
      </c>
      <c r="Z2375" s="21" t="s">
        <v>2272</v>
      </c>
      <c r="AA2375" s="21" t="s">
        <v>2272</v>
      </c>
      <c r="AB2375" s="198"/>
      <c r="AC2375" s="198"/>
    </row>
    <row r="2376" spans="1:29" s="197" customFormat="1" ht="46" customHeight="1">
      <c r="A2376" s="151" t="str">
        <f>'Reported burning'!A2376</f>
        <v>272g</v>
      </c>
      <c r="B2376" s="151" t="str">
        <f>'Reported burning'!B2376</f>
        <v>272g.3</v>
      </c>
      <c r="C2376" s="151" t="str">
        <f>'Reported burning'!C2376</f>
        <v>Human, deliberate</v>
      </c>
      <c r="D2376" s="151" t="str">
        <f>'Reported burning'!D2376</f>
        <v>ND</v>
      </c>
      <c r="E2376" s="151" t="str">
        <f>'Reported burning'!E2376</f>
        <v>Mixed cropping-livestock small holder, Market-oriented</v>
      </c>
      <c r="F2376" s="151" t="str">
        <f>'Reported burning'!F2376</f>
        <v>Forest</v>
      </c>
      <c r="G2376" s="151" t="str">
        <f>'Reported burning'!G2376</f>
        <v>Forest</v>
      </c>
      <c r="H2376" s="151" t="str">
        <f>'Reported burning'!H2376</f>
        <v>Presence</v>
      </c>
      <c r="I2376" s="5"/>
      <c r="J2376" s="21" t="s">
        <v>2361</v>
      </c>
      <c r="K2376" s="21" t="s">
        <v>2272</v>
      </c>
      <c r="L2376" s="21" t="s">
        <v>2272</v>
      </c>
      <c r="M2376" s="21" t="s">
        <v>2272</v>
      </c>
      <c r="N2376" s="21" t="s">
        <v>2272</v>
      </c>
      <c r="O2376" s="21" t="s">
        <v>2272</v>
      </c>
      <c r="P2376" s="21" t="s">
        <v>2272</v>
      </c>
      <c r="Q2376" s="21" t="s">
        <v>2272</v>
      </c>
      <c r="R2376" s="21" t="s">
        <v>2272</v>
      </c>
      <c r="S2376" s="21" t="s">
        <v>2272</v>
      </c>
      <c r="T2376" s="21" t="s">
        <v>2272</v>
      </c>
      <c r="U2376" s="21" t="s">
        <v>2272</v>
      </c>
      <c r="V2376" s="21" t="s">
        <v>2272</v>
      </c>
      <c r="W2376" s="21" t="s">
        <v>2272</v>
      </c>
      <c r="X2376" s="21" t="s">
        <v>2272</v>
      </c>
      <c r="Y2376" s="21" t="s">
        <v>2272</v>
      </c>
      <c r="Z2376" s="21" t="s">
        <v>2272</v>
      </c>
      <c r="AA2376" s="21" t="s">
        <v>2272</v>
      </c>
      <c r="AB2376" s="198"/>
      <c r="AC2376" s="198"/>
    </row>
    <row r="2377" spans="1:29" s="197" customFormat="1" ht="46" customHeight="1">
      <c r="A2377" s="151" t="str">
        <f>'Reported burning'!A2377</f>
        <v>272g</v>
      </c>
      <c r="B2377" s="151" t="str">
        <f>'Reported burning'!B2377</f>
        <v>272g.4</v>
      </c>
      <c r="C2377" s="151" t="str">
        <f>'Reported burning'!C2377</f>
        <v>Human, escaped</v>
      </c>
      <c r="D2377" s="151" t="str">
        <f>'Reported burning'!D2377</f>
        <v>ND</v>
      </c>
      <c r="E2377" s="151" t="str">
        <f>'Reported burning'!E2377</f>
        <v>Mixed cropping-livestock small holder, Market-oriented</v>
      </c>
      <c r="F2377" s="151" t="str">
        <f>'Reported burning'!F2377</f>
        <v>ND</v>
      </c>
      <c r="G2377" s="151" t="str">
        <f>'Reported burning'!G2377</f>
        <v>Forest</v>
      </c>
      <c r="H2377" s="151" t="str">
        <f>'Reported burning'!H2377</f>
        <v>Presence</v>
      </c>
      <c r="I2377" s="5"/>
      <c r="J2377" s="21" t="s">
        <v>2361</v>
      </c>
      <c r="K2377" s="21" t="s">
        <v>2272</v>
      </c>
      <c r="L2377" s="21" t="s">
        <v>2272</v>
      </c>
      <c r="M2377" s="21" t="s">
        <v>2272</v>
      </c>
      <c r="N2377" s="21" t="s">
        <v>2272</v>
      </c>
      <c r="O2377" s="21" t="s">
        <v>2272</v>
      </c>
      <c r="P2377" s="21" t="s">
        <v>2272</v>
      </c>
      <c r="Q2377" s="21" t="s">
        <v>2272</v>
      </c>
      <c r="R2377" s="21" t="s">
        <v>2272</v>
      </c>
      <c r="S2377" s="21" t="s">
        <v>2272</v>
      </c>
      <c r="T2377" s="21" t="s">
        <v>2272</v>
      </c>
      <c r="U2377" s="21" t="s">
        <v>2272</v>
      </c>
      <c r="V2377" s="21" t="s">
        <v>2272</v>
      </c>
      <c r="W2377" s="21" t="s">
        <v>2272</v>
      </c>
      <c r="X2377" s="21" t="s">
        <v>2272</v>
      </c>
      <c r="Y2377" s="21" t="s">
        <v>2272</v>
      </c>
      <c r="Z2377" s="21" t="s">
        <v>2272</v>
      </c>
      <c r="AA2377" s="21" t="s">
        <v>2272</v>
      </c>
      <c r="AB2377" s="198"/>
      <c r="AC2377" s="198"/>
    </row>
    <row r="2378" spans="1:29" s="197" customFormat="1" ht="46" customHeight="1">
      <c r="A2378" s="151" t="str">
        <f>'Reported burning'!A2378</f>
        <v>272g</v>
      </c>
      <c r="B2378" s="151" t="str">
        <f>'Reported burning'!B2378</f>
        <v>272g.5</v>
      </c>
      <c r="C2378" s="151" t="str">
        <f>'Reported burning'!C2378</f>
        <v>Human, escaped</v>
      </c>
      <c r="D2378" s="151" t="str">
        <f>'Reported burning'!D2378</f>
        <v>ND</v>
      </c>
      <c r="E2378" s="151" t="str">
        <f>'Reported burning'!E2378</f>
        <v>Forestry, Industrial</v>
      </c>
      <c r="F2378" s="151" t="str">
        <f>'Reported burning'!F2378</f>
        <v>Shrubland (Mixed forest &amp; grassland)</v>
      </c>
      <c r="G2378" s="151" t="str">
        <f>'Reported burning'!G2378</f>
        <v>Forest</v>
      </c>
      <c r="H2378" s="151" t="str">
        <f>'Reported burning'!H2378</f>
        <v>Presence</v>
      </c>
      <c r="I2378" s="5"/>
      <c r="J2378" s="21" t="s">
        <v>2361</v>
      </c>
      <c r="K2378" s="21" t="s">
        <v>2272</v>
      </c>
      <c r="L2378" s="21" t="s">
        <v>2272</v>
      </c>
      <c r="M2378" s="21" t="s">
        <v>2272</v>
      </c>
      <c r="N2378" s="21" t="s">
        <v>2272</v>
      </c>
      <c r="O2378" s="21" t="s">
        <v>2272</v>
      </c>
      <c r="P2378" s="21" t="s">
        <v>2272</v>
      </c>
      <c r="Q2378" s="21" t="s">
        <v>2272</v>
      </c>
      <c r="R2378" s="21" t="s">
        <v>2272</v>
      </c>
      <c r="S2378" s="21" t="s">
        <v>2272</v>
      </c>
      <c r="T2378" s="21" t="s">
        <v>2272</v>
      </c>
      <c r="U2378" s="21" t="s">
        <v>2272</v>
      </c>
      <c r="V2378" s="21" t="s">
        <v>2272</v>
      </c>
      <c r="W2378" s="21" t="s">
        <v>2272</v>
      </c>
      <c r="X2378" s="21" t="s">
        <v>2272</v>
      </c>
      <c r="Y2378" s="21" t="s">
        <v>2272</v>
      </c>
      <c r="Z2378" s="21" t="s">
        <v>2272</v>
      </c>
      <c r="AA2378" s="21" t="s">
        <v>2272</v>
      </c>
      <c r="AB2378" s="198"/>
      <c r="AC2378" s="198"/>
    </row>
    <row r="2379" spans="1:29" s="197" customFormat="1" ht="46" customHeight="1">
      <c r="A2379" s="151" t="str">
        <f>'Reported burning'!A2379</f>
        <v>272g</v>
      </c>
      <c r="B2379" s="151" t="str">
        <f>'Reported burning'!B2379</f>
        <v>272g.6</v>
      </c>
      <c r="C2379" s="151" t="str">
        <f>'Reported burning'!C2379</f>
        <v>Human, deliberate</v>
      </c>
      <c r="D2379" s="151" t="str">
        <f>'Reported burning'!D2379</f>
        <v>Arson</v>
      </c>
      <c r="E2379" s="151" t="str">
        <f>'Reported burning'!E2379</f>
        <v>Mixed cropping-livestock small holder, Market-oriented</v>
      </c>
      <c r="F2379" s="151" t="str">
        <f>'Reported burning'!F2379</f>
        <v>Plantation forest</v>
      </c>
      <c r="G2379" s="151" t="str">
        <f>'Reported burning'!G2379</f>
        <v>Plantation forest</v>
      </c>
      <c r="H2379" s="151" t="str">
        <f>'Reported burning'!H2379</f>
        <v>Presence</v>
      </c>
      <c r="I2379" s="5"/>
      <c r="J2379" s="21" t="s">
        <v>2360</v>
      </c>
      <c r="K2379" s="21" t="s">
        <v>2272</v>
      </c>
      <c r="L2379" s="21" t="s">
        <v>2272</v>
      </c>
      <c r="M2379" s="21" t="s">
        <v>2272</v>
      </c>
      <c r="N2379" s="21" t="s">
        <v>2272</v>
      </c>
      <c r="O2379" s="21" t="s">
        <v>2272</v>
      </c>
      <c r="P2379" s="21" t="s">
        <v>2272</v>
      </c>
      <c r="Q2379" s="21" t="s">
        <v>2272</v>
      </c>
      <c r="R2379" s="21" t="s">
        <v>2272</v>
      </c>
      <c r="S2379" s="21" t="s">
        <v>2272</v>
      </c>
      <c r="T2379" s="21" t="s">
        <v>2272</v>
      </c>
      <c r="U2379" s="21" t="s">
        <v>2272</v>
      </c>
      <c r="V2379" s="21" t="s">
        <v>2272</v>
      </c>
      <c r="W2379" s="21" t="s">
        <v>2272</v>
      </c>
      <c r="X2379" s="21" t="s">
        <v>2272</v>
      </c>
      <c r="Y2379" s="21" t="s">
        <v>2272</v>
      </c>
      <c r="Z2379" s="21" t="s">
        <v>2272</v>
      </c>
      <c r="AA2379" s="21" t="s">
        <v>2272</v>
      </c>
      <c r="AB2379" s="198"/>
      <c r="AC2379" s="198"/>
    </row>
    <row r="2380" spans="1:29" s="197" customFormat="1" ht="46" customHeight="1">
      <c r="A2380" s="151" t="str">
        <f>'Reported burning'!A2380</f>
        <v>272g</v>
      </c>
      <c r="B2380" s="151" t="str">
        <f>'Reported burning'!B2380</f>
        <v>272g.7</v>
      </c>
      <c r="C2380" s="151" t="str">
        <f>'Reported burning'!C2380</f>
        <v>Human, accidental</v>
      </c>
      <c r="D2380" s="151" t="str">
        <f>'Reported burning'!D2380</f>
        <v>Accidental</v>
      </c>
      <c r="E2380" s="151" t="str">
        <f>'Reported burning'!E2380</f>
        <v>ND</v>
      </c>
      <c r="F2380" s="151" t="str">
        <f>'Reported burning'!F2380</f>
        <v>ND</v>
      </c>
      <c r="G2380" s="151" t="str">
        <f>'Reported burning'!G2380</f>
        <v>Forest</v>
      </c>
      <c r="H2380" s="151" t="str">
        <f>'Reported burning'!H2380</f>
        <v>Presence</v>
      </c>
      <c r="I2380" s="5"/>
      <c r="J2380" s="21" t="s">
        <v>2361</v>
      </c>
      <c r="K2380" s="21" t="s">
        <v>2272</v>
      </c>
      <c r="L2380" s="21" t="s">
        <v>2272</v>
      </c>
      <c r="M2380" s="21" t="s">
        <v>2272</v>
      </c>
      <c r="N2380" s="21" t="s">
        <v>2272</v>
      </c>
      <c r="O2380" s="21" t="s">
        <v>2272</v>
      </c>
      <c r="P2380" s="21" t="s">
        <v>2272</v>
      </c>
      <c r="Q2380" s="21" t="s">
        <v>2272</v>
      </c>
      <c r="R2380" s="21" t="s">
        <v>2272</v>
      </c>
      <c r="S2380" s="21" t="s">
        <v>2272</v>
      </c>
      <c r="T2380" s="21" t="s">
        <v>2272</v>
      </c>
      <c r="U2380" s="21" t="s">
        <v>2272</v>
      </c>
      <c r="V2380" s="21" t="s">
        <v>2272</v>
      </c>
      <c r="W2380" s="21" t="s">
        <v>2272</v>
      </c>
      <c r="X2380" s="21" t="s">
        <v>2272</v>
      </c>
      <c r="Y2380" s="21" t="s">
        <v>2272</v>
      </c>
      <c r="Z2380" s="21" t="s">
        <v>2272</v>
      </c>
      <c r="AA2380" s="21" t="s">
        <v>2272</v>
      </c>
      <c r="AB2380" s="198"/>
      <c r="AC2380" s="198"/>
    </row>
    <row r="2381" spans="1:29" s="197" customFormat="1" ht="46" customHeight="1">
      <c r="A2381" s="151" t="str">
        <f>'Reported burning'!A2381</f>
        <v>272g</v>
      </c>
      <c r="B2381" s="151" t="str">
        <f>'Reported burning'!B2381</f>
        <v>272g.8</v>
      </c>
      <c r="C2381" s="151" t="str">
        <f>'Reported burning'!C2381</f>
        <v>Lightning</v>
      </c>
      <c r="D2381" s="151" t="str">
        <f>'Reported burning'!D2381</f>
        <v>ND</v>
      </c>
      <c r="E2381" s="151" t="str">
        <f>'Reported burning'!E2381</f>
        <v>Mixed cropping-livestock small holder, Market-oriented</v>
      </c>
      <c r="F2381" s="151" t="str">
        <f>'Reported burning'!F2381</f>
        <v>ND</v>
      </c>
      <c r="G2381" s="151" t="str">
        <f>'Reported burning'!G2381</f>
        <v>Forest</v>
      </c>
      <c r="H2381" s="151" t="str">
        <f>'Reported burning'!H2381</f>
        <v>Presence</v>
      </c>
      <c r="I2381" s="5"/>
      <c r="J2381" s="21" t="s">
        <v>2361</v>
      </c>
      <c r="K2381" s="21" t="s">
        <v>2272</v>
      </c>
      <c r="L2381" s="21" t="s">
        <v>2272</v>
      </c>
      <c r="M2381" s="21" t="s">
        <v>2272</v>
      </c>
      <c r="N2381" s="21" t="s">
        <v>2272</v>
      </c>
      <c r="O2381" s="21" t="s">
        <v>2272</v>
      </c>
      <c r="P2381" s="21" t="s">
        <v>2272</v>
      </c>
      <c r="Q2381" s="21" t="s">
        <v>2272</v>
      </c>
      <c r="R2381" s="21" t="s">
        <v>2272</v>
      </c>
      <c r="S2381" s="21" t="s">
        <v>2272</v>
      </c>
      <c r="T2381" s="21" t="s">
        <v>2272</v>
      </c>
      <c r="U2381" s="21" t="s">
        <v>2272</v>
      </c>
      <c r="V2381" s="21" t="s">
        <v>2272</v>
      </c>
      <c r="W2381" s="21" t="s">
        <v>2272</v>
      </c>
      <c r="X2381" s="21" t="s">
        <v>2272</v>
      </c>
      <c r="Y2381" s="21" t="s">
        <v>2272</v>
      </c>
      <c r="Z2381" s="21" t="s">
        <v>2272</v>
      </c>
      <c r="AA2381" s="21" t="s">
        <v>2272</v>
      </c>
      <c r="AB2381" s="198"/>
      <c r="AC2381" s="198"/>
    </row>
    <row r="2382" spans="1:29" s="197" customFormat="1" ht="46" customHeight="1">
      <c r="A2382" s="151" t="str">
        <f>'Reported burning'!A2382</f>
        <v>272g</v>
      </c>
      <c r="B2382" s="151" t="str">
        <f>'Reported burning'!B2382</f>
        <v>272g.9</v>
      </c>
      <c r="C2382" s="151" t="str">
        <f>'Reported burning'!C2382</f>
        <v>Unknown</v>
      </c>
      <c r="D2382" s="151" t="str">
        <f>'Reported burning'!D2382</f>
        <v>ND</v>
      </c>
      <c r="E2382" s="151" t="str">
        <f>'Reported burning'!E2382</f>
        <v>ND</v>
      </c>
      <c r="F2382" s="151" t="str">
        <f>'Reported burning'!F2382</f>
        <v>ND</v>
      </c>
      <c r="G2382" s="151" t="str">
        <f>'Reported burning'!G2382</f>
        <v>Forest</v>
      </c>
      <c r="H2382" s="151" t="str">
        <f>'Reported burning'!H2382</f>
        <v>Presence</v>
      </c>
      <c r="I2382" s="5"/>
      <c r="J2382" s="21" t="s">
        <v>2363</v>
      </c>
      <c r="K2382" s="21" t="s">
        <v>2272</v>
      </c>
      <c r="L2382" s="21" t="s">
        <v>2272</v>
      </c>
      <c r="M2382" s="21" t="s">
        <v>2272</v>
      </c>
      <c r="N2382" s="21" t="s">
        <v>2272</v>
      </c>
      <c r="O2382" s="21" t="s">
        <v>2272</v>
      </c>
      <c r="P2382" s="21" t="s">
        <v>2272</v>
      </c>
      <c r="Q2382" s="21" t="s">
        <v>2272</v>
      </c>
      <c r="R2382" s="21" t="s">
        <v>2272</v>
      </c>
      <c r="S2382" s="21" t="s">
        <v>2272</v>
      </c>
      <c r="T2382" s="21" t="s">
        <v>2272</v>
      </c>
      <c r="U2382" s="21" t="s">
        <v>2272</v>
      </c>
      <c r="V2382" s="21" t="s">
        <v>2272</v>
      </c>
      <c r="W2382" s="21" t="s">
        <v>2272</v>
      </c>
      <c r="X2382" s="21" t="s">
        <v>2272</v>
      </c>
      <c r="Y2382" s="21" t="s">
        <v>2272</v>
      </c>
      <c r="Z2382" s="21" t="s">
        <v>2272</v>
      </c>
      <c r="AA2382" s="21" t="s">
        <v>2272</v>
      </c>
      <c r="AB2382" s="198"/>
      <c r="AC2382" s="198"/>
    </row>
    <row r="2383" spans="1:29" s="197" customFormat="1" ht="46" customHeight="1">
      <c r="A2383" s="151" t="str">
        <f>'Reported burning'!A2383</f>
        <v>273a</v>
      </c>
      <c r="B2383" s="151" t="str">
        <f>'Reported burning'!B2383</f>
        <v>273a.1</v>
      </c>
      <c r="C2383" s="151" t="str">
        <f>'Reported burning'!C2383</f>
        <v>Human, deliberate</v>
      </c>
      <c r="D2383" s="151" t="str">
        <f>'Reported burning'!D2383</f>
        <v>Crop residue burning</v>
      </c>
      <c r="E2383" s="151" t="str">
        <f>'Reported burning'!E2383</f>
        <v>Cropping, Monoculture, Subsistence-oriented</v>
      </c>
      <c r="F2383" s="151" t="str">
        <f>'Reported burning'!F2383</f>
        <v>Cropland</v>
      </c>
      <c r="G2383" s="151" t="str">
        <f>'Reported burning'!G2383</f>
        <v>ND</v>
      </c>
      <c r="H2383" s="151" t="str">
        <f>'Reported burning'!H2383</f>
        <v>Presence</v>
      </c>
      <c r="I2383" s="5"/>
      <c r="J2383" s="21" t="s">
        <v>2272</v>
      </c>
      <c r="K2383" s="21" t="s">
        <v>2272</v>
      </c>
      <c r="L2383" s="21" t="s">
        <v>2272</v>
      </c>
      <c r="M2383" s="21" t="s">
        <v>2272</v>
      </c>
      <c r="N2383" s="21" t="s">
        <v>2272</v>
      </c>
      <c r="O2383" s="21" t="s">
        <v>2272</v>
      </c>
      <c r="P2383" s="4" t="s">
        <v>2370</v>
      </c>
      <c r="Q2383" s="21" t="s">
        <v>2272</v>
      </c>
      <c r="R2383" s="21" t="s">
        <v>2272</v>
      </c>
      <c r="S2383" s="21" t="s">
        <v>2272</v>
      </c>
      <c r="T2383" s="21" t="s">
        <v>2272</v>
      </c>
      <c r="U2383" s="21" t="s">
        <v>2272</v>
      </c>
      <c r="V2383" s="21" t="s">
        <v>2272</v>
      </c>
      <c r="W2383" s="21" t="s">
        <v>2272</v>
      </c>
      <c r="X2383" s="4" t="s">
        <v>2370</v>
      </c>
      <c r="Y2383" s="4" t="s">
        <v>397</v>
      </c>
      <c r="Z2383" s="4" t="s">
        <v>37</v>
      </c>
      <c r="AA2383" s="4" t="s">
        <v>63</v>
      </c>
      <c r="AB2383" s="4" t="s">
        <v>6427</v>
      </c>
      <c r="AC2383" s="4" t="s">
        <v>7856</v>
      </c>
    </row>
    <row r="2384" spans="1:29" s="197" customFormat="1" ht="46" customHeight="1">
      <c r="A2384" s="151" t="str">
        <f>'Reported burning'!A2384</f>
        <v>273a</v>
      </c>
      <c r="B2384" s="151" t="str">
        <f>'Reported burning'!B2384</f>
        <v>273a.2</v>
      </c>
      <c r="C2384" s="151" t="str">
        <f>'Reported burning'!C2384</f>
        <v>Human, deliberate</v>
      </c>
      <c r="D2384" s="151" t="str">
        <f>'Reported burning'!D2384</f>
        <v>Crop residue burning</v>
      </c>
      <c r="E2384" s="151" t="str">
        <f>'Reported burning'!E2384</f>
        <v>Cropping, Monoculture, Market-oriented</v>
      </c>
      <c r="F2384" s="151" t="str">
        <f>'Reported burning'!F2384</f>
        <v>Cropland</v>
      </c>
      <c r="G2384" s="151" t="str">
        <f>'Reported burning'!G2384</f>
        <v>ND</v>
      </c>
      <c r="H2384" s="151" t="str">
        <f>'Reported burning'!H2384</f>
        <v>Presence</v>
      </c>
      <c r="I2384" s="5"/>
      <c r="J2384" s="21" t="s">
        <v>2272</v>
      </c>
      <c r="K2384" s="21" t="s">
        <v>2272</v>
      </c>
      <c r="L2384" s="21" t="s">
        <v>2272</v>
      </c>
      <c r="M2384" s="21" t="s">
        <v>2272</v>
      </c>
      <c r="N2384" s="21" t="s">
        <v>2272</v>
      </c>
      <c r="O2384" s="21" t="s">
        <v>2272</v>
      </c>
      <c r="P2384" s="4" t="s">
        <v>2368</v>
      </c>
      <c r="Q2384" s="21" t="s">
        <v>2272</v>
      </c>
      <c r="R2384" s="21" t="s">
        <v>2272</v>
      </c>
      <c r="S2384" s="21" t="s">
        <v>2272</v>
      </c>
      <c r="T2384" s="21" t="s">
        <v>2272</v>
      </c>
      <c r="U2384" s="21" t="s">
        <v>2272</v>
      </c>
      <c r="V2384" s="21" t="s">
        <v>2272</v>
      </c>
      <c r="W2384" s="21" t="s">
        <v>2272</v>
      </c>
      <c r="X2384" s="4" t="s">
        <v>2370</v>
      </c>
      <c r="Y2384" s="4" t="s">
        <v>397</v>
      </c>
      <c r="Z2384" s="4" t="s">
        <v>37</v>
      </c>
      <c r="AA2384" s="4" t="s">
        <v>63</v>
      </c>
      <c r="AB2384" s="4" t="s">
        <v>6427</v>
      </c>
      <c r="AC2384" s="4" t="s">
        <v>7856</v>
      </c>
    </row>
    <row r="2385" spans="1:29" ht="46" customHeight="1">
      <c r="A2385" s="151" t="str">
        <f>'Reported burning'!A2385</f>
        <v>273b</v>
      </c>
      <c r="B2385" s="151" t="str">
        <f>'Reported burning'!B2385</f>
        <v>273b.1</v>
      </c>
      <c r="C2385" s="151" t="str">
        <f>'Reported burning'!C2385</f>
        <v>Human, deliberate</v>
      </c>
      <c r="D2385" s="151" t="str">
        <f>'Reported burning'!D2385</f>
        <v>Crop residue burning</v>
      </c>
      <c r="E2385" s="151" t="str">
        <f>'Reported burning'!E2385</f>
        <v>Cropping, Monoculture, Subsistence-oriented</v>
      </c>
      <c r="F2385" s="151" t="str">
        <f>'Reported burning'!F2385</f>
        <v>Cropland</v>
      </c>
      <c r="G2385" s="151" t="str">
        <f>'Reported burning'!G2385</f>
        <v>ND</v>
      </c>
      <c r="H2385" s="151" t="str">
        <f>'Reported burning'!H2385</f>
        <v>Presence</v>
      </c>
      <c r="I2385" s="5"/>
      <c r="J2385" s="21" t="s">
        <v>2272</v>
      </c>
      <c r="K2385" s="21" t="s">
        <v>2272</v>
      </c>
      <c r="L2385" s="21" t="s">
        <v>2272</v>
      </c>
      <c r="M2385" s="21" t="s">
        <v>2272</v>
      </c>
      <c r="N2385" s="21" t="s">
        <v>2272</v>
      </c>
      <c r="O2385" s="21" t="s">
        <v>2272</v>
      </c>
      <c r="P2385" s="4" t="s">
        <v>2370</v>
      </c>
      <c r="Q2385" s="21" t="s">
        <v>2272</v>
      </c>
      <c r="R2385" s="21" t="s">
        <v>2272</v>
      </c>
      <c r="S2385" s="21" t="s">
        <v>2272</v>
      </c>
      <c r="T2385" s="21" t="s">
        <v>2272</v>
      </c>
      <c r="U2385" s="21" t="s">
        <v>2272</v>
      </c>
      <c r="V2385" s="21" t="s">
        <v>2272</v>
      </c>
      <c r="W2385" s="21" t="s">
        <v>2272</v>
      </c>
      <c r="X2385" s="4" t="s">
        <v>2370</v>
      </c>
      <c r="Y2385" s="4" t="s">
        <v>397</v>
      </c>
      <c r="Z2385" s="4" t="s">
        <v>37</v>
      </c>
      <c r="AA2385" s="4" t="s">
        <v>63</v>
      </c>
      <c r="AB2385" s="4" t="s">
        <v>6427</v>
      </c>
      <c r="AC2385" s="4" t="s">
        <v>7856</v>
      </c>
    </row>
    <row r="2386" spans="1:29" ht="46" customHeight="1">
      <c r="A2386" s="151" t="str">
        <f>'Reported burning'!A2386</f>
        <v>273b</v>
      </c>
      <c r="B2386" s="151" t="str">
        <f>'Reported burning'!B2386</f>
        <v>273b.2</v>
      </c>
      <c r="C2386" s="151" t="str">
        <f>'Reported burning'!C2386</f>
        <v>Human, deliberate</v>
      </c>
      <c r="D2386" s="151" t="str">
        <f>'Reported burning'!D2386</f>
        <v>Crop residue burning</v>
      </c>
      <c r="E2386" s="151" t="str">
        <f>'Reported burning'!E2386</f>
        <v>Cropping, Monoculture, Market-oriented</v>
      </c>
      <c r="F2386" s="151" t="str">
        <f>'Reported burning'!F2386</f>
        <v>Cropland</v>
      </c>
      <c r="G2386" s="151" t="str">
        <f>'Reported burning'!G2386</f>
        <v>ND</v>
      </c>
      <c r="H2386" s="151" t="str">
        <f>'Reported burning'!H2386</f>
        <v>Presence</v>
      </c>
      <c r="I2386" s="5"/>
      <c r="J2386" s="21" t="s">
        <v>2272</v>
      </c>
      <c r="K2386" s="21" t="s">
        <v>2272</v>
      </c>
      <c r="L2386" s="21" t="s">
        <v>2272</v>
      </c>
      <c r="M2386" s="21" t="s">
        <v>2272</v>
      </c>
      <c r="N2386" s="21" t="s">
        <v>2272</v>
      </c>
      <c r="O2386" s="21" t="s">
        <v>2272</v>
      </c>
      <c r="P2386" s="4" t="s">
        <v>2368</v>
      </c>
      <c r="Q2386" s="21" t="s">
        <v>2272</v>
      </c>
      <c r="R2386" s="21" t="s">
        <v>2272</v>
      </c>
      <c r="S2386" s="21" t="s">
        <v>2272</v>
      </c>
      <c r="T2386" s="21" t="s">
        <v>2272</v>
      </c>
      <c r="U2386" s="21" t="s">
        <v>2272</v>
      </c>
      <c r="V2386" s="21" t="s">
        <v>2272</v>
      </c>
      <c r="W2386" s="21" t="s">
        <v>2272</v>
      </c>
      <c r="X2386" s="4" t="s">
        <v>2370</v>
      </c>
      <c r="Y2386" s="4" t="s">
        <v>397</v>
      </c>
      <c r="Z2386" s="4" t="s">
        <v>37</v>
      </c>
      <c r="AA2386" s="4" t="s">
        <v>63</v>
      </c>
      <c r="AB2386" s="4" t="s">
        <v>6427</v>
      </c>
      <c r="AC2386" s="4" t="s">
        <v>7856</v>
      </c>
    </row>
    <row r="2387" spans="1:29" ht="46" customHeight="1">
      <c r="A2387" s="151" t="str">
        <f>'Reported burning'!A2387</f>
        <v>273c</v>
      </c>
      <c r="B2387" s="151" t="str">
        <f>'Reported burning'!B2387</f>
        <v>273c.1</v>
      </c>
      <c r="C2387" s="151" t="str">
        <f>'Reported burning'!C2387</f>
        <v>Human, deliberate</v>
      </c>
      <c r="D2387" s="151" t="str">
        <f>'Reported burning'!D2387</f>
        <v>Crop residue burning</v>
      </c>
      <c r="E2387" s="151" t="str">
        <f>'Reported burning'!E2387</f>
        <v>Cropping, Monoculture, Subsistence-oriented</v>
      </c>
      <c r="F2387" s="151" t="str">
        <f>'Reported burning'!F2387</f>
        <v>Cropland</v>
      </c>
      <c r="G2387" s="151" t="str">
        <f>'Reported burning'!G2387</f>
        <v>ND</v>
      </c>
      <c r="H2387" s="151" t="str">
        <f>'Reported burning'!H2387</f>
        <v>Presence</v>
      </c>
      <c r="I2387" s="5"/>
      <c r="J2387" s="21" t="s">
        <v>2272</v>
      </c>
      <c r="K2387" s="21" t="s">
        <v>2272</v>
      </c>
      <c r="L2387" s="21" t="s">
        <v>2272</v>
      </c>
      <c r="M2387" s="21" t="s">
        <v>2272</v>
      </c>
      <c r="N2387" s="21" t="s">
        <v>2272</v>
      </c>
      <c r="O2387" s="21" t="s">
        <v>2272</v>
      </c>
      <c r="P2387" s="4" t="s">
        <v>2370</v>
      </c>
      <c r="Q2387" s="21" t="s">
        <v>2272</v>
      </c>
      <c r="R2387" s="21" t="s">
        <v>2272</v>
      </c>
      <c r="S2387" s="21" t="s">
        <v>2272</v>
      </c>
      <c r="T2387" s="21" t="s">
        <v>2272</v>
      </c>
      <c r="U2387" s="21" t="s">
        <v>2272</v>
      </c>
      <c r="V2387" s="21" t="s">
        <v>2272</v>
      </c>
      <c r="W2387" s="21" t="s">
        <v>2272</v>
      </c>
      <c r="X2387" s="4" t="s">
        <v>2370</v>
      </c>
      <c r="Y2387" s="4" t="s">
        <v>397</v>
      </c>
      <c r="Z2387" s="4" t="s">
        <v>37</v>
      </c>
      <c r="AA2387" s="4" t="s">
        <v>63</v>
      </c>
      <c r="AB2387" s="4" t="s">
        <v>6427</v>
      </c>
      <c r="AC2387" s="4" t="s">
        <v>7856</v>
      </c>
    </row>
    <row r="2388" spans="1:29" ht="46" customHeight="1">
      <c r="A2388" s="151" t="str">
        <f>'Reported burning'!A2388</f>
        <v>273c</v>
      </c>
      <c r="B2388" s="151" t="str">
        <f>'Reported burning'!B2388</f>
        <v>273c.2</v>
      </c>
      <c r="C2388" s="151" t="str">
        <f>'Reported burning'!C2388</f>
        <v>Human, deliberate</v>
      </c>
      <c r="D2388" s="151" t="str">
        <f>'Reported burning'!D2388</f>
        <v>Crop residue burning</v>
      </c>
      <c r="E2388" s="151" t="str">
        <f>'Reported burning'!E2388</f>
        <v>Cropping, Monoculture, Market-oriented</v>
      </c>
      <c r="F2388" s="151" t="str">
        <f>'Reported burning'!F2388</f>
        <v>Cropland</v>
      </c>
      <c r="G2388" s="151" t="str">
        <f>'Reported burning'!G2388</f>
        <v>ND</v>
      </c>
      <c r="H2388" s="151" t="str">
        <f>'Reported burning'!H2388</f>
        <v>Presence</v>
      </c>
      <c r="I2388" s="5"/>
      <c r="J2388" s="21" t="s">
        <v>2272</v>
      </c>
      <c r="K2388" s="21" t="s">
        <v>2272</v>
      </c>
      <c r="L2388" s="21" t="s">
        <v>2272</v>
      </c>
      <c r="M2388" s="21" t="s">
        <v>2272</v>
      </c>
      <c r="N2388" s="21" t="s">
        <v>2272</v>
      </c>
      <c r="O2388" s="21" t="s">
        <v>2272</v>
      </c>
      <c r="P2388" s="4" t="s">
        <v>2368</v>
      </c>
      <c r="Q2388" s="21" t="s">
        <v>2272</v>
      </c>
      <c r="R2388" s="21" t="s">
        <v>2272</v>
      </c>
      <c r="S2388" s="21" t="s">
        <v>2272</v>
      </c>
      <c r="T2388" s="21" t="s">
        <v>2272</v>
      </c>
      <c r="U2388" s="21" t="s">
        <v>2272</v>
      </c>
      <c r="V2388" s="21" t="s">
        <v>2272</v>
      </c>
      <c r="W2388" s="21" t="s">
        <v>2272</v>
      </c>
      <c r="X2388" s="4" t="s">
        <v>2370</v>
      </c>
      <c r="Y2388" s="4" t="s">
        <v>397</v>
      </c>
      <c r="Z2388" s="4" t="s">
        <v>37</v>
      </c>
      <c r="AA2388" s="4" t="s">
        <v>63</v>
      </c>
      <c r="AB2388" s="4" t="s">
        <v>6427</v>
      </c>
      <c r="AC2388" s="4" t="s">
        <v>7856</v>
      </c>
    </row>
    <row r="2389" spans="1:29" ht="81.5" customHeight="1">
      <c r="A2389" s="151" t="str">
        <f>'Reported burning'!A2389</f>
        <v>274a</v>
      </c>
      <c r="B2389" s="151" t="str">
        <f>'Reported burning'!B2389</f>
        <v>274a.1</v>
      </c>
      <c r="C2389" s="151" t="str">
        <f>'Reported burning'!C2389</f>
        <v>Human, deliberate</v>
      </c>
      <c r="D2389" s="151" t="str">
        <f>'Reported burning'!D2389</f>
        <v>Crop residue burning</v>
      </c>
      <c r="E2389" s="151" t="str">
        <f>'Reported burning'!E2389</f>
        <v>Cropping, Monoculture, Market-oriented</v>
      </c>
      <c r="F2389" s="151" t="str">
        <f>'Reported burning'!F2389</f>
        <v>Cropland</v>
      </c>
      <c r="G2389" s="151" t="str">
        <f>'Reported burning'!G2389</f>
        <v>ND</v>
      </c>
      <c r="H2389" s="151" t="str">
        <f>'Reported burning'!H2389</f>
        <v>Presence</v>
      </c>
      <c r="I2389" s="5"/>
      <c r="J2389" s="21" t="s">
        <v>2272</v>
      </c>
      <c r="K2389" s="21" t="s">
        <v>2272</v>
      </c>
      <c r="L2389" s="21" t="s">
        <v>2272</v>
      </c>
      <c r="M2389" s="21" t="s">
        <v>2272</v>
      </c>
      <c r="N2389" s="21" t="s">
        <v>2272</v>
      </c>
      <c r="O2389" s="21" t="s">
        <v>2272</v>
      </c>
      <c r="P2389" s="4" t="s">
        <v>2368</v>
      </c>
      <c r="Q2389" s="21" t="s">
        <v>2272</v>
      </c>
      <c r="R2389" s="21" t="s">
        <v>2272</v>
      </c>
      <c r="S2389" s="21" t="s">
        <v>2272</v>
      </c>
      <c r="T2389" s="4" t="s">
        <v>2386</v>
      </c>
      <c r="U2389" s="21" t="s">
        <v>2272</v>
      </c>
      <c r="V2389" s="21" t="s">
        <v>2272</v>
      </c>
      <c r="W2389" s="21" t="s">
        <v>2272</v>
      </c>
      <c r="X2389" s="4" t="s">
        <v>2370</v>
      </c>
      <c r="Y2389" s="21" t="s">
        <v>2272</v>
      </c>
      <c r="Z2389" s="21" t="s">
        <v>2272</v>
      </c>
      <c r="AA2389" s="4" t="s">
        <v>63</v>
      </c>
      <c r="AB2389" s="4" t="s">
        <v>7857</v>
      </c>
      <c r="AC2389" s="4" t="s">
        <v>6430</v>
      </c>
    </row>
    <row r="2390" spans="1:29" ht="81.5" customHeight="1">
      <c r="A2390" s="151" t="str">
        <f>'Reported burning'!A2390</f>
        <v>274a</v>
      </c>
      <c r="B2390" s="151" t="str">
        <f>'Reported burning'!B2390</f>
        <v>274a.2</v>
      </c>
      <c r="C2390" s="151" t="str">
        <f>'Reported burning'!C2390</f>
        <v>Human, deliberate</v>
      </c>
      <c r="D2390" s="151" t="str">
        <f>'Reported burning'!D2390</f>
        <v>Crop residue burning</v>
      </c>
      <c r="E2390" s="151" t="str">
        <f>'Reported burning'!E2390</f>
        <v>Cropping, Monoculture, Market-oriented</v>
      </c>
      <c r="F2390" s="151" t="str">
        <f>'Reported burning'!F2390</f>
        <v>Cropland</v>
      </c>
      <c r="G2390" s="151" t="str">
        <f>'Reported burning'!G2390</f>
        <v>ND</v>
      </c>
      <c r="H2390" s="151" t="str">
        <f>'Reported burning'!H2390</f>
        <v>Presence</v>
      </c>
      <c r="I2390" s="5"/>
      <c r="J2390" s="21" t="s">
        <v>2272</v>
      </c>
      <c r="K2390" s="21" t="s">
        <v>2272</v>
      </c>
      <c r="L2390" s="21" t="s">
        <v>2272</v>
      </c>
      <c r="M2390" s="21" t="s">
        <v>2272</v>
      </c>
      <c r="N2390" s="21" t="s">
        <v>2272</v>
      </c>
      <c r="O2390" s="21" t="s">
        <v>2272</v>
      </c>
      <c r="P2390" s="4" t="s">
        <v>2368</v>
      </c>
      <c r="Q2390" s="21" t="s">
        <v>2272</v>
      </c>
      <c r="R2390" s="21" t="s">
        <v>2272</v>
      </c>
      <c r="S2390" s="21" t="s">
        <v>2272</v>
      </c>
      <c r="T2390" s="4" t="s">
        <v>2369</v>
      </c>
      <c r="U2390" s="21" t="s">
        <v>2272</v>
      </c>
      <c r="V2390" s="21" t="s">
        <v>2272</v>
      </c>
      <c r="W2390" s="21" t="s">
        <v>2272</v>
      </c>
      <c r="X2390" s="4" t="s">
        <v>2370</v>
      </c>
      <c r="Y2390" s="21" t="s">
        <v>2272</v>
      </c>
      <c r="Z2390" s="21" t="s">
        <v>2272</v>
      </c>
      <c r="AA2390" s="4" t="s">
        <v>63</v>
      </c>
      <c r="AB2390" s="4" t="s">
        <v>7858</v>
      </c>
      <c r="AC2390" s="4" t="s">
        <v>6430</v>
      </c>
    </row>
    <row r="2391" spans="1:29" ht="81.5" customHeight="1">
      <c r="A2391" s="151" t="str">
        <f>'Reported burning'!A2391</f>
        <v>274a</v>
      </c>
      <c r="B2391" s="151" t="str">
        <f>'Reported burning'!B2391</f>
        <v>274a.3</v>
      </c>
      <c r="C2391" s="151" t="str">
        <f>'Reported burning'!C2391</f>
        <v>Human, deliberate</v>
      </c>
      <c r="D2391" s="151" t="str">
        <f>'Reported burning'!D2391</f>
        <v>Crop residue burning</v>
      </c>
      <c r="E2391" s="151" t="str">
        <f>'Reported burning'!E2391</f>
        <v>Cropping, Monoculture, Market-oriented</v>
      </c>
      <c r="F2391" s="151" t="str">
        <f>'Reported burning'!F2391</f>
        <v>Cropland</v>
      </c>
      <c r="G2391" s="151" t="str">
        <f>'Reported burning'!G2391</f>
        <v>ND</v>
      </c>
      <c r="H2391" s="151" t="str">
        <f>'Reported burning'!H2391</f>
        <v>Presence</v>
      </c>
      <c r="I2391" s="5"/>
      <c r="J2391" s="21" t="s">
        <v>2272</v>
      </c>
      <c r="K2391" s="21" t="s">
        <v>2272</v>
      </c>
      <c r="L2391" s="21" t="s">
        <v>2272</v>
      </c>
      <c r="M2391" s="21" t="s">
        <v>2272</v>
      </c>
      <c r="N2391" s="21" t="s">
        <v>2272</v>
      </c>
      <c r="O2391" s="21" t="s">
        <v>2272</v>
      </c>
      <c r="P2391" s="4" t="s">
        <v>2370</v>
      </c>
      <c r="Q2391" s="21" t="s">
        <v>2272</v>
      </c>
      <c r="R2391" s="21" t="s">
        <v>2272</v>
      </c>
      <c r="S2391" s="21" t="s">
        <v>2272</v>
      </c>
      <c r="T2391" s="4" t="s">
        <v>2371</v>
      </c>
      <c r="U2391" s="21" t="s">
        <v>2272</v>
      </c>
      <c r="V2391" s="21" t="s">
        <v>2272</v>
      </c>
      <c r="W2391" s="21" t="s">
        <v>2272</v>
      </c>
      <c r="X2391" s="4" t="s">
        <v>2370</v>
      </c>
      <c r="Y2391" s="21" t="s">
        <v>2272</v>
      </c>
      <c r="Z2391" s="21" t="s">
        <v>2272</v>
      </c>
      <c r="AA2391" s="4" t="s">
        <v>63</v>
      </c>
      <c r="AB2391" s="4" t="s">
        <v>7859</v>
      </c>
      <c r="AC2391" s="4" t="s">
        <v>6430</v>
      </c>
    </row>
    <row r="2392" spans="1:29" ht="81.5" customHeight="1">
      <c r="A2392" s="151" t="str">
        <f>'Reported burning'!A2392</f>
        <v>274a</v>
      </c>
      <c r="B2392" s="151" t="str">
        <f>'Reported burning'!B2392</f>
        <v>274a.4</v>
      </c>
      <c r="C2392" s="151" t="str">
        <f>'Reported burning'!C2392</f>
        <v>Human, deliberate</v>
      </c>
      <c r="D2392" s="151" t="str">
        <f>'Reported burning'!D2392</f>
        <v>Crop residue burning</v>
      </c>
      <c r="E2392" s="151" t="str">
        <f>'Reported burning'!E2392</f>
        <v>Cropping, Monoculture, Market-oriented</v>
      </c>
      <c r="F2392" s="151" t="str">
        <f>'Reported burning'!F2392</f>
        <v>Cropland</v>
      </c>
      <c r="G2392" s="151" t="str">
        <f>'Reported burning'!G2392</f>
        <v>ND</v>
      </c>
      <c r="H2392" s="151" t="str">
        <f>'Reported burning'!H2392</f>
        <v>Presence</v>
      </c>
      <c r="I2392" s="5"/>
      <c r="J2392" s="21" t="s">
        <v>2272</v>
      </c>
      <c r="K2392" s="21" t="s">
        <v>2272</v>
      </c>
      <c r="L2392" s="21" t="s">
        <v>2272</v>
      </c>
      <c r="M2392" s="21" t="s">
        <v>2272</v>
      </c>
      <c r="N2392" s="21" t="s">
        <v>2272</v>
      </c>
      <c r="O2392" s="21" t="s">
        <v>2272</v>
      </c>
      <c r="P2392" s="4" t="s">
        <v>2370</v>
      </c>
      <c r="Q2392" s="21" t="s">
        <v>2272</v>
      </c>
      <c r="R2392" s="21" t="s">
        <v>2272</v>
      </c>
      <c r="S2392" s="21" t="s">
        <v>2272</v>
      </c>
      <c r="T2392" s="4" t="s">
        <v>2522</v>
      </c>
      <c r="U2392" s="21" t="s">
        <v>2272</v>
      </c>
      <c r="V2392" s="21" t="s">
        <v>2272</v>
      </c>
      <c r="W2392" s="21" t="s">
        <v>2272</v>
      </c>
      <c r="X2392" s="4" t="s">
        <v>2370</v>
      </c>
      <c r="Y2392" s="21" t="s">
        <v>2272</v>
      </c>
      <c r="Z2392" s="21" t="s">
        <v>2272</v>
      </c>
      <c r="AA2392" s="4" t="s">
        <v>63</v>
      </c>
      <c r="AB2392" s="4" t="s">
        <v>7858</v>
      </c>
      <c r="AC2392" s="4" t="s">
        <v>6430</v>
      </c>
    </row>
    <row r="2393" spans="1:29" ht="58">
      <c r="A2393" s="151" t="str">
        <f>'Reported burning'!A2393</f>
        <v>274a</v>
      </c>
      <c r="B2393" s="151" t="str">
        <f>'Reported burning'!B2393</f>
        <v>274a.5</v>
      </c>
      <c r="C2393" s="151" t="str">
        <f>'Reported burning'!C2393</f>
        <v>Human, deliberate</v>
      </c>
      <c r="D2393" s="151" t="str">
        <f>'Reported burning'!D2393</f>
        <v>Crop residue burning</v>
      </c>
      <c r="E2393" s="151" t="str">
        <f>'Reported burning'!E2393</f>
        <v>Cropping, Monoculture, Market-oriented</v>
      </c>
      <c r="F2393" s="151" t="str">
        <f>'Reported burning'!F2393</f>
        <v>Cropland</v>
      </c>
      <c r="G2393" s="151" t="str">
        <f>'Reported burning'!G2393</f>
        <v>ND</v>
      </c>
      <c r="H2393" s="151" t="str">
        <f>'Reported burning'!H2393</f>
        <v>Presence</v>
      </c>
      <c r="I2393" s="5"/>
      <c r="J2393" s="21" t="s">
        <v>2272</v>
      </c>
      <c r="K2393" s="21" t="s">
        <v>2272</v>
      </c>
      <c r="L2393" s="21" t="s">
        <v>2272</v>
      </c>
      <c r="M2393" s="21" t="s">
        <v>2272</v>
      </c>
      <c r="N2393" s="21" t="s">
        <v>2272</v>
      </c>
      <c r="O2393" s="21" t="s">
        <v>2272</v>
      </c>
      <c r="P2393" s="4" t="s">
        <v>2368</v>
      </c>
      <c r="Q2393" s="21" t="s">
        <v>2272</v>
      </c>
      <c r="R2393" s="21" t="s">
        <v>2272</v>
      </c>
      <c r="S2393" s="21" t="s">
        <v>2272</v>
      </c>
      <c r="T2393" s="4" t="s">
        <v>2384</v>
      </c>
      <c r="U2393" s="21" t="s">
        <v>2272</v>
      </c>
      <c r="V2393" s="21" t="s">
        <v>2272</v>
      </c>
      <c r="W2393" s="21" t="s">
        <v>2272</v>
      </c>
      <c r="X2393" s="4" t="s">
        <v>2370</v>
      </c>
      <c r="Y2393" s="21" t="s">
        <v>2272</v>
      </c>
      <c r="Z2393" s="21" t="s">
        <v>2272</v>
      </c>
      <c r="AA2393" s="4" t="s">
        <v>63</v>
      </c>
      <c r="AB2393" s="4" t="s">
        <v>7860</v>
      </c>
      <c r="AC2393" s="4" t="s">
        <v>6430</v>
      </c>
    </row>
    <row r="2394" spans="1:29" ht="58">
      <c r="A2394" s="151" t="str">
        <f>'Reported burning'!A2394</f>
        <v>274a</v>
      </c>
      <c r="B2394" s="151" t="str">
        <f>'Reported burning'!B2394</f>
        <v>274a.6</v>
      </c>
      <c r="C2394" s="151" t="str">
        <f>'Reported burning'!C2394</f>
        <v>Human, deliberate</v>
      </c>
      <c r="D2394" s="151" t="str">
        <f>'Reported burning'!D2394</f>
        <v>Crop residue burning</v>
      </c>
      <c r="E2394" s="151" t="str">
        <f>'Reported burning'!E2394</f>
        <v>Cropping, Monoculture, Market-oriented</v>
      </c>
      <c r="F2394" s="151" t="str">
        <f>'Reported burning'!F2394</f>
        <v>Cropland</v>
      </c>
      <c r="G2394" s="151" t="str">
        <f>'Reported burning'!G2394</f>
        <v>ND</v>
      </c>
      <c r="H2394" s="151" t="str">
        <f>'Reported burning'!H2394</f>
        <v>Presence</v>
      </c>
      <c r="I2394" s="5"/>
      <c r="J2394" s="21" t="s">
        <v>2272</v>
      </c>
      <c r="K2394" s="21" t="s">
        <v>2272</v>
      </c>
      <c r="L2394" s="21" t="s">
        <v>2272</v>
      </c>
      <c r="M2394" s="21" t="s">
        <v>2272</v>
      </c>
      <c r="N2394" s="21" t="s">
        <v>2272</v>
      </c>
      <c r="O2394" s="21" t="s">
        <v>2272</v>
      </c>
      <c r="P2394" s="4" t="s">
        <v>2368</v>
      </c>
      <c r="Q2394" s="21" t="s">
        <v>2272</v>
      </c>
      <c r="R2394" s="21" t="s">
        <v>2272</v>
      </c>
      <c r="S2394" s="21" t="s">
        <v>2272</v>
      </c>
      <c r="T2394" s="4" t="s">
        <v>2522</v>
      </c>
      <c r="U2394" s="21" t="s">
        <v>2272</v>
      </c>
      <c r="V2394" s="21" t="s">
        <v>2272</v>
      </c>
      <c r="W2394" s="21" t="s">
        <v>2272</v>
      </c>
      <c r="X2394" s="4" t="s">
        <v>2370</v>
      </c>
      <c r="Y2394" s="21" t="s">
        <v>2272</v>
      </c>
      <c r="Z2394" s="21" t="s">
        <v>2272</v>
      </c>
      <c r="AA2394" s="4" t="s">
        <v>63</v>
      </c>
      <c r="AB2394" s="4" t="s">
        <v>7858</v>
      </c>
      <c r="AC2394" s="4" t="s">
        <v>6430</v>
      </c>
    </row>
    <row r="2395" spans="1:29" s="197" customFormat="1" ht="58">
      <c r="A2395" s="151" t="str">
        <f>'Reported burning'!A2395</f>
        <v>274a</v>
      </c>
      <c r="B2395" s="151" t="str">
        <f>'Reported burning'!B2395</f>
        <v>274a.7</v>
      </c>
      <c r="C2395" s="151" t="str">
        <f>'Reported burning'!C2395</f>
        <v>Human, deliberate</v>
      </c>
      <c r="D2395" s="151" t="str">
        <f>'Reported burning'!D2395</f>
        <v>Crop residue burning</v>
      </c>
      <c r="E2395" s="151" t="str">
        <f>'Reported burning'!E2395</f>
        <v>Cropping, Monoculture, Subsistence-oriented</v>
      </c>
      <c r="F2395" s="151" t="str">
        <f>'Reported burning'!F2395</f>
        <v>Cropland</v>
      </c>
      <c r="G2395" s="151" t="str">
        <f>'Reported burning'!G2395</f>
        <v>ND</v>
      </c>
      <c r="H2395" s="151" t="str">
        <f>'Reported burning'!H2395</f>
        <v>Presence</v>
      </c>
      <c r="I2395" s="5"/>
      <c r="J2395" s="4" t="s">
        <v>2272</v>
      </c>
      <c r="K2395" s="4" t="s">
        <v>2272</v>
      </c>
      <c r="L2395" s="4" t="s">
        <v>2272</v>
      </c>
      <c r="M2395" s="4" t="s">
        <v>2272</v>
      </c>
      <c r="N2395" s="4" t="s">
        <v>2272</v>
      </c>
      <c r="O2395" s="4" t="s">
        <v>2272</v>
      </c>
      <c r="P2395" s="4" t="s">
        <v>2272</v>
      </c>
      <c r="Q2395" s="4" t="s">
        <v>2272</v>
      </c>
      <c r="R2395" s="4" t="s">
        <v>2272</v>
      </c>
      <c r="S2395" s="4" t="s">
        <v>2272</v>
      </c>
      <c r="T2395" s="4" t="s">
        <v>2272</v>
      </c>
      <c r="U2395" s="4" t="s">
        <v>2272</v>
      </c>
      <c r="V2395" s="4" t="s">
        <v>2272</v>
      </c>
      <c r="W2395" s="4" t="s">
        <v>2272</v>
      </c>
      <c r="X2395" s="4" t="s">
        <v>2272</v>
      </c>
      <c r="Y2395" s="4" t="s">
        <v>2272</v>
      </c>
      <c r="Z2395" s="4" t="s">
        <v>2272</v>
      </c>
      <c r="AA2395" s="4" t="s">
        <v>63</v>
      </c>
      <c r="AB2395" s="4" t="s">
        <v>6429</v>
      </c>
      <c r="AC2395" s="4" t="s">
        <v>6430</v>
      </c>
    </row>
    <row r="2396" spans="1:29" s="197" customFormat="1" ht="58">
      <c r="A2396" s="151" t="str">
        <f>'Reported burning'!A2396</f>
        <v>274a</v>
      </c>
      <c r="B2396" s="151" t="str">
        <f>'Reported burning'!B2396</f>
        <v>274a.8</v>
      </c>
      <c r="C2396" s="151" t="str">
        <f>'Reported burning'!C2396</f>
        <v>Human, deliberate</v>
      </c>
      <c r="D2396" s="151" t="str">
        <f>'Reported burning'!D2396</f>
        <v>Crop residue burning</v>
      </c>
      <c r="E2396" s="151" t="str">
        <f>'Reported burning'!E2396</f>
        <v>Cropping, Monoculture, Subsistence-oriented</v>
      </c>
      <c r="F2396" s="151" t="str">
        <f>'Reported burning'!F2396</f>
        <v>Cropland</v>
      </c>
      <c r="G2396" s="151" t="str">
        <f>'Reported burning'!G2396</f>
        <v>ND</v>
      </c>
      <c r="H2396" s="151" t="str">
        <f>'Reported burning'!H2396</f>
        <v>Presence</v>
      </c>
      <c r="I2396" s="5"/>
      <c r="J2396" s="4" t="s">
        <v>2272</v>
      </c>
      <c r="K2396" s="4" t="s">
        <v>2272</v>
      </c>
      <c r="L2396" s="4" t="s">
        <v>2272</v>
      </c>
      <c r="M2396" s="4" t="s">
        <v>2272</v>
      </c>
      <c r="N2396" s="4" t="s">
        <v>2272</v>
      </c>
      <c r="O2396" s="4" t="s">
        <v>2272</v>
      </c>
      <c r="P2396" s="4" t="s">
        <v>2272</v>
      </c>
      <c r="Q2396" s="4" t="s">
        <v>2272</v>
      </c>
      <c r="R2396" s="4" t="s">
        <v>2272</v>
      </c>
      <c r="S2396" s="4" t="s">
        <v>2272</v>
      </c>
      <c r="T2396" s="4" t="s">
        <v>2272</v>
      </c>
      <c r="U2396" s="4" t="s">
        <v>2272</v>
      </c>
      <c r="V2396" s="4" t="s">
        <v>2272</v>
      </c>
      <c r="W2396" s="4" t="s">
        <v>2272</v>
      </c>
      <c r="X2396" s="4" t="s">
        <v>2272</v>
      </c>
      <c r="Y2396" s="4" t="s">
        <v>2272</v>
      </c>
      <c r="Z2396" s="4" t="s">
        <v>2272</v>
      </c>
      <c r="AA2396" s="4" t="s">
        <v>63</v>
      </c>
      <c r="AB2396" s="4" t="s">
        <v>6431</v>
      </c>
      <c r="AC2396" s="4" t="s">
        <v>6430</v>
      </c>
    </row>
    <row r="2397" spans="1:29" s="197" customFormat="1" ht="58">
      <c r="A2397" s="151" t="str">
        <f>'Reported burning'!A2397</f>
        <v>274a</v>
      </c>
      <c r="B2397" s="151" t="str">
        <f>'Reported burning'!B2397</f>
        <v>274a.9</v>
      </c>
      <c r="C2397" s="151" t="str">
        <f>'Reported burning'!C2397</f>
        <v>Human, deliberate</v>
      </c>
      <c r="D2397" s="151" t="str">
        <f>'Reported burning'!D2397</f>
        <v>Crop residue burning</v>
      </c>
      <c r="E2397" s="151" t="str">
        <f>'Reported burning'!E2397</f>
        <v>Cropping, Monoculture, Subsistence-oriented</v>
      </c>
      <c r="F2397" s="151" t="str">
        <f>'Reported burning'!F2397</f>
        <v>Cropland</v>
      </c>
      <c r="G2397" s="151" t="str">
        <f>'Reported burning'!G2397</f>
        <v>ND</v>
      </c>
      <c r="H2397" s="151" t="str">
        <f>'Reported burning'!H2397</f>
        <v>Presence</v>
      </c>
      <c r="I2397" s="5"/>
      <c r="J2397" s="4" t="s">
        <v>2272</v>
      </c>
      <c r="K2397" s="4" t="s">
        <v>2272</v>
      </c>
      <c r="L2397" s="4" t="s">
        <v>2272</v>
      </c>
      <c r="M2397" s="4" t="s">
        <v>2272</v>
      </c>
      <c r="N2397" s="4" t="s">
        <v>2272</v>
      </c>
      <c r="O2397" s="4" t="s">
        <v>2272</v>
      </c>
      <c r="P2397" s="4" t="s">
        <v>2272</v>
      </c>
      <c r="Q2397" s="4" t="s">
        <v>2272</v>
      </c>
      <c r="R2397" s="4" t="s">
        <v>2272</v>
      </c>
      <c r="S2397" s="4" t="s">
        <v>2272</v>
      </c>
      <c r="T2397" s="4" t="s">
        <v>2272</v>
      </c>
      <c r="U2397" s="4" t="s">
        <v>2272</v>
      </c>
      <c r="V2397" s="4" t="s">
        <v>2272</v>
      </c>
      <c r="W2397" s="4" t="s">
        <v>2272</v>
      </c>
      <c r="X2397" s="4" t="s">
        <v>2272</v>
      </c>
      <c r="Y2397" s="4" t="s">
        <v>2272</v>
      </c>
      <c r="Z2397" s="4" t="s">
        <v>2272</v>
      </c>
      <c r="AA2397" s="4" t="s">
        <v>63</v>
      </c>
      <c r="AB2397" s="4" t="s">
        <v>6432</v>
      </c>
      <c r="AC2397" s="4" t="s">
        <v>6430</v>
      </c>
    </row>
    <row r="2398" spans="1:29" s="197" customFormat="1" ht="58">
      <c r="A2398" s="151" t="str">
        <f>'Reported burning'!A2398</f>
        <v>274a</v>
      </c>
      <c r="B2398" s="151" t="str">
        <f>'Reported burning'!B2398</f>
        <v>274a.10</v>
      </c>
      <c r="C2398" s="151" t="str">
        <f>'Reported burning'!C2398</f>
        <v>Human, deliberate</v>
      </c>
      <c r="D2398" s="151" t="str">
        <f>'Reported burning'!D2398</f>
        <v>Crop residue burning</v>
      </c>
      <c r="E2398" s="151" t="str">
        <f>'Reported burning'!E2398</f>
        <v>Cropping, Monoculture, Subsistence-oriented</v>
      </c>
      <c r="F2398" s="151" t="str">
        <f>'Reported burning'!F2398</f>
        <v>Cropland</v>
      </c>
      <c r="G2398" s="151" t="str">
        <f>'Reported burning'!G2398</f>
        <v>ND</v>
      </c>
      <c r="H2398" s="151" t="str">
        <f>'Reported burning'!H2398</f>
        <v>Presence</v>
      </c>
      <c r="I2398" s="5"/>
      <c r="J2398" s="4" t="s">
        <v>2272</v>
      </c>
      <c r="K2398" s="4" t="s">
        <v>2272</v>
      </c>
      <c r="L2398" s="4" t="s">
        <v>2272</v>
      </c>
      <c r="M2398" s="4" t="s">
        <v>2272</v>
      </c>
      <c r="N2398" s="4" t="s">
        <v>2272</v>
      </c>
      <c r="O2398" s="4" t="s">
        <v>2272</v>
      </c>
      <c r="P2398" s="4" t="s">
        <v>2272</v>
      </c>
      <c r="Q2398" s="4" t="s">
        <v>2272</v>
      </c>
      <c r="R2398" s="4" t="s">
        <v>2272</v>
      </c>
      <c r="S2398" s="4" t="s">
        <v>2272</v>
      </c>
      <c r="T2398" s="4" t="s">
        <v>2272</v>
      </c>
      <c r="U2398" s="4" t="s">
        <v>2272</v>
      </c>
      <c r="V2398" s="4" t="s">
        <v>2272</v>
      </c>
      <c r="W2398" s="4" t="s">
        <v>2272</v>
      </c>
      <c r="X2398" s="4" t="s">
        <v>2272</v>
      </c>
      <c r="Y2398" s="4" t="s">
        <v>2272</v>
      </c>
      <c r="Z2398" s="4" t="s">
        <v>2272</v>
      </c>
      <c r="AA2398" s="4" t="s">
        <v>63</v>
      </c>
      <c r="AB2398" s="4" t="s">
        <v>6431</v>
      </c>
      <c r="AC2398" s="4" t="s">
        <v>6430</v>
      </c>
    </row>
    <row r="2399" spans="1:29" s="197" customFormat="1" ht="58">
      <c r="A2399" s="151" t="str">
        <f>'Reported burning'!A2399</f>
        <v>274a</v>
      </c>
      <c r="B2399" s="151" t="str">
        <f>'Reported burning'!B2399</f>
        <v>274a.11</v>
      </c>
      <c r="C2399" s="151" t="str">
        <f>'Reported burning'!C2399</f>
        <v>Human, deliberate</v>
      </c>
      <c r="D2399" s="151" t="str">
        <f>'Reported burning'!D2399</f>
        <v>Crop residue burning</v>
      </c>
      <c r="E2399" s="151" t="str">
        <f>'Reported burning'!E2399</f>
        <v>Cropping, Monoculture, Subsistence-oriented</v>
      </c>
      <c r="F2399" s="151" t="str">
        <f>'Reported burning'!F2399</f>
        <v>Cropland</v>
      </c>
      <c r="G2399" s="151" t="str">
        <f>'Reported burning'!G2399</f>
        <v>ND</v>
      </c>
      <c r="H2399" s="151" t="str">
        <f>'Reported burning'!H2399</f>
        <v>Presence</v>
      </c>
      <c r="I2399" s="5"/>
      <c r="J2399" s="4" t="s">
        <v>2272</v>
      </c>
      <c r="K2399" s="4" t="s">
        <v>2272</v>
      </c>
      <c r="L2399" s="4" t="s">
        <v>2272</v>
      </c>
      <c r="M2399" s="4" t="s">
        <v>2272</v>
      </c>
      <c r="N2399" s="4" t="s">
        <v>2272</v>
      </c>
      <c r="O2399" s="4" t="s">
        <v>2272</v>
      </c>
      <c r="P2399" s="4" t="s">
        <v>2272</v>
      </c>
      <c r="Q2399" s="4" t="s">
        <v>2272</v>
      </c>
      <c r="R2399" s="4" t="s">
        <v>2272</v>
      </c>
      <c r="S2399" s="4" t="s">
        <v>2272</v>
      </c>
      <c r="T2399" s="4" t="s">
        <v>2272</v>
      </c>
      <c r="U2399" s="4" t="s">
        <v>2272</v>
      </c>
      <c r="V2399" s="4" t="s">
        <v>2272</v>
      </c>
      <c r="W2399" s="4" t="s">
        <v>2272</v>
      </c>
      <c r="X2399" s="4" t="s">
        <v>2272</v>
      </c>
      <c r="Y2399" s="4" t="s">
        <v>2272</v>
      </c>
      <c r="Z2399" s="4" t="s">
        <v>2272</v>
      </c>
      <c r="AA2399" s="4" t="s">
        <v>63</v>
      </c>
      <c r="AB2399" s="4" t="s">
        <v>6433</v>
      </c>
      <c r="AC2399" s="4" t="s">
        <v>6430</v>
      </c>
    </row>
    <row r="2400" spans="1:29" s="197" customFormat="1" ht="58">
      <c r="A2400" s="151" t="str">
        <f>'Reported burning'!A2400</f>
        <v>274a</v>
      </c>
      <c r="B2400" s="151" t="str">
        <f>'Reported burning'!B2400</f>
        <v>274a.12</v>
      </c>
      <c r="C2400" s="151" t="str">
        <f>'Reported burning'!C2400</f>
        <v>Human, deliberate</v>
      </c>
      <c r="D2400" s="151" t="str">
        <f>'Reported burning'!D2400</f>
        <v>Crop residue burning</v>
      </c>
      <c r="E2400" s="151" t="str">
        <f>'Reported burning'!E2400</f>
        <v>Cropping, Monoculture, Subsistence-oriented</v>
      </c>
      <c r="F2400" s="151" t="str">
        <f>'Reported burning'!F2400</f>
        <v>Cropland</v>
      </c>
      <c r="G2400" s="151" t="str">
        <f>'Reported burning'!G2400</f>
        <v>ND</v>
      </c>
      <c r="H2400" s="151" t="str">
        <f>'Reported burning'!H2400</f>
        <v>Presence</v>
      </c>
      <c r="I2400" s="5"/>
      <c r="J2400" s="4" t="s">
        <v>2272</v>
      </c>
      <c r="K2400" s="4" t="s">
        <v>2272</v>
      </c>
      <c r="L2400" s="4" t="s">
        <v>2272</v>
      </c>
      <c r="M2400" s="4" t="s">
        <v>2272</v>
      </c>
      <c r="N2400" s="4" t="s">
        <v>2272</v>
      </c>
      <c r="O2400" s="4" t="s">
        <v>2272</v>
      </c>
      <c r="P2400" s="4" t="s">
        <v>2272</v>
      </c>
      <c r="Q2400" s="4" t="s">
        <v>2272</v>
      </c>
      <c r="R2400" s="4" t="s">
        <v>2272</v>
      </c>
      <c r="S2400" s="4" t="s">
        <v>2272</v>
      </c>
      <c r="T2400" s="4" t="s">
        <v>2272</v>
      </c>
      <c r="U2400" s="4" t="s">
        <v>2272</v>
      </c>
      <c r="V2400" s="4" t="s">
        <v>2272</v>
      </c>
      <c r="W2400" s="4" t="s">
        <v>2272</v>
      </c>
      <c r="X2400" s="4" t="s">
        <v>2272</v>
      </c>
      <c r="Y2400" s="4" t="s">
        <v>2272</v>
      </c>
      <c r="Z2400" s="4" t="s">
        <v>2272</v>
      </c>
      <c r="AA2400" s="4" t="s">
        <v>63</v>
      </c>
      <c r="AB2400" s="4" t="s">
        <v>6431</v>
      </c>
      <c r="AC2400" s="4" t="s">
        <v>6430</v>
      </c>
    </row>
    <row r="2401" spans="1:29" ht="87">
      <c r="A2401" s="151" t="str">
        <f>'Reported burning'!A2401</f>
        <v>275a</v>
      </c>
      <c r="B2401" s="151" t="str">
        <f>'Reported burning'!B2401</f>
        <v>275a.1</v>
      </c>
      <c r="C2401" s="151" t="str">
        <f>'Reported burning'!C2401</f>
        <v>Human, deliberate</v>
      </c>
      <c r="D2401" s="151" t="str">
        <f>'Reported burning'!D2401</f>
        <v>Crop residue burning</v>
      </c>
      <c r="E2401" s="151" t="str">
        <f>'Reported burning'!E2401</f>
        <v>Mixed cropping-livestock small holder, Market-oriented</v>
      </c>
      <c r="F2401" s="151" t="str">
        <f>'Reported burning'!F2401</f>
        <v>Cropland</v>
      </c>
      <c r="G2401" s="151" t="str">
        <f>'Reported burning'!G2401</f>
        <v>ND</v>
      </c>
      <c r="H2401" s="151" t="str">
        <f>'Reported burning'!H2401</f>
        <v>Presence</v>
      </c>
      <c r="I2401" s="5"/>
      <c r="J2401" s="4" t="s">
        <v>2272</v>
      </c>
      <c r="K2401" s="4" t="s">
        <v>2272</v>
      </c>
      <c r="L2401" s="4" t="s">
        <v>2272</v>
      </c>
      <c r="M2401" s="4" t="s">
        <v>2272</v>
      </c>
      <c r="N2401" s="4" t="s">
        <v>2272</v>
      </c>
      <c r="O2401" s="4" t="s">
        <v>2272</v>
      </c>
      <c r="P2401" s="4" t="s">
        <v>2370</v>
      </c>
      <c r="Q2401" s="4" t="s">
        <v>2272</v>
      </c>
      <c r="R2401" s="4" t="s">
        <v>2272</v>
      </c>
      <c r="S2401" s="4" t="s">
        <v>2272</v>
      </c>
      <c r="T2401" s="21" t="s">
        <v>2386</v>
      </c>
      <c r="U2401" s="4" t="s">
        <v>2272</v>
      </c>
      <c r="V2401" s="4" t="s">
        <v>2272</v>
      </c>
      <c r="W2401" s="4" t="s">
        <v>2272</v>
      </c>
      <c r="X2401" s="4" t="s">
        <v>2370</v>
      </c>
      <c r="Y2401" s="198" t="s">
        <v>67</v>
      </c>
      <c r="Z2401" s="198" t="s">
        <v>34</v>
      </c>
      <c r="AA2401" s="4" t="s">
        <v>63</v>
      </c>
      <c r="AB2401" s="4" t="s">
        <v>6429</v>
      </c>
      <c r="AC2401" s="4" t="s">
        <v>8367</v>
      </c>
    </row>
    <row r="2402" spans="1:29" ht="87">
      <c r="A2402" s="151" t="str">
        <f>'Reported burning'!A2402</f>
        <v>275a</v>
      </c>
      <c r="B2402" s="151" t="str">
        <f>'Reported burning'!B2402</f>
        <v>275a.2</v>
      </c>
      <c r="C2402" s="151" t="str">
        <f>'Reported burning'!C2402</f>
        <v>Human, deliberate</v>
      </c>
      <c r="D2402" s="151" t="str">
        <f>'Reported burning'!D2402</f>
        <v>Crop residue burning</v>
      </c>
      <c r="E2402" s="151" t="str">
        <f>'Reported burning'!E2402</f>
        <v>Mixed cropping-livestock small holder, Market-oriented</v>
      </c>
      <c r="F2402" s="151" t="str">
        <f>'Reported burning'!F2402</f>
        <v>Cropland</v>
      </c>
      <c r="G2402" s="151" t="str">
        <f>'Reported burning'!G2402</f>
        <v>ND</v>
      </c>
      <c r="H2402" s="151" t="str">
        <f>'Reported burning'!H2402</f>
        <v>Presence</v>
      </c>
      <c r="I2402" s="5"/>
      <c r="J2402" s="4" t="s">
        <v>2272</v>
      </c>
      <c r="K2402" s="4" t="s">
        <v>2272</v>
      </c>
      <c r="L2402" s="4" t="s">
        <v>2272</v>
      </c>
      <c r="M2402" s="4" t="s">
        <v>2272</v>
      </c>
      <c r="N2402" s="4" t="s">
        <v>2272</v>
      </c>
      <c r="O2402" s="4" t="s">
        <v>2272</v>
      </c>
      <c r="P2402" s="4" t="s">
        <v>2370</v>
      </c>
      <c r="Q2402" s="4" t="s">
        <v>2272</v>
      </c>
      <c r="R2402" s="4" t="s">
        <v>2272</v>
      </c>
      <c r="S2402" s="4" t="s">
        <v>2272</v>
      </c>
      <c r="T2402" s="21" t="s">
        <v>2371</v>
      </c>
      <c r="U2402" s="4" t="s">
        <v>2272</v>
      </c>
      <c r="V2402" s="4" t="s">
        <v>2272</v>
      </c>
      <c r="W2402" s="4" t="s">
        <v>2272</v>
      </c>
      <c r="X2402" s="4" t="s">
        <v>2370</v>
      </c>
      <c r="Y2402" s="198" t="s">
        <v>84</v>
      </c>
      <c r="Z2402" s="198" t="s">
        <v>33</v>
      </c>
      <c r="AA2402" s="4" t="s">
        <v>63</v>
      </c>
      <c r="AB2402" s="4" t="s">
        <v>6431</v>
      </c>
      <c r="AC2402" s="4" t="s">
        <v>8367</v>
      </c>
    </row>
    <row r="2403" spans="1:29" ht="87">
      <c r="A2403" s="151" t="str">
        <f>'Reported burning'!A2403</f>
        <v>275b</v>
      </c>
      <c r="B2403" s="151" t="str">
        <f>'Reported burning'!B2403</f>
        <v>275b.1</v>
      </c>
      <c r="C2403" s="151" t="str">
        <f>'Reported burning'!C2403</f>
        <v>Human, deliberate</v>
      </c>
      <c r="D2403" s="151" t="str">
        <f>'Reported burning'!D2403</f>
        <v>Crop residue burning</v>
      </c>
      <c r="E2403" s="151" t="str">
        <f>'Reported burning'!E2403</f>
        <v>Mixed cropping-livestock small holder, Market-oriented</v>
      </c>
      <c r="F2403" s="151" t="str">
        <f>'Reported burning'!F2403</f>
        <v>Cropland</v>
      </c>
      <c r="G2403" s="151" t="str">
        <f>'Reported burning'!G2403</f>
        <v>ND</v>
      </c>
      <c r="H2403" s="151" t="str">
        <f>'Reported burning'!H2403</f>
        <v>Presence</v>
      </c>
      <c r="I2403" s="5"/>
      <c r="J2403" s="4" t="s">
        <v>2272</v>
      </c>
      <c r="K2403" s="4" t="s">
        <v>2272</v>
      </c>
      <c r="L2403" s="4" t="s">
        <v>2272</v>
      </c>
      <c r="M2403" s="4" t="s">
        <v>2272</v>
      </c>
      <c r="N2403" s="4" t="s">
        <v>2272</v>
      </c>
      <c r="O2403" s="4" t="s">
        <v>2272</v>
      </c>
      <c r="P2403" s="4" t="s">
        <v>2368</v>
      </c>
      <c r="Q2403" s="4" t="s">
        <v>2272</v>
      </c>
      <c r="R2403" s="4" t="s">
        <v>2272</v>
      </c>
      <c r="S2403" s="4" t="s">
        <v>2272</v>
      </c>
      <c r="T2403" s="21" t="s">
        <v>2384</v>
      </c>
      <c r="U2403" s="4" t="s">
        <v>2272</v>
      </c>
      <c r="V2403" s="4" t="s">
        <v>2272</v>
      </c>
      <c r="W2403" s="4" t="s">
        <v>2272</v>
      </c>
      <c r="X2403" s="4" t="s">
        <v>2370</v>
      </c>
      <c r="Y2403" s="198" t="s">
        <v>67</v>
      </c>
      <c r="Z2403" s="198" t="s">
        <v>34</v>
      </c>
      <c r="AA2403" s="4" t="s">
        <v>63</v>
      </c>
      <c r="AB2403" s="4" t="s">
        <v>6429</v>
      </c>
      <c r="AC2403" s="4" t="s">
        <v>8367</v>
      </c>
    </row>
    <row r="2404" spans="1:29" ht="87">
      <c r="A2404" s="151" t="str">
        <f>'Reported burning'!A2404</f>
        <v>275b</v>
      </c>
      <c r="B2404" s="151" t="str">
        <f>'Reported burning'!B2404</f>
        <v>275b.2</v>
      </c>
      <c r="C2404" s="151" t="str">
        <f>'Reported burning'!C2404</f>
        <v>Human, deliberate</v>
      </c>
      <c r="D2404" s="151" t="str">
        <f>'Reported burning'!D2404</f>
        <v>Crop residue burning</v>
      </c>
      <c r="E2404" s="151" t="str">
        <f>'Reported burning'!E2404</f>
        <v>Mixed cropping-livestock small holder, Market-oriented</v>
      </c>
      <c r="F2404" s="151" t="str">
        <f>'Reported burning'!F2404</f>
        <v>Cropland</v>
      </c>
      <c r="G2404" s="151" t="str">
        <f>'Reported burning'!G2404</f>
        <v>ND</v>
      </c>
      <c r="H2404" s="151" t="str">
        <f>'Reported burning'!H2404</f>
        <v>Presence</v>
      </c>
      <c r="I2404" s="5"/>
      <c r="J2404" s="4" t="s">
        <v>2272</v>
      </c>
      <c r="K2404" s="4" t="s">
        <v>2272</v>
      </c>
      <c r="L2404" s="4" t="s">
        <v>2272</v>
      </c>
      <c r="M2404" s="4" t="s">
        <v>2272</v>
      </c>
      <c r="N2404" s="4" t="s">
        <v>2272</v>
      </c>
      <c r="O2404" s="4" t="s">
        <v>2272</v>
      </c>
      <c r="P2404" s="4" t="s">
        <v>2368</v>
      </c>
      <c r="Q2404" s="4" t="s">
        <v>2272</v>
      </c>
      <c r="R2404" s="4" t="s">
        <v>2272</v>
      </c>
      <c r="S2404" s="4" t="s">
        <v>2272</v>
      </c>
      <c r="T2404" s="21" t="s">
        <v>2371</v>
      </c>
      <c r="U2404" s="4" t="s">
        <v>2272</v>
      </c>
      <c r="V2404" s="4" t="s">
        <v>2272</v>
      </c>
      <c r="W2404" s="4" t="s">
        <v>2272</v>
      </c>
      <c r="X2404" s="4" t="s">
        <v>2370</v>
      </c>
      <c r="Y2404" s="198" t="s">
        <v>84</v>
      </c>
      <c r="Z2404" s="198" t="s">
        <v>33</v>
      </c>
      <c r="AA2404" s="4" t="s">
        <v>63</v>
      </c>
      <c r="AB2404" s="4" t="s">
        <v>6431</v>
      </c>
      <c r="AC2404" s="4" t="s">
        <v>8367</v>
      </c>
    </row>
    <row r="2405" spans="1:29" ht="56" customHeight="1">
      <c r="A2405" s="151" t="str">
        <f>'Reported burning'!A2405</f>
        <v>275c</v>
      </c>
      <c r="B2405" s="151" t="str">
        <f>'Reported burning'!B2405</f>
        <v>275c.1</v>
      </c>
      <c r="C2405" s="151" t="str">
        <f>'Reported burning'!C2405</f>
        <v>Human, deliberate</v>
      </c>
      <c r="D2405" s="151" t="str">
        <f>'Reported burning'!D2405</f>
        <v>Crop residue burning</v>
      </c>
      <c r="E2405" s="151" t="str">
        <f>'Reported burning'!E2405</f>
        <v>Mixed cropping-livestock small holder, Market-oriented</v>
      </c>
      <c r="F2405" s="151" t="str">
        <f>'Reported burning'!F2405</f>
        <v>Cropland</v>
      </c>
      <c r="G2405" s="151" t="str">
        <f>'Reported burning'!G2405</f>
        <v>ND</v>
      </c>
      <c r="H2405" s="151" t="str">
        <f>'Reported burning'!H2405</f>
        <v>Presence</v>
      </c>
      <c r="I2405" s="5"/>
      <c r="J2405" s="4" t="s">
        <v>2272</v>
      </c>
      <c r="K2405" s="4" t="s">
        <v>2272</v>
      </c>
      <c r="L2405" s="4" t="s">
        <v>2272</v>
      </c>
      <c r="M2405" s="4" t="s">
        <v>2272</v>
      </c>
      <c r="N2405" s="4" t="s">
        <v>2272</v>
      </c>
      <c r="O2405" s="4" t="s">
        <v>2272</v>
      </c>
      <c r="P2405" s="4" t="s">
        <v>2370</v>
      </c>
      <c r="Q2405" s="4" t="s">
        <v>2272</v>
      </c>
      <c r="R2405" s="4" t="s">
        <v>2272</v>
      </c>
      <c r="S2405" s="4" t="s">
        <v>2272</v>
      </c>
      <c r="T2405" s="21" t="s">
        <v>2522</v>
      </c>
      <c r="U2405" s="4" t="s">
        <v>2272</v>
      </c>
      <c r="V2405" s="4" t="s">
        <v>2272</v>
      </c>
      <c r="W2405" s="4" t="s">
        <v>2272</v>
      </c>
      <c r="X2405" s="4" t="s">
        <v>2370</v>
      </c>
      <c r="Y2405" s="198" t="s">
        <v>84</v>
      </c>
      <c r="Z2405" s="198" t="s">
        <v>33</v>
      </c>
      <c r="AA2405" s="4" t="s">
        <v>63</v>
      </c>
      <c r="AB2405" s="4" t="s">
        <v>6434</v>
      </c>
      <c r="AC2405" s="4" t="s">
        <v>8367</v>
      </c>
    </row>
    <row r="2406" spans="1:29" s="197" customFormat="1" ht="29">
      <c r="A2406" s="151" t="str">
        <f>'Reported burning'!A2406</f>
        <v>275c</v>
      </c>
      <c r="B2406" s="151" t="str">
        <f>'Reported burning'!B2406</f>
        <v>275c.2</v>
      </c>
      <c r="C2406" s="151" t="str">
        <f>'Reported burning'!C2406</f>
        <v>Human, deliberate</v>
      </c>
      <c r="D2406" s="151" t="str">
        <f>'Reported burning'!D2406</f>
        <v>Crop residue burning</v>
      </c>
      <c r="E2406" s="151" t="str">
        <f>'Reported burning'!E2406</f>
        <v>Mixed cropping-livestock small holder, Market-oriented</v>
      </c>
      <c r="F2406" s="151" t="str">
        <f>'Reported burning'!F2406</f>
        <v>Cropland</v>
      </c>
      <c r="G2406" s="151" t="str">
        <f>'Reported burning'!G2406</f>
        <v>ND</v>
      </c>
      <c r="H2406" s="151"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v>0</v>
      </c>
      <c r="X2406" s="4" t="s">
        <v>2272</v>
      </c>
      <c r="Y2406" s="198" t="s">
        <v>67</v>
      </c>
      <c r="Z2406" s="198" t="s">
        <v>34</v>
      </c>
      <c r="AA2406" s="4" t="s">
        <v>2272</v>
      </c>
      <c r="AB2406" s="4" t="s">
        <v>8368</v>
      </c>
      <c r="AC2406" s="4"/>
    </row>
    <row r="2407" spans="1:29" ht="87">
      <c r="A2407" s="151" t="str">
        <f>'Reported burning'!A2407</f>
        <v>275d</v>
      </c>
      <c r="B2407" s="151" t="str">
        <f>'Reported burning'!B2407</f>
        <v>275d.1</v>
      </c>
      <c r="C2407" s="151" t="str">
        <f>'Reported burning'!C2407</f>
        <v>Human, deliberate</v>
      </c>
      <c r="D2407" s="151" t="str">
        <f>'Reported burning'!D2407</f>
        <v>Crop residue burning</v>
      </c>
      <c r="E2407" s="151" t="str">
        <f>'Reported burning'!E2407</f>
        <v>Mixed cropping-livestock small holder, Market-oriented</v>
      </c>
      <c r="F2407" s="151" t="str">
        <f>'Reported burning'!F2407</f>
        <v>Cropland</v>
      </c>
      <c r="G2407" s="151" t="str">
        <f>'Reported burning'!G2407</f>
        <v>ND</v>
      </c>
      <c r="H2407" s="151" t="str">
        <f>'Reported burning'!H2407</f>
        <v>Presence</v>
      </c>
      <c r="I2407" s="5"/>
      <c r="J2407" s="4" t="s">
        <v>2272</v>
      </c>
      <c r="K2407" s="4" t="s">
        <v>2272</v>
      </c>
      <c r="L2407" s="4" t="s">
        <v>2272</v>
      </c>
      <c r="M2407" s="4" t="s">
        <v>2272</v>
      </c>
      <c r="N2407" s="4" t="s">
        <v>2272</v>
      </c>
      <c r="O2407" s="4" t="s">
        <v>2272</v>
      </c>
      <c r="P2407" s="4" t="s">
        <v>2370</v>
      </c>
      <c r="Q2407" s="4" t="s">
        <v>2272</v>
      </c>
      <c r="R2407" s="4" t="s">
        <v>2272</v>
      </c>
      <c r="S2407" s="4" t="s">
        <v>2272</v>
      </c>
      <c r="T2407" s="21" t="s">
        <v>2369</v>
      </c>
      <c r="U2407" s="4" t="s">
        <v>2272</v>
      </c>
      <c r="V2407" s="4" t="s">
        <v>2272</v>
      </c>
      <c r="W2407" s="4" t="s">
        <v>2272</v>
      </c>
      <c r="X2407" s="4" t="s">
        <v>2370</v>
      </c>
      <c r="Y2407" s="198" t="s">
        <v>67</v>
      </c>
      <c r="Z2407" s="198" t="s">
        <v>34</v>
      </c>
      <c r="AA2407" s="4" t="s">
        <v>63</v>
      </c>
      <c r="AB2407" s="4" t="s">
        <v>6435</v>
      </c>
      <c r="AC2407" s="4" t="s">
        <v>8367</v>
      </c>
    </row>
    <row r="2408" spans="1:29" ht="87">
      <c r="A2408" s="151" t="str">
        <f>'Reported burning'!A2408</f>
        <v>275d</v>
      </c>
      <c r="B2408" s="151" t="str">
        <f>'Reported burning'!B2408</f>
        <v>275d.2</v>
      </c>
      <c r="C2408" s="151" t="str">
        <f>'Reported burning'!C2408</f>
        <v>Human, deliberate</v>
      </c>
      <c r="D2408" s="151" t="str">
        <f>'Reported burning'!D2408</f>
        <v>Crop residue burning</v>
      </c>
      <c r="E2408" s="151" t="str">
        <f>'Reported burning'!E2408</f>
        <v>Mixed cropping-livestock small holder, Market-oriented</v>
      </c>
      <c r="F2408" s="151" t="str">
        <f>'Reported burning'!F2408</f>
        <v>Cropland</v>
      </c>
      <c r="G2408" s="151" t="str">
        <f>'Reported burning'!G2408</f>
        <v>ND</v>
      </c>
      <c r="H2408" s="151" t="str">
        <f>'Reported burning'!H2408</f>
        <v>Presence</v>
      </c>
      <c r="I2408" s="5"/>
      <c r="J2408" s="4" t="s">
        <v>2272</v>
      </c>
      <c r="K2408" s="4" t="s">
        <v>2272</v>
      </c>
      <c r="L2408" s="4" t="s">
        <v>2272</v>
      </c>
      <c r="M2408" s="4" t="s">
        <v>2272</v>
      </c>
      <c r="N2408" s="4" t="s">
        <v>2272</v>
      </c>
      <c r="O2408" s="4" t="s">
        <v>2272</v>
      </c>
      <c r="P2408" s="4" t="s">
        <v>2370</v>
      </c>
      <c r="Q2408" s="4" t="s">
        <v>2272</v>
      </c>
      <c r="R2408" s="4" t="s">
        <v>2272</v>
      </c>
      <c r="S2408" s="4" t="s">
        <v>2272</v>
      </c>
      <c r="T2408" s="21" t="s">
        <v>2371</v>
      </c>
      <c r="U2408" s="4" t="s">
        <v>2272</v>
      </c>
      <c r="V2408" s="4" t="s">
        <v>2272</v>
      </c>
      <c r="W2408" s="4" t="s">
        <v>2272</v>
      </c>
      <c r="X2408" s="4" t="s">
        <v>2370</v>
      </c>
      <c r="Y2408" s="198" t="s">
        <v>84</v>
      </c>
      <c r="Z2408" s="198" t="s">
        <v>33</v>
      </c>
      <c r="AA2408" s="4" t="s">
        <v>63</v>
      </c>
      <c r="AB2408" s="4" t="s">
        <v>6436</v>
      </c>
      <c r="AC2408" s="4" t="s">
        <v>8367</v>
      </c>
    </row>
    <row r="2409" spans="1:29" ht="29">
      <c r="A2409" s="151" t="str">
        <f>'Reported burning'!A2409</f>
        <v>275e</v>
      </c>
      <c r="B2409" s="151" t="str">
        <f>'Reported burning'!B2409</f>
        <v>275e.1</v>
      </c>
      <c r="C2409" s="151" t="str">
        <f>'Reported burning'!C2409</f>
        <v>Human, deliberate</v>
      </c>
      <c r="D2409" s="151" t="str">
        <f>'Reported burning'!D2409</f>
        <v>Crop residue burning</v>
      </c>
      <c r="E2409" s="151" t="str">
        <f>'Reported burning'!E2409</f>
        <v>Mixed cropping-livestock small holder, Market-oriented</v>
      </c>
      <c r="F2409" s="151" t="str">
        <f>'Reported burning'!F2409</f>
        <v>Cropland</v>
      </c>
      <c r="G2409" s="151" t="str">
        <f>'Reported burning'!G2409</f>
        <v>ND</v>
      </c>
      <c r="H2409" s="151"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v>0</v>
      </c>
      <c r="X2409" s="4" t="s">
        <v>2272</v>
      </c>
      <c r="Y2409" s="198" t="s">
        <v>67</v>
      </c>
      <c r="Z2409" s="198" t="s">
        <v>34</v>
      </c>
      <c r="AA2409" s="4" t="s">
        <v>63</v>
      </c>
      <c r="AB2409" s="4" t="s">
        <v>6435</v>
      </c>
      <c r="AC2409" s="4"/>
    </row>
    <row r="2410" spans="1:29" ht="29">
      <c r="A2410" s="151" t="str">
        <f>'Reported burning'!A2410</f>
        <v>275e</v>
      </c>
      <c r="B2410" s="151" t="str">
        <f>'Reported burning'!B2410</f>
        <v>275e.2</v>
      </c>
      <c r="C2410" s="151" t="str">
        <f>'Reported burning'!C2410</f>
        <v>Human, deliberate</v>
      </c>
      <c r="D2410" s="151" t="str">
        <f>'Reported burning'!D2410</f>
        <v>Crop residue burning</v>
      </c>
      <c r="E2410" s="151" t="str">
        <f>'Reported burning'!E2410</f>
        <v>Mixed cropping-livestock small holder, Market-oriented</v>
      </c>
      <c r="F2410" s="151" t="str">
        <f>'Reported burning'!F2410</f>
        <v>Cropland</v>
      </c>
      <c r="G2410" s="151" t="str">
        <f>'Reported burning'!G2410</f>
        <v>ND</v>
      </c>
      <c r="H2410" s="151"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v>0</v>
      </c>
      <c r="X2410" s="4" t="s">
        <v>2272</v>
      </c>
      <c r="Y2410" s="198" t="s">
        <v>84</v>
      </c>
      <c r="Z2410" s="198" t="s">
        <v>33</v>
      </c>
      <c r="AA2410" s="4" t="s">
        <v>63</v>
      </c>
      <c r="AB2410" s="4" t="s">
        <v>6436</v>
      </c>
      <c r="AC2410" s="4"/>
    </row>
    <row r="2411" spans="1:29" ht="29">
      <c r="A2411" s="151" t="str">
        <f>'Reported burning'!A2411</f>
        <v>275f</v>
      </c>
      <c r="B2411" s="151" t="str">
        <f>'Reported burning'!B2411</f>
        <v>275f.1</v>
      </c>
      <c r="C2411" s="151" t="str">
        <f>'Reported burning'!C2411</f>
        <v>Human, deliberate</v>
      </c>
      <c r="D2411" s="151" t="str">
        <f>'Reported burning'!D2411</f>
        <v>Crop residue burning</v>
      </c>
      <c r="E2411" s="151" t="str">
        <f>'Reported burning'!E2411</f>
        <v>Mixed cropping-livestock small holder, Market-oriented</v>
      </c>
      <c r="F2411" s="151" t="str">
        <f>'Reported burning'!F2411</f>
        <v>Cropland</v>
      </c>
      <c r="G2411" s="151" t="str">
        <f>'Reported burning'!G2411</f>
        <v>ND</v>
      </c>
      <c r="H2411" s="151"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v>0</v>
      </c>
      <c r="X2411" s="4" t="s">
        <v>2272</v>
      </c>
      <c r="Y2411" s="198" t="s">
        <v>67</v>
      </c>
      <c r="Z2411" s="198" t="s">
        <v>34</v>
      </c>
      <c r="AA2411" s="4" t="s">
        <v>63</v>
      </c>
      <c r="AB2411" s="4" t="s">
        <v>6435</v>
      </c>
      <c r="AC2411" s="4"/>
    </row>
    <row r="2412" spans="1:29" ht="87">
      <c r="A2412" s="151" t="str">
        <f>'Reported burning'!A2412</f>
        <v>275f</v>
      </c>
      <c r="B2412" s="151" t="str">
        <f>'Reported burning'!B2412</f>
        <v>275f.2</v>
      </c>
      <c r="C2412" s="151" t="str">
        <f>'Reported burning'!C2412</f>
        <v>Human, deliberate</v>
      </c>
      <c r="D2412" s="151" t="str">
        <f>'Reported burning'!D2412</f>
        <v>Crop residue burning</v>
      </c>
      <c r="E2412" s="151" t="str">
        <f>'Reported burning'!E2412</f>
        <v>Mixed cropping-livestock small holder, Market-oriented</v>
      </c>
      <c r="F2412" s="151" t="str">
        <f>'Reported burning'!F2412</f>
        <v>Cropland</v>
      </c>
      <c r="G2412" s="151" t="str">
        <f>'Reported burning'!G2412</f>
        <v>ND</v>
      </c>
      <c r="H2412" s="151" t="str">
        <f>'Reported burning'!H2412</f>
        <v>Presence</v>
      </c>
      <c r="I2412" s="5"/>
      <c r="J2412" s="4" t="s">
        <v>2272</v>
      </c>
      <c r="K2412" s="4" t="s">
        <v>2272</v>
      </c>
      <c r="L2412" s="4" t="s">
        <v>2272</v>
      </c>
      <c r="M2412" s="4" t="s">
        <v>2272</v>
      </c>
      <c r="N2412" s="4" t="s">
        <v>2272</v>
      </c>
      <c r="O2412" s="4" t="s">
        <v>2272</v>
      </c>
      <c r="P2412" s="4" t="s">
        <v>2370</v>
      </c>
      <c r="Q2412" s="4" t="s">
        <v>2272</v>
      </c>
      <c r="R2412" s="4" t="s">
        <v>2272</v>
      </c>
      <c r="S2412" s="4" t="s">
        <v>2272</v>
      </c>
      <c r="T2412" s="21" t="s">
        <v>2369</v>
      </c>
      <c r="U2412" s="4" t="s">
        <v>2272</v>
      </c>
      <c r="V2412" s="4" t="s">
        <v>2272</v>
      </c>
      <c r="W2412" s="4" t="s">
        <v>2272</v>
      </c>
      <c r="X2412" s="4" t="s">
        <v>2370</v>
      </c>
      <c r="Y2412" s="198" t="s">
        <v>84</v>
      </c>
      <c r="Z2412" s="198" t="s">
        <v>33</v>
      </c>
      <c r="AA2412" s="4" t="s">
        <v>63</v>
      </c>
      <c r="AB2412" s="4" t="s">
        <v>6436</v>
      </c>
      <c r="AC2412" s="4" t="s">
        <v>8367</v>
      </c>
    </row>
    <row r="2413" spans="1:29" ht="29">
      <c r="A2413" s="151" t="str">
        <f>'Reported burning'!A2413</f>
        <v>275g</v>
      </c>
      <c r="B2413" s="151" t="str">
        <f>'Reported burning'!B2413</f>
        <v>275g.1</v>
      </c>
      <c r="C2413" s="151" t="str">
        <f>'Reported burning'!C2413</f>
        <v>Human, deliberate</v>
      </c>
      <c r="D2413" s="151" t="str">
        <f>'Reported burning'!D2413</f>
        <v>Crop residue burning</v>
      </c>
      <c r="E2413" s="151" t="str">
        <f>'Reported burning'!E2413</f>
        <v>Mixed cropping-livestock small holder, Subsistence-oriented</v>
      </c>
      <c r="F2413" s="151" t="str">
        <f>'Reported burning'!F2413</f>
        <v>Cropland</v>
      </c>
      <c r="G2413" s="151" t="str">
        <f>'Reported burning'!G2413</f>
        <v>ND</v>
      </c>
      <c r="H2413" s="151"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v>0</v>
      </c>
      <c r="X2413" s="4" t="s">
        <v>2272</v>
      </c>
      <c r="Y2413" s="198" t="s">
        <v>67</v>
      </c>
      <c r="Z2413" s="198" t="s">
        <v>34</v>
      </c>
      <c r="AA2413" s="4" t="s">
        <v>63</v>
      </c>
      <c r="AB2413" s="4" t="s">
        <v>6437</v>
      </c>
      <c r="AC2413" s="4"/>
    </row>
    <row r="2414" spans="1:29" ht="29">
      <c r="A2414" s="151" t="str">
        <f>'Reported burning'!A2414</f>
        <v>275g</v>
      </c>
      <c r="B2414" s="151" t="str">
        <f>'Reported burning'!B2414</f>
        <v>275g.2</v>
      </c>
      <c r="C2414" s="151" t="str">
        <f>'Reported burning'!C2414</f>
        <v>Human, deliberate</v>
      </c>
      <c r="D2414" s="151" t="str">
        <f>'Reported burning'!D2414</f>
        <v>Crop residue burning</v>
      </c>
      <c r="E2414" s="151" t="str">
        <f>'Reported burning'!E2414</f>
        <v>Mixed cropping-livestock small holder, Subsistence-oriented</v>
      </c>
      <c r="F2414" s="151" t="str">
        <f>'Reported burning'!F2414</f>
        <v>Cropland</v>
      </c>
      <c r="G2414" s="151" t="str">
        <f>'Reported burning'!G2414</f>
        <v>ND</v>
      </c>
      <c r="H2414" s="151"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v>0</v>
      </c>
      <c r="X2414" s="4" t="s">
        <v>2272</v>
      </c>
      <c r="Y2414" s="198" t="s">
        <v>84</v>
      </c>
      <c r="Z2414" s="198" t="s">
        <v>33</v>
      </c>
      <c r="AA2414" s="4" t="s">
        <v>63</v>
      </c>
      <c r="AB2414" s="4" t="s">
        <v>6438</v>
      </c>
      <c r="AC2414" s="4"/>
    </row>
    <row r="2415" spans="1:29" ht="87">
      <c r="A2415" s="151" t="str">
        <f>'Reported burning'!A2415</f>
        <v>275h</v>
      </c>
      <c r="B2415" s="151" t="str">
        <f>'Reported burning'!B2415</f>
        <v>275h.1</v>
      </c>
      <c r="C2415" s="151" t="str">
        <f>'Reported burning'!C2415</f>
        <v>Human, deliberate</v>
      </c>
      <c r="D2415" s="151" t="str">
        <f>'Reported burning'!D2415</f>
        <v>Crop residue burning</v>
      </c>
      <c r="E2415" s="151" t="str">
        <f>'Reported burning'!E2415</f>
        <v>Mixed cropping-livestock small holder, Subsistence-oriented</v>
      </c>
      <c r="F2415" s="151" t="str">
        <f>'Reported burning'!F2415</f>
        <v>Cropland</v>
      </c>
      <c r="G2415" s="151" t="str">
        <f>'Reported burning'!G2415</f>
        <v>ND</v>
      </c>
      <c r="H2415" s="151" t="str">
        <f>'Reported burning'!H2415</f>
        <v>Presence</v>
      </c>
      <c r="I2415" s="5"/>
      <c r="J2415" s="4" t="s">
        <v>2272</v>
      </c>
      <c r="K2415" s="4" t="s">
        <v>2272</v>
      </c>
      <c r="L2415" s="4" t="s">
        <v>2272</v>
      </c>
      <c r="M2415" s="4" t="s">
        <v>2272</v>
      </c>
      <c r="N2415" s="4" t="s">
        <v>2272</v>
      </c>
      <c r="O2415" s="4" t="s">
        <v>2272</v>
      </c>
      <c r="P2415" s="4" t="s">
        <v>2370</v>
      </c>
      <c r="Q2415" s="4" t="s">
        <v>2272</v>
      </c>
      <c r="R2415" s="4" t="s">
        <v>2272</v>
      </c>
      <c r="S2415" s="4" t="s">
        <v>2272</v>
      </c>
      <c r="T2415" s="21" t="s">
        <v>2522</v>
      </c>
      <c r="U2415" s="4" t="s">
        <v>2272</v>
      </c>
      <c r="V2415" s="4" t="s">
        <v>2272</v>
      </c>
      <c r="W2415" s="4" t="s">
        <v>2272</v>
      </c>
      <c r="X2415" s="4" t="s">
        <v>2370</v>
      </c>
      <c r="Y2415" s="198" t="s">
        <v>67</v>
      </c>
      <c r="Z2415" s="198" t="s">
        <v>34</v>
      </c>
      <c r="AA2415" s="4" t="s">
        <v>63</v>
      </c>
      <c r="AB2415" s="4" t="s">
        <v>6435</v>
      </c>
      <c r="AC2415" s="4" t="s">
        <v>8367</v>
      </c>
    </row>
    <row r="2416" spans="1:29" ht="87">
      <c r="A2416" s="151" t="str">
        <f>'Reported burning'!A2416</f>
        <v>275h</v>
      </c>
      <c r="B2416" s="151" t="str">
        <f>'Reported burning'!B2416</f>
        <v>275h.2</v>
      </c>
      <c r="C2416" s="151" t="str">
        <f>'Reported burning'!C2416</f>
        <v>Human, deliberate</v>
      </c>
      <c r="D2416" s="151" t="str">
        <f>'Reported burning'!D2416</f>
        <v>Crop residue burning</v>
      </c>
      <c r="E2416" s="151" t="str">
        <f>'Reported burning'!E2416</f>
        <v>Mixed cropping-livestock small holder, Subsistence-oriented</v>
      </c>
      <c r="F2416" s="151" t="str">
        <f>'Reported burning'!F2416</f>
        <v>Cropland</v>
      </c>
      <c r="G2416" s="151" t="str">
        <f>'Reported burning'!G2416</f>
        <v>ND</v>
      </c>
      <c r="H2416" s="151" t="str">
        <f>'Reported burning'!H2416</f>
        <v>Presence</v>
      </c>
      <c r="I2416" s="5"/>
      <c r="J2416" s="4" t="s">
        <v>2272</v>
      </c>
      <c r="K2416" s="4" t="s">
        <v>2272</v>
      </c>
      <c r="L2416" s="4" t="s">
        <v>2272</v>
      </c>
      <c r="M2416" s="4" t="s">
        <v>2272</v>
      </c>
      <c r="N2416" s="4" t="s">
        <v>2272</v>
      </c>
      <c r="O2416" s="4" t="s">
        <v>2272</v>
      </c>
      <c r="P2416" s="4" t="s">
        <v>2370</v>
      </c>
      <c r="Q2416" s="4" t="s">
        <v>2272</v>
      </c>
      <c r="R2416" s="4" t="s">
        <v>2272</v>
      </c>
      <c r="S2416" s="4" t="s">
        <v>2272</v>
      </c>
      <c r="T2416" s="21" t="s">
        <v>2522</v>
      </c>
      <c r="U2416" s="4" t="s">
        <v>2272</v>
      </c>
      <c r="V2416" s="4" t="s">
        <v>2272</v>
      </c>
      <c r="W2416" s="4" t="s">
        <v>2272</v>
      </c>
      <c r="X2416" s="4" t="s">
        <v>2370</v>
      </c>
      <c r="Y2416" s="198" t="s">
        <v>84</v>
      </c>
      <c r="Z2416" s="198" t="s">
        <v>33</v>
      </c>
      <c r="AA2416" s="4" t="s">
        <v>63</v>
      </c>
      <c r="AB2416" s="4" t="s">
        <v>6436</v>
      </c>
      <c r="AC2416" s="4" t="s">
        <v>8367</v>
      </c>
    </row>
    <row r="2417" spans="1:29" ht="87">
      <c r="A2417" s="151" t="str">
        <f>'Reported burning'!A2417</f>
        <v>275i</v>
      </c>
      <c r="B2417" s="151" t="str">
        <f>'Reported burning'!B2417</f>
        <v>275i.1</v>
      </c>
      <c r="C2417" s="151" t="str">
        <f>'Reported burning'!C2417</f>
        <v>Human, deliberate</v>
      </c>
      <c r="D2417" s="151" t="str">
        <f>'Reported burning'!D2417</f>
        <v>Crop residue burning</v>
      </c>
      <c r="E2417" s="151" t="str">
        <f>'Reported burning'!E2417</f>
        <v>Mixed cropping-livestock small holder, Subsistence-oriented</v>
      </c>
      <c r="F2417" s="151" t="str">
        <f>'Reported burning'!F2417</f>
        <v>Cropland</v>
      </c>
      <c r="G2417" s="151" t="str">
        <f>'Reported burning'!G2417</f>
        <v>ND</v>
      </c>
      <c r="H2417" s="151" t="str">
        <f>'Reported burning'!H2417</f>
        <v>Presence</v>
      </c>
      <c r="I2417" s="5"/>
      <c r="J2417" s="4" t="s">
        <v>2272</v>
      </c>
      <c r="K2417" s="4" t="s">
        <v>2272</v>
      </c>
      <c r="L2417" s="4" t="s">
        <v>2272</v>
      </c>
      <c r="M2417" s="4" t="s">
        <v>2272</v>
      </c>
      <c r="N2417" s="4" t="s">
        <v>2272</v>
      </c>
      <c r="O2417" s="4" t="s">
        <v>2272</v>
      </c>
      <c r="P2417" s="4" t="s">
        <v>2358</v>
      </c>
      <c r="Q2417" s="4" t="s">
        <v>2272</v>
      </c>
      <c r="R2417" s="4" t="s">
        <v>2272</v>
      </c>
      <c r="S2417" s="4" t="s">
        <v>2272</v>
      </c>
      <c r="T2417" s="21" t="s">
        <v>2522</v>
      </c>
      <c r="U2417" s="4" t="s">
        <v>2272</v>
      </c>
      <c r="V2417" s="4" t="s">
        <v>2272</v>
      </c>
      <c r="W2417" s="4" t="s">
        <v>2272</v>
      </c>
      <c r="X2417" s="4" t="s">
        <v>2370</v>
      </c>
      <c r="Y2417" s="198" t="s">
        <v>67</v>
      </c>
      <c r="Z2417" s="198" t="s">
        <v>34</v>
      </c>
      <c r="AA2417" s="4" t="s">
        <v>63</v>
      </c>
      <c r="AB2417" s="4" t="s">
        <v>6439</v>
      </c>
      <c r="AC2417" s="4" t="s">
        <v>8367</v>
      </c>
    </row>
    <row r="2418" spans="1:29" ht="87">
      <c r="A2418" s="151" t="str">
        <f>'Reported burning'!A2418</f>
        <v>275i</v>
      </c>
      <c r="B2418" s="151" t="str">
        <f>'Reported burning'!B2418</f>
        <v>275i.2</v>
      </c>
      <c r="C2418" s="151" t="str">
        <f>'Reported burning'!C2418</f>
        <v>Human, deliberate</v>
      </c>
      <c r="D2418" s="151" t="str">
        <f>'Reported burning'!D2418</f>
        <v>Crop residue burning</v>
      </c>
      <c r="E2418" s="151" t="str">
        <f>'Reported burning'!E2418</f>
        <v>Mixed cropping-livestock small holder, Subsistence-oriented</v>
      </c>
      <c r="F2418" s="151" t="str">
        <f>'Reported burning'!F2418</f>
        <v>Cropland</v>
      </c>
      <c r="G2418" s="151" t="str">
        <f>'Reported burning'!G2418</f>
        <v>ND</v>
      </c>
      <c r="H2418" s="151" t="str">
        <f>'Reported burning'!H2418</f>
        <v>Presence</v>
      </c>
      <c r="I2418" s="5"/>
      <c r="J2418" s="4" t="s">
        <v>2272</v>
      </c>
      <c r="K2418" s="4" t="s">
        <v>2272</v>
      </c>
      <c r="L2418" s="4" t="s">
        <v>2272</v>
      </c>
      <c r="M2418" s="4" t="s">
        <v>2272</v>
      </c>
      <c r="N2418" s="4" t="s">
        <v>2272</v>
      </c>
      <c r="O2418" s="4" t="s">
        <v>2272</v>
      </c>
      <c r="P2418" s="4" t="s">
        <v>2358</v>
      </c>
      <c r="Q2418" s="4" t="s">
        <v>2272</v>
      </c>
      <c r="R2418" s="4" t="s">
        <v>2272</v>
      </c>
      <c r="S2418" s="4" t="s">
        <v>2272</v>
      </c>
      <c r="T2418" s="4" t="s">
        <v>2369</v>
      </c>
      <c r="U2418" s="4" t="s">
        <v>2272</v>
      </c>
      <c r="V2418" s="4" t="s">
        <v>2272</v>
      </c>
      <c r="W2418" s="4" t="s">
        <v>2272</v>
      </c>
      <c r="X2418" s="4" t="s">
        <v>2370</v>
      </c>
      <c r="Y2418" s="198" t="s">
        <v>84</v>
      </c>
      <c r="Z2418" s="198" t="s">
        <v>33</v>
      </c>
      <c r="AA2418" s="4" t="s">
        <v>63</v>
      </c>
      <c r="AB2418" s="4" t="s">
        <v>6440</v>
      </c>
      <c r="AC2418" s="4" t="s">
        <v>8367</v>
      </c>
    </row>
    <row r="2419" spans="1:29" ht="87">
      <c r="A2419" s="151" t="str">
        <f>'Reported burning'!A2419</f>
        <v>275j</v>
      </c>
      <c r="B2419" s="151" t="str">
        <f>'Reported burning'!B2419</f>
        <v>275j.1</v>
      </c>
      <c r="C2419" s="151" t="str">
        <f>'Reported burning'!C2419</f>
        <v>Human, deliberate</v>
      </c>
      <c r="D2419" s="151" t="str">
        <f>'Reported burning'!D2419</f>
        <v>Crop residue burning</v>
      </c>
      <c r="E2419" s="151" t="str">
        <f>'Reported burning'!E2419</f>
        <v>Mixed cropping-livestock small holder, Subsistence-oriented</v>
      </c>
      <c r="F2419" s="151" t="str">
        <f>'Reported burning'!F2419</f>
        <v>Cropland</v>
      </c>
      <c r="G2419" s="151" t="str">
        <f>'Reported burning'!G2419</f>
        <v>ND</v>
      </c>
      <c r="H2419" s="151" t="str">
        <f>'Reported burning'!H2419</f>
        <v>Presence</v>
      </c>
      <c r="I2419" s="5"/>
      <c r="J2419" s="4" t="s">
        <v>2272</v>
      </c>
      <c r="K2419" s="4" t="s">
        <v>2272</v>
      </c>
      <c r="L2419" s="4" t="s">
        <v>2272</v>
      </c>
      <c r="M2419" s="4" t="s">
        <v>2272</v>
      </c>
      <c r="N2419" s="4" t="s">
        <v>2272</v>
      </c>
      <c r="O2419" s="4" t="s">
        <v>2272</v>
      </c>
      <c r="P2419" s="4" t="s">
        <v>2358</v>
      </c>
      <c r="Q2419" s="4" t="s">
        <v>2272</v>
      </c>
      <c r="R2419" s="4" t="s">
        <v>2272</v>
      </c>
      <c r="S2419" s="4" t="s">
        <v>2272</v>
      </c>
      <c r="T2419" s="4" t="s">
        <v>2522</v>
      </c>
      <c r="U2419" s="4" t="s">
        <v>2272</v>
      </c>
      <c r="V2419" s="4" t="s">
        <v>2272</v>
      </c>
      <c r="W2419" s="4" t="s">
        <v>2272</v>
      </c>
      <c r="X2419" s="4" t="s">
        <v>2370</v>
      </c>
      <c r="Y2419" s="198" t="s">
        <v>67</v>
      </c>
      <c r="Z2419" s="198" t="s">
        <v>34</v>
      </c>
      <c r="AA2419" s="4" t="s">
        <v>63</v>
      </c>
      <c r="AB2419" s="4" t="s">
        <v>6441</v>
      </c>
      <c r="AC2419" s="4" t="s">
        <v>8367</v>
      </c>
    </row>
    <row r="2420" spans="1:29" ht="87">
      <c r="A2420" s="151" t="str">
        <f>'Reported burning'!A2420</f>
        <v>275j</v>
      </c>
      <c r="B2420" s="151" t="str">
        <f>'Reported burning'!B2420</f>
        <v>275j.2</v>
      </c>
      <c r="C2420" s="151" t="str">
        <f>'Reported burning'!C2420</f>
        <v>Human, deliberate</v>
      </c>
      <c r="D2420" s="151" t="str">
        <f>'Reported burning'!D2420</f>
        <v>Crop residue burning</v>
      </c>
      <c r="E2420" s="151" t="str">
        <f>'Reported burning'!E2420</f>
        <v>Mixed cropping-livestock small holder, Subsistence-oriented</v>
      </c>
      <c r="F2420" s="151" t="str">
        <f>'Reported burning'!F2420</f>
        <v>Cropland</v>
      </c>
      <c r="G2420" s="151" t="str">
        <f>'Reported burning'!G2420</f>
        <v>ND</v>
      </c>
      <c r="H2420" s="151" t="str">
        <f>'Reported burning'!H2420</f>
        <v>Presence</v>
      </c>
      <c r="I2420" s="5"/>
      <c r="J2420" s="4" t="s">
        <v>2272</v>
      </c>
      <c r="K2420" s="4" t="s">
        <v>2272</v>
      </c>
      <c r="L2420" s="4" t="s">
        <v>2272</v>
      </c>
      <c r="M2420" s="4" t="s">
        <v>2272</v>
      </c>
      <c r="N2420" s="4" t="s">
        <v>2272</v>
      </c>
      <c r="O2420" s="4" t="s">
        <v>2272</v>
      </c>
      <c r="P2420" s="4" t="s">
        <v>2358</v>
      </c>
      <c r="Q2420" s="4" t="s">
        <v>2272</v>
      </c>
      <c r="R2420" s="4" t="s">
        <v>2272</v>
      </c>
      <c r="S2420" s="4" t="s">
        <v>2272</v>
      </c>
      <c r="T2420" s="4" t="s">
        <v>2522</v>
      </c>
      <c r="U2420" s="4" t="s">
        <v>2272</v>
      </c>
      <c r="V2420" s="4" t="s">
        <v>2272</v>
      </c>
      <c r="W2420" s="4" t="s">
        <v>2272</v>
      </c>
      <c r="X2420" s="4" t="s">
        <v>2370</v>
      </c>
      <c r="Y2420" s="198" t="s">
        <v>84</v>
      </c>
      <c r="Z2420" s="198" t="s">
        <v>33</v>
      </c>
      <c r="AA2420" s="4" t="s">
        <v>63</v>
      </c>
      <c r="AB2420" s="4" t="s">
        <v>6441</v>
      </c>
      <c r="AC2420" s="4" t="s">
        <v>8367</v>
      </c>
    </row>
    <row r="2421" spans="1:29" ht="87">
      <c r="A2421" s="151" t="str">
        <f>'Reported burning'!A2421</f>
        <v>275k</v>
      </c>
      <c r="B2421" s="151" t="str">
        <f>'Reported burning'!B2421</f>
        <v>275k.1</v>
      </c>
      <c r="C2421" s="151" t="str">
        <f>'Reported burning'!C2421</f>
        <v>Human, deliberate</v>
      </c>
      <c r="D2421" s="151" t="str">
        <f>'Reported burning'!D2421</f>
        <v>Crop residue burning</v>
      </c>
      <c r="E2421" s="151" t="str">
        <f>'Reported burning'!E2421</f>
        <v>Mixed cropping-livestock small holder, Subsistence-oriented</v>
      </c>
      <c r="F2421" s="151" t="str">
        <f>'Reported burning'!F2421</f>
        <v>Cropland</v>
      </c>
      <c r="G2421" s="151" t="str">
        <f>'Reported burning'!G2421</f>
        <v>ND</v>
      </c>
      <c r="H2421" s="151" t="str">
        <f>'Reported burning'!H2421</f>
        <v>Presence</v>
      </c>
      <c r="I2421" s="5"/>
      <c r="J2421" s="4" t="s">
        <v>2272</v>
      </c>
      <c r="K2421" s="4" t="s">
        <v>2272</v>
      </c>
      <c r="L2421" s="4" t="s">
        <v>2272</v>
      </c>
      <c r="M2421" s="4" t="s">
        <v>2272</v>
      </c>
      <c r="N2421" s="4" t="s">
        <v>2272</v>
      </c>
      <c r="O2421" s="4" t="s">
        <v>2272</v>
      </c>
      <c r="P2421" s="4" t="s">
        <v>2358</v>
      </c>
      <c r="Q2421" s="4" t="s">
        <v>2272</v>
      </c>
      <c r="R2421" s="4" t="s">
        <v>2272</v>
      </c>
      <c r="S2421" s="4" t="s">
        <v>2272</v>
      </c>
      <c r="T2421" s="4" t="s">
        <v>2522</v>
      </c>
      <c r="U2421" s="4" t="s">
        <v>2272</v>
      </c>
      <c r="V2421" s="4" t="s">
        <v>2272</v>
      </c>
      <c r="W2421" s="4" t="s">
        <v>2272</v>
      </c>
      <c r="X2421" s="4" t="s">
        <v>2370</v>
      </c>
      <c r="Y2421" s="198" t="s">
        <v>67</v>
      </c>
      <c r="Z2421" s="198" t="s">
        <v>34</v>
      </c>
      <c r="AA2421" s="4" t="s">
        <v>63</v>
      </c>
      <c r="AB2421" s="4" t="s">
        <v>6441</v>
      </c>
      <c r="AC2421" s="4" t="s">
        <v>8367</v>
      </c>
    </row>
    <row r="2422" spans="1:29" ht="87">
      <c r="A2422" s="151" t="str">
        <f>'Reported burning'!A2422</f>
        <v>275k</v>
      </c>
      <c r="B2422" s="151" t="str">
        <f>'Reported burning'!B2422</f>
        <v>275k.2</v>
      </c>
      <c r="C2422" s="151" t="str">
        <f>'Reported burning'!C2422</f>
        <v>Human, deliberate</v>
      </c>
      <c r="D2422" s="151" t="str">
        <f>'Reported burning'!D2422</f>
        <v>Crop residue burning</v>
      </c>
      <c r="E2422" s="151" t="str">
        <f>'Reported burning'!E2422</f>
        <v>Mixed cropping-livestock small holder, Subsistence-oriented</v>
      </c>
      <c r="F2422" s="151" t="str">
        <f>'Reported burning'!F2422</f>
        <v>Cropland</v>
      </c>
      <c r="G2422" s="151" t="str">
        <f>'Reported burning'!G2422</f>
        <v>ND</v>
      </c>
      <c r="H2422" s="151" t="str">
        <f>'Reported burning'!H2422</f>
        <v>Presence</v>
      </c>
      <c r="I2422" s="5"/>
      <c r="J2422" s="4" t="s">
        <v>2272</v>
      </c>
      <c r="K2422" s="4" t="s">
        <v>2272</v>
      </c>
      <c r="L2422" s="4" t="s">
        <v>2272</v>
      </c>
      <c r="M2422" s="4" t="s">
        <v>2272</v>
      </c>
      <c r="N2422" s="4" t="s">
        <v>2272</v>
      </c>
      <c r="O2422" s="4" t="s">
        <v>2272</v>
      </c>
      <c r="P2422" s="4" t="s">
        <v>2358</v>
      </c>
      <c r="Q2422" s="4" t="s">
        <v>2272</v>
      </c>
      <c r="R2422" s="4" t="s">
        <v>2272</v>
      </c>
      <c r="S2422" s="4" t="s">
        <v>2272</v>
      </c>
      <c r="T2422" s="4" t="s">
        <v>2522</v>
      </c>
      <c r="U2422" s="4" t="s">
        <v>2272</v>
      </c>
      <c r="V2422" s="4" t="s">
        <v>2272</v>
      </c>
      <c r="W2422" s="4" t="s">
        <v>2272</v>
      </c>
      <c r="X2422" s="4" t="s">
        <v>2370</v>
      </c>
      <c r="Y2422" s="198" t="s">
        <v>84</v>
      </c>
      <c r="Z2422" s="198" t="s">
        <v>33</v>
      </c>
      <c r="AA2422" s="4" t="s">
        <v>63</v>
      </c>
      <c r="AB2422" s="4" t="s">
        <v>6441</v>
      </c>
      <c r="AC2422" s="4" t="s">
        <v>8367</v>
      </c>
    </row>
    <row r="2423" spans="1:29" ht="29">
      <c r="A2423" s="151" t="str">
        <f>'Reported burning'!A2423</f>
        <v>275l</v>
      </c>
      <c r="B2423" s="151" t="str">
        <f>'Reported burning'!B2423</f>
        <v>275l.1</v>
      </c>
      <c r="C2423" s="151" t="str">
        <f>'Reported burning'!C2423</f>
        <v>Human, deliberate</v>
      </c>
      <c r="D2423" s="151" t="str">
        <f>'Reported burning'!D2423</f>
        <v>Crop residue burning</v>
      </c>
      <c r="E2423" s="151" t="str">
        <f>'Reported burning'!E2423</f>
        <v>Mixed cropping-livestock small holder, Subsistence-oriented</v>
      </c>
      <c r="F2423" s="151" t="str">
        <f>'Reported burning'!F2423</f>
        <v>Cropland</v>
      </c>
      <c r="G2423" s="151" t="str">
        <f>'Reported burning'!G2423</f>
        <v>ND</v>
      </c>
      <c r="H2423" s="151"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v>0</v>
      </c>
      <c r="X2423" s="4" t="s">
        <v>2272</v>
      </c>
      <c r="Y2423" s="198" t="s">
        <v>67</v>
      </c>
      <c r="Z2423" s="198" t="s">
        <v>34</v>
      </c>
      <c r="AA2423" s="4" t="s">
        <v>63</v>
      </c>
      <c r="AB2423" s="4" t="s">
        <v>6441</v>
      </c>
      <c r="AC2423" s="4"/>
    </row>
    <row r="2424" spans="1:29" ht="29">
      <c r="A2424" s="151" t="str">
        <f>'Reported burning'!A2424</f>
        <v>275l</v>
      </c>
      <c r="B2424" s="151" t="str">
        <f>'Reported burning'!B2424</f>
        <v>275l.2</v>
      </c>
      <c r="C2424" s="151" t="str">
        <f>'Reported burning'!C2424</f>
        <v>Human, deliberate</v>
      </c>
      <c r="D2424" s="151" t="str">
        <f>'Reported burning'!D2424</f>
        <v>Crop residue burning</v>
      </c>
      <c r="E2424" s="151" t="str">
        <f>'Reported burning'!E2424</f>
        <v>Mixed cropping-livestock small holder, Subsistence-oriented</v>
      </c>
      <c r="F2424" s="151" t="str">
        <f>'Reported burning'!F2424</f>
        <v>Cropland</v>
      </c>
      <c r="G2424" s="151" t="str">
        <f>'Reported burning'!G2424</f>
        <v>ND</v>
      </c>
      <c r="H2424" s="151"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v>0</v>
      </c>
      <c r="X2424" s="4" t="s">
        <v>2272</v>
      </c>
      <c r="Y2424" s="198" t="s">
        <v>84</v>
      </c>
      <c r="Z2424" s="198" t="s">
        <v>33</v>
      </c>
      <c r="AA2424" s="4" t="s">
        <v>63</v>
      </c>
      <c r="AB2424" s="4" t="s">
        <v>6441</v>
      </c>
      <c r="AC2424" s="4"/>
    </row>
    <row r="2425" spans="1:29" ht="29">
      <c r="A2425" s="151" t="str">
        <f>'Reported burning'!A2425</f>
        <v>277aa</v>
      </c>
      <c r="B2425" s="151" t="str">
        <f>'Reported burning'!B2425</f>
        <v>277aa.1</v>
      </c>
      <c r="C2425" s="151" t="str">
        <f>'Reported burning'!C2425</f>
        <v>Human, deliberate</v>
      </c>
      <c r="D2425" s="151" t="str">
        <f>'Reported burning'!D2425</f>
        <v>Crop residue burning</v>
      </c>
      <c r="E2425" s="151" t="str">
        <f>'Reported burning'!E2425</f>
        <v>Cropping, Monoculture, Market-oriented</v>
      </c>
      <c r="F2425" s="151" t="str">
        <f>'Reported burning'!F2425</f>
        <v>Cropland</v>
      </c>
      <c r="G2425" s="151" t="str">
        <f>'Reported burning'!G2425</f>
        <v>ND</v>
      </c>
      <c r="H2425" s="151" t="str">
        <f>'Reported burning'!H2425</f>
        <v>Presence</v>
      </c>
      <c r="I2425" s="5"/>
      <c r="J2425" s="4" t="s">
        <v>2272</v>
      </c>
      <c r="K2425" s="4" t="s">
        <v>2272</v>
      </c>
      <c r="L2425" s="4" t="s">
        <v>2272</v>
      </c>
      <c r="M2425" s="4" t="s">
        <v>2272</v>
      </c>
      <c r="N2425" s="4" t="s">
        <v>2272</v>
      </c>
      <c r="O2425" s="4" t="s">
        <v>2272</v>
      </c>
      <c r="P2425" s="4" t="s">
        <v>2272</v>
      </c>
      <c r="Q2425" s="4" t="s">
        <v>2272</v>
      </c>
      <c r="R2425" s="4" t="s">
        <v>2272</v>
      </c>
      <c r="S2425" s="4" t="s">
        <v>2272</v>
      </c>
      <c r="T2425" s="4" t="s">
        <v>2385</v>
      </c>
      <c r="U2425" s="4" t="s">
        <v>2272</v>
      </c>
      <c r="V2425" s="4" t="s">
        <v>2272</v>
      </c>
      <c r="W2425" s="4" t="s">
        <v>2272</v>
      </c>
      <c r="X2425" s="4" t="s">
        <v>2370</v>
      </c>
      <c r="Y2425" s="4" t="s">
        <v>2272</v>
      </c>
      <c r="Z2425" s="4" t="s">
        <v>2272</v>
      </c>
      <c r="AA2425" s="4" t="s">
        <v>63</v>
      </c>
      <c r="AB2425" s="4" t="s">
        <v>6442</v>
      </c>
      <c r="AC2425" s="4" t="s">
        <v>8383</v>
      </c>
    </row>
    <row r="2426" spans="1:29" ht="29">
      <c r="A2426" s="151" t="str">
        <f>'Reported burning'!A2426</f>
        <v>277aa</v>
      </c>
      <c r="B2426" s="151" t="str">
        <f>'Reported burning'!B2426</f>
        <v>277aa.2</v>
      </c>
      <c r="C2426" s="151" t="str">
        <f>'Reported burning'!C2426</f>
        <v>Human, deliberate</v>
      </c>
      <c r="D2426" s="151" t="str">
        <f>'Reported burning'!D2426</f>
        <v>Crop residue burning</v>
      </c>
      <c r="E2426" s="151" t="str">
        <f>'Reported burning'!E2426</f>
        <v>Cropping, Monoculture, Market-oriented</v>
      </c>
      <c r="F2426" s="151" t="str">
        <f>'Reported burning'!F2426</f>
        <v>Cropland</v>
      </c>
      <c r="G2426" s="151" t="str">
        <f>'Reported burning'!G2426</f>
        <v>ND</v>
      </c>
      <c r="H2426" s="151" t="str">
        <f>'Reported burning'!H2426</f>
        <v>Presence</v>
      </c>
      <c r="I2426" s="5"/>
      <c r="J2426" s="4" t="s">
        <v>2272</v>
      </c>
      <c r="K2426" s="4" t="s">
        <v>2272</v>
      </c>
      <c r="L2426" s="4" t="s">
        <v>2272</v>
      </c>
      <c r="M2426" s="4" t="s">
        <v>2272</v>
      </c>
      <c r="N2426" s="4" t="s">
        <v>2272</v>
      </c>
      <c r="O2426" s="4" t="s">
        <v>2272</v>
      </c>
      <c r="P2426" s="4" t="s">
        <v>2272</v>
      </c>
      <c r="Q2426" s="4" t="s">
        <v>2272</v>
      </c>
      <c r="R2426" s="4" t="s">
        <v>2272</v>
      </c>
      <c r="S2426" s="4" t="s">
        <v>2272</v>
      </c>
      <c r="T2426" s="4" t="s">
        <v>2369</v>
      </c>
      <c r="U2426" s="4" t="s">
        <v>2272</v>
      </c>
      <c r="V2426" s="4" t="s">
        <v>2272</v>
      </c>
      <c r="W2426" s="4" t="s">
        <v>2272</v>
      </c>
      <c r="X2426" s="4" t="s">
        <v>2370</v>
      </c>
      <c r="Y2426" s="4" t="s">
        <v>2272</v>
      </c>
      <c r="Z2426" s="4" t="s">
        <v>2272</v>
      </c>
      <c r="AA2426" s="4" t="s">
        <v>63</v>
      </c>
      <c r="AB2426" s="4" t="s">
        <v>6442</v>
      </c>
      <c r="AC2426" s="4" t="s">
        <v>8383</v>
      </c>
    </row>
    <row r="2427" spans="1:29" ht="29">
      <c r="A2427" s="151" t="str">
        <f>'Reported burning'!A2427</f>
        <v>277aa</v>
      </c>
      <c r="B2427" s="151" t="str">
        <f>'Reported burning'!B2427</f>
        <v>277aa.3</v>
      </c>
      <c r="C2427" s="151" t="str">
        <f>'Reported burning'!C2427</f>
        <v>Human, deliberate</v>
      </c>
      <c r="D2427" s="151" t="str">
        <f>'Reported burning'!D2427</f>
        <v>Crop residue burning</v>
      </c>
      <c r="E2427" s="151" t="str">
        <f>'Reported burning'!E2427</f>
        <v>Cropping, Monoculture, Market-oriented</v>
      </c>
      <c r="F2427" s="151" t="str">
        <f>'Reported burning'!F2427</f>
        <v>Cropland</v>
      </c>
      <c r="G2427" s="151" t="str">
        <f>'Reported burning'!G2427</f>
        <v>ND</v>
      </c>
      <c r="H2427" s="151"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v>0</v>
      </c>
      <c r="X2427" s="4" t="s">
        <v>2370</v>
      </c>
      <c r="Y2427" s="4" t="s">
        <v>2272</v>
      </c>
      <c r="Z2427" s="4" t="s">
        <v>2272</v>
      </c>
      <c r="AA2427" s="4" t="s">
        <v>63</v>
      </c>
      <c r="AB2427" s="4" t="s">
        <v>6442</v>
      </c>
      <c r="AC2427" s="4" t="s">
        <v>8383</v>
      </c>
    </row>
    <row r="2428" spans="1:29" ht="29">
      <c r="A2428" s="151" t="str">
        <f>'Reported burning'!A2428</f>
        <v>277ab</v>
      </c>
      <c r="B2428" s="151" t="str">
        <f>'Reported burning'!B2428</f>
        <v>277ab.1</v>
      </c>
      <c r="C2428" s="151" t="str">
        <f>'Reported burning'!C2428</f>
        <v>Human, deliberate</v>
      </c>
      <c r="D2428" s="151" t="str">
        <f>'Reported burning'!D2428</f>
        <v>Crop residue burning</v>
      </c>
      <c r="E2428" s="151" t="str">
        <f>'Reported burning'!E2428</f>
        <v>Cropping, Monoculture, Market-oriented</v>
      </c>
      <c r="F2428" s="151" t="str">
        <f>'Reported burning'!F2428</f>
        <v>Cropland</v>
      </c>
      <c r="G2428" s="151" t="str">
        <f>'Reported burning'!G2428</f>
        <v>ND</v>
      </c>
      <c r="H2428" s="151" t="str">
        <f>'Reported burning'!H2428</f>
        <v>Presence</v>
      </c>
      <c r="I2428" s="5"/>
      <c r="J2428" s="4" t="s">
        <v>2272</v>
      </c>
      <c r="K2428" s="4" t="s">
        <v>2272</v>
      </c>
      <c r="L2428" s="4" t="s">
        <v>2272</v>
      </c>
      <c r="M2428" s="4" t="s">
        <v>2272</v>
      </c>
      <c r="N2428" s="4" t="s">
        <v>2272</v>
      </c>
      <c r="O2428" s="4" t="s">
        <v>2272</v>
      </c>
      <c r="P2428" s="4" t="s">
        <v>2272</v>
      </c>
      <c r="Q2428" s="4" t="s">
        <v>2272</v>
      </c>
      <c r="R2428" s="4" t="s">
        <v>2272</v>
      </c>
      <c r="S2428" s="4" t="s">
        <v>2272</v>
      </c>
      <c r="T2428" s="4" t="s">
        <v>2385</v>
      </c>
      <c r="U2428" s="21" t="s">
        <v>2272</v>
      </c>
      <c r="V2428" s="21" t="s">
        <v>2272</v>
      </c>
      <c r="W2428" s="21" t="s">
        <v>2272</v>
      </c>
      <c r="X2428" s="4" t="s">
        <v>2370</v>
      </c>
      <c r="Y2428" s="4" t="s">
        <v>2272</v>
      </c>
      <c r="Z2428" s="4" t="s">
        <v>2272</v>
      </c>
      <c r="AA2428" s="4" t="s">
        <v>63</v>
      </c>
      <c r="AB2428" s="4" t="s">
        <v>6442</v>
      </c>
      <c r="AC2428" s="4" t="s">
        <v>8383</v>
      </c>
    </row>
    <row r="2429" spans="1:29" ht="29">
      <c r="A2429" s="151" t="str">
        <f>'Reported burning'!A2429</f>
        <v>277ab</v>
      </c>
      <c r="B2429" s="151" t="str">
        <f>'Reported burning'!B2429</f>
        <v>277ab.2</v>
      </c>
      <c r="C2429" s="151" t="str">
        <f>'Reported burning'!C2429</f>
        <v>Human, deliberate</v>
      </c>
      <c r="D2429" s="151" t="str">
        <f>'Reported burning'!D2429</f>
        <v>Crop residue burning</v>
      </c>
      <c r="E2429" s="151" t="str">
        <f>'Reported burning'!E2429</f>
        <v>Cropping, Monoculture, Market-oriented</v>
      </c>
      <c r="F2429" s="151" t="str">
        <f>'Reported burning'!F2429</f>
        <v>Cropland</v>
      </c>
      <c r="G2429" s="151" t="str">
        <f>'Reported burning'!G2429</f>
        <v>ND</v>
      </c>
      <c r="H2429" s="151" t="str">
        <f>'Reported burning'!H2429</f>
        <v>Presence</v>
      </c>
      <c r="I2429" s="5"/>
      <c r="J2429" s="4" t="s">
        <v>2272</v>
      </c>
      <c r="K2429" s="4" t="s">
        <v>2272</v>
      </c>
      <c r="L2429" s="4" t="s">
        <v>2272</v>
      </c>
      <c r="M2429" s="4" t="s">
        <v>2272</v>
      </c>
      <c r="N2429" s="4" t="s">
        <v>2272</v>
      </c>
      <c r="O2429" s="4" t="s">
        <v>2272</v>
      </c>
      <c r="P2429" s="4" t="s">
        <v>2272</v>
      </c>
      <c r="Q2429" s="4" t="s">
        <v>2272</v>
      </c>
      <c r="R2429" s="4" t="s">
        <v>2272</v>
      </c>
      <c r="S2429" s="4" t="s">
        <v>2272</v>
      </c>
      <c r="T2429" s="4" t="s">
        <v>2369</v>
      </c>
      <c r="U2429" s="21" t="s">
        <v>2272</v>
      </c>
      <c r="V2429" s="21" t="s">
        <v>2272</v>
      </c>
      <c r="W2429" s="21" t="s">
        <v>2272</v>
      </c>
      <c r="X2429" s="4" t="s">
        <v>2370</v>
      </c>
      <c r="Y2429" s="4" t="s">
        <v>2272</v>
      </c>
      <c r="Z2429" s="4" t="s">
        <v>2272</v>
      </c>
      <c r="AA2429" s="4" t="s">
        <v>63</v>
      </c>
      <c r="AB2429" s="4" t="s">
        <v>6442</v>
      </c>
      <c r="AC2429" s="4" t="s">
        <v>8383</v>
      </c>
    </row>
    <row r="2430" spans="1:29" ht="29">
      <c r="A2430" s="151" t="str">
        <f>'Reported burning'!A2430</f>
        <v>277ab</v>
      </c>
      <c r="B2430" s="151" t="str">
        <f>'Reported burning'!B2430</f>
        <v>277ab.3</v>
      </c>
      <c r="C2430" s="151" t="str">
        <f>'Reported burning'!C2430</f>
        <v>Human, deliberate</v>
      </c>
      <c r="D2430" s="151" t="str">
        <f>'Reported burning'!D2430</f>
        <v>Crop residue burning</v>
      </c>
      <c r="E2430" s="151" t="str">
        <f>'Reported burning'!E2430</f>
        <v>Cropping, Monoculture, Market-oriented</v>
      </c>
      <c r="F2430" s="151" t="str">
        <f>'Reported burning'!F2430</f>
        <v>Cropland</v>
      </c>
      <c r="G2430" s="151" t="str">
        <f>'Reported burning'!G2430</f>
        <v>ND</v>
      </c>
      <c r="H2430" s="151"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v>0</v>
      </c>
      <c r="X2430" s="4" t="s">
        <v>2370</v>
      </c>
      <c r="Y2430" s="4" t="s">
        <v>2272</v>
      </c>
      <c r="Z2430" s="4" t="s">
        <v>2272</v>
      </c>
      <c r="AA2430" s="4" t="s">
        <v>63</v>
      </c>
      <c r="AB2430" s="4" t="s">
        <v>6442</v>
      </c>
      <c r="AC2430" s="4" t="s">
        <v>8383</v>
      </c>
    </row>
    <row r="2431" spans="1:29" ht="29">
      <c r="A2431" s="151" t="str">
        <f>'Reported burning'!A2431</f>
        <v>277ba</v>
      </c>
      <c r="B2431" s="151" t="str">
        <f>'Reported burning'!B2431</f>
        <v>277ba.1</v>
      </c>
      <c r="C2431" s="151" t="str">
        <f>'Reported burning'!C2431</f>
        <v>Human, deliberate</v>
      </c>
      <c r="D2431" s="151" t="str">
        <f>'Reported burning'!D2431</f>
        <v>Crop residue burning</v>
      </c>
      <c r="E2431" s="151" t="str">
        <f>'Reported burning'!E2431</f>
        <v>Cropping, Monoculture, Market-oriented</v>
      </c>
      <c r="F2431" s="151" t="str">
        <f>'Reported burning'!F2431</f>
        <v>Cropland</v>
      </c>
      <c r="G2431" s="151" t="str">
        <f>'Reported burning'!G2431</f>
        <v>ND</v>
      </c>
      <c r="H2431" s="151" t="str">
        <f>'Reported burning'!H2431</f>
        <v>Presence</v>
      </c>
      <c r="I2431" s="5"/>
      <c r="J2431" s="4" t="s">
        <v>2272</v>
      </c>
      <c r="K2431" s="4" t="s">
        <v>2272</v>
      </c>
      <c r="L2431" s="4" t="s">
        <v>2272</v>
      </c>
      <c r="M2431" s="4" t="s">
        <v>2272</v>
      </c>
      <c r="N2431" s="4" t="s">
        <v>2272</v>
      </c>
      <c r="O2431" s="4" t="s">
        <v>2272</v>
      </c>
      <c r="P2431" s="4" t="s">
        <v>2272</v>
      </c>
      <c r="Q2431" s="4" t="s">
        <v>2272</v>
      </c>
      <c r="R2431" s="4" t="s">
        <v>2272</v>
      </c>
      <c r="S2431" s="4" t="s">
        <v>2272</v>
      </c>
      <c r="T2431" s="4" t="s">
        <v>2385</v>
      </c>
      <c r="U2431" s="21" t="s">
        <v>2272</v>
      </c>
      <c r="V2431" s="21" t="s">
        <v>2272</v>
      </c>
      <c r="W2431" s="21" t="s">
        <v>2272</v>
      </c>
      <c r="X2431" s="4" t="s">
        <v>2370</v>
      </c>
      <c r="Y2431" s="4" t="s">
        <v>2272</v>
      </c>
      <c r="Z2431" s="4" t="s">
        <v>2272</v>
      </c>
      <c r="AA2431" s="4" t="s">
        <v>63</v>
      </c>
      <c r="AB2431" s="4" t="s">
        <v>6442</v>
      </c>
      <c r="AC2431" s="4" t="s">
        <v>8383</v>
      </c>
    </row>
    <row r="2432" spans="1:29" ht="29">
      <c r="A2432" s="151" t="str">
        <f>'Reported burning'!A2432</f>
        <v>277ba</v>
      </c>
      <c r="B2432" s="151" t="str">
        <f>'Reported burning'!B2432</f>
        <v>277ba.2</v>
      </c>
      <c r="C2432" s="151" t="str">
        <f>'Reported burning'!C2432</f>
        <v>Human, deliberate</v>
      </c>
      <c r="D2432" s="151" t="str">
        <f>'Reported burning'!D2432</f>
        <v>Crop residue burning</v>
      </c>
      <c r="E2432" s="151" t="str">
        <f>'Reported burning'!E2432</f>
        <v>Cropping, Monoculture, Market-oriented</v>
      </c>
      <c r="F2432" s="151" t="str">
        <f>'Reported burning'!F2432</f>
        <v>Cropland</v>
      </c>
      <c r="G2432" s="151" t="str">
        <f>'Reported burning'!G2432</f>
        <v>ND</v>
      </c>
      <c r="H2432" s="151" t="str">
        <f>'Reported burning'!H2432</f>
        <v>Presence</v>
      </c>
      <c r="I2432" s="5"/>
      <c r="J2432" s="4" t="s">
        <v>2272</v>
      </c>
      <c r="K2432" s="4" t="s">
        <v>2272</v>
      </c>
      <c r="L2432" s="4" t="s">
        <v>2272</v>
      </c>
      <c r="M2432" s="4" t="s">
        <v>2272</v>
      </c>
      <c r="N2432" s="4" t="s">
        <v>2272</v>
      </c>
      <c r="O2432" s="4" t="s">
        <v>2272</v>
      </c>
      <c r="P2432" s="4" t="s">
        <v>2272</v>
      </c>
      <c r="Q2432" s="4" t="s">
        <v>2272</v>
      </c>
      <c r="R2432" s="4" t="s">
        <v>2272</v>
      </c>
      <c r="S2432" s="4" t="s">
        <v>2272</v>
      </c>
      <c r="T2432" s="4" t="s">
        <v>2522</v>
      </c>
      <c r="U2432" s="21" t="s">
        <v>2272</v>
      </c>
      <c r="V2432" s="21" t="s">
        <v>2272</v>
      </c>
      <c r="W2432" s="21" t="s">
        <v>2272</v>
      </c>
      <c r="X2432" s="4" t="s">
        <v>2370</v>
      </c>
      <c r="Y2432" s="4" t="s">
        <v>2272</v>
      </c>
      <c r="Z2432" s="4" t="s">
        <v>2272</v>
      </c>
      <c r="AA2432" s="4" t="s">
        <v>63</v>
      </c>
      <c r="AB2432" s="4" t="s">
        <v>6442</v>
      </c>
      <c r="AC2432" s="4" t="s">
        <v>8383</v>
      </c>
    </row>
    <row r="2433" spans="1:29" ht="29">
      <c r="A2433" s="151" t="str">
        <f>'Reported burning'!A2433</f>
        <v>277ba</v>
      </c>
      <c r="B2433" s="151" t="str">
        <f>'Reported burning'!B2433</f>
        <v>277ba.3</v>
      </c>
      <c r="C2433" s="151" t="str">
        <f>'Reported burning'!C2433</f>
        <v>Human, deliberate</v>
      </c>
      <c r="D2433" s="151" t="str">
        <f>'Reported burning'!D2433</f>
        <v>Crop residue burning</v>
      </c>
      <c r="E2433" s="151" t="str">
        <f>'Reported burning'!E2433</f>
        <v>Cropping, Monoculture, Market-oriented</v>
      </c>
      <c r="F2433" s="151" t="str">
        <f>'Reported burning'!F2433</f>
        <v>Cropland</v>
      </c>
      <c r="G2433" s="151" t="str">
        <f>'Reported burning'!G2433</f>
        <v>ND</v>
      </c>
      <c r="H2433" s="151"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v>0</v>
      </c>
      <c r="X2433" s="4" t="s">
        <v>2370</v>
      </c>
      <c r="Y2433" s="4" t="s">
        <v>2272</v>
      </c>
      <c r="Z2433" s="4" t="s">
        <v>2272</v>
      </c>
      <c r="AA2433" s="4" t="s">
        <v>63</v>
      </c>
      <c r="AB2433" s="4" t="s">
        <v>6442</v>
      </c>
      <c r="AC2433" s="4" t="s">
        <v>8383</v>
      </c>
    </row>
    <row r="2434" spans="1:29" ht="29">
      <c r="A2434" s="151" t="str">
        <f>'Reported burning'!A2434</f>
        <v>277bb</v>
      </c>
      <c r="B2434" s="151" t="str">
        <f>'Reported burning'!B2434</f>
        <v>277bb.1</v>
      </c>
      <c r="C2434" s="151" t="str">
        <f>'Reported burning'!C2434</f>
        <v>Human, deliberate</v>
      </c>
      <c r="D2434" s="151" t="str">
        <f>'Reported burning'!D2434</f>
        <v>Crop residue burning</v>
      </c>
      <c r="E2434" s="151" t="str">
        <f>'Reported burning'!E2434</f>
        <v>Cropping, Monoculture, Market-oriented</v>
      </c>
      <c r="F2434" s="151" t="str">
        <f>'Reported burning'!F2434</f>
        <v>Cropland</v>
      </c>
      <c r="G2434" s="151" t="str">
        <f>'Reported burning'!G2434</f>
        <v>ND</v>
      </c>
      <c r="H2434" s="151" t="str">
        <f>'Reported burning'!H2434</f>
        <v>Presence</v>
      </c>
      <c r="I2434" s="5"/>
      <c r="J2434" s="4" t="s">
        <v>2272</v>
      </c>
      <c r="K2434" s="4" t="s">
        <v>2272</v>
      </c>
      <c r="L2434" s="4" t="s">
        <v>2272</v>
      </c>
      <c r="M2434" s="4" t="s">
        <v>2272</v>
      </c>
      <c r="N2434" s="4" t="s">
        <v>2272</v>
      </c>
      <c r="O2434" s="4" t="s">
        <v>2272</v>
      </c>
      <c r="P2434" s="4" t="s">
        <v>2272</v>
      </c>
      <c r="Q2434" s="4" t="s">
        <v>2272</v>
      </c>
      <c r="R2434" s="4" t="s">
        <v>2272</v>
      </c>
      <c r="S2434" s="4" t="s">
        <v>2272</v>
      </c>
      <c r="T2434" s="4" t="s">
        <v>2385</v>
      </c>
      <c r="U2434" s="21" t="s">
        <v>2272</v>
      </c>
      <c r="V2434" s="21" t="s">
        <v>2272</v>
      </c>
      <c r="W2434" s="21" t="s">
        <v>2272</v>
      </c>
      <c r="X2434" s="4" t="s">
        <v>2370</v>
      </c>
      <c r="Y2434" s="4" t="s">
        <v>2272</v>
      </c>
      <c r="Z2434" s="4" t="s">
        <v>2272</v>
      </c>
      <c r="AA2434" s="4" t="s">
        <v>63</v>
      </c>
      <c r="AB2434" s="4" t="s">
        <v>6442</v>
      </c>
      <c r="AC2434" s="4" t="s">
        <v>8383</v>
      </c>
    </row>
    <row r="2435" spans="1:29" ht="29">
      <c r="A2435" s="151" t="str">
        <f>'Reported burning'!A2435</f>
        <v>277bb</v>
      </c>
      <c r="B2435" s="151" t="str">
        <f>'Reported burning'!B2435</f>
        <v>277bb.2</v>
      </c>
      <c r="C2435" s="151" t="str">
        <f>'Reported burning'!C2435</f>
        <v>Human, deliberate</v>
      </c>
      <c r="D2435" s="151" t="str">
        <f>'Reported burning'!D2435</f>
        <v>Crop residue burning</v>
      </c>
      <c r="E2435" s="151" t="str">
        <f>'Reported burning'!E2435</f>
        <v>Cropping, Monoculture, Market-oriented</v>
      </c>
      <c r="F2435" s="151" t="str">
        <f>'Reported burning'!F2435</f>
        <v>Cropland</v>
      </c>
      <c r="G2435" s="151" t="str">
        <f>'Reported burning'!G2435</f>
        <v>ND</v>
      </c>
      <c r="H2435" s="151" t="str">
        <f>'Reported burning'!H2435</f>
        <v>Presence</v>
      </c>
      <c r="I2435" s="5"/>
      <c r="J2435" s="4" t="s">
        <v>2272</v>
      </c>
      <c r="K2435" s="4" t="s">
        <v>2272</v>
      </c>
      <c r="L2435" s="4" t="s">
        <v>2272</v>
      </c>
      <c r="M2435" s="4" t="s">
        <v>2272</v>
      </c>
      <c r="N2435" s="4" t="s">
        <v>2272</v>
      </c>
      <c r="O2435" s="4" t="s">
        <v>2272</v>
      </c>
      <c r="P2435" s="4" t="s">
        <v>2272</v>
      </c>
      <c r="Q2435" s="4" t="s">
        <v>2272</v>
      </c>
      <c r="R2435" s="4" t="s">
        <v>2272</v>
      </c>
      <c r="S2435" s="4" t="s">
        <v>2272</v>
      </c>
      <c r="T2435" s="4" t="s">
        <v>2522</v>
      </c>
      <c r="U2435" s="21" t="s">
        <v>2272</v>
      </c>
      <c r="V2435" s="21" t="s">
        <v>2272</v>
      </c>
      <c r="W2435" s="21" t="s">
        <v>2272</v>
      </c>
      <c r="X2435" s="4" t="s">
        <v>2370</v>
      </c>
      <c r="Y2435" s="4" t="s">
        <v>2272</v>
      </c>
      <c r="Z2435" s="4" t="s">
        <v>2272</v>
      </c>
      <c r="AA2435" s="4" t="s">
        <v>63</v>
      </c>
      <c r="AB2435" s="4" t="s">
        <v>6442</v>
      </c>
      <c r="AC2435" s="4" t="s">
        <v>8383</v>
      </c>
    </row>
    <row r="2436" spans="1:29" ht="29">
      <c r="A2436" s="151" t="str">
        <f>'Reported burning'!A2436</f>
        <v>277bb</v>
      </c>
      <c r="B2436" s="151" t="str">
        <f>'Reported burning'!B2436</f>
        <v>277bb.3</v>
      </c>
      <c r="C2436" s="151" t="str">
        <f>'Reported burning'!C2436</f>
        <v>Human, deliberate</v>
      </c>
      <c r="D2436" s="151" t="str">
        <f>'Reported burning'!D2436</f>
        <v>Crop residue burning</v>
      </c>
      <c r="E2436" s="151" t="str">
        <f>'Reported burning'!E2436</f>
        <v>Cropping, Monoculture, Market-oriented</v>
      </c>
      <c r="F2436" s="151" t="str">
        <f>'Reported burning'!F2436</f>
        <v>Cropland</v>
      </c>
      <c r="G2436" s="151" t="str">
        <f>'Reported burning'!G2436</f>
        <v>ND</v>
      </c>
      <c r="H2436" s="151"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v>0</v>
      </c>
      <c r="X2436" s="4" t="s">
        <v>2370</v>
      </c>
      <c r="Y2436" s="4" t="s">
        <v>2272</v>
      </c>
      <c r="Z2436" s="4" t="s">
        <v>2272</v>
      </c>
      <c r="AA2436" s="4" t="s">
        <v>63</v>
      </c>
      <c r="AB2436" s="4" t="s">
        <v>6442</v>
      </c>
      <c r="AC2436" s="4" t="s">
        <v>8383</v>
      </c>
    </row>
    <row r="2437" spans="1:29" ht="29">
      <c r="A2437" s="151" t="str">
        <f>'Reported burning'!A2437</f>
        <v>277ca</v>
      </c>
      <c r="B2437" s="151" t="str">
        <f>'Reported burning'!B2437</f>
        <v>277ca.1</v>
      </c>
      <c r="C2437" s="151" t="str">
        <f>'Reported burning'!C2437</f>
        <v>Human, deliberate</v>
      </c>
      <c r="D2437" s="151" t="str">
        <f>'Reported burning'!D2437</f>
        <v>Crop residue burning</v>
      </c>
      <c r="E2437" s="151" t="str">
        <f>'Reported burning'!E2437</f>
        <v>Cropping, Monoculture, Market-oriented</v>
      </c>
      <c r="F2437" s="151" t="str">
        <f>'Reported burning'!F2437</f>
        <v>Cropland</v>
      </c>
      <c r="G2437" s="151" t="str">
        <f>'Reported burning'!G2437</f>
        <v>ND</v>
      </c>
      <c r="H2437" s="151" t="str">
        <f>'Reported burning'!H2437</f>
        <v>Presence</v>
      </c>
      <c r="I2437" s="5"/>
      <c r="J2437" s="4" t="s">
        <v>2272</v>
      </c>
      <c r="K2437" s="4" t="s">
        <v>2272</v>
      </c>
      <c r="L2437" s="4" t="s">
        <v>2272</v>
      </c>
      <c r="M2437" s="4" t="s">
        <v>2272</v>
      </c>
      <c r="N2437" s="4" t="s">
        <v>2272</v>
      </c>
      <c r="O2437" s="4" t="s">
        <v>2272</v>
      </c>
      <c r="P2437" s="4" t="s">
        <v>2272</v>
      </c>
      <c r="Q2437" s="4" t="s">
        <v>2272</v>
      </c>
      <c r="R2437" s="4" t="s">
        <v>2272</v>
      </c>
      <c r="S2437" s="4" t="s">
        <v>2272</v>
      </c>
      <c r="T2437" s="4" t="s">
        <v>2386</v>
      </c>
      <c r="U2437" s="21" t="s">
        <v>2272</v>
      </c>
      <c r="V2437" s="21" t="s">
        <v>2272</v>
      </c>
      <c r="W2437" s="21" t="s">
        <v>2272</v>
      </c>
      <c r="X2437" s="4" t="s">
        <v>2370</v>
      </c>
      <c r="Y2437" s="4" t="s">
        <v>2272</v>
      </c>
      <c r="Z2437" s="4" t="s">
        <v>2272</v>
      </c>
      <c r="AA2437" s="4" t="s">
        <v>63</v>
      </c>
      <c r="AB2437" s="4" t="s">
        <v>6442</v>
      </c>
      <c r="AC2437" s="4" t="s">
        <v>8383</v>
      </c>
    </row>
    <row r="2438" spans="1:29" ht="29">
      <c r="A2438" s="151" t="str">
        <f>'Reported burning'!A2438</f>
        <v>277ca</v>
      </c>
      <c r="B2438" s="151" t="str">
        <f>'Reported burning'!B2438</f>
        <v>277ca.2</v>
      </c>
      <c r="C2438" s="151" t="str">
        <f>'Reported burning'!C2438</f>
        <v>Human, deliberate</v>
      </c>
      <c r="D2438" s="151" t="str">
        <f>'Reported burning'!D2438</f>
        <v>Crop residue burning</v>
      </c>
      <c r="E2438" s="151" t="str">
        <f>'Reported burning'!E2438</f>
        <v>Cropping, Monoculture, Market-oriented</v>
      </c>
      <c r="F2438" s="151" t="str">
        <f>'Reported burning'!F2438</f>
        <v>Cropland</v>
      </c>
      <c r="G2438" s="151" t="str">
        <f>'Reported burning'!G2438</f>
        <v>ND</v>
      </c>
      <c r="H2438" s="151" t="str">
        <f>'Reported burning'!H2438</f>
        <v>Presence</v>
      </c>
      <c r="I2438" s="5"/>
      <c r="J2438" s="4" t="s">
        <v>2272</v>
      </c>
      <c r="K2438" s="4" t="s">
        <v>2272</v>
      </c>
      <c r="L2438" s="4" t="s">
        <v>2272</v>
      </c>
      <c r="M2438" s="4" t="s">
        <v>2272</v>
      </c>
      <c r="N2438" s="4" t="s">
        <v>2272</v>
      </c>
      <c r="O2438" s="4" t="s">
        <v>2272</v>
      </c>
      <c r="P2438" s="4" t="s">
        <v>2272</v>
      </c>
      <c r="Q2438" s="4" t="s">
        <v>2272</v>
      </c>
      <c r="R2438" s="4" t="s">
        <v>2272</v>
      </c>
      <c r="S2438" s="4" t="s">
        <v>2272</v>
      </c>
      <c r="T2438" s="4" t="s">
        <v>2371</v>
      </c>
      <c r="U2438" s="21" t="s">
        <v>2272</v>
      </c>
      <c r="V2438" s="21" t="s">
        <v>2272</v>
      </c>
      <c r="W2438" s="21" t="s">
        <v>2272</v>
      </c>
      <c r="X2438" s="4" t="s">
        <v>2370</v>
      </c>
      <c r="Y2438" s="4" t="s">
        <v>2272</v>
      </c>
      <c r="Z2438" s="4" t="s">
        <v>2272</v>
      </c>
      <c r="AA2438" s="4" t="s">
        <v>63</v>
      </c>
      <c r="AB2438" s="4" t="s">
        <v>6442</v>
      </c>
      <c r="AC2438" s="4" t="s">
        <v>8383</v>
      </c>
    </row>
    <row r="2439" spans="1:29" ht="29">
      <c r="A2439" s="151" t="str">
        <f>'Reported burning'!A2439</f>
        <v>277ca</v>
      </c>
      <c r="B2439" s="151" t="str">
        <f>'Reported burning'!B2439</f>
        <v>277ca.3</v>
      </c>
      <c r="C2439" s="151" t="str">
        <f>'Reported burning'!C2439</f>
        <v>Human, deliberate</v>
      </c>
      <c r="D2439" s="151" t="str">
        <f>'Reported burning'!D2439</f>
        <v>Crop residue burning</v>
      </c>
      <c r="E2439" s="151" t="str">
        <f>'Reported burning'!E2439</f>
        <v>Cropping, Monoculture, Market-oriented</v>
      </c>
      <c r="F2439" s="151" t="str">
        <f>'Reported burning'!F2439</f>
        <v>Cropland</v>
      </c>
      <c r="G2439" s="151" t="str">
        <f>'Reported burning'!G2439</f>
        <v>ND</v>
      </c>
      <c r="H2439" s="151"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v>0</v>
      </c>
      <c r="X2439" s="4" t="s">
        <v>2370</v>
      </c>
      <c r="Y2439" s="4" t="s">
        <v>2272</v>
      </c>
      <c r="Z2439" s="4" t="s">
        <v>2272</v>
      </c>
      <c r="AA2439" s="4" t="s">
        <v>63</v>
      </c>
      <c r="AB2439" s="4" t="s">
        <v>6442</v>
      </c>
      <c r="AC2439" s="4" t="s">
        <v>8383</v>
      </c>
    </row>
    <row r="2440" spans="1:29" ht="29">
      <c r="A2440" s="151" t="str">
        <f>'Reported burning'!A2440</f>
        <v>277cb</v>
      </c>
      <c r="B2440" s="151" t="str">
        <f>'Reported burning'!B2440</f>
        <v>277cb.1</v>
      </c>
      <c r="C2440" s="151" t="str">
        <f>'Reported burning'!C2440</f>
        <v>Human, deliberate</v>
      </c>
      <c r="D2440" s="151" t="str">
        <f>'Reported burning'!D2440</f>
        <v>Crop residue burning</v>
      </c>
      <c r="E2440" s="151" t="str">
        <f>'Reported burning'!E2440</f>
        <v>Cropping, Monoculture, Market-oriented</v>
      </c>
      <c r="F2440" s="151" t="str">
        <f>'Reported burning'!F2440</f>
        <v>Cropland</v>
      </c>
      <c r="G2440" s="151" t="str">
        <f>'Reported burning'!G2440</f>
        <v>ND</v>
      </c>
      <c r="H2440" s="151" t="str">
        <f>'Reported burning'!H2440</f>
        <v>Presence</v>
      </c>
      <c r="I2440" s="5"/>
      <c r="J2440" s="4" t="s">
        <v>2272</v>
      </c>
      <c r="K2440" s="4" t="s">
        <v>2272</v>
      </c>
      <c r="L2440" s="4" t="s">
        <v>2272</v>
      </c>
      <c r="M2440" s="4" t="s">
        <v>2272</v>
      </c>
      <c r="N2440" s="4" t="s">
        <v>2272</v>
      </c>
      <c r="O2440" s="4" t="s">
        <v>2272</v>
      </c>
      <c r="P2440" s="4" t="s">
        <v>2272</v>
      </c>
      <c r="Q2440" s="4" t="s">
        <v>2272</v>
      </c>
      <c r="R2440" s="4" t="s">
        <v>2272</v>
      </c>
      <c r="S2440" s="4" t="s">
        <v>2272</v>
      </c>
      <c r="T2440" s="4" t="s">
        <v>2386</v>
      </c>
      <c r="U2440" s="21" t="s">
        <v>2272</v>
      </c>
      <c r="V2440" s="21" t="s">
        <v>2272</v>
      </c>
      <c r="W2440" s="21" t="s">
        <v>2272</v>
      </c>
      <c r="X2440" s="4" t="s">
        <v>2370</v>
      </c>
      <c r="Y2440" s="4" t="s">
        <v>2272</v>
      </c>
      <c r="Z2440" s="4" t="s">
        <v>2272</v>
      </c>
      <c r="AA2440" s="4" t="s">
        <v>63</v>
      </c>
      <c r="AB2440" s="4" t="s">
        <v>6442</v>
      </c>
      <c r="AC2440" s="4" t="s">
        <v>8383</v>
      </c>
    </row>
    <row r="2441" spans="1:29" ht="29">
      <c r="A2441" s="151" t="str">
        <f>'Reported burning'!A2441</f>
        <v>277cb</v>
      </c>
      <c r="B2441" s="151" t="str">
        <f>'Reported burning'!B2441</f>
        <v>277cb.2</v>
      </c>
      <c r="C2441" s="151" t="str">
        <f>'Reported burning'!C2441</f>
        <v>Human, deliberate</v>
      </c>
      <c r="D2441" s="151" t="str">
        <f>'Reported burning'!D2441</f>
        <v>Crop residue burning</v>
      </c>
      <c r="E2441" s="151" t="str">
        <f>'Reported burning'!E2441</f>
        <v>Cropping, Monoculture, Market-oriented</v>
      </c>
      <c r="F2441" s="151" t="str">
        <f>'Reported burning'!F2441</f>
        <v>Cropland</v>
      </c>
      <c r="G2441" s="151" t="str">
        <f>'Reported burning'!G2441</f>
        <v>ND</v>
      </c>
      <c r="H2441" s="151" t="str">
        <f>'Reported burning'!H2441</f>
        <v>Presence</v>
      </c>
      <c r="I2441" s="5"/>
      <c r="J2441" s="4" t="s">
        <v>2272</v>
      </c>
      <c r="K2441" s="4" t="s">
        <v>2272</v>
      </c>
      <c r="L2441" s="4" t="s">
        <v>2272</v>
      </c>
      <c r="M2441" s="4" t="s">
        <v>2272</v>
      </c>
      <c r="N2441" s="4" t="s">
        <v>2272</v>
      </c>
      <c r="O2441" s="4" t="s">
        <v>2272</v>
      </c>
      <c r="P2441" s="4" t="s">
        <v>2272</v>
      </c>
      <c r="Q2441" s="4" t="s">
        <v>2272</v>
      </c>
      <c r="R2441" s="4" t="s">
        <v>2272</v>
      </c>
      <c r="S2441" s="4" t="s">
        <v>2272</v>
      </c>
      <c r="T2441" s="4" t="s">
        <v>2371</v>
      </c>
      <c r="U2441" s="21" t="s">
        <v>2272</v>
      </c>
      <c r="V2441" s="21" t="s">
        <v>2272</v>
      </c>
      <c r="W2441" s="21" t="s">
        <v>2272</v>
      </c>
      <c r="X2441" s="4" t="s">
        <v>2370</v>
      </c>
      <c r="Y2441" s="4" t="s">
        <v>2272</v>
      </c>
      <c r="Z2441" s="4" t="s">
        <v>2272</v>
      </c>
      <c r="AA2441" s="4" t="s">
        <v>63</v>
      </c>
      <c r="AB2441" s="4" t="s">
        <v>6442</v>
      </c>
      <c r="AC2441" s="4" t="s">
        <v>8383</v>
      </c>
    </row>
    <row r="2442" spans="1:29" ht="29">
      <c r="A2442" s="151" t="str">
        <f>'Reported burning'!A2442</f>
        <v>277cb</v>
      </c>
      <c r="B2442" s="151" t="str">
        <f>'Reported burning'!B2442</f>
        <v>277cb.3</v>
      </c>
      <c r="C2442" s="151" t="str">
        <f>'Reported burning'!C2442</f>
        <v>Human, deliberate</v>
      </c>
      <c r="D2442" s="151" t="str">
        <f>'Reported burning'!D2442</f>
        <v>Crop residue burning</v>
      </c>
      <c r="E2442" s="151" t="str">
        <f>'Reported burning'!E2442</f>
        <v>Cropping, Monoculture, Market-oriented</v>
      </c>
      <c r="F2442" s="151" t="str">
        <f>'Reported burning'!F2442</f>
        <v>Cropland</v>
      </c>
      <c r="G2442" s="151" t="str">
        <f>'Reported burning'!G2442</f>
        <v>ND</v>
      </c>
      <c r="H2442" s="151"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v>0</v>
      </c>
      <c r="X2442" s="4" t="s">
        <v>2370</v>
      </c>
      <c r="Y2442" s="4" t="s">
        <v>2272</v>
      </c>
      <c r="Z2442" s="4" t="s">
        <v>2272</v>
      </c>
      <c r="AA2442" s="4" t="s">
        <v>63</v>
      </c>
      <c r="AB2442" s="4" t="s">
        <v>6442</v>
      </c>
      <c r="AC2442" s="4" t="s">
        <v>8383</v>
      </c>
    </row>
    <row r="2443" spans="1:29" ht="29">
      <c r="A2443" s="151" t="str">
        <f>'Reported burning'!A2443</f>
        <v>278a</v>
      </c>
      <c r="B2443" s="151" t="str">
        <f>'Reported burning'!B2443</f>
        <v>278a.1</v>
      </c>
      <c r="C2443" s="151" t="str">
        <f>'Reported burning'!C2443</f>
        <v>Human, deliberate</v>
      </c>
      <c r="D2443" s="151" t="str">
        <f>'Reported burning'!D2443</f>
        <v>Crop residue burning</v>
      </c>
      <c r="E2443" s="151" t="str">
        <f>'Reported burning'!E2443</f>
        <v>Mixed cropping-livestock small holder, Market-oriented</v>
      </c>
      <c r="F2443" s="151" t="str">
        <f>'Reported burning'!F2443</f>
        <v>Cropland</v>
      </c>
      <c r="G2443" s="151" t="str">
        <f>'Reported burning'!G2443</f>
        <v>ND</v>
      </c>
      <c r="H2443" s="151" t="str">
        <f>'Reported burning'!H2443</f>
        <v>Presence</v>
      </c>
      <c r="I2443" s="5"/>
      <c r="J2443" s="4" t="s">
        <v>2272</v>
      </c>
      <c r="K2443" s="4" t="s">
        <v>2272</v>
      </c>
      <c r="L2443" s="4" t="s">
        <v>2272</v>
      </c>
      <c r="M2443" s="4" t="s">
        <v>2272</v>
      </c>
      <c r="N2443" s="4" t="s">
        <v>2272</v>
      </c>
      <c r="O2443" s="4" t="s">
        <v>2272</v>
      </c>
      <c r="P2443" s="4" t="s">
        <v>2368</v>
      </c>
      <c r="Q2443" s="4" t="s">
        <v>2272</v>
      </c>
      <c r="R2443" s="4" t="s">
        <v>2272</v>
      </c>
      <c r="S2443" s="4" t="s">
        <v>2272</v>
      </c>
      <c r="T2443" s="21" t="s">
        <v>2387</v>
      </c>
      <c r="U2443" s="21" t="s">
        <v>2272</v>
      </c>
      <c r="V2443" s="21" t="s">
        <v>2272</v>
      </c>
      <c r="W2443" s="21" t="s">
        <v>2272</v>
      </c>
      <c r="X2443" s="4" t="s">
        <v>2370</v>
      </c>
      <c r="Y2443" s="4" t="s">
        <v>2272</v>
      </c>
      <c r="Z2443" s="4" t="s">
        <v>2272</v>
      </c>
      <c r="AA2443" s="4" t="s">
        <v>63</v>
      </c>
      <c r="AB2443" s="4"/>
      <c r="AC2443" s="4"/>
    </row>
    <row r="2444" spans="1:29" ht="29">
      <c r="A2444" s="151" t="str">
        <f>'Reported burning'!A2444</f>
        <v>278b</v>
      </c>
      <c r="B2444" s="151" t="str">
        <f>'Reported burning'!B2444</f>
        <v>278b.1</v>
      </c>
      <c r="C2444" s="151" t="str">
        <f>'Reported burning'!C2444</f>
        <v>Human, deliberate</v>
      </c>
      <c r="D2444" s="151" t="str">
        <f>'Reported burning'!D2444</f>
        <v>Crop residue burning</v>
      </c>
      <c r="E2444" s="151" t="str">
        <f>'Reported burning'!E2444</f>
        <v>Mixed cropping-livestock small holder, Market-oriented</v>
      </c>
      <c r="F2444" s="151" t="str">
        <f>'Reported burning'!F2444</f>
        <v>Cropland</v>
      </c>
      <c r="G2444" s="151" t="str">
        <f>'Reported burning'!G2444</f>
        <v>ND</v>
      </c>
      <c r="H2444" s="151" t="str">
        <f>'Reported burning'!H2444</f>
        <v>Presence</v>
      </c>
      <c r="I2444" s="5"/>
      <c r="J2444" s="4" t="s">
        <v>2272</v>
      </c>
      <c r="K2444" s="4" t="s">
        <v>2272</v>
      </c>
      <c r="L2444" s="4" t="s">
        <v>2272</v>
      </c>
      <c r="M2444" s="4" t="s">
        <v>2272</v>
      </c>
      <c r="N2444" s="4" t="s">
        <v>2272</v>
      </c>
      <c r="O2444" s="4" t="s">
        <v>2272</v>
      </c>
      <c r="P2444" s="4" t="s">
        <v>2368</v>
      </c>
      <c r="Q2444" s="4" t="s">
        <v>2272</v>
      </c>
      <c r="R2444" s="4" t="s">
        <v>2272</v>
      </c>
      <c r="S2444" s="4" t="s">
        <v>2272</v>
      </c>
      <c r="T2444" s="21" t="s">
        <v>2387</v>
      </c>
      <c r="U2444" s="21" t="s">
        <v>2272</v>
      </c>
      <c r="V2444" s="21" t="s">
        <v>2272</v>
      </c>
      <c r="W2444" s="21" t="s">
        <v>2272</v>
      </c>
      <c r="X2444" s="4" t="s">
        <v>2370</v>
      </c>
      <c r="Y2444" s="4" t="s">
        <v>2272</v>
      </c>
      <c r="Z2444" s="4" t="s">
        <v>2272</v>
      </c>
      <c r="AA2444" s="4" t="s">
        <v>63</v>
      </c>
      <c r="AB2444" s="4"/>
      <c r="AC2444" s="4"/>
    </row>
    <row r="2445" spans="1:29" ht="29">
      <c r="A2445" s="151" t="str">
        <f>'Reported burning'!A2445</f>
        <v>279a</v>
      </c>
      <c r="B2445" s="151" t="str">
        <f>'Reported burning'!B2445</f>
        <v>279a.1</v>
      </c>
      <c r="C2445" s="151" t="str">
        <f>'Reported burning'!C2445</f>
        <v>Human, deliberate</v>
      </c>
      <c r="D2445" s="151" t="str">
        <f>'Reported burning'!D2445</f>
        <v>Crop residue burning</v>
      </c>
      <c r="E2445" s="151" t="str">
        <f>'Reported burning'!E2445</f>
        <v>Mixed cropping-livestock small holder, Subsistence-oriented</v>
      </c>
      <c r="F2445" s="151" t="str">
        <f>'Reported burning'!F2445</f>
        <v>Cropland</v>
      </c>
      <c r="G2445" s="151" t="str">
        <f>'Reported burning'!G2445</f>
        <v>ND</v>
      </c>
      <c r="H2445" s="151" t="str">
        <f>'Reported burning'!H2445</f>
        <v>Presence</v>
      </c>
      <c r="I2445" s="5"/>
      <c r="J2445" s="4" t="s">
        <v>2272</v>
      </c>
      <c r="K2445" s="4" t="s">
        <v>2272</v>
      </c>
      <c r="L2445" s="4" t="s">
        <v>2272</v>
      </c>
      <c r="M2445" s="4" t="s">
        <v>2272</v>
      </c>
      <c r="N2445" s="4" t="s">
        <v>2272</v>
      </c>
      <c r="O2445" s="4" t="s">
        <v>2272</v>
      </c>
      <c r="P2445" s="21" t="s">
        <v>2272</v>
      </c>
      <c r="Q2445" s="21" t="s">
        <v>2272</v>
      </c>
      <c r="R2445" s="21" t="s">
        <v>2272</v>
      </c>
      <c r="S2445" s="21" t="s">
        <v>2272</v>
      </c>
      <c r="T2445" s="4" t="s">
        <v>2369</v>
      </c>
      <c r="U2445" s="21" t="s">
        <v>2272</v>
      </c>
      <c r="V2445" s="21" t="s">
        <v>2272</v>
      </c>
      <c r="W2445" s="21" t="s">
        <v>2272</v>
      </c>
      <c r="X2445" s="4" t="s">
        <v>2370</v>
      </c>
      <c r="Y2445" s="4" t="s">
        <v>403</v>
      </c>
      <c r="Z2445" s="4" t="s">
        <v>84</v>
      </c>
      <c r="AA2445" s="4" t="s">
        <v>63</v>
      </c>
      <c r="AB2445" s="4" t="s">
        <v>6443</v>
      </c>
      <c r="AC2445" s="4"/>
    </row>
    <row r="2446" spans="1:29" ht="29">
      <c r="A2446" s="151" t="str">
        <f>'Reported burning'!A2446</f>
        <v>279a</v>
      </c>
      <c r="B2446" s="151" t="str">
        <f>'Reported burning'!B2446</f>
        <v>279a.2</v>
      </c>
      <c r="C2446" s="151" t="str">
        <f>'Reported burning'!C2446</f>
        <v>Human, deliberate</v>
      </c>
      <c r="D2446" s="151" t="str">
        <f>'Reported burning'!D2446</f>
        <v>Crop residue burning</v>
      </c>
      <c r="E2446" s="151" t="str">
        <f>'Reported burning'!E2446</f>
        <v>Mixed cropping-livestock small holder, Subsistence-oriented</v>
      </c>
      <c r="F2446" s="151" t="str">
        <f>'Reported burning'!F2446</f>
        <v>Cropland</v>
      </c>
      <c r="G2446" s="151" t="str">
        <f>'Reported burning'!G2446</f>
        <v>ND</v>
      </c>
      <c r="H2446" s="151" t="str">
        <f>'Reported burning'!H2446</f>
        <v>Presence</v>
      </c>
      <c r="I2446" s="5"/>
      <c r="J2446" s="4" t="s">
        <v>2272</v>
      </c>
      <c r="K2446" s="4" t="s">
        <v>2272</v>
      </c>
      <c r="L2446" s="4" t="s">
        <v>2272</v>
      </c>
      <c r="M2446" s="4" t="s">
        <v>2272</v>
      </c>
      <c r="N2446" s="4" t="s">
        <v>2272</v>
      </c>
      <c r="O2446" s="4" t="s">
        <v>2272</v>
      </c>
      <c r="P2446" s="21" t="s">
        <v>2272</v>
      </c>
      <c r="Q2446" s="21" t="s">
        <v>2272</v>
      </c>
      <c r="R2446" s="21" t="s">
        <v>2272</v>
      </c>
      <c r="S2446" s="21" t="s">
        <v>2272</v>
      </c>
      <c r="T2446" s="4" t="s">
        <v>2522</v>
      </c>
      <c r="U2446" s="21" t="s">
        <v>2272</v>
      </c>
      <c r="V2446" s="21" t="s">
        <v>2272</v>
      </c>
      <c r="W2446" s="21" t="s">
        <v>2272</v>
      </c>
      <c r="X2446" s="4" t="s">
        <v>2370</v>
      </c>
      <c r="Y2446" s="4" t="s">
        <v>403</v>
      </c>
      <c r="Z2446" s="4" t="s">
        <v>84</v>
      </c>
      <c r="AA2446" s="4" t="s">
        <v>63</v>
      </c>
      <c r="AB2446" s="4" t="s">
        <v>6444</v>
      </c>
      <c r="AC2446" s="4"/>
    </row>
    <row r="2447" spans="1:29" ht="29">
      <c r="A2447" s="151" t="str">
        <f>'Reported burning'!A2447</f>
        <v>279b</v>
      </c>
      <c r="B2447" s="151" t="str">
        <f>'Reported burning'!B2447</f>
        <v>279b.1</v>
      </c>
      <c r="C2447" s="151" t="str">
        <f>'Reported burning'!C2447</f>
        <v>Human, deliberate</v>
      </c>
      <c r="D2447" s="151" t="str">
        <f>'Reported burning'!D2447</f>
        <v>Crop residue burning</v>
      </c>
      <c r="E2447" s="151" t="str">
        <f>'Reported burning'!E2447</f>
        <v>Mixed cropping-livestock small holder, Subsistence-oriented</v>
      </c>
      <c r="F2447" s="151" t="str">
        <f>'Reported burning'!F2447</f>
        <v>Cropland</v>
      </c>
      <c r="G2447" s="151" t="str">
        <f>'Reported burning'!G2447</f>
        <v>ND</v>
      </c>
      <c r="H2447" s="151" t="str">
        <f>'Reported burning'!H2447</f>
        <v>Absence</v>
      </c>
      <c r="I2447" s="5"/>
      <c r="J2447" s="71">
        <v>0</v>
      </c>
      <c r="K2447" s="71">
        <v>0</v>
      </c>
      <c r="L2447" s="71">
        <v>0</v>
      </c>
      <c r="M2447" s="71">
        <v>0</v>
      </c>
      <c r="N2447" s="71">
        <v>0</v>
      </c>
      <c r="O2447" s="71">
        <v>0</v>
      </c>
      <c r="P2447" s="71">
        <v>0</v>
      </c>
      <c r="Q2447" s="71">
        <v>0</v>
      </c>
      <c r="R2447" s="71">
        <v>0</v>
      </c>
      <c r="S2447" s="71">
        <v>0</v>
      </c>
      <c r="T2447" s="71">
        <v>0</v>
      </c>
      <c r="U2447" s="71">
        <v>0</v>
      </c>
      <c r="V2447" s="71">
        <v>0</v>
      </c>
      <c r="W2447" s="71">
        <v>0</v>
      </c>
      <c r="X2447" s="4" t="s">
        <v>2272</v>
      </c>
      <c r="Y2447" s="4" t="s">
        <v>2272</v>
      </c>
      <c r="Z2447" s="4" t="s">
        <v>2272</v>
      </c>
      <c r="AA2447" s="4" t="s">
        <v>2272</v>
      </c>
      <c r="AB2447" s="4" t="s">
        <v>6445</v>
      </c>
      <c r="AC2447" s="4"/>
    </row>
    <row r="2448" spans="1:29" ht="29">
      <c r="A2448" s="151" t="str">
        <f>'Reported burning'!A2448</f>
        <v>279b</v>
      </c>
      <c r="B2448" s="151" t="str">
        <f>'Reported burning'!B2448</f>
        <v>279b.2</v>
      </c>
      <c r="C2448" s="151" t="str">
        <f>'Reported burning'!C2448</f>
        <v>Human, deliberate</v>
      </c>
      <c r="D2448" s="151" t="str">
        <f>'Reported burning'!D2448</f>
        <v>Crop residue burning</v>
      </c>
      <c r="E2448" s="151" t="str">
        <f>'Reported burning'!E2448</f>
        <v>Cropping, Monoculture, Subsistence-oriented</v>
      </c>
      <c r="F2448" s="151" t="str">
        <f>'Reported burning'!F2448</f>
        <v>Cropland</v>
      </c>
      <c r="G2448" s="151" t="str">
        <f>'Reported burning'!G2448</f>
        <v>ND</v>
      </c>
      <c r="H2448" s="151" t="str">
        <f>'Reported burning'!H2448</f>
        <v>Presence</v>
      </c>
      <c r="I2448" s="5"/>
      <c r="J2448" s="21" t="s">
        <v>2272</v>
      </c>
      <c r="K2448" s="21" t="s">
        <v>2272</v>
      </c>
      <c r="L2448" s="21" t="s">
        <v>2272</v>
      </c>
      <c r="M2448" s="21" t="s">
        <v>2272</v>
      </c>
      <c r="N2448" s="21" t="s">
        <v>2272</v>
      </c>
      <c r="O2448" s="21" t="s">
        <v>2272</v>
      </c>
      <c r="P2448" s="21" t="s">
        <v>2272</v>
      </c>
      <c r="Q2448" s="21" t="s">
        <v>2272</v>
      </c>
      <c r="R2448" s="21" t="s">
        <v>2272</v>
      </c>
      <c r="S2448" s="21" t="s">
        <v>2272</v>
      </c>
      <c r="T2448" s="4" t="s">
        <v>2385</v>
      </c>
      <c r="U2448" s="21" t="s">
        <v>2272</v>
      </c>
      <c r="V2448" s="21" t="s">
        <v>2272</v>
      </c>
      <c r="W2448" s="21" t="s">
        <v>2272</v>
      </c>
      <c r="X2448" s="4" t="s">
        <v>2370</v>
      </c>
      <c r="Y2448" s="4" t="s">
        <v>403</v>
      </c>
      <c r="Z2448" s="4" t="s">
        <v>84</v>
      </c>
      <c r="AA2448" s="4" t="s">
        <v>63</v>
      </c>
      <c r="AB2448" s="4" t="s">
        <v>6445</v>
      </c>
      <c r="AC2448" s="4"/>
    </row>
    <row r="2449" spans="1:29" ht="29">
      <c r="A2449" s="151" t="str">
        <f>'Reported burning'!A2449</f>
        <v>279c</v>
      </c>
      <c r="B2449" s="151" t="str">
        <f>'Reported burning'!B2449</f>
        <v>279c.1</v>
      </c>
      <c r="C2449" s="151" t="str">
        <f>'Reported burning'!C2449</f>
        <v>Human, deliberate</v>
      </c>
      <c r="D2449" s="151" t="str">
        <f>'Reported burning'!D2449</f>
        <v>Crop residue burning</v>
      </c>
      <c r="E2449" s="151" t="str">
        <f>'Reported burning'!E2449</f>
        <v>Cropping, Monoculture, Subsistence-oriented</v>
      </c>
      <c r="F2449" s="151" t="str">
        <f>'Reported burning'!F2449</f>
        <v>Cropland</v>
      </c>
      <c r="G2449" s="151" t="str">
        <f>'Reported burning'!G2449</f>
        <v>ND</v>
      </c>
      <c r="H2449" s="151" t="str">
        <f>'Reported burning'!H2449</f>
        <v>Presence</v>
      </c>
      <c r="I2449" s="5"/>
      <c r="J2449" s="21" t="s">
        <v>2272</v>
      </c>
      <c r="K2449" s="21" t="s">
        <v>2272</v>
      </c>
      <c r="L2449" s="21" t="s">
        <v>2272</v>
      </c>
      <c r="M2449" s="21" t="s">
        <v>2272</v>
      </c>
      <c r="N2449" s="21" t="s">
        <v>2272</v>
      </c>
      <c r="O2449" s="21" t="s">
        <v>2272</v>
      </c>
      <c r="P2449" s="21" t="s">
        <v>2272</v>
      </c>
      <c r="Q2449" s="21" t="s">
        <v>2272</v>
      </c>
      <c r="R2449" s="21" t="s">
        <v>2272</v>
      </c>
      <c r="S2449" s="21" t="s">
        <v>2272</v>
      </c>
      <c r="T2449" s="21" t="s">
        <v>2272</v>
      </c>
      <c r="U2449" s="21" t="s">
        <v>2272</v>
      </c>
      <c r="V2449" s="21" t="s">
        <v>2272</v>
      </c>
      <c r="W2449" s="21" t="s">
        <v>2272</v>
      </c>
      <c r="X2449" s="4" t="s">
        <v>2370</v>
      </c>
      <c r="Y2449" s="4" t="s">
        <v>403</v>
      </c>
      <c r="Z2449" s="4" t="s">
        <v>84</v>
      </c>
      <c r="AA2449" s="4" t="s">
        <v>63</v>
      </c>
      <c r="AB2449" s="4"/>
      <c r="AC2449" s="4"/>
    </row>
    <row r="2450" spans="1:29" ht="29">
      <c r="A2450" s="151" t="str">
        <f>'Reported burning'!A2450</f>
        <v>280a</v>
      </c>
      <c r="B2450" s="151" t="str">
        <f>'Reported burning'!B2450</f>
        <v>280a.1</v>
      </c>
      <c r="C2450" s="151" t="str">
        <f>'Reported burning'!C2450</f>
        <v>Human, deliberate</v>
      </c>
      <c r="D2450" s="151" t="str">
        <f>'Reported burning'!D2450</f>
        <v>Crop residue burning</v>
      </c>
      <c r="E2450" s="151" t="str">
        <f>'Reported burning'!E2450</f>
        <v>Mixed cropping-livestock small holder, Market-oriented</v>
      </c>
      <c r="F2450" s="151" t="str">
        <f>'Reported burning'!F2450</f>
        <v>Cropland</v>
      </c>
      <c r="G2450" s="151" t="str">
        <f>'Reported burning'!G2450</f>
        <v>ND</v>
      </c>
      <c r="H2450" s="151" t="str">
        <f>'Reported burning'!H2450</f>
        <v>Presence</v>
      </c>
      <c r="I2450" s="5"/>
      <c r="J2450" s="21" t="s">
        <v>2272</v>
      </c>
      <c r="K2450" s="21" t="s">
        <v>2272</v>
      </c>
      <c r="L2450" s="21" t="s">
        <v>2272</v>
      </c>
      <c r="M2450" s="21" t="s">
        <v>2272</v>
      </c>
      <c r="N2450" s="21" t="s">
        <v>2272</v>
      </c>
      <c r="O2450" s="21" t="s">
        <v>2272</v>
      </c>
      <c r="P2450" s="4" t="s">
        <v>2358</v>
      </c>
      <c r="Q2450" s="21" t="s">
        <v>2272</v>
      </c>
      <c r="R2450" s="21" t="s">
        <v>2272</v>
      </c>
      <c r="S2450" s="21" t="s">
        <v>2272</v>
      </c>
      <c r="T2450" s="21" t="s">
        <v>2386</v>
      </c>
      <c r="U2450" s="21" t="s">
        <v>2272</v>
      </c>
      <c r="V2450" s="21" t="s">
        <v>2272</v>
      </c>
      <c r="W2450" s="21" t="s">
        <v>2272</v>
      </c>
      <c r="X2450" s="4" t="s">
        <v>2370</v>
      </c>
      <c r="Y2450" s="198" t="s">
        <v>37</v>
      </c>
      <c r="Z2450" s="4" t="s">
        <v>84</v>
      </c>
      <c r="AA2450" s="4" t="s">
        <v>63</v>
      </c>
      <c r="AB2450" s="4" t="s">
        <v>8395</v>
      </c>
      <c r="AC2450" s="4" t="s">
        <v>8394</v>
      </c>
    </row>
    <row r="2451" spans="1:29" ht="29">
      <c r="A2451" s="151" t="str">
        <f>'Reported burning'!A2451</f>
        <v>280a</v>
      </c>
      <c r="B2451" s="151" t="str">
        <f>'Reported burning'!B2451</f>
        <v>280a.2</v>
      </c>
      <c r="C2451" s="151" t="str">
        <f>'Reported burning'!C2451</f>
        <v>Human, deliberate</v>
      </c>
      <c r="D2451" s="151" t="str">
        <f>'Reported burning'!D2451</f>
        <v>Crop residue burning</v>
      </c>
      <c r="E2451" s="151" t="str">
        <f>'Reported burning'!E2451</f>
        <v>Mixed cropping-livestock small holder, Market-oriented</v>
      </c>
      <c r="F2451" s="151" t="str">
        <f>'Reported burning'!F2451</f>
        <v>Cropland</v>
      </c>
      <c r="G2451" s="151" t="str">
        <f>'Reported burning'!G2451</f>
        <v>ND</v>
      </c>
      <c r="H2451" s="151" t="str">
        <f>'Reported burning'!H2451</f>
        <v>Presence</v>
      </c>
      <c r="I2451" s="5"/>
      <c r="J2451" s="21" t="s">
        <v>2272</v>
      </c>
      <c r="K2451" s="21" t="s">
        <v>2272</v>
      </c>
      <c r="L2451" s="21" t="s">
        <v>2272</v>
      </c>
      <c r="M2451" s="21" t="s">
        <v>2272</v>
      </c>
      <c r="N2451" s="21" t="s">
        <v>2272</v>
      </c>
      <c r="O2451" s="21" t="s">
        <v>2272</v>
      </c>
      <c r="P2451" s="4" t="s">
        <v>2358</v>
      </c>
      <c r="Q2451" s="21" t="s">
        <v>2272</v>
      </c>
      <c r="R2451" s="21" t="s">
        <v>2272</v>
      </c>
      <c r="S2451" s="21" t="s">
        <v>2272</v>
      </c>
      <c r="T2451" s="4" t="s">
        <v>2371</v>
      </c>
      <c r="U2451" s="21" t="s">
        <v>2272</v>
      </c>
      <c r="V2451" s="21" t="s">
        <v>2272</v>
      </c>
      <c r="W2451" s="21" t="s">
        <v>2272</v>
      </c>
      <c r="X2451" s="4" t="s">
        <v>2370</v>
      </c>
      <c r="Y2451" s="198" t="s">
        <v>423</v>
      </c>
      <c r="Z2451" s="198" t="s">
        <v>67</v>
      </c>
      <c r="AA2451" s="4" t="s">
        <v>63</v>
      </c>
      <c r="AB2451" s="4" t="s">
        <v>6448</v>
      </c>
      <c r="AC2451" s="4" t="s">
        <v>8396</v>
      </c>
    </row>
    <row r="2452" spans="1:29" ht="29">
      <c r="A2452" s="151" t="str">
        <f>'Reported burning'!A2452</f>
        <v>280b</v>
      </c>
      <c r="B2452" s="151" t="str">
        <f>'Reported burning'!B2452</f>
        <v>280b.1</v>
      </c>
      <c r="C2452" s="151" t="str">
        <f>'Reported burning'!C2452</f>
        <v>Human, deliberate</v>
      </c>
      <c r="D2452" s="151" t="str">
        <f>'Reported burning'!D2452</f>
        <v>Crop residue burning</v>
      </c>
      <c r="E2452" s="151" t="str">
        <f>'Reported burning'!E2452</f>
        <v>Mixed cropping-livestock small holder, Market-oriented</v>
      </c>
      <c r="F2452" s="151" t="str">
        <f>'Reported burning'!F2452</f>
        <v>Cropland</v>
      </c>
      <c r="G2452" s="151" t="str">
        <f>'Reported burning'!G2452</f>
        <v>ND</v>
      </c>
      <c r="H2452" s="151" t="str">
        <f>'Reported burning'!H2452</f>
        <v>Presence</v>
      </c>
      <c r="I2452" s="5"/>
      <c r="J2452" s="21" t="s">
        <v>2272</v>
      </c>
      <c r="K2452" s="21" t="s">
        <v>2272</v>
      </c>
      <c r="L2452" s="21" t="s">
        <v>2272</v>
      </c>
      <c r="M2452" s="21" t="s">
        <v>2272</v>
      </c>
      <c r="N2452" s="21" t="s">
        <v>2272</v>
      </c>
      <c r="O2452" s="21" t="s">
        <v>2272</v>
      </c>
      <c r="P2452" s="4" t="s">
        <v>2358</v>
      </c>
      <c r="Q2452" s="21" t="s">
        <v>2272</v>
      </c>
      <c r="R2452" s="21" t="s">
        <v>2272</v>
      </c>
      <c r="S2452" s="21" t="s">
        <v>2272</v>
      </c>
      <c r="T2452" s="4" t="s">
        <v>2384</v>
      </c>
      <c r="U2452" s="21" t="s">
        <v>2272</v>
      </c>
      <c r="V2452" s="21" t="s">
        <v>2272</v>
      </c>
      <c r="W2452" s="21" t="s">
        <v>2272</v>
      </c>
      <c r="X2452" s="4" t="s">
        <v>2370</v>
      </c>
      <c r="Y2452" s="198" t="s">
        <v>37</v>
      </c>
      <c r="Z2452" s="4" t="s">
        <v>84</v>
      </c>
      <c r="AA2452" s="4" t="s">
        <v>63</v>
      </c>
      <c r="AB2452" s="4" t="s">
        <v>6447</v>
      </c>
      <c r="AC2452" s="4" t="s">
        <v>8397</v>
      </c>
    </row>
    <row r="2453" spans="1:29" ht="29">
      <c r="A2453" s="151" t="str">
        <f>'Reported burning'!A2453</f>
        <v>280b</v>
      </c>
      <c r="B2453" s="151" t="str">
        <f>'Reported burning'!B2453</f>
        <v>280b.2</v>
      </c>
      <c r="C2453" s="151" t="str">
        <f>'Reported burning'!C2453</f>
        <v>Human, deliberate</v>
      </c>
      <c r="D2453" s="151" t="str">
        <f>'Reported burning'!D2453</f>
        <v>Crop residue burning</v>
      </c>
      <c r="E2453" s="151" t="str">
        <f>'Reported burning'!E2453</f>
        <v>Mixed cropping-livestock small holder, Market-oriented</v>
      </c>
      <c r="F2453" s="151" t="str">
        <f>'Reported burning'!F2453</f>
        <v>Cropland</v>
      </c>
      <c r="G2453" s="151" t="str">
        <f>'Reported burning'!G2453</f>
        <v>ND</v>
      </c>
      <c r="H2453" s="151" t="str">
        <f>'Reported burning'!H2453</f>
        <v>Presence</v>
      </c>
      <c r="I2453" s="5"/>
      <c r="J2453" s="21" t="s">
        <v>2272</v>
      </c>
      <c r="K2453" s="21" t="s">
        <v>2272</v>
      </c>
      <c r="L2453" s="21" t="s">
        <v>2272</v>
      </c>
      <c r="M2453" s="21" t="s">
        <v>2272</v>
      </c>
      <c r="N2453" s="21" t="s">
        <v>2272</v>
      </c>
      <c r="O2453" s="21" t="s">
        <v>2272</v>
      </c>
      <c r="P2453" s="4" t="s">
        <v>2358</v>
      </c>
      <c r="Q2453" s="21" t="s">
        <v>2272</v>
      </c>
      <c r="R2453" s="21" t="s">
        <v>2272</v>
      </c>
      <c r="S2453" s="21" t="s">
        <v>2272</v>
      </c>
      <c r="T2453" s="4" t="s">
        <v>2384</v>
      </c>
      <c r="U2453" s="21" t="s">
        <v>2272</v>
      </c>
      <c r="V2453" s="21" t="s">
        <v>2272</v>
      </c>
      <c r="W2453" s="21" t="s">
        <v>2272</v>
      </c>
      <c r="X2453" s="4" t="s">
        <v>2370</v>
      </c>
      <c r="Y2453" s="198" t="s">
        <v>423</v>
      </c>
      <c r="Z2453" s="198" t="s">
        <v>67</v>
      </c>
      <c r="AA2453" s="4" t="s">
        <v>63</v>
      </c>
      <c r="AB2453" s="4" t="s">
        <v>6448</v>
      </c>
      <c r="AC2453" s="4" t="s">
        <v>8397</v>
      </c>
    </row>
    <row r="2454" spans="1:29" ht="29">
      <c r="A2454" s="151" t="str">
        <f>'Reported burning'!A2454</f>
        <v>280c</v>
      </c>
      <c r="B2454" s="151" t="str">
        <f>'Reported burning'!B2454</f>
        <v>280c.1</v>
      </c>
      <c r="C2454" s="151" t="str">
        <f>'Reported burning'!C2454</f>
        <v>Human, deliberate</v>
      </c>
      <c r="D2454" s="151" t="str">
        <f>'Reported burning'!D2454</f>
        <v>Crop residue burning</v>
      </c>
      <c r="E2454" s="151" t="str">
        <f>'Reported burning'!E2454</f>
        <v>Mixed cropping-livestock small holder, Subsistence-oriented</v>
      </c>
      <c r="F2454" s="151" t="str">
        <f>'Reported burning'!F2454</f>
        <v>Cropland</v>
      </c>
      <c r="G2454" s="151" t="str">
        <f>'Reported burning'!G2454</f>
        <v>ND</v>
      </c>
      <c r="H2454" s="151" t="str">
        <f>'Reported burning'!H2454</f>
        <v>Absence</v>
      </c>
      <c r="I2454" s="5"/>
      <c r="J2454" s="71">
        <v>0</v>
      </c>
      <c r="K2454" s="71">
        <v>0</v>
      </c>
      <c r="L2454" s="71">
        <v>0</v>
      </c>
      <c r="M2454" s="71">
        <v>0</v>
      </c>
      <c r="N2454" s="71">
        <v>0</v>
      </c>
      <c r="O2454" s="71">
        <v>0</v>
      </c>
      <c r="P2454" s="71">
        <v>0</v>
      </c>
      <c r="Q2454" s="71">
        <v>0</v>
      </c>
      <c r="R2454" s="71">
        <v>0</v>
      </c>
      <c r="S2454" s="71">
        <v>0</v>
      </c>
      <c r="T2454" s="71">
        <v>0</v>
      </c>
      <c r="U2454" s="71">
        <v>0</v>
      </c>
      <c r="V2454" s="71">
        <v>0</v>
      </c>
      <c r="W2454" s="71">
        <v>0</v>
      </c>
      <c r="X2454" s="4" t="s">
        <v>2272</v>
      </c>
      <c r="Y2454" s="198" t="s">
        <v>37</v>
      </c>
      <c r="Z2454" s="4" t="s">
        <v>84</v>
      </c>
      <c r="AA2454" s="4" t="s">
        <v>2272</v>
      </c>
      <c r="AB2454" s="4" t="s">
        <v>6447</v>
      </c>
      <c r="AC2454" s="4"/>
    </row>
    <row r="2455" spans="1:29" ht="29">
      <c r="A2455" s="151" t="str">
        <f>'Reported burning'!A2455</f>
        <v>280c</v>
      </c>
      <c r="B2455" s="151" t="str">
        <f>'Reported burning'!B2455</f>
        <v>280c.2</v>
      </c>
      <c r="C2455" s="151" t="str">
        <f>'Reported burning'!C2455</f>
        <v>Human, deliberate</v>
      </c>
      <c r="D2455" s="151" t="str">
        <f>'Reported burning'!D2455</f>
        <v>Crop residue burning</v>
      </c>
      <c r="E2455" s="151" t="str">
        <f>'Reported burning'!E2455</f>
        <v>Mixed cropping-livestock small holder, Subsistence-oriented</v>
      </c>
      <c r="F2455" s="151" t="str">
        <f>'Reported burning'!F2455</f>
        <v>Cropland</v>
      </c>
      <c r="G2455" s="151" t="str">
        <f>'Reported burning'!G2455</f>
        <v>ND</v>
      </c>
      <c r="H2455" s="151" t="str">
        <f>'Reported burning'!H2455</f>
        <v>Absence</v>
      </c>
      <c r="I2455" s="5"/>
      <c r="J2455" s="71">
        <v>0</v>
      </c>
      <c r="K2455" s="71">
        <v>0</v>
      </c>
      <c r="L2455" s="71">
        <v>0</v>
      </c>
      <c r="M2455" s="71">
        <v>0</v>
      </c>
      <c r="N2455" s="71">
        <v>0</v>
      </c>
      <c r="O2455" s="71">
        <v>0</v>
      </c>
      <c r="P2455" s="71">
        <v>0</v>
      </c>
      <c r="Q2455" s="71">
        <v>0</v>
      </c>
      <c r="R2455" s="71">
        <v>0</v>
      </c>
      <c r="S2455" s="71">
        <v>0</v>
      </c>
      <c r="T2455" s="71">
        <v>0</v>
      </c>
      <c r="U2455" s="71">
        <v>0</v>
      </c>
      <c r="V2455" s="71">
        <v>0</v>
      </c>
      <c r="W2455" s="71">
        <v>0</v>
      </c>
      <c r="X2455" s="4" t="s">
        <v>2272</v>
      </c>
      <c r="Y2455" s="198" t="s">
        <v>423</v>
      </c>
      <c r="Z2455" s="198" t="s">
        <v>67</v>
      </c>
      <c r="AA2455" s="4" t="s">
        <v>2272</v>
      </c>
      <c r="AB2455" s="4" t="s">
        <v>6448</v>
      </c>
      <c r="AC2455" s="4"/>
    </row>
    <row r="2456" spans="1:29" ht="44.5" customHeight="1">
      <c r="A2456" s="209" t="str">
        <f>'Reported burning'!A2456</f>
        <v>281a</v>
      </c>
      <c r="B2456" s="209" t="str">
        <f>'Reported burning'!B2456</f>
        <v>281a.1</v>
      </c>
      <c r="C2456" s="209" t="str">
        <f>'Reported burning'!C2456</f>
        <v>Human, deliberate</v>
      </c>
      <c r="D2456" s="209" t="str">
        <f>'Reported burning'!D2456</f>
        <v>Crop field preparation</v>
      </c>
      <c r="E2456" s="209" t="str">
        <f>'Reported burning'!E2456</f>
        <v>Cropping, Swidden</v>
      </c>
      <c r="F2456" s="209" t="str">
        <f>'Reported burning'!F2456</f>
        <v>Secondary vegetation</v>
      </c>
      <c r="G2456" s="209" t="str">
        <f>'Reported burning'!G2456</f>
        <v>Secondary vegetation</v>
      </c>
      <c r="H2456" s="209" t="str">
        <f>'Reported burning'!H2456</f>
        <v>Presence</v>
      </c>
      <c r="I2456" s="42"/>
      <c r="J2456" s="4" t="s">
        <v>2272</v>
      </c>
      <c r="K2456" s="4" t="s">
        <v>2272</v>
      </c>
      <c r="L2456" s="4" t="s">
        <v>2272</v>
      </c>
      <c r="M2456" s="4" t="s">
        <v>2272</v>
      </c>
      <c r="N2456" s="4" t="s">
        <v>2272</v>
      </c>
      <c r="O2456" s="4" t="s">
        <v>2272</v>
      </c>
      <c r="P2456" s="4" t="s">
        <v>2272</v>
      </c>
      <c r="Q2456" s="4" t="s">
        <v>2272</v>
      </c>
      <c r="R2456" s="4" t="s">
        <v>2272</v>
      </c>
      <c r="S2456" s="4" t="s">
        <v>2272</v>
      </c>
      <c r="T2456" s="4" t="s">
        <v>2272</v>
      </c>
      <c r="U2456" s="4" t="s">
        <v>2272</v>
      </c>
      <c r="V2456" s="4" t="s">
        <v>2272</v>
      </c>
      <c r="W2456" s="4" t="s">
        <v>2272</v>
      </c>
      <c r="X2456" s="4" t="s">
        <v>2272</v>
      </c>
      <c r="Y2456" s="198" t="s">
        <v>125</v>
      </c>
      <c r="Z2456" s="198" t="s">
        <v>125</v>
      </c>
      <c r="AA2456" s="4" t="s">
        <v>2272</v>
      </c>
      <c r="AB2456" s="198"/>
      <c r="AC2456" s="198"/>
    </row>
    <row r="2457" spans="1:29" s="197" customFormat="1" ht="44.5" customHeight="1">
      <c r="A2457" s="209" t="str">
        <f>'Reported burning'!A2457</f>
        <v>281b</v>
      </c>
      <c r="B2457" s="209" t="str">
        <f>'Reported burning'!B2457</f>
        <v>281b.1</v>
      </c>
      <c r="C2457" s="209" t="str">
        <f>'Reported burning'!C2457</f>
        <v>Human, deliberate</v>
      </c>
      <c r="D2457" s="209" t="str">
        <f>'Reported burning'!D2457</f>
        <v>Crop field preparation</v>
      </c>
      <c r="E2457" s="209" t="str">
        <f>'Reported burning'!E2457</f>
        <v>Cropping, Swidden</v>
      </c>
      <c r="F2457" s="209" t="str">
        <f>'Reported burning'!F2457</f>
        <v>Secondary vegetation</v>
      </c>
      <c r="G2457" s="209" t="str">
        <f>'Reported burning'!G2457</f>
        <v>Secondary vegetation</v>
      </c>
      <c r="H2457" s="209" t="str">
        <f>'Reported burning'!H2457</f>
        <v>Presence</v>
      </c>
      <c r="I2457" s="42"/>
      <c r="J2457" s="4" t="s">
        <v>2272</v>
      </c>
      <c r="K2457" s="4" t="s">
        <v>2272</v>
      </c>
      <c r="L2457" s="4" t="s">
        <v>2272</v>
      </c>
      <c r="M2457" s="4" t="s">
        <v>2272</v>
      </c>
      <c r="N2457" s="4" t="s">
        <v>2272</v>
      </c>
      <c r="O2457" s="4" t="s">
        <v>2272</v>
      </c>
      <c r="P2457" s="4" t="s">
        <v>2272</v>
      </c>
      <c r="Q2457" s="4" t="s">
        <v>2272</v>
      </c>
      <c r="R2457" s="4" t="s">
        <v>2272</v>
      </c>
      <c r="S2457" s="4" t="s">
        <v>2272</v>
      </c>
      <c r="T2457" s="4" t="s">
        <v>2272</v>
      </c>
      <c r="U2457" s="4" t="s">
        <v>2272</v>
      </c>
      <c r="V2457" s="4" t="s">
        <v>2272</v>
      </c>
      <c r="W2457" s="4" t="s">
        <v>2272</v>
      </c>
      <c r="X2457" s="4" t="s">
        <v>2272</v>
      </c>
      <c r="Y2457" s="198" t="s">
        <v>125</v>
      </c>
      <c r="Z2457" s="198" t="s">
        <v>125</v>
      </c>
      <c r="AA2457" s="4" t="s">
        <v>2272</v>
      </c>
      <c r="AB2457" s="19"/>
      <c r="AC2457" s="19"/>
    </row>
    <row r="2458" spans="1:29" s="197" customFormat="1" ht="44.5" customHeight="1">
      <c r="A2458" s="209" t="str">
        <f>'Reported burning'!A2458</f>
        <v>281c</v>
      </c>
      <c r="B2458" s="209" t="str">
        <f>'Reported burning'!B2458</f>
        <v>281c.1</v>
      </c>
      <c r="C2458" s="209" t="str">
        <f>'Reported burning'!C2458</f>
        <v>Human, deliberate</v>
      </c>
      <c r="D2458" s="209" t="str">
        <f>'Reported burning'!D2458</f>
        <v>Crop field preparation</v>
      </c>
      <c r="E2458" s="209" t="str">
        <f>'Reported burning'!E2458</f>
        <v>Cropping, Swidden</v>
      </c>
      <c r="F2458" s="209" t="str">
        <f>'Reported burning'!F2458</f>
        <v>Secondary vegetation</v>
      </c>
      <c r="G2458" s="209" t="str">
        <f>'Reported burning'!G2458</f>
        <v>Secondary vegetation</v>
      </c>
      <c r="H2458" s="209" t="str">
        <f>'Reported burning'!H2458</f>
        <v>Presence</v>
      </c>
      <c r="I2458" s="42"/>
      <c r="J2458" s="4" t="s">
        <v>2272</v>
      </c>
      <c r="K2458" s="4" t="s">
        <v>2272</v>
      </c>
      <c r="L2458" s="4" t="s">
        <v>2272</v>
      </c>
      <c r="M2458" s="4" t="s">
        <v>2272</v>
      </c>
      <c r="N2458" s="4" t="s">
        <v>2272</v>
      </c>
      <c r="O2458" s="4" t="s">
        <v>2272</v>
      </c>
      <c r="P2458" s="4" t="s">
        <v>2272</v>
      </c>
      <c r="Q2458" s="4" t="s">
        <v>2272</v>
      </c>
      <c r="R2458" s="4" t="s">
        <v>2272</v>
      </c>
      <c r="S2458" s="4" t="s">
        <v>2272</v>
      </c>
      <c r="T2458" s="4" t="s">
        <v>2272</v>
      </c>
      <c r="U2458" s="4" t="s">
        <v>2272</v>
      </c>
      <c r="V2458" s="4" t="s">
        <v>2272</v>
      </c>
      <c r="W2458" s="4" t="s">
        <v>2272</v>
      </c>
      <c r="X2458" s="4" t="s">
        <v>2272</v>
      </c>
      <c r="Y2458" s="198" t="s">
        <v>125</v>
      </c>
      <c r="Z2458" s="198" t="s">
        <v>125</v>
      </c>
      <c r="AA2458" s="4" t="s">
        <v>2272</v>
      </c>
      <c r="AB2458" s="19"/>
      <c r="AC2458" s="19"/>
    </row>
    <row r="2459" spans="1:29" s="197" customFormat="1" ht="44.5" customHeight="1">
      <c r="A2459" s="209" t="str">
        <f>'Reported burning'!A2459</f>
        <v>281d</v>
      </c>
      <c r="B2459" s="209" t="str">
        <f>'Reported burning'!B2459</f>
        <v>281d.1</v>
      </c>
      <c r="C2459" s="209" t="str">
        <f>'Reported burning'!C2459</f>
        <v>Human, deliberate</v>
      </c>
      <c r="D2459" s="209" t="str">
        <f>'Reported burning'!D2459</f>
        <v>Crop field preparation</v>
      </c>
      <c r="E2459" s="209" t="str">
        <f>'Reported burning'!E2459</f>
        <v>Cropping, Swidden</v>
      </c>
      <c r="F2459" s="209" t="str">
        <f>'Reported burning'!F2459</f>
        <v>Secondary vegetation</v>
      </c>
      <c r="G2459" s="209" t="str">
        <f>'Reported burning'!G2459</f>
        <v>Secondary vegetation</v>
      </c>
      <c r="H2459" s="209" t="str">
        <f>'Reported burning'!H2459</f>
        <v>Presence</v>
      </c>
      <c r="I2459" s="42"/>
      <c r="J2459" s="4" t="s">
        <v>2272</v>
      </c>
      <c r="K2459" s="4" t="s">
        <v>2272</v>
      </c>
      <c r="L2459" s="4" t="s">
        <v>2272</v>
      </c>
      <c r="M2459" s="4" t="s">
        <v>2272</v>
      </c>
      <c r="N2459" s="4" t="s">
        <v>2272</v>
      </c>
      <c r="O2459" s="4" t="s">
        <v>2272</v>
      </c>
      <c r="P2459" s="4" t="s">
        <v>2272</v>
      </c>
      <c r="Q2459" s="4" t="s">
        <v>2272</v>
      </c>
      <c r="R2459" s="4" t="s">
        <v>2272</v>
      </c>
      <c r="S2459" s="4" t="s">
        <v>2272</v>
      </c>
      <c r="T2459" s="4" t="s">
        <v>2272</v>
      </c>
      <c r="U2459" s="4" t="s">
        <v>2272</v>
      </c>
      <c r="V2459" s="4" t="s">
        <v>2272</v>
      </c>
      <c r="W2459" s="4" t="s">
        <v>2272</v>
      </c>
      <c r="X2459" s="4" t="s">
        <v>2272</v>
      </c>
      <c r="Y2459" s="198" t="s">
        <v>125</v>
      </c>
      <c r="Z2459" s="198" t="s">
        <v>125</v>
      </c>
      <c r="AA2459" s="4" t="s">
        <v>2272</v>
      </c>
      <c r="AB2459" s="19"/>
      <c r="AC2459" s="19"/>
    </row>
    <row r="2460" spans="1:29" s="197" customFormat="1" ht="44.5" customHeight="1">
      <c r="A2460" s="209" t="str">
        <f>'Reported burning'!A2460</f>
        <v>281e</v>
      </c>
      <c r="B2460" s="209" t="str">
        <f>'Reported burning'!B2460</f>
        <v>281e.1</v>
      </c>
      <c r="C2460" s="209" t="str">
        <f>'Reported burning'!C2460</f>
        <v>Human, deliberate</v>
      </c>
      <c r="D2460" s="209" t="str">
        <f>'Reported burning'!D2460</f>
        <v>Crop field preparation</v>
      </c>
      <c r="E2460" s="209" t="str">
        <f>'Reported burning'!E2460</f>
        <v>Cropping, Swidden</v>
      </c>
      <c r="F2460" s="209" t="str">
        <f>'Reported burning'!F2460</f>
        <v>Secondary vegetation</v>
      </c>
      <c r="G2460" s="209" t="str">
        <f>'Reported burning'!G2460</f>
        <v>Secondary vegetation</v>
      </c>
      <c r="H2460" s="209" t="str">
        <f>'Reported burning'!H2460</f>
        <v>Presence</v>
      </c>
      <c r="I2460" s="42"/>
      <c r="J2460" s="4" t="s">
        <v>2272</v>
      </c>
      <c r="K2460" s="4" t="s">
        <v>2272</v>
      </c>
      <c r="L2460" s="4" t="s">
        <v>2272</v>
      </c>
      <c r="M2460" s="4" t="s">
        <v>2272</v>
      </c>
      <c r="N2460" s="4" t="s">
        <v>2272</v>
      </c>
      <c r="O2460" s="4" t="s">
        <v>2272</v>
      </c>
      <c r="P2460" s="4" t="s">
        <v>2272</v>
      </c>
      <c r="Q2460" s="4" t="s">
        <v>2272</v>
      </c>
      <c r="R2460" s="4" t="s">
        <v>2272</v>
      </c>
      <c r="S2460" s="4" t="s">
        <v>2272</v>
      </c>
      <c r="T2460" s="4" t="s">
        <v>2272</v>
      </c>
      <c r="U2460" s="4" t="s">
        <v>2272</v>
      </c>
      <c r="V2460" s="4" t="s">
        <v>2272</v>
      </c>
      <c r="W2460" s="4" t="s">
        <v>2272</v>
      </c>
      <c r="X2460" s="4" t="s">
        <v>2272</v>
      </c>
      <c r="Y2460" s="198" t="s">
        <v>125</v>
      </c>
      <c r="Z2460" s="198" t="s">
        <v>125</v>
      </c>
      <c r="AA2460" s="4" t="s">
        <v>2272</v>
      </c>
      <c r="AB2460" s="19"/>
      <c r="AC2460" s="19"/>
    </row>
    <row r="2461" spans="1:29" s="197" customFormat="1" ht="44.5" customHeight="1">
      <c r="A2461" s="209" t="str">
        <f>'Reported burning'!A2461</f>
        <v>281f</v>
      </c>
      <c r="B2461" s="209" t="str">
        <f>'Reported burning'!B2461</f>
        <v>281f.1</v>
      </c>
      <c r="C2461" s="209" t="str">
        <f>'Reported burning'!C2461</f>
        <v>Human, deliberate</v>
      </c>
      <c r="D2461" s="209" t="str">
        <f>'Reported burning'!D2461</f>
        <v>Crop field preparation</v>
      </c>
      <c r="E2461" s="209" t="str">
        <f>'Reported burning'!E2461</f>
        <v>Cropping, Swidden</v>
      </c>
      <c r="F2461" s="209" t="str">
        <f>'Reported burning'!F2461</f>
        <v>Secondary vegetation</v>
      </c>
      <c r="G2461" s="209" t="str">
        <f>'Reported burning'!G2461</f>
        <v>Secondary vegetation</v>
      </c>
      <c r="H2461" s="209" t="str">
        <f>'Reported burning'!H2461</f>
        <v>Presence</v>
      </c>
      <c r="I2461" s="42"/>
      <c r="J2461" s="4" t="s">
        <v>2272</v>
      </c>
      <c r="K2461" s="4" t="s">
        <v>2272</v>
      </c>
      <c r="L2461" s="4" t="s">
        <v>2272</v>
      </c>
      <c r="M2461" s="4" t="s">
        <v>2272</v>
      </c>
      <c r="N2461" s="4" t="s">
        <v>2272</v>
      </c>
      <c r="O2461" s="4" t="s">
        <v>2272</v>
      </c>
      <c r="P2461" s="4" t="s">
        <v>2272</v>
      </c>
      <c r="Q2461" s="4" t="s">
        <v>2272</v>
      </c>
      <c r="R2461" s="4" t="s">
        <v>2272</v>
      </c>
      <c r="S2461" s="4" t="s">
        <v>2272</v>
      </c>
      <c r="T2461" s="4" t="s">
        <v>2272</v>
      </c>
      <c r="U2461" s="4" t="s">
        <v>2272</v>
      </c>
      <c r="V2461" s="4" t="s">
        <v>2272</v>
      </c>
      <c r="W2461" s="4" t="s">
        <v>2272</v>
      </c>
      <c r="X2461" s="4" t="s">
        <v>2272</v>
      </c>
      <c r="Y2461" s="198" t="s">
        <v>125</v>
      </c>
      <c r="Z2461" s="198" t="s">
        <v>125</v>
      </c>
      <c r="AA2461" s="4" t="s">
        <v>2272</v>
      </c>
      <c r="AB2461" s="19"/>
      <c r="AC2461" s="19"/>
    </row>
    <row r="2462" spans="1:29" s="197" customFormat="1" ht="44.5" customHeight="1">
      <c r="A2462" s="209" t="str">
        <f>'Reported burning'!A2462</f>
        <v>281a</v>
      </c>
      <c r="B2462" s="209" t="str">
        <f>'Reported burning'!B2462</f>
        <v>281a.2</v>
      </c>
      <c r="C2462" s="209" t="str">
        <f>'Reported burning'!C2462</f>
        <v>Human, escaped</v>
      </c>
      <c r="D2462" s="209" t="str">
        <f>'Reported burning'!D2462</f>
        <v>Crop field preparation</v>
      </c>
      <c r="E2462" s="209" t="str">
        <f>'Reported burning'!E2462</f>
        <v>Cropping, Swidden</v>
      </c>
      <c r="F2462" s="209" t="str">
        <f>'Reported burning'!F2462</f>
        <v>Secondary vegetation</v>
      </c>
      <c r="G2462" s="209" t="str">
        <f>'Reported burning'!G2462</f>
        <v>Forest</v>
      </c>
      <c r="H2462" s="209" t="str">
        <f>'Reported burning'!H2462</f>
        <v>Presence</v>
      </c>
      <c r="I2462" s="42"/>
      <c r="J2462" s="4" t="s">
        <v>2272</v>
      </c>
      <c r="K2462" s="4" t="s">
        <v>2272</v>
      </c>
      <c r="L2462" s="4" t="s">
        <v>2272</v>
      </c>
      <c r="M2462" s="4" t="s">
        <v>2272</v>
      </c>
      <c r="N2462" s="4" t="s">
        <v>2272</v>
      </c>
      <c r="O2462" s="4" t="s">
        <v>2272</v>
      </c>
      <c r="P2462" s="4" t="s">
        <v>2272</v>
      </c>
      <c r="Q2462" s="4" t="s">
        <v>2272</v>
      </c>
      <c r="R2462" s="4" t="s">
        <v>2272</v>
      </c>
      <c r="S2462" s="4" t="s">
        <v>2272</v>
      </c>
      <c r="T2462" s="4" t="s">
        <v>2272</v>
      </c>
      <c r="U2462" s="4" t="s">
        <v>2272</v>
      </c>
      <c r="V2462" s="4" t="s">
        <v>2272</v>
      </c>
      <c r="W2462" s="4" t="s">
        <v>2272</v>
      </c>
      <c r="X2462" s="4" t="s">
        <v>2272</v>
      </c>
      <c r="Y2462" s="198" t="s">
        <v>125</v>
      </c>
      <c r="Z2462" s="198" t="s">
        <v>125</v>
      </c>
      <c r="AA2462" s="4" t="s">
        <v>2272</v>
      </c>
      <c r="AB2462" s="19"/>
      <c r="AC2462" s="19"/>
    </row>
    <row r="2463" spans="1:29" s="197" customFormat="1" ht="44.5" customHeight="1">
      <c r="A2463" s="209" t="str">
        <f>'Reported burning'!A2463</f>
        <v>281b</v>
      </c>
      <c r="B2463" s="209" t="str">
        <f>'Reported burning'!B2463</f>
        <v>281b.2</v>
      </c>
      <c r="C2463" s="209" t="str">
        <f>'Reported burning'!C2463</f>
        <v>Human, escaped</v>
      </c>
      <c r="D2463" s="209" t="str">
        <f>'Reported burning'!D2463</f>
        <v>Crop field preparation</v>
      </c>
      <c r="E2463" s="209" t="str">
        <f>'Reported burning'!E2463</f>
        <v>Cropping, Swidden</v>
      </c>
      <c r="F2463" s="209" t="str">
        <f>'Reported burning'!F2463</f>
        <v>Secondary vegetation</v>
      </c>
      <c r="G2463" s="209" t="str">
        <f>'Reported burning'!G2463</f>
        <v>Forest</v>
      </c>
      <c r="H2463" s="209" t="str">
        <f>'Reported burning'!H2463</f>
        <v>Presence</v>
      </c>
      <c r="I2463" s="42"/>
      <c r="J2463" s="4" t="s">
        <v>2272</v>
      </c>
      <c r="K2463" s="4" t="s">
        <v>2272</v>
      </c>
      <c r="L2463" s="4" t="s">
        <v>2272</v>
      </c>
      <c r="M2463" s="4" t="s">
        <v>2272</v>
      </c>
      <c r="N2463" s="4" t="s">
        <v>2272</v>
      </c>
      <c r="O2463" s="4" t="s">
        <v>2272</v>
      </c>
      <c r="P2463" s="4" t="s">
        <v>2272</v>
      </c>
      <c r="Q2463" s="4" t="s">
        <v>2272</v>
      </c>
      <c r="R2463" s="4" t="s">
        <v>2272</v>
      </c>
      <c r="S2463" s="4" t="s">
        <v>2272</v>
      </c>
      <c r="T2463" s="4" t="s">
        <v>2272</v>
      </c>
      <c r="U2463" s="4" t="s">
        <v>2272</v>
      </c>
      <c r="V2463" s="4" t="s">
        <v>2272</v>
      </c>
      <c r="W2463" s="4" t="s">
        <v>2272</v>
      </c>
      <c r="X2463" s="4" t="s">
        <v>2272</v>
      </c>
      <c r="Y2463" s="198" t="s">
        <v>125</v>
      </c>
      <c r="Z2463" s="198" t="s">
        <v>125</v>
      </c>
      <c r="AA2463" s="4" t="s">
        <v>2272</v>
      </c>
      <c r="AB2463" s="19"/>
      <c r="AC2463" s="19"/>
    </row>
    <row r="2464" spans="1:29" s="197" customFormat="1" ht="44.5" customHeight="1">
      <c r="A2464" s="209" t="str">
        <f>'Reported burning'!A2464</f>
        <v>281c</v>
      </c>
      <c r="B2464" s="209" t="str">
        <f>'Reported burning'!B2464</f>
        <v>281c.2</v>
      </c>
      <c r="C2464" s="209" t="str">
        <f>'Reported burning'!C2464</f>
        <v>Human, escaped</v>
      </c>
      <c r="D2464" s="209" t="str">
        <f>'Reported burning'!D2464</f>
        <v>Crop field preparation</v>
      </c>
      <c r="E2464" s="209" t="str">
        <f>'Reported burning'!E2464</f>
        <v>Cropping, Swidden</v>
      </c>
      <c r="F2464" s="209" t="str">
        <f>'Reported burning'!F2464</f>
        <v>Secondary vegetation</v>
      </c>
      <c r="G2464" s="209" t="str">
        <f>'Reported burning'!G2464</f>
        <v>Forest</v>
      </c>
      <c r="H2464" s="209" t="str">
        <f>'Reported burning'!H2464</f>
        <v>Presence</v>
      </c>
      <c r="I2464" s="42"/>
      <c r="J2464" s="4" t="s">
        <v>2272</v>
      </c>
      <c r="K2464" s="4" t="s">
        <v>2272</v>
      </c>
      <c r="L2464" s="4" t="s">
        <v>2272</v>
      </c>
      <c r="M2464" s="4" t="s">
        <v>2272</v>
      </c>
      <c r="N2464" s="4" t="s">
        <v>2272</v>
      </c>
      <c r="O2464" s="4" t="s">
        <v>2272</v>
      </c>
      <c r="P2464" s="4" t="s">
        <v>2272</v>
      </c>
      <c r="Q2464" s="4" t="s">
        <v>2272</v>
      </c>
      <c r="R2464" s="4" t="s">
        <v>2272</v>
      </c>
      <c r="S2464" s="4" t="s">
        <v>2272</v>
      </c>
      <c r="T2464" s="4" t="s">
        <v>2272</v>
      </c>
      <c r="U2464" s="4" t="s">
        <v>2272</v>
      </c>
      <c r="V2464" s="4" t="s">
        <v>2272</v>
      </c>
      <c r="W2464" s="4" t="s">
        <v>2272</v>
      </c>
      <c r="X2464" s="4" t="s">
        <v>2272</v>
      </c>
      <c r="Y2464" s="198" t="s">
        <v>125</v>
      </c>
      <c r="Z2464" s="198" t="s">
        <v>125</v>
      </c>
      <c r="AA2464" s="4" t="s">
        <v>2272</v>
      </c>
      <c r="AB2464" s="19"/>
      <c r="AC2464" s="19"/>
    </row>
    <row r="2465" spans="1:29" s="197" customFormat="1" ht="44.5" customHeight="1">
      <c r="A2465" s="209" t="str">
        <f>'Reported burning'!A2465</f>
        <v>281d</v>
      </c>
      <c r="B2465" s="209" t="str">
        <f>'Reported burning'!B2465</f>
        <v>281d.2</v>
      </c>
      <c r="C2465" s="209" t="str">
        <f>'Reported burning'!C2465</f>
        <v>Human, escaped</v>
      </c>
      <c r="D2465" s="209" t="str">
        <f>'Reported burning'!D2465</f>
        <v>Crop field preparation</v>
      </c>
      <c r="E2465" s="209" t="str">
        <f>'Reported burning'!E2465</f>
        <v>Cropping, Swidden</v>
      </c>
      <c r="F2465" s="209" t="str">
        <f>'Reported burning'!F2465</f>
        <v>Secondary vegetation</v>
      </c>
      <c r="G2465" s="209" t="str">
        <f>'Reported burning'!G2465</f>
        <v>Forest</v>
      </c>
      <c r="H2465" s="209" t="str">
        <f>'Reported burning'!H2465</f>
        <v>Presence</v>
      </c>
      <c r="I2465" s="42"/>
      <c r="J2465" s="4" t="s">
        <v>2272</v>
      </c>
      <c r="K2465" s="4" t="s">
        <v>2272</v>
      </c>
      <c r="L2465" s="4" t="s">
        <v>2272</v>
      </c>
      <c r="M2465" s="4" t="s">
        <v>2272</v>
      </c>
      <c r="N2465" s="4" t="s">
        <v>2272</v>
      </c>
      <c r="O2465" s="4" t="s">
        <v>2272</v>
      </c>
      <c r="P2465" s="4" t="s">
        <v>2272</v>
      </c>
      <c r="Q2465" s="4" t="s">
        <v>2272</v>
      </c>
      <c r="R2465" s="4" t="s">
        <v>2272</v>
      </c>
      <c r="S2465" s="4" t="s">
        <v>2272</v>
      </c>
      <c r="T2465" s="4" t="s">
        <v>2272</v>
      </c>
      <c r="U2465" s="4" t="s">
        <v>2272</v>
      </c>
      <c r="V2465" s="4" t="s">
        <v>2272</v>
      </c>
      <c r="W2465" s="4" t="s">
        <v>2272</v>
      </c>
      <c r="X2465" s="4" t="s">
        <v>2272</v>
      </c>
      <c r="Y2465" s="198" t="s">
        <v>125</v>
      </c>
      <c r="Z2465" s="198" t="s">
        <v>125</v>
      </c>
      <c r="AA2465" s="4" t="s">
        <v>2272</v>
      </c>
      <c r="AB2465" s="19"/>
      <c r="AC2465" s="19"/>
    </row>
    <row r="2466" spans="1:29" s="197" customFormat="1" ht="44.5" customHeight="1">
      <c r="A2466" s="209" t="str">
        <f>'Reported burning'!A2466</f>
        <v>281e</v>
      </c>
      <c r="B2466" s="209" t="str">
        <f>'Reported burning'!B2466</f>
        <v>281e.2</v>
      </c>
      <c r="C2466" s="209" t="str">
        <f>'Reported burning'!C2466</f>
        <v>Human, escaped</v>
      </c>
      <c r="D2466" s="209" t="str">
        <f>'Reported burning'!D2466</f>
        <v>Crop field preparation</v>
      </c>
      <c r="E2466" s="209" t="str">
        <f>'Reported burning'!E2466</f>
        <v>Cropping, Swidden</v>
      </c>
      <c r="F2466" s="209" t="str">
        <f>'Reported burning'!F2466</f>
        <v>Secondary vegetation</v>
      </c>
      <c r="G2466" s="209" t="str">
        <f>'Reported burning'!G2466</f>
        <v>Forest</v>
      </c>
      <c r="H2466" s="209" t="str">
        <f>'Reported burning'!H2466</f>
        <v>Presence</v>
      </c>
      <c r="I2466" s="42"/>
      <c r="J2466" s="4" t="s">
        <v>2272</v>
      </c>
      <c r="K2466" s="4" t="s">
        <v>2272</v>
      </c>
      <c r="L2466" s="4" t="s">
        <v>2272</v>
      </c>
      <c r="M2466" s="4" t="s">
        <v>2272</v>
      </c>
      <c r="N2466" s="4" t="s">
        <v>2272</v>
      </c>
      <c r="O2466" s="4" t="s">
        <v>2272</v>
      </c>
      <c r="P2466" s="4" t="s">
        <v>2272</v>
      </c>
      <c r="Q2466" s="4" t="s">
        <v>2272</v>
      </c>
      <c r="R2466" s="4" t="s">
        <v>2272</v>
      </c>
      <c r="S2466" s="4" t="s">
        <v>2272</v>
      </c>
      <c r="T2466" s="4" t="s">
        <v>2272</v>
      </c>
      <c r="U2466" s="4" t="s">
        <v>2272</v>
      </c>
      <c r="V2466" s="4" t="s">
        <v>2272</v>
      </c>
      <c r="W2466" s="4" t="s">
        <v>2272</v>
      </c>
      <c r="X2466" s="4" t="s">
        <v>2272</v>
      </c>
      <c r="Y2466" s="198" t="s">
        <v>125</v>
      </c>
      <c r="Z2466" s="198" t="s">
        <v>125</v>
      </c>
      <c r="AA2466" s="4" t="s">
        <v>2272</v>
      </c>
      <c r="AB2466" s="19"/>
      <c r="AC2466" s="19"/>
    </row>
    <row r="2467" spans="1:29" s="197" customFormat="1" ht="44.5" customHeight="1">
      <c r="A2467" s="209" t="str">
        <f>'Reported burning'!A2467</f>
        <v>281f</v>
      </c>
      <c r="B2467" s="209" t="str">
        <f>'Reported burning'!B2467</f>
        <v>281f.2</v>
      </c>
      <c r="C2467" s="209" t="str">
        <f>'Reported burning'!C2467</f>
        <v>Human, escaped</v>
      </c>
      <c r="D2467" s="209" t="str">
        <f>'Reported burning'!D2467</f>
        <v>Crop field preparation</v>
      </c>
      <c r="E2467" s="209" t="str">
        <f>'Reported burning'!E2467</f>
        <v>Cropping, Swidden</v>
      </c>
      <c r="F2467" s="209" t="str">
        <f>'Reported burning'!F2467</f>
        <v>Secondary vegetation</v>
      </c>
      <c r="G2467" s="209" t="str">
        <f>'Reported burning'!G2467</f>
        <v>Forest</v>
      </c>
      <c r="H2467" s="209" t="str">
        <f>'Reported burning'!H2467</f>
        <v>Presence</v>
      </c>
      <c r="I2467" s="42"/>
      <c r="J2467" s="4" t="s">
        <v>2272</v>
      </c>
      <c r="K2467" s="4" t="s">
        <v>2272</v>
      </c>
      <c r="L2467" s="4" t="s">
        <v>2272</v>
      </c>
      <c r="M2467" s="4" t="s">
        <v>2272</v>
      </c>
      <c r="N2467" s="4" t="s">
        <v>2272</v>
      </c>
      <c r="O2467" s="4" t="s">
        <v>2272</v>
      </c>
      <c r="P2467" s="4" t="s">
        <v>2272</v>
      </c>
      <c r="Q2467" s="4" t="s">
        <v>2272</v>
      </c>
      <c r="R2467" s="4" t="s">
        <v>2272</v>
      </c>
      <c r="S2467" s="4" t="s">
        <v>2272</v>
      </c>
      <c r="T2467" s="4" t="s">
        <v>2272</v>
      </c>
      <c r="U2467" s="4" t="s">
        <v>2272</v>
      </c>
      <c r="V2467" s="4" t="s">
        <v>2272</v>
      </c>
      <c r="W2467" s="4" t="s">
        <v>2272</v>
      </c>
      <c r="X2467" s="4" t="s">
        <v>2272</v>
      </c>
      <c r="Y2467" s="198" t="s">
        <v>125</v>
      </c>
      <c r="Z2467" s="198" t="s">
        <v>125</v>
      </c>
      <c r="AA2467" s="4" t="s">
        <v>2272</v>
      </c>
      <c r="AB2467" s="19"/>
      <c r="AC2467" s="19"/>
    </row>
    <row r="2468" spans="1:29" s="197" customFormat="1" ht="44.5" customHeight="1">
      <c r="A2468" s="209" t="str">
        <f>'Reported burning'!A2468</f>
        <v>281a</v>
      </c>
      <c r="B2468" s="209" t="str">
        <f>'Reported burning'!B2468</f>
        <v>281a.3</v>
      </c>
      <c r="C2468" s="209" t="str">
        <f>'Reported burning'!C2468</f>
        <v>Human, deliberate</v>
      </c>
      <c r="D2468" s="209" t="str">
        <f>'Reported burning'!D2468</f>
        <v>Hunting</v>
      </c>
      <c r="E2468" s="209" t="str">
        <f>'Reported burning'!E2468</f>
        <v>Forestry, Traditional</v>
      </c>
      <c r="F2468" s="209" t="str">
        <f>'Reported burning'!F2468</f>
        <v>Shrubland (Mixed forest &amp; grassland)</v>
      </c>
      <c r="G2468" s="209" t="str">
        <f>'Reported burning'!G2468</f>
        <v>Shrubland (Mixed forest &amp; grassland)</v>
      </c>
      <c r="H2468" s="209" t="str">
        <f>'Reported burning'!H2468</f>
        <v>Presence</v>
      </c>
      <c r="I2468" s="42"/>
      <c r="J2468" s="4" t="s">
        <v>2272</v>
      </c>
      <c r="K2468" s="4" t="s">
        <v>2272</v>
      </c>
      <c r="L2468" s="4" t="s">
        <v>2272</v>
      </c>
      <c r="M2468" s="4" t="s">
        <v>2272</v>
      </c>
      <c r="N2468" s="4" t="s">
        <v>2272</v>
      </c>
      <c r="O2468" s="4" t="s">
        <v>2272</v>
      </c>
      <c r="P2468" s="4" t="s">
        <v>2272</v>
      </c>
      <c r="Q2468" s="4" t="s">
        <v>2272</v>
      </c>
      <c r="R2468" s="4" t="s">
        <v>2272</v>
      </c>
      <c r="S2468" s="4" t="s">
        <v>2272</v>
      </c>
      <c r="T2468" s="4" t="s">
        <v>2272</v>
      </c>
      <c r="U2468" s="4" t="s">
        <v>2272</v>
      </c>
      <c r="V2468" s="4" t="s">
        <v>2272</v>
      </c>
      <c r="W2468" s="4" t="s">
        <v>2272</v>
      </c>
      <c r="X2468" s="4" t="s">
        <v>2272</v>
      </c>
      <c r="Y2468" s="198" t="s">
        <v>34</v>
      </c>
      <c r="Z2468" s="198" t="s">
        <v>37</v>
      </c>
      <c r="AA2468" s="4" t="s">
        <v>2272</v>
      </c>
      <c r="AB2468" s="36" t="s">
        <v>11315</v>
      </c>
      <c r="AC2468" s="198"/>
    </row>
    <row r="2469" spans="1:29" s="197" customFormat="1" ht="44.5" customHeight="1">
      <c r="A2469" s="209" t="str">
        <f>'Reported burning'!A2469</f>
        <v>281b</v>
      </c>
      <c r="B2469" s="209" t="str">
        <f>'Reported burning'!B2469</f>
        <v>281b.3</v>
      </c>
      <c r="C2469" s="209" t="str">
        <f>'Reported burning'!C2469</f>
        <v>Human, deliberate</v>
      </c>
      <c r="D2469" s="209" t="str">
        <f>'Reported burning'!D2469</f>
        <v>Hunting</v>
      </c>
      <c r="E2469" s="209" t="str">
        <f>'Reported burning'!E2469</f>
        <v>Forestry, Traditional</v>
      </c>
      <c r="F2469" s="209" t="str">
        <f>'Reported burning'!F2469</f>
        <v>Shrubland (Mixed forest &amp; grassland)</v>
      </c>
      <c r="G2469" s="209" t="str">
        <f>'Reported burning'!G2469</f>
        <v>Shrubland (Mixed forest &amp; grassland)</v>
      </c>
      <c r="H2469" s="209" t="str">
        <f>'Reported burning'!H2469</f>
        <v>Absence</v>
      </c>
      <c r="I2469" s="42"/>
      <c r="J2469" s="4">
        <v>0</v>
      </c>
      <c r="K2469" s="4">
        <v>0</v>
      </c>
      <c r="L2469" s="4">
        <v>0</v>
      </c>
      <c r="M2469" s="4">
        <v>0</v>
      </c>
      <c r="N2469" s="4">
        <v>0</v>
      </c>
      <c r="O2469" s="4">
        <v>0</v>
      </c>
      <c r="P2469" s="4">
        <v>0</v>
      </c>
      <c r="Q2469" s="4">
        <v>0</v>
      </c>
      <c r="R2469" s="4">
        <v>0</v>
      </c>
      <c r="S2469" s="4">
        <v>0</v>
      </c>
      <c r="T2469" s="4">
        <v>0</v>
      </c>
      <c r="U2469" s="4">
        <v>0</v>
      </c>
      <c r="V2469" s="4">
        <v>0</v>
      </c>
      <c r="W2469" s="4">
        <v>0</v>
      </c>
      <c r="X2469" s="4" t="s">
        <v>2272</v>
      </c>
      <c r="Y2469" s="198" t="s">
        <v>34</v>
      </c>
      <c r="Z2469" s="198" t="s">
        <v>37</v>
      </c>
      <c r="AA2469" s="4" t="s">
        <v>2272</v>
      </c>
      <c r="AB2469" s="36" t="s">
        <v>11315</v>
      </c>
      <c r="AC2469" s="19"/>
    </row>
    <row r="2470" spans="1:29" s="197" customFormat="1" ht="44.5" customHeight="1">
      <c r="A2470" s="209" t="str">
        <f>'Reported burning'!A2470</f>
        <v>281c</v>
      </c>
      <c r="B2470" s="209" t="str">
        <f>'Reported burning'!B2470</f>
        <v>281c.3</v>
      </c>
      <c r="C2470" s="209" t="str">
        <f>'Reported burning'!C2470</f>
        <v>Human, deliberate</v>
      </c>
      <c r="D2470" s="209" t="str">
        <f>'Reported burning'!D2470</f>
        <v>Hunting</v>
      </c>
      <c r="E2470" s="209" t="str">
        <f>'Reported burning'!E2470</f>
        <v>Forestry, Traditional</v>
      </c>
      <c r="F2470" s="209" t="str">
        <f>'Reported burning'!F2470</f>
        <v>Shrubland (Mixed forest &amp; grassland)</v>
      </c>
      <c r="G2470" s="209" t="str">
        <f>'Reported burning'!G2470</f>
        <v>Shrubland (Mixed forest &amp; grassland)</v>
      </c>
      <c r="H2470" s="209" t="str">
        <f>'Reported burning'!H2470</f>
        <v>Presence</v>
      </c>
      <c r="I2470" s="42"/>
      <c r="J2470" s="4" t="s">
        <v>2272</v>
      </c>
      <c r="K2470" s="4" t="s">
        <v>2272</v>
      </c>
      <c r="L2470" s="4" t="s">
        <v>2272</v>
      </c>
      <c r="M2470" s="4" t="s">
        <v>2272</v>
      </c>
      <c r="N2470" s="4" t="s">
        <v>2272</v>
      </c>
      <c r="O2470" s="4" t="s">
        <v>2272</v>
      </c>
      <c r="P2470" s="4" t="s">
        <v>2272</v>
      </c>
      <c r="Q2470" s="4" t="s">
        <v>2272</v>
      </c>
      <c r="R2470" s="4" t="s">
        <v>2272</v>
      </c>
      <c r="S2470" s="4" t="s">
        <v>2272</v>
      </c>
      <c r="T2470" s="4" t="s">
        <v>2272</v>
      </c>
      <c r="U2470" s="4" t="s">
        <v>2272</v>
      </c>
      <c r="V2470" s="4" t="s">
        <v>2272</v>
      </c>
      <c r="W2470" s="4" t="s">
        <v>2272</v>
      </c>
      <c r="X2470" s="4" t="s">
        <v>2272</v>
      </c>
      <c r="Y2470" s="198" t="s">
        <v>34</v>
      </c>
      <c r="Z2470" s="198" t="s">
        <v>37</v>
      </c>
      <c r="AA2470" s="4" t="s">
        <v>2272</v>
      </c>
      <c r="AB2470" s="36" t="s">
        <v>11315</v>
      </c>
      <c r="AC2470" s="19"/>
    </row>
    <row r="2471" spans="1:29" s="197" customFormat="1" ht="44.5" customHeight="1">
      <c r="A2471" s="209" t="str">
        <f>'Reported burning'!A2471</f>
        <v>281d</v>
      </c>
      <c r="B2471" s="209" t="str">
        <f>'Reported burning'!B2471</f>
        <v>281d.3</v>
      </c>
      <c r="C2471" s="209" t="str">
        <f>'Reported burning'!C2471</f>
        <v>Human, deliberate</v>
      </c>
      <c r="D2471" s="209" t="str">
        <f>'Reported burning'!D2471</f>
        <v>Hunting</v>
      </c>
      <c r="E2471" s="209" t="str">
        <f>'Reported burning'!E2471</f>
        <v>Forestry, Traditional</v>
      </c>
      <c r="F2471" s="209" t="str">
        <f>'Reported burning'!F2471</f>
        <v>Shrubland (Mixed forest &amp; grassland)</v>
      </c>
      <c r="G2471" s="209" t="str">
        <f>'Reported burning'!G2471</f>
        <v>Shrubland (Mixed forest &amp; grassland)</v>
      </c>
      <c r="H2471" s="209" t="str">
        <f>'Reported burning'!H2471</f>
        <v>Presence</v>
      </c>
      <c r="I2471" s="42"/>
      <c r="J2471" s="4" t="s">
        <v>2272</v>
      </c>
      <c r="K2471" s="4" t="s">
        <v>2272</v>
      </c>
      <c r="L2471" s="4" t="s">
        <v>2272</v>
      </c>
      <c r="M2471" s="4" t="s">
        <v>2272</v>
      </c>
      <c r="N2471" s="4" t="s">
        <v>2272</v>
      </c>
      <c r="O2471" s="4" t="s">
        <v>2272</v>
      </c>
      <c r="P2471" s="4" t="s">
        <v>2272</v>
      </c>
      <c r="Q2471" s="4" t="s">
        <v>2272</v>
      </c>
      <c r="R2471" s="4" t="s">
        <v>2272</v>
      </c>
      <c r="S2471" s="4" t="s">
        <v>2272</v>
      </c>
      <c r="T2471" s="4" t="s">
        <v>2272</v>
      </c>
      <c r="U2471" s="4" t="s">
        <v>2272</v>
      </c>
      <c r="V2471" s="4" t="s">
        <v>2272</v>
      </c>
      <c r="W2471" s="4" t="s">
        <v>2272</v>
      </c>
      <c r="X2471" s="4" t="s">
        <v>2272</v>
      </c>
      <c r="Y2471" s="198" t="s">
        <v>34</v>
      </c>
      <c r="Z2471" s="198" t="s">
        <v>37</v>
      </c>
      <c r="AA2471" s="4" t="s">
        <v>2272</v>
      </c>
      <c r="AB2471" s="36" t="s">
        <v>11315</v>
      </c>
      <c r="AC2471" s="19"/>
    </row>
    <row r="2472" spans="1:29" s="197" customFormat="1" ht="44.5" customHeight="1">
      <c r="A2472" s="209" t="str">
        <f>'Reported burning'!A2472</f>
        <v>281e</v>
      </c>
      <c r="B2472" s="209" t="str">
        <f>'Reported burning'!B2472</f>
        <v>281e.3</v>
      </c>
      <c r="C2472" s="209" t="str">
        <f>'Reported burning'!C2472</f>
        <v>Human, deliberate</v>
      </c>
      <c r="D2472" s="209" t="str">
        <f>'Reported burning'!D2472</f>
        <v>Hunting</v>
      </c>
      <c r="E2472" s="209" t="str">
        <f>'Reported burning'!E2472</f>
        <v>Forestry, Traditional</v>
      </c>
      <c r="F2472" s="209" t="str">
        <f>'Reported burning'!F2472</f>
        <v>Shrubland (Mixed forest &amp; grassland)</v>
      </c>
      <c r="G2472" s="209" t="str">
        <f>'Reported burning'!G2472</f>
        <v>Shrubland (Mixed forest &amp; grassland)</v>
      </c>
      <c r="H2472" s="209" t="str">
        <f>'Reported burning'!H2472</f>
        <v>Presence</v>
      </c>
      <c r="I2472" s="42"/>
      <c r="J2472" s="4" t="s">
        <v>2272</v>
      </c>
      <c r="K2472" s="4" t="s">
        <v>2272</v>
      </c>
      <c r="L2472" s="4" t="s">
        <v>2272</v>
      </c>
      <c r="M2472" s="4" t="s">
        <v>2272</v>
      </c>
      <c r="N2472" s="4" t="s">
        <v>2272</v>
      </c>
      <c r="O2472" s="4" t="s">
        <v>2272</v>
      </c>
      <c r="P2472" s="4" t="s">
        <v>2272</v>
      </c>
      <c r="Q2472" s="4" t="s">
        <v>2272</v>
      </c>
      <c r="R2472" s="4" t="s">
        <v>2272</v>
      </c>
      <c r="S2472" s="4" t="s">
        <v>2272</v>
      </c>
      <c r="T2472" s="4" t="s">
        <v>2272</v>
      </c>
      <c r="U2472" s="4" t="s">
        <v>2272</v>
      </c>
      <c r="V2472" s="4" t="s">
        <v>2272</v>
      </c>
      <c r="W2472" s="4" t="s">
        <v>2272</v>
      </c>
      <c r="X2472" s="4" t="s">
        <v>2272</v>
      </c>
      <c r="Y2472" s="198" t="s">
        <v>34</v>
      </c>
      <c r="Z2472" s="198" t="s">
        <v>37</v>
      </c>
      <c r="AA2472" s="4" t="s">
        <v>2272</v>
      </c>
      <c r="AB2472" s="36" t="s">
        <v>11315</v>
      </c>
      <c r="AC2472" s="19"/>
    </row>
    <row r="2473" spans="1:29" s="197" customFormat="1" ht="44.5" customHeight="1">
      <c r="A2473" s="209" t="str">
        <f>'Reported burning'!A2473</f>
        <v>281f</v>
      </c>
      <c r="B2473" s="209" t="str">
        <f>'Reported burning'!B2473</f>
        <v>281f.3</v>
      </c>
      <c r="C2473" s="209" t="str">
        <f>'Reported burning'!C2473</f>
        <v>Human, deliberate</v>
      </c>
      <c r="D2473" s="209" t="str">
        <f>'Reported burning'!D2473</f>
        <v>Hunting</v>
      </c>
      <c r="E2473" s="209" t="str">
        <f>'Reported burning'!E2473</f>
        <v>Forestry, Traditional</v>
      </c>
      <c r="F2473" s="209" t="str">
        <f>'Reported burning'!F2473</f>
        <v>Shrubland (Mixed forest &amp; grassland)</v>
      </c>
      <c r="G2473" s="209" t="str">
        <f>'Reported burning'!G2473</f>
        <v>Shrubland (Mixed forest &amp; grassland)</v>
      </c>
      <c r="H2473" s="209" t="str">
        <f>'Reported burning'!H2473</f>
        <v>Presence</v>
      </c>
      <c r="I2473" s="42"/>
      <c r="J2473" s="4" t="s">
        <v>2272</v>
      </c>
      <c r="K2473" s="4" t="s">
        <v>2272</v>
      </c>
      <c r="L2473" s="4" t="s">
        <v>2272</v>
      </c>
      <c r="M2473" s="4" t="s">
        <v>2272</v>
      </c>
      <c r="N2473" s="4" t="s">
        <v>2272</v>
      </c>
      <c r="O2473" s="4" t="s">
        <v>2272</v>
      </c>
      <c r="P2473" s="4" t="s">
        <v>2272</v>
      </c>
      <c r="Q2473" s="4" t="s">
        <v>2272</v>
      </c>
      <c r="R2473" s="4" t="s">
        <v>2272</v>
      </c>
      <c r="S2473" s="4" t="s">
        <v>2272</v>
      </c>
      <c r="T2473" s="4" t="s">
        <v>2272</v>
      </c>
      <c r="U2473" s="4" t="s">
        <v>2272</v>
      </c>
      <c r="V2473" s="4" t="s">
        <v>2272</v>
      </c>
      <c r="W2473" s="4" t="s">
        <v>2272</v>
      </c>
      <c r="X2473" s="4" t="s">
        <v>2272</v>
      </c>
      <c r="Y2473" s="198" t="s">
        <v>34</v>
      </c>
      <c r="Z2473" s="198" t="s">
        <v>37</v>
      </c>
      <c r="AA2473" s="4" t="s">
        <v>2272</v>
      </c>
      <c r="AB2473" s="36" t="s">
        <v>11315</v>
      </c>
      <c r="AC2473" s="19"/>
    </row>
    <row r="2474" spans="1:29" s="197" customFormat="1" ht="44.5" customHeight="1">
      <c r="A2474" s="209" t="str">
        <f>'Reported burning'!A2474</f>
        <v>281a</v>
      </c>
      <c r="B2474" s="209" t="str">
        <f>'Reported burning'!B2474</f>
        <v>281a.4</v>
      </c>
      <c r="C2474" s="209" t="str">
        <f>'Reported burning'!C2474</f>
        <v>Human, escaped</v>
      </c>
      <c r="D2474" s="209" t="str">
        <f>'Reported burning'!D2474</f>
        <v>Hunting</v>
      </c>
      <c r="E2474" s="209" t="str">
        <f>'Reported burning'!E2474</f>
        <v>Forestry, Traditional</v>
      </c>
      <c r="F2474" s="209" t="str">
        <f>'Reported burning'!F2474</f>
        <v>Shrubland (Mixed forest &amp; grassland)</v>
      </c>
      <c r="G2474" s="209" t="str">
        <f>'Reported burning'!G2474</f>
        <v>Forest</v>
      </c>
      <c r="H2474" s="209" t="str">
        <f>'Reported burning'!H2474</f>
        <v>Presence</v>
      </c>
      <c r="I2474" s="42"/>
      <c r="J2474" s="4" t="s">
        <v>2272</v>
      </c>
      <c r="K2474" s="4" t="s">
        <v>2272</v>
      </c>
      <c r="L2474" s="4" t="s">
        <v>2272</v>
      </c>
      <c r="M2474" s="4" t="s">
        <v>2272</v>
      </c>
      <c r="N2474" s="4" t="s">
        <v>2272</v>
      </c>
      <c r="O2474" s="4" t="s">
        <v>2272</v>
      </c>
      <c r="P2474" s="4" t="s">
        <v>2272</v>
      </c>
      <c r="Q2474" s="4" t="s">
        <v>2272</v>
      </c>
      <c r="R2474" s="4" t="s">
        <v>2272</v>
      </c>
      <c r="S2474" s="4" t="s">
        <v>2272</v>
      </c>
      <c r="T2474" s="4" t="s">
        <v>2272</v>
      </c>
      <c r="U2474" s="4" t="s">
        <v>2272</v>
      </c>
      <c r="V2474" s="4" t="s">
        <v>2272</v>
      </c>
      <c r="W2474" s="4" t="s">
        <v>2272</v>
      </c>
      <c r="X2474" s="4" t="s">
        <v>2272</v>
      </c>
      <c r="Y2474" s="198" t="s">
        <v>34</v>
      </c>
      <c r="Z2474" s="198" t="s">
        <v>37</v>
      </c>
      <c r="AA2474" s="4" t="s">
        <v>2272</v>
      </c>
      <c r="AB2474" s="36" t="s">
        <v>11315</v>
      </c>
      <c r="AC2474" s="19"/>
    </row>
    <row r="2475" spans="1:29" s="197" customFormat="1" ht="44.5" customHeight="1">
      <c r="A2475" s="209" t="str">
        <f>'Reported burning'!A2475</f>
        <v>281b</v>
      </c>
      <c r="B2475" s="209" t="str">
        <f>'Reported burning'!B2475</f>
        <v>281b.4</v>
      </c>
      <c r="C2475" s="209" t="str">
        <f>'Reported burning'!C2475</f>
        <v>Human, escaped</v>
      </c>
      <c r="D2475" s="209" t="str">
        <f>'Reported burning'!D2475</f>
        <v>Hunting</v>
      </c>
      <c r="E2475" s="209" t="str">
        <f>'Reported burning'!E2475</f>
        <v>Forestry, Traditional</v>
      </c>
      <c r="F2475" s="209" t="str">
        <f>'Reported burning'!F2475</f>
        <v>Shrubland (Mixed forest &amp; grassland)</v>
      </c>
      <c r="G2475" s="209" t="str">
        <f>'Reported burning'!G2475</f>
        <v>Forest</v>
      </c>
      <c r="H2475" s="209" t="str">
        <f>'Reported burning'!H2475</f>
        <v>Absence</v>
      </c>
      <c r="I2475" s="42"/>
      <c r="J2475" s="4">
        <v>0</v>
      </c>
      <c r="K2475" s="4">
        <v>0</v>
      </c>
      <c r="L2475" s="4">
        <v>0</v>
      </c>
      <c r="M2475" s="4">
        <v>0</v>
      </c>
      <c r="N2475" s="4">
        <v>0</v>
      </c>
      <c r="O2475" s="4">
        <v>0</v>
      </c>
      <c r="P2475" s="4">
        <v>0</v>
      </c>
      <c r="Q2475" s="4">
        <v>0</v>
      </c>
      <c r="R2475" s="4">
        <v>0</v>
      </c>
      <c r="S2475" s="4">
        <v>0</v>
      </c>
      <c r="T2475" s="4">
        <v>0</v>
      </c>
      <c r="U2475" s="4">
        <v>0</v>
      </c>
      <c r="V2475" s="4">
        <v>0</v>
      </c>
      <c r="W2475" s="4">
        <v>0</v>
      </c>
      <c r="X2475" s="4" t="s">
        <v>2272</v>
      </c>
      <c r="Y2475" s="198" t="s">
        <v>34</v>
      </c>
      <c r="Z2475" s="198" t="s">
        <v>37</v>
      </c>
      <c r="AA2475" s="4" t="s">
        <v>2272</v>
      </c>
      <c r="AB2475" s="36" t="s">
        <v>11315</v>
      </c>
      <c r="AC2475" s="19"/>
    </row>
    <row r="2476" spans="1:29" s="197" customFormat="1" ht="44.5" customHeight="1">
      <c r="A2476" s="209" t="str">
        <f>'Reported burning'!A2476</f>
        <v>281c</v>
      </c>
      <c r="B2476" s="209" t="str">
        <f>'Reported burning'!B2476</f>
        <v>281c.4</v>
      </c>
      <c r="C2476" s="209" t="str">
        <f>'Reported burning'!C2476</f>
        <v>Human, escaped</v>
      </c>
      <c r="D2476" s="209" t="str">
        <f>'Reported burning'!D2476</f>
        <v>Hunting</v>
      </c>
      <c r="E2476" s="209" t="str">
        <f>'Reported burning'!E2476</f>
        <v>Forestry, Traditional</v>
      </c>
      <c r="F2476" s="209" t="str">
        <f>'Reported burning'!F2476</f>
        <v>Shrubland (Mixed forest &amp; grassland)</v>
      </c>
      <c r="G2476" s="209" t="str">
        <f>'Reported burning'!G2476</f>
        <v>Forest</v>
      </c>
      <c r="H2476" s="209" t="str">
        <f>'Reported burning'!H2476</f>
        <v>Presence</v>
      </c>
      <c r="I2476" s="42"/>
      <c r="J2476" s="4" t="s">
        <v>2272</v>
      </c>
      <c r="K2476" s="4" t="s">
        <v>2272</v>
      </c>
      <c r="L2476" s="4" t="s">
        <v>2272</v>
      </c>
      <c r="M2476" s="4" t="s">
        <v>2272</v>
      </c>
      <c r="N2476" s="4" t="s">
        <v>2272</v>
      </c>
      <c r="O2476" s="4" t="s">
        <v>2272</v>
      </c>
      <c r="P2476" s="4" t="s">
        <v>2272</v>
      </c>
      <c r="Q2476" s="4" t="s">
        <v>2272</v>
      </c>
      <c r="R2476" s="4" t="s">
        <v>2272</v>
      </c>
      <c r="S2476" s="4" t="s">
        <v>2272</v>
      </c>
      <c r="T2476" s="4" t="s">
        <v>2272</v>
      </c>
      <c r="U2476" s="4" t="s">
        <v>2272</v>
      </c>
      <c r="V2476" s="4" t="s">
        <v>2272</v>
      </c>
      <c r="W2476" s="4" t="s">
        <v>2272</v>
      </c>
      <c r="X2476" s="4" t="s">
        <v>2272</v>
      </c>
      <c r="Y2476" s="198" t="s">
        <v>34</v>
      </c>
      <c r="Z2476" s="198" t="s">
        <v>37</v>
      </c>
      <c r="AA2476" s="4" t="s">
        <v>2272</v>
      </c>
      <c r="AB2476" s="36" t="s">
        <v>11315</v>
      </c>
      <c r="AC2476" s="19"/>
    </row>
    <row r="2477" spans="1:29" s="197" customFormat="1" ht="44.5" customHeight="1">
      <c r="A2477" s="209" t="str">
        <f>'Reported burning'!A2477</f>
        <v>281d</v>
      </c>
      <c r="B2477" s="209" t="str">
        <f>'Reported burning'!B2477</f>
        <v>281d.4</v>
      </c>
      <c r="C2477" s="209" t="str">
        <f>'Reported burning'!C2477</f>
        <v>Human, escaped</v>
      </c>
      <c r="D2477" s="209" t="str">
        <f>'Reported burning'!D2477</f>
        <v>Hunting</v>
      </c>
      <c r="E2477" s="209" t="str">
        <f>'Reported burning'!E2477</f>
        <v>Forestry, Traditional</v>
      </c>
      <c r="F2477" s="209" t="str">
        <f>'Reported burning'!F2477</f>
        <v>Shrubland (Mixed forest &amp; grassland)</v>
      </c>
      <c r="G2477" s="209" t="str">
        <f>'Reported burning'!G2477</f>
        <v>Forest</v>
      </c>
      <c r="H2477" s="209" t="str">
        <f>'Reported burning'!H2477</f>
        <v>Presence</v>
      </c>
      <c r="I2477" s="42"/>
      <c r="J2477" s="4" t="s">
        <v>2272</v>
      </c>
      <c r="K2477" s="4" t="s">
        <v>2272</v>
      </c>
      <c r="L2477" s="4" t="s">
        <v>2272</v>
      </c>
      <c r="M2477" s="4" t="s">
        <v>2272</v>
      </c>
      <c r="N2477" s="4" t="s">
        <v>2272</v>
      </c>
      <c r="O2477" s="4" t="s">
        <v>2272</v>
      </c>
      <c r="P2477" s="4" t="s">
        <v>2272</v>
      </c>
      <c r="Q2477" s="4" t="s">
        <v>2272</v>
      </c>
      <c r="R2477" s="4" t="s">
        <v>2272</v>
      </c>
      <c r="S2477" s="4" t="s">
        <v>2272</v>
      </c>
      <c r="T2477" s="4" t="s">
        <v>2272</v>
      </c>
      <c r="U2477" s="4" t="s">
        <v>2272</v>
      </c>
      <c r="V2477" s="4" t="s">
        <v>2272</v>
      </c>
      <c r="W2477" s="4" t="s">
        <v>2272</v>
      </c>
      <c r="X2477" s="4" t="s">
        <v>2272</v>
      </c>
      <c r="Y2477" s="198" t="s">
        <v>34</v>
      </c>
      <c r="Z2477" s="198" t="s">
        <v>37</v>
      </c>
      <c r="AA2477" s="4" t="s">
        <v>2272</v>
      </c>
      <c r="AB2477" s="36" t="s">
        <v>11315</v>
      </c>
      <c r="AC2477" s="19"/>
    </row>
    <row r="2478" spans="1:29" s="197" customFormat="1" ht="44.5" customHeight="1">
      <c r="A2478" s="209" t="str">
        <f>'Reported burning'!A2478</f>
        <v>281e</v>
      </c>
      <c r="B2478" s="209" t="str">
        <f>'Reported burning'!B2478</f>
        <v>281e.4</v>
      </c>
      <c r="C2478" s="209" t="str">
        <f>'Reported burning'!C2478</f>
        <v>Human, escaped</v>
      </c>
      <c r="D2478" s="209" t="str">
        <f>'Reported burning'!D2478</f>
        <v>Hunting</v>
      </c>
      <c r="E2478" s="209" t="str">
        <f>'Reported burning'!E2478</f>
        <v>Forestry, Traditional</v>
      </c>
      <c r="F2478" s="209" t="str">
        <f>'Reported burning'!F2478</f>
        <v>Shrubland (Mixed forest &amp; grassland)</v>
      </c>
      <c r="G2478" s="209" t="str">
        <f>'Reported burning'!G2478</f>
        <v>Forest</v>
      </c>
      <c r="H2478" s="209" t="str">
        <f>'Reported burning'!H2478</f>
        <v>Presence</v>
      </c>
      <c r="I2478" s="42"/>
      <c r="J2478" s="4" t="s">
        <v>2272</v>
      </c>
      <c r="K2478" s="4" t="s">
        <v>2272</v>
      </c>
      <c r="L2478" s="4" t="s">
        <v>2272</v>
      </c>
      <c r="M2478" s="4" t="s">
        <v>2272</v>
      </c>
      <c r="N2478" s="4" t="s">
        <v>2272</v>
      </c>
      <c r="O2478" s="4" t="s">
        <v>2272</v>
      </c>
      <c r="P2478" s="4" t="s">
        <v>2272</v>
      </c>
      <c r="Q2478" s="4" t="s">
        <v>2272</v>
      </c>
      <c r="R2478" s="4" t="s">
        <v>2272</v>
      </c>
      <c r="S2478" s="4" t="s">
        <v>2272</v>
      </c>
      <c r="T2478" s="4" t="s">
        <v>2272</v>
      </c>
      <c r="U2478" s="4" t="s">
        <v>2272</v>
      </c>
      <c r="V2478" s="4" t="s">
        <v>2272</v>
      </c>
      <c r="W2478" s="4" t="s">
        <v>2272</v>
      </c>
      <c r="X2478" s="4" t="s">
        <v>2272</v>
      </c>
      <c r="Y2478" s="198" t="s">
        <v>34</v>
      </c>
      <c r="Z2478" s="198" t="s">
        <v>37</v>
      </c>
      <c r="AA2478" s="4" t="s">
        <v>2272</v>
      </c>
      <c r="AB2478" s="36" t="s">
        <v>11315</v>
      </c>
      <c r="AC2478" s="19"/>
    </row>
    <row r="2479" spans="1:29" s="197" customFormat="1" ht="44.5" customHeight="1">
      <c r="A2479" s="209" t="str">
        <f>'Reported burning'!A2479</f>
        <v>281f</v>
      </c>
      <c r="B2479" s="209" t="str">
        <f>'Reported burning'!B2479</f>
        <v>281f.4</v>
      </c>
      <c r="C2479" s="209" t="str">
        <f>'Reported burning'!C2479</f>
        <v>Human, escaped</v>
      </c>
      <c r="D2479" s="209" t="str">
        <f>'Reported burning'!D2479</f>
        <v>Hunting</v>
      </c>
      <c r="E2479" s="209" t="str">
        <f>'Reported burning'!E2479</f>
        <v>Forestry, Traditional</v>
      </c>
      <c r="F2479" s="209" t="str">
        <f>'Reported burning'!F2479</f>
        <v>Shrubland (Mixed forest &amp; grassland)</v>
      </c>
      <c r="G2479" s="209" t="str">
        <f>'Reported burning'!G2479</f>
        <v>Forest</v>
      </c>
      <c r="H2479" s="209" t="str">
        <f>'Reported burning'!H2479</f>
        <v>Presence</v>
      </c>
      <c r="I2479" s="42"/>
      <c r="J2479" s="4" t="s">
        <v>2272</v>
      </c>
      <c r="K2479" s="4" t="s">
        <v>2272</v>
      </c>
      <c r="L2479" s="4" t="s">
        <v>2272</v>
      </c>
      <c r="M2479" s="4" t="s">
        <v>2272</v>
      </c>
      <c r="N2479" s="4" t="s">
        <v>2272</v>
      </c>
      <c r="O2479" s="4" t="s">
        <v>2272</v>
      </c>
      <c r="P2479" s="4" t="s">
        <v>2272</v>
      </c>
      <c r="Q2479" s="4" t="s">
        <v>2272</v>
      </c>
      <c r="R2479" s="4" t="s">
        <v>2272</v>
      </c>
      <c r="S2479" s="4" t="s">
        <v>2272</v>
      </c>
      <c r="T2479" s="4" t="s">
        <v>2272</v>
      </c>
      <c r="U2479" s="4" t="s">
        <v>2272</v>
      </c>
      <c r="V2479" s="4" t="s">
        <v>2272</v>
      </c>
      <c r="W2479" s="4" t="s">
        <v>2272</v>
      </c>
      <c r="X2479" s="4" t="s">
        <v>2272</v>
      </c>
      <c r="Y2479" s="198" t="s">
        <v>34</v>
      </c>
      <c r="Z2479" s="198" t="s">
        <v>37</v>
      </c>
      <c r="AA2479" s="4" t="s">
        <v>2272</v>
      </c>
      <c r="AB2479" s="36" t="s">
        <v>11315</v>
      </c>
      <c r="AC2479" s="19"/>
    </row>
    <row r="2480" spans="1:29" s="197" customFormat="1" ht="44.5" customHeight="1">
      <c r="A2480" s="209" t="str">
        <f>'Reported burning'!A2480</f>
        <v>281a</v>
      </c>
      <c r="B2480" s="209" t="str">
        <f>'Reported burning'!B2480</f>
        <v>281a.5</v>
      </c>
      <c r="C2480" s="209" t="str">
        <f>'Reported burning'!C2480</f>
        <v>Human, accidental</v>
      </c>
      <c r="D2480" s="209" t="str">
        <f>'Reported burning'!D2480</f>
        <v>Accidental</v>
      </c>
      <c r="E2480" s="209" t="str">
        <f>'Reported burning'!E2480</f>
        <v>All</v>
      </c>
      <c r="F2480" s="209" t="str">
        <f>'Reported burning'!F2480</f>
        <v>ND</v>
      </c>
      <c r="G2480" s="209" t="str">
        <f>'Reported burning'!G2480</f>
        <v>Forest</v>
      </c>
      <c r="H2480" s="209" t="str">
        <f>'Reported burning'!H2480</f>
        <v>Presence</v>
      </c>
      <c r="I2480" s="42"/>
      <c r="J2480" s="4" t="s">
        <v>2272</v>
      </c>
      <c r="K2480" s="4" t="s">
        <v>2272</v>
      </c>
      <c r="L2480" s="4" t="s">
        <v>2272</v>
      </c>
      <c r="M2480" s="4" t="s">
        <v>2272</v>
      </c>
      <c r="N2480" s="4" t="s">
        <v>2272</v>
      </c>
      <c r="O2480" s="4" t="s">
        <v>2272</v>
      </c>
      <c r="P2480" s="4" t="s">
        <v>2272</v>
      </c>
      <c r="Q2480" s="4" t="s">
        <v>2272</v>
      </c>
      <c r="R2480" s="4" t="s">
        <v>2272</v>
      </c>
      <c r="S2480" s="4" t="s">
        <v>2272</v>
      </c>
      <c r="T2480" s="4" t="s">
        <v>2272</v>
      </c>
      <c r="U2480" s="4" t="s">
        <v>2272</v>
      </c>
      <c r="V2480" s="4" t="s">
        <v>2272</v>
      </c>
      <c r="W2480" s="4" t="s">
        <v>2272</v>
      </c>
      <c r="X2480" s="4" t="s">
        <v>2272</v>
      </c>
      <c r="Y2480" s="4" t="s">
        <v>2272</v>
      </c>
      <c r="Z2480" s="4" t="s">
        <v>2272</v>
      </c>
      <c r="AA2480" s="4" t="s">
        <v>2272</v>
      </c>
      <c r="AB2480" s="36"/>
      <c r="AC2480" s="19"/>
    </row>
    <row r="2481" spans="1:29" s="197" customFormat="1" ht="44.5" customHeight="1">
      <c r="A2481" s="209" t="str">
        <f>'Reported burning'!A2481</f>
        <v>281b</v>
      </c>
      <c r="B2481" s="209" t="str">
        <f>'Reported burning'!B2481</f>
        <v>281b.5</v>
      </c>
      <c r="C2481" s="209" t="str">
        <f>'Reported burning'!C2481</f>
        <v>Human, accidental</v>
      </c>
      <c r="D2481" s="209" t="str">
        <f>'Reported burning'!D2481</f>
        <v>Accidental</v>
      </c>
      <c r="E2481" s="209" t="str">
        <f>'Reported burning'!E2481</f>
        <v>All</v>
      </c>
      <c r="F2481" s="209" t="str">
        <f>'Reported burning'!F2481</f>
        <v>ND</v>
      </c>
      <c r="G2481" s="209" t="str">
        <f>'Reported burning'!G2481</f>
        <v>Forest</v>
      </c>
      <c r="H2481" s="209" t="str">
        <f>'Reported burning'!H2481</f>
        <v>Presence</v>
      </c>
      <c r="I2481" s="42"/>
      <c r="J2481" s="4" t="s">
        <v>2272</v>
      </c>
      <c r="K2481" s="4" t="s">
        <v>2272</v>
      </c>
      <c r="L2481" s="4" t="s">
        <v>2272</v>
      </c>
      <c r="M2481" s="4" t="s">
        <v>2272</v>
      </c>
      <c r="N2481" s="4" t="s">
        <v>2272</v>
      </c>
      <c r="O2481" s="4" t="s">
        <v>2272</v>
      </c>
      <c r="P2481" s="4" t="s">
        <v>2272</v>
      </c>
      <c r="Q2481" s="4" t="s">
        <v>2272</v>
      </c>
      <c r="R2481" s="4" t="s">
        <v>2272</v>
      </c>
      <c r="S2481" s="4" t="s">
        <v>2272</v>
      </c>
      <c r="T2481" s="4" t="s">
        <v>2272</v>
      </c>
      <c r="U2481" s="4" t="s">
        <v>2272</v>
      </c>
      <c r="V2481" s="4" t="s">
        <v>2272</v>
      </c>
      <c r="W2481" s="4" t="s">
        <v>2272</v>
      </c>
      <c r="X2481" s="4" t="s">
        <v>2272</v>
      </c>
      <c r="Y2481" s="4" t="s">
        <v>2272</v>
      </c>
      <c r="Z2481" s="4" t="s">
        <v>2272</v>
      </c>
      <c r="AA2481" s="4" t="s">
        <v>2272</v>
      </c>
      <c r="AB2481" s="36"/>
      <c r="AC2481" s="19"/>
    </row>
    <row r="2482" spans="1:29" s="197" customFormat="1" ht="44.5" customHeight="1">
      <c r="A2482" s="209" t="str">
        <f>'Reported burning'!A2482</f>
        <v>281c</v>
      </c>
      <c r="B2482" s="209" t="str">
        <f>'Reported burning'!B2482</f>
        <v>281c.5</v>
      </c>
      <c r="C2482" s="209" t="str">
        <f>'Reported burning'!C2482</f>
        <v>Human, accidental</v>
      </c>
      <c r="D2482" s="209" t="str">
        <f>'Reported burning'!D2482</f>
        <v>Accidental</v>
      </c>
      <c r="E2482" s="209" t="str">
        <f>'Reported burning'!E2482</f>
        <v>All</v>
      </c>
      <c r="F2482" s="209" t="str">
        <f>'Reported burning'!F2482</f>
        <v>ND</v>
      </c>
      <c r="G2482" s="209" t="str">
        <f>'Reported burning'!G2482</f>
        <v>Forest</v>
      </c>
      <c r="H2482" s="209" t="str">
        <f>'Reported burning'!H2482</f>
        <v>Presence</v>
      </c>
      <c r="I2482" s="42"/>
      <c r="J2482" s="4" t="s">
        <v>2272</v>
      </c>
      <c r="K2482" s="4" t="s">
        <v>2272</v>
      </c>
      <c r="L2482" s="4" t="s">
        <v>2272</v>
      </c>
      <c r="M2482" s="4" t="s">
        <v>2272</v>
      </c>
      <c r="N2482" s="4" t="s">
        <v>2272</v>
      </c>
      <c r="O2482" s="4" t="s">
        <v>2272</v>
      </c>
      <c r="P2482" s="4" t="s">
        <v>2272</v>
      </c>
      <c r="Q2482" s="4" t="s">
        <v>2272</v>
      </c>
      <c r="R2482" s="4" t="s">
        <v>2272</v>
      </c>
      <c r="S2482" s="4" t="s">
        <v>2272</v>
      </c>
      <c r="T2482" s="4" t="s">
        <v>2272</v>
      </c>
      <c r="U2482" s="4" t="s">
        <v>2272</v>
      </c>
      <c r="V2482" s="4" t="s">
        <v>2272</v>
      </c>
      <c r="W2482" s="4" t="s">
        <v>2272</v>
      </c>
      <c r="X2482" s="4" t="s">
        <v>2272</v>
      </c>
      <c r="Y2482" s="4" t="s">
        <v>2272</v>
      </c>
      <c r="Z2482" s="4" t="s">
        <v>2272</v>
      </c>
      <c r="AA2482" s="4" t="s">
        <v>2272</v>
      </c>
      <c r="AB2482" s="36"/>
      <c r="AC2482" s="19"/>
    </row>
    <row r="2483" spans="1:29" s="197" customFormat="1" ht="44.5" customHeight="1">
      <c r="A2483" s="209" t="str">
        <f>'Reported burning'!A2483</f>
        <v>281d</v>
      </c>
      <c r="B2483" s="209" t="str">
        <f>'Reported burning'!B2483</f>
        <v>281d.5</v>
      </c>
      <c r="C2483" s="209" t="str">
        <f>'Reported burning'!C2483</f>
        <v>Human, accidental</v>
      </c>
      <c r="D2483" s="209" t="str">
        <f>'Reported burning'!D2483</f>
        <v>Accidental</v>
      </c>
      <c r="E2483" s="209" t="str">
        <f>'Reported burning'!E2483</f>
        <v>All</v>
      </c>
      <c r="F2483" s="209" t="str">
        <f>'Reported burning'!F2483</f>
        <v>ND</v>
      </c>
      <c r="G2483" s="209" t="str">
        <f>'Reported burning'!G2483</f>
        <v>Forest</v>
      </c>
      <c r="H2483" s="209" t="str">
        <f>'Reported burning'!H2483</f>
        <v>Presence</v>
      </c>
      <c r="I2483" s="42"/>
      <c r="J2483" s="4" t="s">
        <v>2272</v>
      </c>
      <c r="K2483" s="4" t="s">
        <v>2272</v>
      </c>
      <c r="L2483" s="4" t="s">
        <v>2272</v>
      </c>
      <c r="M2483" s="4" t="s">
        <v>2272</v>
      </c>
      <c r="N2483" s="4" t="s">
        <v>2272</v>
      </c>
      <c r="O2483" s="4" t="s">
        <v>2272</v>
      </c>
      <c r="P2483" s="4" t="s">
        <v>2272</v>
      </c>
      <c r="Q2483" s="4" t="s">
        <v>2272</v>
      </c>
      <c r="R2483" s="4" t="s">
        <v>2272</v>
      </c>
      <c r="S2483" s="4" t="s">
        <v>2272</v>
      </c>
      <c r="T2483" s="4" t="s">
        <v>2272</v>
      </c>
      <c r="U2483" s="4" t="s">
        <v>2272</v>
      </c>
      <c r="V2483" s="4" t="s">
        <v>2272</v>
      </c>
      <c r="W2483" s="4" t="s">
        <v>2272</v>
      </c>
      <c r="X2483" s="4" t="s">
        <v>2272</v>
      </c>
      <c r="Y2483" s="4" t="s">
        <v>2272</v>
      </c>
      <c r="Z2483" s="4" t="s">
        <v>2272</v>
      </c>
      <c r="AA2483" s="4" t="s">
        <v>2272</v>
      </c>
      <c r="AB2483" s="36"/>
      <c r="AC2483" s="19"/>
    </row>
    <row r="2484" spans="1:29" s="197" customFormat="1" ht="44.5" customHeight="1">
      <c r="A2484" s="209" t="str">
        <f>'Reported burning'!A2484</f>
        <v>281e</v>
      </c>
      <c r="B2484" s="209" t="str">
        <f>'Reported burning'!B2484</f>
        <v>281e.5</v>
      </c>
      <c r="C2484" s="209" t="str">
        <f>'Reported burning'!C2484</f>
        <v>Human, accidental</v>
      </c>
      <c r="D2484" s="209" t="str">
        <f>'Reported burning'!D2484</f>
        <v>Accidental</v>
      </c>
      <c r="E2484" s="209" t="str">
        <f>'Reported burning'!E2484</f>
        <v>All</v>
      </c>
      <c r="F2484" s="209" t="str">
        <f>'Reported burning'!F2484</f>
        <v>ND</v>
      </c>
      <c r="G2484" s="209" t="str">
        <f>'Reported burning'!G2484</f>
        <v>Forest</v>
      </c>
      <c r="H2484" s="209" t="str">
        <f>'Reported burning'!H2484</f>
        <v>Presence</v>
      </c>
      <c r="I2484" s="42"/>
      <c r="J2484" s="4" t="s">
        <v>2272</v>
      </c>
      <c r="K2484" s="4" t="s">
        <v>2272</v>
      </c>
      <c r="L2484" s="4" t="s">
        <v>2272</v>
      </c>
      <c r="M2484" s="4" t="s">
        <v>2272</v>
      </c>
      <c r="N2484" s="4" t="s">
        <v>2272</v>
      </c>
      <c r="O2484" s="4" t="s">
        <v>2272</v>
      </c>
      <c r="P2484" s="4" t="s">
        <v>2272</v>
      </c>
      <c r="Q2484" s="4" t="s">
        <v>2272</v>
      </c>
      <c r="R2484" s="4" t="s">
        <v>2272</v>
      </c>
      <c r="S2484" s="4" t="s">
        <v>2272</v>
      </c>
      <c r="T2484" s="4" t="s">
        <v>2272</v>
      </c>
      <c r="U2484" s="4" t="s">
        <v>2272</v>
      </c>
      <c r="V2484" s="4" t="s">
        <v>2272</v>
      </c>
      <c r="W2484" s="4" t="s">
        <v>2272</v>
      </c>
      <c r="X2484" s="4" t="s">
        <v>2272</v>
      </c>
      <c r="Y2484" s="4" t="s">
        <v>2272</v>
      </c>
      <c r="Z2484" s="4" t="s">
        <v>2272</v>
      </c>
      <c r="AA2484" s="4" t="s">
        <v>2272</v>
      </c>
      <c r="AB2484" s="36"/>
      <c r="AC2484" s="19"/>
    </row>
    <row r="2485" spans="1:29" s="197" customFormat="1" ht="44.5" customHeight="1">
      <c r="A2485" s="209" t="str">
        <f>'Reported burning'!A2485</f>
        <v>281f</v>
      </c>
      <c r="B2485" s="209" t="str">
        <f>'Reported burning'!B2485</f>
        <v>281f.5</v>
      </c>
      <c r="C2485" s="209" t="str">
        <f>'Reported burning'!C2485</f>
        <v>Human, accidental</v>
      </c>
      <c r="D2485" s="209" t="str">
        <f>'Reported burning'!D2485</f>
        <v>Accidental</v>
      </c>
      <c r="E2485" s="209" t="str">
        <f>'Reported burning'!E2485</f>
        <v>All</v>
      </c>
      <c r="F2485" s="209" t="str">
        <f>'Reported burning'!F2485</f>
        <v>ND</v>
      </c>
      <c r="G2485" s="209" t="str">
        <f>'Reported burning'!G2485</f>
        <v>Forest</v>
      </c>
      <c r="H2485" s="209" t="str">
        <f>'Reported burning'!H2485</f>
        <v>Presence</v>
      </c>
      <c r="I2485" s="42"/>
      <c r="J2485" s="4" t="s">
        <v>2272</v>
      </c>
      <c r="K2485" s="4" t="s">
        <v>2272</v>
      </c>
      <c r="L2485" s="4" t="s">
        <v>2272</v>
      </c>
      <c r="M2485" s="4" t="s">
        <v>2272</v>
      </c>
      <c r="N2485" s="4" t="s">
        <v>2272</v>
      </c>
      <c r="O2485" s="4" t="s">
        <v>2272</v>
      </c>
      <c r="P2485" s="4" t="s">
        <v>2272</v>
      </c>
      <c r="Q2485" s="4" t="s">
        <v>2272</v>
      </c>
      <c r="R2485" s="4" t="s">
        <v>2272</v>
      </c>
      <c r="S2485" s="4" t="s">
        <v>2272</v>
      </c>
      <c r="T2485" s="4" t="s">
        <v>2272</v>
      </c>
      <c r="U2485" s="4" t="s">
        <v>2272</v>
      </c>
      <c r="V2485" s="4" t="s">
        <v>2272</v>
      </c>
      <c r="W2485" s="4" t="s">
        <v>2272</v>
      </c>
      <c r="X2485" s="4" t="s">
        <v>2272</v>
      </c>
      <c r="Y2485" s="4" t="s">
        <v>2272</v>
      </c>
      <c r="Z2485" s="4" t="s">
        <v>2272</v>
      </c>
      <c r="AA2485" s="4" t="s">
        <v>2272</v>
      </c>
      <c r="AB2485" s="36"/>
      <c r="AC2485" s="19"/>
    </row>
    <row r="2486" spans="1:29" s="197" customFormat="1" ht="44.5" customHeight="1">
      <c r="A2486" s="209" t="str">
        <f>'Reported burning'!A2486</f>
        <v>281a</v>
      </c>
      <c r="B2486" s="209" t="str">
        <f>'Reported burning'!B2486</f>
        <v>281a.6</v>
      </c>
      <c r="C2486" s="209" t="str">
        <f>'Reported burning'!C2486</f>
        <v>Human, deliberate</v>
      </c>
      <c r="D2486" s="209" t="str">
        <f>'Reported burning'!D2486</f>
        <v>Arson</v>
      </c>
      <c r="E2486" s="209" t="str">
        <f>'Reported burning'!E2486</f>
        <v>ND</v>
      </c>
      <c r="F2486" s="209" t="str">
        <f>'Reported burning'!F2486</f>
        <v>ND</v>
      </c>
      <c r="G2486" s="209" t="str">
        <f>'Reported burning'!G2486</f>
        <v>Forest</v>
      </c>
      <c r="H2486" s="209" t="str">
        <f>'Reported burning'!H2486</f>
        <v>Absence</v>
      </c>
      <c r="I2486" s="42"/>
      <c r="J2486" s="4">
        <v>0</v>
      </c>
      <c r="K2486" s="4">
        <v>0</v>
      </c>
      <c r="L2486" s="4">
        <v>0</v>
      </c>
      <c r="M2486" s="4">
        <v>0</v>
      </c>
      <c r="N2486" s="4">
        <v>0</v>
      </c>
      <c r="O2486" s="4">
        <v>0</v>
      </c>
      <c r="P2486" s="4">
        <v>0</v>
      </c>
      <c r="Q2486" s="4">
        <v>0</v>
      </c>
      <c r="R2486" s="4">
        <v>0</v>
      </c>
      <c r="S2486" s="4">
        <v>0</v>
      </c>
      <c r="T2486" s="4">
        <v>0</v>
      </c>
      <c r="U2486" s="4">
        <v>0</v>
      </c>
      <c r="V2486" s="4">
        <v>0</v>
      </c>
      <c r="W2486" s="4">
        <v>0</v>
      </c>
      <c r="X2486" s="4" t="s">
        <v>2272</v>
      </c>
      <c r="Y2486" s="4" t="s">
        <v>2272</v>
      </c>
      <c r="Z2486" s="4" t="s">
        <v>2272</v>
      </c>
      <c r="AA2486" s="4" t="s">
        <v>2272</v>
      </c>
      <c r="AB2486" s="36"/>
      <c r="AC2486" s="19"/>
    </row>
    <row r="2487" spans="1:29" s="197" customFormat="1" ht="44.5" customHeight="1">
      <c r="A2487" s="209" t="str">
        <f>'Reported burning'!A2487</f>
        <v>281b</v>
      </c>
      <c r="B2487" s="209" t="str">
        <f>'Reported burning'!B2487</f>
        <v>281b.6</v>
      </c>
      <c r="C2487" s="209" t="str">
        <f>'Reported burning'!C2487</f>
        <v>Human, deliberate</v>
      </c>
      <c r="D2487" s="209" t="str">
        <f>'Reported burning'!D2487</f>
        <v>Arson</v>
      </c>
      <c r="E2487" s="209" t="str">
        <f>'Reported burning'!E2487</f>
        <v>ND</v>
      </c>
      <c r="F2487" s="209" t="str">
        <f>'Reported burning'!F2487</f>
        <v>ND</v>
      </c>
      <c r="G2487" s="209" t="str">
        <f>'Reported burning'!G2487</f>
        <v>Forest</v>
      </c>
      <c r="H2487" s="209" t="str">
        <f>'Reported burning'!H2487</f>
        <v>Absence</v>
      </c>
      <c r="I2487" s="42"/>
      <c r="J2487" s="4">
        <v>0</v>
      </c>
      <c r="K2487" s="4">
        <v>0</v>
      </c>
      <c r="L2487" s="4">
        <v>0</v>
      </c>
      <c r="M2487" s="4">
        <v>0</v>
      </c>
      <c r="N2487" s="4">
        <v>0</v>
      </c>
      <c r="O2487" s="4">
        <v>0</v>
      </c>
      <c r="P2487" s="4">
        <v>0</v>
      </c>
      <c r="Q2487" s="4">
        <v>0</v>
      </c>
      <c r="R2487" s="4">
        <v>0</v>
      </c>
      <c r="S2487" s="4">
        <v>0</v>
      </c>
      <c r="T2487" s="4">
        <v>0</v>
      </c>
      <c r="U2487" s="4">
        <v>0</v>
      </c>
      <c r="V2487" s="4">
        <v>0</v>
      </c>
      <c r="W2487" s="4">
        <v>0</v>
      </c>
      <c r="X2487" s="4" t="s">
        <v>2272</v>
      </c>
      <c r="Y2487" s="4" t="s">
        <v>2272</v>
      </c>
      <c r="Z2487" s="4" t="s">
        <v>2272</v>
      </c>
      <c r="AA2487" s="4" t="s">
        <v>2272</v>
      </c>
      <c r="AB2487" s="36"/>
      <c r="AC2487" s="19"/>
    </row>
    <row r="2488" spans="1:29" s="197" customFormat="1" ht="44.5" customHeight="1">
      <c r="A2488" s="209" t="str">
        <f>'Reported burning'!A2488</f>
        <v>281c</v>
      </c>
      <c r="B2488" s="209" t="str">
        <f>'Reported burning'!B2488</f>
        <v>281c.6</v>
      </c>
      <c r="C2488" s="209" t="str">
        <f>'Reported burning'!C2488</f>
        <v>Human, deliberate</v>
      </c>
      <c r="D2488" s="209" t="str">
        <f>'Reported burning'!D2488</f>
        <v>Arson</v>
      </c>
      <c r="E2488" s="209" t="str">
        <f>'Reported burning'!E2488</f>
        <v>ND</v>
      </c>
      <c r="F2488" s="209" t="str">
        <f>'Reported burning'!F2488</f>
        <v>ND</v>
      </c>
      <c r="G2488" s="209" t="str">
        <f>'Reported burning'!G2488</f>
        <v>Forest</v>
      </c>
      <c r="H2488" s="209" t="str">
        <f>'Reported burning'!H2488</f>
        <v>Absence</v>
      </c>
      <c r="I2488" s="42"/>
      <c r="J2488" s="4">
        <v>0</v>
      </c>
      <c r="K2488" s="4">
        <v>0</v>
      </c>
      <c r="L2488" s="4">
        <v>0</v>
      </c>
      <c r="M2488" s="4">
        <v>0</v>
      </c>
      <c r="N2488" s="4">
        <v>0</v>
      </c>
      <c r="O2488" s="4">
        <v>0</v>
      </c>
      <c r="P2488" s="4">
        <v>0</v>
      </c>
      <c r="Q2488" s="4">
        <v>0</v>
      </c>
      <c r="R2488" s="4">
        <v>0</v>
      </c>
      <c r="S2488" s="4">
        <v>0</v>
      </c>
      <c r="T2488" s="4">
        <v>0</v>
      </c>
      <c r="U2488" s="4">
        <v>0</v>
      </c>
      <c r="V2488" s="4">
        <v>0</v>
      </c>
      <c r="W2488" s="4">
        <v>0</v>
      </c>
      <c r="X2488" s="4" t="s">
        <v>2272</v>
      </c>
      <c r="Y2488" s="4" t="s">
        <v>2272</v>
      </c>
      <c r="Z2488" s="4" t="s">
        <v>2272</v>
      </c>
      <c r="AA2488" s="4" t="s">
        <v>2272</v>
      </c>
      <c r="AB2488" s="36"/>
      <c r="AC2488" s="19"/>
    </row>
    <row r="2489" spans="1:29" s="197" customFormat="1" ht="44.5" customHeight="1">
      <c r="A2489" s="209" t="str">
        <f>'Reported burning'!A2489</f>
        <v>281d</v>
      </c>
      <c r="B2489" s="209" t="str">
        <f>'Reported burning'!B2489</f>
        <v>281d.6</v>
      </c>
      <c r="C2489" s="209" t="str">
        <f>'Reported burning'!C2489</f>
        <v>Human, deliberate</v>
      </c>
      <c r="D2489" s="209" t="str">
        <f>'Reported burning'!D2489</f>
        <v>Arson</v>
      </c>
      <c r="E2489" s="209" t="str">
        <f>'Reported burning'!E2489</f>
        <v>ND</v>
      </c>
      <c r="F2489" s="209" t="str">
        <f>'Reported burning'!F2489</f>
        <v>ND</v>
      </c>
      <c r="G2489" s="209" t="str">
        <f>'Reported burning'!G2489</f>
        <v>Forest</v>
      </c>
      <c r="H2489" s="209" t="str">
        <f>'Reported burning'!H2489</f>
        <v>Presence</v>
      </c>
      <c r="I2489" s="42"/>
      <c r="J2489" s="4" t="s">
        <v>2272</v>
      </c>
      <c r="K2489" s="4" t="s">
        <v>2272</v>
      </c>
      <c r="L2489" s="4" t="s">
        <v>2272</v>
      </c>
      <c r="M2489" s="4" t="s">
        <v>2272</v>
      </c>
      <c r="N2489" s="4" t="s">
        <v>2272</v>
      </c>
      <c r="O2489" s="4" t="s">
        <v>2272</v>
      </c>
      <c r="P2489" s="4" t="s">
        <v>2272</v>
      </c>
      <c r="Q2489" s="4" t="s">
        <v>2272</v>
      </c>
      <c r="R2489" s="4" t="s">
        <v>2272</v>
      </c>
      <c r="S2489" s="4" t="s">
        <v>2272</v>
      </c>
      <c r="T2489" s="4" t="s">
        <v>2272</v>
      </c>
      <c r="U2489" s="4" t="s">
        <v>2272</v>
      </c>
      <c r="V2489" s="4" t="s">
        <v>2272</v>
      </c>
      <c r="W2489" s="4" t="s">
        <v>2272</v>
      </c>
      <c r="X2489" s="4" t="s">
        <v>2272</v>
      </c>
      <c r="Y2489" s="4" t="s">
        <v>2272</v>
      </c>
      <c r="Z2489" s="4" t="s">
        <v>2272</v>
      </c>
      <c r="AA2489" s="4" t="s">
        <v>2272</v>
      </c>
      <c r="AB2489" s="36"/>
      <c r="AC2489" s="19"/>
    </row>
    <row r="2490" spans="1:29" s="197" customFormat="1" ht="44.5" customHeight="1">
      <c r="A2490" s="209" t="str">
        <f>'Reported burning'!A2490</f>
        <v>281e</v>
      </c>
      <c r="B2490" s="209" t="str">
        <f>'Reported burning'!B2490</f>
        <v>281e.6</v>
      </c>
      <c r="C2490" s="209" t="str">
        <f>'Reported burning'!C2490</f>
        <v>Human, deliberate</v>
      </c>
      <c r="D2490" s="209" t="str">
        <f>'Reported burning'!D2490</f>
        <v>Arson</v>
      </c>
      <c r="E2490" s="209" t="str">
        <f>'Reported burning'!E2490</f>
        <v>ND</v>
      </c>
      <c r="F2490" s="209" t="str">
        <f>'Reported burning'!F2490</f>
        <v>ND</v>
      </c>
      <c r="G2490" s="209" t="str">
        <f>'Reported burning'!G2490</f>
        <v>Forest</v>
      </c>
      <c r="H2490" s="209" t="str">
        <f>'Reported burning'!H2490</f>
        <v>Absence</v>
      </c>
      <c r="I2490" s="42"/>
      <c r="J2490" s="4">
        <v>0</v>
      </c>
      <c r="K2490" s="4">
        <v>0</v>
      </c>
      <c r="L2490" s="4">
        <v>0</v>
      </c>
      <c r="M2490" s="4">
        <v>0</v>
      </c>
      <c r="N2490" s="4">
        <v>0</v>
      </c>
      <c r="O2490" s="4">
        <v>0</v>
      </c>
      <c r="P2490" s="4">
        <v>0</v>
      </c>
      <c r="Q2490" s="4">
        <v>0</v>
      </c>
      <c r="R2490" s="4">
        <v>0</v>
      </c>
      <c r="S2490" s="4">
        <v>0</v>
      </c>
      <c r="T2490" s="4">
        <v>0</v>
      </c>
      <c r="U2490" s="4">
        <v>0</v>
      </c>
      <c r="V2490" s="4">
        <v>0</v>
      </c>
      <c r="W2490" s="4">
        <v>0</v>
      </c>
      <c r="X2490" s="4" t="s">
        <v>2272</v>
      </c>
      <c r="Y2490" s="4" t="s">
        <v>2272</v>
      </c>
      <c r="Z2490" s="4" t="s">
        <v>2272</v>
      </c>
      <c r="AA2490" s="4" t="s">
        <v>2272</v>
      </c>
      <c r="AB2490" s="36"/>
      <c r="AC2490" s="19"/>
    </row>
    <row r="2491" spans="1:29" s="197" customFormat="1" ht="44.5" customHeight="1">
      <c r="A2491" s="209" t="str">
        <f>'Reported burning'!A2491</f>
        <v>281f</v>
      </c>
      <c r="B2491" s="209" t="str">
        <f>'Reported burning'!B2491</f>
        <v>281f.6</v>
      </c>
      <c r="C2491" s="209" t="str">
        <f>'Reported burning'!C2491</f>
        <v>Human, deliberate</v>
      </c>
      <c r="D2491" s="209" t="str">
        <f>'Reported burning'!D2491</f>
        <v>Arson</v>
      </c>
      <c r="E2491" s="209" t="str">
        <f>'Reported burning'!E2491</f>
        <v>ND</v>
      </c>
      <c r="F2491" s="209" t="str">
        <f>'Reported burning'!F2491</f>
        <v>ND</v>
      </c>
      <c r="G2491" s="209" t="str">
        <f>'Reported burning'!G2491</f>
        <v>Forest</v>
      </c>
      <c r="H2491" s="209" t="str">
        <f>'Reported burning'!H2491</f>
        <v>Absence</v>
      </c>
      <c r="I2491" s="42"/>
      <c r="J2491" s="4">
        <v>0</v>
      </c>
      <c r="K2491" s="4">
        <v>0</v>
      </c>
      <c r="L2491" s="4">
        <v>0</v>
      </c>
      <c r="M2491" s="4">
        <v>0</v>
      </c>
      <c r="N2491" s="4">
        <v>0</v>
      </c>
      <c r="O2491" s="4">
        <v>0</v>
      </c>
      <c r="P2491" s="4">
        <v>0</v>
      </c>
      <c r="Q2491" s="4">
        <v>0</v>
      </c>
      <c r="R2491" s="4">
        <v>0</v>
      </c>
      <c r="S2491" s="4">
        <v>0</v>
      </c>
      <c r="T2491" s="4">
        <v>0</v>
      </c>
      <c r="U2491" s="4">
        <v>0</v>
      </c>
      <c r="V2491" s="4">
        <v>0</v>
      </c>
      <c r="W2491" s="4">
        <v>0</v>
      </c>
      <c r="X2491" s="4" t="s">
        <v>2272</v>
      </c>
      <c r="Y2491" s="4" t="s">
        <v>2272</v>
      </c>
      <c r="Z2491" s="4" t="s">
        <v>2272</v>
      </c>
      <c r="AA2491" s="4" t="s">
        <v>2272</v>
      </c>
      <c r="AB2491" s="36"/>
      <c r="AC2491" s="19"/>
    </row>
    <row r="2492" spans="1:29" s="197" customFormat="1" ht="44.5" customHeight="1">
      <c r="A2492" s="209" t="str">
        <f>'Reported burning'!A2492</f>
        <v>281a</v>
      </c>
      <c r="B2492" s="209" t="str">
        <f>'Reported burning'!B2492</f>
        <v>281a.7</v>
      </c>
      <c r="C2492" s="209" t="str">
        <f>'Reported burning'!C2492</f>
        <v>Human, deliberate</v>
      </c>
      <c r="D2492" s="209" t="str">
        <f>'Reported burning'!D2492</f>
        <v>Crop field preparation</v>
      </c>
      <c r="E2492" s="209" t="str">
        <f>'Reported burning'!E2492</f>
        <v>Cropping, Monoculture, Market-oriented</v>
      </c>
      <c r="F2492" s="209" t="str">
        <f>'Reported burning'!F2492</f>
        <v>Cropland</v>
      </c>
      <c r="G2492" s="209" t="str">
        <f>'Reported burning'!G2492</f>
        <v>Cropland</v>
      </c>
      <c r="H2492" s="209" t="str">
        <f>'Reported burning'!H2492</f>
        <v>Absence</v>
      </c>
      <c r="I2492" s="42"/>
      <c r="J2492" s="4">
        <v>0</v>
      </c>
      <c r="K2492" s="4">
        <v>0</v>
      </c>
      <c r="L2492" s="4">
        <v>0</v>
      </c>
      <c r="M2492" s="4">
        <v>0</v>
      </c>
      <c r="N2492" s="4">
        <v>0</v>
      </c>
      <c r="O2492" s="4">
        <v>0</v>
      </c>
      <c r="P2492" s="4">
        <v>0</v>
      </c>
      <c r="Q2492" s="4">
        <v>0</v>
      </c>
      <c r="R2492" s="4">
        <v>0</v>
      </c>
      <c r="S2492" s="4">
        <v>0</v>
      </c>
      <c r="T2492" s="4">
        <v>0</v>
      </c>
      <c r="U2492" s="4">
        <v>0</v>
      </c>
      <c r="V2492" s="4">
        <v>0</v>
      </c>
      <c r="W2492" s="4">
        <v>0</v>
      </c>
      <c r="X2492" s="4" t="s">
        <v>2272</v>
      </c>
      <c r="Y2492" s="4" t="s">
        <v>2272</v>
      </c>
      <c r="Z2492" s="4" t="s">
        <v>2272</v>
      </c>
      <c r="AA2492" s="4" t="s">
        <v>2272</v>
      </c>
      <c r="AB2492" s="18" t="s">
        <v>11340</v>
      </c>
      <c r="AC2492" s="19"/>
    </row>
    <row r="2493" spans="1:29" s="197" customFormat="1" ht="44.5" customHeight="1">
      <c r="A2493" s="209" t="str">
        <f>'Reported burning'!A2493</f>
        <v>281e</v>
      </c>
      <c r="B2493" s="209" t="str">
        <f>'Reported burning'!B2493</f>
        <v>281e.7</v>
      </c>
      <c r="C2493" s="209" t="str">
        <f>'Reported burning'!C2493</f>
        <v>Human, deliberate</v>
      </c>
      <c r="D2493" s="209" t="str">
        <f>'Reported burning'!D2493</f>
        <v>Crop field preparation</v>
      </c>
      <c r="E2493" s="209" t="str">
        <f>'Reported burning'!E2493</f>
        <v>Cropping, Monoculture, Market-oriented</v>
      </c>
      <c r="F2493" s="209" t="str">
        <f>'Reported burning'!F2493</f>
        <v>Cropland</v>
      </c>
      <c r="G2493" s="209" t="str">
        <f>'Reported burning'!G2493</f>
        <v>Cropland</v>
      </c>
      <c r="H2493" s="209" t="str">
        <f>'Reported burning'!H2493</f>
        <v>Absence</v>
      </c>
      <c r="I2493" s="42"/>
      <c r="J2493" s="4">
        <v>0</v>
      </c>
      <c r="K2493" s="4">
        <v>0</v>
      </c>
      <c r="L2493" s="4">
        <v>0</v>
      </c>
      <c r="M2493" s="4">
        <v>0</v>
      </c>
      <c r="N2493" s="4">
        <v>0</v>
      </c>
      <c r="O2493" s="4">
        <v>0</v>
      </c>
      <c r="P2493" s="4">
        <v>0</v>
      </c>
      <c r="Q2493" s="4">
        <v>0</v>
      </c>
      <c r="R2493" s="4">
        <v>0</v>
      </c>
      <c r="S2493" s="4">
        <v>0</v>
      </c>
      <c r="T2493" s="4">
        <v>0</v>
      </c>
      <c r="U2493" s="4">
        <v>0</v>
      </c>
      <c r="V2493" s="4">
        <v>0</v>
      </c>
      <c r="W2493" s="4">
        <v>0</v>
      </c>
      <c r="X2493" s="4" t="s">
        <v>2272</v>
      </c>
      <c r="Y2493" s="4" t="s">
        <v>2272</v>
      </c>
      <c r="Z2493" s="4" t="s">
        <v>2272</v>
      </c>
      <c r="AA2493" s="4" t="s">
        <v>2272</v>
      </c>
      <c r="AB2493" s="18" t="s">
        <v>11340</v>
      </c>
      <c r="AC2493" s="19"/>
    </row>
    <row r="2494" spans="1:29" ht="36" customHeight="1">
      <c r="A2494" s="151" t="str">
        <f>'Reported burning'!A2494</f>
        <v>282a</v>
      </c>
      <c r="B2494" s="151" t="str">
        <f>'Reported burning'!B2494</f>
        <v>282a.1</v>
      </c>
      <c r="C2494" s="151" t="str">
        <f>'Reported burning'!C2494</f>
        <v>Human, deliberate</v>
      </c>
      <c r="D2494" s="151" t="str">
        <f>'Reported burning'!D2494</f>
        <v>Crop residue burning</v>
      </c>
      <c r="E2494" s="151" t="str">
        <f>'Reported burning'!E2494</f>
        <v>Cropping, Monoculture, Subsistence-oriented</v>
      </c>
      <c r="F2494" s="151" t="str">
        <f>'Reported burning'!F2494</f>
        <v>Cropland</v>
      </c>
      <c r="G2494" s="151" t="str">
        <f>'Reported burning'!G2494</f>
        <v>ND</v>
      </c>
      <c r="H2494" s="151" t="str">
        <f>'Reported burning'!H2494</f>
        <v>Presence</v>
      </c>
      <c r="I2494" s="5"/>
      <c r="J2494" s="21" t="s">
        <v>2272</v>
      </c>
      <c r="K2494" s="21" t="s">
        <v>2272</v>
      </c>
      <c r="L2494" s="21" t="s">
        <v>2272</v>
      </c>
      <c r="M2494" s="21" t="s">
        <v>2272</v>
      </c>
      <c r="N2494" s="21" t="s">
        <v>2272</v>
      </c>
      <c r="O2494" s="21" t="s">
        <v>2272</v>
      </c>
      <c r="P2494" s="21" t="s">
        <v>2272</v>
      </c>
      <c r="Q2494" s="21" t="s">
        <v>2272</v>
      </c>
      <c r="R2494" s="21" t="s">
        <v>2272</v>
      </c>
      <c r="S2494" s="21" t="s">
        <v>2272</v>
      </c>
      <c r="T2494" s="4" t="s">
        <v>2371</v>
      </c>
      <c r="U2494" s="21" t="s">
        <v>2272</v>
      </c>
      <c r="V2494" s="21" t="s">
        <v>2272</v>
      </c>
      <c r="W2494" s="21" t="s">
        <v>2272</v>
      </c>
      <c r="X2494" s="4" t="s">
        <v>2370</v>
      </c>
      <c r="Y2494" s="4"/>
      <c r="Z2494" s="4"/>
      <c r="AA2494" s="198" t="s">
        <v>63</v>
      </c>
      <c r="AB2494" s="4" t="s">
        <v>6449</v>
      </c>
      <c r="AC2494" s="4"/>
    </row>
    <row r="2495" spans="1:29" ht="43.5">
      <c r="A2495" s="151" t="str">
        <f>'Reported burning'!A2495</f>
        <v>283a</v>
      </c>
      <c r="B2495" s="151" t="str">
        <f>'Reported burning'!B2495</f>
        <v>283a.1</v>
      </c>
      <c r="C2495" s="151" t="str">
        <f>'Reported burning'!C2495</f>
        <v>Human, deliberate</v>
      </c>
      <c r="D2495" s="151" t="str">
        <f>'Reported burning'!D2495</f>
        <v>Crop residue burning</v>
      </c>
      <c r="E2495" s="151" t="str">
        <f>'Reported burning'!E2495</f>
        <v>Cropping, Monoculture, Market-oriented</v>
      </c>
      <c r="F2495" s="151" t="str">
        <f>'Reported burning'!F2495</f>
        <v>Cropland</v>
      </c>
      <c r="G2495" s="151" t="str">
        <f>'Reported burning'!G2495</f>
        <v>ND</v>
      </c>
      <c r="H2495" s="151" t="str">
        <f>'Reported burning'!H2495</f>
        <v>Presence</v>
      </c>
      <c r="I2495" s="5"/>
      <c r="J2495" s="21" t="s">
        <v>2272</v>
      </c>
      <c r="K2495" s="21" t="s">
        <v>2272</v>
      </c>
      <c r="L2495" s="21" t="s">
        <v>2272</v>
      </c>
      <c r="M2495" s="21" t="s">
        <v>2272</v>
      </c>
      <c r="N2495" s="21" t="s">
        <v>2272</v>
      </c>
      <c r="O2495" s="21" t="s">
        <v>2272</v>
      </c>
      <c r="P2495" s="21" t="s">
        <v>2272</v>
      </c>
      <c r="Q2495" s="21" t="s">
        <v>2272</v>
      </c>
      <c r="R2495" s="21" t="s">
        <v>2272</v>
      </c>
      <c r="S2495" s="21" t="s">
        <v>2272</v>
      </c>
      <c r="T2495" s="21" t="s">
        <v>2272</v>
      </c>
      <c r="U2495" s="21" t="s">
        <v>2272</v>
      </c>
      <c r="V2495" s="21" t="s">
        <v>2272</v>
      </c>
      <c r="W2495" s="161" t="s">
        <v>2522</v>
      </c>
      <c r="X2495" s="21" t="s">
        <v>2272</v>
      </c>
      <c r="Y2495" s="4" t="s">
        <v>397</v>
      </c>
      <c r="Z2495" s="4" t="s">
        <v>33</v>
      </c>
      <c r="AA2495" s="4" t="s">
        <v>2272</v>
      </c>
      <c r="AB2495" s="4" t="s">
        <v>6450</v>
      </c>
      <c r="AC2495" s="4" t="s">
        <v>8400</v>
      </c>
    </row>
    <row r="2496" spans="1:29" ht="37.5" customHeight="1">
      <c r="A2496" s="151" t="str">
        <f>'Reported burning'!A2496</f>
        <v>284a</v>
      </c>
      <c r="B2496" s="151" t="str">
        <f>'Reported burning'!B2496</f>
        <v>284a.1</v>
      </c>
      <c r="C2496" s="151" t="str">
        <f>'Reported burning'!C2496</f>
        <v>Human, deliberate</v>
      </c>
      <c r="D2496" s="151" t="str">
        <f>'Reported burning'!D2496</f>
        <v>Pyrome management</v>
      </c>
      <c r="E2496" s="151" t="str">
        <f>'Reported burning'!E2496</f>
        <v>Biodiversity conservation</v>
      </c>
      <c r="F2496" s="151" t="str">
        <f>'Reported burning'!F2496</f>
        <v>Forest</v>
      </c>
      <c r="G2496" s="151" t="str">
        <f>'Reported burning'!G2496</f>
        <v>Forest</v>
      </c>
      <c r="H2496" s="151" t="str">
        <f>'Reported burning'!H2496</f>
        <v>Presence</v>
      </c>
      <c r="I2496" s="5"/>
      <c r="J2496" s="21" t="s">
        <v>2272</v>
      </c>
      <c r="K2496" s="21" t="s">
        <v>2272</v>
      </c>
      <c r="L2496" s="21" t="s">
        <v>2272</v>
      </c>
      <c r="M2496" s="21" t="s">
        <v>2272</v>
      </c>
      <c r="N2496" s="21" t="s">
        <v>2272</v>
      </c>
      <c r="O2496" s="21" t="s">
        <v>2272</v>
      </c>
      <c r="P2496" s="21" t="s">
        <v>2272</v>
      </c>
      <c r="Q2496" s="21" t="s">
        <v>2272</v>
      </c>
      <c r="R2496" s="21" t="s">
        <v>2272</v>
      </c>
      <c r="S2496" s="21" t="s">
        <v>2272</v>
      </c>
      <c r="T2496" s="21" t="s">
        <v>2272</v>
      </c>
      <c r="U2496" s="21" t="s">
        <v>2272</v>
      </c>
      <c r="V2496" s="21" t="s">
        <v>2272</v>
      </c>
      <c r="W2496" s="21" t="s">
        <v>2272</v>
      </c>
      <c r="X2496" s="4" t="s">
        <v>2272</v>
      </c>
      <c r="Y2496" s="4" t="s">
        <v>2272</v>
      </c>
      <c r="Z2496" s="4" t="s">
        <v>2272</v>
      </c>
      <c r="AA2496" s="4" t="s">
        <v>2272</v>
      </c>
      <c r="AB2496" s="4"/>
      <c r="AC2496" s="4" t="s">
        <v>6526</v>
      </c>
    </row>
    <row r="2497" spans="1:29" ht="55" customHeight="1">
      <c r="A2497" s="151" t="str">
        <f>'Reported burning'!A2497</f>
        <v>284a</v>
      </c>
      <c r="B2497" s="151" t="str">
        <f>'Reported burning'!B2497</f>
        <v>284a.2</v>
      </c>
      <c r="C2497" s="151" t="str">
        <f>'Reported burning'!C2497</f>
        <v>Other Natural</v>
      </c>
      <c r="D2497" s="151" t="str">
        <f>'Reported burning'!D2497</f>
        <v>ND</v>
      </c>
      <c r="E2497" s="151" t="str">
        <f>'Reported burning'!E2497</f>
        <v>ND</v>
      </c>
      <c r="F2497" s="151" t="str">
        <f>'Reported burning'!F2497</f>
        <v>ND</v>
      </c>
      <c r="G2497" s="151" t="str">
        <f>'Reported burning'!G2497</f>
        <v>ND</v>
      </c>
      <c r="H2497" s="151" t="str">
        <f>'Reported burning'!H2497</f>
        <v>Presence</v>
      </c>
      <c r="I2497" s="5"/>
      <c r="J2497" s="21" t="s">
        <v>2272</v>
      </c>
      <c r="K2497" s="21" t="s">
        <v>2272</v>
      </c>
      <c r="L2497" s="21" t="s">
        <v>2272</v>
      </c>
      <c r="M2497" s="21" t="s">
        <v>2272</v>
      </c>
      <c r="N2497" s="21" t="s">
        <v>2272</v>
      </c>
      <c r="O2497" s="21" t="s">
        <v>2272</v>
      </c>
      <c r="P2497" s="21" t="s">
        <v>2272</v>
      </c>
      <c r="Q2497" s="21" t="s">
        <v>2272</v>
      </c>
      <c r="R2497" s="21" t="s">
        <v>2272</v>
      </c>
      <c r="S2497" s="21" t="s">
        <v>2272</v>
      </c>
      <c r="T2497" s="21" t="s">
        <v>2272</v>
      </c>
      <c r="U2497" s="21" t="s">
        <v>2272</v>
      </c>
      <c r="V2497" s="21" t="s">
        <v>2272</v>
      </c>
      <c r="W2497" s="21" t="s">
        <v>2272</v>
      </c>
      <c r="X2497" s="4" t="s">
        <v>2272</v>
      </c>
      <c r="Y2497" s="4" t="s">
        <v>2272</v>
      </c>
      <c r="Z2497" s="4" t="s">
        <v>2272</v>
      </c>
      <c r="AA2497" s="4" t="s">
        <v>2272</v>
      </c>
      <c r="AB2497" s="4"/>
      <c r="AC2497" s="4" t="s">
        <v>6527</v>
      </c>
    </row>
    <row r="2498" spans="1:29" ht="47.5" customHeight="1">
      <c r="A2498" s="151" t="str">
        <f>'Reported burning'!A2498</f>
        <v>284b</v>
      </c>
      <c r="B2498" s="151" t="str">
        <f>'Reported burning'!B2498</f>
        <v>284b.1</v>
      </c>
      <c r="C2498" s="151" t="str">
        <f>'Reported burning'!C2498</f>
        <v>Human, deliberate</v>
      </c>
      <c r="D2498" s="151" t="str">
        <f>'Reported burning'!D2498</f>
        <v>Pyrome management</v>
      </c>
      <c r="E2498" s="151" t="str">
        <f>'Reported burning'!E2498</f>
        <v>Biodiversity conservation</v>
      </c>
      <c r="F2498" s="151" t="str">
        <f>'Reported burning'!F2498</f>
        <v>Forest</v>
      </c>
      <c r="G2498" s="151" t="str">
        <f>'Reported burning'!G2498</f>
        <v>Forest</v>
      </c>
      <c r="H2498" s="151" t="str">
        <f>'Reported burning'!H2498</f>
        <v>Presence</v>
      </c>
      <c r="I2498" s="5"/>
      <c r="J2498" s="21" t="s">
        <v>2272</v>
      </c>
      <c r="K2498" s="21" t="s">
        <v>2272</v>
      </c>
      <c r="L2498" s="21" t="s">
        <v>2272</v>
      </c>
      <c r="M2498" s="21" t="s">
        <v>2272</v>
      </c>
      <c r="N2498" s="21" t="s">
        <v>2272</v>
      </c>
      <c r="O2498" s="21" t="s">
        <v>2272</v>
      </c>
      <c r="P2498" s="21" t="s">
        <v>2272</v>
      </c>
      <c r="Q2498" s="21" t="s">
        <v>2272</v>
      </c>
      <c r="R2498" s="21" t="s">
        <v>2272</v>
      </c>
      <c r="S2498" s="21" t="s">
        <v>2272</v>
      </c>
      <c r="T2498" s="21" t="s">
        <v>2272</v>
      </c>
      <c r="U2498" s="21" t="s">
        <v>2272</v>
      </c>
      <c r="V2498" s="21" t="s">
        <v>2272</v>
      </c>
      <c r="W2498" s="21" t="s">
        <v>2272</v>
      </c>
      <c r="X2498" s="21" t="s">
        <v>2397</v>
      </c>
      <c r="Y2498" s="198" t="str">
        <f>'Reported burning'!AA2498</f>
        <v>December</v>
      </c>
      <c r="Z2498" s="198" t="str">
        <f>'Reported burning'!AB2498</f>
        <v>April</v>
      </c>
      <c r="AA2498" s="198" t="str">
        <f>'Reported burning'!AC2498</f>
        <v>ND</v>
      </c>
      <c r="AB2498" s="4"/>
      <c r="AC2498" s="4" t="s">
        <v>7850</v>
      </c>
    </row>
    <row r="2499" spans="1:29" ht="47.5" customHeight="1">
      <c r="A2499" s="151" t="str">
        <f>'Reported burning'!A2499</f>
        <v>284b</v>
      </c>
      <c r="B2499" s="151" t="str">
        <f>'Reported burning'!B2499</f>
        <v>284b.2</v>
      </c>
      <c r="C2499" s="151" t="str">
        <f>'Reported burning'!C2499</f>
        <v>Other Natural</v>
      </c>
      <c r="D2499" s="151" t="str">
        <f>'Reported burning'!D2499</f>
        <v>ND</v>
      </c>
      <c r="E2499" s="151" t="str">
        <f>'Reported burning'!E2499</f>
        <v>ND</v>
      </c>
      <c r="F2499" s="151" t="str">
        <f>'Reported burning'!F2499</f>
        <v>ND</v>
      </c>
      <c r="G2499" s="151" t="str">
        <f>'Reported burning'!G2499</f>
        <v>ND</v>
      </c>
      <c r="H2499" s="151" t="str">
        <f>'Reported burning'!H2499</f>
        <v>Presence</v>
      </c>
      <c r="I2499" s="5"/>
      <c r="J2499" s="21" t="s">
        <v>2272</v>
      </c>
      <c r="K2499" s="21" t="s">
        <v>2272</v>
      </c>
      <c r="L2499" s="21" t="s">
        <v>2272</v>
      </c>
      <c r="M2499" s="21" t="s">
        <v>2272</v>
      </c>
      <c r="N2499" s="21" t="s">
        <v>2272</v>
      </c>
      <c r="O2499" s="21" t="s">
        <v>2272</v>
      </c>
      <c r="P2499" s="21" t="s">
        <v>2272</v>
      </c>
      <c r="Q2499" s="21" t="s">
        <v>2272</v>
      </c>
      <c r="R2499" s="21" t="s">
        <v>2272</v>
      </c>
      <c r="S2499" s="21" t="s">
        <v>2272</v>
      </c>
      <c r="T2499" s="21" t="s">
        <v>2272</v>
      </c>
      <c r="U2499" s="21" t="s">
        <v>2272</v>
      </c>
      <c r="V2499" s="21" t="s">
        <v>2272</v>
      </c>
      <c r="W2499" s="21" t="s">
        <v>2272</v>
      </c>
      <c r="X2499" s="21" t="s">
        <v>2272</v>
      </c>
      <c r="Y2499" s="198" t="str">
        <f>'Reported burning'!AA2499</f>
        <v>December</v>
      </c>
      <c r="Z2499" s="198" t="str">
        <f>'Reported burning'!AB2499</f>
        <v>April</v>
      </c>
      <c r="AA2499" s="198" t="str">
        <f>'Reported burning'!AC2499</f>
        <v>ND</v>
      </c>
      <c r="AB2499" s="4"/>
      <c r="AC2499" s="4" t="s">
        <v>6528</v>
      </c>
    </row>
    <row r="2500" spans="1:29" ht="47.5" customHeight="1">
      <c r="A2500" s="151" t="str">
        <f>'Reported burning'!A2500</f>
        <v>285a</v>
      </c>
      <c r="B2500" s="151" t="str">
        <f>'Reported burning'!B2500</f>
        <v>285a.1</v>
      </c>
      <c r="C2500" s="151" t="str">
        <f>'Reported burning'!C2500</f>
        <v>Human, deliberate</v>
      </c>
      <c r="D2500" s="151" t="str">
        <f>'Reported burning'!D2500</f>
        <v>ND</v>
      </c>
      <c r="E2500" s="151" t="str">
        <f>'Reported burning'!E2500</f>
        <v>Urban planner</v>
      </c>
      <c r="F2500" s="151" t="str">
        <f>'Reported burning'!F2500</f>
        <v>ND</v>
      </c>
      <c r="G2500" s="151" t="str">
        <f>'Reported burning'!G2500</f>
        <v>ND</v>
      </c>
      <c r="H2500" s="151" t="str">
        <f>'Reported burning'!H2500</f>
        <v>Presence</v>
      </c>
      <c r="I2500" s="5"/>
      <c r="J2500" s="21" t="s">
        <v>2272</v>
      </c>
      <c r="K2500" s="21" t="s">
        <v>2272</v>
      </c>
      <c r="L2500" s="21" t="s">
        <v>2272</v>
      </c>
      <c r="M2500" s="21" t="s">
        <v>2272</v>
      </c>
      <c r="N2500" s="21" t="s">
        <v>2272</v>
      </c>
      <c r="O2500" s="21" t="s">
        <v>2272</v>
      </c>
      <c r="P2500" s="21" t="s">
        <v>2272</v>
      </c>
      <c r="Q2500" s="21" t="s">
        <v>2272</v>
      </c>
      <c r="R2500" s="21" t="s">
        <v>2272</v>
      </c>
      <c r="S2500" s="21" t="s">
        <v>2272</v>
      </c>
      <c r="T2500" s="21" t="s">
        <v>2272</v>
      </c>
      <c r="U2500" s="21" t="s">
        <v>2272</v>
      </c>
      <c r="V2500" s="21" t="s">
        <v>2272</v>
      </c>
      <c r="W2500" s="21" t="s">
        <v>2272</v>
      </c>
      <c r="X2500" s="21" t="s">
        <v>2272</v>
      </c>
      <c r="Y2500" s="198" t="str">
        <f>'Reported burning'!AA2500</f>
        <v>ND</v>
      </c>
      <c r="Z2500" s="198" t="str">
        <f>'Reported burning'!AB2500</f>
        <v>ND</v>
      </c>
      <c r="AA2500" s="198" t="str">
        <f>'Reported burning'!AC2500</f>
        <v>ND</v>
      </c>
      <c r="AB2500" s="198"/>
      <c r="AC2500" s="198"/>
    </row>
    <row r="2501" spans="1:29" ht="47.5" customHeight="1">
      <c r="A2501" s="151" t="str">
        <f>'Reported burning'!A2501</f>
        <v>285a</v>
      </c>
      <c r="B2501" s="151" t="str">
        <f>'Reported burning'!B2501</f>
        <v>285a.2</v>
      </c>
      <c r="C2501" s="151" t="str">
        <f>'Reported burning'!C2501</f>
        <v>Lightning</v>
      </c>
      <c r="D2501" s="151" t="str">
        <f>'Reported burning'!D2501</f>
        <v>ND</v>
      </c>
      <c r="E2501" s="151" t="str">
        <f>'Reported burning'!E2501</f>
        <v>ND</v>
      </c>
      <c r="F2501" s="151" t="str">
        <f>'Reported burning'!F2501</f>
        <v>ND</v>
      </c>
      <c r="G2501" s="151" t="str">
        <f>'Reported burning'!G2501</f>
        <v>ND</v>
      </c>
      <c r="H2501" s="151" t="str">
        <f>'Reported burning'!H2501</f>
        <v>Presence</v>
      </c>
      <c r="I2501" s="5"/>
      <c r="J2501" s="21" t="s">
        <v>2272</v>
      </c>
      <c r="K2501" s="21" t="s">
        <v>2272</v>
      </c>
      <c r="L2501" s="21" t="s">
        <v>2272</v>
      </c>
      <c r="M2501" s="21" t="s">
        <v>2272</v>
      </c>
      <c r="N2501" s="21" t="s">
        <v>2272</v>
      </c>
      <c r="O2501" s="21" t="s">
        <v>2272</v>
      </c>
      <c r="P2501" s="21" t="s">
        <v>2272</v>
      </c>
      <c r="Q2501" s="21" t="s">
        <v>2272</v>
      </c>
      <c r="R2501" s="21" t="s">
        <v>2272</v>
      </c>
      <c r="S2501" s="21" t="s">
        <v>2272</v>
      </c>
      <c r="T2501" s="21" t="s">
        <v>2272</v>
      </c>
      <c r="U2501" s="21" t="s">
        <v>2272</v>
      </c>
      <c r="V2501" s="21" t="s">
        <v>2272</v>
      </c>
      <c r="W2501" s="21" t="s">
        <v>2272</v>
      </c>
      <c r="X2501" s="21" t="s">
        <v>2272</v>
      </c>
      <c r="Y2501" s="198" t="str">
        <f>'Reported burning'!AA2501</f>
        <v>ND</v>
      </c>
      <c r="Z2501" s="198" t="str">
        <f>'Reported burning'!AB2501</f>
        <v>ND</v>
      </c>
      <c r="AA2501" s="198" t="str">
        <f>'Reported burning'!AC2501</f>
        <v>ND</v>
      </c>
      <c r="AB2501" s="198"/>
      <c r="AC2501" s="198"/>
    </row>
    <row r="2502" spans="1:29" ht="47.5" customHeight="1">
      <c r="A2502" s="151" t="str">
        <f>'Reported burning'!A2502</f>
        <v>285b</v>
      </c>
      <c r="B2502" s="151" t="str">
        <f>'Reported burning'!B2502</f>
        <v>285b.1</v>
      </c>
      <c r="C2502" s="151" t="str">
        <f>'Reported burning'!C2502</f>
        <v>Human, deliberate</v>
      </c>
      <c r="D2502" s="151" t="str">
        <f>'Reported burning'!D2502</f>
        <v>ND</v>
      </c>
      <c r="E2502" s="151" t="str">
        <f>'Reported burning'!E2502</f>
        <v>Urban planner</v>
      </c>
      <c r="F2502" s="151" t="str">
        <f>'Reported burning'!F2502</f>
        <v>ND</v>
      </c>
      <c r="G2502" s="151" t="str">
        <f>'Reported burning'!G2502</f>
        <v>ND</v>
      </c>
      <c r="H2502" s="151" t="str">
        <f>'Reported burning'!H2502</f>
        <v>Presence</v>
      </c>
      <c r="I2502" s="5"/>
      <c r="J2502" s="21" t="s">
        <v>2272</v>
      </c>
      <c r="K2502" s="21" t="s">
        <v>2272</v>
      </c>
      <c r="L2502" s="21" t="s">
        <v>2272</v>
      </c>
      <c r="M2502" s="21" t="s">
        <v>2272</v>
      </c>
      <c r="N2502" s="21" t="s">
        <v>2272</v>
      </c>
      <c r="O2502" s="21" t="s">
        <v>2272</v>
      </c>
      <c r="P2502" s="21" t="s">
        <v>2272</v>
      </c>
      <c r="Q2502" s="21" t="s">
        <v>2272</v>
      </c>
      <c r="R2502" s="21" t="s">
        <v>2272</v>
      </c>
      <c r="S2502" s="21" t="s">
        <v>2272</v>
      </c>
      <c r="T2502" s="21" t="s">
        <v>2272</v>
      </c>
      <c r="U2502" s="21" t="s">
        <v>2272</v>
      </c>
      <c r="V2502" s="21" t="s">
        <v>2272</v>
      </c>
      <c r="W2502" s="21" t="s">
        <v>2272</v>
      </c>
      <c r="X2502" s="21" t="s">
        <v>2272</v>
      </c>
      <c r="Y2502" s="198" t="str">
        <f>'Reported burning'!AA2502</f>
        <v>ND</v>
      </c>
      <c r="Z2502" s="198" t="str">
        <f>'Reported burning'!AB2502</f>
        <v>ND</v>
      </c>
      <c r="AA2502" s="198" t="str">
        <f>'Reported burning'!AC2502</f>
        <v>ND</v>
      </c>
      <c r="AB2502" s="198"/>
      <c r="AC2502" s="198"/>
    </row>
    <row r="2503" spans="1:29" ht="47.5" customHeight="1">
      <c r="A2503" s="151" t="str">
        <f>'Reported burning'!A2503</f>
        <v>285b</v>
      </c>
      <c r="B2503" s="151" t="str">
        <f>'Reported burning'!B2503</f>
        <v>285b.2</v>
      </c>
      <c r="C2503" s="151" t="str">
        <f>'Reported burning'!C2503</f>
        <v>Lightning</v>
      </c>
      <c r="D2503" s="151" t="str">
        <f>'Reported burning'!D2503</f>
        <v>ND</v>
      </c>
      <c r="E2503" s="151" t="str">
        <f>'Reported burning'!E2503</f>
        <v>ND</v>
      </c>
      <c r="F2503" s="151" t="str">
        <f>'Reported burning'!F2503</f>
        <v>ND</v>
      </c>
      <c r="G2503" s="151" t="str">
        <f>'Reported burning'!G2503</f>
        <v>ND</v>
      </c>
      <c r="H2503" s="151" t="str">
        <f>'Reported burning'!H2503</f>
        <v>Presence</v>
      </c>
      <c r="I2503" s="5"/>
      <c r="J2503" s="21" t="s">
        <v>2272</v>
      </c>
      <c r="K2503" s="21" t="s">
        <v>2272</v>
      </c>
      <c r="L2503" s="21" t="s">
        <v>2272</v>
      </c>
      <c r="M2503" s="21" t="s">
        <v>2272</v>
      </c>
      <c r="N2503" s="21" t="s">
        <v>2272</v>
      </c>
      <c r="O2503" s="21" t="s">
        <v>2272</v>
      </c>
      <c r="P2503" s="21" t="s">
        <v>2272</v>
      </c>
      <c r="Q2503" s="21" t="s">
        <v>2272</v>
      </c>
      <c r="R2503" s="21" t="s">
        <v>2272</v>
      </c>
      <c r="S2503" s="21" t="s">
        <v>2272</v>
      </c>
      <c r="T2503" s="21" t="s">
        <v>2272</v>
      </c>
      <c r="U2503" s="21" t="s">
        <v>2272</v>
      </c>
      <c r="V2503" s="21" t="s">
        <v>2272</v>
      </c>
      <c r="W2503" s="21" t="s">
        <v>2369</v>
      </c>
      <c r="X2503" s="21" t="s">
        <v>2272</v>
      </c>
      <c r="Y2503" s="198" t="str">
        <f>'Reported burning'!AA2503</f>
        <v>ND</v>
      </c>
      <c r="Z2503" s="198" t="str">
        <f>'Reported burning'!AB2503</f>
        <v>ND</v>
      </c>
      <c r="AA2503" s="198" t="str">
        <f>'Reported burning'!AC2503</f>
        <v>ND</v>
      </c>
      <c r="AB2503" s="198"/>
      <c r="AC2503" s="198"/>
    </row>
    <row r="2504" spans="1:29" ht="47.5" customHeight="1">
      <c r="A2504" s="151" t="str">
        <f>'Reported burning'!A2504</f>
        <v>287a</v>
      </c>
      <c r="B2504" s="151" t="str">
        <f>'Reported burning'!B2504</f>
        <v>287a.1</v>
      </c>
      <c r="C2504" s="151" t="str">
        <f>'Reported burning'!C2504</f>
        <v>Unknown</v>
      </c>
      <c r="D2504" s="151" t="str">
        <f>'Reported burning'!D2504</f>
        <v>ND</v>
      </c>
      <c r="E2504" s="151" t="str">
        <f>'Reported burning'!E2504</f>
        <v>Forestry, Industrial</v>
      </c>
      <c r="F2504" s="151" t="str">
        <f>'Reported burning'!F2504</f>
        <v>Forest</v>
      </c>
      <c r="G2504" s="151" t="str">
        <f>'Reported burning'!G2504</f>
        <v>Forest</v>
      </c>
      <c r="H2504" s="151" t="str">
        <f>'Reported burning'!H2504</f>
        <v>Presence</v>
      </c>
      <c r="I2504" s="5"/>
      <c r="J2504" s="21" t="s">
        <v>2272</v>
      </c>
      <c r="K2504" s="21" t="s">
        <v>2272</v>
      </c>
      <c r="L2504" s="21" t="s">
        <v>2272</v>
      </c>
      <c r="M2504" s="21" t="s">
        <v>2272</v>
      </c>
      <c r="N2504" s="21" t="s">
        <v>2272</v>
      </c>
      <c r="O2504" s="21" t="s">
        <v>2272</v>
      </c>
      <c r="P2504" s="21" t="s">
        <v>2272</v>
      </c>
      <c r="Q2504" s="21" t="s">
        <v>2272</v>
      </c>
      <c r="R2504" s="21" t="s">
        <v>2272</v>
      </c>
      <c r="S2504" s="21" t="s">
        <v>2272</v>
      </c>
      <c r="T2504" s="21" t="s">
        <v>2272</v>
      </c>
      <c r="U2504" s="21" t="s">
        <v>2272</v>
      </c>
      <c r="V2504" s="21" t="s">
        <v>2272</v>
      </c>
      <c r="W2504" s="21" t="s">
        <v>2272</v>
      </c>
      <c r="X2504" s="21" t="s">
        <v>2272</v>
      </c>
      <c r="Y2504" s="198" t="str">
        <f>'Reported burning'!AA2504</f>
        <v>ND</v>
      </c>
      <c r="Z2504" s="198" t="str">
        <f>'Reported burning'!AB2504</f>
        <v>ND</v>
      </c>
      <c r="AA2504" s="198" t="str">
        <f>'Reported burning'!AC2504</f>
        <v>ND</v>
      </c>
      <c r="AB2504" s="198"/>
      <c r="AC2504" s="198"/>
    </row>
    <row r="2505" spans="1:29" ht="47.5" customHeight="1">
      <c r="A2505" s="151" t="str">
        <f>'Reported burning'!A2505</f>
        <v>287a</v>
      </c>
      <c r="B2505" s="151" t="str">
        <f>'Reported burning'!B2505</f>
        <v>287a.2</v>
      </c>
      <c r="C2505" s="151" t="str">
        <f>'Reported burning'!C2505</f>
        <v>Human, deliberate</v>
      </c>
      <c r="D2505" s="151" t="str">
        <f>'Reported burning'!D2505</f>
        <v>Pyrome management</v>
      </c>
      <c r="E2505" s="151" t="str">
        <f>'Reported burning'!E2505</f>
        <v>Forestry, Industrial</v>
      </c>
      <c r="F2505" s="151" t="str">
        <f>'Reported burning'!F2505</f>
        <v>Forest</v>
      </c>
      <c r="G2505" s="151" t="str">
        <f>'Reported burning'!G2505</f>
        <v>Forest</v>
      </c>
      <c r="H2505" s="151" t="str">
        <f>'Reported burning'!H2505</f>
        <v>Presence</v>
      </c>
      <c r="I2505" s="5"/>
      <c r="J2505" s="21" t="s">
        <v>2272</v>
      </c>
      <c r="K2505" s="21" t="s">
        <v>2272</v>
      </c>
      <c r="L2505" s="21" t="s">
        <v>2272</v>
      </c>
      <c r="M2505" s="21" t="s">
        <v>2272</v>
      </c>
      <c r="N2505" s="21" t="s">
        <v>2272</v>
      </c>
      <c r="O2505" s="21" t="s">
        <v>2272</v>
      </c>
      <c r="P2505" s="21" t="s">
        <v>2272</v>
      </c>
      <c r="Q2505" s="21" t="s">
        <v>2272</v>
      </c>
      <c r="R2505" s="21" t="s">
        <v>2272</v>
      </c>
      <c r="S2505" s="21" t="s">
        <v>2272</v>
      </c>
      <c r="T2505" s="21" t="s">
        <v>2272</v>
      </c>
      <c r="U2505" s="21" t="s">
        <v>2272</v>
      </c>
      <c r="V2505" s="21" t="s">
        <v>2272</v>
      </c>
      <c r="W2505" s="21" t="s">
        <v>2272</v>
      </c>
      <c r="X2505" s="21" t="s">
        <v>2272</v>
      </c>
      <c r="Y2505" s="198" t="str">
        <f>'Reported burning'!AA2505</f>
        <v>ND</v>
      </c>
      <c r="Z2505" s="198" t="str">
        <f>'Reported burning'!AB2505</f>
        <v>ND</v>
      </c>
      <c r="AA2505" s="198" t="str">
        <f>'Reported burning'!AC2505</f>
        <v>ND</v>
      </c>
      <c r="AB2505" s="198"/>
      <c r="AC2505" s="198"/>
    </row>
    <row r="2506" spans="1:29" ht="47.5" customHeight="1">
      <c r="A2506" s="151" t="str">
        <f>'Reported burning'!A2506</f>
        <v>287b</v>
      </c>
      <c r="B2506" s="151" t="str">
        <f>'Reported burning'!B2506</f>
        <v>287b.1</v>
      </c>
      <c r="C2506" s="151" t="str">
        <f>'Reported burning'!C2506</f>
        <v>Unknown</v>
      </c>
      <c r="D2506" s="151" t="str">
        <f>'Reported burning'!D2506</f>
        <v>ND</v>
      </c>
      <c r="E2506" s="151" t="str">
        <f>'Reported burning'!E2506</f>
        <v>Forestry, Industrial</v>
      </c>
      <c r="F2506" s="151" t="str">
        <f>'Reported burning'!F2506</f>
        <v>Forest</v>
      </c>
      <c r="G2506" s="151" t="str">
        <f>'Reported burning'!G2506</f>
        <v>Forest</v>
      </c>
      <c r="H2506" s="151" t="str">
        <f>'Reported burning'!H2506</f>
        <v>Presence</v>
      </c>
      <c r="I2506" s="5"/>
      <c r="J2506" s="21" t="s">
        <v>2272</v>
      </c>
      <c r="K2506" s="21" t="s">
        <v>2272</v>
      </c>
      <c r="L2506" s="21" t="s">
        <v>2272</v>
      </c>
      <c r="M2506" s="21" t="s">
        <v>2272</v>
      </c>
      <c r="N2506" s="21" t="s">
        <v>2272</v>
      </c>
      <c r="O2506" s="21" t="s">
        <v>2272</v>
      </c>
      <c r="P2506" s="21" t="s">
        <v>2272</v>
      </c>
      <c r="Q2506" s="21" t="s">
        <v>2272</v>
      </c>
      <c r="R2506" s="21" t="s">
        <v>2272</v>
      </c>
      <c r="S2506" s="21" t="s">
        <v>2272</v>
      </c>
      <c r="T2506" s="21" t="s">
        <v>2272</v>
      </c>
      <c r="U2506" s="21" t="s">
        <v>2272</v>
      </c>
      <c r="V2506" s="21" t="s">
        <v>2272</v>
      </c>
      <c r="W2506" s="21" t="s">
        <v>2272</v>
      </c>
      <c r="X2506" s="21" t="s">
        <v>2272</v>
      </c>
      <c r="Y2506" s="198" t="str">
        <f>'Reported burning'!AA2506</f>
        <v>ND</v>
      </c>
      <c r="Z2506" s="198" t="str">
        <f>'Reported burning'!AB2506</f>
        <v>ND</v>
      </c>
      <c r="AA2506" s="198" t="str">
        <f>'Reported burning'!AC2506</f>
        <v>ND</v>
      </c>
      <c r="AB2506" s="198"/>
      <c r="AC2506" s="198"/>
    </row>
    <row r="2507" spans="1:29" ht="47.5" customHeight="1">
      <c r="A2507" s="151" t="str">
        <f>'Reported burning'!A2507</f>
        <v>287b</v>
      </c>
      <c r="B2507" s="151" t="str">
        <f>'Reported burning'!B2507</f>
        <v>287b.2</v>
      </c>
      <c r="C2507" s="151" t="str">
        <f>'Reported burning'!C2507</f>
        <v>Human, deliberate</v>
      </c>
      <c r="D2507" s="151" t="str">
        <f>'Reported burning'!D2507</f>
        <v>Pyrome management</v>
      </c>
      <c r="E2507" s="151" t="str">
        <f>'Reported burning'!E2507</f>
        <v>Forestry, Industrial</v>
      </c>
      <c r="F2507" s="151" t="str">
        <f>'Reported burning'!F2507</f>
        <v>Forest</v>
      </c>
      <c r="G2507" s="151" t="str">
        <f>'Reported burning'!G2507</f>
        <v>Forest</v>
      </c>
      <c r="H2507" s="151" t="str">
        <f>'Reported burning'!H2507</f>
        <v>Presence</v>
      </c>
      <c r="I2507" s="5"/>
      <c r="J2507" s="21" t="s">
        <v>2272</v>
      </c>
      <c r="K2507" s="21" t="s">
        <v>2272</v>
      </c>
      <c r="L2507" s="21" t="s">
        <v>2272</v>
      </c>
      <c r="M2507" s="21" t="s">
        <v>2272</v>
      </c>
      <c r="N2507" s="21" t="s">
        <v>2272</v>
      </c>
      <c r="O2507" s="21" t="s">
        <v>2272</v>
      </c>
      <c r="P2507" s="21" t="s">
        <v>2272</v>
      </c>
      <c r="Q2507" s="21" t="s">
        <v>2272</v>
      </c>
      <c r="R2507" s="21" t="s">
        <v>2272</v>
      </c>
      <c r="S2507" s="21" t="s">
        <v>2272</v>
      </c>
      <c r="T2507" s="21" t="s">
        <v>2272</v>
      </c>
      <c r="U2507" s="21" t="s">
        <v>2272</v>
      </c>
      <c r="V2507" s="21" t="s">
        <v>2272</v>
      </c>
      <c r="W2507" s="21" t="s">
        <v>2272</v>
      </c>
      <c r="X2507" s="21" t="s">
        <v>2272</v>
      </c>
      <c r="Y2507" s="198" t="str">
        <f>'Reported burning'!AA2507</f>
        <v>ND</v>
      </c>
      <c r="Z2507" s="198" t="str">
        <f>'Reported burning'!AB2507</f>
        <v>ND</v>
      </c>
      <c r="AA2507" s="198" t="str">
        <f>'Reported burning'!AC2507</f>
        <v>ND</v>
      </c>
      <c r="AB2507" s="198"/>
      <c r="AC2507" s="198"/>
    </row>
    <row r="2508" spans="1:29" ht="47.5" customHeight="1">
      <c r="A2508" s="151" t="str">
        <f>'Reported burning'!A2508</f>
        <v>287c</v>
      </c>
      <c r="B2508" s="151" t="str">
        <f>'Reported burning'!B2508</f>
        <v>287c.1</v>
      </c>
      <c r="C2508" s="151" t="str">
        <f>'Reported burning'!C2508</f>
        <v>Unknown</v>
      </c>
      <c r="D2508" s="151" t="str">
        <f>'Reported burning'!D2508</f>
        <v>ND</v>
      </c>
      <c r="E2508" s="151" t="str">
        <f>'Reported burning'!E2508</f>
        <v>Forestry, Industrial</v>
      </c>
      <c r="F2508" s="151" t="str">
        <f>'Reported burning'!F2508</f>
        <v>Forest</v>
      </c>
      <c r="G2508" s="151" t="str">
        <f>'Reported burning'!G2508</f>
        <v>Forest</v>
      </c>
      <c r="H2508" s="151" t="str">
        <f>'Reported burning'!H2508</f>
        <v>Presence</v>
      </c>
      <c r="I2508" s="5"/>
      <c r="J2508" s="21" t="s">
        <v>2272</v>
      </c>
      <c r="K2508" s="21" t="s">
        <v>2272</v>
      </c>
      <c r="L2508" s="21" t="s">
        <v>2272</v>
      </c>
      <c r="M2508" s="21" t="s">
        <v>2272</v>
      </c>
      <c r="N2508" s="21" t="s">
        <v>2272</v>
      </c>
      <c r="O2508" s="21" t="s">
        <v>2272</v>
      </c>
      <c r="P2508" s="21" t="s">
        <v>2272</v>
      </c>
      <c r="Q2508" s="21" t="s">
        <v>2272</v>
      </c>
      <c r="R2508" s="21" t="s">
        <v>2272</v>
      </c>
      <c r="S2508" s="21" t="s">
        <v>2272</v>
      </c>
      <c r="T2508" s="21" t="s">
        <v>2272</v>
      </c>
      <c r="U2508" s="21" t="s">
        <v>2272</v>
      </c>
      <c r="V2508" s="21" t="s">
        <v>2272</v>
      </c>
      <c r="W2508" s="21" t="s">
        <v>2272</v>
      </c>
      <c r="X2508" s="21" t="s">
        <v>2272</v>
      </c>
      <c r="Y2508" s="198" t="str">
        <f>'Reported burning'!AA2508</f>
        <v>ND</v>
      </c>
      <c r="Z2508" s="198" t="str">
        <f>'Reported burning'!AB2508</f>
        <v>ND</v>
      </c>
      <c r="AA2508" s="198" t="str">
        <f>'Reported burning'!AC2508</f>
        <v>ND</v>
      </c>
      <c r="AB2508" s="198"/>
      <c r="AC2508" s="198"/>
    </row>
    <row r="2509" spans="1:29" ht="47.5" customHeight="1">
      <c r="A2509" s="151" t="str">
        <f>'Reported burning'!A2509</f>
        <v>287c</v>
      </c>
      <c r="B2509" s="151" t="str">
        <f>'Reported burning'!B2509</f>
        <v>287c.2</v>
      </c>
      <c r="C2509" s="151" t="str">
        <f>'Reported burning'!C2509</f>
        <v>Human, deliberate</v>
      </c>
      <c r="D2509" s="151" t="str">
        <f>'Reported burning'!D2509</f>
        <v>Pyrome management</v>
      </c>
      <c r="E2509" s="151" t="str">
        <f>'Reported burning'!E2509</f>
        <v>Forestry, Industrial</v>
      </c>
      <c r="F2509" s="151" t="str">
        <f>'Reported burning'!F2509</f>
        <v>Forest</v>
      </c>
      <c r="G2509" s="151" t="str">
        <f>'Reported burning'!G2509</f>
        <v>Forest</v>
      </c>
      <c r="H2509" s="151" t="str">
        <f>'Reported burning'!H2509</f>
        <v>Presence</v>
      </c>
      <c r="I2509" s="5"/>
      <c r="J2509" s="21" t="s">
        <v>2272</v>
      </c>
      <c r="K2509" s="21" t="s">
        <v>2272</v>
      </c>
      <c r="L2509" s="21" t="s">
        <v>2272</v>
      </c>
      <c r="M2509" s="21" t="s">
        <v>2272</v>
      </c>
      <c r="N2509" s="21" t="s">
        <v>2272</v>
      </c>
      <c r="O2509" s="21" t="s">
        <v>2272</v>
      </c>
      <c r="P2509" s="21" t="s">
        <v>2272</v>
      </c>
      <c r="Q2509" s="21" t="s">
        <v>2272</v>
      </c>
      <c r="R2509" s="21" t="s">
        <v>2272</v>
      </c>
      <c r="S2509" s="21" t="s">
        <v>2272</v>
      </c>
      <c r="T2509" s="21" t="s">
        <v>2272</v>
      </c>
      <c r="U2509" s="21" t="s">
        <v>2272</v>
      </c>
      <c r="V2509" s="21" t="s">
        <v>2272</v>
      </c>
      <c r="W2509" s="21" t="s">
        <v>2272</v>
      </c>
      <c r="X2509" s="21" t="s">
        <v>2272</v>
      </c>
      <c r="Y2509" s="198" t="str">
        <f>'Reported burning'!AA2509</f>
        <v>ND</v>
      </c>
      <c r="Z2509" s="198" t="str">
        <f>'Reported burning'!AB2509</f>
        <v>ND</v>
      </c>
      <c r="AA2509" s="198" t="str">
        <f>'Reported burning'!AC2509</f>
        <v>ND</v>
      </c>
      <c r="AB2509" s="198"/>
      <c r="AC2509" s="198"/>
    </row>
    <row r="2510" spans="1:29" ht="47.5" customHeight="1">
      <c r="A2510" s="151" t="str">
        <f>'Reported burning'!A2510</f>
        <v>287d</v>
      </c>
      <c r="B2510" s="151" t="str">
        <f>'Reported burning'!B2510</f>
        <v>287d.1</v>
      </c>
      <c r="C2510" s="151" t="str">
        <f>'Reported burning'!C2510</f>
        <v>Unknown</v>
      </c>
      <c r="D2510" s="151" t="str">
        <f>'Reported burning'!D2510</f>
        <v>ND</v>
      </c>
      <c r="E2510" s="151" t="str">
        <f>'Reported burning'!E2510</f>
        <v>Forestry, Industrial</v>
      </c>
      <c r="F2510" s="151" t="str">
        <f>'Reported burning'!F2510</f>
        <v>Forest</v>
      </c>
      <c r="G2510" s="151" t="str">
        <f>'Reported burning'!G2510</f>
        <v>Forest</v>
      </c>
      <c r="H2510" s="151" t="str">
        <f>'Reported burning'!H2510</f>
        <v>Presence</v>
      </c>
      <c r="I2510" s="5"/>
      <c r="J2510" s="21" t="s">
        <v>2272</v>
      </c>
      <c r="K2510" s="21" t="s">
        <v>2272</v>
      </c>
      <c r="L2510" s="21" t="s">
        <v>2272</v>
      </c>
      <c r="M2510" s="21" t="s">
        <v>2272</v>
      </c>
      <c r="N2510" s="21" t="s">
        <v>2272</v>
      </c>
      <c r="O2510" s="21" t="s">
        <v>2272</v>
      </c>
      <c r="P2510" s="21" t="s">
        <v>2272</v>
      </c>
      <c r="Q2510" s="21" t="s">
        <v>2272</v>
      </c>
      <c r="R2510" s="21" t="s">
        <v>2272</v>
      </c>
      <c r="S2510" s="21" t="s">
        <v>2272</v>
      </c>
      <c r="T2510" s="21" t="s">
        <v>2272</v>
      </c>
      <c r="U2510" s="21" t="s">
        <v>2272</v>
      </c>
      <c r="V2510" s="21" t="s">
        <v>2272</v>
      </c>
      <c r="W2510" s="21" t="s">
        <v>2272</v>
      </c>
      <c r="X2510" s="21" t="s">
        <v>2272</v>
      </c>
      <c r="Y2510" s="198" t="str">
        <f>'Reported burning'!AA2510</f>
        <v>ND</v>
      </c>
      <c r="Z2510" s="198" t="str">
        <f>'Reported burning'!AB2510</f>
        <v>ND</v>
      </c>
      <c r="AA2510" s="198" t="str">
        <f>'Reported burning'!AC2510</f>
        <v>ND</v>
      </c>
      <c r="AB2510" s="198"/>
      <c r="AC2510" s="198"/>
    </row>
    <row r="2511" spans="1:29" ht="47.5" customHeight="1">
      <c r="A2511" s="151" t="str">
        <f>'Reported burning'!A2511</f>
        <v>287d</v>
      </c>
      <c r="B2511" s="151" t="str">
        <f>'Reported burning'!B2511</f>
        <v>287d.2</v>
      </c>
      <c r="C2511" s="151" t="str">
        <f>'Reported burning'!C2511</f>
        <v>Human, deliberate</v>
      </c>
      <c r="D2511" s="151" t="str">
        <f>'Reported burning'!D2511</f>
        <v>Pyrome management</v>
      </c>
      <c r="E2511" s="151" t="str">
        <f>'Reported burning'!E2511</f>
        <v>Forestry, Industrial</v>
      </c>
      <c r="F2511" s="151" t="str">
        <f>'Reported burning'!F2511</f>
        <v>Forest</v>
      </c>
      <c r="G2511" s="151" t="str">
        <f>'Reported burning'!G2511</f>
        <v>Forest</v>
      </c>
      <c r="H2511" s="151" t="str">
        <f>'Reported burning'!H2511</f>
        <v>Presence</v>
      </c>
      <c r="I2511" s="5"/>
      <c r="J2511" s="21" t="s">
        <v>2272</v>
      </c>
      <c r="K2511" s="21" t="s">
        <v>2272</v>
      </c>
      <c r="L2511" s="21" t="s">
        <v>2272</v>
      </c>
      <c r="M2511" s="21" t="s">
        <v>2272</v>
      </c>
      <c r="N2511" s="21" t="s">
        <v>2272</v>
      </c>
      <c r="O2511" s="21" t="s">
        <v>2272</v>
      </c>
      <c r="P2511" s="21" t="s">
        <v>2272</v>
      </c>
      <c r="Q2511" s="21" t="s">
        <v>2272</v>
      </c>
      <c r="R2511" s="21" t="s">
        <v>2272</v>
      </c>
      <c r="S2511" s="21" t="s">
        <v>2272</v>
      </c>
      <c r="T2511" s="21" t="s">
        <v>2272</v>
      </c>
      <c r="U2511" s="21" t="s">
        <v>2272</v>
      </c>
      <c r="V2511" s="21" t="s">
        <v>2272</v>
      </c>
      <c r="W2511" s="21" t="s">
        <v>2272</v>
      </c>
      <c r="X2511" s="21" t="s">
        <v>2272</v>
      </c>
      <c r="Y2511" s="198" t="str">
        <f>'Reported burning'!AA2511</f>
        <v>ND</v>
      </c>
      <c r="Z2511" s="198" t="str">
        <f>'Reported burning'!AB2511</f>
        <v>ND</v>
      </c>
      <c r="AA2511" s="198" t="str">
        <f>'Reported burning'!AC2511</f>
        <v>ND</v>
      </c>
      <c r="AB2511" s="198"/>
      <c r="AC2511" s="198"/>
    </row>
    <row r="2512" spans="1:29" ht="47.5" customHeight="1">
      <c r="A2512" s="151" t="str">
        <f>'Reported burning'!A2512</f>
        <v>288a</v>
      </c>
      <c r="B2512" s="151" t="str">
        <f>'Reported burning'!B2512</f>
        <v>288a.1</v>
      </c>
      <c r="C2512" s="151" t="str">
        <f>'Reported burning'!C2512</f>
        <v>Human, deliberate</v>
      </c>
      <c r="D2512" s="151" t="str">
        <f>'Reported burning'!D2512</f>
        <v>Crop residue burning</v>
      </c>
      <c r="E2512" s="151" t="str">
        <f>'Reported burning'!E2512</f>
        <v>Forestry, Industrial</v>
      </c>
      <c r="F2512" s="151" t="str">
        <f>'Reported burning'!F2512</f>
        <v>Forest</v>
      </c>
      <c r="G2512" s="151" t="str">
        <f>'Reported burning'!G2512</f>
        <v>Forest</v>
      </c>
      <c r="H2512" s="151" t="str">
        <f>'Reported burning'!H2512</f>
        <v>Presence</v>
      </c>
      <c r="I2512" s="5"/>
      <c r="J2512" s="21" t="s">
        <v>2272</v>
      </c>
      <c r="K2512" s="21" t="s">
        <v>2272</v>
      </c>
      <c r="L2512" s="21" t="s">
        <v>2272</v>
      </c>
      <c r="M2512" s="21" t="s">
        <v>2272</v>
      </c>
      <c r="N2512" s="21" t="s">
        <v>2272</v>
      </c>
      <c r="O2512" s="21" t="s">
        <v>2272</v>
      </c>
      <c r="P2512" s="21" t="s">
        <v>2272</v>
      </c>
      <c r="Q2512" s="21" t="s">
        <v>2272</v>
      </c>
      <c r="R2512" s="21" t="s">
        <v>2272</v>
      </c>
      <c r="S2512" s="21" t="s">
        <v>2272</v>
      </c>
      <c r="T2512" s="21" t="s">
        <v>2272</v>
      </c>
      <c r="U2512" s="21" t="s">
        <v>2272</v>
      </c>
      <c r="V2512" s="21" t="s">
        <v>2272</v>
      </c>
      <c r="W2512" s="21" t="s">
        <v>2272</v>
      </c>
      <c r="X2512" s="21" t="s">
        <v>2272</v>
      </c>
      <c r="Y2512" s="198" t="str">
        <f>'Reported burning'!AA2512</f>
        <v>ND</v>
      </c>
      <c r="Z2512" s="198" t="str">
        <f>'Reported burning'!AB2512</f>
        <v>ND</v>
      </c>
      <c r="AA2512" s="198" t="str">
        <f>'Reported burning'!AC2512</f>
        <v>ND</v>
      </c>
      <c r="AB2512" s="198"/>
      <c r="AC2512" s="198"/>
    </row>
    <row r="2513" spans="1:29" ht="47.5" customHeight="1">
      <c r="A2513" s="151" t="str">
        <f>'Reported burning'!A2513</f>
        <v>288b</v>
      </c>
      <c r="B2513" s="151" t="str">
        <f>'Reported burning'!B2513</f>
        <v>288b.1</v>
      </c>
      <c r="C2513" s="151" t="str">
        <f>'Reported burning'!C2513</f>
        <v>Human, deliberate</v>
      </c>
      <c r="D2513" s="151" t="str">
        <f>'Reported burning'!D2513</f>
        <v>Crop residue burning</v>
      </c>
      <c r="E2513" s="151" t="str">
        <f>'Reported burning'!E2513</f>
        <v>Forestry, Industrial</v>
      </c>
      <c r="F2513" s="151" t="str">
        <f>'Reported burning'!F2513</f>
        <v>Forest</v>
      </c>
      <c r="G2513" s="151" t="str">
        <f>'Reported burning'!G2513</f>
        <v>Forest</v>
      </c>
      <c r="H2513" s="151" t="str">
        <f>'Reported burning'!H2513</f>
        <v>Presence</v>
      </c>
      <c r="I2513" s="5"/>
      <c r="J2513" s="21" t="s">
        <v>2272</v>
      </c>
      <c r="K2513" s="21" t="s">
        <v>2272</v>
      </c>
      <c r="L2513" s="21" t="s">
        <v>2272</v>
      </c>
      <c r="M2513" s="21" t="s">
        <v>2272</v>
      </c>
      <c r="N2513" s="21" t="s">
        <v>2272</v>
      </c>
      <c r="O2513" s="21" t="s">
        <v>2272</v>
      </c>
      <c r="P2513" s="21" t="s">
        <v>2272</v>
      </c>
      <c r="Q2513" s="21" t="s">
        <v>2272</v>
      </c>
      <c r="R2513" s="21" t="s">
        <v>2272</v>
      </c>
      <c r="S2513" s="21" t="s">
        <v>2272</v>
      </c>
      <c r="T2513" s="21" t="s">
        <v>2272</v>
      </c>
      <c r="U2513" s="21" t="s">
        <v>2272</v>
      </c>
      <c r="V2513" s="21" t="s">
        <v>2272</v>
      </c>
      <c r="W2513" s="21" t="s">
        <v>2272</v>
      </c>
      <c r="X2513" s="21" t="s">
        <v>2272</v>
      </c>
      <c r="Y2513" s="198" t="str">
        <f>'Reported burning'!AA2513</f>
        <v>ND</v>
      </c>
      <c r="Z2513" s="198" t="str">
        <f>'Reported burning'!AB2513</f>
        <v>ND</v>
      </c>
      <c r="AA2513" s="198" t="str">
        <f>'Reported burning'!AC2513</f>
        <v>ND</v>
      </c>
      <c r="AB2513" s="198"/>
      <c r="AC2513" s="198"/>
    </row>
    <row r="2514" spans="1:29" ht="47.5" customHeight="1">
      <c r="A2514" s="151" t="str">
        <f>'Reported burning'!A2514</f>
        <v>288c</v>
      </c>
      <c r="B2514" s="151" t="str">
        <f>'Reported burning'!B2514</f>
        <v>288c.1</v>
      </c>
      <c r="C2514" s="151" t="str">
        <f>'Reported burning'!C2514</f>
        <v>Human, deliberate</v>
      </c>
      <c r="D2514" s="151" t="str">
        <f>'Reported burning'!D2514</f>
        <v>Crop residue burning</v>
      </c>
      <c r="E2514" s="151" t="str">
        <f>'Reported burning'!E2514</f>
        <v>Forestry, Industrial</v>
      </c>
      <c r="F2514" s="151" t="str">
        <f>'Reported burning'!F2514</f>
        <v>Forest</v>
      </c>
      <c r="G2514" s="151" t="str">
        <f>'Reported burning'!G2514</f>
        <v>Forest</v>
      </c>
      <c r="H2514" s="151" t="str">
        <f>'Reported burning'!H2514</f>
        <v>Presence</v>
      </c>
      <c r="I2514" s="5"/>
      <c r="J2514" s="21" t="s">
        <v>2272</v>
      </c>
      <c r="K2514" s="21" t="s">
        <v>2272</v>
      </c>
      <c r="L2514" s="21" t="s">
        <v>2272</v>
      </c>
      <c r="M2514" s="21" t="s">
        <v>2272</v>
      </c>
      <c r="N2514" s="21" t="s">
        <v>2272</v>
      </c>
      <c r="O2514" s="21" t="s">
        <v>2272</v>
      </c>
      <c r="P2514" s="21" t="s">
        <v>2272</v>
      </c>
      <c r="Q2514" s="21" t="s">
        <v>2272</v>
      </c>
      <c r="R2514" s="21" t="s">
        <v>2272</v>
      </c>
      <c r="S2514" s="21" t="s">
        <v>2272</v>
      </c>
      <c r="T2514" s="21" t="s">
        <v>2272</v>
      </c>
      <c r="U2514" s="21" t="s">
        <v>2272</v>
      </c>
      <c r="V2514" s="21" t="s">
        <v>2272</v>
      </c>
      <c r="W2514" s="21" t="s">
        <v>2272</v>
      </c>
      <c r="X2514" s="21" t="s">
        <v>2272</v>
      </c>
      <c r="Y2514" s="21" t="s">
        <v>2272</v>
      </c>
      <c r="Z2514" s="21" t="s">
        <v>2272</v>
      </c>
      <c r="AA2514" s="21" t="s">
        <v>2272</v>
      </c>
      <c r="AB2514" s="198"/>
      <c r="AC2514" s="198"/>
    </row>
    <row r="2515" spans="1:29" ht="47.5" customHeight="1">
      <c r="A2515" s="151" t="str">
        <f>'Reported burning'!A2515</f>
        <v>288c</v>
      </c>
      <c r="B2515" s="151" t="str">
        <f>'Reported burning'!B2515</f>
        <v>288c.2</v>
      </c>
      <c r="C2515" s="151" t="str">
        <f>'Reported burning'!C2515</f>
        <v>Human, deliberate</v>
      </c>
      <c r="D2515" s="151" t="str">
        <f>'Reported burning'!D2515</f>
        <v>Pyrome management</v>
      </c>
      <c r="E2515" s="151" t="str">
        <f>'Reported burning'!E2515</f>
        <v>Forestry, Industrial</v>
      </c>
      <c r="F2515" s="151" t="str">
        <f>'Reported burning'!F2515</f>
        <v>Forest</v>
      </c>
      <c r="G2515" s="151" t="str">
        <f>'Reported burning'!G2515</f>
        <v>Forest</v>
      </c>
      <c r="H2515" s="151" t="str">
        <f>'Reported burning'!H2515</f>
        <v>Presence</v>
      </c>
      <c r="I2515" s="5"/>
      <c r="J2515" s="21" t="s">
        <v>2272</v>
      </c>
      <c r="K2515" s="21" t="s">
        <v>2272</v>
      </c>
      <c r="L2515" s="21" t="s">
        <v>2272</v>
      </c>
      <c r="M2515" s="21" t="s">
        <v>2272</v>
      </c>
      <c r="N2515" s="21" t="s">
        <v>2272</v>
      </c>
      <c r="O2515" s="21" t="s">
        <v>2272</v>
      </c>
      <c r="P2515" s="21" t="s">
        <v>2272</v>
      </c>
      <c r="Q2515" s="21" t="s">
        <v>2272</v>
      </c>
      <c r="R2515" s="21" t="s">
        <v>2272</v>
      </c>
      <c r="S2515" s="21" t="s">
        <v>2272</v>
      </c>
      <c r="T2515" s="21" t="s">
        <v>2272</v>
      </c>
      <c r="U2515" s="21" t="s">
        <v>2272</v>
      </c>
      <c r="V2515" s="21" t="s">
        <v>2272</v>
      </c>
      <c r="W2515" s="21" t="s">
        <v>2272</v>
      </c>
      <c r="X2515" s="21" t="s">
        <v>2272</v>
      </c>
      <c r="Y2515" s="21" t="s">
        <v>2272</v>
      </c>
      <c r="Z2515" s="21" t="s">
        <v>2272</v>
      </c>
      <c r="AA2515" s="21" t="s">
        <v>2272</v>
      </c>
      <c r="AB2515" s="198"/>
      <c r="AC2515" s="198"/>
    </row>
    <row r="2516" spans="1:29" ht="47.5" customHeight="1">
      <c r="A2516" s="151" t="str">
        <f>'Reported burning'!A2516</f>
        <v>288d</v>
      </c>
      <c r="B2516" s="151" t="str">
        <f>'Reported burning'!B2516</f>
        <v>288d.1</v>
      </c>
      <c r="C2516" s="151" t="str">
        <f>'Reported burning'!C2516</f>
        <v>Human, deliberate</v>
      </c>
      <c r="D2516" s="151" t="str">
        <f>'Reported burning'!D2516</f>
        <v>Crop residue burning</v>
      </c>
      <c r="E2516" s="151" t="str">
        <f>'Reported burning'!E2516</f>
        <v>Forestry, Industrial</v>
      </c>
      <c r="F2516" s="151" t="str">
        <f>'Reported burning'!F2516</f>
        <v>Forest</v>
      </c>
      <c r="G2516" s="151" t="str">
        <f>'Reported burning'!G2516</f>
        <v>Forest</v>
      </c>
      <c r="H2516" s="151" t="str">
        <f>'Reported burning'!H2516</f>
        <v>Presence</v>
      </c>
      <c r="I2516" s="5"/>
      <c r="J2516" s="21" t="s">
        <v>2272</v>
      </c>
      <c r="K2516" s="21" t="s">
        <v>2272</v>
      </c>
      <c r="L2516" s="21" t="s">
        <v>2272</v>
      </c>
      <c r="M2516" s="21" t="s">
        <v>2272</v>
      </c>
      <c r="N2516" s="21" t="s">
        <v>2272</v>
      </c>
      <c r="O2516" s="21" t="s">
        <v>2272</v>
      </c>
      <c r="P2516" s="21" t="s">
        <v>2272</v>
      </c>
      <c r="Q2516" s="21" t="s">
        <v>2272</v>
      </c>
      <c r="R2516" s="21" t="s">
        <v>2272</v>
      </c>
      <c r="S2516" s="21" t="s">
        <v>2272</v>
      </c>
      <c r="T2516" s="21" t="s">
        <v>2272</v>
      </c>
      <c r="U2516" s="21" t="s">
        <v>2272</v>
      </c>
      <c r="V2516" s="21" t="s">
        <v>2272</v>
      </c>
      <c r="W2516" s="21" t="s">
        <v>2272</v>
      </c>
      <c r="X2516" s="21" t="s">
        <v>2272</v>
      </c>
      <c r="Y2516" s="21" t="s">
        <v>2272</v>
      </c>
      <c r="Z2516" s="21" t="s">
        <v>2272</v>
      </c>
      <c r="AA2516" s="21" t="s">
        <v>2272</v>
      </c>
      <c r="AB2516" s="198"/>
      <c r="AC2516" s="198"/>
    </row>
    <row r="2517" spans="1:29" s="197" customFormat="1" ht="47.5" customHeight="1">
      <c r="A2517" s="151" t="str">
        <f>'Reported burning'!A2517</f>
        <v>288d</v>
      </c>
      <c r="B2517" s="151" t="str">
        <f>'Reported burning'!B2517</f>
        <v>288d.2</v>
      </c>
      <c r="C2517" s="151" t="str">
        <f>'Reported burning'!C2517</f>
        <v>Human, deliberate</v>
      </c>
      <c r="D2517" s="151" t="str">
        <f>'Reported burning'!D2517</f>
        <v>Pyrome management</v>
      </c>
      <c r="E2517" s="151" t="str">
        <f>'Reported burning'!E2517</f>
        <v>Forestry, Industrial</v>
      </c>
      <c r="F2517" s="151" t="str">
        <f>'Reported burning'!F2517</f>
        <v>Forest</v>
      </c>
      <c r="G2517" s="151" t="str">
        <f>'Reported burning'!G2517</f>
        <v>Forest</v>
      </c>
      <c r="H2517" s="151" t="str">
        <f>'Reported burning'!H2517</f>
        <v>Presence</v>
      </c>
      <c r="I2517" s="5"/>
      <c r="J2517" s="21" t="s">
        <v>2272</v>
      </c>
      <c r="K2517" s="21" t="s">
        <v>2272</v>
      </c>
      <c r="L2517" s="21" t="s">
        <v>2272</v>
      </c>
      <c r="M2517" s="21" t="s">
        <v>2272</v>
      </c>
      <c r="N2517" s="21" t="s">
        <v>2272</v>
      </c>
      <c r="O2517" s="21" t="s">
        <v>2272</v>
      </c>
      <c r="P2517" s="21" t="s">
        <v>2272</v>
      </c>
      <c r="Q2517" s="21" t="s">
        <v>2272</v>
      </c>
      <c r="R2517" s="21" t="s">
        <v>2272</v>
      </c>
      <c r="S2517" s="21" t="s">
        <v>2272</v>
      </c>
      <c r="T2517" s="21" t="s">
        <v>2272</v>
      </c>
      <c r="U2517" s="21" t="s">
        <v>2272</v>
      </c>
      <c r="V2517" s="21" t="s">
        <v>2272</v>
      </c>
      <c r="W2517" s="21" t="s">
        <v>2272</v>
      </c>
      <c r="X2517" s="21" t="s">
        <v>2272</v>
      </c>
      <c r="Y2517" s="21" t="s">
        <v>2272</v>
      </c>
      <c r="Z2517" s="21" t="s">
        <v>2272</v>
      </c>
      <c r="AA2517" s="21" t="s">
        <v>2272</v>
      </c>
      <c r="AB2517" s="198"/>
      <c r="AC2517" s="198"/>
    </row>
    <row r="2518" spans="1:29" ht="47.5" customHeight="1">
      <c r="A2518" s="151" t="str">
        <f>'Reported burning'!A2518</f>
        <v>288e</v>
      </c>
      <c r="B2518" s="151" t="str">
        <f>'Reported burning'!B2518</f>
        <v>288e.1</v>
      </c>
      <c r="C2518" s="151" t="str">
        <f>'Reported burning'!C2518</f>
        <v>Human, deliberate</v>
      </c>
      <c r="D2518" s="151" t="str">
        <f>'Reported burning'!D2518</f>
        <v>Crop residue burning</v>
      </c>
      <c r="E2518" s="151" t="str">
        <f>'Reported burning'!E2518</f>
        <v>Forestry, Industrial</v>
      </c>
      <c r="F2518" s="151" t="str">
        <f>'Reported burning'!F2518</f>
        <v>Forest</v>
      </c>
      <c r="G2518" s="151" t="str">
        <f>'Reported burning'!G2518</f>
        <v>Forest</v>
      </c>
      <c r="H2518" s="151" t="str">
        <f>'Reported burning'!H2518</f>
        <v>Presence</v>
      </c>
      <c r="I2518" s="5"/>
      <c r="J2518" s="21" t="s">
        <v>2272</v>
      </c>
      <c r="K2518" s="21" t="s">
        <v>2272</v>
      </c>
      <c r="L2518" s="21" t="s">
        <v>2272</v>
      </c>
      <c r="M2518" s="21" t="s">
        <v>2272</v>
      </c>
      <c r="N2518" s="21" t="s">
        <v>2272</v>
      </c>
      <c r="O2518" s="21" t="s">
        <v>2272</v>
      </c>
      <c r="P2518" s="21" t="s">
        <v>2272</v>
      </c>
      <c r="Q2518" s="21" t="s">
        <v>2272</v>
      </c>
      <c r="R2518" s="21" t="s">
        <v>2272</v>
      </c>
      <c r="S2518" s="21" t="s">
        <v>2272</v>
      </c>
      <c r="T2518" s="21" t="s">
        <v>2272</v>
      </c>
      <c r="U2518" s="21" t="s">
        <v>2272</v>
      </c>
      <c r="V2518" s="21" t="s">
        <v>2272</v>
      </c>
      <c r="W2518" s="21" t="s">
        <v>2272</v>
      </c>
      <c r="X2518" s="21" t="s">
        <v>2272</v>
      </c>
      <c r="Y2518" s="21" t="s">
        <v>2272</v>
      </c>
      <c r="Z2518" s="21" t="s">
        <v>2272</v>
      </c>
      <c r="AA2518" s="21" t="s">
        <v>2272</v>
      </c>
      <c r="AB2518" s="198"/>
      <c r="AC2518" s="198"/>
    </row>
    <row r="2519" spans="1:29" s="197" customFormat="1" ht="47.5" customHeight="1">
      <c r="A2519" s="151" t="str">
        <f>'Reported burning'!A2519</f>
        <v>288f</v>
      </c>
      <c r="B2519" s="151" t="str">
        <f>'Reported burning'!B2519</f>
        <v>288f.1</v>
      </c>
      <c r="C2519" s="151" t="str">
        <f>'Reported burning'!C2519</f>
        <v>Human, deliberate</v>
      </c>
      <c r="D2519" s="151" t="str">
        <f>'Reported burning'!D2519</f>
        <v>Crop residue burning</v>
      </c>
      <c r="E2519" s="151" t="str">
        <f>'Reported burning'!E2519</f>
        <v>Forestry, Industrial</v>
      </c>
      <c r="F2519" s="151" t="str">
        <f>'Reported burning'!F2519</f>
        <v>Forest</v>
      </c>
      <c r="G2519" s="151" t="str">
        <f>'Reported burning'!G2519</f>
        <v>Forest</v>
      </c>
      <c r="H2519" s="151" t="str">
        <f>'Reported burning'!H2519</f>
        <v>Presence</v>
      </c>
      <c r="I2519" s="5"/>
      <c r="J2519" s="21" t="s">
        <v>2272</v>
      </c>
      <c r="K2519" s="21" t="s">
        <v>2272</v>
      </c>
      <c r="L2519" s="21" t="s">
        <v>2272</v>
      </c>
      <c r="M2519" s="21" t="s">
        <v>2272</v>
      </c>
      <c r="N2519" s="21" t="s">
        <v>2272</v>
      </c>
      <c r="O2519" s="21" t="s">
        <v>2272</v>
      </c>
      <c r="P2519" s="21" t="s">
        <v>2272</v>
      </c>
      <c r="Q2519" s="21" t="s">
        <v>2272</v>
      </c>
      <c r="R2519" s="21" t="s">
        <v>2272</v>
      </c>
      <c r="S2519" s="21" t="s">
        <v>2272</v>
      </c>
      <c r="T2519" s="21" t="s">
        <v>2272</v>
      </c>
      <c r="U2519" s="21" t="s">
        <v>2272</v>
      </c>
      <c r="V2519" s="21" t="s">
        <v>2272</v>
      </c>
      <c r="W2519" s="21" t="s">
        <v>2272</v>
      </c>
      <c r="X2519" s="21" t="s">
        <v>2272</v>
      </c>
      <c r="Y2519" s="21" t="s">
        <v>2272</v>
      </c>
      <c r="Z2519" s="21" t="s">
        <v>2272</v>
      </c>
      <c r="AA2519" s="21" t="s">
        <v>2272</v>
      </c>
      <c r="AB2519" s="198"/>
      <c r="AC2519" s="198"/>
    </row>
    <row r="2520" spans="1:29" ht="47.5" customHeight="1">
      <c r="A2520" s="151" t="str">
        <f>'Reported burning'!A2520</f>
        <v>288g</v>
      </c>
      <c r="B2520" s="151" t="str">
        <f>'Reported burning'!B2520</f>
        <v>288g.1</v>
      </c>
      <c r="C2520" s="151" t="str">
        <f>'Reported burning'!C2520</f>
        <v>Human, deliberate</v>
      </c>
      <c r="D2520" s="151" t="str">
        <f>'Reported burning'!D2520</f>
        <v>Crop residue burning</v>
      </c>
      <c r="E2520" s="151" t="str">
        <f>'Reported burning'!E2520</f>
        <v>Forestry, Industrial</v>
      </c>
      <c r="F2520" s="151" t="str">
        <f>'Reported burning'!F2520</f>
        <v>Forest</v>
      </c>
      <c r="G2520" s="151" t="str">
        <f>'Reported burning'!G2520</f>
        <v>Forest</v>
      </c>
      <c r="H2520" s="151" t="str">
        <f>'Reported burning'!H2520</f>
        <v>Presence</v>
      </c>
      <c r="I2520" s="5"/>
      <c r="J2520" s="21" t="s">
        <v>2272</v>
      </c>
      <c r="K2520" s="21" t="s">
        <v>2272</v>
      </c>
      <c r="L2520" s="21" t="s">
        <v>2272</v>
      </c>
      <c r="M2520" s="21" t="s">
        <v>2272</v>
      </c>
      <c r="N2520" s="21" t="s">
        <v>2272</v>
      </c>
      <c r="O2520" s="21" t="s">
        <v>2272</v>
      </c>
      <c r="P2520" s="21" t="s">
        <v>2272</v>
      </c>
      <c r="Q2520" s="21" t="s">
        <v>2272</v>
      </c>
      <c r="R2520" s="21" t="s">
        <v>2272</v>
      </c>
      <c r="S2520" s="21" t="s">
        <v>2272</v>
      </c>
      <c r="T2520" s="21" t="s">
        <v>2272</v>
      </c>
      <c r="U2520" s="21" t="s">
        <v>2272</v>
      </c>
      <c r="V2520" s="21" t="s">
        <v>2272</v>
      </c>
      <c r="W2520" s="21" t="s">
        <v>2272</v>
      </c>
      <c r="X2520" s="21" t="s">
        <v>2272</v>
      </c>
      <c r="Y2520" s="21" t="s">
        <v>2272</v>
      </c>
      <c r="Z2520" s="21" t="s">
        <v>2272</v>
      </c>
      <c r="AA2520" s="21" t="s">
        <v>2272</v>
      </c>
      <c r="AB2520" s="198"/>
      <c r="AC2520" s="198"/>
    </row>
    <row r="2521" spans="1:29" ht="47.5" customHeight="1">
      <c r="A2521" s="151" t="str">
        <f>'Reported burning'!A2521</f>
        <v>288g</v>
      </c>
      <c r="B2521" s="151" t="str">
        <f>'Reported burning'!B2521</f>
        <v>288g.2</v>
      </c>
      <c r="C2521" s="151" t="str">
        <f>'Reported burning'!C2521</f>
        <v>Human, deliberate</v>
      </c>
      <c r="D2521" s="151" t="str">
        <f>'Reported burning'!D2521</f>
        <v>Pyrome management</v>
      </c>
      <c r="E2521" s="151" t="str">
        <f>'Reported burning'!E2521</f>
        <v>Forestry, Industrial</v>
      </c>
      <c r="F2521" s="151" t="str">
        <f>'Reported burning'!F2521</f>
        <v>Forest</v>
      </c>
      <c r="G2521" s="151" t="str">
        <f>'Reported burning'!G2521</f>
        <v>Forest</v>
      </c>
      <c r="H2521" s="151" t="str">
        <f>'Reported burning'!H2521</f>
        <v>Presence</v>
      </c>
      <c r="I2521" s="5"/>
      <c r="J2521" s="21" t="s">
        <v>2272</v>
      </c>
      <c r="K2521" s="21" t="s">
        <v>2272</v>
      </c>
      <c r="L2521" s="21" t="s">
        <v>2272</v>
      </c>
      <c r="M2521" s="21" t="s">
        <v>2272</v>
      </c>
      <c r="N2521" s="21" t="s">
        <v>2272</v>
      </c>
      <c r="O2521" s="21" t="s">
        <v>2272</v>
      </c>
      <c r="P2521" s="21" t="s">
        <v>2272</v>
      </c>
      <c r="Q2521" s="21" t="s">
        <v>2272</v>
      </c>
      <c r="R2521" s="21" t="s">
        <v>2272</v>
      </c>
      <c r="S2521" s="21" t="s">
        <v>2272</v>
      </c>
      <c r="T2521" s="21" t="s">
        <v>2272</v>
      </c>
      <c r="U2521" s="21" t="s">
        <v>2272</v>
      </c>
      <c r="V2521" s="21" t="s">
        <v>2272</v>
      </c>
      <c r="W2521" s="21" t="s">
        <v>2272</v>
      </c>
      <c r="X2521" s="21" t="s">
        <v>2272</v>
      </c>
      <c r="Y2521" s="21" t="s">
        <v>2272</v>
      </c>
      <c r="Z2521" s="21" t="s">
        <v>2272</v>
      </c>
      <c r="AA2521" s="21" t="s">
        <v>2272</v>
      </c>
      <c r="AB2521" s="198"/>
      <c r="AC2521" s="198"/>
    </row>
    <row r="2522" spans="1:29" ht="47.5" customHeight="1">
      <c r="A2522" s="151" t="str">
        <f>'Reported burning'!A2522</f>
        <v>288h</v>
      </c>
      <c r="B2522" s="151" t="str">
        <f>'Reported burning'!B2522</f>
        <v>288h.1</v>
      </c>
      <c r="C2522" s="151" t="str">
        <f>'Reported burning'!C2522</f>
        <v>Human, deliberate</v>
      </c>
      <c r="D2522" s="151" t="str">
        <f>'Reported burning'!D2522</f>
        <v>Crop residue burning</v>
      </c>
      <c r="E2522" s="151" t="str">
        <f>'Reported burning'!E2522</f>
        <v>Forestry, Industrial</v>
      </c>
      <c r="F2522" s="151" t="str">
        <f>'Reported burning'!F2522</f>
        <v>Forest</v>
      </c>
      <c r="G2522" s="151" t="str">
        <f>'Reported burning'!G2522</f>
        <v>Forest</v>
      </c>
      <c r="H2522" s="151" t="str">
        <f>'Reported burning'!H2522</f>
        <v>Presence</v>
      </c>
      <c r="I2522" s="5"/>
      <c r="J2522" s="21" t="s">
        <v>2272</v>
      </c>
      <c r="K2522" s="21" t="s">
        <v>2272</v>
      </c>
      <c r="L2522" s="21" t="s">
        <v>2272</v>
      </c>
      <c r="M2522" s="21" t="s">
        <v>2272</v>
      </c>
      <c r="N2522" s="21" t="s">
        <v>2272</v>
      </c>
      <c r="O2522" s="21" t="s">
        <v>2272</v>
      </c>
      <c r="P2522" s="21" t="s">
        <v>2272</v>
      </c>
      <c r="Q2522" s="21" t="s">
        <v>2272</v>
      </c>
      <c r="R2522" s="21" t="s">
        <v>2272</v>
      </c>
      <c r="S2522" s="21" t="s">
        <v>2272</v>
      </c>
      <c r="T2522" s="21" t="s">
        <v>2272</v>
      </c>
      <c r="U2522" s="21" t="s">
        <v>2272</v>
      </c>
      <c r="V2522" s="21" t="s">
        <v>2272</v>
      </c>
      <c r="W2522" s="21" t="s">
        <v>2272</v>
      </c>
      <c r="X2522" s="21" t="s">
        <v>2272</v>
      </c>
      <c r="Y2522" s="21" t="s">
        <v>2272</v>
      </c>
      <c r="Z2522" s="21" t="s">
        <v>2272</v>
      </c>
      <c r="AA2522" s="21" t="s">
        <v>2272</v>
      </c>
      <c r="AB2522" s="198"/>
      <c r="AC2522" s="198"/>
    </row>
    <row r="2523" spans="1:29" s="197" customFormat="1" ht="47.5" customHeight="1">
      <c r="A2523" s="151" t="str">
        <f>'Reported burning'!A2523</f>
        <v>288i</v>
      </c>
      <c r="B2523" s="151" t="str">
        <f>'Reported burning'!B2523</f>
        <v>288i.1</v>
      </c>
      <c r="C2523" s="151" t="str">
        <f>'Reported burning'!C2523</f>
        <v>Human, deliberate</v>
      </c>
      <c r="D2523" s="151" t="str">
        <f>'Reported burning'!D2523</f>
        <v>Crop residue burning</v>
      </c>
      <c r="E2523" s="151" t="str">
        <f>'Reported burning'!E2523</f>
        <v>Forestry, Industrial</v>
      </c>
      <c r="F2523" s="151" t="str">
        <f>'Reported burning'!F2523</f>
        <v>Forest</v>
      </c>
      <c r="G2523" s="151" t="str">
        <f>'Reported burning'!G2523</f>
        <v>Forest</v>
      </c>
      <c r="H2523" s="151" t="str">
        <f>'Reported burning'!H2523</f>
        <v>Presence</v>
      </c>
      <c r="I2523" s="5"/>
      <c r="J2523" s="21" t="s">
        <v>2272</v>
      </c>
      <c r="K2523" s="21" t="s">
        <v>2272</v>
      </c>
      <c r="L2523" s="21" t="s">
        <v>2272</v>
      </c>
      <c r="M2523" s="21" t="s">
        <v>2272</v>
      </c>
      <c r="N2523" s="21" t="s">
        <v>2272</v>
      </c>
      <c r="O2523" s="21" t="s">
        <v>2272</v>
      </c>
      <c r="P2523" s="21" t="s">
        <v>2272</v>
      </c>
      <c r="Q2523" s="21" t="s">
        <v>2272</v>
      </c>
      <c r="R2523" s="21" t="s">
        <v>2272</v>
      </c>
      <c r="S2523" s="21" t="s">
        <v>2272</v>
      </c>
      <c r="T2523" s="21" t="s">
        <v>2272</v>
      </c>
      <c r="U2523" s="21" t="s">
        <v>2272</v>
      </c>
      <c r="V2523" s="21" t="s">
        <v>2272</v>
      </c>
      <c r="W2523" s="21" t="s">
        <v>2272</v>
      </c>
      <c r="X2523" s="21" t="s">
        <v>2272</v>
      </c>
      <c r="Y2523" s="21" t="s">
        <v>2272</v>
      </c>
      <c r="Z2523" s="21" t="s">
        <v>2272</v>
      </c>
      <c r="AA2523" s="21" t="s">
        <v>2272</v>
      </c>
      <c r="AB2523" s="198"/>
      <c r="AC2523" s="198"/>
    </row>
    <row r="2524" spans="1:29" ht="47.5" customHeight="1">
      <c r="A2524" s="151" t="str">
        <f>'Reported burning'!A2524</f>
        <v>288j</v>
      </c>
      <c r="B2524" s="151" t="str">
        <f>'Reported burning'!B2524</f>
        <v>288j.1</v>
      </c>
      <c r="C2524" s="151" t="str">
        <f>'Reported burning'!C2524</f>
        <v>Human, deliberate</v>
      </c>
      <c r="D2524" s="151" t="str">
        <f>'Reported burning'!D2524</f>
        <v>Crop residue burning</v>
      </c>
      <c r="E2524" s="151" t="str">
        <f>'Reported burning'!E2524</f>
        <v>Forestry, Industrial</v>
      </c>
      <c r="F2524" s="151" t="str">
        <f>'Reported burning'!F2524</f>
        <v>Forest</v>
      </c>
      <c r="G2524" s="151" t="str">
        <f>'Reported burning'!G2524</f>
        <v>Forest</v>
      </c>
      <c r="H2524" s="151" t="str">
        <f>'Reported burning'!H2524</f>
        <v>Presence</v>
      </c>
      <c r="I2524" s="5"/>
      <c r="J2524" s="21" t="s">
        <v>2272</v>
      </c>
      <c r="K2524" s="21" t="s">
        <v>2272</v>
      </c>
      <c r="L2524" s="21" t="s">
        <v>2272</v>
      </c>
      <c r="M2524" s="21" t="s">
        <v>2272</v>
      </c>
      <c r="N2524" s="21" t="s">
        <v>2272</v>
      </c>
      <c r="O2524" s="21" t="s">
        <v>2272</v>
      </c>
      <c r="P2524" s="21" t="s">
        <v>2272</v>
      </c>
      <c r="Q2524" s="21" t="s">
        <v>2272</v>
      </c>
      <c r="R2524" s="21" t="s">
        <v>2272</v>
      </c>
      <c r="S2524" s="21" t="s">
        <v>2272</v>
      </c>
      <c r="T2524" s="21" t="s">
        <v>2272</v>
      </c>
      <c r="U2524" s="21" t="s">
        <v>2272</v>
      </c>
      <c r="V2524" s="21" t="s">
        <v>2272</v>
      </c>
      <c r="W2524" s="21" t="s">
        <v>2272</v>
      </c>
      <c r="X2524" s="21" t="s">
        <v>2272</v>
      </c>
      <c r="Y2524" s="21" t="s">
        <v>2272</v>
      </c>
      <c r="Z2524" s="21" t="s">
        <v>2272</v>
      </c>
      <c r="AA2524" s="21" t="s">
        <v>2272</v>
      </c>
      <c r="AB2524" s="198"/>
      <c r="AC2524" s="198"/>
    </row>
    <row r="2525" spans="1:29" ht="47.5" customHeight="1">
      <c r="A2525" s="151" t="str">
        <f>'Reported burning'!A2525</f>
        <v>288j</v>
      </c>
      <c r="B2525" s="151" t="str">
        <f>'Reported burning'!B2525</f>
        <v>288j.2</v>
      </c>
      <c r="C2525" s="151" t="str">
        <f>'Reported burning'!C2525</f>
        <v>Human, deliberate</v>
      </c>
      <c r="D2525" s="151" t="str">
        <f>'Reported burning'!D2525</f>
        <v>Pyrome management</v>
      </c>
      <c r="E2525" s="151" t="str">
        <f>'Reported burning'!E2525</f>
        <v>Forestry, Industrial</v>
      </c>
      <c r="F2525" s="151" t="str">
        <f>'Reported burning'!F2525</f>
        <v>Forest</v>
      </c>
      <c r="G2525" s="151" t="str">
        <f>'Reported burning'!G2525</f>
        <v>Forest</v>
      </c>
      <c r="H2525" s="151" t="str">
        <f>'Reported burning'!H2525</f>
        <v>Presence</v>
      </c>
      <c r="I2525" s="5"/>
      <c r="J2525" s="21" t="s">
        <v>2272</v>
      </c>
      <c r="K2525" s="21" t="s">
        <v>2272</v>
      </c>
      <c r="L2525" s="21" t="s">
        <v>2272</v>
      </c>
      <c r="M2525" s="21" t="s">
        <v>2272</v>
      </c>
      <c r="N2525" s="21" t="s">
        <v>2272</v>
      </c>
      <c r="O2525" s="21" t="s">
        <v>2272</v>
      </c>
      <c r="P2525" s="21" t="s">
        <v>2272</v>
      </c>
      <c r="Q2525" s="21" t="s">
        <v>2272</v>
      </c>
      <c r="R2525" s="21" t="s">
        <v>2272</v>
      </c>
      <c r="S2525" s="21" t="s">
        <v>2272</v>
      </c>
      <c r="T2525" s="21" t="s">
        <v>2272</v>
      </c>
      <c r="U2525" s="21" t="s">
        <v>2272</v>
      </c>
      <c r="V2525" s="21" t="s">
        <v>2272</v>
      </c>
      <c r="W2525" s="21" t="s">
        <v>2272</v>
      </c>
      <c r="X2525" s="21" t="s">
        <v>2272</v>
      </c>
      <c r="Y2525" s="21" t="s">
        <v>2272</v>
      </c>
      <c r="Z2525" s="21" t="s">
        <v>2272</v>
      </c>
      <c r="AA2525" s="21" t="s">
        <v>2272</v>
      </c>
      <c r="AB2525" s="198"/>
      <c r="AC2525" s="198"/>
    </row>
    <row r="2526" spans="1:29" ht="47.5" customHeight="1">
      <c r="A2526" s="151" t="str">
        <f>'Reported burning'!A2526</f>
        <v>288k</v>
      </c>
      <c r="B2526" s="151" t="str">
        <f>'Reported burning'!B2526</f>
        <v>288k.1</v>
      </c>
      <c r="C2526" s="151" t="str">
        <f>'Reported burning'!C2526</f>
        <v>Human, deliberate</v>
      </c>
      <c r="D2526" s="151" t="str">
        <f>'Reported burning'!D2526</f>
        <v>Crop residue burning</v>
      </c>
      <c r="E2526" s="151" t="str">
        <f>'Reported burning'!E2526</f>
        <v>Forestry, Industrial</v>
      </c>
      <c r="F2526" s="151" t="str">
        <f>'Reported burning'!F2526</f>
        <v>Forest</v>
      </c>
      <c r="G2526" s="151" t="str">
        <f>'Reported burning'!G2526</f>
        <v>Forest</v>
      </c>
      <c r="H2526" s="151" t="str">
        <f>'Reported burning'!H2526</f>
        <v>Presence</v>
      </c>
      <c r="I2526" s="5"/>
      <c r="J2526" s="21" t="s">
        <v>2272</v>
      </c>
      <c r="K2526" s="21" t="s">
        <v>2272</v>
      </c>
      <c r="L2526" s="21" t="s">
        <v>2272</v>
      </c>
      <c r="M2526" s="21" t="s">
        <v>2272</v>
      </c>
      <c r="N2526" s="21" t="s">
        <v>2272</v>
      </c>
      <c r="O2526" s="21" t="s">
        <v>2272</v>
      </c>
      <c r="P2526" s="21" t="s">
        <v>2272</v>
      </c>
      <c r="Q2526" s="21" t="s">
        <v>2272</v>
      </c>
      <c r="R2526" s="21" t="s">
        <v>2272</v>
      </c>
      <c r="S2526" s="21" t="s">
        <v>2272</v>
      </c>
      <c r="T2526" s="21" t="s">
        <v>2272</v>
      </c>
      <c r="U2526" s="21" t="s">
        <v>2272</v>
      </c>
      <c r="V2526" s="21" t="s">
        <v>2272</v>
      </c>
      <c r="W2526" s="21" t="s">
        <v>2272</v>
      </c>
      <c r="X2526" s="21" t="s">
        <v>2272</v>
      </c>
      <c r="Y2526" s="21" t="s">
        <v>2272</v>
      </c>
      <c r="Z2526" s="21" t="s">
        <v>2272</v>
      </c>
      <c r="AA2526" s="21" t="s">
        <v>2272</v>
      </c>
      <c r="AB2526" s="198"/>
      <c r="AC2526" s="198"/>
    </row>
    <row r="2527" spans="1:29" s="197" customFormat="1" ht="47.5" customHeight="1">
      <c r="A2527" s="151" t="str">
        <f>'Reported burning'!A2527</f>
        <v>288k</v>
      </c>
      <c r="B2527" s="151" t="str">
        <f>'Reported burning'!B2527</f>
        <v>288k.2</v>
      </c>
      <c r="C2527" s="151" t="str">
        <f>'Reported burning'!C2527</f>
        <v>Human, deliberate</v>
      </c>
      <c r="D2527" s="151" t="str">
        <f>'Reported burning'!D2527</f>
        <v>Pyrome management</v>
      </c>
      <c r="E2527" s="151" t="str">
        <f>'Reported burning'!E2527</f>
        <v>Forestry, Industrial</v>
      </c>
      <c r="F2527" s="151" t="str">
        <f>'Reported burning'!F2527</f>
        <v>Forest</v>
      </c>
      <c r="G2527" s="151" t="str">
        <f>'Reported burning'!G2527</f>
        <v>Forest</v>
      </c>
      <c r="H2527" s="151" t="str">
        <f>'Reported burning'!H2527</f>
        <v>Presence</v>
      </c>
      <c r="I2527" s="5"/>
      <c r="J2527" s="21" t="s">
        <v>2272</v>
      </c>
      <c r="K2527" s="21" t="s">
        <v>2272</v>
      </c>
      <c r="L2527" s="21" t="s">
        <v>2272</v>
      </c>
      <c r="M2527" s="21" t="s">
        <v>2272</v>
      </c>
      <c r="N2527" s="21" t="s">
        <v>2272</v>
      </c>
      <c r="O2527" s="21" t="s">
        <v>2272</v>
      </c>
      <c r="P2527" s="21" t="s">
        <v>2272</v>
      </c>
      <c r="Q2527" s="21" t="s">
        <v>2272</v>
      </c>
      <c r="R2527" s="21" t="s">
        <v>2272</v>
      </c>
      <c r="S2527" s="21" t="s">
        <v>2272</v>
      </c>
      <c r="T2527" s="21" t="s">
        <v>2272</v>
      </c>
      <c r="U2527" s="21" t="s">
        <v>2272</v>
      </c>
      <c r="V2527" s="21" t="s">
        <v>2272</v>
      </c>
      <c r="W2527" s="21" t="s">
        <v>2272</v>
      </c>
      <c r="X2527" s="21" t="s">
        <v>2272</v>
      </c>
      <c r="Y2527" s="21" t="s">
        <v>2272</v>
      </c>
      <c r="Z2527" s="21" t="s">
        <v>2272</v>
      </c>
      <c r="AA2527" s="21" t="s">
        <v>2272</v>
      </c>
      <c r="AB2527" s="198"/>
      <c r="AC2527" s="198"/>
    </row>
    <row r="2528" spans="1:29" ht="47.5" customHeight="1">
      <c r="A2528" s="151" t="str">
        <f>'Reported burning'!A2528</f>
        <v>289a</v>
      </c>
      <c r="B2528" s="151" t="str">
        <f>'Reported burning'!B2528</f>
        <v>289a.1</v>
      </c>
      <c r="C2528" s="151" t="str">
        <f>'Reported burning'!C2528</f>
        <v>Human, escaped</v>
      </c>
      <c r="D2528" s="151" t="str">
        <f>'Reported burning'!D2528</f>
        <v>ND</v>
      </c>
      <c r="E2528" s="151" t="str">
        <f>'Reported burning'!E2528</f>
        <v>Tourism manager</v>
      </c>
      <c r="F2528" s="151" t="str">
        <f>'Reported burning'!F2528</f>
        <v>Forest</v>
      </c>
      <c r="G2528" s="151" t="str">
        <f>'Reported burning'!G2528</f>
        <v>Forest</v>
      </c>
      <c r="H2528" s="151" t="str">
        <f>'Reported burning'!H2528</f>
        <v>Presence</v>
      </c>
      <c r="I2528" s="5"/>
      <c r="J2528" s="21" t="s">
        <v>2272</v>
      </c>
      <c r="K2528" s="21" t="s">
        <v>2272</v>
      </c>
      <c r="L2528" s="21" t="s">
        <v>2272</v>
      </c>
      <c r="M2528" s="21" t="s">
        <v>2272</v>
      </c>
      <c r="N2528" s="21" t="s">
        <v>2272</v>
      </c>
      <c r="O2528" s="21" t="s">
        <v>2272</v>
      </c>
      <c r="P2528" s="21" t="s">
        <v>2272</v>
      </c>
      <c r="Q2528" s="21" t="s">
        <v>2272</v>
      </c>
      <c r="R2528" s="21" t="s">
        <v>2272</v>
      </c>
      <c r="S2528" s="21" t="s">
        <v>2272</v>
      </c>
      <c r="T2528" s="21" t="s">
        <v>2272</v>
      </c>
      <c r="U2528" s="21" t="s">
        <v>2272</v>
      </c>
      <c r="V2528" s="21" t="s">
        <v>2272</v>
      </c>
      <c r="W2528" s="21" t="s">
        <v>2272</v>
      </c>
      <c r="X2528" s="21" t="s">
        <v>2272</v>
      </c>
      <c r="Y2528" s="198" t="str">
        <f>'Reported burning'!AA2528</f>
        <v>March</v>
      </c>
      <c r="Z2528" s="198" t="str">
        <f>'Reported burning'!AB2528</f>
        <v>October</v>
      </c>
      <c r="AA2528" s="198" t="str">
        <f>'Reported burning'!AC2528</f>
        <v>ND</v>
      </c>
      <c r="AB2528" s="198"/>
      <c r="AC2528" s="198"/>
    </row>
    <row r="2529" spans="1:29" s="197" customFormat="1" ht="47.5" customHeight="1">
      <c r="A2529" s="151" t="str">
        <f>'Reported burning'!A2529</f>
        <v>289a</v>
      </c>
      <c r="B2529" s="151" t="str">
        <f>'Reported burning'!B2529</f>
        <v>289a.2</v>
      </c>
      <c r="C2529" s="151" t="str">
        <f>'Reported burning'!C2529</f>
        <v>Lightning</v>
      </c>
      <c r="D2529" s="151" t="str">
        <f>'Reported burning'!D2529</f>
        <v>ND</v>
      </c>
      <c r="E2529" s="151" t="str">
        <f>'Reported burning'!E2529</f>
        <v>Biodiversity conservation</v>
      </c>
      <c r="F2529" s="151" t="str">
        <f>'Reported burning'!F2529</f>
        <v>Forest</v>
      </c>
      <c r="G2529" s="151" t="str">
        <f>'Reported burning'!G2529</f>
        <v>Forest</v>
      </c>
      <c r="H2529" s="151" t="str">
        <f>'Reported burning'!H2529</f>
        <v>Presence</v>
      </c>
      <c r="I2529" s="5"/>
      <c r="J2529" s="21" t="s">
        <v>2272</v>
      </c>
      <c r="K2529" s="21" t="s">
        <v>2272</v>
      </c>
      <c r="L2529" s="21" t="s">
        <v>2272</v>
      </c>
      <c r="M2529" s="21" t="s">
        <v>2272</v>
      </c>
      <c r="N2529" s="21" t="s">
        <v>2272</v>
      </c>
      <c r="O2529" s="21" t="s">
        <v>2272</v>
      </c>
      <c r="P2529" s="21" t="s">
        <v>2272</v>
      </c>
      <c r="Q2529" s="21" t="s">
        <v>2272</v>
      </c>
      <c r="R2529" s="21" t="s">
        <v>2272</v>
      </c>
      <c r="S2529" s="21" t="s">
        <v>2272</v>
      </c>
      <c r="T2529" s="21" t="s">
        <v>2272</v>
      </c>
      <c r="U2529" s="21" t="s">
        <v>2272</v>
      </c>
      <c r="V2529" s="21" t="s">
        <v>2272</v>
      </c>
      <c r="W2529" s="21" t="s">
        <v>2272</v>
      </c>
      <c r="X2529" s="21" t="s">
        <v>2272</v>
      </c>
      <c r="Y2529" s="198" t="str">
        <f>'Reported burning'!AA2529</f>
        <v>March</v>
      </c>
      <c r="Z2529" s="198" t="str">
        <f>'Reported burning'!AB2529</f>
        <v>October</v>
      </c>
      <c r="AA2529" s="198" t="str">
        <f>'Reported burning'!AC2529</f>
        <v>ND</v>
      </c>
      <c r="AB2529" s="198"/>
      <c r="AC2529" s="198"/>
    </row>
    <row r="2530" spans="1:29" ht="47.5" customHeight="1">
      <c r="A2530" s="151" t="str">
        <f>'Reported burning'!A2530</f>
        <v>289a</v>
      </c>
      <c r="B2530" s="151" t="str">
        <f>'Reported burning'!B2530</f>
        <v>289a.3</v>
      </c>
      <c r="C2530" s="151" t="str">
        <f>'Reported burning'!C2530</f>
        <v>All</v>
      </c>
      <c r="D2530" s="151" t="str">
        <f>'Reported burning'!D2530</f>
        <v>ND</v>
      </c>
      <c r="E2530" s="151" t="str">
        <f>'Reported burning'!E2530</f>
        <v>All</v>
      </c>
      <c r="F2530" s="151" t="str">
        <f>'Reported burning'!F2530</f>
        <v>Forest</v>
      </c>
      <c r="G2530" s="151" t="str">
        <f>'Reported burning'!G2530</f>
        <v>Forest</v>
      </c>
      <c r="H2530" s="151" t="str">
        <f>'Reported burning'!H2530</f>
        <v>Presence</v>
      </c>
      <c r="I2530" s="5"/>
      <c r="J2530" s="21" t="s">
        <v>2272</v>
      </c>
      <c r="K2530" s="21" t="s">
        <v>2363</v>
      </c>
      <c r="L2530" s="21" t="s">
        <v>2272</v>
      </c>
      <c r="M2530" s="21" t="s">
        <v>2358</v>
      </c>
      <c r="N2530" s="21" t="s">
        <v>2272</v>
      </c>
      <c r="O2530" s="21" t="s">
        <v>2272</v>
      </c>
      <c r="P2530" s="21" t="s">
        <v>2272</v>
      </c>
      <c r="Q2530" s="21" t="s">
        <v>2272</v>
      </c>
      <c r="R2530" s="21" t="s">
        <v>2272</v>
      </c>
      <c r="S2530" s="21" t="s">
        <v>2370</v>
      </c>
      <c r="T2530" s="21" t="s">
        <v>2272</v>
      </c>
      <c r="U2530" s="21" t="s">
        <v>2272</v>
      </c>
      <c r="V2530" s="21" t="s">
        <v>2272</v>
      </c>
      <c r="W2530" s="21" t="s">
        <v>2272</v>
      </c>
      <c r="X2530" s="21" t="s">
        <v>2272</v>
      </c>
      <c r="Y2530" s="198" t="str">
        <f>'Reported burning'!AA2530</f>
        <v>March</v>
      </c>
      <c r="Z2530" s="198" t="str">
        <f>'Reported burning'!AB2530</f>
        <v>October</v>
      </c>
      <c r="AA2530" s="198" t="str">
        <f>'Reported burning'!AC2530</f>
        <v>ND</v>
      </c>
      <c r="AB2530" s="198"/>
      <c r="AC2530" s="4" t="s">
        <v>7847</v>
      </c>
    </row>
    <row r="2531" spans="1:29" ht="47.5" customHeight="1">
      <c r="A2531" s="151" t="str">
        <f>'Reported burning'!A2531</f>
        <v>289b</v>
      </c>
      <c r="B2531" s="151" t="str">
        <f>'Reported burning'!B2531</f>
        <v>289b.1</v>
      </c>
      <c r="C2531" s="151" t="str">
        <f>'Reported burning'!C2531</f>
        <v>Human, escaped</v>
      </c>
      <c r="D2531" s="151" t="str">
        <f>'Reported burning'!D2531</f>
        <v>ND</v>
      </c>
      <c r="E2531" s="151" t="str">
        <f>'Reported burning'!E2531</f>
        <v>Forestry, Industrial</v>
      </c>
      <c r="F2531" s="151" t="str">
        <f>'Reported burning'!F2531</f>
        <v>Forest</v>
      </c>
      <c r="G2531" s="151" t="str">
        <f>'Reported burning'!G2531</f>
        <v>Forest</v>
      </c>
      <c r="H2531" s="151" t="str">
        <f>'Reported burning'!H2531</f>
        <v>Presence</v>
      </c>
      <c r="I2531" s="5"/>
      <c r="J2531" s="21" t="s">
        <v>2272</v>
      </c>
      <c r="K2531" s="21" t="s">
        <v>2272</v>
      </c>
      <c r="L2531" s="21" t="s">
        <v>2272</v>
      </c>
      <c r="M2531" s="21" t="s">
        <v>2272</v>
      </c>
      <c r="N2531" s="21" t="s">
        <v>2272</v>
      </c>
      <c r="O2531" s="21" t="s">
        <v>2272</v>
      </c>
      <c r="P2531" s="21" t="s">
        <v>2272</v>
      </c>
      <c r="Q2531" s="21" t="s">
        <v>2272</v>
      </c>
      <c r="R2531" s="21" t="s">
        <v>2272</v>
      </c>
      <c r="S2531" s="21" t="s">
        <v>2272</v>
      </c>
      <c r="T2531" s="21" t="s">
        <v>2272</v>
      </c>
      <c r="U2531" s="21" t="s">
        <v>2272</v>
      </c>
      <c r="V2531" s="21" t="s">
        <v>2272</v>
      </c>
      <c r="W2531" s="21" t="s">
        <v>2272</v>
      </c>
      <c r="X2531" s="21" t="s">
        <v>2272</v>
      </c>
      <c r="Y2531" s="198" t="str">
        <f>'Reported burning'!AA2531</f>
        <v>March</v>
      </c>
      <c r="Z2531" s="198" t="str">
        <f>'Reported burning'!AB2531</f>
        <v>October</v>
      </c>
      <c r="AA2531" s="198" t="str">
        <f>'Reported burning'!AC2531</f>
        <v>ND</v>
      </c>
      <c r="AB2531" s="198"/>
      <c r="AC2531" s="4"/>
    </row>
    <row r="2532" spans="1:29" s="197" customFormat="1" ht="47.5" customHeight="1">
      <c r="A2532" s="151" t="str">
        <f>'Reported burning'!A2532</f>
        <v>289b</v>
      </c>
      <c r="B2532" s="151" t="str">
        <f>'Reported burning'!B2532</f>
        <v>289b.2</v>
      </c>
      <c r="C2532" s="151" t="str">
        <f>'Reported burning'!C2532</f>
        <v>Lightning</v>
      </c>
      <c r="D2532" s="151" t="str">
        <f>'Reported burning'!D2532</f>
        <v>ND</v>
      </c>
      <c r="E2532" s="151" t="str">
        <f>'Reported burning'!E2532</f>
        <v>Forestry, Industrial</v>
      </c>
      <c r="F2532" s="151" t="str">
        <f>'Reported burning'!F2532</f>
        <v>Forest</v>
      </c>
      <c r="G2532" s="151" t="str">
        <f>'Reported burning'!G2532</f>
        <v>Forest</v>
      </c>
      <c r="H2532" s="151" t="str">
        <f>'Reported burning'!H2532</f>
        <v>Presence</v>
      </c>
      <c r="I2532" s="5"/>
      <c r="J2532" s="21" t="s">
        <v>2272</v>
      </c>
      <c r="K2532" s="21" t="s">
        <v>2272</v>
      </c>
      <c r="L2532" s="21" t="s">
        <v>2272</v>
      </c>
      <c r="M2532" s="21" t="s">
        <v>2272</v>
      </c>
      <c r="N2532" s="21" t="s">
        <v>2272</v>
      </c>
      <c r="O2532" s="21" t="s">
        <v>2272</v>
      </c>
      <c r="P2532" s="21" t="s">
        <v>2272</v>
      </c>
      <c r="Q2532" s="21" t="s">
        <v>2272</v>
      </c>
      <c r="R2532" s="21" t="s">
        <v>2272</v>
      </c>
      <c r="S2532" s="21" t="s">
        <v>2272</v>
      </c>
      <c r="T2532" s="21" t="s">
        <v>2272</v>
      </c>
      <c r="U2532" s="21" t="s">
        <v>2272</v>
      </c>
      <c r="V2532" s="21" t="s">
        <v>2272</v>
      </c>
      <c r="W2532" s="21" t="s">
        <v>2272</v>
      </c>
      <c r="X2532" s="21" t="s">
        <v>2272</v>
      </c>
      <c r="Y2532" s="198" t="str">
        <f>'Reported burning'!AA2532</f>
        <v>March</v>
      </c>
      <c r="Z2532" s="198" t="str">
        <f>'Reported burning'!AB2532</f>
        <v>October</v>
      </c>
      <c r="AA2532" s="198" t="str">
        <f>'Reported burning'!AC2532</f>
        <v>ND</v>
      </c>
      <c r="AB2532" s="198"/>
      <c r="AC2532" s="4"/>
    </row>
    <row r="2533" spans="1:29" ht="47.5" customHeight="1">
      <c r="A2533" s="151" t="str">
        <f>'Reported burning'!A2533</f>
        <v>289b</v>
      </c>
      <c r="B2533" s="151" t="str">
        <f>'Reported burning'!B2533</f>
        <v>289b.3</v>
      </c>
      <c r="C2533" s="151" t="str">
        <f>'Reported burning'!C2533</f>
        <v>All</v>
      </c>
      <c r="D2533" s="151" t="str">
        <f>'Reported burning'!D2533</f>
        <v>ND</v>
      </c>
      <c r="E2533" s="151" t="str">
        <f>'Reported burning'!E2533</f>
        <v>All</v>
      </c>
      <c r="F2533" s="151" t="str">
        <f>'Reported burning'!F2533</f>
        <v>Forest</v>
      </c>
      <c r="G2533" s="151" t="str">
        <f>'Reported burning'!G2533</f>
        <v>Forest</v>
      </c>
      <c r="H2533" s="151" t="str">
        <f>'Reported burning'!H2533</f>
        <v>Presence</v>
      </c>
      <c r="I2533" s="5"/>
      <c r="J2533" s="21" t="s">
        <v>2272</v>
      </c>
      <c r="K2533" s="21" t="s">
        <v>2364</v>
      </c>
      <c r="L2533" s="21" t="s">
        <v>2272</v>
      </c>
      <c r="M2533" s="21" t="s">
        <v>2358</v>
      </c>
      <c r="N2533" s="21" t="s">
        <v>2272</v>
      </c>
      <c r="O2533" s="21" t="s">
        <v>2272</v>
      </c>
      <c r="P2533" s="21" t="s">
        <v>2272</v>
      </c>
      <c r="Q2533" s="21" t="s">
        <v>2272</v>
      </c>
      <c r="R2533" s="21" t="s">
        <v>2272</v>
      </c>
      <c r="S2533" s="21" t="s">
        <v>2370</v>
      </c>
      <c r="T2533" s="21" t="s">
        <v>2272</v>
      </c>
      <c r="U2533" s="21" t="s">
        <v>2272</v>
      </c>
      <c r="V2533" s="21" t="s">
        <v>2272</v>
      </c>
      <c r="W2533" s="21" t="s">
        <v>2272</v>
      </c>
      <c r="X2533" s="21" t="s">
        <v>2272</v>
      </c>
      <c r="Y2533" s="198" t="str">
        <f>'Reported burning'!AA2533</f>
        <v>March</v>
      </c>
      <c r="Z2533" s="198" t="str">
        <f>'Reported burning'!AB2533</f>
        <v>October</v>
      </c>
      <c r="AA2533" s="198" t="str">
        <f>'Reported burning'!AC2533</f>
        <v>ND</v>
      </c>
      <c r="AB2533" s="198"/>
      <c r="AC2533" s="4" t="s">
        <v>7847</v>
      </c>
    </row>
    <row r="2534" spans="1:29" ht="47.5" customHeight="1">
      <c r="A2534" s="151" t="str">
        <f>'Reported burning'!A2534</f>
        <v>290a</v>
      </c>
      <c r="B2534" s="151" t="str">
        <f>'Reported burning'!B2534</f>
        <v>290a.1</v>
      </c>
      <c r="C2534" s="151" t="str">
        <f>'Reported burning'!C2534</f>
        <v>All</v>
      </c>
      <c r="D2534" s="151" t="str">
        <f>'Reported burning'!D2534</f>
        <v>ND</v>
      </c>
      <c r="E2534" s="151" t="str">
        <f>'Reported burning'!E2534</f>
        <v>Forestry, Industrial</v>
      </c>
      <c r="F2534" s="151" t="str">
        <f>'Reported burning'!F2534</f>
        <v>Forest</v>
      </c>
      <c r="G2534" s="151" t="str">
        <f>'Reported burning'!G2534</f>
        <v>Forest</v>
      </c>
      <c r="H2534" s="151" t="str">
        <f>'Reported burning'!H2534</f>
        <v>Presence</v>
      </c>
      <c r="I2534" s="5"/>
      <c r="J2534" s="21" t="s">
        <v>2272</v>
      </c>
      <c r="K2534" s="21" t="s">
        <v>2272</v>
      </c>
      <c r="L2534" s="21" t="s">
        <v>2272</v>
      </c>
      <c r="M2534" s="21" t="s">
        <v>2272</v>
      </c>
      <c r="N2534" s="21" t="s">
        <v>2272</v>
      </c>
      <c r="O2534" s="21" t="s">
        <v>2272</v>
      </c>
      <c r="P2534" s="21" t="s">
        <v>2272</v>
      </c>
      <c r="Q2534" s="21" t="s">
        <v>2272</v>
      </c>
      <c r="R2534" s="21" t="s">
        <v>2272</v>
      </c>
      <c r="S2534" s="21" t="s">
        <v>2272</v>
      </c>
      <c r="T2534" s="21" t="s">
        <v>2272</v>
      </c>
      <c r="U2534" s="21" t="s">
        <v>2272</v>
      </c>
      <c r="V2534" s="21" t="s">
        <v>2272</v>
      </c>
      <c r="W2534" s="21" t="s">
        <v>2272</v>
      </c>
      <c r="X2534" s="21" t="s">
        <v>2272</v>
      </c>
      <c r="Y2534" s="198" t="str">
        <f>'Reported burning'!AA2534</f>
        <v>ND</v>
      </c>
      <c r="Z2534" s="198" t="str">
        <f>'Reported burning'!AB2534</f>
        <v>ND</v>
      </c>
      <c r="AA2534" s="198" t="str">
        <f>'Reported burning'!AC2534</f>
        <v>ND</v>
      </c>
      <c r="AB2534" s="198"/>
      <c r="AC2534" s="198"/>
    </row>
    <row r="2535" spans="1:29" s="197" customFormat="1" ht="47.5" customHeight="1">
      <c r="A2535" s="151" t="str">
        <f>'Reported burning'!A2535</f>
        <v>290a</v>
      </c>
      <c r="B2535" s="151" t="str">
        <f>'Reported burning'!B2535</f>
        <v>290a.2</v>
      </c>
      <c r="C2535" s="151" t="str">
        <f>'Reported burning'!C2535</f>
        <v>All</v>
      </c>
      <c r="D2535" s="151" t="str">
        <f>'Reported burning'!D2535</f>
        <v>ND</v>
      </c>
      <c r="E2535" s="151" t="str">
        <f>'Reported burning'!E2535</f>
        <v>Forestry, Industrial</v>
      </c>
      <c r="F2535" s="151" t="str">
        <f>'Reported burning'!F2535</f>
        <v>Forest</v>
      </c>
      <c r="G2535" s="151" t="str">
        <f>'Reported burning'!G2535</f>
        <v>Forest</v>
      </c>
      <c r="H2535" s="151" t="str">
        <f>'Reported burning'!H2535</f>
        <v>Presence</v>
      </c>
      <c r="I2535" s="5"/>
      <c r="J2535" s="21" t="s">
        <v>2272</v>
      </c>
      <c r="K2535" s="21" t="s">
        <v>2272</v>
      </c>
      <c r="L2535" s="21" t="s">
        <v>2272</v>
      </c>
      <c r="M2535" s="21" t="s">
        <v>2272</v>
      </c>
      <c r="N2535" s="21" t="s">
        <v>2272</v>
      </c>
      <c r="O2535" s="21" t="s">
        <v>2272</v>
      </c>
      <c r="P2535" s="21" t="s">
        <v>2272</v>
      </c>
      <c r="Q2535" s="21" t="s">
        <v>2272</v>
      </c>
      <c r="R2535" s="21" t="s">
        <v>2272</v>
      </c>
      <c r="S2535" s="21" t="s">
        <v>2272</v>
      </c>
      <c r="T2535" s="21" t="s">
        <v>2272</v>
      </c>
      <c r="U2535" s="21" t="s">
        <v>2272</v>
      </c>
      <c r="V2535" s="21" t="s">
        <v>2272</v>
      </c>
      <c r="W2535" s="21" t="s">
        <v>2272</v>
      </c>
      <c r="X2535" s="21" t="s">
        <v>2272</v>
      </c>
      <c r="Y2535" s="198" t="str">
        <f>'Reported burning'!AA2535</f>
        <v>ND</v>
      </c>
      <c r="Z2535" s="198" t="str">
        <f>'Reported burning'!AB2535</f>
        <v>ND</v>
      </c>
      <c r="AA2535" s="198" t="str">
        <f>'Reported burning'!AC2535</f>
        <v>ND</v>
      </c>
      <c r="AB2535" s="198"/>
      <c r="AC2535" s="198"/>
    </row>
    <row r="2536" spans="1:29" ht="47.5" customHeight="1">
      <c r="A2536" s="151" t="str">
        <f>'Reported burning'!A2536</f>
        <v>290a</v>
      </c>
      <c r="B2536" s="151" t="str">
        <f>'Reported burning'!B2536</f>
        <v>290a.3</v>
      </c>
      <c r="C2536" s="151" t="str">
        <f>'Reported burning'!C2536</f>
        <v>All</v>
      </c>
      <c r="D2536" s="151" t="str">
        <f>'Reported burning'!D2536</f>
        <v>ND</v>
      </c>
      <c r="E2536" s="151" t="str">
        <f>'Reported burning'!E2536</f>
        <v>Forestry, Industrial</v>
      </c>
      <c r="F2536" s="151" t="str">
        <f>'Reported burning'!F2536</f>
        <v>Forest</v>
      </c>
      <c r="G2536" s="151" t="str">
        <f>'Reported burning'!G2536</f>
        <v>Forest</v>
      </c>
      <c r="H2536" s="151" t="str">
        <f>'Reported burning'!H2536</f>
        <v>Presence</v>
      </c>
      <c r="I2536" s="5"/>
      <c r="J2536" s="21" t="s">
        <v>2272</v>
      </c>
      <c r="K2536" s="21" t="s">
        <v>2272</v>
      </c>
      <c r="L2536" s="21" t="s">
        <v>2272</v>
      </c>
      <c r="M2536" s="21" t="s">
        <v>2272</v>
      </c>
      <c r="N2536" s="21" t="s">
        <v>2272</v>
      </c>
      <c r="O2536" s="21" t="s">
        <v>2272</v>
      </c>
      <c r="P2536" s="21" t="s">
        <v>2272</v>
      </c>
      <c r="Q2536" s="21" t="s">
        <v>2272</v>
      </c>
      <c r="R2536" s="21" t="s">
        <v>2272</v>
      </c>
      <c r="S2536" s="21" t="s">
        <v>2272</v>
      </c>
      <c r="T2536" s="21" t="s">
        <v>2272</v>
      </c>
      <c r="U2536" s="21" t="s">
        <v>2272</v>
      </c>
      <c r="V2536" s="21" t="s">
        <v>2272</v>
      </c>
      <c r="W2536" s="21" t="s">
        <v>2272</v>
      </c>
      <c r="X2536" s="21" t="s">
        <v>2272</v>
      </c>
      <c r="Y2536" s="198" t="str">
        <f>'Reported burning'!AA2536</f>
        <v>ND</v>
      </c>
      <c r="Z2536" s="198" t="str">
        <f>'Reported burning'!AB2536</f>
        <v>ND</v>
      </c>
      <c r="AA2536" s="198" t="str">
        <f>'Reported burning'!AC2536</f>
        <v>ND</v>
      </c>
      <c r="AB2536" s="198"/>
      <c r="AC2536" s="198"/>
    </row>
    <row r="2537" spans="1:29" ht="47.5" customHeight="1">
      <c r="A2537" s="151" t="str">
        <f>'Reported burning'!A2537</f>
        <v>291a</v>
      </c>
      <c r="B2537" s="151" t="str">
        <f>'Reported burning'!B2537</f>
        <v>291a.1</v>
      </c>
      <c r="C2537" s="151" t="str">
        <f>'Reported burning'!C2537</f>
        <v>Human, deliberate</v>
      </c>
      <c r="D2537" s="151" t="str">
        <f>'Reported burning'!D2537</f>
        <v>Pyrome management</v>
      </c>
      <c r="E2537" s="151" t="str">
        <f>'Reported burning'!E2537</f>
        <v>Forestry, Industrial</v>
      </c>
      <c r="F2537" s="151" t="str">
        <f>'Reported burning'!F2537</f>
        <v>Forest</v>
      </c>
      <c r="G2537" s="151" t="str">
        <f>'Reported burning'!G2537</f>
        <v>Forest</v>
      </c>
      <c r="H2537" s="151" t="str">
        <f>'Reported burning'!H2537</f>
        <v>Presence</v>
      </c>
      <c r="I2537" s="5"/>
      <c r="J2537" s="21" t="s">
        <v>2272</v>
      </c>
      <c r="K2537" s="21" t="s">
        <v>2272</v>
      </c>
      <c r="L2537" s="21" t="s">
        <v>2272</v>
      </c>
      <c r="M2537" s="21" t="s">
        <v>2272</v>
      </c>
      <c r="N2537" s="21" t="s">
        <v>2272</v>
      </c>
      <c r="O2537" s="21" t="s">
        <v>2272</v>
      </c>
      <c r="P2537" s="21" t="s">
        <v>2272</v>
      </c>
      <c r="Q2537" s="21" t="s">
        <v>2272</v>
      </c>
      <c r="R2537" s="21" t="s">
        <v>2272</v>
      </c>
      <c r="S2537" s="21" t="s">
        <v>2272</v>
      </c>
      <c r="T2537" s="21" t="s">
        <v>2272</v>
      </c>
      <c r="U2537" s="21" t="s">
        <v>2272</v>
      </c>
      <c r="V2537" s="21" t="s">
        <v>2272</v>
      </c>
      <c r="W2537" s="21" t="s">
        <v>2272</v>
      </c>
      <c r="X2537" s="21" t="s">
        <v>2272</v>
      </c>
      <c r="Y2537" s="198" t="str">
        <f>'Reported burning'!AA2537</f>
        <v>June</v>
      </c>
      <c r="Z2537" s="198" t="str">
        <f>'Reported burning'!AB2537</f>
        <v>August</v>
      </c>
      <c r="AA2537" s="198" t="str">
        <f>'Reported burning'!AC2537</f>
        <v>Seasonal, Consistent</v>
      </c>
      <c r="AB2537" s="198"/>
      <c r="AC2537" s="198"/>
    </row>
    <row r="2538" spans="1:29" ht="47.5" customHeight="1">
      <c r="A2538" s="151" t="str">
        <f>'Reported burning'!A2538</f>
        <v>292a</v>
      </c>
      <c r="B2538" s="151" t="str">
        <f>'Reported burning'!B2538</f>
        <v>292a.1</v>
      </c>
      <c r="C2538" s="151" t="str">
        <f>'Reported burning'!C2538</f>
        <v>Human, deliberate</v>
      </c>
      <c r="D2538" s="151" t="str">
        <f>'Reported burning'!D2538</f>
        <v>Pyrome management</v>
      </c>
      <c r="E2538" s="151" t="str">
        <f>'Reported burning'!E2538</f>
        <v>Forestry, Industrial</v>
      </c>
      <c r="F2538" s="151" t="str">
        <f>'Reported burning'!F2538</f>
        <v>Forest</v>
      </c>
      <c r="G2538" s="151" t="str">
        <f>'Reported burning'!G2538</f>
        <v>Forest</v>
      </c>
      <c r="H2538" s="151" t="str">
        <f>'Reported burning'!H2538</f>
        <v>Presence</v>
      </c>
      <c r="I2538" s="5"/>
      <c r="J2538" s="21" t="s">
        <v>2272</v>
      </c>
      <c r="K2538" s="21" t="s">
        <v>2272</v>
      </c>
      <c r="L2538" s="21" t="s">
        <v>2272</v>
      </c>
      <c r="M2538" s="21" t="s">
        <v>2272</v>
      </c>
      <c r="N2538" s="21" t="s">
        <v>2272</v>
      </c>
      <c r="O2538" s="21" t="s">
        <v>2272</v>
      </c>
      <c r="P2538" s="21" t="s">
        <v>2272</v>
      </c>
      <c r="Q2538" s="21" t="s">
        <v>2272</v>
      </c>
      <c r="R2538" s="21" t="s">
        <v>2272</v>
      </c>
      <c r="S2538" s="21" t="s">
        <v>2272</v>
      </c>
      <c r="T2538" s="21" t="s">
        <v>2272</v>
      </c>
      <c r="U2538" s="21" t="s">
        <v>2272</v>
      </c>
      <c r="V2538" s="21" t="s">
        <v>2272</v>
      </c>
      <c r="W2538" s="21" t="s">
        <v>2272</v>
      </c>
      <c r="X2538" s="21" t="s">
        <v>2272</v>
      </c>
      <c r="Y2538" s="198" t="str">
        <f>'Reported burning'!AA2538</f>
        <v>ND</v>
      </c>
      <c r="Z2538" s="198" t="str">
        <f>'Reported burning'!AB2538</f>
        <v>ND</v>
      </c>
      <c r="AA2538" s="198" t="str">
        <f>'Reported burning'!AC2538</f>
        <v>ND</v>
      </c>
      <c r="AB2538" s="198"/>
      <c r="AC2538" s="198"/>
    </row>
    <row r="2539" spans="1:29" ht="47.5" customHeight="1">
      <c r="A2539" s="151" t="str">
        <f>'Reported burning'!A2539</f>
        <v>292a</v>
      </c>
      <c r="B2539" s="151" t="str">
        <f>'Reported burning'!B2539</f>
        <v>292a.2</v>
      </c>
      <c r="C2539" s="151" t="str">
        <f>'Reported burning'!C2539</f>
        <v>Lightning</v>
      </c>
      <c r="D2539" s="151" t="str">
        <f>'Reported burning'!D2539</f>
        <v>ND</v>
      </c>
      <c r="E2539" s="151" t="str">
        <f>'Reported burning'!E2539</f>
        <v>Forestry, Industrial</v>
      </c>
      <c r="F2539" s="151" t="str">
        <f>'Reported burning'!F2539</f>
        <v>Forest</v>
      </c>
      <c r="G2539" s="151" t="str">
        <f>'Reported burning'!G2539</f>
        <v>Forest</v>
      </c>
      <c r="H2539" s="151" t="str">
        <f>'Reported burning'!H2539</f>
        <v>Presence</v>
      </c>
      <c r="I2539" s="5"/>
      <c r="J2539" s="21" t="s">
        <v>2272</v>
      </c>
      <c r="K2539" s="21" t="s">
        <v>2272</v>
      </c>
      <c r="L2539" s="21" t="s">
        <v>2272</v>
      </c>
      <c r="M2539" s="21" t="s">
        <v>2272</v>
      </c>
      <c r="N2539" s="21" t="s">
        <v>2272</v>
      </c>
      <c r="O2539" s="21" t="s">
        <v>2272</v>
      </c>
      <c r="P2539" s="21" t="s">
        <v>2272</v>
      </c>
      <c r="Q2539" s="21" t="s">
        <v>2272</v>
      </c>
      <c r="R2539" s="21" t="s">
        <v>2272</v>
      </c>
      <c r="S2539" s="21" t="s">
        <v>2272</v>
      </c>
      <c r="T2539" s="21" t="s">
        <v>2272</v>
      </c>
      <c r="U2539" s="21" t="s">
        <v>2272</v>
      </c>
      <c r="V2539" s="21" t="s">
        <v>2272</v>
      </c>
      <c r="W2539" s="21" t="s">
        <v>2272</v>
      </c>
      <c r="X2539" s="21" t="s">
        <v>2272</v>
      </c>
      <c r="Y2539" s="198" t="str">
        <f>'Reported burning'!AA2539</f>
        <v>ND</v>
      </c>
      <c r="Z2539" s="198" t="str">
        <f>'Reported burning'!AB2539</f>
        <v>ND</v>
      </c>
      <c r="AA2539" s="198" t="str">
        <f>'Reported burning'!AC2539</f>
        <v>ND</v>
      </c>
      <c r="AB2539" s="198"/>
      <c r="AC2539" s="198"/>
    </row>
    <row r="2540" spans="1:29" ht="47.5" customHeight="1">
      <c r="A2540" s="151" t="str">
        <f>'Reported burning'!A2540</f>
        <v>294a</v>
      </c>
      <c r="B2540" s="151" t="str">
        <f>'Reported burning'!B2540</f>
        <v>294a.1</v>
      </c>
      <c r="C2540" s="151" t="str">
        <f>'Reported burning'!C2540</f>
        <v>Human, deliberate</v>
      </c>
      <c r="D2540" s="151" t="str">
        <f>'Reported burning'!D2540</f>
        <v>Pasture renewal</v>
      </c>
      <c r="E2540" s="151" t="str">
        <f>'Reported burning'!E2540</f>
        <v>Cattle, Extensive</v>
      </c>
      <c r="F2540" s="151" t="str">
        <f>'Reported burning'!F2540</f>
        <v>Pasture</v>
      </c>
      <c r="G2540" s="151" t="str">
        <f>'Reported burning'!G2540</f>
        <v>Pasture</v>
      </c>
      <c r="H2540" s="151" t="str">
        <f>'Reported burning'!H2540</f>
        <v>Presence</v>
      </c>
      <c r="I2540" s="5"/>
      <c r="J2540" s="21" t="s">
        <v>2272</v>
      </c>
      <c r="K2540" s="21" t="s">
        <v>2272</v>
      </c>
      <c r="L2540" s="21" t="s">
        <v>2272</v>
      </c>
      <c r="M2540" s="21" t="s">
        <v>2272</v>
      </c>
      <c r="N2540" s="21" t="s">
        <v>2272</v>
      </c>
      <c r="O2540" s="21" t="s">
        <v>2272</v>
      </c>
      <c r="P2540" s="21" t="s">
        <v>2272</v>
      </c>
      <c r="Q2540" s="21" t="s">
        <v>2272</v>
      </c>
      <c r="R2540" s="21" t="s">
        <v>2272</v>
      </c>
      <c r="S2540" s="21" t="s">
        <v>2272</v>
      </c>
      <c r="T2540" s="21" t="s">
        <v>2272</v>
      </c>
      <c r="U2540" s="21" t="s">
        <v>2384</v>
      </c>
      <c r="V2540" s="21" t="s">
        <v>2272</v>
      </c>
      <c r="W2540" s="21" t="s">
        <v>2272</v>
      </c>
      <c r="X2540" s="21" t="s">
        <v>2397</v>
      </c>
      <c r="Y2540" s="198" t="s">
        <v>403</v>
      </c>
      <c r="Z2540" s="198" t="s">
        <v>423</v>
      </c>
      <c r="AA2540" s="4" t="s">
        <v>63</v>
      </c>
      <c r="AB2540" s="198"/>
      <c r="AC2540" s="4" t="s">
        <v>6994</v>
      </c>
    </row>
    <row r="2541" spans="1:29" ht="47.5" customHeight="1">
      <c r="A2541" s="151" t="str">
        <f>'Reported burning'!A2541</f>
        <v>294a</v>
      </c>
      <c r="B2541" s="151" t="str">
        <f>'Reported burning'!B2541</f>
        <v>294a.2</v>
      </c>
      <c r="C2541" s="151" t="str">
        <f>'Reported burning'!C2541</f>
        <v>Human, deliberate</v>
      </c>
      <c r="D2541" s="151" t="str">
        <f>'Reported burning'!D2541</f>
        <v>Pasture renewal</v>
      </c>
      <c r="E2541" s="151" t="str">
        <f>'Reported burning'!E2541</f>
        <v>Cattle, Intensive</v>
      </c>
      <c r="F2541" s="151" t="str">
        <f>'Reported burning'!F2541</f>
        <v>Pasture</v>
      </c>
      <c r="G2541" s="151" t="str">
        <f>'Reported burning'!G2541</f>
        <v>Pasture</v>
      </c>
      <c r="H2541" s="151" t="str">
        <f>'Reported burning'!H2541</f>
        <v>Presence</v>
      </c>
      <c r="I2541" s="5"/>
      <c r="J2541" s="21" t="s">
        <v>2272</v>
      </c>
      <c r="K2541" s="21" t="s">
        <v>2272</v>
      </c>
      <c r="L2541" s="21" t="s">
        <v>2272</v>
      </c>
      <c r="M2541" s="21" t="s">
        <v>2272</v>
      </c>
      <c r="N2541" s="21" t="s">
        <v>2272</v>
      </c>
      <c r="O2541" s="21" t="s">
        <v>2272</v>
      </c>
      <c r="P2541" s="21" t="s">
        <v>2272</v>
      </c>
      <c r="Q2541" s="21" t="s">
        <v>2272</v>
      </c>
      <c r="R2541" s="21" t="s">
        <v>2272</v>
      </c>
      <c r="S2541" s="21" t="s">
        <v>2272</v>
      </c>
      <c r="T2541" s="21" t="s">
        <v>2272</v>
      </c>
      <c r="U2541" s="21" t="s">
        <v>2522</v>
      </c>
      <c r="V2541" s="21" t="s">
        <v>2272</v>
      </c>
      <c r="W2541" s="21" t="s">
        <v>2272</v>
      </c>
      <c r="X2541" s="21" t="s">
        <v>2272</v>
      </c>
      <c r="Y2541" s="198" t="s">
        <v>403</v>
      </c>
      <c r="Z2541" s="198" t="s">
        <v>423</v>
      </c>
      <c r="AA2541" s="4" t="s">
        <v>63</v>
      </c>
      <c r="AB2541" s="198"/>
      <c r="AC2541" s="4"/>
    </row>
    <row r="2542" spans="1:29" ht="123.5" customHeight="1">
      <c r="A2542" s="151" t="str">
        <f>'Reported burning'!A2542</f>
        <v>294a</v>
      </c>
      <c r="B2542" s="151" t="str">
        <f>'Reported burning'!B2542</f>
        <v>294a.3</v>
      </c>
      <c r="C2542" s="151" t="str">
        <f>'Reported burning'!C2542</f>
        <v>Human, escaped</v>
      </c>
      <c r="D2542" s="151" t="str">
        <f>'Reported burning'!D2542</f>
        <v>Pasture renewal</v>
      </c>
      <c r="E2542" s="151" t="str">
        <f>'Reported burning'!E2542</f>
        <v>Cattle, Extensive</v>
      </c>
      <c r="F2542" s="151" t="str">
        <f>'Reported burning'!F2542</f>
        <v>Pasture</v>
      </c>
      <c r="G2542" s="151" t="str">
        <f>'Reported burning'!G2542</f>
        <v>Secondary vegetation</v>
      </c>
      <c r="H2542" s="151" t="str">
        <f>'Reported burning'!H2542</f>
        <v>Presence</v>
      </c>
      <c r="I2542" s="5"/>
      <c r="J2542" s="21" t="s">
        <v>2272</v>
      </c>
      <c r="K2542" s="21" t="s">
        <v>2272</v>
      </c>
      <c r="L2542" s="21" t="s">
        <v>2272</v>
      </c>
      <c r="M2542" s="21" t="s">
        <v>2272</v>
      </c>
      <c r="N2542" s="21" t="s">
        <v>2272</v>
      </c>
      <c r="O2542" s="21" t="s">
        <v>2272</v>
      </c>
      <c r="P2542" s="21" t="s">
        <v>2272</v>
      </c>
      <c r="Q2542" s="21" t="s">
        <v>2272</v>
      </c>
      <c r="R2542" s="21" t="s">
        <v>2272</v>
      </c>
      <c r="S2542" s="21" t="s">
        <v>2272</v>
      </c>
      <c r="T2542" s="21" t="s">
        <v>2272</v>
      </c>
      <c r="U2542" s="21" t="s">
        <v>2522</v>
      </c>
      <c r="V2542" s="21" t="s">
        <v>2272</v>
      </c>
      <c r="W2542" s="21" t="s">
        <v>2272</v>
      </c>
      <c r="X2542" s="21" t="s">
        <v>2398</v>
      </c>
      <c r="Y2542" s="198" t="s">
        <v>403</v>
      </c>
      <c r="Z2542" s="198" t="s">
        <v>423</v>
      </c>
      <c r="AA2542" s="4" t="s">
        <v>63</v>
      </c>
      <c r="AB2542" s="4" t="s">
        <v>6996</v>
      </c>
      <c r="AC2542" s="4" t="s">
        <v>6995</v>
      </c>
    </row>
    <row r="2543" spans="1:29" ht="33" customHeight="1">
      <c r="A2543" s="151" t="str">
        <f>'Reported burning'!A2543</f>
        <v>294a</v>
      </c>
      <c r="B2543" s="151" t="str">
        <f>'Reported burning'!B2543</f>
        <v>294a.4</v>
      </c>
      <c r="C2543" s="151" t="str">
        <f>'Reported burning'!C2543</f>
        <v>Human, escaped</v>
      </c>
      <c r="D2543" s="151" t="str">
        <f>'Reported burning'!D2543</f>
        <v>Pasture renewal</v>
      </c>
      <c r="E2543" s="151" t="str">
        <f>'Reported burning'!E2543</f>
        <v>Cattle, Intensive</v>
      </c>
      <c r="F2543" s="151" t="str">
        <f>'Reported burning'!F2543</f>
        <v>Pasture</v>
      </c>
      <c r="G2543" s="151" t="str">
        <f>'Reported burning'!G2543</f>
        <v>Secondary vegetation</v>
      </c>
      <c r="H2543" s="151" t="str">
        <f>'Reported burning'!H2543</f>
        <v>Presence</v>
      </c>
      <c r="I2543" s="5"/>
      <c r="J2543" s="21" t="s">
        <v>2272</v>
      </c>
      <c r="K2543" s="21" t="s">
        <v>2272</v>
      </c>
      <c r="L2543" s="21" t="s">
        <v>2272</v>
      </c>
      <c r="M2543" s="21" t="s">
        <v>2272</v>
      </c>
      <c r="N2543" s="21" t="s">
        <v>2272</v>
      </c>
      <c r="O2543" s="21" t="s">
        <v>2272</v>
      </c>
      <c r="P2543" s="21" t="s">
        <v>2272</v>
      </c>
      <c r="Q2543" s="21" t="s">
        <v>2272</v>
      </c>
      <c r="R2543" s="21" t="s">
        <v>2272</v>
      </c>
      <c r="S2543" s="21" t="s">
        <v>2272</v>
      </c>
      <c r="T2543" s="21" t="s">
        <v>2272</v>
      </c>
      <c r="U2543" s="21" t="s">
        <v>2522</v>
      </c>
      <c r="V2543" s="21" t="s">
        <v>2272</v>
      </c>
      <c r="W2543" s="21" t="s">
        <v>2272</v>
      </c>
      <c r="X2543" s="21" t="s">
        <v>2272</v>
      </c>
      <c r="Y2543" s="198" t="s">
        <v>403</v>
      </c>
      <c r="Z2543" s="198" t="s">
        <v>423</v>
      </c>
      <c r="AA2543" s="4" t="s">
        <v>63</v>
      </c>
      <c r="AB2543" s="198"/>
      <c r="AC2543" s="198"/>
    </row>
    <row r="2544" spans="1:29" ht="78.5" customHeight="1">
      <c r="A2544" s="151" t="str">
        <f>'Reported burning'!A2544</f>
        <v>295a</v>
      </c>
      <c r="B2544" s="151" t="str">
        <f>'Reported burning'!B2544</f>
        <v>295a.1</v>
      </c>
      <c r="C2544" s="151" t="str">
        <f>'Reported burning'!C2544</f>
        <v>Human, deliberate</v>
      </c>
      <c r="D2544" s="151" t="str">
        <f>'Reported burning'!D2544</f>
        <v>Land clearance</v>
      </c>
      <c r="E2544" s="151" t="str">
        <f>'Reported burning'!E2544</f>
        <v>Cropping, Intensive</v>
      </c>
      <c r="F2544" s="151" t="str">
        <f>'Reported burning'!F2544</f>
        <v>Shrubland (Mixed forest &amp; grassland)</v>
      </c>
      <c r="G2544" s="151" t="str">
        <f>'Reported burning'!G2544</f>
        <v>Shrubland (Mixed forest &amp; grassland)</v>
      </c>
      <c r="H2544" s="151" t="str">
        <f>'Reported burning'!H2544</f>
        <v>Presence</v>
      </c>
      <c r="I2544" s="5"/>
      <c r="J2544" s="21" t="s">
        <v>2272</v>
      </c>
      <c r="K2544" s="21" t="s">
        <v>2272</v>
      </c>
      <c r="L2544" s="98"/>
      <c r="M2544" s="172" t="s">
        <v>2272</v>
      </c>
      <c r="N2544" s="21" t="s">
        <v>2272</v>
      </c>
      <c r="O2544" s="21" t="s">
        <v>2272</v>
      </c>
      <c r="P2544" s="21" t="s">
        <v>2272</v>
      </c>
      <c r="Q2544" s="21" t="s">
        <v>2272</v>
      </c>
      <c r="R2544" s="21" t="s">
        <v>2272</v>
      </c>
      <c r="S2544" s="21" t="s">
        <v>2272</v>
      </c>
      <c r="T2544" s="21" t="s">
        <v>2272</v>
      </c>
      <c r="U2544" s="21" t="s">
        <v>2272</v>
      </c>
      <c r="V2544" s="21" t="s">
        <v>2272</v>
      </c>
      <c r="W2544" s="21" t="s">
        <v>2272</v>
      </c>
      <c r="X2544" s="21" t="s">
        <v>2272</v>
      </c>
      <c r="Y2544" s="21" t="s">
        <v>2272</v>
      </c>
      <c r="Z2544" s="21" t="s">
        <v>2272</v>
      </c>
      <c r="AA2544" s="21" t="s">
        <v>2272</v>
      </c>
      <c r="AB2544" s="198"/>
      <c r="AC2544" s="198"/>
    </row>
    <row r="2545" spans="1:29" ht="46.5" customHeight="1">
      <c r="A2545" s="151" t="str">
        <f>'Reported burning'!A2545</f>
        <v>295a</v>
      </c>
      <c r="B2545" s="151" t="str">
        <f>'Reported burning'!B2545</f>
        <v>295a.2</v>
      </c>
      <c r="C2545" s="151" t="str">
        <f>'Reported burning'!C2545</f>
        <v>Human, deliberate</v>
      </c>
      <c r="D2545" s="151" t="str">
        <f>'Reported burning'!D2545</f>
        <v>Pasture renewal</v>
      </c>
      <c r="E2545" s="151" t="str">
        <f>'Reported burning'!E2545</f>
        <v>Cattle, Extensive</v>
      </c>
      <c r="F2545" s="151" t="str">
        <f>'Reported burning'!F2545</f>
        <v>Pasture</v>
      </c>
      <c r="G2545" s="151" t="str">
        <f>'Reported burning'!G2545</f>
        <v>Pasture</v>
      </c>
      <c r="H2545" s="151" t="str">
        <f>'Reported burning'!H2545</f>
        <v>Presence</v>
      </c>
      <c r="I2545" s="5"/>
      <c r="J2545" s="21" t="s">
        <v>2272</v>
      </c>
      <c r="K2545" s="21" t="s">
        <v>2272</v>
      </c>
      <c r="L2545" s="98"/>
      <c r="M2545" s="172" t="s">
        <v>2272</v>
      </c>
      <c r="N2545" s="21" t="s">
        <v>2272</v>
      </c>
      <c r="O2545" s="21" t="s">
        <v>2272</v>
      </c>
      <c r="P2545" s="21" t="s">
        <v>2272</v>
      </c>
      <c r="Q2545" s="21" t="s">
        <v>2272</v>
      </c>
      <c r="R2545" s="21" t="s">
        <v>2272</v>
      </c>
      <c r="S2545" s="21" t="s">
        <v>2272</v>
      </c>
      <c r="T2545" s="21" t="s">
        <v>2272</v>
      </c>
      <c r="U2545" s="14" t="s">
        <v>2371</v>
      </c>
      <c r="V2545" s="21" t="s">
        <v>2272</v>
      </c>
      <c r="W2545" s="21" t="s">
        <v>2272</v>
      </c>
      <c r="X2545" s="21" t="s">
        <v>2272</v>
      </c>
      <c r="Y2545" s="21" t="s">
        <v>2272</v>
      </c>
      <c r="Z2545" s="21" t="s">
        <v>2272</v>
      </c>
      <c r="AA2545" s="21" t="s">
        <v>2272</v>
      </c>
      <c r="AB2545" s="198"/>
      <c r="AC2545" s="198"/>
    </row>
    <row r="2546" spans="1:29" ht="40" customHeight="1">
      <c r="A2546" s="151" t="str">
        <f>'Reported burning'!A2546</f>
        <v>295a</v>
      </c>
      <c r="B2546" s="151" t="str">
        <f>'Reported burning'!B2546</f>
        <v>295a.2</v>
      </c>
      <c r="C2546" s="151" t="str">
        <f>'Reported burning'!C2546</f>
        <v>Human, escaped</v>
      </c>
      <c r="D2546" s="151" t="str">
        <f>'Reported burning'!D2546</f>
        <v>Pasture renewal</v>
      </c>
      <c r="E2546" s="151" t="str">
        <f>'Reported burning'!E2546</f>
        <v>Cattle, Intensive</v>
      </c>
      <c r="F2546" s="151" t="str">
        <f>'Reported burning'!F2546</f>
        <v>Pasture</v>
      </c>
      <c r="G2546" s="151" t="str">
        <f>'Reported burning'!G2546</f>
        <v>Forest</v>
      </c>
      <c r="H2546" s="151" t="str">
        <f>'Reported burning'!H2546</f>
        <v>Presence</v>
      </c>
      <c r="I2546" s="5"/>
      <c r="J2546" s="21" t="s">
        <v>2272</v>
      </c>
      <c r="K2546" s="21" t="s">
        <v>2272</v>
      </c>
      <c r="L2546" s="98"/>
      <c r="M2546" s="172" t="s">
        <v>2272</v>
      </c>
      <c r="N2546" s="21" t="s">
        <v>2272</v>
      </c>
      <c r="O2546" s="21" t="s">
        <v>2272</v>
      </c>
      <c r="P2546" s="21" t="s">
        <v>2272</v>
      </c>
      <c r="Q2546" s="21" t="s">
        <v>2272</v>
      </c>
      <c r="R2546" s="21" t="s">
        <v>2272</v>
      </c>
      <c r="S2546" s="21" t="s">
        <v>2272</v>
      </c>
      <c r="T2546" s="21" t="s">
        <v>2272</v>
      </c>
      <c r="U2546" s="21" t="s">
        <v>2272</v>
      </c>
      <c r="V2546" s="21" t="s">
        <v>2272</v>
      </c>
      <c r="W2546" s="21" t="s">
        <v>2272</v>
      </c>
      <c r="X2546" s="21" t="s">
        <v>2272</v>
      </c>
      <c r="Y2546" s="21" t="s">
        <v>2272</v>
      </c>
      <c r="Z2546" s="21" t="s">
        <v>2272</v>
      </c>
      <c r="AA2546" s="21" t="s">
        <v>2272</v>
      </c>
      <c r="AB2546" s="198"/>
      <c r="AC2546" s="198"/>
    </row>
    <row r="2547" spans="1:29" ht="40" customHeight="1">
      <c r="A2547" s="151" t="str">
        <f>'Reported burning'!A2547</f>
        <v>296a</v>
      </c>
      <c r="B2547" s="151" t="str">
        <f>'Reported burning'!B2547</f>
        <v>296a.1</v>
      </c>
      <c r="C2547" s="151" t="str">
        <f>'Reported burning'!C2547</f>
        <v>Human, deliberate</v>
      </c>
      <c r="D2547" s="151" t="str">
        <f>'Reported burning'!D2547</f>
        <v>Forest clearance</v>
      </c>
      <c r="E2547" s="151" t="str">
        <f>'Reported burning'!E2547</f>
        <v>Cattle, Extensive</v>
      </c>
      <c r="F2547" s="151" t="str">
        <f>'Reported burning'!F2547</f>
        <v>Forest</v>
      </c>
      <c r="G2547" s="151" t="str">
        <f>'Reported burning'!G2547</f>
        <v>Forest</v>
      </c>
      <c r="H2547" s="151" t="str">
        <f>'Reported burning'!H2547</f>
        <v>Presence</v>
      </c>
      <c r="I2547" s="5"/>
      <c r="J2547" s="21" t="s">
        <v>2272</v>
      </c>
      <c r="K2547" s="21" t="s">
        <v>2272</v>
      </c>
      <c r="L2547" s="98"/>
      <c r="M2547" s="172" t="s">
        <v>2272</v>
      </c>
      <c r="N2547" s="21" t="s">
        <v>2376</v>
      </c>
      <c r="O2547" s="21" t="s">
        <v>2272</v>
      </c>
      <c r="P2547" s="21" t="s">
        <v>2272</v>
      </c>
      <c r="Q2547" s="21" t="s">
        <v>2272</v>
      </c>
      <c r="R2547" s="21" t="s">
        <v>2272</v>
      </c>
      <c r="S2547" s="21" t="s">
        <v>2272</v>
      </c>
      <c r="T2547" s="21" t="s">
        <v>2272</v>
      </c>
      <c r="U2547" s="21" t="s">
        <v>2272</v>
      </c>
      <c r="V2547" s="21" t="s">
        <v>2272</v>
      </c>
      <c r="W2547" s="21" t="s">
        <v>2272</v>
      </c>
      <c r="X2547" s="21" t="s">
        <v>2272</v>
      </c>
      <c r="Y2547" s="21" t="s">
        <v>2272</v>
      </c>
      <c r="Z2547" s="21" t="s">
        <v>2272</v>
      </c>
      <c r="AA2547" s="21" t="s">
        <v>2272</v>
      </c>
      <c r="AB2547" s="4" t="s">
        <v>7012</v>
      </c>
      <c r="AC2547" s="4" t="s">
        <v>7017</v>
      </c>
    </row>
    <row r="2548" spans="1:29" ht="40" customHeight="1">
      <c r="A2548" s="151" t="str">
        <f>'Reported burning'!A2548</f>
        <v>296a</v>
      </c>
      <c r="B2548" s="151" t="str">
        <f>'Reported burning'!B2548</f>
        <v>296a.2</v>
      </c>
      <c r="C2548" s="151" t="str">
        <f>'Reported burning'!C2548</f>
        <v>Human, deliberate</v>
      </c>
      <c r="D2548" s="151" t="str">
        <f>'Reported burning'!D2548</f>
        <v>Forest clearance</v>
      </c>
      <c r="E2548" s="151" t="str">
        <f>'Reported burning'!E2548</f>
        <v>Cropping, Intensive</v>
      </c>
      <c r="F2548" s="151" t="str">
        <f>'Reported burning'!F2548</f>
        <v>Forest</v>
      </c>
      <c r="G2548" s="151" t="str">
        <f>'Reported burning'!G2548</f>
        <v>Forest</v>
      </c>
      <c r="H2548" s="151" t="str">
        <f>'Reported burning'!H2548</f>
        <v>Presence</v>
      </c>
      <c r="I2548" s="5"/>
      <c r="J2548" s="21" t="s">
        <v>2272</v>
      </c>
      <c r="K2548" s="21" t="s">
        <v>2272</v>
      </c>
      <c r="L2548" s="98"/>
      <c r="M2548" s="172" t="s">
        <v>2272</v>
      </c>
      <c r="N2548" s="172" t="s">
        <v>2272</v>
      </c>
      <c r="O2548" s="21" t="s">
        <v>2272</v>
      </c>
      <c r="P2548" s="21" t="s">
        <v>2272</v>
      </c>
      <c r="Q2548" s="21" t="s">
        <v>2372</v>
      </c>
      <c r="R2548" s="21" t="s">
        <v>2272</v>
      </c>
      <c r="S2548" s="21" t="s">
        <v>2371</v>
      </c>
      <c r="T2548" s="21" t="s">
        <v>2272</v>
      </c>
      <c r="U2548" s="21" t="s">
        <v>2272</v>
      </c>
      <c r="V2548" s="21" t="s">
        <v>2272</v>
      </c>
      <c r="W2548" s="21" t="s">
        <v>2272</v>
      </c>
      <c r="X2548" s="21" t="s">
        <v>2272</v>
      </c>
      <c r="Y2548" s="21" t="s">
        <v>2272</v>
      </c>
      <c r="Z2548" s="21" t="s">
        <v>2272</v>
      </c>
      <c r="AA2548" s="21" t="s">
        <v>2272</v>
      </c>
      <c r="AB2548" s="4" t="s">
        <v>7012</v>
      </c>
      <c r="AC2548" s="4" t="s">
        <v>7011</v>
      </c>
    </row>
    <row r="2549" spans="1:29" ht="61" customHeight="1">
      <c r="A2549" s="151" t="str">
        <f>'Reported burning'!A2549</f>
        <v>297a</v>
      </c>
      <c r="B2549" s="151" t="str">
        <f>'Reported burning'!B2549</f>
        <v>297a.1</v>
      </c>
      <c r="C2549" s="151" t="str">
        <f>'Reported burning'!C2549</f>
        <v>Human, deliberate</v>
      </c>
      <c r="D2549" s="151" t="str">
        <f>'Reported burning'!D2549</f>
        <v>Conservation</v>
      </c>
      <c r="E2549" s="151" t="str">
        <f>'Reported burning'!E2549</f>
        <v>Biodiversity conservation</v>
      </c>
      <c r="F2549" s="151" t="str">
        <f>'Reported burning'!F2549</f>
        <v>Grassland</v>
      </c>
      <c r="G2549" s="151" t="str">
        <f>'Reported burning'!G2549</f>
        <v>Grassland</v>
      </c>
      <c r="H2549" s="151" t="str">
        <f>'Reported burning'!H2549</f>
        <v>Presence</v>
      </c>
      <c r="I2549" s="5"/>
      <c r="J2549" s="198" t="s">
        <v>2272</v>
      </c>
      <c r="K2549" s="198" t="s">
        <v>2272</v>
      </c>
      <c r="L2549" s="198" t="s">
        <v>2272</v>
      </c>
      <c r="M2549" s="198" t="s">
        <v>2272</v>
      </c>
      <c r="N2549" s="198" t="s">
        <v>2272</v>
      </c>
      <c r="O2549" s="198" t="s">
        <v>2272</v>
      </c>
      <c r="P2549" s="198" t="s">
        <v>2272</v>
      </c>
      <c r="Q2549" s="198" t="s">
        <v>2272</v>
      </c>
      <c r="R2549" s="198" t="s">
        <v>2272</v>
      </c>
      <c r="S2549" s="198" t="s">
        <v>2272</v>
      </c>
      <c r="T2549" s="198" t="s">
        <v>2272</v>
      </c>
      <c r="U2549" s="198" t="s">
        <v>2272</v>
      </c>
      <c r="V2549" s="198" t="s">
        <v>2272</v>
      </c>
      <c r="W2549" s="198" t="s">
        <v>2272</v>
      </c>
      <c r="X2549" s="198" t="s">
        <v>2272</v>
      </c>
      <c r="Y2549" s="198" t="s">
        <v>2272</v>
      </c>
      <c r="Z2549" s="198" t="s">
        <v>2272</v>
      </c>
      <c r="AA2549" s="198" t="s">
        <v>2272</v>
      </c>
      <c r="AB2549" s="198"/>
      <c r="AC2549" s="198"/>
    </row>
    <row r="2550" spans="1:29" ht="61" customHeight="1">
      <c r="A2550" s="151" t="str">
        <f>'Reported burning'!A2550</f>
        <v>297a</v>
      </c>
      <c r="B2550" s="151" t="str">
        <f>'Reported burning'!B2550</f>
        <v>297a.2</v>
      </c>
      <c r="C2550" s="151" t="str">
        <f>'Reported burning'!C2550</f>
        <v>Human, deliberate</v>
      </c>
      <c r="D2550" s="151" t="str">
        <f>'Reported burning'!D2550</f>
        <v>Conservation</v>
      </c>
      <c r="E2550" s="151" t="str">
        <f>'Reported burning'!E2550</f>
        <v>Cattle, Intensive</v>
      </c>
      <c r="F2550" s="151" t="str">
        <f>'Reported burning'!F2550</f>
        <v>Grassland</v>
      </c>
      <c r="G2550" s="151" t="str">
        <f>'Reported burning'!G2550</f>
        <v>Grassland</v>
      </c>
      <c r="H2550" s="151" t="str">
        <f>'Reported burning'!H2550</f>
        <v>Absence</v>
      </c>
      <c r="I2550" s="5"/>
      <c r="J2550" s="21">
        <v>0</v>
      </c>
      <c r="K2550" s="21">
        <v>0</v>
      </c>
      <c r="L2550" s="21">
        <v>0</v>
      </c>
      <c r="M2550" s="21">
        <v>0</v>
      </c>
      <c r="N2550" s="21">
        <v>0</v>
      </c>
      <c r="O2550" s="21">
        <v>0</v>
      </c>
      <c r="P2550" s="21">
        <v>0</v>
      </c>
      <c r="Q2550" s="21">
        <v>0</v>
      </c>
      <c r="R2550" s="21">
        <v>0</v>
      </c>
      <c r="S2550" s="21">
        <v>0</v>
      </c>
      <c r="T2550" s="21">
        <v>0</v>
      </c>
      <c r="U2550" s="21">
        <v>0</v>
      </c>
      <c r="V2550" s="21">
        <v>0</v>
      </c>
      <c r="W2550" s="21">
        <v>0</v>
      </c>
      <c r="X2550" s="198" t="s">
        <v>2272</v>
      </c>
      <c r="Y2550" s="198" t="s">
        <v>2272</v>
      </c>
      <c r="Z2550" s="198" t="s">
        <v>2272</v>
      </c>
      <c r="AA2550" s="198" t="s">
        <v>2272</v>
      </c>
      <c r="AB2550" s="4" t="s">
        <v>7022</v>
      </c>
      <c r="AC2550" s="198"/>
    </row>
    <row r="2551" spans="1:29" ht="60.5" customHeight="1">
      <c r="A2551" s="151" t="str">
        <f>'Reported burning'!A2551</f>
        <v>297a</v>
      </c>
      <c r="B2551" s="151" t="str">
        <f>'Reported burning'!B2551</f>
        <v>297a.3</v>
      </c>
      <c r="C2551" s="151" t="str">
        <f>'Reported burning'!C2551</f>
        <v>Human, deliberate</v>
      </c>
      <c r="D2551" s="151" t="str">
        <f>'Reported burning'!D2551</f>
        <v>Pasture renewal</v>
      </c>
      <c r="E2551" s="151" t="str">
        <f>'Reported burning'!E2551</f>
        <v>Cattle, Intensive</v>
      </c>
      <c r="F2551" s="151" t="str">
        <f>'Reported burning'!F2551</f>
        <v>Grassland</v>
      </c>
      <c r="G2551" s="151" t="str">
        <f>'Reported burning'!G2551</f>
        <v>Grassland</v>
      </c>
      <c r="H2551" s="151" t="str">
        <f>'Reported burning'!H2551</f>
        <v>Absence</v>
      </c>
      <c r="I2551" s="5"/>
      <c r="J2551" s="21">
        <v>0</v>
      </c>
      <c r="K2551" s="21">
        <v>0</v>
      </c>
      <c r="L2551" s="21">
        <v>0</v>
      </c>
      <c r="M2551" s="21">
        <v>0</v>
      </c>
      <c r="N2551" s="21">
        <v>0</v>
      </c>
      <c r="O2551" s="21">
        <v>0</v>
      </c>
      <c r="P2551" s="21">
        <v>0</v>
      </c>
      <c r="Q2551" s="21">
        <v>0</v>
      </c>
      <c r="R2551" s="21">
        <v>0</v>
      </c>
      <c r="S2551" s="21">
        <v>0</v>
      </c>
      <c r="T2551" s="21">
        <v>0</v>
      </c>
      <c r="U2551" s="21">
        <v>0</v>
      </c>
      <c r="V2551" s="21">
        <v>0</v>
      </c>
      <c r="W2551" s="21">
        <v>0</v>
      </c>
      <c r="X2551" s="198" t="s">
        <v>2272</v>
      </c>
      <c r="Y2551" s="198" t="s">
        <v>2272</v>
      </c>
      <c r="Z2551" s="198" t="s">
        <v>2272</v>
      </c>
      <c r="AA2551" s="198" t="s">
        <v>2272</v>
      </c>
      <c r="AB2551" s="4" t="s">
        <v>7022</v>
      </c>
      <c r="AC2551" s="198"/>
    </row>
    <row r="2552" spans="1:29" ht="78.5" customHeight="1">
      <c r="A2552" s="147" t="str">
        <f>'Reported burning'!A2552</f>
        <v>298a</v>
      </c>
      <c r="B2552" s="147" t="str">
        <f>'Reported burning'!B2552</f>
        <v>298a.1</v>
      </c>
      <c r="C2552" s="147" t="str">
        <f>'Reported burning'!C2552</f>
        <v>Human, deliberate</v>
      </c>
      <c r="D2552" s="147" t="str">
        <f>'Reported burning'!D2552</f>
        <v>Pasture renewal</v>
      </c>
      <c r="E2552" s="147" t="str">
        <f>'Reported burning'!E2552</f>
        <v>Cattle, Extensive</v>
      </c>
      <c r="F2552" s="147" t="str">
        <f>'Reported burning'!F2552</f>
        <v>Grassland</v>
      </c>
      <c r="G2552" s="147" t="str">
        <f>'Reported burning'!G2552</f>
        <v>Grassland</v>
      </c>
      <c r="H2552" s="147" t="str">
        <f>'Reported burning'!H2552</f>
        <v>Presence</v>
      </c>
      <c r="I2552" s="198"/>
      <c r="J2552" s="198" t="s">
        <v>2272</v>
      </c>
      <c r="K2552" s="198" t="s">
        <v>2272</v>
      </c>
      <c r="L2552" s="198" t="s">
        <v>2272</v>
      </c>
      <c r="M2552" s="198" t="s">
        <v>2272</v>
      </c>
      <c r="N2552" s="198" t="s">
        <v>2272</v>
      </c>
      <c r="O2552" s="198" t="s">
        <v>2272</v>
      </c>
      <c r="P2552" s="198" t="s">
        <v>2272</v>
      </c>
      <c r="Q2552" s="198" t="s">
        <v>2272</v>
      </c>
      <c r="R2552" s="198" t="s">
        <v>2272</v>
      </c>
      <c r="S2552" s="198" t="s">
        <v>2272</v>
      </c>
      <c r="T2552" s="198" t="s">
        <v>2272</v>
      </c>
      <c r="U2552" s="198" t="s">
        <v>2272</v>
      </c>
      <c r="V2552" s="198" t="s">
        <v>2272</v>
      </c>
      <c r="W2552" s="198" t="s">
        <v>2272</v>
      </c>
      <c r="X2552" s="198" t="s">
        <v>2272</v>
      </c>
      <c r="Y2552" s="198" t="s">
        <v>402</v>
      </c>
      <c r="Z2552" s="198" t="s">
        <v>403</v>
      </c>
      <c r="AA2552" s="198" t="s">
        <v>2272</v>
      </c>
      <c r="AB2552" s="198" t="s">
        <v>7027</v>
      </c>
      <c r="AC2552" s="4" t="s">
        <v>7028</v>
      </c>
    </row>
    <row r="2553" spans="1:29" ht="78.5" customHeight="1">
      <c r="A2553" s="147" t="str">
        <f>'Reported burning'!A2553</f>
        <v>299a</v>
      </c>
      <c r="B2553" s="147" t="str">
        <f>'Reported burning'!B2553</f>
        <v>299a.1</v>
      </c>
      <c r="C2553" s="147" t="str">
        <f>'Reported burning'!C2553</f>
        <v>Human, deliberate</v>
      </c>
      <c r="D2553" s="147" t="str">
        <f>'Reported burning'!D2553</f>
        <v>Rangeland management</v>
      </c>
      <c r="E2553" s="147" t="str">
        <f>'Reported burning'!E2553</f>
        <v>Cattle, Extensive</v>
      </c>
      <c r="F2553" s="147" t="str">
        <f>'Reported burning'!F2553</f>
        <v>Shrubland (Mixed forest &amp; grassland)</v>
      </c>
      <c r="G2553" s="147" t="str">
        <f>'Reported burning'!G2553</f>
        <v>Shrubland (Mixed forest &amp; grassland)</v>
      </c>
      <c r="H2553" s="147" t="str">
        <f>'Reported burning'!H2553</f>
        <v>Presence</v>
      </c>
      <c r="I2553" s="198"/>
      <c r="J2553" s="198" t="s">
        <v>2272</v>
      </c>
      <c r="K2553" s="198" t="s">
        <v>2272</v>
      </c>
      <c r="L2553" s="198" t="s">
        <v>2272</v>
      </c>
      <c r="M2553" s="198" t="s">
        <v>2272</v>
      </c>
      <c r="N2553" s="198" t="s">
        <v>2272</v>
      </c>
      <c r="O2553" s="198" t="s">
        <v>2272</v>
      </c>
      <c r="P2553" s="198" t="s">
        <v>2272</v>
      </c>
      <c r="Q2553" s="198" t="s">
        <v>2272</v>
      </c>
      <c r="R2553" s="198" t="s">
        <v>2272</v>
      </c>
      <c r="S2553" s="198" t="s">
        <v>2272</v>
      </c>
      <c r="T2553" s="198" t="s">
        <v>2272</v>
      </c>
      <c r="U2553" s="198" t="s">
        <v>2272</v>
      </c>
      <c r="V2553" s="198" t="s">
        <v>2272</v>
      </c>
      <c r="W2553" s="198" t="s">
        <v>2272</v>
      </c>
      <c r="X2553" s="21" t="s">
        <v>2396</v>
      </c>
      <c r="Y2553" s="198" t="s">
        <v>2272</v>
      </c>
      <c r="Z2553" s="198" t="s">
        <v>2272</v>
      </c>
      <c r="AA2553" s="198" t="s">
        <v>2272</v>
      </c>
      <c r="AB2553" s="198"/>
      <c r="AC2553" s="4" t="s">
        <v>7034</v>
      </c>
    </row>
    <row r="2554" spans="1:29" ht="71" customHeight="1">
      <c r="A2554" s="147" t="str">
        <f>'Reported burning'!A2554</f>
        <v>300a</v>
      </c>
      <c r="B2554" s="147" t="str">
        <f>'Reported burning'!B2554</f>
        <v>300a.1</v>
      </c>
      <c r="C2554" s="147" t="str">
        <f>'Reported burning'!C2554</f>
        <v>All</v>
      </c>
      <c r="D2554" s="147" t="str">
        <f>'Reported burning'!D2554</f>
        <v>All</v>
      </c>
      <c r="E2554" s="147" t="str">
        <f>'Reported burning'!E2554</f>
        <v>All</v>
      </c>
      <c r="F2554" s="147" t="str">
        <f>'Reported burning'!F2554</f>
        <v>ND</v>
      </c>
      <c r="G2554" s="147" t="str">
        <f>'Reported burning'!G2554</f>
        <v>Shrubland (Mixed forest &amp; grassland)</v>
      </c>
      <c r="H2554" s="147" t="str">
        <f>'Reported burning'!H2554</f>
        <v>Presence</v>
      </c>
      <c r="I2554" s="198"/>
      <c r="J2554" s="21" t="s">
        <v>2272</v>
      </c>
      <c r="K2554" s="21" t="s">
        <v>2272</v>
      </c>
      <c r="L2554" s="21" t="s">
        <v>2272</v>
      </c>
      <c r="M2554" s="21" t="s">
        <v>2272</v>
      </c>
      <c r="N2554" s="21" t="s">
        <v>2272</v>
      </c>
      <c r="O2554" s="21" t="s">
        <v>2272</v>
      </c>
      <c r="P2554" s="21" t="s">
        <v>2272</v>
      </c>
      <c r="Q2554" s="21" t="s">
        <v>2272</v>
      </c>
      <c r="R2554" s="21" t="s">
        <v>2272</v>
      </c>
      <c r="S2554" s="21" t="s">
        <v>2272</v>
      </c>
      <c r="T2554" s="21" t="s">
        <v>2272</v>
      </c>
      <c r="U2554" s="21" t="s">
        <v>2272</v>
      </c>
      <c r="V2554" s="21" t="s">
        <v>2272</v>
      </c>
      <c r="W2554" s="21" t="s">
        <v>2385</v>
      </c>
      <c r="X2554" s="21" t="s">
        <v>2370</v>
      </c>
      <c r="Y2554" s="198" t="s">
        <v>37</v>
      </c>
      <c r="Z2554" s="198" t="s">
        <v>423</v>
      </c>
      <c r="AA2554" s="198" t="s">
        <v>75</v>
      </c>
      <c r="AB2554" s="4" t="s">
        <v>7043</v>
      </c>
      <c r="AC2554" s="19" t="s">
        <v>7046</v>
      </c>
    </row>
    <row r="2555" spans="1:29" ht="118" customHeight="1">
      <c r="A2555" s="147" t="str">
        <f>'Reported burning'!A2555</f>
        <v>300b</v>
      </c>
      <c r="B2555" s="147" t="str">
        <f>'Reported burning'!B2555</f>
        <v>300a.2</v>
      </c>
      <c r="C2555" s="147" t="str">
        <f>'Reported burning'!C2555</f>
        <v>Human, deliberate</v>
      </c>
      <c r="D2555" s="147" t="str">
        <f>'Reported burning'!D2555</f>
        <v>Pasture renewal</v>
      </c>
      <c r="E2555" s="147" t="str">
        <f>'Reported burning'!E2555</f>
        <v>Cattle, Extensive</v>
      </c>
      <c r="F2555" s="147" t="str">
        <f>'Reported burning'!F2555</f>
        <v>Pasture</v>
      </c>
      <c r="G2555" s="147" t="str">
        <f>'Reported burning'!G2555</f>
        <v>Pasture</v>
      </c>
      <c r="H2555" s="147" t="str">
        <f>'Reported burning'!H2555</f>
        <v>Presence</v>
      </c>
      <c r="I2555" s="198"/>
      <c r="J2555" s="21" t="s">
        <v>2272</v>
      </c>
      <c r="K2555" s="21" t="s">
        <v>2272</v>
      </c>
      <c r="L2555" s="21" t="s">
        <v>2272</v>
      </c>
      <c r="M2555" s="21" t="s">
        <v>2272</v>
      </c>
      <c r="N2555" s="21" t="s">
        <v>2272</v>
      </c>
      <c r="O2555" s="21" t="s">
        <v>2272</v>
      </c>
      <c r="P2555" s="21" t="s">
        <v>2272</v>
      </c>
      <c r="Q2555" s="21" t="s">
        <v>2272</v>
      </c>
      <c r="R2555" s="21" t="s">
        <v>2272</v>
      </c>
      <c r="S2555" s="21" t="s">
        <v>2272</v>
      </c>
      <c r="T2555" s="21" t="s">
        <v>2272</v>
      </c>
      <c r="U2555" s="21" t="s">
        <v>2272</v>
      </c>
      <c r="V2555" s="21" t="s">
        <v>2272</v>
      </c>
      <c r="W2555" s="21" t="s">
        <v>2272</v>
      </c>
      <c r="X2555" s="21" t="s">
        <v>2396</v>
      </c>
      <c r="Y2555" s="198" t="s">
        <v>37</v>
      </c>
      <c r="Z2555" s="198" t="s">
        <v>423</v>
      </c>
      <c r="AA2555" s="198" t="s">
        <v>2272</v>
      </c>
      <c r="AB2555" s="4" t="s">
        <v>7044</v>
      </c>
      <c r="AC2555" s="4" t="s">
        <v>7047</v>
      </c>
    </row>
    <row r="2556" spans="1:29" ht="83" customHeight="1">
      <c r="A2556" s="147" t="str">
        <f>'Reported burning'!A2556</f>
        <v>300b</v>
      </c>
      <c r="B2556" s="147" t="str">
        <f>'Reported burning'!B2556</f>
        <v>300a.3</v>
      </c>
      <c r="C2556" s="147" t="str">
        <f>'Reported burning'!C2556</f>
        <v>Human, deliberate</v>
      </c>
      <c r="D2556" s="147" t="str">
        <f>'Reported burning'!D2556</f>
        <v>Pyrome management</v>
      </c>
      <c r="E2556" s="147" t="str">
        <f>'Reported burning'!E2556</f>
        <v>Cattle, Extensive</v>
      </c>
      <c r="F2556" s="147" t="str">
        <f>'Reported burning'!F2556</f>
        <v>Shrubland (Mixed forest &amp; grassland)</v>
      </c>
      <c r="G2556" s="147" t="str">
        <f>'Reported burning'!G2556</f>
        <v>Shrubland (Mixed forest &amp; grassland)</v>
      </c>
      <c r="H2556" s="147" t="str">
        <f>'Reported burning'!H2556</f>
        <v>Presence</v>
      </c>
      <c r="I2556" s="198"/>
      <c r="J2556" s="21" t="s">
        <v>2272</v>
      </c>
      <c r="K2556" s="21" t="s">
        <v>2272</v>
      </c>
      <c r="L2556" s="21" t="s">
        <v>2272</v>
      </c>
      <c r="M2556" s="21" t="s">
        <v>2272</v>
      </c>
      <c r="N2556" s="21" t="s">
        <v>2272</v>
      </c>
      <c r="O2556" s="21" t="s">
        <v>2272</v>
      </c>
      <c r="P2556" s="21" t="s">
        <v>2272</v>
      </c>
      <c r="Q2556" s="21" t="s">
        <v>2272</v>
      </c>
      <c r="R2556" s="21" t="s">
        <v>2272</v>
      </c>
      <c r="S2556" s="21" t="s">
        <v>2272</v>
      </c>
      <c r="T2556" s="21" t="s">
        <v>2272</v>
      </c>
      <c r="U2556" s="21" t="s">
        <v>2272</v>
      </c>
      <c r="V2556" s="21" t="s">
        <v>2272</v>
      </c>
      <c r="W2556" s="21" t="s">
        <v>2272</v>
      </c>
      <c r="X2556" s="21" t="s">
        <v>2272</v>
      </c>
      <c r="Y2556" s="198" t="s">
        <v>37</v>
      </c>
      <c r="Z2556" s="198" t="s">
        <v>84</v>
      </c>
      <c r="AA2556" s="198" t="s">
        <v>2650</v>
      </c>
      <c r="AB2556" s="4" t="s">
        <v>7045</v>
      </c>
      <c r="AC2556" s="198"/>
    </row>
    <row r="2557" spans="1:29" ht="51" customHeight="1">
      <c r="A2557" s="151" t="str">
        <f>'Reported burning'!A2557</f>
        <v>301a</v>
      </c>
      <c r="B2557" s="151" t="str">
        <f>'Reported burning'!B2557</f>
        <v>301a.1</v>
      </c>
      <c r="C2557" s="151" t="str">
        <f>'Reported burning'!C2557</f>
        <v>Human, deliberate</v>
      </c>
      <c r="D2557" s="151" t="str">
        <f>'Reported burning'!D2557</f>
        <v>Pasture renewal</v>
      </c>
      <c r="E2557" s="151" t="str">
        <f>'Reported burning'!E2557</f>
        <v>Cattle, Extensive</v>
      </c>
      <c r="F2557" s="151" t="str">
        <f>'Reported burning'!F2557</f>
        <v>Grassland</v>
      </c>
      <c r="G2557" s="151" t="str">
        <f>'Reported burning'!G2557</f>
        <v>Grassland</v>
      </c>
      <c r="H2557" s="151" t="str">
        <f>'Reported burning'!H2557</f>
        <v>Presence</v>
      </c>
      <c r="I2557" s="5"/>
      <c r="J2557" s="198" t="s">
        <v>2272</v>
      </c>
      <c r="K2557" s="198" t="s">
        <v>2272</v>
      </c>
      <c r="L2557" s="198" t="s">
        <v>2272</v>
      </c>
      <c r="M2557" s="198" t="s">
        <v>2272</v>
      </c>
      <c r="N2557" s="198" t="s">
        <v>2272</v>
      </c>
      <c r="O2557" s="198" t="s">
        <v>2272</v>
      </c>
      <c r="P2557" s="198" t="s">
        <v>2272</v>
      </c>
      <c r="Q2557" s="198" t="s">
        <v>2272</v>
      </c>
      <c r="R2557" s="198" t="s">
        <v>2272</v>
      </c>
      <c r="S2557" s="198" t="s">
        <v>2272</v>
      </c>
      <c r="T2557" s="198" t="s">
        <v>2272</v>
      </c>
      <c r="U2557" s="198" t="s">
        <v>2272</v>
      </c>
      <c r="V2557" s="198" t="s">
        <v>2272</v>
      </c>
      <c r="W2557" s="198" t="s">
        <v>2272</v>
      </c>
      <c r="X2557" s="198" t="s">
        <v>2272</v>
      </c>
      <c r="Y2557" s="198" t="s">
        <v>2272</v>
      </c>
      <c r="Z2557" s="198" t="s">
        <v>2272</v>
      </c>
      <c r="AA2557" s="198" t="s">
        <v>2272</v>
      </c>
      <c r="AB2557" s="4"/>
      <c r="AC2557" s="198"/>
    </row>
    <row r="2558" spans="1:29" ht="51" customHeight="1">
      <c r="A2558" s="151" t="str">
        <f>'Reported burning'!A2558</f>
        <v>301a</v>
      </c>
      <c r="B2558" s="151" t="str">
        <f>'Reported burning'!B2558</f>
        <v>301a.2</v>
      </c>
      <c r="C2558" s="151" t="str">
        <f>'Reported burning'!C2558</f>
        <v>Human, escaped</v>
      </c>
      <c r="D2558" s="151" t="str">
        <f>'Reported burning'!D2558</f>
        <v>Pasture renewal</v>
      </c>
      <c r="E2558" s="151" t="str">
        <f>'Reported burning'!E2558</f>
        <v>Cattle, Extensive</v>
      </c>
      <c r="F2558" s="151" t="str">
        <f>'Reported burning'!F2558</f>
        <v>Grassland</v>
      </c>
      <c r="G2558" s="151" t="str">
        <f>'Reported burning'!G2558</f>
        <v>ND</v>
      </c>
      <c r="H2558" s="151" t="str">
        <f>'Reported burning'!H2558</f>
        <v>Presence</v>
      </c>
      <c r="I2558" s="5"/>
      <c r="J2558" s="198" t="s">
        <v>2272</v>
      </c>
      <c r="K2558" s="198" t="s">
        <v>2272</v>
      </c>
      <c r="L2558" s="198" t="s">
        <v>2272</v>
      </c>
      <c r="M2558" s="198" t="s">
        <v>2272</v>
      </c>
      <c r="N2558" s="198" t="s">
        <v>2272</v>
      </c>
      <c r="O2558" s="198" t="s">
        <v>2272</v>
      </c>
      <c r="P2558" s="198" t="s">
        <v>2272</v>
      </c>
      <c r="Q2558" s="198" t="s">
        <v>2272</v>
      </c>
      <c r="R2558" s="198" t="s">
        <v>2272</v>
      </c>
      <c r="S2558" s="198" t="s">
        <v>2272</v>
      </c>
      <c r="T2558" s="198" t="s">
        <v>2272</v>
      </c>
      <c r="U2558" s="198" t="s">
        <v>2272</v>
      </c>
      <c r="V2558" s="198" t="s">
        <v>2272</v>
      </c>
      <c r="W2558" s="198" t="s">
        <v>2272</v>
      </c>
      <c r="X2558" s="198" t="s">
        <v>2272</v>
      </c>
      <c r="Y2558" s="198" t="s">
        <v>2272</v>
      </c>
      <c r="Z2558" s="198" t="s">
        <v>2272</v>
      </c>
      <c r="AA2558" s="198" t="s">
        <v>2272</v>
      </c>
      <c r="AB2558" s="198"/>
      <c r="AC2558" s="198"/>
    </row>
    <row r="2559" spans="1:29" ht="59" customHeight="1">
      <c r="A2559" s="151" t="str">
        <f>'Reported burning'!A2559</f>
        <v>301a</v>
      </c>
      <c r="B2559" s="151" t="str">
        <f>'Reported burning'!B2559</f>
        <v>301a.3</v>
      </c>
      <c r="C2559" s="151" t="str">
        <f>'Reported burning'!C2559</f>
        <v>Human, deliberate</v>
      </c>
      <c r="D2559" s="151" t="str">
        <f>'Reported burning'!D2559</f>
        <v>Crop field preparation</v>
      </c>
      <c r="E2559" s="151" t="str">
        <f>'Reported burning'!E2559</f>
        <v>Cropping, Swidden</v>
      </c>
      <c r="F2559" s="151" t="str">
        <f>'Reported burning'!F2559</f>
        <v>Secondary vegetation</v>
      </c>
      <c r="G2559" s="151" t="str">
        <f>'Reported burning'!G2559</f>
        <v>ND</v>
      </c>
      <c r="H2559" s="151" t="str">
        <f>'Reported burning'!H2559</f>
        <v>Presence</v>
      </c>
      <c r="I2559" s="5"/>
      <c r="J2559" s="198" t="s">
        <v>2272</v>
      </c>
      <c r="K2559" s="198" t="s">
        <v>2272</v>
      </c>
      <c r="L2559" s="198" t="s">
        <v>2272</v>
      </c>
      <c r="M2559" s="198" t="s">
        <v>2272</v>
      </c>
      <c r="N2559" s="198" t="s">
        <v>2272</v>
      </c>
      <c r="O2559" s="198" t="s">
        <v>2272</v>
      </c>
      <c r="P2559" s="198" t="s">
        <v>2272</v>
      </c>
      <c r="Q2559" s="198" t="s">
        <v>2272</v>
      </c>
      <c r="R2559" s="198" t="s">
        <v>2272</v>
      </c>
      <c r="S2559" s="198" t="s">
        <v>2272</v>
      </c>
      <c r="T2559" s="198" t="s">
        <v>2272</v>
      </c>
      <c r="U2559" s="198" t="s">
        <v>2272</v>
      </c>
      <c r="V2559" s="198" t="s">
        <v>2272</v>
      </c>
      <c r="W2559" s="198" t="s">
        <v>2272</v>
      </c>
      <c r="X2559" s="198" t="s">
        <v>2272</v>
      </c>
      <c r="Y2559" s="198" t="s">
        <v>2272</v>
      </c>
      <c r="Z2559" s="198" t="s">
        <v>2272</v>
      </c>
      <c r="AA2559" s="198" t="s">
        <v>2272</v>
      </c>
      <c r="AB2559" s="198"/>
      <c r="AC2559" s="198"/>
    </row>
    <row r="2560" spans="1:29" ht="59" customHeight="1">
      <c r="A2560" s="151" t="str">
        <f>'Reported burning'!A2560</f>
        <v>301a</v>
      </c>
      <c r="B2560" s="151" t="str">
        <f>'Reported burning'!B2560</f>
        <v>301a.4</v>
      </c>
      <c r="C2560" s="151" t="str">
        <f>'Reported burning'!C2560</f>
        <v>Human, deliberate</v>
      </c>
      <c r="D2560" s="151" t="str">
        <f>'Reported burning'!D2560</f>
        <v>Land clearance</v>
      </c>
      <c r="E2560" s="151" t="str">
        <f>'Reported burning'!E2560</f>
        <v>Cropping, Intensive</v>
      </c>
      <c r="F2560" s="151" t="str">
        <f>'Reported burning'!F2560</f>
        <v>Shrubland (Mixed forest &amp; grassland)</v>
      </c>
      <c r="G2560" s="151" t="str">
        <f>'Reported burning'!G2560</f>
        <v>Shrubland (Mixed forest &amp; grassland)</v>
      </c>
      <c r="H2560" s="151" t="str">
        <f>'Reported burning'!H2560</f>
        <v>Absence</v>
      </c>
      <c r="I2560" s="5"/>
      <c r="J2560" s="21">
        <v>0</v>
      </c>
      <c r="K2560" s="21">
        <v>0</v>
      </c>
      <c r="L2560" s="21">
        <v>0</v>
      </c>
      <c r="M2560" s="21">
        <v>0</v>
      </c>
      <c r="N2560" s="21">
        <v>0</v>
      </c>
      <c r="O2560" s="21">
        <v>0</v>
      </c>
      <c r="P2560" s="21">
        <v>0</v>
      </c>
      <c r="Q2560" s="21">
        <v>0</v>
      </c>
      <c r="R2560" s="21">
        <v>0</v>
      </c>
      <c r="S2560" s="21">
        <v>0</v>
      </c>
      <c r="T2560" s="21">
        <v>0</v>
      </c>
      <c r="U2560" s="21">
        <v>0</v>
      </c>
      <c r="V2560" s="21">
        <v>0</v>
      </c>
      <c r="W2560" s="21">
        <v>0</v>
      </c>
      <c r="X2560" s="198" t="s">
        <v>2272</v>
      </c>
      <c r="Y2560" s="198" t="s">
        <v>2272</v>
      </c>
      <c r="Z2560" s="198" t="s">
        <v>2272</v>
      </c>
      <c r="AA2560" s="198" t="s">
        <v>2272</v>
      </c>
      <c r="AB2560" s="4" t="s">
        <v>7061</v>
      </c>
      <c r="AC2560" s="198"/>
    </row>
    <row r="2561" spans="1:29" ht="59" customHeight="1">
      <c r="A2561" s="147" t="str">
        <f>'Reported burning'!A2561</f>
        <v>301a</v>
      </c>
      <c r="B2561" s="147" t="str">
        <f>'Reported burning'!B2561</f>
        <v>301a.5</v>
      </c>
      <c r="C2561" s="147" t="str">
        <f>'Reported burning'!C2561</f>
        <v>Human, deliberate</v>
      </c>
      <c r="D2561" s="147" t="str">
        <f>'Reported burning'!D2561</f>
        <v>Arson</v>
      </c>
      <c r="E2561" s="147" t="str">
        <f>'Reported burning'!E2561</f>
        <v>Cropping, Swidden</v>
      </c>
      <c r="F2561" s="147" t="str">
        <f>'Reported burning'!F2561</f>
        <v>ND</v>
      </c>
      <c r="G2561" s="147" t="str">
        <f>'Reported burning'!G2561</f>
        <v>Shrubland (Mixed forest &amp; grassland)</v>
      </c>
      <c r="H2561" s="147" t="str">
        <f>'Reported burning'!H2561</f>
        <v>Presence</v>
      </c>
      <c r="I2561" s="198"/>
      <c r="J2561" s="198" t="s">
        <v>2272</v>
      </c>
      <c r="K2561" s="198" t="s">
        <v>2272</v>
      </c>
      <c r="L2561" s="198" t="s">
        <v>2272</v>
      </c>
      <c r="M2561" s="198" t="s">
        <v>2272</v>
      </c>
      <c r="N2561" s="198" t="s">
        <v>2272</v>
      </c>
      <c r="O2561" s="198" t="s">
        <v>2272</v>
      </c>
      <c r="P2561" s="198" t="s">
        <v>2272</v>
      </c>
      <c r="Q2561" s="198" t="s">
        <v>2272</v>
      </c>
      <c r="R2561" s="198" t="s">
        <v>2272</v>
      </c>
      <c r="S2561" s="198" t="s">
        <v>2272</v>
      </c>
      <c r="T2561" s="198" t="s">
        <v>2272</v>
      </c>
      <c r="U2561" s="198" t="s">
        <v>2272</v>
      </c>
      <c r="V2561" s="198" t="s">
        <v>2272</v>
      </c>
      <c r="W2561" s="198" t="s">
        <v>2272</v>
      </c>
      <c r="X2561" s="198" t="s">
        <v>2272</v>
      </c>
      <c r="Y2561" s="198" t="s">
        <v>2272</v>
      </c>
      <c r="Z2561" s="198" t="s">
        <v>2272</v>
      </c>
      <c r="AA2561" s="198" t="s">
        <v>2272</v>
      </c>
      <c r="AB2561" s="4" t="s">
        <v>7064</v>
      </c>
      <c r="AC2561" s="198"/>
    </row>
    <row r="2562" spans="1:29" ht="59" customHeight="1">
      <c r="A2562" s="147" t="str">
        <f>'Reported burning'!A2562</f>
        <v>301a</v>
      </c>
      <c r="B2562" s="147" t="str">
        <f>'Reported burning'!B2562</f>
        <v>301a.6</v>
      </c>
      <c r="C2562" s="147" t="str">
        <f>'Reported burning'!C2562</f>
        <v>Human, deliberate</v>
      </c>
      <c r="D2562" s="147" t="str">
        <f>'Reported burning'!D2562</f>
        <v>Arson</v>
      </c>
      <c r="E2562" s="147" t="str">
        <f>'Reported burning'!E2562</f>
        <v>Cattle, Extensive</v>
      </c>
      <c r="F2562" s="147" t="str">
        <f>'Reported burning'!F2562</f>
        <v>ND</v>
      </c>
      <c r="G2562" s="147" t="str">
        <f>'Reported burning'!G2562</f>
        <v>Shrubland (Mixed forest &amp; grassland)</v>
      </c>
      <c r="H2562" s="147" t="str">
        <f>'Reported burning'!H2562</f>
        <v>Presence</v>
      </c>
      <c r="I2562" s="198"/>
      <c r="J2562" s="198" t="s">
        <v>2272</v>
      </c>
      <c r="K2562" s="198" t="s">
        <v>2272</v>
      </c>
      <c r="L2562" s="198" t="s">
        <v>2272</v>
      </c>
      <c r="M2562" s="198" t="s">
        <v>2272</v>
      </c>
      <c r="N2562" s="198" t="s">
        <v>2272</v>
      </c>
      <c r="O2562" s="198" t="s">
        <v>2272</v>
      </c>
      <c r="P2562" s="198" t="s">
        <v>2272</v>
      </c>
      <c r="Q2562" s="198" t="s">
        <v>2272</v>
      </c>
      <c r="R2562" s="198" t="s">
        <v>2272</v>
      </c>
      <c r="S2562" s="198" t="s">
        <v>2272</v>
      </c>
      <c r="T2562" s="198" t="s">
        <v>2272</v>
      </c>
      <c r="U2562" s="198" t="s">
        <v>2272</v>
      </c>
      <c r="V2562" s="198" t="s">
        <v>2272</v>
      </c>
      <c r="W2562" s="198" t="s">
        <v>2272</v>
      </c>
      <c r="X2562" s="198" t="s">
        <v>2272</v>
      </c>
      <c r="Y2562" s="198" t="s">
        <v>2272</v>
      </c>
      <c r="Z2562" s="198" t="s">
        <v>2272</v>
      </c>
      <c r="AA2562" s="198" t="s">
        <v>2272</v>
      </c>
      <c r="AB2562" s="4" t="s">
        <v>7064</v>
      </c>
      <c r="AC2562" s="198"/>
    </row>
    <row r="2563" spans="1:29" ht="59" customHeight="1">
      <c r="A2563" s="151" t="str">
        <f>'Reported burning'!A2563</f>
        <v>302a</v>
      </c>
      <c r="B2563" s="151" t="str">
        <f>'Reported burning'!B2563</f>
        <v>302a.1</v>
      </c>
      <c r="C2563" s="151" t="str">
        <f>'Reported burning'!C2563</f>
        <v>Human, deliberate</v>
      </c>
      <c r="D2563" s="151" t="str">
        <f>'Reported burning'!D2563</f>
        <v>Pyrome management</v>
      </c>
      <c r="E2563" s="151" t="str">
        <f>'Reported burning'!E2563</f>
        <v>Fire suppression agent</v>
      </c>
      <c r="F2563" s="151" t="str">
        <f>'Reported burning'!F2563</f>
        <v>Shrubland (Mixed forest &amp; grassland)</v>
      </c>
      <c r="G2563" s="151" t="str">
        <f>'Reported burning'!G2563</f>
        <v>Shrubland (Mixed forest &amp; grassland)</v>
      </c>
      <c r="H2563" s="151" t="str">
        <f>'Reported burning'!H2563</f>
        <v>Presence</v>
      </c>
      <c r="I2563" s="5"/>
      <c r="J2563" s="198" t="s">
        <v>2272</v>
      </c>
      <c r="K2563" s="198" t="s">
        <v>2272</v>
      </c>
      <c r="L2563" s="198" t="s">
        <v>2272</v>
      </c>
      <c r="M2563" s="198" t="s">
        <v>2272</v>
      </c>
      <c r="N2563" s="198" t="s">
        <v>2272</v>
      </c>
      <c r="O2563" s="198" t="s">
        <v>2272</v>
      </c>
      <c r="P2563" s="198" t="s">
        <v>2272</v>
      </c>
      <c r="Q2563" s="198" t="s">
        <v>2272</v>
      </c>
      <c r="R2563" s="198" t="s">
        <v>2272</v>
      </c>
      <c r="S2563" s="198" t="s">
        <v>2272</v>
      </c>
      <c r="T2563" s="198" t="s">
        <v>2272</v>
      </c>
      <c r="U2563" s="198" t="s">
        <v>2272</v>
      </c>
      <c r="V2563" s="198" t="s">
        <v>2272</v>
      </c>
      <c r="W2563" s="198" t="s">
        <v>2272</v>
      </c>
      <c r="X2563" s="198" t="s">
        <v>2272</v>
      </c>
      <c r="Y2563" s="198" t="s">
        <v>34</v>
      </c>
      <c r="Z2563" s="198" t="s">
        <v>34</v>
      </c>
      <c r="AA2563" s="198" t="s">
        <v>2272</v>
      </c>
      <c r="AB2563" s="198"/>
      <c r="AC2563" s="198"/>
    </row>
    <row r="2564" spans="1:29" ht="56.5" customHeight="1">
      <c r="A2564" s="151" t="str">
        <f>'Reported burning'!A2564</f>
        <v>302a</v>
      </c>
      <c r="B2564" s="151" t="str">
        <f>'Reported burning'!B2564</f>
        <v>302a.2</v>
      </c>
      <c r="C2564" s="151" t="str">
        <f>'Reported burning'!C2564</f>
        <v>Human, deliberate</v>
      </c>
      <c r="D2564" s="151" t="str">
        <f>'Reported burning'!D2564</f>
        <v>Conservation</v>
      </c>
      <c r="E2564" s="151" t="str">
        <f>'Reported burning'!E2564</f>
        <v>Fire suppression agent</v>
      </c>
      <c r="F2564" s="151" t="str">
        <f>'Reported burning'!F2564</f>
        <v>Shrubland (Mixed forest &amp; grassland)</v>
      </c>
      <c r="G2564" s="151" t="str">
        <f>'Reported burning'!G2564</f>
        <v>Shrubland (Mixed forest &amp; grassland)</v>
      </c>
      <c r="H2564" s="151" t="str">
        <f>'Reported burning'!H2564</f>
        <v>Presence</v>
      </c>
      <c r="I2564" s="5"/>
      <c r="J2564" s="198" t="s">
        <v>2272</v>
      </c>
      <c r="K2564" s="198" t="s">
        <v>2272</v>
      </c>
      <c r="L2564" s="198" t="s">
        <v>2272</v>
      </c>
      <c r="M2564" s="198" t="s">
        <v>2272</v>
      </c>
      <c r="N2564" s="198" t="s">
        <v>2272</v>
      </c>
      <c r="O2564" s="198" t="s">
        <v>2272</v>
      </c>
      <c r="P2564" s="198" t="s">
        <v>2272</v>
      </c>
      <c r="Q2564" s="198" t="s">
        <v>2272</v>
      </c>
      <c r="R2564" s="198" t="s">
        <v>2272</v>
      </c>
      <c r="S2564" s="198" t="s">
        <v>2272</v>
      </c>
      <c r="T2564" s="198" t="s">
        <v>2272</v>
      </c>
      <c r="U2564" s="198" t="s">
        <v>2272</v>
      </c>
      <c r="V2564" s="198" t="s">
        <v>2272</v>
      </c>
      <c r="W2564" s="198" t="s">
        <v>2272</v>
      </c>
      <c r="X2564" s="198" t="s">
        <v>2272</v>
      </c>
      <c r="Y2564" s="198" t="s">
        <v>34</v>
      </c>
      <c r="Z2564" s="198" t="s">
        <v>34</v>
      </c>
      <c r="AA2564" s="198" t="s">
        <v>2272</v>
      </c>
      <c r="AB2564" s="198"/>
      <c r="AC2564" s="198"/>
    </row>
    <row r="2565" spans="1:29" ht="28" customHeight="1">
      <c r="A2565" s="151" t="str">
        <f>'Reported burning'!A2565</f>
        <v>302a</v>
      </c>
      <c r="B2565" s="151" t="str">
        <f>'Reported burning'!B2565</f>
        <v>302a.3</v>
      </c>
      <c r="C2565" s="151" t="str">
        <f>'Reported burning'!C2565</f>
        <v>Human, deliberate</v>
      </c>
      <c r="D2565" s="151" t="str">
        <f>'Reported burning'!D2565</f>
        <v>Rangeland management</v>
      </c>
      <c r="E2565" s="151" t="str">
        <f>'Reported burning'!E2565</f>
        <v>Cattle, Extensive</v>
      </c>
      <c r="F2565" s="151" t="str">
        <f>'Reported burning'!F2565</f>
        <v>Shrubland (Mixed forest &amp; grassland)</v>
      </c>
      <c r="G2565" s="147" t="str">
        <f>'Reported burning'!G2565</f>
        <v>ND</v>
      </c>
      <c r="H2565" s="151" t="str">
        <f>'Reported burning'!H2565</f>
        <v>Absence</v>
      </c>
      <c r="I2565" s="5"/>
      <c r="J2565" s="198" t="s">
        <v>2272</v>
      </c>
      <c r="K2565" s="198" t="s">
        <v>2272</v>
      </c>
      <c r="L2565" s="198" t="s">
        <v>2272</v>
      </c>
      <c r="M2565" s="198" t="s">
        <v>2272</v>
      </c>
      <c r="N2565" s="198" t="s">
        <v>2272</v>
      </c>
      <c r="O2565" s="198" t="s">
        <v>2272</v>
      </c>
      <c r="P2565" s="198" t="s">
        <v>2272</v>
      </c>
      <c r="Q2565" s="198" t="s">
        <v>2272</v>
      </c>
      <c r="R2565" s="198" t="s">
        <v>2272</v>
      </c>
      <c r="S2565" s="198" t="s">
        <v>2272</v>
      </c>
      <c r="T2565" s="198" t="s">
        <v>2272</v>
      </c>
      <c r="U2565" s="198" t="s">
        <v>2272</v>
      </c>
      <c r="V2565" s="198" t="s">
        <v>2272</v>
      </c>
      <c r="W2565" s="198" t="s">
        <v>2272</v>
      </c>
      <c r="X2565" s="198" t="s">
        <v>2272</v>
      </c>
      <c r="Y2565" s="198" t="s">
        <v>2272</v>
      </c>
      <c r="Z2565" s="198" t="s">
        <v>2272</v>
      </c>
      <c r="AA2565" s="198" t="s">
        <v>2272</v>
      </c>
      <c r="AB2565" s="4" t="s">
        <v>7077</v>
      </c>
      <c r="AC2565" s="198"/>
    </row>
    <row r="2566" spans="1:29" ht="28" customHeight="1">
      <c r="A2566" s="151" t="str">
        <f>'Reported burning'!A2566</f>
        <v>302a</v>
      </c>
      <c r="B2566" s="151" t="str">
        <f>'Reported burning'!B2566</f>
        <v>302a.4</v>
      </c>
      <c r="C2566" s="151" t="str">
        <f>'Reported burning'!C2566</f>
        <v>Human, deliberate</v>
      </c>
      <c r="D2566" s="151" t="str">
        <f>'Reported burning'!D2566</f>
        <v>Rangeland management</v>
      </c>
      <c r="E2566" s="151" t="str">
        <f>'Reported burning'!E2566</f>
        <v>Cattle, Extensive</v>
      </c>
      <c r="F2566" s="151" t="str">
        <f>'Reported burning'!F2566</f>
        <v>Shrubland (Mixed forest &amp; grassland)</v>
      </c>
      <c r="G2566" s="147" t="str">
        <f>'Reported burning'!G2566</f>
        <v>ND</v>
      </c>
      <c r="H2566" s="151" t="str">
        <f>'Reported burning'!H2566</f>
        <v>Presence</v>
      </c>
      <c r="I2566" s="5"/>
      <c r="J2566" s="198" t="s">
        <v>2272</v>
      </c>
      <c r="K2566" s="198" t="s">
        <v>2272</v>
      </c>
      <c r="L2566" s="198" t="s">
        <v>2272</v>
      </c>
      <c r="M2566" s="198" t="s">
        <v>2272</v>
      </c>
      <c r="N2566" s="198" t="s">
        <v>2272</v>
      </c>
      <c r="O2566" s="198" t="s">
        <v>2272</v>
      </c>
      <c r="P2566" s="198" t="s">
        <v>2272</v>
      </c>
      <c r="Q2566" s="198" t="s">
        <v>2272</v>
      </c>
      <c r="R2566" s="198" t="s">
        <v>2272</v>
      </c>
      <c r="S2566" s="198" t="s">
        <v>2272</v>
      </c>
      <c r="T2566" s="198" t="s">
        <v>2272</v>
      </c>
      <c r="U2566" s="198" t="s">
        <v>2272</v>
      </c>
      <c r="V2566" s="198" t="s">
        <v>2272</v>
      </c>
      <c r="W2566" s="198" t="s">
        <v>2272</v>
      </c>
      <c r="X2566" s="198" t="s">
        <v>2272</v>
      </c>
      <c r="Y2566" s="198" t="s">
        <v>2272</v>
      </c>
      <c r="Z2566" s="198" t="s">
        <v>2272</v>
      </c>
      <c r="AA2566" s="198" t="s">
        <v>2272</v>
      </c>
      <c r="AB2566" s="198"/>
      <c r="AC2566" s="198"/>
    </row>
    <row r="2567" spans="1:29" ht="36" customHeight="1">
      <c r="A2567" s="151" t="str">
        <f>'Reported burning'!A2567</f>
        <v>303a</v>
      </c>
      <c r="B2567" s="151" t="str">
        <f>'Reported burning'!B2567</f>
        <v>303a.1</v>
      </c>
      <c r="C2567" s="151" t="str">
        <f>'Reported burning'!C2567</f>
        <v>Human, deliberate</v>
      </c>
      <c r="D2567" s="151" t="str">
        <f>'Reported burning'!D2567</f>
        <v>Rangeland management</v>
      </c>
      <c r="E2567" s="151" t="str">
        <f>'Reported burning'!E2567</f>
        <v>Cattle, Extensive</v>
      </c>
      <c r="F2567" s="151" t="str">
        <f>'Reported burning'!F2567</f>
        <v>Shrubland (Mixed forest &amp; grassland)</v>
      </c>
      <c r="G2567" s="151" t="str">
        <f>'Reported burning'!G2567</f>
        <v>ND</v>
      </c>
      <c r="H2567" s="151" t="str">
        <f>'Reported burning'!H2567</f>
        <v>Presence</v>
      </c>
      <c r="I2567" s="5"/>
      <c r="J2567" s="198" t="s">
        <v>2272</v>
      </c>
      <c r="K2567" s="198" t="s">
        <v>2272</v>
      </c>
      <c r="L2567" s="198" t="s">
        <v>2272</v>
      </c>
      <c r="M2567" s="198" t="s">
        <v>2272</v>
      </c>
      <c r="N2567" s="198" t="s">
        <v>2272</v>
      </c>
      <c r="O2567" s="198" t="s">
        <v>2272</v>
      </c>
      <c r="P2567" s="198" t="s">
        <v>2272</v>
      </c>
      <c r="Q2567" s="198" t="s">
        <v>2272</v>
      </c>
      <c r="R2567" s="198" t="s">
        <v>2272</v>
      </c>
      <c r="S2567" s="198" t="s">
        <v>2272</v>
      </c>
      <c r="T2567" s="198" t="s">
        <v>2272</v>
      </c>
      <c r="U2567" s="198" t="s">
        <v>2272</v>
      </c>
      <c r="V2567" s="198" t="s">
        <v>2272</v>
      </c>
      <c r="W2567" s="198" t="s">
        <v>2272</v>
      </c>
      <c r="X2567" s="198" t="s">
        <v>2272</v>
      </c>
      <c r="Y2567" s="198" t="s">
        <v>2272</v>
      </c>
      <c r="Z2567" s="198" t="s">
        <v>2272</v>
      </c>
      <c r="AA2567" s="198" t="s">
        <v>2272</v>
      </c>
      <c r="AB2567" s="198"/>
      <c r="AC2567" s="198"/>
    </row>
    <row r="2568" spans="1:29" ht="28" customHeight="1">
      <c r="A2568" s="151" t="str">
        <f>'Reported burning'!A2568</f>
        <v>303g</v>
      </c>
      <c r="B2568" s="151" t="str">
        <f>'Reported burning'!B2568</f>
        <v>303g.1</v>
      </c>
      <c r="C2568" s="151" t="str">
        <f>'Reported burning'!C2568</f>
        <v>Human, deliberate</v>
      </c>
      <c r="D2568" s="151" t="str">
        <f>'Reported burning'!D2568</f>
        <v>Rangeland management</v>
      </c>
      <c r="E2568" s="151" t="str">
        <f>'Reported burning'!E2568</f>
        <v>Cattle, Extensive</v>
      </c>
      <c r="F2568" s="151" t="str">
        <f>'Reported burning'!F2568</f>
        <v>Shrubland (Mixed forest &amp; grassland)</v>
      </c>
      <c r="G2568" s="151" t="str">
        <f>'Reported burning'!G2568</f>
        <v>ND</v>
      </c>
      <c r="H2568" s="151" t="str">
        <f>'Reported burning'!H2568</f>
        <v>Presence</v>
      </c>
      <c r="I2568" s="5"/>
      <c r="J2568" s="198" t="s">
        <v>2272</v>
      </c>
      <c r="K2568" s="198" t="s">
        <v>2272</v>
      </c>
      <c r="L2568" s="198" t="s">
        <v>2272</v>
      </c>
      <c r="M2568" s="198" t="s">
        <v>2272</v>
      </c>
      <c r="N2568" s="198" t="s">
        <v>2272</v>
      </c>
      <c r="O2568" s="198" t="s">
        <v>2272</v>
      </c>
      <c r="P2568" s="198" t="s">
        <v>2272</v>
      </c>
      <c r="Q2568" s="198" t="s">
        <v>2272</v>
      </c>
      <c r="R2568" s="198" t="s">
        <v>2272</v>
      </c>
      <c r="S2568" s="198" t="s">
        <v>2272</v>
      </c>
      <c r="T2568" s="198" t="s">
        <v>2272</v>
      </c>
      <c r="U2568" s="198" t="s">
        <v>2272</v>
      </c>
      <c r="V2568" s="198" t="s">
        <v>2272</v>
      </c>
      <c r="W2568" s="198" t="s">
        <v>2272</v>
      </c>
      <c r="X2568" s="198" t="s">
        <v>2272</v>
      </c>
      <c r="Y2568" s="198" t="s">
        <v>2272</v>
      </c>
      <c r="Z2568" s="198" t="s">
        <v>2272</v>
      </c>
      <c r="AA2568" s="198" t="s">
        <v>2272</v>
      </c>
      <c r="AB2568" s="198"/>
      <c r="AC2568" s="198"/>
    </row>
    <row r="2569" spans="1:29" ht="36" customHeight="1">
      <c r="A2569" s="151" t="str">
        <f>'Reported burning'!A2569</f>
        <v>303h</v>
      </c>
      <c r="B2569" s="151" t="str">
        <f>'Reported burning'!B2569</f>
        <v>303h.1</v>
      </c>
      <c r="C2569" s="151" t="str">
        <f>'Reported burning'!C2569</f>
        <v>Human, deliberate</v>
      </c>
      <c r="D2569" s="151" t="str">
        <f>'Reported burning'!D2569</f>
        <v>Rangeland management</v>
      </c>
      <c r="E2569" s="151" t="str">
        <f>'Reported burning'!E2569</f>
        <v>Cattle, Extensive</v>
      </c>
      <c r="F2569" s="151" t="str">
        <f>'Reported burning'!F2569</f>
        <v>Shrubland (Mixed forest &amp; grassland)</v>
      </c>
      <c r="G2569" s="151" t="str">
        <f>'Reported burning'!G2569</f>
        <v>ND</v>
      </c>
      <c r="H2569" s="151" t="str">
        <f>'Reported burning'!H2569</f>
        <v>Presence</v>
      </c>
      <c r="I2569" s="5"/>
      <c r="J2569" s="198" t="s">
        <v>2272</v>
      </c>
      <c r="K2569" s="198" t="s">
        <v>2272</v>
      </c>
      <c r="L2569" s="198" t="s">
        <v>2272</v>
      </c>
      <c r="M2569" s="198" t="s">
        <v>2272</v>
      </c>
      <c r="N2569" s="198" t="s">
        <v>2272</v>
      </c>
      <c r="O2569" s="198" t="s">
        <v>2272</v>
      </c>
      <c r="P2569" s="198" t="s">
        <v>2272</v>
      </c>
      <c r="Q2569" s="198" t="s">
        <v>2272</v>
      </c>
      <c r="R2569" s="198" t="s">
        <v>2272</v>
      </c>
      <c r="S2569" s="198" t="s">
        <v>2272</v>
      </c>
      <c r="T2569" s="198" t="s">
        <v>2272</v>
      </c>
      <c r="U2569" s="198" t="s">
        <v>2272</v>
      </c>
      <c r="V2569" s="198" t="s">
        <v>2272</v>
      </c>
      <c r="W2569" s="198" t="s">
        <v>2272</v>
      </c>
      <c r="X2569" s="198" t="s">
        <v>2272</v>
      </c>
      <c r="Y2569" s="198" t="s">
        <v>2272</v>
      </c>
      <c r="Z2569" s="198" t="s">
        <v>2272</v>
      </c>
      <c r="AA2569" s="198" t="s">
        <v>2272</v>
      </c>
      <c r="AB2569" s="198"/>
      <c r="AC2569" s="198"/>
    </row>
    <row r="2570" spans="1:29" ht="36.5" customHeight="1">
      <c r="A2570" s="151" t="str">
        <f>'Reported burning'!A2570</f>
        <v>303i</v>
      </c>
      <c r="B2570" s="151" t="str">
        <f>'Reported burning'!B2570</f>
        <v>303i.1</v>
      </c>
      <c r="C2570" s="151" t="str">
        <f>'Reported burning'!C2570</f>
        <v>Human, deliberate</v>
      </c>
      <c r="D2570" s="151" t="str">
        <f>'Reported burning'!D2570</f>
        <v>Rangeland management</v>
      </c>
      <c r="E2570" s="151" t="str">
        <f>'Reported burning'!E2570</f>
        <v>Cattle, Extensive</v>
      </c>
      <c r="F2570" s="151" t="str">
        <f>'Reported burning'!F2570</f>
        <v>Shrubland (Mixed forest &amp; grassland)</v>
      </c>
      <c r="G2570" s="151" t="str">
        <f>'Reported burning'!G2570</f>
        <v>ND</v>
      </c>
      <c r="H2570" s="151" t="str">
        <f>'Reported burning'!H2570</f>
        <v>Presence</v>
      </c>
      <c r="I2570" s="5"/>
      <c r="J2570" s="198" t="s">
        <v>2272</v>
      </c>
      <c r="K2570" s="198" t="s">
        <v>2272</v>
      </c>
      <c r="L2570" s="198" t="s">
        <v>2272</v>
      </c>
      <c r="M2570" s="198" t="s">
        <v>2272</v>
      </c>
      <c r="N2570" s="198" t="s">
        <v>2272</v>
      </c>
      <c r="O2570" s="198" t="s">
        <v>2272</v>
      </c>
      <c r="P2570" s="198" t="s">
        <v>2272</v>
      </c>
      <c r="Q2570" s="198" t="s">
        <v>2272</v>
      </c>
      <c r="R2570" s="198" t="s">
        <v>2272</v>
      </c>
      <c r="S2570" s="198" t="s">
        <v>2272</v>
      </c>
      <c r="T2570" s="198" t="s">
        <v>2272</v>
      </c>
      <c r="U2570" s="198" t="s">
        <v>2272</v>
      </c>
      <c r="V2570" s="198" t="s">
        <v>2272</v>
      </c>
      <c r="W2570" s="198" t="s">
        <v>2272</v>
      </c>
      <c r="X2570" s="198" t="s">
        <v>2272</v>
      </c>
      <c r="Y2570" s="198" t="s">
        <v>2272</v>
      </c>
      <c r="Z2570" s="198" t="s">
        <v>2272</v>
      </c>
      <c r="AA2570" s="198" t="s">
        <v>2272</v>
      </c>
      <c r="AB2570" s="198"/>
      <c r="AC2570" s="198"/>
    </row>
    <row r="2571" spans="1:29" ht="36.5" customHeight="1">
      <c r="A2571" s="151" t="str">
        <f>'Reported burning'!A2571</f>
        <v>303j</v>
      </c>
      <c r="B2571" s="151" t="str">
        <f>'Reported burning'!B2571</f>
        <v>303j.1</v>
      </c>
      <c r="C2571" s="151" t="str">
        <f>'Reported burning'!C2571</f>
        <v>Human, deliberate</v>
      </c>
      <c r="D2571" s="151" t="str">
        <f>'Reported burning'!D2571</f>
        <v>Rangeland management</v>
      </c>
      <c r="E2571" s="151" t="str">
        <f>'Reported burning'!E2571</f>
        <v>Cattle, Extensive</v>
      </c>
      <c r="F2571" s="151" t="str">
        <f>'Reported burning'!F2571</f>
        <v>Shrubland (Mixed forest &amp; grassland)</v>
      </c>
      <c r="G2571" s="151" t="str">
        <f>'Reported burning'!G2571</f>
        <v>ND</v>
      </c>
      <c r="H2571" s="151" t="str">
        <f>'Reported burning'!H2571</f>
        <v>Presence</v>
      </c>
      <c r="I2571" s="5"/>
      <c r="J2571" s="198" t="s">
        <v>2272</v>
      </c>
      <c r="K2571" s="198" t="s">
        <v>2272</v>
      </c>
      <c r="L2571" s="198" t="s">
        <v>2272</v>
      </c>
      <c r="M2571" s="198" t="s">
        <v>2272</v>
      </c>
      <c r="N2571" s="198" t="s">
        <v>2272</v>
      </c>
      <c r="O2571" s="198" t="s">
        <v>2272</v>
      </c>
      <c r="P2571" s="198" t="s">
        <v>2272</v>
      </c>
      <c r="Q2571" s="198" t="s">
        <v>2272</v>
      </c>
      <c r="R2571" s="198" t="s">
        <v>2272</v>
      </c>
      <c r="S2571" s="198" t="s">
        <v>2272</v>
      </c>
      <c r="T2571" s="198" t="s">
        <v>2272</v>
      </c>
      <c r="U2571" s="198" t="s">
        <v>2272</v>
      </c>
      <c r="V2571" s="198" t="s">
        <v>2272</v>
      </c>
      <c r="W2571" s="198" t="s">
        <v>2272</v>
      </c>
      <c r="X2571" s="198" t="s">
        <v>2272</v>
      </c>
      <c r="Y2571" s="198" t="s">
        <v>2272</v>
      </c>
      <c r="Z2571" s="198" t="s">
        <v>2272</v>
      </c>
      <c r="AA2571" s="198" t="s">
        <v>2272</v>
      </c>
      <c r="AB2571" s="198"/>
      <c r="AC2571" s="198"/>
    </row>
    <row r="2572" spans="1:29" ht="36.5" customHeight="1">
      <c r="A2572" s="151" t="str">
        <f>'Reported burning'!A2572</f>
        <v>303k</v>
      </c>
      <c r="B2572" s="151" t="str">
        <f>'Reported burning'!B2572</f>
        <v>303k.1</v>
      </c>
      <c r="C2572" s="151" t="str">
        <f>'Reported burning'!C2572</f>
        <v>Human, deliberate</v>
      </c>
      <c r="D2572" s="151" t="str">
        <f>'Reported burning'!D2572</f>
        <v>Rangeland management</v>
      </c>
      <c r="E2572" s="151" t="str">
        <f>'Reported burning'!E2572</f>
        <v>Cattle, Extensive</v>
      </c>
      <c r="F2572" s="151" t="str">
        <f>'Reported burning'!F2572</f>
        <v>Shrubland (Mixed forest &amp; grassland)</v>
      </c>
      <c r="G2572" s="151" t="str">
        <f>'Reported burning'!G2572</f>
        <v>ND</v>
      </c>
      <c r="H2572" s="151" t="str">
        <f>'Reported burning'!H2572</f>
        <v>Presence</v>
      </c>
      <c r="I2572" s="5"/>
      <c r="J2572" s="198" t="s">
        <v>2272</v>
      </c>
      <c r="K2572" s="198" t="s">
        <v>2272</v>
      </c>
      <c r="L2572" s="198" t="s">
        <v>2272</v>
      </c>
      <c r="M2572" s="198" t="s">
        <v>2272</v>
      </c>
      <c r="N2572" s="198" t="s">
        <v>2272</v>
      </c>
      <c r="O2572" s="198" t="s">
        <v>2272</v>
      </c>
      <c r="P2572" s="198" t="s">
        <v>2272</v>
      </c>
      <c r="Q2572" s="198" t="s">
        <v>2272</v>
      </c>
      <c r="R2572" s="198" t="s">
        <v>2272</v>
      </c>
      <c r="S2572" s="198" t="s">
        <v>2272</v>
      </c>
      <c r="T2572" s="198" t="s">
        <v>2272</v>
      </c>
      <c r="U2572" s="198" t="s">
        <v>2272</v>
      </c>
      <c r="V2572" s="198" t="s">
        <v>2272</v>
      </c>
      <c r="W2572" s="198" t="s">
        <v>2272</v>
      </c>
      <c r="X2572" s="198" t="s">
        <v>2272</v>
      </c>
      <c r="Y2572" s="198" t="s">
        <v>2272</v>
      </c>
      <c r="Z2572" s="198" t="s">
        <v>2272</v>
      </c>
      <c r="AA2572" s="198" t="s">
        <v>2272</v>
      </c>
      <c r="AB2572" s="198"/>
      <c r="AC2572" s="198"/>
    </row>
    <row r="2573" spans="1:29" ht="36.5" customHeight="1">
      <c r="A2573" s="151" t="str">
        <f>'Reported burning'!A2573</f>
        <v>303l</v>
      </c>
      <c r="B2573" s="151" t="str">
        <f>'Reported burning'!B2573</f>
        <v>303l.1</v>
      </c>
      <c r="C2573" s="151" t="str">
        <f>'Reported burning'!C2573</f>
        <v>Human, deliberate</v>
      </c>
      <c r="D2573" s="151" t="str">
        <f>'Reported burning'!D2573</f>
        <v>Rangeland management</v>
      </c>
      <c r="E2573" s="151" t="str">
        <f>'Reported burning'!E2573</f>
        <v>Cattle, Extensive</v>
      </c>
      <c r="F2573" s="151" t="str">
        <f>'Reported burning'!F2573</f>
        <v>Shrubland (Mixed forest &amp; grassland)</v>
      </c>
      <c r="G2573" s="151" t="str">
        <f>'Reported burning'!G2573</f>
        <v>ND</v>
      </c>
      <c r="H2573" s="151" t="str">
        <f>'Reported burning'!H2573</f>
        <v>Presence</v>
      </c>
      <c r="I2573" s="5"/>
      <c r="J2573" s="198" t="s">
        <v>2272</v>
      </c>
      <c r="K2573" s="198" t="s">
        <v>2272</v>
      </c>
      <c r="L2573" s="198" t="s">
        <v>2272</v>
      </c>
      <c r="M2573" s="198" t="s">
        <v>2272</v>
      </c>
      <c r="N2573" s="198" t="s">
        <v>2272</v>
      </c>
      <c r="O2573" s="198" t="s">
        <v>2272</v>
      </c>
      <c r="P2573" s="198" t="s">
        <v>2272</v>
      </c>
      <c r="Q2573" s="198" t="s">
        <v>2272</v>
      </c>
      <c r="R2573" s="198" t="s">
        <v>2272</v>
      </c>
      <c r="S2573" s="198" t="s">
        <v>2272</v>
      </c>
      <c r="T2573" s="198" t="s">
        <v>2272</v>
      </c>
      <c r="U2573" s="198" t="s">
        <v>2272</v>
      </c>
      <c r="V2573" s="198" t="s">
        <v>2272</v>
      </c>
      <c r="W2573" s="198" t="s">
        <v>2272</v>
      </c>
      <c r="X2573" s="198" t="s">
        <v>2272</v>
      </c>
      <c r="Y2573" s="198" t="s">
        <v>2272</v>
      </c>
      <c r="Z2573" s="198" t="s">
        <v>2272</v>
      </c>
      <c r="AA2573" s="198" t="s">
        <v>2272</v>
      </c>
      <c r="AB2573" s="198"/>
      <c r="AC2573" s="198"/>
    </row>
    <row r="2574" spans="1:29" ht="36.5" customHeight="1">
      <c r="A2574" s="151" t="str">
        <f>'Reported burning'!A2574</f>
        <v>303aj</v>
      </c>
      <c r="B2574" s="151" t="str">
        <f>'Reported burning'!B2574</f>
        <v>303aj.1</v>
      </c>
      <c r="C2574" s="151" t="str">
        <f>'Reported burning'!C2574</f>
        <v>Human, deliberate</v>
      </c>
      <c r="D2574" s="151" t="str">
        <f>'Reported burning'!D2574</f>
        <v>Rangeland management</v>
      </c>
      <c r="E2574" s="151" t="str">
        <f>'Reported burning'!E2574</f>
        <v>Cattle, Extensive</v>
      </c>
      <c r="F2574" s="151" t="str">
        <f>'Reported burning'!F2574</f>
        <v>Shrubland (Mixed forest &amp; grassland)</v>
      </c>
      <c r="G2574" s="151" t="str">
        <f>'Reported burning'!G2574</f>
        <v>ND</v>
      </c>
      <c r="H2574" s="151" t="str">
        <f>'Reported burning'!H2574</f>
        <v>Presence</v>
      </c>
      <c r="I2574" s="5"/>
      <c r="J2574" s="198" t="s">
        <v>2272</v>
      </c>
      <c r="K2574" s="198" t="s">
        <v>2272</v>
      </c>
      <c r="L2574" s="198" t="s">
        <v>2272</v>
      </c>
      <c r="M2574" s="198" t="s">
        <v>2272</v>
      </c>
      <c r="N2574" s="198" t="s">
        <v>2272</v>
      </c>
      <c r="O2574" s="198" t="s">
        <v>2272</v>
      </c>
      <c r="P2574" s="198" t="s">
        <v>2272</v>
      </c>
      <c r="Q2574" s="198" t="s">
        <v>2272</v>
      </c>
      <c r="R2574" s="198" t="s">
        <v>2272</v>
      </c>
      <c r="S2574" s="198" t="s">
        <v>2272</v>
      </c>
      <c r="T2574" s="198" t="s">
        <v>2272</v>
      </c>
      <c r="U2574" s="198" t="s">
        <v>2272</v>
      </c>
      <c r="V2574" s="198" t="s">
        <v>2272</v>
      </c>
      <c r="W2574" s="198" t="s">
        <v>2272</v>
      </c>
      <c r="X2574" s="21" t="s">
        <v>2396</v>
      </c>
      <c r="Y2574" s="198" t="s">
        <v>33</v>
      </c>
      <c r="Z2574" s="198" t="s">
        <v>403</v>
      </c>
      <c r="AA2574" s="198" t="s">
        <v>2272</v>
      </c>
      <c r="AB2574" s="11" t="s">
        <v>7211</v>
      </c>
      <c r="AC2574" s="198"/>
    </row>
    <row r="2575" spans="1:29" ht="36.5" customHeight="1">
      <c r="A2575" s="151" t="str">
        <f>'Reported burning'!A2575</f>
        <v>303aj</v>
      </c>
      <c r="B2575" s="151" t="str">
        <f>'Reported burning'!B2575</f>
        <v>303aj.2</v>
      </c>
      <c r="C2575" s="151" t="str">
        <f>'Reported burning'!C2575</f>
        <v>Human, escaped</v>
      </c>
      <c r="D2575" s="151" t="str">
        <f>'Reported burning'!D2575</f>
        <v>Rangeland management</v>
      </c>
      <c r="E2575" s="151" t="str">
        <f>'Reported burning'!E2575</f>
        <v>Cattle, Extensive</v>
      </c>
      <c r="F2575" s="151" t="str">
        <f>'Reported burning'!F2575</f>
        <v>Shrubland (Mixed forest &amp; grassland)</v>
      </c>
      <c r="G2575" s="151" t="str">
        <f>'Reported burning'!G2575</f>
        <v>ND</v>
      </c>
      <c r="H2575" s="151" t="str">
        <f>'Reported burning'!H2575</f>
        <v>Presence</v>
      </c>
      <c r="I2575" s="5"/>
      <c r="J2575" s="198" t="s">
        <v>2272</v>
      </c>
      <c r="K2575" s="198" t="s">
        <v>2272</v>
      </c>
      <c r="L2575" s="198" t="s">
        <v>2272</v>
      </c>
      <c r="M2575" s="198" t="s">
        <v>2272</v>
      </c>
      <c r="N2575" s="198" t="s">
        <v>2272</v>
      </c>
      <c r="O2575" s="198" t="s">
        <v>2272</v>
      </c>
      <c r="P2575" s="198" t="s">
        <v>2272</v>
      </c>
      <c r="Q2575" s="198" t="s">
        <v>2272</v>
      </c>
      <c r="R2575" s="198" t="s">
        <v>2272</v>
      </c>
      <c r="S2575" s="198" t="s">
        <v>2272</v>
      </c>
      <c r="T2575" s="198" t="s">
        <v>2272</v>
      </c>
      <c r="U2575" s="198" t="s">
        <v>2272</v>
      </c>
      <c r="V2575" s="198" t="s">
        <v>2272</v>
      </c>
      <c r="W2575" s="198" t="s">
        <v>2272</v>
      </c>
      <c r="X2575" s="198" t="s">
        <v>2272</v>
      </c>
      <c r="Y2575" s="198" t="s">
        <v>2272</v>
      </c>
      <c r="Z2575" s="198" t="s">
        <v>2272</v>
      </c>
      <c r="AA2575" s="198" t="s">
        <v>2272</v>
      </c>
      <c r="AB2575" s="11" t="s">
        <v>7214</v>
      </c>
      <c r="AC2575" s="198"/>
    </row>
    <row r="2576" spans="1:29" ht="36.5" customHeight="1">
      <c r="A2576" s="151" t="str">
        <f>'Reported burning'!A2576</f>
        <v>303ak</v>
      </c>
      <c r="B2576" s="151" t="str">
        <f>'Reported burning'!B2576</f>
        <v>303ak.1</v>
      </c>
      <c r="C2576" s="151" t="str">
        <f>'Reported burning'!C2576</f>
        <v>Human, deliberate</v>
      </c>
      <c r="D2576" s="151" t="str">
        <f>'Reported burning'!D2576</f>
        <v>Rangeland management</v>
      </c>
      <c r="E2576" s="151" t="str">
        <f>'Reported burning'!E2576</f>
        <v>Cattle, Extensive</v>
      </c>
      <c r="F2576" s="151" t="str">
        <f>'Reported burning'!F2576</f>
        <v>Shrubland (Mixed forest &amp; grassland)</v>
      </c>
      <c r="G2576" s="151" t="str">
        <f>'Reported burning'!G2576</f>
        <v>ND</v>
      </c>
      <c r="H2576" s="151" t="str">
        <f>'Reported burning'!H2576</f>
        <v>Presence</v>
      </c>
      <c r="I2576" s="5"/>
      <c r="J2576" s="198" t="s">
        <v>2272</v>
      </c>
      <c r="K2576" s="198" t="s">
        <v>2272</v>
      </c>
      <c r="L2576" s="198" t="s">
        <v>2272</v>
      </c>
      <c r="M2576" s="198" t="s">
        <v>2272</v>
      </c>
      <c r="N2576" s="198" t="s">
        <v>2272</v>
      </c>
      <c r="O2576" s="198" t="s">
        <v>2272</v>
      </c>
      <c r="P2576" s="198" t="s">
        <v>2272</v>
      </c>
      <c r="Q2576" s="198" t="s">
        <v>2272</v>
      </c>
      <c r="R2576" s="198" t="s">
        <v>2272</v>
      </c>
      <c r="S2576" s="198" t="s">
        <v>2272</v>
      </c>
      <c r="T2576" s="198" t="s">
        <v>2272</v>
      </c>
      <c r="U2576" s="198" t="s">
        <v>2272</v>
      </c>
      <c r="V2576" s="198" t="s">
        <v>2272</v>
      </c>
      <c r="W2576" s="198" t="s">
        <v>2272</v>
      </c>
      <c r="X2576" s="21" t="s">
        <v>2396</v>
      </c>
      <c r="Y2576" s="198" t="s">
        <v>33</v>
      </c>
      <c r="Z2576" s="198" t="s">
        <v>403</v>
      </c>
      <c r="AA2576" s="198" t="s">
        <v>2272</v>
      </c>
      <c r="AB2576" s="11" t="s">
        <v>7211</v>
      </c>
      <c r="AC2576" s="198"/>
    </row>
    <row r="2577" spans="1:29" s="197" customFormat="1" ht="36.5" customHeight="1">
      <c r="A2577" s="147" t="str">
        <f>'Reported burning'!A2577</f>
        <v>303al</v>
      </c>
      <c r="B2577" s="147" t="str">
        <f>'Reported burning'!B2577</f>
        <v>303al.1</v>
      </c>
      <c r="C2577" s="147" t="str">
        <f>'Reported burning'!C2577</f>
        <v>Human, deliberate</v>
      </c>
      <c r="D2577" s="147" t="str">
        <f>'Reported burning'!D2577</f>
        <v>Rangeland management</v>
      </c>
      <c r="E2577" s="147" t="str">
        <f>'Reported burning'!E2577</f>
        <v>Cattle, Extensive</v>
      </c>
      <c r="F2577" s="147" t="str">
        <f>'Reported burning'!F2577</f>
        <v>Shrubland (Mixed forest &amp; grassland)</v>
      </c>
      <c r="G2577" s="147" t="str">
        <f>'Reported burning'!G2577</f>
        <v>ND</v>
      </c>
      <c r="H2577" s="147" t="str">
        <f>'Reported burning'!H2577</f>
        <v>Presence</v>
      </c>
      <c r="I2577" s="5"/>
      <c r="J2577" s="198" t="s">
        <v>2272</v>
      </c>
      <c r="K2577" s="198" t="s">
        <v>2272</v>
      </c>
      <c r="L2577" s="198" t="s">
        <v>2272</v>
      </c>
      <c r="M2577" s="198" t="s">
        <v>2272</v>
      </c>
      <c r="N2577" s="198" t="s">
        <v>2272</v>
      </c>
      <c r="O2577" s="198" t="s">
        <v>2272</v>
      </c>
      <c r="P2577" s="198" t="s">
        <v>2272</v>
      </c>
      <c r="Q2577" s="198" t="s">
        <v>2272</v>
      </c>
      <c r="R2577" s="198" t="s">
        <v>2272</v>
      </c>
      <c r="S2577" s="198" t="s">
        <v>2272</v>
      </c>
      <c r="T2577" s="198" t="s">
        <v>2272</v>
      </c>
      <c r="U2577" s="198" t="s">
        <v>2272</v>
      </c>
      <c r="V2577" s="198" t="s">
        <v>2272</v>
      </c>
      <c r="W2577" s="198" t="s">
        <v>2272</v>
      </c>
      <c r="X2577" s="21" t="s">
        <v>2396</v>
      </c>
      <c r="Y2577" s="198" t="s">
        <v>33</v>
      </c>
      <c r="Z2577" s="198" t="s">
        <v>403</v>
      </c>
      <c r="AA2577" s="198" t="s">
        <v>2272</v>
      </c>
      <c r="AB2577" s="11" t="s">
        <v>7211</v>
      </c>
      <c r="AC2577" s="198"/>
    </row>
    <row r="2578" spans="1:29" ht="36.5" customHeight="1">
      <c r="A2578" s="151" t="str">
        <f>'Reported burning'!A2578</f>
        <v>303am</v>
      </c>
      <c r="B2578" s="151" t="str">
        <f>'Reported burning'!B2578</f>
        <v>303am.1</v>
      </c>
      <c r="C2578" s="151" t="str">
        <f>'Reported burning'!C2578</f>
        <v>Human, deliberate</v>
      </c>
      <c r="D2578" s="151" t="str">
        <f>'Reported burning'!D2578</f>
        <v>Rangeland management</v>
      </c>
      <c r="E2578" s="151" t="str">
        <f>'Reported burning'!E2578</f>
        <v>Cattle, Extensive</v>
      </c>
      <c r="F2578" s="151" t="str">
        <f>'Reported burning'!F2578</f>
        <v>Shrubland (Mixed forest &amp; grassland)</v>
      </c>
      <c r="G2578" s="151" t="str">
        <f>'Reported burning'!G2578</f>
        <v>ND</v>
      </c>
      <c r="H2578" s="151" t="str">
        <f>'Reported burning'!H2578</f>
        <v>Presence</v>
      </c>
      <c r="I2578" s="5"/>
      <c r="J2578" s="198" t="s">
        <v>2272</v>
      </c>
      <c r="K2578" s="198" t="s">
        <v>2272</v>
      </c>
      <c r="L2578" s="198" t="s">
        <v>2272</v>
      </c>
      <c r="M2578" s="198" t="s">
        <v>2272</v>
      </c>
      <c r="N2578" s="198" t="s">
        <v>2272</v>
      </c>
      <c r="O2578" s="198" t="s">
        <v>2272</v>
      </c>
      <c r="P2578" s="198" t="s">
        <v>2272</v>
      </c>
      <c r="Q2578" s="198" t="s">
        <v>2272</v>
      </c>
      <c r="R2578" s="198" t="s">
        <v>2272</v>
      </c>
      <c r="S2578" s="198" t="s">
        <v>2272</v>
      </c>
      <c r="T2578" s="198" t="s">
        <v>2272</v>
      </c>
      <c r="U2578" s="198" t="s">
        <v>2272</v>
      </c>
      <c r="V2578" s="198" t="s">
        <v>2272</v>
      </c>
      <c r="W2578" s="198" t="s">
        <v>2272</v>
      </c>
      <c r="X2578" s="198" t="s">
        <v>2272</v>
      </c>
      <c r="Y2578" s="198" t="s">
        <v>2272</v>
      </c>
      <c r="Z2578" s="198" t="s">
        <v>2272</v>
      </c>
      <c r="AA2578" s="198" t="s">
        <v>2272</v>
      </c>
      <c r="AB2578" s="11"/>
      <c r="AC2578" s="198"/>
    </row>
    <row r="2579" spans="1:29" ht="37.5" customHeight="1">
      <c r="A2579" s="151" t="str">
        <f>'Reported burning'!A2579</f>
        <v>303am</v>
      </c>
      <c r="B2579" s="151" t="str">
        <f>'Reported burning'!B2579</f>
        <v>303am.2</v>
      </c>
      <c r="C2579" s="151" t="str">
        <f>'Reported burning'!C2579</f>
        <v>Human, deliberate</v>
      </c>
      <c r="D2579" s="151" t="str">
        <f>'Reported burning'!D2579</f>
        <v>Rangeland management</v>
      </c>
      <c r="E2579" s="151" t="str">
        <f>'Reported burning'!E2579</f>
        <v>Pastoralism, Migratory</v>
      </c>
      <c r="F2579" s="151" t="str">
        <f>'Reported burning'!F2579</f>
        <v>Shrubland (Mixed forest &amp; grassland)</v>
      </c>
      <c r="G2579" s="151" t="str">
        <f>'Reported burning'!G2579</f>
        <v>ND</v>
      </c>
      <c r="H2579" s="151" t="str">
        <f>'Reported burning'!H2579</f>
        <v>Presence</v>
      </c>
      <c r="I2579" s="5"/>
      <c r="J2579" s="198" t="s">
        <v>2272</v>
      </c>
      <c r="K2579" s="198" t="s">
        <v>2272</v>
      </c>
      <c r="L2579" s="198" t="s">
        <v>2272</v>
      </c>
      <c r="M2579" s="198" t="s">
        <v>2272</v>
      </c>
      <c r="N2579" s="198" t="s">
        <v>2272</v>
      </c>
      <c r="O2579" s="198" t="s">
        <v>2272</v>
      </c>
      <c r="P2579" s="198" t="s">
        <v>2272</v>
      </c>
      <c r="Q2579" s="198" t="s">
        <v>2272</v>
      </c>
      <c r="R2579" s="198" t="s">
        <v>2272</v>
      </c>
      <c r="S2579" s="198" t="s">
        <v>2272</v>
      </c>
      <c r="T2579" s="198" t="s">
        <v>2272</v>
      </c>
      <c r="U2579" s="198" t="s">
        <v>2272</v>
      </c>
      <c r="V2579" s="198" t="s">
        <v>2272</v>
      </c>
      <c r="W2579" s="198" t="s">
        <v>2272</v>
      </c>
      <c r="X2579" s="198" t="s">
        <v>2272</v>
      </c>
      <c r="Y2579" s="198" t="s">
        <v>2272</v>
      </c>
      <c r="Z2579" s="198" t="s">
        <v>2272</v>
      </c>
      <c r="AA2579" s="198" t="s">
        <v>2272</v>
      </c>
      <c r="AB2579" s="198"/>
      <c r="AC2579" s="198"/>
    </row>
    <row r="2580" spans="1:29" ht="44.5" customHeight="1">
      <c r="A2580" s="151" t="str">
        <f>'Reported burning'!A2580</f>
        <v>303an</v>
      </c>
      <c r="B2580" s="151" t="str">
        <f>'Reported burning'!B2580</f>
        <v>303an.1</v>
      </c>
      <c r="C2580" s="151" t="str">
        <f>'Reported burning'!C2580</f>
        <v>Human, deliberate</v>
      </c>
      <c r="D2580" s="151" t="str">
        <f>'Reported burning'!D2580</f>
        <v>Rangeland management</v>
      </c>
      <c r="E2580" s="151" t="str">
        <f>'Reported burning'!E2580</f>
        <v>Cattle, Extensive</v>
      </c>
      <c r="F2580" s="151" t="str">
        <f>'Reported burning'!F2580</f>
        <v>Shrubland (Mixed forest &amp; grassland)</v>
      </c>
      <c r="G2580" s="151" t="str">
        <f>'Reported burning'!G2580</f>
        <v>ND</v>
      </c>
      <c r="H2580" s="151" t="str">
        <f>'Reported burning'!H2580</f>
        <v>Presence</v>
      </c>
      <c r="I2580" s="5"/>
      <c r="J2580" s="198" t="s">
        <v>2272</v>
      </c>
      <c r="K2580" s="198" t="s">
        <v>2272</v>
      </c>
      <c r="L2580" s="198" t="s">
        <v>2272</v>
      </c>
      <c r="M2580" s="198" t="s">
        <v>2272</v>
      </c>
      <c r="N2580" s="198" t="s">
        <v>2272</v>
      </c>
      <c r="O2580" s="198" t="s">
        <v>2272</v>
      </c>
      <c r="P2580" s="198" t="s">
        <v>2272</v>
      </c>
      <c r="Q2580" s="198" t="s">
        <v>2272</v>
      </c>
      <c r="R2580" s="198" t="s">
        <v>2272</v>
      </c>
      <c r="S2580" s="198" t="s">
        <v>2272</v>
      </c>
      <c r="T2580" s="198" t="s">
        <v>2272</v>
      </c>
      <c r="U2580" s="198" t="s">
        <v>2272</v>
      </c>
      <c r="V2580" s="198" t="s">
        <v>2272</v>
      </c>
      <c r="W2580" s="198" t="s">
        <v>2272</v>
      </c>
      <c r="X2580" s="198" t="s">
        <v>2272</v>
      </c>
      <c r="Y2580" s="198" t="s">
        <v>2272</v>
      </c>
      <c r="Z2580" s="198" t="s">
        <v>2272</v>
      </c>
      <c r="AA2580" s="198" t="s">
        <v>2272</v>
      </c>
      <c r="AB2580" s="198"/>
      <c r="AC2580" s="198"/>
    </row>
    <row r="2581" spans="1:29" ht="44.5" customHeight="1">
      <c r="A2581" s="151" t="str">
        <f>'Reported burning'!A2581</f>
        <v>303an</v>
      </c>
      <c r="B2581" s="151" t="str">
        <f>'Reported burning'!B2581</f>
        <v>303an.2</v>
      </c>
      <c r="C2581" s="151" t="str">
        <f>'Reported burning'!C2581</f>
        <v>Human, deliberate</v>
      </c>
      <c r="D2581" s="151" t="str">
        <f>'Reported burning'!D2581</f>
        <v>Rangeland management</v>
      </c>
      <c r="E2581" s="151" t="str">
        <f>'Reported burning'!E2581</f>
        <v>Pastoralism, Migratory</v>
      </c>
      <c r="F2581" s="151" t="str">
        <f>'Reported burning'!F2581</f>
        <v>Shrubland (Mixed forest &amp; grassland)</v>
      </c>
      <c r="G2581" s="151" t="str">
        <f>'Reported burning'!G2581</f>
        <v>ND</v>
      </c>
      <c r="H2581" s="151" t="str">
        <f>'Reported burning'!H2581</f>
        <v>Presence</v>
      </c>
      <c r="I2581" s="5"/>
      <c r="J2581" s="198" t="s">
        <v>2272</v>
      </c>
      <c r="K2581" s="198" t="s">
        <v>2272</v>
      </c>
      <c r="L2581" s="198" t="s">
        <v>2272</v>
      </c>
      <c r="M2581" s="198" t="s">
        <v>2272</v>
      </c>
      <c r="N2581" s="198" t="s">
        <v>2272</v>
      </c>
      <c r="O2581" s="198" t="s">
        <v>2272</v>
      </c>
      <c r="P2581" s="198" t="s">
        <v>2272</v>
      </c>
      <c r="Q2581" s="198" t="s">
        <v>2272</v>
      </c>
      <c r="R2581" s="198" t="s">
        <v>2272</v>
      </c>
      <c r="S2581" s="198" t="s">
        <v>2272</v>
      </c>
      <c r="T2581" s="198" t="s">
        <v>2272</v>
      </c>
      <c r="U2581" s="198" t="s">
        <v>2272</v>
      </c>
      <c r="V2581" s="198" t="s">
        <v>2272</v>
      </c>
      <c r="W2581" s="198" t="s">
        <v>2272</v>
      </c>
      <c r="X2581" s="198" t="s">
        <v>2272</v>
      </c>
      <c r="Y2581" s="198" t="s">
        <v>2272</v>
      </c>
      <c r="Z2581" s="198" t="s">
        <v>2272</v>
      </c>
      <c r="AA2581" s="198" t="s">
        <v>2272</v>
      </c>
      <c r="AB2581" s="198"/>
      <c r="AC2581" s="198"/>
    </row>
    <row r="2582" spans="1:29" ht="44.5" customHeight="1">
      <c r="A2582" s="151" t="str">
        <f>'Reported burning'!A2582</f>
        <v>304a</v>
      </c>
      <c r="B2582" s="151" t="str">
        <f>'Reported burning'!B2582</f>
        <v>304a.1</v>
      </c>
      <c r="C2582" s="151" t="str">
        <f>'Reported burning'!C2582</f>
        <v>Human, deliberate</v>
      </c>
      <c r="D2582" s="151" t="str">
        <f>'Reported burning'!D2582</f>
        <v>Pyrome management</v>
      </c>
      <c r="E2582" s="151" t="str">
        <f>'Reported burning'!E2582</f>
        <v>Fire suppression agent</v>
      </c>
      <c r="F2582" s="151" t="str">
        <f>'Reported burning'!F2582</f>
        <v>Shrubland (Mixed forest &amp; grassland)</v>
      </c>
      <c r="G2582" s="151" t="str">
        <f>'Reported burning'!G2582</f>
        <v>ND</v>
      </c>
      <c r="H2582" s="151" t="str">
        <f>'Reported burning'!H2582</f>
        <v>Presence</v>
      </c>
      <c r="I2582" s="5"/>
      <c r="J2582" s="198" t="s">
        <v>2272</v>
      </c>
      <c r="K2582" s="21" t="s">
        <v>2360</v>
      </c>
      <c r="L2582" s="198" t="s">
        <v>2272</v>
      </c>
      <c r="M2582" s="198" t="s">
        <v>2272</v>
      </c>
      <c r="N2582" s="21" t="s">
        <v>2374</v>
      </c>
      <c r="O2582" s="198" t="s">
        <v>2272</v>
      </c>
      <c r="P2582" s="21" t="s">
        <v>2372</v>
      </c>
      <c r="Q2582" s="21" t="s">
        <v>2372</v>
      </c>
      <c r="R2582" s="21" t="s">
        <v>2371</v>
      </c>
      <c r="S2582" s="21" t="s">
        <v>2371</v>
      </c>
      <c r="T2582" s="198" t="s">
        <v>2272</v>
      </c>
      <c r="U2582" s="198" t="s">
        <v>2272</v>
      </c>
      <c r="V2582" s="198" t="s">
        <v>2272</v>
      </c>
      <c r="W2582" s="198" t="s">
        <v>2272</v>
      </c>
      <c r="X2582" s="198" t="s">
        <v>2272</v>
      </c>
      <c r="Y2582" s="198" t="s">
        <v>2272</v>
      </c>
      <c r="Z2582" s="198" t="s">
        <v>2272</v>
      </c>
      <c r="AA2582" s="198" t="s">
        <v>2272</v>
      </c>
      <c r="AB2582" s="198"/>
      <c r="AC2582" s="198"/>
    </row>
    <row r="2583" spans="1:29" ht="44.5" customHeight="1">
      <c r="A2583" s="151" t="str">
        <f>'Reported burning'!A2583</f>
        <v>304b</v>
      </c>
      <c r="B2583" s="151" t="str">
        <f>'Reported burning'!B2583</f>
        <v>304b.1</v>
      </c>
      <c r="C2583" s="151" t="str">
        <f>'Reported burning'!C2583</f>
        <v>Human, deliberate</v>
      </c>
      <c r="D2583" s="151" t="str">
        <f>'Reported burning'!D2583</f>
        <v>Pyrome management</v>
      </c>
      <c r="E2583" s="151" t="str">
        <f>'Reported burning'!E2583</f>
        <v>Fire suppression agent</v>
      </c>
      <c r="F2583" s="151" t="str">
        <f>'Reported burning'!F2583</f>
        <v>Shrubland (Mixed forest &amp; grassland)</v>
      </c>
      <c r="G2583" s="151" t="str">
        <f>'Reported burning'!G2583</f>
        <v>ND</v>
      </c>
      <c r="H2583" s="151" t="str">
        <f>'Reported burning'!H2583</f>
        <v>Absence</v>
      </c>
      <c r="I2583" s="5"/>
      <c r="J2583" s="21">
        <v>0</v>
      </c>
      <c r="K2583" s="21">
        <v>0</v>
      </c>
      <c r="L2583" s="21">
        <v>0</v>
      </c>
      <c r="M2583" s="21">
        <v>0</v>
      </c>
      <c r="N2583" s="21">
        <v>0</v>
      </c>
      <c r="O2583" s="21">
        <v>0</v>
      </c>
      <c r="P2583" s="21">
        <v>0</v>
      </c>
      <c r="Q2583" s="21">
        <v>0</v>
      </c>
      <c r="R2583" s="21">
        <v>0</v>
      </c>
      <c r="S2583" s="21">
        <v>0</v>
      </c>
      <c r="T2583" s="21">
        <v>0</v>
      </c>
      <c r="U2583" s="21">
        <v>0</v>
      </c>
      <c r="V2583" s="21">
        <v>0</v>
      </c>
      <c r="W2583" s="21">
        <v>0</v>
      </c>
      <c r="X2583" s="198" t="s">
        <v>2272</v>
      </c>
      <c r="Y2583" s="198" t="s">
        <v>2272</v>
      </c>
      <c r="Z2583" s="198" t="s">
        <v>2272</v>
      </c>
      <c r="AA2583" s="198" t="s">
        <v>2272</v>
      </c>
      <c r="AB2583" s="198"/>
      <c r="AC2583" s="198"/>
    </row>
    <row r="2584" spans="1:29" ht="33" customHeight="1">
      <c r="A2584" s="151" t="str">
        <f>'Reported burning'!A2584</f>
        <v>304b</v>
      </c>
      <c r="B2584" s="151" t="str">
        <f>'Reported burning'!B2584</f>
        <v>304b.2</v>
      </c>
      <c r="C2584" s="151" t="str">
        <f>'Reported burning'!C2584</f>
        <v>Human, deliberate</v>
      </c>
      <c r="D2584" s="151" t="str">
        <f>'Reported burning'!D2584</f>
        <v>Pyrome management</v>
      </c>
      <c r="E2584" s="151" t="str">
        <f>'Reported burning'!E2584</f>
        <v>Fire suppression agent</v>
      </c>
      <c r="F2584" s="151" t="str">
        <f>'Reported burning'!F2584</f>
        <v>Shrubland (Mixed forest &amp; grassland)</v>
      </c>
      <c r="G2584" s="151" t="str">
        <f>'Reported burning'!G2584</f>
        <v>ND</v>
      </c>
      <c r="H2584" s="151" t="str">
        <f>'Reported burning'!H2584</f>
        <v>Absence</v>
      </c>
      <c r="I2584" s="5"/>
      <c r="J2584" s="21">
        <v>0</v>
      </c>
      <c r="K2584" s="21">
        <v>0</v>
      </c>
      <c r="L2584" s="21">
        <v>0</v>
      </c>
      <c r="M2584" s="21">
        <v>0</v>
      </c>
      <c r="N2584" s="21">
        <v>0</v>
      </c>
      <c r="O2584" s="21">
        <v>0</v>
      </c>
      <c r="P2584" s="21">
        <v>0</v>
      </c>
      <c r="Q2584" s="21">
        <v>0</v>
      </c>
      <c r="R2584" s="21">
        <v>0</v>
      </c>
      <c r="S2584" s="21">
        <v>0</v>
      </c>
      <c r="T2584" s="21">
        <v>0</v>
      </c>
      <c r="U2584" s="21">
        <v>0</v>
      </c>
      <c r="V2584" s="21">
        <v>0</v>
      </c>
      <c r="W2584" s="21">
        <v>0</v>
      </c>
      <c r="X2584" s="198" t="s">
        <v>2272</v>
      </c>
      <c r="Y2584" s="198" t="s">
        <v>2272</v>
      </c>
      <c r="Z2584" s="198" t="s">
        <v>2272</v>
      </c>
      <c r="AA2584" s="198" t="s">
        <v>2272</v>
      </c>
      <c r="AB2584" s="198"/>
      <c r="AC2584" s="198"/>
    </row>
    <row r="2585" spans="1:29" ht="33" customHeight="1">
      <c r="A2585" s="151" t="str">
        <f>'Reported burning'!A2585</f>
        <v>304c</v>
      </c>
      <c r="B2585" s="151" t="str">
        <f>'Reported burning'!B2585</f>
        <v>304c.1</v>
      </c>
      <c r="C2585" s="151" t="str">
        <f>'Reported burning'!C2585</f>
        <v>Human, deliberate</v>
      </c>
      <c r="D2585" s="151" t="str">
        <f>'Reported burning'!D2585</f>
        <v>Pyrome management</v>
      </c>
      <c r="E2585" s="151" t="str">
        <f>'Reported burning'!E2585</f>
        <v>Fire suppression agent</v>
      </c>
      <c r="F2585" s="151" t="str">
        <f>'Reported burning'!F2585</f>
        <v>Shrubland (Mixed forest &amp; grassland)</v>
      </c>
      <c r="G2585" s="151" t="str">
        <f>'Reported burning'!G2585</f>
        <v>ND</v>
      </c>
      <c r="H2585" s="151" t="str">
        <f>'Reported burning'!H2585</f>
        <v>Presence</v>
      </c>
      <c r="I2585" s="5"/>
      <c r="J2585" s="198" t="s">
        <v>2272</v>
      </c>
      <c r="K2585" s="198" t="s">
        <v>2272</v>
      </c>
      <c r="L2585" s="198" t="s">
        <v>2272</v>
      </c>
      <c r="M2585" s="198" t="s">
        <v>2272</v>
      </c>
      <c r="N2585" s="198" t="s">
        <v>2272</v>
      </c>
      <c r="O2585" s="198" t="s">
        <v>2272</v>
      </c>
      <c r="P2585" s="198" t="s">
        <v>2272</v>
      </c>
      <c r="Q2585" s="198" t="s">
        <v>2272</v>
      </c>
      <c r="R2585" s="198" t="s">
        <v>2272</v>
      </c>
      <c r="S2585" s="198" t="s">
        <v>2272</v>
      </c>
      <c r="T2585" s="198" t="s">
        <v>2272</v>
      </c>
      <c r="U2585" s="198" t="s">
        <v>2272</v>
      </c>
      <c r="V2585" s="198" t="s">
        <v>2272</v>
      </c>
      <c r="W2585" s="198" t="s">
        <v>2272</v>
      </c>
      <c r="X2585" s="198" t="s">
        <v>2272</v>
      </c>
      <c r="Y2585" s="198" t="s">
        <v>2272</v>
      </c>
      <c r="Z2585" s="198" t="s">
        <v>2272</v>
      </c>
      <c r="AA2585" s="198" t="s">
        <v>2272</v>
      </c>
      <c r="AB2585" s="198"/>
      <c r="AC2585" s="198"/>
    </row>
    <row r="2586" spans="1:29" ht="33" customHeight="1">
      <c r="A2586" s="151" t="str">
        <f>'Reported burning'!A2586</f>
        <v>304d</v>
      </c>
      <c r="B2586" s="151" t="str">
        <f>'Reported burning'!B2586</f>
        <v>304d.1</v>
      </c>
      <c r="C2586" s="151" t="str">
        <f>'Reported burning'!C2586</f>
        <v>Human, deliberate</v>
      </c>
      <c r="D2586" s="151" t="str">
        <f>'Reported burning'!D2586</f>
        <v>Pyrome management</v>
      </c>
      <c r="E2586" s="151" t="str">
        <f>'Reported burning'!E2586</f>
        <v>Fire suppression agent</v>
      </c>
      <c r="F2586" s="151" t="str">
        <f>'Reported burning'!F2586</f>
        <v>Shrubland (Mixed forest &amp; grassland)</v>
      </c>
      <c r="G2586" s="151" t="str">
        <f>'Reported burning'!G2586</f>
        <v>ND</v>
      </c>
      <c r="H2586" s="151" t="str">
        <f>'Reported burning'!H2586</f>
        <v>Presence</v>
      </c>
      <c r="I2586" s="5"/>
      <c r="J2586" s="198" t="s">
        <v>2272</v>
      </c>
      <c r="K2586" s="198" t="s">
        <v>2272</v>
      </c>
      <c r="L2586" s="198" t="s">
        <v>2272</v>
      </c>
      <c r="M2586" s="198" t="s">
        <v>2272</v>
      </c>
      <c r="N2586" s="198" t="s">
        <v>2272</v>
      </c>
      <c r="O2586" s="198" t="s">
        <v>2272</v>
      </c>
      <c r="P2586" s="198" t="s">
        <v>2272</v>
      </c>
      <c r="Q2586" s="198" t="s">
        <v>2272</v>
      </c>
      <c r="R2586" s="198" t="s">
        <v>2272</v>
      </c>
      <c r="S2586" s="198" t="s">
        <v>2272</v>
      </c>
      <c r="T2586" s="198" t="s">
        <v>2272</v>
      </c>
      <c r="U2586" s="198" t="s">
        <v>2272</v>
      </c>
      <c r="V2586" s="198" t="s">
        <v>2272</v>
      </c>
      <c r="W2586" s="198" t="s">
        <v>2272</v>
      </c>
      <c r="X2586" s="198" t="s">
        <v>2272</v>
      </c>
      <c r="Y2586" s="198" t="s">
        <v>2272</v>
      </c>
      <c r="Z2586" s="198" t="s">
        <v>2272</v>
      </c>
      <c r="AA2586" s="198" t="s">
        <v>2272</v>
      </c>
      <c r="AB2586" s="198"/>
      <c r="AC2586" s="198"/>
    </row>
    <row r="2587" spans="1:29" ht="29" customHeight="1">
      <c r="A2587" s="151" t="str">
        <f>'Reported burning'!A2587</f>
        <v>304d</v>
      </c>
      <c r="B2587" s="151" t="str">
        <f>'Reported burning'!B2587</f>
        <v>304d.2</v>
      </c>
      <c r="C2587" s="151" t="str">
        <f>'Reported burning'!C2587</f>
        <v>Human, deliberate</v>
      </c>
      <c r="D2587" s="151" t="str">
        <f>'Reported burning'!D2587</f>
        <v>Rangeland management</v>
      </c>
      <c r="E2587" s="151" t="str">
        <f>'Reported burning'!E2587</f>
        <v>Cattle, Extensive</v>
      </c>
      <c r="F2587" s="151" t="str">
        <f>'Reported burning'!F2587</f>
        <v>Shrubland (Mixed forest &amp; grassland)</v>
      </c>
      <c r="G2587" s="151" t="str">
        <f>'Reported burning'!G2587</f>
        <v>ND</v>
      </c>
      <c r="H2587" s="151" t="str">
        <f>'Reported burning'!H2587</f>
        <v>Presence</v>
      </c>
      <c r="I2587" s="5"/>
      <c r="J2587" s="198" t="s">
        <v>2272</v>
      </c>
      <c r="K2587" s="198" t="s">
        <v>2272</v>
      </c>
      <c r="L2587" s="198" t="s">
        <v>2272</v>
      </c>
      <c r="M2587" s="198" t="s">
        <v>2272</v>
      </c>
      <c r="N2587" s="198" t="s">
        <v>2272</v>
      </c>
      <c r="O2587" s="198" t="s">
        <v>2272</v>
      </c>
      <c r="P2587" s="198" t="s">
        <v>2272</v>
      </c>
      <c r="Q2587" s="198" t="s">
        <v>2272</v>
      </c>
      <c r="R2587" s="198" t="s">
        <v>2272</v>
      </c>
      <c r="S2587" s="198" t="s">
        <v>2272</v>
      </c>
      <c r="T2587" s="14" t="s">
        <v>2369</v>
      </c>
      <c r="U2587" s="198" t="s">
        <v>2272</v>
      </c>
      <c r="V2587" s="198" t="s">
        <v>2272</v>
      </c>
      <c r="W2587" s="198" t="s">
        <v>2272</v>
      </c>
      <c r="X2587" s="198" t="s">
        <v>2272</v>
      </c>
      <c r="Y2587" s="198" t="s">
        <v>2272</v>
      </c>
      <c r="Z2587" s="198" t="s">
        <v>2272</v>
      </c>
      <c r="AA2587" s="198" t="s">
        <v>2272</v>
      </c>
      <c r="AB2587" s="198"/>
      <c r="AC2587" s="198"/>
    </row>
    <row r="2588" spans="1:29" ht="29" customHeight="1">
      <c r="A2588" s="151" t="str">
        <f>'Reported burning'!A2588</f>
        <v>304d</v>
      </c>
      <c r="B2588" s="151" t="str">
        <f>'Reported burning'!B2588</f>
        <v>304d.3</v>
      </c>
      <c r="C2588" s="151" t="str">
        <f>'Reported burning'!C2588</f>
        <v>Human, escaped</v>
      </c>
      <c r="D2588" s="151" t="str">
        <f>'Reported burning'!D2588</f>
        <v>Rangeland management</v>
      </c>
      <c r="E2588" s="151" t="str">
        <f>'Reported burning'!E2588</f>
        <v>Cattle, Extensive</v>
      </c>
      <c r="F2588" s="151" t="str">
        <f>'Reported burning'!F2588</f>
        <v>Shrubland (Mixed forest &amp; grassland)</v>
      </c>
      <c r="G2588" s="151" t="str">
        <f>'Reported burning'!G2588</f>
        <v>ND</v>
      </c>
      <c r="H2588" s="151" t="str">
        <f>'Reported burning'!H2588</f>
        <v>Presence</v>
      </c>
      <c r="I2588" s="5"/>
      <c r="J2588" s="198" t="s">
        <v>2272</v>
      </c>
      <c r="K2588" s="198" t="s">
        <v>2272</v>
      </c>
      <c r="L2588" s="198" t="s">
        <v>2272</v>
      </c>
      <c r="M2588" s="198" t="s">
        <v>2272</v>
      </c>
      <c r="N2588" s="198" t="s">
        <v>2272</v>
      </c>
      <c r="O2588" s="198" t="s">
        <v>2272</v>
      </c>
      <c r="P2588" s="198" t="s">
        <v>2272</v>
      </c>
      <c r="Q2588" s="198" t="s">
        <v>2272</v>
      </c>
      <c r="R2588" s="198" t="s">
        <v>2272</v>
      </c>
      <c r="S2588" s="198" t="s">
        <v>2272</v>
      </c>
      <c r="T2588" s="198" t="s">
        <v>2272</v>
      </c>
      <c r="U2588" s="198" t="s">
        <v>2272</v>
      </c>
      <c r="V2588" s="198" t="s">
        <v>2272</v>
      </c>
      <c r="W2588" s="198" t="s">
        <v>2272</v>
      </c>
      <c r="X2588" s="198" t="s">
        <v>2272</v>
      </c>
      <c r="Y2588" s="198" t="s">
        <v>2272</v>
      </c>
      <c r="Z2588" s="198" t="s">
        <v>2272</v>
      </c>
      <c r="AA2588" s="198" t="s">
        <v>2272</v>
      </c>
      <c r="AB2588" s="198"/>
      <c r="AC2588" s="198"/>
    </row>
    <row r="2589" spans="1:29" ht="29" customHeight="1">
      <c r="A2589" s="151" t="str">
        <f>'Reported burning'!A2589</f>
        <v>304e</v>
      </c>
      <c r="B2589" s="151" t="str">
        <f>'Reported burning'!B2589</f>
        <v>304e.1</v>
      </c>
      <c r="C2589" s="151" t="str">
        <f>'Reported burning'!C2589</f>
        <v>Human, deliberate</v>
      </c>
      <c r="D2589" s="151" t="str">
        <f>'Reported burning'!D2589</f>
        <v>Rangeland management</v>
      </c>
      <c r="E2589" s="151" t="str">
        <f>'Reported burning'!E2589</f>
        <v>Cattle, Extensive</v>
      </c>
      <c r="F2589" s="151" t="str">
        <f>'Reported burning'!F2589</f>
        <v>Shrubland (Mixed forest &amp; grassland)</v>
      </c>
      <c r="G2589" s="151" t="str">
        <f>'Reported burning'!G2589</f>
        <v>ND</v>
      </c>
      <c r="H2589" s="151" t="str">
        <f>'Reported burning'!H2589</f>
        <v>Presence</v>
      </c>
      <c r="I2589" s="5">
        <f>'Reported burning'!I2589</f>
        <v>1980</v>
      </c>
      <c r="J2589" s="198" t="s">
        <v>2272</v>
      </c>
      <c r="K2589" s="198" t="s">
        <v>2272</v>
      </c>
      <c r="L2589" s="198" t="s">
        <v>2272</v>
      </c>
      <c r="M2589" s="198" t="s">
        <v>2272</v>
      </c>
      <c r="N2589" s="198" t="s">
        <v>2272</v>
      </c>
      <c r="O2589" s="198" t="s">
        <v>2272</v>
      </c>
      <c r="P2589" s="198" t="s">
        <v>2272</v>
      </c>
      <c r="Q2589" s="198" t="s">
        <v>2272</v>
      </c>
      <c r="R2589" s="198" t="s">
        <v>2272</v>
      </c>
      <c r="S2589" s="198" t="s">
        <v>2272</v>
      </c>
      <c r="T2589" s="198" t="s">
        <v>2272</v>
      </c>
      <c r="U2589" s="198" t="s">
        <v>2272</v>
      </c>
      <c r="V2589" s="198" t="s">
        <v>2272</v>
      </c>
      <c r="W2589" s="198" t="s">
        <v>2272</v>
      </c>
      <c r="X2589" s="198" t="s">
        <v>2272</v>
      </c>
      <c r="Y2589" s="198" t="s">
        <v>2272</v>
      </c>
      <c r="Z2589" s="198" t="s">
        <v>2272</v>
      </c>
      <c r="AA2589" s="198" t="s">
        <v>2272</v>
      </c>
      <c r="AB2589" s="198"/>
      <c r="AC2589" s="198"/>
    </row>
    <row r="2590" spans="1:29" ht="29" customHeight="1">
      <c r="A2590" s="151" t="str">
        <f>'Reported burning'!A2590</f>
        <v>304e</v>
      </c>
      <c r="B2590" s="151" t="str">
        <f>'Reported burning'!B2590</f>
        <v>304e.2</v>
      </c>
      <c r="C2590" s="151" t="str">
        <f>'Reported burning'!C2590</f>
        <v>Human, deliberate</v>
      </c>
      <c r="D2590" s="151" t="str">
        <f>'Reported burning'!D2590</f>
        <v>Rangeland management</v>
      </c>
      <c r="E2590" s="151" t="str">
        <f>'Reported burning'!E2590</f>
        <v>Cattle, Extensive</v>
      </c>
      <c r="F2590" s="151" t="str">
        <f>'Reported burning'!F2590</f>
        <v>Shrubland (Mixed forest &amp; grassland)</v>
      </c>
      <c r="G2590" s="151" t="str">
        <f>'Reported burning'!G2590</f>
        <v>ND</v>
      </c>
      <c r="H2590" s="151" t="str">
        <f>'Reported burning'!H2590</f>
        <v>Presence</v>
      </c>
      <c r="I2590" s="5">
        <f>'Reported burning'!I2590</f>
        <v>1990</v>
      </c>
      <c r="J2590" s="198" t="s">
        <v>2272</v>
      </c>
      <c r="K2590" s="198" t="s">
        <v>2272</v>
      </c>
      <c r="L2590" s="198" t="s">
        <v>2272</v>
      </c>
      <c r="M2590" s="198" t="s">
        <v>2272</v>
      </c>
      <c r="N2590" s="198" t="s">
        <v>2272</v>
      </c>
      <c r="O2590" s="198" t="s">
        <v>2272</v>
      </c>
      <c r="P2590" s="198" t="s">
        <v>2272</v>
      </c>
      <c r="Q2590" s="198" t="s">
        <v>2272</v>
      </c>
      <c r="R2590" s="198" t="s">
        <v>2272</v>
      </c>
      <c r="S2590" s="198" t="s">
        <v>2272</v>
      </c>
      <c r="T2590" s="198" t="s">
        <v>2272</v>
      </c>
      <c r="U2590" s="198" t="s">
        <v>2272</v>
      </c>
      <c r="V2590" s="198" t="s">
        <v>2272</v>
      </c>
      <c r="W2590" s="198" t="s">
        <v>2272</v>
      </c>
      <c r="X2590" s="198" t="s">
        <v>2272</v>
      </c>
      <c r="Y2590" s="198" t="s">
        <v>2272</v>
      </c>
      <c r="Z2590" s="198" t="s">
        <v>2272</v>
      </c>
      <c r="AA2590" s="198" t="s">
        <v>2272</v>
      </c>
      <c r="AB2590" s="198"/>
      <c r="AC2590" s="198"/>
    </row>
    <row r="2591" spans="1:29" ht="33.5" customHeight="1">
      <c r="A2591" s="151" t="str">
        <f>'Reported burning'!A2591</f>
        <v>304e</v>
      </c>
      <c r="B2591" s="151" t="str">
        <f>'Reported burning'!B2591</f>
        <v>304e.3</v>
      </c>
      <c r="C2591" s="151" t="str">
        <f>'Reported burning'!C2591</f>
        <v>Human, deliberate</v>
      </c>
      <c r="D2591" s="151" t="str">
        <f>'Reported burning'!D2591</f>
        <v>Pyrome management</v>
      </c>
      <c r="E2591" s="151" t="str">
        <f>'Reported burning'!E2591</f>
        <v>Fire suppression agent</v>
      </c>
      <c r="F2591" s="151" t="str">
        <f>'Reported burning'!F2591</f>
        <v>Shrubland (Mixed forest &amp; grassland)</v>
      </c>
      <c r="G2591" s="151" t="str">
        <f>'Reported burning'!G2591</f>
        <v>ND</v>
      </c>
      <c r="H2591" s="151" t="str">
        <f>'Reported burning'!H2591</f>
        <v>Presence</v>
      </c>
      <c r="I2591" s="5"/>
      <c r="J2591" s="198" t="s">
        <v>2272</v>
      </c>
      <c r="K2591" s="198" t="s">
        <v>2272</v>
      </c>
      <c r="L2591" s="198" t="s">
        <v>2272</v>
      </c>
      <c r="M2591" s="198" t="s">
        <v>2272</v>
      </c>
      <c r="N2591" s="198" t="s">
        <v>2272</v>
      </c>
      <c r="O2591" s="198" t="s">
        <v>2272</v>
      </c>
      <c r="P2591" s="198" t="s">
        <v>2272</v>
      </c>
      <c r="Q2591" s="198" t="s">
        <v>2272</v>
      </c>
      <c r="R2591" s="198" t="s">
        <v>2272</v>
      </c>
      <c r="S2591" s="198" t="s">
        <v>2272</v>
      </c>
      <c r="T2591" s="198" t="s">
        <v>2272</v>
      </c>
      <c r="U2591" s="198" t="s">
        <v>2272</v>
      </c>
      <c r="V2591" s="198" t="s">
        <v>2272</v>
      </c>
      <c r="W2591" s="198" t="s">
        <v>2272</v>
      </c>
      <c r="X2591" s="198" t="s">
        <v>2272</v>
      </c>
      <c r="Y2591" s="198" t="s">
        <v>2272</v>
      </c>
      <c r="Z2591" s="198" t="s">
        <v>2272</v>
      </c>
      <c r="AA2591" s="198" t="s">
        <v>2272</v>
      </c>
      <c r="AB2591" s="198"/>
      <c r="AC2591" s="198"/>
    </row>
    <row r="2592" spans="1:29" ht="33.5" customHeight="1">
      <c r="A2592" s="151" t="str">
        <f>'Reported burning'!A2592</f>
        <v>305a</v>
      </c>
      <c r="B2592" s="151" t="str">
        <f>'Reported burning'!B2592</f>
        <v>305a.1</v>
      </c>
      <c r="C2592" s="151" t="str">
        <f>'Reported burning'!C2592</f>
        <v>Human, deliberate</v>
      </c>
      <c r="D2592" s="151" t="str">
        <f>'Reported burning'!D2592</f>
        <v>Pyrome management</v>
      </c>
      <c r="E2592" s="151" t="str">
        <f>'Reported burning'!E2592</f>
        <v>Fire suppression agent</v>
      </c>
      <c r="F2592" s="151" t="str">
        <f>'Reported burning'!F2592</f>
        <v>ND</v>
      </c>
      <c r="G2592" s="151" t="str">
        <f>'Reported burning'!G2592</f>
        <v>ND</v>
      </c>
      <c r="H2592" s="151" t="str">
        <f>'Reported burning'!H2592</f>
        <v>Absence</v>
      </c>
      <c r="I2592" s="5"/>
      <c r="J2592" s="198" t="s">
        <v>2272</v>
      </c>
      <c r="K2592" s="198" t="s">
        <v>2272</v>
      </c>
      <c r="L2592" s="198" t="s">
        <v>2272</v>
      </c>
      <c r="M2592" s="198" t="s">
        <v>2272</v>
      </c>
      <c r="N2592" s="198" t="s">
        <v>2272</v>
      </c>
      <c r="O2592" s="198" t="s">
        <v>2272</v>
      </c>
      <c r="P2592" s="198" t="s">
        <v>2272</v>
      </c>
      <c r="Q2592" s="198" t="s">
        <v>2272</v>
      </c>
      <c r="R2592" s="198" t="s">
        <v>2272</v>
      </c>
      <c r="S2592" s="198" t="s">
        <v>2272</v>
      </c>
      <c r="T2592" s="198" t="s">
        <v>2272</v>
      </c>
      <c r="U2592" s="198" t="s">
        <v>2272</v>
      </c>
      <c r="V2592" s="198" t="s">
        <v>2272</v>
      </c>
      <c r="W2592" s="198" t="s">
        <v>2272</v>
      </c>
      <c r="X2592" s="198" t="s">
        <v>2272</v>
      </c>
      <c r="Y2592" s="198" t="s">
        <v>2272</v>
      </c>
      <c r="Z2592" s="198" t="s">
        <v>2272</v>
      </c>
      <c r="AA2592" s="198" t="s">
        <v>2272</v>
      </c>
      <c r="AB2592" s="198"/>
      <c r="AC2592" s="198"/>
    </row>
    <row r="2593" spans="1:29" ht="33.5" customHeight="1">
      <c r="A2593" s="151" t="str">
        <f>'Reported burning'!A2593</f>
        <v>305b</v>
      </c>
      <c r="B2593" s="151" t="str">
        <f>'Reported burning'!B2593</f>
        <v>305b.1</v>
      </c>
      <c r="C2593" s="151" t="str">
        <f>'Reported burning'!C2593</f>
        <v>Human, deliberate</v>
      </c>
      <c r="D2593" s="151" t="str">
        <f>'Reported burning'!D2593</f>
        <v>Pyrome management</v>
      </c>
      <c r="E2593" s="151" t="str">
        <f>'Reported burning'!E2593</f>
        <v>Fire suppression agent</v>
      </c>
      <c r="F2593" s="151" t="str">
        <f>'Reported burning'!F2593</f>
        <v>ND</v>
      </c>
      <c r="G2593" s="151" t="str">
        <f>'Reported burning'!G2593</f>
        <v>ND</v>
      </c>
      <c r="H2593" s="151" t="str">
        <f>'Reported burning'!H2593</f>
        <v>Absence</v>
      </c>
      <c r="I2593" s="5"/>
      <c r="J2593" s="198" t="s">
        <v>2272</v>
      </c>
      <c r="K2593" s="198" t="s">
        <v>2272</v>
      </c>
      <c r="L2593" s="198" t="s">
        <v>2272</v>
      </c>
      <c r="M2593" s="198" t="s">
        <v>2272</v>
      </c>
      <c r="N2593" s="198" t="s">
        <v>2272</v>
      </c>
      <c r="O2593" s="198" t="s">
        <v>2272</v>
      </c>
      <c r="P2593" s="198" t="s">
        <v>2272</v>
      </c>
      <c r="Q2593" s="198" t="s">
        <v>2272</v>
      </c>
      <c r="R2593" s="198" t="s">
        <v>2272</v>
      </c>
      <c r="S2593" s="198" t="s">
        <v>2272</v>
      </c>
      <c r="T2593" s="198" t="s">
        <v>2272</v>
      </c>
      <c r="U2593" s="198" t="s">
        <v>2272</v>
      </c>
      <c r="V2593" s="198" t="s">
        <v>2272</v>
      </c>
      <c r="W2593" s="198" t="s">
        <v>2272</v>
      </c>
      <c r="X2593" s="198" t="s">
        <v>2272</v>
      </c>
      <c r="Y2593" s="198" t="s">
        <v>2272</v>
      </c>
      <c r="Z2593" s="198" t="s">
        <v>2272</v>
      </c>
      <c r="AA2593" s="198" t="s">
        <v>2272</v>
      </c>
      <c r="AB2593" s="198"/>
      <c r="AC2593" s="198"/>
    </row>
    <row r="2594" spans="1:29" ht="33.5" customHeight="1">
      <c r="A2594" s="151" t="str">
        <f>'Reported burning'!A2594</f>
        <v>305c</v>
      </c>
      <c r="B2594" s="151" t="str">
        <f>'Reported burning'!B2594</f>
        <v>305c.1</v>
      </c>
      <c r="C2594" s="151" t="str">
        <f>'Reported burning'!C2594</f>
        <v>Human, deliberate</v>
      </c>
      <c r="D2594" s="151" t="str">
        <f>'Reported burning'!D2594</f>
        <v>Pyrome management</v>
      </c>
      <c r="E2594" s="151" t="str">
        <f>'Reported burning'!E2594</f>
        <v>Fire suppression agent</v>
      </c>
      <c r="F2594" s="151" t="str">
        <f>'Reported burning'!F2594</f>
        <v>ND</v>
      </c>
      <c r="G2594" s="151" t="str">
        <f>'Reported burning'!G2594</f>
        <v>ND</v>
      </c>
      <c r="H2594" s="151" t="str">
        <f>'Reported burning'!H2594</f>
        <v>Absence</v>
      </c>
      <c r="I2594" s="5"/>
      <c r="J2594" s="198" t="s">
        <v>2272</v>
      </c>
      <c r="K2594" s="198" t="s">
        <v>2272</v>
      </c>
      <c r="L2594" s="198" t="s">
        <v>2272</v>
      </c>
      <c r="M2594" s="198" t="s">
        <v>2272</v>
      </c>
      <c r="N2594" s="198" t="s">
        <v>2272</v>
      </c>
      <c r="O2594" s="198" t="s">
        <v>2272</v>
      </c>
      <c r="P2594" s="198" t="s">
        <v>2272</v>
      </c>
      <c r="Q2594" s="198" t="s">
        <v>2272</v>
      </c>
      <c r="R2594" s="198" t="s">
        <v>2272</v>
      </c>
      <c r="S2594" s="198" t="s">
        <v>2272</v>
      </c>
      <c r="T2594" s="198" t="s">
        <v>2272</v>
      </c>
      <c r="U2594" s="198" t="s">
        <v>2272</v>
      </c>
      <c r="V2594" s="198" t="s">
        <v>2272</v>
      </c>
      <c r="W2594" s="198" t="s">
        <v>2272</v>
      </c>
      <c r="X2594" s="198" t="s">
        <v>2272</v>
      </c>
      <c r="Y2594" s="198" t="s">
        <v>2272</v>
      </c>
      <c r="Z2594" s="198" t="s">
        <v>2272</v>
      </c>
      <c r="AA2594" s="198" t="s">
        <v>2272</v>
      </c>
      <c r="AB2594" s="198"/>
      <c r="AC2594" s="198"/>
    </row>
    <row r="2595" spans="1:29" ht="33.5" customHeight="1">
      <c r="A2595" s="151" t="str">
        <f>'Reported burning'!A2595</f>
        <v>305d</v>
      </c>
      <c r="B2595" s="151" t="str">
        <f>'Reported burning'!B2595</f>
        <v>305d.1</v>
      </c>
      <c r="C2595" s="151" t="str">
        <f>'Reported burning'!C2595</f>
        <v>Human, deliberate</v>
      </c>
      <c r="D2595" s="151" t="str">
        <f>'Reported burning'!D2595</f>
        <v>Pyrome management</v>
      </c>
      <c r="E2595" s="151" t="str">
        <f>'Reported burning'!E2595</f>
        <v>Fire suppression agent</v>
      </c>
      <c r="F2595" s="151" t="str">
        <f>'Reported burning'!F2595</f>
        <v>ND</v>
      </c>
      <c r="G2595" s="151" t="str">
        <f>'Reported burning'!G2595</f>
        <v>ND</v>
      </c>
      <c r="H2595" s="151" t="str">
        <f>'Reported burning'!H2595</f>
        <v>Absence</v>
      </c>
      <c r="I2595" s="5"/>
      <c r="J2595" s="198" t="s">
        <v>2272</v>
      </c>
      <c r="K2595" s="198" t="s">
        <v>2272</v>
      </c>
      <c r="L2595" s="198" t="s">
        <v>2272</v>
      </c>
      <c r="M2595" s="198" t="s">
        <v>2272</v>
      </c>
      <c r="N2595" s="198" t="s">
        <v>2272</v>
      </c>
      <c r="O2595" s="198" t="s">
        <v>2272</v>
      </c>
      <c r="P2595" s="198" t="s">
        <v>2272</v>
      </c>
      <c r="Q2595" s="198" t="s">
        <v>2272</v>
      </c>
      <c r="R2595" s="198" t="s">
        <v>2272</v>
      </c>
      <c r="S2595" s="198" t="s">
        <v>2272</v>
      </c>
      <c r="T2595" s="198" t="s">
        <v>2272</v>
      </c>
      <c r="U2595" s="198" t="s">
        <v>2272</v>
      </c>
      <c r="V2595" s="198" t="s">
        <v>2272</v>
      </c>
      <c r="W2595" s="198" t="s">
        <v>2272</v>
      </c>
      <c r="X2595" s="198" t="s">
        <v>2272</v>
      </c>
      <c r="Y2595" s="198" t="s">
        <v>2272</v>
      </c>
      <c r="Z2595" s="198" t="s">
        <v>2272</v>
      </c>
      <c r="AA2595" s="198" t="s">
        <v>2272</v>
      </c>
      <c r="AB2595" s="198"/>
      <c r="AC2595" s="198"/>
    </row>
    <row r="2596" spans="1:29" ht="33.5" customHeight="1">
      <c r="A2596" s="151" t="str">
        <f>'Reported burning'!A2596</f>
        <v>305e</v>
      </c>
      <c r="B2596" s="151" t="str">
        <f>'Reported burning'!B2596</f>
        <v>305e.1</v>
      </c>
      <c r="C2596" s="151" t="str">
        <f>'Reported burning'!C2596</f>
        <v>Human, deliberate</v>
      </c>
      <c r="D2596" s="151" t="str">
        <f>'Reported burning'!D2596</f>
        <v>Pyrome management</v>
      </c>
      <c r="E2596" s="151" t="str">
        <f>'Reported burning'!E2596</f>
        <v>Fire suppression agent</v>
      </c>
      <c r="F2596" s="151" t="str">
        <f>'Reported burning'!F2596</f>
        <v>ND</v>
      </c>
      <c r="G2596" s="151" t="str">
        <f>'Reported burning'!G2596</f>
        <v>ND</v>
      </c>
      <c r="H2596" s="151" t="str">
        <f>'Reported burning'!H2596</f>
        <v>Absence</v>
      </c>
      <c r="I2596" s="5"/>
      <c r="J2596" s="198" t="s">
        <v>2272</v>
      </c>
      <c r="K2596" s="198" t="s">
        <v>2272</v>
      </c>
      <c r="L2596" s="198" t="s">
        <v>2272</v>
      </c>
      <c r="M2596" s="198" t="s">
        <v>2272</v>
      </c>
      <c r="N2596" s="198" t="s">
        <v>2272</v>
      </c>
      <c r="O2596" s="198" t="s">
        <v>2272</v>
      </c>
      <c r="P2596" s="198" t="s">
        <v>2272</v>
      </c>
      <c r="Q2596" s="198" t="s">
        <v>2272</v>
      </c>
      <c r="R2596" s="198" t="s">
        <v>2272</v>
      </c>
      <c r="S2596" s="198" t="s">
        <v>2272</v>
      </c>
      <c r="T2596" s="198" t="s">
        <v>2272</v>
      </c>
      <c r="U2596" s="198" t="s">
        <v>2272</v>
      </c>
      <c r="V2596" s="198" t="s">
        <v>2272</v>
      </c>
      <c r="W2596" s="198" t="s">
        <v>2272</v>
      </c>
      <c r="X2596" s="198" t="s">
        <v>2272</v>
      </c>
      <c r="Y2596" s="198" t="s">
        <v>2272</v>
      </c>
      <c r="Z2596" s="198" t="s">
        <v>2272</v>
      </c>
      <c r="AA2596" s="198" t="s">
        <v>2272</v>
      </c>
      <c r="AB2596" s="198"/>
      <c r="AC2596" s="198"/>
    </row>
    <row r="2597" spans="1:29" ht="33.5" customHeight="1">
      <c r="A2597" s="151" t="str">
        <f>'Reported burning'!A2597</f>
        <v>305f</v>
      </c>
      <c r="B2597" s="151" t="str">
        <f>'Reported burning'!B2597</f>
        <v>305f.1</v>
      </c>
      <c r="C2597" s="151" t="str">
        <f>'Reported burning'!C2597</f>
        <v>Human, deliberate</v>
      </c>
      <c r="D2597" s="151" t="str">
        <f>'Reported burning'!D2597</f>
        <v>Pyrome management</v>
      </c>
      <c r="E2597" s="151" t="str">
        <f>'Reported burning'!E2597</f>
        <v>Fire suppression agent</v>
      </c>
      <c r="F2597" s="151" t="str">
        <f>'Reported burning'!F2597</f>
        <v>ND</v>
      </c>
      <c r="G2597" s="151" t="str">
        <f>'Reported burning'!G2597</f>
        <v>ND</v>
      </c>
      <c r="H2597" s="151" t="str">
        <f>'Reported burning'!H2597</f>
        <v>Absence</v>
      </c>
      <c r="I2597" s="5"/>
      <c r="J2597" s="198" t="s">
        <v>2272</v>
      </c>
      <c r="K2597" s="198" t="s">
        <v>2272</v>
      </c>
      <c r="L2597" s="198" t="s">
        <v>2272</v>
      </c>
      <c r="M2597" s="198" t="s">
        <v>2272</v>
      </c>
      <c r="N2597" s="198" t="s">
        <v>2272</v>
      </c>
      <c r="O2597" s="198" t="s">
        <v>2272</v>
      </c>
      <c r="P2597" s="198" t="s">
        <v>2272</v>
      </c>
      <c r="Q2597" s="198" t="s">
        <v>2272</v>
      </c>
      <c r="R2597" s="198" t="s">
        <v>2272</v>
      </c>
      <c r="S2597" s="198" t="s">
        <v>2272</v>
      </c>
      <c r="T2597" s="198" t="s">
        <v>2272</v>
      </c>
      <c r="U2597" s="198" t="s">
        <v>2272</v>
      </c>
      <c r="V2597" s="198" t="s">
        <v>2272</v>
      </c>
      <c r="W2597" s="198" t="s">
        <v>2272</v>
      </c>
      <c r="X2597" s="198" t="s">
        <v>2272</v>
      </c>
      <c r="Y2597" s="198" t="s">
        <v>2272</v>
      </c>
      <c r="Z2597" s="198" t="s">
        <v>2272</v>
      </c>
      <c r="AA2597" s="198" t="s">
        <v>2272</v>
      </c>
      <c r="AB2597" s="198"/>
      <c r="AC2597" s="198"/>
    </row>
    <row r="2598" spans="1:29" ht="33.5" customHeight="1">
      <c r="A2598" s="151" t="str">
        <f>'Reported burning'!A2598</f>
        <v>305g</v>
      </c>
      <c r="B2598" s="151" t="str">
        <f>'Reported burning'!B2598</f>
        <v>305g.1</v>
      </c>
      <c r="C2598" s="151" t="str">
        <f>'Reported burning'!C2598</f>
        <v>Human, deliberate</v>
      </c>
      <c r="D2598" s="151" t="str">
        <f>'Reported burning'!D2598</f>
        <v>Pyrome management</v>
      </c>
      <c r="E2598" s="151" t="str">
        <f>'Reported burning'!E2598</f>
        <v>Fire suppression agent</v>
      </c>
      <c r="F2598" s="151" t="str">
        <f>'Reported burning'!F2598</f>
        <v>ND</v>
      </c>
      <c r="G2598" s="151" t="str">
        <f>'Reported burning'!G2598</f>
        <v>ND</v>
      </c>
      <c r="H2598" s="151" t="str">
        <f>'Reported burning'!H2598</f>
        <v>Absence</v>
      </c>
      <c r="I2598" s="5"/>
      <c r="J2598" s="198" t="s">
        <v>2272</v>
      </c>
      <c r="K2598" s="198" t="s">
        <v>2272</v>
      </c>
      <c r="L2598" s="198" t="s">
        <v>2272</v>
      </c>
      <c r="M2598" s="198" t="s">
        <v>2272</v>
      </c>
      <c r="N2598" s="198" t="s">
        <v>2272</v>
      </c>
      <c r="O2598" s="198" t="s">
        <v>2272</v>
      </c>
      <c r="P2598" s="198" t="s">
        <v>2272</v>
      </c>
      <c r="Q2598" s="198" t="s">
        <v>2272</v>
      </c>
      <c r="R2598" s="198" t="s">
        <v>2272</v>
      </c>
      <c r="S2598" s="198" t="s">
        <v>2272</v>
      </c>
      <c r="T2598" s="198" t="s">
        <v>2272</v>
      </c>
      <c r="U2598" s="198" t="s">
        <v>2272</v>
      </c>
      <c r="V2598" s="198" t="s">
        <v>2272</v>
      </c>
      <c r="W2598" s="198" t="s">
        <v>2272</v>
      </c>
      <c r="X2598" s="198" t="s">
        <v>2272</v>
      </c>
      <c r="Y2598" s="198" t="s">
        <v>2272</v>
      </c>
      <c r="Z2598" s="198" t="s">
        <v>2272</v>
      </c>
      <c r="AA2598" s="198" t="s">
        <v>2272</v>
      </c>
      <c r="AB2598" s="11" t="s">
        <v>7297</v>
      </c>
      <c r="AC2598" s="198"/>
    </row>
    <row r="2599" spans="1:29" ht="33.5" customHeight="1">
      <c r="A2599" s="151" t="str">
        <f>'Reported burning'!A2599</f>
        <v>305h</v>
      </c>
      <c r="B2599" s="151" t="str">
        <f>'Reported burning'!B2599</f>
        <v>305h.1</v>
      </c>
      <c r="C2599" s="151" t="str">
        <f>'Reported burning'!C2599</f>
        <v>Human, deliberate</v>
      </c>
      <c r="D2599" s="151" t="str">
        <f>'Reported burning'!D2599</f>
        <v>Pyrome management</v>
      </c>
      <c r="E2599" s="151" t="str">
        <f>'Reported burning'!E2599</f>
        <v>Fire suppression agent</v>
      </c>
      <c r="F2599" s="151" t="str">
        <f>'Reported burning'!F2599</f>
        <v>ND</v>
      </c>
      <c r="G2599" s="151" t="str">
        <f>'Reported burning'!G2599</f>
        <v>ND</v>
      </c>
      <c r="H2599" s="151" t="str">
        <f>'Reported burning'!H2599</f>
        <v>Absence</v>
      </c>
      <c r="I2599" s="5"/>
      <c r="J2599" s="198" t="s">
        <v>2272</v>
      </c>
      <c r="K2599" s="198" t="s">
        <v>2272</v>
      </c>
      <c r="L2599" s="198" t="s">
        <v>2272</v>
      </c>
      <c r="M2599" s="198" t="s">
        <v>2272</v>
      </c>
      <c r="N2599" s="198" t="s">
        <v>2272</v>
      </c>
      <c r="O2599" s="198" t="s">
        <v>2272</v>
      </c>
      <c r="P2599" s="198" t="s">
        <v>2272</v>
      </c>
      <c r="Q2599" s="198" t="s">
        <v>2272</v>
      </c>
      <c r="R2599" s="198" t="s">
        <v>2272</v>
      </c>
      <c r="S2599" s="198" t="s">
        <v>2272</v>
      </c>
      <c r="T2599" s="198" t="s">
        <v>2272</v>
      </c>
      <c r="U2599" s="198" t="s">
        <v>2272</v>
      </c>
      <c r="V2599" s="198" t="s">
        <v>2272</v>
      </c>
      <c r="W2599" s="198" t="s">
        <v>2272</v>
      </c>
      <c r="X2599" s="198" t="s">
        <v>2272</v>
      </c>
      <c r="Y2599" s="198" t="s">
        <v>2272</v>
      </c>
      <c r="Z2599" s="198" t="s">
        <v>2272</v>
      </c>
      <c r="AA2599" s="198" t="s">
        <v>2272</v>
      </c>
      <c r="AB2599" s="198"/>
      <c r="AC2599" s="198"/>
    </row>
    <row r="2600" spans="1:29" ht="33.5" customHeight="1">
      <c r="A2600" s="151" t="str">
        <f>'Reported burning'!A2600</f>
        <v>305i</v>
      </c>
      <c r="B2600" s="151" t="str">
        <f>'Reported burning'!B2600</f>
        <v>305i.1</v>
      </c>
      <c r="C2600" s="151" t="str">
        <f>'Reported burning'!C2600</f>
        <v>Human, deliberate</v>
      </c>
      <c r="D2600" s="151" t="str">
        <f>'Reported burning'!D2600</f>
        <v>Pyrome management</v>
      </c>
      <c r="E2600" s="151" t="str">
        <f>'Reported burning'!E2600</f>
        <v>Fire suppression agent</v>
      </c>
      <c r="F2600" s="151" t="str">
        <f>'Reported burning'!F2600</f>
        <v>ND</v>
      </c>
      <c r="G2600" s="151" t="str">
        <f>'Reported burning'!G2600</f>
        <v>ND</v>
      </c>
      <c r="H2600" s="151" t="str">
        <f>'Reported burning'!H2600</f>
        <v>Presence</v>
      </c>
      <c r="I2600" s="5">
        <f>'Reported burning'!I2600</f>
        <v>2001</v>
      </c>
      <c r="J2600" s="198" t="s">
        <v>2272</v>
      </c>
      <c r="K2600" s="198" t="s">
        <v>2272</v>
      </c>
      <c r="L2600" s="198" t="s">
        <v>2272</v>
      </c>
      <c r="M2600" s="198" t="s">
        <v>2272</v>
      </c>
      <c r="N2600" s="198" t="s">
        <v>2272</v>
      </c>
      <c r="O2600" s="198" t="s">
        <v>2272</v>
      </c>
      <c r="P2600" s="198" t="s">
        <v>2272</v>
      </c>
      <c r="Q2600" s="198" t="s">
        <v>2272</v>
      </c>
      <c r="R2600" s="198" t="s">
        <v>2272</v>
      </c>
      <c r="S2600" s="198" t="s">
        <v>2272</v>
      </c>
      <c r="T2600" s="198" t="s">
        <v>2272</v>
      </c>
      <c r="U2600" s="198" t="s">
        <v>2272</v>
      </c>
      <c r="V2600" s="198" t="s">
        <v>2272</v>
      </c>
      <c r="W2600" s="198" t="s">
        <v>2272</v>
      </c>
      <c r="X2600" s="198" t="s">
        <v>2272</v>
      </c>
      <c r="Y2600" s="198" t="s">
        <v>34</v>
      </c>
      <c r="Z2600" s="198" t="s">
        <v>37</v>
      </c>
      <c r="AA2600" s="198" t="s">
        <v>63</v>
      </c>
      <c r="AB2600" s="198" t="s">
        <v>7616</v>
      </c>
      <c r="AC2600" s="198"/>
    </row>
    <row r="2601" spans="1:29" ht="33.5" customHeight="1">
      <c r="A2601" s="151" t="str">
        <f>'Reported burning'!A2601</f>
        <v>305j</v>
      </c>
      <c r="B2601" s="151" t="str">
        <f>'Reported burning'!B2601</f>
        <v>305j.1</v>
      </c>
      <c r="C2601" s="151" t="str">
        <f>'Reported burning'!C2601</f>
        <v>Human, deliberate</v>
      </c>
      <c r="D2601" s="151" t="str">
        <f>'Reported burning'!D2601</f>
        <v>Pyrome management</v>
      </c>
      <c r="E2601" s="151" t="str">
        <f>'Reported burning'!E2601</f>
        <v>Fire suppression agent</v>
      </c>
      <c r="F2601" s="151" t="str">
        <f>'Reported burning'!F2601</f>
        <v>ND</v>
      </c>
      <c r="G2601" s="151" t="str">
        <f>'Reported burning'!G2601</f>
        <v>ND</v>
      </c>
      <c r="H2601" s="151" t="str">
        <f>'Reported burning'!H2601</f>
        <v>Presence</v>
      </c>
      <c r="I2601" s="5">
        <f>'Reported burning'!I2601</f>
        <v>2001</v>
      </c>
      <c r="J2601" s="198" t="s">
        <v>2272</v>
      </c>
      <c r="K2601" s="198" t="s">
        <v>2272</v>
      </c>
      <c r="L2601" s="198" t="s">
        <v>2272</v>
      </c>
      <c r="M2601" s="198" t="s">
        <v>2272</v>
      </c>
      <c r="N2601" s="198" t="s">
        <v>2272</v>
      </c>
      <c r="O2601" s="198" t="s">
        <v>2272</v>
      </c>
      <c r="P2601" s="198" t="s">
        <v>2272</v>
      </c>
      <c r="Q2601" s="198" t="s">
        <v>2272</v>
      </c>
      <c r="R2601" s="198" t="s">
        <v>2272</v>
      </c>
      <c r="S2601" s="198" t="s">
        <v>2272</v>
      </c>
      <c r="T2601" s="198" t="s">
        <v>2272</v>
      </c>
      <c r="U2601" s="198" t="s">
        <v>2272</v>
      </c>
      <c r="V2601" s="198" t="s">
        <v>2272</v>
      </c>
      <c r="W2601" s="198" t="s">
        <v>2272</v>
      </c>
      <c r="X2601" s="198" t="s">
        <v>2272</v>
      </c>
      <c r="Y2601" s="198" t="s">
        <v>34</v>
      </c>
      <c r="Z2601" s="198" t="s">
        <v>37</v>
      </c>
      <c r="AA2601" s="198" t="s">
        <v>63</v>
      </c>
      <c r="AB2601" s="198" t="s">
        <v>7616</v>
      </c>
      <c r="AC2601" s="198"/>
    </row>
    <row r="2602" spans="1:29" ht="33.5" customHeight="1">
      <c r="A2602" s="151" t="str">
        <f>'Reported burning'!A2602</f>
        <v>305k</v>
      </c>
      <c r="B2602" s="151" t="str">
        <f>'Reported burning'!B2602</f>
        <v>305k.1</v>
      </c>
      <c r="C2602" s="151" t="str">
        <f>'Reported burning'!C2602</f>
        <v>Human, deliberate</v>
      </c>
      <c r="D2602" s="151" t="str">
        <f>'Reported burning'!D2602</f>
        <v>Pyrome management</v>
      </c>
      <c r="E2602" s="151" t="str">
        <f>'Reported burning'!E2602</f>
        <v>Fire suppression agent</v>
      </c>
      <c r="F2602" s="151" t="str">
        <f>'Reported burning'!F2602</f>
        <v>ND</v>
      </c>
      <c r="G2602" s="151" t="str">
        <f>'Reported burning'!G2602</f>
        <v>ND</v>
      </c>
      <c r="H2602" s="151" t="str">
        <f>'Reported burning'!H2602</f>
        <v>Presence</v>
      </c>
      <c r="I2602" s="5">
        <f>'Reported burning'!I2602</f>
        <v>2001</v>
      </c>
      <c r="J2602" s="198" t="s">
        <v>2272</v>
      </c>
      <c r="K2602" s="198" t="s">
        <v>2272</v>
      </c>
      <c r="L2602" s="198" t="s">
        <v>2272</v>
      </c>
      <c r="M2602" s="198" t="s">
        <v>2272</v>
      </c>
      <c r="N2602" s="198" t="s">
        <v>2272</v>
      </c>
      <c r="O2602" s="198" t="s">
        <v>2272</v>
      </c>
      <c r="P2602" s="198" t="s">
        <v>2272</v>
      </c>
      <c r="Q2602" s="198" t="s">
        <v>2272</v>
      </c>
      <c r="R2602" s="198" t="s">
        <v>2272</v>
      </c>
      <c r="S2602" s="198" t="s">
        <v>2272</v>
      </c>
      <c r="T2602" s="198" t="s">
        <v>2272</v>
      </c>
      <c r="U2602" s="198" t="s">
        <v>2272</v>
      </c>
      <c r="V2602" s="198" t="s">
        <v>2272</v>
      </c>
      <c r="W2602" s="198" t="s">
        <v>2272</v>
      </c>
      <c r="X2602" s="198" t="s">
        <v>2272</v>
      </c>
      <c r="Y2602" s="198" t="s">
        <v>34</v>
      </c>
      <c r="Z2602" s="198" t="s">
        <v>37</v>
      </c>
      <c r="AA2602" s="198" t="s">
        <v>63</v>
      </c>
      <c r="AB2602" s="198" t="s">
        <v>7616</v>
      </c>
      <c r="AC2602" s="198"/>
    </row>
    <row r="2603" spans="1:29" ht="33.5" customHeight="1">
      <c r="A2603" s="151" t="str">
        <f>'Reported burning'!A2603</f>
        <v>305l</v>
      </c>
      <c r="B2603" s="151" t="str">
        <f>'Reported burning'!B2603</f>
        <v>305l.1</v>
      </c>
      <c r="C2603" s="151" t="str">
        <f>'Reported burning'!C2603</f>
        <v>Human, deliberate</v>
      </c>
      <c r="D2603" s="151" t="str">
        <f>'Reported burning'!D2603</f>
        <v>Pyrome management</v>
      </c>
      <c r="E2603" s="151" t="str">
        <f>'Reported burning'!E2603</f>
        <v>Fire suppression agent</v>
      </c>
      <c r="F2603" s="151" t="str">
        <f>'Reported burning'!F2603</f>
        <v>ND</v>
      </c>
      <c r="G2603" s="151" t="str">
        <f>'Reported burning'!G2603</f>
        <v>ND</v>
      </c>
      <c r="H2603" s="151" t="str">
        <f>'Reported burning'!H2603</f>
        <v>Presence</v>
      </c>
      <c r="I2603" s="5">
        <f>'Reported burning'!I2603</f>
        <v>2001</v>
      </c>
      <c r="J2603" s="198" t="s">
        <v>2272</v>
      </c>
      <c r="K2603" s="198" t="s">
        <v>2272</v>
      </c>
      <c r="L2603" s="198" t="s">
        <v>2272</v>
      </c>
      <c r="M2603" s="198" t="s">
        <v>2272</v>
      </c>
      <c r="N2603" s="198" t="s">
        <v>2272</v>
      </c>
      <c r="O2603" s="198" t="s">
        <v>2272</v>
      </c>
      <c r="P2603" s="198" t="s">
        <v>2272</v>
      </c>
      <c r="Q2603" s="198" t="s">
        <v>2272</v>
      </c>
      <c r="R2603" s="198" t="s">
        <v>2272</v>
      </c>
      <c r="S2603" s="198" t="s">
        <v>2272</v>
      </c>
      <c r="T2603" s="198" t="s">
        <v>2272</v>
      </c>
      <c r="U2603" s="198" t="s">
        <v>2272</v>
      </c>
      <c r="V2603" s="198" t="s">
        <v>2272</v>
      </c>
      <c r="W2603" s="198" t="s">
        <v>2272</v>
      </c>
      <c r="X2603" s="198" t="s">
        <v>2272</v>
      </c>
      <c r="Y2603" s="198" t="s">
        <v>34</v>
      </c>
      <c r="Z2603" s="198" t="s">
        <v>37</v>
      </c>
      <c r="AA2603" s="198" t="s">
        <v>63</v>
      </c>
      <c r="AB2603" s="198" t="s">
        <v>7616</v>
      </c>
      <c r="AC2603" s="198"/>
    </row>
    <row r="2604" spans="1:29" ht="33.5" customHeight="1">
      <c r="A2604" s="151" t="str">
        <f>'Reported burning'!A2604</f>
        <v>305m</v>
      </c>
      <c r="B2604" s="151" t="str">
        <f>'Reported burning'!B2604</f>
        <v>305m.1</v>
      </c>
      <c r="C2604" s="151" t="str">
        <f>'Reported burning'!C2604</f>
        <v>Human, deliberate</v>
      </c>
      <c r="D2604" s="151" t="str">
        <f>'Reported burning'!D2604</f>
        <v>Pyrome management</v>
      </c>
      <c r="E2604" s="151" t="str">
        <f>'Reported burning'!E2604</f>
        <v>Fire suppression agent</v>
      </c>
      <c r="F2604" s="151" t="str">
        <f>'Reported burning'!F2604</f>
        <v>ND</v>
      </c>
      <c r="G2604" s="151" t="str">
        <f>'Reported burning'!G2604</f>
        <v>ND</v>
      </c>
      <c r="H2604" s="151" t="str">
        <f>'Reported burning'!H2604</f>
        <v>Presence</v>
      </c>
      <c r="I2604" s="5">
        <f>'Reported burning'!I2604</f>
        <v>2001</v>
      </c>
      <c r="J2604" s="198" t="s">
        <v>2272</v>
      </c>
      <c r="K2604" s="198" t="s">
        <v>2272</v>
      </c>
      <c r="L2604" s="198" t="s">
        <v>2272</v>
      </c>
      <c r="M2604" s="198" t="s">
        <v>2272</v>
      </c>
      <c r="N2604" s="198" t="s">
        <v>2272</v>
      </c>
      <c r="O2604" s="198" t="s">
        <v>2272</v>
      </c>
      <c r="P2604" s="198" t="s">
        <v>2272</v>
      </c>
      <c r="Q2604" s="198" t="s">
        <v>2272</v>
      </c>
      <c r="R2604" s="198" t="s">
        <v>2272</v>
      </c>
      <c r="S2604" s="198" t="s">
        <v>2272</v>
      </c>
      <c r="T2604" s="198" t="s">
        <v>2272</v>
      </c>
      <c r="U2604" s="198" t="s">
        <v>2272</v>
      </c>
      <c r="V2604" s="198" t="s">
        <v>2272</v>
      </c>
      <c r="W2604" s="198" t="s">
        <v>2272</v>
      </c>
      <c r="X2604" s="198" t="s">
        <v>2272</v>
      </c>
      <c r="Y2604" s="198" t="s">
        <v>34</v>
      </c>
      <c r="Z2604" s="198" t="s">
        <v>37</v>
      </c>
      <c r="AA2604" s="198" t="s">
        <v>63</v>
      </c>
      <c r="AB2604" s="198" t="s">
        <v>7616</v>
      </c>
      <c r="AC2604" s="198"/>
    </row>
    <row r="2605" spans="1:29" ht="33.5" customHeight="1">
      <c r="A2605" s="151" t="str">
        <f>'Reported burning'!A2605</f>
        <v>305i</v>
      </c>
      <c r="B2605" s="151" t="str">
        <f>'Reported burning'!B2605</f>
        <v>305i.2</v>
      </c>
      <c r="C2605" s="151" t="str">
        <f>'Reported burning'!C2605</f>
        <v>Human, deliberate</v>
      </c>
      <c r="D2605" s="151" t="str">
        <f>'Reported burning'!D2605</f>
        <v>Pyrome management</v>
      </c>
      <c r="E2605" s="151" t="str">
        <f>'Reported burning'!E2605</f>
        <v>Fire suppression agent</v>
      </c>
      <c r="F2605" s="151" t="str">
        <f>'Reported burning'!F2605</f>
        <v>ND</v>
      </c>
      <c r="G2605" s="151" t="str">
        <f>'Reported burning'!G2605</f>
        <v>ND</v>
      </c>
      <c r="H2605" s="151" t="str">
        <f>'Reported burning'!H2605</f>
        <v>Presence</v>
      </c>
      <c r="I2605" s="5">
        <f>'Reported burning'!I2605</f>
        <v>2002</v>
      </c>
      <c r="J2605" s="198" t="s">
        <v>2272</v>
      </c>
      <c r="K2605" s="198" t="s">
        <v>2272</v>
      </c>
      <c r="L2605" s="198" t="s">
        <v>2272</v>
      </c>
      <c r="M2605" s="198" t="s">
        <v>2272</v>
      </c>
      <c r="N2605" s="198" t="s">
        <v>2272</v>
      </c>
      <c r="O2605" s="198" t="s">
        <v>2272</v>
      </c>
      <c r="P2605" s="198" t="s">
        <v>2272</v>
      </c>
      <c r="Q2605" s="198" t="s">
        <v>2272</v>
      </c>
      <c r="R2605" s="198" t="s">
        <v>2272</v>
      </c>
      <c r="S2605" s="198" t="s">
        <v>2272</v>
      </c>
      <c r="T2605" s="198" t="s">
        <v>2272</v>
      </c>
      <c r="U2605" s="198" t="s">
        <v>2272</v>
      </c>
      <c r="V2605" s="198" t="s">
        <v>2272</v>
      </c>
      <c r="W2605" s="198" t="s">
        <v>2272</v>
      </c>
      <c r="X2605" s="198" t="s">
        <v>2272</v>
      </c>
      <c r="Y2605" s="198" t="s">
        <v>34</v>
      </c>
      <c r="Z2605" s="198" t="s">
        <v>37</v>
      </c>
      <c r="AA2605" s="198" t="s">
        <v>63</v>
      </c>
      <c r="AB2605" s="198" t="s">
        <v>7616</v>
      </c>
      <c r="AC2605" s="198"/>
    </row>
    <row r="2606" spans="1:29" ht="33.5" customHeight="1">
      <c r="A2606" s="151" t="str">
        <f>'Reported burning'!A2606</f>
        <v>305j</v>
      </c>
      <c r="B2606" s="151" t="str">
        <f>'Reported burning'!B2606</f>
        <v>305j.2</v>
      </c>
      <c r="C2606" s="151" t="str">
        <f>'Reported burning'!C2606</f>
        <v>Human, deliberate</v>
      </c>
      <c r="D2606" s="151" t="str">
        <f>'Reported burning'!D2606</f>
        <v>Pyrome management</v>
      </c>
      <c r="E2606" s="151" t="str">
        <f>'Reported burning'!E2606</f>
        <v>Fire suppression agent</v>
      </c>
      <c r="F2606" s="151" t="str">
        <f>'Reported burning'!F2606</f>
        <v>ND</v>
      </c>
      <c r="G2606" s="151" t="str">
        <f>'Reported burning'!G2606</f>
        <v>ND</v>
      </c>
      <c r="H2606" s="151" t="str">
        <f>'Reported burning'!H2606</f>
        <v>Presence</v>
      </c>
      <c r="I2606" s="5">
        <f>'Reported burning'!I2606</f>
        <v>2002</v>
      </c>
      <c r="J2606" s="198" t="s">
        <v>2272</v>
      </c>
      <c r="K2606" s="198" t="s">
        <v>2272</v>
      </c>
      <c r="L2606" s="198" t="s">
        <v>2272</v>
      </c>
      <c r="M2606" s="198" t="s">
        <v>2272</v>
      </c>
      <c r="N2606" s="198" t="s">
        <v>2272</v>
      </c>
      <c r="O2606" s="198" t="s">
        <v>2272</v>
      </c>
      <c r="P2606" s="198" t="s">
        <v>2272</v>
      </c>
      <c r="Q2606" s="198" t="s">
        <v>2272</v>
      </c>
      <c r="R2606" s="198" t="s">
        <v>2272</v>
      </c>
      <c r="S2606" s="198" t="s">
        <v>2272</v>
      </c>
      <c r="T2606" s="198" t="s">
        <v>2272</v>
      </c>
      <c r="U2606" s="198" t="s">
        <v>2272</v>
      </c>
      <c r="V2606" s="198" t="s">
        <v>2272</v>
      </c>
      <c r="W2606" s="198" t="s">
        <v>2272</v>
      </c>
      <c r="X2606" s="198" t="s">
        <v>2272</v>
      </c>
      <c r="Y2606" s="198" t="s">
        <v>34</v>
      </c>
      <c r="Z2606" s="198" t="s">
        <v>37</v>
      </c>
      <c r="AA2606" s="198" t="s">
        <v>63</v>
      </c>
      <c r="AB2606" s="198" t="s">
        <v>7616</v>
      </c>
      <c r="AC2606" s="198"/>
    </row>
    <row r="2607" spans="1:29" ht="33.5" customHeight="1">
      <c r="A2607" s="151" t="str">
        <f>'Reported burning'!A2607</f>
        <v>305k</v>
      </c>
      <c r="B2607" s="151" t="str">
        <f>'Reported burning'!B2607</f>
        <v>305k.2</v>
      </c>
      <c r="C2607" s="151" t="str">
        <f>'Reported burning'!C2607</f>
        <v>Human, deliberate</v>
      </c>
      <c r="D2607" s="151" t="str">
        <f>'Reported burning'!D2607</f>
        <v>Pyrome management</v>
      </c>
      <c r="E2607" s="151" t="str">
        <f>'Reported burning'!E2607</f>
        <v>Fire suppression agent</v>
      </c>
      <c r="F2607" s="151" t="str">
        <f>'Reported burning'!F2607</f>
        <v>ND</v>
      </c>
      <c r="G2607" s="151" t="str">
        <f>'Reported burning'!G2607</f>
        <v>ND</v>
      </c>
      <c r="H2607" s="151" t="str">
        <f>'Reported burning'!H2607</f>
        <v>Presence</v>
      </c>
      <c r="I2607" s="5">
        <f>'Reported burning'!I2607</f>
        <v>2002</v>
      </c>
      <c r="J2607" s="198" t="s">
        <v>2272</v>
      </c>
      <c r="K2607" s="198" t="s">
        <v>2272</v>
      </c>
      <c r="L2607" s="198" t="s">
        <v>2272</v>
      </c>
      <c r="M2607" s="198" t="s">
        <v>2272</v>
      </c>
      <c r="N2607" s="198" t="s">
        <v>2272</v>
      </c>
      <c r="O2607" s="198" t="s">
        <v>2272</v>
      </c>
      <c r="P2607" s="198" t="s">
        <v>2272</v>
      </c>
      <c r="Q2607" s="198" t="s">
        <v>2272</v>
      </c>
      <c r="R2607" s="198" t="s">
        <v>2272</v>
      </c>
      <c r="S2607" s="198" t="s">
        <v>2272</v>
      </c>
      <c r="T2607" s="198" t="s">
        <v>2272</v>
      </c>
      <c r="U2607" s="198" t="s">
        <v>2272</v>
      </c>
      <c r="V2607" s="198" t="s">
        <v>2272</v>
      </c>
      <c r="W2607" s="198" t="s">
        <v>2272</v>
      </c>
      <c r="X2607" s="198" t="s">
        <v>2272</v>
      </c>
      <c r="Y2607" s="198" t="s">
        <v>34</v>
      </c>
      <c r="Z2607" s="198" t="s">
        <v>37</v>
      </c>
      <c r="AA2607" s="198" t="s">
        <v>63</v>
      </c>
      <c r="AB2607" s="198" t="s">
        <v>7616</v>
      </c>
      <c r="AC2607" s="198"/>
    </row>
    <row r="2608" spans="1:29" ht="33.5" customHeight="1">
      <c r="A2608" s="151" t="str">
        <f>'Reported burning'!A2608</f>
        <v>305l</v>
      </c>
      <c r="B2608" s="151" t="str">
        <f>'Reported burning'!B2608</f>
        <v>305l.2</v>
      </c>
      <c r="C2608" s="151" t="str">
        <f>'Reported burning'!C2608</f>
        <v>Human, deliberate</v>
      </c>
      <c r="D2608" s="151" t="str">
        <f>'Reported burning'!D2608</f>
        <v>Pyrome management</v>
      </c>
      <c r="E2608" s="151" t="str">
        <f>'Reported burning'!E2608</f>
        <v>Fire suppression agent</v>
      </c>
      <c r="F2608" s="151" t="str">
        <f>'Reported burning'!F2608</f>
        <v>ND</v>
      </c>
      <c r="G2608" s="151" t="str">
        <f>'Reported burning'!G2608</f>
        <v>ND</v>
      </c>
      <c r="H2608" s="151" t="str">
        <f>'Reported burning'!H2608</f>
        <v>Presence</v>
      </c>
      <c r="I2608" s="5">
        <f>'Reported burning'!I2608</f>
        <v>2002</v>
      </c>
      <c r="J2608" s="198" t="s">
        <v>2272</v>
      </c>
      <c r="K2608" s="198" t="s">
        <v>2272</v>
      </c>
      <c r="L2608" s="198" t="s">
        <v>2272</v>
      </c>
      <c r="M2608" s="198" t="s">
        <v>2272</v>
      </c>
      <c r="N2608" s="198" t="s">
        <v>2272</v>
      </c>
      <c r="O2608" s="198" t="s">
        <v>2272</v>
      </c>
      <c r="P2608" s="198" t="s">
        <v>2272</v>
      </c>
      <c r="Q2608" s="198" t="s">
        <v>2272</v>
      </c>
      <c r="R2608" s="198" t="s">
        <v>2272</v>
      </c>
      <c r="S2608" s="198" t="s">
        <v>2272</v>
      </c>
      <c r="T2608" s="198" t="s">
        <v>2272</v>
      </c>
      <c r="U2608" s="198" t="s">
        <v>2272</v>
      </c>
      <c r="V2608" s="198" t="s">
        <v>2272</v>
      </c>
      <c r="W2608" s="198" t="s">
        <v>2272</v>
      </c>
      <c r="X2608" s="198" t="s">
        <v>2272</v>
      </c>
      <c r="Y2608" s="198" t="s">
        <v>34</v>
      </c>
      <c r="Z2608" s="198" t="s">
        <v>37</v>
      </c>
      <c r="AA2608" s="198" t="s">
        <v>63</v>
      </c>
      <c r="AB2608" s="198" t="s">
        <v>7616</v>
      </c>
      <c r="AC2608" s="198"/>
    </row>
    <row r="2609" spans="1:29" ht="33.5" customHeight="1">
      <c r="A2609" s="151" t="str">
        <f>'Reported burning'!A2609</f>
        <v>305m</v>
      </c>
      <c r="B2609" s="151" t="str">
        <f>'Reported burning'!B2609</f>
        <v>305m.2</v>
      </c>
      <c r="C2609" s="151" t="str">
        <f>'Reported burning'!C2609</f>
        <v>Human, deliberate</v>
      </c>
      <c r="D2609" s="151" t="str">
        <f>'Reported burning'!D2609</f>
        <v>Pyrome management</v>
      </c>
      <c r="E2609" s="151" t="str">
        <f>'Reported burning'!E2609</f>
        <v>Fire suppression agent</v>
      </c>
      <c r="F2609" s="151" t="str">
        <f>'Reported burning'!F2609</f>
        <v>ND</v>
      </c>
      <c r="G2609" s="151" t="str">
        <f>'Reported burning'!G2609</f>
        <v>ND</v>
      </c>
      <c r="H2609" s="151" t="str">
        <f>'Reported burning'!H2609</f>
        <v>Presence</v>
      </c>
      <c r="I2609" s="5">
        <f>'Reported burning'!I2609</f>
        <v>2002</v>
      </c>
      <c r="J2609" s="198" t="s">
        <v>2272</v>
      </c>
      <c r="K2609" s="198" t="s">
        <v>2272</v>
      </c>
      <c r="L2609" s="198" t="s">
        <v>2272</v>
      </c>
      <c r="M2609" s="198" t="s">
        <v>2272</v>
      </c>
      <c r="N2609" s="198" t="s">
        <v>2272</v>
      </c>
      <c r="O2609" s="198" t="s">
        <v>2272</v>
      </c>
      <c r="P2609" s="198" t="s">
        <v>2272</v>
      </c>
      <c r="Q2609" s="198" t="s">
        <v>2272</v>
      </c>
      <c r="R2609" s="198" t="s">
        <v>2272</v>
      </c>
      <c r="S2609" s="198" t="s">
        <v>2272</v>
      </c>
      <c r="T2609" s="198" t="s">
        <v>2272</v>
      </c>
      <c r="U2609" s="198" t="s">
        <v>2272</v>
      </c>
      <c r="V2609" s="198" t="s">
        <v>2272</v>
      </c>
      <c r="W2609" s="198" t="s">
        <v>2272</v>
      </c>
      <c r="X2609" s="198" t="s">
        <v>2272</v>
      </c>
      <c r="Y2609" s="198" t="s">
        <v>34</v>
      </c>
      <c r="Z2609" s="198" t="s">
        <v>37</v>
      </c>
      <c r="AA2609" s="198" t="s">
        <v>63</v>
      </c>
      <c r="AB2609" s="198" t="s">
        <v>7616</v>
      </c>
      <c r="AC2609" s="198"/>
    </row>
    <row r="2610" spans="1:29" ht="33.5" customHeight="1">
      <c r="A2610" s="151" t="str">
        <f>'Reported burning'!A2610</f>
        <v>305i</v>
      </c>
      <c r="B2610" s="151" t="str">
        <f>'Reported burning'!B2610</f>
        <v>305i.3</v>
      </c>
      <c r="C2610" s="151" t="str">
        <f>'Reported burning'!C2610</f>
        <v>Human, deliberate</v>
      </c>
      <c r="D2610" s="151" t="str">
        <f>'Reported burning'!D2610</f>
        <v>Pyrome management</v>
      </c>
      <c r="E2610" s="151" t="str">
        <f>'Reported burning'!E2610</f>
        <v>Fire suppression agent</v>
      </c>
      <c r="F2610" s="151" t="str">
        <f>'Reported burning'!F2610</f>
        <v>ND</v>
      </c>
      <c r="G2610" s="151" t="str">
        <f>'Reported burning'!G2610</f>
        <v>ND</v>
      </c>
      <c r="H2610" s="151" t="str">
        <f>'Reported burning'!H2610</f>
        <v>Presence</v>
      </c>
      <c r="I2610" s="5">
        <f>'Reported burning'!I2610</f>
        <v>2003</v>
      </c>
      <c r="J2610" s="198" t="s">
        <v>2272</v>
      </c>
      <c r="K2610" s="198" t="s">
        <v>2272</v>
      </c>
      <c r="L2610" s="198" t="s">
        <v>2272</v>
      </c>
      <c r="M2610" s="198" t="s">
        <v>2272</v>
      </c>
      <c r="N2610" s="198" t="s">
        <v>2272</v>
      </c>
      <c r="O2610" s="198" t="s">
        <v>2272</v>
      </c>
      <c r="P2610" s="198" t="s">
        <v>2272</v>
      </c>
      <c r="Q2610" s="198" t="s">
        <v>2272</v>
      </c>
      <c r="R2610" s="198" t="s">
        <v>2272</v>
      </c>
      <c r="S2610" s="198" t="s">
        <v>2272</v>
      </c>
      <c r="T2610" s="198" t="s">
        <v>2272</v>
      </c>
      <c r="U2610" s="198" t="s">
        <v>2272</v>
      </c>
      <c r="V2610" s="198" t="s">
        <v>2272</v>
      </c>
      <c r="W2610" s="198" t="s">
        <v>2272</v>
      </c>
      <c r="X2610" s="198" t="s">
        <v>2272</v>
      </c>
      <c r="Y2610" s="198" t="s">
        <v>34</v>
      </c>
      <c r="Z2610" s="198" t="s">
        <v>37</v>
      </c>
      <c r="AA2610" s="198" t="s">
        <v>63</v>
      </c>
      <c r="AB2610" s="198" t="s">
        <v>7616</v>
      </c>
      <c r="AC2610" s="198"/>
    </row>
    <row r="2611" spans="1:29" ht="33.5" customHeight="1">
      <c r="A2611" s="151" t="str">
        <f>'Reported burning'!A2611</f>
        <v>305j</v>
      </c>
      <c r="B2611" s="151" t="str">
        <f>'Reported burning'!B2611</f>
        <v>305j.3</v>
      </c>
      <c r="C2611" s="151" t="str">
        <f>'Reported burning'!C2611</f>
        <v>Human, deliberate</v>
      </c>
      <c r="D2611" s="151" t="str">
        <f>'Reported burning'!D2611</f>
        <v>Pyrome management</v>
      </c>
      <c r="E2611" s="151" t="str">
        <f>'Reported burning'!E2611</f>
        <v>Fire suppression agent</v>
      </c>
      <c r="F2611" s="151" t="str">
        <f>'Reported burning'!F2611</f>
        <v>ND</v>
      </c>
      <c r="G2611" s="151" t="str">
        <f>'Reported burning'!G2611</f>
        <v>ND</v>
      </c>
      <c r="H2611" s="151" t="str">
        <f>'Reported burning'!H2611</f>
        <v>Presence</v>
      </c>
      <c r="I2611" s="5">
        <f>'Reported burning'!I2611</f>
        <v>2003</v>
      </c>
      <c r="J2611" s="198" t="s">
        <v>2272</v>
      </c>
      <c r="K2611" s="198" t="s">
        <v>2272</v>
      </c>
      <c r="L2611" s="198" t="s">
        <v>2272</v>
      </c>
      <c r="M2611" s="198" t="s">
        <v>2272</v>
      </c>
      <c r="N2611" s="198" t="s">
        <v>2272</v>
      </c>
      <c r="O2611" s="198" t="s">
        <v>2272</v>
      </c>
      <c r="P2611" s="198" t="s">
        <v>2272</v>
      </c>
      <c r="Q2611" s="198" t="s">
        <v>2272</v>
      </c>
      <c r="R2611" s="198" t="s">
        <v>2272</v>
      </c>
      <c r="S2611" s="198" t="s">
        <v>2272</v>
      </c>
      <c r="T2611" s="198" t="s">
        <v>2272</v>
      </c>
      <c r="U2611" s="198" t="s">
        <v>2272</v>
      </c>
      <c r="V2611" s="198" t="s">
        <v>2272</v>
      </c>
      <c r="W2611" s="198" t="s">
        <v>2272</v>
      </c>
      <c r="X2611" s="198" t="s">
        <v>2272</v>
      </c>
      <c r="Y2611" s="198" t="s">
        <v>34</v>
      </c>
      <c r="Z2611" s="198" t="s">
        <v>37</v>
      </c>
      <c r="AA2611" s="198" t="s">
        <v>63</v>
      </c>
      <c r="AB2611" s="198" t="s">
        <v>7616</v>
      </c>
      <c r="AC2611" s="198"/>
    </row>
    <row r="2612" spans="1:29" ht="33.5" customHeight="1">
      <c r="A2612" s="151" t="str">
        <f>'Reported burning'!A2612</f>
        <v>305k</v>
      </c>
      <c r="B2612" s="151" t="str">
        <f>'Reported burning'!B2612</f>
        <v>305k.3</v>
      </c>
      <c r="C2612" s="151" t="str">
        <f>'Reported burning'!C2612</f>
        <v>Human, deliberate</v>
      </c>
      <c r="D2612" s="151" t="str">
        <f>'Reported burning'!D2612</f>
        <v>Pyrome management</v>
      </c>
      <c r="E2612" s="151" t="str">
        <f>'Reported burning'!E2612</f>
        <v>Fire suppression agent</v>
      </c>
      <c r="F2612" s="151" t="str">
        <f>'Reported burning'!F2612</f>
        <v>ND</v>
      </c>
      <c r="G2612" s="151" t="str">
        <f>'Reported burning'!G2612</f>
        <v>ND</v>
      </c>
      <c r="H2612" s="151" t="str">
        <f>'Reported burning'!H2612</f>
        <v>Presence</v>
      </c>
      <c r="I2612" s="5">
        <f>'Reported burning'!I2612</f>
        <v>2003</v>
      </c>
      <c r="J2612" s="198" t="s">
        <v>2272</v>
      </c>
      <c r="K2612" s="198" t="s">
        <v>2272</v>
      </c>
      <c r="L2612" s="198" t="s">
        <v>2272</v>
      </c>
      <c r="M2612" s="198" t="s">
        <v>2272</v>
      </c>
      <c r="N2612" s="198" t="s">
        <v>2272</v>
      </c>
      <c r="O2612" s="198" t="s">
        <v>2272</v>
      </c>
      <c r="P2612" s="198" t="s">
        <v>2272</v>
      </c>
      <c r="Q2612" s="198" t="s">
        <v>2272</v>
      </c>
      <c r="R2612" s="198" t="s">
        <v>2272</v>
      </c>
      <c r="S2612" s="198" t="s">
        <v>2272</v>
      </c>
      <c r="T2612" s="198" t="s">
        <v>2272</v>
      </c>
      <c r="U2612" s="198" t="s">
        <v>2272</v>
      </c>
      <c r="V2612" s="198" t="s">
        <v>2272</v>
      </c>
      <c r="W2612" s="198" t="s">
        <v>2272</v>
      </c>
      <c r="X2612" s="198" t="s">
        <v>2272</v>
      </c>
      <c r="Y2612" s="198" t="s">
        <v>34</v>
      </c>
      <c r="Z2612" s="198" t="s">
        <v>37</v>
      </c>
      <c r="AA2612" s="198" t="s">
        <v>63</v>
      </c>
      <c r="AB2612" s="198" t="s">
        <v>7616</v>
      </c>
      <c r="AC2612" s="198"/>
    </row>
    <row r="2613" spans="1:29" ht="33.5" customHeight="1">
      <c r="A2613" s="151" t="str">
        <f>'Reported burning'!A2613</f>
        <v>305l</v>
      </c>
      <c r="B2613" s="151" t="str">
        <f>'Reported burning'!B2613</f>
        <v>305l.3</v>
      </c>
      <c r="C2613" s="151" t="str">
        <f>'Reported burning'!C2613</f>
        <v>Human, deliberate</v>
      </c>
      <c r="D2613" s="151" t="str">
        <f>'Reported burning'!D2613</f>
        <v>Pyrome management</v>
      </c>
      <c r="E2613" s="151" t="str">
        <f>'Reported burning'!E2613</f>
        <v>Fire suppression agent</v>
      </c>
      <c r="F2613" s="151" t="str">
        <f>'Reported burning'!F2613</f>
        <v>ND</v>
      </c>
      <c r="G2613" s="151" t="str">
        <f>'Reported burning'!G2613</f>
        <v>ND</v>
      </c>
      <c r="H2613" s="151" t="str">
        <f>'Reported burning'!H2613</f>
        <v>Presence</v>
      </c>
      <c r="I2613" s="5">
        <f>'Reported burning'!I2613</f>
        <v>2003</v>
      </c>
      <c r="J2613" s="198" t="s">
        <v>2272</v>
      </c>
      <c r="K2613" s="198" t="s">
        <v>2272</v>
      </c>
      <c r="L2613" s="198" t="s">
        <v>2272</v>
      </c>
      <c r="M2613" s="198" t="s">
        <v>2272</v>
      </c>
      <c r="N2613" s="198" t="s">
        <v>2272</v>
      </c>
      <c r="O2613" s="198" t="s">
        <v>2272</v>
      </c>
      <c r="P2613" s="198" t="s">
        <v>2272</v>
      </c>
      <c r="Q2613" s="198" t="s">
        <v>2272</v>
      </c>
      <c r="R2613" s="198" t="s">
        <v>2272</v>
      </c>
      <c r="S2613" s="198" t="s">
        <v>2272</v>
      </c>
      <c r="T2613" s="198" t="s">
        <v>2272</v>
      </c>
      <c r="U2613" s="198" t="s">
        <v>2272</v>
      </c>
      <c r="V2613" s="198" t="s">
        <v>2272</v>
      </c>
      <c r="W2613" s="198" t="s">
        <v>2272</v>
      </c>
      <c r="X2613" s="198" t="s">
        <v>2272</v>
      </c>
      <c r="Y2613" s="198" t="s">
        <v>34</v>
      </c>
      <c r="Z2613" s="198" t="s">
        <v>37</v>
      </c>
      <c r="AA2613" s="198" t="s">
        <v>63</v>
      </c>
      <c r="AB2613" s="198" t="s">
        <v>7616</v>
      </c>
      <c r="AC2613" s="198"/>
    </row>
    <row r="2614" spans="1:29" ht="33.5" customHeight="1">
      <c r="A2614" s="151" t="str">
        <f>'Reported burning'!A2614</f>
        <v>305m</v>
      </c>
      <c r="B2614" s="151" t="str">
        <f>'Reported burning'!B2614</f>
        <v>305m.3</v>
      </c>
      <c r="C2614" s="151" t="str">
        <f>'Reported burning'!C2614</f>
        <v>Human, deliberate</v>
      </c>
      <c r="D2614" s="151" t="str">
        <f>'Reported burning'!D2614</f>
        <v>Pyrome management</v>
      </c>
      <c r="E2614" s="151" t="str">
        <f>'Reported burning'!E2614</f>
        <v>Fire suppression agent</v>
      </c>
      <c r="F2614" s="151" t="str">
        <f>'Reported burning'!F2614</f>
        <v>ND</v>
      </c>
      <c r="G2614" s="151" t="str">
        <f>'Reported burning'!G2614</f>
        <v>ND</v>
      </c>
      <c r="H2614" s="151" t="str">
        <f>'Reported burning'!H2614</f>
        <v>Presence</v>
      </c>
      <c r="I2614" s="5">
        <f>'Reported burning'!I2614</f>
        <v>2003</v>
      </c>
      <c r="J2614" s="198" t="s">
        <v>2272</v>
      </c>
      <c r="K2614" s="198" t="s">
        <v>2272</v>
      </c>
      <c r="L2614" s="198" t="s">
        <v>2272</v>
      </c>
      <c r="M2614" s="198" t="s">
        <v>2272</v>
      </c>
      <c r="N2614" s="198" t="s">
        <v>2272</v>
      </c>
      <c r="O2614" s="198" t="s">
        <v>2272</v>
      </c>
      <c r="P2614" s="198" t="s">
        <v>2272</v>
      </c>
      <c r="Q2614" s="198" t="s">
        <v>2272</v>
      </c>
      <c r="R2614" s="198" t="s">
        <v>2272</v>
      </c>
      <c r="S2614" s="198" t="s">
        <v>2272</v>
      </c>
      <c r="T2614" s="198" t="s">
        <v>2272</v>
      </c>
      <c r="U2614" s="198" t="s">
        <v>2272</v>
      </c>
      <c r="V2614" s="198" t="s">
        <v>2272</v>
      </c>
      <c r="W2614" s="198" t="s">
        <v>2272</v>
      </c>
      <c r="X2614" s="198" t="s">
        <v>2272</v>
      </c>
      <c r="Y2614" s="198" t="s">
        <v>34</v>
      </c>
      <c r="Z2614" s="198" t="s">
        <v>37</v>
      </c>
      <c r="AA2614" s="198" t="s">
        <v>63</v>
      </c>
      <c r="AB2614" s="198" t="s">
        <v>7616</v>
      </c>
      <c r="AC2614" s="198"/>
    </row>
    <row r="2615" spans="1:29" ht="33.5" customHeight="1">
      <c r="A2615" s="151" t="str">
        <f>'Reported burning'!A2615</f>
        <v>305i</v>
      </c>
      <c r="B2615" s="151" t="str">
        <f>'Reported burning'!B2615</f>
        <v>305i.4</v>
      </c>
      <c r="C2615" s="151" t="str">
        <f>'Reported burning'!C2615</f>
        <v>Human, deliberate</v>
      </c>
      <c r="D2615" s="151" t="str">
        <f>'Reported burning'!D2615</f>
        <v>Pyrome management</v>
      </c>
      <c r="E2615" s="151" t="str">
        <f>'Reported burning'!E2615</f>
        <v>Fire suppression agent</v>
      </c>
      <c r="F2615" s="151" t="str">
        <f>'Reported burning'!F2615</f>
        <v>ND</v>
      </c>
      <c r="G2615" s="151" t="str">
        <f>'Reported burning'!G2615</f>
        <v>ND</v>
      </c>
      <c r="H2615" s="151" t="str">
        <f>'Reported burning'!H2615</f>
        <v>Presence</v>
      </c>
      <c r="I2615" s="5">
        <f>'Reported burning'!I2615</f>
        <v>2004</v>
      </c>
      <c r="J2615" s="198" t="s">
        <v>2272</v>
      </c>
      <c r="K2615" s="198" t="s">
        <v>2272</v>
      </c>
      <c r="L2615" s="198" t="s">
        <v>2272</v>
      </c>
      <c r="M2615" s="198" t="s">
        <v>2272</v>
      </c>
      <c r="N2615" s="198" t="s">
        <v>2272</v>
      </c>
      <c r="O2615" s="198" t="s">
        <v>2272</v>
      </c>
      <c r="P2615" s="198" t="s">
        <v>2272</v>
      </c>
      <c r="Q2615" s="198" t="s">
        <v>2272</v>
      </c>
      <c r="R2615" s="198" t="s">
        <v>2272</v>
      </c>
      <c r="S2615" s="198" t="s">
        <v>2272</v>
      </c>
      <c r="T2615" s="198" t="s">
        <v>2272</v>
      </c>
      <c r="U2615" s="198" t="s">
        <v>2272</v>
      </c>
      <c r="V2615" s="198" t="s">
        <v>2272</v>
      </c>
      <c r="W2615" s="198" t="s">
        <v>2272</v>
      </c>
      <c r="X2615" s="198" t="s">
        <v>2272</v>
      </c>
      <c r="Y2615" s="198" t="s">
        <v>34</v>
      </c>
      <c r="Z2615" s="198" t="s">
        <v>37</v>
      </c>
      <c r="AA2615" s="198" t="s">
        <v>63</v>
      </c>
      <c r="AB2615" s="198" t="s">
        <v>7616</v>
      </c>
      <c r="AC2615" s="198"/>
    </row>
    <row r="2616" spans="1:29" ht="33.5" customHeight="1">
      <c r="A2616" s="151" t="str">
        <f>'Reported burning'!A2616</f>
        <v>305j</v>
      </c>
      <c r="B2616" s="151" t="str">
        <f>'Reported burning'!B2616</f>
        <v>305j.4</v>
      </c>
      <c r="C2616" s="151" t="str">
        <f>'Reported burning'!C2616</f>
        <v>Human, deliberate</v>
      </c>
      <c r="D2616" s="151" t="str">
        <f>'Reported burning'!D2616</f>
        <v>Pyrome management</v>
      </c>
      <c r="E2616" s="151" t="str">
        <f>'Reported burning'!E2616</f>
        <v>Fire suppression agent</v>
      </c>
      <c r="F2616" s="151" t="str">
        <f>'Reported burning'!F2616</f>
        <v>ND</v>
      </c>
      <c r="G2616" s="151" t="str">
        <f>'Reported burning'!G2616</f>
        <v>ND</v>
      </c>
      <c r="H2616" s="151" t="str">
        <f>'Reported burning'!H2616</f>
        <v>Presence</v>
      </c>
      <c r="I2616" s="5">
        <f>'Reported burning'!I2616</f>
        <v>2004</v>
      </c>
      <c r="J2616" s="198" t="s">
        <v>2272</v>
      </c>
      <c r="K2616" s="198" t="s">
        <v>2272</v>
      </c>
      <c r="L2616" s="198" t="s">
        <v>2272</v>
      </c>
      <c r="M2616" s="198" t="s">
        <v>2272</v>
      </c>
      <c r="N2616" s="198" t="s">
        <v>2272</v>
      </c>
      <c r="O2616" s="198" t="s">
        <v>2272</v>
      </c>
      <c r="P2616" s="198" t="s">
        <v>2272</v>
      </c>
      <c r="Q2616" s="198" t="s">
        <v>2272</v>
      </c>
      <c r="R2616" s="198" t="s">
        <v>2272</v>
      </c>
      <c r="S2616" s="198" t="s">
        <v>2272</v>
      </c>
      <c r="T2616" s="198" t="s">
        <v>2272</v>
      </c>
      <c r="U2616" s="198" t="s">
        <v>2272</v>
      </c>
      <c r="V2616" s="198" t="s">
        <v>2272</v>
      </c>
      <c r="W2616" s="198" t="s">
        <v>2272</v>
      </c>
      <c r="X2616" s="198" t="s">
        <v>2272</v>
      </c>
      <c r="Y2616" s="198" t="s">
        <v>34</v>
      </c>
      <c r="Z2616" s="198" t="s">
        <v>37</v>
      </c>
      <c r="AA2616" s="198" t="s">
        <v>63</v>
      </c>
      <c r="AB2616" s="198" t="s">
        <v>7616</v>
      </c>
      <c r="AC2616" s="198"/>
    </row>
    <row r="2617" spans="1:29" ht="33.5" customHeight="1">
      <c r="A2617" s="151" t="str">
        <f>'Reported burning'!A2617</f>
        <v>305k</v>
      </c>
      <c r="B2617" s="151" t="str">
        <f>'Reported burning'!B2617</f>
        <v>305k.4</v>
      </c>
      <c r="C2617" s="151" t="str">
        <f>'Reported burning'!C2617</f>
        <v>Human, deliberate</v>
      </c>
      <c r="D2617" s="151" t="str">
        <f>'Reported burning'!D2617</f>
        <v>Pyrome management</v>
      </c>
      <c r="E2617" s="151" t="str">
        <f>'Reported burning'!E2617</f>
        <v>Fire suppression agent</v>
      </c>
      <c r="F2617" s="151" t="str">
        <f>'Reported burning'!F2617</f>
        <v>ND</v>
      </c>
      <c r="G2617" s="151" t="str">
        <f>'Reported burning'!G2617</f>
        <v>ND</v>
      </c>
      <c r="H2617" s="151" t="str">
        <f>'Reported burning'!H2617</f>
        <v>Presence</v>
      </c>
      <c r="I2617" s="5">
        <f>'Reported burning'!I2617</f>
        <v>2004</v>
      </c>
      <c r="J2617" s="198" t="s">
        <v>2272</v>
      </c>
      <c r="K2617" s="198" t="s">
        <v>2272</v>
      </c>
      <c r="L2617" s="198" t="s">
        <v>2272</v>
      </c>
      <c r="M2617" s="198" t="s">
        <v>2272</v>
      </c>
      <c r="N2617" s="198" t="s">
        <v>2272</v>
      </c>
      <c r="O2617" s="198" t="s">
        <v>2272</v>
      </c>
      <c r="P2617" s="198" t="s">
        <v>2272</v>
      </c>
      <c r="Q2617" s="198" t="s">
        <v>2272</v>
      </c>
      <c r="R2617" s="198" t="s">
        <v>2272</v>
      </c>
      <c r="S2617" s="198" t="s">
        <v>2272</v>
      </c>
      <c r="T2617" s="198" t="s">
        <v>2272</v>
      </c>
      <c r="U2617" s="198" t="s">
        <v>2272</v>
      </c>
      <c r="V2617" s="198" t="s">
        <v>2272</v>
      </c>
      <c r="W2617" s="198" t="s">
        <v>2272</v>
      </c>
      <c r="X2617" s="198" t="s">
        <v>2272</v>
      </c>
      <c r="Y2617" s="198" t="s">
        <v>34</v>
      </c>
      <c r="Z2617" s="198" t="s">
        <v>37</v>
      </c>
      <c r="AA2617" s="198" t="s">
        <v>63</v>
      </c>
      <c r="AB2617" s="198" t="s">
        <v>7616</v>
      </c>
      <c r="AC2617" s="198"/>
    </row>
    <row r="2618" spans="1:29" ht="33.5" customHeight="1">
      <c r="A2618" s="151" t="str">
        <f>'Reported burning'!A2618</f>
        <v>305l</v>
      </c>
      <c r="B2618" s="151" t="str">
        <f>'Reported burning'!B2618</f>
        <v>305l.4</v>
      </c>
      <c r="C2618" s="151" t="str">
        <f>'Reported burning'!C2618</f>
        <v>Human, deliberate</v>
      </c>
      <c r="D2618" s="151" t="str">
        <f>'Reported burning'!D2618</f>
        <v>Pyrome management</v>
      </c>
      <c r="E2618" s="151" t="str">
        <f>'Reported burning'!E2618</f>
        <v>Fire suppression agent</v>
      </c>
      <c r="F2618" s="151" t="str">
        <f>'Reported burning'!F2618</f>
        <v>ND</v>
      </c>
      <c r="G2618" s="151" t="str">
        <f>'Reported burning'!G2618</f>
        <v>ND</v>
      </c>
      <c r="H2618" s="151" t="str">
        <f>'Reported burning'!H2618</f>
        <v>Presence</v>
      </c>
      <c r="I2618" s="5">
        <f>'Reported burning'!I2618</f>
        <v>2004</v>
      </c>
      <c r="J2618" s="198" t="s">
        <v>2272</v>
      </c>
      <c r="K2618" s="198" t="s">
        <v>2272</v>
      </c>
      <c r="L2618" s="198" t="s">
        <v>2272</v>
      </c>
      <c r="M2618" s="198" t="s">
        <v>2272</v>
      </c>
      <c r="N2618" s="198" t="s">
        <v>2272</v>
      </c>
      <c r="O2618" s="198" t="s">
        <v>2272</v>
      </c>
      <c r="P2618" s="198" t="s">
        <v>2272</v>
      </c>
      <c r="Q2618" s="198" t="s">
        <v>2272</v>
      </c>
      <c r="R2618" s="198" t="s">
        <v>2272</v>
      </c>
      <c r="S2618" s="198" t="s">
        <v>2272</v>
      </c>
      <c r="T2618" s="198" t="s">
        <v>2272</v>
      </c>
      <c r="U2618" s="198" t="s">
        <v>2272</v>
      </c>
      <c r="V2618" s="198" t="s">
        <v>2272</v>
      </c>
      <c r="W2618" s="198" t="s">
        <v>2272</v>
      </c>
      <c r="X2618" s="198" t="s">
        <v>2272</v>
      </c>
      <c r="Y2618" s="198" t="s">
        <v>34</v>
      </c>
      <c r="Z2618" s="198" t="s">
        <v>37</v>
      </c>
      <c r="AA2618" s="198" t="s">
        <v>63</v>
      </c>
      <c r="AB2618" s="198" t="s">
        <v>7616</v>
      </c>
      <c r="AC2618" s="198"/>
    </row>
    <row r="2619" spans="1:29" ht="33.5" customHeight="1">
      <c r="A2619" s="151" t="str">
        <f>'Reported burning'!A2619</f>
        <v>305m</v>
      </c>
      <c r="B2619" s="151" t="str">
        <f>'Reported burning'!B2619</f>
        <v>305m.4</v>
      </c>
      <c r="C2619" s="151" t="str">
        <f>'Reported burning'!C2619</f>
        <v>Human, deliberate</v>
      </c>
      <c r="D2619" s="151" t="str">
        <f>'Reported burning'!D2619</f>
        <v>Pyrome management</v>
      </c>
      <c r="E2619" s="151" t="str">
        <f>'Reported burning'!E2619</f>
        <v>Fire suppression agent</v>
      </c>
      <c r="F2619" s="151" t="str">
        <f>'Reported burning'!F2619</f>
        <v>ND</v>
      </c>
      <c r="G2619" s="151" t="str">
        <f>'Reported burning'!G2619</f>
        <v>ND</v>
      </c>
      <c r="H2619" s="151" t="str">
        <f>'Reported burning'!H2619</f>
        <v>Presence</v>
      </c>
      <c r="I2619" s="5">
        <f>'Reported burning'!I2619</f>
        <v>2004</v>
      </c>
      <c r="J2619" s="198" t="s">
        <v>2272</v>
      </c>
      <c r="K2619" s="198" t="s">
        <v>2272</v>
      </c>
      <c r="L2619" s="198" t="s">
        <v>2272</v>
      </c>
      <c r="M2619" s="198" t="s">
        <v>2272</v>
      </c>
      <c r="N2619" s="198" t="s">
        <v>2272</v>
      </c>
      <c r="O2619" s="198" t="s">
        <v>2272</v>
      </c>
      <c r="P2619" s="198" t="s">
        <v>2272</v>
      </c>
      <c r="Q2619" s="198" t="s">
        <v>2272</v>
      </c>
      <c r="R2619" s="198" t="s">
        <v>2272</v>
      </c>
      <c r="S2619" s="198" t="s">
        <v>2272</v>
      </c>
      <c r="T2619" s="198" t="s">
        <v>2272</v>
      </c>
      <c r="U2619" s="198" t="s">
        <v>2272</v>
      </c>
      <c r="V2619" s="198" t="s">
        <v>2272</v>
      </c>
      <c r="W2619" s="198" t="s">
        <v>2272</v>
      </c>
      <c r="X2619" s="198" t="s">
        <v>2272</v>
      </c>
      <c r="Y2619" s="198" t="s">
        <v>34</v>
      </c>
      <c r="Z2619" s="198" t="s">
        <v>37</v>
      </c>
      <c r="AA2619" s="198" t="s">
        <v>63</v>
      </c>
      <c r="AB2619" s="198" t="s">
        <v>7616</v>
      </c>
      <c r="AC2619" s="198"/>
    </row>
    <row r="2620" spans="1:29" ht="33.5" customHeight="1">
      <c r="A2620" s="151" t="str">
        <f>'Reported burning'!A2620</f>
        <v>305i</v>
      </c>
      <c r="B2620" s="151" t="str">
        <f>'Reported burning'!B2620</f>
        <v>305i.5</v>
      </c>
      <c r="C2620" s="151" t="str">
        <f>'Reported burning'!C2620</f>
        <v>Human, deliberate</v>
      </c>
      <c r="D2620" s="151" t="str">
        <f>'Reported burning'!D2620</f>
        <v>Pyrome management</v>
      </c>
      <c r="E2620" s="151" t="str">
        <f>'Reported burning'!E2620</f>
        <v>Fire suppression agent</v>
      </c>
      <c r="F2620" s="151" t="str">
        <f>'Reported burning'!F2620</f>
        <v>ND</v>
      </c>
      <c r="G2620" s="151" t="str">
        <f>'Reported burning'!G2620</f>
        <v>ND</v>
      </c>
      <c r="H2620" s="151" t="str">
        <f>'Reported burning'!H2620</f>
        <v>Presence</v>
      </c>
      <c r="I2620" s="5">
        <f>'Reported burning'!I2620</f>
        <v>2005</v>
      </c>
      <c r="J2620" s="198" t="s">
        <v>2272</v>
      </c>
      <c r="K2620" s="198" t="s">
        <v>2272</v>
      </c>
      <c r="L2620" s="198" t="s">
        <v>2272</v>
      </c>
      <c r="M2620" s="198" t="s">
        <v>2272</v>
      </c>
      <c r="N2620" s="198" t="s">
        <v>2272</v>
      </c>
      <c r="O2620" s="198" t="s">
        <v>2272</v>
      </c>
      <c r="P2620" s="198" t="s">
        <v>2272</v>
      </c>
      <c r="Q2620" s="198" t="s">
        <v>2272</v>
      </c>
      <c r="R2620" s="198" t="s">
        <v>2272</v>
      </c>
      <c r="S2620" s="198" t="s">
        <v>2272</v>
      </c>
      <c r="T2620" s="198" t="s">
        <v>2272</v>
      </c>
      <c r="U2620" s="198" t="s">
        <v>2272</v>
      </c>
      <c r="V2620" s="198" t="s">
        <v>2272</v>
      </c>
      <c r="W2620" s="198" t="s">
        <v>2272</v>
      </c>
      <c r="X2620" s="198" t="s">
        <v>2272</v>
      </c>
      <c r="Y2620" s="198" t="s">
        <v>34</v>
      </c>
      <c r="Z2620" s="198" t="s">
        <v>37</v>
      </c>
      <c r="AA2620" s="198" t="s">
        <v>63</v>
      </c>
      <c r="AB2620" s="198" t="s">
        <v>7616</v>
      </c>
      <c r="AC2620" s="198"/>
    </row>
    <row r="2621" spans="1:29" ht="33.5" customHeight="1">
      <c r="A2621" s="151" t="str">
        <f>'Reported burning'!A2621</f>
        <v>305j</v>
      </c>
      <c r="B2621" s="151" t="str">
        <f>'Reported burning'!B2621</f>
        <v>305j.5</v>
      </c>
      <c r="C2621" s="151" t="str">
        <f>'Reported burning'!C2621</f>
        <v>Human, deliberate</v>
      </c>
      <c r="D2621" s="151" t="str">
        <f>'Reported burning'!D2621</f>
        <v>Pyrome management</v>
      </c>
      <c r="E2621" s="151" t="str">
        <f>'Reported burning'!E2621</f>
        <v>Fire suppression agent</v>
      </c>
      <c r="F2621" s="151" t="str">
        <f>'Reported burning'!F2621</f>
        <v>ND</v>
      </c>
      <c r="G2621" s="151" t="str">
        <f>'Reported burning'!G2621</f>
        <v>ND</v>
      </c>
      <c r="H2621" s="151" t="str">
        <f>'Reported burning'!H2621</f>
        <v>Presence</v>
      </c>
      <c r="I2621" s="5">
        <f>'Reported burning'!I2621</f>
        <v>2005</v>
      </c>
      <c r="J2621" s="198" t="s">
        <v>2272</v>
      </c>
      <c r="K2621" s="198" t="s">
        <v>2272</v>
      </c>
      <c r="L2621" s="198" t="s">
        <v>2272</v>
      </c>
      <c r="M2621" s="198" t="s">
        <v>2272</v>
      </c>
      <c r="N2621" s="198" t="s">
        <v>2272</v>
      </c>
      <c r="O2621" s="198" t="s">
        <v>2272</v>
      </c>
      <c r="P2621" s="198" t="s">
        <v>2272</v>
      </c>
      <c r="Q2621" s="198" t="s">
        <v>2272</v>
      </c>
      <c r="R2621" s="198" t="s">
        <v>2272</v>
      </c>
      <c r="S2621" s="198" t="s">
        <v>2272</v>
      </c>
      <c r="T2621" s="198" t="s">
        <v>2272</v>
      </c>
      <c r="U2621" s="198" t="s">
        <v>2272</v>
      </c>
      <c r="V2621" s="198" t="s">
        <v>2272</v>
      </c>
      <c r="W2621" s="198" t="s">
        <v>2272</v>
      </c>
      <c r="X2621" s="198" t="s">
        <v>2272</v>
      </c>
      <c r="Y2621" s="198" t="s">
        <v>34</v>
      </c>
      <c r="Z2621" s="198" t="s">
        <v>37</v>
      </c>
      <c r="AA2621" s="198" t="s">
        <v>63</v>
      </c>
      <c r="AB2621" s="198" t="s">
        <v>7616</v>
      </c>
      <c r="AC2621" s="198"/>
    </row>
    <row r="2622" spans="1:29" ht="33.5" customHeight="1">
      <c r="A2622" s="151" t="str">
        <f>'Reported burning'!A2622</f>
        <v>305k</v>
      </c>
      <c r="B2622" s="151" t="str">
        <f>'Reported burning'!B2622</f>
        <v>305k.5</v>
      </c>
      <c r="C2622" s="151" t="str">
        <f>'Reported burning'!C2622</f>
        <v>Human, deliberate</v>
      </c>
      <c r="D2622" s="151" t="str">
        <f>'Reported burning'!D2622</f>
        <v>Pyrome management</v>
      </c>
      <c r="E2622" s="151" t="str">
        <f>'Reported burning'!E2622</f>
        <v>Fire suppression agent</v>
      </c>
      <c r="F2622" s="151" t="str">
        <f>'Reported burning'!F2622</f>
        <v>ND</v>
      </c>
      <c r="G2622" s="151" t="str">
        <f>'Reported burning'!G2622</f>
        <v>ND</v>
      </c>
      <c r="H2622" s="151" t="str">
        <f>'Reported burning'!H2622</f>
        <v>Presence</v>
      </c>
      <c r="I2622" s="5">
        <f>'Reported burning'!I2622</f>
        <v>2005</v>
      </c>
      <c r="J2622" s="198" t="s">
        <v>2272</v>
      </c>
      <c r="K2622" s="198" t="s">
        <v>2272</v>
      </c>
      <c r="L2622" s="198" t="s">
        <v>2272</v>
      </c>
      <c r="M2622" s="198" t="s">
        <v>2272</v>
      </c>
      <c r="N2622" s="198" t="s">
        <v>2272</v>
      </c>
      <c r="O2622" s="198" t="s">
        <v>2272</v>
      </c>
      <c r="P2622" s="198" t="s">
        <v>2272</v>
      </c>
      <c r="Q2622" s="198" t="s">
        <v>2272</v>
      </c>
      <c r="R2622" s="198" t="s">
        <v>2272</v>
      </c>
      <c r="S2622" s="198" t="s">
        <v>2272</v>
      </c>
      <c r="T2622" s="198" t="s">
        <v>2272</v>
      </c>
      <c r="U2622" s="198" t="s">
        <v>2272</v>
      </c>
      <c r="V2622" s="198" t="s">
        <v>2272</v>
      </c>
      <c r="W2622" s="198" t="s">
        <v>2272</v>
      </c>
      <c r="X2622" s="198" t="s">
        <v>2272</v>
      </c>
      <c r="Y2622" s="198" t="s">
        <v>34</v>
      </c>
      <c r="Z2622" s="198" t="s">
        <v>37</v>
      </c>
      <c r="AA2622" s="198" t="s">
        <v>63</v>
      </c>
      <c r="AB2622" s="198" t="s">
        <v>7616</v>
      </c>
      <c r="AC2622" s="198"/>
    </row>
    <row r="2623" spans="1:29" ht="33.5" customHeight="1">
      <c r="A2623" s="151" t="str">
        <f>'Reported burning'!A2623</f>
        <v>305l</v>
      </c>
      <c r="B2623" s="151" t="str">
        <f>'Reported burning'!B2623</f>
        <v>305l.5</v>
      </c>
      <c r="C2623" s="151" t="str">
        <f>'Reported burning'!C2623</f>
        <v>Human, deliberate</v>
      </c>
      <c r="D2623" s="151" t="str">
        <f>'Reported burning'!D2623</f>
        <v>Pyrome management</v>
      </c>
      <c r="E2623" s="151" t="str">
        <f>'Reported burning'!E2623</f>
        <v>Fire suppression agent</v>
      </c>
      <c r="F2623" s="151" t="str">
        <f>'Reported burning'!F2623</f>
        <v>ND</v>
      </c>
      <c r="G2623" s="151" t="str">
        <f>'Reported burning'!G2623</f>
        <v>ND</v>
      </c>
      <c r="H2623" s="151" t="str">
        <f>'Reported burning'!H2623</f>
        <v>Presence</v>
      </c>
      <c r="I2623" s="5">
        <f>'Reported burning'!I2623</f>
        <v>2005</v>
      </c>
      <c r="J2623" s="198" t="s">
        <v>2272</v>
      </c>
      <c r="K2623" s="198" t="s">
        <v>2272</v>
      </c>
      <c r="L2623" s="198" t="s">
        <v>2272</v>
      </c>
      <c r="M2623" s="198" t="s">
        <v>2272</v>
      </c>
      <c r="N2623" s="198" t="s">
        <v>2272</v>
      </c>
      <c r="O2623" s="198" t="s">
        <v>2272</v>
      </c>
      <c r="P2623" s="198" t="s">
        <v>2272</v>
      </c>
      <c r="Q2623" s="198" t="s">
        <v>2272</v>
      </c>
      <c r="R2623" s="198" t="s">
        <v>2272</v>
      </c>
      <c r="S2623" s="198" t="s">
        <v>2272</v>
      </c>
      <c r="T2623" s="198" t="s">
        <v>2272</v>
      </c>
      <c r="U2623" s="198" t="s">
        <v>2272</v>
      </c>
      <c r="V2623" s="198" t="s">
        <v>2272</v>
      </c>
      <c r="W2623" s="198" t="s">
        <v>2272</v>
      </c>
      <c r="X2623" s="198" t="s">
        <v>2272</v>
      </c>
      <c r="Y2623" s="198" t="s">
        <v>34</v>
      </c>
      <c r="Z2623" s="198" t="s">
        <v>37</v>
      </c>
      <c r="AA2623" s="198" t="s">
        <v>63</v>
      </c>
      <c r="AB2623" s="198" t="s">
        <v>7616</v>
      </c>
      <c r="AC2623" s="198"/>
    </row>
    <row r="2624" spans="1:29" ht="33.5" customHeight="1">
      <c r="A2624" s="151" t="str">
        <f>'Reported burning'!A2624</f>
        <v>305m</v>
      </c>
      <c r="B2624" s="151" t="str">
        <f>'Reported burning'!B2624</f>
        <v>305m.5</v>
      </c>
      <c r="C2624" s="151" t="str">
        <f>'Reported burning'!C2624</f>
        <v>Human, deliberate</v>
      </c>
      <c r="D2624" s="151" t="str">
        <f>'Reported burning'!D2624</f>
        <v>Pyrome management</v>
      </c>
      <c r="E2624" s="151" t="str">
        <f>'Reported burning'!E2624</f>
        <v>Fire suppression agent</v>
      </c>
      <c r="F2624" s="151" t="str">
        <f>'Reported burning'!F2624</f>
        <v>ND</v>
      </c>
      <c r="G2624" s="151" t="str">
        <f>'Reported burning'!G2624</f>
        <v>ND</v>
      </c>
      <c r="H2624" s="151" t="str">
        <f>'Reported burning'!H2624</f>
        <v>Presence</v>
      </c>
      <c r="I2624" s="5">
        <f>'Reported burning'!I2624</f>
        <v>2005</v>
      </c>
      <c r="J2624" s="198" t="s">
        <v>2272</v>
      </c>
      <c r="K2624" s="198" t="s">
        <v>2272</v>
      </c>
      <c r="L2624" s="198" t="s">
        <v>2272</v>
      </c>
      <c r="M2624" s="198" t="s">
        <v>2272</v>
      </c>
      <c r="N2624" s="198" t="s">
        <v>2272</v>
      </c>
      <c r="O2624" s="198" t="s">
        <v>2272</v>
      </c>
      <c r="P2624" s="198" t="s">
        <v>2272</v>
      </c>
      <c r="Q2624" s="198" t="s">
        <v>2272</v>
      </c>
      <c r="R2624" s="198" t="s">
        <v>2272</v>
      </c>
      <c r="S2624" s="198" t="s">
        <v>2272</v>
      </c>
      <c r="T2624" s="198" t="s">
        <v>2272</v>
      </c>
      <c r="U2624" s="198" t="s">
        <v>2272</v>
      </c>
      <c r="V2624" s="198" t="s">
        <v>2272</v>
      </c>
      <c r="W2624" s="198" t="s">
        <v>2272</v>
      </c>
      <c r="X2624" s="198" t="s">
        <v>2272</v>
      </c>
      <c r="Y2624" s="198" t="s">
        <v>34</v>
      </c>
      <c r="Z2624" s="198" t="s">
        <v>37</v>
      </c>
      <c r="AA2624" s="198" t="s">
        <v>63</v>
      </c>
      <c r="AB2624" s="198" t="s">
        <v>7616</v>
      </c>
      <c r="AC2624" s="198"/>
    </row>
    <row r="2625" spans="1:29" ht="33.5" customHeight="1">
      <c r="A2625" s="151" t="str">
        <f>'Reported burning'!A2625</f>
        <v>305i</v>
      </c>
      <c r="B2625" s="151" t="str">
        <f>'Reported burning'!B2625</f>
        <v>305i.6</v>
      </c>
      <c r="C2625" s="151" t="str">
        <f>'Reported burning'!C2625</f>
        <v>Human, deliberate</v>
      </c>
      <c r="D2625" s="151" t="str">
        <f>'Reported burning'!D2625</f>
        <v>Pyrome management</v>
      </c>
      <c r="E2625" s="151" t="str">
        <f>'Reported burning'!E2625</f>
        <v>Fire suppression agent</v>
      </c>
      <c r="F2625" s="151" t="str">
        <f>'Reported burning'!F2625</f>
        <v>ND</v>
      </c>
      <c r="G2625" s="151" t="str">
        <f>'Reported burning'!G2625</f>
        <v>ND</v>
      </c>
      <c r="H2625" s="151" t="str">
        <f>'Reported burning'!H2625</f>
        <v>Presence</v>
      </c>
      <c r="I2625" s="5">
        <f>'Reported burning'!I2625</f>
        <v>2006</v>
      </c>
      <c r="J2625" s="198" t="s">
        <v>2272</v>
      </c>
      <c r="K2625" s="198" t="s">
        <v>2272</v>
      </c>
      <c r="L2625" s="198" t="s">
        <v>2272</v>
      </c>
      <c r="M2625" s="198" t="s">
        <v>2272</v>
      </c>
      <c r="N2625" s="198" t="s">
        <v>2272</v>
      </c>
      <c r="O2625" s="198" t="s">
        <v>2272</v>
      </c>
      <c r="P2625" s="198" t="s">
        <v>2272</v>
      </c>
      <c r="Q2625" s="198" t="s">
        <v>2272</v>
      </c>
      <c r="R2625" s="198" t="s">
        <v>2272</v>
      </c>
      <c r="S2625" s="198" t="s">
        <v>2272</v>
      </c>
      <c r="T2625" s="198" t="s">
        <v>2272</v>
      </c>
      <c r="U2625" s="198" t="s">
        <v>2272</v>
      </c>
      <c r="V2625" s="198" t="s">
        <v>2272</v>
      </c>
      <c r="W2625" s="198" t="s">
        <v>2272</v>
      </c>
      <c r="X2625" s="198" t="s">
        <v>2272</v>
      </c>
      <c r="Y2625" s="198" t="s">
        <v>34</v>
      </c>
      <c r="Z2625" s="198" t="s">
        <v>37</v>
      </c>
      <c r="AA2625" s="198" t="s">
        <v>63</v>
      </c>
      <c r="AB2625" s="198" t="s">
        <v>7616</v>
      </c>
      <c r="AC2625" s="198"/>
    </row>
    <row r="2626" spans="1:29" ht="33.5" customHeight="1">
      <c r="A2626" s="151" t="str">
        <f>'Reported burning'!A2626</f>
        <v>305j</v>
      </c>
      <c r="B2626" s="151" t="str">
        <f>'Reported burning'!B2626</f>
        <v>305j.6</v>
      </c>
      <c r="C2626" s="151" t="str">
        <f>'Reported burning'!C2626</f>
        <v>Human, deliberate</v>
      </c>
      <c r="D2626" s="151" t="str">
        <f>'Reported burning'!D2626</f>
        <v>Pyrome management</v>
      </c>
      <c r="E2626" s="151" t="str">
        <f>'Reported burning'!E2626</f>
        <v>Fire suppression agent</v>
      </c>
      <c r="F2626" s="151" t="str">
        <f>'Reported burning'!F2626</f>
        <v>ND</v>
      </c>
      <c r="G2626" s="151" t="str">
        <f>'Reported burning'!G2626</f>
        <v>ND</v>
      </c>
      <c r="H2626" s="151" t="str">
        <f>'Reported burning'!H2626</f>
        <v>Presence</v>
      </c>
      <c r="I2626" s="5">
        <f>'Reported burning'!I2626</f>
        <v>2006</v>
      </c>
      <c r="J2626" s="198" t="s">
        <v>2272</v>
      </c>
      <c r="K2626" s="198" t="s">
        <v>2272</v>
      </c>
      <c r="L2626" s="198" t="s">
        <v>2272</v>
      </c>
      <c r="M2626" s="198" t="s">
        <v>2272</v>
      </c>
      <c r="N2626" s="198" t="s">
        <v>2272</v>
      </c>
      <c r="O2626" s="198" t="s">
        <v>2272</v>
      </c>
      <c r="P2626" s="198" t="s">
        <v>2272</v>
      </c>
      <c r="Q2626" s="198" t="s">
        <v>2272</v>
      </c>
      <c r="R2626" s="198" t="s">
        <v>2272</v>
      </c>
      <c r="S2626" s="198" t="s">
        <v>2272</v>
      </c>
      <c r="T2626" s="198" t="s">
        <v>2272</v>
      </c>
      <c r="U2626" s="198" t="s">
        <v>2272</v>
      </c>
      <c r="V2626" s="198" t="s">
        <v>2272</v>
      </c>
      <c r="W2626" s="198" t="s">
        <v>2272</v>
      </c>
      <c r="X2626" s="198" t="s">
        <v>2272</v>
      </c>
      <c r="Y2626" s="198" t="s">
        <v>34</v>
      </c>
      <c r="Z2626" s="198" t="s">
        <v>37</v>
      </c>
      <c r="AA2626" s="198" t="s">
        <v>63</v>
      </c>
      <c r="AB2626" s="198" t="s">
        <v>7616</v>
      </c>
      <c r="AC2626" s="198"/>
    </row>
    <row r="2627" spans="1:29" ht="33.5" customHeight="1">
      <c r="A2627" s="151" t="str">
        <f>'Reported burning'!A2627</f>
        <v>305k</v>
      </c>
      <c r="B2627" s="151" t="str">
        <f>'Reported burning'!B2627</f>
        <v>305k.6</v>
      </c>
      <c r="C2627" s="151" t="str">
        <f>'Reported burning'!C2627</f>
        <v>Human, deliberate</v>
      </c>
      <c r="D2627" s="151" t="str">
        <f>'Reported burning'!D2627</f>
        <v>Pyrome management</v>
      </c>
      <c r="E2627" s="151" t="str">
        <f>'Reported burning'!E2627</f>
        <v>Fire suppression agent</v>
      </c>
      <c r="F2627" s="151" t="str">
        <f>'Reported burning'!F2627</f>
        <v>ND</v>
      </c>
      <c r="G2627" s="151" t="str">
        <f>'Reported burning'!G2627</f>
        <v>ND</v>
      </c>
      <c r="H2627" s="151" t="str">
        <f>'Reported burning'!H2627</f>
        <v>Presence</v>
      </c>
      <c r="I2627" s="5">
        <f>'Reported burning'!I2627</f>
        <v>2006</v>
      </c>
      <c r="J2627" s="198" t="s">
        <v>2272</v>
      </c>
      <c r="K2627" s="198" t="s">
        <v>2272</v>
      </c>
      <c r="L2627" s="198" t="s">
        <v>2272</v>
      </c>
      <c r="M2627" s="198" t="s">
        <v>2272</v>
      </c>
      <c r="N2627" s="198" t="s">
        <v>2272</v>
      </c>
      <c r="O2627" s="198" t="s">
        <v>2272</v>
      </c>
      <c r="P2627" s="198" t="s">
        <v>2272</v>
      </c>
      <c r="Q2627" s="198" t="s">
        <v>2272</v>
      </c>
      <c r="R2627" s="198" t="s">
        <v>2272</v>
      </c>
      <c r="S2627" s="198" t="s">
        <v>2272</v>
      </c>
      <c r="T2627" s="198" t="s">
        <v>2272</v>
      </c>
      <c r="U2627" s="198" t="s">
        <v>2272</v>
      </c>
      <c r="V2627" s="198" t="s">
        <v>2272</v>
      </c>
      <c r="W2627" s="198" t="s">
        <v>2272</v>
      </c>
      <c r="X2627" s="198" t="s">
        <v>2272</v>
      </c>
      <c r="Y2627" s="198" t="s">
        <v>34</v>
      </c>
      <c r="Z2627" s="198" t="s">
        <v>37</v>
      </c>
      <c r="AA2627" s="198" t="s">
        <v>63</v>
      </c>
      <c r="AB2627" s="198" t="s">
        <v>7616</v>
      </c>
      <c r="AC2627" s="198"/>
    </row>
    <row r="2628" spans="1:29" ht="33.5" customHeight="1">
      <c r="A2628" s="151" t="str">
        <f>'Reported burning'!A2628</f>
        <v>305l</v>
      </c>
      <c r="B2628" s="151" t="str">
        <f>'Reported burning'!B2628</f>
        <v>305l.6</v>
      </c>
      <c r="C2628" s="151" t="str">
        <f>'Reported burning'!C2628</f>
        <v>Human, deliberate</v>
      </c>
      <c r="D2628" s="151" t="str">
        <f>'Reported burning'!D2628</f>
        <v>Pyrome management</v>
      </c>
      <c r="E2628" s="151" t="str">
        <f>'Reported burning'!E2628</f>
        <v>Fire suppression agent</v>
      </c>
      <c r="F2628" s="151" t="str">
        <f>'Reported burning'!F2628</f>
        <v>ND</v>
      </c>
      <c r="G2628" s="151" t="str">
        <f>'Reported burning'!G2628</f>
        <v>ND</v>
      </c>
      <c r="H2628" s="151" t="str">
        <f>'Reported burning'!H2628</f>
        <v>Presence</v>
      </c>
      <c r="I2628" s="5">
        <f>'Reported burning'!I2628</f>
        <v>2006</v>
      </c>
      <c r="J2628" s="198" t="s">
        <v>2272</v>
      </c>
      <c r="K2628" s="198" t="s">
        <v>2272</v>
      </c>
      <c r="L2628" s="198" t="s">
        <v>2272</v>
      </c>
      <c r="M2628" s="198" t="s">
        <v>2272</v>
      </c>
      <c r="N2628" s="198" t="s">
        <v>2272</v>
      </c>
      <c r="O2628" s="198" t="s">
        <v>2272</v>
      </c>
      <c r="P2628" s="198" t="s">
        <v>2272</v>
      </c>
      <c r="Q2628" s="198" t="s">
        <v>2272</v>
      </c>
      <c r="R2628" s="198" t="s">
        <v>2272</v>
      </c>
      <c r="S2628" s="198" t="s">
        <v>2272</v>
      </c>
      <c r="T2628" s="198" t="s">
        <v>2272</v>
      </c>
      <c r="U2628" s="198" t="s">
        <v>2272</v>
      </c>
      <c r="V2628" s="198" t="s">
        <v>2272</v>
      </c>
      <c r="W2628" s="198" t="s">
        <v>2272</v>
      </c>
      <c r="X2628" s="198" t="s">
        <v>2272</v>
      </c>
      <c r="Y2628" s="198" t="s">
        <v>34</v>
      </c>
      <c r="Z2628" s="198" t="s">
        <v>37</v>
      </c>
      <c r="AA2628" s="198" t="s">
        <v>63</v>
      </c>
      <c r="AB2628" s="198" t="s">
        <v>7616</v>
      </c>
      <c r="AC2628" s="198"/>
    </row>
    <row r="2629" spans="1:29" ht="33.5" customHeight="1">
      <c r="A2629" s="151" t="str">
        <f>'Reported burning'!A2629</f>
        <v>305m</v>
      </c>
      <c r="B2629" s="151" t="str">
        <f>'Reported burning'!B2629</f>
        <v>305m.6</v>
      </c>
      <c r="C2629" s="151" t="str">
        <f>'Reported burning'!C2629</f>
        <v>Human, deliberate</v>
      </c>
      <c r="D2629" s="151" t="str">
        <f>'Reported burning'!D2629</f>
        <v>Pyrome management</v>
      </c>
      <c r="E2629" s="151" t="str">
        <f>'Reported burning'!E2629</f>
        <v>Fire suppression agent</v>
      </c>
      <c r="F2629" s="151" t="str">
        <f>'Reported burning'!F2629</f>
        <v>ND</v>
      </c>
      <c r="G2629" s="151" t="str">
        <f>'Reported burning'!G2629</f>
        <v>ND</v>
      </c>
      <c r="H2629" s="151" t="str">
        <f>'Reported burning'!H2629</f>
        <v>Presence</v>
      </c>
      <c r="I2629" s="5">
        <f>'Reported burning'!I2629</f>
        <v>2006</v>
      </c>
      <c r="J2629" s="198" t="s">
        <v>2272</v>
      </c>
      <c r="K2629" s="198" t="s">
        <v>2272</v>
      </c>
      <c r="L2629" s="198" t="s">
        <v>2272</v>
      </c>
      <c r="M2629" s="198" t="s">
        <v>2272</v>
      </c>
      <c r="N2629" s="198" t="s">
        <v>2272</v>
      </c>
      <c r="O2629" s="198" t="s">
        <v>2272</v>
      </c>
      <c r="P2629" s="198" t="s">
        <v>2272</v>
      </c>
      <c r="Q2629" s="198" t="s">
        <v>2272</v>
      </c>
      <c r="R2629" s="198" t="s">
        <v>2272</v>
      </c>
      <c r="S2629" s="198" t="s">
        <v>2272</v>
      </c>
      <c r="T2629" s="198" t="s">
        <v>2272</v>
      </c>
      <c r="U2629" s="198" t="s">
        <v>2272</v>
      </c>
      <c r="V2629" s="198" t="s">
        <v>2272</v>
      </c>
      <c r="W2629" s="198" t="s">
        <v>2272</v>
      </c>
      <c r="X2629" s="198" t="s">
        <v>2272</v>
      </c>
      <c r="Y2629" s="198" t="s">
        <v>34</v>
      </c>
      <c r="Z2629" s="198" t="s">
        <v>37</v>
      </c>
      <c r="AA2629" s="198" t="s">
        <v>63</v>
      </c>
      <c r="AB2629" s="198" t="s">
        <v>7616</v>
      </c>
      <c r="AC2629" s="198"/>
    </row>
    <row r="2630" spans="1:29" ht="33.5" customHeight="1">
      <c r="A2630" s="151" t="str">
        <f>'Reported burning'!A2630</f>
        <v>305i</v>
      </c>
      <c r="B2630" s="151" t="str">
        <f>'Reported burning'!B2630</f>
        <v>305i.7</v>
      </c>
      <c r="C2630" s="151" t="str">
        <f>'Reported burning'!C2630</f>
        <v>Human, deliberate</v>
      </c>
      <c r="D2630" s="151" t="str">
        <f>'Reported burning'!D2630</f>
        <v>Pyrome management</v>
      </c>
      <c r="E2630" s="151" t="str">
        <f>'Reported burning'!E2630</f>
        <v>Fire suppression agent</v>
      </c>
      <c r="F2630" s="151" t="str">
        <f>'Reported burning'!F2630</f>
        <v>ND</v>
      </c>
      <c r="G2630" s="151" t="str">
        <f>'Reported burning'!G2630</f>
        <v>ND</v>
      </c>
      <c r="H2630" s="151" t="str">
        <f>'Reported burning'!H2630</f>
        <v>Presence</v>
      </c>
      <c r="I2630" s="5">
        <f>'Reported burning'!I2630</f>
        <v>2007</v>
      </c>
      <c r="J2630" s="198" t="s">
        <v>2272</v>
      </c>
      <c r="K2630" s="198" t="s">
        <v>2272</v>
      </c>
      <c r="L2630" s="198" t="s">
        <v>2272</v>
      </c>
      <c r="M2630" s="198" t="s">
        <v>2272</v>
      </c>
      <c r="N2630" s="198" t="s">
        <v>2272</v>
      </c>
      <c r="O2630" s="198" t="s">
        <v>2272</v>
      </c>
      <c r="P2630" s="198" t="s">
        <v>2272</v>
      </c>
      <c r="Q2630" s="198" t="s">
        <v>2272</v>
      </c>
      <c r="R2630" s="198" t="s">
        <v>2272</v>
      </c>
      <c r="S2630" s="198" t="s">
        <v>2272</v>
      </c>
      <c r="T2630" s="198" t="s">
        <v>2272</v>
      </c>
      <c r="U2630" s="198" t="s">
        <v>2272</v>
      </c>
      <c r="V2630" s="198" t="s">
        <v>2272</v>
      </c>
      <c r="W2630" s="198" t="s">
        <v>2272</v>
      </c>
      <c r="X2630" s="198" t="s">
        <v>2272</v>
      </c>
      <c r="Y2630" s="198" t="s">
        <v>34</v>
      </c>
      <c r="Z2630" s="198" t="s">
        <v>37</v>
      </c>
      <c r="AA2630" s="198" t="s">
        <v>63</v>
      </c>
      <c r="AB2630" s="198" t="s">
        <v>7616</v>
      </c>
      <c r="AC2630" s="198"/>
    </row>
    <row r="2631" spans="1:29" ht="33.5" customHeight="1">
      <c r="A2631" s="151" t="str">
        <f>'Reported burning'!A2631</f>
        <v>305j</v>
      </c>
      <c r="B2631" s="151" t="str">
        <f>'Reported burning'!B2631</f>
        <v>305j.7</v>
      </c>
      <c r="C2631" s="151" t="str">
        <f>'Reported burning'!C2631</f>
        <v>Human, deliberate</v>
      </c>
      <c r="D2631" s="151" t="str">
        <f>'Reported burning'!D2631</f>
        <v>Pyrome management</v>
      </c>
      <c r="E2631" s="151" t="str">
        <f>'Reported burning'!E2631</f>
        <v>Fire suppression agent</v>
      </c>
      <c r="F2631" s="151" t="str">
        <f>'Reported burning'!F2631</f>
        <v>ND</v>
      </c>
      <c r="G2631" s="151" t="str">
        <f>'Reported burning'!G2631</f>
        <v>ND</v>
      </c>
      <c r="H2631" s="151" t="str">
        <f>'Reported burning'!H2631</f>
        <v>Presence</v>
      </c>
      <c r="I2631" s="5">
        <f>'Reported burning'!I2631</f>
        <v>2007</v>
      </c>
      <c r="J2631" s="198" t="s">
        <v>2272</v>
      </c>
      <c r="K2631" s="198" t="s">
        <v>2272</v>
      </c>
      <c r="L2631" s="198" t="s">
        <v>2272</v>
      </c>
      <c r="M2631" s="198" t="s">
        <v>2272</v>
      </c>
      <c r="N2631" s="198" t="s">
        <v>2272</v>
      </c>
      <c r="O2631" s="198" t="s">
        <v>2272</v>
      </c>
      <c r="P2631" s="198" t="s">
        <v>2272</v>
      </c>
      <c r="Q2631" s="198" t="s">
        <v>2272</v>
      </c>
      <c r="R2631" s="198" t="s">
        <v>2272</v>
      </c>
      <c r="S2631" s="198" t="s">
        <v>2272</v>
      </c>
      <c r="T2631" s="198" t="s">
        <v>2272</v>
      </c>
      <c r="U2631" s="198" t="s">
        <v>2272</v>
      </c>
      <c r="V2631" s="198" t="s">
        <v>2272</v>
      </c>
      <c r="W2631" s="198" t="s">
        <v>2272</v>
      </c>
      <c r="X2631" s="198" t="s">
        <v>2272</v>
      </c>
      <c r="Y2631" s="198" t="s">
        <v>34</v>
      </c>
      <c r="Z2631" s="198" t="s">
        <v>37</v>
      </c>
      <c r="AA2631" s="198" t="s">
        <v>63</v>
      </c>
      <c r="AB2631" s="198" t="s">
        <v>7616</v>
      </c>
      <c r="AC2631" s="198"/>
    </row>
    <row r="2632" spans="1:29" ht="33.5" customHeight="1">
      <c r="A2632" s="151" t="str">
        <f>'Reported burning'!A2632</f>
        <v>305k</v>
      </c>
      <c r="B2632" s="151" t="str">
        <f>'Reported burning'!B2632</f>
        <v>305k.7</v>
      </c>
      <c r="C2632" s="151" t="str">
        <f>'Reported burning'!C2632</f>
        <v>Human, deliberate</v>
      </c>
      <c r="D2632" s="151" t="str">
        <f>'Reported burning'!D2632</f>
        <v>Pyrome management</v>
      </c>
      <c r="E2632" s="151" t="str">
        <f>'Reported burning'!E2632</f>
        <v>Fire suppression agent</v>
      </c>
      <c r="F2632" s="151" t="str">
        <f>'Reported burning'!F2632</f>
        <v>ND</v>
      </c>
      <c r="G2632" s="151" t="str">
        <f>'Reported burning'!G2632</f>
        <v>ND</v>
      </c>
      <c r="H2632" s="151" t="str">
        <f>'Reported burning'!H2632</f>
        <v>Presence</v>
      </c>
      <c r="I2632" s="5">
        <f>'Reported burning'!I2632</f>
        <v>2007</v>
      </c>
      <c r="J2632" s="198" t="s">
        <v>2272</v>
      </c>
      <c r="K2632" s="198" t="s">
        <v>2272</v>
      </c>
      <c r="L2632" s="198" t="s">
        <v>2272</v>
      </c>
      <c r="M2632" s="198" t="s">
        <v>2272</v>
      </c>
      <c r="N2632" s="198" t="s">
        <v>2272</v>
      </c>
      <c r="O2632" s="198" t="s">
        <v>2272</v>
      </c>
      <c r="P2632" s="198" t="s">
        <v>2272</v>
      </c>
      <c r="Q2632" s="198" t="s">
        <v>2272</v>
      </c>
      <c r="R2632" s="198" t="s">
        <v>2272</v>
      </c>
      <c r="S2632" s="198" t="s">
        <v>2272</v>
      </c>
      <c r="T2632" s="198" t="s">
        <v>2272</v>
      </c>
      <c r="U2632" s="198" t="s">
        <v>2272</v>
      </c>
      <c r="V2632" s="198" t="s">
        <v>2272</v>
      </c>
      <c r="W2632" s="198" t="s">
        <v>2272</v>
      </c>
      <c r="X2632" s="198" t="s">
        <v>2272</v>
      </c>
      <c r="Y2632" s="198" t="s">
        <v>34</v>
      </c>
      <c r="Z2632" s="198" t="s">
        <v>37</v>
      </c>
      <c r="AA2632" s="198" t="s">
        <v>63</v>
      </c>
      <c r="AB2632" s="198" t="s">
        <v>7616</v>
      </c>
      <c r="AC2632" s="198"/>
    </row>
    <row r="2633" spans="1:29" ht="33.5" customHeight="1">
      <c r="A2633" s="151" t="str">
        <f>'Reported burning'!A2633</f>
        <v>305l</v>
      </c>
      <c r="B2633" s="151" t="str">
        <f>'Reported burning'!B2633</f>
        <v>305l.7</v>
      </c>
      <c r="C2633" s="151" t="str">
        <f>'Reported burning'!C2633</f>
        <v>Human, deliberate</v>
      </c>
      <c r="D2633" s="151" t="str">
        <f>'Reported burning'!D2633</f>
        <v>Pyrome management</v>
      </c>
      <c r="E2633" s="151" t="str">
        <f>'Reported burning'!E2633</f>
        <v>Fire suppression agent</v>
      </c>
      <c r="F2633" s="151" t="str">
        <f>'Reported burning'!F2633</f>
        <v>ND</v>
      </c>
      <c r="G2633" s="151" t="str">
        <f>'Reported burning'!G2633</f>
        <v>ND</v>
      </c>
      <c r="H2633" s="151" t="str">
        <f>'Reported burning'!H2633</f>
        <v>Presence</v>
      </c>
      <c r="I2633" s="5">
        <f>'Reported burning'!I2633</f>
        <v>2007</v>
      </c>
      <c r="J2633" s="198" t="s">
        <v>2272</v>
      </c>
      <c r="K2633" s="198" t="s">
        <v>2272</v>
      </c>
      <c r="L2633" s="198" t="s">
        <v>2272</v>
      </c>
      <c r="M2633" s="198" t="s">
        <v>2272</v>
      </c>
      <c r="N2633" s="198" t="s">
        <v>2272</v>
      </c>
      <c r="O2633" s="198" t="s">
        <v>2272</v>
      </c>
      <c r="P2633" s="198" t="s">
        <v>2272</v>
      </c>
      <c r="Q2633" s="198" t="s">
        <v>2272</v>
      </c>
      <c r="R2633" s="198" t="s">
        <v>2272</v>
      </c>
      <c r="S2633" s="198" t="s">
        <v>2272</v>
      </c>
      <c r="T2633" s="198" t="s">
        <v>2272</v>
      </c>
      <c r="U2633" s="198" t="s">
        <v>2272</v>
      </c>
      <c r="V2633" s="198" t="s">
        <v>2272</v>
      </c>
      <c r="W2633" s="198" t="s">
        <v>2272</v>
      </c>
      <c r="X2633" s="198" t="s">
        <v>2272</v>
      </c>
      <c r="Y2633" s="198" t="s">
        <v>34</v>
      </c>
      <c r="Z2633" s="198" t="s">
        <v>37</v>
      </c>
      <c r="AA2633" s="198" t="s">
        <v>63</v>
      </c>
      <c r="AB2633" s="198" t="s">
        <v>7616</v>
      </c>
      <c r="AC2633" s="198"/>
    </row>
    <row r="2634" spans="1:29" ht="33.5" customHeight="1">
      <c r="A2634" s="151" t="str">
        <f>'Reported burning'!A2634</f>
        <v>305m</v>
      </c>
      <c r="B2634" s="151" t="str">
        <f>'Reported burning'!B2634</f>
        <v>305m.7</v>
      </c>
      <c r="C2634" s="151" t="str">
        <f>'Reported burning'!C2634</f>
        <v>Human, deliberate</v>
      </c>
      <c r="D2634" s="151" t="str">
        <f>'Reported burning'!D2634</f>
        <v>Pyrome management</v>
      </c>
      <c r="E2634" s="151" t="str">
        <f>'Reported burning'!E2634</f>
        <v>Fire suppression agent</v>
      </c>
      <c r="F2634" s="151" t="str">
        <f>'Reported burning'!F2634</f>
        <v>ND</v>
      </c>
      <c r="G2634" s="151" t="str">
        <f>'Reported burning'!G2634</f>
        <v>ND</v>
      </c>
      <c r="H2634" s="151" t="str">
        <f>'Reported burning'!H2634</f>
        <v>Presence</v>
      </c>
      <c r="I2634" s="5">
        <f>'Reported burning'!I2634</f>
        <v>2007</v>
      </c>
      <c r="J2634" s="198" t="s">
        <v>2272</v>
      </c>
      <c r="K2634" s="198" t="s">
        <v>2272</v>
      </c>
      <c r="L2634" s="198" t="s">
        <v>2272</v>
      </c>
      <c r="M2634" s="198" t="s">
        <v>2272</v>
      </c>
      <c r="N2634" s="198" t="s">
        <v>2272</v>
      </c>
      <c r="O2634" s="198" t="s">
        <v>2272</v>
      </c>
      <c r="P2634" s="198" t="s">
        <v>2272</v>
      </c>
      <c r="Q2634" s="198" t="s">
        <v>2272</v>
      </c>
      <c r="R2634" s="198" t="s">
        <v>2272</v>
      </c>
      <c r="S2634" s="198" t="s">
        <v>2272</v>
      </c>
      <c r="T2634" s="198" t="s">
        <v>2272</v>
      </c>
      <c r="U2634" s="198" t="s">
        <v>2272</v>
      </c>
      <c r="V2634" s="198" t="s">
        <v>2272</v>
      </c>
      <c r="W2634" s="198" t="s">
        <v>2272</v>
      </c>
      <c r="X2634" s="198" t="s">
        <v>2272</v>
      </c>
      <c r="Y2634" s="198" t="s">
        <v>34</v>
      </c>
      <c r="Z2634" s="198" t="s">
        <v>37</v>
      </c>
      <c r="AA2634" s="198" t="s">
        <v>63</v>
      </c>
      <c r="AB2634" s="198" t="s">
        <v>7616</v>
      </c>
      <c r="AC2634" s="198"/>
    </row>
    <row r="2635" spans="1:29" ht="33.5" customHeight="1">
      <c r="A2635" s="151" t="str">
        <f>'Reported burning'!A2635</f>
        <v>305i</v>
      </c>
      <c r="B2635" s="151" t="str">
        <f>'Reported burning'!B2635</f>
        <v>305i.8</v>
      </c>
      <c r="C2635" s="151" t="str">
        <f>'Reported burning'!C2635</f>
        <v>Human, deliberate</v>
      </c>
      <c r="D2635" s="151" t="str">
        <f>'Reported burning'!D2635</f>
        <v>Pyrome management</v>
      </c>
      <c r="E2635" s="151" t="str">
        <f>'Reported burning'!E2635</f>
        <v>Fire suppression agent</v>
      </c>
      <c r="F2635" s="151" t="str">
        <f>'Reported burning'!F2635</f>
        <v>ND</v>
      </c>
      <c r="G2635" s="151" t="str">
        <f>'Reported burning'!G2635</f>
        <v>ND</v>
      </c>
      <c r="H2635" s="151" t="str">
        <f>'Reported burning'!H2635</f>
        <v>Presence</v>
      </c>
      <c r="I2635" s="5">
        <f>'Reported burning'!I2635</f>
        <v>2008</v>
      </c>
      <c r="J2635" s="198" t="s">
        <v>2272</v>
      </c>
      <c r="K2635" s="198" t="s">
        <v>2272</v>
      </c>
      <c r="L2635" s="198" t="s">
        <v>2272</v>
      </c>
      <c r="M2635" s="198" t="s">
        <v>2272</v>
      </c>
      <c r="N2635" s="198" t="s">
        <v>2272</v>
      </c>
      <c r="O2635" s="198" t="s">
        <v>2272</v>
      </c>
      <c r="P2635" s="198" t="s">
        <v>2272</v>
      </c>
      <c r="Q2635" s="198" t="s">
        <v>2272</v>
      </c>
      <c r="R2635" s="198" t="s">
        <v>2272</v>
      </c>
      <c r="S2635" s="198" t="s">
        <v>2272</v>
      </c>
      <c r="T2635" s="198" t="s">
        <v>2272</v>
      </c>
      <c r="U2635" s="198" t="s">
        <v>2272</v>
      </c>
      <c r="V2635" s="198" t="s">
        <v>2272</v>
      </c>
      <c r="W2635" s="198" t="s">
        <v>2272</v>
      </c>
      <c r="X2635" s="198" t="s">
        <v>2272</v>
      </c>
      <c r="Y2635" s="198" t="s">
        <v>34</v>
      </c>
      <c r="Z2635" s="198" t="s">
        <v>37</v>
      </c>
      <c r="AA2635" s="198" t="s">
        <v>63</v>
      </c>
      <c r="AB2635" s="198" t="s">
        <v>7616</v>
      </c>
      <c r="AC2635" s="198"/>
    </row>
    <row r="2636" spans="1:29" ht="33.5" customHeight="1">
      <c r="A2636" s="151" t="str">
        <f>'Reported burning'!A2636</f>
        <v>305j</v>
      </c>
      <c r="B2636" s="151" t="str">
        <f>'Reported burning'!B2636</f>
        <v>305j.8</v>
      </c>
      <c r="C2636" s="151" t="str">
        <f>'Reported burning'!C2636</f>
        <v>Human, deliberate</v>
      </c>
      <c r="D2636" s="151" t="str">
        <f>'Reported burning'!D2636</f>
        <v>Pyrome management</v>
      </c>
      <c r="E2636" s="151" t="str">
        <f>'Reported burning'!E2636</f>
        <v>Fire suppression agent</v>
      </c>
      <c r="F2636" s="151" t="str">
        <f>'Reported burning'!F2636</f>
        <v>ND</v>
      </c>
      <c r="G2636" s="151" t="str">
        <f>'Reported burning'!G2636</f>
        <v>ND</v>
      </c>
      <c r="H2636" s="151" t="str">
        <f>'Reported burning'!H2636</f>
        <v>Presence</v>
      </c>
      <c r="I2636" s="5">
        <f>'Reported burning'!I2636</f>
        <v>2008</v>
      </c>
      <c r="J2636" s="198" t="s">
        <v>2272</v>
      </c>
      <c r="K2636" s="198" t="s">
        <v>2272</v>
      </c>
      <c r="L2636" s="198" t="s">
        <v>2272</v>
      </c>
      <c r="M2636" s="198" t="s">
        <v>2272</v>
      </c>
      <c r="N2636" s="198" t="s">
        <v>2272</v>
      </c>
      <c r="O2636" s="198" t="s">
        <v>2272</v>
      </c>
      <c r="P2636" s="198" t="s">
        <v>2272</v>
      </c>
      <c r="Q2636" s="198" t="s">
        <v>2272</v>
      </c>
      <c r="R2636" s="198" t="s">
        <v>2272</v>
      </c>
      <c r="S2636" s="198" t="s">
        <v>2272</v>
      </c>
      <c r="T2636" s="198" t="s">
        <v>2272</v>
      </c>
      <c r="U2636" s="198" t="s">
        <v>2272</v>
      </c>
      <c r="V2636" s="198" t="s">
        <v>2272</v>
      </c>
      <c r="W2636" s="198" t="s">
        <v>2272</v>
      </c>
      <c r="X2636" s="198" t="s">
        <v>2272</v>
      </c>
      <c r="Y2636" s="198" t="s">
        <v>34</v>
      </c>
      <c r="Z2636" s="198" t="s">
        <v>37</v>
      </c>
      <c r="AA2636" s="198" t="s">
        <v>63</v>
      </c>
      <c r="AB2636" s="198" t="s">
        <v>7616</v>
      </c>
      <c r="AC2636" s="198"/>
    </row>
    <row r="2637" spans="1:29" ht="33.5" customHeight="1">
      <c r="A2637" s="151" t="str">
        <f>'Reported burning'!A2637</f>
        <v>305k</v>
      </c>
      <c r="B2637" s="151" t="str">
        <f>'Reported burning'!B2637</f>
        <v>305k.8</v>
      </c>
      <c r="C2637" s="151" t="str">
        <f>'Reported burning'!C2637</f>
        <v>Human, deliberate</v>
      </c>
      <c r="D2637" s="151" t="str">
        <f>'Reported burning'!D2637</f>
        <v>Pyrome management</v>
      </c>
      <c r="E2637" s="151" t="str">
        <f>'Reported burning'!E2637</f>
        <v>Fire suppression agent</v>
      </c>
      <c r="F2637" s="151" t="str">
        <f>'Reported burning'!F2637</f>
        <v>ND</v>
      </c>
      <c r="G2637" s="151" t="str">
        <f>'Reported burning'!G2637</f>
        <v>ND</v>
      </c>
      <c r="H2637" s="151" t="str">
        <f>'Reported burning'!H2637</f>
        <v>Presence</v>
      </c>
      <c r="I2637" s="5">
        <f>'Reported burning'!I2637</f>
        <v>2008</v>
      </c>
      <c r="J2637" s="198" t="s">
        <v>2272</v>
      </c>
      <c r="K2637" s="198" t="s">
        <v>2272</v>
      </c>
      <c r="L2637" s="198" t="s">
        <v>2272</v>
      </c>
      <c r="M2637" s="198" t="s">
        <v>2272</v>
      </c>
      <c r="N2637" s="198" t="s">
        <v>2272</v>
      </c>
      <c r="O2637" s="198" t="s">
        <v>2272</v>
      </c>
      <c r="P2637" s="198" t="s">
        <v>2272</v>
      </c>
      <c r="Q2637" s="198" t="s">
        <v>2272</v>
      </c>
      <c r="R2637" s="198" t="s">
        <v>2272</v>
      </c>
      <c r="S2637" s="198" t="s">
        <v>2272</v>
      </c>
      <c r="T2637" s="198" t="s">
        <v>2272</v>
      </c>
      <c r="U2637" s="198" t="s">
        <v>2272</v>
      </c>
      <c r="V2637" s="198" t="s">
        <v>2272</v>
      </c>
      <c r="W2637" s="198" t="s">
        <v>2272</v>
      </c>
      <c r="X2637" s="198" t="s">
        <v>2272</v>
      </c>
      <c r="Y2637" s="198" t="s">
        <v>34</v>
      </c>
      <c r="Z2637" s="198" t="s">
        <v>37</v>
      </c>
      <c r="AA2637" s="198" t="s">
        <v>63</v>
      </c>
      <c r="AB2637" s="198" t="s">
        <v>7616</v>
      </c>
      <c r="AC2637" s="198"/>
    </row>
    <row r="2638" spans="1:29" ht="33.5" customHeight="1">
      <c r="A2638" s="151" t="str">
        <f>'Reported burning'!A2638</f>
        <v>305l</v>
      </c>
      <c r="B2638" s="151" t="str">
        <f>'Reported burning'!B2638</f>
        <v>305l.8</v>
      </c>
      <c r="C2638" s="151" t="str">
        <f>'Reported burning'!C2638</f>
        <v>Human, deliberate</v>
      </c>
      <c r="D2638" s="151" t="str">
        <f>'Reported burning'!D2638</f>
        <v>Pyrome management</v>
      </c>
      <c r="E2638" s="151" t="str">
        <f>'Reported burning'!E2638</f>
        <v>Fire suppression agent</v>
      </c>
      <c r="F2638" s="151" t="str">
        <f>'Reported burning'!F2638</f>
        <v>ND</v>
      </c>
      <c r="G2638" s="151" t="str">
        <f>'Reported burning'!G2638</f>
        <v>ND</v>
      </c>
      <c r="H2638" s="151" t="str">
        <f>'Reported burning'!H2638</f>
        <v>Presence</v>
      </c>
      <c r="I2638" s="5">
        <f>'Reported burning'!I2638</f>
        <v>2008</v>
      </c>
      <c r="J2638" s="198" t="s">
        <v>2272</v>
      </c>
      <c r="K2638" s="198" t="s">
        <v>2272</v>
      </c>
      <c r="L2638" s="198" t="s">
        <v>2272</v>
      </c>
      <c r="M2638" s="198" t="s">
        <v>2272</v>
      </c>
      <c r="N2638" s="198" t="s">
        <v>2272</v>
      </c>
      <c r="O2638" s="198" t="s">
        <v>2272</v>
      </c>
      <c r="P2638" s="198" t="s">
        <v>2272</v>
      </c>
      <c r="Q2638" s="198" t="s">
        <v>2272</v>
      </c>
      <c r="R2638" s="198" t="s">
        <v>2272</v>
      </c>
      <c r="S2638" s="198" t="s">
        <v>2272</v>
      </c>
      <c r="T2638" s="198" t="s">
        <v>2272</v>
      </c>
      <c r="U2638" s="198" t="s">
        <v>2272</v>
      </c>
      <c r="V2638" s="198" t="s">
        <v>2272</v>
      </c>
      <c r="W2638" s="198" t="s">
        <v>2272</v>
      </c>
      <c r="X2638" s="198" t="s">
        <v>2272</v>
      </c>
      <c r="Y2638" s="198" t="s">
        <v>34</v>
      </c>
      <c r="Z2638" s="198" t="s">
        <v>37</v>
      </c>
      <c r="AA2638" s="198" t="s">
        <v>63</v>
      </c>
      <c r="AB2638" s="198" t="s">
        <v>7616</v>
      </c>
      <c r="AC2638" s="198"/>
    </row>
    <row r="2639" spans="1:29" ht="33.5" customHeight="1">
      <c r="A2639" s="151" t="str">
        <f>'Reported burning'!A2639</f>
        <v>305m</v>
      </c>
      <c r="B2639" s="151" t="str">
        <f>'Reported burning'!B2639</f>
        <v>305m.8</v>
      </c>
      <c r="C2639" s="151" t="str">
        <f>'Reported burning'!C2639</f>
        <v>Human, deliberate</v>
      </c>
      <c r="D2639" s="151" t="str">
        <f>'Reported burning'!D2639</f>
        <v>Pyrome management</v>
      </c>
      <c r="E2639" s="151" t="str">
        <f>'Reported burning'!E2639</f>
        <v>Fire suppression agent</v>
      </c>
      <c r="F2639" s="151" t="str">
        <f>'Reported burning'!F2639</f>
        <v>ND</v>
      </c>
      <c r="G2639" s="151" t="str">
        <f>'Reported burning'!G2639</f>
        <v>ND</v>
      </c>
      <c r="H2639" s="151" t="str">
        <f>'Reported burning'!H2639</f>
        <v>Presence</v>
      </c>
      <c r="I2639" s="5">
        <f>'Reported burning'!I2639</f>
        <v>2008</v>
      </c>
      <c r="J2639" s="198" t="s">
        <v>2272</v>
      </c>
      <c r="K2639" s="198" t="s">
        <v>2272</v>
      </c>
      <c r="L2639" s="198" t="s">
        <v>2272</v>
      </c>
      <c r="M2639" s="198" t="s">
        <v>2272</v>
      </c>
      <c r="N2639" s="198" t="s">
        <v>2272</v>
      </c>
      <c r="O2639" s="198" t="s">
        <v>2272</v>
      </c>
      <c r="P2639" s="198" t="s">
        <v>2272</v>
      </c>
      <c r="Q2639" s="198" t="s">
        <v>2272</v>
      </c>
      <c r="R2639" s="198" t="s">
        <v>2272</v>
      </c>
      <c r="S2639" s="198" t="s">
        <v>2272</v>
      </c>
      <c r="T2639" s="198" t="s">
        <v>2272</v>
      </c>
      <c r="U2639" s="198" t="s">
        <v>2272</v>
      </c>
      <c r="V2639" s="198" t="s">
        <v>2272</v>
      </c>
      <c r="W2639" s="198" t="s">
        <v>2272</v>
      </c>
      <c r="X2639" s="198" t="s">
        <v>2272</v>
      </c>
      <c r="Y2639" s="198" t="s">
        <v>34</v>
      </c>
      <c r="Z2639" s="198" t="s">
        <v>37</v>
      </c>
      <c r="AA2639" s="198" t="s">
        <v>63</v>
      </c>
      <c r="AB2639" s="198" t="s">
        <v>7616</v>
      </c>
      <c r="AC2639" s="198"/>
    </row>
    <row r="2640" spans="1:29" ht="33.5" customHeight="1">
      <c r="A2640" s="151" t="str">
        <f>'Reported burning'!A2640</f>
        <v>305i</v>
      </c>
      <c r="B2640" s="151" t="str">
        <f>'Reported burning'!B2640</f>
        <v>305i.9</v>
      </c>
      <c r="C2640" s="151" t="str">
        <f>'Reported burning'!C2640</f>
        <v>Human, deliberate</v>
      </c>
      <c r="D2640" s="151" t="str">
        <f>'Reported burning'!D2640</f>
        <v>Pyrome management</v>
      </c>
      <c r="E2640" s="151" t="str">
        <f>'Reported burning'!E2640</f>
        <v>Fire suppression agent</v>
      </c>
      <c r="F2640" s="151" t="str">
        <f>'Reported burning'!F2640</f>
        <v>ND</v>
      </c>
      <c r="G2640" s="151" t="str">
        <f>'Reported burning'!G2640</f>
        <v>ND</v>
      </c>
      <c r="H2640" s="151" t="str">
        <f>'Reported burning'!H2640</f>
        <v>Presence</v>
      </c>
      <c r="I2640" s="5">
        <f>'Reported burning'!I2640</f>
        <v>2009</v>
      </c>
      <c r="J2640" s="198" t="s">
        <v>2272</v>
      </c>
      <c r="K2640" s="198" t="s">
        <v>2272</v>
      </c>
      <c r="L2640" s="198" t="s">
        <v>2272</v>
      </c>
      <c r="M2640" s="198" t="s">
        <v>2272</v>
      </c>
      <c r="N2640" s="198" t="s">
        <v>2272</v>
      </c>
      <c r="O2640" s="198" t="s">
        <v>2272</v>
      </c>
      <c r="P2640" s="198" t="s">
        <v>2272</v>
      </c>
      <c r="Q2640" s="198" t="s">
        <v>2272</v>
      </c>
      <c r="R2640" s="198" t="s">
        <v>2272</v>
      </c>
      <c r="S2640" s="198" t="s">
        <v>2272</v>
      </c>
      <c r="T2640" s="198" t="s">
        <v>2272</v>
      </c>
      <c r="U2640" s="198" t="s">
        <v>2272</v>
      </c>
      <c r="V2640" s="198" t="s">
        <v>2272</v>
      </c>
      <c r="W2640" s="198" t="s">
        <v>2272</v>
      </c>
      <c r="X2640" s="198" t="s">
        <v>2272</v>
      </c>
      <c r="Y2640" s="198" t="s">
        <v>34</v>
      </c>
      <c r="Z2640" s="198" t="s">
        <v>37</v>
      </c>
      <c r="AA2640" s="198" t="s">
        <v>63</v>
      </c>
      <c r="AB2640" s="198" t="s">
        <v>7616</v>
      </c>
      <c r="AC2640" s="198"/>
    </row>
    <row r="2641" spans="1:29" ht="33.5" customHeight="1">
      <c r="A2641" s="151" t="str">
        <f>'Reported burning'!A2641</f>
        <v>305j</v>
      </c>
      <c r="B2641" s="151" t="str">
        <f>'Reported burning'!B2641</f>
        <v>305j.9</v>
      </c>
      <c r="C2641" s="151" t="str">
        <f>'Reported burning'!C2641</f>
        <v>Human, deliberate</v>
      </c>
      <c r="D2641" s="151" t="str">
        <f>'Reported burning'!D2641</f>
        <v>Pyrome management</v>
      </c>
      <c r="E2641" s="151" t="str">
        <f>'Reported burning'!E2641</f>
        <v>Fire suppression agent</v>
      </c>
      <c r="F2641" s="151" t="str">
        <f>'Reported burning'!F2641</f>
        <v>ND</v>
      </c>
      <c r="G2641" s="151" t="str">
        <f>'Reported burning'!G2641</f>
        <v>ND</v>
      </c>
      <c r="H2641" s="151" t="str">
        <f>'Reported burning'!H2641</f>
        <v>Presence</v>
      </c>
      <c r="I2641" s="5">
        <f>'Reported burning'!I2641</f>
        <v>2009</v>
      </c>
      <c r="J2641" s="198" t="s">
        <v>2272</v>
      </c>
      <c r="K2641" s="198" t="s">
        <v>2272</v>
      </c>
      <c r="L2641" s="198" t="s">
        <v>2272</v>
      </c>
      <c r="M2641" s="198" t="s">
        <v>2272</v>
      </c>
      <c r="N2641" s="198" t="s">
        <v>2272</v>
      </c>
      <c r="O2641" s="198" t="s">
        <v>2272</v>
      </c>
      <c r="P2641" s="198" t="s">
        <v>2272</v>
      </c>
      <c r="Q2641" s="198" t="s">
        <v>2272</v>
      </c>
      <c r="R2641" s="198" t="s">
        <v>2272</v>
      </c>
      <c r="S2641" s="198" t="s">
        <v>2272</v>
      </c>
      <c r="T2641" s="198" t="s">
        <v>2272</v>
      </c>
      <c r="U2641" s="198" t="s">
        <v>2272</v>
      </c>
      <c r="V2641" s="198" t="s">
        <v>2272</v>
      </c>
      <c r="W2641" s="198" t="s">
        <v>2272</v>
      </c>
      <c r="X2641" s="198" t="s">
        <v>2272</v>
      </c>
      <c r="Y2641" s="198" t="s">
        <v>34</v>
      </c>
      <c r="Z2641" s="198" t="s">
        <v>37</v>
      </c>
      <c r="AA2641" s="198" t="s">
        <v>63</v>
      </c>
      <c r="AB2641" s="198" t="s">
        <v>7616</v>
      </c>
      <c r="AC2641" s="198"/>
    </row>
    <row r="2642" spans="1:29" ht="33.5" customHeight="1">
      <c r="A2642" s="151" t="str">
        <f>'Reported burning'!A2642</f>
        <v>305k</v>
      </c>
      <c r="B2642" s="151" t="str">
        <f>'Reported burning'!B2642</f>
        <v>305k.9</v>
      </c>
      <c r="C2642" s="151" t="str">
        <f>'Reported burning'!C2642</f>
        <v>Human, deliberate</v>
      </c>
      <c r="D2642" s="151" t="str">
        <f>'Reported burning'!D2642</f>
        <v>Pyrome management</v>
      </c>
      <c r="E2642" s="151" t="str">
        <f>'Reported burning'!E2642</f>
        <v>Fire suppression agent</v>
      </c>
      <c r="F2642" s="151" t="str">
        <f>'Reported burning'!F2642</f>
        <v>ND</v>
      </c>
      <c r="G2642" s="151" t="str">
        <f>'Reported burning'!G2642</f>
        <v>ND</v>
      </c>
      <c r="H2642" s="151" t="str">
        <f>'Reported burning'!H2642</f>
        <v>Presence</v>
      </c>
      <c r="I2642" s="5">
        <f>'Reported burning'!I2642</f>
        <v>2009</v>
      </c>
      <c r="J2642" s="198" t="s">
        <v>2272</v>
      </c>
      <c r="K2642" s="198" t="s">
        <v>2272</v>
      </c>
      <c r="L2642" s="198" t="s">
        <v>2272</v>
      </c>
      <c r="M2642" s="198" t="s">
        <v>2272</v>
      </c>
      <c r="N2642" s="198" t="s">
        <v>2272</v>
      </c>
      <c r="O2642" s="198" t="s">
        <v>2272</v>
      </c>
      <c r="P2642" s="198" t="s">
        <v>2272</v>
      </c>
      <c r="Q2642" s="198" t="s">
        <v>2272</v>
      </c>
      <c r="R2642" s="198" t="s">
        <v>2272</v>
      </c>
      <c r="S2642" s="198" t="s">
        <v>2272</v>
      </c>
      <c r="T2642" s="198" t="s">
        <v>2272</v>
      </c>
      <c r="U2642" s="198" t="s">
        <v>2272</v>
      </c>
      <c r="V2642" s="198" t="s">
        <v>2272</v>
      </c>
      <c r="W2642" s="198" t="s">
        <v>2272</v>
      </c>
      <c r="X2642" s="198" t="s">
        <v>2272</v>
      </c>
      <c r="Y2642" s="198" t="s">
        <v>34</v>
      </c>
      <c r="Z2642" s="198" t="s">
        <v>37</v>
      </c>
      <c r="AA2642" s="198" t="s">
        <v>63</v>
      </c>
      <c r="AB2642" s="198" t="s">
        <v>7616</v>
      </c>
      <c r="AC2642" s="198"/>
    </row>
    <row r="2643" spans="1:29" ht="33.5" customHeight="1">
      <c r="A2643" s="151" t="str">
        <f>'Reported burning'!A2643</f>
        <v>305l</v>
      </c>
      <c r="B2643" s="151" t="str">
        <f>'Reported burning'!B2643</f>
        <v>305l.9</v>
      </c>
      <c r="C2643" s="151" t="str">
        <f>'Reported burning'!C2643</f>
        <v>Human, deliberate</v>
      </c>
      <c r="D2643" s="151" t="str">
        <f>'Reported burning'!D2643</f>
        <v>Pyrome management</v>
      </c>
      <c r="E2643" s="151" t="str">
        <f>'Reported burning'!E2643</f>
        <v>Fire suppression agent</v>
      </c>
      <c r="F2643" s="151" t="str">
        <f>'Reported burning'!F2643</f>
        <v>ND</v>
      </c>
      <c r="G2643" s="151" t="str">
        <f>'Reported burning'!G2643</f>
        <v>ND</v>
      </c>
      <c r="H2643" s="151" t="str">
        <f>'Reported burning'!H2643</f>
        <v>Presence</v>
      </c>
      <c r="I2643" s="5">
        <f>'Reported burning'!I2643</f>
        <v>2009</v>
      </c>
      <c r="J2643" s="198" t="s">
        <v>2272</v>
      </c>
      <c r="K2643" s="198" t="s">
        <v>2272</v>
      </c>
      <c r="L2643" s="198" t="s">
        <v>2272</v>
      </c>
      <c r="M2643" s="198" t="s">
        <v>2272</v>
      </c>
      <c r="N2643" s="198" t="s">
        <v>2272</v>
      </c>
      <c r="O2643" s="198" t="s">
        <v>2272</v>
      </c>
      <c r="P2643" s="198" t="s">
        <v>2272</v>
      </c>
      <c r="Q2643" s="198" t="s">
        <v>2272</v>
      </c>
      <c r="R2643" s="198" t="s">
        <v>2272</v>
      </c>
      <c r="S2643" s="198" t="s">
        <v>2272</v>
      </c>
      <c r="T2643" s="198" t="s">
        <v>2272</v>
      </c>
      <c r="U2643" s="198" t="s">
        <v>2272</v>
      </c>
      <c r="V2643" s="198" t="s">
        <v>2272</v>
      </c>
      <c r="W2643" s="198" t="s">
        <v>2272</v>
      </c>
      <c r="X2643" s="198" t="s">
        <v>2272</v>
      </c>
      <c r="Y2643" s="198" t="s">
        <v>34</v>
      </c>
      <c r="Z2643" s="198" t="s">
        <v>37</v>
      </c>
      <c r="AA2643" s="198" t="s">
        <v>63</v>
      </c>
      <c r="AB2643" s="198" t="s">
        <v>7616</v>
      </c>
      <c r="AC2643" s="198"/>
    </row>
    <row r="2644" spans="1:29" ht="33.5" customHeight="1">
      <c r="A2644" s="151" t="str">
        <f>'Reported burning'!A2644</f>
        <v>305m</v>
      </c>
      <c r="B2644" s="151" t="str">
        <f>'Reported burning'!B2644</f>
        <v>305m.9</v>
      </c>
      <c r="C2644" s="151" t="str">
        <f>'Reported burning'!C2644</f>
        <v>Human, deliberate</v>
      </c>
      <c r="D2644" s="151" t="str">
        <f>'Reported burning'!D2644</f>
        <v>Pyrome management</v>
      </c>
      <c r="E2644" s="151" t="str">
        <f>'Reported burning'!E2644</f>
        <v>Fire suppression agent</v>
      </c>
      <c r="F2644" s="151" t="str">
        <f>'Reported burning'!F2644</f>
        <v>ND</v>
      </c>
      <c r="G2644" s="151" t="str">
        <f>'Reported burning'!G2644</f>
        <v>ND</v>
      </c>
      <c r="H2644" s="151" t="str">
        <f>'Reported burning'!H2644</f>
        <v>Presence</v>
      </c>
      <c r="I2644" s="5">
        <f>'Reported burning'!I2644</f>
        <v>2009</v>
      </c>
      <c r="J2644" s="198" t="s">
        <v>2272</v>
      </c>
      <c r="K2644" s="198" t="s">
        <v>2272</v>
      </c>
      <c r="L2644" s="198" t="s">
        <v>2272</v>
      </c>
      <c r="M2644" s="198" t="s">
        <v>2272</v>
      </c>
      <c r="N2644" s="198" t="s">
        <v>2272</v>
      </c>
      <c r="O2644" s="198" t="s">
        <v>2272</v>
      </c>
      <c r="P2644" s="198" t="s">
        <v>2272</v>
      </c>
      <c r="Q2644" s="198" t="s">
        <v>2272</v>
      </c>
      <c r="R2644" s="198" t="s">
        <v>2272</v>
      </c>
      <c r="S2644" s="198" t="s">
        <v>2272</v>
      </c>
      <c r="T2644" s="198" t="s">
        <v>2272</v>
      </c>
      <c r="U2644" s="198" t="s">
        <v>2272</v>
      </c>
      <c r="V2644" s="198" t="s">
        <v>2272</v>
      </c>
      <c r="W2644" s="198" t="s">
        <v>2272</v>
      </c>
      <c r="X2644" s="198" t="s">
        <v>2272</v>
      </c>
      <c r="Y2644" s="198" t="s">
        <v>34</v>
      </c>
      <c r="Z2644" s="198" t="s">
        <v>37</v>
      </c>
      <c r="AA2644" s="198" t="s">
        <v>63</v>
      </c>
      <c r="AB2644" s="198" t="s">
        <v>7616</v>
      </c>
      <c r="AC2644" s="198"/>
    </row>
    <row r="2645" spans="1:29" ht="33.5" customHeight="1">
      <c r="A2645" s="151" t="str">
        <f>'Reported burning'!A2645</f>
        <v>305i</v>
      </c>
      <c r="B2645" s="151" t="str">
        <f>'Reported burning'!B2645</f>
        <v>305i.10</v>
      </c>
      <c r="C2645" s="151" t="str">
        <f>'Reported burning'!C2645</f>
        <v>Human, deliberate</v>
      </c>
      <c r="D2645" s="151" t="str">
        <f>'Reported burning'!D2645</f>
        <v>Pyrome management</v>
      </c>
      <c r="E2645" s="151" t="str">
        <f>'Reported burning'!E2645</f>
        <v>Fire suppression agent</v>
      </c>
      <c r="F2645" s="151" t="str">
        <f>'Reported burning'!F2645</f>
        <v>ND</v>
      </c>
      <c r="G2645" s="151" t="str">
        <f>'Reported burning'!G2645</f>
        <v>ND</v>
      </c>
      <c r="H2645" s="151" t="str">
        <f>'Reported burning'!H2645</f>
        <v>Presence</v>
      </c>
      <c r="I2645" s="5">
        <f>'Reported burning'!I2645</f>
        <v>2010</v>
      </c>
      <c r="J2645" s="198" t="s">
        <v>2272</v>
      </c>
      <c r="K2645" s="198" t="s">
        <v>2272</v>
      </c>
      <c r="L2645" s="198" t="s">
        <v>2272</v>
      </c>
      <c r="M2645" s="198" t="s">
        <v>2272</v>
      </c>
      <c r="N2645" s="198" t="s">
        <v>2272</v>
      </c>
      <c r="O2645" s="198" t="s">
        <v>2272</v>
      </c>
      <c r="P2645" s="198" t="s">
        <v>2272</v>
      </c>
      <c r="Q2645" s="198" t="s">
        <v>2272</v>
      </c>
      <c r="R2645" s="198" t="s">
        <v>2272</v>
      </c>
      <c r="S2645" s="198" t="s">
        <v>2272</v>
      </c>
      <c r="T2645" s="198" t="s">
        <v>2272</v>
      </c>
      <c r="U2645" s="198" t="s">
        <v>2272</v>
      </c>
      <c r="V2645" s="198" t="s">
        <v>2272</v>
      </c>
      <c r="W2645" s="198" t="s">
        <v>2272</v>
      </c>
      <c r="X2645" s="198" t="s">
        <v>2272</v>
      </c>
      <c r="Y2645" s="198" t="s">
        <v>34</v>
      </c>
      <c r="Z2645" s="198" t="s">
        <v>37</v>
      </c>
      <c r="AA2645" s="198" t="s">
        <v>63</v>
      </c>
      <c r="AB2645" s="198" t="s">
        <v>7616</v>
      </c>
      <c r="AC2645" s="198"/>
    </row>
    <row r="2646" spans="1:29" ht="33.5" customHeight="1">
      <c r="A2646" s="151" t="str">
        <f>'Reported burning'!A2646</f>
        <v>305j</v>
      </c>
      <c r="B2646" s="151" t="str">
        <f>'Reported burning'!B2646</f>
        <v>305j.10</v>
      </c>
      <c r="C2646" s="151" t="str">
        <f>'Reported burning'!C2646</f>
        <v>Human, deliberate</v>
      </c>
      <c r="D2646" s="151" t="str">
        <f>'Reported burning'!D2646</f>
        <v>Pyrome management</v>
      </c>
      <c r="E2646" s="151" t="str">
        <f>'Reported burning'!E2646</f>
        <v>Fire suppression agent</v>
      </c>
      <c r="F2646" s="151" t="str">
        <f>'Reported burning'!F2646</f>
        <v>ND</v>
      </c>
      <c r="G2646" s="151" t="str">
        <f>'Reported burning'!G2646</f>
        <v>ND</v>
      </c>
      <c r="H2646" s="151" t="str">
        <f>'Reported burning'!H2646</f>
        <v>Presence</v>
      </c>
      <c r="I2646" s="5">
        <f>'Reported burning'!I2646</f>
        <v>2010</v>
      </c>
      <c r="J2646" s="198" t="s">
        <v>2272</v>
      </c>
      <c r="K2646" s="198" t="s">
        <v>2272</v>
      </c>
      <c r="L2646" s="198" t="s">
        <v>2272</v>
      </c>
      <c r="M2646" s="198" t="s">
        <v>2272</v>
      </c>
      <c r="N2646" s="198" t="s">
        <v>2272</v>
      </c>
      <c r="O2646" s="198" t="s">
        <v>2272</v>
      </c>
      <c r="P2646" s="198" t="s">
        <v>2272</v>
      </c>
      <c r="Q2646" s="198" t="s">
        <v>2272</v>
      </c>
      <c r="R2646" s="198" t="s">
        <v>2272</v>
      </c>
      <c r="S2646" s="198" t="s">
        <v>2272</v>
      </c>
      <c r="T2646" s="198" t="s">
        <v>2272</v>
      </c>
      <c r="U2646" s="198" t="s">
        <v>2272</v>
      </c>
      <c r="V2646" s="198" t="s">
        <v>2272</v>
      </c>
      <c r="W2646" s="198" t="s">
        <v>2272</v>
      </c>
      <c r="X2646" s="198" t="s">
        <v>2272</v>
      </c>
      <c r="Y2646" s="198" t="s">
        <v>34</v>
      </c>
      <c r="Z2646" s="198" t="s">
        <v>37</v>
      </c>
      <c r="AA2646" s="198" t="s">
        <v>63</v>
      </c>
      <c r="AB2646" s="198" t="s">
        <v>7616</v>
      </c>
      <c r="AC2646" s="198"/>
    </row>
    <row r="2647" spans="1:29" ht="33.5" customHeight="1">
      <c r="A2647" s="151" t="str">
        <f>'Reported burning'!A2647</f>
        <v>305k</v>
      </c>
      <c r="B2647" s="151" t="str">
        <f>'Reported burning'!B2647</f>
        <v>305k.10</v>
      </c>
      <c r="C2647" s="151" t="str">
        <f>'Reported burning'!C2647</f>
        <v>Human, deliberate</v>
      </c>
      <c r="D2647" s="151" t="str">
        <f>'Reported burning'!D2647</f>
        <v>Pyrome management</v>
      </c>
      <c r="E2647" s="151" t="str">
        <f>'Reported burning'!E2647</f>
        <v>Fire suppression agent</v>
      </c>
      <c r="F2647" s="151" t="str">
        <f>'Reported burning'!F2647</f>
        <v>ND</v>
      </c>
      <c r="G2647" s="151" t="str">
        <f>'Reported burning'!G2647</f>
        <v>ND</v>
      </c>
      <c r="H2647" s="151" t="str">
        <f>'Reported burning'!H2647</f>
        <v>Presence</v>
      </c>
      <c r="I2647" s="5">
        <f>'Reported burning'!I2647</f>
        <v>2010</v>
      </c>
      <c r="J2647" s="198" t="s">
        <v>2272</v>
      </c>
      <c r="K2647" s="198" t="s">
        <v>2272</v>
      </c>
      <c r="L2647" s="198" t="s">
        <v>2272</v>
      </c>
      <c r="M2647" s="198" t="s">
        <v>2272</v>
      </c>
      <c r="N2647" s="198" t="s">
        <v>2272</v>
      </c>
      <c r="O2647" s="198" t="s">
        <v>2272</v>
      </c>
      <c r="P2647" s="198" t="s">
        <v>2272</v>
      </c>
      <c r="Q2647" s="198" t="s">
        <v>2272</v>
      </c>
      <c r="R2647" s="198" t="s">
        <v>2272</v>
      </c>
      <c r="S2647" s="198" t="s">
        <v>2272</v>
      </c>
      <c r="T2647" s="198" t="s">
        <v>2272</v>
      </c>
      <c r="U2647" s="198" t="s">
        <v>2272</v>
      </c>
      <c r="V2647" s="198" t="s">
        <v>2272</v>
      </c>
      <c r="W2647" s="198" t="s">
        <v>2272</v>
      </c>
      <c r="X2647" s="198" t="s">
        <v>2272</v>
      </c>
      <c r="Y2647" s="198" t="s">
        <v>34</v>
      </c>
      <c r="Z2647" s="198" t="s">
        <v>37</v>
      </c>
      <c r="AA2647" s="198" t="s">
        <v>63</v>
      </c>
      <c r="AB2647" s="198" t="s">
        <v>7616</v>
      </c>
      <c r="AC2647" s="198"/>
    </row>
    <row r="2648" spans="1:29" ht="33.5" customHeight="1">
      <c r="A2648" s="151" t="str">
        <f>'Reported burning'!A2648</f>
        <v>305l</v>
      </c>
      <c r="B2648" s="151" t="str">
        <f>'Reported burning'!B2648</f>
        <v>305l.10</v>
      </c>
      <c r="C2648" s="151" t="str">
        <f>'Reported burning'!C2648</f>
        <v>Human, deliberate</v>
      </c>
      <c r="D2648" s="151" t="str">
        <f>'Reported burning'!D2648</f>
        <v>Pyrome management</v>
      </c>
      <c r="E2648" s="151" t="str">
        <f>'Reported burning'!E2648</f>
        <v>Fire suppression agent</v>
      </c>
      <c r="F2648" s="151" t="str">
        <f>'Reported burning'!F2648</f>
        <v>ND</v>
      </c>
      <c r="G2648" s="151" t="str">
        <f>'Reported burning'!G2648</f>
        <v>ND</v>
      </c>
      <c r="H2648" s="151" t="str">
        <f>'Reported burning'!H2648</f>
        <v>Presence</v>
      </c>
      <c r="I2648" s="5">
        <f>'Reported burning'!I2648</f>
        <v>2010</v>
      </c>
      <c r="J2648" s="198" t="s">
        <v>2272</v>
      </c>
      <c r="K2648" s="198" t="s">
        <v>2272</v>
      </c>
      <c r="L2648" s="198" t="s">
        <v>2272</v>
      </c>
      <c r="M2648" s="198" t="s">
        <v>2272</v>
      </c>
      <c r="N2648" s="198" t="s">
        <v>2272</v>
      </c>
      <c r="O2648" s="198" t="s">
        <v>2272</v>
      </c>
      <c r="P2648" s="198" t="s">
        <v>2272</v>
      </c>
      <c r="Q2648" s="198" t="s">
        <v>2272</v>
      </c>
      <c r="R2648" s="198" t="s">
        <v>2272</v>
      </c>
      <c r="S2648" s="198" t="s">
        <v>2272</v>
      </c>
      <c r="T2648" s="198" t="s">
        <v>2272</v>
      </c>
      <c r="U2648" s="198" t="s">
        <v>2272</v>
      </c>
      <c r="V2648" s="198" t="s">
        <v>2272</v>
      </c>
      <c r="W2648" s="198" t="s">
        <v>2272</v>
      </c>
      <c r="X2648" s="198" t="s">
        <v>2272</v>
      </c>
      <c r="Y2648" s="198" t="s">
        <v>34</v>
      </c>
      <c r="Z2648" s="198" t="s">
        <v>37</v>
      </c>
      <c r="AA2648" s="198" t="s">
        <v>63</v>
      </c>
      <c r="AB2648" s="198" t="s">
        <v>7616</v>
      </c>
      <c r="AC2648" s="198"/>
    </row>
    <row r="2649" spans="1:29" ht="33.5" customHeight="1">
      <c r="A2649" s="151" t="str">
        <f>'Reported burning'!A2649</f>
        <v>305m</v>
      </c>
      <c r="B2649" s="151" t="str">
        <f>'Reported burning'!B2649</f>
        <v>305m.10</v>
      </c>
      <c r="C2649" s="151" t="str">
        <f>'Reported burning'!C2649</f>
        <v>Human, deliberate</v>
      </c>
      <c r="D2649" s="151" t="str">
        <f>'Reported burning'!D2649</f>
        <v>Pyrome management</v>
      </c>
      <c r="E2649" s="151" t="str">
        <f>'Reported burning'!E2649</f>
        <v>Fire suppression agent</v>
      </c>
      <c r="F2649" s="151" t="str">
        <f>'Reported burning'!F2649</f>
        <v>ND</v>
      </c>
      <c r="G2649" s="151" t="str">
        <f>'Reported burning'!G2649</f>
        <v>ND</v>
      </c>
      <c r="H2649" s="151" t="str">
        <f>'Reported burning'!H2649</f>
        <v>Presence</v>
      </c>
      <c r="I2649" s="5">
        <f>'Reported burning'!I2649</f>
        <v>2010</v>
      </c>
      <c r="J2649" s="198" t="s">
        <v>2272</v>
      </c>
      <c r="K2649" s="198" t="s">
        <v>2272</v>
      </c>
      <c r="L2649" s="198" t="s">
        <v>2272</v>
      </c>
      <c r="M2649" s="198" t="s">
        <v>2272</v>
      </c>
      <c r="N2649" s="198" t="s">
        <v>2272</v>
      </c>
      <c r="O2649" s="198" t="s">
        <v>2272</v>
      </c>
      <c r="P2649" s="198" t="s">
        <v>2272</v>
      </c>
      <c r="Q2649" s="198" t="s">
        <v>2272</v>
      </c>
      <c r="R2649" s="198" t="s">
        <v>2272</v>
      </c>
      <c r="S2649" s="198" t="s">
        <v>2272</v>
      </c>
      <c r="T2649" s="198" t="s">
        <v>2272</v>
      </c>
      <c r="U2649" s="198" t="s">
        <v>2272</v>
      </c>
      <c r="V2649" s="198" t="s">
        <v>2272</v>
      </c>
      <c r="W2649" s="198" t="s">
        <v>2272</v>
      </c>
      <c r="X2649" s="198" t="s">
        <v>2272</v>
      </c>
      <c r="Y2649" s="198" t="s">
        <v>34</v>
      </c>
      <c r="Z2649" s="198" t="s">
        <v>37</v>
      </c>
      <c r="AA2649" s="198" t="s">
        <v>63</v>
      </c>
      <c r="AB2649" s="198" t="s">
        <v>7616</v>
      </c>
      <c r="AC2649" s="198"/>
    </row>
    <row r="2650" spans="1:29" ht="33.5" customHeight="1">
      <c r="A2650" s="151" t="str">
        <f>'Reported burning'!A2650</f>
        <v>305i</v>
      </c>
      <c r="B2650" s="151" t="str">
        <f>'Reported burning'!B2650</f>
        <v>305i.11</v>
      </c>
      <c r="C2650" s="151" t="str">
        <f>'Reported burning'!C2650</f>
        <v>Human, deliberate</v>
      </c>
      <c r="D2650" s="151" t="str">
        <f>'Reported burning'!D2650</f>
        <v>Pyrome management</v>
      </c>
      <c r="E2650" s="151" t="str">
        <f>'Reported burning'!E2650</f>
        <v>Fire suppression agent</v>
      </c>
      <c r="F2650" s="151" t="str">
        <f>'Reported burning'!F2650</f>
        <v>ND</v>
      </c>
      <c r="G2650" s="151" t="str">
        <f>'Reported burning'!G2650</f>
        <v>ND</v>
      </c>
      <c r="H2650" s="151" t="str">
        <f>'Reported burning'!H2650</f>
        <v>Presence</v>
      </c>
      <c r="I2650" s="5">
        <f>'Reported burning'!I2650</f>
        <v>2011</v>
      </c>
      <c r="J2650" s="198" t="s">
        <v>2272</v>
      </c>
      <c r="K2650" s="198" t="s">
        <v>2272</v>
      </c>
      <c r="L2650" s="198" t="s">
        <v>2272</v>
      </c>
      <c r="M2650" s="198" t="s">
        <v>2272</v>
      </c>
      <c r="N2650" s="198" t="s">
        <v>2272</v>
      </c>
      <c r="O2650" s="198" t="s">
        <v>2272</v>
      </c>
      <c r="P2650" s="198" t="s">
        <v>2272</v>
      </c>
      <c r="Q2650" s="198" t="s">
        <v>2272</v>
      </c>
      <c r="R2650" s="198" t="s">
        <v>2272</v>
      </c>
      <c r="S2650" s="198" t="s">
        <v>2272</v>
      </c>
      <c r="T2650" s="198" t="s">
        <v>2272</v>
      </c>
      <c r="U2650" s="198" t="s">
        <v>2272</v>
      </c>
      <c r="V2650" s="198" t="s">
        <v>2272</v>
      </c>
      <c r="W2650" s="198" t="s">
        <v>2272</v>
      </c>
      <c r="X2650" s="198" t="s">
        <v>2272</v>
      </c>
      <c r="Y2650" s="198" t="s">
        <v>34</v>
      </c>
      <c r="Z2650" s="198" t="s">
        <v>37</v>
      </c>
      <c r="AA2650" s="198" t="s">
        <v>63</v>
      </c>
      <c r="AB2650" s="198" t="s">
        <v>7616</v>
      </c>
      <c r="AC2650" s="198"/>
    </row>
    <row r="2651" spans="1:29" ht="33.5" customHeight="1">
      <c r="A2651" s="151" t="str">
        <f>'Reported burning'!A2651</f>
        <v>305j</v>
      </c>
      <c r="B2651" s="151" t="str">
        <f>'Reported burning'!B2651</f>
        <v>305j.11</v>
      </c>
      <c r="C2651" s="151" t="str">
        <f>'Reported burning'!C2651</f>
        <v>Human, deliberate</v>
      </c>
      <c r="D2651" s="151" t="str">
        <f>'Reported burning'!D2651</f>
        <v>Pyrome management</v>
      </c>
      <c r="E2651" s="151" t="str">
        <f>'Reported burning'!E2651</f>
        <v>Fire suppression agent</v>
      </c>
      <c r="F2651" s="151" t="str">
        <f>'Reported burning'!F2651</f>
        <v>ND</v>
      </c>
      <c r="G2651" s="151" t="str">
        <f>'Reported burning'!G2651</f>
        <v>ND</v>
      </c>
      <c r="H2651" s="151" t="str">
        <f>'Reported burning'!H2651</f>
        <v>Presence</v>
      </c>
      <c r="I2651" s="5">
        <f>'Reported burning'!I2651</f>
        <v>2011</v>
      </c>
      <c r="J2651" s="198" t="s">
        <v>2272</v>
      </c>
      <c r="K2651" s="198" t="s">
        <v>2272</v>
      </c>
      <c r="L2651" s="198" t="s">
        <v>2272</v>
      </c>
      <c r="M2651" s="198" t="s">
        <v>2272</v>
      </c>
      <c r="N2651" s="198" t="s">
        <v>2272</v>
      </c>
      <c r="O2651" s="198" t="s">
        <v>2272</v>
      </c>
      <c r="P2651" s="198" t="s">
        <v>2272</v>
      </c>
      <c r="Q2651" s="198" t="s">
        <v>2272</v>
      </c>
      <c r="R2651" s="198" t="s">
        <v>2272</v>
      </c>
      <c r="S2651" s="198" t="s">
        <v>2272</v>
      </c>
      <c r="T2651" s="198" t="s">
        <v>2272</v>
      </c>
      <c r="U2651" s="198" t="s">
        <v>2272</v>
      </c>
      <c r="V2651" s="198" t="s">
        <v>2272</v>
      </c>
      <c r="W2651" s="198" t="s">
        <v>2272</v>
      </c>
      <c r="X2651" s="198" t="s">
        <v>2272</v>
      </c>
      <c r="Y2651" s="198" t="s">
        <v>34</v>
      </c>
      <c r="Z2651" s="198" t="s">
        <v>37</v>
      </c>
      <c r="AA2651" s="198" t="s">
        <v>63</v>
      </c>
      <c r="AB2651" s="198" t="s">
        <v>7616</v>
      </c>
      <c r="AC2651" s="198"/>
    </row>
    <row r="2652" spans="1:29" ht="33.5" customHeight="1">
      <c r="A2652" s="151" t="str">
        <f>'Reported burning'!A2652</f>
        <v>305k</v>
      </c>
      <c r="B2652" s="151" t="str">
        <f>'Reported burning'!B2652</f>
        <v>305k.11</v>
      </c>
      <c r="C2652" s="151" t="str">
        <f>'Reported burning'!C2652</f>
        <v>Human, deliberate</v>
      </c>
      <c r="D2652" s="151" t="str">
        <f>'Reported burning'!D2652</f>
        <v>Pyrome management</v>
      </c>
      <c r="E2652" s="151" t="str">
        <f>'Reported burning'!E2652</f>
        <v>Fire suppression agent</v>
      </c>
      <c r="F2652" s="151" t="str">
        <f>'Reported burning'!F2652</f>
        <v>ND</v>
      </c>
      <c r="G2652" s="151" t="str">
        <f>'Reported burning'!G2652</f>
        <v>ND</v>
      </c>
      <c r="H2652" s="151" t="str">
        <f>'Reported burning'!H2652</f>
        <v>Presence</v>
      </c>
      <c r="I2652" s="5">
        <f>'Reported burning'!I2652</f>
        <v>2011</v>
      </c>
      <c r="J2652" s="198" t="s">
        <v>2272</v>
      </c>
      <c r="K2652" s="198" t="s">
        <v>2272</v>
      </c>
      <c r="L2652" s="198" t="s">
        <v>2272</v>
      </c>
      <c r="M2652" s="198" t="s">
        <v>2272</v>
      </c>
      <c r="N2652" s="198" t="s">
        <v>2272</v>
      </c>
      <c r="O2652" s="198" t="s">
        <v>2272</v>
      </c>
      <c r="P2652" s="198" t="s">
        <v>2272</v>
      </c>
      <c r="Q2652" s="198" t="s">
        <v>2272</v>
      </c>
      <c r="R2652" s="198" t="s">
        <v>2272</v>
      </c>
      <c r="S2652" s="198" t="s">
        <v>2272</v>
      </c>
      <c r="T2652" s="198" t="s">
        <v>2272</v>
      </c>
      <c r="U2652" s="198" t="s">
        <v>2272</v>
      </c>
      <c r="V2652" s="198" t="s">
        <v>2272</v>
      </c>
      <c r="W2652" s="198" t="s">
        <v>2272</v>
      </c>
      <c r="X2652" s="198" t="s">
        <v>2272</v>
      </c>
      <c r="Y2652" s="198" t="s">
        <v>34</v>
      </c>
      <c r="Z2652" s="198" t="s">
        <v>37</v>
      </c>
      <c r="AA2652" s="198" t="s">
        <v>63</v>
      </c>
      <c r="AB2652" s="198" t="s">
        <v>7616</v>
      </c>
      <c r="AC2652" s="198"/>
    </row>
    <row r="2653" spans="1:29" ht="33.5" customHeight="1">
      <c r="A2653" s="151" t="str">
        <f>'Reported burning'!A2653</f>
        <v>305l</v>
      </c>
      <c r="B2653" s="151" t="str">
        <f>'Reported burning'!B2653</f>
        <v>305l.11</v>
      </c>
      <c r="C2653" s="151" t="str">
        <f>'Reported burning'!C2653</f>
        <v>Human, deliberate</v>
      </c>
      <c r="D2653" s="151" t="str">
        <f>'Reported burning'!D2653</f>
        <v>Pyrome management</v>
      </c>
      <c r="E2653" s="151" t="str">
        <f>'Reported burning'!E2653</f>
        <v>Fire suppression agent</v>
      </c>
      <c r="F2653" s="151" t="str">
        <f>'Reported burning'!F2653</f>
        <v>ND</v>
      </c>
      <c r="G2653" s="151" t="str">
        <f>'Reported burning'!G2653</f>
        <v>ND</v>
      </c>
      <c r="H2653" s="151" t="str">
        <f>'Reported burning'!H2653</f>
        <v>Presence</v>
      </c>
      <c r="I2653" s="5">
        <f>'Reported burning'!I2653</f>
        <v>2011</v>
      </c>
      <c r="J2653" s="198" t="s">
        <v>2272</v>
      </c>
      <c r="K2653" s="198" t="s">
        <v>2272</v>
      </c>
      <c r="L2653" s="198" t="s">
        <v>2272</v>
      </c>
      <c r="M2653" s="198" t="s">
        <v>2272</v>
      </c>
      <c r="N2653" s="198" t="s">
        <v>2272</v>
      </c>
      <c r="O2653" s="198" t="s">
        <v>2272</v>
      </c>
      <c r="P2653" s="198" t="s">
        <v>2272</v>
      </c>
      <c r="Q2653" s="198" t="s">
        <v>2272</v>
      </c>
      <c r="R2653" s="198" t="s">
        <v>2272</v>
      </c>
      <c r="S2653" s="198" t="s">
        <v>2272</v>
      </c>
      <c r="T2653" s="198" t="s">
        <v>2272</v>
      </c>
      <c r="U2653" s="198" t="s">
        <v>2272</v>
      </c>
      <c r="V2653" s="198" t="s">
        <v>2272</v>
      </c>
      <c r="W2653" s="198" t="s">
        <v>2272</v>
      </c>
      <c r="X2653" s="198" t="s">
        <v>2272</v>
      </c>
      <c r="Y2653" s="198" t="s">
        <v>34</v>
      </c>
      <c r="Z2653" s="198" t="s">
        <v>37</v>
      </c>
      <c r="AA2653" s="198" t="s">
        <v>63</v>
      </c>
      <c r="AB2653" s="198" t="s">
        <v>7616</v>
      </c>
      <c r="AC2653" s="198"/>
    </row>
    <row r="2654" spans="1:29" ht="33.5" customHeight="1">
      <c r="A2654" s="151" t="str">
        <f>'Reported burning'!A2654</f>
        <v>305m</v>
      </c>
      <c r="B2654" s="151" t="str">
        <f>'Reported burning'!B2654</f>
        <v>305m.11</v>
      </c>
      <c r="C2654" s="151" t="str">
        <f>'Reported burning'!C2654</f>
        <v>Human, deliberate</v>
      </c>
      <c r="D2654" s="151" t="str">
        <f>'Reported burning'!D2654</f>
        <v>Pyrome management</v>
      </c>
      <c r="E2654" s="151" t="str">
        <f>'Reported burning'!E2654</f>
        <v>Fire suppression agent</v>
      </c>
      <c r="F2654" s="151" t="str">
        <f>'Reported burning'!F2654</f>
        <v>ND</v>
      </c>
      <c r="G2654" s="151" t="str">
        <f>'Reported burning'!G2654</f>
        <v>ND</v>
      </c>
      <c r="H2654" s="151" t="str">
        <f>'Reported burning'!H2654</f>
        <v>Presence</v>
      </c>
      <c r="I2654" s="5">
        <f>'Reported burning'!I2654</f>
        <v>2011</v>
      </c>
      <c r="J2654" s="198" t="s">
        <v>2272</v>
      </c>
      <c r="K2654" s="198" t="s">
        <v>2272</v>
      </c>
      <c r="L2654" s="198" t="s">
        <v>2272</v>
      </c>
      <c r="M2654" s="198" t="s">
        <v>2272</v>
      </c>
      <c r="N2654" s="198" t="s">
        <v>2272</v>
      </c>
      <c r="O2654" s="198" t="s">
        <v>2272</v>
      </c>
      <c r="P2654" s="198" t="s">
        <v>2272</v>
      </c>
      <c r="Q2654" s="198" t="s">
        <v>2272</v>
      </c>
      <c r="R2654" s="198" t="s">
        <v>2272</v>
      </c>
      <c r="S2654" s="198" t="s">
        <v>2272</v>
      </c>
      <c r="T2654" s="198" t="s">
        <v>2272</v>
      </c>
      <c r="U2654" s="198" t="s">
        <v>2272</v>
      </c>
      <c r="V2654" s="198" t="s">
        <v>2272</v>
      </c>
      <c r="W2654" s="198" t="s">
        <v>2272</v>
      </c>
      <c r="X2654" s="198" t="s">
        <v>2272</v>
      </c>
      <c r="Y2654" s="198" t="s">
        <v>34</v>
      </c>
      <c r="Z2654" s="198" t="s">
        <v>37</v>
      </c>
      <c r="AA2654" s="198" t="s">
        <v>63</v>
      </c>
      <c r="AB2654" s="198" t="s">
        <v>7616</v>
      </c>
      <c r="AC2654" s="198"/>
    </row>
    <row r="2655" spans="1:29" ht="33.5" customHeight="1">
      <c r="A2655" s="151" t="str">
        <f>'Reported burning'!A2655</f>
        <v>305i</v>
      </c>
      <c r="B2655" s="151" t="str">
        <f>'Reported burning'!B2655</f>
        <v>305i.12</v>
      </c>
      <c r="C2655" s="151" t="str">
        <f>'Reported burning'!C2655</f>
        <v>Human, deliberate</v>
      </c>
      <c r="D2655" s="151" t="str">
        <f>'Reported burning'!D2655</f>
        <v>Pyrome management</v>
      </c>
      <c r="E2655" s="151" t="str">
        <f>'Reported burning'!E2655</f>
        <v>Fire suppression agent</v>
      </c>
      <c r="F2655" s="151" t="str">
        <f>'Reported burning'!F2655</f>
        <v>ND</v>
      </c>
      <c r="G2655" s="151" t="str">
        <f>'Reported burning'!G2655</f>
        <v>ND</v>
      </c>
      <c r="H2655" s="151" t="str">
        <f>'Reported burning'!H2655</f>
        <v>Presence</v>
      </c>
      <c r="I2655" s="5">
        <f>'Reported burning'!I2655</f>
        <v>2012</v>
      </c>
      <c r="J2655" s="198" t="s">
        <v>2272</v>
      </c>
      <c r="K2655" s="198" t="s">
        <v>2272</v>
      </c>
      <c r="L2655" s="198" t="s">
        <v>2272</v>
      </c>
      <c r="M2655" s="198" t="s">
        <v>2272</v>
      </c>
      <c r="N2655" s="198" t="s">
        <v>2272</v>
      </c>
      <c r="O2655" s="198" t="s">
        <v>2272</v>
      </c>
      <c r="P2655" s="198" t="s">
        <v>2272</v>
      </c>
      <c r="Q2655" s="198" t="s">
        <v>2272</v>
      </c>
      <c r="R2655" s="198" t="s">
        <v>2272</v>
      </c>
      <c r="S2655" s="198" t="s">
        <v>2272</v>
      </c>
      <c r="T2655" s="198" t="s">
        <v>2272</v>
      </c>
      <c r="U2655" s="198" t="s">
        <v>2272</v>
      </c>
      <c r="V2655" s="198" t="s">
        <v>2272</v>
      </c>
      <c r="W2655" s="198" t="s">
        <v>2272</v>
      </c>
      <c r="X2655" s="198" t="s">
        <v>2272</v>
      </c>
      <c r="Y2655" s="198" t="s">
        <v>34</v>
      </c>
      <c r="Z2655" s="198" t="s">
        <v>37</v>
      </c>
      <c r="AA2655" s="198" t="s">
        <v>63</v>
      </c>
      <c r="AB2655" s="198" t="s">
        <v>7616</v>
      </c>
      <c r="AC2655" s="198"/>
    </row>
    <row r="2656" spans="1:29" ht="33.5" customHeight="1">
      <c r="A2656" s="151" t="str">
        <f>'Reported burning'!A2656</f>
        <v>305j</v>
      </c>
      <c r="B2656" s="151" t="str">
        <f>'Reported burning'!B2656</f>
        <v>305j.12</v>
      </c>
      <c r="C2656" s="151" t="str">
        <f>'Reported burning'!C2656</f>
        <v>Human, deliberate</v>
      </c>
      <c r="D2656" s="151" t="str">
        <f>'Reported burning'!D2656</f>
        <v>Pyrome management</v>
      </c>
      <c r="E2656" s="151" t="str">
        <f>'Reported burning'!E2656</f>
        <v>Fire suppression agent</v>
      </c>
      <c r="F2656" s="151" t="str">
        <f>'Reported burning'!F2656</f>
        <v>ND</v>
      </c>
      <c r="G2656" s="151" t="str">
        <f>'Reported burning'!G2656</f>
        <v>ND</v>
      </c>
      <c r="H2656" s="151" t="str">
        <f>'Reported burning'!H2656</f>
        <v>Presence</v>
      </c>
      <c r="I2656" s="5">
        <f>'Reported burning'!I2656</f>
        <v>2012</v>
      </c>
      <c r="J2656" s="198" t="s">
        <v>2272</v>
      </c>
      <c r="K2656" s="198" t="s">
        <v>2272</v>
      </c>
      <c r="L2656" s="198" t="s">
        <v>2272</v>
      </c>
      <c r="M2656" s="198" t="s">
        <v>2272</v>
      </c>
      <c r="N2656" s="198" t="s">
        <v>2272</v>
      </c>
      <c r="O2656" s="198" t="s">
        <v>2272</v>
      </c>
      <c r="P2656" s="198" t="s">
        <v>2272</v>
      </c>
      <c r="Q2656" s="198" t="s">
        <v>2272</v>
      </c>
      <c r="R2656" s="198" t="s">
        <v>2272</v>
      </c>
      <c r="S2656" s="198" t="s">
        <v>2272</v>
      </c>
      <c r="T2656" s="198" t="s">
        <v>2272</v>
      </c>
      <c r="U2656" s="198" t="s">
        <v>2272</v>
      </c>
      <c r="V2656" s="198" t="s">
        <v>2272</v>
      </c>
      <c r="W2656" s="198" t="s">
        <v>2272</v>
      </c>
      <c r="X2656" s="198" t="s">
        <v>2272</v>
      </c>
      <c r="Y2656" s="198" t="s">
        <v>34</v>
      </c>
      <c r="Z2656" s="198" t="s">
        <v>37</v>
      </c>
      <c r="AA2656" s="198" t="s">
        <v>63</v>
      </c>
      <c r="AB2656" s="198" t="s">
        <v>7616</v>
      </c>
      <c r="AC2656" s="198"/>
    </row>
    <row r="2657" spans="1:29" ht="33.5" customHeight="1">
      <c r="A2657" s="151" t="str">
        <f>'Reported burning'!A2657</f>
        <v>305k</v>
      </c>
      <c r="B2657" s="151" t="str">
        <f>'Reported burning'!B2657</f>
        <v>305k.12</v>
      </c>
      <c r="C2657" s="151" t="str">
        <f>'Reported burning'!C2657</f>
        <v>Human, deliberate</v>
      </c>
      <c r="D2657" s="151" t="str">
        <f>'Reported burning'!D2657</f>
        <v>Pyrome management</v>
      </c>
      <c r="E2657" s="151" t="str">
        <f>'Reported burning'!E2657</f>
        <v>Fire suppression agent</v>
      </c>
      <c r="F2657" s="151" t="str">
        <f>'Reported burning'!F2657</f>
        <v>ND</v>
      </c>
      <c r="G2657" s="151" t="str">
        <f>'Reported burning'!G2657</f>
        <v>ND</v>
      </c>
      <c r="H2657" s="151" t="str">
        <f>'Reported burning'!H2657</f>
        <v>Presence</v>
      </c>
      <c r="I2657" s="5">
        <f>'Reported burning'!I2657</f>
        <v>2012</v>
      </c>
      <c r="J2657" s="198" t="s">
        <v>2272</v>
      </c>
      <c r="K2657" s="198" t="s">
        <v>2272</v>
      </c>
      <c r="L2657" s="198" t="s">
        <v>2272</v>
      </c>
      <c r="M2657" s="198" t="s">
        <v>2272</v>
      </c>
      <c r="N2657" s="198" t="s">
        <v>2272</v>
      </c>
      <c r="O2657" s="198" t="s">
        <v>2272</v>
      </c>
      <c r="P2657" s="198" t="s">
        <v>2272</v>
      </c>
      <c r="Q2657" s="198" t="s">
        <v>2272</v>
      </c>
      <c r="R2657" s="198" t="s">
        <v>2272</v>
      </c>
      <c r="S2657" s="198" t="s">
        <v>2272</v>
      </c>
      <c r="T2657" s="198" t="s">
        <v>2272</v>
      </c>
      <c r="U2657" s="198" t="s">
        <v>2272</v>
      </c>
      <c r="V2657" s="198" t="s">
        <v>2272</v>
      </c>
      <c r="W2657" s="198" t="s">
        <v>2272</v>
      </c>
      <c r="X2657" s="198" t="s">
        <v>2272</v>
      </c>
      <c r="Y2657" s="198" t="s">
        <v>34</v>
      </c>
      <c r="Z2657" s="198" t="s">
        <v>37</v>
      </c>
      <c r="AA2657" s="198" t="s">
        <v>63</v>
      </c>
      <c r="AB2657" s="198" t="s">
        <v>7616</v>
      </c>
      <c r="AC2657" s="198"/>
    </row>
    <row r="2658" spans="1:29" ht="33.5" customHeight="1">
      <c r="A2658" s="151" t="str">
        <f>'Reported burning'!A2658</f>
        <v>305l</v>
      </c>
      <c r="B2658" s="151" t="str">
        <f>'Reported burning'!B2658</f>
        <v>305l.12</v>
      </c>
      <c r="C2658" s="151" t="str">
        <f>'Reported burning'!C2658</f>
        <v>Human, deliberate</v>
      </c>
      <c r="D2658" s="151" t="str">
        <f>'Reported burning'!D2658</f>
        <v>Pyrome management</v>
      </c>
      <c r="E2658" s="151" t="str">
        <f>'Reported burning'!E2658</f>
        <v>Fire suppression agent</v>
      </c>
      <c r="F2658" s="151" t="str">
        <f>'Reported burning'!F2658</f>
        <v>ND</v>
      </c>
      <c r="G2658" s="151" t="str">
        <f>'Reported burning'!G2658</f>
        <v>ND</v>
      </c>
      <c r="H2658" s="151" t="str">
        <f>'Reported burning'!H2658</f>
        <v>Presence</v>
      </c>
      <c r="I2658" s="5">
        <f>'Reported burning'!I2658</f>
        <v>2012</v>
      </c>
      <c r="J2658" s="198" t="s">
        <v>2272</v>
      </c>
      <c r="K2658" s="198" t="s">
        <v>2272</v>
      </c>
      <c r="L2658" s="198" t="s">
        <v>2272</v>
      </c>
      <c r="M2658" s="198" t="s">
        <v>2272</v>
      </c>
      <c r="N2658" s="198" t="s">
        <v>2272</v>
      </c>
      <c r="O2658" s="198" t="s">
        <v>2272</v>
      </c>
      <c r="P2658" s="198" t="s">
        <v>2272</v>
      </c>
      <c r="Q2658" s="198" t="s">
        <v>2272</v>
      </c>
      <c r="R2658" s="198" t="s">
        <v>2272</v>
      </c>
      <c r="S2658" s="198" t="s">
        <v>2272</v>
      </c>
      <c r="T2658" s="198" t="s">
        <v>2272</v>
      </c>
      <c r="U2658" s="198" t="s">
        <v>2272</v>
      </c>
      <c r="V2658" s="198" t="s">
        <v>2272</v>
      </c>
      <c r="W2658" s="198" t="s">
        <v>2272</v>
      </c>
      <c r="X2658" s="198" t="s">
        <v>2272</v>
      </c>
      <c r="Y2658" s="198" t="s">
        <v>34</v>
      </c>
      <c r="Z2658" s="198" t="s">
        <v>37</v>
      </c>
      <c r="AA2658" s="198" t="s">
        <v>63</v>
      </c>
      <c r="AB2658" s="198" t="s">
        <v>7616</v>
      </c>
      <c r="AC2658" s="198"/>
    </row>
    <row r="2659" spans="1:29" ht="33.5" customHeight="1">
      <c r="A2659" s="151" t="str">
        <f>'Reported burning'!A2659</f>
        <v>305m</v>
      </c>
      <c r="B2659" s="151" t="str">
        <f>'Reported burning'!B2659</f>
        <v>305m.12</v>
      </c>
      <c r="C2659" s="151" t="str">
        <f>'Reported burning'!C2659</f>
        <v>Human, deliberate</v>
      </c>
      <c r="D2659" s="151" t="str">
        <f>'Reported burning'!D2659</f>
        <v>Pyrome management</v>
      </c>
      <c r="E2659" s="151" t="str">
        <f>'Reported burning'!E2659</f>
        <v>Fire suppression agent</v>
      </c>
      <c r="F2659" s="151" t="str">
        <f>'Reported burning'!F2659</f>
        <v>ND</v>
      </c>
      <c r="G2659" s="151" t="str">
        <f>'Reported burning'!G2659</f>
        <v>ND</v>
      </c>
      <c r="H2659" s="151" t="str">
        <f>'Reported burning'!H2659</f>
        <v>Presence</v>
      </c>
      <c r="I2659" s="5">
        <f>'Reported burning'!I2659</f>
        <v>2012</v>
      </c>
      <c r="J2659" s="198" t="s">
        <v>2272</v>
      </c>
      <c r="K2659" s="198" t="s">
        <v>2272</v>
      </c>
      <c r="L2659" s="198" t="s">
        <v>2272</v>
      </c>
      <c r="M2659" s="198" t="s">
        <v>2272</v>
      </c>
      <c r="N2659" s="198" t="s">
        <v>2272</v>
      </c>
      <c r="O2659" s="198" t="s">
        <v>2272</v>
      </c>
      <c r="P2659" s="198" t="s">
        <v>2272</v>
      </c>
      <c r="Q2659" s="198" t="s">
        <v>2272</v>
      </c>
      <c r="R2659" s="198" t="s">
        <v>2272</v>
      </c>
      <c r="S2659" s="198" t="s">
        <v>2272</v>
      </c>
      <c r="T2659" s="198" t="s">
        <v>2272</v>
      </c>
      <c r="U2659" s="198" t="s">
        <v>2272</v>
      </c>
      <c r="V2659" s="198" t="s">
        <v>2272</v>
      </c>
      <c r="W2659" s="198" t="s">
        <v>2272</v>
      </c>
      <c r="X2659" s="198" t="s">
        <v>2272</v>
      </c>
      <c r="Y2659" s="198" t="s">
        <v>34</v>
      </c>
      <c r="Z2659" s="198" t="s">
        <v>37</v>
      </c>
      <c r="AA2659" s="198" t="s">
        <v>63</v>
      </c>
      <c r="AB2659" s="198" t="s">
        <v>7616</v>
      </c>
      <c r="AC2659" s="198"/>
    </row>
    <row r="2660" spans="1:29" ht="33.5" customHeight="1">
      <c r="A2660" s="151" t="str">
        <f>'Reported burning'!A2660</f>
        <v>305i</v>
      </c>
      <c r="B2660" s="151" t="str">
        <f>'Reported burning'!B2660</f>
        <v>305i.13</v>
      </c>
      <c r="C2660" s="151" t="str">
        <f>'Reported burning'!C2660</f>
        <v>Human, deliberate</v>
      </c>
      <c r="D2660" s="151" t="str">
        <f>'Reported burning'!D2660</f>
        <v>Pyrome management</v>
      </c>
      <c r="E2660" s="151" t="str">
        <f>'Reported burning'!E2660</f>
        <v>Fire suppression agent</v>
      </c>
      <c r="F2660" s="151" t="str">
        <f>'Reported burning'!F2660</f>
        <v>ND</v>
      </c>
      <c r="G2660" s="151" t="str">
        <f>'Reported burning'!G2660</f>
        <v>ND</v>
      </c>
      <c r="H2660" s="151" t="str">
        <f>'Reported burning'!H2660</f>
        <v>Presence</v>
      </c>
      <c r="I2660" s="5">
        <f>'Reported burning'!I2660</f>
        <v>2013</v>
      </c>
      <c r="J2660" s="198" t="s">
        <v>2272</v>
      </c>
      <c r="K2660" s="198" t="s">
        <v>2272</v>
      </c>
      <c r="L2660" s="198" t="s">
        <v>2272</v>
      </c>
      <c r="M2660" s="198" t="s">
        <v>2272</v>
      </c>
      <c r="N2660" s="198" t="s">
        <v>2272</v>
      </c>
      <c r="O2660" s="198" t="s">
        <v>2272</v>
      </c>
      <c r="P2660" s="198" t="s">
        <v>2272</v>
      </c>
      <c r="Q2660" s="198" t="s">
        <v>2272</v>
      </c>
      <c r="R2660" s="198" t="s">
        <v>2272</v>
      </c>
      <c r="S2660" s="198" t="s">
        <v>2272</v>
      </c>
      <c r="T2660" s="198" t="s">
        <v>2272</v>
      </c>
      <c r="U2660" s="198" t="s">
        <v>2272</v>
      </c>
      <c r="V2660" s="198" t="s">
        <v>2272</v>
      </c>
      <c r="W2660" s="198" t="s">
        <v>2272</v>
      </c>
      <c r="X2660" s="198" t="s">
        <v>2272</v>
      </c>
      <c r="Y2660" s="198" t="s">
        <v>34</v>
      </c>
      <c r="Z2660" s="198" t="s">
        <v>37</v>
      </c>
      <c r="AA2660" s="198" t="s">
        <v>63</v>
      </c>
      <c r="AB2660" s="198" t="s">
        <v>7616</v>
      </c>
      <c r="AC2660" s="198"/>
    </row>
    <row r="2661" spans="1:29" ht="33.5" customHeight="1">
      <c r="A2661" s="151" t="str">
        <f>'Reported burning'!A2661</f>
        <v>305j</v>
      </c>
      <c r="B2661" s="151" t="str">
        <f>'Reported burning'!B2661</f>
        <v>305j.13</v>
      </c>
      <c r="C2661" s="151" t="str">
        <f>'Reported burning'!C2661</f>
        <v>Human, deliberate</v>
      </c>
      <c r="D2661" s="151" t="str">
        <f>'Reported burning'!D2661</f>
        <v>Pyrome management</v>
      </c>
      <c r="E2661" s="151" t="str">
        <f>'Reported burning'!E2661</f>
        <v>Fire suppression agent</v>
      </c>
      <c r="F2661" s="151" t="str">
        <f>'Reported burning'!F2661</f>
        <v>ND</v>
      </c>
      <c r="G2661" s="151" t="str">
        <f>'Reported burning'!G2661</f>
        <v>ND</v>
      </c>
      <c r="H2661" s="151" t="str">
        <f>'Reported burning'!H2661</f>
        <v>Presence</v>
      </c>
      <c r="I2661" s="5">
        <f>'Reported burning'!I2661</f>
        <v>2013</v>
      </c>
      <c r="J2661" s="198" t="s">
        <v>2272</v>
      </c>
      <c r="K2661" s="198" t="s">
        <v>2272</v>
      </c>
      <c r="L2661" s="198" t="s">
        <v>2272</v>
      </c>
      <c r="M2661" s="198" t="s">
        <v>2272</v>
      </c>
      <c r="N2661" s="198" t="s">
        <v>2272</v>
      </c>
      <c r="O2661" s="198" t="s">
        <v>2272</v>
      </c>
      <c r="P2661" s="198" t="s">
        <v>2272</v>
      </c>
      <c r="Q2661" s="198" t="s">
        <v>2272</v>
      </c>
      <c r="R2661" s="198" t="s">
        <v>2272</v>
      </c>
      <c r="S2661" s="198" t="s">
        <v>2272</v>
      </c>
      <c r="T2661" s="198" t="s">
        <v>2272</v>
      </c>
      <c r="U2661" s="198" t="s">
        <v>2272</v>
      </c>
      <c r="V2661" s="198" t="s">
        <v>2272</v>
      </c>
      <c r="W2661" s="198" t="s">
        <v>2272</v>
      </c>
      <c r="X2661" s="198" t="s">
        <v>2272</v>
      </c>
      <c r="Y2661" s="198" t="s">
        <v>34</v>
      </c>
      <c r="Z2661" s="198" t="s">
        <v>37</v>
      </c>
      <c r="AA2661" s="198" t="s">
        <v>63</v>
      </c>
      <c r="AB2661" s="198" t="s">
        <v>7616</v>
      </c>
      <c r="AC2661" s="198"/>
    </row>
    <row r="2662" spans="1:29" ht="33.5" customHeight="1">
      <c r="A2662" s="151" t="str">
        <f>'Reported burning'!A2662</f>
        <v>305k</v>
      </c>
      <c r="B2662" s="151" t="str">
        <f>'Reported burning'!B2662</f>
        <v>305k.13</v>
      </c>
      <c r="C2662" s="151" t="str">
        <f>'Reported burning'!C2662</f>
        <v>Human, deliberate</v>
      </c>
      <c r="D2662" s="151" t="str">
        <f>'Reported burning'!D2662</f>
        <v>Pyrome management</v>
      </c>
      <c r="E2662" s="151" t="str">
        <f>'Reported burning'!E2662</f>
        <v>Fire suppression agent</v>
      </c>
      <c r="F2662" s="151" t="str">
        <f>'Reported burning'!F2662</f>
        <v>ND</v>
      </c>
      <c r="G2662" s="151" t="str">
        <f>'Reported burning'!G2662</f>
        <v>ND</v>
      </c>
      <c r="H2662" s="151" t="str">
        <f>'Reported burning'!H2662</f>
        <v>Presence</v>
      </c>
      <c r="I2662" s="5">
        <f>'Reported burning'!I2662</f>
        <v>2013</v>
      </c>
      <c r="J2662" s="198" t="s">
        <v>2272</v>
      </c>
      <c r="K2662" s="198" t="s">
        <v>2272</v>
      </c>
      <c r="L2662" s="198" t="s">
        <v>2272</v>
      </c>
      <c r="M2662" s="198" t="s">
        <v>2272</v>
      </c>
      <c r="N2662" s="198" t="s">
        <v>2272</v>
      </c>
      <c r="O2662" s="198" t="s">
        <v>2272</v>
      </c>
      <c r="P2662" s="198" t="s">
        <v>2272</v>
      </c>
      <c r="Q2662" s="198" t="s">
        <v>2272</v>
      </c>
      <c r="R2662" s="198" t="s">
        <v>2272</v>
      </c>
      <c r="S2662" s="198" t="s">
        <v>2272</v>
      </c>
      <c r="T2662" s="198" t="s">
        <v>2272</v>
      </c>
      <c r="U2662" s="198" t="s">
        <v>2272</v>
      </c>
      <c r="V2662" s="198" t="s">
        <v>2272</v>
      </c>
      <c r="W2662" s="198" t="s">
        <v>2272</v>
      </c>
      <c r="X2662" s="198" t="s">
        <v>2272</v>
      </c>
      <c r="Y2662" s="198" t="s">
        <v>34</v>
      </c>
      <c r="Z2662" s="198" t="s">
        <v>37</v>
      </c>
      <c r="AA2662" s="198" t="s">
        <v>63</v>
      </c>
      <c r="AB2662" s="198" t="s">
        <v>7616</v>
      </c>
      <c r="AC2662" s="198"/>
    </row>
    <row r="2663" spans="1:29" ht="33.5" customHeight="1">
      <c r="A2663" s="151" t="str">
        <f>'Reported burning'!A2663</f>
        <v>305l</v>
      </c>
      <c r="B2663" s="151" t="str">
        <f>'Reported burning'!B2663</f>
        <v>305l.13</v>
      </c>
      <c r="C2663" s="151" t="str">
        <f>'Reported burning'!C2663</f>
        <v>Human, deliberate</v>
      </c>
      <c r="D2663" s="151" t="str">
        <f>'Reported burning'!D2663</f>
        <v>Pyrome management</v>
      </c>
      <c r="E2663" s="151" t="str">
        <f>'Reported burning'!E2663</f>
        <v>Fire suppression agent</v>
      </c>
      <c r="F2663" s="151" t="str">
        <f>'Reported burning'!F2663</f>
        <v>ND</v>
      </c>
      <c r="G2663" s="151" t="str">
        <f>'Reported burning'!G2663</f>
        <v>ND</v>
      </c>
      <c r="H2663" s="151" t="str">
        <f>'Reported burning'!H2663</f>
        <v>Presence</v>
      </c>
      <c r="I2663" s="5">
        <f>'Reported burning'!I2663</f>
        <v>2013</v>
      </c>
      <c r="J2663" s="198" t="s">
        <v>2272</v>
      </c>
      <c r="K2663" s="198" t="s">
        <v>2272</v>
      </c>
      <c r="L2663" s="198" t="s">
        <v>2272</v>
      </c>
      <c r="M2663" s="198" t="s">
        <v>2272</v>
      </c>
      <c r="N2663" s="198" t="s">
        <v>2272</v>
      </c>
      <c r="O2663" s="198" t="s">
        <v>2272</v>
      </c>
      <c r="P2663" s="198" t="s">
        <v>2272</v>
      </c>
      <c r="Q2663" s="198" t="s">
        <v>2272</v>
      </c>
      <c r="R2663" s="198" t="s">
        <v>2272</v>
      </c>
      <c r="S2663" s="198" t="s">
        <v>2272</v>
      </c>
      <c r="T2663" s="198" t="s">
        <v>2272</v>
      </c>
      <c r="U2663" s="198" t="s">
        <v>2272</v>
      </c>
      <c r="V2663" s="198" t="s">
        <v>2272</v>
      </c>
      <c r="W2663" s="198" t="s">
        <v>2272</v>
      </c>
      <c r="X2663" s="198" t="s">
        <v>2272</v>
      </c>
      <c r="Y2663" s="198" t="s">
        <v>34</v>
      </c>
      <c r="Z2663" s="198" t="s">
        <v>37</v>
      </c>
      <c r="AA2663" s="198" t="s">
        <v>63</v>
      </c>
      <c r="AB2663" s="198" t="s">
        <v>7616</v>
      </c>
      <c r="AC2663" s="198"/>
    </row>
    <row r="2664" spans="1:29" ht="33.5" customHeight="1">
      <c r="A2664" s="151" t="str">
        <f>'Reported burning'!A2664</f>
        <v>305m</v>
      </c>
      <c r="B2664" s="151" t="str">
        <f>'Reported burning'!B2664</f>
        <v>305m.13</v>
      </c>
      <c r="C2664" s="151" t="str">
        <f>'Reported burning'!C2664</f>
        <v>Human, deliberate</v>
      </c>
      <c r="D2664" s="151" t="str">
        <f>'Reported burning'!D2664</f>
        <v>Pyrome management</v>
      </c>
      <c r="E2664" s="151" t="str">
        <f>'Reported burning'!E2664</f>
        <v>Fire suppression agent</v>
      </c>
      <c r="F2664" s="151" t="str">
        <f>'Reported burning'!F2664</f>
        <v>ND</v>
      </c>
      <c r="G2664" s="151" t="str">
        <f>'Reported burning'!G2664</f>
        <v>ND</v>
      </c>
      <c r="H2664" s="151" t="str">
        <f>'Reported burning'!H2664</f>
        <v>Presence</v>
      </c>
      <c r="I2664" s="5">
        <f>'Reported burning'!I2664</f>
        <v>2013</v>
      </c>
      <c r="J2664" s="198" t="s">
        <v>2272</v>
      </c>
      <c r="K2664" s="198" t="s">
        <v>2272</v>
      </c>
      <c r="L2664" s="198" t="s">
        <v>2272</v>
      </c>
      <c r="M2664" s="198" t="s">
        <v>2272</v>
      </c>
      <c r="N2664" s="198" t="s">
        <v>2272</v>
      </c>
      <c r="O2664" s="198" t="s">
        <v>2272</v>
      </c>
      <c r="P2664" s="198" t="s">
        <v>2272</v>
      </c>
      <c r="Q2664" s="198" t="s">
        <v>2272</v>
      </c>
      <c r="R2664" s="198" t="s">
        <v>2272</v>
      </c>
      <c r="S2664" s="198" t="s">
        <v>2272</v>
      </c>
      <c r="T2664" s="198" t="s">
        <v>2272</v>
      </c>
      <c r="U2664" s="198" t="s">
        <v>2272</v>
      </c>
      <c r="V2664" s="198" t="s">
        <v>2272</v>
      </c>
      <c r="W2664" s="198" t="s">
        <v>2272</v>
      </c>
      <c r="X2664" s="198" t="s">
        <v>2272</v>
      </c>
      <c r="Y2664" s="198" t="s">
        <v>34</v>
      </c>
      <c r="Z2664" s="198" t="s">
        <v>37</v>
      </c>
      <c r="AA2664" s="198" t="s">
        <v>63</v>
      </c>
      <c r="AB2664" s="198" t="s">
        <v>7616</v>
      </c>
      <c r="AC2664" s="198"/>
    </row>
    <row r="2665" spans="1:29" ht="33.5" customHeight="1">
      <c r="A2665" s="151" t="str">
        <f>'Reported burning'!A2665</f>
        <v>305i</v>
      </c>
      <c r="B2665" s="151" t="str">
        <f>'Reported burning'!B2665</f>
        <v>305i.14</v>
      </c>
      <c r="C2665" s="151" t="str">
        <f>'Reported burning'!C2665</f>
        <v>Human, deliberate</v>
      </c>
      <c r="D2665" s="151" t="str">
        <f>'Reported burning'!D2665</f>
        <v>Pyrome management</v>
      </c>
      <c r="E2665" s="151" t="str">
        <f>'Reported burning'!E2665</f>
        <v>Fire suppression agent</v>
      </c>
      <c r="F2665" s="151" t="str">
        <f>'Reported burning'!F2665</f>
        <v>ND</v>
      </c>
      <c r="G2665" s="151" t="str">
        <f>'Reported burning'!G2665</f>
        <v>ND</v>
      </c>
      <c r="H2665" s="151" t="str">
        <f>'Reported burning'!H2665</f>
        <v>Presence</v>
      </c>
      <c r="I2665" s="5">
        <f>'Reported burning'!I2665</f>
        <v>2014</v>
      </c>
      <c r="J2665" s="198" t="s">
        <v>2272</v>
      </c>
      <c r="K2665" s="198" t="s">
        <v>2272</v>
      </c>
      <c r="L2665" s="198" t="s">
        <v>2272</v>
      </c>
      <c r="M2665" s="198" t="s">
        <v>2272</v>
      </c>
      <c r="N2665" s="198" t="s">
        <v>2272</v>
      </c>
      <c r="O2665" s="198" t="s">
        <v>2272</v>
      </c>
      <c r="P2665" s="198" t="s">
        <v>2272</v>
      </c>
      <c r="Q2665" s="198" t="s">
        <v>2272</v>
      </c>
      <c r="R2665" s="198" t="s">
        <v>2272</v>
      </c>
      <c r="S2665" s="198" t="s">
        <v>2272</v>
      </c>
      <c r="T2665" s="198" t="s">
        <v>2272</v>
      </c>
      <c r="U2665" s="198" t="s">
        <v>2272</v>
      </c>
      <c r="V2665" s="198" t="s">
        <v>2272</v>
      </c>
      <c r="W2665" s="198" t="s">
        <v>2272</v>
      </c>
      <c r="X2665" s="198" t="s">
        <v>2272</v>
      </c>
      <c r="Y2665" s="198" t="s">
        <v>34</v>
      </c>
      <c r="Z2665" s="198" t="s">
        <v>37</v>
      </c>
      <c r="AA2665" s="198" t="s">
        <v>63</v>
      </c>
      <c r="AB2665" s="198" t="s">
        <v>7616</v>
      </c>
      <c r="AC2665" s="198"/>
    </row>
    <row r="2666" spans="1:29" ht="33.5" customHeight="1">
      <c r="A2666" s="151" t="str">
        <f>'Reported burning'!A2666</f>
        <v>305j</v>
      </c>
      <c r="B2666" s="151" t="str">
        <f>'Reported burning'!B2666</f>
        <v>305j.14</v>
      </c>
      <c r="C2666" s="151" t="str">
        <f>'Reported burning'!C2666</f>
        <v>Human, deliberate</v>
      </c>
      <c r="D2666" s="151" t="str">
        <f>'Reported burning'!D2666</f>
        <v>Pyrome management</v>
      </c>
      <c r="E2666" s="151" t="str">
        <f>'Reported burning'!E2666</f>
        <v>Fire suppression agent</v>
      </c>
      <c r="F2666" s="151" t="str">
        <f>'Reported burning'!F2666</f>
        <v>ND</v>
      </c>
      <c r="G2666" s="151" t="str">
        <f>'Reported burning'!G2666</f>
        <v>ND</v>
      </c>
      <c r="H2666" s="151" t="str">
        <f>'Reported burning'!H2666</f>
        <v>Presence</v>
      </c>
      <c r="I2666" s="5">
        <f>'Reported burning'!I2666</f>
        <v>2014</v>
      </c>
      <c r="J2666" s="198" t="s">
        <v>2272</v>
      </c>
      <c r="K2666" s="198" t="s">
        <v>2272</v>
      </c>
      <c r="L2666" s="198" t="s">
        <v>2272</v>
      </c>
      <c r="M2666" s="198" t="s">
        <v>2272</v>
      </c>
      <c r="N2666" s="198" t="s">
        <v>2272</v>
      </c>
      <c r="O2666" s="198" t="s">
        <v>2272</v>
      </c>
      <c r="P2666" s="198" t="s">
        <v>2272</v>
      </c>
      <c r="Q2666" s="198" t="s">
        <v>2272</v>
      </c>
      <c r="R2666" s="198" t="s">
        <v>2272</v>
      </c>
      <c r="S2666" s="198" t="s">
        <v>2272</v>
      </c>
      <c r="T2666" s="198" t="s">
        <v>2272</v>
      </c>
      <c r="U2666" s="198" t="s">
        <v>2272</v>
      </c>
      <c r="V2666" s="198" t="s">
        <v>2272</v>
      </c>
      <c r="W2666" s="198" t="s">
        <v>2272</v>
      </c>
      <c r="X2666" s="198" t="s">
        <v>2272</v>
      </c>
      <c r="Y2666" s="198" t="s">
        <v>34</v>
      </c>
      <c r="Z2666" s="198" t="s">
        <v>37</v>
      </c>
      <c r="AA2666" s="198" t="s">
        <v>63</v>
      </c>
      <c r="AB2666" s="198" t="s">
        <v>7616</v>
      </c>
      <c r="AC2666" s="198"/>
    </row>
    <row r="2667" spans="1:29" ht="33.5" customHeight="1">
      <c r="A2667" s="151" t="str">
        <f>'Reported burning'!A2667</f>
        <v>305k</v>
      </c>
      <c r="B2667" s="151" t="str">
        <f>'Reported burning'!B2667</f>
        <v>305k.14</v>
      </c>
      <c r="C2667" s="151" t="str">
        <f>'Reported burning'!C2667</f>
        <v>Human, deliberate</v>
      </c>
      <c r="D2667" s="151" t="str">
        <f>'Reported burning'!D2667</f>
        <v>Pyrome management</v>
      </c>
      <c r="E2667" s="151" t="str">
        <f>'Reported burning'!E2667</f>
        <v>Fire suppression agent</v>
      </c>
      <c r="F2667" s="151" t="str">
        <f>'Reported burning'!F2667</f>
        <v>ND</v>
      </c>
      <c r="G2667" s="151" t="str">
        <f>'Reported burning'!G2667</f>
        <v>ND</v>
      </c>
      <c r="H2667" s="151" t="str">
        <f>'Reported burning'!H2667</f>
        <v>Presence</v>
      </c>
      <c r="I2667" s="5">
        <f>'Reported burning'!I2667</f>
        <v>2014</v>
      </c>
      <c r="J2667" s="198" t="s">
        <v>2272</v>
      </c>
      <c r="K2667" s="198" t="s">
        <v>2272</v>
      </c>
      <c r="L2667" s="198" t="s">
        <v>2272</v>
      </c>
      <c r="M2667" s="198" t="s">
        <v>2272</v>
      </c>
      <c r="N2667" s="198" t="s">
        <v>2272</v>
      </c>
      <c r="O2667" s="198" t="s">
        <v>2272</v>
      </c>
      <c r="P2667" s="198" t="s">
        <v>2272</v>
      </c>
      <c r="Q2667" s="198" t="s">
        <v>2272</v>
      </c>
      <c r="R2667" s="198" t="s">
        <v>2272</v>
      </c>
      <c r="S2667" s="198" t="s">
        <v>2272</v>
      </c>
      <c r="T2667" s="198" t="s">
        <v>2272</v>
      </c>
      <c r="U2667" s="198" t="s">
        <v>2272</v>
      </c>
      <c r="V2667" s="198" t="s">
        <v>2272</v>
      </c>
      <c r="W2667" s="198" t="s">
        <v>2272</v>
      </c>
      <c r="X2667" s="198" t="s">
        <v>2272</v>
      </c>
      <c r="Y2667" s="198" t="s">
        <v>34</v>
      </c>
      <c r="Z2667" s="198" t="s">
        <v>37</v>
      </c>
      <c r="AA2667" s="198" t="s">
        <v>63</v>
      </c>
      <c r="AB2667" s="198" t="s">
        <v>7616</v>
      </c>
      <c r="AC2667" s="198"/>
    </row>
    <row r="2668" spans="1:29" ht="33.5" customHeight="1">
      <c r="A2668" s="151" t="str">
        <f>'Reported burning'!A2668</f>
        <v>305l</v>
      </c>
      <c r="B2668" s="151" t="str">
        <f>'Reported burning'!B2668</f>
        <v>305l.14</v>
      </c>
      <c r="C2668" s="151" t="str">
        <f>'Reported burning'!C2668</f>
        <v>Human, deliberate</v>
      </c>
      <c r="D2668" s="151" t="str">
        <f>'Reported burning'!D2668</f>
        <v>Pyrome management</v>
      </c>
      <c r="E2668" s="151" t="str">
        <f>'Reported burning'!E2668</f>
        <v>Fire suppression agent</v>
      </c>
      <c r="F2668" s="151" t="str">
        <f>'Reported burning'!F2668</f>
        <v>ND</v>
      </c>
      <c r="G2668" s="151" t="str">
        <f>'Reported burning'!G2668</f>
        <v>ND</v>
      </c>
      <c r="H2668" s="151" t="str">
        <f>'Reported burning'!H2668</f>
        <v>Presence</v>
      </c>
      <c r="I2668" s="5">
        <f>'Reported burning'!I2668</f>
        <v>2014</v>
      </c>
      <c r="J2668" s="198" t="s">
        <v>2272</v>
      </c>
      <c r="K2668" s="198" t="s">
        <v>2272</v>
      </c>
      <c r="L2668" s="198" t="s">
        <v>2272</v>
      </c>
      <c r="M2668" s="198" t="s">
        <v>2272</v>
      </c>
      <c r="N2668" s="198" t="s">
        <v>2272</v>
      </c>
      <c r="O2668" s="198" t="s">
        <v>2272</v>
      </c>
      <c r="P2668" s="198" t="s">
        <v>2272</v>
      </c>
      <c r="Q2668" s="198" t="s">
        <v>2272</v>
      </c>
      <c r="R2668" s="198" t="s">
        <v>2272</v>
      </c>
      <c r="S2668" s="198" t="s">
        <v>2272</v>
      </c>
      <c r="T2668" s="198" t="s">
        <v>2272</v>
      </c>
      <c r="U2668" s="198" t="s">
        <v>2272</v>
      </c>
      <c r="V2668" s="198" t="s">
        <v>2272</v>
      </c>
      <c r="W2668" s="198" t="s">
        <v>2272</v>
      </c>
      <c r="X2668" s="198" t="s">
        <v>2272</v>
      </c>
      <c r="Y2668" s="198" t="s">
        <v>34</v>
      </c>
      <c r="Z2668" s="198" t="s">
        <v>37</v>
      </c>
      <c r="AA2668" s="198" t="s">
        <v>63</v>
      </c>
      <c r="AB2668" s="198" t="s">
        <v>7616</v>
      </c>
      <c r="AC2668" s="198"/>
    </row>
    <row r="2669" spans="1:29" ht="33.5" customHeight="1">
      <c r="A2669" s="151" t="str">
        <f>'Reported burning'!A2669</f>
        <v>305m</v>
      </c>
      <c r="B2669" s="151" t="str">
        <f>'Reported burning'!B2669</f>
        <v>305m.14</v>
      </c>
      <c r="C2669" s="151" t="str">
        <f>'Reported burning'!C2669</f>
        <v>Human, deliberate</v>
      </c>
      <c r="D2669" s="151" t="str">
        <f>'Reported burning'!D2669</f>
        <v>Pyrome management</v>
      </c>
      <c r="E2669" s="151" t="str">
        <f>'Reported burning'!E2669</f>
        <v>Fire suppression agent</v>
      </c>
      <c r="F2669" s="151" t="str">
        <f>'Reported burning'!F2669</f>
        <v>ND</v>
      </c>
      <c r="G2669" s="151" t="str">
        <f>'Reported burning'!G2669</f>
        <v>ND</v>
      </c>
      <c r="H2669" s="151" t="str">
        <f>'Reported burning'!H2669</f>
        <v>Presence</v>
      </c>
      <c r="I2669" s="5">
        <f>'Reported burning'!I2669</f>
        <v>2014</v>
      </c>
      <c r="J2669" s="198" t="s">
        <v>2272</v>
      </c>
      <c r="K2669" s="198" t="s">
        <v>2272</v>
      </c>
      <c r="L2669" s="198" t="s">
        <v>2272</v>
      </c>
      <c r="M2669" s="198" t="s">
        <v>2272</v>
      </c>
      <c r="N2669" s="198" t="s">
        <v>2272</v>
      </c>
      <c r="O2669" s="198" t="s">
        <v>2272</v>
      </c>
      <c r="P2669" s="198" t="s">
        <v>2272</v>
      </c>
      <c r="Q2669" s="198" t="s">
        <v>2272</v>
      </c>
      <c r="R2669" s="198" t="s">
        <v>2272</v>
      </c>
      <c r="S2669" s="198" t="s">
        <v>2272</v>
      </c>
      <c r="T2669" s="198" t="s">
        <v>2272</v>
      </c>
      <c r="U2669" s="198" t="s">
        <v>2272</v>
      </c>
      <c r="V2669" s="198" t="s">
        <v>2272</v>
      </c>
      <c r="W2669" s="198" t="s">
        <v>2272</v>
      </c>
      <c r="X2669" s="198" t="s">
        <v>2272</v>
      </c>
      <c r="Y2669" s="198" t="s">
        <v>34</v>
      </c>
      <c r="Z2669" s="198" t="s">
        <v>37</v>
      </c>
      <c r="AA2669" s="198" t="s">
        <v>63</v>
      </c>
      <c r="AB2669" s="198" t="s">
        <v>7616</v>
      </c>
      <c r="AC2669" s="198"/>
    </row>
    <row r="2670" spans="1:29" ht="33.5" customHeight="1">
      <c r="A2670" s="151" t="str">
        <f>'Reported burning'!A2670</f>
        <v>305i</v>
      </c>
      <c r="B2670" s="151" t="str">
        <f>'Reported burning'!B2670</f>
        <v>305i.15</v>
      </c>
      <c r="C2670" s="151" t="str">
        <f>'Reported burning'!C2670</f>
        <v>Human, deliberate</v>
      </c>
      <c r="D2670" s="151" t="str">
        <f>'Reported burning'!D2670</f>
        <v>Pyrome management</v>
      </c>
      <c r="E2670" s="151" t="str">
        <f>'Reported burning'!E2670</f>
        <v>Fire suppression agent</v>
      </c>
      <c r="F2670" s="151" t="str">
        <f>'Reported burning'!F2670</f>
        <v>ND</v>
      </c>
      <c r="G2670" s="151" t="str">
        <f>'Reported burning'!G2670</f>
        <v>ND</v>
      </c>
      <c r="H2670" s="151" t="str">
        <f>'Reported burning'!H2670</f>
        <v>Presence</v>
      </c>
      <c r="I2670" s="5">
        <f>'Reported burning'!I2670</f>
        <v>2015</v>
      </c>
      <c r="J2670" s="198" t="s">
        <v>2272</v>
      </c>
      <c r="K2670" s="198" t="s">
        <v>2272</v>
      </c>
      <c r="L2670" s="198" t="s">
        <v>2272</v>
      </c>
      <c r="M2670" s="198" t="s">
        <v>2272</v>
      </c>
      <c r="N2670" s="198" t="s">
        <v>2272</v>
      </c>
      <c r="O2670" s="198" t="s">
        <v>2272</v>
      </c>
      <c r="P2670" s="198" t="s">
        <v>2272</v>
      </c>
      <c r="Q2670" s="198" t="s">
        <v>2272</v>
      </c>
      <c r="R2670" s="198" t="s">
        <v>2272</v>
      </c>
      <c r="S2670" s="198" t="s">
        <v>2272</v>
      </c>
      <c r="T2670" s="198" t="s">
        <v>2272</v>
      </c>
      <c r="U2670" s="198" t="s">
        <v>2272</v>
      </c>
      <c r="V2670" s="198" t="s">
        <v>2272</v>
      </c>
      <c r="W2670" s="198" t="s">
        <v>2272</v>
      </c>
      <c r="X2670" s="198" t="s">
        <v>2272</v>
      </c>
      <c r="Y2670" s="198" t="s">
        <v>34</v>
      </c>
      <c r="Z2670" s="198" t="s">
        <v>37</v>
      </c>
      <c r="AA2670" s="198" t="s">
        <v>63</v>
      </c>
      <c r="AB2670" s="198" t="s">
        <v>7616</v>
      </c>
      <c r="AC2670" s="198"/>
    </row>
    <row r="2671" spans="1:29" ht="33.5" customHeight="1">
      <c r="A2671" s="151" t="str">
        <f>'Reported burning'!A2671</f>
        <v>305j</v>
      </c>
      <c r="B2671" s="151" t="str">
        <f>'Reported burning'!B2671</f>
        <v>305j.15</v>
      </c>
      <c r="C2671" s="151" t="str">
        <f>'Reported burning'!C2671</f>
        <v>Human, deliberate</v>
      </c>
      <c r="D2671" s="151" t="str">
        <f>'Reported burning'!D2671</f>
        <v>Pyrome management</v>
      </c>
      <c r="E2671" s="151" t="str">
        <f>'Reported burning'!E2671</f>
        <v>Fire suppression agent</v>
      </c>
      <c r="F2671" s="151" t="str">
        <f>'Reported burning'!F2671</f>
        <v>ND</v>
      </c>
      <c r="G2671" s="151" t="str">
        <f>'Reported burning'!G2671</f>
        <v>ND</v>
      </c>
      <c r="H2671" s="151" t="str">
        <f>'Reported burning'!H2671</f>
        <v>Presence</v>
      </c>
      <c r="I2671" s="5">
        <f>'Reported burning'!I2671</f>
        <v>2015</v>
      </c>
      <c r="J2671" s="198" t="s">
        <v>2272</v>
      </c>
      <c r="K2671" s="198" t="s">
        <v>2272</v>
      </c>
      <c r="L2671" s="198" t="s">
        <v>2272</v>
      </c>
      <c r="M2671" s="198" t="s">
        <v>2272</v>
      </c>
      <c r="N2671" s="198" t="s">
        <v>2272</v>
      </c>
      <c r="O2671" s="198" t="s">
        <v>2272</v>
      </c>
      <c r="P2671" s="198" t="s">
        <v>2272</v>
      </c>
      <c r="Q2671" s="198" t="s">
        <v>2272</v>
      </c>
      <c r="R2671" s="198" t="s">
        <v>2272</v>
      </c>
      <c r="S2671" s="198" t="s">
        <v>2272</v>
      </c>
      <c r="T2671" s="198" t="s">
        <v>2272</v>
      </c>
      <c r="U2671" s="198" t="s">
        <v>2272</v>
      </c>
      <c r="V2671" s="198" t="s">
        <v>2272</v>
      </c>
      <c r="W2671" s="198" t="s">
        <v>2272</v>
      </c>
      <c r="X2671" s="198" t="s">
        <v>2272</v>
      </c>
      <c r="Y2671" s="198" t="s">
        <v>34</v>
      </c>
      <c r="Z2671" s="198" t="s">
        <v>37</v>
      </c>
      <c r="AA2671" s="198" t="s">
        <v>63</v>
      </c>
      <c r="AB2671" s="198" t="s">
        <v>7616</v>
      </c>
      <c r="AC2671" s="198"/>
    </row>
    <row r="2672" spans="1:29" ht="33.5" customHeight="1">
      <c r="A2672" s="151" t="str">
        <f>'Reported burning'!A2672</f>
        <v>305k</v>
      </c>
      <c r="B2672" s="151" t="str">
        <f>'Reported burning'!B2672</f>
        <v>305k.15</v>
      </c>
      <c r="C2672" s="151" t="str">
        <f>'Reported burning'!C2672</f>
        <v>Human, deliberate</v>
      </c>
      <c r="D2672" s="151" t="str">
        <f>'Reported burning'!D2672</f>
        <v>Pyrome management</v>
      </c>
      <c r="E2672" s="151" t="str">
        <f>'Reported burning'!E2672</f>
        <v>Fire suppression agent</v>
      </c>
      <c r="F2672" s="151" t="str">
        <f>'Reported burning'!F2672</f>
        <v>ND</v>
      </c>
      <c r="G2672" s="151" t="str">
        <f>'Reported burning'!G2672</f>
        <v>ND</v>
      </c>
      <c r="H2672" s="151" t="str">
        <f>'Reported burning'!H2672</f>
        <v>Presence</v>
      </c>
      <c r="I2672" s="5">
        <f>'Reported burning'!I2672</f>
        <v>2015</v>
      </c>
      <c r="J2672" s="198" t="s">
        <v>2272</v>
      </c>
      <c r="K2672" s="198" t="s">
        <v>2272</v>
      </c>
      <c r="L2672" s="198" t="s">
        <v>2272</v>
      </c>
      <c r="M2672" s="198" t="s">
        <v>2272</v>
      </c>
      <c r="N2672" s="198" t="s">
        <v>2272</v>
      </c>
      <c r="O2672" s="198" t="s">
        <v>2272</v>
      </c>
      <c r="P2672" s="198" t="s">
        <v>2272</v>
      </c>
      <c r="Q2672" s="198" t="s">
        <v>2272</v>
      </c>
      <c r="R2672" s="198" t="s">
        <v>2272</v>
      </c>
      <c r="S2672" s="198" t="s">
        <v>2272</v>
      </c>
      <c r="T2672" s="198" t="s">
        <v>2272</v>
      </c>
      <c r="U2672" s="198" t="s">
        <v>2272</v>
      </c>
      <c r="V2672" s="198" t="s">
        <v>2272</v>
      </c>
      <c r="W2672" s="198" t="s">
        <v>2272</v>
      </c>
      <c r="X2672" s="198" t="s">
        <v>2272</v>
      </c>
      <c r="Y2672" s="198" t="s">
        <v>34</v>
      </c>
      <c r="Z2672" s="198" t="s">
        <v>37</v>
      </c>
      <c r="AA2672" s="198" t="s">
        <v>63</v>
      </c>
      <c r="AB2672" s="198" t="s">
        <v>7616</v>
      </c>
      <c r="AC2672" s="198"/>
    </row>
    <row r="2673" spans="1:29" ht="33.5" customHeight="1">
      <c r="A2673" s="151" t="str">
        <f>'Reported burning'!A2673</f>
        <v>305l</v>
      </c>
      <c r="B2673" s="151" t="str">
        <f>'Reported burning'!B2673</f>
        <v>305l.15</v>
      </c>
      <c r="C2673" s="151" t="str">
        <f>'Reported burning'!C2673</f>
        <v>Human, deliberate</v>
      </c>
      <c r="D2673" s="151" t="str">
        <f>'Reported burning'!D2673</f>
        <v>Pyrome management</v>
      </c>
      <c r="E2673" s="151" t="str">
        <f>'Reported burning'!E2673</f>
        <v>Fire suppression agent</v>
      </c>
      <c r="F2673" s="151" t="str">
        <f>'Reported burning'!F2673</f>
        <v>ND</v>
      </c>
      <c r="G2673" s="151" t="str">
        <f>'Reported burning'!G2673</f>
        <v>ND</v>
      </c>
      <c r="H2673" s="151" t="str">
        <f>'Reported burning'!H2673</f>
        <v>Presence</v>
      </c>
      <c r="I2673" s="5">
        <f>'Reported burning'!I2673</f>
        <v>2015</v>
      </c>
      <c r="J2673" s="198" t="s">
        <v>2272</v>
      </c>
      <c r="K2673" s="198" t="s">
        <v>2272</v>
      </c>
      <c r="L2673" s="198" t="s">
        <v>2272</v>
      </c>
      <c r="M2673" s="198" t="s">
        <v>2272</v>
      </c>
      <c r="N2673" s="198" t="s">
        <v>2272</v>
      </c>
      <c r="O2673" s="198" t="s">
        <v>2272</v>
      </c>
      <c r="P2673" s="198" t="s">
        <v>2272</v>
      </c>
      <c r="Q2673" s="198" t="s">
        <v>2272</v>
      </c>
      <c r="R2673" s="198" t="s">
        <v>2272</v>
      </c>
      <c r="S2673" s="198" t="s">
        <v>2272</v>
      </c>
      <c r="T2673" s="198" t="s">
        <v>2272</v>
      </c>
      <c r="U2673" s="198" t="s">
        <v>2272</v>
      </c>
      <c r="V2673" s="198" t="s">
        <v>2272</v>
      </c>
      <c r="W2673" s="198" t="s">
        <v>2272</v>
      </c>
      <c r="X2673" s="198" t="s">
        <v>2272</v>
      </c>
      <c r="Y2673" s="198" t="s">
        <v>34</v>
      </c>
      <c r="Z2673" s="198" t="s">
        <v>37</v>
      </c>
      <c r="AA2673" s="198" t="s">
        <v>63</v>
      </c>
      <c r="AB2673" s="198" t="s">
        <v>7616</v>
      </c>
      <c r="AC2673" s="198"/>
    </row>
    <row r="2674" spans="1:29" ht="33.5" customHeight="1">
      <c r="A2674" s="151" t="str">
        <f>'Reported burning'!A2674</f>
        <v>305m</v>
      </c>
      <c r="B2674" s="151" t="str">
        <f>'Reported burning'!B2674</f>
        <v>305m.15</v>
      </c>
      <c r="C2674" s="151" t="str">
        <f>'Reported burning'!C2674</f>
        <v>Human, deliberate</v>
      </c>
      <c r="D2674" s="151" t="str">
        <f>'Reported burning'!D2674</f>
        <v>Pyrome management</v>
      </c>
      <c r="E2674" s="151" t="str">
        <f>'Reported burning'!E2674</f>
        <v>Fire suppression agent</v>
      </c>
      <c r="F2674" s="151" t="str">
        <f>'Reported burning'!F2674</f>
        <v>ND</v>
      </c>
      <c r="G2674" s="151" t="str">
        <f>'Reported burning'!G2674</f>
        <v>ND</v>
      </c>
      <c r="H2674" s="151" t="str">
        <f>'Reported burning'!H2674</f>
        <v>Presence</v>
      </c>
      <c r="I2674" s="5">
        <f>'Reported burning'!I2674</f>
        <v>2015</v>
      </c>
      <c r="J2674" s="198" t="s">
        <v>2272</v>
      </c>
      <c r="K2674" s="198" t="s">
        <v>2272</v>
      </c>
      <c r="L2674" s="198" t="s">
        <v>2272</v>
      </c>
      <c r="M2674" s="198" t="s">
        <v>2272</v>
      </c>
      <c r="N2674" s="198" t="s">
        <v>2272</v>
      </c>
      <c r="O2674" s="198" t="s">
        <v>2272</v>
      </c>
      <c r="P2674" s="198" t="s">
        <v>2272</v>
      </c>
      <c r="Q2674" s="198" t="s">
        <v>2272</v>
      </c>
      <c r="R2674" s="198" t="s">
        <v>2272</v>
      </c>
      <c r="S2674" s="198" t="s">
        <v>2272</v>
      </c>
      <c r="T2674" s="198" t="s">
        <v>2272</v>
      </c>
      <c r="U2674" s="198" t="s">
        <v>2272</v>
      </c>
      <c r="V2674" s="198" t="s">
        <v>2272</v>
      </c>
      <c r="W2674" s="198" t="s">
        <v>2272</v>
      </c>
      <c r="X2674" s="198" t="s">
        <v>2272</v>
      </c>
      <c r="Y2674" s="198" t="s">
        <v>34</v>
      </c>
      <c r="Z2674" s="198" t="s">
        <v>37</v>
      </c>
      <c r="AA2674" s="198" t="s">
        <v>63</v>
      </c>
      <c r="AB2674" s="198" t="s">
        <v>7616</v>
      </c>
      <c r="AC2674" s="198"/>
    </row>
    <row r="2675" spans="1:29" ht="33.5" customHeight="1">
      <c r="A2675" s="151" t="str">
        <f>'Reported burning'!A2675</f>
        <v>305n</v>
      </c>
      <c r="B2675" s="151" t="str">
        <f>'Reported burning'!B2675</f>
        <v>305n.1</v>
      </c>
      <c r="C2675" s="151" t="str">
        <f>'Reported burning'!C2675</f>
        <v>Human, deliberate</v>
      </c>
      <c r="D2675" s="151" t="str">
        <f>'Reported burning'!D2675</f>
        <v>Pyrome management</v>
      </c>
      <c r="E2675" s="151" t="str">
        <f>'Reported burning'!E2675</f>
        <v>Fire suppression agent</v>
      </c>
      <c r="F2675" s="151" t="str">
        <f>'Reported burning'!F2675</f>
        <v>ND</v>
      </c>
      <c r="G2675" s="151" t="str">
        <f>'Reported burning'!G2675</f>
        <v>ND</v>
      </c>
      <c r="H2675" s="151" t="str">
        <f>'Reported burning'!H2675</f>
        <v>Presence</v>
      </c>
      <c r="I2675" s="5"/>
      <c r="J2675" s="198" t="s">
        <v>2272</v>
      </c>
      <c r="K2675" s="198" t="s">
        <v>2272</v>
      </c>
      <c r="L2675" s="198" t="s">
        <v>2272</v>
      </c>
      <c r="M2675" s="198" t="s">
        <v>2272</v>
      </c>
      <c r="N2675" s="198" t="s">
        <v>2272</v>
      </c>
      <c r="O2675" s="198" t="s">
        <v>2272</v>
      </c>
      <c r="P2675" s="198" t="s">
        <v>2272</v>
      </c>
      <c r="Q2675" s="198" t="s">
        <v>2272</v>
      </c>
      <c r="R2675" s="198" t="s">
        <v>2272</v>
      </c>
      <c r="S2675" s="198" t="s">
        <v>2272</v>
      </c>
      <c r="T2675" s="198" t="s">
        <v>2272</v>
      </c>
      <c r="U2675" s="198" t="s">
        <v>2272</v>
      </c>
      <c r="V2675" s="198" t="s">
        <v>2272</v>
      </c>
      <c r="W2675" s="198" t="s">
        <v>2272</v>
      </c>
      <c r="X2675" s="198" t="s">
        <v>2272</v>
      </c>
      <c r="Y2675" s="35" t="s">
        <v>67</v>
      </c>
      <c r="Z2675" s="198" t="s">
        <v>84</v>
      </c>
      <c r="AA2675" s="197" t="s">
        <v>75</v>
      </c>
      <c r="AB2675" s="198"/>
      <c r="AC2675" s="198"/>
    </row>
    <row r="2676" spans="1:29" ht="33.5" customHeight="1">
      <c r="A2676" s="151" t="str">
        <f>'Reported burning'!A2676</f>
        <v>305o</v>
      </c>
      <c r="B2676" s="151" t="str">
        <f>'Reported burning'!B2676</f>
        <v>305o.1</v>
      </c>
      <c r="C2676" s="151" t="str">
        <f>'Reported burning'!C2676</f>
        <v>Human, deliberate</v>
      </c>
      <c r="D2676" s="151" t="str">
        <f>'Reported burning'!D2676</f>
        <v>Pyrome management</v>
      </c>
      <c r="E2676" s="151" t="str">
        <f>'Reported burning'!E2676</f>
        <v>Fire suppression agent</v>
      </c>
      <c r="F2676" s="151" t="str">
        <f>'Reported burning'!F2676</f>
        <v>ND</v>
      </c>
      <c r="G2676" s="151" t="str">
        <f>'Reported burning'!G2676</f>
        <v>ND</v>
      </c>
      <c r="H2676" s="151" t="str">
        <f>'Reported burning'!H2676</f>
        <v>Presence</v>
      </c>
      <c r="I2676" s="5"/>
      <c r="J2676" s="198" t="s">
        <v>2272</v>
      </c>
      <c r="K2676" s="198" t="s">
        <v>2272</v>
      </c>
      <c r="L2676" s="198" t="s">
        <v>2272</v>
      </c>
      <c r="M2676" s="198" t="s">
        <v>2272</v>
      </c>
      <c r="N2676" s="198" t="s">
        <v>2272</v>
      </c>
      <c r="O2676" s="198" t="s">
        <v>2272</v>
      </c>
      <c r="P2676" s="198" t="s">
        <v>2272</v>
      </c>
      <c r="Q2676" s="198" t="s">
        <v>2272</v>
      </c>
      <c r="R2676" s="198" t="s">
        <v>2272</v>
      </c>
      <c r="S2676" s="198" t="s">
        <v>2272</v>
      </c>
      <c r="T2676" s="198" t="s">
        <v>2272</v>
      </c>
      <c r="U2676" s="198" t="s">
        <v>2272</v>
      </c>
      <c r="V2676" s="198" t="s">
        <v>2272</v>
      </c>
      <c r="W2676" s="198" t="s">
        <v>2272</v>
      </c>
      <c r="X2676" s="198" t="s">
        <v>2272</v>
      </c>
      <c r="Y2676" s="198" t="s">
        <v>67</v>
      </c>
      <c r="Z2676" s="198" t="s">
        <v>84</v>
      </c>
      <c r="AA2676" s="198" t="s">
        <v>75</v>
      </c>
      <c r="AB2676" s="198"/>
      <c r="AC2676" s="198"/>
    </row>
    <row r="2677" spans="1:29" ht="34.5" customHeight="1">
      <c r="A2677" s="151" t="str">
        <f>'Reported burning'!A2677</f>
        <v>305p</v>
      </c>
      <c r="B2677" s="151" t="str">
        <f>'Reported burning'!B2677</f>
        <v>305p.1</v>
      </c>
      <c r="C2677" s="151" t="str">
        <f>'Reported burning'!C2677</f>
        <v>Human, deliberate</v>
      </c>
      <c r="D2677" s="151" t="str">
        <f>'Reported burning'!D2677</f>
        <v>Pyrome management</v>
      </c>
      <c r="E2677" s="151" t="str">
        <f>'Reported burning'!E2677</f>
        <v>Fire suppression agent</v>
      </c>
      <c r="F2677" s="151" t="str">
        <f>'Reported burning'!F2677</f>
        <v>ND</v>
      </c>
      <c r="G2677" s="151" t="str">
        <f>'Reported burning'!G2677</f>
        <v>ND</v>
      </c>
      <c r="H2677" s="151" t="str">
        <f>'Reported burning'!H2677</f>
        <v>Presence</v>
      </c>
      <c r="I2677" s="5"/>
      <c r="J2677" s="198" t="s">
        <v>2272</v>
      </c>
      <c r="K2677" s="198" t="s">
        <v>2272</v>
      </c>
      <c r="L2677" s="198" t="s">
        <v>2272</v>
      </c>
      <c r="M2677" s="198" t="s">
        <v>2272</v>
      </c>
      <c r="N2677" s="198" t="s">
        <v>2272</v>
      </c>
      <c r="O2677" s="198" t="s">
        <v>2272</v>
      </c>
      <c r="P2677" s="198" t="s">
        <v>2272</v>
      </c>
      <c r="Q2677" s="198" t="s">
        <v>2272</v>
      </c>
      <c r="R2677" s="198" t="s">
        <v>2272</v>
      </c>
      <c r="S2677" s="198" t="s">
        <v>2272</v>
      </c>
      <c r="T2677" s="198" t="s">
        <v>2272</v>
      </c>
      <c r="U2677" s="198" t="s">
        <v>2272</v>
      </c>
      <c r="V2677" s="198" t="s">
        <v>2272</v>
      </c>
      <c r="W2677" s="198" t="s">
        <v>2272</v>
      </c>
      <c r="X2677" s="198" t="s">
        <v>2272</v>
      </c>
      <c r="Y2677" s="198" t="s">
        <v>67</v>
      </c>
      <c r="Z2677" s="198" t="s">
        <v>84</v>
      </c>
      <c r="AA2677" s="198" t="s">
        <v>75</v>
      </c>
      <c r="AB2677" s="198"/>
      <c r="AC2677" s="198"/>
    </row>
    <row r="2678" spans="1:29" ht="34.5" customHeight="1">
      <c r="A2678" s="151" t="str">
        <f>'Reported burning'!A2678</f>
        <v>305q</v>
      </c>
      <c r="B2678" s="151" t="str">
        <f>'Reported burning'!B2678</f>
        <v>305q.1</v>
      </c>
      <c r="C2678" s="151" t="str">
        <f>'Reported burning'!C2678</f>
        <v>Human, deliberate</v>
      </c>
      <c r="D2678" s="151" t="str">
        <f>'Reported burning'!D2678</f>
        <v>Pyrome management</v>
      </c>
      <c r="E2678" s="151" t="str">
        <f>'Reported burning'!E2678</f>
        <v>Fire suppression agent</v>
      </c>
      <c r="F2678" s="151" t="str">
        <f>'Reported burning'!F2678</f>
        <v>ND</v>
      </c>
      <c r="G2678" s="151" t="str">
        <f>'Reported burning'!G2678</f>
        <v>ND</v>
      </c>
      <c r="H2678" s="151" t="str">
        <f>'Reported burning'!H2678</f>
        <v>Presence</v>
      </c>
      <c r="I2678" s="5"/>
      <c r="J2678" s="198" t="s">
        <v>2272</v>
      </c>
      <c r="K2678" s="198" t="s">
        <v>2272</v>
      </c>
      <c r="L2678" s="198" t="s">
        <v>2272</v>
      </c>
      <c r="M2678" s="198" t="s">
        <v>2272</v>
      </c>
      <c r="N2678" s="198" t="s">
        <v>2272</v>
      </c>
      <c r="O2678" s="198" t="s">
        <v>2272</v>
      </c>
      <c r="P2678" s="198" t="s">
        <v>2272</v>
      </c>
      <c r="Q2678" s="198" t="s">
        <v>2272</v>
      </c>
      <c r="R2678" s="198" t="s">
        <v>2272</v>
      </c>
      <c r="S2678" s="198" t="s">
        <v>2272</v>
      </c>
      <c r="T2678" s="198" t="s">
        <v>2272</v>
      </c>
      <c r="U2678" s="198" t="s">
        <v>2272</v>
      </c>
      <c r="V2678" s="198" t="s">
        <v>2272</v>
      </c>
      <c r="W2678" s="198" t="s">
        <v>2272</v>
      </c>
      <c r="X2678" s="198" t="s">
        <v>2272</v>
      </c>
      <c r="Y2678" s="198" t="s">
        <v>67</v>
      </c>
      <c r="Z2678" s="198" t="s">
        <v>84</v>
      </c>
      <c r="AA2678" s="198" t="s">
        <v>75</v>
      </c>
      <c r="AB2678" s="198"/>
      <c r="AC2678" s="198"/>
    </row>
    <row r="2679" spans="1:29" ht="34.5" customHeight="1">
      <c r="A2679" s="151" t="str">
        <f>'Reported burning'!A2679</f>
        <v>305r</v>
      </c>
      <c r="B2679" s="151" t="str">
        <f>'Reported burning'!B2679</f>
        <v>305r.1</v>
      </c>
      <c r="C2679" s="151" t="str">
        <f>'Reported burning'!C2679</f>
        <v>Human, deliberate</v>
      </c>
      <c r="D2679" s="151" t="str">
        <f>'Reported burning'!D2679</f>
        <v>Pyrome management</v>
      </c>
      <c r="E2679" s="151" t="str">
        <f>'Reported burning'!E2679</f>
        <v>Fire suppression agent</v>
      </c>
      <c r="F2679" s="151" t="str">
        <f>'Reported burning'!F2679</f>
        <v>ND</v>
      </c>
      <c r="G2679" s="151" t="str">
        <f>'Reported burning'!G2679</f>
        <v>ND</v>
      </c>
      <c r="H2679" s="151" t="str">
        <f>'Reported burning'!H2679</f>
        <v>Absence</v>
      </c>
      <c r="I2679" s="5"/>
      <c r="J2679" s="14" t="s">
        <v>2359</v>
      </c>
      <c r="K2679" s="14" t="s">
        <v>2359</v>
      </c>
      <c r="L2679" s="14" t="s">
        <v>2359</v>
      </c>
      <c r="M2679" s="14" t="s">
        <v>2359</v>
      </c>
      <c r="N2679" s="14" t="s">
        <v>2359</v>
      </c>
      <c r="O2679" s="14" t="s">
        <v>2359</v>
      </c>
      <c r="P2679" s="14" t="s">
        <v>2359</v>
      </c>
      <c r="Q2679" s="14" t="s">
        <v>2359</v>
      </c>
      <c r="R2679" s="14" t="s">
        <v>2359</v>
      </c>
      <c r="S2679" s="14" t="s">
        <v>2359</v>
      </c>
      <c r="T2679" s="14" t="s">
        <v>2359</v>
      </c>
      <c r="U2679" s="14" t="s">
        <v>2359</v>
      </c>
      <c r="V2679" s="14" t="s">
        <v>2359</v>
      </c>
      <c r="W2679" s="14" t="s">
        <v>2359</v>
      </c>
      <c r="X2679" s="198" t="s">
        <v>2272</v>
      </c>
      <c r="Y2679" s="198" t="s">
        <v>67</v>
      </c>
      <c r="Z2679" s="198" t="s">
        <v>84</v>
      </c>
      <c r="AA2679" s="198" t="s">
        <v>75</v>
      </c>
      <c r="AB2679" s="198"/>
      <c r="AC2679" s="198"/>
    </row>
    <row r="2680" spans="1:29" ht="34.5" customHeight="1">
      <c r="A2680" s="151" t="str">
        <f>'Reported burning'!A2680</f>
        <v>305s</v>
      </c>
      <c r="B2680" s="151" t="str">
        <f>'Reported burning'!B2680</f>
        <v>305s.1</v>
      </c>
      <c r="C2680" s="151" t="str">
        <f>'Reported burning'!C2680</f>
        <v>Human, deliberate</v>
      </c>
      <c r="D2680" s="151" t="str">
        <f>'Reported burning'!D2680</f>
        <v>Pyrome management</v>
      </c>
      <c r="E2680" s="151" t="str">
        <f>'Reported burning'!E2680</f>
        <v>Fire suppression agent</v>
      </c>
      <c r="F2680" s="151" t="str">
        <f>'Reported burning'!F2680</f>
        <v>ND</v>
      </c>
      <c r="G2680" s="151" t="str">
        <f>'Reported burning'!G2680</f>
        <v>ND</v>
      </c>
      <c r="H2680" s="151" t="str">
        <f>'Reported burning'!H2680</f>
        <v>Absence</v>
      </c>
      <c r="I2680" s="5"/>
      <c r="J2680" s="14" t="s">
        <v>2359</v>
      </c>
      <c r="K2680" s="14" t="s">
        <v>2359</v>
      </c>
      <c r="L2680" s="14" t="s">
        <v>2359</v>
      </c>
      <c r="M2680" s="14" t="s">
        <v>2359</v>
      </c>
      <c r="N2680" s="14" t="s">
        <v>2359</v>
      </c>
      <c r="O2680" s="14" t="s">
        <v>2359</v>
      </c>
      <c r="P2680" s="14" t="s">
        <v>2359</v>
      </c>
      <c r="Q2680" s="14" t="s">
        <v>2359</v>
      </c>
      <c r="R2680" s="14" t="s">
        <v>2359</v>
      </c>
      <c r="S2680" s="14" t="s">
        <v>2359</v>
      </c>
      <c r="T2680" s="14" t="s">
        <v>2359</v>
      </c>
      <c r="U2680" s="14" t="s">
        <v>2359</v>
      </c>
      <c r="V2680" s="14" t="s">
        <v>2359</v>
      </c>
      <c r="W2680" s="14" t="s">
        <v>2359</v>
      </c>
      <c r="X2680" s="198" t="s">
        <v>2272</v>
      </c>
      <c r="Y2680" s="198" t="s">
        <v>67</v>
      </c>
      <c r="Z2680" s="198" t="s">
        <v>84</v>
      </c>
      <c r="AA2680" s="198" t="s">
        <v>75</v>
      </c>
      <c r="AB2680" s="198"/>
      <c r="AC2680" s="198"/>
    </row>
    <row r="2681" spans="1:29" ht="34.5" customHeight="1">
      <c r="A2681" s="151" t="str">
        <f>'Reported burning'!A2681</f>
        <v>305t</v>
      </c>
      <c r="B2681" s="151" t="str">
        <f>'Reported burning'!B2681</f>
        <v>305t.1</v>
      </c>
      <c r="C2681" s="151" t="str">
        <f>'Reported burning'!C2681</f>
        <v>Human, deliberate</v>
      </c>
      <c r="D2681" s="151" t="str">
        <f>'Reported burning'!D2681</f>
        <v>Pyrome management</v>
      </c>
      <c r="E2681" s="151" t="str">
        <f>'Reported burning'!E2681</f>
        <v>Fire suppression agent</v>
      </c>
      <c r="F2681" s="151" t="str">
        <f>'Reported burning'!F2681</f>
        <v>ND</v>
      </c>
      <c r="G2681" s="151" t="str">
        <f>'Reported burning'!G2681</f>
        <v>ND</v>
      </c>
      <c r="H2681" s="151" t="str">
        <f>'Reported burning'!H2681</f>
        <v>Absence</v>
      </c>
      <c r="I2681" s="5"/>
      <c r="J2681" s="14" t="s">
        <v>2359</v>
      </c>
      <c r="K2681" s="14" t="s">
        <v>2359</v>
      </c>
      <c r="L2681" s="14" t="s">
        <v>2359</v>
      </c>
      <c r="M2681" s="14" t="s">
        <v>2359</v>
      </c>
      <c r="N2681" s="14" t="s">
        <v>2359</v>
      </c>
      <c r="O2681" s="14" t="s">
        <v>2359</v>
      </c>
      <c r="P2681" s="14" t="s">
        <v>2359</v>
      </c>
      <c r="Q2681" s="14" t="s">
        <v>2359</v>
      </c>
      <c r="R2681" s="14" t="s">
        <v>2359</v>
      </c>
      <c r="S2681" s="14" t="s">
        <v>2359</v>
      </c>
      <c r="T2681" s="14" t="s">
        <v>2359</v>
      </c>
      <c r="U2681" s="14" t="s">
        <v>2359</v>
      </c>
      <c r="V2681" s="14" t="s">
        <v>2359</v>
      </c>
      <c r="W2681" s="14" t="s">
        <v>2359</v>
      </c>
      <c r="X2681" s="198" t="s">
        <v>2272</v>
      </c>
      <c r="Y2681" s="198" t="s">
        <v>67</v>
      </c>
      <c r="Z2681" s="198" t="s">
        <v>84</v>
      </c>
      <c r="AA2681" s="198" t="s">
        <v>75</v>
      </c>
      <c r="AB2681" s="198"/>
      <c r="AC2681" s="198"/>
    </row>
    <row r="2682" spans="1:29" ht="34.5" customHeight="1">
      <c r="A2682" s="151" t="str">
        <f>'Reported burning'!A2682</f>
        <v>305u</v>
      </c>
      <c r="B2682" s="151" t="str">
        <f>'Reported burning'!B2682</f>
        <v>305u.1</v>
      </c>
      <c r="C2682" s="151" t="str">
        <f>'Reported burning'!C2682</f>
        <v>Human, deliberate</v>
      </c>
      <c r="D2682" s="151" t="str">
        <f>'Reported burning'!D2682</f>
        <v>Pyrome management</v>
      </c>
      <c r="E2682" s="151" t="str">
        <f>'Reported burning'!E2682</f>
        <v>Fire suppression agent</v>
      </c>
      <c r="F2682" s="151" t="str">
        <f>'Reported burning'!F2682</f>
        <v>ND</v>
      </c>
      <c r="G2682" s="151" t="str">
        <f>'Reported burning'!G2682</f>
        <v>ND</v>
      </c>
      <c r="H2682" s="151" t="str">
        <f>'Reported burning'!H2682</f>
        <v>Presence</v>
      </c>
      <c r="I2682" s="5"/>
      <c r="J2682" s="198" t="s">
        <v>2272</v>
      </c>
      <c r="K2682" s="198" t="s">
        <v>2272</v>
      </c>
      <c r="L2682" s="198" t="s">
        <v>2272</v>
      </c>
      <c r="M2682" s="198" t="s">
        <v>2272</v>
      </c>
      <c r="N2682" s="198" t="s">
        <v>2272</v>
      </c>
      <c r="O2682" s="198" t="s">
        <v>2272</v>
      </c>
      <c r="P2682" s="198" t="s">
        <v>2272</v>
      </c>
      <c r="Q2682" s="198" t="s">
        <v>2272</v>
      </c>
      <c r="R2682" s="198" t="s">
        <v>2272</v>
      </c>
      <c r="S2682" s="198" t="s">
        <v>2272</v>
      </c>
      <c r="T2682" s="198" t="s">
        <v>2272</v>
      </c>
      <c r="U2682" s="198" t="s">
        <v>2272</v>
      </c>
      <c r="V2682" s="198" t="s">
        <v>2272</v>
      </c>
      <c r="W2682" s="198" t="s">
        <v>2272</v>
      </c>
      <c r="X2682" s="198" t="s">
        <v>2272</v>
      </c>
      <c r="Y2682" s="198" t="s">
        <v>67</v>
      </c>
      <c r="Z2682" s="198" t="s">
        <v>84</v>
      </c>
      <c r="AA2682" s="198" t="s">
        <v>75</v>
      </c>
      <c r="AB2682" s="198"/>
      <c r="AC2682" s="198"/>
    </row>
    <row r="2683" spans="1:29" ht="34.5" customHeight="1">
      <c r="A2683" s="151" t="str">
        <f>'Reported burning'!A2683</f>
        <v>305v</v>
      </c>
      <c r="B2683" s="151" t="str">
        <f>'Reported burning'!B2683</f>
        <v>305v.1</v>
      </c>
      <c r="C2683" s="151" t="str">
        <f>'Reported burning'!C2683</f>
        <v>Human, deliberate</v>
      </c>
      <c r="D2683" s="151" t="str">
        <f>'Reported burning'!D2683</f>
        <v>Pyrome management</v>
      </c>
      <c r="E2683" s="151" t="str">
        <f>'Reported burning'!E2683</f>
        <v>Fire suppression agent</v>
      </c>
      <c r="F2683" s="151" t="str">
        <f>'Reported burning'!F2683</f>
        <v>ND</v>
      </c>
      <c r="G2683" s="151" t="str">
        <f>'Reported burning'!G2683</f>
        <v>ND</v>
      </c>
      <c r="H2683" s="151" t="str">
        <f>'Reported burning'!H2683</f>
        <v>Presence</v>
      </c>
      <c r="I2683" s="5"/>
      <c r="J2683" s="198" t="s">
        <v>2272</v>
      </c>
      <c r="K2683" s="198" t="s">
        <v>2272</v>
      </c>
      <c r="L2683" s="198" t="s">
        <v>2272</v>
      </c>
      <c r="M2683" s="198" t="s">
        <v>2272</v>
      </c>
      <c r="N2683" s="198" t="s">
        <v>2272</v>
      </c>
      <c r="O2683" s="198" t="s">
        <v>2272</v>
      </c>
      <c r="P2683" s="198" t="s">
        <v>2272</v>
      </c>
      <c r="Q2683" s="198" t="s">
        <v>2272</v>
      </c>
      <c r="R2683" s="198" t="s">
        <v>2272</v>
      </c>
      <c r="S2683" s="198" t="s">
        <v>2272</v>
      </c>
      <c r="T2683" s="198" t="s">
        <v>2272</v>
      </c>
      <c r="U2683" s="198" t="s">
        <v>2272</v>
      </c>
      <c r="V2683" s="198" t="s">
        <v>2272</v>
      </c>
      <c r="W2683" s="198" t="s">
        <v>2272</v>
      </c>
      <c r="X2683" s="198" t="s">
        <v>2272</v>
      </c>
      <c r="Y2683" s="198" t="s">
        <v>67</v>
      </c>
      <c r="Z2683" s="198" t="s">
        <v>84</v>
      </c>
      <c r="AA2683" s="198" t="s">
        <v>75</v>
      </c>
      <c r="AB2683" s="198"/>
      <c r="AC2683" s="198"/>
    </row>
    <row r="2684" spans="1:29" ht="34.5" customHeight="1">
      <c r="A2684" s="151" t="str">
        <f>'Reported burning'!A2684</f>
        <v>305w</v>
      </c>
      <c r="B2684" s="151" t="str">
        <f>'Reported burning'!B2684</f>
        <v>305w.1</v>
      </c>
      <c r="C2684" s="151" t="str">
        <f>'Reported burning'!C2684</f>
        <v>Human, deliberate</v>
      </c>
      <c r="D2684" s="151" t="str">
        <f>'Reported burning'!D2684</f>
        <v>Pyrome management</v>
      </c>
      <c r="E2684" s="151" t="str">
        <f>'Reported burning'!E2684</f>
        <v>Fire suppression agent</v>
      </c>
      <c r="F2684" s="151" t="str">
        <f>'Reported burning'!F2684</f>
        <v>ND</v>
      </c>
      <c r="G2684" s="151" t="str">
        <f>'Reported burning'!G2684</f>
        <v>ND</v>
      </c>
      <c r="H2684" s="151" t="str">
        <f>'Reported burning'!H2684</f>
        <v>Presence</v>
      </c>
      <c r="I2684" s="5"/>
      <c r="J2684" s="198" t="s">
        <v>2272</v>
      </c>
      <c r="K2684" s="198" t="s">
        <v>2272</v>
      </c>
      <c r="L2684" s="198" t="s">
        <v>2272</v>
      </c>
      <c r="M2684" s="198" t="s">
        <v>2272</v>
      </c>
      <c r="N2684" s="198" t="s">
        <v>2272</v>
      </c>
      <c r="O2684" s="198" t="s">
        <v>2272</v>
      </c>
      <c r="P2684" s="198" t="s">
        <v>2272</v>
      </c>
      <c r="Q2684" s="198" t="s">
        <v>2272</v>
      </c>
      <c r="R2684" s="198" t="s">
        <v>2272</v>
      </c>
      <c r="S2684" s="198" t="s">
        <v>2272</v>
      </c>
      <c r="T2684" s="198" t="s">
        <v>2272</v>
      </c>
      <c r="U2684" s="198" t="s">
        <v>2272</v>
      </c>
      <c r="V2684" s="198" t="s">
        <v>2272</v>
      </c>
      <c r="W2684" s="198" t="s">
        <v>2272</v>
      </c>
      <c r="X2684" s="198" t="s">
        <v>2272</v>
      </c>
      <c r="Y2684" s="198" t="s">
        <v>67</v>
      </c>
      <c r="Z2684" s="198" t="s">
        <v>84</v>
      </c>
      <c r="AA2684" s="198" t="s">
        <v>75</v>
      </c>
      <c r="AB2684" s="198"/>
      <c r="AC2684" s="198"/>
    </row>
    <row r="2685" spans="1:29" ht="34.5" customHeight="1">
      <c r="A2685" s="151" t="str">
        <f>'Reported burning'!A2685</f>
        <v>305x</v>
      </c>
      <c r="B2685" s="151" t="str">
        <f>'Reported burning'!B2685</f>
        <v>305x.1</v>
      </c>
      <c r="C2685" s="151" t="str">
        <f>'Reported burning'!C2685</f>
        <v>Human, deliberate</v>
      </c>
      <c r="D2685" s="151" t="str">
        <f>'Reported burning'!D2685</f>
        <v>Pyrome management</v>
      </c>
      <c r="E2685" s="151" t="str">
        <f>'Reported burning'!E2685</f>
        <v>Fire suppression agent</v>
      </c>
      <c r="F2685" s="151" t="str">
        <f>'Reported burning'!F2685</f>
        <v>ND</v>
      </c>
      <c r="G2685" s="151" t="str">
        <f>'Reported burning'!G2685</f>
        <v>ND</v>
      </c>
      <c r="H2685" s="151" t="str">
        <f>'Reported burning'!H2685</f>
        <v>Presence</v>
      </c>
      <c r="I2685" s="5"/>
      <c r="J2685" s="198" t="s">
        <v>2272</v>
      </c>
      <c r="K2685" s="198" t="s">
        <v>2272</v>
      </c>
      <c r="L2685" s="198" t="s">
        <v>2272</v>
      </c>
      <c r="M2685" s="198" t="s">
        <v>2272</v>
      </c>
      <c r="N2685" s="198" t="s">
        <v>2272</v>
      </c>
      <c r="O2685" s="198" t="s">
        <v>2272</v>
      </c>
      <c r="P2685" s="198" t="s">
        <v>2272</v>
      </c>
      <c r="Q2685" s="198" t="s">
        <v>2272</v>
      </c>
      <c r="R2685" s="198" t="s">
        <v>2272</v>
      </c>
      <c r="S2685" s="198" t="s">
        <v>2272</v>
      </c>
      <c r="T2685" s="198" t="s">
        <v>2272</v>
      </c>
      <c r="U2685" s="198" t="s">
        <v>2272</v>
      </c>
      <c r="V2685" s="198" t="s">
        <v>2272</v>
      </c>
      <c r="W2685" s="198" t="s">
        <v>2272</v>
      </c>
      <c r="X2685" s="198" t="s">
        <v>2272</v>
      </c>
      <c r="Y2685" s="198" t="s">
        <v>67</v>
      </c>
      <c r="Z2685" s="198" t="s">
        <v>84</v>
      </c>
      <c r="AA2685" s="198" t="s">
        <v>75</v>
      </c>
      <c r="AB2685" s="198"/>
      <c r="AC2685" s="198"/>
    </row>
    <row r="2686" spans="1:29" ht="34.5" customHeight="1">
      <c r="A2686" s="151" t="str">
        <f>'Reported burning'!A2686</f>
        <v>305y</v>
      </c>
      <c r="B2686" s="151" t="str">
        <f>'Reported burning'!B2686</f>
        <v>305y.1</v>
      </c>
      <c r="C2686" s="151" t="str">
        <f>'Reported burning'!C2686</f>
        <v>Human, deliberate</v>
      </c>
      <c r="D2686" s="151" t="str">
        <f>'Reported burning'!D2686</f>
        <v>Pyrome management</v>
      </c>
      <c r="E2686" s="151" t="str">
        <f>'Reported burning'!E2686</f>
        <v>Fire suppression agent</v>
      </c>
      <c r="F2686" s="151" t="str">
        <f>'Reported burning'!F2686</f>
        <v>ND</v>
      </c>
      <c r="G2686" s="151" t="str">
        <f>'Reported burning'!G2686</f>
        <v>ND</v>
      </c>
      <c r="H2686" s="151" t="str">
        <f>'Reported burning'!H2686</f>
        <v>Presence</v>
      </c>
      <c r="I2686" s="5"/>
      <c r="J2686" s="198" t="s">
        <v>2272</v>
      </c>
      <c r="K2686" s="198" t="s">
        <v>2272</v>
      </c>
      <c r="L2686" s="198" t="s">
        <v>2272</v>
      </c>
      <c r="M2686" s="198" t="s">
        <v>2272</v>
      </c>
      <c r="N2686" s="198" t="s">
        <v>2272</v>
      </c>
      <c r="O2686" s="198" t="s">
        <v>2272</v>
      </c>
      <c r="P2686" s="198" t="s">
        <v>2272</v>
      </c>
      <c r="Q2686" s="198" t="s">
        <v>2272</v>
      </c>
      <c r="R2686" s="198" t="s">
        <v>2272</v>
      </c>
      <c r="S2686" s="198" t="s">
        <v>2272</v>
      </c>
      <c r="T2686" s="198" t="s">
        <v>2272</v>
      </c>
      <c r="U2686" s="198" t="s">
        <v>2272</v>
      </c>
      <c r="V2686" s="198" t="s">
        <v>2272</v>
      </c>
      <c r="W2686" s="198" t="s">
        <v>2272</v>
      </c>
      <c r="X2686" s="198" t="s">
        <v>2272</v>
      </c>
      <c r="Y2686" s="198" t="s">
        <v>67</v>
      </c>
      <c r="Z2686" s="198" t="s">
        <v>84</v>
      </c>
      <c r="AA2686" s="198" t="s">
        <v>75</v>
      </c>
      <c r="AB2686" s="198"/>
      <c r="AC2686" s="198"/>
    </row>
    <row r="2687" spans="1:29" ht="34.5" customHeight="1">
      <c r="A2687" s="151" t="str">
        <f>'Reported burning'!A2687</f>
        <v>305z</v>
      </c>
      <c r="B2687" s="151" t="str">
        <f>'Reported burning'!B2687</f>
        <v>305z.1</v>
      </c>
      <c r="C2687" s="151" t="str">
        <f>'Reported burning'!C2687</f>
        <v>Human, deliberate</v>
      </c>
      <c r="D2687" s="151" t="str">
        <f>'Reported burning'!D2687</f>
        <v>Pyrome management</v>
      </c>
      <c r="E2687" s="151" t="str">
        <f>'Reported burning'!E2687</f>
        <v>Fire suppression agent</v>
      </c>
      <c r="F2687" s="151" t="str">
        <f>'Reported burning'!F2687</f>
        <v>ND</v>
      </c>
      <c r="G2687" s="151" t="str">
        <f>'Reported burning'!G2687</f>
        <v>ND</v>
      </c>
      <c r="H2687" s="151" t="str">
        <f>'Reported burning'!H2687</f>
        <v>Presence</v>
      </c>
      <c r="I2687" s="5"/>
      <c r="J2687" s="198" t="s">
        <v>2272</v>
      </c>
      <c r="K2687" s="198" t="s">
        <v>2272</v>
      </c>
      <c r="L2687" s="198" t="s">
        <v>2272</v>
      </c>
      <c r="M2687" s="198" t="s">
        <v>2272</v>
      </c>
      <c r="N2687" s="198" t="s">
        <v>2272</v>
      </c>
      <c r="O2687" s="198" t="s">
        <v>2272</v>
      </c>
      <c r="P2687" s="198" t="s">
        <v>2272</v>
      </c>
      <c r="Q2687" s="198" t="s">
        <v>2272</v>
      </c>
      <c r="R2687" s="198" t="s">
        <v>2272</v>
      </c>
      <c r="S2687" s="198" t="s">
        <v>2272</v>
      </c>
      <c r="T2687" s="198" t="s">
        <v>2272</v>
      </c>
      <c r="U2687" s="198" t="s">
        <v>2272</v>
      </c>
      <c r="V2687" s="198" t="s">
        <v>2272</v>
      </c>
      <c r="W2687" s="198" t="s">
        <v>2272</v>
      </c>
      <c r="X2687" s="198" t="s">
        <v>2272</v>
      </c>
      <c r="Y2687" s="198" t="s">
        <v>67</v>
      </c>
      <c r="Z2687" s="198" t="s">
        <v>84</v>
      </c>
      <c r="AA2687" s="198" t="s">
        <v>75</v>
      </c>
      <c r="AB2687" s="198"/>
      <c r="AC2687" s="198"/>
    </row>
    <row r="2688" spans="1:29" ht="34.5" customHeight="1">
      <c r="A2688" s="151" t="str">
        <f>'Reported burning'!A2688</f>
        <v>305aa</v>
      </c>
      <c r="B2688" s="151" t="str">
        <f>'Reported burning'!B2688</f>
        <v>305aa.1</v>
      </c>
      <c r="C2688" s="151" t="str">
        <f>'Reported burning'!C2688</f>
        <v>Human, deliberate</v>
      </c>
      <c r="D2688" s="151" t="str">
        <f>'Reported burning'!D2688</f>
        <v>Pyrome management</v>
      </c>
      <c r="E2688" s="151" t="str">
        <f>'Reported burning'!E2688</f>
        <v>Fire suppression agent</v>
      </c>
      <c r="F2688" s="151" t="str">
        <f>'Reported burning'!F2688</f>
        <v>ND</v>
      </c>
      <c r="G2688" s="151" t="str">
        <f>'Reported burning'!G2688</f>
        <v>ND</v>
      </c>
      <c r="H2688" s="151" t="str">
        <f>'Reported burning'!H2688</f>
        <v>Presence</v>
      </c>
      <c r="I2688" s="5"/>
      <c r="J2688" s="198" t="s">
        <v>2272</v>
      </c>
      <c r="K2688" s="198" t="s">
        <v>2272</v>
      </c>
      <c r="L2688" s="198" t="s">
        <v>2272</v>
      </c>
      <c r="M2688" s="198" t="s">
        <v>2272</v>
      </c>
      <c r="N2688" s="198" t="s">
        <v>2272</v>
      </c>
      <c r="O2688" s="198" t="s">
        <v>2272</v>
      </c>
      <c r="P2688" s="198" t="s">
        <v>2272</v>
      </c>
      <c r="Q2688" s="198" t="s">
        <v>2272</v>
      </c>
      <c r="R2688" s="198" t="s">
        <v>2272</v>
      </c>
      <c r="S2688" s="198" t="s">
        <v>2272</v>
      </c>
      <c r="T2688" s="198" t="s">
        <v>2272</v>
      </c>
      <c r="U2688" s="198" t="s">
        <v>2272</v>
      </c>
      <c r="V2688" s="198" t="s">
        <v>2272</v>
      </c>
      <c r="W2688" s="198" t="s">
        <v>2272</v>
      </c>
      <c r="X2688" s="198" t="s">
        <v>2272</v>
      </c>
      <c r="Y2688" s="198" t="s">
        <v>67</v>
      </c>
      <c r="Z2688" s="198" t="s">
        <v>84</v>
      </c>
      <c r="AA2688" s="198" t="s">
        <v>75</v>
      </c>
      <c r="AB2688" s="198"/>
      <c r="AC2688" s="198"/>
    </row>
    <row r="2689" spans="1:29" ht="34.5" customHeight="1">
      <c r="A2689" s="151" t="str">
        <f>'Reported burning'!A2689</f>
        <v>305ab</v>
      </c>
      <c r="B2689" s="151" t="str">
        <f>'Reported burning'!B2689</f>
        <v>305ab.1</v>
      </c>
      <c r="C2689" s="151" t="str">
        <f>'Reported burning'!C2689</f>
        <v>Human, deliberate</v>
      </c>
      <c r="D2689" s="151" t="str">
        <f>'Reported burning'!D2689</f>
        <v>Pyrome management</v>
      </c>
      <c r="E2689" s="151" t="str">
        <f>'Reported burning'!E2689</f>
        <v>Fire suppression agent</v>
      </c>
      <c r="F2689" s="151" t="str">
        <f>'Reported burning'!F2689</f>
        <v>ND</v>
      </c>
      <c r="G2689" s="151" t="str">
        <f>'Reported burning'!G2689</f>
        <v>ND</v>
      </c>
      <c r="H2689" s="151" t="str">
        <f>'Reported burning'!H2689</f>
        <v>Presence</v>
      </c>
      <c r="I2689" s="5"/>
      <c r="J2689" s="198" t="s">
        <v>2272</v>
      </c>
      <c r="K2689" s="198" t="s">
        <v>2272</v>
      </c>
      <c r="L2689" s="198" t="s">
        <v>2272</v>
      </c>
      <c r="M2689" s="198" t="s">
        <v>2272</v>
      </c>
      <c r="N2689" s="198" t="s">
        <v>2272</v>
      </c>
      <c r="O2689" s="198" t="s">
        <v>2272</v>
      </c>
      <c r="P2689" s="198" t="s">
        <v>2272</v>
      </c>
      <c r="Q2689" s="198" t="s">
        <v>2272</v>
      </c>
      <c r="R2689" s="198" t="s">
        <v>2272</v>
      </c>
      <c r="S2689" s="198" t="s">
        <v>2272</v>
      </c>
      <c r="T2689" s="198" t="s">
        <v>2272</v>
      </c>
      <c r="U2689" s="198" t="s">
        <v>2272</v>
      </c>
      <c r="V2689" s="198" t="s">
        <v>2272</v>
      </c>
      <c r="W2689" s="198" t="s">
        <v>2272</v>
      </c>
      <c r="X2689" s="198" t="s">
        <v>2272</v>
      </c>
      <c r="Y2689" s="198" t="s">
        <v>67</v>
      </c>
      <c r="Z2689" s="198" t="s">
        <v>84</v>
      </c>
      <c r="AA2689" s="198" t="s">
        <v>75</v>
      </c>
      <c r="AB2689" s="198"/>
      <c r="AC2689" s="198"/>
    </row>
    <row r="2690" spans="1:29" ht="34.5" customHeight="1">
      <c r="A2690" s="151" t="str">
        <f>'Reported burning'!A2690</f>
        <v>305ac</v>
      </c>
      <c r="B2690" s="151" t="str">
        <f>'Reported burning'!B2690</f>
        <v>305ac.1</v>
      </c>
      <c r="C2690" s="151" t="str">
        <f>'Reported burning'!C2690</f>
        <v>Human, deliberate</v>
      </c>
      <c r="D2690" s="151" t="str">
        <f>'Reported burning'!D2690</f>
        <v>Pyrome management</v>
      </c>
      <c r="E2690" s="151" t="str">
        <f>'Reported burning'!E2690</f>
        <v>Fire suppression agent</v>
      </c>
      <c r="F2690" s="151" t="str">
        <f>'Reported burning'!F2690</f>
        <v>ND</v>
      </c>
      <c r="G2690" s="151" t="str">
        <f>'Reported burning'!G2690</f>
        <v>ND</v>
      </c>
      <c r="H2690" s="151" t="str">
        <f>'Reported burning'!H2690</f>
        <v>Presence</v>
      </c>
      <c r="I2690" s="5"/>
      <c r="J2690" s="198" t="s">
        <v>2272</v>
      </c>
      <c r="K2690" s="198" t="s">
        <v>2272</v>
      </c>
      <c r="L2690" s="198" t="s">
        <v>2272</v>
      </c>
      <c r="M2690" s="198" t="s">
        <v>2272</v>
      </c>
      <c r="N2690" s="198" t="s">
        <v>2272</v>
      </c>
      <c r="O2690" s="198" t="s">
        <v>2272</v>
      </c>
      <c r="P2690" s="198" t="s">
        <v>2272</v>
      </c>
      <c r="Q2690" s="198" t="s">
        <v>2272</v>
      </c>
      <c r="R2690" s="198" t="s">
        <v>2272</v>
      </c>
      <c r="S2690" s="198" t="s">
        <v>2272</v>
      </c>
      <c r="T2690" s="198" t="s">
        <v>2272</v>
      </c>
      <c r="U2690" s="198" t="s">
        <v>2272</v>
      </c>
      <c r="V2690" s="198" t="s">
        <v>2272</v>
      </c>
      <c r="W2690" s="198" t="s">
        <v>2272</v>
      </c>
      <c r="X2690" s="198" t="s">
        <v>2272</v>
      </c>
      <c r="Y2690" s="198" t="s">
        <v>67</v>
      </c>
      <c r="Z2690" s="198" t="s">
        <v>84</v>
      </c>
      <c r="AA2690" s="198" t="s">
        <v>75</v>
      </c>
      <c r="AB2690" s="198"/>
      <c r="AC2690" s="198"/>
    </row>
    <row r="2691" spans="1:29" ht="34.5" customHeight="1">
      <c r="A2691" s="151" t="str">
        <f>'Reported burning'!A2691</f>
        <v>305ad</v>
      </c>
      <c r="B2691" s="151" t="str">
        <f>'Reported burning'!B2691</f>
        <v>305ad.1</v>
      </c>
      <c r="C2691" s="151" t="str">
        <f>'Reported burning'!C2691</f>
        <v>Human, deliberate</v>
      </c>
      <c r="D2691" s="151" t="str">
        <f>'Reported burning'!D2691</f>
        <v>Pyrome management</v>
      </c>
      <c r="E2691" s="151" t="str">
        <f>'Reported burning'!E2691</f>
        <v>Fire suppression agent</v>
      </c>
      <c r="F2691" s="151" t="str">
        <f>'Reported burning'!F2691</f>
        <v>ND</v>
      </c>
      <c r="G2691" s="151" t="str">
        <f>'Reported burning'!G2691</f>
        <v>ND</v>
      </c>
      <c r="H2691" s="151" t="str">
        <f>'Reported burning'!H2691</f>
        <v>Presence</v>
      </c>
      <c r="I2691" s="5"/>
      <c r="J2691" s="198" t="s">
        <v>2272</v>
      </c>
      <c r="K2691" s="198" t="s">
        <v>2272</v>
      </c>
      <c r="L2691" s="198" t="s">
        <v>2272</v>
      </c>
      <c r="M2691" s="198" t="s">
        <v>2272</v>
      </c>
      <c r="N2691" s="198" t="s">
        <v>2272</v>
      </c>
      <c r="O2691" s="198" t="s">
        <v>2272</v>
      </c>
      <c r="P2691" s="198" t="s">
        <v>2272</v>
      </c>
      <c r="Q2691" s="198" t="s">
        <v>2272</v>
      </c>
      <c r="R2691" s="198" t="s">
        <v>2272</v>
      </c>
      <c r="S2691" s="198" t="s">
        <v>2272</v>
      </c>
      <c r="T2691" s="198" t="s">
        <v>2272</v>
      </c>
      <c r="U2691" s="198" t="s">
        <v>2272</v>
      </c>
      <c r="V2691" s="198" t="s">
        <v>2272</v>
      </c>
      <c r="W2691" s="198" t="s">
        <v>2272</v>
      </c>
      <c r="X2691" s="198" t="s">
        <v>2272</v>
      </c>
      <c r="Y2691" s="198" t="s">
        <v>67</v>
      </c>
      <c r="Z2691" s="198" t="s">
        <v>84</v>
      </c>
      <c r="AA2691" s="198" t="s">
        <v>75</v>
      </c>
      <c r="AB2691" s="198"/>
      <c r="AC2691" s="198"/>
    </row>
    <row r="2692" spans="1:29" ht="34.5" customHeight="1">
      <c r="A2692" s="151" t="str">
        <f>'Reported burning'!A2692</f>
        <v>305ae</v>
      </c>
      <c r="B2692" s="151" t="str">
        <f>'Reported burning'!B2692</f>
        <v>305ae.1</v>
      </c>
      <c r="C2692" s="151" t="str">
        <f>'Reported burning'!C2692</f>
        <v>Human, deliberate</v>
      </c>
      <c r="D2692" s="151" t="str">
        <f>'Reported burning'!D2692</f>
        <v>Pyrome management</v>
      </c>
      <c r="E2692" s="151" t="str">
        <f>'Reported burning'!E2692</f>
        <v>Fire suppression agent</v>
      </c>
      <c r="F2692" s="151" t="str">
        <f>'Reported burning'!F2692</f>
        <v>ND</v>
      </c>
      <c r="G2692" s="151" t="str">
        <f>'Reported burning'!G2692</f>
        <v>ND</v>
      </c>
      <c r="H2692" s="151" t="str">
        <f>'Reported burning'!H2692</f>
        <v>Presence</v>
      </c>
      <c r="I2692" s="5"/>
      <c r="J2692" s="198" t="s">
        <v>2272</v>
      </c>
      <c r="K2692" s="198" t="s">
        <v>2272</v>
      </c>
      <c r="L2692" s="198" t="s">
        <v>2272</v>
      </c>
      <c r="M2692" s="198" t="s">
        <v>2272</v>
      </c>
      <c r="N2692" s="198" t="s">
        <v>2272</v>
      </c>
      <c r="O2692" s="198" t="s">
        <v>2272</v>
      </c>
      <c r="P2692" s="198" t="s">
        <v>2272</v>
      </c>
      <c r="Q2692" s="198" t="s">
        <v>2272</v>
      </c>
      <c r="R2692" s="198" t="s">
        <v>2272</v>
      </c>
      <c r="S2692" s="198" t="s">
        <v>2272</v>
      </c>
      <c r="T2692" s="198" t="s">
        <v>2272</v>
      </c>
      <c r="U2692" s="198" t="s">
        <v>2272</v>
      </c>
      <c r="V2692" s="198" t="s">
        <v>2272</v>
      </c>
      <c r="W2692" s="198" t="s">
        <v>2272</v>
      </c>
      <c r="X2692" s="198" t="s">
        <v>2272</v>
      </c>
      <c r="Y2692" s="198" t="s">
        <v>67</v>
      </c>
      <c r="Z2692" s="198" t="s">
        <v>84</v>
      </c>
      <c r="AA2692" s="198" t="s">
        <v>75</v>
      </c>
      <c r="AB2692" s="198"/>
      <c r="AC2692" s="198"/>
    </row>
    <row r="2693" spans="1:29" ht="34.5" customHeight="1">
      <c r="A2693" s="151" t="str">
        <f>'Reported burning'!A2693</f>
        <v>305n</v>
      </c>
      <c r="B2693" s="151" t="str">
        <f>'Reported burning'!B2693</f>
        <v>305n.2</v>
      </c>
      <c r="C2693" s="151" t="str">
        <f>'Reported burning'!C2693</f>
        <v>Human, deliberate</v>
      </c>
      <c r="D2693" s="151" t="str">
        <f>'Reported burning'!D2693</f>
        <v>Pyrome management</v>
      </c>
      <c r="E2693" s="151" t="str">
        <f>'Reported burning'!E2693</f>
        <v>Fire suppression agent</v>
      </c>
      <c r="F2693" s="151" t="str">
        <f>'Reported burning'!F2693</f>
        <v>ND</v>
      </c>
      <c r="G2693" s="151" t="str">
        <f>'Reported burning'!G2693</f>
        <v>ND</v>
      </c>
      <c r="H2693" s="151" t="str">
        <f>'Reported burning'!H2693</f>
        <v>Presence</v>
      </c>
      <c r="I2693" s="5"/>
      <c r="J2693" s="198" t="s">
        <v>2272</v>
      </c>
      <c r="K2693" s="198" t="s">
        <v>2272</v>
      </c>
      <c r="L2693" s="198" t="s">
        <v>2272</v>
      </c>
      <c r="M2693" s="198" t="s">
        <v>2272</v>
      </c>
      <c r="N2693" s="198" t="s">
        <v>2272</v>
      </c>
      <c r="O2693" s="198" t="s">
        <v>2272</v>
      </c>
      <c r="P2693" s="198" t="s">
        <v>2272</v>
      </c>
      <c r="Q2693" s="198" t="s">
        <v>2272</v>
      </c>
      <c r="R2693" s="198" t="s">
        <v>2272</v>
      </c>
      <c r="S2693" s="198" t="s">
        <v>2272</v>
      </c>
      <c r="T2693" s="198" t="s">
        <v>2272</v>
      </c>
      <c r="U2693" s="198" t="s">
        <v>2272</v>
      </c>
      <c r="V2693" s="198" t="s">
        <v>2272</v>
      </c>
      <c r="W2693" s="198" t="s">
        <v>2272</v>
      </c>
      <c r="X2693" s="198" t="s">
        <v>2272</v>
      </c>
      <c r="Y2693" s="198" t="s">
        <v>67</v>
      </c>
      <c r="Z2693" s="198" t="s">
        <v>84</v>
      </c>
      <c r="AA2693" s="198" t="s">
        <v>75</v>
      </c>
      <c r="AB2693" s="198"/>
      <c r="AC2693" s="198"/>
    </row>
    <row r="2694" spans="1:29" ht="34.5" customHeight="1">
      <c r="A2694" s="151" t="str">
        <f>'Reported burning'!A2694</f>
        <v>305o</v>
      </c>
      <c r="B2694" s="151" t="str">
        <f>'Reported burning'!B2694</f>
        <v>305o.2</v>
      </c>
      <c r="C2694" s="151" t="str">
        <f>'Reported burning'!C2694</f>
        <v>Human, deliberate</v>
      </c>
      <c r="D2694" s="151" t="str">
        <f>'Reported burning'!D2694</f>
        <v>Pyrome management</v>
      </c>
      <c r="E2694" s="151" t="str">
        <f>'Reported burning'!E2694</f>
        <v>Fire suppression agent</v>
      </c>
      <c r="F2694" s="151" t="str">
        <f>'Reported burning'!F2694</f>
        <v>ND</v>
      </c>
      <c r="G2694" s="151" t="str">
        <f>'Reported burning'!G2694</f>
        <v>ND</v>
      </c>
      <c r="H2694" s="151" t="str">
        <f>'Reported burning'!H2694</f>
        <v>Presence</v>
      </c>
      <c r="I2694" s="5"/>
      <c r="J2694" s="198" t="s">
        <v>2272</v>
      </c>
      <c r="K2694" s="198" t="s">
        <v>2272</v>
      </c>
      <c r="L2694" s="198" t="s">
        <v>2272</v>
      </c>
      <c r="M2694" s="198" t="s">
        <v>2272</v>
      </c>
      <c r="N2694" s="198" t="s">
        <v>2272</v>
      </c>
      <c r="O2694" s="198" t="s">
        <v>2272</v>
      </c>
      <c r="P2694" s="198" t="s">
        <v>2272</v>
      </c>
      <c r="Q2694" s="198" t="s">
        <v>2272</v>
      </c>
      <c r="R2694" s="198" t="s">
        <v>2272</v>
      </c>
      <c r="S2694" s="198" t="s">
        <v>2272</v>
      </c>
      <c r="T2694" s="198" t="s">
        <v>2272</v>
      </c>
      <c r="U2694" s="198" t="s">
        <v>2272</v>
      </c>
      <c r="V2694" s="198" t="s">
        <v>2272</v>
      </c>
      <c r="W2694" s="198" t="s">
        <v>2272</v>
      </c>
      <c r="X2694" s="198" t="s">
        <v>2272</v>
      </c>
      <c r="Y2694" s="198" t="s">
        <v>67</v>
      </c>
      <c r="Z2694" s="198" t="s">
        <v>84</v>
      </c>
      <c r="AA2694" s="198" t="s">
        <v>75</v>
      </c>
      <c r="AB2694" s="198"/>
      <c r="AC2694" s="198"/>
    </row>
    <row r="2695" spans="1:29" ht="34.5" customHeight="1">
      <c r="A2695" s="151" t="str">
        <f>'Reported burning'!A2695</f>
        <v>305p</v>
      </c>
      <c r="B2695" s="151" t="str">
        <f>'Reported burning'!B2695</f>
        <v>305p.2</v>
      </c>
      <c r="C2695" s="151" t="str">
        <f>'Reported burning'!C2695</f>
        <v>Human, deliberate</v>
      </c>
      <c r="D2695" s="151" t="str">
        <f>'Reported burning'!D2695</f>
        <v>Pyrome management</v>
      </c>
      <c r="E2695" s="151" t="str">
        <f>'Reported burning'!E2695</f>
        <v>Fire suppression agent</v>
      </c>
      <c r="F2695" s="151" t="str">
        <f>'Reported burning'!F2695</f>
        <v>ND</v>
      </c>
      <c r="G2695" s="151" t="str">
        <f>'Reported burning'!G2695</f>
        <v>ND</v>
      </c>
      <c r="H2695" s="151" t="str">
        <f>'Reported burning'!H2695</f>
        <v>Presence</v>
      </c>
      <c r="I2695" s="5"/>
      <c r="J2695" s="198" t="s">
        <v>2272</v>
      </c>
      <c r="K2695" s="198" t="s">
        <v>2272</v>
      </c>
      <c r="L2695" s="198" t="s">
        <v>2272</v>
      </c>
      <c r="M2695" s="198" t="s">
        <v>2272</v>
      </c>
      <c r="N2695" s="198" t="s">
        <v>2272</v>
      </c>
      <c r="O2695" s="198" t="s">
        <v>2272</v>
      </c>
      <c r="P2695" s="198" t="s">
        <v>2272</v>
      </c>
      <c r="Q2695" s="198" t="s">
        <v>2272</v>
      </c>
      <c r="R2695" s="198" t="s">
        <v>2272</v>
      </c>
      <c r="S2695" s="198" t="s">
        <v>2272</v>
      </c>
      <c r="T2695" s="198" t="s">
        <v>2272</v>
      </c>
      <c r="U2695" s="198" t="s">
        <v>2272</v>
      </c>
      <c r="V2695" s="198" t="s">
        <v>2272</v>
      </c>
      <c r="W2695" s="198" t="s">
        <v>2272</v>
      </c>
      <c r="X2695" s="198" t="s">
        <v>2272</v>
      </c>
      <c r="Y2695" s="198" t="s">
        <v>67</v>
      </c>
      <c r="Z2695" s="198" t="s">
        <v>84</v>
      </c>
      <c r="AA2695" s="198" t="s">
        <v>75</v>
      </c>
      <c r="AB2695" s="198"/>
      <c r="AC2695" s="198"/>
    </row>
    <row r="2696" spans="1:29" ht="34.5" customHeight="1">
      <c r="A2696" s="151" t="str">
        <f>'Reported burning'!A2696</f>
        <v>305q</v>
      </c>
      <c r="B2696" s="151" t="str">
        <f>'Reported burning'!B2696</f>
        <v>305q.2</v>
      </c>
      <c r="C2696" s="151" t="str">
        <f>'Reported burning'!C2696</f>
        <v>Human, deliberate</v>
      </c>
      <c r="D2696" s="151" t="str">
        <f>'Reported burning'!D2696</f>
        <v>Pyrome management</v>
      </c>
      <c r="E2696" s="151" t="str">
        <f>'Reported burning'!E2696</f>
        <v>Fire suppression agent</v>
      </c>
      <c r="F2696" s="151" t="str">
        <f>'Reported burning'!F2696</f>
        <v>ND</v>
      </c>
      <c r="G2696" s="151" t="str">
        <f>'Reported burning'!G2696</f>
        <v>ND</v>
      </c>
      <c r="H2696" s="151" t="str">
        <f>'Reported burning'!H2696</f>
        <v>Presence</v>
      </c>
      <c r="I2696" s="5"/>
      <c r="J2696" s="198" t="s">
        <v>2272</v>
      </c>
      <c r="K2696" s="198" t="s">
        <v>2272</v>
      </c>
      <c r="L2696" s="198" t="s">
        <v>2272</v>
      </c>
      <c r="M2696" s="198" t="s">
        <v>2272</v>
      </c>
      <c r="N2696" s="198" t="s">
        <v>2272</v>
      </c>
      <c r="O2696" s="198" t="s">
        <v>2272</v>
      </c>
      <c r="P2696" s="198" t="s">
        <v>2272</v>
      </c>
      <c r="Q2696" s="198" t="s">
        <v>2272</v>
      </c>
      <c r="R2696" s="198" t="s">
        <v>2272</v>
      </c>
      <c r="S2696" s="198" t="s">
        <v>2272</v>
      </c>
      <c r="T2696" s="198" t="s">
        <v>2272</v>
      </c>
      <c r="U2696" s="198" t="s">
        <v>2272</v>
      </c>
      <c r="V2696" s="198" t="s">
        <v>2272</v>
      </c>
      <c r="W2696" s="198" t="s">
        <v>2272</v>
      </c>
      <c r="X2696" s="198" t="s">
        <v>2272</v>
      </c>
      <c r="Y2696" s="198" t="s">
        <v>67</v>
      </c>
      <c r="Z2696" s="198" t="s">
        <v>84</v>
      </c>
      <c r="AA2696" s="198" t="s">
        <v>75</v>
      </c>
      <c r="AB2696" s="198"/>
      <c r="AC2696" s="198"/>
    </row>
    <row r="2697" spans="1:29" ht="34.5" customHeight="1">
      <c r="A2697" s="151" t="str">
        <f>'Reported burning'!A2697</f>
        <v>305r</v>
      </c>
      <c r="B2697" s="151" t="str">
        <f>'Reported burning'!B2697</f>
        <v>305r.2</v>
      </c>
      <c r="C2697" s="151" t="str">
        <f>'Reported burning'!C2697</f>
        <v>Human, deliberate</v>
      </c>
      <c r="D2697" s="151" t="str">
        <f>'Reported burning'!D2697</f>
        <v>Pyrome management</v>
      </c>
      <c r="E2697" s="151" t="str">
        <f>'Reported burning'!E2697</f>
        <v>Fire suppression agent</v>
      </c>
      <c r="F2697" s="151" t="str">
        <f>'Reported burning'!F2697</f>
        <v>ND</v>
      </c>
      <c r="G2697" s="151" t="str">
        <f>'Reported burning'!G2697</f>
        <v>ND</v>
      </c>
      <c r="H2697" s="151" t="str">
        <f>'Reported burning'!H2697</f>
        <v>Absence</v>
      </c>
      <c r="I2697" s="5"/>
      <c r="J2697" s="14" t="s">
        <v>2359</v>
      </c>
      <c r="K2697" s="14" t="s">
        <v>2359</v>
      </c>
      <c r="L2697" s="14" t="s">
        <v>2359</v>
      </c>
      <c r="M2697" s="14" t="s">
        <v>2359</v>
      </c>
      <c r="N2697" s="14" t="s">
        <v>2359</v>
      </c>
      <c r="O2697" s="14" t="s">
        <v>2359</v>
      </c>
      <c r="P2697" s="14" t="s">
        <v>2359</v>
      </c>
      <c r="Q2697" s="14" t="s">
        <v>2359</v>
      </c>
      <c r="R2697" s="14" t="s">
        <v>2359</v>
      </c>
      <c r="S2697" s="14" t="s">
        <v>2359</v>
      </c>
      <c r="T2697" s="14" t="s">
        <v>2359</v>
      </c>
      <c r="U2697" s="14" t="s">
        <v>2359</v>
      </c>
      <c r="V2697" s="14" t="s">
        <v>2359</v>
      </c>
      <c r="W2697" s="14" t="s">
        <v>2359</v>
      </c>
      <c r="X2697" s="198" t="s">
        <v>2272</v>
      </c>
      <c r="Y2697" s="198" t="s">
        <v>67</v>
      </c>
      <c r="Z2697" s="198" t="s">
        <v>84</v>
      </c>
      <c r="AA2697" s="198" t="s">
        <v>75</v>
      </c>
      <c r="AB2697" s="198"/>
      <c r="AC2697" s="198"/>
    </row>
    <row r="2698" spans="1:29" ht="34.5" customHeight="1">
      <c r="A2698" s="151" t="str">
        <f>'Reported burning'!A2698</f>
        <v>305s</v>
      </c>
      <c r="B2698" s="151" t="str">
        <f>'Reported burning'!B2698</f>
        <v>305s.2</v>
      </c>
      <c r="C2698" s="151" t="str">
        <f>'Reported burning'!C2698</f>
        <v>Human, deliberate</v>
      </c>
      <c r="D2698" s="151" t="str">
        <f>'Reported burning'!D2698</f>
        <v>Pyrome management</v>
      </c>
      <c r="E2698" s="151" t="str">
        <f>'Reported burning'!E2698</f>
        <v>Fire suppression agent</v>
      </c>
      <c r="F2698" s="151" t="str">
        <f>'Reported burning'!F2698</f>
        <v>ND</v>
      </c>
      <c r="G2698" s="151" t="str">
        <f>'Reported burning'!G2698</f>
        <v>ND</v>
      </c>
      <c r="H2698" s="151" t="str">
        <f>'Reported burning'!H2698</f>
        <v>Absence</v>
      </c>
      <c r="I2698" s="5"/>
      <c r="J2698" s="14" t="s">
        <v>2359</v>
      </c>
      <c r="K2698" s="14" t="s">
        <v>2359</v>
      </c>
      <c r="L2698" s="14" t="s">
        <v>2359</v>
      </c>
      <c r="M2698" s="14" t="s">
        <v>2359</v>
      </c>
      <c r="N2698" s="14" t="s">
        <v>2359</v>
      </c>
      <c r="O2698" s="14" t="s">
        <v>2359</v>
      </c>
      <c r="P2698" s="14" t="s">
        <v>2359</v>
      </c>
      <c r="Q2698" s="14" t="s">
        <v>2359</v>
      </c>
      <c r="R2698" s="14" t="s">
        <v>2359</v>
      </c>
      <c r="S2698" s="14" t="s">
        <v>2359</v>
      </c>
      <c r="T2698" s="14" t="s">
        <v>2359</v>
      </c>
      <c r="U2698" s="14" t="s">
        <v>2359</v>
      </c>
      <c r="V2698" s="14" t="s">
        <v>2359</v>
      </c>
      <c r="W2698" s="14" t="s">
        <v>2359</v>
      </c>
      <c r="X2698" s="198" t="s">
        <v>2272</v>
      </c>
      <c r="Y2698" s="198" t="s">
        <v>67</v>
      </c>
      <c r="Z2698" s="198" t="s">
        <v>84</v>
      </c>
      <c r="AA2698" s="198" t="s">
        <v>75</v>
      </c>
      <c r="AB2698" s="198"/>
      <c r="AC2698" s="198"/>
    </row>
    <row r="2699" spans="1:29" ht="34.5" customHeight="1">
      <c r="A2699" s="151" t="str">
        <f>'Reported burning'!A2699</f>
        <v>305t</v>
      </c>
      <c r="B2699" s="151" t="str">
        <f>'Reported burning'!B2699</f>
        <v>305t.2</v>
      </c>
      <c r="C2699" s="151" t="str">
        <f>'Reported burning'!C2699</f>
        <v>Human, deliberate</v>
      </c>
      <c r="D2699" s="151" t="str">
        <f>'Reported burning'!D2699</f>
        <v>Pyrome management</v>
      </c>
      <c r="E2699" s="151" t="str">
        <f>'Reported burning'!E2699</f>
        <v>Fire suppression agent</v>
      </c>
      <c r="F2699" s="151" t="str">
        <f>'Reported burning'!F2699</f>
        <v>ND</v>
      </c>
      <c r="G2699" s="151" t="str">
        <f>'Reported burning'!G2699</f>
        <v>ND</v>
      </c>
      <c r="H2699" s="151" t="str">
        <f>'Reported burning'!H2699</f>
        <v>Absence</v>
      </c>
      <c r="I2699" s="5"/>
      <c r="J2699" s="14" t="s">
        <v>2359</v>
      </c>
      <c r="K2699" s="14" t="s">
        <v>2359</v>
      </c>
      <c r="L2699" s="14" t="s">
        <v>2359</v>
      </c>
      <c r="M2699" s="14" t="s">
        <v>2359</v>
      </c>
      <c r="N2699" s="14" t="s">
        <v>2359</v>
      </c>
      <c r="O2699" s="14" t="s">
        <v>2359</v>
      </c>
      <c r="P2699" s="14" t="s">
        <v>2359</v>
      </c>
      <c r="Q2699" s="14" t="s">
        <v>2359</v>
      </c>
      <c r="R2699" s="14" t="s">
        <v>2359</v>
      </c>
      <c r="S2699" s="14" t="s">
        <v>2359</v>
      </c>
      <c r="T2699" s="14" t="s">
        <v>2359</v>
      </c>
      <c r="U2699" s="14" t="s">
        <v>2359</v>
      </c>
      <c r="V2699" s="14" t="s">
        <v>2359</v>
      </c>
      <c r="W2699" s="14" t="s">
        <v>2359</v>
      </c>
      <c r="X2699" s="198" t="s">
        <v>2272</v>
      </c>
      <c r="Y2699" s="198" t="s">
        <v>67</v>
      </c>
      <c r="Z2699" s="198" t="s">
        <v>84</v>
      </c>
      <c r="AA2699" s="198" t="s">
        <v>75</v>
      </c>
      <c r="AB2699" s="198"/>
      <c r="AC2699" s="198"/>
    </row>
    <row r="2700" spans="1:29" ht="34.5" customHeight="1">
      <c r="A2700" s="151" t="str">
        <f>'Reported burning'!A2700</f>
        <v>305u</v>
      </c>
      <c r="B2700" s="151" t="str">
        <f>'Reported burning'!B2700</f>
        <v>305u.2</v>
      </c>
      <c r="C2700" s="151" t="str">
        <f>'Reported burning'!C2700</f>
        <v>Human, deliberate</v>
      </c>
      <c r="D2700" s="151" t="str">
        <f>'Reported burning'!D2700</f>
        <v>Pyrome management</v>
      </c>
      <c r="E2700" s="151" t="str">
        <f>'Reported burning'!E2700</f>
        <v>Fire suppression agent</v>
      </c>
      <c r="F2700" s="151" t="str">
        <f>'Reported burning'!F2700</f>
        <v>ND</v>
      </c>
      <c r="G2700" s="151" t="str">
        <f>'Reported burning'!G2700</f>
        <v>ND</v>
      </c>
      <c r="H2700" s="151" t="str">
        <f>'Reported burning'!H2700</f>
        <v>Presence</v>
      </c>
      <c r="I2700" s="5"/>
      <c r="J2700" s="198" t="s">
        <v>2272</v>
      </c>
      <c r="K2700" s="198" t="s">
        <v>2272</v>
      </c>
      <c r="L2700" s="198" t="s">
        <v>2272</v>
      </c>
      <c r="M2700" s="198" t="s">
        <v>2272</v>
      </c>
      <c r="N2700" s="198" t="s">
        <v>2272</v>
      </c>
      <c r="O2700" s="198" t="s">
        <v>2272</v>
      </c>
      <c r="P2700" s="198" t="s">
        <v>2272</v>
      </c>
      <c r="Q2700" s="198" t="s">
        <v>2272</v>
      </c>
      <c r="R2700" s="198" t="s">
        <v>2272</v>
      </c>
      <c r="S2700" s="198" t="s">
        <v>2272</v>
      </c>
      <c r="T2700" s="198" t="s">
        <v>2272</v>
      </c>
      <c r="U2700" s="198" t="s">
        <v>2272</v>
      </c>
      <c r="V2700" s="198" t="s">
        <v>2272</v>
      </c>
      <c r="W2700" s="198" t="s">
        <v>2272</v>
      </c>
      <c r="X2700" s="198" t="s">
        <v>2272</v>
      </c>
      <c r="Y2700" s="198" t="s">
        <v>67</v>
      </c>
      <c r="Z2700" s="198" t="s">
        <v>84</v>
      </c>
      <c r="AA2700" s="198" t="s">
        <v>75</v>
      </c>
      <c r="AB2700" s="198"/>
      <c r="AC2700" s="198"/>
    </row>
    <row r="2701" spans="1:29" ht="34.5" customHeight="1">
      <c r="A2701" s="151" t="str">
        <f>'Reported burning'!A2701</f>
        <v>305v</v>
      </c>
      <c r="B2701" s="151" t="str">
        <f>'Reported burning'!B2701</f>
        <v>305v.2</v>
      </c>
      <c r="C2701" s="151" t="str">
        <f>'Reported burning'!C2701</f>
        <v>Human, deliberate</v>
      </c>
      <c r="D2701" s="151" t="str">
        <f>'Reported burning'!D2701</f>
        <v>Pyrome management</v>
      </c>
      <c r="E2701" s="151" t="str">
        <f>'Reported burning'!E2701</f>
        <v>Fire suppression agent</v>
      </c>
      <c r="F2701" s="151" t="str">
        <f>'Reported burning'!F2701</f>
        <v>ND</v>
      </c>
      <c r="G2701" s="151" t="str">
        <f>'Reported burning'!G2701</f>
        <v>ND</v>
      </c>
      <c r="H2701" s="151" t="str">
        <f>'Reported burning'!H2701</f>
        <v>Presence</v>
      </c>
      <c r="I2701" s="5"/>
      <c r="J2701" s="198" t="s">
        <v>2272</v>
      </c>
      <c r="K2701" s="198" t="s">
        <v>2272</v>
      </c>
      <c r="L2701" s="198" t="s">
        <v>2272</v>
      </c>
      <c r="M2701" s="198" t="s">
        <v>2272</v>
      </c>
      <c r="N2701" s="198" t="s">
        <v>2272</v>
      </c>
      <c r="O2701" s="198" t="s">
        <v>2272</v>
      </c>
      <c r="P2701" s="198" t="s">
        <v>2272</v>
      </c>
      <c r="Q2701" s="198" t="s">
        <v>2272</v>
      </c>
      <c r="R2701" s="198" t="s">
        <v>2272</v>
      </c>
      <c r="S2701" s="198" t="s">
        <v>2272</v>
      </c>
      <c r="T2701" s="198" t="s">
        <v>2272</v>
      </c>
      <c r="U2701" s="198" t="s">
        <v>2272</v>
      </c>
      <c r="V2701" s="198" t="s">
        <v>2272</v>
      </c>
      <c r="W2701" s="198" t="s">
        <v>2272</v>
      </c>
      <c r="X2701" s="198" t="s">
        <v>2272</v>
      </c>
      <c r="Y2701" s="198" t="s">
        <v>67</v>
      </c>
      <c r="Z2701" s="198" t="s">
        <v>84</v>
      </c>
      <c r="AA2701" s="198" t="s">
        <v>75</v>
      </c>
      <c r="AB2701" s="198"/>
      <c r="AC2701" s="198"/>
    </row>
    <row r="2702" spans="1:29" ht="34.5" customHeight="1">
      <c r="A2702" s="151" t="str">
        <f>'Reported burning'!A2702</f>
        <v>305w</v>
      </c>
      <c r="B2702" s="151" t="str">
        <f>'Reported burning'!B2702</f>
        <v>305w.2</v>
      </c>
      <c r="C2702" s="151" t="str">
        <f>'Reported burning'!C2702</f>
        <v>Human, deliberate</v>
      </c>
      <c r="D2702" s="151" t="str">
        <f>'Reported burning'!D2702</f>
        <v>Pyrome management</v>
      </c>
      <c r="E2702" s="151" t="str">
        <f>'Reported burning'!E2702</f>
        <v>Fire suppression agent</v>
      </c>
      <c r="F2702" s="151" t="str">
        <f>'Reported burning'!F2702</f>
        <v>ND</v>
      </c>
      <c r="G2702" s="151" t="str">
        <f>'Reported burning'!G2702</f>
        <v>ND</v>
      </c>
      <c r="H2702" s="151" t="str">
        <f>'Reported burning'!H2702</f>
        <v>Presence</v>
      </c>
      <c r="I2702" s="5"/>
      <c r="J2702" s="198" t="s">
        <v>2272</v>
      </c>
      <c r="K2702" s="198" t="s">
        <v>2272</v>
      </c>
      <c r="L2702" s="198" t="s">
        <v>2272</v>
      </c>
      <c r="M2702" s="198" t="s">
        <v>2272</v>
      </c>
      <c r="N2702" s="198" t="s">
        <v>2272</v>
      </c>
      <c r="O2702" s="198" t="s">
        <v>2272</v>
      </c>
      <c r="P2702" s="198" t="s">
        <v>2272</v>
      </c>
      <c r="Q2702" s="198" t="s">
        <v>2272</v>
      </c>
      <c r="R2702" s="198" t="s">
        <v>2272</v>
      </c>
      <c r="S2702" s="198" t="s">
        <v>2272</v>
      </c>
      <c r="T2702" s="198" t="s">
        <v>2272</v>
      </c>
      <c r="U2702" s="198" t="s">
        <v>2272</v>
      </c>
      <c r="V2702" s="198" t="s">
        <v>2272</v>
      </c>
      <c r="W2702" s="198" t="s">
        <v>2272</v>
      </c>
      <c r="X2702" s="198" t="s">
        <v>2272</v>
      </c>
      <c r="Y2702" s="198" t="s">
        <v>67</v>
      </c>
      <c r="Z2702" s="198" t="s">
        <v>84</v>
      </c>
      <c r="AA2702" s="198" t="s">
        <v>75</v>
      </c>
      <c r="AB2702" s="198"/>
      <c r="AC2702" s="198"/>
    </row>
    <row r="2703" spans="1:29" ht="34.5" customHeight="1">
      <c r="A2703" s="151" t="str">
        <f>'Reported burning'!A2703</f>
        <v>305x</v>
      </c>
      <c r="B2703" s="151" t="str">
        <f>'Reported burning'!B2703</f>
        <v>305x.2</v>
      </c>
      <c r="C2703" s="151" t="str">
        <f>'Reported burning'!C2703</f>
        <v>Human, deliberate</v>
      </c>
      <c r="D2703" s="151" t="str">
        <f>'Reported burning'!D2703</f>
        <v>Pyrome management</v>
      </c>
      <c r="E2703" s="151" t="str">
        <f>'Reported burning'!E2703</f>
        <v>Fire suppression agent</v>
      </c>
      <c r="F2703" s="151" t="str">
        <f>'Reported burning'!F2703</f>
        <v>ND</v>
      </c>
      <c r="G2703" s="151" t="str">
        <f>'Reported burning'!G2703</f>
        <v>ND</v>
      </c>
      <c r="H2703" s="151" t="str">
        <f>'Reported burning'!H2703</f>
        <v>Presence</v>
      </c>
      <c r="I2703" s="5"/>
      <c r="J2703" s="198" t="s">
        <v>2272</v>
      </c>
      <c r="K2703" s="198" t="s">
        <v>2272</v>
      </c>
      <c r="L2703" s="198" t="s">
        <v>2272</v>
      </c>
      <c r="M2703" s="198" t="s">
        <v>2272</v>
      </c>
      <c r="N2703" s="198" t="s">
        <v>2272</v>
      </c>
      <c r="O2703" s="198" t="s">
        <v>2272</v>
      </c>
      <c r="P2703" s="198" t="s">
        <v>2272</v>
      </c>
      <c r="Q2703" s="198" t="s">
        <v>2272</v>
      </c>
      <c r="R2703" s="198" t="s">
        <v>2272</v>
      </c>
      <c r="S2703" s="198" t="s">
        <v>2272</v>
      </c>
      <c r="T2703" s="198" t="s">
        <v>2272</v>
      </c>
      <c r="U2703" s="198" t="s">
        <v>2272</v>
      </c>
      <c r="V2703" s="198" t="s">
        <v>2272</v>
      </c>
      <c r="W2703" s="198" t="s">
        <v>2272</v>
      </c>
      <c r="X2703" s="198" t="s">
        <v>2272</v>
      </c>
      <c r="Y2703" s="198" t="s">
        <v>67</v>
      </c>
      <c r="Z2703" s="198" t="s">
        <v>84</v>
      </c>
      <c r="AA2703" s="198" t="s">
        <v>75</v>
      </c>
      <c r="AB2703" s="198"/>
      <c r="AC2703" s="198"/>
    </row>
    <row r="2704" spans="1:29" ht="34.5" customHeight="1">
      <c r="A2704" s="151" t="str">
        <f>'Reported burning'!A2704</f>
        <v>305y</v>
      </c>
      <c r="B2704" s="151" t="str">
        <f>'Reported burning'!B2704</f>
        <v>305y.2</v>
      </c>
      <c r="C2704" s="151" t="str">
        <f>'Reported burning'!C2704</f>
        <v>Human, deliberate</v>
      </c>
      <c r="D2704" s="151" t="str">
        <f>'Reported burning'!D2704</f>
        <v>Pyrome management</v>
      </c>
      <c r="E2704" s="151" t="str">
        <f>'Reported burning'!E2704</f>
        <v>Fire suppression agent</v>
      </c>
      <c r="F2704" s="151" t="str">
        <f>'Reported burning'!F2704</f>
        <v>ND</v>
      </c>
      <c r="G2704" s="151" t="str">
        <f>'Reported burning'!G2704</f>
        <v>ND</v>
      </c>
      <c r="H2704" s="151" t="str">
        <f>'Reported burning'!H2704</f>
        <v>Presence</v>
      </c>
      <c r="I2704" s="5"/>
      <c r="J2704" s="198" t="s">
        <v>2272</v>
      </c>
      <c r="K2704" s="198" t="s">
        <v>2272</v>
      </c>
      <c r="L2704" s="198" t="s">
        <v>2272</v>
      </c>
      <c r="M2704" s="198" t="s">
        <v>2272</v>
      </c>
      <c r="N2704" s="198" t="s">
        <v>2272</v>
      </c>
      <c r="O2704" s="198" t="s">
        <v>2272</v>
      </c>
      <c r="P2704" s="198" t="s">
        <v>2272</v>
      </c>
      <c r="Q2704" s="198" t="s">
        <v>2272</v>
      </c>
      <c r="R2704" s="198" t="s">
        <v>2272</v>
      </c>
      <c r="S2704" s="198" t="s">
        <v>2272</v>
      </c>
      <c r="T2704" s="198" t="s">
        <v>2272</v>
      </c>
      <c r="U2704" s="198" t="s">
        <v>2272</v>
      </c>
      <c r="V2704" s="198" t="s">
        <v>2272</v>
      </c>
      <c r="W2704" s="198" t="s">
        <v>2272</v>
      </c>
      <c r="X2704" s="198" t="s">
        <v>2272</v>
      </c>
      <c r="Y2704" s="198" t="s">
        <v>67</v>
      </c>
      <c r="Z2704" s="198" t="s">
        <v>84</v>
      </c>
      <c r="AA2704" s="198" t="s">
        <v>75</v>
      </c>
      <c r="AB2704" s="198"/>
      <c r="AC2704" s="198"/>
    </row>
    <row r="2705" spans="1:29" ht="34.5" customHeight="1">
      <c r="A2705" s="151" t="str">
        <f>'Reported burning'!A2705</f>
        <v>305z</v>
      </c>
      <c r="B2705" s="151" t="str">
        <f>'Reported burning'!B2705</f>
        <v>305z.2</v>
      </c>
      <c r="C2705" s="151" t="str">
        <f>'Reported burning'!C2705</f>
        <v>Human, deliberate</v>
      </c>
      <c r="D2705" s="151" t="str">
        <f>'Reported burning'!D2705</f>
        <v>Pyrome management</v>
      </c>
      <c r="E2705" s="151" t="str">
        <f>'Reported burning'!E2705</f>
        <v>Fire suppression agent</v>
      </c>
      <c r="F2705" s="151" t="str">
        <f>'Reported burning'!F2705</f>
        <v>ND</v>
      </c>
      <c r="G2705" s="151" t="str">
        <f>'Reported burning'!G2705</f>
        <v>ND</v>
      </c>
      <c r="H2705" s="151" t="str">
        <f>'Reported burning'!H2705</f>
        <v>Presence</v>
      </c>
      <c r="I2705" s="5"/>
      <c r="J2705" s="198" t="s">
        <v>2272</v>
      </c>
      <c r="K2705" s="198" t="s">
        <v>2272</v>
      </c>
      <c r="L2705" s="198" t="s">
        <v>2272</v>
      </c>
      <c r="M2705" s="198" t="s">
        <v>2272</v>
      </c>
      <c r="N2705" s="198" t="s">
        <v>2272</v>
      </c>
      <c r="O2705" s="198" t="s">
        <v>2272</v>
      </c>
      <c r="P2705" s="198" t="s">
        <v>2272</v>
      </c>
      <c r="Q2705" s="198" t="s">
        <v>2272</v>
      </c>
      <c r="R2705" s="198" t="s">
        <v>2272</v>
      </c>
      <c r="S2705" s="198" t="s">
        <v>2272</v>
      </c>
      <c r="T2705" s="198" t="s">
        <v>2272</v>
      </c>
      <c r="U2705" s="198" t="s">
        <v>2272</v>
      </c>
      <c r="V2705" s="198" t="s">
        <v>2272</v>
      </c>
      <c r="W2705" s="198" t="s">
        <v>2272</v>
      </c>
      <c r="X2705" s="198" t="s">
        <v>2272</v>
      </c>
      <c r="Y2705" s="198" t="s">
        <v>67</v>
      </c>
      <c r="Z2705" s="198" t="s">
        <v>84</v>
      </c>
      <c r="AA2705" s="198" t="s">
        <v>75</v>
      </c>
      <c r="AB2705" s="198"/>
      <c r="AC2705" s="198"/>
    </row>
    <row r="2706" spans="1:29" ht="34.5" customHeight="1">
      <c r="A2706" s="151" t="str">
        <f>'Reported burning'!A2706</f>
        <v>305aa</v>
      </c>
      <c r="B2706" s="151" t="str">
        <f>'Reported burning'!B2706</f>
        <v>305aa.2</v>
      </c>
      <c r="C2706" s="151" t="str">
        <f>'Reported burning'!C2706</f>
        <v>Human, deliberate</v>
      </c>
      <c r="D2706" s="151" t="str">
        <f>'Reported burning'!D2706</f>
        <v>Pyrome management</v>
      </c>
      <c r="E2706" s="151" t="str">
        <f>'Reported burning'!E2706</f>
        <v>Fire suppression agent</v>
      </c>
      <c r="F2706" s="151" t="str">
        <f>'Reported burning'!F2706</f>
        <v>ND</v>
      </c>
      <c r="G2706" s="151" t="str">
        <f>'Reported burning'!G2706</f>
        <v>ND</v>
      </c>
      <c r="H2706" s="151" t="str">
        <f>'Reported burning'!H2706</f>
        <v>Presence</v>
      </c>
      <c r="I2706" s="5"/>
      <c r="J2706" s="198" t="s">
        <v>2272</v>
      </c>
      <c r="K2706" s="198" t="s">
        <v>2272</v>
      </c>
      <c r="L2706" s="198" t="s">
        <v>2272</v>
      </c>
      <c r="M2706" s="198" t="s">
        <v>2272</v>
      </c>
      <c r="N2706" s="198" t="s">
        <v>2272</v>
      </c>
      <c r="O2706" s="198" t="s">
        <v>2272</v>
      </c>
      <c r="P2706" s="198" t="s">
        <v>2272</v>
      </c>
      <c r="Q2706" s="198" t="s">
        <v>2272</v>
      </c>
      <c r="R2706" s="198" t="s">
        <v>2272</v>
      </c>
      <c r="S2706" s="198" t="s">
        <v>2272</v>
      </c>
      <c r="T2706" s="198" t="s">
        <v>2272</v>
      </c>
      <c r="U2706" s="198" t="s">
        <v>2272</v>
      </c>
      <c r="V2706" s="198" t="s">
        <v>2272</v>
      </c>
      <c r="W2706" s="198" t="s">
        <v>2272</v>
      </c>
      <c r="X2706" s="198" t="s">
        <v>2272</v>
      </c>
      <c r="Y2706" s="198" t="s">
        <v>67</v>
      </c>
      <c r="Z2706" s="198" t="s">
        <v>84</v>
      </c>
      <c r="AA2706" s="198" t="s">
        <v>75</v>
      </c>
      <c r="AB2706" s="198"/>
      <c r="AC2706" s="198"/>
    </row>
    <row r="2707" spans="1:29" ht="34.5" customHeight="1">
      <c r="A2707" s="151" t="str">
        <f>'Reported burning'!A2707</f>
        <v>305ab</v>
      </c>
      <c r="B2707" s="151" t="str">
        <f>'Reported burning'!B2707</f>
        <v>305ab.2</v>
      </c>
      <c r="C2707" s="151" t="str">
        <f>'Reported burning'!C2707</f>
        <v>Human, deliberate</v>
      </c>
      <c r="D2707" s="151" t="str">
        <f>'Reported burning'!D2707</f>
        <v>Pyrome management</v>
      </c>
      <c r="E2707" s="151" t="str">
        <f>'Reported burning'!E2707</f>
        <v>Fire suppression agent</v>
      </c>
      <c r="F2707" s="151" t="str">
        <f>'Reported burning'!F2707</f>
        <v>ND</v>
      </c>
      <c r="G2707" s="151" t="str">
        <f>'Reported burning'!G2707</f>
        <v>ND</v>
      </c>
      <c r="H2707" s="151" t="str">
        <f>'Reported burning'!H2707</f>
        <v>Presence</v>
      </c>
      <c r="I2707" s="5"/>
      <c r="J2707" s="198" t="s">
        <v>2272</v>
      </c>
      <c r="K2707" s="198" t="s">
        <v>2272</v>
      </c>
      <c r="L2707" s="198" t="s">
        <v>2272</v>
      </c>
      <c r="M2707" s="198" t="s">
        <v>2272</v>
      </c>
      <c r="N2707" s="198" t="s">
        <v>2272</v>
      </c>
      <c r="O2707" s="198" t="s">
        <v>2272</v>
      </c>
      <c r="P2707" s="198" t="s">
        <v>2272</v>
      </c>
      <c r="Q2707" s="198" t="s">
        <v>2272</v>
      </c>
      <c r="R2707" s="198" t="s">
        <v>2272</v>
      </c>
      <c r="S2707" s="198" t="s">
        <v>2272</v>
      </c>
      <c r="T2707" s="198" t="s">
        <v>2272</v>
      </c>
      <c r="U2707" s="198" t="s">
        <v>2272</v>
      </c>
      <c r="V2707" s="198" t="s">
        <v>2272</v>
      </c>
      <c r="W2707" s="198" t="s">
        <v>2272</v>
      </c>
      <c r="X2707" s="198" t="s">
        <v>2272</v>
      </c>
      <c r="Y2707" s="198" t="s">
        <v>67</v>
      </c>
      <c r="Z2707" s="198" t="s">
        <v>84</v>
      </c>
      <c r="AA2707" s="198" t="s">
        <v>75</v>
      </c>
      <c r="AB2707" s="198"/>
      <c r="AC2707" s="198"/>
    </row>
    <row r="2708" spans="1:29" ht="34.5" customHeight="1">
      <c r="A2708" s="151" t="str">
        <f>'Reported burning'!A2708</f>
        <v>305ac</v>
      </c>
      <c r="B2708" s="151" t="str">
        <f>'Reported burning'!B2708</f>
        <v>305ac.2</v>
      </c>
      <c r="C2708" s="151" t="str">
        <f>'Reported burning'!C2708</f>
        <v>Human, deliberate</v>
      </c>
      <c r="D2708" s="151" t="str">
        <f>'Reported burning'!D2708</f>
        <v>Pyrome management</v>
      </c>
      <c r="E2708" s="151" t="str">
        <f>'Reported burning'!E2708</f>
        <v>Fire suppression agent</v>
      </c>
      <c r="F2708" s="151" t="str">
        <f>'Reported burning'!F2708</f>
        <v>ND</v>
      </c>
      <c r="G2708" s="151" t="str">
        <f>'Reported burning'!G2708</f>
        <v>ND</v>
      </c>
      <c r="H2708" s="151" t="str">
        <f>'Reported burning'!H2708</f>
        <v>Presence</v>
      </c>
      <c r="I2708" s="5"/>
      <c r="J2708" s="198" t="s">
        <v>2272</v>
      </c>
      <c r="K2708" s="198" t="s">
        <v>2272</v>
      </c>
      <c r="L2708" s="198" t="s">
        <v>2272</v>
      </c>
      <c r="M2708" s="198" t="s">
        <v>2272</v>
      </c>
      <c r="N2708" s="198" t="s">
        <v>2272</v>
      </c>
      <c r="O2708" s="198" t="s">
        <v>2272</v>
      </c>
      <c r="P2708" s="198" t="s">
        <v>2272</v>
      </c>
      <c r="Q2708" s="198" t="s">
        <v>2272</v>
      </c>
      <c r="R2708" s="198" t="s">
        <v>2272</v>
      </c>
      <c r="S2708" s="198" t="s">
        <v>2272</v>
      </c>
      <c r="T2708" s="198" t="s">
        <v>2272</v>
      </c>
      <c r="U2708" s="198" t="s">
        <v>2272</v>
      </c>
      <c r="V2708" s="198" t="s">
        <v>2272</v>
      </c>
      <c r="W2708" s="198" t="s">
        <v>2272</v>
      </c>
      <c r="X2708" s="198" t="s">
        <v>2272</v>
      </c>
      <c r="Y2708" s="198" t="s">
        <v>67</v>
      </c>
      <c r="Z2708" s="198" t="s">
        <v>84</v>
      </c>
      <c r="AA2708" s="198" t="s">
        <v>75</v>
      </c>
      <c r="AB2708" s="198"/>
      <c r="AC2708" s="198"/>
    </row>
    <row r="2709" spans="1:29" ht="34.5" customHeight="1">
      <c r="A2709" s="151" t="str">
        <f>'Reported burning'!A2709</f>
        <v>305ad</v>
      </c>
      <c r="B2709" s="151" t="str">
        <f>'Reported burning'!B2709</f>
        <v>305ad.2</v>
      </c>
      <c r="C2709" s="151" t="str">
        <f>'Reported burning'!C2709</f>
        <v>Human, deliberate</v>
      </c>
      <c r="D2709" s="151" t="str">
        <f>'Reported burning'!D2709</f>
        <v>Pyrome management</v>
      </c>
      <c r="E2709" s="151" t="str">
        <f>'Reported burning'!E2709</f>
        <v>Fire suppression agent</v>
      </c>
      <c r="F2709" s="151" t="str">
        <f>'Reported burning'!F2709</f>
        <v>ND</v>
      </c>
      <c r="G2709" s="151" t="str">
        <f>'Reported burning'!G2709</f>
        <v>ND</v>
      </c>
      <c r="H2709" s="151" t="str">
        <f>'Reported burning'!H2709</f>
        <v>Presence</v>
      </c>
      <c r="I2709" s="5"/>
      <c r="J2709" s="198" t="s">
        <v>2272</v>
      </c>
      <c r="K2709" s="198" t="s">
        <v>2272</v>
      </c>
      <c r="L2709" s="198" t="s">
        <v>2272</v>
      </c>
      <c r="M2709" s="198" t="s">
        <v>2272</v>
      </c>
      <c r="N2709" s="198" t="s">
        <v>2272</v>
      </c>
      <c r="O2709" s="198" t="s">
        <v>2272</v>
      </c>
      <c r="P2709" s="198" t="s">
        <v>2272</v>
      </c>
      <c r="Q2709" s="198" t="s">
        <v>2272</v>
      </c>
      <c r="R2709" s="198" t="s">
        <v>2272</v>
      </c>
      <c r="S2709" s="198" t="s">
        <v>2272</v>
      </c>
      <c r="T2709" s="198" t="s">
        <v>2272</v>
      </c>
      <c r="U2709" s="198" t="s">
        <v>2272</v>
      </c>
      <c r="V2709" s="198" t="s">
        <v>2272</v>
      </c>
      <c r="W2709" s="198" t="s">
        <v>2272</v>
      </c>
      <c r="X2709" s="198" t="s">
        <v>2272</v>
      </c>
      <c r="Y2709" s="198" t="s">
        <v>67</v>
      </c>
      <c r="Z2709" s="198" t="s">
        <v>84</v>
      </c>
      <c r="AA2709" s="198" t="s">
        <v>75</v>
      </c>
      <c r="AB2709" s="198"/>
      <c r="AC2709" s="198"/>
    </row>
    <row r="2710" spans="1:29" ht="34.5" customHeight="1">
      <c r="A2710" s="151" t="str">
        <f>'Reported burning'!A2710</f>
        <v>305ae</v>
      </c>
      <c r="B2710" s="151" t="str">
        <f>'Reported burning'!B2710</f>
        <v>305ae.2</v>
      </c>
      <c r="C2710" s="151" t="str">
        <f>'Reported burning'!C2710</f>
        <v>Human, deliberate</v>
      </c>
      <c r="D2710" s="151" t="str">
        <f>'Reported burning'!D2710</f>
        <v>Pyrome management</v>
      </c>
      <c r="E2710" s="151" t="str">
        <f>'Reported burning'!E2710</f>
        <v>Fire suppression agent</v>
      </c>
      <c r="F2710" s="151" t="str">
        <f>'Reported burning'!F2710</f>
        <v>ND</v>
      </c>
      <c r="G2710" s="151" t="str">
        <f>'Reported burning'!G2710</f>
        <v>ND</v>
      </c>
      <c r="H2710" s="151" t="str">
        <f>'Reported burning'!H2710</f>
        <v>Presence</v>
      </c>
      <c r="I2710" s="5"/>
      <c r="J2710" s="198" t="s">
        <v>2272</v>
      </c>
      <c r="K2710" s="198" t="s">
        <v>2272</v>
      </c>
      <c r="L2710" s="198" t="s">
        <v>2272</v>
      </c>
      <c r="M2710" s="198" t="s">
        <v>2272</v>
      </c>
      <c r="N2710" s="198" t="s">
        <v>2272</v>
      </c>
      <c r="O2710" s="198" t="s">
        <v>2272</v>
      </c>
      <c r="P2710" s="198" t="s">
        <v>2272</v>
      </c>
      <c r="Q2710" s="198" t="s">
        <v>2272</v>
      </c>
      <c r="R2710" s="198" t="s">
        <v>2272</v>
      </c>
      <c r="S2710" s="198" t="s">
        <v>2272</v>
      </c>
      <c r="T2710" s="198" t="s">
        <v>2272</v>
      </c>
      <c r="U2710" s="198" t="s">
        <v>2272</v>
      </c>
      <c r="V2710" s="198" t="s">
        <v>2272</v>
      </c>
      <c r="W2710" s="198" t="s">
        <v>2272</v>
      </c>
      <c r="X2710" s="198" t="s">
        <v>2272</v>
      </c>
      <c r="Y2710" s="198" t="s">
        <v>67</v>
      </c>
      <c r="Z2710" s="198" t="s">
        <v>84</v>
      </c>
      <c r="AA2710" s="198" t="s">
        <v>75</v>
      </c>
      <c r="AB2710" s="198"/>
      <c r="AC2710" s="198"/>
    </row>
    <row r="2711" spans="1:29" ht="34.5" customHeight="1">
      <c r="A2711" s="151" t="str">
        <f>'Reported burning'!A2711</f>
        <v>305n</v>
      </c>
      <c r="B2711" s="151" t="str">
        <f>'Reported burning'!B2711</f>
        <v>305n.3</v>
      </c>
      <c r="C2711" s="151" t="str">
        <f>'Reported burning'!C2711</f>
        <v>Human, deliberate</v>
      </c>
      <c r="D2711" s="151" t="str">
        <f>'Reported burning'!D2711</f>
        <v>Pyrome management</v>
      </c>
      <c r="E2711" s="151" t="str">
        <f>'Reported burning'!E2711</f>
        <v>Fire suppression agent</v>
      </c>
      <c r="F2711" s="151" t="str">
        <f>'Reported burning'!F2711</f>
        <v>ND</v>
      </c>
      <c r="G2711" s="151" t="str">
        <f>'Reported burning'!G2711</f>
        <v>ND</v>
      </c>
      <c r="H2711" s="151" t="str">
        <f>'Reported burning'!H2711</f>
        <v>Presence</v>
      </c>
      <c r="I2711" s="5"/>
      <c r="J2711" s="198" t="s">
        <v>2272</v>
      </c>
      <c r="K2711" s="198" t="s">
        <v>2272</v>
      </c>
      <c r="L2711" s="198" t="s">
        <v>2272</v>
      </c>
      <c r="M2711" s="198" t="s">
        <v>2272</v>
      </c>
      <c r="N2711" s="198" t="s">
        <v>2272</v>
      </c>
      <c r="O2711" s="198" t="s">
        <v>2272</v>
      </c>
      <c r="P2711" s="198" t="s">
        <v>2272</v>
      </c>
      <c r="Q2711" s="198" t="s">
        <v>2272</v>
      </c>
      <c r="R2711" s="198" t="s">
        <v>2272</v>
      </c>
      <c r="S2711" s="198" t="s">
        <v>2272</v>
      </c>
      <c r="T2711" s="198" t="s">
        <v>2272</v>
      </c>
      <c r="U2711" s="198" t="s">
        <v>2272</v>
      </c>
      <c r="V2711" s="198" t="s">
        <v>2272</v>
      </c>
      <c r="W2711" s="198" t="s">
        <v>2272</v>
      </c>
      <c r="X2711" s="198" t="s">
        <v>2272</v>
      </c>
      <c r="Y2711" s="198" t="s">
        <v>67</v>
      </c>
      <c r="Z2711" s="198" t="s">
        <v>84</v>
      </c>
      <c r="AA2711" s="198" t="s">
        <v>75</v>
      </c>
      <c r="AB2711" s="198"/>
      <c r="AC2711" s="198"/>
    </row>
    <row r="2712" spans="1:29" ht="34.5" customHeight="1">
      <c r="A2712" s="151" t="str">
        <f>'Reported burning'!A2712</f>
        <v>305o</v>
      </c>
      <c r="B2712" s="151" t="str">
        <f>'Reported burning'!B2712</f>
        <v>305o.3</v>
      </c>
      <c r="C2712" s="151" t="str">
        <f>'Reported burning'!C2712</f>
        <v>Human, deliberate</v>
      </c>
      <c r="D2712" s="151" t="str">
        <f>'Reported burning'!D2712</f>
        <v>Pyrome management</v>
      </c>
      <c r="E2712" s="151" t="str">
        <f>'Reported burning'!E2712</f>
        <v>Fire suppression agent</v>
      </c>
      <c r="F2712" s="151" t="str">
        <f>'Reported burning'!F2712</f>
        <v>ND</v>
      </c>
      <c r="G2712" s="151" t="str">
        <f>'Reported burning'!G2712</f>
        <v>ND</v>
      </c>
      <c r="H2712" s="151" t="str">
        <f>'Reported burning'!H2712</f>
        <v>Presence</v>
      </c>
      <c r="I2712" s="5"/>
      <c r="J2712" s="198" t="s">
        <v>2272</v>
      </c>
      <c r="K2712" s="198" t="s">
        <v>2272</v>
      </c>
      <c r="L2712" s="198" t="s">
        <v>2272</v>
      </c>
      <c r="M2712" s="198" t="s">
        <v>2272</v>
      </c>
      <c r="N2712" s="198" t="s">
        <v>2272</v>
      </c>
      <c r="O2712" s="198" t="s">
        <v>2272</v>
      </c>
      <c r="P2712" s="198" t="s">
        <v>2272</v>
      </c>
      <c r="Q2712" s="198" t="s">
        <v>2272</v>
      </c>
      <c r="R2712" s="198" t="s">
        <v>2272</v>
      </c>
      <c r="S2712" s="198" t="s">
        <v>2272</v>
      </c>
      <c r="T2712" s="198" t="s">
        <v>2272</v>
      </c>
      <c r="U2712" s="198" t="s">
        <v>2272</v>
      </c>
      <c r="V2712" s="198" t="s">
        <v>2272</v>
      </c>
      <c r="W2712" s="198" t="s">
        <v>2272</v>
      </c>
      <c r="X2712" s="198" t="s">
        <v>2272</v>
      </c>
      <c r="Y2712" s="198" t="s">
        <v>67</v>
      </c>
      <c r="Z2712" s="198" t="s">
        <v>84</v>
      </c>
      <c r="AA2712" s="198" t="s">
        <v>75</v>
      </c>
      <c r="AB2712" s="198"/>
      <c r="AC2712" s="198"/>
    </row>
    <row r="2713" spans="1:29" ht="34.5" customHeight="1">
      <c r="A2713" s="151" t="str">
        <f>'Reported burning'!A2713</f>
        <v>305p</v>
      </c>
      <c r="B2713" s="151" t="str">
        <f>'Reported burning'!B2713</f>
        <v>305p.3</v>
      </c>
      <c r="C2713" s="151" t="str">
        <f>'Reported burning'!C2713</f>
        <v>Human, deliberate</v>
      </c>
      <c r="D2713" s="151" t="str">
        <f>'Reported burning'!D2713</f>
        <v>Pyrome management</v>
      </c>
      <c r="E2713" s="151" t="str">
        <f>'Reported burning'!E2713</f>
        <v>Fire suppression agent</v>
      </c>
      <c r="F2713" s="151" t="str">
        <f>'Reported burning'!F2713</f>
        <v>ND</v>
      </c>
      <c r="G2713" s="151" t="str">
        <f>'Reported burning'!G2713</f>
        <v>ND</v>
      </c>
      <c r="H2713" s="151" t="str">
        <f>'Reported burning'!H2713</f>
        <v>Presence</v>
      </c>
      <c r="I2713" s="5"/>
      <c r="J2713" s="198" t="s">
        <v>2272</v>
      </c>
      <c r="K2713" s="198" t="s">
        <v>2272</v>
      </c>
      <c r="L2713" s="198" t="s">
        <v>2272</v>
      </c>
      <c r="M2713" s="198" t="s">
        <v>2272</v>
      </c>
      <c r="N2713" s="198" t="s">
        <v>2272</v>
      </c>
      <c r="O2713" s="198" t="s">
        <v>2272</v>
      </c>
      <c r="P2713" s="198" t="s">
        <v>2272</v>
      </c>
      <c r="Q2713" s="198" t="s">
        <v>2272</v>
      </c>
      <c r="R2713" s="198" t="s">
        <v>2272</v>
      </c>
      <c r="S2713" s="198" t="s">
        <v>2272</v>
      </c>
      <c r="T2713" s="198" t="s">
        <v>2272</v>
      </c>
      <c r="U2713" s="198" t="s">
        <v>2272</v>
      </c>
      <c r="V2713" s="198" t="s">
        <v>2272</v>
      </c>
      <c r="W2713" s="198" t="s">
        <v>2272</v>
      </c>
      <c r="X2713" s="198" t="s">
        <v>2272</v>
      </c>
      <c r="Y2713" s="198" t="s">
        <v>67</v>
      </c>
      <c r="Z2713" s="198" t="s">
        <v>84</v>
      </c>
      <c r="AA2713" s="198" t="s">
        <v>75</v>
      </c>
      <c r="AB2713" s="198"/>
      <c r="AC2713" s="198"/>
    </row>
    <row r="2714" spans="1:29" ht="34.5" customHeight="1">
      <c r="A2714" s="151" t="str">
        <f>'Reported burning'!A2714</f>
        <v>305q</v>
      </c>
      <c r="B2714" s="151" t="str">
        <f>'Reported burning'!B2714</f>
        <v>305q.3</v>
      </c>
      <c r="C2714" s="151" t="str">
        <f>'Reported burning'!C2714</f>
        <v>Human, deliberate</v>
      </c>
      <c r="D2714" s="151" t="str">
        <f>'Reported burning'!D2714</f>
        <v>Pyrome management</v>
      </c>
      <c r="E2714" s="151" t="str">
        <f>'Reported burning'!E2714</f>
        <v>Fire suppression agent</v>
      </c>
      <c r="F2714" s="151" t="str">
        <f>'Reported burning'!F2714</f>
        <v>ND</v>
      </c>
      <c r="G2714" s="151" t="str">
        <f>'Reported burning'!G2714</f>
        <v>ND</v>
      </c>
      <c r="H2714" s="151" t="str">
        <f>'Reported burning'!H2714</f>
        <v>Presence</v>
      </c>
      <c r="I2714" s="5"/>
      <c r="J2714" s="198" t="s">
        <v>2272</v>
      </c>
      <c r="K2714" s="198" t="s">
        <v>2272</v>
      </c>
      <c r="L2714" s="198" t="s">
        <v>2272</v>
      </c>
      <c r="M2714" s="198" t="s">
        <v>2272</v>
      </c>
      <c r="N2714" s="198" t="s">
        <v>2272</v>
      </c>
      <c r="O2714" s="198" t="s">
        <v>2272</v>
      </c>
      <c r="P2714" s="198" t="s">
        <v>2272</v>
      </c>
      <c r="Q2714" s="198" t="s">
        <v>2272</v>
      </c>
      <c r="R2714" s="198" t="s">
        <v>2272</v>
      </c>
      <c r="S2714" s="198" t="s">
        <v>2272</v>
      </c>
      <c r="T2714" s="198" t="s">
        <v>2272</v>
      </c>
      <c r="U2714" s="198" t="s">
        <v>2272</v>
      </c>
      <c r="V2714" s="198" t="s">
        <v>2272</v>
      </c>
      <c r="W2714" s="198" t="s">
        <v>2272</v>
      </c>
      <c r="X2714" s="198" t="s">
        <v>2272</v>
      </c>
      <c r="Y2714" s="198" t="s">
        <v>67</v>
      </c>
      <c r="Z2714" s="198" t="s">
        <v>84</v>
      </c>
      <c r="AA2714" s="198" t="s">
        <v>75</v>
      </c>
      <c r="AB2714" s="198"/>
      <c r="AC2714" s="198"/>
    </row>
    <row r="2715" spans="1:29" ht="34.5" customHeight="1">
      <c r="A2715" s="151" t="str">
        <f>'Reported burning'!A2715</f>
        <v>305r</v>
      </c>
      <c r="B2715" s="151" t="str">
        <f>'Reported burning'!B2715</f>
        <v>305r.3</v>
      </c>
      <c r="C2715" s="151" t="str">
        <f>'Reported burning'!C2715</f>
        <v>Human, deliberate</v>
      </c>
      <c r="D2715" s="151" t="str">
        <f>'Reported burning'!D2715</f>
        <v>Pyrome management</v>
      </c>
      <c r="E2715" s="151" t="str">
        <f>'Reported burning'!E2715</f>
        <v>Fire suppression agent</v>
      </c>
      <c r="F2715" s="151" t="str">
        <f>'Reported burning'!F2715</f>
        <v>ND</v>
      </c>
      <c r="G2715" s="151" t="str">
        <f>'Reported burning'!G2715</f>
        <v>ND</v>
      </c>
      <c r="H2715" s="151" t="str">
        <f>'Reported burning'!H2715</f>
        <v>Absence</v>
      </c>
      <c r="I2715" s="5"/>
      <c r="J2715" s="21" t="s">
        <v>2359</v>
      </c>
      <c r="K2715" s="21" t="s">
        <v>2359</v>
      </c>
      <c r="L2715" s="21" t="s">
        <v>2359</v>
      </c>
      <c r="M2715" s="21" t="s">
        <v>2359</v>
      </c>
      <c r="N2715" s="21" t="s">
        <v>2359</v>
      </c>
      <c r="O2715" s="21" t="s">
        <v>2359</v>
      </c>
      <c r="P2715" s="21" t="s">
        <v>2359</v>
      </c>
      <c r="Q2715" s="21" t="s">
        <v>2359</v>
      </c>
      <c r="R2715" s="21" t="s">
        <v>2359</v>
      </c>
      <c r="S2715" s="21" t="s">
        <v>2359</v>
      </c>
      <c r="T2715" s="21" t="s">
        <v>2359</v>
      </c>
      <c r="U2715" s="21" t="s">
        <v>2359</v>
      </c>
      <c r="V2715" s="21" t="s">
        <v>2359</v>
      </c>
      <c r="W2715" s="21" t="s">
        <v>2359</v>
      </c>
      <c r="X2715" s="198" t="s">
        <v>2272</v>
      </c>
      <c r="Y2715" s="198" t="s">
        <v>67</v>
      </c>
      <c r="Z2715" s="198" t="s">
        <v>84</v>
      </c>
      <c r="AA2715" s="198" t="s">
        <v>75</v>
      </c>
      <c r="AB2715" s="198"/>
      <c r="AC2715" s="198"/>
    </row>
    <row r="2716" spans="1:29" ht="34.5" customHeight="1">
      <c r="A2716" s="151" t="str">
        <f>'Reported burning'!A2716</f>
        <v>305s</v>
      </c>
      <c r="B2716" s="151" t="str">
        <f>'Reported burning'!B2716</f>
        <v>305s.3</v>
      </c>
      <c r="C2716" s="151" t="str">
        <f>'Reported burning'!C2716</f>
        <v>Human, deliberate</v>
      </c>
      <c r="D2716" s="151" t="str">
        <f>'Reported burning'!D2716</f>
        <v>Pyrome management</v>
      </c>
      <c r="E2716" s="151" t="str">
        <f>'Reported burning'!E2716</f>
        <v>Fire suppression agent</v>
      </c>
      <c r="F2716" s="151" t="str">
        <f>'Reported burning'!F2716</f>
        <v>ND</v>
      </c>
      <c r="G2716" s="151" t="str">
        <f>'Reported burning'!G2716</f>
        <v>ND</v>
      </c>
      <c r="H2716" s="151" t="str">
        <f>'Reported burning'!H2716</f>
        <v>Absence</v>
      </c>
      <c r="I2716" s="5"/>
      <c r="J2716" s="21" t="s">
        <v>2359</v>
      </c>
      <c r="K2716" s="21" t="s">
        <v>2359</v>
      </c>
      <c r="L2716" s="21" t="s">
        <v>2359</v>
      </c>
      <c r="M2716" s="21" t="s">
        <v>2359</v>
      </c>
      <c r="N2716" s="21" t="s">
        <v>2359</v>
      </c>
      <c r="O2716" s="21" t="s">
        <v>2359</v>
      </c>
      <c r="P2716" s="21" t="s">
        <v>2359</v>
      </c>
      <c r="Q2716" s="21" t="s">
        <v>2359</v>
      </c>
      <c r="R2716" s="21" t="s">
        <v>2359</v>
      </c>
      <c r="S2716" s="21" t="s">
        <v>2359</v>
      </c>
      <c r="T2716" s="21" t="s">
        <v>2359</v>
      </c>
      <c r="U2716" s="21" t="s">
        <v>2359</v>
      </c>
      <c r="V2716" s="21" t="s">
        <v>2359</v>
      </c>
      <c r="W2716" s="21" t="s">
        <v>2359</v>
      </c>
      <c r="X2716" s="198" t="s">
        <v>2272</v>
      </c>
      <c r="Y2716" s="198" t="s">
        <v>67</v>
      </c>
      <c r="Z2716" s="198" t="s">
        <v>84</v>
      </c>
      <c r="AA2716" s="198" t="s">
        <v>75</v>
      </c>
      <c r="AB2716" s="198"/>
      <c r="AC2716" s="198"/>
    </row>
    <row r="2717" spans="1:29" ht="34.5" customHeight="1">
      <c r="A2717" s="151" t="str">
        <f>'Reported burning'!A2717</f>
        <v>305t</v>
      </c>
      <c r="B2717" s="151" t="str">
        <f>'Reported burning'!B2717</f>
        <v>305t.3</v>
      </c>
      <c r="C2717" s="151" t="str">
        <f>'Reported burning'!C2717</f>
        <v>Human, deliberate</v>
      </c>
      <c r="D2717" s="151" t="str">
        <f>'Reported burning'!D2717</f>
        <v>Pyrome management</v>
      </c>
      <c r="E2717" s="151" t="str">
        <f>'Reported burning'!E2717</f>
        <v>Fire suppression agent</v>
      </c>
      <c r="F2717" s="151" t="str">
        <f>'Reported burning'!F2717</f>
        <v>ND</v>
      </c>
      <c r="G2717" s="151" t="str">
        <f>'Reported burning'!G2717</f>
        <v>ND</v>
      </c>
      <c r="H2717" s="151" t="str">
        <f>'Reported burning'!H2717</f>
        <v>Absence</v>
      </c>
      <c r="I2717" s="5"/>
      <c r="J2717" s="21" t="s">
        <v>2359</v>
      </c>
      <c r="K2717" s="21" t="s">
        <v>2359</v>
      </c>
      <c r="L2717" s="21" t="s">
        <v>2359</v>
      </c>
      <c r="M2717" s="21" t="s">
        <v>2359</v>
      </c>
      <c r="N2717" s="21" t="s">
        <v>2359</v>
      </c>
      <c r="O2717" s="21" t="s">
        <v>2359</v>
      </c>
      <c r="P2717" s="21" t="s">
        <v>2359</v>
      </c>
      <c r="Q2717" s="21" t="s">
        <v>2359</v>
      </c>
      <c r="R2717" s="21" t="s">
        <v>2359</v>
      </c>
      <c r="S2717" s="21" t="s">
        <v>2359</v>
      </c>
      <c r="T2717" s="21" t="s">
        <v>2359</v>
      </c>
      <c r="U2717" s="21" t="s">
        <v>2359</v>
      </c>
      <c r="V2717" s="21" t="s">
        <v>2359</v>
      </c>
      <c r="W2717" s="21" t="s">
        <v>2359</v>
      </c>
      <c r="X2717" s="198" t="s">
        <v>2272</v>
      </c>
      <c r="Y2717" s="198" t="s">
        <v>67</v>
      </c>
      <c r="Z2717" s="198" t="s">
        <v>84</v>
      </c>
      <c r="AA2717" s="198" t="s">
        <v>75</v>
      </c>
      <c r="AB2717" s="198"/>
      <c r="AC2717" s="198"/>
    </row>
    <row r="2718" spans="1:29" ht="34.5" customHeight="1">
      <c r="A2718" s="151" t="str">
        <f>'Reported burning'!A2718</f>
        <v>305u</v>
      </c>
      <c r="B2718" s="151" t="str">
        <f>'Reported burning'!B2718</f>
        <v>305u.3</v>
      </c>
      <c r="C2718" s="151" t="str">
        <f>'Reported burning'!C2718</f>
        <v>Human, deliberate</v>
      </c>
      <c r="D2718" s="151" t="str">
        <f>'Reported burning'!D2718</f>
        <v>Pyrome management</v>
      </c>
      <c r="E2718" s="151" t="str">
        <f>'Reported burning'!E2718</f>
        <v>Fire suppression agent</v>
      </c>
      <c r="F2718" s="151" t="str">
        <f>'Reported burning'!F2718</f>
        <v>ND</v>
      </c>
      <c r="G2718" s="151" t="str">
        <f>'Reported burning'!G2718</f>
        <v>ND</v>
      </c>
      <c r="H2718" s="151" t="str">
        <f>'Reported burning'!H2718</f>
        <v>Presence</v>
      </c>
      <c r="I2718" s="5"/>
      <c r="J2718" s="198" t="s">
        <v>2272</v>
      </c>
      <c r="K2718" s="198" t="s">
        <v>2272</v>
      </c>
      <c r="L2718" s="198" t="s">
        <v>2272</v>
      </c>
      <c r="M2718" s="198" t="s">
        <v>2272</v>
      </c>
      <c r="N2718" s="198" t="s">
        <v>2272</v>
      </c>
      <c r="O2718" s="198" t="s">
        <v>2272</v>
      </c>
      <c r="P2718" s="198" t="s">
        <v>2272</v>
      </c>
      <c r="Q2718" s="198" t="s">
        <v>2272</v>
      </c>
      <c r="R2718" s="198" t="s">
        <v>2272</v>
      </c>
      <c r="S2718" s="198" t="s">
        <v>2272</v>
      </c>
      <c r="T2718" s="198" t="s">
        <v>2272</v>
      </c>
      <c r="U2718" s="198" t="s">
        <v>2272</v>
      </c>
      <c r="V2718" s="198" t="s">
        <v>2272</v>
      </c>
      <c r="W2718" s="198" t="s">
        <v>2272</v>
      </c>
      <c r="X2718" s="198" t="s">
        <v>2272</v>
      </c>
      <c r="Y2718" s="198" t="s">
        <v>67</v>
      </c>
      <c r="Z2718" s="198" t="s">
        <v>84</v>
      </c>
      <c r="AA2718" s="198" t="s">
        <v>75</v>
      </c>
      <c r="AB2718" s="198"/>
      <c r="AC2718" s="198"/>
    </row>
    <row r="2719" spans="1:29" ht="34.5" customHeight="1">
      <c r="A2719" s="151" t="str">
        <f>'Reported burning'!A2719</f>
        <v>305v</v>
      </c>
      <c r="B2719" s="151" t="str">
        <f>'Reported burning'!B2719</f>
        <v>305v.3</v>
      </c>
      <c r="C2719" s="151" t="str">
        <f>'Reported burning'!C2719</f>
        <v>Human, deliberate</v>
      </c>
      <c r="D2719" s="151" t="str">
        <f>'Reported burning'!D2719</f>
        <v>Pyrome management</v>
      </c>
      <c r="E2719" s="151" t="str">
        <f>'Reported burning'!E2719</f>
        <v>Fire suppression agent</v>
      </c>
      <c r="F2719" s="151" t="str">
        <f>'Reported burning'!F2719</f>
        <v>ND</v>
      </c>
      <c r="G2719" s="151" t="str">
        <f>'Reported burning'!G2719</f>
        <v>ND</v>
      </c>
      <c r="H2719" s="151" t="str">
        <f>'Reported burning'!H2719</f>
        <v>Presence</v>
      </c>
      <c r="I2719" s="5"/>
      <c r="J2719" s="198" t="s">
        <v>2272</v>
      </c>
      <c r="K2719" s="198" t="s">
        <v>2272</v>
      </c>
      <c r="L2719" s="198" t="s">
        <v>2272</v>
      </c>
      <c r="M2719" s="198" t="s">
        <v>2272</v>
      </c>
      <c r="N2719" s="198" t="s">
        <v>2272</v>
      </c>
      <c r="O2719" s="198" t="s">
        <v>2272</v>
      </c>
      <c r="P2719" s="198" t="s">
        <v>2272</v>
      </c>
      <c r="Q2719" s="198" t="s">
        <v>2272</v>
      </c>
      <c r="R2719" s="198" t="s">
        <v>2272</v>
      </c>
      <c r="S2719" s="198" t="s">
        <v>2272</v>
      </c>
      <c r="T2719" s="198" t="s">
        <v>2272</v>
      </c>
      <c r="U2719" s="198" t="s">
        <v>2272</v>
      </c>
      <c r="V2719" s="198" t="s">
        <v>2272</v>
      </c>
      <c r="W2719" s="198" t="s">
        <v>2272</v>
      </c>
      <c r="X2719" s="198" t="s">
        <v>2272</v>
      </c>
      <c r="Y2719" s="198" t="s">
        <v>67</v>
      </c>
      <c r="Z2719" s="198" t="s">
        <v>84</v>
      </c>
      <c r="AA2719" s="198" t="s">
        <v>75</v>
      </c>
      <c r="AB2719" s="198"/>
      <c r="AC2719" s="198"/>
    </row>
    <row r="2720" spans="1:29" ht="34.5" customHeight="1">
      <c r="A2720" s="151" t="str">
        <f>'Reported burning'!A2720</f>
        <v>305w</v>
      </c>
      <c r="B2720" s="151" t="str">
        <f>'Reported burning'!B2720</f>
        <v>305w.3</v>
      </c>
      <c r="C2720" s="151" t="str">
        <f>'Reported burning'!C2720</f>
        <v>Human, deliberate</v>
      </c>
      <c r="D2720" s="151" t="str">
        <f>'Reported burning'!D2720</f>
        <v>Pyrome management</v>
      </c>
      <c r="E2720" s="151" t="str">
        <f>'Reported burning'!E2720</f>
        <v>Fire suppression agent</v>
      </c>
      <c r="F2720" s="151" t="str">
        <f>'Reported burning'!F2720</f>
        <v>ND</v>
      </c>
      <c r="G2720" s="151" t="str">
        <f>'Reported burning'!G2720</f>
        <v>ND</v>
      </c>
      <c r="H2720" s="151" t="str">
        <f>'Reported burning'!H2720</f>
        <v>Presence</v>
      </c>
      <c r="I2720" s="5"/>
      <c r="J2720" s="198" t="s">
        <v>2272</v>
      </c>
      <c r="K2720" s="198" t="s">
        <v>2272</v>
      </c>
      <c r="L2720" s="198" t="s">
        <v>2272</v>
      </c>
      <c r="M2720" s="198" t="s">
        <v>2272</v>
      </c>
      <c r="N2720" s="198" t="s">
        <v>2272</v>
      </c>
      <c r="O2720" s="198" t="s">
        <v>2272</v>
      </c>
      <c r="P2720" s="198" t="s">
        <v>2272</v>
      </c>
      <c r="Q2720" s="198" t="s">
        <v>2272</v>
      </c>
      <c r="R2720" s="198" t="s">
        <v>2272</v>
      </c>
      <c r="S2720" s="198" t="s">
        <v>2272</v>
      </c>
      <c r="T2720" s="198" t="s">
        <v>2272</v>
      </c>
      <c r="U2720" s="198" t="s">
        <v>2272</v>
      </c>
      <c r="V2720" s="198" t="s">
        <v>2272</v>
      </c>
      <c r="W2720" s="198" t="s">
        <v>2272</v>
      </c>
      <c r="X2720" s="198" t="s">
        <v>2272</v>
      </c>
      <c r="Y2720" s="198" t="s">
        <v>67</v>
      </c>
      <c r="Z2720" s="198" t="s">
        <v>84</v>
      </c>
      <c r="AA2720" s="198" t="s">
        <v>75</v>
      </c>
      <c r="AB2720" s="198"/>
      <c r="AC2720" s="198"/>
    </row>
    <row r="2721" spans="1:29" ht="34.5" customHeight="1">
      <c r="A2721" s="151" t="str">
        <f>'Reported burning'!A2721</f>
        <v>305x</v>
      </c>
      <c r="B2721" s="151" t="str">
        <f>'Reported burning'!B2721</f>
        <v>305x.3</v>
      </c>
      <c r="C2721" s="151" t="str">
        <f>'Reported burning'!C2721</f>
        <v>Human, deliberate</v>
      </c>
      <c r="D2721" s="151" t="str">
        <f>'Reported burning'!D2721</f>
        <v>Pyrome management</v>
      </c>
      <c r="E2721" s="151" t="str">
        <f>'Reported burning'!E2721</f>
        <v>Fire suppression agent</v>
      </c>
      <c r="F2721" s="151" t="str">
        <f>'Reported burning'!F2721</f>
        <v>ND</v>
      </c>
      <c r="G2721" s="151" t="str">
        <f>'Reported burning'!G2721</f>
        <v>ND</v>
      </c>
      <c r="H2721" s="151" t="str">
        <f>'Reported burning'!H2721</f>
        <v>Presence</v>
      </c>
      <c r="I2721" s="5"/>
      <c r="J2721" s="198" t="s">
        <v>2272</v>
      </c>
      <c r="K2721" s="198" t="s">
        <v>2272</v>
      </c>
      <c r="L2721" s="198" t="s">
        <v>2272</v>
      </c>
      <c r="M2721" s="198" t="s">
        <v>2272</v>
      </c>
      <c r="N2721" s="198" t="s">
        <v>2272</v>
      </c>
      <c r="O2721" s="198" t="s">
        <v>2272</v>
      </c>
      <c r="P2721" s="198" t="s">
        <v>2272</v>
      </c>
      <c r="Q2721" s="198" t="s">
        <v>2272</v>
      </c>
      <c r="R2721" s="198" t="s">
        <v>2272</v>
      </c>
      <c r="S2721" s="198" t="s">
        <v>2272</v>
      </c>
      <c r="T2721" s="198" t="s">
        <v>2272</v>
      </c>
      <c r="U2721" s="198" t="s">
        <v>2272</v>
      </c>
      <c r="V2721" s="198" t="s">
        <v>2272</v>
      </c>
      <c r="W2721" s="198" t="s">
        <v>2272</v>
      </c>
      <c r="X2721" s="198" t="s">
        <v>2272</v>
      </c>
      <c r="Y2721" s="198" t="s">
        <v>67</v>
      </c>
      <c r="Z2721" s="198" t="s">
        <v>84</v>
      </c>
      <c r="AA2721" s="198" t="s">
        <v>75</v>
      </c>
      <c r="AB2721" s="198"/>
      <c r="AC2721" s="198"/>
    </row>
    <row r="2722" spans="1:29" ht="34.5" customHeight="1">
      <c r="A2722" s="151" t="str">
        <f>'Reported burning'!A2722</f>
        <v>305y</v>
      </c>
      <c r="B2722" s="151" t="str">
        <f>'Reported burning'!B2722</f>
        <v>305y.3</v>
      </c>
      <c r="C2722" s="151" t="str">
        <f>'Reported burning'!C2722</f>
        <v>Human, deliberate</v>
      </c>
      <c r="D2722" s="151" t="str">
        <f>'Reported burning'!D2722</f>
        <v>Pyrome management</v>
      </c>
      <c r="E2722" s="151" t="str">
        <f>'Reported burning'!E2722</f>
        <v>Fire suppression agent</v>
      </c>
      <c r="F2722" s="151" t="str">
        <f>'Reported burning'!F2722</f>
        <v>ND</v>
      </c>
      <c r="G2722" s="151" t="str">
        <f>'Reported burning'!G2722</f>
        <v>ND</v>
      </c>
      <c r="H2722" s="151" t="str">
        <f>'Reported burning'!H2722</f>
        <v>Presence</v>
      </c>
      <c r="I2722" s="5"/>
      <c r="J2722" s="198" t="s">
        <v>2272</v>
      </c>
      <c r="K2722" s="198" t="s">
        <v>2272</v>
      </c>
      <c r="L2722" s="198" t="s">
        <v>2272</v>
      </c>
      <c r="M2722" s="198" t="s">
        <v>2272</v>
      </c>
      <c r="N2722" s="198" t="s">
        <v>2272</v>
      </c>
      <c r="O2722" s="198" t="s">
        <v>2272</v>
      </c>
      <c r="P2722" s="198" t="s">
        <v>2272</v>
      </c>
      <c r="Q2722" s="198" t="s">
        <v>2272</v>
      </c>
      <c r="R2722" s="198" t="s">
        <v>2272</v>
      </c>
      <c r="S2722" s="198" t="s">
        <v>2272</v>
      </c>
      <c r="T2722" s="198" t="s">
        <v>2272</v>
      </c>
      <c r="U2722" s="198" t="s">
        <v>2272</v>
      </c>
      <c r="V2722" s="198" t="s">
        <v>2272</v>
      </c>
      <c r="W2722" s="198" t="s">
        <v>2272</v>
      </c>
      <c r="X2722" s="198" t="s">
        <v>2272</v>
      </c>
      <c r="Y2722" s="198" t="s">
        <v>67</v>
      </c>
      <c r="Z2722" s="198" t="s">
        <v>84</v>
      </c>
      <c r="AA2722" s="198" t="s">
        <v>75</v>
      </c>
      <c r="AB2722" s="198"/>
      <c r="AC2722" s="198"/>
    </row>
    <row r="2723" spans="1:29" ht="34.5" customHeight="1">
      <c r="A2723" s="151" t="str">
        <f>'Reported burning'!A2723</f>
        <v>305z</v>
      </c>
      <c r="B2723" s="151" t="str">
        <f>'Reported burning'!B2723</f>
        <v>305z.3</v>
      </c>
      <c r="C2723" s="151" t="str">
        <f>'Reported burning'!C2723</f>
        <v>Human, deliberate</v>
      </c>
      <c r="D2723" s="151" t="str">
        <f>'Reported burning'!D2723</f>
        <v>Pyrome management</v>
      </c>
      <c r="E2723" s="151" t="str">
        <f>'Reported burning'!E2723</f>
        <v>Fire suppression agent</v>
      </c>
      <c r="F2723" s="151" t="str">
        <f>'Reported burning'!F2723</f>
        <v>ND</v>
      </c>
      <c r="G2723" s="151" t="str">
        <f>'Reported burning'!G2723</f>
        <v>ND</v>
      </c>
      <c r="H2723" s="151" t="str">
        <f>'Reported burning'!H2723</f>
        <v>Presence</v>
      </c>
      <c r="I2723" s="5"/>
      <c r="J2723" s="198" t="s">
        <v>2272</v>
      </c>
      <c r="K2723" s="198" t="s">
        <v>2272</v>
      </c>
      <c r="L2723" s="198" t="s">
        <v>2272</v>
      </c>
      <c r="M2723" s="198" t="s">
        <v>2272</v>
      </c>
      <c r="N2723" s="198" t="s">
        <v>2272</v>
      </c>
      <c r="O2723" s="198" t="s">
        <v>2272</v>
      </c>
      <c r="P2723" s="198" t="s">
        <v>2272</v>
      </c>
      <c r="Q2723" s="198" t="s">
        <v>2272</v>
      </c>
      <c r="R2723" s="198" t="s">
        <v>2272</v>
      </c>
      <c r="S2723" s="198" t="s">
        <v>2272</v>
      </c>
      <c r="T2723" s="198" t="s">
        <v>2272</v>
      </c>
      <c r="U2723" s="198" t="s">
        <v>2272</v>
      </c>
      <c r="V2723" s="198" t="s">
        <v>2272</v>
      </c>
      <c r="W2723" s="198" t="s">
        <v>2272</v>
      </c>
      <c r="X2723" s="198" t="s">
        <v>2272</v>
      </c>
      <c r="Y2723" s="198" t="s">
        <v>67</v>
      </c>
      <c r="Z2723" s="198" t="s">
        <v>84</v>
      </c>
      <c r="AA2723" s="198" t="s">
        <v>75</v>
      </c>
      <c r="AB2723" s="198"/>
      <c r="AC2723" s="198"/>
    </row>
    <row r="2724" spans="1:29" ht="34.5" customHeight="1">
      <c r="A2724" s="151" t="str">
        <f>'Reported burning'!A2724</f>
        <v>305aa</v>
      </c>
      <c r="B2724" s="151" t="str">
        <f>'Reported burning'!B2724</f>
        <v>305aa.3</v>
      </c>
      <c r="C2724" s="151" t="str">
        <f>'Reported burning'!C2724</f>
        <v>Human, deliberate</v>
      </c>
      <c r="D2724" s="151" t="str">
        <f>'Reported burning'!D2724</f>
        <v>Pyrome management</v>
      </c>
      <c r="E2724" s="151" t="str">
        <f>'Reported burning'!E2724</f>
        <v>Fire suppression agent</v>
      </c>
      <c r="F2724" s="151" t="str">
        <f>'Reported burning'!F2724</f>
        <v>ND</v>
      </c>
      <c r="G2724" s="151" t="str">
        <f>'Reported burning'!G2724</f>
        <v>ND</v>
      </c>
      <c r="H2724" s="151" t="str">
        <f>'Reported burning'!H2724</f>
        <v>Presence</v>
      </c>
      <c r="I2724" s="5"/>
      <c r="J2724" s="198" t="s">
        <v>2272</v>
      </c>
      <c r="K2724" s="198" t="s">
        <v>2272</v>
      </c>
      <c r="L2724" s="198" t="s">
        <v>2272</v>
      </c>
      <c r="M2724" s="198" t="s">
        <v>2272</v>
      </c>
      <c r="N2724" s="198" t="s">
        <v>2272</v>
      </c>
      <c r="O2724" s="198" t="s">
        <v>2272</v>
      </c>
      <c r="P2724" s="198" t="s">
        <v>2272</v>
      </c>
      <c r="Q2724" s="198" t="s">
        <v>2272</v>
      </c>
      <c r="R2724" s="198" t="s">
        <v>2272</v>
      </c>
      <c r="S2724" s="198" t="s">
        <v>2272</v>
      </c>
      <c r="T2724" s="198" t="s">
        <v>2272</v>
      </c>
      <c r="U2724" s="198" t="s">
        <v>2272</v>
      </c>
      <c r="V2724" s="198" t="s">
        <v>2272</v>
      </c>
      <c r="W2724" s="198" t="s">
        <v>2272</v>
      </c>
      <c r="X2724" s="198" t="s">
        <v>2272</v>
      </c>
      <c r="Y2724" s="198" t="s">
        <v>67</v>
      </c>
      <c r="Z2724" s="198" t="s">
        <v>84</v>
      </c>
      <c r="AA2724" s="198" t="s">
        <v>75</v>
      </c>
      <c r="AB2724" s="198"/>
      <c r="AC2724" s="198"/>
    </row>
    <row r="2725" spans="1:29" ht="34.5" customHeight="1">
      <c r="A2725" s="151" t="str">
        <f>'Reported burning'!A2725</f>
        <v>305ab</v>
      </c>
      <c r="B2725" s="151" t="str">
        <f>'Reported burning'!B2725</f>
        <v>305ab.3</v>
      </c>
      <c r="C2725" s="151" t="str">
        <f>'Reported burning'!C2725</f>
        <v>Human, deliberate</v>
      </c>
      <c r="D2725" s="151" t="str">
        <f>'Reported burning'!D2725</f>
        <v>Pyrome management</v>
      </c>
      <c r="E2725" s="151" t="str">
        <f>'Reported burning'!E2725</f>
        <v>Fire suppression agent</v>
      </c>
      <c r="F2725" s="151" t="str">
        <f>'Reported burning'!F2725</f>
        <v>ND</v>
      </c>
      <c r="G2725" s="151" t="str">
        <f>'Reported burning'!G2725</f>
        <v>ND</v>
      </c>
      <c r="H2725" s="151" t="str">
        <f>'Reported burning'!H2725</f>
        <v>Presence</v>
      </c>
      <c r="I2725" s="5"/>
      <c r="J2725" s="198" t="s">
        <v>2272</v>
      </c>
      <c r="K2725" s="198" t="s">
        <v>2272</v>
      </c>
      <c r="L2725" s="198" t="s">
        <v>2272</v>
      </c>
      <c r="M2725" s="198" t="s">
        <v>2272</v>
      </c>
      <c r="N2725" s="198" t="s">
        <v>2272</v>
      </c>
      <c r="O2725" s="198" t="s">
        <v>2272</v>
      </c>
      <c r="P2725" s="198" t="s">
        <v>2272</v>
      </c>
      <c r="Q2725" s="198" t="s">
        <v>2272</v>
      </c>
      <c r="R2725" s="198" t="s">
        <v>2272</v>
      </c>
      <c r="S2725" s="198" t="s">
        <v>2272</v>
      </c>
      <c r="T2725" s="198" t="s">
        <v>2272</v>
      </c>
      <c r="U2725" s="198" t="s">
        <v>2272</v>
      </c>
      <c r="V2725" s="198" t="s">
        <v>2272</v>
      </c>
      <c r="W2725" s="198" t="s">
        <v>2272</v>
      </c>
      <c r="X2725" s="198" t="s">
        <v>2272</v>
      </c>
      <c r="Y2725" s="198" t="s">
        <v>67</v>
      </c>
      <c r="Z2725" s="198" t="s">
        <v>84</v>
      </c>
      <c r="AA2725" s="198" t="s">
        <v>75</v>
      </c>
      <c r="AB2725" s="198"/>
      <c r="AC2725" s="198"/>
    </row>
    <row r="2726" spans="1:29" ht="34.5" customHeight="1">
      <c r="A2726" s="151" t="str">
        <f>'Reported burning'!A2726</f>
        <v>305ac</v>
      </c>
      <c r="B2726" s="151" t="str">
        <f>'Reported burning'!B2726</f>
        <v>305ac.3</v>
      </c>
      <c r="C2726" s="151" t="str">
        <f>'Reported burning'!C2726</f>
        <v>Human, deliberate</v>
      </c>
      <c r="D2726" s="151" t="str">
        <f>'Reported burning'!D2726</f>
        <v>Pyrome management</v>
      </c>
      <c r="E2726" s="151" t="str">
        <f>'Reported burning'!E2726</f>
        <v>Fire suppression agent</v>
      </c>
      <c r="F2726" s="151" t="str">
        <f>'Reported burning'!F2726</f>
        <v>ND</v>
      </c>
      <c r="G2726" s="151" t="str">
        <f>'Reported burning'!G2726</f>
        <v>ND</v>
      </c>
      <c r="H2726" s="151" t="str">
        <f>'Reported burning'!H2726</f>
        <v>Presence</v>
      </c>
      <c r="I2726" s="5"/>
      <c r="J2726" s="198" t="s">
        <v>2272</v>
      </c>
      <c r="K2726" s="198" t="s">
        <v>2272</v>
      </c>
      <c r="L2726" s="198" t="s">
        <v>2272</v>
      </c>
      <c r="M2726" s="198" t="s">
        <v>2272</v>
      </c>
      <c r="N2726" s="198" t="s">
        <v>2272</v>
      </c>
      <c r="O2726" s="198" t="s">
        <v>2272</v>
      </c>
      <c r="P2726" s="198" t="s">
        <v>2272</v>
      </c>
      <c r="Q2726" s="198" t="s">
        <v>2272</v>
      </c>
      <c r="R2726" s="198" t="s">
        <v>2272</v>
      </c>
      <c r="S2726" s="198" t="s">
        <v>2272</v>
      </c>
      <c r="T2726" s="198" t="s">
        <v>2272</v>
      </c>
      <c r="U2726" s="198" t="s">
        <v>2272</v>
      </c>
      <c r="V2726" s="198" t="s">
        <v>2272</v>
      </c>
      <c r="W2726" s="198" t="s">
        <v>2272</v>
      </c>
      <c r="X2726" s="198" t="s">
        <v>2272</v>
      </c>
      <c r="Y2726" s="198" t="s">
        <v>67</v>
      </c>
      <c r="Z2726" s="198" t="s">
        <v>84</v>
      </c>
      <c r="AA2726" s="198" t="s">
        <v>75</v>
      </c>
      <c r="AB2726" s="198"/>
      <c r="AC2726" s="198"/>
    </row>
    <row r="2727" spans="1:29" ht="34.5" customHeight="1">
      <c r="A2727" s="151" t="str">
        <f>'Reported burning'!A2727</f>
        <v>305ad</v>
      </c>
      <c r="B2727" s="151" t="str">
        <f>'Reported burning'!B2727</f>
        <v>305ad.3</v>
      </c>
      <c r="C2727" s="151" t="str">
        <f>'Reported burning'!C2727</f>
        <v>Human, deliberate</v>
      </c>
      <c r="D2727" s="151" t="str">
        <f>'Reported burning'!D2727</f>
        <v>Pyrome management</v>
      </c>
      <c r="E2727" s="151" t="str">
        <f>'Reported burning'!E2727</f>
        <v>Fire suppression agent</v>
      </c>
      <c r="F2727" s="151" t="str">
        <f>'Reported burning'!F2727</f>
        <v>ND</v>
      </c>
      <c r="G2727" s="151" t="str">
        <f>'Reported burning'!G2727</f>
        <v>ND</v>
      </c>
      <c r="H2727" s="151" t="str">
        <f>'Reported burning'!H2727</f>
        <v>Presence</v>
      </c>
      <c r="I2727" s="5"/>
      <c r="J2727" s="198" t="s">
        <v>2272</v>
      </c>
      <c r="K2727" s="198" t="s">
        <v>2272</v>
      </c>
      <c r="L2727" s="198" t="s">
        <v>2272</v>
      </c>
      <c r="M2727" s="198" t="s">
        <v>2272</v>
      </c>
      <c r="N2727" s="198" t="s">
        <v>2272</v>
      </c>
      <c r="O2727" s="198" t="s">
        <v>2272</v>
      </c>
      <c r="P2727" s="198" t="s">
        <v>2272</v>
      </c>
      <c r="Q2727" s="198" t="s">
        <v>2272</v>
      </c>
      <c r="R2727" s="198" t="s">
        <v>2272</v>
      </c>
      <c r="S2727" s="198" t="s">
        <v>2272</v>
      </c>
      <c r="T2727" s="198" t="s">
        <v>2272</v>
      </c>
      <c r="U2727" s="198" t="s">
        <v>2272</v>
      </c>
      <c r="V2727" s="198" t="s">
        <v>2272</v>
      </c>
      <c r="W2727" s="198" t="s">
        <v>2272</v>
      </c>
      <c r="X2727" s="198" t="s">
        <v>2272</v>
      </c>
      <c r="Y2727" s="198" t="s">
        <v>67</v>
      </c>
      <c r="Z2727" s="198" t="s">
        <v>84</v>
      </c>
      <c r="AA2727" s="198" t="s">
        <v>75</v>
      </c>
      <c r="AB2727" s="198"/>
      <c r="AC2727" s="198"/>
    </row>
    <row r="2728" spans="1:29" ht="34.5" customHeight="1">
      <c r="A2728" s="151" t="str">
        <f>'Reported burning'!A2728</f>
        <v>305ae</v>
      </c>
      <c r="B2728" s="151" t="str">
        <f>'Reported burning'!B2728</f>
        <v>305ae.3</v>
      </c>
      <c r="C2728" s="151" t="str">
        <f>'Reported burning'!C2728</f>
        <v>Human, deliberate</v>
      </c>
      <c r="D2728" s="151" t="str">
        <f>'Reported burning'!D2728</f>
        <v>Pyrome management</v>
      </c>
      <c r="E2728" s="151" t="str">
        <f>'Reported burning'!E2728</f>
        <v>Fire suppression agent</v>
      </c>
      <c r="F2728" s="151" t="str">
        <f>'Reported burning'!F2728</f>
        <v>ND</v>
      </c>
      <c r="G2728" s="151" t="str">
        <f>'Reported burning'!G2728</f>
        <v>ND</v>
      </c>
      <c r="H2728" s="151" t="str">
        <f>'Reported burning'!H2728</f>
        <v>Presence</v>
      </c>
      <c r="I2728" s="5"/>
      <c r="J2728" s="198" t="s">
        <v>2272</v>
      </c>
      <c r="K2728" s="198" t="s">
        <v>2272</v>
      </c>
      <c r="L2728" s="198" t="s">
        <v>2272</v>
      </c>
      <c r="M2728" s="198" t="s">
        <v>2272</v>
      </c>
      <c r="N2728" s="198" t="s">
        <v>2272</v>
      </c>
      <c r="O2728" s="198" t="s">
        <v>2272</v>
      </c>
      <c r="P2728" s="198" t="s">
        <v>2272</v>
      </c>
      <c r="Q2728" s="198" t="s">
        <v>2272</v>
      </c>
      <c r="R2728" s="198" t="s">
        <v>2272</v>
      </c>
      <c r="S2728" s="198" t="s">
        <v>2272</v>
      </c>
      <c r="T2728" s="198" t="s">
        <v>2272</v>
      </c>
      <c r="U2728" s="198" t="s">
        <v>2272</v>
      </c>
      <c r="V2728" s="198" t="s">
        <v>2272</v>
      </c>
      <c r="W2728" s="198" t="s">
        <v>2272</v>
      </c>
      <c r="X2728" s="198" t="s">
        <v>2272</v>
      </c>
      <c r="Y2728" s="198" t="s">
        <v>67</v>
      </c>
      <c r="Z2728" s="198" t="s">
        <v>84</v>
      </c>
      <c r="AA2728" s="198" t="s">
        <v>75</v>
      </c>
      <c r="AB2728" s="198"/>
      <c r="AC2728" s="198"/>
    </row>
    <row r="2729" spans="1:29" ht="34.5" customHeight="1">
      <c r="A2729" s="151" t="str">
        <f>'Reported burning'!A2729</f>
        <v>305n</v>
      </c>
      <c r="B2729" s="151" t="str">
        <f>'Reported burning'!B2729</f>
        <v>305n.4</v>
      </c>
      <c r="C2729" s="151" t="str">
        <f>'Reported burning'!C2729</f>
        <v>Human, deliberate</v>
      </c>
      <c r="D2729" s="151" t="str">
        <f>'Reported burning'!D2729</f>
        <v>Pyrome management</v>
      </c>
      <c r="E2729" s="151" t="str">
        <f>'Reported burning'!E2729</f>
        <v>Fire suppression agent</v>
      </c>
      <c r="F2729" s="151" t="str">
        <f>'Reported burning'!F2729</f>
        <v>ND</v>
      </c>
      <c r="G2729" s="151" t="str">
        <f>'Reported burning'!G2729</f>
        <v>ND</v>
      </c>
      <c r="H2729" s="151" t="str">
        <f>'Reported burning'!H2729</f>
        <v>Presence</v>
      </c>
      <c r="I2729" s="5"/>
      <c r="J2729" s="198" t="s">
        <v>2272</v>
      </c>
      <c r="K2729" s="198" t="s">
        <v>2272</v>
      </c>
      <c r="L2729" s="198" t="s">
        <v>2272</v>
      </c>
      <c r="M2729" s="198" t="s">
        <v>2272</v>
      </c>
      <c r="N2729" s="198" t="s">
        <v>2272</v>
      </c>
      <c r="O2729" s="198" t="s">
        <v>2272</v>
      </c>
      <c r="P2729" s="198" t="s">
        <v>2272</v>
      </c>
      <c r="Q2729" s="198" t="s">
        <v>2272</v>
      </c>
      <c r="R2729" s="198" t="s">
        <v>2272</v>
      </c>
      <c r="S2729" s="198" t="s">
        <v>2272</v>
      </c>
      <c r="T2729" s="198" t="s">
        <v>2272</v>
      </c>
      <c r="U2729" s="198" t="s">
        <v>2272</v>
      </c>
      <c r="V2729" s="198" t="s">
        <v>2272</v>
      </c>
      <c r="W2729" s="198" t="s">
        <v>2272</v>
      </c>
      <c r="X2729" s="198" t="s">
        <v>2272</v>
      </c>
      <c r="Y2729" s="198" t="s">
        <v>67</v>
      </c>
      <c r="Z2729" s="198" t="s">
        <v>84</v>
      </c>
      <c r="AA2729" s="198" t="s">
        <v>75</v>
      </c>
      <c r="AB2729" s="198"/>
      <c r="AC2729" s="198"/>
    </row>
    <row r="2730" spans="1:29" ht="34.5" customHeight="1">
      <c r="A2730" s="151" t="str">
        <f>'Reported burning'!A2730</f>
        <v>305o</v>
      </c>
      <c r="B2730" s="151" t="str">
        <f>'Reported burning'!B2730</f>
        <v>305o.4</v>
      </c>
      <c r="C2730" s="151" t="str">
        <f>'Reported burning'!C2730</f>
        <v>Human, deliberate</v>
      </c>
      <c r="D2730" s="151" t="str">
        <f>'Reported burning'!D2730</f>
        <v>Pyrome management</v>
      </c>
      <c r="E2730" s="151" t="str">
        <f>'Reported burning'!E2730</f>
        <v>Fire suppression agent</v>
      </c>
      <c r="F2730" s="151" t="str">
        <f>'Reported burning'!F2730</f>
        <v>ND</v>
      </c>
      <c r="G2730" s="151" t="str">
        <f>'Reported burning'!G2730</f>
        <v>ND</v>
      </c>
      <c r="H2730" s="151" t="str">
        <f>'Reported burning'!H2730</f>
        <v>Presence</v>
      </c>
      <c r="I2730" s="5"/>
      <c r="J2730" s="198" t="s">
        <v>2272</v>
      </c>
      <c r="K2730" s="198" t="s">
        <v>2272</v>
      </c>
      <c r="L2730" s="198" t="s">
        <v>2272</v>
      </c>
      <c r="M2730" s="198" t="s">
        <v>2272</v>
      </c>
      <c r="N2730" s="198" t="s">
        <v>2272</v>
      </c>
      <c r="O2730" s="198" t="s">
        <v>2272</v>
      </c>
      <c r="P2730" s="198" t="s">
        <v>2272</v>
      </c>
      <c r="Q2730" s="198" t="s">
        <v>2272</v>
      </c>
      <c r="R2730" s="198" t="s">
        <v>2272</v>
      </c>
      <c r="S2730" s="198" t="s">
        <v>2272</v>
      </c>
      <c r="T2730" s="198" t="s">
        <v>2272</v>
      </c>
      <c r="U2730" s="198" t="s">
        <v>2272</v>
      </c>
      <c r="V2730" s="198" t="s">
        <v>2272</v>
      </c>
      <c r="W2730" s="198" t="s">
        <v>2272</v>
      </c>
      <c r="X2730" s="198" t="s">
        <v>2272</v>
      </c>
      <c r="Y2730" s="198" t="s">
        <v>67</v>
      </c>
      <c r="Z2730" s="198" t="s">
        <v>84</v>
      </c>
      <c r="AA2730" s="198" t="s">
        <v>75</v>
      </c>
      <c r="AB2730" s="198"/>
      <c r="AC2730" s="198"/>
    </row>
    <row r="2731" spans="1:29" ht="34.5" customHeight="1">
      <c r="A2731" s="151" t="str">
        <f>'Reported burning'!A2731</f>
        <v>305p</v>
      </c>
      <c r="B2731" s="151" t="str">
        <f>'Reported burning'!B2731</f>
        <v>305p.4</v>
      </c>
      <c r="C2731" s="151" t="str">
        <f>'Reported burning'!C2731</f>
        <v>Human, deliberate</v>
      </c>
      <c r="D2731" s="151" t="str">
        <f>'Reported burning'!D2731</f>
        <v>Pyrome management</v>
      </c>
      <c r="E2731" s="151" t="str">
        <f>'Reported burning'!E2731</f>
        <v>Fire suppression agent</v>
      </c>
      <c r="F2731" s="151" t="str">
        <f>'Reported burning'!F2731</f>
        <v>ND</v>
      </c>
      <c r="G2731" s="151" t="str">
        <f>'Reported burning'!G2731</f>
        <v>ND</v>
      </c>
      <c r="H2731" s="151" t="str">
        <f>'Reported burning'!H2731</f>
        <v>Presence</v>
      </c>
      <c r="I2731" s="5"/>
      <c r="J2731" s="198" t="s">
        <v>2272</v>
      </c>
      <c r="K2731" s="198" t="s">
        <v>2272</v>
      </c>
      <c r="L2731" s="198" t="s">
        <v>2272</v>
      </c>
      <c r="M2731" s="198" t="s">
        <v>2272</v>
      </c>
      <c r="N2731" s="198" t="s">
        <v>2272</v>
      </c>
      <c r="O2731" s="198" t="s">
        <v>2272</v>
      </c>
      <c r="P2731" s="198" t="s">
        <v>2272</v>
      </c>
      <c r="Q2731" s="198" t="s">
        <v>2272</v>
      </c>
      <c r="R2731" s="198" t="s">
        <v>2272</v>
      </c>
      <c r="S2731" s="198" t="s">
        <v>2272</v>
      </c>
      <c r="T2731" s="198" t="s">
        <v>2272</v>
      </c>
      <c r="U2731" s="198" t="s">
        <v>2272</v>
      </c>
      <c r="V2731" s="198" t="s">
        <v>2272</v>
      </c>
      <c r="W2731" s="198" t="s">
        <v>2272</v>
      </c>
      <c r="X2731" s="198" t="s">
        <v>2272</v>
      </c>
      <c r="Y2731" s="198" t="s">
        <v>67</v>
      </c>
      <c r="Z2731" s="198" t="s">
        <v>84</v>
      </c>
      <c r="AA2731" s="198" t="s">
        <v>75</v>
      </c>
      <c r="AB2731" s="198"/>
      <c r="AC2731" s="198"/>
    </row>
    <row r="2732" spans="1:29" ht="34.5" customHeight="1">
      <c r="A2732" s="151" t="str">
        <f>'Reported burning'!A2732</f>
        <v>305q</v>
      </c>
      <c r="B2732" s="151" t="str">
        <f>'Reported burning'!B2732</f>
        <v>305q.4</v>
      </c>
      <c r="C2732" s="151" t="str">
        <f>'Reported burning'!C2732</f>
        <v>Human, deliberate</v>
      </c>
      <c r="D2732" s="151" t="str">
        <f>'Reported burning'!D2732</f>
        <v>Pyrome management</v>
      </c>
      <c r="E2732" s="151" t="str">
        <f>'Reported burning'!E2732</f>
        <v>Fire suppression agent</v>
      </c>
      <c r="F2732" s="151" t="str">
        <f>'Reported burning'!F2732</f>
        <v>ND</v>
      </c>
      <c r="G2732" s="151" t="str">
        <f>'Reported burning'!G2732</f>
        <v>ND</v>
      </c>
      <c r="H2732" s="151" t="str">
        <f>'Reported burning'!H2732</f>
        <v>Presence</v>
      </c>
      <c r="I2732" s="5"/>
      <c r="J2732" s="198" t="s">
        <v>2272</v>
      </c>
      <c r="K2732" s="198" t="s">
        <v>2272</v>
      </c>
      <c r="L2732" s="198" t="s">
        <v>2272</v>
      </c>
      <c r="M2732" s="198" t="s">
        <v>2272</v>
      </c>
      <c r="N2732" s="198" t="s">
        <v>2272</v>
      </c>
      <c r="O2732" s="198" t="s">
        <v>2272</v>
      </c>
      <c r="P2732" s="198" t="s">
        <v>2272</v>
      </c>
      <c r="Q2732" s="198" t="s">
        <v>2272</v>
      </c>
      <c r="R2732" s="198" t="s">
        <v>2272</v>
      </c>
      <c r="S2732" s="198" t="s">
        <v>2272</v>
      </c>
      <c r="T2732" s="198" t="s">
        <v>2272</v>
      </c>
      <c r="U2732" s="198" t="s">
        <v>2272</v>
      </c>
      <c r="V2732" s="198" t="s">
        <v>2272</v>
      </c>
      <c r="W2732" s="198" t="s">
        <v>2272</v>
      </c>
      <c r="X2732" s="198" t="s">
        <v>2272</v>
      </c>
      <c r="Y2732" s="198" t="s">
        <v>67</v>
      </c>
      <c r="Z2732" s="198" t="s">
        <v>84</v>
      </c>
      <c r="AA2732" s="198" t="s">
        <v>75</v>
      </c>
      <c r="AB2732" s="198"/>
      <c r="AC2732" s="198"/>
    </row>
    <row r="2733" spans="1:29" ht="34.5" customHeight="1">
      <c r="A2733" s="151" t="str">
        <f>'Reported burning'!A2733</f>
        <v>305r</v>
      </c>
      <c r="B2733" s="151" t="str">
        <f>'Reported burning'!B2733</f>
        <v>305r.4</v>
      </c>
      <c r="C2733" s="151" t="str">
        <f>'Reported burning'!C2733</f>
        <v>Human, deliberate</v>
      </c>
      <c r="D2733" s="151" t="str">
        <f>'Reported burning'!D2733</f>
        <v>Pyrome management</v>
      </c>
      <c r="E2733" s="151" t="str">
        <f>'Reported burning'!E2733</f>
        <v>Fire suppression agent</v>
      </c>
      <c r="F2733" s="151" t="str">
        <f>'Reported burning'!F2733</f>
        <v>ND</v>
      </c>
      <c r="G2733" s="151" t="str">
        <f>'Reported burning'!G2733</f>
        <v>ND</v>
      </c>
      <c r="H2733" s="151" t="str">
        <f>'Reported burning'!H2733</f>
        <v>Absence</v>
      </c>
      <c r="I2733" s="5"/>
      <c r="J2733" s="21" t="s">
        <v>2359</v>
      </c>
      <c r="K2733" s="21" t="s">
        <v>2359</v>
      </c>
      <c r="L2733" s="21" t="s">
        <v>2359</v>
      </c>
      <c r="M2733" s="21" t="s">
        <v>2359</v>
      </c>
      <c r="N2733" s="21" t="s">
        <v>2359</v>
      </c>
      <c r="O2733" s="21" t="s">
        <v>2359</v>
      </c>
      <c r="P2733" s="21" t="s">
        <v>2359</v>
      </c>
      <c r="Q2733" s="21" t="s">
        <v>2359</v>
      </c>
      <c r="R2733" s="21" t="s">
        <v>2359</v>
      </c>
      <c r="S2733" s="21" t="s">
        <v>2359</v>
      </c>
      <c r="T2733" s="21" t="s">
        <v>2359</v>
      </c>
      <c r="U2733" s="21" t="s">
        <v>2359</v>
      </c>
      <c r="V2733" s="21" t="s">
        <v>2359</v>
      </c>
      <c r="W2733" s="21" t="s">
        <v>2359</v>
      </c>
      <c r="X2733" s="198" t="s">
        <v>2272</v>
      </c>
      <c r="Y2733" s="198" t="s">
        <v>67</v>
      </c>
      <c r="Z2733" s="198" t="s">
        <v>84</v>
      </c>
      <c r="AA2733" s="198" t="s">
        <v>75</v>
      </c>
      <c r="AB2733" s="198"/>
      <c r="AC2733" s="198"/>
    </row>
    <row r="2734" spans="1:29" ht="34.5" customHeight="1">
      <c r="A2734" s="151" t="str">
        <f>'Reported burning'!A2734</f>
        <v>305s</v>
      </c>
      <c r="B2734" s="151" t="str">
        <f>'Reported burning'!B2734</f>
        <v>305s.4</v>
      </c>
      <c r="C2734" s="151" t="str">
        <f>'Reported burning'!C2734</f>
        <v>Human, deliberate</v>
      </c>
      <c r="D2734" s="151" t="str">
        <f>'Reported burning'!D2734</f>
        <v>Pyrome management</v>
      </c>
      <c r="E2734" s="151" t="str">
        <f>'Reported burning'!E2734</f>
        <v>Fire suppression agent</v>
      </c>
      <c r="F2734" s="151" t="str">
        <f>'Reported burning'!F2734</f>
        <v>ND</v>
      </c>
      <c r="G2734" s="151" t="str">
        <f>'Reported burning'!G2734</f>
        <v>ND</v>
      </c>
      <c r="H2734" s="151" t="str">
        <f>'Reported burning'!H2734</f>
        <v>Absence</v>
      </c>
      <c r="I2734" s="5"/>
      <c r="J2734" s="21" t="s">
        <v>2359</v>
      </c>
      <c r="K2734" s="21" t="s">
        <v>2359</v>
      </c>
      <c r="L2734" s="21" t="s">
        <v>2359</v>
      </c>
      <c r="M2734" s="21" t="s">
        <v>2359</v>
      </c>
      <c r="N2734" s="21" t="s">
        <v>2359</v>
      </c>
      <c r="O2734" s="21" t="s">
        <v>2359</v>
      </c>
      <c r="P2734" s="21" t="s">
        <v>2359</v>
      </c>
      <c r="Q2734" s="21" t="s">
        <v>2359</v>
      </c>
      <c r="R2734" s="21" t="s">
        <v>2359</v>
      </c>
      <c r="S2734" s="21" t="s">
        <v>2359</v>
      </c>
      <c r="T2734" s="21" t="s">
        <v>2359</v>
      </c>
      <c r="U2734" s="21" t="s">
        <v>2359</v>
      </c>
      <c r="V2734" s="21" t="s">
        <v>2359</v>
      </c>
      <c r="W2734" s="21" t="s">
        <v>2359</v>
      </c>
      <c r="X2734" s="198" t="s">
        <v>2272</v>
      </c>
      <c r="Y2734" s="198" t="s">
        <v>67</v>
      </c>
      <c r="Z2734" s="198" t="s">
        <v>84</v>
      </c>
      <c r="AA2734" s="198" t="s">
        <v>75</v>
      </c>
      <c r="AB2734" s="198"/>
      <c r="AC2734" s="198"/>
    </row>
    <row r="2735" spans="1:29" ht="34.5" customHeight="1">
      <c r="A2735" s="151" t="str">
        <f>'Reported burning'!A2735</f>
        <v>305t</v>
      </c>
      <c r="B2735" s="151" t="str">
        <f>'Reported burning'!B2735</f>
        <v>305t.4</v>
      </c>
      <c r="C2735" s="151" t="str">
        <f>'Reported burning'!C2735</f>
        <v>Human, deliberate</v>
      </c>
      <c r="D2735" s="151" t="str">
        <f>'Reported burning'!D2735</f>
        <v>Pyrome management</v>
      </c>
      <c r="E2735" s="151" t="str">
        <f>'Reported burning'!E2735</f>
        <v>Fire suppression agent</v>
      </c>
      <c r="F2735" s="151" t="str">
        <f>'Reported burning'!F2735</f>
        <v>ND</v>
      </c>
      <c r="G2735" s="151" t="str">
        <f>'Reported burning'!G2735</f>
        <v>ND</v>
      </c>
      <c r="H2735" s="151" t="str">
        <f>'Reported burning'!H2735</f>
        <v>Absence</v>
      </c>
      <c r="I2735" s="5"/>
      <c r="J2735" s="21" t="s">
        <v>2359</v>
      </c>
      <c r="K2735" s="21" t="s">
        <v>2359</v>
      </c>
      <c r="L2735" s="21" t="s">
        <v>2359</v>
      </c>
      <c r="M2735" s="21" t="s">
        <v>2359</v>
      </c>
      <c r="N2735" s="21" t="s">
        <v>2359</v>
      </c>
      <c r="O2735" s="21" t="s">
        <v>2359</v>
      </c>
      <c r="P2735" s="21" t="s">
        <v>2359</v>
      </c>
      <c r="Q2735" s="21" t="s">
        <v>2359</v>
      </c>
      <c r="R2735" s="21" t="s">
        <v>2359</v>
      </c>
      <c r="S2735" s="21" t="s">
        <v>2359</v>
      </c>
      <c r="T2735" s="21" t="s">
        <v>2359</v>
      </c>
      <c r="U2735" s="21" t="s">
        <v>2359</v>
      </c>
      <c r="V2735" s="21" t="s">
        <v>2359</v>
      </c>
      <c r="W2735" s="21" t="s">
        <v>2359</v>
      </c>
      <c r="X2735" s="198" t="s">
        <v>2272</v>
      </c>
      <c r="Y2735" s="198" t="s">
        <v>67</v>
      </c>
      <c r="Z2735" s="198" t="s">
        <v>84</v>
      </c>
      <c r="AA2735" s="198" t="s">
        <v>75</v>
      </c>
      <c r="AB2735" s="198"/>
      <c r="AC2735" s="198"/>
    </row>
    <row r="2736" spans="1:29" ht="34.5" customHeight="1">
      <c r="A2736" s="151" t="str">
        <f>'Reported burning'!A2736</f>
        <v>305u</v>
      </c>
      <c r="B2736" s="151" t="str">
        <f>'Reported burning'!B2736</f>
        <v>305u.4</v>
      </c>
      <c r="C2736" s="151" t="str">
        <f>'Reported burning'!C2736</f>
        <v>Human, deliberate</v>
      </c>
      <c r="D2736" s="151" t="str">
        <f>'Reported burning'!D2736</f>
        <v>Pyrome management</v>
      </c>
      <c r="E2736" s="151" t="str">
        <f>'Reported burning'!E2736</f>
        <v>Fire suppression agent</v>
      </c>
      <c r="F2736" s="151" t="str">
        <f>'Reported burning'!F2736</f>
        <v>ND</v>
      </c>
      <c r="G2736" s="151" t="str">
        <f>'Reported burning'!G2736</f>
        <v>ND</v>
      </c>
      <c r="H2736" s="151" t="str">
        <f>'Reported burning'!H2736</f>
        <v>Presence</v>
      </c>
      <c r="I2736" s="5"/>
      <c r="J2736" s="198" t="s">
        <v>2272</v>
      </c>
      <c r="K2736" s="198" t="s">
        <v>2272</v>
      </c>
      <c r="L2736" s="198" t="s">
        <v>2272</v>
      </c>
      <c r="M2736" s="198" t="s">
        <v>2272</v>
      </c>
      <c r="N2736" s="198" t="s">
        <v>2272</v>
      </c>
      <c r="O2736" s="198" t="s">
        <v>2272</v>
      </c>
      <c r="P2736" s="198" t="s">
        <v>2272</v>
      </c>
      <c r="Q2736" s="198" t="s">
        <v>2272</v>
      </c>
      <c r="R2736" s="198" t="s">
        <v>2272</v>
      </c>
      <c r="S2736" s="198" t="s">
        <v>2272</v>
      </c>
      <c r="T2736" s="198" t="s">
        <v>2272</v>
      </c>
      <c r="U2736" s="198" t="s">
        <v>2272</v>
      </c>
      <c r="V2736" s="198" t="s">
        <v>2272</v>
      </c>
      <c r="W2736" s="198" t="s">
        <v>2272</v>
      </c>
      <c r="X2736" s="198" t="s">
        <v>2272</v>
      </c>
      <c r="Y2736" s="198" t="s">
        <v>67</v>
      </c>
      <c r="Z2736" s="198" t="s">
        <v>84</v>
      </c>
      <c r="AA2736" s="198" t="s">
        <v>75</v>
      </c>
      <c r="AB2736" s="198"/>
      <c r="AC2736" s="198"/>
    </row>
    <row r="2737" spans="1:29" ht="34.5" customHeight="1">
      <c r="A2737" s="151" t="str">
        <f>'Reported burning'!A2737</f>
        <v>305v</v>
      </c>
      <c r="B2737" s="151" t="str">
        <f>'Reported burning'!B2737</f>
        <v>305v.4</v>
      </c>
      <c r="C2737" s="151" t="str">
        <f>'Reported burning'!C2737</f>
        <v>Human, deliberate</v>
      </c>
      <c r="D2737" s="151" t="str">
        <f>'Reported burning'!D2737</f>
        <v>Pyrome management</v>
      </c>
      <c r="E2737" s="151" t="str">
        <f>'Reported burning'!E2737</f>
        <v>Fire suppression agent</v>
      </c>
      <c r="F2737" s="151" t="str">
        <f>'Reported burning'!F2737</f>
        <v>ND</v>
      </c>
      <c r="G2737" s="151" t="str">
        <f>'Reported burning'!G2737</f>
        <v>ND</v>
      </c>
      <c r="H2737" s="151" t="str">
        <f>'Reported burning'!H2737</f>
        <v>Presence</v>
      </c>
      <c r="I2737" s="5"/>
      <c r="J2737" s="198" t="s">
        <v>2272</v>
      </c>
      <c r="K2737" s="198" t="s">
        <v>2272</v>
      </c>
      <c r="L2737" s="198" t="s">
        <v>2272</v>
      </c>
      <c r="M2737" s="198" t="s">
        <v>2272</v>
      </c>
      <c r="N2737" s="198" t="s">
        <v>2272</v>
      </c>
      <c r="O2737" s="198" t="s">
        <v>2272</v>
      </c>
      <c r="P2737" s="198" t="s">
        <v>2272</v>
      </c>
      <c r="Q2737" s="198" t="s">
        <v>2272</v>
      </c>
      <c r="R2737" s="198" t="s">
        <v>2272</v>
      </c>
      <c r="S2737" s="198" t="s">
        <v>2272</v>
      </c>
      <c r="T2737" s="198" t="s">
        <v>2272</v>
      </c>
      <c r="U2737" s="198" t="s">
        <v>2272</v>
      </c>
      <c r="V2737" s="198" t="s">
        <v>2272</v>
      </c>
      <c r="W2737" s="198" t="s">
        <v>2272</v>
      </c>
      <c r="X2737" s="198" t="s">
        <v>2272</v>
      </c>
      <c r="Y2737" s="198" t="s">
        <v>67</v>
      </c>
      <c r="Z2737" s="198" t="s">
        <v>84</v>
      </c>
      <c r="AA2737" s="198" t="s">
        <v>75</v>
      </c>
      <c r="AB2737" s="198"/>
      <c r="AC2737" s="198"/>
    </row>
    <row r="2738" spans="1:29" ht="34.5" customHeight="1">
      <c r="A2738" s="151" t="str">
        <f>'Reported burning'!A2738</f>
        <v>305w</v>
      </c>
      <c r="B2738" s="151" t="str">
        <f>'Reported burning'!B2738</f>
        <v>305w.4</v>
      </c>
      <c r="C2738" s="151" t="str">
        <f>'Reported burning'!C2738</f>
        <v>Human, deliberate</v>
      </c>
      <c r="D2738" s="151" t="str">
        <f>'Reported burning'!D2738</f>
        <v>Pyrome management</v>
      </c>
      <c r="E2738" s="151" t="str">
        <f>'Reported burning'!E2738</f>
        <v>Fire suppression agent</v>
      </c>
      <c r="F2738" s="151" t="str">
        <f>'Reported burning'!F2738</f>
        <v>ND</v>
      </c>
      <c r="G2738" s="151" t="str">
        <f>'Reported burning'!G2738</f>
        <v>ND</v>
      </c>
      <c r="H2738" s="151" t="str">
        <f>'Reported burning'!H2738</f>
        <v>Presence</v>
      </c>
      <c r="I2738" s="5"/>
      <c r="J2738" s="198" t="s">
        <v>2272</v>
      </c>
      <c r="K2738" s="198" t="s">
        <v>2272</v>
      </c>
      <c r="L2738" s="198" t="s">
        <v>2272</v>
      </c>
      <c r="M2738" s="198" t="s">
        <v>2272</v>
      </c>
      <c r="N2738" s="198" t="s">
        <v>2272</v>
      </c>
      <c r="O2738" s="198" t="s">
        <v>2272</v>
      </c>
      <c r="P2738" s="198" t="s">
        <v>2272</v>
      </c>
      <c r="Q2738" s="198" t="s">
        <v>2272</v>
      </c>
      <c r="R2738" s="198" t="s">
        <v>2272</v>
      </c>
      <c r="S2738" s="198" t="s">
        <v>2272</v>
      </c>
      <c r="T2738" s="198" t="s">
        <v>2272</v>
      </c>
      <c r="U2738" s="198" t="s">
        <v>2272</v>
      </c>
      <c r="V2738" s="198" t="s">
        <v>2272</v>
      </c>
      <c r="W2738" s="198" t="s">
        <v>2272</v>
      </c>
      <c r="X2738" s="198" t="s">
        <v>2272</v>
      </c>
      <c r="Y2738" s="198" t="s">
        <v>67</v>
      </c>
      <c r="Z2738" s="198" t="s">
        <v>84</v>
      </c>
      <c r="AA2738" s="198" t="s">
        <v>75</v>
      </c>
      <c r="AB2738" s="198"/>
      <c r="AC2738" s="198"/>
    </row>
    <row r="2739" spans="1:29" ht="34.5" customHeight="1">
      <c r="A2739" s="151" t="str">
        <f>'Reported burning'!A2739</f>
        <v>305x</v>
      </c>
      <c r="B2739" s="151" t="str">
        <f>'Reported burning'!B2739</f>
        <v>305x.4</v>
      </c>
      <c r="C2739" s="151" t="str">
        <f>'Reported burning'!C2739</f>
        <v>Human, deliberate</v>
      </c>
      <c r="D2739" s="151" t="str">
        <f>'Reported burning'!D2739</f>
        <v>Pyrome management</v>
      </c>
      <c r="E2739" s="151" t="str">
        <f>'Reported burning'!E2739</f>
        <v>Fire suppression agent</v>
      </c>
      <c r="F2739" s="151" t="str">
        <f>'Reported burning'!F2739</f>
        <v>ND</v>
      </c>
      <c r="G2739" s="151" t="str">
        <f>'Reported burning'!G2739</f>
        <v>ND</v>
      </c>
      <c r="H2739" s="151" t="str">
        <f>'Reported burning'!H2739</f>
        <v>Presence</v>
      </c>
      <c r="I2739" s="5"/>
      <c r="J2739" s="198" t="s">
        <v>2272</v>
      </c>
      <c r="K2739" s="198" t="s">
        <v>2272</v>
      </c>
      <c r="L2739" s="198" t="s">
        <v>2272</v>
      </c>
      <c r="M2739" s="198" t="s">
        <v>2272</v>
      </c>
      <c r="N2739" s="198" t="s">
        <v>2272</v>
      </c>
      <c r="O2739" s="198" t="s">
        <v>2272</v>
      </c>
      <c r="P2739" s="198" t="s">
        <v>2272</v>
      </c>
      <c r="Q2739" s="198" t="s">
        <v>2272</v>
      </c>
      <c r="R2739" s="198" t="s">
        <v>2272</v>
      </c>
      <c r="S2739" s="198" t="s">
        <v>2272</v>
      </c>
      <c r="T2739" s="198" t="s">
        <v>2272</v>
      </c>
      <c r="U2739" s="198" t="s">
        <v>2272</v>
      </c>
      <c r="V2739" s="198" t="s">
        <v>2272</v>
      </c>
      <c r="W2739" s="198" t="s">
        <v>2272</v>
      </c>
      <c r="X2739" s="198" t="s">
        <v>2272</v>
      </c>
      <c r="Y2739" s="198" t="s">
        <v>67</v>
      </c>
      <c r="Z2739" s="198" t="s">
        <v>84</v>
      </c>
      <c r="AA2739" s="198" t="s">
        <v>75</v>
      </c>
      <c r="AB2739" s="198"/>
      <c r="AC2739" s="198"/>
    </row>
    <row r="2740" spans="1:29" ht="34.5" customHeight="1">
      <c r="A2740" s="151" t="str">
        <f>'Reported burning'!A2740</f>
        <v>305y</v>
      </c>
      <c r="B2740" s="151" t="str">
        <f>'Reported burning'!B2740</f>
        <v>305y.4</v>
      </c>
      <c r="C2740" s="151" t="str">
        <f>'Reported burning'!C2740</f>
        <v>Human, deliberate</v>
      </c>
      <c r="D2740" s="151" t="str">
        <f>'Reported burning'!D2740</f>
        <v>Pyrome management</v>
      </c>
      <c r="E2740" s="151" t="str">
        <f>'Reported burning'!E2740</f>
        <v>Fire suppression agent</v>
      </c>
      <c r="F2740" s="151" t="str">
        <f>'Reported burning'!F2740</f>
        <v>ND</v>
      </c>
      <c r="G2740" s="151" t="str">
        <f>'Reported burning'!G2740</f>
        <v>ND</v>
      </c>
      <c r="H2740" s="151" t="str">
        <f>'Reported burning'!H2740</f>
        <v>Presence</v>
      </c>
      <c r="I2740" s="5"/>
      <c r="J2740" s="198" t="s">
        <v>2272</v>
      </c>
      <c r="K2740" s="198" t="s">
        <v>2272</v>
      </c>
      <c r="L2740" s="198" t="s">
        <v>2272</v>
      </c>
      <c r="M2740" s="198" t="s">
        <v>2272</v>
      </c>
      <c r="N2740" s="198" t="s">
        <v>2272</v>
      </c>
      <c r="O2740" s="198" t="s">
        <v>2272</v>
      </c>
      <c r="P2740" s="198" t="s">
        <v>2272</v>
      </c>
      <c r="Q2740" s="198" t="s">
        <v>2272</v>
      </c>
      <c r="R2740" s="198" t="s">
        <v>2272</v>
      </c>
      <c r="S2740" s="198" t="s">
        <v>2272</v>
      </c>
      <c r="T2740" s="198" t="s">
        <v>2272</v>
      </c>
      <c r="U2740" s="198" t="s">
        <v>2272</v>
      </c>
      <c r="V2740" s="198" t="s">
        <v>2272</v>
      </c>
      <c r="W2740" s="198" t="s">
        <v>2272</v>
      </c>
      <c r="X2740" s="198" t="s">
        <v>2272</v>
      </c>
      <c r="Y2740" s="198" t="s">
        <v>67</v>
      </c>
      <c r="Z2740" s="198" t="s">
        <v>84</v>
      </c>
      <c r="AA2740" s="198" t="s">
        <v>75</v>
      </c>
      <c r="AB2740" s="198"/>
      <c r="AC2740" s="198"/>
    </row>
    <row r="2741" spans="1:29" ht="34.5" customHeight="1">
      <c r="A2741" s="151" t="str">
        <f>'Reported burning'!A2741</f>
        <v>305z</v>
      </c>
      <c r="B2741" s="151" t="str">
        <f>'Reported burning'!B2741</f>
        <v>305z.4</v>
      </c>
      <c r="C2741" s="151" t="str">
        <f>'Reported burning'!C2741</f>
        <v>Human, deliberate</v>
      </c>
      <c r="D2741" s="151" t="str">
        <f>'Reported burning'!D2741</f>
        <v>Pyrome management</v>
      </c>
      <c r="E2741" s="151" t="str">
        <f>'Reported burning'!E2741</f>
        <v>Fire suppression agent</v>
      </c>
      <c r="F2741" s="151" t="str">
        <f>'Reported burning'!F2741</f>
        <v>ND</v>
      </c>
      <c r="G2741" s="151" t="str">
        <f>'Reported burning'!G2741</f>
        <v>ND</v>
      </c>
      <c r="H2741" s="151" t="str">
        <f>'Reported burning'!H2741</f>
        <v>Presence</v>
      </c>
      <c r="I2741" s="5"/>
      <c r="J2741" s="198" t="s">
        <v>2272</v>
      </c>
      <c r="K2741" s="198" t="s">
        <v>2272</v>
      </c>
      <c r="L2741" s="198" t="s">
        <v>2272</v>
      </c>
      <c r="M2741" s="198" t="s">
        <v>2272</v>
      </c>
      <c r="N2741" s="198" t="s">
        <v>2272</v>
      </c>
      <c r="O2741" s="198" t="s">
        <v>2272</v>
      </c>
      <c r="P2741" s="198" t="s">
        <v>2272</v>
      </c>
      <c r="Q2741" s="198" t="s">
        <v>2272</v>
      </c>
      <c r="R2741" s="198" t="s">
        <v>2272</v>
      </c>
      <c r="S2741" s="198" t="s">
        <v>2272</v>
      </c>
      <c r="T2741" s="198" t="s">
        <v>2272</v>
      </c>
      <c r="U2741" s="198" t="s">
        <v>2272</v>
      </c>
      <c r="V2741" s="198" t="s">
        <v>2272</v>
      </c>
      <c r="W2741" s="198" t="s">
        <v>2272</v>
      </c>
      <c r="X2741" s="198" t="s">
        <v>2272</v>
      </c>
      <c r="Y2741" s="198" t="s">
        <v>67</v>
      </c>
      <c r="Z2741" s="198" t="s">
        <v>84</v>
      </c>
      <c r="AA2741" s="198" t="s">
        <v>75</v>
      </c>
      <c r="AB2741" s="198"/>
      <c r="AC2741" s="198"/>
    </row>
    <row r="2742" spans="1:29" ht="34.5" customHeight="1">
      <c r="A2742" s="151" t="str">
        <f>'Reported burning'!A2742</f>
        <v>305aa</v>
      </c>
      <c r="B2742" s="151" t="str">
        <f>'Reported burning'!B2742</f>
        <v>305aa.4</v>
      </c>
      <c r="C2742" s="151" t="str">
        <f>'Reported burning'!C2742</f>
        <v>Human, deliberate</v>
      </c>
      <c r="D2742" s="151" t="str">
        <f>'Reported burning'!D2742</f>
        <v>Pyrome management</v>
      </c>
      <c r="E2742" s="151" t="str">
        <f>'Reported burning'!E2742</f>
        <v>Fire suppression agent</v>
      </c>
      <c r="F2742" s="151" t="str">
        <f>'Reported burning'!F2742</f>
        <v>ND</v>
      </c>
      <c r="G2742" s="151" t="str">
        <f>'Reported burning'!G2742</f>
        <v>ND</v>
      </c>
      <c r="H2742" s="151" t="str">
        <f>'Reported burning'!H2742</f>
        <v>Presence</v>
      </c>
      <c r="I2742" s="5"/>
      <c r="J2742" s="198" t="s">
        <v>2272</v>
      </c>
      <c r="K2742" s="198" t="s">
        <v>2272</v>
      </c>
      <c r="L2742" s="198" t="s">
        <v>2272</v>
      </c>
      <c r="M2742" s="198" t="s">
        <v>2272</v>
      </c>
      <c r="N2742" s="198" t="s">
        <v>2272</v>
      </c>
      <c r="O2742" s="198" t="s">
        <v>2272</v>
      </c>
      <c r="P2742" s="198" t="s">
        <v>2272</v>
      </c>
      <c r="Q2742" s="198" t="s">
        <v>2272</v>
      </c>
      <c r="R2742" s="198" t="s">
        <v>2272</v>
      </c>
      <c r="S2742" s="198" t="s">
        <v>2272</v>
      </c>
      <c r="T2742" s="198" t="s">
        <v>2272</v>
      </c>
      <c r="U2742" s="198" t="s">
        <v>2272</v>
      </c>
      <c r="V2742" s="198" t="s">
        <v>2272</v>
      </c>
      <c r="W2742" s="198" t="s">
        <v>2272</v>
      </c>
      <c r="X2742" s="198" t="s">
        <v>2272</v>
      </c>
      <c r="Y2742" s="198" t="s">
        <v>67</v>
      </c>
      <c r="Z2742" s="198" t="s">
        <v>84</v>
      </c>
      <c r="AA2742" s="198" t="s">
        <v>75</v>
      </c>
      <c r="AB2742" s="198"/>
      <c r="AC2742" s="198"/>
    </row>
    <row r="2743" spans="1:29" ht="34.5" customHeight="1">
      <c r="A2743" s="151" t="str">
        <f>'Reported burning'!A2743</f>
        <v>305ab</v>
      </c>
      <c r="B2743" s="151" t="str">
        <f>'Reported burning'!B2743</f>
        <v>305ab.4</v>
      </c>
      <c r="C2743" s="151" t="str">
        <f>'Reported burning'!C2743</f>
        <v>Human, deliberate</v>
      </c>
      <c r="D2743" s="151" t="str">
        <f>'Reported burning'!D2743</f>
        <v>Pyrome management</v>
      </c>
      <c r="E2743" s="151" t="str">
        <f>'Reported burning'!E2743</f>
        <v>Fire suppression agent</v>
      </c>
      <c r="F2743" s="151" t="str">
        <f>'Reported burning'!F2743</f>
        <v>ND</v>
      </c>
      <c r="G2743" s="151" t="str">
        <f>'Reported burning'!G2743</f>
        <v>ND</v>
      </c>
      <c r="H2743" s="151" t="str">
        <f>'Reported burning'!H2743</f>
        <v>Presence</v>
      </c>
      <c r="I2743" s="5"/>
      <c r="J2743" s="198" t="s">
        <v>2272</v>
      </c>
      <c r="K2743" s="198" t="s">
        <v>2272</v>
      </c>
      <c r="L2743" s="198" t="s">
        <v>2272</v>
      </c>
      <c r="M2743" s="198" t="s">
        <v>2272</v>
      </c>
      <c r="N2743" s="198" t="s">
        <v>2272</v>
      </c>
      <c r="O2743" s="198" t="s">
        <v>2272</v>
      </c>
      <c r="P2743" s="198" t="s">
        <v>2272</v>
      </c>
      <c r="Q2743" s="198" t="s">
        <v>2272</v>
      </c>
      <c r="R2743" s="198" t="s">
        <v>2272</v>
      </c>
      <c r="S2743" s="198" t="s">
        <v>2272</v>
      </c>
      <c r="T2743" s="198" t="s">
        <v>2272</v>
      </c>
      <c r="U2743" s="198" t="s">
        <v>2272</v>
      </c>
      <c r="V2743" s="198" t="s">
        <v>2272</v>
      </c>
      <c r="W2743" s="198" t="s">
        <v>2272</v>
      </c>
      <c r="X2743" s="198" t="s">
        <v>2272</v>
      </c>
      <c r="Y2743" s="198" t="s">
        <v>67</v>
      </c>
      <c r="Z2743" s="198" t="s">
        <v>84</v>
      </c>
      <c r="AA2743" s="198" t="s">
        <v>75</v>
      </c>
      <c r="AB2743" s="198"/>
      <c r="AC2743" s="198"/>
    </row>
    <row r="2744" spans="1:29" ht="34.5" customHeight="1">
      <c r="A2744" s="151" t="str">
        <f>'Reported burning'!A2744</f>
        <v>305ac</v>
      </c>
      <c r="B2744" s="151" t="str">
        <f>'Reported burning'!B2744</f>
        <v>305ac.4</v>
      </c>
      <c r="C2744" s="151" t="str">
        <f>'Reported burning'!C2744</f>
        <v>Human, deliberate</v>
      </c>
      <c r="D2744" s="151" t="str">
        <f>'Reported burning'!D2744</f>
        <v>Pyrome management</v>
      </c>
      <c r="E2744" s="151" t="str">
        <f>'Reported burning'!E2744</f>
        <v>Fire suppression agent</v>
      </c>
      <c r="F2744" s="151" t="str">
        <f>'Reported burning'!F2744</f>
        <v>ND</v>
      </c>
      <c r="G2744" s="151" t="str">
        <f>'Reported burning'!G2744</f>
        <v>ND</v>
      </c>
      <c r="H2744" s="151" t="str">
        <f>'Reported burning'!H2744</f>
        <v>Presence</v>
      </c>
      <c r="I2744" s="5"/>
      <c r="J2744" s="198" t="s">
        <v>2272</v>
      </c>
      <c r="K2744" s="198" t="s">
        <v>2272</v>
      </c>
      <c r="L2744" s="198" t="s">
        <v>2272</v>
      </c>
      <c r="M2744" s="198" t="s">
        <v>2272</v>
      </c>
      <c r="N2744" s="198" t="s">
        <v>2272</v>
      </c>
      <c r="O2744" s="198" t="s">
        <v>2272</v>
      </c>
      <c r="P2744" s="198" t="s">
        <v>2272</v>
      </c>
      <c r="Q2744" s="198" t="s">
        <v>2272</v>
      </c>
      <c r="R2744" s="198" t="s">
        <v>2272</v>
      </c>
      <c r="S2744" s="198" t="s">
        <v>2272</v>
      </c>
      <c r="T2744" s="198" t="s">
        <v>2272</v>
      </c>
      <c r="U2744" s="198" t="s">
        <v>2272</v>
      </c>
      <c r="V2744" s="198" t="s">
        <v>2272</v>
      </c>
      <c r="W2744" s="198" t="s">
        <v>2272</v>
      </c>
      <c r="X2744" s="198" t="s">
        <v>2272</v>
      </c>
      <c r="Y2744" s="198" t="s">
        <v>67</v>
      </c>
      <c r="Z2744" s="198" t="s">
        <v>84</v>
      </c>
      <c r="AA2744" s="198" t="s">
        <v>75</v>
      </c>
      <c r="AB2744" s="198"/>
      <c r="AC2744" s="198"/>
    </row>
    <row r="2745" spans="1:29" ht="34.5" customHeight="1">
      <c r="A2745" s="151" t="str">
        <f>'Reported burning'!A2745</f>
        <v>305ad</v>
      </c>
      <c r="B2745" s="151" t="str">
        <f>'Reported burning'!B2745</f>
        <v>305ad.4</v>
      </c>
      <c r="C2745" s="151" t="str">
        <f>'Reported burning'!C2745</f>
        <v>Human, deliberate</v>
      </c>
      <c r="D2745" s="151" t="str">
        <f>'Reported burning'!D2745</f>
        <v>Pyrome management</v>
      </c>
      <c r="E2745" s="151" t="str">
        <f>'Reported burning'!E2745</f>
        <v>Fire suppression agent</v>
      </c>
      <c r="F2745" s="151" t="str">
        <f>'Reported burning'!F2745</f>
        <v>ND</v>
      </c>
      <c r="G2745" s="151" t="str">
        <f>'Reported burning'!G2745</f>
        <v>ND</v>
      </c>
      <c r="H2745" s="151" t="str">
        <f>'Reported burning'!H2745</f>
        <v>Presence</v>
      </c>
      <c r="I2745" s="5"/>
      <c r="J2745" s="198" t="s">
        <v>2272</v>
      </c>
      <c r="K2745" s="198" t="s">
        <v>2272</v>
      </c>
      <c r="L2745" s="198" t="s">
        <v>2272</v>
      </c>
      <c r="M2745" s="198" t="s">
        <v>2272</v>
      </c>
      <c r="N2745" s="198" t="s">
        <v>2272</v>
      </c>
      <c r="O2745" s="198" t="s">
        <v>2272</v>
      </c>
      <c r="P2745" s="198" t="s">
        <v>2272</v>
      </c>
      <c r="Q2745" s="198" t="s">
        <v>2272</v>
      </c>
      <c r="R2745" s="198" t="s">
        <v>2272</v>
      </c>
      <c r="S2745" s="198" t="s">
        <v>2272</v>
      </c>
      <c r="T2745" s="198" t="s">
        <v>2272</v>
      </c>
      <c r="U2745" s="198" t="s">
        <v>2272</v>
      </c>
      <c r="V2745" s="198" t="s">
        <v>2272</v>
      </c>
      <c r="W2745" s="198" t="s">
        <v>2272</v>
      </c>
      <c r="X2745" s="198" t="s">
        <v>2272</v>
      </c>
      <c r="Y2745" s="198" t="s">
        <v>67</v>
      </c>
      <c r="Z2745" s="198" t="s">
        <v>84</v>
      </c>
      <c r="AA2745" s="198" t="s">
        <v>75</v>
      </c>
      <c r="AB2745" s="198"/>
      <c r="AC2745" s="198"/>
    </row>
    <row r="2746" spans="1:29" ht="34.5" customHeight="1">
      <c r="A2746" s="151" t="str">
        <f>'Reported burning'!A2746</f>
        <v>305ae</v>
      </c>
      <c r="B2746" s="151" t="str">
        <f>'Reported burning'!B2746</f>
        <v>305ae.4</v>
      </c>
      <c r="C2746" s="151" t="str">
        <f>'Reported burning'!C2746</f>
        <v>Human, deliberate</v>
      </c>
      <c r="D2746" s="151" t="str">
        <f>'Reported burning'!D2746</f>
        <v>Pyrome management</v>
      </c>
      <c r="E2746" s="151" t="str">
        <f>'Reported burning'!E2746</f>
        <v>Fire suppression agent</v>
      </c>
      <c r="F2746" s="151" t="str">
        <f>'Reported burning'!F2746</f>
        <v>ND</v>
      </c>
      <c r="G2746" s="151" t="str">
        <f>'Reported burning'!G2746</f>
        <v>ND</v>
      </c>
      <c r="H2746" s="151" t="str">
        <f>'Reported burning'!H2746</f>
        <v>Presence</v>
      </c>
      <c r="I2746" s="5"/>
      <c r="J2746" s="198" t="s">
        <v>2272</v>
      </c>
      <c r="K2746" s="198" t="s">
        <v>2272</v>
      </c>
      <c r="L2746" s="198" t="s">
        <v>2272</v>
      </c>
      <c r="M2746" s="198" t="s">
        <v>2272</v>
      </c>
      <c r="N2746" s="198" t="s">
        <v>2272</v>
      </c>
      <c r="O2746" s="198" t="s">
        <v>2272</v>
      </c>
      <c r="P2746" s="198" t="s">
        <v>2272</v>
      </c>
      <c r="Q2746" s="198" t="s">
        <v>2272</v>
      </c>
      <c r="R2746" s="198" t="s">
        <v>2272</v>
      </c>
      <c r="S2746" s="198" t="s">
        <v>2272</v>
      </c>
      <c r="T2746" s="198" t="s">
        <v>2272</v>
      </c>
      <c r="U2746" s="198" t="s">
        <v>2272</v>
      </c>
      <c r="V2746" s="198" t="s">
        <v>2272</v>
      </c>
      <c r="W2746" s="198" t="s">
        <v>2272</v>
      </c>
      <c r="X2746" s="198" t="s">
        <v>2272</v>
      </c>
      <c r="Y2746" s="198" t="s">
        <v>67</v>
      </c>
      <c r="Z2746" s="198" t="s">
        <v>84</v>
      </c>
      <c r="AA2746" s="198" t="s">
        <v>75</v>
      </c>
      <c r="AB2746" s="198"/>
      <c r="AC2746" s="198"/>
    </row>
    <row r="2747" spans="1:29" ht="34.5" customHeight="1">
      <c r="A2747" s="151" t="str">
        <f>'Reported burning'!A2747</f>
        <v>305n</v>
      </c>
      <c r="B2747" s="151" t="str">
        <f>'Reported burning'!B2747</f>
        <v>305n.5</v>
      </c>
      <c r="C2747" s="151" t="str">
        <f>'Reported burning'!C2747</f>
        <v>Human, deliberate</v>
      </c>
      <c r="D2747" s="151" t="str">
        <f>'Reported burning'!D2747</f>
        <v>Pyrome management</v>
      </c>
      <c r="E2747" s="151" t="str">
        <f>'Reported burning'!E2747</f>
        <v>Fire suppression agent</v>
      </c>
      <c r="F2747" s="151" t="str">
        <f>'Reported burning'!F2747</f>
        <v>ND</v>
      </c>
      <c r="G2747" s="151" t="str">
        <f>'Reported burning'!G2747</f>
        <v>ND</v>
      </c>
      <c r="H2747" s="151" t="str">
        <f>'Reported burning'!H2747</f>
        <v>Presence</v>
      </c>
      <c r="I2747" s="5"/>
      <c r="J2747" s="198" t="s">
        <v>2272</v>
      </c>
      <c r="K2747" s="198" t="s">
        <v>2272</v>
      </c>
      <c r="L2747" s="198" t="s">
        <v>2272</v>
      </c>
      <c r="M2747" s="198" t="s">
        <v>2272</v>
      </c>
      <c r="N2747" s="198" t="s">
        <v>2272</v>
      </c>
      <c r="O2747" s="198" t="s">
        <v>2272</v>
      </c>
      <c r="P2747" s="198" t="s">
        <v>2272</v>
      </c>
      <c r="Q2747" s="198" t="s">
        <v>2272</v>
      </c>
      <c r="R2747" s="198" t="s">
        <v>2272</v>
      </c>
      <c r="S2747" s="198" t="s">
        <v>2272</v>
      </c>
      <c r="T2747" s="198" t="s">
        <v>2272</v>
      </c>
      <c r="U2747" s="198" t="s">
        <v>2272</v>
      </c>
      <c r="V2747" s="198" t="s">
        <v>2272</v>
      </c>
      <c r="W2747" s="198" t="s">
        <v>2272</v>
      </c>
      <c r="X2747" s="198" t="s">
        <v>2272</v>
      </c>
      <c r="Y2747" s="198" t="s">
        <v>67</v>
      </c>
      <c r="Z2747" s="198" t="s">
        <v>84</v>
      </c>
      <c r="AA2747" s="198" t="s">
        <v>75</v>
      </c>
      <c r="AB2747" s="198"/>
      <c r="AC2747" s="198"/>
    </row>
    <row r="2748" spans="1:29" ht="34.5" customHeight="1">
      <c r="A2748" s="151" t="str">
        <f>'Reported burning'!A2748</f>
        <v>305o</v>
      </c>
      <c r="B2748" s="151" t="str">
        <f>'Reported burning'!B2748</f>
        <v>305o.5</v>
      </c>
      <c r="C2748" s="151" t="str">
        <f>'Reported burning'!C2748</f>
        <v>Human, deliberate</v>
      </c>
      <c r="D2748" s="151" t="str">
        <f>'Reported burning'!D2748</f>
        <v>Pyrome management</v>
      </c>
      <c r="E2748" s="151" t="str">
        <f>'Reported burning'!E2748</f>
        <v>Fire suppression agent</v>
      </c>
      <c r="F2748" s="151" t="str">
        <f>'Reported burning'!F2748</f>
        <v>ND</v>
      </c>
      <c r="G2748" s="151" t="str">
        <f>'Reported burning'!G2748</f>
        <v>ND</v>
      </c>
      <c r="H2748" s="151" t="str">
        <f>'Reported burning'!H2748</f>
        <v>Presence</v>
      </c>
      <c r="I2748" s="5"/>
      <c r="J2748" s="198" t="s">
        <v>2272</v>
      </c>
      <c r="K2748" s="198" t="s">
        <v>2272</v>
      </c>
      <c r="L2748" s="198" t="s">
        <v>2272</v>
      </c>
      <c r="M2748" s="198" t="s">
        <v>2272</v>
      </c>
      <c r="N2748" s="198" t="s">
        <v>2272</v>
      </c>
      <c r="O2748" s="198" t="s">
        <v>2272</v>
      </c>
      <c r="P2748" s="198" t="s">
        <v>2272</v>
      </c>
      <c r="Q2748" s="198" t="s">
        <v>2272</v>
      </c>
      <c r="R2748" s="198" t="s">
        <v>2272</v>
      </c>
      <c r="S2748" s="198" t="s">
        <v>2272</v>
      </c>
      <c r="T2748" s="198" t="s">
        <v>2272</v>
      </c>
      <c r="U2748" s="198" t="s">
        <v>2272</v>
      </c>
      <c r="V2748" s="198" t="s">
        <v>2272</v>
      </c>
      <c r="W2748" s="198" t="s">
        <v>2272</v>
      </c>
      <c r="X2748" s="198" t="s">
        <v>2272</v>
      </c>
      <c r="Y2748" s="198" t="s">
        <v>67</v>
      </c>
      <c r="Z2748" s="198" t="s">
        <v>84</v>
      </c>
      <c r="AA2748" s="198" t="s">
        <v>75</v>
      </c>
      <c r="AB2748" s="198"/>
      <c r="AC2748" s="198"/>
    </row>
    <row r="2749" spans="1:29" ht="34.5" customHeight="1">
      <c r="A2749" s="151" t="str">
        <f>'Reported burning'!A2749</f>
        <v>305p</v>
      </c>
      <c r="B2749" s="151" t="str">
        <f>'Reported burning'!B2749</f>
        <v>305p.5</v>
      </c>
      <c r="C2749" s="151" t="str">
        <f>'Reported burning'!C2749</f>
        <v>Human, deliberate</v>
      </c>
      <c r="D2749" s="151" t="str">
        <f>'Reported burning'!D2749</f>
        <v>Pyrome management</v>
      </c>
      <c r="E2749" s="151" t="str">
        <f>'Reported burning'!E2749</f>
        <v>Fire suppression agent</v>
      </c>
      <c r="F2749" s="151" t="str">
        <f>'Reported burning'!F2749</f>
        <v>ND</v>
      </c>
      <c r="G2749" s="151" t="str">
        <f>'Reported burning'!G2749</f>
        <v>ND</v>
      </c>
      <c r="H2749" s="151" t="str">
        <f>'Reported burning'!H2749</f>
        <v>Presence</v>
      </c>
      <c r="I2749" s="5"/>
      <c r="J2749" s="198" t="s">
        <v>2272</v>
      </c>
      <c r="K2749" s="198" t="s">
        <v>2272</v>
      </c>
      <c r="L2749" s="198" t="s">
        <v>2272</v>
      </c>
      <c r="M2749" s="198" t="s">
        <v>2272</v>
      </c>
      <c r="N2749" s="198" t="s">
        <v>2272</v>
      </c>
      <c r="O2749" s="198" t="s">
        <v>2272</v>
      </c>
      <c r="P2749" s="198" t="s">
        <v>2272</v>
      </c>
      <c r="Q2749" s="198" t="s">
        <v>2272</v>
      </c>
      <c r="R2749" s="198" t="s">
        <v>2272</v>
      </c>
      <c r="S2749" s="198" t="s">
        <v>2272</v>
      </c>
      <c r="T2749" s="198" t="s">
        <v>2272</v>
      </c>
      <c r="U2749" s="198" t="s">
        <v>2272</v>
      </c>
      <c r="V2749" s="198" t="s">
        <v>2272</v>
      </c>
      <c r="W2749" s="198" t="s">
        <v>2272</v>
      </c>
      <c r="X2749" s="198" t="s">
        <v>2272</v>
      </c>
      <c r="Y2749" s="198" t="s">
        <v>67</v>
      </c>
      <c r="Z2749" s="198" t="s">
        <v>84</v>
      </c>
      <c r="AA2749" s="198" t="s">
        <v>75</v>
      </c>
      <c r="AB2749" s="198"/>
      <c r="AC2749" s="198"/>
    </row>
    <row r="2750" spans="1:29" ht="34.5" customHeight="1">
      <c r="A2750" s="151" t="str">
        <f>'Reported burning'!A2750</f>
        <v>305q</v>
      </c>
      <c r="B2750" s="151" t="str">
        <f>'Reported burning'!B2750</f>
        <v>305q.5</v>
      </c>
      <c r="C2750" s="151" t="str">
        <f>'Reported burning'!C2750</f>
        <v>Human, deliberate</v>
      </c>
      <c r="D2750" s="151" t="str">
        <f>'Reported burning'!D2750</f>
        <v>Pyrome management</v>
      </c>
      <c r="E2750" s="151" t="str">
        <f>'Reported burning'!E2750</f>
        <v>Fire suppression agent</v>
      </c>
      <c r="F2750" s="151" t="str">
        <f>'Reported burning'!F2750</f>
        <v>ND</v>
      </c>
      <c r="G2750" s="151" t="str">
        <f>'Reported burning'!G2750</f>
        <v>ND</v>
      </c>
      <c r="H2750" s="151" t="str">
        <f>'Reported burning'!H2750</f>
        <v>Presence</v>
      </c>
      <c r="I2750" s="5"/>
      <c r="J2750" s="198" t="s">
        <v>2272</v>
      </c>
      <c r="K2750" s="198" t="s">
        <v>2272</v>
      </c>
      <c r="L2750" s="198" t="s">
        <v>2272</v>
      </c>
      <c r="M2750" s="198" t="s">
        <v>2272</v>
      </c>
      <c r="N2750" s="198" t="s">
        <v>2272</v>
      </c>
      <c r="O2750" s="198" t="s">
        <v>2272</v>
      </c>
      <c r="P2750" s="198" t="s">
        <v>2272</v>
      </c>
      <c r="Q2750" s="198" t="s">
        <v>2272</v>
      </c>
      <c r="R2750" s="198" t="s">
        <v>2272</v>
      </c>
      <c r="S2750" s="198" t="s">
        <v>2272</v>
      </c>
      <c r="T2750" s="198" t="s">
        <v>2272</v>
      </c>
      <c r="U2750" s="198" t="s">
        <v>2272</v>
      </c>
      <c r="V2750" s="198" t="s">
        <v>2272</v>
      </c>
      <c r="W2750" s="198" t="s">
        <v>2272</v>
      </c>
      <c r="X2750" s="198" t="s">
        <v>2272</v>
      </c>
      <c r="Y2750" s="198" t="s">
        <v>67</v>
      </c>
      <c r="Z2750" s="198" t="s">
        <v>84</v>
      </c>
      <c r="AA2750" s="198" t="s">
        <v>75</v>
      </c>
      <c r="AB2750" s="198"/>
      <c r="AC2750" s="198"/>
    </row>
    <row r="2751" spans="1:29" ht="34.5" customHeight="1">
      <c r="A2751" s="151" t="str">
        <f>'Reported burning'!A2751</f>
        <v>305r</v>
      </c>
      <c r="B2751" s="151" t="str">
        <f>'Reported burning'!B2751</f>
        <v>305r.5</v>
      </c>
      <c r="C2751" s="151" t="str">
        <f>'Reported burning'!C2751</f>
        <v>Human, deliberate</v>
      </c>
      <c r="D2751" s="151" t="str">
        <f>'Reported burning'!D2751</f>
        <v>Pyrome management</v>
      </c>
      <c r="E2751" s="151" t="str">
        <f>'Reported burning'!E2751</f>
        <v>Fire suppression agent</v>
      </c>
      <c r="F2751" s="151" t="str">
        <f>'Reported burning'!F2751</f>
        <v>ND</v>
      </c>
      <c r="G2751" s="151" t="str">
        <f>'Reported burning'!G2751</f>
        <v>ND</v>
      </c>
      <c r="H2751" s="151" t="str">
        <f>'Reported burning'!H2751</f>
        <v>Absence</v>
      </c>
      <c r="I2751" s="5"/>
      <c r="J2751" s="21" t="s">
        <v>2359</v>
      </c>
      <c r="K2751" s="21" t="s">
        <v>2359</v>
      </c>
      <c r="L2751" s="21" t="s">
        <v>2359</v>
      </c>
      <c r="M2751" s="21" t="s">
        <v>2359</v>
      </c>
      <c r="N2751" s="21" t="s">
        <v>2359</v>
      </c>
      <c r="O2751" s="21" t="s">
        <v>2359</v>
      </c>
      <c r="P2751" s="21" t="s">
        <v>2359</v>
      </c>
      <c r="Q2751" s="21" t="s">
        <v>2359</v>
      </c>
      <c r="R2751" s="21" t="s">
        <v>2359</v>
      </c>
      <c r="S2751" s="21" t="s">
        <v>2359</v>
      </c>
      <c r="T2751" s="21" t="s">
        <v>2359</v>
      </c>
      <c r="U2751" s="21" t="s">
        <v>2359</v>
      </c>
      <c r="V2751" s="21" t="s">
        <v>2359</v>
      </c>
      <c r="W2751" s="21" t="s">
        <v>2359</v>
      </c>
      <c r="X2751" s="198" t="s">
        <v>2272</v>
      </c>
      <c r="Y2751" s="198" t="s">
        <v>67</v>
      </c>
      <c r="Z2751" s="198" t="s">
        <v>84</v>
      </c>
      <c r="AA2751" s="198" t="s">
        <v>75</v>
      </c>
      <c r="AB2751" s="198"/>
      <c r="AC2751" s="198"/>
    </row>
    <row r="2752" spans="1:29" ht="34.5" customHeight="1">
      <c r="A2752" s="151" t="str">
        <f>'Reported burning'!A2752</f>
        <v>305s</v>
      </c>
      <c r="B2752" s="151" t="str">
        <f>'Reported burning'!B2752</f>
        <v>305s.5</v>
      </c>
      <c r="C2752" s="151" t="str">
        <f>'Reported burning'!C2752</f>
        <v>Human, deliberate</v>
      </c>
      <c r="D2752" s="151" t="str">
        <f>'Reported burning'!D2752</f>
        <v>Pyrome management</v>
      </c>
      <c r="E2752" s="151" t="str">
        <f>'Reported burning'!E2752</f>
        <v>Fire suppression agent</v>
      </c>
      <c r="F2752" s="151" t="str">
        <f>'Reported burning'!F2752</f>
        <v>ND</v>
      </c>
      <c r="G2752" s="151" t="str">
        <f>'Reported burning'!G2752</f>
        <v>ND</v>
      </c>
      <c r="H2752" s="151" t="str">
        <f>'Reported burning'!H2752</f>
        <v>Absence</v>
      </c>
      <c r="I2752" s="5"/>
      <c r="J2752" s="21" t="s">
        <v>2359</v>
      </c>
      <c r="K2752" s="21" t="s">
        <v>2359</v>
      </c>
      <c r="L2752" s="21" t="s">
        <v>2359</v>
      </c>
      <c r="M2752" s="21" t="s">
        <v>2359</v>
      </c>
      <c r="N2752" s="21" t="s">
        <v>2359</v>
      </c>
      <c r="O2752" s="21" t="s">
        <v>2359</v>
      </c>
      <c r="P2752" s="21" t="s">
        <v>2359</v>
      </c>
      <c r="Q2752" s="21" t="s">
        <v>2359</v>
      </c>
      <c r="R2752" s="21" t="s">
        <v>2359</v>
      </c>
      <c r="S2752" s="21" t="s">
        <v>2359</v>
      </c>
      <c r="T2752" s="21" t="s">
        <v>2359</v>
      </c>
      <c r="U2752" s="21" t="s">
        <v>2359</v>
      </c>
      <c r="V2752" s="21" t="s">
        <v>2359</v>
      </c>
      <c r="W2752" s="21" t="s">
        <v>2359</v>
      </c>
      <c r="X2752" s="198" t="s">
        <v>2272</v>
      </c>
      <c r="Y2752" s="198" t="s">
        <v>67</v>
      </c>
      <c r="Z2752" s="198" t="s">
        <v>84</v>
      </c>
      <c r="AA2752" s="198" t="s">
        <v>75</v>
      </c>
      <c r="AB2752" s="198"/>
      <c r="AC2752" s="198"/>
    </row>
    <row r="2753" spans="1:29" ht="34.5" customHeight="1">
      <c r="A2753" s="151" t="str">
        <f>'Reported burning'!A2753</f>
        <v>305t</v>
      </c>
      <c r="B2753" s="151" t="str">
        <f>'Reported burning'!B2753</f>
        <v>305t.5</v>
      </c>
      <c r="C2753" s="151" t="str">
        <f>'Reported burning'!C2753</f>
        <v>Human, deliberate</v>
      </c>
      <c r="D2753" s="151" t="str">
        <f>'Reported burning'!D2753</f>
        <v>Pyrome management</v>
      </c>
      <c r="E2753" s="151" t="str">
        <f>'Reported burning'!E2753</f>
        <v>Fire suppression agent</v>
      </c>
      <c r="F2753" s="151" t="str">
        <f>'Reported burning'!F2753</f>
        <v>ND</v>
      </c>
      <c r="G2753" s="151" t="str">
        <f>'Reported burning'!G2753</f>
        <v>ND</v>
      </c>
      <c r="H2753" s="151" t="str">
        <f>'Reported burning'!H2753</f>
        <v>Absence</v>
      </c>
      <c r="I2753" s="5"/>
      <c r="J2753" s="21" t="s">
        <v>2359</v>
      </c>
      <c r="K2753" s="21" t="s">
        <v>2359</v>
      </c>
      <c r="L2753" s="21" t="s">
        <v>2359</v>
      </c>
      <c r="M2753" s="21" t="s">
        <v>2359</v>
      </c>
      <c r="N2753" s="21" t="s">
        <v>2359</v>
      </c>
      <c r="O2753" s="21" t="s">
        <v>2359</v>
      </c>
      <c r="P2753" s="21" t="s">
        <v>2359</v>
      </c>
      <c r="Q2753" s="21" t="s">
        <v>2359</v>
      </c>
      <c r="R2753" s="21" t="s">
        <v>2359</v>
      </c>
      <c r="S2753" s="21" t="s">
        <v>2359</v>
      </c>
      <c r="T2753" s="21" t="s">
        <v>2359</v>
      </c>
      <c r="U2753" s="21" t="s">
        <v>2359</v>
      </c>
      <c r="V2753" s="21" t="s">
        <v>2359</v>
      </c>
      <c r="W2753" s="21" t="s">
        <v>2359</v>
      </c>
      <c r="X2753" s="198" t="s">
        <v>2272</v>
      </c>
      <c r="Y2753" s="198" t="s">
        <v>67</v>
      </c>
      <c r="Z2753" s="198" t="s">
        <v>84</v>
      </c>
      <c r="AA2753" s="198" t="s">
        <v>75</v>
      </c>
      <c r="AB2753" s="198"/>
      <c r="AC2753" s="198"/>
    </row>
    <row r="2754" spans="1:29" ht="34.5" customHeight="1">
      <c r="A2754" s="151" t="str">
        <f>'Reported burning'!A2754</f>
        <v>305u</v>
      </c>
      <c r="B2754" s="151" t="str">
        <f>'Reported burning'!B2754</f>
        <v>305u.5</v>
      </c>
      <c r="C2754" s="151" t="str">
        <f>'Reported burning'!C2754</f>
        <v>Human, deliberate</v>
      </c>
      <c r="D2754" s="151" t="str">
        <f>'Reported burning'!D2754</f>
        <v>Pyrome management</v>
      </c>
      <c r="E2754" s="151" t="str">
        <f>'Reported burning'!E2754</f>
        <v>Fire suppression agent</v>
      </c>
      <c r="F2754" s="151" t="str">
        <f>'Reported burning'!F2754</f>
        <v>ND</v>
      </c>
      <c r="G2754" s="151" t="str">
        <f>'Reported burning'!G2754</f>
        <v>ND</v>
      </c>
      <c r="H2754" s="151" t="str">
        <f>'Reported burning'!H2754</f>
        <v>Presence</v>
      </c>
      <c r="I2754" s="5"/>
      <c r="J2754" s="198" t="s">
        <v>2272</v>
      </c>
      <c r="K2754" s="198" t="s">
        <v>2272</v>
      </c>
      <c r="L2754" s="198" t="s">
        <v>2272</v>
      </c>
      <c r="M2754" s="198" t="s">
        <v>2272</v>
      </c>
      <c r="N2754" s="198" t="s">
        <v>2272</v>
      </c>
      <c r="O2754" s="198" t="s">
        <v>2272</v>
      </c>
      <c r="P2754" s="198" t="s">
        <v>2272</v>
      </c>
      <c r="Q2754" s="198" t="s">
        <v>2272</v>
      </c>
      <c r="R2754" s="198" t="s">
        <v>2272</v>
      </c>
      <c r="S2754" s="198" t="s">
        <v>2272</v>
      </c>
      <c r="T2754" s="198" t="s">
        <v>2272</v>
      </c>
      <c r="U2754" s="198" t="s">
        <v>2272</v>
      </c>
      <c r="V2754" s="198" t="s">
        <v>2272</v>
      </c>
      <c r="W2754" s="198" t="s">
        <v>2272</v>
      </c>
      <c r="X2754" s="198" t="s">
        <v>2272</v>
      </c>
      <c r="Y2754" s="198" t="s">
        <v>67</v>
      </c>
      <c r="Z2754" s="198" t="s">
        <v>84</v>
      </c>
      <c r="AA2754" s="198" t="s">
        <v>75</v>
      </c>
      <c r="AB2754" s="198"/>
      <c r="AC2754" s="198"/>
    </row>
    <row r="2755" spans="1:29" ht="34.5" customHeight="1">
      <c r="A2755" s="151" t="str">
        <f>'Reported burning'!A2755</f>
        <v>305v</v>
      </c>
      <c r="B2755" s="151" t="str">
        <f>'Reported burning'!B2755</f>
        <v>305v.5</v>
      </c>
      <c r="C2755" s="151" t="str">
        <f>'Reported burning'!C2755</f>
        <v>Human, deliberate</v>
      </c>
      <c r="D2755" s="151" t="str">
        <f>'Reported burning'!D2755</f>
        <v>Pyrome management</v>
      </c>
      <c r="E2755" s="151" t="str">
        <f>'Reported burning'!E2755</f>
        <v>Fire suppression agent</v>
      </c>
      <c r="F2755" s="151" t="str">
        <f>'Reported burning'!F2755</f>
        <v>ND</v>
      </c>
      <c r="G2755" s="151" t="str">
        <f>'Reported burning'!G2755</f>
        <v>ND</v>
      </c>
      <c r="H2755" s="151" t="str">
        <f>'Reported burning'!H2755</f>
        <v>Presence</v>
      </c>
      <c r="I2755" s="5"/>
      <c r="J2755" s="198" t="s">
        <v>2272</v>
      </c>
      <c r="K2755" s="198" t="s">
        <v>2272</v>
      </c>
      <c r="L2755" s="198" t="s">
        <v>2272</v>
      </c>
      <c r="M2755" s="198" t="s">
        <v>2272</v>
      </c>
      <c r="N2755" s="198" t="s">
        <v>2272</v>
      </c>
      <c r="O2755" s="198" t="s">
        <v>2272</v>
      </c>
      <c r="P2755" s="198" t="s">
        <v>2272</v>
      </c>
      <c r="Q2755" s="198" t="s">
        <v>2272</v>
      </c>
      <c r="R2755" s="198" t="s">
        <v>2272</v>
      </c>
      <c r="S2755" s="198" t="s">
        <v>2272</v>
      </c>
      <c r="T2755" s="198" t="s">
        <v>2272</v>
      </c>
      <c r="U2755" s="198" t="s">
        <v>2272</v>
      </c>
      <c r="V2755" s="198" t="s">
        <v>2272</v>
      </c>
      <c r="W2755" s="198" t="s">
        <v>2272</v>
      </c>
      <c r="X2755" s="198" t="s">
        <v>2272</v>
      </c>
      <c r="Y2755" s="198" t="s">
        <v>67</v>
      </c>
      <c r="Z2755" s="198" t="s">
        <v>84</v>
      </c>
      <c r="AA2755" s="198" t="s">
        <v>75</v>
      </c>
      <c r="AB2755" s="198"/>
      <c r="AC2755" s="198"/>
    </row>
    <row r="2756" spans="1:29" ht="34.5" customHeight="1">
      <c r="A2756" s="151" t="str">
        <f>'Reported burning'!A2756</f>
        <v>305w</v>
      </c>
      <c r="B2756" s="151" t="str">
        <f>'Reported burning'!B2756</f>
        <v>305w.5</v>
      </c>
      <c r="C2756" s="151" t="str">
        <f>'Reported burning'!C2756</f>
        <v>Human, deliberate</v>
      </c>
      <c r="D2756" s="151" t="str">
        <f>'Reported burning'!D2756</f>
        <v>Pyrome management</v>
      </c>
      <c r="E2756" s="151" t="str">
        <f>'Reported burning'!E2756</f>
        <v>Fire suppression agent</v>
      </c>
      <c r="F2756" s="151" t="str">
        <f>'Reported burning'!F2756</f>
        <v>ND</v>
      </c>
      <c r="G2756" s="151" t="str">
        <f>'Reported burning'!G2756</f>
        <v>ND</v>
      </c>
      <c r="H2756" s="151" t="str">
        <f>'Reported burning'!H2756</f>
        <v>Presence</v>
      </c>
      <c r="I2756" s="5"/>
      <c r="J2756" s="198" t="s">
        <v>2272</v>
      </c>
      <c r="K2756" s="198" t="s">
        <v>2272</v>
      </c>
      <c r="L2756" s="198" t="s">
        <v>2272</v>
      </c>
      <c r="M2756" s="198" t="s">
        <v>2272</v>
      </c>
      <c r="N2756" s="198" t="s">
        <v>2272</v>
      </c>
      <c r="O2756" s="198" t="s">
        <v>2272</v>
      </c>
      <c r="P2756" s="198" t="s">
        <v>2272</v>
      </c>
      <c r="Q2756" s="198" t="s">
        <v>2272</v>
      </c>
      <c r="R2756" s="198" t="s">
        <v>2272</v>
      </c>
      <c r="S2756" s="198" t="s">
        <v>2272</v>
      </c>
      <c r="T2756" s="198" t="s">
        <v>2272</v>
      </c>
      <c r="U2756" s="198" t="s">
        <v>2272</v>
      </c>
      <c r="V2756" s="198" t="s">
        <v>2272</v>
      </c>
      <c r="W2756" s="198" t="s">
        <v>2272</v>
      </c>
      <c r="X2756" s="198" t="s">
        <v>2272</v>
      </c>
      <c r="Y2756" s="198" t="s">
        <v>67</v>
      </c>
      <c r="Z2756" s="198" t="s">
        <v>84</v>
      </c>
      <c r="AA2756" s="198" t="s">
        <v>75</v>
      </c>
      <c r="AB2756" s="198"/>
      <c r="AC2756" s="198"/>
    </row>
    <row r="2757" spans="1:29" ht="34.5" customHeight="1">
      <c r="A2757" s="151" t="str">
        <f>'Reported burning'!A2757</f>
        <v>305x</v>
      </c>
      <c r="B2757" s="151" t="str">
        <f>'Reported burning'!B2757</f>
        <v>305x.5</v>
      </c>
      <c r="C2757" s="151" t="str">
        <f>'Reported burning'!C2757</f>
        <v>Human, deliberate</v>
      </c>
      <c r="D2757" s="151" t="str">
        <f>'Reported burning'!D2757</f>
        <v>Pyrome management</v>
      </c>
      <c r="E2757" s="151" t="str">
        <f>'Reported burning'!E2757</f>
        <v>Fire suppression agent</v>
      </c>
      <c r="F2757" s="151" t="str">
        <f>'Reported burning'!F2757</f>
        <v>ND</v>
      </c>
      <c r="G2757" s="151" t="str">
        <f>'Reported burning'!G2757</f>
        <v>ND</v>
      </c>
      <c r="H2757" s="151" t="str">
        <f>'Reported burning'!H2757</f>
        <v>Presence</v>
      </c>
      <c r="I2757" s="5"/>
      <c r="J2757" s="198" t="s">
        <v>2272</v>
      </c>
      <c r="K2757" s="198" t="s">
        <v>2272</v>
      </c>
      <c r="L2757" s="198" t="s">
        <v>2272</v>
      </c>
      <c r="M2757" s="198" t="s">
        <v>2272</v>
      </c>
      <c r="N2757" s="198" t="s">
        <v>2272</v>
      </c>
      <c r="O2757" s="198" t="s">
        <v>2272</v>
      </c>
      <c r="P2757" s="198" t="s">
        <v>2272</v>
      </c>
      <c r="Q2757" s="198" t="s">
        <v>2272</v>
      </c>
      <c r="R2757" s="198" t="s">
        <v>2272</v>
      </c>
      <c r="S2757" s="198" t="s">
        <v>2272</v>
      </c>
      <c r="T2757" s="198" t="s">
        <v>2272</v>
      </c>
      <c r="U2757" s="198" t="s">
        <v>2272</v>
      </c>
      <c r="V2757" s="198" t="s">
        <v>2272</v>
      </c>
      <c r="W2757" s="198" t="s">
        <v>2272</v>
      </c>
      <c r="X2757" s="198" t="s">
        <v>2272</v>
      </c>
      <c r="Y2757" s="198" t="s">
        <v>67</v>
      </c>
      <c r="Z2757" s="198" t="s">
        <v>84</v>
      </c>
      <c r="AA2757" s="198" t="s">
        <v>75</v>
      </c>
      <c r="AB2757" s="198"/>
      <c r="AC2757" s="198"/>
    </row>
    <row r="2758" spans="1:29" ht="34.5" customHeight="1">
      <c r="A2758" s="151" t="str">
        <f>'Reported burning'!A2758</f>
        <v>305y</v>
      </c>
      <c r="B2758" s="151" t="str">
        <f>'Reported burning'!B2758</f>
        <v>305y.5</v>
      </c>
      <c r="C2758" s="151" t="str">
        <f>'Reported burning'!C2758</f>
        <v>Human, deliberate</v>
      </c>
      <c r="D2758" s="151" t="str">
        <f>'Reported burning'!D2758</f>
        <v>Pyrome management</v>
      </c>
      <c r="E2758" s="151" t="str">
        <f>'Reported burning'!E2758</f>
        <v>Fire suppression agent</v>
      </c>
      <c r="F2758" s="151" t="str">
        <f>'Reported burning'!F2758</f>
        <v>ND</v>
      </c>
      <c r="G2758" s="151" t="str">
        <f>'Reported burning'!G2758</f>
        <v>ND</v>
      </c>
      <c r="H2758" s="151" t="str">
        <f>'Reported burning'!H2758</f>
        <v>Presence</v>
      </c>
      <c r="I2758" s="5"/>
      <c r="J2758" s="198" t="s">
        <v>2272</v>
      </c>
      <c r="K2758" s="198" t="s">
        <v>2272</v>
      </c>
      <c r="L2758" s="198" t="s">
        <v>2272</v>
      </c>
      <c r="M2758" s="198" t="s">
        <v>2272</v>
      </c>
      <c r="N2758" s="198" t="s">
        <v>2272</v>
      </c>
      <c r="O2758" s="198" t="s">
        <v>2272</v>
      </c>
      <c r="P2758" s="198" t="s">
        <v>2272</v>
      </c>
      <c r="Q2758" s="198" t="s">
        <v>2272</v>
      </c>
      <c r="R2758" s="198" t="s">
        <v>2272</v>
      </c>
      <c r="S2758" s="198" t="s">
        <v>2272</v>
      </c>
      <c r="T2758" s="198" t="s">
        <v>2272</v>
      </c>
      <c r="U2758" s="198" t="s">
        <v>2272</v>
      </c>
      <c r="V2758" s="198" t="s">
        <v>2272</v>
      </c>
      <c r="W2758" s="198" t="s">
        <v>2272</v>
      </c>
      <c r="X2758" s="198" t="s">
        <v>2272</v>
      </c>
      <c r="Y2758" s="198" t="s">
        <v>67</v>
      </c>
      <c r="Z2758" s="198" t="s">
        <v>84</v>
      </c>
      <c r="AA2758" s="198" t="s">
        <v>75</v>
      </c>
      <c r="AB2758" s="198"/>
      <c r="AC2758" s="198"/>
    </row>
    <row r="2759" spans="1:29" ht="34.5" customHeight="1">
      <c r="A2759" s="151" t="str">
        <f>'Reported burning'!A2759</f>
        <v>305z</v>
      </c>
      <c r="B2759" s="151" t="str">
        <f>'Reported burning'!B2759</f>
        <v>305z.5</v>
      </c>
      <c r="C2759" s="151" t="str">
        <f>'Reported burning'!C2759</f>
        <v>Human, deliberate</v>
      </c>
      <c r="D2759" s="151" t="str">
        <f>'Reported burning'!D2759</f>
        <v>Pyrome management</v>
      </c>
      <c r="E2759" s="151" t="str">
        <f>'Reported burning'!E2759</f>
        <v>Fire suppression agent</v>
      </c>
      <c r="F2759" s="151" t="str">
        <f>'Reported burning'!F2759</f>
        <v>ND</v>
      </c>
      <c r="G2759" s="151" t="str">
        <f>'Reported burning'!G2759</f>
        <v>ND</v>
      </c>
      <c r="H2759" s="151" t="str">
        <f>'Reported burning'!H2759</f>
        <v>Presence</v>
      </c>
      <c r="I2759" s="5"/>
      <c r="J2759" s="198" t="s">
        <v>2272</v>
      </c>
      <c r="K2759" s="198" t="s">
        <v>2272</v>
      </c>
      <c r="L2759" s="198" t="s">
        <v>2272</v>
      </c>
      <c r="M2759" s="198" t="s">
        <v>2272</v>
      </c>
      <c r="N2759" s="198" t="s">
        <v>2272</v>
      </c>
      <c r="O2759" s="198" t="s">
        <v>2272</v>
      </c>
      <c r="P2759" s="198" t="s">
        <v>2272</v>
      </c>
      <c r="Q2759" s="198" t="s">
        <v>2272</v>
      </c>
      <c r="R2759" s="198" t="s">
        <v>2272</v>
      </c>
      <c r="S2759" s="198" t="s">
        <v>2272</v>
      </c>
      <c r="T2759" s="198" t="s">
        <v>2272</v>
      </c>
      <c r="U2759" s="198" t="s">
        <v>2272</v>
      </c>
      <c r="V2759" s="198" t="s">
        <v>2272</v>
      </c>
      <c r="W2759" s="198" t="s">
        <v>2272</v>
      </c>
      <c r="X2759" s="198" t="s">
        <v>2272</v>
      </c>
      <c r="Y2759" s="198" t="s">
        <v>67</v>
      </c>
      <c r="Z2759" s="198" t="s">
        <v>84</v>
      </c>
      <c r="AA2759" s="198" t="s">
        <v>75</v>
      </c>
      <c r="AB2759" s="198"/>
      <c r="AC2759" s="198"/>
    </row>
    <row r="2760" spans="1:29" ht="34.5" customHeight="1">
      <c r="A2760" s="151" t="str">
        <f>'Reported burning'!A2760</f>
        <v>305aa</v>
      </c>
      <c r="B2760" s="151" t="str">
        <f>'Reported burning'!B2760</f>
        <v>305aa.5</v>
      </c>
      <c r="C2760" s="151" t="str">
        <f>'Reported burning'!C2760</f>
        <v>Human, deliberate</v>
      </c>
      <c r="D2760" s="151" t="str">
        <f>'Reported burning'!D2760</f>
        <v>Pyrome management</v>
      </c>
      <c r="E2760" s="151" t="str">
        <f>'Reported burning'!E2760</f>
        <v>Fire suppression agent</v>
      </c>
      <c r="F2760" s="151" t="str">
        <f>'Reported burning'!F2760</f>
        <v>ND</v>
      </c>
      <c r="G2760" s="151" t="str">
        <f>'Reported burning'!G2760</f>
        <v>ND</v>
      </c>
      <c r="H2760" s="151" t="str">
        <f>'Reported burning'!H2760</f>
        <v>Presence</v>
      </c>
      <c r="I2760" s="5"/>
      <c r="J2760" s="198" t="s">
        <v>2272</v>
      </c>
      <c r="K2760" s="198" t="s">
        <v>2272</v>
      </c>
      <c r="L2760" s="198" t="s">
        <v>2272</v>
      </c>
      <c r="M2760" s="198" t="s">
        <v>2272</v>
      </c>
      <c r="N2760" s="198" t="s">
        <v>2272</v>
      </c>
      <c r="O2760" s="198" t="s">
        <v>2272</v>
      </c>
      <c r="P2760" s="198" t="s">
        <v>2272</v>
      </c>
      <c r="Q2760" s="198" t="s">
        <v>2272</v>
      </c>
      <c r="R2760" s="198" t="s">
        <v>2272</v>
      </c>
      <c r="S2760" s="198" t="s">
        <v>2272</v>
      </c>
      <c r="T2760" s="198" t="s">
        <v>2272</v>
      </c>
      <c r="U2760" s="198" t="s">
        <v>2272</v>
      </c>
      <c r="V2760" s="198" t="s">
        <v>2272</v>
      </c>
      <c r="W2760" s="198" t="s">
        <v>2272</v>
      </c>
      <c r="X2760" s="198" t="s">
        <v>2272</v>
      </c>
      <c r="Y2760" s="198" t="s">
        <v>67</v>
      </c>
      <c r="Z2760" s="198" t="s">
        <v>84</v>
      </c>
      <c r="AA2760" s="198" t="s">
        <v>75</v>
      </c>
      <c r="AB2760" s="198"/>
      <c r="AC2760" s="198"/>
    </row>
    <row r="2761" spans="1:29" ht="34.5" customHeight="1">
      <c r="A2761" s="179" t="str">
        <f>'Reported burning'!A2761</f>
        <v>305ab</v>
      </c>
      <c r="B2761" s="179" t="str">
        <f>'Reported burning'!B2761</f>
        <v>305ab.5</v>
      </c>
      <c r="C2761" s="179" t="str">
        <f>'Reported burning'!C2761</f>
        <v>Human, deliberate</v>
      </c>
      <c r="D2761" s="179" t="str">
        <f>'Reported burning'!D2761</f>
        <v>Pyrome management</v>
      </c>
      <c r="E2761" s="179" t="str">
        <f>'Reported burning'!E2761</f>
        <v>Fire suppression agent</v>
      </c>
      <c r="F2761" s="179" t="str">
        <f>'Reported burning'!F2761</f>
        <v>ND</v>
      </c>
      <c r="G2761" s="179" t="str">
        <f>'Reported burning'!G2761</f>
        <v>ND</v>
      </c>
      <c r="H2761" s="179" t="str">
        <f>'Reported burning'!H2761</f>
        <v>Presence</v>
      </c>
      <c r="I2761" s="32"/>
      <c r="J2761" s="35" t="s">
        <v>2272</v>
      </c>
      <c r="K2761" s="35" t="s">
        <v>2272</v>
      </c>
      <c r="L2761" s="35" t="s">
        <v>2272</v>
      </c>
      <c r="M2761" s="35" t="s">
        <v>2272</v>
      </c>
      <c r="N2761" s="35" t="s">
        <v>2272</v>
      </c>
      <c r="O2761" s="35" t="s">
        <v>2272</v>
      </c>
      <c r="P2761" s="35" t="s">
        <v>2272</v>
      </c>
      <c r="Q2761" s="35" t="s">
        <v>2272</v>
      </c>
      <c r="R2761" s="35" t="s">
        <v>2272</v>
      </c>
      <c r="S2761" s="35" t="s">
        <v>2272</v>
      </c>
      <c r="T2761" s="35" t="s">
        <v>2272</v>
      </c>
      <c r="U2761" s="35" t="s">
        <v>2272</v>
      </c>
      <c r="V2761" s="35" t="s">
        <v>2272</v>
      </c>
      <c r="W2761" s="35" t="s">
        <v>2272</v>
      </c>
      <c r="X2761" s="35" t="s">
        <v>2272</v>
      </c>
      <c r="Y2761" s="198" t="s">
        <v>67</v>
      </c>
      <c r="Z2761" s="198" t="s">
        <v>84</v>
      </c>
      <c r="AA2761" s="198" t="s">
        <v>75</v>
      </c>
      <c r="AB2761" s="198"/>
      <c r="AC2761" s="198"/>
    </row>
    <row r="2762" spans="1:29" ht="34.5" customHeight="1">
      <c r="A2762" s="147" t="str">
        <f>'Reported burning'!A2762</f>
        <v>305ac</v>
      </c>
      <c r="B2762" s="147" t="str">
        <f>'Reported burning'!B2762</f>
        <v>305ac.5</v>
      </c>
      <c r="C2762" s="147" t="str">
        <f>'Reported burning'!C2762</f>
        <v>Human, deliberate</v>
      </c>
      <c r="D2762" s="147" t="str">
        <f>'Reported burning'!D2762</f>
        <v>Pyrome management</v>
      </c>
      <c r="E2762" s="147" t="str">
        <f>'Reported burning'!E2762</f>
        <v>Fire suppression agent</v>
      </c>
      <c r="F2762" s="147" t="str">
        <f>'Reported burning'!F2762</f>
        <v>ND</v>
      </c>
      <c r="G2762" s="147" t="str">
        <f>'Reported burning'!G2762</f>
        <v>ND</v>
      </c>
      <c r="H2762" s="147" t="str">
        <f>'Reported burning'!H2762</f>
        <v>Presence</v>
      </c>
      <c r="I2762" s="198"/>
      <c r="J2762" s="198" t="s">
        <v>2272</v>
      </c>
      <c r="K2762" s="198" t="s">
        <v>2272</v>
      </c>
      <c r="L2762" s="198" t="s">
        <v>2272</v>
      </c>
      <c r="M2762" s="198" t="s">
        <v>2272</v>
      </c>
      <c r="N2762" s="198" t="s">
        <v>2272</v>
      </c>
      <c r="O2762" s="198" t="s">
        <v>2272</v>
      </c>
      <c r="P2762" s="198" t="s">
        <v>2272</v>
      </c>
      <c r="Q2762" s="198" t="s">
        <v>2272</v>
      </c>
      <c r="R2762" s="198" t="s">
        <v>2272</v>
      </c>
      <c r="S2762" s="198" t="s">
        <v>2272</v>
      </c>
      <c r="T2762" s="198" t="s">
        <v>2272</v>
      </c>
      <c r="U2762" s="198" t="s">
        <v>2272</v>
      </c>
      <c r="V2762" s="198" t="s">
        <v>2272</v>
      </c>
      <c r="W2762" s="198" t="s">
        <v>2272</v>
      </c>
      <c r="X2762" s="198" t="s">
        <v>2272</v>
      </c>
      <c r="Y2762" s="198" t="s">
        <v>67</v>
      </c>
      <c r="Z2762" s="198" t="s">
        <v>84</v>
      </c>
      <c r="AA2762" s="198" t="s">
        <v>75</v>
      </c>
      <c r="AB2762" s="198"/>
      <c r="AC2762" s="198"/>
    </row>
    <row r="2763" spans="1:29" ht="34.5" customHeight="1">
      <c r="A2763" s="147" t="str">
        <f>'Reported burning'!A2763</f>
        <v>305ad</v>
      </c>
      <c r="B2763" s="147" t="str">
        <f>'Reported burning'!B2763</f>
        <v>305ad.5</v>
      </c>
      <c r="C2763" s="147" t="str">
        <f>'Reported burning'!C2763</f>
        <v>Human, deliberate</v>
      </c>
      <c r="D2763" s="147" t="str">
        <f>'Reported burning'!D2763</f>
        <v>Pyrome management</v>
      </c>
      <c r="E2763" s="147" t="str">
        <f>'Reported burning'!E2763</f>
        <v>Fire suppression agent</v>
      </c>
      <c r="F2763" s="147" t="str">
        <f>'Reported burning'!F2763</f>
        <v>ND</v>
      </c>
      <c r="G2763" s="147" t="str">
        <f>'Reported burning'!G2763</f>
        <v>ND</v>
      </c>
      <c r="H2763" s="147" t="str">
        <f>'Reported burning'!H2763</f>
        <v>Presence</v>
      </c>
      <c r="I2763" s="198"/>
      <c r="J2763" s="198" t="s">
        <v>2272</v>
      </c>
      <c r="K2763" s="198" t="s">
        <v>2272</v>
      </c>
      <c r="L2763" s="198" t="s">
        <v>2272</v>
      </c>
      <c r="M2763" s="198" t="s">
        <v>2272</v>
      </c>
      <c r="N2763" s="198" t="s">
        <v>2272</v>
      </c>
      <c r="O2763" s="198" t="s">
        <v>2272</v>
      </c>
      <c r="P2763" s="198" t="s">
        <v>2272</v>
      </c>
      <c r="Q2763" s="198" t="s">
        <v>2272</v>
      </c>
      <c r="R2763" s="198" t="s">
        <v>2272</v>
      </c>
      <c r="S2763" s="198" t="s">
        <v>2272</v>
      </c>
      <c r="T2763" s="198" t="s">
        <v>2272</v>
      </c>
      <c r="U2763" s="198" t="s">
        <v>2272</v>
      </c>
      <c r="V2763" s="198" t="s">
        <v>2272</v>
      </c>
      <c r="W2763" s="198" t="s">
        <v>2272</v>
      </c>
      <c r="X2763" s="198" t="s">
        <v>2272</v>
      </c>
      <c r="Y2763" s="198" t="s">
        <v>67</v>
      </c>
      <c r="Z2763" s="198" t="s">
        <v>84</v>
      </c>
      <c r="AA2763" s="198" t="s">
        <v>75</v>
      </c>
      <c r="AB2763" s="198"/>
      <c r="AC2763" s="198"/>
    </row>
    <row r="2764" spans="1:29" ht="34.5" customHeight="1">
      <c r="A2764" s="147" t="str">
        <f>'Reported burning'!A2764</f>
        <v>305ae</v>
      </c>
      <c r="B2764" s="147" t="str">
        <f>'Reported burning'!B2764</f>
        <v>305ae.5</v>
      </c>
      <c r="C2764" s="147" t="str">
        <f>'Reported burning'!C2764</f>
        <v>Human, deliberate</v>
      </c>
      <c r="D2764" s="147" t="str">
        <f>'Reported burning'!D2764</f>
        <v>Pyrome management</v>
      </c>
      <c r="E2764" s="147" t="str">
        <f>'Reported burning'!E2764</f>
        <v>Fire suppression agent</v>
      </c>
      <c r="F2764" s="147" t="str">
        <f>'Reported burning'!F2764</f>
        <v>ND</v>
      </c>
      <c r="G2764" s="147" t="str">
        <f>'Reported burning'!G2764</f>
        <v>ND</v>
      </c>
      <c r="H2764" s="147" t="str">
        <f>'Reported burning'!H2764</f>
        <v>Presence</v>
      </c>
      <c r="I2764" s="198"/>
      <c r="J2764" s="198" t="s">
        <v>2272</v>
      </c>
      <c r="K2764" s="198" t="s">
        <v>2272</v>
      </c>
      <c r="L2764" s="198" t="s">
        <v>2272</v>
      </c>
      <c r="M2764" s="198" t="s">
        <v>2272</v>
      </c>
      <c r="N2764" s="198" t="s">
        <v>2272</v>
      </c>
      <c r="O2764" s="198" t="s">
        <v>2272</v>
      </c>
      <c r="P2764" s="198" t="s">
        <v>2272</v>
      </c>
      <c r="Q2764" s="198" t="s">
        <v>2272</v>
      </c>
      <c r="R2764" s="198" t="s">
        <v>2272</v>
      </c>
      <c r="S2764" s="198" t="s">
        <v>2272</v>
      </c>
      <c r="T2764" s="198" t="s">
        <v>2272</v>
      </c>
      <c r="U2764" s="198" t="s">
        <v>2272</v>
      </c>
      <c r="V2764" s="198" t="s">
        <v>2272</v>
      </c>
      <c r="W2764" s="198" t="s">
        <v>2272</v>
      </c>
      <c r="X2764" s="198" t="s">
        <v>2272</v>
      </c>
      <c r="Y2764" s="198" t="s">
        <v>67</v>
      </c>
      <c r="Z2764" s="198" t="s">
        <v>84</v>
      </c>
      <c r="AA2764" s="198" t="s">
        <v>75</v>
      </c>
      <c r="AB2764" s="198"/>
      <c r="AC2764" s="198"/>
    </row>
    <row r="2765" spans="1:29" ht="34.5" customHeight="1">
      <c r="A2765" s="147" t="str">
        <f>'Reported burning'!A2765</f>
        <v>305n</v>
      </c>
      <c r="B2765" s="147" t="str">
        <f>'Reported burning'!B2765</f>
        <v>305n.6</v>
      </c>
      <c r="C2765" s="147" t="str">
        <f>'Reported burning'!C2765</f>
        <v>Human, deliberate</v>
      </c>
      <c r="D2765" s="147" t="str">
        <f>'Reported burning'!D2765</f>
        <v>Pyrome management</v>
      </c>
      <c r="E2765" s="147" t="str">
        <f>'Reported burning'!E2765</f>
        <v>Fire suppression agent</v>
      </c>
      <c r="F2765" s="147" t="str">
        <f>'Reported burning'!F2765</f>
        <v>ND</v>
      </c>
      <c r="G2765" s="147" t="str">
        <f>'Reported burning'!G2765</f>
        <v>ND</v>
      </c>
      <c r="H2765" s="147" t="str">
        <f>'Reported burning'!H2765</f>
        <v>Presence</v>
      </c>
      <c r="I2765" s="198"/>
      <c r="J2765" s="198" t="s">
        <v>2272</v>
      </c>
      <c r="K2765" s="198" t="s">
        <v>2272</v>
      </c>
      <c r="L2765" s="198" t="s">
        <v>2272</v>
      </c>
      <c r="M2765" s="198" t="s">
        <v>2272</v>
      </c>
      <c r="N2765" s="198" t="s">
        <v>2272</v>
      </c>
      <c r="O2765" s="198" t="s">
        <v>2272</v>
      </c>
      <c r="P2765" s="198" t="s">
        <v>2272</v>
      </c>
      <c r="Q2765" s="198" t="s">
        <v>2272</v>
      </c>
      <c r="R2765" s="198" t="s">
        <v>2272</v>
      </c>
      <c r="S2765" s="198" t="s">
        <v>2272</v>
      </c>
      <c r="T2765" s="198" t="s">
        <v>2272</v>
      </c>
      <c r="U2765" s="198" t="s">
        <v>2272</v>
      </c>
      <c r="V2765" s="198" t="s">
        <v>2272</v>
      </c>
      <c r="W2765" s="198" t="s">
        <v>2272</v>
      </c>
      <c r="X2765" s="198" t="s">
        <v>2272</v>
      </c>
      <c r="Y2765" s="198" t="s">
        <v>67</v>
      </c>
      <c r="Z2765" s="198" t="s">
        <v>84</v>
      </c>
      <c r="AA2765" s="198" t="s">
        <v>75</v>
      </c>
      <c r="AB2765" s="198"/>
      <c r="AC2765" s="198"/>
    </row>
    <row r="2766" spans="1:29" ht="34.5" customHeight="1">
      <c r="A2766" s="147" t="str">
        <f>'Reported burning'!A2766</f>
        <v>305o</v>
      </c>
      <c r="B2766" s="147" t="str">
        <f>'Reported burning'!B2766</f>
        <v>305o.6</v>
      </c>
      <c r="C2766" s="147" t="str">
        <f>'Reported burning'!C2766</f>
        <v>Human, deliberate</v>
      </c>
      <c r="D2766" s="147" t="str">
        <f>'Reported burning'!D2766</f>
        <v>Pyrome management</v>
      </c>
      <c r="E2766" s="147" t="str">
        <f>'Reported burning'!E2766</f>
        <v>Fire suppression agent</v>
      </c>
      <c r="F2766" s="147" t="str">
        <f>'Reported burning'!F2766</f>
        <v>ND</v>
      </c>
      <c r="G2766" s="147" t="str">
        <f>'Reported burning'!G2766</f>
        <v>ND</v>
      </c>
      <c r="H2766" s="147" t="str">
        <f>'Reported burning'!H2766</f>
        <v>Presence</v>
      </c>
      <c r="I2766" s="198"/>
      <c r="J2766" s="198" t="s">
        <v>2272</v>
      </c>
      <c r="K2766" s="198" t="s">
        <v>2272</v>
      </c>
      <c r="L2766" s="198" t="s">
        <v>2272</v>
      </c>
      <c r="M2766" s="198" t="s">
        <v>2272</v>
      </c>
      <c r="N2766" s="198" t="s">
        <v>2272</v>
      </c>
      <c r="O2766" s="198" t="s">
        <v>2272</v>
      </c>
      <c r="P2766" s="198" t="s">
        <v>2272</v>
      </c>
      <c r="Q2766" s="198" t="s">
        <v>2272</v>
      </c>
      <c r="R2766" s="198" t="s">
        <v>2272</v>
      </c>
      <c r="S2766" s="198" t="s">
        <v>2272</v>
      </c>
      <c r="T2766" s="198" t="s">
        <v>2272</v>
      </c>
      <c r="U2766" s="198" t="s">
        <v>2272</v>
      </c>
      <c r="V2766" s="198" t="s">
        <v>2272</v>
      </c>
      <c r="W2766" s="198" t="s">
        <v>2272</v>
      </c>
      <c r="X2766" s="198" t="s">
        <v>2272</v>
      </c>
      <c r="Y2766" s="198" t="s">
        <v>67</v>
      </c>
      <c r="Z2766" s="198" t="s">
        <v>84</v>
      </c>
      <c r="AA2766" s="198" t="s">
        <v>75</v>
      </c>
      <c r="AB2766" s="198"/>
      <c r="AC2766" s="198"/>
    </row>
    <row r="2767" spans="1:29" ht="34.5" customHeight="1">
      <c r="A2767" s="147" t="str">
        <f>'Reported burning'!A2767</f>
        <v>305p</v>
      </c>
      <c r="B2767" s="147" t="str">
        <f>'Reported burning'!B2767</f>
        <v>305p.6</v>
      </c>
      <c r="C2767" s="147" t="str">
        <f>'Reported burning'!C2767</f>
        <v>Human, deliberate</v>
      </c>
      <c r="D2767" s="147" t="str">
        <f>'Reported burning'!D2767</f>
        <v>Pyrome management</v>
      </c>
      <c r="E2767" s="147" t="str">
        <f>'Reported burning'!E2767</f>
        <v>Fire suppression agent</v>
      </c>
      <c r="F2767" s="147" t="str">
        <f>'Reported burning'!F2767</f>
        <v>ND</v>
      </c>
      <c r="G2767" s="147" t="str">
        <f>'Reported burning'!G2767</f>
        <v>ND</v>
      </c>
      <c r="H2767" s="147" t="str">
        <f>'Reported burning'!H2767</f>
        <v>Presence</v>
      </c>
      <c r="I2767" s="198"/>
      <c r="J2767" s="198" t="s">
        <v>2272</v>
      </c>
      <c r="K2767" s="198" t="s">
        <v>2272</v>
      </c>
      <c r="L2767" s="198" t="s">
        <v>2272</v>
      </c>
      <c r="M2767" s="198" t="s">
        <v>2272</v>
      </c>
      <c r="N2767" s="198" t="s">
        <v>2272</v>
      </c>
      <c r="O2767" s="198" t="s">
        <v>2272</v>
      </c>
      <c r="P2767" s="198" t="s">
        <v>2272</v>
      </c>
      <c r="Q2767" s="198" t="s">
        <v>2272</v>
      </c>
      <c r="R2767" s="198" t="s">
        <v>2272</v>
      </c>
      <c r="S2767" s="198" t="s">
        <v>2272</v>
      </c>
      <c r="T2767" s="198" t="s">
        <v>2272</v>
      </c>
      <c r="U2767" s="198" t="s">
        <v>2272</v>
      </c>
      <c r="V2767" s="198" t="s">
        <v>2272</v>
      </c>
      <c r="W2767" s="198" t="s">
        <v>2272</v>
      </c>
      <c r="X2767" s="198" t="s">
        <v>2272</v>
      </c>
      <c r="Y2767" s="198" t="s">
        <v>67</v>
      </c>
      <c r="Z2767" s="198" t="s">
        <v>84</v>
      </c>
      <c r="AA2767" s="198" t="s">
        <v>75</v>
      </c>
      <c r="AB2767" s="198"/>
      <c r="AC2767" s="198"/>
    </row>
    <row r="2768" spans="1:29" ht="34.5" customHeight="1">
      <c r="A2768" s="147" t="str">
        <f>'Reported burning'!A2768</f>
        <v>305q</v>
      </c>
      <c r="B2768" s="147" t="str">
        <f>'Reported burning'!B2768</f>
        <v>305q.6</v>
      </c>
      <c r="C2768" s="147" t="str">
        <f>'Reported burning'!C2768</f>
        <v>Human, deliberate</v>
      </c>
      <c r="D2768" s="147" t="str">
        <f>'Reported burning'!D2768</f>
        <v>Pyrome management</v>
      </c>
      <c r="E2768" s="147" t="str">
        <f>'Reported burning'!E2768</f>
        <v>Fire suppression agent</v>
      </c>
      <c r="F2768" s="147" t="str">
        <f>'Reported burning'!F2768</f>
        <v>ND</v>
      </c>
      <c r="G2768" s="147" t="str">
        <f>'Reported burning'!G2768</f>
        <v>ND</v>
      </c>
      <c r="H2768" s="147" t="str">
        <f>'Reported burning'!H2768</f>
        <v>Presence</v>
      </c>
      <c r="I2768" s="198"/>
      <c r="J2768" s="198" t="s">
        <v>2272</v>
      </c>
      <c r="K2768" s="198" t="s">
        <v>2272</v>
      </c>
      <c r="L2768" s="198" t="s">
        <v>2272</v>
      </c>
      <c r="M2768" s="198" t="s">
        <v>2272</v>
      </c>
      <c r="N2768" s="198" t="s">
        <v>2272</v>
      </c>
      <c r="O2768" s="198" t="s">
        <v>2272</v>
      </c>
      <c r="P2768" s="198" t="s">
        <v>2272</v>
      </c>
      <c r="Q2768" s="198" t="s">
        <v>2272</v>
      </c>
      <c r="R2768" s="198" t="s">
        <v>2272</v>
      </c>
      <c r="S2768" s="198" t="s">
        <v>2272</v>
      </c>
      <c r="T2768" s="198" t="s">
        <v>2272</v>
      </c>
      <c r="U2768" s="198" t="s">
        <v>2272</v>
      </c>
      <c r="V2768" s="198" t="s">
        <v>2272</v>
      </c>
      <c r="W2768" s="198" t="s">
        <v>2272</v>
      </c>
      <c r="X2768" s="198" t="s">
        <v>2272</v>
      </c>
      <c r="Y2768" s="198" t="s">
        <v>67</v>
      </c>
      <c r="Z2768" s="198" t="s">
        <v>84</v>
      </c>
      <c r="AA2768" s="198" t="s">
        <v>75</v>
      </c>
      <c r="AB2768" s="198"/>
      <c r="AC2768" s="198"/>
    </row>
    <row r="2769" spans="1:29" ht="34.5" customHeight="1">
      <c r="A2769" s="147" t="str">
        <f>'Reported burning'!A2769</f>
        <v>305r</v>
      </c>
      <c r="B2769" s="147" t="str">
        <f>'Reported burning'!B2769</f>
        <v>305r.6</v>
      </c>
      <c r="C2769" s="147" t="str">
        <f>'Reported burning'!C2769</f>
        <v>Human, deliberate</v>
      </c>
      <c r="D2769" s="147" t="str">
        <f>'Reported burning'!D2769</f>
        <v>Pyrome management</v>
      </c>
      <c r="E2769" s="147" t="str">
        <f>'Reported burning'!E2769</f>
        <v>Fire suppression agent</v>
      </c>
      <c r="F2769" s="147" t="str">
        <f>'Reported burning'!F2769</f>
        <v>ND</v>
      </c>
      <c r="G2769" s="147" t="str">
        <f>'Reported burning'!G2769</f>
        <v>ND</v>
      </c>
      <c r="H2769" s="147" t="str">
        <f>'Reported burning'!H2769</f>
        <v>Absence</v>
      </c>
      <c r="I2769" s="198"/>
      <c r="J2769" s="21" t="s">
        <v>2359</v>
      </c>
      <c r="K2769" s="21" t="s">
        <v>2359</v>
      </c>
      <c r="L2769" s="21" t="s">
        <v>2359</v>
      </c>
      <c r="M2769" s="21" t="s">
        <v>2359</v>
      </c>
      <c r="N2769" s="21" t="s">
        <v>2359</v>
      </c>
      <c r="O2769" s="21" t="s">
        <v>2359</v>
      </c>
      <c r="P2769" s="21" t="s">
        <v>2359</v>
      </c>
      <c r="Q2769" s="21" t="s">
        <v>2359</v>
      </c>
      <c r="R2769" s="21" t="s">
        <v>2359</v>
      </c>
      <c r="S2769" s="21" t="s">
        <v>2359</v>
      </c>
      <c r="T2769" s="21" t="s">
        <v>2359</v>
      </c>
      <c r="U2769" s="21" t="s">
        <v>2359</v>
      </c>
      <c r="V2769" s="21" t="s">
        <v>2359</v>
      </c>
      <c r="W2769" s="21" t="s">
        <v>2359</v>
      </c>
      <c r="X2769" s="198" t="s">
        <v>2272</v>
      </c>
      <c r="Y2769" s="198" t="s">
        <v>67</v>
      </c>
      <c r="Z2769" s="198" t="s">
        <v>84</v>
      </c>
      <c r="AA2769" s="198" t="s">
        <v>75</v>
      </c>
      <c r="AB2769" s="198"/>
      <c r="AC2769" s="198"/>
    </row>
    <row r="2770" spans="1:29" ht="34.5" customHeight="1">
      <c r="A2770" s="147" t="str">
        <f>'Reported burning'!A2770</f>
        <v>305s</v>
      </c>
      <c r="B2770" s="147" t="str">
        <f>'Reported burning'!B2770</f>
        <v>305s.6</v>
      </c>
      <c r="C2770" s="147" t="str">
        <f>'Reported burning'!C2770</f>
        <v>Human, deliberate</v>
      </c>
      <c r="D2770" s="147" t="str">
        <f>'Reported burning'!D2770</f>
        <v>Pyrome management</v>
      </c>
      <c r="E2770" s="147" t="str">
        <f>'Reported burning'!E2770</f>
        <v>Fire suppression agent</v>
      </c>
      <c r="F2770" s="147" t="str">
        <f>'Reported burning'!F2770</f>
        <v>ND</v>
      </c>
      <c r="G2770" s="147" t="str">
        <f>'Reported burning'!G2770</f>
        <v>ND</v>
      </c>
      <c r="H2770" s="147" t="str">
        <f>'Reported burning'!H2770</f>
        <v>Absence</v>
      </c>
      <c r="I2770" s="198"/>
      <c r="J2770" s="21" t="s">
        <v>2359</v>
      </c>
      <c r="K2770" s="21" t="s">
        <v>2359</v>
      </c>
      <c r="L2770" s="21" t="s">
        <v>2359</v>
      </c>
      <c r="M2770" s="21" t="s">
        <v>2359</v>
      </c>
      <c r="N2770" s="21" t="s">
        <v>2359</v>
      </c>
      <c r="O2770" s="21" t="s">
        <v>2359</v>
      </c>
      <c r="P2770" s="21" t="s">
        <v>2359</v>
      </c>
      <c r="Q2770" s="21" t="s">
        <v>2359</v>
      </c>
      <c r="R2770" s="21" t="s">
        <v>2359</v>
      </c>
      <c r="S2770" s="21" t="s">
        <v>2359</v>
      </c>
      <c r="T2770" s="21" t="s">
        <v>2359</v>
      </c>
      <c r="U2770" s="21" t="s">
        <v>2359</v>
      </c>
      <c r="V2770" s="21" t="s">
        <v>2359</v>
      </c>
      <c r="W2770" s="21" t="s">
        <v>2359</v>
      </c>
      <c r="X2770" s="198" t="s">
        <v>2272</v>
      </c>
      <c r="Y2770" s="198" t="s">
        <v>67</v>
      </c>
      <c r="Z2770" s="198" t="s">
        <v>84</v>
      </c>
      <c r="AA2770" s="198" t="s">
        <v>75</v>
      </c>
      <c r="AB2770" s="198"/>
      <c r="AC2770" s="198"/>
    </row>
    <row r="2771" spans="1:29" ht="34.5" customHeight="1">
      <c r="A2771" s="147" t="str">
        <f>'Reported burning'!A2771</f>
        <v>305t</v>
      </c>
      <c r="B2771" s="147" t="str">
        <f>'Reported burning'!B2771</f>
        <v>305t.6</v>
      </c>
      <c r="C2771" s="147" t="str">
        <f>'Reported burning'!C2771</f>
        <v>Human, deliberate</v>
      </c>
      <c r="D2771" s="147" t="str">
        <f>'Reported burning'!D2771</f>
        <v>Pyrome management</v>
      </c>
      <c r="E2771" s="147" t="str">
        <f>'Reported burning'!E2771</f>
        <v>Fire suppression agent</v>
      </c>
      <c r="F2771" s="147" t="str">
        <f>'Reported burning'!F2771</f>
        <v>ND</v>
      </c>
      <c r="G2771" s="147" t="str">
        <f>'Reported burning'!G2771</f>
        <v>ND</v>
      </c>
      <c r="H2771" s="147" t="str">
        <f>'Reported burning'!H2771</f>
        <v>Absence</v>
      </c>
      <c r="I2771" s="198"/>
      <c r="J2771" s="21" t="s">
        <v>2359</v>
      </c>
      <c r="K2771" s="21" t="s">
        <v>2359</v>
      </c>
      <c r="L2771" s="21" t="s">
        <v>2359</v>
      </c>
      <c r="M2771" s="21" t="s">
        <v>2359</v>
      </c>
      <c r="N2771" s="21" t="s">
        <v>2359</v>
      </c>
      <c r="O2771" s="21" t="s">
        <v>2359</v>
      </c>
      <c r="P2771" s="21" t="s">
        <v>2359</v>
      </c>
      <c r="Q2771" s="21" t="s">
        <v>2359</v>
      </c>
      <c r="R2771" s="21" t="s">
        <v>2359</v>
      </c>
      <c r="S2771" s="21" t="s">
        <v>2359</v>
      </c>
      <c r="T2771" s="21" t="s">
        <v>2359</v>
      </c>
      <c r="U2771" s="21" t="s">
        <v>2359</v>
      </c>
      <c r="V2771" s="21" t="s">
        <v>2359</v>
      </c>
      <c r="W2771" s="21" t="s">
        <v>2359</v>
      </c>
      <c r="X2771" s="198" t="s">
        <v>2272</v>
      </c>
      <c r="Y2771" s="198" t="s">
        <v>67</v>
      </c>
      <c r="Z2771" s="198" t="s">
        <v>84</v>
      </c>
      <c r="AA2771" s="198" t="s">
        <v>75</v>
      </c>
      <c r="AB2771" s="198"/>
      <c r="AC2771" s="198"/>
    </row>
    <row r="2772" spans="1:29" ht="34.5" customHeight="1">
      <c r="A2772" s="147" t="str">
        <f>'Reported burning'!A2772</f>
        <v>305u</v>
      </c>
      <c r="B2772" s="147" t="str">
        <f>'Reported burning'!B2772</f>
        <v>305u.6</v>
      </c>
      <c r="C2772" s="147" t="str">
        <f>'Reported burning'!C2772</f>
        <v>Human, deliberate</v>
      </c>
      <c r="D2772" s="147" t="str">
        <f>'Reported burning'!D2772</f>
        <v>Pyrome management</v>
      </c>
      <c r="E2772" s="147" t="str">
        <f>'Reported burning'!E2772</f>
        <v>Fire suppression agent</v>
      </c>
      <c r="F2772" s="147" t="str">
        <f>'Reported burning'!F2772</f>
        <v>ND</v>
      </c>
      <c r="G2772" s="147" t="str">
        <f>'Reported burning'!G2772</f>
        <v>ND</v>
      </c>
      <c r="H2772" s="147" t="str">
        <f>'Reported burning'!H2772</f>
        <v>Presence</v>
      </c>
      <c r="I2772" s="198"/>
      <c r="J2772" s="198" t="s">
        <v>2272</v>
      </c>
      <c r="K2772" s="198" t="s">
        <v>2272</v>
      </c>
      <c r="L2772" s="198" t="s">
        <v>2272</v>
      </c>
      <c r="M2772" s="198" t="s">
        <v>2272</v>
      </c>
      <c r="N2772" s="198" t="s">
        <v>2272</v>
      </c>
      <c r="O2772" s="198" t="s">
        <v>2272</v>
      </c>
      <c r="P2772" s="198" t="s">
        <v>2272</v>
      </c>
      <c r="Q2772" s="198" t="s">
        <v>2272</v>
      </c>
      <c r="R2772" s="198" t="s">
        <v>2272</v>
      </c>
      <c r="S2772" s="198" t="s">
        <v>2272</v>
      </c>
      <c r="T2772" s="198" t="s">
        <v>2272</v>
      </c>
      <c r="U2772" s="198" t="s">
        <v>2272</v>
      </c>
      <c r="V2772" s="198" t="s">
        <v>2272</v>
      </c>
      <c r="W2772" s="198" t="s">
        <v>2272</v>
      </c>
      <c r="X2772" s="198" t="s">
        <v>2272</v>
      </c>
      <c r="Y2772" s="198" t="s">
        <v>67</v>
      </c>
      <c r="Z2772" s="198" t="s">
        <v>84</v>
      </c>
      <c r="AA2772" s="198" t="s">
        <v>75</v>
      </c>
      <c r="AB2772" s="198"/>
      <c r="AC2772" s="198"/>
    </row>
    <row r="2773" spans="1:29" ht="34.5" customHeight="1">
      <c r="A2773" s="147" t="str">
        <f>'Reported burning'!A2773</f>
        <v>305v</v>
      </c>
      <c r="B2773" s="147" t="str">
        <f>'Reported burning'!B2773</f>
        <v>305v.6</v>
      </c>
      <c r="C2773" s="147" t="str">
        <f>'Reported burning'!C2773</f>
        <v>Human, deliberate</v>
      </c>
      <c r="D2773" s="147" t="str">
        <f>'Reported burning'!D2773</f>
        <v>Pyrome management</v>
      </c>
      <c r="E2773" s="147" t="str">
        <f>'Reported burning'!E2773</f>
        <v>Fire suppression agent</v>
      </c>
      <c r="F2773" s="147" t="str">
        <f>'Reported burning'!F2773</f>
        <v>ND</v>
      </c>
      <c r="G2773" s="147" t="str">
        <f>'Reported burning'!G2773</f>
        <v>ND</v>
      </c>
      <c r="H2773" s="147" t="str">
        <f>'Reported burning'!H2773</f>
        <v>Presence</v>
      </c>
      <c r="I2773" s="198"/>
      <c r="J2773" s="198" t="s">
        <v>2272</v>
      </c>
      <c r="K2773" s="198" t="s">
        <v>2272</v>
      </c>
      <c r="L2773" s="198" t="s">
        <v>2272</v>
      </c>
      <c r="M2773" s="198" t="s">
        <v>2272</v>
      </c>
      <c r="N2773" s="198" t="s">
        <v>2272</v>
      </c>
      <c r="O2773" s="198" t="s">
        <v>2272</v>
      </c>
      <c r="P2773" s="198" t="s">
        <v>2272</v>
      </c>
      <c r="Q2773" s="198" t="s">
        <v>2272</v>
      </c>
      <c r="R2773" s="198" t="s">
        <v>2272</v>
      </c>
      <c r="S2773" s="198" t="s">
        <v>2272</v>
      </c>
      <c r="T2773" s="198" t="s">
        <v>2272</v>
      </c>
      <c r="U2773" s="198" t="s">
        <v>2272</v>
      </c>
      <c r="V2773" s="198" t="s">
        <v>2272</v>
      </c>
      <c r="W2773" s="198" t="s">
        <v>2272</v>
      </c>
      <c r="X2773" s="198" t="s">
        <v>2272</v>
      </c>
      <c r="Y2773" s="198" t="s">
        <v>67</v>
      </c>
      <c r="Z2773" s="198" t="s">
        <v>84</v>
      </c>
      <c r="AA2773" s="198" t="s">
        <v>75</v>
      </c>
      <c r="AB2773" s="198"/>
      <c r="AC2773" s="198"/>
    </row>
    <row r="2774" spans="1:29" ht="34.5" customHeight="1">
      <c r="A2774" s="147" t="str">
        <f>'Reported burning'!A2774</f>
        <v>305w</v>
      </c>
      <c r="B2774" s="147" t="str">
        <f>'Reported burning'!B2774</f>
        <v>305w.6</v>
      </c>
      <c r="C2774" s="147" t="str">
        <f>'Reported burning'!C2774</f>
        <v>Human, deliberate</v>
      </c>
      <c r="D2774" s="147" t="str">
        <f>'Reported burning'!D2774</f>
        <v>Pyrome management</v>
      </c>
      <c r="E2774" s="147" t="str">
        <f>'Reported burning'!E2774</f>
        <v>Fire suppression agent</v>
      </c>
      <c r="F2774" s="147" t="str">
        <f>'Reported burning'!F2774</f>
        <v>ND</v>
      </c>
      <c r="G2774" s="147" t="str">
        <f>'Reported burning'!G2774</f>
        <v>ND</v>
      </c>
      <c r="H2774" s="147" t="str">
        <f>'Reported burning'!H2774</f>
        <v>Presence</v>
      </c>
      <c r="I2774" s="198"/>
      <c r="J2774" s="198" t="s">
        <v>2272</v>
      </c>
      <c r="K2774" s="198" t="s">
        <v>2272</v>
      </c>
      <c r="L2774" s="198" t="s">
        <v>2272</v>
      </c>
      <c r="M2774" s="198" t="s">
        <v>2272</v>
      </c>
      <c r="N2774" s="198" t="s">
        <v>2272</v>
      </c>
      <c r="O2774" s="198" t="s">
        <v>2272</v>
      </c>
      <c r="P2774" s="198" t="s">
        <v>2272</v>
      </c>
      <c r="Q2774" s="198" t="s">
        <v>2272</v>
      </c>
      <c r="R2774" s="198" t="s">
        <v>2272</v>
      </c>
      <c r="S2774" s="198" t="s">
        <v>2272</v>
      </c>
      <c r="T2774" s="198" t="s">
        <v>2272</v>
      </c>
      <c r="U2774" s="198" t="s">
        <v>2272</v>
      </c>
      <c r="V2774" s="198" t="s">
        <v>2272</v>
      </c>
      <c r="W2774" s="198" t="s">
        <v>2272</v>
      </c>
      <c r="X2774" s="198" t="s">
        <v>2272</v>
      </c>
      <c r="Y2774" s="198" t="s">
        <v>67</v>
      </c>
      <c r="Z2774" s="198" t="s">
        <v>84</v>
      </c>
      <c r="AA2774" s="198" t="s">
        <v>75</v>
      </c>
      <c r="AB2774" s="198"/>
      <c r="AC2774" s="198"/>
    </row>
    <row r="2775" spans="1:29" ht="34.5" customHeight="1">
      <c r="A2775" s="147" t="str">
        <f>'Reported burning'!A2775</f>
        <v>305x</v>
      </c>
      <c r="B2775" s="147" t="str">
        <f>'Reported burning'!B2775</f>
        <v>305x.6</v>
      </c>
      <c r="C2775" s="147" t="str">
        <f>'Reported burning'!C2775</f>
        <v>Human, deliberate</v>
      </c>
      <c r="D2775" s="147" t="str">
        <f>'Reported burning'!D2775</f>
        <v>Pyrome management</v>
      </c>
      <c r="E2775" s="147" t="str">
        <f>'Reported burning'!E2775</f>
        <v>Fire suppression agent</v>
      </c>
      <c r="F2775" s="147" t="str">
        <f>'Reported burning'!F2775</f>
        <v>ND</v>
      </c>
      <c r="G2775" s="147" t="str">
        <f>'Reported burning'!G2775</f>
        <v>ND</v>
      </c>
      <c r="H2775" s="147" t="str">
        <f>'Reported burning'!H2775</f>
        <v>Presence</v>
      </c>
      <c r="I2775" s="198"/>
      <c r="J2775" s="198" t="s">
        <v>2272</v>
      </c>
      <c r="K2775" s="198" t="s">
        <v>2272</v>
      </c>
      <c r="L2775" s="198" t="s">
        <v>2272</v>
      </c>
      <c r="M2775" s="198" t="s">
        <v>2272</v>
      </c>
      <c r="N2775" s="198" t="s">
        <v>2272</v>
      </c>
      <c r="O2775" s="198" t="s">
        <v>2272</v>
      </c>
      <c r="P2775" s="198" t="s">
        <v>2272</v>
      </c>
      <c r="Q2775" s="198" t="s">
        <v>2272</v>
      </c>
      <c r="R2775" s="198" t="s">
        <v>2272</v>
      </c>
      <c r="S2775" s="198" t="s">
        <v>2272</v>
      </c>
      <c r="T2775" s="198" t="s">
        <v>2272</v>
      </c>
      <c r="U2775" s="198" t="s">
        <v>2272</v>
      </c>
      <c r="V2775" s="198" t="s">
        <v>2272</v>
      </c>
      <c r="W2775" s="198" t="s">
        <v>2272</v>
      </c>
      <c r="X2775" s="198" t="s">
        <v>2272</v>
      </c>
      <c r="Y2775" s="198" t="s">
        <v>67</v>
      </c>
      <c r="Z2775" s="198" t="s">
        <v>84</v>
      </c>
      <c r="AA2775" s="198" t="s">
        <v>75</v>
      </c>
      <c r="AB2775" s="198"/>
      <c r="AC2775" s="198"/>
    </row>
    <row r="2776" spans="1:29" ht="34.5" customHeight="1">
      <c r="A2776" s="147" t="str">
        <f>'Reported burning'!A2776</f>
        <v>305y</v>
      </c>
      <c r="B2776" s="147" t="str">
        <f>'Reported burning'!B2776</f>
        <v>305y.6</v>
      </c>
      <c r="C2776" s="147" t="str">
        <f>'Reported burning'!C2776</f>
        <v>Human, deliberate</v>
      </c>
      <c r="D2776" s="147" t="str">
        <f>'Reported burning'!D2776</f>
        <v>Pyrome management</v>
      </c>
      <c r="E2776" s="147" t="str">
        <f>'Reported burning'!E2776</f>
        <v>Fire suppression agent</v>
      </c>
      <c r="F2776" s="147" t="str">
        <f>'Reported burning'!F2776</f>
        <v>ND</v>
      </c>
      <c r="G2776" s="147" t="str">
        <f>'Reported burning'!G2776</f>
        <v>ND</v>
      </c>
      <c r="H2776" s="147" t="str">
        <f>'Reported burning'!H2776</f>
        <v>Presence</v>
      </c>
      <c r="I2776" s="198"/>
      <c r="J2776" s="198" t="s">
        <v>2272</v>
      </c>
      <c r="K2776" s="198" t="s">
        <v>2272</v>
      </c>
      <c r="L2776" s="198" t="s">
        <v>2272</v>
      </c>
      <c r="M2776" s="198" t="s">
        <v>2272</v>
      </c>
      <c r="N2776" s="198" t="s">
        <v>2272</v>
      </c>
      <c r="O2776" s="198" t="s">
        <v>2272</v>
      </c>
      <c r="P2776" s="198" t="s">
        <v>2272</v>
      </c>
      <c r="Q2776" s="198" t="s">
        <v>2272</v>
      </c>
      <c r="R2776" s="198" t="s">
        <v>2272</v>
      </c>
      <c r="S2776" s="198" t="s">
        <v>2272</v>
      </c>
      <c r="T2776" s="198" t="s">
        <v>2272</v>
      </c>
      <c r="U2776" s="198" t="s">
        <v>2272</v>
      </c>
      <c r="V2776" s="198" t="s">
        <v>2272</v>
      </c>
      <c r="W2776" s="198" t="s">
        <v>2272</v>
      </c>
      <c r="X2776" s="198" t="s">
        <v>2272</v>
      </c>
      <c r="Y2776" s="198" t="s">
        <v>67</v>
      </c>
      <c r="Z2776" s="198" t="s">
        <v>84</v>
      </c>
      <c r="AA2776" s="198" t="s">
        <v>75</v>
      </c>
      <c r="AB2776" s="198"/>
      <c r="AC2776" s="198"/>
    </row>
    <row r="2777" spans="1:29" ht="34.5" customHeight="1">
      <c r="A2777" s="147" t="str">
        <f>'Reported burning'!A2777</f>
        <v>305z</v>
      </c>
      <c r="B2777" s="147" t="str">
        <f>'Reported burning'!B2777</f>
        <v>305z.6</v>
      </c>
      <c r="C2777" s="147" t="str">
        <f>'Reported burning'!C2777</f>
        <v>Human, deliberate</v>
      </c>
      <c r="D2777" s="147" t="str">
        <f>'Reported burning'!D2777</f>
        <v>Pyrome management</v>
      </c>
      <c r="E2777" s="147" t="str">
        <f>'Reported burning'!E2777</f>
        <v>Fire suppression agent</v>
      </c>
      <c r="F2777" s="147" t="str">
        <f>'Reported burning'!F2777</f>
        <v>ND</v>
      </c>
      <c r="G2777" s="147" t="str">
        <f>'Reported burning'!G2777</f>
        <v>ND</v>
      </c>
      <c r="H2777" s="147" t="str">
        <f>'Reported burning'!H2777</f>
        <v>Presence</v>
      </c>
      <c r="I2777" s="198"/>
      <c r="J2777" s="198" t="s">
        <v>2272</v>
      </c>
      <c r="K2777" s="198" t="s">
        <v>2272</v>
      </c>
      <c r="L2777" s="198" t="s">
        <v>2272</v>
      </c>
      <c r="M2777" s="198" t="s">
        <v>2272</v>
      </c>
      <c r="N2777" s="198" t="s">
        <v>2272</v>
      </c>
      <c r="O2777" s="198" t="s">
        <v>2272</v>
      </c>
      <c r="P2777" s="198" t="s">
        <v>2272</v>
      </c>
      <c r="Q2777" s="198" t="s">
        <v>2272</v>
      </c>
      <c r="R2777" s="198" t="s">
        <v>2272</v>
      </c>
      <c r="S2777" s="198" t="s">
        <v>2272</v>
      </c>
      <c r="T2777" s="198" t="s">
        <v>2272</v>
      </c>
      <c r="U2777" s="198" t="s">
        <v>2272</v>
      </c>
      <c r="V2777" s="198" t="s">
        <v>2272</v>
      </c>
      <c r="W2777" s="198" t="s">
        <v>2272</v>
      </c>
      <c r="X2777" s="198" t="s">
        <v>2272</v>
      </c>
      <c r="Y2777" s="198" t="s">
        <v>67</v>
      </c>
      <c r="Z2777" s="198" t="s">
        <v>84</v>
      </c>
      <c r="AA2777" s="198" t="s">
        <v>75</v>
      </c>
      <c r="AB2777" s="198"/>
      <c r="AC2777" s="198"/>
    </row>
    <row r="2778" spans="1:29" ht="34.5" customHeight="1">
      <c r="A2778" s="147" t="str">
        <f>'Reported burning'!A2778</f>
        <v>305aa</v>
      </c>
      <c r="B2778" s="147" t="str">
        <f>'Reported burning'!B2778</f>
        <v>305aa.6</v>
      </c>
      <c r="C2778" s="147" t="str">
        <f>'Reported burning'!C2778</f>
        <v>Human, deliberate</v>
      </c>
      <c r="D2778" s="147" t="str">
        <f>'Reported burning'!D2778</f>
        <v>Pyrome management</v>
      </c>
      <c r="E2778" s="147" t="str">
        <f>'Reported burning'!E2778</f>
        <v>Fire suppression agent</v>
      </c>
      <c r="F2778" s="147" t="str">
        <f>'Reported burning'!F2778</f>
        <v>ND</v>
      </c>
      <c r="G2778" s="147" t="str">
        <f>'Reported burning'!G2778</f>
        <v>ND</v>
      </c>
      <c r="H2778" s="147" t="str">
        <f>'Reported burning'!H2778</f>
        <v>Presence</v>
      </c>
      <c r="I2778" s="198"/>
      <c r="J2778" s="198" t="s">
        <v>2272</v>
      </c>
      <c r="K2778" s="198" t="s">
        <v>2272</v>
      </c>
      <c r="L2778" s="198" t="s">
        <v>2272</v>
      </c>
      <c r="M2778" s="198" t="s">
        <v>2272</v>
      </c>
      <c r="N2778" s="198" t="s">
        <v>2272</v>
      </c>
      <c r="O2778" s="198" t="s">
        <v>2272</v>
      </c>
      <c r="P2778" s="198" t="s">
        <v>2272</v>
      </c>
      <c r="Q2778" s="198" t="s">
        <v>2272</v>
      </c>
      <c r="R2778" s="198" t="s">
        <v>2272</v>
      </c>
      <c r="S2778" s="198" t="s">
        <v>2272</v>
      </c>
      <c r="T2778" s="198" t="s">
        <v>2272</v>
      </c>
      <c r="U2778" s="198" t="s">
        <v>2272</v>
      </c>
      <c r="V2778" s="198" t="s">
        <v>2272</v>
      </c>
      <c r="W2778" s="198" t="s">
        <v>2272</v>
      </c>
      <c r="X2778" s="198" t="s">
        <v>2272</v>
      </c>
      <c r="Y2778" s="198" t="s">
        <v>67</v>
      </c>
      <c r="Z2778" s="198" t="s">
        <v>84</v>
      </c>
      <c r="AA2778" s="198" t="s">
        <v>75</v>
      </c>
      <c r="AB2778" s="198"/>
      <c r="AC2778" s="198"/>
    </row>
    <row r="2779" spans="1:29" ht="34.5" customHeight="1">
      <c r="A2779" s="147" t="str">
        <f>'Reported burning'!A2779</f>
        <v>305ab</v>
      </c>
      <c r="B2779" s="147" t="str">
        <f>'Reported burning'!B2779</f>
        <v>305ab.6</v>
      </c>
      <c r="C2779" s="147" t="str">
        <f>'Reported burning'!C2779</f>
        <v>Human, deliberate</v>
      </c>
      <c r="D2779" s="147" t="str">
        <f>'Reported burning'!D2779</f>
        <v>Pyrome management</v>
      </c>
      <c r="E2779" s="147" t="str">
        <f>'Reported burning'!E2779</f>
        <v>Fire suppression agent</v>
      </c>
      <c r="F2779" s="147" t="str">
        <f>'Reported burning'!F2779</f>
        <v>ND</v>
      </c>
      <c r="G2779" s="147" t="str">
        <f>'Reported burning'!G2779</f>
        <v>ND</v>
      </c>
      <c r="H2779" s="147" t="str">
        <f>'Reported burning'!H2779</f>
        <v>Presence</v>
      </c>
      <c r="I2779" s="198"/>
      <c r="J2779" s="198" t="s">
        <v>2272</v>
      </c>
      <c r="K2779" s="198" t="s">
        <v>2272</v>
      </c>
      <c r="L2779" s="198" t="s">
        <v>2272</v>
      </c>
      <c r="M2779" s="198" t="s">
        <v>2272</v>
      </c>
      <c r="N2779" s="198" t="s">
        <v>2272</v>
      </c>
      <c r="O2779" s="198" t="s">
        <v>2272</v>
      </c>
      <c r="P2779" s="198" t="s">
        <v>2272</v>
      </c>
      <c r="Q2779" s="198" t="s">
        <v>2272</v>
      </c>
      <c r="R2779" s="198" t="s">
        <v>2272</v>
      </c>
      <c r="S2779" s="198" t="s">
        <v>2272</v>
      </c>
      <c r="T2779" s="198" t="s">
        <v>2272</v>
      </c>
      <c r="U2779" s="198" t="s">
        <v>2272</v>
      </c>
      <c r="V2779" s="198" t="s">
        <v>2272</v>
      </c>
      <c r="W2779" s="198" t="s">
        <v>2272</v>
      </c>
      <c r="X2779" s="198" t="s">
        <v>2272</v>
      </c>
      <c r="Y2779" s="198" t="s">
        <v>67</v>
      </c>
      <c r="Z2779" s="198" t="s">
        <v>84</v>
      </c>
      <c r="AA2779" s="198" t="s">
        <v>75</v>
      </c>
      <c r="AB2779" s="198"/>
      <c r="AC2779" s="198"/>
    </row>
    <row r="2780" spans="1:29" ht="34.5" customHeight="1">
      <c r="A2780" s="147" t="str">
        <f>'Reported burning'!A2780</f>
        <v>305ac</v>
      </c>
      <c r="B2780" s="147" t="str">
        <f>'Reported burning'!B2780</f>
        <v>305ac.6</v>
      </c>
      <c r="C2780" s="147" t="str">
        <f>'Reported burning'!C2780</f>
        <v>Human, deliberate</v>
      </c>
      <c r="D2780" s="147" t="str">
        <f>'Reported burning'!D2780</f>
        <v>Pyrome management</v>
      </c>
      <c r="E2780" s="147" t="str">
        <f>'Reported burning'!E2780</f>
        <v>Fire suppression agent</v>
      </c>
      <c r="F2780" s="147" t="str">
        <f>'Reported burning'!F2780</f>
        <v>ND</v>
      </c>
      <c r="G2780" s="147" t="str">
        <f>'Reported burning'!G2780</f>
        <v>ND</v>
      </c>
      <c r="H2780" s="147" t="str">
        <f>'Reported burning'!H2780</f>
        <v>Presence</v>
      </c>
      <c r="I2780" s="198"/>
      <c r="J2780" s="198" t="s">
        <v>2272</v>
      </c>
      <c r="K2780" s="198" t="s">
        <v>2272</v>
      </c>
      <c r="L2780" s="198" t="s">
        <v>2272</v>
      </c>
      <c r="M2780" s="198" t="s">
        <v>2272</v>
      </c>
      <c r="N2780" s="198" t="s">
        <v>2272</v>
      </c>
      <c r="O2780" s="198" t="s">
        <v>2272</v>
      </c>
      <c r="P2780" s="198" t="s">
        <v>2272</v>
      </c>
      <c r="Q2780" s="198" t="s">
        <v>2272</v>
      </c>
      <c r="R2780" s="198" t="s">
        <v>2272</v>
      </c>
      <c r="S2780" s="198" t="s">
        <v>2272</v>
      </c>
      <c r="T2780" s="198" t="s">
        <v>2272</v>
      </c>
      <c r="U2780" s="198" t="s">
        <v>2272</v>
      </c>
      <c r="V2780" s="198" t="s">
        <v>2272</v>
      </c>
      <c r="W2780" s="198" t="s">
        <v>2272</v>
      </c>
      <c r="X2780" s="198" t="s">
        <v>2272</v>
      </c>
      <c r="Y2780" s="198" t="s">
        <v>67</v>
      </c>
      <c r="Z2780" s="198" t="s">
        <v>84</v>
      </c>
      <c r="AA2780" s="198" t="s">
        <v>75</v>
      </c>
      <c r="AB2780" s="198"/>
      <c r="AC2780" s="198"/>
    </row>
    <row r="2781" spans="1:29" ht="34.5" customHeight="1">
      <c r="A2781" s="147" t="str">
        <f>'Reported burning'!A2781</f>
        <v>305ad</v>
      </c>
      <c r="B2781" s="147" t="str">
        <f>'Reported burning'!B2781</f>
        <v>305ad.6</v>
      </c>
      <c r="C2781" s="147" t="str">
        <f>'Reported burning'!C2781</f>
        <v>Human, deliberate</v>
      </c>
      <c r="D2781" s="147" t="str">
        <f>'Reported burning'!D2781</f>
        <v>Pyrome management</v>
      </c>
      <c r="E2781" s="147" t="str">
        <f>'Reported burning'!E2781</f>
        <v>Fire suppression agent</v>
      </c>
      <c r="F2781" s="147" t="str">
        <f>'Reported burning'!F2781</f>
        <v>ND</v>
      </c>
      <c r="G2781" s="147" t="str">
        <f>'Reported burning'!G2781</f>
        <v>ND</v>
      </c>
      <c r="H2781" s="147" t="str">
        <f>'Reported burning'!H2781</f>
        <v>Presence</v>
      </c>
      <c r="I2781" s="198"/>
      <c r="J2781" s="198" t="s">
        <v>2272</v>
      </c>
      <c r="K2781" s="198" t="s">
        <v>2272</v>
      </c>
      <c r="L2781" s="198" t="s">
        <v>2272</v>
      </c>
      <c r="M2781" s="198" t="s">
        <v>2272</v>
      </c>
      <c r="N2781" s="198" t="s">
        <v>2272</v>
      </c>
      <c r="O2781" s="198" t="s">
        <v>2272</v>
      </c>
      <c r="P2781" s="198" t="s">
        <v>2272</v>
      </c>
      <c r="Q2781" s="198" t="s">
        <v>2272</v>
      </c>
      <c r="R2781" s="198" t="s">
        <v>2272</v>
      </c>
      <c r="S2781" s="198" t="s">
        <v>2272</v>
      </c>
      <c r="T2781" s="198" t="s">
        <v>2272</v>
      </c>
      <c r="U2781" s="198" t="s">
        <v>2272</v>
      </c>
      <c r="V2781" s="198" t="s">
        <v>2272</v>
      </c>
      <c r="W2781" s="198" t="s">
        <v>2272</v>
      </c>
      <c r="X2781" s="198" t="s">
        <v>2272</v>
      </c>
      <c r="Y2781" s="198" t="s">
        <v>67</v>
      </c>
      <c r="Z2781" s="198" t="s">
        <v>84</v>
      </c>
      <c r="AA2781" s="198" t="s">
        <v>75</v>
      </c>
      <c r="AB2781" s="198"/>
      <c r="AC2781" s="198"/>
    </row>
    <row r="2782" spans="1:29" ht="34.5" customHeight="1">
      <c r="A2782" s="147" t="str">
        <f>'Reported burning'!A2782</f>
        <v>305ae</v>
      </c>
      <c r="B2782" s="147" t="str">
        <f>'Reported burning'!B2782</f>
        <v>305ae.6</v>
      </c>
      <c r="C2782" s="147" t="str">
        <f>'Reported burning'!C2782</f>
        <v>Human, deliberate</v>
      </c>
      <c r="D2782" s="147" t="str">
        <f>'Reported burning'!D2782</f>
        <v>Pyrome management</v>
      </c>
      <c r="E2782" s="147" t="str">
        <f>'Reported burning'!E2782</f>
        <v>Fire suppression agent</v>
      </c>
      <c r="F2782" s="147" t="str">
        <f>'Reported burning'!F2782</f>
        <v>ND</v>
      </c>
      <c r="G2782" s="147" t="str">
        <f>'Reported burning'!G2782</f>
        <v>ND</v>
      </c>
      <c r="H2782" s="147" t="str">
        <f>'Reported burning'!H2782</f>
        <v>Presence</v>
      </c>
      <c r="I2782" s="198"/>
      <c r="J2782" s="198" t="s">
        <v>2272</v>
      </c>
      <c r="K2782" s="198" t="s">
        <v>2272</v>
      </c>
      <c r="L2782" s="198" t="s">
        <v>2272</v>
      </c>
      <c r="M2782" s="198" t="s">
        <v>2272</v>
      </c>
      <c r="N2782" s="198" t="s">
        <v>2272</v>
      </c>
      <c r="O2782" s="198" t="s">
        <v>2272</v>
      </c>
      <c r="P2782" s="198" t="s">
        <v>2272</v>
      </c>
      <c r="Q2782" s="198" t="s">
        <v>2272</v>
      </c>
      <c r="R2782" s="198" t="s">
        <v>2272</v>
      </c>
      <c r="S2782" s="198" t="s">
        <v>2272</v>
      </c>
      <c r="T2782" s="198" t="s">
        <v>2272</v>
      </c>
      <c r="U2782" s="198" t="s">
        <v>2272</v>
      </c>
      <c r="V2782" s="198" t="s">
        <v>2272</v>
      </c>
      <c r="W2782" s="198" t="s">
        <v>2272</v>
      </c>
      <c r="X2782" s="198" t="s">
        <v>2272</v>
      </c>
      <c r="Y2782" s="198" t="s">
        <v>67</v>
      </c>
      <c r="Z2782" s="198" t="s">
        <v>84</v>
      </c>
      <c r="AA2782" s="198" t="s">
        <v>75</v>
      </c>
      <c r="AB2782" s="198"/>
      <c r="AC2782" s="198"/>
    </row>
    <row r="2783" spans="1:29" ht="34.5" customHeight="1">
      <c r="A2783" s="147" t="str">
        <f>'Reported burning'!A2783</f>
        <v>305n</v>
      </c>
      <c r="B2783" s="147" t="str">
        <f>'Reported burning'!B2783</f>
        <v>305n.7</v>
      </c>
      <c r="C2783" s="147" t="str">
        <f>'Reported burning'!C2783</f>
        <v>Human, deliberate</v>
      </c>
      <c r="D2783" s="147" t="str">
        <f>'Reported burning'!D2783</f>
        <v>Pyrome management</v>
      </c>
      <c r="E2783" s="147" t="str">
        <f>'Reported burning'!E2783</f>
        <v>Fire suppression agent</v>
      </c>
      <c r="F2783" s="147" t="str">
        <f>'Reported burning'!F2783</f>
        <v>ND</v>
      </c>
      <c r="G2783" s="147" t="str">
        <f>'Reported burning'!G2783</f>
        <v>ND</v>
      </c>
      <c r="H2783" s="147" t="str">
        <f>'Reported burning'!H2783</f>
        <v>Presence</v>
      </c>
      <c r="I2783" s="198"/>
      <c r="J2783" s="198" t="s">
        <v>2272</v>
      </c>
      <c r="K2783" s="198" t="s">
        <v>2272</v>
      </c>
      <c r="L2783" s="198" t="s">
        <v>2272</v>
      </c>
      <c r="M2783" s="198" t="s">
        <v>2272</v>
      </c>
      <c r="N2783" s="198" t="s">
        <v>2272</v>
      </c>
      <c r="O2783" s="198" t="s">
        <v>2272</v>
      </c>
      <c r="P2783" s="198" t="s">
        <v>2272</v>
      </c>
      <c r="Q2783" s="198" t="s">
        <v>2272</v>
      </c>
      <c r="R2783" s="198" t="s">
        <v>2272</v>
      </c>
      <c r="S2783" s="198" t="s">
        <v>2272</v>
      </c>
      <c r="T2783" s="198" t="s">
        <v>2272</v>
      </c>
      <c r="U2783" s="198" t="s">
        <v>2272</v>
      </c>
      <c r="V2783" s="198" t="s">
        <v>2272</v>
      </c>
      <c r="W2783" s="198" t="s">
        <v>2272</v>
      </c>
      <c r="X2783" s="198" t="s">
        <v>2272</v>
      </c>
      <c r="Y2783" s="198" t="s">
        <v>67</v>
      </c>
      <c r="Z2783" s="198" t="s">
        <v>84</v>
      </c>
      <c r="AA2783" s="198" t="s">
        <v>75</v>
      </c>
      <c r="AB2783" s="198"/>
      <c r="AC2783" s="198"/>
    </row>
    <row r="2784" spans="1:29" ht="34.5" customHeight="1">
      <c r="A2784" s="147" t="str">
        <f>'Reported burning'!A2784</f>
        <v>305o</v>
      </c>
      <c r="B2784" s="147" t="str">
        <f>'Reported burning'!B2784</f>
        <v>305o.7</v>
      </c>
      <c r="C2784" s="147" t="str">
        <f>'Reported burning'!C2784</f>
        <v>Human, deliberate</v>
      </c>
      <c r="D2784" s="147" t="str">
        <f>'Reported burning'!D2784</f>
        <v>Pyrome management</v>
      </c>
      <c r="E2784" s="147" t="str">
        <f>'Reported burning'!E2784</f>
        <v>Fire suppression agent</v>
      </c>
      <c r="F2784" s="147" t="str">
        <f>'Reported burning'!F2784</f>
        <v>ND</v>
      </c>
      <c r="G2784" s="147" t="str">
        <f>'Reported burning'!G2784</f>
        <v>ND</v>
      </c>
      <c r="H2784" s="147" t="str">
        <f>'Reported burning'!H2784</f>
        <v>Presence</v>
      </c>
      <c r="I2784" s="198"/>
      <c r="J2784" s="198" t="s">
        <v>2272</v>
      </c>
      <c r="K2784" s="198" t="s">
        <v>2272</v>
      </c>
      <c r="L2784" s="198" t="s">
        <v>2272</v>
      </c>
      <c r="M2784" s="198" t="s">
        <v>2272</v>
      </c>
      <c r="N2784" s="198" t="s">
        <v>2272</v>
      </c>
      <c r="O2784" s="198" t="s">
        <v>2272</v>
      </c>
      <c r="P2784" s="198" t="s">
        <v>2272</v>
      </c>
      <c r="Q2784" s="198" t="s">
        <v>2272</v>
      </c>
      <c r="R2784" s="198" t="s">
        <v>2272</v>
      </c>
      <c r="S2784" s="198" t="s">
        <v>2272</v>
      </c>
      <c r="T2784" s="198" t="s">
        <v>2272</v>
      </c>
      <c r="U2784" s="198" t="s">
        <v>2272</v>
      </c>
      <c r="V2784" s="198" t="s">
        <v>2272</v>
      </c>
      <c r="W2784" s="198" t="s">
        <v>2272</v>
      </c>
      <c r="X2784" s="198" t="s">
        <v>2272</v>
      </c>
      <c r="Y2784" s="198" t="s">
        <v>67</v>
      </c>
      <c r="Z2784" s="198" t="s">
        <v>84</v>
      </c>
      <c r="AA2784" s="198" t="s">
        <v>75</v>
      </c>
      <c r="AB2784" s="198"/>
      <c r="AC2784" s="198"/>
    </row>
    <row r="2785" spans="1:29" ht="34.5" customHeight="1">
      <c r="A2785" s="147" t="str">
        <f>'Reported burning'!A2785</f>
        <v>305p</v>
      </c>
      <c r="B2785" s="147" t="str">
        <f>'Reported burning'!B2785</f>
        <v>305p.7</v>
      </c>
      <c r="C2785" s="147" t="str">
        <f>'Reported burning'!C2785</f>
        <v>Human, deliberate</v>
      </c>
      <c r="D2785" s="147" t="str">
        <f>'Reported burning'!D2785</f>
        <v>Pyrome management</v>
      </c>
      <c r="E2785" s="147" t="str">
        <f>'Reported burning'!E2785</f>
        <v>Fire suppression agent</v>
      </c>
      <c r="F2785" s="147" t="str">
        <f>'Reported burning'!F2785</f>
        <v>ND</v>
      </c>
      <c r="G2785" s="147" t="str">
        <f>'Reported burning'!G2785</f>
        <v>ND</v>
      </c>
      <c r="H2785" s="147" t="str">
        <f>'Reported burning'!H2785</f>
        <v>Presence</v>
      </c>
      <c r="I2785" s="198"/>
      <c r="J2785" s="198" t="s">
        <v>2272</v>
      </c>
      <c r="K2785" s="198" t="s">
        <v>2272</v>
      </c>
      <c r="L2785" s="198" t="s">
        <v>2272</v>
      </c>
      <c r="M2785" s="198" t="s">
        <v>2272</v>
      </c>
      <c r="N2785" s="198" t="s">
        <v>2272</v>
      </c>
      <c r="O2785" s="198" t="s">
        <v>2272</v>
      </c>
      <c r="P2785" s="198" t="s">
        <v>2272</v>
      </c>
      <c r="Q2785" s="198" t="s">
        <v>2272</v>
      </c>
      <c r="R2785" s="198" t="s">
        <v>2272</v>
      </c>
      <c r="S2785" s="198" t="s">
        <v>2272</v>
      </c>
      <c r="T2785" s="198" t="s">
        <v>2272</v>
      </c>
      <c r="U2785" s="198" t="s">
        <v>2272</v>
      </c>
      <c r="V2785" s="198" t="s">
        <v>2272</v>
      </c>
      <c r="W2785" s="198" t="s">
        <v>2272</v>
      </c>
      <c r="X2785" s="198" t="s">
        <v>2272</v>
      </c>
      <c r="Y2785" s="198" t="s">
        <v>67</v>
      </c>
      <c r="Z2785" s="198" t="s">
        <v>84</v>
      </c>
      <c r="AA2785" s="198" t="s">
        <v>75</v>
      </c>
      <c r="AB2785" s="198"/>
      <c r="AC2785" s="198"/>
    </row>
    <row r="2786" spans="1:29" ht="34.5" customHeight="1">
      <c r="A2786" s="147" t="str">
        <f>'Reported burning'!A2786</f>
        <v>305q</v>
      </c>
      <c r="B2786" s="147" t="str">
        <f>'Reported burning'!B2786</f>
        <v>305q.7</v>
      </c>
      <c r="C2786" s="147" t="str">
        <f>'Reported burning'!C2786</f>
        <v>Human, deliberate</v>
      </c>
      <c r="D2786" s="147" t="str">
        <f>'Reported burning'!D2786</f>
        <v>Pyrome management</v>
      </c>
      <c r="E2786" s="147" t="str">
        <f>'Reported burning'!E2786</f>
        <v>Fire suppression agent</v>
      </c>
      <c r="F2786" s="147" t="str">
        <f>'Reported burning'!F2786</f>
        <v>ND</v>
      </c>
      <c r="G2786" s="147" t="str">
        <f>'Reported burning'!G2786</f>
        <v>ND</v>
      </c>
      <c r="H2786" s="147" t="str">
        <f>'Reported burning'!H2786</f>
        <v>Presence</v>
      </c>
      <c r="I2786" s="198"/>
      <c r="J2786" s="198" t="s">
        <v>2272</v>
      </c>
      <c r="K2786" s="198" t="s">
        <v>2272</v>
      </c>
      <c r="L2786" s="198" t="s">
        <v>2272</v>
      </c>
      <c r="M2786" s="198" t="s">
        <v>2272</v>
      </c>
      <c r="N2786" s="198" t="s">
        <v>2272</v>
      </c>
      <c r="O2786" s="198" t="s">
        <v>2272</v>
      </c>
      <c r="P2786" s="198" t="s">
        <v>2272</v>
      </c>
      <c r="Q2786" s="198" t="s">
        <v>2272</v>
      </c>
      <c r="R2786" s="198" t="s">
        <v>2272</v>
      </c>
      <c r="S2786" s="198" t="s">
        <v>2272</v>
      </c>
      <c r="T2786" s="198" t="s">
        <v>2272</v>
      </c>
      <c r="U2786" s="198" t="s">
        <v>2272</v>
      </c>
      <c r="V2786" s="198" t="s">
        <v>2272</v>
      </c>
      <c r="W2786" s="198" t="s">
        <v>2272</v>
      </c>
      <c r="X2786" s="198" t="s">
        <v>2272</v>
      </c>
      <c r="Y2786" s="198" t="s">
        <v>67</v>
      </c>
      <c r="Z2786" s="198" t="s">
        <v>84</v>
      </c>
      <c r="AA2786" s="198" t="s">
        <v>75</v>
      </c>
      <c r="AB2786" s="198"/>
      <c r="AC2786" s="198"/>
    </row>
    <row r="2787" spans="1:29" ht="34.5" customHeight="1">
      <c r="A2787" s="147" t="str">
        <f>'Reported burning'!A2787</f>
        <v>305r</v>
      </c>
      <c r="B2787" s="147" t="str">
        <f>'Reported burning'!B2787</f>
        <v>305r.7</v>
      </c>
      <c r="C2787" s="147" t="str">
        <f>'Reported burning'!C2787</f>
        <v>Human, deliberate</v>
      </c>
      <c r="D2787" s="147" t="str">
        <f>'Reported burning'!D2787</f>
        <v>Pyrome management</v>
      </c>
      <c r="E2787" s="147" t="str">
        <f>'Reported burning'!E2787</f>
        <v>Fire suppression agent</v>
      </c>
      <c r="F2787" s="147" t="str">
        <f>'Reported burning'!F2787</f>
        <v>ND</v>
      </c>
      <c r="G2787" s="147" t="str">
        <f>'Reported burning'!G2787</f>
        <v>ND</v>
      </c>
      <c r="H2787" s="147" t="str">
        <f>'Reported burning'!H2787</f>
        <v>Absence</v>
      </c>
      <c r="I2787" s="198"/>
      <c r="J2787" s="21" t="s">
        <v>2359</v>
      </c>
      <c r="K2787" s="21" t="s">
        <v>2359</v>
      </c>
      <c r="L2787" s="21" t="s">
        <v>2359</v>
      </c>
      <c r="M2787" s="21" t="s">
        <v>2359</v>
      </c>
      <c r="N2787" s="21" t="s">
        <v>2359</v>
      </c>
      <c r="O2787" s="21" t="s">
        <v>2359</v>
      </c>
      <c r="P2787" s="21" t="s">
        <v>2359</v>
      </c>
      <c r="Q2787" s="21" t="s">
        <v>2359</v>
      </c>
      <c r="R2787" s="21" t="s">
        <v>2359</v>
      </c>
      <c r="S2787" s="21" t="s">
        <v>2359</v>
      </c>
      <c r="T2787" s="21" t="s">
        <v>2359</v>
      </c>
      <c r="U2787" s="21" t="s">
        <v>2359</v>
      </c>
      <c r="V2787" s="21" t="s">
        <v>2359</v>
      </c>
      <c r="W2787" s="21" t="s">
        <v>2359</v>
      </c>
      <c r="X2787" s="198" t="s">
        <v>2272</v>
      </c>
      <c r="Y2787" s="198" t="s">
        <v>67</v>
      </c>
      <c r="Z2787" s="198" t="s">
        <v>84</v>
      </c>
      <c r="AA2787" s="198" t="s">
        <v>75</v>
      </c>
      <c r="AB2787" s="198"/>
      <c r="AC2787" s="198"/>
    </row>
    <row r="2788" spans="1:29" ht="34.5" customHeight="1">
      <c r="A2788" s="147" t="str">
        <f>'Reported burning'!A2788</f>
        <v>305s</v>
      </c>
      <c r="B2788" s="147" t="str">
        <f>'Reported burning'!B2788</f>
        <v>305s.7</v>
      </c>
      <c r="C2788" s="147" t="str">
        <f>'Reported burning'!C2788</f>
        <v>Human, deliberate</v>
      </c>
      <c r="D2788" s="147" t="str">
        <f>'Reported burning'!D2788</f>
        <v>Pyrome management</v>
      </c>
      <c r="E2788" s="147" t="str">
        <f>'Reported burning'!E2788</f>
        <v>Fire suppression agent</v>
      </c>
      <c r="F2788" s="147" t="str">
        <f>'Reported burning'!F2788</f>
        <v>ND</v>
      </c>
      <c r="G2788" s="147" t="str">
        <f>'Reported burning'!G2788</f>
        <v>ND</v>
      </c>
      <c r="H2788" s="147" t="str">
        <f>'Reported burning'!H2788</f>
        <v>Absence</v>
      </c>
      <c r="I2788" s="198"/>
      <c r="J2788" s="21" t="s">
        <v>2359</v>
      </c>
      <c r="K2788" s="21" t="s">
        <v>2359</v>
      </c>
      <c r="L2788" s="21" t="s">
        <v>2359</v>
      </c>
      <c r="M2788" s="21" t="s">
        <v>2359</v>
      </c>
      <c r="N2788" s="21" t="s">
        <v>2359</v>
      </c>
      <c r="O2788" s="21" t="s">
        <v>2359</v>
      </c>
      <c r="P2788" s="21" t="s">
        <v>2359</v>
      </c>
      <c r="Q2788" s="21" t="s">
        <v>2359</v>
      </c>
      <c r="R2788" s="21" t="s">
        <v>2359</v>
      </c>
      <c r="S2788" s="21" t="s">
        <v>2359</v>
      </c>
      <c r="T2788" s="21" t="s">
        <v>2359</v>
      </c>
      <c r="U2788" s="21" t="s">
        <v>2359</v>
      </c>
      <c r="V2788" s="21" t="s">
        <v>2359</v>
      </c>
      <c r="W2788" s="21" t="s">
        <v>2359</v>
      </c>
      <c r="X2788" s="198" t="s">
        <v>2272</v>
      </c>
      <c r="Y2788" s="198" t="s">
        <v>67</v>
      </c>
      <c r="Z2788" s="198" t="s">
        <v>84</v>
      </c>
      <c r="AA2788" s="198" t="s">
        <v>75</v>
      </c>
      <c r="AB2788" s="198"/>
      <c r="AC2788" s="198"/>
    </row>
    <row r="2789" spans="1:29" ht="34.5" customHeight="1">
      <c r="A2789" s="147" t="str">
        <f>'Reported burning'!A2789</f>
        <v>305t</v>
      </c>
      <c r="B2789" s="147" t="str">
        <f>'Reported burning'!B2789</f>
        <v>305t.7</v>
      </c>
      <c r="C2789" s="147" t="str">
        <f>'Reported burning'!C2789</f>
        <v>Human, deliberate</v>
      </c>
      <c r="D2789" s="147" t="str">
        <f>'Reported burning'!D2789</f>
        <v>Pyrome management</v>
      </c>
      <c r="E2789" s="147" t="str">
        <f>'Reported burning'!E2789</f>
        <v>Fire suppression agent</v>
      </c>
      <c r="F2789" s="147" t="str">
        <f>'Reported burning'!F2789</f>
        <v>ND</v>
      </c>
      <c r="G2789" s="147" t="str">
        <f>'Reported burning'!G2789</f>
        <v>ND</v>
      </c>
      <c r="H2789" s="147" t="str">
        <f>'Reported burning'!H2789</f>
        <v>Absence</v>
      </c>
      <c r="I2789" s="198"/>
      <c r="J2789" s="21" t="s">
        <v>2359</v>
      </c>
      <c r="K2789" s="21" t="s">
        <v>2359</v>
      </c>
      <c r="L2789" s="21" t="s">
        <v>2359</v>
      </c>
      <c r="M2789" s="21" t="s">
        <v>2359</v>
      </c>
      <c r="N2789" s="21" t="s">
        <v>2359</v>
      </c>
      <c r="O2789" s="21" t="s">
        <v>2359</v>
      </c>
      <c r="P2789" s="21" t="s">
        <v>2359</v>
      </c>
      <c r="Q2789" s="21" t="s">
        <v>2359</v>
      </c>
      <c r="R2789" s="21" t="s">
        <v>2359</v>
      </c>
      <c r="S2789" s="21" t="s">
        <v>2359</v>
      </c>
      <c r="T2789" s="21" t="s">
        <v>2359</v>
      </c>
      <c r="U2789" s="21" t="s">
        <v>2359</v>
      </c>
      <c r="V2789" s="21" t="s">
        <v>2359</v>
      </c>
      <c r="W2789" s="21" t="s">
        <v>2359</v>
      </c>
      <c r="X2789" s="198" t="s">
        <v>2272</v>
      </c>
      <c r="Y2789" s="198" t="s">
        <v>67</v>
      </c>
      <c r="Z2789" s="198" t="s">
        <v>84</v>
      </c>
      <c r="AA2789" s="198" t="s">
        <v>75</v>
      </c>
      <c r="AB2789" s="198"/>
      <c r="AC2789" s="198"/>
    </row>
    <row r="2790" spans="1:29" ht="34.5" customHeight="1">
      <c r="A2790" s="147" t="str">
        <f>'Reported burning'!A2790</f>
        <v>305u</v>
      </c>
      <c r="B2790" s="147" t="str">
        <f>'Reported burning'!B2790</f>
        <v>305u.7</v>
      </c>
      <c r="C2790" s="147" t="str">
        <f>'Reported burning'!C2790</f>
        <v>Human, deliberate</v>
      </c>
      <c r="D2790" s="147" t="str">
        <f>'Reported burning'!D2790</f>
        <v>Pyrome management</v>
      </c>
      <c r="E2790" s="147" t="str">
        <f>'Reported burning'!E2790</f>
        <v>Fire suppression agent</v>
      </c>
      <c r="F2790" s="147" t="str">
        <f>'Reported burning'!F2790</f>
        <v>ND</v>
      </c>
      <c r="G2790" s="147" t="str">
        <f>'Reported burning'!G2790</f>
        <v>ND</v>
      </c>
      <c r="H2790" s="147" t="str">
        <f>'Reported burning'!H2790</f>
        <v>Presence</v>
      </c>
      <c r="I2790" s="198"/>
      <c r="J2790" s="198" t="s">
        <v>2272</v>
      </c>
      <c r="K2790" s="198" t="s">
        <v>2272</v>
      </c>
      <c r="L2790" s="198" t="s">
        <v>2272</v>
      </c>
      <c r="M2790" s="198" t="s">
        <v>2272</v>
      </c>
      <c r="N2790" s="198" t="s">
        <v>2272</v>
      </c>
      <c r="O2790" s="198" t="s">
        <v>2272</v>
      </c>
      <c r="P2790" s="198" t="s">
        <v>2272</v>
      </c>
      <c r="Q2790" s="198" t="s">
        <v>2272</v>
      </c>
      <c r="R2790" s="198" t="s">
        <v>2272</v>
      </c>
      <c r="S2790" s="198" t="s">
        <v>2272</v>
      </c>
      <c r="T2790" s="198" t="s">
        <v>2272</v>
      </c>
      <c r="U2790" s="198" t="s">
        <v>2272</v>
      </c>
      <c r="V2790" s="198" t="s">
        <v>2272</v>
      </c>
      <c r="W2790" s="198" t="s">
        <v>2272</v>
      </c>
      <c r="X2790" s="198" t="s">
        <v>2272</v>
      </c>
      <c r="Y2790" s="198" t="s">
        <v>67</v>
      </c>
      <c r="Z2790" s="198" t="s">
        <v>84</v>
      </c>
      <c r="AA2790" s="198" t="s">
        <v>75</v>
      </c>
      <c r="AB2790" s="198"/>
      <c r="AC2790" s="198"/>
    </row>
    <row r="2791" spans="1:29" ht="34.5" customHeight="1">
      <c r="A2791" s="147" t="str">
        <f>'Reported burning'!A2791</f>
        <v>305v</v>
      </c>
      <c r="B2791" s="147" t="str">
        <f>'Reported burning'!B2791</f>
        <v>305v.7</v>
      </c>
      <c r="C2791" s="147" t="str">
        <f>'Reported burning'!C2791</f>
        <v>Human, deliberate</v>
      </c>
      <c r="D2791" s="147" t="str">
        <f>'Reported burning'!D2791</f>
        <v>Pyrome management</v>
      </c>
      <c r="E2791" s="147" t="str">
        <f>'Reported burning'!E2791</f>
        <v>Fire suppression agent</v>
      </c>
      <c r="F2791" s="147" t="str">
        <f>'Reported burning'!F2791</f>
        <v>ND</v>
      </c>
      <c r="G2791" s="147" t="str">
        <f>'Reported burning'!G2791</f>
        <v>ND</v>
      </c>
      <c r="H2791" s="147" t="str">
        <f>'Reported burning'!H2791</f>
        <v>Presence</v>
      </c>
      <c r="I2791" s="198"/>
      <c r="J2791" s="198" t="s">
        <v>2272</v>
      </c>
      <c r="K2791" s="198" t="s">
        <v>2272</v>
      </c>
      <c r="L2791" s="198" t="s">
        <v>2272</v>
      </c>
      <c r="M2791" s="198" t="s">
        <v>2272</v>
      </c>
      <c r="N2791" s="198" t="s">
        <v>2272</v>
      </c>
      <c r="O2791" s="198" t="s">
        <v>2272</v>
      </c>
      <c r="P2791" s="198" t="s">
        <v>2272</v>
      </c>
      <c r="Q2791" s="198" t="s">
        <v>2272</v>
      </c>
      <c r="R2791" s="198" t="s">
        <v>2272</v>
      </c>
      <c r="S2791" s="198" t="s">
        <v>2272</v>
      </c>
      <c r="T2791" s="198" t="s">
        <v>2272</v>
      </c>
      <c r="U2791" s="198" t="s">
        <v>2272</v>
      </c>
      <c r="V2791" s="198" t="s">
        <v>2272</v>
      </c>
      <c r="W2791" s="198" t="s">
        <v>2272</v>
      </c>
      <c r="X2791" s="198" t="s">
        <v>2272</v>
      </c>
      <c r="Y2791" s="198" t="s">
        <v>67</v>
      </c>
      <c r="Z2791" s="198" t="s">
        <v>84</v>
      </c>
      <c r="AA2791" s="198" t="s">
        <v>75</v>
      </c>
      <c r="AB2791" s="198"/>
      <c r="AC2791" s="198"/>
    </row>
    <row r="2792" spans="1:29" ht="34.5" customHeight="1">
      <c r="A2792" s="147" t="str">
        <f>'Reported burning'!A2792</f>
        <v>305w</v>
      </c>
      <c r="B2792" s="147" t="str">
        <f>'Reported burning'!B2792</f>
        <v>305w.7</v>
      </c>
      <c r="C2792" s="147" t="str">
        <f>'Reported burning'!C2792</f>
        <v>Human, deliberate</v>
      </c>
      <c r="D2792" s="147" t="str">
        <f>'Reported burning'!D2792</f>
        <v>Pyrome management</v>
      </c>
      <c r="E2792" s="147" t="str">
        <f>'Reported burning'!E2792</f>
        <v>Fire suppression agent</v>
      </c>
      <c r="F2792" s="147" t="str">
        <f>'Reported burning'!F2792</f>
        <v>ND</v>
      </c>
      <c r="G2792" s="147" t="str">
        <f>'Reported burning'!G2792</f>
        <v>ND</v>
      </c>
      <c r="H2792" s="147" t="str">
        <f>'Reported burning'!H2792</f>
        <v>Presence</v>
      </c>
      <c r="I2792" s="198"/>
      <c r="J2792" s="198" t="s">
        <v>2272</v>
      </c>
      <c r="K2792" s="198" t="s">
        <v>2272</v>
      </c>
      <c r="L2792" s="198" t="s">
        <v>2272</v>
      </c>
      <c r="M2792" s="198" t="s">
        <v>2272</v>
      </c>
      <c r="N2792" s="198" t="s">
        <v>2272</v>
      </c>
      <c r="O2792" s="198" t="s">
        <v>2272</v>
      </c>
      <c r="P2792" s="198" t="s">
        <v>2272</v>
      </c>
      <c r="Q2792" s="198" t="s">
        <v>2272</v>
      </c>
      <c r="R2792" s="198" t="s">
        <v>2272</v>
      </c>
      <c r="S2792" s="198" t="s">
        <v>2272</v>
      </c>
      <c r="T2792" s="198" t="s">
        <v>2272</v>
      </c>
      <c r="U2792" s="198" t="s">
        <v>2272</v>
      </c>
      <c r="V2792" s="198" t="s">
        <v>2272</v>
      </c>
      <c r="W2792" s="198" t="s">
        <v>2272</v>
      </c>
      <c r="X2792" s="198" t="s">
        <v>2272</v>
      </c>
      <c r="Y2792" s="198" t="s">
        <v>67</v>
      </c>
      <c r="Z2792" s="198" t="s">
        <v>84</v>
      </c>
      <c r="AA2792" s="198" t="s">
        <v>75</v>
      </c>
      <c r="AB2792" s="198"/>
      <c r="AC2792" s="198"/>
    </row>
    <row r="2793" spans="1:29" ht="34.5" customHeight="1">
      <c r="A2793" s="147" t="str">
        <f>'Reported burning'!A2793</f>
        <v>305x</v>
      </c>
      <c r="B2793" s="147" t="str">
        <f>'Reported burning'!B2793</f>
        <v>305x.7</v>
      </c>
      <c r="C2793" s="147" t="str">
        <f>'Reported burning'!C2793</f>
        <v>Human, deliberate</v>
      </c>
      <c r="D2793" s="147" t="str">
        <f>'Reported burning'!D2793</f>
        <v>Pyrome management</v>
      </c>
      <c r="E2793" s="147" t="str">
        <f>'Reported burning'!E2793</f>
        <v>Fire suppression agent</v>
      </c>
      <c r="F2793" s="147" t="str">
        <f>'Reported burning'!F2793</f>
        <v>ND</v>
      </c>
      <c r="G2793" s="147" t="str">
        <f>'Reported burning'!G2793</f>
        <v>ND</v>
      </c>
      <c r="H2793" s="147" t="str">
        <f>'Reported burning'!H2793</f>
        <v>Presence</v>
      </c>
      <c r="I2793" s="198"/>
      <c r="J2793" s="198" t="s">
        <v>2272</v>
      </c>
      <c r="K2793" s="198" t="s">
        <v>2272</v>
      </c>
      <c r="L2793" s="198" t="s">
        <v>2272</v>
      </c>
      <c r="M2793" s="198" t="s">
        <v>2272</v>
      </c>
      <c r="N2793" s="198" t="s">
        <v>2272</v>
      </c>
      <c r="O2793" s="198" t="s">
        <v>2272</v>
      </c>
      <c r="P2793" s="198" t="s">
        <v>2272</v>
      </c>
      <c r="Q2793" s="198" t="s">
        <v>2272</v>
      </c>
      <c r="R2793" s="198" t="s">
        <v>2272</v>
      </c>
      <c r="S2793" s="198" t="s">
        <v>2272</v>
      </c>
      <c r="T2793" s="198" t="s">
        <v>2272</v>
      </c>
      <c r="U2793" s="198" t="s">
        <v>2272</v>
      </c>
      <c r="V2793" s="198" t="s">
        <v>2272</v>
      </c>
      <c r="W2793" s="198" t="s">
        <v>2272</v>
      </c>
      <c r="X2793" s="198" t="s">
        <v>2272</v>
      </c>
      <c r="Y2793" s="198" t="s">
        <v>67</v>
      </c>
      <c r="Z2793" s="198" t="s">
        <v>84</v>
      </c>
      <c r="AA2793" s="198" t="s">
        <v>75</v>
      </c>
      <c r="AB2793" s="198"/>
      <c r="AC2793" s="198"/>
    </row>
    <row r="2794" spans="1:29" ht="34.5" customHeight="1">
      <c r="A2794" s="147" t="str">
        <f>'Reported burning'!A2794</f>
        <v>305y</v>
      </c>
      <c r="B2794" s="147" t="str">
        <f>'Reported burning'!B2794</f>
        <v>305y.7</v>
      </c>
      <c r="C2794" s="147" t="str">
        <f>'Reported burning'!C2794</f>
        <v>Human, deliberate</v>
      </c>
      <c r="D2794" s="147" t="str">
        <f>'Reported burning'!D2794</f>
        <v>Pyrome management</v>
      </c>
      <c r="E2794" s="147" t="str">
        <f>'Reported burning'!E2794</f>
        <v>Fire suppression agent</v>
      </c>
      <c r="F2794" s="147" t="str">
        <f>'Reported burning'!F2794</f>
        <v>ND</v>
      </c>
      <c r="G2794" s="147" t="str">
        <f>'Reported burning'!G2794</f>
        <v>ND</v>
      </c>
      <c r="H2794" s="147" t="str">
        <f>'Reported burning'!H2794</f>
        <v>Presence</v>
      </c>
      <c r="I2794" s="198"/>
      <c r="J2794" s="198" t="s">
        <v>2272</v>
      </c>
      <c r="K2794" s="198" t="s">
        <v>2272</v>
      </c>
      <c r="L2794" s="198" t="s">
        <v>2272</v>
      </c>
      <c r="M2794" s="198" t="s">
        <v>2272</v>
      </c>
      <c r="N2794" s="198" t="s">
        <v>2272</v>
      </c>
      <c r="O2794" s="198" t="s">
        <v>2272</v>
      </c>
      <c r="P2794" s="198" t="s">
        <v>2272</v>
      </c>
      <c r="Q2794" s="198" t="s">
        <v>2272</v>
      </c>
      <c r="R2794" s="198" t="s">
        <v>2272</v>
      </c>
      <c r="S2794" s="198" t="s">
        <v>2272</v>
      </c>
      <c r="T2794" s="198" t="s">
        <v>2272</v>
      </c>
      <c r="U2794" s="198" t="s">
        <v>2272</v>
      </c>
      <c r="V2794" s="198" t="s">
        <v>2272</v>
      </c>
      <c r="W2794" s="198" t="s">
        <v>2272</v>
      </c>
      <c r="X2794" s="198" t="s">
        <v>2272</v>
      </c>
      <c r="Y2794" s="198" t="s">
        <v>67</v>
      </c>
      <c r="Z2794" s="198" t="s">
        <v>84</v>
      </c>
      <c r="AA2794" s="198" t="s">
        <v>75</v>
      </c>
      <c r="AB2794" s="198"/>
      <c r="AC2794" s="198"/>
    </row>
    <row r="2795" spans="1:29" ht="34.5" customHeight="1">
      <c r="A2795" s="147" t="str">
        <f>'Reported burning'!A2795</f>
        <v>305z</v>
      </c>
      <c r="B2795" s="147" t="str">
        <f>'Reported burning'!B2795</f>
        <v>305z.7</v>
      </c>
      <c r="C2795" s="147" t="str">
        <f>'Reported burning'!C2795</f>
        <v>Human, deliberate</v>
      </c>
      <c r="D2795" s="147" t="str">
        <f>'Reported burning'!D2795</f>
        <v>Pyrome management</v>
      </c>
      <c r="E2795" s="147" t="str">
        <f>'Reported burning'!E2795</f>
        <v>Fire suppression agent</v>
      </c>
      <c r="F2795" s="147" t="str">
        <f>'Reported burning'!F2795</f>
        <v>ND</v>
      </c>
      <c r="G2795" s="147" t="str">
        <f>'Reported burning'!G2795</f>
        <v>ND</v>
      </c>
      <c r="H2795" s="147" t="str">
        <f>'Reported burning'!H2795</f>
        <v>Presence</v>
      </c>
      <c r="I2795" s="198"/>
      <c r="J2795" s="198" t="s">
        <v>2272</v>
      </c>
      <c r="K2795" s="198" t="s">
        <v>2272</v>
      </c>
      <c r="L2795" s="198" t="s">
        <v>2272</v>
      </c>
      <c r="M2795" s="198" t="s">
        <v>2272</v>
      </c>
      <c r="N2795" s="198" t="s">
        <v>2272</v>
      </c>
      <c r="O2795" s="198" t="s">
        <v>2272</v>
      </c>
      <c r="P2795" s="198" t="s">
        <v>2272</v>
      </c>
      <c r="Q2795" s="198" t="s">
        <v>2272</v>
      </c>
      <c r="R2795" s="198" t="s">
        <v>2272</v>
      </c>
      <c r="S2795" s="198" t="s">
        <v>2272</v>
      </c>
      <c r="T2795" s="198" t="s">
        <v>2272</v>
      </c>
      <c r="U2795" s="198" t="s">
        <v>2272</v>
      </c>
      <c r="V2795" s="198" t="s">
        <v>2272</v>
      </c>
      <c r="W2795" s="198" t="s">
        <v>2272</v>
      </c>
      <c r="X2795" s="198" t="s">
        <v>2272</v>
      </c>
      <c r="Y2795" s="198" t="s">
        <v>67</v>
      </c>
      <c r="Z2795" s="198" t="s">
        <v>84</v>
      </c>
      <c r="AA2795" s="198" t="s">
        <v>75</v>
      </c>
      <c r="AB2795" s="198"/>
      <c r="AC2795" s="198"/>
    </row>
    <row r="2796" spans="1:29" ht="34.5" customHeight="1">
      <c r="A2796" s="147" t="str">
        <f>'Reported burning'!A2796</f>
        <v>305aa</v>
      </c>
      <c r="B2796" s="147" t="str">
        <f>'Reported burning'!B2796</f>
        <v>305aa.7</v>
      </c>
      <c r="C2796" s="147" t="str">
        <f>'Reported burning'!C2796</f>
        <v>Human, deliberate</v>
      </c>
      <c r="D2796" s="147" t="str">
        <f>'Reported burning'!D2796</f>
        <v>Pyrome management</v>
      </c>
      <c r="E2796" s="147" t="str">
        <f>'Reported burning'!E2796</f>
        <v>Fire suppression agent</v>
      </c>
      <c r="F2796" s="147" t="str">
        <f>'Reported burning'!F2796</f>
        <v>ND</v>
      </c>
      <c r="G2796" s="147" t="str">
        <f>'Reported burning'!G2796</f>
        <v>ND</v>
      </c>
      <c r="H2796" s="147" t="str">
        <f>'Reported burning'!H2796</f>
        <v>Presence</v>
      </c>
      <c r="I2796" s="198"/>
      <c r="J2796" s="198" t="s">
        <v>2272</v>
      </c>
      <c r="K2796" s="198" t="s">
        <v>2272</v>
      </c>
      <c r="L2796" s="198" t="s">
        <v>2272</v>
      </c>
      <c r="M2796" s="198" t="s">
        <v>2272</v>
      </c>
      <c r="N2796" s="198" t="s">
        <v>2272</v>
      </c>
      <c r="O2796" s="198" t="s">
        <v>2272</v>
      </c>
      <c r="P2796" s="198" t="s">
        <v>2272</v>
      </c>
      <c r="Q2796" s="198" t="s">
        <v>2272</v>
      </c>
      <c r="R2796" s="198" t="s">
        <v>2272</v>
      </c>
      <c r="S2796" s="198" t="s">
        <v>2272</v>
      </c>
      <c r="T2796" s="198" t="s">
        <v>2272</v>
      </c>
      <c r="U2796" s="198" t="s">
        <v>2272</v>
      </c>
      <c r="V2796" s="198" t="s">
        <v>2272</v>
      </c>
      <c r="W2796" s="198" t="s">
        <v>2272</v>
      </c>
      <c r="X2796" s="198" t="s">
        <v>2272</v>
      </c>
      <c r="Y2796" s="198" t="s">
        <v>67</v>
      </c>
      <c r="Z2796" s="198" t="s">
        <v>84</v>
      </c>
      <c r="AA2796" s="198" t="s">
        <v>75</v>
      </c>
      <c r="AB2796" s="198"/>
      <c r="AC2796" s="198"/>
    </row>
    <row r="2797" spans="1:29" ht="34.5" customHeight="1">
      <c r="A2797" s="147" t="str">
        <f>'Reported burning'!A2797</f>
        <v>305ab</v>
      </c>
      <c r="B2797" s="147" t="str">
        <f>'Reported burning'!B2797</f>
        <v>305ab.7</v>
      </c>
      <c r="C2797" s="147" t="str">
        <f>'Reported burning'!C2797</f>
        <v>Human, deliberate</v>
      </c>
      <c r="D2797" s="147" t="str">
        <f>'Reported burning'!D2797</f>
        <v>Pyrome management</v>
      </c>
      <c r="E2797" s="147" t="str">
        <f>'Reported burning'!E2797</f>
        <v>Fire suppression agent</v>
      </c>
      <c r="F2797" s="147" t="str">
        <f>'Reported burning'!F2797</f>
        <v>ND</v>
      </c>
      <c r="G2797" s="147" t="str">
        <f>'Reported burning'!G2797</f>
        <v>ND</v>
      </c>
      <c r="H2797" s="147" t="str">
        <f>'Reported burning'!H2797</f>
        <v>Presence</v>
      </c>
      <c r="I2797" s="198"/>
      <c r="J2797" s="198" t="s">
        <v>2272</v>
      </c>
      <c r="K2797" s="198" t="s">
        <v>2272</v>
      </c>
      <c r="L2797" s="198" t="s">
        <v>2272</v>
      </c>
      <c r="M2797" s="198" t="s">
        <v>2272</v>
      </c>
      <c r="N2797" s="198" t="s">
        <v>2272</v>
      </c>
      <c r="O2797" s="198" t="s">
        <v>2272</v>
      </c>
      <c r="P2797" s="198" t="s">
        <v>2272</v>
      </c>
      <c r="Q2797" s="198" t="s">
        <v>2272</v>
      </c>
      <c r="R2797" s="198" t="s">
        <v>2272</v>
      </c>
      <c r="S2797" s="198" t="s">
        <v>2272</v>
      </c>
      <c r="T2797" s="198" t="s">
        <v>2272</v>
      </c>
      <c r="U2797" s="198" t="s">
        <v>2272</v>
      </c>
      <c r="V2797" s="198" t="s">
        <v>2272</v>
      </c>
      <c r="W2797" s="198" t="s">
        <v>2272</v>
      </c>
      <c r="X2797" s="198" t="s">
        <v>2272</v>
      </c>
      <c r="Y2797" s="198" t="s">
        <v>67</v>
      </c>
      <c r="Z2797" s="198" t="s">
        <v>84</v>
      </c>
      <c r="AA2797" s="198" t="s">
        <v>75</v>
      </c>
      <c r="AB2797" s="198"/>
      <c r="AC2797" s="198"/>
    </row>
    <row r="2798" spans="1:29" ht="34.5" customHeight="1">
      <c r="A2798" s="147" t="str">
        <f>'Reported burning'!A2798</f>
        <v>305ac</v>
      </c>
      <c r="B2798" s="147" t="str">
        <f>'Reported burning'!B2798</f>
        <v>305ac.7</v>
      </c>
      <c r="C2798" s="147" t="str">
        <f>'Reported burning'!C2798</f>
        <v>Human, deliberate</v>
      </c>
      <c r="D2798" s="147" t="str">
        <f>'Reported burning'!D2798</f>
        <v>Pyrome management</v>
      </c>
      <c r="E2798" s="147" t="str">
        <f>'Reported burning'!E2798</f>
        <v>Fire suppression agent</v>
      </c>
      <c r="F2798" s="147" t="str">
        <f>'Reported burning'!F2798</f>
        <v>ND</v>
      </c>
      <c r="G2798" s="147" t="str">
        <f>'Reported burning'!G2798</f>
        <v>ND</v>
      </c>
      <c r="H2798" s="147" t="str">
        <f>'Reported burning'!H2798</f>
        <v>Presence</v>
      </c>
      <c r="I2798" s="198"/>
      <c r="J2798" s="198" t="s">
        <v>2272</v>
      </c>
      <c r="K2798" s="198" t="s">
        <v>2272</v>
      </c>
      <c r="L2798" s="198" t="s">
        <v>2272</v>
      </c>
      <c r="M2798" s="198" t="s">
        <v>2272</v>
      </c>
      <c r="N2798" s="198" t="s">
        <v>2272</v>
      </c>
      <c r="O2798" s="198" t="s">
        <v>2272</v>
      </c>
      <c r="P2798" s="198" t="s">
        <v>2272</v>
      </c>
      <c r="Q2798" s="198" t="s">
        <v>2272</v>
      </c>
      <c r="R2798" s="198" t="s">
        <v>2272</v>
      </c>
      <c r="S2798" s="198" t="s">
        <v>2272</v>
      </c>
      <c r="T2798" s="198" t="s">
        <v>2272</v>
      </c>
      <c r="U2798" s="198" t="s">
        <v>2272</v>
      </c>
      <c r="V2798" s="198" t="s">
        <v>2272</v>
      </c>
      <c r="W2798" s="198" t="s">
        <v>2272</v>
      </c>
      <c r="X2798" s="198" t="s">
        <v>2272</v>
      </c>
      <c r="Y2798" s="198" t="s">
        <v>67</v>
      </c>
      <c r="Z2798" s="198" t="s">
        <v>84</v>
      </c>
      <c r="AA2798" s="198" t="s">
        <v>75</v>
      </c>
      <c r="AB2798" s="198"/>
      <c r="AC2798" s="198"/>
    </row>
    <row r="2799" spans="1:29" ht="34.5" customHeight="1">
      <c r="A2799" s="147" t="str">
        <f>'Reported burning'!A2799</f>
        <v>305ad</v>
      </c>
      <c r="B2799" s="147" t="str">
        <f>'Reported burning'!B2799</f>
        <v>305ad.7</v>
      </c>
      <c r="C2799" s="147" t="str">
        <f>'Reported burning'!C2799</f>
        <v>Human, deliberate</v>
      </c>
      <c r="D2799" s="147" t="str">
        <f>'Reported burning'!D2799</f>
        <v>Pyrome management</v>
      </c>
      <c r="E2799" s="147" t="str">
        <f>'Reported burning'!E2799</f>
        <v>Fire suppression agent</v>
      </c>
      <c r="F2799" s="147" t="str">
        <f>'Reported burning'!F2799</f>
        <v>ND</v>
      </c>
      <c r="G2799" s="147" t="str">
        <f>'Reported burning'!G2799</f>
        <v>ND</v>
      </c>
      <c r="H2799" s="147" t="str">
        <f>'Reported burning'!H2799</f>
        <v>Presence</v>
      </c>
      <c r="I2799" s="198"/>
      <c r="J2799" s="198" t="s">
        <v>2272</v>
      </c>
      <c r="K2799" s="198" t="s">
        <v>2272</v>
      </c>
      <c r="L2799" s="198" t="s">
        <v>2272</v>
      </c>
      <c r="M2799" s="198" t="s">
        <v>2272</v>
      </c>
      <c r="N2799" s="198" t="s">
        <v>2272</v>
      </c>
      <c r="O2799" s="198" t="s">
        <v>2272</v>
      </c>
      <c r="P2799" s="198" t="s">
        <v>2272</v>
      </c>
      <c r="Q2799" s="198" t="s">
        <v>2272</v>
      </c>
      <c r="R2799" s="198" t="s">
        <v>2272</v>
      </c>
      <c r="S2799" s="198" t="s">
        <v>2272</v>
      </c>
      <c r="T2799" s="198" t="s">
        <v>2272</v>
      </c>
      <c r="U2799" s="198" t="s">
        <v>2272</v>
      </c>
      <c r="V2799" s="198" t="s">
        <v>2272</v>
      </c>
      <c r="W2799" s="198" t="s">
        <v>2272</v>
      </c>
      <c r="X2799" s="198" t="s">
        <v>2272</v>
      </c>
      <c r="Y2799" s="198" t="s">
        <v>67</v>
      </c>
      <c r="Z2799" s="198" t="s">
        <v>84</v>
      </c>
      <c r="AA2799" s="198" t="s">
        <v>75</v>
      </c>
      <c r="AB2799" s="198"/>
      <c r="AC2799" s="198"/>
    </row>
    <row r="2800" spans="1:29" ht="34.5" customHeight="1">
      <c r="A2800" s="147" t="str">
        <f>'Reported burning'!A2800</f>
        <v>305ae</v>
      </c>
      <c r="B2800" s="147" t="str">
        <f>'Reported burning'!B2800</f>
        <v>305ae.7</v>
      </c>
      <c r="C2800" s="147" t="str">
        <f>'Reported burning'!C2800</f>
        <v>Human, deliberate</v>
      </c>
      <c r="D2800" s="147" t="str">
        <f>'Reported burning'!D2800</f>
        <v>Pyrome management</v>
      </c>
      <c r="E2800" s="147" t="str">
        <f>'Reported burning'!E2800</f>
        <v>Fire suppression agent</v>
      </c>
      <c r="F2800" s="147" t="str">
        <f>'Reported burning'!F2800</f>
        <v>ND</v>
      </c>
      <c r="G2800" s="147" t="str">
        <f>'Reported burning'!G2800</f>
        <v>ND</v>
      </c>
      <c r="H2800" s="147" t="str">
        <f>'Reported burning'!H2800</f>
        <v>Presence</v>
      </c>
      <c r="I2800" s="198"/>
      <c r="J2800" s="198" t="s">
        <v>2272</v>
      </c>
      <c r="K2800" s="198" t="s">
        <v>2272</v>
      </c>
      <c r="L2800" s="198" t="s">
        <v>2272</v>
      </c>
      <c r="M2800" s="198" t="s">
        <v>2272</v>
      </c>
      <c r="N2800" s="198" t="s">
        <v>2272</v>
      </c>
      <c r="O2800" s="198" t="s">
        <v>2272</v>
      </c>
      <c r="P2800" s="198" t="s">
        <v>2272</v>
      </c>
      <c r="Q2800" s="198" t="s">
        <v>2272</v>
      </c>
      <c r="R2800" s="198" t="s">
        <v>2272</v>
      </c>
      <c r="S2800" s="198" t="s">
        <v>2272</v>
      </c>
      <c r="T2800" s="198" t="s">
        <v>2272</v>
      </c>
      <c r="U2800" s="198" t="s">
        <v>2272</v>
      </c>
      <c r="V2800" s="198" t="s">
        <v>2272</v>
      </c>
      <c r="W2800" s="198" t="s">
        <v>2272</v>
      </c>
      <c r="X2800" s="198" t="s">
        <v>2272</v>
      </c>
      <c r="Y2800" s="198" t="s">
        <v>67</v>
      </c>
      <c r="Z2800" s="198" t="s">
        <v>84</v>
      </c>
      <c r="AA2800" s="198" t="s">
        <v>75</v>
      </c>
      <c r="AB2800" s="198"/>
      <c r="AC2800" s="198"/>
    </row>
    <row r="2801" spans="1:29" ht="34.5" customHeight="1">
      <c r="A2801" s="147" t="str">
        <f>'Reported burning'!A2801</f>
        <v>305n</v>
      </c>
      <c r="B2801" s="147" t="str">
        <f>'Reported burning'!B2801</f>
        <v>305n.8</v>
      </c>
      <c r="C2801" s="147" t="str">
        <f>'Reported burning'!C2801</f>
        <v>Human, deliberate</v>
      </c>
      <c r="D2801" s="147" t="str">
        <f>'Reported burning'!D2801</f>
        <v>Pyrome management</v>
      </c>
      <c r="E2801" s="147" t="str">
        <f>'Reported burning'!E2801</f>
        <v>Fire suppression agent</v>
      </c>
      <c r="F2801" s="147" t="str">
        <f>'Reported burning'!F2801</f>
        <v>ND</v>
      </c>
      <c r="G2801" s="147" t="str">
        <f>'Reported burning'!G2801</f>
        <v>ND</v>
      </c>
      <c r="H2801" s="147" t="str">
        <f>'Reported burning'!H2801</f>
        <v>Presence</v>
      </c>
      <c r="I2801" s="198"/>
      <c r="J2801" s="198" t="s">
        <v>2272</v>
      </c>
      <c r="K2801" s="198" t="s">
        <v>2272</v>
      </c>
      <c r="L2801" s="198" t="s">
        <v>2272</v>
      </c>
      <c r="M2801" s="198" t="s">
        <v>2272</v>
      </c>
      <c r="N2801" s="198" t="s">
        <v>2272</v>
      </c>
      <c r="O2801" s="198" t="s">
        <v>2272</v>
      </c>
      <c r="P2801" s="198" t="s">
        <v>2272</v>
      </c>
      <c r="Q2801" s="198" t="s">
        <v>2272</v>
      </c>
      <c r="R2801" s="198" t="s">
        <v>2272</v>
      </c>
      <c r="S2801" s="198" t="s">
        <v>2272</v>
      </c>
      <c r="T2801" s="198" t="s">
        <v>2272</v>
      </c>
      <c r="U2801" s="198" t="s">
        <v>2272</v>
      </c>
      <c r="V2801" s="198" t="s">
        <v>2272</v>
      </c>
      <c r="W2801" s="198" t="s">
        <v>2272</v>
      </c>
      <c r="X2801" s="198" t="s">
        <v>2272</v>
      </c>
      <c r="Y2801" s="198" t="s">
        <v>67</v>
      </c>
      <c r="Z2801" s="198" t="s">
        <v>84</v>
      </c>
      <c r="AA2801" s="198" t="s">
        <v>75</v>
      </c>
      <c r="AB2801" s="198"/>
      <c r="AC2801" s="198"/>
    </row>
    <row r="2802" spans="1:29" ht="34.5" customHeight="1">
      <c r="A2802" s="147" t="str">
        <f>'Reported burning'!A2802</f>
        <v>305o</v>
      </c>
      <c r="B2802" s="147" t="str">
        <f>'Reported burning'!B2802</f>
        <v>305o.8</v>
      </c>
      <c r="C2802" s="147" t="str">
        <f>'Reported burning'!C2802</f>
        <v>Human, deliberate</v>
      </c>
      <c r="D2802" s="147" t="str">
        <f>'Reported burning'!D2802</f>
        <v>Pyrome management</v>
      </c>
      <c r="E2802" s="147" t="str">
        <f>'Reported burning'!E2802</f>
        <v>Fire suppression agent</v>
      </c>
      <c r="F2802" s="147" t="str">
        <f>'Reported burning'!F2802</f>
        <v>ND</v>
      </c>
      <c r="G2802" s="147" t="str">
        <f>'Reported burning'!G2802</f>
        <v>ND</v>
      </c>
      <c r="H2802" s="147" t="str">
        <f>'Reported burning'!H2802</f>
        <v>Presence</v>
      </c>
      <c r="I2802" s="198"/>
      <c r="J2802" s="198" t="s">
        <v>2272</v>
      </c>
      <c r="K2802" s="198" t="s">
        <v>2272</v>
      </c>
      <c r="L2802" s="198" t="s">
        <v>2272</v>
      </c>
      <c r="M2802" s="198" t="s">
        <v>2272</v>
      </c>
      <c r="N2802" s="198" t="s">
        <v>2272</v>
      </c>
      <c r="O2802" s="198" t="s">
        <v>2272</v>
      </c>
      <c r="P2802" s="198" t="s">
        <v>2272</v>
      </c>
      <c r="Q2802" s="198" t="s">
        <v>2272</v>
      </c>
      <c r="R2802" s="198" t="s">
        <v>2272</v>
      </c>
      <c r="S2802" s="198" t="s">
        <v>2272</v>
      </c>
      <c r="T2802" s="198" t="s">
        <v>2272</v>
      </c>
      <c r="U2802" s="198" t="s">
        <v>2272</v>
      </c>
      <c r="V2802" s="198" t="s">
        <v>2272</v>
      </c>
      <c r="W2802" s="198" t="s">
        <v>2272</v>
      </c>
      <c r="X2802" s="198" t="s">
        <v>2272</v>
      </c>
      <c r="Y2802" s="198" t="s">
        <v>67</v>
      </c>
      <c r="Z2802" s="198" t="s">
        <v>84</v>
      </c>
      <c r="AA2802" s="198" t="s">
        <v>75</v>
      </c>
      <c r="AB2802" s="198"/>
      <c r="AC2802" s="198"/>
    </row>
    <row r="2803" spans="1:29" ht="34.5" customHeight="1">
      <c r="A2803" s="147" t="str">
        <f>'Reported burning'!A2803</f>
        <v>305p</v>
      </c>
      <c r="B2803" s="147" t="str">
        <f>'Reported burning'!B2803</f>
        <v>305p.8</v>
      </c>
      <c r="C2803" s="147" t="str">
        <f>'Reported burning'!C2803</f>
        <v>Human, deliberate</v>
      </c>
      <c r="D2803" s="147" t="str">
        <f>'Reported burning'!D2803</f>
        <v>Pyrome management</v>
      </c>
      <c r="E2803" s="147" t="str">
        <f>'Reported burning'!E2803</f>
        <v>Fire suppression agent</v>
      </c>
      <c r="F2803" s="147" t="str">
        <f>'Reported burning'!F2803</f>
        <v>ND</v>
      </c>
      <c r="G2803" s="147" t="str">
        <f>'Reported burning'!G2803</f>
        <v>ND</v>
      </c>
      <c r="H2803" s="147" t="str">
        <f>'Reported burning'!H2803</f>
        <v>Presence</v>
      </c>
      <c r="I2803" s="198"/>
      <c r="J2803" s="198" t="s">
        <v>2272</v>
      </c>
      <c r="K2803" s="198" t="s">
        <v>2272</v>
      </c>
      <c r="L2803" s="198" t="s">
        <v>2272</v>
      </c>
      <c r="M2803" s="198" t="s">
        <v>2272</v>
      </c>
      <c r="N2803" s="198" t="s">
        <v>2272</v>
      </c>
      <c r="O2803" s="198" t="s">
        <v>2272</v>
      </c>
      <c r="P2803" s="198" t="s">
        <v>2272</v>
      </c>
      <c r="Q2803" s="198" t="s">
        <v>2272</v>
      </c>
      <c r="R2803" s="198" t="s">
        <v>2272</v>
      </c>
      <c r="S2803" s="198" t="s">
        <v>2272</v>
      </c>
      <c r="T2803" s="198" t="s">
        <v>2272</v>
      </c>
      <c r="U2803" s="198" t="s">
        <v>2272</v>
      </c>
      <c r="V2803" s="198" t="s">
        <v>2272</v>
      </c>
      <c r="W2803" s="198" t="s">
        <v>2272</v>
      </c>
      <c r="X2803" s="198" t="s">
        <v>2272</v>
      </c>
      <c r="Y2803" s="198" t="s">
        <v>67</v>
      </c>
      <c r="Z2803" s="198" t="s">
        <v>84</v>
      </c>
      <c r="AA2803" s="198" t="s">
        <v>75</v>
      </c>
      <c r="AB2803" s="198"/>
      <c r="AC2803" s="198"/>
    </row>
    <row r="2804" spans="1:29" ht="34.5" customHeight="1">
      <c r="A2804" s="147" t="str">
        <f>'Reported burning'!A2804</f>
        <v>305q</v>
      </c>
      <c r="B2804" s="147" t="str">
        <f>'Reported burning'!B2804</f>
        <v>305q.8</v>
      </c>
      <c r="C2804" s="147" t="str">
        <f>'Reported burning'!C2804</f>
        <v>Human, deliberate</v>
      </c>
      <c r="D2804" s="147" t="str">
        <f>'Reported burning'!D2804</f>
        <v>Pyrome management</v>
      </c>
      <c r="E2804" s="147" t="str">
        <f>'Reported burning'!E2804</f>
        <v>Fire suppression agent</v>
      </c>
      <c r="F2804" s="147" t="str">
        <f>'Reported burning'!F2804</f>
        <v>ND</v>
      </c>
      <c r="G2804" s="147" t="str">
        <f>'Reported burning'!G2804</f>
        <v>ND</v>
      </c>
      <c r="H2804" s="147" t="str">
        <f>'Reported burning'!H2804</f>
        <v>Presence</v>
      </c>
      <c r="I2804" s="198"/>
      <c r="J2804" s="198" t="s">
        <v>2272</v>
      </c>
      <c r="K2804" s="198" t="s">
        <v>2272</v>
      </c>
      <c r="L2804" s="198" t="s">
        <v>2272</v>
      </c>
      <c r="M2804" s="198" t="s">
        <v>2272</v>
      </c>
      <c r="N2804" s="198" t="s">
        <v>2272</v>
      </c>
      <c r="O2804" s="198" t="s">
        <v>2272</v>
      </c>
      <c r="P2804" s="198" t="s">
        <v>2272</v>
      </c>
      <c r="Q2804" s="198" t="s">
        <v>2272</v>
      </c>
      <c r="R2804" s="198" t="s">
        <v>2272</v>
      </c>
      <c r="S2804" s="198" t="s">
        <v>2272</v>
      </c>
      <c r="T2804" s="198" t="s">
        <v>2272</v>
      </c>
      <c r="U2804" s="198" t="s">
        <v>2272</v>
      </c>
      <c r="V2804" s="198" t="s">
        <v>2272</v>
      </c>
      <c r="W2804" s="198" t="s">
        <v>2272</v>
      </c>
      <c r="X2804" s="198" t="s">
        <v>2272</v>
      </c>
      <c r="Y2804" s="198" t="s">
        <v>67</v>
      </c>
      <c r="Z2804" s="198" t="s">
        <v>84</v>
      </c>
      <c r="AA2804" s="198" t="s">
        <v>75</v>
      </c>
      <c r="AB2804" s="198"/>
      <c r="AC2804" s="198"/>
    </row>
    <row r="2805" spans="1:29" ht="34.5" customHeight="1">
      <c r="A2805" s="147" t="str">
        <f>'Reported burning'!A2805</f>
        <v>305r</v>
      </c>
      <c r="B2805" s="147" t="str">
        <f>'Reported burning'!B2805</f>
        <v>305r.8</v>
      </c>
      <c r="C2805" s="147" t="str">
        <f>'Reported burning'!C2805</f>
        <v>Human, deliberate</v>
      </c>
      <c r="D2805" s="147" t="str">
        <f>'Reported burning'!D2805</f>
        <v>Pyrome management</v>
      </c>
      <c r="E2805" s="147" t="str">
        <f>'Reported burning'!E2805</f>
        <v>Fire suppression agent</v>
      </c>
      <c r="F2805" s="147" t="str">
        <f>'Reported burning'!F2805</f>
        <v>ND</v>
      </c>
      <c r="G2805" s="147" t="str">
        <f>'Reported burning'!G2805</f>
        <v>ND</v>
      </c>
      <c r="H2805" s="147" t="str">
        <f>'Reported burning'!H2805</f>
        <v>Absence</v>
      </c>
      <c r="I2805" s="198"/>
      <c r="J2805" s="21" t="s">
        <v>2359</v>
      </c>
      <c r="K2805" s="21" t="s">
        <v>2359</v>
      </c>
      <c r="L2805" s="21" t="s">
        <v>2359</v>
      </c>
      <c r="M2805" s="21" t="s">
        <v>2359</v>
      </c>
      <c r="N2805" s="21" t="s">
        <v>2359</v>
      </c>
      <c r="O2805" s="21" t="s">
        <v>2359</v>
      </c>
      <c r="P2805" s="21" t="s">
        <v>2359</v>
      </c>
      <c r="Q2805" s="21" t="s">
        <v>2359</v>
      </c>
      <c r="R2805" s="21" t="s">
        <v>2359</v>
      </c>
      <c r="S2805" s="21" t="s">
        <v>2359</v>
      </c>
      <c r="T2805" s="21" t="s">
        <v>2359</v>
      </c>
      <c r="U2805" s="21" t="s">
        <v>2359</v>
      </c>
      <c r="V2805" s="21" t="s">
        <v>2359</v>
      </c>
      <c r="W2805" s="21" t="s">
        <v>2359</v>
      </c>
      <c r="X2805" s="198" t="s">
        <v>2272</v>
      </c>
      <c r="Y2805" s="198" t="s">
        <v>67</v>
      </c>
      <c r="Z2805" s="198" t="s">
        <v>84</v>
      </c>
      <c r="AA2805" s="198" t="s">
        <v>75</v>
      </c>
      <c r="AB2805" s="198"/>
      <c r="AC2805" s="198"/>
    </row>
    <row r="2806" spans="1:29" ht="34.5" customHeight="1">
      <c r="A2806" s="147" t="str">
        <f>'Reported burning'!A2806</f>
        <v>305s</v>
      </c>
      <c r="B2806" s="147" t="str">
        <f>'Reported burning'!B2806</f>
        <v>305s.8</v>
      </c>
      <c r="C2806" s="147" t="str">
        <f>'Reported burning'!C2806</f>
        <v>Human, deliberate</v>
      </c>
      <c r="D2806" s="147" t="str">
        <f>'Reported burning'!D2806</f>
        <v>Pyrome management</v>
      </c>
      <c r="E2806" s="147" t="str">
        <f>'Reported burning'!E2806</f>
        <v>Fire suppression agent</v>
      </c>
      <c r="F2806" s="147" t="str">
        <f>'Reported burning'!F2806</f>
        <v>ND</v>
      </c>
      <c r="G2806" s="147" t="str">
        <f>'Reported burning'!G2806</f>
        <v>ND</v>
      </c>
      <c r="H2806" s="147" t="str">
        <f>'Reported burning'!H2806</f>
        <v>Absence</v>
      </c>
      <c r="I2806" s="198"/>
      <c r="J2806" s="21" t="s">
        <v>2359</v>
      </c>
      <c r="K2806" s="21" t="s">
        <v>2359</v>
      </c>
      <c r="L2806" s="21" t="s">
        <v>2359</v>
      </c>
      <c r="M2806" s="21" t="s">
        <v>2359</v>
      </c>
      <c r="N2806" s="21" t="s">
        <v>2359</v>
      </c>
      <c r="O2806" s="21" t="s">
        <v>2359</v>
      </c>
      <c r="P2806" s="21" t="s">
        <v>2359</v>
      </c>
      <c r="Q2806" s="21" t="s">
        <v>2359</v>
      </c>
      <c r="R2806" s="21" t="s">
        <v>2359</v>
      </c>
      <c r="S2806" s="21" t="s">
        <v>2359</v>
      </c>
      <c r="T2806" s="21" t="s">
        <v>2359</v>
      </c>
      <c r="U2806" s="21" t="s">
        <v>2359</v>
      </c>
      <c r="V2806" s="21" t="s">
        <v>2359</v>
      </c>
      <c r="W2806" s="21" t="s">
        <v>2359</v>
      </c>
      <c r="X2806" s="198" t="s">
        <v>2272</v>
      </c>
      <c r="Y2806" s="198" t="s">
        <v>67</v>
      </c>
      <c r="Z2806" s="198" t="s">
        <v>84</v>
      </c>
      <c r="AA2806" s="198" t="s">
        <v>75</v>
      </c>
      <c r="AB2806" s="198"/>
      <c r="AC2806" s="198"/>
    </row>
    <row r="2807" spans="1:29" ht="34.5" customHeight="1">
      <c r="A2807" s="147" t="str">
        <f>'Reported burning'!A2807</f>
        <v>305t</v>
      </c>
      <c r="B2807" s="147" t="str">
        <f>'Reported burning'!B2807</f>
        <v>305t.8</v>
      </c>
      <c r="C2807" s="147" t="str">
        <f>'Reported burning'!C2807</f>
        <v>Human, deliberate</v>
      </c>
      <c r="D2807" s="147" t="str">
        <f>'Reported burning'!D2807</f>
        <v>Pyrome management</v>
      </c>
      <c r="E2807" s="147" t="str">
        <f>'Reported burning'!E2807</f>
        <v>Fire suppression agent</v>
      </c>
      <c r="F2807" s="147" t="str">
        <f>'Reported burning'!F2807</f>
        <v>ND</v>
      </c>
      <c r="G2807" s="147" t="str">
        <f>'Reported burning'!G2807</f>
        <v>ND</v>
      </c>
      <c r="H2807" s="147" t="str">
        <f>'Reported burning'!H2807</f>
        <v>Absence</v>
      </c>
      <c r="I2807" s="198"/>
      <c r="J2807" s="21" t="s">
        <v>2359</v>
      </c>
      <c r="K2807" s="21" t="s">
        <v>2359</v>
      </c>
      <c r="L2807" s="21" t="s">
        <v>2359</v>
      </c>
      <c r="M2807" s="21" t="s">
        <v>2359</v>
      </c>
      <c r="N2807" s="21" t="s">
        <v>2359</v>
      </c>
      <c r="O2807" s="21" t="s">
        <v>2359</v>
      </c>
      <c r="P2807" s="21" t="s">
        <v>2359</v>
      </c>
      <c r="Q2807" s="21" t="s">
        <v>2359</v>
      </c>
      <c r="R2807" s="21" t="s">
        <v>2359</v>
      </c>
      <c r="S2807" s="21" t="s">
        <v>2359</v>
      </c>
      <c r="T2807" s="21" t="s">
        <v>2359</v>
      </c>
      <c r="U2807" s="21" t="s">
        <v>2359</v>
      </c>
      <c r="V2807" s="21" t="s">
        <v>2359</v>
      </c>
      <c r="W2807" s="21" t="s">
        <v>2359</v>
      </c>
      <c r="X2807" s="198" t="s">
        <v>2272</v>
      </c>
      <c r="Y2807" s="198" t="s">
        <v>67</v>
      </c>
      <c r="Z2807" s="198" t="s">
        <v>84</v>
      </c>
      <c r="AA2807" s="198" t="s">
        <v>75</v>
      </c>
      <c r="AB2807" s="198"/>
      <c r="AC2807" s="198"/>
    </row>
    <row r="2808" spans="1:29" ht="34.5" customHeight="1">
      <c r="A2808" s="147" t="str">
        <f>'Reported burning'!A2808</f>
        <v>305u</v>
      </c>
      <c r="B2808" s="147" t="str">
        <f>'Reported burning'!B2808</f>
        <v>305u.8</v>
      </c>
      <c r="C2808" s="147" t="str">
        <f>'Reported burning'!C2808</f>
        <v>Human, deliberate</v>
      </c>
      <c r="D2808" s="147" t="str">
        <f>'Reported burning'!D2808</f>
        <v>Pyrome management</v>
      </c>
      <c r="E2808" s="147" t="str">
        <f>'Reported burning'!E2808</f>
        <v>Fire suppression agent</v>
      </c>
      <c r="F2808" s="147" t="str">
        <f>'Reported burning'!F2808</f>
        <v>ND</v>
      </c>
      <c r="G2808" s="147" t="str">
        <f>'Reported burning'!G2808</f>
        <v>ND</v>
      </c>
      <c r="H2808" s="147" t="str">
        <f>'Reported burning'!H2808</f>
        <v>Presence</v>
      </c>
      <c r="I2808" s="198"/>
      <c r="J2808" s="198" t="s">
        <v>2272</v>
      </c>
      <c r="K2808" s="198" t="s">
        <v>2272</v>
      </c>
      <c r="L2808" s="198" t="s">
        <v>2272</v>
      </c>
      <c r="M2808" s="198" t="s">
        <v>2272</v>
      </c>
      <c r="N2808" s="198" t="s">
        <v>2272</v>
      </c>
      <c r="O2808" s="198" t="s">
        <v>2272</v>
      </c>
      <c r="P2808" s="198" t="s">
        <v>2272</v>
      </c>
      <c r="Q2808" s="198" t="s">
        <v>2272</v>
      </c>
      <c r="R2808" s="198" t="s">
        <v>2272</v>
      </c>
      <c r="S2808" s="198" t="s">
        <v>2272</v>
      </c>
      <c r="T2808" s="198" t="s">
        <v>2272</v>
      </c>
      <c r="U2808" s="198" t="s">
        <v>2272</v>
      </c>
      <c r="V2808" s="198" t="s">
        <v>2272</v>
      </c>
      <c r="W2808" s="198" t="s">
        <v>2272</v>
      </c>
      <c r="X2808" s="198" t="s">
        <v>2272</v>
      </c>
      <c r="Y2808" s="198" t="s">
        <v>67</v>
      </c>
      <c r="Z2808" s="198" t="s">
        <v>84</v>
      </c>
      <c r="AA2808" s="198" t="s">
        <v>75</v>
      </c>
      <c r="AB2808" s="198"/>
      <c r="AC2808" s="198"/>
    </row>
    <row r="2809" spans="1:29" ht="34.5" customHeight="1">
      <c r="A2809" s="147" t="str">
        <f>'Reported burning'!A2809</f>
        <v>305v</v>
      </c>
      <c r="B2809" s="147" t="str">
        <f>'Reported burning'!B2809</f>
        <v>305v.8</v>
      </c>
      <c r="C2809" s="147" t="str">
        <f>'Reported burning'!C2809</f>
        <v>Human, deliberate</v>
      </c>
      <c r="D2809" s="147" t="str">
        <f>'Reported burning'!D2809</f>
        <v>Pyrome management</v>
      </c>
      <c r="E2809" s="147" t="str">
        <f>'Reported burning'!E2809</f>
        <v>Fire suppression agent</v>
      </c>
      <c r="F2809" s="147" t="str">
        <f>'Reported burning'!F2809</f>
        <v>ND</v>
      </c>
      <c r="G2809" s="147" t="str">
        <f>'Reported burning'!G2809</f>
        <v>ND</v>
      </c>
      <c r="H2809" s="147" t="str">
        <f>'Reported burning'!H2809</f>
        <v>Presence</v>
      </c>
      <c r="I2809" s="198"/>
      <c r="J2809" s="198" t="s">
        <v>2272</v>
      </c>
      <c r="K2809" s="198" t="s">
        <v>2272</v>
      </c>
      <c r="L2809" s="198" t="s">
        <v>2272</v>
      </c>
      <c r="M2809" s="198" t="s">
        <v>2272</v>
      </c>
      <c r="N2809" s="198" t="s">
        <v>2272</v>
      </c>
      <c r="O2809" s="198" t="s">
        <v>2272</v>
      </c>
      <c r="P2809" s="198" t="s">
        <v>2272</v>
      </c>
      <c r="Q2809" s="198" t="s">
        <v>2272</v>
      </c>
      <c r="R2809" s="198" t="s">
        <v>2272</v>
      </c>
      <c r="S2809" s="198" t="s">
        <v>2272</v>
      </c>
      <c r="T2809" s="198" t="s">
        <v>2272</v>
      </c>
      <c r="U2809" s="198" t="s">
        <v>2272</v>
      </c>
      <c r="V2809" s="198" t="s">
        <v>2272</v>
      </c>
      <c r="W2809" s="198" t="s">
        <v>2272</v>
      </c>
      <c r="X2809" s="198" t="s">
        <v>2272</v>
      </c>
      <c r="Y2809" s="198" t="s">
        <v>67</v>
      </c>
      <c r="Z2809" s="198" t="s">
        <v>84</v>
      </c>
      <c r="AA2809" s="198" t="s">
        <v>75</v>
      </c>
      <c r="AB2809" s="198"/>
      <c r="AC2809" s="198"/>
    </row>
    <row r="2810" spans="1:29" ht="34.5" customHeight="1">
      <c r="A2810" s="147" t="str">
        <f>'Reported burning'!A2810</f>
        <v>305w</v>
      </c>
      <c r="B2810" s="147" t="str">
        <f>'Reported burning'!B2810</f>
        <v>305w.8</v>
      </c>
      <c r="C2810" s="147" t="str">
        <f>'Reported burning'!C2810</f>
        <v>Human, deliberate</v>
      </c>
      <c r="D2810" s="147" t="str">
        <f>'Reported burning'!D2810</f>
        <v>Pyrome management</v>
      </c>
      <c r="E2810" s="147" t="str">
        <f>'Reported burning'!E2810</f>
        <v>Fire suppression agent</v>
      </c>
      <c r="F2810" s="147" t="str">
        <f>'Reported burning'!F2810</f>
        <v>ND</v>
      </c>
      <c r="G2810" s="147" t="str">
        <f>'Reported burning'!G2810</f>
        <v>ND</v>
      </c>
      <c r="H2810" s="147" t="str">
        <f>'Reported burning'!H2810</f>
        <v>Presence</v>
      </c>
      <c r="I2810" s="198"/>
      <c r="J2810" s="198" t="s">
        <v>2272</v>
      </c>
      <c r="K2810" s="198" t="s">
        <v>2272</v>
      </c>
      <c r="L2810" s="198" t="s">
        <v>2272</v>
      </c>
      <c r="M2810" s="198" t="s">
        <v>2272</v>
      </c>
      <c r="N2810" s="198" t="s">
        <v>2272</v>
      </c>
      <c r="O2810" s="198" t="s">
        <v>2272</v>
      </c>
      <c r="P2810" s="198" t="s">
        <v>2272</v>
      </c>
      <c r="Q2810" s="198" t="s">
        <v>2272</v>
      </c>
      <c r="R2810" s="198" t="s">
        <v>2272</v>
      </c>
      <c r="S2810" s="198" t="s">
        <v>2272</v>
      </c>
      <c r="T2810" s="198" t="s">
        <v>2272</v>
      </c>
      <c r="U2810" s="198" t="s">
        <v>2272</v>
      </c>
      <c r="V2810" s="198" t="s">
        <v>2272</v>
      </c>
      <c r="W2810" s="198" t="s">
        <v>2272</v>
      </c>
      <c r="X2810" s="198" t="s">
        <v>2272</v>
      </c>
      <c r="Y2810" s="198" t="s">
        <v>67</v>
      </c>
      <c r="Z2810" s="198" t="s">
        <v>84</v>
      </c>
      <c r="AA2810" s="198" t="s">
        <v>75</v>
      </c>
      <c r="AB2810" s="198"/>
      <c r="AC2810" s="198"/>
    </row>
    <row r="2811" spans="1:29" ht="34.5" customHeight="1">
      <c r="A2811" s="147" t="str">
        <f>'Reported burning'!A2811</f>
        <v>305x</v>
      </c>
      <c r="B2811" s="147" t="str">
        <f>'Reported burning'!B2811</f>
        <v>305x.8</v>
      </c>
      <c r="C2811" s="147" t="str">
        <f>'Reported burning'!C2811</f>
        <v>Human, deliberate</v>
      </c>
      <c r="D2811" s="147" t="str">
        <f>'Reported burning'!D2811</f>
        <v>Pyrome management</v>
      </c>
      <c r="E2811" s="147" t="str">
        <f>'Reported burning'!E2811</f>
        <v>Fire suppression agent</v>
      </c>
      <c r="F2811" s="147" t="str">
        <f>'Reported burning'!F2811</f>
        <v>ND</v>
      </c>
      <c r="G2811" s="147" t="str">
        <f>'Reported burning'!G2811</f>
        <v>ND</v>
      </c>
      <c r="H2811" s="147" t="str">
        <f>'Reported burning'!H2811</f>
        <v>Presence</v>
      </c>
      <c r="I2811" s="198"/>
      <c r="J2811" s="198" t="s">
        <v>2272</v>
      </c>
      <c r="K2811" s="198" t="s">
        <v>2272</v>
      </c>
      <c r="L2811" s="198" t="s">
        <v>2272</v>
      </c>
      <c r="M2811" s="198" t="s">
        <v>2272</v>
      </c>
      <c r="N2811" s="198" t="s">
        <v>2272</v>
      </c>
      <c r="O2811" s="198" t="s">
        <v>2272</v>
      </c>
      <c r="P2811" s="198" t="s">
        <v>2272</v>
      </c>
      <c r="Q2811" s="198" t="s">
        <v>2272</v>
      </c>
      <c r="R2811" s="198" t="s">
        <v>2272</v>
      </c>
      <c r="S2811" s="198" t="s">
        <v>2272</v>
      </c>
      <c r="T2811" s="198" t="s">
        <v>2272</v>
      </c>
      <c r="U2811" s="198" t="s">
        <v>2272</v>
      </c>
      <c r="V2811" s="198" t="s">
        <v>2272</v>
      </c>
      <c r="W2811" s="198" t="s">
        <v>2272</v>
      </c>
      <c r="X2811" s="198" t="s">
        <v>2272</v>
      </c>
      <c r="Y2811" s="198" t="s">
        <v>67</v>
      </c>
      <c r="Z2811" s="198" t="s">
        <v>84</v>
      </c>
      <c r="AA2811" s="198" t="s">
        <v>75</v>
      </c>
      <c r="AB2811" s="198"/>
      <c r="AC2811" s="198"/>
    </row>
    <row r="2812" spans="1:29" ht="34.5" customHeight="1">
      <c r="A2812" s="147" t="str">
        <f>'Reported burning'!A2812</f>
        <v>305y</v>
      </c>
      <c r="B2812" s="147" t="str">
        <f>'Reported burning'!B2812</f>
        <v>305y.8</v>
      </c>
      <c r="C2812" s="147" t="str">
        <f>'Reported burning'!C2812</f>
        <v>Human, deliberate</v>
      </c>
      <c r="D2812" s="147" t="str">
        <f>'Reported burning'!D2812</f>
        <v>Pyrome management</v>
      </c>
      <c r="E2812" s="147" t="str">
        <f>'Reported burning'!E2812</f>
        <v>Fire suppression agent</v>
      </c>
      <c r="F2812" s="147" t="str">
        <f>'Reported burning'!F2812</f>
        <v>ND</v>
      </c>
      <c r="G2812" s="147" t="str">
        <f>'Reported burning'!G2812</f>
        <v>ND</v>
      </c>
      <c r="H2812" s="147" t="str">
        <f>'Reported burning'!H2812</f>
        <v>Presence</v>
      </c>
      <c r="I2812" s="198"/>
      <c r="J2812" s="198" t="s">
        <v>2272</v>
      </c>
      <c r="K2812" s="198" t="s">
        <v>2272</v>
      </c>
      <c r="L2812" s="198" t="s">
        <v>2272</v>
      </c>
      <c r="M2812" s="198" t="s">
        <v>2272</v>
      </c>
      <c r="N2812" s="198" t="s">
        <v>2272</v>
      </c>
      <c r="O2812" s="198" t="s">
        <v>2272</v>
      </c>
      <c r="P2812" s="198" t="s">
        <v>2272</v>
      </c>
      <c r="Q2812" s="198" t="s">
        <v>2272</v>
      </c>
      <c r="R2812" s="198" t="s">
        <v>2272</v>
      </c>
      <c r="S2812" s="198" t="s">
        <v>2272</v>
      </c>
      <c r="T2812" s="198" t="s">
        <v>2272</v>
      </c>
      <c r="U2812" s="198" t="s">
        <v>2272</v>
      </c>
      <c r="V2812" s="198" t="s">
        <v>2272</v>
      </c>
      <c r="W2812" s="198" t="s">
        <v>2272</v>
      </c>
      <c r="X2812" s="198" t="s">
        <v>2272</v>
      </c>
      <c r="Y2812" s="198" t="s">
        <v>67</v>
      </c>
      <c r="Z2812" s="198" t="s">
        <v>84</v>
      </c>
      <c r="AA2812" s="198" t="s">
        <v>75</v>
      </c>
      <c r="AB2812" s="198"/>
      <c r="AC2812" s="198"/>
    </row>
    <row r="2813" spans="1:29" ht="34.5" customHeight="1">
      <c r="A2813" s="147" t="str">
        <f>'Reported burning'!A2813</f>
        <v>305z</v>
      </c>
      <c r="B2813" s="147" t="str">
        <f>'Reported burning'!B2813</f>
        <v>305z.8</v>
      </c>
      <c r="C2813" s="147" t="str">
        <f>'Reported burning'!C2813</f>
        <v>Human, deliberate</v>
      </c>
      <c r="D2813" s="147" t="str">
        <f>'Reported burning'!D2813</f>
        <v>Pyrome management</v>
      </c>
      <c r="E2813" s="147" t="str">
        <f>'Reported burning'!E2813</f>
        <v>Fire suppression agent</v>
      </c>
      <c r="F2813" s="147" t="str">
        <f>'Reported burning'!F2813</f>
        <v>ND</v>
      </c>
      <c r="G2813" s="147" t="str">
        <f>'Reported burning'!G2813</f>
        <v>ND</v>
      </c>
      <c r="H2813" s="147" t="str">
        <f>'Reported burning'!H2813</f>
        <v>Presence</v>
      </c>
      <c r="I2813" s="198"/>
      <c r="J2813" s="198" t="s">
        <v>2272</v>
      </c>
      <c r="K2813" s="198" t="s">
        <v>2272</v>
      </c>
      <c r="L2813" s="198" t="s">
        <v>2272</v>
      </c>
      <c r="M2813" s="198" t="s">
        <v>2272</v>
      </c>
      <c r="N2813" s="198" t="s">
        <v>2272</v>
      </c>
      <c r="O2813" s="198" t="s">
        <v>2272</v>
      </c>
      <c r="P2813" s="198" t="s">
        <v>2272</v>
      </c>
      <c r="Q2813" s="198" t="s">
        <v>2272</v>
      </c>
      <c r="R2813" s="198" t="s">
        <v>2272</v>
      </c>
      <c r="S2813" s="198" t="s">
        <v>2272</v>
      </c>
      <c r="T2813" s="198" t="s">
        <v>2272</v>
      </c>
      <c r="U2813" s="198" t="s">
        <v>2272</v>
      </c>
      <c r="V2813" s="198" t="s">
        <v>2272</v>
      </c>
      <c r="W2813" s="198" t="s">
        <v>2272</v>
      </c>
      <c r="X2813" s="198" t="s">
        <v>2272</v>
      </c>
      <c r="Y2813" s="198" t="s">
        <v>67</v>
      </c>
      <c r="Z2813" s="198" t="s">
        <v>84</v>
      </c>
      <c r="AA2813" s="198" t="s">
        <v>75</v>
      </c>
      <c r="AB2813" s="198"/>
      <c r="AC2813" s="198"/>
    </row>
    <row r="2814" spans="1:29" ht="34.5" customHeight="1">
      <c r="A2814" s="147" t="str">
        <f>'Reported burning'!A2814</f>
        <v>305aa</v>
      </c>
      <c r="B2814" s="147" t="str">
        <f>'Reported burning'!B2814</f>
        <v>305aa.8</v>
      </c>
      <c r="C2814" s="147" t="str">
        <f>'Reported burning'!C2814</f>
        <v>Human, deliberate</v>
      </c>
      <c r="D2814" s="147" t="str">
        <f>'Reported burning'!D2814</f>
        <v>Pyrome management</v>
      </c>
      <c r="E2814" s="147" t="str">
        <f>'Reported burning'!E2814</f>
        <v>Fire suppression agent</v>
      </c>
      <c r="F2814" s="147" t="str">
        <f>'Reported burning'!F2814</f>
        <v>ND</v>
      </c>
      <c r="G2814" s="147" t="str">
        <f>'Reported burning'!G2814</f>
        <v>ND</v>
      </c>
      <c r="H2814" s="147" t="str">
        <f>'Reported burning'!H2814</f>
        <v>Presence</v>
      </c>
      <c r="I2814" s="198"/>
      <c r="J2814" s="198" t="s">
        <v>2272</v>
      </c>
      <c r="K2814" s="198" t="s">
        <v>2272</v>
      </c>
      <c r="L2814" s="198" t="s">
        <v>2272</v>
      </c>
      <c r="M2814" s="198" t="s">
        <v>2272</v>
      </c>
      <c r="N2814" s="198" t="s">
        <v>2272</v>
      </c>
      <c r="O2814" s="198" t="s">
        <v>2272</v>
      </c>
      <c r="P2814" s="198" t="s">
        <v>2272</v>
      </c>
      <c r="Q2814" s="198" t="s">
        <v>2272</v>
      </c>
      <c r="R2814" s="198" t="s">
        <v>2272</v>
      </c>
      <c r="S2814" s="198" t="s">
        <v>2272</v>
      </c>
      <c r="T2814" s="198" t="s">
        <v>2272</v>
      </c>
      <c r="U2814" s="198" t="s">
        <v>2272</v>
      </c>
      <c r="V2814" s="198" t="s">
        <v>2272</v>
      </c>
      <c r="W2814" s="198" t="s">
        <v>2272</v>
      </c>
      <c r="X2814" s="198" t="s">
        <v>2272</v>
      </c>
      <c r="Y2814" s="198" t="s">
        <v>67</v>
      </c>
      <c r="Z2814" s="198" t="s">
        <v>84</v>
      </c>
      <c r="AA2814" s="198" t="s">
        <v>75</v>
      </c>
      <c r="AB2814" s="198"/>
      <c r="AC2814" s="198"/>
    </row>
    <row r="2815" spans="1:29" ht="34.5" customHeight="1">
      <c r="A2815" s="147" t="str">
        <f>'Reported burning'!A2815</f>
        <v>305ab</v>
      </c>
      <c r="B2815" s="147" t="str">
        <f>'Reported burning'!B2815</f>
        <v>305ab.8</v>
      </c>
      <c r="C2815" s="147" t="str">
        <f>'Reported burning'!C2815</f>
        <v>Human, deliberate</v>
      </c>
      <c r="D2815" s="147" t="str">
        <f>'Reported burning'!D2815</f>
        <v>Pyrome management</v>
      </c>
      <c r="E2815" s="147" t="str">
        <f>'Reported burning'!E2815</f>
        <v>Fire suppression agent</v>
      </c>
      <c r="F2815" s="147" t="str">
        <f>'Reported burning'!F2815</f>
        <v>ND</v>
      </c>
      <c r="G2815" s="147" t="str">
        <f>'Reported burning'!G2815</f>
        <v>ND</v>
      </c>
      <c r="H2815" s="147" t="str">
        <f>'Reported burning'!H2815</f>
        <v>Presence</v>
      </c>
      <c r="I2815" s="198"/>
      <c r="J2815" s="198" t="s">
        <v>2272</v>
      </c>
      <c r="K2815" s="198" t="s">
        <v>2272</v>
      </c>
      <c r="L2815" s="198" t="s">
        <v>2272</v>
      </c>
      <c r="M2815" s="198" t="s">
        <v>2272</v>
      </c>
      <c r="N2815" s="198" t="s">
        <v>2272</v>
      </c>
      <c r="O2815" s="198" t="s">
        <v>2272</v>
      </c>
      <c r="P2815" s="198" t="s">
        <v>2272</v>
      </c>
      <c r="Q2815" s="198" t="s">
        <v>2272</v>
      </c>
      <c r="R2815" s="198" t="s">
        <v>2272</v>
      </c>
      <c r="S2815" s="198" t="s">
        <v>2272</v>
      </c>
      <c r="T2815" s="198" t="s">
        <v>2272</v>
      </c>
      <c r="U2815" s="198" t="s">
        <v>2272</v>
      </c>
      <c r="V2815" s="198" t="s">
        <v>2272</v>
      </c>
      <c r="W2815" s="198" t="s">
        <v>2272</v>
      </c>
      <c r="X2815" s="198" t="s">
        <v>2272</v>
      </c>
      <c r="Y2815" s="198" t="s">
        <v>67</v>
      </c>
      <c r="Z2815" s="198" t="s">
        <v>84</v>
      </c>
      <c r="AA2815" s="198" t="s">
        <v>75</v>
      </c>
      <c r="AB2815" s="198"/>
      <c r="AC2815" s="198"/>
    </row>
    <row r="2816" spans="1:29" ht="34.5" customHeight="1">
      <c r="A2816" s="147" t="str">
        <f>'Reported burning'!A2816</f>
        <v>305ac</v>
      </c>
      <c r="B2816" s="147" t="str">
        <f>'Reported burning'!B2816</f>
        <v>305ac.8</v>
      </c>
      <c r="C2816" s="147" t="str">
        <f>'Reported burning'!C2816</f>
        <v>Human, deliberate</v>
      </c>
      <c r="D2816" s="147" t="str">
        <f>'Reported burning'!D2816</f>
        <v>Pyrome management</v>
      </c>
      <c r="E2816" s="147" t="str">
        <f>'Reported burning'!E2816</f>
        <v>Fire suppression agent</v>
      </c>
      <c r="F2816" s="147" t="str">
        <f>'Reported burning'!F2816</f>
        <v>ND</v>
      </c>
      <c r="G2816" s="147" t="str">
        <f>'Reported burning'!G2816</f>
        <v>ND</v>
      </c>
      <c r="H2816" s="147" t="str">
        <f>'Reported burning'!H2816</f>
        <v>Presence</v>
      </c>
      <c r="I2816" s="198"/>
      <c r="J2816" s="198" t="s">
        <v>2272</v>
      </c>
      <c r="K2816" s="198" t="s">
        <v>2272</v>
      </c>
      <c r="L2816" s="198" t="s">
        <v>2272</v>
      </c>
      <c r="M2816" s="198" t="s">
        <v>2272</v>
      </c>
      <c r="N2816" s="198" t="s">
        <v>2272</v>
      </c>
      <c r="O2816" s="198" t="s">
        <v>2272</v>
      </c>
      <c r="P2816" s="198" t="s">
        <v>2272</v>
      </c>
      <c r="Q2816" s="198" t="s">
        <v>2272</v>
      </c>
      <c r="R2816" s="198" t="s">
        <v>2272</v>
      </c>
      <c r="S2816" s="198" t="s">
        <v>2272</v>
      </c>
      <c r="T2816" s="198" t="s">
        <v>2272</v>
      </c>
      <c r="U2816" s="198" t="s">
        <v>2272</v>
      </c>
      <c r="V2816" s="198" t="s">
        <v>2272</v>
      </c>
      <c r="W2816" s="198" t="s">
        <v>2272</v>
      </c>
      <c r="X2816" s="198" t="s">
        <v>2272</v>
      </c>
      <c r="Y2816" s="198" t="s">
        <v>67</v>
      </c>
      <c r="Z2816" s="198" t="s">
        <v>84</v>
      </c>
      <c r="AA2816" s="198" t="s">
        <v>75</v>
      </c>
      <c r="AB2816" s="198"/>
      <c r="AC2816" s="198"/>
    </row>
    <row r="2817" spans="1:29" ht="34.5" customHeight="1">
      <c r="A2817" s="147" t="str">
        <f>'Reported burning'!A2817</f>
        <v>305ad</v>
      </c>
      <c r="B2817" s="147" t="str">
        <f>'Reported burning'!B2817</f>
        <v>305ad.8</v>
      </c>
      <c r="C2817" s="147" t="str">
        <f>'Reported burning'!C2817</f>
        <v>Human, deliberate</v>
      </c>
      <c r="D2817" s="147" t="str">
        <f>'Reported burning'!D2817</f>
        <v>Pyrome management</v>
      </c>
      <c r="E2817" s="147" t="str">
        <f>'Reported burning'!E2817</f>
        <v>Fire suppression agent</v>
      </c>
      <c r="F2817" s="147" t="str">
        <f>'Reported burning'!F2817</f>
        <v>ND</v>
      </c>
      <c r="G2817" s="147" t="str">
        <f>'Reported burning'!G2817</f>
        <v>ND</v>
      </c>
      <c r="H2817" s="147" t="str">
        <f>'Reported burning'!H2817</f>
        <v>Presence</v>
      </c>
      <c r="I2817" s="198"/>
      <c r="J2817" s="198" t="s">
        <v>2272</v>
      </c>
      <c r="K2817" s="198" t="s">
        <v>2272</v>
      </c>
      <c r="L2817" s="198" t="s">
        <v>2272</v>
      </c>
      <c r="M2817" s="198" t="s">
        <v>2272</v>
      </c>
      <c r="N2817" s="198" t="s">
        <v>2272</v>
      </c>
      <c r="O2817" s="198" t="s">
        <v>2272</v>
      </c>
      <c r="P2817" s="198" t="s">
        <v>2272</v>
      </c>
      <c r="Q2817" s="198" t="s">
        <v>2272</v>
      </c>
      <c r="R2817" s="198" t="s">
        <v>2272</v>
      </c>
      <c r="S2817" s="198" t="s">
        <v>2272</v>
      </c>
      <c r="T2817" s="198" t="s">
        <v>2272</v>
      </c>
      <c r="U2817" s="198" t="s">
        <v>2272</v>
      </c>
      <c r="V2817" s="198" t="s">
        <v>2272</v>
      </c>
      <c r="W2817" s="198" t="s">
        <v>2272</v>
      </c>
      <c r="X2817" s="198" t="s">
        <v>2272</v>
      </c>
      <c r="Y2817" s="198" t="s">
        <v>67</v>
      </c>
      <c r="Z2817" s="198" t="s">
        <v>84</v>
      </c>
      <c r="AA2817" s="198" t="s">
        <v>75</v>
      </c>
      <c r="AB2817" s="198"/>
      <c r="AC2817" s="198"/>
    </row>
    <row r="2818" spans="1:29" ht="34.5" customHeight="1">
      <c r="A2818" s="147" t="str">
        <f>'Reported burning'!A2818</f>
        <v>305ae</v>
      </c>
      <c r="B2818" s="147" t="str">
        <f>'Reported burning'!B2818</f>
        <v>305ae.8</v>
      </c>
      <c r="C2818" s="147" t="str">
        <f>'Reported burning'!C2818</f>
        <v>Human, deliberate</v>
      </c>
      <c r="D2818" s="147" t="str">
        <f>'Reported burning'!D2818</f>
        <v>Pyrome management</v>
      </c>
      <c r="E2818" s="147" t="str">
        <f>'Reported burning'!E2818</f>
        <v>Fire suppression agent</v>
      </c>
      <c r="F2818" s="147" t="str">
        <f>'Reported burning'!F2818</f>
        <v>ND</v>
      </c>
      <c r="G2818" s="147" t="str">
        <f>'Reported burning'!G2818</f>
        <v>ND</v>
      </c>
      <c r="H2818" s="147" t="str">
        <f>'Reported burning'!H2818</f>
        <v>Presence</v>
      </c>
      <c r="I2818" s="198"/>
      <c r="J2818" s="198" t="s">
        <v>2272</v>
      </c>
      <c r="K2818" s="198" t="s">
        <v>2272</v>
      </c>
      <c r="L2818" s="198" t="s">
        <v>2272</v>
      </c>
      <c r="M2818" s="198" t="s">
        <v>2272</v>
      </c>
      <c r="N2818" s="198" t="s">
        <v>2272</v>
      </c>
      <c r="O2818" s="198" t="s">
        <v>2272</v>
      </c>
      <c r="P2818" s="198" t="s">
        <v>2272</v>
      </c>
      <c r="Q2818" s="198" t="s">
        <v>2272</v>
      </c>
      <c r="R2818" s="198" t="s">
        <v>2272</v>
      </c>
      <c r="S2818" s="198" t="s">
        <v>2272</v>
      </c>
      <c r="T2818" s="198" t="s">
        <v>2272</v>
      </c>
      <c r="U2818" s="198" t="s">
        <v>2272</v>
      </c>
      <c r="V2818" s="198" t="s">
        <v>2272</v>
      </c>
      <c r="W2818" s="198" t="s">
        <v>2272</v>
      </c>
      <c r="X2818" s="198" t="s">
        <v>2272</v>
      </c>
      <c r="Y2818" s="198" t="s">
        <v>67</v>
      </c>
      <c r="Z2818" s="198" t="s">
        <v>84</v>
      </c>
      <c r="AA2818" s="198" t="s">
        <v>75</v>
      </c>
      <c r="AB2818" s="198"/>
      <c r="AC2818" s="198"/>
    </row>
    <row r="2819" spans="1:29" ht="34.5" customHeight="1">
      <c r="A2819" s="147" t="str">
        <f>'Reported burning'!A2819</f>
        <v>305n</v>
      </c>
      <c r="B2819" s="147" t="str">
        <f>'Reported burning'!B2819</f>
        <v>305n.9</v>
      </c>
      <c r="C2819" s="147" t="str">
        <f>'Reported burning'!C2819</f>
        <v>Human, deliberate</v>
      </c>
      <c r="D2819" s="147" t="str">
        <f>'Reported burning'!D2819</f>
        <v>Pyrome management</v>
      </c>
      <c r="E2819" s="147" t="str">
        <f>'Reported burning'!E2819</f>
        <v>Fire suppression agent</v>
      </c>
      <c r="F2819" s="147" t="str">
        <f>'Reported burning'!F2819</f>
        <v>ND</v>
      </c>
      <c r="G2819" s="147" t="str">
        <f>'Reported burning'!G2819</f>
        <v>ND</v>
      </c>
      <c r="H2819" s="147" t="str">
        <f>'Reported burning'!H2819</f>
        <v>Presence</v>
      </c>
      <c r="I2819" s="198"/>
      <c r="J2819" s="198" t="s">
        <v>2272</v>
      </c>
      <c r="K2819" s="198" t="s">
        <v>2272</v>
      </c>
      <c r="L2819" s="198" t="s">
        <v>2272</v>
      </c>
      <c r="M2819" s="198" t="s">
        <v>2272</v>
      </c>
      <c r="N2819" s="198" t="s">
        <v>2272</v>
      </c>
      <c r="O2819" s="198" t="s">
        <v>2272</v>
      </c>
      <c r="P2819" s="198" t="s">
        <v>2272</v>
      </c>
      <c r="Q2819" s="198" t="s">
        <v>2272</v>
      </c>
      <c r="R2819" s="198" t="s">
        <v>2272</v>
      </c>
      <c r="S2819" s="198" t="s">
        <v>2272</v>
      </c>
      <c r="T2819" s="198" t="s">
        <v>2272</v>
      </c>
      <c r="U2819" s="198" t="s">
        <v>2272</v>
      </c>
      <c r="V2819" s="198" t="s">
        <v>2272</v>
      </c>
      <c r="W2819" s="198" t="s">
        <v>2272</v>
      </c>
      <c r="X2819" s="198" t="s">
        <v>2272</v>
      </c>
      <c r="Y2819" s="198" t="s">
        <v>67</v>
      </c>
      <c r="Z2819" s="198" t="s">
        <v>84</v>
      </c>
      <c r="AA2819" s="198" t="s">
        <v>75</v>
      </c>
      <c r="AB2819" s="198"/>
      <c r="AC2819" s="198"/>
    </row>
    <row r="2820" spans="1:29" ht="34.5" customHeight="1">
      <c r="A2820" s="147" t="str">
        <f>'Reported burning'!A2820</f>
        <v>305o</v>
      </c>
      <c r="B2820" s="147" t="str">
        <f>'Reported burning'!B2820</f>
        <v>305o.9</v>
      </c>
      <c r="C2820" s="147" t="str">
        <f>'Reported burning'!C2820</f>
        <v>Human, deliberate</v>
      </c>
      <c r="D2820" s="147" t="str">
        <f>'Reported burning'!D2820</f>
        <v>Pyrome management</v>
      </c>
      <c r="E2820" s="147" t="str">
        <f>'Reported burning'!E2820</f>
        <v>Fire suppression agent</v>
      </c>
      <c r="F2820" s="147" t="str">
        <f>'Reported burning'!F2820</f>
        <v>ND</v>
      </c>
      <c r="G2820" s="147" t="str">
        <f>'Reported burning'!G2820</f>
        <v>ND</v>
      </c>
      <c r="H2820" s="147" t="str">
        <f>'Reported burning'!H2820</f>
        <v>Presence</v>
      </c>
      <c r="I2820" s="198"/>
      <c r="J2820" s="198" t="s">
        <v>2272</v>
      </c>
      <c r="K2820" s="198" t="s">
        <v>2272</v>
      </c>
      <c r="L2820" s="198" t="s">
        <v>2272</v>
      </c>
      <c r="M2820" s="198" t="s">
        <v>2272</v>
      </c>
      <c r="N2820" s="198" t="s">
        <v>2272</v>
      </c>
      <c r="O2820" s="198" t="s">
        <v>2272</v>
      </c>
      <c r="P2820" s="198" t="s">
        <v>2272</v>
      </c>
      <c r="Q2820" s="198" t="s">
        <v>2272</v>
      </c>
      <c r="R2820" s="198" t="s">
        <v>2272</v>
      </c>
      <c r="S2820" s="198" t="s">
        <v>2272</v>
      </c>
      <c r="T2820" s="198" t="s">
        <v>2272</v>
      </c>
      <c r="U2820" s="198" t="s">
        <v>2272</v>
      </c>
      <c r="V2820" s="198" t="s">
        <v>2272</v>
      </c>
      <c r="W2820" s="198" t="s">
        <v>2272</v>
      </c>
      <c r="X2820" s="198" t="s">
        <v>2272</v>
      </c>
      <c r="Y2820" s="198" t="s">
        <v>67</v>
      </c>
      <c r="Z2820" s="198" t="s">
        <v>84</v>
      </c>
      <c r="AA2820" s="198" t="s">
        <v>75</v>
      </c>
      <c r="AB2820" s="198"/>
      <c r="AC2820" s="198"/>
    </row>
    <row r="2821" spans="1:29" ht="34.5" customHeight="1">
      <c r="A2821" s="147" t="str">
        <f>'Reported burning'!A2821</f>
        <v>305p</v>
      </c>
      <c r="B2821" s="147" t="str">
        <f>'Reported burning'!B2821</f>
        <v>305p.9</v>
      </c>
      <c r="C2821" s="147" t="str">
        <f>'Reported burning'!C2821</f>
        <v>Human, deliberate</v>
      </c>
      <c r="D2821" s="147" t="str">
        <f>'Reported burning'!D2821</f>
        <v>Pyrome management</v>
      </c>
      <c r="E2821" s="147" t="str">
        <f>'Reported burning'!E2821</f>
        <v>Fire suppression agent</v>
      </c>
      <c r="F2821" s="147" t="str">
        <f>'Reported burning'!F2821</f>
        <v>ND</v>
      </c>
      <c r="G2821" s="147" t="str">
        <f>'Reported burning'!G2821</f>
        <v>ND</v>
      </c>
      <c r="H2821" s="147" t="str">
        <f>'Reported burning'!H2821</f>
        <v>Presence</v>
      </c>
      <c r="I2821" s="198"/>
      <c r="J2821" s="198" t="s">
        <v>2272</v>
      </c>
      <c r="K2821" s="198" t="s">
        <v>2272</v>
      </c>
      <c r="L2821" s="198" t="s">
        <v>2272</v>
      </c>
      <c r="M2821" s="198" t="s">
        <v>2272</v>
      </c>
      <c r="N2821" s="198" t="s">
        <v>2272</v>
      </c>
      <c r="O2821" s="198" t="s">
        <v>2272</v>
      </c>
      <c r="P2821" s="198" t="s">
        <v>2272</v>
      </c>
      <c r="Q2821" s="198" t="s">
        <v>2272</v>
      </c>
      <c r="R2821" s="198" t="s">
        <v>2272</v>
      </c>
      <c r="S2821" s="198" t="s">
        <v>2272</v>
      </c>
      <c r="T2821" s="198" t="s">
        <v>2272</v>
      </c>
      <c r="U2821" s="198" t="s">
        <v>2272</v>
      </c>
      <c r="V2821" s="198" t="s">
        <v>2272</v>
      </c>
      <c r="W2821" s="198" t="s">
        <v>2272</v>
      </c>
      <c r="X2821" s="198" t="s">
        <v>2272</v>
      </c>
      <c r="Y2821" s="198" t="s">
        <v>67</v>
      </c>
      <c r="Z2821" s="198" t="s">
        <v>84</v>
      </c>
      <c r="AA2821" s="198" t="s">
        <v>75</v>
      </c>
      <c r="AB2821" s="198"/>
      <c r="AC2821" s="198"/>
    </row>
    <row r="2822" spans="1:29" ht="34.5" customHeight="1">
      <c r="A2822" s="147" t="str">
        <f>'Reported burning'!A2822</f>
        <v>305q</v>
      </c>
      <c r="B2822" s="147" t="str">
        <f>'Reported burning'!B2822</f>
        <v>305q.9</v>
      </c>
      <c r="C2822" s="147" t="str">
        <f>'Reported burning'!C2822</f>
        <v>Human, deliberate</v>
      </c>
      <c r="D2822" s="147" t="str">
        <f>'Reported burning'!D2822</f>
        <v>Pyrome management</v>
      </c>
      <c r="E2822" s="147" t="str">
        <f>'Reported burning'!E2822</f>
        <v>Fire suppression agent</v>
      </c>
      <c r="F2822" s="147" t="str">
        <f>'Reported burning'!F2822</f>
        <v>ND</v>
      </c>
      <c r="G2822" s="147" t="str">
        <f>'Reported burning'!G2822</f>
        <v>ND</v>
      </c>
      <c r="H2822" s="147" t="str">
        <f>'Reported burning'!H2822</f>
        <v>Presence</v>
      </c>
      <c r="I2822" s="198"/>
      <c r="J2822" s="198" t="s">
        <v>2272</v>
      </c>
      <c r="K2822" s="198" t="s">
        <v>2272</v>
      </c>
      <c r="L2822" s="198" t="s">
        <v>2272</v>
      </c>
      <c r="M2822" s="198" t="s">
        <v>2272</v>
      </c>
      <c r="N2822" s="198" t="s">
        <v>2272</v>
      </c>
      <c r="O2822" s="198" t="s">
        <v>2272</v>
      </c>
      <c r="P2822" s="198" t="s">
        <v>2272</v>
      </c>
      <c r="Q2822" s="198" t="s">
        <v>2272</v>
      </c>
      <c r="R2822" s="198" t="s">
        <v>2272</v>
      </c>
      <c r="S2822" s="198" t="s">
        <v>2272</v>
      </c>
      <c r="T2822" s="198" t="s">
        <v>2272</v>
      </c>
      <c r="U2822" s="198" t="s">
        <v>2272</v>
      </c>
      <c r="V2822" s="198" t="s">
        <v>2272</v>
      </c>
      <c r="W2822" s="198" t="s">
        <v>2272</v>
      </c>
      <c r="X2822" s="198" t="s">
        <v>2272</v>
      </c>
      <c r="Y2822" s="198" t="s">
        <v>67</v>
      </c>
      <c r="Z2822" s="198" t="s">
        <v>84</v>
      </c>
      <c r="AA2822" s="198" t="s">
        <v>75</v>
      </c>
      <c r="AB2822" s="198"/>
      <c r="AC2822" s="198"/>
    </row>
    <row r="2823" spans="1:29" ht="34.5" customHeight="1">
      <c r="A2823" s="147" t="str">
        <f>'Reported burning'!A2823</f>
        <v>305r</v>
      </c>
      <c r="B2823" s="147" t="str">
        <f>'Reported burning'!B2823</f>
        <v>305r.9</v>
      </c>
      <c r="C2823" s="147" t="str">
        <f>'Reported burning'!C2823</f>
        <v>Human, deliberate</v>
      </c>
      <c r="D2823" s="147" t="str">
        <f>'Reported burning'!D2823</f>
        <v>Pyrome management</v>
      </c>
      <c r="E2823" s="147" t="str">
        <f>'Reported burning'!E2823</f>
        <v>Fire suppression agent</v>
      </c>
      <c r="F2823" s="147" t="str">
        <f>'Reported burning'!F2823</f>
        <v>ND</v>
      </c>
      <c r="G2823" s="147" t="str">
        <f>'Reported burning'!G2823</f>
        <v>ND</v>
      </c>
      <c r="H2823" s="147" t="str">
        <f>'Reported burning'!H2823</f>
        <v>Absence</v>
      </c>
      <c r="I2823" s="198"/>
      <c r="J2823" s="21" t="s">
        <v>2359</v>
      </c>
      <c r="K2823" s="21" t="s">
        <v>2359</v>
      </c>
      <c r="L2823" s="21" t="s">
        <v>2359</v>
      </c>
      <c r="M2823" s="21" t="s">
        <v>2359</v>
      </c>
      <c r="N2823" s="21" t="s">
        <v>2359</v>
      </c>
      <c r="O2823" s="21" t="s">
        <v>2359</v>
      </c>
      <c r="P2823" s="21" t="s">
        <v>2359</v>
      </c>
      <c r="Q2823" s="21" t="s">
        <v>2359</v>
      </c>
      <c r="R2823" s="21" t="s">
        <v>2359</v>
      </c>
      <c r="S2823" s="21" t="s">
        <v>2359</v>
      </c>
      <c r="T2823" s="21" t="s">
        <v>2359</v>
      </c>
      <c r="U2823" s="21" t="s">
        <v>2359</v>
      </c>
      <c r="V2823" s="21" t="s">
        <v>2359</v>
      </c>
      <c r="W2823" s="21" t="s">
        <v>2359</v>
      </c>
      <c r="X2823" s="198" t="s">
        <v>2272</v>
      </c>
      <c r="Y2823" s="198" t="s">
        <v>67</v>
      </c>
      <c r="Z2823" s="198" t="s">
        <v>84</v>
      </c>
      <c r="AA2823" s="198" t="s">
        <v>75</v>
      </c>
      <c r="AB2823" s="198"/>
      <c r="AC2823" s="198"/>
    </row>
    <row r="2824" spans="1:29" ht="34.5" customHeight="1">
      <c r="A2824" s="147" t="str">
        <f>'Reported burning'!A2824</f>
        <v>305s</v>
      </c>
      <c r="B2824" s="147" t="str">
        <f>'Reported burning'!B2824</f>
        <v>305s.9</v>
      </c>
      <c r="C2824" s="147" t="str">
        <f>'Reported burning'!C2824</f>
        <v>Human, deliberate</v>
      </c>
      <c r="D2824" s="147" t="str">
        <f>'Reported burning'!D2824</f>
        <v>Pyrome management</v>
      </c>
      <c r="E2824" s="147" t="str">
        <f>'Reported burning'!E2824</f>
        <v>Fire suppression agent</v>
      </c>
      <c r="F2824" s="147" t="str">
        <f>'Reported burning'!F2824</f>
        <v>ND</v>
      </c>
      <c r="G2824" s="147" t="str">
        <f>'Reported burning'!G2824</f>
        <v>ND</v>
      </c>
      <c r="H2824" s="147" t="str">
        <f>'Reported burning'!H2824</f>
        <v>Absence</v>
      </c>
      <c r="I2824" s="198"/>
      <c r="J2824" s="21" t="s">
        <v>2359</v>
      </c>
      <c r="K2824" s="21" t="s">
        <v>2359</v>
      </c>
      <c r="L2824" s="21" t="s">
        <v>2359</v>
      </c>
      <c r="M2824" s="21" t="s">
        <v>2359</v>
      </c>
      <c r="N2824" s="21" t="s">
        <v>2359</v>
      </c>
      <c r="O2824" s="21" t="s">
        <v>2359</v>
      </c>
      <c r="P2824" s="21" t="s">
        <v>2359</v>
      </c>
      <c r="Q2824" s="21" t="s">
        <v>2359</v>
      </c>
      <c r="R2824" s="21" t="s">
        <v>2359</v>
      </c>
      <c r="S2824" s="21" t="s">
        <v>2359</v>
      </c>
      <c r="T2824" s="21" t="s">
        <v>2359</v>
      </c>
      <c r="U2824" s="21" t="s">
        <v>2359</v>
      </c>
      <c r="V2824" s="21" t="s">
        <v>2359</v>
      </c>
      <c r="W2824" s="21" t="s">
        <v>2359</v>
      </c>
      <c r="X2824" s="198" t="s">
        <v>2272</v>
      </c>
      <c r="Y2824" s="198" t="s">
        <v>67</v>
      </c>
      <c r="Z2824" s="198" t="s">
        <v>84</v>
      </c>
      <c r="AA2824" s="198" t="s">
        <v>75</v>
      </c>
      <c r="AB2824" s="198"/>
      <c r="AC2824" s="198"/>
    </row>
    <row r="2825" spans="1:29" ht="34.5" customHeight="1">
      <c r="A2825" s="147" t="str">
        <f>'Reported burning'!A2825</f>
        <v>305t</v>
      </c>
      <c r="B2825" s="147" t="str">
        <f>'Reported burning'!B2825</f>
        <v>305t.9</v>
      </c>
      <c r="C2825" s="147" t="str">
        <f>'Reported burning'!C2825</f>
        <v>Human, deliberate</v>
      </c>
      <c r="D2825" s="147" t="str">
        <f>'Reported burning'!D2825</f>
        <v>Pyrome management</v>
      </c>
      <c r="E2825" s="147" t="str">
        <f>'Reported burning'!E2825</f>
        <v>Fire suppression agent</v>
      </c>
      <c r="F2825" s="147" t="str">
        <f>'Reported burning'!F2825</f>
        <v>ND</v>
      </c>
      <c r="G2825" s="147" t="str">
        <f>'Reported burning'!G2825</f>
        <v>ND</v>
      </c>
      <c r="H2825" s="147" t="str">
        <f>'Reported burning'!H2825</f>
        <v>Absence</v>
      </c>
      <c r="I2825" s="198"/>
      <c r="J2825" s="21" t="s">
        <v>2359</v>
      </c>
      <c r="K2825" s="21" t="s">
        <v>2359</v>
      </c>
      <c r="L2825" s="21" t="s">
        <v>2359</v>
      </c>
      <c r="M2825" s="21" t="s">
        <v>2359</v>
      </c>
      <c r="N2825" s="21" t="s">
        <v>2359</v>
      </c>
      <c r="O2825" s="21" t="s">
        <v>2359</v>
      </c>
      <c r="P2825" s="21" t="s">
        <v>2359</v>
      </c>
      <c r="Q2825" s="21" t="s">
        <v>2359</v>
      </c>
      <c r="R2825" s="21" t="s">
        <v>2359</v>
      </c>
      <c r="S2825" s="21" t="s">
        <v>2359</v>
      </c>
      <c r="T2825" s="21" t="s">
        <v>2359</v>
      </c>
      <c r="U2825" s="21" t="s">
        <v>2359</v>
      </c>
      <c r="V2825" s="21" t="s">
        <v>2359</v>
      </c>
      <c r="W2825" s="21" t="s">
        <v>2359</v>
      </c>
      <c r="X2825" s="198" t="s">
        <v>2272</v>
      </c>
      <c r="Y2825" s="198" t="s">
        <v>67</v>
      </c>
      <c r="Z2825" s="198" t="s">
        <v>84</v>
      </c>
      <c r="AA2825" s="198" t="s">
        <v>75</v>
      </c>
      <c r="AB2825" s="198"/>
      <c r="AC2825" s="198"/>
    </row>
    <row r="2826" spans="1:29" ht="34.5" customHeight="1">
      <c r="A2826" s="147" t="str">
        <f>'Reported burning'!A2826</f>
        <v>305u</v>
      </c>
      <c r="B2826" s="147" t="str">
        <f>'Reported burning'!B2826</f>
        <v>305u.9</v>
      </c>
      <c r="C2826" s="147" t="str">
        <f>'Reported burning'!C2826</f>
        <v>Human, deliberate</v>
      </c>
      <c r="D2826" s="147" t="str">
        <f>'Reported burning'!D2826</f>
        <v>Pyrome management</v>
      </c>
      <c r="E2826" s="147" t="str">
        <f>'Reported burning'!E2826</f>
        <v>Fire suppression agent</v>
      </c>
      <c r="F2826" s="147" t="str">
        <f>'Reported burning'!F2826</f>
        <v>ND</v>
      </c>
      <c r="G2826" s="147" t="str">
        <f>'Reported burning'!G2826</f>
        <v>ND</v>
      </c>
      <c r="H2826" s="147" t="str">
        <f>'Reported burning'!H2826</f>
        <v>Presence</v>
      </c>
      <c r="I2826" s="198"/>
      <c r="J2826" s="198" t="s">
        <v>2272</v>
      </c>
      <c r="K2826" s="198" t="s">
        <v>2272</v>
      </c>
      <c r="L2826" s="198" t="s">
        <v>2272</v>
      </c>
      <c r="M2826" s="198" t="s">
        <v>2272</v>
      </c>
      <c r="N2826" s="198" t="s">
        <v>2272</v>
      </c>
      <c r="O2826" s="198" t="s">
        <v>2272</v>
      </c>
      <c r="P2826" s="198" t="s">
        <v>2272</v>
      </c>
      <c r="Q2826" s="198" t="s">
        <v>2272</v>
      </c>
      <c r="R2826" s="198" t="s">
        <v>2272</v>
      </c>
      <c r="S2826" s="198" t="s">
        <v>2272</v>
      </c>
      <c r="T2826" s="198" t="s">
        <v>2272</v>
      </c>
      <c r="U2826" s="198" t="s">
        <v>2272</v>
      </c>
      <c r="V2826" s="198" t="s">
        <v>2272</v>
      </c>
      <c r="W2826" s="198" t="s">
        <v>2272</v>
      </c>
      <c r="X2826" s="198" t="s">
        <v>2272</v>
      </c>
      <c r="Y2826" s="198" t="s">
        <v>67</v>
      </c>
      <c r="Z2826" s="198" t="s">
        <v>84</v>
      </c>
      <c r="AA2826" s="198" t="s">
        <v>75</v>
      </c>
      <c r="AB2826" s="198"/>
      <c r="AC2826" s="198"/>
    </row>
    <row r="2827" spans="1:29" ht="34.5" customHeight="1">
      <c r="A2827" s="147" t="str">
        <f>'Reported burning'!A2827</f>
        <v>305v</v>
      </c>
      <c r="B2827" s="147" t="str">
        <f>'Reported burning'!B2827</f>
        <v>305v.9</v>
      </c>
      <c r="C2827" s="147" t="str">
        <f>'Reported burning'!C2827</f>
        <v>Human, deliberate</v>
      </c>
      <c r="D2827" s="147" t="str">
        <f>'Reported burning'!D2827</f>
        <v>Pyrome management</v>
      </c>
      <c r="E2827" s="147" t="str">
        <f>'Reported burning'!E2827</f>
        <v>Fire suppression agent</v>
      </c>
      <c r="F2827" s="147" t="str">
        <f>'Reported burning'!F2827</f>
        <v>ND</v>
      </c>
      <c r="G2827" s="147" t="str">
        <f>'Reported burning'!G2827</f>
        <v>ND</v>
      </c>
      <c r="H2827" s="147" t="str">
        <f>'Reported burning'!H2827</f>
        <v>Presence</v>
      </c>
      <c r="I2827" s="198"/>
      <c r="J2827" s="198" t="s">
        <v>2272</v>
      </c>
      <c r="K2827" s="198" t="s">
        <v>2272</v>
      </c>
      <c r="L2827" s="198" t="s">
        <v>2272</v>
      </c>
      <c r="M2827" s="198" t="s">
        <v>2272</v>
      </c>
      <c r="N2827" s="198" t="s">
        <v>2272</v>
      </c>
      <c r="O2827" s="198" t="s">
        <v>2272</v>
      </c>
      <c r="P2827" s="198" t="s">
        <v>2272</v>
      </c>
      <c r="Q2827" s="198" t="s">
        <v>2272</v>
      </c>
      <c r="R2827" s="198" t="s">
        <v>2272</v>
      </c>
      <c r="S2827" s="198" t="s">
        <v>2272</v>
      </c>
      <c r="T2827" s="198" t="s">
        <v>2272</v>
      </c>
      <c r="U2827" s="198" t="s">
        <v>2272</v>
      </c>
      <c r="V2827" s="198" t="s">
        <v>2272</v>
      </c>
      <c r="W2827" s="198" t="s">
        <v>2272</v>
      </c>
      <c r="X2827" s="198" t="s">
        <v>2272</v>
      </c>
      <c r="Y2827" s="198" t="s">
        <v>67</v>
      </c>
      <c r="Z2827" s="198" t="s">
        <v>84</v>
      </c>
      <c r="AA2827" s="198" t="s">
        <v>75</v>
      </c>
      <c r="AB2827" s="198"/>
      <c r="AC2827" s="198"/>
    </row>
    <row r="2828" spans="1:29" ht="34.5" customHeight="1">
      <c r="A2828" s="147" t="str">
        <f>'Reported burning'!A2828</f>
        <v>305w</v>
      </c>
      <c r="B2828" s="147" t="str">
        <f>'Reported burning'!B2828</f>
        <v>305w.9</v>
      </c>
      <c r="C2828" s="147" t="str">
        <f>'Reported burning'!C2828</f>
        <v>Human, deliberate</v>
      </c>
      <c r="D2828" s="147" t="str">
        <f>'Reported burning'!D2828</f>
        <v>Pyrome management</v>
      </c>
      <c r="E2828" s="147" t="str">
        <f>'Reported burning'!E2828</f>
        <v>Fire suppression agent</v>
      </c>
      <c r="F2828" s="147" t="str">
        <f>'Reported burning'!F2828</f>
        <v>ND</v>
      </c>
      <c r="G2828" s="147" t="str">
        <f>'Reported burning'!G2828</f>
        <v>ND</v>
      </c>
      <c r="H2828" s="147" t="str">
        <f>'Reported burning'!H2828</f>
        <v>Presence</v>
      </c>
      <c r="I2828" s="198"/>
      <c r="J2828" s="198" t="s">
        <v>2272</v>
      </c>
      <c r="K2828" s="198" t="s">
        <v>2272</v>
      </c>
      <c r="L2828" s="198" t="s">
        <v>2272</v>
      </c>
      <c r="M2828" s="198" t="s">
        <v>2272</v>
      </c>
      <c r="N2828" s="198" t="s">
        <v>2272</v>
      </c>
      <c r="O2828" s="198" t="s">
        <v>2272</v>
      </c>
      <c r="P2828" s="198" t="s">
        <v>2272</v>
      </c>
      <c r="Q2828" s="198" t="s">
        <v>2272</v>
      </c>
      <c r="R2828" s="198" t="s">
        <v>2272</v>
      </c>
      <c r="S2828" s="198" t="s">
        <v>2272</v>
      </c>
      <c r="T2828" s="198" t="s">
        <v>2272</v>
      </c>
      <c r="U2828" s="198" t="s">
        <v>2272</v>
      </c>
      <c r="V2828" s="198" t="s">
        <v>2272</v>
      </c>
      <c r="W2828" s="198" t="s">
        <v>2272</v>
      </c>
      <c r="X2828" s="198" t="s">
        <v>2272</v>
      </c>
      <c r="Y2828" s="198" t="s">
        <v>67</v>
      </c>
      <c r="Z2828" s="198" t="s">
        <v>84</v>
      </c>
      <c r="AA2828" s="198" t="s">
        <v>75</v>
      </c>
      <c r="AB2828" s="198"/>
      <c r="AC2828" s="198"/>
    </row>
    <row r="2829" spans="1:29" ht="34.5" customHeight="1">
      <c r="A2829" s="147" t="str">
        <f>'Reported burning'!A2829</f>
        <v>305x</v>
      </c>
      <c r="B2829" s="147" t="str">
        <f>'Reported burning'!B2829</f>
        <v>305x.9</v>
      </c>
      <c r="C2829" s="147" t="str">
        <f>'Reported burning'!C2829</f>
        <v>Human, deliberate</v>
      </c>
      <c r="D2829" s="147" t="str">
        <f>'Reported burning'!D2829</f>
        <v>Pyrome management</v>
      </c>
      <c r="E2829" s="147" t="str">
        <f>'Reported burning'!E2829</f>
        <v>Fire suppression agent</v>
      </c>
      <c r="F2829" s="147" t="str">
        <f>'Reported burning'!F2829</f>
        <v>ND</v>
      </c>
      <c r="G2829" s="147" t="str">
        <f>'Reported burning'!G2829</f>
        <v>ND</v>
      </c>
      <c r="H2829" s="147" t="str">
        <f>'Reported burning'!H2829</f>
        <v>Presence</v>
      </c>
      <c r="I2829" s="198"/>
      <c r="J2829" s="198" t="s">
        <v>2272</v>
      </c>
      <c r="K2829" s="198" t="s">
        <v>2272</v>
      </c>
      <c r="L2829" s="198" t="s">
        <v>2272</v>
      </c>
      <c r="M2829" s="198" t="s">
        <v>2272</v>
      </c>
      <c r="N2829" s="198" t="s">
        <v>2272</v>
      </c>
      <c r="O2829" s="198" t="s">
        <v>2272</v>
      </c>
      <c r="P2829" s="198" t="s">
        <v>2272</v>
      </c>
      <c r="Q2829" s="198" t="s">
        <v>2272</v>
      </c>
      <c r="R2829" s="198" t="s">
        <v>2272</v>
      </c>
      <c r="S2829" s="198" t="s">
        <v>2272</v>
      </c>
      <c r="T2829" s="198" t="s">
        <v>2272</v>
      </c>
      <c r="U2829" s="198" t="s">
        <v>2272</v>
      </c>
      <c r="V2829" s="198" t="s">
        <v>2272</v>
      </c>
      <c r="W2829" s="198" t="s">
        <v>2272</v>
      </c>
      <c r="X2829" s="198" t="s">
        <v>2272</v>
      </c>
      <c r="Y2829" s="198" t="s">
        <v>67</v>
      </c>
      <c r="Z2829" s="198" t="s">
        <v>84</v>
      </c>
      <c r="AA2829" s="198" t="s">
        <v>75</v>
      </c>
      <c r="AB2829" s="198"/>
      <c r="AC2829" s="198"/>
    </row>
    <row r="2830" spans="1:29" ht="34.5" customHeight="1">
      <c r="A2830" s="147" t="str">
        <f>'Reported burning'!A2830</f>
        <v>305y</v>
      </c>
      <c r="B2830" s="147" t="str">
        <f>'Reported burning'!B2830</f>
        <v>305y.9</v>
      </c>
      <c r="C2830" s="147" t="str">
        <f>'Reported burning'!C2830</f>
        <v>Human, deliberate</v>
      </c>
      <c r="D2830" s="147" t="str">
        <f>'Reported burning'!D2830</f>
        <v>Pyrome management</v>
      </c>
      <c r="E2830" s="147" t="str">
        <f>'Reported burning'!E2830</f>
        <v>Fire suppression agent</v>
      </c>
      <c r="F2830" s="147" t="str">
        <f>'Reported burning'!F2830</f>
        <v>ND</v>
      </c>
      <c r="G2830" s="147" t="str">
        <f>'Reported burning'!G2830</f>
        <v>ND</v>
      </c>
      <c r="H2830" s="147" t="str">
        <f>'Reported burning'!H2830</f>
        <v>Presence</v>
      </c>
      <c r="I2830" s="198"/>
      <c r="J2830" s="198" t="s">
        <v>2272</v>
      </c>
      <c r="K2830" s="198" t="s">
        <v>2272</v>
      </c>
      <c r="L2830" s="198" t="s">
        <v>2272</v>
      </c>
      <c r="M2830" s="198" t="s">
        <v>2272</v>
      </c>
      <c r="N2830" s="198" t="s">
        <v>2272</v>
      </c>
      <c r="O2830" s="198" t="s">
        <v>2272</v>
      </c>
      <c r="P2830" s="198" t="s">
        <v>2272</v>
      </c>
      <c r="Q2830" s="198" t="s">
        <v>2272</v>
      </c>
      <c r="R2830" s="198" t="s">
        <v>2272</v>
      </c>
      <c r="S2830" s="198" t="s">
        <v>2272</v>
      </c>
      <c r="T2830" s="198" t="s">
        <v>2272</v>
      </c>
      <c r="U2830" s="198" t="s">
        <v>2272</v>
      </c>
      <c r="V2830" s="198" t="s">
        <v>2272</v>
      </c>
      <c r="W2830" s="198" t="s">
        <v>2272</v>
      </c>
      <c r="X2830" s="198" t="s">
        <v>2272</v>
      </c>
      <c r="Y2830" s="198" t="s">
        <v>67</v>
      </c>
      <c r="Z2830" s="198" t="s">
        <v>84</v>
      </c>
      <c r="AA2830" s="198" t="s">
        <v>75</v>
      </c>
      <c r="AB2830" s="198"/>
      <c r="AC2830" s="198"/>
    </row>
    <row r="2831" spans="1:29" ht="34.5" customHeight="1">
      <c r="A2831" s="147" t="str">
        <f>'Reported burning'!A2831</f>
        <v>305z</v>
      </c>
      <c r="B2831" s="147" t="str">
        <f>'Reported burning'!B2831</f>
        <v>305z.9</v>
      </c>
      <c r="C2831" s="147" t="str">
        <f>'Reported burning'!C2831</f>
        <v>Human, deliberate</v>
      </c>
      <c r="D2831" s="147" t="str">
        <f>'Reported burning'!D2831</f>
        <v>Pyrome management</v>
      </c>
      <c r="E2831" s="147" t="str">
        <f>'Reported burning'!E2831</f>
        <v>Fire suppression agent</v>
      </c>
      <c r="F2831" s="147" t="str">
        <f>'Reported burning'!F2831</f>
        <v>ND</v>
      </c>
      <c r="G2831" s="147" t="str">
        <f>'Reported burning'!G2831</f>
        <v>ND</v>
      </c>
      <c r="H2831" s="147" t="str">
        <f>'Reported burning'!H2831</f>
        <v>Presence</v>
      </c>
      <c r="I2831" s="198"/>
      <c r="J2831" s="198" t="s">
        <v>2272</v>
      </c>
      <c r="K2831" s="198" t="s">
        <v>2272</v>
      </c>
      <c r="L2831" s="198" t="s">
        <v>2272</v>
      </c>
      <c r="M2831" s="198" t="s">
        <v>2272</v>
      </c>
      <c r="N2831" s="198" t="s">
        <v>2272</v>
      </c>
      <c r="O2831" s="198" t="s">
        <v>2272</v>
      </c>
      <c r="P2831" s="198" t="s">
        <v>2272</v>
      </c>
      <c r="Q2831" s="198" t="s">
        <v>2272</v>
      </c>
      <c r="R2831" s="198" t="s">
        <v>2272</v>
      </c>
      <c r="S2831" s="198" t="s">
        <v>2272</v>
      </c>
      <c r="T2831" s="198" t="s">
        <v>2272</v>
      </c>
      <c r="U2831" s="198" t="s">
        <v>2272</v>
      </c>
      <c r="V2831" s="198" t="s">
        <v>2272</v>
      </c>
      <c r="W2831" s="198" t="s">
        <v>2272</v>
      </c>
      <c r="X2831" s="198" t="s">
        <v>2272</v>
      </c>
      <c r="Y2831" s="198" t="s">
        <v>67</v>
      </c>
      <c r="Z2831" s="198" t="s">
        <v>84</v>
      </c>
      <c r="AA2831" s="198" t="s">
        <v>75</v>
      </c>
      <c r="AB2831" s="198"/>
      <c r="AC2831" s="198"/>
    </row>
    <row r="2832" spans="1:29" ht="34.5" customHeight="1">
      <c r="A2832" s="147" t="str">
        <f>'Reported burning'!A2832</f>
        <v>305aa</v>
      </c>
      <c r="B2832" s="147" t="str">
        <f>'Reported burning'!B2832</f>
        <v>305aa.9</v>
      </c>
      <c r="C2832" s="147" t="str">
        <f>'Reported burning'!C2832</f>
        <v>Human, deliberate</v>
      </c>
      <c r="D2832" s="147" t="str">
        <f>'Reported burning'!D2832</f>
        <v>Pyrome management</v>
      </c>
      <c r="E2832" s="147" t="str">
        <f>'Reported burning'!E2832</f>
        <v>Fire suppression agent</v>
      </c>
      <c r="F2832" s="147" t="str">
        <f>'Reported burning'!F2832</f>
        <v>ND</v>
      </c>
      <c r="G2832" s="147" t="str">
        <f>'Reported burning'!G2832</f>
        <v>ND</v>
      </c>
      <c r="H2832" s="147" t="str">
        <f>'Reported burning'!H2832</f>
        <v>Presence</v>
      </c>
      <c r="I2832" s="198"/>
      <c r="J2832" s="198" t="s">
        <v>2272</v>
      </c>
      <c r="K2832" s="198" t="s">
        <v>2272</v>
      </c>
      <c r="L2832" s="198" t="s">
        <v>2272</v>
      </c>
      <c r="M2832" s="198" t="s">
        <v>2272</v>
      </c>
      <c r="N2832" s="198" t="s">
        <v>2272</v>
      </c>
      <c r="O2832" s="198" t="s">
        <v>2272</v>
      </c>
      <c r="P2832" s="198" t="s">
        <v>2272</v>
      </c>
      <c r="Q2832" s="198" t="s">
        <v>2272</v>
      </c>
      <c r="R2832" s="198" t="s">
        <v>2272</v>
      </c>
      <c r="S2832" s="198" t="s">
        <v>2272</v>
      </c>
      <c r="T2832" s="198" t="s">
        <v>2272</v>
      </c>
      <c r="U2832" s="198" t="s">
        <v>2272</v>
      </c>
      <c r="V2832" s="198" t="s">
        <v>2272</v>
      </c>
      <c r="W2832" s="198" t="s">
        <v>2272</v>
      </c>
      <c r="X2832" s="198" t="s">
        <v>2272</v>
      </c>
      <c r="Y2832" s="198" t="s">
        <v>67</v>
      </c>
      <c r="Z2832" s="198" t="s">
        <v>84</v>
      </c>
      <c r="AA2832" s="198" t="s">
        <v>75</v>
      </c>
      <c r="AB2832" s="198"/>
      <c r="AC2832" s="198"/>
    </row>
    <row r="2833" spans="1:29" ht="34.5" customHeight="1">
      <c r="A2833" s="147" t="str">
        <f>'Reported burning'!A2833</f>
        <v>305ab</v>
      </c>
      <c r="B2833" s="147" t="str">
        <f>'Reported burning'!B2833</f>
        <v>305ab.9</v>
      </c>
      <c r="C2833" s="147" t="str">
        <f>'Reported burning'!C2833</f>
        <v>Human, deliberate</v>
      </c>
      <c r="D2833" s="147" t="str">
        <f>'Reported burning'!D2833</f>
        <v>Pyrome management</v>
      </c>
      <c r="E2833" s="147" t="str">
        <f>'Reported burning'!E2833</f>
        <v>Fire suppression agent</v>
      </c>
      <c r="F2833" s="147" t="str">
        <f>'Reported burning'!F2833</f>
        <v>ND</v>
      </c>
      <c r="G2833" s="147" t="str">
        <f>'Reported burning'!G2833</f>
        <v>ND</v>
      </c>
      <c r="H2833" s="147" t="str">
        <f>'Reported burning'!H2833</f>
        <v>Presence</v>
      </c>
      <c r="I2833" s="198"/>
      <c r="J2833" s="198" t="s">
        <v>2272</v>
      </c>
      <c r="K2833" s="198" t="s">
        <v>2272</v>
      </c>
      <c r="L2833" s="198" t="s">
        <v>2272</v>
      </c>
      <c r="M2833" s="198" t="s">
        <v>2272</v>
      </c>
      <c r="N2833" s="198" t="s">
        <v>2272</v>
      </c>
      <c r="O2833" s="198" t="s">
        <v>2272</v>
      </c>
      <c r="P2833" s="198" t="s">
        <v>2272</v>
      </c>
      <c r="Q2833" s="198" t="s">
        <v>2272</v>
      </c>
      <c r="R2833" s="198" t="s">
        <v>2272</v>
      </c>
      <c r="S2833" s="198" t="s">
        <v>2272</v>
      </c>
      <c r="T2833" s="198" t="s">
        <v>2272</v>
      </c>
      <c r="U2833" s="198" t="s">
        <v>2272</v>
      </c>
      <c r="V2833" s="198" t="s">
        <v>2272</v>
      </c>
      <c r="W2833" s="198" t="s">
        <v>2272</v>
      </c>
      <c r="X2833" s="198" t="s">
        <v>2272</v>
      </c>
      <c r="Y2833" s="198" t="s">
        <v>67</v>
      </c>
      <c r="Z2833" s="198" t="s">
        <v>84</v>
      </c>
      <c r="AA2833" s="198" t="s">
        <v>75</v>
      </c>
      <c r="AB2833" s="198"/>
      <c r="AC2833" s="198"/>
    </row>
    <row r="2834" spans="1:29" ht="34.5" customHeight="1">
      <c r="A2834" s="147" t="str">
        <f>'Reported burning'!A2834</f>
        <v>305ac</v>
      </c>
      <c r="B2834" s="147" t="str">
        <f>'Reported burning'!B2834</f>
        <v>305ac.9</v>
      </c>
      <c r="C2834" s="147" t="str">
        <f>'Reported burning'!C2834</f>
        <v>Human, deliberate</v>
      </c>
      <c r="D2834" s="147" t="str">
        <f>'Reported burning'!D2834</f>
        <v>Pyrome management</v>
      </c>
      <c r="E2834" s="147" t="str">
        <f>'Reported burning'!E2834</f>
        <v>Fire suppression agent</v>
      </c>
      <c r="F2834" s="147" t="str">
        <f>'Reported burning'!F2834</f>
        <v>ND</v>
      </c>
      <c r="G2834" s="147" t="str">
        <f>'Reported burning'!G2834</f>
        <v>ND</v>
      </c>
      <c r="H2834" s="147" t="str">
        <f>'Reported burning'!H2834</f>
        <v>Presence</v>
      </c>
      <c r="I2834" s="198"/>
      <c r="J2834" s="198" t="s">
        <v>2272</v>
      </c>
      <c r="K2834" s="198" t="s">
        <v>2272</v>
      </c>
      <c r="L2834" s="198" t="s">
        <v>2272</v>
      </c>
      <c r="M2834" s="198" t="s">
        <v>2272</v>
      </c>
      <c r="N2834" s="198" t="s">
        <v>2272</v>
      </c>
      <c r="O2834" s="198" t="s">
        <v>2272</v>
      </c>
      <c r="P2834" s="198" t="s">
        <v>2272</v>
      </c>
      <c r="Q2834" s="198" t="s">
        <v>2272</v>
      </c>
      <c r="R2834" s="198" t="s">
        <v>2272</v>
      </c>
      <c r="S2834" s="198" t="s">
        <v>2272</v>
      </c>
      <c r="T2834" s="198" t="s">
        <v>2272</v>
      </c>
      <c r="U2834" s="198" t="s">
        <v>2272</v>
      </c>
      <c r="V2834" s="198" t="s">
        <v>2272</v>
      </c>
      <c r="W2834" s="198" t="s">
        <v>2272</v>
      </c>
      <c r="X2834" s="198" t="s">
        <v>2272</v>
      </c>
      <c r="Y2834" s="198" t="s">
        <v>67</v>
      </c>
      <c r="Z2834" s="198" t="s">
        <v>84</v>
      </c>
      <c r="AA2834" s="198" t="s">
        <v>75</v>
      </c>
      <c r="AB2834" s="198"/>
      <c r="AC2834" s="198"/>
    </row>
    <row r="2835" spans="1:29" ht="34.5" customHeight="1">
      <c r="A2835" s="147" t="str">
        <f>'Reported burning'!A2835</f>
        <v>305ad</v>
      </c>
      <c r="B2835" s="147" t="str">
        <f>'Reported burning'!B2835</f>
        <v>305ad.9</v>
      </c>
      <c r="C2835" s="147" t="str">
        <f>'Reported burning'!C2835</f>
        <v>Human, deliberate</v>
      </c>
      <c r="D2835" s="147" t="str">
        <f>'Reported burning'!D2835</f>
        <v>Pyrome management</v>
      </c>
      <c r="E2835" s="147" t="str">
        <f>'Reported burning'!E2835</f>
        <v>Fire suppression agent</v>
      </c>
      <c r="F2835" s="147" t="str">
        <f>'Reported burning'!F2835</f>
        <v>ND</v>
      </c>
      <c r="G2835" s="147" t="str">
        <f>'Reported burning'!G2835</f>
        <v>ND</v>
      </c>
      <c r="H2835" s="147" t="str">
        <f>'Reported burning'!H2835</f>
        <v>Presence</v>
      </c>
      <c r="I2835" s="198"/>
      <c r="J2835" s="198" t="s">
        <v>2272</v>
      </c>
      <c r="K2835" s="198" t="s">
        <v>2272</v>
      </c>
      <c r="L2835" s="198" t="s">
        <v>2272</v>
      </c>
      <c r="M2835" s="198" t="s">
        <v>2272</v>
      </c>
      <c r="N2835" s="198" t="s">
        <v>2272</v>
      </c>
      <c r="O2835" s="198" t="s">
        <v>2272</v>
      </c>
      <c r="P2835" s="198" t="s">
        <v>2272</v>
      </c>
      <c r="Q2835" s="198" t="s">
        <v>2272</v>
      </c>
      <c r="R2835" s="198" t="s">
        <v>2272</v>
      </c>
      <c r="S2835" s="198" t="s">
        <v>2272</v>
      </c>
      <c r="T2835" s="198" t="s">
        <v>2272</v>
      </c>
      <c r="U2835" s="198" t="s">
        <v>2272</v>
      </c>
      <c r="V2835" s="198" t="s">
        <v>2272</v>
      </c>
      <c r="W2835" s="198" t="s">
        <v>2272</v>
      </c>
      <c r="X2835" s="198" t="s">
        <v>2272</v>
      </c>
      <c r="Y2835" s="198" t="s">
        <v>67</v>
      </c>
      <c r="Z2835" s="198" t="s">
        <v>84</v>
      </c>
      <c r="AA2835" s="198" t="s">
        <v>75</v>
      </c>
      <c r="AB2835" s="198"/>
      <c r="AC2835" s="198"/>
    </row>
    <row r="2836" spans="1:29" ht="34.5" customHeight="1">
      <c r="A2836" s="147" t="str">
        <f>'Reported burning'!A2836</f>
        <v>305ae</v>
      </c>
      <c r="B2836" s="147" t="str">
        <f>'Reported burning'!B2836</f>
        <v>305ae.9</v>
      </c>
      <c r="C2836" s="147" t="str">
        <f>'Reported burning'!C2836</f>
        <v>Human, deliberate</v>
      </c>
      <c r="D2836" s="147" t="str">
        <f>'Reported burning'!D2836</f>
        <v>Pyrome management</v>
      </c>
      <c r="E2836" s="147" t="str">
        <f>'Reported burning'!E2836</f>
        <v>Fire suppression agent</v>
      </c>
      <c r="F2836" s="147" t="str">
        <f>'Reported burning'!F2836</f>
        <v>ND</v>
      </c>
      <c r="G2836" s="147" t="str">
        <f>'Reported burning'!G2836</f>
        <v>ND</v>
      </c>
      <c r="H2836" s="147" t="str">
        <f>'Reported burning'!H2836</f>
        <v>Presence</v>
      </c>
      <c r="I2836" s="198"/>
      <c r="J2836" s="198" t="s">
        <v>2272</v>
      </c>
      <c r="K2836" s="198" t="s">
        <v>2272</v>
      </c>
      <c r="L2836" s="198" t="s">
        <v>2272</v>
      </c>
      <c r="M2836" s="198" t="s">
        <v>2272</v>
      </c>
      <c r="N2836" s="198" t="s">
        <v>2272</v>
      </c>
      <c r="O2836" s="198" t="s">
        <v>2272</v>
      </c>
      <c r="P2836" s="198" t="s">
        <v>2272</v>
      </c>
      <c r="Q2836" s="198" t="s">
        <v>2272</v>
      </c>
      <c r="R2836" s="198" t="s">
        <v>2272</v>
      </c>
      <c r="S2836" s="198" t="s">
        <v>2272</v>
      </c>
      <c r="T2836" s="198" t="s">
        <v>2272</v>
      </c>
      <c r="U2836" s="198" t="s">
        <v>2272</v>
      </c>
      <c r="V2836" s="198" t="s">
        <v>2272</v>
      </c>
      <c r="W2836" s="198" t="s">
        <v>2272</v>
      </c>
      <c r="X2836" s="198" t="s">
        <v>2272</v>
      </c>
      <c r="Y2836" s="198" t="s">
        <v>67</v>
      </c>
      <c r="Z2836" s="198" t="s">
        <v>84</v>
      </c>
      <c r="AA2836" s="198" t="s">
        <v>75</v>
      </c>
      <c r="AB2836" s="198"/>
      <c r="AC2836" s="198"/>
    </row>
    <row r="2837" spans="1:29" ht="34.5" customHeight="1">
      <c r="A2837" s="147" t="str">
        <f>'Reported burning'!A2837</f>
        <v>305n</v>
      </c>
      <c r="B2837" s="147" t="str">
        <f>'Reported burning'!B2837</f>
        <v>305n.10</v>
      </c>
      <c r="C2837" s="147" t="str">
        <f>'Reported burning'!C2837</f>
        <v>Human, deliberate</v>
      </c>
      <c r="D2837" s="147" t="str">
        <f>'Reported burning'!D2837</f>
        <v>Pyrome management</v>
      </c>
      <c r="E2837" s="147" t="str">
        <f>'Reported burning'!E2837</f>
        <v>Fire suppression agent</v>
      </c>
      <c r="F2837" s="147" t="str">
        <f>'Reported burning'!F2837</f>
        <v>ND</v>
      </c>
      <c r="G2837" s="147" t="str">
        <f>'Reported burning'!G2837</f>
        <v>ND</v>
      </c>
      <c r="H2837" s="147" t="str">
        <f>'Reported burning'!H2837</f>
        <v>Presence</v>
      </c>
      <c r="I2837" s="198"/>
      <c r="J2837" s="198" t="s">
        <v>2272</v>
      </c>
      <c r="K2837" s="198" t="s">
        <v>2272</v>
      </c>
      <c r="L2837" s="198" t="s">
        <v>2272</v>
      </c>
      <c r="M2837" s="198" t="s">
        <v>2272</v>
      </c>
      <c r="N2837" s="198" t="s">
        <v>2272</v>
      </c>
      <c r="O2837" s="198" t="s">
        <v>2272</v>
      </c>
      <c r="P2837" s="198" t="s">
        <v>2272</v>
      </c>
      <c r="Q2837" s="198" t="s">
        <v>2272</v>
      </c>
      <c r="R2837" s="198" t="s">
        <v>2272</v>
      </c>
      <c r="S2837" s="198" t="s">
        <v>2272</v>
      </c>
      <c r="T2837" s="198" t="s">
        <v>2272</v>
      </c>
      <c r="U2837" s="198" t="s">
        <v>2272</v>
      </c>
      <c r="V2837" s="198" t="s">
        <v>2272</v>
      </c>
      <c r="W2837" s="198" t="s">
        <v>2272</v>
      </c>
      <c r="X2837" s="198" t="s">
        <v>2272</v>
      </c>
      <c r="Y2837" s="198" t="s">
        <v>67</v>
      </c>
      <c r="Z2837" s="198" t="s">
        <v>84</v>
      </c>
      <c r="AA2837" s="198" t="s">
        <v>75</v>
      </c>
      <c r="AB2837" s="198"/>
      <c r="AC2837" s="198"/>
    </row>
    <row r="2838" spans="1:29" ht="34.5" customHeight="1">
      <c r="A2838" s="147" t="str">
        <f>'Reported burning'!A2838</f>
        <v>305o</v>
      </c>
      <c r="B2838" s="147" t="str">
        <f>'Reported burning'!B2838</f>
        <v>305o.10</v>
      </c>
      <c r="C2838" s="147" t="str">
        <f>'Reported burning'!C2838</f>
        <v>Human, deliberate</v>
      </c>
      <c r="D2838" s="147" t="str">
        <f>'Reported burning'!D2838</f>
        <v>Pyrome management</v>
      </c>
      <c r="E2838" s="147" t="str">
        <f>'Reported burning'!E2838</f>
        <v>Fire suppression agent</v>
      </c>
      <c r="F2838" s="147" t="str">
        <f>'Reported burning'!F2838</f>
        <v>ND</v>
      </c>
      <c r="G2838" s="147" t="str">
        <f>'Reported burning'!G2838</f>
        <v>ND</v>
      </c>
      <c r="H2838" s="147" t="str">
        <f>'Reported burning'!H2838</f>
        <v>Presence</v>
      </c>
      <c r="I2838" s="198"/>
      <c r="J2838" s="198" t="s">
        <v>2272</v>
      </c>
      <c r="K2838" s="198" t="s">
        <v>2272</v>
      </c>
      <c r="L2838" s="198" t="s">
        <v>2272</v>
      </c>
      <c r="M2838" s="198" t="s">
        <v>2272</v>
      </c>
      <c r="N2838" s="198" t="s">
        <v>2272</v>
      </c>
      <c r="O2838" s="198" t="s">
        <v>2272</v>
      </c>
      <c r="P2838" s="198" t="s">
        <v>2272</v>
      </c>
      <c r="Q2838" s="198" t="s">
        <v>2272</v>
      </c>
      <c r="R2838" s="198" t="s">
        <v>2272</v>
      </c>
      <c r="S2838" s="198" t="s">
        <v>2272</v>
      </c>
      <c r="T2838" s="198" t="s">
        <v>2272</v>
      </c>
      <c r="U2838" s="198" t="s">
        <v>2272</v>
      </c>
      <c r="V2838" s="198" t="s">
        <v>2272</v>
      </c>
      <c r="W2838" s="198" t="s">
        <v>2272</v>
      </c>
      <c r="X2838" s="198" t="s">
        <v>2272</v>
      </c>
      <c r="Y2838" s="198" t="s">
        <v>67</v>
      </c>
      <c r="Z2838" s="198" t="s">
        <v>84</v>
      </c>
      <c r="AA2838" s="198" t="s">
        <v>75</v>
      </c>
      <c r="AB2838" s="198"/>
      <c r="AC2838" s="198"/>
    </row>
    <row r="2839" spans="1:29" ht="34.5" customHeight="1">
      <c r="A2839" s="147" t="str">
        <f>'Reported burning'!A2839</f>
        <v>305p</v>
      </c>
      <c r="B2839" s="147" t="str">
        <f>'Reported burning'!B2839</f>
        <v>305p.10</v>
      </c>
      <c r="C2839" s="147" t="str">
        <f>'Reported burning'!C2839</f>
        <v>Human, deliberate</v>
      </c>
      <c r="D2839" s="147" t="str">
        <f>'Reported burning'!D2839</f>
        <v>Pyrome management</v>
      </c>
      <c r="E2839" s="147" t="str">
        <f>'Reported burning'!E2839</f>
        <v>Fire suppression agent</v>
      </c>
      <c r="F2839" s="147" t="str">
        <f>'Reported burning'!F2839</f>
        <v>ND</v>
      </c>
      <c r="G2839" s="147" t="str">
        <f>'Reported burning'!G2839</f>
        <v>ND</v>
      </c>
      <c r="H2839" s="147" t="str">
        <f>'Reported burning'!H2839</f>
        <v>Presence</v>
      </c>
      <c r="I2839" s="198"/>
      <c r="J2839" s="198" t="s">
        <v>2272</v>
      </c>
      <c r="K2839" s="198" t="s">
        <v>2272</v>
      </c>
      <c r="L2839" s="198" t="s">
        <v>2272</v>
      </c>
      <c r="M2839" s="198" t="s">
        <v>2272</v>
      </c>
      <c r="N2839" s="198" t="s">
        <v>2272</v>
      </c>
      <c r="O2839" s="198" t="s">
        <v>2272</v>
      </c>
      <c r="P2839" s="198" t="s">
        <v>2272</v>
      </c>
      <c r="Q2839" s="198" t="s">
        <v>2272</v>
      </c>
      <c r="R2839" s="198" t="s">
        <v>2272</v>
      </c>
      <c r="S2839" s="198" t="s">
        <v>2272</v>
      </c>
      <c r="T2839" s="198" t="s">
        <v>2272</v>
      </c>
      <c r="U2839" s="198" t="s">
        <v>2272</v>
      </c>
      <c r="V2839" s="198" t="s">
        <v>2272</v>
      </c>
      <c r="W2839" s="198" t="s">
        <v>2272</v>
      </c>
      <c r="X2839" s="198" t="s">
        <v>2272</v>
      </c>
      <c r="Y2839" s="198" t="s">
        <v>67</v>
      </c>
      <c r="Z2839" s="198" t="s">
        <v>84</v>
      </c>
      <c r="AA2839" s="198" t="s">
        <v>75</v>
      </c>
      <c r="AB2839" s="198"/>
      <c r="AC2839" s="198"/>
    </row>
    <row r="2840" spans="1:29" ht="34.5" customHeight="1">
      <c r="A2840" s="147" t="str">
        <f>'Reported burning'!A2840</f>
        <v>305q</v>
      </c>
      <c r="B2840" s="147" t="str">
        <f>'Reported burning'!B2840</f>
        <v>305q.10</v>
      </c>
      <c r="C2840" s="147" t="str">
        <f>'Reported burning'!C2840</f>
        <v>Human, deliberate</v>
      </c>
      <c r="D2840" s="147" t="str">
        <f>'Reported burning'!D2840</f>
        <v>Pyrome management</v>
      </c>
      <c r="E2840" s="147" t="str">
        <f>'Reported burning'!E2840</f>
        <v>Fire suppression agent</v>
      </c>
      <c r="F2840" s="147" t="str">
        <f>'Reported burning'!F2840</f>
        <v>ND</v>
      </c>
      <c r="G2840" s="147" t="str">
        <f>'Reported burning'!G2840</f>
        <v>ND</v>
      </c>
      <c r="H2840" s="147" t="str">
        <f>'Reported burning'!H2840</f>
        <v>Presence</v>
      </c>
      <c r="I2840" s="198"/>
      <c r="J2840" s="198" t="s">
        <v>2272</v>
      </c>
      <c r="K2840" s="198" t="s">
        <v>2272</v>
      </c>
      <c r="L2840" s="198" t="s">
        <v>2272</v>
      </c>
      <c r="M2840" s="198" t="s">
        <v>2272</v>
      </c>
      <c r="N2840" s="198" t="s">
        <v>2272</v>
      </c>
      <c r="O2840" s="198" t="s">
        <v>2272</v>
      </c>
      <c r="P2840" s="198" t="s">
        <v>2272</v>
      </c>
      <c r="Q2840" s="198" t="s">
        <v>2272</v>
      </c>
      <c r="R2840" s="198" t="s">
        <v>2272</v>
      </c>
      <c r="S2840" s="198" t="s">
        <v>2272</v>
      </c>
      <c r="T2840" s="198" t="s">
        <v>2272</v>
      </c>
      <c r="U2840" s="198" t="s">
        <v>2272</v>
      </c>
      <c r="V2840" s="198" t="s">
        <v>2272</v>
      </c>
      <c r="W2840" s="198" t="s">
        <v>2272</v>
      </c>
      <c r="X2840" s="198" t="s">
        <v>2272</v>
      </c>
      <c r="Y2840" s="198" t="s">
        <v>67</v>
      </c>
      <c r="Z2840" s="198" t="s">
        <v>84</v>
      </c>
      <c r="AA2840" s="198" t="s">
        <v>75</v>
      </c>
      <c r="AB2840" s="198"/>
      <c r="AC2840" s="198"/>
    </row>
    <row r="2841" spans="1:29" ht="34.5" customHeight="1">
      <c r="A2841" s="147" t="str">
        <f>'Reported burning'!A2841</f>
        <v>305r</v>
      </c>
      <c r="B2841" s="147" t="str">
        <f>'Reported burning'!B2841</f>
        <v>305r.10</v>
      </c>
      <c r="C2841" s="147" t="str">
        <f>'Reported burning'!C2841</f>
        <v>Human, deliberate</v>
      </c>
      <c r="D2841" s="147" t="str">
        <f>'Reported burning'!D2841</f>
        <v>Pyrome management</v>
      </c>
      <c r="E2841" s="147" t="str">
        <f>'Reported burning'!E2841</f>
        <v>Fire suppression agent</v>
      </c>
      <c r="F2841" s="147" t="str">
        <f>'Reported burning'!F2841</f>
        <v>ND</v>
      </c>
      <c r="G2841" s="147" t="str">
        <f>'Reported burning'!G2841</f>
        <v>ND</v>
      </c>
      <c r="H2841" s="147" t="str">
        <f>'Reported burning'!H2841</f>
        <v>Absence</v>
      </c>
      <c r="I2841" s="198"/>
      <c r="J2841" s="21" t="s">
        <v>2359</v>
      </c>
      <c r="K2841" s="21" t="s">
        <v>2359</v>
      </c>
      <c r="L2841" s="21" t="s">
        <v>2359</v>
      </c>
      <c r="M2841" s="21" t="s">
        <v>2359</v>
      </c>
      <c r="N2841" s="21" t="s">
        <v>2359</v>
      </c>
      <c r="O2841" s="21" t="s">
        <v>2359</v>
      </c>
      <c r="P2841" s="21" t="s">
        <v>2359</v>
      </c>
      <c r="Q2841" s="21" t="s">
        <v>2359</v>
      </c>
      <c r="R2841" s="21" t="s">
        <v>2359</v>
      </c>
      <c r="S2841" s="21" t="s">
        <v>2359</v>
      </c>
      <c r="T2841" s="21" t="s">
        <v>2359</v>
      </c>
      <c r="U2841" s="21" t="s">
        <v>2359</v>
      </c>
      <c r="V2841" s="21" t="s">
        <v>2359</v>
      </c>
      <c r="W2841" s="21" t="s">
        <v>2359</v>
      </c>
      <c r="X2841" s="198" t="s">
        <v>2272</v>
      </c>
      <c r="Y2841" s="198" t="s">
        <v>67</v>
      </c>
      <c r="Z2841" s="198" t="s">
        <v>84</v>
      </c>
      <c r="AA2841" s="198" t="s">
        <v>75</v>
      </c>
      <c r="AB2841" s="198"/>
      <c r="AC2841" s="198"/>
    </row>
    <row r="2842" spans="1:29" ht="34.5" customHeight="1">
      <c r="A2842" s="147" t="str">
        <f>'Reported burning'!A2842</f>
        <v>305s</v>
      </c>
      <c r="B2842" s="147" t="str">
        <f>'Reported burning'!B2842</f>
        <v>305s.10</v>
      </c>
      <c r="C2842" s="147" t="str">
        <f>'Reported burning'!C2842</f>
        <v>Human, deliberate</v>
      </c>
      <c r="D2842" s="147" t="str">
        <f>'Reported burning'!D2842</f>
        <v>Pyrome management</v>
      </c>
      <c r="E2842" s="147" t="str">
        <f>'Reported burning'!E2842</f>
        <v>Fire suppression agent</v>
      </c>
      <c r="F2842" s="147" t="str">
        <f>'Reported burning'!F2842</f>
        <v>ND</v>
      </c>
      <c r="G2842" s="147" t="str">
        <f>'Reported burning'!G2842</f>
        <v>ND</v>
      </c>
      <c r="H2842" s="147" t="str">
        <f>'Reported burning'!H2842</f>
        <v>Absence</v>
      </c>
      <c r="I2842" s="198"/>
      <c r="J2842" s="21" t="s">
        <v>2359</v>
      </c>
      <c r="K2842" s="21" t="s">
        <v>2359</v>
      </c>
      <c r="L2842" s="21" t="s">
        <v>2359</v>
      </c>
      <c r="M2842" s="21" t="s">
        <v>2359</v>
      </c>
      <c r="N2842" s="21" t="s">
        <v>2359</v>
      </c>
      <c r="O2842" s="21" t="s">
        <v>2359</v>
      </c>
      <c r="P2842" s="21" t="s">
        <v>2359</v>
      </c>
      <c r="Q2842" s="21" t="s">
        <v>2359</v>
      </c>
      <c r="R2842" s="21" t="s">
        <v>2359</v>
      </c>
      <c r="S2842" s="21" t="s">
        <v>2359</v>
      </c>
      <c r="T2842" s="21" t="s">
        <v>2359</v>
      </c>
      <c r="U2842" s="21" t="s">
        <v>2359</v>
      </c>
      <c r="V2842" s="21" t="s">
        <v>2359</v>
      </c>
      <c r="W2842" s="21" t="s">
        <v>2359</v>
      </c>
      <c r="X2842" s="198" t="s">
        <v>2272</v>
      </c>
      <c r="Y2842" s="198" t="s">
        <v>67</v>
      </c>
      <c r="Z2842" s="198" t="s">
        <v>84</v>
      </c>
      <c r="AA2842" s="198" t="s">
        <v>75</v>
      </c>
      <c r="AB2842" s="198"/>
      <c r="AC2842" s="198"/>
    </row>
    <row r="2843" spans="1:29" ht="34.5" customHeight="1">
      <c r="A2843" s="147" t="str">
        <f>'Reported burning'!A2843</f>
        <v>305t</v>
      </c>
      <c r="B2843" s="147" t="str">
        <f>'Reported burning'!B2843</f>
        <v>305t.10</v>
      </c>
      <c r="C2843" s="147" t="str">
        <f>'Reported burning'!C2843</f>
        <v>Human, deliberate</v>
      </c>
      <c r="D2843" s="147" t="str">
        <f>'Reported burning'!D2843</f>
        <v>Pyrome management</v>
      </c>
      <c r="E2843" s="147" t="str">
        <f>'Reported burning'!E2843</f>
        <v>Fire suppression agent</v>
      </c>
      <c r="F2843" s="147" t="str">
        <f>'Reported burning'!F2843</f>
        <v>ND</v>
      </c>
      <c r="G2843" s="147" t="str">
        <f>'Reported burning'!G2843</f>
        <v>ND</v>
      </c>
      <c r="H2843" s="147" t="str">
        <f>'Reported burning'!H2843</f>
        <v>Absence</v>
      </c>
      <c r="I2843" s="198"/>
      <c r="J2843" s="21" t="s">
        <v>2359</v>
      </c>
      <c r="K2843" s="21" t="s">
        <v>2359</v>
      </c>
      <c r="L2843" s="21" t="s">
        <v>2359</v>
      </c>
      <c r="M2843" s="21" t="s">
        <v>2359</v>
      </c>
      <c r="N2843" s="21" t="s">
        <v>2359</v>
      </c>
      <c r="O2843" s="21" t="s">
        <v>2359</v>
      </c>
      <c r="P2843" s="21" t="s">
        <v>2359</v>
      </c>
      <c r="Q2843" s="21" t="s">
        <v>2359</v>
      </c>
      <c r="R2843" s="21" t="s">
        <v>2359</v>
      </c>
      <c r="S2843" s="21" t="s">
        <v>2359</v>
      </c>
      <c r="T2843" s="21" t="s">
        <v>2359</v>
      </c>
      <c r="U2843" s="21" t="s">
        <v>2359</v>
      </c>
      <c r="V2843" s="21" t="s">
        <v>2359</v>
      </c>
      <c r="W2843" s="21" t="s">
        <v>2359</v>
      </c>
      <c r="X2843" s="198" t="s">
        <v>2272</v>
      </c>
      <c r="Y2843" s="198" t="s">
        <v>67</v>
      </c>
      <c r="Z2843" s="198" t="s">
        <v>84</v>
      </c>
      <c r="AA2843" s="198" t="s">
        <v>75</v>
      </c>
      <c r="AB2843" s="198"/>
      <c r="AC2843" s="198"/>
    </row>
    <row r="2844" spans="1:29" ht="34.5" customHeight="1">
      <c r="A2844" s="147" t="str">
        <f>'Reported burning'!A2844</f>
        <v>305u</v>
      </c>
      <c r="B2844" s="147" t="str">
        <f>'Reported burning'!B2844</f>
        <v>305u.10</v>
      </c>
      <c r="C2844" s="147" t="str">
        <f>'Reported burning'!C2844</f>
        <v>Human, deliberate</v>
      </c>
      <c r="D2844" s="147" t="str">
        <f>'Reported burning'!D2844</f>
        <v>Pyrome management</v>
      </c>
      <c r="E2844" s="147" t="str">
        <f>'Reported burning'!E2844</f>
        <v>Fire suppression agent</v>
      </c>
      <c r="F2844" s="147" t="str">
        <f>'Reported burning'!F2844</f>
        <v>ND</v>
      </c>
      <c r="G2844" s="147" t="str">
        <f>'Reported burning'!G2844</f>
        <v>ND</v>
      </c>
      <c r="H2844" s="147" t="str">
        <f>'Reported burning'!H2844</f>
        <v>Presence</v>
      </c>
      <c r="I2844" s="198"/>
      <c r="J2844" s="198" t="s">
        <v>2272</v>
      </c>
      <c r="K2844" s="198" t="s">
        <v>2272</v>
      </c>
      <c r="L2844" s="198" t="s">
        <v>2272</v>
      </c>
      <c r="M2844" s="198" t="s">
        <v>2272</v>
      </c>
      <c r="N2844" s="198" t="s">
        <v>2272</v>
      </c>
      <c r="O2844" s="198" t="s">
        <v>2272</v>
      </c>
      <c r="P2844" s="198" t="s">
        <v>2272</v>
      </c>
      <c r="Q2844" s="198" t="s">
        <v>2272</v>
      </c>
      <c r="R2844" s="198" t="s">
        <v>2272</v>
      </c>
      <c r="S2844" s="198" t="s">
        <v>2272</v>
      </c>
      <c r="T2844" s="198" t="s">
        <v>2272</v>
      </c>
      <c r="U2844" s="198" t="s">
        <v>2272</v>
      </c>
      <c r="V2844" s="198" t="s">
        <v>2272</v>
      </c>
      <c r="W2844" s="198" t="s">
        <v>2272</v>
      </c>
      <c r="X2844" s="198" t="s">
        <v>2272</v>
      </c>
      <c r="Y2844" s="198" t="s">
        <v>67</v>
      </c>
      <c r="Z2844" s="198" t="s">
        <v>84</v>
      </c>
      <c r="AA2844" s="198" t="s">
        <v>75</v>
      </c>
      <c r="AB2844" s="198"/>
      <c r="AC2844" s="198"/>
    </row>
    <row r="2845" spans="1:29" ht="34.5" customHeight="1">
      <c r="A2845" s="147" t="str">
        <f>'Reported burning'!A2845</f>
        <v>305v</v>
      </c>
      <c r="B2845" s="147" t="str">
        <f>'Reported burning'!B2845</f>
        <v>305v.10</v>
      </c>
      <c r="C2845" s="147" t="str">
        <f>'Reported burning'!C2845</f>
        <v>Human, deliberate</v>
      </c>
      <c r="D2845" s="147" t="str">
        <f>'Reported burning'!D2845</f>
        <v>Pyrome management</v>
      </c>
      <c r="E2845" s="147" t="str">
        <f>'Reported burning'!E2845</f>
        <v>Fire suppression agent</v>
      </c>
      <c r="F2845" s="147" t="str">
        <f>'Reported burning'!F2845</f>
        <v>ND</v>
      </c>
      <c r="G2845" s="147" t="str">
        <f>'Reported burning'!G2845</f>
        <v>ND</v>
      </c>
      <c r="H2845" s="147" t="str">
        <f>'Reported burning'!H2845</f>
        <v>Presence</v>
      </c>
      <c r="I2845" s="198"/>
      <c r="J2845" s="198" t="s">
        <v>2272</v>
      </c>
      <c r="K2845" s="198" t="s">
        <v>2272</v>
      </c>
      <c r="L2845" s="198" t="s">
        <v>2272</v>
      </c>
      <c r="M2845" s="198" t="s">
        <v>2272</v>
      </c>
      <c r="N2845" s="198" t="s">
        <v>2272</v>
      </c>
      <c r="O2845" s="198" t="s">
        <v>2272</v>
      </c>
      <c r="P2845" s="198" t="s">
        <v>2272</v>
      </c>
      <c r="Q2845" s="198" t="s">
        <v>2272</v>
      </c>
      <c r="R2845" s="198" t="s">
        <v>2272</v>
      </c>
      <c r="S2845" s="198" t="s">
        <v>2272</v>
      </c>
      <c r="T2845" s="198" t="s">
        <v>2272</v>
      </c>
      <c r="U2845" s="198" t="s">
        <v>2272</v>
      </c>
      <c r="V2845" s="198" t="s">
        <v>2272</v>
      </c>
      <c r="W2845" s="198" t="s">
        <v>2272</v>
      </c>
      <c r="X2845" s="198" t="s">
        <v>2272</v>
      </c>
      <c r="Y2845" s="198" t="s">
        <v>67</v>
      </c>
      <c r="Z2845" s="198" t="s">
        <v>84</v>
      </c>
      <c r="AA2845" s="198" t="s">
        <v>75</v>
      </c>
      <c r="AB2845" s="198"/>
      <c r="AC2845" s="198"/>
    </row>
    <row r="2846" spans="1:29" ht="34.5" customHeight="1">
      <c r="A2846" s="147" t="str">
        <f>'Reported burning'!A2846</f>
        <v>305w</v>
      </c>
      <c r="B2846" s="147" t="str">
        <f>'Reported burning'!B2846</f>
        <v>305w.10</v>
      </c>
      <c r="C2846" s="147" t="str">
        <f>'Reported burning'!C2846</f>
        <v>Human, deliberate</v>
      </c>
      <c r="D2846" s="147" t="str">
        <f>'Reported burning'!D2846</f>
        <v>Pyrome management</v>
      </c>
      <c r="E2846" s="147" t="str">
        <f>'Reported burning'!E2846</f>
        <v>Fire suppression agent</v>
      </c>
      <c r="F2846" s="147" t="str">
        <f>'Reported burning'!F2846</f>
        <v>ND</v>
      </c>
      <c r="G2846" s="147" t="str">
        <f>'Reported burning'!G2846</f>
        <v>ND</v>
      </c>
      <c r="H2846" s="147" t="str">
        <f>'Reported burning'!H2846</f>
        <v>Presence</v>
      </c>
      <c r="I2846" s="198"/>
      <c r="J2846" s="198" t="s">
        <v>2272</v>
      </c>
      <c r="K2846" s="198" t="s">
        <v>2272</v>
      </c>
      <c r="L2846" s="198" t="s">
        <v>2272</v>
      </c>
      <c r="M2846" s="198" t="s">
        <v>2272</v>
      </c>
      <c r="N2846" s="198" t="s">
        <v>2272</v>
      </c>
      <c r="O2846" s="198" t="s">
        <v>2272</v>
      </c>
      <c r="P2846" s="198" t="s">
        <v>2272</v>
      </c>
      <c r="Q2846" s="198" t="s">
        <v>2272</v>
      </c>
      <c r="R2846" s="198" t="s">
        <v>2272</v>
      </c>
      <c r="S2846" s="198" t="s">
        <v>2272</v>
      </c>
      <c r="T2846" s="198" t="s">
        <v>2272</v>
      </c>
      <c r="U2846" s="198" t="s">
        <v>2272</v>
      </c>
      <c r="V2846" s="198" t="s">
        <v>2272</v>
      </c>
      <c r="W2846" s="198" t="s">
        <v>2272</v>
      </c>
      <c r="X2846" s="198" t="s">
        <v>2272</v>
      </c>
      <c r="Y2846" s="198" t="s">
        <v>67</v>
      </c>
      <c r="Z2846" s="198" t="s">
        <v>84</v>
      </c>
      <c r="AA2846" s="198" t="s">
        <v>75</v>
      </c>
      <c r="AB2846" s="198"/>
      <c r="AC2846" s="198"/>
    </row>
    <row r="2847" spans="1:29" ht="34.5" customHeight="1">
      <c r="A2847" s="147" t="str">
        <f>'Reported burning'!A2847</f>
        <v>305x</v>
      </c>
      <c r="B2847" s="147" t="str">
        <f>'Reported burning'!B2847</f>
        <v>305x.10</v>
      </c>
      <c r="C2847" s="147" t="str">
        <f>'Reported burning'!C2847</f>
        <v>Human, deliberate</v>
      </c>
      <c r="D2847" s="147" t="str">
        <f>'Reported burning'!D2847</f>
        <v>Pyrome management</v>
      </c>
      <c r="E2847" s="147" t="str">
        <f>'Reported burning'!E2847</f>
        <v>Fire suppression agent</v>
      </c>
      <c r="F2847" s="147" t="str">
        <f>'Reported burning'!F2847</f>
        <v>ND</v>
      </c>
      <c r="G2847" s="147" t="str">
        <f>'Reported burning'!G2847</f>
        <v>ND</v>
      </c>
      <c r="H2847" s="147" t="str">
        <f>'Reported burning'!H2847</f>
        <v>Presence</v>
      </c>
      <c r="I2847" s="198"/>
      <c r="J2847" s="198" t="s">
        <v>2272</v>
      </c>
      <c r="K2847" s="198" t="s">
        <v>2272</v>
      </c>
      <c r="L2847" s="198" t="s">
        <v>2272</v>
      </c>
      <c r="M2847" s="198" t="s">
        <v>2272</v>
      </c>
      <c r="N2847" s="198" t="s">
        <v>2272</v>
      </c>
      <c r="O2847" s="198" t="s">
        <v>2272</v>
      </c>
      <c r="P2847" s="198" t="s">
        <v>2272</v>
      </c>
      <c r="Q2847" s="198" t="s">
        <v>2272</v>
      </c>
      <c r="R2847" s="198" t="s">
        <v>2272</v>
      </c>
      <c r="S2847" s="198" t="s">
        <v>2272</v>
      </c>
      <c r="T2847" s="198" t="s">
        <v>2272</v>
      </c>
      <c r="U2847" s="198" t="s">
        <v>2272</v>
      </c>
      <c r="V2847" s="198" t="s">
        <v>2272</v>
      </c>
      <c r="W2847" s="198" t="s">
        <v>2272</v>
      </c>
      <c r="X2847" s="198" t="s">
        <v>2272</v>
      </c>
      <c r="Y2847" s="198" t="s">
        <v>67</v>
      </c>
      <c r="Z2847" s="198" t="s">
        <v>84</v>
      </c>
      <c r="AA2847" s="198" t="s">
        <v>75</v>
      </c>
      <c r="AB2847" s="198"/>
      <c r="AC2847" s="198"/>
    </row>
    <row r="2848" spans="1:29" ht="34.5" customHeight="1">
      <c r="A2848" s="147" t="str">
        <f>'Reported burning'!A2848</f>
        <v>305y</v>
      </c>
      <c r="B2848" s="147" t="str">
        <f>'Reported burning'!B2848</f>
        <v>305y.10</v>
      </c>
      <c r="C2848" s="147" t="str">
        <f>'Reported burning'!C2848</f>
        <v>Human, deliberate</v>
      </c>
      <c r="D2848" s="147" t="str">
        <f>'Reported burning'!D2848</f>
        <v>Pyrome management</v>
      </c>
      <c r="E2848" s="147" t="str">
        <f>'Reported burning'!E2848</f>
        <v>Fire suppression agent</v>
      </c>
      <c r="F2848" s="147" t="str">
        <f>'Reported burning'!F2848</f>
        <v>ND</v>
      </c>
      <c r="G2848" s="147" t="str">
        <f>'Reported burning'!G2848</f>
        <v>ND</v>
      </c>
      <c r="H2848" s="147" t="str">
        <f>'Reported burning'!H2848</f>
        <v>Presence</v>
      </c>
      <c r="I2848" s="198"/>
      <c r="J2848" s="198" t="s">
        <v>2272</v>
      </c>
      <c r="K2848" s="198" t="s">
        <v>2272</v>
      </c>
      <c r="L2848" s="198" t="s">
        <v>2272</v>
      </c>
      <c r="M2848" s="198" t="s">
        <v>2272</v>
      </c>
      <c r="N2848" s="198" t="s">
        <v>2272</v>
      </c>
      <c r="O2848" s="198" t="s">
        <v>2272</v>
      </c>
      <c r="P2848" s="198" t="s">
        <v>2272</v>
      </c>
      <c r="Q2848" s="198" t="s">
        <v>2272</v>
      </c>
      <c r="R2848" s="198" t="s">
        <v>2272</v>
      </c>
      <c r="S2848" s="198" t="s">
        <v>2272</v>
      </c>
      <c r="T2848" s="198" t="s">
        <v>2272</v>
      </c>
      <c r="U2848" s="198" t="s">
        <v>2272</v>
      </c>
      <c r="V2848" s="198" t="s">
        <v>2272</v>
      </c>
      <c r="W2848" s="198" t="s">
        <v>2272</v>
      </c>
      <c r="X2848" s="198" t="s">
        <v>2272</v>
      </c>
      <c r="Y2848" s="198" t="s">
        <v>67</v>
      </c>
      <c r="Z2848" s="198" t="s">
        <v>84</v>
      </c>
      <c r="AA2848" s="198" t="s">
        <v>75</v>
      </c>
      <c r="AB2848" s="198"/>
      <c r="AC2848" s="198"/>
    </row>
    <row r="2849" spans="1:29" ht="34.5" customHeight="1">
      <c r="A2849" s="147" t="str">
        <f>'Reported burning'!A2849</f>
        <v>305z</v>
      </c>
      <c r="B2849" s="147" t="str">
        <f>'Reported burning'!B2849</f>
        <v>305z.10</v>
      </c>
      <c r="C2849" s="147" t="str">
        <f>'Reported burning'!C2849</f>
        <v>Human, deliberate</v>
      </c>
      <c r="D2849" s="147" t="str">
        <f>'Reported burning'!D2849</f>
        <v>Pyrome management</v>
      </c>
      <c r="E2849" s="147" t="str">
        <f>'Reported burning'!E2849</f>
        <v>Fire suppression agent</v>
      </c>
      <c r="F2849" s="147" t="str">
        <f>'Reported burning'!F2849</f>
        <v>ND</v>
      </c>
      <c r="G2849" s="147" t="str">
        <f>'Reported burning'!G2849</f>
        <v>ND</v>
      </c>
      <c r="H2849" s="147" t="str">
        <f>'Reported burning'!H2849</f>
        <v>Presence</v>
      </c>
      <c r="I2849" s="198"/>
      <c r="J2849" s="198" t="s">
        <v>2272</v>
      </c>
      <c r="K2849" s="198" t="s">
        <v>2272</v>
      </c>
      <c r="L2849" s="198" t="s">
        <v>2272</v>
      </c>
      <c r="M2849" s="198" t="s">
        <v>2272</v>
      </c>
      <c r="N2849" s="198" t="s">
        <v>2272</v>
      </c>
      <c r="O2849" s="198" t="s">
        <v>2272</v>
      </c>
      <c r="P2849" s="198" t="s">
        <v>2272</v>
      </c>
      <c r="Q2849" s="198" t="s">
        <v>2272</v>
      </c>
      <c r="R2849" s="198" t="s">
        <v>2272</v>
      </c>
      <c r="S2849" s="198" t="s">
        <v>2272</v>
      </c>
      <c r="T2849" s="198" t="s">
        <v>2272</v>
      </c>
      <c r="U2849" s="198" t="s">
        <v>2272</v>
      </c>
      <c r="V2849" s="198" t="s">
        <v>2272</v>
      </c>
      <c r="W2849" s="198" t="s">
        <v>2272</v>
      </c>
      <c r="X2849" s="198" t="s">
        <v>2272</v>
      </c>
      <c r="Y2849" s="198" t="s">
        <v>67</v>
      </c>
      <c r="Z2849" s="198" t="s">
        <v>84</v>
      </c>
      <c r="AA2849" s="198" t="s">
        <v>75</v>
      </c>
      <c r="AB2849" s="198"/>
      <c r="AC2849" s="198"/>
    </row>
    <row r="2850" spans="1:29" ht="34.5" customHeight="1">
      <c r="A2850" s="147" t="str">
        <f>'Reported burning'!A2850</f>
        <v>305aa</v>
      </c>
      <c r="B2850" s="147" t="str">
        <f>'Reported burning'!B2850</f>
        <v>305aa.10</v>
      </c>
      <c r="C2850" s="147" t="str">
        <f>'Reported burning'!C2850</f>
        <v>Human, deliberate</v>
      </c>
      <c r="D2850" s="147" t="str">
        <f>'Reported burning'!D2850</f>
        <v>Pyrome management</v>
      </c>
      <c r="E2850" s="147" t="str">
        <f>'Reported burning'!E2850</f>
        <v>Fire suppression agent</v>
      </c>
      <c r="F2850" s="147" t="str">
        <f>'Reported burning'!F2850</f>
        <v>ND</v>
      </c>
      <c r="G2850" s="147" t="str">
        <f>'Reported burning'!G2850</f>
        <v>ND</v>
      </c>
      <c r="H2850" s="147" t="str">
        <f>'Reported burning'!H2850</f>
        <v>Presence</v>
      </c>
      <c r="I2850" s="198"/>
      <c r="J2850" s="198" t="s">
        <v>2272</v>
      </c>
      <c r="K2850" s="198" t="s">
        <v>2272</v>
      </c>
      <c r="L2850" s="198" t="s">
        <v>2272</v>
      </c>
      <c r="M2850" s="198" t="s">
        <v>2272</v>
      </c>
      <c r="N2850" s="198" t="s">
        <v>2272</v>
      </c>
      <c r="O2850" s="198" t="s">
        <v>2272</v>
      </c>
      <c r="P2850" s="198" t="s">
        <v>2272</v>
      </c>
      <c r="Q2850" s="198" t="s">
        <v>2272</v>
      </c>
      <c r="R2850" s="198" t="s">
        <v>2272</v>
      </c>
      <c r="S2850" s="198" t="s">
        <v>2272</v>
      </c>
      <c r="T2850" s="198" t="s">
        <v>2272</v>
      </c>
      <c r="U2850" s="198" t="s">
        <v>2272</v>
      </c>
      <c r="V2850" s="198" t="s">
        <v>2272</v>
      </c>
      <c r="W2850" s="198" t="s">
        <v>2272</v>
      </c>
      <c r="X2850" s="198" t="s">
        <v>2272</v>
      </c>
      <c r="Y2850" s="198" t="s">
        <v>67</v>
      </c>
      <c r="Z2850" s="198" t="s">
        <v>84</v>
      </c>
      <c r="AA2850" s="198" t="s">
        <v>75</v>
      </c>
      <c r="AB2850" s="198"/>
      <c r="AC2850" s="198"/>
    </row>
    <row r="2851" spans="1:29" ht="34.5" customHeight="1">
      <c r="A2851" s="147" t="str">
        <f>'Reported burning'!A2851</f>
        <v>305ab</v>
      </c>
      <c r="B2851" s="147" t="str">
        <f>'Reported burning'!B2851</f>
        <v>305ab.10</v>
      </c>
      <c r="C2851" s="147" t="str">
        <f>'Reported burning'!C2851</f>
        <v>Human, deliberate</v>
      </c>
      <c r="D2851" s="147" t="str">
        <f>'Reported burning'!D2851</f>
        <v>Pyrome management</v>
      </c>
      <c r="E2851" s="147" t="str">
        <f>'Reported burning'!E2851</f>
        <v>Fire suppression agent</v>
      </c>
      <c r="F2851" s="147" t="str">
        <f>'Reported burning'!F2851</f>
        <v>ND</v>
      </c>
      <c r="G2851" s="147" t="str">
        <f>'Reported burning'!G2851</f>
        <v>ND</v>
      </c>
      <c r="H2851" s="147" t="str">
        <f>'Reported burning'!H2851</f>
        <v>Presence</v>
      </c>
      <c r="I2851" s="198"/>
      <c r="J2851" s="198" t="s">
        <v>2272</v>
      </c>
      <c r="K2851" s="198" t="s">
        <v>2272</v>
      </c>
      <c r="L2851" s="198" t="s">
        <v>2272</v>
      </c>
      <c r="M2851" s="198" t="s">
        <v>2272</v>
      </c>
      <c r="N2851" s="198" t="s">
        <v>2272</v>
      </c>
      <c r="O2851" s="198" t="s">
        <v>2272</v>
      </c>
      <c r="P2851" s="198" t="s">
        <v>2272</v>
      </c>
      <c r="Q2851" s="198" t="s">
        <v>2272</v>
      </c>
      <c r="R2851" s="198" t="s">
        <v>2272</v>
      </c>
      <c r="S2851" s="198" t="s">
        <v>2272</v>
      </c>
      <c r="T2851" s="198" t="s">
        <v>2272</v>
      </c>
      <c r="U2851" s="198" t="s">
        <v>2272</v>
      </c>
      <c r="V2851" s="198" t="s">
        <v>2272</v>
      </c>
      <c r="W2851" s="198" t="s">
        <v>2272</v>
      </c>
      <c r="X2851" s="198" t="s">
        <v>2272</v>
      </c>
      <c r="Y2851" s="198" t="s">
        <v>67</v>
      </c>
      <c r="Z2851" s="198" t="s">
        <v>84</v>
      </c>
      <c r="AA2851" s="198" t="s">
        <v>75</v>
      </c>
      <c r="AB2851" s="198"/>
      <c r="AC2851" s="198"/>
    </row>
    <row r="2852" spans="1:29" ht="34.5" customHeight="1">
      <c r="A2852" s="147" t="str">
        <f>'Reported burning'!A2852</f>
        <v>305ac</v>
      </c>
      <c r="B2852" s="147" t="str">
        <f>'Reported burning'!B2852</f>
        <v>305ac.10</v>
      </c>
      <c r="C2852" s="147" t="str">
        <f>'Reported burning'!C2852</f>
        <v>Human, deliberate</v>
      </c>
      <c r="D2852" s="147" t="str">
        <f>'Reported burning'!D2852</f>
        <v>Pyrome management</v>
      </c>
      <c r="E2852" s="147" t="str">
        <f>'Reported burning'!E2852</f>
        <v>Fire suppression agent</v>
      </c>
      <c r="F2852" s="147" t="str">
        <f>'Reported burning'!F2852</f>
        <v>ND</v>
      </c>
      <c r="G2852" s="147" t="str">
        <f>'Reported burning'!G2852</f>
        <v>ND</v>
      </c>
      <c r="H2852" s="147" t="str">
        <f>'Reported burning'!H2852</f>
        <v>Presence</v>
      </c>
      <c r="I2852" s="198"/>
      <c r="J2852" s="198" t="s">
        <v>2272</v>
      </c>
      <c r="K2852" s="198" t="s">
        <v>2272</v>
      </c>
      <c r="L2852" s="198" t="s">
        <v>2272</v>
      </c>
      <c r="M2852" s="198" t="s">
        <v>2272</v>
      </c>
      <c r="N2852" s="198" t="s">
        <v>2272</v>
      </c>
      <c r="O2852" s="198" t="s">
        <v>2272</v>
      </c>
      <c r="P2852" s="198" t="s">
        <v>2272</v>
      </c>
      <c r="Q2852" s="198" t="s">
        <v>2272</v>
      </c>
      <c r="R2852" s="198" t="s">
        <v>2272</v>
      </c>
      <c r="S2852" s="198" t="s">
        <v>2272</v>
      </c>
      <c r="T2852" s="198" t="s">
        <v>2272</v>
      </c>
      <c r="U2852" s="198" t="s">
        <v>2272</v>
      </c>
      <c r="V2852" s="198" t="s">
        <v>2272</v>
      </c>
      <c r="W2852" s="198" t="s">
        <v>2272</v>
      </c>
      <c r="X2852" s="198" t="s">
        <v>2272</v>
      </c>
      <c r="Y2852" s="198" t="s">
        <v>67</v>
      </c>
      <c r="Z2852" s="198" t="s">
        <v>84</v>
      </c>
      <c r="AA2852" s="198" t="s">
        <v>75</v>
      </c>
      <c r="AB2852" s="198"/>
      <c r="AC2852" s="198"/>
    </row>
    <row r="2853" spans="1:29" ht="34.5" customHeight="1">
      <c r="A2853" s="147" t="str">
        <f>'Reported burning'!A2853</f>
        <v>305ad</v>
      </c>
      <c r="B2853" s="147" t="str">
        <f>'Reported burning'!B2853</f>
        <v>305ad.10</v>
      </c>
      <c r="C2853" s="147" t="str">
        <f>'Reported burning'!C2853</f>
        <v>Human, deliberate</v>
      </c>
      <c r="D2853" s="147" t="str">
        <f>'Reported burning'!D2853</f>
        <v>Pyrome management</v>
      </c>
      <c r="E2853" s="147" t="str">
        <f>'Reported burning'!E2853</f>
        <v>Fire suppression agent</v>
      </c>
      <c r="F2853" s="147" t="str">
        <f>'Reported burning'!F2853</f>
        <v>ND</v>
      </c>
      <c r="G2853" s="147" t="str">
        <f>'Reported burning'!G2853</f>
        <v>ND</v>
      </c>
      <c r="H2853" s="147" t="str">
        <f>'Reported burning'!H2853</f>
        <v>Presence</v>
      </c>
      <c r="I2853" s="198"/>
      <c r="J2853" s="198" t="s">
        <v>2272</v>
      </c>
      <c r="K2853" s="198" t="s">
        <v>2272</v>
      </c>
      <c r="L2853" s="198" t="s">
        <v>2272</v>
      </c>
      <c r="M2853" s="198" t="s">
        <v>2272</v>
      </c>
      <c r="N2853" s="198" t="s">
        <v>2272</v>
      </c>
      <c r="O2853" s="198" t="s">
        <v>2272</v>
      </c>
      <c r="P2853" s="198" t="s">
        <v>2272</v>
      </c>
      <c r="Q2853" s="198" t="s">
        <v>2272</v>
      </c>
      <c r="R2853" s="198" t="s">
        <v>2272</v>
      </c>
      <c r="S2853" s="198" t="s">
        <v>2272</v>
      </c>
      <c r="T2853" s="198" t="s">
        <v>2272</v>
      </c>
      <c r="U2853" s="198" t="s">
        <v>2272</v>
      </c>
      <c r="V2853" s="198" t="s">
        <v>2272</v>
      </c>
      <c r="W2853" s="198" t="s">
        <v>2272</v>
      </c>
      <c r="X2853" s="198" t="s">
        <v>2272</v>
      </c>
      <c r="Y2853" s="198" t="s">
        <v>67</v>
      </c>
      <c r="Z2853" s="198" t="s">
        <v>84</v>
      </c>
      <c r="AA2853" s="198" t="s">
        <v>75</v>
      </c>
      <c r="AB2853" s="198"/>
      <c r="AC2853" s="198"/>
    </row>
    <row r="2854" spans="1:29" ht="34.5" customHeight="1">
      <c r="A2854" s="147" t="str">
        <f>'Reported burning'!A2854</f>
        <v>305ae</v>
      </c>
      <c r="B2854" s="147" t="str">
        <f>'Reported burning'!B2854</f>
        <v>305ae.10</v>
      </c>
      <c r="C2854" s="147" t="str">
        <f>'Reported burning'!C2854</f>
        <v>Human, deliberate</v>
      </c>
      <c r="D2854" s="147" t="str">
        <f>'Reported burning'!D2854</f>
        <v>Pyrome management</v>
      </c>
      <c r="E2854" s="147" t="str">
        <f>'Reported burning'!E2854</f>
        <v>Fire suppression agent</v>
      </c>
      <c r="F2854" s="147" t="str">
        <f>'Reported burning'!F2854</f>
        <v>ND</v>
      </c>
      <c r="G2854" s="147" t="str">
        <f>'Reported burning'!G2854</f>
        <v>ND</v>
      </c>
      <c r="H2854" s="147" t="str">
        <f>'Reported burning'!H2854</f>
        <v>Presence</v>
      </c>
      <c r="I2854" s="198"/>
      <c r="J2854" s="198" t="s">
        <v>2272</v>
      </c>
      <c r="K2854" s="198" t="s">
        <v>2272</v>
      </c>
      <c r="L2854" s="198" t="s">
        <v>2272</v>
      </c>
      <c r="M2854" s="198" t="s">
        <v>2272</v>
      </c>
      <c r="N2854" s="198" t="s">
        <v>2272</v>
      </c>
      <c r="O2854" s="198" t="s">
        <v>2272</v>
      </c>
      <c r="P2854" s="198" t="s">
        <v>2272</v>
      </c>
      <c r="Q2854" s="198" t="s">
        <v>2272</v>
      </c>
      <c r="R2854" s="198" t="s">
        <v>2272</v>
      </c>
      <c r="S2854" s="198" t="s">
        <v>2272</v>
      </c>
      <c r="T2854" s="198" t="s">
        <v>2272</v>
      </c>
      <c r="U2854" s="198" t="s">
        <v>2272</v>
      </c>
      <c r="V2854" s="198" t="s">
        <v>2272</v>
      </c>
      <c r="W2854" s="198" t="s">
        <v>2272</v>
      </c>
      <c r="X2854" s="198" t="s">
        <v>2272</v>
      </c>
      <c r="Y2854" s="198" t="s">
        <v>67</v>
      </c>
      <c r="Z2854" s="198" t="s">
        <v>84</v>
      </c>
      <c r="AA2854" s="198" t="s">
        <v>75</v>
      </c>
      <c r="AB2854" s="198"/>
      <c r="AC2854" s="198"/>
    </row>
    <row r="2855" spans="1:29" ht="34.5" customHeight="1">
      <c r="A2855" s="151" t="str">
        <f>'Reported burning'!A2855</f>
        <v>305af</v>
      </c>
      <c r="B2855" s="151" t="str">
        <f>'Reported burning'!B2855</f>
        <v>305af.1</v>
      </c>
      <c r="C2855" s="151" t="str">
        <f>'Reported burning'!C2855</f>
        <v>Human, deliberate</v>
      </c>
      <c r="D2855" s="151" t="str">
        <f>'Reported burning'!D2855</f>
        <v>Pyrome management</v>
      </c>
      <c r="E2855" s="151" t="str">
        <f>'Reported burning'!E2855</f>
        <v>Fire suppression agent</v>
      </c>
      <c r="F2855" s="151" t="str">
        <f>'Reported burning'!F2855</f>
        <v>ND</v>
      </c>
      <c r="G2855" s="151" t="str">
        <f>'Reported burning'!G2855</f>
        <v>ND</v>
      </c>
      <c r="H2855" s="151" t="str">
        <f>'Reported burning'!H2855</f>
        <v>Presence</v>
      </c>
      <c r="I2855" s="5"/>
      <c r="J2855" s="198" t="s">
        <v>2272</v>
      </c>
      <c r="K2855" s="198" t="s">
        <v>2272</v>
      </c>
      <c r="L2855" s="198" t="s">
        <v>2272</v>
      </c>
      <c r="M2855" s="198" t="s">
        <v>2272</v>
      </c>
      <c r="N2855" s="198" t="s">
        <v>2272</v>
      </c>
      <c r="O2855" s="198" t="s">
        <v>2272</v>
      </c>
      <c r="P2855" s="198" t="s">
        <v>2272</v>
      </c>
      <c r="Q2855" s="198" t="s">
        <v>2272</v>
      </c>
      <c r="R2855" s="198" t="s">
        <v>2272</v>
      </c>
      <c r="S2855" s="198" t="s">
        <v>2272</v>
      </c>
      <c r="T2855" s="198" t="s">
        <v>2272</v>
      </c>
      <c r="U2855" s="198" t="s">
        <v>2272</v>
      </c>
      <c r="V2855" s="198" t="s">
        <v>2272</v>
      </c>
      <c r="W2855" s="198" t="s">
        <v>2272</v>
      </c>
      <c r="X2855" s="198" t="s">
        <v>2272</v>
      </c>
      <c r="Y2855" s="198" t="s">
        <v>186</v>
      </c>
      <c r="Z2855" s="198" t="s">
        <v>187</v>
      </c>
      <c r="AA2855" s="198" t="s">
        <v>63</v>
      </c>
      <c r="AB2855" s="198"/>
      <c r="AC2855" s="198"/>
    </row>
    <row r="2856" spans="1:29" ht="34.5" customHeight="1">
      <c r="A2856" s="151" t="str">
        <f>'Reported burning'!A2856</f>
        <v>305af</v>
      </c>
      <c r="B2856" s="151" t="str">
        <f>'Reported burning'!B2856</f>
        <v>305af.2</v>
      </c>
      <c r="C2856" s="151" t="str">
        <f>'Reported burning'!C2856</f>
        <v>Human, deliberate</v>
      </c>
      <c r="D2856" s="151" t="str">
        <f>'Reported burning'!D2856</f>
        <v>Pyrome management</v>
      </c>
      <c r="E2856" s="151" t="str">
        <f>'Reported burning'!E2856</f>
        <v>Fire suppression agent</v>
      </c>
      <c r="F2856" s="151" t="str">
        <f>'Reported burning'!F2856</f>
        <v>ND</v>
      </c>
      <c r="G2856" s="151" t="str">
        <f>'Reported burning'!G2856</f>
        <v>ND</v>
      </c>
      <c r="H2856" s="151" t="str">
        <f>'Reported burning'!H2856</f>
        <v>Presence</v>
      </c>
      <c r="I2856" s="5"/>
      <c r="J2856" s="198" t="s">
        <v>2272</v>
      </c>
      <c r="K2856" s="198" t="s">
        <v>2272</v>
      </c>
      <c r="L2856" s="198" t="s">
        <v>2272</v>
      </c>
      <c r="M2856" s="198" t="s">
        <v>2272</v>
      </c>
      <c r="N2856" s="198" t="s">
        <v>2272</v>
      </c>
      <c r="O2856" s="198" t="s">
        <v>2272</v>
      </c>
      <c r="P2856" s="198" t="s">
        <v>2272</v>
      </c>
      <c r="Q2856" s="198" t="s">
        <v>2272</v>
      </c>
      <c r="R2856" s="198" t="s">
        <v>2272</v>
      </c>
      <c r="S2856" s="198" t="s">
        <v>2272</v>
      </c>
      <c r="T2856" s="198" t="s">
        <v>2272</v>
      </c>
      <c r="U2856" s="198" t="s">
        <v>2272</v>
      </c>
      <c r="V2856" s="198" t="s">
        <v>2272</v>
      </c>
      <c r="W2856" s="198" t="s">
        <v>2272</v>
      </c>
      <c r="X2856" s="198" t="s">
        <v>2272</v>
      </c>
      <c r="Y2856" s="198" t="s">
        <v>186</v>
      </c>
      <c r="Z2856" s="198" t="s">
        <v>187</v>
      </c>
      <c r="AA2856" s="198" t="s">
        <v>63</v>
      </c>
      <c r="AB2856" s="198"/>
      <c r="AC2856" s="198"/>
    </row>
    <row r="2857" spans="1:29" ht="29" customHeight="1">
      <c r="A2857" s="151" t="str">
        <f>'Reported burning'!A2857</f>
        <v>305af</v>
      </c>
      <c r="B2857" s="151" t="str">
        <f>'Reported burning'!B2857</f>
        <v>305af.3</v>
      </c>
      <c r="C2857" s="151" t="str">
        <f>'Reported burning'!C2857</f>
        <v>Human, deliberate</v>
      </c>
      <c r="D2857" s="151" t="str">
        <f>'Reported burning'!D2857</f>
        <v>Pyrome management</v>
      </c>
      <c r="E2857" s="151" t="str">
        <f>'Reported burning'!E2857</f>
        <v>Fire suppression agent</v>
      </c>
      <c r="F2857" s="151" t="str">
        <f>'Reported burning'!F2857</f>
        <v>ND</v>
      </c>
      <c r="G2857" s="151" t="str">
        <f>'Reported burning'!G2857</f>
        <v>ND</v>
      </c>
      <c r="H2857" s="151" t="str">
        <f>'Reported burning'!H2857</f>
        <v>Presence</v>
      </c>
      <c r="I2857" s="5"/>
      <c r="J2857" s="198" t="s">
        <v>2272</v>
      </c>
      <c r="K2857" s="198" t="s">
        <v>2272</v>
      </c>
      <c r="L2857" s="198" t="s">
        <v>2272</v>
      </c>
      <c r="M2857" s="198" t="s">
        <v>2272</v>
      </c>
      <c r="N2857" s="198" t="s">
        <v>2272</v>
      </c>
      <c r="O2857" s="198" t="s">
        <v>2272</v>
      </c>
      <c r="P2857" s="198" t="s">
        <v>2272</v>
      </c>
      <c r="Q2857" s="198" t="s">
        <v>2272</v>
      </c>
      <c r="R2857" s="198" t="s">
        <v>2272</v>
      </c>
      <c r="S2857" s="198" t="s">
        <v>2272</v>
      </c>
      <c r="T2857" s="198" t="s">
        <v>2272</v>
      </c>
      <c r="U2857" s="198" t="s">
        <v>2272</v>
      </c>
      <c r="V2857" s="198" t="s">
        <v>2272</v>
      </c>
      <c r="W2857" s="198" t="s">
        <v>2272</v>
      </c>
      <c r="X2857" s="198" t="s">
        <v>2272</v>
      </c>
      <c r="Y2857" s="198" t="s">
        <v>186</v>
      </c>
      <c r="Z2857" s="198" t="s">
        <v>187</v>
      </c>
      <c r="AA2857" s="198" t="s">
        <v>63</v>
      </c>
      <c r="AB2857" s="198"/>
      <c r="AC2857" s="198"/>
    </row>
    <row r="2858" spans="1:29" ht="29" customHeight="1">
      <c r="A2858" s="151" t="str">
        <f>'Reported burning'!A2858</f>
        <v>305af</v>
      </c>
      <c r="B2858" s="151" t="str">
        <f>'Reported burning'!B2858</f>
        <v>305af.4</v>
      </c>
      <c r="C2858" s="151" t="str">
        <f>'Reported burning'!C2858</f>
        <v>Human, deliberate</v>
      </c>
      <c r="D2858" s="151" t="str">
        <f>'Reported burning'!D2858</f>
        <v>Pyrome management</v>
      </c>
      <c r="E2858" s="151" t="str">
        <f>'Reported burning'!E2858</f>
        <v>Fire suppression agent</v>
      </c>
      <c r="F2858" s="151" t="str">
        <f>'Reported burning'!F2858</f>
        <v>ND</v>
      </c>
      <c r="G2858" s="151" t="str">
        <f>'Reported burning'!G2858</f>
        <v>ND</v>
      </c>
      <c r="H2858" s="151" t="str">
        <f>'Reported burning'!H2858</f>
        <v>Presence</v>
      </c>
      <c r="I2858" s="5"/>
      <c r="J2858" s="198" t="s">
        <v>2272</v>
      </c>
      <c r="K2858" s="198" t="s">
        <v>2272</v>
      </c>
      <c r="L2858" s="198" t="s">
        <v>2272</v>
      </c>
      <c r="M2858" s="198" t="s">
        <v>2272</v>
      </c>
      <c r="N2858" s="198" t="s">
        <v>2272</v>
      </c>
      <c r="O2858" s="198" t="s">
        <v>2272</v>
      </c>
      <c r="P2858" s="198" t="s">
        <v>2272</v>
      </c>
      <c r="Q2858" s="198" t="s">
        <v>2272</v>
      </c>
      <c r="R2858" s="198" t="s">
        <v>2272</v>
      </c>
      <c r="S2858" s="198" t="s">
        <v>2272</v>
      </c>
      <c r="T2858" s="198" t="s">
        <v>2272</v>
      </c>
      <c r="U2858" s="198" t="s">
        <v>2272</v>
      </c>
      <c r="V2858" s="198" t="s">
        <v>2272</v>
      </c>
      <c r="W2858" s="198" t="s">
        <v>2272</v>
      </c>
      <c r="X2858" s="198" t="s">
        <v>2272</v>
      </c>
      <c r="Y2858" s="198" t="s">
        <v>186</v>
      </c>
      <c r="Z2858" s="198" t="s">
        <v>187</v>
      </c>
      <c r="AA2858" s="198" t="s">
        <v>63</v>
      </c>
      <c r="AB2858" s="198"/>
      <c r="AC2858" s="198"/>
    </row>
    <row r="2859" spans="1:29" ht="29" customHeight="1">
      <c r="A2859" s="151" t="str">
        <f>'Reported burning'!A2859</f>
        <v>305af</v>
      </c>
      <c r="B2859" s="151" t="str">
        <f>'Reported burning'!B2859</f>
        <v>305af.5</v>
      </c>
      <c r="C2859" s="151" t="str">
        <f>'Reported burning'!C2859</f>
        <v>Human, deliberate</v>
      </c>
      <c r="D2859" s="151" t="str">
        <f>'Reported burning'!D2859</f>
        <v>Pyrome management</v>
      </c>
      <c r="E2859" s="151" t="str">
        <f>'Reported burning'!E2859</f>
        <v>Fire suppression agent</v>
      </c>
      <c r="F2859" s="151" t="str">
        <f>'Reported burning'!F2859</f>
        <v>ND</v>
      </c>
      <c r="G2859" s="151" t="str">
        <f>'Reported burning'!G2859</f>
        <v>ND</v>
      </c>
      <c r="H2859" s="151" t="str">
        <f>'Reported burning'!H2859</f>
        <v>Presence</v>
      </c>
      <c r="I2859" s="5"/>
      <c r="J2859" s="198" t="s">
        <v>2272</v>
      </c>
      <c r="K2859" s="198" t="s">
        <v>2272</v>
      </c>
      <c r="L2859" s="198" t="s">
        <v>2272</v>
      </c>
      <c r="M2859" s="198" t="s">
        <v>2272</v>
      </c>
      <c r="N2859" s="198" t="s">
        <v>2272</v>
      </c>
      <c r="O2859" s="198" t="s">
        <v>2272</v>
      </c>
      <c r="P2859" s="198" t="s">
        <v>2272</v>
      </c>
      <c r="Q2859" s="198" t="s">
        <v>2272</v>
      </c>
      <c r="R2859" s="198" t="s">
        <v>2272</v>
      </c>
      <c r="S2859" s="198" t="s">
        <v>2272</v>
      </c>
      <c r="T2859" s="198" t="s">
        <v>2272</v>
      </c>
      <c r="U2859" s="198" t="s">
        <v>2272</v>
      </c>
      <c r="V2859" s="198" t="s">
        <v>2272</v>
      </c>
      <c r="W2859" s="198" t="s">
        <v>2272</v>
      </c>
      <c r="X2859" s="198" t="s">
        <v>2272</v>
      </c>
      <c r="Y2859" s="198" t="s">
        <v>186</v>
      </c>
      <c r="Z2859" s="198" t="s">
        <v>187</v>
      </c>
      <c r="AA2859" s="198" t="s">
        <v>63</v>
      </c>
      <c r="AB2859" s="198"/>
      <c r="AC2859" s="198"/>
    </row>
    <row r="2860" spans="1:29" ht="29" customHeight="1">
      <c r="A2860" s="151" t="str">
        <f>'Reported burning'!A2860</f>
        <v>305af</v>
      </c>
      <c r="B2860" s="151" t="str">
        <f>'Reported burning'!B2860</f>
        <v>305af.6</v>
      </c>
      <c r="C2860" s="151" t="str">
        <f>'Reported burning'!C2860</f>
        <v>Human, deliberate</v>
      </c>
      <c r="D2860" s="151" t="str">
        <f>'Reported burning'!D2860</f>
        <v>Pyrome management</v>
      </c>
      <c r="E2860" s="151" t="str">
        <f>'Reported burning'!E2860</f>
        <v>Fire suppression agent</v>
      </c>
      <c r="F2860" s="151" t="str">
        <f>'Reported burning'!F2860</f>
        <v>ND</v>
      </c>
      <c r="G2860" s="151" t="str">
        <f>'Reported burning'!G2860</f>
        <v>ND</v>
      </c>
      <c r="H2860" s="151" t="str">
        <f>'Reported burning'!H2860</f>
        <v>Presence</v>
      </c>
      <c r="I2860" s="5"/>
      <c r="J2860" s="198" t="s">
        <v>2272</v>
      </c>
      <c r="K2860" s="198" t="s">
        <v>2272</v>
      </c>
      <c r="L2860" s="198" t="s">
        <v>2272</v>
      </c>
      <c r="M2860" s="198" t="s">
        <v>2272</v>
      </c>
      <c r="N2860" s="198" t="s">
        <v>2272</v>
      </c>
      <c r="O2860" s="198" t="s">
        <v>2272</v>
      </c>
      <c r="P2860" s="198" t="s">
        <v>2272</v>
      </c>
      <c r="Q2860" s="198" t="s">
        <v>2272</v>
      </c>
      <c r="R2860" s="198" t="s">
        <v>2272</v>
      </c>
      <c r="S2860" s="198" t="s">
        <v>2272</v>
      </c>
      <c r="T2860" s="198" t="s">
        <v>2272</v>
      </c>
      <c r="U2860" s="198" t="s">
        <v>2272</v>
      </c>
      <c r="V2860" s="198" t="s">
        <v>2272</v>
      </c>
      <c r="W2860" s="198" t="s">
        <v>2272</v>
      </c>
      <c r="X2860" s="198" t="s">
        <v>2272</v>
      </c>
      <c r="Y2860" s="198" t="s">
        <v>186</v>
      </c>
      <c r="Z2860" s="198" t="s">
        <v>187</v>
      </c>
      <c r="AA2860" s="198" t="s">
        <v>63</v>
      </c>
      <c r="AB2860" s="198"/>
      <c r="AC2860" s="198"/>
    </row>
    <row r="2861" spans="1:29" ht="29" customHeight="1">
      <c r="A2861" s="151" t="str">
        <f>'Reported burning'!A2861</f>
        <v>305af</v>
      </c>
      <c r="B2861" s="151" t="str">
        <f>'Reported burning'!B2861</f>
        <v>305af.7</v>
      </c>
      <c r="C2861" s="151" t="str">
        <f>'Reported burning'!C2861</f>
        <v>Human, deliberate</v>
      </c>
      <c r="D2861" s="151" t="str">
        <f>'Reported burning'!D2861</f>
        <v>Pyrome management</v>
      </c>
      <c r="E2861" s="151" t="str">
        <f>'Reported burning'!E2861</f>
        <v>Fire suppression agent</v>
      </c>
      <c r="F2861" s="151" t="str">
        <f>'Reported burning'!F2861</f>
        <v>ND</v>
      </c>
      <c r="G2861" s="151" t="str">
        <f>'Reported burning'!G2861</f>
        <v>ND</v>
      </c>
      <c r="H2861" s="151" t="str">
        <f>'Reported burning'!H2861</f>
        <v>Presence</v>
      </c>
      <c r="I2861" s="5"/>
      <c r="J2861" s="198" t="s">
        <v>2272</v>
      </c>
      <c r="K2861" s="198" t="s">
        <v>2272</v>
      </c>
      <c r="L2861" s="198" t="s">
        <v>2272</v>
      </c>
      <c r="M2861" s="198" t="s">
        <v>2272</v>
      </c>
      <c r="N2861" s="198" t="s">
        <v>2272</v>
      </c>
      <c r="O2861" s="198" t="s">
        <v>2272</v>
      </c>
      <c r="P2861" s="198" t="s">
        <v>2272</v>
      </c>
      <c r="Q2861" s="198" t="s">
        <v>2272</v>
      </c>
      <c r="R2861" s="198" t="s">
        <v>2272</v>
      </c>
      <c r="S2861" s="198" t="s">
        <v>2272</v>
      </c>
      <c r="T2861" s="198" t="s">
        <v>2272</v>
      </c>
      <c r="U2861" s="198" t="s">
        <v>2272</v>
      </c>
      <c r="V2861" s="198" t="s">
        <v>2272</v>
      </c>
      <c r="W2861" s="198" t="s">
        <v>2272</v>
      </c>
      <c r="X2861" s="198" t="s">
        <v>2272</v>
      </c>
      <c r="Y2861" s="198" t="s">
        <v>186</v>
      </c>
      <c r="Z2861" s="198" t="s">
        <v>187</v>
      </c>
      <c r="AA2861" s="198" t="s">
        <v>63</v>
      </c>
      <c r="AB2861" s="198"/>
      <c r="AC2861" s="198"/>
    </row>
    <row r="2862" spans="1:29" ht="29" customHeight="1">
      <c r="A2862" s="151" t="str">
        <f>'Reported burning'!A2862</f>
        <v>305af</v>
      </c>
      <c r="B2862" s="151" t="str">
        <f>'Reported burning'!B2862</f>
        <v>305af.8</v>
      </c>
      <c r="C2862" s="151" t="str">
        <f>'Reported burning'!C2862</f>
        <v>Human, deliberate</v>
      </c>
      <c r="D2862" s="151" t="str">
        <f>'Reported burning'!D2862</f>
        <v>Pyrome management</v>
      </c>
      <c r="E2862" s="151" t="str">
        <f>'Reported burning'!E2862</f>
        <v>Fire suppression agent</v>
      </c>
      <c r="F2862" s="151" t="str">
        <f>'Reported burning'!F2862</f>
        <v>ND</v>
      </c>
      <c r="G2862" s="151" t="str">
        <f>'Reported burning'!G2862</f>
        <v>ND</v>
      </c>
      <c r="H2862" s="151" t="str">
        <f>'Reported burning'!H2862</f>
        <v>Presence</v>
      </c>
      <c r="I2862" s="5"/>
      <c r="J2862" s="198" t="s">
        <v>2272</v>
      </c>
      <c r="K2862" s="198" t="s">
        <v>2272</v>
      </c>
      <c r="L2862" s="198" t="s">
        <v>2272</v>
      </c>
      <c r="M2862" s="198" t="s">
        <v>2272</v>
      </c>
      <c r="N2862" s="198" t="s">
        <v>2272</v>
      </c>
      <c r="O2862" s="198" t="s">
        <v>2272</v>
      </c>
      <c r="P2862" s="198" t="s">
        <v>2272</v>
      </c>
      <c r="Q2862" s="198" t="s">
        <v>2272</v>
      </c>
      <c r="R2862" s="198" t="s">
        <v>2272</v>
      </c>
      <c r="S2862" s="198" t="s">
        <v>2272</v>
      </c>
      <c r="T2862" s="198" t="s">
        <v>2272</v>
      </c>
      <c r="U2862" s="198" t="s">
        <v>2272</v>
      </c>
      <c r="V2862" s="198" t="s">
        <v>2272</v>
      </c>
      <c r="W2862" s="198" t="s">
        <v>2272</v>
      </c>
      <c r="X2862" s="198" t="s">
        <v>2272</v>
      </c>
      <c r="Y2862" s="198" t="s">
        <v>186</v>
      </c>
      <c r="Z2862" s="198" t="s">
        <v>187</v>
      </c>
      <c r="AA2862" s="198" t="s">
        <v>63</v>
      </c>
      <c r="AB2862" s="198"/>
      <c r="AC2862" s="198"/>
    </row>
    <row r="2863" spans="1:29" ht="29" customHeight="1">
      <c r="A2863" s="151" t="str">
        <f>'Reported burning'!A2863</f>
        <v>305af</v>
      </c>
      <c r="B2863" s="151" t="str">
        <f>'Reported burning'!B2863</f>
        <v>305af.9</v>
      </c>
      <c r="C2863" s="151" t="str">
        <f>'Reported burning'!C2863</f>
        <v>Human, deliberate</v>
      </c>
      <c r="D2863" s="151" t="str">
        <f>'Reported burning'!D2863</f>
        <v>Pyrome management</v>
      </c>
      <c r="E2863" s="151" t="str">
        <f>'Reported burning'!E2863</f>
        <v>Fire suppression agent</v>
      </c>
      <c r="F2863" s="151" t="str">
        <f>'Reported burning'!F2863</f>
        <v>ND</v>
      </c>
      <c r="G2863" s="151" t="str">
        <f>'Reported burning'!G2863</f>
        <v>ND</v>
      </c>
      <c r="H2863" s="151" t="str">
        <f>'Reported burning'!H2863</f>
        <v>Presence</v>
      </c>
      <c r="I2863" s="5"/>
      <c r="J2863" s="198" t="s">
        <v>2272</v>
      </c>
      <c r="K2863" s="198" t="s">
        <v>2272</v>
      </c>
      <c r="L2863" s="198" t="s">
        <v>2272</v>
      </c>
      <c r="M2863" s="198" t="s">
        <v>2272</v>
      </c>
      <c r="N2863" s="198" t="s">
        <v>2272</v>
      </c>
      <c r="O2863" s="198" t="s">
        <v>2272</v>
      </c>
      <c r="P2863" s="198" t="s">
        <v>2272</v>
      </c>
      <c r="Q2863" s="198" t="s">
        <v>2272</v>
      </c>
      <c r="R2863" s="198" t="s">
        <v>2272</v>
      </c>
      <c r="S2863" s="198" t="s">
        <v>2272</v>
      </c>
      <c r="T2863" s="198" t="s">
        <v>2272</v>
      </c>
      <c r="U2863" s="198" t="s">
        <v>2272</v>
      </c>
      <c r="V2863" s="198" t="s">
        <v>2272</v>
      </c>
      <c r="W2863" s="198" t="s">
        <v>2272</v>
      </c>
      <c r="X2863" s="198" t="s">
        <v>2272</v>
      </c>
      <c r="Y2863" s="198" t="s">
        <v>186</v>
      </c>
      <c r="Z2863" s="198" t="s">
        <v>187</v>
      </c>
      <c r="AA2863" s="198" t="s">
        <v>63</v>
      </c>
      <c r="AB2863" s="198"/>
      <c r="AC2863" s="198"/>
    </row>
    <row r="2864" spans="1:29" ht="29" customHeight="1">
      <c r="A2864" s="151" t="str">
        <f>'Reported burning'!A2864</f>
        <v>305af</v>
      </c>
      <c r="B2864" s="151" t="str">
        <f>'Reported burning'!B2864</f>
        <v>305af.10</v>
      </c>
      <c r="C2864" s="151" t="str">
        <f>'Reported burning'!C2864</f>
        <v>Human, deliberate</v>
      </c>
      <c r="D2864" s="151" t="str">
        <f>'Reported burning'!D2864</f>
        <v>Pyrome management</v>
      </c>
      <c r="E2864" s="151" t="str">
        <f>'Reported burning'!E2864</f>
        <v>Fire suppression agent</v>
      </c>
      <c r="F2864" s="151" t="str">
        <f>'Reported burning'!F2864</f>
        <v>ND</v>
      </c>
      <c r="G2864" s="151" t="str">
        <f>'Reported burning'!G2864</f>
        <v>ND</v>
      </c>
      <c r="H2864" s="151" t="str">
        <f>'Reported burning'!H2864</f>
        <v>Presence</v>
      </c>
      <c r="I2864" s="5"/>
      <c r="J2864" s="198" t="s">
        <v>2272</v>
      </c>
      <c r="K2864" s="198" t="s">
        <v>2272</v>
      </c>
      <c r="L2864" s="198" t="s">
        <v>2272</v>
      </c>
      <c r="M2864" s="198" t="s">
        <v>2272</v>
      </c>
      <c r="N2864" s="198" t="s">
        <v>2272</v>
      </c>
      <c r="O2864" s="198" t="s">
        <v>2272</v>
      </c>
      <c r="P2864" s="198" t="s">
        <v>2272</v>
      </c>
      <c r="Q2864" s="198" t="s">
        <v>2272</v>
      </c>
      <c r="R2864" s="198" t="s">
        <v>2272</v>
      </c>
      <c r="S2864" s="198" t="s">
        <v>2272</v>
      </c>
      <c r="T2864" s="198" t="s">
        <v>2272</v>
      </c>
      <c r="U2864" s="198" t="s">
        <v>2272</v>
      </c>
      <c r="V2864" s="198" t="s">
        <v>2272</v>
      </c>
      <c r="W2864" s="198" t="s">
        <v>2272</v>
      </c>
      <c r="X2864" s="198" t="s">
        <v>2272</v>
      </c>
      <c r="Y2864" s="198" t="s">
        <v>186</v>
      </c>
      <c r="Z2864" s="198" t="s">
        <v>187</v>
      </c>
      <c r="AA2864" s="198" t="s">
        <v>63</v>
      </c>
      <c r="AB2864" s="198"/>
      <c r="AC2864" s="198"/>
    </row>
    <row r="2865" spans="1:29" ht="29" customHeight="1">
      <c r="A2865" s="151" t="str">
        <f>'Reported burning'!A2865</f>
        <v>305af</v>
      </c>
      <c r="B2865" s="151" t="str">
        <f>'Reported burning'!B2865</f>
        <v>305af.11</v>
      </c>
      <c r="C2865" s="151" t="str">
        <f>'Reported burning'!C2865</f>
        <v>Human, deliberate</v>
      </c>
      <c r="D2865" s="151" t="str">
        <f>'Reported burning'!D2865</f>
        <v>Pyrome management</v>
      </c>
      <c r="E2865" s="151" t="str">
        <f>'Reported burning'!E2865</f>
        <v>Fire suppression agent</v>
      </c>
      <c r="F2865" s="151" t="str">
        <f>'Reported burning'!F2865</f>
        <v>ND</v>
      </c>
      <c r="G2865" s="151" t="str">
        <f>'Reported burning'!G2865</f>
        <v>ND</v>
      </c>
      <c r="H2865" s="151" t="str">
        <f>'Reported burning'!H2865</f>
        <v>Presence</v>
      </c>
      <c r="I2865" s="5"/>
      <c r="J2865" s="198" t="s">
        <v>2272</v>
      </c>
      <c r="K2865" s="198" t="s">
        <v>2272</v>
      </c>
      <c r="L2865" s="198" t="s">
        <v>2272</v>
      </c>
      <c r="M2865" s="198" t="s">
        <v>2272</v>
      </c>
      <c r="N2865" s="198" t="s">
        <v>2272</v>
      </c>
      <c r="O2865" s="198" t="s">
        <v>2272</v>
      </c>
      <c r="P2865" s="198" t="s">
        <v>2272</v>
      </c>
      <c r="Q2865" s="198" t="s">
        <v>2272</v>
      </c>
      <c r="R2865" s="198" t="s">
        <v>2272</v>
      </c>
      <c r="S2865" s="198" t="s">
        <v>2272</v>
      </c>
      <c r="T2865" s="198" t="s">
        <v>2272</v>
      </c>
      <c r="U2865" s="198" t="s">
        <v>2272</v>
      </c>
      <c r="V2865" s="198" t="s">
        <v>2272</v>
      </c>
      <c r="W2865" s="198" t="s">
        <v>2272</v>
      </c>
      <c r="X2865" s="198" t="s">
        <v>2272</v>
      </c>
      <c r="Y2865" s="198" t="s">
        <v>186</v>
      </c>
      <c r="Z2865" s="198" t="s">
        <v>187</v>
      </c>
      <c r="AA2865" s="198" t="s">
        <v>63</v>
      </c>
      <c r="AB2865" s="198"/>
      <c r="AC2865" s="198"/>
    </row>
    <row r="2866" spans="1:29" ht="29" customHeight="1">
      <c r="A2866" s="151" t="str">
        <f>'Reported burning'!A2866</f>
        <v>305af</v>
      </c>
      <c r="B2866" s="151" t="str">
        <f>'Reported burning'!B2866</f>
        <v>305af.12</v>
      </c>
      <c r="C2866" s="151" t="str">
        <f>'Reported burning'!C2866</f>
        <v>Human, deliberate</v>
      </c>
      <c r="D2866" s="151" t="str">
        <f>'Reported burning'!D2866</f>
        <v>Pyrome management</v>
      </c>
      <c r="E2866" s="151" t="str">
        <f>'Reported burning'!E2866</f>
        <v>Fire suppression agent</v>
      </c>
      <c r="F2866" s="151" t="str">
        <f>'Reported burning'!F2866</f>
        <v>ND</v>
      </c>
      <c r="G2866" s="151" t="str">
        <f>'Reported burning'!G2866</f>
        <v>ND</v>
      </c>
      <c r="H2866" s="151" t="str">
        <f>'Reported burning'!H2866</f>
        <v>Presence</v>
      </c>
      <c r="I2866" s="5"/>
      <c r="J2866" s="198" t="s">
        <v>2272</v>
      </c>
      <c r="K2866" s="198" t="s">
        <v>2272</v>
      </c>
      <c r="L2866" s="198" t="s">
        <v>2272</v>
      </c>
      <c r="M2866" s="198" t="s">
        <v>2272</v>
      </c>
      <c r="N2866" s="198" t="s">
        <v>2272</v>
      </c>
      <c r="O2866" s="198" t="s">
        <v>2272</v>
      </c>
      <c r="P2866" s="198" t="s">
        <v>2272</v>
      </c>
      <c r="Q2866" s="198" t="s">
        <v>2272</v>
      </c>
      <c r="R2866" s="198" t="s">
        <v>2272</v>
      </c>
      <c r="S2866" s="198" t="s">
        <v>2272</v>
      </c>
      <c r="T2866" s="198" t="s">
        <v>2272</v>
      </c>
      <c r="U2866" s="198" t="s">
        <v>2272</v>
      </c>
      <c r="V2866" s="198" t="s">
        <v>2272</v>
      </c>
      <c r="W2866" s="198" t="s">
        <v>2272</v>
      </c>
      <c r="X2866" s="198" t="s">
        <v>2272</v>
      </c>
      <c r="Y2866" s="198" t="s">
        <v>186</v>
      </c>
      <c r="Z2866" s="198" t="s">
        <v>187</v>
      </c>
      <c r="AA2866" s="198" t="s">
        <v>63</v>
      </c>
      <c r="AB2866" s="198"/>
      <c r="AC2866" s="198"/>
    </row>
    <row r="2867" spans="1:29" ht="29" customHeight="1">
      <c r="A2867" s="151" t="str">
        <f>'Reported burning'!A2867</f>
        <v>305af</v>
      </c>
      <c r="B2867" s="151" t="str">
        <f>'Reported burning'!B2867</f>
        <v>305af.13</v>
      </c>
      <c r="C2867" s="151" t="str">
        <f>'Reported burning'!C2867</f>
        <v>Human, deliberate</v>
      </c>
      <c r="D2867" s="151" t="str">
        <f>'Reported burning'!D2867</f>
        <v>Pyrome management</v>
      </c>
      <c r="E2867" s="151" t="str">
        <f>'Reported burning'!E2867</f>
        <v>Fire suppression agent</v>
      </c>
      <c r="F2867" s="151" t="str">
        <f>'Reported burning'!F2867</f>
        <v>ND</v>
      </c>
      <c r="G2867" s="151" t="str">
        <f>'Reported burning'!G2867</f>
        <v>ND</v>
      </c>
      <c r="H2867" s="151" t="str">
        <f>'Reported burning'!H2867</f>
        <v>Presence</v>
      </c>
      <c r="I2867" s="5"/>
      <c r="J2867" s="198" t="s">
        <v>2272</v>
      </c>
      <c r="K2867" s="198" t="s">
        <v>2272</v>
      </c>
      <c r="L2867" s="198" t="s">
        <v>2272</v>
      </c>
      <c r="M2867" s="198" t="s">
        <v>2272</v>
      </c>
      <c r="N2867" s="198" t="s">
        <v>2272</v>
      </c>
      <c r="O2867" s="198" t="s">
        <v>2272</v>
      </c>
      <c r="P2867" s="198" t="s">
        <v>2272</v>
      </c>
      <c r="Q2867" s="198" t="s">
        <v>2272</v>
      </c>
      <c r="R2867" s="198" t="s">
        <v>2272</v>
      </c>
      <c r="S2867" s="198" t="s">
        <v>2272</v>
      </c>
      <c r="T2867" s="198" t="s">
        <v>2272</v>
      </c>
      <c r="U2867" s="198" t="s">
        <v>2272</v>
      </c>
      <c r="V2867" s="198" t="s">
        <v>2272</v>
      </c>
      <c r="W2867" s="198" t="s">
        <v>2272</v>
      </c>
      <c r="X2867" s="198" t="s">
        <v>2272</v>
      </c>
      <c r="Y2867" s="198" t="s">
        <v>186</v>
      </c>
      <c r="Z2867" s="198" t="s">
        <v>187</v>
      </c>
      <c r="AA2867" s="198" t="s">
        <v>63</v>
      </c>
      <c r="AB2867" s="198"/>
      <c r="AC2867" s="198"/>
    </row>
    <row r="2868" spans="1:29" ht="29" customHeight="1">
      <c r="A2868" s="151" t="str">
        <f>'Reported burning'!A2868</f>
        <v>305af</v>
      </c>
      <c r="B2868" s="151" t="str">
        <f>'Reported burning'!B2868</f>
        <v>305af.14</v>
      </c>
      <c r="C2868" s="151" t="str">
        <f>'Reported burning'!C2868</f>
        <v>Human, deliberate</v>
      </c>
      <c r="D2868" s="151" t="str">
        <f>'Reported burning'!D2868</f>
        <v>Pyrome management</v>
      </c>
      <c r="E2868" s="151" t="str">
        <f>'Reported burning'!E2868</f>
        <v>Fire suppression agent</v>
      </c>
      <c r="F2868" s="151" t="str">
        <f>'Reported burning'!F2868</f>
        <v>ND</v>
      </c>
      <c r="G2868" s="151" t="str">
        <f>'Reported burning'!G2868</f>
        <v>ND</v>
      </c>
      <c r="H2868" s="151" t="str">
        <f>'Reported burning'!H2868</f>
        <v>Presence</v>
      </c>
      <c r="I2868" s="5"/>
      <c r="J2868" s="198" t="s">
        <v>2272</v>
      </c>
      <c r="K2868" s="198" t="s">
        <v>2272</v>
      </c>
      <c r="L2868" s="198" t="s">
        <v>2272</v>
      </c>
      <c r="M2868" s="198" t="s">
        <v>2272</v>
      </c>
      <c r="N2868" s="198" t="s">
        <v>2272</v>
      </c>
      <c r="O2868" s="198" t="s">
        <v>2272</v>
      </c>
      <c r="P2868" s="198" t="s">
        <v>2272</v>
      </c>
      <c r="Q2868" s="198" t="s">
        <v>2272</v>
      </c>
      <c r="R2868" s="198" t="s">
        <v>2272</v>
      </c>
      <c r="S2868" s="198" t="s">
        <v>2272</v>
      </c>
      <c r="T2868" s="198" t="s">
        <v>2272</v>
      </c>
      <c r="U2868" s="198" t="s">
        <v>2272</v>
      </c>
      <c r="V2868" s="198" t="s">
        <v>2272</v>
      </c>
      <c r="W2868" s="198" t="s">
        <v>2272</v>
      </c>
      <c r="X2868" s="198" t="s">
        <v>2272</v>
      </c>
      <c r="Y2868" s="198" t="s">
        <v>186</v>
      </c>
      <c r="Z2868" s="198" t="s">
        <v>187</v>
      </c>
      <c r="AA2868" s="198" t="s">
        <v>63</v>
      </c>
      <c r="AB2868" s="198"/>
      <c r="AC2868" s="198"/>
    </row>
    <row r="2869" spans="1:29" ht="29" customHeight="1">
      <c r="A2869" s="151" t="str">
        <f>'Reported burning'!A2869</f>
        <v>305af</v>
      </c>
      <c r="B2869" s="151" t="str">
        <f>'Reported burning'!B2869</f>
        <v>305af.15</v>
      </c>
      <c r="C2869" s="151" t="str">
        <f>'Reported burning'!C2869</f>
        <v>Human, deliberate</v>
      </c>
      <c r="D2869" s="151" t="str">
        <f>'Reported burning'!D2869</f>
        <v>Pyrome management</v>
      </c>
      <c r="E2869" s="151" t="str">
        <f>'Reported burning'!E2869</f>
        <v>Fire suppression agent</v>
      </c>
      <c r="F2869" s="151" t="str">
        <f>'Reported burning'!F2869</f>
        <v>ND</v>
      </c>
      <c r="G2869" s="151" t="str">
        <f>'Reported burning'!G2869</f>
        <v>ND</v>
      </c>
      <c r="H2869" s="151" t="str">
        <f>'Reported burning'!H2869</f>
        <v>Presence</v>
      </c>
      <c r="I2869" s="5"/>
      <c r="J2869" s="198" t="s">
        <v>2272</v>
      </c>
      <c r="K2869" s="198" t="s">
        <v>2272</v>
      </c>
      <c r="L2869" s="198" t="s">
        <v>2272</v>
      </c>
      <c r="M2869" s="198" t="s">
        <v>2272</v>
      </c>
      <c r="N2869" s="198" t="s">
        <v>2272</v>
      </c>
      <c r="O2869" s="198" t="s">
        <v>2272</v>
      </c>
      <c r="P2869" s="198" t="s">
        <v>2272</v>
      </c>
      <c r="Q2869" s="198" t="s">
        <v>2272</v>
      </c>
      <c r="R2869" s="198" t="s">
        <v>2272</v>
      </c>
      <c r="S2869" s="198" t="s">
        <v>2272</v>
      </c>
      <c r="T2869" s="198" t="s">
        <v>2272</v>
      </c>
      <c r="U2869" s="198" t="s">
        <v>2272</v>
      </c>
      <c r="V2869" s="198" t="s">
        <v>2272</v>
      </c>
      <c r="W2869" s="198" t="s">
        <v>2272</v>
      </c>
      <c r="X2869" s="198" t="s">
        <v>2272</v>
      </c>
      <c r="Y2869" s="198" t="s">
        <v>186</v>
      </c>
      <c r="Z2869" s="198" t="s">
        <v>187</v>
      </c>
      <c r="AA2869" s="198" t="s">
        <v>63</v>
      </c>
      <c r="AB2869" s="198"/>
      <c r="AC2869" s="198"/>
    </row>
    <row r="2870" spans="1:29" ht="29" customHeight="1">
      <c r="A2870" s="151" t="str">
        <f>'Reported burning'!A2870</f>
        <v>305af</v>
      </c>
      <c r="B2870" s="151" t="str">
        <f>'Reported burning'!B2870</f>
        <v>305af.16</v>
      </c>
      <c r="C2870" s="151" t="str">
        <f>'Reported burning'!C2870</f>
        <v>Human, deliberate</v>
      </c>
      <c r="D2870" s="151" t="str">
        <f>'Reported burning'!D2870</f>
        <v>Pyrome management</v>
      </c>
      <c r="E2870" s="151" t="str">
        <f>'Reported burning'!E2870</f>
        <v>Fire suppression agent</v>
      </c>
      <c r="F2870" s="151" t="str">
        <f>'Reported burning'!F2870</f>
        <v>ND</v>
      </c>
      <c r="G2870" s="151" t="str">
        <f>'Reported burning'!G2870</f>
        <v>ND</v>
      </c>
      <c r="H2870" s="151" t="str">
        <f>'Reported burning'!H2870</f>
        <v>Presence</v>
      </c>
      <c r="I2870" s="5"/>
      <c r="J2870" s="198" t="s">
        <v>2272</v>
      </c>
      <c r="K2870" s="198" t="s">
        <v>2272</v>
      </c>
      <c r="L2870" s="198" t="s">
        <v>2272</v>
      </c>
      <c r="M2870" s="198" t="s">
        <v>2272</v>
      </c>
      <c r="N2870" s="198" t="s">
        <v>2272</v>
      </c>
      <c r="O2870" s="198" t="s">
        <v>2272</v>
      </c>
      <c r="P2870" s="198" t="s">
        <v>2272</v>
      </c>
      <c r="Q2870" s="198" t="s">
        <v>2272</v>
      </c>
      <c r="R2870" s="198" t="s">
        <v>2272</v>
      </c>
      <c r="S2870" s="198" t="s">
        <v>2272</v>
      </c>
      <c r="T2870" s="198" t="s">
        <v>2272</v>
      </c>
      <c r="U2870" s="198" t="s">
        <v>2272</v>
      </c>
      <c r="V2870" s="198" t="s">
        <v>2272</v>
      </c>
      <c r="W2870" s="198" t="s">
        <v>2272</v>
      </c>
      <c r="X2870" s="198" t="s">
        <v>2272</v>
      </c>
      <c r="Y2870" s="198" t="s">
        <v>186</v>
      </c>
      <c r="Z2870" s="198" t="s">
        <v>187</v>
      </c>
      <c r="AA2870" s="198" t="s">
        <v>63</v>
      </c>
      <c r="AB2870" s="198"/>
      <c r="AC2870" s="198"/>
    </row>
    <row r="2871" spans="1:29" ht="29" customHeight="1">
      <c r="A2871" s="151" t="str">
        <f>'Reported burning'!A2871</f>
        <v>305af</v>
      </c>
      <c r="B2871" s="151" t="str">
        <f>'Reported burning'!B2871</f>
        <v>305af.17</v>
      </c>
      <c r="C2871" s="151" t="str">
        <f>'Reported burning'!C2871</f>
        <v>Human, deliberate</v>
      </c>
      <c r="D2871" s="151" t="str">
        <f>'Reported burning'!D2871</f>
        <v>Pyrome management</v>
      </c>
      <c r="E2871" s="151" t="str">
        <f>'Reported burning'!E2871</f>
        <v>Fire suppression agent</v>
      </c>
      <c r="F2871" s="151" t="str">
        <f>'Reported burning'!F2871</f>
        <v>ND</v>
      </c>
      <c r="G2871" s="151" t="str">
        <f>'Reported burning'!G2871</f>
        <v>ND</v>
      </c>
      <c r="H2871" s="151" t="str">
        <f>'Reported burning'!H2871</f>
        <v>Presence</v>
      </c>
      <c r="I2871" s="5"/>
      <c r="J2871" s="198" t="s">
        <v>2272</v>
      </c>
      <c r="K2871" s="198" t="s">
        <v>2272</v>
      </c>
      <c r="L2871" s="198" t="s">
        <v>2272</v>
      </c>
      <c r="M2871" s="198" t="s">
        <v>2272</v>
      </c>
      <c r="N2871" s="198" t="s">
        <v>2272</v>
      </c>
      <c r="O2871" s="198" t="s">
        <v>2272</v>
      </c>
      <c r="P2871" s="198" t="s">
        <v>2272</v>
      </c>
      <c r="Q2871" s="198" t="s">
        <v>2272</v>
      </c>
      <c r="R2871" s="198" t="s">
        <v>2272</v>
      </c>
      <c r="S2871" s="198" t="s">
        <v>2272</v>
      </c>
      <c r="T2871" s="198" t="s">
        <v>2272</v>
      </c>
      <c r="U2871" s="198" t="s">
        <v>2272</v>
      </c>
      <c r="V2871" s="198" t="s">
        <v>2272</v>
      </c>
      <c r="W2871" s="198" t="s">
        <v>2272</v>
      </c>
      <c r="X2871" s="198" t="s">
        <v>2272</v>
      </c>
      <c r="Y2871" s="198" t="s">
        <v>186</v>
      </c>
      <c r="Z2871" s="198" t="s">
        <v>187</v>
      </c>
      <c r="AA2871" s="198" t="s">
        <v>63</v>
      </c>
      <c r="AB2871" s="198"/>
      <c r="AC2871" s="198"/>
    </row>
    <row r="2872" spans="1:29" ht="29" customHeight="1">
      <c r="A2872" s="151" t="str">
        <f>'Reported burning'!A2872</f>
        <v>305af</v>
      </c>
      <c r="B2872" s="151" t="str">
        <f>'Reported burning'!B2872</f>
        <v>305af.18</v>
      </c>
      <c r="C2872" s="151" t="str">
        <f>'Reported burning'!C2872</f>
        <v>Human, deliberate</v>
      </c>
      <c r="D2872" s="151" t="str">
        <f>'Reported burning'!D2872</f>
        <v>Pyrome management</v>
      </c>
      <c r="E2872" s="151" t="str">
        <f>'Reported burning'!E2872</f>
        <v>Fire suppression agent</v>
      </c>
      <c r="F2872" s="151" t="str">
        <f>'Reported burning'!F2872</f>
        <v>ND</v>
      </c>
      <c r="G2872" s="151" t="str">
        <f>'Reported burning'!G2872</f>
        <v>ND</v>
      </c>
      <c r="H2872" s="151" t="str">
        <f>'Reported burning'!H2872</f>
        <v>Presence</v>
      </c>
      <c r="I2872" s="5"/>
      <c r="J2872" s="198" t="s">
        <v>2272</v>
      </c>
      <c r="K2872" s="198" t="s">
        <v>2272</v>
      </c>
      <c r="L2872" s="198" t="s">
        <v>2272</v>
      </c>
      <c r="M2872" s="198" t="s">
        <v>2272</v>
      </c>
      <c r="N2872" s="198" t="s">
        <v>2272</v>
      </c>
      <c r="O2872" s="198" t="s">
        <v>2272</v>
      </c>
      <c r="P2872" s="198" t="s">
        <v>2272</v>
      </c>
      <c r="Q2872" s="198" t="s">
        <v>2272</v>
      </c>
      <c r="R2872" s="198" t="s">
        <v>2272</v>
      </c>
      <c r="S2872" s="198" t="s">
        <v>2272</v>
      </c>
      <c r="T2872" s="198" t="s">
        <v>2272</v>
      </c>
      <c r="U2872" s="198" t="s">
        <v>2272</v>
      </c>
      <c r="V2872" s="198" t="s">
        <v>2272</v>
      </c>
      <c r="W2872" s="198" t="s">
        <v>2272</v>
      </c>
      <c r="X2872" s="198" t="s">
        <v>2272</v>
      </c>
      <c r="Y2872" s="198" t="s">
        <v>186</v>
      </c>
      <c r="Z2872" s="198" t="s">
        <v>187</v>
      </c>
      <c r="AA2872" s="198" t="s">
        <v>63</v>
      </c>
      <c r="AB2872" s="198"/>
      <c r="AC2872" s="198"/>
    </row>
    <row r="2873" spans="1:29" ht="29" customHeight="1">
      <c r="A2873" s="147" t="str">
        <f>'Reported burning'!A2873</f>
        <v>305ag</v>
      </c>
      <c r="B2873" s="147" t="str">
        <f>'Reported burning'!B2873</f>
        <v>305ag.1</v>
      </c>
      <c r="C2873" s="147" t="str">
        <f>'Reported burning'!C2873</f>
        <v>Human, deliberate</v>
      </c>
      <c r="D2873" s="147" t="str">
        <f>'Reported burning'!D2873</f>
        <v>Pyrome management</v>
      </c>
      <c r="E2873" s="147" t="str">
        <f>'Reported burning'!E2873</f>
        <v>Fire suppression agent</v>
      </c>
      <c r="F2873" s="147" t="str">
        <f>'Reported burning'!F2873</f>
        <v>ND</v>
      </c>
      <c r="G2873" s="147" t="str">
        <f>'Reported burning'!G2873</f>
        <v>ND</v>
      </c>
      <c r="H2873" s="147" t="str">
        <f>'Reported burning'!H2873</f>
        <v>Presence</v>
      </c>
      <c r="I2873" s="198"/>
      <c r="J2873" s="198" t="s">
        <v>2272</v>
      </c>
      <c r="K2873" s="198" t="s">
        <v>2272</v>
      </c>
      <c r="L2873" s="198" t="s">
        <v>2272</v>
      </c>
      <c r="M2873" s="21" t="s">
        <v>2358</v>
      </c>
      <c r="N2873" s="198" t="s">
        <v>2272</v>
      </c>
      <c r="O2873" s="21" t="s">
        <v>2369</v>
      </c>
      <c r="P2873" s="198" t="s">
        <v>2272</v>
      </c>
      <c r="Q2873" s="198" t="s">
        <v>2272</v>
      </c>
      <c r="R2873" s="198" t="s">
        <v>2272</v>
      </c>
      <c r="S2873" s="198" t="s">
        <v>2272</v>
      </c>
      <c r="T2873" s="198" t="s">
        <v>2272</v>
      </c>
      <c r="U2873" s="198" t="s">
        <v>2272</v>
      </c>
      <c r="V2873" s="198" t="s">
        <v>2272</v>
      </c>
      <c r="W2873" s="198" t="s">
        <v>2272</v>
      </c>
      <c r="X2873" s="198" t="s">
        <v>2272</v>
      </c>
      <c r="Y2873" s="198" t="s">
        <v>67</v>
      </c>
      <c r="Z2873" s="198" t="s">
        <v>187</v>
      </c>
      <c r="AA2873" s="198" t="s">
        <v>63</v>
      </c>
      <c r="AB2873" s="198"/>
      <c r="AC2873" s="198"/>
    </row>
    <row r="2874" spans="1:29" ht="29" customHeight="1">
      <c r="A2874" s="147" t="str">
        <f>'Reported burning'!A2874</f>
        <v>305af</v>
      </c>
      <c r="B2874" s="147" t="str">
        <f>'Reported burning'!B2874</f>
        <v>305af.19</v>
      </c>
      <c r="C2874" s="147" t="str">
        <f>'Reported burning'!C2874</f>
        <v>Human, deliberate</v>
      </c>
      <c r="D2874" s="147" t="str">
        <f>'Reported burning'!D2874</f>
        <v>Pyrome management</v>
      </c>
      <c r="E2874" s="147" t="str">
        <f>'Reported burning'!E2874</f>
        <v>Fire suppression agent</v>
      </c>
      <c r="F2874" s="147" t="str">
        <f>'Reported burning'!F2874</f>
        <v>Shrubland (Mixed forest &amp; grassland)</v>
      </c>
      <c r="G2874" s="147" t="str">
        <f>'Reported burning'!G2874</f>
        <v>Shrubland (Mixed forest &amp; grassland)</v>
      </c>
      <c r="H2874" s="147" t="str">
        <f>'Reported burning'!H2874</f>
        <v>Presence</v>
      </c>
      <c r="I2874" s="198"/>
      <c r="J2874" s="198" t="s">
        <v>2272</v>
      </c>
      <c r="K2874" s="198" t="s">
        <v>2272</v>
      </c>
      <c r="L2874" s="198" t="s">
        <v>2272</v>
      </c>
      <c r="M2874" s="21" t="s">
        <v>2358</v>
      </c>
      <c r="N2874" s="198" t="s">
        <v>2272</v>
      </c>
      <c r="O2874" s="198" t="s">
        <v>2272</v>
      </c>
      <c r="P2874" s="198" t="s">
        <v>2272</v>
      </c>
      <c r="Q2874" s="198" t="s">
        <v>2272</v>
      </c>
      <c r="R2874" s="198" t="s">
        <v>2272</v>
      </c>
      <c r="S2874" s="21" t="s">
        <v>2370</v>
      </c>
      <c r="T2874" s="198" t="s">
        <v>2272</v>
      </c>
      <c r="U2874" s="198" t="s">
        <v>2272</v>
      </c>
      <c r="V2874" s="198" t="s">
        <v>2272</v>
      </c>
      <c r="W2874" s="198" t="s">
        <v>2272</v>
      </c>
      <c r="X2874" s="198" t="s">
        <v>2272</v>
      </c>
      <c r="Y2874" s="198" t="s">
        <v>186</v>
      </c>
      <c r="Z2874" s="198" t="s">
        <v>187</v>
      </c>
      <c r="AA2874" s="198" t="s">
        <v>63</v>
      </c>
      <c r="AB2874" s="19" t="s">
        <v>7618</v>
      </c>
      <c r="AC2874" s="198"/>
    </row>
    <row r="2875" spans="1:29" ht="29" customHeight="1">
      <c r="A2875" s="147" t="str">
        <f>'Reported burning'!A2875</f>
        <v>305af</v>
      </c>
      <c r="B2875" s="147" t="str">
        <f>'Reported burning'!B2875</f>
        <v>305af.20</v>
      </c>
      <c r="C2875" s="147" t="str">
        <f>'Reported burning'!C2875</f>
        <v>Human, deliberate</v>
      </c>
      <c r="D2875" s="147" t="str">
        <f>'Reported burning'!D2875</f>
        <v>Pyrome management</v>
      </c>
      <c r="E2875" s="147" t="str">
        <f>'Reported burning'!E2875</f>
        <v>Fire suppression agent</v>
      </c>
      <c r="F2875" s="147" t="str">
        <f>'Reported burning'!F2875</f>
        <v>Forest</v>
      </c>
      <c r="G2875" s="147" t="str">
        <f>'Reported burning'!G2875</f>
        <v>Forest</v>
      </c>
      <c r="H2875" s="147" t="str">
        <f>'Reported burning'!H2875</f>
        <v>Presence</v>
      </c>
      <c r="I2875" s="198"/>
      <c r="J2875" s="198" t="s">
        <v>2272</v>
      </c>
      <c r="K2875" s="198" t="s">
        <v>2272</v>
      </c>
      <c r="L2875" s="198" t="s">
        <v>2272</v>
      </c>
      <c r="M2875" s="21" t="s">
        <v>2358</v>
      </c>
      <c r="N2875" s="198" t="s">
        <v>2272</v>
      </c>
      <c r="O2875" s="198" t="s">
        <v>2272</v>
      </c>
      <c r="P2875" s="198" t="s">
        <v>2272</v>
      </c>
      <c r="Q2875" s="198" t="s">
        <v>2272</v>
      </c>
      <c r="R2875" s="198" t="s">
        <v>2272</v>
      </c>
      <c r="S2875" s="21" t="s">
        <v>2370</v>
      </c>
      <c r="T2875" s="198" t="s">
        <v>2272</v>
      </c>
      <c r="U2875" s="198" t="s">
        <v>2272</v>
      </c>
      <c r="V2875" s="198" t="s">
        <v>2272</v>
      </c>
      <c r="W2875" s="198" t="s">
        <v>2272</v>
      </c>
      <c r="X2875" s="198" t="s">
        <v>2272</v>
      </c>
      <c r="Y2875" s="198" t="s">
        <v>186</v>
      </c>
      <c r="Z2875" s="198" t="s">
        <v>187</v>
      </c>
      <c r="AA2875" s="198" t="s">
        <v>63</v>
      </c>
      <c r="AB2875" s="19" t="s">
        <v>7618</v>
      </c>
      <c r="AC2875" s="198"/>
    </row>
    <row r="2876" spans="1:29" ht="29" customHeight="1">
      <c r="A2876" s="147" t="str">
        <f>'Reported burning'!A2876</f>
        <v>305ah</v>
      </c>
      <c r="B2876" s="147" t="str">
        <f>'Reported burning'!B2876</f>
        <v>305ah.1</v>
      </c>
      <c r="C2876" s="147" t="str">
        <f>'Reported burning'!C2876</f>
        <v>Human, deliberate</v>
      </c>
      <c r="D2876" s="147" t="str">
        <f>'Reported burning'!D2876</f>
        <v>Pyrome management</v>
      </c>
      <c r="E2876" s="147" t="str">
        <f>'Reported burning'!E2876</f>
        <v>Fire suppression agent</v>
      </c>
      <c r="F2876" s="147" t="str">
        <f>'Reported burning'!F2876</f>
        <v>Forest</v>
      </c>
      <c r="G2876" s="147" t="str">
        <f>'Reported burning'!G2876</f>
        <v>Forest</v>
      </c>
      <c r="H2876" s="147" t="str">
        <f>'Reported burning'!H2876</f>
        <v>Presence</v>
      </c>
      <c r="I2876" s="198"/>
      <c r="J2876" s="198" t="s">
        <v>2272</v>
      </c>
      <c r="K2876" s="198" t="s">
        <v>2272</v>
      </c>
      <c r="L2876" s="198" t="s">
        <v>2272</v>
      </c>
      <c r="M2876" s="21" t="s">
        <v>2358</v>
      </c>
      <c r="N2876" s="198" t="s">
        <v>2272</v>
      </c>
      <c r="O2876" s="198" t="s">
        <v>2272</v>
      </c>
      <c r="P2876" s="198" t="s">
        <v>2272</v>
      </c>
      <c r="Q2876" s="198" t="s">
        <v>2272</v>
      </c>
      <c r="R2876" s="198" t="s">
        <v>2272</v>
      </c>
      <c r="S2876" s="21" t="s">
        <v>2368</v>
      </c>
      <c r="T2876" s="198" t="s">
        <v>2272</v>
      </c>
      <c r="U2876" s="198" t="s">
        <v>2272</v>
      </c>
      <c r="V2876" s="198" t="s">
        <v>2272</v>
      </c>
      <c r="W2876" s="198" t="s">
        <v>2272</v>
      </c>
      <c r="X2876" s="198" t="s">
        <v>2272</v>
      </c>
      <c r="Y2876" s="198" t="s">
        <v>67</v>
      </c>
      <c r="Z2876" s="198" t="s">
        <v>84</v>
      </c>
      <c r="AA2876" s="198" t="s">
        <v>75</v>
      </c>
      <c r="AB2876" s="4" t="s">
        <v>7617</v>
      </c>
      <c r="AC2876" s="198"/>
    </row>
    <row r="2877" spans="1:29" s="197" customFormat="1" ht="29" customHeight="1">
      <c r="A2877" s="147" t="str">
        <f>'Reported burning'!A2877</f>
        <v>305ai</v>
      </c>
      <c r="B2877" s="147" t="str">
        <f>'Reported burning'!B2877</f>
        <v>305ai.1</v>
      </c>
      <c r="C2877" s="147" t="str">
        <f>'Reported burning'!C2877</f>
        <v>Human, deliberate</v>
      </c>
      <c r="D2877" s="147" t="str">
        <f>'Reported burning'!D2877</f>
        <v>Pyrome management</v>
      </c>
      <c r="E2877" s="147" t="str">
        <f>'Reported burning'!E2877</f>
        <v>Fire suppression agent</v>
      </c>
      <c r="F2877" s="147" t="str">
        <f>'Reported burning'!F2877</f>
        <v>Forest</v>
      </c>
      <c r="G2877" s="147" t="str">
        <f>'Reported burning'!G2877</f>
        <v>Forest</v>
      </c>
      <c r="H2877" s="147" t="str">
        <f>'Reported burning'!H2877</f>
        <v>Presence</v>
      </c>
      <c r="I2877" s="198"/>
      <c r="J2877" s="198" t="s">
        <v>2272</v>
      </c>
      <c r="K2877" s="198" t="s">
        <v>2272</v>
      </c>
      <c r="L2877" s="198" t="s">
        <v>2272</v>
      </c>
      <c r="M2877" s="21" t="s">
        <v>2358</v>
      </c>
      <c r="N2877" s="198" t="s">
        <v>2272</v>
      </c>
      <c r="O2877" s="198" t="s">
        <v>2272</v>
      </c>
      <c r="P2877" s="198" t="s">
        <v>2272</v>
      </c>
      <c r="Q2877" s="198" t="s">
        <v>2272</v>
      </c>
      <c r="R2877" s="198" t="s">
        <v>2272</v>
      </c>
      <c r="S2877" s="21" t="s">
        <v>2368</v>
      </c>
      <c r="T2877" s="198" t="s">
        <v>2272</v>
      </c>
      <c r="U2877" s="198" t="s">
        <v>2272</v>
      </c>
      <c r="V2877" s="198" t="s">
        <v>2272</v>
      </c>
      <c r="W2877" s="198" t="s">
        <v>2272</v>
      </c>
      <c r="X2877" s="198" t="s">
        <v>2272</v>
      </c>
      <c r="Y2877" s="198" t="s">
        <v>34</v>
      </c>
      <c r="Z2877" s="198" t="s">
        <v>37</v>
      </c>
      <c r="AA2877" s="198" t="s">
        <v>63</v>
      </c>
      <c r="AB2877" s="198" t="s">
        <v>7616</v>
      </c>
      <c r="AC2877" s="198"/>
    </row>
    <row r="2878" spans="1:29" ht="24.5" customHeight="1">
      <c r="A2878" s="147" t="str">
        <f>'Reported burning'!A2878</f>
        <v>305ai</v>
      </c>
      <c r="B2878" s="147" t="str">
        <f>'Reported burning'!B2879</f>
        <v>305ai.2</v>
      </c>
      <c r="C2878" s="147" t="str">
        <f>'Reported burning'!C2878</f>
        <v>Human, deliberate</v>
      </c>
      <c r="D2878" s="147" t="str">
        <f>'Reported burning'!D2878</f>
        <v>Pyrome management</v>
      </c>
      <c r="E2878" s="147" t="str">
        <f>'Reported burning'!E2878</f>
        <v>Fire suppression agent</v>
      </c>
      <c r="F2878" s="147" t="str">
        <f>'Reported burning'!F2878</f>
        <v>Shrubland (Mixed forest &amp; grassland)</v>
      </c>
      <c r="G2878" s="147" t="str">
        <f>'Reported burning'!G2878</f>
        <v>Shrubland (Mixed forest &amp; grassland)</v>
      </c>
      <c r="H2878" s="147" t="str">
        <f>'Reported burning'!H2878</f>
        <v>Presence</v>
      </c>
      <c r="I2878" s="198"/>
      <c r="J2878" s="198" t="s">
        <v>2272</v>
      </c>
      <c r="K2878" s="198" t="s">
        <v>2272</v>
      </c>
      <c r="L2878" s="198" t="s">
        <v>2272</v>
      </c>
      <c r="M2878" s="21" t="s">
        <v>2358</v>
      </c>
      <c r="N2878" s="198" t="s">
        <v>2272</v>
      </c>
      <c r="O2878" s="21" t="s">
        <v>2372</v>
      </c>
      <c r="P2878" s="198" t="s">
        <v>2272</v>
      </c>
      <c r="Q2878" s="198" t="s">
        <v>2272</v>
      </c>
      <c r="R2878" s="198" t="s">
        <v>2272</v>
      </c>
      <c r="S2878" s="21" t="s">
        <v>2370</v>
      </c>
      <c r="T2878" s="198" t="s">
        <v>2272</v>
      </c>
      <c r="U2878" s="198" t="s">
        <v>2272</v>
      </c>
      <c r="V2878" s="198" t="s">
        <v>2272</v>
      </c>
      <c r="W2878" s="198" t="s">
        <v>2272</v>
      </c>
      <c r="X2878" s="198" t="s">
        <v>2272</v>
      </c>
      <c r="Y2878" s="198" t="s">
        <v>67</v>
      </c>
      <c r="Z2878" s="198" t="s">
        <v>84</v>
      </c>
      <c r="AA2878" s="198" t="s">
        <v>75</v>
      </c>
      <c r="AB2878" s="4" t="s">
        <v>7617</v>
      </c>
      <c r="AC2878" s="198"/>
    </row>
    <row r="2879" spans="1:29" ht="29" customHeight="1">
      <c r="A2879" s="147" t="str">
        <f>'Reported burning'!A2879</f>
        <v>305ah</v>
      </c>
      <c r="B2879" s="147" t="str">
        <f>'Reported burning'!B2878</f>
        <v>305ah.2</v>
      </c>
      <c r="C2879" s="147" t="str">
        <f>'Reported burning'!C2879</f>
        <v>Human, deliberate</v>
      </c>
      <c r="D2879" s="147" t="str">
        <f>'Reported burning'!D2879</f>
        <v>Pyrome management</v>
      </c>
      <c r="E2879" s="147" t="str">
        <f>'Reported burning'!E2879</f>
        <v>Fire suppression agent</v>
      </c>
      <c r="F2879" s="147" t="str">
        <f>'Reported burning'!F2879</f>
        <v>Shrubland (Mixed forest &amp; grassland)</v>
      </c>
      <c r="G2879" s="147" t="str">
        <f>'Reported burning'!G2879</f>
        <v>Shrubland (Mixed forest &amp; grassland)</v>
      </c>
      <c r="H2879" s="147" t="str">
        <f>'Reported burning'!H2879</f>
        <v>Presence</v>
      </c>
      <c r="I2879" s="198"/>
      <c r="J2879" s="198" t="s">
        <v>2272</v>
      </c>
      <c r="K2879" s="198" t="s">
        <v>2272</v>
      </c>
      <c r="L2879" s="198" t="s">
        <v>2272</v>
      </c>
      <c r="M2879" s="21" t="s">
        <v>2358</v>
      </c>
      <c r="N2879" s="198" t="s">
        <v>2272</v>
      </c>
      <c r="O2879" s="21" t="s">
        <v>2372</v>
      </c>
      <c r="P2879" s="198" t="s">
        <v>2272</v>
      </c>
      <c r="Q2879" s="198" t="s">
        <v>2272</v>
      </c>
      <c r="R2879" s="198" t="s">
        <v>2272</v>
      </c>
      <c r="S2879" s="21" t="s">
        <v>2370</v>
      </c>
      <c r="T2879" s="198" t="s">
        <v>2272</v>
      </c>
      <c r="U2879" s="198" t="s">
        <v>2272</v>
      </c>
      <c r="V2879" s="198" t="s">
        <v>2272</v>
      </c>
      <c r="W2879" s="198" t="s">
        <v>2272</v>
      </c>
      <c r="X2879" s="198" t="s">
        <v>2272</v>
      </c>
      <c r="Y2879" s="198" t="s">
        <v>34</v>
      </c>
      <c r="Z2879" s="198" t="s">
        <v>37</v>
      </c>
      <c r="AA2879" s="198" t="s">
        <v>63</v>
      </c>
      <c r="AB2879" s="198" t="s">
        <v>7616</v>
      </c>
      <c r="AC2879" s="198"/>
    </row>
    <row r="2880" spans="1:29" ht="32" customHeight="1">
      <c r="A2880" s="151" t="str">
        <f>'Reported burning'!A2880</f>
        <v>306a</v>
      </c>
      <c r="B2880" s="151" t="str">
        <f>'Reported burning'!B2880</f>
        <v>306a.1</v>
      </c>
      <c r="C2880" s="151" t="str">
        <f>'Reported burning'!C2880</f>
        <v>Human, deliberate</v>
      </c>
      <c r="D2880" s="151" t="str">
        <f>'Reported burning'!D2880</f>
        <v>Pyrome management</v>
      </c>
      <c r="E2880" s="151" t="str">
        <f>'Reported burning'!E2880</f>
        <v>Fire suppression agent</v>
      </c>
      <c r="F2880" s="151" t="str">
        <f>'Reported burning'!F2880</f>
        <v>Shrubland (Mixed forest &amp; grassland)</v>
      </c>
      <c r="G2880" s="151" t="str">
        <f>'Reported burning'!G2880</f>
        <v>Shrubland (Mixed forest &amp; grassland)</v>
      </c>
      <c r="H2880" s="151" t="str">
        <f>'Reported burning'!H2880</f>
        <v>Presence</v>
      </c>
      <c r="I2880" s="5"/>
      <c r="J2880" s="5" t="s">
        <v>2272</v>
      </c>
      <c r="K2880" s="5" t="s">
        <v>2272</v>
      </c>
      <c r="L2880" s="21" t="s">
        <v>2358</v>
      </c>
      <c r="M2880" s="21" t="s">
        <v>2358</v>
      </c>
      <c r="N2880" s="21" t="s">
        <v>2380</v>
      </c>
      <c r="O2880" s="21" t="s">
        <v>2380</v>
      </c>
      <c r="P2880" s="198" t="s">
        <v>2272</v>
      </c>
      <c r="Q2880" s="198" t="s">
        <v>2272</v>
      </c>
      <c r="R2880" s="21" t="s">
        <v>2368</v>
      </c>
      <c r="S2880" s="21" t="s">
        <v>2368</v>
      </c>
      <c r="T2880" s="198" t="s">
        <v>2272</v>
      </c>
      <c r="U2880" s="198" t="s">
        <v>2272</v>
      </c>
      <c r="V2880" s="198" t="s">
        <v>2272</v>
      </c>
      <c r="W2880" s="198" t="s">
        <v>2272</v>
      </c>
      <c r="X2880" s="21" t="s">
        <v>2398</v>
      </c>
      <c r="Y2880" s="198" t="s">
        <v>2272</v>
      </c>
      <c r="Z2880" s="198" t="s">
        <v>2272</v>
      </c>
      <c r="AA2880" s="198" t="s">
        <v>2272</v>
      </c>
      <c r="AB2880" s="19" t="s">
        <v>7773</v>
      </c>
      <c r="AC2880" s="4" t="s">
        <v>7772</v>
      </c>
    </row>
    <row r="2881" spans="1:29" ht="32" customHeight="1">
      <c r="A2881" s="151" t="str">
        <f>'Reported burning'!A2881</f>
        <v>306a</v>
      </c>
      <c r="B2881" s="151" t="str">
        <f>'Reported burning'!B2881</f>
        <v>306a.2</v>
      </c>
      <c r="C2881" s="151" t="str">
        <f>'Reported burning'!C2881</f>
        <v>Human, deliberate</v>
      </c>
      <c r="D2881" s="151" t="str">
        <f>'Reported burning'!D2881</f>
        <v>Pyrome management</v>
      </c>
      <c r="E2881" s="151" t="str">
        <f>'Reported burning'!E2881</f>
        <v>Fire suppression agent</v>
      </c>
      <c r="F2881" s="151" t="str">
        <f>'Reported burning'!F2881</f>
        <v>Forest</v>
      </c>
      <c r="G2881" s="151" t="str">
        <f>'Reported burning'!G2881</f>
        <v>Forest</v>
      </c>
      <c r="H2881" s="151" t="str">
        <f>'Reported burning'!H2881</f>
        <v>Presence</v>
      </c>
      <c r="I2881" s="5"/>
      <c r="J2881" s="198" t="s">
        <v>2272</v>
      </c>
      <c r="K2881" s="198" t="s">
        <v>2272</v>
      </c>
      <c r="L2881" s="21" t="s">
        <v>2358</v>
      </c>
      <c r="M2881" s="21" t="s">
        <v>2358</v>
      </c>
      <c r="N2881" s="21" t="s">
        <v>2377</v>
      </c>
      <c r="O2881" s="21" t="s">
        <v>2377</v>
      </c>
      <c r="P2881" s="198" t="s">
        <v>2272</v>
      </c>
      <c r="Q2881" s="198" t="s">
        <v>2272</v>
      </c>
      <c r="R2881" s="21" t="s">
        <v>2368</v>
      </c>
      <c r="S2881" s="21" t="s">
        <v>2368</v>
      </c>
      <c r="T2881" s="198" t="s">
        <v>2272</v>
      </c>
      <c r="U2881" s="198" t="s">
        <v>2272</v>
      </c>
      <c r="V2881" s="198" t="s">
        <v>2272</v>
      </c>
      <c r="W2881" s="198" t="s">
        <v>2272</v>
      </c>
      <c r="X2881" s="21" t="s">
        <v>2398</v>
      </c>
      <c r="Y2881" s="198" t="s">
        <v>2272</v>
      </c>
      <c r="Z2881" s="198" t="s">
        <v>2272</v>
      </c>
      <c r="AA2881" s="198" t="s">
        <v>2272</v>
      </c>
      <c r="AB2881" s="19" t="s">
        <v>7773</v>
      </c>
      <c r="AC2881" s="4" t="s">
        <v>7772</v>
      </c>
    </row>
    <row r="2882" spans="1:29" ht="38" customHeight="1">
      <c r="A2882" s="151" t="str">
        <f>'Reported burning'!A2882</f>
        <v>306b</v>
      </c>
      <c r="B2882" s="151" t="str">
        <f>'Reported burning'!B2882</f>
        <v>306b.1</v>
      </c>
      <c r="C2882" s="151" t="str">
        <f>'Reported burning'!C2882</f>
        <v>Human, deliberate</v>
      </c>
      <c r="D2882" s="151" t="str">
        <f>'Reported burning'!D2882</f>
        <v>Pyrome management</v>
      </c>
      <c r="E2882" s="151" t="str">
        <f>'Reported burning'!E2882</f>
        <v>Fire suppression agent</v>
      </c>
      <c r="F2882" s="151" t="str">
        <f>'Reported burning'!F2882</f>
        <v>ND</v>
      </c>
      <c r="G2882" s="151" t="str">
        <f>'Reported burning'!G2882</f>
        <v>ND</v>
      </c>
      <c r="H2882" s="151" t="str">
        <f>'Reported burning'!H2882</f>
        <v>Presence</v>
      </c>
      <c r="I2882" s="5"/>
      <c r="J2882" s="198" t="s">
        <v>2272</v>
      </c>
      <c r="K2882" s="198" t="s">
        <v>2272</v>
      </c>
      <c r="L2882" s="35" t="s">
        <v>2272</v>
      </c>
      <c r="M2882" s="35" t="s">
        <v>2272</v>
      </c>
      <c r="N2882" s="35" t="s">
        <v>2272</v>
      </c>
      <c r="O2882" s="35" t="s">
        <v>2272</v>
      </c>
      <c r="P2882" s="35" t="s">
        <v>2272</v>
      </c>
      <c r="Q2882" s="98" t="s">
        <v>2371</v>
      </c>
      <c r="R2882" s="35" t="s">
        <v>2272</v>
      </c>
      <c r="S2882" s="35" t="s">
        <v>2272</v>
      </c>
      <c r="T2882" s="35" t="s">
        <v>2272</v>
      </c>
      <c r="U2882" s="35" t="s">
        <v>2272</v>
      </c>
      <c r="V2882" s="35" t="s">
        <v>2272</v>
      </c>
      <c r="W2882" s="35" t="s">
        <v>2272</v>
      </c>
      <c r="X2882" s="35" t="s">
        <v>2272</v>
      </c>
      <c r="Y2882" s="35" t="s">
        <v>2272</v>
      </c>
      <c r="Z2882" s="35" t="s">
        <v>2272</v>
      </c>
      <c r="AA2882" s="35" t="s">
        <v>2272</v>
      </c>
      <c r="AB2882" s="198"/>
      <c r="AC2882" s="198"/>
    </row>
    <row r="2883" spans="1:29" ht="38" customHeight="1">
      <c r="A2883" s="151" t="str">
        <f>'Reported burning'!A2883</f>
        <v>306c</v>
      </c>
      <c r="B2883" s="151" t="str">
        <f>'Reported burning'!B2883</f>
        <v>306c.1</v>
      </c>
      <c r="C2883" s="151" t="str">
        <f>'Reported burning'!C2883</f>
        <v>Human, deliberate</v>
      </c>
      <c r="D2883" s="151" t="str">
        <f>'Reported burning'!D2883</f>
        <v>Pyrome management</v>
      </c>
      <c r="E2883" s="151" t="str">
        <f>'Reported burning'!E2883</f>
        <v>Fire suppression agent</v>
      </c>
      <c r="F2883" s="151" t="str">
        <f>'Reported burning'!F2883</f>
        <v>ND</v>
      </c>
      <c r="G2883" s="151" t="str">
        <f>'Reported burning'!G2883</f>
        <v>ND</v>
      </c>
      <c r="H2883" s="151" t="str">
        <f>'Reported burning'!H2883</f>
        <v>Presence</v>
      </c>
      <c r="I2883" s="5"/>
      <c r="J2883" s="198" t="s">
        <v>2272</v>
      </c>
      <c r="K2883" s="198" t="s">
        <v>2272</v>
      </c>
      <c r="L2883" s="35" t="s">
        <v>2272</v>
      </c>
      <c r="M2883" s="35" t="s">
        <v>2272</v>
      </c>
      <c r="N2883" s="35" t="s">
        <v>2272</v>
      </c>
      <c r="O2883" s="35" t="s">
        <v>2272</v>
      </c>
      <c r="P2883" s="35" t="s">
        <v>2272</v>
      </c>
      <c r="Q2883" s="98" t="s">
        <v>2371</v>
      </c>
      <c r="R2883" s="35" t="s">
        <v>2272</v>
      </c>
      <c r="S2883" s="35" t="s">
        <v>2272</v>
      </c>
      <c r="T2883" s="35" t="s">
        <v>2272</v>
      </c>
      <c r="U2883" s="35" t="s">
        <v>2272</v>
      </c>
      <c r="V2883" s="35" t="s">
        <v>2272</v>
      </c>
      <c r="W2883" s="35" t="s">
        <v>2272</v>
      </c>
      <c r="X2883" s="35" t="s">
        <v>2272</v>
      </c>
      <c r="Y2883" s="35" t="s">
        <v>2272</v>
      </c>
      <c r="Z2883" s="35" t="s">
        <v>2272</v>
      </c>
      <c r="AA2883" s="35" t="s">
        <v>2272</v>
      </c>
      <c r="AB2883" s="198"/>
      <c r="AC2883" s="198"/>
    </row>
    <row r="2884" spans="1:29" ht="31" customHeight="1">
      <c r="A2884" s="151" t="str">
        <f>'Reported burning'!A2884</f>
        <v>306d</v>
      </c>
      <c r="B2884" s="151" t="str">
        <f>'Reported burning'!B2884</f>
        <v>306d.1</v>
      </c>
      <c r="C2884" s="151" t="str">
        <f>'Reported burning'!C2884</f>
        <v>Human, deliberate</v>
      </c>
      <c r="D2884" s="151" t="str">
        <f>'Reported burning'!D2884</f>
        <v>Pyrome management</v>
      </c>
      <c r="E2884" s="151" t="str">
        <f>'Reported burning'!E2884</f>
        <v>Fire suppression agent</v>
      </c>
      <c r="F2884" s="151" t="str">
        <f>'Reported burning'!F2884</f>
        <v>ND</v>
      </c>
      <c r="G2884" s="151" t="str">
        <f>'Reported burning'!G2884</f>
        <v>ND</v>
      </c>
      <c r="H2884" s="151" t="str">
        <f>'Reported burning'!H2884</f>
        <v>Presence</v>
      </c>
      <c r="I2884" s="5"/>
      <c r="J2884" s="198" t="s">
        <v>2272</v>
      </c>
      <c r="K2884" s="198" t="s">
        <v>2272</v>
      </c>
      <c r="L2884" s="35" t="s">
        <v>2272</v>
      </c>
      <c r="M2884" s="35" t="s">
        <v>2272</v>
      </c>
      <c r="N2884" s="35" t="s">
        <v>2272</v>
      </c>
      <c r="O2884" s="35" t="s">
        <v>2272</v>
      </c>
      <c r="P2884" s="35" t="s">
        <v>2272</v>
      </c>
      <c r="Q2884" s="98" t="s">
        <v>2371</v>
      </c>
      <c r="R2884" s="35" t="s">
        <v>2272</v>
      </c>
      <c r="S2884" s="35" t="s">
        <v>2272</v>
      </c>
      <c r="T2884" s="35" t="s">
        <v>2272</v>
      </c>
      <c r="U2884" s="35" t="s">
        <v>2272</v>
      </c>
      <c r="V2884" s="35" t="s">
        <v>2272</v>
      </c>
      <c r="W2884" s="35" t="s">
        <v>2272</v>
      </c>
      <c r="X2884" s="35" t="s">
        <v>2272</v>
      </c>
      <c r="Y2884" s="35" t="s">
        <v>2272</v>
      </c>
      <c r="Z2884" s="35" t="s">
        <v>2272</v>
      </c>
      <c r="AA2884" s="35" t="s">
        <v>2272</v>
      </c>
      <c r="AB2884" s="198"/>
      <c r="AC2884" s="198"/>
    </row>
    <row r="2885" spans="1:29" ht="31" customHeight="1">
      <c r="A2885" s="151" t="str">
        <f>'Reported burning'!A2885</f>
        <v>306e</v>
      </c>
      <c r="B2885" s="151" t="str">
        <f>'Reported burning'!B2885</f>
        <v>306e.1</v>
      </c>
      <c r="C2885" s="151" t="str">
        <f>'Reported burning'!C2885</f>
        <v>Human, deliberate</v>
      </c>
      <c r="D2885" s="151" t="str">
        <f>'Reported burning'!D2885</f>
        <v>Pyrome management</v>
      </c>
      <c r="E2885" s="151" t="str">
        <f>'Reported burning'!E2885</f>
        <v>Fire suppression agent</v>
      </c>
      <c r="F2885" s="151" t="str">
        <f>'Reported burning'!F2885</f>
        <v>ND</v>
      </c>
      <c r="G2885" s="151" t="str">
        <f>'Reported burning'!G2885</f>
        <v>ND</v>
      </c>
      <c r="H2885" s="151" t="str">
        <f>'Reported burning'!H2885</f>
        <v>Presence</v>
      </c>
      <c r="I2885" s="5"/>
      <c r="J2885" s="198" t="s">
        <v>2272</v>
      </c>
      <c r="K2885" s="198" t="s">
        <v>2272</v>
      </c>
      <c r="L2885" s="35" t="s">
        <v>2272</v>
      </c>
      <c r="M2885" s="35" t="s">
        <v>2272</v>
      </c>
      <c r="N2885" s="35" t="s">
        <v>2272</v>
      </c>
      <c r="O2885" s="35" t="s">
        <v>2272</v>
      </c>
      <c r="P2885" s="35" t="s">
        <v>2272</v>
      </c>
      <c r="Q2885" s="98" t="s">
        <v>2372</v>
      </c>
      <c r="R2885" s="35" t="s">
        <v>2272</v>
      </c>
      <c r="S2885" s="35" t="s">
        <v>2272</v>
      </c>
      <c r="T2885" s="35" t="s">
        <v>2272</v>
      </c>
      <c r="U2885" s="35" t="s">
        <v>2272</v>
      </c>
      <c r="V2885" s="35" t="s">
        <v>2272</v>
      </c>
      <c r="W2885" s="35" t="s">
        <v>2272</v>
      </c>
      <c r="X2885" s="35" t="s">
        <v>2272</v>
      </c>
      <c r="Y2885" s="35" t="s">
        <v>2272</v>
      </c>
      <c r="Z2885" s="35" t="s">
        <v>2272</v>
      </c>
      <c r="AA2885" s="35" t="s">
        <v>2272</v>
      </c>
      <c r="AB2885" s="198"/>
      <c r="AC2885" s="198"/>
    </row>
    <row r="2886" spans="1:29" ht="31" customHeight="1">
      <c r="A2886" s="151" t="str">
        <f>'Reported burning'!A2886</f>
        <v>306f</v>
      </c>
      <c r="B2886" s="151" t="str">
        <f>'Reported burning'!B2886</f>
        <v>306f.1</v>
      </c>
      <c r="C2886" s="151" t="str">
        <f>'Reported burning'!C2886</f>
        <v>Human, deliberate</v>
      </c>
      <c r="D2886" s="151" t="str">
        <f>'Reported burning'!D2886</f>
        <v>Pyrome management</v>
      </c>
      <c r="E2886" s="151" t="str">
        <f>'Reported burning'!E2886</f>
        <v>Fire suppression agent</v>
      </c>
      <c r="F2886" s="151" t="str">
        <f>'Reported burning'!F2886</f>
        <v>ND</v>
      </c>
      <c r="G2886" s="151" t="str">
        <f>'Reported burning'!G2886</f>
        <v>ND</v>
      </c>
      <c r="H2886" s="151" t="str">
        <f>'Reported burning'!H2886</f>
        <v>Presence</v>
      </c>
      <c r="I2886" s="5"/>
      <c r="J2886" s="198" t="s">
        <v>2272</v>
      </c>
      <c r="K2886" s="198" t="s">
        <v>2272</v>
      </c>
      <c r="L2886" s="35" t="s">
        <v>2272</v>
      </c>
      <c r="M2886" s="35" t="s">
        <v>2272</v>
      </c>
      <c r="N2886" s="35" t="s">
        <v>2272</v>
      </c>
      <c r="O2886" s="35" t="s">
        <v>2272</v>
      </c>
      <c r="P2886" s="35" t="s">
        <v>2272</v>
      </c>
      <c r="Q2886" s="98" t="s">
        <v>2371</v>
      </c>
      <c r="R2886" s="35" t="s">
        <v>2272</v>
      </c>
      <c r="S2886" s="35" t="s">
        <v>2272</v>
      </c>
      <c r="T2886" s="35" t="s">
        <v>2272</v>
      </c>
      <c r="U2886" s="35" t="s">
        <v>2272</v>
      </c>
      <c r="V2886" s="35" t="s">
        <v>2272</v>
      </c>
      <c r="W2886" s="35" t="s">
        <v>2272</v>
      </c>
      <c r="X2886" s="35" t="s">
        <v>2272</v>
      </c>
      <c r="Y2886" s="35" t="s">
        <v>2272</v>
      </c>
      <c r="Z2886" s="35" t="s">
        <v>2272</v>
      </c>
      <c r="AA2886" s="35" t="s">
        <v>2272</v>
      </c>
      <c r="AB2886" s="198"/>
      <c r="AC2886" s="198"/>
    </row>
    <row r="2887" spans="1:29" ht="31" customHeight="1">
      <c r="A2887" s="151" t="str">
        <f>'Reported burning'!A2887</f>
        <v>306g</v>
      </c>
      <c r="B2887" s="151" t="str">
        <f>'Reported burning'!B2887</f>
        <v>306g.1</v>
      </c>
      <c r="C2887" s="151" t="str">
        <f>'Reported burning'!C2887</f>
        <v>Human, deliberate</v>
      </c>
      <c r="D2887" s="151" t="str">
        <f>'Reported burning'!D2887</f>
        <v>Pyrome management</v>
      </c>
      <c r="E2887" s="151" t="str">
        <f>'Reported burning'!E2887</f>
        <v>Fire suppression agent</v>
      </c>
      <c r="F2887" s="151" t="str">
        <f>'Reported burning'!F2887</f>
        <v>ND</v>
      </c>
      <c r="G2887" s="151" t="str">
        <f>'Reported burning'!G2887</f>
        <v>ND</v>
      </c>
      <c r="H2887" s="151" t="str">
        <f>'Reported burning'!H2887</f>
        <v>Presence</v>
      </c>
      <c r="I2887" s="5"/>
      <c r="J2887" s="198" t="s">
        <v>2272</v>
      </c>
      <c r="K2887" s="198" t="s">
        <v>2272</v>
      </c>
      <c r="L2887" s="35" t="s">
        <v>2272</v>
      </c>
      <c r="M2887" s="35" t="s">
        <v>2272</v>
      </c>
      <c r="N2887" s="35" t="s">
        <v>2272</v>
      </c>
      <c r="O2887" s="35" t="s">
        <v>2272</v>
      </c>
      <c r="P2887" s="35" t="s">
        <v>2272</v>
      </c>
      <c r="Q2887" s="98" t="s">
        <v>2371</v>
      </c>
      <c r="R2887" s="35" t="s">
        <v>2272</v>
      </c>
      <c r="S2887" s="35" t="s">
        <v>2272</v>
      </c>
      <c r="T2887" s="35" t="s">
        <v>2272</v>
      </c>
      <c r="U2887" s="35" t="s">
        <v>2272</v>
      </c>
      <c r="V2887" s="35" t="s">
        <v>2272</v>
      </c>
      <c r="W2887" s="35" t="s">
        <v>2272</v>
      </c>
      <c r="X2887" s="35" t="s">
        <v>2272</v>
      </c>
      <c r="Y2887" s="35" t="s">
        <v>2272</v>
      </c>
      <c r="Z2887" s="35" t="s">
        <v>2272</v>
      </c>
      <c r="AA2887" s="35" t="s">
        <v>2272</v>
      </c>
      <c r="AB2887" s="198"/>
      <c r="AC2887" s="198"/>
    </row>
    <row r="2888" spans="1:29" ht="31" customHeight="1">
      <c r="A2888" s="151" t="str">
        <f>'Reported burning'!A2888</f>
        <v>306h</v>
      </c>
      <c r="B2888" s="151" t="str">
        <f>'Reported burning'!B2888</f>
        <v>306h.1</v>
      </c>
      <c r="C2888" s="151" t="str">
        <f>'Reported burning'!C2888</f>
        <v>Human, deliberate</v>
      </c>
      <c r="D2888" s="151" t="str">
        <f>'Reported burning'!D2888</f>
        <v>Pyrome management</v>
      </c>
      <c r="E2888" s="151" t="str">
        <f>'Reported burning'!E2888</f>
        <v>Fire suppression agent</v>
      </c>
      <c r="F2888" s="151" t="str">
        <f>'Reported burning'!F2888</f>
        <v>ND</v>
      </c>
      <c r="G2888" s="151" t="str">
        <f>'Reported burning'!G2888</f>
        <v>ND</v>
      </c>
      <c r="H2888" s="151" t="str">
        <f>'Reported burning'!H2888</f>
        <v>Presence</v>
      </c>
      <c r="I2888" s="5"/>
      <c r="J2888" s="198" t="s">
        <v>2272</v>
      </c>
      <c r="K2888" s="198" t="s">
        <v>2272</v>
      </c>
      <c r="L2888" s="35" t="s">
        <v>2272</v>
      </c>
      <c r="M2888" s="35" t="s">
        <v>2272</v>
      </c>
      <c r="N2888" s="35" t="s">
        <v>2272</v>
      </c>
      <c r="O2888" s="35" t="s">
        <v>2272</v>
      </c>
      <c r="P2888" s="35" t="s">
        <v>2272</v>
      </c>
      <c r="Q2888" s="98" t="s">
        <v>2372</v>
      </c>
      <c r="R2888" s="35" t="s">
        <v>2272</v>
      </c>
      <c r="S2888" s="35" t="s">
        <v>2272</v>
      </c>
      <c r="T2888" s="35" t="s">
        <v>2272</v>
      </c>
      <c r="U2888" s="35" t="s">
        <v>2272</v>
      </c>
      <c r="V2888" s="35" t="s">
        <v>2272</v>
      </c>
      <c r="W2888" s="35" t="s">
        <v>2272</v>
      </c>
      <c r="X2888" s="35" t="s">
        <v>2272</v>
      </c>
      <c r="Y2888" s="35" t="s">
        <v>2272</v>
      </c>
      <c r="Z2888" s="35" t="s">
        <v>2272</v>
      </c>
      <c r="AA2888" s="35" t="s">
        <v>2272</v>
      </c>
      <c r="AB2888" s="198"/>
      <c r="AC2888" s="198"/>
    </row>
    <row r="2889" spans="1:29" ht="31" customHeight="1">
      <c r="A2889" s="151" t="str">
        <f>'Reported burning'!A2889</f>
        <v>306i</v>
      </c>
      <c r="B2889" s="151" t="str">
        <f>'Reported burning'!B2889</f>
        <v>306i.1</v>
      </c>
      <c r="C2889" s="151" t="str">
        <f>'Reported burning'!C2889</f>
        <v>Human, deliberate</v>
      </c>
      <c r="D2889" s="151" t="str">
        <f>'Reported burning'!D2889</f>
        <v>Pyrome management</v>
      </c>
      <c r="E2889" s="151" t="str">
        <f>'Reported burning'!E2889</f>
        <v>Fire suppression agent</v>
      </c>
      <c r="F2889" s="151" t="str">
        <f>'Reported burning'!F2889</f>
        <v>ND</v>
      </c>
      <c r="G2889" s="151" t="str">
        <f>'Reported burning'!G2889</f>
        <v>ND</v>
      </c>
      <c r="H2889" s="151" t="str">
        <f>'Reported burning'!H2889</f>
        <v>Presence</v>
      </c>
      <c r="I2889" s="5"/>
      <c r="J2889" s="198" t="s">
        <v>2272</v>
      </c>
      <c r="K2889" s="198" t="s">
        <v>2272</v>
      </c>
      <c r="L2889" s="35" t="s">
        <v>2272</v>
      </c>
      <c r="M2889" s="35" t="s">
        <v>2272</v>
      </c>
      <c r="N2889" s="35" t="s">
        <v>2272</v>
      </c>
      <c r="O2889" s="35" t="s">
        <v>2272</v>
      </c>
      <c r="P2889" s="35" t="s">
        <v>2272</v>
      </c>
      <c r="Q2889" s="98" t="s">
        <v>2371</v>
      </c>
      <c r="R2889" s="35" t="s">
        <v>2272</v>
      </c>
      <c r="S2889" s="35" t="s">
        <v>2272</v>
      </c>
      <c r="T2889" s="35" t="s">
        <v>2272</v>
      </c>
      <c r="U2889" s="35" t="s">
        <v>2272</v>
      </c>
      <c r="V2889" s="35" t="s">
        <v>2272</v>
      </c>
      <c r="W2889" s="35" t="s">
        <v>2272</v>
      </c>
      <c r="X2889" s="35" t="s">
        <v>2272</v>
      </c>
      <c r="Y2889" s="35" t="s">
        <v>2272</v>
      </c>
      <c r="Z2889" s="35" t="s">
        <v>2272</v>
      </c>
      <c r="AA2889" s="35" t="s">
        <v>2272</v>
      </c>
      <c r="AB2889" s="198"/>
      <c r="AC2889" s="198"/>
    </row>
    <row r="2890" spans="1:29" ht="31" customHeight="1">
      <c r="A2890" s="151" t="str">
        <f>'Reported burning'!A2890</f>
        <v>306j</v>
      </c>
      <c r="B2890" s="151" t="str">
        <f>'Reported burning'!B2890</f>
        <v>306j.1</v>
      </c>
      <c r="C2890" s="151" t="str">
        <f>'Reported burning'!C2890</f>
        <v>Human, deliberate</v>
      </c>
      <c r="D2890" s="151" t="str">
        <f>'Reported burning'!D2890</f>
        <v>Pyrome management</v>
      </c>
      <c r="E2890" s="151" t="str">
        <f>'Reported burning'!E2890</f>
        <v>Fire suppression agent</v>
      </c>
      <c r="F2890" s="151" t="str">
        <f>'Reported burning'!F2890</f>
        <v>ND</v>
      </c>
      <c r="G2890" s="151" t="str">
        <f>'Reported burning'!G2890</f>
        <v>ND</v>
      </c>
      <c r="H2890" s="151" t="str">
        <f>'Reported burning'!H2890</f>
        <v>Presence</v>
      </c>
      <c r="I2890" s="5"/>
      <c r="J2890" s="198" t="s">
        <v>2272</v>
      </c>
      <c r="K2890" s="198" t="s">
        <v>2272</v>
      </c>
      <c r="L2890" s="35" t="s">
        <v>2272</v>
      </c>
      <c r="M2890" s="35" t="s">
        <v>2272</v>
      </c>
      <c r="N2890" s="35" t="s">
        <v>2272</v>
      </c>
      <c r="O2890" s="35" t="s">
        <v>2272</v>
      </c>
      <c r="P2890" s="35" t="s">
        <v>2272</v>
      </c>
      <c r="Q2890" s="98" t="s">
        <v>2372</v>
      </c>
      <c r="R2890" s="35" t="s">
        <v>2272</v>
      </c>
      <c r="S2890" s="35" t="s">
        <v>2272</v>
      </c>
      <c r="T2890" s="35" t="s">
        <v>2272</v>
      </c>
      <c r="U2890" s="35" t="s">
        <v>2272</v>
      </c>
      <c r="V2890" s="35" t="s">
        <v>2272</v>
      </c>
      <c r="W2890" s="35" t="s">
        <v>2272</v>
      </c>
      <c r="X2890" s="35" t="s">
        <v>2272</v>
      </c>
      <c r="Y2890" s="35" t="s">
        <v>2272</v>
      </c>
      <c r="Z2890" s="35" t="s">
        <v>2272</v>
      </c>
      <c r="AA2890" s="35" t="s">
        <v>2272</v>
      </c>
      <c r="AB2890" s="198"/>
      <c r="AC2890" s="198"/>
    </row>
    <row r="2891" spans="1:29" ht="31" customHeight="1">
      <c r="A2891" s="151" t="str">
        <f>'Reported burning'!A2891</f>
        <v>306k</v>
      </c>
      <c r="B2891" s="151" t="str">
        <f>'Reported burning'!B2891</f>
        <v>306k.1</v>
      </c>
      <c r="C2891" s="151" t="str">
        <f>'Reported burning'!C2891</f>
        <v>Human, deliberate</v>
      </c>
      <c r="D2891" s="151" t="str">
        <f>'Reported burning'!D2891</f>
        <v>Pyrome management</v>
      </c>
      <c r="E2891" s="151" t="str">
        <f>'Reported burning'!E2891</f>
        <v>Fire suppression agent</v>
      </c>
      <c r="F2891" s="151" t="str">
        <f>'Reported burning'!F2891</f>
        <v>ND</v>
      </c>
      <c r="G2891" s="151" t="str">
        <f>'Reported burning'!G2891</f>
        <v>ND</v>
      </c>
      <c r="H2891" s="151" t="str">
        <f>'Reported burning'!H2891</f>
        <v>Presence</v>
      </c>
      <c r="I2891" s="5"/>
      <c r="J2891" s="198" t="s">
        <v>2272</v>
      </c>
      <c r="K2891" s="198" t="s">
        <v>2272</v>
      </c>
      <c r="L2891" s="35" t="s">
        <v>2272</v>
      </c>
      <c r="M2891" s="35" t="s">
        <v>2272</v>
      </c>
      <c r="N2891" s="35" t="s">
        <v>2272</v>
      </c>
      <c r="O2891" s="35" t="s">
        <v>2272</v>
      </c>
      <c r="P2891" s="35" t="s">
        <v>2272</v>
      </c>
      <c r="Q2891" s="98" t="s">
        <v>2372</v>
      </c>
      <c r="R2891" s="35" t="s">
        <v>2272</v>
      </c>
      <c r="S2891" s="35" t="s">
        <v>2272</v>
      </c>
      <c r="T2891" s="35" t="s">
        <v>2272</v>
      </c>
      <c r="U2891" s="35" t="s">
        <v>2272</v>
      </c>
      <c r="V2891" s="35" t="s">
        <v>2272</v>
      </c>
      <c r="W2891" s="35" t="s">
        <v>2272</v>
      </c>
      <c r="X2891" s="35" t="s">
        <v>2272</v>
      </c>
      <c r="Y2891" s="35" t="s">
        <v>2272</v>
      </c>
      <c r="Z2891" s="35" t="s">
        <v>2272</v>
      </c>
      <c r="AA2891" s="35" t="s">
        <v>2272</v>
      </c>
      <c r="AB2891" s="198"/>
      <c r="AC2891" s="198"/>
    </row>
    <row r="2892" spans="1:29" ht="31" customHeight="1">
      <c r="A2892" s="151" t="str">
        <f>'Reported burning'!A2892</f>
        <v>306l</v>
      </c>
      <c r="B2892" s="151" t="str">
        <f>'Reported burning'!B2892</f>
        <v>306l.1</v>
      </c>
      <c r="C2892" s="151" t="str">
        <f>'Reported burning'!C2892</f>
        <v>Human, deliberate</v>
      </c>
      <c r="D2892" s="151" t="str">
        <f>'Reported burning'!D2892</f>
        <v>Pyrome management</v>
      </c>
      <c r="E2892" s="151" t="str">
        <f>'Reported burning'!E2892</f>
        <v>Fire suppression agent</v>
      </c>
      <c r="F2892" s="151" t="str">
        <f>'Reported burning'!F2892</f>
        <v>ND</v>
      </c>
      <c r="G2892" s="151" t="str">
        <f>'Reported burning'!G2892</f>
        <v>ND</v>
      </c>
      <c r="H2892" s="151" t="str">
        <f>'Reported burning'!H2892</f>
        <v>Presence</v>
      </c>
      <c r="I2892" s="5"/>
      <c r="J2892" s="198" t="s">
        <v>2272</v>
      </c>
      <c r="K2892" s="198" t="s">
        <v>2272</v>
      </c>
      <c r="L2892" s="35" t="s">
        <v>2272</v>
      </c>
      <c r="M2892" s="35" t="s">
        <v>2272</v>
      </c>
      <c r="N2892" s="35" t="s">
        <v>2272</v>
      </c>
      <c r="O2892" s="35" t="s">
        <v>2272</v>
      </c>
      <c r="P2892" s="35" t="s">
        <v>2272</v>
      </c>
      <c r="Q2892" s="98" t="s">
        <v>2375</v>
      </c>
      <c r="R2892" s="35" t="s">
        <v>2272</v>
      </c>
      <c r="S2892" s="35" t="s">
        <v>2272</v>
      </c>
      <c r="T2892" s="35" t="s">
        <v>2272</v>
      </c>
      <c r="U2892" s="35" t="s">
        <v>2272</v>
      </c>
      <c r="V2892" s="35" t="s">
        <v>2272</v>
      </c>
      <c r="W2892" s="35" t="s">
        <v>2272</v>
      </c>
      <c r="X2892" s="35" t="s">
        <v>2272</v>
      </c>
      <c r="Y2892" s="35" t="s">
        <v>2272</v>
      </c>
      <c r="Z2892" s="35" t="s">
        <v>2272</v>
      </c>
      <c r="AA2892" s="35" t="s">
        <v>2272</v>
      </c>
      <c r="AB2892" s="198"/>
      <c r="AC2892" s="198"/>
    </row>
    <row r="2893" spans="1:29" ht="31" customHeight="1">
      <c r="A2893" s="179" t="str">
        <f>'Reported burning'!A2893</f>
        <v>306m</v>
      </c>
      <c r="B2893" s="179" t="str">
        <f>'Reported burning'!B2893</f>
        <v>306m.1</v>
      </c>
      <c r="C2893" s="179" t="str">
        <f>'Reported burning'!C2893</f>
        <v>Human, deliberate</v>
      </c>
      <c r="D2893" s="179" t="str">
        <f>'Reported burning'!D2893</f>
        <v>Pyrome management</v>
      </c>
      <c r="E2893" s="179" t="str">
        <f>'Reported burning'!E2893</f>
        <v>Fire suppression agent</v>
      </c>
      <c r="F2893" s="179" t="str">
        <f>'Reported burning'!F2893</f>
        <v>ND</v>
      </c>
      <c r="G2893" s="179" t="str">
        <f>'Reported burning'!G2893</f>
        <v>ND</v>
      </c>
      <c r="H2893" s="179" t="str">
        <f>'Reported burning'!H2893</f>
        <v>Presence</v>
      </c>
      <c r="I2893" s="32"/>
      <c r="J2893" s="35" t="s">
        <v>2272</v>
      </c>
      <c r="K2893" s="35" t="s">
        <v>2272</v>
      </c>
      <c r="L2893" s="35" t="s">
        <v>2272</v>
      </c>
      <c r="M2893" s="35" t="s">
        <v>2272</v>
      </c>
      <c r="N2893" s="35" t="s">
        <v>2272</v>
      </c>
      <c r="O2893" s="35" t="s">
        <v>2272</v>
      </c>
      <c r="P2893" s="35" t="s">
        <v>2272</v>
      </c>
      <c r="Q2893" s="98" t="s">
        <v>2371</v>
      </c>
      <c r="R2893" s="35" t="s">
        <v>2272</v>
      </c>
      <c r="S2893" s="35" t="s">
        <v>2272</v>
      </c>
      <c r="T2893" s="35" t="s">
        <v>2272</v>
      </c>
      <c r="U2893" s="35" t="s">
        <v>2272</v>
      </c>
      <c r="V2893" s="35" t="s">
        <v>2272</v>
      </c>
      <c r="W2893" s="35" t="s">
        <v>2272</v>
      </c>
      <c r="X2893" s="35" t="s">
        <v>2272</v>
      </c>
      <c r="Y2893" s="35" t="s">
        <v>2272</v>
      </c>
      <c r="Z2893" s="35" t="s">
        <v>2272</v>
      </c>
      <c r="AA2893" s="35" t="s">
        <v>2272</v>
      </c>
      <c r="AB2893" s="35"/>
      <c r="AC2893" s="35"/>
    </row>
    <row r="2894" spans="1:29" ht="31" customHeight="1">
      <c r="A2894" s="147" t="str">
        <f>'Reported burning'!A2894</f>
        <v>306n</v>
      </c>
      <c r="B2894" s="147" t="str">
        <f>'Reported burning'!B2894</f>
        <v>306n.1</v>
      </c>
      <c r="C2894" s="147" t="str">
        <f>'Reported burning'!C2894</f>
        <v>Human, deliberate</v>
      </c>
      <c r="D2894" s="147" t="str">
        <f>'Reported burning'!D2894</f>
        <v>Pyrome management</v>
      </c>
      <c r="E2894" s="147" t="str">
        <f>'Reported burning'!E2894</f>
        <v>Fire suppression agent</v>
      </c>
      <c r="F2894" s="147" t="str">
        <f>'Reported burning'!F2894</f>
        <v>ND</v>
      </c>
      <c r="G2894" s="147" t="str">
        <f>'Reported burning'!G2894</f>
        <v>ND</v>
      </c>
      <c r="H2894" s="147" t="str">
        <f>'Reported burning'!H2894</f>
        <v>Presence</v>
      </c>
      <c r="I2894" s="198"/>
      <c r="J2894" s="35" t="s">
        <v>2272</v>
      </c>
      <c r="K2894" s="35" t="s">
        <v>2272</v>
      </c>
      <c r="L2894" s="35" t="s">
        <v>2272</v>
      </c>
      <c r="M2894" s="35" t="s">
        <v>2272</v>
      </c>
      <c r="N2894" s="35" t="s">
        <v>2272</v>
      </c>
      <c r="O2894" s="35" t="s">
        <v>2272</v>
      </c>
      <c r="P2894" s="35" t="s">
        <v>2272</v>
      </c>
      <c r="Q2894" s="98" t="s">
        <v>2376</v>
      </c>
      <c r="R2894" s="35" t="s">
        <v>2272</v>
      </c>
      <c r="S2894" s="35" t="s">
        <v>2272</v>
      </c>
      <c r="T2894" s="35" t="s">
        <v>2272</v>
      </c>
      <c r="U2894" s="35" t="s">
        <v>2272</v>
      </c>
      <c r="V2894" s="35" t="s">
        <v>2272</v>
      </c>
      <c r="W2894" s="35" t="s">
        <v>2272</v>
      </c>
      <c r="X2894" s="35" t="s">
        <v>2272</v>
      </c>
      <c r="Y2894" s="35" t="s">
        <v>2272</v>
      </c>
      <c r="Z2894" s="35" t="s">
        <v>2272</v>
      </c>
      <c r="AA2894" s="35" t="s">
        <v>2272</v>
      </c>
      <c r="AB2894" s="198"/>
      <c r="AC2894" s="198"/>
    </row>
    <row r="2895" spans="1:29" ht="31" customHeight="1">
      <c r="A2895" s="147" t="str">
        <f>'Reported burning'!A2895</f>
        <v>306o</v>
      </c>
      <c r="B2895" s="147" t="str">
        <f>'Reported burning'!B2895</f>
        <v>306o.1</v>
      </c>
      <c r="C2895" s="147" t="str">
        <f>'Reported burning'!C2895</f>
        <v>Human, deliberate</v>
      </c>
      <c r="D2895" s="147" t="str">
        <f>'Reported burning'!D2895</f>
        <v>Pyrome management</v>
      </c>
      <c r="E2895" s="147" t="str">
        <f>'Reported burning'!E2895</f>
        <v>Fire suppression agent</v>
      </c>
      <c r="F2895" s="147" t="str">
        <f>'Reported burning'!F2895</f>
        <v>ND</v>
      </c>
      <c r="G2895" s="147" t="str">
        <f>'Reported burning'!G2895</f>
        <v>ND</v>
      </c>
      <c r="H2895" s="147" t="str">
        <f>'Reported burning'!H2895</f>
        <v>Presence</v>
      </c>
      <c r="I2895" s="198"/>
      <c r="J2895" s="35" t="s">
        <v>2272</v>
      </c>
      <c r="K2895" s="35" t="s">
        <v>2272</v>
      </c>
      <c r="L2895" s="35" t="s">
        <v>2272</v>
      </c>
      <c r="M2895" s="35" t="s">
        <v>2272</v>
      </c>
      <c r="N2895" s="35" t="s">
        <v>2272</v>
      </c>
      <c r="O2895" s="35" t="s">
        <v>2272</v>
      </c>
      <c r="P2895" s="35" t="s">
        <v>2272</v>
      </c>
      <c r="Q2895" s="98" t="s">
        <v>2373</v>
      </c>
      <c r="R2895" s="35" t="s">
        <v>2272</v>
      </c>
      <c r="S2895" s="35" t="s">
        <v>2272</v>
      </c>
      <c r="T2895" s="35" t="s">
        <v>2272</v>
      </c>
      <c r="U2895" s="35" t="s">
        <v>2272</v>
      </c>
      <c r="V2895" s="35" t="s">
        <v>2272</v>
      </c>
      <c r="W2895" s="35" t="s">
        <v>2272</v>
      </c>
      <c r="X2895" s="35" t="s">
        <v>2272</v>
      </c>
      <c r="Y2895" s="35" t="s">
        <v>2272</v>
      </c>
      <c r="Z2895" s="35" t="s">
        <v>2272</v>
      </c>
      <c r="AA2895" s="35" t="s">
        <v>2272</v>
      </c>
      <c r="AB2895" s="198"/>
      <c r="AC2895" s="198"/>
    </row>
    <row r="2896" spans="1:29" ht="31" customHeight="1">
      <c r="A2896" s="147" t="str">
        <f>'Reported burning'!A2896</f>
        <v>306p</v>
      </c>
      <c r="B2896" s="147" t="str">
        <f>'Reported burning'!B2896</f>
        <v>306p.1</v>
      </c>
      <c r="C2896" s="147" t="str">
        <f>'Reported burning'!C2896</f>
        <v>Human, deliberate</v>
      </c>
      <c r="D2896" s="147" t="str">
        <f>'Reported burning'!D2896</f>
        <v>Pyrome management</v>
      </c>
      <c r="E2896" s="147" t="str">
        <f>'Reported burning'!E2896</f>
        <v>Fire suppression agent</v>
      </c>
      <c r="F2896" s="147" t="str">
        <f>'Reported burning'!F2896</f>
        <v>ND</v>
      </c>
      <c r="G2896" s="147" t="str">
        <f>'Reported burning'!G2896</f>
        <v>ND</v>
      </c>
      <c r="H2896" s="147" t="str">
        <f>'Reported burning'!H2896</f>
        <v>Presence</v>
      </c>
      <c r="I2896" s="198"/>
      <c r="J2896" s="35" t="s">
        <v>2272</v>
      </c>
      <c r="K2896" s="35" t="s">
        <v>2272</v>
      </c>
      <c r="L2896" s="35" t="s">
        <v>2272</v>
      </c>
      <c r="M2896" s="35" t="s">
        <v>2272</v>
      </c>
      <c r="N2896" s="35" t="s">
        <v>2272</v>
      </c>
      <c r="O2896" s="35" t="s">
        <v>2272</v>
      </c>
      <c r="P2896" s="35" t="s">
        <v>2272</v>
      </c>
      <c r="Q2896" s="98" t="s">
        <v>2373</v>
      </c>
      <c r="R2896" s="35" t="s">
        <v>2272</v>
      </c>
      <c r="S2896" s="35" t="s">
        <v>2272</v>
      </c>
      <c r="T2896" s="35" t="s">
        <v>2272</v>
      </c>
      <c r="U2896" s="35" t="s">
        <v>2272</v>
      </c>
      <c r="V2896" s="35" t="s">
        <v>2272</v>
      </c>
      <c r="W2896" s="35" t="s">
        <v>2272</v>
      </c>
      <c r="X2896" s="35" t="s">
        <v>2272</v>
      </c>
      <c r="Y2896" s="35" t="s">
        <v>2272</v>
      </c>
      <c r="Z2896" s="35" t="s">
        <v>2272</v>
      </c>
      <c r="AA2896" s="35" t="s">
        <v>2272</v>
      </c>
      <c r="AB2896" s="198"/>
      <c r="AC2896" s="198"/>
    </row>
    <row r="2897" spans="1:29" ht="31" customHeight="1">
      <c r="A2897" s="147" t="str">
        <f>'Reported burning'!A2897</f>
        <v>306q</v>
      </c>
      <c r="B2897" s="147" t="str">
        <f>'Reported burning'!B2897</f>
        <v>306q.1</v>
      </c>
      <c r="C2897" s="147" t="str">
        <f>'Reported burning'!C2897</f>
        <v>Human, deliberate</v>
      </c>
      <c r="D2897" s="147" t="str">
        <f>'Reported burning'!D2897</f>
        <v>Pyrome management</v>
      </c>
      <c r="E2897" s="147" t="str">
        <f>'Reported burning'!E2897</f>
        <v>Fire suppression agent</v>
      </c>
      <c r="F2897" s="147" t="str">
        <f>'Reported burning'!F2897</f>
        <v>ND</v>
      </c>
      <c r="G2897" s="147" t="str">
        <f>'Reported burning'!G2897</f>
        <v>ND</v>
      </c>
      <c r="H2897" s="147" t="str">
        <f>'Reported burning'!H2897</f>
        <v>Presence</v>
      </c>
      <c r="I2897" s="198"/>
      <c r="J2897" s="35" t="s">
        <v>2272</v>
      </c>
      <c r="K2897" s="35" t="s">
        <v>2272</v>
      </c>
      <c r="L2897" s="35" t="s">
        <v>2272</v>
      </c>
      <c r="M2897" s="35" t="s">
        <v>2272</v>
      </c>
      <c r="N2897" s="35" t="s">
        <v>2272</v>
      </c>
      <c r="O2897" s="35" t="s">
        <v>2272</v>
      </c>
      <c r="P2897" s="35" t="s">
        <v>2272</v>
      </c>
      <c r="Q2897" s="98" t="s">
        <v>2374</v>
      </c>
      <c r="R2897" s="35" t="s">
        <v>2272</v>
      </c>
      <c r="S2897" s="35" t="s">
        <v>2272</v>
      </c>
      <c r="T2897" s="35" t="s">
        <v>2272</v>
      </c>
      <c r="U2897" s="35" t="s">
        <v>2272</v>
      </c>
      <c r="V2897" s="35" t="s">
        <v>2272</v>
      </c>
      <c r="W2897" s="35" t="s">
        <v>2272</v>
      </c>
      <c r="X2897" s="35" t="s">
        <v>2272</v>
      </c>
      <c r="Y2897" s="35" t="s">
        <v>2272</v>
      </c>
      <c r="Z2897" s="35" t="s">
        <v>2272</v>
      </c>
      <c r="AA2897" s="35" t="s">
        <v>2272</v>
      </c>
      <c r="AB2897" s="198"/>
      <c r="AC2897" s="198"/>
    </row>
    <row r="2898" spans="1:29" ht="31" customHeight="1">
      <c r="A2898" s="147" t="str">
        <f>'Reported burning'!A2898</f>
        <v>306r</v>
      </c>
      <c r="B2898" s="147" t="str">
        <f>'Reported burning'!B2898</f>
        <v>306r.1</v>
      </c>
      <c r="C2898" s="147" t="str">
        <f>'Reported burning'!C2898</f>
        <v>Human, deliberate</v>
      </c>
      <c r="D2898" s="147" t="str">
        <f>'Reported burning'!D2898</f>
        <v>Pyrome management</v>
      </c>
      <c r="E2898" s="147" t="str">
        <f>'Reported burning'!E2898</f>
        <v>Fire suppression agent</v>
      </c>
      <c r="F2898" s="147" t="str">
        <f>'Reported burning'!F2898</f>
        <v>ND</v>
      </c>
      <c r="G2898" s="147" t="str">
        <f>'Reported burning'!G2898</f>
        <v>ND</v>
      </c>
      <c r="H2898" s="147" t="str">
        <f>'Reported burning'!H2898</f>
        <v>Presence</v>
      </c>
      <c r="I2898" s="198"/>
      <c r="J2898" s="35" t="s">
        <v>2272</v>
      </c>
      <c r="K2898" s="35" t="s">
        <v>2272</v>
      </c>
      <c r="L2898" s="35" t="s">
        <v>2272</v>
      </c>
      <c r="M2898" s="35" t="s">
        <v>2272</v>
      </c>
      <c r="N2898" s="35" t="s">
        <v>2272</v>
      </c>
      <c r="O2898" s="35" t="s">
        <v>2272</v>
      </c>
      <c r="P2898" s="35" t="s">
        <v>2272</v>
      </c>
      <c r="Q2898" s="98" t="s">
        <v>2375</v>
      </c>
      <c r="R2898" s="35" t="s">
        <v>2272</v>
      </c>
      <c r="S2898" s="35" t="s">
        <v>2272</v>
      </c>
      <c r="T2898" s="35" t="s">
        <v>2272</v>
      </c>
      <c r="U2898" s="35" t="s">
        <v>2272</v>
      </c>
      <c r="V2898" s="35" t="s">
        <v>2272</v>
      </c>
      <c r="W2898" s="35" t="s">
        <v>2272</v>
      </c>
      <c r="X2898" s="35" t="s">
        <v>2272</v>
      </c>
      <c r="Y2898" s="35" t="s">
        <v>2272</v>
      </c>
      <c r="Z2898" s="35" t="s">
        <v>2272</v>
      </c>
      <c r="AA2898" s="35" t="s">
        <v>2272</v>
      </c>
      <c r="AB2898" s="198"/>
      <c r="AC2898" s="198"/>
    </row>
    <row r="2899" spans="1:29" ht="31" customHeight="1">
      <c r="A2899" s="147" t="str">
        <f>'Reported burning'!A2899</f>
        <v>306s</v>
      </c>
      <c r="B2899" s="147" t="str">
        <f>'Reported burning'!B2899</f>
        <v>306s.1</v>
      </c>
      <c r="C2899" s="147" t="str">
        <f>'Reported burning'!C2899</f>
        <v>Human, deliberate</v>
      </c>
      <c r="D2899" s="147" t="str">
        <f>'Reported burning'!D2899</f>
        <v>Pyrome management</v>
      </c>
      <c r="E2899" s="147" t="str">
        <f>'Reported burning'!E2899</f>
        <v>Fire suppression agent</v>
      </c>
      <c r="F2899" s="147" t="str">
        <f>'Reported burning'!F2899</f>
        <v>ND</v>
      </c>
      <c r="G2899" s="147" t="str">
        <f>'Reported burning'!G2899</f>
        <v>ND</v>
      </c>
      <c r="H2899" s="147" t="str">
        <f>'Reported burning'!H2899</f>
        <v>Presence</v>
      </c>
      <c r="I2899" s="198"/>
      <c r="J2899" s="35" t="s">
        <v>2272</v>
      </c>
      <c r="K2899" s="35" t="s">
        <v>2272</v>
      </c>
      <c r="L2899" s="35" t="s">
        <v>2272</v>
      </c>
      <c r="M2899" s="35" t="s">
        <v>2272</v>
      </c>
      <c r="N2899" s="35" t="s">
        <v>2272</v>
      </c>
      <c r="O2899" s="35" t="s">
        <v>2272</v>
      </c>
      <c r="P2899" s="35" t="s">
        <v>2272</v>
      </c>
      <c r="Q2899" s="98" t="s">
        <v>2372</v>
      </c>
      <c r="R2899" s="35" t="s">
        <v>2272</v>
      </c>
      <c r="S2899" s="35" t="s">
        <v>2272</v>
      </c>
      <c r="T2899" s="35" t="s">
        <v>2272</v>
      </c>
      <c r="U2899" s="35" t="s">
        <v>2272</v>
      </c>
      <c r="V2899" s="35" t="s">
        <v>2272</v>
      </c>
      <c r="W2899" s="35" t="s">
        <v>2272</v>
      </c>
      <c r="X2899" s="35" t="s">
        <v>2272</v>
      </c>
      <c r="Y2899" s="35" t="s">
        <v>2272</v>
      </c>
      <c r="Z2899" s="35" t="s">
        <v>2272</v>
      </c>
      <c r="AA2899" s="35" t="s">
        <v>2272</v>
      </c>
      <c r="AB2899" s="198"/>
      <c r="AC2899" s="198"/>
    </row>
    <row r="2900" spans="1:29" ht="31" customHeight="1">
      <c r="A2900" s="147" t="str">
        <f>'Reported burning'!A2900</f>
        <v>306t</v>
      </c>
      <c r="B2900" s="147" t="str">
        <f>'Reported burning'!B2900</f>
        <v>306t.1</v>
      </c>
      <c r="C2900" s="147" t="str">
        <f>'Reported burning'!C2900</f>
        <v>Human, deliberate</v>
      </c>
      <c r="D2900" s="147" t="str">
        <f>'Reported burning'!D2900</f>
        <v>Pyrome management</v>
      </c>
      <c r="E2900" s="147" t="str">
        <f>'Reported burning'!E2900</f>
        <v>Fire suppression agent</v>
      </c>
      <c r="F2900" s="147" t="str">
        <f>'Reported burning'!F2900</f>
        <v>ND</v>
      </c>
      <c r="G2900" s="147" t="str">
        <f>'Reported burning'!G2900</f>
        <v>ND</v>
      </c>
      <c r="H2900" s="147" t="str">
        <f>'Reported burning'!H2900</f>
        <v>Presence</v>
      </c>
      <c r="I2900" s="198"/>
      <c r="J2900" s="35" t="s">
        <v>2272</v>
      </c>
      <c r="K2900" s="35" t="s">
        <v>2272</v>
      </c>
      <c r="L2900" s="35" t="s">
        <v>2272</v>
      </c>
      <c r="M2900" s="35" t="s">
        <v>2272</v>
      </c>
      <c r="N2900" s="35" t="s">
        <v>2272</v>
      </c>
      <c r="O2900" s="35" t="s">
        <v>2272</v>
      </c>
      <c r="P2900" s="35" t="s">
        <v>2272</v>
      </c>
      <c r="Q2900" s="98" t="s">
        <v>2373</v>
      </c>
      <c r="R2900" s="35" t="s">
        <v>2272</v>
      </c>
      <c r="S2900" s="35" t="s">
        <v>2272</v>
      </c>
      <c r="T2900" s="35" t="s">
        <v>2272</v>
      </c>
      <c r="U2900" s="35" t="s">
        <v>2272</v>
      </c>
      <c r="V2900" s="35" t="s">
        <v>2272</v>
      </c>
      <c r="W2900" s="35" t="s">
        <v>2272</v>
      </c>
      <c r="X2900" s="35" t="s">
        <v>2272</v>
      </c>
      <c r="Y2900" s="35" t="s">
        <v>2272</v>
      </c>
      <c r="Z2900" s="35" t="s">
        <v>2272</v>
      </c>
      <c r="AA2900" s="35" t="s">
        <v>2272</v>
      </c>
      <c r="AB2900" s="198"/>
      <c r="AC2900" s="198"/>
    </row>
    <row r="2901" spans="1:29" ht="31" customHeight="1">
      <c r="A2901" s="147" t="str">
        <f>'Reported burning'!A2901</f>
        <v>306u</v>
      </c>
      <c r="B2901" s="147" t="str">
        <f>'Reported burning'!B2901</f>
        <v>306u.1</v>
      </c>
      <c r="C2901" s="147" t="str">
        <f>'Reported burning'!C2901</f>
        <v>Human, deliberate</v>
      </c>
      <c r="D2901" s="147" t="str">
        <f>'Reported burning'!D2901</f>
        <v>Pyrome management</v>
      </c>
      <c r="E2901" s="147" t="str">
        <f>'Reported burning'!E2901</f>
        <v>Fire suppression agent</v>
      </c>
      <c r="F2901" s="147" t="str">
        <f>'Reported burning'!F2901</f>
        <v>ND</v>
      </c>
      <c r="G2901" s="147" t="str">
        <f>'Reported burning'!G2901</f>
        <v>ND</v>
      </c>
      <c r="H2901" s="147" t="str">
        <f>'Reported burning'!H2901</f>
        <v>Presence</v>
      </c>
      <c r="I2901" s="198"/>
      <c r="J2901" s="35" t="s">
        <v>2272</v>
      </c>
      <c r="K2901" s="35" t="s">
        <v>2272</v>
      </c>
      <c r="L2901" s="35" t="s">
        <v>2272</v>
      </c>
      <c r="M2901" s="35" t="s">
        <v>2272</v>
      </c>
      <c r="N2901" s="35" t="s">
        <v>2272</v>
      </c>
      <c r="O2901" s="35" t="s">
        <v>2272</v>
      </c>
      <c r="P2901" s="35" t="s">
        <v>2272</v>
      </c>
      <c r="Q2901" s="98" t="s">
        <v>2372</v>
      </c>
      <c r="R2901" s="35" t="s">
        <v>2272</v>
      </c>
      <c r="S2901" s="35" t="s">
        <v>2272</v>
      </c>
      <c r="T2901" s="35" t="s">
        <v>2272</v>
      </c>
      <c r="U2901" s="35" t="s">
        <v>2272</v>
      </c>
      <c r="V2901" s="35" t="s">
        <v>2272</v>
      </c>
      <c r="W2901" s="35" t="s">
        <v>2272</v>
      </c>
      <c r="X2901" s="35" t="s">
        <v>2272</v>
      </c>
      <c r="Y2901" s="35" t="s">
        <v>2272</v>
      </c>
      <c r="Z2901" s="35" t="s">
        <v>2272</v>
      </c>
      <c r="AA2901" s="35" t="s">
        <v>2272</v>
      </c>
      <c r="AB2901" s="198"/>
      <c r="AC2901" s="198"/>
    </row>
    <row r="2902" spans="1:29" ht="31" customHeight="1">
      <c r="A2902" s="147" t="str">
        <f>'Reported burning'!A2902</f>
        <v>306v</v>
      </c>
      <c r="B2902" s="147" t="str">
        <f>'Reported burning'!B2902</f>
        <v>306v.1</v>
      </c>
      <c r="C2902" s="147" t="str">
        <f>'Reported burning'!C2902</f>
        <v>Human, deliberate</v>
      </c>
      <c r="D2902" s="147" t="str">
        <f>'Reported burning'!D2902</f>
        <v>Pyrome management</v>
      </c>
      <c r="E2902" s="147" t="str">
        <f>'Reported burning'!E2902</f>
        <v>Fire suppression agent</v>
      </c>
      <c r="F2902" s="147" t="str">
        <f>'Reported burning'!F2902</f>
        <v>ND</v>
      </c>
      <c r="G2902" s="147" t="str">
        <f>'Reported burning'!G2902</f>
        <v>ND</v>
      </c>
      <c r="H2902" s="147" t="str">
        <f>'Reported burning'!H2902</f>
        <v>Presence</v>
      </c>
      <c r="I2902" s="198"/>
      <c r="J2902" s="35" t="s">
        <v>2272</v>
      </c>
      <c r="K2902" s="35" t="s">
        <v>2272</v>
      </c>
      <c r="L2902" s="35" t="s">
        <v>2272</v>
      </c>
      <c r="M2902" s="35" t="s">
        <v>2272</v>
      </c>
      <c r="N2902" s="35" t="s">
        <v>2272</v>
      </c>
      <c r="O2902" s="35" t="s">
        <v>2272</v>
      </c>
      <c r="P2902" s="35" t="s">
        <v>2272</v>
      </c>
      <c r="Q2902" s="98" t="s">
        <v>2373</v>
      </c>
      <c r="R2902" s="35" t="s">
        <v>2272</v>
      </c>
      <c r="S2902" s="35" t="s">
        <v>2272</v>
      </c>
      <c r="T2902" s="35" t="s">
        <v>2272</v>
      </c>
      <c r="U2902" s="35" t="s">
        <v>2272</v>
      </c>
      <c r="V2902" s="35" t="s">
        <v>2272</v>
      </c>
      <c r="W2902" s="35" t="s">
        <v>2272</v>
      </c>
      <c r="X2902" s="35" t="s">
        <v>2272</v>
      </c>
      <c r="Y2902" s="35" t="s">
        <v>2272</v>
      </c>
      <c r="Z2902" s="35" t="s">
        <v>2272</v>
      </c>
      <c r="AA2902" s="35" t="s">
        <v>2272</v>
      </c>
      <c r="AB2902" s="198"/>
      <c r="AC2902" s="198"/>
    </row>
    <row r="2903" spans="1:29" ht="31" customHeight="1">
      <c r="A2903" s="147" t="str">
        <f>'Reported burning'!A2903</f>
        <v>306w</v>
      </c>
      <c r="B2903" s="147" t="str">
        <f>'Reported burning'!B2903</f>
        <v>306w.1</v>
      </c>
      <c r="C2903" s="147" t="str">
        <f>'Reported burning'!C2903</f>
        <v>Human, deliberate</v>
      </c>
      <c r="D2903" s="147" t="str">
        <f>'Reported burning'!D2903</f>
        <v>Pyrome management</v>
      </c>
      <c r="E2903" s="147" t="str">
        <f>'Reported burning'!E2903</f>
        <v>Fire suppression agent</v>
      </c>
      <c r="F2903" s="147" t="str">
        <f>'Reported burning'!F2903</f>
        <v>ND</v>
      </c>
      <c r="G2903" s="147" t="str">
        <f>'Reported burning'!G2903</f>
        <v>ND</v>
      </c>
      <c r="H2903" s="147" t="str">
        <f>'Reported burning'!H2903</f>
        <v>Presence</v>
      </c>
      <c r="I2903" s="198"/>
      <c r="J2903" s="35" t="s">
        <v>2272</v>
      </c>
      <c r="K2903" s="35" t="s">
        <v>2272</v>
      </c>
      <c r="L2903" s="35" t="s">
        <v>2272</v>
      </c>
      <c r="M2903" s="35" t="s">
        <v>2272</v>
      </c>
      <c r="N2903" s="35" t="s">
        <v>2272</v>
      </c>
      <c r="O2903" s="35" t="s">
        <v>2272</v>
      </c>
      <c r="P2903" s="35" t="s">
        <v>2272</v>
      </c>
      <c r="Q2903" s="98" t="s">
        <v>2372</v>
      </c>
      <c r="R2903" s="35" t="s">
        <v>2272</v>
      </c>
      <c r="S2903" s="35" t="s">
        <v>2272</v>
      </c>
      <c r="T2903" s="35" t="s">
        <v>2272</v>
      </c>
      <c r="U2903" s="35" t="s">
        <v>2272</v>
      </c>
      <c r="V2903" s="35" t="s">
        <v>2272</v>
      </c>
      <c r="W2903" s="35" t="s">
        <v>2272</v>
      </c>
      <c r="X2903" s="35" t="s">
        <v>2272</v>
      </c>
      <c r="Y2903" s="35" t="s">
        <v>2272</v>
      </c>
      <c r="Z2903" s="35" t="s">
        <v>2272</v>
      </c>
      <c r="AA2903" s="35" t="s">
        <v>2272</v>
      </c>
      <c r="AB2903" s="198"/>
      <c r="AC2903" s="198"/>
    </row>
    <row r="2904" spans="1:29" ht="31" customHeight="1">
      <c r="A2904" s="147" t="str">
        <f>'Reported burning'!A2904</f>
        <v>306x</v>
      </c>
      <c r="B2904" s="147" t="str">
        <f>'Reported burning'!B2904</f>
        <v>306x.1</v>
      </c>
      <c r="C2904" s="147" t="str">
        <f>'Reported burning'!C2904</f>
        <v>Human, deliberate</v>
      </c>
      <c r="D2904" s="147" t="str">
        <f>'Reported burning'!D2904</f>
        <v>Pyrome management</v>
      </c>
      <c r="E2904" s="147" t="str">
        <f>'Reported burning'!E2904</f>
        <v>Fire suppression agent</v>
      </c>
      <c r="F2904" s="147" t="str">
        <f>'Reported burning'!F2904</f>
        <v>ND</v>
      </c>
      <c r="G2904" s="147" t="str">
        <f>'Reported burning'!G2904</f>
        <v>ND</v>
      </c>
      <c r="H2904" s="147" t="str">
        <f>'Reported burning'!H2904</f>
        <v>Presence</v>
      </c>
      <c r="I2904" s="198"/>
      <c r="J2904" s="35" t="s">
        <v>2272</v>
      </c>
      <c r="K2904" s="35" t="s">
        <v>2272</v>
      </c>
      <c r="L2904" s="35" t="s">
        <v>2272</v>
      </c>
      <c r="M2904" s="35" t="s">
        <v>2272</v>
      </c>
      <c r="N2904" s="35" t="s">
        <v>2272</v>
      </c>
      <c r="O2904" s="35" t="s">
        <v>2272</v>
      </c>
      <c r="P2904" s="35" t="s">
        <v>2272</v>
      </c>
      <c r="Q2904" s="98" t="s">
        <v>2373</v>
      </c>
      <c r="R2904" s="35" t="s">
        <v>2272</v>
      </c>
      <c r="S2904" s="35" t="s">
        <v>2272</v>
      </c>
      <c r="T2904" s="35" t="s">
        <v>2272</v>
      </c>
      <c r="U2904" s="35" t="s">
        <v>2272</v>
      </c>
      <c r="V2904" s="35" t="s">
        <v>2272</v>
      </c>
      <c r="W2904" s="35" t="s">
        <v>2272</v>
      </c>
      <c r="X2904" s="35" t="s">
        <v>2272</v>
      </c>
      <c r="Y2904" s="35" t="s">
        <v>2272</v>
      </c>
      <c r="Z2904" s="35" t="s">
        <v>2272</v>
      </c>
      <c r="AA2904" s="35" t="s">
        <v>2272</v>
      </c>
      <c r="AB2904" s="198"/>
      <c r="AC2904" s="198"/>
    </row>
    <row r="2905" spans="1:29" ht="31" customHeight="1">
      <c r="A2905" s="147" t="str">
        <f>'Reported burning'!A2905</f>
        <v>306y</v>
      </c>
      <c r="B2905" s="147" t="str">
        <f>'Reported burning'!B2905</f>
        <v>306y.1</v>
      </c>
      <c r="C2905" s="147" t="str">
        <f>'Reported burning'!C2905</f>
        <v>Human, deliberate</v>
      </c>
      <c r="D2905" s="147" t="str">
        <f>'Reported burning'!D2905</f>
        <v>Pyrome management</v>
      </c>
      <c r="E2905" s="147" t="str">
        <f>'Reported burning'!E2905</f>
        <v>Fire suppression agent</v>
      </c>
      <c r="F2905" s="147" t="str">
        <f>'Reported burning'!F2905</f>
        <v>ND</v>
      </c>
      <c r="G2905" s="147" t="str">
        <f>'Reported burning'!G2905</f>
        <v>ND</v>
      </c>
      <c r="H2905" s="147" t="str">
        <f>'Reported burning'!H2905</f>
        <v>Presence</v>
      </c>
      <c r="I2905" s="198"/>
      <c r="J2905" s="35" t="s">
        <v>2272</v>
      </c>
      <c r="K2905" s="35" t="s">
        <v>2272</v>
      </c>
      <c r="L2905" s="35" t="s">
        <v>2272</v>
      </c>
      <c r="M2905" s="35" t="s">
        <v>2272</v>
      </c>
      <c r="N2905" s="35" t="s">
        <v>2272</v>
      </c>
      <c r="O2905" s="35" t="s">
        <v>2272</v>
      </c>
      <c r="P2905" s="35" t="s">
        <v>2272</v>
      </c>
      <c r="Q2905" s="98" t="s">
        <v>2374</v>
      </c>
      <c r="R2905" s="35" t="s">
        <v>2272</v>
      </c>
      <c r="S2905" s="35" t="s">
        <v>2272</v>
      </c>
      <c r="T2905" s="35" t="s">
        <v>2272</v>
      </c>
      <c r="U2905" s="35" t="s">
        <v>2272</v>
      </c>
      <c r="V2905" s="35" t="s">
        <v>2272</v>
      </c>
      <c r="W2905" s="35" t="s">
        <v>2272</v>
      </c>
      <c r="X2905" s="35" t="s">
        <v>2272</v>
      </c>
      <c r="Y2905" s="35" t="s">
        <v>2272</v>
      </c>
      <c r="Z2905" s="35" t="s">
        <v>2272</v>
      </c>
      <c r="AA2905" s="35" t="s">
        <v>2272</v>
      </c>
      <c r="AB2905" s="198"/>
      <c r="AC2905" s="198"/>
    </row>
    <row r="2906" spans="1:29" ht="31" customHeight="1">
      <c r="A2906" s="147" t="str">
        <f>'Reported burning'!A2906</f>
        <v>306z</v>
      </c>
      <c r="B2906" s="147" t="str">
        <f>'Reported burning'!B2906</f>
        <v>306z.1</v>
      </c>
      <c r="C2906" s="147" t="str">
        <f>'Reported burning'!C2906</f>
        <v>Human, deliberate</v>
      </c>
      <c r="D2906" s="147" t="str">
        <f>'Reported burning'!D2906</f>
        <v>Pyrome management</v>
      </c>
      <c r="E2906" s="147" t="str">
        <f>'Reported burning'!E2906</f>
        <v>Fire suppression agent</v>
      </c>
      <c r="F2906" s="147" t="str">
        <f>'Reported burning'!F2906</f>
        <v>ND</v>
      </c>
      <c r="G2906" s="147" t="str">
        <f>'Reported burning'!G2906</f>
        <v>ND</v>
      </c>
      <c r="H2906" s="147" t="str">
        <f>'Reported burning'!H2906</f>
        <v>Presence</v>
      </c>
      <c r="I2906" s="198"/>
      <c r="J2906" s="35" t="s">
        <v>2272</v>
      </c>
      <c r="K2906" s="35" t="s">
        <v>2272</v>
      </c>
      <c r="L2906" s="35" t="s">
        <v>2272</v>
      </c>
      <c r="M2906" s="35" t="s">
        <v>2272</v>
      </c>
      <c r="N2906" s="35" t="s">
        <v>2272</v>
      </c>
      <c r="O2906" s="35" t="s">
        <v>2272</v>
      </c>
      <c r="P2906" s="35" t="s">
        <v>2272</v>
      </c>
      <c r="Q2906" s="98" t="s">
        <v>2375</v>
      </c>
      <c r="R2906" s="35" t="s">
        <v>2272</v>
      </c>
      <c r="S2906" s="35" t="s">
        <v>2272</v>
      </c>
      <c r="T2906" s="35" t="s">
        <v>2272</v>
      </c>
      <c r="U2906" s="35" t="s">
        <v>2272</v>
      </c>
      <c r="V2906" s="35" t="s">
        <v>2272</v>
      </c>
      <c r="W2906" s="35" t="s">
        <v>2272</v>
      </c>
      <c r="X2906" s="35" t="s">
        <v>2272</v>
      </c>
      <c r="Y2906" s="35" t="s">
        <v>2272</v>
      </c>
      <c r="Z2906" s="35" t="s">
        <v>2272</v>
      </c>
      <c r="AA2906" s="35" t="s">
        <v>2272</v>
      </c>
      <c r="AB2906" s="198"/>
      <c r="AC2906" s="198"/>
    </row>
    <row r="2907" spans="1:29" ht="31" customHeight="1">
      <c r="A2907" s="147" t="str">
        <f>'Reported burning'!A2907</f>
        <v>306aa</v>
      </c>
      <c r="B2907" s="147" t="str">
        <f>'Reported burning'!B2907</f>
        <v>306aa.1</v>
      </c>
      <c r="C2907" s="147" t="str">
        <f>'Reported burning'!C2907</f>
        <v>Human, deliberate</v>
      </c>
      <c r="D2907" s="147" t="str">
        <f>'Reported burning'!D2907</f>
        <v>Pyrome management</v>
      </c>
      <c r="E2907" s="147" t="str">
        <f>'Reported burning'!E2907</f>
        <v>Fire suppression agent</v>
      </c>
      <c r="F2907" s="147" t="str">
        <f>'Reported burning'!F2907</f>
        <v>ND</v>
      </c>
      <c r="G2907" s="147" t="str">
        <f>'Reported burning'!G2907</f>
        <v>ND</v>
      </c>
      <c r="H2907" s="147" t="str">
        <f>'Reported burning'!H2907</f>
        <v>Presence</v>
      </c>
      <c r="I2907" s="198"/>
      <c r="J2907" s="35" t="s">
        <v>2272</v>
      </c>
      <c r="K2907" s="35" t="s">
        <v>2272</v>
      </c>
      <c r="L2907" s="35" t="s">
        <v>2272</v>
      </c>
      <c r="M2907" s="35" t="s">
        <v>2272</v>
      </c>
      <c r="N2907" s="35" t="s">
        <v>2272</v>
      </c>
      <c r="O2907" s="35" t="s">
        <v>2272</v>
      </c>
      <c r="P2907" s="35" t="s">
        <v>2272</v>
      </c>
      <c r="Q2907" s="98" t="s">
        <v>2373</v>
      </c>
      <c r="R2907" s="35" t="s">
        <v>2272</v>
      </c>
      <c r="S2907" s="35" t="s">
        <v>2272</v>
      </c>
      <c r="T2907" s="35" t="s">
        <v>2272</v>
      </c>
      <c r="U2907" s="35" t="s">
        <v>2272</v>
      </c>
      <c r="V2907" s="35" t="s">
        <v>2272</v>
      </c>
      <c r="W2907" s="35" t="s">
        <v>2272</v>
      </c>
      <c r="X2907" s="35" t="s">
        <v>2272</v>
      </c>
      <c r="Y2907" s="35" t="s">
        <v>2272</v>
      </c>
      <c r="Z2907" s="35" t="s">
        <v>2272</v>
      </c>
      <c r="AA2907" s="35" t="s">
        <v>2272</v>
      </c>
      <c r="AB2907" s="198"/>
      <c r="AC2907" s="198"/>
    </row>
    <row r="2908" spans="1:29" ht="31" customHeight="1">
      <c r="A2908" s="147" t="str">
        <f>'Reported burning'!A2908</f>
        <v>306ab</v>
      </c>
      <c r="B2908" s="147" t="str">
        <f>'Reported burning'!B2908</f>
        <v>306ab.1</v>
      </c>
      <c r="C2908" s="147" t="str">
        <f>'Reported burning'!C2908</f>
        <v>Human, deliberate</v>
      </c>
      <c r="D2908" s="147" t="str">
        <f>'Reported burning'!D2908</f>
        <v>Pyrome management</v>
      </c>
      <c r="E2908" s="147" t="str">
        <f>'Reported burning'!E2908</f>
        <v>Fire suppression agent</v>
      </c>
      <c r="F2908" s="147" t="str">
        <f>'Reported burning'!F2908</f>
        <v>ND</v>
      </c>
      <c r="G2908" s="147" t="str">
        <f>'Reported burning'!G2908</f>
        <v>ND</v>
      </c>
      <c r="H2908" s="147" t="str">
        <f>'Reported burning'!H2908</f>
        <v>Presence</v>
      </c>
      <c r="I2908" s="198"/>
      <c r="J2908" s="35" t="s">
        <v>2272</v>
      </c>
      <c r="K2908" s="35" t="s">
        <v>2272</v>
      </c>
      <c r="L2908" s="35" t="s">
        <v>2272</v>
      </c>
      <c r="M2908" s="35" t="s">
        <v>2272</v>
      </c>
      <c r="N2908" s="35" t="s">
        <v>2272</v>
      </c>
      <c r="O2908" s="35" t="s">
        <v>2272</v>
      </c>
      <c r="P2908" s="35" t="s">
        <v>2272</v>
      </c>
      <c r="Q2908" s="98" t="s">
        <v>2372</v>
      </c>
      <c r="R2908" s="35" t="s">
        <v>2272</v>
      </c>
      <c r="S2908" s="35" t="s">
        <v>2272</v>
      </c>
      <c r="T2908" s="35" t="s">
        <v>2272</v>
      </c>
      <c r="U2908" s="35" t="s">
        <v>2272</v>
      </c>
      <c r="V2908" s="35" t="s">
        <v>2272</v>
      </c>
      <c r="W2908" s="35" t="s">
        <v>2272</v>
      </c>
      <c r="X2908" s="35" t="s">
        <v>2272</v>
      </c>
      <c r="Y2908" s="35" t="s">
        <v>2272</v>
      </c>
      <c r="Z2908" s="35" t="s">
        <v>2272</v>
      </c>
      <c r="AA2908" s="35" t="s">
        <v>2272</v>
      </c>
      <c r="AB2908" s="198"/>
      <c r="AC2908" s="198"/>
    </row>
    <row r="2909" spans="1:29" ht="31" customHeight="1">
      <c r="A2909" s="147" t="str">
        <f>'Reported burning'!A2909</f>
        <v>306ac</v>
      </c>
      <c r="B2909" s="147" t="str">
        <f>'Reported burning'!B2909</f>
        <v>306ac.1</v>
      </c>
      <c r="C2909" s="147" t="str">
        <f>'Reported burning'!C2909</f>
        <v>Human, deliberate</v>
      </c>
      <c r="D2909" s="147" t="str">
        <f>'Reported burning'!D2909</f>
        <v>Pyrome management</v>
      </c>
      <c r="E2909" s="147" t="str">
        <f>'Reported burning'!E2909</f>
        <v>Fire suppression agent</v>
      </c>
      <c r="F2909" s="147" t="str">
        <f>'Reported burning'!F2909</f>
        <v>ND</v>
      </c>
      <c r="G2909" s="147" t="str">
        <f>'Reported burning'!G2909</f>
        <v>ND</v>
      </c>
      <c r="H2909" s="147" t="str">
        <f>'Reported burning'!H2909</f>
        <v>Presence</v>
      </c>
      <c r="I2909" s="198"/>
      <c r="J2909" s="35" t="s">
        <v>2272</v>
      </c>
      <c r="K2909" s="35" t="s">
        <v>2272</v>
      </c>
      <c r="L2909" s="35" t="s">
        <v>2272</v>
      </c>
      <c r="M2909" s="35" t="s">
        <v>2272</v>
      </c>
      <c r="N2909" s="35" t="s">
        <v>2272</v>
      </c>
      <c r="O2909" s="35" t="s">
        <v>2272</v>
      </c>
      <c r="P2909" s="35" t="s">
        <v>2272</v>
      </c>
      <c r="Q2909" s="98" t="s">
        <v>2372</v>
      </c>
      <c r="R2909" s="35" t="s">
        <v>2272</v>
      </c>
      <c r="S2909" s="35" t="s">
        <v>2272</v>
      </c>
      <c r="T2909" s="35" t="s">
        <v>2272</v>
      </c>
      <c r="U2909" s="35" t="s">
        <v>2272</v>
      </c>
      <c r="V2909" s="35" t="s">
        <v>2272</v>
      </c>
      <c r="W2909" s="35" t="s">
        <v>2272</v>
      </c>
      <c r="X2909" s="35" t="s">
        <v>2272</v>
      </c>
      <c r="Y2909" s="35" t="s">
        <v>2272</v>
      </c>
      <c r="Z2909" s="35" t="s">
        <v>2272</v>
      </c>
      <c r="AA2909" s="35" t="s">
        <v>2272</v>
      </c>
      <c r="AB2909" s="198"/>
      <c r="AC2909" s="198"/>
    </row>
    <row r="2910" spans="1:29" ht="31" customHeight="1">
      <c r="A2910" s="147" t="str">
        <f>'Reported burning'!A2910</f>
        <v>306ad</v>
      </c>
      <c r="B2910" s="147" t="str">
        <f>'Reported burning'!B2910</f>
        <v>306ad.1</v>
      </c>
      <c r="C2910" s="147" t="str">
        <f>'Reported burning'!C2910</f>
        <v>Human, deliberate</v>
      </c>
      <c r="D2910" s="147" t="str">
        <f>'Reported burning'!D2910</f>
        <v>Pyrome management</v>
      </c>
      <c r="E2910" s="147" t="str">
        <f>'Reported burning'!E2910</f>
        <v>Fire suppression agent</v>
      </c>
      <c r="F2910" s="147" t="str">
        <f>'Reported burning'!F2910</f>
        <v>ND</v>
      </c>
      <c r="G2910" s="147" t="str">
        <f>'Reported burning'!G2910</f>
        <v>ND</v>
      </c>
      <c r="H2910" s="147" t="str">
        <f>'Reported burning'!H2910</f>
        <v>Presence</v>
      </c>
      <c r="I2910" s="198"/>
      <c r="J2910" s="35" t="s">
        <v>2272</v>
      </c>
      <c r="K2910" s="35" t="s">
        <v>2272</v>
      </c>
      <c r="L2910" s="35" t="s">
        <v>2272</v>
      </c>
      <c r="M2910" s="35" t="s">
        <v>2272</v>
      </c>
      <c r="N2910" s="35" t="s">
        <v>2272</v>
      </c>
      <c r="O2910" s="35" t="s">
        <v>2272</v>
      </c>
      <c r="P2910" s="35" t="s">
        <v>2272</v>
      </c>
      <c r="Q2910" s="98" t="s">
        <v>2373</v>
      </c>
      <c r="R2910" s="35" t="s">
        <v>2272</v>
      </c>
      <c r="S2910" s="35" t="s">
        <v>2272</v>
      </c>
      <c r="T2910" s="35" t="s">
        <v>2272</v>
      </c>
      <c r="U2910" s="35" t="s">
        <v>2272</v>
      </c>
      <c r="V2910" s="35" t="s">
        <v>2272</v>
      </c>
      <c r="W2910" s="35" t="s">
        <v>2272</v>
      </c>
      <c r="X2910" s="35" t="s">
        <v>2272</v>
      </c>
      <c r="Y2910" s="35" t="s">
        <v>2272</v>
      </c>
      <c r="Z2910" s="35" t="s">
        <v>2272</v>
      </c>
      <c r="AA2910" s="35" t="s">
        <v>2272</v>
      </c>
      <c r="AB2910" s="198"/>
      <c r="AC2910" s="198"/>
    </row>
    <row r="2911" spans="1:29" ht="31" customHeight="1">
      <c r="A2911" s="147" t="str">
        <f>'Reported burning'!A2911</f>
        <v>306ae</v>
      </c>
      <c r="B2911" s="147" t="str">
        <f>'Reported burning'!B2911</f>
        <v>306ae.1</v>
      </c>
      <c r="C2911" s="147" t="str">
        <f>'Reported burning'!C2911</f>
        <v>Human, deliberate</v>
      </c>
      <c r="D2911" s="147" t="str">
        <f>'Reported burning'!D2911</f>
        <v>Pyrome management</v>
      </c>
      <c r="E2911" s="147" t="str">
        <f>'Reported burning'!E2911</f>
        <v>Fire suppression agent</v>
      </c>
      <c r="F2911" s="147" t="str">
        <f>'Reported burning'!F2911</f>
        <v>ND</v>
      </c>
      <c r="G2911" s="147" t="str">
        <f>'Reported burning'!G2911</f>
        <v>ND</v>
      </c>
      <c r="H2911" s="147" t="str">
        <f>'Reported burning'!H2911</f>
        <v>Presence</v>
      </c>
      <c r="I2911" s="198"/>
      <c r="J2911" s="35" t="s">
        <v>2272</v>
      </c>
      <c r="K2911" s="35" t="s">
        <v>2272</v>
      </c>
      <c r="L2911" s="35" t="s">
        <v>2272</v>
      </c>
      <c r="M2911" s="35" t="s">
        <v>2272</v>
      </c>
      <c r="N2911" s="35" t="s">
        <v>2272</v>
      </c>
      <c r="O2911" s="35" t="s">
        <v>2272</v>
      </c>
      <c r="P2911" s="35" t="s">
        <v>2272</v>
      </c>
      <c r="Q2911" s="98" t="s">
        <v>2373</v>
      </c>
      <c r="R2911" s="35" t="s">
        <v>2272</v>
      </c>
      <c r="S2911" s="35" t="s">
        <v>2272</v>
      </c>
      <c r="T2911" s="35" t="s">
        <v>2272</v>
      </c>
      <c r="U2911" s="35" t="s">
        <v>2272</v>
      </c>
      <c r="V2911" s="35" t="s">
        <v>2272</v>
      </c>
      <c r="W2911" s="35" t="s">
        <v>2272</v>
      </c>
      <c r="X2911" s="35" t="s">
        <v>2272</v>
      </c>
      <c r="Y2911" s="35" t="s">
        <v>2272</v>
      </c>
      <c r="Z2911" s="35" t="s">
        <v>2272</v>
      </c>
      <c r="AA2911" s="35" t="s">
        <v>2272</v>
      </c>
      <c r="AB2911" s="198"/>
      <c r="AC2911" s="198"/>
    </row>
    <row r="2912" spans="1:29" ht="31" customHeight="1">
      <c r="A2912" s="147" t="str">
        <f>'Reported burning'!A2912</f>
        <v>306af</v>
      </c>
      <c r="B2912" s="147" t="str">
        <f>'Reported burning'!B2912</f>
        <v>306af.1</v>
      </c>
      <c r="C2912" s="147" t="str">
        <f>'Reported burning'!C2912</f>
        <v>Human, deliberate</v>
      </c>
      <c r="D2912" s="147" t="str">
        <f>'Reported burning'!D2912</f>
        <v>Pyrome management</v>
      </c>
      <c r="E2912" s="147" t="str">
        <f>'Reported burning'!E2912</f>
        <v>Fire suppression agent</v>
      </c>
      <c r="F2912" s="147" t="str">
        <f>'Reported burning'!F2912</f>
        <v>ND</v>
      </c>
      <c r="G2912" s="147" t="str">
        <f>'Reported burning'!G2912</f>
        <v>ND</v>
      </c>
      <c r="H2912" s="147" t="str">
        <f>'Reported burning'!H2912</f>
        <v>Presence</v>
      </c>
      <c r="I2912" s="198"/>
      <c r="J2912" s="35" t="s">
        <v>2272</v>
      </c>
      <c r="K2912" s="35" t="s">
        <v>2272</v>
      </c>
      <c r="L2912" s="35" t="s">
        <v>2272</v>
      </c>
      <c r="M2912" s="35" t="s">
        <v>2272</v>
      </c>
      <c r="N2912" s="35" t="s">
        <v>2272</v>
      </c>
      <c r="O2912" s="35" t="s">
        <v>2272</v>
      </c>
      <c r="P2912" s="35" t="s">
        <v>2272</v>
      </c>
      <c r="Q2912" s="98" t="s">
        <v>2375</v>
      </c>
      <c r="R2912" s="35" t="s">
        <v>2272</v>
      </c>
      <c r="S2912" s="35" t="s">
        <v>2272</v>
      </c>
      <c r="T2912" s="35" t="s">
        <v>2272</v>
      </c>
      <c r="U2912" s="35" t="s">
        <v>2272</v>
      </c>
      <c r="V2912" s="35" t="s">
        <v>2272</v>
      </c>
      <c r="W2912" s="35" t="s">
        <v>2272</v>
      </c>
      <c r="X2912" s="35" t="s">
        <v>2272</v>
      </c>
      <c r="Y2912" s="35" t="s">
        <v>2272</v>
      </c>
      <c r="Z2912" s="35" t="s">
        <v>2272</v>
      </c>
      <c r="AA2912" s="35" t="s">
        <v>2272</v>
      </c>
      <c r="AB2912" s="198"/>
      <c r="AC2912" s="198"/>
    </row>
    <row r="2913" spans="1:29" ht="31" customHeight="1">
      <c r="A2913" s="147" t="str">
        <f>'Reported burning'!A2913</f>
        <v>306ag</v>
      </c>
      <c r="B2913" s="147" t="str">
        <f>'Reported burning'!B2913</f>
        <v>306ag.1</v>
      </c>
      <c r="C2913" s="147" t="str">
        <f>'Reported burning'!C2913</f>
        <v>Human, deliberate</v>
      </c>
      <c r="D2913" s="147" t="str">
        <f>'Reported burning'!D2913</f>
        <v>Pyrome management</v>
      </c>
      <c r="E2913" s="147" t="str">
        <f>'Reported burning'!E2913</f>
        <v>Fire suppression agent</v>
      </c>
      <c r="F2913" s="147" t="str">
        <f>'Reported burning'!F2913</f>
        <v>ND</v>
      </c>
      <c r="G2913" s="147" t="str">
        <f>'Reported burning'!G2913</f>
        <v>ND</v>
      </c>
      <c r="H2913" s="147" t="str">
        <f>'Reported burning'!H2913</f>
        <v>Presence</v>
      </c>
      <c r="I2913" s="198"/>
      <c r="J2913" s="35" t="s">
        <v>2272</v>
      </c>
      <c r="K2913" s="35" t="s">
        <v>2272</v>
      </c>
      <c r="L2913" s="35" t="s">
        <v>2272</v>
      </c>
      <c r="M2913" s="35" t="s">
        <v>2272</v>
      </c>
      <c r="N2913" s="35" t="s">
        <v>2272</v>
      </c>
      <c r="O2913" s="35" t="s">
        <v>2272</v>
      </c>
      <c r="P2913" s="35" t="s">
        <v>2272</v>
      </c>
      <c r="Q2913" s="98" t="s">
        <v>2358</v>
      </c>
      <c r="R2913" s="35" t="s">
        <v>2272</v>
      </c>
      <c r="S2913" s="35" t="s">
        <v>2272</v>
      </c>
      <c r="T2913" s="35" t="s">
        <v>2272</v>
      </c>
      <c r="U2913" s="35" t="s">
        <v>2272</v>
      </c>
      <c r="V2913" s="35" t="s">
        <v>2272</v>
      </c>
      <c r="W2913" s="35" t="s">
        <v>2272</v>
      </c>
      <c r="X2913" s="35" t="s">
        <v>2272</v>
      </c>
      <c r="Y2913" s="35" t="s">
        <v>2272</v>
      </c>
      <c r="Z2913" s="35" t="s">
        <v>2272</v>
      </c>
      <c r="AA2913" s="35" t="s">
        <v>2272</v>
      </c>
      <c r="AB2913" s="198"/>
      <c r="AC2913" s="198"/>
    </row>
    <row r="2914" spans="1:29" ht="31" customHeight="1">
      <c r="A2914" s="147" t="str">
        <f>'Reported burning'!A2914</f>
        <v>306ah</v>
      </c>
      <c r="B2914" s="147" t="str">
        <f>'Reported burning'!B2914</f>
        <v>306ah.1</v>
      </c>
      <c r="C2914" s="147" t="str">
        <f>'Reported burning'!C2914</f>
        <v>Human, deliberate</v>
      </c>
      <c r="D2914" s="147" t="str">
        <f>'Reported burning'!D2914</f>
        <v>Pyrome management</v>
      </c>
      <c r="E2914" s="147" t="str">
        <f>'Reported burning'!E2914</f>
        <v>Fire suppression agent</v>
      </c>
      <c r="F2914" s="147" t="str">
        <f>'Reported burning'!F2914</f>
        <v>ND</v>
      </c>
      <c r="G2914" s="147" t="str">
        <f>'Reported burning'!G2914</f>
        <v>ND</v>
      </c>
      <c r="H2914" s="147" t="str">
        <f>'Reported burning'!H2914</f>
        <v>Presence</v>
      </c>
      <c r="I2914" s="198"/>
      <c r="J2914" s="35" t="s">
        <v>2272</v>
      </c>
      <c r="K2914" s="35" t="s">
        <v>2272</v>
      </c>
      <c r="L2914" s="35" t="s">
        <v>2272</v>
      </c>
      <c r="M2914" s="35" t="s">
        <v>2272</v>
      </c>
      <c r="N2914" s="35" t="s">
        <v>2272</v>
      </c>
      <c r="O2914" s="35" t="s">
        <v>2272</v>
      </c>
      <c r="P2914" s="35" t="s">
        <v>2272</v>
      </c>
      <c r="Q2914" s="98" t="s">
        <v>2375</v>
      </c>
      <c r="R2914" s="35" t="s">
        <v>2272</v>
      </c>
      <c r="S2914" s="35" t="s">
        <v>2272</v>
      </c>
      <c r="T2914" s="35" t="s">
        <v>2272</v>
      </c>
      <c r="U2914" s="35" t="s">
        <v>2272</v>
      </c>
      <c r="V2914" s="35" t="s">
        <v>2272</v>
      </c>
      <c r="W2914" s="35" t="s">
        <v>2272</v>
      </c>
      <c r="X2914" s="35" t="s">
        <v>2272</v>
      </c>
      <c r="Y2914" s="35" t="s">
        <v>2272</v>
      </c>
      <c r="Z2914" s="35" t="s">
        <v>2272</v>
      </c>
      <c r="AA2914" s="35" t="s">
        <v>2272</v>
      </c>
      <c r="AB2914" s="198"/>
      <c r="AC2914" s="198"/>
    </row>
    <row r="2915" spans="1:29" ht="31" customHeight="1">
      <c r="A2915" s="147" t="str">
        <f>'Reported burning'!A2915</f>
        <v>306ai</v>
      </c>
      <c r="B2915" s="147" t="str">
        <f>'Reported burning'!B2915</f>
        <v>306ai.1</v>
      </c>
      <c r="C2915" s="147" t="str">
        <f>'Reported burning'!C2915</f>
        <v>Human, deliberate</v>
      </c>
      <c r="D2915" s="147" t="str">
        <f>'Reported burning'!D2915</f>
        <v>Pyrome management</v>
      </c>
      <c r="E2915" s="147" t="str">
        <f>'Reported burning'!E2915</f>
        <v>Fire suppression agent</v>
      </c>
      <c r="F2915" s="147" t="str">
        <f>'Reported burning'!F2915</f>
        <v>ND</v>
      </c>
      <c r="G2915" s="147" t="str">
        <f>'Reported burning'!G2915</f>
        <v>ND</v>
      </c>
      <c r="H2915" s="147" t="str">
        <f>'Reported burning'!H2915</f>
        <v>Absence</v>
      </c>
      <c r="I2915" s="198"/>
      <c r="J2915" s="35" t="s">
        <v>2272</v>
      </c>
      <c r="K2915" s="35" t="s">
        <v>2272</v>
      </c>
      <c r="L2915" s="35" t="s">
        <v>2272</v>
      </c>
      <c r="M2915" s="35" t="s">
        <v>2272</v>
      </c>
      <c r="N2915" s="35" t="s">
        <v>2272</v>
      </c>
      <c r="O2915" s="35" t="s">
        <v>2272</v>
      </c>
      <c r="P2915" s="35" t="s">
        <v>2272</v>
      </c>
      <c r="Q2915" s="98">
        <v>0</v>
      </c>
      <c r="R2915" s="35" t="s">
        <v>2272</v>
      </c>
      <c r="S2915" s="35" t="s">
        <v>2272</v>
      </c>
      <c r="T2915" s="35" t="s">
        <v>2272</v>
      </c>
      <c r="U2915" s="35" t="s">
        <v>2272</v>
      </c>
      <c r="V2915" s="35" t="s">
        <v>2272</v>
      </c>
      <c r="W2915" s="35" t="s">
        <v>2272</v>
      </c>
      <c r="X2915" s="35" t="s">
        <v>2272</v>
      </c>
      <c r="Y2915" s="35" t="s">
        <v>2272</v>
      </c>
      <c r="Z2915" s="35" t="s">
        <v>2272</v>
      </c>
      <c r="AA2915" s="35" t="s">
        <v>2272</v>
      </c>
      <c r="AB2915" s="198"/>
      <c r="AC2915" s="198"/>
    </row>
    <row r="2916" spans="1:29" ht="31" customHeight="1">
      <c r="A2916" s="147" t="str">
        <f>'Reported burning'!A2916</f>
        <v>306aj</v>
      </c>
      <c r="B2916" s="147" t="str">
        <f>'Reported burning'!B2916</f>
        <v>306aj.1</v>
      </c>
      <c r="C2916" s="147" t="str">
        <f>'Reported burning'!C2916</f>
        <v>Human, deliberate</v>
      </c>
      <c r="D2916" s="147" t="str">
        <f>'Reported burning'!D2916</f>
        <v>Pyrome management</v>
      </c>
      <c r="E2916" s="147" t="str">
        <f>'Reported burning'!E2916</f>
        <v>Fire suppression agent</v>
      </c>
      <c r="F2916" s="147" t="str">
        <f>'Reported burning'!F2916</f>
        <v>ND</v>
      </c>
      <c r="G2916" s="147" t="str">
        <f>'Reported burning'!G2916</f>
        <v>ND</v>
      </c>
      <c r="H2916" s="147" t="str">
        <f>'Reported burning'!H2916</f>
        <v>Presence</v>
      </c>
      <c r="I2916" s="198"/>
      <c r="J2916" s="35" t="s">
        <v>2272</v>
      </c>
      <c r="K2916" s="35" t="s">
        <v>2272</v>
      </c>
      <c r="L2916" s="35" t="s">
        <v>2272</v>
      </c>
      <c r="M2916" s="35" t="s">
        <v>2272</v>
      </c>
      <c r="N2916" s="35" t="s">
        <v>2272</v>
      </c>
      <c r="O2916" s="35" t="s">
        <v>2272</v>
      </c>
      <c r="P2916" s="35" t="s">
        <v>2272</v>
      </c>
      <c r="Q2916" s="98" t="s">
        <v>2375</v>
      </c>
      <c r="R2916" s="35" t="s">
        <v>2272</v>
      </c>
      <c r="S2916" s="35" t="s">
        <v>2272</v>
      </c>
      <c r="T2916" s="35" t="s">
        <v>2272</v>
      </c>
      <c r="U2916" s="35" t="s">
        <v>2272</v>
      </c>
      <c r="V2916" s="35" t="s">
        <v>2272</v>
      </c>
      <c r="W2916" s="35" t="s">
        <v>2272</v>
      </c>
      <c r="X2916" s="35" t="s">
        <v>2272</v>
      </c>
      <c r="Y2916" s="35" t="s">
        <v>2272</v>
      </c>
      <c r="Z2916" s="35" t="s">
        <v>2272</v>
      </c>
      <c r="AA2916" s="35" t="s">
        <v>2272</v>
      </c>
      <c r="AB2916" s="198"/>
      <c r="AC2916" s="198"/>
    </row>
    <row r="2917" spans="1:29" ht="31" customHeight="1">
      <c r="A2917" s="147" t="str">
        <f>'Reported burning'!A2917</f>
        <v>306ak</v>
      </c>
      <c r="B2917" s="147" t="str">
        <f>'Reported burning'!B2917</f>
        <v>306ak.1</v>
      </c>
      <c r="C2917" s="147" t="str">
        <f>'Reported burning'!C2917</f>
        <v>Human, deliberate</v>
      </c>
      <c r="D2917" s="147" t="str">
        <f>'Reported burning'!D2917</f>
        <v>Pyrome management</v>
      </c>
      <c r="E2917" s="147" t="str">
        <f>'Reported burning'!E2917</f>
        <v>Fire suppression agent</v>
      </c>
      <c r="F2917" s="147" t="str">
        <f>'Reported burning'!F2917</f>
        <v>ND</v>
      </c>
      <c r="G2917" s="147" t="str">
        <f>'Reported burning'!G2917</f>
        <v>ND</v>
      </c>
      <c r="H2917" s="147" t="str">
        <f>'Reported burning'!H2917</f>
        <v>Presence</v>
      </c>
      <c r="I2917" s="198"/>
      <c r="J2917" s="35" t="s">
        <v>2272</v>
      </c>
      <c r="K2917" s="35" t="s">
        <v>2272</v>
      </c>
      <c r="L2917" s="35" t="s">
        <v>2272</v>
      </c>
      <c r="M2917" s="35" t="s">
        <v>2272</v>
      </c>
      <c r="N2917" s="35" t="s">
        <v>2272</v>
      </c>
      <c r="O2917" s="35" t="s">
        <v>2272</v>
      </c>
      <c r="P2917" s="35" t="s">
        <v>2272</v>
      </c>
      <c r="Q2917" s="98" t="s">
        <v>2373</v>
      </c>
      <c r="R2917" s="35" t="s">
        <v>2272</v>
      </c>
      <c r="S2917" s="35" t="s">
        <v>2272</v>
      </c>
      <c r="T2917" s="35" t="s">
        <v>2272</v>
      </c>
      <c r="U2917" s="35" t="s">
        <v>2272</v>
      </c>
      <c r="V2917" s="35" t="s">
        <v>2272</v>
      </c>
      <c r="W2917" s="35" t="s">
        <v>2272</v>
      </c>
      <c r="X2917" s="35" t="s">
        <v>2272</v>
      </c>
      <c r="Y2917" s="35" t="s">
        <v>2272</v>
      </c>
      <c r="Z2917" s="35" t="s">
        <v>2272</v>
      </c>
      <c r="AA2917" s="35" t="s">
        <v>2272</v>
      </c>
      <c r="AB2917" s="198"/>
      <c r="AC2917" s="198"/>
    </row>
    <row r="2918" spans="1:29" ht="31" customHeight="1">
      <c r="A2918" s="147" t="str">
        <f>'Reported burning'!A2918</f>
        <v>306al</v>
      </c>
      <c r="B2918" s="147" t="str">
        <f>'Reported burning'!B2918</f>
        <v>306al.1</v>
      </c>
      <c r="C2918" s="147" t="str">
        <f>'Reported burning'!C2918</f>
        <v>Human, deliberate</v>
      </c>
      <c r="D2918" s="147" t="str">
        <f>'Reported burning'!D2918</f>
        <v>Pyrome management</v>
      </c>
      <c r="E2918" s="147" t="str">
        <f>'Reported burning'!E2918</f>
        <v>Fire suppression agent</v>
      </c>
      <c r="F2918" s="147" t="str">
        <f>'Reported burning'!F2918</f>
        <v>ND</v>
      </c>
      <c r="G2918" s="147" t="str">
        <f>'Reported burning'!G2918</f>
        <v>ND</v>
      </c>
      <c r="H2918" s="147" t="str">
        <f>'Reported burning'!H2918</f>
        <v>Presence</v>
      </c>
      <c r="I2918" s="198"/>
      <c r="J2918" s="35" t="s">
        <v>2272</v>
      </c>
      <c r="K2918" s="35" t="s">
        <v>2272</v>
      </c>
      <c r="L2918" s="35" t="s">
        <v>2272</v>
      </c>
      <c r="M2918" s="35" t="s">
        <v>2272</v>
      </c>
      <c r="N2918" s="35" t="s">
        <v>2272</v>
      </c>
      <c r="O2918" s="35" t="s">
        <v>2272</v>
      </c>
      <c r="P2918" s="35" t="s">
        <v>2272</v>
      </c>
      <c r="Q2918" s="98" t="s">
        <v>2375</v>
      </c>
      <c r="R2918" s="35" t="s">
        <v>2272</v>
      </c>
      <c r="S2918" s="35" t="s">
        <v>2272</v>
      </c>
      <c r="T2918" s="35" t="s">
        <v>2272</v>
      </c>
      <c r="U2918" s="35" t="s">
        <v>2272</v>
      </c>
      <c r="V2918" s="35" t="s">
        <v>2272</v>
      </c>
      <c r="W2918" s="35" t="s">
        <v>2272</v>
      </c>
      <c r="X2918" s="35" t="s">
        <v>2272</v>
      </c>
      <c r="Y2918" s="35" t="s">
        <v>2272</v>
      </c>
      <c r="Z2918" s="35" t="s">
        <v>2272</v>
      </c>
      <c r="AA2918" s="35" t="s">
        <v>2272</v>
      </c>
      <c r="AB2918" s="198"/>
      <c r="AC2918" s="198"/>
    </row>
    <row r="2919" spans="1:29" ht="31" customHeight="1">
      <c r="A2919" s="147" t="str">
        <f>'Reported burning'!A2919</f>
        <v>306am</v>
      </c>
      <c r="B2919" s="147" t="str">
        <f>'Reported burning'!B2919</f>
        <v>306am.1</v>
      </c>
      <c r="C2919" s="147" t="str">
        <f>'Reported burning'!C2919</f>
        <v>Human, deliberate</v>
      </c>
      <c r="D2919" s="147" t="str">
        <f>'Reported burning'!D2919</f>
        <v>Pyrome management</v>
      </c>
      <c r="E2919" s="147" t="str">
        <f>'Reported burning'!E2919</f>
        <v>Fire suppression agent</v>
      </c>
      <c r="F2919" s="147" t="str">
        <f>'Reported burning'!F2919</f>
        <v>ND</v>
      </c>
      <c r="G2919" s="147" t="str">
        <f>'Reported burning'!G2919</f>
        <v>ND</v>
      </c>
      <c r="H2919" s="147" t="str">
        <f>'Reported burning'!H2919</f>
        <v>Presence</v>
      </c>
      <c r="I2919" s="198"/>
      <c r="J2919" s="35" t="s">
        <v>2272</v>
      </c>
      <c r="K2919" s="35" t="s">
        <v>2272</v>
      </c>
      <c r="L2919" s="35" t="s">
        <v>2272</v>
      </c>
      <c r="M2919" s="35" t="s">
        <v>2272</v>
      </c>
      <c r="N2919" s="35" t="s">
        <v>2272</v>
      </c>
      <c r="O2919" s="35" t="s">
        <v>2272</v>
      </c>
      <c r="P2919" s="35" t="s">
        <v>2272</v>
      </c>
      <c r="Q2919" s="98" t="s">
        <v>2372</v>
      </c>
      <c r="R2919" s="35" t="s">
        <v>2272</v>
      </c>
      <c r="S2919" s="35" t="s">
        <v>2272</v>
      </c>
      <c r="T2919" s="35" t="s">
        <v>2272</v>
      </c>
      <c r="U2919" s="35" t="s">
        <v>2272</v>
      </c>
      <c r="V2919" s="35" t="s">
        <v>2272</v>
      </c>
      <c r="W2919" s="35" t="s">
        <v>2272</v>
      </c>
      <c r="X2919" s="35" t="s">
        <v>2272</v>
      </c>
      <c r="Y2919" s="35" t="s">
        <v>2272</v>
      </c>
      <c r="Z2919" s="35" t="s">
        <v>2272</v>
      </c>
      <c r="AA2919" s="35" t="s">
        <v>2272</v>
      </c>
      <c r="AB2919" s="198"/>
      <c r="AC2919" s="198"/>
    </row>
    <row r="2920" spans="1:29" ht="31" customHeight="1">
      <c r="A2920" s="147" t="str">
        <f>'Reported burning'!A2920</f>
        <v>306an</v>
      </c>
      <c r="B2920" s="147" t="str">
        <f>'Reported burning'!B2920</f>
        <v>306an.1</v>
      </c>
      <c r="C2920" s="147" t="str">
        <f>'Reported burning'!C2920</f>
        <v>Human, deliberate</v>
      </c>
      <c r="D2920" s="147" t="str">
        <f>'Reported burning'!D2920</f>
        <v>Pyrome management</v>
      </c>
      <c r="E2920" s="147" t="str">
        <f>'Reported burning'!E2920</f>
        <v>Fire suppression agent</v>
      </c>
      <c r="F2920" s="147" t="str">
        <f>'Reported burning'!F2920</f>
        <v>ND</v>
      </c>
      <c r="G2920" s="147" t="str">
        <f>'Reported burning'!G2920</f>
        <v>ND</v>
      </c>
      <c r="H2920" s="147" t="str">
        <f>'Reported burning'!H2920</f>
        <v>Presence</v>
      </c>
      <c r="I2920" s="198"/>
      <c r="J2920" s="35" t="s">
        <v>2272</v>
      </c>
      <c r="K2920" s="35" t="s">
        <v>2272</v>
      </c>
      <c r="L2920" s="35" t="s">
        <v>2272</v>
      </c>
      <c r="M2920" s="35" t="s">
        <v>2272</v>
      </c>
      <c r="N2920" s="35" t="s">
        <v>2272</v>
      </c>
      <c r="O2920" s="35" t="s">
        <v>2272</v>
      </c>
      <c r="P2920" s="35" t="s">
        <v>2272</v>
      </c>
      <c r="Q2920" s="98" t="s">
        <v>2372</v>
      </c>
      <c r="R2920" s="35" t="s">
        <v>2272</v>
      </c>
      <c r="S2920" s="35" t="s">
        <v>2272</v>
      </c>
      <c r="T2920" s="35" t="s">
        <v>2272</v>
      </c>
      <c r="U2920" s="35" t="s">
        <v>2272</v>
      </c>
      <c r="V2920" s="35" t="s">
        <v>2272</v>
      </c>
      <c r="W2920" s="35" t="s">
        <v>2272</v>
      </c>
      <c r="X2920" s="35" t="s">
        <v>2272</v>
      </c>
      <c r="Y2920" s="35" t="s">
        <v>2272</v>
      </c>
      <c r="Z2920" s="35" t="s">
        <v>2272</v>
      </c>
      <c r="AA2920" s="35" t="s">
        <v>2272</v>
      </c>
      <c r="AB2920" s="198"/>
      <c r="AC2920" s="198"/>
    </row>
    <row r="2921" spans="1:29" ht="31" customHeight="1">
      <c r="A2921" s="147" t="str">
        <f>'Reported burning'!A2921</f>
        <v>306ao</v>
      </c>
      <c r="B2921" s="147" t="str">
        <f>'Reported burning'!B2921</f>
        <v>306ao.1</v>
      </c>
      <c r="C2921" s="147" t="str">
        <f>'Reported burning'!C2921</f>
        <v>Human, deliberate</v>
      </c>
      <c r="D2921" s="147" t="str">
        <f>'Reported burning'!D2921</f>
        <v>Pyrome management</v>
      </c>
      <c r="E2921" s="147" t="str">
        <f>'Reported burning'!E2921</f>
        <v>Fire suppression agent</v>
      </c>
      <c r="F2921" s="147" t="str">
        <f>'Reported burning'!F2921</f>
        <v>ND</v>
      </c>
      <c r="G2921" s="147" t="str">
        <f>'Reported burning'!G2921</f>
        <v>ND</v>
      </c>
      <c r="H2921" s="147" t="str">
        <f>'Reported burning'!H2921</f>
        <v>Presence</v>
      </c>
      <c r="I2921" s="198"/>
      <c r="J2921" s="35" t="s">
        <v>2272</v>
      </c>
      <c r="K2921" s="35" t="s">
        <v>2272</v>
      </c>
      <c r="L2921" s="35" t="s">
        <v>2272</v>
      </c>
      <c r="M2921" s="35" t="s">
        <v>2272</v>
      </c>
      <c r="N2921" s="35" t="s">
        <v>2272</v>
      </c>
      <c r="O2921" s="35" t="s">
        <v>2272</v>
      </c>
      <c r="P2921" s="35" t="s">
        <v>2272</v>
      </c>
      <c r="Q2921" s="98" t="s">
        <v>2372</v>
      </c>
      <c r="R2921" s="35" t="s">
        <v>2272</v>
      </c>
      <c r="S2921" s="35" t="s">
        <v>2272</v>
      </c>
      <c r="T2921" s="35" t="s">
        <v>2272</v>
      </c>
      <c r="U2921" s="35" t="s">
        <v>2272</v>
      </c>
      <c r="V2921" s="35" t="s">
        <v>2272</v>
      </c>
      <c r="W2921" s="35" t="s">
        <v>2272</v>
      </c>
      <c r="X2921" s="35" t="s">
        <v>2272</v>
      </c>
      <c r="Y2921" s="35" t="s">
        <v>2272</v>
      </c>
      <c r="Z2921" s="35" t="s">
        <v>2272</v>
      </c>
      <c r="AA2921" s="35" t="s">
        <v>2272</v>
      </c>
      <c r="AB2921" s="198"/>
      <c r="AC2921" s="198"/>
    </row>
    <row r="2922" spans="1:29" ht="31" customHeight="1">
      <c r="A2922" s="147" t="str">
        <f>'Reported burning'!A2922</f>
        <v>306ap</v>
      </c>
      <c r="B2922" s="147" t="str">
        <f>'Reported burning'!B2922</f>
        <v>306ap.1</v>
      </c>
      <c r="C2922" s="147" t="str">
        <f>'Reported burning'!C2922</f>
        <v>Human, deliberate</v>
      </c>
      <c r="D2922" s="147" t="str">
        <f>'Reported burning'!D2922</f>
        <v>Pyrome management</v>
      </c>
      <c r="E2922" s="147" t="str">
        <f>'Reported burning'!E2922</f>
        <v>Fire suppression agent</v>
      </c>
      <c r="F2922" s="147" t="str">
        <f>'Reported burning'!F2922</f>
        <v>ND</v>
      </c>
      <c r="G2922" s="147" t="str">
        <f>'Reported burning'!G2922</f>
        <v>ND</v>
      </c>
      <c r="H2922" s="147" t="str">
        <f>'Reported burning'!H2922</f>
        <v>Presence</v>
      </c>
      <c r="I2922" s="198"/>
      <c r="J2922" s="35" t="s">
        <v>2272</v>
      </c>
      <c r="K2922" s="35" t="s">
        <v>2272</v>
      </c>
      <c r="L2922" s="35" t="s">
        <v>2272</v>
      </c>
      <c r="M2922" s="35" t="s">
        <v>2272</v>
      </c>
      <c r="N2922" s="35" t="s">
        <v>2272</v>
      </c>
      <c r="O2922" s="35" t="s">
        <v>2272</v>
      </c>
      <c r="P2922" s="35" t="s">
        <v>2272</v>
      </c>
      <c r="Q2922" s="98" t="s">
        <v>2372</v>
      </c>
      <c r="R2922" s="35" t="s">
        <v>2272</v>
      </c>
      <c r="S2922" s="35" t="s">
        <v>2272</v>
      </c>
      <c r="T2922" s="35" t="s">
        <v>2272</v>
      </c>
      <c r="U2922" s="35" t="s">
        <v>2272</v>
      </c>
      <c r="V2922" s="35" t="s">
        <v>2272</v>
      </c>
      <c r="W2922" s="35" t="s">
        <v>2272</v>
      </c>
      <c r="X2922" s="35" t="s">
        <v>2272</v>
      </c>
      <c r="Y2922" s="35" t="s">
        <v>2272</v>
      </c>
      <c r="Z2922" s="35" t="s">
        <v>2272</v>
      </c>
      <c r="AA2922" s="35" t="s">
        <v>2272</v>
      </c>
      <c r="AB2922" s="198"/>
      <c r="AC2922" s="198"/>
    </row>
    <row r="2923" spans="1:29" ht="31" customHeight="1">
      <c r="A2923" s="147" t="str">
        <f>'Reported burning'!A2923</f>
        <v>306aq</v>
      </c>
      <c r="B2923" s="147" t="str">
        <f>'Reported burning'!B2923</f>
        <v>306aq.1</v>
      </c>
      <c r="C2923" s="147" t="str">
        <f>'Reported burning'!C2923</f>
        <v>Human, deliberate</v>
      </c>
      <c r="D2923" s="147" t="str">
        <f>'Reported burning'!D2923</f>
        <v>Pyrome management</v>
      </c>
      <c r="E2923" s="147" t="str">
        <f>'Reported burning'!E2923</f>
        <v>Fire suppression agent</v>
      </c>
      <c r="F2923" s="147" t="str">
        <f>'Reported burning'!F2923</f>
        <v>ND</v>
      </c>
      <c r="G2923" s="147" t="str">
        <f>'Reported burning'!G2923</f>
        <v>ND</v>
      </c>
      <c r="H2923" s="147" t="str">
        <f>'Reported burning'!H2923</f>
        <v>Presence</v>
      </c>
      <c r="I2923" s="198"/>
      <c r="J2923" s="35" t="s">
        <v>2272</v>
      </c>
      <c r="K2923" s="35" t="s">
        <v>2272</v>
      </c>
      <c r="L2923" s="35" t="s">
        <v>2272</v>
      </c>
      <c r="M2923" s="35" t="s">
        <v>2272</v>
      </c>
      <c r="N2923" s="35" t="s">
        <v>2272</v>
      </c>
      <c r="O2923" s="35" t="s">
        <v>2272</v>
      </c>
      <c r="P2923" s="35" t="s">
        <v>2272</v>
      </c>
      <c r="Q2923" s="98" t="s">
        <v>2372</v>
      </c>
      <c r="R2923" s="35" t="s">
        <v>2272</v>
      </c>
      <c r="S2923" s="35" t="s">
        <v>2272</v>
      </c>
      <c r="T2923" s="35" t="s">
        <v>2272</v>
      </c>
      <c r="U2923" s="35" t="s">
        <v>2272</v>
      </c>
      <c r="V2923" s="35" t="s">
        <v>2272</v>
      </c>
      <c r="W2923" s="35" t="s">
        <v>2272</v>
      </c>
      <c r="X2923" s="35" t="s">
        <v>2272</v>
      </c>
      <c r="Y2923" s="35" t="s">
        <v>2272</v>
      </c>
      <c r="Z2923" s="35" t="s">
        <v>2272</v>
      </c>
      <c r="AA2923" s="35" t="s">
        <v>2272</v>
      </c>
      <c r="AB2923" s="198"/>
      <c r="AC2923" s="198"/>
    </row>
    <row r="2924" spans="1:29" ht="31" customHeight="1">
      <c r="A2924" s="147" t="str">
        <f>'Reported burning'!A2924</f>
        <v>306ar</v>
      </c>
      <c r="B2924" s="147" t="str">
        <f>'Reported burning'!B2924</f>
        <v>306ar.1</v>
      </c>
      <c r="C2924" s="147" t="str">
        <f>'Reported burning'!C2924</f>
        <v>Human, deliberate</v>
      </c>
      <c r="D2924" s="147" t="str">
        <f>'Reported burning'!D2924</f>
        <v>Pyrome management</v>
      </c>
      <c r="E2924" s="147" t="str">
        <f>'Reported burning'!E2924</f>
        <v>Fire suppression agent</v>
      </c>
      <c r="F2924" s="147" t="str">
        <f>'Reported burning'!F2924</f>
        <v>ND</v>
      </c>
      <c r="G2924" s="147" t="str">
        <f>'Reported burning'!G2924</f>
        <v>ND</v>
      </c>
      <c r="H2924" s="147" t="str">
        <f>'Reported burning'!H2924</f>
        <v>Presence</v>
      </c>
      <c r="I2924" s="198"/>
      <c r="J2924" s="35" t="s">
        <v>2272</v>
      </c>
      <c r="K2924" s="35" t="s">
        <v>2272</v>
      </c>
      <c r="L2924" s="35" t="s">
        <v>2272</v>
      </c>
      <c r="M2924" s="35" t="s">
        <v>2272</v>
      </c>
      <c r="N2924" s="35" t="s">
        <v>2272</v>
      </c>
      <c r="O2924" s="35" t="s">
        <v>2272</v>
      </c>
      <c r="P2924" s="35" t="s">
        <v>2272</v>
      </c>
      <c r="Q2924" s="98" t="s">
        <v>2372</v>
      </c>
      <c r="R2924" s="35" t="s">
        <v>2272</v>
      </c>
      <c r="S2924" s="35" t="s">
        <v>2272</v>
      </c>
      <c r="T2924" s="35" t="s">
        <v>2272</v>
      </c>
      <c r="U2924" s="35" t="s">
        <v>2272</v>
      </c>
      <c r="V2924" s="35" t="s">
        <v>2272</v>
      </c>
      <c r="W2924" s="35" t="s">
        <v>2272</v>
      </c>
      <c r="X2924" s="35" t="s">
        <v>2272</v>
      </c>
      <c r="Y2924" s="35" t="s">
        <v>2272</v>
      </c>
      <c r="Z2924" s="35" t="s">
        <v>2272</v>
      </c>
      <c r="AA2924" s="35" t="s">
        <v>2272</v>
      </c>
      <c r="AB2924" s="198"/>
      <c r="AC2924" s="198"/>
    </row>
    <row r="2925" spans="1:29" ht="31" customHeight="1">
      <c r="A2925" s="147" t="str">
        <f>'Reported burning'!A2925</f>
        <v>306as</v>
      </c>
      <c r="B2925" s="147" t="str">
        <f>'Reported burning'!B2925</f>
        <v>306as.1</v>
      </c>
      <c r="C2925" s="147" t="str">
        <f>'Reported burning'!C2925</f>
        <v>Human, deliberate</v>
      </c>
      <c r="D2925" s="147" t="str">
        <f>'Reported burning'!D2925</f>
        <v>Pyrome management</v>
      </c>
      <c r="E2925" s="147" t="str">
        <f>'Reported burning'!E2925</f>
        <v>Fire suppression agent</v>
      </c>
      <c r="F2925" s="147" t="str">
        <f>'Reported burning'!F2925</f>
        <v>ND</v>
      </c>
      <c r="G2925" s="147" t="str">
        <f>'Reported burning'!G2925</f>
        <v>ND</v>
      </c>
      <c r="H2925" s="147" t="str">
        <f>'Reported burning'!H2925</f>
        <v>Presence</v>
      </c>
      <c r="I2925" s="198"/>
      <c r="J2925" s="35" t="s">
        <v>2272</v>
      </c>
      <c r="K2925" s="35" t="s">
        <v>2272</v>
      </c>
      <c r="L2925" s="35" t="s">
        <v>2272</v>
      </c>
      <c r="M2925" s="35" t="s">
        <v>2272</v>
      </c>
      <c r="N2925" s="35" t="s">
        <v>2272</v>
      </c>
      <c r="O2925" s="35" t="s">
        <v>2272</v>
      </c>
      <c r="P2925" s="35" t="s">
        <v>2272</v>
      </c>
      <c r="Q2925" s="98" t="s">
        <v>2371</v>
      </c>
      <c r="R2925" s="35" t="s">
        <v>2272</v>
      </c>
      <c r="S2925" s="35" t="s">
        <v>2272</v>
      </c>
      <c r="T2925" s="35" t="s">
        <v>2272</v>
      </c>
      <c r="U2925" s="35" t="s">
        <v>2272</v>
      </c>
      <c r="V2925" s="35" t="s">
        <v>2272</v>
      </c>
      <c r="W2925" s="35" t="s">
        <v>2272</v>
      </c>
      <c r="X2925" s="35" t="s">
        <v>2272</v>
      </c>
      <c r="Y2925" s="35" t="s">
        <v>2272</v>
      </c>
      <c r="Z2925" s="35" t="s">
        <v>2272</v>
      </c>
      <c r="AA2925" s="35" t="s">
        <v>2272</v>
      </c>
      <c r="AB2925" s="198"/>
      <c r="AC2925" s="198"/>
    </row>
    <row r="2926" spans="1:29" ht="31" customHeight="1">
      <c r="A2926" s="147" t="str">
        <f>'Reported burning'!A2926</f>
        <v>306at</v>
      </c>
      <c r="B2926" s="147" t="str">
        <f>'Reported burning'!B2926</f>
        <v>306at.1</v>
      </c>
      <c r="C2926" s="147" t="str">
        <f>'Reported burning'!C2926</f>
        <v>Human, deliberate</v>
      </c>
      <c r="D2926" s="147" t="str">
        <f>'Reported burning'!D2926</f>
        <v>Pyrome management</v>
      </c>
      <c r="E2926" s="147" t="str">
        <f>'Reported burning'!E2926</f>
        <v>Fire suppression agent</v>
      </c>
      <c r="F2926" s="147" t="str">
        <f>'Reported burning'!F2926</f>
        <v>ND</v>
      </c>
      <c r="G2926" s="147" t="str">
        <f>'Reported burning'!G2926</f>
        <v>ND</v>
      </c>
      <c r="H2926" s="147" t="str">
        <f>'Reported burning'!H2926</f>
        <v>Presence</v>
      </c>
      <c r="I2926" s="198"/>
      <c r="J2926" s="35" t="s">
        <v>2272</v>
      </c>
      <c r="K2926" s="35" t="s">
        <v>2272</v>
      </c>
      <c r="L2926" s="35" t="s">
        <v>2272</v>
      </c>
      <c r="M2926" s="35" t="s">
        <v>2272</v>
      </c>
      <c r="N2926" s="35" t="s">
        <v>2272</v>
      </c>
      <c r="O2926" s="35" t="s">
        <v>2272</v>
      </c>
      <c r="P2926" s="35" t="s">
        <v>2272</v>
      </c>
      <c r="Q2926" s="98" t="s">
        <v>2375</v>
      </c>
      <c r="R2926" s="35" t="s">
        <v>2272</v>
      </c>
      <c r="S2926" s="35" t="s">
        <v>2272</v>
      </c>
      <c r="T2926" s="35" t="s">
        <v>2272</v>
      </c>
      <c r="U2926" s="35" t="s">
        <v>2272</v>
      </c>
      <c r="V2926" s="35" t="s">
        <v>2272</v>
      </c>
      <c r="W2926" s="35" t="s">
        <v>2272</v>
      </c>
      <c r="X2926" s="35" t="s">
        <v>2272</v>
      </c>
      <c r="Y2926" s="35" t="s">
        <v>2272</v>
      </c>
      <c r="Z2926" s="35" t="s">
        <v>2272</v>
      </c>
      <c r="AA2926" s="35" t="s">
        <v>2272</v>
      </c>
      <c r="AB2926" s="198"/>
      <c r="AC2926" s="198"/>
    </row>
    <row r="2927" spans="1:29" ht="31" customHeight="1">
      <c r="A2927" s="147" t="str">
        <f>'Reported burning'!A2927</f>
        <v>306au</v>
      </c>
      <c r="B2927" s="147" t="str">
        <f>'Reported burning'!B2927</f>
        <v>306au.1</v>
      </c>
      <c r="C2927" s="147" t="str">
        <f>'Reported burning'!C2927</f>
        <v>Human, deliberate</v>
      </c>
      <c r="D2927" s="147" t="str">
        <f>'Reported burning'!D2927</f>
        <v>Pyrome management</v>
      </c>
      <c r="E2927" s="147" t="str">
        <f>'Reported burning'!E2927</f>
        <v>Fire suppression agent</v>
      </c>
      <c r="F2927" s="147" t="str">
        <f>'Reported burning'!F2927</f>
        <v>ND</v>
      </c>
      <c r="G2927" s="147" t="str">
        <f>'Reported burning'!G2927</f>
        <v>ND</v>
      </c>
      <c r="H2927" s="147" t="str">
        <f>'Reported burning'!H2927</f>
        <v>Presence</v>
      </c>
      <c r="I2927" s="198"/>
      <c r="J2927" s="35" t="s">
        <v>2272</v>
      </c>
      <c r="K2927" s="35" t="s">
        <v>2272</v>
      </c>
      <c r="L2927" s="35" t="s">
        <v>2272</v>
      </c>
      <c r="M2927" s="35" t="s">
        <v>2272</v>
      </c>
      <c r="N2927" s="35" t="s">
        <v>2272</v>
      </c>
      <c r="O2927" s="35" t="s">
        <v>2272</v>
      </c>
      <c r="P2927" s="35" t="s">
        <v>2272</v>
      </c>
      <c r="Q2927" s="98" t="s">
        <v>2375</v>
      </c>
      <c r="R2927" s="35" t="s">
        <v>2272</v>
      </c>
      <c r="S2927" s="35" t="s">
        <v>2272</v>
      </c>
      <c r="T2927" s="35" t="s">
        <v>2272</v>
      </c>
      <c r="U2927" s="35" t="s">
        <v>2272</v>
      </c>
      <c r="V2927" s="35" t="s">
        <v>2272</v>
      </c>
      <c r="W2927" s="35" t="s">
        <v>2272</v>
      </c>
      <c r="X2927" s="35" t="s">
        <v>2272</v>
      </c>
      <c r="Y2927" s="35" t="s">
        <v>2272</v>
      </c>
      <c r="Z2927" s="35" t="s">
        <v>2272</v>
      </c>
      <c r="AA2927" s="35" t="s">
        <v>2272</v>
      </c>
      <c r="AB2927" s="198"/>
      <c r="AC2927" s="198"/>
    </row>
    <row r="2928" spans="1:29" ht="31" customHeight="1">
      <c r="A2928" s="147" t="str">
        <f>'Reported burning'!A2928</f>
        <v>306av</v>
      </c>
      <c r="B2928" s="147" t="str">
        <f>'Reported burning'!B2928</f>
        <v>306av.1</v>
      </c>
      <c r="C2928" s="147" t="str">
        <f>'Reported burning'!C2928</f>
        <v>Human, deliberate</v>
      </c>
      <c r="D2928" s="147" t="str">
        <f>'Reported burning'!D2928</f>
        <v>Pyrome management</v>
      </c>
      <c r="E2928" s="147" t="str">
        <f>'Reported burning'!E2928</f>
        <v>Fire suppression agent</v>
      </c>
      <c r="F2928" s="147" t="str">
        <f>'Reported burning'!F2928</f>
        <v>ND</v>
      </c>
      <c r="G2928" s="147" t="str">
        <f>'Reported burning'!G2928</f>
        <v>ND</v>
      </c>
      <c r="H2928" s="147" t="str">
        <f>'Reported burning'!H2928</f>
        <v>Presence</v>
      </c>
      <c r="I2928" s="198"/>
      <c r="J2928" s="35" t="s">
        <v>2272</v>
      </c>
      <c r="K2928" s="35" t="s">
        <v>2272</v>
      </c>
      <c r="L2928" s="35" t="s">
        <v>2272</v>
      </c>
      <c r="M2928" s="35" t="s">
        <v>2272</v>
      </c>
      <c r="N2928" s="35" t="s">
        <v>2272</v>
      </c>
      <c r="O2928" s="35" t="s">
        <v>2272</v>
      </c>
      <c r="P2928" s="35" t="s">
        <v>2272</v>
      </c>
      <c r="Q2928" s="98" t="s">
        <v>2375</v>
      </c>
      <c r="R2928" s="35" t="s">
        <v>2272</v>
      </c>
      <c r="S2928" s="35" t="s">
        <v>2272</v>
      </c>
      <c r="T2928" s="35" t="s">
        <v>2272</v>
      </c>
      <c r="U2928" s="35" t="s">
        <v>2272</v>
      </c>
      <c r="V2928" s="35" t="s">
        <v>2272</v>
      </c>
      <c r="W2928" s="35" t="s">
        <v>2272</v>
      </c>
      <c r="X2928" s="35" t="s">
        <v>2272</v>
      </c>
      <c r="Y2928" s="35" t="s">
        <v>2272</v>
      </c>
      <c r="Z2928" s="35" t="s">
        <v>2272</v>
      </c>
      <c r="AA2928" s="35" t="s">
        <v>2272</v>
      </c>
      <c r="AB2928" s="198"/>
      <c r="AC2928" s="198"/>
    </row>
    <row r="2929" spans="1:29" ht="31" customHeight="1">
      <c r="A2929" s="147" t="str">
        <f>'Reported burning'!A2929</f>
        <v>306aw</v>
      </c>
      <c r="B2929" s="147" t="str">
        <f>'Reported burning'!B2929</f>
        <v>306aw.1</v>
      </c>
      <c r="C2929" s="147" t="str">
        <f>'Reported burning'!C2929</f>
        <v>Human, deliberate</v>
      </c>
      <c r="D2929" s="147" t="str">
        <f>'Reported burning'!D2929</f>
        <v>Pyrome management</v>
      </c>
      <c r="E2929" s="147" t="str">
        <f>'Reported burning'!E2929</f>
        <v>Fire suppression agent</v>
      </c>
      <c r="F2929" s="147" t="str">
        <f>'Reported burning'!F2929</f>
        <v>ND</v>
      </c>
      <c r="G2929" s="147" t="str">
        <f>'Reported burning'!G2929</f>
        <v>ND</v>
      </c>
      <c r="H2929" s="147" t="str">
        <f>'Reported burning'!H2929</f>
        <v>Presence</v>
      </c>
      <c r="I2929" s="198"/>
      <c r="J2929" s="35" t="s">
        <v>2272</v>
      </c>
      <c r="K2929" s="35" t="s">
        <v>2272</v>
      </c>
      <c r="L2929" s="35" t="s">
        <v>2272</v>
      </c>
      <c r="M2929" s="35" t="s">
        <v>2272</v>
      </c>
      <c r="N2929" s="35" t="s">
        <v>2272</v>
      </c>
      <c r="O2929" s="35" t="s">
        <v>2272</v>
      </c>
      <c r="P2929" s="35" t="s">
        <v>2272</v>
      </c>
      <c r="Q2929" s="98" t="s">
        <v>2372</v>
      </c>
      <c r="R2929" s="35" t="s">
        <v>2272</v>
      </c>
      <c r="S2929" s="35" t="s">
        <v>2272</v>
      </c>
      <c r="T2929" s="35" t="s">
        <v>2272</v>
      </c>
      <c r="U2929" s="35" t="s">
        <v>2272</v>
      </c>
      <c r="V2929" s="35" t="s">
        <v>2272</v>
      </c>
      <c r="W2929" s="35" t="s">
        <v>2272</v>
      </c>
      <c r="X2929" s="35" t="s">
        <v>2272</v>
      </c>
      <c r="Y2929" s="35" t="s">
        <v>2272</v>
      </c>
      <c r="Z2929" s="35" t="s">
        <v>2272</v>
      </c>
      <c r="AA2929" s="35" t="s">
        <v>2272</v>
      </c>
      <c r="AB2929" s="198"/>
      <c r="AC2929" s="198"/>
    </row>
    <row r="2930" spans="1:29" ht="31" customHeight="1">
      <c r="A2930" s="147" t="str">
        <f>'Reported burning'!A2930</f>
        <v>306ax</v>
      </c>
      <c r="B2930" s="147" t="str">
        <f>'Reported burning'!B2930</f>
        <v>306ax.1</v>
      </c>
      <c r="C2930" s="147" t="str">
        <f>'Reported burning'!C2930</f>
        <v>Human, deliberate</v>
      </c>
      <c r="D2930" s="147" t="str">
        <f>'Reported burning'!D2930</f>
        <v>Pyrome management</v>
      </c>
      <c r="E2930" s="147" t="str">
        <f>'Reported burning'!E2930</f>
        <v>Fire suppression agent</v>
      </c>
      <c r="F2930" s="147" t="str">
        <f>'Reported burning'!F2930</f>
        <v>ND</v>
      </c>
      <c r="G2930" s="147" t="str">
        <f>'Reported burning'!G2930</f>
        <v>ND</v>
      </c>
      <c r="H2930" s="147" t="str">
        <f>'Reported burning'!H2930</f>
        <v>Presence</v>
      </c>
      <c r="I2930" s="198"/>
      <c r="J2930" s="35" t="s">
        <v>2272</v>
      </c>
      <c r="K2930" s="35" t="s">
        <v>2272</v>
      </c>
      <c r="L2930" s="35" t="s">
        <v>2272</v>
      </c>
      <c r="M2930" s="35" t="s">
        <v>2272</v>
      </c>
      <c r="N2930" s="35" t="s">
        <v>2272</v>
      </c>
      <c r="O2930" s="35" t="s">
        <v>2272</v>
      </c>
      <c r="P2930" s="35" t="s">
        <v>2272</v>
      </c>
      <c r="Q2930" s="98" t="s">
        <v>2371</v>
      </c>
      <c r="R2930" s="35" t="s">
        <v>2272</v>
      </c>
      <c r="S2930" s="35" t="s">
        <v>2272</v>
      </c>
      <c r="T2930" s="35" t="s">
        <v>2272</v>
      </c>
      <c r="U2930" s="35" t="s">
        <v>2272</v>
      </c>
      <c r="V2930" s="35" t="s">
        <v>2272</v>
      </c>
      <c r="W2930" s="35" t="s">
        <v>2272</v>
      </c>
      <c r="X2930" s="35" t="s">
        <v>2272</v>
      </c>
      <c r="Y2930" s="35" t="s">
        <v>2272</v>
      </c>
      <c r="Z2930" s="35" t="s">
        <v>2272</v>
      </c>
      <c r="AA2930" s="35" t="s">
        <v>2272</v>
      </c>
      <c r="AB2930" s="198"/>
      <c r="AC2930" s="198"/>
    </row>
    <row r="2931" spans="1:29" ht="31" customHeight="1">
      <c r="A2931" s="147" t="str">
        <f>'Reported burning'!A2931</f>
        <v>306ay</v>
      </c>
      <c r="B2931" s="147" t="str">
        <f>'Reported burning'!B2931</f>
        <v>306ay.1</v>
      </c>
      <c r="C2931" s="147" t="str">
        <f>'Reported burning'!C2931</f>
        <v>Human, deliberate</v>
      </c>
      <c r="D2931" s="147" t="str">
        <f>'Reported burning'!D2931</f>
        <v>Pyrome management</v>
      </c>
      <c r="E2931" s="147" t="str">
        <f>'Reported burning'!E2931</f>
        <v>Fire suppression agent</v>
      </c>
      <c r="F2931" s="147" t="str">
        <f>'Reported burning'!F2931</f>
        <v>ND</v>
      </c>
      <c r="G2931" s="147" t="str">
        <f>'Reported burning'!G2931</f>
        <v>ND</v>
      </c>
      <c r="H2931" s="147" t="str">
        <f>'Reported burning'!H2931</f>
        <v>Presence</v>
      </c>
      <c r="I2931" s="198"/>
      <c r="J2931" s="35" t="s">
        <v>2272</v>
      </c>
      <c r="K2931" s="35" t="s">
        <v>2272</v>
      </c>
      <c r="L2931" s="35" t="s">
        <v>2272</v>
      </c>
      <c r="M2931" s="35" t="s">
        <v>2272</v>
      </c>
      <c r="N2931" s="35" t="s">
        <v>2272</v>
      </c>
      <c r="O2931" s="35" t="s">
        <v>2272</v>
      </c>
      <c r="P2931" s="35" t="s">
        <v>2272</v>
      </c>
      <c r="Q2931" s="98" t="s">
        <v>2371</v>
      </c>
      <c r="R2931" s="35" t="s">
        <v>2272</v>
      </c>
      <c r="S2931" s="35" t="s">
        <v>2272</v>
      </c>
      <c r="T2931" s="35" t="s">
        <v>2272</v>
      </c>
      <c r="U2931" s="35" t="s">
        <v>2272</v>
      </c>
      <c r="V2931" s="35" t="s">
        <v>2272</v>
      </c>
      <c r="W2931" s="35" t="s">
        <v>2272</v>
      </c>
      <c r="X2931" s="35" t="s">
        <v>2272</v>
      </c>
      <c r="Y2931" s="35" t="s">
        <v>2272</v>
      </c>
      <c r="Z2931" s="35" t="s">
        <v>2272</v>
      </c>
      <c r="AA2931" s="35" t="s">
        <v>2272</v>
      </c>
      <c r="AB2931" s="198"/>
      <c r="AC2931" s="198"/>
    </row>
    <row r="2932" spans="1:29" ht="31" customHeight="1">
      <c r="A2932" s="147" t="str">
        <f>'Reported burning'!A2932</f>
        <v>306az</v>
      </c>
      <c r="B2932" s="147" t="str">
        <f>'Reported burning'!B2932</f>
        <v>306az.1</v>
      </c>
      <c r="C2932" s="147" t="str">
        <f>'Reported burning'!C2932</f>
        <v>Human, deliberate</v>
      </c>
      <c r="D2932" s="147" t="str">
        <f>'Reported burning'!D2932</f>
        <v>Pyrome management</v>
      </c>
      <c r="E2932" s="147" t="str">
        <f>'Reported burning'!E2932</f>
        <v>Fire suppression agent</v>
      </c>
      <c r="F2932" s="147" t="str">
        <f>'Reported burning'!F2932</f>
        <v>ND</v>
      </c>
      <c r="G2932" s="147" t="str">
        <f>'Reported burning'!G2932</f>
        <v>ND</v>
      </c>
      <c r="H2932" s="147" t="str">
        <f>'Reported burning'!H2932</f>
        <v>Absence</v>
      </c>
      <c r="I2932" s="198"/>
      <c r="J2932" s="35" t="s">
        <v>2272</v>
      </c>
      <c r="K2932" s="35" t="s">
        <v>2272</v>
      </c>
      <c r="L2932" s="35" t="s">
        <v>2272</v>
      </c>
      <c r="M2932" s="35" t="s">
        <v>2272</v>
      </c>
      <c r="N2932" s="35" t="s">
        <v>2272</v>
      </c>
      <c r="O2932" s="35" t="s">
        <v>2272</v>
      </c>
      <c r="P2932" s="35" t="s">
        <v>2272</v>
      </c>
      <c r="Q2932" s="98">
        <v>0</v>
      </c>
      <c r="R2932" s="35" t="s">
        <v>2272</v>
      </c>
      <c r="S2932" s="35" t="s">
        <v>2272</v>
      </c>
      <c r="T2932" s="35" t="s">
        <v>2272</v>
      </c>
      <c r="U2932" s="35" t="s">
        <v>2272</v>
      </c>
      <c r="V2932" s="35" t="s">
        <v>2272</v>
      </c>
      <c r="W2932" s="35" t="s">
        <v>2272</v>
      </c>
      <c r="X2932" s="35" t="s">
        <v>2272</v>
      </c>
      <c r="Y2932" s="35" t="s">
        <v>2272</v>
      </c>
      <c r="Z2932" s="35" t="s">
        <v>2272</v>
      </c>
      <c r="AA2932" s="35" t="s">
        <v>2272</v>
      </c>
      <c r="AB2932" s="198"/>
      <c r="AC2932" s="198"/>
    </row>
    <row r="2933" spans="1:29" ht="31" customHeight="1">
      <c r="A2933" s="147" t="str">
        <f>'Reported burning'!A2933</f>
        <v>306ba</v>
      </c>
      <c r="B2933" s="147" t="str">
        <f>'Reported burning'!B2933</f>
        <v>306ba.1</v>
      </c>
      <c r="C2933" s="147" t="str">
        <f>'Reported burning'!C2933</f>
        <v>Human, deliberate</v>
      </c>
      <c r="D2933" s="147" t="str">
        <f>'Reported burning'!D2933</f>
        <v>Pyrome management</v>
      </c>
      <c r="E2933" s="147" t="str">
        <f>'Reported burning'!E2933</f>
        <v>Fire suppression agent</v>
      </c>
      <c r="F2933" s="147" t="str">
        <f>'Reported burning'!F2933</f>
        <v>ND</v>
      </c>
      <c r="G2933" s="147" t="str">
        <f>'Reported burning'!G2933</f>
        <v>ND</v>
      </c>
      <c r="H2933" s="147" t="str">
        <f>'Reported burning'!H2933</f>
        <v>Presence</v>
      </c>
      <c r="I2933" s="198"/>
      <c r="J2933" s="35" t="s">
        <v>2272</v>
      </c>
      <c r="K2933" s="35" t="s">
        <v>2272</v>
      </c>
      <c r="L2933" s="35" t="s">
        <v>2272</v>
      </c>
      <c r="M2933" s="35" t="s">
        <v>2272</v>
      </c>
      <c r="N2933" s="35" t="s">
        <v>2272</v>
      </c>
      <c r="O2933" s="35" t="s">
        <v>2272</v>
      </c>
      <c r="P2933" s="35" t="s">
        <v>2272</v>
      </c>
      <c r="Q2933" s="98" t="s">
        <v>2374</v>
      </c>
      <c r="R2933" s="35" t="s">
        <v>2272</v>
      </c>
      <c r="S2933" s="35" t="s">
        <v>2272</v>
      </c>
      <c r="T2933" s="35" t="s">
        <v>2272</v>
      </c>
      <c r="U2933" s="35" t="s">
        <v>2272</v>
      </c>
      <c r="V2933" s="35" t="s">
        <v>2272</v>
      </c>
      <c r="W2933" s="35" t="s">
        <v>2272</v>
      </c>
      <c r="X2933" s="35" t="s">
        <v>2272</v>
      </c>
      <c r="Y2933" s="35" t="s">
        <v>2272</v>
      </c>
      <c r="Z2933" s="35" t="s">
        <v>2272</v>
      </c>
      <c r="AA2933" s="35" t="s">
        <v>2272</v>
      </c>
      <c r="AB2933" s="198"/>
      <c r="AC2933" s="198"/>
    </row>
    <row r="2934" spans="1:29" ht="31" customHeight="1">
      <c r="A2934" s="147" t="str">
        <f>'Reported burning'!A2934</f>
        <v>306bb</v>
      </c>
      <c r="B2934" s="147" t="str">
        <f>'Reported burning'!B2934</f>
        <v>306bb.1</v>
      </c>
      <c r="C2934" s="147" t="str">
        <f>'Reported burning'!C2934</f>
        <v>Human, deliberate</v>
      </c>
      <c r="D2934" s="147" t="str">
        <f>'Reported burning'!D2934</f>
        <v>Pyrome management</v>
      </c>
      <c r="E2934" s="147" t="str">
        <f>'Reported burning'!E2934</f>
        <v>Fire suppression agent</v>
      </c>
      <c r="F2934" s="147" t="str">
        <f>'Reported burning'!F2934</f>
        <v>ND</v>
      </c>
      <c r="G2934" s="147" t="str">
        <f>'Reported burning'!G2934</f>
        <v>ND</v>
      </c>
      <c r="H2934" s="147" t="str">
        <f>'Reported burning'!H2934</f>
        <v>Presence</v>
      </c>
      <c r="I2934" s="198"/>
      <c r="J2934" s="35" t="s">
        <v>2272</v>
      </c>
      <c r="K2934" s="35" t="s">
        <v>2272</v>
      </c>
      <c r="L2934" s="35" t="s">
        <v>2272</v>
      </c>
      <c r="M2934" s="35" t="s">
        <v>2272</v>
      </c>
      <c r="N2934" s="35" t="s">
        <v>2272</v>
      </c>
      <c r="O2934" s="35" t="s">
        <v>2272</v>
      </c>
      <c r="P2934" s="35" t="s">
        <v>2272</v>
      </c>
      <c r="Q2934" s="98" t="s">
        <v>2372</v>
      </c>
      <c r="R2934" s="35" t="s">
        <v>2272</v>
      </c>
      <c r="S2934" s="35" t="s">
        <v>2272</v>
      </c>
      <c r="T2934" s="35" t="s">
        <v>2272</v>
      </c>
      <c r="U2934" s="35" t="s">
        <v>2272</v>
      </c>
      <c r="V2934" s="35" t="s">
        <v>2272</v>
      </c>
      <c r="W2934" s="35" t="s">
        <v>2272</v>
      </c>
      <c r="X2934" s="35" t="s">
        <v>2272</v>
      </c>
      <c r="Y2934" s="35" t="s">
        <v>2272</v>
      </c>
      <c r="Z2934" s="35" t="s">
        <v>2272</v>
      </c>
      <c r="AA2934" s="35" t="s">
        <v>2272</v>
      </c>
      <c r="AB2934" s="198"/>
      <c r="AC2934" s="198"/>
    </row>
    <row r="2935" spans="1:29" ht="31" customHeight="1">
      <c r="A2935" s="147" t="str">
        <f>'Reported burning'!A2935</f>
        <v>306bc</v>
      </c>
      <c r="B2935" s="147" t="str">
        <f>'Reported burning'!B2935</f>
        <v>306bc.1</v>
      </c>
      <c r="C2935" s="147" t="str">
        <f>'Reported burning'!C2935</f>
        <v>Human, deliberate</v>
      </c>
      <c r="D2935" s="147" t="str">
        <f>'Reported burning'!D2935</f>
        <v>Pyrome management</v>
      </c>
      <c r="E2935" s="147" t="str">
        <f>'Reported burning'!E2935</f>
        <v>Fire suppression agent</v>
      </c>
      <c r="F2935" s="147" t="str">
        <f>'Reported burning'!F2935</f>
        <v>ND</v>
      </c>
      <c r="G2935" s="147" t="str">
        <f>'Reported burning'!G2935</f>
        <v>ND</v>
      </c>
      <c r="H2935" s="147" t="str">
        <f>'Reported burning'!H2935</f>
        <v>Presence</v>
      </c>
      <c r="I2935" s="198"/>
      <c r="J2935" s="35" t="s">
        <v>2272</v>
      </c>
      <c r="K2935" s="35" t="s">
        <v>2272</v>
      </c>
      <c r="L2935" s="35" t="s">
        <v>2272</v>
      </c>
      <c r="M2935" s="35" t="s">
        <v>2272</v>
      </c>
      <c r="N2935" s="35" t="s">
        <v>2272</v>
      </c>
      <c r="O2935" s="35" t="s">
        <v>2272</v>
      </c>
      <c r="P2935" s="35" t="s">
        <v>2272</v>
      </c>
      <c r="Q2935" s="98" t="s">
        <v>2372</v>
      </c>
      <c r="R2935" s="35" t="s">
        <v>2272</v>
      </c>
      <c r="S2935" s="35" t="s">
        <v>2272</v>
      </c>
      <c r="T2935" s="35" t="s">
        <v>2272</v>
      </c>
      <c r="U2935" s="35" t="s">
        <v>2272</v>
      </c>
      <c r="V2935" s="35" t="s">
        <v>2272</v>
      </c>
      <c r="W2935" s="35" t="s">
        <v>2272</v>
      </c>
      <c r="X2935" s="35" t="s">
        <v>2272</v>
      </c>
      <c r="Y2935" s="35" t="s">
        <v>2272</v>
      </c>
      <c r="Z2935" s="35" t="s">
        <v>2272</v>
      </c>
      <c r="AA2935" s="35" t="s">
        <v>2272</v>
      </c>
      <c r="AB2935" s="198"/>
      <c r="AC2935" s="198"/>
    </row>
    <row r="2936" spans="1:29" ht="31" customHeight="1">
      <c r="A2936" s="147" t="str">
        <f>'Reported burning'!A2936</f>
        <v>306bd</v>
      </c>
      <c r="B2936" s="147" t="str">
        <f>'Reported burning'!B2936</f>
        <v>306bd.1</v>
      </c>
      <c r="C2936" s="147" t="str">
        <f>'Reported burning'!C2936</f>
        <v>Human, deliberate</v>
      </c>
      <c r="D2936" s="147" t="str">
        <f>'Reported burning'!D2936</f>
        <v>Pyrome management</v>
      </c>
      <c r="E2936" s="147" t="str">
        <f>'Reported burning'!E2936</f>
        <v>Fire suppression agent</v>
      </c>
      <c r="F2936" s="147" t="str">
        <f>'Reported burning'!F2936</f>
        <v>ND</v>
      </c>
      <c r="G2936" s="147" t="str">
        <f>'Reported burning'!G2936</f>
        <v>ND</v>
      </c>
      <c r="H2936" s="147" t="str">
        <f>'Reported burning'!H2936</f>
        <v>Presence</v>
      </c>
      <c r="I2936" s="198"/>
      <c r="J2936" s="35" t="s">
        <v>2272</v>
      </c>
      <c r="K2936" s="35" t="s">
        <v>2272</v>
      </c>
      <c r="L2936" s="35" t="s">
        <v>2272</v>
      </c>
      <c r="M2936" s="35" t="s">
        <v>2272</v>
      </c>
      <c r="N2936" s="35" t="s">
        <v>2272</v>
      </c>
      <c r="O2936" s="35" t="s">
        <v>2272</v>
      </c>
      <c r="P2936" s="35" t="s">
        <v>2272</v>
      </c>
      <c r="Q2936" s="98" t="s">
        <v>2372</v>
      </c>
      <c r="R2936" s="35" t="s">
        <v>2272</v>
      </c>
      <c r="S2936" s="35" t="s">
        <v>2272</v>
      </c>
      <c r="T2936" s="35" t="s">
        <v>2272</v>
      </c>
      <c r="U2936" s="35" t="s">
        <v>2272</v>
      </c>
      <c r="V2936" s="35" t="s">
        <v>2272</v>
      </c>
      <c r="W2936" s="35" t="s">
        <v>2272</v>
      </c>
      <c r="X2936" s="35" t="s">
        <v>2272</v>
      </c>
      <c r="Y2936" s="35" t="s">
        <v>2272</v>
      </c>
      <c r="Z2936" s="35" t="s">
        <v>2272</v>
      </c>
      <c r="AA2936" s="35" t="s">
        <v>2272</v>
      </c>
      <c r="AB2936" s="198"/>
      <c r="AC2936" s="198"/>
    </row>
    <row r="2937" spans="1:29" ht="31" customHeight="1">
      <c r="A2937" s="147" t="str">
        <f>'Reported burning'!A2937</f>
        <v>306be</v>
      </c>
      <c r="B2937" s="147" t="str">
        <f>'Reported burning'!B2937</f>
        <v>306be.1</v>
      </c>
      <c r="C2937" s="147" t="str">
        <f>'Reported burning'!C2937</f>
        <v>Human, deliberate</v>
      </c>
      <c r="D2937" s="147" t="str">
        <f>'Reported burning'!D2937</f>
        <v>Pyrome management</v>
      </c>
      <c r="E2937" s="147" t="str">
        <f>'Reported burning'!E2937</f>
        <v>Fire suppression agent</v>
      </c>
      <c r="F2937" s="147" t="str">
        <f>'Reported burning'!F2937</f>
        <v>ND</v>
      </c>
      <c r="G2937" s="147" t="str">
        <f>'Reported burning'!G2937</f>
        <v>ND</v>
      </c>
      <c r="H2937" s="147" t="str">
        <f>'Reported burning'!H2937</f>
        <v>Presence</v>
      </c>
      <c r="I2937" s="198"/>
      <c r="J2937" s="35" t="s">
        <v>2272</v>
      </c>
      <c r="K2937" s="35" t="s">
        <v>2272</v>
      </c>
      <c r="L2937" s="35" t="s">
        <v>2272</v>
      </c>
      <c r="M2937" s="35" t="s">
        <v>2272</v>
      </c>
      <c r="N2937" s="35" t="s">
        <v>2272</v>
      </c>
      <c r="O2937" s="35" t="s">
        <v>2272</v>
      </c>
      <c r="P2937" s="35" t="s">
        <v>2272</v>
      </c>
      <c r="Q2937" s="98" t="s">
        <v>2371</v>
      </c>
      <c r="R2937" s="35" t="s">
        <v>2272</v>
      </c>
      <c r="S2937" s="35" t="s">
        <v>2272</v>
      </c>
      <c r="T2937" s="35" t="s">
        <v>2272</v>
      </c>
      <c r="U2937" s="35" t="s">
        <v>2272</v>
      </c>
      <c r="V2937" s="35" t="s">
        <v>2272</v>
      </c>
      <c r="W2937" s="35" t="s">
        <v>2272</v>
      </c>
      <c r="X2937" s="35" t="s">
        <v>2272</v>
      </c>
      <c r="Y2937" s="35" t="s">
        <v>2272</v>
      </c>
      <c r="Z2937" s="35" t="s">
        <v>2272</v>
      </c>
      <c r="AA2937" s="35" t="s">
        <v>2272</v>
      </c>
      <c r="AB2937" s="198"/>
      <c r="AC2937" s="198"/>
    </row>
    <row r="2938" spans="1:29" ht="31" customHeight="1">
      <c r="A2938" s="147" t="str">
        <f>'Reported burning'!A2938</f>
        <v>306bf</v>
      </c>
      <c r="B2938" s="147" t="str">
        <f>'Reported burning'!B2938</f>
        <v>306bf.1</v>
      </c>
      <c r="C2938" s="147" t="str">
        <f>'Reported burning'!C2938</f>
        <v>Human, deliberate</v>
      </c>
      <c r="D2938" s="147" t="str">
        <f>'Reported burning'!D2938</f>
        <v>Pyrome management</v>
      </c>
      <c r="E2938" s="147" t="str">
        <f>'Reported burning'!E2938</f>
        <v>Fire suppression agent</v>
      </c>
      <c r="F2938" s="147" t="str">
        <f>'Reported burning'!F2938</f>
        <v>ND</v>
      </c>
      <c r="G2938" s="147" t="str">
        <f>'Reported burning'!G2938</f>
        <v>ND</v>
      </c>
      <c r="H2938" s="147" t="str">
        <f>'Reported burning'!H2938</f>
        <v>Presence</v>
      </c>
      <c r="I2938" s="198"/>
      <c r="J2938" s="35" t="s">
        <v>2272</v>
      </c>
      <c r="K2938" s="35" t="s">
        <v>2272</v>
      </c>
      <c r="L2938" s="35" t="s">
        <v>2272</v>
      </c>
      <c r="M2938" s="35" t="s">
        <v>2272</v>
      </c>
      <c r="N2938" s="35" t="s">
        <v>2272</v>
      </c>
      <c r="O2938" s="35" t="s">
        <v>2272</v>
      </c>
      <c r="P2938" s="35" t="s">
        <v>2272</v>
      </c>
      <c r="Q2938" s="98" t="s">
        <v>2373</v>
      </c>
      <c r="R2938" s="35" t="s">
        <v>2272</v>
      </c>
      <c r="S2938" s="35" t="s">
        <v>2272</v>
      </c>
      <c r="T2938" s="35" t="s">
        <v>2272</v>
      </c>
      <c r="U2938" s="35" t="s">
        <v>2272</v>
      </c>
      <c r="V2938" s="35" t="s">
        <v>2272</v>
      </c>
      <c r="W2938" s="35" t="s">
        <v>2272</v>
      </c>
      <c r="X2938" s="35" t="s">
        <v>2272</v>
      </c>
      <c r="Y2938" s="35" t="s">
        <v>2272</v>
      </c>
      <c r="Z2938" s="35" t="s">
        <v>2272</v>
      </c>
      <c r="AA2938" s="35" t="s">
        <v>2272</v>
      </c>
      <c r="AB2938" s="198"/>
      <c r="AC2938" s="198"/>
    </row>
    <row r="2939" spans="1:29" ht="31" customHeight="1">
      <c r="A2939" s="147" t="str">
        <f>'Reported burning'!A2939</f>
        <v>306bg</v>
      </c>
      <c r="B2939" s="147" t="str">
        <f>'Reported burning'!B2939</f>
        <v>306bg.1</v>
      </c>
      <c r="C2939" s="147" t="str">
        <f>'Reported burning'!C2939</f>
        <v>Human, deliberate</v>
      </c>
      <c r="D2939" s="147" t="str">
        <f>'Reported burning'!D2939</f>
        <v>Pyrome management</v>
      </c>
      <c r="E2939" s="147" t="str">
        <f>'Reported burning'!E2939</f>
        <v>Fire suppression agent</v>
      </c>
      <c r="F2939" s="147" t="str">
        <f>'Reported burning'!F2939</f>
        <v>ND</v>
      </c>
      <c r="G2939" s="147" t="str">
        <f>'Reported burning'!G2939</f>
        <v>ND</v>
      </c>
      <c r="H2939" s="147" t="str">
        <f>'Reported burning'!H2939</f>
        <v>Presence</v>
      </c>
      <c r="I2939" s="198"/>
      <c r="J2939" s="35" t="s">
        <v>2272</v>
      </c>
      <c r="K2939" s="35" t="s">
        <v>2272</v>
      </c>
      <c r="L2939" s="35" t="s">
        <v>2272</v>
      </c>
      <c r="M2939" s="35" t="s">
        <v>2272</v>
      </c>
      <c r="N2939" s="35" t="s">
        <v>2272</v>
      </c>
      <c r="O2939" s="35" t="s">
        <v>2272</v>
      </c>
      <c r="P2939" s="35" t="s">
        <v>2272</v>
      </c>
      <c r="Q2939" s="98" t="s">
        <v>2371</v>
      </c>
      <c r="R2939" s="35" t="s">
        <v>2272</v>
      </c>
      <c r="S2939" s="35" t="s">
        <v>2272</v>
      </c>
      <c r="T2939" s="35" t="s">
        <v>2272</v>
      </c>
      <c r="U2939" s="35" t="s">
        <v>2272</v>
      </c>
      <c r="V2939" s="35" t="s">
        <v>2272</v>
      </c>
      <c r="W2939" s="35" t="s">
        <v>2272</v>
      </c>
      <c r="X2939" s="35" t="s">
        <v>2272</v>
      </c>
      <c r="Y2939" s="35" t="s">
        <v>2272</v>
      </c>
      <c r="Z2939" s="35" t="s">
        <v>2272</v>
      </c>
      <c r="AA2939" s="35" t="s">
        <v>2272</v>
      </c>
      <c r="AB2939" s="198"/>
      <c r="AC2939" s="198"/>
    </row>
    <row r="2940" spans="1:29" ht="31" customHeight="1">
      <c r="A2940" s="147" t="str">
        <f>'Reported burning'!A2940</f>
        <v>306ab</v>
      </c>
      <c r="B2940" s="147" t="str">
        <f>'Reported burning'!B2940</f>
        <v>306ab.1</v>
      </c>
      <c r="C2940" s="147" t="str">
        <f>'Reported burning'!C2940</f>
        <v>Human, deliberate</v>
      </c>
      <c r="D2940" s="147" t="str">
        <f>'Reported burning'!D2940</f>
        <v>Pyrome management</v>
      </c>
      <c r="E2940" s="147" t="str">
        <f>'Reported burning'!E2940</f>
        <v>Fire suppression agent</v>
      </c>
      <c r="F2940" s="147" t="str">
        <f>'Reported burning'!F2940</f>
        <v>ND</v>
      </c>
      <c r="G2940" s="147" t="str">
        <f>'Reported burning'!G2940</f>
        <v>ND</v>
      </c>
      <c r="H2940" s="147" t="str">
        <f>'Reported burning'!H2940</f>
        <v>Presence</v>
      </c>
      <c r="I2940" s="198"/>
      <c r="J2940" s="35" t="s">
        <v>2272</v>
      </c>
      <c r="K2940" s="35" t="s">
        <v>2272</v>
      </c>
      <c r="L2940" s="35" t="s">
        <v>2272</v>
      </c>
      <c r="M2940" s="35" t="s">
        <v>2272</v>
      </c>
      <c r="N2940" s="35" t="s">
        <v>2272</v>
      </c>
      <c r="O2940" s="35" t="s">
        <v>2272</v>
      </c>
      <c r="P2940" s="35" t="s">
        <v>2272</v>
      </c>
      <c r="Q2940" s="98" t="s">
        <v>2373</v>
      </c>
      <c r="R2940" s="35" t="s">
        <v>2272</v>
      </c>
      <c r="S2940" s="35" t="s">
        <v>2272</v>
      </c>
      <c r="T2940" s="35" t="s">
        <v>2272</v>
      </c>
      <c r="U2940" s="35" t="s">
        <v>2272</v>
      </c>
      <c r="V2940" s="35" t="s">
        <v>2272</v>
      </c>
      <c r="W2940" s="35" t="s">
        <v>2272</v>
      </c>
      <c r="X2940" s="35" t="s">
        <v>2272</v>
      </c>
      <c r="Y2940" s="35" t="s">
        <v>2272</v>
      </c>
      <c r="Z2940" s="35" t="s">
        <v>2272</v>
      </c>
      <c r="AA2940" s="35" t="s">
        <v>2272</v>
      </c>
      <c r="AB2940" s="198"/>
      <c r="AC2940" s="198"/>
    </row>
    <row r="2941" spans="1:29" ht="31" customHeight="1">
      <c r="A2941" s="147" t="str">
        <f>'Reported burning'!A2941</f>
        <v>306bi</v>
      </c>
      <c r="B2941" s="147" t="str">
        <f>'Reported burning'!B2941</f>
        <v>306bi.1</v>
      </c>
      <c r="C2941" s="147" t="str">
        <f>'Reported burning'!C2941</f>
        <v>Human, deliberate</v>
      </c>
      <c r="D2941" s="147" t="str">
        <f>'Reported burning'!D2941</f>
        <v>Pyrome management</v>
      </c>
      <c r="E2941" s="147" t="str">
        <f>'Reported burning'!E2941</f>
        <v>Fire suppression agent</v>
      </c>
      <c r="F2941" s="147" t="str">
        <f>'Reported burning'!F2941</f>
        <v>ND</v>
      </c>
      <c r="G2941" s="147" t="str">
        <f>'Reported burning'!G2941</f>
        <v>ND</v>
      </c>
      <c r="H2941" s="147" t="str">
        <f>'Reported burning'!H2941</f>
        <v>Presence</v>
      </c>
      <c r="I2941" s="198"/>
      <c r="J2941" s="35" t="s">
        <v>2272</v>
      </c>
      <c r="K2941" s="35" t="s">
        <v>2272</v>
      </c>
      <c r="L2941" s="35" t="s">
        <v>2272</v>
      </c>
      <c r="M2941" s="35" t="s">
        <v>2272</v>
      </c>
      <c r="N2941" s="35" t="s">
        <v>2272</v>
      </c>
      <c r="O2941" s="35" t="s">
        <v>2272</v>
      </c>
      <c r="P2941" s="35" t="s">
        <v>2272</v>
      </c>
      <c r="Q2941" s="98" t="s">
        <v>2374</v>
      </c>
      <c r="R2941" s="35" t="s">
        <v>2272</v>
      </c>
      <c r="S2941" s="35" t="s">
        <v>2272</v>
      </c>
      <c r="T2941" s="35" t="s">
        <v>2272</v>
      </c>
      <c r="U2941" s="35" t="s">
        <v>2272</v>
      </c>
      <c r="V2941" s="35" t="s">
        <v>2272</v>
      </c>
      <c r="W2941" s="35" t="s">
        <v>2272</v>
      </c>
      <c r="X2941" s="35" t="s">
        <v>2272</v>
      </c>
      <c r="Y2941" s="35" t="s">
        <v>2272</v>
      </c>
      <c r="Z2941" s="35" t="s">
        <v>2272</v>
      </c>
      <c r="AA2941" s="35" t="s">
        <v>2272</v>
      </c>
      <c r="AB2941" s="198"/>
      <c r="AC2941" s="198"/>
    </row>
    <row r="2942" spans="1:29" ht="31" customHeight="1">
      <c r="A2942" s="147" t="str">
        <f>'Reported burning'!A2942</f>
        <v>306bj</v>
      </c>
      <c r="B2942" s="147" t="str">
        <f>'Reported burning'!B2942</f>
        <v>306bj.1</v>
      </c>
      <c r="C2942" s="147" t="str">
        <f>'Reported burning'!C2942</f>
        <v>Human, deliberate</v>
      </c>
      <c r="D2942" s="147" t="str">
        <f>'Reported burning'!D2942</f>
        <v>Pyrome management</v>
      </c>
      <c r="E2942" s="147" t="str">
        <f>'Reported burning'!E2942</f>
        <v>Fire suppression agent</v>
      </c>
      <c r="F2942" s="147" t="str">
        <f>'Reported burning'!F2942</f>
        <v>ND</v>
      </c>
      <c r="G2942" s="147" t="str">
        <f>'Reported burning'!G2942</f>
        <v>ND</v>
      </c>
      <c r="H2942" s="147" t="str">
        <f>'Reported burning'!H2942</f>
        <v>Absence</v>
      </c>
      <c r="I2942" s="198"/>
      <c r="J2942" s="35" t="s">
        <v>2272</v>
      </c>
      <c r="K2942" s="35" t="s">
        <v>2272</v>
      </c>
      <c r="L2942" s="35" t="s">
        <v>2272</v>
      </c>
      <c r="M2942" s="35" t="s">
        <v>2272</v>
      </c>
      <c r="N2942" s="35" t="s">
        <v>2272</v>
      </c>
      <c r="O2942" s="35" t="s">
        <v>2272</v>
      </c>
      <c r="P2942" s="35" t="s">
        <v>2272</v>
      </c>
      <c r="Q2942" s="98">
        <v>0</v>
      </c>
      <c r="R2942" s="35" t="s">
        <v>2272</v>
      </c>
      <c r="S2942" s="35" t="s">
        <v>2272</v>
      </c>
      <c r="T2942" s="35" t="s">
        <v>2272</v>
      </c>
      <c r="U2942" s="35" t="s">
        <v>2272</v>
      </c>
      <c r="V2942" s="35" t="s">
        <v>2272</v>
      </c>
      <c r="W2942" s="35" t="s">
        <v>2272</v>
      </c>
      <c r="X2942" s="35" t="s">
        <v>2272</v>
      </c>
      <c r="Y2942" s="35" t="s">
        <v>2272</v>
      </c>
      <c r="Z2942" s="35" t="s">
        <v>2272</v>
      </c>
      <c r="AA2942" s="35" t="s">
        <v>2272</v>
      </c>
      <c r="AB2942" s="198"/>
      <c r="AC2942" s="198"/>
    </row>
    <row r="2943" spans="1:29" ht="31" customHeight="1">
      <c r="A2943" s="147" t="str">
        <f>'Reported burning'!A2943</f>
        <v>306bk</v>
      </c>
      <c r="B2943" s="147" t="str">
        <f>'Reported burning'!B2943</f>
        <v>306bk.1</v>
      </c>
      <c r="C2943" s="147" t="str">
        <f>'Reported burning'!C2943</f>
        <v>Human, deliberate</v>
      </c>
      <c r="D2943" s="147" t="str">
        <f>'Reported burning'!D2943</f>
        <v>Pyrome management</v>
      </c>
      <c r="E2943" s="147" t="str">
        <f>'Reported burning'!E2943</f>
        <v>Fire suppression agent</v>
      </c>
      <c r="F2943" s="147" t="str">
        <f>'Reported burning'!F2943</f>
        <v>ND</v>
      </c>
      <c r="G2943" s="147" t="str">
        <f>'Reported burning'!G2943</f>
        <v>ND</v>
      </c>
      <c r="H2943" s="147" t="str">
        <f>'Reported burning'!H2943</f>
        <v>Presence</v>
      </c>
      <c r="I2943" s="198"/>
      <c r="J2943" s="35" t="s">
        <v>2272</v>
      </c>
      <c r="K2943" s="35" t="s">
        <v>2272</v>
      </c>
      <c r="L2943" s="35" t="s">
        <v>2272</v>
      </c>
      <c r="M2943" s="35" t="s">
        <v>2272</v>
      </c>
      <c r="N2943" s="35" t="s">
        <v>2272</v>
      </c>
      <c r="O2943" s="35" t="s">
        <v>2272</v>
      </c>
      <c r="P2943" s="35" t="s">
        <v>2272</v>
      </c>
      <c r="Q2943" s="98" t="s">
        <v>2371</v>
      </c>
      <c r="R2943" s="35" t="s">
        <v>2272</v>
      </c>
      <c r="S2943" s="35" t="s">
        <v>2272</v>
      </c>
      <c r="T2943" s="35" t="s">
        <v>2272</v>
      </c>
      <c r="U2943" s="35" t="s">
        <v>2272</v>
      </c>
      <c r="V2943" s="35" t="s">
        <v>2272</v>
      </c>
      <c r="W2943" s="35" t="s">
        <v>2272</v>
      </c>
      <c r="X2943" s="35" t="s">
        <v>2272</v>
      </c>
      <c r="Y2943" s="35" t="s">
        <v>2272</v>
      </c>
      <c r="Z2943" s="35" t="s">
        <v>2272</v>
      </c>
      <c r="AA2943" s="35" t="s">
        <v>2272</v>
      </c>
      <c r="AB2943" s="198"/>
      <c r="AC2943" s="198"/>
    </row>
    <row r="2944" spans="1:29" ht="31" customHeight="1">
      <c r="A2944" s="147" t="str">
        <f>'Reported burning'!A2944</f>
        <v>306bl</v>
      </c>
      <c r="B2944" s="147" t="str">
        <f>'Reported burning'!B2944</f>
        <v>306bl.1</v>
      </c>
      <c r="C2944" s="147" t="str">
        <f>'Reported burning'!C2944</f>
        <v>Human, deliberate</v>
      </c>
      <c r="D2944" s="147" t="str">
        <f>'Reported burning'!D2944</f>
        <v>Pyrome management</v>
      </c>
      <c r="E2944" s="147" t="str">
        <f>'Reported burning'!E2944</f>
        <v>Fire suppression agent</v>
      </c>
      <c r="F2944" s="147" t="str">
        <f>'Reported burning'!F2944</f>
        <v>ND</v>
      </c>
      <c r="G2944" s="147" t="str">
        <f>'Reported burning'!G2944</f>
        <v>ND</v>
      </c>
      <c r="H2944" s="147" t="str">
        <f>'Reported burning'!H2944</f>
        <v>Presence</v>
      </c>
      <c r="I2944" s="198"/>
      <c r="J2944" s="35" t="s">
        <v>2272</v>
      </c>
      <c r="K2944" s="35" t="s">
        <v>2272</v>
      </c>
      <c r="L2944" s="35" t="s">
        <v>2272</v>
      </c>
      <c r="M2944" s="35" t="s">
        <v>2272</v>
      </c>
      <c r="N2944" s="35" t="s">
        <v>2272</v>
      </c>
      <c r="O2944" s="35" t="s">
        <v>2272</v>
      </c>
      <c r="P2944" s="35" t="s">
        <v>2272</v>
      </c>
      <c r="Q2944" s="98" t="s">
        <v>2371</v>
      </c>
      <c r="R2944" s="35" t="s">
        <v>2272</v>
      </c>
      <c r="S2944" s="35" t="s">
        <v>2272</v>
      </c>
      <c r="T2944" s="35" t="s">
        <v>2272</v>
      </c>
      <c r="U2944" s="35" t="s">
        <v>2272</v>
      </c>
      <c r="V2944" s="35" t="s">
        <v>2272</v>
      </c>
      <c r="W2944" s="35" t="s">
        <v>2272</v>
      </c>
      <c r="X2944" s="35" t="s">
        <v>2272</v>
      </c>
      <c r="Y2944" s="35" t="s">
        <v>2272</v>
      </c>
      <c r="Z2944" s="35" t="s">
        <v>2272</v>
      </c>
      <c r="AA2944" s="35" t="s">
        <v>2272</v>
      </c>
      <c r="AB2944" s="198"/>
      <c r="AC2944" s="198"/>
    </row>
    <row r="2945" spans="1:29" ht="31" customHeight="1">
      <c r="A2945" s="147" t="str">
        <f>'Reported burning'!A2945</f>
        <v>306bm</v>
      </c>
      <c r="B2945" s="147" t="str">
        <f>'Reported burning'!B2945</f>
        <v>306bm.1</v>
      </c>
      <c r="C2945" s="147" t="str">
        <f>'Reported burning'!C2945</f>
        <v>Human, deliberate</v>
      </c>
      <c r="D2945" s="147" t="str">
        <f>'Reported burning'!D2945</f>
        <v>Pyrome management</v>
      </c>
      <c r="E2945" s="147" t="str">
        <f>'Reported burning'!E2945</f>
        <v>Fire suppression agent</v>
      </c>
      <c r="F2945" s="147" t="str">
        <f>'Reported burning'!F2945</f>
        <v>ND</v>
      </c>
      <c r="G2945" s="147" t="str">
        <f>'Reported burning'!G2945</f>
        <v>ND</v>
      </c>
      <c r="H2945" s="147" t="str">
        <f>'Reported burning'!H2945</f>
        <v>Presence</v>
      </c>
      <c r="I2945" s="198"/>
      <c r="J2945" s="35" t="s">
        <v>2272</v>
      </c>
      <c r="K2945" s="35" t="s">
        <v>2272</v>
      </c>
      <c r="L2945" s="35" t="s">
        <v>2272</v>
      </c>
      <c r="M2945" s="35" t="s">
        <v>2272</v>
      </c>
      <c r="N2945" s="35" t="s">
        <v>2272</v>
      </c>
      <c r="O2945" s="35" t="s">
        <v>2272</v>
      </c>
      <c r="P2945" s="35" t="s">
        <v>2272</v>
      </c>
      <c r="Q2945" s="98" t="s">
        <v>2371</v>
      </c>
      <c r="R2945" s="35" t="s">
        <v>2272</v>
      </c>
      <c r="S2945" s="35" t="s">
        <v>2272</v>
      </c>
      <c r="T2945" s="35" t="s">
        <v>2272</v>
      </c>
      <c r="U2945" s="35" t="s">
        <v>2272</v>
      </c>
      <c r="V2945" s="35" t="s">
        <v>2272</v>
      </c>
      <c r="W2945" s="35" t="s">
        <v>2272</v>
      </c>
      <c r="X2945" s="35" t="s">
        <v>2272</v>
      </c>
      <c r="Y2945" s="35" t="s">
        <v>2272</v>
      </c>
      <c r="Z2945" s="35" t="s">
        <v>2272</v>
      </c>
      <c r="AA2945" s="35" t="s">
        <v>2272</v>
      </c>
      <c r="AB2945" s="198"/>
      <c r="AC2945" s="198"/>
    </row>
    <row r="2946" spans="1:29" ht="31" customHeight="1">
      <c r="A2946" s="147" t="str">
        <f>'Reported burning'!A2946</f>
        <v>306bn</v>
      </c>
      <c r="B2946" s="147" t="str">
        <f>'Reported burning'!B2946</f>
        <v>306bn.1</v>
      </c>
      <c r="C2946" s="147" t="str">
        <f>'Reported burning'!C2946</f>
        <v>Human, deliberate</v>
      </c>
      <c r="D2946" s="147" t="str">
        <f>'Reported burning'!D2946</f>
        <v>Pyrome management</v>
      </c>
      <c r="E2946" s="147" t="str">
        <f>'Reported burning'!E2946</f>
        <v>Fire suppression agent</v>
      </c>
      <c r="F2946" s="147" t="str">
        <f>'Reported burning'!F2946</f>
        <v>ND</v>
      </c>
      <c r="G2946" s="147" t="str">
        <f>'Reported burning'!G2946</f>
        <v>ND</v>
      </c>
      <c r="H2946" s="147" t="str">
        <f>'Reported burning'!H2946</f>
        <v>Presence</v>
      </c>
      <c r="I2946" s="198"/>
      <c r="J2946" s="35" t="s">
        <v>2272</v>
      </c>
      <c r="K2946" s="35" t="s">
        <v>2272</v>
      </c>
      <c r="L2946" s="35" t="s">
        <v>2272</v>
      </c>
      <c r="M2946" s="35" t="s">
        <v>2272</v>
      </c>
      <c r="N2946" s="35" t="s">
        <v>2272</v>
      </c>
      <c r="O2946" s="35" t="s">
        <v>2272</v>
      </c>
      <c r="P2946" s="35" t="s">
        <v>2272</v>
      </c>
      <c r="Q2946" s="98" t="s">
        <v>2371</v>
      </c>
      <c r="R2946" s="35" t="s">
        <v>2272</v>
      </c>
      <c r="S2946" s="35" t="s">
        <v>2272</v>
      </c>
      <c r="T2946" s="35" t="s">
        <v>2272</v>
      </c>
      <c r="U2946" s="35" t="s">
        <v>2272</v>
      </c>
      <c r="V2946" s="35" t="s">
        <v>2272</v>
      </c>
      <c r="W2946" s="35" t="s">
        <v>2272</v>
      </c>
      <c r="X2946" s="35" t="s">
        <v>2272</v>
      </c>
      <c r="Y2946" s="35" t="s">
        <v>2272</v>
      </c>
      <c r="Z2946" s="35" t="s">
        <v>2272</v>
      </c>
      <c r="AA2946" s="35" t="s">
        <v>2272</v>
      </c>
      <c r="AB2946" s="198"/>
      <c r="AC2946" s="198"/>
    </row>
    <row r="2947" spans="1:29" ht="31" customHeight="1">
      <c r="A2947" s="147" t="str">
        <f>'Reported burning'!A2947</f>
        <v>306bo</v>
      </c>
      <c r="B2947" s="147" t="str">
        <f>'Reported burning'!B2947</f>
        <v>306bo.1</v>
      </c>
      <c r="C2947" s="147" t="str">
        <f>'Reported burning'!C2947</f>
        <v>Human, deliberate</v>
      </c>
      <c r="D2947" s="147" t="str">
        <f>'Reported burning'!D2947</f>
        <v>Pyrome management</v>
      </c>
      <c r="E2947" s="147" t="str">
        <f>'Reported burning'!E2947</f>
        <v>Fire suppression agent</v>
      </c>
      <c r="F2947" s="147" t="str">
        <f>'Reported burning'!F2947</f>
        <v>ND</v>
      </c>
      <c r="G2947" s="147" t="str">
        <f>'Reported burning'!G2947</f>
        <v>ND</v>
      </c>
      <c r="H2947" s="147" t="str">
        <f>'Reported burning'!H2947</f>
        <v>Absence</v>
      </c>
      <c r="I2947" s="198"/>
      <c r="J2947" s="35" t="s">
        <v>2272</v>
      </c>
      <c r="K2947" s="35" t="s">
        <v>2272</v>
      </c>
      <c r="L2947" s="35" t="s">
        <v>2272</v>
      </c>
      <c r="M2947" s="35" t="s">
        <v>2272</v>
      </c>
      <c r="N2947" s="35" t="s">
        <v>2272</v>
      </c>
      <c r="O2947" s="35" t="s">
        <v>2272</v>
      </c>
      <c r="P2947" s="35" t="s">
        <v>2272</v>
      </c>
      <c r="Q2947" s="98">
        <v>0</v>
      </c>
      <c r="R2947" s="35" t="s">
        <v>2272</v>
      </c>
      <c r="S2947" s="35" t="s">
        <v>2272</v>
      </c>
      <c r="T2947" s="35" t="s">
        <v>2272</v>
      </c>
      <c r="U2947" s="35" t="s">
        <v>2272</v>
      </c>
      <c r="V2947" s="35" t="s">
        <v>2272</v>
      </c>
      <c r="W2947" s="35" t="s">
        <v>2272</v>
      </c>
      <c r="X2947" s="35" t="s">
        <v>2272</v>
      </c>
      <c r="Y2947" s="35" t="s">
        <v>2272</v>
      </c>
      <c r="Z2947" s="35" t="s">
        <v>2272</v>
      </c>
      <c r="AA2947" s="35" t="s">
        <v>2272</v>
      </c>
      <c r="AB2947" s="198"/>
      <c r="AC2947" s="198"/>
    </row>
    <row r="2948" spans="1:29" ht="31" customHeight="1">
      <c r="A2948" s="217" t="str">
        <f>'Reported burning'!A2948</f>
        <v>306bp</v>
      </c>
      <c r="B2948" s="217" t="str">
        <f>'Reported burning'!B2948</f>
        <v>306bp.1</v>
      </c>
      <c r="C2948" s="217" t="str">
        <f>'Reported burning'!C2948</f>
        <v>Human, deliberate</v>
      </c>
      <c r="D2948" s="217" t="str">
        <f>'Reported burning'!D2948</f>
        <v>Pyrome management</v>
      </c>
      <c r="E2948" s="217" t="str">
        <f>'Reported burning'!E2948</f>
        <v>Fire suppression agent</v>
      </c>
      <c r="F2948" s="217" t="str">
        <f>'Reported burning'!F2948</f>
        <v>ND</v>
      </c>
      <c r="G2948" s="217" t="str">
        <f>'Reported burning'!G2948</f>
        <v>ND</v>
      </c>
      <c r="H2948" s="217" t="str">
        <f>'Reported burning'!H2948</f>
        <v>Presence</v>
      </c>
      <c r="I2948" s="35"/>
      <c r="J2948" s="35" t="s">
        <v>2272</v>
      </c>
      <c r="K2948" s="35" t="s">
        <v>2272</v>
      </c>
      <c r="L2948" s="35" t="s">
        <v>2272</v>
      </c>
      <c r="M2948" s="35" t="s">
        <v>2272</v>
      </c>
      <c r="N2948" s="35" t="s">
        <v>2272</v>
      </c>
      <c r="O2948" s="35" t="s">
        <v>2272</v>
      </c>
      <c r="P2948" s="35" t="s">
        <v>2272</v>
      </c>
      <c r="Q2948" s="106" t="s">
        <v>2374</v>
      </c>
      <c r="R2948" s="35" t="s">
        <v>2272</v>
      </c>
      <c r="S2948" s="35" t="s">
        <v>2272</v>
      </c>
      <c r="T2948" s="35" t="s">
        <v>2272</v>
      </c>
      <c r="U2948" s="35" t="s">
        <v>2272</v>
      </c>
      <c r="V2948" s="35" t="s">
        <v>2272</v>
      </c>
      <c r="W2948" s="35" t="s">
        <v>2272</v>
      </c>
      <c r="X2948" s="35" t="s">
        <v>2272</v>
      </c>
      <c r="Y2948" s="35" t="s">
        <v>2272</v>
      </c>
      <c r="Z2948" s="35" t="s">
        <v>2272</v>
      </c>
      <c r="AA2948" s="35" t="s">
        <v>2272</v>
      </c>
      <c r="AB2948" s="35"/>
      <c r="AC2948" s="35"/>
    </row>
    <row r="2949" spans="1:29" s="197" customFormat="1" ht="31" customHeight="1">
      <c r="A2949" s="217" t="str">
        <f>'Reported burning'!A2949</f>
        <v>307a</v>
      </c>
      <c r="B2949" s="217" t="str">
        <f>'Reported burning'!B2949</f>
        <v>307a.1</v>
      </c>
      <c r="C2949" s="217" t="str">
        <f>'Reported burning'!C2949</f>
        <v>Human, deliberate</v>
      </c>
      <c r="D2949" s="217" t="str">
        <f>'Reported burning'!D2949</f>
        <v>Pyrome management</v>
      </c>
      <c r="E2949" s="217" t="str">
        <f>'Reported burning'!E2949</f>
        <v>All</v>
      </c>
      <c r="F2949" s="217" t="str">
        <f>'Reported burning'!F2949</f>
        <v>Shrubland (Mixed forest &amp; grassland)</v>
      </c>
      <c r="G2949" s="217" t="str">
        <f>'Reported burning'!G2949</f>
        <v>Shrubland (Mixed forest &amp; grassland)</v>
      </c>
      <c r="H2949" s="217" t="str">
        <f>'Reported burning'!H2949</f>
        <v>Absence</v>
      </c>
      <c r="I2949" s="35"/>
      <c r="J2949" s="21">
        <v>0</v>
      </c>
      <c r="K2949" s="21">
        <v>0</v>
      </c>
      <c r="L2949" s="21">
        <v>0</v>
      </c>
      <c r="M2949" s="21">
        <v>0</v>
      </c>
      <c r="N2949" s="21">
        <v>0</v>
      </c>
      <c r="O2949" s="21">
        <v>0</v>
      </c>
      <c r="P2949" s="21">
        <v>0</v>
      </c>
      <c r="Q2949" s="21">
        <v>0</v>
      </c>
      <c r="R2949" s="21">
        <v>0</v>
      </c>
      <c r="S2949" s="21">
        <v>0</v>
      </c>
      <c r="T2949" s="21">
        <v>0</v>
      </c>
      <c r="U2949" s="21">
        <v>0</v>
      </c>
      <c r="V2949" s="21">
        <v>0</v>
      </c>
      <c r="W2949" s="21">
        <v>0</v>
      </c>
      <c r="X2949" s="21" t="s">
        <v>2272</v>
      </c>
      <c r="Y2949" s="198" t="s">
        <v>2272</v>
      </c>
      <c r="Z2949" s="198" t="s">
        <v>2272</v>
      </c>
      <c r="AA2949" s="198" t="s">
        <v>2272</v>
      </c>
      <c r="AB2949" s="35"/>
      <c r="AC2949" s="35"/>
    </row>
    <row r="2950" spans="1:29" s="197" customFormat="1" ht="31" customHeight="1">
      <c r="A2950" s="217" t="str">
        <f>'Reported burning'!A2950</f>
        <v>307a</v>
      </c>
      <c r="B2950" s="217" t="str">
        <f>'Reported burning'!B2950</f>
        <v>307a.2</v>
      </c>
      <c r="C2950" s="217" t="str">
        <f>'Reported burning'!C2950</f>
        <v>Human, deliberate</v>
      </c>
      <c r="D2950" s="217" t="str">
        <f>'Reported burning'!D2950</f>
        <v>Conservation</v>
      </c>
      <c r="E2950" s="217" t="str">
        <f>'Reported burning'!E2950</f>
        <v>All</v>
      </c>
      <c r="F2950" s="217" t="str">
        <f>'Reported burning'!F2950</f>
        <v>Shrubland (Mixed forest &amp; grassland)</v>
      </c>
      <c r="G2950" s="217" t="str">
        <f>'Reported burning'!G2950</f>
        <v>Shrubland (Mixed forest &amp; grassland)</v>
      </c>
      <c r="H2950" s="217" t="str">
        <f>'Reported burning'!H2950</f>
        <v>Absence</v>
      </c>
      <c r="I2950" s="35"/>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t="s">
        <v>2272</v>
      </c>
      <c r="Y2950" s="198" t="s">
        <v>2272</v>
      </c>
      <c r="Z2950" s="198" t="s">
        <v>2272</v>
      </c>
      <c r="AA2950" s="198" t="s">
        <v>2272</v>
      </c>
      <c r="AB2950" s="35"/>
      <c r="AC2950" s="35"/>
    </row>
    <row r="2951" spans="1:29" s="197" customFormat="1" ht="31" customHeight="1">
      <c r="A2951" s="217" t="str">
        <f>'Reported burning'!A2951</f>
        <v>307b</v>
      </c>
      <c r="B2951" s="217" t="str">
        <f>'Reported burning'!B2951</f>
        <v>307b.1</v>
      </c>
      <c r="C2951" s="217" t="str">
        <f>'Reported burning'!C2951</f>
        <v>Human, deliberate</v>
      </c>
      <c r="D2951" s="217" t="str">
        <f>'Reported burning'!D2951</f>
        <v>Conservation</v>
      </c>
      <c r="E2951" s="217" t="str">
        <f>'Reported burning'!E2951</f>
        <v>Biodiversity conservation</v>
      </c>
      <c r="F2951" s="217" t="str">
        <f>'Reported burning'!F2951</f>
        <v>Shrubland (Mixed forest &amp; grassland)</v>
      </c>
      <c r="G2951" s="217" t="str">
        <f>'Reported burning'!G2951</f>
        <v>Shrubland (Mixed forest &amp; grassland)</v>
      </c>
      <c r="H2951" s="217" t="str">
        <f>'Reported burning'!H2951</f>
        <v>Absence</v>
      </c>
      <c r="I2951" s="35"/>
      <c r="J2951" s="21">
        <v>0</v>
      </c>
      <c r="K2951" s="21">
        <v>0</v>
      </c>
      <c r="L2951" s="21">
        <v>0</v>
      </c>
      <c r="M2951" s="21">
        <v>0</v>
      </c>
      <c r="N2951" s="21">
        <v>0</v>
      </c>
      <c r="O2951" s="21">
        <v>0</v>
      </c>
      <c r="P2951" s="21">
        <v>0</v>
      </c>
      <c r="Q2951" s="21">
        <v>0</v>
      </c>
      <c r="R2951" s="21">
        <v>0</v>
      </c>
      <c r="S2951" s="21">
        <v>0</v>
      </c>
      <c r="T2951" s="21">
        <v>0</v>
      </c>
      <c r="U2951" s="21">
        <v>0</v>
      </c>
      <c r="V2951" s="21">
        <v>0</v>
      </c>
      <c r="W2951" s="21">
        <v>0</v>
      </c>
      <c r="X2951" s="21" t="s">
        <v>2272</v>
      </c>
      <c r="Y2951" s="198" t="s">
        <v>2272</v>
      </c>
      <c r="Z2951" s="198" t="s">
        <v>2272</v>
      </c>
      <c r="AA2951" s="198" t="s">
        <v>2272</v>
      </c>
      <c r="AB2951" s="35"/>
      <c r="AC2951" s="35"/>
    </row>
    <row r="2952" spans="1:29" s="197" customFormat="1" ht="31" customHeight="1">
      <c r="A2952" s="217" t="str">
        <f>'Reported burning'!A2952</f>
        <v>307b</v>
      </c>
      <c r="B2952" s="217" t="str">
        <f>'Reported burning'!B2952</f>
        <v>307b.2</v>
      </c>
      <c r="C2952" s="217" t="str">
        <f>'Reported burning'!C2952</f>
        <v>Human, deliberate</v>
      </c>
      <c r="D2952" s="217" t="str">
        <f>'Reported burning'!D2952</f>
        <v>Conservation</v>
      </c>
      <c r="E2952" s="217" t="str">
        <f>'Reported burning'!E2952</f>
        <v>Biodiversity conservation</v>
      </c>
      <c r="F2952" s="217" t="str">
        <f>'Reported burning'!F2952</f>
        <v>Shrubland (Mixed forest &amp; grassland)</v>
      </c>
      <c r="G2952" s="217" t="str">
        <f>'Reported burning'!G2952</f>
        <v>Shrubland (Mixed forest &amp; grassland)</v>
      </c>
      <c r="H2952" s="217" t="str">
        <f>'Reported burning'!H2952</f>
        <v>Presence</v>
      </c>
      <c r="I2952" s="98" t="s">
        <v>9941</v>
      </c>
      <c r="J2952" s="198" t="s">
        <v>2272</v>
      </c>
      <c r="K2952" s="198" t="s">
        <v>2272</v>
      </c>
      <c r="L2952" s="198" t="s">
        <v>2272</v>
      </c>
      <c r="M2952" s="198" t="s">
        <v>2272</v>
      </c>
      <c r="N2952" s="198" t="s">
        <v>2272</v>
      </c>
      <c r="O2952" s="198" t="s">
        <v>2272</v>
      </c>
      <c r="P2952" s="198" t="s">
        <v>2272</v>
      </c>
      <c r="Q2952" s="198" t="s">
        <v>2272</v>
      </c>
      <c r="R2952" s="198" t="s">
        <v>2272</v>
      </c>
      <c r="S2952" s="198" t="s">
        <v>2272</v>
      </c>
      <c r="T2952" s="198" t="s">
        <v>2272</v>
      </c>
      <c r="U2952" s="198" t="s">
        <v>2272</v>
      </c>
      <c r="V2952" s="198" t="s">
        <v>2272</v>
      </c>
      <c r="W2952" s="198" t="s">
        <v>2272</v>
      </c>
      <c r="X2952" s="198" t="s">
        <v>2272</v>
      </c>
      <c r="Y2952" s="198" t="s">
        <v>2272</v>
      </c>
      <c r="Z2952" s="198" t="s">
        <v>2272</v>
      </c>
      <c r="AA2952" s="198" t="s">
        <v>2272</v>
      </c>
      <c r="AB2952" s="35"/>
      <c r="AC2952" s="35"/>
    </row>
    <row r="2953" spans="1:29" s="197" customFormat="1" ht="31" customHeight="1">
      <c r="A2953" s="147" t="str">
        <f>'Reported burning'!A2953</f>
        <v>308a</v>
      </c>
      <c r="B2953" s="147" t="str">
        <f>'Reported burning'!B2953</f>
        <v>308a.1</v>
      </c>
      <c r="C2953" s="147" t="str">
        <f>'Reported burning'!C2953</f>
        <v>Human, deliberate</v>
      </c>
      <c r="D2953" s="147" t="str">
        <f>'Reported burning'!D2953</f>
        <v>Forest clearance</v>
      </c>
      <c r="E2953" s="147" t="str">
        <f>'Reported burning'!E2953</f>
        <v>Cropping, Swidden</v>
      </c>
      <c r="F2953" s="147" t="str">
        <f>'Reported burning'!F2953</f>
        <v>Forest</v>
      </c>
      <c r="G2953" s="147" t="str">
        <f>'Reported burning'!G2953</f>
        <v>Forest</v>
      </c>
      <c r="H2953" s="147" t="str">
        <f>'Reported burning'!H2953</f>
        <v>Presence</v>
      </c>
      <c r="I2953" s="198"/>
      <c r="J2953" s="198" t="s">
        <v>2272</v>
      </c>
      <c r="K2953" s="198" t="s">
        <v>2272</v>
      </c>
      <c r="L2953" s="198" t="s">
        <v>2272</v>
      </c>
      <c r="M2953" s="198" t="s">
        <v>2272</v>
      </c>
      <c r="N2953" s="198" t="s">
        <v>2272</v>
      </c>
      <c r="O2953" s="198" t="s">
        <v>2272</v>
      </c>
      <c r="P2953" s="198" t="s">
        <v>2272</v>
      </c>
      <c r="Q2953" s="198" t="s">
        <v>2272</v>
      </c>
      <c r="R2953" s="21" t="s">
        <v>2370</v>
      </c>
      <c r="S2953" s="198" t="s">
        <v>2272</v>
      </c>
      <c r="T2953" s="198" t="s">
        <v>2272</v>
      </c>
      <c r="U2953" s="198" t="s">
        <v>2272</v>
      </c>
      <c r="V2953" s="198" t="s">
        <v>2272</v>
      </c>
      <c r="W2953" s="198" t="s">
        <v>2272</v>
      </c>
      <c r="X2953" s="198" t="s">
        <v>2272</v>
      </c>
      <c r="Y2953" s="198" t="s">
        <v>67</v>
      </c>
      <c r="Z2953" s="198" t="s">
        <v>34</v>
      </c>
      <c r="AA2953" s="198" t="s">
        <v>2272</v>
      </c>
      <c r="AB2953" s="198"/>
      <c r="AC2953" s="198"/>
    </row>
    <row r="2954" spans="1:29" ht="31" customHeight="1">
      <c r="A2954" s="147" t="str">
        <f>'Reported burning'!A2954</f>
        <v>308a</v>
      </c>
      <c r="B2954" s="147" t="str">
        <f>'Reported burning'!B2954</f>
        <v>308a.2</v>
      </c>
      <c r="C2954" s="147" t="str">
        <f>'Reported burning'!C2954</f>
        <v>Human, deliberate</v>
      </c>
      <c r="D2954" s="147" t="str">
        <f>'Reported burning'!D2954</f>
        <v>Crop field preparation</v>
      </c>
      <c r="E2954" s="147" t="str">
        <f>'Reported burning'!E2954</f>
        <v>Cropping, Swidden</v>
      </c>
      <c r="F2954" s="147" t="str">
        <f>'Reported burning'!F2954</f>
        <v>Secondary vegetation</v>
      </c>
      <c r="G2954" s="147" t="str">
        <f>'Reported burning'!G2954</f>
        <v>Secondary vegetation</v>
      </c>
      <c r="H2954" s="147" t="str">
        <f>'Reported burning'!H2954</f>
        <v>Presence</v>
      </c>
      <c r="I2954" s="198"/>
      <c r="J2954" s="198" t="s">
        <v>2272</v>
      </c>
      <c r="K2954" s="198" t="s">
        <v>2272</v>
      </c>
      <c r="L2954" s="198" t="s">
        <v>2272</v>
      </c>
      <c r="M2954" s="198" t="s">
        <v>2272</v>
      </c>
      <c r="N2954" s="198" t="s">
        <v>2272</v>
      </c>
      <c r="O2954" s="198" t="s">
        <v>2272</v>
      </c>
      <c r="P2954" s="198" t="s">
        <v>2272</v>
      </c>
      <c r="Q2954" s="198" t="s">
        <v>2272</v>
      </c>
      <c r="R2954" s="21" t="s">
        <v>2370</v>
      </c>
      <c r="S2954" s="198" t="s">
        <v>2272</v>
      </c>
      <c r="T2954" s="198" t="s">
        <v>2272</v>
      </c>
      <c r="U2954" s="198" t="s">
        <v>2272</v>
      </c>
      <c r="V2954" s="198" t="s">
        <v>2272</v>
      </c>
      <c r="W2954" s="198" t="s">
        <v>2272</v>
      </c>
      <c r="X2954" s="21" t="s">
        <v>2398</v>
      </c>
      <c r="Y2954" s="198" t="s">
        <v>423</v>
      </c>
      <c r="Z2954" s="198" t="s">
        <v>397</v>
      </c>
      <c r="AA2954" s="198" t="s">
        <v>2272</v>
      </c>
      <c r="AB2954" s="198"/>
      <c r="AC2954" s="198"/>
    </row>
    <row r="2955" spans="1:29" ht="31" customHeight="1">
      <c r="A2955" s="147" t="str">
        <f>'Reported burning'!A2955</f>
        <v>308a</v>
      </c>
      <c r="B2955" s="147" t="str">
        <f>'Reported burning'!B2955</f>
        <v>308a.3</v>
      </c>
      <c r="C2955" s="147" t="str">
        <f>'Reported burning'!C2955</f>
        <v>Human, deliberate</v>
      </c>
      <c r="D2955" s="147" t="str">
        <f>'Reported burning'!D2955</f>
        <v>Forest clearance</v>
      </c>
      <c r="E2955" s="147" t="str">
        <f>'Reported burning'!E2955</f>
        <v>Mixed cropping-livestock small holder, Subsistence-oriented</v>
      </c>
      <c r="F2955" s="147" t="str">
        <f>'Reported burning'!F2955</f>
        <v>Forest</v>
      </c>
      <c r="G2955" s="147" t="str">
        <f>'Reported burning'!G2955</f>
        <v>Forest</v>
      </c>
      <c r="H2955" s="147" t="str">
        <f>'Reported burning'!H2955</f>
        <v>Presence</v>
      </c>
      <c r="I2955" s="198"/>
      <c r="J2955" s="198" t="s">
        <v>2272</v>
      </c>
      <c r="K2955" s="198" t="s">
        <v>2272</v>
      </c>
      <c r="L2955" s="198" t="s">
        <v>2272</v>
      </c>
      <c r="M2955" s="198" t="s">
        <v>2272</v>
      </c>
      <c r="N2955" s="198" t="s">
        <v>2272</v>
      </c>
      <c r="O2955" s="198" t="s">
        <v>2272</v>
      </c>
      <c r="P2955" s="198" t="s">
        <v>2272</v>
      </c>
      <c r="Q2955" s="198" t="s">
        <v>2272</v>
      </c>
      <c r="R2955" s="21" t="s">
        <v>2368</v>
      </c>
      <c r="S2955" s="198" t="s">
        <v>2272</v>
      </c>
      <c r="T2955" s="198" t="s">
        <v>2272</v>
      </c>
      <c r="U2955" s="198" t="s">
        <v>2272</v>
      </c>
      <c r="V2955" s="198" t="s">
        <v>2272</v>
      </c>
      <c r="W2955" s="198" t="s">
        <v>2272</v>
      </c>
      <c r="X2955" s="198" t="s">
        <v>2272</v>
      </c>
      <c r="Y2955" s="198" t="s">
        <v>67</v>
      </c>
      <c r="Z2955" s="198" t="s">
        <v>34</v>
      </c>
      <c r="AA2955" s="198" t="s">
        <v>2272</v>
      </c>
      <c r="AB2955" s="198"/>
      <c r="AC2955" s="198"/>
    </row>
    <row r="2956" spans="1:29" ht="49" customHeight="1">
      <c r="A2956" s="147" t="str">
        <f>'Reported burning'!A2956</f>
        <v>308a</v>
      </c>
      <c r="B2956" s="147" t="str">
        <f>'Reported burning'!B2956</f>
        <v>308a.4</v>
      </c>
      <c r="C2956" s="147" t="str">
        <f>'Reported burning'!C2956</f>
        <v>Human, deliberate</v>
      </c>
      <c r="D2956" s="147" t="str">
        <f>'Reported burning'!D2956</f>
        <v>Pasture renewal</v>
      </c>
      <c r="E2956" s="147" t="str">
        <f>'Reported burning'!E2956</f>
        <v>Mixed cropping-livestock small holder, Subsistence-oriented</v>
      </c>
      <c r="F2956" s="147" t="str">
        <f>'Reported burning'!F2956</f>
        <v>Pasture</v>
      </c>
      <c r="G2956" s="147" t="str">
        <f>'Reported burning'!G2956</f>
        <v>Pasture</v>
      </c>
      <c r="H2956" s="147" t="str">
        <f>'Reported burning'!H2956</f>
        <v>Presence</v>
      </c>
      <c r="I2956" s="198"/>
      <c r="J2956" s="198" t="s">
        <v>2272</v>
      </c>
      <c r="K2956" s="198" t="s">
        <v>2272</v>
      </c>
      <c r="L2956" s="198" t="s">
        <v>2272</v>
      </c>
      <c r="M2956" s="198" t="s">
        <v>2272</v>
      </c>
      <c r="N2956" s="198" t="s">
        <v>2272</v>
      </c>
      <c r="O2956" s="198" t="s">
        <v>2272</v>
      </c>
      <c r="P2956" s="198" t="s">
        <v>2272</v>
      </c>
      <c r="Q2956" s="198" t="s">
        <v>2272</v>
      </c>
      <c r="R2956" s="198" t="s">
        <v>2272</v>
      </c>
      <c r="S2956" s="198" t="s">
        <v>2272</v>
      </c>
      <c r="T2956" s="198" t="s">
        <v>2272</v>
      </c>
      <c r="U2956" s="198" t="s">
        <v>2272</v>
      </c>
      <c r="V2956" s="198" t="s">
        <v>2272</v>
      </c>
      <c r="W2956" s="198" t="s">
        <v>2272</v>
      </c>
      <c r="X2956" s="21" t="s">
        <v>2370</v>
      </c>
      <c r="Y2956" s="198" t="s">
        <v>2272</v>
      </c>
      <c r="Z2956" s="198" t="s">
        <v>2272</v>
      </c>
      <c r="AA2956" s="198" t="s">
        <v>2272</v>
      </c>
      <c r="AB2956" s="198"/>
      <c r="AC2956" s="198"/>
    </row>
    <row r="2957" spans="1:29" s="197" customFormat="1" ht="49" customHeight="1">
      <c r="A2957" s="147" t="str">
        <f>'Reported burning'!A2957</f>
        <v>308a</v>
      </c>
      <c r="B2957" s="147" t="str">
        <f>'Reported burning'!B2957</f>
        <v>308a.5</v>
      </c>
      <c r="C2957" s="147" t="str">
        <f>'Reported burning'!C2957</f>
        <v>Human, escaped</v>
      </c>
      <c r="D2957" s="147" t="str">
        <f>'Reported burning'!D2957</f>
        <v>Pasture renewal</v>
      </c>
      <c r="E2957" s="147" t="str">
        <f>'Reported burning'!E2957</f>
        <v>Mixed cropping-livestock small holder, Subsistence-oriented</v>
      </c>
      <c r="F2957" s="147" t="str">
        <f>'Reported burning'!F2957</f>
        <v>Pasture</v>
      </c>
      <c r="G2957" s="147" t="str">
        <f>'Reported burning'!G2957</f>
        <v>Forest</v>
      </c>
      <c r="H2957" s="147" t="str">
        <f>'Reported burning'!H2957</f>
        <v>Presence</v>
      </c>
      <c r="I2957" s="198"/>
      <c r="J2957" s="198" t="s">
        <v>2272</v>
      </c>
      <c r="K2957" s="198" t="s">
        <v>2272</v>
      </c>
      <c r="L2957" s="198" t="s">
        <v>2272</v>
      </c>
      <c r="M2957" s="198" t="s">
        <v>2272</v>
      </c>
      <c r="N2957" s="198" t="s">
        <v>2272</v>
      </c>
      <c r="O2957" s="198" t="s">
        <v>2272</v>
      </c>
      <c r="P2957" s="198" t="s">
        <v>2272</v>
      </c>
      <c r="Q2957" s="198" t="s">
        <v>2272</v>
      </c>
      <c r="R2957" s="198" t="s">
        <v>2272</v>
      </c>
      <c r="S2957" s="198" t="s">
        <v>2272</v>
      </c>
      <c r="T2957" s="198" t="s">
        <v>2272</v>
      </c>
      <c r="U2957" s="198" t="s">
        <v>2272</v>
      </c>
      <c r="V2957" s="198" t="s">
        <v>2272</v>
      </c>
      <c r="W2957" s="198" t="s">
        <v>2272</v>
      </c>
      <c r="X2957" s="198" t="s">
        <v>2272</v>
      </c>
      <c r="Y2957" s="198" t="s">
        <v>2272</v>
      </c>
      <c r="Z2957" s="198" t="s">
        <v>2272</v>
      </c>
      <c r="AA2957" s="198" t="s">
        <v>2272</v>
      </c>
      <c r="AB2957" s="198"/>
      <c r="AC2957" s="198"/>
    </row>
    <row r="2958" spans="1:29" ht="49" customHeight="1">
      <c r="A2958" s="147" t="str">
        <f>'Reported burning'!A2958</f>
        <v>308a</v>
      </c>
      <c r="B2958" s="147" t="str">
        <f>'Reported burning'!B2958</f>
        <v>308a.6</v>
      </c>
      <c r="C2958" s="147" t="str">
        <f>'Reported burning'!C2958</f>
        <v>Human, deliberate</v>
      </c>
      <c r="D2958" s="147" t="str">
        <f>'Reported burning'!D2958</f>
        <v>Forest clearance</v>
      </c>
      <c r="E2958" s="147" t="str">
        <f>'Reported burning'!E2958</f>
        <v>Cattle, Extensive</v>
      </c>
      <c r="F2958" s="147" t="str">
        <f>'Reported burning'!F2958</f>
        <v>Forest</v>
      </c>
      <c r="G2958" s="147" t="str">
        <f>'Reported burning'!G2958</f>
        <v>Forest</v>
      </c>
      <c r="H2958" s="147" t="str">
        <f>'Reported burning'!H2958</f>
        <v>Presence</v>
      </c>
      <c r="I2958" s="198"/>
      <c r="J2958" s="198" t="s">
        <v>2272</v>
      </c>
      <c r="K2958" s="198" t="s">
        <v>2272</v>
      </c>
      <c r="L2958" s="198" t="s">
        <v>2272</v>
      </c>
      <c r="M2958" s="198" t="s">
        <v>2272</v>
      </c>
      <c r="N2958" s="198" t="s">
        <v>2272</v>
      </c>
      <c r="O2958" s="21" t="s">
        <v>2380</v>
      </c>
      <c r="P2958" s="198" t="s">
        <v>2272</v>
      </c>
      <c r="Q2958" s="198" t="s">
        <v>2272</v>
      </c>
      <c r="R2958" s="198" t="s">
        <v>2272</v>
      </c>
      <c r="S2958" s="198" t="s">
        <v>2272</v>
      </c>
      <c r="T2958" s="198" t="s">
        <v>2272</v>
      </c>
      <c r="U2958" s="198" t="s">
        <v>2272</v>
      </c>
      <c r="V2958" s="198" t="s">
        <v>2272</v>
      </c>
      <c r="W2958" s="198" t="s">
        <v>2272</v>
      </c>
      <c r="X2958" s="198" t="s">
        <v>2272</v>
      </c>
      <c r="Y2958" s="198" t="s">
        <v>67</v>
      </c>
      <c r="Z2958" s="198" t="s">
        <v>34</v>
      </c>
      <c r="AA2958" s="198" t="s">
        <v>2272</v>
      </c>
      <c r="AB2958" s="198"/>
      <c r="AC2958" s="198"/>
    </row>
    <row r="2959" spans="1:29" ht="49" customHeight="1">
      <c r="A2959" s="147" t="str">
        <f>'Reported burning'!A2959</f>
        <v>308a</v>
      </c>
      <c r="B2959" s="147" t="str">
        <f>'Reported burning'!B2959</f>
        <v>308a.7</v>
      </c>
      <c r="C2959" s="147" t="str">
        <f>'Reported burning'!C2959</f>
        <v>Human, deliberate</v>
      </c>
      <c r="D2959" s="147" t="str">
        <f>'Reported burning'!D2959</f>
        <v>Pasture renewal</v>
      </c>
      <c r="E2959" s="147" t="str">
        <f>'Reported burning'!E2959</f>
        <v>Cattle, Extensive</v>
      </c>
      <c r="F2959" s="147" t="str">
        <f>'Reported burning'!F2959</f>
        <v>Pasture</v>
      </c>
      <c r="G2959" s="147" t="str">
        <f>'Reported burning'!G2959</f>
        <v>Pasture</v>
      </c>
      <c r="H2959" s="147" t="str">
        <f>'Reported burning'!H2959</f>
        <v>Presence</v>
      </c>
      <c r="I2959" s="198"/>
      <c r="J2959" s="198" t="s">
        <v>2272</v>
      </c>
      <c r="K2959" s="198" t="s">
        <v>2272</v>
      </c>
      <c r="L2959" s="198" t="s">
        <v>2272</v>
      </c>
      <c r="M2959" s="198" t="s">
        <v>2272</v>
      </c>
      <c r="N2959" s="198" t="s">
        <v>2272</v>
      </c>
      <c r="O2959" s="198" t="s">
        <v>2272</v>
      </c>
      <c r="P2959" s="198" t="s">
        <v>2272</v>
      </c>
      <c r="Q2959" s="198" t="s">
        <v>2272</v>
      </c>
      <c r="R2959" s="198" t="s">
        <v>2272</v>
      </c>
      <c r="S2959" s="198" t="s">
        <v>2272</v>
      </c>
      <c r="T2959" s="198" t="s">
        <v>2272</v>
      </c>
      <c r="U2959" s="198" t="s">
        <v>2272</v>
      </c>
      <c r="V2959" s="198" t="s">
        <v>2272</v>
      </c>
      <c r="W2959" s="198" t="s">
        <v>2272</v>
      </c>
      <c r="X2959" s="21" t="s">
        <v>2370</v>
      </c>
      <c r="Y2959" s="198" t="s">
        <v>2272</v>
      </c>
      <c r="Z2959" s="198" t="s">
        <v>2272</v>
      </c>
      <c r="AA2959" s="198" t="s">
        <v>2272</v>
      </c>
      <c r="AB2959" s="198"/>
      <c r="AC2959" s="198"/>
    </row>
    <row r="2960" spans="1:29" ht="49" customHeight="1">
      <c r="A2960" s="147" t="str">
        <f>'Reported burning'!A2960</f>
        <v>308a</v>
      </c>
      <c r="B2960" s="147" t="str">
        <f>'Reported burning'!B2960</f>
        <v>308a.8</v>
      </c>
      <c r="C2960" s="147" t="str">
        <f>'Reported burning'!C2960</f>
        <v>Human, escaped</v>
      </c>
      <c r="D2960" s="147" t="str">
        <f>'Reported burning'!D2960</f>
        <v>Pasture renewal</v>
      </c>
      <c r="E2960" s="147" t="str">
        <f>'Reported burning'!E2960</f>
        <v>Cattle, Extensive</v>
      </c>
      <c r="F2960" s="147" t="str">
        <f>'Reported burning'!F2960</f>
        <v>Pasture</v>
      </c>
      <c r="G2960" s="147" t="str">
        <f>'Reported burning'!G2960</f>
        <v>Forest</v>
      </c>
      <c r="H2960" s="147" t="str">
        <f>'Reported burning'!H2960</f>
        <v>Presence</v>
      </c>
      <c r="I2960" s="198"/>
      <c r="J2960" s="198" t="s">
        <v>2272</v>
      </c>
      <c r="K2960" s="198" t="s">
        <v>2272</v>
      </c>
      <c r="L2960" s="198" t="s">
        <v>2272</v>
      </c>
      <c r="M2960" s="198" t="s">
        <v>2272</v>
      </c>
      <c r="N2960" s="198" t="s">
        <v>2272</v>
      </c>
      <c r="O2960" s="198" t="s">
        <v>2272</v>
      </c>
      <c r="P2960" s="198" t="s">
        <v>2272</v>
      </c>
      <c r="Q2960" s="198" t="s">
        <v>2272</v>
      </c>
      <c r="R2960" s="198" t="s">
        <v>2272</v>
      </c>
      <c r="S2960" s="198" t="s">
        <v>2272</v>
      </c>
      <c r="T2960" s="198" t="s">
        <v>2272</v>
      </c>
      <c r="U2960" s="198" t="s">
        <v>2272</v>
      </c>
      <c r="V2960" s="198" t="s">
        <v>2272</v>
      </c>
      <c r="W2960" s="198" t="s">
        <v>2272</v>
      </c>
      <c r="X2960" s="198" t="s">
        <v>2272</v>
      </c>
      <c r="Y2960" s="198" t="s">
        <v>2272</v>
      </c>
      <c r="Z2960" s="198" t="s">
        <v>2272</v>
      </c>
      <c r="AA2960" s="198" t="s">
        <v>2272</v>
      </c>
      <c r="AB2960" s="198"/>
      <c r="AC2960" s="198"/>
    </row>
    <row r="2961" spans="1:29" ht="49" customHeight="1">
      <c r="A2961" s="151" t="str">
        <f>'Reported burning'!A2961</f>
        <v>309a</v>
      </c>
      <c r="B2961" s="151" t="str">
        <f>'Reported burning'!B2961</f>
        <v>309a.1</v>
      </c>
      <c r="C2961" s="151" t="str">
        <f>'Reported burning'!C2961</f>
        <v>Human, deliberate</v>
      </c>
      <c r="D2961" s="151" t="str">
        <f>'Reported burning'!D2961</f>
        <v>Pasture renewal</v>
      </c>
      <c r="E2961" s="151" t="str">
        <f>'Reported burning'!E2961</f>
        <v>Cattle, Extensive</v>
      </c>
      <c r="F2961" s="151" t="str">
        <f>'Reported burning'!F2961</f>
        <v>Grassland</v>
      </c>
      <c r="G2961" s="151" t="str">
        <f>'Reported burning'!G2961</f>
        <v>Grassland</v>
      </c>
      <c r="H2961" s="151" t="str">
        <f>'Reported burning'!H2961</f>
        <v>Presence</v>
      </c>
      <c r="I2961" s="5"/>
      <c r="J2961" s="21"/>
      <c r="K2961" s="21"/>
      <c r="L2961" s="98"/>
      <c r="M2961" s="21"/>
      <c r="N2961" s="21"/>
      <c r="O2961" s="21"/>
      <c r="P2961" s="21"/>
      <c r="Q2961" s="21" t="s">
        <v>2371</v>
      </c>
      <c r="R2961" s="21"/>
      <c r="S2961" s="21" t="s">
        <v>2371</v>
      </c>
      <c r="T2961" s="21"/>
      <c r="U2961" s="21"/>
      <c r="V2961" s="21"/>
      <c r="W2961" s="21"/>
      <c r="X2961" s="21" t="s">
        <v>2396</v>
      </c>
      <c r="Y2961" s="198" t="s">
        <v>2272</v>
      </c>
      <c r="Z2961" s="198" t="s">
        <v>2272</v>
      </c>
      <c r="AA2961" s="198" t="s">
        <v>2272</v>
      </c>
      <c r="AB2961" s="4" t="s">
        <v>7881</v>
      </c>
      <c r="AC2961" s="198" t="s">
        <v>7883</v>
      </c>
    </row>
    <row r="2962" spans="1:29" ht="49" customHeight="1">
      <c r="A2962" s="151" t="str">
        <f>'Reported burning'!A2962</f>
        <v>309a</v>
      </c>
      <c r="B2962" s="151" t="str">
        <f>'Reported burning'!B2962</f>
        <v>309a.2</v>
      </c>
      <c r="C2962" s="151" t="str">
        <f>'Reported burning'!C2962</f>
        <v>Human, deliberate</v>
      </c>
      <c r="D2962" s="151" t="str">
        <f>'Reported burning'!D2962</f>
        <v>Pasture renewal</v>
      </c>
      <c r="E2962" s="151" t="str">
        <f>'Reported burning'!E2962</f>
        <v>Pastoralism, Migratory</v>
      </c>
      <c r="F2962" s="151" t="str">
        <f>'Reported burning'!F2962</f>
        <v>Grassland</v>
      </c>
      <c r="G2962" s="151" t="str">
        <f>'Reported burning'!G2962</f>
        <v>Grassland</v>
      </c>
      <c r="H2962" s="151" t="str">
        <f>'Reported burning'!H2962</f>
        <v>Presence</v>
      </c>
      <c r="I2962" s="5"/>
      <c r="J2962" s="21"/>
      <c r="K2962" s="21"/>
      <c r="L2962" s="98"/>
      <c r="M2962" s="21"/>
      <c r="N2962" s="21"/>
      <c r="O2962" s="21"/>
      <c r="P2962" s="21"/>
      <c r="Q2962" s="21" t="s">
        <v>2371</v>
      </c>
      <c r="R2962" s="21"/>
      <c r="S2962" s="21" t="s">
        <v>2369</v>
      </c>
      <c r="T2962" s="21"/>
      <c r="U2962" s="21"/>
      <c r="V2962" s="21"/>
      <c r="W2962" s="21"/>
      <c r="X2962" s="21" t="s">
        <v>2397</v>
      </c>
      <c r="Y2962" s="198" t="s">
        <v>2272</v>
      </c>
      <c r="Z2962" s="198" t="s">
        <v>2272</v>
      </c>
      <c r="AA2962" s="198" t="s">
        <v>2272</v>
      </c>
      <c r="AB2962" s="4" t="s">
        <v>7882</v>
      </c>
      <c r="AC2962" s="198" t="s">
        <v>7883</v>
      </c>
    </row>
    <row r="2963" spans="1:29" ht="49" customHeight="1">
      <c r="A2963" s="151" t="str">
        <f>'Reported burning'!A2963</f>
        <v>310a</v>
      </c>
      <c r="B2963" s="151" t="str">
        <f>'Reported burning'!B2963</f>
        <v>310a.1</v>
      </c>
      <c r="C2963" s="151" t="str">
        <f>'Reported burning'!C2963</f>
        <v>Human, deliberate</v>
      </c>
      <c r="D2963" s="151" t="str">
        <f>'Reported burning'!D2963</f>
        <v>Conservation</v>
      </c>
      <c r="E2963" s="151" t="str">
        <f>'Reported burning'!E2963</f>
        <v>Biodiversity conservation</v>
      </c>
      <c r="F2963" s="151" t="str">
        <f>'Reported burning'!F2963</f>
        <v>ND</v>
      </c>
      <c r="G2963" s="151" t="str">
        <f>'Reported burning'!G2963</f>
        <v>ND</v>
      </c>
      <c r="H2963" s="151" t="str">
        <f>'Reported burning'!H2963</f>
        <v>Absence</v>
      </c>
      <c r="I2963" s="5"/>
      <c r="J2963" s="21" t="s">
        <v>2359</v>
      </c>
      <c r="K2963" s="21" t="s">
        <v>2359</v>
      </c>
      <c r="L2963" s="21" t="s">
        <v>2359</v>
      </c>
      <c r="M2963" s="21" t="s">
        <v>2359</v>
      </c>
      <c r="N2963" s="21" t="s">
        <v>2359</v>
      </c>
      <c r="O2963" s="21" t="s">
        <v>2359</v>
      </c>
      <c r="P2963" s="21" t="s">
        <v>2359</v>
      </c>
      <c r="Q2963" s="21" t="s">
        <v>2359</v>
      </c>
      <c r="R2963" s="21" t="s">
        <v>2359</v>
      </c>
      <c r="S2963" s="21" t="s">
        <v>2359</v>
      </c>
      <c r="T2963" s="21" t="s">
        <v>2359</v>
      </c>
      <c r="U2963" s="21" t="s">
        <v>2359</v>
      </c>
      <c r="V2963" s="21" t="s">
        <v>2359</v>
      </c>
      <c r="W2963" s="21" t="s">
        <v>2359</v>
      </c>
      <c r="X2963" s="198" t="s">
        <v>2272</v>
      </c>
      <c r="Y2963" s="198" t="s">
        <v>2272</v>
      </c>
      <c r="Z2963" s="198" t="s">
        <v>2272</v>
      </c>
      <c r="AA2963" s="198" t="s">
        <v>2272</v>
      </c>
      <c r="AB2963" s="198"/>
      <c r="AC2963" s="198"/>
    </row>
    <row r="2964" spans="1:29" ht="63.5" customHeight="1">
      <c r="A2964" s="151" t="str">
        <f>'Reported burning'!A2964</f>
        <v>310a</v>
      </c>
      <c r="B2964" s="151" t="str">
        <f>'Reported burning'!B2964</f>
        <v>310a.2</v>
      </c>
      <c r="C2964" s="151" t="str">
        <f>'Reported burning'!C2964</f>
        <v>Human, deliberate</v>
      </c>
      <c r="D2964" s="151" t="str">
        <f>'Reported burning'!D2964</f>
        <v>Pasture renewal</v>
      </c>
      <c r="E2964" s="151" t="str">
        <f>'Reported burning'!E2964</f>
        <v>Cattle, Extensive</v>
      </c>
      <c r="F2964" s="151" t="str">
        <f>'Reported burning'!F2964</f>
        <v>ND</v>
      </c>
      <c r="G2964" s="151" t="str">
        <f>'Reported burning'!G2964</f>
        <v>ND</v>
      </c>
      <c r="H2964" s="151" t="str">
        <f>'Reported burning'!H2964</f>
        <v>Absence</v>
      </c>
      <c r="I2964" s="5"/>
      <c r="J2964" s="21" t="s">
        <v>2359</v>
      </c>
      <c r="K2964" s="21" t="s">
        <v>2359</v>
      </c>
      <c r="L2964" s="21" t="s">
        <v>2359</v>
      </c>
      <c r="M2964" s="21" t="s">
        <v>2359</v>
      </c>
      <c r="N2964" s="21" t="s">
        <v>2359</v>
      </c>
      <c r="O2964" s="21" t="s">
        <v>2359</v>
      </c>
      <c r="P2964" s="21" t="s">
        <v>2359</v>
      </c>
      <c r="Q2964" s="21" t="s">
        <v>2359</v>
      </c>
      <c r="R2964" s="21" t="s">
        <v>2359</v>
      </c>
      <c r="S2964" s="21" t="s">
        <v>2359</v>
      </c>
      <c r="T2964" s="21" t="s">
        <v>2359</v>
      </c>
      <c r="U2964" s="21" t="s">
        <v>2359</v>
      </c>
      <c r="V2964" s="21" t="s">
        <v>2359</v>
      </c>
      <c r="W2964" s="21" t="s">
        <v>2359</v>
      </c>
      <c r="X2964" s="198" t="s">
        <v>2272</v>
      </c>
      <c r="Y2964" s="198" t="s">
        <v>2272</v>
      </c>
      <c r="Z2964" s="198" t="s">
        <v>2272</v>
      </c>
      <c r="AA2964" s="198" t="s">
        <v>2272</v>
      </c>
      <c r="AB2964" s="198"/>
      <c r="AC2964" s="198"/>
    </row>
    <row r="2965" spans="1:29" ht="63.5" customHeight="1">
      <c r="A2965" s="151" t="str">
        <f>'Reported burning'!A2965</f>
        <v>310b</v>
      </c>
      <c r="B2965" s="151" t="str">
        <f>'Reported burning'!B2965</f>
        <v>310b.1</v>
      </c>
      <c r="C2965" s="151" t="str">
        <f>'Reported burning'!C2965</f>
        <v>Unknown</v>
      </c>
      <c r="D2965" s="151" t="str">
        <f>'Reported burning'!D2965</f>
        <v>ND</v>
      </c>
      <c r="E2965" s="151" t="str">
        <f>'Reported burning'!E2965</f>
        <v>ND</v>
      </c>
      <c r="F2965" s="151" t="str">
        <f>'Reported burning'!F2965</f>
        <v>ND</v>
      </c>
      <c r="G2965" s="151" t="str">
        <f>'Reported burning'!G2965</f>
        <v>Shrubland (Mixed forest &amp; grassland)</v>
      </c>
      <c r="H2965" s="151" t="str">
        <f>'Reported burning'!H2965</f>
        <v>Presence</v>
      </c>
      <c r="I2965" s="5"/>
      <c r="J2965" s="198" t="s">
        <v>2272</v>
      </c>
      <c r="K2965" s="198" t="s">
        <v>2272</v>
      </c>
      <c r="L2965" s="198" t="s">
        <v>2272</v>
      </c>
      <c r="M2965" s="198" t="s">
        <v>2272</v>
      </c>
      <c r="N2965" s="198" t="s">
        <v>2272</v>
      </c>
      <c r="O2965" s="21" t="s">
        <v>2377</v>
      </c>
      <c r="P2965" s="198" t="s">
        <v>2272</v>
      </c>
      <c r="Q2965" s="198" t="s">
        <v>2272</v>
      </c>
      <c r="R2965" s="198" t="s">
        <v>2272</v>
      </c>
      <c r="S2965" s="198" t="s">
        <v>2272</v>
      </c>
      <c r="T2965" s="198" t="s">
        <v>2272</v>
      </c>
      <c r="U2965" s="198" t="s">
        <v>2272</v>
      </c>
      <c r="V2965" s="198" t="s">
        <v>2272</v>
      </c>
      <c r="W2965" s="198" t="s">
        <v>2272</v>
      </c>
      <c r="X2965" s="198" t="s">
        <v>2272</v>
      </c>
      <c r="Y2965" s="198" t="s">
        <v>2272</v>
      </c>
      <c r="Z2965" s="198" t="s">
        <v>2272</v>
      </c>
      <c r="AA2965" s="198" t="s">
        <v>2272</v>
      </c>
      <c r="AB2965" s="198"/>
      <c r="AC2965" s="198"/>
    </row>
    <row r="2966" spans="1:29" ht="28" customHeight="1">
      <c r="A2966" s="151" t="str">
        <f>'Reported burning'!A2966</f>
        <v>311a</v>
      </c>
      <c r="B2966" s="151" t="str">
        <f>'Reported burning'!B2966</f>
        <v>311a.1</v>
      </c>
      <c r="C2966" s="151" t="str">
        <f>'Reported burning'!C2966</f>
        <v>Human, deliberate</v>
      </c>
      <c r="D2966" s="151" t="str">
        <f>'Reported burning'!D2966</f>
        <v>Conservation</v>
      </c>
      <c r="E2966" s="151" t="str">
        <f>'Reported burning'!E2966</f>
        <v>Biodiversity conservation</v>
      </c>
      <c r="F2966" s="151" t="str">
        <f>'Reported burning'!F2966</f>
        <v>Shrubland (Mixed forest &amp; grassland)</v>
      </c>
      <c r="G2966" s="151" t="str">
        <f>'Reported burning'!G2966</f>
        <v>Shrubland (Mixed forest &amp; grassland)</v>
      </c>
      <c r="H2966" s="151" t="str">
        <f>'Reported burning'!H2966</f>
        <v>Presence</v>
      </c>
      <c r="I2966" s="5"/>
      <c r="J2966" s="198" t="s">
        <v>2272</v>
      </c>
      <c r="K2966" s="198" t="s">
        <v>2272</v>
      </c>
      <c r="L2966" s="198" t="s">
        <v>2272</v>
      </c>
      <c r="M2966" s="198" t="s">
        <v>2272</v>
      </c>
      <c r="N2966" s="198" t="s">
        <v>2272</v>
      </c>
      <c r="O2966" s="198" t="s">
        <v>2272</v>
      </c>
      <c r="P2966" s="198" t="s">
        <v>2272</v>
      </c>
      <c r="Q2966" s="198" t="s">
        <v>2272</v>
      </c>
      <c r="R2966" s="198" t="s">
        <v>2272</v>
      </c>
      <c r="S2966" s="198" t="s">
        <v>2272</v>
      </c>
      <c r="T2966" s="198" t="s">
        <v>2272</v>
      </c>
      <c r="U2966" s="198" t="s">
        <v>2272</v>
      </c>
      <c r="V2966" s="198" t="s">
        <v>2272</v>
      </c>
      <c r="W2966" s="198" t="s">
        <v>2272</v>
      </c>
      <c r="X2966" s="198" t="s">
        <v>2272</v>
      </c>
      <c r="Y2966" s="198" t="s">
        <v>423</v>
      </c>
      <c r="Z2966" s="198" t="s">
        <v>67</v>
      </c>
      <c r="AA2966" s="198" t="s">
        <v>2650</v>
      </c>
      <c r="AB2966" s="198" t="s">
        <v>7915</v>
      </c>
      <c r="AC2966" s="198"/>
    </row>
    <row r="2967" spans="1:29" ht="28" customHeight="1">
      <c r="A2967" s="151" t="str">
        <f>'Reported burning'!A2967</f>
        <v>311b</v>
      </c>
      <c r="B2967" s="151" t="str">
        <f>'Reported burning'!B2967</f>
        <v>311b.1</v>
      </c>
      <c r="C2967" s="151" t="str">
        <f>'Reported burning'!C2967</f>
        <v>Human, deliberate</v>
      </c>
      <c r="D2967" s="151" t="str">
        <f>'Reported burning'!D2967</f>
        <v>Conservation</v>
      </c>
      <c r="E2967" s="151" t="str">
        <f>'Reported burning'!E2967</f>
        <v>Biodiversity conservation</v>
      </c>
      <c r="F2967" s="151" t="str">
        <f>'Reported burning'!F2967</f>
        <v>Shrubland (Mixed forest &amp; grassland)</v>
      </c>
      <c r="G2967" s="151" t="str">
        <f>'Reported burning'!G2967</f>
        <v>Shrubland (Mixed forest &amp; grassland)</v>
      </c>
      <c r="H2967" s="151" t="str">
        <f>'Reported burning'!H2967</f>
        <v>Presence</v>
      </c>
      <c r="I2967" s="5"/>
      <c r="J2967" s="198" t="s">
        <v>2272</v>
      </c>
      <c r="K2967" s="198" t="s">
        <v>2272</v>
      </c>
      <c r="L2967" s="198" t="s">
        <v>2272</v>
      </c>
      <c r="M2967" s="198" t="s">
        <v>2272</v>
      </c>
      <c r="N2967" s="198" t="s">
        <v>2272</v>
      </c>
      <c r="O2967" s="198" t="s">
        <v>2272</v>
      </c>
      <c r="P2967" s="198" t="s">
        <v>2272</v>
      </c>
      <c r="Q2967" s="198" t="s">
        <v>2272</v>
      </c>
      <c r="R2967" s="198" t="s">
        <v>2272</v>
      </c>
      <c r="S2967" s="198" t="s">
        <v>2272</v>
      </c>
      <c r="T2967" s="198" t="s">
        <v>2272</v>
      </c>
      <c r="U2967" s="198" t="s">
        <v>2272</v>
      </c>
      <c r="V2967" s="198" t="s">
        <v>2272</v>
      </c>
      <c r="W2967" s="198" t="s">
        <v>2272</v>
      </c>
      <c r="X2967" s="198" t="s">
        <v>2272</v>
      </c>
      <c r="Y2967" s="198" t="s">
        <v>423</v>
      </c>
      <c r="Z2967" s="198" t="s">
        <v>67</v>
      </c>
      <c r="AA2967" s="198" t="s">
        <v>2650</v>
      </c>
      <c r="AB2967" s="198" t="s">
        <v>7915</v>
      </c>
      <c r="AC2967" s="198"/>
    </row>
    <row r="2968" spans="1:29" ht="28" customHeight="1">
      <c r="A2968" s="151" t="str">
        <f>'Reported burning'!A2968</f>
        <v>311c</v>
      </c>
      <c r="B2968" s="151" t="str">
        <f>'Reported burning'!B2968</f>
        <v>311c.1</v>
      </c>
      <c r="C2968" s="151" t="str">
        <f>'Reported burning'!C2968</f>
        <v>Human, deliberate</v>
      </c>
      <c r="D2968" s="151" t="str">
        <f>'Reported burning'!D2968</f>
        <v>Conservation</v>
      </c>
      <c r="E2968" s="151" t="str">
        <f>'Reported burning'!E2968</f>
        <v>Biodiversity conservation</v>
      </c>
      <c r="F2968" s="151" t="str">
        <f>'Reported burning'!F2968</f>
        <v>Shrubland (Mixed forest &amp; grassland)</v>
      </c>
      <c r="G2968" s="151" t="str">
        <f>'Reported burning'!G2968</f>
        <v>Shrubland (Mixed forest &amp; grassland)</v>
      </c>
      <c r="H2968" s="151" t="str">
        <f>'Reported burning'!H2968</f>
        <v>Presence</v>
      </c>
      <c r="I2968" s="5"/>
      <c r="J2968" s="198" t="s">
        <v>2272</v>
      </c>
      <c r="K2968" s="198" t="s">
        <v>2272</v>
      </c>
      <c r="L2968" s="198" t="s">
        <v>2272</v>
      </c>
      <c r="M2968" s="198" t="s">
        <v>2272</v>
      </c>
      <c r="N2968" s="198" t="s">
        <v>2272</v>
      </c>
      <c r="O2968" s="198" t="s">
        <v>2272</v>
      </c>
      <c r="P2968" s="198" t="s">
        <v>2272</v>
      </c>
      <c r="Q2968" s="198" t="s">
        <v>2272</v>
      </c>
      <c r="R2968" s="198" t="s">
        <v>2272</v>
      </c>
      <c r="S2968" s="198" t="s">
        <v>2272</v>
      </c>
      <c r="T2968" s="198" t="s">
        <v>2272</v>
      </c>
      <c r="U2968" s="198" t="s">
        <v>2272</v>
      </c>
      <c r="V2968" s="198" t="s">
        <v>2272</v>
      </c>
      <c r="W2968" s="198" t="s">
        <v>2272</v>
      </c>
      <c r="X2968" s="198" t="s">
        <v>2272</v>
      </c>
      <c r="Y2968" s="198" t="s">
        <v>423</v>
      </c>
      <c r="Z2968" s="198" t="s">
        <v>67</v>
      </c>
      <c r="AA2968" s="198" t="s">
        <v>2650</v>
      </c>
      <c r="AB2968" s="198" t="s">
        <v>7915</v>
      </c>
      <c r="AC2968" s="198"/>
    </row>
    <row r="2969" spans="1:29" ht="33.5" customHeight="1">
      <c r="A2969" s="151" t="str">
        <f>'Reported burning'!A2969</f>
        <v>311d</v>
      </c>
      <c r="B2969" s="151" t="str">
        <f>'Reported burning'!B2969</f>
        <v>311d.1</v>
      </c>
      <c r="C2969" s="151" t="str">
        <f>'Reported burning'!C2969</f>
        <v>Human, deliberate</v>
      </c>
      <c r="D2969" s="151" t="str">
        <f>'Reported burning'!D2969</f>
        <v>Conservation</v>
      </c>
      <c r="E2969" s="151" t="str">
        <f>'Reported burning'!E2969</f>
        <v>Biodiversity conservation</v>
      </c>
      <c r="F2969" s="151" t="str">
        <f>'Reported burning'!F2969</f>
        <v>Shrubland (Mixed forest &amp; grassland)</v>
      </c>
      <c r="G2969" s="151" t="str">
        <f>'Reported burning'!G2969</f>
        <v>Shrubland (Mixed forest &amp; grassland)</v>
      </c>
      <c r="H2969" s="151" t="str">
        <f>'Reported burning'!H2969</f>
        <v>Presence</v>
      </c>
      <c r="I2969" s="5"/>
      <c r="J2969" s="198" t="s">
        <v>2272</v>
      </c>
      <c r="K2969" s="198" t="s">
        <v>2272</v>
      </c>
      <c r="L2969" s="198" t="s">
        <v>2272</v>
      </c>
      <c r="M2969" s="198" t="s">
        <v>2272</v>
      </c>
      <c r="N2969" s="198" t="s">
        <v>2272</v>
      </c>
      <c r="O2969" s="198" t="s">
        <v>2272</v>
      </c>
      <c r="P2969" s="198" t="s">
        <v>2272</v>
      </c>
      <c r="Q2969" s="198" t="s">
        <v>2272</v>
      </c>
      <c r="R2969" s="198" t="s">
        <v>2272</v>
      </c>
      <c r="S2969" s="198" t="s">
        <v>2272</v>
      </c>
      <c r="T2969" s="198" t="s">
        <v>2272</v>
      </c>
      <c r="U2969" s="198" t="s">
        <v>2272</v>
      </c>
      <c r="V2969" s="198" t="s">
        <v>2272</v>
      </c>
      <c r="W2969" s="198" t="s">
        <v>2272</v>
      </c>
      <c r="X2969" s="198" t="s">
        <v>2272</v>
      </c>
      <c r="Y2969" s="198" t="s">
        <v>423</v>
      </c>
      <c r="Z2969" s="198" t="s">
        <v>67</v>
      </c>
      <c r="AA2969" s="198" t="s">
        <v>2650</v>
      </c>
      <c r="AB2969" s="198" t="s">
        <v>7915</v>
      </c>
      <c r="AC2969" s="198"/>
    </row>
    <row r="2970" spans="1:29" ht="33.5" customHeight="1">
      <c r="A2970" s="151" t="str">
        <f>'Reported burning'!A2970</f>
        <v>311e</v>
      </c>
      <c r="B2970" s="151" t="str">
        <f>'Reported burning'!B2970</f>
        <v>311e.1</v>
      </c>
      <c r="C2970" s="151" t="str">
        <f>'Reported burning'!C2970</f>
        <v>Human, deliberate</v>
      </c>
      <c r="D2970" s="151" t="str">
        <f>'Reported burning'!D2970</f>
        <v>Pasture renewal</v>
      </c>
      <c r="E2970" s="151" t="str">
        <f>'Reported burning'!E2970</f>
        <v>Cattle, Intensive</v>
      </c>
      <c r="F2970" s="151" t="str">
        <f>'Reported burning'!F2970</f>
        <v>Pasture</v>
      </c>
      <c r="G2970" s="151" t="str">
        <f>'Reported burning'!G2970</f>
        <v>Pasture</v>
      </c>
      <c r="H2970" s="151" t="str">
        <f>'Reported burning'!H2970</f>
        <v>Presence</v>
      </c>
      <c r="I2970" s="5"/>
      <c r="J2970" s="198" t="s">
        <v>2272</v>
      </c>
      <c r="K2970" s="198" t="s">
        <v>2272</v>
      </c>
      <c r="L2970" s="198" t="s">
        <v>2272</v>
      </c>
      <c r="M2970" s="198" t="s">
        <v>2272</v>
      </c>
      <c r="N2970" s="198" t="s">
        <v>2272</v>
      </c>
      <c r="O2970" s="198" t="s">
        <v>2272</v>
      </c>
      <c r="P2970" s="198" t="s">
        <v>2272</v>
      </c>
      <c r="Q2970" s="198" t="s">
        <v>2272</v>
      </c>
      <c r="R2970" s="198" t="s">
        <v>2272</v>
      </c>
      <c r="S2970" s="198" t="s">
        <v>2272</v>
      </c>
      <c r="T2970" s="198" t="s">
        <v>2272</v>
      </c>
      <c r="U2970" s="198" t="s">
        <v>2272</v>
      </c>
      <c r="V2970" s="198" t="s">
        <v>2272</v>
      </c>
      <c r="W2970" s="198" t="s">
        <v>2272</v>
      </c>
      <c r="X2970" s="198" t="s">
        <v>2272</v>
      </c>
      <c r="Y2970" s="198" t="s">
        <v>423</v>
      </c>
      <c r="Z2970" s="198" t="s">
        <v>67</v>
      </c>
      <c r="AA2970" s="198" t="s">
        <v>2650</v>
      </c>
      <c r="AB2970" s="198" t="s">
        <v>7915</v>
      </c>
      <c r="AC2970" s="198"/>
    </row>
    <row r="2971" spans="1:29" ht="33.5" customHeight="1">
      <c r="A2971" s="151" t="str">
        <f>'Reported burning'!A2971</f>
        <v>311f</v>
      </c>
      <c r="B2971" s="151" t="str">
        <f>'Reported burning'!B2971</f>
        <v>311f.1</v>
      </c>
      <c r="C2971" s="151" t="str">
        <f>'Reported burning'!C2971</f>
        <v>Human, deliberate</v>
      </c>
      <c r="D2971" s="151" t="str">
        <f>'Reported burning'!D2971</f>
        <v>Pasture renewal</v>
      </c>
      <c r="E2971" s="151" t="str">
        <f>'Reported burning'!E2971</f>
        <v>Cattle, Intensive</v>
      </c>
      <c r="F2971" s="151" t="str">
        <f>'Reported burning'!F2971</f>
        <v>Pasture</v>
      </c>
      <c r="G2971" s="151" t="str">
        <f>'Reported burning'!G2971</f>
        <v>Pasture</v>
      </c>
      <c r="H2971" s="151" t="str">
        <f>'Reported burning'!H2971</f>
        <v>Presence</v>
      </c>
      <c r="I2971" s="5"/>
      <c r="J2971" s="198" t="s">
        <v>2272</v>
      </c>
      <c r="K2971" s="198" t="s">
        <v>2272</v>
      </c>
      <c r="L2971" s="198" t="s">
        <v>2272</v>
      </c>
      <c r="M2971" s="198" t="s">
        <v>2272</v>
      </c>
      <c r="N2971" s="198" t="s">
        <v>2272</v>
      </c>
      <c r="O2971" s="198" t="s">
        <v>2272</v>
      </c>
      <c r="P2971" s="198" t="s">
        <v>2272</v>
      </c>
      <c r="Q2971" s="198" t="s">
        <v>2272</v>
      </c>
      <c r="R2971" s="198" t="s">
        <v>2272</v>
      </c>
      <c r="S2971" s="198" t="s">
        <v>2272</v>
      </c>
      <c r="T2971" s="198" t="s">
        <v>2272</v>
      </c>
      <c r="U2971" s="198" t="s">
        <v>2272</v>
      </c>
      <c r="V2971" s="198" t="s">
        <v>2272</v>
      </c>
      <c r="W2971" s="198" t="s">
        <v>2272</v>
      </c>
      <c r="X2971" s="198" t="s">
        <v>2272</v>
      </c>
      <c r="Y2971" s="198" t="s">
        <v>423</v>
      </c>
      <c r="Z2971" s="198" t="s">
        <v>67</v>
      </c>
      <c r="AA2971" s="198" t="s">
        <v>2650</v>
      </c>
      <c r="AB2971" s="198" t="s">
        <v>7915</v>
      </c>
      <c r="AC2971" s="198"/>
    </row>
    <row r="2972" spans="1:29" ht="33.5" customHeight="1">
      <c r="A2972" s="151" t="str">
        <f>'Reported burning'!A2972</f>
        <v>311g</v>
      </c>
      <c r="B2972" s="151" t="str">
        <f>'Reported burning'!B2972</f>
        <v>311g.1</v>
      </c>
      <c r="C2972" s="151" t="str">
        <f>'Reported burning'!C2972</f>
        <v>Human, deliberate</v>
      </c>
      <c r="D2972" s="151" t="str">
        <f>'Reported burning'!D2972</f>
        <v>Pasture renewal</v>
      </c>
      <c r="E2972" s="151" t="str">
        <f>'Reported burning'!E2972</f>
        <v>Cattle, Intensive</v>
      </c>
      <c r="F2972" s="151" t="str">
        <f>'Reported burning'!F2972</f>
        <v>Pasture</v>
      </c>
      <c r="G2972" s="151" t="str">
        <f>'Reported burning'!G2972</f>
        <v>Pasture</v>
      </c>
      <c r="H2972" s="151" t="str">
        <f>'Reported burning'!H2972</f>
        <v>Presence</v>
      </c>
      <c r="I2972" s="5"/>
      <c r="J2972" s="198" t="s">
        <v>2272</v>
      </c>
      <c r="K2972" s="198" t="s">
        <v>2272</v>
      </c>
      <c r="L2972" s="198" t="s">
        <v>2272</v>
      </c>
      <c r="M2972" s="198" t="s">
        <v>2272</v>
      </c>
      <c r="N2972" s="198" t="s">
        <v>2272</v>
      </c>
      <c r="O2972" s="198" t="s">
        <v>2272</v>
      </c>
      <c r="P2972" s="198" t="s">
        <v>2272</v>
      </c>
      <c r="Q2972" s="198" t="s">
        <v>2272</v>
      </c>
      <c r="R2972" s="198" t="s">
        <v>2272</v>
      </c>
      <c r="S2972" s="198" t="s">
        <v>2272</v>
      </c>
      <c r="T2972" s="198" t="s">
        <v>2272</v>
      </c>
      <c r="U2972" s="198" t="s">
        <v>2272</v>
      </c>
      <c r="V2972" s="198" t="s">
        <v>2272</v>
      </c>
      <c r="W2972" s="198" t="s">
        <v>2272</v>
      </c>
      <c r="X2972" s="198" t="s">
        <v>2272</v>
      </c>
      <c r="Y2972" s="198" t="s">
        <v>423</v>
      </c>
      <c r="Z2972" s="198" t="s">
        <v>67</v>
      </c>
      <c r="AA2972" s="198" t="s">
        <v>2650</v>
      </c>
      <c r="AB2972" s="198" t="s">
        <v>7915</v>
      </c>
      <c r="AC2972" s="198"/>
    </row>
    <row r="2973" spans="1:29" ht="33.5" customHeight="1">
      <c r="A2973" s="151" t="str">
        <f>'Reported burning'!A2973</f>
        <v>311h</v>
      </c>
      <c r="B2973" s="151" t="str">
        <f>'Reported burning'!B2973</f>
        <v>311h.1</v>
      </c>
      <c r="C2973" s="151" t="str">
        <f>'Reported burning'!C2973</f>
        <v>Human, deliberate</v>
      </c>
      <c r="D2973" s="151" t="str">
        <f>'Reported burning'!D2973</f>
        <v>Pasture renewal</v>
      </c>
      <c r="E2973" s="151" t="str">
        <f>'Reported burning'!E2973</f>
        <v>Pastoralism, Migratory</v>
      </c>
      <c r="F2973" s="151" t="str">
        <f>'Reported burning'!F2973</f>
        <v>Shrubland (Mixed forest &amp; grassland)</v>
      </c>
      <c r="G2973" s="151" t="str">
        <f>'Reported burning'!G2973</f>
        <v>Shrubland (Mixed forest &amp; grassland)</v>
      </c>
      <c r="H2973" s="151" t="str">
        <f>'Reported burning'!H2973</f>
        <v>Absence</v>
      </c>
      <c r="I2973" s="5"/>
      <c r="J2973" s="21" t="s">
        <v>2359</v>
      </c>
      <c r="K2973" s="21" t="s">
        <v>2359</v>
      </c>
      <c r="L2973" s="21" t="s">
        <v>2359</v>
      </c>
      <c r="M2973" s="21" t="s">
        <v>2359</v>
      </c>
      <c r="N2973" s="21" t="s">
        <v>2359</v>
      </c>
      <c r="O2973" s="21" t="s">
        <v>2359</v>
      </c>
      <c r="P2973" s="21" t="s">
        <v>2359</v>
      </c>
      <c r="Q2973" s="21" t="s">
        <v>2359</v>
      </c>
      <c r="R2973" s="21" t="s">
        <v>2359</v>
      </c>
      <c r="S2973" s="21" t="s">
        <v>2359</v>
      </c>
      <c r="T2973" s="21" t="s">
        <v>2359</v>
      </c>
      <c r="U2973" s="21" t="s">
        <v>2359</v>
      </c>
      <c r="V2973" s="21" t="s">
        <v>2359</v>
      </c>
      <c r="W2973" s="21" t="s">
        <v>2359</v>
      </c>
      <c r="X2973" s="198" t="s">
        <v>2272</v>
      </c>
      <c r="Y2973" s="198" t="s">
        <v>2272</v>
      </c>
      <c r="Z2973" s="198" t="s">
        <v>2272</v>
      </c>
      <c r="AA2973" s="198" t="s">
        <v>2272</v>
      </c>
      <c r="AB2973" s="198"/>
      <c r="AC2973" s="198"/>
    </row>
    <row r="2974" spans="1:29" ht="33.5" customHeight="1">
      <c r="A2974" s="151" t="str">
        <f>'Reported burning'!A2974</f>
        <v>312a</v>
      </c>
      <c r="B2974" s="151" t="str">
        <f>'Reported burning'!B2974</f>
        <v>312a.1</v>
      </c>
      <c r="C2974" s="151" t="str">
        <f>'Reported burning'!C2974</f>
        <v>Human, deliberate</v>
      </c>
      <c r="D2974" s="151" t="str">
        <f>'Reported burning'!D2974</f>
        <v>Conservation</v>
      </c>
      <c r="E2974" s="151" t="str">
        <f>'Reported burning'!E2974</f>
        <v>Biodiversity conservation</v>
      </c>
      <c r="F2974" s="151" t="str">
        <f>'Reported burning'!F2974</f>
        <v>Shrubland (Mixed forest &amp; grassland)</v>
      </c>
      <c r="G2974" s="151" t="str">
        <f>'Reported burning'!G2974</f>
        <v>Shrubland (Mixed forest &amp; grassland)</v>
      </c>
      <c r="H2974" s="151" t="str">
        <f>'Reported burning'!H2974</f>
        <v>Absence</v>
      </c>
      <c r="I2974" s="5"/>
      <c r="J2974" s="21">
        <v>0</v>
      </c>
      <c r="K2974" s="21">
        <v>0</v>
      </c>
      <c r="L2974" s="21">
        <v>0</v>
      </c>
      <c r="M2974" s="21">
        <v>0</v>
      </c>
      <c r="N2974" s="21">
        <v>0</v>
      </c>
      <c r="O2974" s="21">
        <v>0</v>
      </c>
      <c r="P2974" s="21">
        <v>0</v>
      </c>
      <c r="Q2974" s="21">
        <v>0</v>
      </c>
      <c r="R2974" s="21">
        <v>0</v>
      </c>
      <c r="S2974" s="21">
        <v>0</v>
      </c>
      <c r="T2974" s="21">
        <v>0</v>
      </c>
      <c r="U2974" s="21">
        <v>0</v>
      </c>
      <c r="V2974" s="21">
        <v>0</v>
      </c>
      <c r="W2974" s="198" t="s">
        <v>2272</v>
      </c>
      <c r="X2974" s="198" t="s">
        <v>2272</v>
      </c>
      <c r="Y2974" s="198" t="s">
        <v>2272</v>
      </c>
      <c r="Z2974" s="198" t="s">
        <v>2272</v>
      </c>
      <c r="AA2974" s="198" t="s">
        <v>2272</v>
      </c>
      <c r="AB2974" s="198"/>
      <c r="AC2974" s="198"/>
    </row>
    <row r="2975" spans="1:29" ht="33.5" customHeight="1">
      <c r="A2975" s="151" t="str">
        <f>'Reported burning'!A2975</f>
        <v>312a</v>
      </c>
      <c r="B2975" s="151" t="str">
        <f>'Reported burning'!B2975</f>
        <v>312a.2</v>
      </c>
      <c r="C2975" s="151" t="str">
        <f>'Reported burning'!C2975</f>
        <v>Human, deliberate</v>
      </c>
      <c r="D2975" s="151" t="str">
        <f>'Reported burning'!D2975</f>
        <v>Pasture renewal</v>
      </c>
      <c r="E2975" s="151" t="str">
        <f>'Reported burning'!E2975</f>
        <v>Cattle, Extensive</v>
      </c>
      <c r="F2975" s="151" t="str">
        <f>'Reported burning'!F2975</f>
        <v>Shrubland (Mixed forest &amp; grassland)</v>
      </c>
      <c r="G2975" s="151" t="str">
        <f>'Reported burning'!G2975</f>
        <v>Shrubland (Mixed forest &amp; grassland)</v>
      </c>
      <c r="H2975" s="151" t="str">
        <f>'Reported burning'!H2975</f>
        <v>Presence</v>
      </c>
      <c r="I2975" s="5"/>
      <c r="J2975" s="198" t="s">
        <v>2272</v>
      </c>
      <c r="K2975" s="198" t="s">
        <v>2272</v>
      </c>
      <c r="L2975" s="198" t="s">
        <v>2272</v>
      </c>
      <c r="M2975" s="198" t="s">
        <v>2272</v>
      </c>
      <c r="N2975" s="198" t="s">
        <v>2272</v>
      </c>
      <c r="O2975" s="198" t="s">
        <v>2272</v>
      </c>
      <c r="P2975" s="198" t="s">
        <v>2272</v>
      </c>
      <c r="Q2975" s="198" t="s">
        <v>2272</v>
      </c>
      <c r="R2975" s="198" t="s">
        <v>2272</v>
      </c>
      <c r="S2975" s="198" t="s">
        <v>2272</v>
      </c>
      <c r="T2975" s="198" t="s">
        <v>2272</v>
      </c>
      <c r="U2975" s="198" t="s">
        <v>2272</v>
      </c>
      <c r="V2975" s="198" t="s">
        <v>2272</v>
      </c>
      <c r="W2975" s="198" t="s">
        <v>2272</v>
      </c>
      <c r="X2975" s="21" t="s">
        <v>2370</v>
      </c>
      <c r="Y2975" s="198" t="s">
        <v>2272</v>
      </c>
      <c r="Z2975" s="198" t="s">
        <v>2272</v>
      </c>
      <c r="AA2975" s="198" t="s">
        <v>2272</v>
      </c>
      <c r="AB2975" s="198"/>
      <c r="AC2975" s="198"/>
    </row>
    <row r="2976" spans="1:29" ht="37" customHeight="1">
      <c r="A2976" s="151" t="str">
        <f>'Reported burning'!A2976</f>
        <v>312a</v>
      </c>
      <c r="B2976" s="151" t="str">
        <f>'Reported burning'!B2976</f>
        <v>312a.3</v>
      </c>
      <c r="C2976" s="151" t="str">
        <f>'Reported burning'!C2976</f>
        <v>All</v>
      </c>
      <c r="D2976" s="151" t="str">
        <f>'Reported burning'!D2976</f>
        <v>All</v>
      </c>
      <c r="E2976" s="151" t="str">
        <f>'Reported burning'!E2976</f>
        <v>All</v>
      </c>
      <c r="F2976" s="151" t="str">
        <f>'Reported burning'!F2976</f>
        <v>ND</v>
      </c>
      <c r="G2976" s="151" t="str">
        <f>'Reported burning'!G2976</f>
        <v>Shrubland (Mixed forest &amp; grassland)</v>
      </c>
      <c r="H2976" s="151" t="str">
        <f>'Reported burning'!H2976</f>
        <v>Presence</v>
      </c>
      <c r="I2976" s="5"/>
      <c r="J2976" s="198" t="s">
        <v>2272</v>
      </c>
      <c r="K2976" s="198" t="s">
        <v>2272</v>
      </c>
      <c r="L2976" s="198" t="s">
        <v>2272</v>
      </c>
      <c r="M2976" s="198" t="s">
        <v>2272</v>
      </c>
      <c r="N2976" s="198" t="s">
        <v>2272</v>
      </c>
      <c r="O2976" s="198" t="s">
        <v>2272</v>
      </c>
      <c r="P2976" s="198" t="s">
        <v>2272</v>
      </c>
      <c r="Q2976" s="198" t="s">
        <v>2272</v>
      </c>
      <c r="R2976" s="198" t="s">
        <v>2272</v>
      </c>
      <c r="S2976" s="198" t="s">
        <v>2272</v>
      </c>
      <c r="T2976" s="198" t="s">
        <v>2272</v>
      </c>
      <c r="U2976" s="198" t="s">
        <v>2272</v>
      </c>
      <c r="V2976" s="198" t="s">
        <v>2272</v>
      </c>
      <c r="W2976" s="198" t="s">
        <v>2272</v>
      </c>
      <c r="X2976" s="198" t="s">
        <v>2272</v>
      </c>
      <c r="Y2976" s="198" t="s">
        <v>2272</v>
      </c>
      <c r="Z2976" s="198" t="s">
        <v>2272</v>
      </c>
      <c r="AA2976" s="198" t="s">
        <v>2272</v>
      </c>
      <c r="AB2976" s="198"/>
      <c r="AC2976" s="198"/>
    </row>
    <row r="2977" spans="1:29" ht="35" customHeight="1">
      <c r="A2977" s="151" t="str">
        <f>'Reported burning'!A2977</f>
        <v>312a</v>
      </c>
      <c r="B2977" s="151" t="str">
        <f>'Reported burning'!B2977</f>
        <v>312a.4</v>
      </c>
      <c r="C2977" s="151" t="str">
        <f>'Reported burning'!C2977</f>
        <v>Human, accidental</v>
      </c>
      <c r="D2977" s="151" t="str">
        <f>'Reported burning'!D2977</f>
        <v>ND</v>
      </c>
      <c r="E2977" s="151" t="str">
        <f>'Reported burning'!E2977</f>
        <v>ND</v>
      </c>
      <c r="F2977" s="151" t="str">
        <f>'Reported burning'!F2977</f>
        <v>ND</v>
      </c>
      <c r="G2977" s="151" t="str">
        <f>'Reported burning'!G2977</f>
        <v>Shrubland (Mixed forest &amp; grassland)</v>
      </c>
      <c r="H2977" s="151" t="str">
        <f>'Reported burning'!H2977</f>
        <v>Presence</v>
      </c>
      <c r="I2977" s="5"/>
      <c r="J2977" s="198" t="s">
        <v>2272</v>
      </c>
      <c r="K2977" s="198" t="s">
        <v>2272</v>
      </c>
      <c r="L2977" s="198" t="s">
        <v>2272</v>
      </c>
      <c r="M2977" s="198" t="s">
        <v>2272</v>
      </c>
      <c r="N2977" s="198" t="s">
        <v>2272</v>
      </c>
      <c r="O2977" s="198" t="s">
        <v>2272</v>
      </c>
      <c r="P2977" s="198" t="s">
        <v>2272</v>
      </c>
      <c r="Q2977" s="198" t="s">
        <v>2272</v>
      </c>
      <c r="R2977" s="198" t="s">
        <v>2272</v>
      </c>
      <c r="S2977" s="198" t="s">
        <v>2272</v>
      </c>
      <c r="T2977" s="198" t="s">
        <v>2272</v>
      </c>
      <c r="U2977" s="198" t="s">
        <v>2272</v>
      </c>
      <c r="V2977" s="198" t="s">
        <v>2272</v>
      </c>
      <c r="W2977" s="198" t="s">
        <v>2272</v>
      </c>
      <c r="X2977" s="198" t="s">
        <v>2272</v>
      </c>
      <c r="Y2977" s="198" t="s">
        <v>2272</v>
      </c>
      <c r="Z2977" s="198" t="s">
        <v>2272</v>
      </c>
      <c r="AA2977" s="198" t="s">
        <v>2272</v>
      </c>
      <c r="AB2977" s="198"/>
      <c r="AC2977" s="198"/>
    </row>
    <row r="2978" spans="1:29" ht="41" customHeight="1">
      <c r="A2978" s="151" t="str">
        <f>'Reported burning'!A2978</f>
        <v>313a</v>
      </c>
      <c r="B2978" s="151" t="str">
        <f>'Reported burning'!B2978</f>
        <v>313a.1</v>
      </c>
      <c r="C2978" s="151" t="str">
        <f>'Reported burning'!C2978</f>
        <v>All</v>
      </c>
      <c r="D2978" s="151" t="str">
        <f>'Reported burning'!D2978</f>
        <v>ND</v>
      </c>
      <c r="E2978" s="151" t="str">
        <f>'Reported burning'!E2978</f>
        <v>ND</v>
      </c>
      <c r="F2978" s="151" t="str">
        <f>'Reported burning'!F2978</f>
        <v>ND</v>
      </c>
      <c r="G2978" s="151" t="str">
        <f>'Reported burning'!G2978</f>
        <v>ND</v>
      </c>
      <c r="H2978" s="151" t="str">
        <f>'Reported burning'!H2978</f>
        <v>Presence</v>
      </c>
      <c r="I2978" s="5"/>
      <c r="J2978" s="198" t="s">
        <v>2272</v>
      </c>
      <c r="K2978" s="198" t="s">
        <v>2272</v>
      </c>
      <c r="L2978" s="198" t="s">
        <v>2272</v>
      </c>
      <c r="M2978" s="198" t="s">
        <v>2272</v>
      </c>
      <c r="N2978" s="198" t="s">
        <v>2272</v>
      </c>
      <c r="O2978" s="198" t="s">
        <v>2272</v>
      </c>
      <c r="P2978" s="198" t="s">
        <v>2272</v>
      </c>
      <c r="Q2978" s="198" t="s">
        <v>2272</v>
      </c>
      <c r="R2978" s="198" t="s">
        <v>2272</v>
      </c>
      <c r="S2978" s="198" t="s">
        <v>2272</v>
      </c>
      <c r="T2978" s="198" t="s">
        <v>2272</v>
      </c>
      <c r="U2978" s="198" t="s">
        <v>2272</v>
      </c>
      <c r="V2978" s="198" t="s">
        <v>2272</v>
      </c>
      <c r="W2978" s="21" t="s">
        <v>2522</v>
      </c>
      <c r="X2978" s="21" t="s">
        <v>2841</v>
      </c>
      <c r="Y2978" s="198" t="s">
        <v>37</v>
      </c>
      <c r="Z2978" s="198" t="s">
        <v>423</v>
      </c>
      <c r="AA2978" s="198" t="s">
        <v>63</v>
      </c>
      <c r="AB2978" s="198"/>
      <c r="AC2978" s="198"/>
    </row>
    <row r="2979" spans="1:29" ht="41" customHeight="1">
      <c r="A2979" s="151" t="str">
        <f>'Reported burning'!A2979</f>
        <v>313a</v>
      </c>
      <c r="B2979" s="151" t="str">
        <f>'Reported burning'!B2979</f>
        <v>313a.2</v>
      </c>
      <c r="C2979" s="151" t="str">
        <f>'Reported burning'!C2979</f>
        <v>All</v>
      </c>
      <c r="D2979" s="151" t="str">
        <f>'Reported burning'!D2979</f>
        <v>ND</v>
      </c>
      <c r="E2979" s="151" t="str">
        <f>'Reported burning'!E2979</f>
        <v>ND</v>
      </c>
      <c r="F2979" s="151" t="str">
        <f>'Reported burning'!F2979</f>
        <v>ND</v>
      </c>
      <c r="G2979" s="151" t="str">
        <f>'Reported burning'!G2979</f>
        <v>ND</v>
      </c>
      <c r="H2979" s="151" t="str">
        <f>'Reported burning'!H2979</f>
        <v>Presence</v>
      </c>
      <c r="I2979" s="5"/>
      <c r="J2979" s="198" t="s">
        <v>2272</v>
      </c>
      <c r="K2979" s="198" t="s">
        <v>2272</v>
      </c>
      <c r="L2979" s="198" t="s">
        <v>2272</v>
      </c>
      <c r="M2979" s="198" t="s">
        <v>2272</v>
      </c>
      <c r="N2979" s="198" t="s">
        <v>2272</v>
      </c>
      <c r="O2979" s="198" t="s">
        <v>2272</v>
      </c>
      <c r="P2979" s="198" t="s">
        <v>2272</v>
      </c>
      <c r="Q2979" s="198" t="s">
        <v>2272</v>
      </c>
      <c r="R2979" s="198" t="s">
        <v>2272</v>
      </c>
      <c r="S2979" s="198" t="s">
        <v>2272</v>
      </c>
      <c r="T2979" s="198" t="s">
        <v>2272</v>
      </c>
      <c r="U2979" s="198" t="s">
        <v>2272</v>
      </c>
      <c r="V2979" s="198" t="s">
        <v>2272</v>
      </c>
      <c r="W2979" s="21" t="s">
        <v>2522</v>
      </c>
      <c r="X2979" s="21" t="s">
        <v>2841</v>
      </c>
      <c r="Y2979" s="198" t="s">
        <v>37</v>
      </c>
      <c r="Z2979" s="198" t="s">
        <v>423</v>
      </c>
      <c r="AA2979" s="198" t="s">
        <v>63</v>
      </c>
      <c r="AB2979" s="198"/>
      <c r="AC2979" s="198"/>
    </row>
    <row r="2980" spans="1:29" ht="41" customHeight="1">
      <c r="A2980" s="151" t="str">
        <f>'Reported burning'!A2980</f>
        <v>313a</v>
      </c>
      <c r="B2980" s="151" t="str">
        <f>'Reported burning'!B2980</f>
        <v>313a.3</v>
      </c>
      <c r="C2980" s="151" t="str">
        <f>'Reported burning'!C2980</f>
        <v>All</v>
      </c>
      <c r="D2980" s="151" t="str">
        <f>'Reported burning'!D2980</f>
        <v>ND</v>
      </c>
      <c r="E2980" s="151" t="str">
        <f>'Reported burning'!E2980</f>
        <v>ND</v>
      </c>
      <c r="F2980" s="151" t="str">
        <f>'Reported burning'!F2980</f>
        <v>ND</v>
      </c>
      <c r="G2980" s="151" t="str">
        <f>'Reported burning'!G2980</f>
        <v>ND</v>
      </c>
      <c r="H2980" s="151" t="str">
        <f>'Reported burning'!H2980</f>
        <v>Presence</v>
      </c>
      <c r="I2980" s="5"/>
      <c r="J2980" s="198" t="s">
        <v>2272</v>
      </c>
      <c r="K2980" s="198" t="s">
        <v>2272</v>
      </c>
      <c r="L2980" s="198" t="s">
        <v>2272</v>
      </c>
      <c r="M2980" s="198" t="s">
        <v>2272</v>
      </c>
      <c r="N2980" s="198" t="s">
        <v>2272</v>
      </c>
      <c r="O2980" s="198" t="s">
        <v>2272</v>
      </c>
      <c r="P2980" s="198" t="s">
        <v>2272</v>
      </c>
      <c r="Q2980" s="198" t="s">
        <v>2272</v>
      </c>
      <c r="R2980" s="198" t="s">
        <v>2272</v>
      </c>
      <c r="S2980" s="198" t="s">
        <v>2272</v>
      </c>
      <c r="T2980" s="198" t="s">
        <v>2272</v>
      </c>
      <c r="U2980" s="198" t="s">
        <v>2272</v>
      </c>
      <c r="V2980" s="198" t="s">
        <v>2272</v>
      </c>
      <c r="W2980" s="21" t="s">
        <v>2522</v>
      </c>
      <c r="X2980" s="21" t="s">
        <v>2399</v>
      </c>
      <c r="Y2980" s="198" t="s">
        <v>37</v>
      </c>
      <c r="Z2980" s="198" t="s">
        <v>423</v>
      </c>
      <c r="AA2980" s="198" t="s">
        <v>63</v>
      </c>
      <c r="AB2980" s="198"/>
      <c r="AC2980" s="198"/>
    </row>
    <row r="2981" spans="1:29" ht="39" customHeight="1">
      <c r="A2981" s="151" t="str">
        <f>'Reported burning'!A2981</f>
        <v>313a</v>
      </c>
      <c r="B2981" s="151" t="str">
        <f>'Reported burning'!B2981</f>
        <v>313a.4</v>
      </c>
      <c r="C2981" s="151" t="str">
        <f>'Reported burning'!C2981</f>
        <v>All</v>
      </c>
      <c r="D2981" s="151" t="str">
        <f>'Reported burning'!D2981</f>
        <v>ND</v>
      </c>
      <c r="E2981" s="151" t="str">
        <f>'Reported burning'!E2981</f>
        <v>ND</v>
      </c>
      <c r="F2981" s="151" t="str">
        <f>'Reported burning'!F2981</f>
        <v>ND</v>
      </c>
      <c r="G2981" s="151" t="str">
        <f>'Reported burning'!G2981</f>
        <v>ND</v>
      </c>
      <c r="H2981" s="151" t="str">
        <f>'Reported burning'!H2981</f>
        <v>Presence</v>
      </c>
      <c r="I2981" s="5"/>
      <c r="J2981" s="198" t="s">
        <v>2272</v>
      </c>
      <c r="K2981" s="198" t="s">
        <v>2272</v>
      </c>
      <c r="L2981" s="198" t="s">
        <v>2272</v>
      </c>
      <c r="M2981" s="198" t="s">
        <v>2272</v>
      </c>
      <c r="N2981" s="198" t="s">
        <v>2272</v>
      </c>
      <c r="O2981" s="198" t="s">
        <v>2272</v>
      </c>
      <c r="P2981" s="198" t="s">
        <v>2272</v>
      </c>
      <c r="Q2981" s="198" t="s">
        <v>2272</v>
      </c>
      <c r="R2981" s="198" t="s">
        <v>2272</v>
      </c>
      <c r="S2981" s="198" t="s">
        <v>2272</v>
      </c>
      <c r="T2981" s="198" t="s">
        <v>2272</v>
      </c>
      <c r="U2981" s="198" t="s">
        <v>2272</v>
      </c>
      <c r="V2981" s="198" t="s">
        <v>2272</v>
      </c>
      <c r="W2981" s="21" t="s">
        <v>2522</v>
      </c>
      <c r="X2981" s="21" t="s">
        <v>2841</v>
      </c>
      <c r="Y2981" s="198" t="s">
        <v>37</v>
      </c>
      <c r="Z2981" s="198" t="s">
        <v>423</v>
      </c>
      <c r="AA2981" s="198" t="s">
        <v>63</v>
      </c>
      <c r="AB2981" s="198"/>
      <c r="AC2981" s="198"/>
    </row>
    <row r="2982" spans="1:29" ht="39" customHeight="1">
      <c r="A2982" s="151" t="str">
        <f>'Reported burning'!A2982</f>
        <v>313a</v>
      </c>
      <c r="B2982" s="151" t="str">
        <f>'Reported burning'!B2982</f>
        <v>313a.5</v>
      </c>
      <c r="C2982" s="151" t="str">
        <f>'Reported burning'!C2982</f>
        <v>All</v>
      </c>
      <c r="D2982" s="151" t="str">
        <f>'Reported burning'!D2982</f>
        <v>ND</v>
      </c>
      <c r="E2982" s="151" t="str">
        <f>'Reported burning'!E2982</f>
        <v>ND</v>
      </c>
      <c r="F2982" s="151" t="str">
        <f>'Reported burning'!F2982</f>
        <v>ND</v>
      </c>
      <c r="G2982" s="151" t="str">
        <f>'Reported burning'!G2982</f>
        <v>ND</v>
      </c>
      <c r="H2982" s="151" t="str">
        <f>'Reported burning'!H2982</f>
        <v>Presence</v>
      </c>
      <c r="I2982" s="5"/>
      <c r="J2982" s="198" t="s">
        <v>2272</v>
      </c>
      <c r="K2982" s="198" t="s">
        <v>2272</v>
      </c>
      <c r="L2982" s="198" t="s">
        <v>2272</v>
      </c>
      <c r="M2982" s="198" t="s">
        <v>2272</v>
      </c>
      <c r="N2982" s="198" t="s">
        <v>2272</v>
      </c>
      <c r="O2982" s="198" t="s">
        <v>2272</v>
      </c>
      <c r="P2982" s="198" t="s">
        <v>2272</v>
      </c>
      <c r="Q2982" s="198" t="s">
        <v>2272</v>
      </c>
      <c r="R2982" s="198" t="s">
        <v>2272</v>
      </c>
      <c r="S2982" s="198" t="s">
        <v>2272</v>
      </c>
      <c r="T2982" s="198" t="s">
        <v>2272</v>
      </c>
      <c r="U2982" s="198" t="s">
        <v>2272</v>
      </c>
      <c r="V2982" s="198" t="s">
        <v>2272</v>
      </c>
      <c r="W2982" s="21" t="s">
        <v>2522</v>
      </c>
      <c r="X2982" s="21" t="s">
        <v>2399</v>
      </c>
      <c r="Y2982" s="198" t="s">
        <v>37</v>
      </c>
      <c r="Z2982" s="198" t="s">
        <v>423</v>
      </c>
      <c r="AA2982" s="198" t="s">
        <v>63</v>
      </c>
      <c r="AB2982" s="198"/>
      <c r="AC2982" s="198"/>
    </row>
    <row r="2983" spans="1:29" ht="39" customHeight="1">
      <c r="A2983" s="151" t="str">
        <f>'Reported burning'!A2983</f>
        <v>313b</v>
      </c>
      <c r="B2983" s="151" t="str">
        <f>'Reported burning'!B2983</f>
        <v>313b.1</v>
      </c>
      <c r="C2983" s="151" t="str">
        <f>'Reported burning'!C2983</f>
        <v>All</v>
      </c>
      <c r="D2983" s="151" t="str">
        <f>'Reported burning'!D2983</f>
        <v>ND</v>
      </c>
      <c r="E2983" s="151" t="str">
        <f>'Reported burning'!E2983</f>
        <v>ND</v>
      </c>
      <c r="F2983" s="151" t="str">
        <f>'Reported burning'!F2983</f>
        <v>ND</v>
      </c>
      <c r="G2983" s="151" t="str">
        <f>'Reported burning'!G2983</f>
        <v>ND</v>
      </c>
      <c r="H2983" s="151" t="str">
        <f>'Reported burning'!H2983</f>
        <v>Presence</v>
      </c>
      <c r="I2983" s="5"/>
      <c r="J2983" s="198" t="s">
        <v>2272</v>
      </c>
      <c r="K2983" s="198" t="s">
        <v>2272</v>
      </c>
      <c r="L2983" s="198" t="s">
        <v>2272</v>
      </c>
      <c r="M2983" s="198" t="s">
        <v>2272</v>
      </c>
      <c r="N2983" s="198" t="s">
        <v>2272</v>
      </c>
      <c r="O2983" s="198" t="s">
        <v>2272</v>
      </c>
      <c r="P2983" s="198" t="s">
        <v>2272</v>
      </c>
      <c r="Q2983" s="198" t="s">
        <v>2272</v>
      </c>
      <c r="R2983" s="198" t="s">
        <v>2272</v>
      </c>
      <c r="S2983" s="198" t="s">
        <v>2272</v>
      </c>
      <c r="T2983" s="198" t="s">
        <v>2272</v>
      </c>
      <c r="U2983" s="198" t="s">
        <v>2272</v>
      </c>
      <c r="V2983" s="198" t="s">
        <v>2272</v>
      </c>
      <c r="W2983" s="21" t="s">
        <v>2369</v>
      </c>
      <c r="X2983" s="21" t="s">
        <v>2399</v>
      </c>
      <c r="Y2983" s="198" t="s">
        <v>37</v>
      </c>
      <c r="Z2983" s="198" t="s">
        <v>423</v>
      </c>
      <c r="AA2983" s="198" t="s">
        <v>63</v>
      </c>
      <c r="AB2983" s="198"/>
      <c r="AC2983" s="198"/>
    </row>
    <row r="2984" spans="1:29" ht="39" customHeight="1">
      <c r="A2984" s="151" t="str">
        <f>'Reported burning'!A2984</f>
        <v>313b</v>
      </c>
      <c r="B2984" s="151" t="str">
        <f>'Reported burning'!B2984</f>
        <v>313b.2</v>
      </c>
      <c r="C2984" s="151" t="str">
        <f>'Reported burning'!C2984</f>
        <v>All</v>
      </c>
      <c r="D2984" s="151" t="str">
        <f>'Reported burning'!D2984</f>
        <v>ND</v>
      </c>
      <c r="E2984" s="151" t="str">
        <f>'Reported burning'!E2984</f>
        <v>ND</v>
      </c>
      <c r="F2984" s="151" t="str">
        <f>'Reported burning'!F2984</f>
        <v>ND</v>
      </c>
      <c r="G2984" s="151" t="str">
        <f>'Reported burning'!G2984</f>
        <v>ND</v>
      </c>
      <c r="H2984" s="151" t="str">
        <f>'Reported burning'!H2984</f>
        <v>Presence</v>
      </c>
      <c r="I2984" s="5"/>
      <c r="J2984" s="198" t="s">
        <v>2272</v>
      </c>
      <c r="K2984" s="198" t="s">
        <v>2272</v>
      </c>
      <c r="L2984" s="198" t="s">
        <v>2272</v>
      </c>
      <c r="M2984" s="198" t="s">
        <v>2272</v>
      </c>
      <c r="N2984" s="198" t="s">
        <v>2272</v>
      </c>
      <c r="O2984" s="198" t="s">
        <v>2272</v>
      </c>
      <c r="P2984" s="198" t="s">
        <v>2272</v>
      </c>
      <c r="Q2984" s="198" t="s">
        <v>2272</v>
      </c>
      <c r="R2984" s="198" t="s">
        <v>2272</v>
      </c>
      <c r="S2984" s="198" t="s">
        <v>2272</v>
      </c>
      <c r="T2984" s="198" t="s">
        <v>2272</v>
      </c>
      <c r="U2984" s="198" t="s">
        <v>2272</v>
      </c>
      <c r="V2984" s="198" t="s">
        <v>2272</v>
      </c>
      <c r="W2984" s="21" t="s">
        <v>2371</v>
      </c>
      <c r="X2984" s="21" t="s">
        <v>2397</v>
      </c>
      <c r="Y2984" s="198" t="s">
        <v>37</v>
      </c>
      <c r="Z2984" s="198" t="s">
        <v>423</v>
      </c>
      <c r="AA2984" s="198" t="s">
        <v>63</v>
      </c>
      <c r="AB2984" s="198"/>
      <c r="AC2984" s="198"/>
    </row>
    <row r="2985" spans="1:29" ht="39" customHeight="1">
      <c r="A2985" s="151" t="str">
        <f>'Reported burning'!A2985</f>
        <v>313b</v>
      </c>
      <c r="B2985" s="151" t="str">
        <f>'Reported burning'!B2985</f>
        <v>313b.3</v>
      </c>
      <c r="C2985" s="151" t="str">
        <f>'Reported burning'!C2985</f>
        <v>All</v>
      </c>
      <c r="D2985" s="151" t="str">
        <f>'Reported burning'!D2985</f>
        <v>ND</v>
      </c>
      <c r="E2985" s="151" t="str">
        <f>'Reported burning'!E2985</f>
        <v>ND</v>
      </c>
      <c r="F2985" s="151" t="str">
        <f>'Reported burning'!F2985</f>
        <v>ND</v>
      </c>
      <c r="G2985" s="151" t="str">
        <f>'Reported burning'!G2985</f>
        <v>ND</v>
      </c>
      <c r="H2985" s="151" t="str">
        <f>'Reported burning'!H2985</f>
        <v>Presence</v>
      </c>
      <c r="I2985" s="5"/>
      <c r="J2985" s="198" t="s">
        <v>2272</v>
      </c>
      <c r="K2985" s="198" t="s">
        <v>2272</v>
      </c>
      <c r="L2985" s="198" t="s">
        <v>2272</v>
      </c>
      <c r="M2985" s="198" t="s">
        <v>2272</v>
      </c>
      <c r="N2985" s="198" t="s">
        <v>2272</v>
      </c>
      <c r="O2985" s="198" t="s">
        <v>2272</v>
      </c>
      <c r="P2985" s="198" t="s">
        <v>2272</v>
      </c>
      <c r="Q2985" s="198" t="s">
        <v>2272</v>
      </c>
      <c r="R2985" s="198" t="s">
        <v>2272</v>
      </c>
      <c r="S2985" s="198" t="s">
        <v>2272</v>
      </c>
      <c r="T2985" s="198" t="s">
        <v>2272</v>
      </c>
      <c r="U2985" s="198" t="s">
        <v>2272</v>
      </c>
      <c r="V2985" s="198" t="s">
        <v>2272</v>
      </c>
      <c r="W2985" s="21" t="s">
        <v>2384</v>
      </c>
      <c r="X2985" s="21" t="s">
        <v>2397</v>
      </c>
      <c r="Y2985" s="198" t="s">
        <v>37</v>
      </c>
      <c r="Z2985" s="198" t="s">
        <v>423</v>
      </c>
      <c r="AA2985" s="198" t="s">
        <v>63</v>
      </c>
      <c r="AB2985" s="198"/>
      <c r="AC2985" s="198"/>
    </row>
    <row r="2986" spans="1:29" ht="39" customHeight="1">
      <c r="A2986" s="151" t="str">
        <f>'Reported burning'!A2986</f>
        <v>313b</v>
      </c>
      <c r="B2986" s="151" t="str">
        <f>'Reported burning'!B2986</f>
        <v>313b.4</v>
      </c>
      <c r="C2986" s="151" t="str">
        <f>'Reported burning'!C2986</f>
        <v>All</v>
      </c>
      <c r="D2986" s="151" t="str">
        <f>'Reported burning'!D2986</f>
        <v>ND</v>
      </c>
      <c r="E2986" s="151" t="str">
        <f>'Reported burning'!E2986</f>
        <v>ND</v>
      </c>
      <c r="F2986" s="151" t="str">
        <f>'Reported burning'!F2986</f>
        <v>ND</v>
      </c>
      <c r="G2986" s="151" t="str">
        <f>'Reported burning'!G2986</f>
        <v>ND</v>
      </c>
      <c r="H2986" s="151" t="str">
        <f>'Reported burning'!H2986</f>
        <v>Presence</v>
      </c>
      <c r="I2986" s="5"/>
      <c r="J2986" s="198" t="s">
        <v>2272</v>
      </c>
      <c r="K2986" s="198" t="s">
        <v>2272</v>
      </c>
      <c r="L2986" s="198" t="s">
        <v>2272</v>
      </c>
      <c r="M2986" s="198" t="s">
        <v>2272</v>
      </c>
      <c r="N2986" s="198" t="s">
        <v>2272</v>
      </c>
      <c r="O2986" s="198" t="s">
        <v>2272</v>
      </c>
      <c r="P2986" s="198" t="s">
        <v>2272</v>
      </c>
      <c r="Q2986" s="198" t="s">
        <v>2272</v>
      </c>
      <c r="R2986" s="198" t="s">
        <v>2272</v>
      </c>
      <c r="S2986" s="198" t="s">
        <v>2272</v>
      </c>
      <c r="T2986" s="198" t="s">
        <v>2272</v>
      </c>
      <c r="U2986" s="198" t="s">
        <v>2272</v>
      </c>
      <c r="V2986" s="198" t="s">
        <v>2272</v>
      </c>
      <c r="W2986" s="21" t="s">
        <v>2371</v>
      </c>
      <c r="X2986" s="21" t="s">
        <v>2398</v>
      </c>
      <c r="Y2986" s="198" t="s">
        <v>37</v>
      </c>
      <c r="Z2986" s="198" t="s">
        <v>423</v>
      </c>
      <c r="AA2986" s="198" t="s">
        <v>63</v>
      </c>
      <c r="AB2986" s="198"/>
      <c r="AC2986" s="198"/>
    </row>
    <row r="2987" spans="1:29" ht="39" customHeight="1">
      <c r="A2987" s="151" t="str">
        <f>'Reported burning'!A2987</f>
        <v>313b</v>
      </c>
      <c r="B2987" s="151" t="str">
        <f>'Reported burning'!B2987</f>
        <v>313b.5</v>
      </c>
      <c r="C2987" s="151" t="str">
        <f>'Reported burning'!C2987</f>
        <v>All</v>
      </c>
      <c r="D2987" s="151" t="str">
        <f>'Reported burning'!D2987</f>
        <v>ND</v>
      </c>
      <c r="E2987" s="151" t="str">
        <f>'Reported burning'!E2987</f>
        <v>ND</v>
      </c>
      <c r="F2987" s="151" t="str">
        <f>'Reported burning'!F2987</f>
        <v>ND</v>
      </c>
      <c r="G2987" s="151" t="str">
        <f>'Reported burning'!G2987</f>
        <v>ND</v>
      </c>
      <c r="H2987" s="151" t="str">
        <f>'Reported burning'!H2987</f>
        <v>Presence</v>
      </c>
      <c r="I2987" s="5"/>
      <c r="J2987" s="198" t="s">
        <v>2272</v>
      </c>
      <c r="K2987" s="198" t="s">
        <v>2272</v>
      </c>
      <c r="L2987" s="198" t="s">
        <v>2272</v>
      </c>
      <c r="M2987" s="198" t="s">
        <v>2272</v>
      </c>
      <c r="N2987" s="198" t="s">
        <v>2272</v>
      </c>
      <c r="O2987" s="198" t="s">
        <v>2272</v>
      </c>
      <c r="P2987" s="198" t="s">
        <v>2272</v>
      </c>
      <c r="Q2987" s="198" t="s">
        <v>2272</v>
      </c>
      <c r="R2987" s="198" t="s">
        <v>2272</v>
      </c>
      <c r="S2987" s="198" t="s">
        <v>2272</v>
      </c>
      <c r="T2987" s="198" t="s">
        <v>2272</v>
      </c>
      <c r="U2987" s="198" t="s">
        <v>2272</v>
      </c>
      <c r="V2987" s="198" t="s">
        <v>2272</v>
      </c>
      <c r="W2987" s="21" t="s">
        <v>2384</v>
      </c>
      <c r="X2987" s="21" t="s">
        <v>2397</v>
      </c>
      <c r="Y2987" s="198" t="s">
        <v>37</v>
      </c>
      <c r="Z2987" s="198" t="s">
        <v>423</v>
      </c>
      <c r="AA2987" s="198" t="s">
        <v>63</v>
      </c>
      <c r="AB2987" s="198"/>
      <c r="AC2987" s="198"/>
    </row>
    <row r="2988" spans="1:29" ht="39" customHeight="1">
      <c r="A2988" s="147" t="str">
        <f>'Reported burning'!A2988</f>
        <v>313b</v>
      </c>
      <c r="B2988" s="147" t="str">
        <f>'Reported burning'!B2988</f>
        <v>313b.6</v>
      </c>
      <c r="C2988" s="147" t="str">
        <f>'Reported burning'!C2988</f>
        <v>Human, deliberate</v>
      </c>
      <c r="D2988" s="147" t="str">
        <f>'Reported burning'!D2988</f>
        <v>Pasture renewal</v>
      </c>
      <c r="E2988" s="147" t="str">
        <f>'Reported burning'!E2988</f>
        <v>Cattle, Extensive</v>
      </c>
      <c r="F2988" s="147" t="str">
        <f>'Reported burning'!F2988</f>
        <v>Shrubland (Mixed forest &amp; grassland)</v>
      </c>
      <c r="G2988" s="147" t="str">
        <f>'Reported burning'!G2988</f>
        <v>Shrubland (Mixed forest &amp; grassland)</v>
      </c>
      <c r="H2988" s="147" t="str">
        <f>'Reported burning'!H2988</f>
        <v>Presence</v>
      </c>
      <c r="I2988" s="198"/>
      <c r="J2988" s="198" t="s">
        <v>2272</v>
      </c>
      <c r="K2988" s="198" t="s">
        <v>2272</v>
      </c>
      <c r="L2988" s="198" t="s">
        <v>2272</v>
      </c>
      <c r="M2988" s="198" t="s">
        <v>2272</v>
      </c>
      <c r="N2988" s="198" t="s">
        <v>2272</v>
      </c>
      <c r="O2988" s="198" t="s">
        <v>2272</v>
      </c>
      <c r="P2988" s="198" t="s">
        <v>2272</v>
      </c>
      <c r="Q2988" s="198" t="s">
        <v>2272</v>
      </c>
      <c r="R2988" s="198" t="s">
        <v>2272</v>
      </c>
      <c r="S2988" s="198" t="s">
        <v>2272</v>
      </c>
      <c r="T2988" s="198" t="s">
        <v>2272</v>
      </c>
      <c r="U2988" s="198" t="s">
        <v>2272</v>
      </c>
      <c r="V2988" s="198" t="s">
        <v>2272</v>
      </c>
      <c r="W2988" s="198" t="s">
        <v>2272</v>
      </c>
      <c r="X2988" s="21" t="s">
        <v>2397</v>
      </c>
      <c r="Y2988" s="198" t="s">
        <v>37</v>
      </c>
      <c r="Z2988" s="198" t="s">
        <v>423</v>
      </c>
      <c r="AA2988" s="198" t="s">
        <v>63</v>
      </c>
      <c r="AB2988" s="198"/>
      <c r="AC2988" s="198"/>
    </row>
    <row r="2989" spans="1:29" ht="39" customHeight="1">
      <c r="A2989" s="147" t="str">
        <f>'Reported burning'!A2989</f>
        <v>313b</v>
      </c>
      <c r="B2989" s="147" t="str">
        <f>'Reported burning'!B2989</f>
        <v>313b.7</v>
      </c>
      <c r="C2989" s="147" t="str">
        <f>'Reported burning'!C2989</f>
        <v>Human, deliberate</v>
      </c>
      <c r="D2989" s="147" t="str">
        <f>'Reported burning'!D2989</f>
        <v>Pasture renewal</v>
      </c>
      <c r="E2989" s="147" t="str">
        <f>'Reported burning'!E2989</f>
        <v>Cattle, Extensive</v>
      </c>
      <c r="F2989" s="147" t="str">
        <f>'Reported burning'!F2989</f>
        <v>Shrubland (Mixed forest &amp; grassland)</v>
      </c>
      <c r="G2989" s="147" t="str">
        <f>'Reported burning'!G2989</f>
        <v>Shrubland (Mixed forest &amp; grassland)</v>
      </c>
      <c r="H2989" s="147" t="str">
        <f>'Reported burning'!H2989</f>
        <v>Presence</v>
      </c>
      <c r="I2989" s="198"/>
      <c r="J2989" s="198" t="s">
        <v>2272</v>
      </c>
      <c r="K2989" s="198" t="s">
        <v>2272</v>
      </c>
      <c r="L2989" s="198" t="s">
        <v>2272</v>
      </c>
      <c r="M2989" s="198" t="s">
        <v>2272</v>
      </c>
      <c r="N2989" s="198" t="s">
        <v>2272</v>
      </c>
      <c r="O2989" s="198" t="s">
        <v>2272</v>
      </c>
      <c r="P2989" s="198" t="s">
        <v>2272</v>
      </c>
      <c r="Q2989" s="198" t="s">
        <v>2272</v>
      </c>
      <c r="R2989" s="198" t="s">
        <v>2272</v>
      </c>
      <c r="S2989" s="198" t="s">
        <v>2272</v>
      </c>
      <c r="T2989" s="198" t="s">
        <v>2272</v>
      </c>
      <c r="U2989" s="198" t="s">
        <v>2272</v>
      </c>
      <c r="V2989" s="198" t="s">
        <v>2272</v>
      </c>
      <c r="W2989" s="198" t="s">
        <v>2272</v>
      </c>
      <c r="X2989" s="21" t="s">
        <v>2397</v>
      </c>
      <c r="Y2989" s="198" t="s">
        <v>37</v>
      </c>
      <c r="Z2989" s="198" t="s">
        <v>423</v>
      </c>
      <c r="AA2989" s="198" t="s">
        <v>63</v>
      </c>
      <c r="AB2989" s="198"/>
      <c r="AC2989" s="198"/>
    </row>
    <row r="2990" spans="1:29" ht="39" customHeight="1">
      <c r="A2990" s="147" t="str">
        <f>'Reported burning'!A2990</f>
        <v>313b</v>
      </c>
      <c r="B2990" s="147" t="str">
        <f>'Reported burning'!B2990</f>
        <v>313b.8</v>
      </c>
      <c r="C2990" s="147" t="str">
        <f>'Reported burning'!C2990</f>
        <v>Human, deliberate</v>
      </c>
      <c r="D2990" s="147" t="str">
        <f>'Reported burning'!D2990</f>
        <v>Pasture renewal</v>
      </c>
      <c r="E2990" s="147" t="str">
        <f>'Reported burning'!E2990</f>
        <v>Cattle, Extensive</v>
      </c>
      <c r="F2990" s="147" t="str">
        <f>'Reported burning'!F2990</f>
        <v>Shrubland (Mixed forest &amp; grassland)</v>
      </c>
      <c r="G2990" s="147" t="str">
        <f>'Reported burning'!G2990</f>
        <v>Shrubland (Mixed forest &amp; grassland)</v>
      </c>
      <c r="H2990" s="147" t="str">
        <f>'Reported burning'!H2990</f>
        <v>Presence</v>
      </c>
      <c r="I2990" s="198"/>
      <c r="J2990" s="198" t="s">
        <v>2272</v>
      </c>
      <c r="K2990" s="198" t="s">
        <v>2272</v>
      </c>
      <c r="L2990" s="198" t="s">
        <v>2272</v>
      </c>
      <c r="M2990" s="198" t="s">
        <v>2272</v>
      </c>
      <c r="N2990" s="198" t="s">
        <v>2272</v>
      </c>
      <c r="O2990" s="198" t="s">
        <v>2272</v>
      </c>
      <c r="P2990" s="198" t="s">
        <v>2272</v>
      </c>
      <c r="Q2990" s="198" t="s">
        <v>2272</v>
      </c>
      <c r="R2990" s="198" t="s">
        <v>2272</v>
      </c>
      <c r="S2990" s="198" t="s">
        <v>2272</v>
      </c>
      <c r="T2990" s="198" t="s">
        <v>2272</v>
      </c>
      <c r="U2990" s="198" t="s">
        <v>2272</v>
      </c>
      <c r="V2990" s="198" t="s">
        <v>2272</v>
      </c>
      <c r="W2990" s="198" t="s">
        <v>2272</v>
      </c>
      <c r="X2990" s="21" t="s">
        <v>2397</v>
      </c>
      <c r="Y2990" s="198" t="s">
        <v>37</v>
      </c>
      <c r="Z2990" s="198" t="s">
        <v>423</v>
      </c>
      <c r="AA2990" s="198" t="s">
        <v>63</v>
      </c>
      <c r="AB2990" s="198"/>
      <c r="AC2990" s="198"/>
    </row>
    <row r="2991" spans="1:29" ht="38" customHeight="1">
      <c r="A2991" s="147" t="str">
        <f>'Reported burning'!A2991</f>
        <v>313b</v>
      </c>
      <c r="B2991" s="147" t="str">
        <f>'Reported burning'!B2991</f>
        <v>313b.9</v>
      </c>
      <c r="C2991" s="147" t="str">
        <f>'Reported burning'!C2991</f>
        <v>Human, deliberate</v>
      </c>
      <c r="D2991" s="147" t="str">
        <f>'Reported burning'!D2991</f>
        <v>Pasture renewal</v>
      </c>
      <c r="E2991" s="147" t="str">
        <f>'Reported burning'!E2991</f>
        <v>Cattle, Extensive</v>
      </c>
      <c r="F2991" s="147" t="str">
        <f>'Reported burning'!F2991</f>
        <v>Shrubland (Mixed forest &amp; grassland)</v>
      </c>
      <c r="G2991" s="147" t="str">
        <f>'Reported burning'!G2991</f>
        <v>Shrubland (Mixed forest &amp; grassland)</v>
      </c>
      <c r="H2991" s="147" t="str">
        <f>'Reported burning'!H2991</f>
        <v>Presence</v>
      </c>
      <c r="I2991" s="198"/>
      <c r="J2991" s="198" t="s">
        <v>2272</v>
      </c>
      <c r="K2991" s="198" t="s">
        <v>2272</v>
      </c>
      <c r="L2991" s="198" t="s">
        <v>2272</v>
      </c>
      <c r="M2991" s="198" t="s">
        <v>2272</v>
      </c>
      <c r="N2991" s="198" t="s">
        <v>2272</v>
      </c>
      <c r="O2991" s="198" t="s">
        <v>2272</v>
      </c>
      <c r="P2991" s="198" t="s">
        <v>2272</v>
      </c>
      <c r="Q2991" s="198" t="s">
        <v>2272</v>
      </c>
      <c r="R2991" s="198" t="s">
        <v>2272</v>
      </c>
      <c r="S2991" s="198" t="s">
        <v>2272</v>
      </c>
      <c r="T2991" s="198" t="s">
        <v>2272</v>
      </c>
      <c r="U2991" s="198" t="s">
        <v>2272</v>
      </c>
      <c r="V2991" s="198" t="s">
        <v>2272</v>
      </c>
      <c r="W2991" s="198" t="s">
        <v>2272</v>
      </c>
      <c r="X2991" s="21" t="s">
        <v>2397</v>
      </c>
      <c r="Y2991" s="198" t="s">
        <v>37</v>
      </c>
      <c r="Z2991" s="198" t="s">
        <v>423</v>
      </c>
      <c r="AA2991" s="198" t="s">
        <v>63</v>
      </c>
      <c r="AB2991" s="198"/>
      <c r="AC2991" s="198"/>
    </row>
    <row r="2992" spans="1:29" ht="38" customHeight="1">
      <c r="A2992" s="147" t="str">
        <f>'Reported burning'!A2992</f>
        <v>313b</v>
      </c>
      <c r="B2992" s="147" t="str">
        <f>'Reported burning'!B2992</f>
        <v>313b.10</v>
      </c>
      <c r="C2992" s="147" t="str">
        <f>'Reported burning'!C2992</f>
        <v>Human, deliberate</v>
      </c>
      <c r="D2992" s="147" t="str">
        <f>'Reported burning'!D2992</f>
        <v>Pasture renewal</v>
      </c>
      <c r="E2992" s="147" t="str">
        <f>'Reported burning'!E2992</f>
        <v>Cattle, Extensive</v>
      </c>
      <c r="F2992" s="147" t="str">
        <f>'Reported burning'!F2992</f>
        <v>Shrubland (Mixed forest &amp; grassland)</v>
      </c>
      <c r="G2992" s="147" t="str">
        <f>'Reported burning'!G2992</f>
        <v>Shrubland (Mixed forest &amp; grassland)</v>
      </c>
      <c r="H2992" s="147" t="str">
        <f>'Reported burning'!H2992</f>
        <v>Presence</v>
      </c>
      <c r="I2992" s="198"/>
      <c r="J2992" s="198" t="s">
        <v>2272</v>
      </c>
      <c r="K2992" s="198" t="s">
        <v>2272</v>
      </c>
      <c r="L2992" s="198" t="s">
        <v>2272</v>
      </c>
      <c r="M2992" s="198" t="s">
        <v>2272</v>
      </c>
      <c r="N2992" s="198" t="s">
        <v>2272</v>
      </c>
      <c r="O2992" s="198" t="s">
        <v>2272</v>
      </c>
      <c r="P2992" s="198" t="s">
        <v>2272</v>
      </c>
      <c r="Q2992" s="198" t="s">
        <v>2272</v>
      </c>
      <c r="R2992" s="198" t="s">
        <v>2272</v>
      </c>
      <c r="S2992" s="198" t="s">
        <v>2272</v>
      </c>
      <c r="T2992" s="198" t="s">
        <v>2272</v>
      </c>
      <c r="U2992" s="198" t="s">
        <v>2272</v>
      </c>
      <c r="V2992" s="198" t="s">
        <v>2272</v>
      </c>
      <c r="W2992" s="198" t="s">
        <v>2272</v>
      </c>
      <c r="X2992" s="21" t="s">
        <v>2397</v>
      </c>
      <c r="Y2992" s="198" t="s">
        <v>37</v>
      </c>
      <c r="Z2992" s="198" t="s">
        <v>423</v>
      </c>
      <c r="AA2992" s="198" t="s">
        <v>63</v>
      </c>
      <c r="AB2992" s="198"/>
      <c r="AC2992" s="198"/>
    </row>
    <row r="2993" spans="1:29" ht="38" customHeight="1">
      <c r="A2993" s="151" t="str">
        <f>'Reported burning'!A2993</f>
        <v>314a</v>
      </c>
      <c r="B2993" s="151" t="str">
        <f>'Reported burning'!B2993</f>
        <v>314a.1</v>
      </c>
      <c r="C2993" s="151" t="str">
        <f>'Reported burning'!C2993</f>
        <v>All</v>
      </c>
      <c r="D2993" s="151" t="str">
        <f>'Reported burning'!D2993</f>
        <v>All</v>
      </c>
      <c r="E2993" s="151" t="str">
        <f>'Reported burning'!E2993</f>
        <v>ND</v>
      </c>
      <c r="F2993" s="151" t="str">
        <f>'Reported burning'!F2993</f>
        <v>ND</v>
      </c>
      <c r="G2993" s="151" t="str">
        <f>'Reported burning'!G2993</f>
        <v>ND</v>
      </c>
      <c r="H2993" s="151" t="str">
        <f>'Reported burning'!H2993</f>
        <v>Presence</v>
      </c>
      <c r="I2993" s="5"/>
      <c r="J2993" s="198" t="s">
        <v>2272</v>
      </c>
      <c r="K2993" s="198" t="s">
        <v>2361</v>
      </c>
      <c r="L2993" s="198" t="s">
        <v>2272</v>
      </c>
      <c r="M2993" s="198" t="s">
        <v>2272</v>
      </c>
      <c r="N2993" s="198" t="s">
        <v>2272</v>
      </c>
      <c r="O2993" s="198" t="s">
        <v>2272</v>
      </c>
      <c r="P2993" s="198" t="s">
        <v>2272</v>
      </c>
      <c r="Q2993" s="198" t="s">
        <v>2272</v>
      </c>
      <c r="R2993" s="198" t="s">
        <v>2272</v>
      </c>
      <c r="S2993" s="198" t="s">
        <v>2272</v>
      </c>
      <c r="T2993" s="198" t="s">
        <v>2272</v>
      </c>
      <c r="U2993" s="198" t="s">
        <v>2272</v>
      </c>
      <c r="V2993" s="198" t="s">
        <v>2272</v>
      </c>
      <c r="W2993" s="198" t="s">
        <v>2272</v>
      </c>
      <c r="X2993" s="198" t="s">
        <v>2272</v>
      </c>
      <c r="Y2993" s="198" t="s">
        <v>2272</v>
      </c>
      <c r="Z2993" s="198" t="s">
        <v>2272</v>
      </c>
      <c r="AA2993" s="198" t="s">
        <v>2272</v>
      </c>
      <c r="AB2993" s="4" t="s">
        <v>11578</v>
      </c>
      <c r="AC2993" s="198"/>
    </row>
    <row r="2994" spans="1:29" s="197" customFormat="1" ht="38" customHeight="1">
      <c r="A2994" s="151" t="str">
        <f>'Reported burning'!A2994</f>
        <v>314a</v>
      </c>
      <c r="B2994" s="151" t="str">
        <f>'Reported burning'!B2994</f>
        <v>314a.2</v>
      </c>
      <c r="C2994" s="151" t="str">
        <f>'Reported burning'!C2994</f>
        <v>All</v>
      </c>
      <c r="D2994" s="151" t="str">
        <f>'Reported burning'!D2994</f>
        <v>All</v>
      </c>
      <c r="E2994" s="151" t="str">
        <f>'Reported burning'!E2994</f>
        <v>ND</v>
      </c>
      <c r="F2994" s="151" t="str">
        <f>'Reported burning'!F2994</f>
        <v>ND</v>
      </c>
      <c r="G2994" s="151" t="str">
        <f>'Reported burning'!G2994</f>
        <v>Cropland</v>
      </c>
      <c r="H2994" s="151" t="str">
        <f>'Reported burning'!H2994</f>
        <v>Presence</v>
      </c>
      <c r="I2994" s="5"/>
      <c r="J2994" s="198" t="s">
        <v>2272</v>
      </c>
      <c r="K2994" s="198" t="s">
        <v>2360</v>
      </c>
      <c r="L2994" s="198" t="s">
        <v>2272</v>
      </c>
      <c r="M2994" s="198" t="s">
        <v>2272</v>
      </c>
      <c r="N2994" s="198" t="s">
        <v>2272</v>
      </c>
      <c r="O2994" s="198" t="s">
        <v>2272</v>
      </c>
      <c r="P2994" s="198" t="s">
        <v>2272</v>
      </c>
      <c r="Q2994" s="198" t="s">
        <v>2272</v>
      </c>
      <c r="R2994" s="198" t="s">
        <v>2272</v>
      </c>
      <c r="S2994" s="198" t="s">
        <v>2272</v>
      </c>
      <c r="T2994" s="198" t="s">
        <v>2272</v>
      </c>
      <c r="U2994" s="198" t="s">
        <v>2272</v>
      </c>
      <c r="V2994" s="198" t="s">
        <v>2272</v>
      </c>
      <c r="W2994" s="198" t="s">
        <v>2272</v>
      </c>
      <c r="X2994" s="198" t="s">
        <v>2272</v>
      </c>
      <c r="Y2994" s="198" t="s">
        <v>2272</v>
      </c>
      <c r="Z2994" s="198" t="s">
        <v>2272</v>
      </c>
      <c r="AA2994" s="198" t="s">
        <v>2272</v>
      </c>
      <c r="AB2994" s="4" t="s">
        <v>11578</v>
      </c>
      <c r="AC2994" s="198"/>
    </row>
    <row r="2995" spans="1:29" s="197" customFormat="1" ht="38" customHeight="1">
      <c r="A2995" s="151" t="str">
        <f>'Reported burning'!A2995</f>
        <v>314b</v>
      </c>
      <c r="B2995" s="151" t="str">
        <f>'Reported burning'!B2995</f>
        <v>314b.1</v>
      </c>
      <c r="C2995" s="151" t="str">
        <f>'Reported burning'!C2995</f>
        <v>All</v>
      </c>
      <c r="D2995" s="151" t="str">
        <f>'Reported burning'!D2995</f>
        <v>All</v>
      </c>
      <c r="E2995" s="151" t="str">
        <f>'Reported burning'!E2995</f>
        <v>ND</v>
      </c>
      <c r="F2995" s="151" t="str">
        <f>'Reported burning'!F2995</f>
        <v>ND</v>
      </c>
      <c r="G2995" s="151" t="str">
        <f>'Reported burning'!G2995</f>
        <v>ND</v>
      </c>
      <c r="H2995" s="151" t="str">
        <f>'Reported burning'!H2995</f>
        <v>Presence</v>
      </c>
      <c r="I2995" s="5"/>
      <c r="J2995" s="198" t="s">
        <v>2272</v>
      </c>
      <c r="K2995" s="198" t="s">
        <v>2362</v>
      </c>
      <c r="L2995" s="198" t="s">
        <v>2272</v>
      </c>
      <c r="M2995" s="198" t="s">
        <v>2272</v>
      </c>
      <c r="N2995" s="198" t="s">
        <v>2272</v>
      </c>
      <c r="O2995" s="198" t="s">
        <v>2272</v>
      </c>
      <c r="P2995" s="198" t="s">
        <v>2272</v>
      </c>
      <c r="Q2995" s="198" t="s">
        <v>2272</v>
      </c>
      <c r="R2995" s="198" t="s">
        <v>2272</v>
      </c>
      <c r="S2995" s="198" t="s">
        <v>2272</v>
      </c>
      <c r="T2995" s="198" t="s">
        <v>2272</v>
      </c>
      <c r="U2995" s="198" t="s">
        <v>2272</v>
      </c>
      <c r="V2995" s="198" t="s">
        <v>2272</v>
      </c>
      <c r="W2995" s="198" t="s">
        <v>2272</v>
      </c>
      <c r="X2995" s="198" t="s">
        <v>2272</v>
      </c>
      <c r="Y2995" s="198" t="s">
        <v>2272</v>
      </c>
      <c r="Z2995" s="198" t="s">
        <v>2272</v>
      </c>
      <c r="AA2995" s="198" t="s">
        <v>2272</v>
      </c>
      <c r="AB2995" s="4" t="s">
        <v>11578</v>
      </c>
      <c r="AC2995" s="198"/>
    </row>
    <row r="2996" spans="1:29" ht="38" customHeight="1">
      <c r="A2996" s="151" t="str">
        <f>'Reported burning'!A2996</f>
        <v>314b</v>
      </c>
      <c r="B2996" s="151" t="str">
        <f>'Reported burning'!B2996</f>
        <v>314b.2</v>
      </c>
      <c r="C2996" s="151" t="str">
        <f>'Reported burning'!C2996</f>
        <v>All</v>
      </c>
      <c r="D2996" s="151" t="str">
        <f>'Reported burning'!D2996</f>
        <v>All</v>
      </c>
      <c r="E2996" s="151" t="str">
        <f>'Reported burning'!E2996</f>
        <v>ND</v>
      </c>
      <c r="F2996" s="151" t="str">
        <f>'Reported burning'!F2996</f>
        <v>ND</v>
      </c>
      <c r="G2996" s="151" t="str">
        <f>'Reported burning'!G2996</f>
        <v>Cropland</v>
      </c>
      <c r="H2996" s="151" t="str">
        <f>'Reported burning'!H2996</f>
        <v>Presence</v>
      </c>
      <c r="I2996" s="5"/>
      <c r="J2996" s="198" t="s">
        <v>2272</v>
      </c>
      <c r="K2996" s="198" t="s">
        <v>2361</v>
      </c>
      <c r="L2996" s="198" t="s">
        <v>2272</v>
      </c>
      <c r="M2996" s="198" t="s">
        <v>2272</v>
      </c>
      <c r="N2996" s="198" t="s">
        <v>2272</v>
      </c>
      <c r="O2996" s="198" t="s">
        <v>2272</v>
      </c>
      <c r="P2996" s="198" t="s">
        <v>2272</v>
      </c>
      <c r="Q2996" s="198" t="s">
        <v>2272</v>
      </c>
      <c r="R2996" s="198" t="s">
        <v>2272</v>
      </c>
      <c r="S2996" s="198" t="s">
        <v>2272</v>
      </c>
      <c r="T2996" s="198" t="s">
        <v>2272</v>
      </c>
      <c r="U2996" s="198" t="s">
        <v>2272</v>
      </c>
      <c r="V2996" s="198" t="s">
        <v>2272</v>
      </c>
      <c r="W2996" s="198" t="s">
        <v>2272</v>
      </c>
      <c r="X2996" s="198" t="s">
        <v>2272</v>
      </c>
      <c r="Y2996" s="198" t="s">
        <v>2272</v>
      </c>
      <c r="Z2996" s="198" t="s">
        <v>2272</v>
      </c>
      <c r="AA2996" s="198" t="s">
        <v>2272</v>
      </c>
      <c r="AB2996" s="4" t="s">
        <v>11578</v>
      </c>
      <c r="AC2996" s="198"/>
    </row>
    <row r="2997" spans="1:29" ht="38" customHeight="1">
      <c r="A2997" s="151" t="str">
        <f>'Reported burning'!A2997</f>
        <v>314a</v>
      </c>
      <c r="B2997" s="151" t="str">
        <f>'Reported burning'!B2997</f>
        <v>314a.3</v>
      </c>
      <c r="C2997" s="151" t="str">
        <f>'Reported burning'!C2997</f>
        <v>All</v>
      </c>
      <c r="D2997" s="151" t="str">
        <f>'Reported burning'!D2997</f>
        <v>All</v>
      </c>
      <c r="E2997" s="151" t="str">
        <f>'Reported burning'!E2997</f>
        <v>ND</v>
      </c>
      <c r="F2997" s="151" t="str">
        <f>'Reported burning'!F2997</f>
        <v>ND</v>
      </c>
      <c r="G2997" s="151" t="str">
        <f>'Reported burning'!G2997</f>
        <v>Grassland</v>
      </c>
      <c r="H2997" s="151" t="str">
        <f>'Reported burning'!H2997</f>
        <v>Presence</v>
      </c>
      <c r="I2997" s="5"/>
      <c r="J2997" s="198" t="s">
        <v>2272</v>
      </c>
      <c r="K2997" s="198" t="s">
        <v>2361</v>
      </c>
      <c r="L2997" s="198" t="s">
        <v>2272</v>
      </c>
      <c r="M2997" s="198" t="s">
        <v>2272</v>
      </c>
      <c r="N2997" s="198" t="s">
        <v>2272</v>
      </c>
      <c r="O2997" s="198" t="s">
        <v>2272</v>
      </c>
      <c r="P2997" s="198" t="s">
        <v>2272</v>
      </c>
      <c r="Q2997" s="198" t="s">
        <v>2272</v>
      </c>
      <c r="R2997" s="198" t="s">
        <v>2272</v>
      </c>
      <c r="S2997" s="198" t="s">
        <v>2272</v>
      </c>
      <c r="T2997" s="198" t="s">
        <v>2272</v>
      </c>
      <c r="U2997" s="198" t="s">
        <v>2272</v>
      </c>
      <c r="V2997" s="198" t="s">
        <v>2272</v>
      </c>
      <c r="W2997" s="198" t="s">
        <v>2272</v>
      </c>
      <c r="X2997" s="198" t="s">
        <v>2272</v>
      </c>
      <c r="Y2997" s="198" t="s">
        <v>2272</v>
      </c>
      <c r="Z2997" s="198" t="s">
        <v>2272</v>
      </c>
      <c r="AA2997" s="198" t="s">
        <v>2272</v>
      </c>
      <c r="AB2997" s="4" t="s">
        <v>11578</v>
      </c>
      <c r="AC2997" s="198"/>
    </row>
    <row r="2998" spans="1:29" ht="39" customHeight="1">
      <c r="A2998" s="151" t="str">
        <f>'Reported burning'!A2998</f>
        <v>314b</v>
      </c>
      <c r="B2998" s="151" t="str">
        <f>'Reported burning'!B2998</f>
        <v>314b.3</v>
      </c>
      <c r="C2998" s="151" t="str">
        <f>'Reported burning'!C2998</f>
        <v>All</v>
      </c>
      <c r="D2998" s="151" t="str">
        <f>'Reported burning'!D2998</f>
        <v>All</v>
      </c>
      <c r="E2998" s="151" t="str">
        <f>'Reported burning'!E2998</f>
        <v>ND</v>
      </c>
      <c r="F2998" s="151" t="str">
        <f>'Reported burning'!F2998</f>
        <v>ND</v>
      </c>
      <c r="G2998" s="151" t="str">
        <f>'Reported burning'!G2998</f>
        <v>Grassland</v>
      </c>
      <c r="H2998" s="151" t="str">
        <f>'Reported burning'!H2998</f>
        <v>Presence</v>
      </c>
      <c r="I2998" s="5"/>
      <c r="J2998" s="198" t="s">
        <v>2272</v>
      </c>
      <c r="K2998" s="21" t="s">
        <v>2362</v>
      </c>
      <c r="L2998" s="198" t="s">
        <v>2272</v>
      </c>
      <c r="M2998" s="198" t="s">
        <v>2272</v>
      </c>
      <c r="N2998" s="198" t="s">
        <v>2272</v>
      </c>
      <c r="O2998" s="198" t="s">
        <v>2272</v>
      </c>
      <c r="P2998" s="198" t="s">
        <v>2272</v>
      </c>
      <c r="Q2998" s="198" t="s">
        <v>2272</v>
      </c>
      <c r="R2998" s="198" t="s">
        <v>2272</v>
      </c>
      <c r="S2998" s="198" t="s">
        <v>2272</v>
      </c>
      <c r="T2998" s="198" t="s">
        <v>2272</v>
      </c>
      <c r="U2998" s="198" t="s">
        <v>2272</v>
      </c>
      <c r="V2998" s="198" t="s">
        <v>2272</v>
      </c>
      <c r="W2998" s="198" t="s">
        <v>2272</v>
      </c>
      <c r="X2998" s="198" t="s">
        <v>2272</v>
      </c>
      <c r="Y2998" s="198" t="s">
        <v>2272</v>
      </c>
      <c r="Z2998" s="198" t="s">
        <v>2272</v>
      </c>
      <c r="AA2998" s="198" t="s">
        <v>2272</v>
      </c>
      <c r="AB2998" s="4" t="s">
        <v>11578</v>
      </c>
      <c r="AC2998" s="198"/>
    </row>
    <row r="2999" spans="1:29" ht="39" customHeight="1">
      <c r="A2999" s="151" t="str">
        <f>'Reported burning'!A2999</f>
        <v>314b</v>
      </c>
      <c r="B2999" s="151" t="str">
        <f>'Reported burning'!B2999</f>
        <v>314b.4</v>
      </c>
      <c r="C2999" s="151" t="str">
        <f>'Reported burning'!C2999</f>
        <v>Human, deliberate</v>
      </c>
      <c r="D2999" s="151" t="str">
        <f>'Reported burning'!D2999</f>
        <v>Pasture renewal</v>
      </c>
      <c r="E2999" s="151" t="str">
        <f>'Reported burning'!E2999</f>
        <v>Cattle, Intensive</v>
      </c>
      <c r="F2999" s="151" t="str">
        <f>'Reported burning'!F2999</f>
        <v>Grassland</v>
      </c>
      <c r="G2999" s="151" t="str">
        <f>'Reported burning'!G2999</f>
        <v>Grassland</v>
      </c>
      <c r="H2999" s="151" t="str">
        <f>'Reported burning'!H2999</f>
        <v>Presence</v>
      </c>
      <c r="I2999" s="5"/>
      <c r="J2999" s="198" t="s">
        <v>2272</v>
      </c>
      <c r="K2999" s="198" t="s">
        <v>2272</v>
      </c>
      <c r="L2999" s="198" t="s">
        <v>2272</v>
      </c>
      <c r="M2999" s="198" t="s">
        <v>2272</v>
      </c>
      <c r="N2999" s="198" t="s">
        <v>2272</v>
      </c>
      <c r="O2999" s="198" t="s">
        <v>2272</v>
      </c>
      <c r="P2999" s="198" t="s">
        <v>2272</v>
      </c>
      <c r="Q2999" s="198" t="s">
        <v>2272</v>
      </c>
      <c r="R2999" s="198" t="s">
        <v>2272</v>
      </c>
      <c r="S2999" s="198" t="s">
        <v>2272</v>
      </c>
      <c r="T2999" s="198" t="s">
        <v>2272</v>
      </c>
      <c r="U2999" s="198" t="s">
        <v>2272</v>
      </c>
      <c r="V2999" s="198" t="s">
        <v>2272</v>
      </c>
      <c r="W2999" s="198" t="s">
        <v>2272</v>
      </c>
      <c r="X2999" s="198" t="s">
        <v>2272</v>
      </c>
      <c r="Y2999" s="198" t="s">
        <v>2272</v>
      </c>
      <c r="Z2999" s="198" t="s">
        <v>2272</v>
      </c>
      <c r="AA2999" s="198" t="s">
        <v>2272</v>
      </c>
      <c r="AB2999" s="198"/>
      <c r="AC2999" s="198"/>
    </row>
    <row r="3000" spans="1:29" ht="39" customHeight="1">
      <c r="A3000" s="151" t="str">
        <f>'Reported burning'!A3000</f>
        <v>314b</v>
      </c>
      <c r="B3000" s="151" t="str">
        <f>'Reported burning'!B3000</f>
        <v>314b.5</v>
      </c>
      <c r="C3000" s="151" t="str">
        <f>'Reported burning'!C3000</f>
        <v>Human, deliberate</v>
      </c>
      <c r="D3000" s="151" t="str">
        <f>'Reported burning'!D3000</f>
        <v>Crop residue burning</v>
      </c>
      <c r="E3000" s="151" t="str">
        <f>'Reported burning'!E3000</f>
        <v>Cropping, Intensive</v>
      </c>
      <c r="F3000" s="151" t="str">
        <f>'Reported burning'!F3000</f>
        <v>Cropland</v>
      </c>
      <c r="G3000" s="151" t="str">
        <f>'Reported burning'!G3000</f>
        <v>Cropland</v>
      </c>
      <c r="H3000" s="151" t="str">
        <f>'Reported burning'!H3000</f>
        <v>Presence</v>
      </c>
      <c r="I3000" s="5"/>
      <c r="J3000" s="198" t="s">
        <v>2272</v>
      </c>
      <c r="K3000" s="198" t="s">
        <v>2272</v>
      </c>
      <c r="L3000" s="198" t="s">
        <v>2272</v>
      </c>
      <c r="M3000" s="198" t="s">
        <v>2272</v>
      </c>
      <c r="N3000" s="198" t="s">
        <v>2272</v>
      </c>
      <c r="O3000" s="198" t="s">
        <v>2272</v>
      </c>
      <c r="P3000" s="198" t="s">
        <v>2272</v>
      </c>
      <c r="Q3000" s="198" t="s">
        <v>2272</v>
      </c>
      <c r="R3000" s="198" t="s">
        <v>2272</v>
      </c>
      <c r="S3000" s="198" t="s">
        <v>2272</v>
      </c>
      <c r="T3000" s="198" t="s">
        <v>2272</v>
      </c>
      <c r="U3000" s="198" t="s">
        <v>2272</v>
      </c>
      <c r="V3000" s="198" t="s">
        <v>2272</v>
      </c>
      <c r="W3000" s="198" t="s">
        <v>2272</v>
      </c>
      <c r="X3000" s="198" t="s">
        <v>2272</v>
      </c>
      <c r="Y3000" s="198" t="s">
        <v>2272</v>
      </c>
      <c r="Z3000" s="198" t="s">
        <v>2272</v>
      </c>
      <c r="AA3000" s="198" t="s">
        <v>2272</v>
      </c>
      <c r="AB3000" s="198"/>
      <c r="AC3000" s="198"/>
    </row>
    <row r="3001" spans="1:29" ht="39" customHeight="1">
      <c r="A3001" s="151" t="str">
        <f>'Reported burning'!A3001</f>
        <v>314b</v>
      </c>
      <c r="B3001" s="151" t="str">
        <f>'Reported burning'!B3001</f>
        <v>314b.6</v>
      </c>
      <c r="C3001" s="151" t="str">
        <f>'Reported burning'!C3001</f>
        <v>All</v>
      </c>
      <c r="D3001" s="151" t="str">
        <f>'Reported burning'!D3001</f>
        <v>All</v>
      </c>
      <c r="E3001" s="151" t="str">
        <f>'Reported burning'!E3001</f>
        <v>Abandoned agricultural land</v>
      </c>
      <c r="F3001" s="151" t="str">
        <f>'Reported burning'!F3001</f>
        <v>Grassland</v>
      </c>
      <c r="G3001" s="151" t="str">
        <f>'Reported burning'!G3001</f>
        <v>Grassland</v>
      </c>
      <c r="H3001" s="151" t="str">
        <f>'Reported burning'!H3001</f>
        <v>Presence</v>
      </c>
      <c r="I3001" s="5"/>
      <c r="J3001" s="198" t="s">
        <v>2272</v>
      </c>
      <c r="K3001" s="198" t="s">
        <v>2272</v>
      </c>
      <c r="L3001" s="198" t="s">
        <v>2272</v>
      </c>
      <c r="M3001" s="198" t="s">
        <v>2272</v>
      </c>
      <c r="N3001" s="198" t="s">
        <v>2272</v>
      </c>
      <c r="O3001" s="198" t="s">
        <v>2272</v>
      </c>
      <c r="P3001" s="198" t="s">
        <v>2272</v>
      </c>
      <c r="Q3001" s="198" t="s">
        <v>2272</v>
      </c>
      <c r="R3001" s="198" t="s">
        <v>2272</v>
      </c>
      <c r="S3001" s="198" t="s">
        <v>2272</v>
      </c>
      <c r="T3001" s="198" t="s">
        <v>2272</v>
      </c>
      <c r="U3001" s="198" t="s">
        <v>2272</v>
      </c>
      <c r="V3001" s="198" t="s">
        <v>2272</v>
      </c>
      <c r="W3001" s="198" t="s">
        <v>2272</v>
      </c>
      <c r="X3001" s="198" t="s">
        <v>2272</v>
      </c>
      <c r="Y3001" s="198" t="s">
        <v>2272</v>
      </c>
      <c r="Z3001" s="198" t="s">
        <v>2272</v>
      </c>
      <c r="AA3001" s="198" t="s">
        <v>2272</v>
      </c>
      <c r="AB3001" s="198"/>
      <c r="AC3001" s="198"/>
    </row>
    <row r="3002" spans="1:29" ht="39" customHeight="1">
      <c r="A3002" s="151" t="str">
        <f>'Reported burning'!A3002</f>
        <v>315a</v>
      </c>
      <c r="B3002" s="151" t="str">
        <f>'Reported burning'!B3002</f>
        <v>315a.1</v>
      </c>
      <c r="C3002" s="151" t="str">
        <f>'Reported burning'!C3002</f>
        <v>Human, deliberate</v>
      </c>
      <c r="D3002" s="151" t="str">
        <f>'Reported burning'!D3002</f>
        <v>Pasture renewal</v>
      </c>
      <c r="E3002" s="151" t="str">
        <f>'Reported burning'!E3002</f>
        <v>Cattle, Intensive</v>
      </c>
      <c r="F3002" s="151" t="str">
        <f>'Reported burning'!F3002</f>
        <v>Pasture</v>
      </c>
      <c r="G3002" s="151" t="str">
        <f>'Reported burning'!G3002</f>
        <v>Pasture</v>
      </c>
      <c r="H3002" s="151" t="str">
        <f>'Reported burning'!H3002</f>
        <v>Presence</v>
      </c>
      <c r="I3002" s="5"/>
      <c r="J3002" s="198" t="s">
        <v>2272</v>
      </c>
      <c r="K3002" s="198" t="s">
        <v>2272</v>
      </c>
      <c r="L3002" s="198" t="s">
        <v>2272</v>
      </c>
      <c r="M3002" s="198" t="s">
        <v>2272</v>
      </c>
      <c r="N3002" s="198" t="s">
        <v>2272</v>
      </c>
      <c r="O3002" s="198" t="s">
        <v>2272</v>
      </c>
      <c r="P3002" s="198" t="s">
        <v>2272</v>
      </c>
      <c r="Q3002" s="198" t="s">
        <v>2272</v>
      </c>
      <c r="R3002" s="198" t="s">
        <v>2272</v>
      </c>
      <c r="S3002" s="198" t="s">
        <v>2272</v>
      </c>
      <c r="T3002" s="198" t="s">
        <v>2272</v>
      </c>
      <c r="U3002" s="198" t="s">
        <v>2272</v>
      </c>
      <c r="V3002" s="198" t="s">
        <v>2272</v>
      </c>
      <c r="W3002" s="198" t="s">
        <v>2272</v>
      </c>
      <c r="X3002" s="198" t="s">
        <v>2272</v>
      </c>
      <c r="Y3002" s="198" t="s">
        <v>2272</v>
      </c>
      <c r="Z3002" s="198" t="s">
        <v>2272</v>
      </c>
      <c r="AA3002" s="198" t="s">
        <v>2272</v>
      </c>
      <c r="AB3002" s="198"/>
      <c r="AC3002" s="198"/>
    </row>
    <row r="3003" spans="1:29" ht="39" customHeight="1">
      <c r="A3003" s="151" t="str">
        <f>'Reported burning'!A3003</f>
        <v>315a</v>
      </c>
      <c r="B3003" s="151" t="str">
        <f>'Reported burning'!B3003</f>
        <v>315a.2</v>
      </c>
      <c r="C3003" s="151" t="str">
        <f>'Reported burning'!C3003</f>
        <v>Human, deliberate</v>
      </c>
      <c r="D3003" s="151" t="str">
        <f>'Reported burning'!D3003</f>
        <v>Rangeland management</v>
      </c>
      <c r="E3003" s="151" t="str">
        <f>'Reported burning'!E3003</f>
        <v>Cattle, Intensive</v>
      </c>
      <c r="F3003" s="151" t="str">
        <f>'Reported burning'!F3003</f>
        <v>Shrubland (Mixed forest &amp; grassland)</v>
      </c>
      <c r="G3003" s="151" t="str">
        <f>'Reported burning'!G3003</f>
        <v>Shrubland (Mixed forest &amp; grassland)</v>
      </c>
      <c r="H3003" s="151" t="str">
        <f>'Reported burning'!H3003</f>
        <v>Presence</v>
      </c>
      <c r="I3003" s="5"/>
      <c r="J3003" s="198" t="s">
        <v>2272</v>
      </c>
      <c r="K3003" s="198" t="s">
        <v>2272</v>
      </c>
      <c r="L3003" s="198" t="s">
        <v>2272</v>
      </c>
      <c r="M3003" s="198" t="s">
        <v>2272</v>
      </c>
      <c r="N3003" s="198" t="s">
        <v>2272</v>
      </c>
      <c r="O3003" s="198" t="s">
        <v>2272</v>
      </c>
      <c r="P3003" s="198" t="s">
        <v>2272</v>
      </c>
      <c r="Q3003" s="198" t="s">
        <v>2272</v>
      </c>
      <c r="R3003" s="198" t="s">
        <v>2272</v>
      </c>
      <c r="S3003" s="198" t="s">
        <v>2272</v>
      </c>
      <c r="T3003" s="198" t="s">
        <v>2272</v>
      </c>
      <c r="U3003" s="198" t="s">
        <v>2272</v>
      </c>
      <c r="V3003" s="198" t="s">
        <v>2272</v>
      </c>
      <c r="W3003" s="198" t="s">
        <v>2272</v>
      </c>
      <c r="X3003" s="198" t="s">
        <v>2272</v>
      </c>
      <c r="Y3003" s="198" t="s">
        <v>2272</v>
      </c>
      <c r="Z3003" s="198" t="s">
        <v>2272</v>
      </c>
      <c r="AA3003" s="198" t="s">
        <v>2272</v>
      </c>
      <c r="AB3003" s="198"/>
      <c r="AC3003" s="198"/>
    </row>
    <row r="3004" spans="1:29" ht="40.5" customHeight="1">
      <c r="A3004" s="151" t="str">
        <f>'Reported burning'!A3004</f>
        <v>315a</v>
      </c>
      <c r="B3004" s="151" t="str">
        <f>'Reported burning'!B3004</f>
        <v>315a.3</v>
      </c>
      <c r="C3004" s="151" t="str">
        <f>'Reported burning'!C3004</f>
        <v>Human, deliberate</v>
      </c>
      <c r="D3004" s="151" t="str">
        <f>'Reported burning'!D3004</f>
        <v>Pasture renewal</v>
      </c>
      <c r="E3004" s="151" t="str">
        <f>'Reported burning'!E3004</f>
        <v>Cattle, Extensive</v>
      </c>
      <c r="F3004" s="151" t="str">
        <f>'Reported burning'!F3004</f>
        <v>Pasture</v>
      </c>
      <c r="G3004" s="151" t="str">
        <f>'Reported burning'!G3004</f>
        <v>Pasture</v>
      </c>
      <c r="H3004" s="151" t="str">
        <f>'Reported burning'!H3004</f>
        <v>Presence</v>
      </c>
      <c r="I3004" s="5"/>
      <c r="J3004" s="198" t="s">
        <v>2272</v>
      </c>
      <c r="K3004" s="198" t="s">
        <v>2272</v>
      </c>
      <c r="L3004" s="198" t="s">
        <v>2272</v>
      </c>
      <c r="M3004" s="198" t="s">
        <v>2272</v>
      </c>
      <c r="N3004" s="198" t="s">
        <v>2272</v>
      </c>
      <c r="O3004" s="198" t="s">
        <v>2272</v>
      </c>
      <c r="P3004" s="198" t="s">
        <v>2272</v>
      </c>
      <c r="Q3004" s="198" t="s">
        <v>2272</v>
      </c>
      <c r="R3004" s="198" t="s">
        <v>2272</v>
      </c>
      <c r="S3004" s="198" t="s">
        <v>2272</v>
      </c>
      <c r="T3004" s="198" t="s">
        <v>2272</v>
      </c>
      <c r="U3004" s="198" t="s">
        <v>2272</v>
      </c>
      <c r="V3004" s="198" t="s">
        <v>2272</v>
      </c>
      <c r="W3004" s="198" t="s">
        <v>2272</v>
      </c>
      <c r="X3004" s="198" t="s">
        <v>2272</v>
      </c>
      <c r="Y3004" s="198" t="s">
        <v>2272</v>
      </c>
      <c r="Z3004" s="198" t="s">
        <v>2272</v>
      </c>
      <c r="AA3004" s="198" t="s">
        <v>2272</v>
      </c>
      <c r="AB3004" s="198"/>
      <c r="AC3004" s="198"/>
    </row>
    <row r="3005" spans="1:29" ht="36.5" customHeight="1">
      <c r="A3005" s="151" t="str">
        <f>'Reported burning'!A3005</f>
        <v>315a</v>
      </c>
      <c r="B3005" s="151" t="str">
        <f>'Reported burning'!B3005</f>
        <v>315a.4</v>
      </c>
      <c r="C3005" s="151" t="str">
        <f>'Reported burning'!C3005</f>
        <v>Human, deliberate</v>
      </c>
      <c r="D3005" s="151" t="str">
        <f>'Reported burning'!D3005</f>
        <v>Rangeland management</v>
      </c>
      <c r="E3005" s="151" t="str">
        <f>'Reported burning'!E3005</f>
        <v>Cattle, Extensive</v>
      </c>
      <c r="F3005" s="151" t="str">
        <f>'Reported burning'!F3005</f>
        <v>Shrubland (Mixed forest &amp; grassland)</v>
      </c>
      <c r="G3005" s="151" t="str">
        <f>'Reported burning'!G3005</f>
        <v>Shrubland (Mixed forest &amp; grassland)</v>
      </c>
      <c r="H3005" s="151" t="str">
        <f>'Reported burning'!H3005</f>
        <v>Presence</v>
      </c>
      <c r="I3005" s="5"/>
      <c r="J3005" s="198" t="s">
        <v>2272</v>
      </c>
      <c r="K3005" s="198" t="s">
        <v>2272</v>
      </c>
      <c r="L3005" s="198" t="s">
        <v>2272</v>
      </c>
      <c r="M3005" s="198" t="s">
        <v>2272</v>
      </c>
      <c r="N3005" s="198" t="s">
        <v>2272</v>
      </c>
      <c r="O3005" s="198" t="s">
        <v>2272</v>
      </c>
      <c r="P3005" s="198" t="s">
        <v>2272</v>
      </c>
      <c r="Q3005" s="198" t="s">
        <v>2272</v>
      </c>
      <c r="R3005" s="198" t="s">
        <v>2272</v>
      </c>
      <c r="S3005" s="198" t="s">
        <v>2272</v>
      </c>
      <c r="T3005" s="198" t="s">
        <v>2272</v>
      </c>
      <c r="U3005" s="198" t="s">
        <v>2272</v>
      </c>
      <c r="V3005" s="198" t="s">
        <v>2272</v>
      </c>
      <c r="W3005" s="198" t="s">
        <v>2272</v>
      </c>
      <c r="X3005" s="198" t="s">
        <v>2272</v>
      </c>
      <c r="Y3005" s="198" t="s">
        <v>2272</v>
      </c>
      <c r="Z3005" s="198" t="s">
        <v>2272</v>
      </c>
      <c r="AA3005" s="198" t="s">
        <v>2272</v>
      </c>
      <c r="AB3005" s="198"/>
      <c r="AC3005" s="198"/>
    </row>
    <row r="3006" spans="1:29" ht="36.5" customHeight="1">
      <c r="A3006" s="151" t="str">
        <f>'Reported burning'!A3006</f>
        <v>316a</v>
      </c>
      <c r="B3006" s="151" t="str">
        <f>'Reported burning'!B3006</f>
        <v>316a.1</v>
      </c>
      <c r="C3006" s="151" t="str">
        <f>'Reported burning'!C3006</f>
        <v>Human, deliberate</v>
      </c>
      <c r="D3006" s="151" t="str">
        <f>'Reported burning'!D3006</f>
        <v>Conservation</v>
      </c>
      <c r="E3006" s="151" t="str">
        <f>'Reported burning'!E3006</f>
        <v>Biodiversity conservation</v>
      </c>
      <c r="F3006" s="151" t="str">
        <f>'Reported burning'!F3006</f>
        <v>Shrubland (Mixed forest &amp; grassland)</v>
      </c>
      <c r="G3006" s="151" t="str">
        <f>'Reported burning'!G3006</f>
        <v>Shrubland (Mixed forest &amp; grassland)</v>
      </c>
      <c r="H3006" s="151" t="str">
        <f>'Reported burning'!H3006</f>
        <v>Presence</v>
      </c>
      <c r="I3006" s="5"/>
      <c r="J3006" s="198" t="s">
        <v>2272</v>
      </c>
      <c r="K3006" s="198" t="s">
        <v>2272</v>
      </c>
      <c r="L3006" s="198" t="s">
        <v>2272</v>
      </c>
      <c r="M3006" s="198" t="s">
        <v>2272</v>
      </c>
      <c r="N3006" s="198" t="s">
        <v>2272</v>
      </c>
      <c r="O3006" s="198" t="s">
        <v>2272</v>
      </c>
      <c r="P3006" s="198" t="s">
        <v>2272</v>
      </c>
      <c r="Q3006" s="198" t="s">
        <v>2272</v>
      </c>
      <c r="R3006" s="198" t="s">
        <v>2272</v>
      </c>
      <c r="S3006" s="198" t="s">
        <v>2272</v>
      </c>
      <c r="T3006" s="198" t="s">
        <v>2272</v>
      </c>
      <c r="U3006" s="198" t="s">
        <v>2272</v>
      </c>
      <c r="V3006" s="198" t="s">
        <v>2272</v>
      </c>
      <c r="W3006" s="198" t="s">
        <v>2272</v>
      </c>
      <c r="X3006" s="198" t="s">
        <v>2272</v>
      </c>
      <c r="Y3006" s="198" t="s">
        <v>2272</v>
      </c>
      <c r="Z3006" s="198" t="s">
        <v>2272</v>
      </c>
      <c r="AA3006" s="198" t="s">
        <v>2272</v>
      </c>
      <c r="AB3006" s="198"/>
      <c r="AC3006" s="198"/>
    </row>
    <row r="3007" spans="1:29" ht="36.5" customHeight="1">
      <c r="A3007" s="151" t="str">
        <f>'Reported burning'!A3007</f>
        <v>316b</v>
      </c>
      <c r="B3007" s="151" t="str">
        <f>'Reported burning'!B3007</f>
        <v>316b.1</v>
      </c>
      <c r="C3007" s="151" t="str">
        <f>'Reported burning'!C3007</f>
        <v>Human, deliberate</v>
      </c>
      <c r="D3007" s="151" t="str">
        <f>'Reported burning'!D3007</f>
        <v>Conservation</v>
      </c>
      <c r="E3007" s="151" t="str">
        <f>'Reported burning'!E3007</f>
        <v>Biodiversity conservation</v>
      </c>
      <c r="F3007" s="151" t="str">
        <f>'Reported burning'!F3007</f>
        <v>Shrubland (Mixed forest &amp; grassland)</v>
      </c>
      <c r="G3007" s="151" t="str">
        <f>'Reported burning'!G3007</f>
        <v>Shrubland (Mixed forest &amp; grassland)</v>
      </c>
      <c r="H3007" s="151" t="str">
        <f>'Reported burning'!H3007</f>
        <v>Presence</v>
      </c>
      <c r="I3007" s="5"/>
      <c r="J3007" s="198" t="s">
        <v>2272</v>
      </c>
      <c r="K3007" s="198" t="s">
        <v>2272</v>
      </c>
      <c r="L3007" s="198" t="s">
        <v>2272</v>
      </c>
      <c r="M3007" s="198" t="s">
        <v>2272</v>
      </c>
      <c r="N3007" s="198" t="s">
        <v>2272</v>
      </c>
      <c r="O3007" s="198" t="s">
        <v>2272</v>
      </c>
      <c r="P3007" s="198" t="s">
        <v>2272</v>
      </c>
      <c r="Q3007" s="198" t="s">
        <v>2272</v>
      </c>
      <c r="R3007" s="198" t="s">
        <v>2272</v>
      </c>
      <c r="S3007" s="198" t="s">
        <v>2272</v>
      </c>
      <c r="T3007" s="198" t="s">
        <v>2272</v>
      </c>
      <c r="U3007" s="198" t="s">
        <v>2272</v>
      </c>
      <c r="V3007" s="198" t="s">
        <v>2272</v>
      </c>
      <c r="W3007" s="198" t="s">
        <v>2272</v>
      </c>
      <c r="X3007" s="198" t="s">
        <v>2272</v>
      </c>
      <c r="Y3007" s="198" t="s">
        <v>2272</v>
      </c>
      <c r="Z3007" s="198" t="s">
        <v>2272</v>
      </c>
      <c r="AA3007" s="198" t="s">
        <v>2272</v>
      </c>
      <c r="AB3007" s="198"/>
      <c r="AC3007" s="198"/>
    </row>
    <row r="3008" spans="1:29" ht="36.5" customHeight="1">
      <c r="A3008" s="151" t="str">
        <f>'Reported burning'!A3008</f>
        <v>316c</v>
      </c>
      <c r="B3008" s="151" t="str">
        <f>'Reported burning'!B3008</f>
        <v>316c.1</v>
      </c>
      <c r="C3008" s="151" t="str">
        <f>'Reported burning'!C3008</f>
        <v>Human, deliberate</v>
      </c>
      <c r="D3008" s="151" t="str">
        <f>'Reported burning'!D3008</f>
        <v>Conservation</v>
      </c>
      <c r="E3008" s="151" t="str">
        <f>'Reported burning'!E3008</f>
        <v>Biodiversity conservation</v>
      </c>
      <c r="F3008" s="151" t="str">
        <f>'Reported burning'!F3008</f>
        <v>Shrubland (Mixed forest &amp; grassland)</v>
      </c>
      <c r="G3008" s="151" t="str">
        <f>'Reported burning'!G3008</f>
        <v>Shrubland (Mixed forest &amp; grassland)</v>
      </c>
      <c r="H3008" s="151" t="str">
        <f>'Reported burning'!H3008</f>
        <v>Presence</v>
      </c>
      <c r="I3008" s="5"/>
      <c r="J3008" s="198" t="s">
        <v>2272</v>
      </c>
      <c r="K3008" s="198" t="s">
        <v>2272</v>
      </c>
      <c r="L3008" s="198" t="s">
        <v>2272</v>
      </c>
      <c r="M3008" s="198" t="s">
        <v>2272</v>
      </c>
      <c r="N3008" s="198" t="s">
        <v>2272</v>
      </c>
      <c r="O3008" s="198" t="s">
        <v>2272</v>
      </c>
      <c r="P3008" s="198" t="s">
        <v>2272</v>
      </c>
      <c r="Q3008" s="198" t="s">
        <v>2272</v>
      </c>
      <c r="R3008" s="198" t="s">
        <v>2272</v>
      </c>
      <c r="S3008" s="198" t="s">
        <v>2272</v>
      </c>
      <c r="T3008" s="198" t="s">
        <v>2272</v>
      </c>
      <c r="U3008" s="198" t="s">
        <v>2272</v>
      </c>
      <c r="V3008" s="198" t="s">
        <v>2272</v>
      </c>
      <c r="W3008" s="198" t="s">
        <v>2272</v>
      </c>
      <c r="X3008" s="198" t="s">
        <v>2272</v>
      </c>
      <c r="Y3008" s="198" t="s">
        <v>2272</v>
      </c>
      <c r="Z3008" s="198" t="s">
        <v>2272</v>
      </c>
      <c r="AA3008" s="198" t="s">
        <v>2272</v>
      </c>
      <c r="AB3008" s="198"/>
      <c r="AC3008" s="198"/>
    </row>
    <row r="3009" spans="1:29" ht="30" customHeight="1">
      <c r="A3009" s="151" t="str">
        <f>'Reported burning'!A3009</f>
        <v>317a</v>
      </c>
      <c r="B3009" s="151" t="str">
        <f>'Reported burning'!B3009</f>
        <v>317a.1</v>
      </c>
      <c r="C3009" s="151" t="str">
        <f>'Reported burning'!C3009</f>
        <v>Human, deliberate</v>
      </c>
      <c r="D3009" s="151" t="str">
        <f>'Reported burning'!D3009</f>
        <v>Rangeland management</v>
      </c>
      <c r="E3009" s="151" t="str">
        <f>'Reported burning'!E3009</f>
        <v>Cattle, Extensive</v>
      </c>
      <c r="F3009" s="151" t="str">
        <f>'Reported burning'!F3009</f>
        <v>Shrubland (Mixed forest &amp; grassland)</v>
      </c>
      <c r="G3009" s="151" t="str">
        <f>'Reported burning'!G3009</f>
        <v>Shrubland (Mixed forest &amp; grassland)</v>
      </c>
      <c r="H3009" s="151" t="str">
        <f>'Reported burning'!H3009</f>
        <v>Presence</v>
      </c>
      <c r="I3009" s="5"/>
      <c r="J3009" s="198" t="s">
        <v>2272</v>
      </c>
      <c r="K3009" s="198" t="s">
        <v>2272</v>
      </c>
      <c r="L3009" s="198" t="s">
        <v>2272</v>
      </c>
      <c r="M3009" s="198" t="s">
        <v>2272</v>
      </c>
      <c r="N3009" s="198" t="s">
        <v>2272</v>
      </c>
      <c r="O3009" s="198" t="s">
        <v>2272</v>
      </c>
      <c r="P3009" s="198" t="s">
        <v>2272</v>
      </c>
      <c r="Q3009" s="198" t="s">
        <v>2272</v>
      </c>
      <c r="R3009" s="198" t="s">
        <v>2272</v>
      </c>
      <c r="S3009" s="198" t="s">
        <v>2272</v>
      </c>
      <c r="T3009" s="198" t="s">
        <v>2272</v>
      </c>
      <c r="U3009" s="198" t="s">
        <v>2272</v>
      </c>
      <c r="V3009" s="198" t="s">
        <v>2272</v>
      </c>
      <c r="W3009" s="198" t="s">
        <v>2272</v>
      </c>
      <c r="X3009" s="198" t="s">
        <v>2272</v>
      </c>
      <c r="Y3009" s="198" t="s">
        <v>2272</v>
      </c>
      <c r="Z3009" s="198" t="s">
        <v>2272</v>
      </c>
      <c r="AA3009" s="198" t="s">
        <v>2272</v>
      </c>
      <c r="AB3009" s="198"/>
      <c r="AC3009" s="198"/>
    </row>
    <row r="3010" spans="1:29" ht="30" customHeight="1">
      <c r="A3010" s="151" t="str">
        <f>'Reported burning'!A3010</f>
        <v>317a</v>
      </c>
      <c r="B3010" s="151" t="str">
        <f>'Reported burning'!B3010</f>
        <v>317a.2</v>
      </c>
      <c r="C3010" s="151" t="str">
        <f>'Reported burning'!C3010</f>
        <v>Human, escaped</v>
      </c>
      <c r="D3010" s="151" t="str">
        <f>'Reported burning'!D3010</f>
        <v>Rangeland management</v>
      </c>
      <c r="E3010" s="151" t="str">
        <f>'Reported burning'!E3010</f>
        <v>Cattle, Extensive</v>
      </c>
      <c r="F3010" s="151" t="str">
        <f>'Reported burning'!F3010</f>
        <v>Shrubland (Mixed forest &amp; grassland)</v>
      </c>
      <c r="G3010" s="151" t="str">
        <f>'Reported burning'!G3010</f>
        <v>Shrubland (Mixed forest &amp; grassland)</v>
      </c>
      <c r="H3010" s="151" t="str">
        <f>'Reported burning'!H3010</f>
        <v>Presence</v>
      </c>
      <c r="I3010" s="5"/>
      <c r="J3010" s="198" t="s">
        <v>2272</v>
      </c>
      <c r="K3010" s="198" t="s">
        <v>2272</v>
      </c>
      <c r="L3010" s="198" t="s">
        <v>2272</v>
      </c>
      <c r="M3010" s="198" t="s">
        <v>2272</v>
      </c>
      <c r="N3010" s="198" t="s">
        <v>2272</v>
      </c>
      <c r="O3010" s="198" t="s">
        <v>2272</v>
      </c>
      <c r="P3010" s="198" t="s">
        <v>2272</v>
      </c>
      <c r="Q3010" s="198" t="s">
        <v>2272</v>
      </c>
      <c r="R3010" s="198" t="s">
        <v>2272</v>
      </c>
      <c r="S3010" s="198" t="s">
        <v>2272</v>
      </c>
      <c r="T3010" s="198" t="s">
        <v>2272</v>
      </c>
      <c r="U3010" s="198" t="s">
        <v>2272</v>
      </c>
      <c r="V3010" s="198" t="s">
        <v>2272</v>
      </c>
      <c r="W3010" s="198" t="s">
        <v>2272</v>
      </c>
      <c r="X3010" s="198" t="s">
        <v>2272</v>
      </c>
      <c r="Y3010" s="198" t="s">
        <v>2272</v>
      </c>
      <c r="Z3010" s="198" t="s">
        <v>2272</v>
      </c>
      <c r="AA3010" s="198" t="s">
        <v>2272</v>
      </c>
      <c r="AB3010" s="198"/>
      <c r="AC3010" s="198"/>
    </row>
    <row r="3011" spans="1:29" ht="30" customHeight="1">
      <c r="A3011" s="151" t="str">
        <f>'Reported burning'!A3011</f>
        <v>318a</v>
      </c>
      <c r="B3011" s="151" t="str">
        <f>'Reported burning'!B3011</f>
        <v>318a.1</v>
      </c>
      <c r="C3011" s="151" t="str">
        <f>'Reported burning'!C3011</f>
        <v>Human, deliberate</v>
      </c>
      <c r="D3011" s="151" t="str">
        <f>'Reported burning'!D3011</f>
        <v>Conservation</v>
      </c>
      <c r="E3011" s="151" t="str">
        <f>'Reported burning'!E3011</f>
        <v>Biodiversity conservation</v>
      </c>
      <c r="F3011" s="151" t="str">
        <f>'Reported burning'!F3011</f>
        <v>Shrubland (Mixed forest &amp; grassland)</v>
      </c>
      <c r="G3011" s="151" t="str">
        <f>'Reported burning'!G3011</f>
        <v>Shrubland (Mixed forest &amp; grassland)</v>
      </c>
      <c r="H3011" s="151" t="str">
        <f>'Reported burning'!H3011</f>
        <v>Absence</v>
      </c>
      <c r="I3011" s="5"/>
      <c r="J3011" s="21" t="s">
        <v>2359</v>
      </c>
      <c r="K3011" s="21" t="s">
        <v>2359</v>
      </c>
      <c r="L3011" s="21" t="s">
        <v>2359</v>
      </c>
      <c r="M3011" s="21" t="s">
        <v>2359</v>
      </c>
      <c r="N3011" s="21" t="s">
        <v>2359</v>
      </c>
      <c r="O3011" s="21" t="s">
        <v>2359</v>
      </c>
      <c r="P3011" s="21" t="s">
        <v>2359</v>
      </c>
      <c r="Q3011" s="21" t="s">
        <v>2359</v>
      </c>
      <c r="R3011" s="21" t="s">
        <v>2359</v>
      </c>
      <c r="S3011" s="21" t="s">
        <v>2359</v>
      </c>
      <c r="T3011" s="21" t="s">
        <v>2359</v>
      </c>
      <c r="U3011" s="21" t="s">
        <v>2359</v>
      </c>
      <c r="V3011" s="21" t="s">
        <v>2359</v>
      </c>
      <c r="W3011" s="21" t="s">
        <v>2359</v>
      </c>
      <c r="X3011" s="198" t="s">
        <v>2272</v>
      </c>
      <c r="Y3011" s="198" t="s">
        <v>2272</v>
      </c>
      <c r="Z3011" s="198" t="s">
        <v>2272</v>
      </c>
      <c r="AA3011" s="198" t="s">
        <v>2272</v>
      </c>
      <c r="AB3011" s="198"/>
      <c r="AC3011" s="198"/>
    </row>
    <row r="3012" spans="1:29" ht="31" customHeight="1">
      <c r="A3012" s="151" t="str">
        <f>'Reported burning'!A3012</f>
        <v>318b</v>
      </c>
      <c r="B3012" s="151" t="str">
        <f>'Reported burning'!B3012</f>
        <v>318b.1</v>
      </c>
      <c r="C3012" s="151" t="str">
        <f>'Reported burning'!C3012</f>
        <v>Human, deliberate</v>
      </c>
      <c r="D3012" s="151" t="str">
        <f>'Reported burning'!D3012</f>
        <v>Rangeland management</v>
      </c>
      <c r="E3012" s="151" t="str">
        <f>'Reported burning'!E3012</f>
        <v>Cattle, Extensive</v>
      </c>
      <c r="F3012" s="151" t="str">
        <f>'Reported burning'!F3012</f>
        <v>Shrubland (Mixed forest &amp; grassland)</v>
      </c>
      <c r="G3012" s="151" t="str">
        <f>'Reported burning'!G3012</f>
        <v>Shrubland (Mixed forest &amp; grassland)</v>
      </c>
      <c r="H3012" s="151" t="str">
        <f>'Reported burning'!H3012</f>
        <v>Presence</v>
      </c>
      <c r="I3012" s="5"/>
      <c r="J3012" s="198" t="s">
        <v>2272</v>
      </c>
      <c r="K3012" s="198" t="s">
        <v>2272</v>
      </c>
      <c r="L3012" s="198" t="s">
        <v>2272</v>
      </c>
      <c r="M3012" s="198" t="s">
        <v>2272</v>
      </c>
      <c r="N3012" s="198" t="s">
        <v>2272</v>
      </c>
      <c r="O3012" s="198" t="s">
        <v>2272</v>
      </c>
      <c r="P3012" s="198" t="s">
        <v>2272</v>
      </c>
      <c r="Q3012" s="198" t="s">
        <v>2272</v>
      </c>
      <c r="R3012" s="198" t="s">
        <v>2272</v>
      </c>
      <c r="S3012" s="198" t="s">
        <v>2272</v>
      </c>
      <c r="T3012" s="198" t="s">
        <v>2272</v>
      </c>
      <c r="U3012" s="21" t="s">
        <v>2386</v>
      </c>
      <c r="V3012" s="198" t="s">
        <v>2272</v>
      </c>
      <c r="W3012" s="198" t="s">
        <v>2272</v>
      </c>
      <c r="X3012" s="198" t="s">
        <v>2272</v>
      </c>
      <c r="Y3012" s="198" t="s">
        <v>403</v>
      </c>
      <c r="Z3012" s="198" t="s">
        <v>423</v>
      </c>
      <c r="AA3012" s="198" t="s">
        <v>2272</v>
      </c>
      <c r="AB3012" s="198"/>
      <c r="AC3012" s="198"/>
    </row>
    <row r="3013" spans="1:29" ht="31" customHeight="1">
      <c r="A3013" s="151" t="str">
        <f>'Reported burning'!A3013</f>
        <v>318a</v>
      </c>
      <c r="B3013" s="151" t="str">
        <f>'Reported burning'!B3013</f>
        <v>318a.2</v>
      </c>
      <c r="C3013" s="151" t="str">
        <f>'Reported burning'!C3013</f>
        <v>Human, deliberate</v>
      </c>
      <c r="D3013" s="151" t="str">
        <f>'Reported burning'!D3013</f>
        <v>Rangeland management</v>
      </c>
      <c r="E3013" s="151" t="str">
        <f>'Reported burning'!E3013</f>
        <v>Cattle, Extensive</v>
      </c>
      <c r="F3013" s="151" t="str">
        <f>'Reported burning'!F3013</f>
        <v>Shrubland (Mixed forest &amp; grassland)</v>
      </c>
      <c r="G3013" s="151" t="str">
        <f>'Reported burning'!G3013</f>
        <v>Shrubland (Mixed forest &amp; grassland)</v>
      </c>
      <c r="H3013" s="151" t="str">
        <f>'Reported burning'!H3013</f>
        <v>Absence</v>
      </c>
      <c r="I3013" s="5"/>
      <c r="J3013" s="21">
        <v>0</v>
      </c>
      <c r="K3013" s="21">
        <v>0</v>
      </c>
      <c r="L3013" s="21">
        <v>0</v>
      </c>
      <c r="M3013" s="21">
        <v>0</v>
      </c>
      <c r="N3013" s="21">
        <v>0</v>
      </c>
      <c r="O3013" s="21">
        <v>0</v>
      </c>
      <c r="P3013" s="21">
        <v>0</v>
      </c>
      <c r="Q3013" s="21">
        <v>0</v>
      </c>
      <c r="R3013" s="21">
        <v>0</v>
      </c>
      <c r="S3013" s="21">
        <v>0</v>
      </c>
      <c r="T3013" s="21">
        <v>0</v>
      </c>
      <c r="U3013" s="21">
        <v>0</v>
      </c>
      <c r="V3013" s="21">
        <v>0</v>
      </c>
      <c r="W3013" s="198" t="s">
        <v>2272</v>
      </c>
      <c r="X3013" s="198" t="s">
        <v>2272</v>
      </c>
      <c r="Y3013" s="198" t="s">
        <v>2272</v>
      </c>
      <c r="Z3013" s="198" t="s">
        <v>2272</v>
      </c>
      <c r="AA3013" s="198" t="s">
        <v>2272</v>
      </c>
      <c r="AB3013" s="198"/>
      <c r="AC3013" s="198"/>
    </row>
    <row r="3014" spans="1:29" ht="48.5" customHeight="1">
      <c r="A3014" s="151" t="str">
        <f>'Reported burning'!A3014</f>
        <v>319a</v>
      </c>
      <c r="B3014" s="151" t="str">
        <f>'Reported burning'!B3014</f>
        <v>319a.1</v>
      </c>
      <c r="C3014" s="151" t="str">
        <f>'Reported burning'!C3014</f>
        <v>Human, deliberate</v>
      </c>
      <c r="D3014" s="151" t="str">
        <f>'Reported burning'!D3014</f>
        <v>Hunting</v>
      </c>
      <c r="E3014" s="151" t="str">
        <f>'Reported burning'!E3014</f>
        <v>Forestry, Traditional</v>
      </c>
      <c r="F3014" s="151" t="str">
        <f>'Reported burning'!F3014</f>
        <v>Shrubland (Mixed forest &amp; grassland)</v>
      </c>
      <c r="G3014" s="151" t="str">
        <f>'Reported burning'!G3014</f>
        <v>Shrubland (Mixed forest &amp; grassland)</v>
      </c>
      <c r="H3014" s="151" t="str">
        <f>'Reported burning'!H3014</f>
        <v>Presence</v>
      </c>
      <c r="I3014" s="5"/>
      <c r="J3014" s="198" t="s">
        <v>2272</v>
      </c>
      <c r="K3014" s="198" t="s">
        <v>2272</v>
      </c>
      <c r="L3014" s="198" t="s">
        <v>2272</v>
      </c>
      <c r="M3014" s="198" t="s">
        <v>2272</v>
      </c>
      <c r="N3014" s="198" t="s">
        <v>2272</v>
      </c>
      <c r="O3014" s="21" t="s">
        <v>2379</v>
      </c>
      <c r="P3014" s="198" t="s">
        <v>2272</v>
      </c>
      <c r="Q3014" s="198" t="s">
        <v>2272</v>
      </c>
      <c r="R3014" s="198" t="s">
        <v>2272</v>
      </c>
      <c r="S3014" s="198" t="s">
        <v>2272</v>
      </c>
      <c r="T3014" s="198" t="s">
        <v>2272</v>
      </c>
      <c r="U3014" s="198" t="s">
        <v>2272</v>
      </c>
      <c r="V3014" s="198" t="s">
        <v>2272</v>
      </c>
      <c r="W3014" s="198" t="s">
        <v>2272</v>
      </c>
      <c r="X3014" s="198" t="s">
        <v>2272</v>
      </c>
      <c r="Y3014" s="198" t="s">
        <v>402</v>
      </c>
      <c r="Z3014" s="198" t="s">
        <v>423</v>
      </c>
      <c r="AA3014" s="198" t="s">
        <v>2272</v>
      </c>
      <c r="AB3014" s="198"/>
      <c r="AC3014" s="4" t="s">
        <v>8023</v>
      </c>
    </row>
    <row r="3015" spans="1:29" ht="48.5" customHeight="1">
      <c r="A3015" s="151" t="str">
        <f>'Reported burning'!A3015</f>
        <v>319a</v>
      </c>
      <c r="B3015" s="151" t="str">
        <f>'Reported burning'!B3015</f>
        <v>319a.2</v>
      </c>
      <c r="C3015" s="151" t="str">
        <f>'Reported burning'!C3015</f>
        <v>Human, deliberate</v>
      </c>
      <c r="D3015" s="151" t="str">
        <f>'Reported burning'!D3015</f>
        <v>Cultural &amp; Spiritual</v>
      </c>
      <c r="E3015" s="151" t="str">
        <f>'Reported burning'!E3015</f>
        <v>Forestry, Traditional</v>
      </c>
      <c r="F3015" s="151" t="str">
        <f>'Reported burning'!F3015</f>
        <v>Shrubland (Mixed forest &amp; grassland)</v>
      </c>
      <c r="G3015" s="151" t="str">
        <f>'Reported burning'!G3015</f>
        <v>Shrubland (Mixed forest &amp; grassland)</v>
      </c>
      <c r="H3015" s="151" t="str">
        <f>'Reported burning'!H3015</f>
        <v>Presence</v>
      </c>
      <c r="I3015" s="5"/>
      <c r="J3015" s="198" t="s">
        <v>2272</v>
      </c>
      <c r="K3015" s="198" t="s">
        <v>2272</v>
      </c>
      <c r="L3015" s="198" t="s">
        <v>2272</v>
      </c>
      <c r="M3015" s="198" t="s">
        <v>2272</v>
      </c>
      <c r="N3015" s="198" t="s">
        <v>2272</v>
      </c>
      <c r="O3015" s="198" t="s">
        <v>2272</v>
      </c>
      <c r="P3015" s="198" t="s">
        <v>2272</v>
      </c>
      <c r="Q3015" s="198" t="s">
        <v>2272</v>
      </c>
      <c r="R3015" s="198" t="s">
        <v>2272</v>
      </c>
      <c r="S3015" s="198" t="s">
        <v>2272</v>
      </c>
      <c r="T3015" s="198" t="s">
        <v>2272</v>
      </c>
      <c r="U3015" s="198" t="s">
        <v>2272</v>
      </c>
      <c r="V3015" s="198" t="s">
        <v>2272</v>
      </c>
      <c r="W3015" s="198" t="s">
        <v>2272</v>
      </c>
      <c r="X3015" s="198" t="s">
        <v>2272</v>
      </c>
      <c r="Y3015" s="198" t="s">
        <v>402</v>
      </c>
      <c r="Z3015" s="198" t="s">
        <v>423</v>
      </c>
      <c r="AA3015" s="198" t="s">
        <v>2272</v>
      </c>
      <c r="AB3015" s="198"/>
      <c r="AC3015" s="198"/>
    </row>
    <row r="3016" spans="1:29" ht="48.5" customHeight="1">
      <c r="A3016" s="151" t="str">
        <f>'Reported burning'!A3016</f>
        <v>320a</v>
      </c>
      <c r="B3016" s="151" t="str">
        <f>'Reported burning'!B3016</f>
        <v>320a.1</v>
      </c>
      <c r="C3016" s="151" t="str">
        <f>'Reported burning'!C3016</f>
        <v>Human, deliberate</v>
      </c>
      <c r="D3016" s="151" t="str">
        <f>'Reported burning'!D3016</f>
        <v>Rangeland management</v>
      </c>
      <c r="E3016" s="151" t="str">
        <f>'Reported burning'!E3016</f>
        <v>Cattle, Intensive</v>
      </c>
      <c r="F3016" s="151" t="str">
        <f>'Reported burning'!F3016</f>
        <v>Shrubland (Mixed forest &amp; grassland)</v>
      </c>
      <c r="G3016" s="151" t="str">
        <f>'Reported burning'!G3016</f>
        <v>Shrubland (Mixed forest &amp; grassland)</v>
      </c>
      <c r="H3016" s="151" t="str">
        <f>'Reported burning'!H3016</f>
        <v>Presence</v>
      </c>
      <c r="I3016" s="5"/>
      <c r="J3016" s="198" t="s">
        <v>2272</v>
      </c>
      <c r="K3016" s="198" t="s">
        <v>2272</v>
      </c>
      <c r="L3016" s="198" t="s">
        <v>2272</v>
      </c>
      <c r="M3016" s="198" t="s">
        <v>2272</v>
      </c>
      <c r="N3016" s="198" t="s">
        <v>2272</v>
      </c>
      <c r="O3016" s="198" t="s">
        <v>2272</v>
      </c>
      <c r="P3016" s="198" t="s">
        <v>2272</v>
      </c>
      <c r="Q3016" s="198" t="s">
        <v>2272</v>
      </c>
      <c r="R3016" s="198" t="s">
        <v>2272</v>
      </c>
      <c r="S3016" s="198" t="s">
        <v>2272</v>
      </c>
      <c r="T3016" s="198" t="s">
        <v>2272</v>
      </c>
      <c r="U3016" s="198" t="s">
        <v>2272</v>
      </c>
      <c r="V3016" s="198" t="s">
        <v>2272</v>
      </c>
      <c r="W3016" s="198" t="s">
        <v>2272</v>
      </c>
      <c r="X3016" s="198" t="s">
        <v>2272</v>
      </c>
      <c r="Y3016" s="198" t="s">
        <v>2272</v>
      </c>
      <c r="Z3016" s="198" t="s">
        <v>2272</v>
      </c>
      <c r="AA3016" s="198" t="s">
        <v>2272</v>
      </c>
      <c r="AB3016" s="4" t="s">
        <v>8032</v>
      </c>
      <c r="AC3016" s="198"/>
    </row>
    <row r="3017" spans="1:29" ht="48.5" customHeight="1">
      <c r="A3017" s="151" t="str">
        <f>'Reported burning'!A3017</f>
        <v>320b</v>
      </c>
      <c r="B3017" s="151" t="str">
        <f>'Reported burning'!B3017</f>
        <v>320b.1</v>
      </c>
      <c r="C3017" s="151" t="str">
        <f>'Reported burning'!C3017</f>
        <v>Human, deliberate</v>
      </c>
      <c r="D3017" s="151" t="str">
        <f>'Reported burning'!D3017</f>
        <v>Rangeland management</v>
      </c>
      <c r="E3017" s="151" t="str">
        <f>'Reported burning'!E3017</f>
        <v>Cattle, Extensive</v>
      </c>
      <c r="F3017" s="151" t="str">
        <f>'Reported burning'!F3017</f>
        <v>Shrubland (Mixed forest &amp; grassland)</v>
      </c>
      <c r="G3017" s="151" t="str">
        <f>'Reported burning'!G3017</f>
        <v>Shrubland (Mixed forest &amp; grassland)</v>
      </c>
      <c r="H3017" s="151" t="str">
        <f>'Reported burning'!H3017</f>
        <v>Presence</v>
      </c>
      <c r="I3017" s="5"/>
      <c r="J3017" s="198" t="s">
        <v>2272</v>
      </c>
      <c r="K3017" s="198" t="s">
        <v>2272</v>
      </c>
      <c r="L3017" s="198" t="s">
        <v>2272</v>
      </c>
      <c r="M3017" s="198" t="s">
        <v>2272</v>
      </c>
      <c r="N3017" s="198" t="s">
        <v>2272</v>
      </c>
      <c r="O3017" s="198" t="s">
        <v>2272</v>
      </c>
      <c r="P3017" s="198" t="s">
        <v>2272</v>
      </c>
      <c r="Q3017" s="198" t="s">
        <v>2272</v>
      </c>
      <c r="R3017" s="198" t="s">
        <v>2272</v>
      </c>
      <c r="S3017" s="198" t="s">
        <v>2272</v>
      </c>
      <c r="T3017" s="198" t="s">
        <v>2272</v>
      </c>
      <c r="U3017" s="198" t="s">
        <v>2272</v>
      </c>
      <c r="V3017" s="198" t="s">
        <v>2272</v>
      </c>
      <c r="W3017" s="198" t="s">
        <v>2272</v>
      </c>
      <c r="X3017" s="198" t="s">
        <v>2272</v>
      </c>
      <c r="Y3017" s="198" t="s">
        <v>2272</v>
      </c>
      <c r="Z3017" s="198" t="s">
        <v>2272</v>
      </c>
      <c r="AA3017" s="198" t="s">
        <v>2272</v>
      </c>
      <c r="AB3017" s="4" t="s">
        <v>8032</v>
      </c>
      <c r="AC3017" s="198"/>
    </row>
    <row r="3018" spans="1:29" ht="48.5" customHeight="1">
      <c r="A3018" s="151" t="str">
        <f>'Reported burning'!A3018</f>
        <v>321a</v>
      </c>
      <c r="B3018" s="151" t="str">
        <f>'Reported burning'!B3018</f>
        <v>321a.1</v>
      </c>
      <c r="C3018" s="151" t="str">
        <f>'Reported burning'!C3018</f>
        <v>Human, deliberate</v>
      </c>
      <c r="D3018" s="151" t="str">
        <f>'Reported burning'!D3018</f>
        <v>Pasture renewal</v>
      </c>
      <c r="E3018" s="151" t="str">
        <f>'Reported burning'!E3018</f>
        <v>Cattle, Extensive</v>
      </c>
      <c r="F3018" s="151" t="str">
        <f>'Reported burning'!F3018</f>
        <v>Pasture</v>
      </c>
      <c r="G3018" s="151" t="str">
        <f>'Reported burning'!G3018</f>
        <v>Pasture</v>
      </c>
      <c r="H3018" s="151" t="str">
        <f>'Reported burning'!H3018</f>
        <v>Presence</v>
      </c>
      <c r="I3018" s="5"/>
      <c r="J3018" s="198" t="s">
        <v>2272</v>
      </c>
      <c r="K3018" s="198" t="s">
        <v>2272</v>
      </c>
      <c r="L3018" s="198" t="s">
        <v>2272</v>
      </c>
      <c r="M3018" s="198" t="s">
        <v>2272</v>
      </c>
      <c r="N3018" s="198" t="s">
        <v>2272</v>
      </c>
      <c r="O3018" s="198" t="s">
        <v>2272</v>
      </c>
      <c r="P3018" s="198" t="s">
        <v>2272</v>
      </c>
      <c r="Q3018" s="198" t="s">
        <v>2272</v>
      </c>
      <c r="R3018" s="198" t="s">
        <v>2272</v>
      </c>
      <c r="S3018" s="198" t="s">
        <v>2272</v>
      </c>
      <c r="T3018" s="198" t="s">
        <v>2272</v>
      </c>
      <c r="U3018" s="198" t="s">
        <v>2272</v>
      </c>
      <c r="V3018" s="198" t="s">
        <v>2272</v>
      </c>
      <c r="W3018" s="198" t="s">
        <v>2272</v>
      </c>
      <c r="X3018" s="198" t="s">
        <v>2272</v>
      </c>
      <c r="Y3018" s="198" t="s">
        <v>2272</v>
      </c>
      <c r="Z3018" s="198" t="s">
        <v>2272</v>
      </c>
      <c r="AA3018" s="198" t="s">
        <v>2272</v>
      </c>
      <c r="AB3018" s="198"/>
      <c r="AC3018" s="198"/>
    </row>
    <row r="3019" spans="1:29" ht="48.5" customHeight="1">
      <c r="A3019" s="151" t="str">
        <f>'Reported burning'!A3019</f>
        <v>321a</v>
      </c>
      <c r="B3019" s="151" t="str">
        <f>'Reported burning'!B3019</f>
        <v>321a.2</v>
      </c>
      <c r="C3019" s="151" t="str">
        <f>'Reported burning'!C3019</f>
        <v>Human, deliberate</v>
      </c>
      <c r="D3019" s="151" t="str">
        <f>'Reported burning'!D3019</f>
        <v>Forest clearance</v>
      </c>
      <c r="E3019" s="151" t="str">
        <f>'Reported burning'!E3019</f>
        <v>Cattle, Extensive</v>
      </c>
      <c r="F3019" s="151" t="str">
        <f>'Reported burning'!F3019</f>
        <v>Forest</v>
      </c>
      <c r="G3019" s="151" t="str">
        <f>'Reported burning'!G3019</f>
        <v>Forest</v>
      </c>
      <c r="H3019" s="151" t="str">
        <f>'Reported burning'!H3019</f>
        <v>Presence</v>
      </c>
      <c r="I3019" s="5"/>
      <c r="J3019" s="198" t="s">
        <v>2272</v>
      </c>
      <c r="K3019" s="198" t="s">
        <v>2272</v>
      </c>
      <c r="L3019" s="198" t="s">
        <v>2272</v>
      </c>
      <c r="M3019" s="198" t="s">
        <v>2272</v>
      </c>
      <c r="N3019" s="198" t="s">
        <v>2272</v>
      </c>
      <c r="O3019" s="198" t="s">
        <v>2272</v>
      </c>
      <c r="P3019" s="198" t="s">
        <v>2272</v>
      </c>
      <c r="Q3019" s="198" t="s">
        <v>2272</v>
      </c>
      <c r="R3019" s="198" t="s">
        <v>2272</v>
      </c>
      <c r="S3019" s="198" t="s">
        <v>2272</v>
      </c>
      <c r="T3019" s="198" t="s">
        <v>2272</v>
      </c>
      <c r="U3019" s="198" t="s">
        <v>2272</v>
      </c>
      <c r="V3019" s="198" t="s">
        <v>2272</v>
      </c>
      <c r="W3019" s="198" t="s">
        <v>2272</v>
      </c>
      <c r="X3019" s="198" t="s">
        <v>2272</v>
      </c>
      <c r="Y3019" s="198" t="s">
        <v>2272</v>
      </c>
      <c r="Z3019" s="198" t="s">
        <v>2272</v>
      </c>
      <c r="AA3019" s="198" t="s">
        <v>2272</v>
      </c>
      <c r="AB3019" s="198"/>
      <c r="AC3019" s="198"/>
    </row>
    <row r="3020" spans="1:29" ht="48.5" customHeight="1">
      <c r="A3020" s="151" t="str">
        <f>'Reported burning'!A3020</f>
        <v>321a</v>
      </c>
      <c r="B3020" s="151" t="str">
        <f>'Reported burning'!B3020</f>
        <v>321a.3</v>
      </c>
      <c r="C3020" s="151" t="str">
        <f>'Reported burning'!C3020</f>
        <v>Human, escaped</v>
      </c>
      <c r="D3020" s="151" t="str">
        <f>'Reported burning'!D3020</f>
        <v>Pasture renewal</v>
      </c>
      <c r="E3020" s="151" t="str">
        <f>'Reported burning'!E3020</f>
        <v>Cattle, Extensive</v>
      </c>
      <c r="F3020" s="151" t="str">
        <f>'Reported burning'!F3020</f>
        <v>Pasture</v>
      </c>
      <c r="G3020" s="151" t="str">
        <f>'Reported burning'!G3020</f>
        <v>Forest</v>
      </c>
      <c r="H3020" s="151" t="str">
        <f>'Reported burning'!H3020</f>
        <v>Presence</v>
      </c>
      <c r="I3020" s="5"/>
      <c r="J3020" s="198" t="s">
        <v>2272</v>
      </c>
      <c r="K3020" s="198" t="s">
        <v>2272</v>
      </c>
      <c r="L3020" s="198" t="s">
        <v>2272</v>
      </c>
      <c r="M3020" s="198" t="s">
        <v>2272</v>
      </c>
      <c r="N3020" s="198" t="s">
        <v>2272</v>
      </c>
      <c r="O3020" s="198" t="s">
        <v>2272</v>
      </c>
      <c r="P3020" s="198" t="s">
        <v>2272</v>
      </c>
      <c r="Q3020" s="198" t="s">
        <v>2272</v>
      </c>
      <c r="R3020" s="198" t="s">
        <v>2272</v>
      </c>
      <c r="S3020" s="198" t="s">
        <v>2272</v>
      </c>
      <c r="T3020" s="198" t="s">
        <v>2272</v>
      </c>
      <c r="U3020" s="198" t="s">
        <v>2272</v>
      </c>
      <c r="V3020" s="198" t="s">
        <v>2272</v>
      </c>
      <c r="W3020" s="198" t="s">
        <v>2272</v>
      </c>
      <c r="X3020" s="198" t="s">
        <v>2272</v>
      </c>
      <c r="Y3020" s="198" t="s">
        <v>2272</v>
      </c>
      <c r="Z3020" s="198" t="s">
        <v>2272</v>
      </c>
      <c r="AA3020" s="198" t="s">
        <v>2272</v>
      </c>
      <c r="AB3020" s="4" t="s">
        <v>8049</v>
      </c>
      <c r="AC3020" s="198"/>
    </row>
    <row r="3021" spans="1:29" ht="48.5" customHeight="1">
      <c r="A3021" s="147" t="str">
        <f>'Reported burning'!A3021</f>
        <v>322a</v>
      </c>
      <c r="B3021" s="147" t="str">
        <f>'Reported burning'!B3021</f>
        <v>322a.1</v>
      </c>
      <c r="C3021" s="147" t="str">
        <f>'Reported burning'!C3021</f>
        <v>Human, deliberate</v>
      </c>
      <c r="D3021" s="147" t="str">
        <f>'Reported burning'!D3021</f>
        <v>Conservation</v>
      </c>
      <c r="E3021" s="147" t="str">
        <f>'Reported burning'!E3021</f>
        <v>Biodiversity conservation</v>
      </c>
      <c r="F3021" s="147" t="str">
        <f>'Reported burning'!F3021</f>
        <v>Shrubland (Mixed forest &amp; grassland)</v>
      </c>
      <c r="G3021" s="147" t="str">
        <f>'Reported burning'!G3021</f>
        <v>Shrubland (Mixed forest &amp; grassland)</v>
      </c>
      <c r="H3021" s="147" t="str">
        <f>'Reported burning'!H3021</f>
        <v>Presence</v>
      </c>
      <c r="I3021" s="198"/>
      <c r="J3021" s="198" t="s">
        <v>2272</v>
      </c>
      <c r="K3021" s="198" t="s">
        <v>2272</v>
      </c>
      <c r="L3021" s="198" t="s">
        <v>2272</v>
      </c>
      <c r="M3021" s="198" t="s">
        <v>2272</v>
      </c>
      <c r="N3021" s="198" t="s">
        <v>2272</v>
      </c>
      <c r="O3021" s="198" t="s">
        <v>2272</v>
      </c>
      <c r="P3021" s="198" t="s">
        <v>2272</v>
      </c>
      <c r="Q3021" s="198" t="s">
        <v>2272</v>
      </c>
      <c r="R3021" s="198" t="s">
        <v>2272</v>
      </c>
      <c r="S3021" s="198" t="s">
        <v>2272</v>
      </c>
      <c r="T3021" s="198" t="s">
        <v>2272</v>
      </c>
      <c r="U3021" s="198" t="s">
        <v>2272</v>
      </c>
      <c r="V3021" s="198" t="s">
        <v>2272</v>
      </c>
      <c r="W3021" s="198" t="s">
        <v>2272</v>
      </c>
      <c r="X3021" s="198" t="s">
        <v>2272</v>
      </c>
      <c r="Y3021" s="198" t="s">
        <v>2272</v>
      </c>
      <c r="Z3021" s="198" t="s">
        <v>2272</v>
      </c>
      <c r="AA3021" s="198" t="s">
        <v>2272</v>
      </c>
      <c r="AB3021" s="4"/>
      <c r="AC3021" s="198"/>
    </row>
    <row r="3022" spans="1:29" ht="48.5" customHeight="1">
      <c r="A3022" s="147" t="str">
        <f>'Reported burning'!A3022</f>
        <v>323a</v>
      </c>
      <c r="B3022" s="147" t="str">
        <f>'Reported burning'!B3022</f>
        <v>323a.1</v>
      </c>
      <c r="C3022" s="147" t="str">
        <f>'Reported burning'!C3022</f>
        <v>Human, deliberate</v>
      </c>
      <c r="D3022" s="147" t="str">
        <f>'Reported burning'!D3022</f>
        <v>Pasture renewal</v>
      </c>
      <c r="E3022" s="147" t="str">
        <f>'Reported burning'!E3022</f>
        <v>Cattle, Extensive</v>
      </c>
      <c r="F3022" s="147" t="str">
        <f>'Reported burning'!F3022</f>
        <v>Shrubland (Mixed forest &amp; grassland)</v>
      </c>
      <c r="G3022" s="147" t="str">
        <f>'Reported burning'!G3022</f>
        <v>ND</v>
      </c>
      <c r="H3022" s="147" t="str">
        <f>'Reported burning'!H3022</f>
        <v>Presence</v>
      </c>
      <c r="I3022" s="198"/>
      <c r="J3022" s="198" t="s">
        <v>2272</v>
      </c>
      <c r="K3022" s="198" t="s">
        <v>2272</v>
      </c>
      <c r="L3022" s="198" t="s">
        <v>2272</v>
      </c>
      <c r="M3022" s="198" t="s">
        <v>2272</v>
      </c>
      <c r="N3022" s="198" t="s">
        <v>2272</v>
      </c>
      <c r="O3022" s="198" t="s">
        <v>2272</v>
      </c>
      <c r="P3022" s="198" t="s">
        <v>2272</v>
      </c>
      <c r="Q3022" s="198" t="s">
        <v>2272</v>
      </c>
      <c r="R3022" s="198" t="s">
        <v>2272</v>
      </c>
      <c r="S3022" s="198" t="s">
        <v>2272</v>
      </c>
      <c r="T3022" s="198" t="s">
        <v>2272</v>
      </c>
      <c r="U3022" s="198" t="s">
        <v>2272</v>
      </c>
      <c r="V3022" s="198" t="s">
        <v>2272</v>
      </c>
      <c r="W3022" s="198" t="s">
        <v>2272</v>
      </c>
      <c r="X3022" s="21" t="s">
        <v>2396</v>
      </c>
      <c r="Y3022" s="198" t="s">
        <v>2272</v>
      </c>
      <c r="Z3022" s="198" t="s">
        <v>2272</v>
      </c>
      <c r="AA3022" s="198" t="s">
        <v>2272</v>
      </c>
      <c r="AB3022" s="198"/>
      <c r="AC3022" s="198"/>
    </row>
    <row r="3023" spans="1:29" ht="38" customHeight="1">
      <c r="A3023" s="147" t="str">
        <f>'Reported burning'!A3023</f>
        <v>324a</v>
      </c>
      <c r="B3023" s="147" t="str">
        <f>'Reported burning'!B3023</f>
        <v>324a.1</v>
      </c>
      <c r="C3023" s="147" t="str">
        <f>'Reported burning'!C3023</f>
        <v>Human, deliberate</v>
      </c>
      <c r="D3023" s="147" t="str">
        <f>'Reported burning'!D3023</f>
        <v>Pasture renewal</v>
      </c>
      <c r="E3023" s="147" t="str">
        <f>'Reported burning'!E3023</f>
        <v>Cattle, Extensive</v>
      </c>
      <c r="F3023" s="147" t="str">
        <f>'Reported burning'!F3023</f>
        <v>Shrubland (Mixed forest &amp; grassland)</v>
      </c>
      <c r="G3023" s="147" t="str">
        <f>'Reported burning'!G3023</f>
        <v>ND</v>
      </c>
      <c r="H3023" s="147" t="str">
        <f>'Reported burning'!H3023</f>
        <v>Presence</v>
      </c>
      <c r="I3023" s="198"/>
      <c r="J3023" s="198" t="s">
        <v>2272</v>
      </c>
      <c r="K3023" s="21" t="s">
        <v>2365</v>
      </c>
      <c r="L3023" s="198" t="s">
        <v>2272</v>
      </c>
      <c r="M3023" s="198" t="s">
        <v>2272</v>
      </c>
      <c r="N3023" s="198" t="s">
        <v>2272</v>
      </c>
      <c r="O3023" s="198" t="s">
        <v>2272</v>
      </c>
      <c r="P3023" s="198" t="s">
        <v>2272</v>
      </c>
      <c r="Q3023" s="198" t="s">
        <v>2272</v>
      </c>
      <c r="R3023" s="198" t="s">
        <v>2272</v>
      </c>
      <c r="S3023" s="198" t="s">
        <v>2272</v>
      </c>
      <c r="T3023" s="198" t="s">
        <v>2272</v>
      </c>
      <c r="U3023" s="198" t="s">
        <v>2272</v>
      </c>
      <c r="V3023" s="198" t="s">
        <v>2272</v>
      </c>
      <c r="W3023" s="198" t="s">
        <v>2272</v>
      </c>
      <c r="X3023" s="198" t="s">
        <v>2272</v>
      </c>
      <c r="Y3023" s="198" t="s">
        <v>2272</v>
      </c>
      <c r="Z3023" s="198" t="s">
        <v>2272</v>
      </c>
      <c r="AA3023" s="198" t="s">
        <v>2272</v>
      </c>
      <c r="AB3023" s="198"/>
      <c r="AC3023" s="4" t="s">
        <v>8069</v>
      </c>
    </row>
    <row r="3024" spans="1:29" ht="47" customHeight="1">
      <c r="A3024" s="147" t="str">
        <f>'Reported burning'!A3024</f>
        <v>324a</v>
      </c>
      <c r="B3024" s="147" t="str">
        <f>'Reported burning'!B3024</f>
        <v>324a.2</v>
      </c>
      <c r="C3024" s="147" t="str">
        <f>'Reported burning'!C3024</f>
        <v>Human, deliberate</v>
      </c>
      <c r="D3024" s="147" t="str">
        <f>'Reported burning'!D3024</f>
        <v>Pasture renewal</v>
      </c>
      <c r="E3024" s="147" t="str">
        <f>'Reported burning'!E3024</f>
        <v>Mixed cropping-livestock small holder, Market-oriented</v>
      </c>
      <c r="F3024" s="147" t="str">
        <f>'Reported burning'!F3024</f>
        <v>Shrubland (Mixed forest &amp; grassland)</v>
      </c>
      <c r="G3024" s="147" t="str">
        <f>'Reported burning'!G3024</f>
        <v>ND</v>
      </c>
      <c r="H3024" s="147" t="str">
        <f>'Reported burning'!H3024</f>
        <v>Presence</v>
      </c>
      <c r="I3024" s="198"/>
      <c r="J3024" s="198" t="s">
        <v>2272</v>
      </c>
      <c r="K3024" s="21" t="s">
        <v>2365</v>
      </c>
      <c r="L3024" s="198" t="s">
        <v>2272</v>
      </c>
      <c r="M3024" s="198" t="s">
        <v>2272</v>
      </c>
      <c r="N3024" s="198" t="s">
        <v>2272</v>
      </c>
      <c r="O3024" s="198" t="s">
        <v>2272</v>
      </c>
      <c r="P3024" s="198" t="s">
        <v>2272</v>
      </c>
      <c r="Q3024" s="198" t="s">
        <v>2272</v>
      </c>
      <c r="R3024" s="198" t="s">
        <v>2272</v>
      </c>
      <c r="S3024" s="198" t="s">
        <v>2272</v>
      </c>
      <c r="T3024" s="198" t="s">
        <v>2272</v>
      </c>
      <c r="U3024" s="198" t="s">
        <v>2272</v>
      </c>
      <c r="V3024" s="198" t="s">
        <v>2272</v>
      </c>
      <c r="W3024" s="198" t="s">
        <v>2272</v>
      </c>
      <c r="X3024" s="198" t="s">
        <v>2272</v>
      </c>
      <c r="Y3024" s="198" t="s">
        <v>2272</v>
      </c>
      <c r="Z3024" s="198" t="s">
        <v>2272</v>
      </c>
      <c r="AA3024" s="198" t="s">
        <v>2272</v>
      </c>
      <c r="AB3024" s="198"/>
      <c r="AC3024" s="4" t="s">
        <v>8069</v>
      </c>
    </row>
    <row r="3025" spans="1:29" ht="39.5" customHeight="1">
      <c r="A3025" s="151" t="str">
        <f>'Reported burning'!A3025</f>
        <v>325a</v>
      </c>
      <c r="B3025" s="151" t="str">
        <f>'Reported burning'!B3025</f>
        <v>325a.1</v>
      </c>
      <c r="C3025" s="151" t="str">
        <f>'Reported burning'!C3025</f>
        <v>Human, deliberate</v>
      </c>
      <c r="D3025" s="151" t="str">
        <f>'Reported burning'!D3025</f>
        <v>Rangeland management</v>
      </c>
      <c r="E3025" s="151" t="str">
        <f>'Reported burning'!E3025</f>
        <v>Pastoralism, Migratory</v>
      </c>
      <c r="F3025" s="151" t="str">
        <f>'Reported burning'!F3025</f>
        <v>Shrubland (Mixed forest &amp; grassland)</v>
      </c>
      <c r="G3025" s="151" t="str">
        <f>'Reported burning'!G3025</f>
        <v>ND</v>
      </c>
      <c r="H3025" s="151" t="str">
        <f>'Reported burning'!H3025</f>
        <v>Presence</v>
      </c>
      <c r="I3025" s="5"/>
      <c r="J3025" s="198" t="s">
        <v>2272</v>
      </c>
      <c r="K3025" s="198" t="s">
        <v>2272</v>
      </c>
      <c r="L3025" s="198" t="s">
        <v>2272</v>
      </c>
      <c r="M3025" s="198" t="s">
        <v>2272</v>
      </c>
      <c r="N3025" s="198" t="s">
        <v>2272</v>
      </c>
      <c r="O3025" s="198" t="s">
        <v>2272</v>
      </c>
      <c r="P3025" s="198" t="s">
        <v>2272</v>
      </c>
      <c r="Q3025" s="198" t="s">
        <v>2272</v>
      </c>
      <c r="R3025" s="198" t="s">
        <v>2272</v>
      </c>
      <c r="S3025" s="198" t="s">
        <v>2272</v>
      </c>
      <c r="T3025" s="198" t="s">
        <v>2272</v>
      </c>
      <c r="U3025" s="198" t="s">
        <v>2272</v>
      </c>
      <c r="V3025" s="198" t="s">
        <v>2272</v>
      </c>
      <c r="W3025" s="198" t="s">
        <v>2272</v>
      </c>
      <c r="X3025" s="198" t="s">
        <v>2272</v>
      </c>
      <c r="Y3025" s="198" t="s">
        <v>423</v>
      </c>
      <c r="Z3025" s="198" t="s">
        <v>67</v>
      </c>
      <c r="AA3025" s="198" t="s">
        <v>2272</v>
      </c>
      <c r="AB3025" s="198"/>
      <c r="AC3025" s="198"/>
    </row>
    <row r="3026" spans="1:29" ht="54.5" customHeight="1">
      <c r="A3026" s="151" t="str">
        <f>'Reported burning'!A3026</f>
        <v>325a</v>
      </c>
      <c r="B3026" s="151" t="str">
        <f>'Reported burning'!B3026</f>
        <v>325a.2</v>
      </c>
      <c r="C3026" s="151" t="str">
        <f>'Reported burning'!C3026</f>
        <v>Human, deliberate</v>
      </c>
      <c r="D3026" s="151" t="str">
        <f>'Reported burning'!D3026</f>
        <v>Rangeland management</v>
      </c>
      <c r="E3026" s="151" t="str">
        <f>'Reported burning'!E3026</f>
        <v>Mixed cropping-livestock small holder, Subsistence-oriented</v>
      </c>
      <c r="F3026" s="151" t="str">
        <f>'Reported burning'!F3026</f>
        <v>Grassland</v>
      </c>
      <c r="G3026" s="151" t="str">
        <f>'Reported burning'!G3026</f>
        <v>ND</v>
      </c>
      <c r="H3026" s="151" t="str">
        <f>'Reported burning'!H3026</f>
        <v>Absence</v>
      </c>
      <c r="I3026" s="5"/>
      <c r="J3026" s="21">
        <v>0</v>
      </c>
      <c r="K3026" s="21">
        <v>0</v>
      </c>
      <c r="L3026" s="21">
        <v>0</v>
      </c>
      <c r="M3026" s="21">
        <v>0</v>
      </c>
      <c r="N3026" s="21">
        <v>0</v>
      </c>
      <c r="O3026" s="21">
        <v>0</v>
      </c>
      <c r="P3026" s="21">
        <v>0</v>
      </c>
      <c r="Q3026" s="21">
        <v>0</v>
      </c>
      <c r="R3026" s="21">
        <v>0</v>
      </c>
      <c r="S3026" s="21">
        <v>0</v>
      </c>
      <c r="T3026" s="21">
        <v>0</v>
      </c>
      <c r="U3026" s="21">
        <v>0</v>
      </c>
      <c r="V3026" s="21">
        <v>0</v>
      </c>
      <c r="W3026" s="21">
        <v>0</v>
      </c>
      <c r="X3026" s="198" t="s">
        <v>2272</v>
      </c>
      <c r="Y3026" s="198" t="s">
        <v>423</v>
      </c>
      <c r="Z3026" s="198" t="s">
        <v>67</v>
      </c>
      <c r="AA3026" s="198" t="s">
        <v>2272</v>
      </c>
      <c r="AB3026" s="198"/>
      <c r="AC3026" s="198"/>
    </row>
    <row r="3027" spans="1:29" ht="36.5" customHeight="1">
      <c r="A3027" s="151" t="str">
        <f>'Reported burning'!A3027</f>
        <v>325b</v>
      </c>
      <c r="B3027" s="151" t="str">
        <f>'Reported burning'!B3027</f>
        <v>325b.1</v>
      </c>
      <c r="C3027" s="151" t="str">
        <f>'Reported burning'!C3027</f>
        <v>Human, deliberate</v>
      </c>
      <c r="D3027" s="151" t="str">
        <f>'Reported burning'!D3027</f>
        <v>Rangeland management</v>
      </c>
      <c r="E3027" s="151" t="str">
        <f>'Reported burning'!E3027</f>
        <v>Pastoralism, Migratory</v>
      </c>
      <c r="F3027" s="151" t="str">
        <f>'Reported burning'!F3027</f>
        <v>Shrubland (Mixed forest &amp; grassland)</v>
      </c>
      <c r="G3027" s="151" t="str">
        <f>'Reported burning'!G3027</f>
        <v>ND</v>
      </c>
      <c r="H3027" s="151" t="str">
        <f>'Reported burning'!H3027</f>
        <v>Presence</v>
      </c>
      <c r="I3027" s="5"/>
      <c r="J3027" s="198" t="s">
        <v>2272</v>
      </c>
      <c r="K3027" s="198" t="s">
        <v>2272</v>
      </c>
      <c r="L3027" s="198" t="s">
        <v>2272</v>
      </c>
      <c r="M3027" s="198" t="s">
        <v>2272</v>
      </c>
      <c r="N3027" s="198" t="s">
        <v>2272</v>
      </c>
      <c r="O3027" s="198" t="s">
        <v>2272</v>
      </c>
      <c r="P3027" s="198" t="s">
        <v>2272</v>
      </c>
      <c r="Q3027" s="198" t="s">
        <v>2272</v>
      </c>
      <c r="R3027" s="198" t="s">
        <v>2272</v>
      </c>
      <c r="S3027" s="198" t="s">
        <v>2272</v>
      </c>
      <c r="T3027" s="198" t="s">
        <v>2272</v>
      </c>
      <c r="U3027" s="198" t="s">
        <v>2272</v>
      </c>
      <c r="V3027" s="198" t="s">
        <v>2272</v>
      </c>
      <c r="W3027" s="198" t="s">
        <v>2272</v>
      </c>
      <c r="X3027" s="198" t="s">
        <v>2272</v>
      </c>
      <c r="Y3027" s="198" t="s">
        <v>423</v>
      </c>
      <c r="Z3027" s="198" t="s">
        <v>67</v>
      </c>
      <c r="AA3027" s="198" t="s">
        <v>2272</v>
      </c>
      <c r="AB3027" s="198"/>
      <c r="AC3027" s="198"/>
    </row>
    <row r="3028" spans="1:29" ht="41.5" customHeight="1">
      <c r="A3028" s="151" t="str">
        <f>'Reported burning'!A3028</f>
        <v>325b</v>
      </c>
      <c r="B3028" s="151" t="str">
        <f>'Reported burning'!B3028</f>
        <v>325b.2</v>
      </c>
      <c r="C3028" s="151" t="str">
        <f>'Reported burning'!C3028</f>
        <v>Human, deliberate</v>
      </c>
      <c r="D3028" s="151" t="str">
        <f>'Reported burning'!D3028</f>
        <v>Rangeland management</v>
      </c>
      <c r="E3028" s="151" t="str">
        <f>'Reported burning'!E3028</f>
        <v>Mixed cropping-livestock small holder, Subsistence-oriented</v>
      </c>
      <c r="F3028" s="151" t="str">
        <f>'Reported burning'!F3028</f>
        <v>Shrubland (Mixed forest &amp; grassland)</v>
      </c>
      <c r="G3028" s="151" t="str">
        <f>'Reported burning'!G3028</f>
        <v>ND</v>
      </c>
      <c r="H3028" s="151" t="str">
        <f>'Reported burning'!H3028</f>
        <v>Presence</v>
      </c>
      <c r="I3028" s="5"/>
      <c r="J3028" s="198" t="s">
        <v>2272</v>
      </c>
      <c r="K3028" s="198" t="s">
        <v>2272</v>
      </c>
      <c r="L3028" s="198" t="s">
        <v>2272</v>
      </c>
      <c r="M3028" s="198" t="s">
        <v>2272</v>
      </c>
      <c r="N3028" s="198" t="s">
        <v>2272</v>
      </c>
      <c r="O3028" s="198" t="s">
        <v>2272</v>
      </c>
      <c r="P3028" s="198" t="s">
        <v>2272</v>
      </c>
      <c r="Q3028" s="198" t="s">
        <v>2272</v>
      </c>
      <c r="R3028" s="198" t="s">
        <v>2272</v>
      </c>
      <c r="S3028" s="198" t="s">
        <v>2272</v>
      </c>
      <c r="T3028" s="198" t="s">
        <v>2272</v>
      </c>
      <c r="U3028" s="198" t="s">
        <v>2272</v>
      </c>
      <c r="V3028" s="198" t="s">
        <v>2272</v>
      </c>
      <c r="W3028" s="198" t="s">
        <v>2272</v>
      </c>
      <c r="X3028" s="198" t="s">
        <v>2272</v>
      </c>
      <c r="Y3028" s="198" t="s">
        <v>423</v>
      </c>
      <c r="Z3028" s="198" t="s">
        <v>67</v>
      </c>
      <c r="AA3028" s="198" t="s">
        <v>2272</v>
      </c>
      <c r="AB3028" s="198"/>
      <c r="AC3028" s="198"/>
    </row>
    <row r="3029" spans="1:29" ht="41.5" customHeight="1">
      <c r="A3029" s="151" t="str">
        <f>'Reported burning'!A3029</f>
        <v>326a</v>
      </c>
      <c r="B3029" s="151" t="str">
        <f>'Reported burning'!B3029</f>
        <v>326a.1</v>
      </c>
      <c r="C3029" s="151" t="str">
        <f>'Reported burning'!C3029</f>
        <v>Human, deliberate</v>
      </c>
      <c r="D3029" s="151" t="str">
        <f>'Reported burning'!D3029</f>
        <v>Crop field preparation</v>
      </c>
      <c r="E3029" s="151" t="str">
        <f>'Reported burning'!E3029</f>
        <v>Cropping, Monoculture, Subsistence-oriented</v>
      </c>
      <c r="F3029" s="151" t="str">
        <f>'Reported burning'!F3029</f>
        <v>Grassland</v>
      </c>
      <c r="G3029" s="151" t="str">
        <f>'Reported burning'!G3029</f>
        <v>ND</v>
      </c>
      <c r="H3029" s="151" t="str">
        <f>'Reported burning'!H3029</f>
        <v>Presence</v>
      </c>
      <c r="I3029" s="5"/>
      <c r="J3029" s="198" t="s">
        <v>2272</v>
      </c>
      <c r="K3029" s="198" t="s">
        <v>2272</v>
      </c>
      <c r="L3029" s="198" t="s">
        <v>2272</v>
      </c>
      <c r="M3029" s="198" t="s">
        <v>2272</v>
      </c>
      <c r="N3029" s="198" t="s">
        <v>2272</v>
      </c>
      <c r="O3029" s="198" t="s">
        <v>2272</v>
      </c>
      <c r="P3029" s="198" t="s">
        <v>2272</v>
      </c>
      <c r="Q3029" s="198" t="s">
        <v>2272</v>
      </c>
      <c r="R3029" s="198" t="s">
        <v>2272</v>
      </c>
      <c r="S3029" s="198" t="s">
        <v>2272</v>
      </c>
      <c r="T3029" s="198" t="s">
        <v>2272</v>
      </c>
      <c r="U3029" s="198" t="s">
        <v>2272</v>
      </c>
      <c r="V3029" s="198" t="s">
        <v>2272</v>
      </c>
      <c r="W3029" s="198" t="s">
        <v>2272</v>
      </c>
      <c r="X3029" s="198" t="s">
        <v>2272</v>
      </c>
      <c r="Y3029" s="198" t="s">
        <v>37</v>
      </c>
      <c r="Z3029" s="198" t="s">
        <v>84</v>
      </c>
      <c r="AA3029" s="5" t="s">
        <v>63</v>
      </c>
      <c r="AB3029" s="5" t="s">
        <v>8090</v>
      </c>
      <c r="AC3029" s="198"/>
    </row>
    <row r="3030" spans="1:29" ht="41.5" customHeight="1">
      <c r="A3030" s="151" t="str">
        <f>'Reported burning'!A3030</f>
        <v>326a</v>
      </c>
      <c r="B3030" s="151" t="str">
        <f>'Reported burning'!B3030</f>
        <v>326a.2</v>
      </c>
      <c r="C3030" s="151" t="str">
        <f>'Reported burning'!C3030</f>
        <v>Human, deliberate</v>
      </c>
      <c r="D3030" s="151" t="str">
        <f>'Reported burning'!D3030</f>
        <v>Rangeland management</v>
      </c>
      <c r="E3030" s="151" t="str">
        <f>'Reported burning'!E3030</f>
        <v>Cropping, Monoculture, Subsistence-oriented</v>
      </c>
      <c r="F3030" s="151" t="str">
        <f>'Reported burning'!F3030</f>
        <v>Shrubland (Mixed forest &amp; grassland)</v>
      </c>
      <c r="G3030" s="151" t="str">
        <f>'Reported burning'!G3030</f>
        <v>ND</v>
      </c>
      <c r="H3030" s="151" t="str">
        <f>'Reported burning'!H3030</f>
        <v>Presence</v>
      </c>
      <c r="I3030" s="5"/>
      <c r="J3030" s="198" t="s">
        <v>2272</v>
      </c>
      <c r="K3030" s="198" t="s">
        <v>2272</v>
      </c>
      <c r="L3030" s="198" t="s">
        <v>2272</v>
      </c>
      <c r="M3030" s="198" t="s">
        <v>2272</v>
      </c>
      <c r="N3030" s="198" t="s">
        <v>2272</v>
      </c>
      <c r="O3030" s="198" t="s">
        <v>2272</v>
      </c>
      <c r="P3030" s="198" t="s">
        <v>2272</v>
      </c>
      <c r="Q3030" s="198" t="s">
        <v>2272</v>
      </c>
      <c r="R3030" s="198" t="s">
        <v>2272</v>
      </c>
      <c r="S3030" s="198" t="s">
        <v>2272</v>
      </c>
      <c r="T3030" s="21" t="s">
        <v>2369</v>
      </c>
      <c r="U3030" s="198" t="s">
        <v>2272</v>
      </c>
      <c r="V3030" s="198" t="s">
        <v>2272</v>
      </c>
      <c r="W3030" s="198" t="s">
        <v>2272</v>
      </c>
      <c r="X3030" s="198" t="s">
        <v>2272</v>
      </c>
      <c r="Y3030" s="198" t="s">
        <v>84</v>
      </c>
      <c r="Z3030" s="198" t="s">
        <v>67</v>
      </c>
      <c r="AA3030" s="198" t="s">
        <v>2272</v>
      </c>
      <c r="AB3030" s="19" t="s">
        <v>8092</v>
      </c>
      <c r="AC3030" s="198"/>
    </row>
    <row r="3031" spans="1:29" ht="49" customHeight="1">
      <c r="A3031" s="147" t="str">
        <f>'Reported burning'!A3031</f>
        <v>327a</v>
      </c>
      <c r="B3031" s="147" t="str">
        <f>'Reported burning'!B3031</f>
        <v>327a.1</v>
      </c>
      <c r="C3031" s="147" t="str">
        <f>'Reported burning'!C3031</f>
        <v>Human, deliberate</v>
      </c>
      <c r="D3031" s="147" t="str">
        <f>'Reported burning'!D3031</f>
        <v>Rangeland management</v>
      </c>
      <c r="E3031" s="147" t="str">
        <f>'Reported burning'!E3031</f>
        <v>Cattle, Extensive</v>
      </c>
      <c r="F3031" s="147" t="str">
        <f>'Reported burning'!F3031</f>
        <v>Shrubland (Mixed forest &amp; grassland)</v>
      </c>
      <c r="G3031" s="147" t="str">
        <f>'Reported burning'!G3031</f>
        <v>Shrubland (Mixed forest &amp; grassland)</v>
      </c>
      <c r="H3031" s="147" t="str">
        <f>'Reported burning'!H3031</f>
        <v>Presence</v>
      </c>
      <c r="I3031" s="198"/>
      <c r="J3031" s="198" t="s">
        <v>2272</v>
      </c>
      <c r="K3031" s="21" t="s">
        <v>2364</v>
      </c>
      <c r="L3031" s="198" t="s">
        <v>2272</v>
      </c>
      <c r="M3031" s="198" t="s">
        <v>2272</v>
      </c>
      <c r="N3031" s="198" t="s">
        <v>2272</v>
      </c>
      <c r="O3031" s="198" t="s">
        <v>2272</v>
      </c>
      <c r="P3031" s="21" t="s">
        <v>2372</v>
      </c>
      <c r="Q3031" s="198" t="s">
        <v>2272</v>
      </c>
      <c r="R3031" s="21" t="s">
        <v>2371</v>
      </c>
      <c r="S3031" s="198" t="s">
        <v>2272</v>
      </c>
      <c r="T3031" s="198" t="s">
        <v>2272</v>
      </c>
      <c r="U3031" s="198" t="s">
        <v>2272</v>
      </c>
      <c r="V3031" s="198" t="s">
        <v>2272</v>
      </c>
      <c r="W3031" s="21" t="s">
        <v>2369</v>
      </c>
      <c r="X3031" s="21" t="s">
        <v>2370</v>
      </c>
      <c r="Y3031" s="198" t="s">
        <v>125</v>
      </c>
      <c r="Z3031" s="198" t="s">
        <v>37</v>
      </c>
      <c r="AA3031" s="198" t="s">
        <v>2272</v>
      </c>
      <c r="AB3031" s="198"/>
      <c r="AC3031" s="4" t="s">
        <v>8099</v>
      </c>
    </row>
    <row r="3032" spans="1:29" ht="49" customHeight="1">
      <c r="A3032" s="147" t="str">
        <f>'Reported burning'!A3032</f>
        <v>327a</v>
      </c>
      <c r="B3032" s="147" t="str">
        <f>'Reported burning'!B3032</f>
        <v>327a.2</v>
      </c>
      <c r="C3032" s="147" t="str">
        <f>'Reported burning'!C3032</f>
        <v>Human, escaped</v>
      </c>
      <c r="D3032" s="147" t="str">
        <f>'Reported burning'!D3032</f>
        <v>Rangeland management</v>
      </c>
      <c r="E3032" s="147" t="str">
        <f>'Reported burning'!E3032</f>
        <v>Cattle, Extensive</v>
      </c>
      <c r="F3032" s="147" t="str">
        <f>'Reported burning'!F3032</f>
        <v>Shrubland (Mixed forest &amp; grassland)</v>
      </c>
      <c r="G3032" s="147" t="str">
        <f>'Reported burning'!G3032</f>
        <v>ND</v>
      </c>
      <c r="H3032" s="147" t="str">
        <f>'Reported burning'!H3032</f>
        <v>Presence</v>
      </c>
      <c r="I3032" s="198"/>
      <c r="J3032" s="198" t="s">
        <v>2272</v>
      </c>
      <c r="K3032" s="21" t="s">
        <v>2362</v>
      </c>
      <c r="L3032" s="198" t="s">
        <v>2272</v>
      </c>
      <c r="M3032" s="198" t="s">
        <v>2272</v>
      </c>
      <c r="N3032" s="198" t="s">
        <v>2272</v>
      </c>
      <c r="O3032" s="21" t="s">
        <v>2375</v>
      </c>
      <c r="P3032" s="198" t="s">
        <v>2272</v>
      </c>
      <c r="Q3032" s="21" t="s">
        <v>2374</v>
      </c>
      <c r="R3032" s="198" t="s">
        <v>2272</v>
      </c>
      <c r="S3032" s="198" t="s">
        <v>2272</v>
      </c>
      <c r="T3032" s="198" t="s">
        <v>2272</v>
      </c>
      <c r="U3032" s="198" t="s">
        <v>2272</v>
      </c>
      <c r="V3032" s="198" t="s">
        <v>2272</v>
      </c>
      <c r="W3032" s="21" t="s">
        <v>2369</v>
      </c>
      <c r="X3032" s="198" t="s">
        <v>2272</v>
      </c>
      <c r="Y3032" s="198" t="s">
        <v>125</v>
      </c>
      <c r="Z3032" s="198" t="s">
        <v>37</v>
      </c>
      <c r="AA3032" s="198" t="s">
        <v>2272</v>
      </c>
      <c r="AB3032" s="198"/>
      <c r="AC3032" s="4" t="s">
        <v>8099</v>
      </c>
    </row>
    <row r="3033" spans="1:29" ht="38.5" customHeight="1">
      <c r="A3033" s="151" t="str">
        <f>'Reported burning'!A3033</f>
        <v>327a</v>
      </c>
      <c r="B3033" s="151" t="str">
        <f>'Reported burning'!B3033</f>
        <v>327a.3</v>
      </c>
      <c r="C3033" s="151" t="str">
        <f>'Reported burning'!C3033</f>
        <v>Human, deliberate</v>
      </c>
      <c r="D3033" s="151" t="str">
        <f>'Reported burning'!D3033</f>
        <v>Conservation</v>
      </c>
      <c r="E3033" s="151" t="str">
        <f>'Reported burning'!E3033</f>
        <v>Biodiversity conservation</v>
      </c>
      <c r="F3033" s="151" t="str">
        <f>'Reported burning'!F3033</f>
        <v>Shrubland (Mixed forest &amp; grassland)</v>
      </c>
      <c r="G3033" s="151" t="str">
        <f>'Reported burning'!G3033</f>
        <v>ND</v>
      </c>
      <c r="H3033" s="151" t="str">
        <f>'Reported burning'!H3033</f>
        <v>Absence</v>
      </c>
      <c r="I3033" s="5"/>
      <c r="J3033" s="21">
        <v>0</v>
      </c>
      <c r="K3033" s="21">
        <v>0</v>
      </c>
      <c r="L3033" s="21">
        <v>0</v>
      </c>
      <c r="M3033" s="21">
        <v>0</v>
      </c>
      <c r="N3033" s="21">
        <v>0</v>
      </c>
      <c r="O3033" s="21">
        <v>0</v>
      </c>
      <c r="P3033" s="21">
        <v>0</v>
      </c>
      <c r="Q3033" s="21">
        <v>0</v>
      </c>
      <c r="R3033" s="21">
        <v>0</v>
      </c>
      <c r="S3033" s="21">
        <v>0</v>
      </c>
      <c r="T3033" s="21">
        <v>0</v>
      </c>
      <c r="U3033" s="21">
        <v>0</v>
      </c>
      <c r="V3033" s="21">
        <v>0</v>
      </c>
      <c r="W3033" s="21">
        <v>0</v>
      </c>
      <c r="X3033" s="198" t="s">
        <v>2272</v>
      </c>
      <c r="Y3033" s="198" t="s">
        <v>2272</v>
      </c>
      <c r="Z3033" s="198" t="s">
        <v>2272</v>
      </c>
      <c r="AA3033" s="198" t="s">
        <v>2272</v>
      </c>
      <c r="AB3033" s="198"/>
      <c r="AC3033" s="198"/>
    </row>
    <row r="3034" spans="1:29" ht="45" customHeight="1">
      <c r="A3034" s="151" t="str">
        <f>'Reported burning'!A3034</f>
        <v>328a</v>
      </c>
      <c r="B3034" s="151" t="str">
        <f>'Reported burning'!B3034</f>
        <v>328a.1</v>
      </c>
      <c r="C3034" s="151" t="str">
        <f>'Reported burning'!C3034</f>
        <v>All</v>
      </c>
      <c r="D3034" s="151" t="str">
        <f>'Reported burning'!D3034</f>
        <v>All</v>
      </c>
      <c r="E3034" s="151" t="str">
        <f>'Reported burning'!E3034</f>
        <v>All</v>
      </c>
      <c r="F3034" s="151" t="str">
        <f>'Reported burning'!F3034</f>
        <v>All</v>
      </c>
      <c r="G3034" s="151" t="str">
        <f>'Reported burning'!G3034</f>
        <v>Forest</v>
      </c>
      <c r="H3034" s="151" t="str">
        <f>'Reported burning'!H3034</f>
        <v>Presence</v>
      </c>
      <c r="I3034" s="5"/>
      <c r="J3034" s="198" t="s">
        <v>2272</v>
      </c>
      <c r="K3034" s="198" t="s">
        <v>2272</v>
      </c>
      <c r="L3034" s="198" t="s">
        <v>2272</v>
      </c>
      <c r="M3034" s="198" t="s">
        <v>2272</v>
      </c>
      <c r="N3034" s="198" t="s">
        <v>2272</v>
      </c>
      <c r="O3034" s="198" t="s">
        <v>2272</v>
      </c>
      <c r="P3034" s="198" t="s">
        <v>2272</v>
      </c>
      <c r="Q3034" s="198" t="s">
        <v>2272</v>
      </c>
      <c r="R3034" s="198" t="s">
        <v>2272</v>
      </c>
      <c r="S3034" s="198" t="s">
        <v>2272</v>
      </c>
      <c r="T3034" s="198" t="s">
        <v>2272</v>
      </c>
      <c r="U3034" s="198" t="s">
        <v>2272</v>
      </c>
      <c r="V3034" s="198" t="s">
        <v>2272</v>
      </c>
      <c r="W3034" s="198" t="s">
        <v>2272</v>
      </c>
      <c r="X3034" s="198" t="s">
        <v>2272</v>
      </c>
      <c r="Y3034" s="198" t="s">
        <v>2272</v>
      </c>
      <c r="Z3034" s="198" t="s">
        <v>2272</v>
      </c>
      <c r="AA3034" s="198" t="s">
        <v>2272</v>
      </c>
      <c r="AB3034" s="198"/>
      <c r="AC3034" s="198"/>
    </row>
    <row r="3035" spans="1:29" ht="51" customHeight="1">
      <c r="A3035" s="151" t="str">
        <f>'Reported burning'!A3035</f>
        <v>328b</v>
      </c>
      <c r="B3035" s="151" t="str">
        <f>'Reported burning'!B3035</f>
        <v>328b.1</v>
      </c>
      <c r="C3035" s="151" t="str">
        <f>'Reported burning'!C3035</f>
        <v>All</v>
      </c>
      <c r="D3035" s="151" t="str">
        <f>'Reported burning'!D3035</f>
        <v>All</v>
      </c>
      <c r="E3035" s="151" t="str">
        <f>'Reported burning'!E3035</f>
        <v>All</v>
      </c>
      <c r="F3035" s="151" t="str">
        <f>'Reported burning'!F3035</f>
        <v>All</v>
      </c>
      <c r="G3035" s="151" t="str">
        <f>'Reported burning'!G3035</f>
        <v>Forest</v>
      </c>
      <c r="H3035" s="151" t="str">
        <f>'Reported burning'!H3035</f>
        <v>Presence</v>
      </c>
      <c r="I3035" s="5"/>
      <c r="J3035" s="198" t="s">
        <v>2272</v>
      </c>
      <c r="K3035" s="198" t="s">
        <v>2272</v>
      </c>
      <c r="L3035" s="198" t="s">
        <v>2272</v>
      </c>
      <c r="M3035" s="198" t="s">
        <v>2272</v>
      </c>
      <c r="N3035" s="198" t="s">
        <v>2272</v>
      </c>
      <c r="O3035" s="198" t="s">
        <v>2272</v>
      </c>
      <c r="P3035" s="198" t="s">
        <v>2272</v>
      </c>
      <c r="Q3035" s="198" t="s">
        <v>2272</v>
      </c>
      <c r="R3035" s="198" t="s">
        <v>2272</v>
      </c>
      <c r="S3035" s="198" t="s">
        <v>2272</v>
      </c>
      <c r="T3035" s="198" t="s">
        <v>2272</v>
      </c>
      <c r="U3035" s="198" t="s">
        <v>2272</v>
      </c>
      <c r="V3035" s="198" t="s">
        <v>2272</v>
      </c>
      <c r="W3035" s="198" t="s">
        <v>2272</v>
      </c>
      <c r="X3035" s="198" t="s">
        <v>2272</v>
      </c>
      <c r="Y3035" s="198" t="s">
        <v>2272</v>
      </c>
      <c r="Z3035" s="198" t="s">
        <v>2272</v>
      </c>
      <c r="AA3035" s="198" t="s">
        <v>2272</v>
      </c>
      <c r="AB3035" s="198"/>
      <c r="AC3035" s="198"/>
    </row>
    <row r="3036" spans="1:29" ht="47.5" customHeight="1">
      <c r="A3036" s="151" t="str">
        <f>'Reported burning'!A3036</f>
        <v>328c</v>
      </c>
      <c r="B3036" s="151" t="str">
        <f>'Reported burning'!B3036</f>
        <v>328c.1</v>
      </c>
      <c r="C3036" s="151" t="str">
        <f>'Reported burning'!C3036</f>
        <v>All</v>
      </c>
      <c r="D3036" s="151" t="str">
        <f>'Reported burning'!D3036</f>
        <v>All</v>
      </c>
      <c r="E3036" s="151" t="str">
        <f>'Reported burning'!E3036</f>
        <v>All</v>
      </c>
      <c r="F3036" s="151" t="str">
        <f>'Reported burning'!F3036</f>
        <v>All</v>
      </c>
      <c r="G3036" s="151" t="str">
        <f>'Reported burning'!G3036</f>
        <v>Forest</v>
      </c>
      <c r="H3036" s="151" t="str">
        <f>'Reported burning'!H3036</f>
        <v>Presence</v>
      </c>
      <c r="I3036" s="5"/>
      <c r="J3036" s="198" t="s">
        <v>2272</v>
      </c>
      <c r="K3036" s="198" t="s">
        <v>2272</v>
      </c>
      <c r="L3036" s="198" t="s">
        <v>2272</v>
      </c>
      <c r="M3036" s="198" t="s">
        <v>2272</v>
      </c>
      <c r="N3036" s="198" t="s">
        <v>2272</v>
      </c>
      <c r="O3036" s="198" t="s">
        <v>2272</v>
      </c>
      <c r="P3036" s="198" t="s">
        <v>2272</v>
      </c>
      <c r="Q3036" s="198" t="s">
        <v>2272</v>
      </c>
      <c r="R3036" s="198" t="s">
        <v>2272</v>
      </c>
      <c r="S3036" s="198" t="s">
        <v>2272</v>
      </c>
      <c r="T3036" s="198" t="s">
        <v>2272</v>
      </c>
      <c r="U3036" s="198" t="s">
        <v>2272</v>
      </c>
      <c r="V3036" s="198" t="s">
        <v>2272</v>
      </c>
      <c r="W3036" s="198" t="s">
        <v>2272</v>
      </c>
      <c r="X3036" s="198" t="s">
        <v>2272</v>
      </c>
      <c r="Y3036" s="198" t="s">
        <v>2272</v>
      </c>
      <c r="Z3036" s="198" t="s">
        <v>2272</v>
      </c>
      <c r="AA3036" s="198" t="s">
        <v>2272</v>
      </c>
      <c r="AB3036" s="198"/>
      <c r="AC3036" s="198"/>
    </row>
    <row r="3037" spans="1:29" ht="32.5" customHeight="1">
      <c r="A3037" s="151" t="str">
        <f>'Reported burning'!A3037</f>
        <v>328d</v>
      </c>
      <c r="B3037" s="151" t="str">
        <f>'Reported burning'!B3037</f>
        <v>328d.1</v>
      </c>
      <c r="C3037" s="151" t="str">
        <f>'Reported burning'!C3037</f>
        <v>All</v>
      </c>
      <c r="D3037" s="151" t="str">
        <f>'Reported burning'!D3037</f>
        <v>All</v>
      </c>
      <c r="E3037" s="151" t="str">
        <f>'Reported burning'!E3037</f>
        <v>All</v>
      </c>
      <c r="F3037" s="151" t="str">
        <f>'Reported burning'!F3037</f>
        <v>All</v>
      </c>
      <c r="G3037" s="151" t="str">
        <f>'Reported burning'!G3037</f>
        <v>Forest</v>
      </c>
      <c r="H3037" s="151" t="str">
        <f>'Reported burning'!H3037</f>
        <v>Presence</v>
      </c>
      <c r="I3037" s="5"/>
      <c r="J3037" s="198" t="s">
        <v>2272</v>
      </c>
      <c r="K3037" s="198" t="s">
        <v>2272</v>
      </c>
      <c r="L3037" s="198" t="s">
        <v>2272</v>
      </c>
      <c r="M3037" s="198" t="s">
        <v>2272</v>
      </c>
      <c r="N3037" s="198" t="s">
        <v>2272</v>
      </c>
      <c r="O3037" s="198" t="s">
        <v>2272</v>
      </c>
      <c r="P3037" s="198" t="s">
        <v>2272</v>
      </c>
      <c r="Q3037" s="198" t="s">
        <v>2272</v>
      </c>
      <c r="R3037" s="198" t="s">
        <v>2272</v>
      </c>
      <c r="S3037" s="198" t="s">
        <v>2272</v>
      </c>
      <c r="T3037" s="198" t="s">
        <v>2272</v>
      </c>
      <c r="U3037" s="198" t="s">
        <v>2272</v>
      </c>
      <c r="V3037" s="198" t="s">
        <v>2272</v>
      </c>
      <c r="W3037" s="198" t="s">
        <v>2272</v>
      </c>
      <c r="X3037" s="198" t="s">
        <v>2272</v>
      </c>
      <c r="Y3037" s="198" t="s">
        <v>2272</v>
      </c>
      <c r="Z3037" s="198" t="s">
        <v>2272</v>
      </c>
      <c r="AA3037" s="198" t="s">
        <v>2272</v>
      </c>
      <c r="AB3037" s="198"/>
      <c r="AC3037" s="198"/>
    </row>
    <row r="3038" spans="1:29" ht="32.5" customHeight="1">
      <c r="A3038" s="151" t="str">
        <f>'Reported burning'!A3038</f>
        <v>328a</v>
      </c>
      <c r="B3038" s="151" t="str">
        <f>'Reported burning'!B3038</f>
        <v>328a.2</v>
      </c>
      <c r="C3038" s="151" t="str">
        <f>'Reported burning'!C3038</f>
        <v>Human, escaped</v>
      </c>
      <c r="D3038" s="151" t="str">
        <f>'Reported burning'!D3038</f>
        <v>Land clearance</v>
      </c>
      <c r="E3038" s="151" t="str">
        <f>'Reported burning'!E3038</f>
        <v>Cropping, Monoculture, Market-oriented</v>
      </c>
      <c r="F3038" s="151" t="str">
        <f>'Reported burning'!F3038</f>
        <v>Secondary vegetation</v>
      </c>
      <c r="G3038" s="151" t="str">
        <f>'Reported burning'!G3038</f>
        <v>Forest</v>
      </c>
      <c r="H3038" s="151" t="str">
        <f>'Reported burning'!H3038</f>
        <v>Presence</v>
      </c>
      <c r="I3038" s="5"/>
      <c r="J3038" s="198" t="s">
        <v>2272</v>
      </c>
      <c r="K3038" s="198" t="s">
        <v>2272</v>
      </c>
      <c r="L3038" s="198" t="s">
        <v>2272</v>
      </c>
      <c r="M3038" s="198" t="s">
        <v>2272</v>
      </c>
      <c r="N3038" s="198" t="s">
        <v>2272</v>
      </c>
      <c r="O3038" s="198" t="s">
        <v>2272</v>
      </c>
      <c r="P3038" s="198" t="s">
        <v>2272</v>
      </c>
      <c r="Q3038" s="198" t="s">
        <v>2272</v>
      </c>
      <c r="R3038" s="198" t="s">
        <v>2272</v>
      </c>
      <c r="S3038" s="198" t="s">
        <v>2272</v>
      </c>
      <c r="T3038" s="198" t="s">
        <v>2272</v>
      </c>
      <c r="U3038" s="198" t="s">
        <v>2272</v>
      </c>
      <c r="V3038" s="198" t="s">
        <v>2272</v>
      </c>
      <c r="W3038" s="198" t="s">
        <v>2272</v>
      </c>
      <c r="X3038" s="198" t="s">
        <v>2272</v>
      </c>
      <c r="Y3038" s="198" t="s">
        <v>2272</v>
      </c>
      <c r="Z3038" s="198" t="s">
        <v>2272</v>
      </c>
      <c r="AA3038" s="198" t="s">
        <v>2272</v>
      </c>
      <c r="AB3038" s="198"/>
      <c r="AC3038" s="198"/>
    </row>
    <row r="3039" spans="1:29" ht="32.5" customHeight="1">
      <c r="A3039" s="151" t="str">
        <f>'Reported burning'!A3039</f>
        <v>328a</v>
      </c>
      <c r="B3039" s="151" t="str">
        <f>'Reported burning'!B3039</f>
        <v>328a.3</v>
      </c>
      <c r="C3039" s="151" t="str">
        <f>'Reported burning'!C3039</f>
        <v>Human, escaped</v>
      </c>
      <c r="D3039" s="151" t="str">
        <f>'Reported burning'!D3039</f>
        <v>Crop residue burning</v>
      </c>
      <c r="E3039" s="151" t="str">
        <f>'Reported burning'!E3039</f>
        <v>Cropping, Monoculture, Market-oriented</v>
      </c>
      <c r="F3039" s="151" t="str">
        <f>'Reported burning'!F3039</f>
        <v>Cropland</v>
      </c>
      <c r="G3039" s="151" t="str">
        <f>'Reported burning'!G3039</f>
        <v>Forest</v>
      </c>
      <c r="H3039" s="151" t="str">
        <f>'Reported burning'!H3039</f>
        <v>Presence</v>
      </c>
      <c r="I3039" s="5"/>
      <c r="J3039" s="198" t="s">
        <v>2272</v>
      </c>
      <c r="K3039" s="198" t="s">
        <v>2272</v>
      </c>
      <c r="L3039" s="198" t="s">
        <v>2272</v>
      </c>
      <c r="M3039" s="198" t="s">
        <v>2272</v>
      </c>
      <c r="N3039" s="198" t="s">
        <v>2272</v>
      </c>
      <c r="O3039" s="198" t="s">
        <v>2272</v>
      </c>
      <c r="P3039" s="198" t="s">
        <v>2272</v>
      </c>
      <c r="Q3039" s="198" t="s">
        <v>2272</v>
      </c>
      <c r="R3039" s="198" t="s">
        <v>2272</v>
      </c>
      <c r="S3039" s="198" t="s">
        <v>2272</v>
      </c>
      <c r="T3039" s="198" t="s">
        <v>2272</v>
      </c>
      <c r="U3039" s="198" t="s">
        <v>2272</v>
      </c>
      <c r="V3039" s="198" t="s">
        <v>2272</v>
      </c>
      <c r="W3039" s="198" t="s">
        <v>2272</v>
      </c>
      <c r="X3039" s="198" t="s">
        <v>2272</v>
      </c>
      <c r="Y3039" s="198" t="s">
        <v>2272</v>
      </c>
      <c r="Z3039" s="198" t="s">
        <v>2272</v>
      </c>
      <c r="AA3039" s="198" t="s">
        <v>2272</v>
      </c>
      <c r="AB3039" s="4" t="s">
        <v>8125</v>
      </c>
      <c r="AC3039" s="198"/>
    </row>
    <row r="3040" spans="1:29" ht="32.5" customHeight="1">
      <c r="A3040" s="151" t="str">
        <f>'Reported burning'!A3040</f>
        <v>328a</v>
      </c>
      <c r="B3040" s="151" t="str">
        <f>'Reported burning'!B3040</f>
        <v>328a.4</v>
      </c>
      <c r="C3040" s="151" t="str">
        <f>'Reported burning'!C3040</f>
        <v>Human, accidental</v>
      </c>
      <c r="D3040" s="151" t="str">
        <f>'Reported burning'!D3040</f>
        <v>Accidental</v>
      </c>
      <c r="E3040" s="151" t="str">
        <f>'Reported burning'!E3040</f>
        <v>All</v>
      </c>
      <c r="F3040" s="151" t="str">
        <f>'Reported burning'!F3040</f>
        <v>ND</v>
      </c>
      <c r="G3040" s="151" t="str">
        <f>'Reported burning'!G3040</f>
        <v>Forest</v>
      </c>
      <c r="H3040" s="151" t="str">
        <f>'Reported burning'!H3040</f>
        <v>Presence</v>
      </c>
      <c r="I3040" s="5"/>
      <c r="J3040" s="198" t="s">
        <v>2272</v>
      </c>
      <c r="K3040" s="198" t="s">
        <v>2272</v>
      </c>
      <c r="L3040" s="198" t="s">
        <v>2272</v>
      </c>
      <c r="M3040" s="198" t="s">
        <v>2272</v>
      </c>
      <c r="N3040" s="198" t="s">
        <v>2272</v>
      </c>
      <c r="O3040" s="198" t="s">
        <v>2272</v>
      </c>
      <c r="P3040" s="198" t="s">
        <v>2272</v>
      </c>
      <c r="Q3040" s="198" t="s">
        <v>2272</v>
      </c>
      <c r="R3040" s="198" t="s">
        <v>2272</v>
      </c>
      <c r="S3040" s="198" t="s">
        <v>2272</v>
      </c>
      <c r="T3040" s="198" t="s">
        <v>2272</v>
      </c>
      <c r="U3040" s="198" t="s">
        <v>2272</v>
      </c>
      <c r="V3040" s="198" t="s">
        <v>2272</v>
      </c>
      <c r="W3040" s="198" t="s">
        <v>2272</v>
      </c>
      <c r="X3040" s="198" t="s">
        <v>2272</v>
      </c>
      <c r="Y3040" s="198" t="s">
        <v>2272</v>
      </c>
      <c r="Z3040" s="198" t="s">
        <v>2272</v>
      </c>
      <c r="AA3040" s="198" t="s">
        <v>2272</v>
      </c>
      <c r="AB3040" s="198"/>
      <c r="AC3040" s="198"/>
    </row>
    <row r="3041" spans="1:29" ht="32.5" customHeight="1">
      <c r="A3041" s="151" t="str">
        <f>'Reported burning'!A3041</f>
        <v>328a</v>
      </c>
      <c r="B3041" s="151" t="str">
        <f>'Reported burning'!B3041</f>
        <v>328a.5</v>
      </c>
      <c r="C3041" s="151" t="str">
        <f>'Reported burning'!C3041</f>
        <v>Human, accidental</v>
      </c>
      <c r="D3041" s="151" t="str">
        <f>'Reported burning'!D3041</f>
        <v>Accidental</v>
      </c>
      <c r="E3041" s="151" t="str">
        <f>'Reported burning'!E3041</f>
        <v>Urban planner</v>
      </c>
      <c r="F3041" s="151" t="str">
        <f>'Reported burning'!F3041</f>
        <v>ND</v>
      </c>
      <c r="G3041" s="151" t="str">
        <f>'Reported burning'!G3041</f>
        <v>Forest</v>
      </c>
      <c r="H3041" s="151" t="str">
        <f>'Reported burning'!H3041</f>
        <v>Presence</v>
      </c>
      <c r="I3041" s="5"/>
      <c r="J3041" s="198" t="s">
        <v>2272</v>
      </c>
      <c r="K3041" s="198" t="s">
        <v>2272</v>
      </c>
      <c r="L3041" s="198" t="s">
        <v>2272</v>
      </c>
      <c r="M3041" s="198" t="s">
        <v>2272</v>
      </c>
      <c r="N3041" s="198" t="s">
        <v>2272</v>
      </c>
      <c r="O3041" s="198" t="s">
        <v>2272</v>
      </c>
      <c r="P3041" s="198" t="s">
        <v>2272</v>
      </c>
      <c r="Q3041" s="198" t="s">
        <v>2272</v>
      </c>
      <c r="R3041" s="198" t="s">
        <v>2272</v>
      </c>
      <c r="S3041" s="198" t="s">
        <v>2272</v>
      </c>
      <c r="T3041" s="198" t="s">
        <v>2272</v>
      </c>
      <c r="U3041" s="198" t="s">
        <v>2272</v>
      </c>
      <c r="V3041" s="198" t="s">
        <v>2272</v>
      </c>
      <c r="W3041" s="198" t="s">
        <v>2272</v>
      </c>
      <c r="X3041" s="198" t="s">
        <v>2272</v>
      </c>
      <c r="Y3041" s="198" t="s">
        <v>2272</v>
      </c>
      <c r="Z3041" s="198" t="s">
        <v>2272</v>
      </c>
      <c r="AA3041" s="198" t="s">
        <v>2272</v>
      </c>
      <c r="AB3041" s="198"/>
      <c r="AC3041" s="198"/>
    </row>
    <row r="3042" spans="1:29" ht="32.5" customHeight="1">
      <c r="A3042" s="151" t="str">
        <f>'Reported burning'!A3042</f>
        <v>328a</v>
      </c>
      <c r="B3042" s="151" t="str">
        <f>'Reported burning'!B3042</f>
        <v>328a.6</v>
      </c>
      <c r="C3042" s="151" t="str">
        <f>'Reported burning'!C3042</f>
        <v>Human, deliberate</v>
      </c>
      <c r="D3042" s="151" t="str">
        <f>'Reported burning'!D3042</f>
        <v>Forest clearance</v>
      </c>
      <c r="E3042" s="151" t="str">
        <f>'Reported burning'!E3042</f>
        <v>Cattle, Extensive</v>
      </c>
      <c r="F3042" s="151" t="str">
        <f>'Reported burning'!F3042</f>
        <v>Forest</v>
      </c>
      <c r="G3042" s="151" t="str">
        <f>'Reported burning'!G3042</f>
        <v>Forest</v>
      </c>
      <c r="H3042" s="151" t="str">
        <f>'Reported burning'!H3042</f>
        <v>Presence</v>
      </c>
      <c r="I3042" s="5"/>
      <c r="J3042" s="198" t="s">
        <v>2272</v>
      </c>
      <c r="K3042" s="198" t="s">
        <v>2272</v>
      </c>
      <c r="L3042" s="198" t="s">
        <v>2272</v>
      </c>
      <c r="M3042" s="198" t="s">
        <v>2272</v>
      </c>
      <c r="N3042" s="198" t="s">
        <v>2272</v>
      </c>
      <c r="O3042" s="198" t="s">
        <v>2272</v>
      </c>
      <c r="P3042" s="198" t="s">
        <v>2272</v>
      </c>
      <c r="Q3042" s="198" t="s">
        <v>2272</v>
      </c>
      <c r="R3042" s="198" t="s">
        <v>2272</v>
      </c>
      <c r="S3042" s="198" t="s">
        <v>2272</v>
      </c>
      <c r="T3042" s="198" t="s">
        <v>2272</v>
      </c>
      <c r="U3042" s="198" t="s">
        <v>2272</v>
      </c>
      <c r="V3042" s="198" t="s">
        <v>2272</v>
      </c>
      <c r="W3042" s="198" t="s">
        <v>2272</v>
      </c>
      <c r="X3042" s="198" t="s">
        <v>2272</v>
      </c>
      <c r="Y3042" s="198" t="s">
        <v>2272</v>
      </c>
      <c r="Z3042" s="198" t="s">
        <v>2272</v>
      </c>
      <c r="AA3042" s="198" t="s">
        <v>2272</v>
      </c>
      <c r="AB3042" s="198"/>
      <c r="AC3042" s="198"/>
    </row>
    <row r="3043" spans="1:29" ht="32.5" customHeight="1">
      <c r="A3043" s="151" t="str">
        <f>'Reported burning'!A3043</f>
        <v>328a</v>
      </c>
      <c r="B3043" s="151" t="str">
        <f>'Reported burning'!B3043</f>
        <v>328a.7</v>
      </c>
      <c r="C3043" s="151" t="str">
        <f>'Reported burning'!C3043</f>
        <v>Human, escaped</v>
      </c>
      <c r="D3043" s="151" t="str">
        <f>'Reported burning'!D3043</f>
        <v>Pasture renewal</v>
      </c>
      <c r="E3043" s="151" t="str">
        <f>'Reported burning'!E3043</f>
        <v>Cattle, Extensive</v>
      </c>
      <c r="F3043" s="151" t="str">
        <f>'Reported burning'!F3043</f>
        <v>Pasture</v>
      </c>
      <c r="G3043" s="151" t="str">
        <f>'Reported burning'!G3043</f>
        <v>Forest</v>
      </c>
      <c r="H3043" s="151" t="str">
        <f>'Reported burning'!H3043</f>
        <v>Presence</v>
      </c>
      <c r="I3043" s="5"/>
      <c r="J3043" s="198" t="s">
        <v>2272</v>
      </c>
      <c r="K3043" s="198" t="s">
        <v>2272</v>
      </c>
      <c r="L3043" s="198" t="s">
        <v>2272</v>
      </c>
      <c r="M3043" s="198" t="s">
        <v>2272</v>
      </c>
      <c r="N3043" s="198" t="s">
        <v>2272</v>
      </c>
      <c r="O3043" s="198" t="s">
        <v>2272</v>
      </c>
      <c r="P3043" s="198" t="s">
        <v>2272</v>
      </c>
      <c r="Q3043" s="198" t="s">
        <v>2272</v>
      </c>
      <c r="R3043" s="198" t="s">
        <v>2272</v>
      </c>
      <c r="S3043" s="198" t="s">
        <v>2272</v>
      </c>
      <c r="T3043" s="198" t="s">
        <v>2272</v>
      </c>
      <c r="U3043" s="198" t="s">
        <v>2272</v>
      </c>
      <c r="V3043" s="198" t="s">
        <v>2272</v>
      </c>
      <c r="W3043" s="198" t="s">
        <v>2272</v>
      </c>
      <c r="X3043" s="198" t="s">
        <v>2272</v>
      </c>
      <c r="Y3043" s="198" t="s">
        <v>2272</v>
      </c>
      <c r="Z3043" s="198" t="s">
        <v>2272</v>
      </c>
      <c r="AA3043" s="198" t="s">
        <v>2272</v>
      </c>
      <c r="AB3043" s="198"/>
      <c r="AC3043" s="198"/>
    </row>
    <row r="3044" spans="1:29" ht="32.5" customHeight="1">
      <c r="A3044" s="151" t="str">
        <f>'Reported burning'!A3044</f>
        <v>328a</v>
      </c>
      <c r="B3044" s="151" t="str">
        <f>'Reported burning'!B3044</f>
        <v>328a.8</v>
      </c>
      <c r="C3044" s="151" t="str">
        <f>'Reported burning'!C3044</f>
        <v>Human, deliberate</v>
      </c>
      <c r="D3044" s="151" t="str">
        <f>'Reported burning'!D3044</f>
        <v>Arson</v>
      </c>
      <c r="E3044" s="151" t="str">
        <f>'Reported burning'!E3044</f>
        <v>All</v>
      </c>
      <c r="F3044" s="151" t="str">
        <f>'Reported burning'!F3044</f>
        <v>Cropland</v>
      </c>
      <c r="G3044" s="151" t="str">
        <f>'Reported burning'!G3044</f>
        <v>Forest</v>
      </c>
      <c r="H3044" s="151" t="str">
        <f>'Reported burning'!H3044</f>
        <v>Presence</v>
      </c>
      <c r="I3044" s="5"/>
      <c r="J3044" s="198" t="s">
        <v>2272</v>
      </c>
      <c r="K3044" s="198" t="s">
        <v>2272</v>
      </c>
      <c r="L3044" s="198" t="s">
        <v>2272</v>
      </c>
      <c r="M3044" s="198" t="s">
        <v>2272</v>
      </c>
      <c r="N3044" s="198" t="s">
        <v>2272</v>
      </c>
      <c r="O3044" s="198" t="s">
        <v>2272</v>
      </c>
      <c r="P3044" s="198" t="s">
        <v>2272</v>
      </c>
      <c r="Q3044" s="198" t="s">
        <v>2272</v>
      </c>
      <c r="R3044" s="198" t="s">
        <v>2272</v>
      </c>
      <c r="S3044" s="198" t="s">
        <v>2272</v>
      </c>
      <c r="T3044" s="198" t="s">
        <v>2272</v>
      </c>
      <c r="U3044" s="198" t="s">
        <v>2272</v>
      </c>
      <c r="V3044" s="198" t="s">
        <v>2272</v>
      </c>
      <c r="W3044" s="198" t="s">
        <v>2272</v>
      </c>
      <c r="X3044" s="198" t="s">
        <v>2272</v>
      </c>
      <c r="Y3044" s="198" t="s">
        <v>2272</v>
      </c>
      <c r="Z3044" s="198" t="s">
        <v>2272</v>
      </c>
      <c r="AA3044" s="198" t="s">
        <v>2272</v>
      </c>
      <c r="AB3044" s="198"/>
      <c r="AC3044" s="198"/>
    </row>
    <row r="3045" spans="1:29" ht="32.5" customHeight="1">
      <c r="A3045" s="151" t="str">
        <f>'Reported burning'!A3045</f>
        <v>328b</v>
      </c>
      <c r="B3045" s="151" t="str">
        <f>'Reported burning'!B3045</f>
        <v>328b.2</v>
      </c>
      <c r="C3045" s="151" t="str">
        <f>'Reported burning'!C3045</f>
        <v>Human, deliberate</v>
      </c>
      <c r="D3045" s="151" t="str">
        <f>'Reported burning'!D3045</f>
        <v>Arson</v>
      </c>
      <c r="E3045" s="151" t="str">
        <f>'Reported burning'!E3045</f>
        <v>Fire suppression agent</v>
      </c>
      <c r="F3045" s="151" t="str">
        <f>'Reported burning'!F3045</f>
        <v>Forest</v>
      </c>
      <c r="G3045" s="151" t="str">
        <f>'Reported burning'!G3045</f>
        <v>Forest</v>
      </c>
      <c r="H3045" s="151" t="str">
        <f>'Reported burning'!H3045</f>
        <v>Presence</v>
      </c>
      <c r="I3045" s="5"/>
      <c r="J3045" s="198" t="s">
        <v>2272</v>
      </c>
      <c r="K3045" s="198" t="s">
        <v>2272</v>
      </c>
      <c r="L3045" s="198" t="s">
        <v>2272</v>
      </c>
      <c r="M3045" s="198" t="s">
        <v>2272</v>
      </c>
      <c r="N3045" s="198" t="s">
        <v>2272</v>
      </c>
      <c r="O3045" s="198" t="s">
        <v>2272</v>
      </c>
      <c r="P3045" s="198" t="s">
        <v>2272</v>
      </c>
      <c r="Q3045" s="198" t="s">
        <v>2272</v>
      </c>
      <c r="R3045" s="198" t="s">
        <v>2272</v>
      </c>
      <c r="S3045" s="198" t="s">
        <v>2272</v>
      </c>
      <c r="T3045" s="198" t="s">
        <v>2272</v>
      </c>
      <c r="U3045" s="198" t="s">
        <v>2272</v>
      </c>
      <c r="V3045" s="198" t="s">
        <v>2272</v>
      </c>
      <c r="W3045" s="198" t="s">
        <v>2272</v>
      </c>
      <c r="X3045" s="198" t="s">
        <v>2272</v>
      </c>
      <c r="Y3045" s="198" t="s">
        <v>2272</v>
      </c>
      <c r="Z3045" s="198" t="s">
        <v>2272</v>
      </c>
      <c r="AA3045" s="198" t="s">
        <v>2272</v>
      </c>
      <c r="AB3045" s="198"/>
      <c r="AC3045" s="198"/>
    </row>
    <row r="3046" spans="1:29" ht="32.5" customHeight="1">
      <c r="A3046" s="151" t="str">
        <f>'Reported burning'!A3046</f>
        <v>328b</v>
      </c>
      <c r="B3046" s="151" t="str">
        <f>'Reported burning'!B3046</f>
        <v>328b.3</v>
      </c>
      <c r="C3046" s="151" t="str">
        <f>'Reported burning'!C3046</f>
        <v>Human, escaped</v>
      </c>
      <c r="D3046" s="151" t="str">
        <f>'Reported burning'!D3046</f>
        <v>Crop residue burning</v>
      </c>
      <c r="E3046" s="151" t="str">
        <f>'Reported burning'!E3046</f>
        <v>Cropping, Monoculture, Market-oriented</v>
      </c>
      <c r="F3046" s="151" t="str">
        <f>'Reported burning'!F3046</f>
        <v>Cropland</v>
      </c>
      <c r="G3046" s="151" t="str">
        <f>'Reported burning'!G3046</f>
        <v>Forest</v>
      </c>
      <c r="H3046" s="151" t="str">
        <f>'Reported burning'!H3046</f>
        <v>Presence</v>
      </c>
      <c r="I3046" s="5"/>
      <c r="J3046" s="198" t="s">
        <v>2272</v>
      </c>
      <c r="K3046" s="198" t="s">
        <v>2272</v>
      </c>
      <c r="L3046" s="198" t="s">
        <v>2272</v>
      </c>
      <c r="M3046" s="198" t="s">
        <v>2272</v>
      </c>
      <c r="N3046" s="198" t="s">
        <v>2272</v>
      </c>
      <c r="O3046" s="198" t="s">
        <v>2272</v>
      </c>
      <c r="P3046" s="198" t="s">
        <v>2272</v>
      </c>
      <c r="Q3046" s="198" t="s">
        <v>2272</v>
      </c>
      <c r="R3046" s="198" t="s">
        <v>2272</v>
      </c>
      <c r="S3046" s="198" t="s">
        <v>2272</v>
      </c>
      <c r="T3046" s="198" t="s">
        <v>2272</v>
      </c>
      <c r="U3046" s="198" t="s">
        <v>2272</v>
      </c>
      <c r="V3046" s="198" t="s">
        <v>2272</v>
      </c>
      <c r="W3046" s="198" t="s">
        <v>2272</v>
      </c>
      <c r="X3046" s="198" t="s">
        <v>2272</v>
      </c>
      <c r="Y3046" s="198" t="s">
        <v>2272</v>
      </c>
      <c r="Z3046" s="198" t="s">
        <v>2272</v>
      </c>
      <c r="AA3046" s="198" t="s">
        <v>2272</v>
      </c>
      <c r="AB3046" s="198"/>
      <c r="AC3046" s="198"/>
    </row>
    <row r="3047" spans="1:29" ht="32.5" customHeight="1">
      <c r="A3047" s="151" t="str">
        <f>'Reported burning'!A3047</f>
        <v>328b</v>
      </c>
      <c r="B3047" s="151" t="str">
        <f>'Reported burning'!B3047</f>
        <v>328b.4</v>
      </c>
      <c r="C3047" s="151" t="str">
        <f>'Reported burning'!C3047</f>
        <v>Human, deliberate</v>
      </c>
      <c r="D3047" s="151" t="str">
        <f>'Reported burning'!D3047</f>
        <v>Arson</v>
      </c>
      <c r="E3047" s="151" t="str">
        <f>'Reported burning'!E3047</f>
        <v>Cropping, Monoculture, Market-oriented</v>
      </c>
      <c r="F3047" s="151" t="str">
        <f>'Reported burning'!F3047</f>
        <v>Forest</v>
      </c>
      <c r="G3047" s="151" t="str">
        <f>'Reported burning'!G3047</f>
        <v>Forest</v>
      </c>
      <c r="H3047" s="151" t="str">
        <f>'Reported burning'!H3047</f>
        <v>Presence</v>
      </c>
      <c r="I3047" s="5"/>
      <c r="J3047" s="198" t="s">
        <v>2272</v>
      </c>
      <c r="K3047" s="198" t="s">
        <v>2272</v>
      </c>
      <c r="L3047" s="198" t="s">
        <v>2272</v>
      </c>
      <c r="M3047" s="198" t="s">
        <v>2272</v>
      </c>
      <c r="N3047" s="198" t="s">
        <v>2272</v>
      </c>
      <c r="O3047" s="198" t="s">
        <v>2272</v>
      </c>
      <c r="P3047" s="198" t="s">
        <v>2272</v>
      </c>
      <c r="Q3047" s="198" t="s">
        <v>2272</v>
      </c>
      <c r="R3047" s="198" t="s">
        <v>2272</v>
      </c>
      <c r="S3047" s="198" t="s">
        <v>2272</v>
      </c>
      <c r="T3047" s="198" t="s">
        <v>2272</v>
      </c>
      <c r="U3047" s="198" t="s">
        <v>2272</v>
      </c>
      <c r="V3047" s="198" t="s">
        <v>2272</v>
      </c>
      <c r="W3047" s="198" t="s">
        <v>2272</v>
      </c>
      <c r="X3047" s="198" t="s">
        <v>2272</v>
      </c>
      <c r="Y3047" s="198" t="s">
        <v>2272</v>
      </c>
      <c r="Z3047" s="198" t="s">
        <v>2272</v>
      </c>
      <c r="AA3047" s="198" t="s">
        <v>2272</v>
      </c>
      <c r="AB3047" s="198"/>
      <c r="AC3047" s="198"/>
    </row>
    <row r="3048" spans="1:29" ht="32.5" customHeight="1">
      <c r="A3048" s="151" t="str">
        <f>'Reported burning'!A3048</f>
        <v>328b</v>
      </c>
      <c r="B3048" s="151" t="str">
        <f>'Reported burning'!B3048</f>
        <v>328b.5</v>
      </c>
      <c r="C3048" s="151" t="str">
        <f>'Reported burning'!C3048</f>
        <v>Human, deliberate</v>
      </c>
      <c r="D3048" s="151" t="str">
        <f>'Reported burning'!D3048</f>
        <v>Arson</v>
      </c>
      <c r="E3048" s="151" t="str">
        <f>'Reported burning'!E3048</f>
        <v>Cropping, Monoculture, Market-oriented</v>
      </c>
      <c r="F3048" s="151" t="str">
        <f>'Reported burning'!F3048</f>
        <v>Cropland</v>
      </c>
      <c r="G3048" s="151" t="str">
        <f>'Reported burning'!G3048</f>
        <v>Forest</v>
      </c>
      <c r="H3048" s="151" t="str">
        <f>'Reported burning'!H3048</f>
        <v>Presence</v>
      </c>
      <c r="I3048" s="5"/>
      <c r="J3048" s="198" t="s">
        <v>2272</v>
      </c>
      <c r="K3048" s="198" t="s">
        <v>2272</v>
      </c>
      <c r="L3048" s="198" t="s">
        <v>2272</v>
      </c>
      <c r="M3048" s="198" t="s">
        <v>2272</v>
      </c>
      <c r="N3048" s="198" t="s">
        <v>2272</v>
      </c>
      <c r="O3048" s="198" t="s">
        <v>2272</v>
      </c>
      <c r="P3048" s="198" t="s">
        <v>2272</v>
      </c>
      <c r="Q3048" s="198" t="s">
        <v>2272</v>
      </c>
      <c r="R3048" s="198" t="s">
        <v>2272</v>
      </c>
      <c r="S3048" s="198" t="s">
        <v>2272</v>
      </c>
      <c r="T3048" s="198" t="s">
        <v>2272</v>
      </c>
      <c r="U3048" s="198" t="s">
        <v>2272</v>
      </c>
      <c r="V3048" s="198" t="s">
        <v>2272</v>
      </c>
      <c r="W3048" s="198" t="s">
        <v>2272</v>
      </c>
      <c r="X3048" s="198" t="s">
        <v>2272</v>
      </c>
      <c r="Y3048" s="198" t="s">
        <v>2272</v>
      </c>
      <c r="Z3048" s="198" t="s">
        <v>2272</v>
      </c>
      <c r="AA3048" s="198" t="s">
        <v>2272</v>
      </c>
      <c r="AB3048" s="198"/>
      <c r="AC3048" s="198"/>
    </row>
    <row r="3049" spans="1:29" ht="32.5" customHeight="1">
      <c r="A3049" s="151" t="str">
        <f>'Reported burning'!A3049</f>
        <v>328b</v>
      </c>
      <c r="B3049" s="151" t="str">
        <f>'Reported burning'!B3049</f>
        <v>328b.6</v>
      </c>
      <c r="C3049" s="151" t="str">
        <f>'Reported burning'!C3049</f>
        <v>Human, escaped</v>
      </c>
      <c r="D3049" s="151" t="str">
        <f>'Reported burning'!D3049</f>
        <v>Land clearance</v>
      </c>
      <c r="E3049" s="151" t="str">
        <f>'Reported burning'!E3049</f>
        <v>Cropping, Monoculture, Market-oriented</v>
      </c>
      <c r="F3049" s="151" t="str">
        <f>'Reported burning'!F3049</f>
        <v>Secondary vegetation</v>
      </c>
      <c r="G3049" s="151" t="str">
        <f>'Reported burning'!G3049</f>
        <v>Forest</v>
      </c>
      <c r="H3049" s="151" t="str">
        <f>'Reported burning'!H3049</f>
        <v>Presence</v>
      </c>
      <c r="I3049" s="5"/>
      <c r="J3049" s="198" t="s">
        <v>2272</v>
      </c>
      <c r="K3049" s="198" t="s">
        <v>2272</v>
      </c>
      <c r="L3049" s="198" t="s">
        <v>2272</v>
      </c>
      <c r="M3049" s="198" t="s">
        <v>2272</v>
      </c>
      <c r="N3049" s="198" t="s">
        <v>2272</v>
      </c>
      <c r="O3049" s="198" t="s">
        <v>2272</v>
      </c>
      <c r="P3049" s="198" t="s">
        <v>2272</v>
      </c>
      <c r="Q3049" s="198" t="s">
        <v>2272</v>
      </c>
      <c r="R3049" s="198" t="s">
        <v>2272</v>
      </c>
      <c r="S3049" s="198" t="s">
        <v>2272</v>
      </c>
      <c r="T3049" s="198" t="s">
        <v>2272</v>
      </c>
      <c r="U3049" s="198" t="s">
        <v>2272</v>
      </c>
      <c r="V3049" s="198" t="s">
        <v>2272</v>
      </c>
      <c r="W3049" s="198" t="s">
        <v>2272</v>
      </c>
      <c r="X3049" s="198" t="s">
        <v>2272</v>
      </c>
      <c r="Y3049" s="198" t="s">
        <v>2272</v>
      </c>
      <c r="Z3049" s="198" t="s">
        <v>2272</v>
      </c>
      <c r="AA3049" s="198" t="s">
        <v>2272</v>
      </c>
      <c r="AB3049" s="198"/>
      <c r="AC3049" s="198"/>
    </row>
    <row r="3050" spans="1:29" ht="32.5" customHeight="1">
      <c r="A3050" s="151" t="str">
        <f>'Reported burning'!A3050</f>
        <v>328c</v>
      </c>
      <c r="B3050" s="151" t="str">
        <f>'Reported burning'!B3050</f>
        <v>328c.2</v>
      </c>
      <c r="C3050" s="151" t="str">
        <f>'Reported burning'!C3050</f>
        <v>Human, escaped</v>
      </c>
      <c r="D3050" s="151" t="str">
        <f>'Reported burning'!D3050</f>
        <v>Crop residue burning</v>
      </c>
      <c r="E3050" s="151" t="str">
        <f>'Reported burning'!E3050</f>
        <v>Cropping, Monoculture, Market-oriented</v>
      </c>
      <c r="F3050" s="151" t="str">
        <f>'Reported burning'!F3050</f>
        <v>Cropland</v>
      </c>
      <c r="G3050" s="151" t="str">
        <f>'Reported burning'!G3050</f>
        <v>Forest</v>
      </c>
      <c r="H3050" s="151" t="str">
        <f>'Reported burning'!H3050</f>
        <v>Presence</v>
      </c>
      <c r="I3050" s="5"/>
      <c r="J3050" s="198" t="s">
        <v>2272</v>
      </c>
      <c r="K3050" s="198" t="s">
        <v>2272</v>
      </c>
      <c r="L3050" s="198" t="s">
        <v>2272</v>
      </c>
      <c r="M3050" s="198" t="s">
        <v>2272</v>
      </c>
      <c r="N3050" s="198" t="s">
        <v>2272</v>
      </c>
      <c r="O3050" s="198" t="s">
        <v>2272</v>
      </c>
      <c r="P3050" s="198" t="s">
        <v>2272</v>
      </c>
      <c r="Q3050" s="198" t="s">
        <v>2272</v>
      </c>
      <c r="R3050" s="198" t="s">
        <v>2272</v>
      </c>
      <c r="S3050" s="198" t="s">
        <v>2272</v>
      </c>
      <c r="T3050" s="198" t="s">
        <v>2272</v>
      </c>
      <c r="U3050" s="198" t="s">
        <v>2272</v>
      </c>
      <c r="V3050" s="198" t="s">
        <v>2272</v>
      </c>
      <c r="W3050" s="198" t="s">
        <v>2272</v>
      </c>
      <c r="X3050" s="198" t="s">
        <v>2272</v>
      </c>
      <c r="Y3050" s="198" t="s">
        <v>2272</v>
      </c>
      <c r="Z3050" s="198" t="s">
        <v>2272</v>
      </c>
      <c r="AA3050" s="198" t="s">
        <v>2272</v>
      </c>
      <c r="AB3050" s="198"/>
      <c r="AC3050" s="198"/>
    </row>
    <row r="3051" spans="1:29" ht="32.5" customHeight="1">
      <c r="A3051" s="151" t="str">
        <f>'Reported burning'!A3051</f>
        <v>328c</v>
      </c>
      <c r="B3051" s="151" t="str">
        <f>'Reported burning'!B3051</f>
        <v>328c.3</v>
      </c>
      <c r="C3051" s="151" t="str">
        <f>'Reported burning'!C3051</f>
        <v>Human, deliberate</v>
      </c>
      <c r="D3051" s="151" t="str">
        <f>'Reported burning'!D3051</f>
        <v>Arson</v>
      </c>
      <c r="E3051" s="151" t="str">
        <f>'Reported burning'!E3051</f>
        <v>Fire suppression agent</v>
      </c>
      <c r="F3051" s="151" t="str">
        <f>'Reported burning'!F3051</f>
        <v>Forest</v>
      </c>
      <c r="G3051" s="151" t="str">
        <f>'Reported burning'!G3051</f>
        <v>Forest</v>
      </c>
      <c r="H3051" s="151" t="str">
        <f>'Reported burning'!H3051</f>
        <v>Presence</v>
      </c>
      <c r="I3051" s="5"/>
      <c r="J3051" s="198" t="s">
        <v>2272</v>
      </c>
      <c r="K3051" s="198" t="s">
        <v>2272</v>
      </c>
      <c r="L3051" s="198" t="s">
        <v>2272</v>
      </c>
      <c r="M3051" s="198" t="s">
        <v>2272</v>
      </c>
      <c r="N3051" s="198" t="s">
        <v>2272</v>
      </c>
      <c r="O3051" s="198" t="s">
        <v>2272</v>
      </c>
      <c r="P3051" s="198" t="s">
        <v>2272</v>
      </c>
      <c r="Q3051" s="198" t="s">
        <v>2272</v>
      </c>
      <c r="R3051" s="198" t="s">
        <v>2272</v>
      </c>
      <c r="S3051" s="198" t="s">
        <v>2272</v>
      </c>
      <c r="T3051" s="198" t="s">
        <v>2272</v>
      </c>
      <c r="U3051" s="198" t="s">
        <v>2272</v>
      </c>
      <c r="V3051" s="198" t="s">
        <v>2272</v>
      </c>
      <c r="W3051" s="198" t="s">
        <v>2272</v>
      </c>
      <c r="X3051" s="198" t="s">
        <v>2272</v>
      </c>
      <c r="Y3051" s="198" t="s">
        <v>2272</v>
      </c>
      <c r="Z3051" s="198" t="s">
        <v>2272</v>
      </c>
      <c r="AA3051" s="198" t="s">
        <v>2272</v>
      </c>
      <c r="AB3051" s="198"/>
      <c r="AC3051" s="198"/>
    </row>
    <row r="3052" spans="1:29" ht="32.5" customHeight="1">
      <c r="A3052" s="151" t="str">
        <f>'Reported burning'!A3052</f>
        <v>328c</v>
      </c>
      <c r="B3052" s="151" t="str">
        <f>'Reported burning'!B3052</f>
        <v>328c.4</v>
      </c>
      <c r="C3052" s="151" t="str">
        <f>'Reported burning'!C3052</f>
        <v>Lightning</v>
      </c>
      <c r="D3052" s="151" t="str">
        <f>'Reported burning'!D3052</f>
        <v>ND</v>
      </c>
      <c r="E3052" s="151" t="str">
        <f>'Reported burning'!E3052</f>
        <v>ND</v>
      </c>
      <c r="F3052" s="151" t="str">
        <f>'Reported burning'!F3052</f>
        <v>ND</v>
      </c>
      <c r="G3052" s="151" t="str">
        <f>'Reported burning'!G3052</f>
        <v>Forest</v>
      </c>
      <c r="H3052" s="151" t="str">
        <f>'Reported burning'!H3052</f>
        <v>Presence</v>
      </c>
      <c r="I3052" s="5"/>
      <c r="J3052" s="198" t="s">
        <v>2272</v>
      </c>
      <c r="K3052" s="198" t="s">
        <v>2272</v>
      </c>
      <c r="L3052" s="198" t="s">
        <v>2272</v>
      </c>
      <c r="M3052" s="198" t="s">
        <v>2272</v>
      </c>
      <c r="N3052" s="198" t="s">
        <v>2272</v>
      </c>
      <c r="O3052" s="198" t="s">
        <v>2272</v>
      </c>
      <c r="P3052" s="198" t="s">
        <v>2272</v>
      </c>
      <c r="Q3052" s="198" t="s">
        <v>2272</v>
      </c>
      <c r="R3052" s="198" t="s">
        <v>2272</v>
      </c>
      <c r="S3052" s="198" t="s">
        <v>2272</v>
      </c>
      <c r="T3052" s="198" t="s">
        <v>2272</v>
      </c>
      <c r="U3052" s="198" t="s">
        <v>2272</v>
      </c>
      <c r="V3052" s="198" t="s">
        <v>2272</v>
      </c>
      <c r="W3052" s="198" t="s">
        <v>2272</v>
      </c>
      <c r="X3052" s="198" t="s">
        <v>2272</v>
      </c>
      <c r="Y3052" s="198" t="s">
        <v>2272</v>
      </c>
      <c r="Z3052" s="198" t="s">
        <v>2272</v>
      </c>
      <c r="AA3052" s="198" t="s">
        <v>2272</v>
      </c>
      <c r="AB3052" s="198"/>
      <c r="AC3052" s="198"/>
    </row>
    <row r="3053" spans="1:29" ht="32.5" customHeight="1">
      <c r="A3053" s="151" t="str">
        <f>'Reported burning'!A3053</f>
        <v>328c</v>
      </c>
      <c r="B3053" s="151" t="str">
        <f>'Reported burning'!B3053</f>
        <v>328c.5</v>
      </c>
      <c r="C3053" s="151" t="str">
        <f>'Reported burning'!C3053</f>
        <v>Human, escaped</v>
      </c>
      <c r="D3053" s="151" t="str">
        <f>'Reported burning'!D3053</f>
        <v>Pasture renewal</v>
      </c>
      <c r="E3053" s="151" t="str">
        <f>'Reported burning'!E3053</f>
        <v>Cattle, Extensive</v>
      </c>
      <c r="F3053" s="151" t="str">
        <f>'Reported burning'!F3053</f>
        <v>Pasture</v>
      </c>
      <c r="G3053" s="151" t="str">
        <f>'Reported burning'!G3053</f>
        <v>Forest</v>
      </c>
      <c r="H3053" s="151" t="str">
        <f>'Reported burning'!H3053</f>
        <v>Presence</v>
      </c>
      <c r="I3053" s="5"/>
      <c r="J3053" s="198" t="s">
        <v>2272</v>
      </c>
      <c r="K3053" s="198" t="s">
        <v>2272</v>
      </c>
      <c r="L3053" s="198" t="s">
        <v>2272</v>
      </c>
      <c r="M3053" s="198" t="s">
        <v>2272</v>
      </c>
      <c r="N3053" s="198" t="s">
        <v>2272</v>
      </c>
      <c r="O3053" s="198" t="s">
        <v>2272</v>
      </c>
      <c r="P3053" s="198" t="s">
        <v>2272</v>
      </c>
      <c r="Q3053" s="198" t="s">
        <v>2272</v>
      </c>
      <c r="R3053" s="198" t="s">
        <v>2272</v>
      </c>
      <c r="S3053" s="198" t="s">
        <v>2272</v>
      </c>
      <c r="T3053" s="198" t="s">
        <v>2272</v>
      </c>
      <c r="U3053" s="198" t="s">
        <v>2272</v>
      </c>
      <c r="V3053" s="198" t="s">
        <v>2272</v>
      </c>
      <c r="W3053" s="198" t="s">
        <v>2272</v>
      </c>
      <c r="X3053" s="198" t="s">
        <v>2272</v>
      </c>
      <c r="Y3053" s="198" t="s">
        <v>2272</v>
      </c>
      <c r="Z3053" s="198" t="s">
        <v>2272</v>
      </c>
      <c r="AA3053" s="198" t="s">
        <v>2272</v>
      </c>
      <c r="AB3053" s="198"/>
      <c r="AC3053" s="198"/>
    </row>
    <row r="3054" spans="1:29" ht="32.5" customHeight="1">
      <c r="A3054" s="151" t="str">
        <f>'Reported burning'!A3054</f>
        <v>328c</v>
      </c>
      <c r="B3054" s="151" t="str">
        <f>'Reported burning'!B3054</f>
        <v>328c.6</v>
      </c>
      <c r="C3054" s="151" t="str">
        <f>'Reported burning'!C3054</f>
        <v>Human, deliberate</v>
      </c>
      <c r="D3054" s="151" t="str">
        <f>'Reported burning'!D3054</f>
        <v>Arson</v>
      </c>
      <c r="E3054" s="151" t="str">
        <f>'Reported burning'!E3054</f>
        <v>Cropping, Monoculture, Market-oriented</v>
      </c>
      <c r="F3054" s="151" t="str">
        <f>'Reported burning'!F3054</f>
        <v>Cropland</v>
      </c>
      <c r="G3054" s="151" t="str">
        <f>'Reported burning'!G3054</f>
        <v>Forest</v>
      </c>
      <c r="H3054" s="151" t="str">
        <f>'Reported burning'!H3054</f>
        <v>Presence</v>
      </c>
      <c r="I3054" s="5"/>
      <c r="J3054" s="198" t="s">
        <v>2272</v>
      </c>
      <c r="K3054" s="198" t="s">
        <v>2272</v>
      </c>
      <c r="L3054" s="198" t="s">
        <v>2272</v>
      </c>
      <c r="M3054" s="198" t="s">
        <v>2272</v>
      </c>
      <c r="N3054" s="198" t="s">
        <v>2272</v>
      </c>
      <c r="O3054" s="198" t="s">
        <v>2272</v>
      </c>
      <c r="P3054" s="198" t="s">
        <v>2272</v>
      </c>
      <c r="Q3054" s="198" t="s">
        <v>2272</v>
      </c>
      <c r="R3054" s="198" t="s">
        <v>2272</v>
      </c>
      <c r="S3054" s="198" t="s">
        <v>2272</v>
      </c>
      <c r="T3054" s="198" t="s">
        <v>2272</v>
      </c>
      <c r="U3054" s="198" t="s">
        <v>2272</v>
      </c>
      <c r="V3054" s="198" t="s">
        <v>2272</v>
      </c>
      <c r="W3054" s="198" t="s">
        <v>2272</v>
      </c>
      <c r="X3054" s="198" t="s">
        <v>2272</v>
      </c>
      <c r="Y3054" s="198" t="s">
        <v>2272</v>
      </c>
      <c r="Z3054" s="198" t="s">
        <v>2272</v>
      </c>
      <c r="AA3054" s="198" t="s">
        <v>2272</v>
      </c>
      <c r="AB3054" s="198"/>
      <c r="AC3054" s="198"/>
    </row>
    <row r="3055" spans="1:29" ht="32.5" customHeight="1">
      <c r="A3055" s="151" t="str">
        <f>'Reported burning'!A3055</f>
        <v>328c</v>
      </c>
      <c r="B3055" s="151" t="str">
        <f>'Reported burning'!B3055</f>
        <v>328c.7</v>
      </c>
      <c r="C3055" s="151" t="str">
        <f>'Reported burning'!C3055</f>
        <v>Human, deliberate</v>
      </c>
      <c r="D3055" s="151" t="str">
        <f>'Reported burning'!D3055</f>
        <v>Arson</v>
      </c>
      <c r="E3055" s="151" t="str">
        <f>'Reported burning'!E3055</f>
        <v>Cattle, Extensive</v>
      </c>
      <c r="F3055" s="151" t="str">
        <f>'Reported burning'!F3055</f>
        <v>Cropland</v>
      </c>
      <c r="G3055" s="151" t="str">
        <f>'Reported burning'!G3055</f>
        <v>Forest</v>
      </c>
      <c r="H3055" s="151" t="str">
        <f>'Reported burning'!H3055</f>
        <v>Presence</v>
      </c>
      <c r="I3055" s="5"/>
      <c r="J3055" s="198" t="s">
        <v>2272</v>
      </c>
      <c r="K3055" s="198" t="s">
        <v>2272</v>
      </c>
      <c r="L3055" s="198" t="s">
        <v>2272</v>
      </c>
      <c r="M3055" s="198" t="s">
        <v>2272</v>
      </c>
      <c r="N3055" s="198" t="s">
        <v>2272</v>
      </c>
      <c r="O3055" s="198" t="s">
        <v>2272</v>
      </c>
      <c r="P3055" s="198" t="s">
        <v>2272</v>
      </c>
      <c r="Q3055" s="198" t="s">
        <v>2272</v>
      </c>
      <c r="R3055" s="198" t="s">
        <v>2272</v>
      </c>
      <c r="S3055" s="198" t="s">
        <v>2272</v>
      </c>
      <c r="T3055" s="198" t="s">
        <v>2272</v>
      </c>
      <c r="U3055" s="198" t="s">
        <v>2272</v>
      </c>
      <c r="V3055" s="198" t="s">
        <v>2272</v>
      </c>
      <c r="W3055" s="198" t="s">
        <v>2272</v>
      </c>
      <c r="X3055" s="198" t="s">
        <v>2272</v>
      </c>
      <c r="Y3055" s="198" t="s">
        <v>2272</v>
      </c>
      <c r="Z3055" s="198" t="s">
        <v>2272</v>
      </c>
      <c r="AA3055" s="198" t="s">
        <v>2272</v>
      </c>
      <c r="AB3055" s="198"/>
      <c r="AC3055" s="198"/>
    </row>
    <row r="3056" spans="1:29" ht="32.5" customHeight="1">
      <c r="A3056" s="151" t="str">
        <f>'Reported burning'!A3056</f>
        <v>328d</v>
      </c>
      <c r="B3056" s="151" t="str">
        <f>'Reported burning'!B3056</f>
        <v>328d.2</v>
      </c>
      <c r="C3056" s="151" t="str">
        <f>'Reported burning'!C3056</f>
        <v>Human, escaped</v>
      </c>
      <c r="D3056" s="151" t="str">
        <f>'Reported burning'!D3056</f>
        <v>Crop residue burning</v>
      </c>
      <c r="E3056" s="151" t="str">
        <f>'Reported burning'!E3056</f>
        <v>Cropping, Monoculture, Market-oriented</v>
      </c>
      <c r="F3056" s="151" t="str">
        <f>'Reported burning'!F3056</f>
        <v>Cropland</v>
      </c>
      <c r="G3056" s="151" t="str">
        <f>'Reported burning'!G3056</f>
        <v>Forest</v>
      </c>
      <c r="H3056" s="151" t="str">
        <f>'Reported burning'!H3056</f>
        <v>Presence</v>
      </c>
      <c r="I3056" s="5"/>
      <c r="J3056" s="198" t="s">
        <v>2272</v>
      </c>
      <c r="K3056" s="198" t="s">
        <v>2272</v>
      </c>
      <c r="L3056" s="198" t="s">
        <v>2272</v>
      </c>
      <c r="M3056" s="198" t="s">
        <v>2272</v>
      </c>
      <c r="N3056" s="198" t="s">
        <v>2272</v>
      </c>
      <c r="O3056" s="198" t="s">
        <v>2272</v>
      </c>
      <c r="P3056" s="198" t="s">
        <v>2272</v>
      </c>
      <c r="Q3056" s="198" t="s">
        <v>2272</v>
      </c>
      <c r="R3056" s="198" t="s">
        <v>2272</v>
      </c>
      <c r="S3056" s="198" t="s">
        <v>2272</v>
      </c>
      <c r="T3056" s="198" t="s">
        <v>2272</v>
      </c>
      <c r="U3056" s="198" t="s">
        <v>2272</v>
      </c>
      <c r="V3056" s="198" t="s">
        <v>2272</v>
      </c>
      <c r="W3056" s="198" t="s">
        <v>2272</v>
      </c>
      <c r="X3056" s="198" t="s">
        <v>2272</v>
      </c>
      <c r="Y3056" s="198" t="s">
        <v>2272</v>
      </c>
      <c r="Z3056" s="198" t="s">
        <v>2272</v>
      </c>
      <c r="AA3056" s="198" t="s">
        <v>2272</v>
      </c>
      <c r="AB3056" s="198"/>
      <c r="AC3056" s="198"/>
    </row>
    <row r="3057" spans="1:29" ht="32.5" customHeight="1">
      <c r="A3057" s="151" t="str">
        <f>'Reported burning'!A3057</f>
        <v>328d</v>
      </c>
      <c r="B3057" s="151" t="str">
        <f>'Reported burning'!B3057</f>
        <v>328d.3</v>
      </c>
      <c r="C3057" s="151" t="str">
        <f>'Reported burning'!C3057</f>
        <v>Human, escaped</v>
      </c>
      <c r="D3057" s="151" t="str">
        <f>'Reported burning'!D3057</f>
        <v>Land clearance</v>
      </c>
      <c r="E3057" s="151" t="str">
        <f>'Reported burning'!E3057</f>
        <v>Cropping, Monoculture, Market-oriented</v>
      </c>
      <c r="F3057" s="151" t="str">
        <f>'Reported burning'!F3057</f>
        <v>Secondary vegetation</v>
      </c>
      <c r="G3057" s="151" t="str">
        <f>'Reported burning'!G3057</f>
        <v>Forest</v>
      </c>
      <c r="H3057" s="151" t="str">
        <f>'Reported burning'!H3057</f>
        <v>Presence</v>
      </c>
      <c r="I3057" s="5"/>
      <c r="J3057" s="198" t="s">
        <v>2272</v>
      </c>
      <c r="K3057" s="198" t="s">
        <v>2272</v>
      </c>
      <c r="L3057" s="198" t="s">
        <v>2272</v>
      </c>
      <c r="M3057" s="198" t="s">
        <v>2272</v>
      </c>
      <c r="N3057" s="198" t="s">
        <v>2272</v>
      </c>
      <c r="O3057" s="198" t="s">
        <v>2272</v>
      </c>
      <c r="P3057" s="198" t="s">
        <v>2272</v>
      </c>
      <c r="Q3057" s="198" t="s">
        <v>2272</v>
      </c>
      <c r="R3057" s="198" t="s">
        <v>2272</v>
      </c>
      <c r="S3057" s="198" t="s">
        <v>2272</v>
      </c>
      <c r="T3057" s="198" t="s">
        <v>2272</v>
      </c>
      <c r="U3057" s="198" t="s">
        <v>2272</v>
      </c>
      <c r="V3057" s="198" t="s">
        <v>2272</v>
      </c>
      <c r="W3057" s="198" t="s">
        <v>2272</v>
      </c>
      <c r="X3057" s="198" t="s">
        <v>2272</v>
      </c>
      <c r="Y3057" s="198" t="s">
        <v>2272</v>
      </c>
      <c r="Z3057" s="198" t="s">
        <v>2272</v>
      </c>
      <c r="AA3057" s="198" t="s">
        <v>2272</v>
      </c>
      <c r="AB3057" s="198"/>
      <c r="AC3057" s="198"/>
    </row>
    <row r="3058" spans="1:29" ht="32.5" customHeight="1">
      <c r="A3058" s="151" t="str">
        <f>'Reported burning'!A3058</f>
        <v>328d</v>
      </c>
      <c r="B3058" s="151" t="str">
        <f>'Reported burning'!B3058</f>
        <v>328d.4</v>
      </c>
      <c r="C3058" s="151" t="str">
        <f>'Reported burning'!C3058</f>
        <v>Human, deliberate</v>
      </c>
      <c r="D3058" s="151" t="str">
        <f>'Reported burning'!D3058</f>
        <v>Arson</v>
      </c>
      <c r="E3058" s="151" t="str">
        <f>'Reported burning'!E3058</f>
        <v>ND</v>
      </c>
      <c r="F3058" s="151" t="str">
        <f>'Reported burning'!F3058</f>
        <v>Forest</v>
      </c>
      <c r="G3058" s="151" t="str">
        <f>'Reported burning'!G3058</f>
        <v>Forest</v>
      </c>
      <c r="H3058" s="151" t="str">
        <f>'Reported burning'!H3058</f>
        <v>Presence</v>
      </c>
      <c r="I3058" s="5"/>
      <c r="J3058" s="198" t="s">
        <v>2272</v>
      </c>
      <c r="K3058" s="198" t="s">
        <v>2272</v>
      </c>
      <c r="L3058" s="198" t="s">
        <v>2272</v>
      </c>
      <c r="M3058" s="198" t="s">
        <v>2272</v>
      </c>
      <c r="N3058" s="198" t="s">
        <v>2272</v>
      </c>
      <c r="O3058" s="198" t="s">
        <v>2272</v>
      </c>
      <c r="P3058" s="198" t="s">
        <v>2272</v>
      </c>
      <c r="Q3058" s="198" t="s">
        <v>2272</v>
      </c>
      <c r="R3058" s="198" t="s">
        <v>2272</v>
      </c>
      <c r="S3058" s="198" t="s">
        <v>2272</v>
      </c>
      <c r="T3058" s="198" t="s">
        <v>2272</v>
      </c>
      <c r="U3058" s="198" t="s">
        <v>2272</v>
      </c>
      <c r="V3058" s="198" t="s">
        <v>2272</v>
      </c>
      <c r="W3058" s="198" t="s">
        <v>2272</v>
      </c>
      <c r="X3058" s="198" t="s">
        <v>2272</v>
      </c>
      <c r="Y3058" s="198" t="s">
        <v>2272</v>
      </c>
      <c r="Z3058" s="198" t="s">
        <v>2272</v>
      </c>
      <c r="AA3058" s="198" t="s">
        <v>2272</v>
      </c>
      <c r="AB3058" s="198"/>
      <c r="AC3058" s="198"/>
    </row>
    <row r="3059" spans="1:29" ht="32.5" customHeight="1">
      <c r="A3059" s="151" t="str">
        <f>'Reported burning'!A3059</f>
        <v>328d</v>
      </c>
      <c r="B3059" s="151" t="str">
        <f>'Reported burning'!B3059</f>
        <v>328d.5</v>
      </c>
      <c r="C3059" s="151" t="str">
        <f>'Reported burning'!C3059</f>
        <v>Human, escaped</v>
      </c>
      <c r="D3059" s="151" t="str">
        <f>'Reported burning'!D3059</f>
        <v>Pasture renewal</v>
      </c>
      <c r="E3059" s="151" t="str">
        <f>'Reported burning'!E3059</f>
        <v>Cattle, Extensive</v>
      </c>
      <c r="F3059" s="151" t="str">
        <f>'Reported burning'!F3059</f>
        <v>Pasture</v>
      </c>
      <c r="G3059" s="151" t="str">
        <f>'Reported burning'!G3059</f>
        <v>Forest</v>
      </c>
      <c r="H3059" s="151" t="str">
        <f>'Reported burning'!H3059</f>
        <v>Presence</v>
      </c>
      <c r="I3059" s="5"/>
      <c r="J3059" s="198" t="s">
        <v>2272</v>
      </c>
      <c r="K3059" s="198" t="s">
        <v>2272</v>
      </c>
      <c r="L3059" s="198" t="s">
        <v>2272</v>
      </c>
      <c r="M3059" s="198" t="s">
        <v>2272</v>
      </c>
      <c r="N3059" s="198" t="s">
        <v>2272</v>
      </c>
      <c r="O3059" s="198" t="s">
        <v>2272</v>
      </c>
      <c r="P3059" s="198" t="s">
        <v>2272</v>
      </c>
      <c r="Q3059" s="198" t="s">
        <v>2272</v>
      </c>
      <c r="R3059" s="198" t="s">
        <v>2272</v>
      </c>
      <c r="S3059" s="198" t="s">
        <v>2272</v>
      </c>
      <c r="T3059" s="198" t="s">
        <v>2272</v>
      </c>
      <c r="U3059" s="198" t="s">
        <v>2272</v>
      </c>
      <c r="V3059" s="198" t="s">
        <v>2272</v>
      </c>
      <c r="W3059" s="198" t="s">
        <v>2272</v>
      </c>
      <c r="X3059" s="198" t="s">
        <v>2272</v>
      </c>
      <c r="Y3059" s="198" t="s">
        <v>2272</v>
      </c>
      <c r="Z3059" s="198" t="s">
        <v>2272</v>
      </c>
      <c r="AA3059" s="198" t="s">
        <v>2272</v>
      </c>
      <c r="AB3059" s="198"/>
      <c r="AC3059" s="198"/>
    </row>
    <row r="3060" spans="1:29" ht="32.5" customHeight="1">
      <c r="A3060" s="151" t="str">
        <f>'Reported burning'!A3060</f>
        <v>328d</v>
      </c>
      <c r="B3060" s="151" t="str">
        <f>'Reported burning'!B3060</f>
        <v>328d.6</v>
      </c>
      <c r="C3060" s="151" t="str">
        <f>'Reported burning'!C3060</f>
        <v>Human, deliberate</v>
      </c>
      <c r="D3060" s="151" t="str">
        <f>'Reported burning'!D3060</f>
        <v>Arson</v>
      </c>
      <c r="E3060" s="151" t="str">
        <f>'Reported burning'!E3060</f>
        <v>Cropping, Monoculture, Market-oriented</v>
      </c>
      <c r="F3060" s="151" t="str">
        <f>'Reported burning'!F3060</f>
        <v>Cropland</v>
      </c>
      <c r="G3060" s="151" t="str">
        <f>'Reported burning'!G3060</f>
        <v>Forest</v>
      </c>
      <c r="H3060" s="151" t="str">
        <f>'Reported burning'!H3060</f>
        <v>Presence</v>
      </c>
      <c r="I3060" s="5"/>
      <c r="J3060" s="198" t="s">
        <v>2272</v>
      </c>
      <c r="K3060" s="198" t="s">
        <v>2272</v>
      </c>
      <c r="L3060" s="198" t="s">
        <v>2272</v>
      </c>
      <c r="M3060" s="198" t="s">
        <v>2272</v>
      </c>
      <c r="N3060" s="198" t="s">
        <v>2272</v>
      </c>
      <c r="O3060" s="198" t="s">
        <v>2272</v>
      </c>
      <c r="P3060" s="198" t="s">
        <v>2272</v>
      </c>
      <c r="Q3060" s="198" t="s">
        <v>2272</v>
      </c>
      <c r="R3060" s="198" t="s">
        <v>2272</v>
      </c>
      <c r="S3060" s="198" t="s">
        <v>2272</v>
      </c>
      <c r="T3060" s="198" t="s">
        <v>2272</v>
      </c>
      <c r="U3060" s="198" t="s">
        <v>2272</v>
      </c>
      <c r="V3060" s="198" t="s">
        <v>2272</v>
      </c>
      <c r="W3060" s="198" t="s">
        <v>2272</v>
      </c>
      <c r="X3060" s="198" t="s">
        <v>2272</v>
      </c>
      <c r="Y3060" s="198" t="s">
        <v>2272</v>
      </c>
      <c r="Z3060" s="198" t="s">
        <v>2272</v>
      </c>
      <c r="AA3060" s="198" t="s">
        <v>2272</v>
      </c>
      <c r="AB3060" s="198"/>
      <c r="AC3060" s="198"/>
    </row>
    <row r="3061" spans="1:29" ht="32.5" customHeight="1">
      <c r="A3061" s="151" t="str">
        <f>'Reported burning'!A3061</f>
        <v>328d</v>
      </c>
      <c r="B3061" s="151" t="str">
        <f>'Reported burning'!B3061</f>
        <v>328d.7</v>
      </c>
      <c r="C3061" s="151" t="str">
        <f>'Reported burning'!C3061</f>
        <v>Human, accidental</v>
      </c>
      <c r="D3061" s="151" t="str">
        <f>'Reported burning'!D3061</f>
        <v>Accidental</v>
      </c>
      <c r="E3061" s="151" t="str">
        <f>'Reported burning'!E3061</f>
        <v>Urban planner</v>
      </c>
      <c r="F3061" s="151" t="str">
        <f>'Reported burning'!F3061</f>
        <v>ND</v>
      </c>
      <c r="G3061" s="151" t="str">
        <f>'Reported burning'!G3061</f>
        <v>Forest</v>
      </c>
      <c r="H3061" s="151" t="str">
        <f>'Reported burning'!H3061</f>
        <v>Presence</v>
      </c>
      <c r="I3061" s="5"/>
      <c r="J3061" s="198" t="s">
        <v>2272</v>
      </c>
      <c r="K3061" s="198" t="s">
        <v>2272</v>
      </c>
      <c r="L3061" s="198" t="s">
        <v>2272</v>
      </c>
      <c r="M3061" s="198" t="s">
        <v>2272</v>
      </c>
      <c r="N3061" s="198" t="s">
        <v>2272</v>
      </c>
      <c r="O3061" s="198" t="s">
        <v>2272</v>
      </c>
      <c r="P3061" s="198" t="s">
        <v>2272</v>
      </c>
      <c r="Q3061" s="198" t="s">
        <v>2272</v>
      </c>
      <c r="R3061" s="198" t="s">
        <v>2272</v>
      </c>
      <c r="S3061" s="198" t="s">
        <v>2272</v>
      </c>
      <c r="T3061" s="198" t="s">
        <v>2272</v>
      </c>
      <c r="U3061" s="198" t="s">
        <v>2272</v>
      </c>
      <c r="V3061" s="198" t="s">
        <v>2272</v>
      </c>
      <c r="W3061" s="198" t="s">
        <v>2272</v>
      </c>
      <c r="X3061" s="198" t="s">
        <v>2272</v>
      </c>
      <c r="Y3061" s="198" t="s">
        <v>2272</v>
      </c>
      <c r="Z3061" s="198" t="s">
        <v>2272</v>
      </c>
      <c r="AA3061" s="198" t="s">
        <v>2272</v>
      </c>
      <c r="AB3061" s="198"/>
      <c r="AC3061" s="198"/>
    </row>
    <row r="3062" spans="1:29" ht="32.5" customHeight="1">
      <c r="A3062" s="151" t="str">
        <f>'Reported burning'!A3062</f>
        <v>328d</v>
      </c>
      <c r="B3062" s="151" t="str">
        <f>'Reported burning'!B3062</f>
        <v>328d.8</v>
      </c>
      <c r="C3062" s="151" t="str">
        <f>'Reported burning'!C3062</f>
        <v>Lightning</v>
      </c>
      <c r="D3062" s="151" t="str">
        <f>'Reported burning'!D3062</f>
        <v>ND</v>
      </c>
      <c r="E3062" s="151" t="str">
        <f>'Reported burning'!E3062</f>
        <v>ND</v>
      </c>
      <c r="F3062" s="151" t="str">
        <f>'Reported burning'!F3062</f>
        <v>ND</v>
      </c>
      <c r="G3062" s="151" t="str">
        <f>'Reported burning'!G3062</f>
        <v>Forest</v>
      </c>
      <c r="H3062" s="151" t="str">
        <f>'Reported burning'!H3062</f>
        <v>Presence</v>
      </c>
      <c r="I3062" s="5"/>
      <c r="J3062" s="198" t="s">
        <v>2272</v>
      </c>
      <c r="K3062" s="198" t="s">
        <v>2272</v>
      </c>
      <c r="L3062" s="198" t="s">
        <v>2272</v>
      </c>
      <c r="M3062" s="198" t="s">
        <v>2272</v>
      </c>
      <c r="N3062" s="198" t="s">
        <v>2272</v>
      </c>
      <c r="O3062" s="198" t="s">
        <v>2272</v>
      </c>
      <c r="P3062" s="198" t="s">
        <v>2272</v>
      </c>
      <c r="Q3062" s="198" t="s">
        <v>2272</v>
      </c>
      <c r="R3062" s="198" t="s">
        <v>2272</v>
      </c>
      <c r="S3062" s="198" t="s">
        <v>2272</v>
      </c>
      <c r="T3062" s="198" t="s">
        <v>2272</v>
      </c>
      <c r="U3062" s="198" t="s">
        <v>2272</v>
      </c>
      <c r="V3062" s="198" t="s">
        <v>2272</v>
      </c>
      <c r="W3062" s="198" t="s">
        <v>2272</v>
      </c>
      <c r="X3062" s="198" t="s">
        <v>2272</v>
      </c>
      <c r="Y3062" s="198" t="s">
        <v>2272</v>
      </c>
      <c r="Z3062" s="198" t="s">
        <v>2272</v>
      </c>
      <c r="AA3062" s="198" t="s">
        <v>2272</v>
      </c>
      <c r="AB3062" s="198"/>
      <c r="AC3062" s="198"/>
    </row>
    <row r="3063" spans="1:29" ht="32.5" customHeight="1">
      <c r="A3063" s="147" t="str">
        <f>'Reported burning'!A3063</f>
        <v>329a</v>
      </c>
      <c r="B3063" s="147" t="str">
        <f>'Reported burning'!B3063</f>
        <v>329a.1</v>
      </c>
      <c r="C3063" s="147" t="str">
        <f>'Reported burning'!C3063</f>
        <v>Human, deliberate</v>
      </c>
      <c r="D3063" s="147" t="str">
        <f>'Reported burning'!D3063</f>
        <v>Hunting</v>
      </c>
      <c r="E3063" s="147" t="str">
        <f>'Reported burning'!E3063</f>
        <v>Forestry, Traditional</v>
      </c>
      <c r="F3063" s="147" t="str">
        <f>'Reported burning'!F3063</f>
        <v>Shrubland (Mixed forest &amp; grassland)</v>
      </c>
      <c r="G3063" s="147" t="str">
        <f>'Reported burning'!G3063</f>
        <v>Shrubland (Mixed forest &amp; grassland)</v>
      </c>
      <c r="H3063" s="147" t="str">
        <f>'Reported burning'!H3063</f>
        <v>Presence</v>
      </c>
      <c r="I3063" s="198"/>
      <c r="J3063" s="198" t="s">
        <v>2272</v>
      </c>
      <c r="K3063" s="198" t="s">
        <v>2272</v>
      </c>
      <c r="L3063" s="198" t="s">
        <v>2272</v>
      </c>
      <c r="M3063" s="198" t="s">
        <v>2272</v>
      </c>
      <c r="N3063" s="198" t="s">
        <v>2272</v>
      </c>
      <c r="O3063" s="198" t="s">
        <v>2272</v>
      </c>
      <c r="P3063" s="198" t="s">
        <v>2272</v>
      </c>
      <c r="Q3063" s="198" t="s">
        <v>2272</v>
      </c>
      <c r="R3063" s="198" t="s">
        <v>2272</v>
      </c>
      <c r="S3063" s="198" t="s">
        <v>2272</v>
      </c>
      <c r="T3063" s="198" t="s">
        <v>2272</v>
      </c>
      <c r="U3063" s="198" t="s">
        <v>2272</v>
      </c>
      <c r="V3063" s="198" t="s">
        <v>2272</v>
      </c>
      <c r="W3063" s="198" t="s">
        <v>2272</v>
      </c>
      <c r="X3063" s="21" t="s">
        <v>2397</v>
      </c>
      <c r="Y3063" s="198" t="s">
        <v>37</v>
      </c>
      <c r="Z3063" s="198" t="s">
        <v>67</v>
      </c>
      <c r="AA3063" s="198" t="s">
        <v>2272</v>
      </c>
      <c r="AB3063" s="198"/>
      <c r="AC3063" s="198" t="s">
        <v>8150</v>
      </c>
    </row>
    <row r="3064" spans="1:29" ht="32.5" customHeight="1">
      <c r="A3064" s="147" t="str">
        <f>'Reported burning'!A3064</f>
        <v>329a</v>
      </c>
      <c r="B3064" s="147" t="str">
        <f>'Reported burning'!B3064</f>
        <v>329a.2</v>
      </c>
      <c r="C3064" s="147" t="str">
        <f>'Reported burning'!C3064</f>
        <v>Lightning</v>
      </c>
      <c r="D3064" s="147" t="str">
        <f>'Reported burning'!D3064</f>
        <v>ND</v>
      </c>
      <c r="E3064" s="147" t="str">
        <f>'Reported burning'!E3064</f>
        <v>ND</v>
      </c>
      <c r="F3064" s="147" t="str">
        <f>'Reported burning'!F3064</f>
        <v>ND</v>
      </c>
      <c r="G3064" s="147" t="str">
        <f>'Reported burning'!G3064</f>
        <v>Shrubland (Mixed forest &amp; grassland)</v>
      </c>
      <c r="H3064" s="147" t="str">
        <f>'Reported burning'!H3064</f>
        <v>Presence</v>
      </c>
      <c r="I3064" s="198"/>
      <c r="J3064" s="198" t="s">
        <v>2272</v>
      </c>
      <c r="K3064" s="198" t="s">
        <v>2272</v>
      </c>
      <c r="L3064" s="198" t="s">
        <v>2272</v>
      </c>
      <c r="M3064" s="198" t="s">
        <v>2272</v>
      </c>
      <c r="N3064" s="198" t="s">
        <v>2272</v>
      </c>
      <c r="O3064" s="198" t="s">
        <v>2272</v>
      </c>
      <c r="P3064" s="198" t="s">
        <v>2272</v>
      </c>
      <c r="Q3064" s="198" t="s">
        <v>2272</v>
      </c>
      <c r="R3064" s="198" t="s">
        <v>2272</v>
      </c>
      <c r="S3064" s="198" t="s">
        <v>2272</v>
      </c>
      <c r="T3064" s="198" t="s">
        <v>2272</v>
      </c>
      <c r="U3064" s="198" t="s">
        <v>2272</v>
      </c>
      <c r="V3064" s="198" t="s">
        <v>2272</v>
      </c>
      <c r="W3064" s="198" t="s">
        <v>2272</v>
      </c>
      <c r="X3064" s="198" t="s">
        <v>2272</v>
      </c>
      <c r="Y3064" s="198" t="s">
        <v>2272</v>
      </c>
      <c r="Z3064" s="198" t="s">
        <v>2272</v>
      </c>
      <c r="AA3064" s="198" t="s">
        <v>2272</v>
      </c>
      <c r="AB3064" s="198"/>
      <c r="AC3064" s="198" t="s">
        <v>7883</v>
      </c>
    </row>
    <row r="3065" spans="1:29" ht="32.5" customHeight="1">
      <c r="A3065" s="147" t="str">
        <f>'Reported burning'!A3065</f>
        <v>330a</v>
      </c>
      <c r="B3065" s="147" t="str">
        <f>'Reported burning'!B3065</f>
        <v>330a.1</v>
      </c>
      <c r="C3065" s="147" t="str">
        <f>'Reported burning'!C3065</f>
        <v>Human, deliberate</v>
      </c>
      <c r="D3065" s="147" t="str">
        <f>'Reported burning'!D3065</f>
        <v>Pyrome management</v>
      </c>
      <c r="E3065" s="147" t="str">
        <f>'Reported burning'!E3065</f>
        <v>Forestry, Traditional</v>
      </c>
      <c r="F3065" s="147" t="str">
        <f>'Reported burning'!F3065</f>
        <v>Shrubland (Mixed forest &amp; grassland)</v>
      </c>
      <c r="G3065" s="147" t="str">
        <f>'Reported burning'!G3065</f>
        <v>Shrubland (Mixed forest &amp; grassland)</v>
      </c>
      <c r="H3065" s="147" t="str">
        <f>'Reported burning'!H3065</f>
        <v>Presence</v>
      </c>
      <c r="I3065" s="198"/>
      <c r="J3065" s="198" t="s">
        <v>2272</v>
      </c>
      <c r="K3065" s="198" t="s">
        <v>2272</v>
      </c>
      <c r="L3065" s="198" t="s">
        <v>2272</v>
      </c>
      <c r="M3065" s="198" t="s">
        <v>2272</v>
      </c>
      <c r="N3065" s="198" t="s">
        <v>2272</v>
      </c>
      <c r="O3065" s="198" t="s">
        <v>2272</v>
      </c>
      <c r="P3065" s="198" t="s">
        <v>2272</v>
      </c>
      <c r="Q3065" s="198" t="s">
        <v>2272</v>
      </c>
      <c r="R3065" s="198" t="s">
        <v>2272</v>
      </c>
      <c r="S3065" s="198" t="s">
        <v>2272</v>
      </c>
      <c r="T3065" s="198" t="s">
        <v>2272</v>
      </c>
      <c r="U3065" s="198" t="s">
        <v>2272</v>
      </c>
      <c r="V3065" s="198" t="s">
        <v>2272</v>
      </c>
      <c r="W3065" s="198" t="s">
        <v>2272</v>
      </c>
      <c r="X3065" s="198" t="s">
        <v>2272</v>
      </c>
      <c r="Y3065" s="198" t="s">
        <v>67</v>
      </c>
      <c r="Z3065" s="198" t="s">
        <v>125</v>
      </c>
      <c r="AA3065" s="198" t="s">
        <v>2650</v>
      </c>
      <c r="AB3065" s="198"/>
      <c r="AC3065" s="198"/>
    </row>
    <row r="3066" spans="1:29" ht="36" customHeight="1">
      <c r="A3066" s="147" t="str">
        <f>'Reported burning'!A3066</f>
        <v>330a</v>
      </c>
      <c r="B3066" s="147" t="str">
        <f>'Reported burning'!B3066</f>
        <v>330a.2</v>
      </c>
      <c r="C3066" s="147" t="str">
        <f>'Reported burning'!C3066</f>
        <v>Human, deliberate</v>
      </c>
      <c r="D3066" s="147" t="str">
        <f>'Reported burning'!D3066</f>
        <v>Pyrome management</v>
      </c>
      <c r="E3066" s="147" t="str">
        <f>'Reported burning'!E3066</f>
        <v>Cropping, Swidden</v>
      </c>
      <c r="F3066" s="147" t="str">
        <f>'Reported burning'!F3066</f>
        <v>Cropland</v>
      </c>
      <c r="G3066" s="147" t="str">
        <f>'Reported burning'!G3066</f>
        <v>ND</v>
      </c>
      <c r="H3066" s="147" t="str">
        <f>'Reported burning'!H3066</f>
        <v>Presence</v>
      </c>
      <c r="I3066" s="198"/>
      <c r="J3066" s="198" t="s">
        <v>2272</v>
      </c>
      <c r="K3066" s="198" t="s">
        <v>2272</v>
      </c>
      <c r="L3066" s="198" t="s">
        <v>2272</v>
      </c>
      <c r="M3066" s="198" t="s">
        <v>2272</v>
      </c>
      <c r="N3066" s="198" t="s">
        <v>2272</v>
      </c>
      <c r="O3066" s="198" t="s">
        <v>2272</v>
      </c>
      <c r="P3066" s="198" t="s">
        <v>2272</v>
      </c>
      <c r="Q3066" s="198" t="s">
        <v>2272</v>
      </c>
      <c r="R3066" s="198" t="s">
        <v>2272</v>
      </c>
      <c r="S3066" s="198" t="s">
        <v>2272</v>
      </c>
      <c r="T3066" s="198" t="s">
        <v>2272</v>
      </c>
      <c r="U3066" s="198" t="s">
        <v>2272</v>
      </c>
      <c r="V3066" s="198" t="s">
        <v>2272</v>
      </c>
      <c r="W3066" s="198" t="s">
        <v>2272</v>
      </c>
      <c r="X3066" s="198" t="s">
        <v>2272</v>
      </c>
      <c r="Y3066" s="198" t="s">
        <v>125</v>
      </c>
      <c r="Z3066" s="198" t="s">
        <v>397</v>
      </c>
      <c r="AA3066" s="198" t="s">
        <v>75</v>
      </c>
      <c r="AB3066" s="198"/>
      <c r="AC3066" s="198"/>
    </row>
    <row r="3067" spans="1:29" ht="34.5" customHeight="1">
      <c r="A3067" s="147" t="str">
        <f>'Reported burning'!A3067</f>
        <v>330a</v>
      </c>
      <c r="B3067" s="147" t="str">
        <f>'Reported burning'!B3067</f>
        <v>330a.3</v>
      </c>
      <c r="C3067" s="147" t="str">
        <f>'Reported burning'!C3067</f>
        <v>Human, deliberate</v>
      </c>
      <c r="D3067" s="147" t="str">
        <f>'Reported burning'!D3067</f>
        <v>Pasture renewal</v>
      </c>
      <c r="E3067" s="147" t="str">
        <f>'Reported burning'!E3067</f>
        <v>Cattle, Extensive</v>
      </c>
      <c r="F3067" s="147" t="str">
        <f>'Reported burning'!F3067</f>
        <v>ND</v>
      </c>
      <c r="G3067" s="147" t="str">
        <f>'Reported burning'!G3067</f>
        <v>Shrubland (Mixed forest &amp; grassland)</v>
      </c>
      <c r="H3067" s="147" t="str">
        <f>'Reported burning'!H3067</f>
        <v>Presence</v>
      </c>
      <c r="I3067" s="198"/>
      <c r="J3067" s="198" t="s">
        <v>2272</v>
      </c>
      <c r="K3067" s="198" t="s">
        <v>2272</v>
      </c>
      <c r="L3067" s="198" t="s">
        <v>2272</v>
      </c>
      <c r="M3067" s="198" t="s">
        <v>2272</v>
      </c>
      <c r="N3067" s="198" t="s">
        <v>2272</v>
      </c>
      <c r="O3067" s="198" t="s">
        <v>2272</v>
      </c>
      <c r="P3067" s="198" t="s">
        <v>2272</v>
      </c>
      <c r="Q3067" s="198" t="s">
        <v>2272</v>
      </c>
      <c r="R3067" s="198" t="s">
        <v>2272</v>
      </c>
      <c r="S3067" s="198" t="s">
        <v>2272</v>
      </c>
      <c r="T3067" s="198" t="s">
        <v>2272</v>
      </c>
      <c r="U3067" s="198" t="s">
        <v>2272</v>
      </c>
      <c r="V3067" s="198" t="s">
        <v>2272</v>
      </c>
      <c r="W3067" s="198" t="s">
        <v>2272</v>
      </c>
      <c r="X3067" s="198" t="s">
        <v>2272</v>
      </c>
      <c r="Y3067" s="198" t="s">
        <v>67</v>
      </c>
      <c r="Z3067" s="198" t="s">
        <v>125</v>
      </c>
      <c r="AA3067" s="198" t="s">
        <v>2272</v>
      </c>
      <c r="AB3067" s="198"/>
      <c r="AC3067" s="198"/>
    </row>
    <row r="3068" spans="1:29" ht="44" customHeight="1">
      <c r="A3068" s="147" t="str">
        <f>'Reported burning'!A3068</f>
        <v>330a</v>
      </c>
      <c r="B3068" s="147" t="str">
        <f>'Reported burning'!B3068</f>
        <v>330a.4</v>
      </c>
      <c r="C3068" s="147" t="str">
        <f>'Reported burning'!C3068</f>
        <v>Human, deliberate</v>
      </c>
      <c r="D3068" s="147" t="str">
        <f>'Reported burning'!D3068</f>
        <v>Hunting</v>
      </c>
      <c r="E3068" s="147" t="str">
        <f>'Reported burning'!E3068</f>
        <v>Forestry, Traditional</v>
      </c>
      <c r="F3068" s="147" t="str">
        <f>'Reported burning'!F3068</f>
        <v>ND</v>
      </c>
      <c r="G3068" s="147" t="str">
        <f>'Reported burning'!G3068</f>
        <v>Shrubland (Mixed forest &amp; grassland)</v>
      </c>
      <c r="H3068" s="147" t="str">
        <f>'Reported burning'!H3068</f>
        <v>Presence</v>
      </c>
      <c r="I3068" s="198"/>
      <c r="J3068" s="198" t="s">
        <v>2272</v>
      </c>
      <c r="K3068" s="198" t="s">
        <v>2272</v>
      </c>
      <c r="L3068" s="198" t="s">
        <v>2272</v>
      </c>
      <c r="M3068" s="198" t="s">
        <v>2272</v>
      </c>
      <c r="N3068" s="198" t="s">
        <v>2272</v>
      </c>
      <c r="O3068" s="198" t="s">
        <v>2272</v>
      </c>
      <c r="P3068" s="198" t="s">
        <v>2272</v>
      </c>
      <c r="Q3068" s="198" t="s">
        <v>2272</v>
      </c>
      <c r="R3068" s="198" t="s">
        <v>2272</v>
      </c>
      <c r="S3068" s="198" t="s">
        <v>2272</v>
      </c>
      <c r="T3068" s="198" t="s">
        <v>2272</v>
      </c>
      <c r="U3068" s="198" t="s">
        <v>2272</v>
      </c>
      <c r="V3068" s="198" t="s">
        <v>2272</v>
      </c>
      <c r="W3068" s="198" t="s">
        <v>2272</v>
      </c>
      <c r="X3068" s="198" t="s">
        <v>2272</v>
      </c>
      <c r="Y3068" s="198" t="s">
        <v>125</v>
      </c>
      <c r="Z3068" s="198" t="s">
        <v>125</v>
      </c>
      <c r="AA3068" s="198" t="s">
        <v>2272</v>
      </c>
      <c r="AB3068" s="198"/>
      <c r="AC3068" s="198"/>
    </row>
    <row r="3069" spans="1:29" ht="44" customHeight="1">
      <c r="A3069" s="147" t="str">
        <f>'Reported burning'!A3069</f>
        <v>330a</v>
      </c>
      <c r="B3069" s="147" t="str">
        <f>'Reported burning'!B3069</f>
        <v>330a.5</v>
      </c>
      <c r="C3069" s="147" t="str">
        <f>'Reported burning'!C3069</f>
        <v>All</v>
      </c>
      <c r="D3069" s="147" t="str">
        <f>'Reported burning'!D3069</f>
        <v>All</v>
      </c>
      <c r="E3069" s="147" t="str">
        <f>'Reported burning'!E3069</f>
        <v>All</v>
      </c>
      <c r="F3069" s="147" t="str">
        <f>'Reported burning'!F3069</f>
        <v>ND</v>
      </c>
      <c r="G3069" s="147" t="str">
        <f>'Reported burning'!G3069</f>
        <v>Shrubland (Mixed forest &amp; grassland)</v>
      </c>
      <c r="H3069" s="147" t="str">
        <f>'Reported burning'!H3069</f>
        <v>Presence</v>
      </c>
      <c r="I3069" s="198"/>
      <c r="J3069" s="198" t="s">
        <v>2272</v>
      </c>
      <c r="K3069" s="198" t="s">
        <v>2272</v>
      </c>
      <c r="L3069" s="198" t="s">
        <v>2272</v>
      </c>
      <c r="M3069" s="198" t="s">
        <v>2272</v>
      </c>
      <c r="N3069" s="198" t="s">
        <v>2272</v>
      </c>
      <c r="O3069" s="198" t="s">
        <v>2272</v>
      </c>
      <c r="P3069" s="198" t="s">
        <v>2272</v>
      </c>
      <c r="Q3069" s="198" t="s">
        <v>2272</v>
      </c>
      <c r="R3069" s="198" t="s">
        <v>2272</v>
      </c>
      <c r="S3069" s="198" t="s">
        <v>2272</v>
      </c>
      <c r="T3069" s="198" t="s">
        <v>2272</v>
      </c>
      <c r="U3069" s="198" t="s">
        <v>2272</v>
      </c>
      <c r="V3069" s="198" t="s">
        <v>2272</v>
      </c>
      <c r="W3069" s="21" t="s">
        <v>2371</v>
      </c>
      <c r="X3069" s="198" t="s">
        <v>2272</v>
      </c>
      <c r="Y3069" s="198" t="s">
        <v>67</v>
      </c>
      <c r="Z3069" s="198" t="s">
        <v>67</v>
      </c>
      <c r="AA3069" s="198" t="s">
        <v>2272</v>
      </c>
      <c r="AB3069" s="198"/>
      <c r="AC3069" s="198"/>
    </row>
    <row r="3070" spans="1:29" ht="44" customHeight="1">
      <c r="A3070" s="147" t="str">
        <f>'Reported burning'!A3070</f>
        <v>330a</v>
      </c>
      <c r="B3070" s="147" t="str">
        <f>'Reported burning'!B3070</f>
        <v>330a.6</v>
      </c>
      <c r="C3070" s="147" t="str">
        <f>'Reported burning'!C3070</f>
        <v>All</v>
      </c>
      <c r="D3070" s="147" t="str">
        <f>'Reported burning'!D3070</f>
        <v>All</v>
      </c>
      <c r="E3070" s="147" t="str">
        <f>'Reported burning'!E3070</f>
        <v>All</v>
      </c>
      <c r="F3070" s="147" t="str">
        <f>'Reported burning'!F3070</f>
        <v>ND</v>
      </c>
      <c r="G3070" s="147" t="str">
        <f>'Reported burning'!G3070</f>
        <v>Shrubland (Mixed forest &amp; grassland)</v>
      </c>
      <c r="H3070" s="147" t="str">
        <f>'Reported burning'!H3070</f>
        <v>Presence</v>
      </c>
      <c r="I3070" s="198"/>
      <c r="J3070" s="198" t="s">
        <v>2272</v>
      </c>
      <c r="K3070" s="198" t="s">
        <v>2272</v>
      </c>
      <c r="L3070" s="198" t="s">
        <v>2272</v>
      </c>
      <c r="M3070" s="198" t="s">
        <v>2272</v>
      </c>
      <c r="N3070" s="198" t="s">
        <v>2272</v>
      </c>
      <c r="O3070" s="198" t="s">
        <v>2272</v>
      </c>
      <c r="P3070" s="198" t="s">
        <v>2272</v>
      </c>
      <c r="Q3070" s="198" t="s">
        <v>2272</v>
      </c>
      <c r="R3070" s="198" t="s">
        <v>2272</v>
      </c>
      <c r="S3070" s="198" t="s">
        <v>2272</v>
      </c>
      <c r="T3070" s="198" t="s">
        <v>2272</v>
      </c>
      <c r="U3070" s="198" t="s">
        <v>2272</v>
      </c>
      <c r="V3070" s="198" t="s">
        <v>2272</v>
      </c>
      <c r="W3070" s="21" t="s">
        <v>2369</v>
      </c>
      <c r="X3070" s="198" t="s">
        <v>2272</v>
      </c>
      <c r="Y3070" s="198" t="s">
        <v>34</v>
      </c>
      <c r="Z3070" s="198" t="s">
        <v>34</v>
      </c>
      <c r="AA3070" s="198" t="s">
        <v>2272</v>
      </c>
      <c r="AB3070" s="198"/>
      <c r="AC3070" s="198"/>
    </row>
    <row r="3071" spans="1:29" ht="44" customHeight="1">
      <c r="A3071" s="147" t="str">
        <f>'Reported burning'!A3071</f>
        <v>330a</v>
      </c>
      <c r="B3071" s="147" t="str">
        <f>'Reported burning'!B3071</f>
        <v>330a.7</v>
      </c>
      <c r="C3071" s="147" t="str">
        <f>'Reported burning'!C3071</f>
        <v>All</v>
      </c>
      <c r="D3071" s="147" t="str">
        <f>'Reported burning'!D3071</f>
        <v>All</v>
      </c>
      <c r="E3071" s="147" t="str">
        <f>'Reported burning'!E3071</f>
        <v>All</v>
      </c>
      <c r="F3071" s="147" t="str">
        <f>'Reported burning'!F3071</f>
        <v>ND</v>
      </c>
      <c r="G3071" s="147" t="str">
        <f>'Reported burning'!G3071</f>
        <v>Shrubland (Mixed forest &amp; grassland)</v>
      </c>
      <c r="H3071" s="147" t="str">
        <f>'Reported burning'!H3071</f>
        <v>Presence</v>
      </c>
      <c r="I3071" s="198"/>
      <c r="J3071" s="198" t="s">
        <v>2272</v>
      </c>
      <c r="K3071" s="198" t="s">
        <v>2272</v>
      </c>
      <c r="L3071" s="198" t="s">
        <v>2272</v>
      </c>
      <c r="M3071" s="198" t="s">
        <v>2272</v>
      </c>
      <c r="N3071" s="198" t="s">
        <v>2272</v>
      </c>
      <c r="O3071" s="198" t="s">
        <v>2272</v>
      </c>
      <c r="P3071" s="198" t="s">
        <v>2272</v>
      </c>
      <c r="Q3071" s="198" t="s">
        <v>2272</v>
      </c>
      <c r="R3071" s="198" t="s">
        <v>2272</v>
      </c>
      <c r="S3071" s="198" t="s">
        <v>2272</v>
      </c>
      <c r="T3071" s="198" t="s">
        <v>2272</v>
      </c>
      <c r="U3071" s="198" t="s">
        <v>2272</v>
      </c>
      <c r="V3071" s="198" t="s">
        <v>2272</v>
      </c>
      <c r="W3071" s="21" t="s">
        <v>2371</v>
      </c>
      <c r="X3071" s="198" t="s">
        <v>2272</v>
      </c>
      <c r="Y3071" s="198" t="s">
        <v>125</v>
      </c>
      <c r="Z3071" s="198" t="s">
        <v>125</v>
      </c>
      <c r="AA3071" s="198" t="s">
        <v>2272</v>
      </c>
      <c r="AB3071" s="198"/>
      <c r="AC3071" s="198"/>
    </row>
    <row r="3072" spans="1:29" ht="44" customHeight="1">
      <c r="A3072" s="147" t="str">
        <f>'Reported burning'!A3072</f>
        <v>330a</v>
      </c>
      <c r="B3072" s="147" t="str">
        <f>'Reported burning'!B3072</f>
        <v>330a.8</v>
      </c>
      <c r="C3072" s="147" t="str">
        <f>'Reported burning'!C3072</f>
        <v>All</v>
      </c>
      <c r="D3072" s="147" t="str">
        <f>'Reported burning'!D3072</f>
        <v>All</v>
      </c>
      <c r="E3072" s="147" t="str">
        <f>'Reported burning'!E3072</f>
        <v>All</v>
      </c>
      <c r="F3072" s="147" t="str">
        <f>'Reported burning'!F3072</f>
        <v>ND</v>
      </c>
      <c r="G3072" s="147" t="str">
        <f>'Reported burning'!G3072</f>
        <v>Shrubland (Mixed forest &amp; grassland)</v>
      </c>
      <c r="H3072" s="147" t="str">
        <f>'Reported burning'!H3072</f>
        <v>Presence</v>
      </c>
      <c r="I3072" s="198"/>
      <c r="J3072" s="198" t="s">
        <v>2272</v>
      </c>
      <c r="K3072" s="198" t="s">
        <v>2272</v>
      </c>
      <c r="L3072" s="198" t="s">
        <v>2272</v>
      </c>
      <c r="M3072" s="198" t="s">
        <v>2272</v>
      </c>
      <c r="N3072" s="198" t="s">
        <v>2272</v>
      </c>
      <c r="O3072" s="198" t="s">
        <v>2272</v>
      </c>
      <c r="P3072" s="198" t="s">
        <v>2272</v>
      </c>
      <c r="Q3072" s="198" t="s">
        <v>2272</v>
      </c>
      <c r="R3072" s="198" t="s">
        <v>2272</v>
      </c>
      <c r="S3072" s="198" t="s">
        <v>2272</v>
      </c>
      <c r="T3072" s="198" t="s">
        <v>2272</v>
      </c>
      <c r="U3072" s="198" t="s">
        <v>2272</v>
      </c>
      <c r="V3072" s="198" t="s">
        <v>2272</v>
      </c>
      <c r="W3072" s="21" t="s">
        <v>2369</v>
      </c>
      <c r="X3072" s="198" t="s">
        <v>2272</v>
      </c>
      <c r="Y3072" s="198" t="s">
        <v>397</v>
      </c>
      <c r="Z3072" s="198" t="s">
        <v>397</v>
      </c>
      <c r="AA3072" s="198" t="s">
        <v>2272</v>
      </c>
      <c r="AB3072" s="198"/>
      <c r="AC3072" s="198"/>
    </row>
    <row r="3073" spans="1:29" ht="44" customHeight="1">
      <c r="A3073" s="147" t="str">
        <f>'Reported burning'!A3073</f>
        <v>330a</v>
      </c>
      <c r="B3073" s="147" t="str">
        <f>'Reported burning'!B3073</f>
        <v>330a.9</v>
      </c>
      <c r="C3073" s="147" t="str">
        <f>'Reported burning'!C3073</f>
        <v>All</v>
      </c>
      <c r="D3073" s="147" t="str">
        <f>'Reported burning'!D3073</f>
        <v>All</v>
      </c>
      <c r="E3073" s="147" t="str">
        <f>'Reported burning'!E3073</f>
        <v>All</v>
      </c>
      <c r="F3073" s="147" t="str">
        <f>'Reported burning'!F3073</f>
        <v>ND</v>
      </c>
      <c r="G3073" s="147" t="str">
        <f>'Reported burning'!G3073</f>
        <v>Shrubland (Mixed forest &amp; grassland)</v>
      </c>
      <c r="H3073" s="147" t="str">
        <f>'Reported burning'!H3073</f>
        <v>Presence</v>
      </c>
      <c r="I3073" s="198"/>
      <c r="J3073" s="198" t="s">
        <v>2272</v>
      </c>
      <c r="K3073" s="198" t="s">
        <v>2272</v>
      </c>
      <c r="L3073" s="198" t="s">
        <v>2272</v>
      </c>
      <c r="M3073" s="198" t="s">
        <v>2272</v>
      </c>
      <c r="N3073" s="198" t="s">
        <v>2272</v>
      </c>
      <c r="O3073" s="198" t="s">
        <v>2272</v>
      </c>
      <c r="P3073" s="198" t="s">
        <v>2272</v>
      </c>
      <c r="Q3073" s="198" t="s">
        <v>2272</v>
      </c>
      <c r="R3073" s="198" t="s">
        <v>2272</v>
      </c>
      <c r="S3073" s="198" t="s">
        <v>2272</v>
      </c>
      <c r="T3073" s="198" t="s">
        <v>2272</v>
      </c>
      <c r="U3073" s="198" t="s">
        <v>2272</v>
      </c>
      <c r="V3073" s="198" t="s">
        <v>2272</v>
      </c>
      <c r="W3073" s="21" t="s">
        <v>2369</v>
      </c>
      <c r="X3073" s="198" t="s">
        <v>2272</v>
      </c>
      <c r="Y3073" s="198" t="s">
        <v>186</v>
      </c>
      <c r="Z3073" s="198" t="s">
        <v>186</v>
      </c>
      <c r="AA3073" s="198" t="s">
        <v>2272</v>
      </c>
      <c r="AB3073" s="198"/>
      <c r="AC3073" s="198"/>
    </row>
    <row r="3074" spans="1:29" ht="44" customHeight="1">
      <c r="A3074" s="147" t="str">
        <f>'Reported burning'!A3074</f>
        <v>330a</v>
      </c>
      <c r="B3074" s="147" t="str">
        <f>'Reported burning'!B3074</f>
        <v>330a.10</v>
      </c>
      <c r="C3074" s="147" t="str">
        <f>'Reported burning'!C3074</f>
        <v>All</v>
      </c>
      <c r="D3074" s="147" t="str">
        <f>'Reported burning'!D3074</f>
        <v>All</v>
      </c>
      <c r="E3074" s="147" t="str">
        <f>'Reported burning'!E3074</f>
        <v>All</v>
      </c>
      <c r="F3074" s="147" t="str">
        <f>'Reported burning'!F3074</f>
        <v>ND</v>
      </c>
      <c r="G3074" s="147" t="str">
        <f>'Reported burning'!G3074</f>
        <v>Shrubland (Mixed forest &amp; grassland)</v>
      </c>
      <c r="H3074" s="147" t="str">
        <f>'Reported burning'!H3074</f>
        <v>Presence</v>
      </c>
      <c r="I3074" s="198"/>
      <c r="J3074" s="198" t="s">
        <v>2272</v>
      </c>
      <c r="K3074" s="198" t="s">
        <v>2272</v>
      </c>
      <c r="L3074" s="198" t="s">
        <v>2272</v>
      </c>
      <c r="M3074" s="198" t="s">
        <v>2272</v>
      </c>
      <c r="N3074" s="198" t="s">
        <v>2272</v>
      </c>
      <c r="O3074" s="198" t="s">
        <v>2272</v>
      </c>
      <c r="P3074" s="198" t="s">
        <v>2272</v>
      </c>
      <c r="Q3074" s="198" t="s">
        <v>2272</v>
      </c>
      <c r="R3074" s="198" t="s">
        <v>2272</v>
      </c>
      <c r="S3074" s="198" t="s">
        <v>2272</v>
      </c>
      <c r="T3074" s="198" t="s">
        <v>2272</v>
      </c>
      <c r="U3074" s="198" t="s">
        <v>2272</v>
      </c>
      <c r="V3074" s="198" t="s">
        <v>2272</v>
      </c>
      <c r="W3074" s="21" t="s">
        <v>2522</v>
      </c>
      <c r="X3074" s="198" t="s">
        <v>2272</v>
      </c>
      <c r="Y3074" s="198" t="s">
        <v>187</v>
      </c>
      <c r="Z3074" s="198" t="s">
        <v>187</v>
      </c>
      <c r="AA3074" s="198" t="s">
        <v>2272</v>
      </c>
      <c r="AB3074" s="198"/>
      <c r="AC3074" s="198"/>
    </row>
    <row r="3075" spans="1:29" ht="44" customHeight="1">
      <c r="A3075" s="147" t="str">
        <f>'Reported burning'!A3075</f>
        <v>330b</v>
      </c>
      <c r="B3075" s="147" t="str">
        <f>'Reported burning'!B3075</f>
        <v>330b.1</v>
      </c>
      <c r="C3075" s="147" t="str">
        <f>'Reported burning'!C3075</f>
        <v>All</v>
      </c>
      <c r="D3075" s="147" t="str">
        <f>'Reported burning'!D3075</f>
        <v>All</v>
      </c>
      <c r="E3075" s="147" t="str">
        <f>'Reported burning'!E3075</f>
        <v>All</v>
      </c>
      <c r="F3075" s="147" t="str">
        <f>'Reported burning'!F3075</f>
        <v>ND</v>
      </c>
      <c r="G3075" s="147" t="str">
        <f>'Reported burning'!G3075</f>
        <v>Shrubland (Mixed forest &amp; grassland)</v>
      </c>
      <c r="H3075" s="147" t="str">
        <f>'Reported burning'!H3075</f>
        <v>Presence</v>
      </c>
      <c r="I3075" s="198"/>
      <c r="J3075" s="198" t="s">
        <v>2272</v>
      </c>
      <c r="K3075" s="198" t="s">
        <v>2272</v>
      </c>
      <c r="L3075" s="198" t="s">
        <v>2272</v>
      </c>
      <c r="M3075" s="198" t="s">
        <v>2272</v>
      </c>
      <c r="N3075" s="198" t="s">
        <v>2272</v>
      </c>
      <c r="O3075" s="198" t="s">
        <v>2272</v>
      </c>
      <c r="P3075" s="198" t="s">
        <v>2272</v>
      </c>
      <c r="Q3075" s="198" t="s">
        <v>2272</v>
      </c>
      <c r="R3075" s="198" t="s">
        <v>2272</v>
      </c>
      <c r="S3075" s="198" t="s">
        <v>2272</v>
      </c>
      <c r="T3075" s="198" t="s">
        <v>2272</v>
      </c>
      <c r="U3075" s="198" t="s">
        <v>2272</v>
      </c>
      <c r="V3075" s="198" t="s">
        <v>2272</v>
      </c>
      <c r="W3075" s="21" t="s">
        <v>2522</v>
      </c>
      <c r="X3075" s="198" t="s">
        <v>2272</v>
      </c>
      <c r="Y3075" s="198" t="s">
        <v>67</v>
      </c>
      <c r="Z3075" s="198" t="s">
        <v>67</v>
      </c>
      <c r="AA3075" s="198" t="s">
        <v>2272</v>
      </c>
      <c r="AB3075" s="198"/>
      <c r="AC3075" s="198"/>
    </row>
    <row r="3076" spans="1:29" ht="44" customHeight="1">
      <c r="A3076" s="147" t="str">
        <f>'Reported burning'!A3076</f>
        <v>330b</v>
      </c>
      <c r="B3076" s="147" t="str">
        <f>'Reported burning'!B3076</f>
        <v>330b.2</v>
      </c>
      <c r="C3076" s="147" t="str">
        <f>'Reported burning'!C3076</f>
        <v>All</v>
      </c>
      <c r="D3076" s="147" t="str">
        <f>'Reported burning'!D3076</f>
        <v>All</v>
      </c>
      <c r="E3076" s="147" t="str">
        <f>'Reported burning'!E3076</f>
        <v>All</v>
      </c>
      <c r="F3076" s="147" t="str">
        <f>'Reported burning'!F3076</f>
        <v>ND</v>
      </c>
      <c r="G3076" s="147" t="str">
        <f>'Reported burning'!G3076</f>
        <v>Shrubland (Mixed forest &amp; grassland)</v>
      </c>
      <c r="H3076" s="147" t="str">
        <f>'Reported burning'!H3076</f>
        <v>Presence</v>
      </c>
      <c r="I3076" s="198"/>
      <c r="J3076" s="198" t="s">
        <v>2272</v>
      </c>
      <c r="K3076" s="198" t="s">
        <v>2272</v>
      </c>
      <c r="L3076" s="198" t="s">
        <v>2272</v>
      </c>
      <c r="M3076" s="198" t="s">
        <v>2272</v>
      </c>
      <c r="N3076" s="198" t="s">
        <v>2272</v>
      </c>
      <c r="O3076" s="198" t="s">
        <v>2272</v>
      </c>
      <c r="P3076" s="198" t="s">
        <v>2272</v>
      </c>
      <c r="Q3076" s="198" t="s">
        <v>2272</v>
      </c>
      <c r="R3076" s="198" t="s">
        <v>2272</v>
      </c>
      <c r="S3076" s="198" t="s">
        <v>2272</v>
      </c>
      <c r="T3076" s="198" t="s">
        <v>2272</v>
      </c>
      <c r="U3076" s="198" t="s">
        <v>2272</v>
      </c>
      <c r="V3076" s="198" t="s">
        <v>2272</v>
      </c>
      <c r="W3076" s="21" t="s">
        <v>2371</v>
      </c>
      <c r="X3076" s="198" t="s">
        <v>2272</v>
      </c>
      <c r="Y3076" s="198" t="s">
        <v>34</v>
      </c>
      <c r="Z3076" s="198" t="s">
        <v>34</v>
      </c>
      <c r="AA3076" s="198" t="s">
        <v>2272</v>
      </c>
      <c r="AB3076" s="198"/>
      <c r="AC3076" s="198"/>
    </row>
    <row r="3077" spans="1:29" ht="44" customHeight="1">
      <c r="A3077" s="147" t="str">
        <f>'Reported burning'!A3077</f>
        <v>330b</v>
      </c>
      <c r="B3077" s="147" t="str">
        <f>'Reported burning'!B3077</f>
        <v>330b.3</v>
      </c>
      <c r="C3077" s="147" t="str">
        <f>'Reported burning'!C3077</f>
        <v>All</v>
      </c>
      <c r="D3077" s="147" t="str">
        <f>'Reported burning'!D3077</f>
        <v>All</v>
      </c>
      <c r="E3077" s="147" t="str">
        <f>'Reported burning'!E3077</f>
        <v>All</v>
      </c>
      <c r="F3077" s="147" t="str">
        <f>'Reported burning'!F3077</f>
        <v>ND</v>
      </c>
      <c r="G3077" s="147" t="str">
        <f>'Reported burning'!G3077</f>
        <v>Shrubland (Mixed forest &amp; grassland)</v>
      </c>
      <c r="H3077" s="147" t="str">
        <f>'Reported burning'!H3077</f>
        <v>Presence</v>
      </c>
      <c r="I3077" s="198"/>
      <c r="J3077" s="198" t="s">
        <v>2272</v>
      </c>
      <c r="K3077" s="198" t="s">
        <v>2272</v>
      </c>
      <c r="L3077" s="198" t="s">
        <v>2272</v>
      </c>
      <c r="M3077" s="198" t="s">
        <v>2272</v>
      </c>
      <c r="N3077" s="198" t="s">
        <v>2272</v>
      </c>
      <c r="O3077" s="198" t="s">
        <v>2272</v>
      </c>
      <c r="P3077" s="198" t="s">
        <v>2272</v>
      </c>
      <c r="Q3077" s="198" t="s">
        <v>2272</v>
      </c>
      <c r="R3077" s="198" t="s">
        <v>2272</v>
      </c>
      <c r="S3077" s="198" t="s">
        <v>2272</v>
      </c>
      <c r="T3077" s="198" t="s">
        <v>2272</v>
      </c>
      <c r="U3077" s="198" t="s">
        <v>2272</v>
      </c>
      <c r="V3077" s="198" t="s">
        <v>2272</v>
      </c>
      <c r="W3077" s="21" t="s">
        <v>2369</v>
      </c>
      <c r="X3077" s="198" t="s">
        <v>2272</v>
      </c>
      <c r="Y3077" s="198" t="s">
        <v>125</v>
      </c>
      <c r="Z3077" s="198" t="s">
        <v>125</v>
      </c>
      <c r="AA3077" s="198" t="s">
        <v>2272</v>
      </c>
      <c r="AB3077" s="198"/>
      <c r="AC3077" s="198"/>
    </row>
    <row r="3078" spans="1:29" ht="43" customHeight="1">
      <c r="A3078" s="147" t="str">
        <f>'Reported burning'!A3078</f>
        <v>330b</v>
      </c>
      <c r="B3078" s="147" t="str">
        <f>'Reported burning'!B3078</f>
        <v>330b.4</v>
      </c>
      <c r="C3078" s="147" t="str">
        <f>'Reported burning'!C3078</f>
        <v>All</v>
      </c>
      <c r="D3078" s="147" t="str">
        <f>'Reported burning'!D3078</f>
        <v>All</v>
      </c>
      <c r="E3078" s="147" t="str">
        <f>'Reported burning'!E3078</f>
        <v>All</v>
      </c>
      <c r="F3078" s="147" t="str">
        <f>'Reported burning'!F3078</f>
        <v>ND</v>
      </c>
      <c r="G3078" s="147" t="str">
        <f>'Reported burning'!G3078</f>
        <v>Shrubland (Mixed forest &amp; grassland)</v>
      </c>
      <c r="H3078" s="147" t="str">
        <f>'Reported burning'!H3078</f>
        <v>Presence</v>
      </c>
      <c r="I3078" s="198"/>
      <c r="J3078" s="198" t="s">
        <v>2272</v>
      </c>
      <c r="K3078" s="198" t="s">
        <v>2272</v>
      </c>
      <c r="L3078" s="198" t="s">
        <v>2272</v>
      </c>
      <c r="M3078" s="198" t="s">
        <v>2272</v>
      </c>
      <c r="N3078" s="198" t="s">
        <v>2272</v>
      </c>
      <c r="O3078" s="198" t="s">
        <v>2272</v>
      </c>
      <c r="P3078" s="198" t="s">
        <v>2272</v>
      </c>
      <c r="Q3078" s="198" t="s">
        <v>2272</v>
      </c>
      <c r="R3078" s="198" t="s">
        <v>2272</v>
      </c>
      <c r="S3078" s="198" t="s">
        <v>2272</v>
      </c>
      <c r="T3078" s="198" t="s">
        <v>2272</v>
      </c>
      <c r="U3078" s="198" t="s">
        <v>2272</v>
      </c>
      <c r="V3078" s="198" t="s">
        <v>2272</v>
      </c>
      <c r="W3078" s="21" t="s">
        <v>2384</v>
      </c>
      <c r="X3078" s="198" t="s">
        <v>2272</v>
      </c>
      <c r="Y3078" s="198" t="s">
        <v>397</v>
      </c>
      <c r="Z3078" s="198" t="s">
        <v>397</v>
      </c>
      <c r="AA3078" s="198" t="s">
        <v>2272</v>
      </c>
      <c r="AB3078" s="198"/>
      <c r="AC3078" s="198"/>
    </row>
    <row r="3079" spans="1:29" ht="43" customHeight="1">
      <c r="A3079" s="147" t="str">
        <f>'Reported burning'!A3079</f>
        <v>330b</v>
      </c>
      <c r="B3079" s="147" t="str">
        <f>'Reported burning'!B3079</f>
        <v>330b.5</v>
      </c>
      <c r="C3079" s="147" t="str">
        <f>'Reported burning'!C3079</f>
        <v>All</v>
      </c>
      <c r="D3079" s="147" t="str">
        <f>'Reported burning'!D3079</f>
        <v>All</v>
      </c>
      <c r="E3079" s="147" t="str">
        <f>'Reported burning'!E3079</f>
        <v>All</v>
      </c>
      <c r="F3079" s="147" t="str">
        <f>'Reported burning'!F3079</f>
        <v>ND</v>
      </c>
      <c r="G3079" s="147" t="str">
        <f>'Reported burning'!G3079</f>
        <v>Shrubland (Mixed forest &amp; grassland)</v>
      </c>
      <c r="H3079" s="147" t="str">
        <f>'Reported burning'!H3079</f>
        <v>Presence</v>
      </c>
      <c r="I3079" s="198"/>
      <c r="J3079" s="198" t="s">
        <v>2272</v>
      </c>
      <c r="K3079" s="198" t="s">
        <v>2272</v>
      </c>
      <c r="L3079" s="198" t="s">
        <v>2272</v>
      </c>
      <c r="M3079" s="198" t="s">
        <v>2272</v>
      </c>
      <c r="N3079" s="198" t="s">
        <v>2272</v>
      </c>
      <c r="O3079" s="198" t="s">
        <v>2272</v>
      </c>
      <c r="P3079" s="198" t="s">
        <v>2272</v>
      </c>
      <c r="Q3079" s="198" t="s">
        <v>2272</v>
      </c>
      <c r="R3079" s="198" t="s">
        <v>2272</v>
      </c>
      <c r="S3079" s="198" t="s">
        <v>2272</v>
      </c>
      <c r="T3079" s="198" t="s">
        <v>2272</v>
      </c>
      <c r="U3079" s="198" t="s">
        <v>2272</v>
      </c>
      <c r="V3079" s="198" t="s">
        <v>2272</v>
      </c>
      <c r="W3079" s="21" t="s">
        <v>2522</v>
      </c>
      <c r="X3079" s="198" t="s">
        <v>2272</v>
      </c>
      <c r="Y3079" s="198" t="s">
        <v>186</v>
      </c>
      <c r="Z3079" s="198" t="s">
        <v>186</v>
      </c>
      <c r="AA3079" s="198" t="s">
        <v>2272</v>
      </c>
      <c r="AB3079" s="198"/>
      <c r="AC3079" s="198"/>
    </row>
    <row r="3080" spans="1:29" ht="43" customHeight="1">
      <c r="A3080" s="147" t="str">
        <f>'Reported burning'!A3080</f>
        <v>330b</v>
      </c>
      <c r="B3080" s="147" t="str">
        <f>'Reported burning'!B3080</f>
        <v>330b.6</v>
      </c>
      <c r="C3080" s="147" t="str">
        <f>'Reported burning'!C3080</f>
        <v>All</v>
      </c>
      <c r="D3080" s="147" t="str">
        <f>'Reported burning'!D3080</f>
        <v>All</v>
      </c>
      <c r="E3080" s="147" t="str">
        <f>'Reported burning'!E3080</f>
        <v>All</v>
      </c>
      <c r="F3080" s="147" t="str">
        <f>'Reported burning'!F3080</f>
        <v>ND</v>
      </c>
      <c r="G3080" s="147" t="str">
        <f>'Reported burning'!G3080</f>
        <v>Shrubland (Mixed forest &amp; grassland)</v>
      </c>
      <c r="H3080" s="147" t="str">
        <f>'Reported burning'!H3080</f>
        <v>Presence</v>
      </c>
      <c r="I3080" s="198"/>
      <c r="J3080" s="198" t="s">
        <v>2272</v>
      </c>
      <c r="K3080" s="198" t="s">
        <v>2272</v>
      </c>
      <c r="L3080" s="198" t="s">
        <v>2272</v>
      </c>
      <c r="M3080" s="198" t="s">
        <v>2272</v>
      </c>
      <c r="N3080" s="198" t="s">
        <v>2272</v>
      </c>
      <c r="O3080" s="198" t="s">
        <v>2272</v>
      </c>
      <c r="P3080" s="198" t="s">
        <v>2272</v>
      </c>
      <c r="Q3080" s="198" t="s">
        <v>2272</v>
      </c>
      <c r="R3080" s="198" t="s">
        <v>2272</v>
      </c>
      <c r="S3080" s="198" t="s">
        <v>2272</v>
      </c>
      <c r="T3080" s="198" t="s">
        <v>2272</v>
      </c>
      <c r="U3080" s="198" t="s">
        <v>2272</v>
      </c>
      <c r="V3080" s="198" t="s">
        <v>2272</v>
      </c>
      <c r="W3080" s="21" t="s">
        <v>2522</v>
      </c>
      <c r="X3080" s="198" t="s">
        <v>2272</v>
      </c>
      <c r="Y3080" s="198" t="s">
        <v>187</v>
      </c>
      <c r="Z3080" s="198" t="s">
        <v>187</v>
      </c>
      <c r="AA3080" s="198" t="s">
        <v>2272</v>
      </c>
      <c r="AB3080" s="198"/>
      <c r="AC3080" s="198"/>
    </row>
    <row r="3081" spans="1:29" ht="43" customHeight="1">
      <c r="A3081" s="151" t="str">
        <f>'Reported burning'!A3081</f>
        <v>330b</v>
      </c>
      <c r="B3081" s="151" t="str">
        <f>'Reported burning'!B3081</f>
        <v>330b.7</v>
      </c>
      <c r="C3081" s="151" t="str">
        <f>'Reported burning'!C3081</f>
        <v>Human, deliberate</v>
      </c>
      <c r="D3081" s="151" t="str">
        <f>'Reported burning'!D3081</f>
        <v>Pyrome management</v>
      </c>
      <c r="E3081" s="151" t="str">
        <f>'Reported burning'!E3081</f>
        <v>Forestry, Traditional</v>
      </c>
      <c r="F3081" s="151" t="str">
        <f>'Reported burning'!F3081</f>
        <v>Shrubland (Mixed forest &amp; grassland)</v>
      </c>
      <c r="G3081" s="151" t="str">
        <f>'Reported burning'!G3081</f>
        <v>Shrubland (Mixed forest &amp; grassland)</v>
      </c>
      <c r="H3081" s="151" t="str">
        <f>'Reported burning'!H3081</f>
        <v>Absence</v>
      </c>
      <c r="I3081" s="5"/>
      <c r="J3081" s="21">
        <v>0</v>
      </c>
      <c r="K3081" s="21">
        <v>0</v>
      </c>
      <c r="L3081" s="21">
        <v>0</v>
      </c>
      <c r="M3081" s="21">
        <v>0</v>
      </c>
      <c r="N3081" s="21">
        <v>0</v>
      </c>
      <c r="O3081" s="21">
        <v>0</v>
      </c>
      <c r="P3081" s="21">
        <v>0</v>
      </c>
      <c r="Q3081" s="21">
        <v>0</v>
      </c>
      <c r="R3081" s="21">
        <v>0</v>
      </c>
      <c r="S3081" s="21">
        <v>0</v>
      </c>
      <c r="T3081" s="21">
        <v>0</v>
      </c>
      <c r="U3081" s="21">
        <v>0</v>
      </c>
      <c r="V3081" s="21">
        <v>0</v>
      </c>
      <c r="W3081" s="21">
        <v>0</v>
      </c>
      <c r="X3081" s="198" t="s">
        <v>2272</v>
      </c>
      <c r="Y3081" s="198" t="s">
        <v>67</v>
      </c>
      <c r="Z3081" s="198" t="s">
        <v>125</v>
      </c>
      <c r="AA3081" s="198" t="s">
        <v>2650</v>
      </c>
      <c r="AB3081" s="198"/>
      <c r="AC3081" s="198"/>
    </row>
    <row r="3082" spans="1:29" ht="43" customHeight="1">
      <c r="A3082" s="151" t="str">
        <f>'Reported burning'!A3082</f>
        <v>331a</v>
      </c>
      <c r="B3082" s="151" t="str">
        <f>'Reported burning'!B3082</f>
        <v>331a.1</v>
      </c>
      <c r="C3082" s="151" t="str">
        <f>'Reported burning'!C3082</f>
        <v>Unknown</v>
      </c>
      <c r="D3082" s="151" t="str">
        <f>'Reported burning'!D3082</f>
        <v>ND</v>
      </c>
      <c r="E3082" s="151" t="str">
        <f>'Reported burning'!E3082</f>
        <v>ND</v>
      </c>
      <c r="F3082" s="151" t="str">
        <f>'Reported burning'!F3082</f>
        <v>ND</v>
      </c>
      <c r="G3082" s="151" t="str">
        <f>'Reported burning'!G3082</f>
        <v>Shrubland (Mixed forest &amp; grassland)</v>
      </c>
      <c r="H3082" s="151" t="str">
        <f>'Reported burning'!H3082</f>
        <v>Presence</v>
      </c>
      <c r="I3082" s="5"/>
      <c r="J3082" s="198" t="s">
        <v>2272</v>
      </c>
      <c r="K3082" s="198" t="s">
        <v>2272</v>
      </c>
      <c r="L3082" s="198" t="s">
        <v>2272</v>
      </c>
      <c r="M3082" s="198" t="s">
        <v>2272</v>
      </c>
      <c r="N3082" s="198" t="s">
        <v>2272</v>
      </c>
      <c r="O3082" s="198" t="s">
        <v>2272</v>
      </c>
      <c r="P3082" s="198" t="s">
        <v>2272</v>
      </c>
      <c r="Q3082" s="198" t="s">
        <v>2272</v>
      </c>
      <c r="R3082" s="198" t="s">
        <v>2272</v>
      </c>
      <c r="S3082" s="198" t="s">
        <v>2272</v>
      </c>
      <c r="T3082" s="198" t="s">
        <v>2272</v>
      </c>
      <c r="U3082" s="198" t="s">
        <v>2272</v>
      </c>
      <c r="V3082" s="198" t="s">
        <v>2272</v>
      </c>
      <c r="W3082" s="198" t="s">
        <v>2272</v>
      </c>
      <c r="X3082" s="198" t="s">
        <v>2272</v>
      </c>
      <c r="Y3082" s="198" t="s">
        <v>2272</v>
      </c>
      <c r="Z3082" s="198" t="s">
        <v>2272</v>
      </c>
      <c r="AA3082" s="198" t="s">
        <v>2272</v>
      </c>
      <c r="AB3082" s="4" t="s">
        <v>8185</v>
      </c>
      <c r="AC3082" s="198"/>
    </row>
    <row r="3083" spans="1:29" ht="43" customHeight="1">
      <c r="A3083" s="151" t="str">
        <f>'Reported burning'!A3083</f>
        <v>331a</v>
      </c>
      <c r="B3083" s="151" t="str">
        <f>'Reported burning'!B3083</f>
        <v>331a.2</v>
      </c>
      <c r="C3083" s="151" t="str">
        <f>'Reported burning'!C3083</f>
        <v>Human, deliberate</v>
      </c>
      <c r="D3083" s="151" t="str">
        <f>'Reported burning'!D3083</f>
        <v>Pyrome management</v>
      </c>
      <c r="E3083" s="151" t="str">
        <f>'Reported burning'!E3083</f>
        <v>Biodiversity conservation</v>
      </c>
      <c r="F3083" s="151" t="str">
        <f>'Reported burning'!F3083</f>
        <v>Shrubland (Mixed forest &amp; grassland)</v>
      </c>
      <c r="G3083" s="151" t="str">
        <f>'Reported burning'!G3083</f>
        <v>Shrubland (Mixed forest &amp; grassland)</v>
      </c>
      <c r="H3083" s="151" t="str">
        <f>'Reported burning'!H3083</f>
        <v>Presence</v>
      </c>
      <c r="I3083" s="5"/>
      <c r="J3083" s="198" t="s">
        <v>2272</v>
      </c>
      <c r="K3083" s="198" t="s">
        <v>2272</v>
      </c>
      <c r="L3083" s="198" t="s">
        <v>2272</v>
      </c>
      <c r="M3083" s="198" t="s">
        <v>2272</v>
      </c>
      <c r="N3083" s="198" t="s">
        <v>2272</v>
      </c>
      <c r="O3083" s="198" t="s">
        <v>2272</v>
      </c>
      <c r="P3083" s="198" t="s">
        <v>2272</v>
      </c>
      <c r="Q3083" s="198" t="s">
        <v>2272</v>
      </c>
      <c r="R3083" s="198" t="s">
        <v>2272</v>
      </c>
      <c r="S3083" s="198" t="s">
        <v>2272</v>
      </c>
      <c r="T3083" s="21" t="s">
        <v>2387</v>
      </c>
      <c r="U3083" s="198" t="s">
        <v>2272</v>
      </c>
      <c r="V3083" s="198" t="s">
        <v>2272</v>
      </c>
      <c r="W3083" s="198" t="s">
        <v>2272</v>
      </c>
      <c r="X3083" s="21" t="s">
        <v>2398</v>
      </c>
      <c r="Y3083" s="198" t="s">
        <v>37</v>
      </c>
      <c r="Z3083" s="198" t="s">
        <v>84</v>
      </c>
      <c r="AA3083" s="198" t="s">
        <v>63</v>
      </c>
      <c r="AB3083" s="198" t="s">
        <v>8188</v>
      </c>
      <c r="AC3083" s="4" t="s">
        <v>8186</v>
      </c>
    </row>
    <row r="3084" spans="1:29" ht="47" customHeight="1">
      <c r="A3084" s="151" t="str">
        <f>'Reported burning'!A3084</f>
        <v>332a</v>
      </c>
      <c r="B3084" s="151" t="str">
        <f>'Reported burning'!B3084</f>
        <v>332a.1</v>
      </c>
      <c r="C3084" s="151" t="str">
        <f>'Reported burning'!C3084</f>
        <v>Human, deliberate</v>
      </c>
      <c r="D3084" s="151" t="str">
        <f>'Reported burning'!D3084</f>
        <v>Conservation</v>
      </c>
      <c r="E3084" s="151" t="str">
        <f>'Reported burning'!E3084</f>
        <v>Biodiversity conservation</v>
      </c>
      <c r="F3084" s="151" t="str">
        <f>'Reported burning'!F3084</f>
        <v>Forest</v>
      </c>
      <c r="G3084" s="151" t="str">
        <f>'Reported burning'!G3084</f>
        <v>ND</v>
      </c>
      <c r="H3084" s="151" t="str">
        <f>'Reported burning'!H3084</f>
        <v>Absence</v>
      </c>
      <c r="I3084" s="5"/>
      <c r="J3084" s="21">
        <v>0</v>
      </c>
      <c r="K3084" s="21">
        <v>0</v>
      </c>
      <c r="L3084" s="21">
        <v>0</v>
      </c>
      <c r="M3084" s="21">
        <v>0</v>
      </c>
      <c r="N3084" s="21">
        <v>0</v>
      </c>
      <c r="O3084" s="21">
        <v>0</v>
      </c>
      <c r="P3084" s="21">
        <v>0</v>
      </c>
      <c r="Q3084" s="21">
        <v>0</v>
      </c>
      <c r="R3084" s="21">
        <v>0</v>
      </c>
      <c r="S3084" s="21">
        <v>0</v>
      </c>
      <c r="T3084" s="21">
        <v>0</v>
      </c>
      <c r="U3084" s="21">
        <v>0</v>
      </c>
      <c r="V3084" s="21">
        <v>0</v>
      </c>
      <c r="W3084" s="21">
        <v>0</v>
      </c>
      <c r="X3084" s="198" t="s">
        <v>2272</v>
      </c>
      <c r="Y3084" s="198" t="s">
        <v>2272</v>
      </c>
      <c r="Z3084" s="198" t="s">
        <v>2272</v>
      </c>
      <c r="AA3084" s="198" t="s">
        <v>2272</v>
      </c>
      <c r="AB3084" s="4" t="s">
        <v>8217</v>
      </c>
      <c r="AC3084" s="198"/>
    </row>
    <row r="3085" spans="1:29" ht="47" customHeight="1">
      <c r="A3085" s="151" t="str">
        <f>'Reported burning'!A3085</f>
        <v>332b</v>
      </c>
      <c r="B3085" s="151" t="str">
        <f>'Reported burning'!B3085</f>
        <v>332b.1</v>
      </c>
      <c r="C3085" s="151" t="str">
        <f>'Reported burning'!C3085</f>
        <v>Human, deliberate</v>
      </c>
      <c r="D3085" s="151" t="str">
        <f>'Reported burning'!D3085</f>
        <v>Conservation</v>
      </c>
      <c r="E3085" s="151" t="str">
        <f>'Reported burning'!E3085</f>
        <v>Biodiversity conservation</v>
      </c>
      <c r="F3085" s="151" t="str">
        <f>'Reported burning'!F3085</f>
        <v>Forest</v>
      </c>
      <c r="G3085" s="151" t="str">
        <f>'Reported burning'!G3085</f>
        <v>ND</v>
      </c>
      <c r="H3085" s="151" t="str">
        <f>'Reported burning'!H3085</f>
        <v>Absence</v>
      </c>
      <c r="I3085" s="5"/>
      <c r="J3085" s="21">
        <v>0</v>
      </c>
      <c r="K3085" s="21">
        <v>0</v>
      </c>
      <c r="L3085" s="21">
        <v>0</v>
      </c>
      <c r="M3085" s="21">
        <v>0</v>
      </c>
      <c r="N3085" s="21">
        <v>0</v>
      </c>
      <c r="O3085" s="21">
        <v>0</v>
      </c>
      <c r="P3085" s="21">
        <v>0</v>
      </c>
      <c r="Q3085" s="21">
        <v>0</v>
      </c>
      <c r="R3085" s="21">
        <v>0</v>
      </c>
      <c r="S3085" s="21">
        <v>0</v>
      </c>
      <c r="T3085" s="21">
        <v>0</v>
      </c>
      <c r="U3085" s="21">
        <v>0</v>
      </c>
      <c r="V3085" s="21">
        <v>0</v>
      </c>
      <c r="W3085" s="21">
        <v>0</v>
      </c>
      <c r="X3085" s="198" t="s">
        <v>2272</v>
      </c>
      <c r="Y3085" s="198" t="s">
        <v>2272</v>
      </c>
      <c r="Z3085" s="198" t="s">
        <v>2272</v>
      </c>
      <c r="AA3085" s="198" t="s">
        <v>2272</v>
      </c>
      <c r="AB3085" s="4" t="s">
        <v>8217</v>
      </c>
      <c r="AC3085" s="198"/>
    </row>
    <row r="3086" spans="1:29" ht="47" customHeight="1">
      <c r="A3086" s="151" t="str">
        <f>'Reported burning'!A3086</f>
        <v>332c</v>
      </c>
      <c r="B3086" s="151" t="str">
        <f>'Reported burning'!B3086</f>
        <v>332c.1</v>
      </c>
      <c r="C3086" s="151" t="str">
        <f>'Reported burning'!C3086</f>
        <v>Human, deliberate</v>
      </c>
      <c r="D3086" s="151" t="str">
        <f>'Reported burning'!D3086</f>
        <v>Conservation</v>
      </c>
      <c r="E3086" s="151" t="str">
        <f>'Reported burning'!E3086</f>
        <v>Biodiversity conservation</v>
      </c>
      <c r="F3086" s="151" t="str">
        <f>'Reported burning'!F3086</f>
        <v>Forest</v>
      </c>
      <c r="G3086" s="151" t="str">
        <f>'Reported burning'!G3086</f>
        <v>ND</v>
      </c>
      <c r="H3086" s="151" t="str">
        <f>'Reported burning'!H3086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1">
        <v>0</v>
      </c>
      <c r="X3086" s="198" t="s">
        <v>2272</v>
      </c>
      <c r="Y3086" s="198" t="s">
        <v>2272</v>
      </c>
      <c r="Z3086" s="198" t="s">
        <v>2272</v>
      </c>
      <c r="AA3086" s="198" t="s">
        <v>2272</v>
      </c>
      <c r="AB3086" s="4" t="s">
        <v>8217</v>
      </c>
      <c r="AC3086" s="198"/>
    </row>
    <row r="3087" spans="1:29" ht="48.5" customHeight="1">
      <c r="A3087" s="151" t="str">
        <f>'Reported burning'!A3087</f>
        <v>332d</v>
      </c>
      <c r="B3087" s="151" t="str">
        <f>'Reported burning'!B3087</f>
        <v>332d.1</v>
      </c>
      <c r="C3087" s="151" t="str">
        <f>'Reported burning'!C3087</f>
        <v>Human, deliberate</v>
      </c>
      <c r="D3087" s="151" t="str">
        <f>'Reported burning'!D3087</f>
        <v>Conservation</v>
      </c>
      <c r="E3087" s="151" t="str">
        <f>'Reported burning'!E3087</f>
        <v>Biodiversity conservation</v>
      </c>
      <c r="F3087" s="151" t="str">
        <f>'Reported burning'!F3087</f>
        <v>Forest</v>
      </c>
      <c r="G3087" s="151" t="str">
        <f>'Reported burning'!G3087</f>
        <v>ND</v>
      </c>
      <c r="H3087" s="151" t="str">
        <f>'Reported burning'!H3087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1">
        <v>0</v>
      </c>
      <c r="X3087" s="198" t="s">
        <v>2272</v>
      </c>
      <c r="Y3087" s="198" t="s">
        <v>2272</v>
      </c>
      <c r="Z3087" s="198" t="s">
        <v>2272</v>
      </c>
      <c r="AA3087" s="198" t="s">
        <v>2272</v>
      </c>
      <c r="AB3087" s="4" t="s">
        <v>8217</v>
      </c>
      <c r="AC3087" s="198"/>
    </row>
    <row r="3088" spans="1:29" ht="48.5" customHeight="1">
      <c r="A3088" s="151" t="str">
        <f>'Reported burning'!A3088</f>
        <v>332e</v>
      </c>
      <c r="B3088" s="151" t="str">
        <f>'Reported burning'!B3088</f>
        <v>332e.1</v>
      </c>
      <c r="C3088" s="151" t="str">
        <f>'Reported burning'!C3088</f>
        <v>Human, deliberate</v>
      </c>
      <c r="D3088" s="151" t="str">
        <f>'Reported burning'!D3088</f>
        <v>Conservation</v>
      </c>
      <c r="E3088" s="151" t="str">
        <f>'Reported burning'!E3088</f>
        <v>Biodiversity conservation</v>
      </c>
      <c r="F3088" s="151" t="str">
        <f>'Reported burning'!F3088</f>
        <v>Forest</v>
      </c>
      <c r="G3088" s="151" t="str">
        <f>'Reported burning'!G3088</f>
        <v>ND</v>
      </c>
      <c r="H3088" s="151" t="str">
        <f>'Reported burning'!H3088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1">
        <v>0</v>
      </c>
      <c r="X3088" s="198" t="s">
        <v>2272</v>
      </c>
      <c r="Y3088" s="198" t="s">
        <v>2272</v>
      </c>
      <c r="Z3088" s="198" t="s">
        <v>2272</v>
      </c>
      <c r="AA3088" s="198" t="s">
        <v>2272</v>
      </c>
      <c r="AB3088" s="4" t="s">
        <v>8217</v>
      </c>
      <c r="AC3088" s="198"/>
    </row>
    <row r="3089" spans="1:29" ht="48.5" customHeight="1">
      <c r="A3089" s="151" t="str">
        <f>'Reported burning'!A3089</f>
        <v>332f</v>
      </c>
      <c r="B3089" s="151" t="str">
        <f>'Reported burning'!B3089</f>
        <v>332f.1</v>
      </c>
      <c r="C3089" s="151" t="str">
        <f>'Reported burning'!C3089</f>
        <v>Human, deliberate</v>
      </c>
      <c r="D3089" s="151" t="str">
        <f>'Reported burning'!D3089</f>
        <v>Conservation</v>
      </c>
      <c r="E3089" s="151" t="str">
        <f>'Reported burning'!E3089</f>
        <v>Biodiversity conservation</v>
      </c>
      <c r="F3089" s="151" t="str">
        <f>'Reported burning'!F3089</f>
        <v>Forest</v>
      </c>
      <c r="G3089" s="151" t="str">
        <f>'Reported burning'!G3089</f>
        <v>ND</v>
      </c>
      <c r="H3089" s="151" t="str">
        <f>'Reported burning'!H3089</f>
        <v>Absence</v>
      </c>
      <c r="I3089" s="5"/>
      <c r="J3089" s="21">
        <v>0</v>
      </c>
      <c r="K3089" s="21">
        <v>0</v>
      </c>
      <c r="L3089" s="21">
        <v>0</v>
      </c>
      <c r="M3089" s="21">
        <v>0</v>
      </c>
      <c r="N3089" s="21">
        <v>0</v>
      </c>
      <c r="O3089" s="21">
        <v>0</v>
      </c>
      <c r="P3089" s="21">
        <v>0</v>
      </c>
      <c r="Q3089" s="21">
        <v>0</v>
      </c>
      <c r="R3089" s="21">
        <v>0</v>
      </c>
      <c r="S3089" s="21">
        <v>0</v>
      </c>
      <c r="T3089" s="21">
        <v>0</v>
      </c>
      <c r="U3089" s="21">
        <v>0</v>
      </c>
      <c r="V3089" s="21">
        <v>0</v>
      </c>
      <c r="W3089" s="21">
        <v>0</v>
      </c>
      <c r="X3089" s="198" t="s">
        <v>2272</v>
      </c>
      <c r="Y3089" s="198" t="s">
        <v>2272</v>
      </c>
      <c r="Z3089" s="198" t="s">
        <v>2272</v>
      </c>
      <c r="AA3089" s="198" t="s">
        <v>2272</v>
      </c>
      <c r="AB3089" s="4" t="s">
        <v>8217</v>
      </c>
      <c r="AC3089" s="198"/>
    </row>
    <row r="3090" spans="1:29" ht="48.5" customHeight="1">
      <c r="A3090" s="151" t="str">
        <f>'Reported burning'!A3090</f>
        <v>332g</v>
      </c>
      <c r="B3090" s="151" t="str">
        <f>'Reported burning'!B3090</f>
        <v>332g.1</v>
      </c>
      <c r="C3090" s="151" t="str">
        <f>'Reported burning'!C3090</f>
        <v>Human, deliberate</v>
      </c>
      <c r="D3090" s="151" t="str">
        <f>'Reported burning'!D3090</f>
        <v>Conservation</v>
      </c>
      <c r="E3090" s="151" t="str">
        <f>'Reported burning'!E3090</f>
        <v>Biodiversity conservation</v>
      </c>
      <c r="F3090" s="151" t="str">
        <f>'Reported burning'!F3090</f>
        <v>Forest</v>
      </c>
      <c r="G3090" s="151" t="str">
        <f>'Reported burning'!G3090</f>
        <v>ND</v>
      </c>
      <c r="H3090" s="151" t="str">
        <f>'Reported burning'!H3090</f>
        <v>Absence</v>
      </c>
      <c r="I3090" s="5"/>
      <c r="J3090" s="21">
        <v>0</v>
      </c>
      <c r="K3090" s="21">
        <v>0</v>
      </c>
      <c r="L3090" s="21">
        <v>0</v>
      </c>
      <c r="M3090" s="21">
        <v>0</v>
      </c>
      <c r="N3090" s="21">
        <v>0</v>
      </c>
      <c r="O3090" s="21">
        <v>0</v>
      </c>
      <c r="P3090" s="21">
        <v>0</v>
      </c>
      <c r="Q3090" s="21">
        <v>0</v>
      </c>
      <c r="R3090" s="21">
        <v>0</v>
      </c>
      <c r="S3090" s="21">
        <v>0</v>
      </c>
      <c r="T3090" s="21">
        <v>0</v>
      </c>
      <c r="U3090" s="21">
        <v>0</v>
      </c>
      <c r="V3090" s="21">
        <v>0</v>
      </c>
      <c r="W3090" s="21">
        <v>0</v>
      </c>
      <c r="X3090" s="198" t="s">
        <v>2272</v>
      </c>
      <c r="Y3090" s="198" t="s">
        <v>2272</v>
      </c>
      <c r="Z3090" s="198" t="s">
        <v>2272</v>
      </c>
      <c r="AA3090" s="198" t="s">
        <v>2272</v>
      </c>
      <c r="AB3090" s="4" t="s">
        <v>8217</v>
      </c>
      <c r="AC3090" s="198"/>
    </row>
    <row r="3091" spans="1:29" ht="48.5" customHeight="1">
      <c r="A3091" s="151" t="str">
        <f>'Reported burning'!A3091</f>
        <v>332a</v>
      </c>
      <c r="B3091" s="151" t="str">
        <f>'Reported burning'!B3091</f>
        <v>332a.2</v>
      </c>
      <c r="C3091" s="151" t="str">
        <f>'Reported burning'!C3091</f>
        <v>All</v>
      </c>
      <c r="D3091" s="151" t="str">
        <f>'Reported burning'!D3091</f>
        <v>ND</v>
      </c>
      <c r="E3091" s="151" t="str">
        <f>'Reported burning'!E3091</f>
        <v>All</v>
      </c>
      <c r="F3091" s="151" t="str">
        <f>'Reported burning'!F3091</f>
        <v>ND</v>
      </c>
      <c r="G3091" s="151" t="str">
        <f>'Reported burning'!G3091</f>
        <v>ND</v>
      </c>
      <c r="H3091" s="151" t="str">
        <f>'Reported burning'!H3091</f>
        <v>Presence</v>
      </c>
      <c r="I3091" s="5"/>
      <c r="J3091" s="198" t="s">
        <v>2272</v>
      </c>
      <c r="K3091" s="198" t="s">
        <v>2272</v>
      </c>
      <c r="L3091" s="198" t="s">
        <v>2272</v>
      </c>
      <c r="M3091" s="198" t="s">
        <v>2272</v>
      </c>
      <c r="N3091" s="198" t="s">
        <v>2272</v>
      </c>
      <c r="O3091" s="198" t="s">
        <v>2272</v>
      </c>
      <c r="P3091" s="198" t="s">
        <v>2272</v>
      </c>
      <c r="Q3091" s="198" t="s">
        <v>2272</v>
      </c>
      <c r="R3091" s="198" t="s">
        <v>2272</v>
      </c>
      <c r="S3091" s="198" t="s">
        <v>2272</v>
      </c>
      <c r="T3091" s="198" t="s">
        <v>2272</v>
      </c>
      <c r="U3091" s="198" t="s">
        <v>2272</v>
      </c>
      <c r="V3091" s="198" t="s">
        <v>2272</v>
      </c>
      <c r="W3091" s="198" t="s">
        <v>2272</v>
      </c>
      <c r="X3091" s="198" t="s">
        <v>2272</v>
      </c>
      <c r="Y3091" s="198" t="s">
        <v>2272</v>
      </c>
      <c r="Z3091" s="198" t="s">
        <v>2272</v>
      </c>
      <c r="AA3091" s="198" t="s">
        <v>2272</v>
      </c>
      <c r="AB3091" s="198"/>
      <c r="AC3091" s="198"/>
    </row>
    <row r="3092" spans="1:29" ht="48.5" customHeight="1">
      <c r="A3092" s="151" t="str">
        <f>'Reported burning'!A3092</f>
        <v>332b</v>
      </c>
      <c r="B3092" s="151" t="str">
        <f>'Reported burning'!B3092</f>
        <v>332b.2</v>
      </c>
      <c r="C3092" s="151" t="str">
        <f>'Reported burning'!C3092</f>
        <v>All</v>
      </c>
      <c r="D3092" s="151" t="str">
        <f>'Reported burning'!D3092</f>
        <v>ND</v>
      </c>
      <c r="E3092" s="151" t="str">
        <f>'Reported burning'!E3092</f>
        <v>All</v>
      </c>
      <c r="F3092" s="151" t="str">
        <f>'Reported burning'!F3092</f>
        <v>ND</v>
      </c>
      <c r="G3092" s="151" t="str">
        <f>'Reported burning'!G3092</f>
        <v>ND</v>
      </c>
      <c r="H3092" s="151" t="str">
        <f>'Reported burning'!H3092</f>
        <v>Presence</v>
      </c>
      <c r="I3092" s="5"/>
      <c r="J3092" s="198" t="s">
        <v>2272</v>
      </c>
      <c r="K3092" s="198" t="s">
        <v>2272</v>
      </c>
      <c r="L3092" s="198" t="s">
        <v>2272</v>
      </c>
      <c r="M3092" s="198" t="s">
        <v>2272</v>
      </c>
      <c r="N3092" s="198" t="s">
        <v>2272</v>
      </c>
      <c r="O3092" s="198" t="s">
        <v>2272</v>
      </c>
      <c r="P3092" s="198" t="s">
        <v>2272</v>
      </c>
      <c r="Q3092" s="198" t="s">
        <v>2272</v>
      </c>
      <c r="R3092" s="198" t="s">
        <v>2272</v>
      </c>
      <c r="S3092" s="198" t="s">
        <v>2272</v>
      </c>
      <c r="T3092" s="198" t="s">
        <v>2272</v>
      </c>
      <c r="U3092" s="198" t="s">
        <v>2272</v>
      </c>
      <c r="V3092" s="198" t="s">
        <v>2272</v>
      </c>
      <c r="W3092" s="198" t="s">
        <v>2272</v>
      </c>
      <c r="X3092" s="198" t="s">
        <v>2272</v>
      </c>
      <c r="Y3092" s="198" t="s">
        <v>2272</v>
      </c>
      <c r="Z3092" s="198" t="s">
        <v>2272</v>
      </c>
      <c r="AA3092" s="198" t="s">
        <v>2272</v>
      </c>
      <c r="AB3092" s="198"/>
      <c r="AC3092" s="198"/>
    </row>
    <row r="3093" spans="1:29" ht="48.5" customHeight="1">
      <c r="A3093" s="151" t="str">
        <f>'Reported burning'!A3093</f>
        <v>332c</v>
      </c>
      <c r="B3093" s="151" t="str">
        <f>'Reported burning'!B3093</f>
        <v>332c.2</v>
      </c>
      <c r="C3093" s="151" t="str">
        <f>'Reported burning'!C3093</f>
        <v>All</v>
      </c>
      <c r="D3093" s="151" t="str">
        <f>'Reported burning'!D3093</f>
        <v>ND</v>
      </c>
      <c r="E3093" s="151" t="str">
        <f>'Reported burning'!E3093</f>
        <v>All</v>
      </c>
      <c r="F3093" s="151" t="str">
        <f>'Reported burning'!F3093</f>
        <v>ND</v>
      </c>
      <c r="G3093" s="151" t="str">
        <f>'Reported burning'!G3093</f>
        <v>ND</v>
      </c>
      <c r="H3093" s="151" t="str">
        <f>'Reported burning'!H3093</f>
        <v>Presence</v>
      </c>
      <c r="I3093" s="5"/>
      <c r="J3093" s="198" t="s">
        <v>2272</v>
      </c>
      <c r="K3093" s="198" t="s">
        <v>2272</v>
      </c>
      <c r="L3093" s="198" t="s">
        <v>2272</v>
      </c>
      <c r="M3093" s="198" t="s">
        <v>2272</v>
      </c>
      <c r="N3093" s="198" t="s">
        <v>2272</v>
      </c>
      <c r="O3093" s="198" t="s">
        <v>2272</v>
      </c>
      <c r="P3093" s="198" t="s">
        <v>2272</v>
      </c>
      <c r="Q3093" s="198" t="s">
        <v>2272</v>
      </c>
      <c r="R3093" s="198" t="s">
        <v>2272</v>
      </c>
      <c r="S3093" s="198" t="s">
        <v>2272</v>
      </c>
      <c r="T3093" s="198" t="s">
        <v>2272</v>
      </c>
      <c r="U3093" s="198" t="s">
        <v>2272</v>
      </c>
      <c r="V3093" s="198" t="s">
        <v>2272</v>
      </c>
      <c r="W3093" s="198" t="s">
        <v>2272</v>
      </c>
      <c r="X3093" s="198" t="s">
        <v>2272</v>
      </c>
      <c r="Y3093" s="198" t="s">
        <v>2272</v>
      </c>
      <c r="Z3093" s="198" t="s">
        <v>2272</v>
      </c>
      <c r="AA3093" s="198" t="s">
        <v>2272</v>
      </c>
      <c r="AB3093" s="198"/>
      <c r="AC3093" s="198"/>
    </row>
    <row r="3094" spans="1:29" ht="34.5" customHeight="1">
      <c r="A3094" s="151" t="str">
        <f>'Reported burning'!A3094</f>
        <v>332d</v>
      </c>
      <c r="B3094" s="151" t="str">
        <f>'Reported burning'!B3094</f>
        <v>332d.2</v>
      </c>
      <c r="C3094" s="151" t="str">
        <f>'Reported burning'!C3094</f>
        <v>All</v>
      </c>
      <c r="D3094" s="151" t="str">
        <f>'Reported burning'!D3094</f>
        <v>ND</v>
      </c>
      <c r="E3094" s="151" t="str">
        <f>'Reported burning'!E3094</f>
        <v>All</v>
      </c>
      <c r="F3094" s="151" t="str">
        <f>'Reported burning'!F3094</f>
        <v>ND</v>
      </c>
      <c r="G3094" s="151" t="str">
        <f>'Reported burning'!G3094</f>
        <v>ND</v>
      </c>
      <c r="H3094" s="151" t="str">
        <f>'Reported burning'!H3094</f>
        <v>Presence</v>
      </c>
      <c r="I3094" s="5"/>
      <c r="J3094" s="198" t="s">
        <v>2272</v>
      </c>
      <c r="K3094" s="198" t="s">
        <v>2272</v>
      </c>
      <c r="L3094" s="198" t="s">
        <v>2272</v>
      </c>
      <c r="M3094" s="198" t="s">
        <v>2272</v>
      </c>
      <c r="N3094" s="198" t="s">
        <v>2272</v>
      </c>
      <c r="O3094" s="198" t="s">
        <v>2272</v>
      </c>
      <c r="P3094" s="198" t="s">
        <v>2272</v>
      </c>
      <c r="Q3094" s="198" t="s">
        <v>2272</v>
      </c>
      <c r="R3094" s="198" t="s">
        <v>2272</v>
      </c>
      <c r="S3094" s="198" t="s">
        <v>2272</v>
      </c>
      <c r="T3094" s="198" t="s">
        <v>2272</v>
      </c>
      <c r="U3094" s="198" t="s">
        <v>2272</v>
      </c>
      <c r="V3094" s="198" t="s">
        <v>2272</v>
      </c>
      <c r="W3094" s="198" t="s">
        <v>2272</v>
      </c>
      <c r="X3094" s="198" t="s">
        <v>2272</v>
      </c>
      <c r="Y3094" s="198" t="s">
        <v>2272</v>
      </c>
      <c r="Z3094" s="198" t="s">
        <v>2272</v>
      </c>
      <c r="AA3094" s="198" t="s">
        <v>2272</v>
      </c>
      <c r="AB3094" s="198"/>
      <c r="AC3094" s="198"/>
    </row>
    <row r="3095" spans="1:29" ht="34.5" customHeight="1">
      <c r="A3095" s="151" t="str">
        <f>'Reported burning'!A3095</f>
        <v>332e</v>
      </c>
      <c r="B3095" s="151" t="str">
        <f>'Reported burning'!B3095</f>
        <v>332e.2</v>
      </c>
      <c r="C3095" s="151" t="str">
        <f>'Reported burning'!C3095</f>
        <v>All</v>
      </c>
      <c r="D3095" s="151" t="str">
        <f>'Reported burning'!D3095</f>
        <v>ND</v>
      </c>
      <c r="E3095" s="151" t="str">
        <f>'Reported burning'!E3095</f>
        <v>All</v>
      </c>
      <c r="F3095" s="151" t="str">
        <f>'Reported burning'!F3095</f>
        <v>ND</v>
      </c>
      <c r="G3095" s="151" t="str">
        <f>'Reported burning'!G3095</f>
        <v>ND</v>
      </c>
      <c r="H3095" s="151" t="str">
        <f>'Reported burning'!H3095</f>
        <v>Presence</v>
      </c>
      <c r="I3095" s="5"/>
      <c r="J3095" s="198" t="s">
        <v>2272</v>
      </c>
      <c r="K3095" s="198" t="s">
        <v>2272</v>
      </c>
      <c r="L3095" s="198" t="s">
        <v>2272</v>
      </c>
      <c r="M3095" s="198" t="s">
        <v>2272</v>
      </c>
      <c r="N3095" s="198" t="s">
        <v>2272</v>
      </c>
      <c r="O3095" s="198" t="s">
        <v>2272</v>
      </c>
      <c r="P3095" s="198" t="s">
        <v>2272</v>
      </c>
      <c r="Q3095" s="198" t="s">
        <v>2272</v>
      </c>
      <c r="R3095" s="198" t="s">
        <v>2272</v>
      </c>
      <c r="S3095" s="198" t="s">
        <v>2272</v>
      </c>
      <c r="T3095" s="198" t="s">
        <v>2272</v>
      </c>
      <c r="U3095" s="198" t="s">
        <v>2272</v>
      </c>
      <c r="V3095" s="198" t="s">
        <v>2272</v>
      </c>
      <c r="W3095" s="198" t="s">
        <v>2272</v>
      </c>
      <c r="X3095" s="198" t="s">
        <v>2272</v>
      </c>
      <c r="Y3095" s="198" t="s">
        <v>2272</v>
      </c>
      <c r="Z3095" s="198" t="s">
        <v>2272</v>
      </c>
      <c r="AA3095" s="198" t="s">
        <v>2272</v>
      </c>
      <c r="AB3095" s="198"/>
      <c r="AC3095" s="198"/>
    </row>
    <row r="3096" spans="1:29" ht="34.5" customHeight="1">
      <c r="A3096" s="151" t="str">
        <f>'Reported burning'!A3096</f>
        <v>332f</v>
      </c>
      <c r="B3096" s="151" t="str">
        <f>'Reported burning'!B3096</f>
        <v>332f.2</v>
      </c>
      <c r="C3096" s="151" t="str">
        <f>'Reported burning'!C3096</f>
        <v>All</v>
      </c>
      <c r="D3096" s="151" t="str">
        <f>'Reported burning'!D3096</f>
        <v>ND</v>
      </c>
      <c r="E3096" s="151" t="str">
        <f>'Reported burning'!E3096</f>
        <v>All</v>
      </c>
      <c r="F3096" s="151" t="str">
        <f>'Reported burning'!F3096</f>
        <v>ND</v>
      </c>
      <c r="G3096" s="151" t="str">
        <f>'Reported burning'!G3096</f>
        <v>ND</v>
      </c>
      <c r="H3096" s="151" t="str">
        <f>'Reported burning'!H3096</f>
        <v>Presence</v>
      </c>
      <c r="I3096" s="5"/>
      <c r="J3096" s="198" t="s">
        <v>2272</v>
      </c>
      <c r="K3096" s="198" t="s">
        <v>2272</v>
      </c>
      <c r="L3096" s="198" t="s">
        <v>2272</v>
      </c>
      <c r="M3096" s="198" t="s">
        <v>2272</v>
      </c>
      <c r="N3096" s="198" t="s">
        <v>2272</v>
      </c>
      <c r="O3096" s="198" t="s">
        <v>2272</v>
      </c>
      <c r="P3096" s="198" t="s">
        <v>2272</v>
      </c>
      <c r="Q3096" s="198" t="s">
        <v>2272</v>
      </c>
      <c r="R3096" s="198" t="s">
        <v>2272</v>
      </c>
      <c r="S3096" s="198" t="s">
        <v>2272</v>
      </c>
      <c r="T3096" s="198" t="s">
        <v>2272</v>
      </c>
      <c r="U3096" s="198" t="s">
        <v>2272</v>
      </c>
      <c r="V3096" s="198" t="s">
        <v>2272</v>
      </c>
      <c r="W3096" s="198" t="s">
        <v>2272</v>
      </c>
      <c r="X3096" s="198" t="s">
        <v>2272</v>
      </c>
      <c r="Y3096" s="198" t="s">
        <v>2272</v>
      </c>
      <c r="Z3096" s="198" t="s">
        <v>2272</v>
      </c>
      <c r="AA3096" s="198" t="s">
        <v>2272</v>
      </c>
      <c r="AB3096" s="198"/>
      <c r="AC3096" s="198"/>
    </row>
    <row r="3097" spans="1:29" ht="34.5" customHeight="1">
      <c r="A3097" s="151" t="str">
        <f>'Reported burning'!A3097</f>
        <v>332g</v>
      </c>
      <c r="B3097" s="151" t="str">
        <f>'Reported burning'!B3097</f>
        <v>332g.2</v>
      </c>
      <c r="C3097" s="151" t="str">
        <f>'Reported burning'!C3097</f>
        <v>All</v>
      </c>
      <c r="D3097" s="151" t="str">
        <f>'Reported burning'!D3097</f>
        <v>ND</v>
      </c>
      <c r="E3097" s="151" t="str">
        <f>'Reported burning'!E3097</f>
        <v>All</v>
      </c>
      <c r="F3097" s="151" t="str">
        <f>'Reported burning'!F3097</f>
        <v>ND</v>
      </c>
      <c r="G3097" s="151" t="str">
        <f>'Reported burning'!G3097</f>
        <v>ND</v>
      </c>
      <c r="H3097" s="151" t="str">
        <f>'Reported burning'!H3097</f>
        <v>Presence</v>
      </c>
      <c r="I3097" s="5"/>
      <c r="J3097" s="198" t="s">
        <v>2272</v>
      </c>
      <c r="K3097" s="198" t="s">
        <v>2272</v>
      </c>
      <c r="L3097" s="198" t="s">
        <v>2272</v>
      </c>
      <c r="M3097" s="198" t="s">
        <v>2272</v>
      </c>
      <c r="N3097" s="198" t="s">
        <v>2272</v>
      </c>
      <c r="O3097" s="198" t="s">
        <v>2272</v>
      </c>
      <c r="P3097" s="198" t="s">
        <v>2272</v>
      </c>
      <c r="Q3097" s="198" t="s">
        <v>2272</v>
      </c>
      <c r="R3097" s="198" t="s">
        <v>2272</v>
      </c>
      <c r="S3097" s="198" t="s">
        <v>2272</v>
      </c>
      <c r="T3097" s="198" t="s">
        <v>2272</v>
      </c>
      <c r="U3097" s="198" t="s">
        <v>2272</v>
      </c>
      <c r="V3097" s="198" t="s">
        <v>2272</v>
      </c>
      <c r="W3097" s="198" t="s">
        <v>2272</v>
      </c>
      <c r="X3097" s="198" t="s">
        <v>2272</v>
      </c>
      <c r="Y3097" s="198" t="s">
        <v>2272</v>
      </c>
      <c r="Z3097" s="198" t="s">
        <v>2272</v>
      </c>
      <c r="AA3097" s="198" t="s">
        <v>2272</v>
      </c>
      <c r="AB3097" s="198"/>
      <c r="AC3097" s="198"/>
    </row>
    <row r="3098" spans="1:29" ht="34.5" customHeight="1">
      <c r="A3098" s="151" t="str">
        <f>'Reported burning'!A3098</f>
        <v>333a</v>
      </c>
      <c r="B3098" s="151" t="str">
        <f>'Reported burning'!B3098</f>
        <v>333a.1</v>
      </c>
      <c r="C3098" s="151" t="str">
        <f>'Reported burning'!C3098</f>
        <v>Human, deliberate</v>
      </c>
      <c r="D3098" s="151" t="str">
        <f>'Reported burning'!D3098</f>
        <v>Pasture renewal</v>
      </c>
      <c r="E3098" s="151" t="str">
        <f>'Reported burning'!E3098</f>
        <v>Forestry, Traditional</v>
      </c>
      <c r="F3098" s="151" t="str">
        <f>'Reported burning'!F3098</f>
        <v>Grassland</v>
      </c>
      <c r="G3098" s="151" t="str">
        <f>'Reported burning'!G3098</f>
        <v>Grassland</v>
      </c>
      <c r="H3098" s="151" t="str">
        <f>'Reported burning'!H3098</f>
        <v>Presence</v>
      </c>
      <c r="I3098" s="5"/>
      <c r="J3098" s="198" t="s">
        <v>2272</v>
      </c>
      <c r="K3098" s="198" t="s">
        <v>2272</v>
      </c>
      <c r="L3098" s="198" t="s">
        <v>2272</v>
      </c>
      <c r="M3098" s="198" t="s">
        <v>2272</v>
      </c>
      <c r="N3098" s="198" t="s">
        <v>2272</v>
      </c>
      <c r="O3098" s="198" t="s">
        <v>2272</v>
      </c>
      <c r="P3098" s="198" t="s">
        <v>2272</v>
      </c>
      <c r="Q3098" s="198" t="s">
        <v>2272</v>
      </c>
      <c r="R3098" s="198" t="s">
        <v>2272</v>
      </c>
      <c r="S3098" s="198" t="s">
        <v>2272</v>
      </c>
      <c r="T3098" s="198" t="s">
        <v>2272</v>
      </c>
      <c r="U3098" s="198" t="s">
        <v>2272</v>
      </c>
      <c r="V3098" s="198" t="s">
        <v>2272</v>
      </c>
      <c r="W3098" s="198" t="s">
        <v>2272</v>
      </c>
      <c r="X3098" s="198" t="s">
        <v>2272</v>
      </c>
      <c r="Y3098" s="198" t="s">
        <v>84</v>
      </c>
      <c r="Z3098" s="198" t="s">
        <v>84</v>
      </c>
      <c r="AA3098" s="198" t="s">
        <v>2272</v>
      </c>
      <c r="AB3098" s="198"/>
      <c r="AC3098" s="198"/>
    </row>
    <row r="3099" spans="1:29" ht="34.5" customHeight="1">
      <c r="A3099" s="151" t="str">
        <f>'Reported burning'!A3099</f>
        <v>333b</v>
      </c>
      <c r="B3099" s="151" t="str">
        <f>'Reported burning'!B3099</f>
        <v>333b.1</v>
      </c>
      <c r="C3099" s="151" t="str">
        <f>'Reported burning'!C3099</f>
        <v>Human, deliberate</v>
      </c>
      <c r="D3099" s="151" t="str">
        <f>'Reported burning'!D3099</f>
        <v>Pasture renewal</v>
      </c>
      <c r="E3099" s="151" t="str">
        <f>'Reported burning'!E3099</f>
        <v>Forestry, Traditional</v>
      </c>
      <c r="F3099" s="151" t="str">
        <f>'Reported burning'!F3099</f>
        <v>Grassland</v>
      </c>
      <c r="G3099" s="151" t="str">
        <f>'Reported burning'!G3099</f>
        <v>Grassland</v>
      </c>
      <c r="H3099" s="151" t="str">
        <f>'Reported burning'!H3099</f>
        <v>Presence</v>
      </c>
      <c r="I3099" s="5"/>
      <c r="J3099" s="198" t="s">
        <v>2272</v>
      </c>
      <c r="K3099" s="198" t="s">
        <v>2272</v>
      </c>
      <c r="L3099" s="198" t="s">
        <v>2272</v>
      </c>
      <c r="M3099" s="198" t="s">
        <v>2272</v>
      </c>
      <c r="N3099" s="198" t="s">
        <v>2272</v>
      </c>
      <c r="O3099" s="198" t="s">
        <v>2272</v>
      </c>
      <c r="P3099" s="198" t="s">
        <v>2272</v>
      </c>
      <c r="Q3099" s="198" t="s">
        <v>2272</v>
      </c>
      <c r="R3099" s="198" t="s">
        <v>2272</v>
      </c>
      <c r="S3099" s="198" t="s">
        <v>2272</v>
      </c>
      <c r="T3099" s="198" t="s">
        <v>2272</v>
      </c>
      <c r="U3099" s="198" t="s">
        <v>2272</v>
      </c>
      <c r="V3099" s="198" t="s">
        <v>2272</v>
      </c>
      <c r="W3099" s="198" t="s">
        <v>2272</v>
      </c>
      <c r="X3099" s="198" t="s">
        <v>2272</v>
      </c>
      <c r="Y3099" s="198" t="s">
        <v>84</v>
      </c>
      <c r="Z3099" s="198" t="s">
        <v>84</v>
      </c>
      <c r="AA3099" s="198" t="s">
        <v>2272</v>
      </c>
      <c r="AB3099" s="198"/>
      <c r="AC3099" s="198"/>
    </row>
    <row r="3100" spans="1:29" ht="34.5" customHeight="1">
      <c r="A3100" s="151" t="str">
        <f>'Reported burning'!A3100</f>
        <v>333c</v>
      </c>
      <c r="B3100" s="151" t="str">
        <f>'Reported burning'!B3100</f>
        <v>333c.1</v>
      </c>
      <c r="C3100" s="151" t="str">
        <f>'Reported burning'!C3100</f>
        <v>Human, deliberate</v>
      </c>
      <c r="D3100" s="151" t="str">
        <f>'Reported burning'!D3100</f>
        <v>Pasture renewal</v>
      </c>
      <c r="E3100" s="151" t="str">
        <f>'Reported burning'!E3100</f>
        <v>Forestry, Traditional</v>
      </c>
      <c r="F3100" s="151" t="str">
        <f>'Reported burning'!F3100</f>
        <v>Grassland</v>
      </c>
      <c r="G3100" s="151" t="str">
        <f>'Reported burning'!G3100</f>
        <v>Grassland</v>
      </c>
      <c r="H3100" s="151" t="str">
        <f>'Reported burning'!H3100</f>
        <v>Presence</v>
      </c>
      <c r="I3100" s="5"/>
      <c r="J3100" s="198" t="s">
        <v>2272</v>
      </c>
      <c r="K3100" s="198" t="s">
        <v>2272</v>
      </c>
      <c r="L3100" s="198" t="s">
        <v>2272</v>
      </c>
      <c r="M3100" s="198" t="s">
        <v>2272</v>
      </c>
      <c r="N3100" s="198" t="s">
        <v>2272</v>
      </c>
      <c r="O3100" s="198" t="s">
        <v>2272</v>
      </c>
      <c r="P3100" s="198" t="s">
        <v>2272</v>
      </c>
      <c r="Q3100" s="198" t="s">
        <v>2272</v>
      </c>
      <c r="R3100" s="198" t="s">
        <v>2272</v>
      </c>
      <c r="S3100" s="198" t="s">
        <v>2272</v>
      </c>
      <c r="T3100" s="198" t="s">
        <v>2272</v>
      </c>
      <c r="U3100" s="198" t="s">
        <v>2272</v>
      </c>
      <c r="V3100" s="198" t="s">
        <v>2272</v>
      </c>
      <c r="W3100" s="198" t="s">
        <v>2272</v>
      </c>
      <c r="X3100" s="198" t="s">
        <v>2272</v>
      </c>
      <c r="Y3100" s="198" t="s">
        <v>84</v>
      </c>
      <c r="Z3100" s="198" t="s">
        <v>84</v>
      </c>
      <c r="AA3100" s="198" t="s">
        <v>2272</v>
      </c>
      <c r="AB3100" s="198"/>
      <c r="AC3100" s="198"/>
    </row>
    <row r="3101" spans="1:29" ht="34.5" customHeight="1">
      <c r="A3101" s="151" t="str">
        <f>'Reported burning'!A3101</f>
        <v>333d</v>
      </c>
      <c r="B3101" s="151" t="str">
        <f>'Reported burning'!B3101</f>
        <v>333d.1</v>
      </c>
      <c r="C3101" s="151" t="str">
        <f>'Reported burning'!C3101</f>
        <v>Human, deliberate</v>
      </c>
      <c r="D3101" s="151" t="str">
        <f>'Reported burning'!D3101</f>
        <v>Pasture renewal</v>
      </c>
      <c r="E3101" s="151" t="str">
        <f>'Reported burning'!E3101</f>
        <v>Forestry, Traditional</v>
      </c>
      <c r="F3101" s="151" t="str">
        <f>'Reported burning'!F3101</f>
        <v>Grassland</v>
      </c>
      <c r="G3101" s="151" t="str">
        <f>'Reported burning'!G3101</f>
        <v>Grassland</v>
      </c>
      <c r="H3101" s="151" t="str">
        <f>'Reported burning'!H3101</f>
        <v>Presence</v>
      </c>
      <c r="I3101" s="5"/>
      <c r="J3101" s="198" t="s">
        <v>2272</v>
      </c>
      <c r="K3101" s="198" t="s">
        <v>2272</v>
      </c>
      <c r="L3101" s="198" t="s">
        <v>2272</v>
      </c>
      <c r="M3101" s="198" t="s">
        <v>2272</v>
      </c>
      <c r="N3101" s="198" t="s">
        <v>2272</v>
      </c>
      <c r="O3101" s="198" t="s">
        <v>2272</v>
      </c>
      <c r="P3101" s="198" t="s">
        <v>2272</v>
      </c>
      <c r="Q3101" s="198" t="s">
        <v>2272</v>
      </c>
      <c r="R3101" s="198" t="s">
        <v>2272</v>
      </c>
      <c r="S3101" s="198" t="s">
        <v>2272</v>
      </c>
      <c r="T3101" s="198" t="s">
        <v>2272</v>
      </c>
      <c r="U3101" s="198" t="s">
        <v>2272</v>
      </c>
      <c r="V3101" s="198" t="s">
        <v>2272</v>
      </c>
      <c r="W3101" s="198" t="s">
        <v>2272</v>
      </c>
      <c r="X3101" s="198" t="s">
        <v>2272</v>
      </c>
      <c r="Y3101" s="198" t="s">
        <v>84</v>
      </c>
      <c r="Z3101" s="198" t="s">
        <v>84</v>
      </c>
      <c r="AA3101" s="198" t="s">
        <v>2272</v>
      </c>
      <c r="AB3101" s="198"/>
      <c r="AC3101" s="198"/>
    </row>
    <row r="3102" spans="1:29" ht="34.5" customHeight="1">
      <c r="A3102" s="151" t="str">
        <f>'Reported burning'!A3102</f>
        <v>333a</v>
      </c>
      <c r="B3102" s="151" t="str">
        <f>'Reported burning'!B3102</f>
        <v>333a.2</v>
      </c>
      <c r="C3102" s="151" t="str">
        <f>'Reported burning'!C3102</f>
        <v>All</v>
      </c>
      <c r="D3102" s="151" t="str">
        <f>'Reported burning'!D3102</f>
        <v>ND</v>
      </c>
      <c r="E3102" s="151" t="str">
        <f>'Reported burning'!E3102</f>
        <v>All</v>
      </c>
      <c r="F3102" s="151" t="str">
        <f>'Reported burning'!F3102</f>
        <v>ND</v>
      </c>
      <c r="G3102" s="151" t="str">
        <f>'Reported burning'!G3102</f>
        <v>Shrubland (Mixed forest &amp; grassland)</v>
      </c>
      <c r="H3102" s="151" t="str">
        <f>'Reported burning'!H3102</f>
        <v>Presence</v>
      </c>
      <c r="I3102" s="5"/>
      <c r="J3102" s="198" t="s">
        <v>2272</v>
      </c>
      <c r="K3102" s="198" t="s">
        <v>2272</v>
      </c>
      <c r="L3102" s="198" t="s">
        <v>2272</v>
      </c>
      <c r="M3102" s="198" t="s">
        <v>2272</v>
      </c>
      <c r="N3102" s="198" t="s">
        <v>2272</v>
      </c>
      <c r="O3102" s="198" t="s">
        <v>2272</v>
      </c>
      <c r="P3102" s="198" t="s">
        <v>2272</v>
      </c>
      <c r="Q3102" s="198" t="s">
        <v>2272</v>
      </c>
      <c r="R3102" s="198" t="s">
        <v>2272</v>
      </c>
      <c r="S3102" s="198" t="s">
        <v>2272</v>
      </c>
      <c r="T3102" s="198" t="s">
        <v>2272</v>
      </c>
      <c r="U3102" s="198" t="s">
        <v>2272</v>
      </c>
      <c r="V3102" s="198" t="s">
        <v>2272</v>
      </c>
      <c r="W3102" s="198" t="s">
        <v>2272</v>
      </c>
      <c r="X3102" s="198" t="s">
        <v>2272</v>
      </c>
      <c r="Y3102" s="198" t="s">
        <v>84</v>
      </c>
      <c r="Z3102" s="198" t="s">
        <v>402</v>
      </c>
      <c r="AA3102" s="198" t="s">
        <v>2650</v>
      </c>
      <c r="AB3102" s="198"/>
      <c r="AC3102" s="198"/>
    </row>
    <row r="3103" spans="1:29" ht="34.5" customHeight="1">
      <c r="A3103" s="151" t="str">
        <f>'Reported burning'!A3103</f>
        <v>333b</v>
      </c>
      <c r="B3103" s="151" t="str">
        <f>'Reported burning'!B3103</f>
        <v>333b.2</v>
      </c>
      <c r="C3103" s="151" t="str">
        <f>'Reported burning'!C3103</f>
        <v>All</v>
      </c>
      <c r="D3103" s="151" t="str">
        <f>'Reported burning'!D3103</f>
        <v>ND</v>
      </c>
      <c r="E3103" s="151" t="str">
        <f>'Reported burning'!E3103</f>
        <v>All</v>
      </c>
      <c r="F3103" s="151" t="str">
        <f>'Reported burning'!F3103</f>
        <v>ND</v>
      </c>
      <c r="G3103" s="151" t="str">
        <f>'Reported burning'!G3103</f>
        <v>Shrubland (Mixed forest &amp; grassland)</v>
      </c>
      <c r="H3103" s="151" t="str">
        <f>'Reported burning'!H3103</f>
        <v>Presence</v>
      </c>
      <c r="I3103" s="5"/>
      <c r="J3103" s="198" t="s">
        <v>2272</v>
      </c>
      <c r="K3103" s="198" t="s">
        <v>2272</v>
      </c>
      <c r="L3103" s="198" t="s">
        <v>2272</v>
      </c>
      <c r="M3103" s="198" t="s">
        <v>2272</v>
      </c>
      <c r="N3103" s="198" t="s">
        <v>2272</v>
      </c>
      <c r="O3103" s="198" t="s">
        <v>2272</v>
      </c>
      <c r="P3103" s="198" t="s">
        <v>2272</v>
      </c>
      <c r="Q3103" s="198" t="s">
        <v>2272</v>
      </c>
      <c r="R3103" s="198" t="s">
        <v>2272</v>
      </c>
      <c r="S3103" s="198" t="s">
        <v>2272</v>
      </c>
      <c r="T3103" s="198" t="s">
        <v>2272</v>
      </c>
      <c r="U3103" s="198" t="s">
        <v>2272</v>
      </c>
      <c r="V3103" s="198" t="s">
        <v>2272</v>
      </c>
      <c r="W3103" s="198" t="s">
        <v>2272</v>
      </c>
      <c r="X3103" s="198" t="s">
        <v>2272</v>
      </c>
      <c r="Y3103" s="198" t="s">
        <v>84</v>
      </c>
      <c r="Z3103" s="198" t="s">
        <v>402</v>
      </c>
      <c r="AA3103" s="198" t="s">
        <v>2650</v>
      </c>
      <c r="AB3103" s="198"/>
      <c r="AC3103" s="198"/>
    </row>
    <row r="3104" spans="1:29" ht="34.5" customHeight="1">
      <c r="A3104" s="151" t="str">
        <f>'Reported burning'!A3104</f>
        <v>333c</v>
      </c>
      <c r="B3104" s="151" t="str">
        <f>'Reported burning'!B3104</f>
        <v>333c.2</v>
      </c>
      <c r="C3104" s="151" t="str">
        <f>'Reported burning'!C3104</f>
        <v>All</v>
      </c>
      <c r="D3104" s="151" t="str">
        <f>'Reported burning'!D3104</f>
        <v>ND</v>
      </c>
      <c r="E3104" s="151" t="str">
        <f>'Reported burning'!E3104</f>
        <v>All</v>
      </c>
      <c r="F3104" s="151" t="str">
        <f>'Reported burning'!F3104</f>
        <v>ND</v>
      </c>
      <c r="G3104" s="151" t="str">
        <f>'Reported burning'!G3104</f>
        <v>Shrubland (Mixed forest &amp; grassland)</v>
      </c>
      <c r="H3104" s="151" t="str">
        <f>'Reported burning'!H3104</f>
        <v>Presence</v>
      </c>
      <c r="I3104" s="5"/>
      <c r="J3104" s="198" t="s">
        <v>2272</v>
      </c>
      <c r="K3104" s="198" t="s">
        <v>2272</v>
      </c>
      <c r="L3104" s="198" t="s">
        <v>2272</v>
      </c>
      <c r="M3104" s="198" t="s">
        <v>2272</v>
      </c>
      <c r="N3104" s="198" t="s">
        <v>2272</v>
      </c>
      <c r="O3104" s="198" t="s">
        <v>2272</v>
      </c>
      <c r="P3104" s="198" t="s">
        <v>2272</v>
      </c>
      <c r="Q3104" s="198" t="s">
        <v>2272</v>
      </c>
      <c r="R3104" s="198" t="s">
        <v>2272</v>
      </c>
      <c r="S3104" s="198" t="s">
        <v>2272</v>
      </c>
      <c r="T3104" s="198" t="s">
        <v>2272</v>
      </c>
      <c r="U3104" s="198" t="s">
        <v>2272</v>
      </c>
      <c r="V3104" s="198" t="s">
        <v>2272</v>
      </c>
      <c r="W3104" s="198" t="s">
        <v>2272</v>
      </c>
      <c r="X3104" s="198" t="s">
        <v>2272</v>
      </c>
      <c r="Y3104" s="198" t="s">
        <v>84</v>
      </c>
      <c r="Z3104" s="198" t="s">
        <v>402</v>
      </c>
      <c r="AA3104" s="198" t="s">
        <v>2650</v>
      </c>
      <c r="AB3104" s="198"/>
      <c r="AC3104" s="198"/>
    </row>
    <row r="3105" spans="1:29" ht="34.5" customHeight="1">
      <c r="A3105" s="151" t="str">
        <f>'Reported burning'!A3105</f>
        <v>333d</v>
      </c>
      <c r="B3105" s="151" t="str">
        <f>'Reported burning'!B3105</f>
        <v>333d.2</v>
      </c>
      <c r="C3105" s="151" t="str">
        <f>'Reported burning'!C3105</f>
        <v>All</v>
      </c>
      <c r="D3105" s="151" t="str">
        <f>'Reported burning'!D3105</f>
        <v>ND</v>
      </c>
      <c r="E3105" s="151" t="str">
        <f>'Reported burning'!E3105</f>
        <v>All</v>
      </c>
      <c r="F3105" s="151" t="str">
        <f>'Reported burning'!F3105</f>
        <v>ND</v>
      </c>
      <c r="G3105" s="151" t="str">
        <f>'Reported burning'!G3105</f>
        <v>Shrubland (Mixed forest &amp; grassland)</v>
      </c>
      <c r="H3105" s="151" t="str">
        <f>'Reported burning'!H3105</f>
        <v>Presence</v>
      </c>
      <c r="I3105" s="5"/>
      <c r="J3105" s="198" t="s">
        <v>2272</v>
      </c>
      <c r="K3105" s="198" t="s">
        <v>2272</v>
      </c>
      <c r="L3105" s="198" t="s">
        <v>2272</v>
      </c>
      <c r="M3105" s="198" t="s">
        <v>2272</v>
      </c>
      <c r="N3105" s="198" t="s">
        <v>2272</v>
      </c>
      <c r="O3105" s="198" t="s">
        <v>2272</v>
      </c>
      <c r="P3105" s="198" t="s">
        <v>2272</v>
      </c>
      <c r="Q3105" s="198" t="s">
        <v>2272</v>
      </c>
      <c r="R3105" s="198" t="s">
        <v>2272</v>
      </c>
      <c r="S3105" s="198" t="s">
        <v>2272</v>
      </c>
      <c r="T3105" s="198" t="s">
        <v>2272</v>
      </c>
      <c r="U3105" s="198" t="s">
        <v>2272</v>
      </c>
      <c r="V3105" s="198" t="s">
        <v>2272</v>
      </c>
      <c r="W3105" s="198" t="s">
        <v>2272</v>
      </c>
      <c r="X3105" s="198" t="s">
        <v>2272</v>
      </c>
      <c r="Y3105" s="198" t="s">
        <v>84</v>
      </c>
      <c r="Z3105" s="198" t="s">
        <v>402</v>
      </c>
      <c r="AA3105" s="198" t="s">
        <v>2650</v>
      </c>
      <c r="AB3105" s="198"/>
      <c r="AC3105" s="198"/>
    </row>
    <row r="3106" spans="1:29" ht="34.5" customHeight="1">
      <c r="A3106" s="151" t="str">
        <f>'Reported burning'!A3106</f>
        <v>333a</v>
      </c>
      <c r="B3106" s="151" t="str">
        <f>'Reported burning'!B3106</f>
        <v>333a.3</v>
      </c>
      <c r="C3106" s="151" t="str">
        <f>'Reported burning'!C3106</f>
        <v>Lightning</v>
      </c>
      <c r="D3106" s="151" t="str">
        <f>'Reported burning'!D3106</f>
        <v>ND</v>
      </c>
      <c r="E3106" s="151" t="str">
        <f>'Reported burning'!E3106</f>
        <v>All</v>
      </c>
      <c r="F3106" s="151" t="str">
        <f>'Reported burning'!F3106</f>
        <v>ND</v>
      </c>
      <c r="G3106" s="151" t="str">
        <f>'Reported burning'!G3106</f>
        <v>Shrubland (Mixed forest &amp; grassland)</v>
      </c>
      <c r="H3106" s="151" t="str">
        <f>'Reported burning'!H3106</f>
        <v>Presence</v>
      </c>
      <c r="I3106" s="5"/>
      <c r="J3106" s="198" t="s">
        <v>2272</v>
      </c>
      <c r="K3106" s="198" t="s">
        <v>2272</v>
      </c>
      <c r="L3106" s="198" t="s">
        <v>2272</v>
      </c>
      <c r="M3106" s="198" t="s">
        <v>2272</v>
      </c>
      <c r="N3106" s="198" t="s">
        <v>2272</v>
      </c>
      <c r="O3106" s="198" t="s">
        <v>2272</v>
      </c>
      <c r="P3106" s="198" t="s">
        <v>2272</v>
      </c>
      <c r="Q3106" s="198" t="s">
        <v>2272</v>
      </c>
      <c r="R3106" s="198" t="s">
        <v>2272</v>
      </c>
      <c r="S3106" s="198" t="s">
        <v>2272</v>
      </c>
      <c r="T3106" s="198" t="s">
        <v>2272</v>
      </c>
      <c r="U3106" s="198" t="s">
        <v>2272</v>
      </c>
      <c r="V3106" s="198" t="s">
        <v>2272</v>
      </c>
      <c r="W3106" s="198" t="s">
        <v>2272</v>
      </c>
      <c r="X3106" s="198" t="s">
        <v>2272</v>
      </c>
      <c r="Y3106" s="198" t="s">
        <v>33</v>
      </c>
      <c r="Z3106" s="198" t="s">
        <v>402</v>
      </c>
      <c r="AA3106" s="198" t="s">
        <v>2650</v>
      </c>
      <c r="AB3106" s="198"/>
      <c r="AC3106" s="198"/>
    </row>
    <row r="3107" spans="1:29" ht="34.5" customHeight="1">
      <c r="A3107" s="151" t="str">
        <f>'Reported burning'!A3107</f>
        <v>333b</v>
      </c>
      <c r="B3107" s="151" t="str">
        <f>'Reported burning'!B3107</f>
        <v>333b.3</v>
      </c>
      <c r="C3107" s="151" t="str">
        <f>'Reported burning'!C3107</f>
        <v>Lightning</v>
      </c>
      <c r="D3107" s="151" t="str">
        <f>'Reported burning'!D3107</f>
        <v>ND</v>
      </c>
      <c r="E3107" s="151" t="str">
        <f>'Reported burning'!E3107</f>
        <v>All</v>
      </c>
      <c r="F3107" s="151" t="str">
        <f>'Reported burning'!F3107</f>
        <v>ND</v>
      </c>
      <c r="G3107" s="151" t="str">
        <f>'Reported burning'!G3107</f>
        <v>Shrubland (Mixed forest &amp; grassland)</v>
      </c>
      <c r="H3107" s="151" t="str">
        <f>'Reported burning'!H3107</f>
        <v>Presence</v>
      </c>
      <c r="I3107" s="5"/>
      <c r="J3107" s="198" t="s">
        <v>2272</v>
      </c>
      <c r="K3107" s="198" t="s">
        <v>2272</v>
      </c>
      <c r="L3107" s="198" t="s">
        <v>2272</v>
      </c>
      <c r="M3107" s="198" t="s">
        <v>2272</v>
      </c>
      <c r="N3107" s="198" t="s">
        <v>2272</v>
      </c>
      <c r="O3107" s="198" t="s">
        <v>2272</v>
      </c>
      <c r="P3107" s="198" t="s">
        <v>2272</v>
      </c>
      <c r="Q3107" s="198" t="s">
        <v>2272</v>
      </c>
      <c r="R3107" s="198" t="s">
        <v>2272</v>
      </c>
      <c r="S3107" s="198" t="s">
        <v>2272</v>
      </c>
      <c r="T3107" s="198" t="s">
        <v>2272</v>
      </c>
      <c r="U3107" s="198" t="s">
        <v>2272</v>
      </c>
      <c r="V3107" s="198" t="s">
        <v>2272</v>
      </c>
      <c r="W3107" s="198" t="s">
        <v>2272</v>
      </c>
      <c r="X3107" s="198" t="s">
        <v>2272</v>
      </c>
      <c r="Y3107" s="198" t="s">
        <v>33</v>
      </c>
      <c r="Z3107" s="198" t="s">
        <v>402</v>
      </c>
      <c r="AA3107" s="198" t="s">
        <v>2650</v>
      </c>
      <c r="AB3107" s="198"/>
      <c r="AC3107" s="198"/>
    </row>
    <row r="3108" spans="1:29" ht="34.5" customHeight="1">
      <c r="A3108" s="151" t="str">
        <f>'Reported burning'!A3108</f>
        <v>333c</v>
      </c>
      <c r="B3108" s="151" t="str">
        <f>'Reported burning'!B3108</f>
        <v>333c.3</v>
      </c>
      <c r="C3108" s="151" t="str">
        <f>'Reported burning'!C3108</f>
        <v>Lightning</v>
      </c>
      <c r="D3108" s="151" t="str">
        <f>'Reported burning'!D3108</f>
        <v>ND</v>
      </c>
      <c r="E3108" s="151" t="str">
        <f>'Reported burning'!E3108</f>
        <v>All</v>
      </c>
      <c r="F3108" s="151" t="str">
        <f>'Reported burning'!F3108</f>
        <v>ND</v>
      </c>
      <c r="G3108" s="151" t="str">
        <f>'Reported burning'!G3108</f>
        <v>Shrubland (Mixed forest &amp; grassland)</v>
      </c>
      <c r="H3108" s="151" t="str">
        <f>'Reported burning'!H3108</f>
        <v>Presence</v>
      </c>
      <c r="I3108" s="5"/>
      <c r="J3108" s="198" t="s">
        <v>2272</v>
      </c>
      <c r="K3108" s="198" t="s">
        <v>2272</v>
      </c>
      <c r="L3108" s="198" t="s">
        <v>2272</v>
      </c>
      <c r="M3108" s="198" t="s">
        <v>2272</v>
      </c>
      <c r="N3108" s="198" t="s">
        <v>2272</v>
      </c>
      <c r="O3108" s="198" t="s">
        <v>2272</v>
      </c>
      <c r="P3108" s="198" t="s">
        <v>2272</v>
      </c>
      <c r="Q3108" s="198" t="s">
        <v>2272</v>
      </c>
      <c r="R3108" s="198" t="s">
        <v>2272</v>
      </c>
      <c r="S3108" s="198" t="s">
        <v>2272</v>
      </c>
      <c r="T3108" s="198" t="s">
        <v>2272</v>
      </c>
      <c r="U3108" s="198" t="s">
        <v>2272</v>
      </c>
      <c r="V3108" s="198" t="s">
        <v>2272</v>
      </c>
      <c r="W3108" s="198" t="s">
        <v>2272</v>
      </c>
      <c r="X3108" s="198" t="s">
        <v>2272</v>
      </c>
      <c r="Y3108" s="198" t="s">
        <v>33</v>
      </c>
      <c r="Z3108" s="198" t="s">
        <v>402</v>
      </c>
      <c r="AA3108" s="198" t="s">
        <v>2650</v>
      </c>
      <c r="AB3108" s="198"/>
      <c r="AC3108" s="198"/>
    </row>
    <row r="3109" spans="1:29" ht="34.5" customHeight="1">
      <c r="A3109" s="151" t="str">
        <f>'Reported burning'!A3109</f>
        <v>333d</v>
      </c>
      <c r="B3109" s="151" t="str">
        <f>'Reported burning'!B3109</f>
        <v>333d.3</v>
      </c>
      <c r="C3109" s="151" t="str">
        <f>'Reported burning'!C3109</f>
        <v>Lightning</v>
      </c>
      <c r="D3109" s="151" t="str">
        <f>'Reported burning'!D3109</f>
        <v>ND</v>
      </c>
      <c r="E3109" s="151" t="str">
        <f>'Reported burning'!E3109</f>
        <v>All</v>
      </c>
      <c r="F3109" s="151" t="str">
        <f>'Reported burning'!F3109</f>
        <v>ND</v>
      </c>
      <c r="G3109" s="151" t="str">
        <f>'Reported burning'!G3109</f>
        <v>Shrubland (Mixed forest &amp; grassland)</v>
      </c>
      <c r="H3109" s="151" t="str">
        <f>'Reported burning'!H3109</f>
        <v>Presence</v>
      </c>
      <c r="I3109" s="5"/>
      <c r="J3109" s="198" t="s">
        <v>2272</v>
      </c>
      <c r="K3109" s="198" t="s">
        <v>2272</v>
      </c>
      <c r="L3109" s="198" t="s">
        <v>2272</v>
      </c>
      <c r="M3109" s="198" t="s">
        <v>2272</v>
      </c>
      <c r="N3109" s="198" t="s">
        <v>2272</v>
      </c>
      <c r="O3109" s="198" t="s">
        <v>2272</v>
      </c>
      <c r="P3109" s="198" t="s">
        <v>2272</v>
      </c>
      <c r="Q3109" s="198" t="s">
        <v>2272</v>
      </c>
      <c r="R3109" s="198" t="s">
        <v>2272</v>
      </c>
      <c r="S3109" s="198" t="s">
        <v>2272</v>
      </c>
      <c r="T3109" s="198" t="s">
        <v>2272</v>
      </c>
      <c r="U3109" s="198" t="s">
        <v>2272</v>
      </c>
      <c r="V3109" s="198" t="s">
        <v>2272</v>
      </c>
      <c r="W3109" s="198" t="s">
        <v>2272</v>
      </c>
      <c r="X3109" s="198" t="s">
        <v>2272</v>
      </c>
      <c r="Y3109" s="198" t="s">
        <v>33</v>
      </c>
      <c r="Z3109" s="198" t="s">
        <v>402</v>
      </c>
      <c r="AA3109" s="198" t="s">
        <v>2650</v>
      </c>
      <c r="AB3109" s="198"/>
      <c r="AC3109" s="198"/>
    </row>
    <row r="3110" spans="1:29" ht="34.5" customHeight="1">
      <c r="A3110" s="151" t="str">
        <f>'Reported burning'!A3110</f>
        <v>334a</v>
      </c>
      <c r="B3110" s="151" t="str">
        <f>'Reported burning'!B3110</f>
        <v>334a.1</v>
      </c>
      <c r="C3110" s="151" t="str">
        <f>'Reported burning'!C3110</f>
        <v>Human, deliberate</v>
      </c>
      <c r="D3110" s="151" t="str">
        <f>'Reported burning'!D3110</f>
        <v>Hunting</v>
      </c>
      <c r="E3110" s="151" t="str">
        <f>'Reported burning'!E3110</f>
        <v>Forestry, Traditional</v>
      </c>
      <c r="F3110" s="151" t="str">
        <f>'Reported burning'!F3110</f>
        <v>Shrubland (Mixed forest &amp; grassland)</v>
      </c>
      <c r="G3110" s="151" t="str">
        <f>'Reported burning'!G3110</f>
        <v>Shrubland (Mixed forest &amp; grassland)</v>
      </c>
      <c r="H3110" s="151" t="str">
        <f>'Reported burning'!H3110</f>
        <v>Presence</v>
      </c>
      <c r="I3110" s="5"/>
      <c r="J3110" s="198" t="s">
        <v>2272</v>
      </c>
      <c r="K3110" s="198" t="s">
        <v>2272</v>
      </c>
      <c r="L3110" s="198" t="s">
        <v>2272</v>
      </c>
      <c r="M3110" s="21" t="s">
        <v>2358</v>
      </c>
      <c r="N3110" s="198" t="s">
        <v>2272</v>
      </c>
      <c r="O3110" s="198" t="s">
        <v>2272</v>
      </c>
      <c r="P3110" s="198" t="s">
        <v>2272</v>
      </c>
      <c r="Q3110" s="21" t="s">
        <v>2358</v>
      </c>
      <c r="R3110" s="198" t="s">
        <v>2272</v>
      </c>
      <c r="S3110" s="21" t="s">
        <v>2358</v>
      </c>
      <c r="T3110" s="198" t="s">
        <v>2272</v>
      </c>
      <c r="U3110" s="198" t="s">
        <v>2272</v>
      </c>
      <c r="V3110" s="198" t="s">
        <v>2272</v>
      </c>
      <c r="W3110" s="14" t="s">
        <v>2388</v>
      </c>
      <c r="X3110" s="198" t="s">
        <v>2272</v>
      </c>
      <c r="Y3110" s="198" t="s">
        <v>423</v>
      </c>
      <c r="Z3110" s="198" t="s">
        <v>67</v>
      </c>
      <c r="AA3110" s="198" t="s">
        <v>75</v>
      </c>
      <c r="AB3110" s="4" t="s">
        <v>8253</v>
      </c>
      <c r="AC3110" s="4" t="s">
        <v>8254</v>
      </c>
    </row>
    <row r="3111" spans="1:29" ht="34.5" customHeight="1">
      <c r="A3111" s="151" t="str">
        <f>'Reported burning'!A3111</f>
        <v>334a</v>
      </c>
      <c r="B3111" s="151" t="str">
        <f>'Reported burning'!B3111</f>
        <v>334a.2</v>
      </c>
      <c r="C3111" s="151" t="str">
        <f>'Reported burning'!C3111</f>
        <v>Human, deliberate</v>
      </c>
      <c r="D3111" s="151" t="str">
        <f>'Reported burning'!D3111</f>
        <v>Accessibility</v>
      </c>
      <c r="E3111" s="151" t="str">
        <f>'Reported burning'!E3111</f>
        <v>Forestry, Traditional</v>
      </c>
      <c r="F3111" s="151" t="str">
        <f>'Reported burning'!F3111</f>
        <v>Shrubland (Mixed forest &amp; grassland)</v>
      </c>
      <c r="G3111" s="151" t="str">
        <f>'Reported burning'!G3111</f>
        <v>Shrubland (Mixed forest &amp; grassland)</v>
      </c>
      <c r="H3111" s="151" t="str">
        <f>'Reported burning'!H3111</f>
        <v>Presence</v>
      </c>
      <c r="I3111" s="5"/>
      <c r="J3111" s="198" t="s">
        <v>2272</v>
      </c>
      <c r="K3111" s="198" t="s">
        <v>2272</v>
      </c>
      <c r="L3111" s="198" t="s">
        <v>2272</v>
      </c>
      <c r="M3111" s="21" t="s">
        <v>2358</v>
      </c>
      <c r="N3111" s="198" t="s">
        <v>2272</v>
      </c>
      <c r="O3111" s="198" t="s">
        <v>2272</v>
      </c>
      <c r="P3111" s="198" t="s">
        <v>2272</v>
      </c>
      <c r="Q3111" s="21" t="s">
        <v>2358</v>
      </c>
      <c r="R3111" s="198" t="s">
        <v>2272</v>
      </c>
      <c r="S3111" s="21" t="s">
        <v>2358</v>
      </c>
      <c r="T3111" s="198" t="s">
        <v>2272</v>
      </c>
      <c r="U3111" s="198" t="s">
        <v>2272</v>
      </c>
      <c r="V3111" s="198" t="s">
        <v>2272</v>
      </c>
      <c r="W3111" s="198" t="s">
        <v>2272</v>
      </c>
      <c r="X3111" s="198" t="s">
        <v>2272</v>
      </c>
      <c r="Y3111" s="198" t="s">
        <v>423</v>
      </c>
      <c r="Z3111" s="198" t="s">
        <v>67</v>
      </c>
      <c r="AA3111" s="198" t="s">
        <v>75</v>
      </c>
      <c r="AB3111" s="198"/>
      <c r="AC3111" s="4" t="s">
        <v>8254</v>
      </c>
    </row>
    <row r="3112" spans="1:29" ht="34.5" customHeight="1">
      <c r="A3112" s="151" t="str">
        <f>'Reported burning'!A3112</f>
        <v>334a</v>
      </c>
      <c r="B3112" s="151" t="str">
        <f>'Reported burning'!B3112</f>
        <v>334a.3</v>
      </c>
      <c r="C3112" s="151" t="str">
        <f>'Reported burning'!C3112</f>
        <v>Human, deliberate</v>
      </c>
      <c r="D3112" s="151" t="str">
        <f>'Reported burning'!D3112</f>
        <v>Pyrome management</v>
      </c>
      <c r="E3112" s="151" t="str">
        <f>'Reported burning'!E3112</f>
        <v>Forestry, Traditional</v>
      </c>
      <c r="F3112" s="151" t="str">
        <f>'Reported burning'!F3112</f>
        <v>Shrubland (Mixed forest &amp; grassland)</v>
      </c>
      <c r="G3112" s="151" t="str">
        <f>'Reported burning'!G3112</f>
        <v>Shrubland (Mixed forest &amp; grassland)</v>
      </c>
      <c r="H3112" s="151" t="str">
        <f>'Reported burning'!H3112</f>
        <v>Presence</v>
      </c>
      <c r="I3112" s="5"/>
      <c r="J3112" s="198" t="s">
        <v>2272</v>
      </c>
      <c r="K3112" s="198" t="s">
        <v>2272</v>
      </c>
      <c r="L3112" s="198" t="s">
        <v>2272</v>
      </c>
      <c r="M3112" s="21" t="s">
        <v>2358</v>
      </c>
      <c r="N3112" s="198" t="s">
        <v>2272</v>
      </c>
      <c r="O3112" s="198" t="s">
        <v>2272</v>
      </c>
      <c r="P3112" s="198" t="s">
        <v>2272</v>
      </c>
      <c r="Q3112" s="21" t="s">
        <v>2358</v>
      </c>
      <c r="R3112" s="198" t="s">
        <v>2272</v>
      </c>
      <c r="S3112" s="21" t="s">
        <v>2358</v>
      </c>
      <c r="T3112" s="198" t="s">
        <v>2272</v>
      </c>
      <c r="U3112" s="198" t="s">
        <v>2272</v>
      </c>
      <c r="V3112" s="198" t="s">
        <v>2272</v>
      </c>
      <c r="W3112" s="198" t="s">
        <v>2272</v>
      </c>
      <c r="X3112" s="198" t="s">
        <v>2272</v>
      </c>
      <c r="Y3112" s="35" t="s">
        <v>187</v>
      </c>
      <c r="Z3112" s="35" t="s">
        <v>37</v>
      </c>
      <c r="AA3112" s="35" t="s">
        <v>2650</v>
      </c>
      <c r="AB3112" s="163" t="s">
        <v>8252</v>
      </c>
      <c r="AC3112" s="4" t="s">
        <v>8254</v>
      </c>
    </row>
    <row r="3113" spans="1:29" ht="50" customHeight="1">
      <c r="A3113" s="151" t="str">
        <f>'Reported burning'!A3113</f>
        <v>334a</v>
      </c>
      <c r="B3113" s="151" t="str">
        <f>'Reported burning'!B3113</f>
        <v>334a.4</v>
      </c>
      <c r="C3113" s="151" t="str">
        <f>'Reported burning'!C3113</f>
        <v>Human, deliberate</v>
      </c>
      <c r="D3113" s="151" t="str">
        <f>'Reported burning'!D3113</f>
        <v>Fishing</v>
      </c>
      <c r="E3113" s="151" t="str">
        <f>'Reported burning'!E3113</f>
        <v>Forestry, Traditional</v>
      </c>
      <c r="F3113" s="151" t="str">
        <f>'Reported burning'!F3113</f>
        <v>Shrubland (Mixed forest &amp; grassland)</v>
      </c>
      <c r="G3113" s="151" t="str">
        <f>'Reported burning'!G3113</f>
        <v>Shrubland (Mixed forest &amp; grassland)</v>
      </c>
      <c r="H3113" s="151" t="str">
        <f>'Reported burning'!H3113</f>
        <v>Presence</v>
      </c>
      <c r="I3113" s="5"/>
      <c r="J3113" s="198" t="s">
        <v>2272</v>
      </c>
      <c r="K3113" s="198" t="s">
        <v>2272</v>
      </c>
      <c r="L3113" s="198" t="s">
        <v>2272</v>
      </c>
      <c r="M3113" s="21" t="s">
        <v>2358</v>
      </c>
      <c r="N3113" s="198" t="s">
        <v>2272</v>
      </c>
      <c r="O3113" s="198" t="s">
        <v>2272</v>
      </c>
      <c r="P3113" s="198" t="s">
        <v>2272</v>
      </c>
      <c r="Q3113" s="21" t="s">
        <v>2358</v>
      </c>
      <c r="R3113" s="198" t="s">
        <v>2272</v>
      </c>
      <c r="S3113" s="21" t="s">
        <v>2358</v>
      </c>
      <c r="T3113" s="198" t="s">
        <v>2272</v>
      </c>
      <c r="U3113" s="198" t="s">
        <v>2272</v>
      </c>
      <c r="V3113" s="198" t="s">
        <v>2272</v>
      </c>
      <c r="W3113" s="198" t="s">
        <v>2272</v>
      </c>
      <c r="X3113" s="198" t="s">
        <v>2272</v>
      </c>
      <c r="Y3113" s="198" t="s">
        <v>37</v>
      </c>
      <c r="Z3113" s="198" t="s">
        <v>33</v>
      </c>
      <c r="AA3113" s="198" t="s">
        <v>2650</v>
      </c>
      <c r="AB3113" s="163" t="s">
        <v>8252</v>
      </c>
      <c r="AC3113" s="4" t="s">
        <v>8254</v>
      </c>
    </row>
    <row r="3114" spans="1:29" ht="50" customHeight="1">
      <c r="A3114" s="151" t="str">
        <f>'Reported burning'!A3114</f>
        <v>334a</v>
      </c>
      <c r="B3114" s="151" t="str">
        <f>'Reported burning'!B3114</f>
        <v>334a.5</v>
      </c>
      <c r="C3114" s="151" t="str">
        <f>'Reported burning'!C3114</f>
        <v>Human, deliberate</v>
      </c>
      <c r="D3114" s="151" t="str">
        <f>'Reported burning'!D3114</f>
        <v>Harvesting of NTFP</v>
      </c>
      <c r="E3114" s="151" t="str">
        <f>'Reported burning'!E3114</f>
        <v>Forestry, Traditional</v>
      </c>
      <c r="F3114" s="151" t="str">
        <f>'Reported burning'!F3114</f>
        <v>Shrubland (Mixed forest &amp; grassland)</v>
      </c>
      <c r="G3114" s="151" t="str">
        <f>'Reported burning'!G3114</f>
        <v>Shrubland (Mixed forest &amp; grassland)</v>
      </c>
      <c r="H3114" s="151" t="str">
        <f>'Reported burning'!H3114</f>
        <v>Presence</v>
      </c>
      <c r="I3114" s="5"/>
      <c r="J3114" s="198" t="s">
        <v>2272</v>
      </c>
      <c r="K3114" s="198" t="s">
        <v>2272</v>
      </c>
      <c r="L3114" s="198" t="s">
        <v>2272</v>
      </c>
      <c r="M3114" s="21" t="s">
        <v>2358</v>
      </c>
      <c r="N3114" s="198" t="s">
        <v>2272</v>
      </c>
      <c r="O3114" s="198" t="s">
        <v>2272</v>
      </c>
      <c r="P3114" s="198" t="s">
        <v>2272</v>
      </c>
      <c r="Q3114" s="21" t="s">
        <v>2358</v>
      </c>
      <c r="R3114" s="198" t="s">
        <v>2272</v>
      </c>
      <c r="S3114" s="21" t="s">
        <v>2358</v>
      </c>
      <c r="T3114" s="198" t="s">
        <v>2272</v>
      </c>
      <c r="U3114" s="198" t="s">
        <v>2272</v>
      </c>
      <c r="V3114" s="198" t="s">
        <v>2272</v>
      </c>
      <c r="W3114" s="198" t="s">
        <v>2272</v>
      </c>
      <c r="X3114" s="198" t="s">
        <v>2272</v>
      </c>
      <c r="Y3114" s="198" t="s">
        <v>37</v>
      </c>
      <c r="Z3114" s="198" t="s">
        <v>33</v>
      </c>
      <c r="AA3114" s="198" t="s">
        <v>63</v>
      </c>
      <c r="AB3114" s="4"/>
      <c r="AC3114" s="4" t="s">
        <v>8254</v>
      </c>
    </row>
    <row r="3115" spans="1:29" ht="50" customHeight="1">
      <c r="A3115" s="151" t="str">
        <f>'Reported burning'!A3115</f>
        <v>334a</v>
      </c>
      <c r="B3115" s="151" t="str">
        <f>'Reported burning'!B3115</f>
        <v>334a.6</v>
      </c>
      <c r="C3115" s="151" t="str">
        <f>'Reported burning'!C3115</f>
        <v>Human, deliberate</v>
      </c>
      <c r="D3115" s="151" t="str">
        <f>'Reported burning'!D3115</f>
        <v>Pyrome management</v>
      </c>
      <c r="E3115" s="151" t="str">
        <f>'Reported burning'!E3115</f>
        <v>Forestry, Traditional</v>
      </c>
      <c r="F3115" s="151" t="str">
        <f>'Reported burning'!F3115</f>
        <v>Shrubland (Mixed forest &amp; grassland)</v>
      </c>
      <c r="G3115" s="151" t="str">
        <f>'Reported burning'!G3115</f>
        <v>Shrubland (Mixed forest &amp; grassland)</v>
      </c>
      <c r="H3115" s="151" t="str">
        <f>'Reported burning'!H3115</f>
        <v>Presence</v>
      </c>
      <c r="I3115" s="5"/>
      <c r="J3115" s="198" t="s">
        <v>2272</v>
      </c>
      <c r="K3115" s="198" t="s">
        <v>2272</v>
      </c>
      <c r="L3115" s="198" t="s">
        <v>2272</v>
      </c>
      <c r="M3115" s="21" t="s">
        <v>2358</v>
      </c>
      <c r="N3115" s="198" t="s">
        <v>2272</v>
      </c>
      <c r="O3115" s="198" t="s">
        <v>2272</v>
      </c>
      <c r="P3115" s="198" t="s">
        <v>2272</v>
      </c>
      <c r="Q3115" s="21" t="s">
        <v>2358</v>
      </c>
      <c r="R3115" s="198" t="s">
        <v>2272</v>
      </c>
      <c r="S3115" s="21" t="s">
        <v>2358</v>
      </c>
      <c r="T3115" s="198" t="s">
        <v>2272</v>
      </c>
      <c r="U3115" s="198" t="s">
        <v>2272</v>
      </c>
      <c r="V3115" s="198" t="s">
        <v>2272</v>
      </c>
      <c r="W3115" s="198" t="s">
        <v>2272</v>
      </c>
      <c r="X3115" s="198" t="s">
        <v>2272</v>
      </c>
      <c r="Y3115" s="198" t="s">
        <v>33</v>
      </c>
      <c r="Z3115" s="198" t="s">
        <v>403</v>
      </c>
      <c r="AA3115" s="198" t="s">
        <v>63</v>
      </c>
      <c r="AB3115" s="4" t="s">
        <v>8251</v>
      </c>
      <c r="AC3115" s="4" t="s">
        <v>8254</v>
      </c>
    </row>
    <row r="3116" spans="1:29" ht="50" customHeight="1">
      <c r="A3116" s="147" t="str">
        <f>'Reported burning'!A3116</f>
        <v>335a</v>
      </c>
      <c r="B3116" s="147" t="str">
        <f>'Reported burning'!B3116</f>
        <v>335a.1</v>
      </c>
      <c r="C3116" s="147" t="str">
        <f>'Reported burning'!C3116</f>
        <v>Human, deliberate</v>
      </c>
      <c r="D3116" s="147" t="str">
        <f>'Reported burning'!D3116</f>
        <v>Hunting</v>
      </c>
      <c r="E3116" s="147" t="str">
        <f>'Reported burning'!E3116</f>
        <v>Forestry, Traditional</v>
      </c>
      <c r="F3116" s="147" t="str">
        <f>'Reported burning'!F3116</f>
        <v>Forest</v>
      </c>
      <c r="G3116" s="147" t="str">
        <f>'Reported burning'!G3116</f>
        <v>Forest</v>
      </c>
      <c r="H3116" s="147" t="str">
        <f>'Reported burning'!H3116</f>
        <v>Absence</v>
      </c>
      <c r="I3116" s="198"/>
      <c r="J3116" s="21">
        <v>0</v>
      </c>
      <c r="K3116" s="21">
        <v>0</v>
      </c>
      <c r="L3116" s="21">
        <v>0</v>
      </c>
      <c r="M3116" s="21">
        <v>0</v>
      </c>
      <c r="N3116" s="21">
        <v>0</v>
      </c>
      <c r="O3116" s="21">
        <v>0</v>
      </c>
      <c r="P3116" s="21">
        <v>0</v>
      </c>
      <c r="Q3116" s="21">
        <v>0</v>
      </c>
      <c r="R3116" s="21">
        <v>0</v>
      </c>
      <c r="S3116" s="21">
        <v>0</v>
      </c>
      <c r="T3116" s="21">
        <v>0</v>
      </c>
      <c r="U3116" s="21">
        <v>0</v>
      </c>
      <c r="V3116" s="21">
        <v>0</v>
      </c>
      <c r="W3116" s="21">
        <v>0</v>
      </c>
      <c r="X3116" s="198" t="s">
        <v>2272</v>
      </c>
      <c r="Y3116" s="198" t="s">
        <v>2272</v>
      </c>
      <c r="Z3116" s="198" t="s">
        <v>2272</v>
      </c>
      <c r="AA3116" s="198" t="s">
        <v>2272</v>
      </c>
      <c r="AB3116" s="198"/>
      <c r="AC3116" s="198"/>
    </row>
    <row r="3117" spans="1:29" ht="50" customHeight="1">
      <c r="A3117" s="147" t="str">
        <f>'Reported burning'!A3117</f>
        <v>335a</v>
      </c>
      <c r="B3117" s="147" t="str">
        <f>'Reported burning'!B3117</f>
        <v>335a.2</v>
      </c>
      <c r="C3117" s="147" t="str">
        <f>'Reported burning'!C3117</f>
        <v>Lightning</v>
      </c>
      <c r="D3117" s="147" t="str">
        <f>'Reported burning'!D3117</f>
        <v>ND</v>
      </c>
      <c r="E3117" s="147" t="str">
        <f>'Reported burning'!E3117</f>
        <v>All</v>
      </c>
      <c r="F3117" s="147" t="str">
        <f>'Reported burning'!F3117</f>
        <v>ND</v>
      </c>
      <c r="G3117" s="147" t="str">
        <f>'Reported burning'!G3117</f>
        <v>Forest</v>
      </c>
      <c r="H3117" s="147" t="str">
        <f>'Reported burning'!H3117</f>
        <v>Presence</v>
      </c>
      <c r="I3117" s="198"/>
      <c r="J3117" s="198" t="s">
        <v>2272</v>
      </c>
      <c r="K3117" s="198" t="s">
        <v>2272</v>
      </c>
      <c r="L3117" s="198" t="s">
        <v>2272</v>
      </c>
      <c r="M3117" s="198" t="s">
        <v>2272</v>
      </c>
      <c r="N3117" s="198" t="s">
        <v>2272</v>
      </c>
      <c r="O3117" s="21" t="s">
        <v>2381</v>
      </c>
      <c r="P3117" s="198" t="s">
        <v>2272</v>
      </c>
      <c r="Q3117" s="198" t="s">
        <v>2272</v>
      </c>
      <c r="R3117" s="198" t="s">
        <v>2272</v>
      </c>
      <c r="S3117" s="198" t="s">
        <v>2272</v>
      </c>
      <c r="T3117" s="198" t="s">
        <v>2272</v>
      </c>
      <c r="U3117" s="198" t="s">
        <v>2272</v>
      </c>
      <c r="V3117" s="198" t="s">
        <v>2272</v>
      </c>
      <c r="W3117" s="198" t="s">
        <v>2272</v>
      </c>
      <c r="X3117" s="198" t="s">
        <v>2272</v>
      </c>
      <c r="Y3117" s="198" t="s">
        <v>2272</v>
      </c>
      <c r="Z3117" s="198" t="s">
        <v>2272</v>
      </c>
      <c r="AA3117" s="198" t="s">
        <v>2272</v>
      </c>
      <c r="AB3117" s="198"/>
      <c r="AC3117" s="198"/>
    </row>
    <row r="3118" spans="1:29" ht="50" customHeight="1">
      <c r="A3118" s="151" t="str">
        <f>'Reported burning'!A3118</f>
        <v>335a</v>
      </c>
      <c r="B3118" s="151" t="str">
        <f>'Reported burning'!B3118</f>
        <v>335a.3</v>
      </c>
      <c r="C3118" s="151" t="str">
        <f>'Reported burning'!C3118</f>
        <v>Human, deliberate</v>
      </c>
      <c r="D3118" s="151" t="str">
        <f>'Reported burning'!D3118</f>
        <v>Hunting</v>
      </c>
      <c r="E3118" s="151" t="str">
        <f>'Reported burning'!E3118</f>
        <v>Forestry, Traditional</v>
      </c>
      <c r="F3118" s="151" t="str">
        <f>'Reported burning'!F3118</f>
        <v>Forest</v>
      </c>
      <c r="G3118" s="151" t="str">
        <f>'Reported burning'!G3118</f>
        <v>Forest</v>
      </c>
      <c r="H3118" s="151" t="str">
        <f>'Reported burning'!H3118</f>
        <v>Presence</v>
      </c>
      <c r="I3118" s="5"/>
      <c r="J3118" s="198" t="s">
        <v>2272</v>
      </c>
      <c r="K3118" s="198" t="s">
        <v>2272</v>
      </c>
      <c r="L3118" s="198" t="s">
        <v>2272</v>
      </c>
      <c r="M3118" s="198" t="s">
        <v>2272</v>
      </c>
      <c r="N3118" s="198" t="s">
        <v>2272</v>
      </c>
      <c r="O3118" s="198" t="s">
        <v>2272</v>
      </c>
      <c r="P3118" s="198" t="s">
        <v>2272</v>
      </c>
      <c r="Q3118" s="198" t="s">
        <v>2272</v>
      </c>
      <c r="R3118" s="198" t="s">
        <v>2272</v>
      </c>
      <c r="S3118" s="198" t="s">
        <v>2272</v>
      </c>
      <c r="T3118" s="198" t="s">
        <v>2272</v>
      </c>
      <c r="U3118" s="198" t="s">
        <v>2272</v>
      </c>
      <c r="V3118" s="198" t="s">
        <v>2272</v>
      </c>
      <c r="W3118" s="198" t="s">
        <v>2272</v>
      </c>
      <c r="X3118" s="21" t="s">
        <v>2397</v>
      </c>
      <c r="Y3118" s="198" t="s">
        <v>187</v>
      </c>
      <c r="Z3118" s="198" t="s">
        <v>37</v>
      </c>
      <c r="AA3118" s="198" t="s">
        <v>2272</v>
      </c>
      <c r="AB3118" s="198"/>
      <c r="AC3118" s="198"/>
    </row>
    <row r="3119" spans="1:29" ht="33.5" customHeight="1">
      <c r="A3119" s="151" t="str">
        <f>'Reported burning'!A3119</f>
        <v>335a</v>
      </c>
      <c r="B3119" s="151" t="str">
        <f>'Reported burning'!B3119</f>
        <v>335a.4</v>
      </c>
      <c r="C3119" s="151" t="str">
        <f>'Reported burning'!C3119</f>
        <v>Human, deliberate</v>
      </c>
      <c r="D3119" s="151" t="str">
        <f>'Reported burning'!D3119</f>
        <v>Harvesting of NTFP</v>
      </c>
      <c r="E3119" s="151" t="str">
        <f>'Reported burning'!E3119</f>
        <v>Forestry, Traditional</v>
      </c>
      <c r="F3119" s="151" t="str">
        <f>'Reported burning'!F3119</f>
        <v>Forest</v>
      </c>
      <c r="G3119" s="151" t="str">
        <f>'Reported burning'!G3119</f>
        <v>Forest</v>
      </c>
      <c r="H3119" s="151" t="str">
        <f>'Reported burning'!H3119</f>
        <v>Presence</v>
      </c>
      <c r="I3119" s="5"/>
      <c r="J3119" s="198" t="s">
        <v>2272</v>
      </c>
      <c r="K3119" s="198" t="s">
        <v>2272</v>
      </c>
      <c r="L3119" s="198" t="s">
        <v>2272</v>
      </c>
      <c r="M3119" s="198" t="s">
        <v>2272</v>
      </c>
      <c r="N3119" s="198" t="s">
        <v>2272</v>
      </c>
      <c r="O3119" s="198" t="s">
        <v>2272</v>
      </c>
      <c r="P3119" s="198" t="s">
        <v>2272</v>
      </c>
      <c r="Q3119" s="198" t="s">
        <v>2272</v>
      </c>
      <c r="R3119" s="198" t="s">
        <v>2272</v>
      </c>
      <c r="S3119" s="198" t="s">
        <v>2272</v>
      </c>
      <c r="T3119" s="198" t="s">
        <v>2272</v>
      </c>
      <c r="U3119" s="198" t="s">
        <v>2272</v>
      </c>
      <c r="V3119" s="198" t="s">
        <v>2272</v>
      </c>
      <c r="W3119" s="198" t="s">
        <v>2272</v>
      </c>
      <c r="X3119" s="21" t="s">
        <v>2397</v>
      </c>
      <c r="Y3119" s="198" t="s">
        <v>187</v>
      </c>
      <c r="Z3119" s="198" t="s">
        <v>37</v>
      </c>
      <c r="AA3119" s="198" t="s">
        <v>2272</v>
      </c>
      <c r="AB3119" s="198"/>
      <c r="AC3119" s="198"/>
    </row>
    <row r="3120" spans="1:29" ht="33.5" customHeight="1">
      <c r="A3120" s="151" t="str">
        <f>'Reported burning'!A3120</f>
        <v>336a</v>
      </c>
      <c r="B3120" s="151" t="str">
        <f>'Reported burning'!B3120</f>
        <v>336a.1</v>
      </c>
      <c r="C3120" s="151" t="str">
        <f>'Reported burning'!C3120</f>
        <v>Human, deliberate</v>
      </c>
      <c r="D3120" s="151" t="str">
        <f>'Reported burning'!D3120</f>
        <v>Pyrome management</v>
      </c>
      <c r="E3120" s="151" t="str">
        <f>'Reported burning'!E3120</f>
        <v>Forestry, Traditional</v>
      </c>
      <c r="F3120" s="151" t="str">
        <f>'Reported burning'!F3120</f>
        <v>Shrubland (Mixed forest &amp; grassland)</v>
      </c>
      <c r="G3120" s="151" t="str">
        <f>'Reported burning'!G3120</f>
        <v>Shrubland (Mixed forest &amp; grassland)</v>
      </c>
      <c r="H3120" s="151" t="str">
        <f>'Reported burning'!H3120</f>
        <v>Presence</v>
      </c>
      <c r="I3120" s="5"/>
      <c r="J3120" s="198" t="s">
        <v>2272</v>
      </c>
      <c r="K3120" s="198" t="s">
        <v>2272</v>
      </c>
      <c r="L3120" s="198" t="s">
        <v>2272</v>
      </c>
      <c r="M3120" s="198" t="s">
        <v>2272</v>
      </c>
      <c r="N3120" s="198" t="s">
        <v>2272</v>
      </c>
      <c r="O3120" s="198" t="s">
        <v>2272</v>
      </c>
      <c r="P3120" s="198" t="s">
        <v>2272</v>
      </c>
      <c r="Q3120" s="198" t="s">
        <v>2272</v>
      </c>
      <c r="R3120" s="198" t="s">
        <v>2272</v>
      </c>
      <c r="S3120" s="198" t="s">
        <v>2272</v>
      </c>
      <c r="T3120" s="198" t="s">
        <v>2272</v>
      </c>
      <c r="U3120" s="198" t="s">
        <v>2272</v>
      </c>
      <c r="V3120" s="198" t="s">
        <v>2272</v>
      </c>
      <c r="W3120" s="198" t="s">
        <v>2272</v>
      </c>
      <c r="X3120" s="198" t="s">
        <v>2272</v>
      </c>
      <c r="Y3120" s="198" t="s">
        <v>2272</v>
      </c>
      <c r="Z3120" s="198" t="s">
        <v>2272</v>
      </c>
      <c r="AA3120" s="198" t="s">
        <v>2272</v>
      </c>
      <c r="AB3120" s="198"/>
      <c r="AC3120" s="198"/>
    </row>
    <row r="3121" spans="1:29" ht="40.5" customHeight="1">
      <c r="A3121" s="151" t="str">
        <f>'Reported burning'!A3121</f>
        <v>336b</v>
      </c>
      <c r="B3121" s="151" t="str">
        <f>'Reported burning'!B3121</f>
        <v>336b.1</v>
      </c>
      <c r="C3121" s="151" t="str">
        <f>'Reported burning'!C3121</f>
        <v>Human, deliberate</v>
      </c>
      <c r="D3121" s="151" t="str">
        <f>'Reported burning'!D3121</f>
        <v>Pyrome management</v>
      </c>
      <c r="E3121" s="151" t="str">
        <f>'Reported burning'!E3121</f>
        <v>Forestry, Traditional</v>
      </c>
      <c r="F3121" s="151" t="str">
        <f>'Reported burning'!F3121</f>
        <v>Shrubland (Mixed forest &amp; grassland)</v>
      </c>
      <c r="G3121" s="151" t="str">
        <f>'Reported burning'!G3121</f>
        <v>Shrubland (Mixed forest &amp; grassland)</v>
      </c>
      <c r="H3121" s="151" t="str">
        <f>'Reported burning'!H3121</f>
        <v>Presence</v>
      </c>
      <c r="I3121" s="5"/>
      <c r="J3121" s="198" t="s">
        <v>2272</v>
      </c>
      <c r="K3121" s="198" t="s">
        <v>2272</v>
      </c>
      <c r="L3121" s="198" t="s">
        <v>2272</v>
      </c>
      <c r="M3121" s="198" t="s">
        <v>2272</v>
      </c>
      <c r="N3121" s="198" t="s">
        <v>2272</v>
      </c>
      <c r="O3121" s="198" t="s">
        <v>2272</v>
      </c>
      <c r="P3121" s="198" t="s">
        <v>2272</v>
      </c>
      <c r="Q3121" s="198" t="s">
        <v>2272</v>
      </c>
      <c r="R3121" s="198" t="s">
        <v>2272</v>
      </c>
      <c r="S3121" s="198" t="s">
        <v>2272</v>
      </c>
      <c r="T3121" s="198" t="s">
        <v>2272</v>
      </c>
      <c r="U3121" s="198" t="s">
        <v>2272</v>
      </c>
      <c r="V3121" s="198" t="s">
        <v>2272</v>
      </c>
      <c r="W3121" s="198" t="s">
        <v>2272</v>
      </c>
      <c r="X3121" s="198" t="s">
        <v>2272</v>
      </c>
      <c r="Y3121" s="198" t="s">
        <v>2272</v>
      </c>
      <c r="Z3121" s="198" t="s">
        <v>2272</v>
      </c>
      <c r="AA3121" s="198" t="s">
        <v>2272</v>
      </c>
      <c r="AB3121" s="198"/>
      <c r="AC3121" s="198"/>
    </row>
    <row r="3122" spans="1:29" ht="31" customHeight="1">
      <c r="A3122" s="151" t="str">
        <f>'Reported burning'!A3122</f>
        <v>336c</v>
      </c>
      <c r="B3122" s="151" t="str">
        <f>'Reported burning'!B3122</f>
        <v>336c.1</v>
      </c>
      <c r="C3122" s="151" t="str">
        <f>'Reported burning'!C3122</f>
        <v>Human, deliberate</v>
      </c>
      <c r="D3122" s="151" t="str">
        <f>'Reported burning'!D3122</f>
        <v>Pyrome management</v>
      </c>
      <c r="E3122" s="151" t="str">
        <f>'Reported burning'!E3122</f>
        <v>Forestry, Traditional</v>
      </c>
      <c r="F3122" s="151" t="str">
        <f>'Reported burning'!F3122</f>
        <v>Shrubland (Mixed forest &amp; grassland)</v>
      </c>
      <c r="G3122" s="151" t="str">
        <f>'Reported burning'!G3122</f>
        <v>Shrubland (Mixed forest &amp; grassland)</v>
      </c>
      <c r="H3122" s="151" t="str">
        <f>'Reported burning'!H3122</f>
        <v>Presence</v>
      </c>
      <c r="I3122" s="5"/>
      <c r="J3122" s="198" t="s">
        <v>2272</v>
      </c>
      <c r="K3122" s="198" t="s">
        <v>2272</v>
      </c>
      <c r="L3122" s="198" t="s">
        <v>2272</v>
      </c>
      <c r="M3122" s="198" t="s">
        <v>2272</v>
      </c>
      <c r="N3122" s="198" t="s">
        <v>2272</v>
      </c>
      <c r="O3122" s="198" t="s">
        <v>2272</v>
      </c>
      <c r="P3122" s="198" t="s">
        <v>2272</v>
      </c>
      <c r="Q3122" s="198" t="s">
        <v>2272</v>
      </c>
      <c r="R3122" s="198" t="s">
        <v>2272</v>
      </c>
      <c r="S3122" s="198" t="s">
        <v>2272</v>
      </c>
      <c r="T3122" s="198" t="s">
        <v>2272</v>
      </c>
      <c r="U3122" s="198" t="s">
        <v>2272</v>
      </c>
      <c r="V3122" s="198" t="s">
        <v>2272</v>
      </c>
      <c r="W3122" s="198" t="s">
        <v>2272</v>
      </c>
      <c r="X3122" s="198" t="s">
        <v>2272</v>
      </c>
      <c r="Y3122" s="198" t="s">
        <v>2272</v>
      </c>
      <c r="Z3122" s="198" t="s">
        <v>2272</v>
      </c>
      <c r="AA3122" s="198" t="s">
        <v>2272</v>
      </c>
      <c r="AB3122" s="198"/>
      <c r="AC3122" s="198"/>
    </row>
    <row r="3123" spans="1:29" ht="39.5" customHeight="1">
      <c r="A3123" s="151" t="str">
        <f>'Reported burning'!A3123</f>
        <v>336a</v>
      </c>
      <c r="B3123" s="151" t="str">
        <f>'Reported burning'!B3123</f>
        <v>336a.2</v>
      </c>
      <c r="C3123" s="151" t="str">
        <f>'Reported burning'!C3123</f>
        <v>Human, deliberate</v>
      </c>
      <c r="D3123" s="151" t="str">
        <f>'Reported burning'!D3123</f>
        <v>Pyrome management</v>
      </c>
      <c r="E3123" s="151" t="str">
        <f>'Reported burning'!E3123</f>
        <v>Fire suppression agent</v>
      </c>
      <c r="F3123" s="151" t="str">
        <f>'Reported burning'!F3123</f>
        <v>Shrubland (Mixed forest &amp; grassland)</v>
      </c>
      <c r="G3123" s="151" t="str">
        <f>'Reported burning'!G3123</f>
        <v>Shrubland (Mixed forest &amp; grassland)</v>
      </c>
      <c r="H3123" s="151" t="str">
        <f>'Reported burning'!H3123</f>
        <v>Presence</v>
      </c>
      <c r="I3123" s="5"/>
      <c r="J3123" s="198" t="s">
        <v>2272</v>
      </c>
      <c r="K3123" s="198" t="s">
        <v>2272</v>
      </c>
      <c r="L3123" s="198" t="s">
        <v>2272</v>
      </c>
      <c r="M3123" s="198" t="s">
        <v>2272</v>
      </c>
      <c r="N3123" s="198" t="s">
        <v>2272</v>
      </c>
      <c r="O3123" s="198" t="s">
        <v>2272</v>
      </c>
      <c r="P3123" s="198" t="s">
        <v>2272</v>
      </c>
      <c r="Q3123" s="198" t="s">
        <v>2272</v>
      </c>
      <c r="R3123" s="198" t="s">
        <v>2272</v>
      </c>
      <c r="S3123" s="198" t="s">
        <v>2272</v>
      </c>
      <c r="T3123" s="198" t="s">
        <v>2272</v>
      </c>
      <c r="U3123" s="198" t="s">
        <v>2272</v>
      </c>
      <c r="V3123" s="198" t="s">
        <v>2272</v>
      </c>
      <c r="W3123" s="198" t="s">
        <v>2272</v>
      </c>
      <c r="X3123" s="198" t="s">
        <v>2272</v>
      </c>
      <c r="Y3123" s="198" t="s">
        <v>2272</v>
      </c>
      <c r="Z3123" s="198" t="s">
        <v>2272</v>
      </c>
      <c r="AA3123" s="198" t="s">
        <v>2272</v>
      </c>
      <c r="AB3123" s="198"/>
      <c r="AC3123" s="198"/>
    </row>
    <row r="3124" spans="1:29" ht="39.5" customHeight="1">
      <c r="A3124" s="151" t="str">
        <f>'Reported burning'!A3124</f>
        <v>336b</v>
      </c>
      <c r="B3124" s="151" t="str">
        <f>'Reported burning'!B3124</f>
        <v>336b.2</v>
      </c>
      <c r="C3124" s="151" t="str">
        <f>'Reported burning'!C3124</f>
        <v>Human, deliberate</v>
      </c>
      <c r="D3124" s="151" t="str">
        <f>'Reported burning'!D3124</f>
        <v>Pyrome management</v>
      </c>
      <c r="E3124" s="151" t="str">
        <f>'Reported burning'!E3124</f>
        <v>Fire suppression agent</v>
      </c>
      <c r="F3124" s="151" t="str">
        <f>'Reported burning'!F3124</f>
        <v>Shrubland (Mixed forest &amp; grassland)</v>
      </c>
      <c r="G3124" s="151" t="str">
        <f>'Reported burning'!G3124</f>
        <v>Shrubland (Mixed forest &amp; grassland)</v>
      </c>
      <c r="H3124" s="151" t="str">
        <f>'Reported burning'!H3124</f>
        <v>Presence</v>
      </c>
      <c r="I3124" s="5"/>
      <c r="J3124" s="198" t="s">
        <v>2272</v>
      </c>
      <c r="K3124" s="198" t="s">
        <v>2272</v>
      </c>
      <c r="L3124" s="198" t="s">
        <v>2272</v>
      </c>
      <c r="M3124" s="198" t="s">
        <v>2272</v>
      </c>
      <c r="N3124" s="198" t="s">
        <v>2272</v>
      </c>
      <c r="O3124" s="198" t="s">
        <v>2272</v>
      </c>
      <c r="P3124" s="198" t="s">
        <v>2272</v>
      </c>
      <c r="Q3124" s="198" t="s">
        <v>2272</v>
      </c>
      <c r="R3124" s="198" t="s">
        <v>2272</v>
      </c>
      <c r="S3124" s="198" t="s">
        <v>2272</v>
      </c>
      <c r="T3124" s="198" t="s">
        <v>2272</v>
      </c>
      <c r="U3124" s="198" t="s">
        <v>2272</v>
      </c>
      <c r="V3124" s="198" t="s">
        <v>2272</v>
      </c>
      <c r="W3124" s="198" t="s">
        <v>2272</v>
      </c>
      <c r="X3124" s="198" t="s">
        <v>2272</v>
      </c>
      <c r="Y3124" s="198" t="s">
        <v>2272</v>
      </c>
      <c r="Z3124" s="198" t="s">
        <v>2272</v>
      </c>
      <c r="AA3124" s="198" t="s">
        <v>2272</v>
      </c>
      <c r="AB3124" s="198"/>
      <c r="AC3124" s="198"/>
    </row>
    <row r="3125" spans="1:29" ht="39.5" customHeight="1">
      <c r="A3125" s="151" t="str">
        <f>'Reported burning'!A3125</f>
        <v>336c</v>
      </c>
      <c r="B3125" s="151" t="str">
        <f>'Reported burning'!B3125</f>
        <v>336c.2</v>
      </c>
      <c r="C3125" s="151" t="str">
        <f>'Reported burning'!C3125</f>
        <v>Human, deliberate</v>
      </c>
      <c r="D3125" s="151" t="str">
        <f>'Reported burning'!D3125</f>
        <v>Pyrome management</v>
      </c>
      <c r="E3125" s="151" t="str">
        <f>'Reported burning'!E3125</f>
        <v>Fire suppression agent</v>
      </c>
      <c r="F3125" s="151" t="str">
        <f>'Reported burning'!F3125</f>
        <v>Shrubland (Mixed forest &amp; grassland)</v>
      </c>
      <c r="G3125" s="151" t="str">
        <f>'Reported burning'!G3125</f>
        <v>Shrubland (Mixed forest &amp; grassland)</v>
      </c>
      <c r="H3125" s="151" t="str">
        <f>'Reported burning'!H3125</f>
        <v>Presence</v>
      </c>
      <c r="I3125" s="5"/>
      <c r="J3125" s="198" t="s">
        <v>2272</v>
      </c>
      <c r="K3125" s="198" t="s">
        <v>2272</v>
      </c>
      <c r="L3125" s="198" t="s">
        <v>2272</v>
      </c>
      <c r="M3125" s="198" t="s">
        <v>2272</v>
      </c>
      <c r="N3125" s="198" t="s">
        <v>2272</v>
      </c>
      <c r="O3125" s="198" t="s">
        <v>2272</v>
      </c>
      <c r="P3125" s="198" t="s">
        <v>2272</v>
      </c>
      <c r="Q3125" s="198" t="s">
        <v>2272</v>
      </c>
      <c r="R3125" s="198" t="s">
        <v>2272</v>
      </c>
      <c r="S3125" s="198" t="s">
        <v>2272</v>
      </c>
      <c r="T3125" s="198" t="s">
        <v>2272</v>
      </c>
      <c r="U3125" s="198" t="s">
        <v>2272</v>
      </c>
      <c r="V3125" s="198" t="s">
        <v>2272</v>
      </c>
      <c r="W3125" s="198" t="s">
        <v>2272</v>
      </c>
      <c r="X3125" s="198" t="s">
        <v>2272</v>
      </c>
      <c r="Y3125" s="198" t="s">
        <v>2272</v>
      </c>
      <c r="Z3125" s="198" t="s">
        <v>2272</v>
      </c>
      <c r="AA3125" s="198" t="s">
        <v>2272</v>
      </c>
      <c r="AB3125" s="198"/>
      <c r="AC3125" s="198"/>
    </row>
    <row r="3126" spans="1:29" ht="39.5" customHeight="1">
      <c r="A3126" s="151" t="str">
        <f>'Reported burning'!A3126</f>
        <v>336c</v>
      </c>
      <c r="B3126" s="151" t="str">
        <f>'Reported burning'!B3126</f>
        <v>336c.3</v>
      </c>
      <c r="C3126" s="151" t="str">
        <f>'Reported burning'!C3126</f>
        <v>Human, deliberate</v>
      </c>
      <c r="D3126" s="151" t="str">
        <f>'Reported burning'!D3126</f>
        <v>Harvesting of NTFP</v>
      </c>
      <c r="E3126" s="151" t="str">
        <f>'Reported burning'!E3126</f>
        <v>Forestry, Traditional</v>
      </c>
      <c r="F3126" s="151" t="str">
        <f>'Reported burning'!F3126</f>
        <v>Shrubland (Mixed forest &amp; grassland)</v>
      </c>
      <c r="G3126" s="151" t="str">
        <f>'Reported burning'!G3126</f>
        <v>Shrubland (Mixed forest &amp; grassland)</v>
      </c>
      <c r="H3126" s="151" t="str">
        <f>'Reported burning'!H3126</f>
        <v>Presence</v>
      </c>
      <c r="I3126" s="5"/>
      <c r="J3126" s="198" t="s">
        <v>2272</v>
      </c>
      <c r="K3126" s="198" t="s">
        <v>2272</v>
      </c>
      <c r="L3126" s="198" t="s">
        <v>2272</v>
      </c>
      <c r="M3126" s="198" t="s">
        <v>2272</v>
      </c>
      <c r="N3126" s="198" t="s">
        <v>2272</v>
      </c>
      <c r="O3126" s="198" t="s">
        <v>2272</v>
      </c>
      <c r="P3126" s="198" t="s">
        <v>2272</v>
      </c>
      <c r="Q3126" s="198" t="s">
        <v>2272</v>
      </c>
      <c r="R3126" s="198" t="s">
        <v>2272</v>
      </c>
      <c r="S3126" s="198" t="s">
        <v>2272</v>
      </c>
      <c r="T3126" s="198" t="s">
        <v>2272</v>
      </c>
      <c r="U3126" s="198" t="s">
        <v>2272</v>
      </c>
      <c r="V3126" s="198" t="s">
        <v>2272</v>
      </c>
      <c r="W3126" s="198" t="s">
        <v>2272</v>
      </c>
      <c r="X3126" s="198" t="s">
        <v>2272</v>
      </c>
      <c r="Y3126" s="198" t="s">
        <v>2272</v>
      </c>
      <c r="Z3126" s="198" t="s">
        <v>2272</v>
      </c>
      <c r="AA3126" s="198" t="s">
        <v>2272</v>
      </c>
      <c r="AB3126" s="198"/>
      <c r="AC3126" s="198"/>
    </row>
    <row r="3127" spans="1:29" ht="39.5" customHeight="1">
      <c r="A3127" s="151" t="str">
        <f>'Reported burning'!A3127</f>
        <v>337a</v>
      </c>
      <c r="B3127" s="151" t="str">
        <f>'Reported burning'!B3127</f>
        <v>337a.1</v>
      </c>
      <c r="C3127" s="151" t="str">
        <f>'Reported burning'!C3127</f>
        <v>Human, deliberate</v>
      </c>
      <c r="D3127" s="151" t="str">
        <f>'Reported burning'!D3127</f>
        <v>Cultural &amp; Spiritual</v>
      </c>
      <c r="E3127" s="151" t="str">
        <f>'Reported burning'!E3127</f>
        <v>Forestry, Traditional</v>
      </c>
      <c r="F3127" s="151" t="str">
        <f>'Reported burning'!F3127</f>
        <v>Shrubland (Mixed forest &amp; grassland)</v>
      </c>
      <c r="G3127" s="151" t="str">
        <f>'Reported burning'!G3127</f>
        <v>Shrubland (Mixed forest &amp; grassland)</v>
      </c>
      <c r="H3127" s="151" t="str">
        <f>'Reported burning'!H3127</f>
        <v>Presence</v>
      </c>
      <c r="I3127" s="5"/>
      <c r="J3127" s="198" t="s">
        <v>2272</v>
      </c>
      <c r="K3127" s="198" t="s">
        <v>2272</v>
      </c>
      <c r="L3127" s="198" t="s">
        <v>2272</v>
      </c>
      <c r="M3127" s="198" t="s">
        <v>2272</v>
      </c>
      <c r="N3127" s="198" t="s">
        <v>2272</v>
      </c>
      <c r="O3127" s="198" t="s">
        <v>2272</v>
      </c>
      <c r="P3127" s="198" t="s">
        <v>2272</v>
      </c>
      <c r="Q3127" s="198" t="s">
        <v>2272</v>
      </c>
      <c r="R3127" s="198" t="s">
        <v>2272</v>
      </c>
      <c r="S3127" s="198" t="s">
        <v>2272</v>
      </c>
      <c r="T3127" s="198" t="s">
        <v>2272</v>
      </c>
      <c r="U3127" s="198" t="s">
        <v>2272</v>
      </c>
      <c r="V3127" s="198" t="s">
        <v>2272</v>
      </c>
      <c r="W3127" s="198" t="s">
        <v>2272</v>
      </c>
      <c r="X3127" s="198" t="s">
        <v>2272</v>
      </c>
      <c r="Y3127" s="198" t="s">
        <v>2272</v>
      </c>
      <c r="Z3127" s="198" t="s">
        <v>2272</v>
      </c>
      <c r="AA3127" s="198" t="s">
        <v>2272</v>
      </c>
      <c r="AB3127" s="198"/>
      <c r="AC3127" s="198"/>
    </row>
    <row r="3128" spans="1:29" ht="39.5" customHeight="1">
      <c r="A3128" s="151" t="str">
        <f>'Reported burning'!A3128</f>
        <v>337a</v>
      </c>
      <c r="B3128" s="151" t="str">
        <f>'Reported burning'!B3128</f>
        <v>337a.2</v>
      </c>
      <c r="C3128" s="151" t="str">
        <f>'Reported burning'!C3128</f>
        <v>Human, deliberate</v>
      </c>
      <c r="D3128" s="151" t="str">
        <f>'Reported burning'!D3128</f>
        <v>Harvesting of NTFP</v>
      </c>
      <c r="E3128" s="151" t="str">
        <f>'Reported burning'!E3128</f>
        <v>Forestry, Traditional</v>
      </c>
      <c r="F3128" s="151" t="str">
        <f>'Reported burning'!F3128</f>
        <v>Shrubland (Mixed forest &amp; grassland)</v>
      </c>
      <c r="G3128" s="151" t="str">
        <f>'Reported burning'!G3128</f>
        <v>Shrubland (Mixed forest &amp; grassland)</v>
      </c>
      <c r="H3128" s="151" t="str">
        <f>'Reported burning'!H3128</f>
        <v>Presence</v>
      </c>
      <c r="I3128" s="5"/>
      <c r="J3128" s="198" t="s">
        <v>2272</v>
      </c>
      <c r="K3128" s="198" t="s">
        <v>2272</v>
      </c>
      <c r="L3128" s="198" t="s">
        <v>2272</v>
      </c>
      <c r="M3128" s="198" t="s">
        <v>2272</v>
      </c>
      <c r="N3128" s="198" t="s">
        <v>2272</v>
      </c>
      <c r="O3128" s="198" t="s">
        <v>2272</v>
      </c>
      <c r="P3128" s="198" t="s">
        <v>2272</v>
      </c>
      <c r="Q3128" s="198" t="s">
        <v>2272</v>
      </c>
      <c r="R3128" s="198" t="s">
        <v>2272</v>
      </c>
      <c r="S3128" s="198" t="s">
        <v>2272</v>
      </c>
      <c r="T3128" s="198" t="s">
        <v>2272</v>
      </c>
      <c r="U3128" s="198" t="s">
        <v>2272</v>
      </c>
      <c r="V3128" s="198" t="s">
        <v>2272</v>
      </c>
      <c r="W3128" s="198" t="s">
        <v>2272</v>
      </c>
      <c r="X3128" s="198" t="s">
        <v>2272</v>
      </c>
      <c r="Y3128" s="198" t="s">
        <v>2272</v>
      </c>
      <c r="Z3128" s="198" t="s">
        <v>2272</v>
      </c>
      <c r="AA3128" s="198" t="s">
        <v>2272</v>
      </c>
      <c r="AB3128" s="198"/>
      <c r="AC3128" s="198"/>
    </row>
    <row r="3129" spans="1:29" ht="39.5" customHeight="1">
      <c r="A3129" s="151" t="str">
        <f>'Reported burning'!A3129</f>
        <v>337a</v>
      </c>
      <c r="B3129" s="151" t="str">
        <f>'Reported burning'!B3129</f>
        <v>337a.3</v>
      </c>
      <c r="C3129" s="151" t="str">
        <f>'Reported burning'!C3129</f>
        <v>Human, deliberate</v>
      </c>
      <c r="D3129" s="151" t="str">
        <f>'Reported burning'!D3129</f>
        <v>Hunting</v>
      </c>
      <c r="E3129" s="151" t="str">
        <f>'Reported burning'!E3129</f>
        <v>Forestry, Traditional</v>
      </c>
      <c r="F3129" s="151" t="str">
        <f>'Reported burning'!F3129</f>
        <v>Shrubland (Mixed forest &amp; grassland)</v>
      </c>
      <c r="G3129" s="151" t="str">
        <f>'Reported burning'!G3129</f>
        <v>Shrubland (Mixed forest &amp; grassland)</v>
      </c>
      <c r="H3129" s="151" t="str">
        <f>'Reported burning'!H3129</f>
        <v>Presence</v>
      </c>
      <c r="I3129" s="5"/>
      <c r="J3129" s="198" t="s">
        <v>2272</v>
      </c>
      <c r="K3129" s="198" t="s">
        <v>2272</v>
      </c>
      <c r="L3129" s="198" t="s">
        <v>2272</v>
      </c>
      <c r="M3129" s="198" t="s">
        <v>2272</v>
      </c>
      <c r="N3129" s="198" t="s">
        <v>2272</v>
      </c>
      <c r="O3129" s="198" t="s">
        <v>2272</v>
      </c>
      <c r="P3129" s="198" t="s">
        <v>2272</v>
      </c>
      <c r="Q3129" s="198" t="s">
        <v>2272</v>
      </c>
      <c r="R3129" s="198" t="s">
        <v>2272</v>
      </c>
      <c r="S3129" s="198" t="s">
        <v>2272</v>
      </c>
      <c r="T3129" s="198" t="s">
        <v>2272</v>
      </c>
      <c r="U3129" s="198" t="s">
        <v>2272</v>
      </c>
      <c r="V3129" s="198" t="s">
        <v>2272</v>
      </c>
      <c r="W3129" s="198" t="s">
        <v>2272</v>
      </c>
      <c r="X3129" s="198" t="s">
        <v>2272</v>
      </c>
      <c r="Y3129" s="198" t="s">
        <v>2272</v>
      </c>
      <c r="Z3129" s="198" t="s">
        <v>2272</v>
      </c>
      <c r="AA3129" s="198" t="s">
        <v>2272</v>
      </c>
      <c r="AB3129" s="198"/>
      <c r="AC3129" s="198"/>
    </row>
    <row r="3130" spans="1:29" ht="31" customHeight="1">
      <c r="A3130" s="151" t="str">
        <f>'Reported burning'!A3130</f>
        <v>337a</v>
      </c>
      <c r="B3130" s="151" t="str">
        <f>'Reported burning'!B3130</f>
        <v>337a.4</v>
      </c>
      <c r="C3130" s="151" t="str">
        <f>'Reported burning'!C3130</f>
        <v>Human, deliberate</v>
      </c>
      <c r="D3130" s="151" t="str">
        <f>'Reported burning'!D3130</f>
        <v>Crop residue burning</v>
      </c>
      <c r="E3130" s="151" t="str">
        <f>'Reported burning'!E3130</f>
        <v>Forestry, Industrial</v>
      </c>
      <c r="F3130" s="151" t="str">
        <f>'Reported burning'!F3130</f>
        <v>Forest</v>
      </c>
      <c r="G3130" s="151" t="str">
        <f>'Reported burning'!G3130</f>
        <v>ND</v>
      </c>
      <c r="H3130" s="151" t="str">
        <f>'Reported burning'!H3130</f>
        <v>Presence</v>
      </c>
      <c r="I3130" s="5"/>
      <c r="J3130" s="198" t="s">
        <v>2272</v>
      </c>
      <c r="K3130" s="198" t="s">
        <v>2272</v>
      </c>
      <c r="L3130" s="198" t="s">
        <v>2272</v>
      </c>
      <c r="M3130" s="198" t="s">
        <v>2272</v>
      </c>
      <c r="N3130" s="198" t="s">
        <v>2272</v>
      </c>
      <c r="O3130" s="198" t="s">
        <v>2272</v>
      </c>
      <c r="P3130" s="198" t="s">
        <v>2272</v>
      </c>
      <c r="Q3130" s="198" t="s">
        <v>2272</v>
      </c>
      <c r="R3130" s="198" t="s">
        <v>2272</v>
      </c>
      <c r="S3130" s="198" t="s">
        <v>2272</v>
      </c>
      <c r="T3130" s="198" t="s">
        <v>2272</v>
      </c>
      <c r="U3130" s="198" t="s">
        <v>2272</v>
      </c>
      <c r="V3130" s="198" t="s">
        <v>2272</v>
      </c>
      <c r="W3130" s="198" t="s">
        <v>2272</v>
      </c>
      <c r="X3130" s="198" t="s">
        <v>2272</v>
      </c>
      <c r="Y3130" s="198" t="s">
        <v>2272</v>
      </c>
      <c r="Z3130" s="198" t="s">
        <v>2272</v>
      </c>
      <c r="AA3130" s="198" t="s">
        <v>2272</v>
      </c>
      <c r="AB3130" s="198" t="s">
        <v>8298</v>
      </c>
      <c r="AC3130" s="198"/>
    </row>
    <row r="3131" spans="1:29" ht="31" customHeight="1">
      <c r="A3131" s="151" t="str">
        <f>'Reported burning'!A3131</f>
        <v>337a</v>
      </c>
      <c r="B3131" s="151" t="str">
        <f>'Reported burning'!B3131</f>
        <v>337a.5</v>
      </c>
      <c r="C3131" s="151" t="str">
        <f>'Reported burning'!C3131</f>
        <v>Human, deliberate</v>
      </c>
      <c r="D3131" s="151" t="str">
        <f>'Reported burning'!D3131</f>
        <v>Forest management</v>
      </c>
      <c r="E3131" s="151" t="str">
        <f>'Reported burning'!E3131</f>
        <v>Forestry, Industrial</v>
      </c>
      <c r="F3131" s="151" t="str">
        <f>'Reported burning'!F3131</f>
        <v>Forest</v>
      </c>
      <c r="G3131" s="151" t="str">
        <f>'Reported burning'!G3131</f>
        <v>ND</v>
      </c>
      <c r="H3131" s="151" t="str">
        <f>'Reported burning'!H3131</f>
        <v>Presence</v>
      </c>
      <c r="I3131" s="5"/>
      <c r="J3131" s="198" t="s">
        <v>2272</v>
      </c>
      <c r="K3131" s="198" t="s">
        <v>2272</v>
      </c>
      <c r="L3131" s="198" t="s">
        <v>2272</v>
      </c>
      <c r="M3131" s="198" t="s">
        <v>2272</v>
      </c>
      <c r="N3131" s="198" t="s">
        <v>2272</v>
      </c>
      <c r="O3131" s="198" t="s">
        <v>2272</v>
      </c>
      <c r="P3131" s="198" t="s">
        <v>2272</v>
      </c>
      <c r="Q3131" s="198" t="s">
        <v>2272</v>
      </c>
      <c r="R3131" s="198" t="s">
        <v>2272</v>
      </c>
      <c r="S3131" s="198" t="s">
        <v>2272</v>
      </c>
      <c r="T3131" s="198" t="s">
        <v>2272</v>
      </c>
      <c r="U3131" s="198" t="s">
        <v>2272</v>
      </c>
      <c r="V3131" s="198" t="s">
        <v>2272</v>
      </c>
      <c r="W3131" s="198" t="s">
        <v>2272</v>
      </c>
      <c r="X3131" s="198" t="s">
        <v>2272</v>
      </c>
      <c r="Y3131" s="198" t="s">
        <v>2272</v>
      </c>
      <c r="Z3131" s="198" t="s">
        <v>2272</v>
      </c>
      <c r="AA3131" s="198" t="s">
        <v>2272</v>
      </c>
      <c r="AB3131" s="198"/>
      <c r="AC3131" s="198"/>
    </row>
    <row r="3132" spans="1:29" ht="31" customHeight="1">
      <c r="A3132" s="151" t="str">
        <f>'Reported burning'!A3132</f>
        <v>337a</v>
      </c>
      <c r="B3132" s="151" t="str">
        <f>'Reported burning'!B3132</f>
        <v>337a.6</v>
      </c>
      <c r="C3132" s="151" t="str">
        <f>'Reported burning'!C3132</f>
        <v>Human, deliberate</v>
      </c>
      <c r="D3132" s="151" t="str">
        <f>'Reported burning'!D3132</f>
        <v>Pyrome management</v>
      </c>
      <c r="E3132" s="151" t="str">
        <f>'Reported burning'!E3132</f>
        <v>Forestry, Traditional</v>
      </c>
      <c r="F3132" s="151" t="str">
        <f>'Reported burning'!F3132</f>
        <v>Shrubland (Mixed forest &amp; grassland)</v>
      </c>
      <c r="G3132" s="151" t="str">
        <f>'Reported burning'!G3132</f>
        <v>Shrubland (Mixed forest &amp; grassland)</v>
      </c>
      <c r="H3132" s="151" t="str">
        <f>'Reported burning'!H3132</f>
        <v>Presence</v>
      </c>
      <c r="I3132" s="5"/>
      <c r="J3132" s="198" t="s">
        <v>2272</v>
      </c>
      <c r="K3132" s="198" t="s">
        <v>2272</v>
      </c>
      <c r="L3132" s="198" t="s">
        <v>2272</v>
      </c>
      <c r="M3132" s="198" t="s">
        <v>2272</v>
      </c>
      <c r="N3132" s="198" t="s">
        <v>2272</v>
      </c>
      <c r="O3132" s="198" t="s">
        <v>2272</v>
      </c>
      <c r="P3132" s="198" t="s">
        <v>2272</v>
      </c>
      <c r="Q3132" s="198" t="s">
        <v>2272</v>
      </c>
      <c r="R3132" s="198" t="s">
        <v>2272</v>
      </c>
      <c r="S3132" s="198" t="s">
        <v>2272</v>
      </c>
      <c r="T3132" s="198" t="s">
        <v>2272</v>
      </c>
      <c r="U3132" s="198" t="s">
        <v>2272</v>
      </c>
      <c r="V3132" s="198" t="s">
        <v>2272</v>
      </c>
      <c r="W3132" s="198" t="s">
        <v>2272</v>
      </c>
      <c r="X3132" s="198" t="s">
        <v>2272</v>
      </c>
      <c r="Y3132" s="198" t="s">
        <v>2272</v>
      </c>
      <c r="Z3132" s="198" t="s">
        <v>2272</v>
      </c>
      <c r="AA3132" s="198" t="s">
        <v>2272</v>
      </c>
      <c r="AB3132" s="198"/>
      <c r="AC3132" s="198"/>
    </row>
    <row r="3133" spans="1:29" ht="31" customHeight="1">
      <c r="A3133" s="151" t="str">
        <f>'Reported burning'!A3133</f>
        <v>337a</v>
      </c>
      <c r="B3133" s="151" t="str">
        <f>'Reported burning'!B3133</f>
        <v>337a.7</v>
      </c>
      <c r="C3133" s="151" t="str">
        <f>'Reported burning'!C3133</f>
        <v>Human, deliberate</v>
      </c>
      <c r="D3133" s="151" t="str">
        <f>'Reported burning'!D3133</f>
        <v>Pest management</v>
      </c>
      <c r="E3133" s="151" t="str">
        <f>'Reported burning'!E3133</f>
        <v>Forestry, Traditional</v>
      </c>
      <c r="F3133" s="151" t="str">
        <f>'Reported burning'!F3133</f>
        <v>Shrubland (Mixed forest &amp; grassland)</v>
      </c>
      <c r="G3133" s="151" t="str">
        <f>'Reported burning'!G3133</f>
        <v>Shrubland (Mixed forest &amp; grassland)</v>
      </c>
      <c r="H3133" s="151" t="str">
        <f>'Reported burning'!H3133</f>
        <v>Presence</v>
      </c>
      <c r="I3133" s="5"/>
      <c r="J3133" s="198" t="s">
        <v>2272</v>
      </c>
      <c r="K3133" s="198" t="s">
        <v>2272</v>
      </c>
      <c r="L3133" s="198" t="s">
        <v>2272</v>
      </c>
      <c r="M3133" s="198" t="s">
        <v>2272</v>
      </c>
      <c r="N3133" s="198" t="s">
        <v>2272</v>
      </c>
      <c r="O3133" s="198" t="s">
        <v>2272</v>
      </c>
      <c r="P3133" s="198" t="s">
        <v>2272</v>
      </c>
      <c r="Q3133" s="198" t="s">
        <v>2272</v>
      </c>
      <c r="R3133" s="198" t="s">
        <v>2272</v>
      </c>
      <c r="S3133" s="198" t="s">
        <v>2272</v>
      </c>
      <c r="T3133" s="198" t="s">
        <v>2272</v>
      </c>
      <c r="U3133" s="198" t="s">
        <v>2272</v>
      </c>
      <c r="V3133" s="198" t="s">
        <v>2272</v>
      </c>
      <c r="W3133" s="198" t="s">
        <v>2272</v>
      </c>
      <c r="X3133" s="198" t="s">
        <v>2272</v>
      </c>
      <c r="Y3133" s="198" t="s">
        <v>2272</v>
      </c>
      <c r="Z3133" s="198" t="s">
        <v>2272</v>
      </c>
      <c r="AA3133" s="198" t="s">
        <v>2272</v>
      </c>
      <c r="AB3133" s="198"/>
      <c r="AC3133" s="198"/>
    </row>
    <row r="3134" spans="1:29" ht="31" customHeight="1">
      <c r="A3134" s="151" t="str">
        <f>'Reported burning'!A3134</f>
        <v>338a</v>
      </c>
      <c r="B3134" s="151" t="str">
        <f>'Reported burning'!B3134</f>
        <v>338a.1</v>
      </c>
      <c r="C3134" s="151" t="str">
        <f>'Reported burning'!C3134</f>
        <v>Human, deliberate</v>
      </c>
      <c r="D3134" s="151" t="str">
        <f>'Reported burning'!D3134</f>
        <v>Crop residue burning</v>
      </c>
      <c r="E3134" s="151" t="str">
        <f>'Reported burning'!E3134</f>
        <v>Mixed cropping-livestock small holder, Subsistence-oriented</v>
      </c>
      <c r="F3134" s="151" t="str">
        <f>'Reported burning'!F3134</f>
        <v>Cropland</v>
      </c>
      <c r="G3134" s="151" t="str">
        <f>'Reported burning'!G3134</f>
        <v>ND</v>
      </c>
      <c r="H3134" s="151" t="str">
        <f>'Reported burning'!H3134</f>
        <v>Presence</v>
      </c>
      <c r="I3134" s="5"/>
      <c r="J3134" s="198" t="s">
        <v>2272</v>
      </c>
      <c r="K3134" s="198" t="s">
        <v>2272</v>
      </c>
      <c r="L3134" s="198" t="s">
        <v>2272</v>
      </c>
      <c r="M3134" s="198" t="s">
        <v>2272</v>
      </c>
      <c r="N3134" s="198" t="s">
        <v>2272</v>
      </c>
      <c r="O3134" s="198" t="s">
        <v>2272</v>
      </c>
      <c r="P3134" s="198" t="s">
        <v>2272</v>
      </c>
      <c r="Q3134" s="198" t="s">
        <v>2272</v>
      </c>
      <c r="R3134" s="198" t="s">
        <v>2272</v>
      </c>
      <c r="S3134" s="198" t="s">
        <v>2272</v>
      </c>
      <c r="T3134" s="198" t="s">
        <v>2272</v>
      </c>
      <c r="U3134" s="198" t="s">
        <v>2272</v>
      </c>
      <c r="V3134" s="198" t="s">
        <v>2272</v>
      </c>
      <c r="W3134" s="198" t="s">
        <v>2272</v>
      </c>
      <c r="X3134" s="198" t="s">
        <v>2272</v>
      </c>
      <c r="Y3134" s="198" t="s">
        <v>187</v>
      </c>
      <c r="Z3134" s="198" t="s">
        <v>84</v>
      </c>
      <c r="AA3134" s="198" t="s">
        <v>63</v>
      </c>
      <c r="AB3134" s="198"/>
      <c r="AC3134" s="198"/>
    </row>
    <row r="3135" spans="1:29" ht="31" customHeight="1">
      <c r="A3135" s="151" t="str">
        <f>'Reported burning'!A3135</f>
        <v>338a</v>
      </c>
      <c r="B3135" s="151" t="str">
        <f>'Reported burning'!B3135</f>
        <v>338a.2</v>
      </c>
      <c r="C3135" s="151" t="str">
        <f>'Reported burning'!C3135</f>
        <v>Human, deliberate</v>
      </c>
      <c r="D3135" s="151" t="str">
        <f>'Reported burning'!D3135</f>
        <v>Crop field preparation</v>
      </c>
      <c r="E3135" s="151" t="str">
        <f>'Reported burning'!E3135</f>
        <v>Mixed cropping-livestock small holder, Subsistence-oriented</v>
      </c>
      <c r="F3135" s="151" t="str">
        <f>'Reported burning'!F3135</f>
        <v>Cropland</v>
      </c>
      <c r="G3135" s="151" t="str">
        <f>'Reported burning'!G3135</f>
        <v>ND</v>
      </c>
      <c r="H3135" s="151" t="str">
        <f>'Reported burning'!H3135</f>
        <v>Presence</v>
      </c>
      <c r="I3135" s="5"/>
      <c r="J3135" s="198" t="s">
        <v>2272</v>
      </c>
      <c r="K3135" s="198" t="s">
        <v>2272</v>
      </c>
      <c r="L3135" s="198" t="s">
        <v>2272</v>
      </c>
      <c r="M3135" s="198" t="s">
        <v>2272</v>
      </c>
      <c r="N3135" s="198" t="s">
        <v>2272</v>
      </c>
      <c r="O3135" s="198" t="s">
        <v>2272</v>
      </c>
      <c r="P3135" s="198" t="s">
        <v>2272</v>
      </c>
      <c r="Q3135" s="198" t="s">
        <v>2272</v>
      </c>
      <c r="R3135" s="198" t="s">
        <v>2272</v>
      </c>
      <c r="S3135" s="198" t="s">
        <v>2272</v>
      </c>
      <c r="T3135" s="198" t="s">
        <v>2272</v>
      </c>
      <c r="U3135" s="198" t="s">
        <v>2272</v>
      </c>
      <c r="V3135" s="198" t="s">
        <v>2272</v>
      </c>
      <c r="W3135" s="198" t="s">
        <v>2272</v>
      </c>
      <c r="X3135" s="198" t="s">
        <v>2272</v>
      </c>
      <c r="Y3135" s="198" t="s">
        <v>402</v>
      </c>
      <c r="Z3135" s="198" t="s">
        <v>423</v>
      </c>
      <c r="AA3135" s="198" t="s">
        <v>63</v>
      </c>
      <c r="AB3135" s="198"/>
      <c r="AC3135" s="198"/>
    </row>
    <row r="3136" spans="1:29" ht="31" customHeight="1">
      <c r="A3136" s="151" t="str">
        <f>'Reported burning'!A3136</f>
        <v>338a</v>
      </c>
      <c r="B3136" s="151" t="str">
        <f>'Reported burning'!B3136</f>
        <v>338a.3</v>
      </c>
      <c r="C3136" s="151" t="str">
        <f>'Reported burning'!C3136</f>
        <v>Human, deliberate</v>
      </c>
      <c r="D3136" s="151" t="str">
        <f>'Reported burning'!D3136</f>
        <v>Land clearance</v>
      </c>
      <c r="E3136" s="151" t="str">
        <f>'Reported burning'!E3136</f>
        <v>Mixed cropping-livestock small holder, Subsistence-oriented</v>
      </c>
      <c r="F3136" s="151" t="str">
        <f>'Reported burning'!F3136</f>
        <v>Shrubland (Mixed forest &amp; grassland)</v>
      </c>
      <c r="G3136" s="151" t="str">
        <f>'Reported burning'!G3136</f>
        <v>ND</v>
      </c>
      <c r="H3136" s="151" t="str">
        <f>'Reported burning'!H3136</f>
        <v>Presence</v>
      </c>
      <c r="I3136" s="5"/>
      <c r="J3136" s="198" t="s">
        <v>2272</v>
      </c>
      <c r="K3136" s="198" t="s">
        <v>2272</v>
      </c>
      <c r="L3136" s="198" t="s">
        <v>2272</v>
      </c>
      <c r="M3136" s="198" t="s">
        <v>2272</v>
      </c>
      <c r="N3136" s="198" t="s">
        <v>2272</v>
      </c>
      <c r="O3136" s="198" t="s">
        <v>2272</v>
      </c>
      <c r="P3136" s="198" t="s">
        <v>2272</v>
      </c>
      <c r="Q3136" s="198" t="s">
        <v>2272</v>
      </c>
      <c r="R3136" s="198" t="s">
        <v>2272</v>
      </c>
      <c r="S3136" s="198" t="s">
        <v>2272</v>
      </c>
      <c r="T3136" s="198" t="s">
        <v>2272</v>
      </c>
      <c r="U3136" s="198" t="s">
        <v>2272</v>
      </c>
      <c r="V3136" s="198" t="s">
        <v>2272</v>
      </c>
      <c r="W3136" s="198" t="s">
        <v>2272</v>
      </c>
      <c r="X3136" s="198" t="s">
        <v>2272</v>
      </c>
      <c r="Y3136" s="198" t="s">
        <v>402</v>
      </c>
      <c r="Z3136" s="198" t="s">
        <v>423</v>
      </c>
      <c r="AA3136" s="198" t="s">
        <v>63</v>
      </c>
      <c r="AB3136" s="198"/>
      <c r="AC3136" s="198"/>
    </row>
    <row r="3137" spans="1:29" ht="31" customHeight="1">
      <c r="A3137" s="151" t="str">
        <f>'Reported burning'!A3137</f>
        <v>338a</v>
      </c>
      <c r="B3137" s="151" t="str">
        <f>'Reported burning'!B3137</f>
        <v>338a.4</v>
      </c>
      <c r="C3137" s="151" t="str">
        <f>'Reported burning'!C3137</f>
        <v>Human, deliberate</v>
      </c>
      <c r="D3137" s="151" t="str">
        <f>'Reported burning'!D3137</f>
        <v>Pasture renewal</v>
      </c>
      <c r="E3137" s="151" t="str">
        <f>'Reported burning'!E3137</f>
        <v>Mixed cropping-livestock small holder, Subsistence-oriented</v>
      </c>
      <c r="F3137" s="151" t="str">
        <f>'Reported burning'!F3137</f>
        <v>Shrubland (Mixed forest &amp; grassland)</v>
      </c>
      <c r="G3137" s="151" t="str">
        <f>'Reported burning'!G3137</f>
        <v>ND</v>
      </c>
      <c r="H3137" s="151" t="str">
        <f>'Reported burning'!H3137</f>
        <v>Presence</v>
      </c>
      <c r="I3137" s="5"/>
      <c r="J3137" s="198" t="s">
        <v>2272</v>
      </c>
      <c r="K3137" s="198" t="s">
        <v>2272</v>
      </c>
      <c r="L3137" s="198" t="s">
        <v>2272</v>
      </c>
      <c r="M3137" s="198" t="s">
        <v>2272</v>
      </c>
      <c r="N3137" s="198" t="s">
        <v>2272</v>
      </c>
      <c r="O3137" s="198" t="s">
        <v>2272</v>
      </c>
      <c r="P3137" s="198" t="s">
        <v>2272</v>
      </c>
      <c r="Q3137" s="198" t="s">
        <v>2272</v>
      </c>
      <c r="R3137" s="198" t="s">
        <v>2272</v>
      </c>
      <c r="S3137" s="198" t="s">
        <v>2272</v>
      </c>
      <c r="T3137" s="198" t="s">
        <v>2272</v>
      </c>
      <c r="U3137" s="198" t="s">
        <v>2272</v>
      </c>
      <c r="V3137" s="198" t="s">
        <v>2272</v>
      </c>
      <c r="W3137" s="198" t="s">
        <v>2272</v>
      </c>
      <c r="X3137" s="198" t="s">
        <v>2272</v>
      </c>
      <c r="Y3137" s="198" t="s">
        <v>402</v>
      </c>
      <c r="Z3137" s="198" t="s">
        <v>67</v>
      </c>
      <c r="AA3137" s="198" t="s">
        <v>63</v>
      </c>
      <c r="AB3137" s="198"/>
      <c r="AC3137" s="198"/>
    </row>
    <row r="3138" spans="1:29" ht="31" customHeight="1">
      <c r="A3138" s="151" t="str">
        <f>'Reported burning'!A3138</f>
        <v>338a</v>
      </c>
      <c r="B3138" s="151" t="str">
        <f>'Reported burning'!B3138</f>
        <v>338a.5</v>
      </c>
      <c r="C3138" s="151" t="str">
        <f>'Reported burning'!C3138</f>
        <v>Human, deliberate</v>
      </c>
      <c r="D3138" s="151" t="str">
        <f>'Reported burning'!D3138</f>
        <v>Hunting</v>
      </c>
      <c r="E3138" s="151" t="str">
        <f>'Reported burning'!E3138</f>
        <v>Mixed cropping-livestock small holder, Subsistence-oriented</v>
      </c>
      <c r="F3138" s="151" t="str">
        <f>'Reported burning'!F3138</f>
        <v>Shrubland (Mixed forest &amp; grassland)</v>
      </c>
      <c r="G3138" s="151" t="str">
        <f>'Reported burning'!G3138</f>
        <v>ND</v>
      </c>
      <c r="H3138" s="151" t="str">
        <f>'Reported burning'!H3138</f>
        <v>Presence</v>
      </c>
      <c r="I3138" s="5"/>
      <c r="J3138" s="198" t="s">
        <v>2272</v>
      </c>
      <c r="K3138" s="198" t="s">
        <v>2272</v>
      </c>
      <c r="L3138" s="198" t="s">
        <v>2272</v>
      </c>
      <c r="M3138" s="198" t="s">
        <v>2272</v>
      </c>
      <c r="N3138" s="198" t="s">
        <v>2272</v>
      </c>
      <c r="O3138" s="198" t="s">
        <v>2272</v>
      </c>
      <c r="P3138" s="198" t="s">
        <v>2272</v>
      </c>
      <c r="Q3138" s="198" t="s">
        <v>2272</v>
      </c>
      <c r="R3138" s="198" t="s">
        <v>2272</v>
      </c>
      <c r="S3138" s="198" t="s">
        <v>2272</v>
      </c>
      <c r="T3138" s="198" t="s">
        <v>2272</v>
      </c>
      <c r="U3138" s="198" t="s">
        <v>2272</v>
      </c>
      <c r="V3138" s="198" t="s">
        <v>2272</v>
      </c>
      <c r="W3138" s="198" t="s">
        <v>2272</v>
      </c>
      <c r="X3138" s="198" t="s">
        <v>2272</v>
      </c>
      <c r="Y3138" s="198" t="s">
        <v>423</v>
      </c>
      <c r="Z3138" s="198" t="s">
        <v>423</v>
      </c>
      <c r="AA3138" s="198" t="s">
        <v>63</v>
      </c>
      <c r="AB3138" s="198"/>
      <c r="AC3138" s="198"/>
    </row>
    <row r="3139" spans="1:29" ht="31" customHeight="1">
      <c r="A3139" s="151" t="str">
        <f>'Reported burning'!A3139</f>
        <v>338b</v>
      </c>
      <c r="B3139" s="151" t="str">
        <f>'Reported burning'!B3139</f>
        <v>338b.1</v>
      </c>
      <c r="C3139" s="151" t="str">
        <f>'Reported burning'!C3139</f>
        <v>Human, deliberate</v>
      </c>
      <c r="D3139" s="151" t="str">
        <f>'Reported burning'!D3139</f>
        <v>Crop residue burning</v>
      </c>
      <c r="E3139" s="151" t="str">
        <f>'Reported burning'!E3139</f>
        <v>Mixed cropping-livestock small holder, Subsistence-oriented</v>
      </c>
      <c r="F3139" s="151" t="str">
        <f>'Reported burning'!F3139</f>
        <v>Cropland</v>
      </c>
      <c r="G3139" s="151" t="str">
        <f>'Reported burning'!G3139</f>
        <v>ND</v>
      </c>
      <c r="H3139" s="151" t="str">
        <f>'Reported burning'!H3139</f>
        <v>Presence</v>
      </c>
      <c r="I3139" s="5"/>
      <c r="J3139" s="198" t="s">
        <v>2272</v>
      </c>
      <c r="K3139" s="198" t="s">
        <v>2272</v>
      </c>
      <c r="L3139" s="198" t="s">
        <v>2272</v>
      </c>
      <c r="M3139" s="198" t="s">
        <v>2272</v>
      </c>
      <c r="N3139" s="198" t="s">
        <v>2272</v>
      </c>
      <c r="O3139" s="198" t="s">
        <v>2272</v>
      </c>
      <c r="P3139" s="198" t="s">
        <v>2272</v>
      </c>
      <c r="Q3139" s="198" t="s">
        <v>2272</v>
      </c>
      <c r="R3139" s="198" t="s">
        <v>2272</v>
      </c>
      <c r="S3139" s="198" t="s">
        <v>2272</v>
      </c>
      <c r="T3139" s="198" t="s">
        <v>2272</v>
      </c>
      <c r="U3139" s="198" t="s">
        <v>2272</v>
      </c>
      <c r="V3139" s="198" t="s">
        <v>2272</v>
      </c>
      <c r="W3139" s="198" t="s">
        <v>2272</v>
      </c>
      <c r="X3139" s="198" t="s">
        <v>2272</v>
      </c>
      <c r="Y3139" s="198" t="s">
        <v>187</v>
      </c>
      <c r="Z3139" s="198" t="s">
        <v>84</v>
      </c>
      <c r="AA3139" s="198" t="s">
        <v>63</v>
      </c>
      <c r="AB3139" s="198"/>
      <c r="AC3139" s="198"/>
    </row>
    <row r="3140" spans="1:29" ht="31" customHeight="1">
      <c r="A3140" s="151" t="str">
        <f>'Reported burning'!A3140</f>
        <v>338b</v>
      </c>
      <c r="B3140" s="151" t="str">
        <f>'Reported burning'!B3140</f>
        <v>338b.2</v>
      </c>
      <c r="C3140" s="151" t="str">
        <f>'Reported burning'!C3140</f>
        <v>Human, deliberate</v>
      </c>
      <c r="D3140" s="151" t="str">
        <f>'Reported burning'!D3140</f>
        <v>Crop field preparation</v>
      </c>
      <c r="E3140" s="151" t="str">
        <f>'Reported burning'!E3140</f>
        <v>Mixed cropping-livestock small holder, Subsistence-oriented</v>
      </c>
      <c r="F3140" s="151" t="str">
        <f>'Reported burning'!F3140</f>
        <v>Cropland</v>
      </c>
      <c r="G3140" s="151" t="str">
        <f>'Reported burning'!G3140</f>
        <v>ND</v>
      </c>
      <c r="H3140" s="151" t="str">
        <f>'Reported burning'!H3140</f>
        <v>Presence</v>
      </c>
      <c r="I3140" s="5"/>
      <c r="J3140" s="198" t="s">
        <v>2272</v>
      </c>
      <c r="K3140" s="198" t="s">
        <v>2272</v>
      </c>
      <c r="L3140" s="198" t="s">
        <v>2272</v>
      </c>
      <c r="M3140" s="198" t="s">
        <v>2272</v>
      </c>
      <c r="N3140" s="198" t="s">
        <v>2272</v>
      </c>
      <c r="O3140" s="198" t="s">
        <v>2272</v>
      </c>
      <c r="P3140" s="198" t="s">
        <v>2272</v>
      </c>
      <c r="Q3140" s="198" t="s">
        <v>2272</v>
      </c>
      <c r="R3140" s="198" t="s">
        <v>2272</v>
      </c>
      <c r="S3140" s="198" t="s">
        <v>2272</v>
      </c>
      <c r="T3140" s="198" t="s">
        <v>2272</v>
      </c>
      <c r="U3140" s="198" t="s">
        <v>2272</v>
      </c>
      <c r="V3140" s="198" t="s">
        <v>2272</v>
      </c>
      <c r="W3140" s="198" t="s">
        <v>2272</v>
      </c>
      <c r="X3140" s="198" t="s">
        <v>2272</v>
      </c>
      <c r="Y3140" s="198" t="s">
        <v>33</v>
      </c>
      <c r="Z3140" s="198" t="s">
        <v>402</v>
      </c>
      <c r="AA3140" s="198" t="s">
        <v>63</v>
      </c>
      <c r="AB3140" s="198"/>
      <c r="AC3140" s="198"/>
    </row>
    <row r="3141" spans="1:29" ht="31" customHeight="1">
      <c r="A3141" s="151" t="str">
        <f>'Reported burning'!A3141</f>
        <v>338b</v>
      </c>
      <c r="B3141" s="151" t="str">
        <f>'Reported burning'!B3141</f>
        <v>338b.3</v>
      </c>
      <c r="C3141" s="151" t="str">
        <f>'Reported burning'!C3141</f>
        <v>Human, deliberate</v>
      </c>
      <c r="D3141" s="151" t="str">
        <f>'Reported burning'!D3141</f>
        <v>Land clearance</v>
      </c>
      <c r="E3141" s="151" t="str">
        <f>'Reported burning'!E3141</f>
        <v>Mixed cropping-livestock small holder, Subsistence-oriented</v>
      </c>
      <c r="F3141" s="151" t="str">
        <f>'Reported burning'!F3141</f>
        <v>Shrubland (Mixed forest &amp; grassland)</v>
      </c>
      <c r="G3141" s="151" t="str">
        <f>'Reported burning'!G3141</f>
        <v>ND</v>
      </c>
      <c r="H3141" s="151" t="str">
        <f>'Reported burning'!H3141</f>
        <v>Presence</v>
      </c>
      <c r="I3141" s="5"/>
      <c r="J3141" s="198" t="s">
        <v>2272</v>
      </c>
      <c r="K3141" s="198" t="s">
        <v>2272</v>
      </c>
      <c r="L3141" s="198" t="s">
        <v>2272</v>
      </c>
      <c r="M3141" s="198" t="s">
        <v>2272</v>
      </c>
      <c r="N3141" s="198" t="s">
        <v>2272</v>
      </c>
      <c r="O3141" s="198" t="s">
        <v>2272</v>
      </c>
      <c r="P3141" s="198" t="s">
        <v>2272</v>
      </c>
      <c r="Q3141" s="198" t="s">
        <v>2272</v>
      </c>
      <c r="R3141" s="198" t="s">
        <v>2272</v>
      </c>
      <c r="S3141" s="198" t="s">
        <v>2272</v>
      </c>
      <c r="T3141" s="198" t="s">
        <v>2272</v>
      </c>
      <c r="U3141" s="198" t="s">
        <v>2272</v>
      </c>
      <c r="V3141" s="198" t="s">
        <v>2272</v>
      </c>
      <c r="W3141" s="198" t="s">
        <v>2272</v>
      </c>
      <c r="X3141" s="198" t="s">
        <v>2272</v>
      </c>
      <c r="Y3141" s="198" t="s">
        <v>33</v>
      </c>
      <c r="Z3141" s="198" t="s">
        <v>402</v>
      </c>
      <c r="AA3141" s="198" t="s">
        <v>63</v>
      </c>
      <c r="AB3141" s="198"/>
      <c r="AC3141" s="198"/>
    </row>
    <row r="3142" spans="1:29" ht="31" customHeight="1">
      <c r="A3142" s="151" t="str">
        <f>'Reported burning'!A3142</f>
        <v>338b</v>
      </c>
      <c r="B3142" s="151" t="str">
        <f>'Reported burning'!B3142</f>
        <v>338b.4</v>
      </c>
      <c r="C3142" s="151" t="str">
        <f>'Reported burning'!C3142</f>
        <v>Human, deliberate</v>
      </c>
      <c r="D3142" s="151" t="str">
        <f>'Reported burning'!D3142</f>
        <v>Pasture renewal</v>
      </c>
      <c r="E3142" s="151" t="str">
        <f>'Reported burning'!E3142</f>
        <v>Mixed cropping-livestock small holder, Subsistence-oriented</v>
      </c>
      <c r="F3142" s="151" t="str">
        <f>'Reported burning'!F3142</f>
        <v>Shrubland (Mixed forest &amp; grassland)</v>
      </c>
      <c r="G3142" s="151" t="str">
        <f>'Reported burning'!G3142</f>
        <v>ND</v>
      </c>
      <c r="H3142" s="151" t="str">
        <f>'Reported burning'!H3142</f>
        <v>Presence</v>
      </c>
      <c r="I3142" s="5"/>
      <c r="J3142" s="198" t="s">
        <v>2272</v>
      </c>
      <c r="K3142" s="198" t="s">
        <v>2272</v>
      </c>
      <c r="L3142" s="198" t="s">
        <v>2272</v>
      </c>
      <c r="M3142" s="198" t="s">
        <v>2272</v>
      </c>
      <c r="N3142" s="198" t="s">
        <v>2272</v>
      </c>
      <c r="O3142" s="198" t="s">
        <v>2272</v>
      </c>
      <c r="P3142" s="198" t="s">
        <v>2272</v>
      </c>
      <c r="Q3142" s="198" t="s">
        <v>2272</v>
      </c>
      <c r="R3142" s="198" t="s">
        <v>2272</v>
      </c>
      <c r="S3142" s="198" t="s">
        <v>2272</v>
      </c>
      <c r="T3142" s="198" t="s">
        <v>2272</v>
      </c>
      <c r="U3142" s="198" t="s">
        <v>2272</v>
      </c>
      <c r="V3142" s="198" t="s">
        <v>2272</v>
      </c>
      <c r="W3142" s="198" t="s">
        <v>2272</v>
      </c>
      <c r="X3142" s="198" t="s">
        <v>2272</v>
      </c>
      <c r="Y3142" s="198" t="s">
        <v>33</v>
      </c>
      <c r="Z3142" s="198" t="s">
        <v>67</v>
      </c>
      <c r="AA3142" s="198" t="s">
        <v>63</v>
      </c>
      <c r="AB3142" s="198"/>
      <c r="AC3142" s="198"/>
    </row>
    <row r="3143" spans="1:29" ht="31" customHeight="1">
      <c r="A3143" s="151" t="str">
        <f>'Reported burning'!A3143</f>
        <v>338b</v>
      </c>
      <c r="B3143" s="151" t="str">
        <f>'Reported burning'!B3143</f>
        <v>338b.5</v>
      </c>
      <c r="C3143" s="151" t="str">
        <f>'Reported burning'!C3143</f>
        <v>Human, deliberate</v>
      </c>
      <c r="D3143" s="151" t="str">
        <f>'Reported burning'!D3143</f>
        <v>Hunting</v>
      </c>
      <c r="E3143" s="151" t="str">
        <f>'Reported burning'!E3143</f>
        <v>Mixed cropping-livestock small holder, Subsistence-oriented</v>
      </c>
      <c r="F3143" s="151" t="str">
        <f>'Reported burning'!F3143</f>
        <v>Shrubland (Mixed forest &amp; grassland)</v>
      </c>
      <c r="G3143" s="151" t="str">
        <f>'Reported burning'!G3143</f>
        <v>ND</v>
      </c>
      <c r="H3143" s="151" t="str">
        <f>'Reported burning'!H3143</f>
        <v>Presence</v>
      </c>
      <c r="I3143" s="5"/>
      <c r="J3143" s="198" t="s">
        <v>2272</v>
      </c>
      <c r="K3143" s="198" t="s">
        <v>2272</v>
      </c>
      <c r="L3143" s="198" t="s">
        <v>2272</v>
      </c>
      <c r="M3143" s="198" t="s">
        <v>2272</v>
      </c>
      <c r="N3143" s="198" t="s">
        <v>2272</v>
      </c>
      <c r="O3143" s="198" t="s">
        <v>2272</v>
      </c>
      <c r="P3143" s="198" t="s">
        <v>2272</v>
      </c>
      <c r="Q3143" s="198" t="s">
        <v>2272</v>
      </c>
      <c r="R3143" s="198" t="s">
        <v>2272</v>
      </c>
      <c r="S3143" s="198" t="s">
        <v>2272</v>
      </c>
      <c r="T3143" s="198" t="s">
        <v>2272</v>
      </c>
      <c r="U3143" s="198" t="s">
        <v>2272</v>
      </c>
      <c r="V3143" s="198" t="s">
        <v>2272</v>
      </c>
      <c r="W3143" s="198" t="s">
        <v>2272</v>
      </c>
      <c r="X3143" s="198" t="s">
        <v>2272</v>
      </c>
      <c r="Y3143" s="198" t="s">
        <v>423</v>
      </c>
      <c r="Z3143" s="198" t="s">
        <v>423</v>
      </c>
      <c r="AA3143" s="198" t="s">
        <v>63</v>
      </c>
      <c r="AB3143" s="198"/>
      <c r="AC3143" s="198"/>
    </row>
    <row r="3144" spans="1:29" ht="31" customHeight="1">
      <c r="A3144" s="151" t="str">
        <f>'Reported burning'!A3144</f>
        <v>338b</v>
      </c>
      <c r="B3144" s="151" t="str">
        <f>'Reported burning'!B3144</f>
        <v>338b.6</v>
      </c>
      <c r="C3144" s="151" t="str">
        <f>'Reported burning'!C3144</f>
        <v>Human, deliberate</v>
      </c>
      <c r="D3144" s="151" t="str">
        <f>'Reported burning'!D3144</f>
        <v>Land clearance</v>
      </c>
      <c r="E3144" s="151" t="str">
        <f>'Reported burning'!E3144</f>
        <v>Mixed cropping-livestock small holder, Subsistence-oriented</v>
      </c>
      <c r="F3144" s="151" t="str">
        <f>'Reported burning'!F3144</f>
        <v>Shrubland (Mixed forest &amp; grassland)</v>
      </c>
      <c r="G3144" s="151" t="str">
        <f>'Reported burning'!G3144</f>
        <v>ND</v>
      </c>
      <c r="H3144" s="151" t="str">
        <f>'Reported burning'!H3144</f>
        <v>Presence</v>
      </c>
      <c r="I3144" s="5"/>
      <c r="J3144" s="198" t="s">
        <v>2272</v>
      </c>
      <c r="K3144" s="198" t="s">
        <v>2272</v>
      </c>
      <c r="L3144" s="198" t="s">
        <v>2272</v>
      </c>
      <c r="M3144" s="198" t="s">
        <v>2272</v>
      </c>
      <c r="N3144" s="198" t="s">
        <v>2272</v>
      </c>
      <c r="O3144" s="198" t="s">
        <v>2272</v>
      </c>
      <c r="P3144" s="198" t="s">
        <v>2272</v>
      </c>
      <c r="Q3144" s="198" t="s">
        <v>2272</v>
      </c>
      <c r="R3144" s="198" t="s">
        <v>2272</v>
      </c>
      <c r="S3144" s="198" t="s">
        <v>2272</v>
      </c>
      <c r="T3144" s="198" t="s">
        <v>2272</v>
      </c>
      <c r="U3144" s="198" t="s">
        <v>2272</v>
      </c>
      <c r="V3144" s="198" t="s">
        <v>2272</v>
      </c>
      <c r="W3144" s="198" t="s">
        <v>2272</v>
      </c>
      <c r="X3144" s="198" t="s">
        <v>2272</v>
      </c>
      <c r="Y3144" s="198" t="s">
        <v>397</v>
      </c>
      <c r="Z3144" s="198" t="s">
        <v>186</v>
      </c>
      <c r="AA3144" s="198" t="s">
        <v>63</v>
      </c>
      <c r="AB3144" s="198"/>
      <c r="AC3144" s="198"/>
    </row>
    <row r="3145" spans="1:29" ht="31" customHeight="1">
      <c r="A3145" s="151" t="str">
        <f>'Reported burning'!A3145</f>
        <v>338c</v>
      </c>
      <c r="B3145" s="151" t="str">
        <f>'Reported burning'!B3145</f>
        <v>338c.1</v>
      </c>
      <c r="C3145" s="151" t="str">
        <f>'Reported burning'!C3145</f>
        <v>Human, deliberate</v>
      </c>
      <c r="D3145" s="151" t="str">
        <f>'Reported burning'!D3145</f>
        <v>Crop residue burning</v>
      </c>
      <c r="E3145" s="151" t="str">
        <f>'Reported burning'!E3145</f>
        <v>Mixed cropping-livestock small holder, Subsistence-oriented</v>
      </c>
      <c r="F3145" s="151" t="str">
        <f>'Reported burning'!F3145</f>
        <v>Cropland</v>
      </c>
      <c r="G3145" s="151" t="str">
        <f>'Reported burning'!G3145</f>
        <v>ND</v>
      </c>
      <c r="H3145" s="151" t="str">
        <f>'Reported burning'!H3145</f>
        <v>Absence</v>
      </c>
      <c r="I3145" s="5"/>
      <c r="J3145" s="21">
        <v>0</v>
      </c>
      <c r="K3145" s="21">
        <v>0</v>
      </c>
      <c r="L3145" s="21">
        <v>0</v>
      </c>
      <c r="M3145" s="21">
        <v>0</v>
      </c>
      <c r="N3145" s="21">
        <v>0</v>
      </c>
      <c r="O3145" s="21">
        <v>0</v>
      </c>
      <c r="P3145" s="21">
        <v>0</v>
      </c>
      <c r="Q3145" s="21">
        <v>0</v>
      </c>
      <c r="R3145" s="21">
        <v>0</v>
      </c>
      <c r="S3145" s="21">
        <v>0</v>
      </c>
      <c r="T3145" s="21">
        <v>0</v>
      </c>
      <c r="U3145" s="21">
        <v>0</v>
      </c>
      <c r="V3145" s="21">
        <v>0</v>
      </c>
      <c r="W3145" s="21">
        <v>0</v>
      </c>
      <c r="X3145" s="198" t="s">
        <v>2272</v>
      </c>
      <c r="Y3145" s="198" t="s">
        <v>2272</v>
      </c>
      <c r="Z3145" s="198" t="s">
        <v>2272</v>
      </c>
      <c r="AA3145" s="198" t="s">
        <v>2272</v>
      </c>
      <c r="AB3145" s="198"/>
      <c r="AC3145" s="198"/>
    </row>
    <row r="3146" spans="1:29" ht="31" customHeight="1">
      <c r="A3146" s="151" t="str">
        <f>'Reported burning'!A3146</f>
        <v>338c</v>
      </c>
      <c r="B3146" s="151" t="str">
        <f>'Reported burning'!B3146</f>
        <v>338c.2</v>
      </c>
      <c r="C3146" s="151" t="str">
        <f>'Reported burning'!C3146</f>
        <v>Human, deliberate</v>
      </c>
      <c r="D3146" s="151" t="str">
        <f>'Reported burning'!D3146</f>
        <v>Crop field preparation</v>
      </c>
      <c r="E3146" s="151" t="str">
        <f>'Reported burning'!E3146</f>
        <v>Mixed cropping-livestock small holder, Subsistence-oriented</v>
      </c>
      <c r="F3146" s="151" t="str">
        <f>'Reported burning'!F3146</f>
        <v>Cropland</v>
      </c>
      <c r="G3146" s="151" t="str">
        <f>'Reported burning'!G3146</f>
        <v>ND</v>
      </c>
      <c r="H3146" s="151" t="str">
        <f>'Reported burning'!H3146</f>
        <v>Presence</v>
      </c>
      <c r="I3146" s="5"/>
      <c r="J3146" s="198" t="s">
        <v>2272</v>
      </c>
      <c r="K3146" s="198" t="s">
        <v>2272</v>
      </c>
      <c r="L3146" s="198" t="s">
        <v>2272</v>
      </c>
      <c r="M3146" s="198" t="s">
        <v>2272</v>
      </c>
      <c r="N3146" s="198" t="s">
        <v>2272</v>
      </c>
      <c r="O3146" s="198" t="s">
        <v>2272</v>
      </c>
      <c r="P3146" s="198" t="s">
        <v>2272</v>
      </c>
      <c r="Q3146" s="198" t="s">
        <v>2272</v>
      </c>
      <c r="R3146" s="198" t="s">
        <v>2272</v>
      </c>
      <c r="S3146" s="198" t="s">
        <v>2272</v>
      </c>
      <c r="T3146" s="198" t="s">
        <v>2272</v>
      </c>
      <c r="U3146" s="198" t="s">
        <v>2272</v>
      </c>
      <c r="V3146" s="198" t="s">
        <v>2272</v>
      </c>
      <c r="W3146" s="198" t="s">
        <v>2272</v>
      </c>
      <c r="X3146" s="198" t="s">
        <v>2272</v>
      </c>
      <c r="Y3146" s="198" t="s">
        <v>187</v>
      </c>
      <c r="Z3146" s="198" t="s">
        <v>37</v>
      </c>
      <c r="AA3146" s="198" t="s">
        <v>63</v>
      </c>
      <c r="AB3146" s="198"/>
      <c r="AC3146" s="198"/>
    </row>
    <row r="3147" spans="1:29" ht="31" customHeight="1">
      <c r="A3147" s="151" t="str">
        <f>'Reported burning'!A3147</f>
        <v>338c</v>
      </c>
      <c r="B3147" s="151" t="str">
        <f>'Reported burning'!B3147</f>
        <v>338c.3</v>
      </c>
      <c r="C3147" s="151" t="str">
        <f>'Reported burning'!C3147</f>
        <v>Human, deliberate</v>
      </c>
      <c r="D3147" s="151" t="str">
        <f>'Reported burning'!D3147</f>
        <v>Crop field preparation</v>
      </c>
      <c r="E3147" s="151" t="str">
        <f>'Reported burning'!E3147</f>
        <v>Mixed cropping-livestock small holder, Subsistence-oriented</v>
      </c>
      <c r="F3147" s="151" t="str">
        <f>'Reported burning'!F3147</f>
        <v>Cropland</v>
      </c>
      <c r="G3147" s="151" t="str">
        <f>'Reported burning'!G3147</f>
        <v>ND</v>
      </c>
      <c r="H3147" s="151" t="str">
        <f>'Reported burning'!H3147</f>
        <v>Presence</v>
      </c>
      <c r="I3147" s="5"/>
      <c r="J3147" s="198" t="s">
        <v>2272</v>
      </c>
      <c r="K3147" s="198" t="s">
        <v>2272</v>
      </c>
      <c r="L3147" s="198" t="s">
        <v>2272</v>
      </c>
      <c r="M3147" s="198" t="s">
        <v>2272</v>
      </c>
      <c r="N3147" s="198" t="s">
        <v>2272</v>
      </c>
      <c r="O3147" s="198" t="s">
        <v>2272</v>
      </c>
      <c r="P3147" s="198" t="s">
        <v>2272</v>
      </c>
      <c r="Q3147" s="198" t="s">
        <v>2272</v>
      </c>
      <c r="R3147" s="198" t="s">
        <v>2272</v>
      </c>
      <c r="S3147" s="198" t="s">
        <v>2272</v>
      </c>
      <c r="T3147" s="198" t="s">
        <v>2272</v>
      </c>
      <c r="U3147" s="198" t="s">
        <v>2272</v>
      </c>
      <c r="V3147" s="198" t="s">
        <v>2272</v>
      </c>
      <c r="W3147" s="198" t="s">
        <v>2272</v>
      </c>
      <c r="X3147" s="198" t="s">
        <v>2272</v>
      </c>
      <c r="Y3147" s="198" t="s">
        <v>67</v>
      </c>
      <c r="Z3147" s="198" t="s">
        <v>34</v>
      </c>
      <c r="AA3147" s="198" t="s">
        <v>63</v>
      </c>
      <c r="AB3147" s="198"/>
      <c r="AC3147" s="198"/>
    </row>
    <row r="3148" spans="1:29" ht="45.5" customHeight="1">
      <c r="A3148" s="151" t="str">
        <f>'Reported burning'!A3148</f>
        <v>338c</v>
      </c>
      <c r="B3148" s="151" t="str">
        <f>'Reported burning'!B3148</f>
        <v>338c.4</v>
      </c>
      <c r="C3148" s="151" t="str">
        <f>'Reported burning'!C3148</f>
        <v>Human, deliberate</v>
      </c>
      <c r="D3148" s="151" t="str">
        <f>'Reported burning'!D3148</f>
        <v>Land clearance</v>
      </c>
      <c r="E3148" s="151" t="str">
        <f>'Reported burning'!E3148</f>
        <v>Mixed cropping-livestock small holder, Subsistence-oriented</v>
      </c>
      <c r="F3148" s="151" t="str">
        <f>'Reported burning'!F3148</f>
        <v>Shrubland (Mixed forest &amp; grassland)</v>
      </c>
      <c r="G3148" s="151" t="str">
        <f>'Reported burning'!G3148</f>
        <v>ND</v>
      </c>
      <c r="H3148" s="151" t="str">
        <f>'Reported burning'!H3148</f>
        <v>Presence</v>
      </c>
      <c r="I3148" s="5"/>
      <c r="J3148" s="198" t="s">
        <v>2272</v>
      </c>
      <c r="K3148" s="198" t="s">
        <v>2272</v>
      </c>
      <c r="L3148" s="198" t="s">
        <v>2272</v>
      </c>
      <c r="M3148" s="198" t="s">
        <v>2272</v>
      </c>
      <c r="N3148" s="198" t="s">
        <v>2272</v>
      </c>
      <c r="O3148" s="198" t="s">
        <v>2272</v>
      </c>
      <c r="P3148" s="198" t="s">
        <v>2272</v>
      </c>
      <c r="Q3148" s="198" t="s">
        <v>2272</v>
      </c>
      <c r="R3148" s="198" t="s">
        <v>2272</v>
      </c>
      <c r="S3148" s="198" t="s">
        <v>2272</v>
      </c>
      <c r="T3148" s="198" t="s">
        <v>2272</v>
      </c>
      <c r="U3148" s="198" t="s">
        <v>2272</v>
      </c>
      <c r="V3148" s="198" t="s">
        <v>2272</v>
      </c>
      <c r="W3148" s="198" t="s">
        <v>2272</v>
      </c>
      <c r="X3148" s="198" t="s">
        <v>2272</v>
      </c>
      <c r="Y3148" s="198" t="s">
        <v>67</v>
      </c>
      <c r="Z3148" s="198" t="s">
        <v>34</v>
      </c>
      <c r="AA3148" s="198" t="s">
        <v>63</v>
      </c>
      <c r="AB3148" s="198"/>
      <c r="AC3148" s="198"/>
    </row>
    <row r="3149" spans="1:29" ht="45.5" customHeight="1">
      <c r="A3149" s="151" t="str">
        <f>'Reported burning'!A3149</f>
        <v>338c</v>
      </c>
      <c r="B3149" s="151" t="str">
        <f>'Reported burning'!B3149</f>
        <v>338c.5</v>
      </c>
      <c r="C3149" s="151" t="str">
        <f>'Reported burning'!C3149</f>
        <v>Human, deliberate</v>
      </c>
      <c r="D3149" s="151" t="str">
        <f>'Reported burning'!D3149</f>
        <v>Pasture renewal</v>
      </c>
      <c r="E3149" s="151" t="str">
        <f>'Reported burning'!E3149</f>
        <v>Mixed cropping-livestock small holder, Subsistence-oriented</v>
      </c>
      <c r="F3149" s="151" t="str">
        <f>'Reported burning'!F3149</f>
        <v>Shrubland (Mixed forest &amp; grassland)</v>
      </c>
      <c r="G3149" s="151" t="str">
        <f>'Reported burning'!G3149</f>
        <v>ND</v>
      </c>
      <c r="H3149" s="151" t="str">
        <f>'Reported burning'!H3149</f>
        <v>Presence</v>
      </c>
      <c r="I3149" s="5"/>
      <c r="J3149" s="198" t="s">
        <v>2272</v>
      </c>
      <c r="K3149" s="198" t="s">
        <v>2272</v>
      </c>
      <c r="L3149" s="198" t="s">
        <v>2272</v>
      </c>
      <c r="M3149" s="198" t="s">
        <v>2272</v>
      </c>
      <c r="N3149" s="198" t="s">
        <v>2272</v>
      </c>
      <c r="O3149" s="198" t="s">
        <v>2272</v>
      </c>
      <c r="P3149" s="198" t="s">
        <v>2272</v>
      </c>
      <c r="Q3149" s="198" t="s">
        <v>2272</v>
      </c>
      <c r="R3149" s="198" t="s">
        <v>2272</v>
      </c>
      <c r="S3149" s="198" t="s">
        <v>2272</v>
      </c>
      <c r="T3149" s="198" t="s">
        <v>2272</v>
      </c>
      <c r="U3149" s="198" t="s">
        <v>2272</v>
      </c>
      <c r="V3149" s="198" t="s">
        <v>2272</v>
      </c>
      <c r="W3149" s="198" t="s">
        <v>2272</v>
      </c>
      <c r="X3149" s="198" t="s">
        <v>2272</v>
      </c>
      <c r="Y3149" s="198" t="s">
        <v>403</v>
      </c>
      <c r="Z3149" s="198" t="s">
        <v>34</v>
      </c>
      <c r="AA3149" s="198" t="s">
        <v>63</v>
      </c>
      <c r="AB3149" s="198"/>
      <c r="AC3149" s="198"/>
    </row>
    <row r="3150" spans="1:29" ht="45.5" customHeight="1">
      <c r="A3150" s="151" t="str">
        <f>'Reported burning'!A3150</f>
        <v>338c</v>
      </c>
      <c r="B3150" s="151" t="str">
        <f>'Reported burning'!B3150</f>
        <v>338c.6</v>
      </c>
      <c r="C3150" s="151" t="str">
        <f>'Reported burning'!C3150</f>
        <v>Human, deliberate</v>
      </c>
      <c r="D3150" s="151" t="str">
        <f>'Reported burning'!D3150</f>
        <v>Hunting</v>
      </c>
      <c r="E3150" s="151" t="str">
        <f>'Reported burning'!E3150</f>
        <v>Mixed cropping-livestock small holder, Subsistence-oriented</v>
      </c>
      <c r="F3150" s="151" t="str">
        <f>'Reported burning'!F3150</f>
        <v>Shrubland (Mixed forest &amp; grassland)</v>
      </c>
      <c r="G3150" s="151" t="str">
        <f>'Reported burning'!G3150</f>
        <v>ND</v>
      </c>
      <c r="H3150" s="151" t="str">
        <f>'Reported burning'!H3150</f>
        <v>Presence</v>
      </c>
      <c r="I3150" s="5"/>
      <c r="J3150" s="198" t="s">
        <v>2272</v>
      </c>
      <c r="K3150" s="198" t="s">
        <v>2272</v>
      </c>
      <c r="L3150" s="198" t="s">
        <v>2272</v>
      </c>
      <c r="M3150" s="198" t="s">
        <v>2272</v>
      </c>
      <c r="N3150" s="198" t="s">
        <v>2272</v>
      </c>
      <c r="O3150" s="198" t="s">
        <v>2272</v>
      </c>
      <c r="P3150" s="198" t="s">
        <v>2272</v>
      </c>
      <c r="Q3150" s="198" t="s">
        <v>2272</v>
      </c>
      <c r="R3150" s="198" t="s">
        <v>2272</v>
      </c>
      <c r="S3150" s="198" t="s">
        <v>2272</v>
      </c>
      <c r="T3150" s="198" t="s">
        <v>2272</v>
      </c>
      <c r="U3150" s="198" t="s">
        <v>2272</v>
      </c>
      <c r="V3150" s="198" t="s">
        <v>2272</v>
      </c>
      <c r="W3150" s="198" t="s">
        <v>2272</v>
      </c>
      <c r="X3150" s="198" t="s">
        <v>2272</v>
      </c>
      <c r="Y3150" s="198" t="s">
        <v>84</v>
      </c>
      <c r="Z3150" s="198" t="s">
        <v>34</v>
      </c>
      <c r="AA3150" s="198" t="s">
        <v>63</v>
      </c>
      <c r="AB3150" s="198"/>
      <c r="AC3150" s="198"/>
    </row>
    <row r="3151" spans="1:29" ht="45.5" customHeight="1">
      <c r="A3151" s="151" t="str">
        <f>'Reported burning'!A3151</f>
        <v>338c</v>
      </c>
      <c r="B3151" s="151" t="str">
        <f>'Reported burning'!B3151</f>
        <v>338c.7</v>
      </c>
      <c r="C3151" s="151" t="str">
        <f>'Reported burning'!C3151</f>
        <v>Human, deliberate</v>
      </c>
      <c r="D3151" s="151" t="str">
        <f>'Reported burning'!D3151</f>
        <v>Harvesting of NTFP</v>
      </c>
      <c r="E3151" s="151" t="str">
        <f>'Reported burning'!E3151</f>
        <v>Mixed cropping-livestock small holder, Subsistence-oriented</v>
      </c>
      <c r="F3151" s="151" t="str">
        <f>'Reported burning'!F3151</f>
        <v>Forest</v>
      </c>
      <c r="G3151" s="151" t="str">
        <f>'Reported burning'!G3151</f>
        <v>ND</v>
      </c>
      <c r="H3151" s="151" t="str">
        <f>'Reported burning'!H3151</f>
        <v>Presence</v>
      </c>
      <c r="I3151" s="5"/>
      <c r="J3151" s="198" t="s">
        <v>2272</v>
      </c>
      <c r="K3151" s="198" t="s">
        <v>2272</v>
      </c>
      <c r="L3151" s="198" t="s">
        <v>2272</v>
      </c>
      <c r="M3151" s="198" t="s">
        <v>2272</v>
      </c>
      <c r="N3151" s="198" t="s">
        <v>2272</v>
      </c>
      <c r="O3151" s="198" t="s">
        <v>2272</v>
      </c>
      <c r="P3151" s="198" t="s">
        <v>2272</v>
      </c>
      <c r="Q3151" s="198" t="s">
        <v>2272</v>
      </c>
      <c r="R3151" s="198" t="s">
        <v>2272</v>
      </c>
      <c r="S3151" s="198" t="s">
        <v>2272</v>
      </c>
      <c r="T3151" s="198" t="s">
        <v>2272</v>
      </c>
      <c r="U3151" s="198" t="s">
        <v>2272</v>
      </c>
      <c r="V3151" s="198" t="s">
        <v>2272</v>
      </c>
      <c r="W3151" s="198" t="s">
        <v>2272</v>
      </c>
      <c r="X3151" s="198" t="s">
        <v>2272</v>
      </c>
      <c r="Y3151" s="198" t="s">
        <v>67</v>
      </c>
      <c r="Z3151" s="198" t="s">
        <v>125</v>
      </c>
      <c r="AA3151" s="198" t="s">
        <v>63</v>
      </c>
      <c r="AB3151" s="198"/>
      <c r="AC3151" s="198"/>
    </row>
    <row r="3152" spans="1:29" ht="45.5" customHeight="1">
      <c r="A3152" s="151" t="str">
        <f>'Reported burning'!A3152</f>
        <v>338c</v>
      </c>
      <c r="B3152" s="151" t="str">
        <f>'Reported burning'!B3152</f>
        <v>338c.8</v>
      </c>
      <c r="C3152" s="151" t="str">
        <f>'Reported burning'!C3152</f>
        <v>Human, deliberate</v>
      </c>
      <c r="D3152" s="151" t="str">
        <f>'Reported burning'!D3152</f>
        <v>Pest management</v>
      </c>
      <c r="E3152" s="151" t="str">
        <f>'Reported burning'!E3152</f>
        <v>Mixed cropping-livestock small holder, Subsistence-oriented</v>
      </c>
      <c r="F3152" s="151" t="str">
        <f>'Reported burning'!F3152</f>
        <v>Shrubland (Mixed forest &amp; grassland)</v>
      </c>
      <c r="G3152" s="151" t="str">
        <f>'Reported burning'!G3152</f>
        <v>ND</v>
      </c>
      <c r="H3152" s="151" t="str">
        <f>'Reported burning'!H3152</f>
        <v>Presence</v>
      </c>
      <c r="I3152" s="5"/>
      <c r="J3152" s="198" t="s">
        <v>2272</v>
      </c>
      <c r="K3152" s="198" t="s">
        <v>2272</v>
      </c>
      <c r="L3152" s="198" t="s">
        <v>2272</v>
      </c>
      <c r="M3152" s="198" t="s">
        <v>2272</v>
      </c>
      <c r="N3152" s="198" t="s">
        <v>2272</v>
      </c>
      <c r="O3152" s="198" t="s">
        <v>2272</v>
      </c>
      <c r="P3152" s="198" t="s">
        <v>2272</v>
      </c>
      <c r="Q3152" s="198" t="s">
        <v>2272</v>
      </c>
      <c r="R3152" s="198" t="s">
        <v>2272</v>
      </c>
      <c r="S3152" s="198" t="s">
        <v>2272</v>
      </c>
      <c r="T3152" s="198" t="s">
        <v>2272</v>
      </c>
      <c r="U3152" s="198" t="s">
        <v>2272</v>
      </c>
      <c r="V3152" s="198" t="s">
        <v>2272</v>
      </c>
      <c r="W3152" s="198" t="s">
        <v>2272</v>
      </c>
      <c r="X3152" s="198" t="s">
        <v>2272</v>
      </c>
      <c r="Y3152" s="198" t="s">
        <v>37</v>
      </c>
      <c r="Z3152" s="198" t="s">
        <v>125</v>
      </c>
      <c r="AA3152" s="198" t="s">
        <v>63</v>
      </c>
      <c r="AB3152" s="198"/>
      <c r="AC3152" s="198"/>
    </row>
    <row r="3153" spans="1:29" ht="45.5" customHeight="1">
      <c r="A3153" s="151" t="str">
        <f>'Reported burning'!A3153</f>
        <v>338d</v>
      </c>
      <c r="B3153" s="151" t="str">
        <f>'Reported burning'!B3153</f>
        <v>338d.1</v>
      </c>
      <c r="C3153" s="151" t="str">
        <f>'Reported burning'!C3153</f>
        <v>Human, deliberate</v>
      </c>
      <c r="D3153" s="151" t="str">
        <f>'Reported burning'!D3153</f>
        <v>Crop residue burning</v>
      </c>
      <c r="E3153" s="151" t="str">
        <f>'Reported burning'!E3153</f>
        <v>Mixed cropping-livestock small holder, Subsistence-oriented</v>
      </c>
      <c r="F3153" s="151" t="str">
        <f>'Reported burning'!F3153</f>
        <v>Cropland</v>
      </c>
      <c r="G3153" s="151" t="str">
        <f>'Reported burning'!G3153</f>
        <v>ND</v>
      </c>
      <c r="H3153" s="151" t="str">
        <f>'Reported burning'!H3153</f>
        <v>Absence</v>
      </c>
      <c r="I3153" s="5"/>
      <c r="J3153" s="21">
        <v>0</v>
      </c>
      <c r="K3153" s="21">
        <v>0</v>
      </c>
      <c r="L3153" s="21">
        <v>0</v>
      </c>
      <c r="M3153" s="21">
        <v>0</v>
      </c>
      <c r="N3153" s="21">
        <v>0</v>
      </c>
      <c r="O3153" s="21">
        <v>0</v>
      </c>
      <c r="P3153" s="21">
        <v>0</v>
      </c>
      <c r="Q3153" s="21">
        <v>0</v>
      </c>
      <c r="R3153" s="21">
        <v>0</v>
      </c>
      <c r="S3153" s="21">
        <v>0</v>
      </c>
      <c r="T3153" s="21">
        <v>0</v>
      </c>
      <c r="U3153" s="21">
        <v>0</v>
      </c>
      <c r="V3153" s="21">
        <v>0</v>
      </c>
      <c r="W3153" s="21">
        <v>0</v>
      </c>
      <c r="X3153" s="198" t="s">
        <v>2272</v>
      </c>
      <c r="Y3153" s="198" t="s">
        <v>2272</v>
      </c>
      <c r="Z3153" s="198" t="s">
        <v>2272</v>
      </c>
      <c r="AA3153" s="198" t="s">
        <v>2272</v>
      </c>
      <c r="AB3153" s="198"/>
      <c r="AC3153" s="198"/>
    </row>
    <row r="3154" spans="1:29" ht="45.5" customHeight="1">
      <c r="A3154" s="151" t="str">
        <f>'Reported burning'!A3154</f>
        <v>338d</v>
      </c>
      <c r="B3154" s="151" t="str">
        <f>'Reported burning'!B3154</f>
        <v>338d.2</v>
      </c>
      <c r="C3154" s="151" t="str">
        <f>'Reported burning'!C3154</f>
        <v>Human, deliberate</v>
      </c>
      <c r="D3154" s="151" t="str">
        <f>'Reported burning'!D3154</f>
        <v>Crop field preparation</v>
      </c>
      <c r="E3154" s="151" t="str">
        <f>'Reported burning'!E3154</f>
        <v>Mixed cropping-livestock small holder, Subsistence-oriented</v>
      </c>
      <c r="F3154" s="151" t="str">
        <f>'Reported burning'!F3154</f>
        <v>Cropland</v>
      </c>
      <c r="G3154" s="151" t="str">
        <f>'Reported burning'!G3154</f>
        <v>ND</v>
      </c>
      <c r="H3154" s="151" t="str">
        <f>'Reported burning'!H3154</f>
        <v>Presence</v>
      </c>
      <c r="I3154" s="5"/>
      <c r="J3154" s="198" t="s">
        <v>2272</v>
      </c>
      <c r="K3154" s="198" t="s">
        <v>2272</v>
      </c>
      <c r="L3154" s="198" t="s">
        <v>2272</v>
      </c>
      <c r="M3154" s="198" t="s">
        <v>2272</v>
      </c>
      <c r="N3154" s="198" t="s">
        <v>2272</v>
      </c>
      <c r="O3154" s="198" t="s">
        <v>2272</v>
      </c>
      <c r="P3154" s="198" t="s">
        <v>2272</v>
      </c>
      <c r="Q3154" s="198" t="s">
        <v>2272</v>
      </c>
      <c r="R3154" s="198" t="s">
        <v>2272</v>
      </c>
      <c r="S3154" s="198" t="s">
        <v>2272</v>
      </c>
      <c r="T3154" s="198" t="s">
        <v>2272</v>
      </c>
      <c r="U3154" s="198" t="s">
        <v>2272</v>
      </c>
      <c r="V3154" s="198" t="s">
        <v>2272</v>
      </c>
      <c r="W3154" s="198" t="s">
        <v>2272</v>
      </c>
      <c r="X3154" s="198" t="s">
        <v>2272</v>
      </c>
      <c r="Y3154" s="198" t="s">
        <v>67</v>
      </c>
      <c r="Z3154" s="198" t="s">
        <v>34</v>
      </c>
      <c r="AA3154" s="198" t="s">
        <v>63</v>
      </c>
      <c r="AB3154" s="198"/>
      <c r="AC3154" s="198"/>
    </row>
    <row r="3155" spans="1:29" ht="45.5" customHeight="1">
      <c r="A3155" s="151" t="str">
        <f>'Reported burning'!A3155</f>
        <v>338d</v>
      </c>
      <c r="B3155" s="151" t="str">
        <f>'Reported burning'!B3155</f>
        <v>338d.3</v>
      </c>
      <c r="C3155" s="151" t="str">
        <f>'Reported burning'!C3155</f>
        <v>Human, deliberate</v>
      </c>
      <c r="D3155" s="151" t="str">
        <f>'Reported burning'!D3155</f>
        <v>Land clearance</v>
      </c>
      <c r="E3155" s="151" t="str">
        <f>'Reported burning'!E3155</f>
        <v>Mixed cropping-livestock small holder, Subsistence-oriented</v>
      </c>
      <c r="F3155" s="151" t="str">
        <f>'Reported burning'!F3155</f>
        <v>Cropland</v>
      </c>
      <c r="G3155" s="151" t="str">
        <f>'Reported burning'!G3155</f>
        <v>ND</v>
      </c>
      <c r="H3155" s="151" t="str">
        <f>'Reported burning'!H3155</f>
        <v>Presence</v>
      </c>
      <c r="I3155" s="5"/>
      <c r="J3155" s="198" t="s">
        <v>2272</v>
      </c>
      <c r="K3155" s="198" t="s">
        <v>2272</v>
      </c>
      <c r="L3155" s="198" t="s">
        <v>2272</v>
      </c>
      <c r="M3155" s="198" t="s">
        <v>2272</v>
      </c>
      <c r="N3155" s="198" t="s">
        <v>2272</v>
      </c>
      <c r="O3155" s="198" t="s">
        <v>2272</v>
      </c>
      <c r="P3155" s="198" t="s">
        <v>2272</v>
      </c>
      <c r="Q3155" s="198" t="s">
        <v>2272</v>
      </c>
      <c r="R3155" s="198" t="s">
        <v>2272</v>
      </c>
      <c r="S3155" s="198" t="s">
        <v>2272</v>
      </c>
      <c r="T3155" s="198" t="s">
        <v>2272</v>
      </c>
      <c r="U3155" s="198" t="s">
        <v>2272</v>
      </c>
      <c r="V3155" s="198" t="s">
        <v>2272</v>
      </c>
      <c r="W3155" s="198" t="s">
        <v>2272</v>
      </c>
      <c r="X3155" s="198" t="s">
        <v>2272</v>
      </c>
      <c r="Y3155" s="198" t="s">
        <v>67</v>
      </c>
      <c r="Z3155" s="198" t="s">
        <v>34</v>
      </c>
      <c r="AA3155" s="198" t="s">
        <v>63</v>
      </c>
      <c r="AB3155" s="198"/>
      <c r="AC3155" s="198"/>
    </row>
    <row r="3156" spans="1:29" ht="45.5" customHeight="1">
      <c r="A3156" s="151" t="str">
        <f>'Reported burning'!A3156</f>
        <v>338d</v>
      </c>
      <c r="B3156" s="151" t="str">
        <f>'Reported burning'!B3156</f>
        <v>338d.4</v>
      </c>
      <c r="C3156" s="151" t="str">
        <f>'Reported burning'!C3156</f>
        <v>Human, deliberate</v>
      </c>
      <c r="D3156" s="151" t="str">
        <f>'Reported burning'!D3156</f>
        <v>Pasture renewal</v>
      </c>
      <c r="E3156" s="151" t="str">
        <f>'Reported burning'!E3156</f>
        <v>Mixed cropping-livestock small holder, Subsistence-oriented</v>
      </c>
      <c r="F3156" s="151" t="str">
        <f>'Reported burning'!F3156</f>
        <v>Shrubland (Mixed forest &amp; grassland)</v>
      </c>
      <c r="G3156" s="151" t="str">
        <f>'Reported burning'!G3156</f>
        <v>ND</v>
      </c>
      <c r="H3156" s="151" t="str">
        <f>'Reported burning'!H3156</f>
        <v>Presence</v>
      </c>
      <c r="I3156" s="5"/>
      <c r="J3156" s="198" t="s">
        <v>2272</v>
      </c>
      <c r="K3156" s="198" t="s">
        <v>2272</v>
      </c>
      <c r="L3156" s="198" t="s">
        <v>2272</v>
      </c>
      <c r="M3156" s="198" t="s">
        <v>2272</v>
      </c>
      <c r="N3156" s="198" t="s">
        <v>2272</v>
      </c>
      <c r="O3156" s="198" t="s">
        <v>2272</v>
      </c>
      <c r="P3156" s="198" t="s">
        <v>2272</v>
      </c>
      <c r="Q3156" s="198" t="s">
        <v>2272</v>
      </c>
      <c r="R3156" s="198" t="s">
        <v>2272</v>
      </c>
      <c r="S3156" s="198" t="s">
        <v>2272</v>
      </c>
      <c r="T3156" s="198" t="s">
        <v>2272</v>
      </c>
      <c r="U3156" s="198" t="s">
        <v>2272</v>
      </c>
      <c r="V3156" s="198" t="s">
        <v>2272</v>
      </c>
      <c r="W3156" s="198" t="s">
        <v>2272</v>
      </c>
      <c r="X3156" s="198" t="s">
        <v>2272</v>
      </c>
      <c r="Y3156" s="198" t="s">
        <v>403</v>
      </c>
      <c r="Z3156" s="198" t="s">
        <v>34</v>
      </c>
      <c r="AA3156" s="198" t="s">
        <v>63</v>
      </c>
      <c r="AB3156" s="198"/>
      <c r="AC3156" s="198"/>
    </row>
    <row r="3157" spans="1:29" ht="45.5" customHeight="1">
      <c r="A3157" s="151" t="str">
        <f>'Reported burning'!A3157</f>
        <v>338d</v>
      </c>
      <c r="B3157" s="151" t="str">
        <f>'Reported burning'!B3157</f>
        <v>338d.5</v>
      </c>
      <c r="C3157" s="151" t="str">
        <f>'Reported burning'!C3157</f>
        <v>Human, deliberate</v>
      </c>
      <c r="D3157" s="151" t="str">
        <f>'Reported burning'!D3157</f>
        <v>Hunting</v>
      </c>
      <c r="E3157" s="151" t="str">
        <f>'Reported burning'!E3157</f>
        <v>Mixed cropping-livestock small holder, Subsistence-oriented</v>
      </c>
      <c r="F3157" s="151" t="str">
        <f>'Reported burning'!F3157</f>
        <v>Shrubland (Mixed forest &amp; grassland)</v>
      </c>
      <c r="G3157" s="151" t="str">
        <f>'Reported burning'!G3157</f>
        <v>ND</v>
      </c>
      <c r="H3157" s="151" t="str">
        <f>'Reported burning'!H3157</f>
        <v>Presence</v>
      </c>
      <c r="I3157" s="5"/>
      <c r="J3157" s="198" t="s">
        <v>2272</v>
      </c>
      <c r="K3157" s="198" t="s">
        <v>2272</v>
      </c>
      <c r="L3157" s="198" t="s">
        <v>2272</v>
      </c>
      <c r="M3157" s="198" t="s">
        <v>2272</v>
      </c>
      <c r="N3157" s="198" t="s">
        <v>2272</v>
      </c>
      <c r="O3157" s="198" t="s">
        <v>2272</v>
      </c>
      <c r="P3157" s="198" t="s">
        <v>2272</v>
      </c>
      <c r="Q3157" s="198" t="s">
        <v>2272</v>
      </c>
      <c r="R3157" s="198" t="s">
        <v>2272</v>
      </c>
      <c r="S3157" s="198" t="s">
        <v>2272</v>
      </c>
      <c r="T3157" s="198" t="s">
        <v>2272</v>
      </c>
      <c r="U3157" s="198" t="s">
        <v>2272</v>
      </c>
      <c r="V3157" s="198" t="s">
        <v>2272</v>
      </c>
      <c r="W3157" s="198" t="s">
        <v>2272</v>
      </c>
      <c r="X3157" s="198" t="s">
        <v>2272</v>
      </c>
      <c r="Y3157" s="198" t="s">
        <v>84</v>
      </c>
      <c r="Z3157" s="198" t="s">
        <v>34</v>
      </c>
      <c r="AA3157" s="198" t="s">
        <v>63</v>
      </c>
      <c r="AB3157" s="198"/>
      <c r="AC3157" s="198"/>
    </row>
    <row r="3158" spans="1:29" ht="45.5" customHeight="1">
      <c r="A3158" s="151" t="str">
        <f>'Reported burning'!A3158</f>
        <v>338d</v>
      </c>
      <c r="B3158" s="151" t="str">
        <f>'Reported burning'!B3158</f>
        <v>338d.6</v>
      </c>
      <c r="C3158" s="151" t="str">
        <f>'Reported burning'!C3158</f>
        <v>Human, deliberate</v>
      </c>
      <c r="D3158" s="151" t="str">
        <f>'Reported burning'!D3158</f>
        <v>Harvesting of NTFP</v>
      </c>
      <c r="E3158" s="151" t="str">
        <f>'Reported burning'!E3158</f>
        <v>Mixed cropping-livestock small holder, Subsistence-oriented</v>
      </c>
      <c r="F3158" s="151" t="str">
        <f>'Reported burning'!F3158</f>
        <v>Shrubland (Mixed forest &amp; grassland)</v>
      </c>
      <c r="G3158" s="151" t="str">
        <f>'Reported burning'!G3158</f>
        <v>ND</v>
      </c>
      <c r="H3158" s="151" t="str">
        <f>'Reported burning'!H3158</f>
        <v>Presence</v>
      </c>
      <c r="I3158" s="5"/>
      <c r="J3158" s="198" t="s">
        <v>2272</v>
      </c>
      <c r="K3158" s="198" t="s">
        <v>2272</v>
      </c>
      <c r="L3158" s="198" t="s">
        <v>2272</v>
      </c>
      <c r="M3158" s="198" t="s">
        <v>2272</v>
      </c>
      <c r="N3158" s="198" t="s">
        <v>2272</v>
      </c>
      <c r="O3158" s="198" t="s">
        <v>2272</v>
      </c>
      <c r="P3158" s="198" t="s">
        <v>2272</v>
      </c>
      <c r="Q3158" s="198" t="s">
        <v>2272</v>
      </c>
      <c r="R3158" s="198" t="s">
        <v>2272</v>
      </c>
      <c r="S3158" s="198" t="s">
        <v>2272</v>
      </c>
      <c r="T3158" s="198" t="s">
        <v>2272</v>
      </c>
      <c r="U3158" s="198" t="s">
        <v>2272</v>
      </c>
      <c r="V3158" s="198" t="s">
        <v>2272</v>
      </c>
      <c r="W3158" s="198" t="s">
        <v>2272</v>
      </c>
      <c r="X3158" s="198" t="s">
        <v>2272</v>
      </c>
      <c r="Y3158" s="198" t="s">
        <v>67</v>
      </c>
      <c r="Z3158" s="198" t="s">
        <v>125</v>
      </c>
      <c r="AA3158" s="198" t="s">
        <v>63</v>
      </c>
      <c r="AB3158" s="198"/>
      <c r="AC3158" s="198"/>
    </row>
    <row r="3159" spans="1:29" ht="45.5" customHeight="1">
      <c r="A3159" s="151" t="str">
        <f>'Reported burning'!A3159</f>
        <v>338d</v>
      </c>
      <c r="B3159" s="151" t="str">
        <f>'Reported burning'!B3159</f>
        <v>338d.7</v>
      </c>
      <c r="C3159" s="151" t="str">
        <f>'Reported burning'!C3159</f>
        <v>Human, deliberate</v>
      </c>
      <c r="D3159" s="151" t="str">
        <f>'Reported burning'!D3159</f>
        <v>Pest management</v>
      </c>
      <c r="E3159" s="151" t="str">
        <f>'Reported burning'!E3159</f>
        <v>Mixed cropping-livestock small holder, Subsistence-oriented</v>
      </c>
      <c r="F3159" s="151" t="str">
        <f>'Reported burning'!F3159</f>
        <v>Forest</v>
      </c>
      <c r="G3159" s="151" t="str">
        <f>'Reported burning'!G3159</f>
        <v>ND</v>
      </c>
      <c r="H3159" s="151" t="str">
        <f>'Reported burning'!H3159</f>
        <v>Presence</v>
      </c>
      <c r="I3159" s="5"/>
      <c r="J3159" s="198" t="s">
        <v>2272</v>
      </c>
      <c r="K3159" s="198" t="s">
        <v>2272</v>
      </c>
      <c r="L3159" s="198" t="s">
        <v>2272</v>
      </c>
      <c r="M3159" s="198" t="s">
        <v>2272</v>
      </c>
      <c r="N3159" s="198" t="s">
        <v>2272</v>
      </c>
      <c r="O3159" s="198" t="s">
        <v>2272</v>
      </c>
      <c r="P3159" s="198" t="s">
        <v>2272</v>
      </c>
      <c r="Q3159" s="198" t="s">
        <v>2272</v>
      </c>
      <c r="R3159" s="198" t="s">
        <v>2272</v>
      </c>
      <c r="S3159" s="198" t="s">
        <v>2272</v>
      </c>
      <c r="T3159" s="198" t="s">
        <v>2272</v>
      </c>
      <c r="U3159" s="198" t="s">
        <v>2272</v>
      </c>
      <c r="V3159" s="198" t="s">
        <v>2272</v>
      </c>
      <c r="W3159" s="198" t="s">
        <v>2272</v>
      </c>
      <c r="X3159" s="198" t="s">
        <v>2272</v>
      </c>
      <c r="Y3159" s="198" t="s">
        <v>37</v>
      </c>
      <c r="Z3159" s="198" t="s">
        <v>125</v>
      </c>
      <c r="AA3159" s="198" t="s">
        <v>63</v>
      </c>
      <c r="AB3159" s="198"/>
      <c r="AC3159" s="198"/>
    </row>
    <row r="3160" spans="1:29" ht="45.5" customHeight="1">
      <c r="A3160" s="151" t="str">
        <f>'Reported burning'!A3160</f>
        <v>338a</v>
      </c>
      <c r="B3160" s="151" t="str">
        <f>'Reported burning'!B3160</f>
        <v>338a.6</v>
      </c>
      <c r="C3160" s="151" t="str">
        <f>'Reported burning'!C3160</f>
        <v>Human, deliberate</v>
      </c>
      <c r="D3160" s="151" t="str">
        <f>'Reported burning'!D3160</f>
        <v>All</v>
      </c>
      <c r="E3160" s="151" t="str">
        <f>'Reported burning'!E3160</f>
        <v>Mixed cropping-livestock small holder, Subsistence-oriented</v>
      </c>
      <c r="F3160" s="151" t="str">
        <f>'Reported burning'!F3160</f>
        <v>Cropland</v>
      </c>
      <c r="G3160" s="151" t="str">
        <f>'Reported burning'!G3160</f>
        <v>Cropland</v>
      </c>
      <c r="H3160" s="151" t="str">
        <f>'Reported burning'!H3160</f>
        <v>Presence</v>
      </c>
      <c r="I3160" s="5"/>
      <c r="J3160" s="198" t="s">
        <v>2272</v>
      </c>
      <c r="K3160" s="198" t="s">
        <v>2272</v>
      </c>
      <c r="L3160" s="198" t="s">
        <v>2272</v>
      </c>
      <c r="M3160" s="198" t="s">
        <v>2272</v>
      </c>
      <c r="N3160" s="198" t="s">
        <v>2272</v>
      </c>
      <c r="O3160" s="198" t="s">
        <v>2272</v>
      </c>
      <c r="P3160" s="198" t="s">
        <v>2272</v>
      </c>
      <c r="Q3160" s="198" t="s">
        <v>2272</v>
      </c>
      <c r="R3160" s="198" t="s">
        <v>2272</v>
      </c>
      <c r="S3160" s="198" t="s">
        <v>2272</v>
      </c>
      <c r="T3160" s="198" t="s">
        <v>2272</v>
      </c>
      <c r="U3160" s="198" t="s">
        <v>2272</v>
      </c>
      <c r="V3160" s="198" t="s">
        <v>2272</v>
      </c>
      <c r="W3160" s="198" t="s">
        <v>2272</v>
      </c>
      <c r="X3160" s="198" t="s">
        <v>2272</v>
      </c>
      <c r="Y3160" s="198" t="s">
        <v>2272</v>
      </c>
      <c r="Z3160" s="198" t="s">
        <v>2272</v>
      </c>
      <c r="AA3160" s="198" t="s">
        <v>2272</v>
      </c>
      <c r="AB3160" s="198"/>
      <c r="AC3160" s="198"/>
    </row>
    <row r="3161" spans="1:29" ht="45.5" customHeight="1">
      <c r="A3161" s="151" t="str">
        <f>'Reported burning'!A3161</f>
        <v>338b</v>
      </c>
      <c r="B3161" s="151" t="str">
        <f>'Reported burning'!B3161</f>
        <v>338b.7</v>
      </c>
      <c r="C3161" s="151" t="str">
        <f>'Reported burning'!C3161</f>
        <v>Human, deliberate</v>
      </c>
      <c r="D3161" s="151" t="str">
        <f>'Reported burning'!D3161</f>
        <v>All</v>
      </c>
      <c r="E3161" s="151" t="str">
        <f>'Reported burning'!E3161</f>
        <v>Mixed cropping-livestock small holder, Subsistence-oriented</v>
      </c>
      <c r="F3161" s="151" t="str">
        <f>'Reported burning'!F3161</f>
        <v>Cropland</v>
      </c>
      <c r="G3161" s="151" t="str">
        <f>'Reported burning'!G3161</f>
        <v>Cropland</v>
      </c>
      <c r="H3161" s="151" t="str">
        <f>'Reported burning'!H3161</f>
        <v>Presence</v>
      </c>
      <c r="I3161" s="5"/>
      <c r="J3161" s="198" t="s">
        <v>2272</v>
      </c>
      <c r="K3161" s="198" t="s">
        <v>2272</v>
      </c>
      <c r="L3161" s="198" t="s">
        <v>2272</v>
      </c>
      <c r="M3161" s="198" t="s">
        <v>2272</v>
      </c>
      <c r="N3161" s="198" t="s">
        <v>2272</v>
      </c>
      <c r="O3161" s="198" t="s">
        <v>2272</v>
      </c>
      <c r="P3161" s="198" t="s">
        <v>2272</v>
      </c>
      <c r="Q3161" s="198" t="s">
        <v>2272</v>
      </c>
      <c r="R3161" s="198" t="s">
        <v>2272</v>
      </c>
      <c r="S3161" s="198" t="s">
        <v>2272</v>
      </c>
      <c r="T3161" s="198" t="s">
        <v>2272</v>
      </c>
      <c r="U3161" s="198" t="s">
        <v>2272</v>
      </c>
      <c r="V3161" s="198" t="s">
        <v>2272</v>
      </c>
      <c r="W3161" s="198" t="s">
        <v>2272</v>
      </c>
      <c r="X3161" s="198" t="s">
        <v>2272</v>
      </c>
      <c r="Y3161" s="198" t="s">
        <v>2272</v>
      </c>
      <c r="Z3161" s="198" t="s">
        <v>2272</v>
      </c>
      <c r="AA3161" s="198" t="s">
        <v>2272</v>
      </c>
      <c r="AB3161" s="198"/>
      <c r="AC3161" s="198"/>
    </row>
    <row r="3162" spans="1:29" ht="48" customHeight="1">
      <c r="A3162" s="151" t="str">
        <f>'Reported burning'!A3162</f>
        <v>338c</v>
      </c>
      <c r="B3162" s="151" t="str">
        <f>'Reported burning'!B3162</f>
        <v>338c.9</v>
      </c>
      <c r="C3162" s="151" t="str">
        <f>'Reported burning'!C3162</f>
        <v>Human, deliberate</v>
      </c>
      <c r="D3162" s="151" t="str">
        <f>'Reported burning'!D3162</f>
        <v>All</v>
      </c>
      <c r="E3162" s="151" t="str">
        <f>'Reported burning'!E3162</f>
        <v>Mixed cropping-livestock small holder, Subsistence-oriented</v>
      </c>
      <c r="F3162" s="151" t="str">
        <f>'Reported burning'!F3162</f>
        <v>Cropland</v>
      </c>
      <c r="G3162" s="151" t="str">
        <f>'Reported burning'!G3162</f>
        <v>Cropland</v>
      </c>
      <c r="H3162" s="151" t="str">
        <f>'Reported burning'!H3162</f>
        <v>Presence</v>
      </c>
      <c r="I3162" s="5"/>
      <c r="J3162" s="198" t="s">
        <v>2272</v>
      </c>
      <c r="K3162" s="198" t="s">
        <v>2272</v>
      </c>
      <c r="L3162" s="98" t="s">
        <v>2358</v>
      </c>
      <c r="M3162" s="198" t="s">
        <v>2272</v>
      </c>
      <c r="N3162" s="198" t="s">
        <v>2272</v>
      </c>
      <c r="O3162" s="198" t="s">
        <v>2272</v>
      </c>
      <c r="P3162" s="21" t="s">
        <v>2368</v>
      </c>
      <c r="Q3162" s="198" t="s">
        <v>2272</v>
      </c>
      <c r="R3162" s="21" t="s">
        <v>2370</v>
      </c>
      <c r="S3162" s="198" t="s">
        <v>2272</v>
      </c>
      <c r="T3162" s="198" t="s">
        <v>2272</v>
      </c>
      <c r="U3162" s="198" t="s">
        <v>2272</v>
      </c>
      <c r="V3162" s="198" t="s">
        <v>2272</v>
      </c>
      <c r="W3162" s="198" t="s">
        <v>2272</v>
      </c>
      <c r="X3162" s="198" t="s">
        <v>2272</v>
      </c>
      <c r="Y3162" s="198" t="s">
        <v>2272</v>
      </c>
      <c r="Z3162" s="198" t="s">
        <v>2272</v>
      </c>
      <c r="AA3162" s="198" t="s">
        <v>2272</v>
      </c>
      <c r="AB3162" s="198"/>
      <c r="AC3162" s="4" t="s">
        <v>8360</v>
      </c>
    </row>
    <row r="3163" spans="1:29" ht="48" customHeight="1">
      <c r="A3163" s="151" t="str">
        <f>'Reported burning'!A3163</f>
        <v>338d</v>
      </c>
      <c r="B3163" s="151" t="str">
        <f>'Reported burning'!B3163</f>
        <v>338d.8</v>
      </c>
      <c r="C3163" s="151" t="str">
        <f>'Reported burning'!C3163</f>
        <v>Human, deliberate</v>
      </c>
      <c r="D3163" s="151" t="str">
        <f>'Reported burning'!D3163</f>
        <v>All</v>
      </c>
      <c r="E3163" s="151" t="str">
        <f>'Reported burning'!E3163</f>
        <v>Mixed cropping-livestock small holder, Subsistence-oriented</v>
      </c>
      <c r="F3163" s="151" t="str">
        <f>'Reported burning'!F3163</f>
        <v>Cropland</v>
      </c>
      <c r="G3163" s="151" t="str">
        <f>'Reported burning'!G3163</f>
        <v>Cropland</v>
      </c>
      <c r="H3163" s="151" t="str">
        <f>'Reported burning'!H3163</f>
        <v>Presence</v>
      </c>
      <c r="I3163" s="5"/>
      <c r="J3163" s="198" t="s">
        <v>2272</v>
      </c>
      <c r="K3163" s="198" t="s">
        <v>2272</v>
      </c>
      <c r="L3163" s="98" t="s">
        <v>2358</v>
      </c>
      <c r="M3163" s="198" t="s">
        <v>2272</v>
      </c>
      <c r="N3163" s="198" t="s">
        <v>2272</v>
      </c>
      <c r="O3163" s="198" t="s">
        <v>2272</v>
      </c>
      <c r="P3163" s="21" t="s">
        <v>2368</v>
      </c>
      <c r="Q3163" s="198" t="s">
        <v>2272</v>
      </c>
      <c r="R3163" s="21" t="s">
        <v>2370</v>
      </c>
      <c r="S3163" s="198" t="s">
        <v>2272</v>
      </c>
      <c r="T3163" s="198" t="s">
        <v>2272</v>
      </c>
      <c r="U3163" s="198" t="s">
        <v>2272</v>
      </c>
      <c r="V3163" s="198" t="s">
        <v>2272</v>
      </c>
      <c r="W3163" s="198" t="s">
        <v>2272</v>
      </c>
      <c r="X3163" s="198" t="s">
        <v>2272</v>
      </c>
      <c r="Y3163" s="198" t="s">
        <v>2272</v>
      </c>
      <c r="Z3163" s="198" t="s">
        <v>2272</v>
      </c>
      <c r="AA3163" s="198" t="s">
        <v>2272</v>
      </c>
      <c r="AB3163" s="198"/>
      <c r="AC3163" s="4" t="s">
        <v>8360</v>
      </c>
    </row>
    <row r="3164" spans="1:29" ht="48" customHeight="1">
      <c r="A3164" s="151" t="str">
        <f>'Reported burning'!A3164</f>
        <v>338a</v>
      </c>
      <c r="B3164" s="151" t="str">
        <f>'Reported burning'!B3164</f>
        <v>338a.7</v>
      </c>
      <c r="C3164" s="151" t="str">
        <f>'Reported burning'!C3164</f>
        <v>Human, deliberate</v>
      </c>
      <c r="D3164" s="151" t="str">
        <f>'Reported burning'!D3164</f>
        <v>All</v>
      </c>
      <c r="E3164" s="151" t="str">
        <f>'Reported burning'!E3164</f>
        <v>Mixed cropping-livestock small holder, Subsistence-oriented</v>
      </c>
      <c r="F3164" s="151" t="str">
        <f>'Reported burning'!F3164</f>
        <v>Shrubland (Mixed forest &amp; grassland)</v>
      </c>
      <c r="G3164" s="151" t="str">
        <f>'Reported burning'!G3164</f>
        <v>Shrubland (Mixed forest &amp; grassland)</v>
      </c>
      <c r="H3164" s="151" t="str">
        <f>'Reported burning'!H3164</f>
        <v>Presence</v>
      </c>
      <c r="I3164" s="5"/>
      <c r="J3164" s="198" t="s">
        <v>2272</v>
      </c>
      <c r="K3164" s="198" t="s">
        <v>2272</v>
      </c>
      <c r="L3164" s="98" t="s">
        <v>2358</v>
      </c>
      <c r="M3164" s="198" t="s">
        <v>2272</v>
      </c>
      <c r="N3164" s="198" t="s">
        <v>2272</v>
      </c>
      <c r="O3164" s="198" t="s">
        <v>2272</v>
      </c>
      <c r="P3164" s="21" t="s">
        <v>2368</v>
      </c>
      <c r="Q3164" s="198" t="s">
        <v>2272</v>
      </c>
      <c r="R3164" s="21" t="s">
        <v>2370</v>
      </c>
      <c r="S3164" s="198" t="s">
        <v>2272</v>
      </c>
      <c r="T3164" s="198" t="s">
        <v>2272</v>
      </c>
      <c r="U3164" s="198" t="s">
        <v>2272</v>
      </c>
      <c r="V3164" s="198" t="s">
        <v>2272</v>
      </c>
      <c r="W3164" s="198" t="s">
        <v>2272</v>
      </c>
      <c r="X3164" s="198" t="s">
        <v>2272</v>
      </c>
      <c r="Y3164" s="198" t="s">
        <v>2272</v>
      </c>
      <c r="Z3164" s="198" t="s">
        <v>2272</v>
      </c>
      <c r="AA3164" s="198" t="s">
        <v>2272</v>
      </c>
      <c r="AB3164" s="198"/>
      <c r="AC3164" s="4" t="s">
        <v>8359</v>
      </c>
    </row>
    <row r="3165" spans="1:29" ht="48" customHeight="1">
      <c r="A3165" s="151" t="str">
        <f>'Reported burning'!A3165</f>
        <v>338b</v>
      </c>
      <c r="B3165" s="151" t="str">
        <f>'Reported burning'!B3165</f>
        <v>338b.8</v>
      </c>
      <c r="C3165" s="151" t="str">
        <f>'Reported burning'!C3165</f>
        <v>Human, deliberate</v>
      </c>
      <c r="D3165" s="151" t="str">
        <f>'Reported burning'!D3165</f>
        <v>All</v>
      </c>
      <c r="E3165" s="151" t="str">
        <f>'Reported burning'!E3165</f>
        <v>Mixed cropping-livestock small holder, Subsistence-oriented</v>
      </c>
      <c r="F3165" s="151" t="str">
        <f>'Reported burning'!F3165</f>
        <v>Shrubland (Mixed forest &amp; grassland)</v>
      </c>
      <c r="G3165" s="151" t="str">
        <f>'Reported burning'!G3165</f>
        <v>Shrubland (Mixed forest &amp; grassland)</v>
      </c>
      <c r="H3165" s="151" t="str">
        <f>'Reported burning'!H3165</f>
        <v>Presence</v>
      </c>
      <c r="I3165" s="5"/>
      <c r="J3165" s="198" t="s">
        <v>2272</v>
      </c>
      <c r="K3165" s="198" t="s">
        <v>2272</v>
      </c>
      <c r="L3165" s="98" t="s">
        <v>2358</v>
      </c>
      <c r="M3165" s="198" t="s">
        <v>2272</v>
      </c>
      <c r="N3165" s="198" t="s">
        <v>2272</v>
      </c>
      <c r="O3165" s="198" t="s">
        <v>2272</v>
      </c>
      <c r="P3165" s="21" t="s">
        <v>2368</v>
      </c>
      <c r="Q3165" s="198" t="s">
        <v>2272</v>
      </c>
      <c r="R3165" s="21" t="s">
        <v>2370</v>
      </c>
      <c r="S3165" s="198" t="s">
        <v>2272</v>
      </c>
      <c r="T3165" s="198" t="s">
        <v>2272</v>
      </c>
      <c r="U3165" s="198" t="s">
        <v>2272</v>
      </c>
      <c r="V3165" s="198" t="s">
        <v>2272</v>
      </c>
      <c r="W3165" s="198" t="s">
        <v>2272</v>
      </c>
      <c r="X3165" s="198" t="s">
        <v>2272</v>
      </c>
      <c r="Y3165" s="198" t="s">
        <v>2272</v>
      </c>
      <c r="Z3165" s="198" t="s">
        <v>2272</v>
      </c>
      <c r="AA3165" s="198" t="s">
        <v>2272</v>
      </c>
      <c r="AB3165" s="198"/>
      <c r="AC3165" s="4" t="s">
        <v>8359</v>
      </c>
    </row>
    <row r="3166" spans="1:29" ht="48" customHeight="1">
      <c r="A3166" s="151" t="str">
        <f>'Reported burning'!A3166</f>
        <v>338c</v>
      </c>
      <c r="B3166" s="151" t="str">
        <f>'Reported burning'!B3166</f>
        <v>338c.10</v>
      </c>
      <c r="C3166" s="151" t="str">
        <f>'Reported burning'!C3166</f>
        <v>Human, deliberate</v>
      </c>
      <c r="D3166" s="151" t="str">
        <f>'Reported burning'!D3166</f>
        <v>All</v>
      </c>
      <c r="E3166" s="151" t="str">
        <f>'Reported burning'!E3166</f>
        <v>Mixed cropping-livestock small holder, Subsistence-oriented</v>
      </c>
      <c r="F3166" s="151" t="str">
        <f>'Reported burning'!F3166</f>
        <v>Shrubland (Mixed forest &amp; grassland)</v>
      </c>
      <c r="G3166" s="151" t="str">
        <f>'Reported burning'!G3166</f>
        <v>Shrubland (Mixed forest &amp; grassland)</v>
      </c>
      <c r="H3166" s="151" t="str">
        <f>'Reported burning'!H3166</f>
        <v>Presence</v>
      </c>
      <c r="I3166" s="5"/>
      <c r="J3166" s="198" t="s">
        <v>2272</v>
      </c>
      <c r="K3166" s="198" t="s">
        <v>2272</v>
      </c>
      <c r="L3166" s="98" t="s">
        <v>2358</v>
      </c>
      <c r="M3166" s="198" t="s">
        <v>2272</v>
      </c>
      <c r="N3166" s="198" t="s">
        <v>2272</v>
      </c>
      <c r="O3166" s="198" t="s">
        <v>2272</v>
      </c>
      <c r="P3166" s="21" t="s">
        <v>2368</v>
      </c>
      <c r="Q3166" s="198" t="s">
        <v>2272</v>
      </c>
      <c r="R3166" s="21" t="s">
        <v>2370</v>
      </c>
      <c r="S3166" s="198" t="s">
        <v>2272</v>
      </c>
      <c r="T3166" s="198" t="s">
        <v>2272</v>
      </c>
      <c r="U3166" s="198" t="s">
        <v>2272</v>
      </c>
      <c r="V3166" s="198" t="s">
        <v>2272</v>
      </c>
      <c r="W3166" s="198" t="s">
        <v>2272</v>
      </c>
      <c r="X3166" s="198" t="s">
        <v>2272</v>
      </c>
      <c r="Y3166" s="198" t="s">
        <v>2272</v>
      </c>
      <c r="Z3166" s="198" t="s">
        <v>2272</v>
      </c>
      <c r="AA3166" s="198" t="s">
        <v>2272</v>
      </c>
      <c r="AB3166" s="198"/>
      <c r="AC3166" s="4" t="s">
        <v>8359</v>
      </c>
    </row>
    <row r="3167" spans="1:29" ht="48" customHeight="1">
      <c r="A3167" s="151" t="str">
        <f>'Reported burning'!A3167</f>
        <v>338d</v>
      </c>
      <c r="B3167" s="151" t="str">
        <f>'Reported burning'!B3167</f>
        <v>338d.9</v>
      </c>
      <c r="C3167" s="151" t="str">
        <f>'Reported burning'!C3167</f>
        <v>Human, deliberate</v>
      </c>
      <c r="D3167" s="151" t="str">
        <f>'Reported burning'!D3167</f>
        <v>All</v>
      </c>
      <c r="E3167" s="151" t="str">
        <f>'Reported burning'!E3167</f>
        <v>Mixed cropping-livestock small holder, Subsistence-oriented</v>
      </c>
      <c r="F3167" s="151" t="str">
        <f>'Reported burning'!F3167</f>
        <v>Shrubland (Mixed forest &amp; grassland)</v>
      </c>
      <c r="G3167" s="151" t="str">
        <f>'Reported burning'!G3167</f>
        <v>Shrubland (Mixed forest &amp; grassland)</v>
      </c>
      <c r="H3167" s="151" t="str">
        <f>'Reported burning'!H3167</f>
        <v>Presence</v>
      </c>
      <c r="I3167" s="5"/>
      <c r="J3167" s="198" t="s">
        <v>2272</v>
      </c>
      <c r="K3167" s="198" t="s">
        <v>2272</v>
      </c>
      <c r="L3167" s="98" t="s">
        <v>2358</v>
      </c>
      <c r="M3167" s="198" t="s">
        <v>2272</v>
      </c>
      <c r="N3167" s="198" t="s">
        <v>2272</v>
      </c>
      <c r="O3167" s="198" t="s">
        <v>2272</v>
      </c>
      <c r="P3167" s="21" t="s">
        <v>2368</v>
      </c>
      <c r="Q3167" s="198" t="s">
        <v>2272</v>
      </c>
      <c r="R3167" s="21" t="s">
        <v>2370</v>
      </c>
      <c r="S3167" s="198" t="s">
        <v>2272</v>
      </c>
      <c r="T3167" s="198" t="s">
        <v>2272</v>
      </c>
      <c r="U3167" s="198" t="s">
        <v>2272</v>
      </c>
      <c r="V3167" s="198" t="s">
        <v>2272</v>
      </c>
      <c r="W3167" s="198" t="s">
        <v>2272</v>
      </c>
      <c r="X3167" s="198" t="s">
        <v>2272</v>
      </c>
      <c r="Y3167" s="198" t="s">
        <v>2272</v>
      </c>
      <c r="Z3167" s="198" t="s">
        <v>2272</v>
      </c>
      <c r="AA3167" s="198" t="s">
        <v>2272</v>
      </c>
      <c r="AB3167" s="198"/>
      <c r="AC3167" s="4" t="s">
        <v>8359</v>
      </c>
    </row>
    <row r="3168" spans="1:29" ht="48" customHeight="1">
      <c r="A3168" s="151" t="str">
        <f>'Reported burning'!A3168</f>
        <v>338a</v>
      </c>
      <c r="B3168" s="151" t="str">
        <f>'Reported burning'!B3168</f>
        <v>338a.8</v>
      </c>
      <c r="C3168" s="151" t="str">
        <f>'Reported burning'!C3168</f>
        <v>Human, deliberate</v>
      </c>
      <c r="D3168" s="151" t="str">
        <f>'Reported burning'!D3168</f>
        <v>All</v>
      </c>
      <c r="E3168" s="151" t="str">
        <f>'Reported burning'!E3168</f>
        <v>Mixed cropping-livestock small holder, Subsistence-oriented</v>
      </c>
      <c r="F3168" s="151" t="str">
        <f>'Reported burning'!F3168</f>
        <v>ND</v>
      </c>
      <c r="G3168" s="151" t="str">
        <f>'Reported burning'!G3168</f>
        <v>ND</v>
      </c>
      <c r="H3168" s="151" t="str">
        <f>'Reported burning'!H3168</f>
        <v>Presence</v>
      </c>
      <c r="I3168" s="5"/>
      <c r="J3168" s="198" t="s">
        <v>2272</v>
      </c>
      <c r="K3168" s="198" t="s">
        <v>2366</v>
      </c>
      <c r="L3168" s="98" t="s">
        <v>2358</v>
      </c>
      <c r="M3168" s="198" t="s">
        <v>2272</v>
      </c>
      <c r="N3168" s="198" t="s">
        <v>2272</v>
      </c>
      <c r="O3168" s="198" t="s">
        <v>2272</v>
      </c>
      <c r="P3168" s="21" t="s">
        <v>2368</v>
      </c>
      <c r="Q3168" s="198" t="s">
        <v>2272</v>
      </c>
      <c r="R3168" s="21" t="s">
        <v>2370</v>
      </c>
      <c r="S3168" s="198" t="s">
        <v>2272</v>
      </c>
      <c r="T3168" s="198" t="s">
        <v>2272</v>
      </c>
      <c r="U3168" s="198" t="s">
        <v>2272</v>
      </c>
      <c r="V3168" s="198" t="s">
        <v>2272</v>
      </c>
      <c r="W3168" s="198" t="s">
        <v>2272</v>
      </c>
      <c r="X3168" s="21" t="s">
        <v>2397</v>
      </c>
      <c r="Y3168" s="198" t="s">
        <v>33</v>
      </c>
      <c r="Z3168" s="198" t="s">
        <v>34</v>
      </c>
      <c r="AA3168" s="198" t="s">
        <v>63</v>
      </c>
      <c r="AB3168" s="198"/>
      <c r="AC3168" s="4" t="s">
        <v>8365</v>
      </c>
    </row>
    <row r="3169" spans="1:29" ht="48" customHeight="1">
      <c r="A3169" s="151" t="str">
        <f>'Reported burning'!A3169</f>
        <v>338b</v>
      </c>
      <c r="B3169" s="151" t="str">
        <f>'Reported burning'!B3169</f>
        <v>338b.9</v>
      </c>
      <c r="C3169" s="151" t="str">
        <f>'Reported burning'!C3169</f>
        <v>Human, deliberate</v>
      </c>
      <c r="D3169" s="151" t="str">
        <f>'Reported burning'!D3169</f>
        <v>All</v>
      </c>
      <c r="E3169" s="151" t="str">
        <f>'Reported burning'!E3169</f>
        <v>Mixed cropping-livestock small holder, Subsistence-oriented</v>
      </c>
      <c r="F3169" s="151" t="str">
        <f>'Reported burning'!F3169</f>
        <v>ND</v>
      </c>
      <c r="G3169" s="151" t="str">
        <f>'Reported burning'!G3169</f>
        <v>ND</v>
      </c>
      <c r="H3169" s="151" t="str">
        <f>'Reported burning'!H3169</f>
        <v>Presence</v>
      </c>
      <c r="I3169" s="5"/>
      <c r="J3169" s="198" t="s">
        <v>2272</v>
      </c>
      <c r="K3169" s="198" t="s">
        <v>2366</v>
      </c>
      <c r="L3169" s="98" t="s">
        <v>2358</v>
      </c>
      <c r="M3169" s="198" t="s">
        <v>2272</v>
      </c>
      <c r="N3169" s="198" t="s">
        <v>2272</v>
      </c>
      <c r="O3169" s="198" t="s">
        <v>2272</v>
      </c>
      <c r="P3169" s="21" t="s">
        <v>2368</v>
      </c>
      <c r="Q3169" s="198" t="s">
        <v>2272</v>
      </c>
      <c r="R3169" s="21" t="s">
        <v>2370</v>
      </c>
      <c r="S3169" s="198" t="s">
        <v>2272</v>
      </c>
      <c r="T3169" s="198" t="s">
        <v>2272</v>
      </c>
      <c r="U3169" s="198" t="s">
        <v>2272</v>
      </c>
      <c r="V3169" s="198" t="s">
        <v>2272</v>
      </c>
      <c r="W3169" s="198" t="s">
        <v>2272</v>
      </c>
      <c r="X3169" s="21" t="s">
        <v>2398</v>
      </c>
      <c r="Y3169" s="198" t="s">
        <v>33</v>
      </c>
      <c r="Z3169" s="198" t="s">
        <v>34</v>
      </c>
      <c r="AA3169" s="198" t="s">
        <v>63</v>
      </c>
      <c r="AB3169" s="198"/>
      <c r="AC3169" s="4" t="s">
        <v>8365</v>
      </c>
    </row>
    <row r="3170" spans="1:29" ht="48" customHeight="1">
      <c r="A3170" s="151" t="str">
        <f>'Reported burning'!A3170</f>
        <v>338c</v>
      </c>
      <c r="B3170" s="151" t="str">
        <f>'Reported burning'!B3170</f>
        <v>338c.11</v>
      </c>
      <c r="C3170" s="151" t="str">
        <f>'Reported burning'!C3170</f>
        <v>Human, deliberate</v>
      </c>
      <c r="D3170" s="151" t="str">
        <f>'Reported burning'!D3170</f>
        <v>All</v>
      </c>
      <c r="E3170" s="151" t="str">
        <f>'Reported burning'!E3170</f>
        <v>Mixed cropping-livestock small holder, Subsistence-oriented</v>
      </c>
      <c r="F3170" s="151" t="str">
        <f>'Reported burning'!F3170</f>
        <v>ND</v>
      </c>
      <c r="G3170" s="151" t="str">
        <f>'Reported burning'!G3170</f>
        <v>ND</v>
      </c>
      <c r="H3170" s="151" t="str">
        <f>'Reported burning'!H3170</f>
        <v>Presence</v>
      </c>
      <c r="I3170" s="5"/>
      <c r="J3170" s="198" t="s">
        <v>2272</v>
      </c>
      <c r="K3170" s="198" t="s">
        <v>2368</v>
      </c>
      <c r="L3170" s="98" t="s">
        <v>2358</v>
      </c>
      <c r="M3170" s="198" t="s">
        <v>2272</v>
      </c>
      <c r="N3170" s="198" t="s">
        <v>2272</v>
      </c>
      <c r="O3170" s="198" t="s">
        <v>2272</v>
      </c>
      <c r="P3170" s="21" t="s">
        <v>2368</v>
      </c>
      <c r="Q3170" s="198" t="s">
        <v>2272</v>
      </c>
      <c r="R3170" s="21" t="s">
        <v>2370</v>
      </c>
      <c r="S3170" s="198" t="s">
        <v>2272</v>
      </c>
      <c r="T3170" s="198" t="s">
        <v>2272</v>
      </c>
      <c r="U3170" s="198" t="s">
        <v>2272</v>
      </c>
      <c r="V3170" s="198" t="s">
        <v>2272</v>
      </c>
      <c r="W3170" s="198" t="s">
        <v>2272</v>
      </c>
      <c r="X3170" s="21" t="s">
        <v>2399</v>
      </c>
      <c r="Y3170" s="198" t="s">
        <v>84</v>
      </c>
      <c r="Z3170" s="198" t="s">
        <v>125</v>
      </c>
      <c r="AA3170" s="198" t="s">
        <v>63</v>
      </c>
      <c r="AB3170" s="198"/>
      <c r="AC3170" s="4" t="s">
        <v>8366</v>
      </c>
    </row>
    <row r="3171" spans="1:29" ht="48" customHeight="1">
      <c r="A3171" s="151" t="str">
        <f>'Reported burning'!A3171</f>
        <v>338d</v>
      </c>
      <c r="B3171" s="151" t="str">
        <f>'Reported burning'!B3171</f>
        <v>338d.10</v>
      </c>
      <c r="C3171" s="151" t="str">
        <f>'Reported burning'!C3171</f>
        <v>Human, deliberate</v>
      </c>
      <c r="D3171" s="151" t="str">
        <f>'Reported burning'!D3171</f>
        <v>All</v>
      </c>
      <c r="E3171" s="151" t="str">
        <f>'Reported burning'!E3171</f>
        <v>Mixed cropping-livestock small holder, Subsistence-oriented</v>
      </c>
      <c r="F3171" s="151" t="str">
        <f>'Reported burning'!F3171</f>
        <v>ND</v>
      </c>
      <c r="G3171" s="151" t="str">
        <f>'Reported burning'!G3171</f>
        <v>ND</v>
      </c>
      <c r="H3171" s="151" t="str">
        <f>'Reported burning'!H3171</f>
        <v>Presence</v>
      </c>
      <c r="I3171" s="5"/>
      <c r="J3171" s="198" t="s">
        <v>2272</v>
      </c>
      <c r="K3171" s="198" t="s">
        <v>2368</v>
      </c>
      <c r="L3171" s="98" t="s">
        <v>2358</v>
      </c>
      <c r="M3171" s="198" t="s">
        <v>2272</v>
      </c>
      <c r="N3171" s="198" t="s">
        <v>2272</v>
      </c>
      <c r="O3171" s="198" t="s">
        <v>2272</v>
      </c>
      <c r="P3171" s="21" t="s">
        <v>2368</v>
      </c>
      <c r="Q3171" s="198" t="s">
        <v>2272</v>
      </c>
      <c r="R3171" s="21" t="s">
        <v>2370</v>
      </c>
      <c r="S3171" s="198" t="s">
        <v>2272</v>
      </c>
      <c r="T3171" s="198" t="s">
        <v>2272</v>
      </c>
      <c r="U3171" s="198" t="s">
        <v>2272</v>
      </c>
      <c r="V3171" s="198" t="s">
        <v>2272</v>
      </c>
      <c r="W3171" s="198" t="s">
        <v>2272</v>
      </c>
      <c r="X3171" s="21" t="s">
        <v>2397</v>
      </c>
      <c r="Y3171" s="198" t="s">
        <v>84</v>
      </c>
      <c r="Z3171" s="198" t="s">
        <v>125</v>
      </c>
      <c r="AA3171" s="198" t="s">
        <v>63</v>
      </c>
      <c r="AB3171" s="198"/>
      <c r="AC3171" s="4" t="s">
        <v>8366</v>
      </c>
    </row>
    <row r="3172" spans="1:29" ht="48" customHeight="1">
      <c r="A3172" s="151" t="str">
        <f>'Reported burning'!A3172</f>
        <v>338a</v>
      </c>
      <c r="B3172" s="151" t="str">
        <f>'Reported burning'!B3172</f>
        <v>338a.9</v>
      </c>
      <c r="C3172" s="151" t="str">
        <f>'Reported burning'!C3172</f>
        <v>Human, escaped</v>
      </c>
      <c r="D3172" s="151" t="str">
        <f>'Reported burning'!D3172</f>
        <v>All</v>
      </c>
      <c r="E3172" s="151" t="str">
        <f>'Reported burning'!E3172</f>
        <v>Mixed cropping-livestock small holder, Subsistence-oriented</v>
      </c>
      <c r="F3172" s="151" t="str">
        <f>'Reported burning'!F3172</f>
        <v>Shrubland (Mixed forest &amp; grassland)</v>
      </c>
      <c r="G3172" s="151" t="str">
        <f>'Reported burning'!G3172</f>
        <v>Forest</v>
      </c>
      <c r="H3172" s="151" t="str">
        <f>'Reported burning'!H3172</f>
        <v>Presence</v>
      </c>
      <c r="I3172" s="5"/>
      <c r="J3172" s="198" t="s">
        <v>2272</v>
      </c>
      <c r="K3172" s="198" t="s">
        <v>2272</v>
      </c>
      <c r="L3172" s="198" t="s">
        <v>2272</v>
      </c>
      <c r="M3172" s="198" t="s">
        <v>2272</v>
      </c>
      <c r="N3172" s="198" t="s">
        <v>2272</v>
      </c>
      <c r="O3172" s="198" t="s">
        <v>2272</v>
      </c>
      <c r="P3172" s="198" t="s">
        <v>2272</v>
      </c>
      <c r="Q3172" s="198" t="s">
        <v>2272</v>
      </c>
      <c r="R3172" s="198" t="s">
        <v>2272</v>
      </c>
      <c r="S3172" s="198" t="s">
        <v>2272</v>
      </c>
      <c r="T3172" s="198" t="s">
        <v>2272</v>
      </c>
      <c r="U3172" s="198" t="s">
        <v>2272</v>
      </c>
      <c r="V3172" s="198" t="s">
        <v>2272</v>
      </c>
      <c r="W3172" s="198" t="s">
        <v>2272</v>
      </c>
      <c r="X3172" s="198" t="s">
        <v>2272</v>
      </c>
      <c r="Y3172" s="198" t="s">
        <v>2272</v>
      </c>
      <c r="Z3172" s="198" t="s">
        <v>2272</v>
      </c>
      <c r="AA3172" s="198" t="s">
        <v>2272</v>
      </c>
      <c r="AB3172" s="198"/>
      <c r="AC3172" s="198"/>
    </row>
    <row r="3173" spans="1:29" ht="56.5" customHeight="1">
      <c r="A3173" s="151" t="str">
        <f>'Reported burning'!A3173</f>
        <v>338b</v>
      </c>
      <c r="B3173" s="151" t="str">
        <f>'Reported burning'!B3173</f>
        <v>338b.10</v>
      </c>
      <c r="C3173" s="151" t="str">
        <f>'Reported burning'!C3173</f>
        <v>Human, escaped</v>
      </c>
      <c r="D3173" s="151" t="str">
        <f>'Reported burning'!D3173</f>
        <v>All</v>
      </c>
      <c r="E3173" s="151" t="str">
        <f>'Reported burning'!E3173</f>
        <v>Mixed cropping-livestock small holder, Subsistence-oriented</v>
      </c>
      <c r="F3173" s="151" t="str">
        <f>'Reported burning'!F3173</f>
        <v>Shrubland (Mixed forest &amp; grassland)</v>
      </c>
      <c r="G3173" s="151" t="str">
        <f>'Reported burning'!G3173</f>
        <v>Forest</v>
      </c>
      <c r="H3173" s="151" t="str">
        <f>'Reported burning'!H3173</f>
        <v>Presence</v>
      </c>
      <c r="I3173" s="5"/>
      <c r="J3173" s="198" t="s">
        <v>2272</v>
      </c>
      <c r="K3173" s="198" t="s">
        <v>2272</v>
      </c>
      <c r="L3173" s="198" t="s">
        <v>2272</v>
      </c>
      <c r="M3173" s="198" t="s">
        <v>2272</v>
      </c>
      <c r="N3173" s="198" t="s">
        <v>2272</v>
      </c>
      <c r="O3173" s="198" t="s">
        <v>2272</v>
      </c>
      <c r="P3173" s="198" t="s">
        <v>2272</v>
      </c>
      <c r="Q3173" s="198" t="s">
        <v>2272</v>
      </c>
      <c r="R3173" s="198" t="s">
        <v>2272</v>
      </c>
      <c r="S3173" s="198" t="s">
        <v>2272</v>
      </c>
      <c r="T3173" s="198" t="s">
        <v>2272</v>
      </c>
      <c r="U3173" s="198" t="s">
        <v>2272</v>
      </c>
      <c r="V3173" s="198" t="s">
        <v>2272</v>
      </c>
      <c r="W3173" s="198" t="s">
        <v>2272</v>
      </c>
      <c r="X3173" s="198" t="s">
        <v>2272</v>
      </c>
      <c r="Y3173" s="198" t="s">
        <v>2272</v>
      </c>
      <c r="Z3173" s="198" t="s">
        <v>2272</v>
      </c>
      <c r="AA3173" s="198" t="s">
        <v>2272</v>
      </c>
      <c r="AB3173" s="198"/>
      <c r="AC3173" s="198"/>
    </row>
    <row r="3174" spans="1:29" ht="56.5" customHeight="1">
      <c r="A3174" s="151" t="str">
        <f>'Reported burning'!A3174</f>
        <v>338c</v>
      </c>
      <c r="B3174" s="151" t="str">
        <f>'Reported burning'!B3174</f>
        <v>338c.12</v>
      </c>
      <c r="C3174" s="151" t="str">
        <f>'Reported burning'!C3174</f>
        <v>Human, escaped</v>
      </c>
      <c r="D3174" s="151" t="str">
        <f>'Reported burning'!D3174</f>
        <v>All</v>
      </c>
      <c r="E3174" s="151" t="str">
        <f>'Reported burning'!E3174</f>
        <v>Mixed cropping-livestock small holder, Subsistence-oriented</v>
      </c>
      <c r="F3174" s="151" t="str">
        <f>'Reported burning'!F3174</f>
        <v>Shrubland (Mixed forest &amp; grassland)</v>
      </c>
      <c r="G3174" s="151" t="str">
        <f>'Reported burning'!G3174</f>
        <v>Forest</v>
      </c>
      <c r="H3174" s="151" t="str">
        <f>'Reported burning'!H3174</f>
        <v>Presence</v>
      </c>
      <c r="I3174" s="5"/>
      <c r="J3174" s="198" t="s">
        <v>2272</v>
      </c>
      <c r="K3174" s="198" t="s">
        <v>2272</v>
      </c>
      <c r="L3174" s="198" t="s">
        <v>2272</v>
      </c>
      <c r="M3174" s="198" t="s">
        <v>2272</v>
      </c>
      <c r="N3174" s="198" t="s">
        <v>2272</v>
      </c>
      <c r="O3174" s="198" t="s">
        <v>2272</v>
      </c>
      <c r="P3174" s="198" t="s">
        <v>2272</v>
      </c>
      <c r="Q3174" s="198" t="s">
        <v>2272</v>
      </c>
      <c r="R3174" s="198" t="s">
        <v>2272</v>
      </c>
      <c r="S3174" s="198" t="s">
        <v>2272</v>
      </c>
      <c r="T3174" s="198" t="s">
        <v>2272</v>
      </c>
      <c r="U3174" s="198" t="s">
        <v>2272</v>
      </c>
      <c r="V3174" s="198" t="s">
        <v>2272</v>
      </c>
      <c r="W3174" s="198" t="s">
        <v>2272</v>
      </c>
      <c r="X3174" s="198" t="s">
        <v>2272</v>
      </c>
      <c r="Y3174" s="198" t="s">
        <v>2272</v>
      </c>
      <c r="Z3174" s="198" t="s">
        <v>2272</v>
      </c>
      <c r="AA3174" s="198" t="s">
        <v>2272</v>
      </c>
      <c r="AB3174" s="198"/>
      <c r="AC3174" s="198"/>
    </row>
    <row r="3175" spans="1:29" ht="56.5" customHeight="1">
      <c r="A3175" s="151" t="str">
        <f>'Reported burning'!A3175</f>
        <v>338d</v>
      </c>
      <c r="B3175" s="151" t="str">
        <f>'Reported burning'!B3175</f>
        <v>338d.11</v>
      </c>
      <c r="C3175" s="151" t="str">
        <f>'Reported burning'!C3175</f>
        <v>Human, escaped</v>
      </c>
      <c r="D3175" s="151" t="str">
        <f>'Reported burning'!D3175</f>
        <v>All</v>
      </c>
      <c r="E3175" s="151" t="str">
        <f>'Reported burning'!E3175</f>
        <v>Mixed cropping-livestock small holder, Subsistence-oriented</v>
      </c>
      <c r="F3175" s="151" t="str">
        <f>'Reported burning'!F3175</f>
        <v>Shrubland (Mixed forest &amp; grassland)</v>
      </c>
      <c r="G3175" s="151" t="str">
        <f>'Reported burning'!G3175</f>
        <v>Forest</v>
      </c>
      <c r="H3175" s="151" t="str">
        <f>'Reported burning'!H3175</f>
        <v>Presence</v>
      </c>
      <c r="I3175" s="5"/>
      <c r="J3175" s="198" t="s">
        <v>2272</v>
      </c>
      <c r="K3175" s="198" t="s">
        <v>2272</v>
      </c>
      <c r="L3175" s="198" t="s">
        <v>2272</v>
      </c>
      <c r="M3175" s="198" t="s">
        <v>2272</v>
      </c>
      <c r="N3175" s="198" t="s">
        <v>2272</v>
      </c>
      <c r="O3175" s="198" t="s">
        <v>2272</v>
      </c>
      <c r="P3175" s="198" t="s">
        <v>2272</v>
      </c>
      <c r="Q3175" s="198" t="s">
        <v>2272</v>
      </c>
      <c r="R3175" s="198" t="s">
        <v>2272</v>
      </c>
      <c r="S3175" s="198" t="s">
        <v>2272</v>
      </c>
      <c r="T3175" s="198" t="s">
        <v>2272</v>
      </c>
      <c r="U3175" s="198" t="s">
        <v>2272</v>
      </c>
      <c r="V3175" s="198" t="s">
        <v>2272</v>
      </c>
      <c r="W3175" s="198" t="s">
        <v>2272</v>
      </c>
      <c r="X3175" s="198" t="s">
        <v>2272</v>
      </c>
      <c r="Y3175" s="198" t="s">
        <v>2272</v>
      </c>
      <c r="Z3175" s="198" t="s">
        <v>2272</v>
      </c>
      <c r="AA3175" s="198" t="s">
        <v>2272</v>
      </c>
      <c r="AB3175" s="198"/>
      <c r="AC3175" s="198"/>
    </row>
    <row r="3176" spans="1:29" ht="56.5" customHeight="1">
      <c r="A3176" s="151" t="str">
        <f>'Reported burning'!A3176</f>
        <v>339a</v>
      </c>
      <c r="B3176" s="151" t="str">
        <f>'Reported burning'!B3176</f>
        <v>339a.1</v>
      </c>
      <c r="C3176" s="151" t="str">
        <f>'Reported burning'!C3176</f>
        <v>Human, deliberate</v>
      </c>
      <c r="D3176" s="151" t="str">
        <f>'Reported burning'!D3176</f>
        <v>Crop residue burning</v>
      </c>
      <c r="E3176" s="151" t="str">
        <f>'Reported burning'!E3176</f>
        <v>Cropping, Monoculture, Market-oriented</v>
      </c>
      <c r="F3176" s="151" t="str">
        <f>'Reported burning'!F3176</f>
        <v>Cropland</v>
      </c>
      <c r="G3176" s="151" t="str">
        <f>'Reported burning'!G3176</f>
        <v>ND</v>
      </c>
      <c r="H3176" s="151" t="str">
        <f>'Reported burning'!H3176</f>
        <v>Presence</v>
      </c>
      <c r="I3176" s="5"/>
      <c r="J3176" s="198" t="s">
        <v>2272</v>
      </c>
      <c r="K3176" s="198" t="s">
        <v>2272</v>
      </c>
      <c r="L3176" s="198" t="s">
        <v>2272</v>
      </c>
      <c r="M3176" s="198" t="s">
        <v>2272</v>
      </c>
      <c r="N3176" s="198" t="s">
        <v>2272</v>
      </c>
      <c r="O3176" s="198" t="s">
        <v>2272</v>
      </c>
      <c r="P3176" s="198" t="s">
        <v>2272</v>
      </c>
      <c r="Q3176" s="198" t="s">
        <v>2272</v>
      </c>
      <c r="R3176" s="198" t="s">
        <v>2272</v>
      </c>
      <c r="S3176" s="198" t="s">
        <v>2272</v>
      </c>
      <c r="T3176" s="21" t="s">
        <v>2387</v>
      </c>
      <c r="U3176" s="198" t="s">
        <v>2272</v>
      </c>
      <c r="V3176" s="198" t="s">
        <v>2272</v>
      </c>
      <c r="W3176" s="198" t="s">
        <v>2272</v>
      </c>
      <c r="X3176" s="198" t="s">
        <v>2272</v>
      </c>
      <c r="Y3176" s="198" t="s">
        <v>2272</v>
      </c>
      <c r="Z3176" s="198" t="s">
        <v>2272</v>
      </c>
      <c r="AA3176" s="198" t="s">
        <v>2272</v>
      </c>
      <c r="AB3176" s="198"/>
      <c r="AC3176" s="198"/>
    </row>
    <row r="3177" spans="1:29" ht="56.5" customHeight="1">
      <c r="A3177" s="151" t="str">
        <f>'Reported burning'!A3177</f>
        <v>339a</v>
      </c>
      <c r="B3177" s="151" t="str">
        <f>'Reported burning'!B3177</f>
        <v>339a.2</v>
      </c>
      <c r="C3177" s="151" t="str">
        <f>'Reported burning'!C3177</f>
        <v>Human, deliberate</v>
      </c>
      <c r="D3177" s="151" t="str">
        <f>'Reported burning'!D3177</f>
        <v>Crop residue burning</v>
      </c>
      <c r="E3177" s="151" t="str">
        <f>'Reported burning'!E3177</f>
        <v>Cropping, Monoculture, Market-oriented</v>
      </c>
      <c r="F3177" s="151" t="str">
        <f>'Reported burning'!F3177</f>
        <v>Cropland</v>
      </c>
      <c r="G3177" s="151" t="str">
        <f>'Reported burning'!G3177</f>
        <v>ND</v>
      </c>
      <c r="H3177" s="151" t="str">
        <f>'Reported burning'!H3177</f>
        <v>Presence</v>
      </c>
      <c r="I3177" s="5"/>
      <c r="J3177" s="198" t="s">
        <v>2272</v>
      </c>
      <c r="K3177" s="198" t="s">
        <v>2272</v>
      </c>
      <c r="L3177" s="198" t="s">
        <v>2272</v>
      </c>
      <c r="M3177" s="198" t="s">
        <v>2272</v>
      </c>
      <c r="N3177" s="198" t="s">
        <v>2272</v>
      </c>
      <c r="O3177" s="198" t="s">
        <v>2272</v>
      </c>
      <c r="P3177" s="198" t="s">
        <v>2272</v>
      </c>
      <c r="Q3177" s="198" t="s">
        <v>2272</v>
      </c>
      <c r="R3177" s="198" t="s">
        <v>2272</v>
      </c>
      <c r="S3177" s="198" t="s">
        <v>2272</v>
      </c>
      <c r="T3177" s="21" t="s">
        <v>2371</v>
      </c>
      <c r="U3177" s="198" t="s">
        <v>2272</v>
      </c>
      <c r="V3177" s="198" t="s">
        <v>2272</v>
      </c>
      <c r="W3177" s="198" t="s">
        <v>2272</v>
      </c>
      <c r="X3177" s="198" t="s">
        <v>2272</v>
      </c>
      <c r="Y3177" s="198" t="s">
        <v>2272</v>
      </c>
      <c r="Z3177" s="198" t="s">
        <v>2272</v>
      </c>
      <c r="AA3177" s="198" t="s">
        <v>2272</v>
      </c>
      <c r="AB3177" s="198"/>
      <c r="AC3177" s="198"/>
    </row>
    <row r="3178" spans="1:29" ht="38.5" customHeight="1">
      <c r="A3178" s="151" t="str">
        <f>'Reported burning'!A3178</f>
        <v>339b</v>
      </c>
      <c r="B3178" s="151" t="str">
        <f>'Reported burning'!B3178</f>
        <v>339b.1</v>
      </c>
      <c r="C3178" s="151" t="str">
        <f>'Reported burning'!C3178</f>
        <v>Human, deliberate</v>
      </c>
      <c r="D3178" s="151" t="str">
        <f>'Reported burning'!D3178</f>
        <v>Crop residue burning</v>
      </c>
      <c r="E3178" s="151" t="str">
        <f>'Reported burning'!E3178</f>
        <v>Cropping, Monoculture, Market-oriented</v>
      </c>
      <c r="F3178" s="151" t="str">
        <f>'Reported burning'!F3178</f>
        <v>Cropland</v>
      </c>
      <c r="G3178" s="151" t="str">
        <f>'Reported burning'!G3178</f>
        <v>ND</v>
      </c>
      <c r="H3178" s="151" t="str">
        <f>'Reported burning'!H3178</f>
        <v>Presence</v>
      </c>
      <c r="I3178" s="5"/>
      <c r="J3178" s="198" t="s">
        <v>2272</v>
      </c>
      <c r="K3178" s="198" t="s">
        <v>2272</v>
      </c>
      <c r="L3178" s="198" t="s">
        <v>2272</v>
      </c>
      <c r="M3178" s="198" t="s">
        <v>2272</v>
      </c>
      <c r="N3178" s="198" t="s">
        <v>2272</v>
      </c>
      <c r="O3178" s="198" t="s">
        <v>2272</v>
      </c>
      <c r="P3178" s="198" t="s">
        <v>2272</v>
      </c>
      <c r="Q3178" s="198" t="s">
        <v>2272</v>
      </c>
      <c r="R3178" s="198" t="s">
        <v>2272</v>
      </c>
      <c r="S3178" s="198" t="s">
        <v>2272</v>
      </c>
      <c r="T3178" s="21" t="s">
        <v>2385</v>
      </c>
      <c r="U3178" s="198" t="s">
        <v>2272</v>
      </c>
      <c r="V3178" s="198" t="s">
        <v>2272</v>
      </c>
      <c r="W3178" s="198" t="s">
        <v>2272</v>
      </c>
      <c r="X3178" s="198" t="s">
        <v>2272</v>
      </c>
      <c r="Y3178" s="198" t="s">
        <v>2272</v>
      </c>
      <c r="Z3178" s="198" t="s">
        <v>2272</v>
      </c>
      <c r="AA3178" s="198" t="s">
        <v>2272</v>
      </c>
      <c r="AB3178" s="198"/>
      <c r="AC3178" s="198"/>
    </row>
    <row r="3179" spans="1:29" ht="38.5" customHeight="1">
      <c r="A3179" s="151" t="str">
        <f>'Reported burning'!A3179</f>
        <v>339b</v>
      </c>
      <c r="B3179" s="151" t="str">
        <f>'Reported burning'!B3179</f>
        <v>339b.2</v>
      </c>
      <c r="C3179" s="151" t="str">
        <f>'Reported burning'!C3179</f>
        <v>Human, deliberate</v>
      </c>
      <c r="D3179" s="151" t="str">
        <f>'Reported burning'!D3179</f>
        <v>Crop residue burning</v>
      </c>
      <c r="E3179" s="151" t="str">
        <f>'Reported burning'!E3179</f>
        <v>Cropping, Monoculture, Market-oriented</v>
      </c>
      <c r="F3179" s="151" t="str">
        <f>'Reported burning'!F3179</f>
        <v>Cropland</v>
      </c>
      <c r="G3179" s="151" t="str">
        <f>'Reported burning'!G3179</f>
        <v>ND</v>
      </c>
      <c r="H3179" s="151" t="str">
        <f>'Reported burning'!H3179</f>
        <v>Presence</v>
      </c>
      <c r="I3179" s="5"/>
      <c r="J3179" s="198" t="s">
        <v>2272</v>
      </c>
      <c r="K3179" s="198" t="s">
        <v>2272</v>
      </c>
      <c r="L3179" s="198" t="s">
        <v>2272</v>
      </c>
      <c r="M3179" s="198" t="s">
        <v>2272</v>
      </c>
      <c r="N3179" s="198" t="s">
        <v>2272</v>
      </c>
      <c r="O3179" s="198" t="s">
        <v>2272</v>
      </c>
      <c r="P3179" s="198" t="s">
        <v>2272</v>
      </c>
      <c r="Q3179" s="198" t="s">
        <v>2272</v>
      </c>
      <c r="R3179" s="198" t="s">
        <v>2272</v>
      </c>
      <c r="S3179" s="198" t="s">
        <v>2272</v>
      </c>
      <c r="T3179" s="21" t="s">
        <v>2371</v>
      </c>
      <c r="U3179" s="198" t="s">
        <v>2272</v>
      </c>
      <c r="V3179" s="198" t="s">
        <v>2272</v>
      </c>
      <c r="W3179" s="198" t="s">
        <v>2272</v>
      </c>
      <c r="X3179" s="198" t="s">
        <v>2272</v>
      </c>
      <c r="Y3179" s="198" t="s">
        <v>2272</v>
      </c>
      <c r="Z3179" s="198" t="s">
        <v>2272</v>
      </c>
      <c r="AA3179" s="198" t="s">
        <v>2272</v>
      </c>
      <c r="AB3179" s="198"/>
      <c r="AC3179" s="198"/>
    </row>
    <row r="3180" spans="1:29" ht="38.5" customHeight="1">
      <c r="A3180" s="151" t="str">
        <f>'Reported burning'!A3180</f>
        <v>339c</v>
      </c>
      <c r="B3180" s="151" t="str">
        <f>'Reported burning'!B3180</f>
        <v>339c.1</v>
      </c>
      <c r="C3180" s="151" t="str">
        <f>'Reported burning'!C3180</f>
        <v>Human, deliberate</v>
      </c>
      <c r="D3180" s="151" t="str">
        <f>'Reported burning'!D3180</f>
        <v>Crop residue burning</v>
      </c>
      <c r="E3180" s="151" t="str">
        <f>'Reported burning'!E3180</f>
        <v>Cropping, Monoculture, Market-oriented</v>
      </c>
      <c r="F3180" s="151" t="str">
        <f>'Reported burning'!F3180</f>
        <v>Cropland</v>
      </c>
      <c r="G3180" s="151" t="str">
        <f>'Reported burning'!G3180</f>
        <v>ND</v>
      </c>
      <c r="H3180" s="151" t="str">
        <f>'Reported burning'!H3180</f>
        <v>Presence</v>
      </c>
      <c r="I3180" s="5"/>
      <c r="J3180" s="198" t="s">
        <v>2272</v>
      </c>
      <c r="K3180" s="198" t="s">
        <v>2272</v>
      </c>
      <c r="L3180" s="198" t="s">
        <v>2272</v>
      </c>
      <c r="M3180" s="198" t="s">
        <v>2272</v>
      </c>
      <c r="N3180" s="198" t="s">
        <v>2272</v>
      </c>
      <c r="O3180" s="198" t="s">
        <v>2272</v>
      </c>
      <c r="P3180" s="198" t="s">
        <v>2272</v>
      </c>
      <c r="Q3180" s="198" t="s">
        <v>2272</v>
      </c>
      <c r="R3180" s="198" t="s">
        <v>2272</v>
      </c>
      <c r="S3180" s="198" t="s">
        <v>2272</v>
      </c>
      <c r="T3180" s="14" t="s">
        <v>2371</v>
      </c>
      <c r="U3180" s="198" t="s">
        <v>2272</v>
      </c>
      <c r="V3180" s="198" t="s">
        <v>2272</v>
      </c>
      <c r="W3180" s="198" t="s">
        <v>2272</v>
      </c>
      <c r="X3180" s="198" t="s">
        <v>2272</v>
      </c>
      <c r="Y3180" s="198" t="s">
        <v>2272</v>
      </c>
      <c r="Z3180" s="198" t="s">
        <v>2272</v>
      </c>
      <c r="AA3180" s="198" t="s">
        <v>2272</v>
      </c>
      <c r="AB3180" s="198"/>
      <c r="AC3180" s="198"/>
    </row>
    <row r="3181" spans="1:29" ht="36" customHeight="1">
      <c r="A3181" s="151" t="str">
        <f>'Reported burning'!A3181</f>
        <v>339c</v>
      </c>
      <c r="B3181" s="151" t="str">
        <f>'Reported burning'!B3181</f>
        <v>339c.2</v>
      </c>
      <c r="C3181" s="151" t="str">
        <f>'Reported burning'!C3181</f>
        <v>Human, deliberate</v>
      </c>
      <c r="D3181" s="151" t="str">
        <f>'Reported burning'!D3181</f>
        <v>Crop residue burning</v>
      </c>
      <c r="E3181" s="151" t="str">
        <f>'Reported burning'!E3181</f>
        <v>Cropping, Monoculture, Market-oriented</v>
      </c>
      <c r="F3181" s="151" t="str">
        <f>'Reported burning'!F3181</f>
        <v>Cropland</v>
      </c>
      <c r="G3181" s="151" t="str">
        <f>'Reported burning'!G3181</f>
        <v>ND</v>
      </c>
      <c r="H3181" s="151" t="str">
        <f>'Reported burning'!H3181</f>
        <v>Presence</v>
      </c>
      <c r="I3181" s="5"/>
      <c r="J3181" s="198" t="s">
        <v>2272</v>
      </c>
      <c r="K3181" s="198" t="s">
        <v>2272</v>
      </c>
      <c r="L3181" s="198" t="s">
        <v>2272</v>
      </c>
      <c r="M3181" s="198" t="s">
        <v>2272</v>
      </c>
      <c r="N3181" s="198" t="s">
        <v>2272</v>
      </c>
      <c r="O3181" s="198" t="s">
        <v>2272</v>
      </c>
      <c r="P3181" s="198" t="s">
        <v>2272</v>
      </c>
      <c r="Q3181" s="198" t="s">
        <v>2272</v>
      </c>
      <c r="R3181" s="198" t="s">
        <v>2272</v>
      </c>
      <c r="S3181" s="198" t="s">
        <v>2272</v>
      </c>
      <c r="T3181" s="14" t="s">
        <v>2369</v>
      </c>
      <c r="U3181" s="198" t="s">
        <v>2272</v>
      </c>
      <c r="V3181" s="198" t="s">
        <v>2272</v>
      </c>
      <c r="W3181" s="198" t="s">
        <v>2272</v>
      </c>
      <c r="X3181" s="198" t="s">
        <v>2272</v>
      </c>
      <c r="Y3181" s="198" t="s">
        <v>2272</v>
      </c>
      <c r="Z3181" s="198" t="s">
        <v>2272</v>
      </c>
      <c r="AA3181" s="198" t="s">
        <v>2272</v>
      </c>
      <c r="AB3181" s="198"/>
      <c r="AC3181" s="198"/>
    </row>
    <row r="3182" spans="1:29" ht="46.5" customHeight="1">
      <c r="A3182" s="151" t="str">
        <f>'Reported burning'!A3182</f>
        <v>339c</v>
      </c>
      <c r="B3182" s="151" t="str">
        <f>'Reported burning'!B3182</f>
        <v>339c.3</v>
      </c>
      <c r="C3182" s="151" t="str">
        <f>'Reported burning'!C3182</f>
        <v>Human, deliberate</v>
      </c>
      <c r="D3182" s="151" t="str">
        <f>'Reported burning'!D3182</f>
        <v>Crop residue burning</v>
      </c>
      <c r="E3182" s="151" t="str">
        <f>'Reported burning'!E3182</f>
        <v>Cropping, Monoculture, Subsistence-oriented</v>
      </c>
      <c r="F3182" s="151" t="str">
        <f>'Reported burning'!F3182</f>
        <v>Cropland</v>
      </c>
      <c r="G3182" s="151" t="str">
        <f>'Reported burning'!G3182</f>
        <v>ND</v>
      </c>
      <c r="H3182" s="151" t="str">
        <f>'Reported burning'!H3182</f>
        <v>Presence</v>
      </c>
      <c r="I3182" s="5"/>
      <c r="J3182" s="198" t="s">
        <v>2272</v>
      </c>
      <c r="K3182" s="198" t="s">
        <v>2272</v>
      </c>
      <c r="L3182" s="198" t="s">
        <v>2272</v>
      </c>
      <c r="M3182" s="198" t="s">
        <v>2272</v>
      </c>
      <c r="N3182" s="198" t="s">
        <v>2272</v>
      </c>
      <c r="O3182" s="198" t="s">
        <v>2272</v>
      </c>
      <c r="P3182" s="198" t="s">
        <v>2272</v>
      </c>
      <c r="Q3182" s="198" t="s">
        <v>2272</v>
      </c>
      <c r="R3182" s="198" t="s">
        <v>2272</v>
      </c>
      <c r="S3182" s="198" t="s">
        <v>2272</v>
      </c>
      <c r="T3182" s="14" t="s">
        <v>2522</v>
      </c>
      <c r="U3182" s="198" t="s">
        <v>2272</v>
      </c>
      <c r="V3182" s="198" t="s">
        <v>2272</v>
      </c>
      <c r="W3182" s="198" t="s">
        <v>2272</v>
      </c>
      <c r="X3182" s="198" t="s">
        <v>2272</v>
      </c>
      <c r="Y3182" s="198" t="s">
        <v>2272</v>
      </c>
      <c r="Z3182" s="198" t="s">
        <v>2272</v>
      </c>
      <c r="AA3182" s="198" t="s">
        <v>2272</v>
      </c>
      <c r="AB3182" s="198"/>
      <c r="AC3182" s="198"/>
    </row>
    <row r="3183" spans="1:29" ht="44" customHeight="1">
      <c r="A3183" s="151" t="str">
        <f>'Reported burning'!A3183</f>
        <v>339c</v>
      </c>
      <c r="B3183" s="151" t="str">
        <f>'Reported burning'!B3183</f>
        <v>339c.4</v>
      </c>
      <c r="C3183" s="151" t="str">
        <f>'Reported burning'!C3183</f>
        <v>Human, deliberate</v>
      </c>
      <c r="D3183" s="151" t="str">
        <f>'Reported burning'!D3183</f>
        <v>Crop residue burning</v>
      </c>
      <c r="E3183" s="151" t="str">
        <f>'Reported burning'!E3183</f>
        <v>Cropping, Monoculture, Subsistence-oriented</v>
      </c>
      <c r="F3183" s="151" t="str">
        <f>'Reported burning'!F3183</f>
        <v>Cropland</v>
      </c>
      <c r="G3183" s="151" t="str">
        <f>'Reported burning'!G3183</f>
        <v>ND</v>
      </c>
      <c r="H3183" s="151" t="str">
        <f>'Reported burning'!H3183</f>
        <v>Absence</v>
      </c>
      <c r="I3183" s="5"/>
      <c r="J3183" s="21">
        <v>0</v>
      </c>
      <c r="K3183" s="21">
        <v>0</v>
      </c>
      <c r="L3183" s="21">
        <v>0</v>
      </c>
      <c r="M3183" s="21">
        <v>0</v>
      </c>
      <c r="N3183" s="21">
        <v>0</v>
      </c>
      <c r="O3183" s="21">
        <v>0</v>
      </c>
      <c r="P3183" s="21">
        <v>0</v>
      </c>
      <c r="Q3183" s="21">
        <v>0</v>
      </c>
      <c r="R3183" s="21">
        <v>0</v>
      </c>
      <c r="S3183" s="21">
        <v>0</v>
      </c>
      <c r="T3183" s="21">
        <v>0</v>
      </c>
      <c r="U3183" s="21">
        <v>0</v>
      </c>
      <c r="V3183" s="21">
        <v>0</v>
      </c>
      <c r="W3183" s="21">
        <v>0</v>
      </c>
      <c r="X3183" s="198" t="s">
        <v>2272</v>
      </c>
      <c r="Y3183" s="198" t="s">
        <v>2272</v>
      </c>
      <c r="Z3183" s="198" t="s">
        <v>2272</v>
      </c>
      <c r="AA3183" s="198" t="s">
        <v>2272</v>
      </c>
      <c r="AB3183" s="198"/>
      <c r="AC3183" s="198"/>
    </row>
    <row r="3184" spans="1:29" ht="44" customHeight="1">
      <c r="A3184" s="151" t="str">
        <f>'Reported burning'!A3184</f>
        <v>340a</v>
      </c>
      <c r="B3184" s="151" t="str">
        <f>'Reported burning'!B3184</f>
        <v>340a.1</v>
      </c>
      <c r="C3184" s="151" t="str">
        <f>'Reported burning'!C3184</f>
        <v>Human, deliberate</v>
      </c>
      <c r="D3184" s="151" t="str">
        <f>'Reported burning'!D3184</f>
        <v>Crop residue burning</v>
      </c>
      <c r="E3184" s="151" t="str">
        <f>'Reported burning'!E3184</f>
        <v>Cropping, Intensive</v>
      </c>
      <c r="F3184" s="151" t="str">
        <f>'Reported burning'!F3184</f>
        <v>Cropland</v>
      </c>
      <c r="G3184" s="151" t="str">
        <f>'Reported burning'!G3184</f>
        <v>ND</v>
      </c>
      <c r="H3184" s="151" t="str">
        <f>'Reported burning'!H3184</f>
        <v>Presence</v>
      </c>
      <c r="I3184" s="5"/>
      <c r="J3184" s="198" t="s">
        <v>2272</v>
      </c>
      <c r="K3184" s="198" t="s">
        <v>2272</v>
      </c>
      <c r="L3184" s="198" t="s">
        <v>2272</v>
      </c>
      <c r="M3184" s="198" t="s">
        <v>2272</v>
      </c>
      <c r="N3184" s="198" t="s">
        <v>2272</v>
      </c>
      <c r="O3184" s="198" t="s">
        <v>2272</v>
      </c>
      <c r="P3184" s="198" t="s">
        <v>2272</v>
      </c>
      <c r="Q3184" s="198" t="s">
        <v>2272</v>
      </c>
      <c r="R3184" s="198" t="s">
        <v>2272</v>
      </c>
      <c r="S3184" s="198" t="s">
        <v>2272</v>
      </c>
      <c r="T3184" s="198" t="s">
        <v>2272</v>
      </c>
      <c r="U3184" s="198" t="s">
        <v>2272</v>
      </c>
      <c r="V3184" s="198" t="s">
        <v>2272</v>
      </c>
      <c r="W3184" s="198" t="s">
        <v>2272</v>
      </c>
      <c r="X3184" s="198" t="s">
        <v>2272</v>
      </c>
      <c r="Y3184" s="198" t="s">
        <v>2272</v>
      </c>
      <c r="Z3184" s="198" t="s">
        <v>2272</v>
      </c>
      <c r="AA3184" s="198" t="s">
        <v>2272</v>
      </c>
      <c r="AB3184" s="198"/>
      <c r="AC3184" s="198"/>
    </row>
    <row r="3185" spans="1:29" ht="30.5" customHeight="1">
      <c r="A3185" s="151" t="str">
        <f>'Reported burning'!A3185</f>
        <v>340a</v>
      </c>
      <c r="B3185" s="151" t="str">
        <f>'Reported burning'!B3185</f>
        <v>340a.2</v>
      </c>
      <c r="C3185" s="151" t="str">
        <f>'Reported burning'!C3185</f>
        <v>Human, deliberate</v>
      </c>
      <c r="D3185" s="151" t="str">
        <f>'Reported burning'!D3185</f>
        <v>Crop residue burning</v>
      </c>
      <c r="E3185" s="151" t="str">
        <f>'Reported burning'!E3185</f>
        <v>Cropping, Intensive</v>
      </c>
      <c r="F3185" s="151" t="str">
        <f>'Reported burning'!F3185</f>
        <v>Cropland</v>
      </c>
      <c r="G3185" s="151" t="str">
        <f>'Reported burning'!G3185</f>
        <v>ND</v>
      </c>
      <c r="H3185" s="151" t="str">
        <f>'Reported burning'!H3185</f>
        <v>Absence</v>
      </c>
      <c r="I3185" s="5"/>
      <c r="J3185" s="21">
        <v>0</v>
      </c>
      <c r="K3185" s="21">
        <v>0</v>
      </c>
      <c r="L3185" s="21">
        <v>0</v>
      </c>
      <c r="M3185" s="21">
        <v>0</v>
      </c>
      <c r="N3185" s="21">
        <v>0</v>
      </c>
      <c r="O3185" s="21">
        <v>0</v>
      </c>
      <c r="P3185" s="21">
        <v>0</v>
      </c>
      <c r="Q3185" s="21">
        <v>0</v>
      </c>
      <c r="R3185" s="21">
        <v>0</v>
      </c>
      <c r="S3185" s="21">
        <v>0</v>
      </c>
      <c r="T3185" s="21">
        <v>0</v>
      </c>
      <c r="U3185" s="21">
        <v>0</v>
      </c>
      <c r="V3185" s="21">
        <v>0</v>
      </c>
      <c r="W3185" s="21">
        <v>0</v>
      </c>
      <c r="X3185" s="198" t="s">
        <v>2272</v>
      </c>
      <c r="Y3185" s="198" t="s">
        <v>2272</v>
      </c>
      <c r="Z3185" s="198" t="s">
        <v>2272</v>
      </c>
      <c r="AA3185" s="198" t="s">
        <v>2272</v>
      </c>
      <c r="AB3185" s="198"/>
      <c r="AC3185" s="198"/>
    </row>
    <row r="3186" spans="1:29" ht="30.5" customHeight="1">
      <c r="A3186" s="147" t="str">
        <f>'Reported burning'!A3186</f>
        <v>340c</v>
      </c>
      <c r="B3186" s="147" t="str">
        <f>'Reported burning'!B3186</f>
        <v>340c.1</v>
      </c>
      <c r="C3186" s="147" t="str">
        <f>'Reported burning'!C3186</f>
        <v>Human, deliberate</v>
      </c>
      <c r="D3186" s="147" t="str">
        <f>'Reported burning'!D3186</f>
        <v>Crop residue burning</v>
      </c>
      <c r="E3186" s="147" t="str">
        <f>'Reported burning'!E3186</f>
        <v>Cropping, Intensive</v>
      </c>
      <c r="F3186" s="147" t="str">
        <f>'Reported burning'!F3186</f>
        <v>Cropland</v>
      </c>
      <c r="G3186" s="147" t="str">
        <f>'Reported burning'!G3186</f>
        <v>ND</v>
      </c>
      <c r="H3186" s="147" t="str">
        <f>'Reported burning'!H3186</f>
        <v>Presence</v>
      </c>
      <c r="I3186" s="198">
        <v>1992</v>
      </c>
      <c r="J3186" s="198" t="s">
        <v>2272</v>
      </c>
      <c r="K3186" s="198" t="s">
        <v>2272</v>
      </c>
      <c r="L3186" s="198" t="s">
        <v>2272</v>
      </c>
      <c r="M3186" s="198" t="s">
        <v>2272</v>
      </c>
      <c r="N3186" s="198" t="s">
        <v>2272</v>
      </c>
      <c r="O3186" s="198" t="s">
        <v>2272</v>
      </c>
      <c r="P3186" s="198" t="s">
        <v>2272</v>
      </c>
      <c r="Q3186" s="198" t="s">
        <v>2272</v>
      </c>
      <c r="R3186" s="198" t="s">
        <v>2272</v>
      </c>
      <c r="S3186" s="198" t="s">
        <v>2272</v>
      </c>
      <c r="T3186" s="198" t="s">
        <v>2272</v>
      </c>
      <c r="U3186" s="198" t="s">
        <v>2272</v>
      </c>
      <c r="V3186" s="198" t="s">
        <v>2272</v>
      </c>
      <c r="W3186" s="198" t="s">
        <v>2272</v>
      </c>
      <c r="X3186" s="21" t="s">
        <v>2370</v>
      </c>
      <c r="Y3186" s="198" t="s">
        <v>37</v>
      </c>
      <c r="Z3186" s="198" t="s">
        <v>34</v>
      </c>
      <c r="AA3186" s="198" t="s">
        <v>75</v>
      </c>
      <c r="AB3186" s="198"/>
      <c r="AC3186" s="198"/>
    </row>
    <row r="3187" spans="1:29" ht="29" customHeight="1">
      <c r="A3187" s="147" t="str">
        <f>'Reported burning'!A3187</f>
        <v>340c</v>
      </c>
      <c r="B3187" s="147" t="str">
        <f>'Reported burning'!B3187</f>
        <v>340c.2</v>
      </c>
      <c r="C3187" s="147" t="str">
        <f>'Reported burning'!C3187</f>
        <v>Human, deliberate</v>
      </c>
      <c r="D3187" s="147" t="str">
        <f>'Reported burning'!D3187</f>
        <v>Crop residue burning</v>
      </c>
      <c r="E3187" s="147" t="str">
        <f>'Reported burning'!E3187</f>
        <v>Cropping, Intensive</v>
      </c>
      <c r="F3187" s="147" t="str">
        <f>'Reported burning'!F3187</f>
        <v>Cropland</v>
      </c>
      <c r="G3187" s="147" t="str">
        <f>'Reported burning'!G3187</f>
        <v>ND</v>
      </c>
      <c r="H3187" s="147" t="str">
        <f>'Reported burning'!H3187</f>
        <v>Presence</v>
      </c>
      <c r="I3187" s="198">
        <v>1993</v>
      </c>
      <c r="J3187" s="198" t="s">
        <v>2272</v>
      </c>
      <c r="K3187" s="198" t="s">
        <v>2272</v>
      </c>
      <c r="L3187" s="198" t="s">
        <v>2272</v>
      </c>
      <c r="M3187" s="198" t="s">
        <v>2272</v>
      </c>
      <c r="N3187" s="198" t="s">
        <v>2272</v>
      </c>
      <c r="O3187" s="198" t="s">
        <v>2272</v>
      </c>
      <c r="P3187" s="198" t="s">
        <v>2272</v>
      </c>
      <c r="Q3187" s="198" t="s">
        <v>2272</v>
      </c>
      <c r="R3187" s="198" t="s">
        <v>2272</v>
      </c>
      <c r="S3187" s="198" t="s">
        <v>2272</v>
      </c>
      <c r="T3187" s="198" t="s">
        <v>2272</v>
      </c>
      <c r="U3187" s="198" t="s">
        <v>2272</v>
      </c>
      <c r="V3187" s="198" t="s">
        <v>2272</v>
      </c>
      <c r="W3187" s="198" t="s">
        <v>2272</v>
      </c>
      <c r="X3187" s="21" t="s">
        <v>2370</v>
      </c>
      <c r="Y3187" s="198" t="s">
        <v>37</v>
      </c>
      <c r="Z3187" s="198" t="s">
        <v>34</v>
      </c>
      <c r="AA3187" s="198" t="s">
        <v>75</v>
      </c>
      <c r="AB3187" s="198"/>
      <c r="AC3187" s="198"/>
    </row>
    <row r="3188" spans="1:29" ht="29" customHeight="1">
      <c r="A3188" s="147" t="str">
        <f>'Reported burning'!A3188</f>
        <v>340c</v>
      </c>
      <c r="B3188" s="147" t="str">
        <f>'Reported burning'!B3188</f>
        <v>340c.3</v>
      </c>
      <c r="C3188" s="147" t="str">
        <f>'Reported burning'!C3188</f>
        <v>Human, deliberate</v>
      </c>
      <c r="D3188" s="147" t="str">
        <f>'Reported burning'!D3188</f>
        <v>Crop residue burning</v>
      </c>
      <c r="E3188" s="147" t="str">
        <f>'Reported burning'!E3188</f>
        <v>Cropping, Intensive</v>
      </c>
      <c r="F3188" s="147" t="str">
        <f>'Reported burning'!F3188</f>
        <v>Cropland</v>
      </c>
      <c r="G3188" s="147" t="str">
        <f>'Reported burning'!G3188</f>
        <v>ND</v>
      </c>
      <c r="H3188" s="147" t="str">
        <f>'Reported burning'!H3188</f>
        <v>Presence</v>
      </c>
      <c r="I3188" s="198">
        <v>1994</v>
      </c>
      <c r="J3188" s="198" t="s">
        <v>2272</v>
      </c>
      <c r="K3188" s="198" t="s">
        <v>2272</v>
      </c>
      <c r="L3188" s="198" t="s">
        <v>2272</v>
      </c>
      <c r="M3188" s="198" t="s">
        <v>2272</v>
      </c>
      <c r="N3188" s="198" t="s">
        <v>2272</v>
      </c>
      <c r="O3188" s="198" t="s">
        <v>2272</v>
      </c>
      <c r="P3188" s="198" t="s">
        <v>2272</v>
      </c>
      <c r="Q3188" s="198" t="s">
        <v>2272</v>
      </c>
      <c r="R3188" s="198" t="s">
        <v>2272</v>
      </c>
      <c r="S3188" s="198" t="s">
        <v>2272</v>
      </c>
      <c r="T3188" s="198" t="s">
        <v>2272</v>
      </c>
      <c r="U3188" s="198" t="s">
        <v>2272</v>
      </c>
      <c r="V3188" s="198" t="s">
        <v>2272</v>
      </c>
      <c r="W3188" s="198" t="s">
        <v>2272</v>
      </c>
      <c r="X3188" s="21" t="s">
        <v>2370</v>
      </c>
      <c r="Y3188" s="198" t="s">
        <v>37</v>
      </c>
      <c r="Z3188" s="198" t="s">
        <v>34</v>
      </c>
      <c r="AA3188" s="198" t="s">
        <v>75</v>
      </c>
      <c r="AB3188" s="198"/>
      <c r="AC3188" s="198"/>
    </row>
    <row r="3189" spans="1:29" ht="29" customHeight="1">
      <c r="A3189" s="147" t="str">
        <f>'Reported burning'!A3189</f>
        <v>340c</v>
      </c>
      <c r="B3189" s="147" t="str">
        <f>'Reported burning'!B3189</f>
        <v>340c.4</v>
      </c>
      <c r="C3189" s="147" t="str">
        <f>'Reported burning'!C3189</f>
        <v>Human, deliberate</v>
      </c>
      <c r="D3189" s="147" t="str">
        <f>'Reported burning'!D3189</f>
        <v>Crop residue burning</v>
      </c>
      <c r="E3189" s="147" t="str">
        <f>'Reported burning'!E3189</f>
        <v>Cropping, Intensive</v>
      </c>
      <c r="F3189" s="147" t="str">
        <f>'Reported burning'!F3189</f>
        <v>Cropland</v>
      </c>
      <c r="G3189" s="147" t="str">
        <f>'Reported burning'!G3189</f>
        <v>ND</v>
      </c>
      <c r="H3189" s="147" t="str">
        <f>'Reported burning'!H3189</f>
        <v>Presence</v>
      </c>
      <c r="I3189" s="198">
        <v>1995</v>
      </c>
      <c r="J3189" s="198" t="s">
        <v>2272</v>
      </c>
      <c r="K3189" s="198" t="s">
        <v>2272</v>
      </c>
      <c r="L3189" s="198" t="s">
        <v>2272</v>
      </c>
      <c r="M3189" s="198" t="s">
        <v>2272</v>
      </c>
      <c r="N3189" s="198" t="s">
        <v>2272</v>
      </c>
      <c r="O3189" s="198" t="s">
        <v>2272</v>
      </c>
      <c r="P3189" s="198" t="s">
        <v>2272</v>
      </c>
      <c r="Q3189" s="198" t="s">
        <v>2272</v>
      </c>
      <c r="R3189" s="198" t="s">
        <v>2272</v>
      </c>
      <c r="S3189" s="198" t="s">
        <v>2272</v>
      </c>
      <c r="T3189" s="198" t="s">
        <v>2272</v>
      </c>
      <c r="U3189" s="198" t="s">
        <v>2272</v>
      </c>
      <c r="V3189" s="198" t="s">
        <v>2272</v>
      </c>
      <c r="W3189" s="198" t="s">
        <v>2272</v>
      </c>
      <c r="X3189" s="21" t="s">
        <v>2370</v>
      </c>
      <c r="Y3189" s="198" t="s">
        <v>37</v>
      </c>
      <c r="Z3189" s="198" t="s">
        <v>34</v>
      </c>
      <c r="AA3189" s="198" t="s">
        <v>75</v>
      </c>
      <c r="AB3189" s="198"/>
      <c r="AC3189" s="198"/>
    </row>
    <row r="3190" spans="1:29" ht="29" customHeight="1">
      <c r="A3190" s="147" t="str">
        <f>'Reported burning'!A3190</f>
        <v>340c</v>
      </c>
      <c r="B3190" s="147" t="str">
        <f>'Reported burning'!B3190</f>
        <v>340c.5</v>
      </c>
      <c r="C3190" s="147" t="str">
        <f>'Reported burning'!C3190</f>
        <v>Human, deliberate</v>
      </c>
      <c r="D3190" s="147" t="str">
        <f>'Reported burning'!D3190</f>
        <v>Crop residue burning</v>
      </c>
      <c r="E3190" s="147" t="str">
        <f>'Reported burning'!E3190</f>
        <v>Cropping, Intensive</v>
      </c>
      <c r="F3190" s="147" t="str">
        <f>'Reported burning'!F3190</f>
        <v>Cropland</v>
      </c>
      <c r="G3190" s="147" t="str">
        <f>'Reported burning'!G3190</f>
        <v>ND</v>
      </c>
      <c r="H3190" s="147" t="str">
        <f>'Reported burning'!H3190</f>
        <v>Presence</v>
      </c>
      <c r="I3190" s="198">
        <v>1996</v>
      </c>
      <c r="J3190" s="198" t="s">
        <v>2272</v>
      </c>
      <c r="K3190" s="198" t="s">
        <v>2272</v>
      </c>
      <c r="L3190" s="198" t="s">
        <v>2272</v>
      </c>
      <c r="M3190" s="198" t="s">
        <v>2272</v>
      </c>
      <c r="N3190" s="198" t="s">
        <v>2272</v>
      </c>
      <c r="O3190" s="198" t="s">
        <v>2272</v>
      </c>
      <c r="P3190" s="198" t="s">
        <v>2272</v>
      </c>
      <c r="Q3190" s="198" t="s">
        <v>2272</v>
      </c>
      <c r="R3190" s="198" t="s">
        <v>2272</v>
      </c>
      <c r="S3190" s="198" t="s">
        <v>2272</v>
      </c>
      <c r="T3190" s="198" t="s">
        <v>2272</v>
      </c>
      <c r="U3190" s="198" t="s">
        <v>2272</v>
      </c>
      <c r="V3190" s="198" t="s">
        <v>2272</v>
      </c>
      <c r="W3190" s="198" t="s">
        <v>2272</v>
      </c>
      <c r="X3190" s="21" t="s">
        <v>2370</v>
      </c>
      <c r="Y3190" s="198" t="s">
        <v>37</v>
      </c>
      <c r="Z3190" s="198" t="s">
        <v>34</v>
      </c>
      <c r="AA3190" s="198" t="s">
        <v>75</v>
      </c>
      <c r="AB3190" s="198"/>
      <c r="AC3190" s="198"/>
    </row>
    <row r="3191" spans="1:29" ht="29" customHeight="1">
      <c r="A3191" s="151" t="str">
        <f>'Reported burning'!A3191</f>
        <v>340c</v>
      </c>
      <c r="B3191" s="151" t="str">
        <f>'Reported burning'!B3191</f>
        <v>340c.6</v>
      </c>
      <c r="C3191" s="151" t="str">
        <f>'Reported burning'!C3191</f>
        <v>Human, deliberate</v>
      </c>
      <c r="D3191" s="151" t="str">
        <f>'Reported burning'!D3191</f>
        <v>Crop residue burning</v>
      </c>
      <c r="E3191" s="151" t="str">
        <f>'Reported burning'!E3191</f>
        <v>Cropping, Intensive</v>
      </c>
      <c r="F3191" s="151" t="str">
        <f>'Reported burning'!F3191</f>
        <v>Cropland</v>
      </c>
      <c r="G3191" s="151" t="str">
        <f>'Reported burning'!G3191</f>
        <v>ND</v>
      </c>
      <c r="H3191" s="151" t="str">
        <f>'Reported burning'!H3191</f>
        <v>Presence</v>
      </c>
      <c r="I3191" s="5"/>
      <c r="J3191" s="198" t="s">
        <v>2272</v>
      </c>
      <c r="K3191" s="198" t="s">
        <v>2272</v>
      </c>
      <c r="L3191" s="198" t="s">
        <v>2272</v>
      </c>
      <c r="M3191" s="198" t="s">
        <v>2272</v>
      </c>
      <c r="N3191" s="198" t="s">
        <v>2272</v>
      </c>
      <c r="O3191" s="198" t="s">
        <v>2272</v>
      </c>
      <c r="P3191" s="198" t="s">
        <v>2272</v>
      </c>
      <c r="Q3191" s="198" t="s">
        <v>2272</v>
      </c>
      <c r="R3191" s="198" t="s">
        <v>2272</v>
      </c>
      <c r="S3191" s="198" t="s">
        <v>2272</v>
      </c>
      <c r="T3191" s="198" t="s">
        <v>2272</v>
      </c>
      <c r="U3191" s="198" t="s">
        <v>2272</v>
      </c>
      <c r="V3191" s="198" t="s">
        <v>2272</v>
      </c>
      <c r="W3191" s="198" t="s">
        <v>2272</v>
      </c>
      <c r="X3191" s="198" t="s">
        <v>2272</v>
      </c>
      <c r="Y3191" s="198" t="s">
        <v>2272</v>
      </c>
      <c r="Z3191" s="198" t="s">
        <v>2272</v>
      </c>
      <c r="AA3191" s="198" t="s">
        <v>2272</v>
      </c>
      <c r="AB3191" s="198"/>
      <c r="AC3191" s="198"/>
    </row>
    <row r="3192" spans="1:29" ht="29" customHeight="1">
      <c r="A3192" s="151" t="str">
        <f>'Reported burning'!A3192</f>
        <v>340b</v>
      </c>
      <c r="B3192" s="151" t="str">
        <f>'Reported burning'!B3192</f>
        <v>340b.1</v>
      </c>
      <c r="C3192" s="151" t="str">
        <f>'Reported burning'!C3192</f>
        <v>Human, deliberate</v>
      </c>
      <c r="D3192" s="151" t="str">
        <f>'Reported burning'!D3192</f>
        <v>Crop residue burning</v>
      </c>
      <c r="E3192" s="151" t="str">
        <f>'Reported burning'!E3192</f>
        <v>Cropping, Intensive</v>
      </c>
      <c r="F3192" s="151" t="str">
        <f>'Reported burning'!F3192</f>
        <v>Cropland</v>
      </c>
      <c r="G3192" s="151" t="str">
        <f>'Reported burning'!G3192</f>
        <v>ND</v>
      </c>
      <c r="H3192" s="151" t="str">
        <f>'Reported burning'!H3192</f>
        <v>Presence</v>
      </c>
      <c r="I3192" s="5"/>
      <c r="J3192" s="198" t="s">
        <v>2272</v>
      </c>
      <c r="K3192" s="198" t="s">
        <v>2272</v>
      </c>
      <c r="L3192" s="198" t="s">
        <v>2272</v>
      </c>
      <c r="M3192" s="198" t="s">
        <v>2272</v>
      </c>
      <c r="N3192" s="198" t="s">
        <v>2272</v>
      </c>
      <c r="O3192" s="198" t="s">
        <v>2272</v>
      </c>
      <c r="P3192" s="198" t="s">
        <v>2272</v>
      </c>
      <c r="Q3192" s="198" t="s">
        <v>2272</v>
      </c>
      <c r="R3192" s="198" t="s">
        <v>2272</v>
      </c>
      <c r="S3192" s="198" t="s">
        <v>2272</v>
      </c>
      <c r="T3192" s="198" t="s">
        <v>2272</v>
      </c>
      <c r="U3192" s="198" t="s">
        <v>2272</v>
      </c>
      <c r="V3192" s="198" t="s">
        <v>2272</v>
      </c>
      <c r="W3192" s="198" t="s">
        <v>2272</v>
      </c>
      <c r="X3192" s="198" t="s">
        <v>2272</v>
      </c>
      <c r="Y3192" s="198" t="s">
        <v>2272</v>
      </c>
      <c r="Z3192" s="198" t="s">
        <v>2272</v>
      </c>
      <c r="AA3192" s="198" t="s">
        <v>2272</v>
      </c>
      <c r="AB3192" s="198"/>
      <c r="AC3192" s="198"/>
    </row>
    <row r="3193" spans="1:29" ht="29" customHeight="1">
      <c r="A3193" s="151" t="str">
        <f>'Reported burning'!A3193</f>
        <v>340d</v>
      </c>
      <c r="B3193" s="151" t="str">
        <f>'Reported burning'!B3193</f>
        <v>340d.1</v>
      </c>
      <c r="C3193" s="151" t="str">
        <f>'Reported burning'!C3193</f>
        <v>Human, deliberate</v>
      </c>
      <c r="D3193" s="151" t="str">
        <f>'Reported burning'!D3193</f>
        <v>Crop residue burning</v>
      </c>
      <c r="E3193" s="151" t="str">
        <f>'Reported burning'!E3193</f>
        <v>Cropping, Intensive</v>
      </c>
      <c r="F3193" s="151" t="str">
        <f>'Reported burning'!F3193</f>
        <v>Cropland</v>
      </c>
      <c r="G3193" s="151" t="str">
        <f>'Reported burning'!G3193</f>
        <v>ND</v>
      </c>
      <c r="H3193" s="151" t="str">
        <f>'Reported burning'!H3193</f>
        <v>Presence</v>
      </c>
      <c r="I3193" s="5"/>
      <c r="J3193" s="198" t="s">
        <v>2272</v>
      </c>
      <c r="K3193" s="198" t="s">
        <v>2272</v>
      </c>
      <c r="L3193" s="198" t="s">
        <v>2272</v>
      </c>
      <c r="M3193" s="198" t="s">
        <v>2272</v>
      </c>
      <c r="N3193" s="198" t="s">
        <v>2272</v>
      </c>
      <c r="O3193" s="198" t="s">
        <v>2272</v>
      </c>
      <c r="P3193" s="198" t="s">
        <v>2272</v>
      </c>
      <c r="Q3193" s="198" t="s">
        <v>2272</v>
      </c>
      <c r="R3193" s="198" t="s">
        <v>2272</v>
      </c>
      <c r="S3193" s="198" t="s">
        <v>2272</v>
      </c>
      <c r="T3193" s="198" t="s">
        <v>2272</v>
      </c>
      <c r="U3193" s="198" t="s">
        <v>2272</v>
      </c>
      <c r="V3193" s="198" t="s">
        <v>2272</v>
      </c>
      <c r="W3193" s="198" t="s">
        <v>2272</v>
      </c>
      <c r="X3193" s="198" t="s">
        <v>2272</v>
      </c>
      <c r="Y3193" s="198" t="s">
        <v>2272</v>
      </c>
      <c r="Z3193" s="198" t="s">
        <v>2272</v>
      </c>
      <c r="AA3193" s="198" t="s">
        <v>2272</v>
      </c>
      <c r="AB3193" s="198"/>
      <c r="AC3193" s="198"/>
    </row>
    <row r="3194" spans="1:29" ht="29" customHeight="1">
      <c r="A3194" s="151" t="str">
        <f>'Reported burning'!A3194</f>
        <v>341a</v>
      </c>
      <c r="B3194" s="151" t="str">
        <f>'Reported burning'!B3194</f>
        <v>341a.1</v>
      </c>
      <c r="C3194" s="151" t="str">
        <f>'Reported burning'!C3194</f>
        <v>Human, deliberate</v>
      </c>
      <c r="D3194" s="151" t="str">
        <f>'Reported burning'!D3194</f>
        <v>Crop residue burning</v>
      </c>
      <c r="E3194" s="151" t="str">
        <f>'Reported burning'!E3194</f>
        <v>Cropping, Monoculture, Subsistence-oriented</v>
      </c>
      <c r="F3194" s="151" t="str">
        <f>'Reported burning'!F3194</f>
        <v>Cropland</v>
      </c>
      <c r="G3194" s="151" t="str">
        <f>'Reported burning'!G3194</f>
        <v>ND</v>
      </c>
      <c r="H3194" s="151" t="str">
        <f>'Reported burning'!H3194</f>
        <v>Presence</v>
      </c>
      <c r="I3194" s="5"/>
      <c r="J3194" s="198" t="s">
        <v>2272</v>
      </c>
      <c r="K3194" s="198" t="s">
        <v>2272</v>
      </c>
      <c r="L3194" s="198" t="s">
        <v>2272</v>
      </c>
      <c r="M3194" s="198" t="s">
        <v>2272</v>
      </c>
      <c r="N3194" s="198" t="s">
        <v>2272</v>
      </c>
      <c r="O3194" s="198" t="s">
        <v>2272</v>
      </c>
      <c r="P3194" s="198" t="s">
        <v>2272</v>
      </c>
      <c r="Q3194" s="198" t="s">
        <v>2272</v>
      </c>
      <c r="R3194" s="198" t="s">
        <v>2272</v>
      </c>
      <c r="S3194" s="198" t="s">
        <v>2272</v>
      </c>
      <c r="T3194" s="198" t="s">
        <v>2272</v>
      </c>
      <c r="U3194" s="198" t="s">
        <v>2272</v>
      </c>
      <c r="V3194" s="198" t="s">
        <v>2272</v>
      </c>
      <c r="W3194" s="198" t="s">
        <v>2272</v>
      </c>
      <c r="X3194" s="21" t="s">
        <v>2370</v>
      </c>
      <c r="Y3194" s="198" t="s">
        <v>397</v>
      </c>
      <c r="Z3194" s="198" t="s">
        <v>187</v>
      </c>
      <c r="AA3194" s="198" t="s">
        <v>2272</v>
      </c>
      <c r="AB3194" s="198"/>
      <c r="AC3194" s="198"/>
    </row>
    <row r="3195" spans="1:29" ht="33" customHeight="1">
      <c r="A3195" s="151" t="str">
        <f>'Reported burning'!A3195</f>
        <v>341a</v>
      </c>
      <c r="B3195" s="151" t="str">
        <f>'Reported burning'!B3195</f>
        <v>341a.2</v>
      </c>
      <c r="C3195" s="151" t="str">
        <f>'Reported burning'!C3195</f>
        <v>Human, deliberate</v>
      </c>
      <c r="D3195" s="151" t="str">
        <f>'Reported burning'!D3195</f>
        <v>Crop residue burning</v>
      </c>
      <c r="E3195" s="151" t="str">
        <f>'Reported burning'!E3195</f>
        <v>Cropping, Monoculture, Subsistence-oriented</v>
      </c>
      <c r="F3195" s="151" t="str">
        <f>'Reported burning'!F3195</f>
        <v>Cropland</v>
      </c>
      <c r="G3195" s="151" t="str">
        <f>'Reported burning'!G3195</f>
        <v>ND</v>
      </c>
      <c r="H3195" s="151" t="str">
        <f>'Reported burning'!H3195</f>
        <v>Presence</v>
      </c>
      <c r="I3195" s="5"/>
      <c r="J3195" s="198" t="s">
        <v>2272</v>
      </c>
      <c r="K3195" s="198" t="s">
        <v>2272</v>
      </c>
      <c r="L3195" s="198" t="s">
        <v>2272</v>
      </c>
      <c r="M3195" s="198" t="s">
        <v>2272</v>
      </c>
      <c r="N3195" s="198" t="s">
        <v>2272</v>
      </c>
      <c r="O3195" s="198" t="s">
        <v>2272</v>
      </c>
      <c r="P3195" s="198" t="s">
        <v>2272</v>
      </c>
      <c r="Q3195" s="198" t="s">
        <v>2272</v>
      </c>
      <c r="R3195" s="198" t="s">
        <v>2272</v>
      </c>
      <c r="S3195" s="198" t="s">
        <v>2272</v>
      </c>
      <c r="T3195" s="198" t="s">
        <v>2272</v>
      </c>
      <c r="U3195" s="198" t="s">
        <v>2272</v>
      </c>
      <c r="V3195" s="198" t="s">
        <v>2272</v>
      </c>
      <c r="W3195" s="198" t="s">
        <v>2272</v>
      </c>
      <c r="X3195" s="21" t="s">
        <v>2370</v>
      </c>
      <c r="Y3195" s="198" t="s">
        <v>37</v>
      </c>
      <c r="Z3195" s="198" t="s">
        <v>84</v>
      </c>
      <c r="AA3195" s="198" t="s">
        <v>2272</v>
      </c>
      <c r="AB3195" s="198"/>
      <c r="AC3195" s="198"/>
    </row>
    <row r="3196" spans="1:29" ht="33" customHeight="1">
      <c r="A3196" s="151" t="str">
        <f>'Reported burning'!A3196</f>
        <v>341a</v>
      </c>
      <c r="B3196" s="151" t="str">
        <f>'Reported burning'!B3196</f>
        <v>341a.3</v>
      </c>
      <c r="C3196" s="151" t="str">
        <f>'Reported burning'!C3196</f>
        <v>Human, deliberate</v>
      </c>
      <c r="D3196" s="151" t="str">
        <f>'Reported burning'!D3196</f>
        <v>Crop residue burning</v>
      </c>
      <c r="E3196" s="151" t="str">
        <f>'Reported burning'!E3196</f>
        <v>Cropping, Monoculture, Market-oriented</v>
      </c>
      <c r="F3196" s="151" t="str">
        <f>'Reported burning'!F3196</f>
        <v>Cropland</v>
      </c>
      <c r="G3196" s="151" t="str">
        <f>'Reported burning'!G3196</f>
        <v>ND</v>
      </c>
      <c r="H3196" s="151" t="str">
        <f>'Reported burning'!H3196</f>
        <v>Presence</v>
      </c>
      <c r="I3196" s="5"/>
      <c r="J3196" s="198" t="s">
        <v>2272</v>
      </c>
      <c r="K3196" s="198" t="s">
        <v>2272</v>
      </c>
      <c r="L3196" s="198" t="s">
        <v>2272</v>
      </c>
      <c r="M3196" s="198" t="s">
        <v>2272</v>
      </c>
      <c r="N3196" s="198" t="s">
        <v>2272</v>
      </c>
      <c r="O3196" s="198" t="s">
        <v>2272</v>
      </c>
      <c r="P3196" s="198" t="s">
        <v>2272</v>
      </c>
      <c r="Q3196" s="198" t="s">
        <v>2272</v>
      </c>
      <c r="R3196" s="198" t="s">
        <v>2272</v>
      </c>
      <c r="S3196" s="198" t="s">
        <v>2272</v>
      </c>
      <c r="T3196" s="198" t="s">
        <v>2272</v>
      </c>
      <c r="U3196" s="198" t="s">
        <v>2272</v>
      </c>
      <c r="V3196" s="198" t="s">
        <v>2272</v>
      </c>
      <c r="W3196" s="198" t="s">
        <v>2272</v>
      </c>
      <c r="X3196" s="21" t="s">
        <v>2370</v>
      </c>
      <c r="Y3196" s="198" t="s">
        <v>67</v>
      </c>
      <c r="Z3196" s="198" t="s">
        <v>125</v>
      </c>
      <c r="AA3196" s="198" t="s">
        <v>2272</v>
      </c>
      <c r="AB3196" s="198"/>
      <c r="AC3196" s="198"/>
    </row>
    <row r="3197" spans="1:29" ht="33" customHeight="1">
      <c r="A3197" s="151" t="str">
        <f>'Reported burning'!A3197</f>
        <v>341a</v>
      </c>
      <c r="B3197" s="151" t="str">
        <f>'Reported burning'!B3197</f>
        <v>341a.4</v>
      </c>
      <c r="C3197" s="151" t="str">
        <f>'Reported burning'!C3197</f>
        <v>Human, deliberate</v>
      </c>
      <c r="D3197" s="151" t="str">
        <f>'Reported burning'!D3197</f>
        <v>Crop residue burning</v>
      </c>
      <c r="E3197" s="151" t="str">
        <f>'Reported burning'!E3197</f>
        <v>Cropping, Monoculture, Market-oriented</v>
      </c>
      <c r="F3197" s="151" t="str">
        <f>'Reported burning'!F3197</f>
        <v>Cropland</v>
      </c>
      <c r="G3197" s="151" t="str">
        <f>'Reported burning'!G3197</f>
        <v>ND</v>
      </c>
      <c r="H3197" s="151" t="str">
        <f>'Reported burning'!H3197</f>
        <v>Presence</v>
      </c>
      <c r="I3197" s="5"/>
      <c r="J3197" s="198" t="s">
        <v>2272</v>
      </c>
      <c r="K3197" s="198" t="s">
        <v>2272</v>
      </c>
      <c r="L3197" s="198" t="s">
        <v>2272</v>
      </c>
      <c r="M3197" s="198" t="s">
        <v>2272</v>
      </c>
      <c r="N3197" s="198" t="s">
        <v>2272</v>
      </c>
      <c r="O3197" s="198" t="s">
        <v>2272</v>
      </c>
      <c r="P3197" s="198" t="s">
        <v>2272</v>
      </c>
      <c r="Q3197" s="198" t="s">
        <v>2272</v>
      </c>
      <c r="R3197" s="198" t="s">
        <v>2272</v>
      </c>
      <c r="S3197" s="198" t="s">
        <v>2272</v>
      </c>
      <c r="T3197" s="198" t="s">
        <v>2272</v>
      </c>
      <c r="U3197" s="198" t="s">
        <v>2272</v>
      </c>
      <c r="V3197" s="198" t="s">
        <v>2272</v>
      </c>
      <c r="W3197" s="198" t="s">
        <v>2272</v>
      </c>
      <c r="X3197" s="21" t="s">
        <v>2370</v>
      </c>
      <c r="Y3197" s="198" t="s">
        <v>397</v>
      </c>
      <c r="Z3197" s="198" t="s">
        <v>187</v>
      </c>
      <c r="AA3197" s="198" t="s">
        <v>2272</v>
      </c>
      <c r="AB3197" s="198"/>
      <c r="AC3197" s="198"/>
    </row>
    <row r="3198" spans="1:29" ht="33" customHeight="1">
      <c r="A3198" s="151" t="str">
        <f>'Reported burning'!A3198</f>
        <v>341a</v>
      </c>
      <c r="B3198" s="151" t="str">
        <f>'Reported burning'!B3198</f>
        <v>341a.5</v>
      </c>
      <c r="C3198" s="151" t="str">
        <f>'Reported burning'!C3198</f>
        <v>Human, deliberate</v>
      </c>
      <c r="D3198" s="151" t="str">
        <f>'Reported burning'!D3198</f>
        <v>Crop residue burning</v>
      </c>
      <c r="E3198" s="151" t="str">
        <f>'Reported burning'!E3198</f>
        <v>Cropping, Monoculture, Market-oriented</v>
      </c>
      <c r="F3198" s="151" t="str">
        <f>'Reported burning'!F3198</f>
        <v>Cropland</v>
      </c>
      <c r="G3198" s="151" t="str">
        <f>'Reported burning'!G3198</f>
        <v>ND</v>
      </c>
      <c r="H3198" s="151" t="str">
        <f>'Reported burning'!H3198</f>
        <v>Presence</v>
      </c>
      <c r="I3198" s="5"/>
      <c r="J3198" s="198" t="s">
        <v>2272</v>
      </c>
      <c r="K3198" s="198" t="s">
        <v>2272</v>
      </c>
      <c r="L3198" s="198" t="s">
        <v>2272</v>
      </c>
      <c r="M3198" s="198" t="s">
        <v>2272</v>
      </c>
      <c r="N3198" s="198" t="s">
        <v>2272</v>
      </c>
      <c r="O3198" s="198" t="s">
        <v>2272</v>
      </c>
      <c r="P3198" s="198" t="s">
        <v>2272</v>
      </c>
      <c r="Q3198" s="198" t="s">
        <v>2272</v>
      </c>
      <c r="R3198" s="198" t="s">
        <v>2272</v>
      </c>
      <c r="S3198" s="198" t="s">
        <v>2272</v>
      </c>
      <c r="T3198" s="198" t="s">
        <v>2272</v>
      </c>
      <c r="U3198" s="198" t="s">
        <v>2272</v>
      </c>
      <c r="V3198" s="198" t="s">
        <v>2272</v>
      </c>
      <c r="W3198" s="198" t="s">
        <v>2272</v>
      </c>
      <c r="X3198" s="21" t="s">
        <v>2370</v>
      </c>
      <c r="Y3198" s="198" t="s">
        <v>37</v>
      </c>
      <c r="Z3198" s="198" t="s">
        <v>84</v>
      </c>
      <c r="AA3198" s="198" t="s">
        <v>2272</v>
      </c>
      <c r="AB3198" s="198"/>
      <c r="AC3198" s="198"/>
    </row>
    <row r="3199" spans="1:29" ht="33" customHeight="1">
      <c r="A3199" s="151" t="str">
        <f>'Reported burning'!A3199</f>
        <v>341a</v>
      </c>
      <c r="B3199" s="151" t="str">
        <f>'Reported burning'!B3199</f>
        <v>341a.6</v>
      </c>
      <c r="C3199" s="151" t="str">
        <f>'Reported burning'!C3199</f>
        <v>Human, deliberate</v>
      </c>
      <c r="D3199" s="151" t="str">
        <f>'Reported burning'!D3199</f>
        <v>Crop residue burning</v>
      </c>
      <c r="E3199" s="151" t="str">
        <f>'Reported burning'!E3199</f>
        <v>Cropping, Monoculture, Market-oriented</v>
      </c>
      <c r="F3199" s="151" t="str">
        <f>'Reported burning'!F3199</f>
        <v>Cropland</v>
      </c>
      <c r="G3199" s="151" t="str">
        <f>'Reported burning'!G3199</f>
        <v>ND</v>
      </c>
      <c r="H3199" s="151" t="str">
        <f>'Reported burning'!H3199</f>
        <v>Presence</v>
      </c>
      <c r="I3199" s="5"/>
      <c r="J3199" s="198" t="s">
        <v>2272</v>
      </c>
      <c r="K3199" s="198" t="s">
        <v>2272</v>
      </c>
      <c r="L3199" s="198" t="s">
        <v>2272</v>
      </c>
      <c r="M3199" s="198" t="s">
        <v>2272</v>
      </c>
      <c r="N3199" s="198" t="s">
        <v>2272</v>
      </c>
      <c r="O3199" s="198" t="s">
        <v>2272</v>
      </c>
      <c r="P3199" s="198" t="s">
        <v>2272</v>
      </c>
      <c r="Q3199" s="198" t="s">
        <v>2272</v>
      </c>
      <c r="R3199" s="198" t="s">
        <v>2272</v>
      </c>
      <c r="S3199" s="198" t="s">
        <v>2272</v>
      </c>
      <c r="T3199" s="198" t="s">
        <v>2272</v>
      </c>
      <c r="U3199" s="198" t="s">
        <v>2272</v>
      </c>
      <c r="V3199" s="198" t="s">
        <v>2272</v>
      </c>
      <c r="W3199" s="198" t="s">
        <v>2272</v>
      </c>
      <c r="X3199" s="21" t="s">
        <v>2370</v>
      </c>
      <c r="Y3199" s="198" t="s">
        <v>67</v>
      </c>
      <c r="Z3199" s="198" t="s">
        <v>125</v>
      </c>
      <c r="AA3199" s="198" t="s">
        <v>2272</v>
      </c>
      <c r="AB3199" s="198"/>
      <c r="AC3199" s="198"/>
    </row>
    <row r="3200" spans="1:29" ht="33" customHeight="1">
      <c r="A3200" s="151" t="str">
        <f>'Reported burning'!A3200</f>
        <v>341a</v>
      </c>
      <c r="B3200" s="151" t="str">
        <f>'Reported burning'!B3200</f>
        <v>341a.7</v>
      </c>
      <c r="C3200" s="151" t="str">
        <f>'Reported burning'!C3200</f>
        <v>Human, deliberate</v>
      </c>
      <c r="D3200" s="151" t="str">
        <f>'Reported burning'!D3200</f>
        <v>Crop residue burning</v>
      </c>
      <c r="E3200" s="151" t="str">
        <f>'Reported burning'!E3200</f>
        <v>Cropping, Monoculture, Market-oriented</v>
      </c>
      <c r="F3200" s="151" t="str">
        <f>'Reported burning'!F3200</f>
        <v>Cropland</v>
      </c>
      <c r="G3200" s="151" t="str">
        <f>'Reported burning'!G3200</f>
        <v>ND</v>
      </c>
      <c r="H3200" s="151" t="str">
        <f>'Reported burning'!H3200</f>
        <v>Presence</v>
      </c>
      <c r="I3200" s="5"/>
      <c r="J3200" s="198" t="s">
        <v>2272</v>
      </c>
      <c r="K3200" s="198" t="s">
        <v>2272</v>
      </c>
      <c r="L3200" s="198" t="s">
        <v>2272</v>
      </c>
      <c r="M3200" s="198" t="s">
        <v>2272</v>
      </c>
      <c r="N3200" s="198" t="s">
        <v>2272</v>
      </c>
      <c r="O3200" s="198" t="s">
        <v>2272</v>
      </c>
      <c r="P3200" s="198" t="s">
        <v>2272</v>
      </c>
      <c r="Q3200" s="198" t="s">
        <v>2272</v>
      </c>
      <c r="R3200" s="198" t="s">
        <v>2272</v>
      </c>
      <c r="S3200" s="198" t="s">
        <v>2272</v>
      </c>
      <c r="T3200" s="198" t="s">
        <v>2272</v>
      </c>
      <c r="U3200" s="198" t="s">
        <v>2272</v>
      </c>
      <c r="V3200" s="198" t="s">
        <v>2272</v>
      </c>
      <c r="W3200" s="198" t="s">
        <v>2272</v>
      </c>
      <c r="X3200" s="21" t="s">
        <v>2370</v>
      </c>
      <c r="Y3200" s="198" t="s">
        <v>397</v>
      </c>
      <c r="Z3200" s="198" t="s">
        <v>187</v>
      </c>
      <c r="AA3200" s="198" t="s">
        <v>2272</v>
      </c>
      <c r="AB3200" s="198"/>
      <c r="AC3200" s="198"/>
    </row>
    <row r="3201" spans="1:29" ht="33" customHeight="1">
      <c r="A3201" s="151" t="str">
        <f>'Reported burning'!A3201</f>
        <v>341a</v>
      </c>
      <c r="B3201" s="151" t="str">
        <f>'Reported burning'!B3201</f>
        <v>341a.8</v>
      </c>
      <c r="C3201" s="151" t="str">
        <f>'Reported burning'!C3201</f>
        <v>Human, deliberate</v>
      </c>
      <c r="D3201" s="151" t="str">
        <f>'Reported burning'!D3201</f>
        <v>Crop residue burning</v>
      </c>
      <c r="E3201" s="151" t="str">
        <f>'Reported burning'!E3201</f>
        <v>Cropping, Monoculture, Market-oriented</v>
      </c>
      <c r="F3201" s="151" t="str">
        <f>'Reported burning'!F3201</f>
        <v>Cropland</v>
      </c>
      <c r="G3201" s="151" t="str">
        <f>'Reported burning'!G3201</f>
        <v>ND</v>
      </c>
      <c r="H3201" s="151" t="str">
        <f>'Reported burning'!H3201</f>
        <v>Presence</v>
      </c>
      <c r="I3201" s="5"/>
      <c r="J3201" s="198" t="s">
        <v>2272</v>
      </c>
      <c r="K3201" s="198" t="s">
        <v>2272</v>
      </c>
      <c r="L3201" s="198" t="s">
        <v>2272</v>
      </c>
      <c r="M3201" s="198" t="s">
        <v>2272</v>
      </c>
      <c r="N3201" s="198" t="s">
        <v>2272</v>
      </c>
      <c r="O3201" s="198" t="s">
        <v>2272</v>
      </c>
      <c r="P3201" s="198" t="s">
        <v>2272</v>
      </c>
      <c r="Q3201" s="198" t="s">
        <v>2272</v>
      </c>
      <c r="R3201" s="198" t="s">
        <v>2272</v>
      </c>
      <c r="S3201" s="198" t="s">
        <v>2272</v>
      </c>
      <c r="T3201" s="198" t="s">
        <v>2272</v>
      </c>
      <c r="U3201" s="198" t="s">
        <v>2272</v>
      </c>
      <c r="V3201" s="198" t="s">
        <v>2272</v>
      </c>
      <c r="W3201" s="198" t="s">
        <v>2272</v>
      </c>
      <c r="X3201" s="21" t="s">
        <v>2370</v>
      </c>
      <c r="Y3201" s="198" t="s">
        <v>37</v>
      </c>
      <c r="Z3201" s="198" t="s">
        <v>84</v>
      </c>
      <c r="AA3201" s="198" t="s">
        <v>2272</v>
      </c>
      <c r="AB3201" s="198"/>
      <c r="AC3201" s="198"/>
    </row>
    <row r="3202" spans="1:29" ht="33" customHeight="1">
      <c r="A3202" s="151" t="str">
        <f>'Reported burning'!A3202</f>
        <v>341b</v>
      </c>
      <c r="B3202" s="151" t="str">
        <f>'Reported burning'!B3202</f>
        <v>341b.1</v>
      </c>
      <c r="C3202" s="151" t="str">
        <f>'Reported burning'!C3202</f>
        <v>Human, deliberate</v>
      </c>
      <c r="D3202" s="151" t="str">
        <f>'Reported burning'!D3202</f>
        <v>Crop residue burning</v>
      </c>
      <c r="E3202" s="151" t="str">
        <f>'Reported burning'!E3202</f>
        <v>Cropping, Monoculture, Subsistence-oriented</v>
      </c>
      <c r="F3202" s="151" t="str">
        <f>'Reported burning'!F3202</f>
        <v>Cropland</v>
      </c>
      <c r="G3202" s="151" t="str">
        <f>'Reported burning'!G3202</f>
        <v>ND</v>
      </c>
      <c r="H3202" s="151" t="str">
        <f>'Reported burning'!H3202</f>
        <v>Absence</v>
      </c>
      <c r="I3202" s="5"/>
      <c r="J3202" s="21">
        <v>0</v>
      </c>
      <c r="K3202" s="21">
        <v>0</v>
      </c>
      <c r="L3202" s="21">
        <v>0</v>
      </c>
      <c r="M3202" s="21">
        <v>0</v>
      </c>
      <c r="N3202" s="21">
        <v>0</v>
      </c>
      <c r="O3202" s="21">
        <v>0</v>
      </c>
      <c r="P3202" s="21">
        <v>0</v>
      </c>
      <c r="Q3202" s="21">
        <v>0</v>
      </c>
      <c r="R3202" s="21">
        <v>0</v>
      </c>
      <c r="S3202" s="21">
        <v>0</v>
      </c>
      <c r="T3202" s="21">
        <v>0</v>
      </c>
      <c r="U3202" s="21">
        <v>0</v>
      </c>
      <c r="V3202" s="21">
        <v>0</v>
      </c>
      <c r="W3202" s="21">
        <v>0</v>
      </c>
      <c r="X3202" s="198" t="s">
        <v>2272</v>
      </c>
      <c r="Y3202" s="198" t="s">
        <v>2272</v>
      </c>
      <c r="Z3202" s="198" t="s">
        <v>2272</v>
      </c>
      <c r="AA3202" s="198" t="s">
        <v>2272</v>
      </c>
      <c r="AB3202" s="198"/>
      <c r="AC3202" s="198"/>
    </row>
    <row r="3203" spans="1:29" ht="33" customHeight="1">
      <c r="A3203" s="151" t="str">
        <f>'Reported burning'!A3203</f>
        <v>342a</v>
      </c>
      <c r="B3203" s="151" t="str">
        <f>'Reported burning'!B3203</f>
        <v>342a.1</v>
      </c>
      <c r="C3203" s="151" t="str">
        <f>'Reported burning'!C3203</f>
        <v>Human, deliberate</v>
      </c>
      <c r="D3203" s="151" t="str">
        <f>'Reported burning'!D3203</f>
        <v>Crop residue burning</v>
      </c>
      <c r="E3203" s="151" t="str">
        <f>'Reported burning'!E3203</f>
        <v>Cropping, Monoculture, Market-oriented</v>
      </c>
      <c r="F3203" s="151" t="str">
        <f>'Reported burning'!F3203</f>
        <v>Cropland</v>
      </c>
      <c r="G3203" s="151" t="str">
        <f>'Reported burning'!G3203</f>
        <v>ND</v>
      </c>
      <c r="H3203" s="151" t="str">
        <f>'Reported burning'!H3203</f>
        <v>Presence</v>
      </c>
      <c r="I3203" s="5"/>
      <c r="J3203" s="198" t="s">
        <v>2272</v>
      </c>
      <c r="K3203" s="198" t="s">
        <v>2272</v>
      </c>
      <c r="L3203" s="198" t="s">
        <v>2272</v>
      </c>
      <c r="M3203" s="198" t="s">
        <v>2272</v>
      </c>
      <c r="N3203" s="198" t="s">
        <v>2272</v>
      </c>
      <c r="O3203" s="198" t="s">
        <v>2272</v>
      </c>
      <c r="P3203" s="198" t="s">
        <v>2272</v>
      </c>
      <c r="Q3203" s="198" t="s">
        <v>2272</v>
      </c>
      <c r="R3203" s="198" t="s">
        <v>2272</v>
      </c>
      <c r="S3203" s="198" t="s">
        <v>2272</v>
      </c>
      <c r="T3203" s="198" t="s">
        <v>2272</v>
      </c>
      <c r="U3203" s="198" t="s">
        <v>2272</v>
      </c>
      <c r="V3203" s="198" t="s">
        <v>2272</v>
      </c>
      <c r="W3203" s="198" t="s">
        <v>2272</v>
      </c>
      <c r="X3203" s="198" t="s">
        <v>2272</v>
      </c>
      <c r="Y3203" s="198" t="s">
        <v>186</v>
      </c>
      <c r="Z3203" s="198" t="s">
        <v>84</v>
      </c>
      <c r="AA3203" s="198" t="s">
        <v>2272</v>
      </c>
      <c r="AB3203" s="198"/>
      <c r="AC3203" s="198"/>
    </row>
    <row r="3204" spans="1:29" ht="34.5" customHeight="1">
      <c r="A3204" s="151" t="str">
        <f>'Reported burning'!A3204</f>
        <v>343a</v>
      </c>
      <c r="B3204" s="151" t="str">
        <f>'Reported burning'!B3204</f>
        <v>343a.1</v>
      </c>
      <c r="C3204" s="151" t="str">
        <f>'Reported burning'!C3204</f>
        <v>Human, deliberate</v>
      </c>
      <c r="D3204" s="151" t="str">
        <f>'Reported burning'!D3204</f>
        <v>Crop residue burning</v>
      </c>
      <c r="E3204" s="151" t="str">
        <f>'Reported burning'!E3204</f>
        <v>Cropping, Monoculture, Market-oriented</v>
      </c>
      <c r="F3204" s="151" t="str">
        <f>'Reported burning'!F3204</f>
        <v>Cropland</v>
      </c>
      <c r="G3204" s="151" t="str">
        <f>'Reported burning'!G3204</f>
        <v>ND</v>
      </c>
      <c r="H3204" s="151" t="str">
        <f>'Reported burning'!H3204</f>
        <v>Presence</v>
      </c>
      <c r="I3204" s="5"/>
      <c r="J3204" s="198" t="s">
        <v>2272</v>
      </c>
      <c r="K3204" s="198" t="s">
        <v>2272</v>
      </c>
      <c r="L3204" s="198" t="s">
        <v>2272</v>
      </c>
      <c r="M3204" s="198" t="s">
        <v>2272</v>
      </c>
      <c r="N3204" s="198" t="s">
        <v>2272</v>
      </c>
      <c r="O3204" s="198" t="s">
        <v>2272</v>
      </c>
      <c r="P3204" s="198" t="s">
        <v>2272</v>
      </c>
      <c r="Q3204" s="198" t="s">
        <v>2272</v>
      </c>
      <c r="R3204" s="198" t="s">
        <v>2272</v>
      </c>
      <c r="S3204" s="198" t="s">
        <v>2272</v>
      </c>
      <c r="T3204" s="198" t="s">
        <v>2272</v>
      </c>
      <c r="U3204" s="198" t="s">
        <v>2272</v>
      </c>
      <c r="V3204" s="198" t="s">
        <v>2272</v>
      </c>
      <c r="W3204" s="198" t="s">
        <v>2272</v>
      </c>
      <c r="X3204" s="198" t="s">
        <v>2272</v>
      </c>
      <c r="Y3204" s="198" t="s">
        <v>2272</v>
      </c>
      <c r="Z3204" s="198" t="s">
        <v>2272</v>
      </c>
      <c r="AA3204" s="198" t="s">
        <v>2272</v>
      </c>
      <c r="AB3204" s="198"/>
      <c r="AC3204" s="198"/>
    </row>
    <row r="3205" spans="1:29" ht="32.5" customHeight="1">
      <c r="A3205" s="151" t="str">
        <f>'Reported burning'!A3205</f>
        <v>344a</v>
      </c>
      <c r="B3205" s="151" t="str">
        <f>'Reported burning'!B3205</f>
        <v>344a.1</v>
      </c>
      <c r="C3205" s="151" t="str">
        <f>'Reported burning'!C3205</f>
        <v>Human, deliberate</v>
      </c>
      <c r="D3205" s="151" t="str">
        <f>'Reported burning'!D3205</f>
        <v>Crop residue burning</v>
      </c>
      <c r="E3205" s="151" t="str">
        <f>'Reported burning'!E3205</f>
        <v>Cropping, Monoculture, Market-oriented</v>
      </c>
      <c r="F3205" s="151" t="str">
        <f>'Reported burning'!F3205</f>
        <v>Cropland</v>
      </c>
      <c r="G3205" s="151" t="str">
        <f>'Reported burning'!G3205</f>
        <v>ND</v>
      </c>
      <c r="H3205" s="151" t="str">
        <f>'Reported burning'!H3205</f>
        <v>Presence</v>
      </c>
      <c r="I3205" s="5"/>
      <c r="J3205" s="198" t="s">
        <v>2272</v>
      </c>
      <c r="K3205" s="198" t="s">
        <v>2272</v>
      </c>
      <c r="L3205" s="198" t="s">
        <v>2272</v>
      </c>
      <c r="M3205" s="198" t="s">
        <v>2272</v>
      </c>
      <c r="N3205" s="198" t="s">
        <v>2272</v>
      </c>
      <c r="O3205" s="198" t="s">
        <v>2272</v>
      </c>
      <c r="P3205" s="198" t="s">
        <v>2272</v>
      </c>
      <c r="Q3205" s="198" t="s">
        <v>2272</v>
      </c>
      <c r="R3205" s="198" t="s">
        <v>2272</v>
      </c>
      <c r="S3205" s="198" t="s">
        <v>2272</v>
      </c>
      <c r="T3205" s="198" t="s">
        <v>2272</v>
      </c>
      <c r="U3205" s="198" t="s">
        <v>2272</v>
      </c>
      <c r="V3205" s="198" t="s">
        <v>2272</v>
      </c>
      <c r="W3205" s="198" t="s">
        <v>2272</v>
      </c>
      <c r="X3205" s="198" t="s">
        <v>2272</v>
      </c>
      <c r="Y3205" s="198" t="s">
        <v>2272</v>
      </c>
      <c r="Z3205" s="198" t="s">
        <v>2272</v>
      </c>
      <c r="AA3205" s="198" t="s">
        <v>2272</v>
      </c>
      <c r="AB3205" s="198"/>
      <c r="AC3205" s="198"/>
    </row>
    <row r="3206" spans="1:29" ht="32.5" customHeight="1">
      <c r="A3206" s="151" t="str">
        <f>'Reported burning'!A3206</f>
        <v>344c</v>
      </c>
      <c r="B3206" s="151" t="str">
        <f>'Reported burning'!B3206</f>
        <v>344c.1</v>
      </c>
      <c r="C3206" s="151" t="str">
        <f>'Reported burning'!C3206</f>
        <v>Human, deliberate</v>
      </c>
      <c r="D3206" s="151" t="str">
        <f>'Reported burning'!D3206</f>
        <v>Crop residue burning</v>
      </c>
      <c r="E3206" s="151" t="str">
        <f>'Reported burning'!E3206</f>
        <v>Cropping, Monoculture, Market-oriented</v>
      </c>
      <c r="F3206" s="151" t="str">
        <f>'Reported burning'!F3206</f>
        <v>Cropland</v>
      </c>
      <c r="G3206" s="151" t="str">
        <f>'Reported burning'!G3206</f>
        <v>ND</v>
      </c>
      <c r="H3206" s="151" t="str">
        <f>'Reported burning'!H3206</f>
        <v>Presence</v>
      </c>
      <c r="I3206" s="5"/>
      <c r="J3206" s="198" t="s">
        <v>2272</v>
      </c>
      <c r="K3206" s="198" t="s">
        <v>2272</v>
      </c>
      <c r="L3206" s="198" t="s">
        <v>2272</v>
      </c>
      <c r="M3206" s="198" t="s">
        <v>2272</v>
      </c>
      <c r="N3206" s="198" t="s">
        <v>2272</v>
      </c>
      <c r="O3206" s="198" t="s">
        <v>2272</v>
      </c>
      <c r="P3206" s="198" t="s">
        <v>2272</v>
      </c>
      <c r="Q3206" s="198" t="s">
        <v>2272</v>
      </c>
      <c r="R3206" s="198" t="s">
        <v>2272</v>
      </c>
      <c r="S3206" s="198" t="s">
        <v>2272</v>
      </c>
      <c r="T3206" s="198" t="s">
        <v>2272</v>
      </c>
      <c r="U3206" s="198" t="s">
        <v>2272</v>
      </c>
      <c r="V3206" s="198" t="s">
        <v>2272</v>
      </c>
      <c r="W3206" s="198" t="s">
        <v>2272</v>
      </c>
      <c r="X3206" s="198" t="s">
        <v>2272</v>
      </c>
      <c r="Y3206" s="198" t="s">
        <v>2272</v>
      </c>
      <c r="Z3206" s="198" t="s">
        <v>2272</v>
      </c>
      <c r="AA3206" s="198" t="s">
        <v>2272</v>
      </c>
      <c r="AB3206" s="198"/>
      <c r="AC3206" s="198"/>
    </row>
    <row r="3207" spans="1:29" ht="32.5" customHeight="1">
      <c r="A3207" s="151" t="str">
        <f>'Reported burning'!A3207</f>
        <v>344d</v>
      </c>
      <c r="B3207" s="151" t="str">
        <f>'Reported burning'!B3207</f>
        <v>344d.1</v>
      </c>
      <c r="C3207" s="151" t="str">
        <f>'Reported burning'!C3207</f>
        <v>Human, deliberate</v>
      </c>
      <c r="D3207" s="151" t="str">
        <f>'Reported burning'!D3207</f>
        <v>Crop residue burning</v>
      </c>
      <c r="E3207" s="151" t="str">
        <f>'Reported burning'!E3207</f>
        <v>Cropping, Monoculture, Market-oriented</v>
      </c>
      <c r="F3207" s="151" t="str">
        <f>'Reported burning'!F3207</f>
        <v>Cropland</v>
      </c>
      <c r="G3207" s="151" t="str">
        <f>'Reported burning'!G3207</f>
        <v>ND</v>
      </c>
      <c r="H3207" s="151" t="str">
        <f>'Reported burning'!H3207</f>
        <v>Presence</v>
      </c>
      <c r="I3207" s="5"/>
      <c r="J3207" s="198" t="s">
        <v>2272</v>
      </c>
      <c r="K3207" s="198" t="s">
        <v>2272</v>
      </c>
      <c r="L3207" s="198" t="s">
        <v>2272</v>
      </c>
      <c r="M3207" s="198" t="s">
        <v>2272</v>
      </c>
      <c r="N3207" s="198" t="s">
        <v>2272</v>
      </c>
      <c r="O3207" s="198" t="s">
        <v>2272</v>
      </c>
      <c r="P3207" s="198" t="s">
        <v>2272</v>
      </c>
      <c r="Q3207" s="198" t="s">
        <v>2272</v>
      </c>
      <c r="R3207" s="198" t="s">
        <v>2272</v>
      </c>
      <c r="S3207" s="198" t="s">
        <v>2272</v>
      </c>
      <c r="T3207" s="198" t="s">
        <v>2272</v>
      </c>
      <c r="U3207" s="198" t="s">
        <v>2272</v>
      </c>
      <c r="V3207" s="198" t="s">
        <v>2272</v>
      </c>
      <c r="W3207" s="198" t="s">
        <v>2272</v>
      </c>
      <c r="X3207" s="198" t="s">
        <v>2272</v>
      </c>
      <c r="Y3207" s="198" t="s">
        <v>2272</v>
      </c>
      <c r="Z3207" s="198" t="s">
        <v>2272</v>
      </c>
      <c r="AA3207" s="198" t="s">
        <v>2272</v>
      </c>
      <c r="AB3207" s="198"/>
      <c r="AC3207" s="198"/>
    </row>
    <row r="3208" spans="1:29" ht="32.5" customHeight="1">
      <c r="A3208" s="151" t="str">
        <f>'Reported burning'!A3208</f>
        <v>344e</v>
      </c>
      <c r="B3208" s="151" t="str">
        <f>'Reported burning'!B3208</f>
        <v>344e.1</v>
      </c>
      <c r="C3208" s="151" t="str">
        <f>'Reported burning'!C3208</f>
        <v>Human, deliberate</v>
      </c>
      <c r="D3208" s="151" t="str">
        <f>'Reported burning'!D3208</f>
        <v>Crop residue burning</v>
      </c>
      <c r="E3208" s="151" t="str">
        <f>'Reported burning'!E3208</f>
        <v>Cropping, Monoculture, Market-oriented</v>
      </c>
      <c r="F3208" s="151" t="str">
        <f>'Reported burning'!F3208</f>
        <v>Cropland</v>
      </c>
      <c r="G3208" s="151" t="str">
        <f>'Reported burning'!G3208</f>
        <v>ND</v>
      </c>
      <c r="H3208" s="151" t="str">
        <f>'Reported burning'!H3208</f>
        <v>Presence</v>
      </c>
      <c r="I3208" s="5"/>
      <c r="J3208" s="198" t="s">
        <v>2272</v>
      </c>
      <c r="K3208" s="198" t="s">
        <v>2272</v>
      </c>
      <c r="L3208" s="198" t="s">
        <v>2272</v>
      </c>
      <c r="M3208" s="198" t="s">
        <v>2272</v>
      </c>
      <c r="N3208" s="198" t="s">
        <v>2272</v>
      </c>
      <c r="O3208" s="198" t="s">
        <v>2272</v>
      </c>
      <c r="P3208" s="198" t="s">
        <v>2272</v>
      </c>
      <c r="Q3208" s="198" t="s">
        <v>2272</v>
      </c>
      <c r="R3208" s="198" t="s">
        <v>2272</v>
      </c>
      <c r="S3208" s="198" t="s">
        <v>2272</v>
      </c>
      <c r="T3208" s="198" t="s">
        <v>2272</v>
      </c>
      <c r="U3208" s="198" t="s">
        <v>2272</v>
      </c>
      <c r="V3208" s="198" t="s">
        <v>2272</v>
      </c>
      <c r="W3208" s="198" t="s">
        <v>2272</v>
      </c>
      <c r="X3208" s="198" t="s">
        <v>2272</v>
      </c>
      <c r="Y3208" s="198" t="s">
        <v>2272</v>
      </c>
      <c r="Z3208" s="198" t="s">
        <v>2272</v>
      </c>
      <c r="AA3208" s="198" t="s">
        <v>2272</v>
      </c>
      <c r="AB3208" s="198"/>
      <c r="AC3208" s="198"/>
    </row>
    <row r="3209" spans="1:29" ht="32.5" customHeight="1">
      <c r="A3209" s="151" t="str">
        <f>'Reported burning'!A3209</f>
        <v>344f</v>
      </c>
      <c r="B3209" s="151" t="str">
        <f>'Reported burning'!B3209</f>
        <v>344f.1</v>
      </c>
      <c r="C3209" s="151" t="str">
        <f>'Reported burning'!C3209</f>
        <v>Human, deliberate</v>
      </c>
      <c r="D3209" s="151" t="str">
        <f>'Reported burning'!D3209</f>
        <v>Crop residue burning</v>
      </c>
      <c r="E3209" s="151" t="str">
        <f>'Reported burning'!E3209</f>
        <v>Cropping, Monoculture, Market-oriented</v>
      </c>
      <c r="F3209" s="151" t="str">
        <f>'Reported burning'!F3209</f>
        <v>Cropland</v>
      </c>
      <c r="G3209" s="151" t="str">
        <f>'Reported burning'!G3209</f>
        <v>ND</v>
      </c>
      <c r="H3209" s="151" t="str">
        <f>'Reported burning'!H3209</f>
        <v>Presence</v>
      </c>
      <c r="I3209" s="5"/>
      <c r="J3209" s="198" t="s">
        <v>2272</v>
      </c>
      <c r="K3209" s="198" t="s">
        <v>2272</v>
      </c>
      <c r="L3209" s="198" t="s">
        <v>2272</v>
      </c>
      <c r="M3209" s="198" t="s">
        <v>2272</v>
      </c>
      <c r="N3209" s="198" t="s">
        <v>2272</v>
      </c>
      <c r="O3209" s="198" t="s">
        <v>2272</v>
      </c>
      <c r="P3209" s="198" t="s">
        <v>2272</v>
      </c>
      <c r="Q3209" s="198" t="s">
        <v>2272</v>
      </c>
      <c r="R3209" s="198" t="s">
        <v>2272</v>
      </c>
      <c r="S3209" s="198" t="s">
        <v>2272</v>
      </c>
      <c r="T3209" s="198" t="s">
        <v>2272</v>
      </c>
      <c r="U3209" s="198" t="s">
        <v>2272</v>
      </c>
      <c r="V3209" s="198" t="s">
        <v>2272</v>
      </c>
      <c r="W3209" s="198" t="s">
        <v>2272</v>
      </c>
      <c r="X3209" s="198" t="s">
        <v>2272</v>
      </c>
      <c r="Y3209" s="198" t="s">
        <v>2272</v>
      </c>
      <c r="Z3209" s="198" t="s">
        <v>2272</v>
      </c>
      <c r="AA3209" s="198" t="s">
        <v>2272</v>
      </c>
      <c r="AB3209" s="198"/>
      <c r="AC3209" s="198"/>
    </row>
    <row r="3210" spans="1:29" ht="32.5" customHeight="1">
      <c r="A3210" s="151" t="str">
        <f>'Reported burning'!A3210</f>
        <v>344g</v>
      </c>
      <c r="B3210" s="151" t="str">
        <f>'Reported burning'!B3210</f>
        <v>344g.1</v>
      </c>
      <c r="C3210" s="151" t="str">
        <f>'Reported burning'!C3210</f>
        <v>Human, deliberate</v>
      </c>
      <c r="D3210" s="151" t="str">
        <f>'Reported burning'!D3210</f>
        <v>Crop residue burning</v>
      </c>
      <c r="E3210" s="151" t="str">
        <f>'Reported burning'!E3210</f>
        <v>Cropping, Monoculture, Market-oriented</v>
      </c>
      <c r="F3210" s="151" t="str">
        <f>'Reported burning'!F3210</f>
        <v>Cropland</v>
      </c>
      <c r="G3210" s="151" t="str">
        <f>'Reported burning'!G3210</f>
        <v>ND</v>
      </c>
      <c r="H3210" s="151" t="str">
        <f>'Reported burning'!H3210</f>
        <v>Presence</v>
      </c>
      <c r="I3210" s="5"/>
      <c r="J3210" s="198" t="s">
        <v>2272</v>
      </c>
      <c r="K3210" s="198" t="s">
        <v>2272</v>
      </c>
      <c r="L3210" s="198" t="s">
        <v>2272</v>
      </c>
      <c r="M3210" s="198" t="s">
        <v>2272</v>
      </c>
      <c r="N3210" s="198" t="s">
        <v>2272</v>
      </c>
      <c r="O3210" s="198" t="s">
        <v>2272</v>
      </c>
      <c r="P3210" s="198" t="s">
        <v>2272</v>
      </c>
      <c r="Q3210" s="198" t="s">
        <v>2272</v>
      </c>
      <c r="R3210" s="198" t="s">
        <v>2272</v>
      </c>
      <c r="S3210" s="198" t="s">
        <v>2272</v>
      </c>
      <c r="T3210" s="198" t="s">
        <v>2272</v>
      </c>
      <c r="U3210" s="198" t="s">
        <v>2272</v>
      </c>
      <c r="V3210" s="198" t="s">
        <v>2272</v>
      </c>
      <c r="W3210" s="198" t="s">
        <v>2272</v>
      </c>
      <c r="X3210" s="198" t="s">
        <v>2272</v>
      </c>
      <c r="Y3210" s="198" t="s">
        <v>2272</v>
      </c>
      <c r="Z3210" s="198" t="s">
        <v>2272</v>
      </c>
      <c r="AA3210" s="198" t="s">
        <v>2272</v>
      </c>
      <c r="AB3210" s="198"/>
      <c r="AC3210" s="198"/>
    </row>
    <row r="3211" spans="1:29" ht="32.5" customHeight="1">
      <c r="A3211" s="151" t="str">
        <f>'Reported burning'!A3211</f>
        <v>344h</v>
      </c>
      <c r="B3211" s="151" t="str">
        <f>'Reported burning'!B3211</f>
        <v>344h.1</v>
      </c>
      <c r="C3211" s="151" t="str">
        <f>'Reported burning'!C3211</f>
        <v>Human, deliberate</v>
      </c>
      <c r="D3211" s="151" t="str">
        <f>'Reported burning'!D3211</f>
        <v>Crop residue burning</v>
      </c>
      <c r="E3211" s="151" t="str">
        <f>'Reported burning'!E3211</f>
        <v>Cropping, Monoculture, Market-oriented</v>
      </c>
      <c r="F3211" s="151" t="str">
        <f>'Reported burning'!F3211</f>
        <v>Cropland</v>
      </c>
      <c r="G3211" s="151" t="str">
        <f>'Reported burning'!G3211</f>
        <v>ND</v>
      </c>
      <c r="H3211" s="151" t="str">
        <f>'Reported burning'!H3211</f>
        <v>Presence</v>
      </c>
      <c r="I3211" s="5"/>
      <c r="J3211" s="198" t="s">
        <v>2272</v>
      </c>
      <c r="K3211" s="198" t="s">
        <v>2272</v>
      </c>
      <c r="L3211" s="198" t="s">
        <v>2272</v>
      </c>
      <c r="M3211" s="198" t="s">
        <v>2272</v>
      </c>
      <c r="N3211" s="198" t="s">
        <v>2272</v>
      </c>
      <c r="O3211" s="198" t="s">
        <v>2272</v>
      </c>
      <c r="P3211" s="198" t="s">
        <v>2272</v>
      </c>
      <c r="Q3211" s="198" t="s">
        <v>2272</v>
      </c>
      <c r="R3211" s="198" t="s">
        <v>2272</v>
      </c>
      <c r="S3211" s="198" t="s">
        <v>2272</v>
      </c>
      <c r="T3211" s="198" t="s">
        <v>2272</v>
      </c>
      <c r="U3211" s="198" t="s">
        <v>2272</v>
      </c>
      <c r="V3211" s="198" t="s">
        <v>2272</v>
      </c>
      <c r="W3211" s="198" t="s">
        <v>2272</v>
      </c>
      <c r="X3211" s="198" t="s">
        <v>2272</v>
      </c>
      <c r="Y3211" s="198" t="s">
        <v>2272</v>
      </c>
      <c r="Z3211" s="198" t="s">
        <v>2272</v>
      </c>
      <c r="AA3211" s="198" t="s">
        <v>2272</v>
      </c>
      <c r="AB3211" s="198"/>
      <c r="AC3211" s="198"/>
    </row>
    <row r="3212" spans="1:29" ht="32.5" customHeight="1">
      <c r="A3212" s="151" t="str">
        <f>'Reported burning'!A3212</f>
        <v>344i</v>
      </c>
      <c r="B3212" s="151" t="str">
        <f>'Reported burning'!B3212</f>
        <v>344i.1</v>
      </c>
      <c r="C3212" s="151" t="str">
        <f>'Reported burning'!C3212</f>
        <v>Human, deliberate</v>
      </c>
      <c r="D3212" s="151" t="str">
        <f>'Reported burning'!D3212</f>
        <v>Crop residue burning</v>
      </c>
      <c r="E3212" s="151" t="str">
        <f>'Reported burning'!E3212</f>
        <v>Cropping, Monoculture, Market-oriented</v>
      </c>
      <c r="F3212" s="151" t="str">
        <f>'Reported burning'!F3212</f>
        <v>Cropland</v>
      </c>
      <c r="G3212" s="151" t="str">
        <f>'Reported burning'!G3212</f>
        <v>ND</v>
      </c>
      <c r="H3212" s="151" t="str">
        <f>'Reported burning'!H3212</f>
        <v>Presence</v>
      </c>
      <c r="I3212" s="5"/>
      <c r="J3212" s="198" t="s">
        <v>2272</v>
      </c>
      <c r="K3212" s="198" t="s">
        <v>2272</v>
      </c>
      <c r="L3212" s="198" t="s">
        <v>2272</v>
      </c>
      <c r="M3212" s="198" t="s">
        <v>2272</v>
      </c>
      <c r="N3212" s="198" t="s">
        <v>2272</v>
      </c>
      <c r="O3212" s="198" t="s">
        <v>2272</v>
      </c>
      <c r="P3212" s="198" t="s">
        <v>2272</v>
      </c>
      <c r="Q3212" s="198" t="s">
        <v>2272</v>
      </c>
      <c r="R3212" s="198" t="s">
        <v>2272</v>
      </c>
      <c r="S3212" s="198" t="s">
        <v>2272</v>
      </c>
      <c r="T3212" s="198" t="s">
        <v>2272</v>
      </c>
      <c r="U3212" s="198" t="s">
        <v>2272</v>
      </c>
      <c r="V3212" s="198" t="s">
        <v>2272</v>
      </c>
      <c r="W3212" s="198" t="s">
        <v>2272</v>
      </c>
      <c r="X3212" s="198" t="s">
        <v>2272</v>
      </c>
      <c r="Y3212" s="198" t="s">
        <v>2272</v>
      </c>
      <c r="Z3212" s="198" t="s">
        <v>2272</v>
      </c>
      <c r="AA3212" s="198" t="s">
        <v>2272</v>
      </c>
      <c r="AB3212" s="198"/>
      <c r="AC3212" s="198"/>
    </row>
    <row r="3213" spans="1:29" ht="32.5" customHeight="1">
      <c r="A3213" s="151" t="str">
        <f>'Reported burning'!A3213</f>
        <v>344k</v>
      </c>
      <c r="B3213" s="151" t="str">
        <f>'Reported burning'!B3213</f>
        <v>344k.1</v>
      </c>
      <c r="C3213" s="151" t="str">
        <f>'Reported burning'!C3213</f>
        <v>Human, deliberate</v>
      </c>
      <c r="D3213" s="151" t="str">
        <f>'Reported burning'!D3213</f>
        <v>Crop residue burning</v>
      </c>
      <c r="E3213" s="151" t="str">
        <f>'Reported burning'!E3213</f>
        <v>Cropping, Monoculture, Market-oriented</v>
      </c>
      <c r="F3213" s="151" t="str">
        <f>'Reported burning'!F3213</f>
        <v>Cropland</v>
      </c>
      <c r="G3213" s="151" t="str">
        <f>'Reported burning'!G3213</f>
        <v>ND</v>
      </c>
      <c r="H3213" s="151" t="str">
        <f>'Reported burning'!H3213</f>
        <v>Presence</v>
      </c>
      <c r="I3213" s="5"/>
      <c r="J3213" s="198" t="s">
        <v>2272</v>
      </c>
      <c r="K3213" s="198" t="s">
        <v>2272</v>
      </c>
      <c r="L3213" s="198" t="s">
        <v>2272</v>
      </c>
      <c r="M3213" s="198" t="s">
        <v>2272</v>
      </c>
      <c r="N3213" s="198" t="s">
        <v>2272</v>
      </c>
      <c r="O3213" s="198" t="s">
        <v>2272</v>
      </c>
      <c r="P3213" s="198" t="s">
        <v>2272</v>
      </c>
      <c r="Q3213" s="198" t="s">
        <v>2272</v>
      </c>
      <c r="R3213" s="198" t="s">
        <v>2272</v>
      </c>
      <c r="S3213" s="198" t="s">
        <v>2272</v>
      </c>
      <c r="T3213" s="198" t="s">
        <v>2272</v>
      </c>
      <c r="U3213" s="198" t="s">
        <v>2272</v>
      </c>
      <c r="V3213" s="198" t="s">
        <v>2272</v>
      </c>
      <c r="W3213" s="198" t="s">
        <v>2272</v>
      </c>
      <c r="X3213" s="198" t="s">
        <v>2272</v>
      </c>
      <c r="Y3213" s="198" t="s">
        <v>2272</v>
      </c>
      <c r="Z3213" s="198" t="s">
        <v>2272</v>
      </c>
      <c r="AA3213" s="198" t="s">
        <v>2272</v>
      </c>
      <c r="AB3213" s="198"/>
      <c r="AC3213" s="198"/>
    </row>
    <row r="3214" spans="1:29" ht="32.5" customHeight="1">
      <c r="A3214" s="151" t="str">
        <f>'Reported burning'!A3214</f>
        <v>344l</v>
      </c>
      <c r="B3214" s="151" t="str">
        <f>'Reported burning'!B3214</f>
        <v>344l.1</v>
      </c>
      <c r="C3214" s="151" t="str">
        <f>'Reported burning'!C3214</f>
        <v>Human, deliberate</v>
      </c>
      <c r="D3214" s="151" t="str">
        <f>'Reported burning'!D3214</f>
        <v>Crop residue burning</v>
      </c>
      <c r="E3214" s="151" t="str">
        <f>'Reported burning'!E3214</f>
        <v>Cropping, Monoculture, Market-oriented</v>
      </c>
      <c r="F3214" s="151" t="str">
        <f>'Reported burning'!F3214</f>
        <v>Cropland</v>
      </c>
      <c r="G3214" s="151" t="str">
        <f>'Reported burning'!G3214</f>
        <v>ND</v>
      </c>
      <c r="H3214" s="151" t="str">
        <f>'Reported burning'!H3214</f>
        <v>Presence</v>
      </c>
      <c r="I3214" s="5"/>
      <c r="J3214" s="198" t="s">
        <v>2272</v>
      </c>
      <c r="K3214" s="198" t="s">
        <v>2272</v>
      </c>
      <c r="L3214" s="198" t="s">
        <v>2272</v>
      </c>
      <c r="M3214" s="198" t="s">
        <v>2272</v>
      </c>
      <c r="N3214" s="198" t="s">
        <v>2272</v>
      </c>
      <c r="O3214" s="198" t="s">
        <v>2272</v>
      </c>
      <c r="P3214" s="198" t="s">
        <v>2272</v>
      </c>
      <c r="Q3214" s="198" t="s">
        <v>2272</v>
      </c>
      <c r="R3214" s="198" t="s">
        <v>2272</v>
      </c>
      <c r="S3214" s="198" t="s">
        <v>2272</v>
      </c>
      <c r="T3214" s="198" t="s">
        <v>2272</v>
      </c>
      <c r="U3214" s="198" t="s">
        <v>2272</v>
      </c>
      <c r="V3214" s="198" t="s">
        <v>2272</v>
      </c>
      <c r="W3214" s="198" t="s">
        <v>2272</v>
      </c>
      <c r="X3214" s="198" t="s">
        <v>2272</v>
      </c>
      <c r="Y3214" s="198" t="s">
        <v>2272</v>
      </c>
      <c r="Z3214" s="198" t="s">
        <v>2272</v>
      </c>
      <c r="AA3214" s="198" t="s">
        <v>2272</v>
      </c>
      <c r="AB3214" s="198"/>
      <c r="AC3214" s="198"/>
    </row>
    <row r="3215" spans="1:29" ht="32.5" customHeight="1">
      <c r="A3215" s="151" t="str">
        <f>'Reported burning'!A3215</f>
        <v>344o</v>
      </c>
      <c r="B3215" s="151" t="str">
        <f>'Reported burning'!B3215</f>
        <v>344o.1</v>
      </c>
      <c r="C3215" s="151" t="str">
        <f>'Reported burning'!C3215</f>
        <v>Human, deliberate</v>
      </c>
      <c r="D3215" s="151" t="str">
        <f>'Reported burning'!D3215</f>
        <v>Crop residue burning</v>
      </c>
      <c r="E3215" s="151" t="str">
        <f>'Reported burning'!E3215</f>
        <v>Cropping, Monoculture, Market-oriented</v>
      </c>
      <c r="F3215" s="151" t="str">
        <f>'Reported burning'!F3215</f>
        <v>Cropland</v>
      </c>
      <c r="G3215" s="151" t="str">
        <f>'Reported burning'!G3215</f>
        <v>ND</v>
      </c>
      <c r="H3215" s="151" t="str">
        <f>'Reported burning'!H3215</f>
        <v>Presence</v>
      </c>
      <c r="I3215" s="5"/>
      <c r="J3215" s="198" t="s">
        <v>2272</v>
      </c>
      <c r="K3215" s="198" t="s">
        <v>2272</v>
      </c>
      <c r="L3215" s="198" t="s">
        <v>2272</v>
      </c>
      <c r="M3215" s="198" t="s">
        <v>2272</v>
      </c>
      <c r="N3215" s="198" t="s">
        <v>2272</v>
      </c>
      <c r="O3215" s="198" t="s">
        <v>2272</v>
      </c>
      <c r="P3215" s="198" t="s">
        <v>2272</v>
      </c>
      <c r="Q3215" s="198" t="s">
        <v>2272</v>
      </c>
      <c r="R3215" s="198" t="s">
        <v>2272</v>
      </c>
      <c r="S3215" s="198" t="s">
        <v>2272</v>
      </c>
      <c r="T3215" s="198" t="s">
        <v>2272</v>
      </c>
      <c r="U3215" s="198" t="s">
        <v>2272</v>
      </c>
      <c r="V3215" s="198" t="s">
        <v>2272</v>
      </c>
      <c r="W3215" s="198" t="s">
        <v>2272</v>
      </c>
      <c r="X3215" s="198" t="s">
        <v>2272</v>
      </c>
      <c r="Y3215" s="198" t="s">
        <v>2272</v>
      </c>
      <c r="Z3215" s="198" t="s">
        <v>2272</v>
      </c>
      <c r="AA3215" s="198" t="s">
        <v>2272</v>
      </c>
      <c r="AB3215" s="198"/>
      <c r="AC3215" s="198"/>
    </row>
    <row r="3216" spans="1:29" ht="32.5" customHeight="1">
      <c r="A3216" s="151" t="str">
        <f>'Reported burning'!A3216</f>
        <v>344a</v>
      </c>
      <c r="B3216" s="151" t="str">
        <f>'Reported burning'!B3216</f>
        <v>344a.2</v>
      </c>
      <c r="C3216" s="151" t="str">
        <f>'Reported burning'!C3216</f>
        <v>Human, deliberate</v>
      </c>
      <c r="D3216" s="151" t="str">
        <f>'Reported burning'!D3216</f>
        <v>Crop residue burning</v>
      </c>
      <c r="E3216" s="151" t="str">
        <f>'Reported burning'!E3216</f>
        <v>Cropping, Intensive</v>
      </c>
      <c r="F3216" s="151" t="str">
        <f>'Reported burning'!F3216</f>
        <v>Cropland</v>
      </c>
      <c r="G3216" s="151" t="str">
        <f>'Reported burning'!G3216</f>
        <v>ND</v>
      </c>
      <c r="H3216" s="151" t="str">
        <f>'Reported burning'!H3216</f>
        <v>Absence</v>
      </c>
      <c r="I3216" s="5"/>
      <c r="J3216" s="21">
        <v>0</v>
      </c>
      <c r="K3216" s="21">
        <v>0</v>
      </c>
      <c r="L3216" s="21">
        <v>0</v>
      </c>
      <c r="M3216" s="21">
        <v>0</v>
      </c>
      <c r="N3216" s="21">
        <v>0</v>
      </c>
      <c r="O3216" s="21">
        <v>0</v>
      </c>
      <c r="P3216" s="21">
        <v>0</v>
      </c>
      <c r="Q3216" s="21">
        <v>0</v>
      </c>
      <c r="R3216" s="21">
        <v>0</v>
      </c>
      <c r="S3216" s="21">
        <v>0</v>
      </c>
      <c r="T3216" s="21">
        <v>0</v>
      </c>
      <c r="U3216" s="21">
        <v>0</v>
      </c>
      <c r="V3216" s="21">
        <v>0</v>
      </c>
      <c r="W3216" s="21">
        <v>0</v>
      </c>
      <c r="X3216" s="198" t="s">
        <v>2272</v>
      </c>
      <c r="Y3216" s="198" t="s">
        <v>2272</v>
      </c>
      <c r="Z3216" s="198" t="s">
        <v>2272</v>
      </c>
      <c r="AA3216" s="198" t="s">
        <v>2272</v>
      </c>
      <c r="AB3216" s="198"/>
      <c r="AC3216" s="198"/>
    </row>
    <row r="3217" spans="1:29" ht="32.5" customHeight="1">
      <c r="A3217" s="151" t="str">
        <f>'Reported burning'!A3217</f>
        <v>344c</v>
      </c>
      <c r="B3217" s="151" t="str">
        <f>'Reported burning'!B3217</f>
        <v>344c.2</v>
      </c>
      <c r="C3217" s="151" t="str">
        <f>'Reported burning'!C3217</f>
        <v>Human, deliberate</v>
      </c>
      <c r="D3217" s="151" t="str">
        <f>'Reported burning'!D3217</f>
        <v>Crop residue burning</v>
      </c>
      <c r="E3217" s="151" t="str">
        <f>'Reported burning'!E3217</f>
        <v>Cropping, Intensive</v>
      </c>
      <c r="F3217" s="151" t="str">
        <f>'Reported burning'!F3217</f>
        <v>Cropland</v>
      </c>
      <c r="G3217" s="151" t="str">
        <f>'Reported burning'!G3217</f>
        <v>ND</v>
      </c>
      <c r="H3217" s="151" t="str">
        <f>'Reported burning'!H3217</f>
        <v>Absence</v>
      </c>
      <c r="I3217" s="5"/>
      <c r="J3217" s="21">
        <v>0</v>
      </c>
      <c r="K3217" s="21">
        <v>0</v>
      </c>
      <c r="L3217" s="21">
        <v>0</v>
      </c>
      <c r="M3217" s="21">
        <v>0</v>
      </c>
      <c r="N3217" s="21">
        <v>0</v>
      </c>
      <c r="O3217" s="21">
        <v>0</v>
      </c>
      <c r="P3217" s="21">
        <v>0</v>
      </c>
      <c r="Q3217" s="21">
        <v>0</v>
      </c>
      <c r="R3217" s="21">
        <v>0</v>
      </c>
      <c r="S3217" s="21">
        <v>0</v>
      </c>
      <c r="T3217" s="21">
        <v>0</v>
      </c>
      <c r="U3217" s="21">
        <v>0</v>
      </c>
      <c r="V3217" s="21">
        <v>0</v>
      </c>
      <c r="W3217" s="21">
        <v>0</v>
      </c>
      <c r="X3217" s="198" t="s">
        <v>2272</v>
      </c>
      <c r="Y3217" s="198" t="s">
        <v>2272</v>
      </c>
      <c r="Z3217" s="198" t="s">
        <v>2272</v>
      </c>
      <c r="AA3217" s="198" t="s">
        <v>2272</v>
      </c>
      <c r="AB3217" s="198"/>
      <c r="AC3217" s="198"/>
    </row>
    <row r="3218" spans="1:29" ht="32.5" customHeight="1">
      <c r="A3218" s="151" t="str">
        <f>'Reported burning'!A3218</f>
        <v>344d</v>
      </c>
      <c r="B3218" s="151" t="str">
        <f>'Reported burning'!B3218</f>
        <v>344d.2</v>
      </c>
      <c r="C3218" s="151" t="str">
        <f>'Reported burning'!C3218</f>
        <v>Human, deliberate</v>
      </c>
      <c r="D3218" s="151" t="str">
        <f>'Reported burning'!D3218</f>
        <v>Crop residue burning</v>
      </c>
      <c r="E3218" s="151" t="str">
        <f>'Reported burning'!E3218</f>
        <v>Cropping, Intensive</v>
      </c>
      <c r="F3218" s="151" t="str">
        <f>'Reported burning'!F3218</f>
        <v>Cropland</v>
      </c>
      <c r="G3218" s="151" t="str">
        <f>'Reported burning'!G3218</f>
        <v>ND</v>
      </c>
      <c r="H3218" s="151" t="str">
        <f>'Reported burning'!H3218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1">
        <v>0</v>
      </c>
      <c r="X3218" s="198" t="s">
        <v>2272</v>
      </c>
      <c r="Y3218" s="198" t="s">
        <v>2272</v>
      </c>
      <c r="Z3218" s="198" t="s">
        <v>2272</v>
      </c>
      <c r="AA3218" s="198" t="s">
        <v>2272</v>
      </c>
      <c r="AB3218" s="198"/>
      <c r="AC3218" s="198"/>
    </row>
    <row r="3219" spans="1:29" ht="32.5" customHeight="1">
      <c r="A3219" s="151" t="str">
        <f>'Reported burning'!A3219</f>
        <v>344e</v>
      </c>
      <c r="B3219" s="151" t="str">
        <f>'Reported burning'!B3219</f>
        <v>344e.2</v>
      </c>
      <c r="C3219" s="151" t="str">
        <f>'Reported burning'!C3219</f>
        <v>Human, deliberate</v>
      </c>
      <c r="D3219" s="151" t="str">
        <f>'Reported burning'!D3219</f>
        <v>Crop residue burning</v>
      </c>
      <c r="E3219" s="151" t="str">
        <f>'Reported burning'!E3219</f>
        <v>Cropping, Intensive</v>
      </c>
      <c r="F3219" s="151" t="str">
        <f>'Reported burning'!F3219</f>
        <v>Cropland</v>
      </c>
      <c r="G3219" s="151" t="str">
        <f>'Reported burning'!G3219</f>
        <v>ND</v>
      </c>
      <c r="H3219" s="151" t="str">
        <f>'Reported burning'!H3219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1">
        <v>0</v>
      </c>
      <c r="X3219" s="198" t="s">
        <v>2272</v>
      </c>
      <c r="Y3219" s="198" t="s">
        <v>2272</v>
      </c>
      <c r="Z3219" s="198" t="s">
        <v>2272</v>
      </c>
      <c r="AA3219" s="198" t="s">
        <v>2272</v>
      </c>
      <c r="AB3219" s="198"/>
      <c r="AC3219" s="198"/>
    </row>
    <row r="3220" spans="1:29" ht="32.5" customHeight="1">
      <c r="A3220" s="151" t="str">
        <f>'Reported burning'!A3220</f>
        <v>344f</v>
      </c>
      <c r="B3220" s="151" t="str">
        <f>'Reported burning'!B3220</f>
        <v>344f.2</v>
      </c>
      <c r="C3220" s="151" t="str">
        <f>'Reported burning'!C3220</f>
        <v>Human, deliberate</v>
      </c>
      <c r="D3220" s="151" t="str">
        <f>'Reported burning'!D3220</f>
        <v>Crop residue burning</v>
      </c>
      <c r="E3220" s="151" t="str">
        <f>'Reported burning'!E3220</f>
        <v>Cropping, Intensive</v>
      </c>
      <c r="F3220" s="151" t="str">
        <f>'Reported burning'!F3220</f>
        <v>Cropland</v>
      </c>
      <c r="G3220" s="151" t="str">
        <f>'Reported burning'!G3220</f>
        <v>ND</v>
      </c>
      <c r="H3220" s="151" t="str">
        <f>'Reported burning'!H3220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1">
        <v>0</v>
      </c>
      <c r="X3220" s="198" t="s">
        <v>2272</v>
      </c>
      <c r="Y3220" s="198" t="s">
        <v>2272</v>
      </c>
      <c r="Z3220" s="198" t="s">
        <v>2272</v>
      </c>
      <c r="AA3220" s="198" t="s">
        <v>2272</v>
      </c>
      <c r="AB3220" s="198"/>
      <c r="AC3220" s="198"/>
    </row>
    <row r="3221" spans="1:29" ht="32.5" customHeight="1">
      <c r="A3221" s="151" t="str">
        <f>'Reported burning'!A3221</f>
        <v>344g</v>
      </c>
      <c r="B3221" s="151" t="str">
        <f>'Reported burning'!B3221</f>
        <v>344g.2</v>
      </c>
      <c r="C3221" s="151" t="str">
        <f>'Reported burning'!C3221</f>
        <v>Human, deliberate</v>
      </c>
      <c r="D3221" s="151" t="str">
        <f>'Reported burning'!D3221</f>
        <v>Crop residue burning</v>
      </c>
      <c r="E3221" s="151" t="str">
        <f>'Reported burning'!E3221</f>
        <v>Cropping, Intensive</v>
      </c>
      <c r="F3221" s="151" t="str">
        <f>'Reported burning'!F3221</f>
        <v>Cropland</v>
      </c>
      <c r="G3221" s="151" t="str">
        <f>'Reported burning'!G3221</f>
        <v>ND</v>
      </c>
      <c r="H3221" s="151" t="str">
        <f>'Reported burning'!H3221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1">
        <v>0</v>
      </c>
      <c r="X3221" s="198" t="s">
        <v>2272</v>
      </c>
      <c r="Y3221" s="198" t="s">
        <v>2272</v>
      </c>
      <c r="Z3221" s="198" t="s">
        <v>2272</v>
      </c>
      <c r="AA3221" s="198" t="s">
        <v>2272</v>
      </c>
      <c r="AB3221" s="198"/>
      <c r="AC3221" s="198"/>
    </row>
    <row r="3222" spans="1:29" ht="32.5" customHeight="1">
      <c r="A3222" s="151" t="str">
        <f>'Reported burning'!A3222</f>
        <v>344h</v>
      </c>
      <c r="B3222" s="151" t="str">
        <f>'Reported burning'!B3222</f>
        <v>344h.2</v>
      </c>
      <c r="C3222" s="151" t="str">
        <f>'Reported burning'!C3222</f>
        <v>Human, deliberate</v>
      </c>
      <c r="D3222" s="151" t="str">
        <f>'Reported burning'!D3222</f>
        <v>Crop residue burning</v>
      </c>
      <c r="E3222" s="151" t="str">
        <f>'Reported burning'!E3222</f>
        <v>Cropping, Intensive</v>
      </c>
      <c r="F3222" s="151" t="str">
        <f>'Reported burning'!F3222</f>
        <v>Cropland</v>
      </c>
      <c r="G3222" s="151" t="str">
        <f>'Reported burning'!G3222</f>
        <v>ND</v>
      </c>
      <c r="H3222" s="151" t="str">
        <f>'Reported burning'!H3222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1">
        <v>0</v>
      </c>
      <c r="X3222" s="198" t="s">
        <v>2272</v>
      </c>
      <c r="Y3222" s="198" t="s">
        <v>2272</v>
      </c>
      <c r="Z3222" s="198" t="s">
        <v>2272</v>
      </c>
      <c r="AA3222" s="198" t="s">
        <v>2272</v>
      </c>
      <c r="AB3222" s="198"/>
      <c r="AC3222" s="198"/>
    </row>
    <row r="3223" spans="1:29" ht="32.5" customHeight="1">
      <c r="A3223" s="151" t="str">
        <f>'Reported burning'!A3223</f>
        <v>344i</v>
      </c>
      <c r="B3223" s="151" t="str">
        <f>'Reported burning'!B3223</f>
        <v>344i.2</v>
      </c>
      <c r="C3223" s="151" t="str">
        <f>'Reported burning'!C3223</f>
        <v>Human, deliberate</v>
      </c>
      <c r="D3223" s="151" t="str">
        <f>'Reported burning'!D3223</f>
        <v>Crop residue burning</v>
      </c>
      <c r="E3223" s="151" t="str">
        <f>'Reported burning'!E3223</f>
        <v>Cropping, Intensive</v>
      </c>
      <c r="F3223" s="151" t="str">
        <f>'Reported burning'!F3223</f>
        <v>Cropland</v>
      </c>
      <c r="G3223" s="151" t="str">
        <f>'Reported burning'!G3223</f>
        <v>ND</v>
      </c>
      <c r="H3223" s="151" t="str">
        <f>'Reported burning'!H3223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1">
        <v>0</v>
      </c>
      <c r="X3223" s="198" t="s">
        <v>2272</v>
      </c>
      <c r="Y3223" s="198" t="s">
        <v>2272</v>
      </c>
      <c r="Z3223" s="198" t="s">
        <v>2272</v>
      </c>
      <c r="AA3223" s="198" t="s">
        <v>2272</v>
      </c>
      <c r="AB3223" s="198"/>
      <c r="AC3223" s="198"/>
    </row>
    <row r="3224" spans="1:29" ht="32.5" customHeight="1">
      <c r="A3224" s="151" t="str">
        <f>'Reported burning'!A3224</f>
        <v>344k</v>
      </c>
      <c r="B3224" s="151" t="str">
        <f>'Reported burning'!B3224</f>
        <v>344k.2</v>
      </c>
      <c r="C3224" s="151" t="str">
        <f>'Reported burning'!C3224</f>
        <v>Human, deliberate</v>
      </c>
      <c r="D3224" s="151" t="str">
        <f>'Reported burning'!D3224</f>
        <v>Crop residue burning</v>
      </c>
      <c r="E3224" s="151" t="str">
        <f>'Reported burning'!E3224</f>
        <v>Cropping, Intensive</v>
      </c>
      <c r="F3224" s="151" t="str">
        <f>'Reported burning'!F3224</f>
        <v>Cropland</v>
      </c>
      <c r="G3224" s="151" t="str">
        <f>'Reported burning'!G3224</f>
        <v>ND</v>
      </c>
      <c r="H3224" s="151" t="str">
        <f>'Reported burning'!H3224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1">
        <v>0</v>
      </c>
      <c r="X3224" s="198" t="s">
        <v>2272</v>
      </c>
      <c r="Y3224" s="198" t="s">
        <v>2272</v>
      </c>
      <c r="Z3224" s="198" t="s">
        <v>2272</v>
      </c>
      <c r="AA3224" s="198" t="s">
        <v>2272</v>
      </c>
      <c r="AB3224" s="198"/>
      <c r="AC3224" s="198"/>
    </row>
    <row r="3225" spans="1:29" ht="32.5" customHeight="1">
      <c r="A3225" s="151" t="str">
        <f>'Reported burning'!A3225</f>
        <v>344l</v>
      </c>
      <c r="B3225" s="151" t="str">
        <f>'Reported burning'!B3225</f>
        <v>344l.2</v>
      </c>
      <c r="C3225" s="151" t="str">
        <f>'Reported burning'!C3225</f>
        <v>Human, deliberate</v>
      </c>
      <c r="D3225" s="151" t="str">
        <f>'Reported burning'!D3225</f>
        <v>Crop residue burning</v>
      </c>
      <c r="E3225" s="151" t="str">
        <f>'Reported burning'!E3225</f>
        <v>Cropping, Intensive</v>
      </c>
      <c r="F3225" s="151" t="str">
        <f>'Reported burning'!F3225</f>
        <v>Cropland</v>
      </c>
      <c r="G3225" s="151" t="str">
        <f>'Reported burning'!G3225</f>
        <v>ND</v>
      </c>
      <c r="H3225" s="151" t="str">
        <f>'Reported burning'!H3225</f>
        <v>Absence</v>
      </c>
      <c r="I3225" s="5"/>
      <c r="J3225" s="21">
        <v>0</v>
      </c>
      <c r="K3225" s="21">
        <v>0</v>
      </c>
      <c r="L3225" s="21">
        <v>0</v>
      </c>
      <c r="M3225" s="21">
        <v>0</v>
      </c>
      <c r="N3225" s="21">
        <v>0</v>
      </c>
      <c r="O3225" s="21">
        <v>0</v>
      </c>
      <c r="P3225" s="21">
        <v>0</v>
      </c>
      <c r="Q3225" s="21">
        <v>0</v>
      </c>
      <c r="R3225" s="21">
        <v>0</v>
      </c>
      <c r="S3225" s="21">
        <v>0</v>
      </c>
      <c r="T3225" s="21">
        <v>0</v>
      </c>
      <c r="U3225" s="21">
        <v>0</v>
      </c>
      <c r="V3225" s="21">
        <v>0</v>
      </c>
      <c r="W3225" s="21">
        <v>0</v>
      </c>
      <c r="X3225" s="198" t="s">
        <v>2272</v>
      </c>
      <c r="Y3225" s="198" t="s">
        <v>2272</v>
      </c>
      <c r="Z3225" s="198" t="s">
        <v>2272</v>
      </c>
      <c r="AA3225" s="198" t="s">
        <v>2272</v>
      </c>
      <c r="AB3225" s="198"/>
      <c r="AC3225" s="198"/>
    </row>
    <row r="3226" spans="1:29" ht="32.5" customHeight="1">
      <c r="A3226" s="151" t="str">
        <f>'Reported burning'!A3226</f>
        <v>344o</v>
      </c>
      <c r="B3226" s="151" t="str">
        <f>'Reported burning'!B3226</f>
        <v>344o.2</v>
      </c>
      <c r="C3226" s="151" t="str">
        <f>'Reported burning'!C3226</f>
        <v>Human, deliberate</v>
      </c>
      <c r="D3226" s="151" t="str">
        <f>'Reported burning'!D3226</f>
        <v>Crop residue burning</v>
      </c>
      <c r="E3226" s="151" t="str">
        <f>'Reported burning'!E3226</f>
        <v>Cropping, Intensive</v>
      </c>
      <c r="F3226" s="151" t="str">
        <f>'Reported burning'!F3226</f>
        <v>Cropland</v>
      </c>
      <c r="G3226" s="151" t="str">
        <f>'Reported burning'!G3226</f>
        <v>ND</v>
      </c>
      <c r="H3226" s="151" t="str">
        <f>'Reported burning'!H3226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1">
        <v>0</v>
      </c>
      <c r="X3226" s="198" t="s">
        <v>2272</v>
      </c>
      <c r="Y3226" s="198" t="s">
        <v>2272</v>
      </c>
      <c r="Z3226" s="198" t="s">
        <v>2272</v>
      </c>
      <c r="AA3226" s="198" t="s">
        <v>2272</v>
      </c>
      <c r="AB3226" s="198"/>
      <c r="AC3226" s="198"/>
    </row>
    <row r="3227" spans="1:29" ht="32.5" customHeight="1">
      <c r="A3227" s="151" t="str">
        <f>'Reported burning'!A3227</f>
        <v>344o</v>
      </c>
      <c r="B3227" s="151" t="str">
        <f>'Reported burning'!B3227</f>
        <v>344o.1</v>
      </c>
      <c r="C3227" s="151" t="str">
        <f>'Reported burning'!C3227</f>
        <v>Human, deliberate</v>
      </c>
      <c r="D3227" s="151" t="str">
        <f>'Reported burning'!D3227</f>
        <v>Crop residue burning</v>
      </c>
      <c r="E3227" s="151" t="str">
        <f>'Reported burning'!E3227</f>
        <v>Cropping, Monoculture, Market-oriented</v>
      </c>
      <c r="F3227" s="151" t="str">
        <f>'Reported burning'!F3227</f>
        <v>Cropland</v>
      </c>
      <c r="G3227" s="151" t="str">
        <f>'Reported burning'!G3227</f>
        <v>ND</v>
      </c>
      <c r="H3227" s="151" t="str">
        <f>'Reported burning'!H3227</f>
        <v>Presence</v>
      </c>
      <c r="I3227" s="5"/>
      <c r="J3227" s="198" t="s">
        <v>2272</v>
      </c>
      <c r="K3227" s="198" t="s">
        <v>2272</v>
      </c>
      <c r="L3227" s="198" t="s">
        <v>2272</v>
      </c>
      <c r="M3227" s="198" t="s">
        <v>2272</v>
      </c>
      <c r="N3227" s="198" t="s">
        <v>2272</v>
      </c>
      <c r="O3227" s="198" t="s">
        <v>2272</v>
      </c>
      <c r="P3227" s="198" t="s">
        <v>2272</v>
      </c>
      <c r="Q3227" s="198" t="s">
        <v>2272</v>
      </c>
      <c r="R3227" s="198" t="s">
        <v>2272</v>
      </c>
      <c r="S3227" s="198" t="s">
        <v>2272</v>
      </c>
      <c r="T3227" s="198" t="s">
        <v>2272</v>
      </c>
      <c r="U3227" s="198" t="s">
        <v>2272</v>
      </c>
      <c r="V3227" s="198" t="s">
        <v>2272</v>
      </c>
      <c r="W3227" s="198" t="s">
        <v>2272</v>
      </c>
      <c r="X3227" s="198" t="s">
        <v>2272</v>
      </c>
      <c r="Y3227" s="198" t="s">
        <v>2272</v>
      </c>
      <c r="Z3227" s="198" t="s">
        <v>2272</v>
      </c>
      <c r="AA3227" s="198" t="s">
        <v>2272</v>
      </c>
      <c r="AB3227" s="198"/>
      <c r="AC3227" s="198"/>
    </row>
    <row r="3228" spans="1:29" ht="32.5" customHeight="1">
      <c r="A3228" s="151" t="str">
        <f>'Reported burning'!A3228</f>
        <v>344o</v>
      </c>
      <c r="B3228" s="151" t="str">
        <f>'Reported burning'!B3228</f>
        <v>344o.2</v>
      </c>
      <c r="C3228" s="151" t="str">
        <f>'Reported burning'!C3228</f>
        <v>Human, deliberate</v>
      </c>
      <c r="D3228" s="151" t="str">
        <f>'Reported burning'!D3228</f>
        <v>Vegetation management</v>
      </c>
      <c r="E3228" s="151" t="str">
        <f>'Reported burning'!E3228</f>
        <v>Cropping, Intensive</v>
      </c>
      <c r="F3228" s="151" t="str">
        <f>'Reported burning'!F3228</f>
        <v>Cropland</v>
      </c>
      <c r="G3228" s="151" t="str">
        <f>'Reported burning'!G3228</f>
        <v>ND</v>
      </c>
      <c r="H3228" s="151" t="str">
        <f>'Reported burning'!H3228</f>
        <v>Absence</v>
      </c>
      <c r="I3228" s="5"/>
      <c r="J3228" s="21">
        <v>0</v>
      </c>
      <c r="K3228" s="21">
        <v>0</v>
      </c>
      <c r="L3228" s="21">
        <v>0</v>
      </c>
      <c r="M3228" s="21">
        <v>0</v>
      </c>
      <c r="N3228" s="21">
        <v>0</v>
      </c>
      <c r="O3228" s="21">
        <v>0</v>
      </c>
      <c r="P3228" s="21">
        <v>0</v>
      </c>
      <c r="Q3228" s="21">
        <v>0</v>
      </c>
      <c r="R3228" s="21">
        <v>0</v>
      </c>
      <c r="S3228" s="21">
        <v>0</v>
      </c>
      <c r="T3228" s="21">
        <v>0</v>
      </c>
      <c r="U3228" s="21">
        <v>0</v>
      </c>
      <c r="V3228" s="21">
        <v>0</v>
      </c>
      <c r="W3228" s="21">
        <v>0</v>
      </c>
      <c r="X3228" s="198" t="s">
        <v>2272</v>
      </c>
      <c r="Y3228" s="198" t="s">
        <v>2272</v>
      </c>
      <c r="Z3228" s="198" t="s">
        <v>2272</v>
      </c>
      <c r="AA3228" s="198" t="s">
        <v>2272</v>
      </c>
      <c r="AB3228" s="198"/>
      <c r="AC3228" s="198"/>
    </row>
    <row r="3229" spans="1:29" ht="32.5" customHeight="1">
      <c r="A3229" s="151" t="str">
        <f>'Reported burning'!A3229</f>
        <v>345a</v>
      </c>
      <c r="B3229" s="151" t="str">
        <f>'Reported burning'!B3229</f>
        <v>345a.1</v>
      </c>
      <c r="C3229" s="151" t="str">
        <f>'Reported burning'!C3229</f>
        <v>Human, deliberate</v>
      </c>
      <c r="D3229" s="151" t="str">
        <f>'Reported burning'!D3229</f>
        <v>Crop residue burning</v>
      </c>
      <c r="E3229" s="151" t="str">
        <f>'Reported burning'!E3229</f>
        <v>Cropping, Monoculture, Subsistence-oriented</v>
      </c>
      <c r="F3229" s="151" t="str">
        <f>'Reported burning'!F3229</f>
        <v>Cropland</v>
      </c>
      <c r="G3229" s="151" t="str">
        <f>'Reported burning'!G3229</f>
        <v>ND</v>
      </c>
      <c r="H3229" s="151" t="str">
        <f>'Reported burning'!H3229</f>
        <v>Presence</v>
      </c>
      <c r="I3229" s="5"/>
      <c r="J3229" s="198" t="s">
        <v>2272</v>
      </c>
      <c r="K3229" s="198" t="s">
        <v>2272</v>
      </c>
      <c r="L3229" s="198" t="s">
        <v>2272</v>
      </c>
      <c r="M3229" s="198" t="s">
        <v>2272</v>
      </c>
      <c r="N3229" s="198" t="s">
        <v>2272</v>
      </c>
      <c r="O3229" s="198" t="s">
        <v>2272</v>
      </c>
      <c r="P3229" s="198" t="s">
        <v>2272</v>
      </c>
      <c r="Q3229" s="198" t="s">
        <v>2272</v>
      </c>
      <c r="R3229" s="198" t="s">
        <v>2272</v>
      </c>
      <c r="S3229" s="198" t="s">
        <v>2272</v>
      </c>
      <c r="T3229" s="198" t="s">
        <v>2272</v>
      </c>
      <c r="U3229" s="198" t="s">
        <v>2272</v>
      </c>
      <c r="V3229" s="198" t="s">
        <v>2272</v>
      </c>
      <c r="W3229" s="198" t="s">
        <v>2272</v>
      </c>
      <c r="X3229" s="198" t="s">
        <v>2272</v>
      </c>
      <c r="Y3229" s="198" t="s">
        <v>2272</v>
      </c>
      <c r="Z3229" s="198" t="s">
        <v>2272</v>
      </c>
      <c r="AA3229" s="198" t="s">
        <v>2272</v>
      </c>
      <c r="AB3229" s="198"/>
      <c r="AC3229" s="198"/>
    </row>
    <row r="3230" spans="1:29" ht="32.5" customHeight="1">
      <c r="A3230" s="151" t="str">
        <f>'Reported burning'!A3230</f>
        <v>345a</v>
      </c>
      <c r="B3230" s="151" t="str">
        <f>'Reported burning'!B3230</f>
        <v>345a.2</v>
      </c>
      <c r="C3230" s="151" t="str">
        <f>'Reported burning'!C3230</f>
        <v>Human, deliberate</v>
      </c>
      <c r="D3230" s="151" t="str">
        <f>'Reported burning'!D3230</f>
        <v>Crop residue burning</v>
      </c>
      <c r="E3230" s="151" t="str">
        <f>'Reported burning'!E3230</f>
        <v>Cropping, Monoculture, Market-oriented</v>
      </c>
      <c r="F3230" s="151" t="str">
        <f>'Reported burning'!F3230</f>
        <v>Cropland</v>
      </c>
      <c r="G3230" s="151" t="str">
        <f>'Reported burning'!G3230</f>
        <v>ND</v>
      </c>
      <c r="H3230" s="151" t="str">
        <f>'Reported burning'!H3230</f>
        <v>Presence</v>
      </c>
      <c r="I3230" s="5"/>
      <c r="J3230" s="198" t="s">
        <v>2272</v>
      </c>
      <c r="K3230" s="198" t="s">
        <v>2272</v>
      </c>
      <c r="L3230" s="198" t="s">
        <v>2272</v>
      </c>
      <c r="M3230" s="198" t="s">
        <v>2272</v>
      </c>
      <c r="N3230" s="198" t="s">
        <v>2272</v>
      </c>
      <c r="O3230" s="198" t="s">
        <v>2272</v>
      </c>
      <c r="P3230" s="198" t="s">
        <v>2272</v>
      </c>
      <c r="Q3230" s="198" t="s">
        <v>2272</v>
      </c>
      <c r="R3230" s="198" t="s">
        <v>2272</v>
      </c>
      <c r="S3230" s="198" t="s">
        <v>2272</v>
      </c>
      <c r="T3230" s="198" t="s">
        <v>2272</v>
      </c>
      <c r="U3230" s="198" t="s">
        <v>2272</v>
      </c>
      <c r="V3230" s="198" t="s">
        <v>2272</v>
      </c>
      <c r="W3230" s="198" t="s">
        <v>2272</v>
      </c>
      <c r="X3230" s="198" t="s">
        <v>2272</v>
      </c>
      <c r="Y3230" s="198" t="s">
        <v>2272</v>
      </c>
      <c r="Z3230" s="198" t="s">
        <v>2272</v>
      </c>
      <c r="AA3230" s="198" t="s">
        <v>2272</v>
      </c>
      <c r="AB3230" s="198"/>
      <c r="AC3230" s="198"/>
    </row>
    <row r="3231" spans="1:29" ht="32.5" customHeight="1">
      <c r="A3231" s="151" t="str">
        <f>'Reported burning'!A3231</f>
        <v>345b</v>
      </c>
      <c r="B3231" s="151" t="str">
        <f>'Reported burning'!B3231</f>
        <v>345b.1</v>
      </c>
      <c r="C3231" s="151" t="str">
        <f>'Reported burning'!C3231</f>
        <v>Human, deliberate</v>
      </c>
      <c r="D3231" s="151" t="str">
        <f>'Reported burning'!D3231</f>
        <v>Crop residue burning</v>
      </c>
      <c r="E3231" s="151" t="str">
        <f>'Reported burning'!E3231</f>
        <v>Cropping, Monoculture, Market-oriented</v>
      </c>
      <c r="F3231" s="151" t="str">
        <f>'Reported burning'!F3231</f>
        <v>Cropland</v>
      </c>
      <c r="G3231" s="151" t="str">
        <f>'Reported burning'!G3231</f>
        <v>ND</v>
      </c>
      <c r="H3231" s="151" t="str">
        <f>'Reported burning'!H3231</f>
        <v>Absence</v>
      </c>
      <c r="I3231" s="5"/>
      <c r="J3231" s="21">
        <v>0</v>
      </c>
      <c r="K3231" s="21">
        <v>0</v>
      </c>
      <c r="L3231" s="21">
        <v>0</v>
      </c>
      <c r="M3231" s="21">
        <v>0</v>
      </c>
      <c r="N3231" s="21">
        <v>0</v>
      </c>
      <c r="O3231" s="21">
        <v>0</v>
      </c>
      <c r="P3231" s="21">
        <v>0</v>
      </c>
      <c r="Q3231" s="21">
        <v>0</v>
      </c>
      <c r="R3231" s="21">
        <v>0</v>
      </c>
      <c r="S3231" s="21">
        <v>0</v>
      </c>
      <c r="T3231" s="21">
        <v>0</v>
      </c>
      <c r="U3231" s="21">
        <v>0</v>
      </c>
      <c r="V3231" s="21">
        <v>0</v>
      </c>
      <c r="W3231" s="21">
        <v>0</v>
      </c>
      <c r="X3231" s="198" t="s">
        <v>2272</v>
      </c>
      <c r="Y3231" s="198" t="s">
        <v>2272</v>
      </c>
      <c r="Z3231" s="198" t="s">
        <v>2272</v>
      </c>
      <c r="AA3231" s="198" t="s">
        <v>2272</v>
      </c>
      <c r="AB3231" s="198"/>
      <c r="AC3231" s="198"/>
    </row>
    <row r="3232" spans="1:29" ht="39" customHeight="1">
      <c r="A3232" s="151" t="str">
        <f>'Reported burning'!A3232</f>
        <v>345b</v>
      </c>
      <c r="B3232" s="151" t="str">
        <f>'Reported burning'!B3232</f>
        <v>345b.2</v>
      </c>
      <c r="C3232" s="151" t="str">
        <f>'Reported burning'!C3232</f>
        <v>Human, deliberate</v>
      </c>
      <c r="D3232" s="151" t="str">
        <f>'Reported burning'!D3232</f>
        <v>Crop residue burning</v>
      </c>
      <c r="E3232" s="151" t="str">
        <f>'Reported burning'!E3232</f>
        <v>Cropping, Intensive</v>
      </c>
      <c r="F3232" s="151" t="str">
        <f>'Reported burning'!F3232</f>
        <v>Cropland</v>
      </c>
      <c r="G3232" s="151" t="str">
        <f>'Reported burning'!G3232</f>
        <v>ND</v>
      </c>
      <c r="H3232" s="151" t="str">
        <f>'Reported burning'!H3232</f>
        <v>Absence</v>
      </c>
      <c r="I3232" s="5"/>
      <c r="J3232" s="21">
        <v>0</v>
      </c>
      <c r="K3232" s="21">
        <v>0</v>
      </c>
      <c r="L3232" s="21">
        <v>0</v>
      </c>
      <c r="M3232" s="21">
        <v>0</v>
      </c>
      <c r="N3232" s="21">
        <v>0</v>
      </c>
      <c r="O3232" s="21">
        <v>0</v>
      </c>
      <c r="P3232" s="21">
        <v>0</v>
      </c>
      <c r="Q3232" s="21">
        <v>0</v>
      </c>
      <c r="R3232" s="21">
        <v>0</v>
      </c>
      <c r="S3232" s="21">
        <v>0</v>
      </c>
      <c r="T3232" s="21">
        <v>0</v>
      </c>
      <c r="U3232" s="21">
        <v>0</v>
      </c>
      <c r="V3232" s="21">
        <v>0</v>
      </c>
      <c r="W3232" s="21">
        <v>0</v>
      </c>
      <c r="X3232" s="198" t="s">
        <v>2272</v>
      </c>
      <c r="Y3232" s="198" t="s">
        <v>2272</v>
      </c>
      <c r="Z3232" s="198" t="s">
        <v>2272</v>
      </c>
      <c r="AA3232" s="198" t="s">
        <v>2272</v>
      </c>
      <c r="AB3232" s="198"/>
      <c r="AC3232" s="198"/>
    </row>
    <row r="3233" spans="1:29" ht="39" customHeight="1">
      <c r="A3233" s="151" t="str">
        <f>'Reported burning'!A3233</f>
        <v>345d</v>
      </c>
      <c r="B3233" s="151" t="str">
        <f>'Reported burning'!B3233</f>
        <v>345d.1</v>
      </c>
      <c r="C3233" s="151" t="str">
        <f>'Reported burning'!C3233</f>
        <v>Human, deliberate</v>
      </c>
      <c r="D3233" s="151" t="str">
        <f>'Reported burning'!D3233</f>
        <v>Crop residue burning</v>
      </c>
      <c r="E3233" s="151" t="str">
        <f>'Reported burning'!E3233</f>
        <v>Cropping, Intensive</v>
      </c>
      <c r="F3233" s="151" t="str">
        <f>'Reported burning'!F3233</f>
        <v>Cropland</v>
      </c>
      <c r="G3233" s="151" t="str">
        <f>'Reported burning'!G3233</f>
        <v>ND</v>
      </c>
      <c r="H3233" s="151" t="str">
        <f>'Reported burning'!H3233</f>
        <v>Absence</v>
      </c>
      <c r="I3233" s="5"/>
      <c r="J3233" s="21">
        <v>0</v>
      </c>
      <c r="K3233" s="21">
        <v>0</v>
      </c>
      <c r="L3233" s="21">
        <v>0</v>
      </c>
      <c r="M3233" s="21">
        <v>0</v>
      </c>
      <c r="N3233" s="21">
        <v>0</v>
      </c>
      <c r="O3233" s="21">
        <v>0</v>
      </c>
      <c r="P3233" s="21">
        <v>0</v>
      </c>
      <c r="Q3233" s="21">
        <v>0</v>
      </c>
      <c r="R3233" s="21">
        <v>0</v>
      </c>
      <c r="S3233" s="21">
        <v>0</v>
      </c>
      <c r="T3233" s="21">
        <v>0</v>
      </c>
      <c r="U3233" s="21">
        <v>0</v>
      </c>
      <c r="V3233" s="21">
        <v>0</v>
      </c>
      <c r="W3233" s="21">
        <v>0</v>
      </c>
      <c r="X3233" s="198" t="s">
        <v>2272</v>
      </c>
      <c r="Y3233" s="198" t="s">
        <v>2272</v>
      </c>
      <c r="Z3233" s="198" t="s">
        <v>2272</v>
      </c>
      <c r="AA3233" s="198" t="s">
        <v>2272</v>
      </c>
      <c r="AB3233" s="198"/>
      <c r="AC3233" s="198"/>
    </row>
    <row r="3234" spans="1:29" ht="29.5" customHeight="1">
      <c r="A3234" s="151" t="str">
        <f>'Reported burning'!A3234</f>
        <v>345d</v>
      </c>
      <c r="B3234" s="151" t="str">
        <f>'Reported burning'!B3234</f>
        <v>345d.2</v>
      </c>
      <c r="C3234" s="151" t="str">
        <f>'Reported burning'!C3234</f>
        <v>Human, accidental</v>
      </c>
      <c r="D3234" s="151" t="str">
        <f>'Reported burning'!D3234</f>
        <v>Crop residue burning</v>
      </c>
      <c r="E3234" s="151" t="str">
        <f>'Reported burning'!E3234</f>
        <v>Cropping, Intensive</v>
      </c>
      <c r="F3234" s="151" t="str">
        <f>'Reported burning'!F3234</f>
        <v>Cropland</v>
      </c>
      <c r="G3234" s="151" t="str">
        <f>'Reported burning'!G3234</f>
        <v>ND</v>
      </c>
      <c r="H3234" s="151" t="str">
        <f>'Reported burning'!H3234</f>
        <v>Presence</v>
      </c>
      <c r="I3234" s="5"/>
      <c r="J3234" s="198" t="s">
        <v>2272</v>
      </c>
      <c r="K3234" s="198" t="s">
        <v>2272</v>
      </c>
      <c r="L3234" s="198" t="s">
        <v>2272</v>
      </c>
      <c r="M3234" s="198" t="s">
        <v>2272</v>
      </c>
      <c r="N3234" s="198" t="s">
        <v>2272</v>
      </c>
      <c r="O3234" s="198" t="s">
        <v>2272</v>
      </c>
      <c r="P3234" s="198" t="s">
        <v>2272</v>
      </c>
      <c r="Q3234" s="198" t="s">
        <v>2272</v>
      </c>
      <c r="R3234" s="198" t="s">
        <v>2272</v>
      </c>
      <c r="S3234" s="198" t="s">
        <v>2272</v>
      </c>
      <c r="T3234" s="198" t="s">
        <v>2272</v>
      </c>
      <c r="U3234" s="14" t="s">
        <v>2369</v>
      </c>
      <c r="V3234" s="198" t="s">
        <v>2272</v>
      </c>
      <c r="W3234" s="198" t="s">
        <v>2272</v>
      </c>
      <c r="X3234" s="198" t="s">
        <v>2272</v>
      </c>
      <c r="Y3234" s="198" t="s">
        <v>2272</v>
      </c>
      <c r="Z3234" s="198" t="s">
        <v>2272</v>
      </c>
      <c r="AA3234" s="198" t="s">
        <v>2272</v>
      </c>
      <c r="AB3234" s="198"/>
      <c r="AC3234" s="198"/>
    </row>
    <row r="3235" spans="1:29" ht="29.5" customHeight="1">
      <c r="A3235" s="151" t="str">
        <f>'Reported burning'!A3235</f>
        <v>346a</v>
      </c>
      <c r="B3235" s="151" t="str">
        <f>'Reported burning'!B3235</f>
        <v>346a.1</v>
      </c>
      <c r="C3235" s="151" t="str">
        <f>'Reported burning'!C3235</f>
        <v>Human, deliberate</v>
      </c>
      <c r="D3235" s="151" t="str">
        <f>'Reported burning'!D3235</f>
        <v>Crop residue burning</v>
      </c>
      <c r="E3235" s="151" t="str">
        <f>'Reported burning'!E3235</f>
        <v>Cropping, Monoculture, Market-oriented</v>
      </c>
      <c r="F3235" s="151" t="str">
        <f>'Reported burning'!F3235</f>
        <v>Cropland</v>
      </c>
      <c r="G3235" s="151" t="str">
        <f>'Reported burning'!G3235</f>
        <v>ND</v>
      </c>
      <c r="H3235" s="151" t="str">
        <f>'Reported burning'!H3235</f>
        <v>Presence</v>
      </c>
      <c r="I3235" s="5"/>
      <c r="J3235" s="198" t="s">
        <v>2272</v>
      </c>
      <c r="K3235" s="198" t="s">
        <v>2272</v>
      </c>
      <c r="L3235" s="198" t="s">
        <v>2272</v>
      </c>
      <c r="M3235" s="198" t="s">
        <v>2272</v>
      </c>
      <c r="N3235" s="198" t="s">
        <v>2272</v>
      </c>
      <c r="O3235" s="198" t="s">
        <v>2272</v>
      </c>
      <c r="P3235" s="198" t="s">
        <v>2272</v>
      </c>
      <c r="Q3235" s="198" t="s">
        <v>2272</v>
      </c>
      <c r="R3235" s="198" t="s">
        <v>2272</v>
      </c>
      <c r="S3235" s="198" t="s">
        <v>2272</v>
      </c>
      <c r="T3235" s="198" t="s">
        <v>2272</v>
      </c>
      <c r="U3235" s="198" t="s">
        <v>2272</v>
      </c>
      <c r="V3235" s="198" t="s">
        <v>2272</v>
      </c>
      <c r="W3235" s="198" t="s">
        <v>2272</v>
      </c>
      <c r="X3235" s="198" t="s">
        <v>2272</v>
      </c>
      <c r="Y3235" s="198" t="s">
        <v>2272</v>
      </c>
      <c r="Z3235" s="198" t="s">
        <v>2272</v>
      </c>
      <c r="AA3235" s="198" t="s">
        <v>2272</v>
      </c>
      <c r="AB3235" s="198"/>
      <c r="AC3235" s="198"/>
    </row>
    <row r="3236" spans="1:29" ht="35.5" customHeight="1">
      <c r="A3236" s="151" t="str">
        <f>'Reported burning'!A3236</f>
        <v>347b</v>
      </c>
      <c r="B3236" s="151" t="str">
        <f>'Reported burning'!B3236</f>
        <v>347b.1</v>
      </c>
      <c r="C3236" s="151" t="str">
        <f>'Reported burning'!C3236</f>
        <v>Human, deliberate</v>
      </c>
      <c r="D3236" s="151" t="str">
        <f>'Reported burning'!D3236</f>
        <v>Crop residue burning</v>
      </c>
      <c r="E3236" s="151" t="str">
        <f>'Reported burning'!E3236</f>
        <v>Cropping, Monoculture, Market-oriented</v>
      </c>
      <c r="F3236" s="151" t="str">
        <f>'Reported burning'!F3236</f>
        <v>Cropland</v>
      </c>
      <c r="G3236" s="151" t="str">
        <f>'Reported burning'!G3236</f>
        <v>ND</v>
      </c>
      <c r="H3236" s="151" t="str">
        <f>'Reported burning'!H3236</f>
        <v>Presence</v>
      </c>
      <c r="I3236" s="5"/>
      <c r="J3236" s="198" t="s">
        <v>2272</v>
      </c>
      <c r="K3236" s="198" t="s">
        <v>2272</v>
      </c>
      <c r="L3236" s="198" t="s">
        <v>2272</v>
      </c>
      <c r="M3236" s="198" t="s">
        <v>2272</v>
      </c>
      <c r="N3236" s="198" t="s">
        <v>2272</v>
      </c>
      <c r="O3236" s="198" t="s">
        <v>2272</v>
      </c>
      <c r="P3236" s="198" t="s">
        <v>2272</v>
      </c>
      <c r="Q3236" s="198" t="s">
        <v>2272</v>
      </c>
      <c r="R3236" s="198" t="s">
        <v>2272</v>
      </c>
      <c r="S3236" s="198" t="s">
        <v>2272</v>
      </c>
      <c r="T3236" s="198" t="s">
        <v>2272</v>
      </c>
      <c r="U3236" s="198" t="s">
        <v>2272</v>
      </c>
      <c r="V3236" s="198" t="s">
        <v>2272</v>
      </c>
      <c r="W3236" s="198" t="s">
        <v>2272</v>
      </c>
      <c r="X3236" s="198" t="s">
        <v>2272</v>
      </c>
      <c r="Y3236" s="198" t="s">
        <v>2272</v>
      </c>
      <c r="Z3236" s="198" t="s">
        <v>2272</v>
      </c>
      <c r="AA3236" s="198" t="s">
        <v>2272</v>
      </c>
      <c r="AB3236" s="198" t="s">
        <v>8553</v>
      </c>
      <c r="AC3236" s="198"/>
    </row>
    <row r="3237" spans="1:29" ht="29">
      <c r="A3237" s="151" t="str">
        <f>'Reported burning'!A3237</f>
        <v>347c</v>
      </c>
      <c r="B3237" s="151" t="str">
        <f>'Reported burning'!B3237</f>
        <v>347c.1</v>
      </c>
      <c r="C3237" s="151" t="str">
        <f>'Reported burning'!C3237</f>
        <v>Human, deliberate</v>
      </c>
      <c r="D3237" s="151" t="str">
        <f>'Reported burning'!D3237</f>
        <v>Crop residue burning</v>
      </c>
      <c r="E3237" s="151" t="str">
        <f>'Reported burning'!E3237</f>
        <v>Cropping, Monoculture, Market-oriented</v>
      </c>
      <c r="F3237" s="151" t="str">
        <f>'Reported burning'!F3237</f>
        <v>Cropland</v>
      </c>
      <c r="G3237" s="151" t="str">
        <f>'Reported burning'!G3237</f>
        <v>ND</v>
      </c>
      <c r="H3237" s="151" t="str">
        <f>'Reported burning'!H3237</f>
        <v>Presence</v>
      </c>
      <c r="I3237" s="5"/>
      <c r="J3237" s="198" t="s">
        <v>2272</v>
      </c>
      <c r="K3237" s="198" t="s">
        <v>2272</v>
      </c>
      <c r="L3237" s="198" t="s">
        <v>2272</v>
      </c>
      <c r="M3237" s="198" t="s">
        <v>2272</v>
      </c>
      <c r="N3237" s="198" t="s">
        <v>2272</v>
      </c>
      <c r="O3237" s="198" t="s">
        <v>2272</v>
      </c>
      <c r="P3237" s="198" t="s">
        <v>2272</v>
      </c>
      <c r="Q3237" s="198" t="s">
        <v>2272</v>
      </c>
      <c r="R3237" s="198" t="s">
        <v>2272</v>
      </c>
      <c r="S3237" s="198" t="s">
        <v>2272</v>
      </c>
      <c r="T3237" s="198" t="s">
        <v>2272</v>
      </c>
      <c r="U3237" s="198" t="s">
        <v>2272</v>
      </c>
      <c r="V3237" s="198" t="s">
        <v>2272</v>
      </c>
      <c r="W3237" s="198" t="s">
        <v>2272</v>
      </c>
      <c r="X3237" s="198" t="s">
        <v>2272</v>
      </c>
      <c r="Y3237" s="198" t="s">
        <v>2272</v>
      </c>
      <c r="Z3237" s="198" t="s">
        <v>2272</v>
      </c>
      <c r="AA3237" s="198" t="s">
        <v>2272</v>
      </c>
      <c r="AB3237" s="198" t="s">
        <v>8553</v>
      </c>
      <c r="AC3237" s="198"/>
    </row>
    <row r="3238" spans="1:29" ht="29">
      <c r="A3238" s="151" t="str">
        <f>'Reported burning'!A3238</f>
        <v>348a</v>
      </c>
      <c r="B3238" s="151" t="str">
        <f>'Reported burning'!B3238</f>
        <v>348a.1</v>
      </c>
      <c r="C3238" s="151" t="str">
        <f>'Reported burning'!C3238</f>
        <v>Human, deliberate</v>
      </c>
      <c r="D3238" s="151" t="str">
        <f>'Reported burning'!D3238</f>
        <v>Crop residue burning</v>
      </c>
      <c r="E3238" s="151" t="str">
        <f>'Reported burning'!E3238</f>
        <v>Cropping, Monoculture, Market-oriented</v>
      </c>
      <c r="F3238" s="151" t="str">
        <f>'Reported burning'!F3238</f>
        <v>Cropland</v>
      </c>
      <c r="G3238" s="151" t="str">
        <f>'Reported burning'!G3238</f>
        <v>ND</v>
      </c>
      <c r="H3238" s="151" t="str">
        <f>'Reported burning'!H3238</f>
        <v>Presence</v>
      </c>
      <c r="I3238" s="5"/>
      <c r="J3238" s="198" t="s">
        <v>2272</v>
      </c>
      <c r="K3238" s="198" t="s">
        <v>2272</v>
      </c>
      <c r="L3238" s="198" t="s">
        <v>2272</v>
      </c>
      <c r="M3238" s="198" t="s">
        <v>2272</v>
      </c>
      <c r="N3238" s="198" t="s">
        <v>2272</v>
      </c>
      <c r="O3238" s="198" t="s">
        <v>2272</v>
      </c>
      <c r="P3238" s="198" t="s">
        <v>2272</v>
      </c>
      <c r="Q3238" s="198" t="s">
        <v>2272</v>
      </c>
      <c r="R3238" s="198" t="s">
        <v>2272</v>
      </c>
      <c r="S3238" s="198" t="s">
        <v>2272</v>
      </c>
      <c r="T3238" s="21" t="s">
        <v>2385</v>
      </c>
      <c r="U3238" s="198" t="s">
        <v>2272</v>
      </c>
      <c r="V3238" s="198" t="s">
        <v>2272</v>
      </c>
      <c r="W3238" s="198" t="s">
        <v>2272</v>
      </c>
      <c r="X3238" s="198" t="s">
        <v>2272</v>
      </c>
      <c r="Y3238" s="198" t="s">
        <v>2272</v>
      </c>
      <c r="Z3238" s="198" t="s">
        <v>2272</v>
      </c>
      <c r="AA3238" s="198" t="s">
        <v>2272</v>
      </c>
      <c r="AB3238" s="4" t="s">
        <v>8561</v>
      </c>
      <c r="AC3238" s="198"/>
    </row>
    <row r="3239" spans="1:29" ht="44.5" customHeight="1">
      <c r="A3239" s="151" t="str">
        <f>'Reported burning'!A3239</f>
        <v>348b</v>
      </c>
      <c r="B3239" s="151" t="str">
        <f>'Reported burning'!B3239</f>
        <v>348b.1</v>
      </c>
      <c r="C3239" s="151" t="str">
        <f>'Reported burning'!C3239</f>
        <v>Human, deliberate</v>
      </c>
      <c r="D3239" s="151" t="str">
        <f>'Reported burning'!D3239</f>
        <v>Crop residue burning</v>
      </c>
      <c r="E3239" s="151" t="str">
        <f>'Reported burning'!E3239</f>
        <v>Cropping, Monoculture, Market-oriented</v>
      </c>
      <c r="F3239" s="151" t="str">
        <f>'Reported burning'!F3239</f>
        <v>Cropland</v>
      </c>
      <c r="G3239" s="151" t="str">
        <f>'Reported burning'!G3239</f>
        <v>ND</v>
      </c>
      <c r="H3239" s="151" t="str">
        <f>'Reported burning'!H3239</f>
        <v>Presence</v>
      </c>
      <c r="I3239" s="5"/>
      <c r="J3239" s="198" t="s">
        <v>2272</v>
      </c>
      <c r="K3239" s="198" t="s">
        <v>2272</v>
      </c>
      <c r="L3239" s="198" t="s">
        <v>2272</v>
      </c>
      <c r="M3239" s="198" t="s">
        <v>2272</v>
      </c>
      <c r="N3239" s="198" t="s">
        <v>2272</v>
      </c>
      <c r="O3239" s="198" t="s">
        <v>2272</v>
      </c>
      <c r="P3239" s="198" t="s">
        <v>2272</v>
      </c>
      <c r="Q3239" s="198" t="s">
        <v>2272</v>
      </c>
      <c r="R3239" s="198" t="s">
        <v>2272</v>
      </c>
      <c r="S3239" s="198" t="s">
        <v>2272</v>
      </c>
      <c r="T3239" s="21" t="s">
        <v>2385</v>
      </c>
      <c r="U3239" s="198" t="s">
        <v>2272</v>
      </c>
      <c r="V3239" s="198" t="s">
        <v>2272</v>
      </c>
      <c r="W3239" s="198" t="s">
        <v>2272</v>
      </c>
      <c r="X3239" s="198" t="s">
        <v>2272</v>
      </c>
      <c r="Y3239" s="198" t="s">
        <v>2272</v>
      </c>
      <c r="Z3239" s="198" t="s">
        <v>2272</v>
      </c>
      <c r="AA3239" s="198" t="s">
        <v>2272</v>
      </c>
      <c r="AB3239" s="4" t="s">
        <v>8561</v>
      </c>
      <c r="AC3239" s="198"/>
    </row>
    <row r="3240" spans="1:29" ht="44.5" customHeight="1">
      <c r="A3240" s="147" t="str">
        <f>'Reported burning'!A3240</f>
        <v>349a</v>
      </c>
      <c r="B3240" s="147" t="str">
        <f>'Reported burning'!B3240</f>
        <v>349a.1</v>
      </c>
      <c r="C3240" s="147" t="str">
        <f>'Reported burning'!C3240</f>
        <v>Unknown</v>
      </c>
      <c r="D3240" s="147" t="str">
        <f>'Reported burning'!D3240</f>
        <v>ND</v>
      </c>
      <c r="E3240" s="147" t="str">
        <f>'Reported burning'!E3240</f>
        <v>Cattle, Extensive</v>
      </c>
      <c r="F3240" s="147" t="str">
        <f>'Reported burning'!F3240</f>
        <v>Shrubland (Mixed forest &amp; grassland)</v>
      </c>
      <c r="G3240" s="147" t="str">
        <f>'Reported burning'!G3240</f>
        <v>ND</v>
      </c>
      <c r="H3240" s="147" t="str">
        <f>'Reported burning'!H3240</f>
        <v>Presence</v>
      </c>
      <c r="I3240" s="198"/>
      <c r="J3240" s="198" t="s">
        <v>2272</v>
      </c>
      <c r="K3240" s="198" t="s">
        <v>2272</v>
      </c>
      <c r="L3240" s="198" t="s">
        <v>2272</v>
      </c>
      <c r="M3240" s="198" t="s">
        <v>2272</v>
      </c>
      <c r="N3240" s="198" t="s">
        <v>2272</v>
      </c>
      <c r="O3240" s="198" t="s">
        <v>2272</v>
      </c>
      <c r="P3240" s="198" t="s">
        <v>2272</v>
      </c>
      <c r="Q3240" s="198" t="s">
        <v>2272</v>
      </c>
      <c r="R3240" s="198" t="s">
        <v>2272</v>
      </c>
      <c r="S3240" s="198" t="s">
        <v>2272</v>
      </c>
      <c r="T3240" s="198" t="s">
        <v>2272</v>
      </c>
      <c r="U3240" s="198" t="s">
        <v>2272</v>
      </c>
      <c r="V3240" s="198" t="s">
        <v>2272</v>
      </c>
      <c r="W3240" s="198" t="s">
        <v>2272</v>
      </c>
      <c r="X3240" s="198" t="s">
        <v>2272</v>
      </c>
      <c r="Y3240" s="198" t="s">
        <v>403</v>
      </c>
      <c r="Z3240" s="198" t="s">
        <v>34</v>
      </c>
      <c r="AA3240" s="198" t="s">
        <v>2272</v>
      </c>
      <c r="AB3240" s="198"/>
      <c r="AC3240" s="198"/>
    </row>
    <row r="3241" spans="1:29" ht="41.5" customHeight="1">
      <c r="A3241" s="147" t="str">
        <f>'Reported burning'!A3241</f>
        <v>349b</v>
      </c>
      <c r="B3241" s="147" t="str">
        <f>'Reported burning'!B3241</f>
        <v>349b.1</v>
      </c>
      <c r="C3241" s="147" t="str">
        <f>'Reported burning'!C3241</f>
        <v>Unknown</v>
      </c>
      <c r="D3241" s="147" t="str">
        <f>'Reported burning'!D3241</f>
        <v>ND</v>
      </c>
      <c r="E3241" s="147" t="str">
        <f>'Reported burning'!E3241</f>
        <v>Cattle, Extensive</v>
      </c>
      <c r="F3241" s="147" t="str">
        <f>'Reported burning'!F3241</f>
        <v>Shrubland (Mixed forest &amp; grassland)</v>
      </c>
      <c r="G3241" s="147" t="str">
        <f>'Reported burning'!G3241</f>
        <v>ND</v>
      </c>
      <c r="H3241" s="147" t="str">
        <f>'Reported burning'!H3241</f>
        <v>Presence</v>
      </c>
      <c r="I3241" s="198"/>
      <c r="J3241" s="198" t="s">
        <v>2272</v>
      </c>
      <c r="K3241" s="198" t="s">
        <v>2272</v>
      </c>
      <c r="L3241" s="198" t="s">
        <v>2272</v>
      </c>
      <c r="M3241" s="198" t="s">
        <v>2272</v>
      </c>
      <c r="N3241" s="198" t="s">
        <v>2272</v>
      </c>
      <c r="O3241" s="198" t="s">
        <v>2272</v>
      </c>
      <c r="P3241" s="198" t="s">
        <v>2272</v>
      </c>
      <c r="Q3241" s="198" t="s">
        <v>2272</v>
      </c>
      <c r="R3241" s="198" t="s">
        <v>2272</v>
      </c>
      <c r="S3241" s="198" t="s">
        <v>2272</v>
      </c>
      <c r="T3241" s="198" t="s">
        <v>2272</v>
      </c>
      <c r="U3241" s="198" t="s">
        <v>2272</v>
      </c>
      <c r="V3241" s="198" t="s">
        <v>2272</v>
      </c>
      <c r="W3241" s="198" t="s">
        <v>2272</v>
      </c>
      <c r="X3241" s="198" t="s">
        <v>2272</v>
      </c>
      <c r="Y3241" s="198" t="s">
        <v>403</v>
      </c>
      <c r="Z3241" s="198" t="s">
        <v>34</v>
      </c>
      <c r="AA3241" s="198" t="s">
        <v>2272</v>
      </c>
      <c r="AB3241" s="198"/>
      <c r="AC3241" s="198"/>
    </row>
    <row r="3242" spans="1:29" ht="41.5" customHeight="1">
      <c r="A3242" s="147" t="str">
        <f>'Reported burning'!A3242</f>
        <v>349c</v>
      </c>
      <c r="B3242" s="147" t="str">
        <f>'Reported burning'!B3242</f>
        <v>349c.1</v>
      </c>
      <c r="C3242" s="147" t="str">
        <f>'Reported burning'!C3242</f>
        <v>Unknown</v>
      </c>
      <c r="D3242" s="147" t="str">
        <f>'Reported burning'!D3242</f>
        <v>ND</v>
      </c>
      <c r="E3242" s="147" t="str">
        <f>'Reported burning'!E3242</f>
        <v>Cattle, Extensive</v>
      </c>
      <c r="F3242" s="147" t="str">
        <f>'Reported burning'!F3242</f>
        <v>Shrubland (Mixed forest &amp; grassland)</v>
      </c>
      <c r="G3242" s="147" t="str">
        <f>'Reported burning'!G3242</f>
        <v>ND</v>
      </c>
      <c r="H3242" s="147" t="str">
        <f>'Reported burning'!H3242</f>
        <v>Presence</v>
      </c>
      <c r="I3242" s="198"/>
      <c r="J3242" s="198" t="s">
        <v>2272</v>
      </c>
      <c r="K3242" s="198" t="s">
        <v>2272</v>
      </c>
      <c r="L3242" s="198" t="s">
        <v>2272</v>
      </c>
      <c r="M3242" s="198" t="s">
        <v>2272</v>
      </c>
      <c r="N3242" s="198" t="s">
        <v>2272</v>
      </c>
      <c r="O3242" s="198" t="s">
        <v>2272</v>
      </c>
      <c r="P3242" s="198" t="s">
        <v>2272</v>
      </c>
      <c r="Q3242" s="198" t="s">
        <v>2272</v>
      </c>
      <c r="R3242" s="198" t="s">
        <v>2272</v>
      </c>
      <c r="S3242" s="198" t="s">
        <v>2272</v>
      </c>
      <c r="T3242" s="198" t="s">
        <v>2272</v>
      </c>
      <c r="U3242" s="198" t="s">
        <v>2272</v>
      </c>
      <c r="V3242" s="198" t="s">
        <v>2272</v>
      </c>
      <c r="W3242" s="198" t="s">
        <v>2272</v>
      </c>
      <c r="X3242" s="198" t="s">
        <v>2272</v>
      </c>
      <c r="Y3242" s="198" t="s">
        <v>403</v>
      </c>
      <c r="Z3242" s="198" t="s">
        <v>34</v>
      </c>
      <c r="AA3242" s="198" t="s">
        <v>2272</v>
      </c>
      <c r="AB3242" s="198"/>
      <c r="AC3242" s="198"/>
    </row>
    <row r="3243" spans="1:29" ht="41.5" customHeight="1">
      <c r="A3243" s="147" t="str">
        <f>'Reported burning'!A3243</f>
        <v>349d</v>
      </c>
      <c r="B3243" s="147" t="str">
        <f>'Reported burning'!B3243</f>
        <v>349d.1</v>
      </c>
      <c r="C3243" s="147" t="str">
        <f>'Reported burning'!C3243</f>
        <v>Unknown</v>
      </c>
      <c r="D3243" s="147" t="str">
        <f>'Reported burning'!D3243</f>
        <v>ND</v>
      </c>
      <c r="E3243" s="147" t="str">
        <f>'Reported burning'!E3243</f>
        <v>Cattle, Extensive</v>
      </c>
      <c r="F3243" s="147" t="str">
        <f>'Reported burning'!F3243</f>
        <v>Shrubland (Mixed forest &amp; grassland)</v>
      </c>
      <c r="G3243" s="147" t="str">
        <f>'Reported burning'!G3243</f>
        <v>ND</v>
      </c>
      <c r="H3243" s="147" t="str">
        <f>'Reported burning'!H3243</f>
        <v>Presence</v>
      </c>
      <c r="I3243" s="198"/>
      <c r="J3243" s="198" t="s">
        <v>2272</v>
      </c>
      <c r="K3243" s="198" t="s">
        <v>2272</v>
      </c>
      <c r="L3243" s="198" t="s">
        <v>2272</v>
      </c>
      <c r="M3243" s="198" t="s">
        <v>2272</v>
      </c>
      <c r="N3243" s="198" t="s">
        <v>2272</v>
      </c>
      <c r="O3243" s="198" t="s">
        <v>2272</v>
      </c>
      <c r="P3243" s="198" t="s">
        <v>2272</v>
      </c>
      <c r="Q3243" s="198" t="s">
        <v>2272</v>
      </c>
      <c r="R3243" s="198" t="s">
        <v>2272</v>
      </c>
      <c r="S3243" s="198" t="s">
        <v>2272</v>
      </c>
      <c r="T3243" s="198" t="s">
        <v>2272</v>
      </c>
      <c r="U3243" s="198" t="s">
        <v>2272</v>
      </c>
      <c r="V3243" s="198" t="s">
        <v>2272</v>
      </c>
      <c r="W3243" s="198" t="s">
        <v>2272</v>
      </c>
      <c r="X3243" s="198" t="s">
        <v>2272</v>
      </c>
      <c r="Y3243" s="198" t="s">
        <v>403</v>
      </c>
      <c r="Z3243" s="198" t="s">
        <v>34</v>
      </c>
      <c r="AA3243" s="198" t="s">
        <v>2272</v>
      </c>
      <c r="AB3243" s="198"/>
      <c r="AC3243" s="198"/>
    </row>
    <row r="3244" spans="1:29" ht="40" customHeight="1">
      <c r="A3244" s="151" t="str">
        <f>'Reported burning'!A3244</f>
        <v>350a</v>
      </c>
      <c r="B3244" s="151" t="str">
        <f>'Reported burning'!B3244</f>
        <v>350a.1</v>
      </c>
      <c r="C3244" s="151" t="str">
        <f>'Reported burning'!C3244</f>
        <v>Human, deliberate</v>
      </c>
      <c r="D3244" s="151" t="str">
        <f>'Reported burning'!D3244</f>
        <v>Crop residue burning</v>
      </c>
      <c r="E3244" s="151" t="str">
        <f>'Reported burning'!E3244</f>
        <v>Cropping, Intensive</v>
      </c>
      <c r="F3244" s="151" t="str">
        <f>'Reported burning'!F3244</f>
        <v>Cropland</v>
      </c>
      <c r="G3244" s="151" t="str">
        <f>'Reported burning'!G3244</f>
        <v>Cropland</v>
      </c>
      <c r="H3244" s="151" t="str">
        <f>'Reported burning'!H3244</f>
        <v>Presence</v>
      </c>
      <c r="I3244" s="5"/>
      <c r="J3244" s="198" t="s">
        <v>2272</v>
      </c>
      <c r="K3244" s="198" t="s">
        <v>2272</v>
      </c>
      <c r="L3244" s="21" t="s">
        <v>2358</v>
      </c>
      <c r="M3244" s="21" t="s">
        <v>2358</v>
      </c>
      <c r="N3244" s="21" t="s">
        <v>2369</v>
      </c>
      <c r="O3244" s="21" t="s">
        <v>2369</v>
      </c>
      <c r="P3244" s="198" t="s">
        <v>2272</v>
      </c>
      <c r="Q3244" s="198" t="s">
        <v>2272</v>
      </c>
      <c r="R3244" s="198" t="s">
        <v>2272</v>
      </c>
      <c r="S3244" s="198" t="s">
        <v>2272</v>
      </c>
      <c r="T3244" s="198" t="s">
        <v>2272</v>
      </c>
      <c r="U3244" s="198" t="s">
        <v>2272</v>
      </c>
      <c r="V3244" s="198" t="s">
        <v>2272</v>
      </c>
      <c r="W3244" s="198" t="s">
        <v>2272</v>
      </c>
      <c r="X3244" s="198" t="s">
        <v>2272</v>
      </c>
      <c r="Y3244" s="198" t="s">
        <v>34</v>
      </c>
      <c r="Z3244" s="198" t="s">
        <v>125</v>
      </c>
      <c r="AA3244" s="198" t="s">
        <v>63</v>
      </c>
      <c r="AB3244" s="198"/>
      <c r="AC3244" s="4" t="s">
        <v>8591</v>
      </c>
    </row>
    <row r="3245" spans="1:29" ht="45.5" customHeight="1">
      <c r="A3245" s="151" t="str">
        <f>'Reported burning'!A3245</f>
        <v>350a</v>
      </c>
      <c r="B3245" s="151" t="str">
        <f>'Reported burning'!B3245</f>
        <v>350a.2</v>
      </c>
      <c r="C3245" s="151" t="str">
        <f>'Reported burning'!C3245</f>
        <v>Human, deliberate</v>
      </c>
      <c r="D3245" s="151" t="str">
        <f>'Reported burning'!D3245</f>
        <v>Crop residue burning</v>
      </c>
      <c r="E3245" s="151" t="str">
        <f>'Reported burning'!E3245</f>
        <v>Cropping, Intensive</v>
      </c>
      <c r="F3245" s="151" t="str">
        <f>'Reported burning'!F3245</f>
        <v>Cropland</v>
      </c>
      <c r="G3245" s="151" t="str">
        <f>'Reported burning'!G3245</f>
        <v>Cropland</v>
      </c>
      <c r="H3245" s="151" t="str">
        <f>'Reported burning'!H3245</f>
        <v>Presence</v>
      </c>
      <c r="I3245" s="5"/>
      <c r="J3245" s="198" t="s">
        <v>2272</v>
      </c>
      <c r="K3245" s="198" t="s">
        <v>2272</v>
      </c>
      <c r="L3245" s="21" t="s">
        <v>2358</v>
      </c>
      <c r="M3245" s="21" t="s">
        <v>2358</v>
      </c>
      <c r="N3245" s="21" t="s">
        <v>2369</v>
      </c>
      <c r="O3245" s="21" t="s">
        <v>2369</v>
      </c>
      <c r="P3245" s="198" t="s">
        <v>2272</v>
      </c>
      <c r="Q3245" s="198" t="s">
        <v>2272</v>
      </c>
      <c r="R3245" s="198" t="s">
        <v>2272</v>
      </c>
      <c r="S3245" s="198" t="s">
        <v>2272</v>
      </c>
      <c r="T3245" s="198" t="s">
        <v>2272</v>
      </c>
      <c r="U3245" s="198" t="s">
        <v>2272</v>
      </c>
      <c r="V3245" s="198" t="s">
        <v>2272</v>
      </c>
      <c r="W3245" s="198" t="s">
        <v>2272</v>
      </c>
      <c r="X3245" s="198" t="s">
        <v>2272</v>
      </c>
      <c r="Y3245" s="198" t="s">
        <v>33</v>
      </c>
      <c r="Z3245" s="198" t="s">
        <v>402</v>
      </c>
      <c r="AA3245" s="198" t="s">
        <v>63</v>
      </c>
      <c r="AB3245" s="198"/>
      <c r="AC3245" s="4" t="s">
        <v>8591</v>
      </c>
    </row>
    <row r="3246" spans="1:29" ht="48.5" customHeight="1">
      <c r="A3246" s="151" t="str">
        <f>'Reported burning'!A3246</f>
        <v>351a</v>
      </c>
      <c r="B3246" s="151" t="str">
        <f>'Reported burning'!B3246</f>
        <v>351a.1</v>
      </c>
      <c r="C3246" s="151" t="str">
        <f>'Reported burning'!C3246</f>
        <v>Human, deliberate</v>
      </c>
      <c r="D3246" s="151" t="str">
        <f>'Reported burning'!D3246</f>
        <v>Crop residue burning</v>
      </c>
      <c r="E3246" s="151" t="str">
        <f>'Reported burning'!E3246</f>
        <v>ND</v>
      </c>
      <c r="F3246" s="151" t="str">
        <f>'Reported burning'!F3246</f>
        <v>Cropland</v>
      </c>
      <c r="G3246" s="151" t="str">
        <f>'Reported burning'!G3246</f>
        <v>ND</v>
      </c>
      <c r="H3246" s="151" t="str">
        <f>'Reported burning'!H3246</f>
        <v>Presence</v>
      </c>
      <c r="I3246" s="5"/>
      <c r="J3246" s="198" t="s">
        <v>2272</v>
      </c>
      <c r="K3246" s="198" t="s">
        <v>2272</v>
      </c>
      <c r="L3246" s="198" t="s">
        <v>2272</v>
      </c>
      <c r="M3246" s="198" t="s">
        <v>2272</v>
      </c>
      <c r="N3246" s="198" t="s">
        <v>2272</v>
      </c>
      <c r="O3246" s="198" t="s">
        <v>2272</v>
      </c>
      <c r="P3246" s="198" t="s">
        <v>2272</v>
      </c>
      <c r="Q3246" s="198" t="s">
        <v>2272</v>
      </c>
      <c r="R3246" s="198" t="s">
        <v>2272</v>
      </c>
      <c r="S3246" s="198" t="s">
        <v>2272</v>
      </c>
      <c r="T3246" s="198" t="s">
        <v>2272</v>
      </c>
      <c r="U3246" s="198" t="s">
        <v>2272</v>
      </c>
      <c r="V3246" s="198" t="s">
        <v>2272</v>
      </c>
      <c r="W3246" s="198" t="s">
        <v>2272</v>
      </c>
      <c r="X3246" s="198" t="s">
        <v>2272</v>
      </c>
      <c r="Y3246" s="198" t="s">
        <v>84</v>
      </c>
      <c r="Z3246" s="198" t="s">
        <v>34</v>
      </c>
      <c r="AA3246" s="198" t="s">
        <v>2272</v>
      </c>
      <c r="AB3246" s="198"/>
      <c r="AC3246" s="198"/>
    </row>
    <row r="3247" spans="1:29" ht="44" customHeight="1">
      <c r="A3247" s="151" t="str">
        <f>'Reported burning'!A3247</f>
        <v>351b</v>
      </c>
      <c r="B3247" s="151" t="str">
        <f>'Reported burning'!B3247</f>
        <v>351b.1</v>
      </c>
      <c r="C3247" s="151" t="str">
        <f>'Reported burning'!C3247</f>
        <v>Human, deliberate</v>
      </c>
      <c r="D3247" s="151" t="str">
        <f>'Reported burning'!D3247</f>
        <v>Crop residue burning</v>
      </c>
      <c r="E3247" s="151" t="str">
        <f>'Reported burning'!E3247</f>
        <v>ND</v>
      </c>
      <c r="F3247" s="151" t="str">
        <f>'Reported burning'!F3247</f>
        <v>Cropland</v>
      </c>
      <c r="G3247" s="151" t="str">
        <f>'Reported burning'!G3247</f>
        <v>ND</v>
      </c>
      <c r="H3247" s="151" t="str">
        <f>'Reported burning'!H3247</f>
        <v>Presence</v>
      </c>
      <c r="I3247" s="5"/>
      <c r="J3247" s="198" t="s">
        <v>2272</v>
      </c>
      <c r="K3247" s="198" t="s">
        <v>2272</v>
      </c>
      <c r="L3247" s="198" t="s">
        <v>2272</v>
      </c>
      <c r="M3247" s="198" t="s">
        <v>2272</v>
      </c>
      <c r="N3247" s="198" t="s">
        <v>2272</v>
      </c>
      <c r="O3247" s="198" t="s">
        <v>2272</v>
      </c>
      <c r="P3247" s="198" t="s">
        <v>2272</v>
      </c>
      <c r="Q3247" s="198" t="s">
        <v>2272</v>
      </c>
      <c r="R3247" s="198" t="s">
        <v>2272</v>
      </c>
      <c r="S3247" s="198" t="s">
        <v>2272</v>
      </c>
      <c r="T3247" s="198" t="s">
        <v>2272</v>
      </c>
      <c r="U3247" s="198" t="s">
        <v>2272</v>
      </c>
      <c r="V3247" s="198" t="s">
        <v>2272</v>
      </c>
      <c r="W3247" s="198" t="s">
        <v>2272</v>
      </c>
      <c r="X3247" s="198" t="s">
        <v>2272</v>
      </c>
      <c r="Y3247" s="198" t="s">
        <v>84</v>
      </c>
      <c r="Z3247" s="198" t="s">
        <v>67</v>
      </c>
      <c r="AA3247" s="198" t="s">
        <v>2272</v>
      </c>
      <c r="AB3247" s="198"/>
      <c r="AC3247" s="198"/>
    </row>
    <row r="3248" spans="1:29" ht="39" customHeight="1">
      <c r="A3248" s="151" t="str">
        <f>'Reported burning'!A3248</f>
        <v>351c</v>
      </c>
      <c r="B3248" s="151" t="str">
        <f>'Reported burning'!B3248</f>
        <v>351c.1</v>
      </c>
      <c r="C3248" s="151" t="str">
        <f>'Reported burning'!C3248</f>
        <v>Human, deliberate</v>
      </c>
      <c r="D3248" s="151" t="str">
        <f>'Reported burning'!D3248</f>
        <v>Crop residue burning</v>
      </c>
      <c r="E3248" s="151" t="str">
        <f>'Reported burning'!E3248</f>
        <v>ND</v>
      </c>
      <c r="F3248" s="151" t="str">
        <f>'Reported burning'!F3248</f>
        <v>Cropland</v>
      </c>
      <c r="G3248" s="151" t="str">
        <f>'Reported burning'!G3248</f>
        <v>ND</v>
      </c>
      <c r="H3248" s="151" t="str">
        <f>'Reported burning'!H3248</f>
        <v>Presence</v>
      </c>
      <c r="I3248" s="5"/>
      <c r="J3248" s="198" t="s">
        <v>2272</v>
      </c>
      <c r="K3248" s="198" t="s">
        <v>2272</v>
      </c>
      <c r="L3248" s="198" t="s">
        <v>2272</v>
      </c>
      <c r="M3248" s="198" t="s">
        <v>2272</v>
      </c>
      <c r="N3248" s="198" t="s">
        <v>2272</v>
      </c>
      <c r="O3248" s="198" t="s">
        <v>2272</v>
      </c>
      <c r="P3248" s="198" t="s">
        <v>2272</v>
      </c>
      <c r="Q3248" s="198" t="s">
        <v>2272</v>
      </c>
      <c r="R3248" s="198" t="s">
        <v>2272</v>
      </c>
      <c r="S3248" s="198" t="s">
        <v>2272</v>
      </c>
      <c r="T3248" s="198" t="s">
        <v>2272</v>
      </c>
      <c r="U3248" s="198" t="s">
        <v>2272</v>
      </c>
      <c r="V3248" s="198" t="s">
        <v>2272</v>
      </c>
      <c r="W3248" s="198" t="s">
        <v>2272</v>
      </c>
      <c r="X3248" s="198" t="s">
        <v>2272</v>
      </c>
      <c r="Y3248" s="198" t="s">
        <v>84</v>
      </c>
      <c r="Z3248" s="198" t="s">
        <v>67</v>
      </c>
      <c r="AA3248" s="198" t="s">
        <v>2272</v>
      </c>
      <c r="AB3248" s="198"/>
      <c r="AC3248" s="198"/>
    </row>
    <row r="3249" spans="1:29" ht="39" customHeight="1">
      <c r="A3249" s="151" t="str">
        <f>'Reported burning'!A3249</f>
        <v>351d</v>
      </c>
      <c r="B3249" s="151" t="str">
        <f>'Reported burning'!B3249</f>
        <v>351d.1</v>
      </c>
      <c r="C3249" s="151" t="str">
        <f>'Reported burning'!C3249</f>
        <v>Human, deliberate</v>
      </c>
      <c r="D3249" s="151" t="str">
        <f>'Reported burning'!D3249</f>
        <v>Crop residue burning</v>
      </c>
      <c r="E3249" s="151" t="str">
        <f>'Reported burning'!E3249</f>
        <v>ND</v>
      </c>
      <c r="F3249" s="151" t="str">
        <f>'Reported burning'!F3249</f>
        <v>Cropland</v>
      </c>
      <c r="G3249" s="151" t="str">
        <f>'Reported burning'!G3249</f>
        <v>ND</v>
      </c>
      <c r="H3249" s="151" t="str">
        <f>'Reported burning'!H3249</f>
        <v>Presence</v>
      </c>
      <c r="I3249" s="5"/>
      <c r="J3249" s="198" t="s">
        <v>2272</v>
      </c>
      <c r="K3249" s="198" t="s">
        <v>2272</v>
      </c>
      <c r="L3249" s="198" t="s">
        <v>2272</v>
      </c>
      <c r="M3249" s="198" t="s">
        <v>2272</v>
      </c>
      <c r="N3249" s="198" t="s">
        <v>2272</v>
      </c>
      <c r="O3249" s="198" t="s">
        <v>2272</v>
      </c>
      <c r="P3249" s="198" t="s">
        <v>2272</v>
      </c>
      <c r="Q3249" s="198" t="s">
        <v>2272</v>
      </c>
      <c r="R3249" s="198" t="s">
        <v>2272</v>
      </c>
      <c r="S3249" s="198" t="s">
        <v>2272</v>
      </c>
      <c r="T3249" s="198" t="s">
        <v>2272</v>
      </c>
      <c r="U3249" s="198" t="s">
        <v>2272</v>
      </c>
      <c r="V3249" s="198" t="s">
        <v>2272</v>
      </c>
      <c r="W3249" s="198" t="s">
        <v>2272</v>
      </c>
      <c r="X3249" s="198" t="s">
        <v>2272</v>
      </c>
      <c r="Y3249" s="198" t="s">
        <v>84</v>
      </c>
      <c r="Z3249" s="198" t="s">
        <v>67</v>
      </c>
      <c r="AA3249" s="198" t="s">
        <v>2272</v>
      </c>
      <c r="AB3249" s="198"/>
      <c r="AC3249" s="198"/>
    </row>
    <row r="3250" spans="1:29" ht="39" customHeight="1">
      <c r="A3250" s="151" t="str">
        <f>'Reported burning'!A3250</f>
        <v>351e</v>
      </c>
      <c r="B3250" s="151" t="str">
        <f>'Reported burning'!B3250</f>
        <v>351e.1</v>
      </c>
      <c r="C3250" s="151" t="str">
        <f>'Reported burning'!C3250</f>
        <v>Human, deliberate</v>
      </c>
      <c r="D3250" s="151" t="str">
        <f>'Reported burning'!D3250</f>
        <v>Crop residue burning</v>
      </c>
      <c r="E3250" s="151" t="str">
        <f>'Reported burning'!E3250</f>
        <v>ND</v>
      </c>
      <c r="F3250" s="151" t="str">
        <f>'Reported burning'!F3250</f>
        <v>Cropland</v>
      </c>
      <c r="G3250" s="151" t="str">
        <f>'Reported burning'!G3250</f>
        <v>ND</v>
      </c>
      <c r="H3250" s="151" t="str">
        <f>'Reported burning'!H3250</f>
        <v>Presence</v>
      </c>
      <c r="I3250" s="5"/>
      <c r="J3250" s="198" t="s">
        <v>2272</v>
      </c>
      <c r="K3250" s="198" t="s">
        <v>2272</v>
      </c>
      <c r="L3250" s="198" t="s">
        <v>2272</v>
      </c>
      <c r="M3250" s="198" t="s">
        <v>2272</v>
      </c>
      <c r="N3250" s="198" t="s">
        <v>2272</v>
      </c>
      <c r="O3250" s="198" t="s">
        <v>2272</v>
      </c>
      <c r="P3250" s="198" t="s">
        <v>2272</v>
      </c>
      <c r="Q3250" s="198" t="s">
        <v>2272</v>
      </c>
      <c r="R3250" s="198" t="s">
        <v>2272</v>
      </c>
      <c r="S3250" s="198" t="s">
        <v>2272</v>
      </c>
      <c r="T3250" s="198" t="s">
        <v>2272</v>
      </c>
      <c r="U3250" s="198" t="s">
        <v>2272</v>
      </c>
      <c r="V3250" s="198" t="s">
        <v>2272</v>
      </c>
      <c r="W3250" s="198" t="s">
        <v>2272</v>
      </c>
      <c r="X3250" s="198" t="s">
        <v>2272</v>
      </c>
      <c r="Y3250" s="198" t="s">
        <v>84</v>
      </c>
      <c r="Z3250" s="198" t="s">
        <v>67</v>
      </c>
      <c r="AA3250" s="198" t="s">
        <v>2272</v>
      </c>
      <c r="AB3250" s="198"/>
      <c r="AC3250" s="198"/>
    </row>
    <row r="3251" spans="1:29" ht="39" customHeight="1">
      <c r="A3251" s="151" t="str">
        <f>'Reported burning'!A3251</f>
        <v>351f</v>
      </c>
      <c r="B3251" s="151" t="str">
        <f>'Reported burning'!B3251</f>
        <v>351f.1</v>
      </c>
      <c r="C3251" s="151" t="str">
        <f>'Reported burning'!C3251</f>
        <v>Human, deliberate</v>
      </c>
      <c r="D3251" s="151" t="str">
        <f>'Reported burning'!D3251</f>
        <v>Crop residue burning</v>
      </c>
      <c r="E3251" s="151" t="str">
        <f>'Reported burning'!E3251</f>
        <v>ND</v>
      </c>
      <c r="F3251" s="151" t="str">
        <f>'Reported burning'!F3251</f>
        <v>Cropland</v>
      </c>
      <c r="G3251" s="151" t="str">
        <f>'Reported burning'!G3251</f>
        <v>ND</v>
      </c>
      <c r="H3251" s="151" t="str">
        <f>'Reported burning'!H3251</f>
        <v>Presence</v>
      </c>
      <c r="I3251" s="5"/>
      <c r="J3251" s="198" t="s">
        <v>2272</v>
      </c>
      <c r="K3251" s="198" t="s">
        <v>2272</v>
      </c>
      <c r="L3251" s="198" t="s">
        <v>2272</v>
      </c>
      <c r="M3251" s="198" t="s">
        <v>2272</v>
      </c>
      <c r="N3251" s="198" t="s">
        <v>2272</v>
      </c>
      <c r="O3251" s="198" t="s">
        <v>2272</v>
      </c>
      <c r="P3251" s="198" t="s">
        <v>2272</v>
      </c>
      <c r="Q3251" s="198" t="s">
        <v>2272</v>
      </c>
      <c r="R3251" s="198" t="s">
        <v>2272</v>
      </c>
      <c r="S3251" s="198" t="s">
        <v>2272</v>
      </c>
      <c r="T3251" s="198" t="s">
        <v>2272</v>
      </c>
      <c r="U3251" s="198" t="s">
        <v>2272</v>
      </c>
      <c r="V3251" s="198" t="s">
        <v>2272</v>
      </c>
      <c r="W3251" s="198" t="s">
        <v>2272</v>
      </c>
      <c r="X3251" s="198" t="s">
        <v>2272</v>
      </c>
      <c r="Y3251" s="198" t="s">
        <v>33</v>
      </c>
      <c r="Z3251" s="198" t="s">
        <v>33</v>
      </c>
      <c r="AA3251" s="198" t="s">
        <v>2272</v>
      </c>
      <c r="AB3251" s="198"/>
      <c r="AC3251" s="198"/>
    </row>
    <row r="3252" spans="1:29" ht="39" customHeight="1">
      <c r="A3252" s="151" t="str">
        <f>'Reported burning'!A3252</f>
        <v>351g</v>
      </c>
      <c r="B3252" s="151" t="str">
        <f>'Reported burning'!B3252</f>
        <v>351g.1</v>
      </c>
      <c r="C3252" s="151" t="str">
        <f>'Reported burning'!C3252</f>
        <v>Human, deliberate</v>
      </c>
      <c r="D3252" s="151" t="str">
        <f>'Reported burning'!D3252</f>
        <v>Crop residue burning</v>
      </c>
      <c r="E3252" s="151" t="str">
        <f>'Reported burning'!E3252</f>
        <v>ND</v>
      </c>
      <c r="F3252" s="151" t="str">
        <f>'Reported burning'!F3252</f>
        <v>Cropland</v>
      </c>
      <c r="G3252" s="151" t="str">
        <f>'Reported burning'!G3252</f>
        <v>ND</v>
      </c>
      <c r="H3252" s="151" t="str">
        <f>'Reported burning'!H3252</f>
        <v>Presence</v>
      </c>
      <c r="I3252" s="5"/>
      <c r="J3252" s="198" t="s">
        <v>2272</v>
      </c>
      <c r="K3252" s="198" t="s">
        <v>2272</v>
      </c>
      <c r="L3252" s="198" t="s">
        <v>2272</v>
      </c>
      <c r="M3252" s="198" t="s">
        <v>2272</v>
      </c>
      <c r="N3252" s="198" t="s">
        <v>2272</v>
      </c>
      <c r="O3252" s="198" t="s">
        <v>2272</v>
      </c>
      <c r="P3252" s="198" t="s">
        <v>2272</v>
      </c>
      <c r="Q3252" s="198" t="s">
        <v>2272</v>
      </c>
      <c r="R3252" s="198" t="s">
        <v>2272</v>
      </c>
      <c r="S3252" s="198" t="s">
        <v>2272</v>
      </c>
      <c r="T3252" s="198" t="s">
        <v>2272</v>
      </c>
      <c r="U3252" s="198" t="s">
        <v>2272</v>
      </c>
      <c r="V3252" s="198" t="s">
        <v>2272</v>
      </c>
      <c r="W3252" s="198" t="s">
        <v>2272</v>
      </c>
      <c r="X3252" s="198" t="s">
        <v>2272</v>
      </c>
      <c r="Y3252" s="198" t="s">
        <v>33</v>
      </c>
      <c r="Z3252" s="198" t="s">
        <v>33</v>
      </c>
      <c r="AA3252" s="198" t="s">
        <v>2272</v>
      </c>
      <c r="AB3252" s="198"/>
      <c r="AC3252" s="198"/>
    </row>
    <row r="3253" spans="1:29" ht="39" customHeight="1">
      <c r="A3253" s="151" t="str">
        <f>'Reported burning'!A3253</f>
        <v>351f</v>
      </c>
      <c r="B3253" s="151" t="str">
        <f>'Reported burning'!B3253</f>
        <v>351f.2</v>
      </c>
      <c r="C3253" s="151" t="str">
        <f>'Reported burning'!C3253</f>
        <v>Human, deliberate</v>
      </c>
      <c r="D3253" s="151" t="str">
        <f>'Reported burning'!D3253</f>
        <v>Crop residue burning</v>
      </c>
      <c r="E3253" s="151" t="str">
        <f>'Reported burning'!E3253</f>
        <v>ND</v>
      </c>
      <c r="F3253" s="151" t="str">
        <f>'Reported burning'!F3253</f>
        <v>Cropland</v>
      </c>
      <c r="G3253" s="151" t="str">
        <f>'Reported burning'!G3253</f>
        <v>ND</v>
      </c>
      <c r="H3253" s="151" t="str">
        <f>'Reported burning'!H3253</f>
        <v>Presence</v>
      </c>
      <c r="I3253" s="5"/>
      <c r="J3253" s="198" t="s">
        <v>2272</v>
      </c>
      <c r="K3253" s="198" t="s">
        <v>2272</v>
      </c>
      <c r="L3253" s="198" t="s">
        <v>2272</v>
      </c>
      <c r="M3253" s="198" t="s">
        <v>2272</v>
      </c>
      <c r="N3253" s="198" t="s">
        <v>2272</v>
      </c>
      <c r="O3253" s="198" t="s">
        <v>2272</v>
      </c>
      <c r="P3253" s="198" t="s">
        <v>2272</v>
      </c>
      <c r="Q3253" s="198" t="s">
        <v>2272</v>
      </c>
      <c r="R3253" s="198" t="s">
        <v>2272</v>
      </c>
      <c r="S3253" s="198" t="s">
        <v>2272</v>
      </c>
      <c r="T3253" s="198" t="s">
        <v>2272</v>
      </c>
      <c r="U3253" s="198" t="s">
        <v>2272</v>
      </c>
      <c r="V3253" s="198" t="s">
        <v>2272</v>
      </c>
      <c r="W3253" s="198" t="s">
        <v>2272</v>
      </c>
      <c r="X3253" s="198" t="s">
        <v>2272</v>
      </c>
      <c r="Y3253" s="198" t="s">
        <v>67</v>
      </c>
      <c r="Z3253" s="198" t="s">
        <v>34</v>
      </c>
      <c r="AA3253" s="198" t="s">
        <v>2272</v>
      </c>
      <c r="AB3253" s="198"/>
      <c r="AC3253" s="198"/>
    </row>
    <row r="3254" spans="1:29" ht="39" customHeight="1">
      <c r="A3254" s="151" t="str">
        <f>'Reported burning'!A3254</f>
        <v>351g</v>
      </c>
      <c r="B3254" s="151" t="str">
        <f>'Reported burning'!B3254</f>
        <v>351g.2</v>
      </c>
      <c r="C3254" s="151" t="str">
        <f>'Reported burning'!C3254</f>
        <v>Human, deliberate</v>
      </c>
      <c r="D3254" s="151" t="str">
        <f>'Reported burning'!D3254</f>
        <v>Crop residue burning</v>
      </c>
      <c r="E3254" s="151" t="str">
        <f>'Reported burning'!E3254</f>
        <v>ND</v>
      </c>
      <c r="F3254" s="151" t="str">
        <f>'Reported burning'!F3254</f>
        <v>Cropland</v>
      </c>
      <c r="G3254" s="151" t="str">
        <f>'Reported burning'!G3254</f>
        <v>ND</v>
      </c>
      <c r="H3254" s="151" t="str">
        <f>'Reported burning'!H3254</f>
        <v>Presence</v>
      </c>
      <c r="I3254" s="5"/>
      <c r="J3254" s="198" t="s">
        <v>2272</v>
      </c>
      <c r="K3254" s="198" t="s">
        <v>2272</v>
      </c>
      <c r="L3254" s="198" t="s">
        <v>2272</v>
      </c>
      <c r="M3254" s="198" t="s">
        <v>2272</v>
      </c>
      <c r="N3254" s="198" t="s">
        <v>2272</v>
      </c>
      <c r="O3254" s="198" t="s">
        <v>2272</v>
      </c>
      <c r="P3254" s="198" t="s">
        <v>2272</v>
      </c>
      <c r="Q3254" s="198" t="s">
        <v>2272</v>
      </c>
      <c r="R3254" s="198" t="s">
        <v>2272</v>
      </c>
      <c r="S3254" s="198" t="s">
        <v>2272</v>
      </c>
      <c r="T3254" s="198" t="s">
        <v>2272</v>
      </c>
      <c r="U3254" s="198" t="s">
        <v>2272</v>
      </c>
      <c r="V3254" s="198" t="s">
        <v>2272</v>
      </c>
      <c r="W3254" s="198" t="s">
        <v>2272</v>
      </c>
      <c r="X3254" s="198" t="s">
        <v>2272</v>
      </c>
      <c r="Y3254" s="198" t="s">
        <v>67</v>
      </c>
      <c r="Z3254" s="198" t="s">
        <v>34</v>
      </c>
      <c r="AA3254" s="198" t="s">
        <v>2272</v>
      </c>
      <c r="AB3254" s="198"/>
      <c r="AC3254" s="198"/>
    </row>
    <row r="3255" spans="1:29" ht="41" customHeight="1">
      <c r="A3255" s="151" t="str">
        <f>'Reported burning'!A3255</f>
        <v>352a</v>
      </c>
      <c r="B3255" s="151" t="str">
        <f>'Reported burning'!B3255</f>
        <v>352a.1</v>
      </c>
      <c r="C3255" s="151" t="str">
        <f>'Reported burning'!C3255</f>
        <v>Human, deliberate</v>
      </c>
      <c r="D3255" s="151" t="str">
        <f>'Reported burning'!D3255</f>
        <v>Crop residue burning</v>
      </c>
      <c r="E3255" s="151" t="str">
        <f>'Reported burning'!E3255</f>
        <v>ND</v>
      </c>
      <c r="F3255" s="151" t="str">
        <f>'Reported burning'!F3255</f>
        <v>Cropland</v>
      </c>
      <c r="G3255" s="151" t="str">
        <f>'Reported burning'!G3255</f>
        <v>ND</v>
      </c>
      <c r="H3255" s="151" t="str">
        <f>'Reported burning'!H3255</f>
        <v>Presence</v>
      </c>
      <c r="I3255" s="5"/>
      <c r="J3255" s="198" t="s">
        <v>2272</v>
      </c>
      <c r="K3255" s="198" t="s">
        <v>2272</v>
      </c>
      <c r="L3255" s="198" t="s">
        <v>2272</v>
      </c>
      <c r="M3255" s="198" t="s">
        <v>2272</v>
      </c>
      <c r="N3255" s="198" t="s">
        <v>2272</v>
      </c>
      <c r="O3255" s="198" t="s">
        <v>2272</v>
      </c>
      <c r="P3255" s="198" t="s">
        <v>2272</v>
      </c>
      <c r="Q3255" s="198" t="s">
        <v>2272</v>
      </c>
      <c r="R3255" s="198" t="s">
        <v>2272</v>
      </c>
      <c r="S3255" s="198" t="s">
        <v>2272</v>
      </c>
      <c r="T3255" s="198" t="s">
        <v>2272</v>
      </c>
      <c r="U3255" s="198" t="s">
        <v>2272</v>
      </c>
      <c r="V3255" s="198" t="s">
        <v>2272</v>
      </c>
      <c r="W3255" s="198" t="s">
        <v>2272</v>
      </c>
      <c r="X3255" s="198" t="s">
        <v>2272</v>
      </c>
      <c r="Y3255" s="198" t="s">
        <v>2272</v>
      </c>
      <c r="Z3255" s="198" t="s">
        <v>2272</v>
      </c>
      <c r="AA3255" s="198" t="s">
        <v>2272</v>
      </c>
      <c r="AB3255" s="198"/>
      <c r="AC3255" s="198"/>
    </row>
    <row r="3256" spans="1:29" ht="41" customHeight="1">
      <c r="A3256" s="151" t="str">
        <f>'Reported burning'!A3256</f>
        <v>352b</v>
      </c>
      <c r="B3256" s="151" t="str">
        <f>'Reported burning'!B3256</f>
        <v>352b.1</v>
      </c>
      <c r="C3256" s="151" t="str">
        <f>'Reported burning'!C3256</f>
        <v>Human, deliberate</v>
      </c>
      <c r="D3256" s="151" t="str">
        <f>'Reported burning'!D3256</f>
        <v>Crop residue burning</v>
      </c>
      <c r="E3256" s="151" t="str">
        <f>'Reported burning'!E3256</f>
        <v>Cropping, Intensive</v>
      </c>
      <c r="F3256" s="151" t="str">
        <f>'Reported burning'!F3256</f>
        <v>Cropland</v>
      </c>
      <c r="G3256" s="151" t="str">
        <f>'Reported burning'!G3256</f>
        <v>ND</v>
      </c>
      <c r="H3256" s="151" t="str">
        <f>'Reported burning'!H3256</f>
        <v>Presence</v>
      </c>
      <c r="I3256" s="5"/>
      <c r="J3256" s="198" t="s">
        <v>2272</v>
      </c>
      <c r="K3256" s="198" t="s">
        <v>2272</v>
      </c>
      <c r="L3256" s="198" t="s">
        <v>2272</v>
      </c>
      <c r="M3256" s="198" t="s">
        <v>2272</v>
      </c>
      <c r="N3256" s="198" t="s">
        <v>2272</v>
      </c>
      <c r="O3256" s="198" t="s">
        <v>2272</v>
      </c>
      <c r="P3256" s="198" t="s">
        <v>2272</v>
      </c>
      <c r="Q3256" s="198" t="s">
        <v>2272</v>
      </c>
      <c r="R3256" s="198" t="s">
        <v>2272</v>
      </c>
      <c r="S3256" s="198" t="s">
        <v>2272</v>
      </c>
      <c r="T3256" s="198" t="s">
        <v>2272</v>
      </c>
      <c r="U3256" s="198" t="s">
        <v>2272</v>
      </c>
      <c r="V3256" s="198" t="s">
        <v>2272</v>
      </c>
      <c r="W3256" s="198" t="s">
        <v>2272</v>
      </c>
      <c r="X3256" s="198" t="s">
        <v>2272</v>
      </c>
      <c r="Y3256" s="198" t="s">
        <v>2272</v>
      </c>
      <c r="Z3256" s="198" t="s">
        <v>2272</v>
      </c>
      <c r="AA3256" s="198" t="s">
        <v>2272</v>
      </c>
      <c r="AB3256" s="198"/>
      <c r="AC3256" s="198"/>
    </row>
    <row r="3257" spans="1:29" ht="41" customHeight="1">
      <c r="A3257" s="151" t="str">
        <f>'Reported burning'!A3257</f>
        <v>352c</v>
      </c>
      <c r="B3257" s="151" t="str">
        <f>'Reported burning'!B3257</f>
        <v>352c.1</v>
      </c>
      <c r="C3257" s="151" t="str">
        <f>'Reported burning'!C3257</f>
        <v>Human, deliberate</v>
      </c>
      <c r="D3257" s="151" t="str">
        <f>'Reported burning'!D3257</f>
        <v>Crop residue burning</v>
      </c>
      <c r="E3257" s="151" t="str">
        <f>'Reported burning'!E3257</f>
        <v>Cropping, Intensive</v>
      </c>
      <c r="F3257" s="151" t="str">
        <f>'Reported burning'!F3257</f>
        <v>Cropland</v>
      </c>
      <c r="G3257" s="151" t="str">
        <f>'Reported burning'!G3257</f>
        <v>ND</v>
      </c>
      <c r="H3257" s="151" t="str">
        <f>'Reported burning'!H3257</f>
        <v>Presence</v>
      </c>
      <c r="I3257" s="5"/>
      <c r="J3257" s="198" t="s">
        <v>2272</v>
      </c>
      <c r="K3257" s="198" t="s">
        <v>2272</v>
      </c>
      <c r="L3257" s="198" t="s">
        <v>2272</v>
      </c>
      <c r="M3257" s="198" t="s">
        <v>2272</v>
      </c>
      <c r="N3257" s="198" t="s">
        <v>2272</v>
      </c>
      <c r="O3257" s="198" t="s">
        <v>2272</v>
      </c>
      <c r="P3257" s="198" t="s">
        <v>2272</v>
      </c>
      <c r="Q3257" s="198" t="s">
        <v>2272</v>
      </c>
      <c r="R3257" s="198" t="s">
        <v>2272</v>
      </c>
      <c r="S3257" s="198" t="s">
        <v>2272</v>
      </c>
      <c r="T3257" s="198" t="s">
        <v>2272</v>
      </c>
      <c r="U3257" s="198" t="s">
        <v>2272</v>
      </c>
      <c r="V3257" s="198" t="s">
        <v>2272</v>
      </c>
      <c r="W3257" s="198" t="s">
        <v>2272</v>
      </c>
      <c r="X3257" s="198" t="s">
        <v>2272</v>
      </c>
      <c r="Y3257" s="198" t="s">
        <v>2272</v>
      </c>
      <c r="Z3257" s="198" t="s">
        <v>2272</v>
      </c>
      <c r="AA3257" s="198" t="s">
        <v>2272</v>
      </c>
      <c r="AB3257" s="198"/>
      <c r="AC3257" s="198"/>
    </row>
    <row r="3258" spans="1:29" ht="41" customHeight="1">
      <c r="A3258" s="151" t="str">
        <f>'Reported burning'!A3258</f>
        <v>353a</v>
      </c>
      <c r="B3258" s="151" t="str">
        <f>'Reported burning'!B3258</f>
        <v>353a.1</v>
      </c>
      <c r="C3258" s="151" t="str">
        <f>'Reported burning'!C3258</f>
        <v>Human, deliberate</v>
      </c>
      <c r="D3258" s="151" t="str">
        <f>'Reported burning'!D3258</f>
        <v>Crop residue burning</v>
      </c>
      <c r="E3258" s="151" t="str">
        <f>'Reported burning'!E3258</f>
        <v>ND</v>
      </c>
      <c r="F3258" s="151" t="str">
        <f>'Reported burning'!F3258</f>
        <v>Cropland</v>
      </c>
      <c r="G3258" s="151" t="str">
        <f>'Reported burning'!G3258</f>
        <v>ND</v>
      </c>
      <c r="H3258" s="151" t="str">
        <f>'Reported burning'!H3258</f>
        <v>Presence</v>
      </c>
      <c r="I3258" s="5"/>
      <c r="J3258" s="198" t="s">
        <v>2272</v>
      </c>
      <c r="K3258" s="198" t="s">
        <v>2272</v>
      </c>
      <c r="L3258" s="198" t="s">
        <v>2272</v>
      </c>
      <c r="M3258" s="198" t="s">
        <v>2272</v>
      </c>
      <c r="N3258" s="198" t="s">
        <v>2272</v>
      </c>
      <c r="O3258" s="198" t="s">
        <v>2272</v>
      </c>
      <c r="P3258" s="198" t="s">
        <v>2272</v>
      </c>
      <c r="Q3258" s="198" t="s">
        <v>2272</v>
      </c>
      <c r="R3258" s="198" t="s">
        <v>2272</v>
      </c>
      <c r="S3258" s="198" t="s">
        <v>2272</v>
      </c>
      <c r="T3258" s="198" t="s">
        <v>2272</v>
      </c>
      <c r="U3258" s="198" t="s">
        <v>2272</v>
      </c>
      <c r="V3258" s="198" t="s">
        <v>2272</v>
      </c>
      <c r="W3258" s="198" t="s">
        <v>2272</v>
      </c>
      <c r="X3258" s="198" t="s">
        <v>2272</v>
      </c>
      <c r="Y3258" s="198" t="s">
        <v>2272</v>
      </c>
      <c r="Z3258" s="198" t="s">
        <v>2272</v>
      </c>
      <c r="AA3258" s="198" t="s">
        <v>2272</v>
      </c>
      <c r="AB3258" s="198"/>
      <c r="AC3258" s="198"/>
    </row>
    <row r="3259" spans="1:29" ht="46.5" customHeight="1">
      <c r="A3259" s="151" t="str">
        <f>'Reported burning'!A3259</f>
        <v>354a</v>
      </c>
      <c r="B3259" s="151" t="str">
        <f>'Reported burning'!B3259</f>
        <v>354a.1</v>
      </c>
      <c r="C3259" s="151" t="str">
        <f>'Reported burning'!C3259</f>
        <v>Human, deliberate</v>
      </c>
      <c r="D3259" s="151" t="str">
        <f>'Reported burning'!D3259</f>
        <v>Crop residue burning</v>
      </c>
      <c r="E3259" s="151" t="str">
        <f>'Reported burning'!E3259</f>
        <v>Mixed cropping-livestock small holder, Subsistence-oriented</v>
      </c>
      <c r="F3259" s="151" t="str">
        <f>'Reported burning'!F3259</f>
        <v>Cropland</v>
      </c>
      <c r="G3259" s="151" t="str">
        <f>'Reported burning'!G3259</f>
        <v>ND</v>
      </c>
      <c r="H3259" s="151" t="str">
        <f>'Reported burning'!H3259</f>
        <v>Absence</v>
      </c>
      <c r="I3259" s="5"/>
      <c r="J3259" s="21">
        <v>0</v>
      </c>
      <c r="K3259" s="21">
        <v>0</v>
      </c>
      <c r="L3259" s="21">
        <v>0</v>
      </c>
      <c r="M3259" s="21">
        <v>0</v>
      </c>
      <c r="N3259" s="21">
        <v>0</v>
      </c>
      <c r="O3259" s="21">
        <v>0</v>
      </c>
      <c r="P3259" s="21">
        <v>0</v>
      </c>
      <c r="Q3259" s="21">
        <v>0</v>
      </c>
      <c r="R3259" s="21">
        <v>0</v>
      </c>
      <c r="S3259" s="21">
        <v>0</v>
      </c>
      <c r="T3259" s="21">
        <v>0</v>
      </c>
      <c r="U3259" s="21">
        <v>0</v>
      </c>
      <c r="V3259" s="21">
        <v>0</v>
      </c>
      <c r="W3259" s="198" t="s">
        <v>2272</v>
      </c>
      <c r="X3259" s="198" t="s">
        <v>2272</v>
      </c>
      <c r="Y3259" s="198" t="s">
        <v>2272</v>
      </c>
      <c r="Z3259" s="198" t="s">
        <v>2272</v>
      </c>
      <c r="AA3259" s="198" t="s">
        <v>2272</v>
      </c>
      <c r="AB3259" s="4" t="s">
        <v>8638</v>
      </c>
      <c r="AC3259" s="198"/>
    </row>
    <row r="3260" spans="1:29" ht="53.5" customHeight="1">
      <c r="A3260" s="151" t="str">
        <f>'Reported burning'!A3260</f>
        <v>354a</v>
      </c>
      <c r="B3260" s="151" t="str">
        <f>'Reported burning'!B3260</f>
        <v>354a.2</v>
      </c>
      <c r="C3260" s="151" t="str">
        <f>'Reported burning'!C3260</f>
        <v>Human, deliberate</v>
      </c>
      <c r="D3260" s="151" t="str">
        <f>'Reported burning'!D3260</f>
        <v>Crop residue burning</v>
      </c>
      <c r="E3260" s="151" t="str">
        <f>'Reported burning'!E3260</f>
        <v>Mixed cropping-livestock small holder, Subsistence-oriented</v>
      </c>
      <c r="F3260" s="151" t="str">
        <f>'Reported burning'!F3260</f>
        <v>Cropland</v>
      </c>
      <c r="G3260" s="151" t="str">
        <f>'Reported burning'!G3260</f>
        <v>ND</v>
      </c>
      <c r="H3260" s="151" t="str">
        <f>'Reported burning'!H3260</f>
        <v>Absence</v>
      </c>
      <c r="I3260" s="5"/>
      <c r="J3260" s="21">
        <v>0</v>
      </c>
      <c r="K3260" s="21">
        <v>0</v>
      </c>
      <c r="L3260" s="21">
        <v>0</v>
      </c>
      <c r="M3260" s="21">
        <v>0</v>
      </c>
      <c r="N3260" s="21">
        <v>0</v>
      </c>
      <c r="O3260" s="21">
        <v>0</v>
      </c>
      <c r="P3260" s="21">
        <v>0</v>
      </c>
      <c r="Q3260" s="21">
        <v>0</v>
      </c>
      <c r="R3260" s="21">
        <v>0</v>
      </c>
      <c r="S3260" s="21">
        <v>0</v>
      </c>
      <c r="T3260" s="21">
        <v>0</v>
      </c>
      <c r="U3260" s="21">
        <v>0</v>
      </c>
      <c r="V3260" s="21">
        <v>0</v>
      </c>
      <c r="W3260" s="198" t="s">
        <v>2272</v>
      </c>
      <c r="X3260" s="198" t="s">
        <v>2272</v>
      </c>
      <c r="Y3260" s="198" t="s">
        <v>2272</v>
      </c>
      <c r="Z3260" s="198" t="s">
        <v>2272</v>
      </c>
      <c r="AA3260" s="198" t="s">
        <v>2272</v>
      </c>
      <c r="AB3260" s="4" t="s">
        <v>8638</v>
      </c>
      <c r="AC3260" s="198"/>
    </row>
    <row r="3261" spans="1:29" ht="53.5" customHeight="1">
      <c r="A3261" s="151" t="str">
        <f>'Reported burning'!A3261</f>
        <v>355a</v>
      </c>
      <c r="B3261" s="151" t="str">
        <f>'Reported burning'!B3261</f>
        <v>355a.1</v>
      </c>
      <c r="C3261" s="151" t="str">
        <f>'Reported burning'!C3261</f>
        <v>Human, deliberate</v>
      </c>
      <c r="D3261" s="151" t="str">
        <f>'Reported burning'!D3261</f>
        <v>Crop residue burning</v>
      </c>
      <c r="E3261" s="151" t="str">
        <f>'Reported burning'!E3261</f>
        <v>Cropping, Monoculture, Market-oriented</v>
      </c>
      <c r="F3261" s="151" t="str">
        <f>'Reported burning'!F3261</f>
        <v>Cropland</v>
      </c>
      <c r="G3261" s="151" t="str">
        <f>'Reported burning'!G3261</f>
        <v>ND</v>
      </c>
      <c r="H3261" s="151" t="str">
        <f>'Reported burning'!H3261</f>
        <v>Presence</v>
      </c>
      <c r="I3261" s="5"/>
      <c r="J3261" s="198" t="s">
        <v>2272</v>
      </c>
      <c r="K3261" s="198" t="s">
        <v>2272</v>
      </c>
      <c r="L3261" s="198" t="s">
        <v>2272</v>
      </c>
      <c r="M3261" s="198" t="s">
        <v>2272</v>
      </c>
      <c r="N3261" s="198" t="s">
        <v>2272</v>
      </c>
      <c r="O3261" s="198" t="s">
        <v>2272</v>
      </c>
      <c r="P3261" s="198" t="s">
        <v>2272</v>
      </c>
      <c r="Q3261" s="198" t="s">
        <v>2272</v>
      </c>
      <c r="R3261" s="198" t="s">
        <v>2272</v>
      </c>
      <c r="S3261" s="198" t="s">
        <v>2272</v>
      </c>
      <c r="T3261" s="198" t="s">
        <v>2272</v>
      </c>
      <c r="U3261" s="198" t="s">
        <v>2272</v>
      </c>
      <c r="V3261" s="198" t="s">
        <v>2272</v>
      </c>
      <c r="W3261" s="198" t="s">
        <v>2272</v>
      </c>
      <c r="X3261" s="198" t="s">
        <v>2272</v>
      </c>
      <c r="Y3261" s="198" t="s">
        <v>33</v>
      </c>
      <c r="Z3261" s="198" t="s">
        <v>33</v>
      </c>
      <c r="AA3261" s="198" t="s">
        <v>2272</v>
      </c>
      <c r="AB3261" s="198"/>
      <c r="AC3261" s="198"/>
    </row>
    <row r="3262" spans="1:29" ht="35.5" customHeight="1">
      <c r="A3262" s="151" t="str">
        <f>'Reported burning'!A3262</f>
        <v>355b</v>
      </c>
      <c r="B3262" s="151" t="str">
        <f>'Reported burning'!B3262</f>
        <v>355b.1</v>
      </c>
      <c r="C3262" s="151" t="str">
        <f>'Reported burning'!C3262</f>
        <v>Human, deliberate</v>
      </c>
      <c r="D3262" s="151" t="str">
        <f>'Reported burning'!D3262</f>
        <v>Crop residue burning</v>
      </c>
      <c r="E3262" s="151" t="str">
        <f>'Reported burning'!E3262</f>
        <v>Cropping, Monoculture, Market-oriented</v>
      </c>
      <c r="F3262" s="151" t="str">
        <f>'Reported burning'!F3262</f>
        <v>Cropland</v>
      </c>
      <c r="G3262" s="151" t="str">
        <f>'Reported burning'!G3262</f>
        <v>ND</v>
      </c>
      <c r="H3262" s="151" t="str">
        <f>'Reported burning'!H3262</f>
        <v>Presence</v>
      </c>
      <c r="I3262" s="5"/>
      <c r="J3262" s="198" t="s">
        <v>2272</v>
      </c>
      <c r="K3262" s="198" t="s">
        <v>2272</v>
      </c>
      <c r="L3262" s="198" t="s">
        <v>2272</v>
      </c>
      <c r="M3262" s="198" t="s">
        <v>2272</v>
      </c>
      <c r="N3262" s="198" t="s">
        <v>2272</v>
      </c>
      <c r="O3262" s="198" t="s">
        <v>2272</v>
      </c>
      <c r="P3262" s="198" t="s">
        <v>2272</v>
      </c>
      <c r="Q3262" s="198" t="s">
        <v>2272</v>
      </c>
      <c r="R3262" s="198" t="s">
        <v>2272</v>
      </c>
      <c r="S3262" s="198" t="s">
        <v>2272</v>
      </c>
      <c r="T3262" s="198" t="s">
        <v>2272</v>
      </c>
      <c r="U3262" s="198" t="s">
        <v>2272</v>
      </c>
      <c r="V3262" s="198" t="s">
        <v>2272</v>
      </c>
      <c r="W3262" s="198" t="s">
        <v>2272</v>
      </c>
      <c r="X3262" s="198" t="s">
        <v>2272</v>
      </c>
      <c r="Y3262" s="198" t="s">
        <v>33</v>
      </c>
      <c r="Z3262" s="198" t="s">
        <v>33</v>
      </c>
      <c r="AA3262" s="198" t="s">
        <v>2272</v>
      </c>
      <c r="AB3262" s="198"/>
      <c r="AC3262" s="198"/>
    </row>
    <row r="3263" spans="1:29" ht="35.5" customHeight="1">
      <c r="A3263" s="151" t="str">
        <f>'Reported burning'!A3263</f>
        <v>355a</v>
      </c>
      <c r="B3263" s="151" t="str">
        <f>'Reported burning'!B3263</f>
        <v>355a.2</v>
      </c>
      <c r="C3263" s="151" t="str">
        <f>'Reported burning'!C3263</f>
        <v>Human, deliberate</v>
      </c>
      <c r="D3263" s="151" t="str">
        <f>'Reported burning'!D3263</f>
        <v>Crop residue burning</v>
      </c>
      <c r="E3263" s="151" t="str">
        <f>'Reported burning'!E3263</f>
        <v>Cropping, Monoculture, Market-oriented</v>
      </c>
      <c r="F3263" s="151" t="str">
        <f>'Reported burning'!F3263</f>
        <v>Cropland</v>
      </c>
      <c r="G3263" s="151" t="str">
        <f>'Reported burning'!G3263</f>
        <v>ND</v>
      </c>
      <c r="H3263" s="151" t="str">
        <f>'Reported burning'!H3263</f>
        <v>Presence</v>
      </c>
      <c r="I3263" s="5"/>
      <c r="J3263" s="198" t="s">
        <v>2272</v>
      </c>
      <c r="K3263" s="198" t="s">
        <v>2272</v>
      </c>
      <c r="L3263" s="198" t="s">
        <v>2272</v>
      </c>
      <c r="M3263" s="198" t="s">
        <v>2272</v>
      </c>
      <c r="N3263" s="198" t="s">
        <v>2272</v>
      </c>
      <c r="O3263" s="198" t="s">
        <v>2272</v>
      </c>
      <c r="P3263" s="198" t="s">
        <v>2272</v>
      </c>
      <c r="Q3263" s="198" t="s">
        <v>2272</v>
      </c>
      <c r="R3263" s="198" t="s">
        <v>2272</v>
      </c>
      <c r="S3263" s="198" t="s">
        <v>2272</v>
      </c>
      <c r="T3263" s="198" t="s">
        <v>2272</v>
      </c>
      <c r="U3263" s="198" t="s">
        <v>2272</v>
      </c>
      <c r="V3263" s="198" t="s">
        <v>2272</v>
      </c>
      <c r="W3263" s="198" t="s">
        <v>2272</v>
      </c>
      <c r="X3263" s="198" t="s">
        <v>2272</v>
      </c>
      <c r="Y3263" s="198" t="s">
        <v>67</v>
      </c>
      <c r="Z3263" s="198" t="s">
        <v>67</v>
      </c>
      <c r="AA3263" s="198" t="s">
        <v>2272</v>
      </c>
      <c r="AB3263" s="198"/>
      <c r="AC3263" s="198"/>
    </row>
    <row r="3264" spans="1:29" ht="35.5" customHeight="1">
      <c r="A3264" s="151" t="str">
        <f>'Reported burning'!A3264</f>
        <v>355b</v>
      </c>
      <c r="B3264" s="151" t="str">
        <f>'Reported burning'!B3264</f>
        <v>355b.2</v>
      </c>
      <c r="C3264" s="151" t="str">
        <f>'Reported burning'!C3264</f>
        <v>Human, deliberate</v>
      </c>
      <c r="D3264" s="151" t="str">
        <f>'Reported burning'!D3264</f>
        <v>Crop residue burning</v>
      </c>
      <c r="E3264" s="151" t="str">
        <f>'Reported burning'!E3264</f>
        <v>Cropping, Monoculture, Market-oriented</v>
      </c>
      <c r="F3264" s="151" t="str">
        <f>'Reported burning'!F3264</f>
        <v>Cropland</v>
      </c>
      <c r="G3264" s="151" t="str">
        <f>'Reported burning'!G3264</f>
        <v>ND</v>
      </c>
      <c r="H3264" s="151" t="str">
        <f>'Reported burning'!H3264</f>
        <v>Presence</v>
      </c>
      <c r="I3264" s="5"/>
      <c r="J3264" s="198" t="s">
        <v>2272</v>
      </c>
      <c r="K3264" s="198" t="s">
        <v>2272</v>
      </c>
      <c r="L3264" s="198" t="s">
        <v>2272</v>
      </c>
      <c r="M3264" s="198" t="s">
        <v>2272</v>
      </c>
      <c r="N3264" s="198" t="s">
        <v>2272</v>
      </c>
      <c r="O3264" s="198" t="s">
        <v>2272</v>
      </c>
      <c r="P3264" s="198" t="s">
        <v>2272</v>
      </c>
      <c r="Q3264" s="198" t="s">
        <v>2272</v>
      </c>
      <c r="R3264" s="198" t="s">
        <v>2272</v>
      </c>
      <c r="S3264" s="198" t="s">
        <v>2272</v>
      </c>
      <c r="T3264" s="198" t="s">
        <v>2272</v>
      </c>
      <c r="U3264" s="198" t="s">
        <v>2272</v>
      </c>
      <c r="V3264" s="198" t="s">
        <v>2272</v>
      </c>
      <c r="W3264" s="198" t="s">
        <v>2272</v>
      </c>
      <c r="X3264" s="198" t="s">
        <v>2272</v>
      </c>
      <c r="Y3264" s="198" t="s">
        <v>67</v>
      </c>
      <c r="Z3264" s="198" t="s">
        <v>67</v>
      </c>
      <c r="AA3264" s="198" t="s">
        <v>2272</v>
      </c>
      <c r="AB3264" s="198"/>
      <c r="AC3264" s="198"/>
    </row>
    <row r="3265" spans="1:29" ht="35.5" customHeight="1">
      <c r="A3265" s="151" t="str">
        <f>'Reported burning'!A3265</f>
        <v>356a</v>
      </c>
      <c r="B3265" s="151" t="str">
        <f>'Reported burning'!B3265</f>
        <v>356a.1</v>
      </c>
      <c r="C3265" s="151" t="str">
        <f>'Reported burning'!C3265</f>
        <v>Human, deliberate</v>
      </c>
      <c r="D3265" s="151" t="str">
        <f>'Reported burning'!D3265</f>
        <v>Crop residue burning</v>
      </c>
      <c r="E3265" s="151" t="str">
        <f>'Reported burning'!E3265</f>
        <v>Cropping, Intensive</v>
      </c>
      <c r="F3265" s="151" t="str">
        <f>'Reported burning'!F3265</f>
        <v>Cropland</v>
      </c>
      <c r="G3265" s="151" t="str">
        <f>'Reported burning'!G3265</f>
        <v>ND</v>
      </c>
      <c r="H3265" s="151" t="str">
        <f>'Reported burning'!H3265</f>
        <v>Presence</v>
      </c>
      <c r="I3265" s="5"/>
      <c r="J3265" s="198" t="s">
        <v>2272</v>
      </c>
      <c r="K3265" s="198" t="s">
        <v>2272</v>
      </c>
      <c r="L3265" s="198" t="s">
        <v>2272</v>
      </c>
      <c r="M3265" s="198" t="s">
        <v>2272</v>
      </c>
      <c r="N3265" s="198" t="s">
        <v>2272</v>
      </c>
      <c r="O3265" s="198" t="s">
        <v>2272</v>
      </c>
      <c r="P3265" s="198" t="s">
        <v>2272</v>
      </c>
      <c r="Q3265" s="198" t="s">
        <v>2272</v>
      </c>
      <c r="R3265" s="198" t="s">
        <v>2272</v>
      </c>
      <c r="S3265" s="198" t="s">
        <v>2272</v>
      </c>
      <c r="T3265" s="198" t="s">
        <v>2272</v>
      </c>
      <c r="U3265" s="198" t="s">
        <v>2272</v>
      </c>
      <c r="V3265" s="198" t="s">
        <v>2272</v>
      </c>
      <c r="W3265" s="198" t="s">
        <v>2272</v>
      </c>
      <c r="X3265" s="198" t="s">
        <v>2272</v>
      </c>
      <c r="Y3265" s="198" t="s">
        <v>423</v>
      </c>
      <c r="Z3265" s="198" t="s">
        <v>34</v>
      </c>
      <c r="AA3265" s="198" t="s">
        <v>2272</v>
      </c>
      <c r="AB3265" s="198"/>
      <c r="AC3265" s="198"/>
    </row>
    <row r="3266" spans="1:29" ht="47" customHeight="1">
      <c r="A3266" s="151" t="str">
        <f>'Reported burning'!A3266</f>
        <v>357a</v>
      </c>
      <c r="B3266" s="151" t="str">
        <f>'Reported burning'!B3266</f>
        <v>357a.1</v>
      </c>
      <c r="C3266" s="151" t="str">
        <f>'Reported burning'!C3266</f>
        <v>Human, deliberate</v>
      </c>
      <c r="D3266" s="151" t="str">
        <f>'Reported burning'!D3266</f>
        <v>Crop residue burning</v>
      </c>
      <c r="E3266" s="151" t="str">
        <f>'Reported burning'!E3266</f>
        <v>ND</v>
      </c>
      <c r="F3266" s="151" t="str">
        <f>'Reported burning'!F3266</f>
        <v>Cropland</v>
      </c>
      <c r="G3266" s="151" t="str">
        <f>'Reported burning'!G3266</f>
        <v>ND</v>
      </c>
      <c r="H3266" s="151" t="str">
        <f>'Reported burning'!H3266</f>
        <v>Presence</v>
      </c>
      <c r="I3266" s="5"/>
      <c r="J3266" s="198" t="s">
        <v>2272</v>
      </c>
      <c r="K3266" s="198" t="s">
        <v>2272</v>
      </c>
      <c r="L3266" s="198" t="s">
        <v>2272</v>
      </c>
      <c r="M3266" s="198" t="s">
        <v>2272</v>
      </c>
      <c r="N3266" s="198" t="s">
        <v>2272</v>
      </c>
      <c r="O3266" s="198" t="s">
        <v>2272</v>
      </c>
      <c r="P3266" s="198" t="s">
        <v>2272</v>
      </c>
      <c r="Q3266" s="198" t="s">
        <v>2272</v>
      </c>
      <c r="R3266" s="198" t="s">
        <v>2272</v>
      </c>
      <c r="S3266" s="198" t="s">
        <v>2272</v>
      </c>
      <c r="T3266" s="198" t="s">
        <v>2272</v>
      </c>
      <c r="U3266" s="198" t="s">
        <v>2272</v>
      </c>
      <c r="V3266" s="198" t="s">
        <v>2272</v>
      </c>
      <c r="W3266" s="198" t="s">
        <v>2272</v>
      </c>
      <c r="X3266" s="198" t="s">
        <v>2272</v>
      </c>
      <c r="Y3266" s="198" t="s">
        <v>2272</v>
      </c>
      <c r="Z3266" s="198" t="s">
        <v>2272</v>
      </c>
      <c r="AA3266" s="198" t="s">
        <v>2272</v>
      </c>
      <c r="AB3266" s="198"/>
      <c r="AC3266" s="198"/>
    </row>
    <row r="3267" spans="1:29" ht="47" customHeight="1">
      <c r="A3267" s="151" t="str">
        <f>'Reported burning'!A3267</f>
        <v>357b</v>
      </c>
      <c r="B3267" s="151" t="str">
        <f>'Reported burning'!B3267</f>
        <v>357b.1</v>
      </c>
      <c r="C3267" s="151" t="str">
        <f>'Reported burning'!C3267</f>
        <v>Human, deliberate</v>
      </c>
      <c r="D3267" s="151" t="str">
        <f>'Reported burning'!D3267</f>
        <v>Crop residue burning</v>
      </c>
      <c r="E3267" s="151" t="str">
        <f>'Reported burning'!E3267</f>
        <v>ND</v>
      </c>
      <c r="F3267" s="151" t="str">
        <f>'Reported burning'!F3267</f>
        <v>Cropland</v>
      </c>
      <c r="G3267" s="151" t="str">
        <f>'Reported burning'!G3267</f>
        <v>ND</v>
      </c>
      <c r="H3267" s="151" t="str">
        <f>'Reported burning'!H3267</f>
        <v>Presence</v>
      </c>
      <c r="I3267" s="5"/>
      <c r="J3267" s="198" t="s">
        <v>2272</v>
      </c>
      <c r="K3267" s="198" t="s">
        <v>2272</v>
      </c>
      <c r="L3267" s="198" t="s">
        <v>2272</v>
      </c>
      <c r="M3267" s="198" t="s">
        <v>2272</v>
      </c>
      <c r="N3267" s="198" t="s">
        <v>2272</v>
      </c>
      <c r="O3267" s="198" t="s">
        <v>2272</v>
      </c>
      <c r="P3267" s="198" t="s">
        <v>2272</v>
      </c>
      <c r="Q3267" s="198" t="s">
        <v>2272</v>
      </c>
      <c r="R3267" s="198" t="s">
        <v>2272</v>
      </c>
      <c r="S3267" s="198" t="s">
        <v>2272</v>
      </c>
      <c r="T3267" s="198" t="s">
        <v>2272</v>
      </c>
      <c r="U3267" s="198" t="s">
        <v>2272</v>
      </c>
      <c r="V3267" s="198" t="s">
        <v>2272</v>
      </c>
      <c r="W3267" s="198" t="s">
        <v>2272</v>
      </c>
      <c r="X3267" s="198" t="s">
        <v>2272</v>
      </c>
      <c r="Y3267" s="198" t="s">
        <v>2272</v>
      </c>
      <c r="Z3267" s="198" t="s">
        <v>2272</v>
      </c>
      <c r="AA3267" s="198" t="s">
        <v>2272</v>
      </c>
      <c r="AB3267" s="198"/>
      <c r="AC3267" s="198"/>
    </row>
    <row r="3268" spans="1:29" ht="47" customHeight="1">
      <c r="A3268" s="151" t="str">
        <f>'Reported burning'!A3268</f>
        <v>357c</v>
      </c>
      <c r="B3268" s="151" t="str">
        <f>'Reported burning'!B3268</f>
        <v>357c.1</v>
      </c>
      <c r="C3268" s="151" t="str">
        <f>'Reported burning'!C3268</f>
        <v>Human, deliberate</v>
      </c>
      <c r="D3268" s="151" t="str">
        <f>'Reported burning'!D3268</f>
        <v>Crop residue burning</v>
      </c>
      <c r="E3268" s="151" t="str">
        <f>'Reported burning'!E3268</f>
        <v>ND</v>
      </c>
      <c r="F3268" s="151" t="str">
        <f>'Reported burning'!F3268</f>
        <v>Cropland</v>
      </c>
      <c r="G3268" s="151" t="str">
        <f>'Reported burning'!G3268</f>
        <v>ND</v>
      </c>
      <c r="H3268" s="151" t="str">
        <f>'Reported burning'!H3268</f>
        <v>Presence</v>
      </c>
      <c r="I3268" s="5"/>
      <c r="J3268" s="198" t="s">
        <v>2272</v>
      </c>
      <c r="K3268" s="198" t="s">
        <v>2272</v>
      </c>
      <c r="L3268" s="198" t="s">
        <v>2272</v>
      </c>
      <c r="M3268" s="198" t="s">
        <v>2272</v>
      </c>
      <c r="N3268" s="198" t="s">
        <v>2272</v>
      </c>
      <c r="O3268" s="198" t="s">
        <v>2272</v>
      </c>
      <c r="P3268" s="198" t="s">
        <v>2272</v>
      </c>
      <c r="Q3268" s="198" t="s">
        <v>2272</v>
      </c>
      <c r="R3268" s="198" t="s">
        <v>2272</v>
      </c>
      <c r="S3268" s="198" t="s">
        <v>2272</v>
      </c>
      <c r="T3268" s="198" t="s">
        <v>2272</v>
      </c>
      <c r="U3268" s="198" t="s">
        <v>2272</v>
      </c>
      <c r="V3268" s="198" t="s">
        <v>2272</v>
      </c>
      <c r="W3268" s="198" t="s">
        <v>2272</v>
      </c>
      <c r="X3268" s="198" t="s">
        <v>2272</v>
      </c>
      <c r="Y3268" s="198" t="s">
        <v>2272</v>
      </c>
      <c r="Z3268" s="198" t="s">
        <v>2272</v>
      </c>
      <c r="AA3268" s="198" t="s">
        <v>2272</v>
      </c>
      <c r="AB3268" s="198"/>
      <c r="AC3268" s="198"/>
    </row>
    <row r="3269" spans="1:29" ht="47" customHeight="1">
      <c r="A3269" s="151" t="str">
        <f>'Reported burning'!A3269</f>
        <v>357d</v>
      </c>
      <c r="B3269" s="151" t="str">
        <f>'Reported burning'!B3269</f>
        <v>357d.1</v>
      </c>
      <c r="C3269" s="151" t="str">
        <f>'Reported burning'!C3269</f>
        <v>Human, deliberate</v>
      </c>
      <c r="D3269" s="151" t="str">
        <f>'Reported burning'!D3269</f>
        <v>Crop residue burning</v>
      </c>
      <c r="E3269" s="151" t="str">
        <f>'Reported burning'!E3269</f>
        <v>ND</v>
      </c>
      <c r="F3269" s="151" t="str">
        <f>'Reported burning'!F3269</f>
        <v>Cropland</v>
      </c>
      <c r="G3269" s="151" t="str">
        <f>'Reported burning'!G3269</f>
        <v>ND</v>
      </c>
      <c r="H3269" s="151" t="str">
        <f>'Reported burning'!H3269</f>
        <v>Presence</v>
      </c>
      <c r="I3269" s="5"/>
      <c r="J3269" s="198" t="s">
        <v>2272</v>
      </c>
      <c r="K3269" s="198" t="s">
        <v>2272</v>
      </c>
      <c r="L3269" s="198" t="s">
        <v>2272</v>
      </c>
      <c r="M3269" s="198" t="s">
        <v>2272</v>
      </c>
      <c r="N3269" s="198" t="s">
        <v>2272</v>
      </c>
      <c r="O3269" s="198" t="s">
        <v>2272</v>
      </c>
      <c r="P3269" s="198" t="s">
        <v>2272</v>
      </c>
      <c r="Q3269" s="198" t="s">
        <v>2272</v>
      </c>
      <c r="R3269" s="198" t="s">
        <v>2272</v>
      </c>
      <c r="S3269" s="198" t="s">
        <v>2272</v>
      </c>
      <c r="T3269" s="198" t="s">
        <v>2272</v>
      </c>
      <c r="U3269" s="198" t="s">
        <v>2272</v>
      </c>
      <c r="V3269" s="198" t="s">
        <v>2272</v>
      </c>
      <c r="W3269" s="198" t="s">
        <v>2272</v>
      </c>
      <c r="X3269" s="198" t="s">
        <v>2272</v>
      </c>
      <c r="Y3269" s="198" t="s">
        <v>2272</v>
      </c>
      <c r="Z3269" s="198" t="s">
        <v>2272</v>
      </c>
      <c r="AA3269" s="198" t="s">
        <v>2272</v>
      </c>
      <c r="AB3269" s="198"/>
      <c r="AC3269" s="198"/>
    </row>
    <row r="3270" spans="1:29" ht="47" customHeight="1">
      <c r="A3270" s="151" t="str">
        <f>'Reported burning'!A3270</f>
        <v>357e</v>
      </c>
      <c r="B3270" s="151" t="str">
        <f>'Reported burning'!B3270</f>
        <v>357e.1</v>
      </c>
      <c r="C3270" s="151" t="str">
        <f>'Reported burning'!C3270</f>
        <v>Human, deliberate</v>
      </c>
      <c r="D3270" s="151" t="str">
        <f>'Reported burning'!D3270</f>
        <v>Crop residue burning</v>
      </c>
      <c r="E3270" s="151" t="str">
        <f>'Reported burning'!E3270</f>
        <v>ND</v>
      </c>
      <c r="F3270" s="151" t="str">
        <f>'Reported burning'!F3270</f>
        <v>Cropland</v>
      </c>
      <c r="G3270" s="151" t="str">
        <f>'Reported burning'!G3270</f>
        <v>ND</v>
      </c>
      <c r="H3270" s="151" t="str">
        <f>'Reported burning'!H3270</f>
        <v>Presence</v>
      </c>
      <c r="I3270" s="5"/>
      <c r="J3270" s="198" t="s">
        <v>2272</v>
      </c>
      <c r="K3270" s="198" t="s">
        <v>2272</v>
      </c>
      <c r="L3270" s="198" t="s">
        <v>2272</v>
      </c>
      <c r="M3270" s="198" t="s">
        <v>2272</v>
      </c>
      <c r="N3270" s="198" t="s">
        <v>2272</v>
      </c>
      <c r="O3270" s="198" t="s">
        <v>2272</v>
      </c>
      <c r="P3270" s="198" t="s">
        <v>2272</v>
      </c>
      <c r="Q3270" s="198" t="s">
        <v>2272</v>
      </c>
      <c r="R3270" s="198" t="s">
        <v>2272</v>
      </c>
      <c r="S3270" s="198" t="s">
        <v>2272</v>
      </c>
      <c r="T3270" s="198" t="s">
        <v>2272</v>
      </c>
      <c r="U3270" s="198" t="s">
        <v>2272</v>
      </c>
      <c r="V3270" s="198" t="s">
        <v>2272</v>
      </c>
      <c r="W3270" s="198" t="s">
        <v>2272</v>
      </c>
      <c r="X3270" s="198" t="s">
        <v>2272</v>
      </c>
      <c r="Y3270" s="198" t="s">
        <v>2272</v>
      </c>
      <c r="Z3270" s="198" t="s">
        <v>2272</v>
      </c>
      <c r="AA3270" s="198" t="s">
        <v>2272</v>
      </c>
      <c r="AB3270" s="198"/>
      <c r="AC3270" s="198"/>
    </row>
    <row r="3271" spans="1:29" ht="65.5" customHeight="1">
      <c r="A3271" s="151" t="str">
        <f>'Reported burning'!A3271</f>
        <v>358a</v>
      </c>
      <c r="B3271" s="151" t="str">
        <f>'Reported burning'!B3271</f>
        <v>358a.1</v>
      </c>
      <c r="C3271" s="151" t="str">
        <f>'Reported burning'!C3271</f>
        <v>Human, escaped</v>
      </c>
      <c r="D3271" s="151" t="str">
        <f>'Reported burning'!D3271</f>
        <v>All</v>
      </c>
      <c r="E3271" s="151" t="str">
        <f>'Reported burning'!E3271</f>
        <v>All</v>
      </c>
      <c r="F3271" s="151" t="str">
        <f>'Reported burning'!F3271</f>
        <v>All</v>
      </c>
      <c r="G3271" s="151" t="str">
        <f>'Reported burning'!G3271</f>
        <v>Grassland</v>
      </c>
      <c r="H3271" s="151" t="str">
        <f>'Reported burning'!H3271</f>
        <v>Presence</v>
      </c>
      <c r="I3271" s="5"/>
      <c r="J3271" s="198" t="s">
        <v>2272</v>
      </c>
      <c r="K3271" s="21" t="s">
        <v>2361</v>
      </c>
      <c r="L3271" s="198" t="s">
        <v>2272</v>
      </c>
      <c r="M3271" s="198" t="s">
        <v>2272</v>
      </c>
      <c r="N3271" s="198" t="s">
        <v>2272</v>
      </c>
      <c r="O3271" s="198" t="s">
        <v>2272</v>
      </c>
      <c r="P3271" s="198" t="s">
        <v>2272</v>
      </c>
      <c r="Q3271" s="21" t="s">
        <v>2377</v>
      </c>
      <c r="R3271" s="198" t="s">
        <v>2272</v>
      </c>
      <c r="S3271" s="198" t="s">
        <v>2272</v>
      </c>
      <c r="T3271" s="198" t="s">
        <v>2272</v>
      </c>
      <c r="U3271" s="198" t="s">
        <v>2272</v>
      </c>
      <c r="V3271" s="198" t="s">
        <v>2272</v>
      </c>
      <c r="W3271" s="198" t="s">
        <v>2272</v>
      </c>
      <c r="X3271" s="198" t="s">
        <v>2272</v>
      </c>
      <c r="Y3271" s="198" t="s">
        <v>187</v>
      </c>
      <c r="Z3271" s="198" t="s">
        <v>84</v>
      </c>
      <c r="AA3271" s="198" t="s">
        <v>2272</v>
      </c>
      <c r="AB3271" s="4" t="s">
        <v>8679</v>
      </c>
      <c r="AC3271" s="198"/>
    </row>
    <row r="3272" spans="1:29" ht="65.5" customHeight="1">
      <c r="A3272" s="151" t="str">
        <f>'Reported burning'!A3272</f>
        <v>358a</v>
      </c>
      <c r="B3272" s="151" t="str">
        <f>'Reported burning'!B3272</f>
        <v>358a.2</v>
      </c>
      <c r="C3272" s="151" t="str">
        <f>'Reported burning'!C3272</f>
        <v>Human, escaped</v>
      </c>
      <c r="D3272" s="151" t="str">
        <f>'Reported burning'!D3272</f>
        <v>All</v>
      </c>
      <c r="E3272" s="151" t="str">
        <f>'Reported burning'!E3272</f>
        <v>All</v>
      </c>
      <c r="F3272" s="151" t="str">
        <f>'Reported burning'!F3272</f>
        <v>All</v>
      </c>
      <c r="G3272" s="151" t="str">
        <f>'Reported burning'!G3272</f>
        <v>Grassland</v>
      </c>
      <c r="H3272" s="151" t="str">
        <f>'Reported burning'!H3272</f>
        <v>Presence</v>
      </c>
      <c r="I3272" s="5"/>
      <c r="J3272" s="198" t="s">
        <v>2272</v>
      </c>
      <c r="K3272" s="21" t="s">
        <v>2361</v>
      </c>
      <c r="L3272" s="198" t="s">
        <v>2272</v>
      </c>
      <c r="M3272" s="198" t="s">
        <v>2272</v>
      </c>
      <c r="N3272" s="198" t="s">
        <v>2272</v>
      </c>
      <c r="O3272" s="198" t="s">
        <v>2272</v>
      </c>
      <c r="P3272" s="198" t="s">
        <v>2272</v>
      </c>
      <c r="Q3272" s="21" t="s">
        <v>2377</v>
      </c>
      <c r="R3272" s="198" t="s">
        <v>2272</v>
      </c>
      <c r="S3272" s="198" t="s">
        <v>2272</v>
      </c>
      <c r="T3272" s="198" t="s">
        <v>2272</v>
      </c>
      <c r="U3272" s="198" t="s">
        <v>2272</v>
      </c>
      <c r="V3272" s="198" t="s">
        <v>2272</v>
      </c>
      <c r="W3272" s="198" t="s">
        <v>2272</v>
      </c>
      <c r="X3272" s="198" t="s">
        <v>2272</v>
      </c>
      <c r="Y3272" s="198" t="s">
        <v>403</v>
      </c>
      <c r="Z3272" s="198" t="s">
        <v>67</v>
      </c>
      <c r="AA3272" s="198" t="s">
        <v>2272</v>
      </c>
      <c r="AB3272" s="4" t="s">
        <v>8679</v>
      </c>
      <c r="AC3272" s="198"/>
    </row>
    <row r="3273" spans="1:29" ht="67" customHeight="1">
      <c r="A3273" s="151" t="str">
        <f>'Reported burning'!A3273</f>
        <v>358a</v>
      </c>
      <c r="B3273" s="151" t="str">
        <f>'Reported burning'!B3273</f>
        <v>358a.3</v>
      </c>
      <c r="C3273" s="151" t="str">
        <f>'Reported burning'!C3273</f>
        <v>Human, escaped</v>
      </c>
      <c r="D3273" s="151" t="str">
        <f>'Reported burning'!D3273</f>
        <v>Crop residue burning</v>
      </c>
      <c r="E3273" s="151" t="str">
        <f>'Reported burning'!E3273</f>
        <v>ND</v>
      </c>
      <c r="F3273" s="151" t="str">
        <f>'Reported burning'!F3273</f>
        <v>Cropland</v>
      </c>
      <c r="G3273" s="151" t="str">
        <f>'Reported burning'!G3273</f>
        <v>Grassland</v>
      </c>
      <c r="H3273" s="151" t="str">
        <f>'Reported burning'!H3273</f>
        <v>Presence</v>
      </c>
      <c r="I3273" s="5"/>
      <c r="J3273" s="198" t="s">
        <v>2272</v>
      </c>
      <c r="K3273" s="198" t="s">
        <v>2272</v>
      </c>
      <c r="L3273" s="198" t="s">
        <v>2272</v>
      </c>
      <c r="M3273" s="198" t="s">
        <v>2272</v>
      </c>
      <c r="N3273" s="198" t="s">
        <v>2272</v>
      </c>
      <c r="O3273" s="198" t="s">
        <v>2272</v>
      </c>
      <c r="P3273" s="198" t="s">
        <v>2272</v>
      </c>
      <c r="Q3273" s="198" t="s">
        <v>2272</v>
      </c>
      <c r="R3273" s="198" t="s">
        <v>2272</v>
      </c>
      <c r="S3273" s="198" t="s">
        <v>2272</v>
      </c>
      <c r="T3273" s="198" t="s">
        <v>2272</v>
      </c>
      <c r="U3273" s="198" t="s">
        <v>2272</v>
      </c>
      <c r="V3273" s="198" t="s">
        <v>2272</v>
      </c>
      <c r="W3273" s="198" t="s">
        <v>2272</v>
      </c>
      <c r="X3273" s="198" t="s">
        <v>2272</v>
      </c>
      <c r="Y3273" s="198" t="s">
        <v>187</v>
      </c>
      <c r="Z3273" s="198" t="s">
        <v>84</v>
      </c>
      <c r="AA3273" s="198" t="s">
        <v>2272</v>
      </c>
      <c r="AB3273" s="4" t="s">
        <v>8679</v>
      </c>
      <c r="AC3273" s="198"/>
    </row>
    <row r="3274" spans="1:29" ht="67" customHeight="1">
      <c r="A3274" s="151" t="str">
        <f>'Reported burning'!A3274</f>
        <v>358a</v>
      </c>
      <c r="B3274" s="151" t="str">
        <f>'Reported burning'!B3274</f>
        <v>358a.4</v>
      </c>
      <c r="C3274" s="151" t="str">
        <f>'Reported burning'!C3274</f>
        <v>Human, escaped</v>
      </c>
      <c r="D3274" s="151" t="str">
        <f>'Reported burning'!D3274</f>
        <v>Crop residue burning</v>
      </c>
      <c r="E3274" s="151" t="str">
        <f>'Reported burning'!E3274</f>
        <v>ND</v>
      </c>
      <c r="F3274" s="151" t="str">
        <f>'Reported burning'!F3274</f>
        <v>Cropland</v>
      </c>
      <c r="G3274" s="151" t="str">
        <f>'Reported burning'!G3274</f>
        <v>Grassland</v>
      </c>
      <c r="H3274" s="151" t="str">
        <f>'Reported burning'!H3274</f>
        <v>Presence</v>
      </c>
      <c r="I3274" s="5"/>
      <c r="J3274" s="198" t="s">
        <v>2272</v>
      </c>
      <c r="K3274" s="198" t="s">
        <v>2272</v>
      </c>
      <c r="L3274" s="198" t="s">
        <v>2272</v>
      </c>
      <c r="M3274" s="198" t="s">
        <v>2272</v>
      </c>
      <c r="N3274" s="198" t="s">
        <v>2272</v>
      </c>
      <c r="O3274" s="198" t="s">
        <v>2272</v>
      </c>
      <c r="P3274" s="198" t="s">
        <v>2272</v>
      </c>
      <c r="Q3274" s="198" t="s">
        <v>2272</v>
      </c>
      <c r="R3274" s="198" t="s">
        <v>2272</v>
      </c>
      <c r="S3274" s="198" t="s">
        <v>2272</v>
      </c>
      <c r="T3274" s="198" t="s">
        <v>2272</v>
      </c>
      <c r="U3274" s="198" t="s">
        <v>2272</v>
      </c>
      <c r="V3274" s="198" t="s">
        <v>2272</v>
      </c>
      <c r="W3274" s="198" t="s">
        <v>2272</v>
      </c>
      <c r="X3274" s="198" t="s">
        <v>2272</v>
      </c>
      <c r="Y3274" s="198" t="s">
        <v>403</v>
      </c>
      <c r="Z3274" s="198" t="s">
        <v>67</v>
      </c>
      <c r="AA3274" s="198" t="s">
        <v>2272</v>
      </c>
      <c r="AB3274" s="4" t="s">
        <v>8679</v>
      </c>
      <c r="AC3274" s="198"/>
    </row>
    <row r="3275" spans="1:29" ht="67" customHeight="1">
      <c r="A3275" s="151" t="str">
        <f>'Reported burning'!A3275</f>
        <v>358a</v>
      </c>
      <c r="B3275" s="151" t="str">
        <f>'Reported burning'!B3275</f>
        <v>358a.5</v>
      </c>
      <c r="C3275" s="151" t="str">
        <f>'Reported burning'!C3275</f>
        <v>Human, escaped</v>
      </c>
      <c r="D3275" s="151" t="str">
        <f>'Reported burning'!D3275</f>
        <v>Pasture renewal</v>
      </c>
      <c r="E3275" s="151" t="str">
        <f>'Reported burning'!E3275</f>
        <v>Cattle, Extensive</v>
      </c>
      <c r="F3275" s="151" t="str">
        <f>'Reported burning'!F3275</f>
        <v>Grassland</v>
      </c>
      <c r="G3275" s="151" t="str">
        <f>'Reported burning'!G3275</f>
        <v>Grassland</v>
      </c>
      <c r="H3275" s="151" t="str">
        <f>'Reported burning'!H3275</f>
        <v>Presence</v>
      </c>
      <c r="I3275" s="5"/>
      <c r="J3275" s="198" t="s">
        <v>2272</v>
      </c>
      <c r="K3275" s="198" t="s">
        <v>2272</v>
      </c>
      <c r="L3275" s="198" t="s">
        <v>2272</v>
      </c>
      <c r="M3275" s="198" t="s">
        <v>2272</v>
      </c>
      <c r="N3275" s="198" t="s">
        <v>2272</v>
      </c>
      <c r="O3275" s="198" t="s">
        <v>2272</v>
      </c>
      <c r="P3275" s="198" t="s">
        <v>2272</v>
      </c>
      <c r="Q3275" s="198" t="s">
        <v>2272</v>
      </c>
      <c r="R3275" s="198" t="s">
        <v>2272</v>
      </c>
      <c r="S3275" s="198" t="s">
        <v>2272</v>
      </c>
      <c r="T3275" s="198" t="s">
        <v>2272</v>
      </c>
      <c r="U3275" s="198" t="s">
        <v>2272</v>
      </c>
      <c r="V3275" s="198" t="s">
        <v>2272</v>
      </c>
      <c r="W3275" s="198" t="s">
        <v>2272</v>
      </c>
      <c r="X3275" s="198" t="s">
        <v>2272</v>
      </c>
      <c r="Y3275" s="198" t="s">
        <v>187</v>
      </c>
      <c r="Z3275" s="198" t="s">
        <v>84</v>
      </c>
      <c r="AA3275" s="198" t="s">
        <v>2272</v>
      </c>
      <c r="AB3275" s="4" t="s">
        <v>8679</v>
      </c>
      <c r="AC3275" s="198"/>
    </row>
    <row r="3276" spans="1:29" ht="67" customHeight="1">
      <c r="A3276" s="151" t="str">
        <f>'Reported burning'!A3276</f>
        <v>358a</v>
      </c>
      <c r="B3276" s="151" t="str">
        <f>'Reported burning'!B3276</f>
        <v>358a.6</v>
      </c>
      <c r="C3276" s="151" t="str">
        <f>'Reported burning'!C3276</f>
        <v>Human, escaped</v>
      </c>
      <c r="D3276" s="151" t="str">
        <f>'Reported burning'!D3276</f>
        <v>Pasture renewal</v>
      </c>
      <c r="E3276" s="151" t="str">
        <f>'Reported burning'!E3276</f>
        <v>Cattle, Extensive</v>
      </c>
      <c r="F3276" s="151" t="str">
        <f>'Reported burning'!F3276</f>
        <v>Grassland</v>
      </c>
      <c r="G3276" s="151" t="str">
        <f>'Reported burning'!G3276</f>
        <v>Grassland</v>
      </c>
      <c r="H3276" s="151" t="str">
        <f>'Reported burning'!H3276</f>
        <v>Presence</v>
      </c>
      <c r="I3276" s="5"/>
      <c r="J3276" s="198" t="s">
        <v>2272</v>
      </c>
      <c r="K3276" s="198" t="s">
        <v>2272</v>
      </c>
      <c r="L3276" s="198" t="s">
        <v>2272</v>
      </c>
      <c r="M3276" s="198" t="s">
        <v>2272</v>
      </c>
      <c r="N3276" s="198" t="s">
        <v>2272</v>
      </c>
      <c r="O3276" s="198" t="s">
        <v>2272</v>
      </c>
      <c r="P3276" s="198" t="s">
        <v>2272</v>
      </c>
      <c r="Q3276" s="198" t="s">
        <v>2272</v>
      </c>
      <c r="R3276" s="198" t="s">
        <v>2272</v>
      </c>
      <c r="S3276" s="198" t="s">
        <v>2272</v>
      </c>
      <c r="T3276" s="198" t="s">
        <v>2272</v>
      </c>
      <c r="U3276" s="198" t="s">
        <v>2272</v>
      </c>
      <c r="V3276" s="198" t="s">
        <v>2272</v>
      </c>
      <c r="W3276" s="198" t="s">
        <v>2272</v>
      </c>
      <c r="X3276" s="198" t="s">
        <v>2272</v>
      </c>
      <c r="Y3276" s="198" t="s">
        <v>403</v>
      </c>
      <c r="Z3276" s="198" t="s">
        <v>67</v>
      </c>
      <c r="AA3276" s="198" t="s">
        <v>2272</v>
      </c>
      <c r="AB3276" s="4" t="s">
        <v>8679</v>
      </c>
      <c r="AC3276" s="198"/>
    </row>
    <row r="3277" spans="1:29" ht="52" customHeight="1">
      <c r="A3277" s="151" t="str">
        <f>'Reported burning'!A3277</f>
        <v>358a</v>
      </c>
      <c r="B3277" s="151" t="str">
        <f>'Reported burning'!B3277</f>
        <v>358a.7</v>
      </c>
      <c r="C3277" s="151" t="str">
        <f>'Reported burning'!C3277</f>
        <v>Human, accidental</v>
      </c>
      <c r="D3277" s="151" t="str">
        <f>'Reported burning'!D3277</f>
        <v>Accidental</v>
      </c>
      <c r="E3277" s="151" t="str">
        <f>'Reported burning'!E3277</f>
        <v>Urban planner</v>
      </c>
      <c r="F3277" s="151" t="str">
        <f>'Reported burning'!F3277</f>
        <v>ND</v>
      </c>
      <c r="G3277" s="151" t="str">
        <f>'Reported burning'!G3277</f>
        <v>Grassland</v>
      </c>
      <c r="H3277" s="151" t="str">
        <f>'Reported burning'!H3277</f>
        <v>Presence</v>
      </c>
      <c r="I3277" s="5"/>
      <c r="J3277" s="198" t="s">
        <v>2272</v>
      </c>
      <c r="K3277" s="198" t="s">
        <v>2272</v>
      </c>
      <c r="L3277" s="198" t="s">
        <v>2272</v>
      </c>
      <c r="M3277" s="198" t="s">
        <v>2272</v>
      </c>
      <c r="N3277" s="198" t="s">
        <v>2272</v>
      </c>
      <c r="O3277" s="198" t="s">
        <v>2272</v>
      </c>
      <c r="P3277" s="198" t="s">
        <v>2272</v>
      </c>
      <c r="Q3277" s="198" t="s">
        <v>2272</v>
      </c>
      <c r="R3277" s="198" t="s">
        <v>2272</v>
      </c>
      <c r="S3277" s="198" t="s">
        <v>2272</v>
      </c>
      <c r="T3277" s="198" t="s">
        <v>2272</v>
      </c>
      <c r="U3277" s="198" t="s">
        <v>2272</v>
      </c>
      <c r="V3277" s="198" t="s">
        <v>2272</v>
      </c>
      <c r="W3277" s="198" t="s">
        <v>2272</v>
      </c>
      <c r="X3277" s="198" t="s">
        <v>2272</v>
      </c>
      <c r="Y3277" s="198" t="s">
        <v>2272</v>
      </c>
      <c r="Z3277" s="198" t="s">
        <v>2272</v>
      </c>
      <c r="AA3277" s="198" t="s">
        <v>2272</v>
      </c>
      <c r="AB3277" s="198"/>
      <c r="AC3277" s="198"/>
    </row>
    <row r="3278" spans="1:29" ht="55" customHeight="1">
      <c r="A3278" s="151" t="str">
        <f>'Reported burning'!A3278</f>
        <v>359a</v>
      </c>
      <c r="B3278" s="151" t="str">
        <f>'Reported burning'!B3278</f>
        <v>359a.1</v>
      </c>
      <c r="C3278" s="151" t="str">
        <f>'Reported burning'!C3278</f>
        <v>Human, escaped</v>
      </c>
      <c r="D3278" s="151" t="str">
        <f>'Reported burning'!D3278</f>
        <v>ND</v>
      </c>
      <c r="E3278" s="151" t="str">
        <f>'Reported burning'!E3278</f>
        <v>ND</v>
      </c>
      <c r="F3278" s="151" t="str">
        <f>'Reported burning'!F3278</f>
        <v>ND</v>
      </c>
      <c r="G3278" s="151" t="str">
        <f>'Reported burning'!G3278</f>
        <v>Grassland</v>
      </c>
      <c r="H3278" s="151" t="str">
        <f>'Reported burning'!H3278</f>
        <v>Presence</v>
      </c>
      <c r="I3278" s="5"/>
      <c r="J3278" s="198" t="s">
        <v>2272</v>
      </c>
      <c r="K3278" s="198" t="s">
        <v>2272</v>
      </c>
      <c r="L3278" s="198" t="s">
        <v>2272</v>
      </c>
      <c r="M3278" s="198" t="s">
        <v>2272</v>
      </c>
      <c r="N3278" s="198" t="s">
        <v>2272</v>
      </c>
      <c r="O3278" s="198" t="s">
        <v>2272</v>
      </c>
      <c r="P3278" s="198" t="s">
        <v>2272</v>
      </c>
      <c r="Q3278" s="198" t="s">
        <v>2272</v>
      </c>
      <c r="R3278" s="198" t="s">
        <v>2272</v>
      </c>
      <c r="S3278" s="198" t="s">
        <v>2272</v>
      </c>
      <c r="T3278" s="198" t="s">
        <v>2272</v>
      </c>
      <c r="U3278" s="198" t="s">
        <v>2272</v>
      </c>
      <c r="V3278" s="198" t="s">
        <v>2272</v>
      </c>
      <c r="W3278" s="198" t="s">
        <v>2272</v>
      </c>
      <c r="X3278" s="198" t="s">
        <v>2272</v>
      </c>
      <c r="Y3278" s="198" t="s">
        <v>2272</v>
      </c>
      <c r="Z3278" s="198" t="s">
        <v>2272</v>
      </c>
      <c r="AA3278" s="198" t="s">
        <v>2272</v>
      </c>
      <c r="AB3278" s="4" t="s">
        <v>8690</v>
      </c>
      <c r="AC3278" s="198"/>
    </row>
    <row r="3279" spans="1:29" ht="60" customHeight="1">
      <c r="A3279" s="151" t="str">
        <f>'Reported burning'!A3279</f>
        <v>359a</v>
      </c>
      <c r="B3279" s="151" t="str">
        <f>'Reported burning'!B3279</f>
        <v>359a.2</v>
      </c>
      <c r="C3279" s="151" t="str">
        <f>'Reported burning'!C3279</f>
        <v>Lightning</v>
      </c>
      <c r="D3279" s="151" t="str">
        <f>'Reported burning'!D3279</f>
        <v>ND</v>
      </c>
      <c r="E3279" s="151" t="str">
        <f>'Reported burning'!E3279</f>
        <v>ND</v>
      </c>
      <c r="F3279" s="151" t="str">
        <f>'Reported burning'!F3279</f>
        <v>ND</v>
      </c>
      <c r="G3279" s="151" t="str">
        <f>'Reported burning'!G3279</f>
        <v>Grassland</v>
      </c>
      <c r="H3279" s="151" t="str">
        <f>'Reported burning'!H3279</f>
        <v>Presence</v>
      </c>
      <c r="I3279" s="5"/>
      <c r="J3279" s="198" t="s">
        <v>2272</v>
      </c>
      <c r="K3279" s="198" t="s">
        <v>2272</v>
      </c>
      <c r="L3279" s="198" t="s">
        <v>2272</v>
      </c>
      <c r="M3279" s="198" t="s">
        <v>2272</v>
      </c>
      <c r="N3279" s="198" t="s">
        <v>2272</v>
      </c>
      <c r="O3279" s="198" t="s">
        <v>2272</v>
      </c>
      <c r="P3279" s="198" t="s">
        <v>2272</v>
      </c>
      <c r="Q3279" s="198" t="s">
        <v>2272</v>
      </c>
      <c r="R3279" s="198" t="s">
        <v>2272</v>
      </c>
      <c r="S3279" s="198" t="s">
        <v>2272</v>
      </c>
      <c r="T3279" s="198" t="s">
        <v>2272</v>
      </c>
      <c r="U3279" s="198" t="s">
        <v>2272</v>
      </c>
      <c r="V3279" s="198" t="s">
        <v>2272</v>
      </c>
      <c r="W3279" s="198" t="s">
        <v>2272</v>
      </c>
      <c r="X3279" s="198" t="s">
        <v>2272</v>
      </c>
      <c r="Y3279" s="198" t="s">
        <v>2272</v>
      </c>
      <c r="Z3279" s="198" t="s">
        <v>2272</v>
      </c>
      <c r="AA3279" s="198" t="s">
        <v>2272</v>
      </c>
      <c r="AB3279" s="4" t="s">
        <v>8690</v>
      </c>
      <c r="AC3279" s="198"/>
    </row>
    <row r="3280" spans="1:29" ht="60" customHeight="1">
      <c r="A3280" s="151" t="str">
        <f>'Reported burning'!A3280</f>
        <v>359a</v>
      </c>
      <c r="B3280" s="151" t="str">
        <f>'Reported burning'!B3280</f>
        <v>359a.3</v>
      </c>
      <c r="C3280" s="151" t="str">
        <f>'Reported burning'!C3280</f>
        <v>Human, accidental</v>
      </c>
      <c r="D3280" s="151" t="str">
        <f>'Reported burning'!D3280</f>
        <v>ND</v>
      </c>
      <c r="E3280" s="151" t="str">
        <f>'Reported burning'!E3280</f>
        <v>Urban planner</v>
      </c>
      <c r="F3280" s="151" t="str">
        <f>'Reported burning'!F3280</f>
        <v>ND</v>
      </c>
      <c r="G3280" s="151" t="str">
        <f>'Reported burning'!G3280</f>
        <v>Grassland</v>
      </c>
      <c r="H3280" s="151" t="str">
        <f>'Reported burning'!H3280</f>
        <v>Presence</v>
      </c>
      <c r="I3280" s="5"/>
      <c r="J3280" s="198" t="s">
        <v>2272</v>
      </c>
      <c r="K3280" s="198" t="s">
        <v>2272</v>
      </c>
      <c r="L3280" s="198" t="s">
        <v>2272</v>
      </c>
      <c r="M3280" s="198" t="s">
        <v>2272</v>
      </c>
      <c r="N3280" s="198" t="s">
        <v>2272</v>
      </c>
      <c r="O3280" s="198" t="s">
        <v>2272</v>
      </c>
      <c r="P3280" s="198" t="s">
        <v>2272</v>
      </c>
      <c r="Q3280" s="198" t="s">
        <v>2272</v>
      </c>
      <c r="R3280" s="198" t="s">
        <v>2272</v>
      </c>
      <c r="S3280" s="198" t="s">
        <v>2272</v>
      </c>
      <c r="T3280" s="198" t="s">
        <v>2272</v>
      </c>
      <c r="U3280" s="198" t="s">
        <v>2272</v>
      </c>
      <c r="V3280" s="198" t="s">
        <v>2272</v>
      </c>
      <c r="W3280" s="198" t="s">
        <v>2272</v>
      </c>
      <c r="X3280" s="198" t="s">
        <v>2272</v>
      </c>
      <c r="Y3280" s="198" t="s">
        <v>2272</v>
      </c>
      <c r="Z3280" s="198" t="s">
        <v>2272</v>
      </c>
      <c r="AA3280" s="198" t="s">
        <v>2272</v>
      </c>
      <c r="AB3280" s="4" t="s">
        <v>8690</v>
      </c>
      <c r="AC3280" s="198"/>
    </row>
    <row r="3281" spans="1:29" ht="60" customHeight="1">
      <c r="A3281" s="151" t="str">
        <f>'Reported burning'!A3281</f>
        <v>359a</v>
      </c>
      <c r="B3281" s="151" t="str">
        <f>'Reported burning'!B3281</f>
        <v>359a.4</v>
      </c>
      <c r="C3281" s="151" t="str">
        <f>'Reported burning'!C3281</f>
        <v>Human, escaped</v>
      </c>
      <c r="D3281" s="151" t="str">
        <f>'Reported burning'!D3281</f>
        <v>Crop residue burning</v>
      </c>
      <c r="E3281" s="151" t="str">
        <f>'Reported burning'!E3281</f>
        <v>ND</v>
      </c>
      <c r="F3281" s="151" t="str">
        <f>'Reported burning'!F3281</f>
        <v>Cropland</v>
      </c>
      <c r="G3281" s="151" t="str">
        <f>'Reported burning'!G3281</f>
        <v>Grassland</v>
      </c>
      <c r="H3281" s="151" t="str">
        <f>'Reported burning'!H3281</f>
        <v>Presence</v>
      </c>
      <c r="I3281" s="5"/>
      <c r="J3281" s="198" t="s">
        <v>2272</v>
      </c>
      <c r="K3281" s="198" t="s">
        <v>2272</v>
      </c>
      <c r="L3281" s="198" t="s">
        <v>2272</v>
      </c>
      <c r="M3281" s="198" t="s">
        <v>2272</v>
      </c>
      <c r="N3281" s="198" t="s">
        <v>2272</v>
      </c>
      <c r="O3281" s="198" t="s">
        <v>2272</v>
      </c>
      <c r="P3281" s="198" t="s">
        <v>2272</v>
      </c>
      <c r="Q3281" s="198" t="s">
        <v>2272</v>
      </c>
      <c r="R3281" s="198" t="s">
        <v>2272</v>
      </c>
      <c r="S3281" s="198" t="s">
        <v>2272</v>
      </c>
      <c r="T3281" s="198" t="s">
        <v>2272</v>
      </c>
      <c r="U3281" s="198" t="s">
        <v>2272</v>
      </c>
      <c r="V3281" s="198" t="s">
        <v>2272</v>
      </c>
      <c r="W3281" s="198" t="s">
        <v>2272</v>
      </c>
      <c r="X3281" s="198" t="s">
        <v>2272</v>
      </c>
      <c r="Y3281" s="198" t="s">
        <v>37</v>
      </c>
      <c r="Z3281" s="198" t="s">
        <v>84</v>
      </c>
      <c r="AA3281" s="198" t="s">
        <v>63</v>
      </c>
      <c r="AB3281" s="4" t="s">
        <v>8690</v>
      </c>
      <c r="AC3281" s="198"/>
    </row>
    <row r="3282" spans="1:29" ht="60" customHeight="1">
      <c r="A3282" s="151" t="str">
        <f>'Reported burning'!A3282</f>
        <v>359a</v>
      </c>
      <c r="B3282" s="151" t="str">
        <f>'Reported burning'!B3282</f>
        <v>359a.5</v>
      </c>
      <c r="C3282" s="151" t="str">
        <f>'Reported burning'!C3282</f>
        <v>Human, escaped</v>
      </c>
      <c r="D3282" s="151" t="str">
        <f>'Reported burning'!D3282</f>
        <v>Pasture renewal</v>
      </c>
      <c r="E3282" s="151" t="str">
        <f>'Reported burning'!E3282</f>
        <v>Cattle, Extensive</v>
      </c>
      <c r="F3282" s="151" t="str">
        <f>'Reported burning'!F3282</f>
        <v>Pasture</v>
      </c>
      <c r="G3282" s="151" t="str">
        <f>'Reported burning'!G3282</f>
        <v>Grassland</v>
      </c>
      <c r="H3282" s="151" t="str">
        <f>'Reported burning'!H3282</f>
        <v>Presence</v>
      </c>
      <c r="I3282" s="5"/>
      <c r="J3282" s="198" t="s">
        <v>2272</v>
      </c>
      <c r="K3282" s="198" t="s">
        <v>2272</v>
      </c>
      <c r="L3282" s="198" t="s">
        <v>2272</v>
      </c>
      <c r="M3282" s="198" t="s">
        <v>2272</v>
      </c>
      <c r="N3282" s="198" t="s">
        <v>2272</v>
      </c>
      <c r="O3282" s="198" t="s">
        <v>2272</v>
      </c>
      <c r="P3282" s="198" t="s">
        <v>2272</v>
      </c>
      <c r="Q3282" s="198" t="s">
        <v>2272</v>
      </c>
      <c r="R3282" s="198" t="s">
        <v>2272</v>
      </c>
      <c r="S3282" s="198" t="s">
        <v>2272</v>
      </c>
      <c r="T3282" s="198" t="s">
        <v>2272</v>
      </c>
      <c r="U3282" s="198" t="s">
        <v>2272</v>
      </c>
      <c r="V3282" s="198" t="s">
        <v>2272</v>
      </c>
      <c r="W3282" s="198" t="s">
        <v>2272</v>
      </c>
      <c r="X3282" s="198" t="s">
        <v>2272</v>
      </c>
      <c r="Y3282" s="198" t="s">
        <v>37</v>
      </c>
      <c r="Z3282" s="198" t="s">
        <v>84</v>
      </c>
      <c r="AA3282" s="198" t="s">
        <v>63</v>
      </c>
      <c r="AB3282" s="4" t="s">
        <v>8690</v>
      </c>
      <c r="AC3282" s="198"/>
    </row>
    <row r="3283" spans="1:29" ht="60" customHeight="1">
      <c r="A3283" s="151" t="str">
        <f>'Reported burning'!A3283</f>
        <v>359a</v>
      </c>
      <c r="B3283" s="151" t="str">
        <f>'Reported burning'!B3283</f>
        <v>359a.6</v>
      </c>
      <c r="C3283" s="151" t="str">
        <f>'Reported burning'!C3283</f>
        <v>Human, deliberate</v>
      </c>
      <c r="D3283" s="151" t="str">
        <f>'Reported burning'!D3283</f>
        <v>Arson</v>
      </c>
      <c r="E3283" s="151" t="str">
        <f>'Reported burning'!E3283</f>
        <v>ND</v>
      </c>
      <c r="F3283" s="151" t="str">
        <f>'Reported burning'!F3283</f>
        <v>ND</v>
      </c>
      <c r="G3283" s="151" t="str">
        <f>'Reported burning'!G3283</f>
        <v>Grassland</v>
      </c>
      <c r="H3283" s="151" t="str">
        <f>'Reported burning'!H3283</f>
        <v>Presence</v>
      </c>
      <c r="I3283" s="5"/>
      <c r="J3283" s="198" t="s">
        <v>2272</v>
      </c>
      <c r="K3283" s="198" t="s">
        <v>2272</v>
      </c>
      <c r="L3283" s="198" t="s">
        <v>2272</v>
      </c>
      <c r="M3283" s="198" t="s">
        <v>2272</v>
      </c>
      <c r="N3283" s="198" t="s">
        <v>2272</v>
      </c>
      <c r="O3283" s="198" t="s">
        <v>2272</v>
      </c>
      <c r="P3283" s="198" t="s">
        <v>2272</v>
      </c>
      <c r="Q3283" s="198" t="s">
        <v>2272</v>
      </c>
      <c r="R3283" s="198" t="s">
        <v>2272</v>
      </c>
      <c r="S3283" s="198" t="s">
        <v>2272</v>
      </c>
      <c r="T3283" s="198" t="s">
        <v>2272</v>
      </c>
      <c r="U3283" s="198" t="s">
        <v>2272</v>
      </c>
      <c r="V3283" s="198" t="s">
        <v>2272</v>
      </c>
      <c r="W3283" s="198" t="s">
        <v>2272</v>
      </c>
      <c r="X3283" s="198" t="s">
        <v>2272</v>
      </c>
      <c r="Y3283" s="198" t="s">
        <v>2272</v>
      </c>
      <c r="Z3283" s="198" t="s">
        <v>2272</v>
      </c>
      <c r="AA3283" s="198" t="s">
        <v>2272</v>
      </c>
      <c r="AB3283" s="4" t="s">
        <v>8690</v>
      </c>
      <c r="AC3283" s="198"/>
    </row>
    <row r="3284" spans="1:29" ht="60" customHeight="1">
      <c r="A3284" s="151" t="str">
        <f>'Reported burning'!A3284</f>
        <v>359a</v>
      </c>
      <c r="B3284" s="151" t="str">
        <f>'Reported burning'!B3284</f>
        <v>359a.7</v>
      </c>
      <c r="C3284" s="151" t="str">
        <f>'Reported burning'!C3284</f>
        <v>Human, escaped</v>
      </c>
      <c r="D3284" s="151" t="str">
        <f>'Reported burning'!D3284</f>
        <v>Domestic</v>
      </c>
      <c r="E3284" s="151" t="str">
        <f>'Reported burning'!E3284</f>
        <v>ND</v>
      </c>
      <c r="F3284" s="151" t="str">
        <f>'Reported burning'!F3284</f>
        <v>ND</v>
      </c>
      <c r="G3284" s="151" t="str">
        <f>'Reported burning'!G3284</f>
        <v>Grassland</v>
      </c>
      <c r="H3284" s="151" t="str">
        <f>'Reported burning'!H3284</f>
        <v>Presence</v>
      </c>
      <c r="I3284" s="5"/>
      <c r="J3284" s="198" t="s">
        <v>2272</v>
      </c>
      <c r="K3284" s="198" t="s">
        <v>2272</v>
      </c>
      <c r="L3284" s="198" t="s">
        <v>2272</v>
      </c>
      <c r="M3284" s="198" t="s">
        <v>2272</v>
      </c>
      <c r="N3284" s="198" t="s">
        <v>2272</v>
      </c>
      <c r="O3284" s="198" t="s">
        <v>2272</v>
      </c>
      <c r="P3284" s="198" t="s">
        <v>2272</v>
      </c>
      <c r="Q3284" s="198" t="s">
        <v>2272</v>
      </c>
      <c r="R3284" s="198" t="s">
        <v>2272</v>
      </c>
      <c r="S3284" s="198" t="s">
        <v>2272</v>
      </c>
      <c r="T3284" s="198" t="s">
        <v>2272</v>
      </c>
      <c r="U3284" s="198" t="s">
        <v>2272</v>
      </c>
      <c r="V3284" s="198" t="s">
        <v>2272</v>
      </c>
      <c r="W3284" s="198" t="s">
        <v>2272</v>
      </c>
      <c r="X3284" s="198" t="s">
        <v>2272</v>
      </c>
      <c r="Y3284" s="198" t="s">
        <v>2272</v>
      </c>
      <c r="Z3284" s="198" t="s">
        <v>2272</v>
      </c>
      <c r="AA3284" s="198" t="s">
        <v>2272</v>
      </c>
      <c r="AB3284" s="4" t="s">
        <v>8690</v>
      </c>
      <c r="AC3284" s="198"/>
    </row>
    <row r="3285" spans="1:29" ht="60" customHeight="1">
      <c r="A3285" s="179" t="str">
        <f>'Reported burning'!A3285</f>
        <v>359a</v>
      </c>
      <c r="B3285" s="179" t="str">
        <f>'Reported burning'!B3285</f>
        <v>359a.8</v>
      </c>
      <c r="C3285" s="179" t="str">
        <f>'Reported burning'!C3285</f>
        <v>Human, escaped</v>
      </c>
      <c r="D3285" s="179" t="str">
        <f>'Reported burning'!D3285</f>
        <v>Cultural &amp; Spiritual</v>
      </c>
      <c r="E3285" s="179" t="str">
        <f>'Reported burning'!E3285</f>
        <v>ND</v>
      </c>
      <c r="F3285" s="179" t="str">
        <f>'Reported burning'!F3285</f>
        <v>ND</v>
      </c>
      <c r="G3285" s="179" t="str">
        <f>'Reported burning'!G3285</f>
        <v>Grassland</v>
      </c>
      <c r="H3285" s="179" t="str">
        <f>'Reported burning'!H3285</f>
        <v>Presence</v>
      </c>
      <c r="I3285" s="32"/>
      <c r="J3285" s="198" t="s">
        <v>2272</v>
      </c>
      <c r="K3285" s="198" t="s">
        <v>2272</v>
      </c>
      <c r="L3285" s="198" t="s">
        <v>2272</v>
      </c>
      <c r="M3285" s="198" t="s">
        <v>2272</v>
      </c>
      <c r="N3285" s="198" t="s">
        <v>2272</v>
      </c>
      <c r="O3285" s="198" t="s">
        <v>2272</v>
      </c>
      <c r="P3285" s="198" t="s">
        <v>2272</v>
      </c>
      <c r="Q3285" s="198" t="s">
        <v>2272</v>
      </c>
      <c r="R3285" s="198" t="s">
        <v>2272</v>
      </c>
      <c r="S3285" s="198" t="s">
        <v>2272</v>
      </c>
      <c r="T3285" s="198" t="s">
        <v>2272</v>
      </c>
      <c r="U3285" s="198" t="s">
        <v>2272</v>
      </c>
      <c r="V3285" s="198" t="s">
        <v>2272</v>
      </c>
      <c r="W3285" s="198" t="s">
        <v>2272</v>
      </c>
      <c r="X3285" s="198" t="s">
        <v>2272</v>
      </c>
      <c r="Y3285" s="198" t="s">
        <v>2272</v>
      </c>
      <c r="Z3285" s="198" t="s">
        <v>2272</v>
      </c>
      <c r="AA3285" s="198" t="s">
        <v>2272</v>
      </c>
      <c r="AB3285" s="4" t="s">
        <v>8690</v>
      </c>
      <c r="AC3285" s="198"/>
    </row>
    <row r="3286" spans="1:29" ht="60" customHeight="1">
      <c r="A3286" s="147" t="str">
        <f>'Reported burning'!A3286</f>
        <v>360a</v>
      </c>
      <c r="B3286" s="147" t="str">
        <f>'Reported burning'!B3286</f>
        <v>360a.1</v>
      </c>
      <c r="C3286" s="147" t="str">
        <f>'Reported burning'!C3286</f>
        <v>Human, deliberate</v>
      </c>
      <c r="D3286" s="147" t="str">
        <f>'Reported burning'!D3286</f>
        <v>Crop residue burning</v>
      </c>
      <c r="E3286" s="147" t="str">
        <f>'Reported burning'!E3286</f>
        <v>Cropping, Monoculture, Market-oriented</v>
      </c>
      <c r="F3286" s="147" t="str">
        <f>'Reported burning'!F3286</f>
        <v>Cropland</v>
      </c>
      <c r="G3286" s="147" t="str">
        <f>'Reported burning'!G3286</f>
        <v>Cropland</v>
      </c>
      <c r="H3286" s="147" t="str">
        <f>'Reported burning'!H3286</f>
        <v>Presence</v>
      </c>
      <c r="I3286" s="198"/>
      <c r="J3286" s="198" t="s">
        <v>2373</v>
      </c>
      <c r="K3286" s="198" t="s">
        <v>2373</v>
      </c>
      <c r="L3286" s="198" t="s">
        <v>2272</v>
      </c>
      <c r="M3286" s="198" t="s">
        <v>2272</v>
      </c>
      <c r="N3286" s="198" t="s">
        <v>2272</v>
      </c>
      <c r="O3286" s="198" t="s">
        <v>2272</v>
      </c>
      <c r="P3286" s="198" t="s">
        <v>2272</v>
      </c>
      <c r="Q3286" s="198" t="s">
        <v>2272</v>
      </c>
      <c r="R3286" s="198" t="s">
        <v>2272</v>
      </c>
      <c r="S3286" s="198" t="s">
        <v>2272</v>
      </c>
      <c r="T3286" s="21" t="s">
        <v>2391</v>
      </c>
      <c r="U3286" s="198" t="s">
        <v>2272</v>
      </c>
      <c r="V3286" s="21" t="s">
        <v>2391</v>
      </c>
      <c r="W3286" s="198" t="s">
        <v>2272</v>
      </c>
      <c r="X3286" s="198" t="s">
        <v>2272</v>
      </c>
      <c r="Y3286" s="198" t="s">
        <v>186</v>
      </c>
      <c r="Z3286" s="198" t="s">
        <v>186</v>
      </c>
      <c r="AA3286" s="198" t="s">
        <v>2272</v>
      </c>
      <c r="AB3286" s="4" t="s">
        <v>8699</v>
      </c>
      <c r="AC3286" s="4" t="s">
        <v>11579</v>
      </c>
    </row>
    <row r="3287" spans="1:29" ht="60" customHeight="1">
      <c r="A3287" s="147" t="str">
        <f>'Reported burning'!A3287</f>
        <v>360a</v>
      </c>
      <c r="B3287" s="147" t="str">
        <f>'Reported burning'!B3287</f>
        <v>360a.2</v>
      </c>
      <c r="C3287" s="147" t="str">
        <f>'Reported burning'!C3287</f>
        <v>Human, deliberate</v>
      </c>
      <c r="D3287" s="147" t="str">
        <f>'Reported burning'!D3287</f>
        <v>Crop residue burning</v>
      </c>
      <c r="E3287" s="147" t="str">
        <f>'Reported burning'!E3287</f>
        <v>Cropping, Monoculture, Market-oriented</v>
      </c>
      <c r="F3287" s="147" t="str">
        <f>'Reported burning'!F3287</f>
        <v>Cropland</v>
      </c>
      <c r="G3287" s="147" t="str">
        <f>'Reported burning'!G3287</f>
        <v>Cropland</v>
      </c>
      <c r="H3287" s="147" t="str">
        <f>'Reported burning'!H3287</f>
        <v>Presence</v>
      </c>
      <c r="I3287" s="198"/>
      <c r="J3287" s="198" t="s">
        <v>2840</v>
      </c>
      <c r="K3287" s="198" t="s">
        <v>2840</v>
      </c>
      <c r="L3287" s="198" t="s">
        <v>2272</v>
      </c>
      <c r="M3287" s="198" t="s">
        <v>2272</v>
      </c>
      <c r="N3287" s="198" t="s">
        <v>2272</v>
      </c>
      <c r="O3287" s="198" t="s">
        <v>2272</v>
      </c>
      <c r="P3287" s="198" t="s">
        <v>2272</v>
      </c>
      <c r="Q3287" s="198" t="s">
        <v>2272</v>
      </c>
      <c r="R3287" s="198" t="s">
        <v>2272</v>
      </c>
      <c r="S3287" s="198" t="s">
        <v>2272</v>
      </c>
      <c r="T3287" s="21" t="s">
        <v>2371</v>
      </c>
      <c r="U3287" s="198" t="s">
        <v>2272</v>
      </c>
      <c r="V3287" s="21" t="s">
        <v>2371</v>
      </c>
      <c r="W3287" s="198" t="s">
        <v>2272</v>
      </c>
      <c r="X3287" s="198" t="s">
        <v>2272</v>
      </c>
      <c r="Y3287" s="198" t="s">
        <v>84</v>
      </c>
      <c r="Z3287" s="198" t="s">
        <v>84</v>
      </c>
      <c r="AA3287" s="198" t="s">
        <v>2272</v>
      </c>
      <c r="AB3287" s="4" t="s">
        <v>8699</v>
      </c>
      <c r="AC3287" s="4" t="s">
        <v>11579</v>
      </c>
    </row>
    <row r="3288" spans="1:29" ht="60" customHeight="1">
      <c r="A3288" s="147" t="str">
        <f>'Reported burning'!A3288</f>
        <v>360a</v>
      </c>
      <c r="B3288" s="147" t="str">
        <f>'Reported burning'!B3288</f>
        <v>360a.3</v>
      </c>
      <c r="C3288" s="147" t="str">
        <f>'Reported burning'!C3288</f>
        <v>Human, deliberate</v>
      </c>
      <c r="D3288" s="147" t="str">
        <f>'Reported burning'!D3288</f>
        <v>Crop residue burning</v>
      </c>
      <c r="E3288" s="147" t="str">
        <f>'Reported burning'!E3288</f>
        <v>Cropping, Monoculture, Market-oriented</v>
      </c>
      <c r="F3288" s="147" t="str">
        <f>'Reported burning'!F3288</f>
        <v>Cropland</v>
      </c>
      <c r="G3288" s="147" t="str">
        <f>'Reported burning'!G3288</f>
        <v>Cropland</v>
      </c>
      <c r="H3288" s="147" t="str">
        <f>'Reported burning'!H3288</f>
        <v>Presence</v>
      </c>
      <c r="I3288" s="198"/>
      <c r="J3288" s="198" t="s">
        <v>2368</v>
      </c>
      <c r="K3288" s="198" t="s">
        <v>2368</v>
      </c>
      <c r="L3288" s="198" t="s">
        <v>2272</v>
      </c>
      <c r="M3288" s="198" t="s">
        <v>2272</v>
      </c>
      <c r="N3288" s="198" t="s">
        <v>2272</v>
      </c>
      <c r="O3288" s="198" t="s">
        <v>2272</v>
      </c>
      <c r="P3288" s="198" t="s">
        <v>2272</v>
      </c>
      <c r="Q3288" s="198" t="s">
        <v>2272</v>
      </c>
      <c r="R3288" s="198" t="s">
        <v>2272</v>
      </c>
      <c r="S3288" s="198" t="s">
        <v>2272</v>
      </c>
      <c r="T3288" s="21" t="s">
        <v>2522</v>
      </c>
      <c r="U3288" s="198" t="s">
        <v>2272</v>
      </c>
      <c r="V3288" s="21" t="s">
        <v>2522</v>
      </c>
      <c r="W3288" s="198" t="s">
        <v>2272</v>
      </c>
      <c r="X3288" s="198" t="s">
        <v>2272</v>
      </c>
      <c r="Y3288" s="198" t="s">
        <v>423</v>
      </c>
      <c r="Z3288" s="198" t="s">
        <v>423</v>
      </c>
      <c r="AA3288" s="198" t="s">
        <v>2272</v>
      </c>
      <c r="AB3288" s="4" t="s">
        <v>8699</v>
      </c>
      <c r="AC3288" s="4" t="s">
        <v>11579</v>
      </c>
    </row>
    <row r="3289" spans="1:29" ht="60" customHeight="1">
      <c r="A3289" s="151" t="str">
        <f>'Reported burning'!A3289</f>
        <v>361a</v>
      </c>
      <c r="B3289" s="151" t="str">
        <f>'Reported burning'!B3289</f>
        <v>361a.1</v>
      </c>
      <c r="C3289" s="151" t="str">
        <f>'Reported burning'!C3289</f>
        <v>Human, deliberate</v>
      </c>
      <c r="D3289" s="151" t="str">
        <f>'Reported burning'!D3289</f>
        <v>Crop residue burning</v>
      </c>
      <c r="E3289" s="151" t="str">
        <f>'Reported burning'!E3289</f>
        <v>Cropping, Monoculture, Market-oriented</v>
      </c>
      <c r="F3289" s="151" t="str">
        <f>'Reported burning'!F3289</f>
        <v>Cropland</v>
      </c>
      <c r="G3289" s="151" t="str">
        <f>'Reported burning'!G3289</f>
        <v>Cropland</v>
      </c>
      <c r="H3289" s="151" t="str">
        <f>'Reported burning'!H3289</f>
        <v>Presence</v>
      </c>
      <c r="I3289" s="5"/>
      <c r="J3289" s="198" t="s">
        <v>2272</v>
      </c>
      <c r="K3289" s="198" t="s">
        <v>2272</v>
      </c>
      <c r="L3289" s="198" t="s">
        <v>2272</v>
      </c>
      <c r="M3289" s="198" t="s">
        <v>2272</v>
      </c>
      <c r="N3289" s="198" t="s">
        <v>2272</v>
      </c>
      <c r="O3289" s="198" t="s">
        <v>2272</v>
      </c>
      <c r="P3289" s="198" t="s">
        <v>2272</v>
      </c>
      <c r="Q3289" s="198" t="s">
        <v>2272</v>
      </c>
      <c r="R3289" s="198" t="s">
        <v>2272</v>
      </c>
      <c r="S3289" s="198" t="s">
        <v>2272</v>
      </c>
      <c r="T3289" s="198" t="s">
        <v>2272</v>
      </c>
      <c r="U3289" s="198" t="s">
        <v>2272</v>
      </c>
      <c r="V3289" s="198" t="s">
        <v>2272</v>
      </c>
      <c r="W3289" s="198" t="s">
        <v>2272</v>
      </c>
      <c r="X3289" s="21" t="s">
        <v>2370</v>
      </c>
      <c r="Y3289" s="198" t="s">
        <v>33</v>
      </c>
      <c r="Z3289" s="198" t="s">
        <v>33</v>
      </c>
      <c r="AA3289" s="198" t="s">
        <v>2272</v>
      </c>
      <c r="AB3289" s="4" t="s">
        <v>8712</v>
      </c>
      <c r="AC3289" s="198" t="s">
        <v>8714</v>
      </c>
    </row>
    <row r="3290" spans="1:29" ht="56" customHeight="1">
      <c r="A3290" s="151" t="str">
        <f>'Reported burning'!A3290</f>
        <v>361a</v>
      </c>
      <c r="B3290" s="151" t="str">
        <f>'Reported burning'!B3290</f>
        <v>361a.2</v>
      </c>
      <c r="C3290" s="151" t="str">
        <f>'Reported burning'!C3290</f>
        <v>Human, deliberate</v>
      </c>
      <c r="D3290" s="151" t="str">
        <f>'Reported burning'!D3290</f>
        <v>Crop residue burning</v>
      </c>
      <c r="E3290" s="151" t="str">
        <f>'Reported burning'!E3290</f>
        <v>Cropping, Monoculture, Subsistence-oriented</v>
      </c>
      <c r="F3290" s="151" t="str">
        <f>'Reported burning'!F3290</f>
        <v>Cropland</v>
      </c>
      <c r="G3290" s="151" t="str">
        <f>'Reported burning'!G3290</f>
        <v>Cropland</v>
      </c>
      <c r="H3290" s="151" t="str">
        <f>'Reported burning'!H3290</f>
        <v>Presence</v>
      </c>
      <c r="I3290" s="5"/>
      <c r="J3290" s="198" t="s">
        <v>2272</v>
      </c>
      <c r="K3290" s="198" t="s">
        <v>2272</v>
      </c>
      <c r="L3290" s="198" t="s">
        <v>2272</v>
      </c>
      <c r="M3290" s="198" t="s">
        <v>2272</v>
      </c>
      <c r="N3290" s="198" t="s">
        <v>2272</v>
      </c>
      <c r="O3290" s="198" t="s">
        <v>2272</v>
      </c>
      <c r="P3290" s="198" t="s">
        <v>2272</v>
      </c>
      <c r="Q3290" s="198" t="s">
        <v>2272</v>
      </c>
      <c r="R3290" s="198" t="s">
        <v>2272</v>
      </c>
      <c r="S3290" s="198" t="s">
        <v>2272</v>
      </c>
      <c r="T3290" s="198" t="s">
        <v>2272</v>
      </c>
      <c r="U3290" s="198" t="s">
        <v>2272</v>
      </c>
      <c r="V3290" s="198" t="s">
        <v>2272</v>
      </c>
      <c r="W3290" s="198" t="s">
        <v>2272</v>
      </c>
      <c r="X3290" s="21" t="s">
        <v>2370</v>
      </c>
      <c r="Y3290" s="198" t="s">
        <v>33</v>
      </c>
      <c r="Z3290" s="198" t="s">
        <v>33</v>
      </c>
      <c r="AA3290" s="198" t="s">
        <v>2272</v>
      </c>
      <c r="AB3290" s="4" t="s">
        <v>8713</v>
      </c>
      <c r="AC3290" s="198" t="s">
        <v>8714</v>
      </c>
    </row>
    <row r="3291" spans="1:29" ht="56" customHeight="1">
      <c r="A3291" s="151" t="str">
        <f>'Reported burning'!A3291</f>
        <v>361a</v>
      </c>
      <c r="B3291" s="151" t="str">
        <f>'Reported burning'!B3291</f>
        <v>361a.3</v>
      </c>
      <c r="C3291" s="151" t="str">
        <f>'Reported burning'!C3291</f>
        <v>Human, deliberate</v>
      </c>
      <c r="D3291" s="151" t="str">
        <f>'Reported burning'!D3291</f>
        <v>Crop residue burning</v>
      </c>
      <c r="E3291" s="151" t="str">
        <f>'Reported burning'!E3291</f>
        <v>Cropping, Monoculture, Market-oriented</v>
      </c>
      <c r="F3291" s="151" t="str">
        <f>'Reported burning'!F3291</f>
        <v>Cropland</v>
      </c>
      <c r="G3291" s="151" t="str">
        <f>'Reported burning'!G3291</f>
        <v>Cropland</v>
      </c>
      <c r="H3291" s="151" t="str">
        <f>'Reported burning'!H3291</f>
        <v>Presence</v>
      </c>
      <c r="I3291" s="5"/>
      <c r="J3291" s="198" t="s">
        <v>2272</v>
      </c>
      <c r="K3291" s="198" t="s">
        <v>2272</v>
      </c>
      <c r="L3291" s="198" t="s">
        <v>2272</v>
      </c>
      <c r="M3291" s="198" t="s">
        <v>2272</v>
      </c>
      <c r="N3291" s="198" t="s">
        <v>2272</v>
      </c>
      <c r="O3291" s="198" t="s">
        <v>2272</v>
      </c>
      <c r="P3291" s="198" t="s">
        <v>2272</v>
      </c>
      <c r="Q3291" s="198" t="s">
        <v>2272</v>
      </c>
      <c r="R3291" s="198" t="s">
        <v>2272</v>
      </c>
      <c r="S3291" s="198" t="s">
        <v>2272</v>
      </c>
      <c r="T3291" s="198" t="s">
        <v>2272</v>
      </c>
      <c r="U3291" s="198" t="s">
        <v>2272</v>
      </c>
      <c r="V3291" s="198" t="s">
        <v>2272</v>
      </c>
      <c r="W3291" s="198" t="s">
        <v>2272</v>
      </c>
      <c r="X3291" s="21" t="s">
        <v>2370</v>
      </c>
      <c r="Y3291" s="198" t="s">
        <v>423</v>
      </c>
      <c r="Z3291" s="198" t="s">
        <v>67</v>
      </c>
      <c r="AA3291" s="198" t="s">
        <v>75</v>
      </c>
      <c r="AB3291" s="4" t="s">
        <v>8712</v>
      </c>
      <c r="AC3291" s="198" t="s">
        <v>8714</v>
      </c>
    </row>
    <row r="3292" spans="1:29" ht="56" customHeight="1">
      <c r="A3292" s="151" t="str">
        <f>'Reported burning'!A3292</f>
        <v>361a</v>
      </c>
      <c r="B3292" s="151" t="str">
        <f>'Reported burning'!B3292</f>
        <v>361a.4</v>
      </c>
      <c r="C3292" s="151" t="str">
        <f>'Reported burning'!C3292</f>
        <v>Human, deliberate</v>
      </c>
      <c r="D3292" s="151" t="str">
        <f>'Reported burning'!D3292</f>
        <v>Crop residue burning</v>
      </c>
      <c r="E3292" s="151" t="str">
        <f>'Reported burning'!E3292</f>
        <v>Cropping, Monoculture, Subsistence-oriented</v>
      </c>
      <c r="F3292" s="151" t="str">
        <f>'Reported burning'!F3292</f>
        <v>Cropland</v>
      </c>
      <c r="G3292" s="151" t="str">
        <f>'Reported burning'!G3292</f>
        <v>Cropland</v>
      </c>
      <c r="H3292" s="151" t="str">
        <f>'Reported burning'!H3292</f>
        <v>Presence</v>
      </c>
      <c r="I3292" s="5"/>
      <c r="J3292" s="198" t="s">
        <v>2272</v>
      </c>
      <c r="K3292" s="198" t="s">
        <v>2272</v>
      </c>
      <c r="L3292" s="198" t="s">
        <v>2272</v>
      </c>
      <c r="M3292" s="198" t="s">
        <v>2272</v>
      </c>
      <c r="N3292" s="198" t="s">
        <v>2272</v>
      </c>
      <c r="O3292" s="198" t="s">
        <v>2272</v>
      </c>
      <c r="P3292" s="198" t="s">
        <v>2272</v>
      </c>
      <c r="Q3292" s="198" t="s">
        <v>2272</v>
      </c>
      <c r="R3292" s="198" t="s">
        <v>2272</v>
      </c>
      <c r="S3292" s="198" t="s">
        <v>2272</v>
      </c>
      <c r="T3292" s="198" t="s">
        <v>2272</v>
      </c>
      <c r="U3292" s="198" t="s">
        <v>2272</v>
      </c>
      <c r="V3292" s="198" t="s">
        <v>2272</v>
      </c>
      <c r="W3292" s="198" t="s">
        <v>2272</v>
      </c>
      <c r="X3292" s="21" t="s">
        <v>2370</v>
      </c>
      <c r="Y3292" s="198" t="s">
        <v>423</v>
      </c>
      <c r="Z3292" s="198" t="s">
        <v>67</v>
      </c>
      <c r="AA3292" s="198" t="s">
        <v>75</v>
      </c>
      <c r="AB3292" s="4" t="s">
        <v>8713</v>
      </c>
      <c r="AC3292" s="198" t="s">
        <v>8714</v>
      </c>
    </row>
    <row r="3293" spans="1:29" ht="56" customHeight="1">
      <c r="A3293" s="151" t="str">
        <f>'Reported burning'!A3293</f>
        <v>361a</v>
      </c>
      <c r="B3293" s="151" t="str">
        <f>'Reported burning'!B3293</f>
        <v>361a.5</v>
      </c>
      <c r="C3293" s="151" t="str">
        <f>'Reported burning'!C3293</f>
        <v>Human, deliberate</v>
      </c>
      <c r="D3293" s="151" t="str">
        <f>'Reported burning'!D3293</f>
        <v>Crop residue burning</v>
      </c>
      <c r="E3293" s="151" t="str">
        <f>'Reported burning'!E3293</f>
        <v>All</v>
      </c>
      <c r="F3293" s="151" t="str">
        <f>'Reported burning'!F3293</f>
        <v>Cropland</v>
      </c>
      <c r="G3293" s="151" t="str">
        <f>'Reported burning'!G3293</f>
        <v>Cropland</v>
      </c>
      <c r="H3293" s="151" t="str">
        <f>'Reported burning'!H3293</f>
        <v>Presence</v>
      </c>
      <c r="I3293" s="5"/>
      <c r="J3293" s="198" t="s">
        <v>2272</v>
      </c>
      <c r="K3293" s="198" t="s">
        <v>2272</v>
      </c>
      <c r="L3293" s="198" t="s">
        <v>2272</v>
      </c>
      <c r="M3293" s="198" t="s">
        <v>2272</v>
      </c>
      <c r="N3293" s="198" t="s">
        <v>2272</v>
      </c>
      <c r="O3293" s="198" t="s">
        <v>2272</v>
      </c>
      <c r="P3293" s="198" t="s">
        <v>2272</v>
      </c>
      <c r="Q3293" s="198" t="s">
        <v>2272</v>
      </c>
      <c r="R3293" s="198" t="s">
        <v>2272</v>
      </c>
      <c r="S3293" s="198" t="s">
        <v>2272</v>
      </c>
      <c r="T3293" s="21" t="s">
        <v>2386</v>
      </c>
      <c r="U3293" s="198" t="s">
        <v>2272</v>
      </c>
      <c r="V3293" s="198" t="s">
        <v>2272</v>
      </c>
      <c r="W3293" s="198" t="s">
        <v>2272</v>
      </c>
      <c r="X3293" s="21" t="s">
        <v>2370</v>
      </c>
      <c r="Y3293" s="198" t="s">
        <v>33</v>
      </c>
      <c r="Z3293" s="198" t="s">
        <v>33</v>
      </c>
      <c r="AA3293" s="198" t="s">
        <v>2272</v>
      </c>
      <c r="AB3293" s="198"/>
      <c r="AC3293" s="4" t="s">
        <v>11599</v>
      </c>
    </row>
    <row r="3294" spans="1:29" ht="56" customHeight="1">
      <c r="A3294" s="151" t="str">
        <f>'Reported burning'!A3294</f>
        <v>361a</v>
      </c>
      <c r="B3294" s="151" t="str">
        <f>'Reported burning'!B3294</f>
        <v>361a.6</v>
      </c>
      <c r="C3294" s="151" t="str">
        <f>'Reported burning'!C3294</f>
        <v>Human, deliberate</v>
      </c>
      <c r="D3294" s="151" t="str">
        <f>'Reported burning'!D3294</f>
        <v>Crop residue burning</v>
      </c>
      <c r="E3294" s="151" t="str">
        <f>'Reported burning'!E3294</f>
        <v>All</v>
      </c>
      <c r="F3294" s="151" t="str">
        <f>'Reported burning'!F3294</f>
        <v>Cropland</v>
      </c>
      <c r="G3294" s="151" t="str">
        <f>'Reported burning'!G3294</f>
        <v>Cropland</v>
      </c>
      <c r="H3294" s="151" t="str">
        <f>'Reported burning'!H3294</f>
        <v>Presence</v>
      </c>
      <c r="I3294" s="5"/>
      <c r="J3294" s="198" t="s">
        <v>2272</v>
      </c>
      <c r="K3294" s="198" t="s">
        <v>2272</v>
      </c>
      <c r="L3294" s="198" t="s">
        <v>2272</v>
      </c>
      <c r="M3294" s="198" t="s">
        <v>2272</v>
      </c>
      <c r="N3294" s="198" t="s">
        <v>2272</v>
      </c>
      <c r="O3294" s="198" t="s">
        <v>2272</v>
      </c>
      <c r="P3294" s="198" t="s">
        <v>2272</v>
      </c>
      <c r="Q3294" s="198" t="s">
        <v>2272</v>
      </c>
      <c r="R3294" s="198" t="s">
        <v>2272</v>
      </c>
      <c r="S3294" s="198" t="s">
        <v>2272</v>
      </c>
      <c r="T3294" s="21" t="s">
        <v>2386</v>
      </c>
      <c r="U3294" s="198" t="s">
        <v>2272</v>
      </c>
      <c r="V3294" s="198" t="s">
        <v>2272</v>
      </c>
      <c r="W3294" s="198" t="s">
        <v>2272</v>
      </c>
      <c r="X3294" s="21" t="s">
        <v>2370</v>
      </c>
      <c r="Y3294" s="198" t="s">
        <v>423</v>
      </c>
      <c r="Z3294" s="198" t="s">
        <v>67</v>
      </c>
      <c r="AA3294" s="198" t="s">
        <v>75</v>
      </c>
      <c r="AB3294" s="198"/>
      <c r="AC3294" s="4" t="s">
        <v>11599</v>
      </c>
    </row>
    <row r="3295" spans="1:29" ht="56" customHeight="1">
      <c r="A3295" s="147" t="str">
        <f>'Reported burning'!A3295</f>
        <v>362a</v>
      </c>
      <c r="B3295" s="147" t="str">
        <f>'Reported burning'!B3295</f>
        <v>362a.1</v>
      </c>
      <c r="C3295" s="147" t="str">
        <f>'Reported burning'!C3295</f>
        <v>Human, deliberate</v>
      </c>
      <c r="D3295" s="147" t="str">
        <f>'Reported burning'!D3295</f>
        <v>Crop residue burning</v>
      </c>
      <c r="E3295" s="147" t="str">
        <f>'Reported burning'!E3295</f>
        <v>Cropping, Intensive</v>
      </c>
      <c r="F3295" s="147" t="str">
        <f>'Reported burning'!F3295</f>
        <v>Cropland</v>
      </c>
      <c r="G3295" s="147" t="str">
        <f>'Reported burning'!G3295</f>
        <v>Cropland</v>
      </c>
      <c r="H3295" s="147" t="str">
        <f>'Reported burning'!H3295</f>
        <v>Presence</v>
      </c>
      <c r="I3295" s="198"/>
      <c r="J3295" s="198" t="s">
        <v>2272</v>
      </c>
      <c r="K3295" s="198" t="s">
        <v>2364</v>
      </c>
      <c r="L3295" s="198" t="s">
        <v>2272</v>
      </c>
      <c r="M3295" s="198" t="s">
        <v>2272</v>
      </c>
      <c r="N3295" s="198" t="s">
        <v>2272</v>
      </c>
      <c r="O3295" s="198" t="s">
        <v>2272</v>
      </c>
      <c r="P3295" s="198" t="s">
        <v>2272</v>
      </c>
      <c r="Q3295" s="198" t="s">
        <v>2272</v>
      </c>
      <c r="R3295" s="198" t="s">
        <v>2272</v>
      </c>
      <c r="S3295" s="21" t="s">
        <v>2369</v>
      </c>
      <c r="T3295" s="198" t="s">
        <v>2272</v>
      </c>
      <c r="U3295" s="198" t="s">
        <v>2272</v>
      </c>
      <c r="V3295" s="198" t="s">
        <v>2272</v>
      </c>
      <c r="W3295" s="198" t="s">
        <v>2272</v>
      </c>
      <c r="X3295" s="198" t="s">
        <v>2272</v>
      </c>
      <c r="Y3295" s="198" t="s">
        <v>187</v>
      </c>
      <c r="Z3295" s="198" t="s">
        <v>33</v>
      </c>
      <c r="AA3295" s="198" t="s">
        <v>2650</v>
      </c>
      <c r="AB3295" s="19" t="s">
        <v>8729</v>
      </c>
      <c r="AC3295" s="19" t="s">
        <v>8730</v>
      </c>
    </row>
    <row r="3296" spans="1:29" ht="39" customHeight="1">
      <c r="A3296" s="147" t="str">
        <f>'Reported burning'!A3296</f>
        <v>362a</v>
      </c>
      <c r="B3296" s="147" t="str">
        <f>'Reported burning'!B3296</f>
        <v>362a.2</v>
      </c>
      <c r="C3296" s="147" t="str">
        <f>'Reported burning'!C3296</f>
        <v>Human, deliberate</v>
      </c>
      <c r="D3296" s="147" t="str">
        <f>'Reported burning'!D3296</f>
        <v>Pasture renewal</v>
      </c>
      <c r="E3296" s="147" t="str">
        <f>'Reported burning'!E3296</f>
        <v>Cattle, Extensive</v>
      </c>
      <c r="F3296" s="147" t="str">
        <f>'Reported burning'!F3296</f>
        <v>Grassland</v>
      </c>
      <c r="G3296" s="147" t="str">
        <f>'Reported burning'!G3296</f>
        <v>Grassland</v>
      </c>
      <c r="H3296" s="147" t="str">
        <f>'Reported burning'!H3296</f>
        <v>Presence</v>
      </c>
      <c r="I3296" s="198"/>
      <c r="J3296" s="198" t="s">
        <v>2272</v>
      </c>
      <c r="K3296" s="198" t="s">
        <v>2361</v>
      </c>
      <c r="L3296" s="198" t="s">
        <v>2272</v>
      </c>
      <c r="M3296" s="198" t="s">
        <v>2272</v>
      </c>
      <c r="N3296" s="198" t="s">
        <v>2272</v>
      </c>
      <c r="O3296" s="198" t="s">
        <v>2272</v>
      </c>
      <c r="P3296" s="198" t="s">
        <v>2272</v>
      </c>
      <c r="Q3296" s="198" t="s">
        <v>2272</v>
      </c>
      <c r="R3296" s="198" t="s">
        <v>2272</v>
      </c>
      <c r="S3296" s="21" t="s">
        <v>2369</v>
      </c>
      <c r="T3296" s="198" t="s">
        <v>2272</v>
      </c>
      <c r="U3296" s="198" t="s">
        <v>2272</v>
      </c>
      <c r="V3296" s="198" t="s">
        <v>2272</v>
      </c>
      <c r="W3296" s="198" t="s">
        <v>2272</v>
      </c>
      <c r="X3296" s="198" t="s">
        <v>2272</v>
      </c>
      <c r="Y3296" s="198" t="s">
        <v>187</v>
      </c>
      <c r="Z3296" s="198" t="s">
        <v>33</v>
      </c>
      <c r="AA3296" s="198" t="s">
        <v>2650</v>
      </c>
      <c r="AB3296" s="19" t="s">
        <v>8729</v>
      </c>
      <c r="AC3296" s="19" t="s">
        <v>8730</v>
      </c>
    </row>
    <row r="3297" spans="1:29" ht="39" customHeight="1">
      <c r="A3297" s="151" t="str">
        <f>'Reported burning'!A3297</f>
        <v>362b</v>
      </c>
      <c r="B3297" s="151" t="str">
        <f>'Reported burning'!B3297</f>
        <v>362b.1</v>
      </c>
      <c r="C3297" s="151" t="str">
        <f>'Reported burning'!C3297</f>
        <v>Human, deliberate</v>
      </c>
      <c r="D3297" s="151" t="str">
        <f>'Reported burning'!D3297</f>
        <v>ND</v>
      </c>
      <c r="E3297" s="151" t="str">
        <f>'Reported burning'!E3297</f>
        <v>All</v>
      </c>
      <c r="F3297" s="151" t="str">
        <f>'Reported burning'!F3297</f>
        <v>Shrubland (Mixed forest &amp; grassland)</v>
      </c>
      <c r="G3297" s="151" t="str">
        <f>'Reported burning'!G3297</f>
        <v>Shrubland (Mixed forest &amp; grassland)</v>
      </c>
      <c r="H3297" s="151" t="str">
        <f>'Reported burning'!H3297</f>
        <v>Presence</v>
      </c>
      <c r="I3297" s="5"/>
      <c r="J3297" s="198" t="s">
        <v>2272</v>
      </c>
      <c r="K3297" s="198" t="s">
        <v>2272</v>
      </c>
      <c r="L3297" s="198" t="s">
        <v>2272</v>
      </c>
      <c r="M3297" s="198" t="s">
        <v>2272</v>
      </c>
      <c r="N3297" s="198" t="s">
        <v>2272</v>
      </c>
      <c r="O3297" s="198" t="s">
        <v>2272</v>
      </c>
      <c r="P3297" s="198" t="s">
        <v>2272</v>
      </c>
      <c r="Q3297" s="198" t="s">
        <v>2272</v>
      </c>
      <c r="R3297" s="198" t="s">
        <v>2272</v>
      </c>
      <c r="S3297" s="198" t="s">
        <v>2272</v>
      </c>
      <c r="T3297" s="198" t="s">
        <v>2272</v>
      </c>
      <c r="U3297" s="198" t="s">
        <v>2272</v>
      </c>
      <c r="V3297" s="198" t="s">
        <v>2272</v>
      </c>
      <c r="W3297" s="198" t="s">
        <v>2272</v>
      </c>
      <c r="X3297" s="198" t="s">
        <v>2272</v>
      </c>
      <c r="Y3297" s="21" t="s">
        <v>2272</v>
      </c>
      <c r="Z3297" s="21" t="s">
        <v>2272</v>
      </c>
      <c r="AA3297" s="21" t="s">
        <v>2272</v>
      </c>
      <c r="AB3297" s="198"/>
      <c r="AC3297" s="198"/>
    </row>
    <row r="3298" spans="1:29" ht="39" customHeight="1">
      <c r="A3298" s="151" t="str">
        <f>'Reported burning'!A3298</f>
        <v>362c</v>
      </c>
      <c r="B3298" s="151" t="str">
        <f>'Reported burning'!B3298</f>
        <v>362c.1</v>
      </c>
      <c r="C3298" s="151" t="str">
        <f>'Reported burning'!C3298</f>
        <v>Human, deliberate</v>
      </c>
      <c r="D3298" s="151" t="str">
        <f>'Reported burning'!D3298</f>
        <v>ND</v>
      </c>
      <c r="E3298" s="151" t="str">
        <f>'Reported burning'!E3298</f>
        <v>All</v>
      </c>
      <c r="F3298" s="151" t="str">
        <f>'Reported burning'!F3298</f>
        <v>Shrubland (Mixed forest &amp; grassland)</v>
      </c>
      <c r="G3298" s="151" t="str">
        <f>'Reported burning'!G3298</f>
        <v>Shrubland (Mixed forest &amp; grassland)</v>
      </c>
      <c r="H3298" s="151" t="str">
        <f>'Reported burning'!H3298</f>
        <v>Presence</v>
      </c>
      <c r="I3298" s="5"/>
      <c r="J3298" s="198" t="s">
        <v>2272</v>
      </c>
      <c r="K3298" s="198" t="s">
        <v>2272</v>
      </c>
      <c r="L3298" s="198" t="s">
        <v>2272</v>
      </c>
      <c r="M3298" s="198" t="s">
        <v>2272</v>
      </c>
      <c r="N3298" s="198" t="s">
        <v>2272</v>
      </c>
      <c r="O3298" s="198" t="s">
        <v>2272</v>
      </c>
      <c r="P3298" s="198" t="s">
        <v>2272</v>
      </c>
      <c r="Q3298" s="198" t="s">
        <v>2272</v>
      </c>
      <c r="R3298" s="198" t="s">
        <v>2272</v>
      </c>
      <c r="S3298" s="198" t="s">
        <v>2272</v>
      </c>
      <c r="T3298" s="198" t="s">
        <v>2272</v>
      </c>
      <c r="U3298" s="198" t="s">
        <v>2272</v>
      </c>
      <c r="V3298" s="198" t="s">
        <v>2272</v>
      </c>
      <c r="W3298" s="198" t="s">
        <v>2272</v>
      </c>
      <c r="X3298" s="198" t="s">
        <v>2272</v>
      </c>
      <c r="Y3298" s="21" t="s">
        <v>2272</v>
      </c>
      <c r="Z3298" s="21" t="s">
        <v>2272</v>
      </c>
      <c r="AA3298" s="21" t="s">
        <v>2272</v>
      </c>
      <c r="AB3298" s="198"/>
      <c r="AC3298" s="198"/>
    </row>
    <row r="3299" spans="1:29" ht="39" customHeight="1">
      <c r="A3299" s="151" t="str">
        <f>'Reported burning'!A3299</f>
        <v>362b</v>
      </c>
      <c r="B3299" s="151" t="str">
        <f>'Reported burning'!B3299</f>
        <v>362b.2</v>
      </c>
      <c r="C3299" s="151" t="str">
        <f>'Reported burning'!C3299</f>
        <v>Human, deliberate</v>
      </c>
      <c r="D3299" s="151" t="str">
        <f>'Reported burning'!D3299</f>
        <v>Rangeland management</v>
      </c>
      <c r="E3299" s="151" t="str">
        <f>'Reported burning'!E3299</f>
        <v>Cattle, Extensive</v>
      </c>
      <c r="F3299" s="151" t="str">
        <f>'Reported burning'!F3299</f>
        <v>Shrubland (Mixed forest &amp; grassland)</v>
      </c>
      <c r="G3299" s="151" t="str">
        <f>'Reported burning'!G3299</f>
        <v>Shrubland (Mixed forest &amp; grassland)</v>
      </c>
      <c r="H3299" s="151" t="str">
        <f>'Reported burning'!H3299</f>
        <v>Presence</v>
      </c>
      <c r="I3299" s="5"/>
      <c r="J3299" s="198" t="s">
        <v>2272</v>
      </c>
      <c r="K3299" s="198" t="s">
        <v>2272</v>
      </c>
      <c r="L3299" s="198" t="s">
        <v>2272</v>
      </c>
      <c r="M3299" s="198" t="s">
        <v>2272</v>
      </c>
      <c r="N3299" s="198" t="s">
        <v>2272</v>
      </c>
      <c r="O3299" s="198" t="s">
        <v>2272</v>
      </c>
      <c r="P3299" s="198" t="s">
        <v>2272</v>
      </c>
      <c r="Q3299" s="198" t="s">
        <v>2272</v>
      </c>
      <c r="R3299" s="198" t="s">
        <v>2272</v>
      </c>
      <c r="S3299" s="198" t="s">
        <v>2272</v>
      </c>
      <c r="T3299" s="198" t="s">
        <v>2272</v>
      </c>
      <c r="U3299" s="198" t="s">
        <v>2272</v>
      </c>
      <c r="V3299" s="198" t="s">
        <v>2272</v>
      </c>
      <c r="W3299" s="198" t="s">
        <v>2272</v>
      </c>
      <c r="X3299" s="198" t="s">
        <v>2272</v>
      </c>
      <c r="Y3299" s="21" t="s">
        <v>2272</v>
      </c>
      <c r="Z3299" s="21" t="s">
        <v>2272</v>
      </c>
      <c r="AA3299" s="21" t="s">
        <v>2272</v>
      </c>
      <c r="AB3299" s="198"/>
      <c r="AC3299" s="198"/>
    </row>
    <row r="3300" spans="1:29" ht="39" customHeight="1">
      <c r="A3300" s="151" t="str">
        <f>'Reported burning'!A3300</f>
        <v>362c</v>
      </c>
      <c r="B3300" s="151" t="str">
        <f>'Reported burning'!B3300</f>
        <v>362c.2</v>
      </c>
      <c r="C3300" s="151" t="str">
        <f>'Reported burning'!C3300</f>
        <v>Human, deliberate</v>
      </c>
      <c r="D3300" s="151" t="str">
        <f>'Reported burning'!D3300</f>
        <v>Rangeland management</v>
      </c>
      <c r="E3300" s="151" t="str">
        <f>'Reported burning'!E3300</f>
        <v>Cattle, Extensive</v>
      </c>
      <c r="F3300" s="151" t="str">
        <f>'Reported burning'!F3300</f>
        <v>Shrubland (Mixed forest &amp; grassland)</v>
      </c>
      <c r="G3300" s="151" t="str">
        <f>'Reported burning'!G3300</f>
        <v>Shrubland (Mixed forest &amp; grassland)</v>
      </c>
      <c r="H3300" s="151" t="str">
        <f>'Reported burning'!H3300</f>
        <v>Presence</v>
      </c>
      <c r="I3300" s="5"/>
      <c r="J3300" s="198" t="s">
        <v>2272</v>
      </c>
      <c r="K3300" s="198" t="s">
        <v>2272</v>
      </c>
      <c r="L3300" s="198" t="s">
        <v>2272</v>
      </c>
      <c r="M3300" s="198" t="s">
        <v>2272</v>
      </c>
      <c r="N3300" s="198" t="s">
        <v>2272</v>
      </c>
      <c r="O3300" s="198" t="s">
        <v>2272</v>
      </c>
      <c r="P3300" s="198" t="s">
        <v>2272</v>
      </c>
      <c r="Q3300" s="198" t="s">
        <v>2272</v>
      </c>
      <c r="R3300" s="198" t="s">
        <v>2272</v>
      </c>
      <c r="S3300" s="198" t="s">
        <v>2272</v>
      </c>
      <c r="T3300" s="198" t="s">
        <v>2272</v>
      </c>
      <c r="U3300" s="198" t="s">
        <v>2272</v>
      </c>
      <c r="V3300" s="198" t="s">
        <v>2272</v>
      </c>
      <c r="W3300" s="198" t="s">
        <v>2272</v>
      </c>
      <c r="X3300" s="198" t="s">
        <v>2272</v>
      </c>
      <c r="Y3300" s="21" t="s">
        <v>2272</v>
      </c>
      <c r="Z3300" s="21" t="s">
        <v>2272</v>
      </c>
      <c r="AA3300" s="21" t="s">
        <v>2272</v>
      </c>
      <c r="AB3300" s="198"/>
      <c r="AC3300" s="198"/>
    </row>
    <row r="3301" spans="1:29" ht="39" customHeight="1">
      <c r="A3301" s="151" t="str">
        <f>'Reported burning'!A3301</f>
        <v>362b</v>
      </c>
      <c r="B3301" s="151" t="str">
        <f>'Reported burning'!B3301</f>
        <v>362b.3</v>
      </c>
      <c r="C3301" s="151" t="str">
        <f>'Reported burning'!C3301</f>
        <v>Human, deliberate</v>
      </c>
      <c r="D3301" s="151" t="str">
        <f>'Reported burning'!D3301</f>
        <v>Conservation</v>
      </c>
      <c r="E3301" s="151" t="str">
        <f>'Reported burning'!E3301</f>
        <v>Biodiversity conservation</v>
      </c>
      <c r="F3301" s="151" t="str">
        <f>'Reported burning'!F3301</f>
        <v>Shrubland (Mixed forest &amp; grassland)</v>
      </c>
      <c r="G3301" s="151" t="str">
        <f>'Reported burning'!G3301</f>
        <v>Shrubland (Mixed forest &amp; grassland)</v>
      </c>
      <c r="H3301" s="151" t="str">
        <f>'Reported burning'!H3301</f>
        <v>Presence</v>
      </c>
      <c r="I3301" s="5"/>
      <c r="J3301" s="198" t="s">
        <v>2272</v>
      </c>
      <c r="K3301" s="198" t="s">
        <v>2272</v>
      </c>
      <c r="L3301" s="198" t="s">
        <v>2272</v>
      </c>
      <c r="M3301" s="198" t="s">
        <v>2272</v>
      </c>
      <c r="N3301" s="198" t="s">
        <v>2272</v>
      </c>
      <c r="O3301" s="198" t="s">
        <v>2272</v>
      </c>
      <c r="P3301" s="198" t="s">
        <v>2272</v>
      </c>
      <c r="Q3301" s="198" t="s">
        <v>2272</v>
      </c>
      <c r="R3301" s="198" t="s">
        <v>2272</v>
      </c>
      <c r="S3301" s="198" t="s">
        <v>2272</v>
      </c>
      <c r="T3301" s="198" t="s">
        <v>2272</v>
      </c>
      <c r="U3301" s="198" t="s">
        <v>2272</v>
      </c>
      <c r="V3301" s="198" t="s">
        <v>2272</v>
      </c>
      <c r="W3301" s="198" t="s">
        <v>2272</v>
      </c>
      <c r="X3301" s="198" t="s">
        <v>2272</v>
      </c>
      <c r="Y3301" s="21" t="s">
        <v>2272</v>
      </c>
      <c r="Z3301" s="21" t="s">
        <v>2272</v>
      </c>
      <c r="AA3301" s="21" t="s">
        <v>2272</v>
      </c>
      <c r="AB3301" s="198"/>
      <c r="AC3301" s="198"/>
    </row>
    <row r="3302" spans="1:29" ht="39" customHeight="1">
      <c r="A3302" s="151" t="str">
        <f>'Reported burning'!A3302</f>
        <v>362c</v>
      </c>
      <c r="B3302" s="151" t="str">
        <f>'Reported burning'!B3302</f>
        <v>362c.3</v>
      </c>
      <c r="C3302" s="151" t="str">
        <f>'Reported burning'!C3302</f>
        <v>Human, deliberate</v>
      </c>
      <c r="D3302" s="151" t="str">
        <f>'Reported burning'!D3302</f>
        <v>Conservation</v>
      </c>
      <c r="E3302" s="151" t="str">
        <f>'Reported burning'!E3302</f>
        <v>Biodiversity conservation</v>
      </c>
      <c r="F3302" s="151" t="str">
        <f>'Reported burning'!F3302</f>
        <v>Shrubland (Mixed forest &amp; grassland)</v>
      </c>
      <c r="G3302" s="151" t="str">
        <f>'Reported burning'!G3302</f>
        <v>Shrubland (Mixed forest &amp; grassland)</v>
      </c>
      <c r="H3302" s="151" t="str">
        <f>'Reported burning'!H3302</f>
        <v>Presence</v>
      </c>
      <c r="I3302" s="5"/>
      <c r="J3302" s="198" t="s">
        <v>2272</v>
      </c>
      <c r="K3302" s="198" t="s">
        <v>2272</v>
      </c>
      <c r="L3302" s="198" t="s">
        <v>2272</v>
      </c>
      <c r="M3302" s="198" t="s">
        <v>2272</v>
      </c>
      <c r="N3302" s="198" t="s">
        <v>2272</v>
      </c>
      <c r="O3302" s="198" t="s">
        <v>2272</v>
      </c>
      <c r="P3302" s="198" t="s">
        <v>2272</v>
      </c>
      <c r="Q3302" s="198" t="s">
        <v>2272</v>
      </c>
      <c r="R3302" s="198" t="s">
        <v>2272</v>
      </c>
      <c r="S3302" s="198" t="s">
        <v>2272</v>
      </c>
      <c r="T3302" s="198" t="s">
        <v>2272</v>
      </c>
      <c r="U3302" s="198" t="s">
        <v>2272</v>
      </c>
      <c r="V3302" s="198" t="s">
        <v>2272</v>
      </c>
      <c r="W3302" s="198" t="s">
        <v>2272</v>
      </c>
      <c r="X3302" s="198" t="s">
        <v>2272</v>
      </c>
      <c r="Y3302" s="21" t="s">
        <v>2272</v>
      </c>
      <c r="Z3302" s="21" t="s">
        <v>2272</v>
      </c>
      <c r="AA3302" s="21" t="s">
        <v>2272</v>
      </c>
      <c r="AB3302" s="198"/>
      <c r="AC3302" s="198"/>
    </row>
    <row r="3303" spans="1:29" ht="39" customHeight="1">
      <c r="A3303" s="151" t="str">
        <f>'Reported burning'!A3303</f>
        <v>363a</v>
      </c>
      <c r="B3303" s="151" t="str">
        <f>'Reported burning'!B3303</f>
        <v>363a.1</v>
      </c>
      <c r="C3303" s="151" t="str">
        <f>'Reported burning'!C3303</f>
        <v>Human, deliberate</v>
      </c>
      <c r="D3303" s="151" t="str">
        <f>'Reported burning'!D3303</f>
        <v>Pasture renewal</v>
      </c>
      <c r="E3303" s="151" t="str">
        <f>'Reported burning'!E3303</f>
        <v>Cattle, Extensive</v>
      </c>
      <c r="F3303" s="151" t="str">
        <f>'Reported burning'!F3303</f>
        <v>Shrubland (Mixed forest &amp; grassland)</v>
      </c>
      <c r="G3303" s="151" t="str">
        <f>'Reported burning'!G3303</f>
        <v>Shrubland (Mixed forest &amp; grassland)</v>
      </c>
      <c r="H3303" s="151" t="str">
        <f>'Reported burning'!H3303</f>
        <v>Presence</v>
      </c>
      <c r="I3303" s="5"/>
      <c r="J3303" s="198" t="s">
        <v>2272</v>
      </c>
      <c r="K3303" s="198" t="s">
        <v>2272</v>
      </c>
      <c r="L3303" s="198" t="s">
        <v>2272</v>
      </c>
      <c r="M3303" s="198" t="s">
        <v>2272</v>
      </c>
      <c r="N3303" s="198" t="s">
        <v>2272</v>
      </c>
      <c r="O3303" s="198" t="s">
        <v>2272</v>
      </c>
      <c r="P3303" s="198" t="s">
        <v>2272</v>
      </c>
      <c r="Q3303" s="198" t="s">
        <v>2272</v>
      </c>
      <c r="R3303" s="198" t="s">
        <v>2272</v>
      </c>
      <c r="S3303" s="198" t="s">
        <v>2272</v>
      </c>
      <c r="T3303" s="198" t="s">
        <v>2272</v>
      </c>
      <c r="U3303" s="198" t="s">
        <v>2272</v>
      </c>
      <c r="V3303" s="198" t="s">
        <v>2272</v>
      </c>
      <c r="W3303" s="198" t="s">
        <v>2272</v>
      </c>
      <c r="X3303" s="198" t="s">
        <v>2272</v>
      </c>
      <c r="Y3303" s="198" t="s">
        <v>187</v>
      </c>
      <c r="Z3303" s="198" t="s">
        <v>84</v>
      </c>
      <c r="AA3303" s="198" t="s">
        <v>2272</v>
      </c>
      <c r="AB3303" s="198" t="s">
        <v>8755</v>
      </c>
      <c r="AC3303" s="198"/>
    </row>
    <row r="3304" spans="1:29" ht="41" customHeight="1">
      <c r="A3304" s="151" t="str">
        <f>'Reported burning'!A3304</f>
        <v>363a</v>
      </c>
      <c r="B3304" s="151" t="str">
        <f>'Reported burning'!B3304</f>
        <v>363a.2</v>
      </c>
      <c r="C3304" s="151" t="str">
        <f>'Reported burning'!C3304</f>
        <v>Human, deliberate</v>
      </c>
      <c r="D3304" s="151" t="str">
        <f>'Reported burning'!D3304</f>
        <v>Pasture renewal</v>
      </c>
      <c r="E3304" s="151" t="str">
        <f>'Reported burning'!E3304</f>
        <v>Cattle, Extensive</v>
      </c>
      <c r="F3304" s="151" t="str">
        <f>'Reported burning'!F3304</f>
        <v>Shrubland (Mixed forest &amp; grassland)</v>
      </c>
      <c r="G3304" s="151" t="str">
        <f>'Reported burning'!G3304</f>
        <v>Shrubland (Mixed forest &amp; grassland)</v>
      </c>
      <c r="H3304" s="151" t="str">
        <f>'Reported burning'!H3304</f>
        <v>Presence</v>
      </c>
      <c r="I3304" s="5"/>
      <c r="J3304" s="198" t="s">
        <v>2272</v>
      </c>
      <c r="K3304" s="198" t="s">
        <v>2272</v>
      </c>
      <c r="L3304" s="198" t="s">
        <v>2272</v>
      </c>
      <c r="M3304" s="198" t="s">
        <v>2272</v>
      </c>
      <c r="N3304" s="198" t="s">
        <v>2272</v>
      </c>
      <c r="O3304" s="198" t="s">
        <v>2272</v>
      </c>
      <c r="P3304" s="198" t="s">
        <v>2272</v>
      </c>
      <c r="Q3304" s="198" t="s">
        <v>2272</v>
      </c>
      <c r="R3304" s="198" t="s">
        <v>2272</v>
      </c>
      <c r="S3304" s="198" t="s">
        <v>2272</v>
      </c>
      <c r="T3304" s="198" t="s">
        <v>2272</v>
      </c>
      <c r="U3304" s="198" t="s">
        <v>2272</v>
      </c>
      <c r="V3304" s="198" t="s">
        <v>2272</v>
      </c>
      <c r="W3304" s="198" t="s">
        <v>2272</v>
      </c>
      <c r="X3304" s="198" t="s">
        <v>2272</v>
      </c>
      <c r="Y3304" s="198" t="s">
        <v>403</v>
      </c>
      <c r="Z3304" s="198" t="s">
        <v>34</v>
      </c>
      <c r="AA3304" s="198" t="s">
        <v>2272</v>
      </c>
      <c r="AB3304" s="198" t="s">
        <v>8755</v>
      </c>
      <c r="AC3304" s="198"/>
    </row>
    <row r="3305" spans="1:29" ht="41" customHeight="1">
      <c r="A3305" s="151" t="str">
        <f>'Reported burning'!A3305</f>
        <v>363a</v>
      </c>
      <c r="B3305" s="151" t="str">
        <f>'Reported burning'!B3305</f>
        <v>363a.3</v>
      </c>
      <c r="C3305" s="151" t="str">
        <f>'Reported burning'!C3305</f>
        <v>Human, deliberate</v>
      </c>
      <c r="D3305" s="151" t="str">
        <f>'Reported burning'!D3305</f>
        <v>Crop residue burning</v>
      </c>
      <c r="E3305" s="151" t="str">
        <f>'Reported burning'!E3305</f>
        <v>Cropping, Intensive</v>
      </c>
      <c r="F3305" s="151" t="str">
        <f>'Reported burning'!F3305</f>
        <v>Cropland</v>
      </c>
      <c r="G3305" s="151" t="str">
        <f>'Reported burning'!G3305</f>
        <v>Cropland</v>
      </c>
      <c r="H3305" s="151" t="str">
        <f>'Reported burning'!H3305</f>
        <v>Presence</v>
      </c>
      <c r="I3305" s="5"/>
      <c r="J3305" s="198" t="s">
        <v>2272</v>
      </c>
      <c r="K3305" s="198" t="s">
        <v>2272</v>
      </c>
      <c r="L3305" s="198" t="s">
        <v>2272</v>
      </c>
      <c r="M3305" s="198" t="s">
        <v>2272</v>
      </c>
      <c r="N3305" s="198" t="s">
        <v>2272</v>
      </c>
      <c r="O3305" s="198" t="s">
        <v>2272</v>
      </c>
      <c r="P3305" s="198" t="s">
        <v>2272</v>
      </c>
      <c r="Q3305" s="198" t="s">
        <v>2272</v>
      </c>
      <c r="R3305" s="198" t="s">
        <v>2272</v>
      </c>
      <c r="S3305" s="198" t="s">
        <v>2272</v>
      </c>
      <c r="T3305" s="198" t="s">
        <v>2272</v>
      </c>
      <c r="U3305" s="198" t="s">
        <v>2272</v>
      </c>
      <c r="V3305" s="198" t="s">
        <v>2272</v>
      </c>
      <c r="W3305" s="198" t="s">
        <v>2272</v>
      </c>
      <c r="X3305" s="198" t="s">
        <v>2272</v>
      </c>
      <c r="Y3305" s="198" t="s">
        <v>187</v>
      </c>
      <c r="Z3305" s="198" t="s">
        <v>84</v>
      </c>
      <c r="AA3305" s="198" t="s">
        <v>2272</v>
      </c>
      <c r="AB3305" s="198"/>
      <c r="AC3305" s="198"/>
    </row>
    <row r="3306" spans="1:29" ht="41" customHeight="1">
      <c r="A3306" s="151" t="str">
        <f>'Reported burning'!A3306</f>
        <v>363a</v>
      </c>
      <c r="B3306" s="151" t="str">
        <f>'Reported burning'!B3306</f>
        <v>363a.4</v>
      </c>
      <c r="C3306" s="151" t="str">
        <f>'Reported burning'!C3306</f>
        <v>Human, deliberate</v>
      </c>
      <c r="D3306" s="151" t="str">
        <f>'Reported burning'!D3306</f>
        <v>Crop residue burning</v>
      </c>
      <c r="E3306" s="151" t="str">
        <f>'Reported burning'!E3306</f>
        <v>Cropping, Intensive</v>
      </c>
      <c r="F3306" s="151" t="str">
        <f>'Reported burning'!F3306</f>
        <v>Cropland</v>
      </c>
      <c r="G3306" s="151" t="str">
        <f>'Reported burning'!G3306</f>
        <v>Cropland</v>
      </c>
      <c r="H3306" s="151" t="str">
        <f>'Reported burning'!H3306</f>
        <v>Presence</v>
      </c>
      <c r="I3306" s="5"/>
      <c r="J3306" s="198" t="s">
        <v>2272</v>
      </c>
      <c r="K3306" s="198" t="s">
        <v>2272</v>
      </c>
      <c r="L3306" s="198" t="s">
        <v>2272</v>
      </c>
      <c r="M3306" s="198" t="s">
        <v>2272</v>
      </c>
      <c r="N3306" s="198" t="s">
        <v>2272</v>
      </c>
      <c r="O3306" s="198" t="s">
        <v>2272</v>
      </c>
      <c r="P3306" s="198" t="s">
        <v>2272</v>
      </c>
      <c r="Q3306" s="198" t="s">
        <v>2272</v>
      </c>
      <c r="R3306" s="198" t="s">
        <v>2272</v>
      </c>
      <c r="S3306" s="198" t="s">
        <v>2272</v>
      </c>
      <c r="T3306" s="198" t="s">
        <v>2272</v>
      </c>
      <c r="U3306" s="198" t="s">
        <v>2272</v>
      </c>
      <c r="V3306" s="198" t="s">
        <v>2272</v>
      </c>
      <c r="W3306" s="198" t="s">
        <v>2272</v>
      </c>
      <c r="X3306" s="198" t="s">
        <v>2272</v>
      </c>
      <c r="Y3306" s="198" t="s">
        <v>403</v>
      </c>
      <c r="Z3306" s="198" t="s">
        <v>34</v>
      </c>
      <c r="AA3306" s="198" t="s">
        <v>2272</v>
      </c>
      <c r="AB3306" s="198"/>
      <c r="AC3306" s="198"/>
    </row>
    <row r="3307" spans="1:29" ht="41" customHeight="1">
      <c r="A3307" s="151" t="str">
        <f>'Reported burning'!A3307</f>
        <v>363b</v>
      </c>
      <c r="B3307" s="151" t="str">
        <f>'Reported burning'!B3307</f>
        <v>363b.1</v>
      </c>
      <c r="C3307" s="151" t="str">
        <f>'Reported burning'!C3307</f>
        <v>Human, deliberate</v>
      </c>
      <c r="D3307" s="151" t="str">
        <f>'Reported burning'!D3307</f>
        <v>Pasture renewal</v>
      </c>
      <c r="E3307" s="151" t="str">
        <f>'Reported burning'!E3307</f>
        <v>Cattle, Extensive</v>
      </c>
      <c r="F3307" s="151" t="str">
        <f>'Reported burning'!F3307</f>
        <v>Grassland</v>
      </c>
      <c r="G3307" s="151" t="str">
        <f>'Reported burning'!G3307</f>
        <v>Grassland</v>
      </c>
      <c r="H3307" s="151" t="str">
        <f>'Reported burning'!H3307</f>
        <v>Presence</v>
      </c>
      <c r="I3307" s="5"/>
      <c r="J3307" s="21" t="s">
        <v>2272</v>
      </c>
      <c r="K3307" s="21" t="s">
        <v>2272</v>
      </c>
      <c r="L3307" s="21" t="s">
        <v>2272</v>
      </c>
      <c r="M3307" s="21" t="s">
        <v>2272</v>
      </c>
      <c r="N3307" s="21" t="s">
        <v>2272</v>
      </c>
      <c r="O3307" s="21" t="s">
        <v>2272</v>
      </c>
      <c r="P3307" s="21" t="s">
        <v>2272</v>
      </c>
      <c r="Q3307" s="21" t="s">
        <v>2272</v>
      </c>
      <c r="R3307" s="21" t="s">
        <v>2272</v>
      </c>
      <c r="S3307" s="21" t="s">
        <v>2272</v>
      </c>
      <c r="T3307" s="21" t="s">
        <v>2272</v>
      </c>
      <c r="U3307" s="21" t="s">
        <v>2272</v>
      </c>
      <c r="V3307" s="21" t="s">
        <v>2272</v>
      </c>
      <c r="W3307" s="21" t="s">
        <v>2272</v>
      </c>
      <c r="X3307" s="21" t="s">
        <v>2272</v>
      </c>
      <c r="Y3307" s="198" t="s">
        <v>187</v>
      </c>
      <c r="Z3307" s="198" t="s">
        <v>84</v>
      </c>
      <c r="AA3307" s="21" t="s">
        <v>2272</v>
      </c>
      <c r="AB3307" s="70" t="s">
        <v>8748</v>
      </c>
      <c r="AC3307" s="198"/>
    </row>
    <row r="3308" spans="1:29" ht="52.5" customHeight="1">
      <c r="A3308" s="151" t="str">
        <f>'Reported burning'!A3308</f>
        <v>363b</v>
      </c>
      <c r="B3308" s="151" t="str">
        <f>'Reported burning'!B3308</f>
        <v>363b.2</v>
      </c>
      <c r="C3308" s="151" t="str">
        <f>'Reported burning'!C3308</f>
        <v>Human, deliberate</v>
      </c>
      <c r="D3308" s="151" t="str">
        <f>'Reported burning'!D3308</f>
        <v>Pasture renewal</v>
      </c>
      <c r="E3308" s="151" t="str">
        <f>'Reported burning'!E3308</f>
        <v>Cattle, Extensive</v>
      </c>
      <c r="F3308" s="151" t="str">
        <f>'Reported burning'!F3308</f>
        <v>Grassland</v>
      </c>
      <c r="G3308" s="151" t="str">
        <f>'Reported burning'!G3308</f>
        <v>Grassland</v>
      </c>
      <c r="H3308" s="151" t="str">
        <f>'Reported burning'!H3308</f>
        <v>Presence</v>
      </c>
      <c r="I3308" s="5"/>
      <c r="J3308" s="21" t="s">
        <v>2272</v>
      </c>
      <c r="K3308" s="21" t="s">
        <v>2272</v>
      </c>
      <c r="L3308" s="21" t="s">
        <v>2272</v>
      </c>
      <c r="M3308" s="21" t="s">
        <v>2272</v>
      </c>
      <c r="N3308" s="21" t="s">
        <v>2272</v>
      </c>
      <c r="O3308" s="21" t="s">
        <v>2272</v>
      </c>
      <c r="P3308" s="21" t="s">
        <v>2272</v>
      </c>
      <c r="Q3308" s="21" t="s">
        <v>2272</v>
      </c>
      <c r="R3308" s="21" t="s">
        <v>2272</v>
      </c>
      <c r="S3308" s="21" t="s">
        <v>2272</v>
      </c>
      <c r="T3308" s="21" t="s">
        <v>2272</v>
      </c>
      <c r="U3308" s="21" t="s">
        <v>2272</v>
      </c>
      <c r="V3308" s="21" t="s">
        <v>2272</v>
      </c>
      <c r="W3308" s="21" t="s">
        <v>2272</v>
      </c>
      <c r="X3308" s="21" t="s">
        <v>2272</v>
      </c>
      <c r="Y3308" s="198" t="s">
        <v>403</v>
      </c>
      <c r="Z3308" s="198" t="s">
        <v>34</v>
      </c>
      <c r="AA3308" s="21" t="s">
        <v>2272</v>
      </c>
      <c r="AB3308" s="70" t="s">
        <v>8748</v>
      </c>
      <c r="AC3308" s="198"/>
    </row>
    <row r="3309" spans="1:29" ht="52.5" customHeight="1">
      <c r="A3309" s="151" t="str">
        <f>'Reported burning'!A3309</f>
        <v>363b</v>
      </c>
      <c r="B3309" s="151" t="str">
        <f>'Reported burning'!B3309</f>
        <v>363b.3</v>
      </c>
      <c r="C3309" s="151" t="str">
        <f>'Reported burning'!C3309</f>
        <v>Human, deliberate</v>
      </c>
      <c r="D3309" s="151" t="str">
        <f>'Reported burning'!D3309</f>
        <v>Crop residue burning</v>
      </c>
      <c r="E3309" s="151" t="str">
        <f>'Reported burning'!E3309</f>
        <v>Cropping, Intensive</v>
      </c>
      <c r="F3309" s="151" t="str">
        <f>'Reported burning'!F3309</f>
        <v>Cropland</v>
      </c>
      <c r="G3309" s="151" t="str">
        <f>'Reported burning'!G3309</f>
        <v>Cropland</v>
      </c>
      <c r="H3309" s="151" t="str">
        <f>'Reported burning'!H3309</f>
        <v>Presence</v>
      </c>
      <c r="I3309" s="5"/>
      <c r="J3309" s="21" t="s">
        <v>2272</v>
      </c>
      <c r="K3309" s="21" t="s">
        <v>2272</v>
      </c>
      <c r="L3309" s="21" t="s">
        <v>2272</v>
      </c>
      <c r="M3309" s="21" t="s">
        <v>2272</v>
      </c>
      <c r="N3309" s="21" t="s">
        <v>2272</v>
      </c>
      <c r="O3309" s="21" t="s">
        <v>2272</v>
      </c>
      <c r="P3309" s="21" t="s">
        <v>2272</v>
      </c>
      <c r="Q3309" s="21" t="s">
        <v>2272</v>
      </c>
      <c r="R3309" s="21" t="s">
        <v>2272</v>
      </c>
      <c r="S3309" s="21" t="s">
        <v>2272</v>
      </c>
      <c r="T3309" s="21" t="s">
        <v>2272</v>
      </c>
      <c r="U3309" s="21" t="s">
        <v>2272</v>
      </c>
      <c r="V3309" s="21" t="s">
        <v>2272</v>
      </c>
      <c r="W3309" s="21" t="s">
        <v>2272</v>
      </c>
      <c r="X3309" s="21" t="s">
        <v>2272</v>
      </c>
      <c r="Y3309" s="198" t="s">
        <v>187</v>
      </c>
      <c r="Z3309" s="198" t="s">
        <v>84</v>
      </c>
      <c r="AA3309" s="21" t="s">
        <v>2272</v>
      </c>
      <c r="AB3309" s="70" t="s">
        <v>8748</v>
      </c>
      <c r="AC3309" s="198"/>
    </row>
    <row r="3310" spans="1:29" ht="52.5" customHeight="1">
      <c r="A3310" s="151" t="str">
        <f>'Reported burning'!A3310</f>
        <v>363b</v>
      </c>
      <c r="B3310" s="151" t="str">
        <f>'Reported burning'!B3310</f>
        <v>363b.4</v>
      </c>
      <c r="C3310" s="151" t="str">
        <f>'Reported burning'!C3310</f>
        <v>Human, deliberate</v>
      </c>
      <c r="D3310" s="151" t="str">
        <f>'Reported burning'!D3310</f>
        <v>Crop residue burning</v>
      </c>
      <c r="E3310" s="151" t="str">
        <f>'Reported burning'!E3310</f>
        <v>Cropping, Intensive</v>
      </c>
      <c r="F3310" s="151" t="str">
        <f>'Reported burning'!F3310</f>
        <v>Cropland</v>
      </c>
      <c r="G3310" s="151" t="str">
        <f>'Reported burning'!G3310</f>
        <v>Cropland</v>
      </c>
      <c r="H3310" s="151" t="str">
        <f>'Reported burning'!H3310</f>
        <v>Presence</v>
      </c>
      <c r="I3310" s="5"/>
      <c r="J3310" s="21" t="s">
        <v>2272</v>
      </c>
      <c r="K3310" s="21" t="s">
        <v>2272</v>
      </c>
      <c r="L3310" s="21" t="s">
        <v>2272</v>
      </c>
      <c r="M3310" s="21" t="s">
        <v>2272</v>
      </c>
      <c r="N3310" s="21" t="s">
        <v>2272</v>
      </c>
      <c r="O3310" s="21" t="s">
        <v>2272</v>
      </c>
      <c r="P3310" s="21" t="s">
        <v>2272</v>
      </c>
      <c r="Q3310" s="21" t="s">
        <v>2272</v>
      </c>
      <c r="R3310" s="21" t="s">
        <v>2272</v>
      </c>
      <c r="S3310" s="21" t="s">
        <v>2272</v>
      </c>
      <c r="T3310" s="21" t="s">
        <v>2272</v>
      </c>
      <c r="U3310" s="21" t="s">
        <v>2272</v>
      </c>
      <c r="V3310" s="21" t="s">
        <v>2272</v>
      </c>
      <c r="W3310" s="21" t="s">
        <v>2272</v>
      </c>
      <c r="X3310" s="21" t="s">
        <v>2272</v>
      </c>
      <c r="Y3310" s="198" t="s">
        <v>403</v>
      </c>
      <c r="Z3310" s="198" t="s">
        <v>34</v>
      </c>
      <c r="AA3310" s="21" t="s">
        <v>2272</v>
      </c>
      <c r="AB3310" s="70" t="s">
        <v>8748</v>
      </c>
      <c r="AC3310" s="198"/>
    </row>
    <row r="3311" spans="1:29" ht="52.5" customHeight="1">
      <c r="A3311" s="151" t="str">
        <f>'Reported burning'!A3311</f>
        <v>363c</v>
      </c>
      <c r="B3311" s="151" t="str">
        <f>'Reported burning'!B3311</f>
        <v>363c.1</v>
      </c>
      <c r="C3311" s="151" t="str">
        <f>'Reported burning'!C3311</f>
        <v>Human, deliberate</v>
      </c>
      <c r="D3311" s="151" t="str">
        <f>'Reported burning'!D3311</f>
        <v>Pasture renewal</v>
      </c>
      <c r="E3311" s="151" t="str">
        <f>'Reported burning'!E3311</f>
        <v>Cattle, Extensive</v>
      </c>
      <c r="F3311" s="151" t="str">
        <f>'Reported burning'!F3311</f>
        <v>Grassland</v>
      </c>
      <c r="G3311" s="151" t="str">
        <f>'Reported burning'!G3311</f>
        <v>Grassland</v>
      </c>
      <c r="H3311" s="151" t="str">
        <f>'Reported burning'!H3311</f>
        <v>Presence</v>
      </c>
      <c r="I3311" s="5"/>
      <c r="J3311" s="21" t="s">
        <v>2272</v>
      </c>
      <c r="K3311" s="21" t="s">
        <v>2272</v>
      </c>
      <c r="L3311" s="21" t="s">
        <v>2272</v>
      </c>
      <c r="M3311" s="21" t="s">
        <v>2272</v>
      </c>
      <c r="N3311" s="21" t="s">
        <v>2272</v>
      </c>
      <c r="O3311" s="21" t="s">
        <v>2272</v>
      </c>
      <c r="P3311" s="21" t="s">
        <v>2272</v>
      </c>
      <c r="Q3311" s="21" t="s">
        <v>2272</v>
      </c>
      <c r="R3311" s="21" t="s">
        <v>2272</v>
      </c>
      <c r="S3311" s="21" t="s">
        <v>2272</v>
      </c>
      <c r="T3311" s="21" t="s">
        <v>2272</v>
      </c>
      <c r="U3311" s="21" t="s">
        <v>2272</v>
      </c>
      <c r="V3311" s="21" t="s">
        <v>2272</v>
      </c>
      <c r="W3311" s="21" t="s">
        <v>2272</v>
      </c>
      <c r="X3311" s="21" t="s">
        <v>2272</v>
      </c>
      <c r="Y3311" s="198" t="s">
        <v>187</v>
      </c>
      <c r="Z3311" s="198" t="s">
        <v>84</v>
      </c>
      <c r="AA3311" s="21" t="s">
        <v>2272</v>
      </c>
      <c r="AB3311" s="70" t="s">
        <v>8748</v>
      </c>
      <c r="AC3311" s="198"/>
    </row>
    <row r="3312" spans="1:29" ht="52.5" customHeight="1">
      <c r="A3312" s="151" t="str">
        <f>'Reported burning'!A3312</f>
        <v>363c</v>
      </c>
      <c r="B3312" s="151" t="str">
        <f>'Reported burning'!B3312</f>
        <v>363c.2</v>
      </c>
      <c r="C3312" s="151" t="str">
        <f>'Reported burning'!C3312</f>
        <v>Human, deliberate</v>
      </c>
      <c r="D3312" s="151" t="str">
        <f>'Reported burning'!D3312</f>
        <v>Pasture renewal</v>
      </c>
      <c r="E3312" s="151" t="str">
        <f>'Reported burning'!E3312</f>
        <v>Cattle, Extensive</v>
      </c>
      <c r="F3312" s="151" t="str">
        <f>'Reported burning'!F3312</f>
        <v>Grassland</v>
      </c>
      <c r="G3312" s="151" t="str">
        <f>'Reported burning'!G3312</f>
        <v>Grassland</v>
      </c>
      <c r="H3312" s="151" t="str">
        <f>'Reported burning'!H3312</f>
        <v>Presence</v>
      </c>
      <c r="I3312" s="5"/>
      <c r="J3312" s="21" t="s">
        <v>2272</v>
      </c>
      <c r="K3312" s="21" t="s">
        <v>2272</v>
      </c>
      <c r="L3312" s="21" t="s">
        <v>2272</v>
      </c>
      <c r="M3312" s="21" t="s">
        <v>2272</v>
      </c>
      <c r="N3312" s="21" t="s">
        <v>2272</v>
      </c>
      <c r="O3312" s="21" t="s">
        <v>2272</v>
      </c>
      <c r="P3312" s="21" t="s">
        <v>2272</v>
      </c>
      <c r="Q3312" s="21" t="s">
        <v>2272</v>
      </c>
      <c r="R3312" s="21" t="s">
        <v>2272</v>
      </c>
      <c r="S3312" s="21" t="s">
        <v>2272</v>
      </c>
      <c r="T3312" s="21" t="s">
        <v>2272</v>
      </c>
      <c r="U3312" s="21" t="s">
        <v>2272</v>
      </c>
      <c r="V3312" s="21" t="s">
        <v>2272</v>
      </c>
      <c r="W3312" s="21" t="s">
        <v>2272</v>
      </c>
      <c r="X3312" s="21" t="s">
        <v>2272</v>
      </c>
      <c r="Y3312" s="198" t="s">
        <v>403</v>
      </c>
      <c r="Z3312" s="198" t="s">
        <v>34</v>
      </c>
      <c r="AA3312" s="21" t="s">
        <v>2272</v>
      </c>
      <c r="AB3312" s="70" t="s">
        <v>8748</v>
      </c>
      <c r="AC3312" s="198"/>
    </row>
    <row r="3313" spans="1:29" ht="52.5" customHeight="1">
      <c r="A3313" s="151" t="str">
        <f>'Reported burning'!A3313</f>
        <v>363c</v>
      </c>
      <c r="B3313" s="151" t="str">
        <f>'Reported burning'!B3313</f>
        <v>363c.3</v>
      </c>
      <c r="C3313" s="151" t="str">
        <f>'Reported burning'!C3313</f>
        <v>Human, deliberate</v>
      </c>
      <c r="D3313" s="151" t="str">
        <f>'Reported burning'!D3313</f>
        <v>Crop residue burning</v>
      </c>
      <c r="E3313" s="151" t="str">
        <f>'Reported burning'!E3313</f>
        <v>Cropping, Intensive</v>
      </c>
      <c r="F3313" s="151" t="str">
        <f>'Reported burning'!F3313</f>
        <v>Cropland</v>
      </c>
      <c r="G3313" s="151" t="str">
        <f>'Reported burning'!G3313</f>
        <v>Cropland</v>
      </c>
      <c r="H3313" s="151" t="str">
        <f>'Reported burning'!H3313</f>
        <v>Presence</v>
      </c>
      <c r="I3313" s="5"/>
      <c r="J3313" s="21" t="s">
        <v>2272</v>
      </c>
      <c r="K3313" s="21" t="s">
        <v>2272</v>
      </c>
      <c r="L3313" s="21" t="s">
        <v>2272</v>
      </c>
      <c r="M3313" s="21" t="s">
        <v>2272</v>
      </c>
      <c r="N3313" s="21" t="s">
        <v>2272</v>
      </c>
      <c r="O3313" s="21" t="s">
        <v>2272</v>
      </c>
      <c r="P3313" s="21" t="s">
        <v>2272</v>
      </c>
      <c r="Q3313" s="21" t="s">
        <v>2272</v>
      </c>
      <c r="R3313" s="21" t="s">
        <v>2272</v>
      </c>
      <c r="S3313" s="21" t="s">
        <v>2272</v>
      </c>
      <c r="T3313" s="21" t="s">
        <v>2272</v>
      </c>
      <c r="U3313" s="21" t="s">
        <v>2272</v>
      </c>
      <c r="V3313" s="21" t="s">
        <v>2272</v>
      </c>
      <c r="W3313" s="21" t="s">
        <v>2272</v>
      </c>
      <c r="X3313" s="21" t="s">
        <v>2272</v>
      </c>
      <c r="Y3313" s="198" t="s">
        <v>187</v>
      </c>
      <c r="Z3313" s="198" t="s">
        <v>84</v>
      </c>
      <c r="AA3313" s="21" t="s">
        <v>2272</v>
      </c>
      <c r="AB3313" s="70" t="s">
        <v>8748</v>
      </c>
      <c r="AC3313" s="198"/>
    </row>
    <row r="3314" spans="1:29" ht="52.5" customHeight="1">
      <c r="A3314" s="151" t="str">
        <f>'Reported burning'!A3314</f>
        <v>363c</v>
      </c>
      <c r="B3314" s="151" t="str">
        <f>'Reported burning'!B3314</f>
        <v>363c.4</v>
      </c>
      <c r="C3314" s="151" t="str">
        <f>'Reported burning'!C3314</f>
        <v>Human, deliberate</v>
      </c>
      <c r="D3314" s="151" t="str">
        <f>'Reported burning'!D3314</f>
        <v>Crop residue burning</v>
      </c>
      <c r="E3314" s="151" t="str">
        <f>'Reported burning'!E3314</f>
        <v>Cropping, Intensive</v>
      </c>
      <c r="F3314" s="151" t="str">
        <f>'Reported burning'!F3314</f>
        <v>Cropland</v>
      </c>
      <c r="G3314" s="151" t="str">
        <f>'Reported burning'!G3314</f>
        <v>Cropland</v>
      </c>
      <c r="H3314" s="151" t="str">
        <f>'Reported burning'!H3314</f>
        <v>Presence</v>
      </c>
      <c r="I3314" s="5"/>
      <c r="J3314" s="21" t="s">
        <v>2272</v>
      </c>
      <c r="K3314" s="21" t="s">
        <v>2272</v>
      </c>
      <c r="L3314" s="21" t="s">
        <v>2272</v>
      </c>
      <c r="M3314" s="21" t="s">
        <v>2272</v>
      </c>
      <c r="N3314" s="21" t="s">
        <v>2272</v>
      </c>
      <c r="O3314" s="21" t="s">
        <v>2272</v>
      </c>
      <c r="P3314" s="21" t="s">
        <v>2272</v>
      </c>
      <c r="Q3314" s="21" t="s">
        <v>2272</v>
      </c>
      <c r="R3314" s="21" t="s">
        <v>2272</v>
      </c>
      <c r="S3314" s="21" t="s">
        <v>2272</v>
      </c>
      <c r="T3314" s="21" t="s">
        <v>2272</v>
      </c>
      <c r="U3314" s="21" t="s">
        <v>2272</v>
      </c>
      <c r="V3314" s="21" t="s">
        <v>2272</v>
      </c>
      <c r="W3314" s="21" t="s">
        <v>2272</v>
      </c>
      <c r="X3314" s="21" t="s">
        <v>2272</v>
      </c>
      <c r="Y3314" s="198" t="s">
        <v>403</v>
      </c>
      <c r="Z3314" s="198" t="s">
        <v>34</v>
      </c>
      <c r="AA3314" s="21" t="s">
        <v>2272</v>
      </c>
      <c r="AB3314" s="70" t="s">
        <v>8748</v>
      </c>
      <c r="AC3314" s="198"/>
    </row>
    <row r="3315" spans="1:29" ht="52.5" customHeight="1">
      <c r="A3315" s="151" t="str">
        <f>'Reported burning'!A3315</f>
        <v>364a</v>
      </c>
      <c r="B3315" s="151" t="str">
        <f>'Reported burning'!B3315</f>
        <v>364a.1</v>
      </c>
      <c r="C3315" s="151" t="str">
        <f>'Reported burning'!C3315</f>
        <v>Human, deliberate</v>
      </c>
      <c r="D3315" s="151" t="str">
        <f>'Reported burning'!D3315</f>
        <v>Crop residue burning</v>
      </c>
      <c r="E3315" s="151" t="str">
        <f>'Reported burning'!E3315</f>
        <v>Cropping, Monoculture, Market-oriented</v>
      </c>
      <c r="F3315" s="151" t="str">
        <f>'Reported burning'!F3315</f>
        <v>Cropland</v>
      </c>
      <c r="G3315" s="151" t="str">
        <f>'Reported burning'!G3315</f>
        <v>Cropland</v>
      </c>
      <c r="H3315" s="151" t="str">
        <f>'Reported burning'!H3315</f>
        <v>Presence</v>
      </c>
      <c r="I3315" s="5"/>
      <c r="J3315" s="21" t="s">
        <v>2272</v>
      </c>
      <c r="K3315" s="21" t="s">
        <v>2272</v>
      </c>
      <c r="L3315" s="21" t="s">
        <v>2272</v>
      </c>
      <c r="M3315" s="21" t="s">
        <v>2272</v>
      </c>
      <c r="N3315" s="21" t="s">
        <v>2272</v>
      </c>
      <c r="O3315" s="21" t="s">
        <v>2272</v>
      </c>
      <c r="P3315" s="21" t="s">
        <v>2272</v>
      </c>
      <c r="Q3315" s="21" t="s">
        <v>2272</v>
      </c>
      <c r="R3315" s="21" t="s">
        <v>2272</v>
      </c>
      <c r="S3315" s="21" t="s">
        <v>2272</v>
      </c>
      <c r="T3315" s="21" t="s">
        <v>2272</v>
      </c>
      <c r="U3315" s="21" t="s">
        <v>2272</v>
      </c>
      <c r="V3315" s="21" t="s">
        <v>2272</v>
      </c>
      <c r="W3315" s="21" t="s">
        <v>2272</v>
      </c>
      <c r="X3315" s="21" t="s">
        <v>2370</v>
      </c>
      <c r="Y3315" s="198" t="s">
        <v>423</v>
      </c>
      <c r="Z3315" s="198" t="s">
        <v>67</v>
      </c>
      <c r="AA3315" s="21" t="s">
        <v>2272</v>
      </c>
      <c r="AB3315" s="198"/>
      <c r="AC3315" s="198"/>
    </row>
    <row r="3316" spans="1:29" ht="42" customHeight="1">
      <c r="A3316" s="151" t="str">
        <f>'Reported burning'!A3316</f>
        <v>364b</v>
      </c>
      <c r="B3316" s="151" t="str">
        <f>'Reported burning'!B3316</f>
        <v>364b</v>
      </c>
      <c r="C3316" s="151" t="str">
        <f>'Reported burning'!C3316</f>
        <v>Human, deliberate</v>
      </c>
      <c r="D3316" s="151" t="str">
        <f>'Reported burning'!D3316</f>
        <v>Crop residue burning</v>
      </c>
      <c r="E3316" s="151" t="str">
        <f>'Reported burning'!E3316</f>
        <v>Cropping, Monoculture, Market-oriented</v>
      </c>
      <c r="F3316" s="151" t="str">
        <f>'Reported burning'!F3316</f>
        <v>Cropland</v>
      </c>
      <c r="G3316" s="151" t="str">
        <f>'Reported burning'!G3316</f>
        <v>Cropland</v>
      </c>
      <c r="H3316" s="151" t="str">
        <f>'Reported burning'!H3316</f>
        <v>Presence</v>
      </c>
      <c r="I3316" s="5"/>
      <c r="J3316" s="21" t="s">
        <v>2272</v>
      </c>
      <c r="K3316" s="21" t="s">
        <v>2272</v>
      </c>
      <c r="L3316" s="21" t="s">
        <v>2272</v>
      </c>
      <c r="M3316" s="21" t="s">
        <v>2272</v>
      </c>
      <c r="N3316" s="21" t="s">
        <v>2272</v>
      </c>
      <c r="O3316" s="21" t="s">
        <v>2272</v>
      </c>
      <c r="P3316" s="21" t="s">
        <v>2272</v>
      </c>
      <c r="Q3316" s="21" t="s">
        <v>2272</v>
      </c>
      <c r="R3316" s="21" t="s">
        <v>2272</v>
      </c>
      <c r="S3316" s="21" t="s">
        <v>2272</v>
      </c>
      <c r="T3316" s="21" t="s">
        <v>2272</v>
      </c>
      <c r="U3316" s="21" t="s">
        <v>2272</v>
      </c>
      <c r="V3316" s="21" t="s">
        <v>2272</v>
      </c>
      <c r="W3316" s="21" t="s">
        <v>2272</v>
      </c>
      <c r="X3316" s="21" t="s">
        <v>2370</v>
      </c>
      <c r="Y3316" s="198" t="s">
        <v>423</v>
      </c>
      <c r="Z3316" s="198" t="s">
        <v>67</v>
      </c>
      <c r="AA3316" s="21" t="s">
        <v>2272</v>
      </c>
      <c r="AB3316" s="198"/>
      <c r="AC3316" s="198"/>
    </row>
    <row r="3317" spans="1:29" ht="42" customHeight="1">
      <c r="A3317" s="151" t="str">
        <f>'Reported burning'!A3317</f>
        <v>364c</v>
      </c>
      <c r="B3317" s="151" t="str">
        <f>'Reported burning'!B3317</f>
        <v>364c</v>
      </c>
      <c r="C3317" s="151" t="str">
        <f>'Reported burning'!C3317</f>
        <v>Human, deliberate</v>
      </c>
      <c r="D3317" s="151" t="str">
        <f>'Reported burning'!D3317</f>
        <v>Crop residue burning</v>
      </c>
      <c r="E3317" s="151" t="str">
        <f>'Reported burning'!E3317</f>
        <v>Cropping, Monoculture, Market-oriented</v>
      </c>
      <c r="F3317" s="151" t="str">
        <f>'Reported burning'!F3317</f>
        <v>Cropland</v>
      </c>
      <c r="G3317" s="151" t="str">
        <f>'Reported burning'!G3317</f>
        <v>Cropland</v>
      </c>
      <c r="H3317" s="151" t="str">
        <f>'Reported burning'!H3317</f>
        <v>Presence</v>
      </c>
      <c r="I3317" s="5"/>
      <c r="J3317" s="21" t="s">
        <v>2272</v>
      </c>
      <c r="K3317" s="21" t="s">
        <v>2272</v>
      </c>
      <c r="L3317" s="21" t="s">
        <v>2272</v>
      </c>
      <c r="M3317" s="21" t="s">
        <v>2272</v>
      </c>
      <c r="N3317" s="21" t="s">
        <v>2272</v>
      </c>
      <c r="O3317" s="21" t="s">
        <v>2272</v>
      </c>
      <c r="P3317" s="21" t="s">
        <v>2272</v>
      </c>
      <c r="Q3317" s="21" t="s">
        <v>2272</v>
      </c>
      <c r="R3317" s="21" t="s">
        <v>2272</v>
      </c>
      <c r="S3317" s="21" t="s">
        <v>2272</v>
      </c>
      <c r="T3317" s="21" t="s">
        <v>2272</v>
      </c>
      <c r="U3317" s="21" t="s">
        <v>2272</v>
      </c>
      <c r="V3317" s="21" t="s">
        <v>2272</v>
      </c>
      <c r="W3317" s="21" t="s">
        <v>2272</v>
      </c>
      <c r="X3317" s="21" t="s">
        <v>2370</v>
      </c>
      <c r="Y3317" s="198" t="s">
        <v>423</v>
      </c>
      <c r="Z3317" s="198" t="s">
        <v>67</v>
      </c>
      <c r="AA3317" s="21" t="s">
        <v>2272</v>
      </c>
      <c r="AB3317" s="198"/>
      <c r="AC3317" s="198"/>
    </row>
    <row r="3318" spans="1:29" ht="42" customHeight="1">
      <c r="A3318" s="151" t="str">
        <f>'Reported burning'!A3318</f>
        <v>364d</v>
      </c>
      <c r="B3318" s="151" t="str">
        <f>'Reported burning'!B3318</f>
        <v>364d</v>
      </c>
      <c r="C3318" s="151" t="str">
        <f>'Reported burning'!C3318</f>
        <v>Human, deliberate</v>
      </c>
      <c r="D3318" s="151" t="str">
        <f>'Reported burning'!D3318</f>
        <v>Crop residue burning</v>
      </c>
      <c r="E3318" s="151" t="str">
        <f>'Reported burning'!E3318</f>
        <v>Cropping, Monoculture, Market-oriented</v>
      </c>
      <c r="F3318" s="151" t="str">
        <f>'Reported burning'!F3318</f>
        <v>Cropland</v>
      </c>
      <c r="G3318" s="151" t="str">
        <f>'Reported burning'!G3318</f>
        <v>Cropland</v>
      </c>
      <c r="H3318" s="151" t="str">
        <f>'Reported burning'!H3318</f>
        <v>Presence</v>
      </c>
      <c r="I3318" s="5"/>
      <c r="J3318" s="21" t="s">
        <v>2272</v>
      </c>
      <c r="K3318" s="21" t="s">
        <v>2272</v>
      </c>
      <c r="L3318" s="21" t="s">
        <v>2272</v>
      </c>
      <c r="M3318" s="21" t="s">
        <v>2272</v>
      </c>
      <c r="N3318" s="21" t="s">
        <v>2272</v>
      </c>
      <c r="O3318" s="21" t="s">
        <v>2272</v>
      </c>
      <c r="P3318" s="21" t="s">
        <v>2272</v>
      </c>
      <c r="Q3318" s="21" t="s">
        <v>2272</v>
      </c>
      <c r="R3318" s="21" t="s">
        <v>2272</v>
      </c>
      <c r="S3318" s="21" t="s">
        <v>2272</v>
      </c>
      <c r="T3318" s="21" t="s">
        <v>2272</v>
      </c>
      <c r="U3318" s="21" t="s">
        <v>2272</v>
      </c>
      <c r="V3318" s="21" t="s">
        <v>2272</v>
      </c>
      <c r="W3318" s="21" t="s">
        <v>2272</v>
      </c>
      <c r="X3318" s="21" t="s">
        <v>2370</v>
      </c>
      <c r="Y3318" s="198" t="s">
        <v>423</v>
      </c>
      <c r="Z3318" s="198" t="s">
        <v>67</v>
      </c>
      <c r="AA3318" s="21" t="s">
        <v>2272</v>
      </c>
      <c r="AB3318" s="198"/>
      <c r="AC3318" s="198"/>
    </row>
    <row r="3319" spans="1:29" ht="42" customHeight="1">
      <c r="A3319" s="151" t="str">
        <f>'Reported burning'!A3319</f>
        <v>364e</v>
      </c>
      <c r="B3319" s="151" t="str">
        <f>'Reported burning'!B3319</f>
        <v>364e</v>
      </c>
      <c r="C3319" s="151" t="str">
        <f>'Reported burning'!C3319</f>
        <v>Human, deliberate</v>
      </c>
      <c r="D3319" s="151" t="str">
        <f>'Reported burning'!D3319</f>
        <v>Crop residue burning</v>
      </c>
      <c r="E3319" s="151" t="str">
        <f>'Reported burning'!E3319</f>
        <v>Cropping, Monoculture, Market-oriented</v>
      </c>
      <c r="F3319" s="151" t="str">
        <f>'Reported burning'!F3319</f>
        <v>Cropland</v>
      </c>
      <c r="G3319" s="151" t="str">
        <f>'Reported burning'!G3319</f>
        <v>Cropland</v>
      </c>
      <c r="H3319" s="151" t="str">
        <f>'Reported burning'!H3319</f>
        <v>Presence</v>
      </c>
      <c r="I3319" s="5"/>
      <c r="J3319" s="21" t="s">
        <v>2272</v>
      </c>
      <c r="K3319" s="21" t="s">
        <v>2272</v>
      </c>
      <c r="L3319" s="21" t="s">
        <v>2272</v>
      </c>
      <c r="M3319" s="21" t="s">
        <v>2272</v>
      </c>
      <c r="N3319" s="21" t="s">
        <v>2272</v>
      </c>
      <c r="O3319" s="21" t="s">
        <v>2272</v>
      </c>
      <c r="P3319" s="21" t="s">
        <v>2272</v>
      </c>
      <c r="Q3319" s="21" t="s">
        <v>2272</v>
      </c>
      <c r="R3319" s="21" t="s">
        <v>2272</v>
      </c>
      <c r="S3319" s="21" t="s">
        <v>2272</v>
      </c>
      <c r="T3319" s="21" t="s">
        <v>2272</v>
      </c>
      <c r="U3319" s="21" t="s">
        <v>2272</v>
      </c>
      <c r="V3319" s="21" t="s">
        <v>2272</v>
      </c>
      <c r="W3319" s="21" t="s">
        <v>2272</v>
      </c>
      <c r="X3319" s="21" t="s">
        <v>2370</v>
      </c>
      <c r="Y3319" s="198" t="s">
        <v>423</v>
      </c>
      <c r="Z3319" s="198" t="s">
        <v>67</v>
      </c>
      <c r="AA3319" s="21" t="s">
        <v>2272</v>
      </c>
      <c r="AB3319" s="198"/>
      <c r="AC3319" s="198"/>
    </row>
    <row r="3320" spans="1:29" ht="42" customHeight="1">
      <c r="A3320" s="151" t="str">
        <f>'Reported burning'!A3320</f>
        <v>364f</v>
      </c>
      <c r="B3320" s="151" t="str">
        <f>'Reported burning'!B3320</f>
        <v>364f</v>
      </c>
      <c r="C3320" s="151" t="str">
        <f>'Reported burning'!C3320</f>
        <v>Human, deliberate</v>
      </c>
      <c r="D3320" s="151" t="str">
        <f>'Reported burning'!D3320</f>
        <v>Crop residue burning</v>
      </c>
      <c r="E3320" s="151" t="str">
        <f>'Reported burning'!E3320</f>
        <v>Cropping, Monoculture, Market-oriented</v>
      </c>
      <c r="F3320" s="151" t="str">
        <f>'Reported burning'!F3320</f>
        <v>Cropland</v>
      </c>
      <c r="G3320" s="151" t="str">
        <f>'Reported burning'!G3320</f>
        <v>Cropland</v>
      </c>
      <c r="H3320" s="151" t="str">
        <f>'Reported burning'!H3320</f>
        <v>Presence</v>
      </c>
      <c r="I3320" s="5"/>
      <c r="J3320" s="21" t="s">
        <v>2272</v>
      </c>
      <c r="K3320" s="21" t="s">
        <v>2272</v>
      </c>
      <c r="L3320" s="21" t="s">
        <v>2272</v>
      </c>
      <c r="M3320" s="21" t="s">
        <v>2272</v>
      </c>
      <c r="N3320" s="21" t="s">
        <v>2272</v>
      </c>
      <c r="O3320" s="21" t="s">
        <v>2272</v>
      </c>
      <c r="P3320" s="21" t="s">
        <v>2272</v>
      </c>
      <c r="Q3320" s="21" t="s">
        <v>2272</v>
      </c>
      <c r="R3320" s="21" t="s">
        <v>2272</v>
      </c>
      <c r="S3320" s="21" t="s">
        <v>2272</v>
      </c>
      <c r="T3320" s="21" t="s">
        <v>2272</v>
      </c>
      <c r="U3320" s="21" t="s">
        <v>2272</v>
      </c>
      <c r="V3320" s="21" t="s">
        <v>2272</v>
      </c>
      <c r="W3320" s="21" t="s">
        <v>2272</v>
      </c>
      <c r="X3320" s="21" t="s">
        <v>2370</v>
      </c>
      <c r="Y3320" s="198" t="s">
        <v>423</v>
      </c>
      <c r="Z3320" s="198" t="s">
        <v>67</v>
      </c>
      <c r="AA3320" s="21" t="s">
        <v>2272</v>
      </c>
      <c r="AB3320" s="198"/>
      <c r="AC3320" s="198"/>
    </row>
    <row r="3321" spans="1:29" ht="42" customHeight="1">
      <c r="A3321" s="151" t="str">
        <f>'Reported burning'!A3321</f>
        <v>364g</v>
      </c>
      <c r="B3321" s="151" t="str">
        <f>'Reported burning'!B3321</f>
        <v>364g</v>
      </c>
      <c r="C3321" s="151" t="str">
        <f>'Reported burning'!C3321</f>
        <v>Human, deliberate</v>
      </c>
      <c r="D3321" s="151" t="str">
        <f>'Reported burning'!D3321</f>
        <v>Crop residue burning</v>
      </c>
      <c r="E3321" s="151" t="str">
        <f>'Reported burning'!E3321</f>
        <v>Cropping, Monoculture, Market-oriented</v>
      </c>
      <c r="F3321" s="151" t="str">
        <f>'Reported burning'!F3321</f>
        <v>Cropland</v>
      </c>
      <c r="G3321" s="151" t="str">
        <f>'Reported burning'!G3321</f>
        <v>Cropland</v>
      </c>
      <c r="H3321" s="151" t="str">
        <f>'Reported burning'!H3321</f>
        <v>Presence</v>
      </c>
      <c r="I3321" s="5"/>
      <c r="J3321" s="21" t="s">
        <v>2272</v>
      </c>
      <c r="K3321" s="21" t="s">
        <v>2272</v>
      </c>
      <c r="L3321" s="21" t="s">
        <v>2272</v>
      </c>
      <c r="M3321" s="21" t="s">
        <v>2272</v>
      </c>
      <c r="N3321" s="21" t="s">
        <v>2272</v>
      </c>
      <c r="O3321" s="21" t="s">
        <v>2272</v>
      </c>
      <c r="P3321" s="21" t="s">
        <v>2272</v>
      </c>
      <c r="Q3321" s="21" t="s">
        <v>2272</v>
      </c>
      <c r="R3321" s="21" t="s">
        <v>2272</v>
      </c>
      <c r="S3321" s="21" t="s">
        <v>2272</v>
      </c>
      <c r="T3321" s="21" t="s">
        <v>2272</v>
      </c>
      <c r="U3321" s="21" t="s">
        <v>2272</v>
      </c>
      <c r="V3321" s="21" t="s">
        <v>2272</v>
      </c>
      <c r="W3321" s="21" t="s">
        <v>2272</v>
      </c>
      <c r="X3321" s="21" t="s">
        <v>2370</v>
      </c>
      <c r="Y3321" s="198" t="s">
        <v>423</v>
      </c>
      <c r="Z3321" s="198" t="s">
        <v>67</v>
      </c>
      <c r="AA3321" s="21" t="s">
        <v>2272</v>
      </c>
      <c r="AB3321" s="198"/>
      <c r="AC3321" s="198"/>
    </row>
    <row r="3322" spans="1:29" ht="42" customHeight="1">
      <c r="A3322" s="151" t="str">
        <f>'Reported burning'!A3322</f>
        <v>364h</v>
      </c>
      <c r="B3322" s="151" t="str">
        <f>'Reported burning'!B3322</f>
        <v>364h</v>
      </c>
      <c r="C3322" s="151" t="str">
        <f>'Reported burning'!C3322</f>
        <v>Human, deliberate</v>
      </c>
      <c r="D3322" s="151" t="str">
        <f>'Reported burning'!D3322</f>
        <v>Crop residue burning</v>
      </c>
      <c r="E3322" s="151" t="str">
        <f>'Reported burning'!E3322</f>
        <v>Cropping, Monoculture, Market-oriented</v>
      </c>
      <c r="F3322" s="151" t="str">
        <f>'Reported burning'!F3322</f>
        <v>Cropland</v>
      </c>
      <c r="G3322" s="151" t="str">
        <f>'Reported burning'!G3322</f>
        <v>Cropland</v>
      </c>
      <c r="H3322" s="151" t="str">
        <f>'Reported burning'!H3322</f>
        <v>Presence</v>
      </c>
      <c r="I3322" s="5"/>
      <c r="J3322" s="21" t="s">
        <v>2272</v>
      </c>
      <c r="K3322" s="21" t="s">
        <v>2272</v>
      </c>
      <c r="L3322" s="21" t="s">
        <v>2272</v>
      </c>
      <c r="M3322" s="21" t="s">
        <v>2272</v>
      </c>
      <c r="N3322" s="21" t="s">
        <v>2272</v>
      </c>
      <c r="O3322" s="21" t="s">
        <v>2272</v>
      </c>
      <c r="P3322" s="21" t="s">
        <v>2272</v>
      </c>
      <c r="Q3322" s="21" t="s">
        <v>2272</v>
      </c>
      <c r="R3322" s="21" t="s">
        <v>2272</v>
      </c>
      <c r="S3322" s="21" t="s">
        <v>2272</v>
      </c>
      <c r="T3322" s="21" t="s">
        <v>2272</v>
      </c>
      <c r="U3322" s="21" t="s">
        <v>2272</v>
      </c>
      <c r="V3322" s="21" t="s">
        <v>2272</v>
      </c>
      <c r="W3322" s="21" t="s">
        <v>2272</v>
      </c>
      <c r="X3322" s="21" t="s">
        <v>2370</v>
      </c>
      <c r="Y3322" s="198" t="s">
        <v>423</v>
      </c>
      <c r="Z3322" s="198" t="s">
        <v>67</v>
      </c>
      <c r="AA3322" s="21" t="s">
        <v>2272</v>
      </c>
      <c r="AB3322" s="198"/>
      <c r="AC3322" s="198"/>
    </row>
    <row r="3323" spans="1:29" ht="42" customHeight="1">
      <c r="A3323" s="151" t="str">
        <f>'Reported burning'!A3323</f>
        <v>364i</v>
      </c>
      <c r="B3323" s="151" t="str">
        <f>'Reported burning'!B3323</f>
        <v>364i</v>
      </c>
      <c r="C3323" s="151" t="str">
        <f>'Reported burning'!C3323</f>
        <v>Human, deliberate</v>
      </c>
      <c r="D3323" s="151" t="str">
        <f>'Reported burning'!D3323</f>
        <v>Crop residue burning</v>
      </c>
      <c r="E3323" s="151" t="str">
        <f>'Reported burning'!E3323</f>
        <v>Cropping, Monoculture, Market-oriented</v>
      </c>
      <c r="F3323" s="151" t="str">
        <f>'Reported burning'!F3323</f>
        <v>Cropland</v>
      </c>
      <c r="G3323" s="151" t="str">
        <f>'Reported burning'!G3323</f>
        <v>Cropland</v>
      </c>
      <c r="H3323" s="151" t="str">
        <f>'Reported burning'!H3323</f>
        <v>Presence</v>
      </c>
      <c r="I3323" s="5"/>
      <c r="J3323" s="21" t="s">
        <v>2272</v>
      </c>
      <c r="K3323" s="21" t="s">
        <v>2272</v>
      </c>
      <c r="L3323" s="21" t="s">
        <v>2272</v>
      </c>
      <c r="M3323" s="21" t="s">
        <v>2272</v>
      </c>
      <c r="N3323" s="21" t="s">
        <v>2272</v>
      </c>
      <c r="O3323" s="21" t="s">
        <v>2272</v>
      </c>
      <c r="P3323" s="21" t="s">
        <v>2272</v>
      </c>
      <c r="Q3323" s="21" t="s">
        <v>2272</v>
      </c>
      <c r="R3323" s="21" t="s">
        <v>2272</v>
      </c>
      <c r="S3323" s="21" t="s">
        <v>2272</v>
      </c>
      <c r="T3323" s="21" t="s">
        <v>2272</v>
      </c>
      <c r="U3323" s="21" t="s">
        <v>2272</v>
      </c>
      <c r="V3323" s="21" t="s">
        <v>2272</v>
      </c>
      <c r="W3323" s="21" t="s">
        <v>2272</v>
      </c>
      <c r="X3323" s="21" t="s">
        <v>2370</v>
      </c>
      <c r="Y3323" s="198" t="s">
        <v>423</v>
      </c>
      <c r="Z3323" s="198" t="s">
        <v>67</v>
      </c>
      <c r="AA3323" s="21" t="s">
        <v>2272</v>
      </c>
      <c r="AB3323" s="198"/>
      <c r="AC3323" s="198"/>
    </row>
    <row r="3324" spans="1:29" ht="42" customHeight="1">
      <c r="A3324" s="151" t="str">
        <f>'Reported burning'!A3324</f>
        <v>364j</v>
      </c>
      <c r="B3324" s="151" t="str">
        <f>'Reported burning'!B3324</f>
        <v>364j</v>
      </c>
      <c r="C3324" s="151" t="str">
        <f>'Reported burning'!C3324</f>
        <v>Human, deliberate</v>
      </c>
      <c r="D3324" s="151" t="str">
        <f>'Reported burning'!D3324</f>
        <v>Crop residue burning</v>
      </c>
      <c r="E3324" s="151" t="str">
        <f>'Reported burning'!E3324</f>
        <v>Cropping, Monoculture, Market-oriented</v>
      </c>
      <c r="F3324" s="151" t="str">
        <f>'Reported burning'!F3324</f>
        <v>Cropland</v>
      </c>
      <c r="G3324" s="151" t="str">
        <f>'Reported burning'!G3324</f>
        <v>Cropland</v>
      </c>
      <c r="H3324" s="151"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t="s">
        <v>2370</v>
      </c>
      <c r="Y3324" s="198" t="s">
        <v>423</v>
      </c>
      <c r="Z3324" s="198" t="s">
        <v>67</v>
      </c>
      <c r="AA3324" s="21" t="s">
        <v>2272</v>
      </c>
      <c r="AB3324" s="198"/>
      <c r="AC3324" s="198"/>
    </row>
    <row r="3325" spans="1:29" ht="42" customHeight="1">
      <c r="A3325" s="151" t="str">
        <f>'Reported burning'!A3325</f>
        <v>364k</v>
      </c>
      <c r="B3325" s="151" t="str">
        <f>'Reported burning'!B3325</f>
        <v>364k</v>
      </c>
      <c r="C3325" s="151" t="str">
        <f>'Reported burning'!C3325</f>
        <v>Human, deliberate</v>
      </c>
      <c r="D3325" s="151" t="str">
        <f>'Reported burning'!D3325</f>
        <v>Crop residue burning</v>
      </c>
      <c r="E3325" s="151" t="str">
        <f>'Reported burning'!E3325</f>
        <v>Cropping, Monoculture, Market-oriented</v>
      </c>
      <c r="F3325" s="151" t="str">
        <f>'Reported burning'!F3325</f>
        <v>Cropland</v>
      </c>
      <c r="G3325" s="151" t="str">
        <f>'Reported burning'!G3325</f>
        <v>Cropland</v>
      </c>
      <c r="H3325" s="151" t="str">
        <f>'Reported burning'!H3325</f>
        <v>Presence</v>
      </c>
      <c r="I3325" s="5"/>
      <c r="J3325" s="21" t="s">
        <v>2272</v>
      </c>
      <c r="K3325" s="21" t="s">
        <v>2272</v>
      </c>
      <c r="L3325" s="21" t="s">
        <v>2272</v>
      </c>
      <c r="M3325" s="21" t="s">
        <v>2272</v>
      </c>
      <c r="N3325" s="21" t="s">
        <v>2272</v>
      </c>
      <c r="O3325" s="21" t="s">
        <v>2272</v>
      </c>
      <c r="P3325" s="21" t="s">
        <v>2272</v>
      </c>
      <c r="Q3325" s="21" t="s">
        <v>2272</v>
      </c>
      <c r="R3325" s="21" t="s">
        <v>2272</v>
      </c>
      <c r="S3325" s="21" t="s">
        <v>2272</v>
      </c>
      <c r="T3325" s="21" t="s">
        <v>2272</v>
      </c>
      <c r="U3325" s="21" t="s">
        <v>2272</v>
      </c>
      <c r="V3325" s="21" t="s">
        <v>2272</v>
      </c>
      <c r="W3325" s="21" t="s">
        <v>2272</v>
      </c>
      <c r="X3325" s="21" t="s">
        <v>2370</v>
      </c>
      <c r="Y3325" s="198" t="s">
        <v>423</v>
      </c>
      <c r="Z3325" s="198" t="s">
        <v>67</v>
      </c>
      <c r="AA3325" s="21" t="s">
        <v>2272</v>
      </c>
      <c r="AB3325" s="198"/>
      <c r="AC3325" s="198"/>
    </row>
    <row r="3326" spans="1:29" ht="42" customHeight="1">
      <c r="A3326" s="151" t="str">
        <f>'Reported burning'!A3326</f>
        <v>364l</v>
      </c>
      <c r="B3326" s="151" t="str">
        <f>'Reported burning'!B3326</f>
        <v>364l</v>
      </c>
      <c r="C3326" s="151" t="str">
        <f>'Reported burning'!C3326</f>
        <v>Human, deliberate</v>
      </c>
      <c r="D3326" s="151" t="str">
        <f>'Reported burning'!D3326</f>
        <v>Crop residue burning</v>
      </c>
      <c r="E3326" s="151" t="str">
        <f>'Reported burning'!E3326</f>
        <v>Cropping, Monoculture, Market-oriented</v>
      </c>
      <c r="F3326" s="151" t="str">
        <f>'Reported burning'!F3326</f>
        <v>Cropland</v>
      </c>
      <c r="G3326" s="151" t="str">
        <f>'Reported burning'!G3326</f>
        <v>Cropland</v>
      </c>
      <c r="H3326" s="151" t="str">
        <f>'Reported burning'!H3326</f>
        <v>Absence</v>
      </c>
      <c r="I3326" s="5"/>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t="s">
        <v>2370</v>
      </c>
      <c r="Y3326" s="198" t="s">
        <v>423</v>
      </c>
      <c r="Z3326" s="198" t="s">
        <v>67</v>
      </c>
      <c r="AA3326" s="21" t="s">
        <v>2272</v>
      </c>
      <c r="AB3326" s="198"/>
      <c r="AC3326" s="198"/>
    </row>
    <row r="3327" spans="1:29" ht="42" customHeight="1">
      <c r="A3327" s="151" t="str">
        <f>'Reported burning'!A3327</f>
        <v>364m</v>
      </c>
      <c r="B3327" s="151" t="str">
        <f>'Reported burning'!B3327</f>
        <v>364m</v>
      </c>
      <c r="C3327" s="151" t="str">
        <f>'Reported burning'!C3327</f>
        <v>Human, deliberate</v>
      </c>
      <c r="D3327" s="151" t="str">
        <f>'Reported burning'!D3327</f>
        <v>Crop residue burning</v>
      </c>
      <c r="E3327" s="151" t="str">
        <f>'Reported burning'!E3327</f>
        <v>Cropping, Monoculture, Market-oriented</v>
      </c>
      <c r="F3327" s="151" t="str">
        <f>'Reported burning'!F3327</f>
        <v>Cropland</v>
      </c>
      <c r="G3327" s="151" t="str">
        <f>'Reported burning'!G3327</f>
        <v>Cropland</v>
      </c>
      <c r="H3327" s="151" t="str">
        <f>'Reported burning'!H3327</f>
        <v>Presence</v>
      </c>
      <c r="I3327" s="5"/>
      <c r="J3327" s="21" t="s">
        <v>2272</v>
      </c>
      <c r="K3327" s="21" t="s">
        <v>2272</v>
      </c>
      <c r="L3327" s="21" t="s">
        <v>2272</v>
      </c>
      <c r="M3327" s="21" t="s">
        <v>2272</v>
      </c>
      <c r="N3327" s="21" t="s">
        <v>2272</v>
      </c>
      <c r="O3327" s="21" t="s">
        <v>2272</v>
      </c>
      <c r="P3327" s="21" t="s">
        <v>2272</v>
      </c>
      <c r="Q3327" s="21" t="s">
        <v>2272</v>
      </c>
      <c r="R3327" s="21" t="s">
        <v>2272</v>
      </c>
      <c r="S3327" s="21" t="s">
        <v>2272</v>
      </c>
      <c r="T3327" s="21" t="s">
        <v>2272</v>
      </c>
      <c r="U3327" s="21" t="s">
        <v>2272</v>
      </c>
      <c r="V3327" s="21" t="s">
        <v>2272</v>
      </c>
      <c r="W3327" s="21" t="s">
        <v>2272</v>
      </c>
      <c r="X3327" s="21" t="s">
        <v>2370</v>
      </c>
      <c r="Y3327" s="198" t="s">
        <v>423</v>
      </c>
      <c r="Z3327" s="198" t="s">
        <v>67</v>
      </c>
      <c r="AA3327" s="21" t="s">
        <v>2272</v>
      </c>
      <c r="AB3327" s="198"/>
      <c r="AC3327" s="198"/>
    </row>
    <row r="3328" spans="1:29" ht="42" customHeight="1">
      <c r="A3328" s="151" t="str">
        <f>'Reported burning'!A3328</f>
        <v>364n</v>
      </c>
      <c r="B3328" s="151" t="str">
        <f>'Reported burning'!B3328</f>
        <v>364n</v>
      </c>
      <c r="C3328" s="151" t="str">
        <f>'Reported burning'!C3328</f>
        <v>Human, deliberate</v>
      </c>
      <c r="D3328" s="151" t="str">
        <f>'Reported burning'!D3328</f>
        <v>Crop residue burning</v>
      </c>
      <c r="E3328" s="151" t="str">
        <f>'Reported burning'!E3328</f>
        <v>Cropping, Monoculture, Market-oriented</v>
      </c>
      <c r="F3328" s="151" t="str">
        <f>'Reported burning'!F3328</f>
        <v>Cropland</v>
      </c>
      <c r="G3328" s="151" t="str">
        <f>'Reported burning'!G3328</f>
        <v>Cropland</v>
      </c>
      <c r="H3328" s="151" t="str">
        <f>'Reported burning'!H3328</f>
        <v>Presence</v>
      </c>
      <c r="I3328" s="5"/>
      <c r="J3328" s="21" t="s">
        <v>2272</v>
      </c>
      <c r="K3328" s="21" t="s">
        <v>2272</v>
      </c>
      <c r="L3328" s="21" t="s">
        <v>2272</v>
      </c>
      <c r="M3328" s="21" t="s">
        <v>2272</v>
      </c>
      <c r="N3328" s="21" t="s">
        <v>2272</v>
      </c>
      <c r="O3328" s="21" t="s">
        <v>2272</v>
      </c>
      <c r="P3328" s="21" t="s">
        <v>2272</v>
      </c>
      <c r="Q3328" s="21" t="s">
        <v>2272</v>
      </c>
      <c r="R3328" s="21" t="s">
        <v>2272</v>
      </c>
      <c r="S3328" s="21" t="s">
        <v>2272</v>
      </c>
      <c r="T3328" s="21" t="s">
        <v>2272</v>
      </c>
      <c r="U3328" s="21" t="s">
        <v>2272</v>
      </c>
      <c r="V3328" s="21" t="s">
        <v>2272</v>
      </c>
      <c r="W3328" s="21" t="s">
        <v>2272</v>
      </c>
      <c r="X3328" s="21" t="s">
        <v>2370</v>
      </c>
      <c r="Y3328" s="198" t="s">
        <v>423</v>
      </c>
      <c r="Z3328" s="198" t="s">
        <v>67</v>
      </c>
      <c r="AA3328" s="21" t="s">
        <v>2272</v>
      </c>
      <c r="AB3328" s="198"/>
      <c r="AC3328" s="198"/>
    </row>
    <row r="3329" spans="1:29" ht="42" customHeight="1">
      <c r="A3329" s="151" t="str">
        <f>'Reported burning'!A3329</f>
        <v>364o</v>
      </c>
      <c r="B3329" s="151" t="str">
        <f>'Reported burning'!B3329</f>
        <v>364o</v>
      </c>
      <c r="C3329" s="151" t="str">
        <f>'Reported burning'!C3329</f>
        <v>Human, deliberate</v>
      </c>
      <c r="D3329" s="151" t="str">
        <f>'Reported burning'!D3329</f>
        <v>Crop residue burning</v>
      </c>
      <c r="E3329" s="151" t="str">
        <f>'Reported burning'!E3329</f>
        <v>Cropping, Monoculture, Market-oriented</v>
      </c>
      <c r="F3329" s="151" t="str">
        <f>'Reported burning'!F3329</f>
        <v>Cropland</v>
      </c>
      <c r="G3329" s="151" t="str">
        <f>'Reported burning'!G3329</f>
        <v>Cropland</v>
      </c>
      <c r="H3329" s="151" t="str">
        <f>'Reported burning'!H3329</f>
        <v>Presence</v>
      </c>
      <c r="I3329" s="5"/>
      <c r="J3329" s="21" t="s">
        <v>2272</v>
      </c>
      <c r="K3329" s="21" t="s">
        <v>2272</v>
      </c>
      <c r="L3329" s="21" t="s">
        <v>2272</v>
      </c>
      <c r="M3329" s="21" t="s">
        <v>2272</v>
      </c>
      <c r="N3329" s="21" t="s">
        <v>2272</v>
      </c>
      <c r="O3329" s="21" t="s">
        <v>2272</v>
      </c>
      <c r="P3329" s="21" t="s">
        <v>2272</v>
      </c>
      <c r="Q3329" s="21" t="s">
        <v>2272</v>
      </c>
      <c r="R3329" s="21" t="s">
        <v>2272</v>
      </c>
      <c r="S3329" s="21" t="s">
        <v>2272</v>
      </c>
      <c r="T3329" s="21" t="s">
        <v>2272</v>
      </c>
      <c r="U3329" s="21" t="s">
        <v>2272</v>
      </c>
      <c r="V3329" s="21" t="s">
        <v>2272</v>
      </c>
      <c r="W3329" s="21" t="s">
        <v>2272</v>
      </c>
      <c r="X3329" s="21" t="s">
        <v>2370</v>
      </c>
      <c r="Y3329" s="198" t="s">
        <v>423</v>
      </c>
      <c r="Z3329" s="198" t="s">
        <v>67</v>
      </c>
      <c r="AA3329" s="21" t="s">
        <v>2272</v>
      </c>
      <c r="AB3329" s="198"/>
      <c r="AC3329" s="198"/>
    </row>
    <row r="3330" spans="1:29" ht="42" customHeight="1">
      <c r="A3330" s="151" t="str">
        <f>'Reported burning'!A3330</f>
        <v>365a</v>
      </c>
      <c r="B3330" s="151" t="str">
        <f>'Reported burning'!B3330</f>
        <v>365a.1</v>
      </c>
      <c r="C3330" s="151" t="str">
        <f>'Reported burning'!C3330</f>
        <v>Human, deliberate</v>
      </c>
      <c r="D3330" s="151" t="str">
        <f>'Reported burning'!D3330</f>
        <v>Crop residue burning</v>
      </c>
      <c r="E3330" s="151" t="str">
        <f>'Reported burning'!E3330</f>
        <v>ND</v>
      </c>
      <c r="F3330" s="151" t="str">
        <f>'Reported burning'!F3330</f>
        <v>Cropland</v>
      </c>
      <c r="G3330" s="151" t="str">
        <f>'Reported burning'!G3330</f>
        <v>ND</v>
      </c>
      <c r="H3330" s="151" t="str">
        <f>'Reported burning'!H3330</f>
        <v>Presence</v>
      </c>
      <c r="I3330" s="5"/>
      <c r="J3330" s="21" t="s">
        <v>2272</v>
      </c>
      <c r="K3330" s="21" t="s">
        <v>2272</v>
      </c>
      <c r="L3330" s="21" t="s">
        <v>2272</v>
      </c>
      <c r="M3330" s="21" t="s">
        <v>2272</v>
      </c>
      <c r="N3330" s="21" t="s">
        <v>2272</v>
      </c>
      <c r="O3330" s="21" t="s">
        <v>2272</v>
      </c>
      <c r="P3330" s="21" t="s">
        <v>2272</v>
      </c>
      <c r="Q3330" s="21" t="s">
        <v>2272</v>
      </c>
      <c r="R3330" s="21" t="s">
        <v>2272</v>
      </c>
      <c r="S3330" s="21" t="s">
        <v>2272</v>
      </c>
      <c r="T3330" s="21" t="s">
        <v>2272</v>
      </c>
      <c r="U3330" s="21" t="s">
        <v>2272</v>
      </c>
      <c r="V3330" s="21" t="s">
        <v>2272</v>
      </c>
      <c r="W3330" s="21" t="s">
        <v>2272</v>
      </c>
      <c r="X3330" s="21" t="s">
        <v>2272</v>
      </c>
      <c r="Y3330" s="198" t="s">
        <v>187</v>
      </c>
      <c r="Z3330" s="198" t="s">
        <v>37</v>
      </c>
      <c r="AA3330" s="198" t="s">
        <v>2650</v>
      </c>
      <c r="AB3330" s="198"/>
      <c r="AC3330" s="198"/>
    </row>
    <row r="3331" spans="1:29" ht="28" customHeight="1">
      <c r="A3331" s="151" t="str">
        <f>'Reported burning'!A3331</f>
        <v>365b</v>
      </c>
      <c r="B3331" s="151" t="str">
        <f>'Reported burning'!B3331</f>
        <v>365b.1</v>
      </c>
      <c r="C3331" s="151" t="str">
        <f>'Reported burning'!C3331</f>
        <v>Human, deliberate</v>
      </c>
      <c r="D3331" s="151" t="str">
        <f>'Reported burning'!D3331</f>
        <v>Crop residue burning</v>
      </c>
      <c r="E3331" s="151" t="str">
        <f>'Reported burning'!E3331</f>
        <v>ND</v>
      </c>
      <c r="F3331" s="151" t="str">
        <f>'Reported burning'!F3331</f>
        <v>Cropland</v>
      </c>
      <c r="G3331" s="151" t="str">
        <f>'Reported burning'!G3331</f>
        <v>ND</v>
      </c>
      <c r="H3331" s="151" t="str">
        <f>'Reported burning'!H3331</f>
        <v>Presence</v>
      </c>
      <c r="I3331" s="5"/>
      <c r="J3331" s="21" t="s">
        <v>2272</v>
      </c>
      <c r="K3331" s="21" t="s">
        <v>2272</v>
      </c>
      <c r="L3331" s="21" t="s">
        <v>2272</v>
      </c>
      <c r="M3331" s="21" t="s">
        <v>2272</v>
      </c>
      <c r="N3331" s="21" t="s">
        <v>2272</v>
      </c>
      <c r="O3331" s="21" t="s">
        <v>2272</v>
      </c>
      <c r="P3331" s="21" t="s">
        <v>2272</v>
      </c>
      <c r="Q3331" s="21" t="s">
        <v>2272</v>
      </c>
      <c r="R3331" s="21" t="s">
        <v>2272</v>
      </c>
      <c r="S3331" s="21" t="s">
        <v>2272</v>
      </c>
      <c r="T3331" s="21" t="s">
        <v>2272</v>
      </c>
      <c r="U3331" s="21" t="s">
        <v>2272</v>
      </c>
      <c r="V3331" s="21" t="s">
        <v>2272</v>
      </c>
      <c r="W3331" s="21" t="s">
        <v>2272</v>
      </c>
      <c r="X3331" s="21" t="s">
        <v>2272</v>
      </c>
      <c r="Y3331" s="198" t="s">
        <v>187</v>
      </c>
      <c r="Z3331" s="198" t="s">
        <v>37</v>
      </c>
      <c r="AA3331" s="198" t="s">
        <v>2650</v>
      </c>
      <c r="AB3331" s="198"/>
      <c r="AC3331" s="198"/>
    </row>
    <row r="3332" spans="1:29" ht="28" customHeight="1">
      <c r="A3332" s="151" t="str">
        <f>'Reported burning'!A3332</f>
        <v>365d</v>
      </c>
      <c r="B3332" s="151" t="str">
        <f>'Reported burning'!B3332</f>
        <v>365d.1</v>
      </c>
      <c r="C3332" s="151" t="str">
        <f>'Reported burning'!C3332</f>
        <v>Human, deliberate</v>
      </c>
      <c r="D3332" s="151" t="str">
        <f>'Reported burning'!D3332</f>
        <v>Crop residue burning</v>
      </c>
      <c r="E3332" s="151" t="str">
        <f>'Reported burning'!E3332</f>
        <v>ND</v>
      </c>
      <c r="F3332" s="151" t="str">
        <f>'Reported burning'!F3332</f>
        <v>Cropland</v>
      </c>
      <c r="G3332" s="151" t="str">
        <f>'Reported burning'!G3332</f>
        <v>ND</v>
      </c>
      <c r="H3332" s="151" t="str">
        <f>'Reported burning'!H3332</f>
        <v>Presence</v>
      </c>
      <c r="I3332" s="5"/>
      <c r="J3332" s="21" t="s">
        <v>2272</v>
      </c>
      <c r="K3332" s="21" t="s">
        <v>2272</v>
      </c>
      <c r="L3332" s="21" t="s">
        <v>2272</v>
      </c>
      <c r="M3332" s="21" t="s">
        <v>2272</v>
      </c>
      <c r="N3332" s="21" t="s">
        <v>2272</v>
      </c>
      <c r="O3332" s="21" t="s">
        <v>2272</v>
      </c>
      <c r="P3332" s="21" t="s">
        <v>2272</v>
      </c>
      <c r="Q3332" s="21" t="s">
        <v>2272</v>
      </c>
      <c r="R3332" s="21" t="s">
        <v>2272</v>
      </c>
      <c r="S3332" s="21" t="s">
        <v>2272</v>
      </c>
      <c r="T3332" s="21" t="s">
        <v>2272</v>
      </c>
      <c r="U3332" s="21" t="s">
        <v>2272</v>
      </c>
      <c r="V3332" s="21" t="s">
        <v>2272</v>
      </c>
      <c r="W3332" s="21" t="s">
        <v>2272</v>
      </c>
      <c r="X3332" s="21" t="s">
        <v>2272</v>
      </c>
      <c r="Y3332" s="198" t="s">
        <v>187</v>
      </c>
      <c r="Z3332" s="198" t="s">
        <v>37</v>
      </c>
      <c r="AA3332" s="198" t="s">
        <v>2650</v>
      </c>
      <c r="AB3332" s="198"/>
      <c r="AC3332" s="198"/>
    </row>
    <row r="3333" spans="1:29" ht="28" customHeight="1">
      <c r="A3333" s="151" t="str">
        <f>'Reported burning'!A3333</f>
        <v>365e</v>
      </c>
      <c r="B3333" s="151" t="str">
        <f>'Reported burning'!B3333</f>
        <v>365e.1</v>
      </c>
      <c r="C3333" s="151" t="str">
        <f>'Reported burning'!C3333</f>
        <v>Human, deliberate</v>
      </c>
      <c r="D3333" s="151" t="str">
        <f>'Reported burning'!D3333</f>
        <v>Crop residue burning</v>
      </c>
      <c r="E3333" s="151" t="str">
        <f>'Reported burning'!E3333</f>
        <v>ND</v>
      </c>
      <c r="F3333" s="151" t="str">
        <f>'Reported burning'!F3333</f>
        <v>Cropland</v>
      </c>
      <c r="G3333" s="151" t="str">
        <f>'Reported burning'!G3333</f>
        <v>ND</v>
      </c>
      <c r="H3333" s="151" t="str">
        <f>'Reported burning'!H3333</f>
        <v>Presence</v>
      </c>
      <c r="I3333" s="5"/>
      <c r="J3333" s="21" t="s">
        <v>2272</v>
      </c>
      <c r="K3333" s="21" t="s">
        <v>2272</v>
      </c>
      <c r="L3333" s="21" t="s">
        <v>2272</v>
      </c>
      <c r="M3333" s="21" t="s">
        <v>2272</v>
      </c>
      <c r="N3333" s="21" t="s">
        <v>2272</v>
      </c>
      <c r="O3333" s="21" t="s">
        <v>2272</v>
      </c>
      <c r="P3333" s="21" t="s">
        <v>2272</v>
      </c>
      <c r="Q3333" s="21" t="s">
        <v>2272</v>
      </c>
      <c r="R3333" s="21" t="s">
        <v>2272</v>
      </c>
      <c r="S3333" s="21" t="s">
        <v>2272</v>
      </c>
      <c r="T3333" s="21" t="s">
        <v>2272</v>
      </c>
      <c r="U3333" s="21" t="s">
        <v>2272</v>
      </c>
      <c r="V3333" s="21" t="s">
        <v>2272</v>
      </c>
      <c r="W3333" s="21" t="s">
        <v>2272</v>
      </c>
      <c r="X3333" s="21" t="s">
        <v>2272</v>
      </c>
      <c r="Y3333" s="198" t="s">
        <v>187</v>
      </c>
      <c r="Z3333" s="198" t="s">
        <v>37</v>
      </c>
      <c r="AA3333" s="198" t="s">
        <v>2650</v>
      </c>
      <c r="AB3333" s="198"/>
      <c r="AC3333" s="198"/>
    </row>
    <row r="3334" spans="1:29" ht="28" customHeight="1">
      <c r="A3334" s="151" t="str">
        <f>'Reported burning'!A3334</f>
        <v>365f</v>
      </c>
      <c r="B3334" s="151" t="str">
        <f>'Reported burning'!B3334</f>
        <v>365f.1</v>
      </c>
      <c r="C3334" s="151" t="str">
        <f>'Reported burning'!C3334</f>
        <v>Human, deliberate</v>
      </c>
      <c r="D3334" s="151" t="str">
        <f>'Reported burning'!D3334</f>
        <v>Crop residue burning</v>
      </c>
      <c r="E3334" s="151" t="str">
        <f>'Reported burning'!E3334</f>
        <v>ND</v>
      </c>
      <c r="F3334" s="151" t="str">
        <f>'Reported burning'!F3334</f>
        <v>Cropland</v>
      </c>
      <c r="G3334" s="151" t="str">
        <f>'Reported burning'!G3334</f>
        <v>ND</v>
      </c>
      <c r="H3334" s="151" t="str">
        <f>'Reported burning'!H3334</f>
        <v>Presence</v>
      </c>
      <c r="I3334" s="5"/>
      <c r="J3334" s="21" t="s">
        <v>2272</v>
      </c>
      <c r="K3334" s="21" t="s">
        <v>2272</v>
      </c>
      <c r="L3334" s="21" t="s">
        <v>2272</v>
      </c>
      <c r="M3334" s="21" t="s">
        <v>2272</v>
      </c>
      <c r="N3334" s="21" t="s">
        <v>2272</v>
      </c>
      <c r="O3334" s="21" t="s">
        <v>2272</v>
      </c>
      <c r="P3334" s="21" t="s">
        <v>2272</v>
      </c>
      <c r="Q3334" s="21" t="s">
        <v>2272</v>
      </c>
      <c r="R3334" s="21" t="s">
        <v>2272</v>
      </c>
      <c r="S3334" s="21" t="s">
        <v>2272</v>
      </c>
      <c r="T3334" s="21" t="s">
        <v>2272</v>
      </c>
      <c r="U3334" s="21" t="s">
        <v>2272</v>
      </c>
      <c r="V3334" s="21" t="s">
        <v>2272</v>
      </c>
      <c r="W3334" s="21" t="s">
        <v>2272</v>
      </c>
      <c r="X3334" s="21" t="s">
        <v>2272</v>
      </c>
      <c r="Y3334" s="198" t="s">
        <v>187</v>
      </c>
      <c r="Z3334" s="198" t="s">
        <v>37</v>
      </c>
      <c r="AA3334" s="198" t="s">
        <v>2650</v>
      </c>
      <c r="AB3334" s="198"/>
      <c r="AC3334" s="198"/>
    </row>
    <row r="3335" spans="1:29" ht="28" customHeight="1">
      <c r="A3335" s="151" t="str">
        <f>'Reported burning'!A3335</f>
        <v>365a</v>
      </c>
      <c r="B3335" s="151" t="str">
        <f>'Reported burning'!B3335</f>
        <v>365a.2</v>
      </c>
      <c r="C3335" s="151" t="str">
        <f>'Reported burning'!C3335</f>
        <v>Human, escaped</v>
      </c>
      <c r="D3335" s="151" t="str">
        <f>'Reported burning'!D3335</f>
        <v>Crop residue burning</v>
      </c>
      <c r="E3335" s="151" t="str">
        <f>'Reported burning'!E3335</f>
        <v>ND</v>
      </c>
      <c r="F3335" s="151" t="str">
        <f>'Reported burning'!F3335</f>
        <v>Cropland</v>
      </c>
      <c r="G3335" s="151" t="str">
        <f>'Reported burning'!G3335</f>
        <v>ND</v>
      </c>
      <c r="H3335" s="151" t="str">
        <f>'Reported burning'!H3335</f>
        <v>Presence</v>
      </c>
      <c r="I3335" s="5"/>
      <c r="J3335" s="21" t="s">
        <v>2272</v>
      </c>
      <c r="K3335" s="21" t="s">
        <v>2272</v>
      </c>
      <c r="L3335" s="21" t="s">
        <v>2272</v>
      </c>
      <c r="M3335" s="21" t="s">
        <v>2272</v>
      </c>
      <c r="N3335" s="21" t="s">
        <v>2272</v>
      </c>
      <c r="O3335" s="21" t="s">
        <v>2272</v>
      </c>
      <c r="P3335" s="21" t="s">
        <v>2272</v>
      </c>
      <c r="Q3335" s="21" t="s">
        <v>2272</v>
      </c>
      <c r="R3335" s="21" t="s">
        <v>2272</v>
      </c>
      <c r="S3335" s="21" t="s">
        <v>2374</v>
      </c>
      <c r="T3335" s="21" t="s">
        <v>2272</v>
      </c>
      <c r="U3335" s="21" t="s">
        <v>2272</v>
      </c>
      <c r="V3335" s="21" t="s">
        <v>2272</v>
      </c>
      <c r="W3335" s="21" t="s">
        <v>2272</v>
      </c>
      <c r="X3335" s="21" t="s">
        <v>2272</v>
      </c>
      <c r="Y3335" s="4" t="s">
        <v>37</v>
      </c>
      <c r="Z3335" s="4" t="s">
        <v>84</v>
      </c>
      <c r="AA3335" s="4" t="s">
        <v>75</v>
      </c>
      <c r="AB3335" s="4" t="s">
        <v>8813</v>
      </c>
      <c r="AC3335" s="19" t="s">
        <v>8814</v>
      </c>
    </row>
    <row r="3336" spans="1:29" ht="45.5" customHeight="1">
      <c r="A3336" s="151" t="str">
        <f>'Reported burning'!A3336</f>
        <v>365b</v>
      </c>
      <c r="B3336" s="151" t="str">
        <f>'Reported burning'!B3336</f>
        <v>365b.2</v>
      </c>
      <c r="C3336" s="151" t="str">
        <f>'Reported burning'!C3336</f>
        <v>Human, escaped</v>
      </c>
      <c r="D3336" s="151" t="str">
        <f>'Reported burning'!D3336</f>
        <v>Crop residue burning</v>
      </c>
      <c r="E3336" s="151" t="str">
        <f>'Reported burning'!E3336</f>
        <v>ND</v>
      </c>
      <c r="F3336" s="151" t="str">
        <f>'Reported burning'!F3336</f>
        <v>Cropland</v>
      </c>
      <c r="G3336" s="151" t="str">
        <f>'Reported burning'!G3336</f>
        <v>ND</v>
      </c>
      <c r="H3336" s="151" t="str">
        <f>'Reported burning'!H3336</f>
        <v>Presence</v>
      </c>
      <c r="I3336" s="5"/>
      <c r="J3336" s="21" t="s">
        <v>2272</v>
      </c>
      <c r="K3336" s="21" t="s">
        <v>2272</v>
      </c>
      <c r="L3336" s="21" t="s">
        <v>2272</v>
      </c>
      <c r="M3336" s="21" t="s">
        <v>2272</v>
      </c>
      <c r="N3336" s="21" t="s">
        <v>2272</v>
      </c>
      <c r="O3336" s="21" t="s">
        <v>2272</v>
      </c>
      <c r="P3336" s="21" t="s">
        <v>2272</v>
      </c>
      <c r="Q3336" s="21" t="s">
        <v>2272</v>
      </c>
      <c r="R3336" s="21" t="s">
        <v>2272</v>
      </c>
      <c r="S3336" s="21" t="s">
        <v>2374</v>
      </c>
      <c r="T3336" s="21" t="s">
        <v>2272</v>
      </c>
      <c r="U3336" s="21" t="s">
        <v>2272</v>
      </c>
      <c r="V3336" s="21" t="s">
        <v>2272</v>
      </c>
      <c r="W3336" s="21" t="s">
        <v>2272</v>
      </c>
      <c r="X3336" s="21" t="s">
        <v>2272</v>
      </c>
      <c r="Y3336" s="4" t="s">
        <v>37</v>
      </c>
      <c r="Z3336" s="4" t="s">
        <v>84</v>
      </c>
      <c r="AA3336" s="4" t="s">
        <v>75</v>
      </c>
      <c r="AB3336" s="4" t="s">
        <v>8813</v>
      </c>
      <c r="AC3336" s="19" t="s">
        <v>8814</v>
      </c>
    </row>
    <row r="3337" spans="1:29" ht="45.5" customHeight="1">
      <c r="A3337" s="151" t="str">
        <f>'Reported burning'!A3337</f>
        <v>365c</v>
      </c>
      <c r="B3337" s="151" t="str">
        <f>'Reported burning'!B3337</f>
        <v>365c.2</v>
      </c>
      <c r="C3337" s="151" t="str">
        <f>'Reported burning'!C3337</f>
        <v>Human, escaped</v>
      </c>
      <c r="D3337" s="151" t="str">
        <f>'Reported burning'!D3337</f>
        <v>Crop residue burning</v>
      </c>
      <c r="E3337" s="151" t="str">
        <f>'Reported burning'!E3337</f>
        <v>ND</v>
      </c>
      <c r="F3337" s="151" t="str">
        <f>'Reported burning'!F3337</f>
        <v>Cropland</v>
      </c>
      <c r="G3337" s="151" t="str">
        <f>'Reported burning'!G3337</f>
        <v>Forest</v>
      </c>
      <c r="H3337" s="151" t="str">
        <f>'Reported burning'!H3337</f>
        <v>Presence</v>
      </c>
      <c r="I3337" s="5"/>
      <c r="J3337" s="21" t="s">
        <v>2272</v>
      </c>
      <c r="K3337" s="21" t="s">
        <v>2272</v>
      </c>
      <c r="L3337" s="21" t="s">
        <v>2272</v>
      </c>
      <c r="M3337" s="21" t="s">
        <v>2272</v>
      </c>
      <c r="N3337" s="21" t="s">
        <v>2272</v>
      </c>
      <c r="O3337" s="21" t="s">
        <v>2272</v>
      </c>
      <c r="P3337" s="21" t="s">
        <v>2272</v>
      </c>
      <c r="Q3337" s="21" t="s">
        <v>2272</v>
      </c>
      <c r="R3337" s="21" t="s">
        <v>2272</v>
      </c>
      <c r="S3337" s="21" t="s">
        <v>2374</v>
      </c>
      <c r="T3337" s="21" t="s">
        <v>2272</v>
      </c>
      <c r="U3337" s="21" t="s">
        <v>2272</v>
      </c>
      <c r="V3337" s="21" t="s">
        <v>2272</v>
      </c>
      <c r="W3337" s="21" t="s">
        <v>2272</v>
      </c>
      <c r="X3337" s="21" t="s">
        <v>2272</v>
      </c>
      <c r="Y3337" s="4" t="s">
        <v>37</v>
      </c>
      <c r="Z3337" s="4" t="s">
        <v>84</v>
      </c>
      <c r="AA3337" s="4" t="s">
        <v>75</v>
      </c>
      <c r="AB3337" s="4" t="s">
        <v>8813</v>
      </c>
      <c r="AC3337" s="19" t="s">
        <v>8814</v>
      </c>
    </row>
    <row r="3338" spans="1:29" ht="45.5" customHeight="1">
      <c r="A3338" s="151" t="str">
        <f>'Reported burning'!A3338</f>
        <v>365d</v>
      </c>
      <c r="B3338" s="151" t="str">
        <f>'Reported burning'!B3338</f>
        <v>365d.2</v>
      </c>
      <c r="C3338" s="151" t="str">
        <f>'Reported burning'!C3338</f>
        <v>Human, escaped</v>
      </c>
      <c r="D3338" s="151" t="str">
        <f>'Reported burning'!D3338</f>
        <v>Crop residue burning</v>
      </c>
      <c r="E3338" s="151" t="str">
        <f>'Reported burning'!E3338</f>
        <v>ND</v>
      </c>
      <c r="F3338" s="151" t="str">
        <f>'Reported burning'!F3338</f>
        <v>Cropland</v>
      </c>
      <c r="G3338" s="151" t="str">
        <f>'Reported burning'!G3338</f>
        <v>ND</v>
      </c>
      <c r="H3338" s="151" t="str">
        <f>'Reported burning'!H3338</f>
        <v>Presence</v>
      </c>
      <c r="I3338" s="5"/>
      <c r="J3338" s="21" t="s">
        <v>2272</v>
      </c>
      <c r="K3338" s="21" t="s">
        <v>2272</v>
      </c>
      <c r="L3338" s="21" t="s">
        <v>2272</v>
      </c>
      <c r="M3338" s="21" t="s">
        <v>2272</v>
      </c>
      <c r="N3338" s="21" t="s">
        <v>2272</v>
      </c>
      <c r="O3338" s="21" t="s">
        <v>2272</v>
      </c>
      <c r="P3338" s="21" t="s">
        <v>2272</v>
      </c>
      <c r="Q3338" s="21" t="s">
        <v>2272</v>
      </c>
      <c r="R3338" s="21" t="s">
        <v>2272</v>
      </c>
      <c r="S3338" s="21" t="s">
        <v>2374</v>
      </c>
      <c r="T3338" s="21" t="s">
        <v>2272</v>
      </c>
      <c r="U3338" s="21" t="s">
        <v>2272</v>
      </c>
      <c r="V3338" s="21" t="s">
        <v>2272</v>
      </c>
      <c r="W3338" s="21" t="s">
        <v>2272</v>
      </c>
      <c r="X3338" s="21" t="s">
        <v>2272</v>
      </c>
      <c r="Y3338" s="4" t="s">
        <v>37</v>
      </c>
      <c r="Z3338" s="4" t="s">
        <v>84</v>
      </c>
      <c r="AA3338" s="4" t="s">
        <v>75</v>
      </c>
      <c r="AB3338" s="4" t="s">
        <v>8813</v>
      </c>
      <c r="AC3338" s="19" t="s">
        <v>8814</v>
      </c>
    </row>
    <row r="3339" spans="1:29" ht="45.5" customHeight="1">
      <c r="A3339" s="151" t="str">
        <f>'Reported burning'!A3339</f>
        <v>365e</v>
      </c>
      <c r="B3339" s="151" t="str">
        <f>'Reported burning'!B3339</f>
        <v>365e.2</v>
      </c>
      <c r="C3339" s="151" t="str">
        <f>'Reported burning'!C3339</f>
        <v>Human, escaped</v>
      </c>
      <c r="D3339" s="151" t="str">
        <f>'Reported burning'!D3339</f>
        <v>Crop residue burning</v>
      </c>
      <c r="E3339" s="151" t="str">
        <f>'Reported burning'!E3339</f>
        <v>ND</v>
      </c>
      <c r="F3339" s="151" t="str">
        <f>'Reported burning'!F3339</f>
        <v>Cropland</v>
      </c>
      <c r="G3339" s="151" t="str">
        <f>'Reported burning'!G3339</f>
        <v>ND</v>
      </c>
      <c r="H3339" s="151" t="str">
        <f>'Reported burning'!H3339</f>
        <v>Presence</v>
      </c>
      <c r="I3339" s="5"/>
      <c r="J3339" s="21" t="s">
        <v>2272</v>
      </c>
      <c r="K3339" s="21" t="s">
        <v>2272</v>
      </c>
      <c r="L3339" s="21" t="s">
        <v>2272</v>
      </c>
      <c r="M3339" s="21" t="s">
        <v>2272</v>
      </c>
      <c r="N3339" s="21" t="s">
        <v>2272</v>
      </c>
      <c r="O3339" s="21" t="s">
        <v>2272</v>
      </c>
      <c r="P3339" s="21" t="s">
        <v>2272</v>
      </c>
      <c r="Q3339" s="21" t="s">
        <v>2272</v>
      </c>
      <c r="R3339" s="21" t="s">
        <v>2272</v>
      </c>
      <c r="S3339" s="21" t="s">
        <v>2374</v>
      </c>
      <c r="T3339" s="21" t="s">
        <v>2272</v>
      </c>
      <c r="U3339" s="21" t="s">
        <v>2272</v>
      </c>
      <c r="V3339" s="21" t="s">
        <v>2272</v>
      </c>
      <c r="W3339" s="21" t="s">
        <v>2272</v>
      </c>
      <c r="X3339" s="21" t="s">
        <v>2272</v>
      </c>
      <c r="Y3339" s="4" t="s">
        <v>37</v>
      </c>
      <c r="Z3339" s="4" t="s">
        <v>84</v>
      </c>
      <c r="AA3339" s="4" t="s">
        <v>75</v>
      </c>
      <c r="AB3339" s="4" t="s">
        <v>8813</v>
      </c>
      <c r="AC3339" s="19" t="s">
        <v>8814</v>
      </c>
    </row>
    <row r="3340" spans="1:29" ht="45.5" customHeight="1">
      <c r="A3340" s="151" t="str">
        <f>'Reported burning'!A3340</f>
        <v>365f</v>
      </c>
      <c r="B3340" s="151" t="str">
        <f>'Reported burning'!B3340</f>
        <v>365f.2</v>
      </c>
      <c r="C3340" s="151" t="str">
        <f>'Reported burning'!C3340</f>
        <v>Human, escaped</v>
      </c>
      <c r="D3340" s="151" t="str">
        <f>'Reported burning'!D3340</f>
        <v>Crop residue burning</v>
      </c>
      <c r="E3340" s="151" t="str">
        <f>'Reported burning'!E3340</f>
        <v>ND</v>
      </c>
      <c r="F3340" s="151" t="str">
        <f>'Reported burning'!F3340</f>
        <v>Cropland</v>
      </c>
      <c r="G3340" s="151" t="str">
        <f>'Reported burning'!G3340</f>
        <v>ND</v>
      </c>
      <c r="H3340" s="151" t="str">
        <f>'Reported burning'!H3340</f>
        <v>Presence</v>
      </c>
      <c r="I3340" s="5"/>
      <c r="J3340" s="21" t="s">
        <v>2272</v>
      </c>
      <c r="K3340" s="21" t="s">
        <v>2272</v>
      </c>
      <c r="L3340" s="21" t="s">
        <v>2272</v>
      </c>
      <c r="M3340" s="21" t="s">
        <v>2272</v>
      </c>
      <c r="N3340" s="21" t="s">
        <v>2272</v>
      </c>
      <c r="O3340" s="21" t="s">
        <v>2272</v>
      </c>
      <c r="P3340" s="21" t="s">
        <v>2272</v>
      </c>
      <c r="Q3340" s="21" t="s">
        <v>2272</v>
      </c>
      <c r="R3340" s="21" t="s">
        <v>2272</v>
      </c>
      <c r="S3340" s="21" t="s">
        <v>2374</v>
      </c>
      <c r="T3340" s="21" t="s">
        <v>2272</v>
      </c>
      <c r="U3340" s="21" t="s">
        <v>2272</v>
      </c>
      <c r="V3340" s="21" t="s">
        <v>2272</v>
      </c>
      <c r="W3340" s="21" t="s">
        <v>2272</v>
      </c>
      <c r="X3340" s="21" t="s">
        <v>2272</v>
      </c>
      <c r="Y3340" s="4" t="s">
        <v>37</v>
      </c>
      <c r="Z3340" s="4" t="s">
        <v>84</v>
      </c>
      <c r="AA3340" s="4" t="s">
        <v>75</v>
      </c>
      <c r="AB3340" s="4" t="s">
        <v>8813</v>
      </c>
      <c r="AC3340" s="19" t="s">
        <v>8814</v>
      </c>
    </row>
    <row r="3341" spans="1:29" ht="45.5" customHeight="1">
      <c r="A3341" s="151" t="str">
        <f>'Reported burning'!A3341</f>
        <v>366a</v>
      </c>
      <c r="B3341" s="151" t="str">
        <f>'Reported burning'!B3341</f>
        <v>366a.1</v>
      </c>
      <c r="C3341" s="151" t="str">
        <f>'Reported burning'!C3341</f>
        <v>Human, deliberate</v>
      </c>
      <c r="D3341" s="151" t="str">
        <f>'Reported burning'!D3341</f>
        <v>Crop residue burning</v>
      </c>
      <c r="E3341" s="151" t="str">
        <f>'Reported burning'!E3341</f>
        <v>Cropping, Monoculture, Subsistence-oriented</v>
      </c>
      <c r="F3341" s="151" t="str">
        <f>'Reported burning'!F3341</f>
        <v>Cropland</v>
      </c>
      <c r="G3341" s="151" t="str">
        <f>'Reported burning'!G3341</f>
        <v>ND</v>
      </c>
      <c r="H3341" s="151" t="str">
        <f>'Reported burning'!H3341</f>
        <v>Absence</v>
      </c>
      <c r="I3341" s="5"/>
      <c r="J3341" s="21">
        <v>0</v>
      </c>
      <c r="K3341" s="21">
        <v>0</v>
      </c>
      <c r="L3341" s="21">
        <v>0</v>
      </c>
      <c r="M3341" s="21">
        <v>0</v>
      </c>
      <c r="N3341" s="21">
        <v>0</v>
      </c>
      <c r="O3341" s="21">
        <v>0</v>
      </c>
      <c r="P3341" s="21">
        <v>0</v>
      </c>
      <c r="Q3341" s="21">
        <v>0</v>
      </c>
      <c r="R3341" s="21">
        <v>0</v>
      </c>
      <c r="S3341" s="21">
        <v>0</v>
      </c>
      <c r="T3341" s="21">
        <v>0</v>
      </c>
      <c r="U3341" s="21">
        <v>0</v>
      </c>
      <c r="V3341" s="21">
        <v>0</v>
      </c>
      <c r="W3341" s="21">
        <v>0</v>
      </c>
      <c r="X3341" s="21" t="s">
        <v>2272</v>
      </c>
      <c r="Y3341" s="198" t="s">
        <v>397</v>
      </c>
      <c r="Z3341" s="198" t="s">
        <v>403</v>
      </c>
      <c r="AA3341" s="198" t="s">
        <v>2272</v>
      </c>
      <c r="AB3341" s="4" t="s">
        <v>8821</v>
      </c>
      <c r="AC3341" s="198"/>
    </row>
    <row r="3342" spans="1:29" ht="41" customHeight="1">
      <c r="A3342" s="151" t="str">
        <f>'Reported burning'!A3342</f>
        <v>366a</v>
      </c>
      <c r="B3342" s="151" t="str">
        <f>'Reported burning'!B3342</f>
        <v>366a.2</v>
      </c>
      <c r="C3342" s="151" t="str">
        <f>'Reported burning'!C3342</f>
        <v>Human, deliberate</v>
      </c>
      <c r="D3342" s="151" t="str">
        <f>'Reported burning'!D3342</f>
        <v>Crop residue burning</v>
      </c>
      <c r="E3342" s="151" t="str">
        <f>'Reported burning'!E3342</f>
        <v>Mixed cropping-livestock small holder, Subsistence-oriented</v>
      </c>
      <c r="F3342" s="151" t="str">
        <f>'Reported burning'!F3342</f>
        <v>Cropland</v>
      </c>
      <c r="G3342" s="151" t="str">
        <f>'Reported burning'!G3342</f>
        <v>ND</v>
      </c>
      <c r="H3342" s="151" t="str">
        <f>'Reported burning'!H3342</f>
        <v>Absence</v>
      </c>
      <c r="I3342" s="5"/>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t="s">
        <v>2272</v>
      </c>
      <c r="Y3342" s="198" t="s">
        <v>397</v>
      </c>
      <c r="Z3342" s="198" t="s">
        <v>403</v>
      </c>
      <c r="AA3342" s="198" t="s">
        <v>2272</v>
      </c>
      <c r="AB3342" s="4" t="s">
        <v>8821</v>
      </c>
      <c r="AC3342" s="198"/>
    </row>
    <row r="3343" spans="1:29" ht="53" customHeight="1">
      <c r="A3343" s="151" t="str">
        <f>'Reported burning'!A3343</f>
        <v>366a</v>
      </c>
      <c r="B3343" s="151" t="str">
        <f>'Reported burning'!B3343</f>
        <v>366a.3</v>
      </c>
      <c r="C3343" s="151" t="str">
        <f>'Reported burning'!C3343</f>
        <v>Human, deliberate</v>
      </c>
      <c r="D3343" s="151" t="str">
        <f>'Reported burning'!D3343</f>
        <v>Crop residue burning</v>
      </c>
      <c r="E3343" s="151" t="str">
        <f>'Reported burning'!E3343</f>
        <v>Cropping, Monoculture, Subsistence-oriented</v>
      </c>
      <c r="F3343" s="151" t="str">
        <f>'Reported burning'!F3343</f>
        <v>Cropland</v>
      </c>
      <c r="G3343" s="151" t="str">
        <f>'Reported burning'!G3343</f>
        <v>ND</v>
      </c>
      <c r="H3343" s="151" t="str">
        <f>'Reported burning'!H3343</f>
        <v>Presence</v>
      </c>
      <c r="I3343" s="5"/>
      <c r="J3343" s="21" t="s">
        <v>2272</v>
      </c>
      <c r="K3343" s="21" t="s">
        <v>2272</v>
      </c>
      <c r="L3343" s="21" t="s">
        <v>2358</v>
      </c>
      <c r="M3343" s="21" t="s">
        <v>2272</v>
      </c>
      <c r="N3343" s="21" t="s">
        <v>2370</v>
      </c>
      <c r="O3343" s="21" t="s">
        <v>2272</v>
      </c>
      <c r="P3343" s="21" t="s">
        <v>2358</v>
      </c>
      <c r="Q3343" s="21" t="s">
        <v>2272</v>
      </c>
      <c r="R3343" s="21" t="s">
        <v>2358</v>
      </c>
      <c r="S3343" s="21" t="s">
        <v>2272</v>
      </c>
      <c r="T3343" s="21" t="s">
        <v>2272</v>
      </c>
      <c r="U3343" s="21" t="s">
        <v>2272</v>
      </c>
      <c r="V3343" s="14" t="s">
        <v>2371</v>
      </c>
      <c r="W3343" s="21" t="s">
        <v>2272</v>
      </c>
      <c r="X3343" s="14" t="s">
        <v>2370</v>
      </c>
      <c r="Y3343" s="198" t="s">
        <v>34</v>
      </c>
      <c r="Z3343" s="198" t="s">
        <v>125</v>
      </c>
      <c r="AA3343" s="198" t="s">
        <v>2272</v>
      </c>
      <c r="AB3343" s="4"/>
      <c r="AC3343" s="4" t="s">
        <v>8822</v>
      </c>
    </row>
    <row r="3344" spans="1:29" ht="49" customHeight="1">
      <c r="A3344" s="151" t="str">
        <f>'Reported burning'!A3344</f>
        <v>366a</v>
      </c>
      <c r="B3344" s="151" t="str">
        <f>'Reported burning'!B3344</f>
        <v>366a.4</v>
      </c>
      <c r="C3344" s="151" t="str">
        <f>'Reported burning'!C3344</f>
        <v>Human, deliberate</v>
      </c>
      <c r="D3344" s="151" t="str">
        <f>'Reported burning'!D3344</f>
        <v>Crop residue burning</v>
      </c>
      <c r="E3344" s="151" t="str">
        <f>'Reported burning'!E3344</f>
        <v>Mixed cropping-livestock small holder, Subsistence-oriented</v>
      </c>
      <c r="F3344" s="151" t="str">
        <f>'Reported burning'!F3344</f>
        <v>Cropland</v>
      </c>
      <c r="G3344" s="151" t="str">
        <f>'Reported burning'!G3344</f>
        <v>ND</v>
      </c>
      <c r="H3344" s="151" t="str">
        <f>'Reported burning'!H3344</f>
        <v>Absence</v>
      </c>
      <c r="I3344" s="5"/>
      <c r="J3344" s="21">
        <v>0</v>
      </c>
      <c r="K3344" s="21">
        <v>0</v>
      </c>
      <c r="L3344" s="21">
        <v>0</v>
      </c>
      <c r="M3344" s="21">
        <v>0</v>
      </c>
      <c r="N3344" s="21">
        <v>0</v>
      </c>
      <c r="O3344" s="21">
        <v>0</v>
      </c>
      <c r="P3344" s="21">
        <v>0</v>
      </c>
      <c r="Q3344" s="21">
        <v>0</v>
      </c>
      <c r="R3344" s="21">
        <v>0</v>
      </c>
      <c r="S3344" s="21">
        <v>0</v>
      </c>
      <c r="T3344" s="21">
        <v>0</v>
      </c>
      <c r="U3344" s="21">
        <v>0</v>
      </c>
      <c r="V3344" s="21">
        <v>0</v>
      </c>
      <c r="W3344" s="21">
        <v>0</v>
      </c>
      <c r="X3344" s="21" t="s">
        <v>2272</v>
      </c>
      <c r="Y3344" s="198" t="s">
        <v>34</v>
      </c>
      <c r="Z3344" s="198" t="s">
        <v>125</v>
      </c>
      <c r="AA3344" s="198" t="s">
        <v>2272</v>
      </c>
      <c r="AB3344" s="4"/>
      <c r="AC3344" s="4" t="s">
        <v>8822</v>
      </c>
    </row>
    <row r="3345" spans="1:29" ht="50" customHeight="1">
      <c r="A3345" s="151" t="str">
        <f>'Reported burning'!A3345</f>
        <v>367a</v>
      </c>
      <c r="B3345" s="151" t="str">
        <f>'Reported burning'!B3345</f>
        <v>367a.1</v>
      </c>
      <c r="C3345" s="151" t="str">
        <f>'Reported burning'!C3345</f>
        <v>Human, deliberate</v>
      </c>
      <c r="D3345" s="151" t="str">
        <f>'Reported burning'!D3345</f>
        <v>Crop residue burning</v>
      </c>
      <c r="E3345" s="151" t="str">
        <f>'Reported burning'!E3345</f>
        <v>Cropping, Monoculture, Market-oriented</v>
      </c>
      <c r="F3345" s="151" t="str">
        <f>'Reported burning'!F3345</f>
        <v>Cropland</v>
      </c>
      <c r="G3345" s="151" t="str">
        <f>'Reported burning'!G3345</f>
        <v>ND</v>
      </c>
      <c r="H3345" s="151" t="str">
        <f>'Reported burning'!H3345</f>
        <v>Presence</v>
      </c>
      <c r="I3345" s="5"/>
      <c r="J3345" s="21" t="s">
        <v>2272</v>
      </c>
      <c r="K3345" s="21" t="s">
        <v>2272</v>
      </c>
      <c r="L3345" s="21" t="s">
        <v>2272</v>
      </c>
      <c r="M3345" s="21" t="s">
        <v>2272</v>
      </c>
      <c r="N3345" s="21" t="s">
        <v>2272</v>
      </c>
      <c r="O3345" s="21" t="s">
        <v>2272</v>
      </c>
      <c r="P3345" s="21" t="s">
        <v>2272</v>
      </c>
      <c r="Q3345" s="21" t="s">
        <v>2272</v>
      </c>
      <c r="R3345" s="21" t="s">
        <v>2272</v>
      </c>
      <c r="S3345" s="21" t="s">
        <v>2272</v>
      </c>
      <c r="T3345" s="21" t="s">
        <v>2272</v>
      </c>
      <c r="U3345" s="21" t="s">
        <v>2272</v>
      </c>
      <c r="V3345" s="21" t="s">
        <v>2272</v>
      </c>
      <c r="W3345" s="21" t="s">
        <v>2272</v>
      </c>
      <c r="X3345" s="21" t="s">
        <v>2272</v>
      </c>
      <c r="Y3345" s="21" t="s">
        <v>2272</v>
      </c>
      <c r="Z3345" s="21" t="s">
        <v>2272</v>
      </c>
      <c r="AA3345" s="21" t="s">
        <v>2272</v>
      </c>
      <c r="AB3345" s="19" t="s">
        <v>8827</v>
      </c>
      <c r="AC3345" s="198"/>
    </row>
    <row r="3346" spans="1:29" ht="36" customHeight="1">
      <c r="A3346" s="151" t="str">
        <f>'Reported burning'!A3346</f>
        <v>368a</v>
      </c>
      <c r="B3346" s="151" t="str">
        <f>'Reported burning'!B3346</f>
        <v>368a.1</v>
      </c>
      <c r="C3346" s="151" t="str">
        <f>'Reported burning'!C3346</f>
        <v>Human, deliberate</v>
      </c>
      <c r="D3346" s="151" t="str">
        <f>'Reported burning'!D3346</f>
        <v>Crop field preparation</v>
      </c>
      <c r="E3346" s="151" t="str">
        <f>'Reported burning'!E3346</f>
        <v>Cropping, Swidden</v>
      </c>
      <c r="F3346" s="151" t="str">
        <f>'Reported burning'!F3346</f>
        <v>Forest</v>
      </c>
      <c r="G3346" s="151" t="str">
        <f>'Reported burning'!G3346</f>
        <v>ND</v>
      </c>
      <c r="H3346" s="151" t="str">
        <f>'Reported burning'!H3346</f>
        <v>Presence</v>
      </c>
      <c r="I3346" s="5"/>
      <c r="J3346" s="21" t="s">
        <v>2272</v>
      </c>
      <c r="K3346" s="21" t="s">
        <v>2272</v>
      </c>
      <c r="L3346" s="21" t="s">
        <v>2272</v>
      </c>
      <c r="M3346" s="21" t="s">
        <v>2272</v>
      </c>
      <c r="N3346" s="21" t="s">
        <v>2272</v>
      </c>
      <c r="O3346" s="21" t="s">
        <v>2272</v>
      </c>
      <c r="P3346" s="21" t="s">
        <v>2272</v>
      </c>
      <c r="Q3346" s="21" t="s">
        <v>2272</v>
      </c>
      <c r="R3346" s="21" t="s">
        <v>2272</v>
      </c>
      <c r="S3346" s="21" t="s">
        <v>2272</v>
      </c>
      <c r="T3346" s="21" t="s">
        <v>2272</v>
      </c>
      <c r="U3346" s="21" t="s">
        <v>2272</v>
      </c>
      <c r="V3346" s="21" t="s">
        <v>2272</v>
      </c>
      <c r="W3346" s="21" t="s">
        <v>2272</v>
      </c>
      <c r="X3346" s="21" t="s">
        <v>2272</v>
      </c>
      <c r="Y3346" s="21" t="s">
        <v>2272</v>
      </c>
      <c r="Z3346" s="21" t="s">
        <v>2272</v>
      </c>
      <c r="AA3346" s="21" t="s">
        <v>2272</v>
      </c>
      <c r="AB3346" s="198"/>
      <c r="AC3346" s="198"/>
    </row>
    <row r="3347" spans="1:29" ht="35.5" customHeight="1">
      <c r="A3347" s="151" t="str">
        <f>'Reported burning'!A3347</f>
        <v>368a</v>
      </c>
      <c r="B3347" s="151" t="str">
        <f>'Reported burning'!B3347</f>
        <v>368a.2</v>
      </c>
      <c r="C3347" s="151" t="str">
        <f>'Reported burning'!C3347</f>
        <v>Human, deliberate</v>
      </c>
      <c r="D3347" s="151" t="str">
        <f>'Reported burning'!D3347</f>
        <v>All</v>
      </c>
      <c r="E3347" s="151" t="str">
        <f>'Reported burning'!E3347</f>
        <v>Cropping, Intensive</v>
      </c>
      <c r="F3347" s="151" t="str">
        <f>'Reported burning'!F3347</f>
        <v>Cropland</v>
      </c>
      <c r="G3347" s="151" t="str">
        <f>'Reported burning'!G3347</f>
        <v>ND</v>
      </c>
      <c r="H3347" s="151" t="str">
        <f>'Reported burning'!H3347</f>
        <v>Absence</v>
      </c>
      <c r="I3347" s="5"/>
      <c r="J3347" s="21">
        <v>0</v>
      </c>
      <c r="K3347" s="21">
        <v>0</v>
      </c>
      <c r="L3347" s="21">
        <v>0</v>
      </c>
      <c r="M3347" s="21">
        <v>0</v>
      </c>
      <c r="N3347" s="21">
        <v>0</v>
      </c>
      <c r="O3347" s="21">
        <v>0</v>
      </c>
      <c r="P3347" s="21">
        <v>0</v>
      </c>
      <c r="Q3347" s="21">
        <v>0</v>
      </c>
      <c r="R3347" s="21">
        <v>0</v>
      </c>
      <c r="S3347" s="21">
        <v>0</v>
      </c>
      <c r="T3347" s="21">
        <v>0</v>
      </c>
      <c r="U3347" s="21">
        <v>0</v>
      </c>
      <c r="V3347" s="21">
        <v>0</v>
      </c>
      <c r="W3347" s="21">
        <v>0</v>
      </c>
      <c r="X3347" s="21" t="s">
        <v>2272</v>
      </c>
      <c r="Y3347" s="21" t="s">
        <v>2272</v>
      </c>
      <c r="Z3347" s="21" t="s">
        <v>2272</v>
      </c>
      <c r="AA3347" s="21" t="s">
        <v>2272</v>
      </c>
      <c r="AB3347" s="4" t="s">
        <v>8832</v>
      </c>
      <c r="AC3347" s="198"/>
    </row>
    <row r="3348" spans="1:29" ht="35.5" customHeight="1">
      <c r="A3348" s="151" t="str">
        <f>'Reported burning'!A3348</f>
        <v>368a</v>
      </c>
      <c r="B3348" s="151" t="str">
        <f>'Reported burning'!B3348</f>
        <v>368a.3</v>
      </c>
      <c r="C3348" s="151" t="str">
        <f>'Reported burning'!C3348</f>
        <v>Human, deliberate</v>
      </c>
      <c r="D3348" s="151" t="str">
        <f>'Reported burning'!D3348</f>
        <v>All</v>
      </c>
      <c r="E3348" s="151" t="str">
        <f>'Reported burning'!E3348</f>
        <v>Forestry, Industrial</v>
      </c>
      <c r="F3348" s="151" t="str">
        <f>'Reported burning'!F3348</f>
        <v>Plantation forest</v>
      </c>
      <c r="G3348" s="151" t="str">
        <f>'Reported burning'!G3348</f>
        <v>ND</v>
      </c>
      <c r="H3348" s="151" t="str">
        <f>'Reported burning'!H3348</f>
        <v>Absence</v>
      </c>
      <c r="I3348" s="5"/>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t="s">
        <v>2272</v>
      </c>
      <c r="Y3348" s="21" t="s">
        <v>2272</v>
      </c>
      <c r="Z3348" s="21" t="s">
        <v>2272</v>
      </c>
      <c r="AA3348" s="21" t="s">
        <v>2272</v>
      </c>
      <c r="AB3348" s="198"/>
      <c r="AC3348" s="198"/>
    </row>
    <row r="3349" spans="1:29" ht="35.5" customHeight="1">
      <c r="A3349" s="151" t="str">
        <f>'Reported burning'!A3349</f>
        <v>369a</v>
      </c>
      <c r="B3349" s="151" t="str">
        <f>'Reported burning'!B3349</f>
        <v>369a.1</v>
      </c>
      <c r="C3349" s="151" t="str">
        <f>'Reported burning'!C3349</f>
        <v>Human, deliberate</v>
      </c>
      <c r="D3349" s="151" t="str">
        <f>'Reported burning'!D3349</f>
        <v>Crop field preparation</v>
      </c>
      <c r="E3349" s="151" t="str">
        <f>'Reported burning'!E3349</f>
        <v>Cropping, Swidden</v>
      </c>
      <c r="F3349" s="151" t="str">
        <f>'Reported burning'!F3349</f>
        <v>Cropland</v>
      </c>
      <c r="G3349" s="151" t="str">
        <f>'Reported burning'!G3349</f>
        <v>ND</v>
      </c>
      <c r="H3349" s="151" t="str">
        <f>'Reported burning'!H3349</f>
        <v>Presence</v>
      </c>
      <c r="I3349" s="5"/>
      <c r="J3349" s="21" t="s">
        <v>2272</v>
      </c>
      <c r="K3349" s="21" t="s">
        <v>2272</v>
      </c>
      <c r="L3349" s="21" t="s">
        <v>2272</v>
      </c>
      <c r="M3349" s="21" t="s">
        <v>2272</v>
      </c>
      <c r="N3349" s="21" t="s">
        <v>2272</v>
      </c>
      <c r="O3349" s="21" t="s">
        <v>2272</v>
      </c>
      <c r="P3349" s="21" t="s">
        <v>2272</v>
      </c>
      <c r="Q3349" s="21" t="s">
        <v>2272</v>
      </c>
      <c r="R3349" s="21" t="s">
        <v>2272</v>
      </c>
      <c r="S3349" s="21" t="s">
        <v>2272</v>
      </c>
      <c r="T3349" s="21" t="s">
        <v>2371</v>
      </c>
      <c r="U3349" s="21">
        <v>0</v>
      </c>
      <c r="V3349" s="21">
        <v>0</v>
      </c>
      <c r="W3349" s="21">
        <v>0</v>
      </c>
      <c r="X3349" s="21" t="s">
        <v>2370</v>
      </c>
      <c r="Y3349" s="198"/>
      <c r="Z3349" s="198"/>
      <c r="AA3349" s="198"/>
      <c r="AB3349" s="198"/>
      <c r="AC3349" s="198"/>
    </row>
    <row r="3350" spans="1:29" ht="43.5" customHeight="1">
      <c r="A3350" s="151" t="str">
        <f>'Reported burning'!A3350</f>
        <v>369a</v>
      </c>
      <c r="B3350" s="151" t="str">
        <f>'Reported burning'!B3350</f>
        <v>369a.2</v>
      </c>
      <c r="C3350" s="151" t="str">
        <f>'Reported burning'!C3350</f>
        <v>Human, deliberate</v>
      </c>
      <c r="D3350" s="151" t="str">
        <f>'Reported burning'!D3350</f>
        <v>Crop field preparation</v>
      </c>
      <c r="E3350" s="151" t="str">
        <f>'Reported burning'!E3350</f>
        <v>Cropping, Monoculture, Subsistence-oriented</v>
      </c>
      <c r="F3350" s="151" t="str">
        <f>'Reported burning'!F3350</f>
        <v>Cropland</v>
      </c>
      <c r="G3350" s="151" t="str">
        <f>'Reported burning'!G3350</f>
        <v>ND</v>
      </c>
      <c r="H3350" s="151" t="str">
        <f>'Reported burning'!H3350</f>
        <v>Absence</v>
      </c>
      <c r="I3350" s="5"/>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t="s">
        <v>2272</v>
      </c>
      <c r="Y3350" s="21" t="s">
        <v>2272</v>
      </c>
      <c r="Z3350" s="21" t="s">
        <v>2272</v>
      </c>
      <c r="AA3350" s="21" t="s">
        <v>2272</v>
      </c>
      <c r="AB3350" s="198"/>
      <c r="AC3350" s="198"/>
    </row>
    <row r="3351" spans="1:29" ht="41" customHeight="1">
      <c r="A3351" s="151" t="str">
        <f>'Reported burning'!A3351</f>
        <v>369a</v>
      </c>
      <c r="B3351" s="151" t="str">
        <f>'Reported burning'!B3351</f>
        <v>369a.3</v>
      </c>
      <c r="C3351" s="151" t="str">
        <f>'Reported burning'!C3351</f>
        <v>Human, deliberate</v>
      </c>
      <c r="D3351" s="151" t="str">
        <f>'Reported burning'!D3351</f>
        <v>Crop field preparation</v>
      </c>
      <c r="E3351" s="151" t="str">
        <f>'Reported burning'!E3351</f>
        <v>Mixed cropping-livestock small holder, Subsistence-oriented</v>
      </c>
      <c r="F3351" s="151" t="str">
        <f>'Reported burning'!F3351</f>
        <v>Cropland</v>
      </c>
      <c r="G3351" s="151" t="str">
        <f>'Reported burning'!G3351</f>
        <v>ND</v>
      </c>
      <c r="H3351" s="151" t="str">
        <f>'Reported burning'!H3351</f>
        <v>Absence</v>
      </c>
      <c r="I3351" s="5"/>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t="s">
        <v>2272</v>
      </c>
      <c r="Y3351" s="21" t="s">
        <v>2272</v>
      </c>
      <c r="Z3351" s="21" t="s">
        <v>2272</v>
      </c>
      <c r="AA3351" s="21" t="s">
        <v>2272</v>
      </c>
      <c r="AB3351" s="198"/>
      <c r="AC3351" s="198"/>
    </row>
    <row r="3352" spans="1:29" ht="48" customHeight="1">
      <c r="A3352" s="151" t="str">
        <f>'Reported burning'!A3352</f>
        <v>369b</v>
      </c>
      <c r="B3352" s="151" t="str">
        <f>'Reported burning'!B3352</f>
        <v>369b.1</v>
      </c>
      <c r="C3352" s="151" t="str">
        <f>'Reported burning'!C3352</f>
        <v>Human, deliberate</v>
      </c>
      <c r="D3352" s="151" t="str">
        <f>'Reported burning'!D3352</f>
        <v>Crop field preparation</v>
      </c>
      <c r="E3352" s="151" t="str">
        <f>'Reported burning'!E3352</f>
        <v>Cropping, Swidden</v>
      </c>
      <c r="F3352" s="151" t="str">
        <f>'Reported burning'!F3352</f>
        <v>Cropland</v>
      </c>
      <c r="G3352" s="151" t="str">
        <f>'Reported burning'!G3352</f>
        <v>ND</v>
      </c>
      <c r="H3352" s="151" t="str">
        <f>'Reported burning'!H3352</f>
        <v>Presence</v>
      </c>
      <c r="I3352" s="5"/>
      <c r="J3352" s="21" t="s">
        <v>2272</v>
      </c>
      <c r="K3352" s="21" t="s">
        <v>2272</v>
      </c>
      <c r="L3352" s="21" t="s">
        <v>2272</v>
      </c>
      <c r="M3352" s="21" t="s">
        <v>2272</v>
      </c>
      <c r="N3352" s="21" t="s">
        <v>2272</v>
      </c>
      <c r="O3352" s="21" t="s">
        <v>2272</v>
      </c>
      <c r="P3352" s="21" t="s">
        <v>2272</v>
      </c>
      <c r="Q3352" s="21" t="s">
        <v>2272</v>
      </c>
      <c r="R3352" s="21" t="s">
        <v>2272</v>
      </c>
      <c r="S3352" s="21" t="s">
        <v>2272</v>
      </c>
      <c r="T3352" s="21" t="s">
        <v>2369</v>
      </c>
      <c r="U3352" s="21">
        <v>0</v>
      </c>
      <c r="V3352" s="21">
        <v>0</v>
      </c>
      <c r="W3352" s="21">
        <v>0</v>
      </c>
      <c r="X3352" s="21" t="s">
        <v>2396</v>
      </c>
      <c r="Y3352" s="21" t="s">
        <v>2272</v>
      </c>
      <c r="Z3352" s="21" t="s">
        <v>2272</v>
      </c>
      <c r="AA3352" s="21" t="s">
        <v>2272</v>
      </c>
      <c r="AB3352" s="198"/>
      <c r="AC3352" s="198"/>
    </row>
    <row r="3353" spans="1:29" ht="41" customHeight="1">
      <c r="A3353" s="151" t="str">
        <f>'Reported burning'!A3353</f>
        <v>369b</v>
      </c>
      <c r="B3353" s="151" t="str">
        <f>'Reported burning'!B3353</f>
        <v>369b.2</v>
      </c>
      <c r="C3353" s="151" t="str">
        <f>'Reported burning'!C3353</f>
        <v>Human, deliberate</v>
      </c>
      <c r="D3353" s="151" t="str">
        <f>'Reported burning'!D3353</f>
        <v>Crop field preparation</v>
      </c>
      <c r="E3353" s="151" t="str">
        <f>'Reported burning'!E3353</f>
        <v>Cropping, Monoculture, Subsistence-oriented</v>
      </c>
      <c r="F3353" s="151" t="str">
        <f>'Reported burning'!F3353</f>
        <v>Cropland</v>
      </c>
      <c r="G3353" s="151" t="str">
        <f>'Reported burning'!G3353</f>
        <v>ND</v>
      </c>
      <c r="H3353" s="151" t="str">
        <f>'Reported burning'!H3353</f>
        <v>Absence</v>
      </c>
      <c r="I3353" s="5"/>
      <c r="J3353" s="21">
        <v>0</v>
      </c>
      <c r="K3353" s="21">
        <v>0</v>
      </c>
      <c r="L3353" s="21">
        <v>0</v>
      </c>
      <c r="M3353" s="21">
        <v>0</v>
      </c>
      <c r="N3353" s="21">
        <v>0</v>
      </c>
      <c r="O3353" s="21">
        <v>0</v>
      </c>
      <c r="P3353" s="21">
        <v>0</v>
      </c>
      <c r="Q3353" s="21">
        <v>0</v>
      </c>
      <c r="R3353" s="21">
        <v>0</v>
      </c>
      <c r="S3353" s="21">
        <v>0</v>
      </c>
      <c r="T3353" s="21">
        <v>0</v>
      </c>
      <c r="U3353" s="21">
        <v>0</v>
      </c>
      <c r="V3353" s="21">
        <v>0</v>
      </c>
      <c r="W3353" s="21">
        <v>0</v>
      </c>
      <c r="X3353" s="21" t="s">
        <v>2272</v>
      </c>
      <c r="Y3353" s="21" t="s">
        <v>2272</v>
      </c>
      <c r="Z3353" s="21" t="s">
        <v>2272</v>
      </c>
      <c r="AA3353" s="21" t="s">
        <v>2272</v>
      </c>
      <c r="AB3353" s="198"/>
      <c r="AC3353" s="198"/>
    </row>
    <row r="3354" spans="1:29" ht="41" customHeight="1">
      <c r="A3354" s="151" t="str">
        <f>'Reported burning'!A3354</f>
        <v>369b</v>
      </c>
      <c r="B3354" s="151" t="str">
        <f>'Reported burning'!B3354</f>
        <v>369b.3</v>
      </c>
      <c r="C3354" s="151" t="str">
        <f>'Reported burning'!C3354</f>
        <v>Human, deliberate</v>
      </c>
      <c r="D3354" s="151" t="str">
        <f>'Reported burning'!D3354</f>
        <v>Crop field preparation</v>
      </c>
      <c r="E3354" s="151" t="str">
        <f>'Reported burning'!E3354</f>
        <v>Mixed cropping-livestock small holder, Subsistence-oriented</v>
      </c>
      <c r="F3354" s="151" t="str">
        <f>'Reported burning'!F3354</f>
        <v>Cropland</v>
      </c>
      <c r="G3354" s="151" t="str">
        <f>'Reported burning'!G3354</f>
        <v>ND</v>
      </c>
      <c r="H3354" s="151" t="str">
        <f>'Reported burning'!H3354</f>
        <v>Absence</v>
      </c>
      <c r="I3354" s="5"/>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t="s">
        <v>2272</v>
      </c>
      <c r="Y3354" s="21" t="s">
        <v>2272</v>
      </c>
      <c r="Z3354" s="21" t="s">
        <v>2272</v>
      </c>
      <c r="AA3354" s="21" t="s">
        <v>2272</v>
      </c>
      <c r="AB3354" s="198"/>
      <c r="AC3354" s="198"/>
    </row>
    <row r="3355" spans="1:29" ht="56.5" customHeight="1">
      <c r="A3355" s="151" t="str">
        <f>'Reported burning'!A3355</f>
        <v>369c</v>
      </c>
      <c r="B3355" s="151" t="str">
        <f>'Reported burning'!B3355</f>
        <v>369c.1</v>
      </c>
      <c r="C3355" s="151" t="str">
        <f>'Reported burning'!C3355</f>
        <v>Human, deliberate</v>
      </c>
      <c r="D3355" s="151" t="str">
        <f>'Reported burning'!D3355</f>
        <v>Crop field preparation</v>
      </c>
      <c r="E3355" s="151" t="str">
        <f>'Reported burning'!E3355</f>
        <v>Cropping, Swidden</v>
      </c>
      <c r="F3355" s="151" t="str">
        <f>'Reported burning'!F3355</f>
        <v>Cropland</v>
      </c>
      <c r="G3355" s="151" t="str">
        <f>'Reported burning'!G3355</f>
        <v>ND</v>
      </c>
      <c r="H3355" s="151" t="str">
        <f>'Reported burning'!H3355</f>
        <v>Presence</v>
      </c>
      <c r="I3355" s="5"/>
      <c r="J3355" s="21" t="s">
        <v>2272</v>
      </c>
      <c r="K3355" s="21" t="s">
        <v>2272</v>
      </c>
      <c r="L3355" s="21" t="s">
        <v>2272</v>
      </c>
      <c r="M3355" s="21" t="s">
        <v>2272</v>
      </c>
      <c r="N3355" s="21" t="s">
        <v>2272</v>
      </c>
      <c r="O3355" s="21" t="s">
        <v>2272</v>
      </c>
      <c r="P3355" s="21" t="s">
        <v>2272</v>
      </c>
      <c r="Q3355" s="21" t="s">
        <v>2272</v>
      </c>
      <c r="R3355" s="21" t="s">
        <v>2272</v>
      </c>
      <c r="S3355" s="21" t="s">
        <v>2272</v>
      </c>
      <c r="T3355" s="21" t="s">
        <v>2371</v>
      </c>
      <c r="U3355" s="21">
        <v>0</v>
      </c>
      <c r="V3355" s="21">
        <v>0</v>
      </c>
      <c r="W3355" s="21">
        <v>0</v>
      </c>
      <c r="X3355" s="21" t="s">
        <v>2396</v>
      </c>
      <c r="Y3355" s="21" t="s">
        <v>2272</v>
      </c>
      <c r="Z3355" s="21" t="s">
        <v>2272</v>
      </c>
      <c r="AA3355" s="21" t="s">
        <v>2272</v>
      </c>
      <c r="AB3355" s="198"/>
      <c r="AC3355" s="198"/>
    </row>
    <row r="3356" spans="1:29" ht="41" customHeight="1">
      <c r="A3356" s="151" t="str">
        <f>'Reported burning'!A3356</f>
        <v>369c</v>
      </c>
      <c r="B3356" s="151" t="str">
        <f>'Reported burning'!B3356</f>
        <v>369c.2</v>
      </c>
      <c r="C3356" s="151" t="str">
        <f>'Reported burning'!C3356</f>
        <v>Human, deliberate</v>
      </c>
      <c r="D3356" s="151" t="str">
        <f>'Reported burning'!D3356</f>
        <v>Crop field preparation</v>
      </c>
      <c r="E3356" s="151" t="str">
        <f>'Reported burning'!E3356</f>
        <v>Cropping, Monoculture, Subsistence-oriented</v>
      </c>
      <c r="F3356" s="151" t="str">
        <f>'Reported burning'!F3356</f>
        <v>Cropland</v>
      </c>
      <c r="G3356" s="151" t="str">
        <f>'Reported burning'!G3356</f>
        <v>ND</v>
      </c>
      <c r="H3356" s="151" t="str">
        <f>'Reported burning'!H3356</f>
        <v>Absence</v>
      </c>
      <c r="I3356" s="5"/>
      <c r="J3356" s="21">
        <v>0</v>
      </c>
      <c r="K3356" s="21">
        <v>0</v>
      </c>
      <c r="L3356" s="21">
        <v>0</v>
      </c>
      <c r="M3356" s="21">
        <v>0</v>
      </c>
      <c r="N3356" s="21">
        <v>0</v>
      </c>
      <c r="O3356" s="21">
        <v>0</v>
      </c>
      <c r="P3356" s="21">
        <v>0</v>
      </c>
      <c r="Q3356" s="21">
        <v>0</v>
      </c>
      <c r="R3356" s="21">
        <v>0</v>
      </c>
      <c r="S3356" s="21">
        <v>0</v>
      </c>
      <c r="T3356" s="21">
        <v>0</v>
      </c>
      <c r="U3356" s="21">
        <v>0</v>
      </c>
      <c r="V3356" s="21">
        <v>0</v>
      </c>
      <c r="W3356" s="21">
        <v>0</v>
      </c>
      <c r="X3356" s="21" t="s">
        <v>2272</v>
      </c>
      <c r="Y3356" s="21" t="s">
        <v>2272</v>
      </c>
      <c r="Z3356" s="21" t="s">
        <v>2272</v>
      </c>
      <c r="AA3356" s="21" t="s">
        <v>2272</v>
      </c>
      <c r="AB3356" s="198"/>
      <c r="AC3356" s="198"/>
    </row>
    <row r="3357" spans="1:29" ht="41" customHeight="1">
      <c r="A3357" s="151" t="str">
        <f>'Reported burning'!A3357</f>
        <v>369c</v>
      </c>
      <c r="B3357" s="151" t="str">
        <f>'Reported burning'!B3357</f>
        <v>369c.3</v>
      </c>
      <c r="C3357" s="151" t="str">
        <f>'Reported burning'!C3357</f>
        <v>Human, deliberate</v>
      </c>
      <c r="D3357" s="151" t="str">
        <f>'Reported burning'!D3357</f>
        <v>Crop field preparation</v>
      </c>
      <c r="E3357" s="151" t="str">
        <f>'Reported burning'!E3357</f>
        <v>Mixed cropping-livestock small holder, Subsistence-oriented</v>
      </c>
      <c r="F3357" s="151" t="str">
        <f>'Reported burning'!F3357</f>
        <v>Cropland</v>
      </c>
      <c r="G3357" s="151" t="str">
        <f>'Reported burning'!G3357</f>
        <v>ND</v>
      </c>
      <c r="H3357" s="151" t="str">
        <f>'Reported burning'!H3357</f>
        <v>Absence</v>
      </c>
      <c r="I3357" s="5"/>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t="s">
        <v>2272</v>
      </c>
      <c r="Y3357" s="21" t="s">
        <v>2272</v>
      </c>
      <c r="Z3357" s="21" t="s">
        <v>2272</v>
      </c>
      <c r="AA3357" s="21" t="s">
        <v>2272</v>
      </c>
      <c r="AB3357" s="198"/>
      <c r="AC3357" s="198"/>
    </row>
    <row r="3358" spans="1:29" ht="53" customHeight="1">
      <c r="A3358" s="151" t="str">
        <f>'Reported burning'!A3358</f>
        <v>369d</v>
      </c>
      <c r="B3358" s="151" t="str">
        <f>'Reported burning'!B3358</f>
        <v>369d.1</v>
      </c>
      <c r="C3358" s="151" t="str">
        <f>'Reported burning'!C3358</f>
        <v>Human, deliberate</v>
      </c>
      <c r="D3358" s="151" t="str">
        <f>'Reported burning'!D3358</f>
        <v>Crop field preparation</v>
      </c>
      <c r="E3358" s="151" t="str">
        <f>'Reported burning'!E3358</f>
        <v>Cropping, Swidden</v>
      </c>
      <c r="F3358" s="151" t="str">
        <f>'Reported burning'!F3358</f>
        <v>Cropland</v>
      </c>
      <c r="G3358" s="151" t="str">
        <f>'Reported burning'!G3358</f>
        <v>ND</v>
      </c>
      <c r="H3358" s="151" t="str">
        <f>'Reported burning'!H3358</f>
        <v>Presence</v>
      </c>
      <c r="I3358" s="5"/>
      <c r="J3358" s="21" t="s">
        <v>2272</v>
      </c>
      <c r="K3358" s="21" t="s">
        <v>2272</v>
      </c>
      <c r="L3358" s="21" t="s">
        <v>2272</v>
      </c>
      <c r="M3358" s="21" t="s">
        <v>2272</v>
      </c>
      <c r="N3358" s="21" t="s">
        <v>2272</v>
      </c>
      <c r="O3358" s="21" t="s">
        <v>2272</v>
      </c>
      <c r="P3358" s="21" t="s">
        <v>2272</v>
      </c>
      <c r="Q3358" s="21" t="s">
        <v>2272</v>
      </c>
      <c r="R3358" s="21" t="s">
        <v>2272</v>
      </c>
      <c r="S3358" s="21" t="s">
        <v>2272</v>
      </c>
      <c r="T3358" s="21" t="s">
        <v>2522</v>
      </c>
      <c r="U3358" s="21">
        <v>0</v>
      </c>
      <c r="V3358" s="21">
        <v>0</v>
      </c>
      <c r="W3358" s="21">
        <v>0</v>
      </c>
      <c r="X3358" s="21" t="s">
        <v>2370</v>
      </c>
      <c r="Y3358" s="21" t="s">
        <v>2272</v>
      </c>
      <c r="Z3358" s="21" t="s">
        <v>2272</v>
      </c>
      <c r="AA3358" s="21" t="s">
        <v>2272</v>
      </c>
      <c r="AB3358" s="198"/>
      <c r="AC3358" s="198"/>
    </row>
    <row r="3359" spans="1:29" ht="41" customHeight="1">
      <c r="A3359" s="151" t="str">
        <f>'Reported burning'!A3359</f>
        <v>369d</v>
      </c>
      <c r="B3359" s="151" t="str">
        <f>'Reported burning'!B3359</f>
        <v>369d.2</v>
      </c>
      <c r="C3359" s="151" t="str">
        <f>'Reported burning'!C3359</f>
        <v>Human, deliberate</v>
      </c>
      <c r="D3359" s="151" t="str">
        <f>'Reported burning'!D3359</f>
        <v>Crop field preparation</v>
      </c>
      <c r="E3359" s="151" t="str">
        <f>'Reported burning'!E3359</f>
        <v>Cropping, Monoculture, Subsistence-oriented</v>
      </c>
      <c r="F3359" s="151" t="str">
        <f>'Reported burning'!F3359</f>
        <v>Cropland</v>
      </c>
      <c r="G3359" s="151" t="str">
        <f>'Reported burning'!G3359</f>
        <v>ND</v>
      </c>
      <c r="H3359" s="151" t="str">
        <f>'Reported burning'!H3359</f>
        <v>Absence</v>
      </c>
      <c r="I3359" s="5"/>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t="s">
        <v>2272</v>
      </c>
      <c r="Y3359" s="21" t="s">
        <v>2272</v>
      </c>
      <c r="Z3359" s="21" t="s">
        <v>2272</v>
      </c>
      <c r="AA3359" s="21" t="s">
        <v>2272</v>
      </c>
      <c r="AB3359" s="198"/>
      <c r="AC3359" s="198"/>
    </row>
    <row r="3360" spans="1:29" ht="41" customHeight="1">
      <c r="A3360" s="151" t="str">
        <f>'Reported burning'!A3360</f>
        <v>369d</v>
      </c>
      <c r="B3360" s="151" t="str">
        <f>'Reported burning'!B3360</f>
        <v>369d.3</v>
      </c>
      <c r="C3360" s="151" t="str">
        <f>'Reported burning'!C3360</f>
        <v>Human, deliberate</v>
      </c>
      <c r="D3360" s="151" t="str">
        <f>'Reported burning'!D3360</f>
        <v>Crop field preparation</v>
      </c>
      <c r="E3360" s="151" t="str">
        <f>'Reported burning'!E3360</f>
        <v>Mixed cropping-livestock small holder, Subsistence-oriented</v>
      </c>
      <c r="F3360" s="151" t="str">
        <f>'Reported burning'!F3360</f>
        <v>Cropland</v>
      </c>
      <c r="G3360" s="151" t="str">
        <f>'Reported burning'!G3360</f>
        <v>ND</v>
      </c>
      <c r="H3360" s="151" t="str">
        <f>'Reported burning'!H3360</f>
        <v>Absence</v>
      </c>
      <c r="I3360" s="5"/>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t="s">
        <v>2272</v>
      </c>
      <c r="Y3360" s="21" t="s">
        <v>2272</v>
      </c>
      <c r="Z3360" s="21" t="s">
        <v>2272</v>
      </c>
      <c r="AA3360" s="21" t="s">
        <v>2272</v>
      </c>
      <c r="AB3360" s="198"/>
      <c r="AC3360" s="198"/>
    </row>
    <row r="3361" spans="1:29" ht="48.5" customHeight="1">
      <c r="A3361" s="151" t="str">
        <f>'Reported burning'!A3361</f>
        <v>370a</v>
      </c>
      <c r="B3361" s="151" t="str">
        <f>'Reported burning'!B3361</f>
        <v>370a.1</v>
      </c>
      <c r="C3361" s="151" t="str">
        <f>'Reported burning'!C3361</f>
        <v>All</v>
      </c>
      <c r="D3361" s="151" t="str">
        <f>'Reported burning'!D3361</f>
        <v>ND</v>
      </c>
      <c r="E3361" s="151" t="str">
        <f>'Reported burning'!E3361</f>
        <v>ND</v>
      </c>
      <c r="F3361" s="151" t="str">
        <f>'Reported burning'!F3361</f>
        <v>ND</v>
      </c>
      <c r="G3361" s="151" t="str">
        <f>'Reported burning'!G3361</f>
        <v>Forest</v>
      </c>
      <c r="H3361" s="151" t="str">
        <f>'Reported burning'!H3361</f>
        <v>Presence</v>
      </c>
      <c r="I3361" s="5"/>
      <c r="J3361" s="21" t="s">
        <v>2272</v>
      </c>
      <c r="K3361" s="21" t="s">
        <v>2272</v>
      </c>
      <c r="L3361" s="21" t="s">
        <v>2272</v>
      </c>
      <c r="M3361" s="21" t="s">
        <v>2272</v>
      </c>
      <c r="N3361" s="21" t="s">
        <v>2272</v>
      </c>
      <c r="O3361" s="21" t="s">
        <v>2272</v>
      </c>
      <c r="P3361" s="21" t="s">
        <v>2272</v>
      </c>
      <c r="Q3361" s="21" t="s">
        <v>2272</v>
      </c>
      <c r="R3361" s="21" t="s">
        <v>2272</v>
      </c>
      <c r="S3361" s="21" t="s">
        <v>2272</v>
      </c>
      <c r="T3361" s="21" t="s">
        <v>2272</v>
      </c>
      <c r="U3361" s="21" t="s">
        <v>2272</v>
      </c>
      <c r="V3361" s="21" t="s">
        <v>2272</v>
      </c>
      <c r="W3361" s="21" t="s">
        <v>2272</v>
      </c>
      <c r="X3361" s="21" t="s">
        <v>2272</v>
      </c>
      <c r="Y3361" s="21" t="s">
        <v>2272</v>
      </c>
      <c r="Z3361" s="21" t="s">
        <v>2272</v>
      </c>
      <c r="AA3361" s="21" t="s">
        <v>2272</v>
      </c>
      <c r="AB3361" s="198"/>
      <c r="AC3361" s="198"/>
    </row>
    <row r="3362" spans="1:29" ht="36.5" customHeight="1">
      <c r="A3362" s="151" t="str">
        <f>'Reported burning'!A3362</f>
        <v>370a</v>
      </c>
      <c r="B3362" s="151" t="str">
        <f>'Reported burning'!B3362</f>
        <v>370a.2</v>
      </c>
      <c r="C3362" s="151" t="str">
        <f>'Reported burning'!C3362</f>
        <v>All</v>
      </c>
      <c r="D3362" s="151" t="str">
        <f>'Reported burning'!D3362</f>
        <v>ND</v>
      </c>
      <c r="E3362" s="151" t="str">
        <f>'Reported burning'!E3362</f>
        <v>ND</v>
      </c>
      <c r="F3362" s="151" t="str">
        <f>'Reported burning'!F3362</f>
        <v>ND</v>
      </c>
      <c r="G3362" s="151" t="str">
        <f>'Reported burning'!G3362</f>
        <v>Forest</v>
      </c>
      <c r="H3362" s="151" t="str">
        <f>'Reported burning'!H3362</f>
        <v>Presence</v>
      </c>
      <c r="I3362" s="5"/>
      <c r="J3362" s="21" t="s">
        <v>2272</v>
      </c>
      <c r="K3362" s="21" t="s">
        <v>2272</v>
      </c>
      <c r="L3362" s="21" t="s">
        <v>2272</v>
      </c>
      <c r="M3362" s="21" t="s">
        <v>2272</v>
      </c>
      <c r="N3362" s="21" t="s">
        <v>2272</v>
      </c>
      <c r="O3362" s="21" t="s">
        <v>2272</v>
      </c>
      <c r="P3362" s="21" t="s">
        <v>2272</v>
      </c>
      <c r="Q3362" s="21" t="s">
        <v>2272</v>
      </c>
      <c r="R3362" s="21" t="s">
        <v>2272</v>
      </c>
      <c r="S3362" s="21" t="s">
        <v>2272</v>
      </c>
      <c r="T3362" s="21" t="s">
        <v>2272</v>
      </c>
      <c r="U3362" s="21" t="s">
        <v>2272</v>
      </c>
      <c r="V3362" s="21" t="s">
        <v>2272</v>
      </c>
      <c r="W3362" s="21" t="s">
        <v>2272</v>
      </c>
      <c r="X3362" s="21" t="s">
        <v>2272</v>
      </c>
      <c r="Y3362" s="21" t="s">
        <v>2272</v>
      </c>
      <c r="Z3362" s="21" t="s">
        <v>2272</v>
      </c>
      <c r="AA3362" s="21" t="s">
        <v>2272</v>
      </c>
      <c r="AB3362" s="198"/>
      <c r="AC3362" s="198"/>
    </row>
    <row r="3363" spans="1:29" ht="36.5" customHeight="1">
      <c r="A3363" s="151" t="str">
        <f>'Reported burning'!A3363</f>
        <v>370a</v>
      </c>
      <c r="B3363" s="151" t="str">
        <f>'Reported burning'!B3363</f>
        <v>370a.3</v>
      </c>
      <c r="C3363" s="151" t="str">
        <f>'Reported burning'!C3363</f>
        <v>Human, escaped</v>
      </c>
      <c r="D3363" s="151" t="str">
        <f>'Reported burning'!D3363</f>
        <v>Land clearance</v>
      </c>
      <c r="E3363" s="151" t="str">
        <f>'Reported burning'!E3363</f>
        <v>Cropping, Intensive</v>
      </c>
      <c r="F3363" s="151" t="str">
        <f>'Reported burning'!F3363</f>
        <v>Forest</v>
      </c>
      <c r="G3363" s="151" t="str">
        <f>'Reported burning'!G3363</f>
        <v>Forest</v>
      </c>
      <c r="H3363" s="151" t="str">
        <f>'Reported burning'!H3363</f>
        <v>Presence</v>
      </c>
      <c r="I3363" s="5"/>
      <c r="J3363" s="21" t="s">
        <v>2272</v>
      </c>
      <c r="K3363" s="21" t="s">
        <v>2272</v>
      </c>
      <c r="L3363" s="21" t="s">
        <v>2272</v>
      </c>
      <c r="M3363" s="21" t="s">
        <v>2272</v>
      </c>
      <c r="N3363" s="21" t="s">
        <v>2272</v>
      </c>
      <c r="O3363" s="21" t="s">
        <v>2272</v>
      </c>
      <c r="P3363" s="21" t="s">
        <v>2272</v>
      </c>
      <c r="Q3363" s="21" t="s">
        <v>2272</v>
      </c>
      <c r="R3363" s="21" t="s">
        <v>2272</v>
      </c>
      <c r="S3363" s="21" t="s">
        <v>2272</v>
      </c>
      <c r="T3363" s="21" t="s">
        <v>2272</v>
      </c>
      <c r="U3363" s="21" t="s">
        <v>2272</v>
      </c>
      <c r="V3363" s="21" t="s">
        <v>2272</v>
      </c>
      <c r="W3363" s="21" t="s">
        <v>2272</v>
      </c>
      <c r="X3363" s="21" t="s">
        <v>2272</v>
      </c>
      <c r="Y3363" s="21" t="s">
        <v>2272</v>
      </c>
      <c r="Z3363" s="21" t="s">
        <v>2272</v>
      </c>
      <c r="AA3363" s="21" t="s">
        <v>2272</v>
      </c>
      <c r="AB3363" s="198"/>
      <c r="AC3363" s="198"/>
    </row>
    <row r="3364" spans="1:29" ht="36.5" customHeight="1">
      <c r="A3364" s="151" t="str">
        <f>'Reported burning'!A3364</f>
        <v>370a</v>
      </c>
      <c r="B3364" s="151" t="str">
        <f>'Reported burning'!B3364</f>
        <v>370a.4</v>
      </c>
      <c r="C3364" s="151" t="str">
        <f>'Reported burning'!C3364</f>
        <v>Human, escaped</v>
      </c>
      <c r="D3364" s="151" t="str">
        <f>'Reported burning'!D3364</f>
        <v>Land clearance</v>
      </c>
      <c r="E3364" s="151" t="str">
        <f>'Reported burning'!E3364</f>
        <v>Cropping, Monoculture, Market-oriented</v>
      </c>
      <c r="F3364" s="151" t="str">
        <f>'Reported burning'!F3364</f>
        <v>Forest</v>
      </c>
      <c r="G3364" s="151" t="str">
        <f>'Reported burning'!G3364</f>
        <v>Forest</v>
      </c>
      <c r="H3364" s="151" t="str">
        <f>'Reported burning'!H3364</f>
        <v>Presence</v>
      </c>
      <c r="I3364" s="5"/>
      <c r="J3364" s="21" t="s">
        <v>2272</v>
      </c>
      <c r="K3364" s="21" t="s">
        <v>2272</v>
      </c>
      <c r="L3364" s="21" t="s">
        <v>2272</v>
      </c>
      <c r="M3364" s="21" t="s">
        <v>2272</v>
      </c>
      <c r="N3364" s="21" t="s">
        <v>2272</v>
      </c>
      <c r="O3364" s="21" t="s">
        <v>2272</v>
      </c>
      <c r="P3364" s="21" t="s">
        <v>2272</v>
      </c>
      <c r="Q3364" s="21" t="s">
        <v>2272</v>
      </c>
      <c r="R3364" s="21" t="s">
        <v>2272</v>
      </c>
      <c r="S3364" s="21" t="s">
        <v>2272</v>
      </c>
      <c r="T3364" s="21" t="s">
        <v>2272</v>
      </c>
      <c r="U3364" s="21" t="s">
        <v>2272</v>
      </c>
      <c r="V3364" s="21" t="s">
        <v>2272</v>
      </c>
      <c r="W3364" s="21" t="s">
        <v>2272</v>
      </c>
      <c r="X3364" s="21" t="s">
        <v>2272</v>
      </c>
      <c r="Y3364" s="21" t="s">
        <v>2272</v>
      </c>
      <c r="Z3364" s="21" t="s">
        <v>2272</v>
      </c>
      <c r="AA3364" s="21" t="s">
        <v>2272</v>
      </c>
      <c r="AB3364" s="198"/>
      <c r="AC3364" s="198"/>
    </row>
    <row r="3365" spans="1:29" s="197" customFormat="1" ht="36.5" customHeight="1">
      <c r="A3365" s="151" t="str">
        <f>'Reported burning'!A3365</f>
        <v>370a</v>
      </c>
      <c r="B3365" s="151" t="str">
        <f>'Reported burning'!B3365</f>
        <v>370a.5</v>
      </c>
      <c r="C3365" s="151" t="str">
        <f>'Reported burning'!C3365</f>
        <v>Human, escaped</v>
      </c>
      <c r="D3365" s="151" t="str">
        <f>'Reported burning'!D3365</f>
        <v>Crop field preparation</v>
      </c>
      <c r="E3365" s="151" t="str">
        <f>'Reported burning'!E3365</f>
        <v>Cropping, Swidden</v>
      </c>
      <c r="F3365" s="151" t="str">
        <f>'Reported burning'!F3365</f>
        <v>Secondary vegetation</v>
      </c>
      <c r="G3365" s="151" t="str">
        <f>'Reported burning'!G3365</f>
        <v>Forest</v>
      </c>
      <c r="H3365" s="151" t="str">
        <f>'Reported burning'!H3365</f>
        <v>Presence</v>
      </c>
      <c r="I3365" s="5"/>
      <c r="J3365" s="21" t="s">
        <v>2272</v>
      </c>
      <c r="K3365" s="21" t="s">
        <v>2272</v>
      </c>
      <c r="L3365" s="21" t="s">
        <v>2272</v>
      </c>
      <c r="M3365" s="21" t="s">
        <v>2272</v>
      </c>
      <c r="N3365" s="21" t="s">
        <v>2272</v>
      </c>
      <c r="O3365" s="21" t="s">
        <v>2272</v>
      </c>
      <c r="P3365" s="21" t="s">
        <v>2272</v>
      </c>
      <c r="Q3365" s="21" t="s">
        <v>2272</v>
      </c>
      <c r="R3365" s="21" t="s">
        <v>2272</v>
      </c>
      <c r="S3365" s="21" t="s">
        <v>2272</v>
      </c>
      <c r="T3365" s="21" t="s">
        <v>2272</v>
      </c>
      <c r="U3365" s="21" t="s">
        <v>2272</v>
      </c>
      <c r="V3365" s="21" t="s">
        <v>2272</v>
      </c>
      <c r="W3365" s="21" t="s">
        <v>2272</v>
      </c>
      <c r="X3365" s="21" t="s">
        <v>2272</v>
      </c>
      <c r="Y3365" s="21" t="s">
        <v>2272</v>
      </c>
      <c r="Z3365" s="21" t="s">
        <v>2272</v>
      </c>
      <c r="AA3365" s="21" t="s">
        <v>2272</v>
      </c>
      <c r="AB3365" s="198"/>
      <c r="AC3365" s="198"/>
    </row>
    <row r="3366" spans="1:29" ht="36.5" customHeight="1">
      <c r="A3366" s="151" t="str">
        <f>'Reported burning'!A3366</f>
        <v>370a</v>
      </c>
      <c r="B3366" s="151" t="str">
        <f>'Reported burning'!B3366</f>
        <v>370a.6</v>
      </c>
      <c r="C3366" s="151" t="str">
        <f>'Reported burning'!C3366</f>
        <v>Human, escaped</v>
      </c>
      <c r="D3366" s="151" t="str">
        <f>'Reported burning'!D3366</f>
        <v>Domestic</v>
      </c>
      <c r="E3366" s="151" t="str">
        <f>'Reported burning'!E3366</f>
        <v>Tourism manager</v>
      </c>
      <c r="F3366" s="151" t="str">
        <f>'Reported burning'!F3366</f>
        <v>ND</v>
      </c>
      <c r="G3366" s="151" t="str">
        <f>'Reported burning'!G3366</f>
        <v>Forest</v>
      </c>
      <c r="H3366" s="151" t="str">
        <f>'Reported burning'!H3366</f>
        <v>Presence</v>
      </c>
      <c r="I3366" s="5"/>
      <c r="J3366" s="21" t="s">
        <v>2272</v>
      </c>
      <c r="K3366" s="21" t="s">
        <v>2272</v>
      </c>
      <c r="L3366" s="21" t="s">
        <v>2272</v>
      </c>
      <c r="M3366" s="21" t="s">
        <v>2272</v>
      </c>
      <c r="N3366" s="21" t="s">
        <v>2272</v>
      </c>
      <c r="O3366" s="21" t="s">
        <v>2272</v>
      </c>
      <c r="P3366" s="21" t="s">
        <v>2272</v>
      </c>
      <c r="Q3366" s="21" t="s">
        <v>2272</v>
      </c>
      <c r="R3366" s="21" t="s">
        <v>2272</v>
      </c>
      <c r="S3366" s="21" t="s">
        <v>2272</v>
      </c>
      <c r="T3366" s="21" t="s">
        <v>2272</v>
      </c>
      <c r="U3366" s="21" t="s">
        <v>2272</v>
      </c>
      <c r="V3366" s="21" t="s">
        <v>2272</v>
      </c>
      <c r="W3366" s="21" t="s">
        <v>2272</v>
      </c>
      <c r="X3366" s="21" t="s">
        <v>2272</v>
      </c>
      <c r="Y3366" s="21" t="s">
        <v>2272</v>
      </c>
      <c r="Z3366" s="21" t="s">
        <v>2272</v>
      </c>
      <c r="AA3366" s="21" t="s">
        <v>2272</v>
      </c>
      <c r="AB3366" s="198"/>
      <c r="AC3366" s="198"/>
    </row>
    <row r="3367" spans="1:29" ht="36.5" customHeight="1">
      <c r="A3367" s="151" t="str">
        <f>'Reported burning'!A3367</f>
        <v>370a</v>
      </c>
      <c r="B3367" s="151" t="str">
        <f>'Reported burning'!B3367</f>
        <v>370a.7</v>
      </c>
      <c r="C3367" s="151" t="str">
        <f>'Reported burning'!C3367</f>
        <v>Human, escaped</v>
      </c>
      <c r="D3367" s="151" t="str">
        <f>'Reported burning'!D3367</f>
        <v>Domestic</v>
      </c>
      <c r="E3367" s="151" t="str">
        <f>'Reported burning'!E3367</f>
        <v>Forestry, Traditional</v>
      </c>
      <c r="F3367" s="151" t="str">
        <f>'Reported burning'!F3367</f>
        <v>ND</v>
      </c>
      <c r="G3367" s="151" t="str">
        <f>'Reported burning'!G3367</f>
        <v>Forest</v>
      </c>
      <c r="H3367" s="151" t="str">
        <f>'Reported burning'!H3367</f>
        <v>Presence</v>
      </c>
      <c r="I3367" s="5"/>
      <c r="J3367" s="21" t="s">
        <v>2272</v>
      </c>
      <c r="K3367" s="21" t="s">
        <v>2272</v>
      </c>
      <c r="L3367" s="21" t="s">
        <v>2272</v>
      </c>
      <c r="M3367" s="21" t="s">
        <v>2272</v>
      </c>
      <c r="N3367" s="21" t="s">
        <v>2272</v>
      </c>
      <c r="O3367" s="21" t="s">
        <v>2272</v>
      </c>
      <c r="P3367" s="21" t="s">
        <v>2272</v>
      </c>
      <c r="Q3367" s="21" t="s">
        <v>2272</v>
      </c>
      <c r="R3367" s="21" t="s">
        <v>2272</v>
      </c>
      <c r="S3367" s="21" t="s">
        <v>2272</v>
      </c>
      <c r="T3367" s="21" t="s">
        <v>2272</v>
      </c>
      <c r="U3367" s="21" t="s">
        <v>2272</v>
      </c>
      <c r="V3367" s="21" t="s">
        <v>2272</v>
      </c>
      <c r="W3367" s="21" t="s">
        <v>2272</v>
      </c>
      <c r="X3367" s="21" t="s">
        <v>2272</v>
      </c>
      <c r="Y3367" s="21" t="s">
        <v>2272</v>
      </c>
      <c r="Z3367" s="21" t="s">
        <v>2272</v>
      </c>
      <c r="AA3367" s="21" t="s">
        <v>2272</v>
      </c>
      <c r="AB3367" s="198"/>
      <c r="AC3367" s="198"/>
    </row>
    <row r="3368" spans="1:29" s="197" customFormat="1" ht="36.5" customHeight="1">
      <c r="A3368" s="151" t="s">
        <v>8862</v>
      </c>
      <c r="B3368" s="151" t="str">
        <f>'Reported burning'!B3368</f>
        <v>370a.8</v>
      </c>
      <c r="C3368" s="151" t="str">
        <f>'Reported burning'!C3368</f>
        <v>Human, escaped</v>
      </c>
      <c r="D3368" s="151" t="str">
        <f>'Reported burning'!D3368</f>
        <v>Hunting</v>
      </c>
      <c r="E3368" s="151" t="str">
        <f>'Reported burning'!E3368</f>
        <v>Forestry, Traditional</v>
      </c>
      <c r="F3368" s="151" t="str">
        <f>'Reported burning'!F3368</f>
        <v>Forest</v>
      </c>
      <c r="G3368" s="151" t="str">
        <f>'Reported burning'!G3368</f>
        <v>Forest</v>
      </c>
      <c r="H3368" s="151" t="str">
        <f>'Reported burning'!H3368</f>
        <v>Presence</v>
      </c>
      <c r="I3368" s="5"/>
      <c r="J3368" s="21" t="s">
        <v>2272</v>
      </c>
      <c r="K3368" s="21" t="s">
        <v>2272</v>
      </c>
      <c r="L3368" s="21" t="s">
        <v>2272</v>
      </c>
      <c r="M3368" s="21" t="s">
        <v>2272</v>
      </c>
      <c r="N3368" s="21" t="s">
        <v>2272</v>
      </c>
      <c r="O3368" s="21" t="s">
        <v>2272</v>
      </c>
      <c r="P3368" s="21" t="s">
        <v>2272</v>
      </c>
      <c r="Q3368" s="21" t="s">
        <v>2272</v>
      </c>
      <c r="R3368" s="21" t="s">
        <v>2272</v>
      </c>
      <c r="S3368" s="21" t="s">
        <v>2272</v>
      </c>
      <c r="T3368" s="21" t="s">
        <v>2272</v>
      </c>
      <c r="U3368" s="21" t="s">
        <v>2272</v>
      </c>
      <c r="V3368" s="21" t="s">
        <v>2272</v>
      </c>
      <c r="W3368" s="21" t="s">
        <v>2272</v>
      </c>
      <c r="X3368" s="21" t="s">
        <v>2272</v>
      </c>
      <c r="Y3368" s="21" t="s">
        <v>2272</v>
      </c>
      <c r="Z3368" s="21" t="s">
        <v>2272</v>
      </c>
      <c r="AA3368" s="21" t="s">
        <v>2272</v>
      </c>
      <c r="AB3368" s="198"/>
      <c r="AC3368" s="198"/>
    </row>
    <row r="3369" spans="1:29" ht="36.5" customHeight="1">
      <c r="A3369" s="151" t="str">
        <f>'Reported burning'!A3369</f>
        <v>370a</v>
      </c>
      <c r="B3369" s="151" t="str">
        <f>'Reported burning'!B3369</f>
        <v>370a.9</v>
      </c>
      <c r="C3369" s="151" t="str">
        <f>'Reported burning'!C3369</f>
        <v>Human, accidental</v>
      </c>
      <c r="D3369" s="151" t="str">
        <f>'Reported burning'!D3369</f>
        <v>Accidental</v>
      </c>
      <c r="E3369" s="151" t="str">
        <f>'Reported burning'!E3369</f>
        <v>Urban planner</v>
      </c>
      <c r="F3369" s="151" t="str">
        <f>'Reported burning'!F3369</f>
        <v>ND</v>
      </c>
      <c r="G3369" s="151" t="str">
        <f>'Reported burning'!G3369</f>
        <v>Forest</v>
      </c>
      <c r="H3369" s="151" t="str">
        <f>'Reported burning'!H3369</f>
        <v>Presence</v>
      </c>
      <c r="I3369" s="5"/>
      <c r="J3369" s="21" t="s">
        <v>2272</v>
      </c>
      <c r="K3369" s="21" t="s">
        <v>2272</v>
      </c>
      <c r="L3369" s="21" t="s">
        <v>2272</v>
      </c>
      <c r="M3369" s="21" t="s">
        <v>2272</v>
      </c>
      <c r="N3369" s="21" t="s">
        <v>2272</v>
      </c>
      <c r="O3369" s="21" t="s">
        <v>2272</v>
      </c>
      <c r="P3369" s="21" t="s">
        <v>2272</v>
      </c>
      <c r="Q3369" s="21" t="s">
        <v>2272</v>
      </c>
      <c r="R3369" s="21" t="s">
        <v>2272</v>
      </c>
      <c r="S3369" s="21" t="s">
        <v>2272</v>
      </c>
      <c r="T3369" s="21" t="s">
        <v>2272</v>
      </c>
      <c r="U3369" s="21" t="s">
        <v>2272</v>
      </c>
      <c r="V3369" s="21" t="s">
        <v>2272</v>
      </c>
      <c r="W3369" s="21" t="s">
        <v>2272</v>
      </c>
      <c r="X3369" s="21" t="s">
        <v>2272</v>
      </c>
      <c r="Y3369" s="21" t="s">
        <v>2272</v>
      </c>
      <c r="Z3369" s="21" t="s">
        <v>2272</v>
      </c>
      <c r="AA3369" s="21" t="s">
        <v>2272</v>
      </c>
      <c r="AB3369" s="198"/>
      <c r="AC3369" s="198"/>
    </row>
    <row r="3370" spans="1:29" ht="36.5" customHeight="1">
      <c r="A3370" s="151" t="str">
        <f>'Reported burning'!A3370</f>
        <v>370a</v>
      </c>
      <c r="B3370" s="151" t="str">
        <f>'Reported burning'!B3370</f>
        <v>370a.10</v>
      </c>
      <c r="C3370" s="151" t="str">
        <f>'Reported burning'!C3370</f>
        <v>Lightning</v>
      </c>
      <c r="D3370" s="151" t="str">
        <f>'Reported burning'!D3370</f>
        <v>ND</v>
      </c>
      <c r="E3370" s="151" t="str">
        <f>'Reported burning'!E3370</f>
        <v>ND</v>
      </c>
      <c r="F3370" s="151" t="str">
        <f>'Reported burning'!F3370</f>
        <v>ND</v>
      </c>
      <c r="G3370" s="151" t="str">
        <f>'Reported burning'!G3370</f>
        <v>Forest</v>
      </c>
      <c r="H3370" s="151" t="str">
        <f>'Reported burning'!H3370</f>
        <v>Presence</v>
      </c>
      <c r="I3370" s="5"/>
      <c r="J3370" s="21" t="s">
        <v>2272</v>
      </c>
      <c r="K3370" s="21" t="s">
        <v>2272</v>
      </c>
      <c r="L3370" s="21" t="s">
        <v>2272</v>
      </c>
      <c r="M3370" s="21" t="s">
        <v>2272</v>
      </c>
      <c r="N3370" s="21" t="s">
        <v>2272</v>
      </c>
      <c r="O3370" s="21" t="s">
        <v>2272</v>
      </c>
      <c r="P3370" s="21" t="s">
        <v>2272</v>
      </c>
      <c r="Q3370" s="21" t="s">
        <v>2272</v>
      </c>
      <c r="R3370" s="21" t="s">
        <v>2272</v>
      </c>
      <c r="S3370" s="21" t="s">
        <v>2272</v>
      </c>
      <c r="T3370" s="21" t="s">
        <v>2272</v>
      </c>
      <c r="U3370" s="21" t="s">
        <v>2272</v>
      </c>
      <c r="V3370" s="21" t="s">
        <v>2272</v>
      </c>
      <c r="W3370" s="21" t="s">
        <v>2272</v>
      </c>
      <c r="X3370" s="21" t="s">
        <v>2272</v>
      </c>
      <c r="Y3370" s="21" t="s">
        <v>2272</v>
      </c>
      <c r="Z3370" s="21" t="s">
        <v>2272</v>
      </c>
      <c r="AA3370" s="21" t="s">
        <v>2272</v>
      </c>
      <c r="AB3370" s="198"/>
      <c r="AC3370" s="198"/>
    </row>
    <row r="3371" spans="1:29" ht="36.5" customHeight="1">
      <c r="A3371" s="151" t="str">
        <f>'Reported burning'!A3371</f>
        <v>370a</v>
      </c>
      <c r="B3371" s="151" t="str">
        <f>'Reported burning'!B3371</f>
        <v>370a.11</v>
      </c>
      <c r="C3371" s="151" t="str">
        <f>'Reported burning'!C3371</f>
        <v>Human, deliberate</v>
      </c>
      <c r="D3371" s="151" t="str">
        <f>'Reported burning'!D3371</f>
        <v>Arson</v>
      </c>
      <c r="E3371" s="151" t="str">
        <f>'Reported burning'!E3371</f>
        <v>ND</v>
      </c>
      <c r="F3371" s="151" t="str">
        <f>'Reported burning'!F3371</f>
        <v>ND</v>
      </c>
      <c r="G3371" s="151" t="str">
        <f>'Reported burning'!G3371</f>
        <v>Forest</v>
      </c>
      <c r="H3371" s="151" t="str">
        <f>'Reported burning'!H3371</f>
        <v>Presence</v>
      </c>
      <c r="I3371" s="5"/>
      <c r="J3371" s="21" t="s">
        <v>2272</v>
      </c>
      <c r="K3371" s="21" t="s">
        <v>2272</v>
      </c>
      <c r="L3371" s="21" t="s">
        <v>2272</v>
      </c>
      <c r="M3371" s="21" t="s">
        <v>2272</v>
      </c>
      <c r="N3371" s="21" t="s">
        <v>2272</v>
      </c>
      <c r="O3371" s="21" t="s">
        <v>2272</v>
      </c>
      <c r="P3371" s="21" t="s">
        <v>2272</v>
      </c>
      <c r="Q3371" s="21" t="s">
        <v>2272</v>
      </c>
      <c r="R3371" s="21" t="s">
        <v>2272</v>
      </c>
      <c r="S3371" s="21" t="s">
        <v>2272</v>
      </c>
      <c r="T3371" s="21" t="s">
        <v>2272</v>
      </c>
      <c r="U3371" s="21" t="s">
        <v>2272</v>
      </c>
      <c r="V3371" s="21" t="s">
        <v>2272</v>
      </c>
      <c r="W3371" s="21" t="s">
        <v>2272</v>
      </c>
      <c r="X3371" s="21" t="s">
        <v>2272</v>
      </c>
      <c r="Y3371" s="21" t="s">
        <v>2272</v>
      </c>
      <c r="Z3371" s="21" t="s">
        <v>2272</v>
      </c>
      <c r="AA3371" s="21" t="s">
        <v>2272</v>
      </c>
      <c r="AB3371" s="198"/>
      <c r="AC3371" s="198"/>
    </row>
    <row r="3372" spans="1:29" ht="37.5" customHeight="1">
      <c r="A3372" s="151" t="str">
        <f>'Reported burning'!A3372</f>
        <v>371a</v>
      </c>
      <c r="B3372" s="151" t="str">
        <f>'Reported burning'!B3372</f>
        <v>371a.1</v>
      </c>
      <c r="C3372" s="151" t="str">
        <f>'Reported burning'!C3372</f>
        <v>Human, deliberate</v>
      </c>
      <c r="D3372" s="151" t="str">
        <f>'Reported burning'!D3372</f>
        <v>Crop field preparation</v>
      </c>
      <c r="E3372" s="151" t="str">
        <f>'Reported burning'!E3372</f>
        <v>Cropping, Swidden</v>
      </c>
      <c r="F3372" s="151" t="str">
        <f>'Reported burning'!F3372</f>
        <v>Secondary vegetation</v>
      </c>
      <c r="G3372" s="151" t="str">
        <f>'Reported burning'!G3372</f>
        <v>Secondary vegetation</v>
      </c>
      <c r="H3372" s="151" t="str">
        <f>'Reported burning'!H3372</f>
        <v>Presence</v>
      </c>
      <c r="I3372" s="5"/>
      <c r="J3372" s="21" t="s">
        <v>2272</v>
      </c>
      <c r="K3372" s="21" t="s">
        <v>2272</v>
      </c>
      <c r="L3372" s="21" t="s">
        <v>2272</v>
      </c>
      <c r="M3372" s="21" t="s">
        <v>2272</v>
      </c>
      <c r="N3372" s="21" t="s">
        <v>2272</v>
      </c>
      <c r="O3372" s="21" t="s">
        <v>2272</v>
      </c>
      <c r="P3372" s="21" t="s">
        <v>2272</v>
      </c>
      <c r="Q3372" s="21" t="s">
        <v>2272</v>
      </c>
      <c r="R3372" s="21" t="s">
        <v>2272</v>
      </c>
      <c r="S3372" s="21" t="s">
        <v>2272</v>
      </c>
      <c r="T3372" s="21" t="s">
        <v>2272</v>
      </c>
      <c r="U3372" s="21" t="s">
        <v>2272</v>
      </c>
      <c r="V3372" s="21" t="s">
        <v>2272</v>
      </c>
      <c r="W3372" s="21" t="s">
        <v>2272</v>
      </c>
      <c r="X3372" s="21" t="s">
        <v>2272</v>
      </c>
      <c r="Y3372" s="21" t="s">
        <v>2272</v>
      </c>
      <c r="Z3372" s="21" t="s">
        <v>2272</v>
      </c>
      <c r="AA3372" s="21" t="s">
        <v>2272</v>
      </c>
      <c r="AB3372" s="70" t="s">
        <v>8887</v>
      </c>
      <c r="AC3372" s="198"/>
    </row>
    <row r="3373" spans="1:29" ht="37.5" customHeight="1">
      <c r="A3373" s="151" t="str">
        <f>'Reported burning'!A3373</f>
        <v>371a</v>
      </c>
      <c r="B3373" s="151" t="str">
        <f>'Reported burning'!B3373</f>
        <v>371a.2</v>
      </c>
      <c r="C3373" s="151" t="str">
        <f>'Reported burning'!C3373</f>
        <v>Human, deliberate</v>
      </c>
      <c r="D3373" s="151" t="str">
        <f>'Reported burning'!D3373</f>
        <v>Pasture renewal</v>
      </c>
      <c r="E3373" s="151" t="str">
        <f>'Reported burning'!E3373</f>
        <v>Cattle, Extensive</v>
      </c>
      <c r="F3373" s="151" t="str">
        <f>'Reported burning'!F3373</f>
        <v>Pasture</v>
      </c>
      <c r="G3373" s="151" t="str">
        <f>'Reported burning'!G3373</f>
        <v>Pasture</v>
      </c>
      <c r="H3373" s="151" t="str">
        <f>'Reported burning'!H3373</f>
        <v>Presence</v>
      </c>
      <c r="I3373" s="5"/>
      <c r="J3373" s="21" t="s">
        <v>2272</v>
      </c>
      <c r="K3373" s="21" t="s">
        <v>2272</v>
      </c>
      <c r="L3373" s="21" t="s">
        <v>2272</v>
      </c>
      <c r="M3373" s="21" t="s">
        <v>2272</v>
      </c>
      <c r="N3373" s="21" t="s">
        <v>2272</v>
      </c>
      <c r="O3373" s="21" t="s">
        <v>2272</v>
      </c>
      <c r="P3373" s="21" t="s">
        <v>2272</v>
      </c>
      <c r="Q3373" s="21" t="s">
        <v>2272</v>
      </c>
      <c r="R3373" s="21" t="s">
        <v>2272</v>
      </c>
      <c r="S3373" s="21" t="s">
        <v>2272</v>
      </c>
      <c r="T3373" s="21" t="s">
        <v>2272</v>
      </c>
      <c r="U3373" s="21" t="s">
        <v>2272</v>
      </c>
      <c r="V3373" s="21" t="s">
        <v>2272</v>
      </c>
      <c r="W3373" s="21" t="s">
        <v>2272</v>
      </c>
      <c r="X3373" s="21" t="s">
        <v>2272</v>
      </c>
      <c r="Y3373" s="21" t="s">
        <v>2272</v>
      </c>
      <c r="Z3373" s="21" t="s">
        <v>2272</v>
      </c>
      <c r="AA3373" s="21" t="s">
        <v>2272</v>
      </c>
      <c r="AB3373" s="70" t="s">
        <v>8887</v>
      </c>
      <c r="AC3373" s="198"/>
    </row>
    <row r="3374" spans="1:29" ht="37.5" customHeight="1">
      <c r="A3374" s="151" t="str">
        <f>'Reported burning'!A3374</f>
        <v>371a</v>
      </c>
      <c r="B3374" s="151" t="str">
        <f>'Reported burning'!B3374</f>
        <v>371a.3</v>
      </c>
      <c r="C3374" s="151" t="str">
        <f>'Reported burning'!C3374</f>
        <v>Human, deliberate</v>
      </c>
      <c r="D3374" s="151" t="str">
        <f>'Reported burning'!D3374</f>
        <v>Pest management</v>
      </c>
      <c r="E3374" s="151" t="str">
        <f>'Reported burning'!E3374</f>
        <v>Cattle, Extensive</v>
      </c>
      <c r="F3374" s="151" t="str">
        <f>'Reported burning'!F3374</f>
        <v>Pasture</v>
      </c>
      <c r="G3374" s="151" t="str">
        <f>'Reported burning'!G3374</f>
        <v>Pasture</v>
      </c>
      <c r="H3374" s="151" t="str">
        <f>'Reported burning'!H3374</f>
        <v>Presence</v>
      </c>
      <c r="I3374" s="5"/>
      <c r="J3374" s="21" t="s">
        <v>2272</v>
      </c>
      <c r="K3374" s="21" t="s">
        <v>2272</v>
      </c>
      <c r="L3374" s="21" t="s">
        <v>2272</v>
      </c>
      <c r="M3374" s="21" t="s">
        <v>2272</v>
      </c>
      <c r="N3374" s="21" t="s">
        <v>2272</v>
      </c>
      <c r="O3374" s="21" t="s">
        <v>2272</v>
      </c>
      <c r="P3374" s="21" t="s">
        <v>2272</v>
      </c>
      <c r="Q3374" s="21" t="s">
        <v>2272</v>
      </c>
      <c r="R3374" s="21" t="s">
        <v>2272</v>
      </c>
      <c r="S3374" s="21" t="s">
        <v>2272</v>
      </c>
      <c r="T3374" s="21" t="s">
        <v>2272</v>
      </c>
      <c r="U3374" s="21" t="s">
        <v>2272</v>
      </c>
      <c r="V3374" s="21" t="s">
        <v>2272</v>
      </c>
      <c r="W3374" s="21" t="s">
        <v>2272</v>
      </c>
      <c r="X3374" s="21" t="s">
        <v>2272</v>
      </c>
      <c r="Y3374" s="21" t="s">
        <v>2272</v>
      </c>
      <c r="Z3374" s="21" t="s">
        <v>2272</v>
      </c>
      <c r="AA3374" s="21" t="s">
        <v>2272</v>
      </c>
      <c r="AB3374" s="70" t="s">
        <v>8887</v>
      </c>
      <c r="AC3374" s="198"/>
    </row>
    <row r="3375" spans="1:29" ht="37.5" customHeight="1">
      <c r="A3375" s="151" t="str">
        <f>'Reported burning'!A3375</f>
        <v>371a</v>
      </c>
      <c r="B3375" s="151" t="str">
        <f>'Reported burning'!B3375</f>
        <v>371a.4</v>
      </c>
      <c r="C3375" s="151" t="str">
        <f>'Reported burning'!C3375</f>
        <v>Human, deliberate</v>
      </c>
      <c r="D3375" s="151" t="str">
        <f>'Reported burning'!D3375</f>
        <v>Land clearance</v>
      </c>
      <c r="E3375" s="151" t="str">
        <f>'Reported burning'!E3375</f>
        <v>Cattle, Extensive</v>
      </c>
      <c r="F3375" s="151" t="str">
        <f>'Reported burning'!F3375</f>
        <v>Pasture</v>
      </c>
      <c r="G3375" s="151" t="str">
        <f>'Reported burning'!G3375</f>
        <v>Pasture</v>
      </c>
      <c r="H3375" s="151" t="str">
        <f>'Reported burning'!H3375</f>
        <v>Presence</v>
      </c>
      <c r="I3375" s="5"/>
      <c r="J3375" s="21" t="s">
        <v>2272</v>
      </c>
      <c r="K3375" s="21" t="s">
        <v>2272</v>
      </c>
      <c r="L3375" s="21" t="s">
        <v>2272</v>
      </c>
      <c r="M3375" s="21" t="s">
        <v>2272</v>
      </c>
      <c r="N3375" s="21" t="s">
        <v>2272</v>
      </c>
      <c r="O3375" s="21" t="s">
        <v>2272</v>
      </c>
      <c r="P3375" s="21" t="s">
        <v>2272</v>
      </c>
      <c r="Q3375" s="21" t="s">
        <v>2272</v>
      </c>
      <c r="R3375" s="21" t="s">
        <v>2272</v>
      </c>
      <c r="S3375" s="21" t="s">
        <v>2272</v>
      </c>
      <c r="T3375" s="21" t="s">
        <v>2272</v>
      </c>
      <c r="U3375" s="21" t="s">
        <v>2272</v>
      </c>
      <c r="V3375" s="21" t="s">
        <v>2272</v>
      </c>
      <c r="W3375" s="21" t="s">
        <v>2272</v>
      </c>
      <c r="X3375" s="21" t="s">
        <v>2272</v>
      </c>
      <c r="Y3375" s="21" t="s">
        <v>2272</v>
      </c>
      <c r="Z3375" s="21" t="s">
        <v>2272</v>
      </c>
      <c r="AA3375" s="21" t="s">
        <v>2272</v>
      </c>
      <c r="AB3375" s="70" t="s">
        <v>8887</v>
      </c>
      <c r="AC3375" s="198"/>
    </row>
    <row r="3376" spans="1:29" ht="37.5" customHeight="1">
      <c r="A3376" s="151" t="str">
        <f>'Reported burning'!A3376</f>
        <v>371a</v>
      </c>
      <c r="B3376" s="151" t="str">
        <f>'Reported burning'!B3376</f>
        <v>371a.5</v>
      </c>
      <c r="C3376" s="151" t="str">
        <f>'Reported burning'!C3376</f>
        <v>Human, escaped</v>
      </c>
      <c r="D3376" s="151" t="str">
        <f>'Reported burning'!D3376</f>
        <v>Crop field preparation</v>
      </c>
      <c r="E3376" s="151" t="str">
        <f>'Reported burning'!E3376</f>
        <v>Cropping, Swidden</v>
      </c>
      <c r="F3376" s="151" t="str">
        <f>'Reported burning'!F3376</f>
        <v>Secondary vegetation</v>
      </c>
      <c r="G3376" s="151" t="str">
        <f>'Reported burning'!G3376</f>
        <v>ND</v>
      </c>
      <c r="H3376" s="151" t="str">
        <f>'Reported burning'!H3376</f>
        <v>Presence</v>
      </c>
      <c r="I3376" s="5"/>
      <c r="J3376" s="21" t="s">
        <v>2272</v>
      </c>
      <c r="K3376" s="21" t="s">
        <v>2272</v>
      </c>
      <c r="L3376" s="21" t="s">
        <v>2272</v>
      </c>
      <c r="M3376" s="21" t="s">
        <v>2272</v>
      </c>
      <c r="N3376" s="21" t="s">
        <v>2272</v>
      </c>
      <c r="O3376" s="21" t="s">
        <v>2272</v>
      </c>
      <c r="P3376" s="21" t="s">
        <v>2272</v>
      </c>
      <c r="Q3376" s="21" t="s">
        <v>2272</v>
      </c>
      <c r="R3376" s="21" t="s">
        <v>2272</v>
      </c>
      <c r="S3376" s="21" t="s">
        <v>2272</v>
      </c>
      <c r="T3376" s="21" t="s">
        <v>2272</v>
      </c>
      <c r="U3376" s="21" t="s">
        <v>2272</v>
      </c>
      <c r="V3376" s="21" t="s">
        <v>2272</v>
      </c>
      <c r="W3376" s="21" t="s">
        <v>2272</v>
      </c>
      <c r="X3376" s="21" t="s">
        <v>2272</v>
      </c>
      <c r="Y3376" s="21" t="s">
        <v>2272</v>
      </c>
      <c r="Z3376" s="21" t="s">
        <v>2272</v>
      </c>
      <c r="AA3376" s="21" t="s">
        <v>2272</v>
      </c>
      <c r="AB3376" s="198" t="s">
        <v>8892</v>
      </c>
      <c r="AC3376" s="198"/>
    </row>
    <row r="3377" spans="1:29" ht="37.5" customHeight="1">
      <c r="A3377" s="151" t="str">
        <f>'Reported burning'!A3377</f>
        <v>371a</v>
      </c>
      <c r="B3377" s="151" t="str">
        <f>'Reported burning'!B3377</f>
        <v>371a.6</v>
      </c>
      <c r="C3377" s="151" t="str">
        <f>'Reported burning'!C3377</f>
        <v>Human, escaped</v>
      </c>
      <c r="D3377" s="151" t="str">
        <f>'Reported burning'!D3377</f>
        <v>Pasture renewal</v>
      </c>
      <c r="E3377" s="151" t="str">
        <f>'Reported burning'!E3377</f>
        <v>Cattle, Extensive</v>
      </c>
      <c r="F3377" s="151" t="str">
        <f>'Reported burning'!F3377</f>
        <v>Pasture</v>
      </c>
      <c r="G3377" s="151" t="str">
        <f>'Reported burning'!G3377</f>
        <v>ND</v>
      </c>
      <c r="H3377" s="151" t="str">
        <f>'Reported burning'!H3377</f>
        <v>Presence</v>
      </c>
      <c r="I3377" s="5"/>
      <c r="J3377" s="21" t="s">
        <v>2272</v>
      </c>
      <c r="K3377" s="21" t="s">
        <v>2272</v>
      </c>
      <c r="L3377" s="21" t="s">
        <v>2272</v>
      </c>
      <c r="M3377" s="21" t="s">
        <v>2272</v>
      </c>
      <c r="N3377" s="21" t="s">
        <v>2272</v>
      </c>
      <c r="O3377" s="21" t="s">
        <v>2272</v>
      </c>
      <c r="P3377" s="21" t="s">
        <v>2272</v>
      </c>
      <c r="Q3377" s="21" t="s">
        <v>2272</v>
      </c>
      <c r="R3377" s="21" t="s">
        <v>2272</v>
      </c>
      <c r="S3377" s="21" t="s">
        <v>2272</v>
      </c>
      <c r="T3377" s="21" t="s">
        <v>2272</v>
      </c>
      <c r="U3377" s="21" t="s">
        <v>2272</v>
      </c>
      <c r="V3377" s="21" t="s">
        <v>2272</v>
      </c>
      <c r="W3377" s="21" t="s">
        <v>2272</v>
      </c>
      <c r="X3377" s="21" t="s">
        <v>2272</v>
      </c>
      <c r="Y3377" s="21" t="s">
        <v>2272</v>
      </c>
      <c r="Z3377" s="21" t="s">
        <v>2272</v>
      </c>
      <c r="AA3377" s="21" t="s">
        <v>2272</v>
      </c>
      <c r="AB3377" s="198" t="s">
        <v>8892</v>
      </c>
      <c r="AC3377" s="198"/>
    </row>
    <row r="3378" spans="1:29" ht="37.5" customHeight="1">
      <c r="A3378" s="151" t="str">
        <f>'Reported burning'!A3378</f>
        <v>371a</v>
      </c>
      <c r="B3378" s="151" t="str">
        <f>'Reported burning'!B3378</f>
        <v>371a.7</v>
      </c>
      <c r="C3378" s="151" t="str">
        <f>'Reported burning'!C3378</f>
        <v>Human, escaped</v>
      </c>
      <c r="D3378" s="151" t="str">
        <f>'Reported burning'!D3378</f>
        <v>Pest management</v>
      </c>
      <c r="E3378" s="151" t="str">
        <f>'Reported burning'!E3378</f>
        <v>Cattle, Extensive</v>
      </c>
      <c r="F3378" s="151" t="str">
        <f>'Reported burning'!F3378</f>
        <v>Pasture</v>
      </c>
      <c r="G3378" s="151" t="str">
        <f>'Reported burning'!G3378</f>
        <v>ND</v>
      </c>
      <c r="H3378" s="151" t="str">
        <f>'Reported burning'!H3378</f>
        <v>Presence</v>
      </c>
      <c r="I3378" s="5"/>
      <c r="J3378" s="21" t="s">
        <v>2272</v>
      </c>
      <c r="K3378" s="21" t="s">
        <v>2272</v>
      </c>
      <c r="L3378" s="21" t="s">
        <v>2272</v>
      </c>
      <c r="M3378" s="21" t="s">
        <v>2272</v>
      </c>
      <c r="N3378" s="21" t="s">
        <v>2272</v>
      </c>
      <c r="O3378" s="21" t="s">
        <v>2272</v>
      </c>
      <c r="P3378" s="21" t="s">
        <v>2272</v>
      </c>
      <c r="Q3378" s="21" t="s">
        <v>2272</v>
      </c>
      <c r="R3378" s="21" t="s">
        <v>2272</v>
      </c>
      <c r="S3378" s="21" t="s">
        <v>2272</v>
      </c>
      <c r="T3378" s="21" t="s">
        <v>2272</v>
      </c>
      <c r="U3378" s="21" t="s">
        <v>2272</v>
      </c>
      <c r="V3378" s="21" t="s">
        <v>2272</v>
      </c>
      <c r="W3378" s="21" t="s">
        <v>2272</v>
      </c>
      <c r="X3378" s="21" t="s">
        <v>2272</v>
      </c>
      <c r="Y3378" s="21" t="s">
        <v>2272</v>
      </c>
      <c r="Z3378" s="21" t="s">
        <v>2272</v>
      </c>
      <c r="AA3378" s="21" t="s">
        <v>2272</v>
      </c>
      <c r="AB3378" s="198" t="s">
        <v>8892</v>
      </c>
      <c r="AC3378" s="198"/>
    </row>
    <row r="3379" spans="1:29" ht="37.5" customHeight="1">
      <c r="A3379" s="151" t="str">
        <f>'Reported burning'!A3379</f>
        <v>371a</v>
      </c>
      <c r="B3379" s="151" t="str">
        <f>'Reported burning'!B3379</f>
        <v>371a.8</v>
      </c>
      <c r="C3379" s="151" t="str">
        <f>'Reported burning'!C3379</f>
        <v>Human, escaped</v>
      </c>
      <c r="D3379" s="151" t="str">
        <f>'Reported burning'!D3379</f>
        <v>Land clearance</v>
      </c>
      <c r="E3379" s="151" t="str">
        <f>'Reported burning'!E3379</f>
        <v>Cattle, Extensive</v>
      </c>
      <c r="F3379" s="151" t="str">
        <f>'Reported burning'!F3379</f>
        <v>Pasture</v>
      </c>
      <c r="G3379" s="151" t="str">
        <f>'Reported burning'!G3379</f>
        <v>ND</v>
      </c>
      <c r="H3379" s="151" t="str">
        <f>'Reported burning'!H3379</f>
        <v>Presence</v>
      </c>
      <c r="I3379" s="5"/>
      <c r="J3379" s="21" t="s">
        <v>2272</v>
      </c>
      <c r="K3379" s="21" t="s">
        <v>2272</v>
      </c>
      <c r="L3379" s="21" t="s">
        <v>2272</v>
      </c>
      <c r="M3379" s="21" t="s">
        <v>2272</v>
      </c>
      <c r="N3379" s="21" t="s">
        <v>2272</v>
      </c>
      <c r="O3379" s="21" t="s">
        <v>2272</v>
      </c>
      <c r="P3379" s="21" t="s">
        <v>2272</v>
      </c>
      <c r="Q3379" s="21" t="s">
        <v>2272</v>
      </c>
      <c r="R3379" s="21" t="s">
        <v>2272</v>
      </c>
      <c r="S3379" s="21" t="s">
        <v>2272</v>
      </c>
      <c r="T3379" s="21" t="s">
        <v>2272</v>
      </c>
      <c r="U3379" s="21" t="s">
        <v>2272</v>
      </c>
      <c r="V3379" s="21" t="s">
        <v>2272</v>
      </c>
      <c r="W3379" s="21" t="s">
        <v>2272</v>
      </c>
      <c r="X3379" s="21" t="s">
        <v>2272</v>
      </c>
      <c r="Y3379" s="21" t="s">
        <v>2272</v>
      </c>
      <c r="Z3379" s="21" t="s">
        <v>2272</v>
      </c>
      <c r="AA3379" s="21" t="s">
        <v>2272</v>
      </c>
      <c r="AB3379" s="198" t="s">
        <v>8892</v>
      </c>
      <c r="AC3379" s="198"/>
    </row>
    <row r="3380" spans="1:29" ht="37.5" customHeight="1">
      <c r="A3380" s="151" t="str">
        <f>'Reported burning'!A3380</f>
        <v>371a</v>
      </c>
      <c r="B3380" s="151" t="str">
        <f>'Reported burning'!B3380</f>
        <v>371a.9</v>
      </c>
      <c r="C3380" s="151" t="str">
        <f>'Reported burning'!C3380</f>
        <v>Human, deliberate</v>
      </c>
      <c r="D3380" s="151" t="str">
        <f>'Reported burning'!D3380</f>
        <v>All</v>
      </c>
      <c r="E3380" s="151" t="str">
        <f>'Reported burning'!E3380</f>
        <v>Mixed cropping-livestock small holder, Market-oriented</v>
      </c>
      <c r="F3380" s="151" t="str">
        <f>'Reported burning'!F3380</f>
        <v>ND</v>
      </c>
      <c r="G3380" s="151" t="str">
        <f>'Reported burning'!G3380</f>
        <v>ND</v>
      </c>
      <c r="H3380" s="151" t="str">
        <f>'Reported burning'!H3380</f>
        <v>Absence</v>
      </c>
      <c r="I3380" s="5"/>
      <c r="J3380" s="21">
        <v>0</v>
      </c>
      <c r="K3380" s="21">
        <v>0</v>
      </c>
      <c r="L3380" s="21">
        <v>0</v>
      </c>
      <c r="M3380" s="21">
        <v>0</v>
      </c>
      <c r="N3380" s="21">
        <v>0</v>
      </c>
      <c r="O3380" s="21">
        <v>0</v>
      </c>
      <c r="P3380" s="21">
        <v>0</v>
      </c>
      <c r="Q3380" s="21">
        <v>0</v>
      </c>
      <c r="R3380" s="21">
        <v>0</v>
      </c>
      <c r="S3380" s="21">
        <v>0</v>
      </c>
      <c r="T3380" s="21">
        <v>0</v>
      </c>
      <c r="U3380" s="21">
        <v>0</v>
      </c>
      <c r="V3380" s="21">
        <v>0</v>
      </c>
      <c r="W3380" s="21">
        <v>0</v>
      </c>
      <c r="X3380" s="21" t="s">
        <v>2272</v>
      </c>
      <c r="Y3380" s="21" t="s">
        <v>2272</v>
      </c>
      <c r="Z3380" s="21" t="s">
        <v>2272</v>
      </c>
      <c r="AA3380" s="21" t="s">
        <v>2272</v>
      </c>
      <c r="AB3380" s="19" t="s">
        <v>8893</v>
      </c>
      <c r="AC3380" s="198"/>
    </row>
    <row r="3381" spans="1:29" ht="38.5" customHeight="1">
      <c r="A3381" s="151" t="str">
        <f>'Reported burning'!A3381</f>
        <v>371b</v>
      </c>
      <c r="B3381" s="151" t="str">
        <f>'Reported burning'!B3381</f>
        <v>371b.1</v>
      </c>
      <c r="C3381" s="151" t="str">
        <f>'Reported burning'!C3381</f>
        <v>Human, deliberate</v>
      </c>
      <c r="D3381" s="151" t="str">
        <f>'Reported burning'!D3381</f>
        <v>Crop field preparation</v>
      </c>
      <c r="E3381" s="151" t="str">
        <f>'Reported burning'!E3381</f>
        <v>Cropping, Swidden</v>
      </c>
      <c r="F3381" s="151" t="str">
        <f>'Reported burning'!F3381</f>
        <v>Secondary vegetation</v>
      </c>
      <c r="G3381" s="151" t="str">
        <f>'Reported burning'!G3381</f>
        <v>Secondary vegetation</v>
      </c>
      <c r="H3381" s="151" t="str">
        <f>'Reported burning'!H3381</f>
        <v>Presence</v>
      </c>
      <c r="I3381" s="5"/>
      <c r="J3381" s="21" t="s">
        <v>2272</v>
      </c>
      <c r="K3381" s="21" t="s">
        <v>2272</v>
      </c>
      <c r="L3381" s="21" t="s">
        <v>2272</v>
      </c>
      <c r="M3381" s="21" t="s">
        <v>2272</v>
      </c>
      <c r="N3381" s="21" t="s">
        <v>2272</v>
      </c>
      <c r="O3381" s="21" t="s">
        <v>2272</v>
      </c>
      <c r="P3381" s="21" t="s">
        <v>2272</v>
      </c>
      <c r="Q3381" s="21" t="s">
        <v>2272</v>
      </c>
      <c r="R3381" s="21" t="s">
        <v>2272</v>
      </c>
      <c r="S3381" s="21" t="s">
        <v>2272</v>
      </c>
      <c r="T3381" s="21" t="s">
        <v>2272</v>
      </c>
      <c r="U3381" s="21" t="s">
        <v>2272</v>
      </c>
      <c r="V3381" s="21" t="s">
        <v>2272</v>
      </c>
      <c r="W3381" s="21" t="s">
        <v>2272</v>
      </c>
      <c r="X3381" s="21" t="s">
        <v>2272</v>
      </c>
      <c r="Y3381" s="21" t="s">
        <v>2272</v>
      </c>
      <c r="Z3381" s="21" t="s">
        <v>2272</v>
      </c>
      <c r="AA3381" s="198"/>
      <c r="AB3381" s="70" t="s">
        <v>8887</v>
      </c>
      <c r="AC3381" s="198"/>
    </row>
    <row r="3382" spans="1:29" ht="37.5" customHeight="1">
      <c r="A3382" s="151" t="str">
        <f>'Reported burning'!A3382</f>
        <v>371b</v>
      </c>
      <c r="B3382" s="151" t="str">
        <f>'Reported burning'!B3382</f>
        <v>371b.2</v>
      </c>
      <c r="C3382" s="151" t="str">
        <f>'Reported burning'!C3382</f>
        <v>Human, deliberate</v>
      </c>
      <c r="D3382" s="151" t="str">
        <f>'Reported burning'!D3382</f>
        <v>Pasture renewal</v>
      </c>
      <c r="E3382" s="151" t="str">
        <f>'Reported burning'!E3382</f>
        <v>Cattle, Extensive</v>
      </c>
      <c r="F3382" s="151" t="str">
        <f>'Reported burning'!F3382</f>
        <v>Pasture</v>
      </c>
      <c r="G3382" s="151" t="str">
        <f>'Reported burning'!G3382</f>
        <v>Pasture</v>
      </c>
      <c r="H3382" s="151" t="str">
        <f>'Reported burning'!H3382</f>
        <v>Presence</v>
      </c>
      <c r="I3382" s="5"/>
      <c r="J3382" s="21" t="s">
        <v>2272</v>
      </c>
      <c r="K3382" s="21" t="s">
        <v>2272</v>
      </c>
      <c r="L3382" s="21" t="s">
        <v>2272</v>
      </c>
      <c r="M3382" s="21" t="s">
        <v>2272</v>
      </c>
      <c r="N3382" s="21" t="s">
        <v>2272</v>
      </c>
      <c r="O3382" s="21" t="s">
        <v>2272</v>
      </c>
      <c r="P3382" s="21" t="s">
        <v>2272</v>
      </c>
      <c r="Q3382" s="21" t="s">
        <v>2272</v>
      </c>
      <c r="R3382" s="21" t="s">
        <v>2272</v>
      </c>
      <c r="S3382" s="21" t="s">
        <v>2272</v>
      </c>
      <c r="T3382" s="21" t="s">
        <v>2272</v>
      </c>
      <c r="U3382" s="21" t="s">
        <v>2272</v>
      </c>
      <c r="V3382" s="21" t="s">
        <v>2272</v>
      </c>
      <c r="W3382" s="21" t="s">
        <v>2272</v>
      </c>
      <c r="X3382" s="21" t="s">
        <v>2272</v>
      </c>
      <c r="Y3382" s="21" t="s">
        <v>2272</v>
      </c>
      <c r="Z3382" s="21" t="s">
        <v>2272</v>
      </c>
      <c r="AA3382" s="198"/>
      <c r="AB3382" s="70" t="s">
        <v>8887</v>
      </c>
      <c r="AC3382" s="198"/>
    </row>
    <row r="3383" spans="1:29" ht="37.5" customHeight="1">
      <c r="A3383" s="151" t="str">
        <f>'Reported burning'!A3383</f>
        <v>371b</v>
      </c>
      <c r="B3383" s="151" t="str">
        <f>'Reported burning'!B3383</f>
        <v>371b.3</v>
      </c>
      <c r="C3383" s="151" t="str">
        <f>'Reported burning'!C3383</f>
        <v>Human, deliberate</v>
      </c>
      <c r="D3383" s="151" t="str">
        <f>'Reported burning'!D3383</f>
        <v>Pest management</v>
      </c>
      <c r="E3383" s="151" t="str">
        <f>'Reported burning'!E3383</f>
        <v>Cattle, Extensive</v>
      </c>
      <c r="F3383" s="151" t="str">
        <f>'Reported burning'!F3383</f>
        <v>Pasture</v>
      </c>
      <c r="G3383" s="151" t="str">
        <f>'Reported burning'!G3383</f>
        <v>Pasture</v>
      </c>
      <c r="H3383" s="151" t="str">
        <f>'Reported burning'!H3383</f>
        <v>Presence</v>
      </c>
      <c r="I3383" s="5"/>
      <c r="J3383" s="21" t="s">
        <v>2272</v>
      </c>
      <c r="K3383" s="21" t="s">
        <v>2272</v>
      </c>
      <c r="L3383" s="21" t="s">
        <v>2272</v>
      </c>
      <c r="M3383" s="21" t="s">
        <v>2272</v>
      </c>
      <c r="N3383" s="21" t="s">
        <v>2272</v>
      </c>
      <c r="O3383" s="21" t="s">
        <v>2272</v>
      </c>
      <c r="P3383" s="21" t="s">
        <v>2272</v>
      </c>
      <c r="Q3383" s="21" t="s">
        <v>2272</v>
      </c>
      <c r="R3383" s="21" t="s">
        <v>2272</v>
      </c>
      <c r="S3383" s="21" t="s">
        <v>2272</v>
      </c>
      <c r="T3383" s="21" t="s">
        <v>2272</v>
      </c>
      <c r="U3383" s="21" t="s">
        <v>2272</v>
      </c>
      <c r="V3383" s="21" t="s">
        <v>2272</v>
      </c>
      <c r="W3383" s="21" t="s">
        <v>2272</v>
      </c>
      <c r="X3383" s="21" t="s">
        <v>2272</v>
      </c>
      <c r="Y3383" s="21" t="s">
        <v>2272</v>
      </c>
      <c r="Z3383" s="21" t="s">
        <v>2272</v>
      </c>
      <c r="AA3383" s="198"/>
      <c r="AB3383" s="70" t="s">
        <v>8887</v>
      </c>
      <c r="AC3383" s="198"/>
    </row>
    <row r="3384" spans="1:29" ht="37.5" customHeight="1">
      <c r="A3384" s="151" t="str">
        <f>'Reported burning'!A3384</f>
        <v>371b</v>
      </c>
      <c r="B3384" s="151" t="str">
        <f>'Reported burning'!B3384</f>
        <v>371b.4</v>
      </c>
      <c r="C3384" s="151" t="str">
        <f>'Reported burning'!C3384</f>
        <v>Human, deliberate</v>
      </c>
      <c r="D3384" s="151" t="str">
        <f>'Reported burning'!D3384</f>
        <v>Land clearance</v>
      </c>
      <c r="E3384" s="151" t="str">
        <f>'Reported burning'!E3384</f>
        <v>Cattle, Extensive</v>
      </c>
      <c r="F3384" s="151" t="str">
        <f>'Reported burning'!F3384</f>
        <v>Pasture</v>
      </c>
      <c r="G3384" s="151" t="str">
        <f>'Reported burning'!G3384</f>
        <v>Pasture</v>
      </c>
      <c r="H3384" s="151" t="str">
        <f>'Reported burning'!H3384</f>
        <v>Presence</v>
      </c>
      <c r="I3384" s="5"/>
      <c r="J3384" s="21" t="s">
        <v>2272</v>
      </c>
      <c r="K3384" s="21" t="s">
        <v>2272</v>
      </c>
      <c r="L3384" s="21" t="s">
        <v>2272</v>
      </c>
      <c r="M3384" s="21" t="s">
        <v>2272</v>
      </c>
      <c r="N3384" s="21" t="s">
        <v>2272</v>
      </c>
      <c r="O3384" s="21" t="s">
        <v>2272</v>
      </c>
      <c r="P3384" s="21" t="s">
        <v>2272</v>
      </c>
      <c r="Q3384" s="21" t="s">
        <v>2272</v>
      </c>
      <c r="R3384" s="21" t="s">
        <v>2272</v>
      </c>
      <c r="S3384" s="21" t="s">
        <v>2272</v>
      </c>
      <c r="T3384" s="21" t="s">
        <v>2272</v>
      </c>
      <c r="U3384" s="21" t="s">
        <v>2272</v>
      </c>
      <c r="V3384" s="21" t="s">
        <v>2272</v>
      </c>
      <c r="W3384" s="21" t="s">
        <v>2272</v>
      </c>
      <c r="X3384" s="21" t="s">
        <v>2272</v>
      </c>
      <c r="Y3384" s="21" t="s">
        <v>2272</v>
      </c>
      <c r="Z3384" s="21" t="s">
        <v>2272</v>
      </c>
      <c r="AA3384" s="198"/>
      <c r="AB3384" s="70" t="s">
        <v>8887</v>
      </c>
      <c r="AC3384" s="198"/>
    </row>
    <row r="3385" spans="1:29" ht="37.5" customHeight="1">
      <c r="A3385" s="151" t="str">
        <f>'Reported burning'!A3385</f>
        <v>371b</v>
      </c>
      <c r="B3385" s="151" t="str">
        <f>'Reported burning'!B3385</f>
        <v>371b.5</v>
      </c>
      <c r="C3385" s="151" t="str">
        <f>'Reported burning'!C3385</f>
        <v>Human, escaped</v>
      </c>
      <c r="D3385" s="151" t="str">
        <f>'Reported burning'!D3385</f>
        <v>Crop field preparation</v>
      </c>
      <c r="E3385" s="151" t="str">
        <f>'Reported burning'!E3385</f>
        <v>Cropping, Swidden</v>
      </c>
      <c r="F3385" s="151" t="str">
        <f>'Reported burning'!F3385</f>
        <v>Secondary vegetation</v>
      </c>
      <c r="G3385" s="151" t="str">
        <f>'Reported burning'!G3385</f>
        <v>ND</v>
      </c>
      <c r="H3385" s="151" t="str">
        <f>'Reported burning'!H3385</f>
        <v>Presence</v>
      </c>
      <c r="I3385" s="5"/>
      <c r="J3385" s="21" t="s">
        <v>2272</v>
      </c>
      <c r="K3385" s="21" t="s">
        <v>2272</v>
      </c>
      <c r="L3385" s="21" t="s">
        <v>2272</v>
      </c>
      <c r="M3385" s="21" t="s">
        <v>2272</v>
      </c>
      <c r="N3385" s="21" t="s">
        <v>2272</v>
      </c>
      <c r="O3385" s="21" t="s">
        <v>2272</v>
      </c>
      <c r="P3385" s="21" t="s">
        <v>2272</v>
      </c>
      <c r="Q3385" s="21" t="s">
        <v>2272</v>
      </c>
      <c r="R3385" s="21" t="s">
        <v>2272</v>
      </c>
      <c r="S3385" s="21" t="s">
        <v>2272</v>
      </c>
      <c r="T3385" s="21" t="s">
        <v>2272</v>
      </c>
      <c r="U3385" s="21" t="s">
        <v>2272</v>
      </c>
      <c r="V3385" s="21" t="s">
        <v>2272</v>
      </c>
      <c r="W3385" s="21" t="s">
        <v>2272</v>
      </c>
      <c r="X3385" s="21" t="s">
        <v>2272</v>
      </c>
      <c r="Y3385" s="21" t="s">
        <v>2272</v>
      </c>
      <c r="Z3385" s="21" t="s">
        <v>2272</v>
      </c>
      <c r="AA3385" s="198"/>
      <c r="AB3385" s="198" t="s">
        <v>8892</v>
      </c>
      <c r="AC3385" s="198"/>
    </row>
    <row r="3386" spans="1:29" ht="37.5" customHeight="1">
      <c r="A3386" s="151" t="str">
        <f>'Reported burning'!A3386</f>
        <v>371b</v>
      </c>
      <c r="B3386" s="151" t="str">
        <f>'Reported burning'!B3386</f>
        <v>371b.6</v>
      </c>
      <c r="C3386" s="151" t="str">
        <f>'Reported burning'!C3386</f>
        <v>Human, escaped</v>
      </c>
      <c r="D3386" s="151" t="str">
        <f>'Reported burning'!D3386</f>
        <v>Pasture renewal</v>
      </c>
      <c r="E3386" s="151" t="str">
        <f>'Reported burning'!E3386</f>
        <v>Cattle, Extensive</v>
      </c>
      <c r="F3386" s="151" t="str">
        <f>'Reported burning'!F3386</f>
        <v>Pasture</v>
      </c>
      <c r="G3386" s="151" t="str">
        <f>'Reported burning'!G3386</f>
        <v>ND</v>
      </c>
      <c r="H3386" s="151" t="str">
        <f>'Reported burning'!H3386</f>
        <v>Presence</v>
      </c>
      <c r="I3386" s="5"/>
      <c r="J3386" s="21" t="s">
        <v>2272</v>
      </c>
      <c r="K3386" s="21" t="s">
        <v>2272</v>
      </c>
      <c r="L3386" s="21" t="s">
        <v>2272</v>
      </c>
      <c r="M3386" s="21" t="s">
        <v>2272</v>
      </c>
      <c r="N3386" s="21" t="s">
        <v>2272</v>
      </c>
      <c r="O3386" s="21" t="s">
        <v>2272</v>
      </c>
      <c r="P3386" s="21" t="s">
        <v>2272</v>
      </c>
      <c r="Q3386" s="21" t="s">
        <v>2272</v>
      </c>
      <c r="R3386" s="21" t="s">
        <v>2272</v>
      </c>
      <c r="S3386" s="21" t="s">
        <v>2272</v>
      </c>
      <c r="T3386" s="21" t="s">
        <v>2272</v>
      </c>
      <c r="U3386" s="21" t="s">
        <v>2272</v>
      </c>
      <c r="V3386" s="21" t="s">
        <v>2272</v>
      </c>
      <c r="W3386" s="21" t="s">
        <v>2272</v>
      </c>
      <c r="X3386" s="21" t="s">
        <v>2272</v>
      </c>
      <c r="Y3386" s="21" t="s">
        <v>2272</v>
      </c>
      <c r="Z3386" s="21" t="s">
        <v>2272</v>
      </c>
      <c r="AA3386" s="198"/>
      <c r="AB3386" s="198" t="s">
        <v>8892</v>
      </c>
      <c r="AC3386" s="198"/>
    </row>
    <row r="3387" spans="1:29" ht="37.5" customHeight="1">
      <c r="A3387" s="151" t="str">
        <f>'Reported burning'!A3387</f>
        <v>371b</v>
      </c>
      <c r="B3387" s="151" t="str">
        <f>'Reported burning'!B3387</f>
        <v>371b.7</v>
      </c>
      <c r="C3387" s="151" t="str">
        <f>'Reported burning'!C3387</f>
        <v>Human, escaped</v>
      </c>
      <c r="D3387" s="151" t="str">
        <f>'Reported burning'!D3387</f>
        <v>Pest management</v>
      </c>
      <c r="E3387" s="151" t="str">
        <f>'Reported burning'!E3387</f>
        <v>Cattle, Extensive</v>
      </c>
      <c r="F3387" s="151" t="str">
        <f>'Reported burning'!F3387</f>
        <v>Pasture</v>
      </c>
      <c r="G3387" s="151" t="str">
        <f>'Reported burning'!G3387</f>
        <v>ND</v>
      </c>
      <c r="H3387" s="151" t="str">
        <f>'Reported burning'!H3387</f>
        <v>Presence</v>
      </c>
      <c r="I3387" s="5"/>
      <c r="J3387" s="21" t="s">
        <v>2272</v>
      </c>
      <c r="K3387" s="21" t="s">
        <v>2272</v>
      </c>
      <c r="L3387" s="21" t="s">
        <v>2272</v>
      </c>
      <c r="M3387" s="21" t="s">
        <v>2272</v>
      </c>
      <c r="N3387" s="21" t="s">
        <v>2272</v>
      </c>
      <c r="O3387" s="21" t="s">
        <v>2272</v>
      </c>
      <c r="P3387" s="21" t="s">
        <v>2272</v>
      </c>
      <c r="Q3387" s="21" t="s">
        <v>2272</v>
      </c>
      <c r="R3387" s="21" t="s">
        <v>2272</v>
      </c>
      <c r="S3387" s="21" t="s">
        <v>2272</v>
      </c>
      <c r="T3387" s="21" t="s">
        <v>2272</v>
      </c>
      <c r="U3387" s="21" t="s">
        <v>2272</v>
      </c>
      <c r="V3387" s="21" t="s">
        <v>2272</v>
      </c>
      <c r="W3387" s="21" t="s">
        <v>2272</v>
      </c>
      <c r="X3387" s="21" t="s">
        <v>2272</v>
      </c>
      <c r="Y3387" s="21" t="s">
        <v>2272</v>
      </c>
      <c r="Z3387" s="21" t="s">
        <v>2272</v>
      </c>
      <c r="AA3387" s="198"/>
      <c r="AB3387" s="198" t="s">
        <v>8892</v>
      </c>
      <c r="AC3387" s="198"/>
    </row>
    <row r="3388" spans="1:29" ht="37.5" customHeight="1">
      <c r="A3388" s="151" t="str">
        <f>'Reported burning'!A3388</f>
        <v>371b</v>
      </c>
      <c r="B3388" s="151" t="str">
        <f>'Reported burning'!B3388</f>
        <v>371b.8</v>
      </c>
      <c r="C3388" s="151" t="str">
        <f>'Reported burning'!C3388</f>
        <v>Human, escaped</v>
      </c>
      <c r="D3388" s="151" t="str">
        <f>'Reported burning'!D3388</f>
        <v>Land clearance</v>
      </c>
      <c r="E3388" s="151" t="str">
        <f>'Reported burning'!E3388</f>
        <v>Cattle, Extensive</v>
      </c>
      <c r="F3388" s="151" t="str">
        <f>'Reported burning'!F3388</f>
        <v>Pasture</v>
      </c>
      <c r="G3388" s="151" t="str">
        <f>'Reported burning'!G3388</f>
        <v>ND</v>
      </c>
      <c r="H3388" s="151" t="str">
        <f>'Reported burning'!H3388</f>
        <v>Presence</v>
      </c>
      <c r="I3388" s="5"/>
      <c r="J3388" s="21" t="s">
        <v>2272</v>
      </c>
      <c r="K3388" s="21" t="s">
        <v>2272</v>
      </c>
      <c r="L3388" s="21" t="s">
        <v>2272</v>
      </c>
      <c r="M3388" s="21" t="s">
        <v>2272</v>
      </c>
      <c r="N3388" s="21" t="s">
        <v>2272</v>
      </c>
      <c r="O3388" s="21" t="s">
        <v>2272</v>
      </c>
      <c r="P3388" s="21" t="s">
        <v>2272</v>
      </c>
      <c r="Q3388" s="21" t="s">
        <v>2272</v>
      </c>
      <c r="R3388" s="21" t="s">
        <v>2272</v>
      </c>
      <c r="S3388" s="21" t="s">
        <v>2272</v>
      </c>
      <c r="T3388" s="21" t="s">
        <v>2272</v>
      </c>
      <c r="U3388" s="21" t="s">
        <v>2272</v>
      </c>
      <c r="V3388" s="21" t="s">
        <v>2272</v>
      </c>
      <c r="W3388" s="21" t="s">
        <v>2272</v>
      </c>
      <c r="X3388" s="21" t="s">
        <v>2272</v>
      </c>
      <c r="Y3388" s="21" t="s">
        <v>2272</v>
      </c>
      <c r="Z3388" s="21" t="s">
        <v>2272</v>
      </c>
      <c r="AA3388" s="198"/>
      <c r="AB3388" s="198" t="s">
        <v>8892</v>
      </c>
      <c r="AC3388" s="198"/>
    </row>
    <row r="3389" spans="1:29" ht="37.5" customHeight="1">
      <c r="A3389" s="151" t="str">
        <f>'Reported burning'!A3389</f>
        <v>371b</v>
      </c>
      <c r="B3389" s="151" t="str">
        <f>'Reported burning'!B3389</f>
        <v>371b.9</v>
      </c>
      <c r="C3389" s="151" t="str">
        <f>'Reported burning'!C3389</f>
        <v>Human, deliberate</v>
      </c>
      <c r="D3389" s="151" t="str">
        <f>'Reported burning'!D3389</f>
        <v>All</v>
      </c>
      <c r="E3389" s="151" t="str">
        <f>'Reported burning'!E3389</f>
        <v>Mixed cropping-livestock small holder, Market-oriented</v>
      </c>
      <c r="F3389" s="151" t="str">
        <f>'Reported burning'!F3389</f>
        <v>ND</v>
      </c>
      <c r="G3389" s="151" t="str">
        <f>'Reported burning'!G3389</f>
        <v>ND</v>
      </c>
      <c r="H3389" s="151" t="str">
        <f>'Reported burning'!H3389</f>
        <v>Absence</v>
      </c>
      <c r="I3389" s="5"/>
      <c r="J3389" s="21">
        <v>0</v>
      </c>
      <c r="K3389" s="21">
        <v>0</v>
      </c>
      <c r="L3389" s="21">
        <v>0</v>
      </c>
      <c r="M3389" s="21">
        <v>0</v>
      </c>
      <c r="N3389" s="21">
        <v>0</v>
      </c>
      <c r="O3389" s="21">
        <v>0</v>
      </c>
      <c r="P3389" s="21">
        <v>0</v>
      </c>
      <c r="Q3389" s="21">
        <v>0</v>
      </c>
      <c r="R3389" s="21">
        <v>0</v>
      </c>
      <c r="S3389" s="21">
        <v>0</v>
      </c>
      <c r="T3389" s="21">
        <v>0</v>
      </c>
      <c r="U3389" s="21">
        <v>0</v>
      </c>
      <c r="V3389" s="21" t="s">
        <v>2272</v>
      </c>
      <c r="W3389" s="21" t="s">
        <v>2272</v>
      </c>
      <c r="X3389" s="21" t="s">
        <v>2272</v>
      </c>
      <c r="Y3389" s="21" t="s">
        <v>2272</v>
      </c>
      <c r="Z3389" s="21" t="s">
        <v>2272</v>
      </c>
      <c r="AA3389" s="198"/>
      <c r="AB3389" s="19" t="s">
        <v>8893</v>
      </c>
      <c r="AC3389" s="198"/>
    </row>
    <row r="3390" spans="1:29" ht="49" customHeight="1">
      <c r="A3390" s="151" t="str">
        <f>'Reported burning'!A3390</f>
        <v>372a</v>
      </c>
      <c r="B3390" s="151" t="str">
        <f>'Reported burning'!B3390</f>
        <v>372a.1</v>
      </c>
      <c r="C3390" s="151" t="str">
        <f>'Reported burning'!C3390</f>
        <v>Human, deliberate</v>
      </c>
      <c r="D3390" s="151" t="str">
        <f>'Reported burning'!D3390</f>
        <v>Forest clearance</v>
      </c>
      <c r="E3390" s="151" t="str">
        <f>'Reported burning'!E3390</f>
        <v>Cropping, Intensive</v>
      </c>
      <c r="F3390" s="151" t="str">
        <f>'Reported burning'!F3390</f>
        <v>Forest</v>
      </c>
      <c r="G3390" s="151" t="str">
        <f>'Reported burning'!G3390</f>
        <v>Forest</v>
      </c>
      <c r="H3390" s="151" t="str">
        <f>'Reported burning'!H3390</f>
        <v>Presence</v>
      </c>
      <c r="I3390" s="5"/>
      <c r="J3390" s="21" t="s">
        <v>2272</v>
      </c>
      <c r="K3390" s="21" t="s">
        <v>2272</v>
      </c>
      <c r="L3390" s="21" t="s">
        <v>2272</v>
      </c>
      <c r="M3390" s="21" t="s">
        <v>2272</v>
      </c>
      <c r="N3390" s="21" t="s">
        <v>2272</v>
      </c>
      <c r="O3390" s="21" t="s">
        <v>2272</v>
      </c>
      <c r="P3390" s="21" t="s">
        <v>2272</v>
      </c>
      <c r="Q3390" s="21" t="s">
        <v>2272</v>
      </c>
      <c r="R3390" s="21" t="s">
        <v>2272</v>
      </c>
      <c r="S3390" s="21" t="s">
        <v>2272</v>
      </c>
      <c r="T3390" s="21" t="s">
        <v>2272</v>
      </c>
      <c r="U3390" s="21" t="s">
        <v>2272</v>
      </c>
      <c r="V3390" s="21" t="s">
        <v>2272</v>
      </c>
      <c r="W3390" s="21" t="s">
        <v>2272</v>
      </c>
      <c r="X3390" s="21" t="s">
        <v>2272</v>
      </c>
      <c r="Y3390" s="21" t="s">
        <v>2272</v>
      </c>
      <c r="Z3390" s="21" t="s">
        <v>2272</v>
      </c>
      <c r="AA3390" s="21" t="s">
        <v>2272</v>
      </c>
      <c r="AB3390" s="198"/>
      <c r="AC3390" s="198"/>
    </row>
    <row r="3391" spans="1:29" ht="43" customHeight="1">
      <c r="A3391" s="151" t="str">
        <f>'Reported burning'!A3391</f>
        <v>372a</v>
      </c>
      <c r="B3391" s="151" t="str">
        <f>'Reported burning'!B3391</f>
        <v>372a.2</v>
      </c>
      <c r="C3391" s="151" t="str">
        <f>'Reported burning'!C3391</f>
        <v>Human, deliberate</v>
      </c>
      <c r="D3391" s="151" t="str">
        <f>'Reported burning'!D3391</f>
        <v>Hunting</v>
      </c>
      <c r="E3391" s="151" t="str">
        <f>'Reported burning'!E3391</f>
        <v>Forestry, Traditional</v>
      </c>
      <c r="F3391" s="151" t="str">
        <f>'Reported burning'!F3391</f>
        <v>Forest</v>
      </c>
      <c r="G3391" s="151" t="str">
        <f>'Reported burning'!G3391</f>
        <v>Forest</v>
      </c>
      <c r="H3391" s="151" t="str">
        <f>'Reported burning'!H3391</f>
        <v>Presence</v>
      </c>
      <c r="I3391" s="5"/>
      <c r="J3391" s="21" t="s">
        <v>2272</v>
      </c>
      <c r="K3391" s="21" t="s">
        <v>2272</v>
      </c>
      <c r="L3391" s="21" t="s">
        <v>2272</v>
      </c>
      <c r="M3391" s="21" t="s">
        <v>2272</v>
      </c>
      <c r="N3391" s="21" t="s">
        <v>2272</v>
      </c>
      <c r="O3391" s="21" t="s">
        <v>2272</v>
      </c>
      <c r="P3391" s="21" t="s">
        <v>2272</v>
      </c>
      <c r="Q3391" s="21" t="s">
        <v>2272</v>
      </c>
      <c r="R3391" s="21" t="s">
        <v>2272</v>
      </c>
      <c r="S3391" s="21" t="s">
        <v>2272</v>
      </c>
      <c r="T3391" s="21" t="s">
        <v>2272</v>
      </c>
      <c r="U3391" s="21" t="s">
        <v>2272</v>
      </c>
      <c r="V3391" s="21" t="s">
        <v>2272</v>
      </c>
      <c r="W3391" s="21" t="s">
        <v>2272</v>
      </c>
      <c r="X3391" s="21" t="s">
        <v>2272</v>
      </c>
      <c r="Y3391" s="21" t="s">
        <v>2272</v>
      </c>
      <c r="Z3391" s="21" t="s">
        <v>2272</v>
      </c>
      <c r="AA3391" s="21" t="s">
        <v>2272</v>
      </c>
      <c r="AB3391" s="198"/>
      <c r="AC3391" s="198"/>
    </row>
    <row r="3392" spans="1:29" ht="43" customHeight="1">
      <c r="A3392" s="151" t="str">
        <f>'Reported burning'!A3392</f>
        <v>372a</v>
      </c>
      <c r="B3392" s="151" t="str">
        <f>'Reported burning'!B3392</f>
        <v>372a.3</v>
      </c>
      <c r="C3392" s="151" t="str">
        <f>'Reported burning'!C3392</f>
        <v>Human, deliberate</v>
      </c>
      <c r="D3392" s="151" t="str">
        <f>'Reported burning'!D3392</f>
        <v>Fishing</v>
      </c>
      <c r="E3392" s="151" t="str">
        <f>'Reported burning'!E3392</f>
        <v>Forestry, Traditional</v>
      </c>
      <c r="F3392" s="151" t="str">
        <f>'Reported burning'!F3392</f>
        <v>Forest</v>
      </c>
      <c r="G3392" s="151" t="str">
        <f>'Reported burning'!G3392</f>
        <v>Forest</v>
      </c>
      <c r="H3392" s="151" t="str">
        <f>'Reported burning'!H3392</f>
        <v>Presence</v>
      </c>
      <c r="I3392" s="5"/>
      <c r="J3392" s="21" t="s">
        <v>2272</v>
      </c>
      <c r="K3392" s="21" t="s">
        <v>2272</v>
      </c>
      <c r="L3392" s="21" t="s">
        <v>2272</v>
      </c>
      <c r="M3392" s="21" t="s">
        <v>2272</v>
      </c>
      <c r="N3392" s="21" t="s">
        <v>2272</v>
      </c>
      <c r="O3392" s="21" t="s">
        <v>2272</v>
      </c>
      <c r="P3392" s="21" t="s">
        <v>2272</v>
      </c>
      <c r="Q3392" s="21" t="s">
        <v>2272</v>
      </c>
      <c r="R3392" s="21" t="s">
        <v>2272</v>
      </c>
      <c r="S3392" s="21" t="s">
        <v>2272</v>
      </c>
      <c r="T3392" s="21" t="s">
        <v>2272</v>
      </c>
      <c r="U3392" s="21" t="s">
        <v>2272</v>
      </c>
      <c r="V3392" s="21" t="s">
        <v>2272</v>
      </c>
      <c r="W3392" s="21" t="s">
        <v>2272</v>
      </c>
      <c r="X3392" s="21" t="s">
        <v>2272</v>
      </c>
      <c r="Y3392" s="21" t="s">
        <v>2272</v>
      </c>
      <c r="Z3392" s="21" t="s">
        <v>2272</v>
      </c>
      <c r="AA3392" s="21" t="s">
        <v>2272</v>
      </c>
      <c r="AB3392" s="198"/>
      <c r="AC3392" s="198"/>
    </row>
    <row r="3393" spans="1:29" ht="43" customHeight="1">
      <c r="A3393" s="151" t="str">
        <f>'Reported burning'!A3393</f>
        <v>372a</v>
      </c>
      <c r="B3393" s="151" t="str">
        <f>'Reported burning'!B3393</f>
        <v>372a.4</v>
      </c>
      <c r="C3393" s="151" t="str">
        <f>'Reported burning'!C3393</f>
        <v>Human, deliberate</v>
      </c>
      <c r="D3393" s="151" t="str">
        <f>'Reported burning'!D3393</f>
        <v>Harvesting of NTFP</v>
      </c>
      <c r="E3393" s="151" t="str">
        <f>'Reported burning'!E3393</f>
        <v>Forestry, Traditional</v>
      </c>
      <c r="F3393" s="151" t="str">
        <f>'Reported burning'!F3393</f>
        <v>Forest</v>
      </c>
      <c r="G3393" s="151" t="str">
        <f>'Reported burning'!G3393</f>
        <v>Forest</v>
      </c>
      <c r="H3393" s="151" t="str">
        <f>'Reported burning'!H3393</f>
        <v>Presence</v>
      </c>
      <c r="I3393" s="5"/>
      <c r="J3393" s="21" t="s">
        <v>2272</v>
      </c>
      <c r="K3393" s="21" t="s">
        <v>2272</v>
      </c>
      <c r="L3393" s="21" t="s">
        <v>2272</v>
      </c>
      <c r="M3393" s="21" t="s">
        <v>2272</v>
      </c>
      <c r="N3393" s="21" t="s">
        <v>2272</v>
      </c>
      <c r="O3393" s="21" t="s">
        <v>2272</v>
      </c>
      <c r="P3393" s="21" t="s">
        <v>2272</v>
      </c>
      <c r="Q3393" s="21" t="s">
        <v>2272</v>
      </c>
      <c r="R3393" s="21" t="s">
        <v>2272</v>
      </c>
      <c r="S3393" s="21" t="s">
        <v>2272</v>
      </c>
      <c r="T3393" s="21" t="s">
        <v>2272</v>
      </c>
      <c r="U3393" s="21" t="s">
        <v>2272</v>
      </c>
      <c r="V3393" s="21" t="s">
        <v>2272</v>
      </c>
      <c r="W3393" s="21" t="s">
        <v>2272</v>
      </c>
      <c r="X3393" s="21" t="s">
        <v>2272</v>
      </c>
      <c r="Y3393" s="21" t="s">
        <v>2272</v>
      </c>
      <c r="Z3393" s="21" t="s">
        <v>2272</v>
      </c>
      <c r="AA3393" s="21" t="s">
        <v>2272</v>
      </c>
      <c r="AB3393" s="198"/>
      <c r="AC3393" s="198"/>
    </row>
    <row r="3394" spans="1:29" ht="43" customHeight="1">
      <c r="A3394" s="151" t="str">
        <f>'Reported burning'!A3394</f>
        <v>372a</v>
      </c>
      <c r="B3394" s="151" t="str">
        <f>'Reported burning'!B3394</f>
        <v>372a.5</v>
      </c>
      <c r="C3394" s="151" t="str">
        <f>'Reported burning'!C3394</f>
        <v>Human, escaped</v>
      </c>
      <c r="D3394" s="151" t="str">
        <f>'Reported burning'!D3394</f>
        <v>Forest clearance</v>
      </c>
      <c r="E3394" s="151" t="str">
        <f>'Reported burning'!E3394</f>
        <v>Cropping, Intensive</v>
      </c>
      <c r="F3394" s="151" t="str">
        <f>'Reported burning'!F3394</f>
        <v>Forest</v>
      </c>
      <c r="G3394" s="151" t="str">
        <f>'Reported burning'!G3394</f>
        <v>Forest</v>
      </c>
      <c r="H3394" s="151" t="str">
        <f>'Reported burning'!H3394</f>
        <v>Presence</v>
      </c>
      <c r="I3394" s="5"/>
      <c r="J3394" s="21" t="s">
        <v>2272</v>
      </c>
      <c r="K3394" s="21" t="s">
        <v>2272</v>
      </c>
      <c r="L3394" s="21" t="s">
        <v>2272</v>
      </c>
      <c r="M3394" s="21" t="s">
        <v>2272</v>
      </c>
      <c r="N3394" s="21" t="s">
        <v>2272</v>
      </c>
      <c r="O3394" s="21" t="s">
        <v>2272</v>
      </c>
      <c r="P3394" s="21" t="s">
        <v>2272</v>
      </c>
      <c r="Q3394" s="21" t="s">
        <v>2272</v>
      </c>
      <c r="R3394" s="21" t="s">
        <v>2272</v>
      </c>
      <c r="S3394" s="21" t="s">
        <v>2272</v>
      </c>
      <c r="T3394" s="21" t="s">
        <v>2272</v>
      </c>
      <c r="U3394" s="21" t="s">
        <v>2272</v>
      </c>
      <c r="V3394" s="21" t="s">
        <v>2272</v>
      </c>
      <c r="W3394" s="21" t="s">
        <v>2272</v>
      </c>
      <c r="X3394" s="21" t="s">
        <v>2272</v>
      </c>
      <c r="Y3394" s="21" t="s">
        <v>2272</v>
      </c>
      <c r="Z3394" s="21" t="s">
        <v>2272</v>
      </c>
      <c r="AA3394" s="21" t="s">
        <v>2272</v>
      </c>
      <c r="AB3394" s="198"/>
      <c r="AC3394" s="198"/>
    </row>
    <row r="3395" spans="1:29" ht="43" customHeight="1">
      <c r="A3395" s="151" t="str">
        <f>'Reported burning'!A3395</f>
        <v>372a</v>
      </c>
      <c r="B3395" s="151" t="str">
        <f>'Reported burning'!B3395</f>
        <v>372a.6</v>
      </c>
      <c r="C3395" s="151" t="str">
        <f>'Reported burning'!C3395</f>
        <v>Human, escaped</v>
      </c>
      <c r="D3395" s="151" t="str">
        <f>'Reported burning'!D3395</f>
        <v>Hunting</v>
      </c>
      <c r="E3395" s="151" t="str">
        <f>'Reported burning'!E3395</f>
        <v>Forestry, Traditional</v>
      </c>
      <c r="F3395" s="151" t="str">
        <f>'Reported burning'!F3395</f>
        <v>Forest</v>
      </c>
      <c r="G3395" s="151" t="str">
        <f>'Reported burning'!G3395</f>
        <v>Forest</v>
      </c>
      <c r="H3395" s="151" t="str">
        <f>'Reported burning'!H3395</f>
        <v>Presence</v>
      </c>
      <c r="I3395" s="5"/>
      <c r="J3395" s="21" t="s">
        <v>2272</v>
      </c>
      <c r="K3395" s="21" t="s">
        <v>2272</v>
      </c>
      <c r="L3395" s="21" t="s">
        <v>2272</v>
      </c>
      <c r="M3395" s="21" t="s">
        <v>2272</v>
      </c>
      <c r="N3395" s="21" t="s">
        <v>2272</v>
      </c>
      <c r="O3395" s="21" t="s">
        <v>2272</v>
      </c>
      <c r="P3395" s="21" t="s">
        <v>2272</v>
      </c>
      <c r="Q3395" s="21" t="s">
        <v>2272</v>
      </c>
      <c r="R3395" s="21" t="s">
        <v>2272</v>
      </c>
      <c r="S3395" s="21" t="s">
        <v>2272</v>
      </c>
      <c r="T3395" s="21" t="s">
        <v>2272</v>
      </c>
      <c r="U3395" s="21" t="s">
        <v>2272</v>
      </c>
      <c r="V3395" s="21" t="s">
        <v>2272</v>
      </c>
      <c r="W3395" s="21" t="s">
        <v>2272</v>
      </c>
      <c r="X3395" s="21" t="s">
        <v>2272</v>
      </c>
      <c r="Y3395" s="21" t="s">
        <v>2272</v>
      </c>
      <c r="Z3395" s="21" t="s">
        <v>2272</v>
      </c>
      <c r="AA3395" s="21" t="s">
        <v>2272</v>
      </c>
      <c r="AB3395" s="198"/>
      <c r="AC3395" s="198"/>
    </row>
    <row r="3396" spans="1:29" ht="43" customHeight="1">
      <c r="A3396" s="151" t="str">
        <f>'Reported burning'!A3396</f>
        <v>372a</v>
      </c>
      <c r="B3396" s="151" t="str">
        <f>'Reported burning'!B3396</f>
        <v>372a.7</v>
      </c>
      <c r="C3396" s="151" t="str">
        <f>'Reported burning'!C3396</f>
        <v>Human, escaped</v>
      </c>
      <c r="D3396" s="151" t="str">
        <f>'Reported burning'!D3396</f>
        <v>Fishing</v>
      </c>
      <c r="E3396" s="151" t="str">
        <f>'Reported burning'!E3396</f>
        <v>Forestry, Traditional</v>
      </c>
      <c r="F3396" s="151" t="str">
        <f>'Reported burning'!F3396</f>
        <v>Forest</v>
      </c>
      <c r="G3396" s="151" t="str">
        <f>'Reported burning'!G3396</f>
        <v>Forest</v>
      </c>
      <c r="H3396" s="151" t="str">
        <f>'Reported burning'!H3396</f>
        <v>Presence</v>
      </c>
      <c r="I3396" s="5"/>
      <c r="J3396" s="21" t="s">
        <v>2272</v>
      </c>
      <c r="K3396" s="21" t="s">
        <v>2272</v>
      </c>
      <c r="L3396" s="21" t="s">
        <v>2272</v>
      </c>
      <c r="M3396" s="21" t="s">
        <v>2272</v>
      </c>
      <c r="N3396" s="21" t="s">
        <v>2272</v>
      </c>
      <c r="O3396" s="21" t="s">
        <v>2272</v>
      </c>
      <c r="P3396" s="21" t="s">
        <v>2272</v>
      </c>
      <c r="Q3396" s="21" t="s">
        <v>2272</v>
      </c>
      <c r="R3396" s="21" t="s">
        <v>2272</v>
      </c>
      <c r="S3396" s="21" t="s">
        <v>2272</v>
      </c>
      <c r="T3396" s="21" t="s">
        <v>2272</v>
      </c>
      <c r="U3396" s="21" t="s">
        <v>2272</v>
      </c>
      <c r="V3396" s="21" t="s">
        <v>2272</v>
      </c>
      <c r="W3396" s="21" t="s">
        <v>2272</v>
      </c>
      <c r="X3396" s="21" t="s">
        <v>2272</v>
      </c>
      <c r="Y3396" s="21" t="s">
        <v>2272</v>
      </c>
      <c r="Z3396" s="21" t="s">
        <v>2272</v>
      </c>
      <c r="AA3396" s="21" t="s">
        <v>2272</v>
      </c>
      <c r="AB3396" s="198"/>
      <c r="AC3396" s="198"/>
    </row>
    <row r="3397" spans="1:29" ht="43" customHeight="1">
      <c r="A3397" s="151" t="str">
        <f>'Reported burning'!A3397</f>
        <v>372a</v>
      </c>
      <c r="B3397" s="151" t="str">
        <f>'Reported burning'!B3397</f>
        <v>372a.8</v>
      </c>
      <c r="C3397" s="151" t="str">
        <f>'Reported burning'!C3397</f>
        <v>Human, escaped</v>
      </c>
      <c r="D3397" s="151" t="str">
        <f>'Reported burning'!D3397</f>
        <v>Harvesting of NTFP</v>
      </c>
      <c r="E3397" s="151" t="str">
        <f>'Reported burning'!E3397</f>
        <v>Forestry, Traditional</v>
      </c>
      <c r="F3397" s="151" t="str">
        <f>'Reported burning'!F3397</f>
        <v>Forest</v>
      </c>
      <c r="G3397" s="151" t="str">
        <f>'Reported burning'!G3397</f>
        <v>Forest</v>
      </c>
      <c r="H3397" s="151" t="str">
        <f>'Reported burning'!H3397</f>
        <v>Presence</v>
      </c>
      <c r="I3397" s="5"/>
      <c r="J3397" s="21" t="s">
        <v>2272</v>
      </c>
      <c r="K3397" s="21" t="s">
        <v>2272</v>
      </c>
      <c r="L3397" s="21" t="s">
        <v>2272</v>
      </c>
      <c r="M3397" s="21" t="s">
        <v>2272</v>
      </c>
      <c r="N3397" s="21" t="s">
        <v>2272</v>
      </c>
      <c r="O3397" s="21" t="s">
        <v>2272</v>
      </c>
      <c r="P3397" s="21" t="s">
        <v>2272</v>
      </c>
      <c r="Q3397" s="21" t="s">
        <v>2272</v>
      </c>
      <c r="R3397" s="21" t="s">
        <v>2272</v>
      </c>
      <c r="S3397" s="21" t="s">
        <v>2272</v>
      </c>
      <c r="T3397" s="21" t="s">
        <v>2272</v>
      </c>
      <c r="U3397" s="21" t="s">
        <v>2272</v>
      </c>
      <c r="V3397" s="21" t="s">
        <v>2272</v>
      </c>
      <c r="W3397" s="21" t="s">
        <v>2272</v>
      </c>
      <c r="X3397" s="21" t="s">
        <v>2272</v>
      </c>
      <c r="Y3397" s="21" t="s">
        <v>2272</v>
      </c>
      <c r="Z3397" s="21" t="s">
        <v>2272</v>
      </c>
      <c r="AA3397" s="21" t="s">
        <v>2272</v>
      </c>
      <c r="AB3397" s="198"/>
      <c r="AC3397" s="198"/>
    </row>
    <row r="3398" spans="1:29" ht="43" customHeight="1">
      <c r="A3398" s="151" t="str">
        <f>'Reported burning'!A3398</f>
        <v>372a</v>
      </c>
      <c r="B3398" s="151" t="str">
        <f>'Reported burning'!B3398</f>
        <v>372a.9</v>
      </c>
      <c r="C3398" s="151" t="str">
        <f>'Reported burning'!C3398</f>
        <v>Human, accidental</v>
      </c>
      <c r="D3398" s="151" t="str">
        <f>'Reported burning'!D3398</f>
        <v>Accidental</v>
      </c>
      <c r="E3398" s="151" t="str">
        <f>'Reported burning'!E3398</f>
        <v>All</v>
      </c>
      <c r="F3398" s="151" t="str">
        <f>'Reported burning'!F3398</f>
        <v>ND</v>
      </c>
      <c r="G3398" s="151" t="str">
        <f>'Reported burning'!G3398</f>
        <v>Forest</v>
      </c>
      <c r="H3398" s="151" t="str">
        <f>'Reported burning'!H3398</f>
        <v>Presence</v>
      </c>
      <c r="I3398" s="5"/>
      <c r="J3398" s="21" t="s">
        <v>2272</v>
      </c>
      <c r="K3398" s="21" t="s">
        <v>2272</v>
      </c>
      <c r="L3398" s="21" t="s">
        <v>2272</v>
      </c>
      <c r="M3398" s="21" t="s">
        <v>2272</v>
      </c>
      <c r="N3398" s="21" t="s">
        <v>2272</v>
      </c>
      <c r="O3398" s="21" t="s">
        <v>2272</v>
      </c>
      <c r="P3398" s="21" t="s">
        <v>2272</v>
      </c>
      <c r="Q3398" s="21" t="s">
        <v>2272</v>
      </c>
      <c r="R3398" s="21" t="s">
        <v>2272</v>
      </c>
      <c r="S3398" s="21" t="s">
        <v>2272</v>
      </c>
      <c r="T3398" s="21" t="s">
        <v>2272</v>
      </c>
      <c r="U3398" s="21" t="s">
        <v>2272</v>
      </c>
      <c r="V3398" s="21" t="s">
        <v>2272</v>
      </c>
      <c r="W3398" s="21" t="s">
        <v>2272</v>
      </c>
      <c r="X3398" s="21" t="s">
        <v>2272</v>
      </c>
      <c r="Y3398" s="21" t="s">
        <v>2272</v>
      </c>
      <c r="Z3398" s="21" t="s">
        <v>2272</v>
      </c>
      <c r="AA3398" s="21" t="s">
        <v>2272</v>
      </c>
      <c r="AB3398" s="198"/>
      <c r="AC3398" s="198"/>
    </row>
    <row r="3399" spans="1:29" ht="37" customHeight="1">
      <c r="A3399" s="151" t="str">
        <f>'Reported burning'!A3399</f>
        <v>372a</v>
      </c>
      <c r="B3399" s="151" t="str">
        <f>'Reported burning'!B3399</f>
        <v>372a.10</v>
      </c>
      <c r="C3399" s="151" t="str">
        <f>'Reported burning'!C3399</f>
        <v>Human, escaped</v>
      </c>
      <c r="D3399" s="151" t="str">
        <f>'Reported burning'!D3399</f>
        <v>All</v>
      </c>
      <c r="E3399" s="151" t="str">
        <f>'Reported burning'!E3399</f>
        <v>All</v>
      </c>
      <c r="F3399" s="151" t="str">
        <f>'Reported burning'!F3399</f>
        <v>ND</v>
      </c>
      <c r="G3399" s="151" t="str">
        <f>'Reported burning'!G3399</f>
        <v>Forest</v>
      </c>
      <c r="H3399" s="151" t="str">
        <f>'Reported burning'!H3399</f>
        <v>Presence</v>
      </c>
      <c r="I3399" s="5"/>
      <c r="J3399" s="21" t="s">
        <v>2272</v>
      </c>
      <c r="K3399" s="21" t="s">
        <v>2272</v>
      </c>
      <c r="L3399" s="21" t="s">
        <v>2272</v>
      </c>
      <c r="M3399" s="21" t="s">
        <v>2272</v>
      </c>
      <c r="N3399" s="21" t="s">
        <v>2272</v>
      </c>
      <c r="O3399" s="21" t="s">
        <v>2272</v>
      </c>
      <c r="P3399" s="21" t="s">
        <v>2272</v>
      </c>
      <c r="Q3399" s="21" t="s">
        <v>2272</v>
      </c>
      <c r="R3399" s="21" t="s">
        <v>2272</v>
      </c>
      <c r="S3399" s="21" t="s">
        <v>2272</v>
      </c>
      <c r="T3399" s="21" t="s">
        <v>2272</v>
      </c>
      <c r="U3399" s="21" t="s">
        <v>2272</v>
      </c>
      <c r="V3399" s="21" t="s">
        <v>2272</v>
      </c>
      <c r="W3399" s="21" t="s">
        <v>2272</v>
      </c>
      <c r="X3399" s="21" t="s">
        <v>2272</v>
      </c>
      <c r="Y3399" s="21" t="s">
        <v>2272</v>
      </c>
      <c r="Z3399" s="21" t="s">
        <v>2272</v>
      </c>
      <c r="AA3399" s="21" t="s">
        <v>2272</v>
      </c>
      <c r="AB3399" s="198"/>
      <c r="AC3399" s="198"/>
    </row>
    <row r="3400" spans="1:29" ht="37" customHeight="1">
      <c r="A3400" s="151" t="str">
        <f>'Reported burning'!A3400</f>
        <v>373a</v>
      </c>
      <c r="B3400" s="151" t="str">
        <f>'Reported burning'!B3400</f>
        <v>373a.1</v>
      </c>
      <c r="C3400" s="151" t="str">
        <f>'Reported burning'!C3400</f>
        <v>Human, accidental</v>
      </c>
      <c r="D3400" s="151" t="str">
        <f>'Reported burning'!D3400</f>
        <v>Accidental</v>
      </c>
      <c r="E3400" s="151" t="str">
        <f>'Reported burning'!E3400</f>
        <v>All</v>
      </c>
      <c r="F3400" s="151" t="str">
        <f>'Reported burning'!F3400</f>
        <v>ND</v>
      </c>
      <c r="G3400" s="151" t="str">
        <f>'Reported burning'!G3400</f>
        <v>ND</v>
      </c>
      <c r="H3400" s="151" t="str">
        <f>'Reported burning'!H3400</f>
        <v>Presence</v>
      </c>
      <c r="I3400" s="5"/>
      <c r="J3400" s="21" t="s">
        <v>2272</v>
      </c>
      <c r="K3400" s="21" t="s">
        <v>2272</v>
      </c>
      <c r="L3400" s="21" t="s">
        <v>2272</v>
      </c>
      <c r="M3400" s="21" t="s">
        <v>2272</v>
      </c>
      <c r="N3400" s="21" t="s">
        <v>2272</v>
      </c>
      <c r="O3400" s="21" t="s">
        <v>2272</v>
      </c>
      <c r="P3400" s="21" t="s">
        <v>2272</v>
      </c>
      <c r="Q3400" s="21" t="s">
        <v>2272</v>
      </c>
      <c r="R3400" s="21" t="s">
        <v>2272</v>
      </c>
      <c r="S3400" s="21" t="s">
        <v>2272</v>
      </c>
      <c r="T3400" s="21" t="s">
        <v>2272</v>
      </c>
      <c r="U3400" s="21" t="s">
        <v>2272</v>
      </c>
      <c r="V3400" s="21" t="s">
        <v>2272</v>
      </c>
      <c r="W3400" s="21" t="s">
        <v>2272</v>
      </c>
      <c r="X3400" s="21" t="s">
        <v>2272</v>
      </c>
      <c r="Y3400" s="21" t="s">
        <v>2272</v>
      </c>
      <c r="Z3400" s="21" t="s">
        <v>2272</v>
      </c>
      <c r="AA3400" s="21" t="s">
        <v>2272</v>
      </c>
      <c r="AB3400" s="198"/>
      <c r="AC3400" s="198"/>
    </row>
    <row r="3401" spans="1:29" ht="37" customHeight="1">
      <c r="A3401" s="151" t="str">
        <f>'Reported burning'!A3401</f>
        <v>373a</v>
      </c>
      <c r="B3401" s="151" t="str">
        <f>'Reported burning'!B3401</f>
        <v>373a.2</v>
      </c>
      <c r="C3401" s="151" t="str">
        <f>'Reported burning'!C3401</f>
        <v>Human, accidental</v>
      </c>
      <c r="D3401" s="151" t="str">
        <f>'Reported burning'!D3401</f>
        <v>Accidental</v>
      </c>
      <c r="E3401" s="151" t="str">
        <f>'Reported burning'!E3401</f>
        <v>Urban planner</v>
      </c>
      <c r="F3401" s="151" t="str">
        <f>'Reported burning'!F3401</f>
        <v>ND</v>
      </c>
      <c r="G3401" s="151" t="str">
        <f>'Reported burning'!G3401</f>
        <v>ND</v>
      </c>
      <c r="H3401" s="151" t="str">
        <f>'Reported burning'!H3401</f>
        <v>Presence</v>
      </c>
      <c r="I3401" s="5"/>
      <c r="J3401" s="21" t="s">
        <v>2272</v>
      </c>
      <c r="K3401" s="21" t="s">
        <v>2272</v>
      </c>
      <c r="L3401" s="21" t="s">
        <v>2272</v>
      </c>
      <c r="M3401" s="21" t="s">
        <v>2272</v>
      </c>
      <c r="N3401" s="21" t="s">
        <v>2272</v>
      </c>
      <c r="O3401" s="21" t="s">
        <v>2272</v>
      </c>
      <c r="P3401" s="21" t="s">
        <v>2272</v>
      </c>
      <c r="Q3401" s="21" t="s">
        <v>2272</v>
      </c>
      <c r="R3401" s="21" t="s">
        <v>2272</v>
      </c>
      <c r="S3401" s="21" t="s">
        <v>2272</v>
      </c>
      <c r="T3401" s="21" t="s">
        <v>2272</v>
      </c>
      <c r="U3401" s="21" t="s">
        <v>2272</v>
      </c>
      <c r="V3401" s="21" t="s">
        <v>2272</v>
      </c>
      <c r="W3401" s="21" t="s">
        <v>2272</v>
      </c>
      <c r="X3401" s="21" t="s">
        <v>2272</v>
      </c>
      <c r="Y3401" s="21" t="s">
        <v>2272</v>
      </c>
      <c r="Z3401" s="21" t="s">
        <v>2272</v>
      </c>
      <c r="AA3401" s="21" t="s">
        <v>2272</v>
      </c>
      <c r="AB3401" s="198"/>
      <c r="AC3401" s="198"/>
    </row>
    <row r="3402" spans="1:29" ht="32.5" customHeight="1">
      <c r="A3402" s="151" t="str">
        <f>'Reported burning'!A3402</f>
        <v>373a</v>
      </c>
      <c r="B3402" s="151" t="str">
        <f>'Reported burning'!B3402</f>
        <v>373a.3</v>
      </c>
      <c r="C3402" s="151" t="str">
        <f>'Reported burning'!C3402</f>
        <v>Human, escaped</v>
      </c>
      <c r="D3402" s="151" t="str">
        <f>'Reported burning'!D3402</f>
        <v>Hunting</v>
      </c>
      <c r="E3402" s="151" t="str">
        <f>'Reported burning'!E3402</f>
        <v>Forestry, Traditional</v>
      </c>
      <c r="F3402" s="151" t="str">
        <f>'Reported burning'!F3402</f>
        <v>Shrubland (Mixed forest &amp; grassland)</v>
      </c>
      <c r="G3402" s="151" t="str">
        <f>'Reported burning'!G3402</f>
        <v>ND</v>
      </c>
      <c r="H3402" s="151" t="str">
        <f>'Reported burning'!H3402</f>
        <v>Presence</v>
      </c>
      <c r="I3402" s="5"/>
      <c r="J3402" s="21" t="s">
        <v>2272</v>
      </c>
      <c r="K3402" s="21" t="s">
        <v>2272</v>
      </c>
      <c r="L3402" s="21" t="s">
        <v>2272</v>
      </c>
      <c r="M3402" s="21" t="s">
        <v>2272</v>
      </c>
      <c r="N3402" s="21" t="s">
        <v>2272</v>
      </c>
      <c r="O3402" s="21" t="s">
        <v>2272</v>
      </c>
      <c r="P3402" s="21" t="s">
        <v>2272</v>
      </c>
      <c r="Q3402" s="21" t="s">
        <v>2272</v>
      </c>
      <c r="R3402" s="21" t="s">
        <v>2272</v>
      </c>
      <c r="S3402" s="21" t="s">
        <v>2272</v>
      </c>
      <c r="T3402" s="21" t="s">
        <v>2272</v>
      </c>
      <c r="U3402" s="21" t="s">
        <v>2272</v>
      </c>
      <c r="V3402" s="21" t="s">
        <v>2272</v>
      </c>
      <c r="W3402" s="21" t="s">
        <v>2272</v>
      </c>
      <c r="X3402" s="21" t="s">
        <v>2272</v>
      </c>
      <c r="Y3402" s="21" t="s">
        <v>2272</v>
      </c>
      <c r="Z3402" s="21" t="s">
        <v>2272</v>
      </c>
      <c r="AA3402" s="21" t="s">
        <v>2272</v>
      </c>
      <c r="AB3402" s="198"/>
      <c r="AC3402" s="198"/>
    </row>
    <row r="3403" spans="1:29" ht="32.5" customHeight="1">
      <c r="A3403" s="151" t="str">
        <f>'Reported burning'!A3403</f>
        <v>373a</v>
      </c>
      <c r="B3403" s="151" t="str">
        <f>'Reported burning'!B3403</f>
        <v>373a.4</v>
      </c>
      <c r="C3403" s="151" t="str">
        <f>'Reported burning'!C3403</f>
        <v>Human, escaped</v>
      </c>
      <c r="D3403" s="151" t="str">
        <f>'Reported burning'!D3403</f>
        <v>Harvesting of NTFP</v>
      </c>
      <c r="E3403" s="151" t="str">
        <f>'Reported burning'!E3403</f>
        <v>Forestry, Traditional</v>
      </c>
      <c r="F3403" s="151" t="str">
        <f>'Reported burning'!F3403</f>
        <v>Shrubland (Mixed forest &amp; grassland)</v>
      </c>
      <c r="G3403" s="151" t="str">
        <f>'Reported burning'!G3403</f>
        <v>ND</v>
      </c>
      <c r="H3403" s="151" t="str">
        <f>'Reported burning'!H3403</f>
        <v>Presence</v>
      </c>
      <c r="I3403" s="5"/>
      <c r="J3403" s="21" t="s">
        <v>2272</v>
      </c>
      <c r="K3403" s="21" t="s">
        <v>2272</v>
      </c>
      <c r="L3403" s="21" t="s">
        <v>2272</v>
      </c>
      <c r="M3403" s="21" t="s">
        <v>2272</v>
      </c>
      <c r="N3403" s="21" t="s">
        <v>2272</v>
      </c>
      <c r="O3403" s="21" t="s">
        <v>2272</v>
      </c>
      <c r="P3403" s="21" t="s">
        <v>2272</v>
      </c>
      <c r="Q3403" s="21" t="s">
        <v>2272</v>
      </c>
      <c r="R3403" s="21" t="s">
        <v>2272</v>
      </c>
      <c r="S3403" s="21" t="s">
        <v>2272</v>
      </c>
      <c r="T3403" s="21" t="s">
        <v>2272</v>
      </c>
      <c r="U3403" s="21" t="s">
        <v>2272</v>
      </c>
      <c r="V3403" s="21" t="s">
        <v>2272</v>
      </c>
      <c r="W3403" s="21" t="s">
        <v>2272</v>
      </c>
      <c r="X3403" s="21" t="s">
        <v>2272</v>
      </c>
      <c r="Y3403" s="21" t="s">
        <v>2272</v>
      </c>
      <c r="Z3403" s="21" t="s">
        <v>2272</v>
      </c>
      <c r="AA3403" s="21" t="s">
        <v>2272</v>
      </c>
      <c r="AB3403" s="198"/>
      <c r="AC3403" s="198"/>
    </row>
    <row r="3404" spans="1:29" ht="32.5" customHeight="1">
      <c r="A3404" s="151" t="str">
        <f>'Reported burning'!A3404</f>
        <v>373a</v>
      </c>
      <c r="B3404" s="151" t="str">
        <f>'Reported burning'!B3404</f>
        <v>373a.5</v>
      </c>
      <c r="C3404" s="151" t="str">
        <f>'Reported burning'!C3404</f>
        <v>Human, escaped</v>
      </c>
      <c r="D3404" s="151" t="str">
        <f>'Reported burning'!D3404</f>
        <v>Land clearance</v>
      </c>
      <c r="E3404" s="151" t="str">
        <f>'Reported burning'!E3404</f>
        <v>Cropping, Monoculture, Subsistence-oriented</v>
      </c>
      <c r="F3404" s="151" t="str">
        <f>'Reported burning'!F3404</f>
        <v>Shrubland (Mixed forest &amp; grassland)</v>
      </c>
      <c r="G3404" s="151" t="str">
        <f>'Reported burning'!G3404</f>
        <v>ND</v>
      </c>
      <c r="H3404" s="151" t="str">
        <f>'Reported burning'!H3404</f>
        <v>Presence</v>
      </c>
      <c r="I3404" s="5"/>
      <c r="J3404" s="21" t="s">
        <v>2272</v>
      </c>
      <c r="K3404" s="21" t="s">
        <v>2272</v>
      </c>
      <c r="L3404" s="21" t="s">
        <v>2272</v>
      </c>
      <c r="M3404" s="21" t="s">
        <v>2272</v>
      </c>
      <c r="N3404" s="21" t="s">
        <v>2272</v>
      </c>
      <c r="O3404" s="21" t="s">
        <v>2272</v>
      </c>
      <c r="P3404" s="21" t="s">
        <v>2272</v>
      </c>
      <c r="Q3404" s="21" t="s">
        <v>2272</v>
      </c>
      <c r="R3404" s="21" t="s">
        <v>2272</v>
      </c>
      <c r="S3404" s="21" t="s">
        <v>2272</v>
      </c>
      <c r="T3404" s="21" t="s">
        <v>2272</v>
      </c>
      <c r="U3404" s="21" t="s">
        <v>2272</v>
      </c>
      <c r="V3404" s="21" t="s">
        <v>2272</v>
      </c>
      <c r="W3404" s="21" t="s">
        <v>2272</v>
      </c>
      <c r="X3404" s="21" t="s">
        <v>2272</v>
      </c>
      <c r="Y3404" s="21" t="s">
        <v>2272</v>
      </c>
      <c r="Z3404" s="21" t="s">
        <v>2272</v>
      </c>
      <c r="AA3404" s="21" t="s">
        <v>2272</v>
      </c>
      <c r="AB3404" s="198"/>
      <c r="AC3404" s="198"/>
    </row>
    <row r="3405" spans="1:29" ht="32.5" customHeight="1">
      <c r="A3405" s="151" t="str">
        <f>'Reported burning'!A3405</f>
        <v>373a</v>
      </c>
      <c r="B3405" s="151" t="str">
        <f>'Reported burning'!B3405</f>
        <v>373a.6</v>
      </c>
      <c r="C3405" s="151" t="str">
        <f>'Reported burning'!C3405</f>
        <v>Human, deliberate</v>
      </c>
      <c r="D3405" s="151" t="str">
        <f>'Reported burning'!D3405</f>
        <v>Hunting</v>
      </c>
      <c r="E3405" s="151" t="str">
        <f>'Reported burning'!E3405</f>
        <v>Forestry, Traditional</v>
      </c>
      <c r="F3405" s="151" t="str">
        <f>'Reported burning'!F3405</f>
        <v>Shrubland (Mixed forest &amp; grassland)</v>
      </c>
      <c r="G3405" s="151" t="str">
        <f>'Reported burning'!G3405</f>
        <v>Shrubland (Mixed forest &amp; grassland)</v>
      </c>
      <c r="H3405" s="151" t="str">
        <f>'Reported burning'!H3405</f>
        <v>Presence</v>
      </c>
      <c r="I3405" s="5"/>
      <c r="J3405" s="21" t="s">
        <v>2272</v>
      </c>
      <c r="K3405" s="21" t="s">
        <v>2272</v>
      </c>
      <c r="L3405" s="21" t="s">
        <v>2272</v>
      </c>
      <c r="M3405" s="21" t="s">
        <v>2272</v>
      </c>
      <c r="N3405" s="21" t="s">
        <v>2272</v>
      </c>
      <c r="O3405" s="21" t="s">
        <v>2272</v>
      </c>
      <c r="P3405" s="21" t="s">
        <v>2272</v>
      </c>
      <c r="Q3405" s="21" t="s">
        <v>2272</v>
      </c>
      <c r="R3405" s="21" t="s">
        <v>2272</v>
      </c>
      <c r="S3405" s="21" t="s">
        <v>2272</v>
      </c>
      <c r="T3405" s="21" t="s">
        <v>2272</v>
      </c>
      <c r="U3405" s="21" t="s">
        <v>2272</v>
      </c>
      <c r="V3405" s="21" t="s">
        <v>2272</v>
      </c>
      <c r="W3405" s="21" t="s">
        <v>2272</v>
      </c>
      <c r="X3405" s="21" t="s">
        <v>2272</v>
      </c>
      <c r="Y3405" s="21" t="s">
        <v>2272</v>
      </c>
      <c r="Z3405" s="21" t="s">
        <v>2272</v>
      </c>
      <c r="AA3405" s="21" t="s">
        <v>2272</v>
      </c>
      <c r="AB3405" s="198"/>
      <c r="AC3405" s="198"/>
    </row>
    <row r="3406" spans="1:29" ht="32.5" customHeight="1">
      <c r="A3406" s="151" t="str">
        <f>'Reported burning'!A3406</f>
        <v>373a</v>
      </c>
      <c r="B3406" s="151" t="str">
        <f>'Reported burning'!B3406</f>
        <v>373a.7</v>
      </c>
      <c r="C3406" s="151" t="str">
        <f>'Reported burning'!C3406</f>
        <v>Human, deliberate</v>
      </c>
      <c r="D3406" s="151" t="str">
        <f>'Reported burning'!D3406</f>
        <v>Harvesting of NTFP</v>
      </c>
      <c r="E3406" s="151" t="str">
        <f>'Reported burning'!E3406</f>
        <v>Forestry, Traditional</v>
      </c>
      <c r="F3406" s="151" t="str">
        <f>'Reported burning'!F3406</f>
        <v>Shrubland (Mixed forest &amp; grassland)</v>
      </c>
      <c r="G3406" s="151" t="str">
        <f>'Reported burning'!G3406</f>
        <v>Shrubland (Mixed forest &amp; grassland)</v>
      </c>
      <c r="H3406" s="151" t="str">
        <f>'Reported burning'!H3406</f>
        <v>Presence</v>
      </c>
      <c r="I3406" s="5"/>
      <c r="J3406" s="21" t="s">
        <v>2272</v>
      </c>
      <c r="K3406" s="21" t="s">
        <v>2272</v>
      </c>
      <c r="L3406" s="21" t="s">
        <v>2272</v>
      </c>
      <c r="M3406" s="21" t="s">
        <v>2272</v>
      </c>
      <c r="N3406" s="21" t="s">
        <v>2272</v>
      </c>
      <c r="O3406" s="21" t="s">
        <v>2272</v>
      </c>
      <c r="P3406" s="21" t="s">
        <v>2272</v>
      </c>
      <c r="Q3406" s="21" t="s">
        <v>2272</v>
      </c>
      <c r="R3406" s="21" t="s">
        <v>2272</v>
      </c>
      <c r="S3406" s="21" t="s">
        <v>2272</v>
      </c>
      <c r="T3406" s="21" t="s">
        <v>2272</v>
      </c>
      <c r="U3406" s="21" t="s">
        <v>2272</v>
      </c>
      <c r="V3406" s="21" t="s">
        <v>2272</v>
      </c>
      <c r="W3406" s="21" t="s">
        <v>2272</v>
      </c>
      <c r="X3406" s="21" t="s">
        <v>2272</v>
      </c>
      <c r="Y3406" s="21" t="s">
        <v>2272</v>
      </c>
      <c r="Z3406" s="21" t="s">
        <v>2272</v>
      </c>
      <c r="AA3406" s="21" t="s">
        <v>2272</v>
      </c>
      <c r="AB3406" s="198"/>
      <c r="AC3406" s="198"/>
    </row>
    <row r="3407" spans="1:29" ht="32.5" customHeight="1">
      <c r="A3407" s="151" t="str">
        <f>'Reported burning'!A3407</f>
        <v>373a</v>
      </c>
      <c r="B3407" s="151" t="str">
        <f>'Reported burning'!B3407</f>
        <v>373a.8</v>
      </c>
      <c r="C3407" s="151" t="str">
        <f>'Reported burning'!C3407</f>
        <v>Human, deliberate</v>
      </c>
      <c r="D3407" s="151" t="str">
        <f>'Reported burning'!D3407</f>
        <v>Land clearance</v>
      </c>
      <c r="E3407" s="151" t="str">
        <f>'Reported burning'!E3407</f>
        <v>Cropping, Monoculture, Subsistence-oriented</v>
      </c>
      <c r="F3407" s="151" t="str">
        <f>'Reported burning'!F3407</f>
        <v>Shrubland (Mixed forest &amp; grassland)</v>
      </c>
      <c r="G3407" s="151" t="str">
        <f>'Reported burning'!G3407</f>
        <v>Shrubland (Mixed forest &amp; grassland)</v>
      </c>
      <c r="H3407" s="151" t="str">
        <f>'Reported burning'!H3407</f>
        <v>Presence</v>
      </c>
      <c r="I3407" s="5"/>
      <c r="J3407" s="21" t="s">
        <v>2272</v>
      </c>
      <c r="K3407" s="21" t="s">
        <v>2272</v>
      </c>
      <c r="L3407" s="21" t="s">
        <v>2272</v>
      </c>
      <c r="M3407" s="21" t="s">
        <v>2272</v>
      </c>
      <c r="N3407" s="21" t="s">
        <v>2272</v>
      </c>
      <c r="O3407" s="21" t="s">
        <v>2272</v>
      </c>
      <c r="P3407" s="21" t="s">
        <v>2272</v>
      </c>
      <c r="Q3407" s="21" t="s">
        <v>2272</v>
      </c>
      <c r="R3407" s="21" t="s">
        <v>2272</v>
      </c>
      <c r="S3407" s="21" t="s">
        <v>2272</v>
      </c>
      <c r="T3407" s="21" t="s">
        <v>2272</v>
      </c>
      <c r="U3407" s="21" t="s">
        <v>2272</v>
      </c>
      <c r="V3407" s="21" t="s">
        <v>2272</v>
      </c>
      <c r="W3407" s="21" t="s">
        <v>2272</v>
      </c>
      <c r="X3407" s="21" t="s">
        <v>2272</v>
      </c>
      <c r="Y3407" s="21" t="s">
        <v>2272</v>
      </c>
      <c r="Z3407" s="21" t="s">
        <v>2272</v>
      </c>
      <c r="AA3407" s="21" t="s">
        <v>2272</v>
      </c>
      <c r="AB3407" s="198"/>
      <c r="AC3407" s="198"/>
    </row>
    <row r="3408" spans="1:29" ht="32.5" customHeight="1">
      <c r="A3408" s="151" t="str">
        <f>'Reported burning'!A3408</f>
        <v>373a</v>
      </c>
      <c r="B3408" s="151" t="str">
        <f>'Reported burning'!B3408</f>
        <v>373a.9</v>
      </c>
      <c r="C3408" s="151" t="str">
        <f>'Reported burning'!C3408</f>
        <v>Human, escaped</v>
      </c>
      <c r="D3408" s="151" t="str">
        <f>'Reported burning'!D3408</f>
        <v>Land clearance</v>
      </c>
      <c r="E3408" s="151" t="str">
        <f>'Reported burning'!E3408</f>
        <v>Cattle, Extensive</v>
      </c>
      <c r="F3408" s="151" t="str">
        <f>'Reported burning'!F3408</f>
        <v>Shrubland (Mixed forest &amp; grassland)</v>
      </c>
      <c r="G3408" s="151" t="str">
        <f>'Reported burning'!G3409</f>
        <v>Shrubland (Mixed forest &amp; grassland)</v>
      </c>
      <c r="H3408" s="151" t="str">
        <f>'Reported burning'!H3408</f>
        <v>Presence</v>
      </c>
      <c r="I3408" s="5"/>
      <c r="J3408" s="21" t="s">
        <v>2272</v>
      </c>
      <c r="K3408" s="21" t="s">
        <v>2272</v>
      </c>
      <c r="L3408" s="21" t="s">
        <v>2272</v>
      </c>
      <c r="M3408" s="21" t="s">
        <v>2272</v>
      </c>
      <c r="N3408" s="21" t="s">
        <v>2272</v>
      </c>
      <c r="O3408" s="21" t="s">
        <v>2272</v>
      </c>
      <c r="P3408" s="21" t="s">
        <v>2272</v>
      </c>
      <c r="Q3408" s="21" t="s">
        <v>2272</v>
      </c>
      <c r="R3408" s="21" t="s">
        <v>2272</v>
      </c>
      <c r="S3408" s="21" t="s">
        <v>2272</v>
      </c>
      <c r="T3408" s="21" t="s">
        <v>2272</v>
      </c>
      <c r="U3408" s="21" t="s">
        <v>2272</v>
      </c>
      <c r="V3408" s="21" t="s">
        <v>2272</v>
      </c>
      <c r="W3408" s="21" t="s">
        <v>2272</v>
      </c>
      <c r="X3408" s="21" t="s">
        <v>2272</v>
      </c>
      <c r="Y3408" s="21" t="s">
        <v>2272</v>
      </c>
      <c r="Z3408" s="21" t="s">
        <v>2272</v>
      </c>
      <c r="AA3408" s="21" t="s">
        <v>2272</v>
      </c>
      <c r="AB3408" s="198"/>
      <c r="AC3408" s="198"/>
    </row>
    <row r="3409" spans="1:29" ht="32.5" customHeight="1">
      <c r="A3409" s="151" t="str">
        <f>'Reported burning'!A3409</f>
        <v>373a</v>
      </c>
      <c r="B3409" s="151" t="str">
        <f>'Reported burning'!B3409</f>
        <v>373a.10</v>
      </c>
      <c r="C3409" s="151" t="str">
        <f>'Reported burning'!C3409</f>
        <v>Human, deliberate</v>
      </c>
      <c r="D3409" s="151" t="str">
        <f>'Reported burning'!D3409</f>
        <v>Land clearance</v>
      </c>
      <c r="E3409" s="151" t="str">
        <f>'Reported burning'!E3409</f>
        <v>Cattle, Extensive</v>
      </c>
      <c r="F3409" s="151" t="str">
        <f>'Reported burning'!F3409</f>
        <v>Shrubland (Mixed forest &amp; grassland)</v>
      </c>
      <c r="G3409" s="151" t="str">
        <f>'Reported burning'!G3408</f>
        <v>ND</v>
      </c>
      <c r="H3409" s="151" t="str">
        <f>'Reported burning'!H3409</f>
        <v>Presence</v>
      </c>
      <c r="I3409" s="5"/>
      <c r="J3409" s="21" t="s">
        <v>2272</v>
      </c>
      <c r="K3409" s="21" t="s">
        <v>2272</v>
      </c>
      <c r="L3409" s="21" t="s">
        <v>2272</v>
      </c>
      <c r="M3409" s="21" t="s">
        <v>2272</v>
      </c>
      <c r="N3409" s="21" t="s">
        <v>2272</v>
      </c>
      <c r="O3409" s="21" t="s">
        <v>2272</v>
      </c>
      <c r="P3409" s="21" t="s">
        <v>2272</v>
      </c>
      <c r="Q3409" s="21" t="s">
        <v>2272</v>
      </c>
      <c r="R3409" s="21" t="s">
        <v>2272</v>
      </c>
      <c r="S3409" s="21" t="s">
        <v>2272</v>
      </c>
      <c r="T3409" s="21" t="s">
        <v>2272</v>
      </c>
      <c r="U3409" s="21" t="s">
        <v>2272</v>
      </c>
      <c r="V3409" s="21" t="s">
        <v>2272</v>
      </c>
      <c r="W3409" s="21" t="s">
        <v>2272</v>
      </c>
      <c r="X3409" s="21" t="s">
        <v>2272</v>
      </c>
      <c r="Y3409" s="21" t="s">
        <v>2272</v>
      </c>
      <c r="Z3409" s="21" t="s">
        <v>2272</v>
      </c>
      <c r="AA3409" s="21" t="s">
        <v>2272</v>
      </c>
      <c r="AB3409" s="198"/>
      <c r="AC3409" s="198"/>
    </row>
    <row r="3410" spans="1:29" ht="32.5" customHeight="1">
      <c r="A3410" s="151" t="str">
        <f>'Reported burning'!A3410</f>
        <v>373b</v>
      </c>
      <c r="B3410" s="151" t="str">
        <f>'Reported burning'!B3410</f>
        <v>373b.1</v>
      </c>
      <c r="C3410" s="151" t="str">
        <f>'Reported burning'!C3410</f>
        <v>Human, escaped</v>
      </c>
      <c r="D3410" s="151" t="str">
        <f>'Reported burning'!D3410</f>
        <v>ND</v>
      </c>
      <c r="E3410" s="151" t="str">
        <f>'Reported burning'!E3410</f>
        <v>ND</v>
      </c>
      <c r="F3410" s="151" t="str">
        <f>'Reported burning'!F3410</f>
        <v>ND</v>
      </c>
      <c r="G3410" s="151" t="str">
        <f>'Reported burning'!G3410</f>
        <v>Cropland</v>
      </c>
      <c r="H3410" s="151" t="str">
        <f>'Reported burning'!H3410</f>
        <v>Presence</v>
      </c>
      <c r="I3410" s="5"/>
      <c r="J3410" s="21" t="s">
        <v>2272</v>
      </c>
      <c r="K3410" s="21" t="s">
        <v>2272</v>
      </c>
      <c r="L3410" s="21" t="s">
        <v>2272</v>
      </c>
      <c r="M3410" s="21" t="s">
        <v>2272</v>
      </c>
      <c r="N3410" s="21" t="s">
        <v>2272</v>
      </c>
      <c r="O3410" s="21" t="s">
        <v>2272</v>
      </c>
      <c r="P3410" s="21" t="s">
        <v>2272</v>
      </c>
      <c r="Q3410" s="21" t="s">
        <v>2272</v>
      </c>
      <c r="R3410" s="21" t="s">
        <v>2272</v>
      </c>
      <c r="S3410" s="21" t="s">
        <v>2272</v>
      </c>
      <c r="T3410" s="21" t="s">
        <v>2272</v>
      </c>
      <c r="U3410" s="21" t="s">
        <v>2272</v>
      </c>
      <c r="V3410" s="21" t="s">
        <v>2272</v>
      </c>
      <c r="W3410" s="21" t="s">
        <v>2272</v>
      </c>
      <c r="X3410" s="21" t="s">
        <v>2272</v>
      </c>
      <c r="Y3410" s="21" t="s">
        <v>2272</v>
      </c>
      <c r="Z3410" s="21" t="s">
        <v>2272</v>
      </c>
      <c r="AA3410" s="21" t="s">
        <v>2272</v>
      </c>
      <c r="AB3410" s="198"/>
      <c r="AC3410" s="198"/>
    </row>
    <row r="3411" spans="1:29" ht="34.5" customHeight="1">
      <c r="A3411" s="151" t="str">
        <f>'Reported burning'!A3411</f>
        <v>373b</v>
      </c>
      <c r="B3411" s="151" t="str">
        <f>'Reported burning'!B3411</f>
        <v>373b.2</v>
      </c>
      <c r="C3411" s="151" t="str">
        <f>'Reported burning'!C3411</f>
        <v>Lightning</v>
      </c>
      <c r="D3411" s="151" t="str">
        <f>'Reported burning'!D3411</f>
        <v>ND</v>
      </c>
      <c r="E3411" s="151" t="str">
        <f>'Reported burning'!E3411</f>
        <v>ND</v>
      </c>
      <c r="F3411" s="151" t="str">
        <f>'Reported burning'!F3411</f>
        <v>ND</v>
      </c>
      <c r="G3411" s="151" t="str">
        <f>'Reported burning'!G3411</f>
        <v>Cropland</v>
      </c>
      <c r="H3411" s="151" t="str">
        <f>'Reported burning'!H3411</f>
        <v>Presence</v>
      </c>
      <c r="I3411" s="5"/>
      <c r="J3411" s="21" t="s">
        <v>2272</v>
      </c>
      <c r="K3411" s="21" t="s">
        <v>2272</v>
      </c>
      <c r="L3411" s="21" t="s">
        <v>2272</v>
      </c>
      <c r="M3411" s="21" t="s">
        <v>2272</v>
      </c>
      <c r="N3411" s="21" t="s">
        <v>2272</v>
      </c>
      <c r="O3411" s="21" t="s">
        <v>2272</v>
      </c>
      <c r="P3411" s="21" t="s">
        <v>2272</v>
      </c>
      <c r="Q3411" s="21" t="s">
        <v>2272</v>
      </c>
      <c r="R3411" s="21" t="s">
        <v>2272</v>
      </c>
      <c r="S3411" s="21" t="s">
        <v>2272</v>
      </c>
      <c r="T3411" s="21" t="s">
        <v>2272</v>
      </c>
      <c r="U3411" s="21" t="s">
        <v>2272</v>
      </c>
      <c r="V3411" s="21" t="s">
        <v>2272</v>
      </c>
      <c r="W3411" s="21" t="s">
        <v>2272</v>
      </c>
      <c r="X3411" s="21" t="s">
        <v>2272</v>
      </c>
      <c r="Y3411" s="21" t="s">
        <v>2272</v>
      </c>
      <c r="Z3411" s="21" t="s">
        <v>2272</v>
      </c>
      <c r="AA3411" s="21" t="s">
        <v>2272</v>
      </c>
      <c r="AB3411" s="198"/>
      <c r="AC3411" s="198"/>
    </row>
    <row r="3412" spans="1:29" ht="44" customHeight="1">
      <c r="A3412" s="151" t="str">
        <f>'Reported burning'!A3412</f>
        <v>374a</v>
      </c>
      <c r="B3412" s="151" t="str">
        <f>'Reported burning'!B3412</f>
        <v>374a.1</v>
      </c>
      <c r="C3412" s="151" t="str">
        <f>'Reported burning'!C3412</f>
        <v>Human, deliberate</v>
      </c>
      <c r="D3412" s="151" t="str">
        <f>'Reported burning'!D3412</f>
        <v>Forest clearance</v>
      </c>
      <c r="E3412" s="151" t="str">
        <f>'Reported burning'!E3412</f>
        <v>Cropping, Monoculture, Subsistence-oriented</v>
      </c>
      <c r="F3412" s="151" t="str">
        <f>'Reported burning'!F3412</f>
        <v>Forest</v>
      </c>
      <c r="G3412" s="151" t="str">
        <f>'Reported burning'!G3412</f>
        <v>Forest</v>
      </c>
      <c r="H3412" s="151" t="str">
        <f>'Reported burning'!H3412</f>
        <v>Presence</v>
      </c>
      <c r="I3412" s="5"/>
      <c r="J3412" s="21" t="s">
        <v>2272</v>
      </c>
      <c r="K3412" s="21" t="s">
        <v>2272</v>
      </c>
      <c r="L3412" s="21" t="s">
        <v>2272</v>
      </c>
      <c r="M3412" s="21" t="s">
        <v>2272</v>
      </c>
      <c r="N3412" s="21" t="s">
        <v>2272</v>
      </c>
      <c r="O3412" s="21" t="s">
        <v>2272</v>
      </c>
      <c r="P3412" s="21" t="s">
        <v>2272</v>
      </c>
      <c r="Q3412" s="21" t="s">
        <v>2272</v>
      </c>
      <c r="R3412" s="21" t="s">
        <v>2272</v>
      </c>
      <c r="S3412" s="21" t="s">
        <v>2272</v>
      </c>
      <c r="T3412" s="21" t="s">
        <v>2272</v>
      </c>
      <c r="U3412" s="21" t="s">
        <v>2272</v>
      </c>
      <c r="V3412" s="21" t="s">
        <v>2272</v>
      </c>
      <c r="W3412" s="21" t="s">
        <v>2272</v>
      </c>
      <c r="X3412" s="21" t="s">
        <v>2272</v>
      </c>
      <c r="Y3412" s="21" t="s">
        <v>2272</v>
      </c>
      <c r="Z3412" s="21" t="s">
        <v>2272</v>
      </c>
      <c r="AA3412" s="21" t="s">
        <v>2272</v>
      </c>
      <c r="AB3412" s="198"/>
      <c r="AC3412" s="198"/>
    </row>
    <row r="3413" spans="1:29" ht="44" customHeight="1">
      <c r="A3413" s="151" t="str">
        <f>'Reported burning'!A3413</f>
        <v>374a</v>
      </c>
      <c r="B3413" s="151" t="str">
        <f>'Reported burning'!B3413</f>
        <v>374a.2</v>
      </c>
      <c r="C3413" s="151" t="str">
        <f>'Reported burning'!C3413</f>
        <v>Human, deliberate</v>
      </c>
      <c r="D3413" s="151" t="str">
        <f>'Reported burning'!D3413</f>
        <v>Forest clearance</v>
      </c>
      <c r="E3413" s="151" t="str">
        <f>'Reported burning'!E3413</f>
        <v>Cattle, Extensive</v>
      </c>
      <c r="F3413" s="151" t="str">
        <f>'Reported burning'!F3413</f>
        <v>Forest</v>
      </c>
      <c r="G3413" s="151" t="str">
        <f>'Reported burning'!G3413</f>
        <v>Forest</v>
      </c>
      <c r="H3413" s="151" t="str">
        <f>'Reported burning'!H3413</f>
        <v>Presence</v>
      </c>
      <c r="I3413" s="5"/>
      <c r="J3413" s="21" t="s">
        <v>2272</v>
      </c>
      <c r="K3413" s="21" t="s">
        <v>2272</v>
      </c>
      <c r="L3413" s="21" t="s">
        <v>2272</v>
      </c>
      <c r="M3413" s="21" t="s">
        <v>2272</v>
      </c>
      <c r="N3413" s="21" t="s">
        <v>2272</v>
      </c>
      <c r="O3413" s="21" t="s">
        <v>2272</v>
      </c>
      <c r="P3413" s="21" t="s">
        <v>2272</v>
      </c>
      <c r="Q3413" s="21" t="s">
        <v>2272</v>
      </c>
      <c r="R3413" s="21" t="s">
        <v>2272</v>
      </c>
      <c r="S3413" s="21" t="s">
        <v>2272</v>
      </c>
      <c r="T3413" s="21" t="s">
        <v>2272</v>
      </c>
      <c r="U3413" s="21" t="s">
        <v>2272</v>
      </c>
      <c r="V3413" s="21" t="s">
        <v>2272</v>
      </c>
      <c r="W3413" s="21" t="s">
        <v>2272</v>
      </c>
      <c r="X3413" s="21" t="s">
        <v>2272</v>
      </c>
      <c r="Y3413" s="21" t="s">
        <v>2272</v>
      </c>
      <c r="Z3413" s="21" t="s">
        <v>2272</v>
      </c>
      <c r="AA3413" s="21" t="s">
        <v>2272</v>
      </c>
      <c r="AB3413" s="198"/>
      <c r="AC3413" s="198"/>
    </row>
    <row r="3414" spans="1:29" ht="44" customHeight="1">
      <c r="A3414" s="151" t="str">
        <f>'Reported burning'!A3414</f>
        <v>375a</v>
      </c>
      <c r="B3414" s="151" t="str">
        <f>'Reported burning'!B3414</f>
        <v>375a.1</v>
      </c>
      <c r="C3414" s="151" t="str">
        <f>'Reported burning'!C3414</f>
        <v>Human, deliberate</v>
      </c>
      <c r="D3414" s="151" t="str">
        <f>'Reported burning'!D3414</f>
        <v>Crop field preparation</v>
      </c>
      <c r="E3414" s="151" t="str">
        <f>'Reported burning'!E3414</f>
        <v>Cropping, Monoculture, Subsistence-oriented</v>
      </c>
      <c r="F3414" s="151" t="str">
        <f>'Reported burning'!F3414</f>
        <v>Cropland</v>
      </c>
      <c r="G3414" s="151" t="str">
        <f>'Reported burning'!G3414</f>
        <v>ND</v>
      </c>
      <c r="H3414" s="151" t="str">
        <f>'Reported burning'!H3414</f>
        <v>Presence</v>
      </c>
      <c r="I3414" s="5"/>
      <c r="J3414" s="21" t="s">
        <v>2272</v>
      </c>
      <c r="K3414" s="21" t="s">
        <v>2272</v>
      </c>
      <c r="L3414" s="21" t="s">
        <v>2272</v>
      </c>
      <c r="M3414" s="21" t="s">
        <v>2272</v>
      </c>
      <c r="N3414" s="21" t="s">
        <v>2272</v>
      </c>
      <c r="O3414" s="21" t="s">
        <v>2272</v>
      </c>
      <c r="P3414" s="21" t="s">
        <v>2272</v>
      </c>
      <c r="Q3414" s="21" t="s">
        <v>2272</v>
      </c>
      <c r="R3414" s="21" t="s">
        <v>2272</v>
      </c>
      <c r="S3414" s="21" t="s">
        <v>2272</v>
      </c>
      <c r="T3414" s="21" t="s">
        <v>2272</v>
      </c>
      <c r="U3414" s="21" t="s">
        <v>2272</v>
      </c>
      <c r="V3414" s="21" t="s">
        <v>2272</v>
      </c>
      <c r="W3414" s="21" t="s">
        <v>2272</v>
      </c>
      <c r="X3414" s="21" t="s">
        <v>2272</v>
      </c>
      <c r="Y3414" s="21" t="s">
        <v>2272</v>
      </c>
      <c r="Z3414" s="21" t="s">
        <v>2272</v>
      </c>
      <c r="AA3414" s="21" t="s">
        <v>2272</v>
      </c>
      <c r="AB3414" s="198"/>
      <c r="AC3414" s="198"/>
    </row>
    <row r="3415" spans="1:29" ht="41" customHeight="1">
      <c r="A3415" s="151" t="str">
        <f>'Reported burning'!A3415</f>
        <v>375a</v>
      </c>
      <c r="B3415" s="151" t="str">
        <f>'Reported burning'!B3415</f>
        <v>375a.2</v>
      </c>
      <c r="C3415" s="151" t="str">
        <f>'Reported burning'!C3415</f>
        <v>Human, deliberate</v>
      </c>
      <c r="D3415" s="151" t="str">
        <f>'Reported burning'!D3415</f>
        <v>Crop field preparation</v>
      </c>
      <c r="E3415" s="151" t="str">
        <f>'Reported burning'!E3415</f>
        <v>Cropping, Monoculture, Market-oriented</v>
      </c>
      <c r="F3415" s="151" t="str">
        <f>'Reported burning'!F3415</f>
        <v>Cropland</v>
      </c>
      <c r="G3415" s="151" t="str">
        <f>'Reported burning'!G3415</f>
        <v>ND</v>
      </c>
      <c r="H3415" s="151" t="str">
        <f>'Reported burning'!H3415</f>
        <v>Presence</v>
      </c>
      <c r="I3415" s="5"/>
      <c r="J3415" s="21" t="s">
        <v>2272</v>
      </c>
      <c r="K3415" s="21" t="s">
        <v>2272</v>
      </c>
      <c r="L3415" s="21" t="s">
        <v>2272</v>
      </c>
      <c r="M3415" s="21" t="s">
        <v>2272</v>
      </c>
      <c r="N3415" s="21" t="s">
        <v>2272</v>
      </c>
      <c r="O3415" s="21" t="s">
        <v>2272</v>
      </c>
      <c r="P3415" s="21" t="s">
        <v>2272</v>
      </c>
      <c r="Q3415" s="21" t="s">
        <v>2272</v>
      </c>
      <c r="R3415" s="21" t="s">
        <v>2272</v>
      </c>
      <c r="S3415" s="21" t="s">
        <v>2272</v>
      </c>
      <c r="T3415" s="21" t="s">
        <v>2272</v>
      </c>
      <c r="U3415" s="21" t="s">
        <v>2272</v>
      </c>
      <c r="V3415" s="21" t="s">
        <v>2272</v>
      </c>
      <c r="W3415" s="21" t="s">
        <v>2272</v>
      </c>
      <c r="X3415" s="21" t="s">
        <v>2272</v>
      </c>
      <c r="Y3415" s="21" t="s">
        <v>2272</v>
      </c>
      <c r="Z3415" s="21" t="s">
        <v>2272</v>
      </c>
      <c r="AA3415" s="21" t="s">
        <v>2272</v>
      </c>
      <c r="AB3415" s="198"/>
      <c r="AC3415" s="198"/>
    </row>
    <row r="3416" spans="1:29" ht="41" customHeight="1">
      <c r="A3416" s="151" t="str">
        <f>'Reported burning'!A3416</f>
        <v>375a</v>
      </c>
      <c r="B3416" s="151" t="str">
        <f>'Reported burning'!B3416</f>
        <v>375a.3</v>
      </c>
      <c r="C3416" s="151" t="str">
        <f>'Reported burning'!C3416</f>
        <v>Human, deliberate</v>
      </c>
      <c r="D3416" s="151" t="str">
        <f>'Reported burning'!D3416</f>
        <v>Crop field preparation</v>
      </c>
      <c r="E3416" s="151" t="str">
        <f>'Reported burning'!E3416</f>
        <v>Cropping, Swidden</v>
      </c>
      <c r="F3416" s="151" t="str">
        <f>'Reported burning'!F3416</f>
        <v>Secondary vegetation</v>
      </c>
      <c r="G3416" s="151" t="str">
        <f>'Reported burning'!G3416</f>
        <v>ND</v>
      </c>
      <c r="H3416" s="151" t="str">
        <f>'Reported burning'!H3416</f>
        <v>Presence</v>
      </c>
      <c r="I3416" s="5"/>
      <c r="J3416" s="21" t="s">
        <v>2272</v>
      </c>
      <c r="K3416" s="21" t="s">
        <v>2272</v>
      </c>
      <c r="L3416" s="21" t="s">
        <v>2272</v>
      </c>
      <c r="M3416" s="21" t="s">
        <v>2272</v>
      </c>
      <c r="N3416" s="21" t="s">
        <v>2272</v>
      </c>
      <c r="O3416" s="21" t="s">
        <v>2272</v>
      </c>
      <c r="P3416" s="21" t="s">
        <v>2272</v>
      </c>
      <c r="Q3416" s="21" t="s">
        <v>2272</v>
      </c>
      <c r="R3416" s="21" t="s">
        <v>2272</v>
      </c>
      <c r="S3416" s="21" t="s">
        <v>2272</v>
      </c>
      <c r="T3416" s="21" t="s">
        <v>2272</v>
      </c>
      <c r="U3416" s="21" t="s">
        <v>2272</v>
      </c>
      <c r="V3416" s="21" t="s">
        <v>2272</v>
      </c>
      <c r="W3416" s="21" t="s">
        <v>2272</v>
      </c>
      <c r="X3416" s="21" t="s">
        <v>2272</v>
      </c>
      <c r="Y3416" s="21" t="s">
        <v>2272</v>
      </c>
      <c r="Z3416" s="21" t="s">
        <v>2272</v>
      </c>
      <c r="AA3416" s="21" t="s">
        <v>2272</v>
      </c>
      <c r="AB3416" s="198"/>
      <c r="AC3416" s="198"/>
    </row>
    <row r="3417" spans="1:29" ht="41" customHeight="1">
      <c r="A3417" s="151" t="str">
        <f>'Reported burning'!A3417</f>
        <v>375a</v>
      </c>
      <c r="B3417" s="151" t="str">
        <f>'Reported burning'!B3417</f>
        <v>375a.4</v>
      </c>
      <c r="C3417" s="151" t="str">
        <f>'Reported burning'!C3417</f>
        <v>Human, deliberate</v>
      </c>
      <c r="D3417" s="151" t="str">
        <f>'Reported burning'!D3417</f>
        <v>Pasture renewal</v>
      </c>
      <c r="E3417" s="151" t="str">
        <f>'Reported burning'!E3417</f>
        <v>Cattle, Extensive</v>
      </c>
      <c r="F3417" s="151" t="str">
        <f>'Reported burning'!F3417</f>
        <v>Pasture</v>
      </c>
      <c r="G3417" s="151" t="str">
        <f>'Reported burning'!G3417</f>
        <v>ND</v>
      </c>
      <c r="H3417" s="151" t="str">
        <f>'Reported burning'!H3417</f>
        <v>Presence</v>
      </c>
      <c r="I3417" s="5"/>
      <c r="J3417" s="21" t="s">
        <v>2272</v>
      </c>
      <c r="K3417" s="21" t="s">
        <v>2272</v>
      </c>
      <c r="L3417" s="21" t="s">
        <v>2272</v>
      </c>
      <c r="M3417" s="21" t="s">
        <v>2272</v>
      </c>
      <c r="N3417" s="21" t="s">
        <v>2272</v>
      </c>
      <c r="O3417" s="21" t="s">
        <v>2272</v>
      </c>
      <c r="P3417" s="21" t="s">
        <v>2272</v>
      </c>
      <c r="Q3417" s="21" t="s">
        <v>2272</v>
      </c>
      <c r="R3417" s="21" t="s">
        <v>2272</v>
      </c>
      <c r="S3417" s="21" t="s">
        <v>2272</v>
      </c>
      <c r="T3417" s="21" t="s">
        <v>2272</v>
      </c>
      <c r="U3417" s="21" t="s">
        <v>2272</v>
      </c>
      <c r="V3417" s="21" t="s">
        <v>2272</v>
      </c>
      <c r="W3417" s="21" t="s">
        <v>2272</v>
      </c>
      <c r="X3417" s="21" t="s">
        <v>2272</v>
      </c>
      <c r="Y3417" s="21" t="s">
        <v>2272</v>
      </c>
      <c r="Z3417" s="21" t="s">
        <v>2272</v>
      </c>
      <c r="AA3417" s="21" t="s">
        <v>2272</v>
      </c>
      <c r="AB3417" s="198"/>
      <c r="AC3417" s="198"/>
    </row>
    <row r="3418" spans="1:29" ht="41" customHeight="1">
      <c r="A3418" s="151" t="str">
        <f>'Reported burning'!A3418</f>
        <v>376a</v>
      </c>
      <c r="B3418" s="151" t="str">
        <f>'Reported burning'!B3418</f>
        <v>376a.1</v>
      </c>
      <c r="C3418" s="151" t="str">
        <f>'Reported burning'!C3418</f>
        <v>Human, deliberate</v>
      </c>
      <c r="D3418" s="151" t="str">
        <f>'Reported burning'!D3418</f>
        <v>ND</v>
      </c>
      <c r="E3418" s="151" t="str">
        <f>'Reported burning'!E3418</f>
        <v>Cattle, Extensive</v>
      </c>
      <c r="F3418" s="151" t="str">
        <f>'Reported burning'!F3418</f>
        <v>Grassland</v>
      </c>
      <c r="G3418" s="151" t="str">
        <f>'Reported burning'!G3418</f>
        <v>ND</v>
      </c>
      <c r="H3418" s="151" t="str">
        <f>'Reported burning'!H3418</f>
        <v>Presence</v>
      </c>
      <c r="I3418" s="5"/>
      <c r="J3418" s="21" t="s">
        <v>2272</v>
      </c>
      <c r="K3418" s="21" t="s">
        <v>2272</v>
      </c>
      <c r="L3418" s="21" t="s">
        <v>2272</v>
      </c>
      <c r="M3418" s="21" t="s">
        <v>2272</v>
      </c>
      <c r="N3418" s="21" t="s">
        <v>2272</v>
      </c>
      <c r="O3418" s="21" t="s">
        <v>2272</v>
      </c>
      <c r="P3418" s="21" t="s">
        <v>2272</v>
      </c>
      <c r="Q3418" s="21" t="s">
        <v>2272</v>
      </c>
      <c r="R3418" s="21" t="s">
        <v>2272</v>
      </c>
      <c r="S3418" s="21" t="s">
        <v>2272</v>
      </c>
      <c r="T3418" s="21" t="s">
        <v>2272</v>
      </c>
      <c r="U3418" s="21" t="s">
        <v>2272</v>
      </c>
      <c r="V3418" s="21" t="s">
        <v>2272</v>
      </c>
      <c r="W3418" s="21" t="s">
        <v>2272</v>
      </c>
      <c r="X3418" s="21" t="s">
        <v>2272</v>
      </c>
      <c r="Y3418" s="21" t="s">
        <v>2272</v>
      </c>
      <c r="Z3418" s="21" t="s">
        <v>2272</v>
      </c>
      <c r="AA3418" s="21" t="s">
        <v>2272</v>
      </c>
      <c r="AB3418" s="198"/>
      <c r="AC3418" s="198"/>
    </row>
    <row r="3419" spans="1:29" ht="41" customHeight="1">
      <c r="A3419" s="151" t="str">
        <f>'Reported burning'!A3419</f>
        <v>376a</v>
      </c>
      <c r="B3419" s="151" t="str">
        <f>'Reported burning'!B3419</f>
        <v>376a.2</v>
      </c>
      <c r="C3419" s="151" t="str">
        <f>'Reported burning'!C3419</f>
        <v>Human, escaped</v>
      </c>
      <c r="D3419" s="151" t="str">
        <f>'Reported burning'!D3419</f>
        <v>ND</v>
      </c>
      <c r="E3419" s="151" t="str">
        <f>'Reported burning'!E3419</f>
        <v>Cattle, Extensive</v>
      </c>
      <c r="F3419" s="151" t="str">
        <f>'Reported burning'!F3419</f>
        <v>Grassland</v>
      </c>
      <c r="G3419" s="151" t="str">
        <f>'Reported burning'!G3419</f>
        <v>Secondary vegetation</v>
      </c>
      <c r="H3419" s="151" t="str">
        <f>'Reported burning'!H3419</f>
        <v>Presence</v>
      </c>
      <c r="I3419" s="5"/>
      <c r="J3419" s="21" t="s">
        <v>2272</v>
      </c>
      <c r="K3419" s="21" t="s">
        <v>2272</v>
      </c>
      <c r="L3419" s="21" t="s">
        <v>2272</v>
      </c>
      <c r="M3419" s="21" t="s">
        <v>2272</v>
      </c>
      <c r="N3419" s="21" t="s">
        <v>2272</v>
      </c>
      <c r="O3419" s="21" t="s">
        <v>2272</v>
      </c>
      <c r="P3419" s="21" t="s">
        <v>2272</v>
      </c>
      <c r="Q3419" s="21" t="s">
        <v>2272</v>
      </c>
      <c r="R3419" s="21" t="s">
        <v>2272</v>
      </c>
      <c r="S3419" s="21" t="s">
        <v>2272</v>
      </c>
      <c r="T3419" s="21" t="s">
        <v>2272</v>
      </c>
      <c r="U3419" s="21" t="s">
        <v>2272</v>
      </c>
      <c r="V3419" s="21" t="s">
        <v>2272</v>
      </c>
      <c r="W3419" s="21" t="s">
        <v>2272</v>
      </c>
      <c r="X3419" s="21" t="s">
        <v>2272</v>
      </c>
      <c r="Y3419" s="21" t="s">
        <v>2272</v>
      </c>
      <c r="Z3419" s="21" t="s">
        <v>2272</v>
      </c>
      <c r="AA3419" s="21" t="s">
        <v>2272</v>
      </c>
      <c r="AB3419" s="198"/>
      <c r="AC3419" s="198"/>
    </row>
    <row r="3420" spans="1:29" ht="41" customHeight="1">
      <c r="A3420" s="151" t="str">
        <f>'Reported burning'!A3420</f>
        <v>377a</v>
      </c>
      <c r="B3420" s="151" t="str">
        <f>'Reported burning'!B3420</f>
        <v>377a.1</v>
      </c>
      <c r="C3420" s="151" t="str">
        <f>'Reported burning'!C3420</f>
        <v>Human, deliberate</v>
      </c>
      <c r="D3420" s="151" t="str">
        <f>'Reported burning'!D3420</f>
        <v>Hunting</v>
      </c>
      <c r="E3420" s="151" t="str">
        <f>'Reported burning'!E3420</f>
        <v>Forestry, Traditional</v>
      </c>
      <c r="F3420" s="151" t="str">
        <f>'Reported burning'!F3420</f>
        <v>Shrubland (Mixed forest &amp; grassland)</v>
      </c>
      <c r="G3420" s="151" t="str">
        <f>'Reported burning'!G3420</f>
        <v>Shrubland (Mixed forest &amp; grassland)</v>
      </c>
      <c r="H3420" s="151" t="str">
        <f>'Reported burning'!H3420</f>
        <v>Presence</v>
      </c>
      <c r="I3420" s="5"/>
      <c r="J3420" s="21" t="s">
        <v>2272</v>
      </c>
      <c r="K3420" s="21" t="s">
        <v>2272</v>
      </c>
      <c r="L3420" s="21" t="s">
        <v>2272</v>
      </c>
      <c r="M3420" s="21" t="s">
        <v>2272</v>
      </c>
      <c r="N3420" s="21" t="s">
        <v>2272</v>
      </c>
      <c r="O3420" s="21" t="s">
        <v>2272</v>
      </c>
      <c r="P3420" s="21" t="s">
        <v>2272</v>
      </c>
      <c r="Q3420" s="21" t="s">
        <v>2272</v>
      </c>
      <c r="R3420" s="21" t="s">
        <v>2272</v>
      </c>
      <c r="S3420" s="21" t="s">
        <v>2272</v>
      </c>
      <c r="T3420" s="21" t="s">
        <v>2272</v>
      </c>
      <c r="U3420" s="21" t="s">
        <v>2272</v>
      </c>
      <c r="V3420" s="21" t="s">
        <v>2272</v>
      </c>
      <c r="W3420" s="21" t="s">
        <v>2272</v>
      </c>
      <c r="X3420" s="21" t="s">
        <v>2272</v>
      </c>
      <c r="Y3420" s="21" t="s">
        <v>2272</v>
      </c>
      <c r="Z3420" s="21" t="s">
        <v>2272</v>
      </c>
      <c r="AA3420" s="21" t="s">
        <v>2272</v>
      </c>
      <c r="AB3420" s="198"/>
      <c r="AC3420" s="198"/>
    </row>
    <row r="3421" spans="1:29" ht="42" customHeight="1">
      <c r="A3421" s="151" t="str">
        <f>'Reported burning'!A3421</f>
        <v>378a</v>
      </c>
      <c r="B3421" s="151" t="str">
        <f>'Reported burning'!B3421</f>
        <v>378a.1</v>
      </c>
      <c r="C3421" s="151" t="str">
        <f>'Reported burning'!C3421</f>
        <v>Human, deliberate</v>
      </c>
      <c r="D3421" s="151" t="str">
        <f>'Reported burning'!D3421</f>
        <v>Crop residue burning</v>
      </c>
      <c r="E3421" s="151" t="str">
        <f>'Reported burning'!E3421</f>
        <v>All</v>
      </c>
      <c r="F3421" s="151" t="str">
        <f>'Reported burning'!F3421</f>
        <v>Cropland</v>
      </c>
      <c r="G3421" s="151" t="str">
        <f>'Reported burning'!G3421</f>
        <v>Cropland</v>
      </c>
      <c r="H3421" s="151" t="str">
        <f>'Reported burning'!H3421</f>
        <v>Presence</v>
      </c>
      <c r="I3421" s="5"/>
      <c r="J3421" s="21" t="s">
        <v>2272</v>
      </c>
      <c r="K3421" s="21" t="s">
        <v>2272</v>
      </c>
      <c r="L3421" s="21" t="s">
        <v>2272</v>
      </c>
      <c r="M3421" s="21" t="s">
        <v>2272</v>
      </c>
      <c r="N3421" s="21" t="s">
        <v>2272</v>
      </c>
      <c r="O3421" s="21" t="s">
        <v>2272</v>
      </c>
      <c r="P3421" s="21" t="s">
        <v>2272</v>
      </c>
      <c r="Q3421" s="21" t="s">
        <v>2272</v>
      </c>
      <c r="R3421" s="21" t="s">
        <v>2272</v>
      </c>
      <c r="S3421" s="21" t="s">
        <v>2272</v>
      </c>
      <c r="T3421" s="21" t="s">
        <v>2272</v>
      </c>
      <c r="U3421" s="21" t="s">
        <v>2272</v>
      </c>
      <c r="V3421" s="21" t="s">
        <v>2272</v>
      </c>
      <c r="W3421" s="21" t="s">
        <v>2272</v>
      </c>
      <c r="X3421" s="21" t="s">
        <v>2272</v>
      </c>
      <c r="Y3421" s="198" t="s">
        <v>84</v>
      </c>
      <c r="Z3421" s="198" t="s">
        <v>84</v>
      </c>
      <c r="AA3421" s="21" t="s">
        <v>2272</v>
      </c>
      <c r="AB3421" s="21"/>
      <c r="AC3421" s="198"/>
    </row>
    <row r="3422" spans="1:29" ht="43.5" customHeight="1">
      <c r="A3422" s="151" t="str">
        <f>'Reported burning'!A3422</f>
        <v>378a</v>
      </c>
      <c r="B3422" s="151" t="str">
        <f>'Reported burning'!B3422</f>
        <v>378a.2</v>
      </c>
      <c r="C3422" s="151" t="str">
        <f>'Reported burning'!C3422</f>
        <v>Human, deliberate</v>
      </c>
      <c r="D3422" s="151" t="str">
        <f>'Reported burning'!D3422</f>
        <v>Crop residue burning</v>
      </c>
      <c r="E3422" s="151" t="str">
        <f>'Reported burning'!E3422</f>
        <v>All</v>
      </c>
      <c r="F3422" s="151" t="str">
        <f>'Reported burning'!F3422</f>
        <v>Cropland</v>
      </c>
      <c r="G3422" s="151" t="str">
        <f>'Reported burning'!G3422</f>
        <v>Cropland</v>
      </c>
      <c r="H3422" s="151" t="str">
        <f>'Reported burning'!H3422</f>
        <v>Presence</v>
      </c>
      <c r="I3422" s="5"/>
      <c r="J3422" s="21" t="s">
        <v>2272</v>
      </c>
      <c r="K3422" s="21" t="s">
        <v>2272</v>
      </c>
      <c r="L3422" s="21" t="s">
        <v>2272</v>
      </c>
      <c r="M3422" s="21" t="s">
        <v>2272</v>
      </c>
      <c r="N3422" s="21" t="s">
        <v>2272</v>
      </c>
      <c r="O3422" s="21" t="s">
        <v>2272</v>
      </c>
      <c r="P3422" s="21" t="s">
        <v>2272</v>
      </c>
      <c r="Q3422" s="21" t="s">
        <v>2272</v>
      </c>
      <c r="R3422" s="21" t="s">
        <v>2272</v>
      </c>
      <c r="S3422" s="21" t="s">
        <v>2272</v>
      </c>
      <c r="T3422" s="21" t="s">
        <v>2272</v>
      </c>
      <c r="U3422" s="21" t="s">
        <v>2272</v>
      </c>
      <c r="V3422" s="21" t="s">
        <v>2272</v>
      </c>
      <c r="W3422" s="21" t="s">
        <v>2272</v>
      </c>
      <c r="X3422" s="21" t="s">
        <v>2272</v>
      </c>
      <c r="Y3422" s="198" t="s">
        <v>33</v>
      </c>
      <c r="Z3422" s="198" t="s">
        <v>33</v>
      </c>
      <c r="AA3422" s="21" t="s">
        <v>2272</v>
      </c>
      <c r="AB3422" s="21"/>
      <c r="AC3422" s="198"/>
    </row>
    <row r="3423" spans="1:29" ht="43.5" customHeight="1">
      <c r="A3423" s="151" t="str">
        <f>'Reported burning'!A3423</f>
        <v>378a</v>
      </c>
      <c r="B3423" s="151" t="str">
        <f>'Reported burning'!B3423</f>
        <v>378a.3</v>
      </c>
      <c r="C3423" s="151" t="str">
        <f>'Reported burning'!C3423</f>
        <v>Human, deliberate</v>
      </c>
      <c r="D3423" s="151" t="str">
        <f>'Reported burning'!D3423</f>
        <v>Crop residue burning</v>
      </c>
      <c r="E3423" s="151" t="str">
        <f>'Reported burning'!E3423</f>
        <v>All</v>
      </c>
      <c r="F3423" s="151" t="str">
        <f>'Reported burning'!F3423</f>
        <v>Cropland</v>
      </c>
      <c r="G3423" s="151" t="str">
        <f>'Reported burning'!G3423</f>
        <v>Cropland</v>
      </c>
      <c r="H3423" s="151" t="str">
        <f>'Reported burning'!H3423</f>
        <v>Presence</v>
      </c>
      <c r="I3423" s="5"/>
      <c r="J3423" s="21" t="s">
        <v>2272</v>
      </c>
      <c r="K3423" s="21" t="s">
        <v>2272</v>
      </c>
      <c r="L3423" s="21" t="s">
        <v>2272</v>
      </c>
      <c r="M3423" s="21" t="s">
        <v>2272</v>
      </c>
      <c r="N3423" s="21" t="s">
        <v>2272</v>
      </c>
      <c r="O3423" s="21" t="s">
        <v>2272</v>
      </c>
      <c r="P3423" s="21" t="s">
        <v>2272</v>
      </c>
      <c r="Q3423" s="21" t="s">
        <v>2272</v>
      </c>
      <c r="R3423" s="21" t="s">
        <v>2272</v>
      </c>
      <c r="S3423" s="21" t="s">
        <v>2272</v>
      </c>
      <c r="T3423" s="21" t="s">
        <v>2272</v>
      </c>
      <c r="U3423" s="21" t="s">
        <v>2272</v>
      </c>
      <c r="V3423" s="21" t="s">
        <v>2272</v>
      </c>
      <c r="W3423" s="21" t="s">
        <v>2272</v>
      </c>
      <c r="X3423" s="21" t="s">
        <v>2272</v>
      </c>
      <c r="Y3423" s="198" t="s">
        <v>402</v>
      </c>
      <c r="Z3423" s="198" t="s">
        <v>402</v>
      </c>
      <c r="AA3423" s="21" t="s">
        <v>2272</v>
      </c>
      <c r="AB3423" s="21"/>
      <c r="AC3423" s="198"/>
    </row>
    <row r="3424" spans="1:29" ht="43.5" customHeight="1">
      <c r="A3424" s="151" t="str">
        <f>'Reported burning'!A3424</f>
        <v>378a</v>
      </c>
      <c r="B3424" s="151" t="str">
        <f>'Reported burning'!B3424</f>
        <v>378a.4</v>
      </c>
      <c r="C3424" s="151" t="str">
        <f>'Reported burning'!C3424</f>
        <v>Human, deliberate</v>
      </c>
      <c r="D3424" s="151" t="str">
        <f>'Reported burning'!D3424</f>
        <v>Crop residue burning</v>
      </c>
      <c r="E3424" s="151" t="str">
        <f>'Reported burning'!E3424</f>
        <v>All</v>
      </c>
      <c r="F3424" s="151" t="str">
        <f>'Reported burning'!F3424</f>
        <v>Cropland</v>
      </c>
      <c r="G3424" s="151" t="str">
        <f>'Reported burning'!G3424</f>
        <v>Cropland</v>
      </c>
      <c r="H3424" s="151" t="str">
        <f>'Reported burning'!H3424</f>
        <v>Presence</v>
      </c>
      <c r="I3424" s="5"/>
      <c r="J3424" s="21" t="s">
        <v>2272</v>
      </c>
      <c r="K3424" s="21" t="s">
        <v>2272</v>
      </c>
      <c r="L3424" s="21" t="s">
        <v>2272</v>
      </c>
      <c r="M3424" s="21" t="s">
        <v>2272</v>
      </c>
      <c r="N3424" s="21" t="s">
        <v>2272</v>
      </c>
      <c r="O3424" s="21" t="s">
        <v>2272</v>
      </c>
      <c r="P3424" s="21" t="s">
        <v>2272</v>
      </c>
      <c r="Q3424" s="21" t="s">
        <v>2272</v>
      </c>
      <c r="R3424" s="21" t="s">
        <v>2272</v>
      </c>
      <c r="S3424" s="21" t="s">
        <v>2272</v>
      </c>
      <c r="T3424" s="21" t="s">
        <v>2272</v>
      </c>
      <c r="U3424" s="21" t="s">
        <v>2272</v>
      </c>
      <c r="V3424" s="21" t="s">
        <v>2272</v>
      </c>
      <c r="W3424" s="21" t="s">
        <v>2272</v>
      </c>
      <c r="X3424" s="21" t="s">
        <v>2272</v>
      </c>
      <c r="Y3424" s="198" t="s">
        <v>403</v>
      </c>
      <c r="Z3424" s="198" t="s">
        <v>403</v>
      </c>
      <c r="AA3424" s="21" t="s">
        <v>2272</v>
      </c>
      <c r="AB3424" s="21"/>
      <c r="AC3424" s="198"/>
    </row>
    <row r="3425" spans="1:29" ht="43.5" customHeight="1">
      <c r="A3425" s="151" t="str">
        <f>'Reported burning'!A3425</f>
        <v>378a</v>
      </c>
      <c r="B3425" s="151" t="str">
        <f>'Reported burning'!B3425</f>
        <v>378a.5</v>
      </c>
      <c r="C3425" s="151" t="str">
        <f>'Reported burning'!C3425</f>
        <v>Human, deliberate</v>
      </c>
      <c r="D3425" s="151" t="str">
        <f>'Reported burning'!D3425</f>
        <v>Crop residue burning</v>
      </c>
      <c r="E3425" s="151" t="str">
        <f>'Reported burning'!E3425</f>
        <v>All</v>
      </c>
      <c r="F3425" s="151" t="str">
        <f>'Reported burning'!F3425</f>
        <v>Cropland</v>
      </c>
      <c r="G3425" s="151" t="str">
        <f>'Reported burning'!G3425</f>
        <v>Cropland</v>
      </c>
      <c r="H3425" s="151" t="str">
        <f>'Reported burning'!H3425</f>
        <v>Presence</v>
      </c>
      <c r="I3425" s="5"/>
      <c r="J3425" s="21" t="s">
        <v>2272</v>
      </c>
      <c r="K3425" s="21" t="s">
        <v>2272</v>
      </c>
      <c r="L3425" s="21" t="s">
        <v>2272</v>
      </c>
      <c r="M3425" s="21" t="s">
        <v>2272</v>
      </c>
      <c r="N3425" s="21" t="s">
        <v>2272</v>
      </c>
      <c r="O3425" s="21" t="s">
        <v>2272</v>
      </c>
      <c r="P3425" s="21" t="s">
        <v>2272</v>
      </c>
      <c r="Q3425" s="21" t="s">
        <v>2272</v>
      </c>
      <c r="R3425" s="21" t="s">
        <v>2272</v>
      </c>
      <c r="S3425" s="21" t="s">
        <v>2272</v>
      </c>
      <c r="T3425" s="21" t="s">
        <v>2272</v>
      </c>
      <c r="U3425" s="21" t="s">
        <v>2272</v>
      </c>
      <c r="V3425" s="21" t="s">
        <v>2272</v>
      </c>
      <c r="W3425" s="21" t="s">
        <v>2272</v>
      </c>
      <c r="X3425" s="21" t="s">
        <v>2272</v>
      </c>
      <c r="Y3425" s="198" t="s">
        <v>423</v>
      </c>
      <c r="Z3425" s="198" t="s">
        <v>423</v>
      </c>
      <c r="AA3425" s="21" t="s">
        <v>2272</v>
      </c>
      <c r="AB3425" s="21"/>
      <c r="AC3425" s="198"/>
    </row>
    <row r="3426" spans="1:29" ht="43.5" customHeight="1">
      <c r="A3426" s="151" t="str">
        <f>'Reported burning'!A3426</f>
        <v>378a</v>
      </c>
      <c r="B3426" s="151" t="str">
        <f>'Reported burning'!B3426</f>
        <v>378a.6</v>
      </c>
      <c r="C3426" s="151" t="str">
        <f>'Reported burning'!C3426</f>
        <v>Human, deliberate</v>
      </c>
      <c r="D3426" s="151" t="str">
        <f>'Reported burning'!D3426</f>
        <v>Crop residue burning</v>
      </c>
      <c r="E3426" s="151" t="str">
        <f>'Reported burning'!E3426</f>
        <v>All</v>
      </c>
      <c r="F3426" s="151" t="str">
        <f>'Reported burning'!F3426</f>
        <v>Cropland</v>
      </c>
      <c r="G3426" s="151" t="str">
        <f>'Reported burning'!G3426</f>
        <v>Cropland</v>
      </c>
      <c r="H3426" s="151" t="str">
        <f>'Reported burning'!H3426</f>
        <v>Presence</v>
      </c>
      <c r="I3426" s="5"/>
      <c r="J3426" s="21" t="s">
        <v>2272</v>
      </c>
      <c r="K3426" s="21" t="s">
        <v>2272</v>
      </c>
      <c r="L3426" s="21" t="s">
        <v>2272</v>
      </c>
      <c r="M3426" s="21" t="s">
        <v>2272</v>
      </c>
      <c r="N3426" s="21" t="s">
        <v>2272</v>
      </c>
      <c r="O3426" s="21" t="s">
        <v>2272</v>
      </c>
      <c r="P3426" s="21" t="s">
        <v>2272</v>
      </c>
      <c r="Q3426" s="21" t="s">
        <v>2272</v>
      </c>
      <c r="R3426" s="21" t="s">
        <v>2272</v>
      </c>
      <c r="S3426" s="21" t="s">
        <v>2272</v>
      </c>
      <c r="T3426" s="21" t="s">
        <v>2272</v>
      </c>
      <c r="U3426" s="21" t="s">
        <v>2272</v>
      </c>
      <c r="V3426" s="21" t="s">
        <v>2272</v>
      </c>
      <c r="W3426" s="21" t="s">
        <v>2272</v>
      </c>
      <c r="X3426" s="21" t="s">
        <v>2272</v>
      </c>
      <c r="Y3426" s="198" t="s">
        <v>67</v>
      </c>
      <c r="Z3426" s="198" t="s">
        <v>67</v>
      </c>
      <c r="AA3426" s="21" t="s">
        <v>2272</v>
      </c>
      <c r="AB3426" s="21"/>
      <c r="AC3426" s="198"/>
    </row>
    <row r="3427" spans="1:29" ht="43.5" customHeight="1">
      <c r="A3427" s="151" t="str">
        <f>'Reported burning'!A3427</f>
        <v>378a</v>
      </c>
      <c r="B3427" s="151" t="str">
        <f>'Reported burning'!B3427</f>
        <v>378a.7</v>
      </c>
      <c r="C3427" s="151" t="str">
        <f>'Reported burning'!C3427</f>
        <v>Human, deliberate</v>
      </c>
      <c r="D3427" s="151" t="str">
        <f>'Reported burning'!D3427</f>
        <v>Crop residue burning</v>
      </c>
      <c r="E3427" s="151" t="str">
        <f>'Reported burning'!E3427</f>
        <v>All</v>
      </c>
      <c r="F3427" s="151" t="str">
        <f>'Reported burning'!F3427</f>
        <v>Cropland</v>
      </c>
      <c r="G3427" s="151" t="str">
        <f>'Reported burning'!G3427</f>
        <v>Cropland</v>
      </c>
      <c r="H3427" s="151" t="str">
        <f>'Reported burning'!H3427</f>
        <v>Presence</v>
      </c>
      <c r="I3427" s="5"/>
      <c r="J3427" s="21" t="s">
        <v>2272</v>
      </c>
      <c r="K3427" s="21" t="s">
        <v>2272</v>
      </c>
      <c r="L3427" s="21" t="s">
        <v>2272</v>
      </c>
      <c r="M3427" s="21" t="s">
        <v>2272</v>
      </c>
      <c r="N3427" s="21" t="s">
        <v>2272</v>
      </c>
      <c r="O3427" s="21" t="s">
        <v>2272</v>
      </c>
      <c r="P3427" s="21" t="s">
        <v>2272</v>
      </c>
      <c r="Q3427" s="21" t="s">
        <v>2272</v>
      </c>
      <c r="R3427" s="21" t="s">
        <v>2272</v>
      </c>
      <c r="S3427" s="21" t="s">
        <v>2272</v>
      </c>
      <c r="T3427" s="21" t="s">
        <v>2272</v>
      </c>
      <c r="U3427" s="21" t="s">
        <v>2272</v>
      </c>
      <c r="V3427" s="21" t="s">
        <v>2272</v>
      </c>
      <c r="W3427" s="21" t="s">
        <v>2272</v>
      </c>
      <c r="X3427" s="21" t="s">
        <v>2272</v>
      </c>
      <c r="Y3427" s="198" t="s">
        <v>34</v>
      </c>
      <c r="Z3427" s="198" t="s">
        <v>34</v>
      </c>
      <c r="AA3427" s="21" t="s">
        <v>2272</v>
      </c>
      <c r="AB3427" s="21"/>
      <c r="AC3427" s="198"/>
    </row>
    <row r="3428" spans="1:29" ht="43.5" customHeight="1">
      <c r="A3428" s="151" t="str">
        <f>'Reported burning'!A3428</f>
        <v>378a</v>
      </c>
      <c r="B3428" s="151" t="str">
        <f>'Reported burning'!B3428</f>
        <v>378a.8</v>
      </c>
      <c r="C3428" s="151" t="str">
        <f>'Reported burning'!C3428</f>
        <v>Human, deliberate</v>
      </c>
      <c r="D3428" s="151" t="str">
        <f>'Reported burning'!D3428</f>
        <v>Crop residue burning</v>
      </c>
      <c r="E3428" s="151" t="str">
        <f>'Reported burning'!E3428</f>
        <v>All</v>
      </c>
      <c r="F3428" s="151" t="str">
        <f>'Reported burning'!F3428</f>
        <v>Cropland</v>
      </c>
      <c r="G3428" s="151" t="str">
        <f>'Reported burning'!G3428</f>
        <v>Cropland</v>
      </c>
      <c r="H3428" s="151" t="str">
        <f>'Reported burning'!H3428</f>
        <v>Presence</v>
      </c>
      <c r="I3428" s="5"/>
      <c r="J3428" s="21" t="s">
        <v>2272</v>
      </c>
      <c r="K3428" s="21" t="s">
        <v>2272</v>
      </c>
      <c r="L3428" s="21" t="s">
        <v>2272</v>
      </c>
      <c r="M3428" s="21" t="s">
        <v>2272</v>
      </c>
      <c r="N3428" s="21" t="s">
        <v>2272</v>
      </c>
      <c r="O3428" s="21" t="s">
        <v>2272</v>
      </c>
      <c r="P3428" s="21" t="s">
        <v>2272</v>
      </c>
      <c r="Q3428" s="21" t="s">
        <v>2272</v>
      </c>
      <c r="R3428" s="21" t="s">
        <v>2272</v>
      </c>
      <c r="S3428" s="21" t="s">
        <v>2272</v>
      </c>
      <c r="T3428" s="21" t="s">
        <v>2272</v>
      </c>
      <c r="U3428" s="21" t="s">
        <v>2272</v>
      </c>
      <c r="V3428" s="21" t="s">
        <v>2272</v>
      </c>
      <c r="W3428" s="21" t="s">
        <v>2272</v>
      </c>
      <c r="X3428" s="21" t="s">
        <v>2272</v>
      </c>
      <c r="Y3428" s="198" t="s">
        <v>125</v>
      </c>
      <c r="Z3428" s="198" t="s">
        <v>125</v>
      </c>
      <c r="AA3428" s="21" t="s">
        <v>2272</v>
      </c>
      <c r="AB3428" s="21"/>
      <c r="AC3428" s="198"/>
    </row>
    <row r="3429" spans="1:29" ht="43.5" customHeight="1">
      <c r="A3429" s="151" t="str">
        <f>'Reported burning'!A3429</f>
        <v>378a</v>
      </c>
      <c r="B3429" s="151" t="str">
        <f>'Reported burning'!B3429</f>
        <v>378a.9</v>
      </c>
      <c r="C3429" s="151" t="str">
        <f>'Reported burning'!C3429</f>
        <v>Human, deliberate</v>
      </c>
      <c r="D3429" s="151" t="str">
        <f>'Reported burning'!D3429</f>
        <v>Crop residue burning</v>
      </c>
      <c r="E3429" s="151" t="str">
        <f>'Reported burning'!E3429</f>
        <v>All</v>
      </c>
      <c r="F3429" s="151" t="str">
        <f>'Reported burning'!F3429</f>
        <v>Cropland</v>
      </c>
      <c r="G3429" s="151" t="str">
        <f>'Reported burning'!G3429</f>
        <v>Cropland</v>
      </c>
      <c r="H3429" s="151" t="str">
        <f>'Reported burning'!H3429</f>
        <v>Presence</v>
      </c>
      <c r="I3429" s="5"/>
      <c r="J3429" s="21" t="s">
        <v>2272</v>
      </c>
      <c r="K3429" s="21" t="s">
        <v>2272</v>
      </c>
      <c r="L3429" s="21" t="s">
        <v>2272</v>
      </c>
      <c r="M3429" s="21" t="s">
        <v>2272</v>
      </c>
      <c r="N3429" s="21" t="s">
        <v>2272</v>
      </c>
      <c r="O3429" s="21" t="s">
        <v>2272</v>
      </c>
      <c r="P3429" s="21" t="s">
        <v>2272</v>
      </c>
      <c r="Q3429" s="21" t="s">
        <v>2272</v>
      </c>
      <c r="R3429" s="21" t="s">
        <v>2272</v>
      </c>
      <c r="S3429" s="21" t="s">
        <v>2272</v>
      </c>
      <c r="T3429" s="21" t="s">
        <v>2272</v>
      </c>
      <c r="U3429" s="21" t="s">
        <v>2272</v>
      </c>
      <c r="V3429" s="21" t="s">
        <v>2272</v>
      </c>
      <c r="W3429" s="21" t="s">
        <v>2272</v>
      </c>
      <c r="X3429" s="21" t="s">
        <v>2272</v>
      </c>
      <c r="Y3429" s="198" t="s">
        <v>397</v>
      </c>
      <c r="Z3429" s="198" t="s">
        <v>397</v>
      </c>
      <c r="AA3429" s="21" t="s">
        <v>2272</v>
      </c>
      <c r="AB3429" s="21"/>
      <c r="AC3429" s="198"/>
    </row>
    <row r="3430" spans="1:29" ht="43.5" customHeight="1">
      <c r="A3430" s="151" t="str">
        <f>'Reported burning'!A3430</f>
        <v>378a</v>
      </c>
      <c r="B3430" s="151" t="str">
        <f>'Reported burning'!B3430</f>
        <v>378a.10</v>
      </c>
      <c r="C3430" s="151" t="str">
        <f>'Reported burning'!C3430</f>
        <v>Human, deliberate</v>
      </c>
      <c r="D3430" s="151" t="str">
        <f>'Reported burning'!D3430</f>
        <v>Crop residue burning</v>
      </c>
      <c r="E3430" s="151" t="str">
        <f>'Reported burning'!E3430</f>
        <v>All</v>
      </c>
      <c r="F3430" s="151" t="str">
        <f>'Reported burning'!F3430</f>
        <v>Cropland</v>
      </c>
      <c r="G3430" s="151" t="str">
        <f>'Reported burning'!G3430</f>
        <v>Cropland</v>
      </c>
      <c r="H3430" s="151" t="str">
        <f>'Reported burning'!H3430</f>
        <v>Presence</v>
      </c>
      <c r="I3430" s="5"/>
      <c r="J3430" s="21" t="s">
        <v>2272</v>
      </c>
      <c r="K3430" s="21" t="s">
        <v>2272</v>
      </c>
      <c r="L3430" s="21" t="s">
        <v>2272</v>
      </c>
      <c r="M3430" s="21" t="s">
        <v>2272</v>
      </c>
      <c r="N3430" s="21" t="s">
        <v>2272</v>
      </c>
      <c r="O3430" s="21" t="s">
        <v>2272</v>
      </c>
      <c r="P3430" s="21" t="s">
        <v>2272</v>
      </c>
      <c r="Q3430" s="21" t="s">
        <v>2272</v>
      </c>
      <c r="R3430" s="21" t="s">
        <v>2272</v>
      </c>
      <c r="S3430" s="21" t="s">
        <v>2272</v>
      </c>
      <c r="T3430" s="21" t="s">
        <v>2272</v>
      </c>
      <c r="U3430" s="21" t="s">
        <v>2272</v>
      </c>
      <c r="V3430" s="21" t="s">
        <v>2272</v>
      </c>
      <c r="W3430" s="21" t="s">
        <v>2272</v>
      </c>
      <c r="X3430" s="21" t="s">
        <v>2272</v>
      </c>
      <c r="Y3430" s="198" t="s">
        <v>186</v>
      </c>
      <c r="Z3430" s="198" t="s">
        <v>186</v>
      </c>
      <c r="AA3430" s="21" t="s">
        <v>2272</v>
      </c>
      <c r="AB3430" s="198"/>
      <c r="AC3430" s="198"/>
    </row>
    <row r="3431" spans="1:29" ht="43.5" customHeight="1">
      <c r="A3431" s="151" t="str">
        <f>'Reported burning'!A3431</f>
        <v>378a</v>
      </c>
      <c r="B3431" s="151" t="str">
        <f>'Reported burning'!B3431</f>
        <v>378a.11</v>
      </c>
      <c r="C3431" s="151" t="str">
        <f>'Reported burning'!C3431</f>
        <v>Human, deliberate</v>
      </c>
      <c r="D3431" s="151" t="str">
        <f>'Reported burning'!D3431</f>
        <v>Crop residue burning</v>
      </c>
      <c r="E3431" s="151" t="str">
        <f>'Reported burning'!E3431</f>
        <v>All</v>
      </c>
      <c r="F3431" s="151" t="str">
        <f>'Reported burning'!F3431</f>
        <v>Cropland</v>
      </c>
      <c r="G3431" s="151" t="str">
        <f>'Reported burning'!G3431</f>
        <v>Cropland</v>
      </c>
      <c r="H3431" s="151" t="str">
        <f>'Reported burning'!H3431</f>
        <v>Presence</v>
      </c>
      <c r="I3431" s="5"/>
      <c r="J3431" s="21" t="s">
        <v>2272</v>
      </c>
      <c r="K3431" s="21" t="s">
        <v>2272</v>
      </c>
      <c r="L3431" s="21" t="s">
        <v>2272</v>
      </c>
      <c r="M3431" s="21" t="s">
        <v>2272</v>
      </c>
      <c r="N3431" s="21" t="s">
        <v>2272</v>
      </c>
      <c r="O3431" s="21" t="s">
        <v>2272</v>
      </c>
      <c r="P3431" s="21" t="s">
        <v>2272</v>
      </c>
      <c r="Q3431" s="21" t="s">
        <v>2272</v>
      </c>
      <c r="R3431" s="21" t="s">
        <v>2272</v>
      </c>
      <c r="S3431" s="21" t="s">
        <v>2272</v>
      </c>
      <c r="T3431" s="21" t="s">
        <v>2272</v>
      </c>
      <c r="U3431" s="21" t="s">
        <v>2272</v>
      </c>
      <c r="V3431" s="21" t="s">
        <v>2272</v>
      </c>
      <c r="W3431" s="21" t="s">
        <v>2272</v>
      </c>
      <c r="X3431" s="21" t="s">
        <v>2272</v>
      </c>
      <c r="Y3431" s="198" t="s">
        <v>187</v>
      </c>
      <c r="Z3431" s="198" t="s">
        <v>187</v>
      </c>
      <c r="AA3431" s="21" t="s">
        <v>2272</v>
      </c>
      <c r="AB3431" s="198"/>
      <c r="AC3431" s="198"/>
    </row>
    <row r="3432" spans="1:29" ht="43.5" customHeight="1">
      <c r="A3432" s="151" t="str">
        <f>'Reported burning'!A3432</f>
        <v>378a</v>
      </c>
      <c r="B3432" s="151" t="str">
        <f>'Reported burning'!B3432</f>
        <v>378a.12</v>
      </c>
      <c r="C3432" s="151" t="str">
        <f>'Reported burning'!C3432</f>
        <v>Human, deliberate</v>
      </c>
      <c r="D3432" s="151" t="str">
        <f>'Reported burning'!D3432</f>
        <v>Crop residue burning</v>
      </c>
      <c r="E3432" s="151" t="str">
        <f>'Reported burning'!E3432</f>
        <v>All</v>
      </c>
      <c r="F3432" s="151" t="str">
        <f>'Reported burning'!F3432</f>
        <v>Cropland</v>
      </c>
      <c r="G3432" s="151" t="str">
        <f>'Reported burning'!G3432</f>
        <v>Cropland</v>
      </c>
      <c r="H3432" s="151" t="str">
        <f>'Reported burning'!H3432</f>
        <v>Presence</v>
      </c>
      <c r="I3432" s="5"/>
      <c r="J3432" s="21" t="s">
        <v>2272</v>
      </c>
      <c r="K3432" s="21" t="s">
        <v>2272</v>
      </c>
      <c r="L3432" s="21" t="s">
        <v>2272</v>
      </c>
      <c r="M3432" s="21" t="s">
        <v>2272</v>
      </c>
      <c r="N3432" s="21" t="s">
        <v>2272</v>
      </c>
      <c r="O3432" s="21" t="s">
        <v>2272</v>
      </c>
      <c r="P3432" s="21" t="s">
        <v>2272</v>
      </c>
      <c r="Q3432" s="21" t="s">
        <v>2272</v>
      </c>
      <c r="R3432" s="21" t="s">
        <v>2272</v>
      </c>
      <c r="S3432" s="21" t="s">
        <v>2272</v>
      </c>
      <c r="T3432" s="21" t="s">
        <v>2272</v>
      </c>
      <c r="U3432" s="21" t="s">
        <v>2272</v>
      </c>
      <c r="V3432" s="21" t="s">
        <v>2272</v>
      </c>
      <c r="W3432" s="21" t="s">
        <v>2272</v>
      </c>
      <c r="X3432" s="21" t="s">
        <v>2272</v>
      </c>
      <c r="Y3432" s="198" t="s">
        <v>37</v>
      </c>
      <c r="Z3432" s="198" t="s">
        <v>37</v>
      </c>
      <c r="AA3432" s="21" t="s">
        <v>2272</v>
      </c>
      <c r="AB3432" s="198"/>
      <c r="AC3432" s="198"/>
    </row>
    <row r="3433" spans="1:29" ht="43.5" customHeight="1">
      <c r="A3433" s="151" t="str">
        <f>'Reported burning'!A3433</f>
        <v>378b</v>
      </c>
      <c r="B3433" s="151" t="str">
        <f>'Reported burning'!B3433</f>
        <v>378b.1</v>
      </c>
      <c r="C3433" s="151" t="str">
        <f>'Reported burning'!C3433</f>
        <v>Human, deliberate</v>
      </c>
      <c r="D3433" s="151" t="str">
        <f>'Reported burning'!D3433</f>
        <v>Crop residue burning</v>
      </c>
      <c r="E3433" s="151" t="str">
        <f>'Reported burning'!E3433</f>
        <v>All</v>
      </c>
      <c r="F3433" s="151" t="str">
        <f>'Reported burning'!F3433</f>
        <v>Cropland</v>
      </c>
      <c r="G3433" s="151" t="str">
        <f>'Reported burning'!G3433</f>
        <v>Cropland</v>
      </c>
      <c r="H3433" s="151" t="str">
        <f>'Reported burning'!H3433</f>
        <v>Presence</v>
      </c>
      <c r="I3433" s="5"/>
      <c r="J3433" s="21" t="s">
        <v>2272</v>
      </c>
      <c r="K3433" s="21" t="s">
        <v>2272</v>
      </c>
      <c r="L3433" s="21" t="s">
        <v>2272</v>
      </c>
      <c r="M3433" s="21" t="s">
        <v>2272</v>
      </c>
      <c r="N3433" s="21" t="s">
        <v>2272</v>
      </c>
      <c r="O3433" s="21" t="s">
        <v>2272</v>
      </c>
      <c r="P3433" s="21" t="s">
        <v>2272</v>
      </c>
      <c r="Q3433" s="21" t="s">
        <v>2272</v>
      </c>
      <c r="R3433" s="21" t="s">
        <v>2272</v>
      </c>
      <c r="S3433" s="21" t="s">
        <v>2272</v>
      </c>
      <c r="T3433" s="21" t="s">
        <v>2272</v>
      </c>
      <c r="U3433" s="21" t="s">
        <v>2272</v>
      </c>
      <c r="V3433" s="21" t="s">
        <v>2272</v>
      </c>
      <c r="W3433" s="21" t="s">
        <v>2272</v>
      </c>
      <c r="X3433" s="21" t="s">
        <v>2272</v>
      </c>
      <c r="Y3433" s="198" t="s">
        <v>84</v>
      </c>
      <c r="Z3433" s="198" t="s">
        <v>84</v>
      </c>
      <c r="AA3433" s="21" t="s">
        <v>2272</v>
      </c>
      <c r="AB3433" s="21"/>
      <c r="AC3433" s="198"/>
    </row>
    <row r="3434" spans="1:29" ht="43.5" customHeight="1">
      <c r="A3434" s="151" t="str">
        <f>'Reported burning'!A3434</f>
        <v>378b</v>
      </c>
      <c r="B3434" s="151" t="str">
        <f>'Reported burning'!B3434</f>
        <v>378b.2</v>
      </c>
      <c r="C3434" s="151" t="str">
        <f>'Reported burning'!C3434</f>
        <v>Human, deliberate</v>
      </c>
      <c r="D3434" s="151" t="str">
        <f>'Reported burning'!D3434</f>
        <v>Crop residue burning</v>
      </c>
      <c r="E3434" s="151" t="str">
        <f>'Reported burning'!E3434</f>
        <v>All</v>
      </c>
      <c r="F3434" s="151" t="str">
        <f>'Reported burning'!F3434</f>
        <v>Cropland</v>
      </c>
      <c r="G3434" s="151" t="str">
        <f>'Reported burning'!G3434</f>
        <v>Cropland</v>
      </c>
      <c r="H3434" s="151" t="str">
        <f>'Reported burning'!H3434</f>
        <v>Presence</v>
      </c>
      <c r="I3434" s="5"/>
      <c r="J3434" s="21" t="s">
        <v>2272</v>
      </c>
      <c r="K3434" s="21" t="s">
        <v>2272</v>
      </c>
      <c r="L3434" s="21" t="s">
        <v>2272</v>
      </c>
      <c r="M3434" s="21" t="s">
        <v>2272</v>
      </c>
      <c r="N3434" s="21" t="s">
        <v>2272</v>
      </c>
      <c r="O3434" s="21" t="s">
        <v>2272</v>
      </c>
      <c r="P3434" s="21" t="s">
        <v>2272</v>
      </c>
      <c r="Q3434" s="21" t="s">
        <v>2272</v>
      </c>
      <c r="R3434" s="21" t="s">
        <v>2272</v>
      </c>
      <c r="S3434" s="21" t="s">
        <v>2272</v>
      </c>
      <c r="T3434" s="21" t="s">
        <v>2272</v>
      </c>
      <c r="U3434" s="21" t="s">
        <v>2272</v>
      </c>
      <c r="V3434" s="21" t="s">
        <v>2272</v>
      </c>
      <c r="W3434" s="21" t="s">
        <v>2272</v>
      </c>
      <c r="X3434" s="21" t="s">
        <v>2272</v>
      </c>
      <c r="Y3434" s="198" t="s">
        <v>33</v>
      </c>
      <c r="Z3434" s="198" t="s">
        <v>33</v>
      </c>
      <c r="AA3434" s="21" t="s">
        <v>2272</v>
      </c>
      <c r="AB3434" s="21"/>
      <c r="AC3434" s="198"/>
    </row>
    <row r="3435" spans="1:29" ht="43.5" customHeight="1">
      <c r="A3435" s="151" t="str">
        <f>'Reported burning'!A3435</f>
        <v>378b</v>
      </c>
      <c r="B3435" s="151" t="str">
        <f>'Reported burning'!B3435</f>
        <v>378b.3</v>
      </c>
      <c r="C3435" s="151" t="str">
        <f>'Reported burning'!C3435</f>
        <v>Human, deliberate</v>
      </c>
      <c r="D3435" s="151" t="str">
        <f>'Reported burning'!D3435</f>
        <v>Crop residue burning</v>
      </c>
      <c r="E3435" s="151" t="str">
        <f>'Reported burning'!E3435</f>
        <v>All</v>
      </c>
      <c r="F3435" s="151" t="str">
        <f>'Reported burning'!F3435</f>
        <v>Cropland</v>
      </c>
      <c r="G3435" s="151" t="str">
        <f>'Reported burning'!G3435</f>
        <v>Cropland</v>
      </c>
      <c r="H3435" s="151" t="str">
        <f>'Reported burning'!H3435</f>
        <v>Presence</v>
      </c>
      <c r="I3435" s="5"/>
      <c r="J3435" s="21" t="s">
        <v>2272</v>
      </c>
      <c r="K3435" s="21" t="s">
        <v>2272</v>
      </c>
      <c r="L3435" s="21" t="s">
        <v>2272</v>
      </c>
      <c r="M3435" s="21" t="s">
        <v>2272</v>
      </c>
      <c r="N3435" s="21" t="s">
        <v>2272</v>
      </c>
      <c r="O3435" s="21" t="s">
        <v>2272</v>
      </c>
      <c r="P3435" s="21" t="s">
        <v>2272</v>
      </c>
      <c r="Q3435" s="21" t="s">
        <v>2272</v>
      </c>
      <c r="R3435" s="21" t="s">
        <v>2272</v>
      </c>
      <c r="S3435" s="21" t="s">
        <v>2272</v>
      </c>
      <c r="T3435" s="21" t="s">
        <v>2272</v>
      </c>
      <c r="U3435" s="21" t="s">
        <v>2272</v>
      </c>
      <c r="V3435" s="21" t="s">
        <v>2272</v>
      </c>
      <c r="W3435" s="21" t="s">
        <v>2272</v>
      </c>
      <c r="X3435" s="21" t="s">
        <v>2272</v>
      </c>
      <c r="Y3435" s="198" t="s">
        <v>402</v>
      </c>
      <c r="Z3435" s="198" t="s">
        <v>402</v>
      </c>
      <c r="AA3435" s="21" t="s">
        <v>2272</v>
      </c>
      <c r="AB3435" s="21"/>
      <c r="AC3435" s="198"/>
    </row>
    <row r="3436" spans="1:29" ht="43.5" customHeight="1">
      <c r="A3436" s="151" t="str">
        <f>'Reported burning'!A3436</f>
        <v>378b</v>
      </c>
      <c r="B3436" s="151" t="str">
        <f>'Reported burning'!B3436</f>
        <v>378b.4</v>
      </c>
      <c r="C3436" s="151" t="str">
        <f>'Reported burning'!C3436</f>
        <v>Human, deliberate</v>
      </c>
      <c r="D3436" s="151" t="str">
        <f>'Reported burning'!D3436</f>
        <v>Crop residue burning</v>
      </c>
      <c r="E3436" s="151" t="str">
        <f>'Reported burning'!E3436</f>
        <v>All</v>
      </c>
      <c r="F3436" s="151" t="str">
        <f>'Reported burning'!F3436</f>
        <v>Cropland</v>
      </c>
      <c r="G3436" s="151" t="str">
        <f>'Reported burning'!G3436</f>
        <v>Cropland</v>
      </c>
      <c r="H3436" s="151" t="str">
        <f>'Reported burning'!H3436</f>
        <v>Absence</v>
      </c>
      <c r="I3436" s="5"/>
      <c r="J3436" s="21">
        <v>0</v>
      </c>
      <c r="K3436" s="21">
        <v>0</v>
      </c>
      <c r="L3436" s="21">
        <v>0</v>
      </c>
      <c r="M3436" s="21">
        <v>0</v>
      </c>
      <c r="N3436" s="21">
        <v>0</v>
      </c>
      <c r="O3436" s="21">
        <v>0</v>
      </c>
      <c r="P3436" s="21">
        <v>0</v>
      </c>
      <c r="Q3436" s="21">
        <v>0</v>
      </c>
      <c r="R3436" s="21">
        <v>0</v>
      </c>
      <c r="S3436" s="21">
        <v>0</v>
      </c>
      <c r="T3436" s="21">
        <v>0</v>
      </c>
      <c r="U3436" s="21">
        <v>0</v>
      </c>
      <c r="V3436" s="21">
        <v>0</v>
      </c>
      <c r="W3436" s="21">
        <v>0</v>
      </c>
      <c r="X3436" s="21" t="s">
        <v>2272</v>
      </c>
      <c r="Y3436" s="198" t="s">
        <v>403</v>
      </c>
      <c r="Z3436" s="198" t="s">
        <v>403</v>
      </c>
      <c r="AA3436" s="21" t="s">
        <v>2272</v>
      </c>
      <c r="AB3436" s="21"/>
      <c r="AC3436" s="198"/>
    </row>
    <row r="3437" spans="1:29" ht="43.5" customHeight="1">
      <c r="A3437" s="151" t="str">
        <f>'Reported burning'!A3437</f>
        <v>378b</v>
      </c>
      <c r="B3437" s="151" t="str">
        <f>'Reported burning'!B3437</f>
        <v>378b.5</v>
      </c>
      <c r="C3437" s="151" t="str">
        <f>'Reported burning'!C3437</f>
        <v>Human, deliberate</v>
      </c>
      <c r="D3437" s="151" t="str">
        <f>'Reported burning'!D3437</f>
        <v>Crop residue burning</v>
      </c>
      <c r="E3437" s="151" t="str">
        <f>'Reported burning'!E3437</f>
        <v>All</v>
      </c>
      <c r="F3437" s="151" t="str">
        <f>'Reported burning'!F3437</f>
        <v>Cropland</v>
      </c>
      <c r="G3437" s="151" t="str">
        <f>'Reported burning'!G3437</f>
        <v>Cropland</v>
      </c>
      <c r="H3437" s="151" t="str">
        <f>'Reported burning'!H3437</f>
        <v>Absence</v>
      </c>
      <c r="I3437" s="5"/>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t="s">
        <v>2272</v>
      </c>
      <c r="Y3437" s="198" t="s">
        <v>423</v>
      </c>
      <c r="Z3437" s="198" t="s">
        <v>423</v>
      </c>
      <c r="AA3437" s="21" t="s">
        <v>2272</v>
      </c>
      <c r="AB3437" s="21"/>
      <c r="AC3437" s="198"/>
    </row>
    <row r="3438" spans="1:29" ht="43.5" customHeight="1">
      <c r="A3438" s="151" t="str">
        <f>'Reported burning'!A3438</f>
        <v>378b</v>
      </c>
      <c r="B3438" s="151" t="str">
        <f>'Reported burning'!B3438</f>
        <v>378b.6</v>
      </c>
      <c r="C3438" s="151" t="str">
        <f>'Reported burning'!C3438</f>
        <v>Human, deliberate</v>
      </c>
      <c r="D3438" s="151" t="str">
        <f>'Reported burning'!D3438</f>
        <v>Crop residue burning</v>
      </c>
      <c r="E3438" s="151" t="str">
        <f>'Reported burning'!E3438</f>
        <v>All</v>
      </c>
      <c r="F3438" s="151" t="str">
        <f>'Reported burning'!F3438</f>
        <v>Cropland</v>
      </c>
      <c r="G3438" s="151" t="str">
        <f>'Reported burning'!G3438</f>
        <v>Cropland</v>
      </c>
      <c r="H3438" s="151" t="str">
        <f>'Reported burning'!H3438</f>
        <v>Presence</v>
      </c>
      <c r="I3438" s="5"/>
      <c r="J3438" s="21" t="s">
        <v>2272</v>
      </c>
      <c r="K3438" s="21" t="s">
        <v>2272</v>
      </c>
      <c r="L3438" s="21" t="s">
        <v>2272</v>
      </c>
      <c r="M3438" s="21" t="s">
        <v>2272</v>
      </c>
      <c r="N3438" s="21" t="s">
        <v>2272</v>
      </c>
      <c r="O3438" s="21" t="s">
        <v>2272</v>
      </c>
      <c r="P3438" s="21" t="s">
        <v>2272</v>
      </c>
      <c r="Q3438" s="21" t="s">
        <v>2272</v>
      </c>
      <c r="R3438" s="21" t="s">
        <v>2272</v>
      </c>
      <c r="S3438" s="21" t="s">
        <v>2272</v>
      </c>
      <c r="T3438" s="21" t="s">
        <v>2272</v>
      </c>
      <c r="U3438" s="21" t="s">
        <v>2272</v>
      </c>
      <c r="V3438" s="21" t="s">
        <v>2272</v>
      </c>
      <c r="W3438" s="21" t="s">
        <v>2272</v>
      </c>
      <c r="X3438" s="21" t="s">
        <v>2272</v>
      </c>
      <c r="Y3438" s="198" t="s">
        <v>67</v>
      </c>
      <c r="Z3438" s="198" t="s">
        <v>67</v>
      </c>
      <c r="AA3438" s="21" t="s">
        <v>2272</v>
      </c>
      <c r="AB3438" s="21"/>
      <c r="AC3438" s="198"/>
    </row>
    <row r="3439" spans="1:29" ht="43.5" customHeight="1">
      <c r="A3439" s="151" t="str">
        <f>'Reported burning'!A3439</f>
        <v>378b</v>
      </c>
      <c r="B3439" s="151" t="str">
        <f>'Reported burning'!B3439</f>
        <v>378b.7</v>
      </c>
      <c r="C3439" s="151" t="str">
        <f>'Reported burning'!C3439</f>
        <v>Human, deliberate</v>
      </c>
      <c r="D3439" s="151" t="str">
        <f>'Reported burning'!D3439</f>
        <v>Crop residue burning</v>
      </c>
      <c r="E3439" s="151" t="str">
        <f>'Reported burning'!E3439</f>
        <v>All</v>
      </c>
      <c r="F3439" s="151" t="str">
        <f>'Reported burning'!F3439</f>
        <v>Cropland</v>
      </c>
      <c r="G3439" s="151" t="str">
        <f>'Reported burning'!G3439</f>
        <v>Cropland</v>
      </c>
      <c r="H3439" s="151" t="str">
        <f>'Reported burning'!H3439</f>
        <v>Presence</v>
      </c>
      <c r="I3439" s="5"/>
      <c r="J3439" s="21" t="s">
        <v>2272</v>
      </c>
      <c r="K3439" s="21" t="s">
        <v>2272</v>
      </c>
      <c r="L3439" s="21" t="s">
        <v>2272</v>
      </c>
      <c r="M3439" s="21" t="s">
        <v>2272</v>
      </c>
      <c r="N3439" s="21" t="s">
        <v>2272</v>
      </c>
      <c r="O3439" s="21" t="s">
        <v>2272</v>
      </c>
      <c r="P3439" s="21" t="s">
        <v>2272</v>
      </c>
      <c r="Q3439" s="21" t="s">
        <v>2272</v>
      </c>
      <c r="R3439" s="21" t="s">
        <v>2272</v>
      </c>
      <c r="S3439" s="21" t="s">
        <v>2272</v>
      </c>
      <c r="T3439" s="21" t="s">
        <v>2272</v>
      </c>
      <c r="U3439" s="21" t="s">
        <v>2272</v>
      </c>
      <c r="V3439" s="21" t="s">
        <v>2272</v>
      </c>
      <c r="W3439" s="21" t="s">
        <v>2272</v>
      </c>
      <c r="X3439" s="21" t="s">
        <v>2272</v>
      </c>
      <c r="Y3439" s="198" t="s">
        <v>34</v>
      </c>
      <c r="Z3439" s="198" t="s">
        <v>34</v>
      </c>
      <c r="AA3439" s="21" t="s">
        <v>2272</v>
      </c>
      <c r="AB3439" s="21"/>
      <c r="AC3439" s="198"/>
    </row>
    <row r="3440" spans="1:29" ht="43.5" customHeight="1">
      <c r="A3440" s="151" t="str">
        <f>'Reported burning'!A3440</f>
        <v>378b</v>
      </c>
      <c r="B3440" s="151" t="str">
        <f>'Reported burning'!B3440</f>
        <v>378b.8</v>
      </c>
      <c r="C3440" s="151" t="str">
        <f>'Reported burning'!C3440</f>
        <v>Human, deliberate</v>
      </c>
      <c r="D3440" s="151" t="str">
        <f>'Reported burning'!D3440</f>
        <v>Crop residue burning</v>
      </c>
      <c r="E3440" s="151" t="str">
        <f>'Reported burning'!E3440</f>
        <v>All</v>
      </c>
      <c r="F3440" s="151" t="str">
        <f>'Reported burning'!F3440</f>
        <v>Cropland</v>
      </c>
      <c r="G3440" s="151" t="str">
        <f>'Reported burning'!G3440</f>
        <v>Cropland</v>
      </c>
      <c r="H3440" s="151" t="str">
        <f>'Reported burning'!H3440</f>
        <v>Presence</v>
      </c>
      <c r="I3440" s="5"/>
      <c r="J3440" s="21" t="s">
        <v>2272</v>
      </c>
      <c r="K3440" s="21" t="s">
        <v>2272</v>
      </c>
      <c r="L3440" s="21" t="s">
        <v>2272</v>
      </c>
      <c r="M3440" s="21" t="s">
        <v>2272</v>
      </c>
      <c r="N3440" s="21" t="s">
        <v>2272</v>
      </c>
      <c r="O3440" s="21" t="s">
        <v>2272</v>
      </c>
      <c r="P3440" s="21" t="s">
        <v>2272</v>
      </c>
      <c r="Q3440" s="21" t="s">
        <v>2272</v>
      </c>
      <c r="R3440" s="21" t="s">
        <v>2272</v>
      </c>
      <c r="S3440" s="21" t="s">
        <v>2272</v>
      </c>
      <c r="T3440" s="21" t="s">
        <v>2272</v>
      </c>
      <c r="U3440" s="21" t="s">
        <v>2272</v>
      </c>
      <c r="V3440" s="21" t="s">
        <v>2272</v>
      </c>
      <c r="W3440" s="21" t="s">
        <v>2272</v>
      </c>
      <c r="X3440" s="21" t="s">
        <v>2272</v>
      </c>
      <c r="Y3440" s="198" t="s">
        <v>125</v>
      </c>
      <c r="Z3440" s="198" t="s">
        <v>125</v>
      </c>
      <c r="AA3440" s="21" t="s">
        <v>2272</v>
      </c>
      <c r="AB3440" s="21"/>
      <c r="AC3440" s="198"/>
    </row>
    <row r="3441" spans="1:29" ht="43.5" customHeight="1">
      <c r="A3441" s="151" t="str">
        <f>'Reported burning'!A3441</f>
        <v>378b</v>
      </c>
      <c r="B3441" s="151" t="str">
        <f>'Reported burning'!B3441</f>
        <v>378b.9</v>
      </c>
      <c r="C3441" s="151" t="str">
        <f>'Reported burning'!C3441</f>
        <v>Human, deliberate</v>
      </c>
      <c r="D3441" s="151" t="str">
        <f>'Reported burning'!D3441</f>
        <v>Crop residue burning</v>
      </c>
      <c r="E3441" s="151" t="str">
        <f>'Reported burning'!E3441</f>
        <v>All</v>
      </c>
      <c r="F3441" s="151" t="str">
        <f>'Reported burning'!F3441</f>
        <v>Cropland</v>
      </c>
      <c r="G3441" s="151" t="str">
        <f>'Reported burning'!G3441</f>
        <v>Cropland</v>
      </c>
      <c r="H3441" s="151" t="str">
        <f>'Reported burning'!H3441</f>
        <v>Presence</v>
      </c>
      <c r="I3441" s="5"/>
      <c r="J3441" s="21" t="s">
        <v>2272</v>
      </c>
      <c r="K3441" s="21" t="s">
        <v>2272</v>
      </c>
      <c r="L3441" s="21" t="s">
        <v>2272</v>
      </c>
      <c r="M3441" s="21" t="s">
        <v>2272</v>
      </c>
      <c r="N3441" s="21" t="s">
        <v>2272</v>
      </c>
      <c r="O3441" s="21" t="s">
        <v>2272</v>
      </c>
      <c r="P3441" s="21" t="s">
        <v>2272</v>
      </c>
      <c r="Q3441" s="21" t="s">
        <v>2272</v>
      </c>
      <c r="R3441" s="21" t="s">
        <v>2272</v>
      </c>
      <c r="S3441" s="21" t="s">
        <v>2272</v>
      </c>
      <c r="T3441" s="21" t="s">
        <v>2272</v>
      </c>
      <c r="U3441" s="21" t="s">
        <v>2272</v>
      </c>
      <c r="V3441" s="21" t="s">
        <v>2272</v>
      </c>
      <c r="W3441" s="21" t="s">
        <v>2272</v>
      </c>
      <c r="X3441" s="21" t="s">
        <v>2272</v>
      </c>
      <c r="Y3441" s="198" t="s">
        <v>397</v>
      </c>
      <c r="Z3441" s="198" t="s">
        <v>397</v>
      </c>
      <c r="AA3441" s="21" t="s">
        <v>2272</v>
      </c>
      <c r="AB3441" s="21"/>
      <c r="AC3441" s="198"/>
    </row>
    <row r="3442" spans="1:29" ht="43.5" customHeight="1">
      <c r="A3442" s="151" t="str">
        <f>'Reported burning'!A3442</f>
        <v>378b</v>
      </c>
      <c r="B3442" s="151" t="str">
        <f>'Reported burning'!B3442</f>
        <v>378b.10</v>
      </c>
      <c r="C3442" s="151" t="str">
        <f>'Reported burning'!C3442</f>
        <v>Human, deliberate</v>
      </c>
      <c r="D3442" s="151" t="str">
        <f>'Reported burning'!D3442</f>
        <v>Crop residue burning</v>
      </c>
      <c r="E3442" s="151" t="str">
        <f>'Reported burning'!E3442</f>
        <v>All</v>
      </c>
      <c r="F3442" s="151" t="str">
        <f>'Reported burning'!F3442</f>
        <v>Cropland</v>
      </c>
      <c r="G3442" s="151" t="str">
        <f>'Reported burning'!G3442</f>
        <v>Cropland</v>
      </c>
      <c r="H3442" s="151" t="str">
        <f>'Reported burning'!H3442</f>
        <v>Presence</v>
      </c>
      <c r="I3442" s="5"/>
      <c r="J3442" s="21" t="s">
        <v>2272</v>
      </c>
      <c r="K3442" s="21" t="s">
        <v>2272</v>
      </c>
      <c r="L3442" s="21" t="s">
        <v>2272</v>
      </c>
      <c r="M3442" s="21" t="s">
        <v>2272</v>
      </c>
      <c r="N3442" s="21" t="s">
        <v>2272</v>
      </c>
      <c r="O3442" s="21" t="s">
        <v>2272</v>
      </c>
      <c r="P3442" s="21" t="s">
        <v>2272</v>
      </c>
      <c r="Q3442" s="21" t="s">
        <v>2272</v>
      </c>
      <c r="R3442" s="21" t="s">
        <v>2272</v>
      </c>
      <c r="S3442" s="21" t="s">
        <v>2272</v>
      </c>
      <c r="T3442" s="21" t="s">
        <v>2272</v>
      </c>
      <c r="U3442" s="21" t="s">
        <v>2272</v>
      </c>
      <c r="V3442" s="21" t="s">
        <v>2272</v>
      </c>
      <c r="W3442" s="21" t="s">
        <v>2272</v>
      </c>
      <c r="X3442" s="21" t="s">
        <v>2272</v>
      </c>
      <c r="Y3442" s="198" t="s">
        <v>186</v>
      </c>
      <c r="Z3442" s="198" t="s">
        <v>186</v>
      </c>
      <c r="AA3442" s="21" t="s">
        <v>2272</v>
      </c>
      <c r="AB3442" s="198"/>
      <c r="AC3442" s="198"/>
    </row>
    <row r="3443" spans="1:29" ht="43.5" customHeight="1">
      <c r="A3443" s="151" t="str">
        <f>'Reported burning'!A3443</f>
        <v>378b</v>
      </c>
      <c r="B3443" s="151" t="str">
        <f>'Reported burning'!B3443</f>
        <v>378b.11</v>
      </c>
      <c r="C3443" s="151" t="str">
        <f>'Reported burning'!C3443</f>
        <v>Human, deliberate</v>
      </c>
      <c r="D3443" s="151" t="str">
        <f>'Reported burning'!D3443</f>
        <v>Crop residue burning</v>
      </c>
      <c r="E3443" s="151" t="str">
        <f>'Reported burning'!E3443</f>
        <v>All</v>
      </c>
      <c r="F3443" s="151" t="str">
        <f>'Reported burning'!F3443</f>
        <v>Cropland</v>
      </c>
      <c r="G3443" s="151" t="str">
        <f>'Reported burning'!G3443</f>
        <v>Cropland</v>
      </c>
      <c r="H3443" s="151" t="str">
        <f>'Reported burning'!H3443</f>
        <v>Presence</v>
      </c>
      <c r="I3443" s="5"/>
      <c r="J3443" s="21" t="s">
        <v>2272</v>
      </c>
      <c r="K3443" s="21" t="s">
        <v>2272</v>
      </c>
      <c r="L3443" s="21" t="s">
        <v>2272</v>
      </c>
      <c r="M3443" s="21" t="s">
        <v>2272</v>
      </c>
      <c r="N3443" s="21" t="s">
        <v>2272</v>
      </c>
      <c r="O3443" s="21" t="s">
        <v>2272</v>
      </c>
      <c r="P3443" s="21" t="s">
        <v>2272</v>
      </c>
      <c r="Q3443" s="21" t="s">
        <v>2272</v>
      </c>
      <c r="R3443" s="21" t="s">
        <v>2272</v>
      </c>
      <c r="S3443" s="21" t="s">
        <v>2272</v>
      </c>
      <c r="T3443" s="21" t="s">
        <v>2272</v>
      </c>
      <c r="U3443" s="21" t="s">
        <v>2272</v>
      </c>
      <c r="V3443" s="21" t="s">
        <v>2272</v>
      </c>
      <c r="W3443" s="21" t="s">
        <v>2272</v>
      </c>
      <c r="X3443" s="21" t="s">
        <v>2272</v>
      </c>
      <c r="Y3443" s="198" t="s">
        <v>187</v>
      </c>
      <c r="Z3443" s="198" t="s">
        <v>187</v>
      </c>
      <c r="AA3443" s="21" t="s">
        <v>2272</v>
      </c>
      <c r="AB3443" s="198"/>
      <c r="AC3443" s="198"/>
    </row>
    <row r="3444" spans="1:29" ht="43.5" customHeight="1">
      <c r="A3444" s="151" t="str">
        <f>'Reported burning'!A3444</f>
        <v>378b</v>
      </c>
      <c r="B3444" s="151" t="str">
        <f>'Reported burning'!B3444</f>
        <v>378b.12</v>
      </c>
      <c r="C3444" s="151" t="str">
        <f>'Reported burning'!C3444</f>
        <v>Human, deliberate</v>
      </c>
      <c r="D3444" s="151" t="str">
        <f>'Reported burning'!D3444</f>
        <v>Crop residue burning</v>
      </c>
      <c r="E3444" s="151" t="str">
        <f>'Reported burning'!E3444</f>
        <v>All</v>
      </c>
      <c r="F3444" s="151" t="str">
        <f>'Reported burning'!F3444</f>
        <v>Cropland</v>
      </c>
      <c r="G3444" s="151" t="str">
        <f>'Reported burning'!G3444</f>
        <v>Cropland</v>
      </c>
      <c r="H3444" s="151" t="str">
        <f>'Reported burning'!H3444</f>
        <v>Presence</v>
      </c>
      <c r="I3444" s="5"/>
      <c r="J3444" s="21" t="s">
        <v>2272</v>
      </c>
      <c r="K3444" s="21" t="s">
        <v>2272</v>
      </c>
      <c r="L3444" s="21" t="s">
        <v>2272</v>
      </c>
      <c r="M3444" s="21" t="s">
        <v>2272</v>
      </c>
      <c r="N3444" s="21" t="s">
        <v>2272</v>
      </c>
      <c r="O3444" s="21" t="s">
        <v>2272</v>
      </c>
      <c r="P3444" s="21" t="s">
        <v>2272</v>
      </c>
      <c r="Q3444" s="21" t="s">
        <v>2272</v>
      </c>
      <c r="R3444" s="21" t="s">
        <v>2272</v>
      </c>
      <c r="S3444" s="21" t="s">
        <v>2272</v>
      </c>
      <c r="T3444" s="21" t="s">
        <v>2272</v>
      </c>
      <c r="U3444" s="21" t="s">
        <v>2272</v>
      </c>
      <c r="V3444" s="21" t="s">
        <v>2272</v>
      </c>
      <c r="W3444" s="21" t="s">
        <v>2272</v>
      </c>
      <c r="X3444" s="21" t="s">
        <v>2272</v>
      </c>
      <c r="Y3444" s="198" t="s">
        <v>37</v>
      </c>
      <c r="Z3444" s="198" t="s">
        <v>37</v>
      </c>
      <c r="AA3444" s="21" t="s">
        <v>2272</v>
      </c>
      <c r="AB3444" s="198"/>
      <c r="AC3444" s="198"/>
    </row>
    <row r="3445" spans="1:29" ht="43.5" customHeight="1">
      <c r="A3445" s="151" t="str">
        <f>'Reported burning'!A3445</f>
        <v>378c</v>
      </c>
      <c r="B3445" s="151" t="str">
        <f>'Reported burning'!B3445</f>
        <v>378c.1</v>
      </c>
      <c r="C3445" s="151" t="str">
        <f>'Reported burning'!C3445</f>
        <v>Human, deliberate</v>
      </c>
      <c r="D3445" s="151" t="str">
        <f>'Reported burning'!D3445</f>
        <v>Crop residue burning</v>
      </c>
      <c r="E3445" s="151" t="str">
        <f>'Reported burning'!E3445</f>
        <v>All</v>
      </c>
      <c r="F3445" s="151" t="str">
        <f>'Reported burning'!F3445</f>
        <v>Cropland</v>
      </c>
      <c r="G3445" s="151" t="str">
        <f>'Reported burning'!G3445</f>
        <v>Cropland</v>
      </c>
      <c r="H3445" s="151" t="str">
        <f>'Reported burning'!H3445</f>
        <v>Presence</v>
      </c>
      <c r="I3445" s="5"/>
      <c r="J3445" s="21" t="s">
        <v>2272</v>
      </c>
      <c r="K3445" s="21" t="s">
        <v>2272</v>
      </c>
      <c r="L3445" s="21" t="s">
        <v>2272</v>
      </c>
      <c r="M3445" s="21" t="s">
        <v>2272</v>
      </c>
      <c r="N3445" s="21" t="s">
        <v>2272</v>
      </c>
      <c r="O3445" s="21" t="s">
        <v>2272</v>
      </c>
      <c r="P3445" s="21" t="s">
        <v>2272</v>
      </c>
      <c r="Q3445" s="21" t="s">
        <v>2272</v>
      </c>
      <c r="R3445" s="21" t="s">
        <v>2272</v>
      </c>
      <c r="S3445" s="21" t="s">
        <v>2272</v>
      </c>
      <c r="T3445" s="21" t="s">
        <v>2272</v>
      </c>
      <c r="U3445" s="21" t="s">
        <v>2272</v>
      </c>
      <c r="V3445" s="21" t="s">
        <v>2272</v>
      </c>
      <c r="W3445" s="21" t="s">
        <v>2272</v>
      </c>
      <c r="X3445" s="21" t="s">
        <v>2272</v>
      </c>
      <c r="Y3445" s="198" t="s">
        <v>84</v>
      </c>
      <c r="Z3445" s="198" t="s">
        <v>84</v>
      </c>
      <c r="AA3445" s="21" t="s">
        <v>2272</v>
      </c>
      <c r="AB3445" s="198"/>
      <c r="AC3445" s="198"/>
    </row>
    <row r="3446" spans="1:29" ht="43.5" customHeight="1">
      <c r="A3446" s="151" t="str">
        <f>'Reported burning'!A3446</f>
        <v>378c</v>
      </c>
      <c r="B3446" s="151" t="str">
        <f>'Reported burning'!B3446</f>
        <v>378c.2</v>
      </c>
      <c r="C3446" s="151" t="str">
        <f>'Reported burning'!C3446</f>
        <v>Human, deliberate</v>
      </c>
      <c r="D3446" s="151" t="str">
        <f>'Reported burning'!D3446</f>
        <v>Crop residue burning</v>
      </c>
      <c r="E3446" s="151" t="str">
        <f>'Reported burning'!E3446</f>
        <v>All</v>
      </c>
      <c r="F3446" s="151" t="str">
        <f>'Reported burning'!F3446</f>
        <v>Cropland</v>
      </c>
      <c r="G3446" s="151" t="str">
        <f>'Reported burning'!G3446</f>
        <v>Cropland</v>
      </c>
      <c r="H3446" s="151" t="str">
        <f>'Reported burning'!H3446</f>
        <v>Presence</v>
      </c>
      <c r="I3446" s="5"/>
      <c r="J3446" s="21" t="s">
        <v>2272</v>
      </c>
      <c r="K3446" s="21" t="s">
        <v>2272</v>
      </c>
      <c r="L3446" s="21" t="s">
        <v>2272</v>
      </c>
      <c r="M3446" s="21" t="s">
        <v>2272</v>
      </c>
      <c r="N3446" s="21" t="s">
        <v>2272</v>
      </c>
      <c r="O3446" s="21" t="s">
        <v>2272</v>
      </c>
      <c r="P3446" s="21" t="s">
        <v>2272</v>
      </c>
      <c r="Q3446" s="21" t="s">
        <v>2272</v>
      </c>
      <c r="R3446" s="21" t="s">
        <v>2272</v>
      </c>
      <c r="S3446" s="21" t="s">
        <v>2272</v>
      </c>
      <c r="T3446" s="21" t="s">
        <v>2272</v>
      </c>
      <c r="U3446" s="21" t="s">
        <v>2272</v>
      </c>
      <c r="V3446" s="21" t="s">
        <v>2272</v>
      </c>
      <c r="W3446" s="21" t="s">
        <v>2272</v>
      </c>
      <c r="X3446" s="21" t="s">
        <v>2272</v>
      </c>
      <c r="Y3446" s="198" t="s">
        <v>33</v>
      </c>
      <c r="Z3446" s="198" t="s">
        <v>33</v>
      </c>
      <c r="AA3446" s="21" t="s">
        <v>2272</v>
      </c>
      <c r="AB3446" s="198"/>
      <c r="AC3446" s="198"/>
    </row>
    <row r="3447" spans="1:29" ht="43.5" customHeight="1">
      <c r="A3447" s="151" t="str">
        <f>'Reported burning'!A3447</f>
        <v>378c</v>
      </c>
      <c r="B3447" s="151" t="str">
        <f>'Reported burning'!B3447</f>
        <v>378c.3</v>
      </c>
      <c r="C3447" s="151" t="str">
        <f>'Reported burning'!C3447</f>
        <v>Human, deliberate</v>
      </c>
      <c r="D3447" s="151" t="str">
        <f>'Reported burning'!D3447</f>
        <v>Crop residue burning</v>
      </c>
      <c r="E3447" s="151" t="str">
        <f>'Reported burning'!E3447</f>
        <v>All</v>
      </c>
      <c r="F3447" s="151" t="str">
        <f>'Reported burning'!F3447</f>
        <v>Cropland</v>
      </c>
      <c r="G3447" s="151" t="str">
        <f>'Reported burning'!G3447</f>
        <v>Cropland</v>
      </c>
      <c r="H3447" s="151" t="str">
        <f>'Reported burning'!H3447</f>
        <v>Presence</v>
      </c>
      <c r="I3447" s="5"/>
      <c r="J3447" s="21" t="s">
        <v>2272</v>
      </c>
      <c r="K3447" s="21" t="s">
        <v>2272</v>
      </c>
      <c r="L3447" s="21" t="s">
        <v>2272</v>
      </c>
      <c r="M3447" s="21" t="s">
        <v>2272</v>
      </c>
      <c r="N3447" s="21" t="s">
        <v>2272</v>
      </c>
      <c r="O3447" s="21" t="s">
        <v>2272</v>
      </c>
      <c r="P3447" s="21" t="s">
        <v>2272</v>
      </c>
      <c r="Q3447" s="21" t="s">
        <v>2272</v>
      </c>
      <c r="R3447" s="21" t="s">
        <v>2272</v>
      </c>
      <c r="S3447" s="21" t="s">
        <v>2272</v>
      </c>
      <c r="T3447" s="21" t="s">
        <v>2272</v>
      </c>
      <c r="U3447" s="21" t="s">
        <v>2272</v>
      </c>
      <c r="V3447" s="21" t="s">
        <v>2272</v>
      </c>
      <c r="W3447" s="21" t="s">
        <v>2272</v>
      </c>
      <c r="X3447" s="21" t="s">
        <v>2272</v>
      </c>
      <c r="Y3447" s="198" t="s">
        <v>402</v>
      </c>
      <c r="Z3447" s="198" t="s">
        <v>402</v>
      </c>
      <c r="AA3447" s="21" t="s">
        <v>2272</v>
      </c>
      <c r="AB3447" s="198"/>
      <c r="AC3447" s="198"/>
    </row>
    <row r="3448" spans="1:29" ht="43.5" customHeight="1">
      <c r="A3448" s="151" t="str">
        <f>'Reported burning'!A3448</f>
        <v>378c</v>
      </c>
      <c r="B3448" s="151" t="str">
        <f>'Reported burning'!B3448</f>
        <v>378c.4</v>
      </c>
      <c r="C3448" s="151" t="str">
        <f>'Reported burning'!C3448</f>
        <v>Human, deliberate</v>
      </c>
      <c r="D3448" s="151" t="str">
        <f>'Reported burning'!D3448</f>
        <v>Crop residue burning</v>
      </c>
      <c r="E3448" s="151" t="str">
        <f>'Reported burning'!E3448</f>
        <v>All</v>
      </c>
      <c r="F3448" s="151" t="str">
        <f>'Reported burning'!F3448</f>
        <v>Cropland</v>
      </c>
      <c r="G3448" s="151" t="str">
        <f>'Reported burning'!G3448</f>
        <v>Cropland</v>
      </c>
      <c r="H3448" s="151" t="str">
        <f>'Reported burning'!H3448</f>
        <v>Absence</v>
      </c>
      <c r="I3448" s="5"/>
      <c r="J3448" s="21">
        <v>0</v>
      </c>
      <c r="K3448" s="21">
        <v>0</v>
      </c>
      <c r="L3448" s="21">
        <v>0</v>
      </c>
      <c r="M3448" s="21">
        <v>0</v>
      </c>
      <c r="N3448" s="21">
        <v>0</v>
      </c>
      <c r="O3448" s="21">
        <v>0</v>
      </c>
      <c r="P3448" s="21">
        <v>0</v>
      </c>
      <c r="Q3448" s="21">
        <v>0</v>
      </c>
      <c r="R3448" s="21">
        <v>0</v>
      </c>
      <c r="S3448" s="21">
        <v>0</v>
      </c>
      <c r="T3448" s="21">
        <v>0</v>
      </c>
      <c r="U3448" s="21">
        <v>0</v>
      </c>
      <c r="V3448" s="21">
        <v>0</v>
      </c>
      <c r="W3448" s="21">
        <v>0</v>
      </c>
      <c r="X3448" s="21" t="s">
        <v>2272</v>
      </c>
      <c r="Y3448" s="198" t="s">
        <v>403</v>
      </c>
      <c r="Z3448" s="198" t="s">
        <v>403</v>
      </c>
      <c r="AA3448" s="21" t="s">
        <v>2272</v>
      </c>
      <c r="AB3448" s="198"/>
      <c r="AC3448" s="198"/>
    </row>
    <row r="3449" spans="1:29" ht="43.5" customHeight="1">
      <c r="A3449" s="151" t="str">
        <f>'Reported burning'!A3449</f>
        <v>378c</v>
      </c>
      <c r="B3449" s="151" t="str">
        <f>'Reported burning'!B3449</f>
        <v>378c.5</v>
      </c>
      <c r="C3449" s="151" t="str">
        <f>'Reported burning'!C3449</f>
        <v>Human, deliberate</v>
      </c>
      <c r="D3449" s="151" t="str">
        <f>'Reported burning'!D3449</f>
        <v>Crop residue burning</v>
      </c>
      <c r="E3449" s="151" t="str">
        <f>'Reported burning'!E3449</f>
        <v>All</v>
      </c>
      <c r="F3449" s="151" t="str">
        <f>'Reported burning'!F3449</f>
        <v>Cropland</v>
      </c>
      <c r="G3449" s="151" t="str">
        <f>'Reported burning'!G3449</f>
        <v>Cropland</v>
      </c>
      <c r="H3449" s="151" t="str">
        <f>'Reported burning'!H3449</f>
        <v>Absence</v>
      </c>
      <c r="I3449" s="5"/>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t="s">
        <v>2272</v>
      </c>
      <c r="Y3449" s="198" t="s">
        <v>423</v>
      </c>
      <c r="Z3449" s="198" t="s">
        <v>423</v>
      </c>
      <c r="AA3449" s="21" t="s">
        <v>2272</v>
      </c>
      <c r="AB3449" s="198"/>
      <c r="AC3449" s="198"/>
    </row>
    <row r="3450" spans="1:29" ht="43.5" customHeight="1">
      <c r="A3450" s="151" t="str">
        <f>'Reported burning'!A3450</f>
        <v>378c</v>
      </c>
      <c r="B3450" s="151" t="str">
        <f>'Reported burning'!B3450</f>
        <v>378c.6</v>
      </c>
      <c r="C3450" s="151" t="str">
        <f>'Reported burning'!C3450</f>
        <v>Human, deliberate</v>
      </c>
      <c r="D3450" s="151" t="str">
        <f>'Reported burning'!D3450</f>
        <v>Crop residue burning</v>
      </c>
      <c r="E3450" s="151" t="str">
        <f>'Reported burning'!E3450</f>
        <v>All</v>
      </c>
      <c r="F3450" s="151" t="str">
        <f>'Reported burning'!F3450</f>
        <v>Cropland</v>
      </c>
      <c r="G3450" s="151" t="str">
        <f>'Reported burning'!G3450</f>
        <v>Cropland</v>
      </c>
      <c r="H3450" s="151" t="str">
        <f>'Reported burning'!H3450</f>
        <v>Absence</v>
      </c>
      <c r="I3450" s="5"/>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t="s">
        <v>2272</v>
      </c>
      <c r="Y3450" s="198" t="s">
        <v>67</v>
      </c>
      <c r="Z3450" s="198" t="s">
        <v>67</v>
      </c>
      <c r="AA3450" s="21" t="s">
        <v>2272</v>
      </c>
      <c r="AB3450" s="198"/>
      <c r="AC3450" s="198"/>
    </row>
    <row r="3451" spans="1:29" ht="43.5" customHeight="1">
      <c r="A3451" s="151" t="str">
        <f>'Reported burning'!A3451</f>
        <v>378c</v>
      </c>
      <c r="B3451" s="151" t="str">
        <f>'Reported burning'!B3451</f>
        <v>378c.7</v>
      </c>
      <c r="C3451" s="151" t="str">
        <f>'Reported burning'!C3451</f>
        <v>Human, deliberate</v>
      </c>
      <c r="D3451" s="151" t="str">
        <f>'Reported burning'!D3451</f>
        <v>Crop residue burning</v>
      </c>
      <c r="E3451" s="151" t="str">
        <f>'Reported burning'!E3451</f>
        <v>All</v>
      </c>
      <c r="F3451" s="151" t="str">
        <f>'Reported burning'!F3451</f>
        <v>Cropland</v>
      </c>
      <c r="G3451" s="151" t="str">
        <f>'Reported burning'!G3451</f>
        <v>Cropland</v>
      </c>
      <c r="H3451" s="151" t="str">
        <f>'Reported burning'!H3451</f>
        <v>Presence</v>
      </c>
      <c r="I3451" s="5"/>
      <c r="J3451" s="21" t="s">
        <v>2272</v>
      </c>
      <c r="K3451" s="21" t="s">
        <v>2272</v>
      </c>
      <c r="L3451" s="21" t="s">
        <v>2272</v>
      </c>
      <c r="M3451" s="21" t="s">
        <v>2272</v>
      </c>
      <c r="N3451" s="21" t="s">
        <v>2272</v>
      </c>
      <c r="O3451" s="21" t="s">
        <v>2272</v>
      </c>
      <c r="P3451" s="21" t="s">
        <v>2272</v>
      </c>
      <c r="Q3451" s="21" t="s">
        <v>2272</v>
      </c>
      <c r="R3451" s="21" t="s">
        <v>2272</v>
      </c>
      <c r="S3451" s="21" t="s">
        <v>2272</v>
      </c>
      <c r="T3451" s="21" t="s">
        <v>2272</v>
      </c>
      <c r="U3451" s="21" t="s">
        <v>2272</v>
      </c>
      <c r="V3451" s="21" t="s">
        <v>2272</v>
      </c>
      <c r="W3451" s="21" t="s">
        <v>2272</v>
      </c>
      <c r="X3451" s="21" t="s">
        <v>2272</v>
      </c>
      <c r="Y3451" s="198" t="s">
        <v>34</v>
      </c>
      <c r="Z3451" s="198" t="s">
        <v>34</v>
      </c>
      <c r="AA3451" s="21" t="s">
        <v>2272</v>
      </c>
      <c r="AB3451" s="198"/>
      <c r="AC3451" s="198"/>
    </row>
    <row r="3452" spans="1:29" ht="43.5" customHeight="1">
      <c r="A3452" s="151" t="str">
        <f>'Reported burning'!A3452</f>
        <v>378c</v>
      </c>
      <c r="B3452" s="151" t="str">
        <f>'Reported burning'!B3452</f>
        <v>378c.8</v>
      </c>
      <c r="C3452" s="151" t="str">
        <f>'Reported burning'!C3452</f>
        <v>Human, deliberate</v>
      </c>
      <c r="D3452" s="151" t="str">
        <f>'Reported burning'!D3452</f>
        <v>Crop residue burning</v>
      </c>
      <c r="E3452" s="151" t="str">
        <f>'Reported burning'!E3452</f>
        <v>All</v>
      </c>
      <c r="F3452" s="151" t="str">
        <f>'Reported burning'!F3452</f>
        <v>Cropland</v>
      </c>
      <c r="G3452" s="151" t="str">
        <f>'Reported burning'!G3452</f>
        <v>Cropland</v>
      </c>
      <c r="H3452" s="151" t="str">
        <f>'Reported burning'!H3452</f>
        <v>Presence</v>
      </c>
      <c r="I3452" s="5"/>
      <c r="J3452" s="21" t="s">
        <v>2272</v>
      </c>
      <c r="K3452" s="21" t="s">
        <v>2272</v>
      </c>
      <c r="L3452" s="21" t="s">
        <v>2272</v>
      </c>
      <c r="M3452" s="21" t="s">
        <v>2272</v>
      </c>
      <c r="N3452" s="21" t="s">
        <v>2272</v>
      </c>
      <c r="O3452" s="21" t="s">
        <v>2272</v>
      </c>
      <c r="P3452" s="21" t="s">
        <v>2272</v>
      </c>
      <c r="Q3452" s="21" t="s">
        <v>2272</v>
      </c>
      <c r="R3452" s="21" t="s">
        <v>2272</v>
      </c>
      <c r="S3452" s="21" t="s">
        <v>2272</v>
      </c>
      <c r="T3452" s="21" t="s">
        <v>2272</v>
      </c>
      <c r="U3452" s="21" t="s">
        <v>2272</v>
      </c>
      <c r="V3452" s="21" t="s">
        <v>2272</v>
      </c>
      <c r="W3452" s="21" t="s">
        <v>2272</v>
      </c>
      <c r="X3452" s="21" t="s">
        <v>2272</v>
      </c>
      <c r="Y3452" s="198" t="s">
        <v>125</v>
      </c>
      <c r="Z3452" s="198" t="s">
        <v>125</v>
      </c>
      <c r="AA3452" s="21" t="s">
        <v>2272</v>
      </c>
      <c r="AB3452" s="198"/>
      <c r="AC3452" s="198"/>
    </row>
    <row r="3453" spans="1:29" ht="43.5" customHeight="1">
      <c r="A3453" s="151" t="str">
        <f>'Reported burning'!A3453</f>
        <v>378c</v>
      </c>
      <c r="B3453" s="151" t="str">
        <f>'Reported burning'!B3453</f>
        <v>378c.9</v>
      </c>
      <c r="C3453" s="151" t="str">
        <f>'Reported burning'!C3453</f>
        <v>Human, deliberate</v>
      </c>
      <c r="D3453" s="151" t="str">
        <f>'Reported burning'!D3453</f>
        <v>Crop residue burning</v>
      </c>
      <c r="E3453" s="151" t="str">
        <f>'Reported burning'!E3453</f>
        <v>All</v>
      </c>
      <c r="F3453" s="151" t="str">
        <f>'Reported burning'!F3453</f>
        <v>Cropland</v>
      </c>
      <c r="G3453" s="151" t="str">
        <f>'Reported burning'!G3453</f>
        <v>Cropland</v>
      </c>
      <c r="H3453" s="151" t="str">
        <f>'Reported burning'!H3453</f>
        <v>Presence</v>
      </c>
      <c r="I3453" s="5"/>
      <c r="J3453" s="21" t="s">
        <v>2272</v>
      </c>
      <c r="K3453" s="21" t="s">
        <v>2272</v>
      </c>
      <c r="L3453" s="21" t="s">
        <v>2272</v>
      </c>
      <c r="M3453" s="21" t="s">
        <v>2272</v>
      </c>
      <c r="N3453" s="21" t="s">
        <v>2272</v>
      </c>
      <c r="O3453" s="21" t="s">
        <v>2272</v>
      </c>
      <c r="P3453" s="21" t="s">
        <v>2272</v>
      </c>
      <c r="Q3453" s="21" t="s">
        <v>2272</v>
      </c>
      <c r="R3453" s="21" t="s">
        <v>2272</v>
      </c>
      <c r="S3453" s="21" t="s">
        <v>2272</v>
      </c>
      <c r="T3453" s="21" t="s">
        <v>2272</v>
      </c>
      <c r="U3453" s="21" t="s">
        <v>2272</v>
      </c>
      <c r="V3453" s="21" t="s">
        <v>2272</v>
      </c>
      <c r="W3453" s="21" t="s">
        <v>2272</v>
      </c>
      <c r="X3453" s="21" t="s">
        <v>2272</v>
      </c>
      <c r="Y3453" s="198" t="s">
        <v>397</v>
      </c>
      <c r="Z3453" s="198" t="s">
        <v>397</v>
      </c>
      <c r="AA3453" s="21" t="s">
        <v>2272</v>
      </c>
      <c r="AB3453" s="198"/>
      <c r="AC3453" s="198"/>
    </row>
    <row r="3454" spans="1:29" ht="43.5" customHeight="1">
      <c r="A3454" s="151" t="str">
        <f>'Reported burning'!A3454</f>
        <v>378c</v>
      </c>
      <c r="B3454" s="151" t="str">
        <f>'Reported burning'!B3454</f>
        <v>378c.10</v>
      </c>
      <c r="C3454" s="151" t="str">
        <f>'Reported burning'!C3454</f>
        <v>Human, deliberate</v>
      </c>
      <c r="D3454" s="151" t="str">
        <f>'Reported burning'!D3454</f>
        <v>Crop residue burning</v>
      </c>
      <c r="E3454" s="151" t="str">
        <f>'Reported burning'!E3454</f>
        <v>All</v>
      </c>
      <c r="F3454" s="151" t="str">
        <f>'Reported burning'!F3454</f>
        <v>Cropland</v>
      </c>
      <c r="G3454" s="151" t="str">
        <f>'Reported burning'!G3454</f>
        <v>Cropland</v>
      </c>
      <c r="H3454" s="151" t="str">
        <f>'Reported burning'!H3454</f>
        <v>Presence</v>
      </c>
      <c r="I3454" s="5"/>
      <c r="J3454" s="21" t="s">
        <v>2272</v>
      </c>
      <c r="K3454" s="21" t="s">
        <v>2272</v>
      </c>
      <c r="L3454" s="21" t="s">
        <v>2272</v>
      </c>
      <c r="M3454" s="21" t="s">
        <v>2272</v>
      </c>
      <c r="N3454" s="21" t="s">
        <v>2272</v>
      </c>
      <c r="O3454" s="21" t="s">
        <v>2272</v>
      </c>
      <c r="P3454" s="21" t="s">
        <v>2272</v>
      </c>
      <c r="Q3454" s="21" t="s">
        <v>2272</v>
      </c>
      <c r="R3454" s="21" t="s">
        <v>2272</v>
      </c>
      <c r="S3454" s="21" t="s">
        <v>2272</v>
      </c>
      <c r="T3454" s="21" t="s">
        <v>2272</v>
      </c>
      <c r="U3454" s="21" t="s">
        <v>2272</v>
      </c>
      <c r="V3454" s="21" t="s">
        <v>2272</v>
      </c>
      <c r="W3454" s="21" t="s">
        <v>2272</v>
      </c>
      <c r="X3454" s="21" t="s">
        <v>2272</v>
      </c>
      <c r="Y3454" s="198" t="s">
        <v>186</v>
      </c>
      <c r="Z3454" s="198" t="s">
        <v>186</v>
      </c>
      <c r="AA3454" s="21" t="s">
        <v>2272</v>
      </c>
      <c r="AB3454" s="198"/>
      <c r="AC3454" s="198"/>
    </row>
    <row r="3455" spans="1:29" ht="43.5" customHeight="1">
      <c r="A3455" s="151" t="str">
        <f>'Reported burning'!A3455</f>
        <v>378c</v>
      </c>
      <c r="B3455" s="151" t="str">
        <f>'Reported burning'!B3455</f>
        <v>378c.11</v>
      </c>
      <c r="C3455" s="151" t="str">
        <f>'Reported burning'!C3455</f>
        <v>Human, deliberate</v>
      </c>
      <c r="D3455" s="151" t="str">
        <f>'Reported burning'!D3455</f>
        <v>Crop residue burning</v>
      </c>
      <c r="E3455" s="151" t="str">
        <f>'Reported burning'!E3455</f>
        <v>All</v>
      </c>
      <c r="F3455" s="151" t="str">
        <f>'Reported burning'!F3455</f>
        <v>Cropland</v>
      </c>
      <c r="G3455" s="151" t="str">
        <f>'Reported burning'!G3455</f>
        <v>Cropland</v>
      </c>
      <c r="H3455" s="151" t="str">
        <f>'Reported burning'!H3455</f>
        <v>Presence</v>
      </c>
      <c r="I3455" s="5"/>
      <c r="J3455" s="21" t="s">
        <v>2272</v>
      </c>
      <c r="K3455" s="21" t="s">
        <v>2272</v>
      </c>
      <c r="L3455" s="21" t="s">
        <v>2272</v>
      </c>
      <c r="M3455" s="21" t="s">
        <v>2272</v>
      </c>
      <c r="N3455" s="21" t="s">
        <v>2272</v>
      </c>
      <c r="O3455" s="21" t="s">
        <v>2272</v>
      </c>
      <c r="P3455" s="21" t="s">
        <v>2272</v>
      </c>
      <c r="Q3455" s="21" t="s">
        <v>2272</v>
      </c>
      <c r="R3455" s="21" t="s">
        <v>2272</v>
      </c>
      <c r="S3455" s="21" t="s">
        <v>2272</v>
      </c>
      <c r="T3455" s="21" t="s">
        <v>2272</v>
      </c>
      <c r="U3455" s="21" t="s">
        <v>2272</v>
      </c>
      <c r="V3455" s="21" t="s">
        <v>2272</v>
      </c>
      <c r="W3455" s="21" t="s">
        <v>2272</v>
      </c>
      <c r="X3455" s="21" t="s">
        <v>2272</v>
      </c>
      <c r="Y3455" s="198" t="s">
        <v>187</v>
      </c>
      <c r="Z3455" s="198" t="s">
        <v>187</v>
      </c>
      <c r="AA3455" s="21" t="s">
        <v>2272</v>
      </c>
      <c r="AB3455" s="198"/>
      <c r="AC3455" s="198"/>
    </row>
    <row r="3456" spans="1:29" ht="43.5" customHeight="1">
      <c r="A3456" s="151" t="str">
        <f>'Reported burning'!A3456</f>
        <v>378c</v>
      </c>
      <c r="B3456" s="151" t="str">
        <f>'Reported burning'!B3456</f>
        <v>378c.12</v>
      </c>
      <c r="C3456" s="151" t="str">
        <f>'Reported burning'!C3456</f>
        <v>Human, deliberate</v>
      </c>
      <c r="D3456" s="151" t="str">
        <f>'Reported burning'!D3456</f>
        <v>Crop residue burning</v>
      </c>
      <c r="E3456" s="151" t="str">
        <f>'Reported burning'!E3456</f>
        <v>All</v>
      </c>
      <c r="F3456" s="151" t="str">
        <f>'Reported burning'!F3456</f>
        <v>Cropland</v>
      </c>
      <c r="G3456" s="151" t="str">
        <f>'Reported burning'!G3456</f>
        <v>Cropland</v>
      </c>
      <c r="H3456" s="151" t="str">
        <f>'Reported burning'!H3456</f>
        <v>Presence</v>
      </c>
      <c r="I3456" s="5"/>
      <c r="J3456" s="21" t="s">
        <v>2272</v>
      </c>
      <c r="K3456" s="21" t="s">
        <v>2272</v>
      </c>
      <c r="L3456" s="21" t="s">
        <v>2272</v>
      </c>
      <c r="M3456" s="21" t="s">
        <v>2272</v>
      </c>
      <c r="N3456" s="21" t="s">
        <v>2272</v>
      </c>
      <c r="O3456" s="21" t="s">
        <v>2272</v>
      </c>
      <c r="P3456" s="21" t="s">
        <v>2272</v>
      </c>
      <c r="Q3456" s="21" t="s">
        <v>2272</v>
      </c>
      <c r="R3456" s="21" t="s">
        <v>2272</v>
      </c>
      <c r="S3456" s="21" t="s">
        <v>2272</v>
      </c>
      <c r="T3456" s="21" t="s">
        <v>2272</v>
      </c>
      <c r="U3456" s="21" t="s">
        <v>2272</v>
      </c>
      <c r="V3456" s="21" t="s">
        <v>2272</v>
      </c>
      <c r="W3456" s="21" t="s">
        <v>2272</v>
      </c>
      <c r="X3456" s="21" t="s">
        <v>2272</v>
      </c>
      <c r="Y3456" s="198" t="s">
        <v>37</v>
      </c>
      <c r="Z3456" s="198" t="s">
        <v>37</v>
      </c>
      <c r="AA3456" s="21" t="s">
        <v>2272</v>
      </c>
      <c r="AB3456" s="198"/>
      <c r="AC3456" s="198"/>
    </row>
    <row r="3457" spans="1:29" ht="43.5" customHeight="1">
      <c r="A3457" s="151" t="str">
        <f>'Reported burning'!A3457</f>
        <v>378d</v>
      </c>
      <c r="B3457" s="151" t="str">
        <f>'Reported burning'!B3457</f>
        <v>378d.1</v>
      </c>
      <c r="C3457" s="151" t="str">
        <f>'Reported burning'!C3457</f>
        <v>Human, deliberate</v>
      </c>
      <c r="D3457" s="151" t="str">
        <f>'Reported burning'!D3457</f>
        <v>Crop residue burning</v>
      </c>
      <c r="E3457" s="151" t="str">
        <f>'Reported burning'!E3457</f>
        <v>All</v>
      </c>
      <c r="F3457" s="151" t="str">
        <f>'Reported burning'!F3457</f>
        <v>Cropland</v>
      </c>
      <c r="G3457" s="151" t="str">
        <f>'Reported burning'!G3457</f>
        <v>Cropland</v>
      </c>
      <c r="H3457" s="151" t="str">
        <f>'Reported burning'!H3457</f>
        <v>Presence</v>
      </c>
      <c r="I3457" s="5"/>
      <c r="J3457" s="21" t="s">
        <v>2272</v>
      </c>
      <c r="K3457" s="21" t="s">
        <v>2272</v>
      </c>
      <c r="L3457" s="21" t="s">
        <v>2272</v>
      </c>
      <c r="M3457" s="21" t="s">
        <v>2272</v>
      </c>
      <c r="N3457" s="21" t="s">
        <v>2272</v>
      </c>
      <c r="O3457" s="21" t="s">
        <v>2272</v>
      </c>
      <c r="P3457" s="21" t="s">
        <v>2272</v>
      </c>
      <c r="Q3457" s="21" t="s">
        <v>2272</v>
      </c>
      <c r="R3457" s="21" t="s">
        <v>2272</v>
      </c>
      <c r="S3457" s="21" t="s">
        <v>2272</v>
      </c>
      <c r="T3457" s="21" t="s">
        <v>2272</v>
      </c>
      <c r="U3457" s="21" t="s">
        <v>2272</v>
      </c>
      <c r="V3457" s="21" t="s">
        <v>2272</v>
      </c>
      <c r="W3457" s="21" t="s">
        <v>2272</v>
      </c>
      <c r="X3457" s="21" t="s">
        <v>2272</v>
      </c>
      <c r="Y3457" s="198" t="s">
        <v>84</v>
      </c>
      <c r="Z3457" s="198" t="s">
        <v>84</v>
      </c>
      <c r="AA3457" s="21" t="s">
        <v>2272</v>
      </c>
      <c r="AB3457" s="198"/>
      <c r="AC3457" s="198"/>
    </row>
    <row r="3458" spans="1:29" ht="43.5" customHeight="1">
      <c r="A3458" s="151" t="str">
        <f>'Reported burning'!A3458</f>
        <v>378d</v>
      </c>
      <c r="B3458" s="151" t="str">
        <f>'Reported burning'!B3458</f>
        <v>378d.2</v>
      </c>
      <c r="C3458" s="151" t="str">
        <f>'Reported burning'!C3458</f>
        <v>Human, deliberate</v>
      </c>
      <c r="D3458" s="151" t="str">
        <f>'Reported burning'!D3458</f>
        <v>Crop residue burning</v>
      </c>
      <c r="E3458" s="151" t="str">
        <f>'Reported burning'!E3458</f>
        <v>All</v>
      </c>
      <c r="F3458" s="151" t="str">
        <f>'Reported burning'!F3458</f>
        <v>Cropland</v>
      </c>
      <c r="G3458" s="151" t="str">
        <f>'Reported burning'!G3458</f>
        <v>Cropland</v>
      </c>
      <c r="H3458" s="151" t="str">
        <f>'Reported burning'!H3458</f>
        <v>Presence</v>
      </c>
      <c r="I3458" s="5"/>
      <c r="J3458" s="21" t="s">
        <v>2272</v>
      </c>
      <c r="K3458" s="21" t="s">
        <v>2272</v>
      </c>
      <c r="L3458" s="21" t="s">
        <v>2272</v>
      </c>
      <c r="M3458" s="21" t="s">
        <v>2272</v>
      </c>
      <c r="N3458" s="21" t="s">
        <v>2272</v>
      </c>
      <c r="O3458" s="21" t="s">
        <v>2272</v>
      </c>
      <c r="P3458" s="21" t="s">
        <v>2272</v>
      </c>
      <c r="Q3458" s="21" t="s">
        <v>2272</v>
      </c>
      <c r="R3458" s="21" t="s">
        <v>2272</v>
      </c>
      <c r="S3458" s="21" t="s">
        <v>2272</v>
      </c>
      <c r="T3458" s="21" t="s">
        <v>2272</v>
      </c>
      <c r="U3458" s="21" t="s">
        <v>2272</v>
      </c>
      <c r="V3458" s="21" t="s">
        <v>2272</v>
      </c>
      <c r="W3458" s="21" t="s">
        <v>2272</v>
      </c>
      <c r="X3458" s="21" t="s">
        <v>2272</v>
      </c>
      <c r="Y3458" s="198" t="s">
        <v>33</v>
      </c>
      <c r="Z3458" s="198" t="s">
        <v>33</v>
      </c>
      <c r="AA3458" s="21" t="s">
        <v>2272</v>
      </c>
      <c r="AB3458" s="198"/>
      <c r="AC3458" s="198"/>
    </row>
    <row r="3459" spans="1:29" ht="43.5" customHeight="1">
      <c r="A3459" s="151" t="str">
        <f>'Reported burning'!A3459</f>
        <v>378d</v>
      </c>
      <c r="B3459" s="151" t="str">
        <f>'Reported burning'!B3459</f>
        <v>378d.3</v>
      </c>
      <c r="C3459" s="151" t="str">
        <f>'Reported burning'!C3459</f>
        <v>Human, deliberate</v>
      </c>
      <c r="D3459" s="151" t="str">
        <f>'Reported burning'!D3459</f>
        <v>Crop residue burning</v>
      </c>
      <c r="E3459" s="151" t="str">
        <f>'Reported burning'!E3459</f>
        <v>All</v>
      </c>
      <c r="F3459" s="151" t="str">
        <f>'Reported burning'!F3459</f>
        <v>Cropland</v>
      </c>
      <c r="G3459" s="151" t="str">
        <f>'Reported burning'!G3459</f>
        <v>Cropland</v>
      </c>
      <c r="H3459" s="151" t="str">
        <f>'Reported burning'!H3459</f>
        <v>Presence</v>
      </c>
      <c r="I3459" s="5"/>
      <c r="J3459" s="21" t="s">
        <v>2272</v>
      </c>
      <c r="K3459" s="21" t="s">
        <v>2272</v>
      </c>
      <c r="L3459" s="21" t="s">
        <v>2272</v>
      </c>
      <c r="M3459" s="21" t="s">
        <v>2272</v>
      </c>
      <c r="N3459" s="21" t="s">
        <v>2272</v>
      </c>
      <c r="O3459" s="21" t="s">
        <v>2272</v>
      </c>
      <c r="P3459" s="21" t="s">
        <v>2272</v>
      </c>
      <c r="Q3459" s="21" t="s">
        <v>2272</v>
      </c>
      <c r="R3459" s="21" t="s">
        <v>2272</v>
      </c>
      <c r="S3459" s="21" t="s">
        <v>2272</v>
      </c>
      <c r="T3459" s="21" t="s">
        <v>2272</v>
      </c>
      <c r="U3459" s="21" t="s">
        <v>2272</v>
      </c>
      <c r="V3459" s="21" t="s">
        <v>2272</v>
      </c>
      <c r="W3459" s="21" t="s">
        <v>2272</v>
      </c>
      <c r="X3459" s="21" t="s">
        <v>2272</v>
      </c>
      <c r="Y3459" s="198" t="s">
        <v>402</v>
      </c>
      <c r="Z3459" s="198" t="s">
        <v>402</v>
      </c>
      <c r="AA3459" s="21" t="s">
        <v>2272</v>
      </c>
      <c r="AB3459" s="198"/>
      <c r="AC3459" s="198"/>
    </row>
    <row r="3460" spans="1:29" ht="43.5" customHeight="1">
      <c r="A3460" s="151" t="str">
        <f>'Reported burning'!A3460</f>
        <v>378d</v>
      </c>
      <c r="B3460" s="151" t="str">
        <f>'Reported burning'!B3460</f>
        <v>378d.4</v>
      </c>
      <c r="C3460" s="151" t="str">
        <f>'Reported burning'!C3460</f>
        <v>Human, deliberate</v>
      </c>
      <c r="D3460" s="151" t="str">
        <f>'Reported burning'!D3460</f>
        <v>Crop residue burning</v>
      </c>
      <c r="E3460" s="151" t="str">
        <f>'Reported burning'!E3460</f>
        <v>All</v>
      </c>
      <c r="F3460" s="151" t="str">
        <f>'Reported burning'!F3460</f>
        <v>Cropland</v>
      </c>
      <c r="G3460" s="151" t="str">
        <f>'Reported burning'!G3460</f>
        <v>Cropland</v>
      </c>
      <c r="H3460" s="151" t="str">
        <f>'Reported burning'!H3460</f>
        <v>Absence</v>
      </c>
      <c r="I3460" s="5"/>
      <c r="J3460" s="21">
        <v>0</v>
      </c>
      <c r="K3460" s="21">
        <v>0</v>
      </c>
      <c r="L3460" s="21">
        <v>0</v>
      </c>
      <c r="M3460" s="21">
        <v>0</v>
      </c>
      <c r="N3460" s="21">
        <v>0</v>
      </c>
      <c r="O3460" s="21">
        <v>0</v>
      </c>
      <c r="P3460" s="21">
        <v>0</v>
      </c>
      <c r="Q3460" s="21">
        <v>0</v>
      </c>
      <c r="R3460" s="21">
        <v>0</v>
      </c>
      <c r="S3460" s="21">
        <v>0</v>
      </c>
      <c r="T3460" s="21">
        <v>0</v>
      </c>
      <c r="U3460" s="21">
        <v>0</v>
      </c>
      <c r="V3460" s="21">
        <v>0</v>
      </c>
      <c r="W3460" s="21">
        <v>0</v>
      </c>
      <c r="X3460" s="21" t="s">
        <v>2272</v>
      </c>
      <c r="Y3460" s="198" t="s">
        <v>403</v>
      </c>
      <c r="Z3460" s="198" t="s">
        <v>403</v>
      </c>
      <c r="AA3460" s="21" t="s">
        <v>2272</v>
      </c>
      <c r="AB3460" s="198"/>
      <c r="AC3460" s="198"/>
    </row>
    <row r="3461" spans="1:29" ht="43.5" customHeight="1">
      <c r="A3461" s="151" t="str">
        <f>'Reported burning'!A3461</f>
        <v>378d</v>
      </c>
      <c r="B3461" s="151" t="str">
        <f>'Reported burning'!B3461</f>
        <v>378d.5</v>
      </c>
      <c r="C3461" s="151" t="str">
        <f>'Reported burning'!C3461</f>
        <v>Human, deliberate</v>
      </c>
      <c r="D3461" s="151" t="str">
        <f>'Reported burning'!D3461</f>
        <v>Crop residue burning</v>
      </c>
      <c r="E3461" s="151" t="str">
        <f>'Reported burning'!E3461</f>
        <v>All</v>
      </c>
      <c r="F3461" s="151" t="str">
        <f>'Reported burning'!F3461</f>
        <v>Cropland</v>
      </c>
      <c r="G3461" s="151" t="str">
        <f>'Reported burning'!G3461</f>
        <v>Cropland</v>
      </c>
      <c r="H3461" s="151" t="str">
        <f>'Reported burning'!H3461</f>
        <v>Absence</v>
      </c>
      <c r="I3461" s="5"/>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t="s">
        <v>2272</v>
      </c>
      <c r="Y3461" s="198" t="s">
        <v>423</v>
      </c>
      <c r="Z3461" s="198" t="s">
        <v>423</v>
      </c>
      <c r="AA3461" s="21" t="s">
        <v>2272</v>
      </c>
      <c r="AB3461" s="198"/>
      <c r="AC3461" s="198"/>
    </row>
    <row r="3462" spans="1:29" ht="43.5" customHeight="1">
      <c r="A3462" s="151" t="str">
        <f>'Reported burning'!A3462</f>
        <v>378d</v>
      </c>
      <c r="B3462" s="151" t="str">
        <f>'Reported burning'!B3462</f>
        <v>378d.6</v>
      </c>
      <c r="C3462" s="151" t="str">
        <f>'Reported burning'!C3462</f>
        <v>Human, deliberate</v>
      </c>
      <c r="D3462" s="151" t="str">
        <f>'Reported burning'!D3462</f>
        <v>Crop residue burning</v>
      </c>
      <c r="E3462" s="151" t="str">
        <f>'Reported burning'!E3462</f>
        <v>All</v>
      </c>
      <c r="F3462" s="151" t="str">
        <f>'Reported burning'!F3462</f>
        <v>Cropland</v>
      </c>
      <c r="G3462" s="151" t="str">
        <f>'Reported burning'!G3462</f>
        <v>Cropland</v>
      </c>
      <c r="H3462" s="151" t="str">
        <f>'Reported burning'!H3462</f>
        <v>Presence</v>
      </c>
      <c r="I3462" s="5"/>
      <c r="J3462" s="21" t="s">
        <v>2272</v>
      </c>
      <c r="K3462" s="21" t="s">
        <v>2272</v>
      </c>
      <c r="L3462" s="21" t="s">
        <v>2272</v>
      </c>
      <c r="M3462" s="21" t="s">
        <v>2272</v>
      </c>
      <c r="N3462" s="21" t="s">
        <v>2272</v>
      </c>
      <c r="O3462" s="21" t="s">
        <v>2272</v>
      </c>
      <c r="P3462" s="21" t="s">
        <v>2272</v>
      </c>
      <c r="Q3462" s="21" t="s">
        <v>2272</v>
      </c>
      <c r="R3462" s="21" t="s">
        <v>2272</v>
      </c>
      <c r="S3462" s="21" t="s">
        <v>2272</v>
      </c>
      <c r="T3462" s="21" t="s">
        <v>2272</v>
      </c>
      <c r="U3462" s="21" t="s">
        <v>2272</v>
      </c>
      <c r="V3462" s="21" t="s">
        <v>2272</v>
      </c>
      <c r="W3462" s="21" t="s">
        <v>2272</v>
      </c>
      <c r="X3462" s="21" t="s">
        <v>2272</v>
      </c>
      <c r="Y3462" s="198" t="s">
        <v>67</v>
      </c>
      <c r="Z3462" s="198" t="s">
        <v>67</v>
      </c>
      <c r="AA3462" s="21" t="s">
        <v>2272</v>
      </c>
      <c r="AB3462" s="198"/>
      <c r="AC3462" s="198"/>
    </row>
    <row r="3463" spans="1:29" ht="43.5" customHeight="1">
      <c r="A3463" s="151" t="str">
        <f>'Reported burning'!A3463</f>
        <v>378d</v>
      </c>
      <c r="B3463" s="151" t="str">
        <f>'Reported burning'!B3463</f>
        <v>378d.7</v>
      </c>
      <c r="C3463" s="151" t="str">
        <f>'Reported burning'!C3463</f>
        <v>Human, deliberate</v>
      </c>
      <c r="D3463" s="151" t="str">
        <f>'Reported burning'!D3463</f>
        <v>Crop residue burning</v>
      </c>
      <c r="E3463" s="151" t="str">
        <f>'Reported burning'!E3463</f>
        <v>All</v>
      </c>
      <c r="F3463" s="151" t="str">
        <f>'Reported burning'!F3463</f>
        <v>Cropland</v>
      </c>
      <c r="G3463" s="151" t="str">
        <f>'Reported burning'!G3463</f>
        <v>Cropland</v>
      </c>
      <c r="H3463" s="151" t="str">
        <f>'Reported burning'!H3463</f>
        <v>Presence</v>
      </c>
      <c r="I3463" s="5"/>
      <c r="J3463" s="21" t="s">
        <v>2272</v>
      </c>
      <c r="K3463" s="21" t="s">
        <v>2272</v>
      </c>
      <c r="L3463" s="21" t="s">
        <v>2272</v>
      </c>
      <c r="M3463" s="21" t="s">
        <v>2272</v>
      </c>
      <c r="N3463" s="21" t="s">
        <v>2272</v>
      </c>
      <c r="O3463" s="21" t="s">
        <v>2272</v>
      </c>
      <c r="P3463" s="21" t="s">
        <v>2272</v>
      </c>
      <c r="Q3463" s="21" t="s">
        <v>2272</v>
      </c>
      <c r="R3463" s="21" t="s">
        <v>2272</v>
      </c>
      <c r="S3463" s="21" t="s">
        <v>2272</v>
      </c>
      <c r="T3463" s="21" t="s">
        <v>2272</v>
      </c>
      <c r="U3463" s="21" t="s">
        <v>2272</v>
      </c>
      <c r="V3463" s="21" t="s">
        <v>2272</v>
      </c>
      <c r="W3463" s="21" t="s">
        <v>2272</v>
      </c>
      <c r="X3463" s="21" t="s">
        <v>2272</v>
      </c>
      <c r="Y3463" s="198" t="s">
        <v>34</v>
      </c>
      <c r="Z3463" s="198" t="s">
        <v>34</v>
      </c>
      <c r="AA3463" s="21" t="s">
        <v>2272</v>
      </c>
      <c r="AB3463" s="198"/>
      <c r="AC3463" s="198"/>
    </row>
    <row r="3464" spans="1:29" ht="43.5" customHeight="1">
      <c r="A3464" s="151" t="str">
        <f>'Reported burning'!A3464</f>
        <v>378d</v>
      </c>
      <c r="B3464" s="151" t="str">
        <f>'Reported burning'!B3464</f>
        <v>378d.8</v>
      </c>
      <c r="C3464" s="151" t="str">
        <f>'Reported burning'!C3464</f>
        <v>Human, deliberate</v>
      </c>
      <c r="D3464" s="151" t="str">
        <f>'Reported burning'!D3464</f>
        <v>Crop residue burning</v>
      </c>
      <c r="E3464" s="151" t="str">
        <f>'Reported burning'!E3464</f>
        <v>All</v>
      </c>
      <c r="F3464" s="151" t="str">
        <f>'Reported burning'!F3464</f>
        <v>Cropland</v>
      </c>
      <c r="G3464" s="151" t="str">
        <f>'Reported burning'!G3464</f>
        <v>Cropland</v>
      </c>
      <c r="H3464" s="151" t="str">
        <f>'Reported burning'!H3464</f>
        <v>Presence</v>
      </c>
      <c r="I3464" s="5"/>
      <c r="J3464" s="21" t="s">
        <v>2272</v>
      </c>
      <c r="K3464" s="21" t="s">
        <v>2272</v>
      </c>
      <c r="L3464" s="21" t="s">
        <v>2272</v>
      </c>
      <c r="M3464" s="21" t="s">
        <v>2272</v>
      </c>
      <c r="N3464" s="21" t="s">
        <v>2272</v>
      </c>
      <c r="O3464" s="21" t="s">
        <v>2272</v>
      </c>
      <c r="P3464" s="21" t="s">
        <v>2272</v>
      </c>
      <c r="Q3464" s="21" t="s">
        <v>2272</v>
      </c>
      <c r="R3464" s="21" t="s">
        <v>2272</v>
      </c>
      <c r="S3464" s="21" t="s">
        <v>2272</v>
      </c>
      <c r="T3464" s="21" t="s">
        <v>2272</v>
      </c>
      <c r="U3464" s="21" t="s">
        <v>2272</v>
      </c>
      <c r="V3464" s="21" t="s">
        <v>2272</v>
      </c>
      <c r="W3464" s="21" t="s">
        <v>2272</v>
      </c>
      <c r="X3464" s="21" t="s">
        <v>2272</v>
      </c>
      <c r="Y3464" s="198" t="s">
        <v>125</v>
      </c>
      <c r="Z3464" s="198" t="s">
        <v>125</v>
      </c>
      <c r="AA3464" s="21" t="s">
        <v>2272</v>
      </c>
      <c r="AB3464" s="198"/>
      <c r="AC3464" s="198"/>
    </row>
    <row r="3465" spans="1:29" ht="43.5" customHeight="1">
      <c r="A3465" s="151" t="str">
        <f>'Reported burning'!A3465</f>
        <v>378d</v>
      </c>
      <c r="B3465" s="151" t="str">
        <f>'Reported burning'!B3465</f>
        <v>378d.9</v>
      </c>
      <c r="C3465" s="151" t="str">
        <f>'Reported burning'!C3465</f>
        <v>Human, deliberate</v>
      </c>
      <c r="D3465" s="151" t="str">
        <f>'Reported burning'!D3465</f>
        <v>Crop residue burning</v>
      </c>
      <c r="E3465" s="151" t="str">
        <f>'Reported burning'!E3465</f>
        <v>All</v>
      </c>
      <c r="F3465" s="151" t="str">
        <f>'Reported burning'!F3465</f>
        <v>Cropland</v>
      </c>
      <c r="G3465" s="151" t="str">
        <f>'Reported burning'!G3465</f>
        <v>Cropland</v>
      </c>
      <c r="H3465" s="151" t="str">
        <f>'Reported burning'!H3465</f>
        <v>Presence</v>
      </c>
      <c r="I3465" s="5"/>
      <c r="J3465" s="21" t="s">
        <v>2272</v>
      </c>
      <c r="K3465" s="21" t="s">
        <v>2272</v>
      </c>
      <c r="L3465" s="21" t="s">
        <v>2272</v>
      </c>
      <c r="M3465" s="21" t="s">
        <v>2272</v>
      </c>
      <c r="N3465" s="21" t="s">
        <v>2272</v>
      </c>
      <c r="O3465" s="21" t="s">
        <v>2272</v>
      </c>
      <c r="P3465" s="21" t="s">
        <v>2272</v>
      </c>
      <c r="Q3465" s="21" t="s">
        <v>2272</v>
      </c>
      <c r="R3465" s="21" t="s">
        <v>2272</v>
      </c>
      <c r="S3465" s="21" t="s">
        <v>2272</v>
      </c>
      <c r="T3465" s="21" t="s">
        <v>2272</v>
      </c>
      <c r="U3465" s="21" t="s">
        <v>2272</v>
      </c>
      <c r="V3465" s="21" t="s">
        <v>2272</v>
      </c>
      <c r="W3465" s="21" t="s">
        <v>2272</v>
      </c>
      <c r="X3465" s="21" t="s">
        <v>2272</v>
      </c>
      <c r="Y3465" s="198" t="s">
        <v>397</v>
      </c>
      <c r="Z3465" s="198" t="s">
        <v>397</v>
      </c>
      <c r="AA3465" s="21" t="s">
        <v>2272</v>
      </c>
      <c r="AB3465" s="198"/>
      <c r="AC3465" s="198"/>
    </row>
    <row r="3466" spans="1:29" ht="43.5" customHeight="1">
      <c r="A3466" s="151" t="str">
        <f>'Reported burning'!A3466</f>
        <v>378d</v>
      </c>
      <c r="B3466" s="151" t="str">
        <f>'Reported burning'!B3466</f>
        <v>378d.10</v>
      </c>
      <c r="C3466" s="151" t="str">
        <f>'Reported burning'!C3466</f>
        <v>Human, deliberate</v>
      </c>
      <c r="D3466" s="151" t="str">
        <f>'Reported burning'!D3466</f>
        <v>Crop residue burning</v>
      </c>
      <c r="E3466" s="151" t="str">
        <f>'Reported burning'!E3466</f>
        <v>All</v>
      </c>
      <c r="F3466" s="151" t="str">
        <f>'Reported burning'!F3466</f>
        <v>Cropland</v>
      </c>
      <c r="G3466" s="151" t="str">
        <f>'Reported burning'!G3466</f>
        <v>Cropland</v>
      </c>
      <c r="H3466" s="151" t="str">
        <f>'Reported burning'!H3466</f>
        <v>Presence</v>
      </c>
      <c r="I3466" s="5"/>
      <c r="J3466" s="21" t="s">
        <v>2272</v>
      </c>
      <c r="K3466" s="21" t="s">
        <v>2272</v>
      </c>
      <c r="L3466" s="21" t="s">
        <v>2272</v>
      </c>
      <c r="M3466" s="21" t="s">
        <v>2272</v>
      </c>
      <c r="N3466" s="21" t="s">
        <v>2272</v>
      </c>
      <c r="O3466" s="21" t="s">
        <v>2272</v>
      </c>
      <c r="P3466" s="21" t="s">
        <v>2272</v>
      </c>
      <c r="Q3466" s="21" t="s">
        <v>2272</v>
      </c>
      <c r="R3466" s="21" t="s">
        <v>2272</v>
      </c>
      <c r="S3466" s="21" t="s">
        <v>2272</v>
      </c>
      <c r="T3466" s="21" t="s">
        <v>2272</v>
      </c>
      <c r="U3466" s="21" t="s">
        <v>2272</v>
      </c>
      <c r="V3466" s="21" t="s">
        <v>2272</v>
      </c>
      <c r="W3466" s="21" t="s">
        <v>2272</v>
      </c>
      <c r="X3466" s="21" t="s">
        <v>2272</v>
      </c>
      <c r="Y3466" s="198" t="s">
        <v>186</v>
      </c>
      <c r="Z3466" s="198" t="s">
        <v>186</v>
      </c>
      <c r="AA3466" s="21" t="s">
        <v>2272</v>
      </c>
      <c r="AB3466" s="198"/>
      <c r="AC3466" s="198"/>
    </row>
    <row r="3467" spans="1:29" ht="43.5" customHeight="1">
      <c r="A3467" s="151" t="str">
        <f>'Reported burning'!A3467</f>
        <v>378d</v>
      </c>
      <c r="B3467" s="151" t="str">
        <f>'Reported burning'!B3467</f>
        <v>378d.11</v>
      </c>
      <c r="C3467" s="151" t="str">
        <f>'Reported burning'!C3467</f>
        <v>Human, deliberate</v>
      </c>
      <c r="D3467" s="151" t="str">
        <f>'Reported burning'!D3467</f>
        <v>Crop residue burning</v>
      </c>
      <c r="E3467" s="151" t="str">
        <f>'Reported burning'!E3467</f>
        <v>All</v>
      </c>
      <c r="F3467" s="151" t="str">
        <f>'Reported burning'!F3467</f>
        <v>Cropland</v>
      </c>
      <c r="G3467" s="151" t="str">
        <f>'Reported burning'!G3467</f>
        <v>Cropland</v>
      </c>
      <c r="H3467" s="151" t="str">
        <f>'Reported burning'!H3467</f>
        <v>Presence</v>
      </c>
      <c r="I3467" s="5"/>
      <c r="J3467" s="21" t="s">
        <v>2272</v>
      </c>
      <c r="K3467" s="21" t="s">
        <v>2272</v>
      </c>
      <c r="L3467" s="21" t="s">
        <v>2272</v>
      </c>
      <c r="M3467" s="21" t="s">
        <v>2272</v>
      </c>
      <c r="N3467" s="21" t="s">
        <v>2272</v>
      </c>
      <c r="O3467" s="21" t="s">
        <v>2272</v>
      </c>
      <c r="P3467" s="21" t="s">
        <v>2272</v>
      </c>
      <c r="Q3467" s="21" t="s">
        <v>2272</v>
      </c>
      <c r="R3467" s="21" t="s">
        <v>2272</v>
      </c>
      <c r="S3467" s="21" t="s">
        <v>2272</v>
      </c>
      <c r="T3467" s="21" t="s">
        <v>2272</v>
      </c>
      <c r="U3467" s="21" t="s">
        <v>2272</v>
      </c>
      <c r="V3467" s="21" t="s">
        <v>2272</v>
      </c>
      <c r="W3467" s="21" t="s">
        <v>2272</v>
      </c>
      <c r="X3467" s="21" t="s">
        <v>2272</v>
      </c>
      <c r="Y3467" s="198" t="s">
        <v>187</v>
      </c>
      <c r="Z3467" s="198" t="s">
        <v>187</v>
      </c>
      <c r="AA3467" s="21" t="s">
        <v>2272</v>
      </c>
      <c r="AB3467" s="198"/>
      <c r="AC3467" s="198"/>
    </row>
    <row r="3468" spans="1:29" ht="43.5" customHeight="1">
      <c r="A3468" s="151" t="str">
        <f>'Reported burning'!A3468</f>
        <v>378d</v>
      </c>
      <c r="B3468" s="151" t="str">
        <f>'Reported burning'!B3468</f>
        <v>378d.12</v>
      </c>
      <c r="C3468" s="151" t="str">
        <f>'Reported burning'!C3468</f>
        <v>Human, deliberate</v>
      </c>
      <c r="D3468" s="151" t="str">
        <f>'Reported burning'!D3468</f>
        <v>Crop residue burning</v>
      </c>
      <c r="E3468" s="151" t="str">
        <f>'Reported burning'!E3468</f>
        <v>All</v>
      </c>
      <c r="F3468" s="151" t="str">
        <f>'Reported burning'!F3468</f>
        <v>Cropland</v>
      </c>
      <c r="G3468" s="151" t="str">
        <f>'Reported burning'!G3468</f>
        <v>Cropland</v>
      </c>
      <c r="H3468" s="151" t="str">
        <f>'Reported burning'!H3468</f>
        <v>Presence</v>
      </c>
      <c r="I3468" s="5"/>
      <c r="J3468" s="21" t="s">
        <v>2272</v>
      </c>
      <c r="K3468" s="21" t="s">
        <v>2272</v>
      </c>
      <c r="L3468" s="21" t="s">
        <v>2272</v>
      </c>
      <c r="M3468" s="21" t="s">
        <v>2272</v>
      </c>
      <c r="N3468" s="21" t="s">
        <v>2272</v>
      </c>
      <c r="O3468" s="21" t="s">
        <v>2272</v>
      </c>
      <c r="P3468" s="21" t="s">
        <v>2272</v>
      </c>
      <c r="Q3468" s="21" t="s">
        <v>2272</v>
      </c>
      <c r="R3468" s="21" t="s">
        <v>2272</v>
      </c>
      <c r="S3468" s="21" t="s">
        <v>2272</v>
      </c>
      <c r="T3468" s="21" t="s">
        <v>2272</v>
      </c>
      <c r="U3468" s="21" t="s">
        <v>2272</v>
      </c>
      <c r="V3468" s="21" t="s">
        <v>2272</v>
      </c>
      <c r="W3468" s="21" t="s">
        <v>2272</v>
      </c>
      <c r="X3468" s="21" t="s">
        <v>2272</v>
      </c>
      <c r="Y3468" s="198" t="s">
        <v>37</v>
      </c>
      <c r="Z3468" s="198" t="s">
        <v>37</v>
      </c>
      <c r="AA3468" s="21" t="s">
        <v>2272</v>
      </c>
      <c r="AB3468" s="198"/>
      <c r="AC3468" s="198"/>
    </row>
    <row r="3469" spans="1:29" ht="43.5" customHeight="1">
      <c r="A3469" s="151" t="str">
        <f>'Reported burning'!A3469</f>
        <v>378e</v>
      </c>
      <c r="B3469" s="151" t="str">
        <f>'Reported burning'!B3469</f>
        <v>378e.1</v>
      </c>
      <c r="C3469" s="151" t="str">
        <f>'Reported burning'!C3469</f>
        <v>Human, deliberate</v>
      </c>
      <c r="D3469" s="151" t="str">
        <f>'Reported burning'!D3469</f>
        <v>Crop residue burning</v>
      </c>
      <c r="E3469" s="151" t="str">
        <f>'Reported burning'!E3469</f>
        <v>All</v>
      </c>
      <c r="F3469" s="151" t="str">
        <f>'Reported burning'!F3469</f>
        <v>Cropland</v>
      </c>
      <c r="G3469" s="151" t="str">
        <f>'Reported burning'!G3469</f>
        <v>Cropland</v>
      </c>
      <c r="H3469" s="151" t="str">
        <f>'Reported burning'!H3469</f>
        <v>Presence</v>
      </c>
      <c r="I3469" s="5"/>
      <c r="J3469" s="21" t="s">
        <v>2272</v>
      </c>
      <c r="K3469" s="21" t="s">
        <v>2272</v>
      </c>
      <c r="L3469" s="21" t="s">
        <v>2272</v>
      </c>
      <c r="M3469" s="21" t="s">
        <v>2272</v>
      </c>
      <c r="N3469" s="21" t="s">
        <v>2272</v>
      </c>
      <c r="O3469" s="21" t="s">
        <v>2272</v>
      </c>
      <c r="P3469" s="21" t="s">
        <v>2272</v>
      </c>
      <c r="Q3469" s="21" t="s">
        <v>2272</v>
      </c>
      <c r="R3469" s="21" t="s">
        <v>2272</v>
      </c>
      <c r="S3469" s="21" t="s">
        <v>2272</v>
      </c>
      <c r="T3469" s="21" t="s">
        <v>2272</v>
      </c>
      <c r="U3469" s="21" t="s">
        <v>2272</v>
      </c>
      <c r="V3469" s="21" t="s">
        <v>2272</v>
      </c>
      <c r="W3469" s="21" t="s">
        <v>2272</v>
      </c>
      <c r="X3469" s="21" t="s">
        <v>2272</v>
      </c>
      <c r="Y3469" s="198" t="s">
        <v>84</v>
      </c>
      <c r="Z3469" s="198" t="s">
        <v>84</v>
      </c>
      <c r="AA3469" s="21" t="s">
        <v>2272</v>
      </c>
      <c r="AB3469" s="21"/>
      <c r="AC3469" s="198"/>
    </row>
    <row r="3470" spans="1:29" ht="43.5" customHeight="1">
      <c r="A3470" s="151" t="str">
        <f>'Reported burning'!A3470</f>
        <v>378e</v>
      </c>
      <c r="B3470" s="151" t="str">
        <f>'Reported burning'!B3470</f>
        <v>378e.2</v>
      </c>
      <c r="C3470" s="151" t="str">
        <f>'Reported burning'!C3470</f>
        <v>Human, deliberate</v>
      </c>
      <c r="D3470" s="151" t="str">
        <f>'Reported burning'!D3470</f>
        <v>Crop residue burning</v>
      </c>
      <c r="E3470" s="151" t="str">
        <f>'Reported burning'!E3470</f>
        <v>All</v>
      </c>
      <c r="F3470" s="151" t="str">
        <f>'Reported burning'!F3470</f>
        <v>Cropland</v>
      </c>
      <c r="G3470" s="151" t="str">
        <f>'Reported burning'!G3470</f>
        <v>Cropland</v>
      </c>
      <c r="H3470" s="151" t="str">
        <f>'Reported burning'!H3470</f>
        <v>Presence</v>
      </c>
      <c r="I3470" s="5"/>
      <c r="J3470" s="21" t="s">
        <v>2272</v>
      </c>
      <c r="K3470" s="21" t="s">
        <v>2272</v>
      </c>
      <c r="L3470" s="21" t="s">
        <v>2272</v>
      </c>
      <c r="M3470" s="21" t="s">
        <v>2272</v>
      </c>
      <c r="N3470" s="21" t="s">
        <v>2272</v>
      </c>
      <c r="O3470" s="21" t="s">
        <v>2272</v>
      </c>
      <c r="P3470" s="21" t="s">
        <v>2272</v>
      </c>
      <c r="Q3470" s="21" t="s">
        <v>2272</v>
      </c>
      <c r="R3470" s="21" t="s">
        <v>2272</v>
      </c>
      <c r="S3470" s="21" t="s">
        <v>2272</v>
      </c>
      <c r="T3470" s="21" t="s">
        <v>2272</v>
      </c>
      <c r="U3470" s="21" t="s">
        <v>2272</v>
      </c>
      <c r="V3470" s="21" t="s">
        <v>2272</v>
      </c>
      <c r="W3470" s="21" t="s">
        <v>2272</v>
      </c>
      <c r="X3470" s="21" t="s">
        <v>2272</v>
      </c>
      <c r="Y3470" s="198" t="s">
        <v>33</v>
      </c>
      <c r="Z3470" s="198" t="s">
        <v>33</v>
      </c>
      <c r="AA3470" s="21" t="s">
        <v>2272</v>
      </c>
      <c r="AB3470" s="21"/>
      <c r="AC3470" s="198"/>
    </row>
    <row r="3471" spans="1:29" ht="43.5" customHeight="1">
      <c r="A3471" s="151" t="str">
        <f>'Reported burning'!A3471</f>
        <v>378e</v>
      </c>
      <c r="B3471" s="151" t="str">
        <f>'Reported burning'!B3471</f>
        <v>378e.3</v>
      </c>
      <c r="C3471" s="151" t="str">
        <f>'Reported burning'!C3471</f>
        <v>Human, deliberate</v>
      </c>
      <c r="D3471" s="151" t="str">
        <f>'Reported burning'!D3471</f>
        <v>Crop residue burning</v>
      </c>
      <c r="E3471" s="151" t="str">
        <f>'Reported burning'!E3471</f>
        <v>All</v>
      </c>
      <c r="F3471" s="151" t="str">
        <f>'Reported burning'!F3471</f>
        <v>Cropland</v>
      </c>
      <c r="G3471" s="151" t="str">
        <f>'Reported burning'!G3471</f>
        <v>Cropland</v>
      </c>
      <c r="H3471" s="151" t="str">
        <f>'Reported burning'!H3471</f>
        <v>Presence</v>
      </c>
      <c r="I3471" s="5"/>
      <c r="J3471" s="21" t="s">
        <v>2272</v>
      </c>
      <c r="K3471" s="21" t="s">
        <v>2272</v>
      </c>
      <c r="L3471" s="21" t="s">
        <v>2272</v>
      </c>
      <c r="M3471" s="21" t="s">
        <v>2272</v>
      </c>
      <c r="N3471" s="21" t="s">
        <v>2272</v>
      </c>
      <c r="O3471" s="21" t="s">
        <v>2272</v>
      </c>
      <c r="P3471" s="21" t="s">
        <v>2272</v>
      </c>
      <c r="Q3471" s="21" t="s">
        <v>2272</v>
      </c>
      <c r="R3471" s="21" t="s">
        <v>2272</v>
      </c>
      <c r="S3471" s="21" t="s">
        <v>2272</v>
      </c>
      <c r="T3471" s="21" t="s">
        <v>2272</v>
      </c>
      <c r="U3471" s="21" t="s">
        <v>2272</v>
      </c>
      <c r="V3471" s="21" t="s">
        <v>2272</v>
      </c>
      <c r="W3471" s="21" t="s">
        <v>2272</v>
      </c>
      <c r="X3471" s="21" t="s">
        <v>2272</v>
      </c>
      <c r="Y3471" s="198" t="s">
        <v>402</v>
      </c>
      <c r="Z3471" s="198" t="s">
        <v>402</v>
      </c>
      <c r="AA3471" s="21" t="s">
        <v>2272</v>
      </c>
      <c r="AB3471" s="21"/>
      <c r="AC3471" s="198"/>
    </row>
    <row r="3472" spans="1:29" ht="43.5" customHeight="1">
      <c r="A3472" s="151" t="str">
        <f>'Reported burning'!A3472</f>
        <v>378e</v>
      </c>
      <c r="B3472" s="151" t="str">
        <f>'Reported burning'!B3472</f>
        <v>378e.4</v>
      </c>
      <c r="C3472" s="151" t="str">
        <f>'Reported burning'!C3472</f>
        <v>Human, deliberate</v>
      </c>
      <c r="D3472" s="151" t="str">
        <f>'Reported burning'!D3472</f>
        <v>Crop residue burning</v>
      </c>
      <c r="E3472" s="151" t="str">
        <f>'Reported burning'!E3472</f>
        <v>All</v>
      </c>
      <c r="F3472" s="151" t="str">
        <f>'Reported burning'!F3472</f>
        <v>Cropland</v>
      </c>
      <c r="G3472" s="151" t="str">
        <f>'Reported burning'!G3472</f>
        <v>Cropland</v>
      </c>
      <c r="H3472" s="151" t="str">
        <f>'Reported burning'!H3472</f>
        <v>Presence</v>
      </c>
      <c r="I3472" s="5"/>
      <c r="J3472" s="21" t="s">
        <v>2272</v>
      </c>
      <c r="K3472" s="21" t="s">
        <v>2272</v>
      </c>
      <c r="L3472" s="21" t="s">
        <v>2272</v>
      </c>
      <c r="M3472" s="21" t="s">
        <v>2272</v>
      </c>
      <c r="N3472" s="21" t="s">
        <v>2272</v>
      </c>
      <c r="O3472" s="21" t="s">
        <v>2272</v>
      </c>
      <c r="P3472" s="21" t="s">
        <v>2272</v>
      </c>
      <c r="Q3472" s="21" t="s">
        <v>2272</v>
      </c>
      <c r="R3472" s="21" t="s">
        <v>2272</v>
      </c>
      <c r="S3472" s="21" t="s">
        <v>2272</v>
      </c>
      <c r="T3472" s="21" t="s">
        <v>2272</v>
      </c>
      <c r="U3472" s="21" t="s">
        <v>2272</v>
      </c>
      <c r="V3472" s="21" t="s">
        <v>2272</v>
      </c>
      <c r="W3472" s="21" t="s">
        <v>2272</v>
      </c>
      <c r="X3472" s="21" t="s">
        <v>2272</v>
      </c>
      <c r="Y3472" s="198" t="s">
        <v>403</v>
      </c>
      <c r="Z3472" s="198" t="s">
        <v>403</v>
      </c>
      <c r="AA3472" s="21" t="s">
        <v>2272</v>
      </c>
      <c r="AB3472" s="21"/>
      <c r="AC3472" s="198"/>
    </row>
    <row r="3473" spans="1:29" ht="43.5" customHeight="1">
      <c r="A3473" s="151" t="str">
        <f>'Reported burning'!A3473</f>
        <v>378e</v>
      </c>
      <c r="B3473" s="151" t="str">
        <f>'Reported burning'!B3473</f>
        <v>378e.5</v>
      </c>
      <c r="C3473" s="151" t="str">
        <f>'Reported burning'!C3473</f>
        <v>Human, deliberate</v>
      </c>
      <c r="D3473" s="151" t="str">
        <f>'Reported burning'!D3473</f>
        <v>Crop residue burning</v>
      </c>
      <c r="E3473" s="151" t="str">
        <f>'Reported burning'!E3473</f>
        <v>All</v>
      </c>
      <c r="F3473" s="151" t="str">
        <f>'Reported burning'!F3473</f>
        <v>Cropland</v>
      </c>
      <c r="G3473" s="151" t="str">
        <f>'Reported burning'!G3473</f>
        <v>Cropland</v>
      </c>
      <c r="H3473" s="151" t="str">
        <f>'Reported burning'!H3473</f>
        <v>Presence</v>
      </c>
      <c r="I3473" s="5"/>
      <c r="J3473" s="21" t="s">
        <v>2272</v>
      </c>
      <c r="K3473" s="21" t="s">
        <v>2272</v>
      </c>
      <c r="L3473" s="21" t="s">
        <v>2272</v>
      </c>
      <c r="M3473" s="21" t="s">
        <v>2272</v>
      </c>
      <c r="N3473" s="21" t="s">
        <v>2272</v>
      </c>
      <c r="O3473" s="21" t="s">
        <v>2272</v>
      </c>
      <c r="P3473" s="21" t="s">
        <v>2272</v>
      </c>
      <c r="Q3473" s="21" t="s">
        <v>2272</v>
      </c>
      <c r="R3473" s="21" t="s">
        <v>2272</v>
      </c>
      <c r="S3473" s="21" t="s">
        <v>2272</v>
      </c>
      <c r="T3473" s="21" t="s">
        <v>2272</v>
      </c>
      <c r="U3473" s="21" t="s">
        <v>2272</v>
      </c>
      <c r="V3473" s="21" t="s">
        <v>2272</v>
      </c>
      <c r="W3473" s="21" t="s">
        <v>2272</v>
      </c>
      <c r="X3473" s="21" t="s">
        <v>2272</v>
      </c>
      <c r="Y3473" s="198" t="s">
        <v>423</v>
      </c>
      <c r="Z3473" s="198" t="s">
        <v>423</v>
      </c>
      <c r="AA3473" s="21" t="s">
        <v>2272</v>
      </c>
      <c r="AB3473" s="21"/>
      <c r="AC3473" s="198"/>
    </row>
    <row r="3474" spans="1:29" ht="43.5" customHeight="1">
      <c r="A3474" s="151" t="str">
        <f>'Reported burning'!A3474</f>
        <v>378e</v>
      </c>
      <c r="B3474" s="151" t="str">
        <f>'Reported burning'!B3474</f>
        <v>378e.6</v>
      </c>
      <c r="C3474" s="151" t="str">
        <f>'Reported burning'!C3474</f>
        <v>Human, deliberate</v>
      </c>
      <c r="D3474" s="151" t="str">
        <f>'Reported burning'!D3474</f>
        <v>Crop residue burning</v>
      </c>
      <c r="E3474" s="151" t="str">
        <f>'Reported burning'!E3474</f>
        <v>All</v>
      </c>
      <c r="F3474" s="151" t="str">
        <f>'Reported burning'!F3474</f>
        <v>Cropland</v>
      </c>
      <c r="G3474" s="151" t="str">
        <f>'Reported burning'!G3474</f>
        <v>Cropland</v>
      </c>
      <c r="H3474" s="151" t="str">
        <f>'Reported burning'!H3474</f>
        <v>Presence</v>
      </c>
      <c r="I3474" s="5"/>
      <c r="J3474" s="21" t="s">
        <v>2272</v>
      </c>
      <c r="K3474" s="21" t="s">
        <v>2272</v>
      </c>
      <c r="L3474" s="21" t="s">
        <v>2272</v>
      </c>
      <c r="M3474" s="21" t="s">
        <v>2272</v>
      </c>
      <c r="N3474" s="21" t="s">
        <v>2272</v>
      </c>
      <c r="O3474" s="21" t="s">
        <v>2272</v>
      </c>
      <c r="P3474" s="21" t="s">
        <v>2272</v>
      </c>
      <c r="Q3474" s="21" t="s">
        <v>2272</v>
      </c>
      <c r="R3474" s="21" t="s">
        <v>2272</v>
      </c>
      <c r="S3474" s="21" t="s">
        <v>2272</v>
      </c>
      <c r="T3474" s="21" t="s">
        <v>2272</v>
      </c>
      <c r="U3474" s="21" t="s">
        <v>2272</v>
      </c>
      <c r="V3474" s="21" t="s">
        <v>2272</v>
      </c>
      <c r="W3474" s="21" t="s">
        <v>2272</v>
      </c>
      <c r="X3474" s="21" t="s">
        <v>2272</v>
      </c>
      <c r="Y3474" s="198" t="s">
        <v>67</v>
      </c>
      <c r="Z3474" s="198" t="s">
        <v>67</v>
      </c>
      <c r="AA3474" s="21" t="s">
        <v>2272</v>
      </c>
      <c r="AB3474" s="21"/>
      <c r="AC3474" s="198"/>
    </row>
    <row r="3475" spans="1:29" ht="43.5" customHeight="1">
      <c r="A3475" s="151" t="str">
        <f>'Reported burning'!A3475</f>
        <v>378e</v>
      </c>
      <c r="B3475" s="151" t="str">
        <f>'Reported burning'!B3475</f>
        <v>378e.7</v>
      </c>
      <c r="C3475" s="151" t="str">
        <f>'Reported burning'!C3475</f>
        <v>Human, deliberate</v>
      </c>
      <c r="D3475" s="151" t="str">
        <f>'Reported burning'!D3475</f>
        <v>Crop residue burning</v>
      </c>
      <c r="E3475" s="151" t="str">
        <f>'Reported burning'!E3475</f>
        <v>All</v>
      </c>
      <c r="F3475" s="151" t="str">
        <f>'Reported burning'!F3475</f>
        <v>Cropland</v>
      </c>
      <c r="G3475" s="151" t="str">
        <f>'Reported burning'!G3475</f>
        <v>Cropland</v>
      </c>
      <c r="H3475" s="151" t="str">
        <f>'Reported burning'!H3475</f>
        <v>Presence</v>
      </c>
      <c r="I3475" s="5"/>
      <c r="J3475" s="21" t="s">
        <v>2272</v>
      </c>
      <c r="K3475" s="21" t="s">
        <v>2272</v>
      </c>
      <c r="L3475" s="21" t="s">
        <v>2272</v>
      </c>
      <c r="M3475" s="21" t="s">
        <v>2272</v>
      </c>
      <c r="N3475" s="21" t="s">
        <v>2272</v>
      </c>
      <c r="O3475" s="21" t="s">
        <v>2272</v>
      </c>
      <c r="P3475" s="21" t="s">
        <v>2272</v>
      </c>
      <c r="Q3475" s="21" t="s">
        <v>2272</v>
      </c>
      <c r="R3475" s="21" t="s">
        <v>2272</v>
      </c>
      <c r="S3475" s="21" t="s">
        <v>2272</v>
      </c>
      <c r="T3475" s="21" t="s">
        <v>2272</v>
      </c>
      <c r="U3475" s="21" t="s">
        <v>2272</v>
      </c>
      <c r="V3475" s="21" t="s">
        <v>2272</v>
      </c>
      <c r="W3475" s="21" t="s">
        <v>2272</v>
      </c>
      <c r="X3475" s="21" t="s">
        <v>2272</v>
      </c>
      <c r="Y3475" s="198" t="s">
        <v>34</v>
      </c>
      <c r="Z3475" s="198" t="s">
        <v>34</v>
      </c>
      <c r="AA3475" s="21" t="s">
        <v>2272</v>
      </c>
      <c r="AB3475" s="21"/>
      <c r="AC3475" s="198"/>
    </row>
    <row r="3476" spans="1:29" ht="43.5" customHeight="1">
      <c r="A3476" s="151" t="str">
        <f>'Reported burning'!A3476</f>
        <v>378e</v>
      </c>
      <c r="B3476" s="151" t="str">
        <f>'Reported burning'!B3476</f>
        <v>378e.8</v>
      </c>
      <c r="C3476" s="151" t="str">
        <f>'Reported burning'!C3476</f>
        <v>Human, deliberate</v>
      </c>
      <c r="D3476" s="151" t="str">
        <f>'Reported burning'!D3476</f>
        <v>Crop residue burning</v>
      </c>
      <c r="E3476" s="151" t="str">
        <f>'Reported burning'!E3476</f>
        <v>All</v>
      </c>
      <c r="F3476" s="151" t="str">
        <f>'Reported burning'!F3476</f>
        <v>Cropland</v>
      </c>
      <c r="G3476" s="151" t="str">
        <f>'Reported burning'!G3476</f>
        <v>Cropland</v>
      </c>
      <c r="H3476" s="151" t="str">
        <f>'Reported burning'!H3476</f>
        <v>Presence</v>
      </c>
      <c r="I3476" s="5"/>
      <c r="J3476" s="21" t="s">
        <v>2272</v>
      </c>
      <c r="K3476" s="21" t="s">
        <v>2272</v>
      </c>
      <c r="L3476" s="21" t="s">
        <v>2272</v>
      </c>
      <c r="M3476" s="21" t="s">
        <v>2272</v>
      </c>
      <c r="N3476" s="21" t="s">
        <v>2272</v>
      </c>
      <c r="O3476" s="21" t="s">
        <v>2272</v>
      </c>
      <c r="P3476" s="21" t="s">
        <v>2272</v>
      </c>
      <c r="Q3476" s="21" t="s">
        <v>2272</v>
      </c>
      <c r="R3476" s="21" t="s">
        <v>2272</v>
      </c>
      <c r="S3476" s="21" t="s">
        <v>2272</v>
      </c>
      <c r="T3476" s="21" t="s">
        <v>2272</v>
      </c>
      <c r="U3476" s="21" t="s">
        <v>2272</v>
      </c>
      <c r="V3476" s="21" t="s">
        <v>2272</v>
      </c>
      <c r="W3476" s="21" t="s">
        <v>2272</v>
      </c>
      <c r="X3476" s="21" t="s">
        <v>2272</v>
      </c>
      <c r="Y3476" s="198" t="s">
        <v>125</v>
      </c>
      <c r="Z3476" s="198" t="s">
        <v>125</v>
      </c>
      <c r="AA3476" s="21" t="s">
        <v>2272</v>
      </c>
      <c r="AB3476" s="21"/>
      <c r="AC3476" s="198"/>
    </row>
    <row r="3477" spans="1:29" ht="43.5" customHeight="1">
      <c r="A3477" s="151" t="str">
        <f>'Reported burning'!A3477</f>
        <v>378e</v>
      </c>
      <c r="B3477" s="151" t="str">
        <f>'Reported burning'!B3477</f>
        <v>378e.9</v>
      </c>
      <c r="C3477" s="151" t="str">
        <f>'Reported burning'!C3477</f>
        <v>Human, deliberate</v>
      </c>
      <c r="D3477" s="151" t="str">
        <f>'Reported burning'!D3477</f>
        <v>Crop residue burning</v>
      </c>
      <c r="E3477" s="151" t="str">
        <f>'Reported burning'!E3477</f>
        <v>All</v>
      </c>
      <c r="F3477" s="151" t="str">
        <f>'Reported burning'!F3477</f>
        <v>Cropland</v>
      </c>
      <c r="G3477" s="151" t="str">
        <f>'Reported burning'!G3477</f>
        <v>Cropland</v>
      </c>
      <c r="H3477" s="151" t="str">
        <f>'Reported burning'!H3477</f>
        <v>Presence</v>
      </c>
      <c r="I3477" s="5"/>
      <c r="J3477" s="21" t="s">
        <v>2272</v>
      </c>
      <c r="K3477" s="21" t="s">
        <v>2272</v>
      </c>
      <c r="L3477" s="21" t="s">
        <v>2272</v>
      </c>
      <c r="M3477" s="21" t="s">
        <v>2272</v>
      </c>
      <c r="N3477" s="21" t="s">
        <v>2272</v>
      </c>
      <c r="O3477" s="21" t="s">
        <v>2272</v>
      </c>
      <c r="P3477" s="21" t="s">
        <v>2272</v>
      </c>
      <c r="Q3477" s="21" t="s">
        <v>2272</v>
      </c>
      <c r="R3477" s="21" t="s">
        <v>2272</v>
      </c>
      <c r="S3477" s="21" t="s">
        <v>2272</v>
      </c>
      <c r="T3477" s="21" t="s">
        <v>2272</v>
      </c>
      <c r="U3477" s="21" t="s">
        <v>2272</v>
      </c>
      <c r="V3477" s="21" t="s">
        <v>2272</v>
      </c>
      <c r="W3477" s="21" t="s">
        <v>2272</v>
      </c>
      <c r="X3477" s="21" t="s">
        <v>2272</v>
      </c>
      <c r="Y3477" s="198" t="s">
        <v>397</v>
      </c>
      <c r="Z3477" s="198" t="s">
        <v>397</v>
      </c>
      <c r="AA3477" s="21" t="s">
        <v>2272</v>
      </c>
      <c r="AB3477" s="21"/>
      <c r="AC3477" s="198"/>
    </row>
    <row r="3478" spans="1:29" ht="43.5" customHeight="1">
      <c r="A3478" s="151" t="str">
        <f>'Reported burning'!A3478</f>
        <v>378e</v>
      </c>
      <c r="B3478" s="151" t="str">
        <f>'Reported burning'!B3478</f>
        <v>378e.10</v>
      </c>
      <c r="C3478" s="151" t="str">
        <f>'Reported burning'!C3478</f>
        <v>Human, deliberate</v>
      </c>
      <c r="D3478" s="151" t="str">
        <f>'Reported burning'!D3478</f>
        <v>Crop residue burning</v>
      </c>
      <c r="E3478" s="151" t="str">
        <f>'Reported burning'!E3478</f>
        <v>All</v>
      </c>
      <c r="F3478" s="151" t="str">
        <f>'Reported burning'!F3478</f>
        <v>Cropland</v>
      </c>
      <c r="G3478" s="151" t="str">
        <f>'Reported burning'!G3478</f>
        <v>Cropland</v>
      </c>
      <c r="H3478" s="151" t="str">
        <f>'Reported burning'!H3478</f>
        <v>Presence</v>
      </c>
      <c r="I3478" s="5"/>
      <c r="J3478" s="21" t="s">
        <v>2272</v>
      </c>
      <c r="K3478" s="21" t="s">
        <v>2272</v>
      </c>
      <c r="L3478" s="21" t="s">
        <v>2272</v>
      </c>
      <c r="M3478" s="21" t="s">
        <v>2272</v>
      </c>
      <c r="N3478" s="21" t="s">
        <v>2272</v>
      </c>
      <c r="O3478" s="21" t="s">
        <v>2272</v>
      </c>
      <c r="P3478" s="21" t="s">
        <v>2272</v>
      </c>
      <c r="Q3478" s="21" t="s">
        <v>2272</v>
      </c>
      <c r="R3478" s="21" t="s">
        <v>2272</v>
      </c>
      <c r="S3478" s="21" t="s">
        <v>2272</v>
      </c>
      <c r="T3478" s="21" t="s">
        <v>2272</v>
      </c>
      <c r="U3478" s="21" t="s">
        <v>2272</v>
      </c>
      <c r="V3478" s="21" t="s">
        <v>2272</v>
      </c>
      <c r="W3478" s="21" t="s">
        <v>2272</v>
      </c>
      <c r="X3478" s="21" t="s">
        <v>2272</v>
      </c>
      <c r="Y3478" s="198" t="s">
        <v>186</v>
      </c>
      <c r="Z3478" s="198" t="s">
        <v>186</v>
      </c>
      <c r="AA3478" s="21" t="s">
        <v>2272</v>
      </c>
      <c r="AB3478" s="198"/>
      <c r="AC3478" s="198"/>
    </row>
    <row r="3479" spans="1:29" ht="43.5" customHeight="1">
      <c r="A3479" s="151" t="str">
        <f>'Reported burning'!A3479</f>
        <v>378e</v>
      </c>
      <c r="B3479" s="151" t="str">
        <f>'Reported burning'!B3479</f>
        <v>378e.11</v>
      </c>
      <c r="C3479" s="151" t="str">
        <f>'Reported burning'!C3479</f>
        <v>Human, deliberate</v>
      </c>
      <c r="D3479" s="151" t="str">
        <f>'Reported burning'!D3479</f>
        <v>Crop residue burning</v>
      </c>
      <c r="E3479" s="151" t="str">
        <f>'Reported burning'!E3479</f>
        <v>All</v>
      </c>
      <c r="F3479" s="151" t="str">
        <f>'Reported burning'!F3479</f>
        <v>Cropland</v>
      </c>
      <c r="G3479" s="151" t="str">
        <f>'Reported burning'!G3479</f>
        <v>Cropland</v>
      </c>
      <c r="H3479" s="151" t="str">
        <f>'Reported burning'!H3479</f>
        <v>Presence</v>
      </c>
      <c r="I3479" s="5"/>
      <c r="J3479" s="21" t="s">
        <v>2272</v>
      </c>
      <c r="K3479" s="21" t="s">
        <v>2272</v>
      </c>
      <c r="L3479" s="21" t="s">
        <v>2272</v>
      </c>
      <c r="M3479" s="21" t="s">
        <v>2272</v>
      </c>
      <c r="N3479" s="21" t="s">
        <v>2272</v>
      </c>
      <c r="O3479" s="21" t="s">
        <v>2272</v>
      </c>
      <c r="P3479" s="21" t="s">
        <v>2272</v>
      </c>
      <c r="Q3479" s="21" t="s">
        <v>2272</v>
      </c>
      <c r="R3479" s="21" t="s">
        <v>2272</v>
      </c>
      <c r="S3479" s="21" t="s">
        <v>2272</v>
      </c>
      <c r="T3479" s="21" t="s">
        <v>2272</v>
      </c>
      <c r="U3479" s="21" t="s">
        <v>2272</v>
      </c>
      <c r="V3479" s="21" t="s">
        <v>2272</v>
      </c>
      <c r="W3479" s="21" t="s">
        <v>2272</v>
      </c>
      <c r="X3479" s="21" t="s">
        <v>2272</v>
      </c>
      <c r="Y3479" s="198" t="s">
        <v>187</v>
      </c>
      <c r="Z3479" s="198" t="s">
        <v>187</v>
      </c>
      <c r="AA3479" s="21" t="s">
        <v>2272</v>
      </c>
      <c r="AB3479" s="198"/>
      <c r="AC3479" s="198"/>
    </row>
    <row r="3480" spans="1:29" ht="43.5" customHeight="1">
      <c r="A3480" s="151" t="str">
        <f>'Reported burning'!A3480</f>
        <v>378e</v>
      </c>
      <c r="B3480" s="151" t="str">
        <f>'Reported burning'!B3480</f>
        <v>378e.12</v>
      </c>
      <c r="C3480" s="151" t="str">
        <f>'Reported burning'!C3480</f>
        <v>Human, deliberate</v>
      </c>
      <c r="D3480" s="151" t="str">
        <f>'Reported burning'!D3480</f>
        <v>Crop residue burning</v>
      </c>
      <c r="E3480" s="151" t="str">
        <f>'Reported burning'!E3480</f>
        <v>All</v>
      </c>
      <c r="F3480" s="151" t="str">
        <f>'Reported burning'!F3480</f>
        <v>Cropland</v>
      </c>
      <c r="G3480" s="151" t="str">
        <f>'Reported burning'!G3480</f>
        <v>Cropland</v>
      </c>
      <c r="H3480" s="151" t="str">
        <f>'Reported burning'!H3480</f>
        <v>Presence</v>
      </c>
      <c r="I3480" s="5"/>
      <c r="J3480" s="21" t="s">
        <v>2272</v>
      </c>
      <c r="K3480" s="21" t="s">
        <v>2272</v>
      </c>
      <c r="L3480" s="21" t="s">
        <v>2272</v>
      </c>
      <c r="M3480" s="21" t="s">
        <v>2272</v>
      </c>
      <c r="N3480" s="21" t="s">
        <v>2272</v>
      </c>
      <c r="O3480" s="21" t="s">
        <v>2272</v>
      </c>
      <c r="P3480" s="21" t="s">
        <v>2272</v>
      </c>
      <c r="Q3480" s="21" t="s">
        <v>2272</v>
      </c>
      <c r="R3480" s="21" t="s">
        <v>2272</v>
      </c>
      <c r="S3480" s="21" t="s">
        <v>2272</v>
      </c>
      <c r="T3480" s="21" t="s">
        <v>2272</v>
      </c>
      <c r="U3480" s="21" t="s">
        <v>2272</v>
      </c>
      <c r="V3480" s="21" t="s">
        <v>2272</v>
      </c>
      <c r="W3480" s="21" t="s">
        <v>2272</v>
      </c>
      <c r="X3480" s="21" t="s">
        <v>2272</v>
      </c>
      <c r="Y3480" s="198" t="s">
        <v>37</v>
      </c>
      <c r="Z3480" s="198" t="s">
        <v>37</v>
      </c>
      <c r="AA3480" s="21" t="s">
        <v>2272</v>
      </c>
      <c r="AB3480" s="198"/>
      <c r="AC3480" s="198"/>
    </row>
    <row r="3481" spans="1:29" ht="43.5" customHeight="1">
      <c r="A3481" s="151" t="str">
        <f>'Reported burning'!A3481</f>
        <v>378f</v>
      </c>
      <c r="B3481" s="151" t="str">
        <f>'Reported burning'!B3481</f>
        <v>378f.1</v>
      </c>
      <c r="C3481" s="151" t="str">
        <f>'Reported burning'!C3481</f>
        <v>Human, deliberate</v>
      </c>
      <c r="D3481" s="151" t="str">
        <f>'Reported burning'!D3481</f>
        <v>Crop residue burning</v>
      </c>
      <c r="E3481" s="151" t="str">
        <f>'Reported burning'!E3481</f>
        <v>All</v>
      </c>
      <c r="F3481" s="151" t="str">
        <f>'Reported burning'!F3481</f>
        <v>Cropland</v>
      </c>
      <c r="G3481" s="151" t="str">
        <f>'Reported burning'!G3481</f>
        <v>Cropland</v>
      </c>
      <c r="H3481" s="151" t="str">
        <f>'Reported burning'!H3481</f>
        <v>Presence</v>
      </c>
      <c r="I3481" s="5"/>
      <c r="J3481" s="21" t="s">
        <v>2272</v>
      </c>
      <c r="K3481" s="21" t="s">
        <v>2272</v>
      </c>
      <c r="L3481" s="21" t="s">
        <v>2272</v>
      </c>
      <c r="M3481" s="21" t="s">
        <v>2272</v>
      </c>
      <c r="N3481" s="21" t="s">
        <v>2272</v>
      </c>
      <c r="O3481" s="21" t="s">
        <v>2272</v>
      </c>
      <c r="P3481" s="21" t="s">
        <v>2272</v>
      </c>
      <c r="Q3481" s="21" t="s">
        <v>2272</v>
      </c>
      <c r="R3481" s="21" t="s">
        <v>2272</v>
      </c>
      <c r="S3481" s="21" t="s">
        <v>2272</v>
      </c>
      <c r="T3481" s="21" t="s">
        <v>2272</v>
      </c>
      <c r="U3481" s="21" t="s">
        <v>2272</v>
      </c>
      <c r="V3481" s="21" t="s">
        <v>2272</v>
      </c>
      <c r="W3481" s="21" t="s">
        <v>2272</v>
      </c>
      <c r="X3481" s="21" t="s">
        <v>2272</v>
      </c>
      <c r="Y3481" s="198" t="s">
        <v>84</v>
      </c>
      <c r="Z3481" s="198" t="s">
        <v>84</v>
      </c>
      <c r="AA3481" s="21" t="s">
        <v>2272</v>
      </c>
      <c r="AB3481" s="21"/>
      <c r="AC3481" s="198"/>
    </row>
    <row r="3482" spans="1:29" ht="43.5" customHeight="1">
      <c r="A3482" s="151" t="str">
        <f>'Reported burning'!A3482</f>
        <v>378f</v>
      </c>
      <c r="B3482" s="151" t="str">
        <f>'Reported burning'!B3482</f>
        <v>378f.2</v>
      </c>
      <c r="C3482" s="151" t="str">
        <f>'Reported burning'!C3482</f>
        <v>Human, deliberate</v>
      </c>
      <c r="D3482" s="151" t="str">
        <f>'Reported burning'!D3482</f>
        <v>Crop residue burning</v>
      </c>
      <c r="E3482" s="151" t="str">
        <f>'Reported burning'!E3482</f>
        <v>All</v>
      </c>
      <c r="F3482" s="151" t="str">
        <f>'Reported burning'!F3482</f>
        <v>Cropland</v>
      </c>
      <c r="G3482" s="151" t="str">
        <f>'Reported burning'!G3482</f>
        <v>Cropland</v>
      </c>
      <c r="H3482" s="151" t="str">
        <f>'Reported burning'!H3482</f>
        <v>Presence</v>
      </c>
      <c r="I3482" s="5"/>
      <c r="J3482" s="21" t="s">
        <v>2272</v>
      </c>
      <c r="K3482" s="21" t="s">
        <v>2272</v>
      </c>
      <c r="L3482" s="21" t="s">
        <v>2272</v>
      </c>
      <c r="M3482" s="21" t="s">
        <v>2272</v>
      </c>
      <c r="N3482" s="21" t="s">
        <v>2272</v>
      </c>
      <c r="O3482" s="21" t="s">
        <v>2272</v>
      </c>
      <c r="P3482" s="21" t="s">
        <v>2272</v>
      </c>
      <c r="Q3482" s="21" t="s">
        <v>2272</v>
      </c>
      <c r="R3482" s="21" t="s">
        <v>2272</v>
      </c>
      <c r="S3482" s="21" t="s">
        <v>2272</v>
      </c>
      <c r="T3482" s="21" t="s">
        <v>2272</v>
      </c>
      <c r="U3482" s="21" t="s">
        <v>2272</v>
      </c>
      <c r="V3482" s="21" t="s">
        <v>2272</v>
      </c>
      <c r="W3482" s="21" t="s">
        <v>2272</v>
      </c>
      <c r="X3482" s="21" t="s">
        <v>2272</v>
      </c>
      <c r="Y3482" s="198" t="s">
        <v>33</v>
      </c>
      <c r="Z3482" s="198" t="s">
        <v>33</v>
      </c>
      <c r="AA3482" s="21" t="s">
        <v>2272</v>
      </c>
      <c r="AB3482" s="21"/>
      <c r="AC3482" s="198"/>
    </row>
    <row r="3483" spans="1:29" ht="43.5" customHeight="1">
      <c r="A3483" s="151" t="str">
        <f>'Reported burning'!A3483</f>
        <v>378f</v>
      </c>
      <c r="B3483" s="151" t="str">
        <f>'Reported burning'!B3483</f>
        <v>378f.3</v>
      </c>
      <c r="C3483" s="151" t="str">
        <f>'Reported burning'!C3483</f>
        <v>Human, deliberate</v>
      </c>
      <c r="D3483" s="151" t="str">
        <f>'Reported burning'!D3483</f>
        <v>Crop residue burning</v>
      </c>
      <c r="E3483" s="151" t="str">
        <f>'Reported burning'!E3483</f>
        <v>All</v>
      </c>
      <c r="F3483" s="151" t="str">
        <f>'Reported burning'!F3483</f>
        <v>Cropland</v>
      </c>
      <c r="G3483" s="151" t="str">
        <f>'Reported burning'!G3483</f>
        <v>Cropland</v>
      </c>
      <c r="H3483" s="151" t="str">
        <f>'Reported burning'!H3483</f>
        <v>Presence</v>
      </c>
      <c r="I3483" s="5"/>
      <c r="J3483" s="21" t="s">
        <v>2272</v>
      </c>
      <c r="K3483" s="21" t="s">
        <v>2272</v>
      </c>
      <c r="L3483" s="21" t="s">
        <v>2272</v>
      </c>
      <c r="M3483" s="21" t="s">
        <v>2272</v>
      </c>
      <c r="N3483" s="21" t="s">
        <v>2272</v>
      </c>
      <c r="O3483" s="21" t="s">
        <v>2272</v>
      </c>
      <c r="P3483" s="21" t="s">
        <v>2272</v>
      </c>
      <c r="Q3483" s="21" t="s">
        <v>2272</v>
      </c>
      <c r="R3483" s="21" t="s">
        <v>2272</v>
      </c>
      <c r="S3483" s="21" t="s">
        <v>2272</v>
      </c>
      <c r="T3483" s="21" t="s">
        <v>2272</v>
      </c>
      <c r="U3483" s="21" t="s">
        <v>2272</v>
      </c>
      <c r="V3483" s="21" t="s">
        <v>2272</v>
      </c>
      <c r="W3483" s="21" t="s">
        <v>2272</v>
      </c>
      <c r="X3483" s="21" t="s">
        <v>2272</v>
      </c>
      <c r="Y3483" s="198" t="s">
        <v>402</v>
      </c>
      <c r="Z3483" s="198" t="s">
        <v>402</v>
      </c>
      <c r="AA3483" s="21" t="s">
        <v>2272</v>
      </c>
      <c r="AB3483" s="21"/>
      <c r="AC3483" s="198"/>
    </row>
    <row r="3484" spans="1:29" ht="43.5" customHeight="1">
      <c r="A3484" s="151" t="str">
        <f>'Reported burning'!A3484</f>
        <v>378f</v>
      </c>
      <c r="B3484" s="151" t="str">
        <f>'Reported burning'!B3484</f>
        <v>378f.4</v>
      </c>
      <c r="C3484" s="151" t="str">
        <f>'Reported burning'!C3484</f>
        <v>Human, deliberate</v>
      </c>
      <c r="D3484" s="151" t="str">
        <f>'Reported burning'!D3484</f>
        <v>Crop residue burning</v>
      </c>
      <c r="E3484" s="151" t="str">
        <f>'Reported burning'!E3484</f>
        <v>All</v>
      </c>
      <c r="F3484" s="151" t="str">
        <f>'Reported burning'!F3484</f>
        <v>Cropland</v>
      </c>
      <c r="G3484" s="151" t="str">
        <f>'Reported burning'!G3484</f>
        <v>Cropland</v>
      </c>
      <c r="H3484" s="151" t="str">
        <f>'Reported burning'!H3484</f>
        <v>Presence</v>
      </c>
      <c r="I3484" s="5"/>
      <c r="J3484" s="21" t="s">
        <v>2272</v>
      </c>
      <c r="K3484" s="21" t="s">
        <v>2272</v>
      </c>
      <c r="L3484" s="21" t="s">
        <v>2272</v>
      </c>
      <c r="M3484" s="21" t="s">
        <v>2272</v>
      </c>
      <c r="N3484" s="21" t="s">
        <v>2272</v>
      </c>
      <c r="O3484" s="21" t="s">
        <v>2272</v>
      </c>
      <c r="P3484" s="21" t="s">
        <v>2272</v>
      </c>
      <c r="Q3484" s="21" t="s">
        <v>2272</v>
      </c>
      <c r="R3484" s="21" t="s">
        <v>2272</v>
      </c>
      <c r="S3484" s="21" t="s">
        <v>2272</v>
      </c>
      <c r="T3484" s="21" t="s">
        <v>2272</v>
      </c>
      <c r="U3484" s="21" t="s">
        <v>2272</v>
      </c>
      <c r="V3484" s="21" t="s">
        <v>2272</v>
      </c>
      <c r="W3484" s="21" t="s">
        <v>2272</v>
      </c>
      <c r="X3484" s="21" t="s">
        <v>2272</v>
      </c>
      <c r="Y3484" s="198" t="s">
        <v>403</v>
      </c>
      <c r="Z3484" s="198" t="s">
        <v>403</v>
      </c>
      <c r="AA3484" s="21" t="s">
        <v>2272</v>
      </c>
      <c r="AB3484" s="21"/>
      <c r="AC3484" s="198"/>
    </row>
    <row r="3485" spans="1:29" ht="43.5" customHeight="1">
      <c r="A3485" s="151" t="str">
        <f>'Reported burning'!A3485</f>
        <v>378f</v>
      </c>
      <c r="B3485" s="151" t="str">
        <f>'Reported burning'!B3485</f>
        <v>378f.5</v>
      </c>
      <c r="C3485" s="151" t="str">
        <f>'Reported burning'!C3485</f>
        <v>Human, deliberate</v>
      </c>
      <c r="D3485" s="151" t="str">
        <f>'Reported burning'!D3485</f>
        <v>Crop residue burning</v>
      </c>
      <c r="E3485" s="151" t="str">
        <f>'Reported burning'!E3485</f>
        <v>All</v>
      </c>
      <c r="F3485" s="151" t="str">
        <f>'Reported burning'!F3485</f>
        <v>Cropland</v>
      </c>
      <c r="G3485" s="151" t="str">
        <f>'Reported burning'!G3485</f>
        <v>Cropland</v>
      </c>
      <c r="H3485" s="151" t="str">
        <f>'Reported burning'!H3485</f>
        <v>Presence</v>
      </c>
      <c r="I3485" s="5"/>
      <c r="J3485" s="21" t="s">
        <v>2272</v>
      </c>
      <c r="K3485" s="21" t="s">
        <v>2272</v>
      </c>
      <c r="L3485" s="21" t="s">
        <v>2272</v>
      </c>
      <c r="M3485" s="21" t="s">
        <v>2272</v>
      </c>
      <c r="N3485" s="21" t="s">
        <v>2272</v>
      </c>
      <c r="O3485" s="21" t="s">
        <v>2272</v>
      </c>
      <c r="P3485" s="21" t="s">
        <v>2272</v>
      </c>
      <c r="Q3485" s="21" t="s">
        <v>2272</v>
      </c>
      <c r="R3485" s="21" t="s">
        <v>2272</v>
      </c>
      <c r="S3485" s="21" t="s">
        <v>2272</v>
      </c>
      <c r="T3485" s="21" t="s">
        <v>2272</v>
      </c>
      <c r="U3485" s="21" t="s">
        <v>2272</v>
      </c>
      <c r="V3485" s="21" t="s">
        <v>2272</v>
      </c>
      <c r="W3485" s="21" t="s">
        <v>2272</v>
      </c>
      <c r="X3485" s="21" t="s">
        <v>2272</v>
      </c>
      <c r="Y3485" s="198" t="s">
        <v>423</v>
      </c>
      <c r="Z3485" s="198" t="s">
        <v>423</v>
      </c>
      <c r="AA3485" s="21" t="s">
        <v>2272</v>
      </c>
      <c r="AB3485" s="21"/>
      <c r="AC3485" s="198"/>
    </row>
    <row r="3486" spans="1:29" ht="43.5" customHeight="1">
      <c r="A3486" s="151" t="str">
        <f>'Reported burning'!A3486</f>
        <v>378f</v>
      </c>
      <c r="B3486" s="151" t="str">
        <f>'Reported burning'!B3486</f>
        <v>378f.6</v>
      </c>
      <c r="C3486" s="151" t="str">
        <f>'Reported burning'!C3486</f>
        <v>Human, deliberate</v>
      </c>
      <c r="D3486" s="151" t="str">
        <f>'Reported burning'!D3486</f>
        <v>Crop residue burning</v>
      </c>
      <c r="E3486" s="151" t="str">
        <f>'Reported burning'!E3486</f>
        <v>All</v>
      </c>
      <c r="F3486" s="151" t="str">
        <f>'Reported burning'!F3486</f>
        <v>Cropland</v>
      </c>
      <c r="G3486" s="151" t="str">
        <f>'Reported burning'!G3486</f>
        <v>Cropland</v>
      </c>
      <c r="H3486" s="151" t="str">
        <f>'Reported burning'!H3486</f>
        <v>Presence</v>
      </c>
      <c r="I3486" s="5"/>
      <c r="J3486" s="21" t="s">
        <v>2272</v>
      </c>
      <c r="K3486" s="21" t="s">
        <v>2272</v>
      </c>
      <c r="L3486" s="21" t="s">
        <v>2272</v>
      </c>
      <c r="M3486" s="21" t="s">
        <v>2272</v>
      </c>
      <c r="N3486" s="21" t="s">
        <v>2272</v>
      </c>
      <c r="O3486" s="21" t="s">
        <v>2272</v>
      </c>
      <c r="P3486" s="21" t="s">
        <v>2272</v>
      </c>
      <c r="Q3486" s="21" t="s">
        <v>2272</v>
      </c>
      <c r="R3486" s="21" t="s">
        <v>2272</v>
      </c>
      <c r="S3486" s="21" t="s">
        <v>2272</v>
      </c>
      <c r="T3486" s="21" t="s">
        <v>2272</v>
      </c>
      <c r="U3486" s="21" t="s">
        <v>2272</v>
      </c>
      <c r="V3486" s="21" t="s">
        <v>2272</v>
      </c>
      <c r="W3486" s="21" t="s">
        <v>2272</v>
      </c>
      <c r="X3486" s="21" t="s">
        <v>2272</v>
      </c>
      <c r="Y3486" s="198" t="s">
        <v>67</v>
      </c>
      <c r="Z3486" s="198" t="s">
        <v>67</v>
      </c>
      <c r="AA3486" s="21" t="s">
        <v>2272</v>
      </c>
      <c r="AB3486" s="21"/>
      <c r="AC3486" s="198"/>
    </row>
    <row r="3487" spans="1:29" ht="43.5" customHeight="1">
      <c r="A3487" s="151" t="str">
        <f>'Reported burning'!A3487</f>
        <v>378f</v>
      </c>
      <c r="B3487" s="151" t="str">
        <f>'Reported burning'!B3487</f>
        <v>378f.7</v>
      </c>
      <c r="C3487" s="151" t="str">
        <f>'Reported burning'!C3487</f>
        <v>Human, deliberate</v>
      </c>
      <c r="D3487" s="151" t="str">
        <f>'Reported burning'!D3487</f>
        <v>Crop residue burning</v>
      </c>
      <c r="E3487" s="151" t="str">
        <f>'Reported burning'!E3487</f>
        <v>All</v>
      </c>
      <c r="F3487" s="151" t="str">
        <f>'Reported burning'!F3487</f>
        <v>Cropland</v>
      </c>
      <c r="G3487" s="151" t="str">
        <f>'Reported burning'!G3487</f>
        <v>Cropland</v>
      </c>
      <c r="H3487" s="151" t="str">
        <f>'Reported burning'!H3487</f>
        <v>Presence</v>
      </c>
      <c r="I3487" s="5"/>
      <c r="J3487" s="21" t="s">
        <v>2272</v>
      </c>
      <c r="K3487" s="21" t="s">
        <v>2272</v>
      </c>
      <c r="L3487" s="21" t="s">
        <v>2272</v>
      </c>
      <c r="M3487" s="21" t="s">
        <v>2272</v>
      </c>
      <c r="N3487" s="21" t="s">
        <v>2272</v>
      </c>
      <c r="O3487" s="21" t="s">
        <v>2272</v>
      </c>
      <c r="P3487" s="21" t="s">
        <v>2272</v>
      </c>
      <c r="Q3487" s="21" t="s">
        <v>2272</v>
      </c>
      <c r="R3487" s="21" t="s">
        <v>2272</v>
      </c>
      <c r="S3487" s="21" t="s">
        <v>2272</v>
      </c>
      <c r="T3487" s="21" t="s">
        <v>2272</v>
      </c>
      <c r="U3487" s="21" t="s">
        <v>2272</v>
      </c>
      <c r="V3487" s="21" t="s">
        <v>2272</v>
      </c>
      <c r="W3487" s="21" t="s">
        <v>2272</v>
      </c>
      <c r="X3487" s="21" t="s">
        <v>2272</v>
      </c>
      <c r="Y3487" s="198" t="s">
        <v>34</v>
      </c>
      <c r="Z3487" s="198" t="s">
        <v>34</v>
      </c>
      <c r="AA3487" s="21" t="s">
        <v>2272</v>
      </c>
      <c r="AB3487" s="21"/>
      <c r="AC3487" s="198"/>
    </row>
    <row r="3488" spans="1:29" ht="43.5" customHeight="1">
      <c r="A3488" s="151" t="str">
        <f>'Reported burning'!A3488</f>
        <v>378f</v>
      </c>
      <c r="B3488" s="151" t="str">
        <f>'Reported burning'!B3488</f>
        <v>378f.8</v>
      </c>
      <c r="C3488" s="151" t="str">
        <f>'Reported burning'!C3488</f>
        <v>Human, deliberate</v>
      </c>
      <c r="D3488" s="151" t="str">
        <f>'Reported burning'!D3488</f>
        <v>Crop residue burning</v>
      </c>
      <c r="E3488" s="151" t="str">
        <f>'Reported burning'!E3488</f>
        <v>All</v>
      </c>
      <c r="F3488" s="151" t="str">
        <f>'Reported burning'!F3488</f>
        <v>Cropland</v>
      </c>
      <c r="G3488" s="151" t="str">
        <f>'Reported burning'!G3488</f>
        <v>Cropland</v>
      </c>
      <c r="H3488" s="151" t="str">
        <f>'Reported burning'!H3488</f>
        <v>Presence</v>
      </c>
      <c r="I3488" s="5"/>
      <c r="J3488" s="21" t="s">
        <v>2272</v>
      </c>
      <c r="K3488" s="21" t="s">
        <v>2272</v>
      </c>
      <c r="L3488" s="21" t="s">
        <v>2272</v>
      </c>
      <c r="M3488" s="21" t="s">
        <v>2272</v>
      </c>
      <c r="N3488" s="21" t="s">
        <v>2272</v>
      </c>
      <c r="O3488" s="21" t="s">
        <v>2272</v>
      </c>
      <c r="P3488" s="21" t="s">
        <v>2272</v>
      </c>
      <c r="Q3488" s="21" t="s">
        <v>2272</v>
      </c>
      <c r="R3488" s="21" t="s">
        <v>2272</v>
      </c>
      <c r="S3488" s="21" t="s">
        <v>2272</v>
      </c>
      <c r="T3488" s="21" t="s">
        <v>2272</v>
      </c>
      <c r="U3488" s="21" t="s">
        <v>2272</v>
      </c>
      <c r="V3488" s="21" t="s">
        <v>2272</v>
      </c>
      <c r="W3488" s="21" t="s">
        <v>2272</v>
      </c>
      <c r="X3488" s="21" t="s">
        <v>2272</v>
      </c>
      <c r="Y3488" s="198" t="s">
        <v>125</v>
      </c>
      <c r="Z3488" s="198" t="s">
        <v>125</v>
      </c>
      <c r="AA3488" s="21" t="s">
        <v>2272</v>
      </c>
      <c r="AB3488" s="21"/>
      <c r="AC3488" s="198"/>
    </row>
    <row r="3489" spans="1:29" ht="43.5" customHeight="1">
      <c r="A3489" s="151" t="str">
        <f>'Reported burning'!A3489</f>
        <v>378f</v>
      </c>
      <c r="B3489" s="151" t="str">
        <f>'Reported burning'!B3489</f>
        <v>378f.9</v>
      </c>
      <c r="C3489" s="151" t="str">
        <f>'Reported burning'!C3489</f>
        <v>Human, deliberate</v>
      </c>
      <c r="D3489" s="151" t="str">
        <f>'Reported burning'!D3489</f>
        <v>Crop residue burning</v>
      </c>
      <c r="E3489" s="151" t="str">
        <f>'Reported burning'!E3489</f>
        <v>All</v>
      </c>
      <c r="F3489" s="151" t="str">
        <f>'Reported burning'!F3489</f>
        <v>Cropland</v>
      </c>
      <c r="G3489" s="151" t="str">
        <f>'Reported burning'!G3489</f>
        <v>Cropland</v>
      </c>
      <c r="H3489" s="151" t="str">
        <f>'Reported burning'!H3489</f>
        <v>Presence</v>
      </c>
      <c r="I3489" s="5"/>
      <c r="J3489" s="21" t="s">
        <v>2272</v>
      </c>
      <c r="K3489" s="21" t="s">
        <v>2272</v>
      </c>
      <c r="L3489" s="21" t="s">
        <v>2272</v>
      </c>
      <c r="M3489" s="21" t="s">
        <v>2272</v>
      </c>
      <c r="N3489" s="21" t="s">
        <v>2272</v>
      </c>
      <c r="O3489" s="21" t="s">
        <v>2272</v>
      </c>
      <c r="P3489" s="21" t="s">
        <v>2272</v>
      </c>
      <c r="Q3489" s="21" t="s">
        <v>2272</v>
      </c>
      <c r="R3489" s="21" t="s">
        <v>2272</v>
      </c>
      <c r="S3489" s="21" t="s">
        <v>2272</v>
      </c>
      <c r="T3489" s="21" t="s">
        <v>2272</v>
      </c>
      <c r="U3489" s="21" t="s">
        <v>2272</v>
      </c>
      <c r="V3489" s="21" t="s">
        <v>2272</v>
      </c>
      <c r="W3489" s="21" t="s">
        <v>2272</v>
      </c>
      <c r="X3489" s="21" t="s">
        <v>2272</v>
      </c>
      <c r="Y3489" s="198" t="s">
        <v>397</v>
      </c>
      <c r="Z3489" s="198" t="s">
        <v>397</v>
      </c>
      <c r="AA3489" s="21" t="s">
        <v>2272</v>
      </c>
      <c r="AB3489" s="21"/>
      <c r="AC3489" s="198"/>
    </row>
    <row r="3490" spans="1:29" ht="43.5" customHeight="1">
      <c r="A3490" s="151" t="str">
        <f>'Reported burning'!A3490</f>
        <v>378f</v>
      </c>
      <c r="B3490" s="151" t="str">
        <f>'Reported burning'!B3490</f>
        <v>378f.10</v>
      </c>
      <c r="C3490" s="151" t="str">
        <f>'Reported burning'!C3490</f>
        <v>Human, deliberate</v>
      </c>
      <c r="D3490" s="151" t="str">
        <f>'Reported burning'!D3490</f>
        <v>Crop residue burning</v>
      </c>
      <c r="E3490" s="151" t="str">
        <f>'Reported burning'!E3490</f>
        <v>All</v>
      </c>
      <c r="F3490" s="151" t="str">
        <f>'Reported burning'!F3490</f>
        <v>Cropland</v>
      </c>
      <c r="G3490" s="151" t="str">
        <f>'Reported burning'!G3490</f>
        <v>Cropland</v>
      </c>
      <c r="H3490" s="151" t="str">
        <f>'Reported burning'!H3490</f>
        <v>Presence</v>
      </c>
      <c r="I3490" s="5"/>
      <c r="J3490" s="21" t="s">
        <v>2272</v>
      </c>
      <c r="K3490" s="21" t="s">
        <v>2272</v>
      </c>
      <c r="L3490" s="21" t="s">
        <v>2272</v>
      </c>
      <c r="M3490" s="21" t="s">
        <v>2272</v>
      </c>
      <c r="N3490" s="21" t="s">
        <v>2272</v>
      </c>
      <c r="O3490" s="21" t="s">
        <v>2272</v>
      </c>
      <c r="P3490" s="21" t="s">
        <v>2272</v>
      </c>
      <c r="Q3490" s="21" t="s">
        <v>2272</v>
      </c>
      <c r="R3490" s="21" t="s">
        <v>2272</v>
      </c>
      <c r="S3490" s="21" t="s">
        <v>2272</v>
      </c>
      <c r="T3490" s="21" t="s">
        <v>2272</v>
      </c>
      <c r="U3490" s="21" t="s">
        <v>2272</v>
      </c>
      <c r="V3490" s="21" t="s">
        <v>2272</v>
      </c>
      <c r="W3490" s="21" t="s">
        <v>2272</v>
      </c>
      <c r="X3490" s="21" t="s">
        <v>2272</v>
      </c>
      <c r="Y3490" s="198" t="s">
        <v>186</v>
      </c>
      <c r="Z3490" s="198" t="s">
        <v>186</v>
      </c>
      <c r="AA3490" s="21" t="s">
        <v>2272</v>
      </c>
      <c r="AB3490" s="198"/>
      <c r="AC3490" s="198"/>
    </row>
    <row r="3491" spans="1:29" ht="43.5" customHeight="1">
      <c r="A3491" s="151" t="str">
        <f>'Reported burning'!A3491</f>
        <v>378f</v>
      </c>
      <c r="B3491" s="151" t="str">
        <f>'Reported burning'!B3491</f>
        <v>378f.11</v>
      </c>
      <c r="C3491" s="151" t="str">
        <f>'Reported burning'!C3491</f>
        <v>Human, deliberate</v>
      </c>
      <c r="D3491" s="151" t="str">
        <f>'Reported burning'!D3491</f>
        <v>Crop residue burning</v>
      </c>
      <c r="E3491" s="151" t="str">
        <f>'Reported burning'!E3491</f>
        <v>All</v>
      </c>
      <c r="F3491" s="151" t="str">
        <f>'Reported burning'!F3491</f>
        <v>Cropland</v>
      </c>
      <c r="G3491" s="151" t="str">
        <f>'Reported burning'!G3491</f>
        <v>Cropland</v>
      </c>
      <c r="H3491" s="151" t="str">
        <f>'Reported burning'!H3491</f>
        <v>Presence</v>
      </c>
      <c r="I3491" s="5"/>
      <c r="J3491" s="21" t="s">
        <v>2272</v>
      </c>
      <c r="K3491" s="21" t="s">
        <v>2272</v>
      </c>
      <c r="L3491" s="21" t="s">
        <v>2272</v>
      </c>
      <c r="M3491" s="21" t="s">
        <v>2272</v>
      </c>
      <c r="N3491" s="21" t="s">
        <v>2272</v>
      </c>
      <c r="O3491" s="21" t="s">
        <v>2272</v>
      </c>
      <c r="P3491" s="21" t="s">
        <v>2272</v>
      </c>
      <c r="Q3491" s="21" t="s">
        <v>2272</v>
      </c>
      <c r="R3491" s="21" t="s">
        <v>2272</v>
      </c>
      <c r="S3491" s="21" t="s">
        <v>2272</v>
      </c>
      <c r="T3491" s="21" t="s">
        <v>2272</v>
      </c>
      <c r="U3491" s="21" t="s">
        <v>2272</v>
      </c>
      <c r="V3491" s="21" t="s">
        <v>2272</v>
      </c>
      <c r="W3491" s="21" t="s">
        <v>2272</v>
      </c>
      <c r="X3491" s="21" t="s">
        <v>2272</v>
      </c>
      <c r="Y3491" s="198" t="s">
        <v>187</v>
      </c>
      <c r="Z3491" s="198" t="s">
        <v>187</v>
      </c>
      <c r="AA3491" s="21" t="s">
        <v>2272</v>
      </c>
      <c r="AB3491" s="198"/>
      <c r="AC3491" s="198"/>
    </row>
    <row r="3492" spans="1:29" ht="43.5" customHeight="1">
      <c r="A3492" s="151" t="str">
        <f>'Reported burning'!A3492</f>
        <v>378f</v>
      </c>
      <c r="B3492" s="151" t="str">
        <f>'Reported burning'!B3492</f>
        <v>378f.12</v>
      </c>
      <c r="C3492" s="151" t="str">
        <f>'Reported burning'!C3492</f>
        <v>Human, deliberate</v>
      </c>
      <c r="D3492" s="151" t="str">
        <f>'Reported burning'!D3492</f>
        <v>Crop residue burning</v>
      </c>
      <c r="E3492" s="151" t="str">
        <f>'Reported burning'!E3492</f>
        <v>All</v>
      </c>
      <c r="F3492" s="151" t="str">
        <f>'Reported burning'!F3492</f>
        <v>Cropland</v>
      </c>
      <c r="G3492" s="151" t="str">
        <f>'Reported burning'!G3492</f>
        <v>Cropland</v>
      </c>
      <c r="H3492" s="151" t="str">
        <f>'Reported burning'!H3492</f>
        <v>Presence</v>
      </c>
      <c r="I3492" s="5"/>
      <c r="J3492" s="21" t="s">
        <v>2272</v>
      </c>
      <c r="K3492" s="21" t="s">
        <v>2272</v>
      </c>
      <c r="L3492" s="21" t="s">
        <v>2272</v>
      </c>
      <c r="M3492" s="21" t="s">
        <v>2272</v>
      </c>
      <c r="N3492" s="21" t="s">
        <v>2272</v>
      </c>
      <c r="O3492" s="21" t="s">
        <v>2272</v>
      </c>
      <c r="P3492" s="21" t="s">
        <v>2272</v>
      </c>
      <c r="Q3492" s="21" t="s">
        <v>2272</v>
      </c>
      <c r="R3492" s="21" t="s">
        <v>2272</v>
      </c>
      <c r="S3492" s="21" t="s">
        <v>2272</v>
      </c>
      <c r="T3492" s="21" t="s">
        <v>2272</v>
      </c>
      <c r="U3492" s="21" t="s">
        <v>2272</v>
      </c>
      <c r="V3492" s="21" t="s">
        <v>2272</v>
      </c>
      <c r="W3492" s="21" t="s">
        <v>2272</v>
      </c>
      <c r="X3492" s="21" t="s">
        <v>2272</v>
      </c>
      <c r="Y3492" s="198" t="s">
        <v>37</v>
      </c>
      <c r="Z3492" s="198" t="s">
        <v>37</v>
      </c>
      <c r="AA3492" s="21" t="s">
        <v>2272</v>
      </c>
      <c r="AB3492" s="198"/>
      <c r="AC3492" s="198"/>
    </row>
    <row r="3493" spans="1:29" ht="43.5" customHeight="1">
      <c r="A3493" s="151" t="str">
        <f>'Reported burning'!A3493</f>
        <v>378g</v>
      </c>
      <c r="B3493" s="151" t="str">
        <f>'Reported burning'!B3493</f>
        <v>378g.1</v>
      </c>
      <c r="C3493" s="151" t="str">
        <f>'Reported burning'!C3493</f>
        <v>Human, deliberate</v>
      </c>
      <c r="D3493" s="151" t="str">
        <f>'Reported burning'!D3493</f>
        <v>Crop residue burning</v>
      </c>
      <c r="E3493" s="151" t="str">
        <f>'Reported burning'!E3493</f>
        <v>All</v>
      </c>
      <c r="F3493" s="151" t="str">
        <f>'Reported burning'!F3493</f>
        <v>Cropland</v>
      </c>
      <c r="G3493" s="151" t="str">
        <f>'Reported burning'!G3493</f>
        <v>Cropland</v>
      </c>
      <c r="H3493" s="151" t="str">
        <f>'Reported burning'!H3493</f>
        <v>Presence</v>
      </c>
      <c r="I3493" s="5"/>
      <c r="J3493" s="21" t="s">
        <v>2272</v>
      </c>
      <c r="K3493" s="21" t="s">
        <v>2272</v>
      </c>
      <c r="L3493" s="21" t="s">
        <v>2272</v>
      </c>
      <c r="M3493" s="21" t="s">
        <v>2272</v>
      </c>
      <c r="N3493" s="21" t="s">
        <v>2272</v>
      </c>
      <c r="O3493" s="21" t="s">
        <v>2272</v>
      </c>
      <c r="P3493" s="21" t="s">
        <v>2272</v>
      </c>
      <c r="Q3493" s="21" t="s">
        <v>2272</v>
      </c>
      <c r="R3493" s="21" t="s">
        <v>2272</v>
      </c>
      <c r="S3493" s="21" t="s">
        <v>2272</v>
      </c>
      <c r="T3493" s="21" t="s">
        <v>2272</v>
      </c>
      <c r="U3493" s="21" t="s">
        <v>2272</v>
      </c>
      <c r="V3493" s="21" t="s">
        <v>2272</v>
      </c>
      <c r="W3493" s="21" t="s">
        <v>2272</v>
      </c>
      <c r="X3493" s="21" t="s">
        <v>2272</v>
      </c>
      <c r="Y3493" s="198" t="s">
        <v>84</v>
      </c>
      <c r="Z3493" s="198" t="s">
        <v>84</v>
      </c>
      <c r="AA3493" s="21" t="s">
        <v>2272</v>
      </c>
      <c r="AB3493" s="21"/>
      <c r="AC3493" s="198"/>
    </row>
    <row r="3494" spans="1:29" ht="43.5" customHeight="1">
      <c r="A3494" s="151" t="str">
        <f>'Reported burning'!A3494</f>
        <v>378g</v>
      </c>
      <c r="B3494" s="151" t="str">
        <f>'Reported burning'!B3494</f>
        <v>378g.2</v>
      </c>
      <c r="C3494" s="151" t="str">
        <f>'Reported burning'!C3494</f>
        <v>Human, deliberate</v>
      </c>
      <c r="D3494" s="151" t="str">
        <f>'Reported burning'!D3494</f>
        <v>Crop residue burning</v>
      </c>
      <c r="E3494" s="151" t="str">
        <f>'Reported burning'!E3494</f>
        <v>All</v>
      </c>
      <c r="F3494" s="151" t="str">
        <f>'Reported burning'!F3494</f>
        <v>Cropland</v>
      </c>
      <c r="G3494" s="151" t="str">
        <f>'Reported burning'!G3494</f>
        <v>Cropland</v>
      </c>
      <c r="H3494" s="151" t="str">
        <f>'Reported burning'!H3494</f>
        <v>Presence</v>
      </c>
      <c r="I3494" s="5"/>
      <c r="J3494" s="21" t="s">
        <v>2272</v>
      </c>
      <c r="K3494" s="21" t="s">
        <v>2272</v>
      </c>
      <c r="L3494" s="21" t="s">
        <v>2272</v>
      </c>
      <c r="M3494" s="21" t="s">
        <v>2272</v>
      </c>
      <c r="N3494" s="21" t="s">
        <v>2272</v>
      </c>
      <c r="O3494" s="21" t="s">
        <v>2272</v>
      </c>
      <c r="P3494" s="21" t="s">
        <v>2272</v>
      </c>
      <c r="Q3494" s="21" t="s">
        <v>2272</v>
      </c>
      <c r="R3494" s="21" t="s">
        <v>2272</v>
      </c>
      <c r="S3494" s="21" t="s">
        <v>2272</v>
      </c>
      <c r="T3494" s="21" t="s">
        <v>2272</v>
      </c>
      <c r="U3494" s="21" t="s">
        <v>2272</v>
      </c>
      <c r="V3494" s="21" t="s">
        <v>2272</v>
      </c>
      <c r="W3494" s="21" t="s">
        <v>2272</v>
      </c>
      <c r="X3494" s="21" t="s">
        <v>2272</v>
      </c>
      <c r="Y3494" s="198" t="s">
        <v>33</v>
      </c>
      <c r="Z3494" s="198" t="s">
        <v>33</v>
      </c>
      <c r="AA3494" s="21" t="s">
        <v>2272</v>
      </c>
      <c r="AB3494" s="21"/>
      <c r="AC3494" s="198"/>
    </row>
    <row r="3495" spans="1:29" ht="43.5" customHeight="1">
      <c r="A3495" s="151" t="str">
        <f>'Reported burning'!A3495</f>
        <v>378g</v>
      </c>
      <c r="B3495" s="151" t="str">
        <f>'Reported burning'!B3495</f>
        <v>378g.3</v>
      </c>
      <c r="C3495" s="151" t="str">
        <f>'Reported burning'!C3495</f>
        <v>Human, deliberate</v>
      </c>
      <c r="D3495" s="151" t="str">
        <f>'Reported burning'!D3495</f>
        <v>Crop residue burning</v>
      </c>
      <c r="E3495" s="151" t="str">
        <f>'Reported burning'!E3495</f>
        <v>All</v>
      </c>
      <c r="F3495" s="151" t="str">
        <f>'Reported burning'!F3495</f>
        <v>Cropland</v>
      </c>
      <c r="G3495" s="151" t="str">
        <f>'Reported burning'!G3495</f>
        <v>Cropland</v>
      </c>
      <c r="H3495" s="151" t="str">
        <f>'Reported burning'!H3495</f>
        <v>Presence</v>
      </c>
      <c r="I3495" s="5"/>
      <c r="J3495" s="21" t="s">
        <v>2272</v>
      </c>
      <c r="K3495" s="21" t="s">
        <v>2272</v>
      </c>
      <c r="L3495" s="21" t="s">
        <v>2272</v>
      </c>
      <c r="M3495" s="21" t="s">
        <v>2272</v>
      </c>
      <c r="N3495" s="21" t="s">
        <v>2272</v>
      </c>
      <c r="O3495" s="21" t="s">
        <v>2272</v>
      </c>
      <c r="P3495" s="21" t="s">
        <v>2272</v>
      </c>
      <c r="Q3495" s="21" t="s">
        <v>2272</v>
      </c>
      <c r="R3495" s="21" t="s">
        <v>2272</v>
      </c>
      <c r="S3495" s="21" t="s">
        <v>2272</v>
      </c>
      <c r="T3495" s="21" t="s">
        <v>2272</v>
      </c>
      <c r="U3495" s="21" t="s">
        <v>2272</v>
      </c>
      <c r="V3495" s="21" t="s">
        <v>2272</v>
      </c>
      <c r="W3495" s="21" t="s">
        <v>2272</v>
      </c>
      <c r="X3495" s="21" t="s">
        <v>2272</v>
      </c>
      <c r="Y3495" s="198" t="s">
        <v>402</v>
      </c>
      <c r="Z3495" s="198" t="s">
        <v>402</v>
      </c>
      <c r="AA3495" s="21" t="s">
        <v>2272</v>
      </c>
      <c r="AB3495" s="21"/>
      <c r="AC3495" s="198"/>
    </row>
    <row r="3496" spans="1:29" ht="43.5" customHeight="1">
      <c r="A3496" s="151" t="str">
        <f>'Reported burning'!A3496</f>
        <v>378g</v>
      </c>
      <c r="B3496" s="151" t="str">
        <f>'Reported burning'!B3496</f>
        <v>378g.4</v>
      </c>
      <c r="C3496" s="151" t="str">
        <f>'Reported burning'!C3496</f>
        <v>Human, deliberate</v>
      </c>
      <c r="D3496" s="151" t="str">
        <f>'Reported burning'!D3496</f>
        <v>Crop residue burning</v>
      </c>
      <c r="E3496" s="151" t="str">
        <f>'Reported burning'!E3496</f>
        <v>All</v>
      </c>
      <c r="F3496" s="151" t="str">
        <f>'Reported burning'!F3496</f>
        <v>Cropland</v>
      </c>
      <c r="G3496" s="151" t="str">
        <f>'Reported burning'!G3496</f>
        <v>Cropland</v>
      </c>
      <c r="H3496" s="151" t="str">
        <f>'Reported burning'!H3496</f>
        <v>Presence</v>
      </c>
      <c r="I3496" s="5"/>
      <c r="J3496" s="21" t="s">
        <v>2272</v>
      </c>
      <c r="K3496" s="21" t="s">
        <v>2272</v>
      </c>
      <c r="L3496" s="21" t="s">
        <v>2272</v>
      </c>
      <c r="M3496" s="21" t="s">
        <v>2272</v>
      </c>
      <c r="N3496" s="21" t="s">
        <v>2272</v>
      </c>
      <c r="O3496" s="21" t="s">
        <v>2272</v>
      </c>
      <c r="P3496" s="21" t="s">
        <v>2272</v>
      </c>
      <c r="Q3496" s="21" t="s">
        <v>2272</v>
      </c>
      <c r="R3496" s="21" t="s">
        <v>2272</v>
      </c>
      <c r="S3496" s="21" t="s">
        <v>2272</v>
      </c>
      <c r="T3496" s="21" t="s">
        <v>2272</v>
      </c>
      <c r="U3496" s="21" t="s">
        <v>2272</v>
      </c>
      <c r="V3496" s="21" t="s">
        <v>2272</v>
      </c>
      <c r="W3496" s="21" t="s">
        <v>2272</v>
      </c>
      <c r="X3496" s="21" t="s">
        <v>2272</v>
      </c>
      <c r="Y3496" s="198" t="s">
        <v>403</v>
      </c>
      <c r="Z3496" s="198" t="s">
        <v>403</v>
      </c>
      <c r="AA3496" s="21" t="s">
        <v>2272</v>
      </c>
      <c r="AB3496" s="21"/>
      <c r="AC3496" s="198"/>
    </row>
    <row r="3497" spans="1:29" ht="43.5" customHeight="1">
      <c r="A3497" s="151" t="str">
        <f>'Reported burning'!A3497</f>
        <v>378g</v>
      </c>
      <c r="B3497" s="151" t="str">
        <f>'Reported burning'!B3497</f>
        <v>378g.5</v>
      </c>
      <c r="C3497" s="151" t="str">
        <f>'Reported burning'!C3497</f>
        <v>Human, deliberate</v>
      </c>
      <c r="D3497" s="151" t="str">
        <f>'Reported burning'!D3497</f>
        <v>Crop residue burning</v>
      </c>
      <c r="E3497" s="151" t="str">
        <f>'Reported burning'!E3497</f>
        <v>All</v>
      </c>
      <c r="F3497" s="151" t="str">
        <f>'Reported burning'!F3497</f>
        <v>Cropland</v>
      </c>
      <c r="G3497" s="151" t="str">
        <f>'Reported burning'!G3497</f>
        <v>Cropland</v>
      </c>
      <c r="H3497" s="151" t="str">
        <f>'Reported burning'!H3497</f>
        <v>Presence</v>
      </c>
      <c r="I3497" s="5"/>
      <c r="J3497" s="21" t="s">
        <v>2272</v>
      </c>
      <c r="K3497" s="21" t="s">
        <v>2272</v>
      </c>
      <c r="L3497" s="21" t="s">
        <v>2272</v>
      </c>
      <c r="M3497" s="21" t="s">
        <v>2272</v>
      </c>
      <c r="N3497" s="21" t="s">
        <v>2272</v>
      </c>
      <c r="O3497" s="21" t="s">
        <v>2272</v>
      </c>
      <c r="P3497" s="21" t="s">
        <v>2272</v>
      </c>
      <c r="Q3497" s="21" t="s">
        <v>2272</v>
      </c>
      <c r="R3497" s="21" t="s">
        <v>2272</v>
      </c>
      <c r="S3497" s="21" t="s">
        <v>2272</v>
      </c>
      <c r="T3497" s="21" t="s">
        <v>2272</v>
      </c>
      <c r="U3497" s="21" t="s">
        <v>2272</v>
      </c>
      <c r="V3497" s="21" t="s">
        <v>2272</v>
      </c>
      <c r="W3497" s="21" t="s">
        <v>2272</v>
      </c>
      <c r="X3497" s="21" t="s">
        <v>2272</v>
      </c>
      <c r="Y3497" s="198" t="s">
        <v>423</v>
      </c>
      <c r="Z3497" s="198" t="s">
        <v>423</v>
      </c>
      <c r="AA3497" s="21" t="s">
        <v>2272</v>
      </c>
      <c r="AB3497" s="21"/>
      <c r="AC3497" s="198"/>
    </row>
    <row r="3498" spans="1:29" ht="43.5" customHeight="1">
      <c r="A3498" s="151" t="str">
        <f>'Reported burning'!A3498</f>
        <v>378g</v>
      </c>
      <c r="B3498" s="151" t="str">
        <f>'Reported burning'!B3498</f>
        <v>378g.6</v>
      </c>
      <c r="C3498" s="151" t="str">
        <f>'Reported burning'!C3498</f>
        <v>Human, deliberate</v>
      </c>
      <c r="D3498" s="151" t="str">
        <f>'Reported burning'!D3498</f>
        <v>Crop residue burning</v>
      </c>
      <c r="E3498" s="151" t="str">
        <f>'Reported burning'!E3498</f>
        <v>All</v>
      </c>
      <c r="F3498" s="151" t="str">
        <f>'Reported burning'!F3498</f>
        <v>Cropland</v>
      </c>
      <c r="G3498" s="151" t="str">
        <f>'Reported burning'!G3498</f>
        <v>Cropland</v>
      </c>
      <c r="H3498" s="151" t="str">
        <f>'Reported burning'!H3498</f>
        <v>Presence</v>
      </c>
      <c r="I3498" s="5"/>
      <c r="J3498" s="21" t="s">
        <v>2272</v>
      </c>
      <c r="K3498" s="21" t="s">
        <v>2272</v>
      </c>
      <c r="L3498" s="21" t="s">
        <v>2272</v>
      </c>
      <c r="M3498" s="21" t="s">
        <v>2272</v>
      </c>
      <c r="N3498" s="21" t="s">
        <v>2272</v>
      </c>
      <c r="O3498" s="21" t="s">
        <v>2272</v>
      </c>
      <c r="P3498" s="21" t="s">
        <v>2272</v>
      </c>
      <c r="Q3498" s="21" t="s">
        <v>2272</v>
      </c>
      <c r="R3498" s="21" t="s">
        <v>2272</v>
      </c>
      <c r="S3498" s="21" t="s">
        <v>2272</v>
      </c>
      <c r="T3498" s="21" t="s">
        <v>2272</v>
      </c>
      <c r="U3498" s="21" t="s">
        <v>2272</v>
      </c>
      <c r="V3498" s="21" t="s">
        <v>2272</v>
      </c>
      <c r="W3498" s="21" t="s">
        <v>2272</v>
      </c>
      <c r="X3498" s="21" t="s">
        <v>2272</v>
      </c>
      <c r="Y3498" s="198" t="s">
        <v>67</v>
      </c>
      <c r="Z3498" s="198" t="s">
        <v>67</v>
      </c>
      <c r="AA3498" s="21" t="s">
        <v>2272</v>
      </c>
      <c r="AB3498" s="21"/>
      <c r="AC3498" s="198"/>
    </row>
    <row r="3499" spans="1:29" ht="43.5" customHeight="1">
      <c r="A3499" s="151" t="str">
        <f>'Reported burning'!A3499</f>
        <v>378g</v>
      </c>
      <c r="B3499" s="151" t="str">
        <f>'Reported burning'!B3499</f>
        <v>378g.7</v>
      </c>
      <c r="C3499" s="151" t="str">
        <f>'Reported burning'!C3499</f>
        <v>Human, deliberate</v>
      </c>
      <c r="D3499" s="151" t="str">
        <f>'Reported burning'!D3499</f>
        <v>Crop residue burning</v>
      </c>
      <c r="E3499" s="151" t="str">
        <f>'Reported burning'!E3499</f>
        <v>All</v>
      </c>
      <c r="F3499" s="151" t="str">
        <f>'Reported burning'!F3499</f>
        <v>Cropland</v>
      </c>
      <c r="G3499" s="151" t="str">
        <f>'Reported burning'!G3499</f>
        <v>Cropland</v>
      </c>
      <c r="H3499" s="151" t="str">
        <f>'Reported burning'!H3499</f>
        <v>Presence</v>
      </c>
      <c r="I3499" s="5"/>
      <c r="J3499" s="21" t="s">
        <v>2272</v>
      </c>
      <c r="K3499" s="21" t="s">
        <v>2272</v>
      </c>
      <c r="L3499" s="21" t="s">
        <v>2272</v>
      </c>
      <c r="M3499" s="21" t="s">
        <v>2272</v>
      </c>
      <c r="N3499" s="21" t="s">
        <v>2272</v>
      </c>
      <c r="O3499" s="21" t="s">
        <v>2272</v>
      </c>
      <c r="P3499" s="21" t="s">
        <v>2272</v>
      </c>
      <c r="Q3499" s="21" t="s">
        <v>2272</v>
      </c>
      <c r="R3499" s="21" t="s">
        <v>2272</v>
      </c>
      <c r="S3499" s="21" t="s">
        <v>2272</v>
      </c>
      <c r="T3499" s="21" t="s">
        <v>2272</v>
      </c>
      <c r="U3499" s="21" t="s">
        <v>2272</v>
      </c>
      <c r="V3499" s="21" t="s">
        <v>2272</v>
      </c>
      <c r="W3499" s="21" t="s">
        <v>2272</v>
      </c>
      <c r="X3499" s="21" t="s">
        <v>2272</v>
      </c>
      <c r="Y3499" s="198" t="s">
        <v>34</v>
      </c>
      <c r="Z3499" s="198" t="s">
        <v>34</v>
      </c>
      <c r="AA3499" s="21" t="s">
        <v>2272</v>
      </c>
      <c r="AB3499" s="21"/>
      <c r="AC3499" s="198"/>
    </row>
    <row r="3500" spans="1:29" ht="43.5" customHeight="1">
      <c r="A3500" s="151" t="str">
        <f>'Reported burning'!A3500</f>
        <v>378g</v>
      </c>
      <c r="B3500" s="151" t="str">
        <f>'Reported burning'!B3500</f>
        <v>378g.8</v>
      </c>
      <c r="C3500" s="151" t="str">
        <f>'Reported burning'!C3500</f>
        <v>Human, deliberate</v>
      </c>
      <c r="D3500" s="151" t="str">
        <f>'Reported burning'!D3500</f>
        <v>Crop residue burning</v>
      </c>
      <c r="E3500" s="151" t="str">
        <f>'Reported burning'!E3500</f>
        <v>All</v>
      </c>
      <c r="F3500" s="151" t="str">
        <f>'Reported burning'!F3500</f>
        <v>Cropland</v>
      </c>
      <c r="G3500" s="151" t="str">
        <f>'Reported burning'!G3500</f>
        <v>Cropland</v>
      </c>
      <c r="H3500" s="151" t="str">
        <f>'Reported burning'!H3500</f>
        <v>Presence</v>
      </c>
      <c r="I3500" s="5"/>
      <c r="J3500" s="21" t="s">
        <v>2272</v>
      </c>
      <c r="K3500" s="21" t="s">
        <v>2272</v>
      </c>
      <c r="L3500" s="21" t="s">
        <v>2272</v>
      </c>
      <c r="M3500" s="21" t="s">
        <v>2272</v>
      </c>
      <c r="N3500" s="21" t="s">
        <v>2272</v>
      </c>
      <c r="O3500" s="21" t="s">
        <v>2272</v>
      </c>
      <c r="P3500" s="21" t="s">
        <v>2272</v>
      </c>
      <c r="Q3500" s="21" t="s">
        <v>2272</v>
      </c>
      <c r="R3500" s="21" t="s">
        <v>2272</v>
      </c>
      <c r="S3500" s="21" t="s">
        <v>2272</v>
      </c>
      <c r="T3500" s="21" t="s">
        <v>2272</v>
      </c>
      <c r="U3500" s="21" t="s">
        <v>2272</v>
      </c>
      <c r="V3500" s="21" t="s">
        <v>2272</v>
      </c>
      <c r="W3500" s="21" t="s">
        <v>2272</v>
      </c>
      <c r="X3500" s="21" t="s">
        <v>2272</v>
      </c>
      <c r="Y3500" s="198" t="s">
        <v>125</v>
      </c>
      <c r="Z3500" s="198" t="s">
        <v>125</v>
      </c>
      <c r="AA3500" s="21" t="s">
        <v>2272</v>
      </c>
      <c r="AB3500" s="21"/>
      <c r="AC3500" s="198"/>
    </row>
    <row r="3501" spans="1:29" ht="43.5" customHeight="1">
      <c r="A3501" s="151" t="str">
        <f>'Reported burning'!A3501</f>
        <v>378g</v>
      </c>
      <c r="B3501" s="151" t="str">
        <f>'Reported burning'!B3501</f>
        <v>378g.9</v>
      </c>
      <c r="C3501" s="151" t="str">
        <f>'Reported burning'!C3501</f>
        <v>Human, deliberate</v>
      </c>
      <c r="D3501" s="151" t="str">
        <f>'Reported burning'!D3501</f>
        <v>Crop residue burning</v>
      </c>
      <c r="E3501" s="151" t="str">
        <f>'Reported burning'!E3501</f>
        <v>All</v>
      </c>
      <c r="F3501" s="151" t="str">
        <f>'Reported burning'!F3501</f>
        <v>Cropland</v>
      </c>
      <c r="G3501" s="151" t="str">
        <f>'Reported burning'!G3501</f>
        <v>Cropland</v>
      </c>
      <c r="H3501" s="151" t="str">
        <f>'Reported burning'!H3501</f>
        <v>Presence</v>
      </c>
      <c r="I3501" s="5"/>
      <c r="J3501" s="21" t="s">
        <v>2272</v>
      </c>
      <c r="K3501" s="21" t="s">
        <v>2272</v>
      </c>
      <c r="L3501" s="21" t="s">
        <v>2272</v>
      </c>
      <c r="M3501" s="21" t="s">
        <v>2272</v>
      </c>
      <c r="N3501" s="21" t="s">
        <v>2272</v>
      </c>
      <c r="O3501" s="21" t="s">
        <v>2272</v>
      </c>
      <c r="P3501" s="21" t="s">
        <v>2272</v>
      </c>
      <c r="Q3501" s="21" t="s">
        <v>2272</v>
      </c>
      <c r="R3501" s="21" t="s">
        <v>2272</v>
      </c>
      <c r="S3501" s="21" t="s">
        <v>2272</v>
      </c>
      <c r="T3501" s="21" t="s">
        <v>2272</v>
      </c>
      <c r="U3501" s="21" t="s">
        <v>2272</v>
      </c>
      <c r="V3501" s="21" t="s">
        <v>2272</v>
      </c>
      <c r="W3501" s="21" t="s">
        <v>2272</v>
      </c>
      <c r="X3501" s="21" t="s">
        <v>2272</v>
      </c>
      <c r="Y3501" s="198" t="s">
        <v>397</v>
      </c>
      <c r="Z3501" s="198" t="s">
        <v>397</v>
      </c>
      <c r="AA3501" s="21" t="s">
        <v>2272</v>
      </c>
      <c r="AB3501" s="21"/>
      <c r="AC3501" s="198"/>
    </row>
    <row r="3502" spans="1:29" ht="43.5" customHeight="1">
      <c r="A3502" s="151" t="str">
        <f>'Reported burning'!A3502</f>
        <v>378g</v>
      </c>
      <c r="B3502" s="151" t="str">
        <f>'Reported burning'!B3502</f>
        <v>378g.10</v>
      </c>
      <c r="C3502" s="151" t="str">
        <f>'Reported burning'!C3502</f>
        <v>Human, deliberate</v>
      </c>
      <c r="D3502" s="151" t="str">
        <f>'Reported burning'!D3502</f>
        <v>Crop residue burning</v>
      </c>
      <c r="E3502" s="151" t="str">
        <f>'Reported burning'!E3502</f>
        <v>All</v>
      </c>
      <c r="F3502" s="151" t="str">
        <f>'Reported burning'!F3502</f>
        <v>Cropland</v>
      </c>
      <c r="G3502" s="151" t="str">
        <f>'Reported burning'!G3502</f>
        <v>Cropland</v>
      </c>
      <c r="H3502" s="151" t="str">
        <f>'Reported burning'!H3502</f>
        <v>Presence</v>
      </c>
      <c r="I3502" s="5"/>
      <c r="J3502" s="21" t="s">
        <v>2272</v>
      </c>
      <c r="K3502" s="21" t="s">
        <v>2272</v>
      </c>
      <c r="L3502" s="21" t="s">
        <v>2272</v>
      </c>
      <c r="M3502" s="21" t="s">
        <v>2272</v>
      </c>
      <c r="N3502" s="21" t="s">
        <v>2272</v>
      </c>
      <c r="O3502" s="21" t="s">
        <v>2272</v>
      </c>
      <c r="P3502" s="21" t="s">
        <v>2272</v>
      </c>
      <c r="Q3502" s="21" t="s">
        <v>2272</v>
      </c>
      <c r="R3502" s="21" t="s">
        <v>2272</v>
      </c>
      <c r="S3502" s="21" t="s">
        <v>2272</v>
      </c>
      <c r="T3502" s="21" t="s">
        <v>2272</v>
      </c>
      <c r="U3502" s="21" t="s">
        <v>2272</v>
      </c>
      <c r="V3502" s="21" t="s">
        <v>2272</v>
      </c>
      <c r="W3502" s="21" t="s">
        <v>2272</v>
      </c>
      <c r="X3502" s="21" t="s">
        <v>2272</v>
      </c>
      <c r="Y3502" s="198" t="s">
        <v>186</v>
      </c>
      <c r="Z3502" s="198" t="s">
        <v>186</v>
      </c>
      <c r="AA3502" s="21" t="s">
        <v>2272</v>
      </c>
      <c r="AB3502" s="198"/>
      <c r="AC3502" s="198"/>
    </row>
    <row r="3503" spans="1:29" ht="43.5" customHeight="1">
      <c r="A3503" s="151" t="str">
        <f>'Reported burning'!A3503</f>
        <v>378g</v>
      </c>
      <c r="B3503" s="151" t="str">
        <f>'Reported burning'!B3503</f>
        <v>378g.11</v>
      </c>
      <c r="C3503" s="151" t="str">
        <f>'Reported burning'!C3503</f>
        <v>Human, deliberate</v>
      </c>
      <c r="D3503" s="151" t="str">
        <f>'Reported burning'!D3503</f>
        <v>Crop residue burning</v>
      </c>
      <c r="E3503" s="151" t="str">
        <f>'Reported burning'!E3503</f>
        <v>All</v>
      </c>
      <c r="F3503" s="151" t="str">
        <f>'Reported burning'!F3503</f>
        <v>Cropland</v>
      </c>
      <c r="G3503" s="151" t="str">
        <f>'Reported burning'!G3503</f>
        <v>Cropland</v>
      </c>
      <c r="H3503" s="151" t="str">
        <f>'Reported burning'!H3503</f>
        <v>Presence</v>
      </c>
      <c r="I3503" s="5"/>
      <c r="J3503" s="21" t="s">
        <v>2272</v>
      </c>
      <c r="K3503" s="21" t="s">
        <v>2272</v>
      </c>
      <c r="L3503" s="21" t="s">
        <v>2272</v>
      </c>
      <c r="M3503" s="21" t="s">
        <v>2272</v>
      </c>
      <c r="N3503" s="21" t="s">
        <v>2272</v>
      </c>
      <c r="O3503" s="21" t="s">
        <v>2272</v>
      </c>
      <c r="P3503" s="21" t="s">
        <v>2272</v>
      </c>
      <c r="Q3503" s="21" t="s">
        <v>2272</v>
      </c>
      <c r="R3503" s="21" t="s">
        <v>2272</v>
      </c>
      <c r="S3503" s="21" t="s">
        <v>2272</v>
      </c>
      <c r="T3503" s="21" t="s">
        <v>2272</v>
      </c>
      <c r="U3503" s="21" t="s">
        <v>2272</v>
      </c>
      <c r="V3503" s="21" t="s">
        <v>2272</v>
      </c>
      <c r="W3503" s="21" t="s">
        <v>2272</v>
      </c>
      <c r="X3503" s="21" t="s">
        <v>2272</v>
      </c>
      <c r="Y3503" s="198" t="s">
        <v>187</v>
      </c>
      <c r="Z3503" s="198" t="s">
        <v>187</v>
      </c>
      <c r="AA3503" s="21" t="s">
        <v>2272</v>
      </c>
      <c r="AB3503" s="198"/>
      <c r="AC3503" s="198"/>
    </row>
    <row r="3504" spans="1:29" ht="43.5" customHeight="1">
      <c r="A3504" s="151" t="str">
        <f>'Reported burning'!A3504</f>
        <v>378g</v>
      </c>
      <c r="B3504" s="151" t="str">
        <f>'Reported burning'!B3504</f>
        <v>378g.12</v>
      </c>
      <c r="C3504" s="151" t="str">
        <f>'Reported burning'!C3504</f>
        <v>Human, deliberate</v>
      </c>
      <c r="D3504" s="151" t="str">
        <f>'Reported burning'!D3504</f>
        <v>Crop residue burning</v>
      </c>
      <c r="E3504" s="151" t="str">
        <f>'Reported burning'!E3504</f>
        <v>All</v>
      </c>
      <c r="F3504" s="151" t="str">
        <f>'Reported burning'!F3504</f>
        <v>Cropland</v>
      </c>
      <c r="G3504" s="151" t="str">
        <f>'Reported burning'!G3504</f>
        <v>Cropland</v>
      </c>
      <c r="H3504" s="151" t="str">
        <f>'Reported burning'!H3504</f>
        <v>Presence</v>
      </c>
      <c r="I3504" s="5"/>
      <c r="J3504" s="21" t="s">
        <v>2272</v>
      </c>
      <c r="K3504" s="21" t="s">
        <v>2272</v>
      </c>
      <c r="L3504" s="21" t="s">
        <v>2272</v>
      </c>
      <c r="M3504" s="21" t="s">
        <v>2272</v>
      </c>
      <c r="N3504" s="21" t="s">
        <v>2272</v>
      </c>
      <c r="O3504" s="21" t="s">
        <v>2272</v>
      </c>
      <c r="P3504" s="21" t="s">
        <v>2272</v>
      </c>
      <c r="Q3504" s="21" t="s">
        <v>2272</v>
      </c>
      <c r="R3504" s="21" t="s">
        <v>2272</v>
      </c>
      <c r="S3504" s="21" t="s">
        <v>2272</v>
      </c>
      <c r="T3504" s="21" t="s">
        <v>2272</v>
      </c>
      <c r="U3504" s="21" t="s">
        <v>2272</v>
      </c>
      <c r="V3504" s="21" t="s">
        <v>2272</v>
      </c>
      <c r="W3504" s="21" t="s">
        <v>2272</v>
      </c>
      <c r="X3504" s="21" t="s">
        <v>2272</v>
      </c>
      <c r="Y3504" s="198" t="s">
        <v>37</v>
      </c>
      <c r="Z3504" s="198" t="s">
        <v>37</v>
      </c>
      <c r="AA3504" s="21" t="s">
        <v>2272</v>
      </c>
      <c r="AB3504" s="198"/>
      <c r="AC3504" s="198"/>
    </row>
    <row r="3505" spans="1:29" ht="43.5" customHeight="1">
      <c r="A3505" s="151" t="str">
        <f>'Reported burning'!A3505</f>
        <v>378h</v>
      </c>
      <c r="B3505" s="151" t="str">
        <f>'Reported burning'!B3505</f>
        <v>378h.1</v>
      </c>
      <c r="C3505" s="151" t="str">
        <f>'Reported burning'!C3505</f>
        <v>Human, deliberate</v>
      </c>
      <c r="D3505" s="151" t="str">
        <f>'Reported burning'!D3505</f>
        <v>Crop residue burning</v>
      </c>
      <c r="E3505" s="151" t="str">
        <f>'Reported burning'!E3505</f>
        <v>All</v>
      </c>
      <c r="F3505" s="151" t="str">
        <f>'Reported burning'!F3505</f>
        <v>Cropland</v>
      </c>
      <c r="G3505" s="151" t="str">
        <f>'Reported burning'!G3505</f>
        <v>Cropland</v>
      </c>
      <c r="H3505" s="151" t="str">
        <f>'Reported burning'!H3505</f>
        <v>Presence</v>
      </c>
      <c r="I3505" s="5"/>
      <c r="J3505" s="21" t="s">
        <v>2272</v>
      </c>
      <c r="K3505" s="21" t="s">
        <v>2272</v>
      </c>
      <c r="L3505" s="21" t="s">
        <v>2272</v>
      </c>
      <c r="M3505" s="21" t="s">
        <v>2272</v>
      </c>
      <c r="N3505" s="21" t="s">
        <v>2272</v>
      </c>
      <c r="O3505" s="21" t="s">
        <v>2272</v>
      </c>
      <c r="P3505" s="21" t="s">
        <v>2272</v>
      </c>
      <c r="Q3505" s="21" t="s">
        <v>2272</v>
      </c>
      <c r="R3505" s="21" t="s">
        <v>2272</v>
      </c>
      <c r="S3505" s="21" t="s">
        <v>2272</v>
      </c>
      <c r="T3505" s="21" t="s">
        <v>2272</v>
      </c>
      <c r="U3505" s="21" t="s">
        <v>2272</v>
      </c>
      <c r="V3505" s="21" t="s">
        <v>2272</v>
      </c>
      <c r="W3505" s="21" t="s">
        <v>2272</v>
      </c>
      <c r="X3505" s="21" t="s">
        <v>2272</v>
      </c>
      <c r="Y3505" s="198" t="s">
        <v>84</v>
      </c>
      <c r="Z3505" s="198" t="s">
        <v>84</v>
      </c>
      <c r="AA3505" s="21" t="s">
        <v>2272</v>
      </c>
      <c r="AB3505" s="21"/>
      <c r="AC3505" s="198"/>
    </row>
    <row r="3506" spans="1:29" ht="43.5" customHeight="1">
      <c r="A3506" s="151" t="str">
        <f>'Reported burning'!A3506</f>
        <v>378h</v>
      </c>
      <c r="B3506" s="151" t="str">
        <f>'Reported burning'!B3506</f>
        <v>378h.2</v>
      </c>
      <c r="C3506" s="151" t="str">
        <f>'Reported burning'!C3506</f>
        <v>Human, deliberate</v>
      </c>
      <c r="D3506" s="151" t="str">
        <f>'Reported burning'!D3506</f>
        <v>Crop residue burning</v>
      </c>
      <c r="E3506" s="151" t="str">
        <f>'Reported burning'!E3506</f>
        <v>All</v>
      </c>
      <c r="F3506" s="151" t="str">
        <f>'Reported burning'!F3506</f>
        <v>Cropland</v>
      </c>
      <c r="G3506" s="151" t="str">
        <f>'Reported burning'!G3506</f>
        <v>Cropland</v>
      </c>
      <c r="H3506" s="151" t="str">
        <f>'Reported burning'!H3506</f>
        <v>Presence</v>
      </c>
      <c r="I3506" s="5"/>
      <c r="J3506" s="21" t="s">
        <v>2272</v>
      </c>
      <c r="K3506" s="21" t="s">
        <v>2272</v>
      </c>
      <c r="L3506" s="21" t="s">
        <v>2272</v>
      </c>
      <c r="M3506" s="21" t="s">
        <v>2272</v>
      </c>
      <c r="N3506" s="21" t="s">
        <v>2272</v>
      </c>
      <c r="O3506" s="21" t="s">
        <v>2272</v>
      </c>
      <c r="P3506" s="21" t="s">
        <v>2272</v>
      </c>
      <c r="Q3506" s="21" t="s">
        <v>2272</v>
      </c>
      <c r="R3506" s="21" t="s">
        <v>2272</v>
      </c>
      <c r="S3506" s="21" t="s">
        <v>2272</v>
      </c>
      <c r="T3506" s="21" t="s">
        <v>2272</v>
      </c>
      <c r="U3506" s="21" t="s">
        <v>2272</v>
      </c>
      <c r="V3506" s="21" t="s">
        <v>2272</v>
      </c>
      <c r="W3506" s="21" t="s">
        <v>2272</v>
      </c>
      <c r="X3506" s="21" t="s">
        <v>2272</v>
      </c>
      <c r="Y3506" s="198" t="s">
        <v>33</v>
      </c>
      <c r="Z3506" s="198" t="s">
        <v>33</v>
      </c>
      <c r="AA3506" s="21" t="s">
        <v>2272</v>
      </c>
      <c r="AB3506" s="21"/>
      <c r="AC3506" s="198"/>
    </row>
    <row r="3507" spans="1:29" ht="43.5" customHeight="1">
      <c r="A3507" s="151" t="str">
        <f>'Reported burning'!A3507</f>
        <v>378h</v>
      </c>
      <c r="B3507" s="151" t="str">
        <f>'Reported burning'!B3507</f>
        <v>378h.3</v>
      </c>
      <c r="C3507" s="151" t="str">
        <f>'Reported burning'!C3507</f>
        <v>Human, deliberate</v>
      </c>
      <c r="D3507" s="151" t="str">
        <f>'Reported burning'!D3507</f>
        <v>Crop residue burning</v>
      </c>
      <c r="E3507" s="151" t="str">
        <f>'Reported burning'!E3507</f>
        <v>All</v>
      </c>
      <c r="F3507" s="151" t="str">
        <f>'Reported burning'!F3507</f>
        <v>Cropland</v>
      </c>
      <c r="G3507" s="151" t="str">
        <f>'Reported burning'!G3507</f>
        <v>Cropland</v>
      </c>
      <c r="H3507" s="151" t="str">
        <f>'Reported burning'!H3507</f>
        <v>Presence</v>
      </c>
      <c r="I3507" s="5"/>
      <c r="J3507" s="21" t="s">
        <v>2272</v>
      </c>
      <c r="K3507" s="21" t="s">
        <v>2272</v>
      </c>
      <c r="L3507" s="21" t="s">
        <v>2272</v>
      </c>
      <c r="M3507" s="21" t="s">
        <v>2272</v>
      </c>
      <c r="N3507" s="21" t="s">
        <v>2272</v>
      </c>
      <c r="O3507" s="21" t="s">
        <v>2272</v>
      </c>
      <c r="P3507" s="21" t="s">
        <v>2272</v>
      </c>
      <c r="Q3507" s="21" t="s">
        <v>2272</v>
      </c>
      <c r="R3507" s="21" t="s">
        <v>2272</v>
      </c>
      <c r="S3507" s="21" t="s">
        <v>2272</v>
      </c>
      <c r="T3507" s="21" t="s">
        <v>2272</v>
      </c>
      <c r="U3507" s="21" t="s">
        <v>2272</v>
      </c>
      <c r="V3507" s="21" t="s">
        <v>2272</v>
      </c>
      <c r="W3507" s="21" t="s">
        <v>2272</v>
      </c>
      <c r="X3507" s="21" t="s">
        <v>2272</v>
      </c>
      <c r="Y3507" s="198" t="s">
        <v>402</v>
      </c>
      <c r="Z3507" s="198" t="s">
        <v>402</v>
      </c>
      <c r="AA3507" s="21" t="s">
        <v>2272</v>
      </c>
      <c r="AB3507" s="21"/>
      <c r="AC3507" s="198"/>
    </row>
    <row r="3508" spans="1:29" ht="43.5" customHeight="1">
      <c r="A3508" s="151" t="str">
        <f>'Reported burning'!A3508</f>
        <v>378h</v>
      </c>
      <c r="B3508" s="151" t="str">
        <f>'Reported burning'!B3508</f>
        <v>378h.4</v>
      </c>
      <c r="C3508" s="151" t="str">
        <f>'Reported burning'!C3508</f>
        <v>Human, deliberate</v>
      </c>
      <c r="D3508" s="151" t="str">
        <f>'Reported burning'!D3508</f>
        <v>Crop residue burning</v>
      </c>
      <c r="E3508" s="151" t="str">
        <f>'Reported burning'!E3508</f>
        <v>All</v>
      </c>
      <c r="F3508" s="151" t="str">
        <f>'Reported burning'!F3508</f>
        <v>Cropland</v>
      </c>
      <c r="G3508" s="151" t="str">
        <f>'Reported burning'!G3508</f>
        <v>Cropland</v>
      </c>
      <c r="H3508" s="151" t="str">
        <f>'Reported burning'!H3508</f>
        <v>Presence</v>
      </c>
      <c r="I3508" s="5"/>
      <c r="J3508" s="21" t="s">
        <v>2272</v>
      </c>
      <c r="K3508" s="21" t="s">
        <v>2272</v>
      </c>
      <c r="L3508" s="21" t="s">
        <v>2272</v>
      </c>
      <c r="M3508" s="21" t="s">
        <v>2272</v>
      </c>
      <c r="N3508" s="21" t="s">
        <v>2272</v>
      </c>
      <c r="O3508" s="21" t="s">
        <v>2272</v>
      </c>
      <c r="P3508" s="21" t="s">
        <v>2272</v>
      </c>
      <c r="Q3508" s="21" t="s">
        <v>2272</v>
      </c>
      <c r="R3508" s="21" t="s">
        <v>2272</v>
      </c>
      <c r="S3508" s="21" t="s">
        <v>2272</v>
      </c>
      <c r="T3508" s="21" t="s">
        <v>2272</v>
      </c>
      <c r="U3508" s="21" t="s">
        <v>2272</v>
      </c>
      <c r="V3508" s="21" t="s">
        <v>2272</v>
      </c>
      <c r="W3508" s="21" t="s">
        <v>2272</v>
      </c>
      <c r="X3508" s="21" t="s">
        <v>2272</v>
      </c>
      <c r="Y3508" s="198" t="s">
        <v>403</v>
      </c>
      <c r="Z3508" s="198" t="s">
        <v>403</v>
      </c>
      <c r="AA3508" s="21" t="s">
        <v>2272</v>
      </c>
      <c r="AB3508" s="21"/>
      <c r="AC3508" s="198"/>
    </row>
    <row r="3509" spans="1:29" ht="43.5" customHeight="1">
      <c r="A3509" s="151" t="str">
        <f>'Reported burning'!A3509</f>
        <v>378h</v>
      </c>
      <c r="B3509" s="151" t="str">
        <f>'Reported burning'!B3509</f>
        <v>378h.5</v>
      </c>
      <c r="C3509" s="151" t="str">
        <f>'Reported burning'!C3509</f>
        <v>Human, deliberate</v>
      </c>
      <c r="D3509" s="151" t="str">
        <f>'Reported burning'!D3509</f>
        <v>Crop residue burning</v>
      </c>
      <c r="E3509" s="151" t="str">
        <f>'Reported burning'!E3509</f>
        <v>All</v>
      </c>
      <c r="F3509" s="151" t="str">
        <f>'Reported burning'!F3509</f>
        <v>Cropland</v>
      </c>
      <c r="G3509" s="151" t="str">
        <f>'Reported burning'!G3509</f>
        <v>Cropland</v>
      </c>
      <c r="H3509" s="151" t="str">
        <f>'Reported burning'!H3509</f>
        <v>Presence</v>
      </c>
      <c r="I3509" s="5"/>
      <c r="J3509" s="21" t="s">
        <v>2272</v>
      </c>
      <c r="K3509" s="21" t="s">
        <v>2272</v>
      </c>
      <c r="L3509" s="21" t="s">
        <v>2272</v>
      </c>
      <c r="M3509" s="21" t="s">
        <v>2272</v>
      </c>
      <c r="N3509" s="21" t="s">
        <v>2272</v>
      </c>
      <c r="O3509" s="21" t="s">
        <v>2272</v>
      </c>
      <c r="P3509" s="21" t="s">
        <v>2272</v>
      </c>
      <c r="Q3509" s="21" t="s">
        <v>2272</v>
      </c>
      <c r="R3509" s="21" t="s">
        <v>2272</v>
      </c>
      <c r="S3509" s="21" t="s">
        <v>2272</v>
      </c>
      <c r="T3509" s="21" t="s">
        <v>2272</v>
      </c>
      <c r="U3509" s="21" t="s">
        <v>2272</v>
      </c>
      <c r="V3509" s="21" t="s">
        <v>2272</v>
      </c>
      <c r="W3509" s="21" t="s">
        <v>2272</v>
      </c>
      <c r="X3509" s="21" t="s">
        <v>2272</v>
      </c>
      <c r="Y3509" s="198" t="s">
        <v>423</v>
      </c>
      <c r="Z3509" s="198" t="s">
        <v>423</v>
      </c>
      <c r="AA3509" s="21" t="s">
        <v>2272</v>
      </c>
      <c r="AB3509" s="21"/>
      <c r="AC3509" s="198"/>
    </row>
    <row r="3510" spans="1:29" ht="43.5" customHeight="1">
      <c r="A3510" s="151" t="str">
        <f>'Reported burning'!A3510</f>
        <v>378h</v>
      </c>
      <c r="B3510" s="151" t="str">
        <f>'Reported burning'!B3510</f>
        <v>378h.6</v>
      </c>
      <c r="C3510" s="151" t="str">
        <f>'Reported burning'!C3510</f>
        <v>Human, deliberate</v>
      </c>
      <c r="D3510" s="151" t="str">
        <f>'Reported burning'!D3510</f>
        <v>Crop residue burning</v>
      </c>
      <c r="E3510" s="151" t="str">
        <f>'Reported burning'!E3510</f>
        <v>All</v>
      </c>
      <c r="F3510" s="151" t="str">
        <f>'Reported burning'!F3510</f>
        <v>Cropland</v>
      </c>
      <c r="G3510" s="151" t="str">
        <f>'Reported burning'!G3510</f>
        <v>Cropland</v>
      </c>
      <c r="H3510" s="151" t="str">
        <f>'Reported burning'!H3510</f>
        <v>Presence</v>
      </c>
      <c r="I3510" s="5"/>
      <c r="J3510" s="21" t="s">
        <v>2272</v>
      </c>
      <c r="K3510" s="21" t="s">
        <v>2272</v>
      </c>
      <c r="L3510" s="21" t="s">
        <v>2272</v>
      </c>
      <c r="M3510" s="21" t="s">
        <v>2272</v>
      </c>
      <c r="N3510" s="21" t="s">
        <v>2272</v>
      </c>
      <c r="O3510" s="21" t="s">
        <v>2272</v>
      </c>
      <c r="P3510" s="21" t="s">
        <v>2272</v>
      </c>
      <c r="Q3510" s="21" t="s">
        <v>2272</v>
      </c>
      <c r="R3510" s="21" t="s">
        <v>2272</v>
      </c>
      <c r="S3510" s="21" t="s">
        <v>2272</v>
      </c>
      <c r="T3510" s="21" t="s">
        <v>2272</v>
      </c>
      <c r="U3510" s="21" t="s">
        <v>2272</v>
      </c>
      <c r="V3510" s="21" t="s">
        <v>2272</v>
      </c>
      <c r="W3510" s="21" t="s">
        <v>2272</v>
      </c>
      <c r="X3510" s="21" t="s">
        <v>2272</v>
      </c>
      <c r="Y3510" s="198" t="s">
        <v>67</v>
      </c>
      <c r="Z3510" s="198" t="s">
        <v>67</v>
      </c>
      <c r="AA3510" s="21" t="s">
        <v>2272</v>
      </c>
      <c r="AB3510" s="21"/>
      <c r="AC3510" s="198"/>
    </row>
    <row r="3511" spans="1:29" ht="43.5" customHeight="1">
      <c r="A3511" s="151" t="str">
        <f>'Reported burning'!A3511</f>
        <v>378h</v>
      </c>
      <c r="B3511" s="151" t="str">
        <f>'Reported burning'!B3511</f>
        <v>378h.7</v>
      </c>
      <c r="C3511" s="151" t="str">
        <f>'Reported burning'!C3511</f>
        <v>Human, deliberate</v>
      </c>
      <c r="D3511" s="151" t="str">
        <f>'Reported burning'!D3511</f>
        <v>Crop residue burning</v>
      </c>
      <c r="E3511" s="151" t="str">
        <f>'Reported burning'!E3511</f>
        <v>All</v>
      </c>
      <c r="F3511" s="151" t="str">
        <f>'Reported burning'!F3511</f>
        <v>Cropland</v>
      </c>
      <c r="G3511" s="151" t="str">
        <f>'Reported burning'!G3511</f>
        <v>Cropland</v>
      </c>
      <c r="H3511" s="151" t="str">
        <f>'Reported burning'!H3511</f>
        <v>Absence</v>
      </c>
      <c r="I3511" s="5"/>
      <c r="J3511" s="21">
        <v>0</v>
      </c>
      <c r="K3511" s="21">
        <v>0</v>
      </c>
      <c r="L3511" s="21">
        <v>0</v>
      </c>
      <c r="M3511" s="21">
        <v>0</v>
      </c>
      <c r="N3511" s="21">
        <v>0</v>
      </c>
      <c r="O3511" s="21">
        <v>0</v>
      </c>
      <c r="P3511" s="21">
        <v>0</v>
      </c>
      <c r="Q3511" s="21">
        <v>0</v>
      </c>
      <c r="R3511" s="21">
        <v>0</v>
      </c>
      <c r="S3511" s="21">
        <v>0</v>
      </c>
      <c r="T3511" s="21">
        <v>0</v>
      </c>
      <c r="U3511" s="21">
        <v>0</v>
      </c>
      <c r="V3511" s="21">
        <v>0</v>
      </c>
      <c r="W3511" s="21">
        <v>0</v>
      </c>
      <c r="X3511" s="21" t="s">
        <v>2272</v>
      </c>
      <c r="Y3511" s="198" t="s">
        <v>34</v>
      </c>
      <c r="Z3511" s="198" t="s">
        <v>34</v>
      </c>
      <c r="AA3511" s="21" t="s">
        <v>2272</v>
      </c>
      <c r="AB3511" s="21"/>
      <c r="AC3511" s="198"/>
    </row>
    <row r="3512" spans="1:29" ht="43.5" customHeight="1">
      <c r="A3512" s="151" t="str">
        <f>'Reported burning'!A3512</f>
        <v>378h</v>
      </c>
      <c r="B3512" s="151" t="str">
        <f>'Reported burning'!B3512</f>
        <v>378h.8</v>
      </c>
      <c r="C3512" s="151" t="str">
        <f>'Reported burning'!C3512</f>
        <v>Human, deliberate</v>
      </c>
      <c r="D3512" s="151" t="str">
        <f>'Reported burning'!D3512</f>
        <v>Crop residue burning</v>
      </c>
      <c r="E3512" s="151" t="str">
        <f>'Reported burning'!E3512</f>
        <v>All</v>
      </c>
      <c r="F3512" s="151" t="str">
        <f>'Reported burning'!F3512</f>
        <v>Cropland</v>
      </c>
      <c r="G3512" s="151" t="str">
        <f>'Reported burning'!G3512</f>
        <v>Cropland</v>
      </c>
      <c r="H3512" s="151" t="str">
        <f>'Reported burning'!H3512</f>
        <v>Absence</v>
      </c>
      <c r="I3512" s="5"/>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t="s">
        <v>2272</v>
      </c>
      <c r="Y3512" s="198" t="s">
        <v>125</v>
      </c>
      <c r="Z3512" s="198" t="s">
        <v>125</v>
      </c>
      <c r="AA3512" s="21" t="s">
        <v>2272</v>
      </c>
      <c r="AB3512" s="21"/>
      <c r="AC3512" s="198"/>
    </row>
    <row r="3513" spans="1:29" ht="43.5" customHeight="1">
      <c r="A3513" s="151" t="str">
        <f>'Reported burning'!A3513</f>
        <v>378h</v>
      </c>
      <c r="B3513" s="151" t="str">
        <f>'Reported burning'!B3513</f>
        <v>378h.9</v>
      </c>
      <c r="C3513" s="151" t="str">
        <f>'Reported burning'!C3513</f>
        <v>Human, deliberate</v>
      </c>
      <c r="D3513" s="151" t="str">
        <f>'Reported burning'!D3513</f>
        <v>Crop residue burning</v>
      </c>
      <c r="E3513" s="151" t="str">
        <f>'Reported burning'!E3513</f>
        <v>All</v>
      </c>
      <c r="F3513" s="151" t="str">
        <f>'Reported burning'!F3513</f>
        <v>Cropland</v>
      </c>
      <c r="G3513" s="151" t="str">
        <f>'Reported burning'!G3513</f>
        <v>Cropland</v>
      </c>
      <c r="H3513" s="151" t="str">
        <f>'Reported burning'!H3513</f>
        <v>Presence</v>
      </c>
      <c r="I3513" s="5"/>
      <c r="J3513" s="21" t="s">
        <v>2272</v>
      </c>
      <c r="K3513" s="21" t="s">
        <v>2272</v>
      </c>
      <c r="L3513" s="21" t="s">
        <v>2272</v>
      </c>
      <c r="M3513" s="21" t="s">
        <v>2272</v>
      </c>
      <c r="N3513" s="21" t="s">
        <v>2272</v>
      </c>
      <c r="O3513" s="21" t="s">
        <v>2272</v>
      </c>
      <c r="P3513" s="21" t="s">
        <v>2272</v>
      </c>
      <c r="Q3513" s="21" t="s">
        <v>2272</v>
      </c>
      <c r="R3513" s="21" t="s">
        <v>2272</v>
      </c>
      <c r="S3513" s="21" t="s">
        <v>2272</v>
      </c>
      <c r="T3513" s="21" t="s">
        <v>2272</v>
      </c>
      <c r="U3513" s="21" t="s">
        <v>2272</v>
      </c>
      <c r="V3513" s="21" t="s">
        <v>2272</v>
      </c>
      <c r="W3513" s="21" t="s">
        <v>2272</v>
      </c>
      <c r="X3513" s="21" t="s">
        <v>2272</v>
      </c>
      <c r="Y3513" s="198" t="s">
        <v>397</v>
      </c>
      <c r="Z3513" s="198" t="s">
        <v>397</v>
      </c>
      <c r="AA3513" s="21" t="s">
        <v>2272</v>
      </c>
      <c r="AB3513" s="21"/>
      <c r="AC3513" s="198"/>
    </row>
    <row r="3514" spans="1:29" ht="43.5" customHeight="1">
      <c r="A3514" s="151" t="str">
        <f>'Reported burning'!A3514</f>
        <v>378h</v>
      </c>
      <c r="B3514" s="151" t="str">
        <f>'Reported burning'!B3514</f>
        <v>378h.10</v>
      </c>
      <c r="C3514" s="151" t="str">
        <f>'Reported burning'!C3514</f>
        <v>Human, deliberate</v>
      </c>
      <c r="D3514" s="151" t="str">
        <f>'Reported burning'!D3514</f>
        <v>Crop residue burning</v>
      </c>
      <c r="E3514" s="151" t="str">
        <f>'Reported burning'!E3514</f>
        <v>All</v>
      </c>
      <c r="F3514" s="151" t="str">
        <f>'Reported burning'!F3514</f>
        <v>Cropland</v>
      </c>
      <c r="G3514" s="151" t="str">
        <f>'Reported burning'!G3514</f>
        <v>Cropland</v>
      </c>
      <c r="H3514" s="151" t="str">
        <f>'Reported burning'!H3514</f>
        <v>Presence</v>
      </c>
      <c r="I3514" s="5"/>
      <c r="J3514" s="21" t="s">
        <v>2272</v>
      </c>
      <c r="K3514" s="21" t="s">
        <v>2272</v>
      </c>
      <c r="L3514" s="21" t="s">
        <v>2272</v>
      </c>
      <c r="M3514" s="21" t="s">
        <v>2272</v>
      </c>
      <c r="N3514" s="21" t="s">
        <v>2272</v>
      </c>
      <c r="O3514" s="21" t="s">
        <v>2272</v>
      </c>
      <c r="P3514" s="21" t="s">
        <v>2272</v>
      </c>
      <c r="Q3514" s="21" t="s">
        <v>2272</v>
      </c>
      <c r="R3514" s="21" t="s">
        <v>2272</v>
      </c>
      <c r="S3514" s="21" t="s">
        <v>2272</v>
      </c>
      <c r="T3514" s="21" t="s">
        <v>2272</v>
      </c>
      <c r="U3514" s="21" t="s">
        <v>2272</v>
      </c>
      <c r="V3514" s="21" t="s">
        <v>2272</v>
      </c>
      <c r="W3514" s="21" t="s">
        <v>2272</v>
      </c>
      <c r="X3514" s="21" t="s">
        <v>2272</v>
      </c>
      <c r="Y3514" s="198" t="s">
        <v>186</v>
      </c>
      <c r="Z3514" s="198" t="s">
        <v>186</v>
      </c>
      <c r="AA3514" s="21" t="s">
        <v>2272</v>
      </c>
      <c r="AB3514" s="198"/>
      <c r="AC3514" s="198"/>
    </row>
    <row r="3515" spans="1:29" ht="43.5" customHeight="1">
      <c r="A3515" s="151" t="str">
        <f>'Reported burning'!A3515</f>
        <v>378h</v>
      </c>
      <c r="B3515" s="151" t="str">
        <f>'Reported burning'!B3515</f>
        <v>378h.11</v>
      </c>
      <c r="C3515" s="151" t="str">
        <f>'Reported burning'!C3515</f>
        <v>Human, deliberate</v>
      </c>
      <c r="D3515" s="151" t="str">
        <f>'Reported burning'!D3515</f>
        <v>Crop residue burning</v>
      </c>
      <c r="E3515" s="151" t="str">
        <f>'Reported burning'!E3515</f>
        <v>All</v>
      </c>
      <c r="F3515" s="151" t="str">
        <f>'Reported burning'!F3515</f>
        <v>Cropland</v>
      </c>
      <c r="G3515" s="151" t="str">
        <f>'Reported burning'!G3515</f>
        <v>Cropland</v>
      </c>
      <c r="H3515" s="151" t="str">
        <f>'Reported burning'!H3515</f>
        <v>Presence</v>
      </c>
      <c r="I3515" s="5"/>
      <c r="J3515" s="21" t="s">
        <v>2272</v>
      </c>
      <c r="K3515" s="21" t="s">
        <v>2272</v>
      </c>
      <c r="L3515" s="21" t="s">
        <v>2272</v>
      </c>
      <c r="M3515" s="21" t="s">
        <v>2272</v>
      </c>
      <c r="N3515" s="21" t="s">
        <v>2272</v>
      </c>
      <c r="O3515" s="21" t="s">
        <v>2272</v>
      </c>
      <c r="P3515" s="21" t="s">
        <v>2272</v>
      </c>
      <c r="Q3515" s="21" t="s">
        <v>2272</v>
      </c>
      <c r="R3515" s="21" t="s">
        <v>2272</v>
      </c>
      <c r="S3515" s="21" t="s">
        <v>2272</v>
      </c>
      <c r="T3515" s="21" t="s">
        <v>2272</v>
      </c>
      <c r="U3515" s="21" t="s">
        <v>2272</v>
      </c>
      <c r="V3515" s="21" t="s">
        <v>2272</v>
      </c>
      <c r="W3515" s="21" t="s">
        <v>2272</v>
      </c>
      <c r="X3515" s="21" t="s">
        <v>2272</v>
      </c>
      <c r="Y3515" s="198" t="s">
        <v>187</v>
      </c>
      <c r="Z3515" s="198" t="s">
        <v>187</v>
      </c>
      <c r="AA3515" s="21" t="s">
        <v>2272</v>
      </c>
      <c r="AB3515" s="198"/>
      <c r="AC3515" s="198"/>
    </row>
    <row r="3516" spans="1:29" ht="43.5" customHeight="1">
      <c r="A3516" s="151" t="str">
        <f>'Reported burning'!A3516</f>
        <v>378h</v>
      </c>
      <c r="B3516" s="151" t="str">
        <f>'Reported burning'!B3516</f>
        <v>378h.12</v>
      </c>
      <c r="C3516" s="151" t="str">
        <f>'Reported burning'!C3516</f>
        <v>Human, deliberate</v>
      </c>
      <c r="D3516" s="151" t="str">
        <f>'Reported burning'!D3516</f>
        <v>Crop residue burning</v>
      </c>
      <c r="E3516" s="151" t="str">
        <f>'Reported burning'!E3516</f>
        <v>All</v>
      </c>
      <c r="F3516" s="151" t="str">
        <f>'Reported burning'!F3516</f>
        <v>Cropland</v>
      </c>
      <c r="G3516" s="151" t="str">
        <f>'Reported burning'!G3516</f>
        <v>Cropland</v>
      </c>
      <c r="H3516" s="151" t="str">
        <f>'Reported burning'!H3516</f>
        <v>Presence</v>
      </c>
      <c r="I3516" s="5"/>
      <c r="J3516" s="21" t="s">
        <v>2272</v>
      </c>
      <c r="K3516" s="21" t="s">
        <v>2272</v>
      </c>
      <c r="L3516" s="21" t="s">
        <v>2272</v>
      </c>
      <c r="M3516" s="21" t="s">
        <v>2272</v>
      </c>
      <c r="N3516" s="21" t="s">
        <v>2272</v>
      </c>
      <c r="O3516" s="21" t="s">
        <v>2272</v>
      </c>
      <c r="P3516" s="21" t="s">
        <v>2272</v>
      </c>
      <c r="Q3516" s="21" t="s">
        <v>2272</v>
      </c>
      <c r="R3516" s="21" t="s">
        <v>2272</v>
      </c>
      <c r="S3516" s="21" t="s">
        <v>2272</v>
      </c>
      <c r="T3516" s="21" t="s">
        <v>2272</v>
      </c>
      <c r="U3516" s="21" t="s">
        <v>2272</v>
      </c>
      <c r="V3516" s="21" t="s">
        <v>2272</v>
      </c>
      <c r="W3516" s="21" t="s">
        <v>2272</v>
      </c>
      <c r="X3516" s="21" t="s">
        <v>2272</v>
      </c>
      <c r="Y3516" s="198" t="s">
        <v>37</v>
      </c>
      <c r="Z3516" s="198" t="s">
        <v>37</v>
      </c>
      <c r="AA3516" s="21" t="s">
        <v>2272</v>
      </c>
      <c r="AB3516" s="198"/>
      <c r="AC3516" s="198"/>
    </row>
    <row r="3517" spans="1:29" ht="43.5" customHeight="1">
      <c r="A3517" s="151" t="str">
        <f>'Reported burning'!A3517</f>
        <v>378i</v>
      </c>
      <c r="B3517" s="151" t="str">
        <f>'Reported burning'!B3517</f>
        <v>378i.1</v>
      </c>
      <c r="C3517" s="151" t="str">
        <f>'Reported burning'!C3517</f>
        <v>Human, deliberate</v>
      </c>
      <c r="D3517" s="151" t="str">
        <f>'Reported burning'!D3517</f>
        <v>Crop residue burning</v>
      </c>
      <c r="E3517" s="151" t="str">
        <f>'Reported burning'!E3517</f>
        <v>All</v>
      </c>
      <c r="F3517" s="151" t="str">
        <f>'Reported burning'!F3517</f>
        <v>Cropland</v>
      </c>
      <c r="G3517" s="151" t="str">
        <f>'Reported burning'!G3517</f>
        <v>Cropland</v>
      </c>
      <c r="H3517" s="151" t="str">
        <f>'Reported burning'!H3517</f>
        <v>Presence</v>
      </c>
      <c r="I3517" s="5"/>
      <c r="J3517" s="21" t="s">
        <v>2272</v>
      </c>
      <c r="K3517" s="21" t="s">
        <v>2272</v>
      </c>
      <c r="L3517" s="21" t="s">
        <v>2272</v>
      </c>
      <c r="M3517" s="21" t="s">
        <v>2272</v>
      </c>
      <c r="N3517" s="21" t="s">
        <v>2272</v>
      </c>
      <c r="O3517" s="21" t="s">
        <v>2272</v>
      </c>
      <c r="P3517" s="21" t="s">
        <v>2272</v>
      </c>
      <c r="Q3517" s="21" t="s">
        <v>2272</v>
      </c>
      <c r="R3517" s="21" t="s">
        <v>2272</v>
      </c>
      <c r="S3517" s="21" t="s">
        <v>2272</v>
      </c>
      <c r="T3517" s="21" t="s">
        <v>2272</v>
      </c>
      <c r="U3517" s="21" t="s">
        <v>2272</v>
      </c>
      <c r="V3517" s="21" t="s">
        <v>2272</v>
      </c>
      <c r="W3517" s="21" t="s">
        <v>2272</v>
      </c>
      <c r="X3517" s="21" t="s">
        <v>2272</v>
      </c>
      <c r="Y3517" s="198" t="s">
        <v>84</v>
      </c>
      <c r="Z3517" s="198" t="s">
        <v>84</v>
      </c>
      <c r="AA3517" s="21" t="s">
        <v>2272</v>
      </c>
      <c r="AB3517" s="21"/>
      <c r="AC3517" s="198"/>
    </row>
    <row r="3518" spans="1:29" ht="43.5" customHeight="1">
      <c r="A3518" s="151" t="str">
        <f>'Reported burning'!A3518</f>
        <v>378i</v>
      </c>
      <c r="B3518" s="151" t="str">
        <f>'Reported burning'!B3518</f>
        <v>378i.2</v>
      </c>
      <c r="C3518" s="151" t="str">
        <f>'Reported burning'!C3518</f>
        <v>Human, deliberate</v>
      </c>
      <c r="D3518" s="151" t="str">
        <f>'Reported burning'!D3518</f>
        <v>Crop residue burning</v>
      </c>
      <c r="E3518" s="151" t="str">
        <f>'Reported burning'!E3518</f>
        <v>All</v>
      </c>
      <c r="F3518" s="151" t="str">
        <f>'Reported burning'!F3518</f>
        <v>Cropland</v>
      </c>
      <c r="G3518" s="151" t="str">
        <f>'Reported burning'!G3518</f>
        <v>Cropland</v>
      </c>
      <c r="H3518" s="151" t="str">
        <f>'Reported burning'!H3518</f>
        <v>Presence</v>
      </c>
      <c r="I3518" s="5"/>
      <c r="J3518" s="21" t="s">
        <v>2272</v>
      </c>
      <c r="K3518" s="21" t="s">
        <v>2272</v>
      </c>
      <c r="L3518" s="21" t="s">
        <v>2272</v>
      </c>
      <c r="M3518" s="21" t="s">
        <v>2272</v>
      </c>
      <c r="N3518" s="21" t="s">
        <v>2272</v>
      </c>
      <c r="O3518" s="21" t="s">
        <v>2272</v>
      </c>
      <c r="P3518" s="21" t="s">
        <v>2272</v>
      </c>
      <c r="Q3518" s="21" t="s">
        <v>2272</v>
      </c>
      <c r="R3518" s="21" t="s">
        <v>2272</v>
      </c>
      <c r="S3518" s="21" t="s">
        <v>2272</v>
      </c>
      <c r="T3518" s="21" t="s">
        <v>2272</v>
      </c>
      <c r="U3518" s="21" t="s">
        <v>2272</v>
      </c>
      <c r="V3518" s="21" t="s">
        <v>2272</v>
      </c>
      <c r="W3518" s="21" t="s">
        <v>2272</v>
      </c>
      <c r="X3518" s="21" t="s">
        <v>2272</v>
      </c>
      <c r="Y3518" s="198" t="s">
        <v>33</v>
      </c>
      <c r="Z3518" s="198" t="s">
        <v>33</v>
      </c>
      <c r="AA3518" s="21" t="s">
        <v>2272</v>
      </c>
      <c r="AB3518" s="21"/>
      <c r="AC3518" s="198"/>
    </row>
    <row r="3519" spans="1:29" ht="43.5" customHeight="1">
      <c r="A3519" s="151" t="str">
        <f>'Reported burning'!A3519</f>
        <v>378i</v>
      </c>
      <c r="B3519" s="151" t="str">
        <f>'Reported burning'!B3519</f>
        <v>378i.3</v>
      </c>
      <c r="C3519" s="151" t="str">
        <f>'Reported burning'!C3519</f>
        <v>Human, deliberate</v>
      </c>
      <c r="D3519" s="151" t="str">
        <f>'Reported burning'!D3519</f>
        <v>Crop residue burning</v>
      </c>
      <c r="E3519" s="151" t="str">
        <f>'Reported burning'!E3519</f>
        <v>All</v>
      </c>
      <c r="F3519" s="151" t="str">
        <f>'Reported burning'!F3519</f>
        <v>Cropland</v>
      </c>
      <c r="G3519" s="151" t="str">
        <f>'Reported burning'!G3519</f>
        <v>Cropland</v>
      </c>
      <c r="H3519" s="151" t="str">
        <f>'Reported burning'!H3519</f>
        <v>Presence</v>
      </c>
      <c r="I3519" s="5"/>
      <c r="J3519" s="21" t="s">
        <v>2272</v>
      </c>
      <c r="K3519" s="21" t="s">
        <v>2272</v>
      </c>
      <c r="L3519" s="21" t="s">
        <v>2272</v>
      </c>
      <c r="M3519" s="21" t="s">
        <v>2272</v>
      </c>
      <c r="N3519" s="21" t="s">
        <v>2272</v>
      </c>
      <c r="O3519" s="21" t="s">
        <v>2272</v>
      </c>
      <c r="P3519" s="21" t="s">
        <v>2272</v>
      </c>
      <c r="Q3519" s="21" t="s">
        <v>2272</v>
      </c>
      <c r="R3519" s="21" t="s">
        <v>2272</v>
      </c>
      <c r="S3519" s="21" t="s">
        <v>2272</v>
      </c>
      <c r="T3519" s="21" t="s">
        <v>2272</v>
      </c>
      <c r="U3519" s="21" t="s">
        <v>2272</v>
      </c>
      <c r="V3519" s="21" t="s">
        <v>2272</v>
      </c>
      <c r="W3519" s="21" t="s">
        <v>2272</v>
      </c>
      <c r="X3519" s="21" t="s">
        <v>2272</v>
      </c>
      <c r="Y3519" s="198" t="s">
        <v>402</v>
      </c>
      <c r="Z3519" s="198" t="s">
        <v>402</v>
      </c>
      <c r="AA3519" s="21" t="s">
        <v>2272</v>
      </c>
      <c r="AB3519" s="21"/>
      <c r="AC3519" s="198"/>
    </row>
    <row r="3520" spans="1:29" ht="43.5" customHeight="1">
      <c r="A3520" s="151" t="str">
        <f>'Reported burning'!A3520</f>
        <v>378i</v>
      </c>
      <c r="B3520" s="151" t="str">
        <f>'Reported burning'!B3520</f>
        <v>378i.4</v>
      </c>
      <c r="C3520" s="151" t="str">
        <f>'Reported burning'!C3520</f>
        <v>Human, deliberate</v>
      </c>
      <c r="D3520" s="151" t="str">
        <f>'Reported burning'!D3520</f>
        <v>Crop residue burning</v>
      </c>
      <c r="E3520" s="151" t="str">
        <f>'Reported burning'!E3520</f>
        <v>All</v>
      </c>
      <c r="F3520" s="151" t="str">
        <f>'Reported burning'!F3520</f>
        <v>Cropland</v>
      </c>
      <c r="G3520" s="151" t="str">
        <f>'Reported burning'!G3520</f>
        <v>Cropland</v>
      </c>
      <c r="H3520" s="151" t="str">
        <f>'Reported burning'!H3520</f>
        <v>Presence</v>
      </c>
      <c r="I3520" s="5"/>
      <c r="J3520" s="21" t="s">
        <v>2272</v>
      </c>
      <c r="K3520" s="21" t="s">
        <v>2272</v>
      </c>
      <c r="L3520" s="21" t="s">
        <v>2272</v>
      </c>
      <c r="M3520" s="21" t="s">
        <v>2272</v>
      </c>
      <c r="N3520" s="21" t="s">
        <v>2272</v>
      </c>
      <c r="O3520" s="21" t="s">
        <v>2272</v>
      </c>
      <c r="P3520" s="21" t="s">
        <v>2272</v>
      </c>
      <c r="Q3520" s="21" t="s">
        <v>2272</v>
      </c>
      <c r="R3520" s="21" t="s">
        <v>2272</v>
      </c>
      <c r="S3520" s="21" t="s">
        <v>2272</v>
      </c>
      <c r="T3520" s="21" t="s">
        <v>2272</v>
      </c>
      <c r="U3520" s="21" t="s">
        <v>2272</v>
      </c>
      <c r="V3520" s="21" t="s">
        <v>2272</v>
      </c>
      <c r="W3520" s="21" t="s">
        <v>2272</v>
      </c>
      <c r="X3520" s="21" t="s">
        <v>2272</v>
      </c>
      <c r="Y3520" s="198" t="s">
        <v>403</v>
      </c>
      <c r="Z3520" s="198" t="s">
        <v>403</v>
      </c>
      <c r="AA3520" s="21" t="s">
        <v>2272</v>
      </c>
      <c r="AB3520" s="21"/>
      <c r="AC3520" s="198"/>
    </row>
    <row r="3521" spans="1:29" ht="43.5" customHeight="1">
      <c r="A3521" s="151" t="str">
        <f>'Reported burning'!A3521</f>
        <v>378i</v>
      </c>
      <c r="B3521" s="151" t="str">
        <f>'Reported burning'!B3521</f>
        <v>378i.5</v>
      </c>
      <c r="C3521" s="151" t="str">
        <f>'Reported burning'!C3521</f>
        <v>Human, deliberate</v>
      </c>
      <c r="D3521" s="151" t="str">
        <f>'Reported burning'!D3521</f>
        <v>Crop residue burning</v>
      </c>
      <c r="E3521" s="151" t="str">
        <f>'Reported burning'!E3521</f>
        <v>All</v>
      </c>
      <c r="F3521" s="151" t="str">
        <f>'Reported burning'!F3521</f>
        <v>Cropland</v>
      </c>
      <c r="G3521" s="151" t="str">
        <f>'Reported burning'!G3521</f>
        <v>Cropland</v>
      </c>
      <c r="H3521" s="151" t="str">
        <f>'Reported burning'!H3521</f>
        <v>Presence</v>
      </c>
      <c r="I3521" s="5"/>
      <c r="J3521" s="21" t="s">
        <v>2272</v>
      </c>
      <c r="K3521" s="21" t="s">
        <v>2272</v>
      </c>
      <c r="L3521" s="21" t="s">
        <v>2272</v>
      </c>
      <c r="M3521" s="21" t="s">
        <v>2272</v>
      </c>
      <c r="N3521" s="21" t="s">
        <v>2272</v>
      </c>
      <c r="O3521" s="21" t="s">
        <v>2272</v>
      </c>
      <c r="P3521" s="21" t="s">
        <v>2272</v>
      </c>
      <c r="Q3521" s="21" t="s">
        <v>2272</v>
      </c>
      <c r="R3521" s="21" t="s">
        <v>2272</v>
      </c>
      <c r="S3521" s="21" t="s">
        <v>2272</v>
      </c>
      <c r="T3521" s="21" t="s">
        <v>2272</v>
      </c>
      <c r="U3521" s="21" t="s">
        <v>2272</v>
      </c>
      <c r="V3521" s="21" t="s">
        <v>2272</v>
      </c>
      <c r="W3521" s="21" t="s">
        <v>2272</v>
      </c>
      <c r="X3521" s="21" t="s">
        <v>2272</v>
      </c>
      <c r="Y3521" s="198" t="s">
        <v>423</v>
      </c>
      <c r="Z3521" s="198" t="s">
        <v>423</v>
      </c>
      <c r="AA3521" s="21" t="s">
        <v>2272</v>
      </c>
      <c r="AB3521" s="21"/>
      <c r="AC3521" s="198"/>
    </row>
    <row r="3522" spans="1:29" ht="43.5" customHeight="1">
      <c r="A3522" s="151" t="str">
        <f>'Reported burning'!A3522</f>
        <v>378i</v>
      </c>
      <c r="B3522" s="151" t="str">
        <f>'Reported burning'!B3522</f>
        <v>378i.6</v>
      </c>
      <c r="C3522" s="151" t="str">
        <f>'Reported burning'!C3522</f>
        <v>Human, deliberate</v>
      </c>
      <c r="D3522" s="151" t="str">
        <f>'Reported burning'!D3522</f>
        <v>Crop residue burning</v>
      </c>
      <c r="E3522" s="151" t="str">
        <f>'Reported burning'!E3522</f>
        <v>All</v>
      </c>
      <c r="F3522" s="151" t="str">
        <f>'Reported burning'!F3522</f>
        <v>Cropland</v>
      </c>
      <c r="G3522" s="151" t="str">
        <f>'Reported burning'!G3522</f>
        <v>Cropland</v>
      </c>
      <c r="H3522" s="151" t="str">
        <f>'Reported burning'!H3522</f>
        <v>Presence</v>
      </c>
      <c r="I3522" s="5"/>
      <c r="J3522" s="21" t="s">
        <v>2272</v>
      </c>
      <c r="K3522" s="21" t="s">
        <v>2272</v>
      </c>
      <c r="L3522" s="21" t="s">
        <v>2272</v>
      </c>
      <c r="M3522" s="21" t="s">
        <v>2272</v>
      </c>
      <c r="N3522" s="21" t="s">
        <v>2272</v>
      </c>
      <c r="O3522" s="21" t="s">
        <v>2272</v>
      </c>
      <c r="P3522" s="21" t="s">
        <v>2272</v>
      </c>
      <c r="Q3522" s="21" t="s">
        <v>2272</v>
      </c>
      <c r="R3522" s="21" t="s">
        <v>2272</v>
      </c>
      <c r="S3522" s="21" t="s">
        <v>2272</v>
      </c>
      <c r="T3522" s="21" t="s">
        <v>2272</v>
      </c>
      <c r="U3522" s="21" t="s">
        <v>2272</v>
      </c>
      <c r="V3522" s="21" t="s">
        <v>2272</v>
      </c>
      <c r="W3522" s="21" t="s">
        <v>2272</v>
      </c>
      <c r="X3522" s="21" t="s">
        <v>2272</v>
      </c>
      <c r="Y3522" s="198" t="s">
        <v>67</v>
      </c>
      <c r="Z3522" s="198" t="s">
        <v>67</v>
      </c>
      <c r="AA3522" s="21" t="s">
        <v>2272</v>
      </c>
      <c r="AB3522" s="21"/>
      <c r="AC3522" s="198"/>
    </row>
    <row r="3523" spans="1:29" ht="43.5" customHeight="1">
      <c r="A3523" s="151" t="str">
        <f>'Reported burning'!A3523</f>
        <v>378i</v>
      </c>
      <c r="B3523" s="151" t="str">
        <f>'Reported burning'!B3523</f>
        <v>378i.7</v>
      </c>
      <c r="C3523" s="151" t="str">
        <f>'Reported burning'!C3523</f>
        <v>Human, deliberate</v>
      </c>
      <c r="D3523" s="151" t="str">
        <f>'Reported burning'!D3523</f>
        <v>Crop residue burning</v>
      </c>
      <c r="E3523" s="151" t="str">
        <f>'Reported burning'!E3523</f>
        <v>All</v>
      </c>
      <c r="F3523" s="151" t="str">
        <f>'Reported burning'!F3523</f>
        <v>Cropland</v>
      </c>
      <c r="G3523" s="151" t="str">
        <f>'Reported burning'!G3523</f>
        <v>Cropland</v>
      </c>
      <c r="H3523" s="151" t="str">
        <f>'Reported burning'!H3523</f>
        <v>Presence</v>
      </c>
      <c r="I3523" s="5"/>
      <c r="J3523" s="21" t="s">
        <v>2272</v>
      </c>
      <c r="K3523" s="21" t="s">
        <v>2272</v>
      </c>
      <c r="L3523" s="21" t="s">
        <v>2272</v>
      </c>
      <c r="M3523" s="21" t="s">
        <v>2272</v>
      </c>
      <c r="N3523" s="21" t="s">
        <v>2272</v>
      </c>
      <c r="O3523" s="21" t="s">
        <v>2272</v>
      </c>
      <c r="P3523" s="21" t="s">
        <v>2272</v>
      </c>
      <c r="Q3523" s="21" t="s">
        <v>2272</v>
      </c>
      <c r="R3523" s="21" t="s">
        <v>2272</v>
      </c>
      <c r="S3523" s="21" t="s">
        <v>2272</v>
      </c>
      <c r="T3523" s="21" t="s">
        <v>2272</v>
      </c>
      <c r="U3523" s="21" t="s">
        <v>2272</v>
      </c>
      <c r="V3523" s="21" t="s">
        <v>2272</v>
      </c>
      <c r="W3523" s="21" t="s">
        <v>2272</v>
      </c>
      <c r="X3523" s="21" t="s">
        <v>2272</v>
      </c>
      <c r="Y3523" s="198" t="s">
        <v>34</v>
      </c>
      <c r="Z3523" s="198" t="s">
        <v>34</v>
      </c>
      <c r="AA3523" s="21" t="s">
        <v>2272</v>
      </c>
      <c r="AB3523" s="21"/>
      <c r="AC3523" s="198"/>
    </row>
    <row r="3524" spans="1:29" ht="43.5" customHeight="1">
      <c r="A3524" s="151" t="str">
        <f>'Reported burning'!A3524</f>
        <v>378i</v>
      </c>
      <c r="B3524" s="151" t="str">
        <f>'Reported burning'!B3524</f>
        <v>378i.8</v>
      </c>
      <c r="C3524" s="151" t="str">
        <f>'Reported burning'!C3524</f>
        <v>Human, deliberate</v>
      </c>
      <c r="D3524" s="151" t="str">
        <f>'Reported burning'!D3524</f>
        <v>Crop residue burning</v>
      </c>
      <c r="E3524" s="151" t="str">
        <f>'Reported burning'!E3524</f>
        <v>All</v>
      </c>
      <c r="F3524" s="151" t="str">
        <f>'Reported burning'!F3524</f>
        <v>Cropland</v>
      </c>
      <c r="G3524" s="151" t="str">
        <f>'Reported burning'!G3524</f>
        <v>Cropland</v>
      </c>
      <c r="H3524" s="151" t="str">
        <f>'Reported burning'!H3524</f>
        <v>Presence</v>
      </c>
      <c r="I3524" s="5"/>
      <c r="J3524" s="21" t="s">
        <v>2272</v>
      </c>
      <c r="K3524" s="21" t="s">
        <v>2272</v>
      </c>
      <c r="L3524" s="21" t="s">
        <v>2272</v>
      </c>
      <c r="M3524" s="21" t="s">
        <v>2272</v>
      </c>
      <c r="N3524" s="21" t="s">
        <v>2272</v>
      </c>
      <c r="O3524" s="21" t="s">
        <v>2272</v>
      </c>
      <c r="P3524" s="21" t="s">
        <v>2272</v>
      </c>
      <c r="Q3524" s="21" t="s">
        <v>2272</v>
      </c>
      <c r="R3524" s="21" t="s">
        <v>2272</v>
      </c>
      <c r="S3524" s="21" t="s">
        <v>2272</v>
      </c>
      <c r="T3524" s="21" t="s">
        <v>2272</v>
      </c>
      <c r="U3524" s="21" t="s">
        <v>2272</v>
      </c>
      <c r="V3524" s="21" t="s">
        <v>2272</v>
      </c>
      <c r="W3524" s="21" t="s">
        <v>2272</v>
      </c>
      <c r="X3524" s="21" t="s">
        <v>2272</v>
      </c>
      <c r="Y3524" s="198" t="s">
        <v>125</v>
      </c>
      <c r="Z3524" s="198" t="s">
        <v>125</v>
      </c>
      <c r="AA3524" s="21" t="s">
        <v>2272</v>
      </c>
      <c r="AB3524" s="21"/>
      <c r="AC3524" s="198"/>
    </row>
    <row r="3525" spans="1:29" ht="43.5" customHeight="1">
      <c r="A3525" s="151" t="str">
        <f>'Reported burning'!A3525</f>
        <v>378i</v>
      </c>
      <c r="B3525" s="151" t="str">
        <f>'Reported burning'!B3525</f>
        <v>378i.9</v>
      </c>
      <c r="C3525" s="151" t="str">
        <f>'Reported burning'!C3525</f>
        <v>Human, deliberate</v>
      </c>
      <c r="D3525" s="151" t="str">
        <f>'Reported burning'!D3525</f>
        <v>Crop residue burning</v>
      </c>
      <c r="E3525" s="151" t="str">
        <f>'Reported burning'!E3525</f>
        <v>All</v>
      </c>
      <c r="F3525" s="151" t="str">
        <f>'Reported burning'!F3525</f>
        <v>Cropland</v>
      </c>
      <c r="G3525" s="151" t="str">
        <f>'Reported burning'!G3525</f>
        <v>Cropland</v>
      </c>
      <c r="H3525" s="151" t="str">
        <f>'Reported burning'!H3525</f>
        <v>Presence</v>
      </c>
      <c r="I3525" s="5"/>
      <c r="J3525" s="21" t="s">
        <v>2272</v>
      </c>
      <c r="K3525" s="21" t="s">
        <v>2272</v>
      </c>
      <c r="L3525" s="21" t="s">
        <v>2272</v>
      </c>
      <c r="M3525" s="21" t="s">
        <v>2272</v>
      </c>
      <c r="N3525" s="21" t="s">
        <v>2272</v>
      </c>
      <c r="O3525" s="21" t="s">
        <v>2272</v>
      </c>
      <c r="P3525" s="21" t="s">
        <v>2272</v>
      </c>
      <c r="Q3525" s="21" t="s">
        <v>2272</v>
      </c>
      <c r="R3525" s="21" t="s">
        <v>2272</v>
      </c>
      <c r="S3525" s="21" t="s">
        <v>2272</v>
      </c>
      <c r="T3525" s="21" t="s">
        <v>2272</v>
      </c>
      <c r="U3525" s="21" t="s">
        <v>2272</v>
      </c>
      <c r="V3525" s="21" t="s">
        <v>2272</v>
      </c>
      <c r="W3525" s="21" t="s">
        <v>2272</v>
      </c>
      <c r="X3525" s="21" t="s">
        <v>2272</v>
      </c>
      <c r="Y3525" s="198" t="s">
        <v>397</v>
      </c>
      <c r="Z3525" s="198" t="s">
        <v>397</v>
      </c>
      <c r="AA3525" s="21" t="s">
        <v>2272</v>
      </c>
      <c r="AB3525" s="21"/>
      <c r="AC3525" s="198"/>
    </row>
    <row r="3526" spans="1:29" ht="43.5" customHeight="1">
      <c r="A3526" s="151" t="str">
        <f>'Reported burning'!A3526</f>
        <v>378i</v>
      </c>
      <c r="B3526" s="151" t="str">
        <f>'Reported burning'!B3526</f>
        <v>378i.10</v>
      </c>
      <c r="C3526" s="151" t="str">
        <f>'Reported burning'!C3526</f>
        <v>Human, deliberate</v>
      </c>
      <c r="D3526" s="151" t="str">
        <f>'Reported burning'!D3526</f>
        <v>Crop residue burning</v>
      </c>
      <c r="E3526" s="151" t="str">
        <f>'Reported burning'!E3526</f>
        <v>All</v>
      </c>
      <c r="F3526" s="151" t="str">
        <f>'Reported burning'!F3526</f>
        <v>Cropland</v>
      </c>
      <c r="G3526" s="151" t="str">
        <f>'Reported burning'!G3526</f>
        <v>Cropland</v>
      </c>
      <c r="H3526" s="151" t="str">
        <f>'Reported burning'!H3526</f>
        <v>Presence</v>
      </c>
      <c r="I3526" s="5"/>
      <c r="J3526" s="21" t="s">
        <v>2272</v>
      </c>
      <c r="K3526" s="21" t="s">
        <v>2272</v>
      </c>
      <c r="L3526" s="21" t="s">
        <v>2272</v>
      </c>
      <c r="M3526" s="21" t="s">
        <v>2272</v>
      </c>
      <c r="N3526" s="21" t="s">
        <v>2272</v>
      </c>
      <c r="O3526" s="21" t="s">
        <v>2272</v>
      </c>
      <c r="P3526" s="21" t="s">
        <v>2272</v>
      </c>
      <c r="Q3526" s="21" t="s">
        <v>2272</v>
      </c>
      <c r="R3526" s="21" t="s">
        <v>2272</v>
      </c>
      <c r="S3526" s="21" t="s">
        <v>2272</v>
      </c>
      <c r="T3526" s="21" t="s">
        <v>2272</v>
      </c>
      <c r="U3526" s="21" t="s">
        <v>2272</v>
      </c>
      <c r="V3526" s="21" t="s">
        <v>2272</v>
      </c>
      <c r="W3526" s="21" t="s">
        <v>2272</v>
      </c>
      <c r="X3526" s="21" t="s">
        <v>2272</v>
      </c>
      <c r="Y3526" s="198" t="s">
        <v>186</v>
      </c>
      <c r="Z3526" s="198" t="s">
        <v>186</v>
      </c>
      <c r="AA3526" s="21" t="s">
        <v>2272</v>
      </c>
      <c r="AB3526" s="198"/>
      <c r="AC3526" s="198"/>
    </row>
    <row r="3527" spans="1:29" ht="43.5" customHeight="1">
      <c r="A3527" s="151" t="str">
        <f>'Reported burning'!A3527</f>
        <v>378i</v>
      </c>
      <c r="B3527" s="151" t="str">
        <f>'Reported burning'!B3527</f>
        <v>378i.11</v>
      </c>
      <c r="C3527" s="151" t="str">
        <f>'Reported burning'!C3527</f>
        <v>Human, deliberate</v>
      </c>
      <c r="D3527" s="151" t="str">
        <f>'Reported burning'!D3527</f>
        <v>Crop residue burning</v>
      </c>
      <c r="E3527" s="151" t="str">
        <f>'Reported burning'!E3527</f>
        <v>All</v>
      </c>
      <c r="F3527" s="151" t="str">
        <f>'Reported burning'!F3527</f>
        <v>Cropland</v>
      </c>
      <c r="G3527" s="151" t="str">
        <f>'Reported burning'!G3527</f>
        <v>Cropland</v>
      </c>
      <c r="H3527" s="151" t="str">
        <f>'Reported burning'!H3527</f>
        <v>Presence</v>
      </c>
      <c r="I3527" s="5"/>
      <c r="J3527" s="21" t="s">
        <v>2272</v>
      </c>
      <c r="K3527" s="21" t="s">
        <v>2272</v>
      </c>
      <c r="L3527" s="21" t="s">
        <v>2272</v>
      </c>
      <c r="M3527" s="21" t="s">
        <v>2272</v>
      </c>
      <c r="N3527" s="21" t="s">
        <v>2272</v>
      </c>
      <c r="O3527" s="21" t="s">
        <v>2272</v>
      </c>
      <c r="P3527" s="21" t="s">
        <v>2272</v>
      </c>
      <c r="Q3527" s="21" t="s">
        <v>2272</v>
      </c>
      <c r="R3527" s="21" t="s">
        <v>2272</v>
      </c>
      <c r="S3527" s="21" t="s">
        <v>2272</v>
      </c>
      <c r="T3527" s="21" t="s">
        <v>2272</v>
      </c>
      <c r="U3527" s="21" t="s">
        <v>2272</v>
      </c>
      <c r="V3527" s="21" t="s">
        <v>2272</v>
      </c>
      <c r="W3527" s="21" t="s">
        <v>2272</v>
      </c>
      <c r="X3527" s="21" t="s">
        <v>2272</v>
      </c>
      <c r="Y3527" s="198" t="s">
        <v>187</v>
      </c>
      <c r="Z3527" s="198" t="s">
        <v>187</v>
      </c>
      <c r="AA3527" s="21" t="s">
        <v>2272</v>
      </c>
      <c r="AB3527" s="198"/>
      <c r="AC3527" s="198"/>
    </row>
    <row r="3528" spans="1:29" ht="43.5" customHeight="1">
      <c r="A3528" s="151" t="str">
        <f>'Reported burning'!A3528</f>
        <v>378i</v>
      </c>
      <c r="B3528" s="151" t="str">
        <f>'Reported burning'!B3528</f>
        <v>378i.12</v>
      </c>
      <c r="C3528" s="151" t="str">
        <f>'Reported burning'!C3528</f>
        <v>Human, deliberate</v>
      </c>
      <c r="D3528" s="151" t="str">
        <f>'Reported burning'!D3528</f>
        <v>Crop residue burning</v>
      </c>
      <c r="E3528" s="151" t="str">
        <f>'Reported burning'!E3528</f>
        <v>All</v>
      </c>
      <c r="F3528" s="151" t="str">
        <f>'Reported burning'!F3528</f>
        <v>Cropland</v>
      </c>
      <c r="G3528" s="151" t="str">
        <f>'Reported burning'!G3528</f>
        <v>Cropland</v>
      </c>
      <c r="H3528" s="151" t="str">
        <f>'Reported burning'!H3528</f>
        <v>Presence</v>
      </c>
      <c r="I3528" s="5"/>
      <c r="J3528" s="21" t="s">
        <v>2272</v>
      </c>
      <c r="K3528" s="21" t="s">
        <v>2272</v>
      </c>
      <c r="L3528" s="21" t="s">
        <v>2272</v>
      </c>
      <c r="M3528" s="21" t="s">
        <v>2272</v>
      </c>
      <c r="N3528" s="21" t="s">
        <v>2272</v>
      </c>
      <c r="O3528" s="21" t="s">
        <v>2272</v>
      </c>
      <c r="P3528" s="21" t="s">
        <v>2272</v>
      </c>
      <c r="Q3528" s="21" t="s">
        <v>2272</v>
      </c>
      <c r="R3528" s="21" t="s">
        <v>2272</v>
      </c>
      <c r="S3528" s="21" t="s">
        <v>2272</v>
      </c>
      <c r="T3528" s="21" t="s">
        <v>2272</v>
      </c>
      <c r="U3528" s="21" t="s">
        <v>2272</v>
      </c>
      <c r="V3528" s="21" t="s">
        <v>2272</v>
      </c>
      <c r="W3528" s="21" t="s">
        <v>2272</v>
      </c>
      <c r="X3528" s="21" t="s">
        <v>2272</v>
      </c>
      <c r="Y3528" s="198" t="s">
        <v>37</v>
      </c>
      <c r="Z3528" s="198" t="s">
        <v>37</v>
      </c>
      <c r="AA3528" s="21" t="s">
        <v>2272</v>
      </c>
      <c r="AB3528" s="198"/>
      <c r="AC3528" s="198"/>
    </row>
    <row r="3529" spans="1:29" ht="43.5" customHeight="1">
      <c r="A3529" s="151" t="str">
        <f>'Reported burning'!A3529</f>
        <v>379a</v>
      </c>
      <c r="B3529" s="151" t="str">
        <f>'Reported burning'!B3529</f>
        <v>379a.1</v>
      </c>
      <c r="C3529" s="151" t="str">
        <f>'Reported burning'!C3529</f>
        <v>Human, accidental</v>
      </c>
      <c r="D3529" s="151" t="str">
        <f>'Reported burning'!D3529</f>
        <v>Accidental</v>
      </c>
      <c r="E3529" s="151" t="str">
        <f>'Reported burning'!E3529</f>
        <v>Urban planner</v>
      </c>
      <c r="F3529" s="151" t="str">
        <f>'Reported burning'!F3529</f>
        <v>ND</v>
      </c>
      <c r="G3529" s="151" t="str">
        <f>'Reported burning'!G3529</f>
        <v>Plantation forest</v>
      </c>
      <c r="H3529" s="151" t="str">
        <f>'Reported burning'!H3529</f>
        <v>Presence</v>
      </c>
      <c r="I3529" s="5"/>
      <c r="J3529" s="21" t="s">
        <v>2272</v>
      </c>
      <c r="K3529" s="21" t="s">
        <v>2272</v>
      </c>
      <c r="L3529" s="21" t="s">
        <v>2272</v>
      </c>
      <c r="M3529" s="21" t="s">
        <v>2272</v>
      </c>
      <c r="N3529" s="21" t="s">
        <v>2272</v>
      </c>
      <c r="O3529" s="21" t="s">
        <v>2272</v>
      </c>
      <c r="P3529" s="21" t="s">
        <v>2272</v>
      </c>
      <c r="Q3529" s="21" t="s">
        <v>2272</v>
      </c>
      <c r="R3529" s="21" t="s">
        <v>2272</v>
      </c>
      <c r="S3529" s="21" t="s">
        <v>2272</v>
      </c>
      <c r="T3529" s="21" t="s">
        <v>2272</v>
      </c>
      <c r="U3529" s="21" t="s">
        <v>2272</v>
      </c>
      <c r="V3529" s="21" t="s">
        <v>2272</v>
      </c>
      <c r="W3529" s="21" t="s">
        <v>2272</v>
      </c>
      <c r="X3529" s="21" t="s">
        <v>2272</v>
      </c>
      <c r="Y3529" s="173" t="s">
        <v>33</v>
      </c>
      <c r="Z3529" s="198" t="s">
        <v>33</v>
      </c>
      <c r="AA3529" s="21" t="s">
        <v>2272</v>
      </c>
      <c r="AB3529" s="198" t="s">
        <v>9110</v>
      </c>
      <c r="AC3529" s="198"/>
    </row>
    <row r="3530" spans="1:29" ht="53.5" customHeight="1">
      <c r="A3530" s="151" t="str">
        <f>'Reported burning'!A3530</f>
        <v>379a</v>
      </c>
      <c r="B3530" s="151" t="str">
        <f>'Reported burning'!B3530</f>
        <v>379a.2</v>
      </c>
      <c r="C3530" s="151" t="str">
        <f>'Reported burning'!C3530</f>
        <v>Unknown</v>
      </c>
      <c r="D3530" s="151" t="str">
        <f>'Reported burning'!D3530</f>
        <v>ND</v>
      </c>
      <c r="E3530" s="151" t="str">
        <f>'Reported burning'!E3530</f>
        <v>ND</v>
      </c>
      <c r="F3530" s="151" t="str">
        <f>'Reported burning'!F3530</f>
        <v>ND</v>
      </c>
      <c r="G3530" s="151" t="str">
        <f>'Reported burning'!G3530</f>
        <v>Plantation forest</v>
      </c>
      <c r="H3530" s="151" t="str">
        <f>'Reported burning'!H3530</f>
        <v>Presence</v>
      </c>
      <c r="I3530" s="5"/>
      <c r="J3530" s="21" t="s">
        <v>2272</v>
      </c>
      <c r="K3530" s="21" t="s">
        <v>2272</v>
      </c>
      <c r="L3530" s="21" t="s">
        <v>2272</v>
      </c>
      <c r="M3530" s="21" t="s">
        <v>2272</v>
      </c>
      <c r="N3530" s="21" t="s">
        <v>2272</v>
      </c>
      <c r="O3530" s="21" t="s">
        <v>2272</v>
      </c>
      <c r="P3530" s="21" t="s">
        <v>2272</v>
      </c>
      <c r="Q3530" s="21" t="s">
        <v>2272</v>
      </c>
      <c r="R3530" s="21" t="s">
        <v>2272</v>
      </c>
      <c r="S3530" s="21" t="s">
        <v>2272</v>
      </c>
      <c r="T3530" s="21" t="s">
        <v>2272</v>
      </c>
      <c r="U3530" s="21" t="s">
        <v>2272</v>
      </c>
      <c r="V3530" s="21" t="s">
        <v>2272</v>
      </c>
      <c r="W3530" s="21" t="s">
        <v>2272</v>
      </c>
      <c r="X3530" s="21" t="s">
        <v>2272</v>
      </c>
      <c r="Y3530" s="173" t="s">
        <v>67</v>
      </c>
      <c r="Z3530" s="198" t="s">
        <v>67</v>
      </c>
      <c r="AA3530" s="21" t="s">
        <v>2272</v>
      </c>
      <c r="AB3530" s="198"/>
      <c r="AC3530" s="198"/>
    </row>
    <row r="3531" spans="1:29" ht="53.5" customHeight="1">
      <c r="A3531" s="151" t="str">
        <f>'Reported burning'!A3531</f>
        <v>379b</v>
      </c>
      <c r="B3531" s="151" t="str">
        <f>'Reported burning'!B3531</f>
        <v>379b.1</v>
      </c>
      <c r="C3531" s="151" t="str">
        <f>'Reported burning'!C3531</f>
        <v>Unknown</v>
      </c>
      <c r="D3531" s="151" t="str">
        <f>'Reported burning'!D3531</f>
        <v>ND</v>
      </c>
      <c r="E3531" s="151" t="str">
        <f>'Reported burning'!E3531</f>
        <v>Forestry, Industrial</v>
      </c>
      <c r="F3531" s="151" t="str">
        <f>'Reported burning'!F3531</f>
        <v>ND</v>
      </c>
      <c r="G3531" s="151" t="str">
        <f>'Reported burning'!G3531</f>
        <v>Plantation forest</v>
      </c>
      <c r="H3531" s="151" t="str">
        <f>'Reported burning'!H3531</f>
        <v>Presence</v>
      </c>
      <c r="I3531" s="5"/>
      <c r="J3531" s="21" t="s">
        <v>2272</v>
      </c>
      <c r="K3531" s="21" t="s">
        <v>2272</v>
      </c>
      <c r="L3531" s="21" t="s">
        <v>2272</v>
      </c>
      <c r="M3531" s="21" t="s">
        <v>2272</v>
      </c>
      <c r="N3531" s="21" t="s">
        <v>2272</v>
      </c>
      <c r="O3531" s="21" t="s">
        <v>2272</v>
      </c>
      <c r="P3531" s="21" t="s">
        <v>2272</v>
      </c>
      <c r="Q3531" s="21" t="s">
        <v>2272</v>
      </c>
      <c r="R3531" s="21" t="s">
        <v>2272</v>
      </c>
      <c r="S3531" s="21" t="s">
        <v>2272</v>
      </c>
      <c r="T3531" s="21" t="s">
        <v>2272</v>
      </c>
      <c r="U3531" s="21" t="s">
        <v>2272</v>
      </c>
      <c r="V3531" s="21" t="s">
        <v>2272</v>
      </c>
      <c r="W3531" s="21" t="s">
        <v>2272</v>
      </c>
      <c r="X3531" s="21" t="s">
        <v>2272</v>
      </c>
      <c r="Y3531" s="173" t="s">
        <v>125</v>
      </c>
      <c r="Z3531" s="198" t="s">
        <v>186</v>
      </c>
      <c r="AA3531" s="21" t="s">
        <v>2272</v>
      </c>
      <c r="AB3531" s="198"/>
      <c r="AC3531" s="4" t="s">
        <v>9113</v>
      </c>
    </row>
    <row r="3532" spans="1:29" ht="53.5" customHeight="1">
      <c r="A3532" s="151" t="str">
        <f>'Reported burning'!A3532</f>
        <v>379b</v>
      </c>
      <c r="B3532" s="151" t="str">
        <f>'Reported burning'!B3532</f>
        <v>379b.2</v>
      </c>
      <c r="C3532" s="151" t="str">
        <f>'Reported burning'!C3532</f>
        <v>Unknown</v>
      </c>
      <c r="D3532" s="151" t="str">
        <f>'Reported burning'!D3532</f>
        <v>ND</v>
      </c>
      <c r="E3532" s="151" t="str">
        <f>'Reported burning'!E3532</f>
        <v>ND</v>
      </c>
      <c r="F3532" s="151" t="str">
        <f>'Reported burning'!F3532</f>
        <v>ND</v>
      </c>
      <c r="G3532" s="151" t="str">
        <f>'Reported burning'!G3532</f>
        <v>Plantation forest</v>
      </c>
      <c r="H3532" s="151" t="str">
        <f>'Reported burning'!H3532</f>
        <v>Presence</v>
      </c>
      <c r="I3532" s="5"/>
      <c r="J3532" s="21" t="s">
        <v>2272</v>
      </c>
      <c r="K3532" s="21" t="s">
        <v>2272</v>
      </c>
      <c r="L3532" s="21" t="s">
        <v>2272</v>
      </c>
      <c r="M3532" s="21" t="s">
        <v>2272</v>
      </c>
      <c r="N3532" s="21" t="s">
        <v>2272</v>
      </c>
      <c r="O3532" s="21" t="s">
        <v>2272</v>
      </c>
      <c r="P3532" s="21" t="s">
        <v>2272</v>
      </c>
      <c r="Q3532" s="21" t="s">
        <v>2272</v>
      </c>
      <c r="R3532" s="21" t="s">
        <v>2272</v>
      </c>
      <c r="S3532" s="21" t="s">
        <v>2272</v>
      </c>
      <c r="T3532" s="21" t="s">
        <v>2272</v>
      </c>
      <c r="U3532" s="21" t="s">
        <v>2272</v>
      </c>
      <c r="V3532" s="21" t="s">
        <v>2272</v>
      </c>
      <c r="W3532" s="21" t="s">
        <v>2272</v>
      </c>
      <c r="X3532" s="21" t="s">
        <v>2272</v>
      </c>
      <c r="Y3532" s="173" t="s">
        <v>125</v>
      </c>
      <c r="Z3532" s="198" t="s">
        <v>186</v>
      </c>
      <c r="AA3532" s="21" t="s">
        <v>2272</v>
      </c>
      <c r="AB3532" s="198"/>
      <c r="AC3532" s="4" t="s">
        <v>9113</v>
      </c>
    </row>
    <row r="3533" spans="1:29" ht="53.5" customHeight="1">
      <c r="A3533" s="151" t="str">
        <f>'Reported burning'!A3533</f>
        <v>380a</v>
      </c>
      <c r="B3533" s="151" t="str">
        <f>'Reported burning'!B3533</f>
        <v>380a.1</v>
      </c>
      <c r="C3533" s="151" t="str">
        <f>'Reported burning'!C3533</f>
        <v>All</v>
      </c>
      <c r="D3533" s="151" t="str">
        <f>'Reported burning'!D3533</f>
        <v>ND</v>
      </c>
      <c r="E3533" s="151" t="str">
        <f>'Reported burning'!E3533</f>
        <v>ND</v>
      </c>
      <c r="F3533" s="151" t="str">
        <f>'Reported burning'!F3533</f>
        <v>ND</v>
      </c>
      <c r="G3533" s="151" t="str">
        <f>'Reported burning'!G3533</f>
        <v>Shrubland (Mixed forest &amp; grassland)</v>
      </c>
      <c r="H3533" s="151" t="str">
        <f>'Reported burning'!H3533</f>
        <v>Presence</v>
      </c>
      <c r="I3533" s="5"/>
      <c r="J3533" s="21" t="s">
        <v>2272</v>
      </c>
      <c r="K3533" s="21" t="s">
        <v>2272</v>
      </c>
      <c r="L3533" s="21" t="s">
        <v>2272</v>
      </c>
      <c r="M3533" s="21" t="s">
        <v>2272</v>
      </c>
      <c r="N3533" s="21" t="s">
        <v>2272</v>
      </c>
      <c r="O3533" s="21" t="s">
        <v>2272</v>
      </c>
      <c r="P3533" s="21" t="s">
        <v>2272</v>
      </c>
      <c r="Q3533" s="21" t="s">
        <v>2272</v>
      </c>
      <c r="R3533" s="21" t="s">
        <v>2272</v>
      </c>
      <c r="S3533" s="21" t="s">
        <v>2272</v>
      </c>
      <c r="T3533" s="21" t="s">
        <v>2272</v>
      </c>
      <c r="U3533" s="21" t="s">
        <v>2272</v>
      </c>
      <c r="V3533" s="21" t="s">
        <v>2272</v>
      </c>
      <c r="W3533" s="21" t="s">
        <v>2272</v>
      </c>
      <c r="X3533" s="21" t="s">
        <v>2272</v>
      </c>
      <c r="Y3533" s="21" t="s">
        <v>2272</v>
      </c>
      <c r="Z3533" s="21" t="s">
        <v>2272</v>
      </c>
      <c r="AA3533" s="21" t="s">
        <v>2272</v>
      </c>
      <c r="AB3533" s="198"/>
      <c r="AC3533" s="198"/>
    </row>
    <row r="3534" spans="1:29" ht="51.5" customHeight="1">
      <c r="A3534" s="151" t="str">
        <f>'Reported burning'!A3534</f>
        <v>380a</v>
      </c>
      <c r="B3534" s="151" t="str">
        <f>'Reported burning'!B3534</f>
        <v>380a.2</v>
      </c>
      <c r="C3534" s="151" t="str">
        <f>'Reported burning'!C3534</f>
        <v>All</v>
      </c>
      <c r="D3534" s="151" t="str">
        <f>'Reported burning'!D3534</f>
        <v>ND</v>
      </c>
      <c r="E3534" s="151" t="str">
        <f>'Reported burning'!E3534</f>
        <v>ND</v>
      </c>
      <c r="F3534" s="151" t="str">
        <f>'Reported burning'!F3534</f>
        <v>ND</v>
      </c>
      <c r="G3534" s="151" t="str">
        <f>'Reported burning'!G3534</f>
        <v>Forest</v>
      </c>
      <c r="H3534" s="151" t="str">
        <f>'Reported burning'!H3534</f>
        <v>Presence</v>
      </c>
      <c r="I3534" s="5"/>
      <c r="J3534" s="21" t="s">
        <v>2367</v>
      </c>
      <c r="K3534" s="21" t="s">
        <v>2272</v>
      </c>
      <c r="L3534" s="21" t="s">
        <v>2272</v>
      </c>
      <c r="M3534" s="21" t="s">
        <v>2272</v>
      </c>
      <c r="N3534" s="21" t="s">
        <v>2272</v>
      </c>
      <c r="O3534" s="21" t="s">
        <v>2272</v>
      </c>
      <c r="P3534" s="21" t="s">
        <v>2272</v>
      </c>
      <c r="Q3534" s="21" t="s">
        <v>2370</v>
      </c>
      <c r="R3534" s="21" t="s">
        <v>2272</v>
      </c>
      <c r="S3534" s="21" t="s">
        <v>2272</v>
      </c>
      <c r="T3534" s="21" t="s">
        <v>2272</v>
      </c>
      <c r="U3534" s="21" t="s">
        <v>2272</v>
      </c>
      <c r="V3534" s="21" t="s">
        <v>2272</v>
      </c>
      <c r="W3534" s="21" t="s">
        <v>2272</v>
      </c>
      <c r="X3534" s="21" t="s">
        <v>2272</v>
      </c>
      <c r="Y3534" s="21" t="s">
        <v>2272</v>
      </c>
      <c r="Z3534" s="21" t="s">
        <v>2272</v>
      </c>
      <c r="AA3534" s="21" t="s">
        <v>2272</v>
      </c>
      <c r="AB3534" s="198"/>
      <c r="AC3534" s="4" t="s">
        <v>9126</v>
      </c>
    </row>
    <row r="3535" spans="1:29" ht="51.5" customHeight="1">
      <c r="A3535" s="151" t="str">
        <f>'Reported burning'!A3535</f>
        <v>380a</v>
      </c>
      <c r="B3535" s="151" t="str">
        <f>'Reported burning'!B3535</f>
        <v>380a.3</v>
      </c>
      <c r="C3535" s="151" t="str">
        <f>'Reported burning'!C3535</f>
        <v>All</v>
      </c>
      <c r="D3535" s="151" t="str">
        <f>'Reported burning'!D3535</f>
        <v>ND</v>
      </c>
      <c r="E3535" s="151" t="str">
        <f>'Reported burning'!E3535</f>
        <v>Forestry, Industrial</v>
      </c>
      <c r="F3535" s="151" t="str">
        <f>'Reported burning'!F3535</f>
        <v>ND</v>
      </c>
      <c r="G3535" s="151" t="str">
        <f>'Reported burning'!G3535</f>
        <v>Plantation forest</v>
      </c>
      <c r="H3535" s="151" t="str">
        <f>'Reported burning'!H3535</f>
        <v>Presence</v>
      </c>
      <c r="I3535" s="5"/>
      <c r="J3535" s="21" t="s">
        <v>2367</v>
      </c>
      <c r="K3535" s="21" t="s">
        <v>2272</v>
      </c>
      <c r="L3535" s="21" t="s">
        <v>2272</v>
      </c>
      <c r="M3535" s="21" t="s">
        <v>2272</v>
      </c>
      <c r="N3535" s="21" t="s">
        <v>2272</v>
      </c>
      <c r="O3535" s="21" t="s">
        <v>2272</v>
      </c>
      <c r="P3535" s="21" t="s">
        <v>2272</v>
      </c>
      <c r="Q3535" s="21" t="s">
        <v>2370</v>
      </c>
      <c r="R3535" s="21" t="s">
        <v>2272</v>
      </c>
      <c r="S3535" s="21" t="s">
        <v>2272</v>
      </c>
      <c r="T3535" s="21" t="s">
        <v>2272</v>
      </c>
      <c r="U3535" s="21" t="s">
        <v>2272</v>
      </c>
      <c r="V3535" s="21" t="s">
        <v>2272</v>
      </c>
      <c r="W3535" s="21" t="s">
        <v>2272</v>
      </c>
      <c r="X3535" s="21" t="s">
        <v>2272</v>
      </c>
      <c r="Y3535" s="21" t="s">
        <v>2272</v>
      </c>
      <c r="Z3535" s="21" t="s">
        <v>2272</v>
      </c>
      <c r="AA3535" s="21" t="s">
        <v>2272</v>
      </c>
      <c r="AB3535" s="198"/>
      <c r="AC3535" s="198"/>
    </row>
    <row r="3536" spans="1:29" ht="48.5" customHeight="1">
      <c r="A3536" s="151" t="str">
        <f>'Reported burning'!A3536</f>
        <v>380a</v>
      </c>
      <c r="B3536" s="151" t="str">
        <f>'Reported burning'!B3536</f>
        <v>380a.4</v>
      </c>
      <c r="C3536" s="151" t="str">
        <f>'Reported burning'!C3536</f>
        <v>Human, deliberate</v>
      </c>
      <c r="D3536" s="151" t="str">
        <f>'Reported burning'!D3536</f>
        <v>Arson</v>
      </c>
      <c r="E3536" s="151" t="str">
        <f>'Reported burning'!E3536</f>
        <v>ND</v>
      </c>
      <c r="F3536" s="151" t="str">
        <f>'Reported burning'!F3536</f>
        <v>All</v>
      </c>
      <c r="G3536" s="151" t="str">
        <f>'Reported burning'!G3536</f>
        <v>Forest</v>
      </c>
      <c r="H3536" s="151" t="str">
        <f>'Reported burning'!H3536</f>
        <v>Presence</v>
      </c>
      <c r="I3536" s="5"/>
      <c r="J3536" s="21" t="s">
        <v>2272</v>
      </c>
      <c r="K3536" s="21" t="s">
        <v>2272</v>
      </c>
      <c r="L3536" s="21" t="s">
        <v>2272</v>
      </c>
      <c r="M3536" s="21" t="s">
        <v>2272</v>
      </c>
      <c r="N3536" s="21" t="s">
        <v>2272</v>
      </c>
      <c r="O3536" s="21" t="s">
        <v>2272</v>
      </c>
      <c r="P3536" s="21" t="s">
        <v>2272</v>
      </c>
      <c r="Q3536" s="21" t="s">
        <v>2272</v>
      </c>
      <c r="R3536" s="21" t="s">
        <v>2272</v>
      </c>
      <c r="S3536" s="21" t="s">
        <v>2272</v>
      </c>
      <c r="T3536" s="21" t="s">
        <v>2272</v>
      </c>
      <c r="U3536" s="21" t="s">
        <v>2272</v>
      </c>
      <c r="V3536" s="21" t="s">
        <v>2272</v>
      </c>
      <c r="W3536" s="21" t="s">
        <v>2272</v>
      </c>
      <c r="X3536" s="21" t="s">
        <v>2272</v>
      </c>
      <c r="Y3536" s="21" t="s">
        <v>2272</v>
      </c>
      <c r="Z3536" s="21" t="s">
        <v>2272</v>
      </c>
      <c r="AA3536" s="21" t="s">
        <v>2272</v>
      </c>
      <c r="AB3536" s="198"/>
      <c r="AC3536" s="198"/>
    </row>
    <row r="3537" spans="1:29" ht="51.5" customHeight="1">
      <c r="A3537" s="151" t="str">
        <f>'Reported burning'!A3537</f>
        <v>380a</v>
      </c>
      <c r="B3537" s="151" t="str">
        <f>'Reported burning'!B3537</f>
        <v>380a.5</v>
      </c>
      <c r="C3537" s="151" t="str">
        <f>'Reported burning'!C3537</f>
        <v>Human, deliberate</v>
      </c>
      <c r="D3537" s="151" t="str">
        <f>'Reported burning'!D3537</f>
        <v>ND</v>
      </c>
      <c r="E3537" s="151" t="str">
        <f>'Reported burning'!E3537</f>
        <v>ND</v>
      </c>
      <c r="F3537" s="151" t="str">
        <f>'Reported burning'!F3537</f>
        <v>All</v>
      </c>
      <c r="G3537" s="151" t="str">
        <f>'Reported burning'!G3537</f>
        <v>Forest</v>
      </c>
      <c r="H3537" s="151" t="str">
        <f>'Reported burning'!H3537</f>
        <v>Presence</v>
      </c>
      <c r="I3537" s="5"/>
      <c r="J3537" s="21" t="s">
        <v>2272</v>
      </c>
      <c r="K3537" s="21" t="s">
        <v>2272</v>
      </c>
      <c r="L3537" s="21" t="s">
        <v>2272</v>
      </c>
      <c r="M3537" s="21" t="s">
        <v>2272</v>
      </c>
      <c r="N3537" s="21" t="s">
        <v>2272</v>
      </c>
      <c r="O3537" s="21" t="s">
        <v>2272</v>
      </c>
      <c r="P3537" s="21" t="s">
        <v>2272</v>
      </c>
      <c r="Q3537" s="21" t="s">
        <v>2272</v>
      </c>
      <c r="R3537" s="21" t="s">
        <v>2272</v>
      </c>
      <c r="S3537" s="21" t="s">
        <v>2272</v>
      </c>
      <c r="T3537" s="21" t="s">
        <v>2272</v>
      </c>
      <c r="U3537" s="21" t="s">
        <v>2272</v>
      </c>
      <c r="V3537" s="21" t="s">
        <v>2272</v>
      </c>
      <c r="W3537" s="21" t="s">
        <v>2272</v>
      </c>
      <c r="X3537" s="21" t="s">
        <v>2272</v>
      </c>
      <c r="Y3537" s="21" t="s">
        <v>2272</v>
      </c>
      <c r="Z3537" s="21" t="s">
        <v>2272</v>
      </c>
      <c r="AA3537" s="21" t="s">
        <v>2272</v>
      </c>
      <c r="AB3537" s="198"/>
      <c r="AC3537" s="198"/>
    </row>
    <row r="3538" spans="1:29" ht="54" customHeight="1">
      <c r="A3538" s="151" t="str">
        <f>'Reported burning'!A3538</f>
        <v>380a</v>
      </c>
      <c r="B3538" s="151" t="str">
        <f>'Reported burning'!B3538</f>
        <v>380a.6</v>
      </c>
      <c r="C3538" s="151" t="str">
        <f>'Reported burning'!C3538</f>
        <v>Lightning</v>
      </c>
      <c r="D3538" s="151" t="str">
        <f>'Reported burning'!D3538</f>
        <v>ND</v>
      </c>
      <c r="E3538" s="151" t="str">
        <f>'Reported burning'!E3538</f>
        <v>ND</v>
      </c>
      <c r="F3538" s="151" t="str">
        <f>'Reported burning'!F3538</f>
        <v>All</v>
      </c>
      <c r="G3538" s="151" t="str">
        <f>'Reported burning'!G3538</f>
        <v>Forest</v>
      </c>
      <c r="H3538" s="151" t="str">
        <f>'Reported burning'!H3538</f>
        <v>Presence</v>
      </c>
      <c r="I3538" s="5"/>
      <c r="J3538" s="21" t="s">
        <v>2272</v>
      </c>
      <c r="K3538" s="21" t="s">
        <v>2272</v>
      </c>
      <c r="L3538" s="21" t="s">
        <v>2272</v>
      </c>
      <c r="M3538" s="21" t="s">
        <v>2272</v>
      </c>
      <c r="N3538" s="21" t="s">
        <v>2272</v>
      </c>
      <c r="O3538" s="21" t="s">
        <v>2272</v>
      </c>
      <c r="P3538" s="21" t="s">
        <v>2272</v>
      </c>
      <c r="Q3538" s="21" t="s">
        <v>2272</v>
      </c>
      <c r="R3538" s="21" t="s">
        <v>2272</v>
      </c>
      <c r="S3538" s="21" t="s">
        <v>2272</v>
      </c>
      <c r="T3538" s="21" t="s">
        <v>2272</v>
      </c>
      <c r="U3538" s="21" t="s">
        <v>2272</v>
      </c>
      <c r="V3538" s="21" t="s">
        <v>2272</v>
      </c>
      <c r="W3538" s="21" t="s">
        <v>2272</v>
      </c>
      <c r="X3538" s="21" t="s">
        <v>2272</v>
      </c>
      <c r="Y3538" s="21" t="s">
        <v>2272</v>
      </c>
      <c r="Z3538" s="21" t="s">
        <v>2272</v>
      </c>
      <c r="AA3538" s="21" t="s">
        <v>2272</v>
      </c>
      <c r="AB3538" s="198"/>
      <c r="AC3538" s="198"/>
    </row>
    <row r="3539" spans="1:29" ht="54" customHeight="1">
      <c r="A3539" s="151" t="str">
        <f>'Reported burning'!A3539</f>
        <v>380a</v>
      </c>
      <c r="B3539" s="151" t="str">
        <f>'Reported burning'!B3539</f>
        <v>380a.7</v>
      </c>
      <c r="C3539" s="151" t="str">
        <f>'Reported burning'!C3539</f>
        <v>Human, accidental</v>
      </c>
      <c r="D3539" s="151" t="str">
        <f>'Reported burning'!D3539</f>
        <v>Accidental</v>
      </c>
      <c r="E3539" s="151" t="str">
        <f>'Reported burning'!E3539</f>
        <v>ND</v>
      </c>
      <c r="F3539" s="151" t="str">
        <f>'Reported burning'!F3539</f>
        <v>All</v>
      </c>
      <c r="G3539" s="151" t="str">
        <f>'Reported burning'!G3539</f>
        <v>Forest</v>
      </c>
      <c r="H3539" s="151" t="str">
        <f>'Reported burning'!H3539</f>
        <v>Presence</v>
      </c>
      <c r="I3539" s="5"/>
      <c r="J3539" s="21" t="s">
        <v>2272</v>
      </c>
      <c r="K3539" s="21" t="s">
        <v>2272</v>
      </c>
      <c r="L3539" s="21" t="s">
        <v>2272</v>
      </c>
      <c r="M3539" s="21" t="s">
        <v>2272</v>
      </c>
      <c r="N3539" s="21" t="s">
        <v>2272</v>
      </c>
      <c r="O3539" s="21" t="s">
        <v>2272</v>
      </c>
      <c r="P3539" s="21" t="s">
        <v>2272</v>
      </c>
      <c r="Q3539" s="21" t="s">
        <v>2272</v>
      </c>
      <c r="R3539" s="21" t="s">
        <v>2272</v>
      </c>
      <c r="S3539" s="21" t="s">
        <v>2272</v>
      </c>
      <c r="T3539" s="21" t="s">
        <v>2272</v>
      </c>
      <c r="U3539" s="21" t="s">
        <v>2272</v>
      </c>
      <c r="V3539" s="21" t="s">
        <v>2272</v>
      </c>
      <c r="W3539" s="21" t="s">
        <v>2272</v>
      </c>
      <c r="X3539" s="21" t="s">
        <v>2272</v>
      </c>
      <c r="Y3539" s="21" t="s">
        <v>2272</v>
      </c>
      <c r="Z3539" s="21" t="s">
        <v>2272</v>
      </c>
      <c r="AA3539" s="21" t="s">
        <v>2272</v>
      </c>
      <c r="AB3539" s="198"/>
      <c r="AC3539" s="198"/>
    </row>
    <row r="3540" spans="1:29" ht="54" customHeight="1">
      <c r="A3540" s="151" t="str">
        <f>'Reported burning'!A3540</f>
        <v>381a</v>
      </c>
      <c r="B3540" s="151" t="str">
        <f>'Reported burning'!B3540</f>
        <v>381a.1</v>
      </c>
      <c r="C3540" s="151" t="str">
        <f>'Reported burning'!C3540</f>
        <v>Human, escaped</v>
      </c>
      <c r="D3540" s="151" t="str">
        <f>'Reported burning'!D3540</f>
        <v>ND</v>
      </c>
      <c r="E3540" s="151" t="str">
        <f>'Reported burning'!E3540</f>
        <v>All</v>
      </c>
      <c r="F3540" s="151" t="str">
        <f>'Reported burning'!F3540</f>
        <v>ND</v>
      </c>
      <c r="G3540" s="151" t="str">
        <f>'Reported burning'!G3540</f>
        <v>Shrubland (Mixed forest &amp; grassland)</v>
      </c>
      <c r="H3540" s="151" t="str">
        <f>'Reported burning'!H3540</f>
        <v>Presence</v>
      </c>
      <c r="I3540" s="5"/>
      <c r="J3540" s="172" t="s">
        <v>2272</v>
      </c>
      <c r="K3540" s="172" t="s">
        <v>2272</v>
      </c>
      <c r="L3540" s="172" t="s">
        <v>2272</v>
      </c>
      <c r="M3540" s="172" t="s">
        <v>2272</v>
      </c>
      <c r="N3540" s="172" t="s">
        <v>2272</v>
      </c>
      <c r="O3540" s="172" t="s">
        <v>2272</v>
      </c>
      <c r="P3540" s="172" t="s">
        <v>2272</v>
      </c>
      <c r="Q3540" s="172" t="s">
        <v>2272</v>
      </c>
      <c r="R3540" s="172" t="s">
        <v>2272</v>
      </c>
      <c r="S3540" s="172" t="s">
        <v>2272</v>
      </c>
      <c r="T3540" s="21" t="s">
        <v>2272</v>
      </c>
      <c r="U3540" s="21" t="s">
        <v>2272</v>
      </c>
      <c r="V3540" s="21" t="s">
        <v>2272</v>
      </c>
      <c r="W3540" s="21" t="s">
        <v>2272</v>
      </c>
      <c r="X3540" s="21" t="s">
        <v>2272</v>
      </c>
      <c r="Y3540" s="21" t="s">
        <v>2272</v>
      </c>
      <c r="Z3540" s="21" t="s">
        <v>2272</v>
      </c>
      <c r="AA3540" s="21" t="s">
        <v>2272</v>
      </c>
      <c r="AB3540" s="4" t="s">
        <v>9169</v>
      </c>
      <c r="AC3540" s="4" t="s">
        <v>9226</v>
      </c>
    </row>
    <row r="3541" spans="1:29" ht="102.5" customHeight="1">
      <c r="A3541" s="151" t="str">
        <f>'Reported burning'!A3541</f>
        <v>381aa</v>
      </c>
      <c r="B3541" s="151" t="str">
        <f>'Reported burning'!B3541</f>
        <v>381aa.1</v>
      </c>
      <c r="C3541" s="151" t="str">
        <f>'Reported burning'!C3541</f>
        <v>Human, escaped</v>
      </c>
      <c r="D3541" s="151" t="str">
        <f>'Reported burning'!D3541</f>
        <v>ND</v>
      </c>
      <c r="E3541" s="151" t="str">
        <f>'Reported burning'!E3541</f>
        <v>All</v>
      </c>
      <c r="F3541" s="151" t="str">
        <f>'Reported burning'!F3541</f>
        <v>ND</v>
      </c>
      <c r="G3541" s="151" t="str">
        <f>'Reported burning'!G3541</f>
        <v>Shrubland (Mixed forest &amp; grassland)</v>
      </c>
      <c r="H3541" s="151" t="str">
        <f>'Reported burning'!H3541</f>
        <v>Presence</v>
      </c>
      <c r="I3541" s="5"/>
      <c r="J3541" s="172" t="s">
        <v>2272</v>
      </c>
      <c r="K3541" s="172" t="s">
        <v>2272</v>
      </c>
      <c r="L3541" s="172" t="s">
        <v>2272</v>
      </c>
      <c r="M3541" s="172" t="s">
        <v>2272</v>
      </c>
      <c r="N3541" s="172" t="s">
        <v>2272</v>
      </c>
      <c r="O3541" s="172" t="s">
        <v>2272</v>
      </c>
      <c r="P3541" s="172" t="s">
        <v>2272</v>
      </c>
      <c r="Q3541" s="172" t="s">
        <v>2272</v>
      </c>
      <c r="R3541" s="172" t="s">
        <v>2272</v>
      </c>
      <c r="S3541" s="172" t="s">
        <v>2272</v>
      </c>
      <c r="T3541" s="21" t="s">
        <v>2272</v>
      </c>
      <c r="U3541" s="21" t="s">
        <v>2272</v>
      </c>
      <c r="V3541" s="21" t="s">
        <v>2272</v>
      </c>
      <c r="W3541" s="21" t="s">
        <v>2272</v>
      </c>
      <c r="X3541" s="21" t="s">
        <v>2272</v>
      </c>
      <c r="Y3541" s="21" t="s">
        <v>2272</v>
      </c>
      <c r="Z3541" s="21" t="s">
        <v>2272</v>
      </c>
      <c r="AA3541" s="21" t="s">
        <v>2272</v>
      </c>
      <c r="AB3541" s="4" t="s">
        <v>9169</v>
      </c>
      <c r="AC3541" s="4" t="s">
        <v>9226</v>
      </c>
    </row>
    <row r="3542" spans="1:29" ht="102.5" customHeight="1">
      <c r="A3542" s="151" t="str">
        <f>'Reported burning'!A3542</f>
        <v>381ba</v>
      </c>
      <c r="B3542" s="151" t="str">
        <f>'Reported burning'!B3542</f>
        <v>381ba.1</v>
      </c>
      <c r="C3542" s="151" t="str">
        <f>'Reported burning'!C3542</f>
        <v>Human, escaped</v>
      </c>
      <c r="D3542" s="151" t="str">
        <f>'Reported burning'!D3542</f>
        <v>ND</v>
      </c>
      <c r="E3542" s="151" t="str">
        <f>'Reported burning'!E3542</f>
        <v>All</v>
      </c>
      <c r="F3542" s="151" t="str">
        <f>'Reported burning'!F3542</f>
        <v>ND</v>
      </c>
      <c r="G3542" s="151" t="str">
        <f>'Reported burning'!G3542</f>
        <v>Shrubland (Mixed forest &amp; grassland)</v>
      </c>
      <c r="H3542" s="151" t="str">
        <f>'Reported burning'!H3542</f>
        <v>Presence</v>
      </c>
      <c r="I3542" s="5"/>
      <c r="J3542" s="172" t="s">
        <v>2272</v>
      </c>
      <c r="K3542" s="172" t="s">
        <v>2272</v>
      </c>
      <c r="L3542" s="172" t="s">
        <v>2272</v>
      </c>
      <c r="M3542" s="172" t="s">
        <v>2272</v>
      </c>
      <c r="N3542" s="172" t="s">
        <v>2272</v>
      </c>
      <c r="O3542" s="172" t="s">
        <v>2272</v>
      </c>
      <c r="P3542" s="172" t="s">
        <v>2272</v>
      </c>
      <c r="Q3542" s="172" t="s">
        <v>2272</v>
      </c>
      <c r="R3542" s="172" t="s">
        <v>2272</v>
      </c>
      <c r="S3542" s="172" t="s">
        <v>2272</v>
      </c>
      <c r="T3542" s="21" t="s">
        <v>2272</v>
      </c>
      <c r="U3542" s="21" t="s">
        <v>2272</v>
      </c>
      <c r="V3542" s="21" t="s">
        <v>2272</v>
      </c>
      <c r="W3542" s="21" t="s">
        <v>2272</v>
      </c>
      <c r="X3542" s="21" t="s">
        <v>2272</v>
      </c>
      <c r="Y3542" s="21" t="s">
        <v>2272</v>
      </c>
      <c r="Z3542" s="21" t="s">
        <v>2272</v>
      </c>
      <c r="AA3542" s="21" t="s">
        <v>2272</v>
      </c>
      <c r="AB3542" s="4" t="s">
        <v>9169</v>
      </c>
      <c r="AC3542" s="4" t="s">
        <v>9226</v>
      </c>
    </row>
    <row r="3543" spans="1:29" ht="102.5" customHeight="1">
      <c r="A3543" s="151" t="str">
        <f>'Reported burning'!A3543</f>
        <v>381b</v>
      </c>
      <c r="B3543" s="151" t="str">
        <f>'Reported burning'!B3543</f>
        <v>381b.1</v>
      </c>
      <c r="C3543" s="151" t="str">
        <f>'Reported burning'!C3543</f>
        <v>Human, escaped</v>
      </c>
      <c r="D3543" s="151" t="str">
        <f>'Reported burning'!D3543</f>
        <v>ND</v>
      </c>
      <c r="E3543" s="151" t="str">
        <f>'Reported burning'!E3543</f>
        <v>All</v>
      </c>
      <c r="F3543" s="151" t="str">
        <f>'Reported burning'!F3543</f>
        <v>ND</v>
      </c>
      <c r="G3543" s="151" t="str">
        <f>'Reported burning'!G3543</f>
        <v>Shrubland (Mixed forest &amp; grassland)</v>
      </c>
      <c r="H3543" s="151" t="str">
        <f>'Reported burning'!H3543</f>
        <v>Absence</v>
      </c>
      <c r="I3543" s="5"/>
      <c r="J3543" s="21">
        <v>0</v>
      </c>
      <c r="K3543" s="21">
        <v>0</v>
      </c>
      <c r="L3543" s="21">
        <v>0</v>
      </c>
      <c r="M3543" s="21">
        <v>0</v>
      </c>
      <c r="N3543" s="21">
        <v>0</v>
      </c>
      <c r="O3543" s="21">
        <v>0</v>
      </c>
      <c r="P3543" s="21">
        <v>0</v>
      </c>
      <c r="Q3543" s="21">
        <v>0</v>
      </c>
      <c r="R3543" s="21">
        <v>0</v>
      </c>
      <c r="S3543" s="21">
        <v>0</v>
      </c>
      <c r="T3543" s="21">
        <v>0</v>
      </c>
      <c r="U3543" s="21">
        <v>0</v>
      </c>
      <c r="V3543" s="21">
        <v>0</v>
      </c>
      <c r="W3543" s="21">
        <v>0</v>
      </c>
      <c r="X3543" s="21" t="s">
        <v>2272</v>
      </c>
      <c r="Y3543" s="21" t="s">
        <v>2272</v>
      </c>
      <c r="Z3543" s="21" t="s">
        <v>2272</v>
      </c>
      <c r="AA3543" s="21" t="s">
        <v>2272</v>
      </c>
      <c r="AB3543" s="4" t="s">
        <v>9169</v>
      </c>
      <c r="AC3543" s="4" t="s">
        <v>9226</v>
      </c>
    </row>
    <row r="3544" spans="1:29" ht="102.5" customHeight="1">
      <c r="A3544" s="151" t="str">
        <f>'Reported burning'!A3544</f>
        <v>381c</v>
      </c>
      <c r="B3544" s="151" t="str">
        <f>'Reported burning'!B3544</f>
        <v>381c.1</v>
      </c>
      <c r="C3544" s="151" t="str">
        <f>'Reported burning'!C3544</f>
        <v>Human, escaped</v>
      </c>
      <c r="D3544" s="151" t="str">
        <f>'Reported burning'!D3544</f>
        <v>ND</v>
      </c>
      <c r="E3544" s="151" t="str">
        <f>'Reported burning'!E3544</f>
        <v>All</v>
      </c>
      <c r="F3544" s="151" t="str">
        <f>'Reported burning'!F3544</f>
        <v>ND</v>
      </c>
      <c r="G3544" s="151" t="str">
        <f>'Reported burning'!G3544</f>
        <v>Shrubland (Mixed forest &amp; grassland)</v>
      </c>
      <c r="H3544" s="151" t="str">
        <f>'Reported burning'!H3544</f>
        <v>Absence</v>
      </c>
      <c r="I3544" s="5"/>
      <c r="J3544" s="21">
        <v>0</v>
      </c>
      <c r="K3544" s="21">
        <v>0</v>
      </c>
      <c r="L3544" s="21">
        <v>0</v>
      </c>
      <c r="M3544" s="21">
        <v>0</v>
      </c>
      <c r="N3544" s="21">
        <v>0</v>
      </c>
      <c r="O3544" s="21">
        <v>0</v>
      </c>
      <c r="P3544" s="21">
        <v>0</v>
      </c>
      <c r="Q3544" s="21">
        <v>0</v>
      </c>
      <c r="R3544" s="21">
        <v>0</v>
      </c>
      <c r="S3544" s="21">
        <v>0</v>
      </c>
      <c r="T3544" s="21">
        <v>0</v>
      </c>
      <c r="U3544" s="21">
        <v>0</v>
      </c>
      <c r="V3544" s="21">
        <v>0</v>
      </c>
      <c r="W3544" s="21">
        <v>0</v>
      </c>
      <c r="X3544" s="21" t="s">
        <v>2272</v>
      </c>
      <c r="Y3544" s="21" t="s">
        <v>2272</v>
      </c>
      <c r="Z3544" s="21" t="s">
        <v>2272</v>
      </c>
      <c r="AA3544" s="21" t="s">
        <v>2272</v>
      </c>
      <c r="AB3544" s="4" t="s">
        <v>9169</v>
      </c>
      <c r="AC3544" s="4" t="s">
        <v>9226</v>
      </c>
    </row>
    <row r="3545" spans="1:29" ht="102.5" customHeight="1">
      <c r="A3545" s="151" t="str">
        <f>'Reported burning'!A3545</f>
        <v>381d</v>
      </c>
      <c r="B3545" s="151" t="str">
        <f>'Reported burning'!B3545</f>
        <v>381d.1</v>
      </c>
      <c r="C3545" s="151" t="str">
        <f>'Reported burning'!C3545</f>
        <v>Human, escaped</v>
      </c>
      <c r="D3545" s="151" t="str">
        <f>'Reported burning'!D3545</f>
        <v>ND</v>
      </c>
      <c r="E3545" s="151" t="str">
        <f>'Reported burning'!E3545</f>
        <v>All</v>
      </c>
      <c r="F3545" s="151" t="str">
        <f>'Reported burning'!F3545</f>
        <v>ND</v>
      </c>
      <c r="G3545" s="151" t="str">
        <f>'Reported burning'!G3545</f>
        <v>Shrubland (Mixed forest &amp; grassland)</v>
      </c>
      <c r="H3545" s="151" t="str">
        <f>'Reported burning'!H3545</f>
        <v>Absence</v>
      </c>
      <c r="I3545" s="5"/>
      <c r="J3545" s="21">
        <v>0</v>
      </c>
      <c r="K3545" s="21">
        <v>0</v>
      </c>
      <c r="L3545" s="21">
        <v>0</v>
      </c>
      <c r="M3545" s="21">
        <v>0</v>
      </c>
      <c r="N3545" s="21">
        <v>0</v>
      </c>
      <c r="O3545" s="21">
        <v>0</v>
      </c>
      <c r="P3545" s="21">
        <v>0</v>
      </c>
      <c r="Q3545" s="21">
        <v>0</v>
      </c>
      <c r="R3545" s="21">
        <v>0</v>
      </c>
      <c r="S3545" s="21">
        <v>0</v>
      </c>
      <c r="T3545" s="21">
        <v>0</v>
      </c>
      <c r="U3545" s="21">
        <v>0</v>
      </c>
      <c r="V3545" s="21">
        <v>0</v>
      </c>
      <c r="W3545" s="21">
        <v>0</v>
      </c>
      <c r="X3545" s="21" t="s">
        <v>2272</v>
      </c>
      <c r="Y3545" s="21" t="s">
        <v>2272</v>
      </c>
      <c r="Z3545" s="21" t="s">
        <v>2272</v>
      </c>
      <c r="AA3545" s="21" t="s">
        <v>2272</v>
      </c>
      <c r="AB3545" s="4" t="s">
        <v>9169</v>
      </c>
      <c r="AC3545" s="4" t="s">
        <v>9226</v>
      </c>
    </row>
    <row r="3546" spans="1:29" ht="102.5" customHeight="1">
      <c r="A3546" s="151" t="str">
        <f>'Reported burning'!A3546</f>
        <v>381e</v>
      </c>
      <c r="B3546" s="151" t="str">
        <f>'Reported burning'!B3546</f>
        <v>381e.1</v>
      </c>
      <c r="C3546" s="151" t="str">
        <f>'Reported burning'!C3546</f>
        <v>Human, escaped</v>
      </c>
      <c r="D3546" s="151" t="str">
        <f>'Reported burning'!D3546</f>
        <v>ND</v>
      </c>
      <c r="E3546" s="151" t="str">
        <f>'Reported burning'!E3546</f>
        <v>All</v>
      </c>
      <c r="F3546" s="151" t="str">
        <f>'Reported burning'!F3546</f>
        <v>ND</v>
      </c>
      <c r="G3546" s="151" t="str">
        <f>'Reported burning'!G3546</f>
        <v>Shrubland (Mixed forest &amp; grassland)</v>
      </c>
      <c r="H3546" s="151" t="str">
        <f>'Reported burning'!H3546</f>
        <v>Presence</v>
      </c>
      <c r="I3546" s="5"/>
      <c r="J3546" s="172" t="s">
        <v>2272</v>
      </c>
      <c r="K3546" s="172" t="s">
        <v>2272</v>
      </c>
      <c r="L3546" s="172" t="s">
        <v>2272</v>
      </c>
      <c r="M3546" s="172" t="s">
        <v>2272</v>
      </c>
      <c r="N3546" s="172" t="s">
        <v>2272</v>
      </c>
      <c r="O3546" s="172" t="s">
        <v>2272</v>
      </c>
      <c r="P3546" s="172" t="s">
        <v>2272</v>
      </c>
      <c r="Q3546" s="172" t="s">
        <v>2272</v>
      </c>
      <c r="R3546" s="172" t="s">
        <v>2272</v>
      </c>
      <c r="S3546" s="172" t="s">
        <v>2272</v>
      </c>
      <c r="T3546" s="172" t="s">
        <v>2272</v>
      </c>
      <c r="U3546" s="172" t="s">
        <v>2272</v>
      </c>
      <c r="V3546" s="172" t="s">
        <v>2272</v>
      </c>
      <c r="W3546" s="172" t="s">
        <v>2272</v>
      </c>
      <c r="X3546" s="172" t="s">
        <v>2272</v>
      </c>
      <c r="Y3546" s="172" t="s">
        <v>2272</v>
      </c>
      <c r="Z3546" s="172" t="s">
        <v>2272</v>
      </c>
      <c r="AA3546" s="172" t="s">
        <v>2272</v>
      </c>
      <c r="AB3546" s="4" t="s">
        <v>9169</v>
      </c>
      <c r="AC3546" s="4" t="s">
        <v>9226</v>
      </c>
    </row>
    <row r="3547" spans="1:29" ht="102.5" customHeight="1">
      <c r="A3547" s="151" t="str">
        <f>'Reported burning'!A3547</f>
        <v>381f</v>
      </c>
      <c r="B3547" s="151" t="str">
        <f>'Reported burning'!B3547</f>
        <v>381f.1</v>
      </c>
      <c r="C3547" s="151" t="str">
        <f>'Reported burning'!C3547</f>
        <v>Human, escaped</v>
      </c>
      <c r="D3547" s="151" t="str">
        <f>'Reported burning'!D3547</f>
        <v>ND</v>
      </c>
      <c r="E3547" s="151" t="str">
        <f>'Reported burning'!E3547</f>
        <v>All</v>
      </c>
      <c r="F3547" s="151" t="str">
        <f>'Reported burning'!F3547</f>
        <v>ND</v>
      </c>
      <c r="G3547" s="151" t="str">
        <f>'Reported burning'!G3547</f>
        <v>Shrubland (Mixed forest &amp; grassland)</v>
      </c>
      <c r="H3547" s="151" t="str">
        <f>'Reported burning'!H3547</f>
        <v>Presence</v>
      </c>
      <c r="I3547" s="5"/>
      <c r="J3547" s="172" t="s">
        <v>2272</v>
      </c>
      <c r="K3547" s="172" t="s">
        <v>2272</v>
      </c>
      <c r="L3547" s="172" t="s">
        <v>2272</v>
      </c>
      <c r="M3547" s="172" t="s">
        <v>2272</v>
      </c>
      <c r="N3547" s="172" t="s">
        <v>2272</v>
      </c>
      <c r="O3547" s="172" t="s">
        <v>2272</v>
      </c>
      <c r="P3547" s="172" t="s">
        <v>2272</v>
      </c>
      <c r="Q3547" s="172" t="s">
        <v>2272</v>
      </c>
      <c r="R3547" s="172" t="s">
        <v>2272</v>
      </c>
      <c r="S3547" s="172" t="s">
        <v>2272</v>
      </c>
      <c r="T3547" s="172" t="s">
        <v>2272</v>
      </c>
      <c r="U3547" s="172" t="s">
        <v>2272</v>
      </c>
      <c r="V3547" s="172" t="s">
        <v>2272</v>
      </c>
      <c r="W3547" s="172" t="s">
        <v>2272</v>
      </c>
      <c r="X3547" s="172" t="s">
        <v>2272</v>
      </c>
      <c r="Y3547" s="172" t="s">
        <v>2272</v>
      </c>
      <c r="Z3547" s="172" t="s">
        <v>2272</v>
      </c>
      <c r="AA3547" s="172" t="s">
        <v>2272</v>
      </c>
      <c r="AB3547" s="4" t="s">
        <v>9169</v>
      </c>
      <c r="AC3547" s="4" t="s">
        <v>9226</v>
      </c>
    </row>
    <row r="3548" spans="1:29" ht="102.5" customHeight="1">
      <c r="A3548" s="151" t="str">
        <f>'Reported burning'!A3548</f>
        <v>381g</v>
      </c>
      <c r="B3548" s="151" t="str">
        <f>'Reported burning'!B3548</f>
        <v>381g.1</v>
      </c>
      <c r="C3548" s="151" t="str">
        <f>'Reported burning'!C3548</f>
        <v>Human, escaped</v>
      </c>
      <c r="D3548" s="151" t="str">
        <f>'Reported burning'!D3548</f>
        <v>ND</v>
      </c>
      <c r="E3548" s="151" t="str">
        <f>'Reported burning'!E3548</f>
        <v>All</v>
      </c>
      <c r="F3548" s="151" t="str">
        <f>'Reported burning'!F3548</f>
        <v>ND</v>
      </c>
      <c r="G3548" s="151" t="str">
        <f>'Reported burning'!G3548</f>
        <v>Shrubland (Mixed forest &amp; grassland)</v>
      </c>
      <c r="H3548" s="151" t="str">
        <f>'Reported burning'!H3548</f>
        <v>Presence</v>
      </c>
      <c r="I3548" s="5"/>
      <c r="J3548" s="172" t="s">
        <v>2272</v>
      </c>
      <c r="K3548" s="172" t="s">
        <v>2272</v>
      </c>
      <c r="L3548" s="172" t="s">
        <v>2272</v>
      </c>
      <c r="M3548" s="172" t="s">
        <v>2272</v>
      </c>
      <c r="N3548" s="172" t="s">
        <v>2272</v>
      </c>
      <c r="O3548" s="172" t="s">
        <v>2272</v>
      </c>
      <c r="P3548" s="172" t="s">
        <v>2272</v>
      </c>
      <c r="Q3548" s="172" t="s">
        <v>2272</v>
      </c>
      <c r="R3548" s="172" t="s">
        <v>2272</v>
      </c>
      <c r="S3548" s="172" t="s">
        <v>2272</v>
      </c>
      <c r="T3548" s="172" t="s">
        <v>2272</v>
      </c>
      <c r="U3548" s="172" t="s">
        <v>2272</v>
      </c>
      <c r="V3548" s="172" t="s">
        <v>2272</v>
      </c>
      <c r="W3548" s="172" t="s">
        <v>2272</v>
      </c>
      <c r="X3548" s="172" t="s">
        <v>2272</v>
      </c>
      <c r="Y3548" s="172" t="s">
        <v>2272</v>
      </c>
      <c r="Z3548" s="172" t="s">
        <v>2272</v>
      </c>
      <c r="AA3548" s="172" t="s">
        <v>2272</v>
      </c>
      <c r="AB3548" s="4" t="s">
        <v>9169</v>
      </c>
      <c r="AC3548" s="4" t="s">
        <v>9226</v>
      </c>
    </row>
    <row r="3549" spans="1:29" ht="102.5" customHeight="1">
      <c r="A3549" s="151" t="str">
        <f>'Reported burning'!A3549</f>
        <v>381h</v>
      </c>
      <c r="B3549" s="151" t="str">
        <f>'Reported burning'!B3549</f>
        <v>381h.1</v>
      </c>
      <c r="C3549" s="151" t="str">
        <f>'Reported burning'!C3549</f>
        <v>Human, escaped</v>
      </c>
      <c r="D3549" s="151" t="str">
        <f>'Reported burning'!D3549</f>
        <v>ND</v>
      </c>
      <c r="E3549" s="151" t="str">
        <f>'Reported burning'!E3549</f>
        <v>All</v>
      </c>
      <c r="F3549" s="151" t="str">
        <f>'Reported burning'!F3549</f>
        <v>ND</v>
      </c>
      <c r="G3549" s="151" t="str">
        <f>'Reported burning'!G3549</f>
        <v>Shrubland (Mixed forest &amp; grassland)</v>
      </c>
      <c r="H3549" s="151" t="str">
        <f>'Reported burning'!H3549</f>
        <v>Presence</v>
      </c>
      <c r="I3549" s="5"/>
      <c r="J3549" s="172" t="s">
        <v>2272</v>
      </c>
      <c r="K3549" s="172" t="s">
        <v>2272</v>
      </c>
      <c r="L3549" s="172" t="s">
        <v>2272</v>
      </c>
      <c r="M3549" s="172" t="s">
        <v>2272</v>
      </c>
      <c r="N3549" s="172" t="s">
        <v>2272</v>
      </c>
      <c r="O3549" s="172" t="s">
        <v>2272</v>
      </c>
      <c r="P3549" s="172" t="s">
        <v>2272</v>
      </c>
      <c r="Q3549" s="172" t="s">
        <v>2272</v>
      </c>
      <c r="R3549" s="172" t="s">
        <v>2272</v>
      </c>
      <c r="S3549" s="172" t="s">
        <v>2272</v>
      </c>
      <c r="T3549" s="172" t="s">
        <v>2272</v>
      </c>
      <c r="U3549" s="172" t="s">
        <v>2272</v>
      </c>
      <c r="V3549" s="172" t="s">
        <v>2272</v>
      </c>
      <c r="W3549" s="172" t="s">
        <v>2272</v>
      </c>
      <c r="X3549" s="172" t="s">
        <v>2272</v>
      </c>
      <c r="Y3549" s="172" t="s">
        <v>2272</v>
      </c>
      <c r="Z3549" s="172" t="s">
        <v>2272</v>
      </c>
      <c r="AA3549" s="172" t="s">
        <v>2272</v>
      </c>
      <c r="AB3549" s="4" t="s">
        <v>9169</v>
      </c>
      <c r="AC3549" s="4" t="s">
        <v>9226</v>
      </c>
    </row>
    <row r="3550" spans="1:29" ht="102.5" customHeight="1">
      <c r="A3550" s="151" t="str">
        <f>'Reported burning'!A3550</f>
        <v>381i</v>
      </c>
      <c r="B3550" s="151" t="str">
        <f>'Reported burning'!B3550</f>
        <v>381i.1</v>
      </c>
      <c r="C3550" s="151" t="str">
        <f>'Reported burning'!C3550</f>
        <v>Human, escaped</v>
      </c>
      <c r="D3550" s="151" t="str">
        <f>'Reported burning'!D3550</f>
        <v>ND</v>
      </c>
      <c r="E3550" s="151" t="str">
        <f>'Reported burning'!E3550</f>
        <v>All</v>
      </c>
      <c r="F3550" s="151" t="str">
        <f>'Reported burning'!F3550</f>
        <v>ND</v>
      </c>
      <c r="G3550" s="151" t="str">
        <f>'Reported burning'!G3550</f>
        <v>Shrubland (Mixed forest &amp; grassland)</v>
      </c>
      <c r="H3550" s="151" t="str">
        <f>'Reported burning'!H3550</f>
        <v>Presence</v>
      </c>
      <c r="I3550" s="5"/>
      <c r="J3550" s="172" t="s">
        <v>2272</v>
      </c>
      <c r="K3550" s="172" t="s">
        <v>2272</v>
      </c>
      <c r="L3550" s="172" t="s">
        <v>2272</v>
      </c>
      <c r="M3550" s="172" t="s">
        <v>2272</v>
      </c>
      <c r="N3550" s="172" t="s">
        <v>2272</v>
      </c>
      <c r="O3550" s="172" t="s">
        <v>2272</v>
      </c>
      <c r="P3550" s="172" t="s">
        <v>2272</v>
      </c>
      <c r="Q3550" s="172" t="s">
        <v>2272</v>
      </c>
      <c r="R3550" s="172" t="s">
        <v>2272</v>
      </c>
      <c r="S3550" s="172" t="s">
        <v>2272</v>
      </c>
      <c r="T3550" s="172" t="s">
        <v>2272</v>
      </c>
      <c r="U3550" s="172" t="s">
        <v>2272</v>
      </c>
      <c r="V3550" s="172" t="s">
        <v>2272</v>
      </c>
      <c r="W3550" s="172" t="s">
        <v>2272</v>
      </c>
      <c r="X3550" s="172" t="s">
        <v>2272</v>
      </c>
      <c r="Y3550" s="172" t="s">
        <v>2272</v>
      </c>
      <c r="Z3550" s="172" t="s">
        <v>2272</v>
      </c>
      <c r="AA3550" s="172" t="s">
        <v>2272</v>
      </c>
      <c r="AB3550" s="4" t="s">
        <v>9169</v>
      </c>
      <c r="AC3550" s="4" t="s">
        <v>9226</v>
      </c>
    </row>
    <row r="3551" spans="1:29" ht="102.5" customHeight="1">
      <c r="A3551" s="151" t="str">
        <f>'Reported burning'!A3551</f>
        <v>381j</v>
      </c>
      <c r="B3551" s="151" t="str">
        <f>'Reported burning'!B3551</f>
        <v>381j.1</v>
      </c>
      <c r="C3551" s="151" t="str">
        <f>'Reported burning'!C3551</f>
        <v>Human, escaped</v>
      </c>
      <c r="D3551" s="151" t="str">
        <f>'Reported burning'!D3551</f>
        <v>ND</v>
      </c>
      <c r="E3551" s="151" t="str">
        <f>'Reported burning'!E3551</f>
        <v>All</v>
      </c>
      <c r="F3551" s="151" t="str">
        <f>'Reported burning'!F3551</f>
        <v>ND</v>
      </c>
      <c r="G3551" s="151" t="str">
        <f>'Reported burning'!G3551</f>
        <v>Shrubland (Mixed forest &amp; grassland)</v>
      </c>
      <c r="H3551" s="151" t="str">
        <f>'Reported burning'!H3551</f>
        <v>Presence</v>
      </c>
      <c r="I3551" s="5"/>
      <c r="J3551" s="172" t="s">
        <v>2272</v>
      </c>
      <c r="K3551" s="172" t="s">
        <v>2272</v>
      </c>
      <c r="L3551" s="172" t="s">
        <v>2272</v>
      </c>
      <c r="M3551" s="172" t="s">
        <v>2272</v>
      </c>
      <c r="N3551" s="172" t="s">
        <v>2272</v>
      </c>
      <c r="O3551" s="172" t="s">
        <v>2272</v>
      </c>
      <c r="P3551" s="172" t="s">
        <v>2272</v>
      </c>
      <c r="Q3551" s="172" t="s">
        <v>2272</v>
      </c>
      <c r="R3551" s="172" t="s">
        <v>2272</v>
      </c>
      <c r="S3551" s="172" t="s">
        <v>2272</v>
      </c>
      <c r="T3551" s="172" t="s">
        <v>2272</v>
      </c>
      <c r="U3551" s="172" t="s">
        <v>2272</v>
      </c>
      <c r="V3551" s="172" t="s">
        <v>2272</v>
      </c>
      <c r="W3551" s="172" t="s">
        <v>2272</v>
      </c>
      <c r="X3551" s="172" t="s">
        <v>2272</v>
      </c>
      <c r="Y3551" s="172" t="s">
        <v>2272</v>
      </c>
      <c r="Z3551" s="172" t="s">
        <v>2272</v>
      </c>
      <c r="AA3551" s="172" t="s">
        <v>2272</v>
      </c>
      <c r="AB3551" s="4" t="s">
        <v>9169</v>
      </c>
      <c r="AC3551" s="4" t="s">
        <v>9226</v>
      </c>
    </row>
    <row r="3552" spans="1:29" ht="102.5" customHeight="1">
      <c r="A3552" s="151" t="str">
        <f>'Reported burning'!A3552</f>
        <v>381k</v>
      </c>
      <c r="B3552" s="151" t="str">
        <f>'Reported burning'!B3552</f>
        <v>381k.1</v>
      </c>
      <c r="C3552" s="151" t="str">
        <f>'Reported burning'!C3552</f>
        <v>Human, escaped</v>
      </c>
      <c r="D3552" s="151" t="str">
        <f>'Reported burning'!D3552</f>
        <v>ND</v>
      </c>
      <c r="E3552" s="151" t="str">
        <f>'Reported burning'!E3552</f>
        <v>All</v>
      </c>
      <c r="F3552" s="151" t="str">
        <f>'Reported burning'!F3552</f>
        <v>ND</v>
      </c>
      <c r="G3552" s="151" t="str">
        <f>'Reported burning'!G3552</f>
        <v>Shrubland (Mixed forest &amp; grassland)</v>
      </c>
      <c r="H3552" s="151" t="str">
        <f>'Reported burning'!H3552</f>
        <v>Absence</v>
      </c>
      <c r="I3552" s="5"/>
      <c r="J3552" s="21">
        <v>0</v>
      </c>
      <c r="K3552" s="21">
        <v>0</v>
      </c>
      <c r="L3552" s="21">
        <v>0</v>
      </c>
      <c r="M3552" s="21">
        <v>0</v>
      </c>
      <c r="N3552" s="21">
        <v>0</v>
      </c>
      <c r="O3552" s="198">
        <v>0</v>
      </c>
      <c r="P3552" s="21">
        <v>0</v>
      </c>
      <c r="Q3552" s="21">
        <v>0</v>
      </c>
      <c r="R3552" s="21">
        <v>0</v>
      </c>
      <c r="S3552" s="21">
        <v>0</v>
      </c>
      <c r="T3552" s="21">
        <v>0</v>
      </c>
      <c r="U3552" s="21">
        <v>0</v>
      </c>
      <c r="V3552" s="21">
        <v>0</v>
      </c>
      <c r="W3552" s="21">
        <v>0</v>
      </c>
      <c r="X3552" s="172" t="s">
        <v>2272</v>
      </c>
      <c r="Y3552" s="172" t="s">
        <v>2272</v>
      </c>
      <c r="Z3552" s="172" t="s">
        <v>2272</v>
      </c>
      <c r="AA3552" s="172" t="s">
        <v>2272</v>
      </c>
      <c r="AB3552" s="4" t="s">
        <v>9169</v>
      </c>
      <c r="AC3552" s="4" t="s">
        <v>9226</v>
      </c>
    </row>
    <row r="3553" spans="1:29" ht="102.5" customHeight="1">
      <c r="A3553" s="151" t="str">
        <f>'Reported burning'!A3553</f>
        <v>381l</v>
      </c>
      <c r="B3553" s="151" t="str">
        <f>'Reported burning'!B3553</f>
        <v>381l.1</v>
      </c>
      <c r="C3553" s="151" t="str">
        <f>'Reported burning'!C3553</f>
        <v>Human, escaped</v>
      </c>
      <c r="D3553" s="151" t="str">
        <f>'Reported burning'!D3553</f>
        <v>ND</v>
      </c>
      <c r="E3553" s="151" t="str">
        <f>'Reported burning'!E3553</f>
        <v>All</v>
      </c>
      <c r="F3553" s="151" t="str">
        <f>'Reported burning'!F3553</f>
        <v>ND</v>
      </c>
      <c r="G3553" s="151" t="str">
        <f>'Reported burning'!G3553</f>
        <v>Shrubland (Mixed forest &amp; grassland)</v>
      </c>
      <c r="H3553" s="151" t="str">
        <f>'Reported burning'!H3553</f>
        <v>Presence</v>
      </c>
      <c r="I3553" s="5"/>
      <c r="J3553" s="172" t="s">
        <v>2272</v>
      </c>
      <c r="K3553" s="172" t="s">
        <v>2272</v>
      </c>
      <c r="L3553" s="172" t="s">
        <v>2272</v>
      </c>
      <c r="M3553" s="172" t="s">
        <v>2272</v>
      </c>
      <c r="N3553" s="172" t="s">
        <v>2272</v>
      </c>
      <c r="O3553" s="21" t="s">
        <v>2272</v>
      </c>
      <c r="P3553" s="172" t="s">
        <v>2272</v>
      </c>
      <c r="Q3553" s="172" t="s">
        <v>2272</v>
      </c>
      <c r="R3553" s="172" t="s">
        <v>2272</v>
      </c>
      <c r="S3553" s="172" t="s">
        <v>2272</v>
      </c>
      <c r="T3553" s="172" t="s">
        <v>2272</v>
      </c>
      <c r="U3553" s="172" t="s">
        <v>2272</v>
      </c>
      <c r="V3553" s="172" t="s">
        <v>2272</v>
      </c>
      <c r="W3553" s="172" t="s">
        <v>2272</v>
      </c>
      <c r="X3553" s="172" t="s">
        <v>2272</v>
      </c>
      <c r="Y3553" s="172" t="s">
        <v>2272</v>
      </c>
      <c r="Z3553" s="172" t="s">
        <v>2272</v>
      </c>
      <c r="AA3553" s="172" t="s">
        <v>2272</v>
      </c>
      <c r="AB3553" s="4" t="s">
        <v>9169</v>
      </c>
      <c r="AC3553" s="4" t="s">
        <v>9226</v>
      </c>
    </row>
    <row r="3554" spans="1:29" ht="102.5" customHeight="1">
      <c r="A3554" s="151" t="str">
        <f>'Reported burning'!A3554</f>
        <v>381m</v>
      </c>
      <c r="B3554" s="151" t="str">
        <f>'Reported burning'!B3554</f>
        <v>381m.1</v>
      </c>
      <c r="C3554" s="151" t="str">
        <f>'Reported burning'!C3554</f>
        <v>Human, escaped</v>
      </c>
      <c r="D3554" s="151" t="str">
        <f>'Reported burning'!D3554</f>
        <v>ND</v>
      </c>
      <c r="E3554" s="151" t="str">
        <f>'Reported burning'!E3554</f>
        <v>All</v>
      </c>
      <c r="F3554" s="151" t="str">
        <f>'Reported burning'!F3554</f>
        <v>ND</v>
      </c>
      <c r="G3554" s="151" t="str">
        <f>'Reported burning'!G3554</f>
        <v>Shrubland (Mixed forest &amp; grassland)</v>
      </c>
      <c r="H3554" s="151" t="str">
        <f>'Reported burning'!H3554</f>
        <v>Presence</v>
      </c>
      <c r="I3554" s="5"/>
      <c r="J3554" s="172" t="s">
        <v>2272</v>
      </c>
      <c r="K3554" s="172" t="s">
        <v>2272</v>
      </c>
      <c r="L3554" s="172" t="s">
        <v>2272</v>
      </c>
      <c r="M3554" s="172" t="s">
        <v>2272</v>
      </c>
      <c r="N3554" s="172" t="s">
        <v>2272</v>
      </c>
      <c r="O3554" s="21" t="s">
        <v>2272</v>
      </c>
      <c r="P3554" s="172" t="s">
        <v>2272</v>
      </c>
      <c r="Q3554" s="172" t="s">
        <v>2272</v>
      </c>
      <c r="R3554" s="172" t="s">
        <v>2272</v>
      </c>
      <c r="S3554" s="172" t="s">
        <v>2272</v>
      </c>
      <c r="T3554" s="172" t="s">
        <v>2272</v>
      </c>
      <c r="U3554" s="172" t="s">
        <v>2272</v>
      </c>
      <c r="V3554" s="172" t="s">
        <v>2272</v>
      </c>
      <c r="W3554" s="172" t="s">
        <v>2272</v>
      </c>
      <c r="X3554" s="172" t="s">
        <v>2272</v>
      </c>
      <c r="Y3554" s="172" t="s">
        <v>2272</v>
      </c>
      <c r="Z3554" s="172" t="s">
        <v>2272</v>
      </c>
      <c r="AA3554" s="172" t="s">
        <v>2272</v>
      </c>
      <c r="AB3554" s="4" t="s">
        <v>9169</v>
      </c>
      <c r="AC3554" s="4" t="s">
        <v>9226</v>
      </c>
    </row>
    <row r="3555" spans="1:29" ht="102.5" customHeight="1">
      <c r="A3555" s="151" t="str">
        <f>'Reported burning'!A3555</f>
        <v>381n</v>
      </c>
      <c r="B3555" s="151" t="str">
        <f>'Reported burning'!B3555</f>
        <v>381n.1</v>
      </c>
      <c r="C3555" s="151" t="str">
        <f>'Reported burning'!C3555</f>
        <v>Human, escaped</v>
      </c>
      <c r="D3555" s="151" t="str">
        <f>'Reported burning'!D3555</f>
        <v>ND</v>
      </c>
      <c r="E3555" s="151" t="str">
        <f>'Reported burning'!E3555</f>
        <v>All</v>
      </c>
      <c r="F3555" s="151" t="str">
        <f>'Reported burning'!F3555</f>
        <v>ND</v>
      </c>
      <c r="G3555" s="151" t="str">
        <f>'Reported burning'!G3555</f>
        <v>Shrubland (Mixed forest &amp; grassland)</v>
      </c>
      <c r="H3555" s="151" t="str">
        <f>'Reported burning'!H3555</f>
        <v>Presence</v>
      </c>
      <c r="I3555" s="5"/>
      <c r="J3555" s="172" t="s">
        <v>2272</v>
      </c>
      <c r="K3555" s="172" t="s">
        <v>2272</v>
      </c>
      <c r="L3555" s="172" t="s">
        <v>2272</v>
      </c>
      <c r="M3555" s="172" t="s">
        <v>2272</v>
      </c>
      <c r="N3555" s="172" t="s">
        <v>2272</v>
      </c>
      <c r="O3555" s="21" t="s">
        <v>2272</v>
      </c>
      <c r="P3555" s="172" t="s">
        <v>2272</v>
      </c>
      <c r="Q3555" s="172" t="s">
        <v>2272</v>
      </c>
      <c r="R3555" s="172" t="s">
        <v>2272</v>
      </c>
      <c r="S3555" s="172" t="s">
        <v>2272</v>
      </c>
      <c r="T3555" s="172" t="s">
        <v>2272</v>
      </c>
      <c r="U3555" s="172" t="s">
        <v>2272</v>
      </c>
      <c r="V3555" s="172" t="s">
        <v>2272</v>
      </c>
      <c r="W3555" s="172" t="s">
        <v>2272</v>
      </c>
      <c r="X3555" s="172" t="s">
        <v>2272</v>
      </c>
      <c r="Y3555" s="172" t="s">
        <v>2272</v>
      </c>
      <c r="Z3555" s="172" t="s">
        <v>2272</v>
      </c>
      <c r="AA3555" s="172" t="s">
        <v>2272</v>
      </c>
      <c r="AB3555" s="4" t="s">
        <v>9169</v>
      </c>
      <c r="AC3555" s="4" t="s">
        <v>9226</v>
      </c>
    </row>
    <row r="3556" spans="1:29" ht="102.5" customHeight="1">
      <c r="A3556" s="151" t="str">
        <f>'Reported burning'!A3556</f>
        <v>381o</v>
      </c>
      <c r="B3556" s="151" t="str">
        <f>'Reported burning'!B3556</f>
        <v>381o.1</v>
      </c>
      <c r="C3556" s="151" t="str">
        <f>'Reported burning'!C3556</f>
        <v>Human, escaped</v>
      </c>
      <c r="D3556" s="151" t="str">
        <f>'Reported burning'!D3556</f>
        <v>ND</v>
      </c>
      <c r="E3556" s="151" t="str">
        <f>'Reported burning'!E3556</f>
        <v>All</v>
      </c>
      <c r="F3556" s="151" t="str">
        <f>'Reported burning'!F3556</f>
        <v>ND</v>
      </c>
      <c r="G3556" s="151" t="str">
        <f>'Reported burning'!G3556</f>
        <v>Shrubland (Mixed forest &amp; grassland)</v>
      </c>
      <c r="H3556" s="151" t="str">
        <f>'Reported burning'!H3556</f>
        <v>Presence</v>
      </c>
      <c r="I3556" s="5"/>
      <c r="J3556" s="172" t="s">
        <v>2272</v>
      </c>
      <c r="K3556" s="172" t="s">
        <v>2272</v>
      </c>
      <c r="L3556" s="172" t="s">
        <v>2272</v>
      </c>
      <c r="M3556" s="172" t="s">
        <v>2272</v>
      </c>
      <c r="N3556" s="172" t="s">
        <v>2272</v>
      </c>
      <c r="O3556" s="21" t="s">
        <v>2272</v>
      </c>
      <c r="P3556" s="172" t="s">
        <v>2272</v>
      </c>
      <c r="Q3556" s="172" t="s">
        <v>2272</v>
      </c>
      <c r="R3556" s="172" t="s">
        <v>2272</v>
      </c>
      <c r="S3556" s="172" t="s">
        <v>2272</v>
      </c>
      <c r="T3556" s="172" t="s">
        <v>2272</v>
      </c>
      <c r="U3556" s="172" t="s">
        <v>2272</v>
      </c>
      <c r="V3556" s="172" t="s">
        <v>2272</v>
      </c>
      <c r="W3556" s="172" t="s">
        <v>2272</v>
      </c>
      <c r="X3556" s="172" t="s">
        <v>2272</v>
      </c>
      <c r="Y3556" s="172" t="s">
        <v>2272</v>
      </c>
      <c r="Z3556" s="172" t="s">
        <v>2272</v>
      </c>
      <c r="AA3556" s="172" t="s">
        <v>2272</v>
      </c>
      <c r="AB3556" s="4" t="s">
        <v>9169</v>
      </c>
      <c r="AC3556" s="4" t="s">
        <v>9226</v>
      </c>
    </row>
    <row r="3557" spans="1:29" ht="102.5" customHeight="1">
      <c r="A3557" s="151" t="str">
        <f>'Reported burning'!A3557</f>
        <v>381p</v>
      </c>
      <c r="B3557" s="151" t="str">
        <f>'Reported burning'!B3557</f>
        <v>381p.1</v>
      </c>
      <c r="C3557" s="151" t="str">
        <f>'Reported burning'!C3557</f>
        <v>Human, escaped</v>
      </c>
      <c r="D3557" s="151" t="str">
        <f>'Reported burning'!D3557</f>
        <v>ND</v>
      </c>
      <c r="E3557" s="151" t="str">
        <f>'Reported burning'!E3557</f>
        <v>All</v>
      </c>
      <c r="F3557" s="151" t="str">
        <f>'Reported burning'!F3557</f>
        <v>ND</v>
      </c>
      <c r="G3557" s="151" t="str">
        <f>'Reported burning'!G3557</f>
        <v>Shrubland (Mixed forest &amp; grassland)</v>
      </c>
      <c r="H3557" s="151" t="str">
        <f>'Reported burning'!H3557</f>
        <v>Presence</v>
      </c>
      <c r="I3557" s="5"/>
      <c r="J3557" s="172" t="s">
        <v>2272</v>
      </c>
      <c r="K3557" s="172" t="s">
        <v>2272</v>
      </c>
      <c r="L3557" s="172" t="s">
        <v>2272</v>
      </c>
      <c r="M3557" s="172" t="s">
        <v>2272</v>
      </c>
      <c r="N3557" s="172" t="s">
        <v>2272</v>
      </c>
      <c r="O3557" s="21" t="s">
        <v>2272</v>
      </c>
      <c r="P3557" s="172" t="s">
        <v>2272</v>
      </c>
      <c r="Q3557" s="172" t="s">
        <v>2272</v>
      </c>
      <c r="R3557" s="172" t="s">
        <v>2272</v>
      </c>
      <c r="S3557" s="172" t="s">
        <v>2272</v>
      </c>
      <c r="T3557" s="172" t="s">
        <v>2272</v>
      </c>
      <c r="U3557" s="172" t="s">
        <v>2272</v>
      </c>
      <c r="V3557" s="172" t="s">
        <v>2272</v>
      </c>
      <c r="W3557" s="172" t="s">
        <v>2272</v>
      </c>
      <c r="X3557" s="172" t="s">
        <v>2272</v>
      </c>
      <c r="Y3557" s="172" t="s">
        <v>2272</v>
      </c>
      <c r="Z3557" s="172" t="s">
        <v>2272</v>
      </c>
      <c r="AA3557" s="172" t="s">
        <v>2272</v>
      </c>
      <c r="AB3557" s="4" t="s">
        <v>9169</v>
      </c>
      <c r="AC3557" s="4" t="s">
        <v>9226</v>
      </c>
    </row>
    <row r="3558" spans="1:29" ht="102.5" customHeight="1">
      <c r="A3558" s="151" t="str">
        <f>'Reported burning'!A3558</f>
        <v>381p</v>
      </c>
      <c r="B3558" s="151" t="str">
        <f>'Reported burning'!B3558</f>
        <v>381q.1</v>
      </c>
      <c r="C3558" s="151" t="str">
        <f>'Reported burning'!C3558</f>
        <v>Human, escaped</v>
      </c>
      <c r="D3558" s="151" t="str">
        <f>'Reported burning'!D3558</f>
        <v>ND</v>
      </c>
      <c r="E3558" s="151" t="str">
        <f>'Reported burning'!E3558</f>
        <v>All</v>
      </c>
      <c r="F3558" s="151" t="str">
        <f>'Reported burning'!F3558</f>
        <v>ND</v>
      </c>
      <c r="G3558" s="151" t="str">
        <f>'Reported burning'!G3558</f>
        <v>Shrubland (Mixed forest &amp; grassland)</v>
      </c>
      <c r="H3558" s="151" t="str">
        <f>'Reported burning'!H3558</f>
        <v>Presence</v>
      </c>
      <c r="I3558" s="5"/>
      <c r="J3558" s="172" t="s">
        <v>2272</v>
      </c>
      <c r="K3558" s="172" t="s">
        <v>2272</v>
      </c>
      <c r="L3558" s="172" t="s">
        <v>2272</v>
      </c>
      <c r="M3558" s="172" t="s">
        <v>2272</v>
      </c>
      <c r="N3558" s="172" t="s">
        <v>2272</v>
      </c>
      <c r="O3558" s="21" t="s">
        <v>2272</v>
      </c>
      <c r="P3558" s="172" t="s">
        <v>2272</v>
      </c>
      <c r="Q3558" s="172" t="s">
        <v>2272</v>
      </c>
      <c r="R3558" s="172" t="s">
        <v>2272</v>
      </c>
      <c r="S3558" s="172" t="s">
        <v>2272</v>
      </c>
      <c r="T3558" s="172" t="s">
        <v>2272</v>
      </c>
      <c r="U3558" s="172" t="s">
        <v>2272</v>
      </c>
      <c r="V3558" s="172" t="s">
        <v>2272</v>
      </c>
      <c r="W3558" s="172" t="s">
        <v>2272</v>
      </c>
      <c r="X3558" s="172" t="s">
        <v>2272</v>
      </c>
      <c r="Y3558" s="172" t="s">
        <v>2272</v>
      </c>
      <c r="Z3558" s="172" t="s">
        <v>2272</v>
      </c>
      <c r="AA3558" s="172" t="s">
        <v>2272</v>
      </c>
      <c r="AB3558" s="4" t="s">
        <v>9169</v>
      </c>
      <c r="AC3558" s="4" t="s">
        <v>9226</v>
      </c>
    </row>
    <row r="3559" spans="1:29" s="197" customFormat="1" ht="102.5" customHeight="1">
      <c r="A3559" s="151" t="str">
        <f>'Reported burning'!A3559</f>
        <v>381ab</v>
      </c>
      <c r="B3559" s="151" t="str">
        <f>'Reported burning'!B3559</f>
        <v>381ab.1</v>
      </c>
      <c r="C3559" s="151" t="str">
        <f>'Reported burning'!C3559</f>
        <v>Human, escaped</v>
      </c>
      <c r="D3559" s="151" t="str">
        <f>'Reported burning'!D3559</f>
        <v>ND</v>
      </c>
      <c r="E3559" s="151" t="str">
        <f>'Reported burning'!E3559</f>
        <v>All</v>
      </c>
      <c r="F3559" s="151" t="str">
        <f>'Reported burning'!F3559</f>
        <v>ND</v>
      </c>
      <c r="G3559" s="151" t="str">
        <f>'Reported burning'!G3559</f>
        <v>Shrubland (Mixed forest &amp; grassland)</v>
      </c>
      <c r="H3559" s="151" t="str">
        <f>'Reported burning'!H3559</f>
        <v>Presence</v>
      </c>
      <c r="I3559" s="5"/>
      <c r="J3559" s="172" t="s">
        <v>2272</v>
      </c>
      <c r="K3559" s="172" t="s">
        <v>2272</v>
      </c>
      <c r="L3559" s="172" t="s">
        <v>2272</v>
      </c>
      <c r="M3559" s="172" t="s">
        <v>2272</v>
      </c>
      <c r="N3559" s="172" t="s">
        <v>2272</v>
      </c>
      <c r="O3559" s="21" t="s">
        <v>2272</v>
      </c>
      <c r="P3559" s="172" t="s">
        <v>2272</v>
      </c>
      <c r="Q3559" s="172" t="s">
        <v>2272</v>
      </c>
      <c r="R3559" s="172" t="s">
        <v>2272</v>
      </c>
      <c r="S3559" s="172" t="s">
        <v>2272</v>
      </c>
      <c r="T3559" s="172" t="s">
        <v>2272</v>
      </c>
      <c r="U3559" s="172" t="s">
        <v>2272</v>
      </c>
      <c r="V3559" s="172" t="s">
        <v>2272</v>
      </c>
      <c r="W3559" s="172" t="s">
        <v>2272</v>
      </c>
      <c r="X3559" s="172" t="s">
        <v>2272</v>
      </c>
      <c r="Y3559" s="172" t="s">
        <v>2272</v>
      </c>
      <c r="Z3559" s="172" t="s">
        <v>2272</v>
      </c>
      <c r="AA3559" s="172" t="s">
        <v>2272</v>
      </c>
      <c r="AB3559" s="4" t="s">
        <v>9169</v>
      </c>
      <c r="AC3559" s="4" t="s">
        <v>9226</v>
      </c>
    </row>
    <row r="3560" spans="1:29" ht="102.5" customHeight="1">
      <c r="A3560" s="151" t="str">
        <f>'Reported burning'!A3560</f>
        <v>381ac</v>
      </c>
      <c r="B3560" s="151" t="str">
        <f>'Reported burning'!B3560</f>
        <v>381ac.1</v>
      </c>
      <c r="C3560" s="151" t="str">
        <f>'Reported burning'!C3560</f>
        <v>Human, escaped</v>
      </c>
      <c r="D3560" s="151" t="str">
        <f>'Reported burning'!D3560</f>
        <v>ND</v>
      </c>
      <c r="E3560" s="151" t="str">
        <f>'Reported burning'!E3560</f>
        <v>All</v>
      </c>
      <c r="F3560" s="151" t="str">
        <f>'Reported burning'!F3560</f>
        <v>ND</v>
      </c>
      <c r="G3560" s="151" t="str">
        <f>'Reported burning'!G3560</f>
        <v>Shrubland (Mixed forest &amp; grassland)</v>
      </c>
      <c r="H3560" s="151" t="str">
        <f>'Reported burning'!H3560</f>
        <v>Presence</v>
      </c>
      <c r="I3560" s="5"/>
      <c r="J3560" s="172" t="s">
        <v>2272</v>
      </c>
      <c r="K3560" s="172" t="s">
        <v>2272</v>
      </c>
      <c r="L3560" s="172" t="s">
        <v>2272</v>
      </c>
      <c r="M3560" s="172" t="s">
        <v>2272</v>
      </c>
      <c r="N3560" s="172" t="s">
        <v>2272</v>
      </c>
      <c r="O3560" s="21" t="s">
        <v>2272</v>
      </c>
      <c r="P3560" s="172" t="s">
        <v>2272</v>
      </c>
      <c r="Q3560" s="172" t="s">
        <v>2272</v>
      </c>
      <c r="R3560" s="172" t="s">
        <v>2272</v>
      </c>
      <c r="S3560" s="172" t="s">
        <v>2272</v>
      </c>
      <c r="T3560" s="172" t="s">
        <v>2272</v>
      </c>
      <c r="U3560" s="172" t="s">
        <v>2272</v>
      </c>
      <c r="V3560" s="172" t="s">
        <v>2272</v>
      </c>
      <c r="W3560" s="172" t="s">
        <v>2272</v>
      </c>
      <c r="X3560" s="172" t="s">
        <v>2272</v>
      </c>
      <c r="Y3560" s="172" t="s">
        <v>2272</v>
      </c>
      <c r="Z3560" s="172" t="s">
        <v>2272</v>
      </c>
      <c r="AA3560" s="172" t="s">
        <v>2272</v>
      </c>
      <c r="AB3560" s="4" t="s">
        <v>9169</v>
      </c>
      <c r="AC3560" s="4" t="s">
        <v>9226</v>
      </c>
    </row>
    <row r="3561" spans="1:29" ht="102.5" customHeight="1">
      <c r="A3561" s="151" t="str">
        <f>'Reported burning'!A3561</f>
        <v>381ad</v>
      </c>
      <c r="B3561" s="151" t="str">
        <f>'Reported burning'!B3561</f>
        <v>381ad.1</v>
      </c>
      <c r="C3561" s="151" t="str">
        <f>'Reported burning'!C3561</f>
        <v>Human, escaped</v>
      </c>
      <c r="D3561" s="151" t="str">
        <f>'Reported burning'!D3561</f>
        <v>ND</v>
      </c>
      <c r="E3561" s="151" t="str">
        <f>'Reported burning'!E3561</f>
        <v>All</v>
      </c>
      <c r="F3561" s="151" t="str">
        <f>'Reported burning'!F3561</f>
        <v>ND</v>
      </c>
      <c r="G3561" s="151" t="str">
        <f>'Reported burning'!G3561</f>
        <v>Shrubland (Mixed forest &amp; grassland)</v>
      </c>
      <c r="H3561" s="151" t="str">
        <f>'Reported burning'!H3561</f>
        <v>Presence</v>
      </c>
      <c r="I3561" s="5"/>
      <c r="J3561" s="172" t="s">
        <v>2272</v>
      </c>
      <c r="K3561" s="172" t="s">
        <v>2272</v>
      </c>
      <c r="L3561" s="172" t="s">
        <v>2272</v>
      </c>
      <c r="M3561" s="172" t="s">
        <v>2272</v>
      </c>
      <c r="N3561" s="172" t="s">
        <v>2272</v>
      </c>
      <c r="O3561" s="21" t="s">
        <v>2272</v>
      </c>
      <c r="P3561" s="172" t="s">
        <v>2272</v>
      </c>
      <c r="Q3561" s="172" t="s">
        <v>2272</v>
      </c>
      <c r="R3561" s="172" t="s">
        <v>2272</v>
      </c>
      <c r="S3561" s="172" t="s">
        <v>2272</v>
      </c>
      <c r="T3561" s="172" t="s">
        <v>2272</v>
      </c>
      <c r="U3561" s="172" t="s">
        <v>2272</v>
      </c>
      <c r="V3561" s="172" t="s">
        <v>2272</v>
      </c>
      <c r="W3561" s="172" t="s">
        <v>2272</v>
      </c>
      <c r="X3561" s="172" t="s">
        <v>2272</v>
      </c>
      <c r="Y3561" s="172" t="s">
        <v>2272</v>
      </c>
      <c r="Z3561" s="172" t="s">
        <v>2272</v>
      </c>
      <c r="AA3561" s="172" t="s">
        <v>2272</v>
      </c>
      <c r="AB3561" s="4" t="s">
        <v>9169</v>
      </c>
      <c r="AC3561" s="4" t="s">
        <v>9226</v>
      </c>
    </row>
    <row r="3562" spans="1:29" ht="102.5" customHeight="1">
      <c r="A3562" s="151" t="str">
        <f>'Reported burning'!A3562</f>
        <v>381ae</v>
      </c>
      <c r="B3562" s="151" t="str">
        <f>'Reported burning'!B3562</f>
        <v>381ae.1</v>
      </c>
      <c r="C3562" s="151" t="str">
        <f>'Reported burning'!C3562</f>
        <v>Human, escaped</v>
      </c>
      <c r="D3562" s="151" t="str">
        <f>'Reported burning'!D3562</f>
        <v>ND</v>
      </c>
      <c r="E3562" s="151" t="str">
        <f>'Reported burning'!E3562</f>
        <v>All</v>
      </c>
      <c r="F3562" s="151" t="str">
        <f>'Reported burning'!F3562</f>
        <v>ND</v>
      </c>
      <c r="G3562" s="151" t="str">
        <f>'Reported burning'!G3562</f>
        <v>Shrubland (Mixed forest &amp; grassland)</v>
      </c>
      <c r="H3562" s="151" t="str">
        <f>'Reported burning'!H3562</f>
        <v>Presence</v>
      </c>
      <c r="I3562" s="5"/>
      <c r="J3562" s="172" t="s">
        <v>2272</v>
      </c>
      <c r="K3562" s="172" t="s">
        <v>2272</v>
      </c>
      <c r="L3562" s="172" t="s">
        <v>2272</v>
      </c>
      <c r="M3562" s="172" t="s">
        <v>2272</v>
      </c>
      <c r="N3562" s="172" t="s">
        <v>2272</v>
      </c>
      <c r="O3562" s="21" t="s">
        <v>2272</v>
      </c>
      <c r="P3562" s="172" t="s">
        <v>2272</v>
      </c>
      <c r="Q3562" s="172" t="s">
        <v>2272</v>
      </c>
      <c r="R3562" s="172" t="s">
        <v>2272</v>
      </c>
      <c r="S3562" s="172" t="s">
        <v>2272</v>
      </c>
      <c r="T3562" s="172" t="s">
        <v>2272</v>
      </c>
      <c r="U3562" s="172" t="s">
        <v>2272</v>
      </c>
      <c r="V3562" s="172" t="s">
        <v>2272</v>
      </c>
      <c r="W3562" s="172" t="s">
        <v>2272</v>
      </c>
      <c r="X3562" s="172" t="s">
        <v>2272</v>
      </c>
      <c r="Y3562" s="172" t="s">
        <v>2272</v>
      </c>
      <c r="Z3562" s="172" t="s">
        <v>2272</v>
      </c>
      <c r="AA3562" s="172" t="s">
        <v>2272</v>
      </c>
      <c r="AB3562" s="4" t="s">
        <v>9169</v>
      </c>
      <c r="AC3562" s="4" t="s">
        <v>9226</v>
      </c>
    </row>
    <row r="3563" spans="1:29" ht="102.5" customHeight="1">
      <c r="A3563" s="151" t="str">
        <f>'Reported burning'!A3563</f>
        <v>381af</v>
      </c>
      <c r="B3563" s="151" t="str">
        <f>'Reported burning'!B3563</f>
        <v>381af.1</v>
      </c>
      <c r="C3563" s="151" t="str">
        <f>'Reported burning'!C3563</f>
        <v>Human, escaped</v>
      </c>
      <c r="D3563" s="151" t="str">
        <f>'Reported burning'!D3563</f>
        <v>ND</v>
      </c>
      <c r="E3563" s="151" t="str">
        <f>'Reported burning'!E3563</f>
        <v>All</v>
      </c>
      <c r="F3563" s="151" t="str">
        <f>'Reported burning'!F3563</f>
        <v>ND</v>
      </c>
      <c r="G3563" s="151" t="str">
        <f>'Reported burning'!G3563</f>
        <v>Shrubland (Mixed forest &amp; grassland)</v>
      </c>
      <c r="H3563" s="151" t="str">
        <f>'Reported burning'!H3563</f>
        <v>Presence</v>
      </c>
      <c r="I3563" s="5"/>
      <c r="J3563" s="172" t="s">
        <v>2272</v>
      </c>
      <c r="K3563" s="172" t="s">
        <v>2272</v>
      </c>
      <c r="L3563" s="172" t="s">
        <v>2272</v>
      </c>
      <c r="M3563" s="172" t="s">
        <v>2272</v>
      </c>
      <c r="N3563" s="172" t="s">
        <v>2272</v>
      </c>
      <c r="O3563" s="21" t="s">
        <v>2272</v>
      </c>
      <c r="P3563" s="172" t="s">
        <v>2272</v>
      </c>
      <c r="Q3563" s="172" t="s">
        <v>2272</v>
      </c>
      <c r="R3563" s="172" t="s">
        <v>2272</v>
      </c>
      <c r="S3563" s="172" t="s">
        <v>2272</v>
      </c>
      <c r="T3563" s="172" t="s">
        <v>2272</v>
      </c>
      <c r="U3563" s="172" t="s">
        <v>2272</v>
      </c>
      <c r="V3563" s="172" t="s">
        <v>2272</v>
      </c>
      <c r="W3563" s="172" t="s">
        <v>2272</v>
      </c>
      <c r="X3563" s="172" t="s">
        <v>2272</v>
      </c>
      <c r="Y3563" s="172" t="s">
        <v>2272</v>
      </c>
      <c r="Z3563" s="172" t="s">
        <v>2272</v>
      </c>
      <c r="AA3563" s="172" t="s">
        <v>2272</v>
      </c>
      <c r="AB3563" s="4" t="s">
        <v>9169</v>
      </c>
      <c r="AC3563" s="4" t="s">
        <v>9226</v>
      </c>
    </row>
    <row r="3564" spans="1:29" ht="102.5" customHeight="1">
      <c r="A3564" s="151" t="str">
        <f>'Reported burning'!A3564</f>
        <v>381ag</v>
      </c>
      <c r="B3564" s="151" t="str">
        <f>'Reported burning'!B3564</f>
        <v>381ag.1</v>
      </c>
      <c r="C3564" s="151" t="str">
        <f>'Reported burning'!C3564</f>
        <v>Human, escaped</v>
      </c>
      <c r="D3564" s="151" t="str">
        <f>'Reported burning'!D3564</f>
        <v>ND</v>
      </c>
      <c r="E3564" s="151" t="str">
        <f>'Reported burning'!E3564</f>
        <v>All</v>
      </c>
      <c r="F3564" s="151" t="str">
        <f>'Reported burning'!F3564</f>
        <v>ND</v>
      </c>
      <c r="G3564" s="151" t="str">
        <f>'Reported burning'!G3564</f>
        <v>Shrubland (Mixed forest &amp; grassland)</v>
      </c>
      <c r="H3564" s="151" t="str">
        <f>'Reported burning'!H3564</f>
        <v>Presence</v>
      </c>
      <c r="I3564" s="5"/>
      <c r="J3564" s="172" t="s">
        <v>2272</v>
      </c>
      <c r="K3564" s="172" t="s">
        <v>2272</v>
      </c>
      <c r="L3564" s="172" t="s">
        <v>2272</v>
      </c>
      <c r="M3564" s="172" t="s">
        <v>2272</v>
      </c>
      <c r="N3564" s="172" t="s">
        <v>2272</v>
      </c>
      <c r="O3564" s="21" t="s">
        <v>2272</v>
      </c>
      <c r="P3564" s="172" t="s">
        <v>2272</v>
      </c>
      <c r="Q3564" s="172" t="s">
        <v>2272</v>
      </c>
      <c r="R3564" s="172" t="s">
        <v>2272</v>
      </c>
      <c r="S3564" s="172" t="s">
        <v>2272</v>
      </c>
      <c r="T3564" s="172" t="s">
        <v>2272</v>
      </c>
      <c r="U3564" s="172" t="s">
        <v>2272</v>
      </c>
      <c r="V3564" s="172" t="s">
        <v>2272</v>
      </c>
      <c r="W3564" s="172" t="s">
        <v>2272</v>
      </c>
      <c r="X3564" s="172" t="s">
        <v>2272</v>
      </c>
      <c r="Y3564" s="172" t="s">
        <v>2272</v>
      </c>
      <c r="Z3564" s="172" t="s">
        <v>2272</v>
      </c>
      <c r="AA3564" s="172" t="s">
        <v>2272</v>
      </c>
      <c r="AB3564" s="4" t="s">
        <v>9169</v>
      </c>
      <c r="AC3564" s="4" t="s">
        <v>9226</v>
      </c>
    </row>
    <row r="3565" spans="1:29" ht="102.5" customHeight="1">
      <c r="A3565" s="151" t="str">
        <f>'Reported burning'!A3565</f>
        <v>381ah</v>
      </c>
      <c r="B3565" s="151" t="str">
        <f>'Reported burning'!B3565</f>
        <v>381ah.1</v>
      </c>
      <c r="C3565" s="151" t="str">
        <f>'Reported burning'!C3565</f>
        <v>Human, escaped</v>
      </c>
      <c r="D3565" s="151" t="str">
        <f>'Reported burning'!D3565</f>
        <v>ND</v>
      </c>
      <c r="E3565" s="151" t="str">
        <f>'Reported burning'!E3565</f>
        <v>All</v>
      </c>
      <c r="F3565" s="151" t="str">
        <f>'Reported burning'!F3565</f>
        <v>ND</v>
      </c>
      <c r="G3565" s="151" t="str">
        <f>'Reported burning'!G3565</f>
        <v>Shrubland (Mixed forest &amp; grassland)</v>
      </c>
      <c r="H3565" s="151" t="str">
        <f>'Reported burning'!H3565</f>
        <v>Presence</v>
      </c>
      <c r="I3565" s="5"/>
      <c r="J3565" s="172" t="s">
        <v>2272</v>
      </c>
      <c r="K3565" s="172" t="s">
        <v>2272</v>
      </c>
      <c r="L3565" s="172" t="s">
        <v>2272</v>
      </c>
      <c r="M3565" s="172" t="s">
        <v>2272</v>
      </c>
      <c r="N3565" s="172" t="s">
        <v>2272</v>
      </c>
      <c r="O3565" s="21" t="s">
        <v>2272</v>
      </c>
      <c r="P3565" s="172" t="s">
        <v>2272</v>
      </c>
      <c r="Q3565" s="172" t="s">
        <v>2272</v>
      </c>
      <c r="R3565" s="172" t="s">
        <v>2272</v>
      </c>
      <c r="S3565" s="172" t="s">
        <v>2272</v>
      </c>
      <c r="T3565" s="172" t="s">
        <v>2272</v>
      </c>
      <c r="U3565" s="172" t="s">
        <v>2272</v>
      </c>
      <c r="V3565" s="172" t="s">
        <v>2272</v>
      </c>
      <c r="W3565" s="172" t="s">
        <v>2272</v>
      </c>
      <c r="X3565" s="172" t="s">
        <v>2272</v>
      </c>
      <c r="Y3565" s="172" t="s">
        <v>2272</v>
      </c>
      <c r="Z3565" s="172" t="s">
        <v>2272</v>
      </c>
      <c r="AA3565" s="172" t="s">
        <v>2272</v>
      </c>
      <c r="AB3565" s="4" t="s">
        <v>9169</v>
      </c>
      <c r="AC3565" s="4" t="s">
        <v>9226</v>
      </c>
    </row>
    <row r="3566" spans="1:29" ht="102.5" customHeight="1">
      <c r="A3566" s="151" t="str">
        <f>'Reported burning'!A3566</f>
        <v>381ai</v>
      </c>
      <c r="B3566" s="151" t="str">
        <f>'Reported burning'!B3566</f>
        <v>381ai.1</v>
      </c>
      <c r="C3566" s="151" t="str">
        <f>'Reported burning'!C3566</f>
        <v>Human, escaped</v>
      </c>
      <c r="D3566" s="151" t="str">
        <f>'Reported burning'!D3566</f>
        <v>ND</v>
      </c>
      <c r="E3566" s="151" t="str">
        <f>'Reported burning'!E3566</f>
        <v>All</v>
      </c>
      <c r="F3566" s="151" t="str">
        <f>'Reported burning'!F3566</f>
        <v>ND</v>
      </c>
      <c r="G3566" s="151" t="str">
        <f>'Reported burning'!G3566</f>
        <v>Shrubland (Mixed forest &amp; grassland)</v>
      </c>
      <c r="H3566" s="151" t="str">
        <f>'Reported burning'!H3566</f>
        <v>Presence</v>
      </c>
      <c r="I3566" s="5"/>
      <c r="J3566" s="172" t="s">
        <v>2272</v>
      </c>
      <c r="K3566" s="172" t="s">
        <v>2272</v>
      </c>
      <c r="L3566" s="172" t="s">
        <v>2272</v>
      </c>
      <c r="M3566" s="172" t="s">
        <v>2272</v>
      </c>
      <c r="N3566" s="172" t="s">
        <v>2272</v>
      </c>
      <c r="O3566" s="21" t="s">
        <v>2272</v>
      </c>
      <c r="P3566" s="172" t="s">
        <v>2272</v>
      </c>
      <c r="Q3566" s="172" t="s">
        <v>2272</v>
      </c>
      <c r="R3566" s="172" t="s">
        <v>2272</v>
      </c>
      <c r="S3566" s="172" t="s">
        <v>2272</v>
      </c>
      <c r="T3566" s="172" t="s">
        <v>2272</v>
      </c>
      <c r="U3566" s="172" t="s">
        <v>2272</v>
      </c>
      <c r="V3566" s="172" t="s">
        <v>2272</v>
      </c>
      <c r="W3566" s="172" t="s">
        <v>2272</v>
      </c>
      <c r="X3566" s="172" t="s">
        <v>2272</v>
      </c>
      <c r="Y3566" s="172" t="s">
        <v>2272</v>
      </c>
      <c r="Z3566" s="172" t="s">
        <v>2272</v>
      </c>
      <c r="AA3566" s="172" t="s">
        <v>2272</v>
      </c>
      <c r="AB3566" s="4" t="s">
        <v>9169</v>
      </c>
      <c r="AC3566" s="4" t="s">
        <v>9226</v>
      </c>
    </row>
    <row r="3567" spans="1:29" ht="102.5" customHeight="1">
      <c r="A3567" s="151" t="str">
        <f>'Reported burning'!A3567</f>
        <v>381aj</v>
      </c>
      <c r="B3567" s="151" t="str">
        <f>'Reported burning'!B3567</f>
        <v>381aj.1</v>
      </c>
      <c r="C3567" s="151" t="str">
        <f>'Reported burning'!C3567</f>
        <v>Human, escaped</v>
      </c>
      <c r="D3567" s="151" t="str">
        <f>'Reported burning'!D3567</f>
        <v>ND</v>
      </c>
      <c r="E3567" s="151" t="str">
        <f>'Reported burning'!E3567</f>
        <v>All</v>
      </c>
      <c r="F3567" s="151" t="str">
        <f>'Reported burning'!F3567</f>
        <v>ND</v>
      </c>
      <c r="G3567" s="151" t="str">
        <f>'Reported burning'!G3567</f>
        <v>Shrubland (Mixed forest &amp; grassland)</v>
      </c>
      <c r="H3567" s="151" t="str">
        <f>'Reported burning'!H3567</f>
        <v>Presence</v>
      </c>
      <c r="I3567" s="5"/>
      <c r="J3567" s="172" t="s">
        <v>2272</v>
      </c>
      <c r="K3567" s="172" t="s">
        <v>2272</v>
      </c>
      <c r="L3567" s="172" t="s">
        <v>2272</v>
      </c>
      <c r="M3567" s="172" t="s">
        <v>2272</v>
      </c>
      <c r="N3567" s="172" t="s">
        <v>2272</v>
      </c>
      <c r="O3567" s="21" t="s">
        <v>2272</v>
      </c>
      <c r="P3567" s="172" t="s">
        <v>2272</v>
      </c>
      <c r="Q3567" s="172" t="s">
        <v>2272</v>
      </c>
      <c r="R3567" s="172" t="s">
        <v>2272</v>
      </c>
      <c r="S3567" s="172" t="s">
        <v>2272</v>
      </c>
      <c r="T3567" s="172" t="s">
        <v>2272</v>
      </c>
      <c r="U3567" s="172" t="s">
        <v>2272</v>
      </c>
      <c r="V3567" s="172" t="s">
        <v>2272</v>
      </c>
      <c r="W3567" s="172" t="s">
        <v>2272</v>
      </c>
      <c r="X3567" s="172" t="s">
        <v>2272</v>
      </c>
      <c r="Y3567" s="172" t="s">
        <v>2272</v>
      </c>
      <c r="Z3567" s="172" t="s">
        <v>2272</v>
      </c>
      <c r="AA3567" s="172" t="s">
        <v>2272</v>
      </c>
      <c r="AB3567" s="4" t="s">
        <v>9169</v>
      </c>
      <c r="AC3567" s="4" t="s">
        <v>9226</v>
      </c>
    </row>
    <row r="3568" spans="1:29" ht="102.5" customHeight="1">
      <c r="A3568" s="151" t="str">
        <f>'Reported burning'!A3568</f>
        <v>381ak</v>
      </c>
      <c r="B3568" s="151" t="str">
        <f>'Reported burning'!B3568</f>
        <v>381ak.1</v>
      </c>
      <c r="C3568" s="151" t="str">
        <f>'Reported burning'!C3568</f>
        <v>Human, escaped</v>
      </c>
      <c r="D3568" s="151" t="str">
        <f>'Reported burning'!D3568</f>
        <v>ND</v>
      </c>
      <c r="E3568" s="151" t="str">
        <f>'Reported burning'!E3568</f>
        <v>All</v>
      </c>
      <c r="F3568" s="151" t="str">
        <f>'Reported burning'!F3568</f>
        <v>ND</v>
      </c>
      <c r="G3568" s="151" t="str">
        <f>'Reported burning'!G3568</f>
        <v>Shrubland (Mixed forest &amp; grassland)</v>
      </c>
      <c r="H3568" s="151" t="str">
        <f>'Reported burning'!H3568</f>
        <v>Presence</v>
      </c>
      <c r="I3568" s="5"/>
      <c r="J3568" s="172" t="s">
        <v>2272</v>
      </c>
      <c r="K3568" s="172" t="s">
        <v>2272</v>
      </c>
      <c r="L3568" s="172" t="s">
        <v>2272</v>
      </c>
      <c r="M3568" s="172" t="s">
        <v>2272</v>
      </c>
      <c r="N3568" s="172" t="s">
        <v>2272</v>
      </c>
      <c r="O3568" s="21" t="s">
        <v>2272</v>
      </c>
      <c r="P3568" s="172" t="s">
        <v>2272</v>
      </c>
      <c r="Q3568" s="172" t="s">
        <v>2272</v>
      </c>
      <c r="R3568" s="172" t="s">
        <v>2272</v>
      </c>
      <c r="S3568" s="172" t="s">
        <v>2272</v>
      </c>
      <c r="T3568" s="172" t="s">
        <v>2272</v>
      </c>
      <c r="U3568" s="172" t="s">
        <v>2272</v>
      </c>
      <c r="V3568" s="172" t="s">
        <v>2272</v>
      </c>
      <c r="W3568" s="172" t="s">
        <v>2272</v>
      </c>
      <c r="X3568" s="172" t="s">
        <v>2272</v>
      </c>
      <c r="Y3568" s="172" t="s">
        <v>2272</v>
      </c>
      <c r="Z3568" s="172" t="s">
        <v>2272</v>
      </c>
      <c r="AA3568" s="172" t="s">
        <v>2272</v>
      </c>
      <c r="AB3568" s="4" t="s">
        <v>9169</v>
      </c>
      <c r="AC3568" s="4" t="s">
        <v>9226</v>
      </c>
    </row>
    <row r="3569" spans="1:29" ht="102.5" customHeight="1">
      <c r="A3569" s="151" t="str">
        <f>'Reported burning'!A3569</f>
        <v>381al</v>
      </c>
      <c r="B3569" s="151" t="str">
        <f>'Reported burning'!B3569</f>
        <v>381al.1</v>
      </c>
      <c r="C3569" s="151" t="str">
        <f>'Reported burning'!C3569</f>
        <v>Human, escaped</v>
      </c>
      <c r="D3569" s="151" t="str">
        <f>'Reported burning'!D3569</f>
        <v>ND</v>
      </c>
      <c r="E3569" s="151" t="str">
        <f>'Reported burning'!E3569</f>
        <v>All</v>
      </c>
      <c r="F3569" s="151" t="str">
        <f>'Reported burning'!F3569</f>
        <v>ND</v>
      </c>
      <c r="G3569" s="151" t="str">
        <f>'Reported burning'!G3569</f>
        <v>Shrubland (Mixed forest &amp; grassland)</v>
      </c>
      <c r="H3569" s="151" t="str">
        <f>'Reported burning'!H3569</f>
        <v>Presence</v>
      </c>
      <c r="I3569" s="5"/>
      <c r="J3569" s="172" t="s">
        <v>2272</v>
      </c>
      <c r="K3569" s="172" t="s">
        <v>2272</v>
      </c>
      <c r="L3569" s="172" t="s">
        <v>2272</v>
      </c>
      <c r="M3569" s="172" t="s">
        <v>2272</v>
      </c>
      <c r="N3569" s="172" t="s">
        <v>2272</v>
      </c>
      <c r="O3569" s="21" t="s">
        <v>2272</v>
      </c>
      <c r="P3569" s="172" t="s">
        <v>2272</v>
      </c>
      <c r="Q3569" s="172" t="s">
        <v>2272</v>
      </c>
      <c r="R3569" s="172" t="s">
        <v>2272</v>
      </c>
      <c r="S3569" s="172" t="s">
        <v>2272</v>
      </c>
      <c r="T3569" s="172" t="s">
        <v>2272</v>
      </c>
      <c r="U3569" s="172" t="s">
        <v>2272</v>
      </c>
      <c r="V3569" s="172" t="s">
        <v>2272</v>
      </c>
      <c r="W3569" s="172" t="s">
        <v>2272</v>
      </c>
      <c r="X3569" s="172" t="s">
        <v>2272</v>
      </c>
      <c r="Y3569" s="172" t="s">
        <v>2272</v>
      </c>
      <c r="Z3569" s="172" t="s">
        <v>2272</v>
      </c>
      <c r="AA3569" s="172" t="s">
        <v>2272</v>
      </c>
      <c r="AB3569" s="4" t="s">
        <v>9169</v>
      </c>
      <c r="AC3569" s="4" t="s">
        <v>9226</v>
      </c>
    </row>
    <row r="3570" spans="1:29" ht="102.5" customHeight="1">
      <c r="A3570" s="151" t="str">
        <f>'Reported burning'!A3570</f>
        <v>381am</v>
      </c>
      <c r="B3570" s="151" t="str">
        <f>'Reported burning'!B3570</f>
        <v>381am.1</v>
      </c>
      <c r="C3570" s="151" t="str">
        <f>'Reported burning'!C3570</f>
        <v>Human, escaped</v>
      </c>
      <c r="D3570" s="151" t="str">
        <f>'Reported burning'!D3570</f>
        <v>ND</v>
      </c>
      <c r="E3570" s="151" t="str">
        <f>'Reported burning'!E3570</f>
        <v>All</v>
      </c>
      <c r="F3570" s="151" t="str">
        <f>'Reported burning'!F3570</f>
        <v>ND</v>
      </c>
      <c r="G3570" s="151" t="str">
        <f>'Reported burning'!G3570</f>
        <v>Shrubland (Mixed forest &amp; grassland)</v>
      </c>
      <c r="H3570" s="151" t="str">
        <f>'Reported burning'!H3570</f>
        <v>Presence</v>
      </c>
      <c r="I3570" s="5"/>
      <c r="J3570" s="172" t="s">
        <v>2272</v>
      </c>
      <c r="K3570" s="172" t="s">
        <v>2272</v>
      </c>
      <c r="L3570" s="172" t="s">
        <v>2272</v>
      </c>
      <c r="M3570" s="172" t="s">
        <v>2272</v>
      </c>
      <c r="N3570" s="172" t="s">
        <v>2272</v>
      </c>
      <c r="O3570" s="21" t="s">
        <v>2272</v>
      </c>
      <c r="P3570" s="172" t="s">
        <v>2272</v>
      </c>
      <c r="Q3570" s="172" t="s">
        <v>2272</v>
      </c>
      <c r="R3570" s="172" t="s">
        <v>2272</v>
      </c>
      <c r="S3570" s="172" t="s">
        <v>2272</v>
      </c>
      <c r="T3570" s="172" t="s">
        <v>2272</v>
      </c>
      <c r="U3570" s="172" t="s">
        <v>2272</v>
      </c>
      <c r="V3570" s="172" t="s">
        <v>2272</v>
      </c>
      <c r="W3570" s="172" t="s">
        <v>2272</v>
      </c>
      <c r="X3570" s="172" t="s">
        <v>2272</v>
      </c>
      <c r="Y3570" s="172" t="s">
        <v>2272</v>
      </c>
      <c r="Z3570" s="172" t="s">
        <v>2272</v>
      </c>
      <c r="AA3570" s="172" t="s">
        <v>2272</v>
      </c>
      <c r="AB3570" s="4" t="s">
        <v>9169</v>
      </c>
      <c r="AC3570" s="4" t="s">
        <v>9226</v>
      </c>
    </row>
    <row r="3571" spans="1:29" ht="102.5" customHeight="1">
      <c r="A3571" s="151" t="str">
        <f>'Reported burning'!A3571</f>
        <v>381an</v>
      </c>
      <c r="B3571" s="151" t="str">
        <f>'Reported burning'!B3571</f>
        <v>381an.1</v>
      </c>
      <c r="C3571" s="151" t="str">
        <f>'Reported burning'!C3571</f>
        <v>Human, escaped</v>
      </c>
      <c r="D3571" s="151" t="str">
        <f>'Reported burning'!D3571</f>
        <v>ND</v>
      </c>
      <c r="E3571" s="151" t="str">
        <f>'Reported burning'!E3571</f>
        <v>All</v>
      </c>
      <c r="F3571" s="151" t="str">
        <f>'Reported burning'!F3571</f>
        <v>ND</v>
      </c>
      <c r="G3571" s="151" t="str">
        <f>'Reported burning'!G3571</f>
        <v>Shrubland (Mixed forest &amp; grassland)</v>
      </c>
      <c r="H3571" s="151" t="str">
        <f>'Reported burning'!H3571</f>
        <v>Presence</v>
      </c>
      <c r="I3571" s="5"/>
      <c r="J3571" s="172" t="s">
        <v>2272</v>
      </c>
      <c r="K3571" s="172" t="s">
        <v>2272</v>
      </c>
      <c r="L3571" s="172" t="s">
        <v>2272</v>
      </c>
      <c r="M3571" s="172" t="s">
        <v>2272</v>
      </c>
      <c r="N3571" s="172" t="s">
        <v>2272</v>
      </c>
      <c r="O3571" s="21" t="s">
        <v>2272</v>
      </c>
      <c r="P3571" s="172" t="s">
        <v>2272</v>
      </c>
      <c r="Q3571" s="172" t="s">
        <v>2272</v>
      </c>
      <c r="R3571" s="172" t="s">
        <v>2272</v>
      </c>
      <c r="S3571" s="172" t="s">
        <v>2272</v>
      </c>
      <c r="T3571" s="172" t="s">
        <v>2272</v>
      </c>
      <c r="U3571" s="172" t="s">
        <v>2272</v>
      </c>
      <c r="V3571" s="172" t="s">
        <v>2272</v>
      </c>
      <c r="W3571" s="172" t="s">
        <v>2272</v>
      </c>
      <c r="X3571" s="172" t="s">
        <v>2272</v>
      </c>
      <c r="Y3571" s="172" t="s">
        <v>2272</v>
      </c>
      <c r="Z3571" s="172" t="s">
        <v>2272</v>
      </c>
      <c r="AA3571" s="172" t="s">
        <v>2272</v>
      </c>
      <c r="AB3571" s="4" t="s">
        <v>9169</v>
      </c>
      <c r="AC3571" s="4" t="s">
        <v>9226</v>
      </c>
    </row>
    <row r="3572" spans="1:29" ht="102.5" customHeight="1">
      <c r="A3572" s="151" t="str">
        <f>'Reported burning'!A3572</f>
        <v>381ao</v>
      </c>
      <c r="B3572" s="151" t="str">
        <f>'Reported burning'!B3572</f>
        <v>381ao.1</v>
      </c>
      <c r="C3572" s="151" t="str">
        <f>'Reported burning'!C3572</f>
        <v>Human, escaped</v>
      </c>
      <c r="D3572" s="151" t="str">
        <f>'Reported burning'!D3572</f>
        <v>ND</v>
      </c>
      <c r="E3572" s="151" t="str">
        <f>'Reported burning'!E3572</f>
        <v>All</v>
      </c>
      <c r="F3572" s="151" t="str">
        <f>'Reported burning'!F3572</f>
        <v>ND</v>
      </c>
      <c r="G3572" s="151" t="str">
        <f>'Reported burning'!G3572</f>
        <v>Shrubland (Mixed forest &amp; grassland)</v>
      </c>
      <c r="H3572" s="151" t="str">
        <f>'Reported burning'!H3572</f>
        <v>Presence</v>
      </c>
      <c r="I3572" s="5"/>
      <c r="J3572" s="172" t="s">
        <v>2272</v>
      </c>
      <c r="K3572" s="172" t="s">
        <v>2272</v>
      </c>
      <c r="L3572" s="172" t="s">
        <v>2272</v>
      </c>
      <c r="M3572" s="172" t="s">
        <v>2272</v>
      </c>
      <c r="N3572" s="172" t="s">
        <v>2272</v>
      </c>
      <c r="O3572" s="21" t="s">
        <v>2272</v>
      </c>
      <c r="P3572" s="172" t="s">
        <v>2272</v>
      </c>
      <c r="Q3572" s="172" t="s">
        <v>2272</v>
      </c>
      <c r="R3572" s="172" t="s">
        <v>2272</v>
      </c>
      <c r="S3572" s="172" t="s">
        <v>2272</v>
      </c>
      <c r="T3572" s="172" t="s">
        <v>2272</v>
      </c>
      <c r="U3572" s="172" t="s">
        <v>2272</v>
      </c>
      <c r="V3572" s="172" t="s">
        <v>2272</v>
      </c>
      <c r="W3572" s="172" t="s">
        <v>2272</v>
      </c>
      <c r="X3572" s="172" t="s">
        <v>2272</v>
      </c>
      <c r="Y3572" s="172" t="s">
        <v>2272</v>
      </c>
      <c r="Z3572" s="172" t="s">
        <v>2272</v>
      </c>
      <c r="AA3572" s="172" t="s">
        <v>2272</v>
      </c>
      <c r="AB3572" s="4" t="s">
        <v>9169</v>
      </c>
      <c r="AC3572" s="4" t="s">
        <v>9226</v>
      </c>
    </row>
    <row r="3573" spans="1:29" ht="102.5" customHeight="1">
      <c r="A3573" s="151" t="str">
        <f>'Reported burning'!A3573</f>
        <v>381ap</v>
      </c>
      <c r="B3573" s="151" t="str">
        <f>'Reported burning'!B3573</f>
        <v>381ap.1</v>
      </c>
      <c r="C3573" s="151" t="str">
        <f>'Reported burning'!C3573</f>
        <v>Human, escaped</v>
      </c>
      <c r="D3573" s="151" t="str">
        <f>'Reported burning'!D3573</f>
        <v>ND</v>
      </c>
      <c r="E3573" s="151" t="str">
        <f>'Reported burning'!E3573</f>
        <v>All</v>
      </c>
      <c r="F3573" s="151" t="str">
        <f>'Reported burning'!F3573</f>
        <v>ND</v>
      </c>
      <c r="G3573" s="151" t="str">
        <f>'Reported burning'!G3573</f>
        <v>Shrubland (Mixed forest &amp; grassland)</v>
      </c>
      <c r="H3573" s="151" t="str">
        <f>'Reported burning'!H3573</f>
        <v>Presence</v>
      </c>
      <c r="I3573" s="5"/>
      <c r="J3573" s="172" t="s">
        <v>2272</v>
      </c>
      <c r="K3573" s="172" t="s">
        <v>2272</v>
      </c>
      <c r="L3573" s="172" t="s">
        <v>2272</v>
      </c>
      <c r="M3573" s="172" t="s">
        <v>2272</v>
      </c>
      <c r="N3573" s="172" t="s">
        <v>2272</v>
      </c>
      <c r="O3573" s="21" t="s">
        <v>2272</v>
      </c>
      <c r="P3573" s="172" t="s">
        <v>2272</v>
      </c>
      <c r="Q3573" s="172" t="s">
        <v>2272</v>
      </c>
      <c r="R3573" s="172" t="s">
        <v>2272</v>
      </c>
      <c r="S3573" s="172" t="s">
        <v>2272</v>
      </c>
      <c r="T3573" s="172" t="s">
        <v>2272</v>
      </c>
      <c r="U3573" s="172" t="s">
        <v>2272</v>
      </c>
      <c r="V3573" s="172" t="s">
        <v>2272</v>
      </c>
      <c r="W3573" s="172" t="s">
        <v>2272</v>
      </c>
      <c r="X3573" s="172" t="s">
        <v>2272</v>
      </c>
      <c r="Y3573" s="172" t="s">
        <v>2272</v>
      </c>
      <c r="Z3573" s="172" t="s">
        <v>2272</v>
      </c>
      <c r="AA3573" s="172" t="s">
        <v>2272</v>
      </c>
      <c r="AB3573" s="4" t="s">
        <v>9169</v>
      </c>
      <c r="AC3573" s="4" t="s">
        <v>9226</v>
      </c>
    </row>
    <row r="3574" spans="1:29" ht="102.5" customHeight="1">
      <c r="A3574" s="151" t="str">
        <f>'Reported burning'!A3574</f>
        <v>381aq</v>
      </c>
      <c r="B3574" s="151" t="str">
        <f>'Reported burning'!B3574</f>
        <v>381aq.1</v>
      </c>
      <c r="C3574" s="151" t="str">
        <f>'Reported burning'!C3574</f>
        <v>Human, escaped</v>
      </c>
      <c r="D3574" s="151" t="str">
        <f>'Reported burning'!D3574</f>
        <v>ND</v>
      </c>
      <c r="E3574" s="151" t="str">
        <f>'Reported burning'!E3574</f>
        <v>All</v>
      </c>
      <c r="F3574" s="151" t="str">
        <f>'Reported burning'!F3574</f>
        <v>ND</v>
      </c>
      <c r="G3574" s="151" t="str">
        <f>'Reported burning'!G3574</f>
        <v>Shrubland (Mixed forest &amp; grassland)</v>
      </c>
      <c r="H3574" s="151" t="str">
        <f>'Reported burning'!H3574</f>
        <v>Presence</v>
      </c>
      <c r="I3574" s="5"/>
      <c r="J3574" s="172" t="s">
        <v>2272</v>
      </c>
      <c r="K3574" s="172" t="s">
        <v>2272</v>
      </c>
      <c r="L3574" s="172" t="s">
        <v>2272</v>
      </c>
      <c r="M3574" s="172" t="s">
        <v>2272</v>
      </c>
      <c r="N3574" s="172" t="s">
        <v>2272</v>
      </c>
      <c r="O3574" s="21" t="s">
        <v>2272</v>
      </c>
      <c r="P3574" s="172" t="s">
        <v>2272</v>
      </c>
      <c r="Q3574" s="172" t="s">
        <v>2272</v>
      </c>
      <c r="R3574" s="172" t="s">
        <v>2272</v>
      </c>
      <c r="S3574" s="172" t="s">
        <v>2272</v>
      </c>
      <c r="T3574" s="172" t="s">
        <v>2272</v>
      </c>
      <c r="U3574" s="172" t="s">
        <v>2272</v>
      </c>
      <c r="V3574" s="172" t="s">
        <v>2272</v>
      </c>
      <c r="W3574" s="172" t="s">
        <v>2272</v>
      </c>
      <c r="X3574" s="172" t="s">
        <v>2272</v>
      </c>
      <c r="Y3574" s="172" t="s">
        <v>2272</v>
      </c>
      <c r="Z3574" s="172" t="s">
        <v>2272</v>
      </c>
      <c r="AA3574" s="172" t="s">
        <v>2272</v>
      </c>
      <c r="AB3574" s="4" t="s">
        <v>9169</v>
      </c>
      <c r="AC3574" s="4" t="s">
        <v>9226</v>
      </c>
    </row>
    <row r="3575" spans="1:29" ht="102.5" customHeight="1">
      <c r="A3575" s="151" t="str">
        <f>'Reported burning'!A3575</f>
        <v>381al</v>
      </c>
      <c r="B3575" s="151" t="str">
        <f>'Reported burning'!B3575</f>
        <v>381al.2</v>
      </c>
      <c r="C3575" s="151" t="str">
        <f>'Reported burning'!C3575</f>
        <v>Human, deliberate</v>
      </c>
      <c r="D3575" s="151" t="str">
        <f>'Reported burning'!D3575</f>
        <v>Arson</v>
      </c>
      <c r="E3575" s="151" t="str">
        <f>'Reported burning'!E3575</f>
        <v>ND</v>
      </c>
      <c r="F3575" s="151" t="str">
        <f>'Reported burning'!F3575</f>
        <v>Plantation forest</v>
      </c>
      <c r="G3575" s="151" t="str">
        <f>'Reported burning'!G3575</f>
        <v>Plantation forest</v>
      </c>
      <c r="H3575" s="151" t="str">
        <f>'Reported burning'!H3575</f>
        <v>Presence</v>
      </c>
      <c r="I3575" s="5"/>
      <c r="J3575" s="172" t="s">
        <v>2272</v>
      </c>
      <c r="K3575" s="172" t="s">
        <v>2272</v>
      </c>
      <c r="L3575" s="172" t="s">
        <v>2272</v>
      </c>
      <c r="M3575" s="172" t="s">
        <v>2272</v>
      </c>
      <c r="N3575" s="172" t="s">
        <v>2272</v>
      </c>
      <c r="O3575" s="172" t="s">
        <v>2272</v>
      </c>
      <c r="P3575" s="172" t="s">
        <v>2272</v>
      </c>
      <c r="Q3575" s="172" t="s">
        <v>2272</v>
      </c>
      <c r="R3575" s="172" t="s">
        <v>2272</v>
      </c>
      <c r="S3575" s="172" t="s">
        <v>2272</v>
      </c>
      <c r="T3575" s="172" t="s">
        <v>2272</v>
      </c>
      <c r="U3575" s="172" t="s">
        <v>2272</v>
      </c>
      <c r="V3575" s="172" t="s">
        <v>2272</v>
      </c>
      <c r="W3575" s="172" t="s">
        <v>2272</v>
      </c>
      <c r="X3575" s="172" t="s">
        <v>2272</v>
      </c>
      <c r="Y3575" s="172" t="s">
        <v>2272</v>
      </c>
      <c r="Z3575" s="172" t="s">
        <v>2272</v>
      </c>
      <c r="AA3575" s="172" t="s">
        <v>2272</v>
      </c>
      <c r="AB3575" s="4" t="s">
        <v>9229</v>
      </c>
      <c r="AC3575" s="198"/>
    </row>
    <row r="3576" spans="1:29" ht="59" customHeight="1">
      <c r="A3576" s="151" t="str">
        <f>'Reported burning'!A3576</f>
        <v>381am</v>
      </c>
      <c r="B3576" s="151" t="str">
        <f>'Reported burning'!B3576</f>
        <v>381am.2</v>
      </c>
      <c r="C3576" s="151" t="str">
        <f>'Reported burning'!C3576</f>
        <v>Human, deliberate</v>
      </c>
      <c r="D3576" s="151" t="str">
        <f>'Reported burning'!D3576</f>
        <v>Arson</v>
      </c>
      <c r="E3576" s="151" t="str">
        <f>'Reported burning'!E3576</f>
        <v>ND</v>
      </c>
      <c r="F3576" s="151" t="str">
        <f>'Reported burning'!F3576</f>
        <v>Plantation forest</v>
      </c>
      <c r="G3576" s="151" t="str">
        <f>'Reported burning'!G3576</f>
        <v>Plantation forest</v>
      </c>
      <c r="H3576" s="151" t="str">
        <f>'Reported burning'!H3576</f>
        <v>Presence</v>
      </c>
      <c r="I3576" s="5"/>
      <c r="J3576" s="172" t="s">
        <v>2272</v>
      </c>
      <c r="K3576" s="172" t="s">
        <v>2272</v>
      </c>
      <c r="L3576" s="172" t="s">
        <v>2272</v>
      </c>
      <c r="M3576" s="172" t="s">
        <v>2272</v>
      </c>
      <c r="N3576" s="172" t="s">
        <v>2272</v>
      </c>
      <c r="O3576" s="172" t="s">
        <v>2272</v>
      </c>
      <c r="P3576" s="172" t="s">
        <v>2272</v>
      </c>
      <c r="Q3576" s="172" t="s">
        <v>2272</v>
      </c>
      <c r="R3576" s="172" t="s">
        <v>2272</v>
      </c>
      <c r="S3576" s="172" t="s">
        <v>2272</v>
      </c>
      <c r="T3576" s="172" t="s">
        <v>2272</v>
      </c>
      <c r="U3576" s="172" t="s">
        <v>2272</v>
      </c>
      <c r="V3576" s="172" t="s">
        <v>2272</v>
      </c>
      <c r="W3576" s="172" t="s">
        <v>2272</v>
      </c>
      <c r="X3576" s="172" t="s">
        <v>2272</v>
      </c>
      <c r="Y3576" s="172" t="s">
        <v>2272</v>
      </c>
      <c r="Z3576" s="172" t="s">
        <v>2272</v>
      </c>
      <c r="AA3576" s="172" t="s">
        <v>2272</v>
      </c>
      <c r="AB3576" s="4" t="s">
        <v>9229</v>
      </c>
      <c r="AC3576" s="198"/>
    </row>
    <row r="3577" spans="1:29" ht="59" customHeight="1">
      <c r="A3577" s="151" t="str">
        <f>'Reported burning'!A3577</f>
        <v>381aq</v>
      </c>
      <c r="B3577" s="151" t="str">
        <f>'Reported burning'!B3577</f>
        <v>381aq.2</v>
      </c>
      <c r="C3577" s="151" t="str">
        <f>'Reported burning'!C3577</f>
        <v>Human, accidental</v>
      </c>
      <c r="D3577" s="151" t="str">
        <f>'Reported burning'!D3577</f>
        <v>Accidental</v>
      </c>
      <c r="E3577" s="151" t="str">
        <f>'Reported burning'!E3577</f>
        <v>Tourism manager</v>
      </c>
      <c r="F3577" s="151" t="str">
        <f>'Reported burning'!F3577</f>
        <v>ND</v>
      </c>
      <c r="G3577" s="151" t="str">
        <f>'Reported burning'!G3577</f>
        <v>Shrubland (Mixed forest &amp; grassland)</v>
      </c>
      <c r="H3577" s="151" t="str">
        <f>'Reported burning'!H3577</f>
        <v>Presence</v>
      </c>
      <c r="I3577" s="5"/>
      <c r="J3577" s="172" t="s">
        <v>2272</v>
      </c>
      <c r="K3577" s="172" t="s">
        <v>2272</v>
      </c>
      <c r="L3577" s="172" t="s">
        <v>2272</v>
      </c>
      <c r="M3577" s="172" t="s">
        <v>2272</v>
      </c>
      <c r="N3577" s="172" t="s">
        <v>2272</v>
      </c>
      <c r="O3577" s="172" t="s">
        <v>2272</v>
      </c>
      <c r="P3577" s="172" t="s">
        <v>2272</v>
      </c>
      <c r="Q3577" s="172" t="s">
        <v>2272</v>
      </c>
      <c r="R3577" s="172" t="s">
        <v>2272</v>
      </c>
      <c r="S3577" s="172" t="s">
        <v>2272</v>
      </c>
      <c r="T3577" s="172" t="s">
        <v>2272</v>
      </c>
      <c r="U3577" s="172" t="s">
        <v>2272</v>
      </c>
      <c r="V3577" s="172" t="s">
        <v>2272</v>
      </c>
      <c r="W3577" s="172" t="s">
        <v>2272</v>
      </c>
      <c r="X3577" s="172" t="s">
        <v>2272</v>
      </c>
      <c r="Y3577" s="172" t="s">
        <v>2272</v>
      </c>
      <c r="Z3577" s="172" t="s">
        <v>2272</v>
      </c>
      <c r="AA3577" s="172" t="s">
        <v>2272</v>
      </c>
      <c r="AB3577" s="4" t="s">
        <v>9230</v>
      </c>
      <c r="AC3577" s="198"/>
    </row>
    <row r="3578" spans="1:29" ht="43.5" customHeight="1">
      <c r="A3578" s="151" t="str">
        <f>'Reported burning'!A3578</f>
        <v>381ah</v>
      </c>
      <c r="B3578" s="151" t="str">
        <f>'Reported burning'!B3578</f>
        <v>381ah.2</v>
      </c>
      <c r="C3578" s="151" t="str">
        <f>'Reported burning'!C3578</f>
        <v>Human, accidental</v>
      </c>
      <c r="D3578" s="151" t="str">
        <f>'Reported burning'!D3578</f>
        <v>Accidental</v>
      </c>
      <c r="E3578" s="151" t="str">
        <f>'Reported burning'!E3578</f>
        <v>Urban planner</v>
      </c>
      <c r="F3578" s="151" t="str">
        <f>'Reported burning'!F3578</f>
        <v>ND</v>
      </c>
      <c r="G3578" s="151" t="str">
        <f>'Reported burning'!G3578</f>
        <v>Shrubland (Mixed forest &amp; grassland)</v>
      </c>
      <c r="H3578" s="151" t="str">
        <f>'Reported burning'!H3578</f>
        <v>Presence</v>
      </c>
      <c r="I3578" s="5"/>
      <c r="J3578" s="172" t="s">
        <v>2272</v>
      </c>
      <c r="K3578" s="172" t="s">
        <v>2272</v>
      </c>
      <c r="L3578" s="172" t="s">
        <v>2272</v>
      </c>
      <c r="M3578" s="172" t="s">
        <v>2272</v>
      </c>
      <c r="N3578" s="172" t="s">
        <v>2272</v>
      </c>
      <c r="O3578" s="172" t="s">
        <v>2272</v>
      </c>
      <c r="P3578" s="172" t="s">
        <v>2272</v>
      </c>
      <c r="Q3578" s="172" t="s">
        <v>2272</v>
      </c>
      <c r="R3578" s="172" t="s">
        <v>2272</v>
      </c>
      <c r="S3578" s="172" t="s">
        <v>2272</v>
      </c>
      <c r="T3578" s="172" t="s">
        <v>2272</v>
      </c>
      <c r="U3578" s="172" t="s">
        <v>2272</v>
      </c>
      <c r="V3578" s="172" t="s">
        <v>2272</v>
      </c>
      <c r="W3578" s="172" t="s">
        <v>2272</v>
      </c>
      <c r="X3578" s="172" t="s">
        <v>2272</v>
      </c>
      <c r="Y3578" s="172" t="s">
        <v>2272</v>
      </c>
      <c r="Z3578" s="172" t="s">
        <v>2272</v>
      </c>
      <c r="AA3578" s="172" t="s">
        <v>2272</v>
      </c>
      <c r="AB3578" s="4" t="s">
        <v>9231</v>
      </c>
      <c r="AC3578" s="198"/>
    </row>
    <row r="3579" spans="1:29" ht="43.5" customHeight="1">
      <c r="A3579" s="151" t="str">
        <f>'Reported burning'!A3579</f>
        <v>381m</v>
      </c>
      <c r="B3579" s="151" t="str">
        <f>'Reported burning'!B3579</f>
        <v>381am.3</v>
      </c>
      <c r="C3579" s="151" t="str">
        <f>'Reported burning'!C3579</f>
        <v>Human, deliberate</v>
      </c>
      <c r="D3579" s="151" t="str">
        <f>'Reported burning'!D3579</f>
        <v>Crop residue burning</v>
      </c>
      <c r="E3579" s="151" t="str">
        <f>'Reported burning'!E3579</f>
        <v>Cropping, Monoculture, Market-oriented</v>
      </c>
      <c r="F3579" s="151" t="str">
        <f>'Reported burning'!F3579</f>
        <v>Cropland</v>
      </c>
      <c r="G3579" s="151" t="str">
        <f>'Reported burning'!G3579</f>
        <v>Cropland</v>
      </c>
      <c r="H3579" s="151" t="str">
        <f>'Reported burning'!H3579</f>
        <v>Presence</v>
      </c>
      <c r="I3579" s="5"/>
      <c r="J3579" s="172" t="s">
        <v>2272</v>
      </c>
      <c r="K3579" s="172" t="s">
        <v>2272</v>
      </c>
      <c r="L3579" s="172" t="s">
        <v>2272</v>
      </c>
      <c r="M3579" s="172" t="s">
        <v>2272</v>
      </c>
      <c r="N3579" s="172" t="s">
        <v>2272</v>
      </c>
      <c r="O3579" s="172" t="s">
        <v>2272</v>
      </c>
      <c r="P3579" s="172" t="s">
        <v>2272</v>
      </c>
      <c r="Q3579" s="172" t="s">
        <v>2272</v>
      </c>
      <c r="R3579" s="172" t="s">
        <v>2272</v>
      </c>
      <c r="S3579" s="172" t="s">
        <v>2272</v>
      </c>
      <c r="T3579" s="172" t="s">
        <v>2272</v>
      </c>
      <c r="U3579" s="172" t="s">
        <v>2272</v>
      </c>
      <c r="V3579" s="172" t="s">
        <v>2272</v>
      </c>
      <c r="W3579" s="172" t="s">
        <v>2272</v>
      </c>
      <c r="X3579" s="172" t="s">
        <v>2272</v>
      </c>
      <c r="Y3579" s="172" t="s">
        <v>2272</v>
      </c>
      <c r="Z3579" s="172" t="s">
        <v>2272</v>
      </c>
      <c r="AA3579" s="172" t="s">
        <v>2272</v>
      </c>
      <c r="AB3579" s="4" t="s">
        <v>9234</v>
      </c>
      <c r="AC3579" s="198"/>
    </row>
    <row r="3580" spans="1:29" ht="43.5" customHeight="1">
      <c r="A3580" s="151" t="str">
        <f>'Reported burning'!A3580</f>
        <v>381am</v>
      </c>
      <c r="B3580" s="151" t="str">
        <f>'Reported burning'!B3580</f>
        <v>381m.2</v>
      </c>
      <c r="C3580" s="151" t="str">
        <f>'Reported burning'!C3580</f>
        <v>Human, deliberate</v>
      </c>
      <c r="D3580" s="151" t="str">
        <f>'Reported burning'!D3580</f>
        <v>Crop residue burning</v>
      </c>
      <c r="E3580" s="151" t="str">
        <f>'Reported burning'!E3580</f>
        <v>Cropping, Monoculture, Market-oriented</v>
      </c>
      <c r="F3580" s="151" t="str">
        <f>'Reported burning'!F3580</f>
        <v>Cropland</v>
      </c>
      <c r="G3580" s="151" t="str">
        <f>'Reported burning'!G3580</f>
        <v>Cropland</v>
      </c>
      <c r="H3580" s="151" t="str">
        <f>'Reported burning'!H3580</f>
        <v>Presence</v>
      </c>
      <c r="I3580" s="5"/>
      <c r="J3580" s="172" t="s">
        <v>2272</v>
      </c>
      <c r="K3580" s="172" t="s">
        <v>2272</v>
      </c>
      <c r="L3580" s="172" t="s">
        <v>2272</v>
      </c>
      <c r="M3580" s="172" t="s">
        <v>2272</v>
      </c>
      <c r="N3580" s="172" t="s">
        <v>2272</v>
      </c>
      <c r="O3580" s="172" t="s">
        <v>2272</v>
      </c>
      <c r="P3580" s="172" t="s">
        <v>2272</v>
      </c>
      <c r="Q3580" s="172" t="s">
        <v>2272</v>
      </c>
      <c r="R3580" s="172" t="s">
        <v>2272</v>
      </c>
      <c r="S3580" s="172" t="s">
        <v>2272</v>
      </c>
      <c r="T3580" s="172" t="s">
        <v>2272</v>
      </c>
      <c r="U3580" s="172" t="s">
        <v>2272</v>
      </c>
      <c r="V3580" s="172" t="s">
        <v>2272</v>
      </c>
      <c r="W3580" s="172" t="s">
        <v>2272</v>
      </c>
      <c r="X3580" s="172" t="s">
        <v>2272</v>
      </c>
      <c r="Y3580" s="172" t="s">
        <v>2272</v>
      </c>
      <c r="Z3580" s="172" t="s">
        <v>2272</v>
      </c>
      <c r="AA3580" s="172" t="s">
        <v>2272</v>
      </c>
      <c r="AB3580" s="4" t="s">
        <v>9234</v>
      </c>
      <c r="AC3580" s="198"/>
    </row>
    <row r="3581" spans="1:29" ht="43.5" customHeight="1">
      <c r="A3581" s="151" t="str">
        <f>'Reported burning'!A3581</f>
        <v>381ag</v>
      </c>
      <c r="B3581" s="151" t="str">
        <f>'Reported burning'!B3581</f>
        <v>381ag.2</v>
      </c>
      <c r="C3581" s="151" t="str">
        <f>'Reported burning'!C3581</f>
        <v>Human, accidental</v>
      </c>
      <c r="D3581" s="151" t="str">
        <f>'Reported burning'!D3581</f>
        <v>Accidental</v>
      </c>
      <c r="E3581" s="151" t="str">
        <f>'Reported burning'!E3581</f>
        <v>Urban planner</v>
      </c>
      <c r="F3581" s="151" t="str">
        <f>'Reported burning'!F3581</f>
        <v>ND</v>
      </c>
      <c r="G3581" s="151" t="str">
        <f>'Reported burning'!G3581</f>
        <v>Shrubland (Mixed forest &amp; grassland)</v>
      </c>
      <c r="H3581" s="151" t="str">
        <f>'Reported burning'!H3581</f>
        <v>Presence</v>
      </c>
      <c r="I3581" s="5"/>
      <c r="J3581" s="172" t="s">
        <v>2272</v>
      </c>
      <c r="K3581" s="172" t="s">
        <v>2272</v>
      </c>
      <c r="L3581" s="172" t="s">
        <v>2272</v>
      </c>
      <c r="M3581" s="172" t="s">
        <v>2272</v>
      </c>
      <c r="N3581" s="172" t="s">
        <v>2272</v>
      </c>
      <c r="O3581" s="172" t="s">
        <v>2272</v>
      </c>
      <c r="P3581" s="172" t="s">
        <v>2272</v>
      </c>
      <c r="Q3581" s="172" t="s">
        <v>2272</v>
      </c>
      <c r="R3581" s="172" t="s">
        <v>2272</v>
      </c>
      <c r="S3581" s="172" t="s">
        <v>2272</v>
      </c>
      <c r="T3581" s="172" t="s">
        <v>2272</v>
      </c>
      <c r="U3581" s="172" t="s">
        <v>2272</v>
      </c>
      <c r="V3581" s="172" t="s">
        <v>2272</v>
      </c>
      <c r="W3581" s="172" t="s">
        <v>2272</v>
      </c>
      <c r="X3581" s="172" t="s">
        <v>2272</v>
      </c>
      <c r="Y3581" s="172" t="s">
        <v>2272</v>
      </c>
      <c r="Z3581" s="172" t="s">
        <v>2272</v>
      </c>
      <c r="AA3581" s="172" t="s">
        <v>2272</v>
      </c>
      <c r="AB3581" s="4" t="s">
        <v>9231</v>
      </c>
      <c r="AC3581" s="198"/>
    </row>
    <row r="3582" spans="1:29" ht="43.5" customHeight="1">
      <c r="A3582" s="151" t="str">
        <f>'Reported burning'!A3582</f>
        <v>382a</v>
      </c>
      <c r="B3582" s="151" t="str">
        <f>'Reported burning'!B3582</f>
        <v>382a.1</v>
      </c>
      <c r="C3582" s="151" t="str">
        <f>'Reported burning'!C3582</f>
        <v>Unknown</v>
      </c>
      <c r="D3582" s="151" t="str">
        <f>'Reported burning'!D3582</f>
        <v>ND</v>
      </c>
      <c r="E3582" s="151" t="str">
        <f>'Reported burning'!E3582</f>
        <v>Biodiversity conservation</v>
      </c>
      <c r="F3582" s="151" t="str">
        <f>'Reported burning'!F3582</f>
        <v>ND</v>
      </c>
      <c r="G3582" s="151" t="str">
        <f>'Reported burning'!G3582</f>
        <v>Forest</v>
      </c>
      <c r="H3582" s="151" t="str">
        <f>'Reported burning'!H3582</f>
        <v>Presence</v>
      </c>
      <c r="I3582" s="5"/>
      <c r="J3582" s="172" t="s">
        <v>2272</v>
      </c>
      <c r="K3582" s="172" t="s">
        <v>2272</v>
      </c>
      <c r="L3582" s="172" t="s">
        <v>2272</v>
      </c>
      <c r="M3582" s="172" t="s">
        <v>2272</v>
      </c>
      <c r="N3582" s="172" t="s">
        <v>2272</v>
      </c>
      <c r="O3582" s="172" t="s">
        <v>2272</v>
      </c>
      <c r="P3582" s="172" t="s">
        <v>2272</v>
      </c>
      <c r="Q3582" s="172" t="s">
        <v>2272</v>
      </c>
      <c r="R3582" s="172" t="s">
        <v>2272</v>
      </c>
      <c r="S3582" s="172" t="s">
        <v>2272</v>
      </c>
      <c r="T3582" s="172" t="s">
        <v>2272</v>
      </c>
      <c r="U3582" s="14" t="s">
        <v>2387</v>
      </c>
      <c r="V3582" s="172" t="s">
        <v>2272</v>
      </c>
      <c r="W3582" s="21" t="s">
        <v>2387</v>
      </c>
      <c r="X3582" s="21" t="s">
        <v>2272</v>
      </c>
      <c r="Y3582" s="172" t="s">
        <v>2272</v>
      </c>
      <c r="Z3582" s="172" t="s">
        <v>2272</v>
      </c>
      <c r="AA3582" s="172" t="s">
        <v>2272</v>
      </c>
      <c r="AB3582" s="198"/>
      <c r="AC3582" s="198"/>
    </row>
    <row r="3583" spans="1:29" ht="51.5" customHeight="1">
      <c r="A3583" s="151" t="str">
        <f>'Reported burning'!A3583</f>
        <v>382b</v>
      </c>
      <c r="B3583" s="151" t="str">
        <f>'Reported burning'!B3583</f>
        <v>382b.1</v>
      </c>
      <c r="C3583" s="151" t="str">
        <f>'Reported burning'!C3583</f>
        <v>Human, deliberate</v>
      </c>
      <c r="D3583" s="151" t="str">
        <f>'Reported burning'!D3583</f>
        <v>Crop residue burning</v>
      </c>
      <c r="E3583" s="151" t="str">
        <f>'Reported burning'!E3583</f>
        <v>Cropping, Monoculture, Market-oriented</v>
      </c>
      <c r="F3583" s="151" t="str">
        <f>'Reported burning'!F3583</f>
        <v>Cropland</v>
      </c>
      <c r="G3583" s="151" t="str">
        <f>'Reported burning'!G3583</f>
        <v>Cropland</v>
      </c>
      <c r="H3583" s="151" t="str">
        <f>'Reported burning'!H3583</f>
        <v>Presence</v>
      </c>
      <c r="I3583" s="5"/>
      <c r="J3583" s="172" t="s">
        <v>2272</v>
      </c>
      <c r="K3583" s="172" t="s">
        <v>2272</v>
      </c>
      <c r="L3583" s="172" t="s">
        <v>2272</v>
      </c>
      <c r="M3583" s="172" t="s">
        <v>2272</v>
      </c>
      <c r="N3583" s="172" t="s">
        <v>2272</v>
      </c>
      <c r="O3583" s="172" t="s">
        <v>2272</v>
      </c>
      <c r="P3583" s="21" t="s">
        <v>2370</v>
      </c>
      <c r="Q3583" s="172" t="s">
        <v>2272</v>
      </c>
      <c r="R3583" s="172" t="s">
        <v>2272</v>
      </c>
      <c r="S3583" s="172" t="s">
        <v>2272</v>
      </c>
      <c r="T3583" s="172" t="s">
        <v>2272</v>
      </c>
      <c r="U3583" s="172" t="s">
        <v>2272</v>
      </c>
      <c r="V3583" s="172" t="s">
        <v>2272</v>
      </c>
      <c r="W3583" s="172" t="s">
        <v>2272</v>
      </c>
      <c r="X3583" s="172" t="s">
        <v>2272</v>
      </c>
      <c r="Y3583" s="172" t="s">
        <v>2272</v>
      </c>
      <c r="Z3583" s="172" t="s">
        <v>2272</v>
      </c>
      <c r="AA3583" s="172" t="s">
        <v>2272</v>
      </c>
      <c r="AB3583" s="198"/>
      <c r="AC3583" s="198"/>
    </row>
    <row r="3584" spans="1:29" ht="51.5" customHeight="1">
      <c r="A3584" s="151" t="str">
        <f>'Reported burning'!A3584</f>
        <v>383a</v>
      </c>
      <c r="B3584" s="151" t="str">
        <f>'Reported burning'!B3584</f>
        <v>383a.1</v>
      </c>
      <c r="C3584" s="151" t="str">
        <f>'Reported burning'!C3584</f>
        <v>Unknown</v>
      </c>
      <c r="D3584" s="151" t="str">
        <f>'Reported burning'!D3584</f>
        <v>ND</v>
      </c>
      <c r="E3584" s="151" t="str">
        <f>'Reported burning'!E3584</f>
        <v>Forestry, Industrial</v>
      </c>
      <c r="F3584" s="151" t="str">
        <f>'Reported burning'!F3584</f>
        <v>ND</v>
      </c>
      <c r="G3584" s="151" t="str">
        <f>'Reported burning'!G3584</f>
        <v>Plantation forest</v>
      </c>
      <c r="H3584" s="151" t="str">
        <f>'Reported burning'!H3584</f>
        <v>Presence</v>
      </c>
      <c r="I3584" s="5"/>
      <c r="J3584" s="172" t="s">
        <v>2272</v>
      </c>
      <c r="K3584" s="172" t="s">
        <v>2272</v>
      </c>
      <c r="L3584" s="172" t="s">
        <v>2272</v>
      </c>
      <c r="M3584" s="172" t="s">
        <v>2272</v>
      </c>
      <c r="N3584" s="172" t="s">
        <v>2272</v>
      </c>
      <c r="O3584" s="172" t="s">
        <v>2272</v>
      </c>
      <c r="P3584" s="172" t="s">
        <v>2272</v>
      </c>
      <c r="Q3584" s="172" t="s">
        <v>2272</v>
      </c>
      <c r="R3584" s="172" t="s">
        <v>2272</v>
      </c>
      <c r="S3584" s="172" t="s">
        <v>2272</v>
      </c>
      <c r="T3584" s="172" t="s">
        <v>2272</v>
      </c>
      <c r="U3584" s="172" t="s">
        <v>2272</v>
      </c>
      <c r="V3584" s="172" t="s">
        <v>2272</v>
      </c>
      <c r="W3584" s="172" t="s">
        <v>2272</v>
      </c>
      <c r="X3584" s="172" t="s">
        <v>2272</v>
      </c>
      <c r="Y3584" s="198" t="s">
        <v>186</v>
      </c>
      <c r="Z3584" s="198" t="s">
        <v>186</v>
      </c>
      <c r="AA3584" s="21" t="s">
        <v>2272</v>
      </c>
      <c r="AB3584" s="19" t="s">
        <v>9255</v>
      </c>
      <c r="AC3584" s="198"/>
    </row>
    <row r="3585" spans="1:29" ht="51.5" customHeight="1">
      <c r="A3585" s="151" t="str">
        <f>'Reported burning'!A3585</f>
        <v>384a</v>
      </c>
      <c r="B3585" s="151" t="str">
        <f>'Reported burning'!B3585</f>
        <v>384a.1</v>
      </c>
      <c r="C3585" s="151" t="str">
        <f>'Reported burning'!C3585</f>
        <v>Unknown</v>
      </c>
      <c r="D3585" s="151" t="str">
        <f>'Reported burning'!D3585</f>
        <v>ND</v>
      </c>
      <c r="E3585" s="151" t="str">
        <f>'Reported burning'!E3585</f>
        <v>Forestry, Industrial</v>
      </c>
      <c r="F3585" s="151" t="str">
        <f>'Reported burning'!F3585</f>
        <v>ND</v>
      </c>
      <c r="G3585" s="151" t="str">
        <f>'Reported burning'!G3585</f>
        <v>Plantation forest</v>
      </c>
      <c r="H3585" s="151" t="str">
        <f>'Reported burning'!H3585</f>
        <v>Presence</v>
      </c>
      <c r="I3585" s="5"/>
      <c r="J3585" s="172" t="s">
        <v>2272</v>
      </c>
      <c r="K3585" s="172" t="s">
        <v>2272</v>
      </c>
      <c r="L3585" s="172" t="s">
        <v>2272</v>
      </c>
      <c r="M3585" s="172" t="s">
        <v>2272</v>
      </c>
      <c r="N3585" s="172" t="s">
        <v>2272</v>
      </c>
      <c r="O3585" s="172" t="s">
        <v>2272</v>
      </c>
      <c r="P3585" s="172" t="s">
        <v>2272</v>
      </c>
      <c r="Q3585" s="172" t="s">
        <v>2272</v>
      </c>
      <c r="R3585" s="172" t="s">
        <v>2272</v>
      </c>
      <c r="S3585" s="172" t="s">
        <v>2272</v>
      </c>
      <c r="T3585" s="172" t="s">
        <v>2272</v>
      </c>
      <c r="U3585" s="172" t="s">
        <v>2272</v>
      </c>
      <c r="V3585" s="172" t="s">
        <v>2272</v>
      </c>
      <c r="W3585" s="172" t="s">
        <v>2272</v>
      </c>
      <c r="X3585" s="172" t="s">
        <v>2272</v>
      </c>
      <c r="Y3585" s="172" t="s">
        <v>2272</v>
      </c>
      <c r="Z3585" s="172" t="s">
        <v>2272</v>
      </c>
      <c r="AA3585" s="172" t="s">
        <v>2272</v>
      </c>
      <c r="AB3585" s="198"/>
      <c r="AC3585" s="198"/>
    </row>
    <row r="3586" spans="1:29" ht="46.5" customHeight="1">
      <c r="A3586" s="147" t="str">
        <f>'Reported burning'!A3586</f>
        <v>385a</v>
      </c>
      <c r="B3586" s="147" t="str">
        <f>'Reported burning'!B3586</f>
        <v>385a.1</v>
      </c>
      <c r="C3586" s="147" t="str">
        <f>'Reported burning'!C3586</f>
        <v>Human, escaped</v>
      </c>
      <c r="D3586" s="147" t="str">
        <f>'Reported burning'!D3586</f>
        <v>ND</v>
      </c>
      <c r="E3586" s="147" t="str">
        <f>'Reported burning'!E3586</f>
        <v>ND</v>
      </c>
      <c r="F3586" s="147" t="str">
        <f>'Reported burning'!F3586</f>
        <v>ND</v>
      </c>
      <c r="G3586" s="147" t="str">
        <f>'Reported burning'!G3586</f>
        <v>ND</v>
      </c>
      <c r="H3586" s="147" t="str">
        <f>'Reported burning'!H3586</f>
        <v>Presence</v>
      </c>
      <c r="I3586" s="198"/>
      <c r="J3586" s="172" t="s">
        <v>2272</v>
      </c>
      <c r="K3586" s="172" t="s">
        <v>2272</v>
      </c>
      <c r="L3586" s="172" t="s">
        <v>2272</v>
      </c>
      <c r="M3586" s="172" t="s">
        <v>2272</v>
      </c>
      <c r="N3586" s="172" t="s">
        <v>2272</v>
      </c>
      <c r="O3586" s="172" t="s">
        <v>2272</v>
      </c>
      <c r="P3586" s="172" t="s">
        <v>2272</v>
      </c>
      <c r="Q3586" s="172" t="s">
        <v>2272</v>
      </c>
      <c r="R3586" s="172" t="s">
        <v>2272</v>
      </c>
      <c r="S3586" s="172" t="s">
        <v>2272</v>
      </c>
      <c r="T3586" s="172" t="s">
        <v>2272</v>
      </c>
      <c r="U3586" s="172" t="s">
        <v>2272</v>
      </c>
      <c r="V3586" s="172" t="s">
        <v>2272</v>
      </c>
      <c r="W3586" s="172" t="s">
        <v>2272</v>
      </c>
      <c r="X3586" s="172" t="s">
        <v>2272</v>
      </c>
      <c r="Y3586" s="21" t="s">
        <v>2272</v>
      </c>
      <c r="Z3586" s="21" t="s">
        <v>2272</v>
      </c>
      <c r="AA3586" s="21" t="s">
        <v>2272</v>
      </c>
      <c r="AB3586" s="4" t="s">
        <v>9169</v>
      </c>
      <c r="AC3586" s="198"/>
    </row>
    <row r="3587" spans="1:29" ht="72.5">
      <c r="A3587" s="147" t="str">
        <f>'Reported burning'!A3587</f>
        <v>385a</v>
      </c>
      <c r="B3587" s="147" t="str">
        <f>'Reported burning'!B3587</f>
        <v>385a.2</v>
      </c>
      <c r="C3587" s="147" t="str">
        <f>'Reported burning'!C3587</f>
        <v>Human, escaped</v>
      </c>
      <c r="D3587" s="147" t="str">
        <f>'Reported burning'!D3587</f>
        <v>ND</v>
      </c>
      <c r="E3587" s="147" t="str">
        <f>'Reported burning'!E3587</f>
        <v>Forestry, Industrial</v>
      </c>
      <c r="F3587" s="147" t="str">
        <f>'Reported burning'!F3587</f>
        <v>ND</v>
      </c>
      <c r="G3587" s="147" t="str">
        <f>'Reported burning'!G3587</f>
        <v>Plantation forest</v>
      </c>
      <c r="H3587" s="147" t="str">
        <f>'Reported burning'!H3587</f>
        <v>Presence</v>
      </c>
      <c r="I3587" s="198"/>
      <c r="J3587" s="172" t="s">
        <v>2272</v>
      </c>
      <c r="K3587" s="172" t="s">
        <v>2272</v>
      </c>
      <c r="L3587" s="172" t="s">
        <v>2272</v>
      </c>
      <c r="M3587" s="172" t="s">
        <v>2272</v>
      </c>
      <c r="N3587" s="172" t="s">
        <v>2272</v>
      </c>
      <c r="O3587" s="172" t="s">
        <v>2272</v>
      </c>
      <c r="P3587" s="172" t="s">
        <v>2272</v>
      </c>
      <c r="Q3587" s="172" t="s">
        <v>2272</v>
      </c>
      <c r="R3587" s="172" t="s">
        <v>2272</v>
      </c>
      <c r="S3587" s="172" t="s">
        <v>2272</v>
      </c>
      <c r="T3587" s="172" t="s">
        <v>2272</v>
      </c>
      <c r="U3587" s="172" t="s">
        <v>2272</v>
      </c>
      <c r="V3587" s="172" t="s">
        <v>2272</v>
      </c>
      <c r="W3587" s="172" t="s">
        <v>2272</v>
      </c>
      <c r="X3587" s="172" t="s">
        <v>2272</v>
      </c>
      <c r="Y3587" s="198" t="s">
        <v>125</v>
      </c>
      <c r="Z3587" s="198" t="s">
        <v>186</v>
      </c>
      <c r="AA3587" s="21" t="s">
        <v>2272</v>
      </c>
      <c r="AB3587" s="4" t="s">
        <v>9169</v>
      </c>
      <c r="AC3587" s="198"/>
    </row>
    <row r="3588" spans="1:29" ht="72.5">
      <c r="A3588" s="147" t="str">
        <f>'Reported burning'!A3588</f>
        <v>385a</v>
      </c>
      <c r="B3588" s="147" t="str">
        <f>'Reported burning'!B3588</f>
        <v>385a.3</v>
      </c>
      <c r="C3588" s="147" t="str">
        <f>'Reported burning'!C3588</f>
        <v>Human, escaped</v>
      </c>
      <c r="D3588" s="147" t="str">
        <f>'Reported burning'!D3588</f>
        <v>ND</v>
      </c>
      <c r="E3588" s="147" t="str">
        <f>'Reported burning'!E3588</f>
        <v>ND</v>
      </c>
      <c r="F3588" s="147" t="str">
        <f>'Reported burning'!F3588</f>
        <v>ND</v>
      </c>
      <c r="G3588" s="147" t="str">
        <f>'Reported burning'!G3588</f>
        <v>Forest</v>
      </c>
      <c r="H3588" s="147" t="str">
        <f>'Reported burning'!H3588</f>
        <v>Presence</v>
      </c>
      <c r="I3588" s="198"/>
      <c r="J3588" s="172" t="s">
        <v>2272</v>
      </c>
      <c r="K3588" s="172" t="s">
        <v>2272</v>
      </c>
      <c r="L3588" s="172" t="s">
        <v>2272</v>
      </c>
      <c r="M3588" s="172" t="s">
        <v>2272</v>
      </c>
      <c r="N3588" s="172" t="s">
        <v>2272</v>
      </c>
      <c r="O3588" s="172" t="s">
        <v>2272</v>
      </c>
      <c r="P3588" s="172" t="s">
        <v>2272</v>
      </c>
      <c r="Q3588" s="172" t="s">
        <v>2272</v>
      </c>
      <c r="R3588" s="172" t="s">
        <v>2272</v>
      </c>
      <c r="S3588" s="172" t="s">
        <v>2272</v>
      </c>
      <c r="T3588" s="172" t="s">
        <v>2272</v>
      </c>
      <c r="U3588" s="172" t="s">
        <v>2272</v>
      </c>
      <c r="V3588" s="172" t="s">
        <v>2272</v>
      </c>
      <c r="W3588" s="172" t="s">
        <v>2272</v>
      </c>
      <c r="X3588" s="172" t="s">
        <v>2272</v>
      </c>
      <c r="Y3588" s="198" t="s">
        <v>125</v>
      </c>
      <c r="Z3588" s="198" t="s">
        <v>186</v>
      </c>
      <c r="AA3588" s="21" t="s">
        <v>2272</v>
      </c>
      <c r="AB3588" s="4" t="s">
        <v>9169</v>
      </c>
      <c r="AC3588" s="198"/>
    </row>
    <row r="3589" spans="1:29" ht="72.5">
      <c r="A3589" s="147" t="str">
        <f>'Reported burning'!A3589</f>
        <v>385a</v>
      </c>
      <c r="B3589" s="147" t="str">
        <f>'Reported burning'!B3589</f>
        <v>385a.4</v>
      </c>
      <c r="C3589" s="147" t="str">
        <f>'Reported burning'!C3589</f>
        <v>Human, escaped</v>
      </c>
      <c r="D3589" s="147" t="str">
        <f>'Reported burning'!D3589</f>
        <v>ND</v>
      </c>
      <c r="E3589" s="147" t="str">
        <f>'Reported burning'!E3589</f>
        <v>Cropping, Monoculture, Market-oriented</v>
      </c>
      <c r="F3589" s="147" t="str">
        <f>'Reported burning'!F3589</f>
        <v>ND</v>
      </c>
      <c r="G3589" s="147" t="str">
        <f>'Reported burning'!G3589</f>
        <v>Shrubland (Mixed forest &amp; grassland)</v>
      </c>
      <c r="H3589" s="147" t="str">
        <f>'Reported burning'!H3589</f>
        <v>Presence</v>
      </c>
      <c r="I3589" s="198"/>
      <c r="J3589" s="172" t="s">
        <v>2272</v>
      </c>
      <c r="K3589" s="172" t="s">
        <v>2272</v>
      </c>
      <c r="L3589" s="172" t="s">
        <v>2272</v>
      </c>
      <c r="M3589" s="172" t="s">
        <v>2272</v>
      </c>
      <c r="N3589" s="172" t="s">
        <v>2272</v>
      </c>
      <c r="O3589" s="172" t="s">
        <v>2272</v>
      </c>
      <c r="P3589" s="172" t="s">
        <v>2272</v>
      </c>
      <c r="Q3589" s="172" t="s">
        <v>2272</v>
      </c>
      <c r="R3589" s="172" t="s">
        <v>2272</v>
      </c>
      <c r="S3589" s="172" t="s">
        <v>2272</v>
      </c>
      <c r="T3589" s="172" t="s">
        <v>2272</v>
      </c>
      <c r="U3589" s="172" t="s">
        <v>2272</v>
      </c>
      <c r="V3589" s="172" t="s">
        <v>2272</v>
      </c>
      <c r="W3589" s="172" t="s">
        <v>2272</v>
      </c>
      <c r="X3589" s="172" t="s">
        <v>2272</v>
      </c>
      <c r="Y3589" s="198" t="s">
        <v>125</v>
      </c>
      <c r="Z3589" s="198" t="s">
        <v>186</v>
      </c>
      <c r="AA3589" s="21" t="s">
        <v>2272</v>
      </c>
      <c r="AB3589" s="4" t="s">
        <v>9169</v>
      </c>
      <c r="AC3589" s="198"/>
    </row>
    <row r="3590" spans="1:29" ht="72.5">
      <c r="A3590" s="147" t="str">
        <f>'Reported burning'!A3590</f>
        <v>385a</v>
      </c>
      <c r="B3590" s="147" t="str">
        <f>'Reported burning'!B3590</f>
        <v>385a.5</v>
      </c>
      <c r="C3590" s="147" t="str">
        <f>'Reported burning'!C3590</f>
        <v>Human, escaped</v>
      </c>
      <c r="D3590" s="147" t="str">
        <f>'Reported burning'!D3590</f>
        <v>ND</v>
      </c>
      <c r="E3590" s="147" t="str">
        <f>'Reported burning'!E3590</f>
        <v>ND</v>
      </c>
      <c r="F3590" s="147" t="str">
        <f>'Reported burning'!F3590</f>
        <v>ND</v>
      </c>
      <c r="G3590" s="147" t="str">
        <f>'Reported burning'!G3590</f>
        <v>Grassland</v>
      </c>
      <c r="H3590" s="147" t="str">
        <f>'Reported burning'!H3590</f>
        <v>Presence</v>
      </c>
      <c r="I3590" s="198"/>
      <c r="J3590" s="172" t="s">
        <v>2272</v>
      </c>
      <c r="K3590" s="172" t="s">
        <v>2272</v>
      </c>
      <c r="L3590" s="172" t="s">
        <v>2272</v>
      </c>
      <c r="M3590" s="172" t="s">
        <v>2272</v>
      </c>
      <c r="N3590" s="172" t="s">
        <v>2272</v>
      </c>
      <c r="O3590" s="172" t="s">
        <v>2272</v>
      </c>
      <c r="P3590" s="172" t="s">
        <v>2272</v>
      </c>
      <c r="Q3590" s="172" t="s">
        <v>2272</v>
      </c>
      <c r="R3590" s="172" t="s">
        <v>2272</v>
      </c>
      <c r="S3590" s="172" t="s">
        <v>2272</v>
      </c>
      <c r="T3590" s="172" t="s">
        <v>2272</v>
      </c>
      <c r="U3590" s="172" t="s">
        <v>2272</v>
      </c>
      <c r="V3590" s="172" t="s">
        <v>2272</v>
      </c>
      <c r="W3590" s="172" t="s">
        <v>2272</v>
      </c>
      <c r="X3590" s="172" t="s">
        <v>2272</v>
      </c>
      <c r="Y3590" s="198" t="s">
        <v>125</v>
      </c>
      <c r="Z3590" s="198" t="s">
        <v>186</v>
      </c>
      <c r="AA3590" s="21" t="s">
        <v>2272</v>
      </c>
      <c r="AB3590" s="4" t="s">
        <v>9169</v>
      </c>
      <c r="AC3590" s="198"/>
    </row>
    <row r="3591" spans="1:29" ht="72.5">
      <c r="A3591" s="147" t="str">
        <f>'Reported burning'!A3591</f>
        <v>385a</v>
      </c>
      <c r="B3591" s="147" t="str">
        <f>'Reported burning'!B3591</f>
        <v>385a.6</v>
      </c>
      <c r="C3591" s="147" t="str">
        <f>'Reported burning'!C3591</f>
        <v>Human, escaped</v>
      </c>
      <c r="D3591" s="147" t="str">
        <f>'Reported burning'!D3591</f>
        <v>ND</v>
      </c>
      <c r="E3591" s="147" t="str">
        <f>'Reported burning'!E3591</f>
        <v>ND</v>
      </c>
      <c r="F3591" s="147" t="str">
        <f>'Reported burning'!F3591</f>
        <v>ND</v>
      </c>
      <c r="G3591" s="147" t="str">
        <f>'Reported burning'!G3591</f>
        <v>Cropland</v>
      </c>
      <c r="H3591" s="147" t="str">
        <f>'Reported burning'!H3591</f>
        <v>Presence</v>
      </c>
      <c r="I3591" s="198"/>
      <c r="J3591" s="172" t="s">
        <v>2272</v>
      </c>
      <c r="K3591" s="172" t="s">
        <v>2272</v>
      </c>
      <c r="L3591" s="172" t="s">
        <v>2272</v>
      </c>
      <c r="M3591" s="172" t="s">
        <v>2272</v>
      </c>
      <c r="N3591" s="172" t="s">
        <v>2272</v>
      </c>
      <c r="O3591" s="172" t="s">
        <v>2272</v>
      </c>
      <c r="P3591" s="172" t="s">
        <v>2272</v>
      </c>
      <c r="Q3591" s="172" t="s">
        <v>2272</v>
      </c>
      <c r="R3591" s="172" t="s">
        <v>2272</v>
      </c>
      <c r="S3591" s="172" t="s">
        <v>2272</v>
      </c>
      <c r="T3591" s="172" t="s">
        <v>2272</v>
      </c>
      <c r="U3591" s="172" t="s">
        <v>2272</v>
      </c>
      <c r="V3591" s="172" t="s">
        <v>2272</v>
      </c>
      <c r="W3591" s="172" t="s">
        <v>2272</v>
      </c>
      <c r="X3591" s="172" t="s">
        <v>2272</v>
      </c>
      <c r="Y3591" s="198" t="s">
        <v>125</v>
      </c>
      <c r="Z3591" s="198" t="s">
        <v>186</v>
      </c>
      <c r="AA3591" s="21" t="s">
        <v>2272</v>
      </c>
      <c r="AB3591" s="4" t="s">
        <v>9169</v>
      </c>
      <c r="AC3591" s="198"/>
    </row>
    <row r="3592" spans="1:29" ht="40" customHeight="1">
      <c r="A3592" s="147" t="str">
        <f>'Reported burning'!A3592</f>
        <v>386a</v>
      </c>
      <c r="B3592" s="147" t="str">
        <f>'Reported burning'!B3592</f>
        <v>386a.1</v>
      </c>
      <c r="C3592" s="147" t="str">
        <f>'Reported burning'!C3592</f>
        <v>All</v>
      </c>
      <c r="D3592" s="147" t="str">
        <f>'Reported burning'!D3592</f>
        <v>ND</v>
      </c>
      <c r="E3592" s="147" t="str">
        <f>'Reported burning'!E3592</f>
        <v>ND</v>
      </c>
      <c r="F3592" s="147" t="str">
        <f>'Reported burning'!F3592</f>
        <v>ND</v>
      </c>
      <c r="G3592" s="147" t="str">
        <f>'Reported burning'!G3592</f>
        <v>Forest</v>
      </c>
      <c r="H3592" s="147" t="str">
        <f>'Reported burning'!H3592</f>
        <v>Presence</v>
      </c>
      <c r="I3592" s="198"/>
      <c r="J3592" s="172" t="s">
        <v>2272</v>
      </c>
      <c r="K3592" s="172" t="s">
        <v>2272</v>
      </c>
      <c r="L3592" s="172" t="s">
        <v>2272</v>
      </c>
      <c r="M3592" s="172" t="s">
        <v>2272</v>
      </c>
      <c r="N3592" s="172" t="s">
        <v>2272</v>
      </c>
      <c r="O3592" s="172" t="s">
        <v>2272</v>
      </c>
      <c r="P3592" s="172" t="s">
        <v>2272</v>
      </c>
      <c r="Q3592" s="172" t="s">
        <v>2272</v>
      </c>
      <c r="R3592" s="172" t="s">
        <v>2272</v>
      </c>
      <c r="S3592" s="172" t="s">
        <v>2272</v>
      </c>
      <c r="T3592" s="172" t="s">
        <v>2272</v>
      </c>
      <c r="U3592" s="21" t="s">
        <v>2522</v>
      </c>
      <c r="V3592" s="21" t="s">
        <v>2272</v>
      </c>
      <c r="W3592" s="21" t="s">
        <v>2272</v>
      </c>
      <c r="X3592" s="21" t="s">
        <v>2272</v>
      </c>
      <c r="Y3592" s="21" t="s">
        <v>2272</v>
      </c>
      <c r="Z3592" s="21" t="s">
        <v>2272</v>
      </c>
      <c r="AA3592" s="21" t="s">
        <v>2272</v>
      </c>
      <c r="AB3592" s="198"/>
      <c r="AC3592" s="198"/>
    </row>
    <row r="3593" spans="1:29" ht="36" customHeight="1">
      <c r="A3593" s="147" t="str">
        <f>'Reported burning'!A3593</f>
        <v>386a</v>
      </c>
      <c r="B3593" s="147" t="str">
        <f>'Reported burning'!B3593</f>
        <v>386a.2</v>
      </c>
      <c r="C3593" s="147" t="str">
        <f>'Reported burning'!C3593</f>
        <v>All</v>
      </c>
      <c r="D3593" s="147" t="str">
        <f>'Reported burning'!D3593</f>
        <v>ND</v>
      </c>
      <c r="E3593" s="147" t="str">
        <f>'Reported burning'!E3593</f>
        <v>ND</v>
      </c>
      <c r="F3593" s="147" t="str">
        <f>'Reported burning'!F3593</f>
        <v>ND</v>
      </c>
      <c r="G3593" s="147" t="str">
        <f>'Reported burning'!G3593</f>
        <v>Forest</v>
      </c>
      <c r="H3593" s="147" t="str">
        <f>'Reported burning'!H3593</f>
        <v>Presence</v>
      </c>
      <c r="I3593" s="198"/>
      <c r="J3593" s="172" t="s">
        <v>2272</v>
      </c>
      <c r="K3593" s="172" t="s">
        <v>2272</v>
      </c>
      <c r="L3593" s="172" t="s">
        <v>2272</v>
      </c>
      <c r="M3593" s="172" t="s">
        <v>2272</v>
      </c>
      <c r="N3593" s="172" t="s">
        <v>2272</v>
      </c>
      <c r="O3593" s="172" t="s">
        <v>2272</v>
      </c>
      <c r="P3593" s="172" t="s">
        <v>2272</v>
      </c>
      <c r="Q3593" s="172" t="s">
        <v>2272</v>
      </c>
      <c r="R3593" s="172" t="s">
        <v>2272</v>
      </c>
      <c r="S3593" s="172" t="s">
        <v>2272</v>
      </c>
      <c r="T3593" s="172" t="s">
        <v>2272</v>
      </c>
      <c r="U3593" s="21" t="s">
        <v>2272</v>
      </c>
      <c r="V3593" s="21" t="s">
        <v>2272</v>
      </c>
      <c r="W3593" s="21" t="s">
        <v>2272</v>
      </c>
      <c r="X3593" s="21" t="s">
        <v>2272</v>
      </c>
      <c r="Y3593" s="21" t="s">
        <v>2272</v>
      </c>
      <c r="Z3593" s="21" t="s">
        <v>2272</v>
      </c>
      <c r="AA3593" s="21" t="s">
        <v>2272</v>
      </c>
      <c r="AB3593" s="198"/>
      <c r="AC3593" s="198"/>
    </row>
    <row r="3594" spans="1:29" ht="38" customHeight="1">
      <c r="A3594" s="151" t="str">
        <f>'Reported burning'!A3594</f>
        <v>387a</v>
      </c>
      <c r="B3594" s="151" t="str">
        <f>'Reported burning'!B3594</f>
        <v>387a.1</v>
      </c>
      <c r="C3594" s="151" t="str">
        <f>'Reported burning'!C3594</f>
        <v>Human, deliberate</v>
      </c>
      <c r="D3594" s="151" t="str">
        <f>'Reported burning'!D3594</f>
        <v>Pyrome management</v>
      </c>
      <c r="E3594" s="151" t="str">
        <f>'Reported burning'!E3594</f>
        <v>Forestry, Industrial</v>
      </c>
      <c r="F3594" s="151" t="str">
        <f>'Reported burning'!F3594</f>
        <v>Forest</v>
      </c>
      <c r="G3594" s="151" t="str">
        <f>'Reported burning'!G3594</f>
        <v>Forest</v>
      </c>
      <c r="H3594" s="151" t="str">
        <f>'Reported burning'!H3594</f>
        <v>Presence</v>
      </c>
      <c r="I3594" s="5"/>
      <c r="J3594" s="21" t="s">
        <v>2272</v>
      </c>
      <c r="K3594" s="21" t="s">
        <v>2272</v>
      </c>
      <c r="L3594" s="21" t="s">
        <v>2272</v>
      </c>
      <c r="M3594" s="21" t="s">
        <v>2272</v>
      </c>
      <c r="N3594" s="21" t="s">
        <v>2272</v>
      </c>
      <c r="O3594" s="21" t="s">
        <v>2272</v>
      </c>
      <c r="P3594" s="21" t="s">
        <v>2272</v>
      </c>
      <c r="Q3594" s="21" t="s">
        <v>2272</v>
      </c>
      <c r="R3594" s="21" t="s">
        <v>2272</v>
      </c>
      <c r="S3594" s="21" t="s">
        <v>2272</v>
      </c>
      <c r="T3594" s="21" t="s">
        <v>2272</v>
      </c>
      <c r="U3594" s="21" t="s">
        <v>2272</v>
      </c>
      <c r="V3594" s="21" t="s">
        <v>2272</v>
      </c>
      <c r="W3594" s="21" t="s">
        <v>2272</v>
      </c>
      <c r="X3594" s="21" t="s">
        <v>2272</v>
      </c>
      <c r="Y3594" s="21" t="s">
        <v>2272</v>
      </c>
      <c r="Z3594" s="21" t="s">
        <v>2272</v>
      </c>
      <c r="AA3594" s="21" t="s">
        <v>2272</v>
      </c>
      <c r="AB3594" s="198"/>
      <c r="AC3594" s="198"/>
    </row>
    <row r="3595" spans="1:29" ht="44.5" customHeight="1">
      <c r="A3595" s="151" t="str">
        <f>'Reported burning'!A3595</f>
        <v>387b</v>
      </c>
      <c r="B3595" s="151" t="str">
        <f>'Reported burning'!B3595</f>
        <v>387b.1</v>
      </c>
      <c r="C3595" s="151" t="str">
        <f>'Reported burning'!C3595</f>
        <v>Human, deliberate</v>
      </c>
      <c r="D3595" s="151" t="str">
        <f>'Reported burning'!D3595</f>
        <v>Pyrome management</v>
      </c>
      <c r="E3595" s="151" t="str">
        <f>'Reported burning'!E3595</f>
        <v>Forestry, Industrial</v>
      </c>
      <c r="F3595" s="151" t="str">
        <f>'Reported burning'!F3595</f>
        <v>Forest</v>
      </c>
      <c r="G3595" s="151" t="str">
        <f>'Reported burning'!G3595</f>
        <v>Forest</v>
      </c>
      <c r="H3595" s="151" t="str">
        <f>'Reported burning'!H3595</f>
        <v>Presence</v>
      </c>
      <c r="I3595" s="5"/>
      <c r="J3595" s="21" t="s">
        <v>2272</v>
      </c>
      <c r="K3595" s="21" t="s">
        <v>2272</v>
      </c>
      <c r="L3595" s="21" t="s">
        <v>2272</v>
      </c>
      <c r="M3595" s="21" t="s">
        <v>2272</v>
      </c>
      <c r="N3595" s="21" t="s">
        <v>2272</v>
      </c>
      <c r="O3595" s="21" t="s">
        <v>2272</v>
      </c>
      <c r="P3595" s="21" t="s">
        <v>2272</v>
      </c>
      <c r="Q3595" s="21" t="s">
        <v>2272</v>
      </c>
      <c r="R3595" s="21" t="s">
        <v>2272</v>
      </c>
      <c r="S3595" s="21" t="s">
        <v>2272</v>
      </c>
      <c r="T3595" s="21" t="s">
        <v>2272</v>
      </c>
      <c r="U3595" s="21" t="s">
        <v>2272</v>
      </c>
      <c r="V3595" s="21" t="s">
        <v>2272</v>
      </c>
      <c r="W3595" s="21" t="s">
        <v>2272</v>
      </c>
      <c r="X3595" s="21" t="s">
        <v>2272</v>
      </c>
      <c r="Y3595" s="21" t="s">
        <v>2272</v>
      </c>
      <c r="Z3595" s="21" t="s">
        <v>2272</v>
      </c>
      <c r="AA3595" s="21" t="s">
        <v>2272</v>
      </c>
      <c r="AB3595" s="198"/>
      <c r="AC3595" s="198"/>
    </row>
    <row r="3596" spans="1:29" ht="44.5" customHeight="1">
      <c r="A3596" s="151" t="str">
        <f>'Reported burning'!A3596</f>
        <v>387a</v>
      </c>
      <c r="B3596" s="151" t="str">
        <f>'Reported burning'!B3596</f>
        <v>387a.2</v>
      </c>
      <c r="C3596" s="151" t="str">
        <f>'Reported burning'!C3596</f>
        <v>Human, deliberate</v>
      </c>
      <c r="D3596" s="151" t="str">
        <f>'Reported burning'!D3596</f>
        <v>Pyrome management</v>
      </c>
      <c r="E3596" s="151" t="str">
        <f>'Reported burning'!E3596</f>
        <v>Fire suppression agent</v>
      </c>
      <c r="F3596" s="151" t="str">
        <f>'Reported burning'!F3596</f>
        <v>Forest</v>
      </c>
      <c r="G3596" s="151" t="str">
        <f>'Reported burning'!G3596</f>
        <v>Forest</v>
      </c>
      <c r="H3596" s="151" t="str">
        <f>'Reported burning'!H3596</f>
        <v>Presence</v>
      </c>
      <c r="I3596" s="5"/>
      <c r="J3596" s="21" t="s">
        <v>2272</v>
      </c>
      <c r="K3596" s="21" t="s">
        <v>2272</v>
      </c>
      <c r="L3596" s="21" t="s">
        <v>2272</v>
      </c>
      <c r="M3596" s="21" t="s">
        <v>2272</v>
      </c>
      <c r="N3596" s="21" t="s">
        <v>2272</v>
      </c>
      <c r="O3596" s="21" t="s">
        <v>2272</v>
      </c>
      <c r="P3596" s="21" t="s">
        <v>2272</v>
      </c>
      <c r="Q3596" s="21" t="s">
        <v>2272</v>
      </c>
      <c r="R3596" s="21" t="s">
        <v>2272</v>
      </c>
      <c r="S3596" s="21" t="s">
        <v>2272</v>
      </c>
      <c r="T3596" s="21" t="s">
        <v>2272</v>
      </c>
      <c r="U3596" s="21" t="s">
        <v>2272</v>
      </c>
      <c r="V3596" s="21" t="s">
        <v>2272</v>
      </c>
      <c r="W3596" s="21" t="s">
        <v>2272</v>
      </c>
      <c r="X3596" s="21" t="s">
        <v>2272</v>
      </c>
      <c r="Y3596" s="21" t="s">
        <v>2272</v>
      </c>
      <c r="Z3596" s="21" t="s">
        <v>2272</v>
      </c>
      <c r="AA3596" s="21" t="s">
        <v>2272</v>
      </c>
      <c r="AB3596" s="198"/>
      <c r="AC3596" s="198"/>
    </row>
    <row r="3597" spans="1:29" ht="44.5" customHeight="1">
      <c r="A3597" s="151" t="str">
        <f>'Reported burning'!A3597</f>
        <v>387b</v>
      </c>
      <c r="B3597" s="151" t="str">
        <f>'Reported burning'!B3597</f>
        <v>387b.2</v>
      </c>
      <c r="C3597" s="151" t="str">
        <f>'Reported burning'!C3597</f>
        <v>Human, deliberate</v>
      </c>
      <c r="D3597" s="151" t="str">
        <f>'Reported burning'!D3597</f>
        <v>Pyrome management</v>
      </c>
      <c r="E3597" s="151" t="str">
        <f>'Reported burning'!E3597</f>
        <v>Fire suppression agent</v>
      </c>
      <c r="F3597" s="151" t="str">
        <f>'Reported burning'!F3597</f>
        <v>Forest</v>
      </c>
      <c r="G3597" s="151" t="str">
        <f>'Reported burning'!G3597</f>
        <v>Forest</v>
      </c>
      <c r="H3597" s="151" t="str">
        <f>'Reported burning'!H3597</f>
        <v>Presence</v>
      </c>
      <c r="I3597" s="5"/>
      <c r="J3597" s="21" t="s">
        <v>2272</v>
      </c>
      <c r="K3597" s="21" t="s">
        <v>2272</v>
      </c>
      <c r="L3597" s="21" t="s">
        <v>2272</v>
      </c>
      <c r="M3597" s="21" t="s">
        <v>2272</v>
      </c>
      <c r="N3597" s="21" t="s">
        <v>2272</v>
      </c>
      <c r="O3597" s="21" t="s">
        <v>2272</v>
      </c>
      <c r="P3597" s="21" t="s">
        <v>2272</v>
      </c>
      <c r="Q3597" s="21" t="s">
        <v>2272</v>
      </c>
      <c r="R3597" s="21" t="s">
        <v>2272</v>
      </c>
      <c r="S3597" s="21" t="s">
        <v>2272</v>
      </c>
      <c r="T3597" s="21" t="s">
        <v>2272</v>
      </c>
      <c r="U3597" s="21" t="s">
        <v>2272</v>
      </c>
      <c r="V3597" s="21" t="s">
        <v>2272</v>
      </c>
      <c r="W3597" s="21" t="s">
        <v>2272</v>
      </c>
      <c r="X3597" s="21" t="s">
        <v>2272</v>
      </c>
      <c r="Y3597" s="21" t="s">
        <v>2272</v>
      </c>
      <c r="Z3597" s="21" t="s">
        <v>2272</v>
      </c>
      <c r="AA3597" s="21" t="s">
        <v>2272</v>
      </c>
      <c r="AB3597" s="198"/>
      <c r="AC3597" s="198"/>
    </row>
    <row r="3598" spans="1:29" ht="44.5" customHeight="1">
      <c r="A3598" s="151" t="str">
        <f>'Reported burning'!A3598</f>
        <v>388a</v>
      </c>
      <c r="B3598" s="151" t="str">
        <f>'Reported burning'!B3598</f>
        <v>388a.1</v>
      </c>
      <c r="C3598" s="151" t="str">
        <f>'Reported burning'!C3598</f>
        <v>Human, deliberate</v>
      </c>
      <c r="D3598" s="151" t="str">
        <f>'Reported burning'!D3598</f>
        <v>Pyrome management</v>
      </c>
      <c r="E3598" s="151" t="str">
        <f>'Reported burning'!E3598</f>
        <v>Fire suppression agent</v>
      </c>
      <c r="F3598" s="151" t="str">
        <f>'Reported burning'!F3598</f>
        <v>Shrubland (Mixed forest &amp; grassland)</v>
      </c>
      <c r="G3598" s="151" t="str">
        <f>'Reported burning'!G3598</f>
        <v>Shrubland (Mixed forest &amp; grassland)</v>
      </c>
      <c r="H3598" s="151" t="str">
        <f>'Reported burning'!H3598</f>
        <v>Presence</v>
      </c>
      <c r="I3598" s="5"/>
      <c r="J3598" s="21" t="s">
        <v>2272</v>
      </c>
      <c r="K3598" s="21" t="s">
        <v>2272</v>
      </c>
      <c r="L3598" s="21" t="s">
        <v>2272</v>
      </c>
      <c r="M3598" s="21" t="s">
        <v>2272</v>
      </c>
      <c r="N3598" s="21" t="s">
        <v>2272</v>
      </c>
      <c r="O3598" s="21" t="s">
        <v>2272</v>
      </c>
      <c r="P3598" s="21" t="s">
        <v>2272</v>
      </c>
      <c r="Q3598" s="21" t="s">
        <v>2272</v>
      </c>
      <c r="R3598" s="21" t="s">
        <v>2272</v>
      </c>
      <c r="S3598" s="21" t="s">
        <v>2272</v>
      </c>
      <c r="T3598" s="21" t="s">
        <v>2272</v>
      </c>
      <c r="U3598" s="21" t="s">
        <v>2272</v>
      </c>
      <c r="V3598" s="21" t="s">
        <v>2272</v>
      </c>
      <c r="W3598" s="21" t="s">
        <v>2272</v>
      </c>
      <c r="X3598" s="21" t="s">
        <v>2272</v>
      </c>
      <c r="Y3598" s="21" t="s">
        <v>2272</v>
      </c>
      <c r="Z3598" s="21" t="s">
        <v>2272</v>
      </c>
      <c r="AA3598" s="21" t="s">
        <v>2272</v>
      </c>
      <c r="AB3598" s="198"/>
      <c r="AC3598" s="198"/>
    </row>
    <row r="3599" spans="1:29" ht="43" customHeight="1">
      <c r="A3599" s="151" t="str">
        <f>'Reported burning'!A3599</f>
        <v>389a</v>
      </c>
      <c r="B3599" s="151" t="str">
        <f>'Reported burning'!B3599</f>
        <v>389a.1</v>
      </c>
      <c r="C3599" s="151" t="str">
        <f>'Reported burning'!C3599</f>
        <v>Human, deliberate</v>
      </c>
      <c r="D3599" s="151" t="str">
        <f>'Reported burning'!D3599</f>
        <v>All</v>
      </c>
      <c r="E3599" s="151" t="str">
        <f>'Reported burning'!E3599</f>
        <v>All</v>
      </c>
      <c r="F3599" s="151" t="str">
        <f>'Reported burning'!F3599</f>
        <v>Shrubland (Mixed forest &amp; grassland)</v>
      </c>
      <c r="G3599" s="151" t="str">
        <f>'Reported burning'!G3599</f>
        <v>Shrubland (Mixed forest &amp; grassland)</v>
      </c>
      <c r="H3599" s="151" t="str">
        <f>'Reported burning'!H3599</f>
        <v>Presence</v>
      </c>
      <c r="I3599" s="5"/>
      <c r="J3599" s="21" t="s">
        <v>2272</v>
      </c>
      <c r="K3599" s="21" t="s">
        <v>2272</v>
      </c>
      <c r="L3599" s="21" t="s">
        <v>2272</v>
      </c>
      <c r="M3599" s="21" t="s">
        <v>2272</v>
      </c>
      <c r="N3599" s="21" t="s">
        <v>2272</v>
      </c>
      <c r="O3599" s="21" t="s">
        <v>2272</v>
      </c>
      <c r="P3599" s="21" t="s">
        <v>2272</v>
      </c>
      <c r="Q3599" s="21" t="s">
        <v>2272</v>
      </c>
      <c r="R3599" s="21" t="s">
        <v>2272</v>
      </c>
      <c r="S3599" s="21" t="s">
        <v>2272</v>
      </c>
      <c r="T3599" s="21" t="s">
        <v>2272</v>
      </c>
      <c r="U3599" s="21" t="s">
        <v>2272</v>
      </c>
      <c r="V3599" s="21" t="s">
        <v>2272</v>
      </c>
      <c r="W3599" s="14" t="s">
        <v>2369</v>
      </c>
      <c r="X3599" s="21" t="s">
        <v>2272</v>
      </c>
      <c r="Y3599" s="21" t="s">
        <v>2272</v>
      </c>
      <c r="Z3599" s="21" t="s">
        <v>2272</v>
      </c>
      <c r="AA3599" s="21" t="s">
        <v>2272</v>
      </c>
      <c r="AB3599" s="4" t="s">
        <v>9315</v>
      </c>
      <c r="AC3599" s="198"/>
    </row>
    <row r="3600" spans="1:29" ht="53" customHeight="1">
      <c r="A3600" s="151" t="str">
        <f>'Reported burning'!A3600</f>
        <v>389a</v>
      </c>
      <c r="B3600" s="151" t="str">
        <f>'Reported burning'!B3600</f>
        <v>389a.2</v>
      </c>
      <c r="C3600" s="151" t="str">
        <f>'Reported burning'!C3600</f>
        <v>Human, deliberate</v>
      </c>
      <c r="D3600" s="151" t="str">
        <f>'Reported burning'!D3600</f>
        <v>Pyrome management</v>
      </c>
      <c r="E3600" s="151" t="str">
        <f>'Reported burning'!E3600</f>
        <v>Biodiversity conservation</v>
      </c>
      <c r="F3600" s="151" t="str">
        <f>'Reported burning'!F3600</f>
        <v>Shrubland (Mixed forest &amp; grassland)</v>
      </c>
      <c r="G3600" s="151" t="str">
        <f>'Reported burning'!G3600</f>
        <v>Shrubland (Mixed forest &amp; grassland)</v>
      </c>
      <c r="H3600" s="151" t="str">
        <f>'Reported burning'!H3600</f>
        <v>Presence</v>
      </c>
      <c r="I3600" s="5"/>
      <c r="J3600" s="21" t="s">
        <v>2272</v>
      </c>
      <c r="K3600" s="21" t="s">
        <v>2272</v>
      </c>
      <c r="L3600" s="21" t="s">
        <v>2272</v>
      </c>
      <c r="M3600" s="21" t="s">
        <v>2272</v>
      </c>
      <c r="N3600" s="21" t="s">
        <v>2272</v>
      </c>
      <c r="O3600" s="21" t="s">
        <v>2272</v>
      </c>
      <c r="P3600" s="21" t="s">
        <v>2272</v>
      </c>
      <c r="Q3600" s="21" t="s">
        <v>2272</v>
      </c>
      <c r="R3600" s="21" t="s">
        <v>2272</v>
      </c>
      <c r="S3600" s="21" t="s">
        <v>2272</v>
      </c>
      <c r="T3600" s="21" t="s">
        <v>2272</v>
      </c>
      <c r="U3600" s="21" t="s">
        <v>2272</v>
      </c>
      <c r="V3600" s="21" t="s">
        <v>2272</v>
      </c>
      <c r="W3600" s="21" t="s">
        <v>2272</v>
      </c>
      <c r="X3600" s="21" t="s">
        <v>2272</v>
      </c>
      <c r="Y3600" s="21" t="s">
        <v>2272</v>
      </c>
      <c r="Z3600" s="21" t="s">
        <v>2272</v>
      </c>
      <c r="AA3600" s="21" t="s">
        <v>2272</v>
      </c>
      <c r="AB3600" s="198"/>
      <c r="AC3600" s="198"/>
    </row>
    <row r="3601" spans="1:29" ht="53" customHeight="1">
      <c r="A3601" s="151" t="str">
        <f>'Reported burning'!A3601</f>
        <v>389a</v>
      </c>
      <c r="B3601" s="151" t="str">
        <f>'Reported burning'!B3601</f>
        <v>389a.3</v>
      </c>
      <c r="C3601" s="151" t="str">
        <f>'Reported burning'!C3601</f>
        <v>Human, deliberate</v>
      </c>
      <c r="D3601" s="151" t="str">
        <f>'Reported burning'!D3601</f>
        <v>Pyrome management</v>
      </c>
      <c r="E3601" s="151" t="str">
        <f>'Reported burning'!E3601</f>
        <v>Forestry, Industrial</v>
      </c>
      <c r="F3601" s="151" t="str">
        <f>'Reported burning'!F3601</f>
        <v>Shrubland (Mixed forest &amp; grassland)</v>
      </c>
      <c r="G3601" s="151" t="str">
        <f>'Reported burning'!G3601</f>
        <v>Shrubland (Mixed forest &amp; grassland)</v>
      </c>
      <c r="H3601" s="151" t="str">
        <f>'Reported burning'!H3601</f>
        <v>Presence</v>
      </c>
      <c r="I3601" s="5"/>
      <c r="J3601" s="21" t="s">
        <v>2272</v>
      </c>
      <c r="K3601" s="21" t="s">
        <v>2272</v>
      </c>
      <c r="L3601" s="21" t="s">
        <v>2272</v>
      </c>
      <c r="M3601" s="21" t="s">
        <v>2272</v>
      </c>
      <c r="N3601" s="21" t="s">
        <v>2272</v>
      </c>
      <c r="O3601" s="21" t="s">
        <v>2272</v>
      </c>
      <c r="P3601" s="21" t="s">
        <v>2272</v>
      </c>
      <c r="Q3601" s="21" t="s">
        <v>2272</v>
      </c>
      <c r="R3601" s="21" t="s">
        <v>2272</v>
      </c>
      <c r="S3601" s="21" t="s">
        <v>2272</v>
      </c>
      <c r="T3601" s="21" t="s">
        <v>2272</v>
      </c>
      <c r="U3601" s="21" t="s">
        <v>2272</v>
      </c>
      <c r="V3601" s="21" t="s">
        <v>2272</v>
      </c>
      <c r="W3601" s="21" t="s">
        <v>2272</v>
      </c>
      <c r="X3601" s="21" t="s">
        <v>2272</v>
      </c>
      <c r="Y3601" s="21" t="s">
        <v>2272</v>
      </c>
      <c r="Z3601" s="21" t="s">
        <v>2272</v>
      </c>
      <c r="AA3601" s="21" t="s">
        <v>2272</v>
      </c>
      <c r="AB3601" s="198"/>
      <c r="AC3601" s="198"/>
    </row>
    <row r="3602" spans="1:29" ht="53" customHeight="1">
      <c r="A3602" s="151" t="str">
        <f>'Reported burning'!A3602</f>
        <v>389a</v>
      </c>
      <c r="B3602" s="151" t="str">
        <f>'Reported burning'!B3602</f>
        <v>389a.4</v>
      </c>
      <c r="C3602" s="151" t="str">
        <f>'Reported burning'!C3602</f>
        <v>Human, deliberate</v>
      </c>
      <c r="D3602" s="151" t="str">
        <f>'Reported burning'!D3602</f>
        <v>Pyrome management</v>
      </c>
      <c r="E3602" s="151" t="str">
        <f>'Reported burning'!E3602</f>
        <v>Urban planner</v>
      </c>
      <c r="F3602" s="151" t="str">
        <f>'Reported burning'!F3602</f>
        <v>Shrubland (Mixed forest &amp; grassland)</v>
      </c>
      <c r="G3602" s="151" t="str">
        <f>'Reported burning'!G3602</f>
        <v>Shrubland (Mixed forest &amp; grassland)</v>
      </c>
      <c r="H3602" s="151" t="str">
        <f>'Reported burning'!H3602</f>
        <v>Presence</v>
      </c>
      <c r="I3602" s="5"/>
      <c r="J3602" s="21" t="s">
        <v>2272</v>
      </c>
      <c r="K3602" s="21" t="s">
        <v>2272</v>
      </c>
      <c r="L3602" s="21" t="s">
        <v>2272</v>
      </c>
      <c r="M3602" s="21" t="s">
        <v>2272</v>
      </c>
      <c r="N3602" s="21" t="s">
        <v>2272</v>
      </c>
      <c r="O3602" s="21" t="s">
        <v>2272</v>
      </c>
      <c r="P3602" s="21" t="s">
        <v>2272</v>
      </c>
      <c r="Q3602" s="21" t="s">
        <v>2272</v>
      </c>
      <c r="R3602" s="21" t="s">
        <v>2272</v>
      </c>
      <c r="S3602" s="21" t="s">
        <v>2272</v>
      </c>
      <c r="T3602" s="21" t="s">
        <v>2272</v>
      </c>
      <c r="U3602" s="21" t="s">
        <v>2272</v>
      </c>
      <c r="V3602" s="21" t="s">
        <v>2272</v>
      </c>
      <c r="W3602" s="21" t="s">
        <v>2272</v>
      </c>
      <c r="X3602" s="21" t="s">
        <v>2272</v>
      </c>
      <c r="Y3602" s="21" t="s">
        <v>2272</v>
      </c>
      <c r="Z3602" s="21" t="s">
        <v>2272</v>
      </c>
      <c r="AA3602" s="21" t="s">
        <v>2272</v>
      </c>
      <c r="AB3602" s="198"/>
      <c r="AC3602" s="198"/>
    </row>
    <row r="3603" spans="1:29" ht="53" customHeight="1">
      <c r="A3603" s="151" t="str">
        <f>'Reported burning'!A3603</f>
        <v>389a</v>
      </c>
      <c r="B3603" s="151" t="str">
        <f>'Reported burning'!B3603</f>
        <v>389a.5</v>
      </c>
      <c r="C3603" s="151" t="str">
        <f>'Reported burning'!C3603</f>
        <v>Human, deliberate</v>
      </c>
      <c r="D3603" s="151" t="str">
        <f>'Reported burning'!D3603</f>
        <v>Pyrome management</v>
      </c>
      <c r="E3603" s="151" t="str">
        <f>'Reported burning'!E3603</f>
        <v>Fire suppression agent</v>
      </c>
      <c r="F3603" s="151" t="str">
        <f>'Reported burning'!F3603</f>
        <v>Shrubland (Mixed forest &amp; grassland)</v>
      </c>
      <c r="G3603" s="151" t="str">
        <f>'Reported burning'!G3603</f>
        <v>Shrubland (Mixed forest &amp; grassland)</v>
      </c>
      <c r="H3603" s="151" t="str">
        <f>'Reported burning'!H3603</f>
        <v>Presence</v>
      </c>
      <c r="I3603" s="5"/>
      <c r="J3603" s="21" t="s">
        <v>2272</v>
      </c>
      <c r="K3603" s="21" t="s">
        <v>2272</v>
      </c>
      <c r="L3603" s="21" t="s">
        <v>2272</v>
      </c>
      <c r="M3603" s="21" t="s">
        <v>2272</v>
      </c>
      <c r="N3603" s="21" t="s">
        <v>2272</v>
      </c>
      <c r="O3603" s="21" t="s">
        <v>2272</v>
      </c>
      <c r="P3603" s="21" t="s">
        <v>2272</v>
      </c>
      <c r="Q3603" s="21" t="s">
        <v>2272</v>
      </c>
      <c r="R3603" s="21" t="s">
        <v>2272</v>
      </c>
      <c r="S3603" s="21" t="s">
        <v>2272</v>
      </c>
      <c r="T3603" s="21" t="s">
        <v>2272</v>
      </c>
      <c r="U3603" s="21" t="s">
        <v>2272</v>
      </c>
      <c r="V3603" s="21" t="s">
        <v>2272</v>
      </c>
      <c r="W3603" s="21" t="s">
        <v>2272</v>
      </c>
      <c r="X3603" s="21" t="s">
        <v>2272</v>
      </c>
      <c r="Y3603" s="21" t="s">
        <v>2272</v>
      </c>
      <c r="Z3603" s="21" t="s">
        <v>2272</v>
      </c>
      <c r="AA3603" s="21" t="s">
        <v>2272</v>
      </c>
      <c r="AB3603" s="198"/>
      <c r="AC3603" s="198"/>
    </row>
    <row r="3604" spans="1:29" ht="53" customHeight="1">
      <c r="A3604" s="147" t="str">
        <f>'Reported burning'!A3604</f>
        <v>389a</v>
      </c>
      <c r="B3604" s="147" t="str">
        <f>'Reported burning'!B3604</f>
        <v>389a.6</v>
      </c>
      <c r="C3604" s="147" t="str">
        <f>'Reported burning'!C3604</f>
        <v>Human, deliberate</v>
      </c>
      <c r="D3604" s="147" t="str">
        <f>'Reported burning'!D3604</f>
        <v>Pyrome management</v>
      </c>
      <c r="E3604" s="147" t="str">
        <f>'Reported burning'!E3604</f>
        <v>Forestry, Traditional</v>
      </c>
      <c r="F3604" s="147" t="str">
        <f>'Reported burning'!F3604</f>
        <v>Shrubland (Mixed forest &amp; grassland)</v>
      </c>
      <c r="G3604" s="147" t="str">
        <f>'Reported burning'!G3604</f>
        <v>Shrubland (Mixed forest &amp; grassland)</v>
      </c>
      <c r="H3604" s="147" t="str">
        <f>'Reported burning'!H3604</f>
        <v>Presence</v>
      </c>
      <c r="I3604" s="198"/>
      <c r="J3604" s="21" t="s">
        <v>2272</v>
      </c>
      <c r="K3604" s="21" t="s">
        <v>2272</v>
      </c>
      <c r="L3604" s="21" t="s">
        <v>2272</v>
      </c>
      <c r="M3604" s="21" t="s">
        <v>2272</v>
      </c>
      <c r="N3604" s="21" t="s">
        <v>2272</v>
      </c>
      <c r="O3604" s="21" t="s">
        <v>2272</v>
      </c>
      <c r="P3604" s="21" t="s">
        <v>2272</v>
      </c>
      <c r="Q3604" s="21" t="s">
        <v>2272</v>
      </c>
      <c r="R3604" s="21" t="s">
        <v>2272</v>
      </c>
      <c r="S3604" s="21" t="s">
        <v>2272</v>
      </c>
      <c r="T3604" s="21" t="s">
        <v>2272</v>
      </c>
      <c r="U3604" s="21" t="s">
        <v>2272</v>
      </c>
      <c r="V3604" s="21" t="s">
        <v>2272</v>
      </c>
      <c r="W3604" s="21" t="s">
        <v>2272</v>
      </c>
      <c r="X3604" s="21" t="s">
        <v>2272</v>
      </c>
      <c r="Y3604" s="21" t="s">
        <v>2272</v>
      </c>
      <c r="Z3604" s="21" t="s">
        <v>2272</v>
      </c>
      <c r="AA3604" s="21" t="s">
        <v>2272</v>
      </c>
      <c r="AB3604" s="198"/>
      <c r="AC3604" s="198"/>
    </row>
    <row r="3605" spans="1:29" ht="53" customHeight="1">
      <c r="A3605" s="151" t="str">
        <f>'Reported burning'!A3605</f>
        <v>389a</v>
      </c>
      <c r="B3605" s="151" t="str">
        <f>'Reported burning'!B3605</f>
        <v>389a.7</v>
      </c>
      <c r="C3605" s="151" t="str">
        <f>'Reported burning'!C3605</f>
        <v>Human, deliberate</v>
      </c>
      <c r="D3605" s="151" t="str">
        <f>'Reported burning'!D3605</f>
        <v>Conservation</v>
      </c>
      <c r="E3605" s="151" t="str">
        <f>'Reported burning'!E3605</f>
        <v>Biodiversity conservation</v>
      </c>
      <c r="F3605" s="151" t="str">
        <f>'Reported burning'!F3605</f>
        <v>Shrubland (Mixed forest &amp; grassland)</v>
      </c>
      <c r="G3605" s="151" t="str">
        <f>'Reported burning'!G3605</f>
        <v>Shrubland (Mixed forest &amp; grassland)</v>
      </c>
      <c r="H3605" s="151" t="str">
        <f>'Reported burning'!H3605</f>
        <v>Presence</v>
      </c>
      <c r="I3605" s="5"/>
      <c r="J3605" s="71" t="s">
        <v>2272</v>
      </c>
      <c r="K3605" s="71" t="s">
        <v>2272</v>
      </c>
      <c r="L3605" s="71" t="s">
        <v>2272</v>
      </c>
      <c r="M3605" s="71" t="s">
        <v>2272</v>
      </c>
      <c r="N3605" s="71" t="s">
        <v>2272</v>
      </c>
      <c r="O3605" s="71" t="s">
        <v>2272</v>
      </c>
      <c r="P3605" s="71" t="s">
        <v>2272</v>
      </c>
      <c r="Q3605" s="71" t="s">
        <v>2272</v>
      </c>
      <c r="R3605" s="71" t="s">
        <v>2272</v>
      </c>
      <c r="S3605" s="71" t="s">
        <v>2272</v>
      </c>
      <c r="T3605" s="71" t="s">
        <v>2272</v>
      </c>
      <c r="U3605" s="71" t="s">
        <v>2272</v>
      </c>
      <c r="V3605" s="71" t="s">
        <v>2272</v>
      </c>
      <c r="W3605" s="71" t="s">
        <v>2272</v>
      </c>
      <c r="X3605" s="71" t="s">
        <v>2272</v>
      </c>
      <c r="Y3605" s="71" t="s">
        <v>2272</v>
      </c>
      <c r="Z3605" s="71" t="s">
        <v>2272</v>
      </c>
      <c r="AA3605" s="71" t="s">
        <v>2272</v>
      </c>
      <c r="AB3605" s="198"/>
      <c r="AC3605" s="198"/>
    </row>
    <row r="3606" spans="1:29" ht="33.5" customHeight="1">
      <c r="A3606" s="151" t="str">
        <f>'Reported burning'!A3606</f>
        <v>389a</v>
      </c>
      <c r="B3606" s="151" t="str">
        <f>'Reported burning'!B3606</f>
        <v>389a.8</v>
      </c>
      <c r="C3606" s="151" t="str">
        <f>'Reported burning'!C3606</f>
        <v>Human, deliberate</v>
      </c>
      <c r="D3606" s="151" t="str">
        <f>'Reported burning'!D3606</f>
        <v>Conservation</v>
      </c>
      <c r="E3606" s="151" t="str">
        <f>'Reported burning'!E3606</f>
        <v>Biodiversity conservation</v>
      </c>
      <c r="F3606" s="151" t="str">
        <f>'Reported burning'!F3606</f>
        <v>Grassland</v>
      </c>
      <c r="G3606" s="151" t="str">
        <f>'Reported burning'!G3606</f>
        <v>Grassland</v>
      </c>
      <c r="H3606" s="151" t="str">
        <f>'Reported burning'!H3606</f>
        <v>Presence</v>
      </c>
      <c r="I3606" s="5"/>
      <c r="J3606" s="71" t="s">
        <v>2272</v>
      </c>
      <c r="K3606" s="71" t="s">
        <v>2272</v>
      </c>
      <c r="L3606" s="71" t="s">
        <v>2272</v>
      </c>
      <c r="M3606" s="71" t="s">
        <v>2272</v>
      </c>
      <c r="N3606" s="71" t="s">
        <v>2272</v>
      </c>
      <c r="O3606" s="71" t="s">
        <v>2272</v>
      </c>
      <c r="P3606" s="71" t="s">
        <v>2272</v>
      </c>
      <c r="Q3606" s="71" t="s">
        <v>2272</v>
      </c>
      <c r="R3606" s="71" t="s">
        <v>2272</v>
      </c>
      <c r="S3606" s="71" t="s">
        <v>2272</v>
      </c>
      <c r="T3606" s="71" t="s">
        <v>2272</v>
      </c>
      <c r="U3606" s="71" t="s">
        <v>2272</v>
      </c>
      <c r="V3606" s="71" t="s">
        <v>2272</v>
      </c>
      <c r="W3606" s="71" t="s">
        <v>2272</v>
      </c>
      <c r="X3606" s="71" t="s">
        <v>2272</v>
      </c>
      <c r="Y3606" s="71" t="s">
        <v>2272</v>
      </c>
      <c r="Z3606" s="71" t="s">
        <v>2272</v>
      </c>
      <c r="AA3606" s="71" t="s">
        <v>2272</v>
      </c>
      <c r="AB3606" s="198"/>
      <c r="AC3606" s="198"/>
    </row>
    <row r="3607" spans="1:29" ht="33.5" customHeight="1">
      <c r="A3607" s="151" t="str">
        <f>'Reported burning'!A3607</f>
        <v>389a</v>
      </c>
      <c r="B3607" s="151" t="str">
        <f>'Reported burning'!B3607</f>
        <v>389a.9</v>
      </c>
      <c r="C3607" s="151" t="str">
        <f>'Reported burning'!C3607</f>
        <v>Human, deliberate</v>
      </c>
      <c r="D3607" s="151" t="str">
        <f>'Reported burning'!D3607</f>
        <v>Conservation</v>
      </c>
      <c r="E3607" s="151" t="str">
        <f>'Reported burning'!E3607</f>
        <v>Biodiversity conservation</v>
      </c>
      <c r="F3607" s="151" t="str">
        <f>'Reported burning'!F3607</f>
        <v>Forest</v>
      </c>
      <c r="G3607" s="151" t="str">
        <f>'Reported burning'!G3607</f>
        <v>Forest</v>
      </c>
      <c r="H3607" s="151" t="str">
        <f>'Reported burning'!H3607</f>
        <v>Presence</v>
      </c>
      <c r="I3607" s="5"/>
      <c r="J3607" s="71" t="s">
        <v>2272</v>
      </c>
      <c r="K3607" s="71" t="s">
        <v>2272</v>
      </c>
      <c r="L3607" s="71" t="s">
        <v>2272</v>
      </c>
      <c r="M3607" s="71" t="s">
        <v>2272</v>
      </c>
      <c r="N3607" s="71" t="s">
        <v>2272</v>
      </c>
      <c r="O3607" s="71" t="s">
        <v>2272</v>
      </c>
      <c r="P3607" s="71" t="s">
        <v>2272</v>
      </c>
      <c r="Q3607" s="71" t="s">
        <v>2272</v>
      </c>
      <c r="R3607" s="71" t="s">
        <v>2272</v>
      </c>
      <c r="S3607" s="71" t="s">
        <v>2272</v>
      </c>
      <c r="T3607" s="71" t="s">
        <v>2272</v>
      </c>
      <c r="U3607" s="71" t="s">
        <v>2272</v>
      </c>
      <c r="V3607" s="71" t="s">
        <v>2272</v>
      </c>
      <c r="W3607" s="71" t="s">
        <v>2272</v>
      </c>
      <c r="X3607" s="71" t="s">
        <v>2272</v>
      </c>
      <c r="Y3607" s="71" t="s">
        <v>2272</v>
      </c>
      <c r="Z3607" s="71" t="s">
        <v>2272</v>
      </c>
      <c r="AA3607" s="71" t="s">
        <v>2272</v>
      </c>
      <c r="AB3607" s="198"/>
      <c r="AC3607" s="198"/>
    </row>
    <row r="3608" spans="1:29" ht="33.5" customHeight="1">
      <c r="A3608" s="151" t="str">
        <f>'Reported burning'!A3608</f>
        <v>389a</v>
      </c>
      <c r="B3608" s="151" t="str">
        <f>'Reported burning'!B3608</f>
        <v>389a.10</v>
      </c>
      <c r="C3608" s="151" t="str">
        <f>'Reported burning'!C3608</f>
        <v>Human, deliberate</v>
      </c>
      <c r="D3608" s="151" t="str">
        <f>'Reported burning'!D3608</f>
        <v>Pest management</v>
      </c>
      <c r="E3608" s="151" t="str">
        <f>'Reported burning'!E3608</f>
        <v>Biodiversity conservation</v>
      </c>
      <c r="F3608" s="151" t="str">
        <f>'Reported burning'!F3608</f>
        <v>Shrubland (Mixed forest &amp; grassland)</v>
      </c>
      <c r="G3608" s="151" t="str">
        <f>'Reported burning'!G3608</f>
        <v>Shrubland (Mixed forest &amp; grassland)</v>
      </c>
      <c r="H3608" s="151" t="str">
        <f>'Reported burning'!H3608</f>
        <v>Presence</v>
      </c>
      <c r="I3608" s="5"/>
      <c r="J3608" s="71" t="s">
        <v>2272</v>
      </c>
      <c r="K3608" s="71" t="s">
        <v>2272</v>
      </c>
      <c r="L3608" s="71" t="s">
        <v>2272</v>
      </c>
      <c r="M3608" s="71" t="s">
        <v>2272</v>
      </c>
      <c r="N3608" s="71" t="s">
        <v>2272</v>
      </c>
      <c r="O3608" s="71" t="s">
        <v>2272</v>
      </c>
      <c r="P3608" s="71" t="s">
        <v>2272</v>
      </c>
      <c r="Q3608" s="71" t="s">
        <v>2272</v>
      </c>
      <c r="R3608" s="71" t="s">
        <v>2272</v>
      </c>
      <c r="S3608" s="71" t="s">
        <v>2272</v>
      </c>
      <c r="T3608" s="71" t="s">
        <v>2272</v>
      </c>
      <c r="U3608" s="71" t="s">
        <v>2272</v>
      </c>
      <c r="V3608" s="71" t="s">
        <v>2272</v>
      </c>
      <c r="W3608" s="71" t="s">
        <v>2272</v>
      </c>
      <c r="X3608" s="71" t="s">
        <v>2272</v>
      </c>
      <c r="Y3608" s="71" t="s">
        <v>2272</v>
      </c>
      <c r="Z3608" s="71" t="s">
        <v>2272</v>
      </c>
      <c r="AA3608" s="71" t="s">
        <v>2272</v>
      </c>
      <c r="AB3608" s="198"/>
      <c r="AC3608" s="198"/>
    </row>
    <row r="3609" spans="1:29" ht="33.5" customHeight="1">
      <c r="A3609" s="151" t="str">
        <f>'Reported burning'!A3609</f>
        <v>390a</v>
      </c>
      <c r="B3609" s="151" t="str">
        <f>'Reported burning'!B3609</f>
        <v>390a.1</v>
      </c>
      <c r="C3609" s="151" t="str">
        <f>'Reported burning'!C3609</f>
        <v>Human, deliberate</v>
      </c>
      <c r="D3609" s="151" t="str">
        <f>'Reported burning'!D3609</f>
        <v>ND</v>
      </c>
      <c r="E3609" s="151" t="str">
        <f>'Reported burning'!E3609</f>
        <v>ND</v>
      </c>
      <c r="F3609" s="151" t="str">
        <f>'Reported burning'!F3609</f>
        <v>ND</v>
      </c>
      <c r="G3609" s="151" t="str">
        <f>'Reported burning'!G3609</f>
        <v>Forest</v>
      </c>
      <c r="H3609" s="151" t="str">
        <f>'Reported burning'!H3609</f>
        <v>Presence</v>
      </c>
      <c r="I3609" s="5"/>
      <c r="J3609" s="71" t="s">
        <v>2272</v>
      </c>
      <c r="K3609" s="71" t="s">
        <v>2272</v>
      </c>
      <c r="L3609" s="71" t="s">
        <v>2272</v>
      </c>
      <c r="M3609" s="71" t="s">
        <v>2272</v>
      </c>
      <c r="N3609" s="71" t="s">
        <v>2272</v>
      </c>
      <c r="O3609" s="71" t="s">
        <v>2272</v>
      </c>
      <c r="P3609" s="71" t="s">
        <v>2272</v>
      </c>
      <c r="Q3609" s="71" t="s">
        <v>2272</v>
      </c>
      <c r="R3609" s="71" t="s">
        <v>2272</v>
      </c>
      <c r="S3609" s="71" t="s">
        <v>2272</v>
      </c>
      <c r="T3609" s="71" t="s">
        <v>2272</v>
      </c>
      <c r="U3609" s="71" t="s">
        <v>2272</v>
      </c>
      <c r="V3609" s="71" t="s">
        <v>2272</v>
      </c>
      <c r="W3609" s="71" t="s">
        <v>2272</v>
      </c>
      <c r="X3609" s="71" t="s">
        <v>2272</v>
      </c>
      <c r="Y3609" s="71" t="s">
        <v>2272</v>
      </c>
      <c r="Z3609" s="71" t="s">
        <v>2272</v>
      </c>
      <c r="AA3609" s="71" t="s">
        <v>2272</v>
      </c>
      <c r="AB3609" s="198"/>
      <c r="AC3609" s="198"/>
    </row>
    <row r="3610" spans="1:29" ht="42" customHeight="1">
      <c r="A3610" s="151" t="str">
        <f>'Reported burning'!A3610</f>
        <v>390a</v>
      </c>
      <c r="B3610" s="151" t="str">
        <f>'Reported burning'!B3610</f>
        <v>390a.2</v>
      </c>
      <c r="C3610" s="151" t="str">
        <f>'Reported burning'!C3610</f>
        <v>Lightning</v>
      </c>
      <c r="D3610" s="151" t="str">
        <f>'Reported burning'!D3610</f>
        <v>ND</v>
      </c>
      <c r="E3610" s="151" t="str">
        <f>'Reported burning'!E3610</f>
        <v>ND</v>
      </c>
      <c r="F3610" s="151" t="str">
        <f>'Reported burning'!F3610</f>
        <v>ND</v>
      </c>
      <c r="G3610" s="151" t="str">
        <f>'Reported burning'!G3610</f>
        <v>Forest</v>
      </c>
      <c r="H3610" s="151" t="str">
        <f>'Reported burning'!H3610</f>
        <v>Presence</v>
      </c>
      <c r="I3610" s="5"/>
      <c r="J3610" s="71" t="s">
        <v>2272</v>
      </c>
      <c r="K3610" s="71" t="s">
        <v>2272</v>
      </c>
      <c r="L3610" s="71" t="s">
        <v>2272</v>
      </c>
      <c r="M3610" s="71" t="s">
        <v>2272</v>
      </c>
      <c r="N3610" s="71" t="s">
        <v>2272</v>
      </c>
      <c r="O3610" s="71" t="s">
        <v>2272</v>
      </c>
      <c r="P3610" s="71" t="s">
        <v>2272</v>
      </c>
      <c r="Q3610" s="71" t="s">
        <v>2272</v>
      </c>
      <c r="R3610" s="71" t="s">
        <v>2272</v>
      </c>
      <c r="S3610" s="71" t="s">
        <v>2272</v>
      </c>
      <c r="T3610" s="71" t="s">
        <v>2272</v>
      </c>
      <c r="U3610" s="71" t="s">
        <v>2272</v>
      </c>
      <c r="V3610" s="71" t="s">
        <v>2272</v>
      </c>
      <c r="W3610" s="71" t="s">
        <v>2272</v>
      </c>
      <c r="X3610" s="71" t="s">
        <v>2272</v>
      </c>
      <c r="Y3610" s="71" t="s">
        <v>2272</v>
      </c>
      <c r="Z3610" s="71" t="s">
        <v>2272</v>
      </c>
      <c r="AA3610" s="71" t="s">
        <v>2272</v>
      </c>
      <c r="AB3610" s="198"/>
      <c r="AC3610" s="198"/>
    </row>
    <row r="3611" spans="1:29" ht="42" customHeight="1">
      <c r="A3611" s="151" t="str">
        <f>'Reported burning'!A3611</f>
        <v>390a</v>
      </c>
      <c r="B3611" s="151" t="str">
        <f>'Reported burning'!B3611</f>
        <v>390a.3</v>
      </c>
      <c r="C3611" s="151" t="str">
        <f>'Reported burning'!C3611</f>
        <v>Human, deliberate</v>
      </c>
      <c r="D3611" s="151" t="str">
        <f>'Reported burning'!D3611</f>
        <v>ND</v>
      </c>
      <c r="E3611" s="151" t="str">
        <f>'Reported burning'!E3611</f>
        <v>ND</v>
      </c>
      <c r="F3611" s="151" t="str">
        <f>'Reported burning'!F3611</f>
        <v>ND</v>
      </c>
      <c r="G3611" s="151" t="str">
        <f>'Reported burning'!G3611</f>
        <v>Secondary vegetation</v>
      </c>
      <c r="H3611" s="151" t="str">
        <f>'Reported burning'!H3611</f>
        <v>Presence</v>
      </c>
      <c r="I3611" s="5"/>
      <c r="J3611" s="71" t="s">
        <v>2272</v>
      </c>
      <c r="K3611" s="71" t="s">
        <v>2272</v>
      </c>
      <c r="L3611" s="71" t="s">
        <v>2272</v>
      </c>
      <c r="M3611" s="71" t="s">
        <v>2272</v>
      </c>
      <c r="N3611" s="71" t="s">
        <v>2272</v>
      </c>
      <c r="O3611" s="71" t="s">
        <v>2272</v>
      </c>
      <c r="P3611" s="71" t="s">
        <v>2272</v>
      </c>
      <c r="Q3611" s="71" t="s">
        <v>2272</v>
      </c>
      <c r="R3611" s="71" t="s">
        <v>2272</v>
      </c>
      <c r="S3611" s="71" t="s">
        <v>2272</v>
      </c>
      <c r="T3611" s="71" t="s">
        <v>2272</v>
      </c>
      <c r="U3611" s="71" t="s">
        <v>2272</v>
      </c>
      <c r="V3611" s="71" t="s">
        <v>2272</v>
      </c>
      <c r="W3611" s="71" t="s">
        <v>2272</v>
      </c>
      <c r="X3611" s="71" t="s">
        <v>2272</v>
      </c>
      <c r="Y3611" s="71" t="s">
        <v>2272</v>
      </c>
      <c r="Z3611" s="71" t="s">
        <v>2272</v>
      </c>
      <c r="AA3611" s="71" t="s">
        <v>2272</v>
      </c>
      <c r="AB3611" s="198"/>
      <c r="AC3611" s="198"/>
    </row>
    <row r="3612" spans="1:29" ht="42" customHeight="1">
      <c r="A3612" s="147" t="str">
        <f>'Reported burning'!A3612</f>
        <v>390a</v>
      </c>
      <c r="B3612" s="147" t="str">
        <f>'Reported burning'!B3612</f>
        <v>390a.4</v>
      </c>
      <c r="C3612" s="147" t="str">
        <f>'Reported burning'!C3612</f>
        <v>Lightning</v>
      </c>
      <c r="D3612" s="147" t="str">
        <f>'Reported burning'!D3612</f>
        <v>ND</v>
      </c>
      <c r="E3612" s="147" t="str">
        <f>'Reported burning'!E3612</f>
        <v>ND</v>
      </c>
      <c r="F3612" s="147" t="str">
        <f>'Reported burning'!F3612</f>
        <v>ND</v>
      </c>
      <c r="G3612" s="147" t="str">
        <f>'Reported burning'!G3612</f>
        <v>Secondary vegetation</v>
      </c>
      <c r="H3612" s="147" t="str">
        <f>'Reported burning'!H3612</f>
        <v>Presence</v>
      </c>
      <c r="I3612" s="198"/>
      <c r="J3612" s="71" t="s">
        <v>2272</v>
      </c>
      <c r="K3612" s="71" t="s">
        <v>2272</v>
      </c>
      <c r="L3612" s="71" t="s">
        <v>2272</v>
      </c>
      <c r="M3612" s="71" t="s">
        <v>2272</v>
      </c>
      <c r="N3612" s="71" t="s">
        <v>2272</v>
      </c>
      <c r="O3612" s="71" t="s">
        <v>2272</v>
      </c>
      <c r="P3612" s="71" t="s">
        <v>2272</v>
      </c>
      <c r="Q3612" s="71" t="s">
        <v>2272</v>
      </c>
      <c r="R3612" s="71" t="s">
        <v>2272</v>
      </c>
      <c r="S3612" s="71" t="s">
        <v>2272</v>
      </c>
      <c r="T3612" s="71" t="s">
        <v>2272</v>
      </c>
      <c r="U3612" s="71" t="s">
        <v>2272</v>
      </c>
      <c r="V3612" s="71" t="s">
        <v>2272</v>
      </c>
      <c r="W3612" s="71" t="s">
        <v>2272</v>
      </c>
      <c r="X3612" s="71" t="s">
        <v>2272</v>
      </c>
      <c r="Y3612" s="71" t="s">
        <v>2272</v>
      </c>
      <c r="Z3612" s="71" t="s">
        <v>2272</v>
      </c>
      <c r="AA3612" s="71" t="s">
        <v>2272</v>
      </c>
      <c r="AB3612" s="198"/>
      <c r="AC3612" s="198"/>
    </row>
    <row r="3613" spans="1:29" ht="42" customHeight="1">
      <c r="A3613" s="147" t="str">
        <f>'Reported burning'!A3613</f>
        <v>390b</v>
      </c>
      <c r="B3613" s="147" t="str">
        <f>'Reported burning'!B3613</f>
        <v>390b.1</v>
      </c>
      <c r="C3613" s="147" t="str">
        <f>'Reported burning'!C3613</f>
        <v>All</v>
      </c>
      <c r="D3613" s="147" t="str">
        <f>'Reported burning'!D3613</f>
        <v>ND</v>
      </c>
      <c r="E3613" s="147" t="str">
        <f>'Reported burning'!E3613</f>
        <v>ND</v>
      </c>
      <c r="F3613" s="147" t="str">
        <f>'Reported burning'!F3613</f>
        <v>ND</v>
      </c>
      <c r="G3613" s="147" t="str">
        <f>'Reported burning'!G3613</f>
        <v>Forest</v>
      </c>
      <c r="H3613" s="147" t="str">
        <f>'Reported burning'!H3613</f>
        <v>Presence</v>
      </c>
      <c r="I3613" s="198"/>
      <c r="J3613" s="71" t="s">
        <v>2272</v>
      </c>
      <c r="K3613" s="71" t="s">
        <v>2272</v>
      </c>
      <c r="L3613" s="71" t="s">
        <v>2272</v>
      </c>
      <c r="M3613" s="71" t="s">
        <v>2272</v>
      </c>
      <c r="N3613" s="71" t="s">
        <v>2272</v>
      </c>
      <c r="O3613" s="71" t="s">
        <v>2272</v>
      </c>
      <c r="P3613" s="71" t="s">
        <v>2272</v>
      </c>
      <c r="Q3613" s="71" t="s">
        <v>2272</v>
      </c>
      <c r="R3613" s="71" t="s">
        <v>2272</v>
      </c>
      <c r="S3613" s="71" t="s">
        <v>2272</v>
      </c>
      <c r="T3613" s="71" t="s">
        <v>2272</v>
      </c>
      <c r="U3613" s="71" t="s">
        <v>2272</v>
      </c>
      <c r="V3613" s="71" t="s">
        <v>2272</v>
      </c>
      <c r="W3613" s="71" t="s">
        <v>2272</v>
      </c>
      <c r="X3613" s="71" t="s">
        <v>2272</v>
      </c>
      <c r="Y3613" s="71" t="s">
        <v>2272</v>
      </c>
      <c r="Z3613" s="71" t="s">
        <v>2272</v>
      </c>
      <c r="AA3613" s="71" t="s">
        <v>2272</v>
      </c>
      <c r="AB3613" s="198"/>
      <c r="AC3613" s="198"/>
    </row>
    <row r="3614" spans="1:29" ht="46.5" customHeight="1">
      <c r="A3614" s="147" t="str">
        <f>'Reported burning'!A3614</f>
        <v>391a</v>
      </c>
      <c r="B3614" s="147" t="str">
        <f>'Reported burning'!B3614</f>
        <v>391a.1</v>
      </c>
      <c r="C3614" s="147" t="str">
        <f>'Reported burning'!C3614</f>
        <v>Human, deliberate</v>
      </c>
      <c r="D3614" s="147" t="str">
        <f>'Reported burning'!D3614</f>
        <v>Land clearance</v>
      </c>
      <c r="E3614" s="147" t="str">
        <f>'Reported burning'!E3614</f>
        <v>Cattle, Extensive</v>
      </c>
      <c r="F3614" s="147" t="str">
        <f>'Reported burning'!F3614</f>
        <v>Shrubland (Mixed forest &amp; grassland)</v>
      </c>
      <c r="G3614" s="147" t="str">
        <f>'Reported burning'!G3614</f>
        <v>Shrubland (Mixed forest &amp; grassland)</v>
      </c>
      <c r="H3614" s="147" t="str">
        <f>'Reported burning'!H3614</f>
        <v>Presence</v>
      </c>
      <c r="I3614" s="198"/>
      <c r="J3614" s="71" t="s">
        <v>2272</v>
      </c>
      <c r="K3614" s="71" t="s">
        <v>2272</v>
      </c>
      <c r="L3614" s="71" t="s">
        <v>2272</v>
      </c>
      <c r="M3614" s="71" t="s">
        <v>2272</v>
      </c>
      <c r="N3614" s="71" t="s">
        <v>2272</v>
      </c>
      <c r="O3614" s="71" t="s">
        <v>2272</v>
      </c>
      <c r="P3614" s="71" t="s">
        <v>2272</v>
      </c>
      <c r="Q3614" s="71" t="s">
        <v>2272</v>
      </c>
      <c r="R3614" s="71" t="s">
        <v>2272</v>
      </c>
      <c r="S3614" s="71" t="s">
        <v>2272</v>
      </c>
      <c r="T3614" s="71" t="s">
        <v>2272</v>
      </c>
      <c r="U3614" s="71" t="s">
        <v>2272</v>
      </c>
      <c r="V3614" s="71" t="s">
        <v>2272</v>
      </c>
      <c r="W3614" s="71" t="s">
        <v>2272</v>
      </c>
      <c r="X3614" s="71" t="s">
        <v>2272</v>
      </c>
      <c r="Y3614" s="71" t="s">
        <v>2272</v>
      </c>
      <c r="Z3614" s="71" t="s">
        <v>2272</v>
      </c>
      <c r="AA3614" s="71" t="s">
        <v>2272</v>
      </c>
      <c r="AB3614" s="198"/>
      <c r="AC3614" s="198"/>
    </row>
    <row r="3615" spans="1:29" ht="43" customHeight="1">
      <c r="A3615" s="147" t="str">
        <f>'Reported burning'!A3615</f>
        <v>391a</v>
      </c>
      <c r="B3615" s="147" t="str">
        <f>'Reported burning'!B3615</f>
        <v>391a.2</v>
      </c>
      <c r="C3615" s="147" t="str">
        <f>'Reported burning'!C3615</f>
        <v>Human, deliberate</v>
      </c>
      <c r="D3615" s="147" t="str">
        <f>'Reported burning'!D3615</f>
        <v>Harvesting of Timber</v>
      </c>
      <c r="E3615" s="147" t="str">
        <f>'Reported burning'!E3615</f>
        <v>Forestry, Traditional</v>
      </c>
      <c r="F3615" s="147" t="str">
        <f>'Reported burning'!F3615</f>
        <v>Shrubland (Mixed forest &amp; grassland)</v>
      </c>
      <c r="G3615" s="147" t="str">
        <f>'Reported burning'!G3615</f>
        <v>Shrubland (Mixed forest &amp; grassland)</v>
      </c>
      <c r="H3615" s="147" t="str">
        <f>'Reported burning'!H3615</f>
        <v>Presence</v>
      </c>
      <c r="I3615" s="198"/>
      <c r="J3615" s="71" t="s">
        <v>2272</v>
      </c>
      <c r="K3615" s="71" t="s">
        <v>2272</v>
      </c>
      <c r="L3615" s="71" t="s">
        <v>2272</v>
      </c>
      <c r="M3615" s="71" t="s">
        <v>2272</v>
      </c>
      <c r="N3615" s="71" t="s">
        <v>2272</v>
      </c>
      <c r="O3615" s="71" t="s">
        <v>2272</v>
      </c>
      <c r="P3615" s="71" t="s">
        <v>2272</v>
      </c>
      <c r="Q3615" s="21" t="s">
        <v>2358</v>
      </c>
      <c r="R3615" s="71" t="s">
        <v>2272</v>
      </c>
      <c r="S3615" s="21" t="s">
        <v>2358</v>
      </c>
      <c r="T3615" s="71" t="s">
        <v>2272</v>
      </c>
      <c r="U3615" s="71" t="s">
        <v>2272</v>
      </c>
      <c r="V3615" s="71" t="s">
        <v>2272</v>
      </c>
      <c r="W3615" s="71" t="s">
        <v>2272</v>
      </c>
      <c r="X3615" s="71" t="s">
        <v>2272</v>
      </c>
      <c r="Y3615" s="71" t="s">
        <v>2272</v>
      </c>
      <c r="Z3615" s="71" t="s">
        <v>2272</v>
      </c>
      <c r="AA3615" s="71" t="s">
        <v>2272</v>
      </c>
      <c r="AB3615" s="77" t="s">
        <v>9376</v>
      </c>
      <c r="AC3615" s="198"/>
    </row>
    <row r="3616" spans="1:29" ht="43" customHeight="1">
      <c r="A3616" s="147" t="str">
        <f>'Reported burning'!A3616</f>
        <v>391a</v>
      </c>
      <c r="B3616" s="147" t="str">
        <f>'Reported burning'!B3616</f>
        <v>391a.3</v>
      </c>
      <c r="C3616" s="147" t="str">
        <f>'Reported burning'!C3616</f>
        <v>Human, deliberate</v>
      </c>
      <c r="D3616" s="147" t="str">
        <f>'Reported burning'!D3616</f>
        <v>Cultural &amp; Spiritual</v>
      </c>
      <c r="E3616" s="147" t="str">
        <f>'Reported burning'!E3616</f>
        <v>ND</v>
      </c>
      <c r="F3616" s="147" t="str">
        <f>'Reported burning'!F3616</f>
        <v>Shrubland (Mixed forest &amp; grassland)</v>
      </c>
      <c r="G3616" s="147" t="str">
        <f>'Reported burning'!G3616</f>
        <v>Shrubland (Mixed forest &amp; grassland)</v>
      </c>
      <c r="H3616" s="147" t="str">
        <f>'Reported burning'!H3616</f>
        <v>Presence</v>
      </c>
      <c r="I3616" s="198"/>
      <c r="J3616" s="71" t="s">
        <v>2272</v>
      </c>
      <c r="K3616" s="71" t="s">
        <v>2272</v>
      </c>
      <c r="L3616" s="71" t="s">
        <v>2272</v>
      </c>
      <c r="M3616" s="71" t="s">
        <v>2272</v>
      </c>
      <c r="N3616" s="71" t="s">
        <v>2272</v>
      </c>
      <c r="O3616" s="71" t="s">
        <v>2272</v>
      </c>
      <c r="P3616" s="71" t="s">
        <v>2272</v>
      </c>
      <c r="Q3616" s="71" t="s">
        <v>2272</v>
      </c>
      <c r="R3616" s="71" t="s">
        <v>2272</v>
      </c>
      <c r="S3616" s="71" t="s">
        <v>2272</v>
      </c>
      <c r="T3616" s="71" t="s">
        <v>2272</v>
      </c>
      <c r="U3616" s="71" t="s">
        <v>2272</v>
      </c>
      <c r="V3616" s="71" t="s">
        <v>2272</v>
      </c>
      <c r="W3616" s="71" t="s">
        <v>2272</v>
      </c>
      <c r="X3616" s="71" t="s">
        <v>2272</v>
      </c>
      <c r="Y3616" s="71" t="s">
        <v>2272</v>
      </c>
      <c r="Z3616" s="71" t="s">
        <v>2272</v>
      </c>
      <c r="AA3616" s="71" t="s">
        <v>2272</v>
      </c>
      <c r="AB3616" s="198"/>
      <c r="AC3616" s="198"/>
    </row>
    <row r="3617" spans="1:29" ht="43" customHeight="1">
      <c r="A3617" s="151" t="str">
        <f>'Reported burning'!A3617</f>
        <v>391a</v>
      </c>
      <c r="B3617" s="151" t="str">
        <f>'Reported burning'!B3617</f>
        <v>391a.4</v>
      </c>
      <c r="C3617" s="151" t="str">
        <f>'Reported burning'!C3617</f>
        <v>All</v>
      </c>
      <c r="D3617" s="151" t="str">
        <f>'Reported burning'!D3617</f>
        <v>ND</v>
      </c>
      <c r="E3617" s="151" t="str">
        <f>'Reported burning'!E3617</f>
        <v>ND</v>
      </c>
      <c r="F3617" s="151" t="str">
        <f>'Reported burning'!F3617</f>
        <v>Grassland</v>
      </c>
      <c r="G3617" s="151" t="str">
        <f>'Reported burning'!G3617</f>
        <v>Grassland</v>
      </c>
      <c r="H3617" s="151" t="str">
        <f>'Reported burning'!H3617</f>
        <v>Presence</v>
      </c>
      <c r="I3617" s="5"/>
      <c r="J3617" s="71" t="s">
        <v>2272</v>
      </c>
      <c r="K3617" s="21" t="s">
        <v>2365</v>
      </c>
      <c r="L3617" s="71" t="s">
        <v>2272</v>
      </c>
      <c r="M3617" s="71" t="s">
        <v>2272</v>
      </c>
      <c r="N3617" s="71" t="s">
        <v>2272</v>
      </c>
      <c r="O3617" s="71" t="s">
        <v>2272</v>
      </c>
      <c r="P3617" s="71" t="s">
        <v>2272</v>
      </c>
      <c r="Q3617" s="71" t="s">
        <v>2272</v>
      </c>
      <c r="R3617" s="71" t="s">
        <v>2272</v>
      </c>
      <c r="S3617" s="71" t="s">
        <v>2272</v>
      </c>
      <c r="T3617" s="71" t="s">
        <v>2272</v>
      </c>
      <c r="U3617" s="71" t="s">
        <v>2272</v>
      </c>
      <c r="V3617" s="71" t="s">
        <v>2272</v>
      </c>
      <c r="W3617" s="71" t="s">
        <v>2272</v>
      </c>
      <c r="X3617" s="71" t="s">
        <v>2272</v>
      </c>
      <c r="Y3617" s="71" t="s">
        <v>2272</v>
      </c>
      <c r="Z3617" s="71" t="s">
        <v>2272</v>
      </c>
      <c r="AA3617" s="71" t="s">
        <v>2272</v>
      </c>
      <c r="AB3617" s="198"/>
      <c r="AC3617" s="198" t="s">
        <v>9379</v>
      </c>
    </row>
    <row r="3618" spans="1:29" ht="48.5" customHeight="1">
      <c r="A3618" s="151" t="str">
        <f>'Reported burning'!A3618</f>
        <v>391a</v>
      </c>
      <c r="B3618" s="151" t="str">
        <f>'Reported burning'!B3618</f>
        <v>391a.5</v>
      </c>
      <c r="C3618" s="151" t="str">
        <f>'Reported burning'!C3618</f>
        <v>Human, deliberate</v>
      </c>
      <c r="D3618" s="151" t="str">
        <f>'Reported burning'!D3618</f>
        <v>Pasture renewal</v>
      </c>
      <c r="E3618" s="151" t="str">
        <f>'Reported burning'!E3618</f>
        <v>Cattle, Extensive</v>
      </c>
      <c r="F3618" s="151" t="str">
        <f>'Reported burning'!F3618</f>
        <v>Grassland</v>
      </c>
      <c r="G3618" s="151" t="str">
        <f>'Reported burning'!G3618</f>
        <v>Grassland</v>
      </c>
      <c r="H3618" s="151" t="str">
        <f>'Reported burning'!H3618</f>
        <v>Presence</v>
      </c>
      <c r="I3618" s="5"/>
      <c r="J3618" s="71" t="s">
        <v>2272</v>
      </c>
      <c r="K3618" s="71" t="s">
        <v>2272</v>
      </c>
      <c r="L3618" s="71" t="s">
        <v>2272</v>
      </c>
      <c r="M3618" s="71" t="s">
        <v>2272</v>
      </c>
      <c r="N3618" s="71" t="s">
        <v>2272</v>
      </c>
      <c r="O3618" s="71" t="s">
        <v>2272</v>
      </c>
      <c r="P3618" s="71" t="s">
        <v>2272</v>
      </c>
      <c r="Q3618" s="71" t="s">
        <v>2272</v>
      </c>
      <c r="R3618" s="71" t="s">
        <v>2272</v>
      </c>
      <c r="S3618" s="71" t="s">
        <v>2272</v>
      </c>
      <c r="T3618" s="71" t="s">
        <v>2272</v>
      </c>
      <c r="U3618" s="71" t="s">
        <v>2272</v>
      </c>
      <c r="V3618" s="71" t="s">
        <v>2272</v>
      </c>
      <c r="W3618" s="71" t="s">
        <v>2272</v>
      </c>
      <c r="X3618" s="71" t="s">
        <v>2272</v>
      </c>
      <c r="Y3618" s="198" t="s">
        <v>33</v>
      </c>
      <c r="Z3618" s="198" t="s">
        <v>423</v>
      </c>
      <c r="AA3618" s="71" t="s">
        <v>2272</v>
      </c>
      <c r="AB3618" s="198"/>
      <c r="AC3618" s="198"/>
    </row>
    <row r="3619" spans="1:29" ht="39" customHeight="1">
      <c r="A3619" s="151" t="str">
        <f>'Reported burning'!A3619</f>
        <v>391a</v>
      </c>
      <c r="B3619" s="151" t="str">
        <f>'Reported burning'!B3619</f>
        <v>391a.6</v>
      </c>
      <c r="C3619" s="151" t="str">
        <f>'Reported burning'!C3619</f>
        <v>Human, deliberate</v>
      </c>
      <c r="D3619" s="151" t="str">
        <f>'Reported burning'!D3619</f>
        <v>Land clearance</v>
      </c>
      <c r="E3619" s="151" t="str">
        <f>'Reported burning'!E3619</f>
        <v>Pastoralism, Migratory</v>
      </c>
      <c r="F3619" s="151" t="str">
        <f>'Reported burning'!F3619</f>
        <v>Shrubland (Mixed forest &amp; grassland)</v>
      </c>
      <c r="G3619" s="151" t="str">
        <f>'Reported burning'!G3619</f>
        <v>Shrubland (Mixed forest &amp; grassland)</v>
      </c>
      <c r="H3619" s="151" t="str">
        <f>'Reported burning'!H3619</f>
        <v>Presence</v>
      </c>
      <c r="I3619" s="5"/>
      <c r="J3619" s="71" t="s">
        <v>2272</v>
      </c>
      <c r="K3619" s="71" t="s">
        <v>2272</v>
      </c>
      <c r="L3619" s="71" t="s">
        <v>2272</v>
      </c>
      <c r="M3619" s="71" t="s">
        <v>2272</v>
      </c>
      <c r="N3619" s="71" t="s">
        <v>2272</v>
      </c>
      <c r="O3619" s="71" t="s">
        <v>2272</v>
      </c>
      <c r="P3619" s="71" t="s">
        <v>2272</v>
      </c>
      <c r="Q3619" s="71" t="s">
        <v>2272</v>
      </c>
      <c r="R3619" s="71" t="s">
        <v>2272</v>
      </c>
      <c r="S3619" s="71" t="s">
        <v>2272</v>
      </c>
      <c r="T3619" s="71" t="s">
        <v>2272</v>
      </c>
      <c r="U3619" s="71" t="s">
        <v>2272</v>
      </c>
      <c r="V3619" s="71" t="s">
        <v>2272</v>
      </c>
      <c r="W3619" s="71" t="s">
        <v>2272</v>
      </c>
      <c r="X3619" s="71" t="s">
        <v>2272</v>
      </c>
      <c r="Y3619" s="71" t="s">
        <v>2272</v>
      </c>
      <c r="Z3619" s="71" t="s">
        <v>2272</v>
      </c>
      <c r="AA3619" s="71" t="s">
        <v>2272</v>
      </c>
      <c r="AB3619" s="198"/>
      <c r="AC3619" s="198"/>
    </row>
    <row r="3620" spans="1:29" ht="39" customHeight="1">
      <c r="A3620" s="151" t="str">
        <f>'Reported burning'!A3620</f>
        <v>391a</v>
      </c>
      <c r="B3620" s="151" t="str">
        <f>'Reported burning'!B3620</f>
        <v>391a.7</v>
      </c>
      <c r="C3620" s="151" t="str">
        <f>'Reported burning'!C3620</f>
        <v>Human, deliberate</v>
      </c>
      <c r="D3620" s="151" t="str">
        <f>'Reported burning'!D3620</f>
        <v>Pasture renewal</v>
      </c>
      <c r="E3620" s="151" t="str">
        <f>'Reported burning'!E3620</f>
        <v>Pastoralism, Migratory</v>
      </c>
      <c r="F3620" s="151" t="str">
        <f>'Reported burning'!F3620</f>
        <v>Grassland</v>
      </c>
      <c r="G3620" s="151" t="str">
        <f>'Reported burning'!G3620</f>
        <v>Grassland</v>
      </c>
      <c r="H3620" s="151" t="str">
        <f>'Reported burning'!H3620</f>
        <v>Presence</v>
      </c>
      <c r="I3620" s="5"/>
      <c r="J3620" s="71" t="s">
        <v>2272</v>
      </c>
      <c r="K3620" s="71" t="s">
        <v>2272</v>
      </c>
      <c r="L3620" s="71" t="s">
        <v>2272</v>
      </c>
      <c r="M3620" s="71" t="s">
        <v>2272</v>
      </c>
      <c r="N3620" s="71" t="s">
        <v>2272</v>
      </c>
      <c r="O3620" s="71" t="s">
        <v>2272</v>
      </c>
      <c r="P3620" s="71" t="s">
        <v>2272</v>
      </c>
      <c r="Q3620" s="71" t="s">
        <v>2272</v>
      </c>
      <c r="R3620" s="71" t="s">
        <v>2272</v>
      </c>
      <c r="S3620" s="71" t="s">
        <v>2272</v>
      </c>
      <c r="T3620" s="71" t="s">
        <v>2272</v>
      </c>
      <c r="U3620" s="71" t="s">
        <v>2272</v>
      </c>
      <c r="V3620" s="71" t="s">
        <v>2272</v>
      </c>
      <c r="W3620" s="71" t="s">
        <v>2272</v>
      </c>
      <c r="X3620" s="71" t="s">
        <v>2272</v>
      </c>
      <c r="Y3620" s="198" t="s">
        <v>33</v>
      </c>
      <c r="Z3620" s="198" t="s">
        <v>423</v>
      </c>
      <c r="AA3620" s="71" t="s">
        <v>2272</v>
      </c>
      <c r="AB3620" s="198"/>
      <c r="AC3620" s="198"/>
    </row>
    <row r="3621" spans="1:29" ht="39" customHeight="1">
      <c r="A3621" s="151" t="str">
        <f>'Reported burning'!A3621</f>
        <v>391a</v>
      </c>
      <c r="B3621" s="151" t="str">
        <f>'Reported burning'!B3621</f>
        <v>391a.8</v>
      </c>
      <c r="C3621" s="151" t="str">
        <f>'Reported burning'!C3621</f>
        <v>Human, deliberate</v>
      </c>
      <c r="D3621" s="151" t="str">
        <f>'Reported burning'!D3621</f>
        <v>Harvesting of NTFP</v>
      </c>
      <c r="E3621" s="151" t="str">
        <f>'Reported burning'!E3621</f>
        <v>Forestry, Traditional</v>
      </c>
      <c r="F3621" s="151" t="str">
        <f>'Reported burning'!F3621</f>
        <v>Shrubland (Mixed forest &amp; grassland)</v>
      </c>
      <c r="G3621" s="151" t="str">
        <f>'Reported burning'!G3621</f>
        <v>Shrubland (Mixed forest &amp; grassland)</v>
      </c>
      <c r="H3621" s="151" t="str">
        <f>'Reported burning'!H3621</f>
        <v>Presence</v>
      </c>
      <c r="I3621" s="5"/>
      <c r="J3621" s="71" t="s">
        <v>2272</v>
      </c>
      <c r="K3621" s="71" t="s">
        <v>2272</v>
      </c>
      <c r="L3621" s="71" t="s">
        <v>2272</v>
      </c>
      <c r="M3621" s="71" t="s">
        <v>2272</v>
      </c>
      <c r="N3621" s="71" t="s">
        <v>2272</v>
      </c>
      <c r="O3621" s="71" t="s">
        <v>2272</v>
      </c>
      <c r="P3621" s="71" t="s">
        <v>2272</v>
      </c>
      <c r="Q3621" s="21" t="s">
        <v>2358</v>
      </c>
      <c r="R3621" s="71" t="s">
        <v>2272</v>
      </c>
      <c r="S3621" s="21" t="s">
        <v>2358</v>
      </c>
      <c r="T3621" s="71" t="s">
        <v>2272</v>
      </c>
      <c r="U3621" s="71" t="s">
        <v>2272</v>
      </c>
      <c r="V3621" s="71" t="s">
        <v>2272</v>
      </c>
      <c r="W3621" s="71" t="s">
        <v>2272</v>
      </c>
      <c r="X3621" s="71" t="s">
        <v>2272</v>
      </c>
      <c r="Y3621" s="71" t="s">
        <v>2272</v>
      </c>
      <c r="Z3621" s="71" t="s">
        <v>2272</v>
      </c>
      <c r="AA3621" s="71" t="s">
        <v>2272</v>
      </c>
      <c r="AB3621" s="198"/>
      <c r="AC3621" s="198"/>
    </row>
    <row r="3622" spans="1:29" ht="52.5" customHeight="1">
      <c r="A3622" s="151" t="str">
        <f>'Reported burning'!A3622</f>
        <v>391a</v>
      </c>
      <c r="B3622" s="151" t="str">
        <f>'Reported burning'!B3622</f>
        <v>391a.9</v>
      </c>
      <c r="C3622" s="151" t="str">
        <f>'Reported burning'!C3622</f>
        <v>Human, accidental</v>
      </c>
      <c r="D3622" s="151" t="str">
        <f>'Reported burning'!D3622</f>
        <v>ND</v>
      </c>
      <c r="E3622" s="151" t="str">
        <f>'Reported burning'!E3622</f>
        <v>ND</v>
      </c>
      <c r="F3622" s="151" t="str">
        <f>'Reported burning'!F3622</f>
        <v>Shrubland (Mixed forest &amp; grassland)</v>
      </c>
      <c r="G3622" s="151" t="str">
        <f>'Reported burning'!G3622</f>
        <v>Shrubland (Mixed forest &amp; grassland)</v>
      </c>
      <c r="H3622" s="151" t="str">
        <f>'Reported burning'!H3622</f>
        <v>Presence</v>
      </c>
      <c r="I3622" s="5"/>
      <c r="J3622" s="71" t="s">
        <v>2272</v>
      </c>
      <c r="K3622" s="71" t="s">
        <v>2272</v>
      </c>
      <c r="L3622" s="71" t="s">
        <v>2272</v>
      </c>
      <c r="M3622" s="71" t="s">
        <v>2272</v>
      </c>
      <c r="N3622" s="71" t="s">
        <v>2272</v>
      </c>
      <c r="O3622" s="71" t="s">
        <v>2272</v>
      </c>
      <c r="P3622" s="71" t="s">
        <v>2272</v>
      </c>
      <c r="Q3622" s="71" t="s">
        <v>2272</v>
      </c>
      <c r="R3622" s="71" t="s">
        <v>2272</v>
      </c>
      <c r="S3622" s="71" t="s">
        <v>2272</v>
      </c>
      <c r="T3622" s="71" t="s">
        <v>2272</v>
      </c>
      <c r="U3622" s="71" t="s">
        <v>2272</v>
      </c>
      <c r="V3622" s="71" t="s">
        <v>2272</v>
      </c>
      <c r="W3622" s="71" t="s">
        <v>2272</v>
      </c>
      <c r="X3622" s="71" t="s">
        <v>2272</v>
      </c>
      <c r="Y3622" s="71" t="s">
        <v>2272</v>
      </c>
      <c r="Z3622" s="71" t="s">
        <v>2272</v>
      </c>
      <c r="AA3622" s="71" t="s">
        <v>2272</v>
      </c>
      <c r="AB3622" s="198"/>
      <c r="AC3622" s="198"/>
    </row>
    <row r="3623" spans="1:29" ht="52.5" customHeight="1">
      <c r="A3623" s="151" t="str">
        <f>'Reported burning'!A3623</f>
        <v>391a</v>
      </c>
      <c r="B3623" s="151" t="str">
        <f>'Reported burning'!B3623</f>
        <v>391a.10</v>
      </c>
      <c r="C3623" s="151" t="str">
        <f>'Reported burning'!C3623</f>
        <v>Human, deliberate</v>
      </c>
      <c r="D3623" s="151" t="str">
        <f>'Reported burning'!D3623</f>
        <v>Charcoal production</v>
      </c>
      <c r="E3623" s="151" t="str">
        <f>'Reported burning'!E3623</f>
        <v>Forestry, Small-scale</v>
      </c>
      <c r="F3623" s="151" t="str">
        <f>'Reported burning'!F3623</f>
        <v>Shrubland (Mixed forest &amp; grassland)</v>
      </c>
      <c r="G3623" s="151" t="str">
        <f>'Reported burning'!G3623</f>
        <v>Shrubland (Mixed forest &amp; grassland)</v>
      </c>
      <c r="H3623" s="151" t="str">
        <f>'Reported burning'!H3623</f>
        <v>Presence</v>
      </c>
      <c r="I3623" s="5"/>
      <c r="J3623" s="71" t="s">
        <v>2272</v>
      </c>
      <c r="K3623" s="71" t="s">
        <v>2272</v>
      </c>
      <c r="L3623" s="71" t="s">
        <v>2272</v>
      </c>
      <c r="M3623" s="71" t="s">
        <v>2272</v>
      </c>
      <c r="N3623" s="71" t="s">
        <v>2272</v>
      </c>
      <c r="O3623" s="71" t="s">
        <v>2272</v>
      </c>
      <c r="P3623" s="71" t="s">
        <v>2272</v>
      </c>
      <c r="Q3623" s="71" t="s">
        <v>2272</v>
      </c>
      <c r="R3623" s="71" t="s">
        <v>2272</v>
      </c>
      <c r="S3623" s="71" t="s">
        <v>2272</v>
      </c>
      <c r="T3623" s="71" t="s">
        <v>2272</v>
      </c>
      <c r="U3623" s="71" t="s">
        <v>2272</v>
      </c>
      <c r="V3623" s="71" t="s">
        <v>2272</v>
      </c>
      <c r="W3623" s="71" t="s">
        <v>2272</v>
      </c>
      <c r="X3623" s="71" t="s">
        <v>2272</v>
      </c>
      <c r="Y3623" s="71" t="s">
        <v>2272</v>
      </c>
      <c r="Z3623" s="71" t="s">
        <v>2272</v>
      </c>
      <c r="AA3623" s="71" t="s">
        <v>2272</v>
      </c>
      <c r="AB3623" s="198"/>
      <c r="AC3623" s="198"/>
    </row>
    <row r="3624" spans="1:29" ht="52.5" customHeight="1">
      <c r="A3624" s="151" t="str">
        <f>'Reported burning'!A3624</f>
        <v>392a</v>
      </c>
      <c r="B3624" s="151" t="str">
        <f>'Reported burning'!B3624</f>
        <v>392a.1</v>
      </c>
      <c r="C3624" s="151" t="str">
        <f>'Reported burning'!C3624</f>
        <v>Human, deliberate</v>
      </c>
      <c r="D3624" s="151" t="str">
        <f>'Reported burning'!D3624</f>
        <v>Forest clearance</v>
      </c>
      <c r="E3624" s="151" t="str">
        <f>'Reported burning'!E3624</f>
        <v>Cropping, Intensive</v>
      </c>
      <c r="F3624" s="151" t="str">
        <f>'Reported burning'!F3624</f>
        <v>ND</v>
      </c>
      <c r="G3624" s="151" t="str">
        <f>'Reported burning'!G3624</f>
        <v>Cropland</v>
      </c>
      <c r="H3624" s="151" t="str">
        <f>'Reported burning'!H3624</f>
        <v>Presence</v>
      </c>
      <c r="I3624" s="5"/>
      <c r="J3624" s="71" t="s">
        <v>2272</v>
      </c>
      <c r="K3624" s="71" t="s">
        <v>2272</v>
      </c>
      <c r="L3624" s="71" t="s">
        <v>2272</v>
      </c>
      <c r="M3624" s="71" t="s">
        <v>2272</v>
      </c>
      <c r="N3624" s="71" t="s">
        <v>2272</v>
      </c>
      <c r="O3624" s="71" t="s">
        <v>2272</v>
      </c>
      <c r="P3624" s="71" t="s">
        <v>2272</v>
      </c>
      <c r="Q3624" s="71" t="s">
        <v>2272</v>
      </c>
      <c r="R3624" s="71" t="s">
        <v>2272</v>
      </c>
      <c r="S3624" s="71" t="s">
        <v>2272</v>
      </c>
      <c r="T3624" s="71" t="s">
        <v>2272</v>
      </c>
      <c r="U3624" s="71" t="s">
        <v>2272</v>
      </c>
      <c r="V3624" s="71" t="s">
        <v>2272</v>
      </c>
      <c r="W3624" s="71" t="s">
        <v>2272</v>
      </c>
      <c r="X3624" s="71" t="s">
        <v>2272</v>
      </c>
      <c r="Y3624" s="71" t="s">
        <v>2272</v>
      </c>
      <c r="Z3624" s="71" t="s">
        <v>2272</v>
      </c>
      <c r="AA3624" s="71" t="s">
        <v>2272</v>
      </c>
      <c r="AB3624" s="198"/>
      <c r="AC3624" s="198"/>
    </row>
    <row r="3625" spans="1:29" ht="54.5" customHeight="1">
      <c r="A3625" s="151" t="str">
        <f>'Reported burning'!A3625</f>
        <v>392a</v>
      </c>
      <c r="B3625" s="151" t="str">
        <f>'Reported burning'!B3625</f>
        <v>392a.2</v>
      </c>
      <c r="C3625" s="151" t="str">
        <f>'Reported burning'!C3625</f>
        <v>Human, deliberate</v>
      </c>
      <c r="D3625" s="151" t="str">
        <f>'Reported burning'!D3625</f>
        <v>Forest clearance</v>
      </c>
      <c r="E3625" s="151" t="str">
        <f>'Reported burning'!E3625</f>
        <v>Forestry, Industrial</v>
      </c>
      <c r="F3625" s="151" t="str">
        <f>'Reported burning'!F3625</f>
        <v>ND</v>
      </c>
      <c r="G3625" s="151" t="str">
        <f>'Reported burning'!G3625</f>
        <v>Cropland</v>
      </c>
      <c r="H3625" s="151" t="str">
        <f>'Reported burning'!H3625</f>
        <v>Presence</v>
      </c>
      <c r="I3625" s="5"/>
      <c r="J3625" s="71" t="s">
        <v>2272</v>
      </c>
      <c r="K3625" s="71" t="s">
        <v>2272</v>
      </c>
      <c r="L3625" s="71" t="s">
        <v>2272</v>
      </c>
      <c r="M3625" s="71" t="s">
        <v>2272</v>
      </c>
      <c r="N3625" s="71" t="s">
        <v>2272</v>
      </c>
      <c r="O3625" s="71" t="s">
        <v>2272</v>
      </c>
      <c r="P3625" s="71" t="s">
        <v>2272</v>
      </c>
      <c r="Q3625" s="71" t="s">
        <v>2272</v>
      </c>
      <c r="R3625" s="71" t="s">
        <v>2272</v>
      </c>
      <c r="S3625" s="71" t="s">
        <v>2272</v>
      </c>
      <c r="T3625" s="71" t="s">
        <v>2272</v>
      </c>
      <c r="U3625" s="71" t="s">
        <v>2272</v>
      </c>
      <c r="V3625" s="71" t="s">
        <v>2272</v>
      </c>
      <c r="W3625" s="71" t="s">
        <v>2272</v>
      </c>
      <c r="X3625" s="71" t="s">
        <v>2272</v>
      </c>
      <c r="Y3625" s="71" t="s">
        <v>2272</v>
      </c>
      <c r="Z3625" s="71" t="s">
        <v>2272</v>
      </c>
      <c r="AA3625" s="71" t="s">
        <v>2272</v>
      </c>
      <c r="AB3625" s="198"/>
      <c r="AC3625" s="198"/>
    </row>
    <row r="3626" spans="1:29" ht="54.5" customHeight="1">
      <c r="A3626" s="151" t="str">
        <f>'Reported burning'!A3626</f>
        <v>392a</v>
      </c>
      <c r="B3626" s="151" t="str">
        <f>'Reported burning'!B3626</f>
        <v>392a.3</v>
      </c>
      <c r="C3626" s="151" t="str">
        <f>'Reported burning'!C3626</f>
        <v>Human, deliberate</v>
      </c>
      <c r="D3626" s="151" t="str">
        <f>'Reported burning'!D3626</f>
        <v>ND</v>
      </c>
      <c r="E3626" s="151" t="str">
        <f>'Reported burning'!E3626</f>
        <v>Mixed cropping-livestock small holder, Subsistence-oriented</v>
      </c>
      <c r="F3626" s="151" t="str">
        <f>'Reported burning'!F3626</f>
        <v>ND</v>
      </c>
      <c r="G3626" s="151" t="str">
        <f>'Reported burning'!G3626</f>
        <v>Shrubland (Mixed forest &amp; grassland)</v>
      </c>
      <c r="H3626" s="151" t="str">
        <f>'Reported burning'!H3626</f>
        <v>Presence</v>
      </c>
      <c r="I3626" s="5"/>
      <c r="J3626" s="71" t="s">
        <v>2272</v>
      </c>
      <c r="K3626" s="71" t="s">
        <v>2272</v>
      </c>
      <c r="L3626" s="71" t="s">
        <v>2272</v>
      </c>
      <c r="M3626" s="71" t="s">
        <v>2272</v>
      </c>
      <c r="N3626" s="71" t="s">
        <v>2272</v>
      </c>
      <c r="O3626" s="71" t="s">
        <v>2272</v>
      </c>
      <c r="P3626" s="71" t="s">
        <v>2272</v>
      </c>
      <c r="Q3626" s="71" t="s">
        <v>2272</v>
      </c>
      <c r="R3626" s="71" t="s">
        <v>2272</v>
      </c>
      <c r="S3626" s="71" t="s">
        <v>2272</v>
      </c>
      <c r="T3626" s="71" t="s">
        <v>2272</v>
      </c>
      <c r="U3626" s="71" t="s">
        <v>2272</v>
      </c>
      <c r="V3626" s="71" t="s">
        <v>2272</v>
      </c>
      <c r="W3626" s="71" t="s">
        <v>2272</v>
      </c>
      <c r="X3626" s="71" t="s">
        <v>2272</v>
      </c>
      <c r="Y3626" s="71" t="s">
        <v>2272</v>
      </c>
      <c r="Z3626" s="71" t="s">
        <v>2272</v>
      </c>
      <c r="AA3626" s="71" t="s">
        <v>2272</v>
      </c>
      <c r="AB3626" s="198"/>
      <c r="AC3626" s="198"/>
    </row>
    <row r="3627" spans="1:29" ht="54.5" customHeight="1">
      <c r="A3627" s="151" t="str">
        <f>'Reported burning'!A3627</f>
        <v>392a</v>
      </c>
      <c r="B3627" s="151" t="str">
        <f>'Reported burning'!B3627</f>
        <v>392a.4</v>
      </c>
      <c r="C3627" s="151" t="str">
        <f>'Reported burning'!C3627</f>
        <v>Human, deliberate</v>
      </c>
      <c r="D3627" s="151" t="str">
        <f>'Reported burning'!D3627</f>
        <v>ND</v>
      </c>
      <c r="E3627" s="151" t="str">
        <f>'Reported burning'!E3627</f>
        <v>Cropping, Swidden</v>
      </c>
      <c r="F3627" s="151" t="str">
        <f>'Reported burning'!F3627</f>
        <v>ND</v>
      </c>
      <c r="G3627" s="151" t="str">
        <f>'Reported burning'!G3627</f>
        <v>Shrubland (Mixed forest &amp; grassland)</v>
      </c>
      <c r="H3627" s="151" t="str">
        <f>'Reported burning'!H3627</f>
        <v>Presence</v>
      </c>
      <c r="I3627" s="5"/>
      <c r="J3627" s="71" t="s">
        <v>2272</v>
      </c>
      <c r="K3627" s="71" t="s">
        <v>2272</v>
      </c>
      <c r="L3627" s="71" t="s">
        <v>2272</v>
      </c>
      <c r="M3627" s="71" t="s">
        <v>2272</v>
      </c>
      <c r="N3627" s="71" t="s">
        <v>2272</v>
      </c>
      <c r="O3627" s="71" t="s">
        <v>2272</v>
      </c>
      <c r="P3627" s="71" t="s">
        <v>2272</v>
      </c>
      <c r="Q3627" s="71" t="s">
        <v>2272</v>
      </c>
      <c r="R3627" s="71" t="s">
        <v>2272</v>
      </c>
      <c r="S3627" s="71" t="s">
        <v>2272</v>
      </c>
      <c r="T3627" s="71" t="s">
        <v>2272</v>
      </c>
      <c r="U3627" s="71" t="s">
        <v>2272</v>
      </c>
      <c r="V3627" s="71" t="s">
        <v>2272</v>
      </c>
      <c r="W3627" s="71" t="s">
        <v>2272</v>
      </c>
      <c r="X3627" s="71" t="s">
        <v>2272</v>
      </c>
      <c r="Y3627" s="71" t="s">
        <v>2272</v>
      </c>
      <c r="Z3627" s="71" t="s">
        <v>2272</v>
      </c>
      <c r="AA3627" s="71" t="s">
        <v>2272</v>
      </c>
      <c r="AB3627" s="198"/>
      <c r="AC3627" s="198"/>
    </row>
    <row r="3628" spans="1:29" ht="54.5" customHeight="1">
      <c r="A3628" s="151" t="str">
        <f>'Reported burning'!A3628</f>
        <v>392a</v>
      </c>
      <c r="B3628" s="151" t="str">
        <f>'Reported burning'!B3628</f>
        <v>392a.5</v>
      </c>
      <c r="C3628" s="151" t="str">
        <f>'Reported burning'!C3628</f>
        <v>All</v>
      </c>
      <c r="D3628" s="151" t="str">
        <f>'Reported burning'!D3628</f>
        <v>ND</v>
      </c>
      <c r="E3628" s="151" t="str">
        <f>'Reported burning'!E3628</f>
        <v>ND</v>
      </c>
      <c r="F3628" s="151" t="str">
        <f>'Reported burning'!F3628</f>
        <v>ND</v>
      </c>
      <c r="G3628" s="151" t="str">
        <f>'Reported burning'!G3628</f>
        <v>ND</v>
      </c>
      <c r="H3628" s="151" t="str">
        <f>'Reported burning'!H3628</f>
        <v>Presence</v>
      </c>
      <c r="I3628" s="5"/>
      <c r="J3628" s="71" t="s">
        <v>2272</v>
      </c>
      <c r="K3628" s="71" t="s">
        <v>2272</v>
      </c>
      <c r="L3628" s="71" t="s">
        <v>2272</v>
      </c>
      <c r="M3628" s="71" t="s">
        <v>2272</v>
      </c>
      <c r="N3628" s="71" t="s">
        <v>2272</v>
      </c>
      <c r="O3628" s="71" t="s">
        <v>2272</v>
      </c>
      <c r="P3628" s="71" t="s">
        <v>2272</v>
      </c>
      <c r="Q3628" s="71" t="s">
        <v>2272</v>
      </c>
      <c r="R3628" s="71" t="s">
        <v>2272</v>
      </c>
      <c r="S3628" s="71" t="s">
        <v>2272</v>
      </c>
      <c r="T3628" s="71" t="s">
        <v>2272</v>
      </c>
      <c r="U3628" s="71" t="s">
        <v>2272</v>
      </c>
      <c r="V3628" s="71" t="s">
        <v>2272</v>
      </c>
      <c r="W3628" s="71" t="s">
        <v>2272</v>
      </c>
      <c r="X3628" s="71" t="s">
        <v>2272</v>
      </c>
      <c r="Y3628" s="71" t="s">
        <v>2272</v>
      </c>
      <c r="Z3628" s="71" t="s">
        <v>2272</v>
      </c>
      <c r="AA3628" s="71" t="s">
        <v>2272</v>
      </c>
      <c r="AB3628" s="198"/>
      <c r="AC3628" s="198"/>
    </row>
    <row r="3629" spans="1:29" s="197" customFormat="1" ht="54.5" customHeight="1">
      <c r="A3629" s="151" t="str">
        <f>'Reported burning'!A3629</f>
        <v>392a</v>
      </c>
      <c r="B3629" s="151" t="str">
        <f>'Reported burning'!B3629</f>
        <v>392a.6</v>
      </c>
      <c r="C3629" s="151" t="str">
        <f>'Reported burning'!C3629</f>
        <v>All</v>
      </c>
      <c r="D3629" s="151" t="str">
        <f>'Reported burning'!D3629</f>
        <v>Arson</v>
      </c>
      <c r="E3629" s="151" t="str">
        <f>'Reported burning'!E3629</f>
        <v>Cropping, Swidden</v>
      </c>
      <c r="F3629" s="151" t="str">
        <f>'Reported burning'!F3629</f>
        <v>ND</v>
      </c>
      <c r="G3629" s="151" t="str">
        <f>'Reported burning'!G3629</f>
        <v>Cropland</v>
      </c>
      <c r="H3629" s="151" t="str">
        <f>'Reported burning'!H3629</f>
        <v>Presence</v>
      </c>
      <c r="I3629" s="5"/>
      <c r="J3629" s="71" t="s">
        <v>2272</v>
      </c>
      <c r="K3629" s="71" t="s">
        <v>2272</v>
      </c>
      <c r="L3629" s="71" t="s">
        <v>2272</v>
      </c>
      <c r="M3629" s="71" t="s">
        <v>2272</v>
      </c>
      <c r="N3629" s="71" t="s">
        <v>2272</v>
      </c>
      <c r="O3629" s="71" t="s">
        <v>2272</v>
      </c>
      <c r="P3629" s="71" t="s">
        <v>2272</v>
      </c>
      <c r="Q3629" s="71" t="s">
        <v>2272</v>
      </c>
      <c r="R3629" s="71" t="s">
        <v>2272</v>
      </c>
      <c r="S3629" s="71" t="s">
        <v>2272</v>
      </c>
      <c r="T3629" s="71" t="s">
        <v>2272</v>
      </c>
      <c r="U3629" s="71" t="s">
        <v>2272</v>
      </c>
      <c r="V3629" s="71" t="s">
        <v>2272</v>
      </c>
      <c r="W3629" s="71" t="s">
        <v>2272</v>
      </c>
      <c r="X3629" s="71" t="s">
        <v>2272</v>
      </c>
      <c r="Y3629" s="71" t="s">
        <v>2272</v>
      </c>
      <c r="Z3629" s="71" t="s">
        <v>2272</v>
      </c>
      <c r="AA3629" s="71" t="s">
        <v>2272</v>
      </c>
      <c r="AB3629" s="198"/>
      <c r="AC3629" s="198"/>
    </row>
    <row r="3630" spans="1:29" ht="54.5" customHeight="1">
      <c r="A3630" s="151" t="str">
        <f>'Reported burning'!A3630</f>
        <v>392a</v>
      </c>
      <c r="B3630" s="151" t="str">
        <f>'Reported burning'!B3630</f>
        <v>392a.7</v>
      </c>
      <c r="C3630" s="151" t="str">
        <f>'Reported burning'!C3630</f>
        <v>All</v>
      </c>
      <c r="D3630" s="151" t="str">
        <f>'Reported burning'!D3630</f>
        <v>Arson</v>
      </c>
      <c r="E3630" s="151" t="str">
        <f>'Reported burning'!E3630</f>
        <v>Cropping, Swidden</v>
      </c>
      <c r="F3630" s="151" t="str">
        <f>'Reported burning'!F3630</f>
        <v>ND</v>
      </c>
      <c r="G3630" s="151" t="str">
        <f>'Reported burning'!G3630</f>
        <v>Plantation forest</v>
      </c>
      <c r="H3630" s="151" t="str">
        <f>'Reported burning'!H3630</f>
        <v>Presence</v>
      </c>
      <c r="I3630" s="5"/>
      <c r="J3630" s="71" t="s">
        <v>2272</v>
      </c>
      <c r="K3630" s="71" t="s">
        <v>2272</v>
      </c>
      <c r="L3630" s="71" t="s">
        <v>2272</v>
      </c>
      <c r="M3630" s="71" t="s">
        <v>2272</v>
      </c>
      <c r="N3630" s="71" t="s">
        <v>2272</v>
      </c>
      <c r="O3630" s="71" t="s">
        <v>2272</v>
      </c>
      <c r="P3630" s="71" t="s">
        <v>2272</v>
      </c>
      <c r="Q3630" s="71" t="s">
        <v>2272</v>
      </c>
      <c r="R3630" s="71" t="s">
        <v>2272</v>
      </c>
      <c r="S3630" s="71" t="s">
        <v>2272</v>
      </c>
      <c r="T3630" s="71" t="s">
        <v>2272</v>
      </c>
      <c r="U3630" s="71" t="s">
        <v>2272</v>
      </c>
      <c r="V3630" s="71" t="s">
        <v>2272</v>
      </c>
      <c r="W3630" s="71" t="s">
        <v>2272</v>
      </c>
      <c r="X3630" s="71" t="s">
        <v>2272</v>
      </c>
      <c r="Y3630" s="71" t="s">
        <v>2272</v>
      </c>
      <c r="Z3630" s="71" t="s">
        <v>2272</v>
      </c>
      <c r="AA3630" s="71" t="s">
        <v>2272</v>
      </c>
      <c r="AB3630" s="198"/>
      <c r="AC3630" s="198"/>
    </row>
    <row r="3631" spans="1:29" ht="54.5" customHeight="1">
      <c r="A3631" s="151" t="str">
        <f>'Reported burning'!A3631</f>
        <v>392a</v>
      </c>
      <c r="B3631" s="151" t="str">
        <f>'Reported burning'!B3631</f>
        <v>392a.8</v>
      </c>
      <c r="C3631" s="151" t="str">
        <f>'Reported burning'!C3631</f>
        <v>All</v>
      </c>
      <c r="D3631" s="151" t="str">
        <f>'Reported burning'!D3631</f>
        <v>Arson</v>
      </c>
      <c r="E3631" s="151" t="str">
        <f>'Reported burning'!E3631</f>
        <v>Cropping, Intensive</v>
      </c>
      <c r="F3631" s="151" t="str">
        <f>'Reported burning'!F3631</f>
        <v>ND</v>
      </c>
      <c r="G3631" s="151" t="str">
        <f>'Reported burning'!G3631</f>
        <v>Shrubland (Mixed forest &amp; grassland)</v>
      </c>
      <c r="H3631" s="151" t="str">
        <f>'Reported burning'!H3631</f>
        <v>Presence</v>
      </c>
      <c r="I3631" s="5"/>
      <c r="J3631" s="71" t="s">
        <v>2272</v>
      </c>
      <c r="K3631" s="71" t="s">
        <v>2272</v>
      </c>
      <c r="L3631" s="71" t="s">
        <v>2272</v>
      </c>
      <c r="M3631" s="71" t="s">
        <v>2272</v>
      </c>
      <c r="N3631" s="71" t="s">
        <v>2272</v>
      </c>
      <c r="O3631" s="71" t="s">
        <v>2272</v>
      </c>
      <c r="P3631" s="71" t="s">
        <v>2272</v>
      </c>
      <c r="Q3631" s="71" t="s">
        <v>2272</v>
      </c>
      <c r="R3631" s="71" t="s">
        <v>2272</v>
      </c>
      <c r="S3631" s="71" t="s">
        <v>2272</v>
      </c>
      <c r="T3631" s="71" t="s">
        <v>2272</v>
      </c>
      <c r="U3631" s="71" t="s">
        <v>2272</v>
      </c>
      <c r="V3631" s="71" t="s">
        <v>2272</v>
      </c>
      <c r="W3631" s="71" t="s">
        <v>2272</v>
      </c>
      <c r="X3631" s="71" t="s">
        <v>2272</v>
      </c>
      <c r="Y3631" s="71" t="s">
        <v>2272</v>
      </c>
      <c r="Z3631" s="71" t="s">
        <v>2272</v>
      </c>
      <c r="AA3631" s="71" t="s">
        <v>2272</v>
      </c>
      <c r="AB3631" s="198"/>
      <c r="AC3631" s="198"/>
    </row>
    <row r="3632" spans="1:29" ht="54.5" customHeight="1">
      <c r="A3632" s="151" t="str">
        <f>'Reported burning'!A3632</f>
        <v>392b</v>
      </c>
      <c r="B3632" s="151" t="str">
        <f>'Reported burning'!B3632</f>
        <v>392b.1</v>
      </c>
      <c r="C3632" s="151" t="str">
        <f>'Reported burning'!C3632</f>
        <v>All</v>
      </c>
      <c r="D3632" s="151" t="str">
        <f>'Reported burning'!D3632</f>
        <v>ND</v>
      </c>
      <c r="E3632" s="151" t="str">
        <f>'Reported burning'!E3632</f>
        <v>ND</v>
      </c>
      <c r="F3632" s="151" t="str">
        <f>'Reported burning'!F3632</f>
        <v>ND</v>
      </c>
      <c r="G3632" s="151" t="str">
        <f>'Reported burning'!G3632</f>
        <v>ND</v>
      </c>
      <c r="H3632" s="151" t="str">
        <f>'Reported burning'!H3632</f>
        <v>Presence</v>
      </c>
      <c r="I3632" s="5"/>
      <c r="J3632" s="71" t="s">
        <v>2272</v>
      </c>
      <c r="K3632" s="71" t="s">
        <v>2272</v>
      </c>
      <c r="L3632" s="71" t="s">
        <v>2272</v>
      </c>
      <c r="M3632" s="71" t="s">
        <v>2272</v>
      </c>
      <c r="N3632" s="71" t="s">
        <v>2272</v>
      </c>
      <c r="O3632" s="71" t="s">
        <v>2272</v>
      </c>
      <c r="P3632" s="71" t="s">
        <v>2272</v>
      </c>
      <c r="Q3632" s="71" t="s">
        <v>2272</v>
      </c>
      <c r="R3632" s="71" t="s">
        <v>2272</v>
      </c>
      <c r="S3632" s="71" t="s">
        <v>2272</v>
      </c>
      <c r="T3632" s="71" t="s">
        <v>2272</v>
      </c>
      <c r="U3632" s="71" t="s">
        <v>2272</v>
      </c>
      <c r="V3632" s="71" t="s">
        <v>2272</v>
      </c>
      <c r="W3632" s="71" t="s">
        <v>2272</v>
      </c>
      <c r="X3632" s="71" t="s">
        <v>2272</v>
      </c>
      <c r="Y3632" s="71" t="s">
        <v>2272</v>
      </c>
      <c r="Z3632" s="71" t="s">
        <v>2272</v>
      </c>
      <c r="AA3632" s="71" t="s">
        <v>2272</v>
      </c>
      <c r="AB3632" s="198"/>
      <c r="AC3632" s="198"/>
    </row>
    <row r="3633" spans="1:29" ht="54.5" customHeight="1">
      <c r="A3633" s="151" t="str">
        <f>'Reported burning'!A3633</f>
        <v>393a</v>
      </c>
      <c r="B3633" s="151" t="str">
        <f>'Reported burning'!B3633</f>
        <v>393a.1</v>
      </c>
      <c r="C3633" s="151" t="str">
        <f>'Reported burning'!C3633</f>
        <v>Human, deliberate</v>
      </c>
      <c r="D3633" s="151" t="str">
        <f>'Reported burning'!D3633</f>
        <v>Crop field preparation</v>
      </c>
      <c r="E3633" s="151" t="str">
        <f>'Reported burning'!E3633</f>
        <v>Cropping, Swidden</v>
      </c>
      <c r="F3633" s="151" t="str">
        <f>'Reported burning'!F3633</f>
        <v>Secondary vegetation</v>
      </c>
      <c r="G3633" s="151" t="str">
        <f>'Reported burning'!G3633</f>
        <v>Secondary vegetation</v>
      </c>
      <c r="H3633" s="151" t="str">
        <f>'Reported burning'!H3633</f>
        <v>Presence</v>
      </c>
      <c r="I3633" s="5"/>
      <c r="J3633" s="71" t="s">
        <v>2272</v>
      </c>
      <c r="K3633" s="71" t="s">
        <v>2272</v>
      </c>
      <c r="L3633" s="71" t="s">
        <v>2272</v>
      </c>
      <c r="M3633" s="71" t="s">
        <v>2272</v>
      </c>
      <c r="N3633" s="71" t="s">
        <v>2272</v>
      </c>
      <c r="O3633" s="71" t="s">
        <v>2272</v>
      </c>
      <c r="P3633" s="71" t="s">
        <v>2272</v>
      </c>
      <c r="Q3633" s="71" t="s">
        <v>2272</v>
      </c>
      <c r="R3633" s="71" t="s">
        <v>2272</v>
      </c>
      <c r="S3633" s="71" t="s">
        <v>2272</v>
      </c>
      <c r="T3633" s="71" t="s">
        <v>2272</v>
      </c>
      <c r="U3633" s="71" t="s">
        <v>2272</v>
      </c>
      <c r="V3633" s="71" t="s">
        <v>2272</v>
      </c>
      <c r="W3633" s="71" t="s">
        <v>2272</v>
      </c>
      <c r="X3633" s="71" t="s">
        <v>2272</v>
      </c>
      <c r="Y3633" s="71" t="s">
        <v>2272</v>
      </c>
      <c r="Z3633" s="71" t="s">
        <v>2272</v>
      </c>
      <c r="AA3633" s="71" t="s">
        <v>2272</v>
      </c>
      <c r="AB3633" s="198"/>
      <c r="AC3633" s="198"/>
    </row>
    <row r="3634" spans="1:29" ht="45" customHeight="1">
      <c r="A3634" s="151" t="str">
        <f>'Reported burning'!A3634</f>
        <v>393b</v>
      </c>
      <c r="B3634" s="151" t="str">
        <f>'Reported burning'!B3634</f>
        <v>393b.1</v>
      </c>
      <c r="C3634" s="151" t="str">
        <f>'Reported burning'!C3634</f>
        <v>Human, deliberate</v>
      </c>
      <c r="D3634" s="151" t="str">
        <f>'Reported burning'!D3634</f>
        <v>Crop field preparation</v>
      </c>
      <c r="E3634" s="151" t="str">
        <f>'Reported burning'!E3634</f>
        <v>Cropping, Swidden</v>
      </c>
      <c r="F3634" s="151" t="str">
        <f>'Reported burning'!F3634</f>
        <v>Secondary vegetation</v>
      </c>
      <c r="G3634" s="151" t="str">
        <f>'Reported burning'!G3634</f>
        <v>Secondary vegetation</v>
      </c>
      <c r="H3634" s="151" t="str">
        <f>'Reported burning'!H3634</f>
        <v>Presence</v>
      </c>
      <c r="I3634" s="5"/>
      <c r="J3634" s="71" t="s">
        <v>2272</v>
      </c>
      <c r="K3634" s="71" t="s">
        <v>2272</v>
      </c>
      <c r="L3634" s="71" t="s">
        <v>2272</v>
      </c>
      <c r="M3634" s="71" t="s">
        <v>2272</v>
      </c>
      <c r="N3634" s="71" t="s">
        <v>2272</v>
      </c>
      <c r="O3634" s="71" t="s">
        <v>2272</v>
      </c>
      <c r="P3634" s="71" t="s">
        <v>2272</v>
      </c>
      <c r="Q3634" s="71" t="s">
        <v>2272</v>
      </c>
      <c r="R3634" s="71" t="s">
        <v>2272</v>
      </c>
      <c r="S3634" s="71" t="s">
        <v>2272</v>
      </c>
      <c r="T3634" s="71" t="s">
        <v>2272</v>
      </c>
      <c r="U3634" s="71" t="s">
        <v>2272</v>
      </c>
      <c r="V3634" s="71" t="s">
        <v>2272</v>
      </c>
      <c r="W3634" s="71" t="s">
        <v>2272</v>
      </c>
      <c r="X3634" s="71" t="s">
        <v>2272</v>
      </c>
      <c r="Y3634" s="71" t="s">
        <v>2272</v>
      </c>
      <c r="Z3634" s="71" t="s">
        <v>2272</v>
      </c>
      <c r="AA3634" s="71" t="s">
        <v>2272</v>
      </c>
      <c r="AB3634" s="198"/>
      <c r="AC3634" s="198"/>
    </row>
    <row r="3635" spans="1:29" ht="45" customHeight="1">
      <c r="A3635" s="151" t="str">
        <f>'Reported burning'!A3635</f>
        <v>393c</v>
      </c>
      <c r="B3635" s="151" t="str">
        <f>'Reported burning'!B3635</f>
        <v>393c.1</v>
      </c>
      <c r="C3635" s="151" t="str">
        <f>'Reported burning'!C3635</f>
        <v>Human, deliberate</v>
      </c>
      <c r="D3635" s="151" t="str">
        <f>'Reported burning'!D3635</f>
        <v>Crop field preparation</v>
      </c>
      <c r="E3635" s="151" t="str">
        <f>'Reported burning'!E3635</f>
        <v>Cropping, Swidden</v>
      </c>
      <c r="F3635" s="151" t="str">
        <f>'Reported burning'!F3635</f>
        <v>Secondary vegetation</v>
      </c>
      <c r="G3635" s="151" t="str">
        <f>'Reported burning'!G3635</f>
        <v>Secondary vegetation</v>
      </c>
      <c r="H3635" s="151" t="str">
        <f>'Reported burning'!H3635</f>
        <v>Presence</v>
      </c>
      <c r="I3635" s="5"/>
      <c r="J3635" s="71" t="s">
        <v>2272</v>
      </c>
      <c r="K3635" s="71" t="s">
        <v>2272</v>
      </c>
      <c r="L3635" s="71" t="s">
        <v>2272</v>
      </c>
      <c r="M3635" s="71" t="s">
        <v>2272</v>
      </c>
      <c r="N3635" s="71" t="s">
        <v>2272</v>
      </c>
      <c r="O3635" s="71" t="s">
        <v>2272</v>
      </c>
      <c r="P3635" s="71" t="s">
        <v>2272</v>
      </c>
      <c r="Q3635" s="71" t="s">
        <v>2272</v>
      </c>
      <c r="R3635" s="71" t="s">
        <v>2272</v>
      </c>
      <c r="S3635" s="71" t="s">
        <v>2272</v>
      </c>
      <c r="T3635" s="71" t="s">
        <v>2272</v>
      </c>
      <c r="U3635" s="71" t="s">
        <v>2272</v>
      </c>
      <c r="V3635" s="71" t="s">
        <v>2272</v>
      </c>
      <c r="W3635" s="71" t="s">
        <v>2272</v>
      </c>
      <c r="X3635" s="71" t="s">
        <v>2272</v>
      </c>
      <c r="Y3635" s="71" t="s">
        <v>2272</v>
      </c>
      <c r="Z3635" s="71" t="s">
        <v>2272</v>
      </c>
      <c r="AA3635" s="71" t="s">
        <v>2272</v>
      </c>
      <c r="AB3635" s="198"/>
      <c r="AC3635" s="198"/>
    </row>
    <row r="3636" spans="1:29" ht="45" customHeight="1">
      <c r="A3636" s="151" t="str">
        <f>'Reported burning'!A3636</f>
        <v>393d</v>
      </c>
      <c r="B3636" s="151" t="str">
        <f>'Reported burning'!B3636</f>
        <v>393d.1</v>
      </c>
      <c r="C3636" s="151" t="str">
        <f>'Reported burning'!C3636</f>
        <v>Human, deliberate</v>
      </c>
      <c r="D3636" s="151" t="str">
        <f>'Reported burning'!D3636</f>
        <v>Crop field preparation</v>
      </c>
      <c r="E3636" s="151" t="str">
        <f>'Reported burning'!E3636</f>
        <v>Cropping, Swidden</v>
      </c>
      <c r="F3636" s="151" t="str">
        <f>'Reported burning'!F3636</f>
        <v>Secondary vegetation</v>
      </c>
      <c r="G3636" s="151" t="str">
        <f>'Reported burning'!G3636</f>
        <v>Secondary vegetation</v>
      </c>
      <c r="H3636" s="151" t="str">
        <f>'Reported burning'!H3636</f>
        <v>Presence</v>
      </c>
      <c r="I3636" s="5"/>
      <c r="J3636" s="71" t="s">
        <v>2272</v>
      </c>
      <c r="K3636" s="71" t="s">
        <v>2272</v>
      </c>
      <c r="L3636" s="71" t="s">
        <v>2272</v>
      </c>
      <c r="M3636" s="71" t="s">
        <v>2272</v>
      </c>
      <c r="N3636" s="71" t="s">
        <v>2272</v>
      </c>
      <c r="O3636" s="71" t="s">
        <v>2272</v>
      </c>
      <c r="P3636" s="71" t="s">
        <v>2272</v>
      </c>
      <c r="Q3636" s="71" t="s">
        <v>2272</v>
      </c>
      <c r="R3636" s="71" t="s">
        <v>2272</v>
      </c>
      <c r="S3636" s="71" t="s">
        <v>2272</v>
      </c>
      <c r="T3636" s="71" t="s">
        <v>2272</v>
      </c>
      <c r="U3636" s="71" t="s">
        <v>2272</v>
      </c>
      <c r="V3636" s="71" t="s">
        <v>2272</v>
      </c>
      <c r="W3636" s="71" t="s">
        <v>2272</v>
      </c>
      <c r="X3636" s="71" t="s">
        <v>2272</v>
      </c>
      <c r="Y3636" s="71" t="s">
        <v>2272</v>
      </c>
      <c r="Z3636" s="71" t="s">
        <v>2272</v>
      </c>
      <c r="AA3636" s="71" t="s">
        <v>2272</v>
      </c>
      <c r="AB3636" s="198"/>
      <c r="AC3636" s="198"/>
    </row>
    <row r="3637" spans="1:29" ht="45" customHeight="1">
      <c r="A3637" s="151" t="str">
        <f>'Reported burning'!A3637</f>
        <v>393e</v>
      </c>
      <c r="B3637" s="151" t="str">
        <f>'Reported burning'!B3637</f>
        <v>393e.1</v>
      </c>
      <c r="C3637" s="151" t="str">
        <f>'Reported burning'!C3637</f>
        <v>Human, deliberate</v>
      </c>
      <c r="D3637" s="151" t="str">
        <f>'Reported burning'!D3637</f>
        <v>Crop field preparation</v>
      </c>
      <c r="E3637" s="151" t="str">
        <f>'Reported burning'!E3637</f>
        <v>Cropping, Swidden</v>
      </c>
      <c r="F3637" s="151" t="str">
        <f>'Reported burning'!F3637</f>
        <v>Secondary vegetation</v>
      </c>
      <c r="G3637" s="151" t="str">
        <f>'Reported burning'!G3637</f>
        <v>Secondary vegetation</v>
      </c>
      <c r="H3637" s="151" t="str">
        <f>'Reported burning'!H3637</f>
        <v>Presence</v>
      </c>
      <c r="I3637" s="5"/>
      <c r="J3637" s="71" t="s">
        <v>2272</v>
      </c>
      <c r="K3637" s="71" t="s">
        <v>2272</v>
      </c>
      <c r="L3637" s="71" t="s">
        <v>2272</v>
      </c>
      <c r="M3637" s="71" t="s">
        <v>2272</v>
      </c>
      <c r="N3637" s="71" t="s">
        <v>2272</v>
      </c>
      <c r="O3637" s="71" t="s">
        <v>2272</v>
      </c>
      <c r="P3637" s="71" t="s">
        <v>2272</v>
      </c>
      <c r="Q3637" s="71" t="s">
        <v>2272</v>
      </c>
      <c r="R3637" s="71" t="s">
        <v>2272</v>
      </c>
      <c r="S3637" s="71" t="s">
        <v>2272</v>
      </c>
      <c r="T3637" s="71" t="s">
        <v>2272</v>
      </c>
      <c r="U3637" s="71" t="s">
        <v>2272</v>
      </c>
      <c r="V3637" s="71" t="s">
        <v>2272</v>
      </c>
      <c r="W3637" s="71" t="s">
        <v>2272</v>
      </c>
      <c r="X3637" s="71" t="s">
        <v>2272</v>
      </c>
      <c r="Y3637" s="71" t="s">
        <v>2272</v>
      </c>
      <c r="Z3637" s="71" t="s">
        <v>2272</v>
      </c>
      <c r="AA3637" s="71" t="s">
        <v>2272</v>
      </c>
      <c r="AB3637" s="198"/>
      <c r="AC3637" s="198"/>
    </row>
    <row r="3638" spans="1:29" ht="45" customHeight="1">
      <c r="A3638" s="151" t="str">
        <f>'Reported burning'!A3638</f>
        <v>393a</v>
      </c>
      <c r="B3638" s="151" t="str">
        <f>'Reported burning'!B3638</f>
        <v>393a.2</v>
      </c>
      <c r="C3638" s="151" t="str">
        <f>'Reported burning'!C3638</f>
        <v>Human, deliberate</v>
      </c>
      <c r="D3638" s="151" t="str">
        <f>'Reported burning'!D3638</f>
        <v>All</v>
      </c>
      <c r="E3638" s="151" t="str">
        <f>'Reported burning'!E3638</f>
        <v>Agroforestry, Subsistence-oriented</v>
      </c>
      <c r="F3638" s="151" t="str">
        <f>'Reported burning'!F3638</f>
        <v>Plantation forest</v>
      </c>
      <c r="G3638" s="151" t="str">
        <f>'Reported burning'!G3638</f>
        <v>Plantation forest</v>
      </c>
      <c r="H3638" s="151" t="str">
        <f>'Reported burning'!H3638</f>
        <v>Absence</v>
      </c>
      <c r="I3638" s="5"/>
      <c r="J3638" s="21">
        <v>0</v>
      </c>
      <c r="K3638" s="21">
        <v>0</v>
      </c>
      <c r="L3638" s="21">
        <v>0</v>
      </c>
      <c r="M3638" s="21">
        <v>0</v>
      </c>
      <c r="N3638" s="21">
        <v>0</v>
      </c>
      <c r="O3638" s="21">
        <v>0</v>
      </c>
      <c r="P3638" s="21">
        <v>0</v>
      </c>
      <c r="Q3638" s="21">
        <v>0</v>
      </c>
      <c r="R3638" s="21">
        <v>0</v>
      </c>
      <c r="S3638" s="21">
        <v>0</v>
      </c>
      <c r="T3638" s="21">
        <v>0</v>
      </c>
      <c r="U3638" s="21">
        <v>0</v>
      </c>
      <c r="V3638" s="21">
        <v>0</v>
      </c>
      <c r="W3638" s="21">
        <v>0</v>
      </c>
      <c r="X3638" s="71" t="s">
        <v>2272</v>
      </c>
      <c r="Y3638" s="71" t="s">
        <v>2272</v>
      </c>
      <c r="Z3638" s="71" t="s">
        <v>2272</v>
      </c>
      <c r="AA3638" s="71" t="s">
        <v>2272</v>
      </c>
      <c r="AB3638" s="198"/>
      <c r="AC3638" s="198"/>
    </row>
    <row r="3639" spans="1:29" ht="45" customHeight="1">
      <c r="A3639" s="151" t="str">
        <f>'Reported burning'!A3639</f>
        <v>393b</v>
      </c>
      <c r="B3639" s="151" t="str">
        <f>'Reported burning'!B3639</f>
        <v>393b.2</v>
      </c>
      <c r="C3639" s="151" t="str">
        <f>'Reported burning'!C3639</f>
        <v>Human, deliberate</v>
      </c>
      <c r="D3639" s="151" t="str">
        <f>'Reported burning'!D3639</f>
        <v>All</v>
      </c>
      <c r="E3639" s="151" t="str">
        <f>'Reported burning'!E3639</f>
        <v>Agroforestry, Subsistence-oriented</v>
      </c>
      <c r="F3639" s="151" t="str">
        <f>'Reported burning'!F3639</f>
        <v>Plantation forest</v>
      </c>
      <c r="G3639" s="151" t="str">
        <f>'Reported burning'!G3639</f>
        <v>Plantation forest</v>
      </c>
      <c r="H3639" s="151" t="str">
        <f>'Reported burning'!H3639</f>
        <v>Absence</v>
      </c>
      <c r="I3639" s="5"/>
      <c r="J3639" s="21">
        <v>0</v>
      </c>
      <c r="K3639" s="21">
        <v>0</v>
      </c>
      <c r="L3639" s="21">
        <v>0</v>
      </c>
      <c r="M3639" s="21">
        <v>0</v>
      </c>
      <c r="N3639" s="21">
        <v>0</v>
      </c>
      <c r="O3639" s="21">
        <v>0</v>
      </c>
      <c r="P3639" s="21">
        <v>0</v>
      </c>
      <c r="Q3639" s="21">
        <v>0</v>
      </c>
      <c r="R3639" s="21">
        <v>0</v>
      </c>
      <c r="S3639" s="21">
        <v>0</v>
      </c>
      <c r="T3639" s="21">
        <v>0</v>
      </c>
      <c r="U3639" s="21">
        <v>0</v>
      </c>
      <c r="V3639" s="21">
        <v>0</v>
      </c>
      <c r="W3639" s="21">
        <v>0</v>
      </c>
      <c r="X3639" s="71" t="s">
        <v>2272</v>
      </c>
      <c r="Y3639" s="71" t="s">
        <v>2272</v>
      </c>
      <c r="Z3639" s="71" t="s">
        <v>2272</v>
      </c>
      <c r="AA3639" s="71" t="s">
        <v>2272</v>
      </c>
      <c r="AB3639" s="198"/>
      <c r="AC3639" s="198"/>
    </row>
    <row r="3640" spans="1:29" ht="45" customHeight="1">
      <c r="A3640" s="151" t="str">
        <f>'Reported burning'!A3640</f>
        <v>393c</v>
      </c>
      <c r="B3640" s="151" t="str">
        <f>'Reported burning'!B3640</f>
        <v>393c.2</v>
      </c>
      <c r="C3640" s="151" t="str">
        <f>'Reported burning'!C3640</f>
        <v>Human, deliberate</v>
      </c>
      <c r="D3640" s="151" t="str">
        <f>'Reported burning'!D3640</f>
        <v>All</v>
      </c>
      <c r="E3640" s="151" t="str">
        <f>'Reported burning'!E3640</f>
        <v>Agroforestry, Subsistence-oriented</v>
      </c>
      <c r="F3640" s="151" t="str">
        <f>'Reported burning'!F3640</f>
        <v>Plantation forest</v>
      </c>
      <c r="G3640" s="151" t="str">
        <f>'Reported burning'!G3640</f>
        <v>Plantation forest</v>
      </c>
      <c r="H3640" s="151" t="str">
        <f>'Reported burning'!H3640</f>
        <v>Absence</v>
      </c>
      <c r="I3640" s="5"/>
      <c r="J3640" s="21">
        <v>0</v>
      </c>
      <c r="K3640" s="21">
        <v>0</v>
      </c>
      <c r="L3640" s="21">
        <v>0</v>
      </c>
      <c r="M3640" s="21">
        <v>0</v>
      </c>
      <c r="N3640" s="21">
        <v>0</v>
      </c>
      <c r="O3640" s="21">
        <v>0</v>
      </c>
      <c r="P3640" s="21">
        <v>0</v>
      </c>
      <c r="Q3640" s="21">
        <v>0</v>
      </c>
      <c r="R3640" s="21">
        <v>0</v>
      </c>
      <c r="S3640" s="21">
        <v>0</v>
      </c>
      <c r="T3640" s="21">
        <v>0</v>
      </c>
      <c r="U3640" s="21">
        <v>0</v>
      </c>
      <c r="V3640" s="21">
        <v>0</v>
      </c>
      <c r="W3640" s="21">
        <v>0</v>
      </c>
      <c r="X3640" s="71" t="s">
        <v>2272</v>
      </c>
      <c r="Y3640" s="71" t="s">
        <v>2272</v>
      </c>
      <c r="Z3640" s="71" t="s">
        <v>2272</v>
      </c>
      <c r="AA3640" s="71" t="s">
        <v>2272</v>
      </c>
      <c r="AB3640" s="198"/>
      <c r="AC3640" s="198"/>
    </row>
    <row r="3641" spans="1:29" ht="45" customHeight="1">
      <c r="A3641" s="151" t="str">
        <f>'Reported burning'!A3641</f>
        <v>393d</v>
      </c>
      <c r="B3641" s="151" t="str">
        <f>'Reported burning'!B3641</f>
        <v>393d.2</v>
      </c>
      <c r="C3641" s="151" t="str">
        <f>'Reported burning'!C3641</f>
        <v>Human, deliberate</v>
      </c>
      <c r="D3641" s="151" t="str">
        <f>'Reported burning'!D3641</f>
        <v>All</v>
      </c>
      <c r="E3641" s="151" t="str">
        <f>'Reported burning'!E3641</f>
        <v>Agroforestry, Subsistence-oriented</v>
      </c>
      <c r="F3641" s="151" t="str">
        <f>'Reported burning'!F3641</f>
        <v>Plantation forest</v>
      </c>
      <c r="G3641" s="151" t="str">
        <f>'Reported burning'!G3641</f>
        <v>Plantation forest</v>
      </c>
      <c r="H3641" s="151" t="str">
        <f>'Reported burning'!H3641</f>
        <v>Absence</v>
      </c>
      <c r="I3641" s="5"/>
      <c r="J3641" s="21">
        <v>0</v>
      </c>
      <c r="K3641" s="21">
        <v>0</v>
      </c>
      <c r="L3641" s="21">
        <v>0</v>
      </c>
      <c r="M3641" s="21">
        <v>0</v>
      </c>
      <c r="N3641" s="21">
        <v>0</v>
      </c>
      <c r="O3641" s="21">
        <v>0</v>
      </c>
      <c r="P3641" s="21">
        <v>0</v>
      </c>
      <c r="Q3641" s="21">
        <v>0</v>
      </c>
      <c r="R3641" s="21">
        <v>0</v>
      </c>
      <c r="S3641" s="21">
        <v>0</v>
      </c>
      <c r="T3641" s="21">
        <v>0</v>
      </c>
      <c r="U3641" s="21">
        <v>0</v>
      </c>
      <c r="V3641" s="21">
        <v>0</v>
      </c>
      <c r="W3641" s="21">
        <v>0</v>
      </c>
      <c r="X3641" s="71" t="s">
        <v>2272</v>
      </c>
      <c r="Y3641" s="71" t="s">
        <v>2272</v>
      </c>
      <c r="Z3641" s="71" t="s">
        <v>2272</v>
      </c>
      <c r="AA3641" s="71" t="s">
        <v>2272</v>
      </c>
      <c r="AB3641" s="198"/>
      <c r="AC3641" s="198"/>
    </row>
    <row r="3642" spans="1:29" ht="45" customHeight="1">
      <c r="A3642" s="151" t="str">
        <f>'Reported burning'!A3642</f>
        <v>393e</v>
      </c>
      <c r="B3642" s="151" t="str">
        <f>'Reported burning'!B3642</f>
        <v>393e.2</v>
      </c>
      <c r="C3642" s="151" t="str">
        <f>'Reported burning'!C3642</f>
        <v>Human, deliberate</v>
      </c>
      <c r="D3642" s="151" t="str">
        <f>'Reported burning'!D3642</f>
        <v>All</v>
      </c>
      <c r="E3642" s="151" t="str">
        <f>'Reported burning'!E3642</f>
        <v>Agroforestry, Subsistence-oriented</v>
      </c>
      <c r="F3642" s="151" t="str">
        <f>'Reported burning'!F3642</f>
        <v>Plantation forest</v>
      </c>
      <c r="G3642" s="151" t="str">
        <f>'Reported burning'!G3642</f>
        <v>Plantation forest</v>
      </c>
      <c r="H3642" s="151" t="str">
        <f>'Reported burning'!H3642</f>
        <v>Absence</v>
      </c>
      <c r="I3642" s="5"/>
      <c r="J3642" s="21">
        <v>0</v>
      </c>
      <c r="K3642" s="21">
        <v>0</v>
      </c>
      <c r="L3642" s="21">
        <v>0</v>
      </c>
      <c r="M3642" s="21">
        <v>0</v>
      </c>
      <c r="N3642" s="21">
        <v>0</v>
      </c>
      <c r="O3642" s="21">
        <v>0</v>
      </c>
      <c r="P3642" s="21">
        <v>0</v>
      </c>
      <c r="Q3642" s="21">
        <v>0</v>
      </c>
      <c r="R3642" s="21">
        <v>0</v>
      </c>
      <c r="S3642" s="21">
        <v>0</v>
      </c>
      <c r="T3642" s="21">
        <v>0</v>
      </c>
      <c r="U3642" s="21">
        <v>0</v>
      </c>
      <c r="V3642" s="21">
        <v>0</v>
      </c>
      <c r="W3642" s="21">
        <v>0</v>
      </c>
      <c r="X3642" s="71" t="s">
        <v>2272</v>
      </c>
      <c r="Y3642" s="71" t="s">
        <v>2272</v>
      </c>
      <c r="Z3642" s="71" t="s">
        <v>2272</v>
      </c>
      <c r="AA3642" s="71" t="s">
        <v>2272</v>
      </c>
      <c r="AB3642" s="198"/>
      <c r="AC3642" s="198"/>
    </row>
    <row r="3643" spans="1:29" ht="45" customHeight="1">
      <c r="A3643" s="151" t="str">
        <f>'Reported burning'!A3643</f>
        <v>393a</v>
      </c>
      <c r="B3643" s="151" t="str">
        <f>'Reported burning'!B3643</f>
        <v>393a.3</v>
      </c>
      <c r="C3643" s="151" t="str">
        <f>'Reported burning'!C3643</f>
        <v>Human, deliberate</v>
      </c>
      <c r="D3643" s="151" t="str">
        <f>'Reported burning'!D3643</f>
        <v>All</v>
      </c>
      <c r="E3643" s="151" t="str">
        <f>'Reported burning'!E3643</f>
        <v>Agroforestry, Market-oriented</v>
      </c>
      <c r="F3643" s="151" t="str">
        <f>'Reported burning'!F3643</f>
        <v>Plantation forest</v>
      </c>
      <c r="G3643" s="151" t="str">
        <f>'Reported burning'!G3643</f>
        <v>Plantation forest</v>
      </c>
      <c r="H3643" s="151" t="str">
        <f>'Reported burning'!H3643</f>
        <v>Absence</v>
      </c>
      <c r="I3643" s="5"/>
      <c r="J3643" s="21">
        <v>0</v>
      </c>
      <c r="K3643" s="21">
        <v>0</v>
      </c>
      <c r="L3643" s="21">
        <v>0</v>
      </c>
      <c r="M3643" s="21">
        <v>0</v>
      </c>
      <c r="N3643" s="21">
        <v>0</v>
      </c>
      <c r="O3643" s="21">
        <v>0</v>
      </c>
      <c r="P3643" s="21">
        <v>0</v>
      </c>
      <c r="Q3643" s="21">
        <v>0</v>
      </c>
      <c r="R3643" s="21">
        <v>0</v>
      </c>
      <c r="S3643" s="21">
        <v>0</v>
      </c>
      <c r="T3643" s="21">
        <v>0</v>
      </c>
      <c r="U3643" s="21">
        <v>0</v>
      </c>
      <c r="V3643" s="21">
        <v>0</v>
      </c>
      <c r="W3643" s="21">
        <v>0</v>
      </c>
      <c r="X3643" s="71" t="s">
        <v>2272</v>
      </c>
      <c r="Y3643" s="71" t="s">
        <v>2272</v>
      </c>
      <c r="Z3643" s="71" t="s">
        <v>2272</v>
      </c>
      <c r="AA3643" s="71" t="s">
        <v>2272</v>
      </c>
      <c r="AB3643" s="198"/>
      <c r="AC3643" s="198"/>
    </row>
    <row r="3644" spans="1:29" ht="45" customHeight="1">
      <c r="A3644" s="151" t="str">
        <f>'Reported burning'!A3644</f>
        <v>393b</v>
      </c>
      <c r="B3644" s="151" t="str">
        <f>'Reported burning'!B3644</f>
        <v>393b.3</v>
      </c>
      <c r="C3644" s="151" t="str">
        <f>'Reported burning'!C3644</f>
        <v>Human, deliberate</v>
      </c>
      <c r="D3644" s="151" t="str">
        <f>'Reported burning'!D3644</f>
        <v>All</v>
      </c>
      <c r="E3644" s="151" t="str">
        <f>'Reported burning'!E3644</f>
        <v>Agroforestry, Market-oriented</v>
      </c>
      <c r="F3644" s="151" t="str">
        <f>'Reported burning'!F3644</f>
        <v>Plantation forest</v>
      </c>
      <c r="G3644" s="151" t="str">
        <f>'Reported burning'!G3644</f>
        <v>Plantation forest</v>
      </c>
      <c r="H3644" s="151" t="str">
        <f>'Reported burning'!H3644</f>
        <v>Absence</v>
      </c>
      <c r="I3644" s="5"/>
      <c r="J3644" s="21">
        <v>0</v>
      </c>
      <c r="K3644" s="21">
        <v>0</v>
      </c>
      <c r="L3644" s="21">
        <v>0</v>
      </c>
      <c r="M3644" s="21">
        <v>0</v>
      </c>
      <c r="N3644" s="21">
        <v>0</v>
      </c>
      <c r="O3644" s="21">
        <v>0</v>
      </c>
      <c r="P3644" s="21">
        <v>0</v>
      </c>
      <c r="Q3644" s="21">
        <v>0</v>
      </c>
      <c r="R3644" s="21">
        <v>0</v>
      </c>
      <c r="S3644" s="21">
        <v>0</v>
      </c>
      <c r="T3644" s="21">
        <v>0</v>
      </c>
      <c r="U3644" s="21">
        <v>0</v>
      </c>
      <c r="V3644" s="21">
        <v>0</v>
      </c>
      <c r="W3644" s="21">
        <v>0</v>
      </c>
      <c r="X3644" s="71" t="s">
        <v>2272</v>
      </c>
      <c r="Y3644" s="71" t="s">
        <v>2272</v>
      </c>
      <c r="Z3644" s="71" t="s">
        <v>2272</v>
      </c>
      <c r="AA3644" s="71" t="s">
        <v>2272</v>
      </c>
      <c r="AB3644" s="198"/>
      <c r="AC3644" s="198"/>
    </row>
    <row r="3645" spans="1:29" ht="45" customHeight="1">
      <c r="A3645" s="151" t="str">
        <f>'Reported burning'!A3645</f>
        <v>393c</v>
      </c>
      <c r="B3645" s="151" t="str">
        <f>'Reported burning'!B3645</f>
        <v>393c.3</v>
      </c>
      <c r="C3645" s="151" t="str">
        <f>'Reported burning'!C3645</f>
        <v>Human, deliberate</v>
      </c>
      <c r="D3645" s="151" t="str">
        <f>'Reported burning'!D3645</f>
        <v>All</v>
      </c>
      <c r="E3645" s="151" t="str">
        <f>'Reported burning'!E3645</f>
        <v>Agroforestry, Market-oriented</v>
      </c>
      <c r="F3645" s="151" t="str">
        <f>'Reported burning'!F3645</f>
        <v>Plantation forest</v>
      </c>
      <c r="G3645" s="151" t="str">
        <f>'Reported burning'!G3645</f>
        <v>Plantation forest</v>
      </c>
      <c r="H3645" s="151" t="str">
        <f>'Reported burning'!H3645</f>
        <v>Absence</v>
      </c>
      <c r="I3645" s="5"/>
      <c r="J3645" s="21">
        <v>0</v>
      </c>
      <c r="K3645" s="21">
        <v>0</v>
      </c>
      <c r="L3645" s="21">
        <v>0</v>
      </c>
      <c r="M3645" s="21">
        <v>0</v>
      </c>
      <c r="N3645" s="21">
        <v>0</v>
      </c>
      <c r="O3645" s="21">
        <v>0</v>
      </c>
      <c r="P3645" s="21">
        <v>0</v>
      </c>
      <c r="Q3645" s="21">
        <v>0</v>
      </c>
      <c r="R3645" s="21">
        <v>0</v>
      </c>
      <c r="S3645" s="21">
        <v>0</v>
      </c>
      <c r="T3645" s="21">
        <v>0</v>
      </c>
      <c r="U3645" s="21">
        <v>0</v>
      </c>
      <c r="V3645" s="21">
        <v>0</v>
      </c>
      <c r="W3645" s="21">
        <v>0</v>
      </c>
      <c r="X3645" s="71" t="s">
        <v>2272</v>
      </c>
      <c r="Y3645" s="71" t="s">
        <v>2272</v>
      </c>
      <c r="Z3645" s="71" t="s">
        <v>2272</v>
      </c>
      <c r="AA3645" s="71" t="s">
        <v>2272</v>
      </c>
      <c r="AB3645" s="198"/>
      <c r="AC3645" s="198"/>
    </row>
    <row r="3646" spans="1:29" ht="45" customHeight="1">
      <c r="A3646" s="151" t="str">
        <f>'Reported burning'!A3646</f>
        <v>393d</v>
      </c>
      <c r="B3646" s="151" t="str">
        <f>'Reported burning'!B3646</f>
        <v>393d.3</v>
      </c>
      <c r="C3646" s="151" t="str">
        <f>'Reported burning'!C3646</f>
        <v>Human, deliberate</v>
      </c>
      <c r="D3646" s="151" t="str">
        <f>'Reported burning'!D3646</f>
        <v>All</v>
      </c>
      <c r="E3646" s="151" t="str">
        <f>'Reported burning'!E3646</f>
        <v>Agroforestry, Market-oriented</v>
      </c>
      <c r="F3646" s="151" t="str">
        <f>'Reported burning'!F3646</f>
        <v>Plantation forest</v>
      </c>
      <c r="G3646" s="151" t="str">
        <f>'Reported burning'!G3646</f>
        <v>Plantation forest</v>
      </c>
      <c r="H3646" s="151" t="str">
        <f>'Reported burning'!H3646</f>
        <v>Absence</v>
      </c>
      <c r="I3646" s="5"/>
      <c r="J3646" s="21">
        <v>0</v>
      </c>
      <c r="K3646" s="21">
        <v>0</v>
      </c>
      <c r="L3646" s="21">
        <v>0</v>
      </c>
      <c r="M3646" s="21">
        <v>0</v>
      </c>
      <c r="N3646" s="21">
        <v>0</v>
      </c>
      <c r="O3646" s="21">
        <v>0</v>
      </c>
      <c r="P3646" s="21">
        <v>0</v>
      </c>
      <c r="Q3646" s="21">
        <v>0</v>
      </c>
      <c r="R3646" s="21">
        <v>0</v>
      </c>
      <c r="S3646" s="21">
        <v>0</v>
      </c>
      <c r="T3646" s="21">
        <v>0</v>
      </c>
      <c r="U3646" s="21">
        <v>0</v>
      </c>
      <c r="V3646" s="21">
        <v>0</v>
      </c>
      <c r="W3646" s="21">
        <v>0</v>
      </c>
      <c r="X3646" s="71" t="s">
        <v>2272</v>
      </c>
      <c r="Y3646" s="71" t="s">
        <v>2272</v>
      </c>
      <c r="Z3646" s="71" t="s">
        <v>2272</v>
      </c>
      <c r="AA3646" s="71" t="s">
        <v>2272</v>
      </c>
      <c r="AB3646" s="198"/>
      <c r="AC3646" s="198"/>
    </row>
    <row r="3647" spans="1:29" ht="45" customHeight="1">
      <c r="A3647" s="151" t="str">
        <f>'Reported burning'!A3647</f>
        <v>393e</v>
      </c>
      <c r="B3647" s="151" t="str">
        <f>'Reported burning'!B3647</f>
        <v>393e.3</v>
      </c>
      <c r="C3647" s="151" t="str">
        <f>'Reported burning'!C3647</f>
        <v>Human, deliberate</v>
      </c>
      <c r="D3647" s="151" t="str">
        <f>'Reported burning'!D3647</f>
        <v>All</v>
      </c>
      <c r="E3647" s="151" t="str">
        <f>'Reported burning'!E3647</f>
        <v>Agroforestry, Market-oriented</v>
      </c>
      <c r="F3647" s="151" t="str">
        <f>'Reported burning'!F3647</f>
        <v>Plantation forest</v>
      </c>
      <c r="G3647" s="151" t="str">
        <f>'Reported burning'!G3647</f>
        <v>Plantation forest</v>
      </c>
      <c r="H3647" s="151" t="str">
        <f>'Reported burning'!H3647</f>
        <v>Absence</v>
      </c>
      <c r="I3647" s="5"/>
      <c r="J3647" s="21">
        <v>0</v>
      </c>
      <c r="K3647" s="21">
        <v>0</v>
      </c>
      <c r="L3647" s="21">
        <v>0</v>
      </c>
      <c r="M3647" s="21">
        <v>0</v>
      </c>
      <c r="N3647" s="21">
        <v>0</v>
      </c>
      <c r="O3647" s="21">
        <v>0</v>
      </c>
      <c r="P3647" s="21">
        <v>0</v>
      </c>
      <c r="Q3647" s="21">
        <v>0</v>
      </c>
      <c r="R3647" s="21">
        <v>0</v>
      </c>
      <c r="S3647" s="21">
        <v>0</v>
      </c>
      <c r="T3647" s="21">
        <v>0</v>
      </c>
      <c r="U3647" s="21">
        <v>0</v>
      </c>
      <c r="V3647" s="21">
        <v>0</v>
      </c>
      <c r="W3647" s="21">
        <v>0</v>
      </c>
      <c r="X3647" s="71" t="s">
        <v>2272</v>
      </c>
      <c r="Y3647" s="71" t="s">
        <v>2272</v>
      </c>
      <c r="Z3647" s="71" t="s">
        <v>2272</v>
      </c>
      <c r="AA3647" s="71" t="s">
        <v>2272</v>
      </c>
      <c r="AB3647" s="198"/>
      <c r="AC3647" s="198"/>
    </row>
    <row r="3648" spans="1:29" ht="45" customHeight="1">
      <c r="A3648" s="147" t="str">
        <f>'Reported burning'!A3648</f>
        <v>394a</v>
      </c>
      <c r="B3648" s="147" t="str">
        <f>'Reported burning'!B3648</f>
        <v>394a.1</v>
      </c>
      <c r="C3648" s="147" t="str">
        <f>'Reported burning'!C3648</f>
        <v>Human, deliberate</v>
      </c>
      <c r="D3648" s="147" t="str">
        <f>'Reported burning'!D3648</f>
        <v>Forest clearance</v>
      </c>
      <c r="E3648" s="147" t="str">
        <f>'Reported burning'!E3648</f>
        <v>ND</v>
      </c>
      <c r="F3648" s="147" t="str">
        <f>'Reported burning'!F3648</f>
        <v>ND</v>
      </c>
      <c r="G3648" s="147" t="str">
        <f>'Reported burning'!G3648</f>
        <v>Shrubland (Mixed forest &amp; grassland)</v>
      </c>
      <c r="H3648" s="147" t="str">
        <f>'Reported burning'!H3648</f>
        <v>Presence</v>
      </c>
      <c r="I3648" s="198"/>
      <c r="J3648" s="71" t="s">
        <v>2272</v>
      </c>
      <c r="K3648" s="71" t="s">
        <v>2272</v>
      </c>
      <c r="L3648" s="71" t="s">
        <v>2272</v>
      </c>
      <c r="M3648" s="71" t="s">
        <v>2272</v>
      </c>
      <c r="N3648" s="71" t="s">
        <v>2272</v>
      </c>
      <c r="O3648" s="71" t="s">
        <v>2272</v>
      </c>
      <c r="P3648" s="71" t="s">
        <v>2272</v>
      </c>
      <c r="Q3648" s="71" t="s">
        <v>2272</v>
      </c>
      <c r="R3648" s="71" t="s">
        <v>2272</v>
      </c>
      <c r="S3648" s="71" t="s">
        <v>2272</v>
      </c>
      <c r="T3648" s="71" t="s">
        <v>2272</v>
      </c>
      <c r="U3648" s="71" t="s">
        <v>2272</v>
      </c>
      <c r="V3648" s="71" t="s">
        <v>2272</v>
      </c>
      <c r="W3648" s="71" t="s">
        <v>2272</v>
      </c>
      <c r="X3648" s="71" t="s">
        <v>2272</v>
      </c>
      <c r="Y3648" s="198" t="s">
        <v>187</v>
      </c>
      <c r="Z3648" s="198" t="s">
        <v>423</v>
      </c>
      <c r="AA3648" s="198" t="s">
        <v>2650</v>
      </c>
      <c r="AB3648" s="4" t="s">
        <v>9469</v>
      </c>
      <c r="AC3648" s="198"/>
    </row>
    <row r="3649" spans="1:29" ht="34.5" customHeight="1">
      <c r="A3649" s="147" t="str">
        <f>'Reported burning'!A3649</f>
        <v>394a</v>
      </c>
      <c r="B3649" s="147" t="str">
        <f>'Reported burning'!B3649</f>
        <v>394a.2</v>
      </c>
      <c r="C3649" s="147" t="str">
        <f>'Reported burning'!C3649</f>
        <v>Human, escaped</v>
      </c>
      <c r="D3649" s="147" t="str">
        <f>'Reported burning'!D3649</f>
        <v>Domestic</v>
      </c>
      <c r="E3649" s="147" t="str">
        <f>'Reported burning'!E3649</f>
        <v>Forestry, Traditional</v>
      </c>
      <c r="F3649" s="147" t="str">
        <f>'Reported burning'!F3649</f>
        <v>ND</v>
      </c>
      <c r="G3649" s="147" t="str">
        <f>'Reported burning'!G3649</f>
        <v>Forest</v>
      </c>
      <c r="H3649" s="147" t="str">
        <f>'Reported burning'!H3649</f>
        <v>Presence</v>
      </c>
      <c r="I3649" s="5"/>
      <c r="J3649" s="71" t="s">
        <v>2272</v>
      </c>
      <c r="K3649" s="71" t="s">
        <v>2272</v>
      </c>
      <c r="L3649" s="71" t="s">
        <v>2272</v>
      </c>
      <c r="M3649" s="71" t="s">
        <v>2272</v>
      </c>
      <c r="N3649" s="71" t="s">
        <v>2272</v>
      </c>
      <c r="O3649" s="71" t="s">
        <v>2272</v>
      </c>
      <c r="P3649" s="71" t="s">
        <v>2272</v>
      </c>
      <c r="Q3649" s="71" t="s">
        <v>2272</v>
      </c>
      <c r="R3649" s="71" t="s">
        <v>2272</v>
      </c>
      <c r="S3649" s="71" t="s">
        <v>2272</v>
      </c>
      <c r="T3649" s="71" t="s">
        <v>2272</v>
      </c>
      <c r="U3649" s="71" t="s">
        <v>2272</v>
      </c>
      <c r="V3649" s="71" t="s">
        <v>2272</v>
      </c>
      <c r="W3649" s="71" t="s">
        <v>2272</v>
      </c>
      <c r="X3649" s="71" t="s">
        <v>2272</v>
      </c>
      <c r="Y3649" s="198" t="s">
        <v>187</v>
      </c>
      <c r="Z3649" s="198" t="s">
        <v>423</v>
      </c>
      <c r="AA3649" s="198" t="s">
        <v>2650</v>
      </c>
      <c r="AB3649" s="4" t="s">
        <v>9469</v>
      </c>
      <c r="AC3649" s="198"/>
    </row>
    <row r="3650" spans="1:29" s="197" customFormat="1" ht="34.5" customHeight="1">
      <c r="A3650" s="147" t="str">
        <f>'Reported burning'!A3650</f>
        <v>394a</v>
      </c>
      <c r="B3650" s="147" t="str">
        <f>'Reported burning'!B3650</f>
        <v>394a.3</v>
      </c>
      <c r="C3650" s="147" t="str">
        <f>'Reported burning'!C3650</f>
        <v>Human, accidental</v>
      </c>
      <c r="D3650" s="147" t="str">
        <f>'Reported burning'!D3650</f>
        <v>Hunting</v>
      </c>
      <c r="E3650" s="147" t="str">
        <f>'Reported burning'!E3650</f>
        <v>Forestry, Traditional</v>
      </c>
      <c r="F3650" s="147" t="str">
        <f>'Reported burning'!F3650</f>
        <v>ND</v>
      </c>
      <c r="G3650" s="147" t="str">
        <f>'Reported burning'!G3650</f>
        <v>Forest</v>
      </c>
      <c r="H3650" s="147" t="str">
        <f>'Reported burning'!H3650</f>
        <v>Presence</v>
      </c>
      <c r="I3650" s="5"/>
      <c r="J3650" s="71" t="s">
        <v>2272</v>
      </c>
      <c r="K3650" s="71" t="s">
        <v>2272</v>
      </c>
      <c r="L3650" s="71" t="s">
        <v>2272</v>
      </c>
      <c r="M3650" s="71" t="s">
        <v>2272</v>
      </c>
      <c r="N3650" s="71" t="s">
        <v>2272</v>
      </c>
      <c r="O3650" s="71" t="s">
        <v>2272</v>
      </c>
      <c r="P3650" s="71" t="s">
        <v>2272</v>
      </c>
      <c r="Q3650" s="71" t="s">
        <v>2272</v>
      </c>
      <c r="R3650" s="71" t="s">
        <v>2272</v>
      </c>
      <c r="S3650" s="71" t="s">
        <v>2272</v>
      </c>
      <c r="T3650" s="71" t="s">
        <v>2272</v>
      </c>
      <c r="U3650" s="71" t="s">
        <v>2272</v>
      </c>
      <c r="V3650" s="71" t="s">
        <v>2272</v>
      </c>
      <c r="W3650" s="71" t="s">
        <v>2272</v>
      </c>
      <c r="X3650" s="71" t="s">
        <v>2272</v>
      </c>
      <c r="Y3650" s="198" t="s">
        <v>187</v>
      </c>
      <c r="Z3650" s="198" t="s">
        <v>423</v>
      </c>
      <c r="AA3650" s="198" t="s">
        <v>2650</v>
      </c>
      <c r="AB3650" s="4" t="s">
        <v>9469</v>
      </c>
      <c r="AC3650" s="198"/>
    </row>
    <row r="3651" spans="1:29" s="197" customFormat="1" ht="34.5" customHeight="1">
      <c r="A3651" s="151" t="str">
        <f>'Reported burning'!A3651</f>
        <v>394a</v>
      </c>
      <c r="B3651" s="151" t="str">
        <f>'Reported burning'!B3651</f>
        <v>394a.4</v>
      </c>
      <c r="C3651" s="151" t="str">
        <f>'Reported burning'!C3651</f>
        <v>Human, accidental</v>
      </c>
      <c r="D3651" s="151" t="str">
        <f>'Reported burning'!D3651</f>
        <v>ND</v>
      </c>
      <c r="E3651" s="151" t="str">
        <f>'Reported burning'!E3651</f>
        <v>Cropping, Monoculture, Market-oriented</v>
      </c>
      <c r="F3651" s="151" t="str">
        <f>'Reported burning'!F3651</f>
        <v>ND</v>
      </c>
      <c r="G3651" s="151" t="str">
        <f>'Reported burning'!G3651</f>
        <v>Forest</v>
      </c>
      <c r="H3651" s="151" t="str">
        <f>'Reported burning'!H3651</f>
        <v>Presence</v>
      </c>
      <c r="I3651" s="5"/>
      <c r="J3651" s="71" t="s">
        <v>2272</v>
      </c>
      <c r="K3651" s="71" t="s">
        <v>2272</v>
      </c>
      <c r="L3651" s="71" t="s">
        <v>2272</v>
      </c>
      <c r="M3651" s="71" t="s">
        <v>2272</v>
      </c>
      <c r="N3651" s="71" t="s">
        <v>2272</v>
      </c>
      <c r="O3651" s="71" t="s">
        <v>2272</v>
      </c>
      <c r="P3651" s="71" t="s">
        <v>2272</v>
      </c>
      <c r="Q3651" s="71" t="s">
        <v>2272</v>
      </c>
      <c r="R3651" s="71" t="s">
        <v>2272</v>
      </c>
      <c r="S3651" s="71" t="s">
        <v>2272</v>
      </c>
      <c r="T3651" s="71" t="s">
        <v>2272</v>
      </c>
      <c r="U3651" s="71" t="s">
        <v>2272</v>
      </c>
      <c r="V3651" s="71" t="s">
        <v>2272</v>
      </c>
      <c r="W3651" s="71" t="s">
        <v>2272</v>
      </c>
      <c r="X3651" s="71" t="s">
        <v>2272</v>
      </c>
      <c r="Y3651" s="198" t="s">
        <v>187</v>
      </c>
      <c r="Z3651" s="198" t="s">
        <v>423</v>
      </c>
      <c r="AA3651" s="198" t="s">
        <v>2650</v>
      </c>
      <c r="AB3651" s="4" t="s">
        <v>9469</v>
      </c>
      <c r="AC3651" s="198"/>
    </row>
    <row r="3652" spans="1:29" ht="34.5" customHeight="1">
      <c r="A3652" s="151" t="str">
        <f>'Reported burning'!A3652</f>
        <v>394b</v>
      </c>
      <c r="B3652" s="151" t="str">
        <f>'Reported burning'!B3652</f>
        <v>394b.1</v>
      </c>
      <c r="C3652" s="151" t="str">
        <f>'Reported burning'!C3652</f>
        <v>Lightning</v>
      </c>
      <c r="D3652" s="151" t="str">
        <f>'Reported burning'!D3652</f>
        <v>ND</v>
      </c>
      <c r="E3652" s="151" t="str">
        <f>'Reported burning'!E3652</f>
        <v>Unoccupied</v>
      </c>
      <c r="F3652" s="151" t="str">
        <f>'Reported burning'!F3652</f>
        <v>ND</v>
      </c>
      <c r="G3652" s="151" t="str">
        <f>'Reported burning'!G3652</f>
        <v>Forest</v>
      </c>
      <c r="H3652" s="151" t="str">
        <f>'Reported burning'!H3652</f>
        <v>Presence</v>
      </c>
      <c r="I3652" s="5"/>
      <c r="J3652" s="71" t="s">
        <v>2272</v>
      </c>
      <c r="K3652" s="71" t="s">
        <v>2272</v>
      </c>
      <c r="L3652" s="71" t="s">
        <v>2272</v>
      </c>
      <c r="M3652" s="71" t="s">
        <v>2272</v>
      </c>
      <c r="N3652" s="71" t="s">
        <v>2272</v>
      </c>
      <c r="O3652" s="71" t="s">
        <v>2272</v>
      </c>
      <c r="P3652" s="71" t="s">
        <v>2272</v>
      </c>
      <c r="Q3652" s="71" t="s">
        <v>2272</v>
      </c>
      <c r="R3652" s="71" t="s">
        <v>2272</v>
      </c>
      <c r="S3652" s="71" t="s">
        <v>2272</v>
      </c>
      <c r="T3652" s="71" t="s">
        <v>2272</v>
      </c>
      <c r="U3652" s="71" t="s">
        <v>2272</v>
      </c>
      <c r="V3652" s="71" t="s">
        <v>2272</v>
      </c>
      <c r="W3652" s="71" t="s">
        <v>2272</v>
      </c>
      <c r="X3652" s="71" t="s">
        <v>2272</v>
      </c>
      <c r="Y3652" s="198" t="s">
        <v>187</v>
      </c>
      <c r="Z3652" s="198" t="s">
        <v>423</v>
      </c>
      <c r="AA3652" s="198" t="s">
        <v>2650</v>
      </c>
      <c r="AB3652" s="198"/>
      <c r="AC3652" s="198"/>
    </row>
    <row r="3653" spans="1:29" ht="34.5" customHeight="1">
      <c r="A3653" s="151" t="str">
        <f>'Reported burning'!A3653</f>
        <v>394c</v>
      </c>
      <c r="B3653" s="151" t="str">
        <f>'Reported burning'!B3653</f>
        <v>394c.1</v>
      </c>
      <c r="C3653" s="151" t="str">
        <f>'Reported burning'!C3653</f>
        <v>Lightning</v>
      </c>
      <c r="D3653" s="151" t="str">
        <f>'Reported burning'!D3653</f>
        <v>ND</v>
      </c>
      <c r="E3653" s="151" t="str">
        <f>'Reported burning'!E3653</f>
        <v>Unoccupied</v>
      </c>
      <c r="F3653" s="151" t="str">
        <f>'Reported burning'!F3653</f>
        <v>ND</v>
      </c>
      <c r="G3653" s="151" t="str">
        <f>'Reported burning'!G3653</f>
        <v>Forest</v>
      </c>
      <c r="H3653" s="151" t="str">
        <f>'Reported burning'!H3653</f>
        <v>Presence</v>
      </c>
      <c r="I3653" s="5"/>
      <c r="J3653" s="71" t="s">
        <v>2272</v>
      </c>
      <c r="K3653" s="71" t="s">
        <v>2272</v>
      </c>
      <c r="L3653" s="71" t="s">
        <v>2272</v>
      </c>
      <c r="M3653" s="71" t="s">
        <v>2272</v>
      </c>
      <c r="N3653" s="71" t="s">
        <v>2272</v>
      </c>
      <c r="O3653" s="71" t="s">
        <v>2272</v>
      </c>
      <c r="P3653" s="71" t="s">
        <v>2272</v>
      </c>
      <c r="Q3653" s="71" t="s">
        <v>2272</v>
      </c>
      <c r="R3653" s="71" t="s">
        <v>2272</v>
      </c>
      <c r="S3653" s="71" t="s">
        <v>2272</v>
      </c>
      <c r="T3653" s="71" t="s">
        <v>2272</v>
      </c>
      <c r="U3653" s="71" t="s">
        <v>2272</v>
      </c>
      <c r="V3653" s="71" t="s">
        <v>2272</v>
      </c>
      <c r="W3653" s="71" t="s">
        <v>2272</v>
      </c>
      <c r="X3653" s="71" t="s">
        <v>2272</v>
      </c>
      <c r="Y3653" s="198" t="s">
        <v>187</v>
      </c>
      <c r="Z3653" s="198" t="s">
        <v>423</v>
      </c>
      <c r="AA3653" s="198" t="s">
        <v>2650</v>
      </c>
      <c r="AB3653" s="198"/>
      <c r="AC3653" s="198"/>
    </row>
    <row r="3654" spans="1:29" ht="34.5" customHeight="1">
      <c r="A3654" s="151" t="str">
        <f>'Reported burning'!A3654</f>
        <v>394d</v>
      </c>
      <c r="B3654" s="151" t="str">
        <f>'Reported burning'!B3654</f>
        <v>394d.1</v>
      </c>
      <c r="C3654" s="151" t="str">
        <f>'Reported burning'!C3654</f>
        <v>Lightning</v>
      </c>
      <c r="D3654" s="151" t="str">
        <f>'Reported burning'!D3654</f>
        <v>ND</v>
      </c>
      <c r="E3654" s="151" t="str">
        <f>'Reported burning'!E3654</f>
        <v>Unoccupied</v>
      </c>
      <c r="F3654" s="151" t="str">
        <f>'Reported burning'!F3654</f>
        <v>ND</v>
      </c>
      <c r="G3654" s="151" t="str">
        <f>'Reported burning'!G3654</f>
        <v>Forest</v>
      </c>
      <c r="H3654" s="151" t="str">
        <f>'Reported burning'!H3654</f>
        <v>Presence</v>
      </c>
      <c r="I3654" s="5"/>
      <c r="J3654" s="71" t="s">
        <v>2272</v>
      </c>
      <c r="K3654" s="71" t="s">
        <v>2272</v>
      </c>
      <c r="L3654" s="71" t="s">
        <v>2272</v>
      </c>
      <c r="M3654" s="71" t="s">
        <v>2272</v>
      </c>
      <c r="N3654" s="71" t="s">
        <v>2272</v>
      </c>
      <c r="O3654" s="71" t="s">
        <v>2272</v>
      </c>
      <c r="P3654" s="71" t="s">
        <v>2272</v>
      </c>
      <c r="Q3654" s="71" t="s">
        <v>2272</v>
      </c>
      <c r="R3654" s="71" t="s">
        <v>2272</v>
      </c>
      <c r="S3654" s="71" t="s">
        <v>2272</v>
      </c>
      <c r="T3654" s="71" t="s">
        <v>2272</v>
      </c>
      <c r="U3654" s="71" t="s">
        <v>2272</v>
      </c>
      <c r="V3654" s="71" t="s">
        <v>2272</v>
      </c>
      <c r="W3654" s="71" t="s">
        <v>2272</v>
      </c>
      <c r="X3654" s="71" t="s">
        <v>2272</v>
      </c>
      <c r="Y3654" s="198" t="s">
        <v>187</v>
      </c>
      <c r="Z3654" s="198" t="s">
        <v>423</v>
      </c>
      <c r="AA3654" s="198" t="s">
        <v>2650</v>
      </c>
      <c r="AB3654" s="198"/>
      <c r="AC3654" s="198"/>
    </row>
    <row r="3655" spans="1:29" ht="34.5" customHeight="1">
      <c r="A3655" s="151" t="str">
        <f>'Reported burning'!A3655</f>
        <v>394e</v>
      </c>
      <c r="B3655" s="151" t="str">
        <f>'Reported burning'!B3655</f>
        <v>394e.1</v>
      </c>
      <c r="C3655" s="151" t="str">
        <f>'Reported burning'!C3655</f>
        <v>Lightning</v>
      </c>
      <c r="D3655" s="151" t="str">
        <f>'Reported burning'!D3655</f>
        <v>ND</v>
      </c>
      <c r="E3655" s="151" t="str">
        <f>'Reported burning'!E3655</f>
        <v>Unoccupied</v>
      </c>
      <c r="F3655" s="151" t="str">
        <f>'Reported burning'!F3655</f>
        <v>ND</v>
      </c>
      <c r="G3655" s="151" t="str">
        <f>'Reported burning'!G3655</f>
        <v>Forest</v>
      </c>
      <c r="H3655" s="151" t="str">
        <f>'Reported burning'!H3655</f>
        <v>Presence</v>
      </c>
      <c r="I3655" s="5"/>
      <c r="J3655" s="71" t="s">
        <v>2272</v>
      </c>
      <c r="K3655" s="71" t="s">
        <v>2272</v>
      </c>
      <c r="L3655" s="71" t="s">
        <v>2272</v>
      </c>
      <c r="M3655" s="71" t="s">
        <v>2272</v>
      </c>
      <c r="N3655" s="71" t="s">
        <v>2272</v>
      </c>
      <c r="O3655" s="71" t="s">
        <v>2272</v>
      </c>
      <c r="P3655" s="71" t="s">
        <v>2272</v>
      </c>
      <c r="Q3655" s="71" t="s">
        <v>2272</v>
      </c>
      <c r="R3655" s="71" t="s">
        <v>2272</v>
      </c>
      <c r="S3655" s="71" t="s">
        <v>2272</v>
      </c>
      <c r="T3655" s="71" t="s">
        <v>2272</v>
      </c>
      <c r="U3655" s="71" t="s">
        <v>2272</v>
      </c>
      <c r="V3655" s="71" t="s">
        <v>2272</v>
      </c>
      <c r="W3655" s="71" t="s">
        <v>2272</v>
      </c>
      <c r="X3655" s="71" t="s">
        <v>2272</v>
      </c>
      <c r="Y3655" s="198" t="s">
        <v>187</v>
      </c>
      <c r="Z3655" s="198" t="s">
        <v>423</v>
      </c>
      <c r="AA3655" s="198" t="s">
        <v>2650</v>
      </c>
      <c r="AB3655" s="198"/>
      <c r="AC3655" s="198"/>
    </row>
    <row r="3656" spans="1:29" ht="35" customHeight="1">
      <c r="A3656" s="151" t="str">
        <f>'Reported burning'!A3656</f>
        <v>395a</v>
      </c>
      <c r="B3656" s="151" t="str">
        <f>'Reported burning'!B3656</f>
        <v>395a.1</v>
      </c>
      <c r="C3656" s="151" t="str">
        <f>'Reported burning'!C3656</f>
        <v>Human, deliberate</v>
      </c>
      <c r="D3656" s="151" t="str">
        <f>'Reported burning'!D3656</f>
        <v>Pyrome management</v>
      </c>
      <c r="E3656" s="151" t="str">
        <f>'Reported burning'!E3656</f>
        <v>Forestry, Industrial</v>
      </c>
      <c r="F3656" s="151" t="str">
        <f>'Reported burning'!F3656</f>
        <v>Grassland</v>
      </c>
      <c r="G3656" s="151" t="str">
        <f>'Reported burning'!G3656</f>
        <v>Grassland</v>
      </c>
      <c r="H3656" s="151" t="str">
        <f>'Reported burning'!H3656</f>
        <v>Presence</v>
      </c>
      <c r="I3656" s="5"/>
      <c r="J3656" s="71" t="s">
        <v>2272</v>
      </c>
      <c r="K3656" s="71" t="s">
        <v>2272</v>
      </c>
      <c r="L3656" s="71" t="s">
        <v>2272</v>
      </c>
      <c r="M3656" s="71" t="s">
        <v>2272</v>
      </c>
      <c r="N3656" s="71" t="s">
        <v>2272</v>
      </c>
      <c r="O3656" s="71" t="s">
        <v>2272</v>
      </c>
      <c r="P3656" s="71" t="s">
        <v>2272</v>
      </c>
      <c r="Q3656" s="71" t="s">
        <v>2272</v>
      </c>
      <c r="R3656" s="71" t="s">
        <v>2272</v>
      </c>
      <c r="S3656" s="71" t="s">
        <v>2272</v>
      </c>
      <c r="T3656" s="71" t="s">
        <v>2272</v>
      </c>
      <c r="U3656" s="71" t="s">
        <v>2272</v>
      </c>
      <c r="V3656" s="71" t="s">
        <v>2272</v>
      </c>
      <c r="W3656" s="71" t="s">
        <v>2272</v>
      </c>
      <c r="X3656" s="71" t="s">
        <v>2272</v>
      </c>
      <c r="Y3656" s="71" t="s">
        <v>2272</v>
      </c>
      <c r="Z3656" s="71" t="s">
        <v>2272</v>
      </c>
      <c r="AA3656" s="71" t="s">
        <v>2272</v>
      </c>
      <c r="AB3656" s="198"/>
      <c r="AC3656" s="198"/>
    </row>
    <row r="3657" spans="1:29" ht="41" customHeight="1">
      <c r="A3657" s="151" t="str">
        <f>'Reported burning'!A3657</f>
        <v>396a</v>
      </c>
      <c r="B3657" s="151" t="str">
        <f>'Reported burning'!B3657</f>
        <v>396a.1</v>
      </c>
      <c r="C3657" s="151" t="str">
        <f>'Reported burning'!C3657</f>
        <v>Human, deliberate</v>
      </c>
      <c r="D3657" s="151" t="str">
        <f>'Reported burning'!D3657</f>
        <v>Land clearance</v>
      </c>
      <c r="E3657" s="151" t="str">
        <f>'Reported burning'!E3657</f>
        <v>Cropping, Monoculture, Market-oriented</v>
      </c>
      <c r="F3657" s="151" t="str">
        <f>'Reported burning'!F3657</f>
        <v>Secondary vegetation</v>
      </c>
      <c r="G3657" s="151" t="str">
        <f>'Reported burning'!G3657</f>
        <v>Secondary vegetation</v>
      </c>
      <c r="H3657" s="151" t="str">
        <f>'Reported burning'!H3657</f>
        <v>Presence</v>
      </c>
      <c r="I3657" s="5"/>
      <c r="J3657" s="71" t="s">
        <v>2272</v>
      </c>
      <c r="K3657" s="71" t="s">
        <v>2272</v>
      </c>
      <c r="L3657" s="71" t="s">
        <v>2272</v>
      </c>
      <c r="M3657" s="71" t="s">
        <v>2272</v>
      </c>
      <c r="N3657" s="71" t="s">
        <v>2272</v>
      </c>
      <c r="O3657" s="71" t="s">
        <v>2272</v>
      </c>
      <c r="P3657" s="71" t="s">
        <v>2272</v>
      </c>
      <c r="Q3657" s="71" t="s">
        <v>2272</v>
      </c>
      <c r="R3657" s="71" t="s">
        <v>2272</v>
      </c>
      <c r="S3657" s="71" t="s">
        <v>2272</v>
      </c>
      <c r="T3657" s="71" t="s">
        <v>2272</v>
      </c>
      <c r="U3657" s="71" t="s">
        <v>2272</v>
      </c>
      <c r="V3657" s="71" t="s">
        <v>2272</v>
      </c>
      <c r="W3657" s="71" t="s">
        <v>2272</v>
      </c>
      <c r="X3657" s="71" t="s">
        <v>2272</v>
      </c>
      <c r="Y3657" s="71" t="s">
        <v>2272</v>
      </c>
      <c r="Z3657" s="71" t="s">
        <v>2272</v>
      </c>
      <c r="AA3657" s="71" t="s">
        <v>2272</v>
      </c>
      <c r="AB3657" s="198"/>
      <c r="AC3657" s="198"/>
    </row>
    <row r="3658" spans="1:29" ht="48.5" customHeight="1">
      <c r="A3658" s="151" t="str">
        <f>'Reported burning'!A3658</f>
        <v>396b</v>
      </c>
      <c r="B3658" s="151" t="str">
        <f>'Reported burning'!B3658</f>
        <v>396b.1</v>
      </c>
      <c r="C3658" s="151" t="str">
        <f>'Reported burning'!C3658</f>
        <v>Human, deliberate</v>
      </c>
      <c r="D3658" s="151" t="str">
        <f>'Reported burning'!D3658</f>
        <v>Forest clearance</v>
      </c>
      <c r="E3658" s="151" t="str">
        <f>'Reported burning'!E3658</f>
        <v>Cropping, Monoculture, Market-oriented</v>
      </c>
      <c r="F3658" s="151" t="str">
        <f>'Reported burning'!F3658</f>
        <v>Forest</v>
      </c>
      <c r="G3658" s="151" t="str">
        <f>'Reported burning'!G3658</f>
        <v>Forest</v>
      </c>
      <c r="H3658" s="151" t="str">
        <f>'Reported burning'!H3658</f>
        <v>Presence</v>
      </c>
      <c r="I3658" s="5"/>
      <c r="J3658" s="71" t="s">
        <v>2272</v>
      </c>
      <c r="K3658" s="71" t="s">
        <v>2272</v>
      </c>
      <c r="L3658" s="71" t="s">
        <v>2272</v>
      </c>
      <c r="M3658" s="71" t="s">
        <v>2272</v>
      </c>
      <c r="N3658" s="71" t="s">
        <v>2272</v>
      </c>
      <c r="O3658" s="71" t="s">
        <v>2272</v>
      </c>
      <c r="P3658" s="71" t="s">
        <v>2272</v>
      </c>
      <c r="Q3658" s="71" t="s">
        <v>2272</v>
      </c>
      <c r="R3658" s="71" t="s">
        <v>2272</v>
      </c>
      <c r="S3658" s="71" t="s">
        <v>2272</v>
      </c>
      <c r="T3658" s="71" t="s">
        <v>2272</v>
      </c>
      <c r="U3658" s="71" t="s">
        <v>2272</v>
      </c>
      <c r="V3658" s="71" t="s">
        <v>2272</v>
      </c>
      <c r="W3658" s="71" t="s">
        <v>2272</v>
      </c>
      <c r="X3658" s="71" t="s">
        <v>2272</v>
      </c>
      <c r="Y3658" s="71" t="s">
        <v>2272</v>
      </c>
      <c r="Z3658" s="71" t="s">
        <v>2272</v>
      </c>
      <c r="AA3658" s="71" t="s">
        <v>2272</v>
      </c>
      <c r="AB3658" s="198"/>
      <c r="AC3658" s="198"/>
    </row>
    <row r="3659" spans="1:29" ht="48.5" customHeight="1">
      <c r="A3659" s="151" t="str">
        <f>'Reported burning'!A3659</f>
        <v>396b</v>
      </c>
      <c r="B3659" s="151" t="str">
        <f>'Reported burning'!B3659</f>
        <v>396b.2</v>
      </c>
      <c r="C3659" s="151" t="str">
        <f>'Reported burning'!C3659</f>
        <v>Human, deliberate</v>
      </c>
      <c r="D3659" s="151" t="str">
        <f>'Reported burning'!D3659</f>
        <v>Land clearance</v>
      </c>
      <c r="E3659" s="151" t="str">
        <f>'Reported burning'!E3659</f>
        <v>Agroforestry, Market-oriented</v>
      </c>
      <c r="F3659" s="151" t="str">
        <f>'Reported burning'!F3659</f>
        <v>Forest</v>
      </c>
      <c r="G3659" s="151" t="str">
        <f>'Reported burning'!G3659</f>
        <v>Forest</v>
      </c>
      <c r="H3659" s="151" t="str">
        <f>'Reported burning'!H3659</f>
        <v>Presence</v>
      </c>
      <c r="I3659" s="5"/>
      <c r="J3659" s="71" t="s">
        <v>2272</v>
      </c>
      <c r="K3659" s="71" t="s">
        <v>2272</v>
      </c>
      <c r="L3659" s="71" t="s">
        <v>2272</v>
      </c>
      <c r="M3659" s="71" t="s">
        <v>2272</v>
      </c>
      <c r="N3659" s="71" t="s">
        <v>2272</v>
      </c>
      <c r="O3659" s="71" t="s">
        <v>2272</v>
      </c>
      <c r="P3659" s="71" t="s">
        <v>2272</v>
      </c>
      <c r="Q3659" s="71" t="s">
        <v>2272</v>
      </c>
      <c r="R3659" s="71" t="s">
        <v>2272</v>
      </c>
      <c r="S3659" s="71" t="s">
        <v>2272</v>
      </c>
      <c r="T3659" s="71" t="s">
        <v>2272</v>
      </c>
      <c r="U3659" s="71" t="s">
        <v>2272</v>
      </c>
      <c r="V3659" s="71" t="s">
        <v>2272</v>
      </c>
      <c r="W3659" s="71" t="s">
        <v>2272</v>
      </c>
      <c r="X3659" s="71" t="s">
        <v>2272</v>
      </c>
      <c r="Y3659" s="71" t="s">
        <v>2272</v>
      </c>
      <c r="Z3659" s="71" t="s">
        <v>2272</v>
      </c>
      <c r="AA3659" s="71" t="s">
        <v>2272</v>
      </c>
      <c r="AB3659" s="198"/>
      <c r="AC3659" s="198"/>
    </row>
    <row r="3660" spans="1:29" ht="59" customHeight="1">
      <c r="A3660" s="151" t="str">
        <f>'Reported burning'!A3660</f>
        <v>397a</v>
      </c>
      <c r="B3660" s="151" t="str">
        <f>'Reported burning'!B3660</f>
        <v>397a.1</v>
      </c>
      <c r="C3660" s="151" t="str">
        <f>'Reported burning'!C3660</f>
        <v>Human, deliberate</v>
      </c>
      <c r="D3660" s="151" t="str">
        <f>'Reported burning'!D3660</f>
        <v>Forest clearance</v>
      </c>
      <c r="E3660" s="151" t="str">
        <f>'Reported burning'!E3660</f>
        <v>Cropping, Intensive</v>
      </c>
      <c r="F3660" s="151" t="str">
        <f>'Reported burning'!F3660</f>
        <v>Forest</v>
      </c>
      <c r="G3660" s="151" t="str">
        <f>'Reported burning'!G3660</f>
        <v>Forest</v>
      </c>
      <c r="H3660" s="151" t="str">
        <f>'Reported burning'!H3660</f>
        <v>Presence</v>
      </c>
      <c r="I3660" s="5"/>
      <c r="J3660" s="71" t="s">
        <v>2272</v>
      </c>
      <c r="K3660" s="71" t="s">
        <v>2272</v>
      </c>
      <c r="L3660" s="71" t="s">
        <v>2272</v>
      </c>
      <c r="M3660" s="71" t="s">
        <v>2272</v>
      </c>
      <c r="N3660" s="71" t="s">
        <v>2272</v>
      </c>
      <c r="O3660" s="71" t="s">
        <v>2272</v>
      </c>
      <c r="P3660" s="71" t="s">
        <v>2272</v>
      </c>
      <c r="Q3660" s="71" t="s">
        <v>2272</v>
      </c>
      <c r="R3660" s="71" t="s">
        <v>2272</v>
      </c>
      <c r="S3660" s="71" t="s">
        <v>2272</v>
      </c>
      <c r="T3660" s="71" t="s">
        <v>2272</v>
      </c>
      <c r="U3660" s="71" t="s">
        <v>2272</v>
      </c>
      <c r="V3660" s="71" t="s">
        <v>2272</v>
      </c>
      <c r="W3660" s="71" t="s">
        <v>2272</v>
      </c>
      <c r="X3660" s="71" t="s">
        <v>2272</v>
      </c>
      <c r="Y3660" s="71" t="s">
        <v>2272</v>
      </c>
      <c r="Z3660" s="71" t="s">
        <v>2272</v>
      </c>
      <c r="AA3660" s="71" t="s">
        <v>2272</v>
      </c>
      <c r="AB3660" s="19" t="s">
        <v>9495</v>
      </c>
      <c r="AC3660" s="198"/>
    </row>
    <row r="3661" spans="1:29" ht="59" customHeight="1">
      <c r="A3661" s="151" t="str">
        <f>'Reported burning'!A3661</f>
        <v>397a</v>
      </c>
      <c r="B3661" s="151" t="str">
        <f>'Reported burning'!B3661</f>
        <v>397a.2</v>
      </c>
      <c r="C3661" s="151" t="str">
        <f>'Reported burning'!C3661</f>
        <v>Human, deliberate</v>
      </c>
      <c r="D3661" s="151" t="str">
        <f>'Reported burning'!D3661</f>
        <v>Forest clearance</v>
      </c>
      <c r="E3661" s="151" t="str">
        <f>'Reported burning'!E3660</f>
        <v>Cropping, Intensive</v>
      </c>
      <c r="F3661" s="151" t="str">
        <f>'Reported burning'!F3661</f>
        <v>Forest</v>
      </c>
      <c r="G3661" s="151" t="str">
        <f>'Reported burning'!G3661</f>
        <v>Forest</v>
      </c>
      <c r="H3661" s="151" t="str">
        <f>'Reported burning'!H3661</f>
        <v>Presence</v>
      </c>
      <c r="I3661" s="5"/>
      <c r="J3661" s="71" t="s">
        <v>2272</v>
      </c>
      <c r="K3661" s="71" t="s">
        <v>2272</v>
      </c>
      <c r="L3661" s="71" t="s">
        <v>2272</v>
      </c>
      <c r="M3661" s="71" t="s">
        <v>2272</v>
      </c>
      <c r="N3661" s="71" t="s">
        <v>2272</v>
      </c>
      <c r="O3661" s="71" t="s">
        <v>2272</v>
      </c>
      <c r="P3661" s="71" t="s">
        <v>2272</v>
      </c>
      <c r="Q3661" s="71" t="s">
        <v>2272</v>
      </c>
      <c r="R3661" s="71" t="s">
        <v>2272</v>
      </c>
      <c r="S3661" s="71" t="s">
        <v>2272</v>
      </c>
      <c r="T3661" s="71" t="s">
        <v>2272</v>
      </c>
      <c r="U3661" s="71" t="s">
        <v>2272</v>
      </c>
      <c r="V3661" s="71" t="s">
        <v>2272</v>
      </c>
      <c r="W3661" s="71" t="s">
        <v>2272</v>
      </c>
      <c r="X3661" s="71" t="s">
        <v>2272</v>
      </c>
      <c r="Y3661" s="71" t="s">
        <v>2272</v>
      </c>
      <c r="Z3661" s="71" t="s">
        <v>2272</v>
      </c>
      <c r="AA3661" s="71" t="s">
        <v>2272</v>
      </c>
      <c r="AB3661" s="19" t="s">
        <v>9495</v>
      </c>
      <c r="AC3661" s="198"/>
    </row>
    <row r="3662" spans="1:29" ht="59" customHeight="1">
      <c r="A3662" s="151" t="str">
        <f>'Reported burning'!A3662</f>
        <v>397a</v>
      </c>
      <c r="B3662" s="151" t="str">
        <f>'Reported burning'!B3662</f>
        <v>397a.3</v>
      </c>
      <c r="C3662" s="151" t="str">
        <f>'Reported burning'!C3662</f>
        <v>Human, deliberate</v>
      </c>
      <c r="D3662" s="151" t="str">
        <f>'Reported burning'!D3662</f>
        <v>Crop field preparation</v>
      </c>
      <c r="E3662" s="151" t="str">
        <f>'Reported burning'!E3662</f>
        <v>Cropping, Swidden</v>
      </c>
      <c r="F3662" s="151" t="str">
        <f>'Reported burning'!F3662</f>
        <v>Forest</v>
      </c>
      <c r="G3662" s="151" t="str">
        <f>'Reported burning'!G3662</f>
        <v>Forest</v>
      </c>
      <c r="H3662" s="151" t="str">
        <f>'Reported burning'!H3662</f>
        <v>Presence</v>
      </c>
      <c r="I3662" s="5"/>
      <c r="J3662" s="71" t="s">
        <v>2272</v>
      </c>
      <c r="K3662" s="71" t="s">
        <v>2272</v>
      </c>
      <c r="L3662" s="71" t="s">
        <v>2272</v>
      </c>
      <c r="M3662" s="71" t="s">
        <v>2272</v>
      </c>
      <c r="N3662" s="71" t="s">
        <v>2272</v>
      </c>
      <c r="O3662" s="71" t="s">
        <v>2272</v>
      </c>
      <c r="P3662" s="71" t="s">
        <v>2272</v>
      </c>
      <c r="Q3662" s="71" t="s">
        <v>2272</v>
      </c>
      <c r="R3662" s="71" t="s">
        <v>2272</v>
      </c>
      <c r="S3662" s="71" t="s">
        <v>2272</v>
      </c>
      <c r="T3662" s="71" t="s">
        <v>2272</v>
      </c>
      <c r="U3662" s="71" t="s">
        <v>2272</v>
      </c>
      <c r="V3662" s="71" t="s">
        <v>2272</v>
      </c>
      <c r="W3662" s="71" t="s">
        <v>2272</v>
      </c>
      <c r="X3662" s="71" t="s">
        <v>2272</v>
      </c>
      <c r="Y3662" s="71" t="s">
        <v>2272</v>
      </c>
      <c r="Z3662" s="71" t="s">
        <v>2272</v>
      </c>
      <c r="AA3662" s="71" t="s">
        <v>2272</v>
      </c>
      <c r="AB3662" s="19" t="s">
        <v>9495</v>
      </c>
      <c r="AC3662" s="198"/>
    </row>
    <row r="3663" spans="1:29" ht="59" customHeight="1">
      <c r="A3663" s="151" t="str">
        <f>'Reported burning'!A3663</f>
        <v>397b</v>
      </c>
      <c r="B3663" s="151" t="str">
        <f>'Reported burning'!B3663</f>
        <v>397b.1</v>
      </c>
      <c r="C3663" s="151" t="str">
        <f>'Reported burning'!C3663</f>
        <v>Human, deliberate</v>
      </c>
      <c r="D3663" s="151" t="str">
        <f>'Reported burning'!D3663</f>
        <v>Forest clearance</v>
      </c>
      <c r="E3663" s="151" t="str">
        <f>'Reported burning'!E3663</f>
        <v>Cropping, Intensive</v>
      </c>
      <c r="F3663" s="151" t="str">
        <f>'Reported burning'!F3663</f>
        <v>Forest</v>
      </c>
      <c r="G3663" s="151" t="str">
        <f>'Reported burning'!G3663</f>
        <v>Forest</v>
      </c>
      <c r="H3663" s="151" t="str">
        <f>'Reported burning'!H3663</f>
        <v>Presence</v>
      </c>
      <c r="I3663" s="5"/>
      <c r="J3663" s="71" t="s">
        <v>2272</v>
      </c>
      <c r="K3663" s="71" t="s">
        <v>2272</v>
      </c>
      <c r="L3663" s="71" t="s">
        <v>2272</v>
      </c>
      <c r="M3663" s="71" t="s">
        <v>2272</v>
      </c>
      <c r="N3663" s="71" t="s">
        <v>2272</v>
      </c>
      <c r="O3663" s="71" t="s">
        <v>2272</v>
      </c>
      <c r="P3663" s="71" t="s">
        <v>2272</v>
      </c>
      <c r="Q3663" s="71" t="s">
        <v>2272</v>
      </c>
      <c r="R3663" s="71" t="s">
        <v>2272</v>
      </c>
      <c r="S3663" s="71" t="s">
        <v>2272</v>
      </c>
      <c r="T3663" s="71" t="s">
        <v>2272</v>
      </c>
      <c r="U3663" s="71" t="s">
        <v>2272</v>
      </c>
      <c r="V3663" s="71" t="s">
        <v>2272</v>
      </c>
      <c r="W3663" s="71" t="s">
        <v>2272</v>
      </c>
      <c r="X3663" s="71" t="s">
        <v>2272</v>
      </c>
      <c r="Y3663" s="71" t="s">
        <v>2272</v>
      </c>
      <c r="Z3663" s="71" t="s">
        <v>2272</v>
      </c>
      <c r="AA3663" s="71" t="s">
        <v>2272</v>
      </c>
      <c r="AB3663" s="19" t="s">
        <v>9495</v>
      </c>
      <c r="AC3663" s="198"/>
    </row>
    <row r="3664" spans="1:29" ht="59" customHeight="1">
      <c r="A3664" s="151" t="str">
        <f>'Reported burning'!A3664</f>
        <v>397b</v>
      </c>
      <c r="B3664" s="151" t="str">
        <f>'Reported burning'!B3664</f>
        <v>397b.2</v>
      </c>
      <c r="C3664" s="151" t="str">
        <f>'Reported burning'!C3664</f>
        <v>Human, deliberate</v>
      </c>
      <c r="D3664" s="151" t="str">
        <f>'Reported burning'!D3664</f>
        <v>Forest clearance</v>
      </c>
      <c r="E3664" s="151" t="str">
        <f>'Reported burning'!E3664</f>
        <v>Cropping, Monoculture, Market-oriented</v>
      </c>
      <c r="F3664" s="151" t="str">
        <f>'Reported burning'!F3664</f>
        <v>Forest</v>
      </c>
      <c r="G3664" s="151" t="str">
        <f>'Reported burning'!G3664</f>
        <v>Forest</v>
      </c>
      <c r="H3664" s="151" t="str">
        <f>'Reported burning'!H3664</f>
        <v>Presence</v>
      </c>
      <c r="I3664" s="5"/>
      <c r="J3664" s="71" t="s">
        <v>2272</v>
      </c>
      <c r="K3664" s="71" t="s">
        <v>2272</v>
      </c>
      <c r="L3664" s="71" t="s">
        <v>2272</v>
      </c>
      <c r="M3664" s="71" t="s">
        <v>2272</v>
      </c>
      <c r="N3664" s="71" t="s">
        <v>2272</v>
      </c>
      <c r="O3664" s="71" t="s">
        <v>2272</v>
      </c>
      <c r="P3664" s="71" t="s">
        <v>2272</v>
      </c>
      <c r="Q3664" s="71" t="s">
        <v>2272</v>
      </c>
      <c r="R3664" s="71" t="s">
        <v>2272</v>
      </c>
      <c r="S3664" s="71" t="s">
        <v>2272</v>
      </c>
      <c r="T3664" s="71" t="s">
        <v>2272</v>
      </c>
      <c r="U3664" s="71" t="s">
        <v>2272</v>
      </c>
      <c r="V3664" s="71" t="s">
        <v>2272</v>
      </c>
      <c r="W3664" s="71" t="s">
        <v>2272</v>
      </c>
      <c r="X3664" s="71" t="s">
        <v>2272</v>
      </c>
      <c r="Y3664" s="71" t="s">
        <v>2272</v>
      </c>
      <c r="Z3664" s="71" t="s">
        <v>2272</v>
      </c>
      <c r="AA3664" s="71" t="s">
        <v>2272</v>
      </c>
      <c r="AB3664" s="19" t="s">
        <v>9495</v>
      </c>
      <c r="AC3664" s="198"/>
    </row>
    <row r="3665" spans="1:29" ht="59" customHeight="1">
      <c r="A3665" s="151" t="str">
        <f>'Reported burning'!A3665</f>
        <v>397b</v>
      </c>
      <c r="B3665" s="151" t="str">
        <f>'Reported burning'!B3665</f>
        <v>397b.3</v>
      </c>
      <c r="C3665" s="151" t="str">
        <f>'Reported burning'!C3665</f>
        <v>Human, deliberate</v>
      </c>
      <c r="D3665" s="151" t="str">
        <f>'Reported burning'!D3665</f>
        <v>Crop field preparation</v>
      </c>
      <c r="E3665" s="151" t="str">
        <f>'Reported burning'!E3665</f>
        <v>Cropping, Swidden</v>
      </c>
      <c r="F3665" s="151" t="str">
        <f>'Reported burning'!F3665</f>
        <v>Forest</v>
      </c>
      <c r="G3665" s="151" t="str">
        <f>'Reported burning'!G3665</f>
        <v>Forest</v>
      </c>
      <c r="H3665" s="151" t="str">
        <f>'Reported burning'!H3665</f>
        <v>Presence</v>
      </c>
      <c r="I3665" s="5"/>
      <c r="J3665" s="71" t="s">
        <v>2272</v>
      </c>
      <c r="K3665" s="71" t="s">
        <v>2272</v>
      </c>
      <c r="L3665" s="71" t="s">
        <v>2272</v>
      </c>
      <c r="M3665" s="71" t="s">
        <v>2272</v>
      </c>
      <c r="N3665" s="71" t="s">
        <v>2272</v>
      </c>
      <c r="O3665" s="71" t="s">
        <v>2272</v>
      </c>
      <c r="P3665" s="71" t="s">
        <v>2272</v>
      </c>
      <c r="Q3665" s="71" t="s">
        <v>2272</v>
      </c>
      <c r="R3665" s="71" t="s">
        <v>2272</v>
      </c>
      <c r="S3665" s="71" t="s">
        <v>2272</v>
      </c>
      <c r="T3665" s="71" t="s">
        <v>2272</v>
      </c>
      <c r="U3665" s="71" t="s">
        <v>2272</v>
      </c>
      <c r="V3665" s="71" t="s">
        <v>2272</v>
      </c>
      <c r="W3665" s="71" t="s">
        <v>2272</v>
      </c>
      <c r="X3665" s="71" t="s">
        <v>2272</v>
      </c>
      <c r="Y3665" s="71" t="s">
        <v>2272</v>
      </c>
      <c r="Z3665" s="71" t="s">
        <v>2272</v>
      </c>
      <c r="AA3665" s="71" t="s">
        <v>2272</v>
      </c>
      <c r="AB3665" s="19" t="s">
        <v>9495</v>
      </c>
      <c r="AC3665" s="198"/>
    </row>
    <row r="3666" spans="1:29" ht="63.5" customHeight="1">
      <c r="A3666" s="151" t="str">
        <f>'Reported burning'!A3666</f>
        <v>398a</v>
      </c>
      <c r="B3666" s="151" t="str">
        <f>'Reported burning'!B3666</f>
        <v>398a.1</v>
      </c>
      <c r="C3666" s="151" t="str">
        <f>'Reported burning'!C3666</f>
        <v>All</v>
      </c>
      <c r="D3666" s="151" t="str">
        <f>'Reported burning'!D3666</f>
        <v>All</v>
      </c>
      <c r="E3666" s="151" t="str">
        <f>'Reported burning'!E3666</f>
        <v>ND</v>
      </c>
      <c r="F3666" s="151" t="str">
        <f>'Reported burning'!F3666</f>
        <v>ND</v>
      </c>
      <c r="G3666" s="151" t="str">
        <f>'Reported burning'!G3666</f>
        <v>Plantation forest</v>
      </c>
      <c r="H3666" s="151" t="str">
        <f>'Reported burning'!H3666</f>
        <v>Presence</v>
      </c>
      <c r="I3666" s="5"/>
      <c r="J3666" s="71" t="s">
        <v>2272</v>
      </c>
      <c r="K3666" s="71" t="s">
        <v>2272</v>
      </c>
      <c r="L3666" s="71" t="s">
        <v>2272</v>
      </c>
      <c r="M3666" s="71" t="s">
        <v>2272</v>
      </c>
      <c r="N3666" s="71" t="s">
        <v>2272</v>
      </c>
      <c r="O3666" s="71" t="s">
        <v>2272</v>
      </c>
      <c r="P3666" s="71" t="s">
        <v>2272</v>
      </c>
      <c r="Q3666" s="71" t="s">
        <v>2272</v>
      </c>
      <c r="R3666" s="71" t="s">
        <v>2272</v>
      </c>
      <c r="S3666" s="71" t="s">
        <v>2272</v>
      </c>
      <c r="T3666" s="71" t="s">
        <v>2272</v>
      </c>
      <c r="U3666" s="71" t="s">
        <v>2272</v>
      </c>
      <c r="V3666" s="71" t="s">
        <v>2272</v>
      </c>
      <c r="W3666" s="71" t="s">
        <v>2272</v>
      </c>
      <c r="X3666" s="71" t="s">
        <v>2272</v>
      </c>
      <c r="Y3666" s="198" t="s">
        <v>33</v>
      </c>
      <c r="Z3666" s="198" t="s">
        <v>67</v>
      </c>
      <c r="AA3666" s="198" t="s">
        <v>75</v>
      </c>
      <c r="AB3666" s="198"/>
      <c r="AC3666" s="198"/>
    </row>
    <row r="3667" spans="1:29" ht="63.5" customHeight="1">
      <c r="A3667" s="151" t="str">
        <f>'Reported burning'!A3667</f>
        <v>398a</v>
      </c>
      <c r="B3667" s="151" t="str">
        <f>'Reported burning'!B3667</f>
        <v>398a.2</v>
      </c>
      <c r="C3667" s="151" t="str">
        <f>'Reported burning'!C3667</f>
        <v>Human, deliberate</v>
      </c>
      <c r="D3667" s="151" t="str">
        <f>'Reported burning'!D3667</f>
        <v>Arson</v>
      </c>
      <c r="E3667" s="151" t="str">
        <f>'Reported burning'!E3667</f>
        <v>ND</v>
      </c>
      <c r="F3667" s="151" t="str">
        <f>'Reported burning'!F3667</f>
        <v>ND</v>
      </c>
      <c r="G3667" s="151" t="str">
        <f>'Reported burning'!G3667</f>
        <v>Plantation forest</v>
      </c>
      <c r="H3667" s="151" t="str">
        <f>'Reported burning'!H3667</f>
        <v>Presence</v>
      </c>
      <c r="I3667" s="5"/>
      <c r="J3667" s="71" t="s">
        <v>2272</v>
      </c>
      <c r="K3667" s="71" t="s">
        <v>2272</v>
      </c>
      <c r="L3667" s="71" t="s">
        <v>2272</v>
      </c>
      <c r="M3667" s="71" t="s">
        <v>2272</v>
      </c>
      <c r="N3667" s="71" t="s">
        <v>2272</v>
      </c>
      <c r="O3667" s="71" t="s">
        <v>2272</v>
      </c>
      <c r="P3667" s="71" t="s">
        <v>2272</v>
      </c>
      <c r="Q3667" s="71" t="s">
        <v>2272</v>
      </c>
      <c r="R3667" s="71" t="s">
        <v>2272</v>
      </c>
      <c r="S3667" s="71" t="s">
        <v>2272</v>
      </c>
      <c r="T3667" s="71" t="s">
        <v>2272</v>
      </c>
      <c r="U3667" s="71" t="s">
        <v>2272</v>
      </c>
      <c r="V3667" s="71" t="s">
        <v>2272</v>
      </c>
      <c r="W3667" s="71" t="s">
        <v>2272</v>
      </c>
      <c r="X3667" s="71" t="s">
        <v>2272</v>
      </c>
      <c r="Y3667" s="198" t="s">
        <v>402</v>
      </c>
      <c r="Z3667" s="198" t="s">
        <v>67</v>
      </c>
      <c r="AA3667" s="198" t="s">
        <v>75</v>
      </c>
      <c r="AB3667" s="198"/>
      <c r="AC3667" s="198"/>
    </row>
    <row r="3668" spans="1:29" ht="63.5" customHeight="1">
      <c r="A3668" s="151" t="str">
        <f>'Reported burning'!A3668</f>
        <v>398a</v>
      </c>
      <c r="B3668" s="151" t="str">
        <f>'Reported burning'!B3668</f>
        <v>398a.3</v>
      </c>
      <c r="C3668" s="151" t="str">
        <f>'Reported burning'!C3668</f>
        <v>Human, escaped</v>
      </c>
      <c r="D3668" s="151" t="str">
        <f>'Reported burning'!D3668</f>
        <v>Pasture renewal</v>
      </c>
      <c r="E3668" s="151" t="str">
        <f>'Reported burning'!E3668</f>
        <v>Cattle, Extensive</v>
      </c>
      <c r="F3668" s="151" t="str">
        <f>'Reported burning'!F3668</f>
        <v>Grassland</v>
      </c>
      <c r="G3668" s="151" t="str">
        <f>'Reported burning'!G3668</f>
        <v>Plantation forest</v>
      </c>
      <c r="H3668" s="151" t="str">
        <f>'Reported burning'!H3668</f>
        <v>Presence</v>
      </c>
      <c r="I3668" s="5"/>
      <c r="J3668" s="71" t="s">
        <v>2272</v>
      </c>
      <c r="K3668" s="71" t="s">
        <v>2272</v>
      </c>
      <c r="L3668" s="71" t="s">
        <v>2272</v>
      </c>
      <c r="M3668" s="71" t="s">
        <v>2272</v>
      </c>
      <c r="N3668" s="71" t="s">
        <v>2272</v>
      </c>
      <c r="O3668" s="71" t="s">
        <v>2272</v>
      </c>
      <c r="P3668" s="71" t="s">
        <v>2272</v>
      </c>
      <c r="Q3668" s="71" t="s">
        <v>2272</v>
      </c>
      <c r="R3668" s="71" t="s">
        <v>2272</v>
      </c>
      <c r="S3668" s="71" t="s">
        <v>2272</v>
      </c>
      <c r="T3668" s="71" t="s">
        <v>2272</v>
      </c>
      <c r="U3668" s="71" t="s">
        <v>2272</v>
      </c>
      <c r="V3668" s="71" t="s">
        <v>2272</v>
      </c>
      <c r="W3668" s="71" t="s">
        <v>2272</v>
      </c>
      <c r="X3668" s="71" t="s">
        <v>2272</v>
      </c>
      <c r="Y3668" s="71" t="s">
        <v>2272</v>
      </c>
      <c r="Z3668" s="71" t="s">
        <v>2272</v>
      </c>
      <c r="AA3668" s="71" t="s">
        <v>2272</v>
      </c>
      <c r="AB3668" s="198"/>
      <c r="AC3668" s="198"/>
    </row>
    <row r="3669" spans="1:29" ht="63.5" customHeight="1">
      <c r="A3669" s="151" t="str">
        <f>'Reported burning'!A3669</f>
        <v>398a</v>
      </c>
      <c r="B3669" s="151" t="str">
        <f>'Reported burning'!B3669</f>
        <v>398a.4</v>
      </c>
      <c r="C3669" s="151" t="str">
        <f>'Reported burning'!C3669</f>
        <v>Human, escaped</v>
      </c>
      <c r="D3669" s="151" t="str">
        <f>'Reported burning'!D3669</f>
        <v>Crop field preparation</v>
      </c>
      <c r="E3669" s="151" t="str">
        <f>'Reported burning'!E3669</f>
        <v>Cropping, Swidden</v>
      </c>
      <c r="F3669" s="151" t="str">
        <f>'Reported burning'!F3669</f>
        <v>Secondary vegetation</v>
      </c>
      <c r="G3669" s="151" t="str">
        <f>'Reported burning'!G3669</f>
        <v>Plantation forest</v>
      </c>
      <c r="H3669" s="151" t="str">
        <f>'Reported burning'!H3669</f>
        <v>Presence</v>
      </c>
      <c r="I3669" s="5"/>
      <c r="J3669" s="71" t="s">
        <v>2272</v>
      </c>
      <c r="K3669" s="71" t="s">
        <v>2272</v>
      </c>
      <c r="L3669" s="71" t="s">
        <v>2272</v>
      </c>
      <c r="M3669" s="71" t="s">
        <v>2272</v>
      </c>
      <c r="N3669" s="71" t="s">
        <v>2272</v>
      </c>
      <c r="O3669" s="71" t="s">
        <v>2272</v>
      </c>
      <c r="P3669" s="71" t="s">
        <v>2272</v>
      </c>
      <c r="Q3669" s="71" t="s">
        <v>2272</v>
      </c>
      <c r="R3669" s="71" t="s">
        <v>2272</v>
      </c>
      <c r="S3669" s="71" t="s">
        <v>2272</v>
      </c>
      <c r="T3669" s="71" t="s">
        <v>2272</v>
      </c>
      <c r="U3669" s="71" t="s">
        <v>2272</v>
      </c>
      <c r="V3669" s="71" t="s">
        <v>2272</v>
      </c>
      <c r="W3669" s="71" t="s">
        <v>2272</v>
      </c>
      <c r="X3669" s="71" t="s">
        <v>2272</v>
      </c>
      <c r="Y3669" s="71" t="s">
        <v>2272</v>
      </c>
      <c r="Z3669" s="71" t="s">
        <v>2272</v>
      </c>
      <c r="AA3669" s="71" t="s">
        <v>2272</v>
      </c>
      <c r="AB3669" s="198"/>
      <c r="AC3669" s="4" t="s">
        <v>9513</v>
      </c>
    </row>
    <row r="3670" spans="1:29" ht="63.5" customHeight="1">
      <c r="A3670" s="151" t="str">
        <f>'Reported burning'!A3670</f>
        <v>398a</v>
      </c>
      <c r="B3670" s="151" t="str">
        <f>'Reported burning'!B3670</f>
        <v>398a.5</v>
      </c>
      <c r="C3670" s="151" t="str">
        <f>'Reported burning'!C3670</f>
        <v>Human, escaped</v>
      </c>
      <c r="D3670" s="151" t="str">
        <f>'Reported burning'!D3670</f>
        <v>Crop residue burning</v>
      </c>
      <c r="E3670" s="151" t="str">
        <f>'Reported burning'!E3670</f>
        <v>Cropping, Swidden</v>
      </c>
      <c r="F3670" s="151" t="str">
        <f>'Reported burning'!F3670</f>
        <v>Cropland</v>
      </c>
      <c r="G3670" s="151" t="str">
        <f>'Reported burning'!G3670</f>
        <v>Plantation forest</v>
      </c>
      <c r="H3670" s="151" t="str">
        <f>'Reported burning'!H3670</f>
        <v>Presence</v>
      </c>
      <c r="I3670" s="5"/>
      <c r="J3670" s="71" t="s">
        <v>2272</v>
      </c>
      <c r="K3670" s="71" t="s">
        <v>2272</v>
      </c>
      <c r="L3670" s="71" t="s">
        <v>2272</v>
      </c>
      <c r="M3670" s="71" t="s">
        <v>2272</v>
      </c>
      <c r="N3670" s="71" t="s">
        <v>2272</v>
      </c>
      <c r="O3670" s="71" t="s">
        <v>2272</v>
      </c>
      <c r="P3670" s="71" t="s">
        <v>2272</v>
      </c>
      <c r="Q3670" s="71" t="s">
        <v>2272</v>
      </c>
      <c r="R3670" s="71" t="s">
        <v>2272</v>
      </c>
      <c r="S3670" s="71" t="s">
        <v>2272</v>
      </c>
      <c r="T3670" s="71" t="s">
        <v>2272</v>
      </c>
      <c r="U3670" s="71" t="s">
        <v>2272</v>
      </c>
      <c r="V3670" s="71" t="s">
        <v>2272</v>
      </c>
      <c r="W3670" s="71" t="s">
        <v>2272</v>
      </c>
      <c r="X3670" s="71" t="s">
        <v>2272</v>
      </c>
      <c r="Y3670" s="71" t="s">
        <v>2272</v>
      </c>
      <c r="Z3670" s="71" t="s">
        <v>2272</v>
      </c>
      <c r="AA3670" s="71" t="s">
        <v>2272</v>
      </c>
      <c r="AB3670" s="198"/>
      <c r="AC3670" s="4" t="s">
        <v>9513</v>
      </c>
    </row>
    <row r="3671" spans="1:29" ht="63.5" customHeight="1">
      <c r="A3671" s="151" t="str">
        <f>'Reported burning'!A3671</f>
        <v>398a</v>
      </c>
      <c r="B3671" s="151" t="str">
        <f>'Reported burning'!B3671</f>
        <v>398a.6</v>
      </c>
      <c r="C3671" s="151" t="str">
        <f>'Reported burning'!C3671</f>
        <v>Human, escaped</v>
      </c>
      <c r="D3671" s="151" t="str">
        <f>'Reported burning'!D3671</f>
        <v>Hunting</v>
      </c>
      <c r="E3671" s="151" t="str">
        <f>'Reported burning'!E3671</f>
        <v>Forestry, Traditional</v>
      </c>
      <c r="F3671" s="151" t="str">
        <f>'Reported burning'!F3671</f>
        <v>ND</v>
      </c>
      <c r="G3671" s="151" t="str">
        <f>'Reported burning'!G3671</f>
        <v>Plantation forest</v>
      </c>
      <c r="H3671" s="151" t="str">
        <f>'Reported burning'!H3671</f>
        <v>Presence</v>
      </c>
      <c r="I3671" s="5"/>
      <c r="J3671" s="71" t="s">
        <v>2272</v>
      </c>
      <c r="K3671" s="71" t="s">
        <v>2272</v>
      </c>
      <c r="L3671" s="71" t="s">
        <v>2272</v>
      </c>
      <c r="M3671" s="71" t="s">
        <v>2272</v>
      </c>
      <c r="N3671" s="71" t="s">
        <v>2272</v>
      </c>
      <c r="O3671" s="71" t="s">
        <v>2272</v>
      </c>
      <c r="P3671" s="71" t="s">
        <v>2272</v>
      </c>
      <c r="Q3671" s="71" t="s">
        <v>2272</v>
      </c>
      <c r="R3671" s="71" t="s">
        <v>2272</v>
      </c>
      <c r="S3671" s="71" t="s">
        <v>2272</v>
      </c>
      <c r="T3671" s="71" t="s">
        <v>2272</v>
      </c>
      <c r="U3671" s="71" t="s">
        <v>2272</v>
      </c>
      <c r="V3671" s="71" t="s">
        <v>2272</v>
      </c>
      <c r="W3671" s="71" t="s">
        <v>2272</v>
      </c>
      <c r="X3671" s="71" t="s">
        <v>2272</v>
      </c>
      <c r="Y3671" s="71" t="s">
        <v>2272</v>
      </c>
      <c r="Z3671" s="71" t="s">
        <v>2272</v>
      </c>
      <c r="AA3671" s="71" t="s">
        <v>2272</v>
      </c>
      <c r="AB3671" s="198"/>
      <c r="AC3671" s="198"/>
    </row>
    <row r="3672" spans="1:29" ht="63.5" customHeight="1">
      <c r="A3672" s="151" t="str">
        <f>'Reported burning'!A3672</f>
        <v>398a</v>
      </c>
      <c r="B3672" s="151" t="str">
        <f>'Reported burning'!B3672</f>
        <v>398a.7</v>
      </c>
      <c r="C3672" s="151" t="str">
        <f>'Reported burning'!C3672</f>
        <v>Human, escaped</v>
      </c>
      <c r="D3672" s="151" t="str">
        <f>'Reported burning'!D3672</f>
        <v>Charcoal production</v>
      </c>
      <c r="E3672" s="151" t="str">
        <f>'Reported burning'!E3672</f>
        <v>Forestry, Small-scale</v>
      </c>
      <c r="F3672" s="151" t="str">
        <f>'Reported burning'!F3672</f>
        <v>ND</v>
      </c>
      <c r="G3672" s="151" t="str">
        <f>'Reported burning'!G3672</f>
        <v>Plantation forest</v>
      </c>
      <c r="H3672" s="151" t="str">
        <f>'Reported burning'!H3672</f>
        <v>Presence</v>
      </c>
      <c r="I3672" s="5"/>
      <c r="J3672" s="71" t="s">
        <v>2272</v>
      </c>
      <c r="K3672" s="71" t="s">
        <v>2272</v>
      </c>
      <c r="L3672" s="71" t="s">
        <v>2272</v>
      </c>
      <c r="M3672" s="71" t="s">
        <v>2272</v>
      </c>
      <c r="N3672" s="71" t="s">
        <v>2272</v>
      </c>
      <c r="O3672" s="71" t="s">
        <v>2272</v>
      </c>
      <c r="P3672" s="71" t="s">
        <v>2272</v>
      </c>
      <c r="Q3672" s="71" t="s">
        <v>2272</v>
      </c>
      <c r="R3672" s="71" t="s">
        <v>2272</v>
      </c>
      <c r="S3672" s="71" t="s">
        <v>2272</v>
      </c>
      <c r="T3672" s="71" t="s">
        <v>2272</v>
      </c>
      <c r="U3672" s="71" t="s">
        <v>2272</v>
      </c>
      <c r="V3672" s="71" t="s">
        <v>2272</v>
      </c>
      <c r="W3672" s="71" t="s">
        <v>2272</v>
      </c>
      <c r="X3672" s="71" t="s">
        <v>2272</v>
      </c>
      <c r="Y3672" s="71" t="s">
        <v>2272</v>
      </c>
      <c r="Z3672" s="71" t="s">
        <v>2272</v>
      </c>
      <c r="AA3672" s="71" t="s">
        <v>2272</v>
      </c>
      <c r="AB3672" s="198"/>
      <c r="AC3672" s="198"/>
    </row>
    <row r="3673" spans="1:29" ht="63.5" customHeight="1">
      <c r="A3673" s="151" t="str">
        <f>'Reported burning'!A3673</f>
        <v>398a</v>
      </c>
      <c r="B3673" s="151" t="str">
        <f>'Reported burning'!B3673</f>
        <v>398a.8</v>
      </c>
      <c r="C3673" s="151" t="str">
        <f>'Reported burning'!C3673</f>
        <v>Human, escaped</v>
      </c>
      <c r="D3673" s="151" t="str">
        <f>'Reported burning'!D3673</f>
        <v>Forest management</v>
      </c>
      <c r="E3673" s="151" t="str">
        <f>'Reported burning'!E3673</f>
        <v>Forestry, Industrial</v>
      </c>
      <c r="F3673" s="151" t="str">
        <f>'Reported burning'!F3673</f>
        <v>Plantation forest</v>
      </c>
      <c r="G3673" s="151" t="str">
        <f>'Reported burning'!G3673</f>
        <v>Plantation forest</v>
      </c>
      <c r="H3673" s="151" t="str">
        <f>'Reported burning'!H3673</f>
        <v>Presence</v>
      </c>
      <c r="I3673" s="5"/>
      <c r="J3673" s="71" t="s">
        <v>2272</v>
      </c>
      <c r="K3673" s="71" t="s">
        <v>2272</v>
      </c>
      <c r="L3673" s="71" t="s">
        <v>2272</v>
      </c>
      <c r="M3673" s="71" t="s">
        <v>2272</v>
      </c>
      <c r="N3673" s="71" t="s">
        <v>2272</v>
      </c>
      <c r="O3673" s="71" t="s">
        <v>2272</v>
      </c>
      <c r="P3673" s="71" t="s">
        <v>2272</v>
      </c>
      <c r="Q3673" s="71" t="s">
        <v>2272</v>
      </c>
      <c r="R3673" s="71" t="s">
        <v>2272</v>
      </c>
      <c r="S3673" s="71" t="s">
        <v>2272</v>
      </c>
      <c r="T3673" s="71" t="s">
        <v>2272</v>
      </c>
      <c r="U3673" s="71" t="s">
        <v>2272</v>
      </c>
      <c r="V3673" s="71" t="s">
        <v>2272</v>
      </c>
      <c r="W3673" s="71" t="s">
        <v>2272</v>
      </c>
      <c r="X3673" s="71" t="s">
        <v>2272</v>
      </c>
      <c r="Y3673" s="71" t="s">
        <v>2272</v>
      </c>
      <c r="Z3673" s="71" t="s">
        <v>2272</v>
      </c>
      <c r="AA3673" s="71" t="s">
        <v>2272</v>
      </c>
      <c r="AB3673" s="198"/>
      <c r="AC3673" s="198"/>
    </row>
    <row r="3674" spans="1:29" ht="63.5" customHeight="1">
      <c r="A3674" s="151" t="str">
        <f>'Reported burning'!A3674</f>
        <v>399a</v>
      </c>
      <c r="B3674" s="151" t="str">
        <f>'Reported burning'!B3674</f>
        <v>399a.1</v>
      </c>
      <c r="C3674" s="151" t="str">
        <f>'Reported burning'!C3674</f>
        <v>All</v>
      </c>
      <c r="D3674" s="151" t="str">
        <f>'Reported burning'!D3674</f>
        <v>ND</v>
      </c>
      <c r="E3674" s="151" t="str">
        <f>'Reported burning'!E3674</f>
        <v>ND</v>
      </c>
      <c r="F3674" s="151" t="str">
        <f>'Reported burning'!F3674</f>
        <v>ND</v>
      </c>
      <c r="G3674" s="151" t="str">
        <f>'Reported burning'!G3674</f>
        <v>Plantation forest</v>
      </c>
      <c r="H3674" s="151" t="str">
        <f>'Reported burning'!H3674</f>
        <v>Presence</v>
      </c>
      <c r="I3674" s="5"/>
      <c r="J3674" s="71" t="s">
        <v>2272</v>
      </c>
      <c r="K3674" s="71" t="s">
        <v>2272</v>
      </c>
      <c r="L3674" s="71" t="s">
        <v>2272</v>
      </c>
      <c r="M3674" s="71" t="s">
        <v>2272</v>
      </c>
      <c r="N3674" s="71" t="s">
        <v>2272</v>
      </c>
      <c r="O3674" s="71" t="s">
        <v>2272</v>
      </c>
      <c r="P3674" s="71" t="s">
        <v>2272</v>
      </c>
      <c r="Q3674" s="71" t="s">
        <v>2272</v>
      </c>
      <c r="R3674" s="71" t="s">
        <v>2272</v>
      </c>
      <c r="S3674" s="71" t="s">
        <v>2272</v>
      </c>
      <c r="T3674" s="71" t="s">
        <v>2272</v>
      </c>
      <c r="U3674" s="71" t="s">
        <v>2272</v>
      </c>
      <c r="V3674" s="71" t="s">
        <v>2272</v>
      </c>
      <c r="W3674" s="71" t="s">
        <v>2272</v>
      </c>
      <c r="X3674" s="71" t="s">
        <v>2272</v>
      </c>
      <c r="Y3674" s="71" t="s">
        <v>2272</v>
      </c>
      <c r="Z3674" s="71" t="s">
        <v>2272</v>
      </c>
      <c r="AA3674" s="71" t="s">
        <v>2272</v>
      </c>
      <c r="AB3674" s="198"/>
      <c r="AC3674" s="198"/>
    </row>
    <row r="3675" spans="1:29" ht="47.5" customHeight="1">
      <c r="A3675" s="151" t="str">
        <f>'Reported burning'!A3675</f>
        <v>399a</v>
      </c>
      <c r="B3675" s="151" t="str">
        <f>'Reported burning'!B3675</f>
        <v>399a.2</v>
      </c>
      <c r="C3675" s="151" t="str">
        <f>'Reported burning'!C3675</f>
        <v>All</v>
      </c>
      <c r="D3675" s="151" t="str">
        <f>'Reported burning'!D3675</f>
        <v>ND</v>
      </c>
      <c r="E3675" s="151" t="str">
        <f>'Reported burning'!E3675</f>
        <v>ND</v>
      </c>
      <c r="F3675" s="151" t="str">
        <f>'Reported burning'!F3675</f>
        <v>ND</v>
      </c>
      <c r="G3675" s="151" t="str">
        <f>'Reported burning'!G3675</f>
        <v>Cropland</v>
      </c>
      <c r="H3675" s="151" t="str">
        <f>'Reported burning'!H3675</f>
        <v>Presence</v>
      </c>
      <c r="I3675" s="5"/>
      <c r="J3675" s="71" t="s">
        <v>2272</v>
      </c>
      <c r="K3675" s="71" t="s">
        <v>2272</v>
      </c>
      <c r="L3675" s="71" t="s">
        <v>2272</v>
      </c>
      <c r="M3675" s="71" t="s">
        <v>2272</v>
      </c>
      <c r="N3675" s="71" t="s">
        <v>2272</v>
      </c>
      <c r="O3675" s="71" t="s">
        <v>2272</v>
      </c>
      <c r="P3675" s="71" t="s">
        <v>2272</v>
      </c>
      <c r="Q3675" s="71" t="s">
        <v>2272</v>
      </c>
      <c r="R3675" s="71" t="s">
        <v>2272</v>
      </c>
      <c r="S3675" s="71" t="s">
        <v>2272</v>
      </c>
      <c r="T3675" s="71" t="s">
        <v>2272</v>
      </c>
      <c r="U3675" s="71" t="s">
        <v>2272</v>
      </c>
      <c r="V3675" s="71" t="s">
        <v>2272</v>
      </c>
      <c r="W3675" s="71" t="s">
        <v>2272</v>
      </c>
      <c r="X3675" s="71" t="s">
        <v>2272</v>
      </c>
      <c r="Y3675" s="71" t="s">
        <v>2272</v>
      </c>
      <c r="Z3675" s="71" t="s">
        <v>2272</v>
      </c>
      <c r="AA3675" s="71" t="s">
        <v>2272</v>
      </c>
      <c r="AB3675" s="198"/>
      <c r="AC3675" s="198"/>
    </row>
    <row r="3676" spans="1:29" ht="47.5" customHeight="1">
      <c r="A3676" s="151" t="str">
        <f>'Reported burning'!A3676</f>
        <v>399a</v>
      </c>
      <c r="B3676" s="151" t="str">
        <f>'Reported burning'!B3676</f>
        <v>399a.3</v>
      </c>
      <c r="C3676" s="151" t="str">
        <f>'Reported burning'!C3676</f>
        <v>All</v>
      </c>
      <c r="D3676" s="151" t="str">
        <f>'Reported burning'!D3676</f>
        <v>ND</v>
      </c>
      <c r="E3676" s="151" t="str">
        <f>'Reported burning'!E3676</f>
        <v>ND</v>
      </c>
      <c r="F3676" s="151" t="str">
        <f>'Reported burning'!F3676</f>
        <v>ND</v>
      </c>
      <c r="G3676" s="151" t="str">
        <f>'Reported burning'!G3676</f>
        <v>Shrubland (Mixed forest &amp; grassland)</v>
      </c>
      <c r="H3676" s="151" t="str">
        <f>'Reported burning'!H3676</f>
        <v>Presence</v>
      </c>
      <c r="I3676" s="5"/>
      <c r="J3676" s="71" t="s">
        <v>2272</v>
      </c>
      <c r="K3676" s="71" t="s">
        <v>2272</v>
      </c>
      <c r="L3676" s="71" t="s">
        <v>2272</v>
      </c>
      <c r="M3676" s="71" t="s">
        <v>2272</v>
      </c>
      <c r="N3676" s="71" t="s">
        <v>2272</v>
      </c>
      <c r="O3676" s="71" t="s">
        <v>2272</v>
      </c>
      <c r="P3676" s="71" t="s">
        <v>2272</v>
      </c>
      <c r="Q3676" s="71" t="s">
        <v>2272</v>
      </c>
      <c r="R3676" s="71" t="s">
        <v>2272</v>
      </c>
      <c r="S3676" s="71" t="s">
        <v>2272</v>
      </c>
      <c r="T3676" s="71" t="s">
        <v>2272</v>
      </c>
      <c r="U3676" s="71" t="s">
        <v>2272</v>
      </c>
      <c r="V3676" s="71" t="s">
        <v>2272</v>
      </c>
      <c r="W3676" s="71" t="s">
        <v>2272</v>
      </c>
      <c r="X3676" s="71" t="s">
        <v>2272</v>
      </c>
      <c r="Y3676" s="71" t="s">
        <v>2272</v>
      </c>
      <c r="Z3676" s="71" t="s">
        <v>2272</v>
      </c>
      <c r="AA3676" s="71" t="s">
        <v>2272</v>
      </c>
      <c r="AB3676" s="198" t="s">
        <v>9528</v>
      </c>
      <c r="AC3676" s="198"/>
    </row>
    <row r="3677" spans="1:29" ht="47.5" customHeight="1">
      <c r="A3677" s="151" t="str">
        <f>'Reported burning'!A3677</f>
        <v>399a</v>
      </c>
      <c r="B3677" s="151" t="str">
        <f>'Reported burning'!B3677</f>
        <v>399a.4</v>
      </c>
      <c r="C3677" s="151" t="str">
        <f>'Reported burning'!C3677</f>
        <v>All</v>
      </c>
      <c r="D3677" s="151" t="str">
        <f>'Reported burning'!D3677</f>
        <v>ND</v>
      </c>
      <c r="E3677" s="151" t="str">
        <f>'Reported burning'!E3677</f>
        <v>Unoccupied</v>
      </c>
      <c r="F3677" s="151" t="str">
        <f>'Reported burning'!F3677</f>
        <v>ND</v>
      </c>
      <c r="G3677" s="151" t="str">
        <f>'Reported burning'!G3677</f>
        <v>Forest</v>
      </c>
      <c r="H3677" s="151" t="str">
        <f>'Reported burning'!H3677</f>
        <v>Presence</v>
      </c>
      <c r="I3677" s="5"/>
      <c r="J3677" s="71" t="s">
        <v>2272</v>
      </c>
      <c r="K3677" s="71" t="s">
        <v>2272</v>
      </c>
      <c r="L3677" s="71" t="s">
        <v>2272</v>
      </c>
      <c r="M3677" s="71" t="s">
        <v>2272</v>
      </c>
      <c r="N3677" s="71" t="s">
        <v>2272</v>
      </c>
      <c r="O3677" s="71" t="s">
        <v>2272</v>
      </c>
      <c r="P3677" s="71" t="s">
        <v>2272</v>
      </c>
      <c r="Q3677" s="71" t="s">
        <v>2272</v>
      </c>
      <c r="R3677" s="71" t="s">
        <v>2272</v>
      </c>
      <c r="S3677" s="71" t="s">
        <v>2272</v>
      </c>
      <c r="T3677" s="71" t="s">
        <v>2272</v>
      </c>
      <c r="U3677" s="71" t="s">
        <v>2272</v>
      </c>
      <c r="V3677" s="71" t="s">
        <v>2272</v>
      </c>
      <c r="W3677" s="71" t="s">
        <v>2272</v>
      </c>
      <c r="X3677" s="71" t="s">
        <v>2272</v>
      </c>
      <c r="Y3677" s="71" t="s">
        <v>2272</v>
      </c>
      <c r="Z3677" s="71" t="s">
        <v>2272</v>
      </c>
      <c r="AA3677" s="71" t="s">
        <v>2272</v>
      </c>
      <c r="AB3677" s="198"/>
      <c r="AC3677" s="198"/>
    </row>
    <row r="3678" spans="1:29" ht="47.5" customHeight="1">
      <c r="A3678" s="151" t="str">
        <f>'Reported burning'!A3678</f>
        <v>399a</v>
      </c>
      <c r="B3678" s="151" t="str">
        <f>'Reported burning'!B3678</f>
        <v>399a.5</v>
      </c>
      <c r="C3678" s="151" t="str">
        <f>'Reported burning'!C3678</f>
        <v>Human, deliberate</v>
      </c>
      <c r="D3678" s="151" t="str">
        <f>'Reported burning'!D3678</f>
        <v>Forest clearance</v>
      </c>
      <c r="E3678" s="151" t="str">
        <f>'Reported burning'!E3678</f>
        <v>Cropping, Monoculture, Subsistence-oriented</v>
      </c>
      <c r="F3678" s="151" t="str">
        <f>'Reported burning'!F3678</f>
        <v>Forest</v>
      </c>
      <c r="G3678" s="151" t="str">
        <f>'Reported burning'!G3678</f>
        <v>Forest</v>
      </c>
      <c r="H3678" s="151" t="str">
        <f>'Reported burning'!H3678</f>
        <v>Presence</v>
      </c>
      <c r="I3678" s="5"/>
      <c r="J3678" s="71" t="s">
        <v>2272</v>
      </c>
      <c r="K3678" s="71" t="s">
        <v>2272</v>
      </c>
      <c r="L3678" s="71" t="s">
        <v>2272</v>
      </c>
      <c r="M3678" s="71" t="s">
        <v>2272</v>
      </c>
      <c r="N3678" s="71" t="s">
        <v>2272</v>
      </c>
      <c r="O3678" s="71" t="s">
        <v>2272</v>
      </c>
      <c r="P3678" s="71" t="s">
        <v>2272</v>
      </c>
      <c r="Q3678" s="71" t="s">
        <v>2272</v>
      </c>
      <c r="R3678" s="71" t="s">
        <v>2272</v>
      </c>
      <c r="S3678" s="71" t="s">
        <v>2272</v>
      </c>
      <c r="T3678" s="71" t="s">
        <v>2272</v>
      </c>
      <c r="U3678" s="71" t="s">
        <v>2272</v>
      </c>
      <c r="V3678" s="71" t="s">
        <v>2272</v>
      </c>
      <c r="W3678" s="71" t="s">
        <v>2272</v>
      </c>
      <c r="X3678" s="71" t="s">
        <v>2272</v>
      </c>
      <c r="Y3678" s="71" t="s">
        <v>2272</v>
      </c>
      <c r="Z3678" s="71" t="s">
        <v>2272</v>
      </c>
      <c r="AA3678" s="71" t="s">
        <v>2272</v>
      </c>
      <c r="AB3678" s="4" t="s">
        <v>9527</v>
      </c>
      <c r="AC3678" s="198"/>
    </row>
    <row r="3679" spans="1:29" ht="47.5" customHeight="1">
      <c r="A3679" s="151" t="str">
        <f>'Reported burning'!A3679</f>
        <v>399a</v>
      </c>
      <c r="B3679" s="151" t="str">
        <f>'Reported burning'!B3679</f>
        <v>399a.6</v>
      </c>
      <c r="C3679" s="151" t="str">
        <f>'Reported burning'!C3679</f>
        <v>Human, deliberate</v>
      </c>
      <c r="D3679" s="151" t="str">
        <f>'Reported burning'!D3679</f>
        <v>Forest clearance</v>
      </c>
      <c r="E3679" s="151" t="str">
        <f>'Reported burning'!E3679</f>
        <v>Cropping, Intensive</v>
      </c>
      <c r="F3679" s="151" t="str">
        <f>'Reported burning'!F3679</f>
        <v>Forest</v>
      </c>
      <c r="G3679" s="151" t="str">
        <f>'Reported burning'!G3679</f>
        <v>Forest</v>
      </c>
      <c r="H3679" s="151" t="str">
        <f>'Reported burning'!H3679</f>
        <v>Presence</v>
      </c>
      <c r="I3679" s="5"/>
      <c r="J3679" s="71" t="s">
        <v>2272</v>
      </c>
      <c r="K3679" s="71" t="s">
        <v>2272</v>
      </c>
      <c r="L3679" s="71" t="s">
        <v>2272</v>
      </c>
      <c r="M3679" s="71" t="s">
        <v>2272</v>
      </c>
      <c r="N3679" s="71" t="s">
        <v>2272</v>
      </c>
      <c r="O3679" s="71" t="s">
        <v>2272</v>
      </c>
      <c r="P3679" s="71" t="s">
        <v>2272</v>
      </c>
      <c r="Q3679" s="71" t="s">
        <v>2272</v>
      </c>
      <c r="R3679" s="71" t="s">
        <v>2272</v>
      </c>
      <c r="S3679" s="71" t="s">
        <v>2272</v>
      </c>
      <c r="T3679" s="71" t="s">
        <v>2272</v>
      </c>
      <c r="U3679" s="71" t="s">
        <v>2272</v>
      </c>
      <c r="V3679" s="71" t="s">
        <v>2272</v>
      </c>
      <c r="W3679" s="71" t="s">
        <v>2272</v>
      </c>
      <c r="X3679" s="71" t="s">
        <v>2272</v>
      </c>
      <c r="Y3679" s="71" t="s">
        <v>2272</v>
      </c>
      <c r="Z3679" s="71" t="s">
        <v>2272</v>
      </c>
      <c r="AA3679" s="71" t="s">
        <v>2272</v>
      </c>
      <c r="AB3679" s="198"/>
      <c r="AC3679" s="198"/>
    </row>
    <row r="3680" spans="1:29" ht="47.5" customHeight="1">
      <c r="A3680" s="151" t="str">
        <f>'Reported burning'!A3680</f>
        <v>399a</v>
      </c>
      <c r="B3680" s="151" t="str">
        <f>'Reported burning'!B3680</f>
        <v>399a.6</v>
      </c>
      <c r="C3680" s="151" t="str">
        <f>'Reported burning'!C3680</f>
        <v>Human, deliberate</v>
      </c>
      <c r="D3680" s="151" t="str">
        <f>'Reported burning'!D3680</f>
        <v>Arson</v>
      </c>
      <c r="E3680" s="151" t="str">
        <f>'Reported burning'!E3680</f>
        <v>Cropping, Intensive</v>
      </c>
      <c r="F3680" s="151" t="str">
        <f>'Reported burning'!F3680</f>
        <v>Cropland</v>
      </c>
      <c r="G3680" s="151" t="str">
        <f>'Reported burning'!G3680</f>
        <v>Cropland</v>
      </c>
      <c r="H3680" s="151" t="str">
        <f>'Reported burning'!H3680</f>
        <v>Presence</v>
      </c>
      <c r="I3680" s="5"/>
      <c r="J3680" s="71" t="s">
        <v>2272</v>
      </c>
      <c r="K3680" s="71" t="s">
        <v>2272</v>
      </c>
      <c r="L3680" s="71" t="s">
        <v>2272</v>
      </c>
      <c r="M3680" s="71" t="s">
        <v>2272</v>
      </c>
      <c r="N3680" s="71" t="s">
        <v>2272</v>
      </c>
      <c r="O3680" s="71" t="s">
        <v>2272</v>
      </c>
      <c r="P3680" s="71" t="s">
        <v>2272</v>
      </c>
      <c r="Q3680" s="71" t="s">
        <v>2272</v>
      </c>
      <c r="R3680" s="71" t="s">
        <v>2272</v>
      </c>
      <c r="S3680" s="71" t="s">
        <v>2272</v>
      </c>
      <c r="T3680" s="71" t="s">
        <v>2272</v>
      </c>
      <c r="U3680" s="71" t="s">
        <v>2272</v>
      </c>
      <c r="V3680" s="71" t="s">
        <v>2272</v>
      </c>
      <c r="W3680" s="71" t="s">
        <v>2272</v>
      </c>
      <c r="X3680" s="71" t="s">
        <v>2272</v>
      </c>
      <c r="Y3680" s="71" t="s">
        <v>2272</v>
      </c>
      <c r="Z3680" s="71" t="s">
        <v>2272</v>
      </c>
      <c r="AA3680" s="71" t="s">
        <v>2272</v>
      </c>
      <c r="AB3680" s="77" t="s">
        <v>9526</v>
      </c>
      <c r="AC3680" s="198"/>
    </row>
    <row r="3681" spans="1:29" ht="47.5" customHeight="1">
      <c r="A3681" s="151" t="str">
        <f>'Reported burning'!A3681</f>
        <v>399a</v>
      </c>
      <c r="B3681" s="151" t="str">
        <f>'Reported burning'!B3681</f>
        <v>399a.7</v>
      </c>
      <c r="C3681" s="151" t="str">
        <f>'Reported burning'!C3681</f>
        <v>Human, deliberate</v>
      </c>
      <c r="D3681" s="151" t="str">
        <f>'Reported burning'!D3681</f>
        <v>Land clearance</v>
      </c>
      <c r="E3681" s="151" t="str">
        <f>'Reported burning'!E3681</f>
        <v>Cropping, Monoculture, Subsistence-oriented</v>
      </c>
      <c r="F3681" s="151" t="str">
        <f>'Reported burning'!F3681</f>
        <v>Shrubland (Mixed forest &amp; grassland)</v>
      </c>
      <c r="G3681" s="151" t="str">
        <f>'Reported burning'!G3681</f>
        <v>Shrubland (Mixed forest &amp; grassland)</v>
      </c>
      <c r="H3681" s="151" t="str">
        <f>'Reported burning'!H3681</f>
        <v>Presence</v>
      </c>
      <c r="I3681" s="5"/>
      <c r="J3681" s="71" t="s">
        <v>2272</v>
      </c>
      <c r="K3681" s="71" t="s">
        <v>2272</v>
      </c>
      <c r="L3681" s="71" t="s">
        <v>2272</v>
      </c>
      <c r="M3681" s="71" t="s">
        <v>2272</v>
      </c>
      <c r="N3681" s="71" t="s">
        <v>2272</v>
      </c>
      <c r="O3681" s="71" t="s">
        <v>2272</v>
      </c>
      <c r="P3681" s="71" t="s">
        <v>2272</v>
      </c>
      <c r="Q3681" s="71" t="s">
        <v>2272</v>
      </c>
      <c r="R3681" s="71" t="s">
        <v>2272</v>
      </c>
      <c r="S3681" s="71" t="s">
        <v>2272</v>
      </c>
      <c r="T3681" s="71" t="s">
        <v>2272</v>
      </c>
      <c r="U3681" s="71" t="s">
        <v>2272</v>
      </c>
      <c r="V3681" s="71" t="s">
        <v>2272</v>
      </c>
      <c r="W3681" s="71" t="s">
        <v>2272</v>
      </c>
      <c r="X3681" s="71" t="s">
        <v>2272</v>
      </c>
      <c r="Y3681" s="71" t="s">
        <v>2272</v>
      </c>
      <c r="Z3681" s="71" t="s">
        <v>2272</v>
      </c>
      <c r="AA3681" s="71" t="s">
        <v>2272</v>
      </c>
      <c r="AB3681" s="4" t="s">
        <v>9530</v>
      </c>
      <c r="AC3681" s="198"/>
    </row>
    <row r="3682" spans="1:29" ht="47.5" customHeight="1">
      <c r="A3682" s="151" t="str">
        <f>'Reported burning'!A3682</f>
        <v>400a</v>
      </c>
      <c r="B3682" s="151" t="str">
        <f>'Reported burning'!B3682</f>
        <v>400a.1</v>
      </c>
      <c r="C3682" s="151" t="str">
        <f>'Reported burning'!C3682</f>
        <v>All</v>
      </c>
      <c r="D3682" s="151" t="str">
        <f>'Reported burning'!D3682</f>
        <v>ND</v>
      </c>
      <c r="E3682" s="151" t="str">
        <f>'Reported burning'!E3682</f>
        <v>ND</v>
      </c>
      <c r="F3682" s="151" t="str">
        <f>'Reported burning'!F3682</f>
        <v>ND</v>
      </c>
      <c r="G3682" s="151" t="str">
        <f>'Reported burning'!G3682</f>
        <v>Forest</v>
      </c>
      <c r="H3682" s="151" t="str">
        <f>'Reported burning'!H3682</f>
        <v>Presence</v>
      </c>
      <c r="I3682" s="5"/>
      <c r="J3682" s="71" t="s">
        <v>2272</v>
      </c>
      <c r="K3682" s="71" t="s">
        <v>2272</v>
      </c>
      <c r="L3682" s="71" t="s">
        <v>2272</v>
      </c>
      <c r="M3682" s="71" t="s">
        <v>2272</v>
      </c>
      <c r="N3682" s="71" t="s">
        <v>2272</v>
      </c>
      <c r="O3682" s="71" t="s">
        <v>2272</v>
      </c>
      <c r="P3682" s="71" t="s">
        <v>2272</v>
      </c>
      <c r="Q3682" s="71" t="s">
        <v>2272</v>
      </c>
      <c r="R3682" s="71" t="s">
        <v>2272</v>
      </c>
      <c r="S3682" s="71" t="s">
        <v>2272</v>
      </c>
      <c r="T3682" s="71" t="s">
        <v>2272</v>
      </c>
      <c r="U3682" s="71" t="s">
        <v>2272</v>
      </c>
      <c r="V3682" s="71" t="s">
        <v>2272</v>
      </c>
      <c r="W3682" s="71" t="s">
        <v>2272</v>
      </c>
      <c r="X3682" s="71" t="s">
        <v>2272</v>
      </c>
      <c r="Y3682" s="71" t="s">
        <v>2272</v>
      </c>
      <c r="Z3682" s="198"/>
      <c r="AA3682" s="198"/>
      <c r="AB3682" s="198"/>
      <c r="AC3682" s="198"/>
    </row>
    <row r="3683" spans="1:29" ht="59" customHeight="1">
      <c r="A3683" s="151" t="str">
        <f>'Reported burning'!A3683</f>
        <v>400a</v>
      </c>
      <c r="B3683" s="151" t="str">
        <f>'Reported burning'!B3683</f>
        <v>400a.2</v>
      </c>
      <c r="C3683" s="151" t="str">
        <f>'Reported burning'!C3683</f>
        <v>All</v>
      </c>
      <c r="D3683" s="151" t="str">
        <f>'Reported burning'!D3683</f>
        <v>ND</v>
      </c>
      <c r="E3683" s="151" t="str">
        <f>'Reported burning'!E3683</f>
        <v>ND</v>
      </c>
      <c r="F3683" s="151" t="str">
        <f>'Reported burning'!F3683</f>
        <v>ND</v>
      </c>
      <c r="G3683" s="151" t="str">
        <f>'Reported burning'!G3683</f>
        <v>Grassland</v>
      </c>
      <c r="H3683" s="151" t="str">
        <f>'Reported burning'!H3683</f>
        <v>Presence</v>
      </c>
      <c r="I3683" s="5"/>
      <c r="J3683" s="71" t="s">
        <v>2272</v>
      </c>
      <c r="K3683" s="71" t="s">
        <v>2272</v>
      </c>
      <c r="L3683" s="71" t="s">
        <v>2272</v>
      </c>
      <c r="M3683" s="71" t="s">
        <v>2272</v>
      </c>
      <c r="N3683" s="71" t="s">
        <v>2272</v>
      </c>
      <c r="O3683" s="71" t="s">
        <v>2272</v>
      </c>
      <c r="P3683" s="71" t="s">
        <v>2272</v>
      </c>
      <c r="Q3683" s="71" t="s">
        <v>2272</v>
      </c>
      <c r="R3683" s="71" t="s">
        <v>2272</v>
      </c>
      <c r="S3683" s="71" t="s">
        <v>2272</v>
      </c>
      <c r="T3683" s="71" t="s">
        <v>2272</v>
      </c>
      <c r="U3683" s="71" t="s">
        <v>2272</v>
      </c>
      <c r="V3683" s="71" t="s">
        <v>2272</v>
      </c>
      <c r="W3683" s="71" t="s">
        <v>2272</v>
      </c>
      <c r="X3683" s="71" t="s">
        <v>2272</v>
      </c>
      <c r="Y3683" s="71" t="s">
        <v>2272</v>
      </c>
      <c r="Z3683" s="198"/>
      <c r="AA3683" s="198"/>
      <c r="AB3683" s="198"/>
      <c r="AC3683" s="198"/>
    </row>
    <row r="3684" spans="1:29" ht="59" customHeight="1">
      <c r="A3684" s="151" t="str">
        <f>'Reported burning'!A3684</f>
        <v>400a</v>
      </c>
      <c r="B3684" s="151" t="str">
        <f>'Reported burning'!B3684</f>
        <v>400a.3</v>
      </c>
      <c r="C3684" s="151" t="str">
        <f>'Reported burning'!C3684</f>
        <v>All</v>
      </c>
      <c r="D3684" s="151" t="str">
        <f>'Reported burning'!D3684</f>
        <v>ND</v>
      </c>
      <c r="E3684" s="151" t="str">
        <f>'Reported burning'!E3684</f>
        <v>ND</v>
      </c>
      <c r="F3684" s="151" t="str">
        <f>'Reported burning'!F3684</f>
        <v>ND</v>
      </c>
      <c r="G3684" s="151" t="str">
        <f>'Reported burning'!G3684</f>
        <v>Plantation forest</v>
      </c>
      <c r="H3684" s="151" t="str">
        <f>'Reported burning'!H3684</f>
        <v>Presence</v>
      </c>
      <c r="I3684" s="5"/>
      <c r="J3684" s="71" t="s">
        <v>2272</v>
      </c>
      <c r="K3684" s="71" t="s">
        <v>2272</v>
      </c>
      <c r="L3684" s="71" t="s">
        <v>2272</v>
      </c>
      <c r="M3684" s="71" t="s">
        <v>2272</v>
      </c>
      <c r="N3684" s="71" t="s">
        <v>2272</v>
      </c>
      <c r="O3684" s="71" t="s">
        <v>2272</v>
      </c>
      <c r="P3684" s="71" t="s">
        <v>2272</v>
      </c>
      <c r="Q3684" s="71" t="s">
        <v>2272</v>
      </c>
      <c r="R3684" s="71" t="s">
        <v>2272</v>
      </c>
      <c r="S3684" s="71" t="s">
        <v>2272</v>
      </c>
      <c r="T3684" s="71" t="s">
        <v>2272</v>
      </c>
      <c r="U3684" s="71" t="s">
        <v>2272</v>
      </c>
      <c r="V3684" s="71" t="s">
        <v>2272</v>
      </c>
      <c r="W3684" s="71" t="s">
        <v>2272</v>
      </c>
      <c r="X3684" s="71" t="s">
        <v>2272</v>
      </c>
      <c r="Y3684" s="71" t="s">
        <v>2272</v>
      </c>
      <c r="Z3684" s="198"/>
      <c r="AA3684" s="198"/>
      <c r="AB3684" s="198"/>
      <c r="AC3684" s="198"/>
    </row>
    <row r="3685" spans="1:29" ht="59" customHeight="1">
      <c r="A3685" s="151" t="str">
        <f>'Reported burning'!A3685</f>
        <v>400a</v>
      </c>
      <c r="B3685" s="151" t="str">
        <f>'Reported burning'!B3685</f>
        <v>400a.4</v>
      </c>
      <c r="C3685" s="151" t="str">
        <f>'Reported burning'!C3685</f>
        <v>All</v>
      </c>
      <c r="D3685" s="151" t="str">
        <f>'Reported burning'!D3685</f>
        <v>ND</v>
      </c>
      <c r="E3685" s="151" t="str">
        <f>'Reported burning'!E3685</f>
        <v>Cropping, Swidden</v>
      </c>
      <c r="F3685" s="151" t="str">
        <f>'Reported burning'!F3685</f>
        <v>ND</v>
      </c>
      <c r="G3685" s="151" t="str">
        <f>'Reported burning'!G3685</f>
        <v>Cropland</v>
      </c>
      <c r="H3685" s="151" t="str">
        <f>'Reported burning'!H3685</f>
        <v>Presence</v>
      </c>
      <c r="I3685" s="5"/>
      <c r="J3685" s="71" t="s">
        <v>2272</v>
      </c>
      <c r="K3685" s="71" t="s">
        <v>2272</v>
      </c>
      <c r="L3685" s="71" t="s">
        <v>2272</v>
      </c>
      <c r="M3685" s="71" t="s">
        <v>2272</v>
      </c>
      <c r="N3685" s="71" t="s">
        <v>2272</v>
      </c>
      <c r="O3685" s="71" t="s">
        <v>2272</v>
      </c>
      <c r="P3685" s="71" t="s">
        <v>2272</v>
      </c>
      <c r="Q3685" s="71" t="s">
        <v>2272</v>
      </c>
      <c r="R3685" s="71" t="s">
        <v>2272</v>
      </c>
      <c r="S3685" s="71" t="s">
        <v>2272</v>
      </c>
      <c r="T3685" s="71" t="s">
        <v>2272</v>
      </c>
      <c r="U3685" s="71" t="s">
        <v>2272</v>
      </c>
      <c r="V3685" s="71" t="s">
        <v>2272</v>
      </c>
      <c r="W3685" s="71" t="s">
        <v>2272</v>
      </c>
      <c r="X3685" s="71" t="s">
        <v>2272</v>
      </c>
      <c r="Y3685" s="71" t="s">
        <v>2272</v>
      </c>
      <c r="Z3685" s="198"/>
      <c r="AA3685" s="198"/>
      <c r="AB3685" s="198"/>
      <c r="AC3685" s="198"/>
    </row>
    <row r="3686" spans="1:29" ht="59" customHeight="1">
      <c r="A3686" s="151" t="str">
        <f>'Reported burning'!A3686</f>
        <v>400a</v>
      </c>
      <c r="B3686" s="151" t="str">
        <f>'Reported burning'!B3686</f>
        <v>400a.5</v>
      </c>
      <c r="C3686" s="151" t="str">
        <f>'Reported burning'!C3686</f>
        <v>All</v>
      </c>
      <c r="D3686" s="151" t="str">
        <f>'Reported burning'!D3686</f>
        <v>ND</v>
      </c>
      <c r="E3686" s="151" t="str">
        <f>'Reported burning'!E3686</f>
        <v>Cropping, Intensive</v>
      </c>
      <c r="F3686" s="151" t="str">
        <f>'Reported burning'!F3686</f>
        <v>ND</v>
      </c>
      <c r="G3686" s="151" t="str">
        <f>'Reported burning'!G3686</f>
        <v>Cropland</v>
      </c>
      <c r="H3686" s="151" t="str">
        <f>'Reported burning'!H3686</f>
        <v>Presence</v>
      </c>
      <c r="I3686" s="5"/>
      <c r="J3686" s="71" t="s">
        <v>2272</v>
      </c>
      <c r="K3686" s="71" t="s">
        <v>2272</v>
      </c>
      <c r="L3686" s="71" t="s">
        <v>2272</v>
      </c>
      <c r="M3686" s="71" t="s">
        <v>2272</v>
      </c>
      <c r="N3686" s="71" t="s">
        <v>2272</v>
      </c>
      <c r="O3686" s="71" t="s">
        <v>2272</v>
      </c>
      <c r="P3686" s="71" t="s">
        <v>2272</v>
      </c>
      <c r="Q3686" s="71" t="s">
        <v>2272</v>
      </c>
      <c r="R3686" s="71" t="s">
        <v>2272</v>
      </c>
      <c r="S3686" s="71" t="s">
        <v>2272</v>
      </c>
      <c r="T3686" s="71" t="s">
        <v>2272</v>
      </c>
      <c r="U3686" s="71" t="s">
        <v>2272</v>
      </c>
      <c r="V3686" s="71" t="s">
        <v>2272</v>
      </c>
      <c r="W3686" s="71" t="s">
        <v>2272</v>
      </c>
      <c r="X3686" s="71" t="s">
        <v>2272</v>
      </c>
      <c r="Y3686" s="71" t="s">
        <v>2272</v>
      </c>
      <c r="Z3686" s="198"/>
      <c r="AA3686" s="198"/>
      <c r="AB3686" s="198"/>
      <c r="AC3686" s="198"/>
    </row>
    <row r="3687" spans="1:29" ht="59" customHeight="1">
      <c r="A3687" s="151" t="str">
        <f>'Reported burning'!A3687</f>
        <v>400b</v>
      </c>
      <c r="B3687" s="151" t="str">
        <f>'Reported burning'!B3687</f>
        <v>400b.1</v>
      </c>
      <c r="C3687" s="151" t="str">
        <f>'Reported burning'!C3687</f>
        <v>All</v>
      </c>
      <c r="D3687" s="151" t="str">
        <f>'Reported burning'!D3687</f>
        <v>ND</v>
      </c>
      <c r="E3687" s="151" t="str">
        <f>'Reported burning'!E3687</f>
        <v>ND</v>
      </c>
      <c r="F3687" s="151" t="str">
        <f>'Reported burning'!F3687</f>
        <v>ND</v>
      </c>
      <c r="G3687" s="151" t="str">
        <f>'Reported burning'!G3687</f>
        <v>Forest</v>
      </c>
      <c r="H3687" s="151" t="str">
        <f>'Reported burning'!H3687</f>
        <v>Presence</v>
      </c>
      <c r="I3687" s="5"/>
      <c r="J3687" s="71" t="s">
        <v>2272</v>
      </c>
      <c r="K3687" s="71" t="s">
        <v>2272</v>
      </c>
      <c r="L3687" s="71" t="s">
        <v>2272</v>
      </c>
      <c r="M3687" s="71" t="s">
        <v>2272</v>
      </c>
      <c r="N3687" s="71" t="s">
        <v>2272</v>
      </c>
      <c r="O3687" s="71" t="s">
        <v>2272</v>
      </c>
      <c r="P3687" s="71" t="s">
        <v>2272</v>
      </c>
      <c r="Q3687" s="71" t="s">
        <v>2272</v>
      </c>
      <c r="R3687" s="71" t="s">
        <v>2272</v>
      </c>
      <c r="S3687" s="71" t="s">
        <v>2272</v>
      </c>
      <c r="T3687" s="71" t="s">
        <v>2272</v>
      </c>
      <c r="U3687" s="71" t="s">
        <v>2272</v>
      </c>
      <c r="V3687" s="71" t="s">
        <v>2272</v>
      </c>
      <c r="W3687" s="71" t="s">
        <v>2272</v>
      </c>
      <c r="X3687" s="71" t="s">
        <v>2272</v>
      </c>
      <c r="Y3687" s="71" t="s">
        <v>2272</v>
      </c>
      <c r="Z3687" s="198"/>
      <c r="AA3687" s="198"/>
      <c r="AB3687" s="198"/>
      <c r="AC3687" s="198"/>
    </row>
    <row r="3688" spans="1:29" s="197" customFormat="1" ht="59" customHeight="1">
      <c r="A3688" s="151" t="str">
        <f>'Reported burning'!A3688</f>
        <v>400b</v>
      </c>
      <c r="B3688" s="151" t="str">
        <f>'Reported burning'!B3688</f>
        <v>400b.2</v>
      </c>
      <c r="C3688" s="151" t="str">
        <f>'Reported burning'!C3688</f>
        <v>All</v>
      </c>
      <c r="D3688" s="151" t="str">
        <f>'Reported burning'!D3688</f>
        <v>ND</v>
      </c>
      <c r="E3688" s="151" t="str">
        <f>'Reported burning'!E3688</f>
        <v>ND</v>
      </c>
      <c r="F3688" s="151" t="str">
        <f>'Reported burning'!F3688</f>
        <v>ND</v>
      </c>
      <c r="G3688" s="151" t="str">
        <f>'Reported burning'!G3688</f>
        <v>Grassland</v>
      </c>
      <c r="H3688" s="151" t="str">
        <f>'Reported burning'!H3688</f>
        <v>Presence</v>
      </c>
      <c r="I3688" s="5"/>
      <c r="J3688" s="71" t="s">
        <v>2272</v>
      </c>
      <c r="K3688" s="71" t="s">
        <v>2272</v>
      </c>
      <c r="L3688" s="71" t="s">
        <v>2272</v>
      </c>
      <c r="M3688" s="71" t="s">
        <v>2272</v>
      </c>
      <c r="N3688" s="71" t="s">
        <v>2272</v>
      </c>
      <c r="O3688" s="71" t="s">
        <v>2272</v>
      </c>
      <c r="P3688" s="71" t="s">
        <v>2272</v>
      </c>
      <c r="Q3688" s="71" t="s">
        <v>2272</v>
      </c>
      <c r="R3688" s="71" t="s">
        <v>2272</v>
      </c>
      <c r="S3688" s="71" t="s">
        <v>2272</v>
      </c>
      <c r="T3688" s="71" t="s">
        <v>2272</v>
      </c>
      <c r="U3688" s="71" t="s">
        <v>2272</v>
      </c>
      <c r="V3688" s="71" t="s">
        <v>2272</v>
      </c>
      <c r="W3688" s="71" t="s">
        <v>2272</v>
      </c>
      <c r="X3688" s="71" t="s">
        <v>2272</v>
      </c>
      <c r="Y3688" s="71" t="s">
        <v>2272</v>
      </c>
      <c r="Z3688" s="198"/>
      <c r="AA3688" s="198"/>
      <c r="AB3688" s="198"/>
      <c r="AC3688" s="198"/>
    </row>
    <row r="3689" spans="1:29" s="197" customFormat="1" ht="59" customHeight="1">
      <c r="A3689" s="151" t="str">
        <f>'Reported burning'!A3689</f>
        <v>400b</v>
      </c>
      <c r="B3689" s="151" t="str">
        <f>'Reported burning'!B3689</f>
        <v>400b.3</v>
      </c>
      <c r="C3689" s="151" t="str">
        <f>'Reported burning'!C3689</f>
        <v>All</v>
      </c>
      <c r="D3689" s="151" t="str">
        <f>'Reported burning'!D3689</f>
        <v>ND</v>
      </c>
      <c r="E3689" s="151" t="str">
        <f>'Reported burning'!E3689</f>
        <v>ND</v>
      </c>
      <c r="F3689" s="151" t="str">
        <f>'Reported burning'!F3689</f>
        <v>ND</v>
      </c>
      <c r="G3689" s="151" t="str">
        <f>'Reported burning'!G3689</f>
        <v>Plantation forest</v>
      </c>
      <c r="H3689" s="151" t="str">
        <f>'Reported burning'!H3689</f>
        <v>Presence</v>
      </c>
      <c r="I3689" s="5"/>
      <c r="J3689" s="71" t="s">
        <v>2272</v>
      </c>
      <c r="K3689" s="71" t="s">
        <v>2272</v>
      </c>
      <c r="L3689" s="71" t="s">
        <v>2272</v>
      </c>
      <c r="M3689" s="71" t="s">
        <v>2272</v>
      </c>
      <c r="N3689" s="71" t="s">
        <v>2272</v>
      </c>
      <c r="O3689" s="71" t="s">
        <v>2272</v>
      </c>
      <c r="P3689" s="71" t="s">
        <v>2272</v>
      </c>
      <c r="Q3689" s="71" t="s">
        <v>2272</v>
      </c>
      <c r="R3689" s="71" t="s">
        <v>2272</v>
      </c>
      <c r="S3689" s="71" t="s">
        <v>2272</v>
      </c>
      <c r="T3689" s="71" t="s">
        <v>2272</v>
      </c>
      <c r="U3689" s="71" t="s">
        <v>2272</v>
      </c>
      <c r="V3689" s="71" t="s">
        <v>2272</v>
      </c>
      <c r="W3689" s="71" t="s">
        <v>2272</v>
      </c>
      <c r="X3689" s="71" t="s">
        <v>2272</v>
      </c>
      <c r="Y3689" s="71" t="s">
        <v>2272</v>
      </c>
      <c r="Z3689" s="198"/>
      <c r="AA3689" s="198"/>
      <c r="AB3689" s="198"/>
      <c r="AC3689" s="198"/>
    </row>
    <row r="3690" spans="1:29" s="197" customFormat="1" ht="59" customHeight="1">
      <c r="A3690" s="151" t="str">
        <f>'Reported burning'!A3690</f>
        <v>400b</v>
      </c>
      <c r="B3690" s="151" t="str">
        <f>'Reported burning'!B3690</f>
        <v>400b.4</v>
      </c>
      <c r="C3690" s="151" t="str">
        <f>'Reported burning'!C3690</f>
        <v>All</v>
      </c>
      <c r="D3690" s="151" t="str">
        <f>'Reported burning'!D3690</f>
        <v>ND</v>
      </c>
      <c r="E3690" s="151" t="str">
        <f>'Reported burning'!E3690</f>
        <v>Cropping, Swidden</v>
      </c>
      <c r="F3690" s="151" t="str">
        <f>'Reported burning'!F3690</f>
        <v>ND</v>
      </c>
      <c r="G3690" s="151" t="str">
        <f>'Reported burning'!G3690</f>
        <v>Cropland</v>
      </c>
      <c r="H3690" s="151" t="str">
        <f>'Reported burning'!H3690</f>
        <v>Presence</v>
      </c>
      <c r="I3690" s="5"/>
      <c r="J3690" s="71" t="s">
        <v>2272</v>
      </c>
      <c r="K3690" s="71" t="s">
        <v>2272</v>
      </c>
      <c r="L3690" s="71" t="s">
        <v>2272</v>
      </c>
      <c r="M3690" s="71" t="s">
        <v>2272</v>
      </c>
      <c r="N3690" s="71" t="s">
        <v>2272</v>
      </c>
      <c r="O3690" s="71" t="s">
        <v>2272</v>
      </c>
      <c r="P3690" s="71" t="s">
        <v>2272</v>
      </c>
      <c r="Q3690" s="71" t="s">
        <v>2272</v>
      </c>
      <c r="R3690" s="71" t="s">
        <v>2272</v>
      </c>
      <c r="S3690" s="71" t="s">
        <v>2272</v>
      </c>
      <c r="T3690" s="71" t="s">
        <v>2272</v>
      </c>
      <c r="U3690" s="71" t="s">
        <v>2272</v>
      </c>
      <c r="V3690" s="71" t="s">
        <v>2272</v>
      </c>
      <c r="W3690" s="71" t="s">
        <v>2272</v>
      </c>
      <c r="X3690" s="71" t="s">
        <v>2272</v>
      </c>
      <c r="Y3690" s="71" t="s">
        <v>2272</v>
      </c>
      <c r="Z3690" s="198"/>
      <c r="AA3690" s="198"/>
      <c r="AB3690" s="198"/>
      <c r="AC3690" s="198"/>
    </row>
    <row r="3691" spans="1:29" s="197" customFormat="1" ht="59" customHeight="1">
      <c r="A3691" s="151" t="str">
        <f>'Reported burning'!A3691</f>
        <v>400b</v>
      </c>
      <c r="B3691" s="151" t="str">
        <f>'Reported burning'!B3691</f>
        <v>400b.5</v>
      </c>
      <c r="C3691" s="151" t="str">
        <f>'Reported burning'!C3691</f>
        <v>All</v>
      </c>
      <c r="D3691" s="151" t="str">
        <f>'Reported burning'!D3691</f>
        <v>ND</v>
      </c>
      <c r="E3691" s="151" t="str">
        <f>'Reported burning'!E3691</f>
        <v>Cropping, Intensive</v>
      </c>
      <c r="F3691" s="151" t="str">
        <f>'Reported burning'!F3691</f>
        <v>ND</v>
      </c>
      <c r="G3691" s="151" t="str">
        <f>'Reported burning'!G3691</f>
        <v>Cropland</v>
      </c>
      <c r="H3691" s="151" t="str">
        <f>'Reported burning'!H3691</f>
        <v>Presence</v>
      </c>
      <c r="I3691" s="5"/>
      <c r="J3691" s="71" t="s">
        <v>2272</v>
      </c>
      <c r="K3691" s="71" t="s">
        <v>2272</v>
      </c>
      <c r="L3691" s="71" t="s">
        <v>2272</v>
      </c>
      <c r="M3691" s="71" t="s">
        <v>2272</v>
      </c>
      <c r="N3691" s="71" t="s">
        <v>2272</v>
      </c>
      <c r="O3691" s="71" t="s">
        <v>2272</v>
      </c>
      <c r="P3691" s="71" t="s">
        <v>2272</v>
      </c>
      <c r="Q3691" s="71" t="s">
        <v>2272</v>
      </c>
      <c r="R3691" s="71" t="s">
        <v>2272</v>
      </c>
      <c r="S3691" s="71" t="s">
        <v>2272</v>
      </c>
      <c r="T3691" s="71" t="s">
        <v>2272</v>
      </c>
      <c r="U3691" s="71" t="s">
        <v>2272</v>
      </c>
      <c r="V3691" s="71" t="s">
        <v>2272</v>
      </c>
      <c r="W3691" s="71" t="s">
        <v>2272</v>
      </c>
      <c r="X3691" s="71" t="s">
        <v>2272</v>
      </c>
      <c r="Y3691" s="71" t="s">
        <v>2272</v>
      </c>
      <c r="Z3691" s="198"/>
      <c r="AA3691" s="198"/>
      <c r="AB3691" s="198"/>
      <c r="AC3691" s="198"/>
    </row>
    <row r="3692" spans="1:29" s="197" customFormat="1" ht="59" customHeight="1">
      <c r="A3692" s="151" t="str">
        <f>'Reported burning'!A3692</f>
        <v>400c</v>
      </c>
      <c r="B3692" s="151" t="str">
        <f>'Reported burning'!B3692</f>
        <v>400c.1</v>
      </c>
      <c r="C3692" s="151" t="str">
        <f>'Reported burning'!C3692</f>
        <v>All</v>
      </c>
      <c r="D3692" s="151" t="str">
        <f>'Reported burning'!D3692</f>
        <v>ND</v>
      </c>
      <c r="E3692" s="151" t="str">
        <f>'Reported burning'!E3692</f>
        <v>ND</v>
      </c>
      <c r="F3692" s="151" t="str">
        <f>'Reported burning'!F3692</f>
        <v>ND</v>
      </c>
      <c r="G3692" s="151" t="str">
        <f>'Reported burning'!G3692</f>
        <v>Forest</v>
      </c>
      <c r="H3692" s="151" t="str">
        <f>'Reported burning'!H3692</f>
        <v>Presence</v>
      </c>
      <c r="I3692" s="5"/>
      <c r="J3692" s="71" t="s">
        <v>2272</v>
      </c>
      <c r="K3692" s="71" t="s">
        <v>2272</v>
      </c>
      <c r="L3692" s="71" t="s">
        <v>2272</v>
      </c>
      <c r="M3692" s="71" t="s">
        <v>2272</v>
      </c>
      <c r="N3692" s="71" t="s">
        <v>2272</v>
      </c>
      <c r="O3692" s="71" t="s">
        <v>2272</v>
      </c>
      <c r="P3692" s="71" t="s">
        <v>2272</v>
      </c>
      <c r="Q3692" s="71" t="s">
        <v>2272</v>
      </c>
      <c r="R3692" s="71" t="s">
        <v>2272</v>
      </c>
      <c r="S3692" s="71" t="s">
        <v>2272</v>
      </c>
      <c r="T3692" s="71" t="s">
        <v>2272</v>
      </c>
      <c r="U3692" s="71" t="s">
        <v>2272</v>
      </c>
      <c r="V3692" s="71" t="s">
        <v>2272</v>
      </c>
      <c r="W3692" s="71" t="s">
        <v>2272</v>
      </c>
      <c r="X3692" s="71" t="s">
        <v>2272</v>
      </c>
      <c r="Y3692" s="71" t="s">
        <v>2272</v>
      </c>
      <c r="Z3692" s="198"/>
      <c r="AA3692" s="198"/>
      <c r="AB3692" s="198"/>
      <c r="AC3692" s="198"/>
    </row>
    <row r="3693" spans="1:29" s="197" customFormat="1" ht="59" customHeight="1">
      <c r="A3693" s="151" t="str">
        <f>'Reported burning'!A3693</f>
        <v>400c</v>
      </c>
      <c r="B3693" s="151" t="str">
        <f>'Reported burning'!B3693</f>
        <v>400c.2</v>
      </c>
      <c r="C3693" s="151" t="str">
        <f>'Reported burning'!C3693</f>
        <v>All</v>
      </c>
      <c r="D3693" s="151" t="str">
        <f>'Reported burning'!D3693</f>
        <v>ND</v>
      </c>
      <c r="E3693" s="151" t="str">
        <f>'Reported burning'!E3693</f>
        <v>ND</v>
      </c>
      <c r="F3693" s="151" t="str">
        <f>'Reported burning'!F3693</f>
        <v>ND</v>
      </c>
      <c r="G3693" s="151" t="str">
        <f>'Reported burning'!G3693</f>
        <v>Grassland</v>
      </c>
      <c r="H3693" s="151" t="str">
        <f>'Reported burning'!H3693</f>
        <v>Presence</v>
      </c>
      <c r="I3693" s="5"/>
      <c r="J3693" s="71" t="s">
        <v>2272</v>
      </c>
      <c r="K3693" s="71" t="s">
        <v>2272</v>
      </c>
      <c r="L3693" s="71" t="s">
        <v>2272</v>
      </c>
      <c r="M3693" s="71" t="s">
        <v>2272</v>
      </c>
      <c r="N3693" s="71" t="s">
        <v>2272</v>
      </c>
      <c r="O3693" s="71" t="s">
        <v>2272</v>
      </c>
      <c r="P3693" s="71" t="s">
        <v>2272</v>
      </c>
      <c r="Q3693" s="71" t="s">
        <v>2272</v>
      </c>
      <c r="R3693" s="71" t="s">
        <v>2272</v>
      </c>
      <c r="S3693" s="71" t="s">
        <v>2272</v>
      </c>
      <c r="T3693" s="71" t="s">
        <v>2272</v>
      </c>
      <c r="U3693" s="71" t="s">
        <v>2272</v>
      </c>
      <c r="V3693" s="71" t="s">
        <v>2272</v>
      </c>
      <c r="W3693" s="71" t="s">
        <v>2272</v>
      </c>
      <c r="X3693" s="71" t="s">
        <v>2272</v>
      </c>
      <c r="Y3693" s="71" t="s">
        <v>2272</v>
      </c>
      <c r="Z3693" s="198"/>
      <c r="AA3693" s="198"/>
      <c r="AB3693" s="198"/>
      <c r="AC3693" s="198"/>
    </row>
    <row r="3694" spans="1:29" s="197" customFormat="1" ht="59" customHeight="1">
      <c r="A3694" s="151" t="str">
        <f>'Reported burning'!A3694</f>
        <v>400c</v>
      </c>
      <c r="B3694" s="151" t="str">
        <f>'Reported burning'!B3694</f>
        <v>400c.3</v>
      </c>
      <c r="C3694" s="151" t="str">
        <f>'Reported burning'!C3694</f>
        <v>All</v>
      </c>
      <c r="D3694" s="151" t="str">
        <f>'Reported burning'!D3694</f>
        <v>ND</v>
      </c>
      <c r="E3694" s="151" t="str">
        <f>'Reported burning'!E3694</f>
        <v>ND</v>
      </c>
      <c r="F3694" s="151" t="str">
        <f>'Reported burning'!F3694</f>
        <v>ND</v>
      </c>
      <c r="G3694" s="151" t="str">
        <f>'Reported burning'!G3694</f>
        <v>Plantation forest</v>
      </c>
      <c r="H3694" s="151" t="str">
        <f>'Reported burning'!H3694</f>
        <v>Absence</v>
      </c>
      <c r="I3694" s="5"/>
      <c r="J3694" s="21" t="s">
        <v>2359</v>
      </c>
      <c r="K3694" s="21" t="s">
        <v>2359</v>
      </c>
      <c r="L3694" s="21" t="s">
        <v>2359</v>
      </c>
      <c r="M3694" s="21" t="s">
        <v>2359</v>
      </c>
      <c r="N3694" s="21" t="s">
        <v>2359</v>
      </c>
      <c r="O3694" s="21" t="s">
        <v>2359</v>
      </c>
      <c r="P3694" s="21" t="s">
        <v>2359</v>
      </c>
      <c r="Q3694" s="21" t="s">
        <v>2359</v>
      </c>
      <c r="R3694" s="21" t="s">
        <v>2359</v>
      </c>
      <c r="S3694" s="21" t="s">
        <v>2359</v>
      </c>
      <c r="T3694" s="21" t="s">
        <v>2359</v>
      </c>
      <c r="U3694" s="21" t="s">
        <v>2359</v>
      </c>
      <c r="V3694" s="21" t="s">
        <v>2359</v>
      </c>
      <c r="W3694" s="21" t="s">
        <v>2359</v>
      </c>
      <c r="X3694" s="71" t="s">
        <v>2272</v>
      </c>
      <c r="Y3694" s="71" t="s">
        <v>2272</v>
      </c>
      <c r="Z3694" s="71" t="s">
        <v>2272</v>
      </c>
      <c r="AA3694" s="198"/>
      <c r="AB3694" s="198"/>
      <c r="AC3694" s="198"/>
    </row>
    <row r="3695" spans="1:29" s="197" customFormat="1" ht="59" customHeight="1">
      <c r="A3695" s="151" t="str">
        <f>'Reported burning'!A3695</f>
        <v>400c</v>
      </c>
      <c r="B3695" s="151" t="str">
        <f>'Reported burning'!B3695</f>
        <v>400c.4</v>
      </c>
      <c r="C3695" s="151" t="str">
        <f>'Reported burning'!C3695</f>
        <v>All</v>
      </c>
      <c r="D3695" s="151" t="str">
        <f>'Reported burning'!D3695</f>
        <v>ND</v>
      </c>
      <c r="E3695" s="151" t="str">
        <f>'Reported burning'!E3695</f>
        <v>Cropping, Swidden</v>
      </c>
      <c r="F3695" s="151" t="str">
        <f>'Reported burning'!F3695</f>
        <v>ND</v>
      </c>
      <c r="G3695" s="151" t="str">
        <f>'Reported burning'!G3695</f>
        <v>Cropland</v>
      </c>
      <c r="H3695" s="151" t="str">
        <f>'Reported burning'!H3695</f>
        <v>Presence</v>
      </c>
      <c r="I3695" s="5"/>
      <c r="J3695" s="71" t="s">
        <v>2272</v>
      </c>
      <c r="K3695" s="71" t="s">
        <v>2272</v>
      </c>
      <c r="L3695" s="71" t="s">
        <v>2272</v>
      </c>
      <c r="M3695" s="71" t="s">
        <v>2272</v>
      </c>
      <c r="N3695" s="71" t="s">
        <v>2272</v>
      </c>
      <c r="O3695" s="71" t="s">
        <v>2272</v>
      </c>
      <c r="P3695" s="71" t="s">
        <v>2272</v>
      </c>
      <c r="Q3695" s="71" t="s">
        <v>2272</v>
      </c>
      <c r="R3695" s="71" t="s">
        <v>2272</v>
      </c>
      <c r="S3695" s="71" t="s">
        <v>2272</v>
      </c>
      <c r="T3695" s="71" t="s">
        <v>2272</v>
      </c>
      <c r="U3695" s="71" t="s">
        <v>2272</v>
      </c>
      <c r="V3695" s="71" t="s">
        <v>2272</v>
      </c>
      <c r="W3695" s="71" t="s">
        <v>2272</v>
      </c>
      <c r="X3695" s="71" t="s">
        <v>2272</v>
      </c>
      <c r="Y3695" s="71" t="s">
        <v>2272</v>
      </c>
      <c r="Z3695" s="71" t="s">
        <v>2272</v>
      </c>
      <c r="AA3695" s="198"/>
      <c r="AB3695" s="198"/>
      <c r="AC3695" s="198"/>
    </row>
    <row r="3696" spans="1:29" s="197" customFormat="1" ht="59" customHeight="1">
      <c r="A3696" s="151" t="str">
        <f>'Reported burning'!A3696</f>
        <v>400c</v>
      </c>
      <c r="B3696" s="151" t="str">
        <f>'Reported burning'!B3696</f>
        <v>400c.5</v>
      </c>
      <c r="C3696" s="151" t="str">
        <f>'Reported burning'!C3696</f>
        <v>All</v>
      </c>
      <c r="D3696" s="151" t="str">
        <f>'Reported burning'!D3696</f>
        <v>ND</v>
      </c>
      <c r="E3696" s="151" t="str">
        <f>'Reported burning'!E3696</f>
        <v>Cropping, Intensive</v>
      </c>
      <c r="F3696" s="151" t="str">
        <f>'Reported burning'!F3696</f>
        <v>ND</v>
      </c>
      <c r="G3696" s="151" t="str">
        <f>'Reported burning'!G3696</f>
        <v>Cropland</v>
      </c>
      <c r="H3696" s="151" t="str">
        <f>'Reported burning'!H3696</f>
        <v>Absence</v>
      </c>
      <c r="I3696" s="5"/>
      <c r="J3696" s="21" t="s">
        <v>2359</v>
      </c>
      <c r="K3696" s="21" t="s">
        <v>2359</v>
      </c>
      <c r="L3696" s="21" t="s">
        <v>2359</v>
      </c>
      <c r="M3696" s="21" t="s">
        <v>2359</v>
      </c>
      <c r="N3696" s="21" t="s">
        <v>2359</v>
      </c>
      <c r="O3696" s="21" t="s">
        <v>2359</v>
      </c>
      <c r="P3696" s="21" t="s">
        <v>2359</v>
      </c>
      <c r="Q3696" s="21" t="s">
        <v>2359</v>
      </c>
      <c r="R3696" s="21" t="s">
        <v>2359</v>
      </c>
      <c r="S3696" s="21" t="s">
        <v>2359</v>
      </c>
      <c r="T3696" s="21" t="s">
        <v>2359</v>
      </c>
      <c r="U3696" s="21" t="s">
        <v>2359</v>
      </c>
      <c r="V3696" s="21" t="s">
        <v>2359</v>
      </c>
      <c r="W3696" s="21" t="s">
        <v>2359</v>
      </c>
      <c r="X3696" s="71" t="s">
        <v>2272</v>
      </c>
      <c r="Y3696" s="71" t="s">
        <v>2272</v>
      </c>
      <c r="Z3696" s="71" t="s">
        <v>2272</v>
      </c>
      <c r="AA3696" s="198"/>
      <c r="AB3696" s="198"/>
      <c r="AC3696" s="198"/>
    </row>
    <row r="3697" spans="1:29" s="197" customFormat="1" ht="59" customHeight="1">
      <c r="A3697" s="151" t="str">
        <f>'Reported burning'!A3697</f>
        <v>400d</v>
      </c>
      <c r="B3697" s="151" t="str">
        <f>'Reported burning'!B3697</f>
        <v>400d.1</v>
      </c>
      <c r="C3697" s="151" t="str">
        <f>'Reported burning'!C3697</f>
        <v>All</v>
      </c>
      <c r="D3697" s="151" t="str">
        <f>'Reported burning'!D3697</f>
        <v>ND</v>
      </c>
      <c r="E3697" s="151" t="str">
        <f>'Reported burning'!E3697</f>
        <v>ND</v>
      </c>
      <c r="F3697" s="151" t="str">
        <f>'Reported burning'!F3697</f>
        <v>ND</v>
      </c>
      <c r="G3697" s="151" t="str">
        <f>'Reported burning'!G3697</f>
        <v>Forest</v>
      </c>
      <c r="H3697" s="151" t="str">
        <f>'Reported burning'!H3697</f>
        <v>Presence</v>
      </c>
      <c r="I3697" s="5"/>
      <c r="J3697" s="71" t="s">
        <v>2272</v>
      </c>
      <c r="K3697" s="71" t="s">
        <v>2272</v>
      </c>
      <c r="L3697" s="71" t="s">
        <v>2272</v>
      </c>
      <c r="M3697" s="71" t="s">
        <v>2272</v>
      </c>
      <c r="N3697" s="71" t="s">
        <v>2272</v>
      </c>
      <c r="O3697" s="71" t="s">
        <v>2272</v>
      </c>
      <c r="P3697" s="71" t="s">
        <v>2272</v>
      </c>
      <c r="Q3697" s="71" t="s">
        <v>2272</v>
      </c>
      <c r="R3697" s="71" t="s">
        <v>2272</v>
      </c>
      <c r="S3697" s="71" t="s">
        <v>2272</v>
      </c>
      <c r="T3697" s="71" t="s">
        <v>2272</v>
      </c>
      <c r="U3697" s="71" t="s">
        <v>2272</v>
      </c>
      <c r="V3697" s="71" t="s">
        <v>2272</v>
      </c>
      <c r="W3697" s="71" t="s">
        <v>2272</v>
      </c>
      <c r="X3697" s="71" t="s">
        <v>2272</v>
      </c>
      <c r="Y3697" s="71" t="s">
        <v>2272</v>
      </c>
      <c r="Z3697" s="71" t="s">
        <v>2272</v>
      </c>
      <c r="AA3697" s="198"/>
      <c r="AB3697" s="198"/>
      <c r="AC3697" s="198"/>
    </row>
    <row r="3698" spans="1:29" s="197" customFormat="1" ht="59" customHeight="1">
      <c r="A3698" s="151" t="str">
        <f>'Reported burning'!A3698</f>
        <v>400d</v>
      </c>
      <c r="B3698" s="151" t="str">
        <f>'Reported burning'!B3698</f>
        <v>400d.2</v>
      </c>
      <c r="C3698" s="151" t="str">
        <f>'Reported burning'!C3698</f>
        <v>All</v>
      </c>
      <c r="D3698" s="151" t="str">
        <f>'Reported burning'!D3698</f>
        <v>ND</v>
      </c>
      <c r="E3698" s="151" t="str">
        <f>'Reported burning'!E3698</f>
        <v>ND</v>
      </c>
      <c r="F3698" s="151" t="str">
        <f>'Reported burning'!F3698</f>
        <v>ND</v>
      </c>
      <c r="G3698" s="151" t="str">
        <f>'Reported burning'!G3698</f>
        <v>Grassland</v>
      </c>
      <c r="H3698" s="151" t="str">
        <f>'Reported burning'!H3698</f>
        <v>Absence</v>
      </c>
      <c r="I3698" s="5"/>
      <c r="J3698" s="21" t="s">
        <v>2359</v>
      </c>
      <c r="K3698" s="21" t="s">
        <v>2359</v>
      </c>
      <c r="L3698" s="21" t="s">
        <v>2359</v>
      </c>
      <c r="M3698" s="21" t="s">
        <v>2359</v>
      </c>
      <c r="N3698" s="21" t="s">
        <v>2359</v>
      </c>
      <c r="O3698" s="21" t="s">
        <v>2359</v>
      </c>
      <c r="P3698" s="21" t="s">
        <v>2359</v>
      </c>
      <c r="Q3698" s="21" t="s">
        <v>2359</v>
      </c>
      <c r="R3698" s="21" t="s">
        <v>2359</v>
      </c>
      <c r="S3698" s="21" t="s">
        <v>2359</v>
      </c>
      <c r="T3698" s="21" t="s">
        <v>2359</v>
      </c>
      <c r="U3698" s="21" t="s">
        <v>2359</v>
      </c>
      <c r="V3698" s="21" t="s">
        <v>2359</v>
      </c>
      <c r="W3698" s="21" t="s">
        <v>2359</v>
      </c>
      <c r="X3698" s="71" t="s">
        <v>2272</v>
      </c>
      <c r="Y3698" s="71" t="s">
        <v>2272</v>
      </c>
      <c r="Z3698" s="71" t="s">
        <v>2272</v>
      </c>
      <c r="AA3698" s="198"/>
      <c r="AB3698" s="198"/>
      <c r="AC3698" s="198"/>
    </row>
    <row r="3699" spans="1:29" s="197" customFormat="1" ht="59" customHeight="1">
      <c r="A3699" s="151" t="str">
        <f>'Reported burning'!A3699</f>
        <v>400d</v>
      </c>
      <c r="B3699" s="151" t="str">
        <f>'Reported burning'!B3699</f>
        <v>400d.3</v>
      </c>
      <c r="C3699" s="151" t="str">
        <f>'Reported burning'!C3699</f>
        <v>All</v>
      </c>
      <c r="D3699" s="151" t="str">
        <f>'Reported burning'!D3699</f>
        <v>ND</v>
      </c>
      <c r="E3699" s="151" t="str">
        <f>'Reported burning'!E3699</f>
        <v>ND</v>
      </c>
      <c r="F3699" s="151" t="str">
        <f>'Reported burning'!F3699</f>
        <v>ND</v>
      </c>
      <c r="G3699" s="151" t="str">
        <f>'Reported burning'!G3699</f>
        <v>Plantation forest</v>
      </c>
      <c r="H3699" s="151" t="str">
        <f>'Reported burning'!H3699</f>
        <v>Absence</v>
      </c>
      <c r="I3699" s="5"/>
      <c r="J3699" s="21" t="s">
        <v>2359</v>
      </c>
      <c r="K3699" s="21" t="s">
        <v>2359</v>
      </c>
      <c r="L3699" s="21" t="s">
        <v>2359</v>
      </c>
      <c r="M3699" s="21" t="s">
        <v>2359</v>
      </c>
      <c r="N3699" s="21" t="s">
        <v>2359</v>
      </c>
      <c r="O3699" s="21" t="s">
        <v>2359</v>
      </c>
      <c r="P3699" s="21" t="s">
        <v>2359</v>
      </c>
      <c r="Q3699" s="21" t="s">
        <v>2359</v>
      </c>
      <c r="R3699" s="21" t="s">
        <v>2359</v>
      </c>
      <c r="S3699" s="21" t="s">
        <v>2359</v>
      </c>
      <c r="T3699" s="21" t="s">
        <v>2359</v>
      </c>
      <c r="U3699" s="21" t="s">
        <v>2359</v>
      </c>
      <c r="V3699" s="21" t="s">
        <v>2359</v>
      </c>
      <c r="W3699" s="21" t="s">
        <v>2359</v>
      </c>
      <c r="X3699" s="71" t="s">
        <v>2272</v>
      </c>
      <c r="Y3699" s="71" t="s">
        <v>2272</v>
      </c>
      <c r="Z3699" s="71" t="s">
        <v>2272</v>
      </c>
      <c r="AA3699" s="198"/>
      <c r="AB3699" s="198"/>
      <c r="AC3699" s="198"/>
    </row>
    <row r="3700" spans="1:29" s="197" customFormat="1" ht="59" customHeight="1">
      <c r="A3700" s="151" t="str">
        <f>'Reported burning'!A3700</f>
        <v>400d</v>
      </c>
      <c r="B3700" s="151" t="str">
        <f>'Reported burning'!B3700</f>
        <v>400d.4</v>
      </c>
      <c r="C3700" s="151" t="str">
        <f>'Reported burning'!C3700</f>
        <v>All</v>
      </c>
      <c r="D3700" s="151" t="str">
        <f>'Reported burning'!D3700</f>
        <v>ND</v>
      </c>
      <c r="E3700" s="151" t="str">
        <f>'Reported burning'!E3700</f>
        <v>Cropping, Swidden</v>
      </c>
      <c r="F3700" s="151" t="str">
        <f>'Reported burning'!F3700</f>
        <v>ND</v>
      </c>
      <c r="G3700" s="151" t="str">
        <f>'Reported burning'!G3700</f>
        <v>Cropland</v>
      </c>
      <c r="H3700" s="151" t="str">
        <f>'Reported burning'!H3700</f>
        <v>Presence</v>
      </c>
      <c r="I3700" s="5"/>
      <c r="J3700" s="71" t="s">
        <v>2272</v>
      </c>
      <c r="K3700" s="71" t="s">
        <v>2272</v>
      </c>
      <c r="L3700" s="71" t="s">
        <v>2272</v>
      </c>
      <c r="M3700" s="71" t="s">
        <v>2272</v>
      </c>
      <c r="N3700" s="71" t="s">
        <v>2272</v>
      </c>
      <c r="O3700" s="71" t="s">
        <v>2272</v>
      </c>
      <c r="P3700" s="71" t="s">
        <v>2272</v>
      </c>
      <c r="Q3700" s="71" t="s">
        <v>2272</v>
      </c>
      <c r="R3700" s="71" t="s">
        <v>2272</v>
      </c>
      <c r="S3700" s="71" t="s">
        <v>2272</v>
      </c>
      <c r="T3700" s="71" t="s">
        <v>2272</v>
      </c>
      <c r="U3700" s="71" t="s">
        <v>2272</v>
      </c>
      <c r="V3700" s="71" t="s">
        <v>2272</v>
      </c>
      <c r="W3700" s="71" t="s">
        <v>2272</v>
      </c>
      <c r="X3700" s="71" t="s">
        <v>2272</v>
      </c>
      <c r="Y3700" s="71" t="s">
        <v>2272</v>
      </c>
      <c r="Z3700" s="71" t="s">
        <v>2272</v>
      </c>
      <c r="AA3700" s="198"/>
      <c r="AB3700" s="198"/>
      <c r="AC3700" s="198"/>
    </row>
    <row r="3701" spans="1:29" s="197" customFormat="1" ht="59" customHeight="1">
      <c r="A3701" s="151" t="str">
        <f>'Reported burning'!A3701</f>
        <v>400d</v>
      </c>
      <c r="B3701" s="151" t="str">
        <f>'Reported burning'!B3701</f>
        <v>400d.5</v>
      </c>
      <c r="C3701" s="151" t="str">
        <f>'Reported burning'!C3701</f>
        <v>All</v>
      </c>
      <c r="D3701" s="151" t="str">
        <f>'Reported burning'!D3701</f>
        <v>ND</v>
      </c>
      <c r="E3701" s="151" t="str">
        <f>'Reported burning'!E3701</f>
        <v>Cropping, Intensive</v>
      </c>
      <c r="F3701" s="151" t="str">
        <f>'Reported burning'!F3701</f>
        <v>ND</v>
      </c>
      <c r="G3701" s="151" t="str">
        <f>'Reported burning'!G3701</f>
        <v>Cropland</v>
      </c>
      <c r="H3701" s="151" t="str">
        <f>'Reported burning'!H3701</f>
        <v>Presence</v>
      </c>
      <c r="I3701" s="5"/>
      <c r="J3701" s="71" t="s">
        <v>2272</v>
      </c>
      <c r="K3701" s="71" t="s">
        <v>2272</v>
      </c>
      <c r="L3701" s="71" t="s">
        <v>2272</v>
      </c>
      <c r="M3701" s="71" t="s">
        <v>2272</v>
      </c>
      <c r="N3701" s="71" t="s">
        <v>2272</v>
      </c>
      <c r="O3701" s="71" t="s">
        <v>2272</v>
      </c>
      <c r="P3701" s="71" t="s">
        <v>2272</v>
      </c>
      <c r="Q3701" s="71" t="s">
        <v>2272</v>
      </c>
      <c r="R3701" s="71" t="s">
        <v>2272</v>
      </c>
      <c r="S3701" s="71" t="s">
        <v>2272</v>
      </c>
      <c r="T3701" s="71" t="s">
        <v>2272</v>
      </c>
      <c r="U3701" s="71" t="s">
        <v>2272</v>
      </c>
      <c r="V3701" s="71" t="s">
        <v>2272</v>
      </c>
      <c r="W3701" s="71" t="s">
        <v>2272</v>
      </c>
      <c r="X3701" s="71" t="s">
        <v>2272</v>
      </c>
      <c r="Y3701" s="71" t="s">
        <v>2272</v>
      </c>
      <c r="Z3701" s="71" t="s">
        <v>2272</v>
      </c>
      <c r="AA3701" s="198"/>
      <c r="AB3701" s="198"/>
      <c r="AC3701" s="198"/>
    </row>
    <row r="3702" spans="1:29" s="197" customFormat="1" ht="59" customHeight="1">
      <c r="A3702" s="151" t="str">
        <f>'Reported burning'!A3702</f>
        <v>400e</v>
      </c>
      <c r="B3702" s="151" t="str">
        <f>'Reported burning'!B3702</f>
        <v>400e.1</v>
      </c>
      <c r="C3702" s="151" t="str">
        <f>'Reported burning'!C3702</f>
        <v>All</v>
      </c>
      <c r="D3702" s="151" t="str">
        <f>'Reported burning'!D3702</f>
        <v>ND</v>
      </c>
      <c r="E3702" s="151" t="str">
        <f>'Reported burning'!E3702</f>
        <v>ND</v>
      </c>
      <c r="F3702" s="151" t="str">
        <f>'Reported burning'!F3702</f>
        <v>ND</v>
      </c>
      <c r="G3702" s="151" t="str">
        <f>'Reported burning'!G3702</f>
        <v>Forest</v>
      </c>
      <c r="H3702" s="151" t="str">
        <f>'Reported burning'!H3702</f>
        <v>Presence</v>
      </c>
      <c r="I3702" s="5"/>
      <c r="J3702" s="71" t="s">
        <v>2272</v>
      </c>
      <c r="K3702" s="71" t="s">
        <v>2272</v>
      </c>
      <c r="L3702" s="71" t="s">
        <v>2272</v>
      </c>
      <c r="M3702" s="71" t="s">
        <v>2272</v>
      </c>
      <c r="N3702" s="71" t="s">
        <v>2272</v>
      </c>
      <c r="O3702" s="71" t="s">
        <v>2272</v>
      </c>
      <c r="P3702" s="71" t="s">
        <v>2272</v>
      </c>
      <c r="Q3702" s="71" t="s">
        <v>2272</v>
      </c>
      <c r="R3702" s="71" t="s">
        <v>2272</v>
      </c>
      <c r="S3702" s="71" t="s">
        <v>2272</v>
      </c>
      <c r="T3702" s="71" t="s">
        <v>2272</v>
      </c>
      <c r="U3702" s="71" t="s">
        <v>2272</v>
      </c>
      <c r="V3702" s="71" t="s">
        <v>2272</v>
      </c>
      <c r="W3702" s="71" t="s">
        <v>2272</v>
      </c>
      <c r="X3702" s="71" t="s">
        <v>2272</v>
      </c>
      <c r="Y3702" s="71" t="s">
        <v>2272</v>
      </c>
      <c r="Z3702" s="71" t="s">
        <v>2272</v>
      </c>
      <c r="AA3702" s="198"/>
      <c r="AB3702" s="198"/>
      <c r="AC3702" s="198"/>
    </row>
    <row r="3703" spans="1:29" s="197" customFormat="1" ht="59" customHeight="1">
      <c r="A3703" s="151" t="str">
        <f>'Reported burning'!A3703</f>
        <v>400e</v>
      </c>
      <c r="B3703" s="151" t="str">
        <f>'Reported burning'!B3703</f>
        <v>400e.2</v>
      </c>
      <c r="C3703" s="151" t="str">
        <f>'Reported burning'!C3703</f>
        <v>All</v>
      </c>
      <c r="D3703" s="151" t="str">
        <f>'Reported burning'!D3703</f>
        <v>ND</v>
      </c>
      <c r="E3703" s="151" t="str">
        <f>'Reported burning'!E3703</f>
        <v>ND</v>
      </c>
      <c r="F3703" s="151" t="str">
        <f>'Reported burning'!F3703</f>
        <v>ND</v>
      </c>
      <c r="G3703" s="151" t="str">
        <f>'Reported burning'!G3703</f>
        <v>Grassland</v>
      </c>
      <c r="H3703" s="151" t="str">
        <f>'Reported burning'!H3703</f>
        <v>Presence</v>
      </c>
      <c r="I3703" s="5"/>
      <c r="J3703" s="71" t="s">
        <v>2272</v>
      </c>
      <c r="K3703" s="71" t="s">
        <v>2272</v>
      </c>
      <c r="L3703" s="71" t="s">
        <v>2272</v>
      </c>
      <c r="M3703" s="71" t="s">
        <v>2272</v>
      </c>
      <c r="N3703" s="71" t="s">
        <v>2272</v>
      </c>
      <c r="O3703" s="71" t="s">
        <v>2272</v>
      </c>
      <c r="P3703" s="71" t="s">
        <v>2272</v>
      </c>
      <c r="Q3703" s="71" t="s">
        <v>2272</v>
      </c>
      <c r="R3703" s="71" t="s">
        <v>2272</v>
      </c>
      <c r="S3703" s="71" t="s">
        <v>2272</v>
      </c>
      <c r="T3703" s="71" t="s">
        <v>2272</v>
      </c>
      <c r="U3703" s="71" t="s">
        <v>2272</v>
      </c>
      <c r="V3703" s="71" t="s">
        <v>2272</v>
      </c>
      <c r="W3703" s="71" t="s">
        <v>2272</v>
      </c>
      <c r="X3703" s="71" t="s">
        <v>2272</v>
      </c>
      <c r="Y3703" s="71" t="s">
        <v>2272</v>
      </c>
      <c r="Z3703" s="71" t="s">
        <v>2272</v>
      </c>
      <c r="AA3703" s="198"/>
      <c r="AB3703" s="198"/>
      <c r="AC3703" s="198"/>
    </row>
    <row r="3704" spans="1:29" s="197" customFormat="1" ht="59" customHeight="1">
      <c r="A3704" s="151" t="str">
        <f>'Reported burning'!A3704</f>
        <v>400e</v>
      </c>
      <c r="B3704" s="151" t="str">
        <f>'Reported burning'!B3704</f>
        <v>400e.3</v>
      </c>
      <c r="C3704" s="151" t="str">
        <f>'Reported burning'!C3704</f>
        <v>All</v>
      </c>
      <c r="D3704" s="151" t="str">
        <f>'Reported burning'!D3704</f>
        <v>ND</v>
      </c>
      <c r="E3704" s="151" t="str">
        <f>'Reported burning'!E3704</f>
        <v>ND</v>
      </c>
      <c r="F3704" s="151" t="str">
        <f>'Reported burning'!F3704</f>
        <v>ND</v>
      </c>
      <c r="G3704" s="151" t="str">
        <f>'Reported burning'!G3704</f>
        <v>Plantation forest</v>
      </c>
      <c r="H3704" s="151" t="str">
        <f>'Reported burning'!H3704</f>
        <v>Presence</v>
      </c>
      <c r="I3704" s="5"/>
      <c r="J3704" s="71" t="s">
        <v>2272</v>
      </c>
      <c r="K3704" s="71" t="s">
        <v>2272</v>
      </c>
      <c r="L3704" s="71" t="s">
        <v>2272</v>
      </c>
      <c r="M3704" s="71" t="s">
        <v>2272</v>
      </c>
      <c r="N3704" s="71" t="s">
        <v>2272</v>
      </c>
      <c r="O3704" s="71" t="s">
        <v>2272</v>
      </c>
      <c r="P3704" s="71" t="s">
        <v>2272</v>
      </c>
      <c r="Q3704" s="71" t="s">
        <v>2272</v>
      </c>
      <c r="R3704" s="71" t="s">
        <v>2272</v>
      </c>
      <c r="S3704" s="71" t="s">
        <v>2272</v>
      </c>
      <c r="T3704" s="71" t="s">
        <v>2272</v>
      </c>
      <c r="U3704" s="71" t="s">
        <v>2272</v>
      </c>
      <c r="V3704" s="71" t="s">
        <v>2272</v>
      </c>
      <c r="W3704" s="71" t="s">
        <v>2272</v>
      </c>
      <c r="X3704" s="71" t="s">
        <v>2272</v>
      </c>
      <c r="Y3704" s="71" t="s">
        <v>2272</v>
      </c>
      <c r="Z3704" s="71" t="s">
        <v>2272</v>
      </c>
      <c r="AA3704" s="198"/>
      <c r="AB3704" s="198"/>
      <c r="AC3704" s="198"/>
    </row>
    <row r="3705" spans="1:29" s="197" customFormat="1" ht="59" customHeight="1">
      <c r="A3705" s="151" t="str">
        <f>'Reported burning'!A3705</f>
        <v>400e</v>
      </c>
      <c r="B3705" s="151" t="str">
        <f>'Reported burning'!B3705</f>
        <v>400e.4</v>
      </c>
      <c r="C3705" s="151" t="str">
        <f>'Reported burning'!C3705</f>
        <v>All</v>
      </c>
      <c r="D3705" s="151" t="str">
        <f>'Reported burning'!D3705</f>
        <v>ND</v>
      </c>
      <c r="E3705" s="151" t="str">
        <f>'Reported burning'!E3705</f>
        <v>Cropping, Swidden</v>
      </c>
      <c r="F3705" s="151" t="str">
        <f>'Reported burning'!F3705</f>
        <v>ND</v>
      </c>
      <c r="G3705" s="151" t="str">
        <f>'Reported burning'!G3705</f>
        <v>Cropland</v>
      </c>
      <c r="H3705" s="151" t="str">
        <f>'Reported burning'!H3705</f>
        <v>Presence</v>
      </c>
      <c r="I3705" s="5"/>
      <c r="J3705" s="71" t="s">
        <v>2272</v>
      </c>
      <c r="K3705" s="71" t="s">
        <v>2272</v>
      </c>
      <c r="L3705" s="71" t="s">
        <v>2272</v>
      </c>
      <c r="M3705" s="71" t="s">
        <v>2272</v>
      </c>
      <c r="N3705" s="71" t="s">
        <v>2272</v>
      </c>
      <c r="O3705" s="71" t="s">
        <v>2272</v>
      </c>
      <c r="P3705" s="71" t="s">
        <v>2272</v>
      </c>
      <c r="Q3705" s="71" t="s">
        <v>2272</v>
      </c>
      <c r="R3705" s="71" t="s">
        <v>2272</v>
      </c>
      <c r="S3705" s="71" t="s">
        <v>2272</v>
      </c>
      <c r="T3705" s="71" t="s">
        <v>2272</v>
      </c>
      <c r="U3705" s="71" t="s">
        <v>2272</v>
      </c>
      <c r="V3705" s="71" t="s">
        <v>2272</v>
      </c>
      <c r="W3705" s="71" t="s">
        <v>2272</v>
      </c>
      <c r="X3705" s="71" t="s">
        <v>2272</v>
      </c>
      <c r="Y3705" s="71" t="s">
        <v>2272</v>
      </c>
      <c r="Z3705" s="71" t="s">
        <v>2272</v>
      </c>
      <c r="AA3705" s="198"/>
      <c r="AB3705" s="198"/>
      <c r="AC3705" s="198"/>
    </row>
    <row r="3706" spans="1:29" s="197" customFormat="1" ht="59" customHeight="1">
      <c r="A3706" s="151" t="str">
        <f>'Reported burning'!A3706</f>
        <v>400e</v>
      </c>
      <c r="B3706" s="151" t="str">
        <f>'Reported burning'!B3706</f>
        <v>400e.5</v>
      </c>
      <c r="C3706" s="151" t="str">
        <f>'Reported burning'!C3706</f>
        <v>All</v>
      </c>
      <c r="D3706" s="151" t="str">
        <f>'Reported burning'!D3706</f>
        <v>ND</v>
      </c>
      <c r="E3706" s="151" t="str">
        <f>'Reported burning'!E3706</f>
        <v>Cropping, Intensive</v>
      </c>
      <c r="F3706" s="151" t="str">
        <f>'Reported burning'!F3706</f>
        <v>ND</v>
      </c>
      <c r="G3706" s="151" t="str">
        <f>'Reported burning'!G3706</f>
        <v>Cropland</v>
      </c>
      <c r="H3706" s="151" t="str">
        <f>'Reported burning'!H3706</f>
        <v>Presence</v>
      </c>
      <c r="I3706" s="5"/>
      <c r="J3706" s="71" t="s">
        <v>2272</v>
      </c>
      <c r="K3706" s="71" t="s">
        <v>2272</v>
      </c>
      <c r="L3706" s="71" t="s">
        <v>2272</v>
      </c>
      <c r="M3706" s="71" t="s">
        <v>2272</v>
      </c>
      <c r="N3706" s="71" t="s">
        <v>2272</v>
      </c>
      <c r="O3706" s="71" t="s">
        <v>2272</v>
      </c>
      <c r="P3706" s="71" t="s">
        <v>2272</v>
      </c>
      <c r="Q3706" s="71" t="s">
        <v>2272</v>
      </c>
      <c r="R3706" s="71" t="s">
        <v>2272</v>
      </c>
      <c r="S3706" s="71" t="s">
        <v>2272</v>
      </c>
      <c r="T3706" s="71" t="s">
        <v>2272</v>
      </c>
      <c r="U3706" s="71" t="s">
        <v>2272</v>
      </c>
      <c r="V3706" s="71" t="s">
        <v>2272</v>
      </c>
      <c r="W3706" s="71" t="s">
        <v>2272</v>
      </c>
      <c r="X3706" s="71" t="s">
        <v>2272</v>
      </c>
      <c r="Y3706" s="71" t="s">
        <v>2272</v>
      </c>
      <c r="Z3706" s="71" t="s">
        <v>2272</v>
      </c>
      <c r="AA3706" s="198"/>
      <c r="AB3706" s="198"/>
      <c r="AC3706" s="198"/>
    </row>
    <row r="3707" spans="1:29" s="197" customFormat="1" ht="59" customHeight="1">
      <c r="A3707" s="151" t="str">
        <f>'Reported burning'!A3707</f>
        <v>400f</v>
      </c>
      <c r="B3707" s="151" t="str">
        <f>'Reported burning'!B3707</f>
        <v>400f.1</v>
      </c>
      <c r="C3707" s="151" t="str">
        <f>'Reported burning'!C3707</f>
        <v>All</v>
      </c>
      <c r="D3707" s="151" t="str">
        <f>'Reported burning'!D3707</f>
        <v>ND</v>
      </c>
      <c r="E3707" s="151" t="str">
        <f>'Reported burning'!E3707</f>
        <v>ND</v>
      </c>
      <c r="F3707" s="151" t="str">
        <f>'Reported burning'!F3707</f>
        <v>ND</v>
      </c>
      <c r="G3707" s="151" t="str">
        <f>'Reported burning'!G3707</f>
        <v>Forest</v>
      </c>
      <c r="H3707" s="151" t="str">
        <f>'Reported burning'!H3707</f>
        <v>Presence</v>
      </c>
      <c r="I3707" s="5"/>
      <c r="J3707" s="71" t="s">
        <v>2272</v>
      </c>
      <c r="K3707" s="71" t="s">
        <v>2272</v>
      </c>
      <c r="L3707" s="71" t="s">
        <v>2272</v>
      </c>
      <c r="M3707" s="71" t="s">
        <v>2272</v>
      </c>
      <c r="N3707" s="71" t="s">
        <v>2272</v>
      </c>
      <c r="O3707" s="71" t="s">
        <v>2272</v>
      </c>
      <c r="P3707" s="71" t="s">
        <v>2272</v>
      </c>
      <c r="Q3707" s="71" t="s">
        <v>2272</v>
      </c>
      <c r="R3707" s="71" t="s">
        <v>2272</v>
      </c>
      <c r="S3707" s="71" t="s">
        <v>2272</v>
      </c>
      <c r="T3707" s="71" t="s">
        <v>2272</v>
      </c>
      <c r="U3707" s="71" t="s">
        <v>2272</v>
      </c>
      <c r="V3707" s="71" t="s">
        <v>2272</v>
      </c>
      <c r="W3707" s="71" t="s">
        <v>2272</v>
      </c>
      <c r="X3707" s="71" t="s">
        <v>2272</v>
      </c>
      <c r="Y3707" s="71" t="s">
        <v>2272</v>
      </c>
      <c r="Z3707" s="71" t="s">
        <v>2272</v>
      </c>
      <c r="AA3707" s="198"/>
      <c r="AB3707" s="198"/>
      <c r="AC3707" s="198"/>
    </row>
    <row r="3708" spans="1:29" ht="59" customHeight="1">
      <c r="A3708" s="151" t="str">
        <f>'Reported burning'!A3708</f>
        <v>400f</v>
      </c>
      <c r="B3708" s="151" t="str">
        <f>'Reported burning'!B3708</f>
        <v>400f.2</v>
      </c>
      <c r="C3708" s="151" t="str">
        <f>'Reported burning'!C3708</f>
        <v>All</v>
      </c>
      <c r="D3708" s="151" t="str">
        <f>'Reported burning'!D3708</f>
        <v>ND</v>
      </c>
      <c r="E3708" s="151" t="str">
        <f>'Reported burning'!E3708</f>
        <v>ND</v>
      </c>
      <c r="F3708" s="151" t="str">
        <f>'Reported burning'!F3708</f>
        <v>ND</v>
      </c>
      <c r="G3708" s="151" t="str">
        <f>'Reported burning'!G3708</f>
        <v>Secondary vegetation</v>
      </c>
      <c r="H3708" s="151" t="str">
        <f>'Reported burning'!H3708</f>
        <v>Presence</v>
      </c>
      <c r="I3708" s="5"/>
      <c r="J3708" s="71" t="s">
        <v>2272</v>
      </c>
      <c r="K3708" s="71" t="s">
        <v>2272</v>
      </c>
      <c r="L3708" s="71" t="s">
        <v>2272</v>
      </c>
      <c r="M3708" s="71" t="s">
        <v>2272</v>
      </c>
      <c r="N3708" s="71" t="s">
        <v>2272</v>
      </c>
      <c r="O3708" s="71" t="s">
        <v>2272</v>
      </c>
      <c r="P3708" s="71" t="s">
        <v>2272</v>
      </c>
      <c r="Q3708" s="71" t="s">
        <v>2272</v>
      </c>
      <c r="R3708" s="71" t="s">
        <v>2272</v>
      </c>
      <c r="S3708" s="71" t="s">
        <v>2272</v>
      </c>
      <c r="T3708" s="71" t="s">
        <v>2272</v>
      </c>
      <c r="U3708" s="71" t="s">
        <v>2272</v>
      </c>
      <c r="V3708" s="71" t="s">
        <v>2272</v>
      </c>
      <c r="W3708" s="71" t="s">
        <v>2272</v>
      </c>
      <c r="X3708" s="71" t="s">
        <v>2272</v>
      </c>
      <c r="Y3708" s="71" t="s">
        <v>2272</v>
      </c>
      <c r="Z3708" s="71" t="s">
        <v>2272</v>
      </c>
      <c r="AA3708" s="198" t="s">
        <v>9551</v>
      </c>
      <c r="AB3708" s="198"/>
      <c r="AC3708" s="198"/>
    </row>
    <row r="3709" spans="1:29" ht="59" customHeight="1">
      <c r="A3709" s="151" t="str">
        <f>'Reported burning'!A3709</f>
        <v>400f</v>
      </c>
      <c r="B3709" s="151" t="str">
        <f>'Reported burning'!B3709</f>
        <v>400f.3</v>
      </c>
      <c r="C3709" s="151" t="str">
        <f>'Reported burning'!C3709</f>
        <v>All</v>
      </c>
      <c r="D3709" s="151" t="str">
        <f>'Reported burning'!D3709</f>
        <v>ND</v>
      </c>
      <c r="E3709" s="151" t="str">
        <f>'Reported burning'!E3709</f>
        <v>ND</v>
      </c>
      <c r="F3709" s="151" t="str">
        <f>'Reported burning'!F3709</f>
        <v>ND</v>
      </c>
      <c r="G3709" s="151" t="str">
        <f>'Reported burning'!G3709</f>
        <v>Forest</v>
      </c>
      <c r="H3709" s="151" t="str">
        <f>'Reported burning'!H3709</f>
        <v>Presence</v>
      </c>
      <c r="I3709" s="5"/>
      <c r="J3709" s="71" t="s">
        <v>2272</v>
      </c>
      <c r="K3709" s="71" t="s">
        <v>2272</v>
      </c>
      <c r="L3709" s="71" t="s">
        <v>2272</v>
      </c>
      <c r="M3709" s="71" t="s">
        <v>2272</v>
      </c>
      <c r="N3709" s="71" t="s">
        <v>2272</v>
      </c>
      <c r="O3709" s="71" t="s">
        <v>2272</v>
      </c>
      <c r="P3709" s="71" t="s">
        <v>2272</v>
      </c>
      <c r="Q3709" s="71" t="s">
        <v>2272</v>
      </c>
      <c r="R3709" s="71" t="s">
        <v>2272</v>
      </c>
      <c r="S3709" s="71" t="s">
        <v>2272</v>
      </c>
      <c r="T3709" s="71" t="s">
        <v>2272</v>
      </c>
      <c r="U3709" s="71" t="s">
        <v>2272</v>
      </c>
      <c r="V3709" s="71" t="s">
        <v>2272</v>
      </c>
      <c r="W3709" s="71" t="s">
        <v>2272</v>
      </c>
      <c r="X3709" s="71" t="s">
        <v>2272</v>
      </c>
      <c r="Y3709" s="71" t="s">
        <v>2272</v>
      </c>
      <c r="Z3709" s="71" t="s">
        <v>2272</v>
      </c>
      <c r="AA3709" s="198"/>
      <c r="AB3709" s="198"/>
      <c r="AC3709" s="198"/>
    </row>
    <row r="3710" spans="1:29" ht="59" customHeight="1">
      <c r="A3710" s="151" t="str">
        <f>'Reported burning'!A3710</f>
        <v>400f</v>
      </c>
      <c r="B3710" s="151" t="str">
        <f>'Reported burning'!B3710</f>
        <v>400f.4</v>
      </c>
      <c r="C3710" s="151" t="str">
        <f>'Reported burning'!C3710</f>
        <v>All</v>
      </c>
      <c r="D3710" s="151" t="str">
        <f>'Reported burning'!D3710</f>
        <v>ND</v>
      </c>
      <c r="E3710" s="151" t="str">
        <f>'Reported burning'!E3710</f>
        <v>Forestry, Industrial</v>
      </c>
      <c r="F3710" s="151" t="str">
        <f>'Reported burning'!F3710</f>
        <v>ND</v>
      </c>
      <c r="G3710" s="151" t="str">
        <f>'Reported burning'!G3710</f>
        <v>Plantation forest</v>
      </c>
      <c r="H3710" s="151" t="str">
        <f>'Reported burning'!H3710</f>
        <v>Presence</v>
      </c>
      <c r="I3710" s="5"/>
      <c r="J3710" s="71" t="s">
        <v>2272</v>
      </c>
      <c r="K3710" s="71" t="s">
        <v>2272</v>
      </c>
      <c r="L3710" s="71" t="s">
        <v>2272</v>
      </c>
      <c r="M3710" s="71" t="s">
        <v>2272</v>
      </c>
      <c r="N3710" s="71" t="s">
        <v>2272</v>
      </c>
      <c r="O3710" s="71" t="s">
        <v>2272</v>
      </c>
      <c r="P3710" s="71" t="s">
        <v>2272</v>
      </c>
      <c r="Q3710" s="71" t="s">
        <v>2272</v>
      </c>
      <c r="R3710" s="71" t="s">
        <v>2272</v>
      </c>
      <c r="S3710" s="71" t="s">
        <v>2272</v>
      </c>
      <c r="T3710" s="71" t="s">
        <v>2272</v>
      </c>
      <c r="U3710" s="71" t="s">
        <v>2272</v>
      </c>
      <c r="V3710" s="71" t="s">
        <v>2272</v>
      </c>
      <c r="W3710" s="71" t="s">
        <v>2272</v>
      </c>
      <c r="X3710" s="71" t="s">
        <v>2272</v>
      </c>
      <c r="Y3710" s="71" t="s">
        <v>2272</v>
      </c>
      <c r="Z3710" s="71" t="s">
        <v>2272</v>
      </c>
      <c r="AA3710" s="198"/>
      <c r="AB3710" s="198"/>
      <c r="AC3710" s="198"/>
    </row>
    <row r="3711" spans="1:29" ht="59" customHeight="1">
      <c r="A3711" s="151" t="str">
        <f>'Reported burning'!A3711</f>
        <v>400f</v>
      </c>
      <c r="B3711" s="151" t="str">
        <f>'Reported burning'!B3711</f>
        <v>400f.5</v>
      </c>
      <c r="C3711" s="151" t="str">
        <f>'Reported burning'!C3711</f>
        <v>All</v>
      </c>
      <c r="D3711" s="151" t="str">
        <f>'Reported burning'!D3711</f>
        <v>ND</v>
      </c>
      <c r="E3711" s="151" t="str">
        <f>'Reported burning'!E3711</f>
        <v>Cropping, Intensive</v>
      </c>
      <c r="F3711" s="151" t="str">
        <f>'Reported burning'!F3711</f>
        <v>ND</v>
      </c>
      <c r="G3711" s="151" t="str">
        <f>'Reported burning'!G3711</f>
        <v>Cropland</v>
      </c>
      <c r="H3711" s="151" t="str">
        <f>'Reported burning'!H3711</f>
        <v>Presence</v>
      </c>
      <c r="I3711" s="5"/>
      <c r="J3711" s="71" t="s">
        <v>2272</v>
      </c>
      <c r="K3711" s="71" t="s">
        <v>2272</v>
      </c>
      <c r="L3711" s="71" t="s">
        <v>2272</v>
      </c>
      <c r="M3711" s="71" t="s">
        <v>2272</v>
      </c>
      <c r="N3711" s="71" t="s">
        <v>2272</v>
      </c>
      <c r="O3711" s="71" t="s">
        <v>2272</v>
      </c>
      <c r="P3711" s="71" t="s">
        <v>2272</v>
      </c>
      <c r="Q3711" s="71" t="s">
        <v>2272</v>
      </c>
      <c r="R3711" s="71" t="s">
        <v>2272</v>
      </c>
      <c r="S3711" s="71" t="s">
        <v>2272</v>
      </c>
      <c r="T3711" s="71" t="s">
        <v>2272</v>
      </c>
      <c r="U3711" s="71" t="s">
        <v>2272</v>
      </c>
      <c r="V3711" s="71" t="s">
        <v>2272</v>
      </c>
      <c r="W3711" s="71" t="s">
        <v>2272</v>
      </c>
      <c r="X3711" s="71" t="s">
        <v>2272</v>
      </c>
      <c r="Y3711" s="71" t="s">
        <v>2272</v>
      </c>
      <c r="Z3711" s="71" t="s">
        <v>2272</v>
      </c>
      <c r="AA3711" s="198"/>
      <c r="AB3711" s="198"/>
      <c r="AC3711" s="198"/>
    </row>
    <row r="3712" spans="1:29" ht="59" customHeight="1">
      <c r="A3712" s="151" t="str">
        <f>'Reported burning'!A3712</f>
        <v>400f</v>
      </c>
      <c r="B3712" s="151" t="str">
        <f>'Reported burning'!B3712</f>
        <v>400f.6</v>
      </c>
      <c r="C3712" s="151" t="str">
        <f>'Reported burning'!C3712</f>
        <v>All</v>
      </c>
      <c r="D3712" s="151" t="str">
        <f>'Reported burning'!D3712</f>
        <v>ND</v>
      </c>
      <c r="E3712" s="151" t="str">
        <f>'Reported burning'!E3712</f>
        <v>Biodiversity conservation</v>
      </c>
      <c r="F3712" s="151" t="str">
        <f>'Reported burning'!F3713</f>
        <v>ND</v>
      </c>
      <c r="G3712" s="151" t="str">
        <f>'Reported burning'!G3713</f>
        <v>Secondary vegetation</v>
      </c>
      <c r="H3712" s="151" t="str">
        <f>'Reported burning'!H3713</f>
        <v>Presence</v>
      </c>
      <c r="I3712" s="5"/>
      <c r="J3712" s="71" t="s">
        <v>2272</v>
      </c>
      <c r="K3712" s="71" t="s">
        <v>2272</v>
      </c>
      <c r="L3712" s="71" t="s">
        <v>2272</v>
      </c>
      <c r="M3712" s="71" t="s">
        <v>2272</v>
      </c>
      <c r="N3712" s="71" t="s">
        <v>2272</v>
      </c>
      <c r="O3712" s="71" t="s">
        <v>2272</v>
      </c>
      <c r="P3712" s="71" t="s">
        <v>2272</v>
      </c>
      <c r="Q3712" s="71" t="s">
        <v>2272</v>
      </c>
      <c r="R3712" s="71" t="s">
        <v>2272</v>
      </c>
      <c r="S3712" s="71" t="s">
        <v>2272</v>
      </c>
      <c r="T3712" s="71" t="s">
        <v>2272</v>
      </c>
      <c r="U3712" s="71" t="s">
        <v>2272</v>
      </c>
      <c r="V3712" s="71" t="s">
        <v>2272</v>
      </c>
      <c r="W3712" s="71" t="s">
        <v>2272</v>
      </c>
      <c r="X3712" s="71" t="s">
        <v>2272</v>
      </c>
      <c r="Y3712" s="71" t="s">
        <v>2272</v>
      </c>
      <c r="Z3712" s="71" t="s">
        <v>2272</v>
      </c>
      <c r="AA3712" s="198"/>
      <c r="AB3712" s="198"/>
      <c r="AC3712" s="198"/>
    </row>
    <row r="3713" spans="1:29" ht="59" customHeight="1">
      <c r="A3713" s="151" t="str">
        <f>'Reported burning'!A3713</f>
        <v>400f</v>
      </c>
      <c r="B3713" s="151" t="str">
        <f>'Reported burning'!B3713</f>
        <v>400f.7</v>
      </c>
      <c r="C3713" s="151" t="str">
        <f>'Reported burning'!C3713</f>
        <v>All</v>
      </c>
      <c r="D3713" s="151" t="str">
        <f>'Reported burning'!D3713</f>
        <v>ND</v>
      </c>
      <c r="E3713" s="151" t="str">
        <f>'Reported burning'!E3713</f>
        <v>Cropping, Swidden</v>
      </c>
      <c r="F3713" s="151" t="str">
        <f>'Reported burning'!F3712</f>
        <v>ND</v>
      </c>
      <c r="G3713" s="151" t="str">
        <f>'Reported burning'!G3712</f>
        <v>Forest</v>
      </c>
      <c r="H3713" s="151" t="str">
        <f>'Reported burning'!H3712</f>
        <v>Presence</v>
      </c>
      <c r="I3713" s="5"/>
      <c r="J3713" s="71" t="s">
        <v>2272</v>
      </c>
      <c r="K3713" s="71" t="s">
        <v>2272</v>
      </c>
      <c r="L3713" s="71" t="s">
        <v>2272</v>
      </c>
      <c r="M3713" s="71" t="s">
        <v>2272</v>
      </c>
      <c r="N3713" s="71" t="s">
        <v>2272</v>
      </c>
      <c r="O3713" s="71" t="s">
        <v>2272</v>
      </c>
      <c r="P3713" s="71" t="s">
        <v>2272</v>
      </c>
      <c r="Q3713" s="71" t="s">
        <v>2272</v>
      </c>
      <c r="R3713" s="71" t="s">
        <v>2272</v>
      </c>
      <c r="S3713" s="71" t="s">
        <v>2272</v>
      </c>
      <c r="T3713" s="71" t="s">
        <v>2272</v>
      </c>
      <c r="U3713" s="71" t="s">
        <v>2272</v>
      </c>
      <c r="V3713" s="71" t="s">
        <v>2272</v>
      </c>
      <c r="W3713" s="71" t="s">
        <v>2272</v>
      </c>
      <c r="X3713" s="71" t="s">
        <v>2272</v>
      </c>
      <c r="Y3713" s="71" t="s">
        <v>2272</v>
      </c>
      <c r="Z3713" s="71" t="s">
        <v>2272</v>
      </c>
      <c r="AA3713" s="198"/>
      <c r="AB3713" s="198"/>
      <c r="AC3713" s="198"/>
    </row>
    <row r="3714" spans="1:29" ht="68.5" customHeight="1">
      <c r="A3714" s="151" t="str">
        <f>'Reported burning'!A3714</f>
        <v>402a</v>
      </c>
      <c r="B3714" s="151" t="str">
        <f>'Reported burning'!B3714</f>
        <v>402a.1</v>
      </c>
      <c r="C3714" s="151" t="str">
        <f>'Reported burning'!C3714</f>
        <v>Human, deliberate</v>
      </c>
      <c r="D3714" s="151" t="str">
        <f>'Reported burning'!D3714</f>
        <v>Arson</v>
      </c>
      <c r="E3714" s="151" t="str">
        <f>'Reported burning'!E3714</f>
        <v>Cropping, Intensive</v>
      </c>
      <c r="F3714" s="151" t="str">
        <f>'Reported burning'!F3714</f>
        <v>Cropland</v>
      </c>
      <c r="G3714" s="151" t="str">
        <f>'Reported burning'!G3714</f>
        <v>Cropland</v>
      </c>
      <c r="H3714" s="151" t="str">
        <f>'Reported burning'!H3714</f>
        <v>Presence</v>
      </c>
      <c r="I3714" s="5"/>
      <c r="J3714" s="71" t="s">
        <v>2272</v>
      </c>
      <c r="K3714" s="71" t="s">
        <v>2272</v>
      </c>
      <c r="L3714" s="71" t="s">
        <v>2272</v>
      </c>
      <c r="M3714" s="71" t="s">
        <v>2272</v>
      </c>
      <c r="N3714" s="71" t="s">
        <v>2272</v>
      </c>
      <c r="O3714" s="71" t="s">
        <v>2272</v>
      </c>
      <c r="P3714" s="71" t="s">
        <v>2272</v>
      </c>
      <c r="Q3714" s="71" t="s">
        <v>2272</v>
      </c>
      <c r="R3714" s="71" t="s">
        <v>2272</v>
      </c>
      <c r="S3714" s="71" t="s">
        <v>2272</v>
      </c>
      <c r="T3714" s="71" t="s">
        <v>2272</v>
      </c>
      <c r="U3714" s="71" t="s">
        <v>2272</v>
      </c>
      <c r="V3714" s="71" t="s">
        <v>2272</v>
      </c>
      <c r="W3714" s="71" t="s">
        <v>2272</v>
      </c>
      <c r="X3714" s="71" t="s">
        <v>2272</v>
      </c>
      <c r="Y3714" s="71" t="s">
        <v>2272</v>
      </c>
      <c r="Z3714" s="71" t="s">
        <v>2272</v>
      </c>
      <c r="AA3714" s="198"/>
      <c r="AB3714" s="198"/>
      <c r="AC3714" s="198"/>
    </row>
    <row r="3715" spans="1:29" ht="68.5" customHeight="1">
      <c r="A3715" s="151" t="str">
        <f>'Reported burning'!A3715</f>
        <v>402a</v>
      </c>
      <c r="B3715" s="151" t="str">
        <f>'Reported burning'!B3715</f>
        <v>402a.2</v>
      </c>
      <c r="C3715" s="151" t="str">
        <f>'Reported burning'!C3715</f>
        <v>Human, deliberate</v>
      </c>
      <c r="D3715" s="151" t="str">
        <f>'Reported burning'!D3715</f>
        <v>Arson</v>
      </c>
      <c r="E3715" s="151" t="str">
        <f>'Reported burning'!E3715</f>
        <v>Cropping, Swidden</v>
      </c>
      <c r="F3715" s="151" t="str">
        <f>'Reported burning'!F3715</f>
        <v>Cropland</v>
      </c>
      <c r="G3715" s="151" t="str">
        <f>'Reported burning'!G3715</f>
        <v>Cropland</v>
      </c>
      <c r="H3715" s="151" t="str">
        <f>'Reported burning'!H3715</f>
        <v>Presence</v>
      </c>
      <c r="I3715" s="5"/>
      <c r="J3715" s="71" t="s">
        <v>2272</v>
      </c>
      <c r="K3715" s="71" t="s">
        <v>2272</v>
      </c>
      <c r="L3715" s="71" t="s">
        <v>2272</v>
      </c>
      <c r="M3715" s="71" t="s">
        <v>2272</v>
      </c>
      <c r="N3715" s="71" t="s">
        <v>2272</v>
      </c>
      <c r="O3715" s="71" t="s">
        <v>2272</v>
      </c>
      <c r="P3715" s="71" t="s">
        <v>2272</v>
      </c>
      <c r="Q3715" s="71" t="s">
        <v>2272</v>
      </c>
      <c r="R3715" s="71" t="s">
        <v>2272</v>
      </c>
      <c r="S3715" s="71" t="s">
        <v>2272</v>
      </c>
      <c r="T3715" s="71" t="s">
        <v>2272</v>
      </c>
      <c r="U3715" s="71" t="s">
        <v>2272</v>
      </c>
      <c r="V3715" s="71" t="s">
        <v>2272</v>
      </c>
      <c r="W3715" s="71" t="s">
        <v>2272</v>
      </c>
      <c r="X3715" s="71" t="s">
        <v>2272</v>
      </c>
      <c r="Y3715" s="71" t="s">
        <v>2272</v>
      </c>
      <c r="Z3715" s="71" t="s">
        <v>2272</v>
      </c>
      <c r="AA3715" s="198"/>
      <c r="AB3715" s="198"/>
      <c r="AC3715" s="198"/>
    </row>
    <row r="3716" spans="1:29" ht="68.5" customHeight="1">
      <c r="A3716" s="151" t="str">
        <f>'Reported burning'!A3716</f>
        <v>402b</v>
      </c>
      <c r="B3716" s="151" t="str">
        <f>'Reported burning'!B3716</f>
        <v>402b.1</v>
      </c>
      <c r="C3716" s="151" t="str">
        <f>'Reported burning'!C3716</f>
        <v>Human, deliberate</v>
      </c>
      <c r="D3716" s="151" t="str">
        <f>'Reported burning'!D3716</f>
        <v>Crop field preparation</v>
      </c>
      <c r="E3716" s="151" t="str">
        <f>'Reported burning'!E3716</f>
        <v>Cropping, Swidden</v>
      </c>
      <c r="F3716" s="151" t="str">
        <f>'Reported burning'!F3716</f>
        <v>Secondary vegetation</v>
      </c>
      <c r="G3716" s="151" t="str">
        <f>'Reported burning'!G3716</f>
        <v>Secondary vegetation</v>
      </c>
      <c r="H3716" s="151" t="str">
        <f>'Reported burning'!H3716</f>
        <v>Presence</v>
      </c>
      <c r="I3716" s="5"/>
      <c r="J3716" s="71" t="s">
        <v>2272</v>
      </c>
      <c r="K3716" s="71" t="s">
        <v>2272</v>
      </c>
      <c r="L3716" s="71" t="s">
        <v>2272</v>
      </c>
      <c r="M3716" s="71" t="s">
        <v>2272</v>
      </c>
      <c r="N3716" s="71" t="s">
        <v>2272</v>
      </c>
      <c r="O3716" s="71" t="s">
        <v>2272</v>
      </c>
      <c r="P3716" s="71" t="s">
        <v>2272</v>
      </c>
      <c r="Q3716" s="71" t="s">
        <v>2272</v>
      </c>
      <c r="R3716" s="71" t="s">
        <v>2272</v>
      </c>
      <c r="S3716" s="71" t="s">
        <v>2272</v>
      </c>
      <c r="T3716" s="71" t="s">
        <v>2272</v>
      </c>
      <c r="U3716" s="71" t="s">
        <v>2272</v>
      </c>
      <c r="V3716" s="71" t="s">
        <v>2272</v>
      </c>
      <c r="W3716" s="71" t="s">
        <v>2272</v>
      </c>
      <c r="X3716" s="71" t="s">
        <v>2272</v>
      </c>
      <c r="Y3716" s="71" t="s">
        <v>2272</v>
      </c>
      <c r="Z3716" s="71" t="s">
        <v>2272</v>
      </c>
      <c r="AA3716" s="198"/>
      <c r="AB3716" s="198"/>
      <c r="AC3716" s="198"/>
    </row>
    <row r="3717" spans="1:29" ht="68.5" customHeight="1">
      <c r="A3717" s="151" t="str">
        <f>'Reported burning'!A3717</f>
        <v>402b</v>
      </c>
      <c r="B3717" s="151" t="str">
        <f>'Reported burning'!B3717</f>
        <v>402b.2</v>
      </c>
      <c r="C3717" s="151" t="str">
        <f>'Reported burning'!C3717</f>
        <v>Human, escaped</v>
      </c>
      <c r="D3717" s="151" t="str">
        <f>'Reported burning'!D3717</f>
        <v>Crop field preparation</v>
      </c>
      <c r="E3717" s="151" t="str">
        <f>'Reported burning'!E3717</f>
        <v>Cropping, Swidden</v>
      </c>
      <c r="F3717" s="151" t="str">
        <f>'Reported burning'!F3717</f>
        <v>Secondary vegetation</v>
      </c>
      <c r="G3717" s="151" t="str">
        <f>'Reported burning'!G3717</f>
        <v>Plantation forest</v>
      </c>
      <c r="H3717" s="151" t="str">
        <f>'Reported burning'!H3717</f>
        <v>Presence</v>
      </c>
      <c r="I3717" s="5"/>
      <c r="J3717" s="71" t="s">
        <v>2272</v>
      </c>
      <c r="K3717" s="71" t="s">
        <v>2272</v>
      </c>
      <c r="L3717" s="71" t="s">
        <v>2272</v>
      </c>
      <c r="M3717" s="71" t="s">
        <v>2272</v>
      </c>
      <c r="N3717" s="71" t="s">
        <v>2272</v>
      </c>
      <c r="O3717" s="71" t="s">
        <v>2272</v>
      </c>
      <c r="P3717" s="71" t="s">
        <v>2272</v>
      </c>
      <c r="Q3717" s="71" t="s">
        <v>2272</v>
      </c>
      <c r="R3717" s="71" t="s">
        <v>2272</v>
      </c>
      <c r="S3717" s="71" t="s">
        <v>2272</v>
      </c>
      <c r="T3717" s="71" t="s">
        <v>2272</v>
      </c>
      <c r="U3717" s="71" t="s">
        <v>2272</v>
      </c>
      <c r="V3717" s="71" t="s">
        <v>2272</v>
      </c>
      <c r="W3717" s="71" t="s">
        <v>2272</v>
      </c>
      <c r="X3717" s="71" t="s">
        <v>2272</v>
      </c>
      <c r="Y3717" s="71" t="s">
        <v>2272</v>
      </c>
      <c r="Z3717" s="71" t="s">
        <v>2272</v>
      </c>
      <c r="AA3717" s="198"/>
      <c r="AB3717" s="198"/>
      <c r="AC3717" s="198"/>
    </row>
    <row r="3718" spans="1:29" ht="68.5" customHeight="1">
      <c r="A3718" s="151" t="str">
        <f>'Reported burning'!A3718</f>
        <v>402b</v>
      </c>
      <c r="B3718" s="151" t="str">
        <f>'Reported burning'!B3718</f>
        <v>402b.3</v>
      </c>
      <c r="C3718" s="151" t="str">
        <f>'Reported burning'!C3718</f>
        <v>Human, escaped</v>
      </c>
      <c r="D3718" s="151" t="str">
        <f>'Reported burning'!D3718</f>
        <v>Arson</v>
      </c>
      <c r="E3718" s="151" t="str">
        <f>'Reported burning'!E3718</f>
        <v>Cropping, Swidden</v>
      </c>
      <c r="F3718" s="151" t="str">
        <f>'Reported burning'!F3718</f>
        <v>Plantation forest</v>
      </c>
      <c r="G3718" s="151" t="str">
        <f>'Reported burning'!G3718</f>
        <v>Plantation forest</v>
      </c>
      <c r="H3718" s="151" t="str">
        <f>'Reported burning'!H3718</f>
        <v>Presence</v>
      </c>
      <c r="I3718" s="5"/>
      <c r="J3718" s="71" t="s">
        <v>2272</v>
      </c>
      <c r="K3718" s="71" t="s">
        <v>2272</v>
      </c>
      <c r="L3718" s="71" t="s">
        <v>2272</v>
      </c>
      <c r="M3718" s="71" t="s">
        <v>2272</v>
      </c>
      <c r="N3718" s="71" t="s">
        <v>2272</v>
      </c>
      <c r="O3718" s="71" t="s">
        <v>2272</v>
      </c>
      <c r="P3718" s="71" t="s">
        <v>2272</v>
      </c>
      <c r="Q3718" s="71" t="s">
        <v>2272</v>
      </c>
      <c r="R3718" s="71" t="s">
        <v>2272</v>
      </c>
      <c r="S3718" s="71" t="s">
        <v>2272</v>
      </c>
      <c r="T3718" s="71" t="s">
        <v>2272</v>
      </c>
      <c r="U3718" s="71" t="s">
        <v>2272</v>
      </c>
      <c r="V3718" s="71" t="s">
        <v>2272</v>
      </c>
      <c r="W3718" s="71" t="s">
        <v>2272</v>
      </c>
      <c r="X3718" s="71" t="s">
        <v>2272</v>
      </c>
      <c r="Y3718" s="71" t="s">
        <v>2272</v>
      </c>
      <c r="Z3718" s="71" t="s">
        <v>2272</v>
      </c>
      <c r="AA3718" s="198"/>
      <c r="AB3718" s="198"/>
      <c r="AC3718" s="198"/>
    </row>
    <row r="3719" spans="1:29" ht="68.5" customHeight="1">
      <c r="A3719" s="151" t="str">
        <f>'Reported burning'!A3719</f>
        <v>402c</v>
      </c>
      <c r="B3719" s="151" t="str">
        <f>'Reported burning'!B3719</f>
        <v>402c.1</v>
      </c>
      <c r="C3719" s="151" t="str">
        <f>'Reported burning'!C3719</f>
        <v>Human, deliberate</v>
      </c>
      <c r="D3719" s="151" t="str">
        <f>'Reported burning'!D3719</f>
        <v>Arson</v>
      </c>
      <c r="E3719" s="151" t="str">
        <f>'Reported burning'!E3719</f>
        <v>Cropping, Monoculture, Subsistence-oriented</v>
      </c>
      <c r="F3719" s="151" t="str">
        <f>'Reported burning'!F3719</f>
        <v>Plantation forest</v>
      </c>
      <c r="G3719" s="151" t="str">
        <f>'Reported burning'!G3719</f>
        <v>Plantation forest</v>
      </c>
      <c r="H3719" s="151" t="str">
        <f>'Reported burning'!H3719</f>
        <v>Presence</v>
      </c>
      <c r="I3719" s="5"/>
      <c r="J3719" s="71" t="s">
        <v>2272</v>
      </c>
      <c r="K3719" s="71" t="s">
        <v>2272</v>
      </c>
      <c r="L3719" s="71" t="s">
        <v>2272</v>
      </c>
      <c r="M3719" s="71" t="s">
        <v>2272</v>
      </c>
      <c r="N3719" s="71" t="s">
        <v>2272</v>
      </c>
      <c r="O3719" s="71" t="s">
        <v>2272</v>
      </c>
      <c r="P3719" s="71" t="s">
        <v>2272</v>
      </c>
      <c r="Q3719" s="71" t="s">
        <v>2272</v>
      </c>
      <c r="R3719" s="71" t="s">
        <v>2272</v>
      </c>
      <c r="S3719" s="71" t="s">
        <v>2272</v>
      </c>
      <c r="T3719" s="71" t="s">
        <v>2272</v>
      </c>
      <c r="U3719" s="71" t="s">
        <v>2272</v>
      </c>
      <c r="V3719" s="71" t="s">
        <v>2272</v>
      </c>
      <c r="W3719" s="71" t="s">
        <v>2272</v>
      </c>
      <c r="X3719" s="71" t="s">
        <v>2272</v>
      </c>
      <c r="Y3719" s="71" t="s">
        <v>2272</v>
      </c>
      <c r="Z3719" s="71" t="s">
        <v>2272</v>
      </c>
      <c r="AA3719" s="198"/>
      <c r="AB3719" s="198"/>
      <c r="AC3719" s="198"/>
    </row>
    <row r="3720" spans="1:29" ht="68.5" customHeight="1">
      <c r="A3720" s="151" t="str">
        <f>'Reported burning'!A3720</f>
        <v>402c</v>
      </c>
      <c r="B3720" s="151" t="str">
        <f>'Reported burning'!B3720</f>
        <v>402c.2</v>
      </c>
      <c r="C3720" s="151" t="str">
        <f>'Reported burning'!C3720</f>
        <v>Human, deliberate</v>
      </c>
      <c r="D3720" s="151" t="str">
        <f>'Reported burning'!D3720</f>
        <v>Arson</v>
      </c>
      <c r="E3720" s="151" t="str">
        <f>'Reported burning'!E3720</f>
        <v>Cropping, Monoculture, Subsistence-oriented</v>
      </c>
      <c r="F3720" s="151" t="str">
        <f>'Reported burning'!F3720</f>
        <v>Plantation forest</v>
      </c>
      <c r="G3720" s="151" t="str">
        <f>'Reported burning'!G3720</f>
        <v>Plantation forest</v>
      </c>
      <c r="H3720" s="151" t="str">
        <f>'Reported burning'!H3720</f>
        <v>Presence</v>
      </c>
      <c r="I3720" s="5"/>
      <c r="J3720" s="71" t="s">
        <v>2272</v>
      </c>
      <c r="K3720" s="71" t="s">
        <v>2272</v>
      </c>
      <c r="L3720" s="71" t="s">
        <v>2272</v>
      </c>
      <c r="M3720" s="71" t="s">
        <v>2272</v>
      </c>
      <c r="N3720" s="71" t="s">
        <v>2272</v>
      </c>
      <c r="O3720" s="71" t="s">
        <v>2272</v>
      </c>
      <c r="P3720" s="71" t="s">
        <v>2272</v>
      </c>
      <c r="Q3720" s="71" t="s">
        <v>2272</v>
      </c>
      <c r="R3720" s="71" t="s">
        <v>2272</v>
      </c>
      <c r="S3720" s="71" t="s">
        <v>2272</v>
      </c>
      <c r="T3720" s="71" t="s">
        <v>2272</v>
      </c>
      <c r="U3720" s="71" t="s">
        <v>2272</v>
      </c>
      <c r="V3720" s="71" t="s">
        <v>2272</v>
      </c>
      <c r="W3720" s="71" t="s">
        <v>2272</v>
      </c>
      <c r="X3720" s="71" t="s">
        <v>2272</v>
      </c>
      <c r="Y3720" s="71" t="s">
        <v>2272</v>
      </c>
      <c r="Z3720" s="71" t="s">
        <v>2272</v>
      </c>
      <c r="AA3720" s="198"/>
      <c r="AB3720" s="198"/>
      <c r="AC3720" s="198"/>
    </row>
    <row r="3721" spans="1:29" ht="68.5" customHeight="1">
      <c r="A3721" s="151" t="str">
        <f>'Reported burning'!A3721</f>
        <v>402c</v>
      </c>
      <c r="B3721" s="151" t="str">
        <f>'Reported burning'!B3721</f>
        <v>402c.3</v>
      </c>
      <c r="C3721" s="151" t="str">
        <f>'Reported burning'!C3721</f>
        <v>Human, deliberate</v>
      </c>
      <c r="D3721" s="151" t="str">
        <f>'Reported burning'!D3721</f>
        <v>Arson</v>
      </c>
      <c r="E3721" s="151" t="str">
        <f>'Reported burning'!E3721</f>
        <v>Cropping, Monoculture, Subsistence-oriented</v>
      </c>
      <c r="F3721" s="151" t="str">
        <f>'Reported burning'!F3721</f>
        <v>Plantation forest</v>
      </c>
      <c r="G3721" s="151" t="str">
        <f>'Reported burning'!G3721</f>
        <v>Plantation forest</v>
      </c>
      <c r="H3721" s="151" t="str">
        <f>'Reported burning'!H3721</f>
        <v>Presence</v>
      </c>
      <c r="I3721" s="5"/>
      <c r="J3721" s="71" t="s">
        <v>2272</v>
      </c>
      <c r="K3721" s="71" t="s">
        <v>2272</v>
      </c>
      <c r="L3721" s="71" t="s">
        <v>2272</v>
      </c>
      <c r="M3721" s="71" t="s">
        <v>2272</v>
      </c>
      <c r="N3721" s="71" t="s">
        <v>2272</v>
      </c>
      <c r="O3721" s="71" t="s">
        <v>2272</v>
      </c>
      <c r="P3721" s="71" t="s">
        <v>2272</v>
      </c>
      <c r="Q3721" s="71" t="s">
        <v>2272</v>
      </c>
      <c r="R3721" s="71" t="s">
        <v>2272</v>
      </c>
      <c r="S3721" s="71" t="s">
        <v>2272</v>
      </c>
      <c r="T3721" s="71" t="s">
        <v>2272</v>
      </c>
      <c r="U3721" s="71" t="s">
        <v>2272</v>
      </c>
      <c r="V3721" s="71" t="s">
        <v>2272</v>
      </c>
      <c r="W3721" s="71" t="s">
        <v>2272</v>
      </c>
      <c r="X3721" s="71" t="s">
        <v>2272</v>
      </c>
      <c r="Y3721" s="71" t="s">
        <v>2272</v>
      </c>
      <c r="Z3721" s="71" t="s">
        <v>2272</v>
      </c>
      <c r="AA3721" s="198"/>
      <c r="AB3721" s="198"/>
      <c r="AC3721" s="198"/>
    </row>
    <row r="3722" spans="1:29" ht="68.5" customHeight="1">
      <c r="A3722" s="151" t="str">
        <f>'Reported burning'!A3722</f>
        <v>402c</v>
      </c>
      <c r="B3722" s="151" t="str">
        <f>'Reported burning'!B3722</f>
        <v>402c.4</v>
      </c>
      <c r="C3722" s="151" t="str">
        <f>'Reported burning'!C3722</f>
        <v>Human, deliberate</v>
      </c>
      <c r="D3722" s="151" t="str">
        <f>'Reported burning'!D3722</f>
        <v>Arson</v>
      </c>
      <c r="E3722" s="151" t="str">
        <f>'Reported burning'!E3722</f>
        <v>Cropping, Monoculture, Subsistence-oriented</v>
      </c>
      <c r="F3722" s="151" t="str">
        <f>'Reported burning'!F3722</f>
        <v>Plantation forest</v>
      </c>
      <c r="G3722" s="151" t="str">
        <f>'Reported burning'!G3722</f>
        <v>Plantation forest</v>
      </c>
      <c r="H3722" s="151" t="str">
        <f>'Reported burning'!H3722</f>
        <v>Presence</v>
      </c>
      <c r="I3722" s="5"/>
      <c r="J3722" s="71" t="s">
        <v>2272</v>
      </c>
      <c r="K3722" s="71" t="s">
        <v>2272</v>
      </c>
      <c r="L3722" s="71" t="s">
        <v>2272</v>
      </c>
      <c r="M3722" s="71" t="s">
        <v>2272</v>
      </c>
      <c r="N3722" s="71" t="s">
        <v>2272</v>
      </c>
      <c r="O3722" s="71" t="s">
        <v>2272</v>
      </c>
      <c r="P3722" s="71" t="s">
        <v>2272</v>
      </c>
      <c r="Q3722" s="71" t="s">
        <v>2272</v>
      </c>
      <c r="R3722" s="71" t="s">
        <v>2272</v>
      </c>
      <c r="S3722" s="71" t="s">
        <v>2272</v>
      </c>
      <c r="T3722" s="71" t="s">
        <v>2272</v>
      </c>
      <c r="U3722" s="71" t="s">
        <v>2272</v>
      </c>
      <c r="V3722" s="71" t="s">
        <v>2272</v>
      </c>
      <c r="W3722" s="71" t="s">
        <v>2272</v>
      </c>
      <c r="X3722" s="71" t="s">
        <v>2272</v>
      </c>
      <c r="Y3722" s="71" t="s">
        <v>2272</v>
      </c>
      <c r="Z3722" s="71" t="s">
        <v>2272</v>
      </c>
      <c r="AA3722" s="198"/>
      <c r="AB3722" s="198"/>
      <c r="AC3722" s="198"/>
    </row>
    <row r="3723" spans="1:29" ht="68.5" customHeight="1">
      <c r="A3723" s="151" t="str">
        <f>'Reported burning'!A3723</f>
        <v>402c</v>
      </c>
      <c r="B3723" s="151" t="str">
        <f>'Reported burning'!B3723</f>
        <v>402c.5</v>
      </c>
      <c r="C3723" s="151" t="str">
        <f>'Reported burning'!C3723</f>
        <v>Unknown</v>
      </c>
      <c r="D3723" s="151" t="str">
        <f>'Reported burning'!D3723</f>
        <v>All</v>
      </c>
      <c r="E3723" s="151" t="str">
        <f>'Reported burning'!E3723</f>
        <v>All</v>
      </c>
      <c r="F3723" s="151" t="str">
        <f>'Reported burning'!F3723</f>
        <v>All</v>
      </c>
      <c r="G3723" s="151" t="str">
        <f>'Reported burning'!G3723</f>
        <v>Grassland</v>
      </c>
      <c r="H3723" s="151" t="str">
        <f>'Reported burning'!H3723</f>
        <v>Presence</v>
      </c>
      <c r="I3723" s="5"/>
      <c r="J3723" s="71" t="s">
        <v>2272</v>
      </c>
      <c r="K3723" s="71" t="s">
        <v>2272</v>
      </c>
      <c r="L3723" s="71" t="s">
        <v>2272</v>
      </c>
      <c r="M3723" s="71" t="s">
        <v>2272</v>
      </c>
      <c r="N3723" s="71" t="s">
        <v>2272</v>
      </c>
      <c r="O3723" s="71" t="s">
        <v>2272</v>
      </c>
      <c r="P3723" s="71" t="s">
        <v>2272</v>
      </c>
      <c r="Q3723" s="71" t="s">
        <v>2272</v>
      </c>
      <c r="R3723" s="71" t="s">
        <v>2272</v>
      </c>
      <c r="S3723" s="71" t="s">
        <v>2272</v>
      </c>
      <c r="T3723" s="71" t="s">
        <v>2272</v>
      </c>
      <c r="U3723" s="71" t="s">
        <v>2272</v>
      </c>
      <c r="V3723" s="71" t="s">
        <v>2272</v>
      </c>
      <c r="W3723" s="71" t="s">
        <v>2272</v>
      </c>
      <c r="X3723" s="21" t="s">
        <v>2370</v>
      </c>
      <c r="Y3723" s="71" t="s">
        <v>2272</v>
      </c>
      <c r="Z3723" s="71" t="s">
        <v>2272</v>
      </c>
      <c r="AA3723" s="77" t="s">
        <v>9601</v>
      </c>
      <c r="AB3723" s="198"/>
      <c r="AC3723" s="198"/>
    </row>
    <row r="3724" spans="1:29" ht="112.5" customHeight="1">
      <c r="A3724" s="151" t="str">
        <f>'Reported burning'!A3724</f>
        <v>402c</v>
      </c>
      <c r="B3724" s="151" t="str">
        <f>'Reported burning'!B3724</f>
        <v>402c.6</v>
      </c>
      <c r="C3724" s="151" t="str">
        <f>'Reported burning'!C3724</f>
        <v>Human, deliberate</v>
      </c>
      <c r="D3724" s="151" t="str">
        <f>'Reported burning'!D3724</f>
        <v>Arson</v>
      </c>
      <c r="E3724" s="151" t="str">
        <f>'Reported burning'!E3724</f>
        <v>Cropping, Monoculture, Subsistence-oriented</v>
      </c>
      <c r="F3724" s="151" t="str">
        <f>'Reported burning'!F3724</f>
        <v>Plantation forest</v>
      </c>
      <c r="G3724" s="151" t="str">
        <f>'Reported burning'!G3724</f>
        <v>Plantation forest</v>
      </c>
      <c r="H3724" s="151" t="str">
        <f>'Reported burning'!H3724</f>
        <v>Absence</v>
      </c>
      <c r="I3724" s="5"/>
      <c r="J3724" s="21">
        <v>0</v>
      </c>
      <c r="K3724" s="21">
        <v>0</v>
      </c>
      <c r="L3724" s="21">
        <v>0</v>
      </c>
      <c r="M3724" s="21">
        <v>0</v>
      </c>
      <c r="N3724" s="21">
        <v>0</v>
      </c>
      <c r="O3724" s="21">
        <v>0</v>
      </c>
      <c r="P3724" s="21">
        <v>0</v>
      </c>
      <c r="Q3724" s="21">
        <v>0</v>
      </c>
      <c r="R3724" s="21">
        <v>0</v>
      </c>
      <c r="S3724" s="21">
        <v>0</v>
      </c>
      <c r="T3724" s="21">
        <v>0</v>
      </c>
      <c r="U3724" s="21">
        <v>0</v>
      </c>
      <c r="V3724" s="21">
        <v>0</v>
      </c>
      <c r="W3724" s="21">
        <v>0</v>
      </c>
      <c r="X3724" s="71" t="s">
        <v>2272</v>
      </c>
      <c r="Y3724" s="71" t="s">
        <v>2272</v>
      </c>
      <c r="Z3724" s="71" t="s">
        <v>2272</v>
      </c>
      <c r="AA3724" s="71" t="s">
        <v>2272</v>
      </c>
      <c r="AB3724" s="198"/>
      <c r="AC3724" s="198"/>
    </row>
    <row r="3725" spans="1:29" ht="56" customHeight="1">
      <c r="A3725" s="151" t="str">
        <f>'Reported burning'!A3725</f>
        <v>402c</v>
      </c>
      <c r="B3725" s="151" t="str">
        <f>'Reported burning'!B3725</f>
        <v>402c.7</v>
      </c>
      <c r="C3725" s="151" t="str">
        <f>'Reported burning'!C3725</f>
        <v>Human, deliberate</v>
      </c>
      <c r="D3725" s="151" t="str">
        <f>'Reported burning'!D3725</f>
        <v>ND</v>
      </c>
      <c r="E3725" s="151" t="str">
        <f>'Reported burning'!E3725</f>
        <v>Cropping, Monoculture, Subsistence-oriented</v>
      </c>
      <c r="F3725" s="151" t="str">
        <f>'Reported burning'!F3725</f>
        <v>Cropland</v>
      </c>
      <c r="G3725" s="151" t="str">
        <f>'Reported burning'!G3725</f>
        <v>Cropland</v>
      </c>
      <c r="H3725" s="151" t="str">
        <f>'Reported burning'!H3725</f>
        <v>Presence</v>
      </c>
      <c r="I3725" s="5"/>
      <c r="J3725" s="71" t="s">
        <v>2272</v>
      </c>
      <c r="K3725" s="71" t="s">
        <v>2272</v>
      </c>
      <c r="L3725" s="71" t="s">
        <v>2272</v>
      </c>
      <c r="M3725" s="71" t="s">
        <v>2272</v>
      </c>
      <c r="N3725" s="71" t="s">
        <v>2272</v>
      </c>
      <c r="O3725" s="71" t="s">
        <v>2272</v>
      </c>
      <c r="P3725" s="71" t="s">
        <v>2272</v>
      </c>
      <c r="Q3725" s="71" t="s">
        <v>2272</v>
      </c>
      <c r="R3725" s="71" t="s">
        <v>2272</v>
      </c>
      <c r="S3725" s="71" t="s">
        <v>2272</v>
      </c>
      <c r="T3725" s="71" t="s">
        <v>2272</v>
      </c>
      <c r="U3725" s="71" t="s">
        <v>2272</v>
      </c>
      <c r="V3725" s="71" t="s">
        <v>2272</v>
      </c>
      <c r="W3725" s="71" t="s">
        <v>2272</v>
      </c>
      <c r="X3725" s="71" t="s">
        <v>2272</v>
      </c>
      <c r="Y3725" s="71" t="s">
        <v>2272</v>
      </c>
      <c r="Z3725" s="71" t="s">
        <v>2272</v>
      </c>
      <c r="AA3725" s="71" t="s">
        <v>2272</v>
      </c>
      <c r="AB3725" s="4" t="s">
        <v>9604</v>
      </c>
      <c r="AC3725" s="198"/>
    </row>
    <row r="3726" spans="1:29" ht="56" customHeight="1">
      <c r="A3726" s="151" t="str">
        <f>'Reported burning'!A3726</f>
        <v>402d</v>
      </c>
      <c r="B3726" s="151" t="str">
        <f>'Reported burning'!B3726</f>
        <v>402d.1</v>
      </c>
      <c r="C3726" s="151" t="str">
        <f>'Reported burning'!C3726</f>
        <v>Human, deliberate</v>
      </c>
      <c r="D3726" s="151" t="str">
        <f>'Reported burning'!D3726</f>
        <v>Forest clearance</v>
      </c>
      <c r="E3726" s="151" t="str">
        <f>'Reported burning'!E3726</f>
        <v>Cropping, Monoculture, Market-oriented</v>
      </c>
      <c r="F3726" s="151" t="str">
        <f>'Reported burning'!F3726</f>
        <v>Forest</v>
      </c>
      <c r="G3726" s="151" t="str">
        <f>'Reported burning'!G3726</f>
        <v>Forest</v>
      </c>
      <c r="H3726" s="151" t="str">
        <f>'Reported burning'!H3726</f>
        <v>Presence</v>
      </c>
      <c r="I3726" s="5"/>
      <c r="J3726" s="71" t="s">
        <v>2272</v>
      </c>
      <c r="K3726" s="71" t="s">
        <v>2272</v>
      </c>
      <c r="L3726" s="71" t="s">
        <v>2272</v>
      </c>
      <c r="M3726" s="71" t="s">
        <v>2272</v>
      </c>
      <c r="N3726" s="71" t="s">
        <v>2272</v>
      </c>
      <c r="O3726" s="71" t="s">
        <v>2272</v>
      </c>
      <c r="P3726" s="71" t="s">
        <v>2272</v>
      </c>
      <c r="Q3726" s="71" t="s">
        <v>2272</v>
      </c>
      <c r="R3726" s="71" t="s">
        <v>2272</v>
      </c>
      <c r="S3726" s="71" t="s">
        <v>2272</v>
      </c>
      <c r="T3726" s="71" t="s">
        <v>2272</v>
      </c>
      <c r="U3726" s="71" t="s">
        <v>2272</v>
      </c>
      <c r="V3726" s="71" t="s">
        <v>2272</v>
      </c>
      <c r="W3726" s="71" t="s">
        <v>2272</v>
      </c>
      <c r="X3726" s="71" t="s">
        <v>2272</v>
      </c>
      <c r="Y3726" s="71" t="s">
        <v>2272</v>
      </c>
      <c r="Z3726" s="71" t="s">
        <v>2272</v>
      </c>
      <c r="AA3726" s="71" t="s">
        <v>2272</v>
      </c>
      <c r="AB3726" s="198"/>
      <c r="AC3726" s="198"/>
    </row>
    <row r="3727" spans="1:29" ht="74" customHeight="1">
      <c r="A3727" s="151" t="str">
        <f>'Reported burning'!A3727</f>
        <v>403b</v>
      </c>
      <c r="B3727" s="151" t="str">
        <f>'Reported burning'!B3727</f>
        <v>403b.1</v>
      </c>
      <c r="C3727" s="151" t="str">
        <f>'Reported burning'!C3727</f>
        <v>Human, deliberate</v>
      </c>
      <c r="D3727" s="151" t="str">
        <f>'Reported burning'!D3727</f>
        <v>Crop field preparation</v>
      </c>
      <c r="E3727" s="151" t="str">
        <f>'Reported burning'!E3727</f>
        <v>Cropping, Swidden</v>
      </c>
      <c r="F3727" s="151" t="str">
        <f>'Reported burning'!F3727</f>
        <v>Secondary vegetation</v>
      </c>
      <c r="G3727" s="151" t="str">
        <f>'Reported burning'!G3727</f>
        <v>Secondary vegetation</v>
      </c>
      <c r="H3727" s="151" t="str">
        <f>'Reported burning'!H3727</f>
        <v>Presence</v>
      </c>
      <c r="I3727" s="5"/>
      <c r="J3727" s="71" t="s">
        <v>2272</v>
      </c>
      <c r="K3727" s="71" t="s">
        <v>2272</v>
      </c>
      <c r="L3727" s="71" t="s">
        <v>2272</v>
      </c>
      <c r="M3727" s="71" t="s">
        <v>2272</v>
      </c>
      <c r="N3727" s="71" t="s">
        <v>2272</v>
      </c>
      <c r="O3727" s="71" t="s">
        <v>2272</v>
      </c>
      <c r="P3727" s="71" t="s">
        <v>2272</v>
      </c>
      <c r="Q3727" s="71" t="s">
        <v>2272</v>
      </c>
      <c r="R3727" s="71" t="s">
        <v>2272</v>
      </c>
      <c r="S3727" s="71" t="s">
        <v>2272</v>
      </c>
      <c r="T3727" s="71" t="s">
        <v>2272</v>
      </c>
      <c r="U3727" s="71" t="s">
        <v>2272</v>
      </c>
      <c r="V3727" s="71" t="s">
        <v>2272</v>
      </c>
      <c r="W3727" s="71" t="s">
        <v>2272</v>
      </c>
      <c r="X3727" s="21" t="s">
        <v>2397</v>
      </c>
      <c r="Y3727" s="71" t="s">
        <v>2272</v>
      </c>
      <c r="Z3727" s="71" t="s">
        <v>2272</v>
      </c>
      <c r="AA3727" s="71" t="s">
        <v>2272</v>
      </c>
      <c r="AB3727" s="198"/>
      <c r="AC3727" s="77" t="s">
        <v>9633</v>
      </c>
    </row>
    <row r="3728" spans="1:29" ht="74" customHeight="1">
      <c r="A3728" s="151" t="str">
        <f>'Reported burning'!A3728</f>
        <v>403c</v>
      </c>
      <c r="B3728" s="151" t="str">
        <f>'Reported burning'!B3728</f>
        <v>403c.1</v>
      </c>
      <c r="C3728" s="151" t="str">
        <f>'Reported burning'!C3728</f>
        <v>Human, deliberate</v>
      </c>
      <c r="D3728" s="151" t="str">
        <f>'Reported burning'!D3728</f>
        <v>Crop field preparation</v>
      </c>
      <c r="E3728" s="151" t="str">
        <f>'Reported burning'!E3728</f>
        <v>Cropping, Swidden</v>
      </c>
      <c r="F3728" s="151" t="str">
        <f>'Reported burning'!F3728</f>
        <v>Secondary vegetation</v>
      </c>
      <c r="G3728" s="151" t="str">
        <f>'Reported burning'!G3728</f>
        <v>Secondary vegetation</v>
      </c>
      <c r="H3728" s="151" t="str">
        <f>'Reported burning'!H3728</f>
        <v>Presence</v>
      </c>
      <c r="I3728" s="5"/>
      <c r="J3728" s="71" t="s">
        <v>2272</v>
      </c>
      <c r="K3728" s="71" t="s">
        <v>2272</v>
      </c>
      <c r="L3728" s="71" t="s">
        <v>2272</v>
      </c>
      <c r="M3728" s="71" t="s">
        <v>2272</v>
      </c>
      <c r="N3728" s="71" t="s">
        <v>2272</v>
      </c>
      <c r="O3728" s="71" t="s">
        <v>2272</v>
      </c>
      <c r="P3728" s="71" t="s">
        <v>2272</v>
      </c>
      <c r="Q3728" s="71" t="s">
        <v>2272</v>
      </c>
      <c r="R3728" s="71" t="s">
        <v>2272</v>
      </c>
      <c r="S3728" s="71" t="s">
        <v>2272</v>
      </c>
      <c r="T3728" s="71" t="s">
        <v>2272</v>
      </c>
      <c r="U3728" s="71" t="s">
        <v>2272</v>
      </c>
      <c r="V3728" s="71" t="s">
        <v>2272</v>
      </c>
      <c r="W3728" s="71" t="s">
        <v>2272</v>
      </c>
      <c r="X3728" s="21" t="s">
        <v>2397</v>
      </c>
      <c r="Y3728" s="71" t="s">
        <v>2272</v>
      </c>
      <c r="Z3728" s="71" t="s">
        <v>2272</v>
      </c>
      <c r="AA3728" s="71" t="s">
        <v>2272</v>
      </c>
      <c r="AB3728" s="198"/>
      <c r="AC3728" s="77" t="s">
        <v>9633</v>
      </c>
    </row>
    <row r="3729" spans="1:29" ht="74" customHeight="1">
      <c r="A3729" s="151" t="str">
        <f>'Reported burning'!A3729</f>
        <v>403d</v>
      </c>
      <c r="B3729" s="151" t="str">
        <f>'Reported burning'!B3729</f>
        <v>403d.1</v>
      </c>
      <c r="C3729" s="151" t="str">
        <f>'Reported burning'!C3729</f>
        <v>Human, deliberate</v>
      </c>
      <c r="D3729" s="151" t="str">
        <f>'Reported burning'!D3729</f>
        <v>Crop field preparation</v>
      </c>
      <c r="E3729" s="151" t="str">
        <f>'Reported burning'!E3729</f>
        <v>Cropping, Swidden</v>
      </c>
      <c r="F3729" s="151" t="str">
        <f>'Reported burning'!F3729</f>
        <v>Secondary vegetation</v>
      </c>
      <c r="G3729" s="151" t="str">
        <f>'Reported burning'!G3729</f>
        <v>Secondary vegetation</v>
      </c>
      <c r="H3729" s="151" t="str">
        <f>'Reported burning'!H3729</f>
        <v>Presence</v>
      </c>
      <c r="I3729" s="5"/>
      <c r="J3729" s="71" t="s">
        <v>2272</v>
      </c>
      <c r="K3729" s="71" t="s">
        <v>2272</v>
      </c>
      <c r="L3729" s="71" t="s">
        <v>2272</v>
      </c>
      <c r="M3729" s="71" t="s">
        <v>2272</v>
      </c>
      <c r="N3729" s="71" t="s">
        <v>2272</v>
      </c>
      <c r="O3729" s="71" t="s">
        <v>2272</v>
      </c>
      <c r="P3729" s="71" t="s">
        <v>2272</v>
      </c>
      <c r="Q3729" s="71" t="s">
        <v>2272</v>
      </c>
      <c r="R3729" s="71" t="s">
        <v>2272</v>
      </c>
      <c r="S3729" s="71" t="s">
        <v>2272</v>
      </c>
      <c r="T3729" s="71" t="s">
        <v>2272</v>
      </c>
      <c r="U3729" s="71" t="s">
        <v>2272</v>
      </c>
      <c r="V3729" s="71" t="s">
        <v>2272</v>
      </c>
      <c r="W3729" s="71" t="s">
        <v>2272</v>
      </c>
      <c r="X3729" s="21" t="s">
        <v>2397</v>
      </c>
      <c r="Y3729" s="71" t="s">
        <v>2272</v>
      </c>
      <c r="Z3729" s="71" t="s">
        <v>2272</v>
      </c>
      <c r="AA3729" s="71" t="s">
        <v>2272</v>
      </c>
      <c r="AB3729" s="198"/>
      <c r="AC3729" s="77" t="s">
        <v>9633</v>
      </c>
    </row>
    <row r="3730" spans="1:29" ht="74" customHeight="1">
      <c r="A3730" s="151" t="str">
        <f>'Reported burning'!A3730</f>
        <v>403e</v>
      </c>
      <c r="B3730" s="151" t="str">
        <f>'Reported burning'!B3730</f>
        <v>403e.1</v>
      </c>
      <c r="C3730" s="151" t="str">
        <f>'Reported burning'!C3730</f>
        <v>Human, deliberate</v>
      </c>
      <c r="D3730" s="151" t="str">
        <f>'Reported burning'!D3730</f>
        <v>Crop field preparation</v>
      </c>
      <c r="E3730" s="151" t="str">
        <f>'Reported burning'!E3730</f>
        <v>Cropping, Swidden</v>
      </c>
      <c r="F3730" s="151" t="str">
        <f>'Reported burning'!F3730</f>
        <v>Secondary vegetation</v>
      </c>
      <c r="G3730" s="151" t="str">
        <f>'Reported burning'!G3730</f>
        <v>Secondary vegetation</v>
      </c>
      <c r="H3730" s="151" t="str">
        <f>'Reported burning'!H3730</f>
        <v>Presence</v>
      </c>
      <c r="I3730" s="5"/>
      <c r="J3730" s="71" t="s">
        <v>2272</v>
      </c>
      <c r="K3730" s="71" t="s">
        <v>2272</v>
      </c>
      <c r="L3730" s="71" t="s">
        <v>2272</v>
      </c>
      <c r="M3730" s="71" t="s">
        <v>2272</v>
      </c>
      <c r="N3730" s="71" t="s">
        <v>2272</v>
      </c>
      <c r="O3730" s="71" t="s">
        <v>2272</v>
      </c>
      <c r="P3730" s="71" t="s">
        <v>2272</v>
      </c>
      <c r="Q3730" s="71" t="s">
        <v>2272</v>
      </c>
      <c r="R3730" s="71" t="s">
        <v>2272</v>
      </c>
      <c r="S3730" s="71" t="s">
        <v>2272</v>
      </c>
      <c r="T3730" s="71" t="s">
        <v>2272</v>
      </c>
      <c r="U3730" s="71" t="s">
        <v>2272</v>
      </c>
      <c r="V3730" s="71" t="s">
        <v>2272</v>
      </c>
      <c r="W3730" s="71" t="s">
        <v>2272</v>
      </c>
      <c r="X3730" s="21" t="s">
        <v>2397</v>
      </c>
      <c r="Y3730" s="71" t="s">
        <v>2272</v>
      </c>
      <c r="Z3730" s="71" t="s">
        <v>2272</v>
      </c>
      <c r="AA3730" s="71" t="s">
        <v>2272</v>
      </c>
      <c r="AB3730" s="198"/>
      <c r="AC3730" s="77" t="s">
        <v>9633</v>
      </c>
    </row>
    <row r="3731" spans="1:29" ht="74" customHeight="1">
      <c r="A3731" s="151" t="str">
        <f>'Reported burning'!A3731</f>
        <v>403f</v>
      </c>
      <c r="B3731" s="151" t="str">
        <f>'Reported burning'!B3731</f>
        <v>403f.1</v>
      </c>
      <c r="C3731" s="151" t="str">
        <f>'Reported burning'!C3731</f>
        <v>Human, deliberate</v>
      </c>
      <c r="D3731" s="151" t="str">
        <f>'Reported burning'!D3731</f>
        <v>Crop field preparation</v>
      </c>
      <c r="E3731" s="151" t="str">
        <f>'Reported burning'!E3731</f>
        <v>Cropping, Swidden</v>
      </c>
      <c r="F3731" s="151" t="str">
        <f>'Reported burning'!F3731</f>
        <v>Secondary vegetation</v>
      </c>
      <c r="G3731" s="151" t="str">
        <f>'Reported burning'!G3731</f>
        <v>Secondary vegetation</v>
      </c>
      <c r="H3731" s="151" t="str">
        <f>'Reported burning'!H3731</f>
        <v>Presence</v>
      </c>
      <c r="I3731" s="5"/>
      <c r="J3731" s="71" t="s">
        <v>2272</v>
      </c>
      <c r="K3731" s="71" t="s">
        <v>2272</v>
      </c>
      <c r="L3731" s="71" t="s">
        <v>2272</v>
      </c>
      <c r="M3731" s="71" t="s">
        <v>2272</v>
      </c>
      <c r="N3731" s="71" t="s">
        <v>2272</v>
      </c>
      <c r="O3731" s="71" t="s">
        <v>2272</v>
      </c>
      <c r="P3731" s="71" t="s">
        <v>2272</v>
      </c>
      <c r="Q3731" s="71" t="s">
        <v>2272</v>
      </c>
      <c r="R3731" s="71" t="s">
        <v>2272</v>
      </c>
      <c r="S3731" s="71" t="s">
        <v>2272</v>
      </c>
      <c r="T3731" s="71" t="s">
        <v>2272</v>
      </c>
      <c r="U3731" s="71" t="s">
        <v>2272</v>
      </c>
      <c r="V3731" s="71" t="s">
        <v>2272</v>
      </c>
      <c r="W3731" s="71" t="s">
        <v>2272</v>
      </c>
      <c r="X3731" s="21" t="s">
        <v>2397</v>
      </c>
      <c r="Y3731" s="71" t="s">
        <v>2272</v>
      </c>
      <c r="Z3731" s="71" t="s">
        <v>2272</v>
      </c>
      <c r="AA3731" s="71" t="s">
        <v>2272</v>
      </c>
      <c r="AB3731" s="198"/>
      <c r="AC3731" s="77" t="s">
        <v>9633</v>
      </c>
    </row>
    <row r="3732" spans="1:29" ht="74" customHeight="1">
      <c r="A3732" s="151" t="str">
        <f>'Reported burning'!A3732</f>
        <v>403g</v>
      </c>
      <c r="B3732" s="151" t="str">
        <f>'Reported burning'!B3732</f>
        <v>403g.1</v>
      </c>
      <c r="C3732" s="151" t="str">
        <f>'Reported burning'!C3732</f>
        <v>Human, deliberate</v>
      </c>
      <c r="D3732" s="151" t="str">
        <f>'Reported burning'!D3732</f>
        <v>Crop field preparation</v>
      </c>
      <c r="E3732" s="151" t="str">
        <f>'Reported burning'!E3732</f>
        <v>Cropping, Swidden</v>
      </c>
      <c r="F3732" s="151" t="str">
        <f>'Reported burning'!F3732</f>
        <v>Secondary vegetation</v>
      </c>
      <c r="G3732" s="151" t="str">
        <f>'Reported burning'!G3732</f>
        <v>Secondary vegetation</v>
      </c>
      <c r="H3732" s="151" t="str">
        <f>'Reported burning'!H3732</f>
        <v>Presence</v>
      </c>
      <c r="I3732" s="5"/>
      <c r="J3732" s="71" t="s">
        <v>2272</v>
      </c>
      <c r="K3732" s="71" t="s">
        <v>2272</v>
      </c>
      <c r="L3732" s="71" t="s">
        <v>2272</v>
      </c>
      <c r="M3732" s="71" t="s">
        <v>2272</v>
      </c>
      <c r="N3732" s="71" t="s">
        <v>2272</v>
      </c>
      <c r="O3732" s="71" t="s">
        <v>2272</v>
      </c>
      <c r="P3732" s="71" t="s">
        <v>2272</v>
      </c>
      <c r="Q3732" s="71" t="s">
        <v>2272</v>
      </c>
      <c r="R3732" s="71" t="s">
        <v>2272</v>
      </c>
      <c r="S3732" s="71" t="s">
        <v>2272</v>
      </c>
      <c r="T3732" s="71" t="s">
        <v>2272</v>
      </c>
      <c r="U3732" s="71" t="s">
        <v>2272</v>
      </c>
      <c r="V3732" s="71" t="s">
        <v>2272</v>
      </c>
      <c r="W3732" s="71" t="s">
        <v>2272</v>
      </c>
      <c r="X3732" s="21" t="s">
        <v>2397</v>
      </c>
      <c r="Y3732" s="71" t="s">
        <v>2272</v>
      </c>
      <c r="Z3732" s="71" t="s">
        <v>2272</v>
      </c>
      <c r="AA3732" s="71" t="s">
        <v>2272</v>
      </c>
      <c r="AB3732" s="198"/>
      <c r="AC3732" s="77" t="s">
        <v>9633</v>
      </c>
    </row>
    <row r="3733" spans="1:29" ht="84" customHeight="1">
      <c r="A3733" s="151" t="str">
        <f>'Reported burning'!A3733</f>
        <v>403f</v>
      </c>
      <c r="B3733" s="151" t="str">
        <f>'Reported burning'!B3733</f>
        <v>403f.2</v>
      </c>
      <c r="C3733" s="151" t="str">
        <f>'Reported burning'!C3733</f>
        <v>Human, deliberate</v>
      </c>
      <c r="D3733" s="151" t="str">
        <f>'Reported burning'!D3733</f>
        <v>Crop field preparation</v>
      </c>
      <c r="E3733" s="151" t="str">
        <f>'Reported burning'!E3733</f>
        <v>Agroforestry, Subsistence-oriented</v>
      </c>
      <c r="F3733" s="151" t="str">
        <f>'Reported burning'!F3733</f>
        <v>Shrubland (Mixed forest &amp; grassland)</v>
      </c>
      <c r="G3733" s="151" t="str">
        <f>'Reported burning'!G3733</f>
        <v>Shrubland (Mixed forest &amp; grassland)</v>
      </c>
      <c r="H3733" s="151" t="str">
        <f>'Reported burning'!H3733</f>
        <v>Absence</v>
      </c>
      <c r="I3733" s="5"/>
      <c r="J3733" s="21">
        <v>0</v>
      </c>
      <c r="K3733" s="21">
        <v>0</v>
      </c>
      <c r="L3733" s="21">
        <v>0</v>
      </c>
      <c r="M3733" s="21">
        <v>0</v>
      </c>
      <c r="N3733" s="21">
        <v>0</v>
      </c>
      <c r="O3733" s="21">
        <v>0</v>
      </c>
      <c r="P3733" s="21">
        <v>0</v>
      </c>
      <c r="Q3733" s="21">
        <v>0</v>
      </c>
      <c r="R3733" s="21">
        <v>0</v>
      </c>
      <c r="S3733" s="21">
        <v>0</v>
      </c>
      <c r="T3733" s="21">
        <v>0</v>
      </c>
      <c r="U3733" s="21">
        <v>0</v>
      </c>
      <c r="V3733" s="21">
        <v>0</v>
      </c>
      <c r="W3733" s="21">
        <v>0</v>
      </c>
      <c r="X3733" s="71" t="s">
        <v>2272</v>
      </c>
      <c r="Y3733" s="71" t="s">
        <v>2272</v>
      </c>
      <c r="Z3733" s="71" t="s">
        <v>2272</v>
      </c>
      <c r="AA3733" s="71" t="s">
        <v>2272</v>
      </c>
      <c r="AB3733" s="198"/>
      <c r="AC3733" s="198"/>
    </row>
    <row r="3734" spans="1:29" ht="84" customHeight="1">
      <c r="A3734" s="151" t="str">
        <f>'Reported burning'!A3734</f>
        <v>403h</v>
      </c>
      <c r="B3734" s="151" t="str">
        <f>'Reported burning'!B3734</f>
        <v>403h.2</v>
      </c>
      <c r="C3734" s="151" t="str">
        <f>'Reported burning'!C3734</f>
        <v>Human, deliberate</v>
      </c>
      <c r="D3734" s="151" t="str">
        <f>'Reported burning'!D3734</f>
        <v>Crop field preparation</v>
      </c>
      <c r="E3734" s="151" t="str">
        <f>'Reported burning'!E3734</f>
        <v>Agroforestry, Subsistence-oriented</v>
      </c>
      <c r="F3734" s="151" t="str">
        <f>'Reported burning'!F3734</f>
        <v>Shrubland (Mixed forest &amp; grassland)</v>
      </c>
      <c r="G3734" s="151" t="str">
        <f>'Reported burning'!G3734</f>
        <v>Shrubland (Mixed forest &amp; grassland)</v>
      </c>
      <c r="H3734" s="151" t="str">
        <f>'Reported burning'!H3734</f>
        <v>Absence</v>
      </c>
      <c r="I3734" s="5"/>
      <c r="J3734" s="21">
        <v>0</v>
      </c>
      <c r="K3734" s="21">
        <v>0</v>
      </c>
      <c r="L3734" s="21">
        <v>0</v>
      </c>
      <c r="M3734" s="21">
        <v>0</v>
      </c>
      <c r="N3734" s="21">
        <v>0</v>
      </c>
      <c r="O3734" s="21">
        <v>0</v>
      </c>
      <c r="P3734" s="21">
        <v>0</v>
      </c>
      <c r="Q3734" s="21">
        <v>0</v>
      </c>
      <c r="R3734" s="21">
        <v>0</v>
      </c>
      <c r="S3734" s="21">
        <v>0</v>
      </c>
      <c r="T3734" s="21">
        <v>0</v>
      </c>
      <c r="U3734" s="21">
        <v>0</v>
      </c>
      <c r="V3734" s="21">
        <v>0</v>
      </c>
      <c r="W3734" s="21">
        <v>0</v>
      </c>
      <c r="X3734" s="71" t="s">
        <v>2272</v>
      </c>
      <c r="Y3734" s="71" t="s">
        <v>2272</v>
      </c>
      <c r="Z3734" s="71" t="s">
        <v>2272</v>
      </c>
      <c r="AA3734" s="71" t="s">
        <v>2272</v>
      </c>
      <c r="AB3734" s="198"/>
      <c r="AC3734" s="198"/>
    </row>
    <row r="3735" spans="1:29" ht="84" customHeight="1">
      <c r="A3735" s="151" t="str">
        <f>'Reported burning'!A3735</f>
        <v>403e</v>
      </c>
      <c r="B3735" s="151" t="str">
        <f>'Reported burning'!B3735</f>
        <v>403e.2</v>
      </c>
      <c r="C3735" s="151" t="str">
        <f>'Reported burning'!C3735</f>
        <v>Human, deliberate</v>
      </c>
      <c r="D3735" s="151" t="str">
        <f>'Reported burning'!D3735</f>
        <v>Crop field preparation</v>
      </c>
      <c r="E3735" s="151" t="str">
        <f>'Reported burning'!E3735</f>
        <v>Agroforestry, Subsistence-oriented</v>
      </c>
      <c r="F3735" s="151" t="str">
        <f>'Reported burning'!F3735</f>
        <v>Shrubland (Mixed forest &amp; grassland)</v>
      </c>
      <c r="G3735" s="151" t="str">
        <f>'Reported burning'!G3735</f>
        <v>Shrubland (Mixed forest &amp; grassland)</v>
      </c>
      <c r="H3735" s="151" t="str">
        <f>'Reported burning'!H3735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21">
        <v>0</v>
      </c>
      <c r="X3735" s="71" t="s">
        <v>2272</v>
      </c>
      <c r="Y3735" s="71" t="s">
        <v>2272</v>
      </c>
      <c r="Z3735" s="71" t="s">
        <v>2272</v>
      </c>
      <c r="AA3735" s="71" t="s">
        <v>2272</v>
      </c>
      <c r="AB3735" s="198"/>
      <c r="AC3735" s="198"/>
    </row>
    <row r="3736" spans="1:29" ht="84" customHeight="1">
      <c r="A3736" s="151" t="str">
        <f>'Reported burning'!A3736</f>
        <v>403b</v>
      </c>
      <c r="B3736" s="151" t="str">
        <f>'Reported burning'!B3736</f>
        <v>403b.2</v>
      </c>
      <c r="C3736" s="151" t="str">
        <f>'Reported burning'!C3736</f>
        <v>Human, deliberate</v>
      </c>
      <c r="D3736" s="151" t="str">
        <f>'Reported burning'!D3736</f>
        <v>Crop field preparation</v>
      </c>
      <c r="E3736" s="151" t="str">
        <f>'Reported burning'!E3736</f>
        <v>Agroforestry, Subsistence-oriented</v>
      </c>
      <c r="F3736" s="151" t="str">
        <f>'Reported burning'!F3736</f>
        <v>Shrubland (Mixed forest &amp; grassland)</v>
      </c>
      <c r="G3736" s="151" t="str">
        <f>'Reported burning'!G3736</f>
        <v>Shrubland (Mixed forest &amp; grassland)</v>
      </c>
      <c r="H3736" s="151" t="str">
        <f>'Reported burning'!H3736</f>
        <v>Absence</v>
      </c>
      <c r="I3736" s="5"/>
      <c r="J3736" s="21">
        <v>0</v>
      </c>
      <c r="K3736" s="21">
        <v>0</v>
      </c>
      <c r="L3736" s="21">
        <v>0</v>
      </c>
      <c r="M3736" s="21">
        <v>0</v>
      </c>
      <c r="N3736" s="21">
        <v>0</v>
      </c>
      <c r="O3736" s="21">
        <v>0</v>
      </c>
      <c r="P3736" s="21">
        <v>0</v>
      </c>
      <c r="Q3736" s="21">
        <v>0</v>
      </c>
      <c r="R3736" s="21">
        <v>0</v>
      </c>
      <c r="S3736" s="21">
        <v>0</v>
      </c>
      <c r="T3736" s="21">
        <v>0</v>
      </c>
      <c r="U3736" s="21">
        <v>0</v>
      </c>
      <c r="V3736" s="21">
        <v>0</v>
      </c>
      <c r="W3736" s="21">
        <v>0</v>
      </c>
      <c r="X3736" s="71" t="s">
        <v>2272</v>
      </c>
      <c r="Y3736" s="71" t="s">
        <v>2272</v>
      </c>
      <c r="Z3736" s="71" t="s">
        <v>2272</v>
      </c>
      <c r="AA3736" s="71" t="s">
        <v>2272</v>
      </c>
      <c r="AB3736" s="198"/>
      <c r="AC3736" s="198"/>
    </row>
    <row r="3737" spans="1:29" ht="84" customHeight="1">
      <c r="A3737" s="151" t="str">
        <f>'Reported burning'!A3737</f>
        <v>403c</v>
      </c>
      <c r="B3737" s="151" t="str">
        <f>'Reported burning'!B3737</f>
        <v>403c.2</v>
      </c>
      <c r="C3737" s="151" t="str">
        <f>'Reported burning'!C3737</f>
        <v>Human, deliberate</v>
      </c>
      <c r="D3737" s="151" t="str">
        <f>'Reported burning'!D3737</f>
        <v>Crop field preparation</v>
      </c>
      <c r="E3737" s="151" t="str">
        <f>'Reported burning'!E3737</f>
        <v>Mixed cropping-livestock small holder, Subsistence-oriented</v>
      </c>
      <c r="F3737" s="151" t="str">
        <f>'Reported burning'!F3737</f>
        <v>Cropland</v>
      </c>
      <c r="G3737" s="151" t="str">
        <f>'Reported burning'!G3737</f>
        <v>Cropland</v>
      </c>
      <c r="H3737" s="151" t="str">
        <f>'Reported burning'!H3737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21">
        <v>0</v>
      </c>
      <c r="X3737" s="71" t="s">
        <v>2272</v>
      </c>
      <c r="Y3737" s="71" t="s">
        <v>2272</v>
      </c>
      <c r="Z3737" s="71" t="s">
        <v>2272</v>
      </c>
      <c r="AA3737" s="71" t="s">
        <v>2272</v>
      </c>
      <c r="AB3737" s="4" t="s">
        <v>9639</v>
      </c>
      <c r="AC3737" s="198"/>
    </row>
    <row r="3738" spans="1:29" ht="84" customHeight="1">
      <c r="A3738" s="147" t="str">
        <f>'Reported burning'!A3738</f>
        <v>404a</v>
      </c>
      <c r="B3738" s="147" t="str">
        <f>'Reported burning'!B3738</f>
        <v>404a.1</v>
      </c>
      <c r="C3738" s="147" t="str">
        <f>'Reported burning'!C3738</f>
        <v>Human, escaped</v>
      </c>
      <c r="D3738" s="147" t="str">
        <f>'Reported burning'!D3738</f>
        <v>ND</v>
      </c>
      <c r="E3738" s="147" t="str">
        <f>'Reported burning'!E3738</f>
        <v>ND</v>
      </c>
      <c r="F3738" s="147" t="str">
        <f>'Reported burning'!F3738</f>
        <v>ND</v>
      </c>
      <c r="G3738" s="147" t="str">
        <f>'Reported burning'!G3738</f>
        <v>Forest</v>
      </c>
      <c r="H3738" s="147" t="str">
        <f>'Reported burning'!H3738</f>
        <v>Presence</v>
      </c>
      <c r="I3738" s="198"/>
      <c r="J3738" s="71" t="s">
        <v>2272</v>
      </c>
      <c r="K3738" s="71" t="s">
        <v>2272</v>
      </c>
      <c r="L3738" s="71" t="s">
        <v>2272</v>
      </c>
      <c r="M3738" s="71" t="s">
        <v>2272</v>
      </c>
      <c r="N3738" s="71" t="s">
        <v>2272</v>
      </c>
      <c r="O3738" s="71" t="s">
        <v>2272</v>
      </c>
      <c r="P3738" s="71" t="s">
        <v>2272</v>
      </c>
      <c r="Q3738" s="71" t="s">
        <v>2272</v>
      </c>
      <c r="R3738" s="71" t="s">
        <v>2272</v>
      </c>
      <c r="S3738" s="71" t="s">
        <v>2272</v>
      </c>
      <c r="T3738" s="71" t="s">
        <v>2272</v>
      </c>
      <c r="U3738" s="71" t="s">
        <v>2272</v>
      </c>
      <c r="V3738" s="71" t="s">
        <v>2272</v>
      </c>
      <c r="W3738" s="21" t="s">
        <v>2522</v>
      </c>
      <c r="X3738" s="71" t="s">
        <v>2272</v>
      </c>
      <c r="Y3738" s="198" t="s">
        <v>397</v>
      </c>
      <c r="Z3738" s="198" t="s">
        <v>187</v>
      </c>
      <c r="AA3738" s="198" t="s">
        <v>2650</v>
      </c>
      <c r="AB3738" s="198" t="s">
        <v>9650</v>
      </c>
      <c r="AC3738" s="198"/>
    </row>
    <row r="3739" spans="1:29" ht="43.5" customHeight="1">
      <c r="A3739" s="151" t="str">
        <f>'Reported burning'!A3739</f>
        <v>404a</v>
      </c>
      <c r="B3739" s="151" t="str">
        <f>'Reported burning'!B3739</f>
        <v>404a.2</v>
      </c>
      <c r="C3739" s="151" t="str">
        <f>'Reported burning'!C3739</f>
        <v>Human, escaped</v>
      </c>
      <c r="D3739" s="151" t="str">
        <f>'Reported burning'!D3739</f>
        <v>ND</v>
      </c>
      <c r="E3739" s="151" t="str">
        <f>'Reported burning'!E3739</f>
        <v>ND</v>
      </c>
      <c r="F3739" s="151" t="str">
        <f>'Reported burning'!F3739</f>
        <v>ND</v>
      </c>
      <c r="G3739" s="151" t="str">
        <f>'Reported burning'!G3739</f>
        <v>Forest</v>
      </c>
      <c r="H3739" s="151" t="str">
        <f>'Reported burning'!H3739</f>
        <v>Absence</v>
      </c>
      <c r="I3739" s="5"/>
      <c r="J3739" s="21">
        <v>0</v>
      </c>
      <c r="K3739" s="21">
        <v>0</v>
      </c>
      <c r="L3739" s="21">
        <v>0</v>
      </c>
      <c r="M3739" s="21">
        <v>0</v>
      </c>
      <c r="N3739" s="21">
        <v>0</v>
      </c>
      <c r="O3739" s="21">
        <v>0</v>
      </c>
      <c r="P3739" s="21">
        <v>0</v>
      </c>
      <c r="Q3739" s="21">
        <v>0</v>
      </c>
      <c r="R3739" s="21">
        <v>0</v>
      </c>
      <c r="S3739" s="21">
        <v>0</v>
      </c>
      <c r="T3739" s="21">
        <v>0</v>
      </c>
      <c r="U3739" s="21">
        <v>0</v>
      </c>
      <c r="V3739" s="21">
        <v>0</v>
      </c>
      <c r="W3739" s="21">
        <v>0</v>
      </c>
      <c r="X3739" s="71" t="s">
        <v>2272</v>
      </c>
      <c r="Y3739" s="71" t="s">
        <v>2272</v>
      </c>
      <c r="Z3739" s="71" t="s">
        <v>2272</v>
      </c>
      <c r="AA3739" s="71" t="s">
        <v>2272</v>
      </c>
      <c r="AB3739" s="4" t="s">
        <v>9654</v>
      </c>
      <c r="AC3739" s="198"/>
    </row>
    <row r="3740" spans="1:29" ht="44.5" customHeight="1">
      <c r="A3740" s="151" t="str">
        <f>'Reported burning'!A3740</f>
        <v>404a</v>
      </c>
      <c r="B3740" s="151" t="str">
        <f>'Reported burning'!B3740</f>
        <v>404a.3</v>
      </c>
      <c r="C3740" s="151" t="str">
        <f>'Reported burning'!C3740</f>
        <v>Human, deliberate</v>
      </c>
      <c r="D3740" s="151" t="str">
        <f>'Reported burning'!D3740</f>
        <v>Crop field preparation</v>
      </c>
      <c r="E3740" s="151" t="str">
        <f>'Reported burning'!E3740</f>
        <v>Cropping, Swidden</v>
      </c>
      <c r="F3740" s="151" t="str">
        <f>'Reported burning'!F3740</f>
        <v>Secondary vegetation</v>
      </c>
      <c r="G3740" s="151" t="str">
        <f>'Reported burning'!G3740</f>
        <v>Secondary vegetation</v>
      </c>
      <c r="H3740" s="151" t="str">
        <f>'Reported burning'!H3740</f>
        <v>Presence</v>
      </c>
      <c r="I3740" s="5"/>
      <c r="J3740" s="71" t="s">
        <v>2272</v>
      </c>
      <c r="K3740" s="71" t="s">
        <v>2272</v>
      </c>
      <c r="L3740" s="71" t="s">
        <v>2272</v>
      </c>
      <c r="M3740" s="71" t="s">
        <v>2272</v>
      </c>
      <c r="N3740" s="71" t="s">
        <v>2272</v>
      </c>
      <c r="O3740" s="71" t="s">
        <v>2272</v>
      </c>
      <c r="P3740" s="71" t="s">
        <v>2272</v>
      </c>
      <c r="Q3740" s="71" t="s">
        <v>2272</v>
      </c>
      <c r="R3740" s="71" t="s">
        <v>2272</v>
      </c>
      <c r="S3740" s="71" t="s">
        <v>2272</v>
      </c>
      <c r="T3740" s="71" t="s">
        <v>2272</v>
      </c>
      <c r="U3740" s="71" t="s">
        <v>2272</v>
      </c>
      <c r="V3740" s="71" t="s">
        <v>2272</v>
      </c>
      <c r="W3740" s="71" t="s">
        <v>2272</v>
      </c>
      <c r="X3740" s="71" t="s">
        <v>2272</v>
      </c>
      <c r="Y3740" s="71" t="s">
        <v>2272</v>
      </c>
      <c r="Z3740" s="71" t="s">
        <v>2272</v>
      </c>
      <c r="AA3740" s="71" t="s">
        <v>2272</v>
      </c>
      <c r="AB3740" s="198"/>
      <c r="AC3740" s="198"/>
    </row>
    <row r="3741" spans="1:29" ht="44.5" customHeight="1">
      <c r="A3741" s="151" t="str">
        <f>'Reported burning'!A3741</f>
        <v>404a</v>
      </c>
      <c r="B3741" s="151" t="str">
        <f>'Reported burning'!B3741</f>
        <v>404a.4</v>
      </c>
      <c r="C3741" s="151" t="str">
        <f>'Reported burning'!C3741</f>
        <v>Human, deliberate</v>
      </c>
      <c r="D3741" s="151" t="str">
        <f>'Reported burning'!D3741</f>
        <v>Crop residue burning</v>
      </c>
      <c r="E3741" s="151" t="str">
        <f>'Reported burning'!E3741</f>
        <v>Cropping, Swidden</v>
      </c>
      <c r="F3741" s="151" t="str">
        <f>'Reported burning'!F3741</f>
        <v>Secondary vegetation</v>
      </c>
      <c r="G3741" s="151" t="str">
        <f>'Reported burning'!G3741</f>
        <v>Secondary vegetation</v>
      </c>
      <c r="H3741" s="151" t="str">
        <f>'Reported burning'!H3741</f>
        <v>Presence</v>
      </c>
      <c r="I3741" s="5"/>
      <c r="J3741" s="71" t="s">
        <v>2272</v>
      </c>
      <c r="K3741" s="71" t="s">
        <v>2272</v>
      </c>
      <c r="L3741" s="71" t="s">
        <v>2272</v>
      </c>
      <c r="M3741" s="71" t="s">
        <v>2272</v>
      </c>
      <c r="N3741" s="71" t="s">
        <v>2272</v>
      </c>
      <c r="O3741" s="71" t="s">
        <v>2272</v>
      </c>
      <c r="P3741" s="71" t="s">
        <v>2272</v>
      </c>
      <c r="Q3741" s="71" t="s">
        <v>2272</v>
      </c>
      <c r="R3741" s="71" t="s">
        <v>2272</v>
      </c>
      <c r="S3741" s="71" t="s">
        <v>2272</v>
      </c>
      <c r="T3741" s="71" t="s">
        <v>2272</v>
      </c>
      <c r="U3741" s="71" t="s">
        <v>2272</v>
      </c>
      <c r="V3741" s="71" t="s">
        <v>2272</v>
      </c>
      <c r="W3741" s="71" t="s">
        <v>2272</v>
      </c>
      <c r="X3741" s="71" t="s">
        <v>2272</v>
      </c>
      <c r="Y3741" s="71" t="s">
        <v>2272</v>
      </c>
      <c r="Z3741" s="71" t="s">
        <v>2272</v>
      </c>
      <c r="AA3741" s="71" t="s">
        <v>2272</v>
      </c>
      <c r="AB3741" s="198"/>
      <c r="AC3741" s="198"/>
    </row>
    <row r="3742" spans="1:29" ht="44.5" customHeight="1">
      <c r="A3742" s="151" t="str">
        <f>'Reported burning'!A3742</f>
        <v>405a</v>
      </c>
      <c r="B3742" s="151" t="str">
        <f>'Reported burning'!B3742</f>
        <v>405a.1</v>
      </c>
      <c r="C3742" s="151" t="str">
        <f>'Reported burning'!C3742</f>
        <v>Human, deliberate</v>
      </c>
      <c r="D3742" s="151" t="str">
        <f>'Reported burning'!D3742</f>
        <v>Crop field preparation</v>
      </c>
      <c r="E3742" s="151" t="str">
        <f>'Reported burning'!E3742</f>
        <v>Cropping, Swidden</v>
      </c>
      <c r="F3742" s="151" t="str">
        <f>'Reported burning'!F3742</f>
        <v>Forest</v>
      </c>
      <c r="G3742" s="151" t="str">
        <f>'Reported burning'!G3742</f>
        <v>Forest</v>
      </c>
      <c r="H3742" s="151" t="str">
        <f>'Reported burning'!H3742</f>
        <v>Presence</v>
      </c>
      <c r="I3742" s="5"/>
      <c r="J3742" s="71" t="s">
        <v>2272</v>
      </c>
      <c r="K3742" s="71" t="s">
        <v>2272</v>
      </c>
      <c r="L3742" s="71" t="s">
        <v>2272</v>
      </c>
      <c r="M3742" s="71" t="s">
        <v>2272</v>
      </c>
      <c r="N3742" s="71" t="s">
        <v>2272</v>
      </c>
      <c r="O3742" s="71" t="s">
        <v>2272</v>
      </c>
      <c r="P3742" s="71" t="s">
        <v>2272</v>
      </c>
      <c r="Q3742" s="71" t="s">
        <v>2272</v>
      </c>
      <c r="R3742" s="71" t="s">
        <v>2272</v>
      </c>
      <c r="S3742" s="71" t="s">
        <v>2272</v>
      </c>
      <c r="T3742" s="71" t="s">
        <v>2272</v>
      </c>
      <c r="U3742" s="71" t="s">
        <v>2272</v>
      </c>
      <c r="V3742" s="71" t="s">
        <v>2272</v>
      </c>
      <c r="W3742" s="71" t="s">
        <v>2272</v>
      </c>
      <c r="X3742" s="71" t="s">
        <v>2272</v>
      </c>
      <c r="Y3742" s="71" t="s">
        <v>2272</v>
      </c>
      <c r="Z3742" s="71" t="s">
        <v>2272</v>
      </c>
      <c r="AA3742" s="71" t="s">
        <v>2272</v>
      </c>
      <c r="AB3742" s="211" t="s">
        <v>9714</v>
      </c>
      <c r="AC3742" s="198" t="s">
        <v>9671</v>
      </c>
    </row>
    <row r="3743" spans="1:29" ht="130" customHeight="1">
      <c r="A3743" s="151" t="str">
        <f>'Reported burning'!A3743</f>
        <v>405b</v>
      </c>
      <c r="B3743" s="151" t="str">
        <f>'Reported burning'!B3743</f>
        <v>405b.1</v>
      </c>
      <c r="C3743" s="151" t="str">
        <f>'Reported burning'!C3743</f>
        <v>Human, deliberate</v>
      </c>
      <c r="D3743" s="151" t="str">
        <f>'Reported burning'!D3743</f>
        <v>Crop field preparation</v>
      </c>
      <c r="E3743" s="151" t="str">
        <f>'Reported burning'!E3743</f>
        <v>Cropping, Swidden</v>
      </c>
      <c r="F3743" s="151" t="str">
        <f>'Reported burning'!F3743</f>
        <v>Forest</v>
      </c>
      <c r="G3743" s="151" t="str">
        <f>'Reported burning'!G3743</f>
        <v>Forest</v>
      </c>
      <c r="H3743" s="151" t="str">
        <f>'Reported burning'!H3743</f>
        <v>Presence</v>
      </c>
      <c r="I3743" s="5"/>
      <c r="J3743" s="71" t="s">
        <v>2272</v>
      </c>
      <c r="K3743" s="71" t="s">
        <v>2272</v>
      </c>
      <c r="L3743" s="71" t="s">
        <v>2272</v>
      </c>
      <c r="M3743" s="71" t="s">
        <v>2272</v>
      </c>
      <c r="N3743" s="71" t="s">
        <v>2272</v>
      </c>
      <c r="O3743" s="71" t="s">
        <v>2272</v>
      </c>
      <c r="P3743" s="71" t="s">
        <v>2272</v>
      </c>
      <c r="Q3743" s="71" t="s">
        <v>2272</v>
      </c>
      <c r="R3743" s="71" t="s">
        <v>2272</v>
      </c>
      <c r="S3743" s="71" t="s">
        <v>2272</v>
      </c>
      <c r="T3743" s="71" t="s">
        <v>2272</v>
      </c>
      <c r="U3743" s="71" t="s">
        <v>2272</v>
      </c>
      <c r="V3743" s="71" t="s">
        <v>2272</v>
      </c>
      <c r="W3743" s="71" t="s">
        <v>2272</v>
      </c>
      <c r="X3743" s="71" t="s">
        <v>2272</v>
      </c>
      <c r="Y3743" s="71" t="s">
        <v>2272</v>
      </c>
      <c r="Z3743" s="71" t="s">
        <v>2272</v>
      </c>
      <c r="AA3743" s="71" t="s">
        <v>2272</v>
      </c>
      <c r="AB3743" s="19"/>
      <c r="AC3743" s="198" t="s">
        <v>9671</v>
      </c>
    </row>
    <row r="3744" spans="1:29" ht="49.5" customHeight="1">
      <c r="A3744" s="151" t="str">
        <f>'Reported burning'!A3744</f>
        <v>405c</v>
      </c>
      <c r="B3744" s="151" t="str">
        <f>'Reported burning'!B3744</f>
        <v>405c.1</v>
      </c>
      <c r="C3744" s="151" t="str">
        <f>'Reported burning'!C3744</f>
        <v>Human, deliberate</v>
      </c>
      <c r="D3744" s="151" t="str">
        <f>'Reported burning'!D3744</f>
        <v>Crop field preparation</v>
      </c>
      <c r="E3744" s="151" t="str">
        <f>'Reported burning'!E3744</f>
        <v>Cropping, Swidden</v>
      </c>
      <c r="F3744" s="151" t="str">
        <f>'Reported burning'!F3744</f>
        <v>Forest</v>
      </c>
      <c r="G3744" s="151" t="str">
        <f>'Reported burning'!G3744</f>
        <v>Forest</v>
      </c>
      <c r="H3744" s="151" t="str">
        <f>'Reported burning'!H3744</f>
        <v>Presence</v>
      </c>
      <c r="I3744" s="5"/>
      <c r="J3744" s="71" t="s">
        <v>2272</v>
      </c>
      <c r="K3744" s="71" t="s">
        <v>2272</v>
      </c>
      <c r="L3744" s="71" t="s">
        <v>2272</v>
      </c>
      <c r="M3744" s="71" t="s">
        <v>2272</v>
      </c>
      <c r="N3744" s="71" t="s">
        <v>2272</v>
      </c>
      <c r="O3744" s="71" t="s">
        <v>2272</v>
      </c>
      <c r="P3744" s="71" t="s">
        <v>2272</v>
      </c>
      <c r="Q3744" s="71" t="s">
        <v>2272</v>
      </c>
      <c r="R3744" s="71" t="s">
        <v>2272</v>
      </c>
      <c r="S3744" s="71" t="s">
        <v>2272</v>
      </c>
      <c r="T3744" s="71" t="s">
        <v>2272</v>
      </c>
      <c r="U3744" s="71" t="s">
        <v>2272</v>
      </c>
      <c r="V3744" s="71" t="s">
        <v>2272</v>
      </c>
      <c r="W3744" s="71" t="s">
        <v>2272</v>
      </c>
      <c r="X3744" s="71" t="s">
        <v>2272</v>
      </c>
      <c r="Y3744" s="71" t="s">
        <v>2272</v>
      </c>
      <c r="Z3744" s="71" t="s">
        <v>2272</v>
      </c>
      <c r="AA3744" s="71" t="s">
        <v>2272</v>
      </c>
      <c r="AB3744" s="19"/>
      <c r="AC3744" s="198" t="s">
        <v>9671</v>
      </c>
    </row>
    <row r="3745" spans="1:29" ht="44.5" customHeight="1">
      <c r="A3745" s="151" t="str">
        <f>'Reported burning'!A3745</f>
        <v>405d</v>
      </c>
      <c r="B3745" s="151" t="str">
        <f>'Reported burning'!B3745</f>
        <v>405d.1</v>
      </c>
      <c r="C3745" s="151" t="str">
        <f>'Reported burning'!C3745</f>
        <v>Human, deliberate</v>
      </c>
      <c r="D3745" s="151" t="str">
        <f>'Reported burning'!D3745</f>
        <v>Crop field preparation</v>
      </c>
      <c r="E3745" s="151" t="str">
        <f>'Reported burning'!E3745</f>
        <v>Cropping, Swidden</v>
      </c>
      <c r="F3745" s="151" t="str">
        <f>'Reported burning'!F3745</f>
        <v>Forest</v>
      </c>
      <c r="G3745" s="151" t="str">
        <f>'Reported burning'!G3745</f>
        <v>Forest</v>
      </c>
      <c r="H3745" s="151" t="str">
        <f>'Reported burning'!H3745</f>
        <v>Presence</v>
      </c>
      <c r="I3745" s="5"/>
      <c r="J3745" s="71" t="s">
        <v>2272</v>
      </c>
      <c r="K3745" s="71" t="s">
        <v>2272</v>
      </c>
      <c r="L3745" s="71" t="s">
        <v>2272</v>
      </c>
      <c r="M3745" s="71" t="s">
        <v>2272</v>
      </c>
      <c r="N3745" s="71" t="s">
        <v>2272</v>
      </c>
      <c r="O3745" s="71" t="s">
        <v>2272</v>
      </c>
      <c r="P3745" s="71" t="s">
        <v>2272</v>
      </c>
      <c r="Q3745" s="71" t="s">
        <v>2272</v>
      </c>
      <c r="R3745" s="71" t="s">
        <v>2272</v>
      </c>
      <c r="S3745" s="71" t="s">
        <v>2272</v>
      </c>
      <c r="T3745" s="71" t="s">
        <v>2272</v>
      </c>
      <c r="U3745" s="71" t="s">
        <v>2272</v>
      </c>
      <c r="V3745" s="71" t="s">
        <v>2272</v>
      </c>
      <c r="W3745" s="71" t="s">
        <v>2272</v>
      </c>
      <c r="X3745" s="71" t="s">
        <v>2272</v>
      </c>
      <c r="Y3745" s="71" t="s">
        <v>2272</v>
      </c>
      <c r="Z3745" s="71" t="s">
        <v>2272</v>
      </c>
      <c r="AA3745" s="71" t="s">
        <v>2272</v>
      </c>
      <c r="AB3745" s="19"/>
      <c r="AC3745" s="198" t="s">
        <v>9671</v>
      </c>
    </row>
    <row r="3746" spans="1:29" ht="44.5" customHeight="1">
      <c r="A3746" s="151" t="str">
        <f>'Reported burning'!A3746</f>
        <v>405e</v>
      </c>
      <c r="B3746" s="151" t="str">
        <f>'Reported burning'!B3746</f>
        <v>405e.1</v>
      </c>
      <c r="C3746" s="151" t="str">
        <f>'Reported burning'!C3746</f>
        <v>Human, deliberate</v>
      </c>
      <c r="D3746" s="151" t="str">
        <f>'Reported burning'!D3746</f>
        <v>Crop field preparation</v>
      </c>
      <c r="E3746" s="151" t="str">
        <f>'Reported burning'!E3746</f>
        <v>Cropping, Swidden</v>
      </c>
      <c r="F3746" s="151" t="str">
        <f>'Reported burning'!F3746</f>
        <v>Forest</v>
      </c>
      <c r="G3746" s="151" t="str">
        <f>'Reported burning'!G3746</f>
        <v>Forest</v>
      </c>
      <c r="H3746" s="151" t="str">
        <f>'Reported burning'!H3746</f>
        <v>Presence</v>
      </c>
      <c r="I3746" s="5"/>
      <c r="J3746" s="71" t="s">
        <v>2272</v>
      </c>
      <c r="K3746" s="71" t="s">
        <v>2272</v>
      </c>
      <c r="L3746" s="71" t="s">
        <v>2272</v>
      </c>
      <c r="M3746" s="71" t="s">
        <v>2272</v>
      </c>
      <c r="N3746" s="71" t="s">
        <v>2272</v>
      </c>
      <c r="O3746" s="71" t="s">
        <v>2272</v>
      </c>
      <c r="P3746" s="71" t="s">
        <v>2272</v>
      </c>
      <c r="Q3746" s="71" t="s">
        <v>2272</v>
      </c>
      <c r="R3746" s="71" t="s">
        <v>2272</v>
      </c>
      <c r="S3746" s="71" t="s">
        <v>2272</v>
      </c>
      <c r="T3746" s="71" t="s">
        <v>2272</v>
      </c>
      <c r="U3746" s="71" t="s">
        <v>2272</v>
      </c>
      <c r="V3746" s="71" t="s">
        <v>2272</v>
      </c>
      <c r="W3746" s="71" t="s">
        <v>2272</v>
      </c>
      <c r="X3746" s="71" t="s">
        <v>2272</v>
      </c>
      <c r="Y3746" s="71" t="s">
        <v>2272</v>
      </c>
      <c r="Z3746" s="71" t="s">
        <v>2272</v>
      </c>
      <c r="AA3746" s="71" t="s">
        <v>2272</v>
      </c>
      <c r="AB3746" s="19"/>
      <c r="AC3746" s="198" t="s">
        <v>9671</v>
      </c>
    </row>
    <row r="3747" spans="1:29" ht="44.5" customHeight="1">
      <c r="A3747" s="151" t="str">
        <f>'Reported burning'!A3747</f>
        <v>405f</v>
      </c>
      <c r="B3747" s="151" t="str">
        <f>'Reported burning'!B3747</f>
        <v>405f.1</v>
      </c>
      <c r="C3747" s="151" t="str">
        <f>'Reported burning'!C3747</f>
        <v>Human, deliberate</v>
      </c>
      <c r="D3747" s="151" t="str">
        <f>'Reported burning'!D3747</f>
        <v>Crop field preparation</v>
      </c>
      <c r="E3747" s="151" t="str">
        <f>'Reported burning'!E3747</f>
        <v>Cropping, Swidden</v>
      </c>
      <c r="F3747" s="151" t="str">
        <f>'Reported burning'!F3747</f>
        <v>Forest</v>
      </c>
      <c r="G3747" s="151" t="str">
        <f>'Reported burning'!G3747</f>
        <v>Forest</v>
      </c>
      <c r="H3747" s="151" t="str">
        <f>'Reported burning'!H3747</f>
        <v>Presence</v>
      </c>
      <c r="I3747" s="5"/>
      <c r="J3747" s="71" t="s">
        <v>2272</v>
      </c>
      <c r="K3747" s="71" t="s">
        <v>2272</v>
      </c>
      <c r="L3747" s="71" t="s">
        <v>2272</v>
      </c>
      <c r="M3747" s="71" t="s">
        <v>2272</v>
      </c>
      <c r="N3747" s="71" t="s">
        <v>2272</v>
      </c>
      <c r="O3747" s="71" t="s">
        <v>2272</v>
      </c>
      <c r="P3747" s="71" t="s">
        <v>2272</v>
      </c>
      <c r="Q3747" s="71" t="s">
        <v>2272</v>
      </c>
      <c r="R3747" s="71" t="s">
        <v>2272</v>
      </c>
      <c r="S3747" s="71" t="s">
        <v>2272</v>
      </c>
      <c r="T3747" s="71" t="s">
        <v>2272</v>
      </c>
      <c r="U3747" s="71" t="s">
        <v>2272</v>
      </c>
      <c r="V3747" s="71" t="s">
        <v>2272</v>
      </c>
      <c r="W3747" s="71" t="s">
        <v>2272</v>
      </c>
      <c r="X3747" s="71" t="s">
        <v>2272</v>
      </c>
      <c r="Y3747" s="71" t="s">
        <v>2272</v>
      </c>
      <c r="Z3747" s="71" t="s">
        <v>2272</v>
      </c>
      <c r="AA3747" s="71" t="s">
        <v>2272</v>
      </c>
      <c r="AB3747" s="19"/>
      <c r="AC3747" s="198" t="s">
        <v>9671</v>
      </c>
    </row>
    <row r="3748" spans="1:29" ht="44.5" customHeight="1">
      <c r="A3748" s="151" t="str">
        <f>'Reported burning'!A3748</f>
        <v>405a</v>
      </c>
      <c r="B3748" s="151" t="str">
        <f>'Reported burning'!B3748</f>
        <v>405a.2</v>
      </c>
      <c r="C3748" s="151" t="str">
        <f>'Reported burning'!C3748</f>
        <v>Human, deliberate</v>
      </c>
      <c r="D3748" s="151" t="str">
        <f>'Reported burning'!D3748</f>
        <v>Crop field preparation</v>
      </c>
      <c r="E3748" s="151" t="str">
        <f>'Reported burning'!E3748</f>
        <v>Cropping, Swidden</v>
      </c>
      <c r="F3748" s="151" t="str">
        <f>'Reported burning'!F3748</f>
        <v>Secondary vegetation</v>
      </c>
      <c r="G3748" s="151" t="str">
        <f>'Reported burning'!G3748</f>
        <v>Secondary vegetation</v>
      </c>
      <c r="H3748" s="151" t="str">
        <f>'Reported burning'!H3748</f>
        <v>Presence</v>
      </c>
      <c r="I3748" s="5"/>
      <c r="J3748" s="71" t="s">
        <v>2272</v>
      </c>
      <c r="K3748" s="71" t="s">
        <v>2272</v>
      </c>
      <c r="L3748" s="71" t="s">
        <v>2272</v>
      </c>
      <c r="M3748" s="71" t="s">
        <v>2272</v>
      </c>
      <c r="N3748" s="71" t="s">
        <v>2272</v>
      </c>
      <c r="O3748" s="71" t="s">
        <v>2272</v>
      </c>
      <c r="P3748" s="71" t="s">
        <v>2272</v>
      </c>
      <c r="Q3748" s="71" t="s">
        <v>2272</v>
      </c>
      <c r="R3748" s="71" t="s">
        <v>2272</v>
      </c>
      <c r="S3748" s="71" t="s">
        <v>2272</v>
      </c>
      <c r="T3748" s="71" t="s">
        <v>2272</v>
      </c>
      <c r="U3748" s="71" t="s">
        <v>2272</v>
      </c>
      <c r="V3748" s="71" t="s">
        <v>2272</v>
      </c>
      <c r="W3748" s="71" t="s">
        <v>2272</v>
      </c>
      <c r="X3748" s="71" t="s">
        <v>2272</v>
      </c>
      <c r="Y3748" s="71" t="s">
        <v>2272</v>
      </c>
      <c r="Z3748" s="71" t="s">
        <v>2272</v>
      </c>
      <c r="AA3748" s="71" t="s">
        <v>2272</v>
      </c>
      <c r="AB3748" s="198"/>
      <c r="AC3748" s="198"/>
    </row>
    <row r="3749" spans="1:29" ht="44.5" customHeight="1">
      <c r="A3749" s="151" t="str">
        <f>'Reported burning'!A3749</f>
        <v>405b</v>
      </c>
      <c r="B3749" s="151" t="str">
        <f>'Reported burning'!B3749</f>
        <v>405b.2</v>
      </c>
      <c r="C3749" s="151" t="str">
        <f>'Reported burning'!C3749</f>
        <v>Human, deliberate</v>
      </c>
      <c r="D3749" s="151" t="str">
        <f>'Reported burning'!D3749</f>
        <v>Crop field preparation</v>
      </c>
      <c r="E3749" s="151" t="str">
        <f>'Reported burning'!E3749</f>
        <v>Cropping, Swidden</v>
      </c>
      <c r="F3749" s="151" t="str">
        <f>'Reported burning'!F3749</f>
        <v>Secondary vegetation</v>
      </c>
      <c r="G3749" s="151" t="str">
        <f>'Reported burning'!G3749</f>
        <v>Secondary vegetation</v>
      </c>
      <c r="H3749" s="151" t="str">
        <f>'Reported burning'!H3749</f>
        <v>Presence</v>
      </c>
      <c r="I3749" s="5"/>
      <c r="J3749" s="71" t="s">
        <v>2272</v>
      </c>
      <c r="K3749" s="71" t="s">
        <v>2272</v>
      </c>
      <c r="L3749" s="71" t="s">
        <v>2272</v>
      </c>
      <c r="M3749" s="71" t="s">
        <v>2272</v>
      </c>
      <c r="N3749" s="71" t="s">
        <v>2272</v>
      </c>
      <c r="O3749" s="71" t="s">
        <v>2272</v>
      </c>
      <c r="P3749" s="71" t="s">
        <v>2272</v>
      </c>
      <c r="Q3749" s="71" t="s">
        <v>2272</v>
      </c>
      <c r="R3749" s="71" t="s">
        <v>2272</v>
      </c>
      <c r="S3749" s="71" t="s">
        <v>2272</v>
      </c>
      <c r="T3749" s="71" t="s">
        <v>2272</v>
      </c>
      <c r="U3749" s="71" t="s">
        <v>2272</v>
      </c>
      <c r="V3749" s="71" t="s">
        <v>2272</v>
      </c>
      <c r="W3749" s="71" t="s">
        <v>2272</v>
      </c>
      <c r="X3749" s="71" t="s">
        <v>2272</v>
      </c>
      <c r="Y3749" s="71" t="s">
        <v>2272</v>
      </c>
      <c r="Z3749" s="71" t="s">
        <v>2272</v>
      </c>
      <c r="AA3749" s="71" t="s">
        <v>2272</v>
      </c>
      <c r="AB3749" s="198"/>
      <c r="AC3749" s="198"/>
    </row>
    <row r="3750" spans="1:29" ht="44.5" customHeight="1">
      <c r="A3750" s="151" t="str">
        <f>'Reported burning'!A3750</f>
        <v>405c</v>
      </c>
      <c r="B3750" s="151" t="str">
        <f>'Reported burning'!B3750</f>
        <v>405c.2</v>
      </c>
      <c r="C3750" s="151" t="str">
        <f>'Reported burning'!C3750</f>
        <v>Human, deliberate</v>
      </c>
      <c r="D3750" s="151" t="str">
        <f>'Reported burning'!D3750</f>
        <v>Crop field preparation</v>
      </c>
      <c r="E3750" s="151" t="str">
        <f>'Reported burning'!E3750</f>
        <v>Cropping, Swidden</v>
      </c>
      <c r="F3750" s="151" t="str">
        <f>'Reported burning'!F3750</f>
        <v>Secondary vegetation</v>
      </c>
      <c r="G3750" s="151" t="str">
        <f>'Reported burning'!G3750</f>
        <v>Secondary vegetation</v>
      </c>
      <c r="H3750" s="151" t="str">
        <f>'Reported burning'!H3750</f>
        <v>Presence</v>
      </c>
      <c r="I3750" s="5"/>
      <c r="J3750" s="71" t="s">
        <v>2272</v>
      </c>
      <c r="K3750" s="71" t="s">
        <v>2272</v>
      </c>
      <c r="L3750" s="71" t="s">
        <v>2272</v>
      </c>
      <c r="M3750" s="71" t="s">
        <v>2272</v>
      </c>
      <c r="N3750" s="71" t="s">
        <v>2272</v>
      </c>
      <c r="O3750" s="71" t="s">
        <v>2272</v>
      </c>
      <c r="P3750" s="71" t="s">
        <v>2272</v>
      </c>
      <c r="Q3750" s="71" t="s">
        <v>2272</v>
      </c>
      <c r="R3750" s="71" t="s">
        <v>2272</v>
      </c>
      <c r="S3750" s="71" t="s">
        <v>2272</v>
      </c>
      <c r="T3750" s="71" t="s">
        <v>2272</v>
      </c>
      <c r="U3750" s="71" t="s">
        <v>2272</v>
      </c>
      <c r="V3750" s="71" t="s">
        <v>2272</v>
      </c>
      <c r="W3750" s="71" t="s">
        <v>2272</v>
      </c>
      <c r="X3750" s="71" t="s">
        <v>2272</v>
      </c>
      <c r="Y3750" s="71" t="s">
        <v>2272</v>
      </c>
      <c r="Z3750" s="71" t="s">
        <v>2272</v>
      </c>
      <c r="AA3750" s="71" t="s">
        <v>2272</v>
      </c>
      <c r="AB3750" s="198"/>
      <c r="AC3750" s="198"/>
    </row>
    <row r="3751" spans="1:29" ht="44.5" customHeight="1">
      <c r="A3751" s="151" t="str">
        <f>'Reported burning'!A3751</f>
        <v>405d</v>
      </c>
      <c r="B3751" s="151" t="str">
        <f>'Reported burning'!B3751</f>
        <v>405d.2</v>
      </c>
      <c r="C3751" s="151" t="str">
        <f>'Reported burning'!C3751</f>
        <v>Human, deliberate</v>
      </c>
      <c r="D3751" s="151" t="str">
        <f>'Reported burning'!D3751</f>
        <v>Crop field preparation</v>
      </c>
      <c r="E3751" s="151" t="str">
        <f>'Reported burning'!E3751</f>
        <v>Cropping, Swidden</v>
      </c>
      <c r="F3751" s="151" t="str">
        <f>'Reported burning'!F3751</f>
        <v>Secondary vegetation</v>
      </c>
      <c r="G3751" s="151" t="str">
        <f>'Reported burning'!G3751</f>
        <v>Secondary vegetation</v>
      </c>
      <c r="H3751" s="151" t="str">
        <f>'Reported burning'!H3751</f>
        <v>Presence</v>
      </c>
      <c r="I3751" s="5"/>
      <c r="J3751" s="71" t="s">
        <v>2272</v>
      </c>
      <c r="K3751" s="71" t="s">
        <v>2272</v>
      </c>
      <c r="L3751" s="71" t="s">
        <v>2272</v>
      </c>
      <c r="M3751" s="71" t="s">
        <v>2272</v>
      </c>
      <c r="N3751" s="71" t="s">
        <v>2272</v>
      </c>
      <c r="O3751" s="71" t="s">
        <v>2272</v>
      </c>
      <c r="P3751" s="71" t="s">
        <v>2272</v>
      </c>
      <c r="Q3751" s="71" t="s">
        <v>2272</v>
      </c>
      <c r="R3751" s="71" t="s">
        <v>2272</v>
      </c>
      <c r="S3751" s="71" t="s">
        <v>2272</v>
      </c>
      <c r="T3751" s="71" t="s">
        <v>2272</v>
      </c>
      <c r="U3751" s="71" t="s">
        <v>2272</v>
      </c>
      <c r="V3751" s="71" t="s">
        <v>2272</v>
      </c>
      <c r="W3751" s="71" t="s">
        <v>2272</v>
      </c>
      <c r="X3751" s="71" t="s">
        <v>2272</v>
      </c>
      <c r="Y3751" s="71" t="s">
        <v>2272</v>
      </c>
      <c r="Z3751" s="71" t="s">
        <v>2272</v>
      </c>
      <c r="AA3751" s="71" t="s">
        <v>2272</v>
      </c>
      <c r="AB3751" s="198"/>
      <c r="AC3751" s="198"/>
    </row>
    <row r="3752" spans="1:29" ht="44.5" customHeight="1">
      <c r="A3752" s="151" t="str">
        <f>'Reported burning'!A3752</f>
        <v>405e</v>
      </c>
      <c r="B3752" s="151" t="str">
        <f>'Reported burning'!B3752</f>
        <v>405e.2</v>
      </c>
      <c r="C3752" s="151" t="str">
        <f>'Reported burning'!C3752</f>
        <v>Human, deliberate</v>
      </c>
      <c r="D3752" s="151" t="str">
        <f>'Reported burning'!D3752</f>
        <v>Crop field preparation</v>
      </c>
      <c r="E3752" s="151" t="str">
        <f>'Reported burning'!E3752</f>
        <v>Cropping, Swidden</v>
      </c>
      <c r="F3752" s="151" t="str">
        <f>'Reported burning'!F3752</f>
        <v>Secondary vegetation</v>
      </c>
      <c r="G3752" s="151" t="str">
        <f>'Reported burning'!G3752</f>
        <v>Secondary vegetation</v>
      </c>
      <c r="H3752" s="151" t="str">
        <f>'Reported burning'!H3752</f>
        <v>Presence</v>
      </c>
      <c r="I3752" s="5"/>
      <c r="J3752" s="71" t="s">
        <v>2272</v>
      </c>
      <c r="K3752" s="71" t="s">
        <v>2272</v>
      </c>
      <c r="L3752" s="71" t="s">
        <v>2272</v>
      </c>
      <c r="M3752" s="71" t="s">
        <v>2272</v>
      </c>
      <c r="N3752" s="71" t="s">
        <v>2272</v>
      </c>
      <c r="O3752" s="71" t="s">
        <v>2272</v>
      </c>
      <c r="P3752" s="71" t="s">
        <v>2272</v>
      </c>
      <c r="Q3752" s="71" t="s">
        <v>2272</v>
      </c>
      <c r="R3752" s="71" t="s">
        <v>2272</v>
      </c>
      <c r="S3752" s="71" t="s">
        <v>2272</v>
      </c>
      <c r="T3752" s="71" t="s">
        <v>2272</v>
      </c>
      <c r="U3752" s="71" t="s">
        <v>2272</v>
      </c>
      <c r="V3752" s="71" t="s">
        <v>2272</v>
      </c>
      <c r="W3752" s="71" t="s">
        <v>2272</v>
      </c>
      <c r="X3752" s="71" t="s">
        <v>2272</v>
      </c>
      <c r="Y3752" s="71" t="s">
        <v>2272</v>
      </c>
      <c r="Z3752" s="71" t="s">
        <v>2272</v>
      </c>
      <c r="AA3752" s="71" t="s">
        <v>2272</v>
      </c>
      <c r="AB3752" s="198"/>
      <c r="AC3752" s="198"/>
    </row>
    <row r="3753" spans="1:29" ht="44.5" customHeight="1">
      <c r="A3753" s="151" t="str">
        <f>'Reported burning'!A3753</f>
        <v>405f</v>
      </c>
      <c r="B3753" s="151" t="str">
        <f>'Reported burning'!B3753</f>
        <v>405f.2</v>
      </c>
      <c r="C3753" s="151" t="str">
        <f>'Reported burning'!C3753</f>
        <v>Human, deliberate</v>
      </c>
      <c r="D3753" s="151" t="str">
        <f>'Reported burning'!D3753</f>
        <v>Crop field preparation</v>
      </c>
      <c r="E3753" s="151" t="str">
        <f>'Reported burning'!E3753</f>
        <v>Cropping, Swidden</v>
      </c>
      <c r="F3753" s="151" t="str">
        <f>'Reported burning'!F3753</f>
        <v>Secondary vegetation</v>
      </c>
      <c r="G3753" s="151" t="str">
        <f>'Reported burning'!G3753</f>
        <v>Secondary vegetation</v>
      </c>
      <c r="H3753" s="151" t="str">
        <f>'Reported burning'!H3753</f>
        <v>Presence</v>
      </c>
      <c r="I3753" s="5"/>
      <c r="J3753" s="71" t="s">
        <v>2272</v>
      </c>
      <c r="K3753" s="71" t="s">
        <v>2272</v>
      </c>
      <c r="L3753" s="71" t="s">
        <v>2272</v>
      </c>
      <c r="M3753" s="71" t="s">
        <v>2272</v>
      </c>
      <c r="N3753" s="71" t="s">
        <v>2272</v>
      </c>
      <c r="O3753" s="71" t="s">
        <v>2272</v>
      </c>
      <c r="P3753" s="71" t="s">
        <v>2272</v>
      </c>
      <c r="Q3753" s="71" t="s">
        <v>2272</v>
      </c>
      <c r="R3753" s="71" t="s">
        <v>2272</v>
      </c>
      <c r="S3753" s="71" t="s">
        <v>2272</v>
      </c>
      <c r="T3753" s="71" t="s">
        <v>2272</v>
      </c>
      <c r="U3753" s="71" t="s">
        <v>2272</v>
      </c>
      <c r="V3753" s="71" t="s">
        <v>2272</v>
      </c>
      <c r="W3753" s="71" t="s">
        <v>2272</v>
      </c>
      <c r="X3753" s="71" t="s">
        <v>2272</v>
      </c>
      <c r="Y3753" s="71" t="s">
        <v>2272</v>
      </c>
      <c r="Z3753" s="71" t="s">
        <v>2272</v>
      </c>
      <c r="AA3753" s="71" t="s">
        <v>2272</v>
      </c>
      <c r="AB3753" s="198"/>
      <c r="AC3753" s="198"/>
    </row>
    <row r="3754" spans="1:29" ht="50" customHeight="1">
      <c r="A3754" s="151" t="str">
        <f>'Reported burning'!A3754</f>
        <v>405a</v>
      </c>
      <c r="B3754" s="151" t="str">
        <f>'Reported burning'!B3754</f>
        <v>405a.3</v>
      </c>
      <c r="C3754" s="151" t="str">
        <f>'Reported burning'!C3754</f>
        <v>Human, deliberate</v>
      </c>
      <c r="D3754" s="151" t="str">
        <f>'Reported burning'!D3754</f>
        <v>Forest clearance</v>
      </c>
      <c r="E3754" s="151" t="str">
        <f>'Reported burning'!E3754</f>
        <v>Cropping, Monoculture, Subsistence-oriented</v>
      </c>
      <c r="F3754" s="151" t="str">
        <f>'Reported burning'!F3754</f>
        <v>Forest</v>
      </c>
      <c r="G3754" s="151" t="str">
        <f>'Reported burning'!G3754</f>
        <v>Forest</v>
      </c>
      <c r="H3754" s="151" t="str">
        <f>'Reported burning'!H3754</f>
        <v>Presence</v>
      </c>
      <c r="I3754" s="5"/>
      <c r="J3754" s="71" t="s">
        <v>2272</v>
      </c>
      <c r="K3754" s="71" t="s">
        <v>2272</v>
      </c>
      <c r="L3754" s="71" t="s">
        <v>2272</v>
      </c>
      <c r="M3754" s="71" t="s">
        <v>2272</v>
      </c>
      <c r="N3754" s="71" t="s">
        <v>2272</v>
      </c>
      <c r="O3754" s="71" t="s">
        <v>2272</v>
      </c>
      <c r="P3754" s="71" t="s">
        <v>2272</v>
      </c>
      <c r="Q3754" s="71" t="s">
        <v>2272</v>
      </c>
      <c r="R3754" s="71" t="s">
        <v>2272</v>
      </c>
      <c r="S3754" s="71" t="s">
        <v>2272</v>
      </c>
      <c r="T3754" s="71" t="s">
        <v>2272</v>
      </c>
      <c r="U3754" s="71" t="s">
        <v>2272</v>
      </c>
      <c r="V3754" s="71" t="s">
        <v>2272</v>
      </c>
      <c r="W3754" s="71" t="s">
        <v>2272</v>
      </c>
      <c r="X3754" s="71" t="s">
        <v>2272</v>
      </c>
      <c r="Y3754" s="71" t="s">
        <v>2272</v>
      </c>
      <c r="Z3754" s="71" t="s">
        <v>2272</v>
      </c>
      <c r="AA3754" s="71" t="s">
        <v>2272</v>
      </c>
      <c r="AB3754" s="198"/>
      <c r="AC3754" s="198"/>
    </row>
    <row r="3755" spans="1:29" ht="50" customHeight="1">
      <c r="A3755" s="151" t="str">
        <f>'Reported burning'!A3755</f>
        <v>405b</v>
      </c>
      <c r="B3755" s="151" t="str">
        <f>'Reported burning'!B3755</f>
        <v>405b.3</v>
      </c>
      <c r="C3755" s="151" t="str">
        <f>'Reported burning'!C3755</f>
        <v>Human, deliberate</v>
      </c>
      <c r="D3755" s="151" t="str">
        <f>'Reported burning'!D3755</f>
        <v>Forest clearance</v>
      </c>
      <c r="E3755" s="151" t="str">
        <f>'Reported burning'!E3755</f>
        <v>Cropping, Monoculture, Subsistence-oriented</v>
      </c>
      <c r="F3755" s="151" t="str">
        <f>'Reported burning'!F3755</f>
        <v>Forest</v>
      </c>
      <c r="G3755" s="151" t="str">
        <f>'Reported burning'!G3755</f>
        <v>Forest</v>
      </c>
      <c r="H3755" s="151" t="str">
        <f>'Reported burning'!H3755</f>
        <v>Presence</v>
      </c>
      <c r="I3755" s="5"/>
      <c r="J3755" s="71" t="s">
        <v>2272</v>
      </c>
      <c r="K3755" s="71" t="s">
        <v>2272</v>
      </c>
      <c r="L3755" s="71" t="s">
        <v>2272</v>
      </c>
      <c r="M3755" s="71" t="s">
        <v>2272</v>
      </c>
      <c r="N3755" s="71" t="s">
        <v>2272</v>
      </c>
      <c r="O3755" s="71" t="s">
        <v>2272</v>
      </c>
      <c r="P3755" s="71" t="s">
        <v>2272</v>
      </c>
      <c r="Q3755" s="71" t="s">
        <v>2272</v>
      </c>
      <c r="R3755" s="71" t="s">
        <v>2272</v>
      </c>
      <c r="S3755" s="71" t="s">
        <v>2272</v>
      </c>
      <c r="T3755" s="71" t="s">
        <v>2272</v>
      </c>
      <c r="U3755" s="71" t="s">
        <v>2272</v>
      </c>
      <c r="V3755" s="71" t="s">
        <v>2272</v>
      </c>
      <c r="W3755" s="71" t="s">
        <v>2272</v>
      </c>
      <c r="X3755" s="71" t="s">
        <v>2272</v>
      </c>
      <c r="Y3755" s="71" t="s">
        <v>2272</v>
      </c>
      <c r="Z3755" s="71" t="s">
        <v>2272</v>
      </c>
      <c r="AA3755" s="71" t="s">
        <v>2272</v>
      </c>
      <c r="AB3755" s="198"/>
      <c r="AC3755" s="198"/>
    </row>
    <row r="3756" spans="1:29" ht="50" customHeight="1">
      <c r="A3756" s="151" t="str">
        <f>'Reported burning'!A3756</f>
        <v>405c</v>
      </c>
      <c r="B3756" s="151" t="str">
        <f>'Reported burning'!B3756</f>
        <v>405c.3</v>
      </c>
      <c r="C3756" s="151" t="str">
        <f>'Reported burning'!C3756</f>
        <v>Human, deliberate</v>
      </c>
      <c r="D3756" s="151" t="str">
        <f>'Reported burning'!D3756</f>
        <v>Forest clearance</v>
      </c>
      <c r="E3756" s="151" t="str">
        <f>'Reported burning'!E3756</f>
        <v>Cropping, Monoculture, Subsistence-oriented</v>
      </c>
      <c r="F3756" s="151" t="str">
        <f>'Reported burning'!F3756</f>
        <v>Forest</v>
      </c>
      <c r="G3756" s="151" t="str">
        <f>'Reported burning'!G3756</f>
        <v>Forest</v>
      </c>
      <c r="H3756" s="151" t="str">
        <f>'Reported burning'!H3756</f>
        <v>Presence</v>
      </c>
      <c r="I3756" s="5"/>
      <c r="J3756" s="71" t="s">
        <v>2272</v>
      </c>
      <c r="K3756" s="71" t="s">
        <v>2272</v>
      </c>
      <c r="L3756" s="71" t="s">
        <v>2272</v>
      </c>
      <c r="M3756" s="71" t="s">
        <v>2272</v>
      </c>
      <c r="N3756" s="71" t="s">
        <v>2272</v>
      </c>
      <c r="O3756" s="71" t="s">
        <v>2272</v>
      </c>
      <c r="P3756" s="71" t="s">
        <v>2272</v>
      </c>
      <c r="Q3756" s="71" t="s">
        <v>2272</v>
      </c>
      <c r="R3756" s="71" t="s">
        <v>2272</v>
      </c>
      <c r="S3756" s="71" t="s">
        <v>2272</v>
      </c>
      <c r="T3756" s="71" t="s">
        <v>2272</v>
      </c>
      <c r="U3756" s="71" t="s">
        <v>2272</v>
      </c>
      <c r="V3756" s="71" t="s">
        <v>2272</v>
      </c>
      <c r="W3756" s="71" t="s">
        <v>2272</v>
      </c>
      <c r="X3756" s="71" t="s">
        <v>2272</v>
      </c>
      <c r="Y3756" s="71" t="s">
        <v>2272</v>
      </c>
      <c r="Z3756" s="71" t="s">
        <v>2272</v>
      </c>
      <c r="AA3756" s="71" t="s">
        <v>2272</v>
      </c>
      <c r="AB3756" s="198"/>
      <c r="AC3756" s="4"/>
    </row>
    <row r="3757" spans="1:29" ht="50" customHeight="1">
      <c r="A3757" s="151" t="str">
        <f>'Reported burning'!A3757</f>
        <v>405a</v>
      </c>
      <c r="B3757" s="151" t="str">
        <f>'Reported burning'!B3757</f>
        <v>405a.4</v>
      </c>
      <c r="C3757" s="151" t="str">
        <f>'Reported burning'!C3757</f>
        <v>Human, deliberate</v>
      </c>
      <c r="D3757" s="151" t="str">
        <f>'Reported burning'!D3757</f>
        <v>Forest clearance</v>
      </c>
      <c r="E3757" s="151" t="str">
        <f>'Reported burning'!E3757</f>
        <v>Cropping, Intensive</v>
      </c>
      <c r="F3757" s="151" t="str">
        <f>'Reported burning'!F3757</f>
        <v>Forest</v>
      </c>
      <c r="G3757" s="151" t="str">
        <f>'Reported burning'!G3757</f>
        <v>Forest</v>
      </c>
      <c r="H3757" s="151" t="str">
        <f>'Reported burning'!H3757</f>
        <v>Presence</v>
      </c>
      <c r="I3757" s="5"/>
      <c r="J3757" s="71" t="s">
        <v>2272</v>
      </c>
      <c r="K3757" s="71" t="s">
        <v>2272</v>
      </c>
      <c r="L3757" s="71" t="s">
        <v>2272</v>
      </c>
      <c r="M3757" s="21" t="s">
        <v>2371</v>
      </c>
      <c r="N3757" s="71" t="s">
        <v>2272</v>
      </c>
      <c r="O3757" s="71" t="s">
        <v>2272</v>
      </c>
      <c r="P3757" s="71" t="s">
        <v>2272</v>
      </c>
      <c r="Q3757" s="71" t="s">
        <v>2272</v>
      </c>
      <c r="R3757" s="71" t="s">
        <v>2272</v>
      </c>
      <c r="S3757" s="71" t="s">
        <v>2272</v>
      </c>
      <c r="T3757" s="71" t="s">
        <v>2272</v>
      </c>
      <c r="U3757" s="71" t="s">
        <v>2272</v>
      </c>
      <c r="V3757" s="71" t="s">
        <v>2272</v>
      </c>
      <c r="W3757" s="71" t="s">
        <v>2272</v>
      </c>
      <c r="X3757" s="71" t="s">
        <v>2272</v>
      </c>
      <c r="Y3757" s="71" t="s">
        <v>2272</v>
      </c>
      <c r="Z3757" s="71" t="s">
        <v>2272</v>
      </c>
      <c r="AA3757" s="71" t="s">
        <v>2272</v>
      </c>
      <c r="AB3757" s="198"/>
      <c r="AC3757" s="4" t="s">
        <v>9689</v>
      </c>
    </row>
    <row r="3758" spans="1:29" ht="50" customHeight="1">
      <c r="A3758" s="151" t="str">
        <f>'Reported burning'!A3758</f>
        <v>405b</v>
      </c>
      <c r="B3758" s="151" t="str">
        <f>'Reported burning'!B3758</f>
        <v>405b.4</v>
      </c>
      <c r="C3758" s="151" t="str">
        <f>'Reported burning'!C3758</f>
        <v>Human, deliberate</v>
      </c>
      <c r="D3758" s="151" t="str">
        <f>'Reported burning'!D3758</f>
        <v>Forest clearance</v>
      </c>
      <c r="E3758" s="151" t="str">
        <f>'Reported burning'!E3758</f>
        <v>Cropping, Intensive</v>
      </c>
      <c r="F3758" s="151" t="str">
        <f>'Reported burning'!F3758</f>
        <v>Forest</v>
      </c>
      <c r="G3758" s="151" t="str">
        <f>'Reported burning'!G3758</f>
        <v>Forest</v>
      </c>
      <c r="H3758" s="151" t="str">
        <f>'Reported burning'!H3758</f>
        <v>Presence</v>
      </c>
      <c r="I3758" s="5"/>
      <c r="J3758" s="71" t="s">
        <v>2272</v>
      </c>
      <c r="K3758" s="71" t="s">
        <v>2272</v>
      </c>
      <c r="L3758" s="71" t="s">
        <v>2272</v>
      </c>
      <c r="M3758" s="21" t="s">
        <v>2371</v>
      </c>
      <c r="N3758" s="71" t="s">
        <v>2272</v>
      </c>
      <c r="O3758" s="71" t="s">
        <v>2272</v>
      </c>
      <c r="P3758" s="71" t="s">
        <v>2272</v>
      </c>
      <c r="Q3758" s="71" t="s">
        <v>2272</v>
      </c>
      <c r="R3758" s="71" t="s">
        <v>2272</v>
      </c>
      <c r="S3758" s="71" t="s">
        <v>2272</v>
      </c>
      <c r="T3758" s="71" t="s">
        <v>2272</v>
      </c>
      <c r="U3758" s="71" t="s">
        <v>2272</v>
      </c>
      <c r="V3758" s="71" t="s">
        <v>2272</v>
      </c>
      <c r="W3758" s="71" t="s">
        <v>2272</v>
      </c>
      <c r="X3758" s="71" t="s">
        <v>2272</v>
      </c>
      <c r="Y3758" s="71" t="s">
        <v>2272</v>
      </c>
      <c r="Z3758" s="71" t="s">
        <v>2272</v>
      </c>
      <c r="AA3758" s="71" t="s">
        <v>2272</v>
      </c>
      <c r="AB3758" s="198"/>
      <c r="AC3758" s="4" t="s">
        <v>9689</v>
      </c>
    </row>
    <row r="3759" spans="1:29" ht="50" customHeight="1">
      <c r="A3759" s="151" t="str">
        <f>'Reported burning'!A3759</f>
        <v>405d</v>
      </c>
      <c r="B3759" s="151" t="str">
        <f>'Reported burning'!B3759</f>
        <v>405d.4</v>
      </c>
      <c r="C3759" s="151" t="str">
        <f>'Reported burning'!C3759</f>
        <v>Human, deliberate</v>
      </c>
      <c r="D3759" s="151" t="str">
        <f>'Reported burning'!D3759</f>
        <v>Forest clearance</v>
      </c>
      <c r="E3759" s="151" t="str">
        <f>'Reported burning'!E3759</f>
        <v>Cropping, Intensive</v>
      </c>
      <c r="F3759" s="151" t="str">
        <f>'Reported burning'!F3759</f>
        <v>Forest</v>
      </c>
      <c r="G3759" s="151" t="str">
        <f>'Reported burning'!G3759</f>
        <v>Forest</v>
      </c>
      <c r="H3759" s="151" t="str">
        <f>'Reported burning'!H3759</f>
        <v>Presence</v>
      </c>
      <c r="I3759" s="5"/>
      <c r="J3759" s="71" t="s">
        <v>2272</v>
      </c>
      <c r="K3759" s="71" t="s">
        <v>2272</v>
      </c>
      <c r="L3759" s="71" t="s">
        <v>2272</v>
      </c>
      <c r="M3759" s="21" t="s">
        <v>2371</v>
      </c>
      <c r="N3759" s="71" t="s">
        <v>2272</v>
      </c>
      <c r="O3759" s="71" t="s">
        <v>2272</v>
      </c>
      <c r="P3759" s="71" t="s">
        <v>2272</v>
      </c>
      <c r="Q3759" s="71" t="s">
        <v>2272</v>
      </c>
      <c r="R3759" s="71" t="s">
        <v>2272</v>
      </c>
      <c r="S3759" s="71" t="s">
        <v>2272</v>
      </c>
      <c r="T3759" s="71" t="s">
        <v>2272</v>
      </c>
      <c r="U3759" s="71" t="s">
        <v>2272</v>
      </c>
      <c r="V3759" s="71" t="s">
        <v>2272</v>
      </c>
      <c r="W3759" s="71" t="s">
        <v>2272</v>
      </c>
      <c r="X3759" s="71" t="s">
        <v>2272</v>
      </c>
      <c r="Y3759" s="71" t="s">
        <v>2272</v>
      </c>
      <c r="Z3759" s="71" t="s">
        <v>2272</v>
      </c>
      <c r="AA3759" s="71" t="s">
        <v>2272</v>
      </c>
      <c r="AB3759" s="198"/>
      <c r="AC3759" s="4" t="s">
        <v>9689</v>
      </c>
    </row>
    <row r="3760" spans="1:29" ht="50" customHeight="1">
      <c r="A3760" s="151" t="str">
        <f>'Reported burning'!A3760</f>
        <v>405e</v>
      </c>
      <c r="B3760" s="151" t="str">
        <f>'Reported burning'!B3760</f>
        <v>405e.4</v>
      </c>
      <c r="C3760" s="151" t="str">
        <f>'Reported burning'!C3760</f>
        <v>Human, deliberate</v>
      </c>
      <c r="D3760" s="151" t="str">
        <f>'Reported burning'!D3760</f>
        <v>Forest clearance</v>
      </c>
      <c r="E3760" s="151" t="str">
        <f>'Reported burning'!E3760</f>
        <v>Cropping, Intensive</v>
      </c>
      <c r="F3760" s="151" t="str">
        <f>'Reported burning'!F3760</f>
        <v>Forest</v>
      </c>
      <c r="G3760" s="151" t="str">
        <f>'Reported burning'!G3760</f>
        <v>Forest</v>
      </c>
      <c r="H3760" s="151" t="str">
        <f>'Reported burning'!H3760</f>
        <v>Presence</v>
      </c>
      <c r="I3760" s="5"/>
      <c r="J3760" s="71" t="s">
        <v>2272</v>
      </c>
      <c r="K3760" s="71" t="s">
        <v>2272</v>
      </c>
      <c r="L3760" s="71" t="s">
        <v>2272</v>
      </c>
      <c r="M3760" s="21" t="s">
        <v>2371</v>
      </c>
      <c r="N3760" s="71" t="s">
        <v>2272</v>
      </c>
      <c r="O3760" s="71" t="s">
        <v>2272</v>
      </c>
      <c r="P3760" s="71" t="s">
        <v>2272</v>
      </c>
      <c r="Q3760" s="71" t="s">
        <v>2272</v>
      </c>
      <c r="R3760" s="71" t="s">
        <v>2272</v>
      </c>
      <c r="S3760" s="71" t="s">
        <v>2272</v>
      </c>
      <c r="T3760" s="71" t="s">
        <v>2272</v>
      </c>
      <c r="U3760" s="71" t="s">
        <v>2272</v>
      </c>
      <c r="V3760" s="71" t="s">
        <v>2272</v>
      </c>
      <c r="W3760" s="71" t="s">
        <v>2272</v>
      </c>
      <c r="X3760" s="71" t="s">
        <v>2272</v>
      </c>
      <c r="Y3760" s="71" t="s">
        <v>2272</v>
      </c>
      <c r="Z3760" s="71" t="s">
        <v>2272</v>
      </c>
      <c r="AA3760" s="71" t="s">
        <v>2272</v>
      </c>
      <c r="AB3760" s="198"/>
      <c r="AC3760" s="4" t="s">
        <v>9689</v>
      </c>
    </row>
    <row r="3761" spans="1:29" ht="50" customHeight="1">
      <c r="A3761" s="151" t="str">
        <f>'Reported burning'!A3761</f>
        <v>405f</v>
      </c>
      <c r="B3761" s="151" t="str">
        <f>'Reported burning'!B3761</f>
        <v>405f.4</v>
      </c>
      <c r="C3761" s="151" t="str">
        <f>'Reported burning'!C3761</f>
        <v>Human, deliberate</v>
      </c>
      <c r="D3761" s="151" t="str">
        <f>'Reported burning'!D3761</f>
        <v>Forest clearance</v>
      </c>
      <c r="E3761" s="151" t="str">
        <f>'Reported burning'!E3761</f>
        <v>Cropping, Intensive</v>
      </c>
      <c r="F3761" s="151" t="str">
        <f>'Reported burning'!F3761</f>
        <v>Forest</v>
      </c>
      <c r="G3761" s="151" t="str">
        <f>'Reported burning'!G3761</f>
        <v>Forest</v>
      </c>
      <c r="H3761" s="151" t="str">
        <f>'Reported burning'!H3761</f>
        <v>Presence</v>
      </c>
      <c r="I3761" s="5"/>
      <c r="J3761" s="71" t="s">
        <v>2272</v>
      </c>
      <c r="K3761" s="71" t="s">
        <v>2272</v>
      </c>
      <c r="L3761" s="71" t="s">
        <v>2272</v>
      </c>
      <c r="M3761" s="21" t="s">
        <v>2371</v>
      </c>
      <c r="N3761" s="71" t="s">
        <v>2272</v>
      </c>
      <c r="O3761" s="71" t="s">
        <v>2272</v>
      </c>
      <c r="P3761" s="71" t="s">
        <v>2272</v>
      </c>
      <c r="Q3761" s="71" t="s">
        <v>2272</v>
      </c>
      <c r="R3761" s="71" t="s">
        <v>2272</v>
      </c>
      <c r="S3761" s="71" t="s">
        <v>2272</v>
      </c>
      <c r="T3761" s="71" t="s">
        <v>2272</v>
      </c>
      <c r="U3761" s="71" t="s">
        <v>2272</v>
      </c>
      <c r="V3761" s="71" t="s">
        <v>2272</v>
      </c>
      <c r="W3761" s="71" t="s">
        <v>2272</v>
      </c>
      <c r="X3761" s="71" t="s">
        <v>2272</v>
      </c>
      <c r="Y3761" s="71" t="s">
        <v>2272</v>
      </c>
      <c r="Z3761" s="71" t="s">
        <v>2272</v>
      </c>
      <c r="AA3761" s="71" t="s">
        <v>2272</v>
      </c>
      <c r="AB3761" s="198"/>
      <c r="AC3761" s="4" t="s">
        <v>9689</v>
      </c>
    </row>
    <row r="3762" spans="1:29" ht="50" customHeight="1">
      <c r="A3762" s="151" t="str">
        <f>'Reported burning'!A3762</f>
        <v>405a</v>
      </c>
      <c r="B3762" s="151" t="str">
        <f>'Reported burning'!B3762</f>
        <v>405a.5</v>
      </c>
      <c r="C3762" s="151" t="str">
        <f>'Reported burning'!C3762</f>
        <v>Human, deliberate</v>
      </c>
      <c r="D3762" s="151" t="str">
        <f>'Reported burning'!D3762</f>
        <v>Forest clearance</v>
      </c>
      <c r="E3762" s="151" t="str">
        <f>'Reported burning'!E3762</f>
        <v>Urban planner</v>
      </c>
      <c r="F3762" s="151" t="str">
        <f>'Reported burning'!F3762</f>
        <v>Forest</v>
      </c>
      <c r="G3762" s="151" t="str">
        <f>'Reported burning'!G3762</f>
        <v>Forest</v>
      </c>
      <c r="H3762" s="151" t="str">
        <f>'Reported burning'!H3762</f>
        <v>Presence</v>
      </c>
      <c r="I3762" s="5"/>
      <c r="J3762" s="71" t="s">
        <v>2272</v>
      </c>
      <c r="K3762" s="71" t="s">
        <v>2272</v>
      </c>
      <c r="L3762" s="71" t="s">
        <v>2272</v>
      </c>
      <c r="M3762" s="71" t="s">
        <v>2272</v>
      </c>
      <c r="N3762" s="71" t="s">
        <v>2272</v>
      </c>
      <c r="O3762" s="71" t="s">
        <v>2272</v>
      </c>
      <c r="P3762" s="71" t="s">
        <v>2272</v>
      </c>
      <c r="Q3762" s="71" t="s">
        <v>2272</v>
      </c>
      <c r="R3762" s="71" t="s">
        <v>2272</v>
      </c>
      <c r="S3762" s="71" t="s">
        <v>2272</v>
      </c>
      <c r="T3762" s="71" t="s">
        <v>2272</v>
      </c>
      <c r="U3762" s="71" t="s">
        <v>2272</v>
      </c>
      <c r="V3762" s="71" t="s">
        <v>2272</v>
      </c>
      <c r="W3762" s="71" t="s">
        <v>2272</v>
      </c>
      <c r="X3762" s="71" t="s">
        <v>2272</v>
      </c>
      <c r="Y3762" s="71" t="s">
        <v>2272</v>
      </c>
      <c r="Z3762" s="71" t="s">
        <v>2272</v>
      </c>
      <c r="AA3762" s="71" t="s">
        <v>2272</v>
      </c>
      <c r="AB3762" s="71"/>
      <c r="AC3762" s="71" t="s">
        <v>9712</v>
      </c>
    </row>
    <row r="3763" spans="1:29" ht="39.5" customHeight="1">
      <c r="A3763" s="151" t="str">
        <f>'Reported burning'!A3763</f>
        <v>405b</v>
      </c>
      <c r="B3763" s="151" t="str">
        <f>'Reported burning'!B3763</f>
        <v>405b.5</v>
      </c>
      <c r="C3763" s="151" t="str">
        <f>'Reported burning'!C3763</f>
        <v>Human, deliberate</v>
      </c>
      <c r="D3763" s="151" t="str">
        <f>'Reported burning'!D3763</f>
        <v>Forest clearance</v>
      </c>
      <c r="E3763" s="151" t="str">
        <f>'Reported burning'!E3763</f>
        <v>Urban planner</v>
      </c>
      <c r="F3763" s="151" t="str">
        <f>'Reported burning'!F3763</f>
        <v>Forest</v>
      </c>
      <c r="G3763" s="151" t="str">
        <f>'Reported burning'!G3763</f>
        <v>Forest</v>
      </c>
      <c r="H3763" s="151" t="str">
        <f>'Reported burning'!H3763</f>
        <v>Presence</v>
      </c>
      <c r="I3763" s="5"/>
      <c r="J3763" s="71" t="s">
        <v>2272</v>
      </c>
      <c r="K3763" s="71" t="s">
        <v>2272</v>
      </c>
      <c r="L3763" s="71" t="s">
        <v>2272</v>
      </c>
      <c r="M3763" s="71" t="s">
        <v>2272</v>
      </c>
      <c r="N3763" s="71" t="s">
        <v>2272</v>
      </c>
      <c r="O3763" s="71" t="s">
        <v>2272</v>
      </c>
      <c r="P3763" s="71" t="s">
        <v>2272</v>
      </c>
      <c r="Q3763" s="71" t="s">
        <v>2272</v>
      </c>
      <c r="R3763" s="71" t="s">
        <v>2272</v>
      </c>
      <c r="S3763" s="71" t="s">
        <v>2272</v>
      </c>
      <c r="T3763" s="71" t="s">
        <v>2272</v>
      </c>
      <c r="U3763" s="71" t="s">
        <v>2272</v>
      </c>
      <c r="V3763" s="71" t="s">
        <v>2272</v>
      </c>
      <c r="W3763" s="71" t="s">
        <v>2272</v>
      </c>
      <c r="X3763" s="71" t="s">
        <v>2272</v>
      </c>
      <c r="Y3763" s="71" t="s">
        <v>2272</v>
      </c>
      <c r="Z3763" s="71" t="s">
        <v>2272</v>
      </c>
      <c r="AA3763" s="71" t="s">
        <v>2272</v>
      </c>
      <c r="AB3763" s="71"/>
      <c r="AC3763" s="71" t="s">
        <v>9712</v>
      </c>
    </row>
    <row r="3764" spans="1:29" ht="39.5" customHeight="1">
      <c r="A3764" s="151" t="str">
        <f>'Reported burning'!A3764</f>
        <v>405c</v>
      </c>
      <c r="B3764" s="151" t="str">
        <f>'Reported burning'!B3764</f>
        <v>405c.5</v>
      </c>
      <c r="C3764" s="151" t="str">
        <f>'Reported burning'!C3764</f>
        <v>Human, deliberate</v>
      </c>
      <c r="D3764" s="151" t="str">
        <f>'Reported burning'!D3764</f>
        <v>Forest clearance</v>
      </c>
      <c r="E3764" s="151" t="str">
        <f>'Reported burning'!E3764</f>
        <v>Urban planner</v>
      </c>
      <c r="F3764" s="151" t="str">
        <f>'Reported burning'!F3764</f>
        <v>Forest</v>
      </c>
      <c r="G3764" s="151" t="str">
        <f>'Reported burning'!G3764</f>
        <v>Forest</v>
      </c>
      <c r="H3764" s="151" t="str">
        <f>'Reported burning'!H3764</f>
        <v>Presence</v>
      </c>
      <c r="I3764" s="5"/>
      <c r="J3764" s="71" t="s">
        <v>2272</v>
      </c>
      <c r="K3764" s="71" t="s">
        <v>2272</v>
      </c>
      <c r="L3764" s="71" t="s">
        <v>2272</v>
      </c>
      <c r="M3764" s="71" t="s">
        <v>2272</v>
      </c>
      <c r="N3764" s="71" t="s">
        <v>2272</v>
      </c>
      <c r="O3764" s="71" t="s">
        <v>2272</v>
      </c>
      <c r="P3764" s="71" t="s">
        <v>2272</v>
      </c>
      <c r="Q3764" s="71" t="s">
        <v>2272</v>
      </c>
      <c r="R3764" s="71" t="s">
        <v>2272</v>
      </c>
      <c r="S3764" s="71" t="s">
        <v>2272</v>
      </c>
      <c r="T3764" s="71" t="s">
        <v>2272</v>
      </c>
      <c r="U3764" s="71" t="s">
        <v>2272</v>
      </c>
      <c r="V3764" s="71" t="s">
        <v>2272</v>
      </c>
      <c r="W3764" s="71" t="s">
        <v>2272</v>
      </c>
      <c r="X3764" s="71" t="s">
        <v>2272</v>
      </c>
      <c r="Y3764" s="71" t="s">
        <v>2272</v>
      </c>
      <c r="Z3764" s="71" t="s">
        <v>2272</v>
      </c>
      <c r="AA3764" s="71" t="s">
        <v>2272</v>
      </c>
      <c r="AB3764" s="71"/>
      <c r="AC3764" s="71" t="s">
        <v>9712</v>
      </c>
    </row>
    <row r="3765" spans="1:29" s="197" customFormat="1" ht="39.5" customHeight="1">
      <c r="A3765" s="151" t="str">
        <f>'Reported burning'!A3765</f>
        <v>405d</v>
      </c>
      <c r="B3765" s="151" t="str">
        <f>'Reported burning'!B3765</f>
        <v>405d.5</v>
      </c>
      <c r="C3765" s="151" t="str">
        <f>'Reported burning'!C3765</f>
        <v>Human, deliberate</v>
      </c>
      <c r="D3765" s="151" t="str">
        <f>'Reported burning'!D3765</f>
        <v>Forest clearance</v>
      </c>
      <c r="E3765" s="151" t="str">
        <f>'Reported burning'!E3765</f>
        <v>Urban planner</v>
      </c>
      <c r="F3765" s="151" t="str">
        <f>'Reported burning'!F3765</f>
        <v>Forest</v>
      </c>
      <c r="G3765" s="151" t="str">
        <f>'Reported burning'!G3765</f>
        <v>Forest</v>
      </c>
      <c r="H3765" s="151" t="str">
        <f>'Reported burning'!H3765</f>
        <v>Presence</v>
      </c>
      <c r="I3765" s="5"/>
      <c r="J3765" s="71" t="s">
        <v>2272</v>
      </c>
      <c r="K3765" s="71" t="s">
        <v>2272</v>
      </c>
      <c r="L3765" s="71" t="s">
        <v>2272</v>
      </c>
      <c r="M3765" s="71" t="s">
        <v>2272</v>
      </c>
      <c r="N3765" s="71" t="s">
        <v>2272</v>
      </c>
      <c r="O3765" s="71" t="s">
        <v>2272</v>
      </c>
      <c r="P3765" s="71" t="s">
        <v>2272</v>
      </c>
      <c r="Q3765" s="71" t="s">
        <v>2272</v>
      </c>
      <c r="R3765" s="71" t="s">
        <v>2272</v>
      </c>
      <c r="S3765" s="71" t="s">
        <v>2272</v>
      </c>
      <c r="T3765" s="71" t="s">
        <v>2272</v>
      </c>
      <c r="U3765" s="71" t="s">
        <v>2272</v>
      </c>
      <c r="V3765" s="71" t="s">
        <v>2272</v>
      </c>
      <c r="W3765" s="71" t="s">
        <v>2272</v>
      </c>
      <c r="X3765" s="71" t="s">
        <v>2272</v>
      </c>
      <c r="Y3765" s="71" t="s">
        <v>2272</v>
      </c>
      <c r="Z3765" s="71" t="s">
        <v>2272</v>
      </c>
      <c r="AA3765" s="71" t="s">
        <v>2272</v>
      </c>
      <c r="AB3765" s="71"/>
      <c r="AC3765" s="71" t="s">
        <v>9712</v>
      </c>
    </row>
    <row r="3766" spans="1:29" ht="39.5" customHeight="1">
      <c r="A3766" s="151" t="str">
        <f>'Reported burning'!A3766</f>
        <v>405e</v>
      </c>
      <c r="B3766" s="151" t="str">
        <f>'Reported burning'!B3766</f>
        <v>405e.5</v>
      </c>
      <c r="C3766" s="151" t="str">
        <f>'Reported burning'!C3766</f>
        <v>Human, deliberate</v>
      </c>
      <c r="D3766" s="151" t="str">
        <f>'Reported burning'!D3766</f>
        <v>Forest clearance</v>
      </c>
      <c r="E3766" s="151" t="str">
        <f>'Reported burning'!E3766</f>
        <v>Urban planner</v>
      </c>
      <c r="F3766" s="151" t="str">
        <f>'Reported burning'!F3766</f>
        <v>Forest</v>
      </c>
      <c r="G3766" s="151" t="str">
        <f>'Reported burning'!G3766</f>
        <v>Forest</v>
      </c>
      <c r="H3766" s="151" t="str">
        <f>'Reported burning'!H3766</f>
        <v>Presence</v>
      </c>
      <c r="I3766" s="5"/>
      <c r="J3766" s="71" t="s">
        <v>2272</v>
      </c>
      <c r="K3766" s="71" t="s">
        <v>2272</v>
      </c>
      <c r="L3766" s="71" t="s">
        <v>2272</v>
      </c>
      <c r="M3766" s="71" t="s">
        <v>2272</v>
      </c>
      <c r="N3766" s="71" t="s">
        <v>2272</v>
      </c>
      <c r="O3766" s="71" t="s">
        <v>2272</v>
      </c>
      <c r="P3766" s="71" t="s">
        <v>2272</v>
      </c>
      <c r="Q3766" s="71" t="s">
        <v>2272</v>
      </c>
      <c r="R3766" s="71" t="s">
        <v>2272</v>
      </c>
      <c r="S3766" s="71" t="s">
        <v>2272</v>
      </c>
      <c r="T3766" s="71" t="s">
        <v>2272</v>
      </c>
      <c r="U3766" s="71" t="s">
        <v>2272</v>
      </c>
      <c r="V3766" s="71" t="s">
        <v>2272</v>
      </c>
      <c r="W3766" s="71" t="s">
        <v>2272</v>
      </c>
      <c r="X3766" s="71" t="s">
        <v>2272</v>
      </c>
      <c r="Y3766" s="71" t="s">
        <v>2272</v>
      </c>
      <c r="Z3766" s="71" t="s">
        <v>2272</v>
      </c>
      <c r="AA3766" s="71" t="s">
        <v>2272</v>
      </c>
      <c r="AB3766" s="71"/>
      <c r="AC3766" s="71" t="s">
        <v>9712</v>
      </c>
    </row>
    <row r="3767" spans="1:29" ht="39.5" customHeight="1">
      <c r="A3767" s="151" t="str">
        <f>'Reported burning'!A3767</f>
        <v>405f</v>
      </c>
      <c r="B3767" s="151" t="str">
        <f>'Reported burning'!B3767</f>
        <v>405f.5</v>
      </c>
      <c r="C3767" s="151" t="str">
        <f>'Reported burning'!C3767</f>
        <v>Human, deliberate</v>
      </c>
      <c r="D3767" s="151" t="str">
        <f>'Reported burning'!D3767</f>
        <v>Forest clearance</v>
      </c>
      <c r="E3767" s="151" t="str">
        <f>'Reported burning'!E3767</f>
        <v>Urban planner</v>
      </c>
      <c r="F3767" s="151" t="str">
        <f>'Reported burning'!F3767</f>
        <v>Forest</v>
      </c>
      <c r="G3767" s="151" t="str">
        <f>'Reported burning'!G3767</f>
        <v>Forest</v>
      </c>
      <c r="H3767" s="151" t="str">
        <f>'Reported burning'!H3767</f>
        <v>Presence</v>
      </c>
      <c r="I3767" s="5"/>
      <c r="J3767" s="71" t="s">
        <v>2272</v>
      </c>
      <c r="K3767" s="71" t="s">
        <v>2272</v>
      </c>
      <c r="L3767" s="71" t="s">
        <v>2272</v>
      </c>
      <c r="M3767" s="71" t="s">
        <v>2272</v>
      </c>
      <c r="N3767" s="71" t="s">
        <v>2272</v>
      </c>
      <c r="O3767" s="71" t="s">
        <v>2272</v>
      </c>
      <c r="P3767" s="71" t="s">
        <v>2272</v>
      </c>
      <c r="Q3767" s="71" t="s">
        <v>2272</v>
      </c>
      <c r="R3767" s="71" t="s">
        <v>2272</v>
      </c>
      <c r="S3767" s="71" t="s">
        <v>2272</v>
      </c>
      <c r="T3767" s="71" t="s">
        <v>2272</v>
      </c>
      <c r="U3767" s="71" t="s">
        <v>2272</v>
      </c>
      <c r="V3767" s="71" t="s">
        <v>2272</v>
      </c>
      <c r="W3767" s="71" t="s">
        <v>2272</v>
      </c>
      <c r="X3767" s="71" t="s">
        <v>2272</v>
      </c>
      <c r="Y3767" s="71" t="s">
        <v>2272</v>
      </c>
      <c r="Z3767" s="71" t="s">
        <v>2272</v>
      </c>
      <c r="AA3767" s="71" t="s">
        <v>2272</v>
      </c>
      <c r="AB3767" s="71"/>
      <c r="AC3767" s="71" t="s">
        <v>9712</v>
      </c>
    </row>
    <row r="3768" spans="1:29" ht="39.5" customHeight="1">
      <c r="A3768" s="151" t="str">
        <f>'Reported burning'!A3768</f>
        <v>405a</v>
      </c>
      <c r="B3768" s="151" t="str">
        <f>'Reported burning'!B3768</f>
        <v>405a.6</v>
      </c>
      <c r="C3768" s="151" t="str">
        <f>'Reported burning'!C3768</f>
        <v>Human, deliberate</v>
      </c>
      <c r="D3768" s="151" t="str">
        <f>'Reported burning'!D3768</f>
        <v>Forest clearance</v>
      </c>
      <c r="E3768" s="151" t="str">
        <f>'Reported burning'!E3768</f>
        <v>Cropping, Intensive</v>
      </c>
      <c r="F3768" s="151" t="str">
        <f>'Reported burning'!F3768</f>
        <v>Secondary vegetation</v>
      </c>
      <c r="G3768" s="151" t="str">
        <f>'Reported burning'!G3768</f>
        <v>Secondary vegetation</v>
      </c>
      <c r="H3768" s="151" t="str">
        <f>'Reported burning'!H3768</f>
        <v>Presence</v>
      </c>
      <c r="I3768" s="5"/>
      <c r="J3768" s="71" t="s">
        <v>2272</v>
      </c>
      <c r="K3768" s="71" t="s">
        <v>2272</v>
      </c>
      <c r="L3768" s="71" t="s">
        <v>2272</v>
      </c>
      <c r="M3768" s="21" t="s">
        <v>2371</v>
      </c>
      <c r="N3768" s="71" t="s">
        <v>2272</v>
      </c>
      <c r="O3768" s="71" t="s">
        <v>2272</v>
      </c>
      <c r="P3768" s="71" t="s">
        <v>2272</v>
      </c>
      <c r="Q3768" s="71" t="s">
        <v>2272</v>
      </c>
      <c r="R3768" s="71" t="s">
        <v>2272</v>
      </c>
      <c r="S3768" s="71" t="s">
        <v>2272</v>
      </c>
      <c r="T3768" s="71" t="s">
        <v>2272</v>
      </c>
      <c r="U3768" s="71" t="s">
        <v>2272</v>
      </c>
      <c r="V3768" s="71" t="s">
        <v>2272</v>
      </c>
      <c r="W3768" s="71" t="s">
        <v>2272</v>
      </c>
      <c r="X3768" s="71" t="s">
        <v>2272</v>
      </c>
      <c r="Y3768" s="71" t="s">
        <v>2272</v>
      </c>
      <c r="Z3768" s="71" t="s">
        <v>2272</v>
      </c>
      <c r="AA3768" s="71" t="s">
        <v>2272</v>
      </c>
      <c r="AB3768" s="198"/>
      <c r="AC3768" s="4" t="s">
        <v>9689</v>
      </c>
    </row>
    <row r="3769" spans="1:29" ht="39.5" customHeight="1">
      <c r="A3769" s="151" t="str">
        <f>'Reported burning'!A3769</f>
        <v>405b</v>
      </c>
      <c r="B3769" s="151" t="str">
        <f>'Reported burning'!B3769</f>
        <v>405b.6</v>
      </c>
      <c r="C3769" s="151" t="str">
        <f>'Reported burning'!C3769</f>
        <v>Human, deliberate</v>
      </c>
      <c r="D3769" s="151" t="str">
        <f>'Reported burning'!D3769</f>
        <v>Forest clearance</v>
      </c>
      <c r="E3769" s="151" t="str">
        <f>'Reported burning'!E3769</f>
        <v>Cropping, Intensive</v>
      </c>
      <c r="F3769" s="151" t="str">
        <f>'Reported burning'!F3769</f>
        <v>Secondary vegetation</v>
      </c>
      <c r="G3769" s="151" t="str">
        <f>'Reported burning'!G3769</f>
        <v>Secondary vegetation</v>
      </c>
      <c r="H3769" s="151" t="str">
        <f>'Reported burning'!H3769</f>
        <v>Presence</v>
      </c>
      <c r="I3769" s="5"/>
      <c r="J3769" s="71" t="s">
        <v>2272</v>
      </c>
      <c r="K3769" s="71" t="s">
        <v>2272</v>
      </c>
      <c r="L3769" s="71" t="s">
        <v>2272</v>
      </c>
      <c r="M3769" s="21" t="s">
        <v>2371</v>
      </c>
      <c r="N3769" s="71" t="s">
        <v>2272</v>
      </c>
      <c r="O3769" s="71" t="s">
        <v>2272</v>
      </c>
      <c r="P3769" s="71" t="s">
        <v>2272</v>
      </c>
      <c r="Q3769" s="71" t="s">
        <v>2272</v>
      </c>
      <c r="R3769" s="71" t="s">
        <v>2272</v>
      </c>
      <c r="S3769" s="71" t="s">
        <v>2272</v>
      </c>
      <c r="T3769" s="71" t="s">
        <v>2272</v>
      </c>
      <c r="U3769" s="71" t="s">
        <v>2272</v>
      </c>
      <c r="V3769" s="71" t="s">
        <v>2272</v>
      </c>
      <c r="W3769" s="71" t="s">
        <v>2272</v>
      </c>
      <c r="X3769" s="71" t="s">
        <v>2272</v>
      </c>
      <c r="Y3769" s="71" t="s">
        <v>2272</v>
      </c>
      <c r="Z3769" s="71" t="s">
        <v>2272</v>
      </c>
      <c r="AA3769" s="71" t="s">
        <v>2272</v>
      </c>
      <c r="AB3769" s="198"/>
      <c r="AC3769" s="4" t="s">
        <v>9689</v>
      </c>
    </row>
    <row r="3770" spans="1:29" ht="39.5" customHeight="1">
      <c r="A3770" s="151" t="str">
        <f>'Reported burning'!A3770</f>
        <v>405d</v>
      </c>
      <c r="B3770" s="151" t="str">
        <f>'Reported burning'!B3770</f>
        <v>405d.6</v>
      </c>
      <c r="C3770" s="151" t="str">
        <f>'Reported burning'!C3770</f>
        <v>Human, deliberate</v>
      </c>
      <c r="D3770" s="151" t="str">
        <f>'Reported burning'!D3770</f>
        <v>Forest clearance</v>
      </c>
      <c r="E3770" s="151" t="str">
        <f>'Reported burning'!E3770</f>
        <v>Cropping, Intensive</v>
      </c>
      <c r="F3770" s="151" t="str">
        <f>'Reported burning'!F3770</f>
        <v>Secondary vegetation</v>
      </c>
      <c r="G3770" s="151" t="str">
        <f>'Reported burning'!G3770</f>
        <v>Secondary vegetation</v>
      </c>
      <c r="H3770" s="151" t="str">
        <f>'Reported burning'!H3770</f>
        <v>Presence</v>
      </c>
      <c r="I3770" s="5"/>
      <c r="J3770" s="71" t="s">
        <v>2272</v>
      </c>
      <c r="K3770" s="71" t="s">
        <v>2272</v>
      </c>
      <c r="L3770" s="71" t="s">
        <v>2272</v>
      </c>
      <c r="M3770" s="21" t="s">
        <v>2371</v>
      </c>
      <c r="N3770" s="71" t="s">
        <v>2272</v>
      </c>
      <c r="O3770" s="71" t="s">
        <v>2272</v>
      </c>
      <c r="P3770" s="71" t="s">
        <v>2272</v>
      </c>
      <c r="Q3770" s="71" t="s">
        <v>2272</v>
      </c>
      <c r="R3770" s="71" t="s">
        <v>2272</v>
      </c>
      <c r="S3770" s="71" t="s">
        <v>2272</v>
      </c>
      <c r="T3770" s="71" t="s">
        <v>2272</v>
      </c>
      <c r="U3770" s="71" t="s">
        <v>2272</v>
      </c>
      <c r="V3770" s="71" t="s">
        <v>2272</v>
      </c>
      <c r="W3770" s="71" t="s">
        <v>2272</v>
      </c>
      <c r="X3770" s="71" t="s">
        <v>2272</v>
      </c>
      <c r="Y3770" s="71" t="s">
        <v>2272</v>
      </c>
      <c r="Z3770" s="71" t="s">
        <v>2272</v>
      </c>
      <c r="AA3770" s="71" t="s">
        <v>2272</v>
      </c>
      <c r="AB3770" s="198"/>
      <c r="AC3770" s="4" t="s">
        <v>9689</v>
      </c>
    </row>
    <row r="3771" spans="1:29" ht="39.5" customHeight="1">
      <c r="A3771" s="151" t="str">
        <f>'Reported burning'!A3771</f>
        <v>405e</v>
      </c>
      <c r="B3771" s="151" t="str">
        <f>'Reported burning'!B3771</f>
        <v>405e.6</v>
      </c>
      <c r="C3771" s="151" t="str">
        <f>'Reported burning'!C3771</f>
        <v>Human, deliberate</v>
      </c>
      <c r="D3771" s="151" t="str">
        <f>'Reported burning'!D3771</f>
        <v>Forest clearance</v>
      </c>
      <c r="E3771" s="151" t="str">
        <f>'Reported burning'!E3771</f>
        <v>Cropping, Intensive</v>
      </c>
      <c r="F3771" s="151" t="str">
        <f>'Reported burning'!F3771</f>
        <v>Secondary vegetation</v>
      </c>
      <c r="G3771" s="151" t="str">
        <f>'Reported burning'!G3771</f>
        <v>Secondary vegetation</v>
      </c>
      <c r="H3771" s="151" t="str">
        <f>'Reported burning'!H3771</f>
        <v>Presence</v>
      </c>
      <c r="I3771" s="5"/>
      <c r="J3771" s="71" t="s">
        <v>2272</v>
      </c>
      <c r="K3771" s="71" t="s">
        <v>2272</v>
      </c>
      <c r="L3771" s="71" t="s">
        <v>2272</v>
      </c>
      <c r="M3771" s="21" t="s">
        <v>2371</v>
      </c>
      <c r="N3771" s="71" t="s">
        <v>2272</v>
      </c>
      <c r="O3771" s="71" t="s">
        <v>2272</v>
      </c>
      <c r="P3771" s="71" t="s">
        <v>2272</v>
      </c>
      <c r="Q3771" s="71" t="s">
        <v>2272</v>
      </c>
      <c r="R3771" s="71" t="s">
        <v>2272</v>
      </c>
      <c r="S3771" s="71" t="s">
        <v>2272</v>
      </c>
      <c r="T3771" s="71" t="s">
        <v>2272</v>
      </c>
      <c r="U3771" s="71" t="s">
        <v>2272</v>
      </c>
      <c r="V3771" s="71" t="s">
        <v>2272</v>
      </c>
      <c r="W3771" s="71" t="s">
        <v>2272</v>
      </c>
      <c r="X3771" s="71" t="s">
        <v>2272</v>
      </c>
      <c r="Y3771" s="71" t="s">
        <v>2272</v>
      </c>
      <c r="Z3771" s="71" t="s">
        <v>2272</v>
      </c>
      <c r="AA3771" s="71" t="s">
        <v>2272</v>
      </c>
      <c r="AB3771" s="198"/>
      <c r="AC3771" s="4" t="s">
        <v>9689</v>
      </c>
    </row>
    <row r="3772" spans="1:29" ht="39.5" customHeight="1">
      <c r="A3772" s="151" t="str">
        <f>'Reported burning'!A3772</f>
        <v>405f</v>
      </c>
      <c r="B3772" s="151" t="str">
        <f>'Reported burning'!B3772</f>
        <v>405f.6</v>
      </c>
      <c r="C3772" s="151" t="str">
        <f>'Reported burning'!C3772</f>
        <v>Human, deliberate</v>
      </c>
      <c r="D3772" s="151" t="str">
        <f>'Reported burning'!D3772</f>
        <v>Forest clearance</v>
      </c>
      <c r="E3772" s="151" t="str">
        <f>'Reported burning'!E3772</f>
        <v>Cropping, Intensive</v>
      </c>
      <c r="F3772" s="151" t="str">
        <f>'Reported burning'!F3772</f>
        <v>Secondary vegetation</v>
      </c>
      <c r="G3772" s="151" t="str">
        <f>'Reported burning'!G3772</f>
        <v>Secondary vegetation</v>
      </c>
      <c r="H3772" s="151" t="str">
        <f>'Reported burning'!H3772</f>
        <v>Presence</v>
      </c>
      <c r="I3772" s="5"/>
      <c r="J3772" s="71" t="s">
        <v>2272</v>
      </c>
      <c r="K3772" s="71" t="s">
        <v>2272</v>
      </c>
      <c r="L3772" s="71" t="s">
        <v>2272</v>
      </c>
      <c r="M3772" s="21" t="s">
        <v>2371</v>
      </c>
      <c r="N3772" s="71" t="s">
        <v>2272</v>
      </c>
      <c r="O3772" s="71" t="s">
        <v>2272</v>
      </c>
      <c r="P3772" s="71" t="s">
        <v>2272</v>
      </c>
      <c r="Q3772" s="71" t="s">
        <v>2272</v>
      </c>
      <c r="R3772" s="71" t="s">
        <v>2272</v>
      </c>
      <c r="S3772" s="71" t="s">
        <v>2272</v>
      </c>
      <c r="T3772" s="71" t="s">
        <v>2272</v>
      </c>
      <c r="U3772" s="71" t="s">
        <v>2272</v>
      </c>
      <c r="V3772" s="71" t="s">
        <v>2272</v>
      </c>
      <c r="W3772" s="71" t="s">
        <v>2272</v>
      </c>
      <c r="X3772" s="71" t="s">
        <v>2272</v>
      </c>
      <c r="Y3772" s="71" t="s">
        <v>2272</v>
      </c>
      <c r="Z3772" s="71" t="s">
        <v>2272</v>
      </c>
      <c r="AA3772" s="71" t="s">
        <v>2272</v>
      </c>
      <c r="AB3772" s="198"/>
      <c r="AC3772" s="4" t="s">
        <v>9689</v>
      </c>
    </row>
    <row r="3773" spans="1:29" ht="39.5" customHeight="1">
      <c r="A3773" s="151" t="str">
        <f>'Reported burning'!A3773</f>
        <v>405a</v>
      </c>
      <c r="B3773" s="151" t="str">
        <f>'Reported burning'!B3773</f>
        <v>405a.7</v>
      </c>
      <c r="C3773" s="151" t="str">
        <f>'Reported burning'!C3773</f>
        <v>Human, deliberate</v>
      </c>
      <c r="D3773" s="151" t="str">
        <f>'Reported burning'!D3773</f>
        <v>Forest clearance</v>
      </c>
      <c r="E3773" s="151" t="str">
        <f>'Reported burning'!E3773</f>
        <v>Urban planner</v>
      </c>
      <c r="F3773" s="151" t="str">
        <f>'Reported burning'!F3773</f>
        <v>Secondary vegetation</v>
      </c>
      <c r="G3773" s="151" t="str">
        <f>'Reported burning'!G3773</f>
        <v>Secondary vegetation</v>
      </c>
      <c r="H3773" s="151" t="str">
        <f>'Reported burning'!H3773</f>
        <v>Presence</v>
      </c>
      <c r="I3773" s="5"/>
      <c r="J3773" s="71" t="s">
        <v>2272</v>
      </c>
      <c r="K3773" s="71" t="s">
        <v>2272</v>
      </c>
      <c r="L3773" s="71" t="s">
        <v>2272</v>
      </c>
      <c r="M3773" s="71" t="s">
        <v>2272</v>
      </c>
      <c r="N3773" s="71" t="s">
        <v>2272</v>
      </c>
      <c r="O3773" s="71" t="s">
        <v>2272</v>
      </c>
      <c r="P3773" s="71" t="s">
        <v>2272</v>
      </c>
      <c r="Q3773" s="71" t="s">
        <v>2272</v>
      </c>
      <c r="R3773" s="71" t="s">
        <v>2272</v>
      </c>
      <c r="S3773" s="71" t="s">
        <v>2272</v>
      </c>
      <c r="T3773" s="71" t="s">
        <v>2272</v>
      </c>
      <c r="U3773" s="71" t="s">
        <v>2272</v>
      </c>
      <c r="V3773" s="71" t="s">
        <v>2272</v>
      </c>
      <c r="W3773" s="71" t="s">
        <v>2272</v>
      </c>
      <c r="X3773" s="71" t="s">
        <v>2272</v>
      </c>
      <c r="Y3773" s="71" t="s">
        <v>2272</v>
      </c>
      <c r="Z3773" s="71" t="s">
        <v>2272</v>
      </c>
      <c r="AA3773" s="71" t="s">
        <v>2272</v>
      </c>
      <c r="AB3773" s="71"/>
      <c r="AC3773" s="71" t="s">
        <v>9712</v>
      </c>
    </row>
    <row r="3774" spans="1:29" ht="39.5" customHeight="1">
      <c r="A3774" s="151" t="str">
        <f>'Reported burning'!A3774</f>
        <v>405b</v>
      </c>
      <c r="B3774" s="151" t="str">
        <f>'Reported burning'!B3774</f>
        <v>405b.7</v>
      </c>
      <c r="C3774" s="151" t="str">
        <f>'Reported burning'!C3774</f>
        <v>Human, deliberate</v>
      </c>
      <c r="D3774" s="151" t="str">
        <f>'Reported burning'!D3774</f>
        <v>Forest clearance</v>
      </c>
      <c r="E3774" s="151" t="str">
        <f>'Reported burning'!E3774</f>
        <v>Urban planner</v>
      </c>
      <c r="F3774" s="151" t="str">
        <f>'Reported burning'!F3774</f>
        <v>Secondary vegetation</v>
      </c>
      <c r="G3774" s="151" t="str">
        <f>'Reported burning'!G3774</f>
        <v>Secondary vegetation</v>
      </c>
      <c r="H3774" s="151" t="str">
        <f>'Reported burning'!H3774</f>
        <v>Presence</v>
      </c>
      <c r="I3774" s="5"/>
      <c r="J3774" s="71" t="s">
        <v>2272</v>
      </c>
      <c r="K3774" s="71" t="s">
        <v>2272</v>
      </c>
      <c r="L3774" s="71" t="s">
        <v>2272</v>
      </c>
      <c r="M3774" s="71" t="s">
        <v>2272</v>
      </c>
      <c r="N3774" s="71" t="s">
        <v>2272</v>
      </c>
      <c r="O3774" s="71" t="s">
        <v>2272</v>
      </c>
      <c r="P3774" s="71" t="s">
        <v>2272</v>
      </c>
      <c r="Q3774" s="71" t="s">
        <v>2272</v>
      </c>
      <c r="R3774" s="71" t="s">
        <v>2272</v>
      </c>
      <c r="S3774" s="71" t="s">
        <v>2272</v>
      </c>
      <c r="T3774" s="71" t="s">
        <v>2272</v>
      </c>
      <c r="U3774" s="71" t="s">
        <v>2272</v>
      </c>
      <c r="V3774" s="71" t="s">
        <v>2272</v>
      </c>
      <c r="W3774" s="71" t="s">
        <v>2272</v>
      </c>
      <c r="X3774" s="71" t="s">
        <v>2272</v>
      </c>
      <c r="Y3774" s="71" t="s">
        <v>2272</v>
      </c>
      <c r="Z3774" s="71" t="s">
        <v>2272</v>
      </c>
      <c r="AA3774" s="71" t="s">
        <v>2272</v>
      </c>
      <c r="AB3774" s="71"/>
      <c r="AC3774" s="71" t="s">
        <v>9712</v>
      </c>
    </row>
    <row r="3775" spans="1:29" ht="39.5" customHeight="1">
      <c r="A3775" s="151" t="str">
        <f>'Reported burning'!A3775</f>
        <v>405c</v>
      </c>
      <c r="B3775" s="151" t="str">
        <f>'Reported burning'!B3775</f>
        <v>405c.7</v>
      </c>
      <c r="C3775" s="151" t="str">
        <f>'Reported burning'!C3775</f>
        <v>Human, deliberate</v>
      </c>
      <c r="D3775" s="151" t="str">
        <f>'Reported burning'!D3775</f>
        <v>Forest clearance</v>
      </c>
      <c r="E3775" s="151" t="str">
        <f>'Reported burning'!E3775</f>
        <v>Urban planner</v>
      </c>
      <c r="F3775" s="151" t="str">
        <f>'Reported burning'!F3775</f>
        <v>Secondary vegetation</v>
      </c>
      <c r="G3775" s="151" t="str">
        <f>'Reported burning'!G3775</f>
        <v>Secondary vegetation</v>
      </c>
      <c r="H3775" s="151" t="str">
        <f>'Reported burning'!H3775</f>
        <v>Presence</v>
      </c>
      <c r="I3775" s="5"/>
      <c r="J3775" s="71" t="s">
        <v>2272</v>
      </c>
      <c r="K3775" s="71" t="s">
        <v>2272</v>
      </c>
      <c r="L3775" s="71" t="s">
        <v>2272</v>
      </c>
      <c r="M3775" s="71" t="s">
        <v>2272</v>
      </c>
      <c r="N3775" s="71" t="s">
        <v>2272</v>
      </c>
      <c r="O3775" s="71" t="s">
        <v>2272</v>
      </c>
      <c r="P3775" s="71" t="s">
        <v>2272</v>
      </c>
      <c r="Q3775" s="71" t="s">
        <v>2272</v>
      </c>
      <c r="R3775" s="71" t="s">
        <v>2272</v>
      </c>
      <c r="S3775" s="71" t="s">
        <v>2272</v>
      </c>
      <c r="T3775" s="71" t="s">
        <v>2272</v>
      </c>
      <c r="U3775" s="71" t="s">
        <v>2272</v>
      </c>
      <c r="V3775" s="71" t="s">
        <v>2272</v>
      </c>
      <c r="W3775" s="71" t="s">
        <v>2272</v>
      </c>
      <c r="X3775" s="71" t="s">
        <v>2272</v>
      </c>
      <c r="Y3775" s="71" t="s">
        <v>2272</v>
      </c>
      <c r="Z3775" s="71" t="s">
        <v>2272</v>
      </c>
      <c r="AA3775" s="71" t="s">
        <v>2272</v>
      </c>
      <c r="AB3775" s="71"/>
      <c r="AC3775" s="71" t="s">
        <v>9712</v>
      </c>
    </row>
    <row r="3776" spans="1:29" ht="39.5" customHeight="1">
      <c r="A3776" s="151" t="str">
        <f>'Reported burning'!A3776</f>
        <v>405d</v>
      </c>
      <c r="B3776" s="151" t="str">
        <f>'Reported burning'!B3776</f>
        <v>405d.7</v>
      </c>
      <c r="C3776" s="151" t="str">
        <f>'Reported burning'!C3776</f>
        <v>Human, deliberate</v>
      </c>
      <c r="D3776" s="151" t="str">
        <f>'Reported burning'!D3776</f>
        <v>Forest clearance</v>
      </c>
      <c r="E3776" s="151" t="str">
        <f>'Reported burning'!E3776</f>
        <v>Urban planner</v>
      </c>
      <c r="F3776" s="151" t="str">
        <f>'Reported burning'!F3776</f>
        <v>Secondary vegetation</v>
      </c>
      <c r="G3776" s="151" t="str">
        <f>'Reported burning'!G3776</f>
        <v>Secondary vegetation</v>
      </c>
      <c r="H3776" s="151" t="str">
        <f>'Reported burning'!H3776</f>
        <v>Presence</v>
      </c>
      <c r="I3776" s="5"/>
      <c r="J3776" s="71" t="s">
        <v>2272</v>
      </c>
      <c r="K3776" s="71" t="s">
        <v>2272</v>
      </c>
      <c r="L3776" s="71" t="s">
        <v>2272</v>
      </c>
      <c r="M3776" s="71" t="s">
        <v>2272</v>
      </c>
      <c r="N3776" s="71" t="s">
        <v>2272</v>
      </c>
      <c r="O3776" s="71" t="s">
        <v>2272</v>
      </c>
      <c r="P3776" s="71" t="s">
        <v>2272</v>
      </c>
      <c r="Q3776" s="71" t="s">
        <v>2272</v>
      </c>
      <c r="R3776" s="71" t="s">
        <v>2272</v>
      </c>
      <c r="S3776" s="71" t="s">
        <v>2272</v>
      </c>
      <c r="T3776" s="71" t="s">
        <v>2272</v>
      </c>
      <c r="U3776" s="71" t="s">
        <v>2272</v>
      </c>
      <c r="V3776" s="71" t="s">
        <v>2272</v>
      </c>
      <c r="W3776" s="71" t="s">
        <v>2272</v>
      </c>
      <c r="X3776" s="71" t="s">
        <v>2272</v>
      </c>
      <c r="Y3776" s="71" t="s">
        <v>2272</v>
      </c>
      <c r="Z3776" s="71" t="s">
        <v>2272</v>
      </c>
      <c r="AA3776" s="71" t="s">
        <v>2272</v>
      </c>
      <c r="AB3776" s="71"/>
      <c r="AC3776" s="71" t="s">
        <v>9712</v>
      </c>
    </row>
    <row r="3777" spans="1:29" ht="39.5" customHeight="1">
      <c r="A3777" s="151" t="str">
        <f>'Reported burning'!A3777</f>
        <v>405e</v>
      </c>
      <c r="B3777" s="151" t="str">
        <f>'Reported burning'!B3777</f>
        <v>405e.7</v>
      </c>
      <c r="C3777" s="151" t="str">
        <f>'Reported burning'!C3777</f>
        <v>Human, deliberate</v>
      </c>
      <c r="D3777" s="151" t="str">
        <f>'Reported burning'!D3777</f>
        <v>Forest clearance</v>
      </c>
      <c r="E3777" s="151" t="str">
        <f>'Reported burning'!E3777</f>
        <v>Urban planner</v>
      </c>
      <c r="F3777" s="151" t="str">
        <f>'Reported burning'!F3777</f>
        <v>Secondary vegetation</v>
      </c>
      <c r="G3777" s="151" t="str">
        <f>'Reported burning'!G3777</f>
        <v>Secondary vegetation</v>
      </c>
      <c r="H3777" s="151" t="str">
        <f>'Reported burning'!H3777</f>
        <v>Presence</v>
      </c>
      <c r="I3777" s="5"/>
      <c r="J3777" s="71" t="s">
        <v>2272</v>
      </c>
      <c r="K3777" s="71" t="s">
        <v>2272</v>
      </c>
      <c r="L3777" s="71" t="s">
        <v>2272</v>
      </c>
      <c r="M3777" s="71" t="s">
        <v>2272</v>
      </c>
      <c r="N3777" s="71" t="s">
        <v>2272</v>
      </c>
      <c r="O3777" s="71" t="s">
        <v>2272</v>
      </c>
      <c r="P3777" s="71" t="s">
        <v>2272</v>
      </c>
      <c r="Q3777" s="71" t="s">
        <v>2272</v>
      </c>
      <c r="R3777" s="71" t="s">
        <v>2272</v>
      </c>
      <c r="S3777" s="71" t="s">
        <v>2272</v>
      </c>
      <c r="T3777" s="71" t="s">
        <v>2272</v>
      </c>
      <c r="U3777" s="71" t="s">
        <v>2272</v>
      </c>
      <c r="V3777" s="71" t="s">
        <v>2272</v>
      </c>
      <c r="W3777" s="71" t="s">
        <v>2272</v>
      </c>
      <c r="X3777" s="71" t="s">
        <v>2272</v>
      </c>
      <c r="Y3777" s="71" t="s">
        <v>2272</v>
      </c>
      <c r="Z3777" s="71" t="s">
        <v>2272</v>
      </c>
      <c r="AA3777" s="71" t="s">
        <v>2272</v>
      </c>
      <c r="AB3777" s="71"/>
      <c r="AC3777" s="71" t="s">
        <v>9712</v>
      </c>
    </row>
    <row r="3778" spans="1:29" ht="39.5" customHeight="1">
      <c r="A3778" s="151" t="str">
        <f>'Reported burning'!A3778</f>
        <v>405f</v>
      </c>
      <c r="B3778" s="151" t="str">
        <f>'Reported burning'!B3778</f>
        <v>405f.7</v>
      </c>
      <c r="C3778" s="151" t="str">
        <f>'Reported burning'!C3778</f>
        <v>Human, deliberate</v>
      </c>
      <c r="D3778" s="151" t="str">
        <f>'Reported burning'!D3778</f>
        <v>Forest clearance</v>
      </c>
      <c r="E3778" s="151" t="str">
        <f>'Reported burning'!E3778</f>
        <v>Urban planner</v>
      </c>
      <c r="F3778" s="151" t="str">
        <f>'Reported burning'!F3778</f>
        <v>Secondary vegetation</v>
      </c>
      <c r="G3778" s="151" t="str">
        <f>'Reported burning'!G3778</f>
        <v>Secondary vegetation</v>
      </c>
      <c r="H3778" s="151" t="str">
        <f>'Reported burning'!H3778</f>
        <v>Presence</v>
      </c>
      <c r="I3778" s="5"/>
      <c r="J3778" s="71" t="s">
        <v>2272</v>
      </c>
      <c r="K3778" s="71" t="s">
        <v>2272</v>
      </c>
      <c r="L3778" s="71" t="s">
        <v>2272</v>
      </c>
      <c r="M3778" s="71" t="s">
        <v>2272</v>
      </c>
      <c r="N3778" s="71" t="s">
        <v>2272</v>
      </c>
      <c r="O3778" s="71" t="s">
        <v>2272</v>
      </c>
      <c r="P3778" s="71" t="s">
        <v>2272</v>
      </c>
      <c r="Q3778" s="71" t="s">
        <v>2272</v>
      </c>
      <c r="R3778" s="71" t="s">
        <v>2272</v>
      </c>
      <c r="S3778" s="71" t="s">
        <v>2272</v>
      </c>
      <c r="T3778" s="71" t="s">
        <v>2272</v>
      </c>
      <c r="U3778" s="71" t="s">
        <v>2272</v>
      </c>
      <c r="V3778" s="71" t="s">
        <v>2272</v>
      </c>
      <c r="W3778" s="71" t="s">
        <v>2272</v>
      </c>
      <c r="X3778" s="71" t="s">
        <v>2272</v>
      </c>
      <c r="Y3778" s="71" t="s">
        <v>2272</v>
      </c>
      <c r="Z3778" s="71" t="s">
        <v>2272</v>
      </c>
      <c r="AA3778" s="71" t="s">
        <v>2272</v>
      </c>
      <c r="AB3778" s="71"/>
      <c r="AC3778" s="71" t="s">
        <v>9712</v>
      </c>
    </row>
    <row r="3779" spans="1:29" ht="39.5" customHeight="1">
      <c r="A3779" s="151" t="str">
        <f>'Reported burning'!A3779</f>
        <v>405a</v>
      </c>
      <c r="B3779" s="151" t="str">
        <f>'Reported burning'!B3779</f>
        <v>405a.8</v>
      </c>
      <c r="C3779" s="151" t="str">
        <f>'Reported burning'!C3779</f>
        <v>Human, escaped</v>
      </c>
      <c r="D3779" s="151" t="str">
        <f>'Reported burning'!D3779</f>
        <v>ND</v>
      </c>
      <c r="E3779" s="151" t="str">
        <f>'Reported burning'!E3779</f>
        <v>ND</v>
      </c>
      <c r="F3779" s="151" t="str">
        <f>'Reported burning'!F3779</f>
        <v>ND</v>
      </c>
      <c r="G3779" s="151" t="str">
        <f>'Reported burning'!G3779</f>
        <v>Forest</v>
      </c>
      <c r="H3779" s="151" t="str">
        <f>'Reported burning'!H3779</f>
        <v>Presence</v>
      </c>
      <c r="I3779" s="5"/>
      <c r="J3779" s="71" t="s">
        <v>2272</v>
      </c>
      <c r="K3779" s="71" t="s">
        <v>2272</v>
      </c>
      <c r="L3779" s="71" t="s">
        <v>2272</v>
      </c>
      <c r="M3779" s="71" t="s">
        <v>2272</v>
      </c>
      <c r="N3779" s="71" t="s">
        <v>2272</v>
      </c>
      <c r="O3779" s="71" t="s">
        <v>2272</v>
      </c>
      <c r="P3779" s="71" t="s">
        <v>2272</v>
      </c>
      <c r="Q3779" s="71" t="s">
        <v>2272</v>
      </c>
      <c r="R3779" s="71" t="s">
        <v>2272</v>
      </c>
      <c r="S3779" s="71" t="s">
        <v>2272</v>
      </c>
      <c r="T3779" s="71" t="s">
        <v>2272</v>
      </c>
      <c r="U3779" s="71" t="s">
        <v>2272</v>
      </c>
      <c r="V3779" s="71" t="s">
        <v>2272</v>
      </c>
      <c r="W3779" s="71" t="s">
        <v>2272</v>
      </c>
      <c r="X3779" s="71" t="s">
        <v>2272</v>
      </c>
      <c r="Y3779" s="71" t="s">
        <v>2272</v>
      </c>
      <c r="Z3779" s="71" t="s">
        <v>2272</v>
      </c>
      <c r="AA3779" s="71" t="s">
        <v>2272</v>
      </c>
      <c r="AB3779" s="198"/>
      <c r="AC3779" s="4" t="s">
        <v>9713</v>
      </c>
    </row>
    <row r="3780" spans="1:29" ht="39.5" customHeight="1">
      <c r="A3780" s="151" t="str">
        <f>'Reported burning'!A3780</f>
        <v>405b</v>
      </c>
      <c r="B3780" s="151" t="str">
        <f>'Reported burning'!B3780</f>
        <v>405b.8</v>
      </c>
      <c r="C3780" s="151" t="str">
        <f>'Reported burning'!C3780</f>
        <v>Human, escaped</v>
      </c>
      <c r="D3780" s="151" t="str">
        <f>'Reported burning'!D3780</f>
        <v>ND</v>
      </c>
      <c r="E3780" s="151" t="str">
        <f>'Reported burning'!E3780</f>
        <v>ND</v>
      </c>
      <c r="F3780" s="151" t="str">
        <f>'Reported burning'!F3780</f>
        <v>ND</v>
      </c>
      <c r="G3780" s="151" t="str">
        <f>'Reported burning'!G3780</f>
        <v>Forest</v>
      </c>
      <c r="H3780" s="151" t="str">
        <f>'Reported burning'!H3780</f>
        <v>Presence</v>
      </c>
      <c r="I3780" s="5"/>
      <c r="J3780" s="71" t="s">
        <v>2272</v>
      </c>
      <c r="K3780" s="71" t="s">
        <v>2272</v>
      </c>
      <c r="L3780" s="71" t="s">
        <v>2272</v>
      </c>
      <c r="M3780" s="71" t="s">
        <v>2272</v>
      </c>
      <c r="N3780" s="71" t="s">
        <v>2272</v>
      </c>
      <c r="O3780" s="71" t="s">
        <v>2272</v>
      </c>
      <c r="P3780" s="71" t="s">
        <v>2272</v>
      </c>
      <c r="Q3780" s="71" t="s">
        <v>2272</v>
      </c>
      <c r="R3780" s="71" t="s">
        <v>2272</v>
      </c>
      <c r="S3780" s="71" t="s">
        <v>2272</v>
      </c>
      <c r="T3780" s="71" t="s">
        <v>2272</v>
      </c>
      <c r="U3780" s="71" t="s">
        <v>2272</v>
      </c>
      <c r="V3780" s="71" t="s">
        <v>2272</v>
      </c>
      <c r="W3780" s="71" t="s">
        <v>2272</v>
      </c>
      <c r="X3780" s="71" t="s">
        <v>2272</v>
      </c>
      <c r="Y3780" s="71" t="s">
        <v>2272</v>
      </c>
      <c r="Z3780" s="71" t="s">
        <v>2272</v>
      </c>
      <c r="AA3780" s="71" t="s">
        <v>2272</v>
      </c>
      <c r="AB3780" s="198"/>
      <c r="AC3780" s="4" t="s">
        <v>9713</v>
      </c>
    </row>
    <row r="3781" spans="1:29" ht="39.5" customHeight="1">
      <c r="A3781" s="151" t="str">
        <f>'Reported burning'!A3781</f>
        <v>405c</v>
      </c>
      <c r="B3781" s="151" t="str">
        <f>'Reported burning'!B3781</f>
        <v>405c.8</v>
      </c>
      <c r="C3781" s="151" t="str">
        <f>'Reported burning'!C3781</f>
        <v>Human, escaped</v>
      </c>
      <c r="D3781" s="151" t="str">
        <f>'Reported burning'!D3781</f>
        <v>ND</v>
      </c>
      <c r="E3781" s="151" t="str">
        <f>'Reported burning'!E3781</f>
        <v>ND</v>
      </c>
      <c r="F3781" s="151" t="str">
        <f>'Reported burning'!F3781</f>
        <v>ND</v>
      </c>
      <c r="G3781" s="151" t="str">
        <f>'Reported burning'!G3781</f>
        <v>Forest</v>
      </c>
      <c r="H3781" s="151" t="str">
        <f>'Reported burning'!H3781</f>
        <v>Presence</v>
      </c>
      <c r="I3781" s="5"/>
      <c r="J3781" s="71" t="s">
        <v>2272</v>
      </c>
      <c r="K3781" s="71" t="s">
        <v>2272</v>
      </c>
      <c r="L3781" s="71" t="s">
        <v>2272</v>
      </c>
      <c r="M3781" s="71" t="s">
        <v>2272</v>
      </c>
      <c r="N3781" s="71" t="s">
        <v>2272</v>
      </c>
      <c r="O3781" s="71" t="s">
        <v>2272</v>
      </c>
      <c r="P3781" s="71" t="s">
        <v>2272</v>
      </c>
      <c r="Q3781" s="71" t="s">
        <v>2272</v>
      </c>
      <c r="R3781" s="71" t="s">
        <v>2272</v>
      </c>
      <c r="S3781" s="71" t="s">
        <v>2272</v>
      </c>
      <c r="T3781" s="71" t="s">
        <v>2272</v>
      </c>
      <c r="U3781" s="71" t="s">
        <v>2272</v>
      </c>
      <c r="V3781" s="71" t="s">
        <v>2272</v>
      </c>
      <c r="W3781" s="71" t="s">
        <v>2272</v>
      </c>
      <c r="X3781" s="71" t="s">
        <v>2272</v>
      </c>
      <c r="Y3781" s="71" t="s">
        <v>2272</v>
      </c>
      <c r="Z3781" s="71" t="s">
        <v>2272</v>
      </c>
      <c r="AA3781" s="71" t="s">
        <v>2272</v>
      </c>
      <c r="AB3781" s="198"/>
      <c r="AC3781" s="4" t="s">
        <v>9713</v>
      </c>
    </row>
    <row r="3782" spans="1:29" ht="39.5" customHeight="1">
      <c r="A3782" s="151" t="str">
        <f>'Reported burning'!A3782</f>
        <v>405d</v>
      </c>
      <c r="B3782" s="151" t="str">
        <f>'Reported burning'!B3782</f>
        <v>405d.8</v>
      </c>
      <c r="C3782" s="151" t="str">
        <f>'Reported burning'!C3782</f>
        <v>Human, escaped</v>
      </c>
      <c r="D3782" s="151" t="str">
        <f>'Reported burning'!D3782</f>
        <v>ND</v>
      </c>
      <c r="E3782" s="151" t="str">
        <f>'Reported burning'!E3782</f>
        <v>ND</v>
      </c>
      <c r="F3782" s="151" t="str">
        <f>'Reported burning'!F3782</f>
        <v>ND</v>
      </c>
      <c r="G3782" s="151" t="str">
        <f>'Reported burning'!G3782</f>
        <v>Forest</v>
      </c>
      <c r="H3782" s="151" t="str">
        <f>'Reported burning'!H3782</f>
        <v>Presence</v>
      </c>
      <c r="I3782" s="5"/>
      <c r="J3782" s="71" t="s">
        <v>2272</v>
      </c>
      <c r="K3782" s="71" t="s">
        <v>2272</v>
      </c>
      <c r="L3782" s="71" t="s">
        <v>2272</v>
      </c>
      <c r="M3782" s="71" t="s">
        <v>2272</v>
      </c>
      <c r="N3782" s="71" t="s">
        <v>2272</v>
      </c>
      <c r="O3782" s="71" t="s">
        <v>2272</v>
      </c>
      <c r="P3782" s="71" t="s">
        <v>2272</v>
      </c>
      <c r="Q3782" s="71" t="s">
        <v>2272</v>
      </c>
      <c r="R3782" s="71" t="s">
        <v>2272</v>
      </c>
      <c r="S3782" s="71" t="s">
        <v>2272</v>
      </c>
      <c r="T3782" s="71" t="s">
        <v>2272</v>
      </c>
      <c r="U3782" s="71" t="s">
        <v>2272</v>
      </c>
      <c r="V3782" s="71" t="s">
        <v>2272</v>
      </c>
      <c r="W3782" s="71" t="s">
        <v>2272</v>
      </c>
      <c r="X3782" s="71" t="s">
        <v>2272</v>
      </c>
      <c r="Y3782" s="71" t="s">
        <v>2272</v>
      </c>
      <c r="Z3782" s="71" t="s">
        <v>2272</v>
      </c>
      <c r="AA3782" s="71" t="s">
        <v>2272</v>
      </c>
      <c r="AB3782" s="198"/>
      <c r="AC3782" s="4" t="s">
        <v>9713</v>
      </c>
    </row>
    <row r="3783" spans="1:29" ht="39.5" customHeight="1">
      <c r="A3783" s="151" t="str">
        <f>'Reported burning'!A3783</f>
        <v>405f</v>
      </c>
      <c r="B3783" s="151" t="str">
        <f>'Reported burning'!B3783</f>
        <v>405f.8</v>
      </c>
      <c r="C3783" s="151" t="str">
        <f>'Reported burning'!C3783</f>
        <v>Human, escaped</v>
      </c>
      <c r="D3783" s="151" t="str">
        <f>'Reported burning'!D3783</f>
        <v>ND</v>
      </c>
      <c r="E3783" s="151" t="str">
        <f>'Reported burning'!E3783</f>
        <v>ND</v>
      </c>
      <c r="F3783" s="151" t="str">
        <f>'Reported burning'!F3783</f>
        <v>ND</v>
      </c>
      <c r="G3783" s="151" t="str">
        <f>'Reported burning'!G3783</f>
        <v>Forest</v>
      </c>
      <c r="H3783" s="151" t="str">
        <f>'Reported burning'!H3783</f>
        <v>Presence</v>
      </c>
      <c r="I3783" s="5"/>
      <c r="J3783" s="71" t="s">
        <v>2272</v>
      </c>
      <c r="K3783" s="71" t="s">
        <v>2272</v>
      </c>
      <c r="L3783" s="71" t="s">
        <v>2272</v>
      </c>
      <c r="M3783" s="71" t="s">
        <v>2272</v>
      </c>
      <c r="N3783" s="71" t="s">
        <v>2272</v>
      </c>
      <c r="O3783" s="71" t="s">
        <v>2272</v>
      </c>
      <c r="P3783" s="71" t="s">
        <v>2272</v>
      </c>
      <c r="Q3783" s="71" t="s">
        <v>2272</v>
      </c>
      <c r="R3783" s="71" t="s">
        <v>2272</v>
      </c>
      <c r="S3783" s="71" t="s">
        <v>2272</v>
      </c>
      <c r="T3783" s="71" t="s">
        <v>2272</v>
      </c>
      <c r="U3783" s="71" t="s">
        <v>2272</v>
      </c>
      <c r="V3783" s="71" t="s">
        <v>2272</v>
      </c>
      <c r="W3783" s="71" t="s">
        <v>2272</v>
      </c>
      <c r="X3783" s="71" t="s">
        <v>2272</v>
      </c>
      <c r="Y3783" s="71" t="s">
        <v>2272</v>
      </c>
      <c r="Z3783" s="71" t="s">
        <v>2272</v>
      </c>
      <c r="AA3783" s="71" t="s">
        <v>2272</v>
      </c>
      <c r="AB3783" s="198"/>
      <c r="AC3783" s="4" t="s">
        <v>9713</v>
      </c>
    </row>
    <row r="3784" spans="1:29" ht="39.5" customHeight="1">
      <c r="A3784" s="147" t="str">
        <f>'Reported burning'!A3784</f>
        <v>406a</v>
      </c>
      <c r="B3784" s="147" t="str">
        <f>'Reported burning'!B3784</f>
        <v>406a.1</v>
      </c>
      <c r="C3784" s="147" t="str">
        <f>'Reported burning'!C3784</f>
        <v>Unknown</v>
      </c>
      <c r="D3784" s="147" t="str">
        <f>'Reported burning'!D3784</f>
        <v>ND</v>
      </c>
      <c r="E3784" s="147" t="str">
        <f>'Reported burning'!E3784</f>
        <v>ND</v>
      </c>
      <c r="F3784" s="147" t="str">
        <f>'Reported burning'!F3784</f>
        <v>ND</v>
      </c>
      <c r="G3784" s="147" t="str">
        <f>'Reported burning'!G3784</f>
        <v>Cropland</v>
      </c>
      <c r="H3784" s="147" t="str">
        <f>'Reported burning'!H3784</f>
        <v>Presence</v>
      </c>
      <c r="I3784" s="198">
        <v>1997</v>
      </c>
      <c r="J3784" s="71" t="s">
        <v>2272</v>
      </c>
      <c r="K3784" s="71" t="s">
        <v>2272</v>
      </c>
      <c r="L3784" s="71" t="s">
        <v>2272</v>
      </c>
      <c r="M3784" s="71" t="s">
        <v>2272</v>
      </c>
      <c r="N3784" s="71" t="s">
        <v>2272</v>
      </c>
      <c r="O3784" s="71" t="s">
        <v>2272</v>
      </c>
      <c r="P3784" s="71" t="s">
        <v>2272</v>
      </c>
      <c r="Q3784" s="71" t="s">
        <v>2272</v>
      </c>
      <c r="R3784" s="71" t="s">
        <v>2272</v>
      </c>
      <c r="S3784" s="71" t="s">
        <v>2272</v>
      </c>
      <c r="T3784" s="71" t="s">
        <v>2272</v>
      </c>
      <c r="U3784" s="21" t="s">
        <v>2371</v>
      </c>
      <c r="V3784" s="71" t="s">
        <v>2272</v>
      </c>
      <c r="W3784" s="71" t="s">
        <v>2272</v>
      </c>
      <c r="X3784" s="71" t="s">
        <v>2272</v>
      </c>
      <c r="Y3784" s="71" t="s">
        <v>2272</v>
      </c>
      <c r="Z3784" s="71" t="s">
        <v>2272</v>
      </c>
      <c r="AA3784" s="71" t="s">
        <v>2272</v>
      </c>
      <c r="AB3784" s="198"/>
      <c r="AC3784" s="198"/>
    </row>
    <row r="3785" spans="1:29" ht="43.5" customHeight="1">
      <c r="A3785" s="151" t="str">
        <f>'Reported burning'!A3785</f>
        <v>406a</v>
      </c>
      <c r="B3785" s="151" t="str">
        <f>'Reported burning'!B3785</f>
        <v>406a.2</v>
      </c>
      <c r="C3785" s="151" t="str">
        <f>'Reported burning'!C3785</f>
        <v>Human, deliberate</v>
      </c>
      <c r="D3785" s="151" t="str">
        <f>'Reported burning'!D3785</f>
        <v>Accessibility</v>
      </c>
      <c r="E3785" s="151" t="str">
        <f>'Reported burning'!E3785</f>
        <v>Forestry, Small-scale</v>
      </c>
      <c r="F3785" s="151" t="str">
        <f>'Reported burning'!F3785</f>
        <v>Forest</v>
      </c>
      <c r="G3785" s="151" t="str">
        <f>'Reported burning'!G3785</f>
        <v>Forest</v>
      </c>
      <c r="H3785" s="151" t="str">
        <f>'Reported burning'!H3785</f>
        <v>Absence</v>
      </c>
      <c r="I3785" s="5"/>
      <c r="J3785" s="21">
        <v>0</v>
      </c>
      <c r="K3785" s="21">
        <v>0</v>
      </c>
      <c r="L3785" s="21">
        <v>0</v>
      </c>
      <c r="M3785" s="21">
        <v>0</v>
      </c>
      <c r="N3785" s="21">
        <v>0</v>
      </c>
      <c r="O3785" s="21">
        <v>0</v>
      </c>
      <c r="P3785" s="21">
        <v>0</v>
      </c>
      <c r="Q3785" s="21">
        <v>0</v>
      </c>
      <c r="R3785" s="21">
        <v>0</v>
      </c>
      <c r="S3785" s="21">
        <v>0</v>
      </c>
      <c r="T3785" s="21">
        <v>0</v>
      </c>
      <c r="U3785" s="21">
        <v>0</v>
      </c>
      <c r="V3785" s="21">
        <v>0</v>
      </c>
      <c r="W3785" s="21">
        <v>0</v>
      </c>
      <c r="X3785" s="71" t="s">
        <v>2272</v>
      </c>
      <c r="Y3785" s="71" t="s">
        <v>2272</v>
      </c>
      <c r="Z3785" s="71" t="s">
        <v>2272</v>
      </c>
      <c r="AA3785" s="71" t="s">
        <v>2272</v>
      </c>
      <c r="AB3785" s="198"/>
      <c r="AC3785" s="198"/>
    </row>
    <row r="3786" spans="1:29" ht="39.5" customHeight="1">
      <c r="A3786" s="151" t="str">
        <f>'Reported burning'!A3786</f>
        <v>406a</v>
      </c>
      <c r="B3786" s="151" t="str">
        <f>'Reported burning'!B3786</f>
        <v>406a.3</v>
      </c>
      <c r="C3786" s="151" t="str">
        <f>'Reported burning'!C3786</f>
        <v>Human, escaped</v>
      </c>
      <c r="D3786" s="151" t="str">
        <f>'Reported burning'!D3786</f>
        <v>ND</v>
      </c>
      <c r="E3786" s="151" t="str">
        <f>'Reported burning'!E3786</f>
        <v>ND</v>
      </c>
      <c r="F3786" s="151" t="str">
        <f>'Reported burning'!F3786</f>
        <v>ND</v>
      </c>
      <c r="G3786" s="151" t="str">
        <f>'Reported burning'!G3786</f>
        <v>Forest</v>
      </c>
      <c r="H3786" s="151" t="str">
        <f>'Reported burning'!H3786</f>
        <v>Presence</v>
      </c>
      <c r="I3786" s="5"/>
      <c r="J3786" s="71" t="s">
        <v>2272</v>
      </c>
      <c r="K3786" s="71" t="s">
        <v>2272</v>
      </c>
      <c r="L3786" s="71" t="s">
        <v>2272</v>
      </c>
      <c r="M3786" s="71" t="s">
        <v>2272</v>
      </c>
      <c r="N3786" s="71" t="s">
        <v>2272</v>
      </c>
      <c r="O3786" s="71" t="s">
        <v>2272</v>
      </c>
      <c r="P3786" s="71" t="s">
        <v>2272</v>
      </c>
      <c r="Q3786" s="71" t="s">
        <v>2272</v>
      </c>
      <c r="R3786" s="71" t="s">
        <v>2272</v>
      </c>
      <c r="S3786" s="71" t="s">
        <v>2272</v>
      </c>
      <c r="T3786" s="71" t="s">
        <v>2272</v>
      </c>
      <c r="U3786" s="71" t="s">
        <v>2272</v>
      </c>
      <c r="V3786" s="71" t="s">
        <v>2272</v>
      </c>
      <c r="W3786" s="71" t="s">
        <v>2272</v>
      </c>
      <c r="X3786" s="71" t="s">
        <v>2272</v>
      </c>
      <c r="Y3786" s="71" t="s">
        <v>2272</v>
      </c>
      <c r="Z3786" s="71" t="s">
        <v>2272</v>
      </c>
      <c r="AA3786" s="71" t="s">
        <v>2272</v>
      </c>
      <c r="AB3786" s="198"/>
      <c r="AC3786" s="198"/>
    </row>
    <row r="3787" spans="1:29" ht="39.5" customHeight="1">
      <c r="A3787" s="151" t="str">
        <f>'Reported burning'!A3787</f>
        <v>407a</v>
      </c>
      <c r="B3787" s="151" t="str">
        <f>'Reported burning'!B3787</f>
        <v>407a.1</v>
      </c>
      <c r="C3787" s="151" t="str">
        <f>'Reported burning'!C3787</f>
        <v>Human, deliberate</v>
      </c>
      <c r="D3787" s="151" t="str">
        <f>'Reported burning'!D3787</f>
        <v>Charcoal production</v>
      </c>
      <c r="E3787" s="151" t="str">
        <f>'Reported burning'!E3787</f>
        <v>Forestry, Small-scale</v>
      </c>
      <c r="F3787" s="151" t="str">
        <f>'Reported burning'!F3787</f>
        <v>ND</v>
      </c>
      <c r="G3787" s="151" t="str">
        <f>'Reported burning'!G3787</f>
        <v>Forest</v>
      </c>
      <c r="H3787" s="151" t="str">
        <f>'Reported burning'!H3787</f>
        <v>Presence</v>
      </c>
      <c r="I3787" s="5"/>
      <c r="J3787" s="71" t="s">
        <v>2272</v>
      </c>
      <c r="K3787" s="71" t="s">
        <v>2272</v>
      </c>
      <c r="L3787" s="21" t="s">
        <v>2358</v>
      </c>
      <c r="M3787" s="71" t="s">
        <v>2272</v>
      </c>
      <c r="N3787" s="21" t="s">
        <v>2358</v>
      </c>
      <c r="O3787" s="71" t="s">
        <v>2272</v>
      </c>
      <c r="P3787" s="21" t="s">
        <v>2358</v>
      </c>
      <c r="Q3787" s="71" t="s">
        <v>2272</v>
      </c>
      <c r="R3787" s="21" t="s">
        <v>2358</v>
      </c>
      <c r="S3787" s="71" t="s">
        <v>2272</v>
      </c>
      <c r="T3787" s="71" t="s">
        <v>2272</v>
      </c>
      <c r="U3787" s="71" t="s">
        <v>2272</v>
      </c>
      <c r="V3787" s="71" t="s">
        <v>2272</v>
      </c>
      <c r="W3787" s="71" t="s">
        <v>2272</v>
      </c>
      <c r="X3787" s="71" t="s">
        <v>2272</v>
      </c>
      <c r="Y3787" s="71" t="s">
        <v>2272</v>
      </c>
      <c r="Z3787" s="71" t="s">
        <v>2272</v>
      </c>
      <c r="AA3787" s="71" t="s">
        <v>2272</v>
      </c>
      <c r="AB3787" s="198"/>
      <c r="AC3787" s="77" t="s">
        <v>9730</v>
      </c>
    </row>
    <row r="3788" spans="1:29" ht="42" customHeight="1">
      <c r="A3788" s="151" t="str">
        <f>'Reported burning'!A3788</f>
        <v>408a</v>
      </c>
      <c r="B3788" s="151" t="str">
        <f>'Reported burning'!B3788</f>
        <v>408a.1</v>
      </c>
      <c r="C3788" s="151" t="str">
        <f>'Reported burning'!C3788</f>
        <v>Human, deliberate</v>
      </c>
      <c r="D3788" s="151" t="str">
        <f>'Reported burning'!D3788</f>
        <v>Crop field preparation</v>
      </c>
      <c r="E3788" s="151" t="str">
        <f>'Reported burning'!E3788</f>
        <v>Cropping, Swidden</v>
      </c>
      <c r="F3788" s="151" t="str">
        <f>'Reported burning'!F3788</f>
        <v>Forest</v>
      </c>
      <c r="G3788" s="151" t="str">
        <f>'Reported burning'!G3788</f>
        <v>Forest</v>
      </c>
      <c r="H3788" s="151" t="str">
        <f>'Reported burning'!H3788</f>
        <v>Presence</v>
      </c>
      <c r="I3788" s="5"/>
      <c r="J3788" s="71" t="s">
        <v>2272</v>
      </c>
      <c r="K3788" s="71" t="s">
        <v>2272</v>
      </c>
      <c r="L3788" s="71" t="s">
        <v>2272</v>
      </c>
      <c r="M3788" s="71" t="s">
        <v>2272</v>
      </c>
      <c r="N3788" s="71" t="s">
        <v>2272</v>
      </c>
      <c r="O3788" s="71" t="s">
        <v>2272</v>
      </c>
      <c r="P3788" s="71" t="s">
        <v>2272</v>
      </c>
      <c r="Q3788" s="71" t="s">
        <v>2272</v>
      </c>
      <c r="R3788" s="71" t="s">
        <v>2272</v>
      </c>
      <c r="S3788" s="71" t="s">
        <v>2272</v>
      </c>
      <c r="T3788" s="71" t="s">
        <v>2272</v>
      </c>
      <c r="U3788" s="71" t="s">
        <v>2272</v>
      </c>
      <c r="V3788" s="71" t="s">
        <v>2272</v>
      </c>
      <c r="W3788" s="71" t="s">
        <v>2272</v>
      </c>
      <c r="X3788" s="71" t="s">
        <v>2272</v>
      </c>
      <c r="Y3788" s="71" t="s">
        <v>2272</v>
      </c>
      <c r="Z3788" s="71" t="s">
        <v>2272</v>
      </c>
      <c r="AA3788" s="71" t="s">
        <v>2272</v>
      </c>
      <c r="AB3788" s="198"/>
      <c r="AC3788" s="198"/>
    </row>
    <row r="3789" spans="1:29" ht="42" customHeight="1">
      <c r="A3789" s="151" t="str">
        <f>'Reported burning'!A3789</f>
        <v>408b</v>
      </c>
      <c r="B3789" s="151" t="str">
        <f>'Reported burning'!B3789</f>
        <v>408b.1</v>
      </c>
      <c r="C3789" s="151" t="str">
        <f>'Reported burning'!C3789</f>
        <v>Human, deliberate</v>
      </c>
      <c r="D3789" s="151" t="str">
        <f>'Reported burning'!D3789</f>
        <v>Crop field preparation</v>
      </c>
      <c r="E3789" s="151" t="str">
        <f>'Reported burning'!E3789</f>
        <v>Cropping, Swidden</v>
      </c>
      <c r="F3789" s="151" t="str">
        <f>'Reported burning'!F3789</f>
        <v>Forest</v>
      </c>
      <c r="G3789" s="151" t="str">
        <f>'Reported burning'!G3789</f>
        <v>Forest</v>
      </c>
      <c r="H3789" s="151" t="str">
        <f>'Reported burning'!H3789</f>
        <v>Presence</v>
      </c>
      <c r="I3789" s="5"/>
      <c r="J3789" s="71" t="s">
        <v>2272</v>
      </c>
      <c r="K3789" s="71" t="s">
        <v>2272</v>
      </c>
      <c r="L3789" s="71" t="s">
        <v>2272</v>
      </c>
      <c r="M3789" s="71" t="s">
        <v>2272</v>
      </c>
      <c r="N3789" s="71" t="s">
        <v>2272</v>
      </c>
      <c r="O3789" s="71" t="s">
        <v>2272</v>
      </c>
      <c r="P3789" s="71" t="s">
        <v>2272</v>
      </c>
      <c r="Q3789" s="71" t="s">
        <v>2272</v>
      </c>
      <c r="R3789" s="71" t="s">
        <v>2272</v>
      </c>
      <c r="S3789" s="71" t="s">
        <v>2272</v>
      </c>
      <c r="T3789" s="71" t="s">
        <v>2272</v>
      </c>
      <c r="U3789" s="71" t="s">
        <v>2272</v>
      </c>
      <c r="V3789" s="71" t="s">
        <v>2272</v>
      </c>
      <c r="W3789" s="71" t="s">
        <v>2272</v>
      </c>
      <c r="X3789" s="71" t="s">
        <v>2272</v>
      </c>
      <c r="Y3789" s="71" t="s">
        <v>2272</v>
      </c>
      <c r="Z3789" s="71" t="s">
        <v>2272</v>
      </c>
      <c r="AA3789" s="71" t="s">
        <v>2272</v>
      </c>
      <c r="AB3789" s="198"/>
      <c r="AC3789" s="198"/>
    </row>
    <row r="3790" spans="1:29" ht="42" customHeight="1">
      <c r="A3790" s="151" t="str">
        <f>'Reported burning'!A3790</f>
        <v>408c</v>
      </c>
      <c r="B3790" s="151" t="str">
        <f>'Reported burning'!B3790</f>
        <v>408c.1</v>
      </c>
      <c r="C3790" s="151" t="str">
        <f>'Reported burning'!C3790</f>
        <v>Human, deliberate</v>
      </c>
      <c r="D3790" s="151" t="str">
        <f>'Reported burning'!D3790</f>
        <v>Crop field preparation</v>
      </c>
      <c r="E3790" s="151" t="str">
        <f>'Reported burning'!E3790</f>
        <v>Cropping, Swidden</v>
      </c>
      <c r="F3790" s="151" t="str">
        <f>'Reported burning'!F3790</f>
        <v>Forest</v>
      </c>
      <c r="G3790" s="151" t="str">
        <f>'Reported burning'!G3790</f>
        <v>Forest</v>
      </c>
      <c r="H3790" s="151" t="str">
        <f>'Reported burning'!H3790</f>
        <v>Presence</v>
      </c>
      <c r="I3790" s="5"/>
      <c r="J3790" s="71" t="s">
        <v>2272</v>
      </c>
      <c r="K3790" s="71" t="s">
        <v>2272</v>
      </c>
      <c r="L3790" s="71" t="s">
        <v>2272</v>
      </c>
      <c r="M3790" s="71" t="s">
        <v>2272</v>
      </c>
      <c r="N3790" s="71" t="s">
        <v>2272</v>
      </c>
      <c r="O3790" s="71" t="s">
        <v>2272</v>
      </c>
      <c r="P3790" s="71" t="s">
        <v>2272</v>
      </c>
      <c r="Q3790" s="71" t="s">
        <v>2272</v>
      </c>
      <c r="R3790" s="71" t="s">
        <v>2272</v>
      </c>
      <c r="S3790" s="71" t="s">
        <v>2272</v>
      </c>
      <c r="T3790" s="71" t="s">
        <v>2272</v>
      </c>
      <c r="U3790" s="71" t="s">
        <v>2272</v>
      </c>
      <c r="V3790" s="71" t="s">
        <v>2272</v>
      </c>
      <c r="W3790" s="71" t="s">
        <v>2272</v>
      </c>
      <c r="X3790" s="71" t="s">
        <v>2272</v>
      </c>
      <c r="Y3790" s="71" t="s">
        <v>2272</v>
      </c>
      <c r="Z3790" s="71" t="s">
        <v>2272</v>
      </c>
      <c r="AA3790" s="71" t="s">
        <v>2272</v>
      </c>
      <c r="AB3790" s="198"/>
      <c r="AC3790" s="198"/>
    </row>
    <row r="3791" spans="1:29" ht="42" customHeight="1">
      <c r="A3791" s="151" t="str">
        <f>'Reported burning'!A3791</f>
        <v>408d</v>
      </c>
      <c r="B3791" s="151" t="str">
        <f>'Reported burning'!B3791</f>
        <v>408d.1</v>
      </c>
      <c r="C3791" s="151" t="str">
        <f>'Reported burning'!C3791</f>
        <v>Human, deliberate</v>
      </c>
      <c r="D3791" s="151" t="str">
        <f>'Reported burning'!D3791</f>
        <v>Crop field preparation</v>
      </c>
      <c r="E3791" s="151" t="str">
        <f>'Reported burning'!E3791</f>
        <v>Cropping, Swidden</v>
      </c>
      <c r="F3791" s="151" t="str">
        <f>'Reported burning'!F3791</f>
        <v>Forest</v>
      </c>
      <c r="G3791" s="151" t="str">
        <f>'Reported burning'!G3791</f>
        <v>Forest</v>
      </c>
      <c r="H3791" s="151" t="str">
        <f>'Reported burning'!H3791</f>
        <v>Presence</v>
      </c>
      <c r="I3791" s="5"/>
      <c r="J3791" s="71" t="s">
        <v>2272</v>
      </c>
      <c r="K3791" s="71" t="s">
        <v>2272</v>
      </c>
      <c r="L3791" s="71" t="s">
        <v>2272</v>
      </c>
      <c r="M3791" s="71" t="s">
        <v>2272</v>
      </c>
      <c r="N3791" s="71" t="s">
        <v>2272</v>
      </c>
      <c r="O3791" s="71" t="s">
        <v>2272</v>
      </c>
      <c r="P3791" s="71" t="s">
        <v>2272</v>
      </c>
      <c r="Q3791" s="71" t="s">
        <v>2272</v>
      </c>
      <c r="R3791" s="71" t="s">
        <v>2272</v>
      </c>
      <c r="S3791" s="71" t="s">
        <v>2272</v>
      </c>
      <c r="T3791" s="71" t="s">
        <v>2272</v>
      </c>
      <c r="U3791" s="71" t="s">
        <v>2272</v>
      </c>
      <c r="V3791" s="71" t="s">
        <v>2272</v>
      </c>
      <c r="W3791" s="71" t="s">
        <v>2272</v>
      </c>
      <c r="X3791" s="71" t="s">
        <v>2272</v>
      </c>
      <c r="Y3791" s="71" t="s">
        <v>2272</v>
      </c>
      <c r="Z3791" s="71" t="s">
        <v>2272</v>
      </c>
      <c r="AA3791" s="71" t="s">
        <v>2272</v>
      </c>
      <c r="AB3791" s="198"/>
      <c r="AC3791" s="198"/>
    </row>
    <row r="3792" spans="1:29" ht="42" customHeight="1">
      <c r="A3792" s="151" t="str">
        <f>'Reported burning'!A3792</f>
        <v>408e</v>
      </c>
      <c r="B3792" s="151" t="str">
        <f>'Reported burning'!B3792</f>
        <v>408e.1</v>
      </c>
      <c r="C3792" s="151" t="str">
        <f>'Reported burning'!C3792</f>
        <v>Human, deliberate</v>
      </c>
      <c r="D3792" s="151" t="str">
        <f>'Reported burning'!D3792</f>
        <v>Crop field preparation</v>
      </c>
      <c r="E3792" s="151" t="str">
        <f>'Reported burning'!E3792</f>
        <v>Cropping, Swidden</v>
      </c>
      <c r="F3792" s="151" t="str">
        <f>'Reported burning'!F3792</f>
        <v>Forest</v>
      </c>
      <c r="G3792" s="151" t="str">
        <f>'Reported burning'!G3792</f>
        <v>Forest</v>
      </c>
      <c r="H3792" s="151" t="str">
        <f>'Reported burning'!H3792</f>
        <v>Presence</v>
      </c>
      <c r="I3792" s="5"/>
      <c r="J3792" s="71" t="s">
        <v>2272</v>
      </c>
      <c r="K3792" s="71" t="s">
        <v>2272</v>
      </c>
      <c r="L3792" s="71" t="s">
        <v>2272</v>
      </c>
      <c r="M3792" s="71" t="s">
        <v>2272</v>
      </c>
      <c r="N3792" s="71" t="s">
        <v>2272</v>
      </c>
      <c r="O3792" s="71" t="s">
        <v>2272</v>
      </c>
      <c r="P3792" s="71" t="s">
        <v>2272</v>
      </c>
      <c r="Q3792" s="71" t="s">
        <v>2272</v>
      </c>
      <c r="R3792" s="71" t="s">
        <v>2272</v>
      </c>
      <c r="S3792" s="71" t="s">
        <v>2272</v>
      </c>
      <c r="T3792" s="71" t="s">
        <v>2272</v>
      </c>
      <c r="U3792" s="71" t="s">
        <v>2272</v>
      </c>
      <c r="V3792" s="71" t="s">
        <v>2272</v>
      </c>
      <c r="W3792" s="71" t="s">
        <v>2272</v>
      </c>
      <c r="X3792" s="71" t="s">
        <v>2272</v>
      </c>
      <c r="Y3792" s="71" t="s">
        <v>2272</v>
      </c>
      <c r="Z3792" s="71" t="s">
        <v>2272</v>
      </c>
      <c r="AA3792" s="71" t="s">
        <v>2272</v>
      </c>
      <c r="AB3792" s="198"/>
      <c r="AC3792" s="198"/>
    </row>
    <row r="3793" spans="1:29" ht="42" customHeight="1">
      <c r="A3793" s="151" t="str">
        <f>'Reported burning'!A3793</f>
        <v>408f</v>
      </c>
      <c r="B3793" s="151" t="str">
        <f>'Reported burning'!B3793</f>
        <v>408f.1</v>
      </c>
      <c r="C3793" s="151" t="str">
        <f>'Reported burning'!C3793</f>
        <v>Human, deliberate</v>
      </c>
      <c r="D3793" s="151" t="str">
        <f>'Reported burning'!D3793</f>
        <v>Crop field preparation</v>
      </c>
      <c r="E3793" s="151" t="str">
        <f>'Reported burning'!E3793</f>
        <v>Cropping, Swidden</v>
      </c>
      <c r="F3793" s="151" t="str">
        <f>'Reported burning'!F3793</f>
        <v>Forest</v>
      </c>
      <c r="G3793" s="151" t="str">
        <f>'Reported burning'!G3793</f>
        <v>Forest</v>
      </c>
      <c r="H3793" s="151" t="str">
        <f>'Reported burning'!H3793</f>
        <v>Presence</v>
      </c>
      <c r="I3793" s="5"/>
      <c r="J3793" s="71" t="s">
        <v>2272</v>
      </c>
      <c r="K3793" s="71" t="s">
        <v>2272</v>
      </c>
      <c r="L3793" s="71" t="s">
        <v>2272</v>
      </c>
      <c r="M3793" s="71" t="s">
        <v>2272</v>
      </c>
      <c r="N3793" s="71" t="s">
        <v>2272</v>
      </c>
      <c r="O3793" s="71" t="s">
        <v>2272</v>
      </c>
      <c r="P3793" s="71" t="s">
        <v>2272</v>
      </c>
      <c r="Q3793" s="71" t="s">
        <v>2272</v>
      </c>
      <c r="R3793" s="71" t="s">
        <v>2272</v>
      </c>
      <c r="S3793" s="71" t="s">
        <v>2272</v>
      </c>
      <c r="T3793" s="71" t="s">
        <v>2272</v>
      </c>
      <c r="U3793" s="71" t="s">
        <v>2272</v>
      </c>
      <c r="V3793" s="71" t="s">
        <v>2272</v>
      </c>
      <c r="W3793" s="71" t="s">
        <v>2272</v>
      </c>
      <c r="X3793" s="71" t="s">
        <v>2272</v>
      </c>
      <c r="Y3793" s="71" t="s">
        <v>2272</v>
      </c>
      <c r="Z3793" s="71" t="s">
        <v>2272</v>
      </c>
      <c r="AA3793" s="71" t="s">
        <v>2272</v>
      </c>
      <c r="AB3793" s="198"/>
      <c r="AC3793" s="198"/>
    </row>
    <row r="3794" spans="1:29" ht="42" customHeight="1">
      <c r="A3794" s="151" t="str">
        <f>'Reported burning'!A3794</f>
        <v>408g</v>
      </c>
      <c r="B3794" s="151" t="str">
        <f>'Reported burning'!B3794</f>
        <v>408g.1</v>
      </c>
      <c r="C3794" s="151" t="str">
        <f>'Reported burning'!C3794</f>
        <v>Human, deliberate</v>
      </c>
      <c r="D3794" s="151" t="str">
        <f>'Reported burning'!D3794</f>
        <v>Crop field preparation</v>
      </c>
      <c r="E3794" s="151" t="str">
        <f>'Reported burning'!E3794</f>
        <v>Cropping, Swidden</v>
      </c>
      <c r="F3794" s="151" t="str">
        <f>'Reported burning'!F3794</f>
        <v>Forest</v>
      </c>
      <c r="G3794" s="151" t="str">
        <f>'Reported burning'!G3794</f>
        <v>Forest</v>
      </c>
      <c r="H3794" s="151" t="str">
        <f>'Reported burning'!H3794</f>
        <v>Presence</v>
      </c>
      <c r="I3794" s="5"/>
      <c r="J3794" s="71" t="s">
        <v>2272</v>
      </c>
      <c r="K3794" s="71" t="s">
        <v>2272</v>
      </c>
      <c r="L3794" s="71" t="s">
        <v>2272</v>
      </c>
      <c r="M3794" s="71" t="s">
        <v>2272</v>
      </c>
      <c r="N3794" s="71" t="s">
        <v>2272</v>
      </c>
      <c r="O3794" s="71" t="s">
        <v>2272</v>
      </c>
      <c r="P3794" s="71" t="s">
        <v>2272</v>
      </c>
      <c r="Q3794" s="71" t="s">
        <v>2272</v>
      </c>
      <c r="R3794" s="71" t="s">
        <v>2272</v>
      </c>
      <c r="S3794" s="71" t="s">
        <v>2272</v>
      </c>
      <c r="T3794" s="71" t="s">
        <v>2272</v>
      </c>
      <c r="U3794" s="71" t="s">
        <v>2272</v>
      </c>
      <c r="V3794" s="71" t="s">
        <v>2272</v>
      </c>
      <c r="W3794" s="71" t="s">
        <v>2272</v>
      </c>
      <c r="X3794" s="71" t="s">
        <v>2272</v>
      </c>
      <c r="Y3794" s="71" t="s">
        <v>2272</v>
      </c>
      <c r="Z3794" s="71" t="s">
        <v>2272</v>
      </c>
      <c r="AA3794" s="71" t="s">
        <v>2272</v>
      </c>
      <c r="AB3794" s="198"/>
      <c r="AC3794" s="198"/>
    </row>
    <row r="3795" spans="1:29" ht="42" customHeight="1">
      <c r="A3795" s="151" t="str">
        <f>'Reported burning'!A3795</f>
        <v>408h</v>
      </c>
      <c r="B3795" s="151" t="str">
        <f>'Reported burning'!B3795</f>
        <v>408h.1</v>
      </c>
      <c r="C3795" s="151" t="str">
        <f>'Reported burning'!C3795</f>
        <v>Human, deliberate</v>
      </c>
      <c r="D3795" s="151" t="str">
        <f>'Reported burning'!D3795</f>
        <v>Crop field preparation</v>
      </c>
      <c r="E3795" s="151" t="str">
        <f>'Reported burning'!E3795</f>
        <v>Cropping, Swidden</v>
      </c>
      <c r="F3795" s="151" t="str">
        <f>'Reported burning'!F3795</f>
        <v>Forest</v>
      </c>
      <c r="G3795" s="151" t="str">
        <f>'Reported burning'!G3795</f>
        <v>Forest</v>
      </c>
      <c r="H3795" s="151" t="str">
        <f>'Reported burning'!H3795</f>
        <v>Presence</v>
      </c>
      <c r="I3795" s="5"/>
      <c r="J3795" s="71" t="s">
        <v>2272</v>
      </c>
      <c r="K3795" s="71" t="s">
        <v>2272</v>
      </c>
      <c r="L3795" s="71" t="s">
        <v>2272</v>
      </c>
      <c r="M3795" s="71" t="s">
        <v>2272</v>
      </c>
      <c r="N3795" s="71" t="s">
        <v>2272</v>
      </c>
      <c r="O3795" s="71" t="s">
        <v>2272</v>
      </c>
      <c r="P3795" s="71" t="s">
        <v>2272</v>
      </c>
      <c r="Q3795" s="71" t="s">
        <v>2272</v>
      </c>
      <c r="R3795" s="71" t="s">
        <v>2272</v>
      </c>
      <c r="S3795" s="71" t="s">
        <v>2272</v>
      </c>
      <c r="T3795" s="71" t="s">
        <v>2272</v>
      </c>
      <c r="U3795" s="71" t="s">
        <v>2272</v>
      </c>
      <c r="V3795" s="71" t="s">
        <v>2272</v>
      </c>
      <c r="W3795" s="71" t="s">
        <v>2272</v>
      </c>
      <c r="X3795" s="71" t="s">
        <v>2272</v>
      </c>
      <c r="Y3795" s="71" t="s">
        <v>2272</v>
      </c>
      <c r="Z3795" s="71" t="s">
        <v>2272</v>
      </c>
      <c r="AA3795" s="71" t="s">
        <v>2272</v>
      </c>
      <c r="AB3795" s="198"/>
      <c r="AC3795" s="198"/>
    </row>
    <row r="3796" spans="1:29" ht="42" customHeight="1">
      <c r="A3796" s="151" t="str">
        <f>'Reported burning'!A3796</f>
        <v>408i</v>
      </c>
      <c r="B3796" s="151" t="str">
        <f>'Reported burning'!B3796</f>
        <v>408i.1</v>
      </c>
      <c r="C3796" s="151" t="str">
        <f>'Reported burning'!C3796</f>
        <v>Human, deliberate</v>
      </c>
      <c r="D3796" s="151" t="str">
        <f>'Reported burning'!D3796</f>
        <v>Crop field preparation</v>
      </c>
      <c r="E3796" s="151" t="str">
        <f>'Reported burning'!E3796</f>
        <v>Cropping, Swidden</v>
      </c>
      <c r="F3796" s="151" t="str">
        <f>'Reported burning'!F3796</f>
        <v>Forest</v>
      </c>
      <c r="G3796" s="151" t="str">
        <f>'Reported burning'!G3796</f>
        <v>Forest</v>
      </c>
      <c r="H3796" s="151" t="str">
        <f>'Reported burning'!H3796</f>
        <v>Presence</v>
      </c>
      <c r="I3796" s="5"/>
      <c r="J3796" s="71" t="s">
        <v>2272</v>
      </c>
      <c r="K3796" s="71" t="s">
        <v>2272</v>
      </c>
      <c r="L3796" s="71" t="s">
        <v>2272</v>
      </c>
      <c r="M3796" s="71" t="s">
        <v>2272</v>
      </c>
      <c r="N3796" s="71" t="s">
        <v>2272</v>
      </c>
      <c r="O3796" s="71" t="s">
        <v>2272</v>
      </c>
      <c r="P3796" s="71" t="s">
        <v>2272</v>
      </c>
      <c r="Q3796" s="71" t="s">
        <v>2272</v>
      </c>
      <c r="R3796" s="71" t="s">
        <v>2272</v>
      </c>
      <c r="S3796" s="71" t="s">
        <v>2272</v>
      </c>
      <c r="T3796" s="71" t="s">
        <v>2272</v>
      </c>
      <c r="U3796" s="71" t="s">
        <v>2272</v>
      </c>
      <c r="V3796" s="71" t="s">
        <v>2272</v>
      </c>
      <c r="W3796" s="71" t="s">
        <v>2272</v>
      </c>
      <c r="X3796" s="71" t="s">
        <v>2272</v>
      </c>
      <c r="Y3796" s="71" t="s">
        <v>2272</v>
      </c>
      <c r="Z3796" s="71" t="s">
        <v>2272</v>
      </c>
      <c r="AA3796" s="71" t="s">
        <v>2272</v>
      </c>
      <c r="AB3796" s="198"/>
      <c r="AC3796" s="198"/>
    </row>
    <row r="3797" spans="1:29" ht="42" customHeight="1">
      <c r="A3797" s="151" t="str">
        <f>'Reported burning'!A3797</f>
        <v>408j</v>
      </c>
      <c r="B3797" s="151" t="str">
        <f>'Reported burning'!B3797</f>
        <v>408j.1</v>
      </c>
      <c r="C3797" s="151" t="str">
        <f>'Reported burning'!C3797</f>
        <v>Human, deliberate</v>
      </c>
      <c r="D3797" s="151" t="str">
        <f>'Reported burning'!D3797</f>
        <v>Crop field preparation</v>
      </c>
      <c r="E3797" s="151" t="str">
        <f>'Reported burning'!E3797</f>
        <v>Cropping, Swidden</v>
      </c>
      <c r="F3797" s="151" t="str">
        <f>'Reported burning'!F3797</f>
        <v>Forest</v>
      </c>
      <c r="G3797" s="151" t="str">
        <f>'Reported burning'!G3797</f>
        <v>Forest</v>
      </c>
      <c r="H3797" s="151" t="str">
        <f>'Reported burning'!H3797</f>
        <v>Presence</v>
      </c>
      <c r="I3797" s="5"/>
      <c r="J3797" s="71" t="s">
        <v>2272</v>
      </c>
      <c r="K3797" s="71" t="s">
        <v>2272</v>
      </c>
      <c r="L3797" s="71" t="s">
        <v>2272</v>
      </c>
      <c r="M3797" s="71" t="s">
        <v>2272</v>
      </c>
      <c r="N3797" s="71" t="s">
        <v>2272</v>
      </c>
      <c r="O3797" s="71" t="s">
        <v>2272</v>
      </c>
      <c r="P3797" s="71" t="s">
        <v>2272</v>
      </c>
      <c r="Q3797" s="71" t="s">
        <v>2272</v>
      </c>
      <c r="R3797" s="71" t="s">
        <v>2272</v>
      </c>
      <c r="S3797" s="71" t="s">
        <v>2272</v>
      </c>
      <c r="T3797" s="71" t="s">
        <v>2272</v>
      </c>
      <c r="U3797" s="71" t="s">
        <v>2272</v>
      </c>
      <c r="V3797" s="71" t="s">
        <v>2272</v>
      </c>
      <c r="W3797" s="71" t="s">
        <v>2272</v>
      </c>
      <c r="X3797" s="71" t="s">
        <v>2272</v>
      </c>
      <c r="Y3797" s="71" t="s">
        <v>2272</v>
      </c>
      <c r="Z3797" s="71" t="s">
        <v>2272</v>
      </c>
      <c r="AA3797" s="71" t="s">
        <v>2272</v>
      </c>
      <c r="AB3797" s="198"/>
      <c r="AC3797" s="198"/>
    </row>
    <row r="3798" spans="1:29" ht="42" customHeight="1">
      <c r="A3798" s="151" t="str">
        <f>'Reported burning'!A3798</f>
        <v>408k</v>
      </c>
      <c r="B3798" s="151" t="str">
        <f>'Reported burning'!B3798</f>
        <v>408k.1</v>
      </c>
      <c r="C3798" s="151" t="str">
        <f>'Reported burning'!C3798</f>
        <v>Human, deliberate</v>
      </c>
      <c r="D3798" s="151" t="str">
        <f>'Reported burning'!D3798</f>
        <v>Crop field preparation</v>
      </c>
      <c r="E3798" s="151" t="str">
        <f>'Reported burning'!E3798</f>
        <v>Cropping, Swidden</v>
      </c>
      <c r="F3798" s="151" t="str">
        <f>'Reported burning'!F3798</f>
        <v>Forest</v>
      </c>
      <c r="G3798" s="151" t="str">
        <f>'Reported burning'!G3798</f>
        <v>Forest</v>
      </c>
      <c r="H3798" s="151" t="str">
        <f>'Reported burning'!H3798</f>
        <v>Presence</v>
      </c>
      <c r="I3798" s="5"/>
      <c r="J3798" s="71" t="s">
        <v>2272</v>
      </c>
      <c r="K3798" s="71" t="s">
        <v>2272</v>
      </c>
      <c r="L3798" s="71" t="s">
        <v>2272</v>
      </c>
      <c r="M3798" s="71" t="s">
        <v>2272</v>
      </c>
      <c r="N3798" s="71" t="s">
        <v>2272</v>
      </c>
      <c r="O3798" s="71" t="s">
        <v>2272</v>
      </c>
      <c r="P3798" s="71" t="s">
        <v>2272</v>
      </c>
      <c r="Q3798" s="71" t="s">
        <v>2272</v>
      </c>
      <c r="R3798" s="71" t="s">
        <v>2272</v>
      </c>
      <c r="S3798" s="71" t="s">
        <v>2272</v>
      </c>
      <c r="T3798" s="71" t="s">
        <v>2272</v>
      </c>
      <c r="U3798" s="71" t="s">
        <v>2272</v>
      </c>
      <c r="V3798" s="71" t="s">
        <v>2272</v>
      </c>
      <c r="W3798" s="71" t="s">
        <v>2272</v>
      </c>
      <c r="X3798" s="71" t="s">
        <v>2272</v>
      </c>
      <c r="Y3798" s="71" t="s">
        <v>2272</v>
      </c>
      <c r="Z3798" s="71" t="s">
        <v>2272</v>
      </c>
      <c r="AA3798" s="71" t="s">
        <v>2272</v>
      </c>
      <c r="AB3798" s="198"/>
      <c r="AC3798" s="198"/>
    </row>
    <row r="3799" spans="1:29" ht="42" customHeight="1">
      <c r="A3799" s="151" t="str">
        <f>'Reported burning'!A3799</f>
        <v>408l</v>
      </c>
      <c r="B3799" s="151" t="str">
        <f>'Reported burning'!B3799</f>
        <v>408l.1</v>
      </c>
      <c r="C3799" s="151" t="str">
        <f>'Reported burning'!C3799</f>
        <v>Human, deliberate</v>
      </c>
      <c r="D3799" s="151" t="str">
        <f>'Reported burning'!D3799</f>
        <v>Crop field preparation</v>
      </c>
      <c r="E3799" s="151" t="str">
        <f>'Reported burning'!E3799</f>
        <v>Cropping, Swidden</v>
      </c>
      <c r="F3799" s="151" t="str">
        <f>'Reported burning'!F3799</f>
        <v>Forest</v>
      </c>
      <c r="G3799" s="151" t="str">
        <f>'Reported burning'!G3799</f>
        <v>Forest</v>
      </c>
      <c r="H3799" s="151" t="str">
        <f>'Reported burning'!H3799</f>
        <v>Presence</v>
      </c>
      <c r="I3799" s="5"/>
      <c r="J3799" s="71" t="s">
        <v>2272</v>
      </c>
      <c r="K3799" s="71" t="s">
        <v>2272</v>
      </c>
      <c r="L3799" s="71" t="s">
        <v>2272</v>
      </c>
      <c r="M3799" s="71" t="s">
        <v>2272</v>
      </c>
      <c r="N3799" s="71" t="s">
        <v>2272</v>
      </c>
      <c r="O3799" s="71" t="s">
        <v>2272</v>
      </c>
      <c r="P3799" s="71" t="s">
        <v>2272</v>
      </c>
      <c r="Q3799" s="71" t="s">
        <v>2272</v>
      </c>
      <c r="R3799" s="71" t="s">
        <v>2272</v>
      </c>
      <c r="S3799" s="71" t="s">
        <v>2272</v>
      </c>
      <c r="T3799" s="71" t="s">
        <v>2272</v>
      </c>
      <c r="U3799" s="71" t="s">
        <v>2272</v>
      </c>
      <c r="V3799" s="71" t="s">
        <v>2272</v>
      </c>
      <c r="W3799" s="71" t="s">
        <v>2272</v>
      </c>
      <c r="X3799" s="71" t="s">
        <v>2272</v>
      </c>
      <c r="Y3799" s="71" t="s">
        <v>2272</v>
      </c>
      <c r="Z3799" s="71" t="s">
        <v>2272</v>
      </c>
      <c r="AA3799" s="71" t="s">
        <v>2272</v>
      </c>
      <c r="AB3799" s="198"/>
      <c r="AC3799" s="198"/>
    </row>
    <row r="3800" spans="1:29" ht="42" customHeight="1">
      <c r="A3800" s="151" t="str">
        <f>'Reported burning'!A3800</f>
        <v>408m</v>
      </c>
      <c r="B3800" s="151" t="str">
        <f>'Reported burning'!B3800</f>
        <v>408m.1</v>
      </c>
      <c r="C3800" s="151" t="str">
        <f>'Reported burning'!C3800</f>
        <v>Human, deliberate</v>
      </c>
      <c r="D3800" s="151" t="str">
        <f>'Reported burning'!D3800</f>
        <v>Crop field preparation</v>
      </c>
      <c r="E3800" s="151" t="str">
        <f>'Reported burning'!E3800</f>
        <v>Cropping, Swidden</v>
      </c>
      <c r="F3800" s="151" t="str">
        <f>'Reported burning'!F3800</f>
        <v>Forest</v>
      </c>
      <c r="G3800" s="151" t="str">
        <f>'Reported burning'!G3800</f>
        <v>Forest</v>
      </c>
      <c r="H3800" s="151" t="str">
        <f>'Reported burning'!H3800</f>
        <v>Presence</v>
      </c>
      <c r="I3800" s="5"/>
      <c r="J3800" s="71" t="s">
        <v>2272</v>
      </c>
      <c r="K3800" s="71" t="s">
        <v>2272</v>
      </c>
      <c r="L3800" s="71" t="s">
        <v>2272</v>
      </c>
      <c r="M3800" s="71" t="s">
        <v>2272</v>
      </c>
      <c r="N3800" s="71" t="s">
        <v>2272</v>
      </c>
      <c r="O3800" s="71" t="s">
        <v>2272</v>
      </c>
      <c r="P3800" s="71" t="s">
        <v>2272</v>
      </c>
      <c r="Q3800" s="71" t="s">
        <v>2272</v>
      </c>
      <c r="R3800" s="71" t="s">
        <v>2272</v>
      </c>
      <c r="S3800" s="71" t="s">
        <v>2272</v>
      </c>
      <c r="T3800" s="71" t="s">
        <v>2272</v>
      </c>
      <c r="U3800" s="71" t="s">
        <v>2272</v>
      </c>
      <c r="V3800" s="71" t="s">
        <v>2272</v>
      </c>
      <c r="W3800" s="71" t="s">
        <v>2272</v>
      </c>
      <c r="X3800" s="71" t="s">
        <v>2272</v>
      </c>
      <c r="Y3800" s="71" t="s">
        <v>2272</v>
      </c>
      <c r="Z3800" s="71" t="s">
        <v>2272</v>
      </c>
      <c r="AA3800" s="71" t="s">
        <v>2272</v>
      </c>
      <c r="AB3800" s="198"/>
      <c r="AC3800" s="198"/>
    </row>
    <row r="3801" spans="1:29" ht="42" customHeight="1">
      <c r="A3801" s="151" t="str">
        <f>'Reported burning'!A3801</f>
        <v>408n</v>
      </c>
      <c r="B3801" s="151" t="str">
        <f>'Reported burning'!B3801</f>
        <v>408n.1</v>
      </c>
      <c r="C3801" s="151" t="str">
        <f>'Reported burning'!C3801</f>
        <v>Human, deliberate</v>
      </c>
      <c r="D3801" s="151" t="str">
        <f>'Reported burning'!D3801</f>
        <v>Crop field preparation</v>
      </c>
      <c r="E3801" s="151" t="str">
        <f>'Reported burning'!E3801</f>
        <v>Cropping, Swidden</v>
      </c>
      <c r="F3801" s="151" t="str">
        <f>'Reported burning'!F3801</f>
        <v>Forest</v>
      </c>
      <c r="G3801" s="151" t="str">
        <f>'Reported burning'!G3801</f>
        <v>Forest</v>
      </c>
      <c r="H3801" s="151" t="str">
        <f>'Reported burning'!H3801</f>
        <v>Presence</v>
      </c>
      <c r="I3801" s="5"/>
      <c r="J3801" s="71" t="s">
        <v>2272</v>
      </c>
      <c r="K3801" s="71" t="s">
        <v>2272</v>
      </c>
      <c r="L3801" s="71" t="s">
        <v>2272</v>
      </c>
      <c r="M3801" s="71" t="s">
        <v>2272</v>
      </c>
      <c r="N3801" s="71" t="s">
        <v>2272</v>
      </c>
      <c r="O3801" s="71" t="s">
        <v>2272</v>
      </c>
      <c r="P3801" s="71" t="s">
        <v>2272</v>
      </c>
      <c r="Q3801" s="71" t="s">
        <v>2272</v>
      </c>
      <c r="R3801" s="71" t="s">
        <v>2272</v>
      </c>
      <c r="S3801" s="71" t="s">
        <v>2272</v>
      </c>
      <c r="T3801" s="71" t="s">
        <v>2272</v>
      </c>
      <c r="U3801" s="71" t="s">
        <v>2272</v>
      </c>
      <c r="V3801" s="71" t="s">
        <v>2272</v>
      </c>
      <c r="W3801" s="71" t="s">
        <v>2272</v>
      </c>
      <c r="X3801" s="71" t="s">
        <v>2272</v>
      </c>
      <c r="Y3801" s="71" t="s">
        <v>2272</v>
      </c>
      <c r="Z3801" s="71" t="s">
        <v>2272</v>
      </c>
      <c r="AA3801" s="71" t="s">
        <v>2272</v>
      </c>
      <c r="AB3801" s="198"/>
      <c r="AC3801" s="198"/>
    </row>
    <row r="3802" spans="1:29" ht="42" customHeight="1">
      <c r="A3802" s="151" t="str">
        <f>'Reported burning'!A3802</f>
        <v>408o</v>
      </c>
      <c r="B3802" s="151" t="str">
        <f>'Reported burning'!B3802</f>
        <v>408o.1</v>
      </c>
      <c r="C3802" s="151" t="str">
        <f>'Reported burning'!C3802</f>
        <v>Human, deliberate</v>
      </c>
      <c r="D3802" s="151" t="str">
        <f>'Reported burning'!D3802</f>
        <v>Crop field preparation</v>
      </c>
      <c r="E3802" s="151" t="str">
        <f>'Reported burning'!E3802</f>
        <v>Cropping, Swidden</v>
      </c>
      <c r="F3802" s="151" t="str">
        <f>'Reported burning'!F3802</f>
        <v>Forest</v>
      </c>
      <c r="G3802" s="151" t="str">
        <f>'Reported burning'!G3802</f>
        <v>Forest</v>
      </c>
      <c r="H3802" s="151" t="str">
        <f>'Reported burning'!H3802</f>
        <v>Presence</v>
      </c>
      <c r="I3802" s="5"/>
      <c r="J3802" s="71" t="s">
        <v>2272</v>
      </c>
      <c r="K3802" s="71" t="s">
        <v>2272</v>
      </c>
      <c r="L3802" s="71" t="s">
        <v>2272</v>
      </c>
      <c r="M3802" s="71" t="s">
        <v>2272</v>
      </c>
      <c r="N3802" s="71" t="s">
        <v>2272</v>
      </c>
      <c r="O3802" s="71" t="s">
        <v>2272</v>
      </c>
      <c r="P3802" s="71" t="s">
        <v>2272</v>
      </c>
      <c r="Q3802" s="71" t="s">
        <v>2272</v>
      </c>
      <c r="R3802" s="71" t="s">
        <v>2272</v>
      </c>
      <c r="S3802" s="71" t="s">
        <v>2272</v>
      </c>
      <c r="T3802" s="71" t="s">
        <v>2272</v>
      </c>
      <c r="U3802" s="71" t="s">
        <v>2272</v>
      </c>
      <c r="V3802" s="71" t="s">
        <v>2272</v>
      </c>
      <c r="W3802" s="71" t="s">
        <v>2272</v>
      </c>
      <c r="X3802" s="71" t="s">
        <v>2272</v>
      </c>
      <c r="Y3802" s="71" t="s">
        <v>2272</v>
      </c>
      <c r="Z3802" s="71" t="s">
        <v>2272</v>
      </c>
      <c r="AA3802" s="71" t="s">
        <v>2272</v>
      </c>
      <c r="AB3802" s="198"/>
      <c r="AC3802" s="198"/>
    </row>
    <row r="3803" spans="1:29" ht="42" customHeight="1">
      <c r="A3803" s="151" t="str">
        <f>'Reported burning'!A3803</f>
        <v>408p</v>
      </c>
      <c r="B3803" s="151" t="str">
        <f>'Reported burning'!B3803</f>
        <v>408p.1</v>
      </c>
      <c r="C3803" s="151" t="str">
        <f>'Reported burning'!C3803</f>
        <v>Human, deliberate</v>
      </c>
      <c r="D3803" s="151" t="str">
        <f>'Reported burning'!D3803</f>
        <v>Crop field preparation</v>
      </c>
      <c r="E3803" s="151" t="str">
        <f>'Reported burning'!E3803</f>
        <v>Cropping, Swidden</v>
      </c>
      <c r="F3803" s="151" t="str">
        <f>'Reported burning'!F3803</f>
        <v>Forest</v>
      </c>
      <c r="G3803" s="151" t="str">
        <f>'Reported burning'!G3803</f>
        <v>Forest</v>
      </c>
      <c r="H3803" s="151" t="str">
        <f>'Reported burning'!H3803</f>
        <v>Presence</v>
      </c>
      <c r="I3803" s="5"/>
      <c r="J3803" s="71" t="s">
        <v>2272</v>
      </c>
      <c r="K3803" s="71" t="s">
        <v>2272</v>
      </c>
      <c r="L3803" s="71" t="s">
        <v>2272</v>
      </c>
      <c r="M3803" s="71" t="s">
        <v>2272</v>
      </c>
      <c r="N3803" s="71" t="s">
        <v>2272</v>
      </c>
      <c r="O3803" s="71" t="s">
        <v>2272</v>
      </c>
      <c r="P3803" s="71" t="s">
        <v>2272</v>
      </c>
      <c r="Q3803" s="71" t="s">
        <v>2272</v>
      </c>
      <c r="R3803" s="71" t="s">
        <v>2272</v>
      </c>
      <c r="S3803" s="71" t="s">
        <v>2272</v>
      </c>
      <c r="T3803" s="71" t="s">
        <v>2272</v>
      </c>
      <c r="U3803" s="71" t="s">
        <v>2272</v>
      </c>
      <c r="V3803" s="71" t="s">
        <v>2272</v>
      </c>
      <c r="W3803" s="71" t="s">
        <v>2272</v>
      </c>
      <c r="X3803" s="71" t="s">
        <v>2272</v>
      </c>
      <c r="Y3803" s="71" t="s">
        <v>2272</v>
      </c>
      <c r="Z3803" s="71" t="s">
        <v>2272</v>
      </c>
      <c r="AA3803" s="71" t="s">
        <v>2272</v>
      </c>
      <c r="AB3803" s="198"/>
      <c r="AC3803" s="198"/>
    </row>
    <row r="3804" spans="1:29" ht="42" customHeight="1">
      <c r="A3804" s="151" t="str">
        <f>'Reported burning'!A3804</f>
        <v>408q</v>
      </c>
      <c r="B3804" s="151" t="str">
        <f>'Reported burning'!B3804</f>
        <v>408q.1</v>
      </c>
      <c r="C3804" s="151" t="str">
        <f>'Reported burning'!C3804</f>
        <v>Human, deliberate</v>
      </c>
      <c r="D3804" s="151" t="str">
        <f>'Reported burning'!D3804</f>
        <v>Crop field preparation</v>
      </c>
      <c r="E3804" s="151" t="str">
        <f>'Reported burning'!E3804</f>
        <v>Cropping, Swidden</v>
      </c>
      <c r="F3804" s="151" t="str">
        <f>'Reported burning'!F3804</f>
        <v>Forest</v>
      </c>
      <c r="G3804" s="151" t="str">
        <f>'Reported burning'!G3804</f>
        <v>Forest</v>
      </c>
      <c r="H3804" s="151" t="str">
        <f>'Reported burning'!H3804</f>
        <v>Presence</v>
      </c>
      <c r="I3804" s="5"/>
      <c r="J3804" s="71" t="s">
        <v>2272</v>
      </c>
      <c r="K3804" s="71" t="s">
        <v>2272</v>
      </c>
      <c r="L3804" s="71" t="s">
        <v>2272</v>
      </c>
      <c r="M3804" s="71" t="s">
        <v>2272</v>
      </c>
      <c r="N3804" s="71" t="s">
        <v>2272</v>
      </c>
      <c r="O3804" s="71" t="s">
        <v>2272</v>
      </c>
      <c r="P3804" s="71" t="s">
        <v>2272</v>
      </c>
      <c r="Q3804" s="71" t="s">
        <v>2272</v>
      </c>
      <c r="R3804" s="71" t="s">
        <v>2272</v>
      </c>
      <c r="S3804" s="71" t="s">
        <v>2272</v>
      </c>
      <c r="T3804" s="71" t="s">
        <v>2272</v>
      </c>
      <c r="U3804" s="71" t="s">
        <v>2272</v>
      </c>
      <c r="V3804" s="71" t="s">
        <v>2272</v>
      </c>
      <c r="W3804" s="71" t="s">
        <v>2272</v>
      </c>
      <c r="X3804" s="71" t="s">
        <v>2272</v>
      </c>
      <c r="Y3804" s="71" t="s">
        <v>2272</v>
      </c>
      <c r="Z3804" s="71" t="s">
        <v>2272</v>
      </c>
      <c r="AA3804" s="71" t="s">
        <v>2272</v>
      </c>
      <c r="AB3804" s="198"/>
      <c r="AC3804" s="198"/>
    </row>
    <row r="3805" spans="1:29" ht="42" customHeight="1">
      <c r="A3805" s="151" t="str">
        <f>'Reported burning'!A3805</f>
        <v>408r</v>
      </c>
      <c r="B3805" s="151" t="str">
        <f>'Reported burning'!B3805</f>
        <v>408r.1</v>
      </c>
      <c r="C3805" s="151" t="str">
        <f>'Reported burning'!C3805</f>
        <v>Human, deliberate</v>
      </c>
      <c r="D3805" s="151" t="str">
        <f>'Reported burning'!D3805</f>
        <v>Crop field preparation</v>
      </c>
      <c r="E3805" s="151" t="str">
        <f>'Reported burning'!E3805</f>
        <v>Cropping, Swidden</v>
      </c>
      <c r="F3805" s="151" t="str">
        <f>'Reported burning'!F3805</f>
        <v>Forest</v>
      </c>
      <c r="G3805" s="151" t="str">
        <f>'Reported burning'!G3805</f>
        <v>Forest</v>
      </c>
      <c r="H3805" s="151" t="str">
        <f>'Reported burning'!H3805</f>
        <v>Presence</v>
      </c>
      <c r="I3805" s="5"/>
      <c r="J3805" s="71" t="s">
        <v>2272</v>
      </c>
      <c r="K3805" s="71" t="s">
        <v>2272</v>
      </c>
      <c r="L3805" s="71" t="s">
        <v>2272</v>
      </c>
      <c r="M3805" s="71" t="s">
        <v>2272</v>
      </c>
      <c r="N3805" s="71" t="s">
        <v>2272</v>
      </c>
      <c r="O3805" s="71" t="s">
        <v>2272</v>
      </c>
      <c r="P3805" s="71" t="s">
        <v>2272</v>
      </c>
      <c r="Q3805" s="71" t="s">
        <v>2272</v>
      </c>
      <c r="R3805" s="71" t="s">
        <v>2272</v>
      </c>
      <c r="S3805" s="71" t="s">
        <v>2272</v>
      </c>
      <c r="T3805" s="71" t="s">
        <v>2272</v>
      </c>
      <c r="U3805" s="71" t="s">
        <v>2272</v>
      </c>
      <c r="V3805" s="71" t="s">
        <v>2272</v>
      </c>
      <c r="W3805" s="71" t="s">
        <v>2272</v>
      </c>
      <c r="X3805" s="71" t="s">
        <v>2272</v>
      </c>
      <c r="Y3805" s="71" t="s">
        <v>2272</v>
      </c>
      <c r="Z3805" s="71" t="s">
        <v>2272</v>
      </c>
      <c r="AA3805" s="71" t="s">
        <v>2272</v>
      </c>
      <c r="AB3805" s="198"/>
      <c r="AC3805" s="198"/>
    </row>
    <row r="3806" spans="1:29" ht="42" customHeight="1">
      <c r="A3806" s="151" t="str">
        <f>'Reported burning'!A3806</f>
        <v>408s</v>
      </c>
      <c r="B3806" s="151" t="str">
        <f>'Reported burning'!B3806</f>
        <v>408s.1</v>
      </c>
      <c r="C3806" s="151" t="str">
        <f>'Reported burning'!C3806</f>
        <v>Human, deliberate</v>
      </c>
      <c r="D3806" s="151" t="str">
        <f>'Reported burning'!D3806</f>
        <v>Crop field preparation</v>
      </c>
      <c r="E3806" s="151" t="str">
        <f>'Reported burning'!E3806</f>
        <v>Cropping, Swidden</v>
      </c>
      <c r="F3806" s="151" t="str">
        <f>'Reported burning'!F3806</f>
        <v>Forest</v>
      </c>
      <c r="G3806" s="151" t="str">
        <f>'Reported burning'!G3806</f>
        <v>Forest</v>
      </c>
      <c r="H3806" s="151" t="str">
        <f>'Reported burning'!H3806</f>
        <v>Presence</v>
      </c>
      <c r="I3806" s="5"/>
      <c r="J3806" s="71" t="s">
        <v>2272</v>
      </c>
      <c r="K3806" s="71" t="s">
        <v>2272</v>
      </c>
      <c r="L3806" s="71" t="s">
        <v>2272</v>
      </c>
      <c r="M3806" s="71" t="s">
        <v>2272</v>
      </c>
      <c r="N3806" s="71" t="s">
        <v>2272</v>
      </c>
      <c r="O3806" s="71" t="s">
        <v>2272</v>
      </c>
      <c r="P3806" s="71" t="s">
        <v>2272</v>
      </c>
      <c r="Q3806" s="71" t="s">
        <v>2272</v>
      </c>
      <c r="R3806" s="71" t="s">
        <v>2272</v>
      </c>
      <c r="S3806" s="71" t="s">
        <v>2272</v>
      </c>
      <c r="T3806" s="71" t="s">
        <v>2272</v>
      </c>
      <c r="U3806" s="71" t="s">
        <v>2272</v>
      </c>
      <c r="V3806" s="71" t="s">
        <v>2272</v>
      </c>
      <c r="W3806" s="71" t="s">
        <v>2272</v>
      </c>
      <c r="X3806" s="71" t="s">
        <v>2272</v>
      </c>
      <c r="Y3806" s="71" t="s">
        <v>2272</v>
      </c>
      <c r="Z3806" s="71" t="s">
        <v>2272</v>
      </c>
      <c r="AA3806" s="71" t="s">
        <v>2272</v>
      </c>
      <c r="AB3806" s="198"/>
      <c r="AC3806" s="198"/>
    </row>
    <row r="3807" spans="1:29" ht="42" customHeight="1">
      <c r="A3807" s="151" t="str">
        <f>'Reported burning'!A3807</f>
        <v>408a</v>
      </c>
      <c r="B3807" s="151" t="str">
        <f>'Reported burning'!B3807</f>
        <v>408a.2</v>
      </c>
      <c r="C3807" s="151" t="str">
        <f>'Reported burning'!C3807</f>
        <v>Human, escaped</v>
      </c>
      <c r="D3807" s="151" t="str">
        <f>'Reported burning'!D3807</f>
        <v>ND</v>
      </c>
      <c r="E3807" s="151" t="str">
        <f>'Reported burning'!E3807</f>
        <v>ND</v>
      </c>
      <c r="F3807" s="151" t="str">
        <f>'Reported burning'!F3807</f>
        <v>Forest</v>
      </c>
      <c r="G3807" s="151" t="str">
        <f>'Reported burning'!G3807</f>
        <v>Forest</v>
      </c>
      <c r="H3807" s="151" t="str">
        <f>'Reported burning'!H3807</f>
        <v>Presence</v>
      </c>
      <c r="I3807" s="5"/>
      <c r="J3807" s="71" t="s">
        <v>2272</v>
      </c>
      <c r="K3807" s="71" t="s">
        <v>2272</v>
      </c>
      <c r="L3807" s="71" t="s">
        <v>2272</v>
      </c>
      <c r="M3807" s="71" t="s">
        <v>2272</v>
      </c>
      <c r="N3807" s="71" t="s">
        <v>2272</v>
      </c>
      <c r="O3807" s="71" t="s">
        <v>2272</v>
      </c>
      <c r="P3807" s="71" t="s">
        <v>2272</v>
      </c>
      <c r="Q3807" s="71" t="s">
        <v>2272</v>
      </c>
      <c r="R3807" s="71" t="s">
        <v>2272</v>
      </c>
      <c r="S3807" s="71" t="s">
        <v>2272</v>
      </c>
      <c r="T3807" s="71" t="s">
        <v>2272</v>
      </c>
      <c r="U3807" s="71" t="s">
        <v>2272</v>
      </c>
      <c r="V3807" s="71" t="s">
        <v>2272</v>
      </c>
      <c r="W3807" s="71" t="s">
        <v>2272</v>
      </c>
      <c r="X3807" s="71" t="s">
        <v>2272</v>
      </c>
      <c r="Y3807" s="71" t="s">
        <v>2272</v>
      </c>
      <c r="Z3807" s="71" t="s">
        <v>2272</v>
      </c>
      <c r="AA3807" s="71" t="s">
        <v>2272</v>
      </c>
      <c r="AB3807" s="198"/>
      <c r="AC3807" s="198"/>
    </row>
    <row r="3808" spans="1:29" ht="42" customHeight="1">
      <c r="A3808" s="151" t="str">
        <f>'Reported burning'!A3808</f>
        <v>408b</v>
      </c>
      <c r="B3808" s="151" t="str">
        <f>'Reported burning'!B3808</f>
        <v>408b.2</v>
      </c>
      <c r="C3808" s="151" t="str">
        <f>'Reported burning'!C3808</f>
        <v>Human, escaped</v>
      </c>
      <c r="D3808" s="151" t="str">
        <f>'Reported burning'!D3808</f>
        <v>ND</v>
      </c>
      <c r="E3808" s="151" t="str">
        <f>'Reported burning'!E3808</f>
        <v>ND</v>
      </c>
      <c r="F3808" s="151" t="str">
        <f>'Reported burning'!F3808</f>
        <v>Forest</v>
      </c>
      <c r="G3808" s="151" t="str">
        <f>'Reported burning'!G3808</f>
        <v>Forest</v>
      </c>
      <c r="H3808" s="151" t="str">
        <f>'Reported burning'!H3808</f>
        <v>Presence</v>
      </c>
      <c r="I3808" s="5"/>
      <c r="J3808" s="71" t="s">
        <v>2272</v>
      </c>
      <c r="K3808" s="71" t="s">
        <v>2272</v>
      </c>
      <c r="L3808" s="71" t="s">
        <v>2272</v>
      </c>
      <c r="M3808" s="71" t="s">
        <v>2272</v>
      </c>
      <c r="N3808" s="71" t="s">
        <v>2272</v>
      </c>
      <c r="O3808" s="71" t="s">
        <v>2272</v>
      </c>
      <c r="P3808" s="71" t="s">
        <v>2272</v>
      </c>
      <c r="Q3808" s="71" t="s">
        <v>2272</v>
      </c>
      <c r="R3808" s="71" t="s">
        <v>2272</v>
      </c>
      <c r="S3808" s="71" t="s">
        <v>2272</v>
      </c>
      <c r="T3808" s="71" t="s">
        <v>2272</v>
      </c>
      <c r="U3808" s="71" t="s">
        <v>2272</v>
      </c>
      <c r="V3808" s="71" t="s">
        <v>2272</v>
      </c>
      <c r="W3808" s="71" t="s">
        <v>2272</v>
      </c>
      <c r="X3808" s="71" t="s">
        <v>2272</v>
      </c>
      <c r="Y3808" s="71" t="s">
        <v>2272</v>
      </c>
      <c r="Z3808" s="71" t="s">
        <v>2272</v>
      </c>
      <c r="AA3808" s="71" t="s">
        <v>2272</v>
      </c>
      <c r="AB3808" s="198"/>
      <c r="AC3808" s="198"/>
    </row>
    <row r="3809" spans="1:29" ht="42" customHeight="1">
      <c r="A3809" s="151" t="str">
        <f>'Reported burning'!A3809</f>
        <v>408c</v>
      </c>
      <c r="B3809" s="151" t="str">
        <f>'Reported burning'!B3809</f>
        <v>408c.2</v>
      </c>
      <c r="C3809" s="151" t="str">
        <f>'Reported burning'!C3809</f>
        <v>Human, escaped</v>
      </c>
      <c r="D3809" s="151" t="str">
        <f>'Reported burning'!D3809</f>
        <v>ND</v>
      </c>
      <c r="E3809" s="151" t="str">
        <f>'Reported burning'!E3809</f>
        <v>ND</v>
      </c>
      <c r="F3809" s="151" t="str">
        <f>'Reported burning'!F3809</f>
        <v>Forest</v>
      </c>
      <c r="G3809" s="151" t="str">
        <f>'Reported burning'!G3809</f>
        <v>Forest</v>
      </c>
      <c r="H3809" s="151" t="str">
        <f>'Reported burning'!H3809</f>
        <v>Presence</v>
      </c>
      <c r="I3809" s="5"/>
      <c r="J3809" s="71" t="s">
        <v>2272</v>
      </c>
      <c r="K3809" s="71" t="s">
        <v>2272</v>
      </c>
      <c r="L3809" s="71" t="s">
        <v>2272</v>
      </c>
      <c r="M3809" s="71" t="s">
        <v>2272</v>
      </c>
      <c r="N3809" s="71" t="s">
        <v>2272</v>
      </c>
      <c r="O3809" s="71" t="s">
        <v>2272</v>
      </c>
      <c r="P3809" s="71" t="s">
        <v>2272</v>
      </c>
      <c r="Q3809" s="71" t="s">
        <v>2272</v>
      </c>
      <c r="R3809" s="71" t="s">
        <v>2272</v>
      </c>
      <c r="S3809" s="71" t="s">
        <v>2272</v>
      </c>
      <c r="T3809" s="71" t="s">
        <v>2272</v>
      </c>
      <c r="U3809" s="71" t="s">
        <v>2272</v>
      </c>
      <c r="V3809" s="71" t="s">
        <v>2272</v>
      </c>
      <c r="W3809" s="71" t="s">
        <v>2272</v>
      </c>
      <c r="X3809" s="71" t="s">
        <v>2272</v>
      </c>
      <c r="Y3809" s="71" t="s">
        <v>2272</v>
      </c>
      <c r="Z3809" s="71" t="s">
        <v>2272</v>
      </c>
      <c r="AA3809" s="71" t="s">
        <v>2272</v>
      </c>
      <c r="AB3809" s="198"/>
      <c r="AC3809" s="198"/>
    </row>
    <row r="3810" spans="1:29" ht="42" customHeight="1">
      <c r="A3810" s="151" t="str">
        <f>'Reported burning'!A3810</f>
        <v>408d</v>
      </c>
      <c r="B3810" s="151" t="str">
        <f>'Reported burning'!B3810</f>
        <v>408d.2</v>
      </c>
      <c r="C3810" s="151" t="str">
        <f>'Reported burning'!C3810</f>
        <v>Human, escaped</v>
      </c>
      <c r="D3810" s="151" t="str">
        <f>'Reported burning'!D3810</f>
        <v>ND</v>
      </c>
      <c r="E3810" s="151" t="str">
        <f>'Reported burning'!E3810</f>
        <v>ND</v>
      </c>
      <c r="F3810" s="151" t="str">
        <f>'Reported burning'!F3810</f>
        <v>Forest</v>
      </c>
      <c r="G3810" s="151" t="str">
        <f>'Reported burning'!G3810</f>
        <v>Forest</v>
      </c>
      <c r="H3810" s="151" t="str">
        <f>'Reported burning'!H3810</f>
        <v>Presence</v>
      </c>
      <c r="I3810" s="5"/>
      <c r="J3810" s="71" t="s">
        <v>2272</v>
      </c>
      <c r="K3810" s="71" t="s">
        <v>2272</v>
      </c>
      <c r="L3810" s="71" t="s">
        <v>2272</v>
      </c>
      <c r="M3810" s="71" t="s">
        <v>2272</v>
      </c>
      <c r="N3810" s="71" t="s">
        <v>2272</v>
      </c>
      <c r="O3810" s="71" t="s">
        <v>2272</v>
      </c>
      <c r="P3810" s="71" t="s">
        <v>2272</v>
      </c>
      <c r="Q3810" s="71" t="s">
        <v>2272</v>
      </c>
      <c r="R3810" s="71" t="s">
        <v>2272</v>
      </c>
      <c r="S3810" s="71" t="s">
        <v>2272</v>
      </c>
      <c r="T3810" s="71" t="s">
        <v>2272</v>
      </c>
      <c r="U3810" s="71" t="s">
        <v>2272</v>
      </c>
      <c r="V3810" s="71" t="s">
        <v>2272</v>
      </c>
      <c r="W3810" s="71" t="s">
        <v>2272</v>
      </c>
      <c r="X3810" s="71" t="s">
        <v>2272</v>
      </c>
      <c r="Y3810" s="71" t="s">
        <v>2272</v>
      </c>
      <c r="Z3810" s="71" t="s">
        <v>2272</v>
      </c>
      <c r="AA3810" s="71" t="s">
        <v>2272</v>
      </c>
      <c r="AB3810" s="198"/>
      <c r="AC3810" s="198"/>
    </row>
    <row r="3811" spans="1:29" ht="42" customHeight="1">
      <c r="A3811" s="151" t="str">
        <f>'Reported burning'!A3811</f>
        <v>408e</v>
      </c>
      <c r="B3811" s="151" t="str">
        <f>'Reported burning'!B3811</f>
        <v>408e.2</v>
      </c>
      <c r="C3811" s="151" t="str">
        <f>'Reported burning'!C3811</f>
        <v>Human, escaped</v>
      </c>
      <c r="D3811" s="151" t="str">
        <f>'Reported burning'!D3811</f>
        <v>ND</v>
      </c>
      <c r="E3811" s="151" t="str">
        <f>'Reported burning'!E3811</f>
        <v>ND</v>
      </c>
      <c r="F3811" s="151" t="str">
        <f>'Reported burning'!F3811</f>
        <v>Forest</v>
      </c>
      <c r="G3811" s="151" t="str">
        <f>'Reported burning'!G3811</f>
        <v>Forest</v>
      </c>
      <c r="H3811" s="151" t="str">
        <f>'Reported burning'!H3811</f>
        <v>Presence</v>
      </c>
      <c r="I3811" s="5"/>
      <c r="J3811" s="71" t="s">
        <v>2272</v>
      </c>
      <c r="K3811" s="71" t="s">
        <v>2272</v>
      </c>
      <c r="L3811" s="71" t="s">
        <v>2272</v>
      </c>
      <c r="M3811" s="71" t="s">
        <v>2272</v>
      </c>
      <c r="N3811" s="71" t="s">
        <v>2272</v>
      </c>
      <c r="O3811" s="71" t="s">
        <v>2272</v>
      </c>
      <c r="P3811" s="71" t="s">
        <v>2272</v>
      </c>
      <c r="Q3811" s="71" t="s">
        <v>2272</v>
      </c>
      <c r="R3811" s="71" t="s">
        <v>2272</v>
      </c>
      <c r="S3811" s="71" t="s">
        <v>2272</v>
      </c>
      <c r="T3811" s="71" t="s">
        <v>2272</v>
      </c>
      <c r="U3811" s="71" t="s">
        <v>2272</v>
      </c>
      <c r="V3811" s="71" t="s">
        <v>2272</v>
      </c>
      <c r="W3811" s="71" t="s">
        <v>2272</v>
      </c>
      <c r="X3811" s="71" t="s">
        <v>2272</v>
      </c>
      <c r="Y3811" s="71" t="s">
        <v>2272</v>
      </c>
      <c r="Z3811" s="71" t="s">
        <v>2272</v>
      </c>
      <c r="AA3811" s="71" t="s">
        <v>2272</v>
      </c>
      <c r="AB3811" s="198"/>
      <c r="AC3811" s="198"/>
    </row>
    <row r="3812" spans="1:29" ht="42" customHeight="1">
      <c r="A3812" s="151" t="str">
        <f>'Reported burning'!A3812</f>
        <v>408f</v>
      </c>
      <c r="B3812" s="151" t="str">
        <f>'Reported burning'!B3812</f>
        <v>408f.2</v>
      </c>
      <c r="C3812" s="151" t="str">
        <f>'Reported burning'!C3812</f>
        <v>Human, escaped</v>
      </c>
      <c r="D3812" s="151" t="str">
        <f>'Reported burning'!D3812</f>
        <v>ND</v>
      </c>
      <c r="E3812" s="151" t="str">
        <f>'Reported burning'!E3812</f>
        <v>ND</v>
      </c>
      <c r="F3812" s="151" t="str">
        <f>'Reported burning'!F3812</f>
        <v>Forest</v>
      </c>
      <c r="G3812" s="151" t="str">
        <f>'Reported burning'!G3812</f>
        <v>Forest</v>
      </c>
      <c r="H3812" s="151" t="str">
        <f>'Reported burning'!H3812</f>
        <v>Presence</v>
      </c>
      <c r="I3812" s="5"/>
      <c r="J3812" s="71" t="s">
        <v>2272</v>
      </c>
      <c r="K3812" s="71" t="s">
        <v>2272</v>
      </c>
      <c r="L3812" s="71" t="s">
        <v>2272</v>
      </c>
      <c r="M3812" s="71" t="s">
        <v>2272</v>
      </c>
      <c r="N3812" s="71" t="s">
        <v>2272</v>
      </c>
      <c r="O3812" s="71" t="s">
        <v>2272</v>
      </c>
      <c r="P3812" s="71" t="s">
        <v>2272</v>
      </c>
      <c r="Q3812" s="71" t="s">
        <v>2272</v>
      </c>
      <c r="R3812" s="71" t="s">
        <v>2272</v>
      </c>
      <c r="S3812" s="71" t="s">
        <v>2272</v>
      </c>
      <c r="T3812" s="71" t="s">
        <v>2272</v>
      </c>
      <c r="U3812" s="71" t="s">
        <v>2272</v>
      </c>
      <c r="V3812" s="71" t="s">
        <v>2272</v>
      </c>
      <c r="W3812" s="71" t="s">
        <v>2272</v>
      </c>
      <c r="X3812" s="71" t="s">
        <v>2272</v>
      </c>
      <c r="Y3812" s="71" t="s">
        <v>2272</v>
      </c>
      <c r="Z3812" s="71" t="s">
        <v>2272</v>
      </c>
      <c r="AA3812" s="71" t="s">
        <v>2272</v>
      </c>
      <c r="AB3812" s="198"/>
      <c r="AC3812" s="198"/>
    </row>
    <row r="3813" spans="1:29" ht="42" customHeight="1">
      <c r="A3813" s="151" t="str">
        <f>'Reported burning'!A3813</f>
        <v>408g</v>
      </c>
      <c r="B3813" s="151" t="str">
        <f>'Reported burning'!B3813</f>
        <v>408g.2</v>
      </c>
      <c r="C3813" s="151" t="str">
        <f>'Reported burning'!C3813</f>
        <v>Human, escaped</v>
      </c>
      <c r="D3813" s="151" t="str">
        <f>'Reported burning'!D3813</f>
        <v>ND</v>
      </c>
      <c r="E3813" s="151" t="str">
        <f>'Reported burning'!E3813</f>
        <v>ND</v>
      </c>
      <c r="F3813" s="151" t="str">
        <f>'Reported burning'!F3813</f>
        <v>Forest</v>
      </c>
      <c r="G3813" s="151" t="str">
        <f>'Reported burning'!G3813</f>
        <v>Forest</v>
      </c>
      <c r="H3813" s="151" t="str">
        <f>'Reported burning'!H3813</f>
        <v>Presence</v>
      </c>
      <c r="I3813" s="5"/>
      <c r="J3813" s="71" t="s">
        <v>2272</v>
      </c>
      <c r="K3813" s="71" t="s">
        <v>2272</v>
      </c>
      <c r="L3813" s="71" t="s">
        <v>2272</v>
      </c>
      <c r="M3813" s="71" t="s">
        <v>2272</v>
      </c>
      <c r="N3813" s="71" t="s">
        <v>2272</v>
      </c>
      <c r="O3813" s="71" t="s">
        <v>2272</v>
      </c>
      <c r="P3813" s="71" t="s">
        <v>2272</v>
      </c>
      <c r="Q3813" s="71" t="s">
        <v>2272</v>
      </c>
      <c r="R3813" s="71" t="s">
        <v>2272</v>
      </c>
      <c r="S3813" s="71" t="s">
        <v>2272</v>
      </c>
      <c r="T3813" s="71" t="s">
        <v>2272</v>
      </c>
      <c r="U3813" s="71" t="s">
        <v>2272</v>
      </c>
      <c r="V3813" s="71" t="s">
        <v>2272</v>
      </c>
      <c r="W3813" s="71" t="s">
        <v>2272</v>
      </c>
      <c r="X3813" s="71" t="s">
        <v>2272</v>
      </c>
      <c r="Y3813" s="71" t="s">
        <v>2272</v>
      </c>
      <c r="Z3813" s="71" t="s">
        <v>2272</v>
      </c>
      <c r="AA3813" s="71" t="s">
        <v>2272</v>
      </c>
      <c r="AB3813" s="198"/>
      <c r="AC3813" s="198"/>
    </row>
    <row r="3814" spans="1:29" ht="42" customHeight="1">
      <c r="A3814" s="151" t="str">
        <f>'Reported burning'!A3814</f>
        <v>408h</v>
      </c>
      <c r="B3814" s="151" t="str">
        <f>'Reported burning'!B3814</f>
        <v>408h.2</v>
      </c>
      <c r="C3814" s="151" t="str">
        <f>'Reported burning'!C3814</f>
        <v>Human, escaped</v>
      </c>
      <c r="D3814" s="151" t="str">
        <f>'Reported burning'!D3814</f>
        <v>ND</v>
      </c>
      <c r="E3814" s="151" t="str">
        <f>'Reported burning'!E3814</f>
        <v>ND</v>
      </c>
      <c r="F3814" s="151" t="str">
        <f>'Reported burning'!F3814</f>
        <v>Forest</v>
      </c>
      <c r="G3814" s="151" t="str">
        <f>'Reported burning'!G3814</f>
        <v>Forest</v>
      </c>
      <c r="H3814" s="151" t="str">
        <f>'Reported burning'!H3814</f>
        <v>Presence</v>
      </c>
      <c r="I3814" s="5"/>
      <c r="J3814" s="71" t="s">
        <v>2272</v>
      </c>
      <c r="K3814" s="71" t="s">
        <v>2272</v>
      </c>
      <c r="L3814" s="71" t="s">
        <v>2272</v>
      </c>
      <c r="M3814" s="71" t="s">
        <v>2272</v>
      </c>
      <c r="N3814" s="71" t="s">
        <v>2272</v>
      </c>
      <c r="O3814" s="71" t="s">
        <v>2272</v>
      </c>
      <c r="P3814" s="71" t="s">
        <v>2272</v>
      </c>
      <c r="Q3814" s="71" t="s">
        <v>2272</v>
      </c>
      <c r="R3814" s="71" t="s">
        <v>2272</v>
      </c>
      <c r="S3814" s="71" t="s">
        <v>2272</v>
      </c>
      <c r="T3814" s="71" t="s">
        <v>2272</v>
      </c>
      <c r="U3814" s="71" t="s">
        <v>2272</v>
      </c>
      <c r="V3814" s="71" t="s">
        <v>2272</v>
      </c>
      <c r="W3814" s="71" t="s">
        <v>2272</v>
      </c>
      <c r="X3814" s="71" t="s">
        <v>2272</v>
      </c>
      <c r="Y3814" s="71" t="s">
        <v>2272</v>
      </c>
      <c r="Z3814" s="71" t="s">
        <v>2272</v>
      </c>
      <c r="AA3814" s="71" t="s">
        <v>2272</v>
      </c>
      <c r="AB3814" s="198"/>
      <c r="AC3814" s="198"/>
    </row>
    <row r="3815" spans="1:29" ht="42" customHeight="1">
      <c r="A3815" s="151" t="str">
        <f>'Reported burning'!A3815</f>
        <v>408i</v>
      </c>
      <c r="B3815" s="151" t="str">
        <f>'Reported burning'!B3815</f>
        <v>408i.2</v>
      </c>
      <c r="C3815" s="151" t="str">
        <f>'Reported burning'!C3815</f>
        <v>Human, escaped</v>
      </c>
      <c r="D3815" s="151" t="str">
        <f>'Reported burning'!D3815</f>
        <v>ND</v>
      </c>
      <c r="E3815" s="151" t="str">
        <f>'Reported burning'!E3815</f>
        <v>ND</v>
      </c>
      <c r="F3815" s="151" t="str">
        <f>'Reported burning'!F3815</f>
        <v>Forest</v>
      </c>
      <c r="G3815" s="151" t="str">
        <f>'Reported burning'!G3815</f>
        <v>Forest</v>
      </c>
      <c r="H3815" s="151" t="str">
        <f>'Reported burning'!H3815</f>
        <v>Presence</v>
      </c>
      <c r="I3815" s="5"/>
      <c r="J3815" s="71" t="s">
        <v>2272</v>
      </c>
      <c r="K3815" s="71" t="s">
        <v>2272</v>
      </c>
      <c r="L3815" s="71" t="s">
        <v>2272</v>
      </c>
      <c r="M3815" s="71" t="s">
        <v>2272</v>
      </c>
      <c r="N3815" s="71" t="s">
        <v>2272</v>
      </c>
      <c r="O3815" s="71" t="s">
        <v>2272</v>
      </c>
      <c r="P3815" s="71" t="s">
        <v>2272</v>
      </c>
      <c r="Q3815" s="71" t="s">
        <v>2272</v>
      </c>
      <c r="R3815" s="71" t="s">
        <v>2272</v>
      </c>
      <c r="S3815" s="71" t="s">
        <v>2272</v>
      </c>
      <c r="T3815" s="71" t="s">
        <v>2272</v>
      </c>
      <c r="U3815" s="71" t="s">
        <v>2272</v>
      </c>
      <c r="V3815" s="71" t="s">
        <v>2272</v>
      </c>
      <c r="W3815" s="71" t="s">
        <v>2272</v>
      </c>
      <c r="X3815" s="71" t="s">
        <v>2272</v>
      </c>
      <c r="Y3815" s="71" t="s">
        <v>2272</v>
      </c>
      <c r="Z3815" s="71" t="s">
        <v>2272</v>
      </c>
      <c r="AA3815" s="71" t="s">
        <v>2272</v>
      </c>
      <c r="AB3815" s="198"/>
      <c r="AC3815" s="198"/>
    </row>
    <row r="3816" spans="1:29" ht="42" customHeight="1">
      <c r="A3816" s="151" t="str">
        <f>'Reported burning'!A3816</f>
        <v>408j</v>
      </c>
      <c r="B3816" s="151" t="str">
        <f>'Reported burning'!B3816</f>
        <v>408j.2</v>
      </c>
      <c r="C3816" s="151" t="str">
        <f>'Reported burning'!C3816</f>
        <v>Human, escaped</v>
      </c>
      <c r="D3816" s="151" t="str">
        <f>'Reported burning'!D3816</f>
        <v>ND</v>
      </c>
      <c r="E3816" s="151" t="str">
        <f>'Reported burning'!E3816</f>
        <v>ND</v>
      </c>
      <c r="F3816" s="151" t="str">
        <f>'Reported burning'!F3816</f>
        <v>Forest</v>
      </c>
      <c r="G3816" s="151" t="str">
        <f>'Reported burning'!G3816</f>
        <v>Forest</v>
      </c>
      <c r="H3816" s="151" t="str">
        <f>'Reported burning'!H3816</f>
        <v>Presence</v>
      </c>
      <c r="I3816" s="5"/>
      <c r="J3816" s="71" t="s">
        <v>2272</v>
      </c>
      <c r="K3816" s="71" t="s">
        <v>2272</v>
      </c>
      <c r="L3816" s="71" t="s">
        <v>2272</v>
      </c>
      <c r="M3816" s="71" t="s">
        <v>2272</v>
      </c>
      <c r="N3816" s="71" t="s">
        <v>2272</v>
      </c>
      <c r="O3816" s="71" t="s">
        <v>2272</v>
      </c>
      <c r="P3816" s="71" t="s">
        <v>2272</v>
      </c>
      <c r="Q3816" s="71" t="s">
        <v>2272</v>
      </c>
      <c r="R3816" s="71" t="s">
        <v>2272</v>
      </c>
      <c r="S3816" s="71" t="s">
        <v>2272</v>
      </c>
      <c r="T3816" s="71" t="s">
        <v>2272</v>
      </c>
      <c r="U3816" s="71" t="s">
        <v>2272</v>
      </c>
      <c r="V3816" s="71" t="s">
        <v>2272</v>
      </c>
      <c r="W3816" s="71" t="s">
        <v>2272</v>
      </c>
      <c r="X3816" s="71" t="s">
        <v>2272</v>
      </c>
      <c r="Y3816" s="71" t="s">
        <v>2272</v>
      </c>
      <c r="Z3816" s="71" t="s">
        <v>2272</v>
      </c>
      <c r="AA3816" s="71" t="s">
        <v>2272</v>
      </c>
      <c r="AB3816" s="198"/>
      <c r="AC3816" s="198"/>
    </row>
    <row r="3817" spans="1:29" ht="42" customHeight="1">
      <c r="A3817" s="151" t="str">
        <f>'Reported burning'!A3817</f>
        <v>408k</v>
      </c>
      <c r="B3817" s="151" t="str">
        <f>'Reported burning'!B3817</f>
        <v>408k.2</v>
      </c>
      <c r="C3817" s="151" t="str">
        <f>'Reported burning'!C3817</f>
        <v>Human, escaped</v>
      </c>
      <c r="D3817" s="151" t="str">
        <f>'Reported burning'!D3817</f>
        <v>ND</v>
      </c>
      <c r="E3817" s="151" t="str">
        <f>'Reported burning'!E3817</f>
        <v>ND</v>
      </c>
      <c r="F3817" s="151" t="str">
        <f>'Reported burning'!F3817</f>
        <v>Forest</v>
      </c>
      <c r="G3817" s="151" t="str">
        <f>'Reported burning'!G3817</f>
        <v>Forest</v>
      </c>
      <c r="H3817" s="151" t="str">
        <f>'Reported burning'!H3817</f>
        <v>Presence</v>
      </c>
      <c r="I3817" s="5"/>
      <c r="J3817" s="71" t="s">
        <v>2272</v>
      </c>
      <c r="K3817" s="71" t="s">
        <v>2272</v>
      </c>
      <c r="L3817" s="71" t="s">
        <v>2272</v>
      </c>
      <c r="M3817" s="71" t="s">
        <v>2272</v>
      </c>
      <c r="N3817" s="71" t="s">
        <v>2272</v>
      </c>
      <c r="O3817" s="71" t="s">
        <v>2272</v>
      </c>
      <c r="P3817" s="71" t="s">
        <v>2272</v>
      </c>
      <c r="Q3817" s="71" t="s">
        <v>2272</v>
      </c>
      <c r="R3817" s="71" t="s">
        <v>2272</v>
      </c>
      <c r="S3817" s="71" t="s">
        <v>2272</v>
      </c>
      <c r="T3817" s="71" t="s">
        <v>2272</v>
      </c>
      <c r="U3817" s="71" t="s">
        <v>2272</v>
      </c>
      <c r="V3817" s="71" t="s">
        <v>2272</v>
      </c>
      <c r="W3817" s="71" t="s">
        <v>2272</v>
      </c>
      <c r="X3817" s="71" t="s">
        <v>2272</v>
      </c>
      <c r="Y3817" s="71" t="s">
        <v>2272</v>
      </c>
      <c r="Z3817" s="71" t="s">
        <v>2272</v>
      </c>
      <c r="AA3817" s="71" t="s">
        <v>2272</v>
      </c>
      <c r="AB3817" s="198"/>
      <c r="AC3817" s="198"/>
    </row>
    <row r="3818" spans="1:29" ht="42" customHeight="1">
      <c r="A3818" s="151" t="str">
        <f>'Reported burning'!A3818</f>
        <v>408l</v>
      </c>
      <c r="B3818" s="151" t="str">
        <f>'Reported burning'!B3818</f>
        <v>408l.2</v>
      </c>
      <c r="C3818" s="151" t="str">
        <f>'Reported burning'!C3818</f>
        <v>Human, escaped</v>
      </c>
      <c r="D3818" s="151" t="str">
        <f>'Reported burning'!D3818</f>
        <v>ND</v>
      </c>
      <c r="E3818" s="151" t="str">
        <f>'Reported burning'!E3818</f>
        <v>ND</v>
      </c>
      <c r="F3818" s="151" t="str">
        <f>'Reported burning'!F3818</f>
        <v>Forest</v>
      </c>
      <c r="G3818" s="151" t="str">
        <f>'Reported burning'!G3818</f>
        <v>Forest</v>
      </c>
      <c r="H3818" s="151" t="str">
        <f>'Reported burning'!H3818</f>
        <v>Presence</v>
      </c>
      <c r="I3818" s="5"/>
      <c r="J3818" s="71" t="s">
        <v>2272</v>
      </c>
      <c r="K3818" s="71" t="s">
        <v>2272</v>
      </c>
      <c r="L3818" s="71" t="s">
        <v>2272</v>
      </c>
      <c r="M3818" s="71" t="s">
        <v>2272</v>
      </c>
      <c r="N3818" s="71" t="s">
        <v>2272</v>
      </c>
      <c r="O3818" s="71" t="s">
        <v>2272</v>
      </c>
      <c r="P3818" s="71" t="s">
        <v>2272</v>
      </c>
      <c r="Q3818" s="71" t="s">
        <v>2272</v>
      </c>
      <c r="R3818" s="71" t="s">
        <v>2272</v>
      </c>
      <c r="S3818" s="71" t="s">
        <v>2272</v>
      </c>
      <c r="T3818" s="71" t="s">
        <v>2272</v>
      </c>
      <c r="U3818" s="71" t="s">
        <v>2272</v>
      </c>
      <c r="V3818" s="71" t="s">
        <v>2272</v>
      </c>
      <c r="W3818" s="71" t="s">
        <v>2272</v>
      </c>
      <c r="X3818" s="71" t="s">
        <v>2272</v>
      </c>
      <c r="Y3818" s="71" t="s">
        <v>2272</v>
      </c>
      <c r="Z3818" s="71" t="s">
        <v>2272</v>
      </c>
      <c r="AA3818" s="71" t="s">
        <v>2272</v>
      </c>
      <c r="AB3818" s="198"/>
      <c r="AC3818" s="198"/>
    </row>
    <row r="3819" spans="1:29" ht="42" customHeight="1">
      <c r="A3819" s="151" t="str">
        <f>'Reported burning'!A3819</f>
        <v>408m</v>
      </c>
      <c r="B3819" s="151" t="str">
        <f>'Reported burning'!B3819</f>
        <v>408m.2</v>
      </c>
      <c r="C3819" s="151" t="str">
        <f>'Reported burning'!C3819</f>
        <v>Human, escaped</v>
      </c>
      <c r="D3819" s="151" t="str">
        <f>'Reported burning'!D3819</f>
        <v>ND</v>
      </c>
      <c r="E3819" s="151" t="str">
        <f>'Reported burning'!E3819</f>
        <v>ND</v>
      </c>
      <c r="F3819" s="151" t="str">
        <f>'Reported burning'!F3819</f>
        <v>Forest</v>
      </c>
      <c r="G3819" s="151" t="str">
        <f>'Reported burning'!G3819</f>
        <v>Forest</v>
      </c>
      <c r="H3819" s="151" t="str">
        <f>'Reported burning'!H3819</f>
        <v>Presence</v>
      </c>
      <c r="I3819" s="5"/>
      <c r="J3819" s="71" t="s">
        <v>2272</v>
      </c>
      <c r="K3819" s="71" t="s">
        <v>2272</v>
      </c>
      <c r="L3819" s="71" t="s">
        <v>2272</v>
      </c>
      <c r="M3819" s="71" t="s">
        <v>2272</v>
      </c>
      <c r="N3819" s="71" t="s">
        <v>2272</v>
      </c>
      <c r="O3819" s="71" t="s">
        <v>2272</v>
      </c>
      <c r="P3819" s="71" t="s">
        <v>2272</v>
      </c>
      <c r="Q3819" s="71" t="s">
        <v>2272</v>
      </c>
      <c r="R3819" s="71" t="s">
        <v>2272</v>
      </c>
      <c r="S3819" s="71" t="s">
        <v>2272</v>
      </c>
      <c r="T3819" s="71" t="s">
        <v>2272</v>
      </c>
      <c r="U3819" s="71" t="s">
        <v>2272</v>
      </c>
      <c r="V3819" s="71" t="s">
        <v>2272</v>
      </c>
      <c r="W3819" s="71" t="s">
        <v>2272</v>
      </c>
      <c r="X3819" s="71" t="s">
        <v>2272</v>
      </c>
      <c r="Y3819" s="71" t="s">
        <v>2272</v>
      </c>
      <c r="Z3819" s="71" t="s">
        <v>2272</v>
      </c>
      <c r="AA3819" s="71" t="s">
        <v>2272</v>
      </c>
      <c r="AB3819" s="198"/>
      <c r="AC3819" s="198"/>
    </row>
    <row r="3820" spans="1:29" ht="42" customHeight="1">
      <c r="A3820" s="151" t="str">
        <f>'Reported burning'!A3820</f>
        <v>408n</v>
      </c>
      <c r="B3820" s="151" t="str">
        <f>'Reported burning'!B3820</f>
        <v>408n.2</v>
      </c>
      <c r="C3820" s="151" t="str">
        <f>'Reported burning'!C3820</f>
        <v>Human, escaped</v>
      </c>
      <c r="D3820" s="151" t="str">
        <f>'Reported burning'!D3820</f>
        <v>ND</v>
      </c>
      <c r="E3820" s="151" t="str">
        <f>'Reported burning'!E3820</f>
        <v>ND</v>
      </c>
      <c r="F3820" s="151" t="str">
        <f>'Reported burning'!F3820</f>
        <v>Forest</v>
      </c>
      <c r="G3820" s="151" t="str">
        <f>'Reported burning'!G3820</f>
        <v>Forest</v>
      </c>
      <c r="H3820" s="151" t="str">
        <f>'Reported burning'!H3820</f>
        <v>Presence</v>
      </c>
      <c r="I3820" s="5"/>
      <c r="J3820" s="71" t="s">
        <v>2272</v>
      </c>
      <c r="K3820" s="71" t="s">
        <v>2272</v>
      </c>
      <c r="L3820" s="71" t="s">
        <v>2272</v>
      </c>
      <c r="M3820" s="71" t="s">
        <v>2272</v>
      </c>
      <c r="N3820" s="71" t="s">
        <v>2272</v>
      </c>
      <c r="O3820" s="71" t="s">
        <v>2272</v>
      </c>
      <c r="P3820" s="71" t="s">
        <v>2272</v>
      </c>
      <c r="Q3820" s="71" t="s">
        <v>2272</v>
      </c>
      <c r="R3820" s="71" t="s">
        <v>2272</v>
      </c>
      <c r="S3820" s="71" t="s">
        <v>2272</v>
      </c>
      <c r="T3820" s="71" t="s">
        <v>2272</v>
      </c>
      <c r="U3820" s="71" t="s">
        <v>2272</v>
      </c>
      <c r="V3820" s="71" t="s">
        <v>2272</v>
      </c>
      <c r="W3820" s="71" t="s">
        <v>2272</v>
      </c>
      <c r="X3820" s="71" t="s">
        <v>2272</v>
      </c>
      <c r="Y3820" s="71" t="s">
        <v>2272</v>
      </c>
      <c r="Z3820" s="71" t="s">
        <v>2272</v>
      </c>
      <c r="AA3820" s="71" t="s">
        <v>2272</v>
      </c>
      <c r="AB3820" s="198"/>
      <c r="AC3820" s="198"/>
    </row>
    <row r="3821" spans="1:29" ht="42" customHeight="1">
      <c r="A3821" s="151" t="str">
        <f>'Reported burning'!A3821</f>
        <v>408o</v>
      </c>
      <c r="B3821" s="151" t="str">
        <f>'Reported burning'!B3821</f>
        <v>408o.2</v>
      </c>
      <c r="C3821" s="151" t="str">
        <f>'Reported burning'!C3821</f>
        <v>Human, escaped</v>
      </c>
      <c r="D3821" s="151" t="str">
        <f>'Reported burning'!D3821</f>
        <v>ND</v>
      </c>
      <c r="E3821" s="151" t="str">
        <f>'Reported burning'!E3821</f>
        <v>ND</v>
      </c>
      <c r="F3821" s="151" t="str">
        <f>'Reported burning'!F3821</f>
        <v>Forest</v>
      </c>
      <c r="G3821" s="151" t="str">
        <f>'Reported burning'!G3821</f>
        <v>Forest</v>
      </c>
      <c r="H3821" s="151" t="str">
        <f>'Reported burning'!H3821</f>
        <v>Absence</v>
      </c>
      <c r="I3821" s="5"/>
      <c r="J3821" s="21">
        <v>0</v>
      </c>
      <c r="K3821" s="21">
        <v>0</v>
      </c>
      <c r="L3821" s="21">
        <v>0</v>
      </c>
      <c r="M3821" s="21">
        <v>0</v>
      </c>
      <c r="N3821" s="21">
        <v>0</v>
      </c>
      <c r="O3821" s="21">
        <v>0</v>
      </c>
      <c r="P3821" s="21">
        <v>0</v>
      </c>
      <c r="Q3821" s="21">
        <v>0</v>
      </c>
      <c r="R3821" s="21">
        <v>0</v>
      </c>
      <c r="S3821" s="21">
        <v>0</v>
      </c>
      <c r="T3821" s="21">
        <v>0</v>
      </c>
      <c r="U3821" s="21">
        <v>0</v>
      </c>
      <c r="V3821" s="21">
        <v>0</v>
      </c>
      <c r="W3821" s="21">
        <v>0</v>
      </c>
      <c r="X3821" s="71" t="s">
        <v>2272</v>
      </c>
      <c r="Y3821" s="71" t="s">
        <v>2272</v>
      </c>
      <c r="Z3821" s="71" t="s">
        <v>2272</v>
      </c>
      <c r="AA3821" s="71" t="s">
        <v>2272</v>
      </c>
      <c r="AB3821" s="198"/>
      <c r="AC3821" s="198"/>
    </row>
    <row r="3822" spans="1:29" ht="42" customHeight="1">
      <c r="A3822" s="151" t="str">
        <f>'Reported burning'!A3822</f>
        <v>408p</v>
      </c>
      <c r="B3822" s="151" t="str">
        <f>'Reported burning'!B3822</f>
        <v>408p.2</v>
      </c>
      <c r="C3822" s="151" t="str">
        <f>'Reported burning'!C3822</f>
        <v>Human, escaped</v>
      </c>
      <c r="D3822" s="151" t="str">
        <f>'Reported burning'!D3822</f>
        <v>ND</v>
      </c>
      <c r="E3822" s="151" t="str">
        <f>'Reported burning'!E3822</f>
        <v>ND</v>
      </c>
      <c r="F3822" s="151" t="str">
        <f>'Reported burning'!F3822</f>
        <v>Forest</v>
      </c>
      <c r="G3822" s="151" t="str">
        <f>'Reported burning'!G3822</f>
        <v>Forest</v>
      </c>
      <c r="H3822" s="151" t="str">
        <f>'Reported burning'!H3822</f>
        <v>Presence</v>
      </c>
      <c r="I3822" s="5"/>
      <c r="J3822" s="71" t="s">
        <v>2272</v>
      </c>
      <c r="K3822" s="71" t="s">
        <v>2272</v>
      </c>
      <c r="L3822" s="71" t="s">
        <v>2272</v>
      </c>
      <c r="M3822" s="71" t="s">
        <v>2272</v>
      </c>
      <c r="N3822" s="71" t="s">
        <v>2272</v>
      </c>
      <c r="O3822" s="71" t="s">
        <v>2272</v>
      </c>
      <c r="P3822" s="71" t="s">
        <v>2272</v>
      </c>
      <c r="Q3822" s="71" t="s">
        <v>2272</v>
      </c>
      <c r="R3822" s="71" t="s">
        <v>2272</v>
      </c>
      <c r="S3822" s="71" t="s">
        <v>2272</v>
      </c>
      <c r="T3822" s="71" t="s">
        <v>2272</v>
      </c>
      <c r="U3822" s="71" t="s">
        <v>2272</v>
      </c>
      <c r="V3822" s="71" t="s">
        <v>2272</v>
      </c>
      <c r="W3822" s="71" t="s">
        <v>2272</v>
      </c>
      <c r="X3822" s="71" t="s">
        <v>2272</v>
      </c>
      <c r="Y3822" s="71" t="s">
        <v>2272</v>
      </c>
      <c r="Z3822" s="71" t="s">
        <v>2272</v>
      </c>
      <c r="AA3822" s="71" t="s">
        <v>2272</v>
      </c>
      <c r="AB3822" s="198"/>
      <c r="AC3822" s="198"/>
    </row>
    <row r="3823" spans="1:29" ht="42" customHeight="1">
      <c r="A3823" s="151" t="str">
        <f>'Reported burning'!A3823</f>
        <v>408q</v>
      </c>
      <c r="B3823" s="151" t="str">
        <f>'Reported burning'!B3823</f>
        <v>408q.2</v>
      </c>
      <c r="C3823" s="151" t="str">
        <f>'Reported burning'!C3823</f>
        <v>Human, escaped</v>
      </c>
      <c r="D3823" s="151" t="str">
        <f>'Reported burning'!D3823</f>
        <v>ND</v>
      </c>
      <c r="E3823" s="151" t="str">
        <f>'Reported burning'!E3823</f>
        <v>ND</v>
      </c>
      <c r="F3823" s="151" t="str">
        <f>'Reported burning'!F3823</f>
        <v>Forest</v>
      </c>
      <c r="G3823" s="151" t="str">
        <f>'Reported burning'!G3823</f>
        <v>Forest</v>
      </c>
      <c r="H3823" s="151" t="str">
        <f>'Reported burning'!H3823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21">
        <v>0</v>
      </c>
      <c r="X3823" s="71" t="s">
        <v>2272</v>
      </c>
      <c r="Y3823" s="71" t="s">
        <v>2272</v>
      </c>
      <c r="Z3823" s="71" t="s">
        <v>2272</v>
      </c>
      <c r="AA3823" s="71" t="s">
        <v>2272</v>
      </c>
      <c r="AB3823" s="198"/>
      <c r="AC3823" s="198"/>
    </row>
    <row r="3824" spans="1:29" ht="42" customHeight="1">
      <c r="A3824" s="151" t="str">
        <f>'Reported burning'!A3824</f>
        <v>408r</v>
      </c>
      <c r="B3824" s="151" t="str">
        <f>'Reported burning'!B3824</f>
        <v>408r.2</v>
      </c>
      <c r="C3824" s="151" t="str">
        <f>'Reported burning'!C3824</f>
        <v>Human, escaped</v>
      </c>
      <c r="D3824" s="151" t="str">
        <f>'Reported burning'!D3824</f>
        <v>ND</v>
      </c>
      <c r="E3824" s="151" t="str">
        <f>'Reported burning'!E3824</f>
        <v>ND</v>
      </c>
      <c r="F3824" s="151" t="str">
        <f>'Reported burning'!F3824</f>
        <v>Forest</v>
      </c>
      <c r="G3824" s="151" t="str">
        <f>'Reported burning'!G3824</f>
        <v>Forest</v>
      </c>
      <c r="H3824" s="151" t="str">
        <f>'Reported burning'!H3824</f>
        <v>Presence</v>
      </c>
      <c r="I3824" s="5"/>
      <c r="J3824" s="71" t="s">
        <v>2272</v>
      </c>
      <c r="K3824" s="71" t="s">
        <v>2272</v>
      </c>
      <c r="L3824" s="71" t="s">
        <v>2272</v>
      </c>
      <c r="M3824" s="71" t="s">
        <v>2272</v>
      </c>
      <c r="N3824" s="71" t="s">
        <v>2272</v>
      </c>
      <c r="O3824" s="71" t="s">
        <v>2272</v>
      </c>
      <c r="P3824" s="71" t="s">
        <v>2272</v>
      </c>
      <c r="Q3824" s="71" t="s">
        <v>2272</v>
      </c>
      <c r="R3824" s="71" t="s">
        <v>2272</v>
      </c>
      <c r="S3824" s="71" t="s">
        <v>2272</v>
      </c>
      <c r="T3824" s="71" t="s">
        <v>2272</v>
      </c>
      <c r="U3824" s="71" t="s">
        <v>2272</v>
      </c>
      <c r="V3824" s="71" t="s">
        <v>2272</v>
      </c>
      <c r="W3824" s="71" t="s">
        <v>2272</v>
      </c>
      <c r="X3824" s="71" t="s">
        <v>2272</v>
      </c>
      <c r="Y3824" s="71" t="s">
        <v>2272</v>
      </c>
      <c r="Z3824" s="71" t="s">
        <v>2272</v>
      </c>
      <c r="AA3824" s="71" t="s">
        <v>2272</v>
      </c>
      <c r="AB3824" s="198"/>
      <c r="AC3824" s="198"/>
    </row>
    <row r="3825" spans="1:29" ht="42" customHeight="1">
      <c r="A3825" s="151" t="str">
        <f>'Reported burning'!A3825</f>
        <v>408s</v>
      </c>
      <c r="B3825" s="151" t="str">
        <f>'Reported burning'!B3825</f>
        <v>408s.2</v>
      </c>
      <c r="C3825" s="151" t="str">
        <f>'Reported burning'!C3825</f>
        <v>Human, escaped</v>
      </c>
      <c r="D3825" s="151" t="str">
        <f>'Reported burning'!D3825</f>
        <v>ND</v>
      </c>
      <c r="E3825" s="151" t="str">
        <f>'Reported burning'!E3825</f>
        <v>ND</v>
      </c>
      <c r="F3825" s="151" t="str">
        <f>'Reported burning'!F3825</f>
        <v>Forest</v>
      </c>
      <c r="G3825" s="151" t="str">
        <f>'Reported burning'!G3825</f>
        <v>Forest</v>
      </c>
      <c r="H3825" s="151" t="str">
        <f>'Reported burning'!H3825</f>
        <v>Absence</v>
      </c>
      <c r="I3825" s="5"/>
      <c r="J3825" s="21">
        <v>0</v>
      </c>
      <c r="K3825" s="21">
        <v>0</v>
      </c>
      <c r="L3825" s="21">
        <v>0</v>
      </c>
      <c r="M3825" s="21">
        <v>0</v>
      </c>
      <c r="N3825" s="21">
        <v>0</v>
      </c>
      <c r="O3825" s="21">
        <v>0</v>
      </c>
      <c r="P3825" s="21">
        <v>0</v>
      </c>
      <c r="Q3825" s="21">
        <v>0</v>
      </c>
      <c r="R3825" s="21">
        <v>0</v>
      </c>
      <c r="S3825" s="21">
        <v>0</v>
      </c>
      <c r="T3825" s="21">
        <v>0</v>
      </c>
      <c r="U3825" s="21">
        <v>0</v>
      </c>
      <c r="V3825" s="21">
        <v>0</v>
      </c>
      <c r="W3825" s="21">
        <v>0</v>
      </c>
      <c r="X3825" s="71" t="s">
        <v>2272</v>
      </c>
      <c r="Y3825" s="71" t="s">
        <v>2272</v>
      </c>
      <c r="Z3825" s="71" t="s">
        <v>2272</v>
      </c>
      <c r="AA3825" s="71" t="s">
        <v>2272</v>
      </c>
      <c r="AB3825" s="198"/>
      <c r="AC3825" s="198"/>
    </row>
    <row r="3826" spans="1:29" ht="42" customHeight="1">
      <c r="A3826" s="151" t="str">
        <f>'Reported burning'!A3826</f>
        <v>408a</v>
      </c>
      <c r="B3826" s="151" t="str">
        <f>'Reported burning'!B3826</f>
        <v>408a.3</v>
      </c>
      <c r="C3826" s="151" t="str">
        <f>'Reported burning'!C3826</f>
        <v>Human, deliberate</v>
      </c>
      <c r="D3826" s="151" t="str">
        <f>'Reported burning'!D3826</f>
        <v>Crop field preparation</v>
      </c>
      <c r="E3826" s="151" t="str">
        <f>'Reported burning'!E3826</f>
        <v>Cropping, Swidden</v>
      </c>
      <c r="F3826" s="151" t="str">
        <f>'Reported burning'!F3826</f>
        <v>Secondary vegetation</v>
      </c>
      <c r="G3826" s="151" t="str">
        <f>'Reported burning'!G3826</f>
        <v>Secondary vegetation</v>
      </c>
      <c r="H3826" s="151" t="str">
        <f>'Reported burning'!H3826</f>
        <v>Presence</v>
      </c>
      <c r="I3826" s="5"/>
      <c r="J3826" s="71" t="s">
        <v>2272</v>
      </c>
      <c r="K3826" s="71" t="s">
        <v>2272</v>
      </c>
      <c r="L3826" s="71" t="s">
        <v>2272</v>
      </c>
      <c r="M3826" s="71" t="s">
        <v>2272</v>
      </c>
      <c r="N3826" s="71" t="s">
        <v>2272</v>
      </c>
      <c r="O3826" s="71" t="s">
        <v>2272</v>
      </c>
      <c r="P3826" s="71" t="s">
        <v>2272</v>
      </c>
      <c r="Q3826" s="71" t="s">
        <v>2272</v>
      </c>
      <c r="R3826" s="71" t="s">
        <v>2272</v>
      </c>
      <c r="S3826" s="71" t="s">
        <v>2272</v>
      </c>
      <c r="T3826" s="71" t="s">
        <v>2272</v>
      </c>
      <c r="U3826" s="71" t="s">
        <v>2272</v>
      </c>
      <c r="V3826" s="71" t="s">
        <v>2272</v>
      </c>
      <c r="W3826" s="71" t="s">
        <v>2272</v>
      </c>
      <c r="X3826" s="71" t="s">
        <v>2272</v>
      </c>
      <c r="Y3826" s="71" t="s">
        <v>2272</v>
      </c>
      <c r="Z3826" s="71" t="s">
        <v>2272</v>
      </c>
      <c r="AA3826" s="71" t="s">
        <v>2272</v>
      </c>
      <c r="AB3826" s="198"/>
      <c r="AC3826" s="198"/>
    </row>
    <row r="3827" spans="1:29" ht="42" customHeight="1">
      <c r="A3827" s="151" t="str">
        <f>'Reported burning'!A3827</f>
        <v>408b</v>
      </c>
      <c r="B3827" s="151" t="str">
        <f>'Reported burning'!B3827</f>
        <v>408b.3</v>
      </c>
      <c r="C3827" s="151" t="str">
        <f>'Reported burning'!C3827</f>
        <v>Human, deliberate</v>
      </c>
      <c r="D3827" s="151" t="str">
        <f>'Reported burning'!D3827</f>
        <v>Crop field preparation</v>
      </c>
      <c r="E3827" s="151" t="str">
        <f>'Reported burning'!E3827</f>
        <v>Cropping, Swidden</v>
      </c>
      <c r="F3827" s="151" t="str">
        <f>'Reported burning'!F3827</f>
        <v>Secondary vegetation</v>
      </c>
      <c r="G3827" s="151" t="str">
        <f>'Reported burning'!G3827</f>
        <v>Secondary vegetation</v>
      </c>
      <c r="H3827" s="151" t="str">
        <f>'Reported burning'!H3827</f>
        <v>Presence</v>
      </c>
      <c r="I3827" s="5"/>
      <c r="J3827" s="71" t="s">
        <v>2272</v>
      </c>
      <c r="K3827" s="71" t="s">
        <v>2272</v>
      </c>
      <c r="L3827" s="71" t="s">
        <v>2272</v>
      </c>
      <c r="M3827" s="71" t="s">
        <v>2272</v>
      </c>
      <c r="N3827" s="71" t="s">
        <v>2272</v>
      </c>
      <c r="O3827" s="71" t="s">
        <v>2272</v>
      </c>
      <c r="P3827" s="71" t="s">
        <v>2272</v>
      </c>
      <c r="Q3827" s="71" t="s">
        <v>2272</v>
      </c>
      <c r="R3827" s="71" t="s">
        <v>2272</v>
      </c>
      <c r="S3827" s="71" t="s">
        <v>2272</v>
      </c>
      <c r="T3827" s="71" t="s">
        <v>2272</v>
      </c>
      <c r="U3827" s="71" t="s">
        <v>2272</v>
      </c>
      <c r="V3827" s="71" t="s">
        <v>2272</v>
      </c>
      <c r="W3827" s="71" t="s">
        <v>2272</v>
      </c>
      <c r="X3827" s="71" t="s">
        <v>2272</v>
      </c>
      <c r="Y3827" s="71" t="s">
        <v>2272</v>
      </c>
      <c r="Z3827" s="71" t="s">
        <v>2272</v>
      </c>
      <c r="AA3827" s="71" t="s">
        <v>2272</v>
      </c>
      <c r="AB3827" s="198"/>
      <c r="AC3827" s="198"/>
    </row>
    <row r="3828" spans="1:29" ht="42" customHeight="1">
      <c r="A3828" s="151" t="str">
        <f>'Reported burning'!A3828</f>
        <v>408c</v>
      </c>
      <c r="B3828" s="151" t="str">
        <f>'Reported burning'!B3828</f>
        <v>408c.3</v>
      </c>
      <c r="C3828" s="151" t="str">
        <f>'Reported burning'!C3828</f>
        <v>Human, deliberate</v>
      </c>
      <c r="D3828" s="151" t="str">
        <f>'Reported burning'!D3828</f>
        <v>Crop field preparation</v>
      </c>
      <c r="E3828" s="151" t="str">
        <f>'Reported burning'!E3828</f>
        <v>Cropping, Swidden</v>
      </c>
      <c r="F3828" s="151" t="str">
        <f>'Reported burning'!F3828</f>
        <v>Secondary vegetation</v>
      </c>
      <c r="G3828" s="151" t="str">
        <f>'Reported burning'!G3828</f>
        <v>Secondary vegetation</v>
      </c>
      <c r="H3828" s="151" t="str">
        <f>'Reported burning'!H3828</f>
        <v>Presence</v>
      </c>
      <c r="I3828" s="5"/>
      <c r="J3828" s="71" t="s">
        <v>2272</v>
      </c>
      <c r="K3828" s="71" t="s">
        <v>2272</v>
      </c>
      <c r="L3828" s="71" t="s">
        <v>2272</v>
      </c>
      <c r="M3828" s="71" t="s">
        <v>2272</v>
      </c>
      <c r="N3828" s="71" t="s">
        <v>2272</v>
      </c>
      <c r="O3828" s="71" t="s">
        <v>2272</v>
      </c>
      <c r="P3828" s="71" t="s">
        <v>2272</v>
      </c>
      <c r="Q3828" s="71" t="s">
        <v>2272</v>
      </c>
      <c r="R3828" s="71" t="s">
        <v>2272</v>
      </c>
      <c r="S3828" s="71" t="s">
        <v>2272</v>
      </c>
      <c r="T3828" s="71" t="s">
        <v>2272</v>
      </c>
      <c r="U3828" s="71" t="s">
        <v>2272</v>
      </c>
      <c r="V3828" s="71" t="s">
        <v>2272</v>
      </c>
      <c r="W3828" s="71" t="s">
        <v>2272</v>
      </c>
      <c r="X3828" s="71" t="s">
        <v>2272</v>
      </c>
      <c r="Y3828" s="71" t="s">
        <v>2272</v>
      </c>
      <c r="Z3828" s="71" t="s">
        <v>2272</v>
      </c>
      <c r="AA3828" s="71" t="s">
        <v>2272</v>
      </c>
      <c r="AB3828" s="198"/>
      <c r="AC3828" s="198"/>
    </row>
    <row r="3829" spans="1:29" ht="42" customHeight="1">
      <c r="A3829" s="151" t="str">
        <f>'Reported burning'!A3829</f>
        <v>408d</v>
      </c>
      <c r="B3829" s="151" t="str">
        <f>'Reported burning'!B3829</f>
        <v>408d.3</v>
      </c>
      <c r="C3829" s="151" t="str">
        <f>'Reported burning'!C3829</f>
        <v>Human, deliberate</v>
      </c>
      <c r="D3829" s="151" t="str">
        <f>'Reported burning'!D3829</f>
        <v>Crop field preparation</v>
      </c>
      <c r="E3829" s="151" t="str">
        <f>'Reported burning'!E3829</f>
        <v>Cropping, Swidden</v>
      </c>
      <c r="F3829" s="151" t="str">
        <f>'Reported burning'!F3829</f>
        <v>Secondary vegetation</v>
      </c>
      <c r="G3829" s="151" t="str">
        <f>'Reported burning'!G3829</f>
        <v>Secondary vegetation</v>
      </c>
      <c r="H3829" s="151" t="str">
        <f>'Reported burning'!H3829</f>
        <v>Presence</v>
      </c>
      <c r="I3829" s="5"/>
      <c r="J3829" s="71" t="s">
        <v>2272</v>
      </c>
      <c r="K3829" s="71" t="s">
        <v>2272</v>
      </c>
      <c r="L3829" s="71" t="s">
        <v>2272</v>
      </c>
      <c r="M3829" s="71" t="s">
        <v>2272</v>
      </c>
      <c r="N3829" s="71" t="s">
        <v>2272</v>
      </c>
      <c r="O3829" s="71" t="s">
        <v>2272</v>
      </c>
      <c r="P3829" s="71" t="s">
        <v>2272</v>
      </c>
      <c r="Q3829" s="71" t="s">
        <v>2272</v>
      </c>
      <c r="R3829" s="71" t="s">
        <v>2272</v>
      </c>
      <c r="S3829" s="71" t="s">
        <v>2272</v>
      </c>
      <c r="T3829" s="71" t="s">
        <v>2272</v>
      </c>
      <c r="U3829" s="71" t="s">
        <v>2272</v>
      </c>
      <c r="V3829" s="71" t="s">
        <v>2272</v>
      </c>
      <c r="W3829" s="71" t="s">
        <v>2272</v>
      </c>
      <c r="X3829" s="71" t="s">
        <v>2272</v>
      </c>
      <c r="Y3829" s="71" t="s">
        <v>2272</v>
      </c>
      <c r="Z3829" s="71" t="s">
        <v>2272</v>
      </c>
      <c r="AA3829" s="71" t="s">
        <v>2272</v>
      </c>
      <c r="AB3829" s="198"/>
      <c r="AC3829" s="198"/>
    </row>
    <row r="3830" spans="1:29" ht="42" customHeight="1">
      <c r="A3830" s="151" t="str">
        <f>'Reported burning'!A3830</f>
        <v>408e</v>
      </c>
      <c r="B3830" s="151" t="str">
        <f>'Reported burning'!B3830</f>
        <v>408e.3</v>
      </c>
      <c r="C3830" s="151" t="str">
        <f>'Reported burning'!C3830</f>
        <v>Human, deliberate</v>
      </c>
      <c r="D3830" s="151" t="str">
        <f>'Reported burning'!D3830</f>
        <v>Crop field preparation</v>
      </c>
      <c r="E3830" s="151" t="str">
        <f>'Reported burning'!E3830</f>
        <v>Cropping, Swidden</v>
      </c>
      <c r="F3830" s="151" t="str">
        <f>'Reported burning'!F3830</f>
        <v>Secondary vegetation</v>
      </c>
      <c r="G3830" s="151" t="str">
        <f>'Reported burning'!G3830</f>
        <v>Secondary vegetation</v>
      </c>
      <c r="H3830" s="151" t="str">
        <f>'Reported burning'!H3830</f>
        <v>Presence</v>
      </c>
      <c r="I3830" s="5"/>
      <c r="J3830" s="71" t="s">
        <v>2272</v>
      </c>
      <c r="K3830" s="71" t="s">
        <v>2272</v>
      </c>
      <c r="L3830" s="71" t="s">
        <v>2272</v>
      </c>
      <c r="M3830" s="71" t="s">
        <v>2272</v>
      </c>
      <c r="N3830" s="71" t="s">
        <v>2272</v>
      </c>
      <c r="O3830" s="71" t="s">
        <v>2272</v>
      </c>
      <c r="P3830" s="71" t="s">
        <v>2272</v>
      </c>
      <c r="Q3830" s="71" t="s">
        <v>2272</v>
      </c>
      <c r="R3830" s="71" t="s">
        <v>2272</v>
      </c>
      <c r="S3830" s="71" t="s">
        <v>2272</v>
      </c>
      <c r="T3830" s="71" t="s">
        <v>2272</v>
      </c>
      <c r="U3830" s="71" t="s">
        <v>2272</v>
      </c>
      <c r="V3830" s="71" t="s">
        <v>2272</v>
      </c>
      <c r="W3830" s="71" t="s">
        <v>2272</v>
      </c>
      <c r="X3830" s="71" t="s">
        <v>2272</v>
      </c>
      <c r="Y3830" s="71" t="s">
        <v>2272</v>
      </c>
      <c r="Z3830" s="71" t="s">
        <v>2272</v>
      </c>
      <c r="AA3830" s="71" t="s">
        <v>2272</v>
      </c>
      <c r="AB3830" s="198"/>
      <c r="AC3830" s="198"/>
    </row>
    <row r="3831" spans="1:29" ht="42" customHeight="1">
      <c r="A3831" s="151" t="str">
        <f>'Reported burning'!A3831</f>
        <v>408f</v>
      </c>
      <c r="B3831" s="151" t="str">
        <f>'Reported burning'!B3831</f>
        <v>408f.3</v>
      </c>
      <c r="C3831" s="151" t="str">
        <f>'Reported burning'!C3831</f>
        <v>Human, deliberate</v>
      </c>
      <c r="D3831" s="151" t="str">
        <f>'Reported burning'!D3831</f>
        <v>Crop field preparation</v>
      </c>
      <c r="E3831" s="151" t="str">
        <f>'Reported burning'!E3831</f>
        <v>Cropping, Swidden</v>
      </c>
      <c r="F3831" s="151" t="str">
        <f>'Reported burning'!F3831</f>
        <v>Secondary vegetation</v>
      </c>
      <c r="G3831" s="151" t="str">
        <f>'Reported burning'!G3831</f>
        <v>Secondary vegetation</v>
      </c>
      <c r="H3831" s="151" t="str">
        <f>'Reported burning'!H3831</f>
        <v>Presence</v>
      </c>
      <c r="I3831" s="5"/>
      <c r="J3831" s="71" t="s">
        <v>2272</v>
      </c>
      <c r="K3831" s="71" t="s">
        <v>2272</v>
      </c>
      <c r="L3831" s="71" t="s">
        <v>2272</v>
      </c>
      <c r="M3831" s="71" t="s">
        <v>2272</v>
      </c>
      <c r="N3831" s="71" t="s">
        <v>2272</v>
      </c>
      <c r="O3831" s="71" t="s">
        <v>2272</v>
      </c>
      <c r="P3831" s="71" t="s">
        <v>2272</v>
      </c>
      <c r="Q3831" s="71" t="s">
        <v>2272</v>
      </c>
      <c r="R3831" s="71" t="s">
        <v>2272</v>
      </c>
      <c r="S3831" s="71" t="s">
        <v>2272</v>
      </c>
      <c r="T3831" s="71" t="s">
        <v>2272</v>
      </c>
      <c r="U3831" s="71" t="s">
        <v>2272</v>
      </c>
      <c r="V3831" s="71" t="s">
        <v>2272</v>
      </c>
      <c r="W3831" s="71" t="s">
        <v>2272</v>
      </c>
      <c r="X3831" s="71" t="s">
        <v>2272</v>
      </c>
      <c r="Y3831" s="71" t="s">
        <v>2272</v>
      </c>
      <c r="Z3831" s="71" t="s">
        <v>2272</v>
      </c>
      <c r="AA3831" s="71" t="s">
        <v>2272</v>
      </c>
      <c r="AB3831" s="198"/>
      <c r="AC3831" s="198"/>
    </row>
    <row r="3832" spans="1:29" ht="42" customHeight="1">
      <c r="A3832" s="151" t="str">
        <f>'Reported burning'!A3832</f>
        <v>408g</v>
      </c>
      <c r="B3832" s="151" t="str">
        <f>'Reported burning'!B3832</f>
        <v>408g.3</v>
      </c>
      <c r="C3832" s="151" t="str">
        <f>'Reported burning'!C3832</f>
        <v>Human, deliberate</v>
      </c>
      <c r="D3832" s="151" t="str">
        <f>'Reported burning'!D3832</f>
        <v>Crop field preparation</v>
      </c>
      <c r="E3832" s="151" t="str">
        <f>'Reported burning'!E3832</f>
        <v>Cropping, Swidden</v>
      </c>
      <c r="F3832" s="151" t="str">
        <f>'Reported burning'!F3832</f>
        <v>Secondary vegetation</v>
      </c>
      <c r="G3832" s="151" t="str">
        <f>'Reported burning'!G3832</f>
        <v>Secondary vegetation</v>
      </c>
      <c r="H3832" s="151" t="str">
        <f>'Reported burning'!H3832</f>
        <v>Presence</v>
      </c>
      <c r="I3832" s="5"/>
      <c r="J3832" s="71" t="s">
        <v>2272</v>
      </c>
      <c r="K3832" s="71" t="s">
        <v>2272</v>
      </c>
      <c r="L3832" s="71" t="s">
        <v>2272</v>
      </c>
      <c r="M3832" s="71" t="s">
        <v>2272</v>
      </c>
      <c r="N3832" s="71" t="s">
        <v>2272</v>
      </c>
      <c r="O3832" s="71" t="s">
        <v>2272</v>
      </c>
      <c r="P3832" s="71" t="s">
        <v>2272</v>
      </c>
      <c r="Q3832" s="71" t="s">
        <v>2272</v>
      </c>
      <c r="R3832" s="71" t="s">
        <v>2272</v>
      </c>
      <c r="S3832" s="71" t="s">
        <v>2272</v>
      </c>
      <c r="T3832" s="71" t="s">
        <v>2272</v>
      </c>
      <c r="U3832" s="71" t="s">
        <v>2272</v>
      </c>
      <c r="V3832" s="71" t="s">
        <v>2272</v>
      </c>
      <c r="W3832" s="71" t="s">
        <v>2272</v>
      </c>
      <c r="X3832" s="71" t="s">
        <v>2272</v>
      </c>
      <c r="Y3832" s="71" t="s">
        <v>2272</v>
      </c>
      <c r="Z3832" s="71" t="s">
        <v>2272</v>
      </c>
      <c r="AA3832" s="71" t="s">
        <v>2272</v>
      </c>
      <c r="AB3832" s="198"/>
      <c r="AC3832" s="198"/>
    </row>
    <row r="3833" spans="1:29" ht="42" customHeight="1">
      <c r="A3833" s="151" t="str">
        <f>'Reported burning'!A3833</f>
        <v>408h</v>
      </c>
      <c r="B3833" s="151" t="str">
        <f>'Reported burning'!B3833</f>
        <v>408h.3</v>
      </c>
      <c r="C3833" s="151" t="str">
        <f>'Reported burning'!C3833</f>
        <v>Human, deliberate</v>
      </c>
      <c r="D3833" s="151" t="str">
        <f>'Reported burning'!D3833</f>
        <v>Crop field preparation</v>
      </c>
      <c r="E3833" s="151" t="str">
        <f>'Reported burning'!E3833</f>
        <v>Cropping, Swidden</v>
      </c>
      <c r="F3833" s="151" t="str">
        <f>'Reported burning'!F3833</f>
        <v>Secondary vegetation</v>
      </c>
      <c r="G3833" s="151" t="str">
        <f>'Reported burning'!G3833</f>
        <v>Secondary vegetation</v>
      </c>
      <c r="H3833" s="151" t="str">
        <f>'Reported burning'!H3833</f>
        <v>Presence</v>
      </c>
      <c r="I3833" s="5"/>
      <c r="J3833" s="71" t="s">
        <v>2272</v>
      </c>
      <c r="K3833" s="71" t="s">
        <v>2272</v>
      </c>
      <c r="L3833" s="71" t="s">
        <v>2272</v>
      </c>
      <c r="M3833" s="71" t="s">
        <v>2272</v>
      </c>
      <c r="N3833" s="71" t="s">
        <v>2272</v>
      </c>
      <c r="O3833" s="71" t="s">
        <v>2272</v>
      </c>
      <c r="P3833" s="71" t="s">
        <v>2272</v>
      </c>
      <c r="Q3833" s="71" t="s">
        <v>2272</v>
      </c>
      <c r="R3833" s="71" t="s">
        <v>2272</v>
      </c>
      <c r="S3833" s="71" t="s">
        <v>2272</v>
      </c>
      <c r="T3833" s="71" t="s">
        <v>2272</v>
      </c>
      <c r="U3833" s="71" t="s">
        <v>2272</v>
      </c>
      <c r="V3833" s="71" t="s">
        <v>2272</v>
      </c>
      <c r="W3833" s="71" t="s">
        <v>2272</v>
      </c>
      <c r="X3833" s="71" t="s">
        <v>2272</v>
      </c>
      <c r="Y3833" s="71" t="s">
        <v>2272</v>
      </c>
      <c r="Z3833" s="71" t="s">
        <v>2272</v>
      </c>
      <c r="AA3833" s="71" t="s">
        <v>2272</v>
      </c>
      <c r="AB3833" s="198"/>
      <c r="AC3833" s="198"/>
    </row>
    <row r="3834" spans="1:29" ht="42" customHeight="1">
      <c r="A3834" s="151" t="str">
        <f>'Reported burning'!A3834</f>
        <v>408i</v>
      </c>
      <c r="B3834" s="151" t="str">
        <f>'Reported burning'!B3834</f>
        <v>408i.3</v>
      </c>
      <c r="C3834" s="151" t="str">
        <f>'Reported burning'!C3834</f>
        <v>Human, deliberate</v>
      </c>
      <c r="D3834" s="151" t="str">
        <f>'Reported burning'!D3834</f>
        <v>Crop field preparation</v>
      </c>
      <c r="E3834" s="151" t="str">
        <f>'Reported burning'!E3834</f>
        <v>Cropping, Swidden</v>
      </c>
      <c r="F3834" s="151" t="str">
        <f>'Reported burning'!F3834</f>
        <v>Secondary vegetation</v>
      </c>
      <c r="G3834" s="151" t="str">
        <f>'Reported burning'!G3834</f>
        <v>Secondary vegetation</v>
      </c>
      <c r="H3834" s="151" t="str">
        <f>'Reported burning'!H3834</f>
        <v>Presence</v>
      </c>
      <c r="I3834" s="5"/>
      <c r="J3834" s="71" t="s">
        <v>2272</v>
      </c>
      <c r="K3834" s="71" t="s">
        <v>2272</v>
      </c>
      <c r="L3834" s="71" t="s">
        <v>2272</v>
      </c>
      <c r="M3834" s="71" t="s">
        <v>2272</v>
      </c>
      <c r="N3834" s="71" t="s">
        <v>2272</v>
      </c>
      <c r="O3834" s="71" t="s">
        <v>2272</v>
      </c>
      <c r="P3834" s="71" t="s">
        <v>2272</v>
      </c>
      <c r="Q3834" s="71" t="s">
        <v>2272</v>
      </c>
      <c r="R3834" s="71" t="s">
        <v>2272</v>
      </c>
      <c r="S3834" s="71" t="s">
        <v>2272</v>
      </c>
      <c r="T3834" s="71" t="s">
        <v>2272</v>
      </c>
      <c r="U3834" s="71" t="s">
        <v>2272</v>
      </c>
      <c r="V3834" s="71" t="s">
        <v>2272</v>
      </c>
      <c r="W3834" s="71" t="s">
        <v>2272</v>
      </c>
      <c r="X3834" s="71" t="s">
        <v>2272</v>
      </c>
      <c r="Y3834" s="71" t="s">
        <v>2272</v>
      </c>
      <c r="Z3834" s="71" t="s">
        <v>2272</v>
      </c>
      <c r="AA3834" s="71" t="s">
        <v>2272</v>
      </c>
      <c r="AB3834" s="198"/>
      <c r="AC3834" s="198"/>
    </row>
    <row r="3835" spans="1:29" ht="42" customHeight="1">
      <c r="A3835" s="151" t="str">
        <f>'Reported burning'!A3835</f>
        <v>408j</v>
      </c>
      <c r="B3835" s="151" t="str">
        <f>'Reported burning'!B3835</f>
        <v>408j.3</v>
      </c>
      <c r="C3835" s="151" t="str">
        <f>'Reported burning'!C3835</f>
        <v>Human, deliberate</v>
      </c>
      <c r="D3835" s="151" t="str">
        <f>'Reported burning'!D3835</f>
        <v>Crop field preparation</v>
      </c>
      <c r="E3835" s="151" t="str">
        <f>'Reported burning'!E3835</f>
        <v>Cropping, Swidden</v>
      </c>
      <c r="F3835" s="151" t="str">
        <f>'Reported burning'!F3835</f>
        <v>Secondary vegetation</v>
      </c>
      <c r="G3835" s="151" t="str">
        <f>'Reported burning'!G3835</f>
        <v>Secondary vegetation</v>
      </c>
      <c r="H3835" s="151" t="str">
        <f>'Reported burning'!H3835</f>
        <v>Presence</v>
      </c>
      <c r="I3835" s="5"/>
      <c r="J3835" s="71" t="s">
        <v>2272</v>
      </c>
      <c r="K3835" s="71" t="s">
        <v>2272</v>
      </c>
      <c r="L3835" s="71" t="s">
        <v>2272</v>
      </c>
      <c r="M3835" s="71" t="s">
        <v>2272</v>
      </c>
      <c r="N3835" s="71" t="s">
        <v>2272</v>
      </c>
      <c r="O3835" s="71" t="s">
        <v>2272</v>
      </c>
      <c r="P3835" s="71" t="s">
        <v>2272</v>
      </c>
      <c r="Q3835" s="71" t="s">
        <v>2272</v>
      </c>
      <c r="R3835" s="71" t="s">
        <v>2272</v>
      </c>
      <c r="S3835" s="71" t="s">
        <v>2272</v>
      </c>
      <c r="T3835" s="71" t="s">
        <v>2272</v>
      </c>
      <c r="U3835" s="71" t="s">
        <v>2272</v>
      </c>
      <c r="V3835" s="71" t="s">
        <v>2272</v>
      </c>
      <c r="W3835" s="71" t="s">
        <v>2272</v>
      </c>
      <c r="X3835" s="71" t="s">
        <v>2272</v>
      </c>
      <c r="Y3835" s="71" t="s">
        <v>2272</v>
      </c>
      <c r="Z3835" s="71" t="s">
        <v>2272</v>
      </c>
      <c r="AA3835" s="71" t="s">
        <v>2272</v>
      </c>
      <c r="AB3835" s="198"/>
      <c r="AC3835" s="198"/>
    </row>
    <row r="3836" spans="1:29" ht="42" customHeight="1">
      <c r="A3836" s="151" t="str">
        <f>'Reported burning'!A3836</f>
        <v>408k</v>
      </c>
      <c r="B3836" s="151" t="str">
        <f>'Reported burning'!B3836</f>
        <v>408k.3</v>
      </c>
      <c r="C3836" s="151" t="str">
        <f>'Reported burning'!C3836</f>
        <v>Human, deliberate</v>
      </c>
      <c r="D3836" s="151" t="str">
        <f>'Reported burning'!D3836</f>
        <v>Crop field preparation</v>
      </c>
      <c r="E3836" s="151" t="str">
        <f>'Reported burning'!E3836</f>
        <v>Cropping, Swidden</v>
      </c>
      <c r="F3836" s="151" t="str">
        <f>'Reported burning'!F3836</f>
        <v>Secondary vegetation</v>
      </c>
      <c r="G3836" s="151" t="str">
        <f>'Reported burning'!G3836</f>
        <v>Secondary vegetation</v>
      </c>
      <c r="H3836" s="151" t="str">
        <f>'Reported burning'!H3836</f>
        <v>Presence</v>
      </c>
      <c r="I3836" s="5"/>
      <c r="J3836" s="71" t="s">
        <v>2272</v>
      </c>
      <c r="K3836" s="71" t="s">
        <v>2272</v>
      </c>
      <c r="L3836" s="71" t="s">
        <v>2272</v>
      </c>
      <c r="M3836" s="71" t="s">
        <v>2272</v>
      </c>
      <c r="N3836" s="71" t="s">
        <v>2272</v>
      </c>
      <c r="O3836" s="71" t="s">
        <v>2272</v>
      </c>
      <c r="P3836" s="71" t="s">
        <v>2272</v>
      </c>
      <c r="Q3836" s="71" t="s">
        <v>2272</v>
      </c>
      <c r="R3836" s="71" t="s">
        <v>2272</v>
      </c>
      <c r="S3836" s="71" t="s">
        <v>2272</v>
      </c>
      <c r="T3836" s="71" t="s">
        <v>2272</v>
      </c>
      <c r="U3836" s="71" t="s">
        <v>2272</v>
      </c>
      <c r="V3836" s="71" t="s">
        <v>2272</v>
      </c>
      <c r="W3836" s="71" t="s">
        <v>2272</v>
      </c>
      <c r="X3836" s="71" t="s">
        <v>2272</v>
      </c>
      <c r="Y3836" s="71" t="s">
        <v>2272</v>
      </c>
      <c r="Z3836" s="71" t="s">
        <v>2272</v>
      </c>
      <c r="AA3836" s="71" t="s">
        <v>2272</v>
      </c>
      <c r="AB3836" s="198"/>
      <c r="AC3836" s="198"/>
    </row>
    <row r="3837" spans="1:29" ht="42" customHeight="1">
      <c r="A3837" s="151" t="str">
        <f>'Reported burning'!A3837</f>
        <v>408l</v>
      </c>
      <c r="B3837" s="151" t="str">
        <f>'Reported burning'!B3837</f>
        <v>408l.3</v>
      </c>
      <c r="C3837" s="151" t="str">
        <f>'Reported burning'!C3837</f>
        <v>Human, deliberate</v>
      </c>
      <c r="D3837" s="151" t="str">
        <f>'Reported burning'!D3837</f>
        <v>Crop field preparation</v>
      </c>
      <c r="E3837" s="151" t="str">
        <f>'Reported burning'!E3837</f>
        <v>Cropping, Swidden</v>
      </c>
      <c r="F3837" s="151" t="str">
        <f>'Reported burning'!F3837</f>
        <v>Secondary vegetation</v>
      </c>
      <c r="G3837" s="151" t="str">
        <f>'Reported burning'!G3837</f>
        <v>Secondary vegetation</v>
      </c>
      <c r="H3837" s="151" t="str">
        <f>'Reported burning'!H3837</f>
        <v>Presence</v>
      </c>
      <c r="I3837" s="5"/>
      <c r="J3837" s="71" t="s">
        <v>2272</v>
      </c>
      <c r="K3837" s="71" t="s">
        <v>2272</v>
      </c>
      <c r="L3837" s="71" t="s">
        <v>2272</v>
      </c>
      <c r="M3837" s="71" t="s">
        <v>2272</v>
      </c>
      <c r="N3837" s="71" t="s">
        <v>2272</v>
      </c>
      <c r="O3837" s="71" t="s">
        <v>2272</v>
      </c>
      <c r="P3837" s="71" t="s">
        <v>2272</v>
      </c>
      <c r="Q3837" s="71" t="s">
        <v>2272</v>
      </c>
      <c r="R3837" s="71" t="s">
        <v>2272</v>
      </c>
      <c r="S3837" s="71" t="s">
        <v>2272</v>
      </c>
      <c r="T3837" s="71" t="s">
        <v>2272</v>
      </c>
      <c r="U3837" s="71" t="s">
        <v>2272</v>
      </c>
      <c r="V3837" s="71" t="s">
        <v>2272</v>
      </c>
      <c r="W3837" s="71" t="s">
        <v>2272</v>
      </c>
      <c r="X3837" s="71" t="s">
        <v>2272</v>
      </c>
      <c r="Y3837" s="71" t="s">
        <v>2272</v>
      </c>
      <c r="Z3837" s="71" t="s">
        <v>2272</v>
      </c>
      <c r="AA3837" s="71" t="s">
        <v>2272</v>
      </c>
      <c r="AB3837" s="198"/>
      <c r="AC3837" s="198"/>
    </row>
    <row r="3838" spans="1:29" ht="42" customHeight="1">
      <c r="A3838" s="151" t="str">
        <f>'Reported burning'!A3838</f>
        <v>408m</v>
      </c>
      <c r="B3838" s="151" t="str">
        <f>'Reported burning'!B3838</f>
        <v>408m.3</v>
      </c>
      <c r="C3838" s="151" t="str">
        <f>'Reported burning'!C3838</f>
        <v>Human, deliberate</v>
      </c>
      <c r="D3838" s="151" t="str">
        <f>'Reported burning'!D3838</f>
        <v>Crop field preparation</v>
      </c>
      <c r="E3838" s="151" t="str">
        <f>'Reported burning'!E3838</f>
        <v>Cropping, Swidden</v>
      </c>
      <c r="F3838" s="151" t="str">
        <f>'Reported burning'!F3838</f>
        <v>Secondary vegetation</v>
      </c>
      <c r="G3838" s="151" t="str">
        <f>'Reported burning'!G3838</f>
        <v>Secondary vegetation</v>
      </c>
      <c r="H3838" s="151" t="str">
        <f>'Reported burning'!H3838</f>
        <v>Presence</v>
      </c>
      <c r="I3838" s="5"/>
      <c r="J3838" s="71" t="s">
        <v>2272</v>
      </c>
      <c r="K3838" s="71" t="s">
        <v>2272</v>
      </c>
      <c r="L3838" s="71" t="s">
        <v>2272</v>
      </c>
      <c r="M3838" s="71" t="s">
        <v>2272</v>
      </c>
      <c r="N3838" s="71" t="s">
        <v>2272</v>
      </c>
      <c r="O3838" s="71" t="s">
        <v>2272</v>
      </c>
      <c r="P3838" s="71" t="s">
        <v>2272</v>
      </c>
      <c r="Q3838" s="71" t="s">
        <v>2272</v>
      </c>
      <c r="R3838" s="71" t="s">
        <v>2272</v>
      </c>
      <c r="S3838" s="71" t="s">
        <v>2272</v>
      </c>
      <c r="T3838" s="71" t="s">
        <v>2272</v>
      </c>
      <c r="U3838" s="71" t="s">
        <v>2272</v>
      </c>
      <c r="V3838" s="71" t="s">
        <v>2272</v>
      </c>
      <c r="W3838" s="71" t="s">
        <v>2272</v>
      </c>
      <c r="X3838" s="71" t="s">
        <v>2272</v>
      </c>
      <c r="Y3838" s="71" t="s">
        <v>2272</v>
      </c>
      <c r="Z3838" s="71" t="s">
        <v>2272</v>
      </c>
      <c r="AA3838" s="71" t="s">
        <v>2272</v>
      </c>
      <c r="AB3838" s="198"/>
      <c r="AC3838" s="198"/>
    </row>
    <row r="3839" spans="1:29" ht="42" customHeight="1">
      <c r="A3839" s="151" t="str">
        <f>'Reported burning'!A3839</f>
        <v>408n</v>
      </c>
      <c r="B3839" s="151" t="str">
        <f>'Reported burning'!B3839</f>
        <v>408n.3</v>
      </c>
      <c r="C3839" s="151" t="str">
        <f>'Reported burning'!C3839</f>
        <v>Human, deliberate</v>
      </c>
      <c r="D3839" s="151" t="str">
        <f>'Reported burning'!D3839</f>
        <v>Crop field preparation</v>
      </c>
      <c r="E3839" s="151" t="str">
        <f>'Reported burning'!E3839</f>
        <v>Cropping, Swidden</v>
      </c>
      <c r="F3839" s="151" t="str">
        <f>'Reported burning'!F3839</f>
        <v>Secondary vegetation</v>
      </c>
      <c r="G3839" s="151" t="str">
        <f>'Reported burning'!G3839</f>
        <v>Secondary vegetation</v>
      </c>
      <c r="H3839" s="151" t="str">
        <f>'Reported burning'!H3839</f>
        <v>Presence</v>
      </c>
      <c r="I3839" s="5"/>
      <c r="J3839" s="71" t="s">
        <v>2272</v>
      </c>
      <c r="K3839" s="71" t="s">
        <v>2272</v>
      </c>
      <c r="L3839" s="71" t="s">
        <v>2272</v>
      </c>
      <c r="M3839" s="71" t="s">
        <v>2272</v>
      </c>
      <c r="N3839" s="71" t="s">
        <v>2272</v>
      </c>
      <c r="O3839" s="71" t="s">
        <v>2272</v>
      </c>
      <c r="P3839" s="71" t="s">
        <v>2272</v>
      </c>
      <c r="Q3839" s="71" t="s">
        <v>2272</v>
      </c>
      <c r="R3839" s="71" t="s">
        <v>2272</v>
      </c>
      <c r="S3839" s="71" t="s">
        <v>2272</v>
      </c>
      <c r="T3839" s="71" t="s">
        <v>2272</v>
      </c>
      <c r="U3839" s="71" t="s">
        <v>2272</v>
      </c>
      <c r="V3839" s="71" t="s">
        <v>2272</v>
      </c>
      <c r="W3839" s="71" t="s">
        <v>2272</v>
      </c>
      <c r="X3839" s="71" t="s">
        <v>2272</v>
      </c>
      <c r="Y3839" s="71" t="s">
        <v>2272</v>
      </c>
      <c r="Z3839" s="71" t="s">
        <v>2272</v>
      </c>
      <c r="AA3839" s="71" t="s">
        <v>2272</v>
      </c>
      <c r="AB3839" s="198"/>
      <c r="AC3839" s="198"/>
    </row>
    <row r="3840" spans="1:29" ht="42" customHeight="1">
      <c r="A3840" s="151" t="str">
        <f>'Reported burning'!A3840</f>
        <v>408o</v>
      </c>
      <c r="B3840" s="151" t="str">
        <f>'Reported burning'!B3840</f>
        <v>408o.3</v>
      </c>
      <c r="C3840" s="151" t="str">
        <f>'Reported burning'!C3840</f>
        <v>Human, deliberate</v>
      </c>
      <c r="D3840" s="151" t="str">
        <f>'Reported burning'!D3840</f>
        <v>Crop field preparation</v>
      </c>
      <c r="E3840" s="151" t="str">
        <f>'Reported burning'!E3840</f>
        <v>Cropping, Swidden</v>
      </c>
      <c r="F3840" s="151" t="str">
        <f>'Reported burning'!F3840</f>
        <v>Secondary vegetation</v>
      </c>
      <c r="G3840" s="151" t="str">
        <f>'Reported burning'!G3840</f>
        <v>Secondary vegetation</v>
      </c>
      <c r="H3840" s="151" t="str">
        <f>'Reported burning'!H3840</f>
        <v>Presence</v>
      </c>
      <c r="I3840" s="5"/>
      <c r="J3840" s="71" t="s">
        <v>2272</v>
      </c>
      <c r="K3840" s="71" t="s">
        <v>2272</v>
      </c>
      <c r="L3840" s="71" t="s">
        <v>2272</v>
      </c>
      <c r="M3840" s="71" t="s">
        <v>2272</v>
      </c>
      <c r="N3840" s="71" t="s">
        <v>2272</v>
      </c>
      <c r="O3840" s="71" t="s">
        <v>2272</v>
      </c>
      <c r="P3840" s="71" t="s">
        <v>2272</v>
      </c>
      <c r="Q3840" s="71" t="s">
        <v>2272</v>
      </c>
      <c r="R3840" s="71" t="s">
        <v>2272</v>
      </c>
      <c r="S3840" s="71" t="s">
        <v>2272</v>
      </c>
      <c r="T3840" s="71" t="s">
        <v>2272</v>
      </c>
      <c r="U3840" s="71" t="s">
        <v>2272</v>
      </c>
      <c r="V3840" s="71" t="s">
        <v>2272</v>
      </c>
      <c r="W3840" s="71" t="s">
        <v>2272</v>
      </c>
      <c r="X3840" s="71" t="s">
        <v>2272</v>
      </c>
      <c r="Y3840" s="71" t="s">
        <v>2272</v>
      </c>
      <c r="Z3840" s="71" t="s">
        <v>2272</v>
      </c>
      <c r="AA3840" s="71" t="s">
        <v>2272</v>
      </c>
      <c r="AB3840" s="198"/>
      <c r="AC3840" s="198"/>
    </row>
    <row r="3841" spans="1:29" ht="42" customHeight="1">
      <c r="A3841" s="151" t="str">
        <f>'Reported burning'!A3841</f>
        <v>408p</v>
      </c>
      <c r="B3841" s="151" t="str">
        <f>'Reported burning'!B3841</f>
        <v>408p.3</v>
      </c>
      <c r="C3841" s="151" t="str">
        <f>'Reported burning'!C3841</f>
        <v>Human, deliberate</v>
      </c>
      <c r="D3841" s="151" t="str">
        <f>'Reported burning'!D3841</f>
        <v>Crop field preparation</v>
      </c>
      <c r="E3841" s="151" t="str">
        <f>'Reported burning'!E3841</f>
        <v>Cropping, Swidden</v>
      </c>
      <c r="F3841" s="151" t="str">
        <f>'Reported burning'!F3841</f>
        <v>Secondary vegetation</v>
      </c>
      <c r="G3841" s="151" t="str">
        <f>'Reported burning'!G3841</f>
        <v>Secondary vegetation</v>
      </c>
      <c r="H3841" s="151" t="str">
        <f>'Reported burning'!H3841</f>
        <v>Presence</v>
      </c>
      <c r="I3841" s="5"/>
      <c r="J3841" s="71" t="s">
        <v>2272</v>
      </c>
      <c r="K3841" s="71" t="s">
        <v>2272</v>
      </c>
      <c r="L3841" s="71" t="s">
        <v>2272</v>
      </c>
      <c r="M3841" s="71" t="s">
        <v>2272</v>
      </c>
      <c r="N3841" s="71" t="s">
        <v>2272</v>
      </c>
      <c r="O3841" s="71" t="s">
        <v>2272</v>
      </c>
      <c r="P3841" s="71" t="s">
        <v>2272</v>
      </c>
      <c r="Q3841" s="71" t="s">
        <v>2272</v>
      </c>
      <c r="R3841" s="71" t="s">
        <v>2272</v>
      </c>
      <c r="S3841" s="71" t="s">
        <v>2272</v>
      </c>
      <c r="T3841" s="71" t="s">
        <v>2272</v>
      </c>
      <c r="U3841" s="71" t="s">
        <v>2272</v>
      </c>
      <c r="V3841" s="71" t="s">
        <v>2272</v>
      </c>
      <c r="W3841" s="71" t="s">
        <v>2272</v>
      </c>
      <c r="X3841" s="71" t="s">
        <v>2272</v>
      </c>
      <c r="Y3841" s="71" t="s">
        <v>2272</v>
      </c>
      <c r="Z3841" s="71" t="s">
        <v>2272</v>
      </c>
      <c r="AA3841" s="71" t="s">
        <v>2272</v>
      </c>
      <c r="AB3841" s="198"/>
      <c r="AC3841" s="198"/>
    </row>
    <row r="3842" spans="1:29" ht="42" customHeight="1">
      <c r="A3842" s="151" t="str">
        <f>'Reported burning'!A3842</f>
        <v>408q</v>
      </c>
      <c r="B3842" s="151" t="str">
        <f>'Reported burning'!B3842</f>
        <v>408q.3</v>
      </c>
      <c r="C3842" s="151" t="str">
        <f>'Reported burning'!C3842</f>
        <v>Human, deliberate</v>
      </c>
      <c r="D3842" s="151" t="str">
        <f>'Reported burning'!D3842</f>
        <v>Crop field preparation</v>
      </c>
      <c r="E3842" s="151" t="str">
        <f>'Reported burning'!E3842</f>
        <v>Cropping, Swidden</v>
      </c>
      <c r="F3842" s="151" t="str">
        <f>'Reported burning'!F3842</f>
        <v>Secondary vegetation</v>
      </c>
      <c r="G3842" s="151" t="str">
        <f>'Reported burning'!G3842</f>
        <v>Secondary vegetation</v>
      </c>
      <c r="H3842" s="151" t="str">
        <f>'Reported burning'!H3842</f>
        <v>Presence</v>
      </c>
      <c r="I3842" s="5"/>
      <c r="J3842" s="71" t="s">
        <v>2272</v>
      </c>
      <c r="K3842" s="71" t="s">
        <v>2272</v>
      </c>
      <c r="L3842" s="71" t="s">
        <v>2272</v>
      </c>
      <c r="M3842" s="71" t="s">
        <v>2272</v>
      </c>
      <c r="N3842" s="71" t="s">
        <v>2272</v>
      </c>
      <c r="O3842" s="71" t="s">
        <v>2272</v>
      </c>
      <c r="P3842" s="71" t="s">
        <v>2272</v>
      </c>
      <c r="Q3842" s="71" t="s">
        <v>2272</v>
      </c>
      <c r="R3842" s="71" t="s">
        <v>2272</v>
      </c>
      <c r="S3842" s="71" t="s">
        <v>2272</v>
      </c>
      <c r="T3842" s="71" t="s">
        <v>2272</v>
      </c>
      <c r="U3842" s="71" t="s">
        <v>2272</v>
      </c>
      <c r="V3842" s="71" t="s">
        <v>2272</v>
      </c>
      <c r="W3842" s="71" t="s">
        <v>2272</v>
      </c>
      <c r="X3842" s="71" t="s">
        <v>2272</v>
      </c>
      <c r="Y3842" s="71" t="s">
        <v>2272</v>
      </c>
      <c r="Z3842" s="71" t="s">
        <v>2272</v>
      </c>
      <c r="AA3842" s="71" t="s">
        <v>2272</v>
      </c>
      <c r="AB3842" s="198"/>
      <c r="AC3842" s="198"/>
    </row>
    <row r="3843" spans="1:29" ht="42" customHeight="1">
      <c r="A3843" s="151" t="str">
        <f>'Reported burning'!A3843</f>
        <v>408r</v>
      </c>
      <c r="B3843" s="151" t="str">
        <f>'Reported burning'!B3843</f>
        <v>408r.3</v>
      </c>
      <c r="C3843" s="151" t="str">
        <f>'Reported burning'!C3843</f>
        <v>Human, deliberate</v>
      </c>
      <c r="D3843" s="151" t="str">
        <f>'Reported burning'!D3843</f>
        <v>Crop field preparation</v>
      </c>
      <c r="E3843" s="151" t="str">
        <f>'Reported burning'!E3843</f>
        <v>Cropping, Swidden</v>
      </c>
      <c r="F3843" s="151" t="str">
        <f>'Reported burning'!F3843</f>
        <v>Secondary vegetation</v>
      </c>
      <c r="G3843" s="151" t="str">
        <f>'Reported burning'!G3843</f>
        <v>Secondary vegetation</v>
      </c>
      <c r="H3843" s="151" t="str">
        <f>'Reported burning'!H3843</f>
        <v>Presence</v>
      </c>
      <c r="I3843" s="5"/>
      <c r="J3843" s="71" t="s">
        <v>2272</v>
      </c>
      <c r="K3843" s="71" t="s">
        <v>2272</v>
      </c>
      <c r="L3843" s="71" t="s">
        <v>2272</v>
      </c>
      <c r="M3843" s="71" t="s">
        <v>2272</v>
      </c>
      <c r="N3843" s="71" t="s">
        <v>2272</v>
      </c>
      <c r="O3843" s="71" t="s">
        <v>2272</v>
      </c>
      <c r="P3843" s="71" t="s">
        <v>2272</v>
      </c>
      <c r="Q3843" s="71" t="s">
        <v>2272</v>
      </c>
      <c r="R3843" s="71" t="s">
        <v>2272</v>
      </c>
      <c r="S3843" s="71" t="s">
        <v>2272</v>
      </c>
      <c r="T3843" s="71" t="s">
        <v>2272</v>
      </c>
      <c r="U3843" s="71" t="s">
        <v>2272</v>
      </c>
      <c r="V3843" s="71" t="s">
        <v>2272</v>
      </c>
      <c r="W3843" s="71" t="s">
        <v>2272</v>
      </c>
      <c r="X3843" s="71" t="s">
        <v>2272</v>
      </c>
      <c r="Y3843" s="71" t="s">
        <v>2272</v>
      </c>
      <c r="Z3843" s="71" t="s">
        <v>2272</v>
      </c>
      <c r="AA3843" s="71" t="s">
        <v>2272</v>
      </c>
      <c r="AB3843" s="198"/>
      <c r="AC3843" s="198"/>
    </row>
    <row r="3844" spans="1:29" ht="42" customHeight="1">
      <c r="A3844" s="151" t="str">
        <f>'Reported burning'!A3844</f>
        <v>408s</v>
      </c>
      <c r="B3844" s="151" t="str">
        <f>'Reported burning'!B3844</f>
        <v>408s.3</v>
      </c>
      <c r="C3844" s="151" t="str">
        <f>'Reported burning'!C3844</f>
        <v>Human, deliberate</v>
      </c>
      <c r="D3844" s="151" t="str">
        <f>'Reported burning'!D3844</f>
        <v>Crop field preparation</v>
      </c>
      <c r="E3844" s="151" t="str">
        <f>'Reported burning'!E3844</f>
        <v>Cropping, Swidden</v>
      </c>
      <c r="F3844" s="151" t="str">
        <f>'Reported burning'!F3844</f>
        <v>Secondary vegetation</v>
      </c>
      <c r="G3844" s="151" t="str">
        <f>'Reported burning'!G3844</f>
        <v>Secondary vegetation</v>
      </c>
      <c r="H3844" s="151" t="str">
        <f>'Reported burning'!H3844</f>
        <v>Presence</v>
      </c>
      <c r="I3844" s="5"/>
      <c r="J3844" s="71" t="s">
        <v>2272</v>
      </c>
      <c r="K3844" s="71" t="s">
        <v>2272</v>
      </c>
      <c r="L3844" s="71" t="s">
        <v>2272</v>
      </c>
      <c r="M3844" s="71" t="s">
        <v>2272</v>
      </c>
      <c r="N3844" s="71" t="s">
        <v>2272</v>
      </c>
      <c r="O3844" s="71" t="s">
        <v>2272</v>
      </c>
      <c r="P3844" s="71" t="s">
        <v>2272</v>
      </c>
      <c r="Q3844" s="71" t="s">
        <v>2272</v>
      </c>
      <c r="R3844" s="71" t="s">
        <v>2272</v>
      </c>
      <c r="S3844" s="71" t="s">
        <v>2272</v>
      </c>
      <c r="T3844" s="71" t="s">
        <v>2272</v>
      </c>
      <c r="U3844" s="71" t="s">
        <v>2272</v>
      </c>
      <c r="V3844" s="71" t="s">
        <v>2272</v>
      </c>
      <c r="W3844" s="71" t="s">
        <v>2272</v>
      </c>
      <c r="X3844" s="71" t="s">
        <v>2272</v>
      </c>
      <c r="Y3844" s="71" t="s">
        <v>2272</v>
      </c>
      <c r="Z3844" s="71" t="s">
        <v>2272</v>
      </c>
      <c r="AA3844" s="71" t="s">
        <v>2272</v>
      </c>
      <c r="AB3844" s="198"/>
      <c r="AC3844" s="198"/>
    </row>
    <row r="3845" spans="1:29" ht="42" customHeight="1">
      <c r="A3845" s="151" t="str">
        <f>'Reported burning'!A3845</f>
        <v>408h</v>
      </c>
      <c r="B3845" s="151" t="str">
        <f>'Reported burning'!B3845</f>
        <v>408h.4</v>
      </c>
      <c r="C3845" s="151" t="str">
        <f>'Reported burning'!C3845</f>
        <v>Human, deliberate</v>
      </c>
      <c r="D3845" s="151" t="str">
        <f>'Reported burning'!D3845</f>
        <v>Forest clearance</v>
      </c>
      <c r="E3845" s="151" t="str">
        <f>'Reported burning'!E3845</f>
        <v>Forestry, Industrial</v>
      </c>
      <c r="F3845" s="151" t="str">
        <f>'Reported burning'!F3845</f>
        <v>Forest</v>
      </c>
      <c r="G3845" s="151" t="str">
        <f>'Reported burning'!G3845</f>
        <v>Forest</v>
      </c>
      <c r="H3845" s="151" t="str">
        <f>'Reported burning'!H3845</f>
        <v>Presence</v>
      </c>
      <c r="I3845" s="5"/>
      <c r="J3845" s="71" t="s">
        <v>2272</v>
      </c>
      <c r="K3845" s="71" t="s">
        <v>2272</v>
      </c>
      <c r="L3845" s="71" t="s">
        <v>2272</v>
      </c>
      <c r="M3845" s="71" t="s">
        <v>2272</v>
      </c>
      <c r="N3845" s="71" t="s">
        <v>2272</v>
      </c>
      <c r="O3845" s="71" t="s">
        <v>2272</v>
      </c>
      <c r="P3845" s="71" t="s">
        <v>2272</v>
      </c>
      <c r="Q3845" s="71" t="s">
        <v>2272</v>
      </c>
      <c r="R3845" s="71" t="s">
        <v>2272</v>
      </c>
      <c r="S3845" s="71" t="s">
        <v>2272</v>
      </c>
      <c r="T3845" s="71" t="s">
        <v>2272</v>
      </c>
      <c r="U3845" s="71" t="s">
        <v>2272</v>
      </c>
      <c r="V3845" s="71" t="s">
        <v>2272</v>
      </c>
      <c r="W3845" s="71" t="s">
        <v>2272</v>
      </c>
      <c r="X3845" s="71" t="s">
        <v>2272</v>
      </c>
      <c r="Y3845" s="71" t="s">
        <v>2272</v>
      </c>
      <c r="Z3845" s="71" t="s">
        <v>2272</v>
      </c>
      <c r="AA3845" s="71" t="s">
        <v>2272</v>
      </c>
      <c r="AB3845" s="198"/>
      <c r="AC3845" s="77" t="s">
        <v>9837</v>
      </c>
    </row>
    <row r="3846" spans="1:29" ht="42" customHeight="1">
      <c r="A3846" s="151" t="str">
        <f>'Reported burning'!A3846</f>
        <v>408i</v>
      </c>
      <c r="B3846" s="151" t="str">
        <f>'Reported burning'!B3846</f>
        <v>408i.4</v>
      </c>
      <c r="C3846" s="151" t="str">
        <f>'Reported burning'!C3846</f>
        <v>Human, deliberate</v>
      </c>
      <c r="D3846" s="151" t="str">
        <f>'Reported burning'!D3846</f>
        <v>Forest clearance</v>
      </c>
      <c r="E3846" s="151" t="str">
        <f>'Reported burning'!E3846</f>
        <v>Forestry, Industrial</v>
      </c>
      <c r="F3846" s="151" t="str">
        <f>'Reported burning'!F3846</f>
        <v>Forest</v>
      </c>
      <c r="G3846" s="151" t="str">
        <f>'Reported burning'!G3846</f>
        <v>Forest</v>
      </c>
      <c r="H3846" s="151" t="str">
        <f>'Reported burning'!H3846</f>
        <v>Presence</v>
      </c>
      <c r="I3846" s="5"/>
      <c r="J3846" s="71" t="s">
        <v>2272</v>
      </c>
      <c r="K3846" s="71" t="s">
        <v>2272</v>
      </c>
      <c r="L3846" s="71" t="s">
        <v>2272</v>
      </c>
      <c r="M3846" s="71" t="s">
        <v>2272</v>
      </c>
      <c r="N3846" s="71" t="s">
        <v>2272</v>
      </c>
      <c r="O3846" s="71" t="s">
        <v>2272</v>
      </c>
      <c r="P3846" s="71" t="s">
        <v>2272</v>
      </c>
      <c r="Q3846" s="71" t="s">
        <v>2272</v>
      </c>
      <c r="R3846" s="71" t="s">
        <v>2272</v>
      </c>
      <c r="S3846" s="71" t="s">
        <v>2272</v>
      </c>
      <c r="T3846" s="71" t="s">
        <v>2272</v>
      </c>
      <c r="U3846" s="71" t="s">
        <v>2272</v>
      </c>
      <c r="V3846" s="71" t="s">
        <v>2272</v>
      </c>
      <c r="W3846" s="71" t="s">
        <v>2272</v>
      </c>
      <c r="X3846" s="71" t="s">
        <v>2272</v>
      </c>
      <c r="Y3846" s="71" t="s">
        <v>2272</v>
      </c>
      <c r="Z3846" s="71" t="s">
        <v>2272</v>
      </c>
      <c r="AA3846" s="71" t="s">
        <v>2272</v>
      </c>
      <c r="AB3846" s="198"/>
      <c r="AC3846" s="77" t="s">
        <v>9837</v>
      </c>
    </row>
    <row r="3847" spans="1:29" ht="42" customHeight="1">
      <c r="A3847" s="151" t="str">
        <f>'Reported burning'!A3847</f>
        <v>408j</v>
      </c>
      <c r="B3847" s="151" t="str">
        <f>'Reported burning'!B3847</f>
        <v>408j.4</v>
      </c>
      <c r="C3847" s="151" t="str">
        <f>'Reported burning'!C3847</f>
        <v>Human, deliberate</v>
      </c>
      <c r="D3847" s="151" t="str">
        <f>'Reported burning'!D3847</f>
        <v>Forest clearance</v>
      </c>
      <c r="E3847" s="151" t="str">
        <f>'Reported burning'!E3847</f>
        <v>Forestry, Industrial</v>
      </c>
      <c r="F3847" s="151" t="str">
        <f>'Reported burning'!F3847</f>
        <v>Forest</v>
      </c>
      <c r="G3847" s="151" t="str">
        <f>'Reported burning'!G3847</f>
        <v>Forest</v>
      </c>
      <c r="H3847" s="151" t="str">
        <f>'Reported burning'!H3847</f>
        <v>Presence</v>
      </c>
      <c r="I3847" s="5"/>
      <c r="J3847" s="71" t="s">
        <v>2272</v>
      </c>
      <c r="K3847" s="71" t="s">
        <v>2272</v>
      </c>
      <c r="L3847" s="71" t="s">
        <v>2272</v>
      </c>
      <c r="M3847" s="71" t="s">
        <v>2272</v>
      </c>
      <c r="N3847" s="71" t="s">
        <v>2272</v>
      </c>
      <c r="O3847" s="71" t="s">
        <v>2272</v>
      </c>
      <c r="P3847" s="71" t="s">
        <v>2272</v>
      </c>
      <c r="Q3847" s="71" t="s">
        <v>2272</v>
      </c>
      <c r="R3847" s="71" t="s">
        <v>2272</v>
      </c>
      <c r="S3847" s="71" t="s">
        <v>2272</v>
      </c>
      <c r="T3847" s="71" t="s">
        <v>2272</v>
      </c>
      <c r="U3847" s="71" t="s">
        <v>2272</v>
      </c>
      <c r="V3847" s="71" t="s">
        <v>2272</v>
      </c>
      <c r="W3847" s="71" t="s">
        <v>2272</v>
      </c>
      <c r="X3847" s="71" t="s">
        <v>2272</v>
      </c>
      <c r="Y3847" s="71" t="s">
        <v>2272</v>
      </c>
      <c r="Z3847" s="71" t="s">
        <v>2272</v>
      </c>
      <c r="AA3847" s="71" t="s">
        <v>2272</v>
      </c>
      <c r="AB3847" s="198"/>
      <c r="AC3847" s="77" t="s">
        <v>9837</v>
      </c>
    </row>
    <row r="3848" spans="1:29" ht="42" customHeight="1">
      <c r="A3848" s="151" t="str">
        <f>'Reported burning'!A3848</f>
        <v>408m</v>
      </c>
      <c r="B3848" s="151" t="str">
        <f>'Reported burning'!B3848</f>
        <v>408m.4</v>
      </c>
      <c r="C3848" s="151" t="str">
        <f>'Reported burning'!C3848</f>
        <v>Human, deliberate</v>
      </c>
      <c r="D3848" s="151" t="str">
        <f>'Reported burning'!D3848</f>
        <v>Forest clearance</v>
      </c>
      <c r="E3848" s="151" t="str">
        <f>'Reported burning'!E3848</f>
        <v>Forestry, Industrial</v>
      </c>
      <c r="F3848" s="151" t="str">
        <f>'Reported burning'!F3848</f>
        <v>Forest</v>
      </c>
      <c r="G3848" s="151" t="str">
        <f>'Reported burning'!G3848</f>
        <v>Forest</v>
      </c>
      <c r="H3848" s="151" t="str">
        <f>'Reported burning'!H3848</f>
        <v>Presence</v>
      </c>
      <c r="I3848" s="5"/>
      <c r="J3848" s="71" t="s">
        <v>2272</v>
      </c>
      <c r="K3848" s="71" t="s">
        <v>2272</v>
      </c>
      <c r="L3848" s="71" t="s">
        <v>2272</v>
      </c>
      <c r="M3848" s="71" t="s">
        <v>2272</v>
      </c>
      <c r="N3848" s="71" t="s">
        <v>2272</v>
      </c>
      <c r="O3848" s="71" t="s">
        <v>2272</v>
      </c>
      <c r="P3848" s="71" t="s">
        <v>2272</v>
      </c>
      <c r="Q3848" s="71" t="s">
        <v>2272</v>
      </c>
      <c r="R3848" s="71" t="s">
        <v>2272</v>
      </c>
      <c r="S3848" s="71" t="s">
        <v>2272</v>
      </c>
      <c r="T3848" s="71" t="s">
        <v>2272</v>
      </c>
      <c r="U3848" s="71" t="s">
        <v>2272</v>
      </c>
      <c r="V3848" s="71" t="s">
        <v>2272</v>
      </c>
      <c r="W3848" s="71" t="s">
        <v>2272</v>
      </c>
      <c r="X3848" s="71" t="s">
        <v>2272</v>
      </c>
      <c r="Y3848" s="71" t="s">
        <v>2272</v>
      </c>
      <c r="Z3848" s="71" t="s">
        <v>2272</v>
      </c>
      <c r="AA3848" s="71" t="s">
        <v>2272</v>
      </c>
      <c r="AB3848" s="198"/>
      <c r="AC3848" s="77" t="s">
        <v>9837</v>
      </c>
    </row>
    <row r="3849" spans="1:29" ht="42" customHeight="1">
      <c r="A3849" s="151" t="str">
        <f>'Reported burning'!A3849</f>
        <v>408p</v>
      </c>
      <c r="B3849" s="151" t="str">
        <f>'Reported burning'!B3849</f>
        <v>408p.4</v>
      </c>
      <c r="C3849" s="151" t="str">
        <f>'Reported burning'!C3849</f>
        <v>Human, deliberate</v>
      </c>
      <c r="D3849" s="151" t="str">
        <f>'Reported burning'!D3849</f>
        <v>Forest clearance</v>
      </c>
      <c r="E3849" s="151" t="str">
        <f>'Reported burning'!E3849</f>
        <v>Forestry, Industrial</v>
      </c>
      <c r="F3849" s="151" t="str">
        <f>'Reported burning'!F3849</f>
        <v>Forest</v>
      </c>
      <c r="G3849" s="151" t="str">
        <f>'Reported burning'!G3849</f>
        <v>Forest</v>
      </c>
      <c r="H3849" s="151" t="str">
        <f>'Reported burning'!H3849</f>
        <v>Presence</v>
      </c>
      <c r="I3849" s="5"/>
      <c r="J3849" s="71" t="s">
        <v>2272</v>
      </c>
      <c r="K3849" s="71" t="s">
        <v>2272</v>
      </c>
      <c r="L3849" s="71" t="s">
        <v>2272</v>
      </c>
      <c r="M3849" s="71" t="s">
        <v>2272</v>
      </c>
      <c r="N3849" s="71" t="s">
        <v>2272</v>
      </c>
      <c r="O3849" s="71" t="s">
        <v>2272</v>
      </c>
      <c r="P3849" s="71" t="s">
        <v>2272</v>
      </c>
      <c r="Q3849" s="71" t="s">
        <v>2272</v>
      </c>
      <c r="R3849" s="71" t="s">
        <v>2272</v>
      </c>
      <c r="S3849" s="71" t="s">
        <v>2272</v>
      </c>
      <c r="T3849" s="71" t="s">
        <v>2272</v>
      </c>
      <c r="U3849" s="71" t="s">
        <v>2272</v>
      </c>
      <c r="V3849" s="71" t="s">
        <v>2272</v>
      </c>
      <c r="W3849" s="71" t="s">
        <v>2272</v>
      </c>
      <c r="X3849" s="71" t="s">
        <v>2272</v>
      </c>
      <c r="Y3849" s="71" t="s">
        <v>2272</v>
      </c>
      <c r="Z3849" s="71" t="s">
        <v>2272</v>
      </c>
      <c r="AA3849" s="71" t="s">
        <v>2272</v>
      </c>
      <c r="AB3849" s="198"/>
      <c r="AC3849" s="77" t="s">
        <v>9837</v>
      </c>
    </row>
    <row r="3850" spans="1:29" ht="42" customHeight="1">
      <c r="A3850" s="151" t="str">
        <f>'Reported burning'!A3850</f>
        <v>408q</v>
      </c>
      <c r="B3850" s="151" t="str">
        <f>'Reported burning'!B3850</f>
        <v>408q.4</v>
      </c>
      <c r="C3850" s="151" t="str">
        <f>'Reported burning'!C3850</f>
        <v>Human, deliberate</v>
      </c>
      <c r="D3850" s="151" t="str">
        <f>'Reported burning'!D3850</f>
        <v>Forest clearance</v>
      </c>
      <c r="E3850" s="151" t="str">
        <f>'Reported burning'!E3850</f>
        <v>Forestry, Industrial</v>
      </c>
      <c r="F3850" s="151" t="str">
        <f>'Reported burning'!F3850</f>
        <v>Forest</v>
      </c>
      <c r="G3850" s="151" t="str">
        <f>'Reported burning'!G3850</f>
        <v>Forest</v>
      </c>
      <c r="H3850" s="151" t="str">
        <f>'Reported burning'!H3850</f>
        <v>Presence</v>
      </c>
      <c r="I3850" s="5"/>
      <c r="J3850" s="71" t="s">
        <v>2272</v>
      </c>
      <c r="K3850" s="71" t="s">
        <v>2272</v>
      </c>
      <c r="L3850" s="71" t="s">
        <v>2272</v>
      </c>
      <c r="M3850" s="71" t="s">
        <v>2272</v>
      </c>
      <c r="N3850" s="71" t="s">
        <v>2272</v>
      </c>
      <c r="O3850" s="71" t="s">
        <v>2272</v>
      </c>
      <c r="P3850" s="71" t="s">
        <v>2272</v>
      </c>
      <c r="Q3850" s="71" t="s">
        <v>2272</v>
      </c>
      <c r="R3850" s="71" t="s">
        <v>2272</v>
      </c>
      <c r="S3850" s="71" t="s">
        <v>2272</v>
      </c>
      <c r="T3850" s="71" t="s">
        <v>2272</v>
      </c>
      <c r="U3850" s="71" t="s">
        <v>2272</v>
      </c>
      <c r="V3850" s="71" t="s">
        <v>2272</v>
      </c>
      <c r="W3850" s="71" t="s">
        <v>2272</v>
      </c>
      <c r="X3850" s="71" t="s">
        <v>2272</v>
      </c>
      <c r="Y3850" s="71" t="s">
        <v>2272</v>
      </c>
      <c r="Z3850" s="71" t="s">
        <v>2272</v>
      </c>
      <c r="AA3850" s="71" t="s">
        <v>2272</v>
      </c>
      <c r="AB3850" s="198"/>
      <c r="AC3850" s="77" t="s">
        <v>9837</v>
      </c>
    </row>
    <row r="3851" spans="1:29" ht="42" customHeight="1">
      <c r="A3851" s="151" t="str">
        <f>'Reported burning'!A3851</f>
        <v>408r</v>
      </c>
      <c r="B3851" s="151" t="str">
        <f>'Reported burning'!B3851</f>
        <v>408r.4</v>
      </c>
      <c r="C3851" s="151" t="str">
        <f>'Reported burning'!C3851</f>
        <v>Human, deliberate</v>
      </c>
      <c r="D3851" s="151" t="str">
        <f>'Reported burning'!D3851</f>
        <v>Forest clearance</v>
      </c>
      <c r="E3851" s="151" t="str">
        <f>'Reported burning'!E3851</f>
        <v>Forestry, Industrial</v>
      </c>
      <c r="F3851" s="151" t="str">
        <f>'Reported burning'!F3851</f>
        <v>Forest</v>
      </c>
      <c r="G3851" s="151" t="str">
        <f>'Reported burning'!G3851</f>
        <v>Forest</v>
      </c>
      <c r="H3851" s="151" t="str">
        <f>'Reported burning'!H3851</f>
        <v>Presence</v>
      </c>
      <c r="I3851" s="5"/>
      <c r="J3851" s="71" t="s">
        <v>2272</v>
      </c>
      <c r="K3851" s="71" t="s">
        <v>2272</v>
      </c>
      <c r="L3851" s="71" t="s">
        <v>2272</v>
      </c>
      <c r="M3851" s="71" t="s">
        <v>2272</v>
      </c>
      <c r="N3851" s="71" t="s">
        <v>2272</v>
      </c>
      <c r="O3851" s="71" t="s">
        <v>2272</v>
      </c>
      <c r="P3851" s="71" t="s">
        <v>2272</v>
      </c>
      <c r="Q3851" s="71" t="s">
        <v>2272</v>
      </c>
      <c r="R3851" s="71" t="s">
        <v>2272</v>
      </c>
      <c r="S3851" s="71" t="s">
        <v>2272</v>
      </c>
      <c r="T3851" s="71" t="s">
        <v>2272</v>
      </c>
      <c r="U3851" s="71" t="s">
        <v>2272</v>
      </c>
      <c r="V3851" s="71" t="s">
        <v>2272</v>
      </c>
      <c r="W3851" s="71" t="s">
        <v>2272</v>
      </c>
      <c r="X3851" s="71" t="s">
        <v>2272</v>
      </c>
      <c r="Y3851" s="71" t="s">
        <v>2272</v>
      </c>
      <c r="Z3851" s="71" t="s">
        <v>2272</v>
      </c>
      <c r="AA3851" s="71" t="s">
        <v>2272</v>
      </c>
      <c r="AB3851" s="198"/>
      <c r="AC3851" s="77" t="s">
        <v>9837</v>
      </c>
    </row>
    <row r="3852" spans="1:29" ht="48.5" customHeight="1">
      <c r="A3852" s="147" t="str">
        <f>'Reported burning'!A3852</f>
        <v>409a</v>
      </c>
      <c r="B3852" s="147" t="str">
        <f>'Reported burning'!B3852</f>
        <v>409a.1</v>
      </c>
      <c r="C3852" s="147" t="str">
        <f>'Reported burning'!C3852</f>
        <v>Human, escaped</v>
      </c>
      <c r="D3852" s="147" t="str">
        <f>'Reported burning'!D3852</f>
        <v>ND</v>
      </c>
      <c r="E3852" s="147" t="str">
        <f>'Reported burning'!E3852</f>
        <v>Forestry, Traditional</v>
      </c>
      <c r="F3852" s="147" t="str">
        <f>'Reported burning'!F3852</f>
        <v>Shrubland (Mixed forest &amp; grassland)</v>
      </c>
      <c r="G3852" s="147" t="str">
        <f>'Reported burning'!G3852</f>
        <v>Cropland</v>
      </c>
      <c r="H3852" s="147" t="str">
        <f>'Reported burning'!H3852</f>
        <v>Presence</v>
      </c>
      <c r="I3852" s="198"/>
      <c r="J3852" s="71" t="s">
        <v>2272</v>
      </c>
      <c r="K3852" s="71" t="s">
        <v>2272</v>
      </c>
      <c r="L3852" s="71" t="s">
        <v>2272</v>
      </c>
      <c r="M3852" s="71" t="s">
        <v>2272</v>
      </c>
      <c r="N3852" s="71" t="s">
        <v>2272</v>
      </c>
      <c r="O3852" s="71" t="s">
        <v>2272</v>
      </c>
      <c r="P3852" s="71" t="s">
        <v>2272</v>
      </c>
      <c r="Q3852" s="71" t="s">
        <v>2272</v>
      </c>
      <c r="R3852" s="71" t="s">
        <v>2272</v>
      </c>
      <c r="S3852" s="71" t="s">
        <v>2272</v>
      </c>
      <c r="T3852" s="71" t="s">
        <v>2272</v>
      </c>
      <c r="U3852" s="71" t="s">
        <v>2272</v>
      </c>
      <c r="V3852" s="71" t="s">
        <v>2272</v>
      </c>
      <c r="W3852" s="71" t="s">
        <v>2272</v>
      </c>
      <c r="X3852" s="71" t="s">
        <v>2272</v>
      </c>
      <c r="Y3852" s="71" t="s">
        <v>2272</v>
      </c>
      <c r="Z3852" s="71" t="s">
        <v>2272</v>
      </c>
      <c r="AA3852" s="71" t="s">
        <v>2272</v>
      </c>
      <c r="AB3852" s="198"/>
      <c r="AC3852" s="198"/>
    </row>
    <row r="3853" spans="1:29" ht="48.5" customHeight="1">
      <c r="A3853" s="147" t="str">
        <f>'Reported burning'!A3853</f>
        <v>409a</v>
      </c>
      <c r="B3853" s="147" t="str">
        <f>'Reported burning'!B3853</f>
        <v>409a.2</v>
      </c>
      <c r="C3853" s="147" t="str">
        <f>'Reported burning'!C3853</f>
        <v>Human, deliberate</v>
      </c>
      <c r="D3853" s="147" t="str">
        <f>'Reported burning'!D3853</f>
        <v>Hunting</v>
      </c>
      <c r="E3853" s="147" t="str">
        <f>'Reported burning'!E3853</f>
        <v>Forestry, Traditional</v>
      </c>
      <c r="F3853" s="147" t="str">
        <f>'Reported burning'!F3853</f>
        <v>Shrubland (Mixed forest &amp; grassland)</v>
      </c>
      <c r="G3853" s="147" t="str">
        <f>'Reported burning'!G3853</f>
        <v>Shrubland (Mixed forest &amp; grassland)</v>
      </c>
      <c r="H3853" s="147" t="str">
        <f>'Reported burning'!H3853</f>
        <v>Presence</v>
      </c>
      <c r="I3853" s="198"/>
      <c r="J3853" s="71" t="s">
        <v>2272</v>
      </c>
      <c r="K3853" s="71" t="s">
        <v>2272</v>
      </c>
      <c r="L3853" s="71" t="s">
        <v>2272</v>
      </c>
      <c r="M3853" s="71" t="s">
        <v>2272</v>
      </c>
      <c r="N3853" s="71" t="s">
        <v>2272</v>
      </c>
      <c r="O3853" s="71" t="s">
        <v>2272</v>
      </c>
      <c r="P3853" s="71" t="s">
        <v>2272</v>
      </c>
      <c r="Q3853" s="71" t="s">
        <v>2272</v>
      </c>
      <c r="R3853" s="71" t="s">
        <v>2272</v>
      </c>
      <c r="S3853" s="71" t="s">
        <v>2272</v>
      </c>
      <c r="T3853" s="71" t="s">
        <v>2272</v>
      </c>
      <c r="U3853" s="71" t="s">
        <v>2272</v>
      </c>
      <c r="V3853" s="71" t="s">
        <v>2272</v>
      </c>
      <c r="W3853" s="71" t="s">
        <v>2272</v>
      </c>
      <c r="X3853" s="71" t="s">
        <v>2272</v>
      </c>
      <c r="Y3853" s="71" t="s">
        <v>2272</v>
      </c>
      <c r="Z3853" s="71" t="s">
        <v>2272</v>
      </c>
      <c r="AA3853" s="71" t="s">
        <v>2272</v>
      </c>
      <c r="AB3853" s="4" t="s">
        <v>9850</v>
      </c>
      <c r="AC3853" s="198"/>
    </row>
    <row r="3854" spans="1:29" ht="48.5" customHeight="1">
      <c r="A3854" s="147" t="str">
        <f>'Reported burning'!A3854</f>
        <v>409a</v>
      </c>
      <c r="B3854" s="147" t="str">
        <f>'Reported burning'!B3854</f>
        <v>409a.3</v>
      </c>
      <c r="C3854" s="147" t="str">
        <f>'Reported burning'!C3854</f>
        <v>Human, deliberate</v>
      </c>
      <c r="D3854" s="147" t="str">
        <f>'Reported burning'!D3854</f>
        <v>Pyrome management</v>
      </c>
      <c r="E3854" s="147" t="str">
        <f>'Reported burning'!E3854</f>
        <v>Forestry, Traditional</v>
      </c>
      <c r="F3854" s="147" t="str">
        <f>'Reported burning'!F3854</f>
        <v>Shrubland (Mixed forest &amp; grassland)</v>
      </c>
      <c r="G3854" s="147" t="str">
        <f>'Reported burning'!G3854</f>
        <v>Shrubland (Mixed forest &amp; grassland)</v>
      </c>
      <c r="H3854" s="147" t="str">
        <f>'Reported burning'!H3854</f>
        <v>Presence</v>
      </c>
      <c r="I3854" s="198"/>
      <c r="J3854" s="71" t="s">
        <v>2272</v>
      </c>
      <c r="K3854" s="71" t="s">
        <v>2272</v>
      </c>
      <c r="L3854" s="71" t="s">
        <v>2272</v>
      </c>
      <c r="M3854" s="71" t="s">
        <v>2272</v>
      </c>
      <c r="N3854" s="71" t="s">
        <v>2272</v>
      </c>
      <c r="O3854" s="71" t="s">
        <v>2272</v>
      </c>
      <c r="P3854" s="71" t="s">
        <v>2272</v>
      </c>
      <c r="Q3854" s="71" t="s">
        <v>2272</v>
      </c>
      <c r="R3854" s="71" t="s">
        <v>2272</v>
      </c>
      <c r="S3854" s="71" t="s">
        <v>2272</v>
      </c>
      <c r="T3854" s="71" t="s">
        <v>2272</v>
      </c>
      <c r="U3854" s="71" t="s">
        <v>2272</v>
      </c>
      <c r="V3854" s="71" t="s">
        <v>2272</v>
      </c>
      <c r="W3854" s="71" t="s">
        <v>2272</v>
      </c>
      <c r="X3854" s="71" t="s">
        <v>2272</v>
      </c>
      <c r="Y3854" s="71" t="s">
        <v>2272</v>
      </c>
      <c r="Z3854" s="71" t="s">
        <v>2272</v>
      </c>
      <c r="AA3854" s="71" t="s">
        <v>2272</v>
      </c>
      <c r="AB3854" s="4" t="s">
        <v>9850</v>
      </c>
      <c r="AC3854" s="198"/>
    </row>
    <row r="3855" spans="1:29" ht="48.5" customHeight="1">
      <c r="A3855" s="147" t="str">
        <f>'Reported burning'!A3855</f>
        <v>409a</v>
      </c>
      <c r="B3855" s="147" t="str">
        <f>'Reported burning'!B3855</f>
        <v>409a.4</v>
      </c>
      <c r="C3855" s="147" t="str">
        <f>'Reported burning'!C3855</f>
        <v>Human, deliberate</v>
      </c>
      <c r="D3855" s="147" t="str">
        <f>'Reported burning'!D3855</f>
        <v>Cultural &amp; Spiritual</v>
      </c>
      <c r="E3855" s="147" t="str">
        <f>'Reported burning'!E3855</f>
        <v>Forestry, Traditional</v>
      </c>
      <c r="F3855" s="147" t="str">
        <f>'Reported burning'!F3855</f>
        <v>Shrubland (Mixed forest &amp; grassland)</v>
      </c>
      <c r="G3855" s="147" t="str">
        <f>'Reported burning'!G3855</f>
        <v>Shrubland (Mixed forest &amp; grassland)</v>
      </c>
      <c r="H3855" s="147" t="str">
        <f>'Reported burning'!H3855</f>
        <v>Presence</v>
      </c>
      <c r="I3855" s="198"/>
      <c r="J3855" s="71" t="s">
        <v>2272</v>
      </c>
      <c r="K3855" s="71" t="s">
        <v>2272</v>
      </c>
      <c r="L3855" s="71" t="s">
        <v>2272</v>
      </c>
      <c r="M3855" s="71" t="s">
        <v>2272</v>
      </c>
      <c r="N3855" s="71" t="s">
        <v>2272</v>
      </c>
      <c r="O3855" s="71" t="s">
        <v>2272</v>
      </c>
      <c r="P3855" s="71" t="s">
        <v>2272</v>
      </c>
      <c r="Q3855" s="71" t="s">
        <v>2272</v>
      </c>
      <c r="R3855" s="71" t="s">
        <v>2272</v>
      </c>
      <c r="S3855" s="71" t="s">
        <v>2272</v>
      </c>
      <c r="T3855" s="71" t="s">
        <v>2272</v>
      </c>
      <c r="U3855" s="71" t="s">
        <v>2272</v>
      </c>
      <c r="V3855" s="71" t="s">
        <v>2272</v>
      </c>
      <c r="W3855" s="71" t="s">
        <v>2272</v>
      </c>
      <c r="X3855" s="71" t="s">
        <v>2272</v>
      </c>
      <c r="Y3855" s="71" t="s">
        <v>2272</v>
      </c>
      <c r="Z3855" s="71" t="s">
        <v>2272</v>
      </c>
      <c r="AA3855" s="71" t="s">
        <v>2272</v>
      </c>
      <c r="AB3855" s="4" t="s">
        <v>9850</v>
      </c>
      <c r="AC3855" s="198"/>
    </row>
    <row r="3856" spans="1:29" ht="48.5" customHeight="1">
      <c r="A3856" s="147" t="str">
        <f>'Reported burning'!A3856</f>
        <v>409a</v>
      </c>
      <c r="B3856" s="147" t="str">
        <f>'Reported burning'!B3856</f>
        <v>409a.5</v>
      </c>
      <c r="C3856" s="147" t="str">
        <f>'Reported burning'!C3856</f>
        <v>Human, deliberate</v>
      </c>
      <c r="D3856" s="147" t="str">
        <f>'Reported burning'!D3856</f>
        <v>Harvesting of Timber</v>
      </c>
      <c r="E3856" s="147" t="str">
        <f>'Reported burning'!E3856</f>
        <v>Forestry, Small-scale</v>
      </c>
      <c r="F3856" s="147" t="str">
        <f>'Reported burning'!F3856</f>
        <v>Shrubland (Mixed forest &amp; grassland)</v>
      </c>
      <c r="G3856" s="147" t="str">
        <f>'Reported burning'!G3856</f>
        <v>Shrubland (Mixed forest &amp; grassland)</v>
      </c>
      <c r="H3856" s="147" t="str">
        <f>'Reported burning'!H3856</f>
        <v>Presence</v>
      </c>
      <c r="I3856" s="198"/>
      <c r="J3856" s="71" t="s">
        <v>2272</v>
      </c>
      <c r="K3856" s="71" t="s">
        <v>2272</v>
      </c>
      <c r="L3856" s="71" t="s">
        <v>2272</v>
      </c>
      <c r="M3856" s="71" t="s">
        <v>2272</v>
      </c>
      <c r="N3856" s="71" t="s">
        <v>2272</v>
      </c>
      <c r="O3856" s="71" t="s">
        <v>2272</v>
      </c>
      <c r="P3856" s="71" t="s">
        <v>2272</v>
      </c>
      <c r="Q3856" s="71" t="s">
        <v>2272</v>
      </c>
      <c r="R3856" s="71" t="s">
        <v>2272</v>
      </c>
      <c r="S3856" s="71" t="s">
        <v>2272</v>
      </c>
      <c r="T3856" s="71" t="s">
        <v>2272</v>
      </c>
      <c r="U3856" s="71" t="s">
        <v>2272</v>
      </c>
      <c r="V3856" s="71" t="s">
        <v>2272</v>
      </c>
      <c r="W3856" s="71" t="s">
        <v>2272</v>
      </c>
      <c r="X3856" s="71" t="s">
        <v>2272</v>
      </c>
      <c r="Y3856" s="71" t="s">
        <v>2272</v>
      </c>
      <c r="Z3856" s="71" t="s">
        <v>2272</v>
      </c>
      <c r="AA3856" s="71" t="s">
        <v>2272</v>
      </c>
      <c r="AB3856" s="77" t="s">
        <v>9847</v>
      </c>
      <c r="AC3856" s="198"/>
    </row>
    <row r="3857" spans="1:29" ht="48.5" customHeight="1">
      <c r="A3857" s="147" t="str">
        <f>'Reported burning'!A3857</f>
        <v>409a</v>
      </c>
      <c r="B3857" s="147" t="str">
        <f>'Reported burning'!B3857</f>
        <v>409a.6</v>
      </c>
      <c r="C3857" s="147" t="str">
        <f>'Reported burning'!C3857</f>
        <v>Human, escaped</v>
      </c>
      <c r="D3857" s="147" t="str">
        <f>'Reported burning'!D3857</f>
        <v>Harvesting of Timber</v>
      </c>
      <c r="E3857" s="147" t="str">
        <f>'Reported burning'!E3857</f>
        <v>Forestry, Small-scale</v>
      </c>
      <c r="F3857" s="147" t="str">
        <f>'Reported burning'!F3857</f>
        <v>Shrubland (Mixed forest &amp; grassland)</v>
      </c>
      <c r="G3857" s="147" t="str">
        <f>'Reported burning'!G3857</f>
        <v>Shrubland (Mixed forest &amp; grassland)</v>
      </c>
      <c r="H3857" s="147" t="str">
        <f>'Reported burning'!H3857</f>
        <v>Presence</v>
      </c>
      <c r="I3857" s="198"/>
      <c r="J3857" s="71" t="s">
        <v>2272</v>
      </c>
      <c r="K3857" s="71" t="s">
        <v>2272</v>
      </c>
      <c r="L3857" s="71" t="s">
        <v>2272</v>
      </c>
      <c r="M3857" s="71" t="s">
        <v>2272</v>
      </c>
      <c r="N3857" s="71" t="s">
        <v>2272</v>
      </c>
      <c r="O3857" s="71" t="s">
        <v>2272</v>
      </c>
      <c r="P3857" s="71" t="s">
        <v>2272</v>
      </c>
      <c r="Q3857" s="71" t="s">
        <v>2272</v>
      </c>
      <c r="R3857" s="71" t="s">
        <v>2272</v>
      </c>
      <c r="S3857" s="71" t="s">
        <v>2272</v>
      </c>
      <c r="T3857" s="71" t="s">
        <v>2272</v>
      </c>
      <c r="U3857" s="71" t="s">
        <v>2272</v>
      </c>
      <c r="V3857" s="71" t="s">
        <v>2272</v>
      </c>
      <c r="W3857" s="71" t="s">
        <v>2272</v>
      </c>
      <c r="X3857" s="71" t="s">
        <v>2272</v>
      </c>
      <c r="Y3857" s="71" t="s">
        <v>2272</v>
      </c>
      <c r="Z3857" s="71" t="s">
        <v>2272</v>
      </c>
      <c r="AA3857" s="71" t="s">
        <v>2272</v>
      </c>
      <c r="AB3857" s="198"/>
      <c r="AC3857" s="198"/>
    </row>
    <row r="3858" spans="1:29" ht="48.5" customHeight="1">
      <c r="A3858" s="147" t="str">
        <f>'Reported burning'!A3858</f>
        <v>409a</v>
      </c>
      <c r="B3858" s="147" t="str">
        <f>'Reported burning'!B3858</f>
        <v>409a.7</v>
      </c>
      <c r="C3858" s="147" t="str">
        <f>'Reported burning'!C3858</f>
        <v>Human, escaped</v>
      </c>
      <c r="D3858" s="147" t="str">
        <f>'Reported burning'!D3858</f>
        <v>Pyrome management</v>
      </c>
      <c r="E3858" s="147" t="str">
        <f>'Reported burning'!E3858</f>
        <v>Forestry, Traditional</v>
      </c>
      <c r="F3858" s="147" t="str">
        <f>'Reported burning'!F3858</f>
        <v>Forest</v>
      </c>
      <c r="G3858" s="147" t="str">
        <f>'Reported burning'!G3858</f>
        <v>Forest</v>
      </c>
      <c r="H3858" s="147" t="str">
        <f>'Reported burning'!H3858</f>
        <v>Presence</v>
      </c>
      <c r="I3858" s="198"/>
      <c r="J3858" s="71" t="s">
        <v>2272</v>
      </c>
      <c r="K3858" s="71" t="s">
        <v>2272</v>
      </c>
      <c r="L3858" s="71" t="s">
        <v>2272</v>
      </c>
      <c r="M3858" s="71" t="s">
        <v>2272</v>
      </c>
      <c r="N3858" s="71" t="s">
        <v>2272</v>
      </c>
      <c r="O3858" s="71" t="s">
        <v>2272</v>
      </c>
      <c r="P3858" s="71" t="s">
        <v>2272</v>
      </c>
      <c r="Q3858" s="71" t="s">
        <v>2272</v>
      </c>
      <c r="R3858" s="71" t="s">
        <v>2272</v>
      </c>
      <c r="S3858" s="71" t="s">
        <v>2272</v>
      </c>
      <c r="T3858" s="71" t="s">
        <v>2272</v>
      </c>
      <c r="U3858" s="71" t="s">
        <v>2272</v>
      </c>
      <c r="V3858" s="71" t="s">
        <v>2272</v>
      </c>
      <c r="W3858" s="71" t="s">
        <v>2272</v>
      </c>
      <c r="X3858" s="21" t="s">
        <v>2370</v>
      </c>
      <c r="Y3858" s="71" t="s">
        <v>2272</v>
      </c>
      <c r="Z3858" s="71" t="s">
        <v>2272</v>
      </c>
      <c r="AA3858" s="71" t="s">
        <v>2272</v>
      </c>
      <c r="AB3858" s="4" t="s">
        <v>9851</v>
      </c>
      <c r="AC3858" s="198"/>
    </row>
    <row r="3859" spans="1:29" ht="48.5" customHeight="1">
      <c r="A3859" s="151" t="str">
        <f>'Reported burning'!A3859</f>
        <v>410a</v>
      </c>
      <c r="B3859" s="151" t="str">
        <f>'Reported burning'!B3859</f>
        <v>410a.1</v>
      </c>
      <c r="C3859" s="151" t="str">
        <f>'Reported burning'!C3859</f>
        <v>Human, deliberate</v>
      </c>
      <c r="D3859" s="151" t="str">
        <f>'Reported burning'!D3859</f>
        <v>Forest clearance</v>
      </c>
      <c r="E3859" s="151" t="str">
        <f>'Reported burning'!E3859</f>
        <v>Cropping, Swidden</v>
      </c>
      <c r="F3859" s="151" t="str">
        <f>'Reported burning'!F3859</f>
        <v>Forest</v>
      </c>
      <c r="G3859" s="151" t="str">
        <f>'Reported burning'!G3859</f>
        <v>Forest</v>
      </c>
      <c r="H3859" s="151" t="str">
        <f>'Reported burning'!H3859</f>
        <v>Presence</v>
      </c>
      <c r="I3859" s="5"/>
      <c r="J3859" s="71" t="s">
        <v>2272</v>
      </c>
      <c r="K3859" s="71" t="s">
        <v>2272</v>
      </c>
      <c r="L3859" s="71" t="s">
        <v>2272</v>
      </c>
      <c r="M3859" s="71" t="s">
        <v>2272</v>
      </c>
      <c r="N3859" s="71" t="s">
        <v>2272</v>
      </c>
      <c r="O3859" s="71" t="s">
        <v>2272</v>
      </c>
      <c r="P3859" s="71" t="s">
        <v>2272</v>
      </c>
      <c r="Q3859" s="71" t="s">
        <v>2272</v>
      </c>
      <c r="R3859" s="71" t="s">
        <v>2272</v>
      </c>
      <c r="S3859" s="71" t="s">
        <v>2272</v>
      </c>
      <c r="T3859" s="71" t="s">
        <v>2272</v>
      </c>
      <c r="U3859" s="71" t="s">
        <v>2272</v>
      </c>
      <c r="V3859" s="71" t="s">
        <v>2272</v>
      </c>
      <c r="W3859" s="71" t="s">
        <v>2272</v>
      </c>
      <c r="X3859" s="71" t="s">
        <v>2272</v>
      </c>
      <c r="Y3859" s="71" t="s">
        <v>2272</v>
      </c>
      <c r="Z3859" s="71" t="s">
        <v>2272</v>
      </c>
      <c r="AA3859" s="71" t="s">
        <v>2272</v>
      </c>
      <c r="AB3859" s="198"/>
      <c r="AC3859" s="198"/>
    </row>
    <row r="3860" spans="1:29" ht="46" customHeight="1">
      <c r="A3860" s="151" t="str">
        <f>'Reported burning'!A3860</f>
        <v>410a</v>
      </c>
      <c r="B3860" s="151" t="str">
        <f>'Reported burning'!B3860</f>
        <v>410a.2</v>
      </c>
      <c r="C3860" s="151" t="str">
        <f>'Reported burning'!C3860</f>
        <v>Human, deliberate</v>
      </c>
      <c r="D3860" s="151" t="str">
        <f>'Reported burning'!D3860</f>
        <v>Crop field preparation</v>
      </c>
      <c r="E3860" s="151" t="str">
        <f>'Reported burning'!E3860</f>
        <v>Cropping, Monoculture, Subsistence-oriented</v>
      </c>
      <c r="F3860" s="151" t="str">
        <f>'Reported burning'!F3860</f>
        <v>Forest</v>
      </c>
      <c r="G3860" s="151" t="str">
        <f>'Reported burning'!G3860</f>
        <v>Forest</v>
      </c>
      <c r="H3860" s="151" t="str">
        <f>'Reported burning'!H3860</f>
        <v>Presence</v>
      </c>
      <c r="I3860" s="5"/>
      <c r="J3860" s="71" t="s">
        <v>2272</v>
      </c>
      <c r="K3860" s="71" t="s">
        <v>2272</v>
      </c>
      <c r="L3860" s="71" t="s">
        <v>2272</v>
      </c>
      <c r="M3860" s="71" t="s">
        <v>2272</v>
      </c>
      <c r="N3860" s="71" t="s">
        <v>2272</v>
      </c>
      <c r="O3860" s="71" t="s">
        <v>2272</v>
      </c>
      <c r="P3860" s="71" t="s">
        <v>2272</v>
      </c>
      <c r="Q3860" s="71" t="s">
        <v>2272</v>
      </c>
      <c r="R3860" s="71" t="s">
        <v>2272</v>
      </c>
      <c r="S3860" s="71" t="s">
        <v>2272</v>
      </c>
      <c r="T3860" s="71" t="s">
        <v>2272</v>
      </c>
      <c r="U3860" s="71" t="s">
        <v>2272</v>
      </c>
      <c r="V3860" s="71" t="s">
        <v>2272</v>
      </c>
      <c r="W3860" s="71" t="s">
        <v>2272</v>
      </c>
      <c r="X3860" s="71" t="s">
        <v>2272</v>
      </c>
      <c r="Y3860" s="71" t="s">
        <v>2272</v>
      </c>
      <c r="Z3860" s="71" t="s">
        <v>2272</v>
      </c>
      <c r="AA3860" s="71" t="s">
        <v>2272</v>
      </c>
      <c r="AB3860" s="198"/>
      <c r="AC3860" s="198"/>
    </row>
    <row r="3861" spans="1:29" ht="46" customHeight="1">
      <c r="A3861" s="151" t="str">
        <f>'Reported burning'!A3861</f>
        <v>410a</v>
      </c>
      <c r="B3861" s="151" t="str">
        <f>'Reported burning'!B3861</f>
        <v>410a.3</v>
      </c>
      <c r="C3861" s="151" t="str">
        <f>'Reported burning'!C3861</f>
        <v>Human, deliberate</v>
      </c>
      <c r="D3861" s="151" t="str">
        <f>'Reported burning'!D3861</f>
        <v>Forest clearance</v>
      </c>
      <c r="E3861" s="151" t="str">
        <f>'Reported burning'!E3861</f>
        <v>Agroforestry, Subsistence-oriented</v>
      </c>
      <c r="F3861" s="151" t="str">
        <f>'Reported burning'!F3861</f>
        <v>Forest</v>
      </c>
      <c r="G3861" s="151" t="str">
        <f>'Reported burning'!G3861</f>
        <v>Forest</v>
      </c>
      <c r="H3861" s="151" t="str">
        <f>'Reported burning'!H3861</f>
        <v>Presence</v>
      </c>
      <c r="I3861" s="5"/>
      <c r="J3861" s="71" t="s">
        <v>2272</v>
      </c>
      <c r="K3861" s="71" t="s">
        <v>2272</v>
      </c>
      <c r="L3861" s="71" t="s">
        <v>2272</v>
      </c>
      <c r="M3861" s="71" t="s">
        <v>2272</v>
      </c>
      <c r="N3861" s="71" t="s">
        <v>2272</v>
      </c>
      <c r="O3861" s="71" t="s">
        <v>2272</v>
      </c>
      <c r="P3861" s="71" t="s">
        <v>2272</v>
      </c>
      <c r="Q3861" s="71" t="s">
        <v>2272</v>
      </c>
      <c r="R3861" s="71" t="s">
        <v>2272</v>
      </c>
      <c r="S3861" s="71" t="s">
        <v>2272</v>
      </c>
      <c r="T3861" s="71" t="s">
        <v>2272</v>
      </c>
      <c r="U3861" s="71" t="s">
        <v>2272</v>
      </c>
      <c r="V3861" s="71" t="s">
        <v>2272</v>
      </c>
      <c r="W3861" s="71" t="s">
        <v>2272</v>
      </c>
      <c r="X3861" s="71" t="s">
        <v>2272</v>
      </c>
      <c r="Y3861" s="71" t="s">
        <v>2272</v>
      </c>
      <c r="Z3861" s="71" t="s">
        <v>2272</v>
      </c>
      <c r="AA3861" s="71" t="s">
        <v>2272</v>
      </c>
      <c r="AB3861" s="198"/>
      <c r="AC3861" s="198"/>
    </row>
    <row r="3862" spans="1:29" ht="52" customHeight="1">
      <c r="A3862" s="151" t="str">
        <f>'Reported burning'!A3862</f>
        <v>412a</v>
      </c>
      <c r="B3862" s="151" t="str">
        <f>'Reported burning'!B3862</f>
        <v>412a.1</v>
      </c>
      <c r="C3862" s="151" t="str">
        <f>'Reported burning'!C3862</f>
        <v>Human, deliberate</v>
      </c>
      <c r="D3862" s="151" t="str">
        <f>'Reported burning'!D3862</f>
        <v>Harvesting of Timber</v>
      </c>
      <c r="E3862" s="151" t="str">
        <f>'Reported burning'!E3862</f>
        <v>Forestry, Traditional</v>
      </c>
      <c r="F3862" s="151" t="str">
        <f>'Reported burning'!F3862</f>
        <v>Forest</v>
      </c>
      <c r="G3862" s="151" t="str">
        <f>'Reported burning'!G3862</f>
        <v>Forest</v>
      </c>
      <c r="H3862" s="151" t="str">
        <f>'Reported burning'!H3862</f>
        <v>Presence</v>
      </c>
      <c r="I3862" s="5"/>
      <c r="J3862" s="71" t="s">
        <v>2272</v>
      </c>
      <c r="K3862" s="71" t="s">
        <v>2272</v>
      </c>
      <c r="L3862" s="71" t="s">
        <v>2272</v>
      </c>
      <c r="M3862" s="71" t="s">
        <v>2272</v>
      </c>
      <c r="N3862" s="71" t="s">
        <v>2272</v>
      </c>
      <c r="O3862" s="71" t="s">
        <v>2272</v>
      </c>
      <c r="P3862" s="71" t="s">
        <v>2272</v>
      </c>
      <c r="Q3862" s="71" t="s">
        <v>2272</v>
      </c>
      <c r="R3862" s="71" t="s">
        <v>2272</v>
      </c>
      <c r="S3862" s="71" t="s">
        <v>2272</v>
      </c>
      <c r="T3862" s="71" t="s">
        <v>2272</v>
      </c>
      <c r="U3862" s="71" t="s">
        <v>2272</v>
      </c>
      <c r="V3862" s="71" t="s">
        <v>2272</v>
      </c>
      <c r="W3862" s="71" t="s">
        <v>2272</v>
      </c>
      <c r="X3862" s="71" t="s">
        <v>2272</v>
      </c>
      <c r="Y3862" s="71" t="s">
        <v>2272</v>
      </c>
      <c r="Z3862" s="71" t="s">
        <v>2272</v>
      </c>
      <c r="AA3862" s="71" t="s">
        <v>2272</v>
      </c>
      <c r="AB3862" s="198"/>
      <c r="AC3862" s="198"/>
    </row>
    <row r="3863" spans="1:29" ht="52" customHeight="1">
      <c r="A3863" s="151" t="str">
        <f>'Reported burning'!A3863</f>
        <v>412a</v>
      </c>
      <c r="B3863" s="151" t="str">
        <f>'Reported burning'!B3863</f>
        <v>412a.2</v>
      </c>
      <c r="C3863" s="151" t="str">
        <f>'Reported burning'!C3863</f>
        <v>Human, deliberate</v>
      </c>
      <c r="D3863" s="151" t="str">
        <f>'Reported burning'!D3863</f>
        <v>Harvesting of NTFP</v>
      </c>
      <c r="E3863" s="151" t="str">
        <f>'Reported burning'!E3863</f>
        <v>Forestry, Traditional</v>
      </c>
      <c r="F3863" s="151" t="str">
        <f>'Reported burning'!F3863</f>
        <v>Forest</v>
      </c>
      <c r="G3863" s="151" t="str">
        <f>'Reported burning'!G3863</f>
        <v>Forest</v>
      </c>
      <c r="H3863" s="151" t="str">
        <f>'Reported burning'!H3863</f>
        <v>Presence</v>
      </c>
      <c r="I3863" s="5"/>
      <c r="J3863" s="71" t="s">
        <v>2272</v>
      </c>
      <c r="K3863" s="71" t="s">
        <v>2272</v>
      </c>
      <c r="L3863" s="71" t="s">
        <v>2272</v>
      </c>
      <c r="M3863" s="71" t="s">
        <v>2272</v>
      </c>
      <c r="N3863" s="71" t="s">
        <v>2272</v>
      </c>
      <c r="O3863" s="71" t="s">
        <v>2272</v>
      </c>
      <c r="P3863" s="71" t="s">
        <v>2272</v>
      </c>
      <c r="Q3863" s="71" t="s">
        <v>2272</v>
      </c>
      <c r="R3863" s="71" t="s">
        <v>2272</v>
      </c>
      <c r="S3863" s="71" t="s">
        <v>2272</v>
      </c>
      <c r="T3863" s="71" t="s">
        <v>2272</v>
      </c>
      <c r="U3863" s="71" t="s">
        <v>2272</v>
      </c>
      <c r="V3863" s="71" t="s">
        <v>2272</v>
      </c>
      <c r="W3863" s="71" t="s">
        <v>2272</v>
      </c>
      <c r="X3863" s="71" t="s">
        <v>2272</v>
      </c>
      <c r="Y3863" s="71" t="s">
        <v>2272</v>
      </c>
      <c r="Z3863" s="71" t="s">
        <v>2272</v>
      </c>
      <c r="AA3863" s="71" t="s">
        <v>2272</v>
      </c>
      <c r="AB3863" s="198"/>
      <c r="AC3863" s="198"/>
    </row>
    <row r="3864" spans="1:29" s="197" customFormat="1" ht="52" customHeight="1">
      <c r="A3864" s="151" t="str">
        <f>'Reported burning'!A3864</f>
        <v>412a</v>
      </c>
      <c r="B3864" s="151" t="str">
        <f>'Reported burning'!B3864</f>
        <v>412a.3</v>
      </c>
      <c r="C3864" s="151" t="str">
        <f>'Reported burning'!C3864</f>
        <v>Human, deliberate</v>
      </c>
      <c r="D3864" s="151" t="str">
        <f>'Reported burning'!D3864</f>
        <v>Pasture renewal</v>
      </c>
      <c r="E3864" s="151" t="str">
        <f>'Reported burning'!E3864</f>
        <v>Cattle, Extensive</v>
      </c>
      <c r="F3864" s="151" t="str">
        <f>'Reported burning'!F3864</f>
        <v>Shrubland (Mixed forest &amp; grassland)</v>
      </c>
      <c r="G3864" s="151" t="str">
        <f>'Reported burning'!G3864</f>
        <v>Shrubland (Mixed forest &amp; grassland)</v>
      </c>
      <c r="H3864" s="151" t="str">
        <f>'Reported burning'!H3864</f>
        <v>Presence</v>
      </c>
      <c r="I3864" s="5"/>
      <c r="J3864" s="71" t="s">
        <v>2272</v>
      </c>
      <c r="K3864" s="71" t="s">
        <v>2272</v>
      </c>
      <c r="L3864" s="71" t="s">
        <v>2272</v>
      </c>
      <c r="M3864" s="71" t="s">
        <v>2272</v>
      </c>
      <c r="N3864" s="71" t="s">
        <v>2272</v>
      </c>
      <c r="O3864" s="71" t="s">
        <v>2272</v>
      </c>
      <c r="P3864" s="71" t="s">
        <v>2272</v>
      </c>
      <c r="Q3864" s="71" t="s">
        <v>2272</v>
      </c>
      <c r="R3864" s="71" t="s">
        <v>2272</v>
      </c>
      <c r="S3864" s="71" t="s">
        <v>2272</v>
      </c>
      <c r="T3864" s="71" t="s">
        <v>2272</v>
      </c>
      <c r="U3864" s="71" t="s">
        <v>2272</v>
      </c>
      <c r="V3864" s="71" t="s">
        <v>2272</v>
      </c>
      <c r="W3864" s="71" t="s">
        <v>2272</v>
      </c>
      <c r="X3864" s="71" t="s">
        <v>2272</v>
      </c>
      <c r="Y3864" s="71" t="s">
        <v>2272</v>
      </c>
      <c r="Z3864" s="71" t="s">
        <v>2272</v>
      </c>
      <c r="AA3864" s="71" t="s">
        <v>2272</v>
      </c>
      <c r="AB3864" s="198"/>
      <c r="AC3864" s="198"/>
    </row>
    <row r="3865" spans="1:29" s="197" customFormat="1" ht="52" customHeight="1">
      <c r="A3865" s="151" t="str">
        <f>'Reported burning'!A3865</f>
        <v>412a</v>
      </c>
      <c r="B3865" s="151" t="str">
        <f>'Reported burning'!B3865</f>
        <v>412a.4</v>
      </c>
      <c r="C3865" s="151" t="str">
        <f>'Reported burning'!C3865</f>
        <v>Human, deliberate</v>
      </c>
      <c r="D3865" s="151" t="str">
        <f>'Reported burning'!D3865</f>
        <v>Hunting</v>
      </c>
      <c r="E3865" s="151" t="str">
        <f>'Reported burning'!E3865</f>
        <v>Forestry, Traditional</v>
      </c>
      <c r="F3865" s="151" t="str">
        <f>'Reported burning'!F3865</f>
        <v>Forest</v>
      </c>
      <c r="G3865" s="151" t="str">
        <f>'Reported burning'!G3865</f>
        <v>Forest</v>
      </c>
      <c r="H3865" s="151" t="str">
        <f>'Reported burning'!H3865</f>
        <v>Presence</v>
      </c>
      <c r="I3865" s="5"/>
      <c r="J3865" s="71" t="s">
        <v>2272</v>
      </c>
      <c r="K3865" s="71" t="s">
        <v>2272</v>
      </c>
      <c r="L3865" s="71" t="s">
        <v>2272</v>
      </c>
      <c r="M3865" s="71" t="s">
        <v>2272</v>
      </c>
      <c r="N3865" s="71" t="s">
        <v>2272</v>
      </c>
      <c r="O3865" s="71" t="s">
        <v>2272</v>
      </c>
      <c r="P3865" s="71" t="s">
        <v>2272</v>
      </c>
      <c r="Q3865" s="71" t="s">
        <v>2272</v>
      </c>
      <c r="R3865" s="71" t="s">
        <v>2272</v>
      </c>
      <c r="S3865" s="71" t="s">
        <v>2272</v>
      </c>
      <c r="T3865" s="71" t="s">
        <v>2272</v>
      </c>
      <c r="U3865" s="71" t="s">
        <v>2272</v>
      </c>
      <c r="V3865" s="71" t="s">
        <v>2272</v>
      </c>
      <c r="W3865" s="71" t="s">
        <v>2272</v>
      </c>
      <c r="X3865" s="71" t="s">
        <v>2272</v>
      </c>
      <c r="Y3865" s="71" t="s">
        <v>2272</v>
      </c>
      <c r="Z3865" s="71" t="s">
        <v>2272</v>
      </c>
      <c r="AA3865" s="71" t="s">
        <v>2272</v>
      </c>
      <c r="AB3865" s="198"/>
      <c r="AC3865" s="198"/>
    </row>
    <row r="3866" spans="1:29" s="197" customFormat="1" ht="52" customHeight="1">
      <c r="A3866" s="151" t="str">
        <f>'Reported burning'!A3866</f>
        <v>412a</v>
      </c>
      <c r="B3866" s="151" t="str">
        <f>'Reported burning'!B3866</f>
        <v>412a.5</v>
      </c>
      <c r="C3866" s="151" t="str">
        <f>'Reported burning'!C3866</f>
        <v>Human, deliberate</v>
      </c>
      <c r="D3866" s="151" t="str">
        <f>'Reported burning'!D3866</f>
        <v>Pest management</v>
      </c>
      <c r="E3866" s="151" t="str">
        <f>'Reported burning'!E3866</f>
        <v>Cattle, Extensive</v>
      </c>
      <c r="F3866" s="151" t="str">
        <f>'Reported burning'!F3866</f>
        <v>Shrubland (Mixed forest &amp; grassland)</v>
      </c>
      <c r="G3866" s="151" t="str">
        <f>'Reported burning'!G3866</f>
        <v>Shrubland (Mixed forest &amp; grassland)</v>
      </c>
      <c r="H3866" s="151" t="str">
        <f>'Reported burning'!H3866</f>
        <v>Presence</v>
      </c>
      <c r="I3866" s="5"/>
      <c r="J3866" s="71" t="s">
        <v>2272</v>
      </c>
      <c r="K3866" s="71" t="s">
        <v>2272</v>
      </c>
      <c r="L3866" s="71" t="s">
        <v>2272</v>
      </c>
      <c r="M3866" s="71" t="s">
        <v>2272</v>
      </c>
      <c r="N3866" s="71" t="s">
        <v>2272</v>
      </c>
      <c r="O3866" s="71" t="s">
        <v>2272</v>
      </c>
      <c r="P3866" s="71" t="s">
        <v>2272</v>
      </c>
      <c r="Q3866" s="71" t="s">
        <v>2272</v>
      </c>
      <c r="R3866" s="71" t="s">
        <v>2272</v>
      </c>
      <c r="S3866" s="71" t="s">
        <v>2272</v>
      </c>
      <c r="T3866" s="71" t="s">
        <v>2272</v>
      </c>
      <c r="U3866" s="71" t="s">
        <v>2272</v>
      </c>
      <c r="V3866" s="71" t="s">
        <v>2272</v>
      </c>
      <c r="W3866" s="71" t="s">
        <v>2272</v>
      </c>
      <c r="X3866" s="71" t="s">
        <v>2272</v>
      </c>
      <c r="Y3866" s="71" t="s">
        <v>2272</v>
      </c>
      <c r="Z3866" s="71" t="s">
        <v>2272</v>
      </c>
      <c r="AA3866" s="71" t="s">
        <v>2272</v>
      </c>
      <c r="AB3866" s="198"/>
      <c r="AC3866" s="198"/>
    </row>
    <row r="3867" spans="1:29" s="197" customFormat="1" ht="52" customHeight="1">
      <c r="A3867" s="151" t="str">
        <f>'Reported burning'!A3867</f>
        <v>412a</v>
      </c>
      <c r="B3867" s="151" t="str">
        <f>'Reported burning'!B3867</f>
        <v>412a.6</v>
      </c>
      <c r="C3867" s="151" t="str">
        <f>'Reported burning'!C3867</f>
        <v>Human, escaped</v>
      </c>
      <c r="D3867" s="151" t="str">
        <f>'Reported burning'!D3867</f>
        <v>ND</v>
      </c>
      <c r="E3867" s="151" t="str">
        <f>'Reported burning'!E3867</f>
        <v>Cropping, Swidden</v>
      </c>
      <c r="F3867" s="151" t="str">
        <f>'Reported burning'!F3867</f>
        <v>Cropland</v>
      </c>
      <c r="G3867" s="151" t="str">
        <f>'Reported burning'!G3867</f>
        <v>Forest</v>
      </c>
      <c r="H3867" s="151" t="str">
        <f>'Reported burning'!H3867</f>
        <v>Presence</v>
      </c>
      <c r="I3867" s="5"/>
      <c r="J3867" s="71" t="s">
        <v>2272</v>
      </c>
      <c r="K3867" s="71" t="s">
        <v>2272</v>
      </c>
      <c r="L3867" s="71" t="s">
        <v>2272</v>
      </c>
      <c r="M3867" s="71" t="s">
        <v>2272</v>
      </c>
      <c r="N3867" s="71" t="s">
        <v>2272</v>
      </c>
      <c r="O3867" s="71" t="s">
        <v>2272</v>
      </c>
      <c r="P3867" s="71" t="s">
        <v>2272</v>
      </c>
      <c r="Q3867" s="71" t="s">
        <v>2272</v>
      </c>
      <c r="R3867" s="71" t="s">
        <v>2272</v>
      </c>
      <c r="S3867" s="71" t="s">
        <v>2272</v>
      </c>
      <c r="T3867" s="71" t="s">
        <v>2272</v>
      </c>
      <c r="U3867" s="71" t="s">
        <v>2272</v>
      </c>
      <c r="V3867" s="71" t="s">
        <v>2272</v>
      </c>
      <c r="W3867" s="71" t="s">
        <v>2272</v>
      </c>
      <c r="X3867" s="71" t="s">
        <v>2272</v>
      </c>
      <c r="Y3867" s="71" t="s">
        <v>2272</v>
      </c>
      <c r="Z3867" s="71" t="s">
        <v>2272</v>
      </c>
      <c r="AA3867" s="71" t="s">
        <v>2272</v>
      </c>
      <c r="AB3867" s="198"/>
      <c r="AC3867" s="198"/>
    </row>
    <row r="3868" spans="1:29" s="197" customFormat="1" ht="52" customHeight="1">
      <c r="A3868" s="151" t="str">
        <f>'Reported burning'!A3868</f>
        <v>412a</v>
      </c>
      <c r="B3868" s="151" t="str">
        <f>'Reported burning'!B3868</f>
        <v>412a.7</v>
      </c>
      <c r="C3868" s="151" t="str">
        <f>'Reported burning'!C3868</f>
        <v>Human, deliberate</v>
      </c>
      <c r="D3868" s="151" t="str">
        <f>'Reported burning'!D3868</f>
        <v>Arson</v>
      </c>
      <c r="E3868" s="151" t="str">
        <f>'Reported burning'!E3868</f>
        <v>ND</v>
      </c>
      <c r="F3868" s="151" t="str">
        <f>'Reported burning'!F3868</f>
        <v>Forest</v>
      </c>
      <c r="G3868" s="151" t="str">
        <f>'Reported burning'!G3868</f>
        <v>Forest</v>
      </c>
      <c r="H3868" s="151" t="str">
        <f>'Reported burning'!H3868</f>
        <v>Presence</v>
      </c>
      <c r="I3868" s="5"/>
      <c r="J3868" s="71" t="s">
        <v>2272</v>
      </c>
      <c r="K3868" s="71" t="s">
        <v>2272</v>
      </c>
      <c r="L3868" s="71" t="s">
        <v>2272</v>
      </c>
      <c r="M3868" s="71" t="s">
        <v>2272</v>
      </c>
      <c r="N3868" s="71" t="s">
        <v>2272</v>
      </c>
      <c r="O3868" s="71" t="s">
        <v>2272</v>
      </c>
      <c r="P3868" s="71" t="s">
        <v>2272</v>
      </c>
      <c r="Q3868" s="71" t="s">
        <v>2272</v>
      </c>
      <c r="R3868" s="71" t="s">
        <v>2272</v>
      </c>
      <c r="S3868" s="71" t="s">
        <v>2272</v>
      </c>
      <c r="T3868" s="71" t="s">
        <v>2272</v>
      </c>
      <c r="U3868" s="71" t="s">
        <v>2272</v>
      </c>
      <c r="V3868" s="71" t="s">
        <v>2272</v>
      </c>
      <c r="W3868" s="71" t="s">
        <v>2272</v>
      </c>
      <c r="X3868" s="71" t="s">
        <v>2272</v>
      </c>
      <c r="Y3868" s="71" t="s">
        <v>2272</v>
      </c>
      <c r="Z3868" s="71" t="s">
        <v>2272</v>
      </c>
      <c r="AA3868" s="71" t="s">
        <v>2272</v>
      </c>
      <c r="AB3868" s="198"/>
      <c r="AC3868" s="198"/>
    </row>
    <row r="3869" spans="1:29" s="197" customFormat="1" ht="48" customHeight="1">
      <c r="A3869" s="151" t="str">
        <f>'Reported burning'!A3869</f>
        <v>412b</v>
      </c>
      <c r="B3869" s="151" t="str">
        <f>'Reported burning'!B3869</f>
        <v>412b.1</v>
      </c>
      <c r="C3869" s="151" t="str">
        <f>'Reported burning'!C3869</f>
        <v>Human, deliberate</v>
      </c>
      <c r="D3869" s="151" t="str">
        <f>'Reported burning'!D3869</f>
        <v>Harvesting of NTFP</v>
      </c>
      <c r="E3869" s="151" t="str">
        <f>'Reported burning'!E3869</f>
        <v>Forestry, Traditional</v>
      </c>
      <c r="F3869" s="151" t="str">
        <f>'Reported burning'!F3869</f>
        <v>Forest</v>
      </c>
      <c r="G3869" s="151" t="str">
        <f>'Reported burning'!G3869</f>
        <v>Forest</v>
      </c>
      <c r="H3869" s="151" t="str">
        <f>'Reported burning'!H3869</f>
        <v>Presence</v>
      </c>
      <c r="I3869" s="5"/>
      <c r="J3869" s="71" t="s">
        <v>2272</v>
      </c>
      <c r="K3869" s="71" t="s">
        <v>2272</v>
      </c>
      <c r="L3869" s="71" t="s">
        <v>2272</v>
      </c>
      <c r="M3869" s="71" t="s">
        <v>2272</v>
      </c>
      <c r="N3869" s="71" t="s">
        <v>2272</v>
      </c>
      <c r="O3869" s="71" t="s">
        <v>2272</v>
      </c>
      <c r="P3869" s="71" t="s">
        <v>2272</v>
      </c>
      <c r="Q3869" s="71" t="s">
        <v>2272</v>
      </c>
      <c r="R3869" s="71" t="s">
        <v>2272</v>
      </c>
      <c r="S3869" s="71" t="s">
        <v>2272</v>
      </c>
      <c r="T3869" s="71" t="s">
        <v>2272</v>
      </c>
      <c r="U3869" s="71" t="s">
        <v>2272</v>
      </c>
      <c r="V3869" s="71" t="s">
        <v>2272</v>
      </c>
      <c r="W3869" s="71" t="s">
        <v>2272</v>
      </c>
      <c r="X3869" s="71" t="s">
        <v>2272</v>
      </c>
      <c r="Y3869" s="71" t="s">
        <v>2272</v>
      </c>
      <c r="Z3869" s="71" t="s">
        <v>2272</v>
      </c>
      <c r="AA3869" s="71" t="s">
        <v>2272</v>
      </c>
      <c r="AB3869" s="198"/>
      <c r="AC3869" s="198"/>
    </row>
    <row r="3870" spans="1:29" ht="48" customHeight="1">
      <c r="A3870" s="151" t="str">
        <f>'Reported burning'!A3870</f>
        <v>413a</v>
      </c>
      <c r="B3870" s="151" t="str">
        <f>'Reported burning'!B3870</f>
        <v>413a.1</v>
      </c>
      <c r="C3870" s="151" t="str">
        <f>'Reported burning'!C3870</f>
        <v>Human, escaped</v>
      </c>
      <c r="D3870" s="151" t="str">
        <f>'Reported burning'!D3870</f>
        <v>ND</v>
      </c>
      <c r="E3870" s="151" t="str">
        <f>'Reported burning'!E3870</f>
        <v>ND</v>
      </c>
      <c r="F3870" s="151" t="str">
        <f>'Reported burning'!F3870</f>
        <v>ND</v>
      </c>
      <c r="G3870" s="151" t="str">
        <f>'Reported burning'!G3870</f>
        <v>ND</v>
      </c>
      <c r="H3870" s="151" t="str">
        <f>'Reported burning'!H3870</f>
        <v>Presence</v>
      </c>
      <c r="I3870" s="5"/>
      <c r="J3870" s="71" t="s">
        <v>2272</v>
      </c>
      <c r="K3870" s="71" t="s">
        <v>2272</v>
      </c>
      <c r="L3870" s="71" t="s">
        <v>2272</v>
      </c>
      <c r="M3870" s="71" t="s">
        <v>2272</v>
      </c>
      <c r="N3870" s="71" t="s">
        <v>2272</v>
      </c>
      <c r="O3870" s="71" t="s">
        <v>2272</v>
      </c>
      <c r="P3870" s="71" t="s">
        <v>2272</v>
      </c>
      <c r="Q3870" s="21" t="s">
        <v>2370</v>
      </c>
      <c r="R3870" s="71" t="s">
        <v>2272</v>
      </c>
      <c r="S3870" s="71" t="s">
        <v>2272</v>
      </c>
      <c r="T3870" s="71" t="s">
        <v>2272</v>
      </c>
      <c r="U3870" s="71" t="s">
        <v>2272</v>
      </c>
      <c r="V3870" s="71" t="s">
        <v>2272</v>
      </c>
      <c r="W3870" s="71" t="s">
        <v>2272</v>
      </c>
      <c r="X3870" s="71" t="s">
        <v>2272</v>
      </c>
      <c r="Y3870" s="71" t="s">
        <v>2272</v>
      </c>
      <c r="Z3870" s="71" t="s">
        <v>2272</v>
      </c>
      <c r="AA3870" s="71" t="s">
        <v>2272</v>
      </c>
      <c r="AB3870" s="198"/>
      <c r="AC3870" s="198"/>
    </row>
    <row r="3871" spans="1:29" ht="48" customHeight="1">
      <c r="A3871" s="151" t="str">
        <f>'Reported burning'!A3871</f>
        <v>413a</v>
      </c>
      <c r="B3871" s="151" t="str">
        <f>'Reported burning'!B3871</f>
        <v>413a.2</v>
      </c>
      <c r="C3871" s="151" t="str">
        <f>'Reported burning'!C3871</f>
        <v>Lightning</v>
      </c>
      <c r="D3871" s="151" t="str">
        <f>'Reported burning'!D3871</f>
        <v>ND</v>
      </c>
      <c r="E3871" s="151" t="str">
        <f>'Reported burning'!E3871</f>
        <v>ND</v>
      </c>
      <c r="F3871" s="151" t="str">
        <f>'Reported burning'!F3871</f>
        <v>ND</v>
      </c>
      <c r="G3871" s="151" t="str">
        <f>'Reported burning'!G3871</f>
        <v>ND</v>
      </c>
      <c r="H3871" s="151" t="str">
        <f>'Reported burning'!H3871</f>
        <v>Presence</v>
      </c>
      <c r="I3871" s="5"/>
      <c r="J3871" s="71" t="s">
        <v>2272</v>
      </c>
      <c r="K3871" s="71" t="s">
        <v>2272</v>
      </c>
      <c r="L3871" s="71" t="s">
        <v>2272</v>
      </c>
      <c r="M3871" s="71" t="s">
        <v>2272</v>
      </c>
      <c r="N3871" s="71" t="s">
        <v>2272</v>
      </c>
      <c r="O3871" s="71" t="s">
        <v>2272</v>
      </c>
      <c r="P3871" s="71" t="s">
        <v>2272</v>
      </c>
      <c r="Q3871" s="21" t="s">
        <v>2370</v>
      </c>
      <c r="R3871" s="71" t="s">
        <v>2272</v>
      </c>
      <c r="S3871" s="71" t="s">
        <v>2272</v>
      </c>
      <c r="T3871" s="71" t="s">
        <v>2272</v>
      </c>
      <c r="U3871" s="71" t="s">
        <v>2272</v>
      </c>
      <c r="V3871" s="71" t="s">
        <v>2272</v>
      </c>
      <c r="W3871" s="71" t="s">
        <v>2272</v>
      </c>
      <c r="X3871" s="71" t="s">
        <v>2272</v>
      </c>
      <c r="Y3871" s="71" t="s">
        <v>2272</v>
      </c>
      <c r="Z3871" s="71" t="s">
        <v>2272</v>
      </c>
      <c r="AA3871" s="71" t="s">
        <v>2272</v>
      </c>
      <c r="AB3871" s="198"/>
      <c r="AC3871" s="198"/>
    </row>
    <row r="3872" spans="1:29" ht="48" customHeight="1">
      <c r="A3872" s="151" t="str">
        <f>'Reported burning'!A3872</f>
        <v>413a</v>
      </c>
      <c r="B3872" s="151" t="str">
        <f>'Reported burning'!B3872</f>
        <v>413a.3</v>
      </c>
      <c r="C3872" s="151" t="str">
        <f>'Reported burning'!C3872</f>
        <v>Unknown</v>
      </c>
      <c r="D3872" s="151" t="str">
        <f>'Reported burning'!D3872</f>
        <v>ND</v>
      </c>
      <c r="E3872" s="151" t="str">
        <f>'Reported burning'!E3872</f>
        <v>ND</v>
      </c>
      <c r="F3872" s="151" t="str">
        <f>'Reported burning'!F3872</f>
        <v>ND</v>
      </c>
      <c r="G3872" s="151" t="str">
        <f>'Reported burning'!G3872</f>
        <v>ND</v>
      </c>
      <c r="H3872" s="151" t="str">
        <f>'Reported burning'!H3872</f>
        <v>Presence</v>
      </c>
      <c r="I3872" s="5"/>
      <c r="J3872" s="71" t="s">
        <v>2272</v>
      </c>
      <c r="K3872" s="71" t="s">
        <v>2272</v>
      </c>
      <c r="L3872" s="71" t="s">
        <v>2272</v>
      </c>
      <c r="M3872" s="71" t="s">
        <v>2272</v>
      </c>
      <c r="N3872" s="71" t="s">
        <v>2272</v>
      </c>
      <c r="O3872" s="71" t="s">
        <v>2272</v>
      </c>
      <c r="P3872" s="71" t="s">
        <v>2272</v>
      </c>
      <c r="Q3872" s="21" t="s">
        <v>2370</v>
      </c>
      <c r="R3872" s="71" t="s">
        <v>2272</v>
      </c>
      <c r="S3872" s="71" t="s">
        <v>2272</v>
      </c>
      <c r="T3872" s="71" t="s">
        <v>2272</v>
      </c>
      <c r="U3872" s="71" t="s">
        <v>2272</v>
      </c>
      <c r="V3872" s="71" t="s">
        <v>2272</v>
      </c>
      <c r="W3872" s="71" t="s">
        <v>2272</v>
      </c>
      <c r="X3872" s="71" t="s">
        <v>2272</v>
      </c>
      <c r="Y3872" s="71" t="s">
        <v>2272</v>
      </c>
      <c r="Z3872" s="71" t="s">
        <v>2272</v>
      </c>
      <c r="AA3872" s="71" t="s">
        <v>2272</v>
      </c>
      <c r="AB3872" s="198"/>
      <c r="AC3872" s="198"/>
    </row>
    <row r="3873" spans="1:29" ht="48" customHeight="1">
      <c r="A3873" s="151" t="str">
        <f>'Reported burning'!A3873</f>
        <v>413a</v>
      </c>
      <c r="B3873" s="151" t="str">
        <f>'Reported burning'!B3873</f>
        <v>413a.4</v>
      </c>
      <c r="C3873" s="151" t="str">
        <f>'Reported burning'!C3873</f>
        <v>Human, escaped</v>
      </c>
      <c r="D3873" s="151" t="str">
        <f>'Reported burning'!D3873</f>
        <v>ND</v>
      </c>
      <c r="E3873" s="151" t="str">
        <f>'Reported burning'!E3873</f>
        <v>ND</v>
      </c>
      <c r="F3873" s="151" t="str">
        <f>'Reported burning'!F3873</f>
        <v>ND</v>
      </c>
      <c r="G3873" s="151" t="str">
        <f>'Reported burning'!G3873</f>
        <v>ND</v>
      </c>
      <c r="H3873" s="151" t="str">
        <f>'Reported burning'!H3873</f>
        <v>Presence</v>
      </c>
      <c r="I3873" s="5"/>
      <c r="J3873" s="71" t="s">
        <v>2272</v>
      </c>
      <c r="K3873" s="71" t="s">
        <v>2272</v>
      </c>
      <c r="L3873" s="71" t="s">
        <v>2272</v>
      </c>
      <c r="M3873" s="71" t="s">
        <v>2272</v>
      </c>
      <c r="N3873" s="71" t="s">
        <v>2272</v>
      </c>
      <c r="O3873" s="71" t="s">
        <v>2272</v>
      </c>
      <c r="P3873" s="71" t="s">
        <v>2272</v>
      </c>
      <c r="Q3873" s="21" t="s">
        <v>2370</v>
      </c>
      <c r="R3873" s="71" t="s">
        <v>2272</v>
      </c>
      <c r="S3873" s="71" t="s">
        <v>2272</v>
      </c>
      <c r="T3873" s="71" t="s">
        <v>2272</v>
      </c>
      <c r="U3873" s="71" t="s">
        <v>2272</v>
      </c>
      <c r="V3873" s="71" t="s">
        <v>2272</v>
      </c>
      <c r="W3873" s="71" t="s">
        <v>2272</v>
      </c>
      <c r="X3873" s="71" t="s">
        <v>2272</v>
      </c>
      <c r="Y3873" s="71" t="s">
        <v>2272</v>
      </c>
      <c r="Z3873" s="71" t="s">
        <v>2272</v>
      </c>
      <c r="AA3873" s="71" t="s">
        <v>2272</v>
      </c>
      <c r="AB3873" s="198"/>
      <c r="AC3873" s="198"/>
    </row>
    <row r="3874" spans="1:29" ht="48" customHeight="1">
      <c r="A3874" s="151" t="str">
        <f>'Reported burning'!A3874</f>
        <v>413a</v>
      </c>
      <c r="B3874" s="151" t="str">
        <f>'Reported burning'!B3874</f>
        <v>413a.5</v>
      </c>
      <c r="C3874" s="151" t="str">
        <f>'Reported burning'!C3874</f>
        <v>Lightning</v>
      </c>
      <c r="D3874" s="151" t="str">
        <f>'Reported burning'!D3874</f>
        <v>ND</v>
      </c>
      <c r="E3874" s="151" t="str">
        <f>'Reported burning'!E3874</f>
        <v>ND</v>
      </c>
      <c r="F3874" s="151" t="str">
        <f>'Reported burning'!F3874</f>
        <v>ND</v>
      </c>
      <c r="G3874" s="151" t="str">
        <f>'Reported burning'!G3874</f>
        <v>ND</v>
      </c>
      <c r="H3874" s="151" t="str">
        <f>'Reported burning'!H3874</f>
        <v>Presence</v>
      </c>
      <c r="I3874" s="5"/>
      <c r="J3874" s="71" t="s">
        <v>2272</v>
      </c>
      <c r="K3874" s="71" t="s">
        <v>2272</v>
      </c>
      <c r="L3874" s="71" t="s">
        <v>2272</v>
      </c>
      <c r="M3874" s="71" t="s">
        <v>2272</v>
      </c>
      <c r="N3874" s="71" t="s">
        <v>2272</v>
      </c>
      <c r="O3874" s="71" t="s">
        <v>2272</v>
      </c>
      <c r="P3874" s="71" t="s">
        <v>2272</v>
      </c>
      <c r="Q3874" s="21" t="s">
        <v>2370</v>
      </c>
      <c r="R3874" s="71" t="s">
        <v>2272</v>
      </c>
      <c r="S3874" s="71" t="s">
        <v>2272</v>
      </c>
      <c r="T3874" s="71" t="s">
        <v>2272</v>
      </c>
      <c r="U3874" s="71" t="s">
        <v>2272</v>
      </c>
      <c r="V3874" s="71" t="s">
        <v>2272</v>
      </c>
      <c r="W3874" s="71" t="s">
        <v>2272</v>
      </c>
      <c r="X3874" s="71" t="s">
        <v>2272</v>
      </c>
      <c r="Y3874" s="71" t="s">
        <v>2272</v>
      </c>
      <c r="Z3874" s="71" t="s">
        <v>2272</v>
      </c>
      <c r="AA3874" s="71" t="s">
        <v>2272</v>
      </c>
      <c r="AB3874" s="198"/>
      <c r="AC3874" s="198"/>
    </row>
    <row r="3875" spans="1:29" ht="48" customHeight="1">
      <c r="A3875" s="151" t="str">
        <f>'Reported burning'!A3875</f>
        <v>413a</v>
      </c>
      <c r="B3875" s="151" t="str">
        <f>'Reported burning'!B3875</f>
        <v>413a.6</v>
      </c>
      <c r="C3875" s="151" t="str">
        <f>'Reported burning'!C3875</f>
        <v>Unknown</v>
      </c>
      <c r="D3875" s="151" t="str">
        <f>'Reported burning'!D3875</f>
        <v>ND</v>
      </c>
      <c r="E3875" s="151" t="str">
        <f>'Reported burning'!E3875</f>
        <v>ND</v>
      </c>
      <c r="F3875" s="151" t="str">
        <f>'Reported burning'!F3875</f>
        <v>ND</v>
      </c>
      <c r="G3875" s="151" t="str">
        <f>'Reported burning'!G3875</f>
        <v>ND</v>
      </c>
      <c r="H3875" s="151" t="str">
        <f>'Reported burning'!H3875</f>
        <v>Presence</v>
      </c>
      <c r="I3875" s="5"/>
      <c r="J3875" s="71" t="s">
        <v>2272</v>
      </c>
      <c r="K3875" s="71" t="s">
        <v>2272</v>
      </c>
      <c r="L3875" s="71" t="s">
        <v>2272</v>
      </c>
      <c r="M3875" s="71" t="s">
        <v>2272</v>
      </c>
      <c r="N3875" s="71" t="s">
        <v>2272</v>
      </c>
      <c r="O3875" s="71" t="s">
        <v>2272</v>
      </c>
      <c r="P3875" s="71" t="s">
        <v>2272</v>
      </c>
      <c r="Q3875" s="21" t="s">
        <v>2370</v>
      </c>
      <c r="R3875" s="71" t="s">
        <v>2272</v>
      </c>
      <c r="S3875" s="71" t="s">
        <v>2272</v>
      </c>
      <c r="T3875" s="71" t="s">
        <v>2272</v>
      </c>
      <c r="U3875" s="71" t="s">
        <v>2272</v>
      </c>
      <c r="V3875" s="71" t="s">
        <v>2272</v>
      </c>
      <c r="W3875" s="71" t="s">
        <v>2272</v>
      </c>
      <c r="X3875" s="71" t="s">
        <v>2272</v>
      </c>
      <c r="Y3875" s="71" t="s">
        <v>2272</v>
      </c>
      <c r="Z3875" s="71" t="s">
        <v>2272</v>
      </c>
      <c r="AA3875" s="71" t="s">
        <v>2272</v>
      </c>
      <c r="AB3875" s="198"/>
      <c r="AC3875" s="198"/>
    </row>
    <row r="3876" spans="1:29" ht="48" customHeight="1">
      <c r="A3876" s="151" t="str">
        <f>'Reported burning'!A3876</f>
        <v>413a</v>
      </c>
      <c r="B3876" s="151" t="str">
        <f>'Reported burning'!B3876</f>
        <v>413a.7</v>
      </c>
      <c r="C3876" s="151" t="str">
        <f>'Reported burning'!C3876</f>
        <v>Human, escaped</v>
      </c>
      <c r="D3876" s="151" t="str">
        <f>'Reported burning'!D3876</f>
        <v>ND</v>
      </c>
      <c r="E3876" s="151" t="str">
        <f>'Reported burning'!E3876</f>
        <v>ND</v>
      </c>
      <c r="F3876" s="151" t="str">
        <f>'Reported burning'!F3876</f>
        <v>ND</v>
      </c>
      <c r="G3876" s="151" t="str">
        <f>'Reported burning'!G3876</f>
        <v>ND</v>
      </c>
      <c r="H3876" s="151" t="str">
        <f>'Reported burning'!H3876</f>
        <v>Presence</v>
      </c>
      <c r="I3876" s="5"/>
      <c r="J3876" s="71" t="s">
        <v>2272</v>
      </c>
      <c r="K3876" s="71" t="s">
        <v>2272</v>
      </c>
      <c r="L3876" s="71" t="s">
        <v>2272</v>
      </c>
      <c r="M3876" s="71" t="s">
        <v>2272</v>
      </c>
      <c r="N3876" s="71" t="s">
        <v>2272</v>
      </c>
      <c r="O3876" s="71" t="s">
        <v>2272</v>
      </c>
      <c r="P3876" s="71" t="s">
        <v>2272</v>
      </c>
      <c r="Q3876" s="21" t="s">
        <v>2370</v>
      </c>
      <c r="R3876" s="71" t="s">
        <v>2272</v>
      </c>
      <c r="S3876" s="71" t="s">
        <v>2272</v>
      </c>
      <c r="T3876" s="71" t="s">
        <v>2272</v>
      </c>
      <c r="U3876" s="71" t="s">
        <v>2272</v>
      </c>
      <c r="V3876" s="71" t="s">
        <v>2272</v>
      </c>
      <c r="W3876" s="71" t="s">
        <v>2272</v>
      </c>
      <c r="X3876" s="71" t="s">
        <v>2272</v>
      </c>
      <c r="Y3876" s="71" t="s">
        <v>2272</v>
      </c>
      <c r="Z3876" s="71" t="s">
        <v>2272</v>
      </c>
      <c r="AA3876" s="71" t="s">
        <v>2272</v>
      </c>
      <c r="AB3876" s="198"/>
      <c r="AC3876" s="198"/>
    </row>
    <row r="3877" spans="1:29" ht="48" customHeight="1">
      <c r="A3877" s="151" t="str">
        <f>'Reported burning'!A3877</f>
        <v>413a</v>
      </c>
      <c r="B3877" s="151" t="str">
        <f>'Reported burning'!B3877</f>
        <v>413a.8</v>
      </c>
      <c r="C3877" s="151" t="str">
        <f>'Reported burning'!C3877</f>
        <v>Lightning</v>
      </c>
      <c r="D3877" s="151" t="str">
        <f>'Reported burning'!D3877</f>
        <v>ND</v>
      </c>
      <c r="E3877" s="151" t="str">
        <f>'Reported burning'!E3877</f>
        <v>ND</v>
      </c>
      <c r="F3877" s="151" t="str">
        <f>'Reported burning'!F3877</f>
        <v>ND</v>
      </c>
      <c r="G3877" s="151" t="str">
        <f>'Reported burning'!G3877</f>
        <v>ND</v>
      </c>
      <c r="H3877" s="151" t="str">
        <f>'Reported burning'!H3877</f>
        <v>Presence</v>
      </c>
      <c r="I3877" s="5"/>
      <c r="J3877" s="71" t="s">
        <v>2272</v>
      </c>
      <c r="K3877" s="71" t="s">
        <v>2272</v>
      </c>
      <c r="L3877" s="71" t="s">
        <v>2272</v>
      </c>
      <c r="M3877" s="71" t="s">
        <v>2272</v>
      </c>
      <c r="N3877" s="71" t="s">
        <v>2272</v>
      </c>
      <c r="O3877" s="71" t="s">
        <v>2272</v>
      </c>
      <c r="P3877" s="71" t="s">
        <v>2272</v>
      </c>
      <c r="Q3877" s="21" t="s">
        <v>2370</v>
      </c>
      <c r="R3877" s="71" t="s">
        <v>2272</v>
      </c>
      <c r="S3877" s="71" t="s">
        <v>2272</v>
      </c>
      <c r="T3877" s="71" t="s">
        <v>2272</v>
      </c>
      <c r="U3877" s="71" t="s">
        <v>2272</v>
      </c>
      <c r="V3877" s="71" t="s">
        <v>2272</v>
      </c>
      <c r="W3877" s="71" t="s">
        <v>2272</v>
      </c>
      <c r="X3877" s="71" t="s">
        <v>2272</v>
      </c>
      <c r="Y3877" s="71" t="s">
        <v>2272</v>
      </c>
      <c r="Z3877" s="71" t="s">
        <v>2272</v>
      </c>
      <c r="AA3877" s="71" t="s">
        <v>2272</v>
      </c>
      <c r="AB3877" s="198"/>
      <c r="AC3877" s="198"/>
    </row>
    <row r="3878" spans="1:29" ht="48" customHeight="1">
      <c r="A3878" s="151" t="str">
        <f>'Reported burning'!A3878</f>
        <v>413a</v>
      </c>
      <c r="B3878" s="151" t="str">
        <f>'Reported burning'!B3878</f>
        <v>413a.9</v>
      </c>
      <c r="C3878" s="151" t="str">
        <f>'Reported burning'!C3878</f>
        <v>Unknown</v>
      </c>
      <c r="D3878" s="151" t="str">
        <f>'Reported burning'!D3878</f>
        <v>ND</v>
      </c>
      <c r="E3878" s="151" t="str">
        <f>'Reported burning'!E3878</f>
        <v>ND</v>
      </c>
      <c r="F3878" s="151" t="str">
        <f>'Reported burning'!F3878</f>
        <v>ND</v>
      </c>
      <c r="G3878" s="151" t="str">
        <f>'Reported burning'!G3878</f>
        <v>ND</v>
      </c>
      <c r="H3878" s="151" t="str">
        <f>'Reported burning'!H3878</f>
        <v>Presence</v>
      </c>
      <c r="I3878" s="5"/>
      <c r="J3878" s="71" t="s">
        <v>2272</v>
      </c>
      <c r="K3878" s="71" t="s">
        <v>2272</v>
      </c>
      <c r="L3878" s="71" t="s">
        <v>2272</v>
      </c>
      <c r="M3878" s="71" t="s">
        <v>2272</v>
      </c>
      <c r="N3878" s="71" t="s">
        <v>2272</v>
      </c>
      <c r="O3878" s="71" t="s">
        <v>2272</v>
      </c>
      <c r="P3878" s="71" t="s">
        <v>2272</v>
      </c>
      <c r="Q3878" s="21" t="s">
        <v>2370</v>
      </c>
      <c r="R3878" s="71" t="s">
        <v>2272</v>
      </c>
      <c r="S3878" s="71" t="s">
        <v>2272</v>
      </c>
      <c r="T3878" s="71" t="s">
        <v>2272</v>
      </c>
      <c r="U3878" s="71" t="s">
        <v>2272</v>
      </c>
      <c r="V3878" s="71" t="s">
        <v>2272</v>
      </c>
      <c r="W3878" s="71" t="s">
        <v>2272</v>
      </c>
      <c r="X3878" s="71" t="s">
        <v>2272</v>
      </c>
      <c r="Y3878" s="71" t="s">
        <v>2272</v>
      </c>
      <c r="Z3878" s="71" t="s">
        <v>2272</v>
      </c>
      <c r="AA3878" s="71" t="s">
        <v>2272</v>
      </c>
      <c r="AB3878" s="198"/>
      <c r="AC3878" s="198"/>
    </row>
    <row r="3879" spans="1:29" ht="48" customHeight="1">
      <c r="A3879" s="151" t="str">
        <f>'Reported burning'!A3879</f>
        <v>413b</v>
      </c>
      <c r="B3879" s="151" t="str">
        <f>'Reported burning'!B3879</f>
        <v>413b.1</v>
      </c>
      <c r="C3879" s="151" t="str">
        <f>'Reported burning'!C3879</f>
        <v>Human, escaped</v>
      </c>
      <c r="D3879" s="151" t="str">
        <f>'Reported burning'!D3879</f>
        <v>ND</v>
      </c>
      <c r="E3879" s="151" t="str">
        <f>'Reported burning'!E3879</f>
        <v>ND</v>
      </c>
      <c r="F3879" s="151" t="str">
        <f>'Reported burning'!F3879</f>
        <v>ND</v>
      </c>
      <c r="G3879" s="151" t="str">
        <f>'Reported burning'!G3879</f>
        <v>ND</v>
      </c>
      <c r="H3879" s="151" t="str">
        <f>'Reported burning'!H3879</f>
        <v>Presence</v>
      </c>
      <c r="I3879" s="5"/>
      <c r="J3879" s="71" t="s">
        <v>2272</v>
      </c>
      <c r="K3879" s="71" t="s">
        <v>2272</v>
      </c>
      <c r="L3879" s="71" t="s">
        <v>2272</v>
      </c>
      <c r="M3879" s="71" t="s">
        <v>2272</v>
      </c>
      <c r="N3879" s="71" t="s">
        <v>2272</v>
      </c>
      <c r="O3879" s="71" t="s">
        <v>2272</v>
      </c>
      <c r="P3879" s="71" t="s">
        <v>2272</v>
      </c>
      <c r="Q3879" s="21" t="s">
        <v>2373</v>
      </c>
      <c r="R3879" s="71" t="s">
        <v>2272</v>
      </c>
      <c r="S3879" s="71" t="s">
        <v>2272</v>
      </c>
      <c r="T3879" s="71" t="s">
        <v>2272</v>
      </c>
      <c r="U3879" s="71" t="s">
        <v>2272</v>
      </c>
      <c r="V3879" s="71" t="s">
        <v>2272</v>
      </c>
      <c r="W3879" s="71" t="s">
        <v>2272</v>
      </c>
      <c r="X3879" s="71" t="s">
        <v>2272</v>
      </c>
      <c r="Y3879" s="71" t="s">
        <v>2272</v>
      </c>
      <c r="Z3879" s="71" t="s">
        <v>2272</v>
      </c>
      <c r="AA3879" s="71" t="s">
        <v>2272</v>
      </c>
      <c r="AB3879" s="198"/>
      <c r="AC3879" s="198"/>
    </row>
    <row r="3880" spans="1:29" ht="48" customHeight="1">
      <c r="A3880" s="151" t="str">
        <f>'Reported burning'!A3880</f>
        <v>413b</v>
      </c>
      <c r="B3880" s="151" t="str">
        <f>'Reported burning'!B3880</f>
        <v>413b.2</v>
      </c>
      <c r="C3880" s="151" t="str">
        <f>'Reported burning'!C3880</f>
        <v>Lightning</v>
      </c>
      <c r="D3880" s="151" t="str">
        <f>'Reported burning'!D3880</f>
        <v>ND</v>
      </c>
      <c r="E3880" s="151" t="str">
        <f>'Reported burning'!E3880</f>
        <v>ND</v>
      </c>
      <c r="F3880" s="151" t="str">
        <f>'Reported burning'!F3880</f>
        <v>ND</v>
      </c>
      <c r="G3880" s="151" t="str">
        <f>'Reported burning'!G3880</f>
        <v>ND</v>
      </c>
      <c r="H3880" s="151" t="str">
        <f>'Reported burning'!H3880</f>
        <v>Presence</v>
      </c>
      <c r="I3880" s="5"/>
      <c r="J3880" s="71" t="s">
        <v>2272</v>
      </c>
      <c r="K3880" s="71" t="s">
        <v>2272</v>
      </c>
      <c r="L3880" s="71" t="s">
        <v>2272</v>
      </c>
      <c r="M3880" s="71" t="s">
        <v>2272</v>
      </c>
      <c r="N3880" s="71" t="s">
        <v>2272</v>
      </c>
      <c r="O3880" s="71" t="s">
        <v>2272</v>
      </c>
      <c r="P3880" s="71" t="s">
        <v>2272</v>
      </c>
      <c r="Q3880" s="21" t="s">
        <v>2373</v>
      </c>
      <c r="R3880" s="71" t="s">
        <v>2272</v>
      </c>
      <c r="S3880" s="71" t="s">
        <v>2272</v>
      </c>
      <c r="T3880" s="71" t="s">
        <v>2272</v>
      </c>
      <c r="U3880" s="71" t="s">
        <v>2272</v>
      </c>
      <c r="V3880" s="71" t="s">
        <v>2272</v>
      </c>
      <c r="W3880" s="71" t="s">
        <v>2272</v>
      </c>
      <c r="X3880" s="71" t="s">
        <v>2272</v>
      </c>
      <c r="Y3880" s="71" t="s">
        <v>2272</v>
      </c>
      <c r="Z3880" s="71" t="s">
        <v>2272</v>
      </c>
      <c r="AA3880" s="71" t="s">
        <v>2272</v>
      </c>
      <c r="AB3880" s="198"/>
      <c r="AC3880" s="198"/>
    </row>
    <row r="3881" spans="1:29" ht="48" customHeight="1">
      <c r="A3881" s="151" t="str">
        <f>'Reported burning'!A3881</f>
        <v>413b</v>
      </c>
      <c r="B3881" s="151" t="str">
        <f>'Reported burning'!B3881</f>
        <v>413b.3</v>
      </c>
      <c r="C3881" s="151" t="str">
        <f>'Reported burning'!C3881</f>
        <v>Unknown</v>
      </c>
      <c r="D3881" s="151" t="str">
        <f>'Reported burning'!D3881</f>
        <v>ND</v>
      </c>
      <c r="E3881" s="151" t="str">
        <f>'Reported burning'!E3881</f>
        <v>ND</v>
      </c>
      <c r="F3881" s="151" t="str">
        <f>'Reported burning'!F3881</f>
        <v>ND</v>
      </c>
      <c r="G3881" s="151" t="str">
        <f>'Reported burning'!G3881</f>
        <v>ND</v>
      </c>
      <c r="H3881" s="151" t="str">
        <f>'Reported burning'!H3881</f>
        <v>Presence</v>
      </c>
      <c r="I3881" s="5"/>
      <c r="J3881" s="71" t="s">
        <v>2272</v>
      </c>
      <c r="K3881" s="71" t="s">
        <v>2272</v>
      </c>
      <c r="L3881" s="71" t="s">
        <v>2272</v>
      </c>
      <c r="M3881" s="71" t="s">
        <v>2272</v>
      </c>
      <c r="N3881" s="71" t="s">
        <v>2272</v>
      </c>
      <c r="O3881" s="71" t="s">
        <v>2272</v>
      </c>
      <c r="P3881" s="71" t="s">
        <v>2272</v>
      </c>
      <c r="Q3881" s="21" t="s">
        <v>2373</v>
      </c>
      <c r="R3881" s="71" t="s">
        <v>2272</v>
      </c>
      <c r="S3881" s="71" t="s">
        <v>2272</v>
      </c>
      <c r="T3881" s="71" t="s">
        <v>2272</v>
      </c>
      <c r="U3881" s="71" t="s">
        <v>2272</v>
      </c>
      <c r="V3881" s="71" t="s">
        <v>2272</v>
      </c>
      <c r="W3881" s="71" t="s">
        <v>2272</v>
      </c>
      <c r="X3881" s="71" t="s">
        <v>2272</v>
      </c>
      <c r="Y3881" s="71" t="s">
        <v>2272</v>
      </c>
      <c r="Z3881" s="71" t="s">
        <v>2272</v>
      </c>
      <c r="AA3881" s="71" t="s">
        <v>2272</v>
      </c>
      <c r="AB3881" s="198"/>
      <c r="AC3881" s="198"/>
    </row>
    <row r="3882" spans="1:29" ht="48" customHeight="1">
      <c r="A3882" s="151" t="str">
        <f>'Reported burning'!A3882</f>
        <v>413b</v>
      </c>
      <c r="B3882" s="151" t="str">
        <f>'Reported burning'!B3882</f>
        <v>413b.4</v>
      </c>
      <c r="C3882" s="151" t="str">
        <f>'Reported burning'!C3882</f>
        <v>Human, escaped</v>
      </c>
      <c r="D3882" s="151" t="str">
        <f>'Reported burning'!D3882</f>
        <v>ND</v>
      </c>
      <c r="E3882" s="151" t="str">
        <f>'Reported burning'!E3882</f>
        <v>ND</v>
      </c>
      <c r="F3882" s="151" t="str">
        <f>'Reported burning'!F3882</f>
        <v>ND</v>
      </c>
      <c r="G3882" s="151" t="str">
        <f>'Reported burning'!G3882</f>
        <v>ND</v>
      </c>
      <c r="H3882" s="151" t="str">
        <f>'Reported burning'!H3882</f>
        <v>Presence</v>
      </c>
      <c r="I3882" s="5"/>
      <c r="J3882" s="71" t="s">
        <v>2272</v>
      </c>
      <c r="K3882" s="71" t="s">
        <v>2272</v>
      </c>
      <c r="L3882" s="71" t="s">
        <v>2272</v>
      </c>
      <c r="M3882" s="71" t="s">
        <v>2272</v>
      </c>
      <c r="N3882" s="71" t="s">
        <v>2272</v>
      </c>
      <c r="O3882" s="71" t="s">
        <v>2272</v>
      </c>
      <c r="P3882" s="71" t="s">
        <v>2272</v>
      </c>
      <c r="Q3882" s="21" t="s">
        <v>2373</v>
      </c>
      <c r="R3882" s="71" t="s">
        <v>2272</v>
      </c>
      <c r="S3882" s="71" t="s">
        <v>2272</v>
      </c>
      <c r="T3882" s="71" t="s">
        <v>2272</v>
      </c>
      <c r="U3882" s="71" t="s">
        <v>2272</v>
      </c>
      <c r="V3882" s="71" t="s">
        <v>2272</v>
      </c>
      <c r="W3882" s="71" t="s">
        <v>2272</v>
      </c>
      <c r="X3882" s="71" t="s">
        <v>2272</v>
      </c>
      <c r="Y3882" s="71" t="s">
        <v>2272</v>
      </c>
      <c r="Z3882" s="71" t="s">
        <v>2272</v>
      </c>
      <c r="AA3882" s="71" t="s">
        <v>2272</v>
      </c>
      <c r="AB3882" s="198"/>
      <c r="AC3882" s="198"/>
    </row>
    <row r="3883" spans="1:29" ht="48" customHeight="1">
      <c r="A3883" s="151" t="str">
        <f>'Reported burning'!A3883</f>
        <v>413b</v>
      </c>
      <c r="B3883" s="151" t="str">
        <f>'Reported burning'!B3883</f>
        <v>413b.5</v>
      </c>
      <c r="C3883" s="151" t="str">
        <f>'Reported burning'!C3883</f>
        <v>Lightning</v>
      </c>
      <c r="D3883" s="151" t="str">
        <f>'Reported burning'!D3883</f>
        <v>ND</v>
      </c>
      <c r="E3883" s="151" t="str">
        <f>'Reported burning'!E3883</f>
        <v>ND</v>
      </c>
      <c r="F3883" s="151" t="str">
        <f>'Reported burning'!F3883</f>
        <v>ND</v>
      </c>
      <c r="G3883" s="151" t="str">
        <f>'Reported burning'!G3883</f>
        <v>ND</v>
      </c>
      <c r="H3883" s="151" t="str">
        <f>'Reported burning'!H3883</f>
        <v>Presence</v>
      </c>
      <c r="I3883" s="5"/>
      <c r="J3883" s="71" t="s">
        <v>2272</v>
      </c>
      <c r="K3883" s="71" t="s">
        <v>2272</v>
      </c>
      <c r="L3883" s="71" t="s">
        <v>2272</v>
      </c>
      <c r="M3883" s="71" t="s">
        <v>2272</v>
      </c>
      <c r="N3883" s="71" t="s">
        <v>2272</v>
      </c>
      <c r="O3883" s="71" t="s">
        <v>2272</v>
      </c>
      <c r="P3883" s="71" t="s">
        <v>2272</v>
      </c>
      <c r="Q3883" s="21" t="s">
        <v>2373</v>
      </c>
      <c r="R3883" s="71" t="s">
        <v>2272</v>
      </c>
      <c r="S3883" s="71" t="s">
        <v>2272</v>
      </c>
      <c r="T3883" s="71" t="s">
        <v>2272</v>
      </c>
      <c r="U3883" s="71" t="s">
        <v>2272</v>
      </c>
      <c r="V3883" s="71" t="s">
        <v>2272</v>
      </c>
      <c r="W3883" s="71" t="s">
        <v>2272</v>
      </c>
      <c r="X3883" s="71" t="s">
        <v>2272</v>
      </c>
      <c r="Y3883" s="71" t="s">
        <v>2272</v>
      </c>
      <c r="Z3883" s="71" t="s">
        <v>2272</v>
      </c>
      <c r="AA3883" s="71" t="s">
        <v>2272</v>
      </c>
      <c r="AB3883" s="198"/>
      <c r="AC3883" s="198"/>
    </row>
    <row r="3884" spans="1:29" ht="48" customHeight="1">
      <c r="A3884" s="151" t="str">
        <f>'Reported burning'!A3884</f>
        <v>413b</v>
      </c>
      <c r="B3884" s="151" t="str">
        <f>'Reported burning'!B3884</f>
        <v>413b.6</v>
      </c>
      <c r="C3884" s="151" t="str">
        <f>'Reported burning'!C3884</f>
        <v>Unknown</v>
      </c>
      <c r="D3884" s="151" t="str">
        <f>'Reported burning'!D3884</f>
        <v>ND</v>
      </c>
      <c r="E3884" s="151" t="str">
        <f>'Reported burning'!E3884</f>
        <v>ND</v>
      </c>
      <c r="F3884" s="151" t="str">
        <f>'Reported burning'!F3884</f>
        <v>ND</v>
      </c>
      <c r="G3884" s="151" t="str">
        <f>'Reported burning'!G3884</f>
        <v>ND</v>
      </c>
      <c r="H3884" s="151" t="str">
        <f>'Reported burning'!H3884</f>
        <v>Presence</v>
      </c>
      <c r="I3884" s="5"/>
      <c r="J3884" s="71" t="s">
        <v>2272</v>
      </c>
      <c r="K3884" s="71" t="s">
        <v>2272</v>
      </c>
      <c r="L3884" s="71" t="s">
        <v>2272</v>
      </c>
      <c r="M3884" s="71" t="s">
        <v>2272</v>
      </c>
      <c r="N3884" s="71" t="s">
        <v>2272</v>
      </c>
      <c r="O3884" s="71" t="s">
        <v>2272</v>
      </c>
      <c r="P3884" s="71" t="s">
        <v>2272</v>
      </c>
      <c r="Q3884" s="21" t="s">
        <v>2373</v>
      </c>
      <c r="R3884" s="71" t="s">
        <v>2272</v>
      </c>
      <c r="S3884" s="71" t="s">
        <v>2272</v>
      </c>
      <c r="T3884" s="71" t="s">
        <v>2272</v>
      </c>
      <c r="U3884" s="71" t="s">
        <v>2272</v>
      </c>
      <c r="V3884" s="71" t="s">
        <v>2272</v>
      </c>
      <c r="W3884" s="71" t="s">
        <v>2272</v>
      </c>
      <c r="X3884" s="71" t="s">
        <v>2272</v>
      </c>
      <c r="Y3884" s="71" t="s">
        <v>2272</v>
      </c>
      <c r="Z3884" s="71" t="s">
        <v>2272</v>
      </c>
      <c r="AA3884" s="71" t="s">
        <v>2272</v>
      </c>
      <c r="AB3884" s="198"/>
      <c r="AC3884" s="198"/>
    </row>
    <row r="3885" spans="1:29" ht="48" customHeight="1">
      <c r="A3885" s="151" t="str">
        <f>'Reported burning'!A3885</f>
        <v>413b</v>
      </c>
      <c r="B3885" s="151" t="str">
        <f>'Reported burning'!B3885</f>
        <v>413b.7</v>
      </c>
      <c r="C3885" s="151" t="str">
        <f>'Reported burning'!C3885</f>
        <v>Human, escaped</v>
      </c>
      <c r="D3885" s="151" t="str">
        <f>'Reported burning'!D3885</f>
        <v>ND</v>
      </c>
      <c r="E3885" s="151" t="str">
        <f>'Reported burning'!E3885</f>
        <v>ND</v>
      </c>
      <c r="F3885" s="151" t="str">
        <f>'Reported burning'!F3885</f>
        <v>ND</v>
      </c>
      <c r="G3885" s="151" t="str">
        <f>'Reported burning'!G3885</f>
        <v>ND</v>
      </c>
      <c r="H3885" s="151" t="str">
        <f>'Reported burning'!H3885</f>
        <v>Presence</v>
      </c>
      <c r="I3885" s="5"/>
      <c r="J3885" s="71" t="s">
        <v>2272</v>
      </c>
      <c r="K3885" s="71" t="s">
        <v>2272</v>
      </c>
      <c r="L3885" s="71" t="s">
        <v>2272</v>
      </c>
      <c r="M3885" s="71" t="s">
        <v>2272</v>
      </c>
      <c r="N3885" s="71" t="s">
        <v>2272</v>
      </c>
      <c r="O3885" s="71" t="s">
        <v>2272</v>
      </c>
      <c r="P3885" s="71" t="s">
        <v>2272</v>
      </c>
      <c r="Q3885" s="21" t="s">
        <v>2373</v>
      </c>
      <c r="R3885" s="71" t="s">
        <v>2272</v>
      </c>
      <c r="S3885" s="71" t="s">
        <v>2272</v>
      </c>
      <c r="T3885" s="71" t="s">
        <v>2272</v>
      </c>
      <c r="U3885" s="71" t="s">
        <v>2272</v>
      </c>
      <c r="V3885" s="71" t="s">
        <v>2272</v>
      </c>
      <c r="W3885" s="71" t="s">
        <v>2272</v>
      </c>
      <c r="X3885" s="71" t="s">
        <v>2272</v>
      </c>
      <c r="Y3885" s="71" t="s">
        <v>2272</v>
      </c>
      <c r="Z3885" s="71" t="s">
        <v>2272</v>
      </c>
      <c r="AA3885" s="71" t="s">
        <v>2272</v>
      </c>
      <c r="AB3885" s="198"/>
      <c r="AC3885" s="198"/>
    </row>
    <row r="3886" spans="1:29" ht="48" customHeight="1">
      <c r="A3886" s="151" t="str">
        <f>'Reported burning'!A3886</f>
        <v>413b</v>
      </c>
      <c r="B3886" s="151" t="str">
        <f>'Reported burning'!B3886</f>
        <v>413b.8</v>
      </c>
      <c r="C3886" s="151" t="str">
        <f>'Reported burning'!C3886</f>
        <v>Lightning</v>
      </c>
      <c r="D3886" s="151" t="str">
        <f>'Reported burning'!D3886</f>
        <v>ND</v>
      </c>
      <c r="E3886" s="151" t="str">
        <f>'Reported burning'!E3886</f>
        <v>ND</v>
      </c>
      <c r="F3886" s="151" t="str">
        <f>'Reported burning'!F3886</f>
        <v>ND</v>
      </c>
      <c r="G3886" s="151" t="str">
        <f>'Reported burning'!G3886</f>
        <v>ND</v>
      </c>
      <c r="H3886" s="151" t="str">
        <f>'Reported burning'!H3886</f>
        <v>Presence</v>
      </c>
      <c r="I3886" s="5"/>
      <c r="J3886" s="71" t="s">
        <v>2272</v>
      </c>
      <c r="K3886" s="71" t="s">
        <v>2272</v>
      </c>
      <c r="L3886" s="71" t="s">
        <v>2272</v>
      </c>
      <c r="M3886" s="71" t="s">
        <v>2272</v>
      </c>
      <c r="N3886" s="71" t="s">
        <v>2272</v>
      </c>
      <c r="O3886" s="71" t="s">
        <v>2272</v>
      </c>
      <c r="P3886" s="71" t="s">
        <v>2272</v>
      </c>
      <c r="Q3886" s="21" t="s">
        <v>2373</v>
      </c>
      <c r="R3886" s="71" t="s">
        <v>2272</v>
      </c>
      <c r="S3886" s="71" t="s">
        <v>2272</v>
      </c>
      <c r="T3886" s="71" t="s">
        <v>2272</v>
      </c>
      <c r="U3886" s="71" t="s">
        <v>2272</v>
      </c>
      <c r="V3886" s="71" t="s">
        <v>2272</v>
      </c>
      <c r="W3886" s="71" t="s">
        <v>2272</v>
      </c>
      <c r="X3886" s="71" t="s">
        <v>2272</v>
      </c>
      <c r="Y3886" s="71" t="s">
        <v>2272</v>
      </c>
      <c r="Z3886" s="71" t="s">
        <v>2272</v>
      </c>
      <c r="AA3886" s="71" t="s">
        <v>2272</v>
      </c>
      <c r="AB3886" s="198"/>
      <c r="AC3886" s="198"/>
    </row>
    <row r="3887" spans="1:29" ht="48" customHeight="1">
      <c r="A3887" s="151" t="str">
        <f>'Reported burning'!A3887</f>
        <v>413b</v>
      </c>
      <c r="B3887" s="151" t="str">
        <f>'Reported burning'!B3887</f>
        <v>413b.9</v>
      </c>
      <c r="C3887" s="151" t="str">
        <f>'Reported burning'!C3887</f>
        <v>Unknown</v>
      </c>
      <c r="D3887" s="151" t="str">
        <f>'Reported burning'!D3887</f>
        <v>ND</v>
      </c>
      <c r="E3887" s="151" t="str">
        <f>'Reported burning'!E3887</f>
        <v>ND</v>
      </c>
      <c r="F3887" s="151" t="str">
        <f>'Reported burning'!F3887</f>
        <v>ND</v>
      </c>
      <c r="G3887" s="151" t="str">
        <f>'Reported burning'!G3887</f>
        <v>ND</v>
      </c>
      <c r="H3887" s="151" t="str">
        <f>'Reported burning'!H3887</f>
        <v>Presence</v>
      </c>
      <c r="I3887" s="5"/>
      <c r="J3887" s="71" t="s">
        <v>2272</v>
      </c>
      <c r="K3887" s="71" t="s">
        <v>2272</v>
      </c>
      <c r="L3887" s="71" t="s">
        <v>2272</v>
      </c>
      <c r="M3887" s="71" t="s">
        <v>2272</v>
      </c>
      <c r="N3887" s="71" t="s">
        <v>2272</v>
      </c>
      <c r="O3887" s="71" t="s">
        <v>2272</v>
      </c>
      <c r="P3887" s="71" t="s">
        <v>2272</v>
      </c>
      <c r="Q3887" s="21" t="s">
        <v>2373</v>
      </c>
      <c r="R3887" s="71" t="s">
        <v>2272</v>
      </c>
      <c r="S3887" s="71" t="s">
        <v>2272</v>
      </c>
      <c r="T3887" s="71" t="s">
        <v>2272</v>
      </c>
      <c r="U3887" s="71" t="s">
        <v>2272</v>
      </c>
      <c r="V3887" s="71" t="s">
        <v>2272</v>
      </c>
      <c r="W3887" s="71" t="s">
        <v>2272</v>
      </c>
      <c r="X3887" s="71" t="s">
        <v>2272</v>
      </c>
      <c r="Y3887" s="71" t="s">
        <v>2272</v>
      </c>
      <c r="Z3887" s="71" t="s">
        <v>2272</v>
      </c>
      <c r="AA3887" s="71" t="s">
        <v>2272</v>
      </c>
      <c r="AB3887" s="198"/>
      <c r="AC3887" s="198"/>
    </row>
    <row r="3888" spans="1:29" ht="48" customHeight="1">
      <c r="A3888" s="151" t="str">
        <f>'Reported burning'!A3888</f>
        <v>413a</v>
      </c>
      <c r="B3888" s="151" t="str">
        <f>'Reported burning'!B3888</f>
        <v>413a.10</v>
      </c>
      <c r="C3888" s="151" t="str">
        <f>'Reported burning'!C3888</f>
        <v>Human, deliberate</v>
      </c>
      <c r="D3888" s="151" t="str">
        <f>'Reported burning'!D3888</f>
        <v>Harvesting of NTFP</v>
      </c>
      <c r="E3888" s="151" t="str">
        <f>'Reported burning'!E3888</f>
        <v>Agroforestry, Market-oriented</v>
      </c>
      <c r="F3888" s="151" t="str">
        <f>'Reported burning'!F3888</f>
        <v>Shrubland (Mixed forest &amp; grassland)</v>
      </c>
      <c r="G3888" s="151" t="str">
        <f>'Reported burning'!G3888</f>
        <v>Shrubland (Mixed forest &amp; grassland)</v>
      </c>
      <c r="H3888" s="151" t="str">
        <f>'Reported burning'!H3888</f>
        <v>Presence</v>
      </c>
      <c r="I3888" s="5"/>
      <c r="J3888" s="71" t="s">
        <v>2272</v>
      </c>
      <c r="K3888" s="71" t="s">
        <v>2272</v>
      </c>
      <c r="L3888" s="71" t="s">
        <v>2272</v>
      </c>
      <c r="M3888" s="71" t="s">
        <v>2272</v>
      </c>
      <c r="N3888" s="71" t="s">
        <v>2272</v>
      </c>
      <c r="O3888" s="71" t="s">
        <v>2272</v>
      </c>
      <c r="P3888" s="71" t="s">
        <v>2272</v>
      </c>
      <c r="Q3888" s="71" t="s">
        <v>2272</v>
      </c>
      <c r="R3888" s="71" t="s">
        <v>2272</v>
      </c>
      <c r="S3888" s="71" t="s">
        <v>2272</v>
      </c>
      <c r="T3888" s="71" t="s">
        <v>2272</v>
      </c>
      <c r="U3888" s="71" t="s">
        <v>2272</v>
      </c>
      <c r="V3888" s="71" t="s">
        <v>2272</v>
      </c>
      <c r="W3888" s="71" t="s">
        <v>2272</v>
      </c>
      <c r="X3888" s="71" t="s">
        <v>2272</v>
      </c>
      <c r="Y3888" s="71" t="s">
        <v>2272</v>
      </c>
      <c r="Z3888" s="71" t="s">
        <v>2272</v>
      </c>
      <c r="AA3888" s="71" t="s">
        <v>2272</v>
      </c>
      <c r="AB3888" s="198" t="s">
        <v>9929</v>
      </c>
      <c r="AC3888" s="198"/>
    </row>
    <row r="3889" spans="1:29" ht="48" customHeight="1">
      <c r="A3889" s="151" t="str">
        <f>'Reported burning'!A3889</f>
        <v>413a</v>
      </c>
      <c r="B3889" s="151" t="str">
        <f>'Reported burning'!B3889</f>
        <v>413a.11</v>
      </c>
      <c r="C3889" s="151" t="str">
        <f>'Reported burning'!C3889</f>
        <v>Human, deliberate</v>
      </c>
      <c r="D3889" s="151" t="str">
        <f>'Reported burning'!D3889</f>
        <v>Land clearance</v>
      </c>
      <c r="E3889" s="151" t="str">
        <f>'Reported burning'!E3889</f>
        <v>Cattle, Extensive</v>
      </c>
      <c r="F3889" s="151" t="str">
        <f>'Reported burning'!F3889</f>
        <v>Shrubland (Mixed forest &amp; grassland)</v>
      </c>
      <c r="G3889" s="151" t="str">
        <f>'Reported burning'!G3889</f>
        <v>Shrubland (Mixed forest &amp; grassland)</v>
      </c>
      <c r="H3889" s="151" t="str">
        <f>'Reported burning'!H3889</f>
        <v>Presence</v>
      </c>
      <c r="I3889" s="5"/>
      <c r="J3889" s="71" t="s">
        <v>2272</v>
      </c>
      <c r="K3889" s="71" t="s">
        <v>2272</v>
      </c>
      <c r="L3889" s="71" t="s">
        <v>2272</v>
      </c>
      <c r="M3889" s="71" t="s">
        <v>2272</v>
      </c>
      <c r="N3889" s="71" t="s">
        <v>2272</v>
      </c>
      <c r="O3889" s="71" t="s">
        <v>2272</v>
      </c>
      <c r="P3889" s="71" t="s">
        <v>2272</v>
      </c>
      <c r="Q3889" s="71" t="s">
        <v>2272</v>
      </c>
      <c r="R3889" s="71" t="s">
        <v>2272</v>
      </c>
      <c r="S3889" s="71" t="s">
        <v>2272</v>
      </c>
      <c r="T3889" s="71" t="s">
        <v>2272</v>
      </c>
      <c r="U3889" s="71" t="s">
        <v>2272</v>
      </c>
      <c r="V3889" s="71" t="s">
        <v>2272</v>
      </c>
      <c r="W3889" s="71" t="s">
        <v>2272</v>
      </c>
      <c r="X3889" s="71" t="s">
        <v>2272</v>
      </c>
      <c r="Y3889" s="71" t="s">
        <v>2272</v>
      </c>
      <c r="Z3889" s="71" t="s">
        <v>2272</v>
      </c>
      <c r="AA3889" s="71" t="s">
        <v>2272</v>
      </c>
      <c r="AB3889" s="198"/>
      <c r="AC3889" s="198"/>
    </row>
    <row r="3890" spans="1:29" ht="48" customHeight="1">
      <c r="A3890" s="151" t="str">
        <f>'Reported burning'!A3890</f>
        <v>413a</v>
      </c>
      <c r="B3890" s="151" t="str">
        <f>'Reported burning'!B3890</f>
        <v>413a.12</v>
      </c>
      <c r="C3890" s="151" t="str">
        <f>'Reported burning'!C3890</f>
        <v>Human, deliberate</v>
      </c>
      <c r="D3890" s="151" t="str">
        <f>'Reported burning'!D3890</f>
        <v>Pasture renewal</v>
      </c>
      <c r="E3890" s="151" t="str">
        <f>'Reported burning'!E3890</f>
        <v>Cattle, Extensive</v>
      </c>
      <c r="F3890" s="151" t="str">
        <f>'Reported burning'!F3890</f>
        <v>Pasture</v>
      </c>
      <c r="G3890" s="151" t="str">
        <f>'Reported burning'!G3890</f>
        <v>Pasture</v>
      </c>
      <c r="H3890" s="151" t="str">
        <f>'Reported burning'!H3890</f>
        <v>Presence</v>
      </c>
      <c r="I3890" s="5"/>
      <c r="J3890" s="71" t="s">
        <v>2272</v>
      </c>
      <c r="K3890" s="71" t="s">
        <v>2272</v>
      </c>
      <c r="L3890" s="71" t="s">
        <v>2272</v>
      </c>
      <c r="M3890" s="71" t="s">
        <v>2272</v>
      </c>
      <c r="N3890" s="71" t="s">
        <v>2272</v>
      </c>
      <c r="O3890" s="71" t="s">
        <v>2272</v>
      </c>
      <c r="P3890" s="71" t="s">
        <v>2272</v>
      </c>
      <c r="Q3890" s="71" t="s">
        <v>2272</v>
      </c>
      <c r="R3890" s="71" t="s">
        <v>2272</v>
      </c>
      <c r="S3890" s="71" t="s">
        <v>2272</v>
      </c>
      <c r="T3890" s="71" t="s">
        <v>2272</v>
      </c>
      <c r="U3890" s="71" t="s">
        <v>2272</v>
      </c>
      <c r="V3890" s="71" t="s">
        <v>2272</v>
      </c>
      <c r="W3890" s="71" t="s">
        <v>2272</v>
      </c>
      <c r="X3890" s="71" t="s">
        <v>2272</v>
      </c>
      <c r="Y3890" s="71" t="s">
        <v>2272</v>
      </c>
      <c r="Z3890" s="71" t="s">
        <v>2272</v>
      </c>
      <c r="AA3890" s="71" t="s">
        <v>2272</v>
      </c>
      <c r="AB3890" s="198"/>
      <c r="AC3890" s="198"/>
    </row>
    <row r="3891" spans="1:29" ht="48" customHeight="1">
      <c r="A3891" s="151" t="str">
        <f>'Reported burning'!A3891</f>
        <v>413a</v>
      </c>
      <c r="B3891" s="151" t="str">
        <f>'Reported burning'!B3891</f>
        <v>413a.13</v>
      </c>
      <c r="C3891" s="151" t="str">
        <f>'Reported burning'!C3891</f>
        <v>Human, deliberate</v>
      </c>
      <c r="D3891" s="151" t="str">
        <f>'Reported burning'!D3891</f>
        <v>Land clearance</v>
      </c>
      <c r="E3891" s="151" t="str">
        <f>'Reported burning'!E3891</f>
        <v>Cropping, Monoculture, Market-oriented</v>
      </c>
      <c r="F3891" s="151" t="str">
        <f>'Reported burning'!F3891</f>
        <v>Shrubland (Mixed forest &amp; grassland)</v>
      </c>
      <c r="G3891" s="151" t="str">
        <f>'Reported burning'!G3891</f>
        <v>Shrubland (Mixed forest &amp; grassland)</v>
      </c>
      <c r="H3891" s="151" t="str">
        <f>'Reported burning'!H3891</f>
        <v>Presence</v>
      </c>
      <c r="I3891" s="5"/>
      <c r="J3891" s="71" t="s">
        <v>2272</v>
      </c>
      <c r="K3891" s="71" t="s">
        <v>2272</v>
      </c>
      <c r="L3891" s="71" t="s">
        <v>2272</v>
      </c>
      <c r="M3891" s="71" t="s">
        <v>2272</v>
      </c>
      <c r="N3891" s="71" t="s">
        <v>2272</v>
      </c>
      <c r="O3891" s="71" t="s">
        <v>2272</v>
      </c>
      <c r="P3891" s="71" t="s">
        <v>2272</v>
      </c>
      <c r="Q3891" s="71" t="s">
        <v>2272</v>
      </c>
      <c r="R3891" s="71" t="s">
        <v>2272</v>
      </c>
      <c r="S3891" s="71" t="s">
        <v>2272</v>
      </c>
      <c r="T3891" s="71" t="s">
        <v>2272</v>
      </c>
      <c r="U3891" s="71" t="s">
        <v>2272</v>
      </c>
      <c r="V3891" s="71" t="s">
        <v>2272</v>
      </c>
      <c r="W3891" s="71" t="s">
        <v>2272</v>
      </c>
      <c r="X3891" s="71" t="s">
        <v>2272</v>
      </c>
      <c r="Y3891" s="71" t="s">
        <v>2272</v>
      </c>
      <c r="Z3891" s="71" t="s">
        <v>2272</v>
      </c>
      <c r="AA3891" s="71" t="s">
        <v>2272</v>
      </c>
      <c r="AB3891" s="198"/>
      <c r="AC3891" s="198"/>
    </row>
    <row r="3892" spans="1:29" ht="48" customHeight="1">
      <c r="A3892" s="151" t="str">
        <f>'Reported burning'!A3892</f>
        <v>413b</v>
      </c>
      <c r="B3892" s="151" t="str">
        <f>'Reported burning'!B3892</f>
        <v>413a.14</v>
      </c>
      <c r="C3892" s="151" t="str">
        <f>'Reported burning'!C3892</f>
        <v>Human, deliberate</v>
      </c>
      <c r="D3892" s="151" t="str">
        <f>'Reported burning'!D3892</f>
        <v>Crop residue burning</v>
      </c>
      <c r="E3892" s="151" t="str">
        <f>'Reported burning'!E3892</f>
        <v>Cropping, Monoculture, Market-oriented</v>
      </c>
      <c r="F3892" s="151" t="str">
        <f>'Reported burning'!F3892</f>
        <v>Cropland</v>
      </c>
      <c r="G3892" s="151" t="str">
        <f>'Reported burning'!G3892</f>
        <v>Cropland</v>
      </c>
      <c r="H3892" s="151" t="str">
        <f>'Reported burning'!H3892</f>
        <v>Presence</v>
      </c>
      <c r="I3892" s="5"/>
      <c r="J3892" s="71" t="s">
        <v>2272</v>
      </c>
      <c r="K3892" s="71" t="s">
        <v>2272</v>
      </c>
      <c r="L3892" s="71" t="s">
        <v>2272</v>
      </c>
      <c r="M3892" s="71" t="s">
        <v>2272</v>
      </c>
      <c r="N3892" s="71" t="s">
        <v>2272</v>
      </c>
      <c r="O3892" s="71" t="s">
        <v>2272</v>
      </c>
      <c r="P3892" s="71" t="s">
        <v>2272</v>
      </c>
      <c r="Q3892" s="71" t="s">
        <v>2272</v>
      </c>
      <c r="R3892" s="71" t="s">
        <v>2272</v>
      </c>
      <c r="S3892" s="71" t="s">
        <v>2272</v>
      </c>
      <c r="T3892" s="71" t="s">
        <v>2272</v>
      </c>
      <c r="U3892" s="71" t="s">
        <v>2272</v>
      </c>
      <c r="V3892" s="71" t="s">
        <v>2272</v>
      </c>
      <c r="W3892" s="71" t="s">
        <v>2272</v>
      </c>
      <c r="X3892" s="71" t="s">
        <v>2272</v>
      </c>
      <c r="Y3892" s="71" t="s">
        <v>2272</v>
      </c>
      <c r="Z3892" s="71" t="s">
        <v>2272</v>
      </c>
      <c r="AA3892" s="71" t="s">
        <v>2272</v>
      </c>
      <c r="AB3892" s="198"/>
      <c r="AC3892" s="198"/>
    </row>
    <row r="3893" spans="1:29" ht="48" customHeight="1">
      <c r="A3893" s="151" t="str">
        <f>'Reported burning'!A3893</f>
        <v>413a</v>
      </c>
      <c r="B3893" s="151" t="str">
        <f>'Reported burning'!B3893</f>
        <v>413a.15</v>
      </c>
      <c r="C3893" s="151" t="str">
        <f>'Reported burning'!C3893</f>
        <v>Human, deliberate</v>
      </c>
      <c r="D3893" s="151" t="str">
        <f>'Reported burning'!D3893</f>
        <v>Hunting</v>
      </c>
      <c r="E3893" s="151" t="str">
        <f>'Reported burning'!E3893</f>
        <v>ND</v>
      </c>
      <c r="F3893" s="151" t="str">
        <f>'Reported burning'!F3893</f>
        <v>Shrubland (Mixed forest &amp; grassland)</v>
      </c>
      <c r="G3893" s="151" t="str">
        <f>'Reported burning'!G3893</f>
        <v>Shrubland (Mixed forest &amp; grassland)</v>
      </c>
      <c r="H3893" s="151" t="str">
        <f>'Reported burning'!H3893</f>
        <v>Presence</v>
      </c>
      <c r="I3893" s="5"/>
      <c r="J3893" s="71" t="s">
        <v>2272</v>
      </c>
      <c r="K3893" s="71" t="s">
        <v>2272</v>
      </c>
      <c r="L3893" s="71" t="s">
        <v>2272</v>
      </c>
      <c r="M3893" s="71" t="s">
        <v>2272</v>
      </c>
      <c r="N3893" s="71" t="s">
        <v>2272</v>
      </c>
      <c r="O3893" s="71" t="s">
        <v>2272</v>
      </c>
      <c r="P3893" s="71" t="s">
        <v>2272</v>
      </c>
      <c r="Q3893" s="71" t="s">
        <v>2272</v>
      </c>
      <c r="R3893" s="71" t="s">
        <v>2272</v>
      </c>
      <c r="S3893" s="71" t="s">
        <v>2272</v>
      </c>
      <c r="T3893" s="71" t="s">
        <v>2272</v>
      </c>
      <c r="U3893" s="71" t="s">
        <v>2272</v>
      </c>
      <c r="V3893" s="71" t="s">
        <v>2272</v>
      </c>
      <c r="W3893" s="71" t="s">
        <v>2272</v>
      </c>
      <c r="X3893" s="71" t="s">
        <v>2272</v>
      </c>
      <c r="Y3893" s="71" t="s">
        <v>2272</v>
      </c>
      <c r="Z3893" s="71" t="s">
        <v>2272</v>
      </c>
      <c r="AA3893" s="71" t="s">
        <v>2272</v>
      </c>
      <c r="AB3893" s="198"/>
      <c r="AC3893" s="198"/>
    </row>
    <row r="3894" spans="1:29" ht="48" customHeight="1">
      <c r="A3894" s="151" t="str">
        <f>'Reported burning'!A3894</f>
        <v>413a</v>
      </c>
      <c r="B3894" s="151" t="str">
        <f>'Reported burning'!B3894</f>
        <v>413a.16</v>
      </c>
      <c r="C3894" s="151" t="str">
        <f>'Reported burning'!C3894</f>
        <v>Human, deliberate</v>
      </c>
      <c r="D3894" s="151" t="str">
        <f>'Reported burning'!D3894</f>
        <v>Pest management</v>
      </c>
      <c r="E3894" s="151" t="str">
        <f>'Reported burning'!E3894</f>
        <v>Agroforestry, Market-oriented</v>
      </c>
      <c r="F3894" s="151" t="str">
        <f>'Reported burning'!F3894</f>
        <v>Shrubland (Mixed forest &amp; grassland)</v>
      </c>
      <c r="G3894" s="151" t="str">
        <f>'Reported burning'!G3894</f>
        <v>Shrubland (Mixed forest &amp; grassland)</v>
      </c>
      <c r="H3894" s="151" t="str">
        <f>'Reported burning'!H3894</f>
        <v>Presence</v>
      </c>
      <c r="I3894" s="5"/>
      <c r="J3894" s="71" t="s">
        <v>2272</v>
      </c>
      <c r="K3894" s="71" t="s">
        <v>2272</v>
      </c>
      <c r="L3894" s="71" t="s">
        <v>2272</v>
      </c>
      <c r="M3894" s="71" t="s">
        <v>2272</v>
      </c>
      <c r="N3894" s="71" t="s">
        <v>2272</v>
      </c>
      <c r="O3894" s="71" t="s">
        <v>2272</v>
      </c>
      <c r="P3894" s="71" t="s">
        <v>2272</v>
      </c>
      <c r="Q3894" s="71" t="s">
        <v>2272</v>
      </c>
      <c r="R3894" s="71" t="s">
        <v>2272</v>
      </c>
      <c r="S3894" s="71" t="s">
        <v>2272</v>
      </c>
      <c r="T3894" s="71" t="s">
        <v>2272</v>
      </c>
      <c r="U3894" s="71" t="s">
        <v>2272</v>
      </c>
      <c r="V3894" s="71" t="s">
        <v>2272</v>
      </c>
      <c r="W3894" s="71" t="s">
        <v>2272</v>
      </c>
      <c r="X3894" s="71" t="s">
        <v>2272</v>
      </c>
      <c r="Y3894" s="71" t="s">
        <v>2272</v>
      </c>
      <c r="Z3894" s="71" t="s">
        <v>2272</v>
      </c>
      <c r="AA3894" s="71" t="s">
        <v>2272</v>
      </c>
      <c r="AB3894" s="198" t="s">
        <v>9929</v>
      </c>
      <c r="AC3894" s="198"/>
    </row>
    <row r="3895" spans="1:29" ht="48" customHeight="1">
      <c r="A3895" s="151" t="str">
        <f>'Reported burning'!A3895</f>
        <v>413a</v>
      </c>
      <c r="B3895" s="151" t="str">
        <f>'Reported burning'!B3895</f>
        <v>413a.17</v>
      </c>
      <c r="C3895" s="151" t="str">
        <f>'Reported burning'!C3895</f>
        <v>Human, deliberate</v>
      </c>
      <c r="D3895" s="151" t="str">
        <f>'Reported burning'!D3895</f>
        <v>Cultural &amp; Spiritual</v>
      </c>
      <c r="E3895" s="151" t="str">
        <f>'Reported burning'!E3895</f>
        <v>Agroforestry, Market-oriented</v>
      </c>
      <c r="F3895" s="151" t="str">
        <f>'Reported burning'!F3895</f>
        <v>Shrubland (Mixed forest &amp; grassland)</v>
      </c>
      <c r="G3895" s="151" t="str">
        <f>'Reported burning'!G3895</f>
        <v>Shrubland (Mixed forest &amp; grassland)</v>
      </c>
      <c r="H3895" s="151" t="str">
        <f>'Reported burning'!H3895</f>
        <v>Presence</v>
      </c>
      <c r="I3895" s="5"/>
      <c r="J3895" s="71" t="s">
        <v>2272</v>
      </c>
      <c r="K3895" s="71" t="s">
        <v>2272</v>
      </c>
      <c r="L3895" s="71" t="s">
        <v>2272</v>
      </c>
      <c r="M3895" s="71" t="s">
        <v>2272</v>
      </c>
      <c r="N3895" s="71" t="s">
        <v>2272</v>
      </c>
      <c r="O3895" s="71" t="s">
        <v>2272</v>
      </c>
      <c r="P3895" s="71" t="s">
        <v>2272</v>
      </c>
      <c r="Q3895" s="71" t="s">
        <v>2272</v>
      </c>
      <c r="R3895" s="71" t="s">
        <v>2272</v>
      </c>
      <c r="S3895" s="71" t="s">
        <v>2272</v>
      </c>
      <c r="T3895" s="71" t="s">
        <v>2272</v>
      </c>
      <c r="U3895" s="71" t="s">
        <v>2272</v>
      </c>
      <c r="V3895" s="71" t="s">
        <v>2272</v>
      </c>
      <c r="W3895" s="71" t="s">
        <v>2272</v>
      </c>
      <c r="X3895" s="71" t="s">
        <v>2272</v>
      </c>
      <c r="Y3895" s="71" t="s">
        <v>2272</v>
      </c>
      <c r="Z3895" s="71" t="s">
        <v>2272</v>
      </c>
      <c r="AA3895" s="71" t="s">
        <v>2272</v>
      </c>
      <c r="AB3895" s="198" t="s">
        <v>9929</v>
      </c>
      <c r="AC3895" s="198"/>
    </row>
    <row r="3896" spans="1:29" ht="48" customHeight="1">
      <c r="A3896" s="151" t="str">
        <f>'Reported burning'!A3896</f>
        <v>413a</v>
      </c>
      <c r="B3896" s="151" t="str">
        <f>'Reported burning'!B3896</f>
        <v>413a.18</v>
      </c>
      <c r="C3896" s="151" t="str">
        <f>'Reported burning'!C3896</f>
        <v>Human, deliberate</v>
      </c>
      <c r="D3896" s="151" t="str">
        <f>'Reported burning'!D3896</f>
        <v>Pyrome management</v>
      </c>
      <c r="E3896" s="151" t="str">
        <f>'Reported burning'!E3896</f>
        <v>Agroforestry, Market-oriented</v>
      </c>
      <c r="F3896" s="151" t="str">
        <f>'Reported burning'!F3896</f>
        <v>Shrubland (Mixed forest &amp; grassland)</v>
      </c>
      <c r="G3896" s="151" t="str">
        <f>'Reported burning'!G3896</f>
        <v>Shrubland (Mixed forest &amp; grassland)</v>
      </c>
      <c r="H3896" s="151" t="str">
        <f>'Reported burning'!H3896</f>
        <v>Presence</v>
      </c>
      <c r="I3896" s="5"/>
      <c r="J3896" s="71" t="s">
        <v>2272</v>
      </c>
      <c r="K3896" s="71" t="s">
        <v>2272</v>
      </c>
      <c r="L3896" s="71" t="s">
        <v>2272</v>
      </c>
      <c r="M3896" s="71" t="s">
        <v>2272</v>
      </c>
      <c r="N3896" s="71" t="s">
        <v>2272</v>
      </c>
      <c r="O3896" s="71" t="s">
        <v>2272</v>
      </c>
      <c r="P3896" s="71" t="s">
        <v>2272</v>
      </c>
      <c r="Q3896" s="71" t="s">
        <v>2272</v>
      </c>
      <c r="R3896" s="71" t="s">
        <v>2272</v>
      </c>
      <c r="S3896" s="71" t="s">
        <v>2272</v>
      </c>
      <c r="T3896" s="71" t="s">
        <v>2272</v>
      </c>
      <c r="U3896" s="71" t="s">
        <v>2272</v>
      </c>
      <c r="V3896" s="71" t="s">
        <v>2272</v>
      </c>
      <c r="W3896" s="71" t="s">
        <v>2272</v>
      </c>
      <c r="X3896" s="71" t="s">
        <v>2272</v>
      </c>
      <c r="Y3896" s="71" t="s">
        <v>2272</v>
      </c>
      <c r="Z3896" s="71" t="s">
        <v>2272</v>
      </c>
      <c r="AA3896" s="71" t="s">
        <v>2272</v>
      </c>
      <c r="AB3896" s="198" t="s">
        <v>9929</v>
      </c>
      <c r="AC3896" s="198"/>
    </row>
    <row r="3897" spans="1:29" ht="48" customHeight="1">
      <c r="A3897" s="151" t="str">
        <f>'Reported burning'!A3897</f>
        <v>413b</v>
      </c>
      <c r="B3897" s="151" t="str">
        <f>'Reported burning'!B3897</f>
        <v>413b.10</v>
      </c>
      <c r="C3897" s="151" t="str">
        <f>'Reported burning'!C3897</f>
        <v>Human, deliberate</v>
      </c>
      <c r="D3897" s="151" t="str">
        <f>'Reported burning'!D3897</f>
        <v>Land clearance</v>
      </c>
      <c r="E3897" s="151" t="str">
        <f>'Reported burning'!E3897</f>
        <v>Mixed cropping-livestock small holder, Market-oriented</v>
      </c>
      <c r="F3897" s="151" t="str">
        <f>'Reported burning'!F3897</f>
        <v>Shrubland (Mixed forest &amp; grassland)</v>
      </c>
      <c r="G3897" s="151" t="str">
        <f>'Reported burning'!G3897</f>
        <v>Shrubland (Mixed forest &amp; grassland)</v>
      </c>
      <c r="H3897" s="151" t="str">
        <f>'Reported burning'!H3897</f>
        <v>Presence</v>
      </c>
      <c r="I3897" s="5"/>
      <c r="J3897" s="71" t="s">
        <v>2272</v>
      </c>
      <c r="K3897" s="71" t="s">
        <v>2272</v>
      </c>
      <c r="L3897" s="71" t="s">
        <v>2272</v>
      </c>
      <c r="M3897" s="71" t="s">
        <v>2272</v>
      </c>
      <c r="N3897" s="71" t="s">
        <v>2272</v>
      </c>
      <c r="O3897" s="71" t="s">
        <v>2272</v>
      </c>
      <c r="P3897" s="71" t="s">
        <v>2272</v>
      </c>
      <c r="Q3897" s="71" t="s">
        <v>2272</v>
      </c>
      <c r="R3897" s="71" t="s">
        <v>2272</v>
      </c>
      <c r="S3897" s="71" t="s">
        <v>2272</v>
      </c>
      <c r="T3897" s="71" t="s">
        <v>2272</v>
      </c>
      <c r="U3897" s="71" t="s">
        <v>2272</v>
      </c>
      <c r="V3897" s="71" t="s">
        <v>2272</v>
      </c>
      <c r="W3897" s="71" t="s">
        <v>2272</v>
      </c>
      <c r="X3897" s="71" t="s">
        <v>2272</v>
      </c>
      <c r="Y3897" s="71" t="s">
        <v>2272</v>
      </c>
      <c r="Z3897" s="71" t="s">
        <v>2272</v>
      </c>
      <c r="AA3897" s="71" t="s">
        <v>2272</v>
      </c>
      <c r="AB3897" s="198"/>
      <c r="AC3897" s="198"/>
    </row>
    <row r="3898" spans="1:29" ht="48" customHeight="1">
      <c r="A3898" s="151" t="str">
        <f>'Reported burning'!A3898</f>
        <v>413b</v>
      </c>
      <c r="B3898" s="151" t="str">
        <f>'Reported burning'!B3898</f>
        <v>413b.11</v>
      </c>
      <c r="C3898" s="151" t="str">
        <f>'Reported burning'!C3898</f>
        <v>Human, deliberate</v>
      </c>
      <c r="D3898" s="151" t="str">
        <f>'Reported burning'!D3898</f>
        <v>Pasture renewal</v>
      </c>
      <c r="E3898" s="151" t="str">
        <f>'Reported burning'!E3898</f>
        <v>Mixed cropping-livestock small holder, Market-oriented</v>
      </c>
      <c r="F3898" s="151" t="str">
        <f>'Reported burning'!F3898</f>
        <v>Pasture</v>
      </c>
      <c r="G3898" s="151" t="str">
        <f>'Reported burning'!G3898</f>
        <v>Pasture</v>
      </c>
      <c r="H3898" s="151" t="str">
        <f>'Reported burning'!H3898</f>
        <v>Presence</v>
      </c>
      <c r="I3898" s="5"/>
      <c r="J3898" s="71" t="s">
        <v>2272</v>
      </c>
      <c r="K3898" s="71" t="s">
        <v>2272</v>
      </c>
      <c r="L3898" s="71" t="s">
        <v>2272</v>
      </c>
      <c r="M3898" s="71" t="s">
        <v>2272</v>
      </c>
      <c r="N3898" s="71" t="s">
        <v>2272</v>
      </c>
      <c r="O3898" s="71" t="s">
        <v>2272</v>
      </c>
      <c r="P3898" s="71" t="s">
        <v>2272</v>
      </c>
      <c r="Q3898" s="71" t="s">
        <v>2272</v>
      </c>
      <c r="R3898" s="71" t="s">
        <v>2272</v>
      </c>
      <c r="S3898" s="71" t="s">
        <v>2272</v>
      </c>
      <c r="T3898" s="71" t="s">
        <v>2272</v>
      </c>
      <c r="U3898" s="71" t="s">
        <v>2272</v>
      </c>
      <c r="V3898" s="71" t="s">
        <v>2272</v>
      </c>
      <c r="W3898" s="71" t="s">
        <v>2272</v>
      </c>
      <c r="X3898" s="71" t="s">
        <v>2272</v>
      </c>
      <c r="Y3898" s="71" t="s">
        <v>2272</v>
      </c>
      <c r="Z3898" s="71" t="s">
        <v>2272</v>
      </c>
      <c r="AA3898" s="71" t="s">
        <v>2272</v>
      </c>
      <c r="AB3898" s="198"/>
      <c r="AC3898" s="198"/>
    </row>
    <row r="3899" spans="1:29" ht="40.5" customHeight="1">
      <c r="A3899" s="151" t="str">
        <f>'Reported burning'!A3899</f>
        <v>413b</v>
      </c>
      <c r="B3899" s="151" t="str">
        <f>'Reported burning'!B3899</f>
        <v>413b.12</v>
      </c>
      <c r="C3899" s="151" t="str">
        <f>'Reported burning'!C3899</f>
        <v>Human, deliberate</v>
      </c>
      <c r="D3899" s="151" t="str">
        <f>'Reported burning'!D3899</f>
        <v>Crop residue burning</v>
      </c>
      <c r="E3899" s="151" t="str">
        <f>'Reported burning'!E3899</f>
        <v>Mixed cropping-livestock small holder, Market-oriented</v>
      </c>
      <c r="F3899" s="151" t="str">
        <f>'Reported burning'!F3899</f>
        <v>Cropland</v>
      </c>
      <c r="G3899" s="151" t="str">
        <f>'Reported burning'!G3899</f>
        <v>Cropland</v>
      </c>
      <c r="H3899" s="151" t="str">
        <f>'Reported burning'!H3899</f>
        <v>Presence</v>
      </c>
      <c r="I3899" s="5"/>
      <c r="J3899" s="71" t="s">
        <v>2272</v>
      </c>
      <c r="K3899" s="71" t="s">
        <v>2272</v>
      </c>
      <c r="L3899" s="71" t="s">
        <v>2272</v>
      </c>
      <c r="M3899" s="71" t="s">
        <v>2272</v>
      </c>
      <c r="N3899" s="71" t="s">
        <v>2272</v>
      </c>
      <c r="O3899" s="71" t="s">
        <v>2272</v>
      </c>
      <c r="P3899" s="71" t="s">
        <v>2272</v>
      </c>
      <c r="Q3899" s="71" t="s">
        <v>2272</v>
      </c>
      <c r="R3899" s="71" t="s">
        <v>2272</v>
      </c>
      <c r="S3899" s="71" t="s">
        <v>2272</v>
      </c>
      <c r="T3899" s="71" t="s">
        <v>2272</v>
      </c>
      <c r="U3899" s="71" t="s">
        <v>2272</v>
      </c>
      <c r="V3899" s="71" t="s">
        <v>2272</v>
      </c>
      <c r="W3899" s="71" t="s">
        <v>2272</v>
      </c>
      <c r="X3899" s="71" t="s">
        <v>2272</v>
      </c>
      <c r="Y3899" s="71" t="s">
        <v>2272</v>
      </c>
      <c r="Z3899" s="71" t="s">
        <v>2272</v>
      </c>
      <c r="AA3899" s="71" t="s">
        <v>2272</v>
      </c>
      <c r="AB3899" s="198"/>
      <c r="AC3899" s="198"/>
    </row>
    <row r="3900" spans="1:29" ht="40.5" customHeight="1">
      <c r="A3900" s="151" t="str">
        <f>'Reported burning'!A3900</f>
        <v>413b</v>
      </c>
      <c r="B3900" s="151" t="str">
        <f>'Reported burning'!B3900</f>
        <v>413b.13</v>
      </c>
      <c r="C3900" s="151" t="str">
        <f>'Reported burning'!C3900</f>
        <v>Human, deliberate</v>
      </c>
      <c r="D3900" s="151" t="str">
        <f>'Reported burning'!D3900</f>
        <v>Hunting</v>
      </c>
      <c r="E3900" s="151" t="str">
        <f>'Reported burning'!E3900</f>
        <v>ND</v>
      </c>
      <c r="F3900" s="151" t="str">
        <f>'Reported burning'!F3900</f>
        <v>Shrubland (Mixed forest &amp; grassland)</v>
      </c>
      <c r="G3900" s="151" t="str">
        <f>'Reported burning'!G3900</f>
        <v>Shrubland (Mixed forest &amp; grassland)</v>
      </c>
      <c r="H3900" s="151" t="str">
        <f>'Reported burning'!H3900</f>
        <v>Presence</v>
      </c>
      <c r="I3900" s="5"/>
      <c r="J3900" s="71" t="s">
        <v>2272</v>
      </c>
      <c r="K3900" s="71" t="s">
        <v>2272</v>
      </c>
      <c r="L3900" s="71" t="s">
        <v>2272</v>
      </c>
      <c r="M3900" s="71" t="s">
        <v>2272</v>
      </c>
      <c r="N3900" s="71" t="s">
        <v>2272</v>
      </c>
      <c r="O3900" s="71" t="s">
        <v>2272</v>
      </c>
      <c r="P3900" s="71" t="s">
        <v>2272</v>
      </c>
      <c r="Q3900" s="71" t="s">
        <v>2272</v>
      </c>
      <c r="R3900" s="71" t="s">
        <v>2272</v>
      </c>
      <c r="S3900" s="71" t="s">
        <v>2272</v>
      </c>
      <c r="T3900" s="71" t="s">
        <v>2272</v>
      </c>
      <c r="U3900" s="71" t="s">
        <v>2272</v>
      </c>
      <c r="V3900" s="71" t="s">
        <v>2272</v>
      </c>
      <c r="W3900" s="71" t="s">
        <v>2272</v>
      </c>
      <c r="X3900" s="71" t="s">
        <v>2272</v>
      </c>
      <c r="Y3900" s="71" t="s">
        <v>2272</v>
      </c>
      <c r="Z3900" s="71" t="s">
        <v>2272</v>
      </c>
      <c r="AA3900" s="71" t="s">
        <v>2272</v>
      </c>
      <c r="AB3900" s="198"/>
      <c r="AC3900" s="198"/>
    </row>
    <row r="3901" spans="1:29" ht="40.5" customHeight="1">
      <c r="A3901" s="147" t="str">
        <f>'Reported burning'!A3901</f>
        <v>414a</v>
      </c>
      <c r="B3901" s="147" t="str">
        <f>'Reported burning'!B3901</f>
        <v>414a.1</v>
      </c>
      <c r="C3901" s="147" t="str">
        <f>'Reported burning'!C3901</f>
        <v>Human, deliberate</v>
      </c>
      <c r="D3901" s="147" t="str">
        <f>'Reported burning'!D3901</f>
        <v>ND</v>
      </c>
      <c r="E3901" s="147" t="str">
        <f>'Reported burning'!E3901</f>
        <v>Forestry, Traditional</v>
      </c>
      <c r="F3901" s="147" t="str">
        <f>'Reported burning'!F3901</f>
        <v>Shrubland (Mixed forest &amp; grassland)</v>
      </c>
      <c r="G3901" s="147" t="str">
        <f>'Reported burning'!G3901</f>
        <v>Shrubland (Mixed forest &amp; grassland)</v>
      </c>
      <c r="H3901" s="147" t="str">
        <f>'Reported burning'!H3901</f>
        <v>Presence</v>
      </c>
      <c r="I3901" s="198"/>
      <c r="J3901" s="71" t="s">
        <v>2272</v>
      </c>
      <c r="K3901" s="71" t="s">
        <v>2272</v>
      </c>
      <c r="L3901" s="71" t="s">
        <v>2272</v>
      </c>
      <c r="M3901" s="71" t="s">
        <v>2272</v>
      </c>
      <c r="N3901" s="71" t="s">
        <v>2272</v>
      </c>
      <c r="O3901" s="71" t="s">
        <v>2272</v>
      </c>
      <c r="P3901" s="71" t="s">
        <v>2272</v>
      </c>
      <c r="Q3901" s="71" t="s">
        <v>2272</v>
      </c>
      <c r="R3901" s="71" t="s">
        <v>2272</v>
      </c>
      <c r="S3901" s="71" t="s">
        <v>2272</v>
      </c>
      <c r="T3901" s="71" t="s">
        <v>2272</v>
      </c>
      <c r="U3901" s="71" t="s">
        <v>2272</v>
      </c>
      <c r="V3901" s="71" t="s">
        <v>2272</v>
      </c>
      <c r="W3901" s="71" t="s">
        <v>2272</v>
      </c>
      <c r="X3901" s="21" t="s">
        <v>2370</v>
      </c>
      <c r="Y3901" s="71" t="s">
        <v>2272</v>
      </c>
      <c r="Z3901" s="71" t="s">
        <v>2272</v>
      </c>
      <c r="AA3901" s="71" t="s">
        <v>2272</v>
      </c>
      <c r="AB3901" s="77" t="s">
        <v>9978</v>
      </c>
      <c r="AC3901" s="198"/>
    </row>
    <row r="3902" spans="1:29" ht="70.5" customHeight="1">
      <c r="A3902" s="151" t="str">
        <f>'Reported burning'!A3902</f>
        <v>415a</v>
      </c>
      <c r="B3902" s="151" t="str">
        <f>'Reported burning'!B3902</f>
        <v>415a.1</v>
      </c>
      <c r="C3902" s="151" t="str">
        <f>'Reported burning'!C3902</f>
        <v>Human, deliberate</v>
      </c>
      <c r="D3902" s="151" t="str">
        <f>'Reported burning'!D3902</f>
        <v>Harvesting of NTFP</v>
      </c>
      <c r="E3902" s="151" t="str">
        <f>'Reported burning'!E3902</f>
        <v>Forestry, Traditional</v>
      </c>
      <c r="F3902" s="151" t="str">
        <f>'Reported burning'!F3902</f>
        <v>Forest</v>
      </c>
      <c r="G3902" s="151" t="str">
        <f>'Reported burning'!G3902</f>
        <v>Forest</v>
      </c>
      <c r="H3902" s="151" t="str">
        <f>'Reported burning'!H3902</f>
        <v>Presence</v>
      </c>
      <c r="I3902" s="5"/>
      <c r="J3902" s="71" t="s">
        <v>2272</v>
      </c>
      <c r="K3902" s="71" t="s">
        <v>2272</v>
      </c>
      <c r="L3902" s="71" t="s">
        <v>2272</v>
      </c>
      <c r="M3902" s="71" t="s">
        <v>2272</v>
      </c>
      <c r="N3902" s="71" t="s">
        <v>2272</v>
      </c>
      <c r="O3902" s="71" t="s">
        <v>2272</v>
      </c>
      <c r="P3902" s="71" t="s">
        <v>2272</v>
      </c>
      <c r="Q3902" s="71" t="s">
        <v>2272</v>
      </c>
      <c r="R3902" s="71" t="s">
        <v>2272</v>
      </c>
      <c r="S3902" s="71" t="s">
        <v>2272</v>
      </c>
      <c r="T3902" s="71" t="s">
        <v>2272</v>
      </c>
      <c r="U3902" s="71" t="s">
        <v>2272</v>
      </c>
      <c r="V3902" s="71" t="s">
        <v>2272</v>
      </c>
      <c r="W3902" s="71" t="s">
        <v>2272</v>
      </c>
      <c r="X3902" s="71" t="s">
        <v>2272</v>
      </c>
      <c r="Y3902" s="198" t="s">
        <v>186</v>
      </c>
      <c r="Z3902" s="198" t="s">
        <v>37</v>
      </c>
      <c r="AA3902" s="71" t="s">
        <v>2272</v>
      </c>
      <c r="AB3902" s="198" t="s">
        <v>9986</v>
      </c>
      <c r="AC3902" s="198"/>
    </row>
    <row r="3903" spans="1:29" ht="65.5" customHeight="1">
      <c r="A3903" s="151" t="str">
        <f>'Reported burning'!A3903</f>
        <v>415a</v>
      </c>
      <c r="B3903" s="151" t="str">
        <f>'Reported burning'!B3903</f>
        <v>415a.2</v>
      </c>
      <c r="C3903" s="151" t="str">
        <f>'Reported burning'!C3903</f>
        <v>Human, escaped</v>
      </c>
      <c r="D3903" s="151" t="str">
        <f>'Reported burning'!D3903</f>
        <v>Harvesting of NTFP</v>
      </c>
      <c r="E3903" s="151" t="str">
        <f>'Reported burning'!E3903</f>
        <v>Forestry, Traditional</v>
      </c>
      <c r="F3903" s="151" t="str">
        <f>'Reported burning'!F3903</f>
        <v>Forest</v>
      </c>
      <c r="G3903" s="151" t="str">
        <f>'Reported burning'!G3903</f>
        <v>Forest</v>
      </c>
      <c r="H3903" s="151" t="str">
        <f>'Reported burning'!H3903</f>
        <v>Presence</v>
      </c>
      <c r="I3903" s="5"/>
      <c r="J3903" s="71" t="s">
        <v>2272</v>
      </c>
      <c r="K3903" s="71" t="s">
        <v>2272</v>
      </c>
      <c r="L3903" s="71" t="s">
        <v>2272</v>
      </c>
      <c r="M3903" s="71" t="s">
        <v>2272</v>
      </c>
      <c r="N3903" s="71" t="s">
        <v>2272</v>
      </c>
      <c r="O3903" s="71" t="s">
        <v>2272</v>
      </c>
      <c r="P3903" s="71" t="s">
        <v>2272</v>
      </c>
      <c r="Q3903" s="71" t="s">
        <v>2272</v>
      </c>
      <c r="R3903" s="71" t="s">
        <v>2272</v>
      </c>
      <c r="S3903" s="71" t="s">
        <v>2272</v>
      </c>
      <c r="T3903" s="71" t="s">
        <v>2272</v>
      </c>
      <c r="U3903" s="71" t="s">
        <v>2272</v>
      </c>
      <c r="V3903" s="71" t="s">
        <v>2272</v>
      </c>
      <c r="W3903" s="71" t="s">
        <v>2272</v>
      </c>
      <c r="X3903" s="71" t="s">
        <v>2272</v>
      </c>
      <c r="Y3903" s="198" t="s">
        <v>186</v>
      </c>
      <c r="Z3903" s="198" t="s">
        <v>37</v>
      </c>
      <c r="AA3903" s="71" t="s">
        <v>2272</v>
      </c>
      <c r="AB3903" s="198" t="s">
        <v>9986</v>
      </c>
      <c r="AC3903" s="198"/>
    </row>
    <row r="3904" spans="1:29" ht="65.5" customHeight="1">
      <c r="A3904" s="147" t="str">
        <f>'Reported burning'!A3904</f>
        <v>416a</v>
      </c>
      <c r="B3904" s="147" t="str">
        <f>'Reported burning'!B3904</f>
        <v>416a.1</v>
      </c>
      <c r="C3904" s="147" t="str">
        <f>'Reported burning'!C3904</f>
        <v>Human, deliberate</v>
      </c>
      <c r="D3904" s="147" t="str">
        <f>'Reported burning'!D3904</f>
        <v>Pyrome management</v>
      </c>
      <c r="E3904" s="147" t="str">
        <f>'Reported burning'!E3904</f>
        <v>Forestry, Industrial</v>
      </c>
      <c r="F3904" s="147" t="str">
        <f>'Reported burning'!F3904</f>
        <v>Shrubland (Mixed forest &amp; grassland)</v>
      </c>
      <c r="G3904" s="147" t="str">
        <f>'Reported burning'!G3904</f>
        <v>Shrubland (Mixed forest &amp; grassland)</v>
      </c>
      <c r="H3904" s="147" t="str">
        <f>'Reported burning'!H3904</f>
        <v>Presence</v>
      </c>
      <c r="I3904" s="198"/>
      <c r="J3904" s="71" t="s">
        <v>2272</v>
      </c>
      <c r="K3904" s="71" t="s">
        <v>2272</v>
      </c>
      <c r="L3904" s="21" t="s">
        <v>2358</v>
      </c>
      <c r="M3904" s="21" t="s">
        <v>2358</v>
      </c>
      <c r="N3904" s="21" t="s">
        <v>2379</v>
      </c>
      <c r="O3904" s="21" t="s">
        <v>2379</v>
      </c>
      <c r="P3904" s="71" t="s">
        <v>2272</v>
      </c>
      <c r="Q3904" s="71" t="s">
        <v>2272</v>
      </c>
      <c r="R3904" s="71" t="s">
        <v>2272</v>
      </c>
      <c r="S3904" s="71" t="s">
        <v>2272</v>
      </c>
      <c r="T3904" s="71" t="s">
        <v>2272</v>
      </c>
      <c r="U3904" s="71" t="s">
        <v>2272</v>
      </c>
      <c r="V3904" s="71" t="s">
        <v>2272</v>
      </c>
      <c r="W3904" s="71" t="s">
        <v>2272</v>
      </c>
      <c r="X3904" s="71" t="s">
        <v>2272</v>
      </c>
      <c r="Y3904" s="71" t="s">
        <v>2272</v>
      </c>
      <c r="Z3904" s="71" t="s">
        <v>2272</v>
      </c>
      <c r="AA3904" s="71" t="s">
        <v>2272</v>
      </c>
      <c r="AB3904" s="4" t="s">
        <v>9997</v>
      </c>
      <c r="AC3904" s="198"/>
    </row>
    <row r="3905" spans="1:29" ht="50.5" customHeight="1">
      <c r="A3905" s="147" t="str">
        <f>'Reported burning'!A3905</f>
        <v>416b</v>
      </c>
      <c r="B3905" s="147" t="str">
        <f>'Reported burning'!B3905</f>
        <v>416b.1</v>
      </c>
      <c r="C3905" s="147" t="str">
        <f>'Reported burning'!C3905</f>
        <v>Human, deliberate</v>
      </c>
      <c r="D3905" s="147" t="str">
        <f>'Reported burning'!D3905</f>
        <v>Pyrome management</v>
      </c>
      <c r="E3905" s="147" t="str">
        <f>'Reported burning'!E3905</f>
        <v>Forestry, Industrial</v>
      </c>
      <c r="F3905" s="147" t="str">
        <f>'Reported burning'!F3905</f>
        <v>Shrubland (Mixed forest &amp; grassland)</v>
      </c>
      <c r="G3905" s="147" t="str">
        <f>'Reported burning'!G3905</f>
        <v>Shrubland (Mixed forest &amp; grassland)</v>
      </c>
      <c r="H3905" s="147" t="str">
        <f>'Reported burning'!H3905</f>
        <v>Presence</v>
      </c>
      <c r="I3905" s="198"/>
      <c r="J3905" s="71" t="s">
        <v>2272</v>
      </c>
      <c r="K3905" s="71" t="s">
        <v>2272</v>
      </c>
      <c r="L3905" s="21" t="s">
        <v>2358</v>
      </c>
      <c r="M3905" s="21" t="s">
        <v>2358</v>
      </c>
      <c r="N3905" s="21" t="s">
        <v>2379</v>
      </c>
      <c r="O3905" s="21" t="s">
        <v>2379</v>
      </c>
      <c r="P3905" s="71" t="s">
        <v>2272</v>
      </c>
      <c r="Q3905" s="71" t="s">
        <v>2272</v>
      </c>
      <c r="R3905" s="71" t="s">
        <v>2272</v>
      </c>
      <c r="S3905" s="71" t="s">
        <v>2272</v>
      </c>
      <c r="T3905" s="71" t="s">
        <v>2272</v>
      </c>
      <c r="U3905" s="71" t="s">
        <v>2272</v>
      </c>
      <c r="V3905" s="71" t="s">
        <v>2272</v>
      </c>
      <c r="W3905" s="71" t="s">
        <v>2272</v>
      </c>
      <c r="X3905" s="71" t="s">
        <v>2272</v>
      </c>
      <c r="Y3905" s="71" t="s">
        <v>2272</v>
      </c>
      <c r="Z3905" s="71" t="s">
        <v>2272</v>
      </c>
      <c r="AA3905" s="71" t="s">
        <v>2272</v>
      </c>
      <c r="AB3905" s="4" t="s">
        <v>9997</v>
      </c>
      <c r="AC3905" s="198"/>
    </row>
    <row r="3906" spans="1:29" ht="50.5" customHeight="1">
      <c r="A3906" s="147" t="str">
        <f>'Reported burning'!A3906</f>
        <v>416c</v>
      </c>
      <c r="B3906" s="147" t="str">
        <f>'Reported burning'!B3906</f>
        <v>416c.1</v>
      </c>
      <c r="C3906" s="147" t="str">
        <f>'Reported burning'!C3906</f>
        <v>Human, deliberate</v>
      </c>
      <c r="D3906" s="147" t="str">
        <f>'Reported burning'!D3906</f>
        <v>Pyrome management</v>
      </c>
      <c r="E3906" s="147" t="str">
        <f>'Reported burning'!E3906</f>
        <v>Forestry, Industrial</v>
      </c>
      <c r="F3906" s="147" t="str">
        <f>'Reported burning'!F3906</f>
        <v>Shrubland (Mixed forest &amp; grassland)</v>
      </c>
      <c r="G3906" s="147" t="str">
        <f>'Reported burning'!G3906</f>
        <v>Shrubland (Mixed forest &amp; grassland)</v>
      </c>
      <c r="H3906" s="147" t="str">
        <f>'Reported burning'!H3906</f>
        <v>Presence</v>
      </c>
      <c r="I3906" s="198"/>
      <c r="J3906" s="71" t="s">
        <v>2272</v>
      </c>
      <c r="K3906" s="71" t="s">
        <v>2272</v>
      </c>
      <c r="L3906" s="21" t="s">
        <v>2358</v>
      </c>
      <c r="M3906" s="21" t="s">
        <v>2358</v>
      </c>
      <c r="N3906" s="21" t="s">
        <v>2379</v>
      </c>
      <c r="O3906" s="21" t="s">
        <v>2379</v>
      </c>
      <c r="P3906" s="71" t="s">
        <v>2272</v>
      </c>
      <c r="Q3906" s="71" t="s">
        <v>2272</v>
      </c>
      <c r="R3906" s="71" t="s">
        <v>2272</v>
      </c>
      <c r="S3906" s="71" t="s">
        <v>2272</v>
      </c>
      <c r="T3906" s="71" t="s">
        <v>2272</v>
      </c>
      <c r="U3906" s="71" t="s">
        <v>2272</v>
      </c>
      <c r="V3906" s="71" t="s">
        <v>2272</v>
      </c>
      <c r="W3906" s="71" t="s">
        <v>2272</v>
      </c>
      <c r="X3906" s="71" t="s">
        <v>2272</v>
      </c>
      <c r="Y3906" s="71" t="s">
        <v>2272</v>
      </c>
      <c r="Z3906" s="71" t="s">
        <v>2272</v>
      </c>
      <c r="AA3906" s="71" t="s">
        <v>2272</v>
      </c>
      <c r="AB3906" s="4" t="s">
        <v>9997</v>
      </c>
      <c r="AC3906" s="198"/>
    </row>
    <row r="3907" spans="1:29" ht="50.5" customHeight="1">
      <c r="A3907" s="147" t="str">
        <f>'Reported burning'!A3907</f>
        <v>416d</v>
      </c>
      <c r="B3907" s="147" t="str">
        <f>'Reported burning'!B3907</f>
        <v>416d.1</v>
      </c>
      <c r="C3907" s="147" t="str">
        <f>'Reported burning'!C3907</f>
        <v>Human, deliberate</v>
      </c>
      <c r="D3907" s="147" t="str">
        <f>'Reported burning'!D3907</f>
        <v>Pyrome management</v>
      </c>
      <c r="E3907" s="147" t="str">
        <f>'Reported burning'!E3907</f>
        <v>Forestry, Industrial</v>
      </c>
      <c r="F3907" s="147" t="str">
        <f>'Reported burning'!F3907</f>
        <v>Shrubland (Mixed forest &amp; grassland)</v>
      </c>
      <c r="G3907" s="147" t="str">
        <f>'Reported burning'!G3907</f>
        <v>Shrubland (Mixed forest &amp; grassland)</v>
      </c>
      <c r="H3907" s="147" t="str">
        <f>'Reported burning'!H3907</f>
        <v>Presence</v>
      </c>
      <c r="I3907" s="198"/>
      <c r="J3907" s="71" t="s">
        <v>2272</v>
      </c>
      <c r="K3907" s="71" t="s">
        <v>2272</v>
      </c>
      <c r="L3907" s="21" t="s">
        <v>2358</v>
      </c>
      <c r="M3907" s="21" t="s">
        <v>2358</v>
      </c>
      <c r="N3907" s="21" t="s">
        <v>2379</v>
      </c>
      <c r="O3907" s="21" t="s">
        <v>2379</v>
      </c>
      <c r="P3907" s="71" t="s">
        <v>2272</v>
      </c>
      <c r="Q3907" s="71" t="s">
        <v>2272</v>
      </c>
      <c r="R3907" s="71" t="s">
        <v>2272</v>
      </c>
      <c r="S3907" s="71" t="s">
        <v>2272</v>
      </c>
      <c r="T3907" s="71" t="s">
        <v>2272</v>
      </c>
      <c r="U3907" s="71" t="s">
        <v>2272</v>
      </c>
      <c r="V3907" s="71" t="s">
        <v>2272</v>
      </c>
      <c r="W3907" s="71" t="s">
        <v>2272</v>
      </c>
      <c r="X3907" s="71" t="s">
        <v>2272</v>
      </c>
      <c r="Y3907" s="71" t="s">
        <v>2272</v>
      </c>
      <c r="Z3907" s="71" t="s">
        <v>2272</v>
      </c>
      <c r="AA3907" s="71" t="s">
        <v>2272</v>
      </c>
      <c r="AB3907" s="4" t="s">
        <v>9997</v>
      </c>
      <c r="AC3907" s="198"/>
    </row>
    <row r="3908" spans="1:29" ht="50.5" customHeight="1">
      <c r="A3908" s="151" t="str">
        <f>'Reported burning'!A3908</f>
        <v>416c</v>
      </c>
      <c r="B3908" s="151" t="str">
        <f>'Reported burning'!B3908</f>
        <v>416c.2</v>
      </c>
      <c r="C3908" s="151" t="str">
        <f>'Reported burning'!C3908</f>
        <v>Human, accidental</v>
      </c>
      <c r="D3908" s="151" t="str">
        <f>'Reported burning'!D3908</f>
        <v>Accidental</v>
      </c>
      <c r="E3908" s="151" t="str">
        <f>'Reported burning'!E3908</f>
        <v>Forestry, Industrial</v>
      </c>
      <c r="F3908" s="151" t="str">
        <f>'Reported burning'!F3908</f>
        <v>ND</v>
      </c>
      <c r="G3908" s="151" t="str">
        <f>'Reported burning'!G3908</f>
        <v>Shrubland (Mixed forest &amp; grassland)</v>
      </c>
      <c r="H3908" s="151" t="str">
        <f>'Reported burning'!H3908</f>
        <v>Presence</v>
      </c>
      <c r="I3908" s="5"/>
      <c r="J3908" s="71" t="s">
        <v>2272</v>
      </c>
      <c r="K3908" s="71" t="s">
        <v>2272</v>
      </c>
      <c r="L3908" s="71" t="s">
        <v>2272</v>
      </c>
      <c r="M3908" s="71" t="s">
        <v>2272</v>
      </c>
      <c r="N3908" s="71" t="s">
        <v>2272</v>
      </c>
      <c r="O3908" s="71" t="s">
        <v>2272</v>
      </c>
      <c r="P3908" s="71" t="s">
        <v>2272</v>
      </c>
      <c r="Q3908" s="71" t="s">
        <v>2272</v>
      </c>
      <c r="R3908" s="71" t="s">
        <v>2272</v>
      </c>
      <c r="S3908" s="71" t="s">
        <v>2272</v>
      </c>
      <c r="T3908" s="71" t="s">
        <v>2272</v>
      </c>
      <c r="U3908" s="71" t="s">
        <v>2272</v>
      </c>
      <c r="V3908" s="71" t="s">
        <v>2272</v>
      </c>
      <c r="W3908" s="71" t="s">
        <v>2272</v>
      </c>
      <c r="X3908" s="71" t="s">
        <v>2272</v>
      </c>
      <c r="Y3908" s="71" t="s">
        <v>2272</v>
      </c>
      <c r="Z3908" s="71" t="s">
        <v>2272</v>
      </c>
      <c r="AA3908" s="71" t="s">
        <v>2272</v>
      </c>
      <c r="AB3908" s="19" t="s">
        <v>9999</v>
      </c>
      <c r="AC3908" s="198"/>
    </row>
    <row r="3909" spans="1:29" ht="45.5" customHeight="1">
      <c r="A3909" s="151" t="str">
        <f>'Reported burning'!A3909</f>
        <v>417a</v>
      </c>
      <c r="B3909" s="151" t="str">
        <f>'Reported burning'!B3909</f>
        <v>417a.1</v>
      </c>
      <c r="C3909" s="151" t="str">
        <f>'Reported burning'!C3909</f>
        <v>Human, deliberate</v>
      </c>
      <c r="D3909" s="151" t="str">
        <f>'Reported burning'!D3909</f>
        <v>Harvesting of Timber</v>
      </c>
      <c r="E3909" s="151" t="str">
        <f>'Reported burning'!E3909</f>
        <v>Forestry, Industrial</v>
      </c>
      <c r="F3909" s="151" t="str">
        <f>'Reported burning'!F3909</f>
        <v>Forest</v>
      </c>
      <c r="G3909" s="151" t="str">
        <f>'Reported burning'!G3909</f>
        <v>Forest</v>
      </c>
      <c r="H3909" s="151" t="str">
        <f>'Reported burning'!H3909</f>
        <v>Presence</v>
      </c>
      <c r="I3909" s="5"/>
      <c r="J3909" s="71" t="s">
        <v>2272</v>
      </c>
      <c r="K3909" s="71" t="s">
        <v>2272</v>
      </c>
      <c r="L3909" s="71" t="s">
        <v>2272</v>
      </c>
      <c r="M3909" s="71" t="s">
        <v>2272</v>
      </c>
      <c r="N3909" s="71" t="s">
        <v>2272</v>
      </c>
      <c r="O3909" s="71" t="s">
        <v>2272</v>
      </c>
      <c r="P3909" s="71" t="s">
        <v>2272</v>
      </c>
      <c r="Q3909" s="71" t="s">
        <v>2272</v>
      </c>
      <c r="R3909" s="71" t="s">
        <v>2272</v>
      </c>
      <c r="S3909" s="71" t="s">
        <v>2272</v>
      </c>
      <c r="T3909" s="71" t="s">
        <v>2272</v>
      </c>
      <c r="U3909" s="71" t="s">
        <v>2272</v>
      </c>
      <c r="V3909" s="71" t="s">
        <v>2272</v>
      </c>
      <c r="W3909" s="71" t="s">
        <v>2272</v>
      </c>
      <c r="X3909" s="71" t="s">
        <v>2272</v>
      </c>
      <c r="Y3909" s="71" t="s">
        <v>2272</v>
      </c>
      <c r="Z3909" s="71" t="s">
        <v>2272</v>
      </c>
      <c r="AA3909" s="71" t="s">
        <v>2272</v>
      </c>
      <c r="AB3909" s="198"/>
      <c r="AC3909" s="198"/>
    </row>
    <row r="3910" spans="1:29" ht="44" customHeight="1">
      <c r="A3910" s="147" t="str">
        <f>'Reported burning'!A3910</f>
        <v>418a</v>
      </c>
      <c r="B3910" s="147" t="str">
        <f>'Reported burning'!B3910</f>
        <v>418a.1</v>
      </c>
      <c r="C3910" s="147" t="str">
        <f>'Reported burning'!C3911</f>
        <v>Human, escaped</v>
      </c>
      <c r="D3910" s="147" t="str">
        <f>'Reported burning'!D3911</f>
        <v>ND</v>
      </c>
      <c r="E3910" s="147" t="str">
        <f>'Reported burning'!E3911</f>
        <v>ND</v>
      </c>
      <c r="F3910" s="147" t="str">
        <f>'Reported burning'!F3911</f>
        <v>ND</v>
      </c>
      <c r="G3910" s="147" t="str">
        <f>'Reported burning'!G3911</f>
        <v>Forest</v>
      </c>
      <c r="H3910" s="147" t="str">
        <f>'Reported burning'!H3911</f>
        <v>Presence</v>
      </c>
      <c r="I3910" s="198"/>
      <c r="J3910" s="71" t="s">
        <v>2272</v>
      </c>
      <c r="K3910" s="71" t="s">
        <v>2272</v>
      </c>
      <c r="L3910" s="71" t="s">
        <v>2272</v>
      </c>
      <c r="M3910" s="71" t="s">
        <v>2272</v>
      </c>
      <c r="N3910" s="71" t="s">
        <v>2272</v>
      </c>
      <c r="O3910" s="71" t="s">
        <v>2272</v>
      </c>
      <c r="P3910" s="71" t="s">
        <v>2272</v>
      </c>
      <c r="Q3910" s="71" t="s">
        <v>2272</v>
      </c>
      <c r="R3910" s="71" t="s">
        <v>2272</v>
      </c>
      <c r="S3910" s="21" t="s">
        <v>2373</v>
      </c>
      <c r="T3910" s="71" t="s">
        <v>2272</v>
      </c>
      <c r="U3910" s="71" t="s">
        <v>2272</v>
      </c>
      <c r="V3910" s="71" t="s">
        <v>2272</v>
      </c>
      <c r="W3910" s="21" t="s">
        <v>2522</v>
      </c>
      <c r="X3910" s="71" t="s">
        <v>2272</v>
      </c>
      <c r="Y3910" s="198" t="s">
        <v>187</v>
      </c>
      <c r="Z3910" s="198" t="s">
        <v>67</v>
      </c>
      <c r="AA3910" s="198" t="s">
        <v>2650</v>
      </c>
      <c r="AB3910" s="198"/>
      <c r="AC3910" s="4" t="s">
        <v>10023</v>
      </c>
    </row>
    <row r="3911" spans="1:29" ht="44" customHeight="1">
      <c r="A3911" s="147" t="str">
        <f>'Reported burning'!A3911</f>
        <v>418a</v>
      </c>
      <c r="B3911" s="147" t="str">
        <f>'Reported burning'!B3911</f>
        <v>418a.2</v>
      </c>
      <c r="C3911" s="147" t="str">
        <f>'Reported burning'!C3910</f>
        <v>Lightning</v>
      </c>
      <c r="D3911" s="147" t="str">
        <f>'Reported burning'!D3910</f>
        <v>ND</v>
      </c>
      <c r="E3911" s="147" t="str">
        <f>'Reported burning'!E3910</f>
        <v>ND</v>
      </c>
      <c r="F3911" s="147" t="str">
        <f>'Reported burning'!F3910</f>
        <v>ND</v>
      </c>
      <c r="G3911" s="147" t="str">
        <f>'Reported burning'!G3910</f>
        <v>Forest</v>
      </c>
      <c r="H3911" s="147" t="str">
        <f>'Reported burning'!H3910</f>
        <v>Presence</v>
      </c>
      <c r="I3911" s="198"/>
      <c r="J3911" s="71" t="s">
        <v>2272</v>
      </c>
      <c r="K3911" s="71" t="s">
        <v>2272</v>
      </c>
      <c r="L3911" s="71" t="s">
        <v>2272</v>
      </c>
      <c r="M3911" s="71" t="s">
        <v>2272</v>
      </c>
      <c r="N3911" s="71" t="s">
        <v>2272</v>
      </c>
      <c r="O3911" s="71" t="s">
        <v>2272</v>
      </c>
      <c r="P3911" s="71" t="s">
        <v>2272</v>
      </c>
      <c r="Q3911" s="71" t="s">
        <v>2272</v>
      </c>
      <c r="R3911" s="71" t="s">
        <v>2272</v>
      </c>
      <c r="S3911" s="21" t="s">
        <v>2373</v>
      </c>
      <c r="T3911" s="71" t="s">
        <v>2272</v>
      </c>
      <c r="U3911" s="71" t="s">
        <v>2272</v>
      </c>
      <c r="V3911" s="71" t="s">
        <v>2272</v>
      </c>
      <c r="W3911" s="21" t="s">
        <v>2522</v>
      </c>
      <c r="X3911" s="71" t="s">
        <v>2272</v>
      </c>
      <c r="Y3911" s="198" t="s">
        <v>187</v>
      </c>
      <c r="Z3911" s="198" t="s">
        <v>67</v>
      </c>
      <c r="AA3911" s="198" t="s">
        <v>2650</v>
      </c>
      <c r="AB3911" s="198"/>
      <c r="AC3911" s="4" t="s">
        <v>10023</v>
      </c>
    </row>
    <row r="3912" spans="1:29" ht="44" customHeight="1">
      <c r="A3912" s="147" t="str">
        <f>'Reported burning'!A3912</f>
        <v>418a</v>
      </c>
      <c r="B3912" s="147" t="str">
        <f>'Reported burning'!B3912</f>
        <v>418a.3</v>
      </c>
      <c r="C3912" s="147" t="str">
        <f>'Reported burning'!C3912</f>
        <v>Unknown</v>
      </c>
      <c r="D3912" s="147" t="str">
        <f>'Reported burning'!D3912</f>
        <v>ND</v>
      </c>
      <c r="E3912" s="147" t="str">
        <f>'Reported burning'!E3912</f>
        <v>ND</v>
      </c>
      <c r="F3912" s="147" t="str">
        <f>'Reported burning'!F3912</f>
        <v>ND</v>
      </c>
      <c r="G3912" s="147" t="str">
        <f>'Reported burning'!G3912</f>
        <v>Forest</v>
      </c>
      <c r="H3912" s="147" t="str">
        <f>'Reported burning'!H3912</f>
        <v>Presence</v>
      </c>
      <c r="I3912" s="198"/>
      <c r="J3912" s="71" t="s">
        <v>2272</v>
      </c>
      <c r="K3912" s="71" t="s">
        <v>2272</v>
      </c>
      <c r="L3912" s="71" t="s">
        <v>2272</v>
      </c>
      <c r="M3912" s="71" t="s">
        <v>2272</v>
      </c>
      <c r="N3912" s="71" t="s">
        <v>2272</v>
      </c>
      <c r="O3912" s="71" t="s">
        <v>2272</v>
      </c>
      <c r="P3912" s="71" t="s">
        <v>2272</v>
      </c>
      <c r="Q3912" s="71" t="s">
        <v>2272</v>
      </c>
      <c r="R3912" s="71" t="s">
        <v>2272</v>
      </c>
      <c r="S3912" s="21" t="s">
        <v>2373</v>
      </c>
      <c r="T3912" s="71" t="s">
        <v>2272</v>
      </c>
      <c r="U3912" s="71" t="s">
        <v>2272</v>
      </c>
      <c r="V3912" s="71" t="s">
        <v>2272</v>
      </c>
      <c r="W3912" s="21" t="s">
        <v>2522</v>
      </c>
      <c r="X3912" s="71" t="s">
        <v>2272</v>
      </c>
      <c r="Y3912" s="198" t="s">
        <v>187</v>
      </c>
      <c r="Z3912" s="198" t="s">
        <v>67</v>
      </c>
      <c r="AA3912" s="198" t="s">
        <v>2650</v>
      </c>
      <c r="AB3912" s="198"/>
      <c r="AC3912" s="4" t="s">
        <v>10023</v>
      </c>
    </row>
    <row r="3913" spans="1:29" ht="44" customHeight="1">
      <c r="A3913" s="147" t="str">
        <f>'Reported burning'!A3913</f>
        <v>418b</v>
      </c>
      <c r="B3913" s="147" t="str">
        <f>'Reported burning'!B3913</f>
        <v>418b.1</v>
      </c>
      <c r="C3913" s="147" t="str">
        <f>'Reported burning'!C3913</f>
        <v>Lightning</v>
      </c>
      <c r="D3913" s="147" t="str">
        <f>'Reported burning'!D3913</f>
        <v>ND</v>
      </c>
      <c r="E3913" s="147" t="str">
        <f>'Reported burning'!E3913</f>
        <v>ND</v>
      </c>
      <c r="F3913" s="147" t="str">
        <f>'Reported burning'!F3913</f>
        <v>ND</v>
      </c>
      <c r="G3913" s="147" t="str">
        <f>'Reported burning'!G3913</f>
        <v>Forest</v>
      </c>
      <c r="H3913" s="147" t="str">
        <f>'Reported burning'!H3913</f>
        <v>Presence</v>
      </c>
      <c r="I3913" s="198"/>
      <c r="J3913" s="71" t="s">
        <v>2272</v>
      </c>
      <c r="K3913" s="71" t="s">
        <v>2272</v>
      </c>
      <c r="L3913" s="71" t="s">
        <v>2272</v>
      </c>
      <c r="M3913" s="71" t="s">
        <v>2272</v>
      </c>
      <c r="N3913" s="71" t="s">
        <v>2272</v>
      </c>
      <c r="O3913" s="21" t="s">
        <v>2381</v>
      </c>
      <c r="P3913" s="71" t="s">
        <v>2272</v>
      </c>
      <c r="Q3913" s="71" t="s">
        <v>2272</v>
      </c>
      <c r="R3913" s="71" t="s">
        <v>2272</v>
      </c>
      <c r="S3913" s="21" t="s">
        <v>2373</v>
      </c>
      <c r="T3913" s="71" t="s">
        <v>2272</v>
      </c>
      <c r="U3913" s="71" t="s">
        <v>2272</v>
      </c>
      <c r="V3913" s="71" t="s">
        <v>2272</v>
      </c>
      <c r="W3913" s="21" t="s">
        <v>2522</v>
      </c>
      <c r="X3913" s="71" t="s">
        <v>2272</v>
      </c>
      <c r="Y3913" s="198" t="s">
        <v>187</v>
      </c>
      <c r="Z3913" s="198" t="s">
        <v>67</v>
      </c>
      <c r="AA3913" s="198" t="s">
        <v>2650</v>
      </c>
      <c r="AB3913" s="198"/>
      <c r="AC3913" s="4" t="s">
        <v>10023</v>
      </c>
    </row>
    <row r="3914" spans="1:29" ht="44" customHeight="1">
      <c r="A3914" s="147" t="str">
        <f>'Reported burning'!A3914</f>
        <v>418b</v>
      </c>
      <c r="B3914" s="147" t="str">
        <f>'Reported burning'!B3914</f>
        <v>418b.2</v>
      </c>
      <c r="C3914" s="147" t="str">
        <f>'Reported burning'!C3914</f>
        <v>Human, escaped</v>
      </c>
      <c r="D3914" s="147" t="str">
        <f>'Reported burning'!D3914</f>
        <v>ND</v>
      </c>
      <c r="E3914" s="147" t="str">
        <f>'Reported burning'!E3914</f>
        <v>ND</v>
      </c>
      <c r="F3914" s="147" t="str">
        <f>'Reported burning'!F3914</f>
        <v>ND</v>
      </c>
      <c r="G3914" s="147" t="str">
        <f>'Reported burning'!G3914</f>
        <v>Forest</v>
      </c>
      <c r="H3914" s="147" t="str">
        <f>'Reported burning'!H3914</f>
        <v>Presence</v>
      </c>
      <c r="I3914" s="198"/>
      <c r="J3914" s="71" t="s">
        <v>2272</v>
      </c>
      <c r="K3914" s="71" t="s">
        <v>2272</v>
      </c>
      <c r="L3914" s="71" t="s">
        <v>2272</v>
      </c>
      <c r="M3914" s="71" t="s">
        <v>2272</v>
      </c>
      <c r="N3914" s="71" t="s">
        <v>2272</v>
      </c>
      <c r="O3914" s="21" t="s">
        <v>2381</v>
      </c>
      <c r="P3914" s="71" t="s">
        <v>2272</v>
      </c>
      <c r="Q3914" s="71" t="s">
        <v>2272</v>
      </c>
      <c r="R3914" s="71" t="s">
        <v>2272</v>
      </c>
      <c r="S3914" s="21" t="s">
        <v>2373</v>
      </c>
      <c r="T3914" s="71" t="s">
        <v>2272</v>
      </c>
      <c r="U3914" s="71" t="s">
        <v>2272</v>
      </c>
      <c r="V3914" s="71" t="s">
        <v>2272</v>
      </c>
      <c r="W3914" s="21" t="s">
        <v>2522</v>
      </c>
      <c r="X3914" s="71" t="s">
        <v>2272</v>
      </c>
      <c r="Y3914" s="198" t="s">
        <v>187</v>
      </c>
      <c r="Z3914" s="198" t="s">
        <v>67</v>
      </c>
      <c r="AA3914" s="198" t="s">
        <v>2650</v>
      </c>
      <c r="AB3914" s="198"/>
      <c r="AC3914" s="4" t="s">
        <v>10023</v>
      </c>
    </row>
    <row r="3915" spans="1:29" ht="44" customHeight="1">
      <c r="A3915" s="147" t="str">
        <f>'Reported burning'!A3915</f>
        <v>418b</v>
      </c>
      <c r="B3915" s="147" t="str">
        <f>'Reported burning'!B3915</f>
        <v>418b.3</v>
      </c>
      <c r="C3915" s="147" t="str">
        <f>'Reported burning'!C3915</f>
        <v>Unknown</v>
      </c>
      <c r="D3915" s="147" t="str">
        <f>'Reported burning'!D3915</f>
        <v>ND</v>
      </c>
      <c r="E3915" s="147" t="str">
        <f>'Reported burning'!E3915</f>
        <v>ND</v>
      </c>
      <c r="F3915" s="147" t="str">
        <f>'Reported burning'!F3915</f>
        <v>ND</v>
      </c>
      <c r="G3915" s="147" t="str">
        <f>'Reported burning'!G3915</f>
        <v>Forest</v>
      </c>
      <c r="H3915" s="147" t="str">
        <f>'Reported burning'!H3915</f>
        <v>Presence</v>
      </c>
      <c r="I3915" s="198"/>
      <c r="J3915" s="71" t="s">
        <v>2272</v>
      </c>
      <c r="K3915" s="71" t="s">
        <v>2272</v>
      </c>
      <c r="L3915" s="71" t="s">
        <v>2272</v>
      </c>
      <c r="M3915" s="71" t="s">
        <v>2272</v>
      </c>
      <c r="N3915" s="71" t="s">
        <v>2272</v>
      </c>
      <c r="O3915" s="21" t="s">
        <v>2381</v>
      </c>
      <c r="P3915" s="71" t="s">
        <v>2272</v>
      </c>
      <c r="Q3915" s="71" t="s">
        <v>2272</v>
      </c>
      <c r="R3915" s="71" t="s">
        <v>2272</v>
      </c>
      <c r="S3915" s="21" t="s">
        <v>2373</v>
      </c>
      <c r="T3915" s="71" t="s">
        <v>2272</v>
      </c>
      <c r="U3915" s="71" t="s">
        <v>2272</v>
      </c>
      <c r="V3915" s="71" t="s">
        <v>2272</v>
      </c>
      <c r="W3915" s="21" t="s">
        <v>2522</v>
      </c>
      <c r="X3915" s="71" t="s">
        <v>2272</v>
      </c>
      <c r="Y3915" s="198" t="s">
        <v>187</v>
      </c>
      <c r="Z3915" s="198" t="s">
        <v>67</v>
      </c>
      <c r="AA3915" s="198" t="s">
        <v>2650</v>
      </c>
      <c r="AB3915" s="198"/>
      <c r="AC3915" s="4" t="s">
        <v>10023</v>
      </c>
    </row>
    <row r="3916" spans="1:29" ht="48.5" customHeight="1">
      <c r="A3916" s="151" t="str">
        <f>'Reported burning'!A3916</f>
        <v>418a</v>
      </c>
      <c r="B3916" s="151" t="str">
        <f>'Reported burning'!B3916</f>
        <v>418a.4</v>
      </c>
      <c r="C3916" s="151" t="str">
        <f>'Reported burning'!C3916</f>
        <v>Human, deliberate</v>
      </c>
      <c r="D3916" s="151" t="str">
        <f>'Reported burning'!D3916</f>
        <v>Crop residue burning</v>
      </c>
      <c r="E3916" s="151" t="str">
        <f>'Reported burning'!E3916</f>
        <v>Cropping, Intensive</v>
      </c>
      <c r="F3916" s="151" t="str">
        <f>'Reported burning'!F3916</f>
        <v>Cropland</v>
      </c>
      <c r="G3916" s="151" t="str">
        <f>'Reported burning'!G3916</f>
        <v>Forest</v>
      </c>
      <c r="H3916" s="151" t="str">
        <f>'Reported burning'!H3916</f>
        <v>Presence</v>
      </c>
      <c r="I3916" s="5"/>
      <c r="J3916" s="71" t="s">
        <v>2272</v>
      </c>
      <c r="K3916" s="71" t="s">
        <v>2272</v>
      </c>
      <c r="L3916" s="71" t="s">
        <v>2272</v>
      </c>
      <c r="M3916" s="71" t="s">
        <v>2272</v>
      </c>
      <c r="N3916" s="71" t="s">
        <v>2272</v>
      </c>
      <c r="O3916" s="71" t="s">
        <v>2272</v>
      </c>
      <c r="P3916" s="71" t="s">
        <v>2272</v>
      </c>
      <c r="Q3916" s="71" t="s">
        <v>2272</v>
      </c>
      <c r="R3916" s="71" t="s">
        <v>2272</v>
      </c>
      <c r="S3916" s="71" t="s">
        <v>2272</v>
      </c>
      <c r="T3916" s="71" t="s">
        <v>2272</v>
      </c>
      <c r="U3916" s="71" t="s">
        <v>2272</v>
      </c>
      <c r="V3916" s="71" t="s">
        <v>2272</v>
      </c>
      <c r="W3916" s="71" t="s">
        <v>2272</v>
      </c>
      <c r="X3916" s="71" t="s">
        <v>2272</v>
      </c>
      <c r="Y3916" s="198" t="s">
        <v>423</v>
      </c>
      <c r="Z3916" s="198" t="s">
        <v>67</v>
      </c>
      <c r="AA3916" s="198" t="s">
        <v>63</v>
      </c>
      <c r="AB3916" s="198"/>
      <c r="AC3916" s="198"/>
    </row>
    <row r="3917" spans="1:29" ht="48.5" customHeight="1">
      <c r="A3917" s="151" t="str">
        <f>'Reported burning'!A3917</f>
        <v>418b</v>
      </c>
      <c r="B3917" s="151" t="str">
        <f>'Reported burning'!B3917</f>
        <v>418b.4</v>
      </c>
      <c r="C3917" s="151" t="str">
        <f>'Reported burning'!C3917</f>
        <v>Human, deliberate</v>
      </c>
      <c r="D3917" s="151" t="str">
        <f>'Reported burning'!D3917</f>
        <v>Crop residue burning</v>
      </c>
      <c r="E3917" s="151" t="str">
        <f>'Reported burning'!E3917</f>
        <v>Cropping, Intensive</v>
      </c>
      <c r="F3917" s="151" t="str">
        <f>'Reported burning'!F3917</f>
        <v>Cropland</v>
      </c>
      <c r="G3917" s="151" t="str">
        <f>'Reported burning'!G3917</f>
        <v>Forest</v>
      </c>
      <c r="H3917" s="151" t="str">
        <f>'Reported burning'!H3917</f>
        <v>Presence</v>
      </c>
      <c r="I3917" s="5"/>
      <c r="J3917" s="71" t="s">
        <v>2272</v>
      </c>
      <c r="K3917" s="71" t="s">
        <v>2272</v>
      </c>
      <c r="L3917" s="71" t="s">
        <v>2272</v>
      </c>
      <c r="M3917" s="71" t="s">
        <v>2272</v>
      </c>
      <c r="N3917" s="71" t="s">
        <v>2272</v>
      </c>
      <c r="O3917" s="71" t="s">
        <v>2272</v>
      </c>
      <c r="P3917" s="71" t="s">
        <v>2272</v>
      </c>
      <c r="Q3917" s="71" t="s">
        <v>2272</v>
      </c>
      <c r="R3917" s="71" t="s">
        <v>2272</v>
      </c>
      <c r="S3917" s="71" t="s">
        <v>2272</v>
      </c>
      <c r="T3917" s="71" t="s">
        <v>2272</v>
      </c>
      <c r="U3917" s="71" t="s">
        <v>2272</v>
      </c>
      <c r="V3917" s="71" t="s">
        <v>2272</v>
      </c>
      <c r="W3917" s="71" t="s">
        <v>2272</v>
      </c>
      <c r="X3917" s="71" t="s">
        <v>2272</v>
      </c>
      <c r="Y3917" s="198" t="s">
        <v>423</v>
      </c>
      <c r="Z3917" s="198" t="s">
        <v>67</v>
      </c>
      <c r="AA3917" s="198" t="s">
        <v>63</v>
      </c>
      <c r="AB3917" s="198"/>
      <c r="AC3917" s="198"/>
    </row>
    <row r="3918" spans="1:29" ht="48.5" customHeight="1">
      <c r="A3918" s="151" t="str">
        <f>'Reported burning'!A3918</f>
        <v>418a</v>
      </c>
      <c r="B3918" s="151" t="str">
        <f>'Reported burning'!B3918</f>
        <v>418a.5</v>
      </c>
      <c r="C3918" s="151" t="str">
        <f>'Reported burning'!C3918</f>
        <v>Human, escaped</v>
      </c>
      <c r="D3918" s="151" t="str">
        <f>'Reported burning'!D3918</f>
        <v>Crop residue burning</v>
      </c>
      <c r="E3918" s="151" t="str">
        <f>'Reported burning'!E3918</f>
        <v>Cropping, Intensive</v>
      </c>
      <c r="F3918" s="151" t="str">
        <f>'Reported burning'!F3918</f>
        <v>Cropland</v>
      </c>
      <c r="G3918" s="151" t="str">
        <f>'Reported burning'!G3918</f>
        <v>Forest</v>
      </c>
      <c r="H3918" s="151" t="str">
        <f>'Reported burning'!H3918</f>
        <v>Presence</v>
      </c>
      <c r="I3918" s="5"/>
      <c r="J3918" s="71" t="s">
        <v>2272</v>
      </c>
      <c r="K3918" s="71" t="s">
        <v>2272</v>
      </c>
      <c r="L3918" s="71" t="s">
        <v>2272</v>
      </c>
      <c r="M3918" s="71" t="s">
        <v>2272</v>
      </c>
      <c r="N3918" s="71" t="s">
        <v>2272</v>
      </c>
      <c r="O3918" s="71" t="s">
        <v>2272</v>
      </c>
      <c r="P3918" s="71" t="s">
        <v>2272</v>
      </c>
      <c r="Q3918" s="71" t="s">
        <v>2272</v>
      </c>
      <c r="R3918" s="71" t="s">
        <v>2272</v>
      </c>
      <c r="S3918" s="71" t="s">
        <v>2272</v>
      </c>
      <c r="T3918" s="71" t="s">
        <v>2272</v>
      </c>
      <c r="U3918" s="71" t="s">
        <v>2272</v>
      </c>
      <c r="V3918" s="71" t="s">
        <v>2272</v>
      </c>
      <c r="W3918" s="71" t="s">
        <v>2272</v>
      </c>
      <c r="X3918" s="71" t="s">
        <v>2272</v>
      </c>
      <c r="Y3918" s="198" t="s">
        <v>423</v>
      </c>
      <c r="Z3918" s="198" t="s">
        <v>67</v>
      </c>
      <c r="AA3918" s="198" t="s">
        <v>63</v>
      </c>
      <c r="AB3918" s="198"/>
      <c r="AC3918" s="198"/>
    </row>
    <row r="3919" spans="1:29" ht="48.5" customHeight="1">
      <c r="A3919" s="151" t="str">
        <f>'Reported burning'!A3919</f>
        <v>418b</v>
      </c>
      <c r="B3919" s="151" t="str">
        <f>'Reported burning'!B3919</f>
        <v>418b.5</v>
      </c>
      <c r="C3919" s="151" t="str">
        <f>'Reported burning'!C3919</f>
        <v>Human, escaped</v>
      </c>
      <c r="D3919" s="151" t="str">
        <f>'Reported burning'!D3919</f>
        <v>Crop residue burning</v>
      </c>
      <c r="E3919" s="151" t="str">
        <f>'Reported burning'!E3919</f>
        <v>Cropping, Intensive</v>
      </c>
      <c r="F3919" s="151" t="str">
        <f>'Reported burning'!F3919</f>
        <v>Cropland</v>
      </c>
      <c r="G3919" s="151" t="str">
        <f>'Reported burning'!G3919</f>
        <v>Forest</v>
      </c>
      <c r="H3919" s="151" t="str">
        <f>'Reported burning'!H3919</f>
        <v>Presence</v>
      </c>
      <c r="I3919" s="5"/>
      <c r="J3919" s="71" t="s">
        <v>2272</v>
      </c>
      <c r="K3919" s="71" t="s">
        <v>2272</v>
      </c>
      <c r="L3919" s="71" t="s">
        <v>2272</v>
      </c>
      <c r="M3919" s="71" t="s">
        <v>2272</v>
      </c>
      <c r="N3919" s="71" t="s">
        <v>2272</v>
      </c>
      <c r="O3919" s="71" t="s">
        <v>2272</v>
      </c>
      <c r="P3919" s="71" t="s">
        <v>2272</v>
      </c>
      <c r="Q3919" s="71" t="s">
        <v>2272</v>
      </c>
      <c r="R3919" s="71" t="s">
        <v>2272</v>
      </c>
      <c r="S3919" s="71" t="s">
        <v>2272</v>
      </c>
      <c r="T3919" s="71" t="s">
        <v>2272</v>
      </c>
      <c r="U3919" s="71" t="s">
        <v>2272</v>
      </c>
      <c r="V3919" s="71" t="s">
        <v>2272</v>
      </c>
      <c r="W3919" s="71" t="s">
        <v>2272</v>
      </c>
      <c r="X3919" s="71" t="s">
        <v>2272</v>
      </c>
      <c r="Y3919" s="198" t="s">
        <v>423</v>
      </c>
      <c r="Z3919" s="198" t="s">
        <v>67</v>
      </c>
      <c r="AA3919" s="198" t="s">
        <v>63</v>
      </c>
      <c r="AB3919" s="198"/>
      <c r="AC3919" s="198"/>
    </row>
    <row r="3920" spans="1:29" ht="48.5" customHeight="1">
      <c r="A3920" s="151" t="str">
        <f>'Reported burning'!A3920</f>
        <v>418a</v>
      </c>
      <c r="B3920" s="151" t="str">
        <f>'Reported burning'!B3920</f>
        <v>418a.6</v>
      </c>
      <c r="C3920" s="151" t="str">
        <f>'Reported burning'!C3920</f>
        <v>Human, accidental</v>
      </c>
      <c r="D3920" s="151" t="str">
        <f>'Reported burning'!D3920</f>
        <v>Accidental</v>
      </c>
      <c r="E3920" s="151" t="str">
        <f>'Reported burning'!E3920</f>
        <v>Urban planner</v>
      </c>
      <c r="F3920" s="151" t="str">
        <f>'Reported burning'!F3920</f>
        <v>ND</v>
      </c>
      <c r="G3920" s="151" t="str">
        <f>'Reported burning'!G3920</f>
        <v>Forest</v>
      </c>
      <c r="H3920" s="151" t="str">
        <f>'Reported burning'!H3920</f>
        <v>Presence</v>
      </c>
      <c r="I3920" s="5"/>
      <c r="J3920" s="71" t="s">
        <v>2272</v>
      </c>
      <c r="K3920" s="71" t="s">
        <v>2272</v>
      </c>
      <c r="L3920" s="71" t="s">
        <v>2272</v>
      </c>
      <c r="M3920" s="71" t="s">
        <v>2272</v>
      </c>
      <c r="N3920" s="71" t="s">
        <v>2272</v>
      </c>
      <c r="O3920" s="71" t="s">
        <v>2272</v>
      </c>
      <c r="P3920" s="71" t="s">
        <v>2272</v>
      </c>
      <c r="Q3920" s="71" t="s">
        <v>2272</v>
      </c>
      <c r="R3920" s="71" t="s">
        <v>2272</v>
      </c>
      <c r="S3920" s="71" t="s">
        <v>2272</v>
      </c>
      <c r="T3920" s="71" t="s">
        <v>2272</v>
      </c>
      <c r="U3920" s="71" t="s">
        <v>2272</v>
      </c>
      <c r="V3920" s="71" t="s">
        <v>2272</v>
      </c>
      <c r="W3920" s="71" t="s">
        <v>2272</v>
      </c>
      <c r="X3920" s="71" t="s">
        <v>2272</v>
      </c>
      <c r="Y3920" s="198" t="s">
        <v>2272</v>
      </c>
      <c r="Z3920" s="198" t="s">
        <v>2272</v>
      </c>
      <c r="AA3920" s="198" t="s">
        <v>2272</v>
      </c>
      <c r="AB3920" s="4" t="s">
        <v>10027</v>
      </c>
      <c r="AC3920" s="198"/>
    </row>
    <row r="3921" spans="1:29" ht="48.5" customHeight="1">
      <c r="A3921" s="151" t="str">
        <f>'Reported burning'!A3921</f>
        <v>418b</v>
      </c>
      <c r="B3921" s="151" t="str">
        <f>'Reported burning'!B3921</f>
        <v>418b.6</v>
      </c>
      <c r="C3921" s="151" t="str">
        <f>'Reported burning'!C3921</f>
        <v>Human, accidental</v>
      </c>
      <c r="D3921" s="151" t="str">
        <f>'Reported burning'!D3921</f>
        <v>Accidental</v>
      </c>
      <c r="E3921" s="151" t="str">
        <f>'Reported burning'!E3921</f>
        <v>Urban planner</v>
      </c>
      <c r="F3921" s="151" t="str">
        <f>'Reported burning'!F3921</f>
        <v>ND</v>
      </c>
      <c r="G3921" s="151" t="str">
        <f>'Reported burning'!G3921</f>
        <v>Forest</v>
      </c>
      <c r="H3921" s="151" t="str">
        <f>'Reported burning'!H3921</f>
        <v>Presence</v>
      </c>
      <c r="I3921" s="5"/>
      <c r="J3921" s="71" t="s">
        <v>2272</v>
      </c>
      <c r="K3921" s="71" t="s">
        <v>2272</v>
      </c>
      <c r="L3921" s="71" t="s">
        <v>2272</v>
      </c>
      <c r="M3921" s="71" t="s">
        <v>2272</v>
      </c>
      <c r="N3921" s="71" t="s">
        <v>2272</v>
      </c>
      <c r="O3921" s="71" t="s">
        <v>2272</v>
      </c>
      <c r="P3921" s="71" t="s">
        <v>2272</v>
      </c>
      <c r="Q3921" s="71" t="s">
        <v>2272</v>
      </c>
      <c r="R3921" s="71" t="s">
        <v>2272</v>
      </c>
      <c r="S3921" s="71" t="s">
        <v>2272</v>
      </c>
      <c r="T3921" s="71" t="s">
        <v>2272</v>
      </c>
      <c r="U3921" s="71" t="s">
        <v>2272</v>
      </c>
      <c r="V3921" s="71" t="s">
        <v>2272</v>
      </c>
      <c r="W3921" s="71" t="s">
        <v>2272</v>
      </c>
      <c r="X3921" s="71" t="s">
        <v>2272</v>
      </c>
      <c r="Y3921" s="198" t="s">
        <v>2272</v>
      </c>
      <c r="Z3921" s="198" t="s">
        <v>2272</v>
      </c>
      <c r="AA3921" s="198" t="s">
        <v>2272</v>
      </c>
      <c r="AB3921" s="4" t="s">
        <v>10027</v>
      </c>
      <c r="AC3921" s="198"/>
    </row>
    <row r="3922" spans="1:29" s="197" customFormat="1" ht="48.5" customHeight="1">
      <c r="A3922" s="151" t="str">
        <f>'Reported burning'!A3922</f>
        <v>419a</v>
      </c>
      <c r="B3922" s="151" t="str">
        <f>'Reported burning'!B3922</f>
        <v>419a.1</v>
      </c>
      <c r="C3922" s="151" t="str">
        <f>'Reported burning'!C3922</f>
        <v>Human, deliberate</v>
      </c>
      <c r="D3922" s="151" t="str">
        <f>'Reported burning'!D3922</f>
        <v>Land clearance</v>
      </c>
      <c r="E3922" s="151" t="str">
        <f>'Reported burning'!E3922</f>
        <v>Cropping, Intensive</v>
      </c>
      <c r="F3922" s="151" t="str">
        <f>'Reported burning'!F3922</f>
        <v>Shrubland (Mixed forest &amp; grassland)</v>
      </c>
      <c r="G3922" s="151" t="str">
        <f>'Reported burning'!G3922</f>
        <v>Shrubland (Mixed forest &amp; grassland)</v>
      </c>
      <c r="H3922" s="151" t="str">
        <f>'Reported burning'!H3922</f>
        <v>Presence</v>
      </c>
      <c r="I3922" s="5"/>
      <c r="J3922" s="71" t="s">
        <v>2272</v>
      </c>
      <c r="K3922" s="71" t="s">
        <v>2272</v>
      </c>
      <c r="L3922" s="71" t="s">
        <v>2272</v>
      </c>
      <c r="M3922" s="71" t="s">
        <v>2272</v>
      </c>
      <c r="N3922" s="71" t="s">
        <v>2272</v>
      </c>
      <c r="O3922" s="71" t="s">
        <v>2272</v>
      </c>
      <c r="P3922" s="71" t="s">
        <v>2272</v>
      </c>
      <c r="Q3922" s="71" t="s">
        <v>2272</v>
      </c>
      <c r="R3922" s="71" t="s">
        <v>2272</v>
      </c>
      <c r="S3922" s="71" t="s">
        <v>2272</v>
      </c>
      <c r="T3922" s="71" t="s">
        <v>2272</v>
      </c>
      <c r="U3922" s="71" t="s">
        <v>2272</v>
      </c>
      <c r="V3922" s="71" t="s">
        <v>2272</v>
      </c>
      <c r="W3922" s="71" t="s">
        <v>2272</v>
      </c>
      <c r="X3922" s="71" t="s">
        <v>2272</v>
      </c>
      <c r="Y3922" s="71" t="s">
        <v>2272</v>
      </c>
      <c r="Z3922" s="71" t="s">
        <v>2272</v>
      </c>
      <c r="AA3922" s="71" t="s">
        <v>2272</v>
      </c>
      <c r="AB3922" s="4"/>
      <c r="AC3922" s="198"/>
    </row>
    <row r="3923" spans="1:29" ht="48.5" customHeight="1">
      <c r="A3923" s="151" t="str">
        <f>'Reported burning'!A3923</f>
        <v>420a</v>
      </c>
      <c r="B3923" s="151" t="str">
        <f>'Reported burning'!B3923</f>
        <v>420a.1</v>
      </c>
      <c r="C3923" s="151" t="str">
        <f>'Reported burning'!C3923</f>
        <v>All</v>
      </c>
      <c r="D3923" s="151" t="str">
        <f>'Reported burning'!D3923</f>
        <v>All</v>
      </c>
      <c r="E3923" s="151" t="str">
        <f>'Reported burning'!E3923</f>
        <v>All</v>
      </c>
      <c r="F3923" s="151" t="str">
        <f>'Reported burning'!F3923</f>
        <v>ND</v>
      </c>
      <c r="G3923" s="151" t="str">
        <f>'Reported burning'!G3923</f>
        <v>Forest</v>
      </c>
      <c r="H3923" s="151" t="str">
        <f>'Reported burning'!H3923</f>
        <v>Presence</v>
      </c>
      <c r="I3923" s="5"/>
      <c r="J3923" s="71" t="s">
        <v>2272</v>
      </c>
      <c r="K3923" s="71" t="s">
        <v>2272</v>
      </c>
      <c r="L3923" s="71" t="s">
        <v>2272</v>
      </c>
      <c r="M3923" s="71" t="s">
        <v>2272</v>
      </c>
      <c r="N3923" s="71" t="s">
        <v>2272</v>
      </c>
      <c r="O3923" s="71" t="s">
        <v>2272</v>
      </c>
      <c r="P3923" s="71" t="s">
        <v>2272</v>
      </c>
      <c r="Q3923" s="71" t="s">
        <v>2272</v>
      </c>
      <c r="R3923" s="71" t="s">
        <v>2272</v>
      </c>
      <c r="S3923" s="71" t="s">
        <v>2272</v>
      </c>
      <c r="T3923" s="71" t="s">
        <v>2272</v>
      </c>
      <c r="U3923" s="71" t="s">
        <v>2272</v>
      </c>
      <c r="V3923" s="71" t="s">
        <v>2272</v>
      </c>
      <c r="W3923" s="71" t="s">
        <v>2272</v>
      </c>
      <c r="X3923" s="71" t="s">
        <v>2272</v>
      </c>
      <c r="Y3923" s="198" t="s">
        <v>2272</v>
      </c>
      <c r="Z3923" s="198" t="s">
        <v>2272</v>
      </c>
      <c r="AA3923" s="198" t="s">
        <v>2272</v>
      </c>
      <c r="AB3923" s="4" t="s">
        <v>10037</v>
      </c>
      <c r="AC3923" s="198"/>
    </row>
    <row r="3924" spans="1:29" ht="58.5" customHeight="1">
      <c r="A3924" s="147" t="str">
        <f>'Reported burning'!A3924</f>
        <v>421a</v>
      </c>
      <c r="B3924" s="147" t="str">
        <f>'Reported burning'!B3924</f>
        <v>421a.1</v>
      </c>
      <c r="C3924" s="147" t="str">
        <f>'Reported burning'!C3924</f>
        <v>All</v>
      </c>
      <c r="D3924" s="147" t="str">
        <f>'Reported burning'!D3924</f>
        <v>All</v>
      </c>
      <c r="E3924" s="147" t="str">
        <f>'Reported burning'!E3924</f>
        <v>All</v>
      </c>
      <c r="F3924" s="147" t="str">
        <f>'Reported burning'!F3924</f>
        <v>ND</v>
      </c>
      <c r="G3924" s="147" t="str">
        <f>'Reported burning'!G3924</f>
        <v>ND</v>
      </c>
      <c r="H3924" s="147" t="str">
        <f>'Reported burning'!H3924</f>
        <v>Presence</v>
      </c>
      <c r="I3924" s="198"/>
      <c r="J3924" s="71" t="s">
        <v>2272</v>
      </c>
      <c r="K3924" s="71" t="s">
        <v>2272</v>
      </c>
      <c r="L3924" s="71" t="s">
        <v>2272</v>
      </c>
      <c r="M3924" s="71" t="s">
        <v>2272</v>
      </c>
      <c r="N3924" s="71" t="s">
        <v>2272</v>
      </c>
      <c r="O3924" s="21" t="s">
        <v>2377</v>
      </c>
      <c r="P3924" s="21" t="s">
        <v>2358</v>
      </c>
      <c r="Q3924" s="21" t="s">
        <v>2358</v>
      </c>
      <c r="R3924" s="21" t="s">
        <v>2358</v>
      </c>
      <c r="S3924" s="21" t="s">
        <v>2358</v>
      </c>
      <c r="T3924" s="71" t="s">
        <v>2272</v>
      </c>
      <c r="U3924" s="71" t="s">
        <v>2272</v>
      </c>
      <c r="V3924" s="71" t="s">
        <v>2272</v>
      </c>
      <c r="W3924" s="71" t="s">
        <v>2272</v>
      </c>
      <c r="X3924" s="71" t="s">
        <v>2272</v>
      </c>
      <c r="Y3924" s="71" t="s">
        <v>2272</v>
      </c>
      <c r="Z3924" s="71" t="s">
        <v>2272</v>
      </c>
      <c r="AA3924" s="71" t="s">
        <v>2272</v>
      </c>
      <c r="AB3924" s="198"/>
      <c r="AC3924" s="198"/>
    </row>
    <row r="3925" spans="1:29" ht="62" customHeight="1">
      <c r="A3925" s="151" t="str">
        <f>'Reported burning'!A3925</f>
        <v>421a</v>
      </c>
      <c r="B3925" s="151" t="str">
        <f>'Reported burning'!B3925</f>
        <v>421a.2</v>
      </c>
      <c r="C3925" s="151" t="str">
        <f>'Reported burning'!C3925</f>
        <v>Human, deliberate</v>
      </c>
      <c r="D3925" s="151" t="str">
        <f>'Reported burning'!D3925</f>
        <v>ND</v>
      </c>
      <c r="E3925" s="151" t="str">
        <f>'Reported burning'!E3925</f>
        <v>Urban planner</v>
      </c>
      <c r="F3925" s="151" t="str">
        <f>'Reported burning'!F3925</f>
        <v>ND</v>
      </c>
      <c r="G3925" s="151" t="str">
        <f>'Reported burning'!G3925</f>
        <v>ND</v>
      </c>
      <c r="H3925" s="151" t="str">
        <f>'Reported burning'!H3925</f>
        <v>Presence</v>
      </c>
      <c r="I3925" s="5"/>
      <c r="J3925" s="71" t="s">
        <v>2272</v>
      </c>
      <c r="K3925" s="71" t="s">
        <v>2272</v>
      </c>
      <c r="L3925" s="71" t="s">
        <v>2272</v>
      </c>
      <c r="M3925" s="71" t="s">
        <v>2272</v>
      </c>
      <c r="N3925" s="71" t="s">
        <v>2272</v>
      </c>
      <c r="O3925" s="71" t="s">
        <v>2272</v>
      </c>
      <c r="P3925" s="71" t="s">
        <v>2272</v>
      </c>
      <c r="Q3925" s="71" t="s">
        <v>2272</v>
      </c>
      <c r="R3925" s="71" t="s">
        <v>2272</v>
      </c>
      <c r="S3925" s="71" t="s">
        <v>2272</v>
      </c>
      <c r="T3925" s="71" t="s">
        <v>2272</v>
      </c>
      <c r="U3925" s="71" t="s">
        <v>2272</v>
      </c>
      <c r="V3925" s="71" t="s">
        <v>2272</v>
      </c>
      <c r="W3925" s="71" t="s">
        <v>2272</v>
      </c>
      <c r="X3925" s="71" t="s">
        <v>2272</v>
      </c>
      <c r="Y3925" s="71" t="s">
        <v>2272</v>
      </c>
      <c r="Z3925" s="71" t="s">
        <v>2272</v>
      </c>
      <c r="AA3925" s="71" t="s">
        <v>2272</v>
      </c>
      <c r="AB3925" s="4" t="s">
        <v>10046</v>
      </c>
      <c r="AC3925" s="198"/>
    </row>
    <row r="3926" spans="1:29" ht="62" customHeight="1">
      <c r="A3926" s="151" t="str">
        <f>'Reported burning'!A3926</f>
        <v>421a</v>
      </c>
      <c r="B3926" s="151" t="str">
        <f>'Reported burning'!B3926</f>
        <v>421a.3</v>
      </c>
      <c r="C3926" s="151" t="str">
        <f>'Reported burning'!C3926</f>
        <v>Human, escaped</v>
      </c>
      <c r="D3926" s="151" t="str">
        <f>'Reported burning'!D3926</f>
        <v>ND</v>
      </c>
      <c r="E3926" s="151" t="str">
        <f>'Reported burning'!E3926</f>
        <v>Urban planner</v>
      </c>
      <c r="F3926" s="151" t="str">
        <f>'Reported burning'!F3926</f>
        <v>ND</v>
      </c>
      <c r="G3926" s="151" t="str">
        <f>'Reported burning'!G3926</f>
        <v>ND</v>
      </c>
      <c r="H3926" s="151" t="str">
        <f>'Reported burning'!H3926</f>
        <v>Presence</v>
      </c>
      <c r="I3926" s="5"/>
      <c r="J3926" s="71" t="s">
        <v>2272</v>
      </c>
      <c r="K3926" s="71" t="s">
        <v>2272</v>
      </c>
      <c r="L3926" s="71" t="s">
        <v>2272</v>
      </c>
      <c r="M3926" s="71" t="s">
        <v>2272</v>
      </c>
      <c r="N3926" s="71" t="s">
        <v>2272</v>
      </c>
      <c r="O3926" s="71" t="s">
        <v>2272</v>
      </c>
      <c r="P3926" s="71" t="s">
        <v>2272</v>
      </c>
      <c r="Q3926" s="71" t="s">
        <v>2272</v>
      </c>
      <c r="R3926" s="71" t="s">
        <v>2272</v>
      </c>
      <c r="S3926" s="71" t="s">
        <v>2272</v>
      </c>
      <c r="T3926" s="71" t="s">
        <v>2272</v>
      </c>
      <c r="U3926" s="71" t="s">
        <v>2272</v>
      </c>
      <c r="V3926" s="71" t="s">
        <v>2272</v>
      </c>
      <c r="W3926" s="71" t="s">
        <v>2272</v>
      </c>
      <c r="X3926" s="71" t="s">
        <v>2272</v>
      </c>
      <c r="Y3926" s="71" t="s">
        <v>2272</v>
      </c>
      <c r="Z3926" s="71" t="s">
        <v>2272</v>
      </c>
      <c r="AA3926" s="71" t="s">
        <v>2272</v>
      </c>
      <c r="AB3926" s="4" t="s">
        <v>10050</v>
      </c>
      <c r="AC3926" s="198"/>
    </row>
    <row r="3927" spans="1:29" ht="62" customHeight="1">
      <c r="A3927" s="151" t="str">
        <f>'Reported burning'!A3927</f>
        <v>421a</v>
      </c>
      <c r="B3927" s="151" t="str">
        <f>'Reported burning'!B3927</f>
        <v>421a.4</v>
      </c>
      <c r="C3927" s="151" t="str">
        <f>'Reported burning'!C3927</f>
        <v>Human, deliberate</v>
      </c>
      <c r="D3927" s="151" t="str">
        <f>'Reported burning'!D3927</f>
        <v>ND</v>
      </c>
      <c r="E3927" s="151" t="str">
        <f>'Reported burning'!E3927</f>
        <v>Urban planner</v>
      </c>
      <c r="F3927" s="151" t="str">
        <f>'Reported burning'!F3927</f>
        <v>ND</v>
      </c>
      <c r="G3927" s="151" t="str">
        <f>'Reported burning'!G3927</f>
        <v>ND</v>
      </c>
      <c r="H3927" s="151" t="str">
        <f>'Reported burning'!H3927</f>
        <v>Presence</v>
      </c>
      <c r="I3927" s="5"/>
      <c r="J3927" s="71" t="s">
        <v>2272</v>
      </c>
      <c r="K3927" s="71" t="s">
        <v>2272</v>
      </c>
      <c r="L3927" s="71" t="s">
        <v>2272</v>
      </c>
      <c r="M3927" s="71" t="s">
        <v>2272</v>
      </c>
      <c r="N3927" s="71" t="s">
        <v>2272</v>
      </c>
      <c r="O3927" s="71" t="s">
        <v>2272</v>
      </c>
      <c r="P3927" s="71" t="s">
        <v>2272</v>
      </c>
      <c r="Q3927" s="71" t="s">
        <v>2272</v>
      </c>
      <c r="R3927" s="71" t="s">
        <v>2272</v>
      </c>
      <c r="S3927" s="71" t="s">
        <v>2272</v>
      </c>
      <c r="T3927" s="71" t="s">
        <v>2272</v>
      </c>
      <c r="U3927" s="71" t="s">
        <v>2272</v>
      </c>
      <c r="V3927" s="71" t="s">
        <v>2272</v>
      </c>
      <c r="W3927" s="71" t="s">
        <v>2272</v>
      </c>
      <c r="X3927" s="71" t="s">
        <v>2272</v>
      </c>
      <c r="Y3927" s="71" t="s">
        <v>2272</v>
      </c>
      <c r="Z3927" s="71" t="s">
        <v>2272</v>
      </c>
      <c r="AA3927" s="71" t="s">
        <v>2272</v>
      </c>
      <c r="AB3927" s="4" t="s">
        <v>10050</v>
      </c>
      <c r="AC3927" s="198"/>
    </row>
    <row r="3928" spans="1:29" ht="62" customHeight="1">
      <c r="A3928" s="151" t="str">
        <f>'Reported burning'!A3928</f>
        <v>421b</v>
      </c>
      <c r="B3928" s="151" t="str">
        <f>'Reported burning'!B3928</f>
        <v>421b.1</v>
      </c>
      <c r="C3928" s="151" t="str">
        <f>'Reported burning'!C3928</f>
        <v>Human, deliberate</v>
      </c>
      <c r="D3928" s="151" t="str">
        <f>'Reported burning'!D3928</f>
        <v>Conservation</v>
      </c>
      <c r="E3928" s="151" t="str">
        <f>'Reported burning'!E3928</f>
        <v>Tourism manager</v>
      </c>
      <c r="F3928" s="151" t="str">
        <f>'Reported burning'!F3928</f>
        <v>Shrubland (Mixed forest &amp; grassland)</v>
      </c>
      <c r="G3928" s="151" t="str">
        <f>'Reported burning'!G3928</f>
        <v>Shrubland (Mixed forest &amp; grassland)</v>
      </c>
      <c r="H3928" s="151" t="str">
        <f>'Reported burning'!H3928</f>
        <v>Presence</v>
      </c>
      <c r="I3928" s="5"/>
      <c r="J3928" s="71" t="s">
        <v>2272</v>
      </c>
      <c r="K3928" s="71" t="s">
        <v>2272</v>
      </c>
      <c r="L3928" s="71" t="s">
        <v>2272</v>
      </c>
      <c r="M3928" s="71" t="s">
        <v>2272</v>
      </c>
      <c r="N3928" s="71" t="s">
        <v>2272</v>
      </c>
      <c r="O3928" s="71" t="s">
        <v>2272</v>
      </c>
      <c r="P3928" s="71" t="s">
        <v>2272</v>
      </c>
      <c r="Q3928" s="71" t="s">
        <v>2272</v>
      </c>
      <c r="R3928" s="71" t="s">
        <v>2272</v>
      </c>
      <c r="S3928" s="71" t="s">
        <v>2272</v>
      </c>
      <c r="T3928" s="71" t="s">
        <v>2272</v>
      </c>
      <c r="U3928" s="71" t="s">
        <v>2272</v>
      </c>
      <c r="V3928" s="71" t="s">
        <v>2272</v>
      </c>
      <c r="W3928" s="71" t="s">
        <v>2272</v>
      </c>
      <c r="X3928" s="71" t="s">
        <v>2272</v>
      </c>
      <c r="Y3928" s="71" t="s">
        <v>2272</v>
      </c>
      <c r="Z3928" s="71" t="s">
        <v>2272</v>
      </c>
      <c r="AA3928" s="71" t="s">
        <v>2272</v>
      </c>
      <c r="AB3928" s="4" t="s">
        <v>10050</v>
      </c>
      <c r="AC3928" s="198"/>
    </row>
    <row r="3929" spans="1:29" ht="62" customHeight="1">
      <c r="A3929" s="151" t="str">
        <f>'Reported burning'!A3929</f>
        <v>421b</v>
      </c>
      <c r="B3929" s="151" t="str">
        <f>'Reported burning'!B3929</f>
        <v>421b.2</v>
      </c>
      <c r="C3929" s="151" t="str">
        <f>'Reported burning'!C3929</f>
        <v>Human, deliberate</v>
      </c>
      <c r="D3929" s="151" t="str">
        <f>'Reported burning'!D3929</f>
        <v>Hunting</v>
      </c>
      <c r="E3929" s="151" t="str">
        <f>'Reported burning'!E3929</f>
        <v>Tourism manager</v>
      </c>
      <c r="F3929" s="151" t="str">
        <f>'Reported burning'!F3929</f>
        <v>Shrubland (Mixed forest &amp; grassland)</v>
      </c>
      <c r="G3929" s="151" t="str">
        <f>'Reported burning'!G3929</f>
        <v>Shrubland (Mixed forest &amp; grassland)</v>
      </c>
      <c r="H3929" s="151" t="str">
        <f>'Reported burning'!H3929</f>
        <v>Presence</v>
      </c>
      <c r="I3929" s="5"/>
      <c r="J3929" s="71" t="s">
        <v>2272</v>
      </c>
      <c r="K3929" s="71" t="s">
        <v>2272</v>
      </c>
      <c r="L3929" s="71" t="s">
        <v>2272</v>
      </c>
      <c r="M3929" s="71" t="s">
        <v>2272</v>
      </c>
      <c r="N3929" s="71" t="s">
        <v>2272</v>
      </c>
      <c r="O3929" s="71" t="s">
        <v>2272</v>
      </c>
      <c r="P3929" s="71" t="s">
        <v>2272</v>
      </c>
      <c r="Q3929" s="71" t="s">
        <v>2272</v>
      </c>
      <c r="R3929" s="71" t="s">
        <v>2272</v>
      </c>
      <c r="S3929" s="71" t="s">
        <v>2272</v>
      </c>
      <c r="T3929" s="71" t="s">
        <v>2272</v>
      </c>
      <c r="U3929" s="71" t="s">
        <v>2272</v>
      </c>
      <c r="V3929" s="71" t="s">
        <v>2272</v>
      </c>
      <c r="W3929" s="71" t="s">
        <v>2272</v>
      </c>
      <c r="X3929" s="71" t="s">
        <v>2272</v>
      </c>
      <c r="Y3929" s="71" t="s">
        <v>2272</v>
      </c>
      <c r="Z3929" s="71" t="s">
        <v>2272</v>
      </c>
      <c r="AA3929" s="71" t="s">
        <v>2272</v>
      </c>
      <c r="AB3929" s="198"/>
      <c r="AC3929" s="198"/>
    </row>
    <row r="3930" spans="1:29" ht="62" customHeight="1">
      <c r="A3930" s="151" t="str">
        <f>'Reported burning'!A3930</f>
        <v>421b</v>
      </c>
      <c r="B3930" s="151" t="str">
        <f>'Reported burning'!B3930</f>
        <v>421b.3</v>
      </c>
      <c r="C3930" s="151" t="str">
        <f>'Reported burning'!C3930</f>
        <v>Human, deliberate</v>
      </c>
      <c r="D3930" s="151" t="str">
        <f>'Reported burning'!D3930</f>
        <v>Rangeland management</v>
      </c>
      <c r="E3930" s="151" t="str">
        <f>'Reported burning'!E3930</f>
        <v>Tourism manager</v>
      </c>
      <c r="F3930" s="151" t="str">
        <f>'Reported burning'!F3930</f>
        <v>Shrubland (Mixed forest &amp; grassland)</v>
      </c>
      <c r="G3930" s="151" t="str">
        <f>'Reported burning'!G3930</f>
        <v>Shrubland (Mixed forest &amp; grassland)</v>
      </c>
      <c r="H3930" s="151" t="str">
        <f>'Reported burning'!H3930</f>
        <v>Presence</v>
      </c>
      <c r="I3930" s="5"/>
      <c r="J3930" s="71" t="s">
        <v>2272</v>
      </c>
      <c r="K3930" s="71" t="s">
        <v>2272</v>
      </c>
      <c r="L3930" s="71" t="s">
        <v>2272</v>
      </c>
      <c r="M3930" s="71" t="s">
        <v>2272</v>
      </c>
      <c r="N3930" s="71" t="s">
        <v>2272</v>
      </c>
      <c r="O3930" s="71" t="s">
        <v>2272</v>
      </c>
      <c r="P3930" s="71" t="s">
        <v>2272</v>
      </c>
      <c r="Q3930" s="71" t="s">
        <v>2272</v>
      </c>
      <c r="R3930" s="71" t="s">
        <v>2272</v>
      </c>
      <c r="S3930" s="71" t="s">
        <v>2272</v>
      </c>
      <c r="T3930" s="71" t="s">
        <v>2272</v>
      </c>
      <c r="U3930" s="71" t="s">
        <v>2272</v>
      </c>
      <c r="V3930" s="71" t="s">
        <v>2272</v>
      </c>
      <c r="W3930" s="71" t="s">
        <v>2272</v>
      </c>
      <c r="X3930" s="71" t="s">
        <v>2272</v>
      </c>
      <c r="Y3930" s="71" t="s">
        <v>2272</v>
      </c>
      <c r="Z3930" s="71" t="s">
        <v>2272</v>
      </c>
      <c r="AA3930" s="71" t="s">
        <v>2272</v>
      </c>
      <c r="AB3930" s="198"/>
      <c r="AC3930" s="198"/>
    </row>
    <row r="3931" spans="1:29" ht="62" customHeight="1">
      <c r="A3931" s="151" t="str">
        <f>'Reported burning'!A3931</f>
        <v>422a</v>
      </c>
      <c r="B3931" s="151" t="str">
        <f>'Reported burning'!B3931</f>
        <v>422a.1</v>
      </c>
      <c r="C3931" s="151" t="str">
        <f>'Reported burning'!C3931</f>
        <v>Human, escaped</v>
      </c>
      <c r="D3931" s="151" t="str">
        <f>'Reported burning'!D3931</f>
        <v>ND</v>
      </c>
      <c r="E3931" s="151" t="str">
        <f>'Reported burning'!E3931</f>
        <v>Mixed cropping-livestock small holder, Market-oriented</v>
      </c>
      <c r="F3931" s="151" t="str">
        <f>'Reported burning'!F3931</f>
        <v>Grassland</v>
      </c>
      <c r="G3931" s="151" t="str">
        <f>'Reported burning'!G3931</f>
        <v>Forest</v>
      </c>
      <c r="H3931" s="151" t="str">
        <f>'Reported burning'!H3931</f>
        <v>Presence</v>
      </c>
      <c r="I3931" s="5"/>
      <c r="J3931" s="71" t="s">
        <v>2272</v>
      </c>
      <c r="K3931" s="71" t="s">
        <v>2272</v>
      </c>
      <c r="L3931" s="71" t="s">
        <v>2272</v>
      </c>
      <c r="M3931" s="71" t="s">
        <v>2272</v>
      </c>
      <c r="N3931" s="71" t="s">
        <v>2272</v>
      </c>
      <c r="O3931" s="71" t="s">
        <v>2272</v>
      </c>
      <c r="P3931" s="71" t="s">
        <v>2272</v>
      </c>
      <c r="Q3931" s="71" t="s">
        <v>2272</v>
      </c>
      <c r="R3931" s="71" t="s">
        <v>2272</v>
      </c>
      <c r="S3931" s="21" t="s">
        <v>2358</v>
      </c>
      <c r="T3931" s="71" t="s">
        <v>2272</v>
      </c>
      <c r="U3931" s="71" t="s">
        <v>2272</v>
      </c>
      <c r="V3931" s="71" t="s">
        <v>2272</v>
      </c>
      <c r="W3931" s="71" t="s">
        <v>2272</v>
      </c>
      <c r="X3931" s="71" t="s">
        <v>2272</v>
      </c>
      <c r="Y3931" s="198" t="s">
        <v>37</v>
      </c>
      <c r="Z3931" s="198" t="s">
        <v>403</v>
      </c>
      <c r="AA3931" s="71" t="s">
        <v>2272</v>
      </c>
      <c r="AB3931" s="198"/>
      <c r="AC3931" s="198"/>
    </row>
    <row r="3932" spans="1:29" ht="50" customHeight="1">
      <c r="A3932" s="151" t="str">
        <f>'Reported burning'!A3932</f>
        <v>422a</v>
      </c>
      <c r="B3932" s="151" t="str">
        <f>'Reported burning'!B3932</f>
        <v>422a.2</v>
      </c>
      <c r="C3932" s="151" t="str">
        <f>'Reported burning'!C3932</f>
        <v>Human, escaped</v>
      </c>
      <c r="D3932" s="151" t="str">
        <f>'Reported burning'!D3932</f>
        <v>ND</v>
      </c>
      <c r="E3932" s="151" t="str">
        <f>'Reported burning'!E3932</f>
        <v>Mixed cropping-livestock small holder, Market-oriented</v>
      </c>
      <c r="F3932" s="151" t="str">
        <f>'Reported burning'!F3932</f>
        <v>Cropland</v>
      </c>
      <c r="G3932" s="151" t="str">
        <f>'Reported burning'!G3932</f>
        <v>Forest</v>
      </c>
      <c r="H3932" s="151" t="str">
        <f>'Reported burning'!H3932</f>
        <v>Presence</v>
      </c>
      <c r="I3932" s="5"/>
      <c r="J3932" s="71" t="s">
        <v>2272</v>
      </c>
      <c r="K3932" s="71" t="s">
        <v>2272</v>
      </c>
      <c r="L3932" s="71" t="s">
        <v>2272</v>
      </c>
      <c r="M3932" s="71" t="s">
        <v>2272</v>
      </c>
      <c r="N3932" s="71" t="s">
        <v>2272</v>
      </c>
      <c r="O3932" s="71" t="s">
        <v>2272</v>
      </c>
      <c r="P3932" s="71" t="s">
        <v>2272</v>
      </c>
      <c r="Q3932" s="71" t="s">
        <v>2272</v>
      </c>
      <c r="R3932" s="71" t="s">
        <v>2272</v>
      </c>
      <c r="S3932" s="21" t="s">
        <v>2358</v>
      </c>
      <c r="T3932" s="71" t="s">
        <v>2272</v>
      </c>
      <c r="U3932" s="71" t="s">
        <v>2272</v>
      </c>
      <c r="V3932" s="71" t="s">
        <v>2272</v>
      </c>
      <c r="W3932" s="71" t="s">
        <v>2272</v>
      </c>
      <c r="X3932" s="71" t="s">
        <v>2272</v>
      </c>
      <c r="Y3932" s="198" t="s">
        <v>37</v>
      </c>
      <c r="Z3932" s="198" t="s">
        <v>403</v>
      </c>
      <c r="AA3932" s="71" t="s">
        <v>2272</v>
      </c>
      <c r="AB3932" s="198"/>
      <c r="AC3932" s="198"/>
    </row>
    <row r="3933" spans="1:29" ht="55" customHeight="1">
      <c r="A3933" s="151" t="str">
        <f>'Reported burning'!A3933</f>
        <v>422a</v>
      </c>
      <c r="B3933" s="151" t="str">
        <f>'Reported burning'!B3933</f>
        <v>422a.3</v>
      </c>
      <c r="C3933" s="151" t="str">
        <f>'Reported burning'!C3933</f>
        <v>Human, accidental</v>
      </c>
      <c r="D3933" s="151" t="str">
        <f>'Reported burning'!D3933</f>
        <v>ND</v>
      </c>
      <c r="E3933" s="151" t="str">
        <f>'Reported burning'!E3933</f>
        <v>ND</v>
      </c>
      <c r="F3933" s="151" t="str">
        <f>'Reported burning'!F3933</f>
        <v>ND</v>
      </c>
      <c r="G3933" s="151" t="str">
        <f>'Reported burning'!G3933</f>
        <v>Forest</v>
      </c>
      <c r="H3933" s="151" t="str">
        <f>'Reported burning'!H3933</f>
        <v>Presence</v>
      </c>
      <c r="I3933" s="5"/>
      <c r="J3933" s="71" t="s">
        <v>2272</v>
      </c>
      <c r="K3933" s="71" t="s">
        <v>2272</v>
      </c>
      <c r="L3933" s="71" t="s">
        <v>2272</v>
      </c>
      <c r="M3933" s="71" t="s">
        <v>2272</v>
      </c>
      <c r="N3933" s="71" t="s">
        <v>2272</v>
      </c>
      <c r="O3933" s="71" t="s">
        <v>2272</v>
      </c>
      <c r="P3933" s="71" t="s">
        <v>2272</v>
      </c>
      <c r="Q3933" s="71" t="s">
        <v>2272</v>
      </c>
      <c r="R3933" s="71" t="s">
        <v>2272</v>
      </c>
      <c r="S3933" s="21" t="s">
        <v>2358</v>
      </c>
      <c r="T3933" s="71" t="s">
        <v>2272</v>
      </c>
      <c r="U3933" s="71" t="s">
        <v>2272</v>
      </c>
      <c r="V3933" s="71" t="s">
        <v>2272</v>
      </c>
      <c r="W3933" s="71" t="s">
        <v>2272</v>
      </c>
      <c r="X3933" s="71" t="s">
        <v>2272</v>
      </c>
      <c r="Y3933" s="198" t="s">
        <v>37</v>
      </c>
      <c r="Z3933" s="198" t="s">
        <v>403</v>
      </c>
      <c r="AA3933" s="71" t="s">
        <v>2272</v>
      </c>
      <c r="AB3933" s="198"/>
      <c r="AC3933" s="198"/>
    </row>
    <row r="3934" spans="1:29" s="197" customFormat="1" ht="55" customHeight="1">
      <c r="A3934" s="151" t="str">
        <f>'Reported burning'!A3934</f>
        <v>422a</v>
      </c>
      <c r="B3934" s="151" t="str">
        <f>'Reported burning'!B3934</f>
        <v>422a.4</v>
      </c>
      <c r="C3934" s="151" t="str">
        <f>'Reported burning'!C3934</f>
        <v>Human, deliberate</v>
      </c>
      <c r="D3934" s="151" t="str">
        <f>'Reported burning'!D3934</f>
        <v>ND</v>
      </c>
      <c r="E3934" s="151" t="str">
        <f>'Reported burning'!E3934</f>
        <v>Forestry, Industrial</v>
      </c>
      <c r="F3934" s="151" t="str">
        <f>'Reported burning'!F3934</f>
        <v>Forest</v>
      </c>
      <c r="G3934" s="151" t="str">
        <f>'Reported burning'!G3934</f>
        <v>Forest</v>
      </c>
      <c r="H3934" s="151" t="str">
        <f>'Reported burning'!H3934</f>
        <v>Presence</v>
      </c>
      <c r="I3934" s="5"/>
      <c r="J3934" s="71" t="s">
        <v>2272</v>
      </c>
      <c r="K3934" s="71" t="s">
        <v>2272</v>
      </c>
      <c r="L3934" s="71" t="s">
        <v>2272</v>
      </c>
      <c r="M3934" s="71" t="s">
        <v>2272</v>
      </c>
      <c r="N3934" s="71" t="s">
        <v>2272</v>
      </c>
      <c r="O3934" s="71" t="s">
        <v>2272</v>
      </c>
      <c r="P3934" s="71" t="s">
        <v>2272</v>
      </c>
      <c r="Q3934" s="71" t="s">
        <v>2272</v>
      </c>
      <c r="R3934" s="71" t="s">
        <v>2272</v>
      </c>
      <c r="S3934" s="21" t="s">
        <v>2358</v>
      </c>
      <c r="T3934" s="71" t="s">
        <v>2272</v>
      </c>
      <c r="U3934" s="71" t="s">
        <v>2272</v>
      </c>
      <c r="V3934" s="71" t="s">
        <v>2272</v>
      </c>
      <c r="W3934" s="71" t="s">
        <v>2272</v>
      </c>
      <c r="X3934" s="71" t="s">
        <v>2272</v>
      </c>
      <c r="Y3934" s="198" t="s">
        <v>37</v>
      </c>
      <c r="Z3934" s="198" t="s">
        <v>403</v>
      </c>
      <c r="AA3934" s="71" t="s">
        <v>2272</v>
      </c>
      <c r="AB3934" s="198"/>
      <c r="AC3934" s="198"/>
    </row>
    <row r="3935" spans="1:29" ht="55" customHeight="1">
      <c r="A3935" s="151" t="str">
        <f>'Reported burning'!A3935</f>
        <v>422a</v>
      </c>
      <c r="B3935" s="151" t="str">
        <f>'Reported burning'!B3935</f>
        <v>422a.5</v>
      </c>
      <c r="C3935" s="151" t="str">
        <f>'Reported burning'!C3935</f>
        <v>Unknown</v>
      </c>
      <c r="D3935" s="151" t="str">
        <f>'Reported burning'!D3935</f>
        <v>ND</v>
      </c>
      <c r="E3935" s="151" t="str">
        <f>'Reported burning'!E3935</f>
        <v>ND</v>
      </c>
      <c r="F3935" s="151" t="str">
        <f>'Reported burning'!F3935</f>
        <v>ND</v>
      </c>
      <c r="G3935" s="151" t="str">
        <f>'Reported burning'!G3935</f>
        <v>Forest</v>
      </c>
      <c r="H3935" s="151" t="str">
        <f>'Reported burning'!H3935</f>
        <v>Presence</v>
      </c>
      <c r="I3935" s="5"/>
      <c r="J3935" s="71" t="s">
        <v>2272</v>
      </c>
      <c r="K3935" s="71" t="s">
        <v>2272</v>
      </c>
      <c r="L3935" s="71" t="s">
        <v>2272</v>
      </c>
      <c r="M3935" s="71" t="s">
        <v>2272</v>
      </c>
      <c r="N3935" s="71" t="s">
        <v>2272</v>
      </c>
      <c r="O3935" s="71" t="s">
        <v>2272</v>
      </c>
      <c r="P3935" s="71" t="s">
        <v>2272</v>
      </c>
      <c r="Q3935" s="71" t="s">
        <v>2272</v>
      </c>
      <c r="R3935" s="71" t="s">
        <v>2272</v>
      </c>
      <c r="S3935" s="21" t="s">
        <v>2358</v>
      </c>
      <c r="T3935" s="71" t="s">
        <v>2272</v>
      </c>
      <c r="U3935" s="71" t="s">
        <v>2272</v>
      </c>
      <c r="V3935" s="71" t="s">
        <v>2272</v>
      </c>
      <c r="W3935" s="71" t="s">
        <v>2272</v>
      </c>
      <c r="X3935" s="71" t="s">
        <v>2272</v>
      </c>
      <c r="Y3935" s="198" t="s">
        <v>37</v>
      </c>
      <c r="Z3935" s="198" t="s">
        <v>403</v>
      </c>
      <c r="AA3935" s="71" t="s">
        <v>2272</v>
      </c>
      <c r="AB3935" s="198"/>
      <c r="AC3935" s="198"/>
    </row>
    <row r="3936" spans="1:29" ht="55" customHeight="1">
      <c r="A3936" s="151" t="str">
        <f>'Reported burning'!A3936</f>
        <v>422a</v>
      </c>
      <c r="B3936" s="151" t="str">
        <f>'Reported burning'!B3936</f>
        <v>422a.6</v>
      </c>
      <c r="C3936" s="151" t="str">
        <f>'Reported burning'!C3936</f>
        <v>Human, deliberate</v>
      </c>
      <c r="D3936" s="151" t="str">
        <f>'Reported burning'!D3936</f>
        <v>Arson</v>
      </c>
      <c r="E3936" s="151" t="str">
        <f>'Reported burning'!E3936</f>
        <v>ND</v>
      </c>
      <c r="F3936" s="151" t="str">
        <f>'Reported burning'!F3936</f>
        <v>ND</v>
      </c>
      <c r="G3936" s="151" t="str">
        <f>'Reported burning'!G3936</f>
        <v>Forest</v>
      </c>
      <c r="H3936" s="151" t="str">
        <f>'Reported burning'!H3936</f>
        <v>Presence</v>
      </c>
      <c r="I3936" s="5"/>
      <c r="J3936" s="71" t="s">
        <v>2272</v>
      </c>
      <c r="K3936" s="71" t="s">
        <v>2272</v>
      </c>
      <c r="L3936" s="71" t="s">
        <v>2272</v>
      </c>
      <c r="M3936" s="71" t="s">
        <v>2272</v>
      </c>
      <c r="N3936" s="71" t="s">
        <v>2272</v>
      </c>
      <c r="O3936" s="71" t="s">
        <v>2272</v>
      </c>
      <c r="P3936" s="71" t="s">
        <v>2272</v>
      </c>
      <c r="Q3936" s="71" t="s">
        <v>2272</v>
      </c>
      <c r="R3936" s="71" t="s">
        <v>2272</v>
      </c>
      <c r="S3936" s="21" t="s">
        <v>2358</v>
      </c>
      <c r="T3936" s="71" t="s">
        <v>2272</v>
      </c>
      <c r="U3936" s="71" t="s">
        <v>2272</v>
      </c>
      <c r="V3936" s="71" t="s">
        <v>2272</v>
      </c>
      <c r="W3936" s="71" t="s">
        <v>2272</v>
      </c>
      <c r="X3936" s="71" t="s">
        <v>2272</v>
      </c>
      <c r="Y3936" s="198" t="s">
        <v>37</v>
      </c>
      <c r="Z3936" s="198" t="s">
        <v>403</v>
      </c>
      <c r="AA3936" s="71" t="s">
        <v>2272</v>
      </c>
      <c r="AB3936" s="198" t="s">
        <v>10070</v>
      </c>
      <c r="AC3936" s="198"/>
    </row>
    <row r="3937" spans="1:29" ht="55" customHeight="1">
      <c r="A3937" s="147" t="str">
        <f>'Reported burning'!A3937</f>
        <v>422a</v>
      </c>
      <c r="B3937" s="147" t="str">
        <f>'Reported burning'!B3937</f>
        <v>422a.7</v>
      </c>
      <c r="C3937" s="147" t="str">
        <f>'Reported burning'!C3937</f>
        <v>Lightning</v>
      </c>
      <c r="D3937" s="147" t="str">
        <f>'Reported burning'!D3937</f>
        <v>ND</v>
      </c>
      <c r="E3937" s="147" t="str">
        <f>'Reported burning'!E3937</f>
        <v>ND</v>
      </c>
      <c r="F3937" s="147" t="str">
        <f>'Reported burning'!F3937</f>
        <v>ND</v>
      </c>
      <c r="G3937" s="147" t="str">
        <f>'Reported burning'!G3937</f>
        <v>Forest</v>
      </c>
      <c r="H3937" s="147" t="str">
        <f>'Reported burning'!H3937</f>
        <v>Presence</v>
      </c>
      <c r="I3937" s="198"/>
      <c r="J3937" s="71" t="s">
        <v>2272</v>
      </c>
      <c r="K3937" s="71" t="s">
        <v>2272</v>
      </c>
      <c r="L3937" s="71" t="s">
        <v>2272</v>
      </c>
      <c r="M3937" s="71" t="s">
        <v>2272</v>
      </c>
      <c r="N3937" s="71" t="s">
        <v>2272</v>
      </c>
      <c r="O3937" s="71" t="s">
        <v>2272</v>
      </c>
      <c r="P3937" s="71" t="s">
        <v>2272</v>
      </c>
      <c r="Q3937" s="71" t="s">
        <v>2272</v>
      </c>
      <c r="R3937" s="71" t="s">
        <v>2272</v>
      </c>
      <c r="S3937" s="21" t="s">
        <v>2358</v>
      </c>
      <c r="T3937" s="71" t="s">
        <v>2272</v>
      </c>
      <c r="U3937" s="71" t="s">
        <v>2272</v>
      </c>
      <c r="V3937" s="71" t="s">
        <v>2272</v>
      </c>
      <c r="W3937" s="71" t="s">
        <v>2272</v>
      </c>
      <c r="X3937" s="71" t="s">
        <v>2272</v>
      </c>
      <c r="Y3937" s="198" t="s">
        <v>37</v>
      </c>
      <c r="Z3937" s="198" t="s">
        <v>84</v>
      </c>
      <c r="AA3937" s="198" t="s">
        <v>2650</v>
      </c>
      <c r="AB3937" s="198"/>
      <c r="AC3937" s="198"/>
    </row>
    <row r="3938" spans="1:29" ht="64" customHeight="1">
      <c r="A3938" s="147" t="str">
        <f>'Reported burning'!A3938</f>
        <v>423a</v>
      </c>
      <c r="B3938" s="147" t="str">
        <f>'Reported burning'!B3938</f>
        <v>423a.1</v>
      </c>
      <c r="C3938" s="147" t="str">
        <f>'Reported burning'!C3938</f>
        <v>Human, escaped</v>
      </c>
      <c r="D3938" s="147" t="str">
        <f>'Reported burning'!D3938</f>
        <v>Domestic</v>
      </c>
      <c r="E3938" s="147" t="str">
        <f>'Reported burning'!E3938</f>
        <v>Urban planner</v>
      </c>
      <c r="F3938" s="147" t="str">
        <f>'Reported burning'!F3938</f>
        <v>ND</v>
      </c>
      <c r="G3938" s="147" t="str">
        <f>'Reported burning'!G3938</f>
        <v>Forest</v>
      </c>
      <c r="H3938" s="147" t="str">
        <f>'Reported burning'!H3938</f>
        <v>Presence</v>
      </c>
      <c r="I3938" s="198"/>
      <c r="J3938" s="71" t="s">
        <v>2272</v>
      </c>
      <c r="K3938" s="71" t="s">
        <v>2272</v>
      </c>
      <c r="L3938" s="71" t="s">
        <v>2272</v>
      </c>
      <c r="M3938" s="71" t="s">
        <v>2272</v>
      </c>
      <c r="N3938" s="71" t="s">
        <v>2272</v>
      </c>
      <c r="O3938" s="21" t="s">
        <v>2380</v>
      </c>
      <c r="P3938" s="71" t="s">
        <v>2272</v>
      </c>
      <c r="Q3938" s="71" t="s">
        <v>2272</v>
      </c>
      <c r="R3938" s="71" t="s">
        <v>2272</v>
      </c>
      <c r="S3938" s="71" t="s">
        <v>2272</v>
      </c>
      <c r="T3938" s="71" t="s">
        <v>2272</v>
      </c>
      <c r="U3938" s="71" t="s">
        <v>2272</v>
      </c>
      <c r="V3938" s="71" t="s">
        <v>2272</v>
      </c>
      <c r="W3938" s="71" t="s">
        <v>2272</v>
      </c>
      <c r="X3938" s="71" t="s">
        <v>2272</v>
      </c>
      <c r="Y3938" s="198" t="s">
        <v>125</v>
      </c>
      <c r="Z3938" s="198" t="s">
        <v>397</v>
      </c>
      <c r="AA3938" s="198" t="s">
        <v>63</v>
      </c>
      <c r="AB3938" s="198"/>
      <c r="AC3938" s="198"/>
    </row>
    <row r="3939" spans="1:29" ht="63" customHeight="1">
      <c r="A3939" s="151" t="str">
        <f>'Reported burning'!A3939</f>
        <v>424a</v>
      </c>
      <c r="B3939" s="151" t="str">
        <f>'Reported burning'!B3939</f>
        <v>424a.1</v>
      </c>
      <c r="C3939" s="151" t="str">
        <f>'Reported burning'!C3939</f>
        <v>Human, escaped</v>
      </c>
      <c r="D3939" s="151" t="str">
        <f>'Reported burning'!D3939</f>
        <v>ND</v>
      </c>
      <c r="E3939" s="151" t="str">
        <f>'Reported burning'!E3939</f>
        <v>ND</v>
      </c>
      <c r="F3939" s="151" t="str">
        <f>'Reported burning'!F3939</f>
        <v>ND</v>
      </c>
      <c r="G3939" s="151" t="str">
        <f>'Reported burning'!G3939</f>
        <v>Shrubland (Mixed forest &amp; grassland)</v>
      </c>
      <c r="H3939" s="151" t="str">
        <f>'Reported burning'!H3939</f>
        <v>Presence</v>
      </c>
      <c r="I3939" s="5"/>
      <c r="J3939" s="71" t="s">
        <v>2272</v>
      </c>
      <c r="K3939" s="71" t="s">
        <v>2272</v>
      </c>
      <c r="L3939" s="71" t="s">
        <v>2272</v>
      </c>
      <c r="M3939" s="71" t="s">
        <v>2272</v>
      </c>
      <c r="N3939" s="71" t="s">
        <v>2272</v>
      </c>
      <c r="O3939" s="21" t="s">
        <v>2374</v>
      </c>
      <c r="P3939" s="71" t="s">
        <v>2272</v>
      </c>
      <c r="Q3939" s="21" t="s">
        <v>2368</v>
      </c>
      <c r="R3939" s="71" t="s">
        <v>2272</v>
      </c>
      <c r="S3939" s="71" t="s">
        <v>2272</v>
      </c>
      <c r="T3939" s="71" t="s">
        <v>2272</v>
      </c>
      <c r="U3939" s="71" t="s">
        <v>2272</v>
      </c>
      <c r="V3939" s="71" t="s">
        <v>2272</v>
      </c>
      <c r="W3939" s="71" t="s">
        <v>2272</v>
      </c>
      <c r="X3939" s="71" t="s">
        <v>2272</v>
      </c>
      <c r="Y3939" s="198" t="s">
        <v>33</v>
      </c>
      <c r="Z3939" s="198" t="s">
        <v>423</v>
      </c>
      <c r="AA3939" s="71" t="s">
        <v>2272</v>
      </c>
      <c r="AB3939" s="198" t="s">
        <v>10083</v>
      </c>
      <c r="AC3939" s="198"/>
    </row>
    <row r="3940" spans="1:29" ht="64.5" customHeight="1">
      <c r="A3940" s="151" t="str">
        <f>'Reported burning'!A3940</f>
        <v>424a</v>
      </c>
      <c r="B3940" s="151" t="str">
        <f>'Reported burning'!B3940</f>
        <v>424a.2</v>
      </c>
      <c r="C3940" s="151" t="str">
        <f>'Reported burning'!C3940</f>
        <v>Lightning</v>
      </c>
      <c r="D3940" s="151" t="str">
        <f>'Reported burning'!D3940</f>
        <v>ND</v>
      </c>
      <c r="E3940" s="151" t="str">
        <f>'Reported burning'!E3940</f>
        <v>ND</v>
      </c>
      <c r="F3940" s="151" t="str">
        <f>'Reported burning'!F3940</f>
        <v>ND</v>
      </c>
      <c r="G3940" s="151" t="str">
        <f>'Reported burning'!G3940</f>
        <v>Shrubland (Mixed forest &amp; grassland)</v>
      </c>
      <c r="H3940" s="151" t="str">
        <f>'Reported burning'!H3940</f>
        <v>Presence</v>
      </c>
      <c r="I3940" s="5"/>
      <c r="J3940" s="71" t="s">
        <v>2272</v>
      </c>
      <c r="K3940" s="71" t="s">
        <v>2272</v>
      </c>
      <c r="L3940" s="71" t="s">
        <v>2272</v>
      </c>
      <c r="M3940" s="71" t="s">
        <v>2272</v>
      </c>
      <c r="N3940" s="71" t="s">
        <v>2272</v>
      </c>
      <c r="O3940" s="21" t="s">
        <v>2374</v>
      </c>
      <c r="P3940" s="71" t="s">
        <v>2272</v>
      </c>
      <c r="Q3940" s="21" t="s">
        <v>2368</v>
      </c>
      <c r="R3940" s="71" t="s">
        <v>2272</v>
      </c>
      <c r="S3940" s="71" t="s">
        <v>2272</v>
      </c>
      <c r="T3940" s="71" t="s">
        <v>2272</v>
      </c>
      <c r="U3940" s="71" t="s">
        <v>2272</v>
      </c>
      <c r="V3940" s="71" t="s">
        <v>2272</v>
      </c>
      <c r="W3940" s="71" t="s">
        <v>2272</v>
      </c>
      <c r="X3940" s="71" t="s">
        <v>2272</v>
      </c>
      <c r="Y3940" s="198" t="s">
        <v>33</v>
      </c>
      <c r="Z3940" s="198" t="s">
        <v>423</v>
      </c>
      <c r="AA3940" s="71" t="s">
        <v>2272</v>
      </c>
      <c r="AB3940" s="198" t="s">
        <v>10083</v>
      </c>
      <c r="AC3940" s="198"/>
    </row>
    <row r="3941" spans="1:29" ht="58.5" customHeight="1">
      <c r="A3941" s="151" t="str">
        <f>'Reported burning'!A3941</f>
        <v>425a</v>
      </c>
      <c r="B3941" s="151" t="str">
        <f>'Reported burning'!B3941</f>
        <v>425a.1</v>
      </c>
      <c r="C3941" s="151" t="str">
        <f>'Reported burning'!C3941</f>
        <v>Human, escaped</v>
      </c>
      <c r="D3941" s="151" t="str">
        <f>'Reported burning'!D3941</f>
        <v>ND</v>
      </c>
      <c r="E3941" s="151" t="str">
        <f>'Reported burning'!E3941</f>
        <v>ND</v>
      </c>
      <c r="F3941" s="151" t="str">
        <f>'Reported burning'!F3941</f>
        <v>ND</v>
      </c>
      <c r="G3941" s="151" t="str">
        <f>'Reported burning'!G3941</f>
        <v>Plantation forest</v>
      </c>
      <c r="H3941" s="151" t="str">
        <f>'Reported burning'!H3941</f>
        <v>Presence</v>
      </c>
      <c r="I3941" s="5"/>
      <c r="J3941" s="71" t="s">
        <v>2272</v>
      </c>
      <c r="K3941" s="71" t="s">
        <v>2272</v>
      </c>
      <c r="L3941" s="71" t="s">
        <v>2272</v>
      </c>
      <c r="M3941" s="21" t="s">
        <v>2358</v>
      </c>
      <c r="N3941" s="71" t="s">
        <v>2272</v>
      </c>
      <c r="O3941" s="21" t="s">
        <v>2377</v>
      </c>
      <c r="P3941" s="71" t="s">
        <v>2272</v>
      </c>
      <c r="Q3941" s="71" t="s">
        <v>2272</v>
      </c>
      <c r="R3941" s="71" t="s">
        <v>2272</v>
      </c>
      <c r="S3941" s="21" t="s">
        <v>2358</v>
      </c>
      <c r="T3941" s="71" t="s">
        <v>2272</v>
      </c>
      <c r="U3941" s="71" t="s">
        <v>2272</v>
      </c>
      <c r="V3941" s="71" t="s">
        <v>2272</v>
      </c>
      <c r="W3941" s="71" t="s">
        <v>2272</v>
      </c>
      <c r="X3941" s="71" t="s">
        <v>2272</v>
      </c>
      <c r="Y3941" s="198" t="s">
        <v>397</v>
      </c>
      <c r="Z3941" s="198" t="s">
        <v>37</v>
      </c>
      <c r="AA3941" s="71" t="s">
        <v>2272</v>
      </c>
      <c r="AB3941" s="198"/>
      <c r="AC3941" s="198"/>
    </row>
    <row r="3942" spans="1:29" ht="58.5" customHeight="1">
      <c r="A3942" s="151" t="str">
        <f>'Reported burning'!A3942</f>
        <v>425a</v>
      </c>
      <c r="B3942" s="151" t="str">
        <f>'Reported burning'!B3942</f>
        <v>425a.2</v>
      </c>
      <c r="C3942" s="151" t="str">
        <f>'Reported burning'!C3942</f>
        <v>Human, escaped</v>
      </c>
      <c r="D3942" s="151" t="str">
        <f>'Reported burning'!D3942</f>
        <v>ND</v>
      </c>
      <c r="E3942" s="151" t="str">
        <f>'Reported burning'!E3942</f>
        <v>ND</v>
      </c>
      <c r="F3942" s="151" t="str">
        <f>'Reported burning'!F3942</f>
        <v>ND</v>
      </c>
      <c r="G3942" s="151" t="str">
        <f>'Reported burning'!G3942</f>
        <v>Forest</v>
      </c>
      <c r="H3942" s="151" t="str">
        <f>'Reported burning'!H3942</f>
        <v>Presence</v>
      </c>
      <c r="I3942" s="5"/>
      <c r="J3942" s="71" t="s">
        <v>2272</v>
      </c>
      <c r="K3942" s="71" t="s">
        <v>2272</v>
      </c>
      <c r="L3942" s="71" t="s">
        <v>2272</v>
      </c>
      <c r="M3942" s="21" t="s">
        <v>2358</v>
      </c>
      <c r="N3942" s="71" t="s">
        <v>2272</v>
      </c>
      <c r="O3942" s="21" t="s">
        <v>2377</v>
      </c>
      <c r="P3942" s="71" t="s">
        <v>2272</v>
      </c>
      <c r="Q3942" s="71" t="s">
        <v>2272</v>
      </c>
      <c r="R3942" s="71" t="s">
        <v>2272</v>
      </c>
      <c r="S3942" s="21" t="s">
        <v>2358</v>
      </c>
      <c r="T3942" s="71" t="s">
        <v>2272</v>
      </c>
      <c r="U3942" s="71" t="s">
        <v>2272</v>
      </c>
      <c r="V3942" s="71" t="s">
        <v>2272</v>
      </c>
      <c r="W3942" s="71" t="s">
        <v>2272</v>
      </c>
      <c r="X3942" s="71" t="s">
        <v>2272</v>
      </c>
      <c r="Y3942" s="198" t="s">
        <v>397</v>
      </c>
      <c r="Z3942" s="198" t="s">
        <v>37</v>
      </c>
      <c r="AA3942" s="71" t="s">
        <v>2272</v>
      </c>
      <c r="AB3942" s="198"/>
      <c r="AC3942" s="198"/>
    </row>
    <row r="3943" spans="1:29" ht="58.5" customHeight="1">
      <c r="A3943" s="151" t="str">
        <f>'Reported burning'!A3943</f>
        <v>426a</v>
      </c>
      <c r="B3943" s="151" t="str">
        <f>'Reported burning'!B3943</f>
        <v>426a.1</v>
      </c>
      <c r="C3943" s="151" t="str">
        <f>'Reported burning'!C3943</f>
        <v>Unknown</v>
      </c>
      <c r="D3943" s="151" t="str">
        <f>'Reported burning'!D3943</f>
        <v>ND</v>
      </c>
      <c r="E3943" s="151" t="str">
        <f>'Reported burning'!E3943</f>
        <v>ND</v>
      </c>
      <c r="F3943" s="151" t="str">
        <f>'Reported burning'!F3943</f>
        <v>ND</v>
      </c>
      <c r="G3943" s="151" t="str">
        <f>'Reported burning'!G3943</f>
        <v>Secondary vegetation</v>
      </c>
      <c r="H3943" s="151" t="str">
        <f>'Reported burning'!H3943</f>
        <v>Presence</v>
      </c>
      <c r="I3943" s="5"/>
      <c r="J3943" s="71" t="s">
        <v>2272</v>
      </c>
      <c r="K3943" s="71" t="s">
        <v>2272</v>
      </c>
      <c r="L3943" s="71" t="s">
        <v>2272</v>
      </c>
      <c r="M3943" s="71" t="s">
        <v>2272</v>
      </c>
      <c r="N3943" s="71" t="s">
        <v>2272</v>
      </c>
      <c r="O3943" s="71" t="s">
        <v>2272</v>
      </c>
      <c r="P3943" s="71" t="s">
        <v>2272</v>
      </c>
      <c r="Q3943" s="71" t="s">
        <v>2272</v>
      </c>
      <c r="R3943" s="71" t="s">
        <v>2272</v>
      </c>
      <c r="S3943" s="71" t="s">
        <v>2272</v>
      </c>
      <c r="T3943" s="71" t="s">
        <v>2272</v>
      </c>
      <c r="U3943" s="71" t="s">
        <v>2272</v>
      </c>
      <c r="V3943" s="71" t="s">
        <v>2272</v>
      </c>
      <c r="W3943" s="71" t="s">
        <v>2272</v>
      </c>
      <c r="X3943" s="71" t="s">
        <v>2272</v>
      </c>
      <c r="Y3943" s="71" t="s">
        <v>2272</v>
      </c>
      <c r="Z3943" s="71" t="s">
        <v>2272</v>
      </c>
      <c r="AA3943" s="71" t="s">
        <v>2272</v>
      </c>
      <c r="AB3943" s="198"/>
      <c r="AC3943" s="198"/>
    </row>
    <row r="3944" spans="1:29" ht="48" customHeight="1">
      <c r="A3944" s="151" t="str">
        <f>'Reported burning'!A3944</f>
        <v>427a</v>
      </c>
      <c r="B3944" s="151" t="str">
        <f>'Reported burning'!B3944</f>
        <v>427a.1</v>
      </c>
      <c r="C3944" s="151" t="str">
        <f>'Reported burning'!C3944</f>
        <v>Human, deliberate</v>
      </c>
      <c r="D3944" s="151" t="str">
        <f>'Reported burning'!D3944</f>
        <v>Forest clearance</v>
      </c>
      <c r="E3944" s="151" t="str">
        <f>'Reported burning'!E3944</f>
        <v>Cropping, Intensive</v>
      </c>
      <c r="F3944" s="151" t="str">
        <f>'Reported burning'!F3944</f>
        <v>Forest</v>
      </c>
      <c r="G3944" s="151" t="str">
        <f>'Reported burning'!G3944</f>
        <v>Forest</v>
      </c>
      <c r="H3944" s="151" t="str">
        <f>'Reported burning'!H3944</f>
        <v>Presence</v>
      </c>
      <c r="I3944" s="5"/>
      <c r="J3944" s="71" t="s">
        <v>2272</v>
      </c>
      <c r="K3944" s="71" t="s">
        <v>2272</v>
      </c>
      <c r="L3944" s="71" t="s">
        <v>2272</v>
      </c>
      <c r="M3944" s="71" t="s">
        <v>2272</v>
      </c>
      <c r="N3944" s="71" t="s">
        <v>2272</v>
      </c>
      <c r="O3944" s="71" t="s">
        <v>2272</v>
      </c>
      <c r="P3944" s="71" t="s">
        <v>2272</v>
      </c>
      <c r="Q3944" s="71" t="s">
        <v>2272</v>
      </c>
      <c r="R3944" s="71" t="s">
        <v>2272</v>
      </c>
      <c r="S3944" s="71" t="s">
        <v>2272</v>
      </c>
      <c r="T3944" s="71" t="s">
        <v>2272</v>
      </c>
      <c r="U3944" s="71" t="s">
        <v>2272</v>
      </c>
      <c r="V3944" s="71" t="s">
        <v>2272</v>
      </c>
      <c r="W3944" s="71" t="s">
        <v>2272</v>
      </c>
      <c r="X3944" s="71" t="s">
        <v>2272</v>
      </c>
      <c r="Y3944" s="71" t="s">
        <v>2272</v>
      </c>
      <c r="Z3944" s="71" t="s">
        <v>2272</v>
      </c>
      <c r="AA3944" s="71" t="s">
        <v>2272</v>
      </c>
      <c r="AB3944" s="198"/>
      <c r="AC3944" s="198"/>
    </row>
    <row r="3945" spans="1:29" ht="48" customHeight="1">
      <c r="A3945" s="151" t="str">
        <f>'Reported burning'!A3945</f>
        <v>427a</v>
      </c>
      <c r="B3945" s="151" t="str">
        <f>'Reported burning'!B3945</f>
        <v>427a.2</v>
      </c>
      <c r="C3945" s="151" t="str">
        <f>'Reported burning'!C3945</f>
        <v>Human, escaped</v>
      </c>
      <c r="D3945" s="151" t="str">
        <f>'Reported burning'!D3945</f>
        <v>Forest clearance</v>
      </c>
      <c r="E3945" s="151" t="str">
        <f>'Reported burning'!E3945</f>
        <v>Cropping, Intensive</v>
      </c>
      <c r="F3945" s="151" t="str">
        <f>'Reported burning'!F3945</f>
        <v>Forest</v>
      </c>
      <c r="G3945" s="151" t="str">
        <f>'Reported burning'!G3945</f>
        <v>Forest</v>
      </c>
      <c r="H3945" s="151" t="str">
        <f>'Reported burning'!H3945</f>
        <v>Presence</v>
      </c>
      <c r="I3945" s="5"/>
      <c r="J3945" s="71" t="s">
        <v>2272</v>
      </c>
      <c r="K3945" s="71" t="s">
        <v>2272</v>
      </c>
      <c r="L3945" s="71" t="s">
        <v>2272</v>
      </c>
      <c r="M3945" s="71" t="s">
        <v>2272</v>
      </c>
      <c r="N3945" s="71" t="s">
        <v>2272</v>
      </c>
      <c r="O3945" s="71" t="s">
        <v>2272</v>
      </c>
      <c r="P3945" s="71" t="s">
        <v>2272</v>
      </c>
      <c r="Q3945" s="71" t="s">
        <v>2272</v>
      </c>
      <c r="R3945" s="71" t="s">
        <v>2272</v>
      </c>
      <c r="S3945" s="71" t="s">
        <v>2272</v>
      </c>
      <c r="T3945" s="71" t="s">
        <v>2272</v>
      </c>
      <c r="U3945" s="71" t="s">
        <v>2272</v>
      </c>
      <c r="V3945" s="71" t="s">
        <v>2272</v>
      </c>
      <c r="W3945" s="71" t="s">
        <v>2272</v>
      </c>
      <c r="X3945" s="71" t="s">
        <v>2272</v>
      </c>
      <c r="Y3945" s="71" t="s">
        <v>2272</v>
      </c>
      <c r="Z3945" s="71" t="s">
        <v>2272</v>
      </c>
      <c r="AA3945" s="71" t="s">
        <v>2272</v>
      </c>
      <c r="AB3945" s="198"/>
      <c r="AC3945" s="198"/>
    </row>
    <row r="3946" spans="1:29" ht="48" customHeight="1">
      <c r="A3946" s="151" t="str">
        <f>'Reported burning'!A3946</f>
        <v>427a</v>
      </c>
      <c r="B3946" s="151" t="str">
        <f>'Reported burning'!B3946</f>
        <v>427a.3</v>
      </c>
      <c r="C3946" s="151" t="str">
        <f>'Reported burning'!C3946</f>
        <v>Human, deliberate</v>
      </c>
      <c r="D3946" s="151" t="str">
        <f>'Reported burning'!D3946</f>
        <v>Forest clearance</v>
      </c>
      <c r="E3946" s="151" t="str">
        <f>'Reported burning'!E3946</f>
        <v>Forestry, Industrial</v>
      </c>
      <c r="F3946" s="151" t="str">
        <f>'Reported burning'!F3946</f>
        <v>Secondary vegetation</v>
      </c>
      <c r="G3946" s="151" t="str">
        <f>'Reported burning'!G3946</f>
        <v>Secondary vegetation</v>
      </c>
      <c r="H3946" s="151" t="str">
        <f>'Reported burning'!H3946</f>
        <v>Presence</v>
      </c>
      <c r="I3946" s="5"/>
      <c r="J3946" s="71" t="s">
        <v>2272</v>
      </c>
      <c r="K3946" s="71" t="s">
        <v>2272</v>
      </c>
      <c r="L3946" s="71" t="s">
        <v>2272</v>
      </c>
      <c r="M3946" s="71" t="s">
        <v>2272</v>
      </c>
      <c r="N3946" s="71" t="s">
        <v>2272</v>
      </c>
      <c r="O3946" s="71" t="s">
        <v>2272</v>
      </c>
      <c r="P3946" s="71" t="s">
        <v>2272</v>
      </c>
      <c r="Q3946" s="71" t="s">
        <v>2272</v>
      </c>
      <c r="R3946" s="71" t="s">
        <v>2272</v>
      </c>
      <c r="S3946" s="71" t="s">
        <v>2272</v>
      </c>
      <c r="T3946" s="71" t="s">
        <v>2272</v>
      </c>
      <c r="U3946" s="71" t="s">
        <v>2272</v>
      </c>
      <c r="V3946" s="71" t="s">
        <v>2272</v>
      </c>
      <c r="W3946" s="71" t="s">
        <v>2272</v>
      </c>
      <c r="X3946" s="71" t="s">
        <v>2272</v>
      </c>
      <c r="Y3946" s="71" t="s">
        <v>2272</v>
      </c>
      <c r="Z3946" s="71" t="s">
        <v>2272</v>
      </c>
      <c r="AA3946" s="71" t="s">
        <v>2272</v>
      </c>
      <c r="AB3946" s="198"/>
      <c r="AC3946" s="198"/>
    </row>
    <row r="3947" spans="1:29" ht="48" customHeight="1">
      <c r="A3947" s="151" t="str">
        <f>'Reported burning'!A3947</f>
        <v>427a</v>
      </c>
      <c r="B3947" s="151" t="str">
        <f>'Reported burning'!B3947</f>
        <v>427a.4</v>
      </c>
      <c r="C3947" s="151" t="str">
        <f>'Reported burning'!C3947</f>
        <v>Human, escaped</v>
      </c>
      <c r="D3947" s="151" t="str">
        <f>'Reported burning'!D3947</f>
        <v>Forest clearance</v>
      </c>
      <c r="E3947" s="151" t="str">
        <f>'Reported burning'!E3947</f>
        <v>Forestry, Industrial</v>
      </c>
      <c r="F3947" s="151" t="str">
        <f>'Reported burning'!F3947</f>
        <v>Secondary vegetation</v>
      </c>
      <c r="G3947" s="151" t="str">
        <f>'Reported burning'!G3947</f>
        <v>Secondary vegetation</v>
      </c>
      <c r="H3947" s="151" t="str">
        <f>'Reported burning'!H3947</f>
        <v>Presence</v>
      </c>
      <c r="I3947" s="5"/>
      <c r="J3947" s="71" t="s">
        <v>2272</v>
      </c>
      <c r="K3947" s="71" t="s">
        <v>2272</v>
      </c>
      <c r="L3947" s="71" t="s">
        <v>2272</v>
      </c>
      <c r="M3947" s="71" t="s">
        <v>2272</v>
      </c>
      <c r="N3947" s="71" t="s">
        <v>2272</v>
      </c>
      <c r="O3947" s="71" t="s">
        <v>2272</v>
      </c>
      <c r="P3947" s="71" t="s">
        <v>2272</v>
      </c>
      <c r="Q3947" s="71" t="s">
        <v>2272</v>
      </c>
      <c r="R3947" s="71" t="s">
        <v>2272</v>
      </c>
      <c r="S3947" s="71" t="s">
        <v>2272</v>
      </c>
      <c r="T3947" s="71" t="s">
        <v>2272</v>
      </c>
      <c r="U3947" s="71" t="s">
        <v>2272</v>
      </c>
      <c r="V3947" s="71" t="s">
        <v>2272</v>
      </c>
      <c r="W3947" s="71" t="s">
        <v>2272</v>
      </c>
      <c r="X3947" s="71" t="s">
        <v>2272</v>
      </c>
      <c r="Y3947" s="71" t="s">
        <v>2272</v>
      </c>
      <c r="Z3947" s="71" t="s">
        <v>2272</v>
      </c>
      <c r="AA3947" s="71" t="s">
        <v>2272</v>
      </c>
      <c r="AB3947" s="198"/>
      <c r="AC3947" s="198"/>
    </row>
    <row r="3948" spans="1:29" ht="48" customHeight="1">
      <c r="A3948" s="151" t="str">
        <f>'Reported burning'!A3948</f>
        <v>427a</v>
      </c>
      <c r="B3948" s="151" t="str">
        <f>'Reported burning'!B3948</f>
        <v>427a.5</v>
      </c>
      <c r="C3948" s="151" t="str">
        <f>'Reported burning'!C3948</f>
        <v>Human, deliberate</v>
      </c>
      <c r="D3948" s="151" t="str">
        <f>'Reported burning'!D3948</f>
        <v>Forest clearance</v>
      </c>
      <c r="E3948" s="151" t="str">
        <f>'Reported burning'!E3948</f>
        <v>Forestry, Industrial</v>
      </c>
      <c r="F3948" s="151" t="str">
        <f>'Reported burning'!F3948</f>
        <v>Forest</v>
      </c>
      <c r="G3948" s="151" t="str">
        <f>'Reported burning'!G3948</f>
        <v>Forest</v>
      </c>
      <c r="H3948" s="151" t="str">
        <f>'Reported burning'!H3948</f>
        <v>Presence</v>
      </c>
      <c r="I3948" s="5"/>
      <c r="J3948" s="71" t="s">
        <v>2272</v>
      </c>
      <c r="K3948" s="71" t="s">
        <v>2272</v>
      </c>
      <c r="L3948" s="71" t="s">
        <v>2272</v>
      </c>
      <c r="M3948" s="71" t="s">
        <v>2272</v>
      </c>
      <c r="N3948" s="71" t="s">
        <v>2272</v>
      </c>
      <c r="O3948" s="71" t="s">
        <v>2272</v>
      </c>
      <c r="P3948" s="71" t="s">
        <v>2272</v>
      </c>
      <c r="Q3948" s="71" t="s">
        <v>2272</v>
      </c>
      <c r="R3948" s="71" t="s">
        <v>2272</v>
      </c>
      <c r="S3948" s="71" t="s">
        <v>2272</v>
      </c>
      <c r="T3948" s="71" t="s">
        <v>2272</v>
      </c>
      <c r="U3948" s="71" t="s">
        <v>2272</v>
      </c>
      <c r="V3948" s="71" t="s">
        <v>2272</v>
      </c>
      <c r="W3948" s="71" t="s">
        <v>2272</v>
      </c>
      <c r="X3948" s="71" t="s">
        <v>2272</v>
      </c>
      <c r="Y3948" s="71" t="s">
        <v>2272</v>
      </c>
      <c r="Z3948" s="71" t="s">
        <v>2272</v>
      </c>
      <c r="AA3948" s="71" t="s">
        <v>2272</v>
      </c>
      <c r="AB3948" s="198"/>
      <c r="AC3948" s="198"/>
    </row>
    <row r="3949" spans="1:29" ht="47" customHeight="1">
      <c r="A3949" s="151" t="str">
        <f>'Reported burning'!A3949</f>
        <v>427a</v>
      </c>
      <c r="B3949" s="151" t="str">
        <f>'Reported burning'!B3949</f>
        <v>427a.6</v>
      </c>
      <c r="C3949" s="151" t="str">
        <f>'Reported burning'!C3949</f>
        <v>Human, escaped</v>
      </c>
      <c r="D3949" s="151" t="str">
        <f>'Reported burning'!D3949</f>
        <v>Forest clearance</v>
      </c>
      <c r="E3949" s="151" t="str">
        <f>'Reported burning'!E3949</f>
        <v>Forestry, Industrial</v>
      </c>
      <c r="F3949" s="151" t="str">
        <f>'Reported burning'!F3949</f>
        <v>Forest</v>
      </c>
      <c r="G3949" s="151" t="str">
        <f>'Reported burning'!G3949</f>
        <v>Forest</v>
      </c>
      <c r="H3949" s="151" t="str">
        <f>'Reported burning'!H3949</f>
        <v>Presence</v>
      </c>
      <c r="I3949" s="5"/>
      <c r="J3949" s="71" t="s">
        <v>2272</v>
      </c>
      <c r="K3949" s="71" t="s">
        <v>2272</v>
      </c>
      <c r="L3949" s="71" t="s">
        <v>2272</v>
      </c>
      <c r="M3949" s="71" t="s">
        <v>2272</v>
      </c>
      <c r="N3949" s="71" t="s">
        <v>2272</v>
      </c>
      <c r="O3949" s="71" t="s">
        <v>2272</v>
      </c>
      <c r="P3949" s="71" t="s">
        <v>2272</v>
      </c>
      <c r="Q3949" s="71" t="s">
        <v>2272</v>
      </c>
      <c r="R3949" s="71" t="s">
        <v>2272</v>
      </c>
      <c r="S3949" s="71" t="s">
        <v>2272</v>
      </c>
      <c r="T3949" s="71" t="s">
        <v>2272</v>
      </c>
      <c r="U3949" s="71" t="s">
        <v>2272</v>
      </c>
      <c r="V3949" s="71" t="s">
        <v>2272</v>
      </c>
      <c r="W3949" s="71" t="s">
        <v>2272</v>
      </c>
      <c r="X3949" s="71" t="s">
        <v>2272</v>
      </c>
      <c r="Y3949" s="71" t="s">
        <v>2272</v>
      </c>
      <c r="Z3949" s="71" t="s">
        <v>2272</v>
      </c>
      <c r="AA3949" s="71" t="s">
        <v>2272</v>
      </c>
      <c r="AB3949" s="198"/>
      <c r="AC3949" s="198"/>
    </row>
    <row r="3950" spans="1:29" ht="47" customHeight="1">
      <c r="A3950" s="151" t="str">
        <f>'Reported burning'!A3950</f>
        <v>428a</v>
      </c>
      <c r="B3950" s="151" t="str">
        <f>'Reported burning'!B3950</f>
        <v>428a.1</v>
      </c>
      <c r="C3950" s="151" t="str">
        <f>'Reported burning'!C3950</f>
        <v>All</v>
      </c>
      <c r="D3950" s="151" t="str">
        <f>'Reported burning'!D3950</f>
        <v>Forest clearance</v>
      </c>
      <c r="E3950" s="151" t="str">
        <f>'Reported burning'!E3950</f>
        <v>All</v>
      </c>
      <c r="F3950" s="151" t="str">
        <f>'Reported burning'!F3950</f>
        <v>ND</v>
      </c>
      <c r="G3950" s="151" t="str">
        <f>'Reported burning'!G3950</f>
        <v>Forest</v>
      </c>
      <c r="H3950" s="151" t="str">
        <f>'Reported burning'!H3950</f>
        <v>Presence</v>
      </c>
      <c r="I3950" s="5"/>
      <c r="J3950" s="71" t="s">
        <v>2272</v>
      </c>
      <c r="K3950" s="71" t="s">
        <v>2272</v>
      </c>
      <c r="L3950" s="71" t="s">
        <v>2272</v>
      </c>
      <c r="M3950" s="71" t="s">
        <v>2272</v>
      </c>
      <c r="N3950" s="71" t="s">
        <v>2272</v>
      </c>
      <c r="O3950" s="71" t="s">
        <v>2272</v>
      </c>
      <c r="P3950" s="71" t="s">
        <v>2272</v>
      </c>
      <c r="Q3950" s="71" t="s">
        <v>2272</v>
      </c>
      <c r="R3950" s="71" t="s">
        <v>2272</v>
      </c>
      <c r="S3950" s="71" t="s">
        <v>2272</v>
      </c>
      <c r="T3950" s="71" t="s">
        <v>2272</v>
      </c>
      <c r="U3950" s="71" t="s">
        <v>2272</v>
      </c>
      <c r="V3950" s="71" t="s">
        <v>2272</v>
      </c>
      <c r="W3950" s="71" t="s">
        <v>2272</v>
      </c>
      <c r="X3950" s="71" t="s">
        <v>2272</v>
      </c>
      <c r="Y3950" s="71" t="s">
        <v>2272</v>
      </c>
      <c r="Z3950" s="71" t="s">
        <v>2272</v>
      </c>
      <c r="AA3950" s="71" t="s">
        <v>2272</v>
      </c>
      <c r="AB3950" s="198"/>
      <c r="AC3950" s="198"/>
    </row>
    <row r="3951" spans="1:29" ht="49.5" customHeight="1">
      <c r="A3951" s="151" t="str">
        <f>'Reported burning'!A3951</f>
        <v>428a</v>
      </c>
      <c r="B3951" s="151" t="str">
        <f>'Reported burning'!B3951</f>
        <v>428a.2</v>
      </c>
      <c r="C3951" s="151" t="str">
        <f>'Reported burning'!C3951</f>
        <v>Human, deliberate</v>
      </c>
      <c r="D3951" s="151" t="str">
        <f>'Reported burning'!D3951</f>
        <v>Forest clearance</v>
      </c>
      <c r="E3951" s="151" t="str">
        <f>'Reported burning'!E3951</f>
        <v>Cropping, Intensive</v>
      </c>
      <c r="F3951" s="151" t="str">
        <f>'Reported burning'!F3951</f>
        <v>Forest</v>
      </c>
      <c r="G3951" s="151" t="str">
        <f>'Reported burning'!G3951</f>
        <v>Forest</v>
      </c>
      <c r="H3951" s="151" t="str">
        <f>'Reported burning'!H3951</f>
        <v>Absence</v>
      </c>
      <c r="I3951" s="5"/>
      <c r="J3951" s="21">
        <v>0</v>
      </c>
      <c r="K3951" s="21">
        <v>0</v>
      </c>
      <c r="L3951" s="21">
        <v>0</v>
      </c>
      <c r="M3951" s="21">
        <v>0</v>
      </c>
      <c r="N3951" s="21">
        <v>0</v>
      </c>
      <c r="O3951" s="21">
        <v>0</v>
      </c>
      <c r="P3951" s="21">
        <v>0</v>
      </c>
      <c r="Q3951" s="21">
        <v>0</v>
      </c>
      <c r="R3951" s="21">
        <v>0</v>
      </c>
      <c r="S3951" s="21">
        <v>0</v>
      </c>
      <c r="T3951" s="21">
        <v>0</v>
      </c>
      <c r="U3951" s="21">
        <v>0</v>
      </c>
      <c r="V3951" s="21">
        <v>0</v>
      </c>
      <c r="W3951" s="21">
        <v>0</v>
      </c>
      <c r="X3951" s="71" t="s">
        <v>2272</v>
      </c>
      <c r="Y3951" s="71" t="s">
        <v>2272</v>
      </c>
      <c r="Z3951" s="71" t="s">
        <v>2272</v>
      </c>
      <c r="AA3951" s="71" t="s">
        <v>2272</v>
      </c>
      <c r="AB3951" s="198"/>
      <c r="AC3951" s="198"/>
    </row>
    <row r="3952" spans="1:29" ht="49.5" customHeight="1">
      <c r="A3952" s="151" t="str">
        <f>'Reported burning'!A3952</f>
        <v>428a</v>
      </c>
      <c r="B3952" s="151" t="str">
        <f>'Reported burning'!B3952</f>
        <v>428a.3</v>
      </c>
      <c r="C3952" s="151" t="str">
        <f>'Reported burning'!C3952</f>
        <v>Human, deliberate</v>
      </c>
      <c r="D3952" s="151" t="str">
        <f>'Reported burning'!D3952</f>
        <v>Forest clearance</v>
      </c>
      <c r="E3952" s="151" t="str">
        <f>'Reported burning'!E3952</f>
        <v>Cropping, Intensive</v>
      </c>
      <c r="F3952" s="151" t="str">
        <f>'Reported burning'!F3952</f>
        <v>Forest</v>
      </c>
      <c r="G3952" s="151" t="str">
        <f>'Reported burning'!G3952</f>
        <v>Forest</v>
      </c>
      <c r="H3952" s="151" t="str">
        <f>'Reported burning'!H3952</f>
        <v>Presence</v>
      </c>
      <c r="I3952" s="5"/>
      <c r="J3952" s="71" t="s">
        <v>2272</v>
      </c>
      <c r="K3952" s="71" t="s">
        <v>2272</v>
      </c>
      <c r="L3952" s="71" t="s">
        <v>2272</v>
      </c>
      <c r="M3952" s="71" t="s">
        <v>2272</v>
      </c>
      <c r="N3952" s="71" t="s">
        <v>2272</v>
      </c>
      <c r="O3952" s="71" t="s">
        <v>2272</v>
      </c>
      <c r="P3952" s="71" t="s">
        <v>2272</v>
      </c>
      <c r="Q3952" s="71" t="s">
        <v>2272</v>
      </c>
      <c r="R3952" s="71" t="s">
        <v>2272</v>
      </c>
      <c r="S3952" s="71" t="s">
        <v>2272</v>
      </c>
      <c r="T3952" s="71" t="s">
        <v>2272</v>
      </c>
      <c r="U3952" s="71" t="s">
        <v>2272</v>
      </c>
      <c r="V3952" s="71" t="s">
        <v>2272</v>
      </c>
      <c r="W3952" s="71" t="s">
        <v>2272</v>
      </c>
      <c r="X3952" s="71" t="s">
        <v>2272</v>
      </c>
      <c r="Y3952" s="71" t="s">
        <v>2272</v>
      </c>
      <c r="Z3952" s="71" t="s">
        <v>2272</v>
      </c>
      <c r="AA3952" s="71" t="s">
        <v>2272</v>
      </c>
      <c r="AB3952" s="198"/>
      <c r="AC3952" s="198"/>
    </row>
    <row r="3953" spans="1:29" ht="49.5" customHeight="1">
      <c r="A3953" s="151" t="str">
        <f>'Reported burning'!A3953</f>
        <v>428a</v>
      </c>
      <c r="B3953" s="151" t="str">
        <f>'Reported burning'!B3953</f>
        <v>428a.4</v>
      </c>
      <c r="C3953" s="151" t="str">
        <f>'Reported burning'!C3953</f>
        <v>Human, escaped</v>
      </c>
      <c r="D3953" s="151" t="str">
        <f>'Reported burning'!D3953</f>
        <v>ND</v>
      </c>
      <c r="E3953" s="151" t="str">
        <f>'Reported burning'!E3953</f>
        <v>Cropping, Intensive</v>
      </c>
      <c r="F3953" s="151" t="str">
        <f>'Reported burning'!F3953</f>
        <v>Cropland</v>
      </c>
      <c r="G3953" s="151" t="str">
        <f>'Reported burning'!G3953</f>
        <v>Forest</v>
      </c>
      <c r="H3953" s="151" t="str">
        <f>'Reported burning'!H3953</f>
        <v>Presence</v>
      </c>
      <c r="I3953" s="5"/>
      <c r="J3953" s="71" t="s">
        <v>2272</v>
      </c>
      <c r="K3953" s="71" t="s">
        <v>2272</v>
      </c>
      <c r="L3953" s="71" t="s">
        <v>2272</v>
      </c>
      <c r="M3953" s="71" t="s">
        <v>2272</v>
      </c>
      <c r="N3953" s="71" t="s">
        <v>2272</v>
      </c>
      <c r="O3953" s="71" t="s">
        <v>2272</v>
      </c>
      <c r="P3953" s="71" t="s">
        <v>2272</v>
      </c>
      <c r="Q3953" s="71" t="s">
        <v>2272</v>
      </c>
      <c r="R3953" s="71" t="s">
        <v>2272</v>
      </c>
      <c r="S3953" s="71" t="s">
        <v>2272</v>
      </c>
      <c r="T3953" s="71" t="s">
        <v>2272</v>
      </c>
      <c r="U3953" s="71" t="s">
        <v>2272</v>
      </c>
      <c r="V3953" s="71" t="s">
        <v>2272</v>
      </c>
      <c r="W3953" s="71" t="s">
        <v>2272</v>
      </c>
      <c r="X3953" s="71" t="s">
        <v>2272</v>
      </c>
      <c r="Y3953" s="71" t="s">
        <v>2272</v>
      </c>
      <c r="Z3953" s="71" t="s">
        <v>2272</v>
      </c>
      <c r="AA3953" s="71" t="s">
        <v>2272</v>
      </c>
      <c r="AB3953" s="198"/>
      <c r="AC3953" s="198"/>
    </row>
    <row r="3954" spans="1:29" ht="49.5" customHeight="1">
      <c r="A3954" s="151" t="str">
        <f>'Reported burning'!A3954</f>
        <v>428a</v>
      </c>
      <c r="B3954" s="151" t="str">
        <f>'Reported burning'!B3954</f>
        <v>428a.5</v>
      </c>
      <c r="C3954" s="151" t="str">
        <f>'Reported burning'!C3954</f>
        <v>Human, deliberate</v>
      </c>
      <c r="D3954" s="151" t="str">
        <f>'Reported burning'!D3954</f>
        <v>Forest clearance</v>
      </c>
      <c r="E3954" s="151" t="str">
        <f>'Reported burning'!E3954</f>
        <v>Cropping, Monoculture, Market-oriented</v>
      </c>
      <c r="F3954" s="151" t="str">
        <f>'Reported burning'!F3954</f>
        <v>Forest</v>
      </c>
      <c r="G3954" s="151" t="str">
        <f>'Reported burning'!G3954</f>
        <v>Forest</v>
      </c>
      <c r="H3954" s="151" t="str">
        <f>'Reported burning'!H3954</f>
        <v>Presence</v>
      </c>
      <c r="I3954" s="5"/>
      <c r="J3954" s="71" t="s">
        <v>2272</v>
      </c>
      <c r="K3954" s="71" t="s">
        <v>2272</v>
      </c>
      <c r="L3954" s="71" t="s">
        <v>2272</v>
      </c>
      <c r="M3954" s="71" t="s">
        <v>2272</v>
      </c>
      <c r="N3954" s="71" t="s">
        <v>2272</v>
      </c>
      <c r="O3954" s="71" t="s">
        <v>2272</v>
      </c>
      <c r="P3954" s="71" t="s">
        <v>2272</v>
      </c>
      <c r="Q3954" s="71" t="s">
        <v>2272</v>
      </c>
      <c r="R3954" s="71" t="s">
        <v>2272</v>
      </c>
      <c r="S3954" s="71" t="s">
        <v>2272</v>
      </c>
      <c r="T3954" s="71" t="s">
        <v>2272</v>
      </c>
      <c r="U3954" s="71" t="s">
        <v>2272</v>
      </c>
      <c r="V3954" s="71" t="s">
        <v>2272</v>
      </c>
      <c r="W3954" s="71" t="s">
        <v>2272</v>
      </c>
      <c r="X3954" s="71" t="s">
        <v>2272</v>
      </c>
      <c r="Y3954" s="71" t="s">
        <v>2272</v>
      </c>
      <c r="Z3954" s="71" t="s">
        <v>2272</v>
      </c>
      <c r="AA3954" s="71" t="s">
        <v>2272</v>
      </c>
      <c r="AB3954" s="198"/>
      <c r="AC3954" s="198"/>
    </row>
    <row r="3955" spans="1:29" ht="49.5" customHeight="1">
      <c r="A3955" s="151" t="str">
        <f>'Reported burning'!A3955</f>
        <v>428a</v>
      </c>
      <c r="B3955" s="151" t="str">
        <f>'Reported burning'!B3955</f>
        <v>428a.6</v>
      </c>
      <c r="C3955" s="151" t="str">
        <f>'Reported burning'!C3955</f>
        <v>Human, deliberate</v>
      </c>
      <c r="D3955" s="151" t="str">
        <f>'Reported burning'!D3955</f>
        <v>Crop field preparation</v>
      </c>
      <c r="E3955" s="151" t="str">
        <f>'Reported burning'!E3955</f>
        <v>Cropping, Swidden</v>
      </c>
      <c r="F3955" s="151" t="str">
        <f>'Reported burning'!F3955</f>
        <v>Forest</v>
      </c>
      <c r="G3955" s="151" t="str">
        <f>'Reported burning'!G3955</f>
        <v>Forest</v>
      </c>
      <c r="H3955" s="151" t="str">
        <f>'Reported burning'!H3955</f>
        <v>Presence</v>
      </c>
      <c r="I3955" s="5"/>
      <c r="J3955" s="71" t="s">
        <v>2272</v>
      </c>
      <c r="K3955" s="71" t="s">
        <v>2272</v>
      </c>
      <c r="L3955" s="71" t="s">
        <v>2272</v>
      </c>
      <c r="M3955" s="71" t="s">
        <v>2272</v>
      </c>
      <c r="N3955" s="71" t="s">
        <v>2272</v>
      </c>
      <c r="O3955" s="71" t="s">
        <v>2272</v>
      </c>
      <c r="P3955" s="71" t="s">
        <v>2272</v>
      </c>
      <c r="Q3955" s="71" t="s">
        <v>2272</v>
      </c>
      <c r="R3955" s="71" t="s">
        <v>2272</v>
      </c>
      <c r="S3955" s="71" t="s">
        <v>2272</v>
      </c>
      <c r="T3955" s="71" t="s">
        <v>2272</v>
      </c>
      <c r="U3955" s="71" t="s">
        <v>2272</v>
      </c>
      <c r="V3955" s="71" t="s">
        <v>2272</v>
      </c>
      <c r="W3955" s="71" t="s">
        <v>2272</v>
      </c>
      <c r="X3955" s="71" t="s">
        <v>2272</v>
      </c>
      <c r="Y3955" s="71" t="s">
        <v>2272</v>
      </c>
      <c r="Z3955" s="71" t="s">
        <v>2272</v>
      </c>
      <c r="AA3955" s="71" t="s">
        <v>2272</v>
      </c>
      <c r="AB3955" s="198"/>
      <c r="AC3955" s="198"/>
    </row>
    <row r="3956" spans="1:29" ht="49.5" customHeight="1">
      <c r="A3956" s="151" t="str">
        <f>'Reported burning'!A3956</f>
        <v>429a</v>
      </c>
      <c r="B3956" s="151" t="str">
        <f>'Reported burning'!B3956</f>
        <v>429a.1</v>
      </c>
      <c r="C3956" s="151" t="str">
        <f>'Reported burning'!C3956</f>
        <v>Human, deliberate</v>
      </c>
      <c r="D3956" s="151" t="str">
        <f>'Reported burning'!D3956</f>
        <v>Pyrome management</v>
      </c>
      <c r="E3956" s="151" t="str">
        <f>'Reported burning'!E3956</f>
        <v>Biodiversity conservation</v>
      </c>
      <c r="F3956" s="151" t="str">
        <f>'Reported burning'!F3956</f>
        <v>Shrubland (Mixed forest &amp; grassland)</v>
      </c>
      <c r="G3956" s="151" t="str">
        <f>'Reported burning'!G3956</f>
        <v>Shrubland (Mixed forest &amp; grassland)</v>
      </c>
      <c r="H3956" s="151" t="str">
        <f>'Reported burning'!H3956</f>
        <v>Presence</v>
      </c>
      <c r="I3956" s="5"/>
      <c r="J3956" s="71" t="s">
        <v>2272</v>
      </c>
      <c r="K3956" s="71" t="s">
        <v>2272</v>
      </c>
      <c r="L3956" s="71" t="s">
        <v>2272</v>
      </c>
      <c r="M3956" s="71" t="s">
        <v>2272</v>
      </c>
      <c r="N3956" s="71" t="s">
        <v>2272</v>
      </c>
      <c r="O3956" s="71" t="s">
        <v>2272</v>
      </c>
      <c r="P3956" s="71" t="s">
        <v>2272</v>
      </c>
      <c r="Q3956" s="71" t="s">
        <v>2272</v>
      </c>
      <c r="R3956" s="71" t="s">
        <v>2272</v>
      </c>
      <c r="S3956" s="71" t="s">
        <v>2272</v>
      </c>
      <c r="T3956" s="71" t="s">
        <v>2272</v>
      </c>
      <c r="U3956" s="71" t="s">
        <v>2272</v>
      </c>
      <c r="V3956" s="71" t="s">
        <v>2272</v>
      </c>
      <c r="W3956" s="71" t="s">
        <v>2272</v>
      </c>
      <c r="X3956" s="71" t="s">
        <v>2272</v>
      </c>
      <c r="Y3956" s="71" t="s">
        <v>2272</v>
      </c>
      <c r="Z3956" s="71" t="s">
        <v>2272</v>
      </c>
      <c r="AA3956" s="71" t="s">
        <v>2272</v>
      </c>
      <c r="AB3956" s="198"/>
      <c r="AC3956" s="198"/>
    </row>
    <row r="3957" spans="1:29" ht="52.5" customHeight="1">
      <c r="A3957" s="151" t="str">
        <f>'Reported burning'!A3957</f>
        <v>430a</v>
      </c>
      <c r="B3957" s="151" t="str">
        <f>'Reported burning'!B3957</f>
        <v>430a.1</v>
      </c>
      <c r="C3957" s="151" t="str">
        <f>'Reported burning'!C3957</f>
        <v>Human, deliberate</v>
      </c>
      <c r="D3957" s="151" t="str">
        <f>'Reported burning'!D3957</f>
        <v>Pyrome management</v>
      </c>
      <c r="E3957" s="151" t="str">
        <f>'Reported burning'!E3957</f>
        <v>Forestry, Industrial</v>
      </c>
      <c r="F3957" s="151" t="str">
        <f>'Reported burning'!F3957</f>
        <v>Plantation forest</v>
      </c>
      <c r="G3957" s="151" t="str">
        <f>'Reported burning'!G3957</f>
        <v>Plantation forest</v>
      </c>
      <c r="H3957" s="151" t="str">
        <f>'Reported burning'!H3957</f>
        <v>Presence</v>
      </c>
      <c r="I3957" s="5"/>
      <c r="J3957" s="71" t="s">
        <v>2272</v>
      </c>
      <c r="K3957" s="71" t="s">
        <v>2272</v>
      </c>
      <c r="L3957" s="71" t="s">
        <v>2272</v>
      </c>
      <c r="M3957" s="71" t="s">
        <v>2272</v>
      </c>
      <c r="N3957" s="71" t="s">
        <v>2272</v>
      </c>
      <c r="O3957" s="71" t="s">
        <v>2272</v>
      </c>
      <c r="P3957" s="71" t="s">
        <v>2272</v>
      </c>
      <c r="Q3957" s="71" t="s">
        <v>2272</v>
      </c>
      <c r="R3957" s="71" t="s">
        <v>2272</v>
      </c>
      <c r="S3957" s="71" t="s">
        <v>2272</v>
      </c>
      <c r="T3957" s="71" t="s">
        <v>2272</v>
      </c>
      <c r="U3957" s="71" t="s">
        <v>2272</v>
      </c>
      <c r="V3957" s="71" t="s">
        <v>2272</v>
      </c>
      <c r="W3957" s="71" t="s">
        <v>2272</v>
      </c>
      <c r="X3957" s="71" t="s">
        <v>2272</v>
      </c>
      <c r="Y3957" s="71" t="s">
        <v>2272</v>
      </c>
      <c r="Z3957" s="71" t="s">
        <v>2272</v>
      </c>
      <c r="AA3957" s="71" t="s">
        <v>2272</v>
      </c>
      <c r="AB3957" s="77" t="s">
        <v>10146</v>
      </c>
      <c r="AC3957" s="198"/>
    </row>
    <row r="3958" spans="1:29" ht="52.5" customHeight="1">
      <c r="A3958" s="151" t="str">
        <f>'Reported burning'!A3958</f>
        <v>431a</v>
      </c>
      <c r="B3958" s="151" t="str">
        <f>'Reported burning'!B3958</f>
        <v>431a.1</v>
      </c>
      <c r="C3958" s="151" t="str">
        <f>'Reported burning'!C3958</f>
        <v>All</v>
      </c>
      <c r="D3958" s="151" t="str">
        <f>'Reported burning'!D3958</f>
        <v>All</v>
      </c>
      <c r="E3958" s="151" t="str">
        <f>'Reported burning'!E3958</f>
        <v>All</v>
      </c>
      <c r="F3958" s="151" t="str">
        <f>'Reported burning'!F3958</f>
        <v>ND</v>
      </c>
      <c r="G3958" s="151" t="str">
        <f>'Reported burning'!G3958</f>
        <v>ND</v>
      </c>
      <c r="H3958" s="151" t="str">
        <f>'Reported burning'!H3958</f>
        <v>Presence</v>
      </c>
      <c r="I3958" s="5"/>
      <c r="J3958" s="71" t="s">
        <v>2272</v>
      </c>
      <c r="K3958" s="71" t="s">
        <v>2272</v>
      </c>
      <c r="L3958" s="71" t="s">
        <v>2272</v>
      </c>
      <c r="M3958" s="71" t="s">
        <v>2272</v>
      </c>
      <c r="N3958" s="71" t="s">
        <v>2272</v>
      </c>
      <c r="O3958" s="71" t="s">
        <v>2272</v>
      </c>
      <c r="P3958" s="71" t="s">
        <v>2272</v>
      </c>
      <c r="Q3958" s="71" t="s">
        <v>2272</v>
      </c>
      <c r="R3958" s="71" t="s">
        <v>2272</v>
      </c>
      <c r="S3958" s="71" t="s">
        <v>2272</v>
      </c>
      <c r="T3958" s="71" t="s">
        <v>2272</v>
      </c>
      <c r="U3958" s="71" t="s">
        <v>2272</v>
      </c>
      <c r="V3958" s="71" t="s">
        <v>2272</v>
      </c>
      <c r="W3958" s="71" t="s">
        <v>2272</v>
      </c>
      <c r="X3958" s="71" t="s">
        <v>2272</v>
      </c>
      <c r="Y3958" s="71" t="s">
        <v>2272</v>
      </c>
      <c r="Z3958" s="71" t="s">
        <v>2272</v>
      </c>
      <c r="AA3958" s="71" t="s">
        <v>2272</v>
      </c>
      <c r="AB3958" s="198"/>
      <c r="AC3958" s="198"/>
    </row>
    <row r="3959" spans="1:29" ht="46.5" customHeight="1">
      <c r="A3959" s="151" t="str">
        <f>'Reported burning'!A3959</f>
        <v>432a</v>
      </c>
      <c r="B3959" s="151" t="str">
        <f>'Reported burning'!B3959</f>
        <v>432a.1</v>
      </c>
      <c r="C3959" s="151" t="str">
        <f>'Reported burning'!C3959</f>
        <v>Human, escaped</v>
      </c>
      <c r="D3959" s="151" t="str">
        <f>'Reported burning'!D3959</f>
        <v>All</v>
      </c>
      <c r="E3959" s="151" t="str">
        <f>'Reported burning'!E3959</f>
        <v>All</v>
      </c>
      <c r="F3959" s="151" t="str">
        <f>'Reported burning'!F3959</f>
        <v>ND</v>
      </c>
      <c r="G3959" s="151" t="str">
        <f>'Reported burning'!G3959</f>
        <v>Forest</v>
      </c>
      <c r="H3959" s="151" t="str">
        <f>'Reported burning'!H3959</f>
        <v>Presence</v>
      </c>
      <c r="I3959" s="5"/>
      <c r="J3959" s="71" t="s">
        <v>2272</v>
      </c>
      <c r="K3959" s="71" t="s">
        <v>2272</v>
      </c>
      <c r="L3959" s="71" t="s">
        <v>2272</v>
      </c>
      <c r="M3959" s="71" t="s">
        <v>2272</v>
      </c>
      <c r="N3959" s="71" t="s">
        <v>2272</v>
      </c>
      <c r="O3959" s="71" t="s">
        <v>2272</v>
      </c>
      <c r="P3959" s="71" t="s">
        <v>2272</v>
      </c>
      <c r="Q3959" s="71" t="s">
        <v>2272</v>
      </c>
      <c r="R3959" s="71" t="s">
        <v>2272</v>
      </c>
      <c r="S3959" s="71" t="s">
        <v>2272</v>
      </c>
      <c r="T3959" s="71" t="s">
        <v>2272</v>
      </c>
      <c r="U3959" s="71" t="s">
        <v>2272</v>
      </c>
      <c r="V3959" s="71" t="s">
        <v>2272</v>
      </c>
      <c r="W3959" s="71" t="s">
        <v>2272</v>
      </c>
      <c r="X3959" s="71" t="s">
        <v>2272</v>
      </c>
      <c r="Y3959" s="71" t="s">
        <v>2272</v>
      </c>
      <c r="Z3959" s="71" t="s">
        <v>2272</v>
      </c>
      <c r="AA3959" s="71" t="s">
        <v>2272</v>
      </c>
      <c r="AB3959" s="198"/>
      <c r="AC3959" s="198"/>
    </row>
    <row r="3960" spans="1:29" ht="46.5" customHeight="1">
      <c r="A3960" s="151" t="str">
        <f>'Reported burning'!A3960</f>
        <v>432a</v>
      </c>
      <c r="B3960" s="151" t="str">
        <f>'Reported burning'!B3960</f>
        <v>432a.2</v>
      </c>
      <c r="C3960" s="151" t="str">
        <f>'Reported burning'!C3960</f>
        <v>Human, escaped</v>
      </c>
      <c r="D3960" s="151" t="str">
        <f>'Reported burning'!D3960</f>
        <v>All</v>
      </c>
      <c r="E3960" s="151" t="str">
        <f>'Reported burning'!E3960</f>
        <v>All</v>
      </c>
      <c r="F3960" s="151" t="str">
        <f>'Reported burning'!F3960</f>
        <v>ND</v>
      </c>
      <c r="G3960" s="151" t="str">
        <f>'Reported burning'!G3960</f>
        <v>Forest</v>
      </c>
      <c r="H3960" s="151" t="str">
        <f>'Reported burning'!H3960</f>
        <v>Presence</v>
      </c>
      <c r="I3960" s="5"/>
      <c r="J3960" s="71" t="s">
        <v>2272</v>
      </c>
      <c r="K3960" s="71" t="s">
        <v>2272</v>
      </c>
      <c r="L3960" s="71" t="s">
        <v>2272</v>
      </c>
      <c r="M3960" s="71" t="s">
        <v>2272</v>
      </c>
      <c r="N3960" s="71" t="s">
        <v>2272</v>
      </c>
      <c r="O3960" s="71" t="s">
        <v>2272</v>
      </c>
      <c r="P3960" s="71" t="s">
        <v>2272</v>
      </c>
      <c r="Q3960" s="71" t="s">
        <v>2272</v>
      </c>
      <c r="R3960" s="71" t="s">
        <v>2272</v>
      </c>
      <c r="S3960" s="71" t="s">
        <v>2272</v>
      </c>
      <c r="T3960" s="71" t="s">
        <v>2272</v>
      </c>
      <c r="U3960" s="71" t="s">
        <v>2272</v>
      </c>
      <c r="V3960" s="71" t="s">
        <v>2272</v>
      </c>
      <c r="W3960" s="71" t="s">
        <v>2272</v>
      </c>
      <c r="X3960" s="71" t="s">
        <v>2272</v>
      </c>
      <c r="Y3960" s="71" t="s">
        <v>2272</v>
      </c>
      <c r="Z3960" s="71" t="s">
        <v>2272</v>
      </c>
      <c r="AA3960" s="71" t="s">
        <v>2272</v>
      </c>
      <c r="AB3960" s="198"/>
      <c r="AC3960" s="198"/>
    </row>
    <row r="3961" spans="1:29" ht="51.5" customHeight="1">
      <c r="A3961" s="151" t="str">
        <f>'Reported burning'!A3961</f>
        <v>432b</v>
      </c>
      <c r="B3961" s="151" t="str">
        <f>'Reported burning'!B3961</f>
        <v>432b.1</v>
      </c>
      <c r="C3961" s="151" t="str">
        <f>'Reported burning'!C3961</f>
        <v>Human, escaped</v>
      </c>
      <c r="D3961" s="151" t="str">
        <f>'Reported burning'!D3961</f>
        <v>All</v>
      </c>
      <c r="E3961" s="151" t="str">
        <f>'Reported burning'!E3961</f>
        <v>All</v>
      </c>
      <c r="F3961" s="151" t="str">
        <f>'Reported burning'!F3961</f>
        <v>ND</v>
      </c>
      <c r="G3961" s="151" t="str">
        <f>'Reported burning'!G3961</f>
        <v>Forest</v>
      </c>
      <c r="H3961" s="151" t="str">
        <f>'Reported burning'!H3961</f>
        <v>Presence</v>
      </c>
      <c r="I3961" s="5"/>
      <c r="J3961" s="71" t="s">
        <v>2272</v>
      </c>
      <c r="K3961" s="71" t="s">
        <v>2272</v>
      </c>
      <c r="L3961" s="71" t="s">
        <v>2272</v>
      </c>
      <c r="M3961" s="71" t="s">
        <v>2272</v>
      </c>
      <c r="N3961" s="71" t="s">
        <v>2272</v>
      </c>
      <c r="O3961" s="71" t="s">
        <v>2272</v>
      </c>
      <c r="P3961" s="71" t="s">
        <v>2272</v>
      </c>
      <c r="Q3961" s="71" t="s">
        <v>2272</v>
      </c>
      <c r="R3961" s="71" t="s">
        <v>2272</v>
      </c>
      <c r="S3961" s="71" t="s">
        <v>2272</v>
      </c>
      <c r="T3961" s="71" t="s">
        <v>2272</v>
      </c>
      <c r="U3961" s="71" t="s">
        <v>2272</v>
      </c>
      <c r="V3961" s="71" t="s">
        <v>2272</v>
      </c>
      <c r="W3961" s="71" t="s">
        <v>2272</v>
      </c>
      <c r="X3961" s="71" t="s">
        <v>2272</v>
      </c>
      <c r="Y3961" s="198" t="s">
        <v>2272</v>
      </c>
      <c r="Z3961" s="198" t="s">
        <v>2272</v>
      </c>
      <c r="AA3961" s="198" t="s">
        <v>2272</v>
      </c>
      <c r="AB3961" s="198"/>
      <c r="AC3961" s="198"/>
    </row>
    <row r="3962" spans="1:29" ht="51.5" customHeight="1">
      <c r="A3962" s="151" t="str">
        <f>'Reported burning'!A3962</f>
        <v>432c</v>
      </c>
      <c r="B3962" s="151" t="str">
        <f>'Reported burning'!B3962</f>
        <v>432c.1</v>
      </c>
      <c r="C3962" s="151" t="str">
        <f>'Reported burning'!C3962</f>
        <v>Human, escaped</v>
      </c>
      <c r="D3962" s="151" t="str">
        <f>'Reported burning'!D3962</f>
        <v>All</v>
      </c>
      <c r="E3962" s="151" t="str">
        <f>'Reported burning'!E3962</f>
        <v>All</v>
      </c>
      <c r="F3962" s="151" t="str">
        <f>'Reported burning'!F3962</f>
        <v>ND</v>
      </c>
      <c r="G3962" s="151" t="str">
        <f>'Reported burning'!G3962</f>
        <v>Forest</v>
      </c>
      <c r="H3962" s="151" t="str">
        <f>'Reported burning'!H3962</f>
        <v>Presence</v>
      </c>
      <c r="I3962" s="5"/>
      <c r="J3962" s="71" t="s">
        <v>2272</v>
      </c>
      <c r="K3962" s="71" t="s">
        <v>2272</v>
      </c>
      <c r="L3962" s="71" t="s">
        <v>2272</v>
      </c>
      <c r="M3962" s="71" t="s">
        <v>2272</v>
      </c>
      <c r="N3962" s="71" t="s">
        <v>2272</v>
      </c>
      <c r="O3962" s="71" t="s">
        <v>2272</v>
      </c>
      <c r="P3962" s="71" t="s">
        <v>2272</v>
      </c>
      <c r="Q3962" s="71" t="s">
        <v>2272</v>
      </c>
      <c r="R3962" s="71" t="s">
        <v>2272</v>
      </c>
      <c r="S3962" s="71" t="s">
        <v>2272</v>
      </c>
      <c r="T3962" s="71" t="s">
        <v>2272</v>
      </c>
      <c r="U3962" s="71" t="s">
        <v>2272</v>
      </c>
      <c r="V3962" s="71" t="s">
        <v>2272</v>
      </c>
      <c r="W3962" s="71" t="s">
        <v>2272</v>
      </c>
      <c r="X3962" s="71" t="s">
        <v>2272</v>
      </c>
      <c r="Y3962" s="198" t="s">
        <v>2272</v>
      </c>
      <c r="Z3962" s="198" t="s">
        <v>2272</v>
      </c>
      <c r="AA3962" s="198" t="s">
        <v>2272</v>
      </c>
      <c r="AB3962" s="198"/>
      <c r="AC3962" s="198"/>
    </row>
    <row r="3963" spans="1:29" ht="51.5" customHeight="1">
      <c r="A3963" s="151" t="str">
        <f>'Reported burning'!A3963</f>
        <v>432d</v>
      </c>
      <c r="B3963" s="151" t="str">
        <f>'Reported burning'!B3963</f>
        <v>432d.1</v>
      </c>
      <c r="C3963" s="151" t="str">
        <f>'Reported burning'!C3963</f>
        <v>Human, escaped</v>
      </c>
      <c r="D3963" s="151" t="str">
        <f>'Reported burning'!D3963</f>
        <v>All</v>
      </c>
      <c r="E3963" s="151" t="str">
        <f>'Reported burning'!E3963</f>
        <v>All</v>
      </c>
      <c r="F3963" s="151" t="str">
        <f>'Reported burning'!F3963</f>
        <v>ND</v>
      </c>
      <c r="G3963" s="151" t="str">
        <f>'Reported burning'!G3963</f>
        <v>Forest</v>
      </c>
      <c r="H3963" s="151" t="str">
        <f>'Reported burning'!H3963</f>
        <v>Presence</v>
      </c>
      <c r="I3963" s="5"/>
      <c r="J3963" s="71" t="s">
        <v>2272</v>
      </c>
      <c r="K3963" s="71" t="s">
        <v>2272</v>
      </c>
      <c r="L3963" s="71" t="s">
        <v>2272</v>
      </c>
      <c r="M3963" s="71" t="s">
        <v>2272</v>
      </c>
      <c r="N3963" s="71" t="s">
        <v>2272</v>
      </c>
      <c r="O3963" s="71" t="s">
        <v>2272</v>
      </c>
      <c r="P3963" s="71" t="s">
        <v>2272</v>
      </c>
      <c r="Q3963" s="71" t="s">
        <v>2272</v>
      </c>
      <c r="R3963" s="71" t="s">
        <v>2272</v>
      </c>
      <c r="S3963" s="71" t="s">
        <v>2272</v>
      </c>
      <c r="T3963" s="71" t="s">
        <v>2272</v>
      </c>
      <c r="U3963" s="71" t="s">
        <v>2272</v>
      </c>
      <c r="V3963" s="71" t="s">
        <v>2272</v>
      </c>
      <c r="W3963" s="71" t="s">
        <v>2272</v>
      </c>
      <c r="X3963" s="71" t="s">
        <v>2272</v>
      </c>
      <c r="Y3963" s="198" t="s">
        <v>187</v>
      </c>
      <c r="Z3963" s="198" t="s">
        <v>33</v>
      </c>
      <c r="AA3963" s="198" t="s">
        <v>2272</v>
      </c>
      <c r="AB3963" s="198"/>
      <c r="AC3963" s="198"/>
    </row>
    <row r="3964" spans="1:29" ht="51.5" customHeight="1">
      <c r="A3964" s="147" t="str">
        <f>'Reported burning'!A3964</f>
        <v>432d</v>
      </c>
      <c r="B3964" s="147" t="str">
        <f>'Reported burning'!B3964</f>
        <v>432d.2</v>
      </c>
      <c r="C3964" s="147" t="str">
        <f>'Reported burning'!C3964</f>
        <v>Human, escaped</v>
      </c>
      <c r="D3964" s="147" t="str">
        <f>'Reported burning'!D3964</f>
        <v>All</v>
      </c>
      <c r="E3964" s="147" t="str">
        <f>'Reported burning'!E3964</f>
        <v>All</v>
      </c>
      <c r="F3964" s="147" t="str">
        <f>'Reported burning'!F3964</f>
        <v>ND</v>
      </c>
      <c r="G3964" s="147" t="str">
        <f>'Reported burning'!G3964</f>
        <v>Forest</v>
      </c>
      <c r="H3964" s="147" t="str">
        <f>'Reported burning'!H3964</f>
        <v>Presence</v>
      </c>
      <c r="I3964" s="198"/>
      <c r="J3964" s="71" t="s">
        <v>2272</v>
      </c>
      <c r="K3964" s="71" t="s">
        <v>2272</v>
      </c>
      <c r="L3964" s="71" t="s">
        <v>2272</v>
      </c>
      <c r="M3964" s="71" t="s">
        <v>2272</v>
      </c>
      <c r="N3964" s="71" t="s">
        <v>2272</v>
      </c>
      <c r="O3964" s="71" t="s">
        <v>2272</v>
      </c>
      <c r="P3964" s="71" t="s">
        <v>2272</v>
      </c>
      <c r="Q3964" s="71" t="s">
        <v>2272</v>
      </c>
      <c r="R3964" s="71" t="s">
        <v>2272</v>
      </c>
      <c r="S3964" s="71" t="s">
        <v>2272</v>
      </c>
      <c r="T3964" s="71" t="s">
        <v>2272</v>
      </c>
      <c r="U3964" s="71" t="s">
        <v>2272</v>
      </c>
      <c r="V3964" s="71" t="s">
        <v>2272</v>
      </c>
      <c r="W3964" s="71" t="s">
        <v>2272</v>
      </c>
      <c r="X3964" s="71" t="s">
        <v>2272</v>
      </c>
      <c r="Y3964" s="198" t="s">
        <v>423</v>
      </c>
      <c r="Z3964" s="198" t="s">
        <v>34</v>
      </c>
      <c r="AA3964" s="198" t="s">
        <v>2272</v>
      </c>
      <c r="AB3964" s="198"/>
      <c r="AC3964" s="198"/>
    </row>
    <row r="3965" spans="1:29" s="197" customFormat="1" ht="51.5" customHeight="1">
      <c r="A3965" s="147" t="str">
        <f>'Reported burning'!A3965</f>
        <v>432e</v>
      </c>
      <c r="B3965" s="147" t="str">
        <f>'Reported burning'!B3965</f>
        <v>432e.1</v>
      </c>
      <c r="C3965" s="147" t="str">
        <f>'Reported burning'!C3965</f>
        <v>Human, escaped</v>
      </c>
      <c r="D3965" s="147" t="str">
        <f>'Reported burning'!D3965</f>
        <v>All</v>
      </c>
      <c r="E3965" s="147" t="str">
        <f>'Reported burning'!E3965</f>
        <v>All</v>
      </c>
      <c r="F3965" s="147" t="str">
        <f>'Reported burning'!F3965</f>
        <v>ND</v>
      </c>
      <c r="G3965" s="147" t="str">
        <f>'Reported burning'!G3965</f>
        <v>Forest</v>
      </c>
      <c r="H3965" s="147" t="str">
        <f>'Reported burning'!H3965</f>
        <v>Presence</v>
      </c>
      <c r="I3965" s="198"/>
      <c r="J3965" s="71" t="s">
        <v>2272</v>
      </c>
      <c r="K3965" s="71" t="s">
        <v>2272</v>
      </c>
      <c r="L3965" s="71" t="s">
        <v>2272</v>
      </c>
      <c r="M3965" s="71" t="s">
        <v>2272</v>
      </c>
      <c r="N3965" s="71" t="s">
        <v>2272</v>
      </c>
      <c r="O3965" s="71" t="s">
        <v>2272</v>
      </c>
      <c r="P3965" s="71" t="s">
        <v>2272</v>
      </c>
      <c r="Q3965" s="71" t="s">
        <v>2272</v>
      </c>
      <c r="R3965" s="71" t="s">
        <v>2272</v>
      </c>
      <c r="S3965" s="71" t="s">
        <v>2272</v>
      </c>
      <c r="T3965" s="71" t="s">
        <v>2272</v>
      </c>
      <c r="U3965" s="71" t="s">
        <v>2272</v>
      </c>
      <c r="V3965" s="71" t="s">
        <v>2272</v>
      </c>
      <c r="W3965" s="71" t="s">
        <v>2272</v>
      </c>
      <c r="X3965" s="71" t="s">
        <v>2272</v>
      </c>
      <c r="Y3965" s="198" t="s">
        <v>34</v>
      </c>
      <c r="Z3965" s="198" t="s">
        <v>84</v>
      </c>
      <c r="AA3965" s="198" t="s">
        <v>2272</v>
      </c>
      <c r="AB3965" s="198"/>
      <c r="AC3965" s="198"/>
    </row>
    <row r="3966" spans="1:29" ht="51.5" customHeight="1">
      <c r="A3966" s="147" t="str">
        <f>'Reported burning'!A3966</f>
        <v>432f</v>
      </c>
      <c r="B3966" s="147" t="str">
        <f>'Reported burning'!B3966</f>
        <v>432f.1</v>
      </c>
      <c r="C3966" s="147" t="str">
        <f>'Reported burning'!C3966</f>
        <v>Human, escaped</v>
      </c>
      <c r="D3966" s="147" t="str">
        <f>'Reported burning'!D3966</f>
        <v>All</v>
      </c>
      <c r="E3966" s="147" t="str">
        <f>'Reported burning'!E3966</f>
        <v>All</v>
      </c>
      <c r="F3966" s="147" t="str">
        <f>'Reported burning'!F3966</f>
        <v>ND</v>
      </c>
      <c r="G3966" s="147" t="str">
        <f>'Reported burning'!G3966</f>
        <v>Forest</v>
      </c>
      <c r="H3966" s="147" t="str">
        <f>'Reported burning'!H3966</f>
        <v>Presence</v>
      </c>
      <c r="I3966" s="198"/>
      <c r="J3966" s="71" t="s">
        <v>2272</v>
      </c>
      <c r="K3966" s="71" t="s">
        <v>2272</v>
      </c>
      <c r="L3966" s="71" t="s">
        <v>2272</v>
      </c>
      <c r="M3966" s="71" t="s">
        <v>2272</v>
      </c>
      <c r="N3966" s="71" t="s">
        <v>2272</v>
      </c>
      <c r="O3966" s="71" t="s">
        <v>2272</v>
      </c>
      <c r="P3966" s="71" t="s">
        <v>2272</v>
      </c>
      <c r="Q3966" s="71" t="s">
        <v>2272</v>
      </c>
      <c r="R3966" s="71" t="s">
        <v>2272</v>
      </c>
      <c r="S3966" s="71" t="s">
        <v>2272</v>
      </c>
      <c r="T3966" s="71" t="s">
        <v>2272</v>
      </c>
      <c r="U3966" s="71" t="s">
        <v>2272</v>
      </c>
      <c r="V3966" s="71" t="s">
        <v>2272</v>
      </c>
      <c r="W3966" s="71" t="s">
        <v>2272</v>
      </c>
      <c r="X3966" s="71" t="s">
        <v>2272</v>
      </c>
      <c r="Y3966" s="198" t="s">
        <v>37</v>
      </c>
      <c r="Z3966" s="198" t="s">
        <v>67</v>
      </c>
      <c r="AA3966" s="198" t="s">
        <v>2272</v>
      </c>
      <c r="AB3966" s="198"/>
      <c r="AC3966" s="198"/>
    </row>
    <row r="3967" spans="1:29" ht="51.5" customHeight="1">
      <c r="A3967" s="147" t="str">
        <f>'Reported burning'!A3967</f>
        <v>432g</v>
      </c>
      <c r="B3967" s="147" t="str">
        <f>'Reported burning'!B3967</f>
        <v>432g.1</v>
      </c>
      <c r="C3967" s="147" t="str">
        <f>'Reported burning'!C3967</f>
        <v>Human, escaped</v>
      </c>
      <c r="D3967" s="147" t="str">
        <f>'Reported burning'!D3967</f>
        <v>All</v>
      </c>
      <c r="E3967" s="147" t="str">
        <f>'Reported burning'!E3967</f>
        <v>All</v>
      </c>
      <c r="F3967" s="147" t="str">
        <f>'Reported burning'!F3967</f>
        <v>ND</v>
      </c>
      <c r="G3967" s="147" t="str">
        <f>'Reported burning'!G3967</f>
        <v>Forest</v>
      </c>
      <c r="H3967" s="147" t="str">
        <f>'Reported burning'!H3967</f>
        <v>Presence</v>
      </c>
      <c r="I3967" s="198"/>
      <c r="J3967" s="71" t="s">
        <v>2272</v>
      </c>
      <c r="K3967" s="71" t="s">
        <v>2272</v>
      </c>
      <c r="L3967" s="71" t="s">
        <v>2272</v>
      </c>
      <c r="M3967" s="71" t="s">
        <v>2272</v>
      </c>
      <c r="N3967" s="71" t="s">
        <v>2272</v>
      </c>
      <c r="O3967" s="71" t="s">
        <v>2272</v>
      </c>
      <c r="P3967" s="71" t="s">
        <v>2272</v>
      </c>
      <c r="Q3967" s="71" t="s">
        <v>2272</v>
      </c>
      <c r="R3967" s="71" t="s">
        <v>2272</v>
      </c>
      <c r="S3967" s="71" t="s">
        <v>2272</v>
      </c>
      <c r="T3967" s="71" t="s">
        <v>2272</v>
      </c>
      <c r="U3967" s="71" t="s">
        <v>2272</v>
      </c>
      <c r="V3967" s="71" t="s">
        <v>2272</v>
      </c>
      <c r="W3967" s="71" t="s">
        <v>2272</v>
      </c>
      <c r="X3967" s="71" t="s">
        <v>2272</v>
      </c>
      <c r="Y3967" s="198" t="s">
        <v>2272</v>
      </c>
      <c r="Z3967" s="198" t="s">
        <v>2272</v>
      </c>
      <c r="AA3967" s="198" t="s">
        <v>2272</v>
      </c>
      <c r="AB3967" s="198"/>
      <c r="AC3967" s="198"/>
    </row>
    <row r="3968" spans="1:29" ht="58.5" customHeight="1">
      <c r="A3968" s="151" t="str">
        <f>'Reported burning'!A3968</f>
        <v>432g</v>
      </c>
      <c r="B3968" s="151" t="str">
        <f>'Reported burning'!B3968</f>
        <v>432g.2</v>
      </c>
      <c r="C3968" s="151" t="str">
        <f>'Reported burning'!C3968</f>
        <v>Human, deliberate</v>
      </c>
      <c r="D3968" s="151" t="str">
        <f>'Reported burning'!D3968</f>
        <v>Crop field preparation</v>
      </c>
      <c r="E3968" s="151" t="str">
        <f>'Reported burning'!E3968</f>
        <v>Cropping, Swidden</v>
      </c>
      <c r="F3968" s="151" t="str">
        <f>'Reported burning'!F3968</f>
        <v>Secondary vegetation</v>
      </c>
      <c r="G3968" s="151" t="str">
        <f>'Reported burning'!G3968</f>
        <v>Secondary vegetation</v>
      </c>
      <c r="H3968" s="151" t="str">
        <f>'Reported burning'!H3968</f>
        <v>Presence</v>
      </c>
      <c r="I3968" s="5"/>
      <c r="J3968" s="71" t="s">
        <v>2272</v>
      </c>
      <c r="K3968" s="71" t="s">
        <v>2272</v>
      </c>
      <c r="L3968" s="71" t="s">
        <v>2272</v>
      </c>
      <c r="M3968" s="71" t="s">
        <v>2272</v>
      </c>
      <c r="N3968" s="71" t="s">
        <v>2272</v>
      </c>
      <c r="O3968" s="71" t="s">
        <v>2272</v>
      </c>
      <c r="P3968" s="71" t="s">
        <v>2272</v>
      </c>
      <c r="Q3968" s="71" t="s">
        <v>2272</v>
      </c>
      <c r="R3968" s="71" t="s">
        <v>2272</v>
      </c>
      <c r="S3968" s="71" t="s">
        <v>2272</v>
      </c>
      <c r="T3968" s="71" t="s">
        <v>2272</v>
      </c>
      <c r="U3968" s="71" t="s">
        <v>2272</v>
      </c>
      <c r="V3968" s="71" t="s">
        <v>2272</v>
      </c>
      <c r="W3968" s="71" t="s">
        <v>2272</v>
      </c>
      <c r="X3968" s="71" t="s">
        <v>2272</v>
      </c>
      <c r="Y3968" s="71" t="s">
        <v>2272</v>
      </c>
      <c r="Z3968" s="71" t="s">
        <v>2272</v>
      </c>
      <c r="AA3968" s="71" t="s">
        <v>2272</v>
      </c>
      <c r="AB3968" s="198"/>
      <c r="AC3968" s="198"/>
    </row>
    <row r="3969" spans="1:29" ht="58.5" customHeight="1">
      <c r="A3969" s="151" t="str">
        <f>'Reported burning'!A3969</f>
        <v>432g</v>
      </c>
      <c r="B3969" s="151" t="str">
        <f>'Reported burning'!B3969</f>
        <v>432g.3</v>
      </c>
      <c r="C3969" s="151" t="str">
        <f>'Reported burning'!C3969</f>
        <v>Human, deliberate</v>
      </c>
      <c r="D3969" s="151" t="str">
        <f>'Reported burning'!D3969</f>
        <v>Crop field preparation</v>
      </c>
      <c r="E3969" s="151" t="str">
        <f>'Reported burning'!E3969</f>
        <v>Cropping, Swidden</v>
      </c>
      <c r="F3969" s="151" t="str">
        <f>'Reported burning'!F3969</f>
        <v>Forest</v>
      </c>
      <c r="G3969" s="151" t="str">
        <f>'Reported burning'!G3969</f>
        <v>Forest</v>
      </c>
      <c r="H3969" s="151" t="str">
        <f>'Reported burning'!H3969</f>
        <v>Presence</v>
      </c>
      <c r="I3969" s="5"/>
      <c r="J3969" s="71" t="s">
        <v>2272</v>
      </c>
      <c r="K3969" s="71" t="s">
        <v>2272</v>
      </c>
      <c r="L3969" s="71" t="s">
        <v>2272</v>
      </c>
      <c r="M3969" s="71" t="s">
        <v>2272</v>
      </c>
      <c r="N3969" s="71" t="s">
        <v>2272</v>
      </c>
      <c r="O3969" s="71" t="s">
        <v>2272</v>
      </c>
      <c r="P3969" s="71" t="s">
        <v>2272</v>
      </c>
      <c r="Q3969" s="71" t="s">
        <v>2272</v>
      </c>
      <c r="R3969" s="71" t="s">
        <v>2272</v>
      </c>
      <c r="S3969" s="71" t="s">
        <v>2272</v>
      </c>
      <c r="T3969" s="71" t="s">
        <v>2272</v>
      </c>
      <c r="U3969" s="71" t="s">
        <v>2272</v>
      </c>
      <c r="V3969" s="71" t="s">
        <v>2272</v>
      </c>
      <c r="W3969" s="71" t="s">
        <v>2272</v>
      </c>
      <c r="X3969" s="71" t="s">
        <v>2272</v>
      </c>
      <c r="Y3969" s="71" t="s">
        <v>2272</v>
      </c>
      <c r="Z3969" s="71" t="s">
        <v>2272</v>
      </c>
      <c r="AA3969" s="71" t="s">
        <v>2272</v>
      </c>
      <c r="AB3969" s="198"/>
      <c r="AC3969" s="198"/>
    </row>
    <row r="3970" spans="1:29" ht="58.5" customHeight="1">
      <c r="A3970" s="151" t="str">
        <f>'Reported burning'!A3970</f>
        <v>432d</v>
      </c>
      <c r="B3970" s="151" t="str">
        <f>'Reported burning'!B3970</f>
        <v>432d.3</v>
      </c>
      <c r="C3970" s="151" t="str">
        <f>'Reported burning'!C3970</f>
        <v>Human, accidental</v>
      </c>
      <c r="D3970" s="151" t="str">
        <f>'Reported burning'!D3970</f>
        <v>Accidental</v>
      </c>
      <c r="E3970" s="151" t="str">
        <f>'Reported burning'!E3970</f>
        <v>Forestry, Traditional</v>
      </c>
      <c r="F3970" s="151" t="str">
        <f>'Reported burning'!F3970</f>
        <v>ND</v>
      </c>
      <c r="G3970" s="151" t="str">
        <f>'Reported burning'!G3970</f>
        <v>Forest</v>
      </c>
      <c r="H3970" s="151" t="str">
        <f>'Reported burning'!H3970</f>
        <v>Presence</v>
      </c>
      <c r="I3970" s="5"/>
      <c r="J3970" s="71" t="s">
        <v>2272</v>
      </c>
      <c r="K3970" s="71" t="s">
        <v>2272</v>
      </c>
      <c r="L3970" s="71" t="s">
        <v>2272</v>
      </c>
      <c r="M3970" s="71" t="s">
        <v>2272</v>
      </c>
      <c r="N3970" s="71" t="s">
        <v>2272</v>
      </c>
      <c r="O3970" s="71" t="s">
        <v>2272</v>
      </c>
      <c r="P3970" s="71" t="s">
        <v>2272</v>
      </c>
      <c r="Q3970" s="71" t="s">
        <v>2272</v>
      </c>
      <c r="R3970" s="71" t="s">
        <v>2272</v>
      </c>
      <c r="S3970" s="71" t="s">
        <v>2272</v>
      </c>
      <c r="T3970" s="71" t="s">
        <v>2272</v>
      </c>
      <c r="U3970" s="71" t="s">
        <v>2272</v>
      </c>
      <c r="V3970" s="71" t="s">
        <v>2272</v>
      </c>
      <c r="W3970" s="71" t="s">
        <v>2272</v>
      </c>
      <c r="X3970" s="71" t="s">
        <v>2272</v>
      </c>
      <c r="Y3970" s="71" t="s">
        <v>2272</v>
      </c>
      <c r="Z3970" s="71" t="s">
        <v>2272</v>
      </c>
      <c r="AA3970" s="71" t="s">
        <v>2272</v>
      </c>
      <c r="AB3970" s="198"/>
      <c r="AC3970" s="198"/>
    </row>
    <row r="3971" spans="1:29" ht="58.5" customHeight="1">
      <c r="A3971" s="151" t="str">
        <f>'Reported burning'!A3971</f>
        <v>432d</v>
      </c>
      <c r="B3971" s="151" t="str">
        <f>'Reported burning'!B3971</f>
        <v>432d.4</v>
      </c>
      <c r="C3971" s="151" t="str">
        <f>'Reported burning'!C3971</f>
        <v>Human, escaped</v>
      </c>
      <c r="D3971" s="151" t="str">
        <f>'Reported burning'!D3971</f>
        <v>Domestic</v>
      </c>
      <c r="E3971" s="151" t="str">
        <f>'Reported burning'!E3971</f>
        <v>Forestry, Traditional</v>
      </c>
      <c r="F3971" s="151" t="str">
        <f>'Reported burning'!F3971</f>
        <v>ND</v>
      </c>
      <c r="G3971" s="151" t="str">
        <f>'Reported burning'!G3971</f>
        <v>Forest</v>
      </c>
      <c r="H3971" s="151" t="str">
        <f>'Reported burning'!H3971</f>
        <v>Presence</v>
      </c>
      <c r="I3971" s="5"/>
      <c r="J3971" s="71" t="s">
        <v>2272</v>
      </c>
      <c r="K3971" s="71" t="s">
        <v>2272</v>
      </c>
      <c r="L3971" s="71" t="s">
        <v>2272</v>
      </c>
      <c r="M3971" s="71" t="s">
        <v>2272</v>
      </c>
      <c r="N3971" s="71" t="s">
        <v>2272</v>
      </c>
      <c r="O3971" s="71" t="s">
        <v>2272</v>
      </c>
      <c r="P3971" s="71" t="s">
        <v>2272</v>
      </c>
      <c r="Q3971" s="71" t="s">
        <v>2272</v>
      </c>
      <c r="R3971" s="71" t="s">
        <v>2272</v>
      </c>
      <c r="S3971" s="71" t="s">
        <v>2272</v>
      </c>
      <c r="T3971" s="71" t="s">
        <v>2272</v>
      </c>
      <c r="U3971" s="71" t="s">
        <v>2272</v>
      </c>
      <c r="V3971" s="71" t="s">
        <v>2272</v>
      </c>
      <c r="W3971" s="71" t="s">
        <v>2272</v>
      </c>
      <c r="X3971" s="71" t="s">
        <v>2272</v>
      </c>
      <c r="Y3971" s="71" t="s">
        <v>2272</v>
      </c>
      <c r="Z3971" s="71" t="s">
        <v>2272</v>
      </c>
      <c r="AA3971" s="71" t="s">
        <v>2272</v>
      </c>
      <c r="AB3971" s="198"/>
      <c r="AC3971" s="198"/>
    </row>
    <row r="3972" spans="1:29" ht="58.5" customHeight="1">
      <c r="A3972" s="151" t="str">
        <f>'Reported burning'!A3972</f>
        <v>433a</v>
      </c>
      <c r="B3972" s="151" t="str">
        <f>'Reported burning'!B3972</f>
        <v>433a.1</v>
      </c>
      <c r="C3972" s="151" t="str">
        <f>'Reported burning'!C3972</f>
        <v>All</v>
      </c>
      <c r="D3972" s="151" t="str">
        <f>'Reported burning'!D3972</f>
        <v>All</v>
      </c>
      <c r="E3972" s="151" t="str">
        <f>'Reported burning'!E3972</f>
        <v>All</v>
      </c>
      <c r="F3972" s="151" t="str">
        <f>'Reported burning'!F3972</f>
        <v>All</v>
      </c>
      <c r="G3972" s="151" t="str">
        <f>'Reported burning'!G3972</f>
        <v>Forest</v>
      </c>
      <c r="H3972" s="151" t="str">
        <f>'Reported burning'!H3972</f>
        <v>Presence</v>
      </c>
      <c r="I3972" s="5"/>
      <c r="J3972" s="71" t="s">
        <v>2272</v>
      </c>
      <c r="K3972" s="71" t="s">
        <v>2272</v>
      </c>
      <c r="L3972" s="71" t="s">
        <v>2272</v>
      </c>
      <c r="M3972" s="14" t="s">
        <v>2358</v>
      </c>
      <c r="N3972" s="71" t="s">
        <v>2272</v>
      </c>
      <c r="O3972" s="71" t="s">
        <v>2272</v>
      </c>
      <c r="P3972" s="71" t="s">
        <v>2272</v>
      </c>
      <c r="Q3972" s="71" t="s">
        <v>2272</v>
      </c>
      <c r="R3972" s="71" t="s">
        <v>2272</v>
      </c>
      <c r="S3972" s="14" t="s">
        <v>2358</v>
      </c>
      <c r="T3972" s="71" t="s">
        <v>2272</v>
      </c>
      <c r="U3972" s="71" t="s">
        <v>2272</v>
      </c>
      <c r="V3972" s="71" t="s">
        <v>2272</v>
      </c>
      <c r="W3972" s="71" t="s">
        <v>2272</v>
      </c>
      <c r="X3972" s="71" t="s">
        <v>2272</v>
      </c>
      <c r="Y3972" s="71" t="s">
        <v>2272</v>
      </c>
      <c r="Z3972" s="71" t="s">
        <v>2272</v>
      </c>
      <c r="AA3972" s="71" t="s">
        <v>2272</v>
      </c>
      <c r="AB3972" s="4" t="s">
        <v>10200</v>
      </c>
      <c r="AC3972" s="198"/>
    </row>
    <row r="3973" spans="1:29" ht="66" customHeight="1">
      <c r="A3973" s="151" t="str">
        <f>'Reported burning'!A3973</f>
        <v>434a</v>
      </c>
      <c r="B3973" s="151" t="str">
        <f>'Reported burning'!B3973</f>
        <v>434a.1</v>
      </c>
      <c r="C3973" s="151" t="str">
        <f>'Reported burning'!C3973</f>
        <v>Human, escaped</v>
      </c>
      <c r="D3973" s="151" t="str">
        <f>'Reported burning'!D3973</f>
        <v>Pasture renewal</v>
      </c>
      <c r="E3973" s="151" t="str">
        <f>'Reported burning'!E3973</f>
        <v>Cattle, Extensive</v>
      </c>
      <c r="F3973" s="151" t="str">
        <f>'Reported burning'!F3973</f>
        <v>Pasture</v>
      </c>
      <c r="G3973" s="151" t="str">
        <f>'Reported burning'!G3973</f>
        <v>Plantation forest</v>
      </c>
      <c r="H3973" s="151" t="str">
        <f>'Reported burning'!H3973</f>
        <v>Presence</v>
      </c>
      <c r="I3973" s="5"/>
      <c r="J3973" s="71" t="s">
        <v>2272</v>
      </c>
      <c r="K3973" s="71" t="s">
        <v>2272</v>
      </c>
      <c r="L3973" s="71" t="s">
        <v>2272</v>
      </c>
      <c r="M3973" s="71" t="s">
        <v>2272</v>
      </c>
      <c r="N3973" s="71" t="s">
        <v>2272</v>
      </c>
      <c r="O3973" s="71" t="s">
        <v>2272</v>
      </c>
      <c r="P3973" s="71" t="s">
        <v>2272</v>
      </c>
      <c r="Q3973" s="71" t="s">
        <v>2272</v>
      </c>
      <c r="R3973" s="71" t="s">
        <v>2272</v>
      </c>
      <c r="S3973" s="71" t="s">
        <v>2272</v>
      </c>
      <c r="T3973" s="71" t="s">
        <v>2272</v>
      </c>
      <c r="U3973" s="71" t="s">
        <v>2272</v>
      </c>
      <c r="V3973" s="71" t="s">
        <v>2272</v>
      </c>
      <c r="W3973" s="71" t="s">
        <v>2272</v>
      </c>
      <c r="X3973" s="71" t="s">
        <v>2272</v>
      </c>
      <c r="Y3973" s="71" t="s">
        <v>2272</v>
      </c>
      <c r="Z3973" s="71" t="s">
        <v>2272</v>
      </c>
      <c r="AA3973" s="71" t="s">
        <v>2272</v>
      </c>
      <c r="AB3973" s="198"/>
      <c r="AC3973" s="198"/>
    </row>
    <row r="3974" spans="1:29" ht="44.5" customHeight="1">
      <c r="A3974" s="151" t="str">
        <f>'Reported burning'!A3974</f>
        <v>434a</v>
      </c>
      <c r="B3974" s="151" t="str">
        <f>'Reported burning'!B3974</f>
        <v>434a.2</v>
      </c>
      <c r="C3974" s="151" t="str">
        <f>'Reported burning'!C3974</f>
        <v>Human, escaped</v>
      </c>
      <c r="D3974" s="151" t="str">
        <f>'Reported burning'!D3974</f>
        <v>Rangeland management</v>
      </c>
      <c r="E3974" s="151" t="str">
        <f>'Reported burning'!E3974</f>
        <v>Cattle, Extensive</v>
      </c>
      <c r="F3974" s="151" t="str">
        <f>'Reported burning'!F3974</f>
        <v>Shrubland (Mixed forest &amp; grassland)</v>
      </c>
      <c r="G3974" s="151" t="str">
        <f>'Reported burning'!G3974</f>
        <v>Plantation forest</v>
      </c>
      <c r="H3974" s="151" t="str">
        <f>'Reported burning'!H3974</f>
        <v>Presence</v>
      </c>
      <c r="I3974" s="5"/>
      <c r="J3974" s="71" t="s">
        <v>2272</v>
      </c>
      <c r="K3974" s="71" t="s">
        <v>2272</v>
      </c>
      <c r="L3974" s="71" t="s">
        <v>2272</v>
      </c>
      <c r="M3974" s="71" t="s">
        <v>2272</v>
      </c>
      <c r="N3974" s="71" t="s">
        <v>2272</v>
      </c>
      <c r="O3974" s="71" t="s">
        <v>2272</v>
      </c>
      <c r="P3974" s="71" t="s">
        <v>2272</v>
      </c>
      <c r="Q3974" s="71" t="s">
        <v>2272</v>
      </c>
      <c r="R3974" s="71" t="s">
        <v>2272</v>
      </c>
      <c r="S3974" s="71" t="s">
        <v>2272</v>
      </c>
      <c r="T3974" s="71" t="s">
        <v>2272</v>
      </c>
      <c r="U3974" s="71" t="s">
        <v>2272</v>
      </c>
      <c r="V3974" s="71" t="s">
        <v>2272</v>
      </c>
      <c r="W3974" s="71" t="s">
        <v>2272</v>
      </c>
      <c r="X3974" s="71" t="s">
        <v>2272</v>
      </c>
      <c r="Y3974" s="71" t="s">
        <v>2272</v>
      </c>
      <c r="Z3974" s="71" t="s">
        <v>2272</v>
      </c>
      <c r="AA3974" s="71" t="s">
        <v>2272</v>
      </c>
      <c r="AB3974" s="198"/>
      <c r="AC3974" s="198"/>
    </row>
    <row r="3975" spans="1:29" ht="44.5" customHeight="1">
      <c r="A3975" s="151" t="str">
        <f>'Reported burning'!A3975</f>
        <v>434a</v>
      </c>
      <c r="B3975" s="151" t="str">
        <f>'Reported burning'!B3975</f>
        <v>434a.3</v>
      </c>
      <c r="C3975" s="151" t="str">
        <f>'Reported burning'!C3975</f>
        <v>Human, deliberate</v>
      </c>
      <c r="D3975" s="151" t="str">
        <f>'Reported burning'!D3975</f>
        <v>Rangeland management</v>
      </c>
      <c r="E3975" s="151" t="str">
        <f>'Reported burning'!E3975</f>
        <v>Cattle, Extensive</v>
      </c>
      <c r="F3975" s="151" t="str">
        <f>'Reported burning'!F3975</f>
        <v>Shrubland (Mixed forest &amp; grassland)</v>
      </c>
      <c r="G3975" s="151" t="str">
        <f>'Reported burning'!G3975</f>
        <v>Shrubland (Mixed forest &amp; grassland)</v>
      </c>
      <c r="H3975" s="151" t="str">
        <f>'Reported burning'!H3975</f>
        <v>Presence</v>
      </c>
      <c r="I3975" s="5"/>
      <c r="J3975" s="71" t="s">
        <v>2272</v>
      </c>
      <c r="K3975" s="71" t="s">
        <v>2272</v>
      </c>
      <c r="L3975" s="71" t="s">
        <v>2272</v>
      </c>
      <c r="M3975" s="71" t="s">
        <v>2272</v>
      </c>
      <c r="N3975" s="71" t="s">
        <v>2272</v>
      </c>
      <c r="O3975" s="71" t="s">
        <v>2272</v>
      </c>
      <c r="P3975" s="71" t="s">
        <v>2272</v>
      </c>
      <c r="Q3975" s="71" t="s">
        <v>2272</v>
      </c>
      <c r="R3975" s="71" t="s">
        <v>2272</v>
      </c>
      <c r="S3975" s="71" t="s">
        <v>2272</v>
      </c>
      <c r="T3975" s="71" t="s">
        <v>2272</v>
      </c>
      <c r="U3975" s="71" t="s">
        <v>2272</v>
      </c>
      <c r="V3975" s="71" t="s">
        <v>2272</v>
      </c>
      <c r="W3975" s="71" t="s">
        <v>2272</v>
      </c>
      <c r="X3975" s="71" t="s">
        <v>2272</v>
      </c>
      <c r="Y3975" s="71" t="s">
        <v>2272</v>
      </c>
      <c r="Z3975" s="71" t="s">
        <v>2272</v>
      </c>
      <c r="AA3975" s="71" t="s">
        <v>2272</v>
      </c>
      <c r="AB3975" s="198"/>
      <c r="AC3975" s="198"/>
    </row>
    <row r="3976" spans="1:29" ht="54" customHeight="1">
      <c r="A3976" s="151" t="str">
        <f>'Reported burning'!A3976</f>
        <v>437a</v>
      </c>
      <c r="B3976" s="151" t="str">
        <f>'Reported burning'!B3976</f>
        <v>437a.1</v>
      </c>
      <c r="C3976" s="151" t="str">
        <f>'Reported burning'!C3976</f>
        <v>Unknown</v>
      </c>
      <c r="D3976" s="151" t="str">
        <f>'Reported burning'!D3976</f>
        <v>All</v>
      </c>
      <c r="E3976" s="151" t="str">
        <f>'Reported burning'!E3976</f>
        <v>All</v>
      </c>
      <c r="F3976" s="151" t="str">
        <f>'Reported burning'!F3976</f>
        <v>ND</v>
      </c>
      <c r="G3976" s="151" t="str">
        <f>'Reported burning'!G3976</f>
        <v>Shrubland (Mixed forest &amp; grassland)</v>
      </c>
      <c r="H3976" s="151" t="str">
        <f>'Reported burning'!H3976</f>
        <v>Presence</v>
      </c>
      <c r="I3976" s="5"/>
      <c r="J3976" s="71" t="s">
        <v>2272</v>
      </c>
      <c r="K3976" s="71" t="s">
        <v>2272</v>
      </c>
      <c r="L3976" s="71" t="s">
        <v>2272</v>
      </c>
      <c r="M3976" s="71" t="s">
        <v>2272</v>
      </c>
      <c r="N3976" s="71" t="s">
        <v>2272</v>
      </c>
      <c r="O3976" s="71" t="s">
        <v>2272</v>
      </c>
      <c r="P3976" s="71" t="s">
        <v>2272</v>
      </c>
      <c r="Q3976" s="71" t="s">
        <v>2272</v>
      </c>
      <c r="R3976" s="71" t="s">
        <v>2272</v>
      </c>
      <c r="S3976" s="71" t="s">
        <v>2272</v>
      </c>
      <c r="T3976" s="71" t="s">
        <v>2272</v>
      </c>
      <c r="U3976" s="71" t="s">
        <v>2272</v>
      </c>
      <c r="V3976" s="71" t="s">
        <v>2272</v>
      </c>
      <c r="W3976" s="71" t="s">
        <v>2272</v>
      </c>
      <c r="X3976" s="71" t="s">
        <v>2272</v>
      </c>
      <c r="Y3976" s="198" t="s">
        <v>33</v>
      </c>
      <c r="Z3976" s="198" t="s">
        <v>34</v>
      </c>
      <c r="AA3976" s="198" t="s">
        <v>2650</v>
      </c>
      <c r="AB3976" s="198"/>
      <c r="AC3976" s="198"/>
    </row>
    <row r="3977" spans="1:29" ht="54" customHeight="1">
      <c r="A3977" s="151" t="str">
        <f>'Reported burning'!A3977</f>
        <v>437a</v>
      </c>
      <c r="B3977" s="151" t="str">
        <f>'Reported burning'!B3977</f>
        <v>437a.2</v>
      </c>
      <c r="C3977" s="151" t="str">
        <f>'Reported burning'!C3977</f>
        <v>Unknown</v>
      </c>
      <c r="D3977" s="151" t="str">
        <f>'Reported burning'!D3977</f>
        <v>All</v>
      </c>
      <c r="E3977" s="151" t="str">
        <f>'Reported burning'!E3977</f>
        <v>All</v>
      </c>
      <c r="F3977" s="151" t="str">
        <f>'Reported burning'!F3977</f>
        <v>ND</v>
      </c>
      <c r="G3977" s="151" t="str">
        <f>'Reported burning'!G3977</f>
        <v>Forest</v>
      </c>
      <c r="H3977" s="151" t="str">
        <f>'Reported burning'!H3977</f>
        <v>Presence</v>
      </c>
      <c r="I3977" s="5"/>
      <c r="J3977" s="71" t="s">
        <v>2272</v>
      </c>
      <c r="K3977" s="71" t="s">
        <v>2272</v>
      </c>
      <c r="L3977" s="71" t="s">
        <v>2272</v>
      </c>
      <c r="M3977" s="71" t="s">
        <v>2272</v>
      </c>
      <c r="N3977" s="71" t="s">
        <v>2272</v>
      </c>
      <c r="O3977" s="71" t="s">
        <v>2272</v>
      </c>
      <c r="P3977" s="71" t="s">
        <v>2272</v>
      </c>
      <c r="Q3977" s="71" t="s">
        <v>2272</v>
      </c>
      <c r="R3977" s="71" t="s">
        <v>2272</v>
      </c>
      <c r="S3977" s="71" t="s">
        <v>2272</v>
      </c>
      <c r="T3977" s="71" t="s">
        <v>2272</v>
      </c>
      <c r="U3977" s="71" t="s">
        <v>2272</v>
      </c>
      <c r="V3977" s="71" t="s">
        <v>2272</v>
      </c>
      <c r="W3977" s="71" t="s">
        <v>2272</v>
      </c>
      <c r="X3977" s="71" t="s">
        <v>2272</v>
      </c>
      <c r="Y3977" s="198" t="s">
        <v>33</v>
      </c>
      <c r="Z3977" s="198" t="s">
        <v>34</v>
      </c>
      <c r="AA3977" s="198" t="s">
        <v>2650</v>
      </c>
      <c r="AB3977" s="198"/>
      <c r="AC3977" s="198"/>
    </row>
    <row r="3978" spans="1:29" ht="54" customHeight="1">
      <c r="A3978" s="151" t="str">
        <f>'Reported burning'!A3978</f>
        <v>437a</v>
      </c>
      <c r="B3978" s="151" t="str">
        <f>'Reported burning'!B3978</f>
        <v>437a.3</v>
      </c>
      <c r="C3978" s="151" t="str">
        <f>'Reported burning'!C3978</f>
        <v>Unknown</v>
      </c>
      <c r="D3978" s="151" t="str">
        <f>'Reported burning'!D3978</f>
        <v>All</v>
      </c>
      <c r="E3978" s="151" t="str">
        <f>'Reported burning'!E3978</f>
        <v>All</v>
      </c>
      <c r="F3978" s="151" t="str">
        <f>'Reported burning'!F3978</f>
        <v>ND</v>
      </c>
      <c r="G3978" s="151" t="str">
        <f>'Reported burning'!G3978</f>
        <v>ND</v>
      </c>
      <c r="H3978" s="151" t="str">
        <f>'Reported burning'!H3978</f>
        <v>Presence</v>
      </c>
      <c r="I3978" s="5"/>
      <c r="J3978" s="71" t="s">
        <v>2272</v>
      </c>
      <c r="K3978" s="71" t="s">
        <v>2272</v>
      </c>
      <c r="L3978" s="71" t="s">
        <v>2272</v>
      </c>
      <c r="M3978" s="71" t="s">
        <v>2272</v>
      </c>
      <c r="N3978" s="71" t="s">
        <v>2272</v>
      </c>
      <c r="O3978" s="71" t="s">
        <v>2272</v>
      </c>
      <c r="P3978" s="71" t="s">
        <v>2272</v>
      </c>
      <c r="Q3978" s="71" t="s">
        <v>2272</v>
      </c>
      <c r="R3978" s="71" t="s">
        <v>2272</v>
      </c>
      <c r="S3978" s="71" t="s">
        <v>2272</v>
      </c>
      <c r="T3978" s="71" t="s">
        <v>2272</v>
      </c>
      <c r="U3978" s="71" t="s">
        <v>2272</v>
      </c>
      <c r="V3978" s="71" t="s">
        <v>2272</v>
      </c>
      <c r="W3978" s="71" t="s">
        <v>2272</v>
      </c>
      <c r="X3978" s="71" t="s">
        <v>2272</v>
      </c>
      <c r="Y3978" s="198" t="s">
        <v>33</v>
      </c>
      <c r="Z3978" s="198" t="s">
        <v>34</v>
      </c>
      <c r="AA3978" s="198" t="s">
        <v>2650</v>
      </c>
      <c r="AB3978" s="198"/>
      <c r="AC3978" s="198"/>
    </row>
    <row r="3979" spans="1:29" ht="54" customHeight="1">
      <c r="A3979" s="151" t="str">
        <f>'Reported burning'!A3979</f>
        <v>437a</v>
      </c>
      <c r="B3979" s="151" t="str">
        <f>'Reported burning'!B3979</f>
        <v>437a.4</v>
      </c>
      <c r="C3979" s="151" t="str">
        <f>'Reported burning'!C3979</f>
        <v>Human, deliberate</v>
      </c>
      <c r="D3979" s="151" t="str">
        <f>'Reported burning'!D3979</f>
        <v>Pasture renewal</v>
      </c>
      <c r="E3979" s="151" t="str">
        <f>'Reported burning'!E3979</f>
        <v>Cattle, Extensive</v>
      </c>
      <c r="F3979" s="151" t="str">
        <f>'Reported burning'!F3979</f>
        <v>ND</v>
      </c>
      <c r="G3979" s="151" t="str">
        <f>'Reported burning'!G3979</f>
        <v>Shrubland (Mixed forest &amp; grassland)</v>
      </c>
      <c r="H3979" s="151" t="str">
        <f>'Reported burning'!H3979</f>
        <v>Presence</v>
      </c>
      <c r="I3979" s="5"/>
      <c r="J3979" s="71" t="s">
        <v>2272</v>
      </c>
      <c r="K3979" s="71" t="s">
        <v>2272</v>
      </c>
      <c r="L3979" s="71" t="s">
        <v>2272</v>
      </c>
      <c r="M3979" s="71" t="s">
        <v>2272</v>
      </c>
      <c r="N3979" s="71" t="s">
        <v>2272</v>
      </c>
      <c r="O3979" s="71" t="s">
        <v>2272</v>
      </c>
      <c r="P3979" s="71" t="s">
        <v>2272</v>
      </c>
      <c r="Q3979" s="71" t="s">
        <v>2272</v>
      </c>
      <c r="R3979" s="71" t="s">
        <v>2272</v>
      </c>
      <c r="S3979" s="71" t="s">
        <v>2272</v>
      </c>
      <c r="T3979" s="71" t="s">
        <v>2272</v>
      </c>
      <c r="U3979" s="71" t="s">
        <v>2272</v>
      </c>
      <c r="V3979" s="71" t="s">
        <v>2272</v>
      </c>
      <c r="W3979" s="71" t="s">
        <v>2272</v>
      </c>
      <c r="X3979" s="71" t="s">
        <v>2272</v>
      </c>
      <c r="Y3979" s="198" t="s">
        <v>402</v>
      </c>
      <c r="Z3979" s="198" t="s">
        <v>34</v>
      </c>
      <c r="AA3979" s="198" t="s">
        <v>63</v>
      </c>
      <c r="AB3979" s="4" t="s">
        <v>10247</v>
      </c>
      <c r="AC3979" s="198"/>
    </row>
    <row r="3980" spans="1:29" ht="54" customHeight="1">
      <c r="A3980" s="151" t="str">
        <f>'Reported burning'!A3980</f>
        <v>437a</v>
      </c>
      <c r="B3980" s="151" t="str">
        <f>'Reported burning'!B3980</f>
        <v>437a.5</v>
      </c>
      <c r="C3980" s="151" t="str">
        <f>'Reported burning'!C3980</f>
        <v>Human, escaped</v>
      </c>
      <c r="D3980" s="151" t="str">
        <f>'Reported burning'!D3980</f>
        <v>Pasture renewal</v>
      </c>
      <c r="E3980" s="151" t="str">
        <f>'Reported burning'!E3980</f>
        <v>Cattle, Extensive</v>
      </c>
      <c r="F3980" s="151" t="str">
        <f>'Reported burning'!F3980</f>
        <v>ND</v>
      </c>
      <c r="G3980" s="151" t="str">
        <f>'Reported burning'!G3980</f>
        <v>Forest</v>
      </c>
      <c r="H3980" s="151" t="str">
        <f>'Reported burning'!H3980</f>
        <v>Presence</v>
      </c>
      <c r="I3980" s="5"/>
      <c r="J3980" s="71" t="s">
        <v>2272</v>
      </c>
      <c r="K3980" s="71" t="s">
        <v>2272</v>
      </c>
      <c r="L3980" s="71" t="s">
        <v>2272</v>
      </c>
      <c r="M3980" s="71" t="s">
        <v>2272</v>
      </c>
      <c r="N3980" s="71" t="s">
        <v>2272</v>
      </c>
      <c r="O3980" s="71" t="s">
        <v>2272</v>
      </c>
      <c r="P3980" s="71" t="s">
        <v>2272</v>
      </c>
      <c r="Q3980" s="71" t="s">
        <v>2272</v>
      </c>
      <c r="R3980" s="71" t="s">
        <v>2272</v>
      </c>
      <c r="S3980" s="71" t="s">
        <v>2272</v>
      </c>
      <c r="T3980" s="71" t="s">
        <v>2272</v>
      </c>
      <c r="U3980" s="71" t="s">
        <v>2272</v>
      </c>
      <c r="V3980" s="71" t="s">
        <v>2272</v>
      </c>
      <c r="W3980" s="71" t="s">
        <v>2272</v>
      </c>
      <c r="X3980" s="71" t="s">
        <v>2272</v>
      </c>
      <c r="Y3980" s="198" t="s">
        <v>402</v>
      </c>
      <c r="Z3980" s="198" t="s">
        <v>34</v>
      </c>
      <c r="AA3980" s="198" t="s">
        <v>63</v>
      </c>
      <c r="AB3980" s="4" t="s">
        <v>10247</v>
      </c>
      <c r="AC3980" s="198"/>
    </row>
    <row r="3981" spans="1:29" ht="55" customHeight="1">
      <c r="A3981" s="147" t="str">
        <f>'Reported burning'!A3981</f>
        <v>437a</v>
      </c>
      <c r="B3981" s="147" t="str">
        <f>'Reported burning'!B3981</f>
        <v>437a.6</v>
      </c>
      <c r="C3981" s="147" t="str">
        <f>'Reported burning'!C3981</f>
        <v>Human, deliberate</v>
      </c>
      <c r="D3981" s="147" t="str">
        <f>'Reported burning'!D3981</f>
        <v>Crop residue burning</v>
      </c>
      <c r="E3981" s="147" t="str">
        <f>'Reported burning'!E3981</f>
        <v>ND</v>
      </c>
      <c r="F3981" s="147" t="str">
        <f>'Reported burning'!F3981</f>
        <v>Cropland</v>
      </c>
      <c r="G3981" s="147" t="str">
        <f>'Reported burning'!G3981</f>
        <v>Cropland</v>
      </c>
      <c r="H3981" s="147" t="str">
        <f>'Reported burning'!H3981</f>
        <v>Presence</v>
      </c>
      <c r="I3981" s="198"/>
      <c r="J3981" s="71" t="s">
        <v>2272</v>
      </c>
      <c r="K3981" s="71" t="s">
        <v>2272</v>
      </c>
      <c r="L3981" s="71" t="s">
        <v>2272</v>
      </c>
      <c r="M3981" s="71" t="s">
        <v>2272</v>
      </c>
      <c r="N3981" s="71" t="s">
        <v>2272</v>
      </c>
      <c r="O3981" s="71" t="s">
        <v>2272</v>
      </c>
      <c r="P3981" s="71" t="s">
        <v>2272</v>
      </c>
      <c r="Q3981" s="71" t="s">
        <v>2272</v>
      </c>
      <c r="R3981" s="71" t="s">
        <v>2272</v>
      </c>
      <c r="S3981" s="71" t="s">
        <v>2272</v>
      </c>
      <c r="T3981" s="71" t="s">
        <v>2272</v>
      </c>
      <c r="U3981" s="71" t="s">
        <v>2272</v>
      </c>
      <c r="V3981" s="71" t="s">
        <v>2272</v>
      </c>
      <c r="W3981" s="71" t="s">
        <v>2272</v>
      </c>
      <c r="X3981" s="71" t="s">
        <v>2272</v>
      </c>
      <c r="Y3981" s="71" t="s">
        <v>2272</v>
      </c>
      <c r="Z3981" s="71" t="s">
        <v>2272</v>
      </c>
      <c r="AA3981" s="71" t="s">
        <v>2272</v>
      </c>
      <c r="AB3981" s="198"/>
      <c r="AC3981" s="198"/>
    </row>
    <row r="3982" spans="1:29" ht="55" customHeight="1">
      <c r="A3982" s="147" t="str">
        <f>'Reported burning'!A3982</f>
        <v>437a</v>
      </c>
      <c r="B3982" s="147" t="str">
        <f>'Reported burning'!B3982</f>
        <v>437a.7</v>
      </c>
      <c r="C3982" s="147" t="str">
        <f>'Reported burning'!C3982</f>
        <v>Human, escaped</v>
      </c>
      <c r="D3982" s="147" t="str">
        <f>'Reported burning'!D3982</f>
        <v>Crop residue burning</v>
      </c>
      <c r="E3982" s="147" t="str">
        <f>'Reported burning'!E3982</f>
        <v>ND</v>
      </c>
      <c r="F3982" s="147" t="str">
        <f>'Reported burning'!F3982</f>
        <v>Cropland</v>
      </c>
      <c r="G3982" s="147" t="str">
        <f>'Reported burning'!G3982</f>
        <v>Shrubland (Mixed forest &amp; grassland)</v>
      </c>
      <c r="H3982" s="147" t="str">
        <f>'Reported burning'!H3982</f>
        <v>Presence</v>
      </c>
      <c r="I3982" s="198"/>
      <c r="J3982" s="71" t="s">
        <v>2272</v>
      </c>
      <c r="K3982" s="71" t="s">
        <v>2272</v>
      </c>
      <c r="L3982" s="71" t="s">
        <v>2272</v>
      </c>
      <c r="M3982" s="71" t="s">
        <v>2272</v>
      </c>
      <c r="N3982" s="71" t="s">
        <v>2272</v>
      </c>
      <c r="O3982" s="71" t="s">
        <v>2272</v>
      </c>
      <c r="P3982" s="71" t="s">
        <v>2272</v>
      </c>
      <c r="Q3982" s="71" t="s">
        <v>2272</v>
      </c>
      <c r="R3982" s="71" t="s">
        <v>2272</v>
      </c>
      <c r="S3982" s="71" t="s">
        <v>2272</v>
      </c>
      <c r="T3982" s="71" t="s">
        <v>2272</v>
      </c>
      <c r="U3982" s="71" t="s">
        <v>2272</v>
      </c>
      <c r="V3982" s="71" t="s">
        <v>2272</v>
      </c>
      <c r="W3982" s="71" t="s">
        <v>2272</v>
      </c>
      <c r="X3982" s="71" t="s">
        <v>2272</v>
      </c>
      <c r="Y3982" s="71" t="s">
        <v>2272</v>
      </c>
      <c r="Z3982" s="71" t="s">
        <v>2272</v>
      </c>
      <c r="AA3982" s="71" t="s">
        <v>2272</v>
      </c>
      <c r="AB3982" s="198"/>
      <c r="AC3982" s="198"/>
    </row>
    <row r="3983" spans="1:29" ht="55" customHeight="1">
      <c r="A3983" s="147" t="str">
        <f>'Reported burning'!A3983</f>
        <v>437a</v>
      </c>
      <c r="B3983" s="147" t="str">
        <f>'Reported burning'!B3983</f>
        <v>437a.8</v>
      </c>
      <c r="C3983" s="147" t="str">
        <f>'Reported burning'!C3983</f>
        <v>Unknown</v>
      </c>
      <c r="D3983" s="147" t="str">
        <f>'Reported burning'!D3983</f>
        <v>ND</v>
      </c>
      <c r="E3983" s="147" t="str">
        <f>'Reported burning'!E3983</f>
        <v>Urban planner</v>
      </c>
      <c r="F3983" s="147" t="str">
        <f>'Reported burning'!F3983</f>
        <v>ND</v>
      </c>
      <c r="G3983" s="147" t="str">
        <f>'Reported burning'!G3983</f>
        <v>Shrubland (Mixed forest &amp; grassland)</v>
      </c>
      <c r="H3983" s="147" t="str">
        <f>'Reported burning'!H3983</f>
        <v>Presence</v>
      </c>
      <c r="I3983" s="198"/>
      <c r="J3983" s="21" t="s">
        <v>2365</v>
      </c>
      <c r="K3983" s="71" t="s">
        <v>2272</v>
      </c>
      <c r="L3983" s="71" t="s">
        <v>2272</v>
      </c>
      <c r="M3983" s="71" t="s">
        <v>2272</v>
      </c>
      <c r="N3983" s="71" t="s">
        <v>2272</v>
      </c>
      <c r="O3983" s="71" t="s">
        <v>2272</v>
      </c>
      <c r="P3983" s="71" t="s">
        <v>2272</v>
      </c>
      <c r="Q3983" s="71" t="s">
        <v>2272</v>
      </c>
      <c r="R3983" s="71" t="s">
        <v>2272</v>
      </c>
      <c r="S3983" s="71" t="s">
        <v>2272</v>
      </c>
      <c r="T3983" s="71" t="s">
        <v>2272</v>
      </c>
      <c r="U3983" s="71" t="s">
        <v>2272</v>
      </c>
      <c r="V3983" s="71" t="s">
        <v>2272</v>
      </c>
      <c r="W3983" s="71" t="s">
        <v>2272</v>
      </c>
      <c r="X3983" s="71" t="s">
        <v>2272</v>
      </c>
      <c r="Y3983" s="71" t="s">
        <v>2272</v>
      </c>
      <c r="Z3983" s="71" t="s">
        <v>2272</v>
      </c>
      <c r="AA3983" s="71" t="s">
        <v>2272</v>
      </c>
      <c r="AB3983" s="198"/>
      <c r="AC3983" s="4" t="s">
        <v>10248</v>
      </c>
    </row>
    <row r="3984" spans="1:29" ht="72" customHeight="1">
      <c r="A3984" s="151" t="str">
        <f>'Reported burning'!A3984</f>
        <v>437b</v>
      </c>
      <c r="B3984" s="151" t="str">
        <f>'Reported burning'!B3984</f>
        <v>437b.1</v>
      </c>
      <c r="C3984" s="151" t="str">
        <f>'Reported burning'!C3984</f>
        <v>All</v>
      </c>
      <c r="D3984" s="151" t="str">
        <f>'Reported burning'!D3984</f>
        <v>All</v>
      </c>
      <c r="E3984" s="151" t="str">
        <f>'Reported burning'!E3984</f>
        <v>All</v>
      </c>
      <c r="F3984" s="151" t="str">
        <f>'Reported burning'!F3984</f>
        <v>ND</v>
      </c>
      <c r="G3984" s="151" t="str">
        <f>'Reported burning'!G3984</f>
        <v>ND</v>
      </c>
      <c r="H3984" s="151" t="str">
        <f>'Reported burning'!H3984</f>
        <v>Presence</v>
      </c>
      <c r="I3984" s="5"/>
      <c r="J3984" s="198" t="s">
        <v>2272</v>
      </c>
      <c r="K3984" s="71" t="s">
        <v>2272</v>
      </c>
      <c r="L3984" s="198" t="s">
        <v>2272</v>
      </c>
      <c r="M3984" s="198" t="s">
        <v>2272</v>
      </c>
      <c r="N3984" s="198" t="s">
        <v>2272</v>
      </c>
      <c r="O3984" s="198" t="s">
        <v>2272</v>
      </c>
      <c r="P3984" s="198" t="s">
        <v>2272</v>
      </c>
      <c r="Q3984" s="198" t="s">
        <v>2272</v>
      </c>
      <c r="R3984" s="198" t="s">
        <v>2272</v>
      </c>
      <c r="S3984" s="198" t="s">
        <v>2272</v>
      </c>
      <c r="T3984" s="198" t="s">
        <v>2272</v>
      </c>
      <c r="U3984" s="198" t="s">
        <v>2272</v>
      </c>
      <c r="V3984" s="198" t="s">
        <v>2272</v>
      </c>
      <c r="W3984" s="198" t="s">
        <v>2272</v>
      </c>
      <c r="X3984" s="198" t="s">
        <v>2272</v>
      </c>
      <c r="Y3984" s="198" t="s">
        <v>2272</v>
      </c>
      <c r="Z3984" s="198" t="s">
        <v>2272</v>
      </c>
      <c r="AA3984" s="198" t="s">
        <v>2272</v>
      </c>
      <c r="AB3984" s="198"/>
      <c r="AC3984" s="198"/>
    </row>
    <row r="3985" spans="1:29" ht="72" customHeight="1">
      <c r="A3985" s="151" t="str">
        <f>'Reported burning'!A3985</f>
        <v>437c</v>
      </c>
      <c r="B3985" s="151" t="str">
        <f>'Reported burning'!B3985</f>
        <v>437c.1</v>
      </c>
      <c r="C3985" s="151" t="str">
        <f>'Reported burning'!C3985</f>
        <v>All</v>
      </c>
      <c r="D3985" s="151" t="str">
        <f>'Reported burning'!D3985</f>
        <v>All</v>
      </c>
      <c r="E3985" s="151" t="str">
        <f>'Reported burning'!E3985</f>
        <v>All</v>
      </c>
      <c r="F3985" s="151" t="str">
        <f>'Reported burning'!F3985</f>
        <v>ND</v>
      </c>
      <c r="G3985" s="151" t="str">
        <f>'Reported burning'!G3985</f>
        <v>ND</v>
      </c>
      <c r="H3985" s="151" t="str">
        <f>'Reported burning'!H3985</f>
        <v>Presence</v>
      </c>
      <c r="I3985" s="5"/>
      <c r="J3985" s="198" t="s">
        <v>2272</v>
      </c>
      <c r="K3985" s="71" t="s">
        <v>2272</v>
      </c>
      <c r="L3985" s="198" t="s">
        <v>2272</v>
      </c>
      <c r="M3985" s="198" t="s">
        <v>2272</v>
      </c>
      <c r="N3985" s="198" t="s">
        <v>2272</v>
      </c>
      <c r="O3985" s="198" t="s">
        <v>2272</v>
      </c>
      <c r="P3985" s="198" t="s">
        <v>2272</v>
      </c>
      <c r="Q3985" s="198" t="s">
        <v>2272</v>
      </c>
      <c r="R3985" s="198" t="s">
        <v>2272</v>
      </c>
      <c r="S3985" s="198" t="s">
        <v>2272</v>
      </c>
      <c r="T3985" s="198" t="s">
        <v>2272</v>
      </c>
      <c r="U3985" s="198" t="s">
        <v>2272</v>
      </c>
      <c r="V3985" s="198" t="s">
        <v>2272</v>
      </c>
      <c r="W3985" s="198" t="s">
        <v>2272</v>
      </c>
      <c r="X3985" s="198" t="s">
        <v>2272</v>
      </c>
      <c r="Y3985" s="198" t="s">
        <v>2272</v>
      </c>
      <c r="Z3985" s="198" t="s">
        <v>2272</v>
      </c>
      <c r="AA3985" s="198" t="s">
        <v>2272</v>
      </c>
      <c r="AB3985" s="198"/>
      <c r="AC3985" s="198"/>
    </row>
    <row r="3986" spans="1:29" ht="72" customHeight="1">
      <c r="A3986" s="151" t="str">
        <f>'Reported burning'!A3986</f>
        <v>437d</v>
      </c>
      <c r="B3986" s="151" t="str">
        <f>'Reported burning'!B3986</f>
        <v>437d.1</v>
      </c>
      <c r="C3986" s="151" t="str">
        <f>'Reported burning'!C3986</f>
        <v>All</v>
      </c>
      <c r="D3986" s="151" t="str">
        <f>'Reported burning'!D3986</f>
        <v>All</v>
      </c>
      <c r="E3986" s="151" t="str">
        <f>'Reported burning'!E3986</f>
        <v>All</v>
      </c>
      <c r="F3986" s="151" t="str">
        <f>'Reported burning'!F3986</f>
        <v>ND</v>
      </c>
      <c r="G3986" s="151" t="str">
        <f>'Reported burning'!G3986</f>
        <v>ND</v>
      </c>
      <c r="H3986" s="151" t="str">
        <f>'Reported burning'!H3986</f>
        <v>Presence</v>
      </c>
      <c r="I3986" s="5"/>
      <c r="J3986" s="198" t="s">
        <v>2272</v>
      </c>
      <c r="K3986" s="71" t="s">
        <v>2272</v>
      </c>
      <c r="L3986" s="198" t="s">
        <v>2272</v>
      </c>
      <c r="M3986" s="198" t="s">
        <v>2272</v>
      </c>
      <c r="N3986" s="198" t="s">
        <v>2272</v>
      </c>
      <c r="O3986" s="198" t="s">
        <v>2272</v>
      </c>
      <c r="P3986" s="198" t="s">
        <v>2272</v>
      </c>
      <c r="Q3986" s="198" t="s">
        <v>2272</v>
      </c>
      <c r="R3986" s="198" t="s">
        <v>2272</v>
      </c>
      <c r="S3986" s="198" t="s">
        <v>2272</v>
      </c>
      <c r="T3986" s="198" t="s">
        <v>2272</v>
      </c>
      <c r="U3986" s="198" t="s">
        <v>2272</v>
      </c>
      <c r="V3986" s="198" t="s">
        <v>2272</v>
      </c>
      <c r="W3986" s="198" t="s">
        <v>2272</v>
      </c>
      <c r="X3986" s="198" t="s">
        <v>2272</v>
      </c>
      <c r="Y3986" s="198" t="s">
        <v>2272</v>
      </c>
      <c r="Z3986" s="198" t="s">
        <v>2272</v>
      </c>
      <c r="AA3986" s="198" t="s">
        <v>2272</v>
      </c>
      <c r="AB3986" s="198"/>
      <c r="AC3986" s="198"/>
    </row>
    <row r="3987" spans="1:29" ht="72" customHeight="1">
      <c r="A3987" s="151" t="str">
        <f>'Reported burning'!A3987</f>
        <v>438a</v>
      </c>
      <c r="B3987" s="151" t="str">
        <f>'Reported burning'!B3987</f>
        <v>438a.1</v>
      </c>
      <c r="C3987" s="151" t="str">
        <f>'Reported burning'!C3987</f>
        <v>Lightning</v>
      </c>
      <c r="D3987" s="151" t="str">
        <f>'Reported burning'!D3987</f>
        <v>All</v>
      </c>
      <c r="E3987" s="151" t="str">
        <f>'Reported burning'!E3987</f>
        <v>All</v>
      </c>
      <c r="F3987" s="151" t="str">
        <f>'Reported burning'!F3987</f>
        <v>ND</v>
      </c>
      <c r="G3987" s="151" t="str">
        <f>'Reported burning'!G3987</f>
        <v>Forest</v>
      </c>
      <c r="H3987" s="151" t="str">
        <f>'Reported burning'!H3987</f>
        <v>Presence</v>
      </c>
      <c r="I3987" s="198"/>
      <c r="J3987" s="198" t="s">
        <v>2272</v>
      </c>
      <c r="K3987" s="21" t="s">
        <v>2360</v>
      </c>
      <c r="L3987" s="198" t="s">
        <v>2272</v>
      </c>
      <c r="M3987" s="198" t="s">
        <v>2272</v>
      </c>
      <c r="N3987" s="198" t="s">
        <v>2272</v>
      </c>
      <c r="O3987" s="198" t="s">
        <v>2272</v>
      </c>
      <c r="P3987" s="198" t="s">
        <v>2272</v>
      </c>
      <c r="Q3987" s="198" t="s">
        <v>2272</v>
      </c>
      <c r="R3987" s="198" t="s">
        <v>2272</v>
      </c>
      <c r="S3987" s="198" t="s">
        <v>2272</v>
      </c>
      <c r="T3987" s="198" t="s">
        <v>2272</v>
      </c>
      <c r="U3987" s="198" t="s">
        <v>2272</v>
      </c>
      <c r="V3987" s="198" t="s">
        <v>2272</v>
      </c>
      <c r="W3987" s="198" t="s">
        <v>2272</v>
      </c>
      <c r="X3987" s="198" t="s">
        <v>2272</v>
      </c>
      <c r="Y3987" s="198" t="s">
        <v>2272</v>
      </c>
      <c r="Z3987" s="198" t="s">
        <v>2272</v>
      </c>
      <c r="AA3987" s="198" t="s">
        <v>2272</v>
      </c>
      <c r="AB3987" s="198"/>
      <c r="AC3987" s="198"/>
    </row>
    <row r="3988" spans="1:29" ht="72" customHeight="1">
      <c r="A3988" s="151" t="str">
        <f>'Reported burning'!A3988</f>
        <v>438a</v>
      </c>
      <c r="B3988" s="151" t="str">
        <f>'Reported burning'!B3988</f>
        <v>438a.2</v>
      </c>
      <c r="C3988" s="151" t="str">
        <f>'Reported burning'!C3988</f>
        <v>Human</v>
      </c>
      <c r="D3988" s="151" t="str">
        <f>'Reported burning'!D3988</f>
        <v>ND</v>
      </c>
      <c r="E3988" s="151" t="str">
        <f>'Reported burning'!E3988</f>
        <v>ND</v>
      </c>
      <c r="F3988" s="151" t="str">
        <f>'Reported burning'!F3988</f>
        <v>ND</v>
      </c>
      <c r="G3988" s="151" t="str">
        <f>'Reported burning'!G3988</f>
        <v>Forest</v>
      </c>
      <c r="H3988" s="151" t="str">
        <f>'Reported burning'!H3988</f>
        <v>Presence</v>
      </c>
      <c r="I3988" s="198"/>
      <c r="J3988" s="198" t="s">
        <v>2272</v>
      </c>
      <c r="K3988" s="21" t="s">
        <v>2360</v>
      </c>
      <c r="L3988" s="198" t="s">
        <v>2272</v>
      </c>
      <c r="M3988" s="198" t="s">
        <v>2272</v>
      </c>
      <c r="N3988" s="198" t="s">
        <v>2272</v>
      </c>
      <c r="O3988" s="198" t="s">
        <v>2272</v>
      </c>
      <c r="P3988" s="198" t="s">
        <v>2272</v>
      </c>
      <c r="Q3988" s="198" t="s">
        <v>2272</v>
      </c>
      <c r="R3988" s="198" t="s">
        <v>2272</v>
      </c>
      <c r="S3988" s="198" t="s">
        <v>2272</v>
      </c>
      <c r="T3988" s="198" t="s">
        <v>2272</v>
      </c>
      <c r="U3988" s="198" t="s">
        <v>2272</v>
      </c>
      <c r="V3988" s="198" t="s">
        <v>2272</v>
      </c>
      <c r="W3988" s="198" t="s">
        <v>2272</v>
      </c>
      <c r="X3988" s="198" t="s">
        <v>2272</v>
      </c>
      <c r="Y3988" s="198" t="s">
        <v>2272</v>
      </c>
      <c r="Z3988" s="198" t="s">
        <v>2272</v>
      </c>
      <c r="AA3988" s="198" t="s">
        <v>2272</v>
      </c>
      <c r="AB3988" s="198"/>
      <c r="AC3988" s="198"/>
    </row>
    <row r="3989" spans="1:29" ht="72" customHeight="1">
      <c r="A3989" s="151" t="str">
        <f>'Reported burning'!A3989</f>
        <v>438a</v>
      </c>
      <c r="B3989" s="151" t="str">
        <f>'Reported burning'!B3989</f>
        <v>438a.3</v>
      </c>
      <c r="C3989" s="151" t="str">
        <f>'Reported burning'!C3989</f>
        <v>Human, deliberate</v>
      </c>
      <c r="D3989" s="151" t="str">
        <f>'Reported burning'!D3989</f>
        <v>Forest management</v>
      </c>
      <c r="E3989" s="151" t="str">
        <f>'Reported burning'!E3989</f>
        <v>Forestry, Industrial</v>
      </c>
      <c r="F3989" s="151" t="str">
        <f>'Reported burning'!F3989</f>
        <v>ND</v>
      </c>
      <c r="G3989" s="151" t="str">
        <f>'Reported burning'!G3989</f>
        <v>Forest</v>
      </c>
      <c r="H3989" s="151" t="str">
        <f>'Reported burning'!H3989</f>
        <v>Absence</v>
      </c>
      <c r="I3989" s="198"/>
      <c r="J3989" s="198">
        <v>0</v>
      </c>
      <c r="K3989" s="198">
        <v>0</v>
      </c>
      <c r="L3989" s="198">
        <v>0</v>
      </c>
      <c r="M3989" s="198">
        <v>0</v>
      </c>
      <c r="N3989" s="198">
        <v>0</v>
      </c>
      <c r="O3989" s="198">
        <v>0</v>
      </c>
      <c r="P3989" s="198">
        <v>0</v>
      </c>
      <c r="Q3989" s="198">
        <v>0</v>
      </c>
      <c r="R3989" s="198">
        <v>0</v>
      </c>
      <c r="S3989" s="198">
        <v>0</v>
      </c>
      <c r="T3989" s="198">
        <v>0</v>
      </c>
      <c r="U3989" s="198">
        <v>0</v>
      </c>
      <c r="V3989" s="198">
        <v>0</v>
      </c>
      <c r="W3989" s="198">
        <v>0</v>
      </c>
      <c r="X3989" s="198" t="s">
        <v>2272</v>
      </c>
      <c r="Y3989" s="198" t="s">
        <v>2272</v>
      </c>
      <c r="Z3989" s="198" t="s">
        <v>2272</v>
      </c>
      <c r="AA3989" s="198" t="s">
        <v>2272</v>
      </c>
      <c r="AB3989" s="198"/>
      <c r="AC3989" s="198" t="s">
        <v>10262</v>
      </c>
    </row>
    <row r="3990" spans="1:29" ht="72" customHeight="1">
      <c r="A3990" s="151" t="str">
        <f>'Reported burning'!A3990</f>
        <v>438a</v>
      </c>
      <c r="B3990" s="151" t="str">
        <f>'Reported burning'!B3990</f>
        <v>438a.4</v>
      </c>
      <c r="C3990" s="151" t="str">
        <f>'Reported burning'!C3990</f>
        <v>Human, deliberate</v>
      </c>
      <c r="D3990" s="151" t="str">
        <f>'Reported burning'!D3990</f>
        <v>Forest management</v>
      </c>
      <c r="E3990" s="151" t="str">
        <f>'Reported burning'!E3990</f>
        <v>Forestry, Small-scale</v>
      </c>
      <c r="F3990" s="151" t="str">
        <f>'Reported burning'!F3990</f>
        <v>ND</v>
      </c>
      <c r="G3990" s="151" t="str">
        <f>'Reported burning'!G3990</f>
        <v>Forest</v>
      </c>
      <c r="H3990" s="151" t="str">
        <f>'Reported burning'!H3990</f>
        <v>Absence</v>
      </c>
      <c r="I3990" s="198"/>
      <c r="J3990" s="198">
        <v>0</v>
      </c>
      <c r="K3990" s="198">
        <v>0</v>
      </c>
      <c r="L3990" s="198">
        <v>0</v>
      </c>
      <c r="M3990" s="198">
        <v>0</v>
      </c>
      <c r="N3990" s="198">
        <v>0</v>
      </c>
      <c r="O3990" s="198">
        <v>0</v>
      </c>
      <c r="P3990" s="198">
        <v>0</v>
      </c>
      <c r="Q3990" s="198">
        <v>0</v>
      </c>
      <c r="R3990" s="198">
        <v>0</v>
      </c>
      <c r="S3990" s="198">
        <v>0</v>
      </c>
      <c r="T3990" s="198">
        <v>0</v>
      </c>
      <c r="U3990" s="198">
        <v>0</v>
      </c>
      <c r="V3990" s="198">
        <v>0</v>
      </c>
      <c r="W3990" s="198">
        <v>0</v>
      </c>
      <c r="X3990" s="198" t="s">
        <v>2272</v>
      </c>
      <c r="Y3990" s="198" t="s">
        <v>2272</v>
      </c>
      <c r="Z3990" s="198" t="s">
        <v>2272</v>
      </c>
      <c r="AA3990" s="198" t="s">
        <v>2272</v>
      </c>
      <c r="AB3990" s="198"/>
      <c r="AC3990" s="198" t="s">
        <v>10262</v>
      </c>
    </row>
    <row r="3991" spans="1:29" ht="72" customHeight="1">
      <c r="A3991" s="147" t="str">
        <f>'Reported burning'!A3991</f>
        <v>438a</v>
      </c>
      <c r="B3991" s="147" t="str">
        <f>'Reported burning'!B3991</f>
        <v>438a.5</v>
      </c>
      <c r="C3991" s="147" t="str">
        <f>'Reported burning'!C3991</f>
        <v>Human, deliberate</v>
      </c>
      <c r="D3991" s="147" t="str">
        <f>'Reported burning'!D3991</f>
        <v>ND</v>
      </c>
      <c r="E3991" s="147" t="str">
        <f>'Reported burning'!E3991</f>
        <v>Forestry, Traditional</v>
      </c>
      <c r="F3991" s="147" t="str">
        <f>'Reported burning'!F3991</f>
        <v>ND</v>
      </c>
      <c r="G3991" s="147" t="str">
        <f>'Reported burning'!G3991</f>
        <v>Forest</v>
      </c>
      <c r="H3991" s="147" t="str">
        <f>'Reported burning'!H3991</f>
        <v>Absence</v>
      </c>
      <c r="I3991" s="198"/>
      <c r="J3991" s="198">
        <v>0</v>
      </c>
      <c r="K3991" s="198">
        <v>0</v>
      </c>
      <c r="L3991" s="198">
        <v>0</v>
      </c>
      <c r="M3991" s="198">
        <v>0</v>
      </c>
      <c r="N3991" s="198">
        <v>0</v>
      </c>
      <c r="O3991" s="198">
        <v>0</v>
      </c>
      <c r="P3991" s="198">
        <v>0</v>
      </c>
      <c r="Q3991" s="198">
        <v>0</v>
      </c>
      <c r="R3991" s="198">
        <v>0</v>
      </c>
      <c r="S3991" s="198">
        <v>0</v>
      </c>
      <c r="T3991" s="198">
        <v>0</v>
      </c>
      <c r="U3991" s="198">
        <v>0</v>
      </c>
      <c r="V3991" s="198">
        <v>0</v>
      </c>
      <c r="W3991" s="198">
        <v>0</v>
      </c>
      <c r="X3991" s="198" t="s">
        <v>2272</v>
      </c>
      <c r="Y3991" s="198" t="s">
        <v>2272</v>
      </c>
      <c r="Z3991" s="198" t="s">
        <v>2272</v>
      </c>
      <c r="AA3991" s="198" t="s">
        <v>2272</v>
      </c>
      <c r="AB3991" s="198"/>
      <c r="AC3991" s="4" t="s">
        <v>10263</v>
      </c>
    </row>
    <row r="3992" spans="1:29" ht="72" customHeight="1">
      <c r="A3992" s="147" t="str">
        <f>'Reported burning'!A3992</f>
        <v>438a</v>
      </c>
      <c r="B3992" s="147" t="str">
        <f>'Reported burning'!B3992</f>
        <v>438a.6</v>
      </c>
      <c r="C3992" s="147" t="str">
        <f>'Reported burning'!C3992</f>
        <v>Human, deliberate</v>
      </c>
      <c r="D3992" s="147" t="str">
        <f>'Reported burning'!D3992</f>
        <v>ND</v>
      </c>
      <c r="E3992" s="147" t="str">
        <f>'Reported burning'!E3992</f>
        <v>Forestry, Traditional</v>
      </c>
      <c r="F3992" s="147" t="str">
        <f>'Reported burning'!F3992</f>
        <v>ND</v>
      </c>
      <c r="G3992" s="147" t="str">
        <f>'Reported burning'!G3992</f>
        <v>Forest</v>
      </c>
      <c r="H3992" s="147" t="str">
        <f>'Reported burning'!H3992</f>
        <v>Presence</v>
      </c>
      <c r="I3992" s="198"/>
      <c r="J3992" s="198" t="s">
        <v>2272</v>
      </c>
      <c r="K3992" s="198" t="s">
        <v>2272</v>
      </c>
      <c r="L3992" s="198" t="s">
        <v>2272</v>
      </c>
      <c r="M3992" s="198" t="s">
        <v>2272</v>
      </c>
      <c r="N3992" s="198" t="s">
        <v>2272</v>
      </c>
      <c r="O3992" s="198" t="s">
        <v>2272</v>
      </c>
      <c r="P3992" s="198" t="s">
        <v>2272</v>
      </c>
      <c r="Q3992" s="198" t="s">
        <v>2272</v>
      </c>
      <c r="R3992" s="198" t="s">
        <v>2272</v>
      </c>
      <c r="S3992" s="198" t="s">
        <v>2272</v>
      </c>
      <c r="T3992" s="198" t="s">
        <v>2272</v>
      </c>
      <c r="U3992" s="198" t="s">
        <v>2272</v>
      </c>
      <c r="V3992" s="198" t="s">
        <v>2272</v>
      </c>
      <c r="W3992" s="198" t="s">
        <v>2272</v>
      </c>
      <c r="X3992" s="198" t="s">
        <v>2272</v>
      </c>
      <c r="Y3992" s="198" t="s">
        <v>2272</v>
      </c>
      <c r="Z3992" s="198" t="s">
        <v>2272</v>
      </c>
      <c r="AA3992" s="198" t="s">
        <v>2272</v>
      </c>
      <c r="AB3992" s="198"/>
      <c r="AC3992" s="4" t="s">
        <v>10266</v>
      </c>
    </row>
    <row r="3993" spans="1:29" ht="50.5" customHeight="1">
      <c r="A3993" s="151" t="str">
        <f>'Reported burning'!A3993</f>
        <v>439a</v>
      </c>
      <c r="B3993" s="151" t="str">
        <f>'Reported burning'!B3993</f>
        <v>439a.1</v>
      </c>
      <c r="C3993" s="151" t="str">
        <f>'Reported burning'!C3993</f>
        <v>Human, escaped</v>
      </c>
      <c r="D3993" s="151" t="str">
        <f>'Reported burning'!D3993</f>
        <v>ND</v>
      </c>
      <c r="E3993" s="151" t="str">
        <f>'Reported burning'!E3993</f>
        <v>Forestry, Traditional</v>
      </c>
      <c r="F3993" s="151" t="str">
        <f>'Reported burning'!F3993</f>
        <v>ND</v>
      </c>
      <c r="G3993" s="151" t="str">
        <f>'Reported burning'!G3993</f>
        <v>Forest</v>
      </c>
      <c r="H3993" s="151" t="str">
        <f>'Reported burning'!H3993</f>
        <v>Presence</v>
      </c>
      <c r="I3993" s="198"/>
      <c r="J3993" s="71" t="s">
        <v>2272</v>
      </c>
      <c r="K3993" s="71" t="s">
        <v>2272</v>
      </c>
      <c r="L3993" s="71" t="s">
        <v>2272</v>
      </c>
      <c r="M3993" s="71" t="s">
        <v>2272</v>
      </c>
      <c r="N3993" s="71" t="s">
        <v>2272</v>
      </c>
      <c r="O3993" s="71" t="s">
        <v>2272</v>
      </c>
      <c r="P3993" s="71" t="s">
        <v>2272</v>
      </c>
      <c r="Q3993" s="71" t="s">
        <v>2272</v>
      </c>
      <c r="R3993" s="71" t="s">
        <v>2272</v>
      </c>
      <c r="S3993" s="71" t="s">
        <v>2272</v>
      </c>
      <c r="T3993" s="71" t="s">
        <v>2272</v>
      </c>
      <c r="U3993" s="71" t="s">
        <v>2272</v>
      </c>
      <c r="V3993" s="71" t="s">
        <v>2272</v>
      </c>
      <c r="W3993" s="71" t="s">
        <v>2272</v>
      </c>
      <c r="X3993" s="71" t="s">
        <v>2272</v>
      </c>
      <c r="Y3993" s="71" t="s">
        <v>2272</v>
      </c>
      <c r="Z3993" s="71" t="s">
        <v>2272</v>
      </c>
      <c r="AA3993" s="71" t="s">
        <v>2272</v>
      </c>
      <c r="AB3993" s="198"/>
      <c r="AC3993" s="198"/>
    </row>
    <row r="3994" spans="1:29" ht="52.5" customHeight="1">
      <c r="A3994" s="151" t="str">
        <f>'Reported burning'!A3994</f>
        <v>440a</v>
      </c>
      <c r="B3994" s="151" t="str">
        <f>'Reported burning'!B3994</f>
        <v>440a.1</v>
      </c>
      <c r="C3994" s="151" t="str">
        <f>'Reported burning'!C3994</f>
        <v>All</v>
      </c>
      <c r="D3994" s="151" t="str">
        <f>'Reported burning'!D3994</f>
        <v>ND</v>
      </c>
      <c r="E3994" s="151" t="str">
        <f>'Reported burning'!E3994</f>
        <v>ND</v>
      </c>
      <c r="F3994" s="151" t="str">
        <f>'Reported burning'!F3994</f>
        <v>ND</v>
      </c>
      <c r="G3994" s="151" t="str">
        <f>'Reported burning'!G3994</f>
        <v>Forest</v>
      </c>
      <c r="H3994" s="151" t="str">
        <f>'Reported burning'!H3994</f>
        <v>Presence</v>
      </c>
      <c r="I3994" s="198"/>
      <c r="J3994" s="71" t="s">
        <v>2272</v>
      </c>
      <c r="K3994" s="71" t="s">
        <v>2272</v>
      </c>
      <c r="L3994" s="71" t="s">
        <v>2272</v>
      </c>
      <c r="M3994" s="71" t="s">
        <v>2272</v>
      </c>
      <c r="N3994" s="71" t="s">
        <v>2272</v>
      </c>
      <c r="O3994" s="71" t="s">
        <v>2272</v>
      </c>
      <c r="P3994" s="71" t="s">
        <v>2272</v>
      </c>
      <c r="Q3994" s="71" t="s">
        <v>2272</v>
      </c>
      <c r="R3994" s="71" t="s">
        <v>2272</v>
      </c>
      <c r="S3994" s="21" t="s">
        <v>2358</v>
      </c>
      <c r="T3994" s="71" t="s">
        <v>2272</v>
      </c>
      <c r="U3994" s="71" t="s">
        <v>2272</v>
      </c>
      <c r="V3994" s="71" t="s">
        <v>2272</v>
      </c>
      <c r="W3994" s="71" t="s">
        <v>2272</v>
      </c>
      <c r="X3994" s="71" t="s">
        <v>2272</v>
      </c>
      <c r="Y3994" s="71" t="s">
        <v>2272</v>
      </c>
      <c r="Z3994" s="71" t="s">
        <v>2272</v>
      </c>
      <c r="AA3994" s="71" t="s">
        <v>2272</v>
      </c>
      <c r="AB3994" s="198"/>
      <c r="AC3994" s="198"/>
    </row>
    <row r="3995" spans="1:29" ht="52.5" customHeight="1">
      <c r="A3995" s="151" t="str">
        <f>'Reported burning'!A3995</f>
        <v>440a</v>
      </c>
      <c r="B3995" s="151" t="str">
        <f>'Reported burning'!B3995</f>
        <v>440a.2</v>
      </c>
      <c r="C3995" s="151" t="str">
        <f>'Reported burning'!C3995</f>
        <v>Human, escaped</v>
      </c>
      <c r="D3995" s="151" t="str">
        <f>'Reported burning'!D3995</f>
        <v>ND</v>
      </c>
      <c r="E3995" s="151" t="str">
        <f>'Reported burning'!E3995</f>
        <v>ND</v>
      </c>
      <c r="F3995" s="151" t="str">
        <f>'Reported burning'!F3995</f>
        <v>ND</v>
      </c>
      <c r="G3995" s="151" t="str">
        <f>'Reported burning'!G3995</f>
        <v>Forest</v>
      </c>
      <c r="H3995" s="151" t="str">
        <f>'Reported burning'!H3995</f>
        <v>Presence</v>
      </c>
      <c r="I3995" s="198"/>
      <c r="J3995" s="71" t="s">
        <v>2272</v>
      </c>
      <c r="K3995" s="71" t="s">
        <v>2272</v>
      </c>
      <c r="L3995" s="71" t="s">
        <v>2272</v>
      </c>
      <c r="M3995" s="71" t="s">
        <v>2272</v>
      </c>
      <c r="N3995" s="71" t="s">
        <v>2272</v>
      </c>
      <c r="O3995" s="71" t="s">
        <v>2272</v>
      </c>
      <c r="P3995" s="71" t="s">
        <v>2272</v>
      </c>
      <c r="Q3995" s="71" t="s">
        <v>2272</v>
      </c>
      <c r="R3995" s="71" t="s">
        <v>2272</v>
      </c>
      <c r="S3995" s="71" t="s">
        <v>2272</v>
      </c>
      <c r="T3995" s="71" t="s">
        <v>2272</v>
      </c>
      <c r="U3995" s="71" t="s">
        <v>2272</v>
      </c>
      <c r="V3995" s="71" t="s">
        <v>2272</v>
      </c>
      <c r="W3995" s="71" t="s">
        <v>2272</v>
      </c>
      <c r="X3995" s="71" t="s">
        <v>2272</v>
      </c>
      <c r="Y3995" s="71" t="s">
        <v>2272</v>
      </c>
      <c r="Z3995" s="71" t="s">
        <v>2272</v>
      </c>
      <c r="AA3995" s="71" t="s">
        <v>2272</v>
      </c>
      <c r="AB3995" s="4" t="s">
        <v>10282</v>
      </c>
      <c r="AC3995" s="198"/>
    </row>
    <row r="3996" spans="1:29" ht="52.5" customHeight="1">
      <c r="A3996" s="151" t="str">
        <f>'Reported burning'!A3996</f>
        <v>440a</v>
      </c>
      <c r="B3996" s="151" t="str">
        <f>'Reported burning'!B3996</f>
        <v>440a.3</v>
      </c>
      <c r="C3996" s="151" t="str">
        <f>'Reported burning'!C3996</f>
        <v>Human, deliberate</v>
      </c>
      <c r="D3996" s="151" t="str">
        <f>'Reported burning'!D3996</f>
        <v>Crop residue burning</v>
      </c>
      <c r="E3996" s="151" t="str">
        <f>'Reported burning'!E3996</f>
        <v>Cropping, Intensive</v>
      </c>
      <c r="F3996" s="151" t="str">
        <f>'Reported burning'!F3996</f>
        <v>Cropland</v>
      </c>
      <c r="G3996" s="151" t="str">
        <f>'Reported burning'!G3996</f>
        <v>Cropland</v>
      </c>
      <c r="H3996" s="151" t="str">
        <f>'Reported burning'!H3996</f>
        <v>Presence</v>
      </c>
      <c r="I3996" s="198"/>
      <c r="J3996" s="71" t="s">
        <v>2272</v>
      </c>
      <c r="K3996" s="71" t="s">
        <v>2272</v>
      </c>
      <c r="L3996" s="71" t="s">
        <v>2272</v>
      </c>
      <c r="M3996" s="71" t="s">
        <v>2272</v>
      </c>
      <c r="N3996" s="71" t="s">
        <v>2272</v>
      </c>
      <c r="O3996" s="71" t="s">
        <v>2272</v>
      </c>
      <c r="P3996" s="71" t="s">
        <v>2272</v>
      </c>
      <c r="Q3996" s="71" t="s">
        <v>2272</v>
      </c>
      <c r="R3996" s="71" t="s">
        <v>2272</v>
      </c>
      <c r="S3996" s="71" t="s">
        <v>2272</v>
      </c>
      <c r="T3996" s="71" t="s">
        <v>2272</v>
      </c>
      <c r="U3996" s="71" t="s">
        <v>2272</v>
      </c>
      <c r="V3996" s="71" t="s">
        <v>2272</v>
      </c>
      <c r="W3996" s="71" t="s">
        <v>2272</v>
      </c>
      <c r="X3996" s="71" t="s">
        <v>2272</v>
      </c>
      <c r="Y3996" s="71" t="s">
        <v>2272</v>
      </c>
      <c r="Z3996" s="71" t="s">
        <v>2272</v>
      </c>
      <c r="AA3996" s="71" t="s">
        <v>2272</v>
      </c>
      <c r="AB3996" s="198"/>
      <c r="AC3996" s="198"/>
    </row>
    <row r="3997" spans="1:29" ht="52.5" customHeight="1">
      <c r="A3997" s="151" t="str">
        <f>'Reported burning'!A3997</f>
        <v>440a</v>
      </c>
      <c r="B3997" s="151" t="str">
        <f>'Reported burning'!B3997</f>
        <v>440a.4</v>
      </c>
      <c r="C3997" s="151" t="str">
        <f>'Reported burning'!C3997</f>
        <v>Human, escaped</v>
      </c>
      <c r="D3997" s="151" t="str">
        <f>'Reported burning'!D3997</f>
        <v>Crop residue burning</v>
      </c>
      <c r="E3997" s="151" t="str">
        <f>'Reported burning'!E3997</f>
        <v>Cropping, Intensive</v>
      </c>
      <c r="F3997" s="151" t="str">
        <f>'Reported burning'!F3997</f>
        <v>Cropland</v>
      </c>
      <c r="G3997" s="151" t="str">
        <f>'Reported burning'!G3997</f>
        <v>Forest</v>
      </c>
      <c r="H3997" s="151" t="str">
        <f>'Reported burning'!H3997</f>
        <v>Presence</v>
      </c>
      <c r="I3997" s="198"/>
      <c r="J3997" s="71" t="s">
        <v>2272</v>
      </c>
      <c r="K3997" s="71" t="s">
        <v>2272</v>
      </c>
      <c r="L3997" s="71" t="s">
        <v>2272</v>
      </c>
      <c r="M3997" s="71" t="s">
        <v>2272</v>
      </c>
      <c r="N3997" s="71" t="s">
        <v>2272</v>
      </c>
      <c r="O3997" s="71" t="s">
        <v>2272</v>
      </c>
      <c r="P3997" s="71" t="s">
        <v>2272</v>
      </c>
      <c r="Q3997" s="71" t="s">
        <v>2272</v>
      </c>
      <c r="R3997" s="71" t="s">
        <v>2272</v>
      </c>
      <c r="S3997" s="71" t="s">
        <v>2272</v>
      </c>
      <c r="T3997" s="71" t="s">
        <v>2272</v>
      </c>
      <c r="U3997" s="71" t="s">
        <v>2272</v>
      </c>
      <c r="V3997" s="71" t="s">
        <v>2272</v>
      </c>
      <c r="W3997" s="71" t="s">
        <v>2272</v>
      </c>
      <c r="X3997" s="71" t="s">
        <v>2272</v>
      </c>
      <c r="Y3997" s="71" t="s">
        <v>2272</v>
      </c>
      <c r="Z3997" s="71" t="s">
        <v>2272</v>
      </c>
      <c r="AA3997" s="71" t="s">
        <v>2272</v>
      </c>
      <c r="AB3997" s="4" t="s">
        <v>10283</v>
      </c>
      <c r="AC3997" s="198"/>
    </row>
    <row r="3998" spans="1:29" ht="52.5" customHeight="1">
      <c r="A3998" s="151" t="str">
        <f>'Reported burning'!A3998</f>
        <v>441a</v>
      </c>
      <c r="B3998" s="151" t="str">
        <f>'Reported burning'!B3998</f>
        <v>441a.1</v>
      </c>
      <c r="C3998" s="151" t="str">
        <f>'Reported burning'!C3998</f>
        <v>Human, escaped</v>
      </c>
      <c r="D3998" s="151" t="str">
        <f>'Reported burning'!D3998</f>
        <v>ND</v>
      </c>
      <c r="E3998" s="151" t="str">
        <f>'Reported burning'!E3998</f>
        <v>ND</v>
      </c>
      <c r="F3998" s="151" t="str">
        <f>'Reported burning'!F3998</f>
        <v>ND</v>
      </c>
      <c r="G3998" s="151" t="str">
        <f>'Reported burning'!G3998</f>
        <v>ND</v>
      </c>
      <c r="H3998" s="151" t="str">
        <f>'Reported burning'!H3998</f>
        <v>Presence</v>
      </c>
      <c r="I3998" s="198"/>
      <c r="J3998" s="71" t="s">
        <v>2272</v>
      </c>
      <c r="K3998" s="71" t="s">
        <v>2272</v>
      </c>
      <c r="L3998" s="71" t="s">
        <v>2272</v>
      </c>
      <c r="M3998" s="71" t="s">
        <v>2272</v>
      </c>
      <c r="N3998" s="71" t="s">
        <v>2272</v>
      </c>
      <c r="O3998" s="71" t="s">
        <v>2272</v>
      </c>
      <c r="P3998" s="71" t="s">
        <v>2272</v>
      </c>
      <c r="Q3998" s="71" t="s">
        <v>2272</v>
      </c>
      <c r="R3998" s="71" t="s">
        <v>2272</v>
      </c>
      <c r="S3998" s="21" t="s">
        <v>2358</v>
      </c>
      <c r="T3998" s="71" t="s">
        <v>2272</v>
      </c>
      <c r="U3998" s="71" t="s">
        <v>2272</v>
      </c>
      <c r="V3998" s="71" t="s">
        <v>2272</v>
      </c>
      <c r="W3998" s="71" t="s">
        <v>2272</v>
      </c>
      <c r="X3998" s="71" t="s">
        <v>2272</v>
      </c>
      <c r="Y3998" s="71" t="s">
        <v>2272</v>
      </c>
      <c r="Z3998" s="71" t="s">
        <v>2272</v>
      </c>
      <c r="AA3998" s="71" t="s">
        <v>2272</v>
      </c>
      <c r="AB3998" s="4" t="s">
        <v>10298</v>
      </c>
      <c r="AC3998" s="198"/>
    </row>
    <row r="3999" spans="1:29" ht="138.5" customHeight="1">
      <c r="A3999" s="151" t="str">
        <f>'Reported burning'!A3999</f>
        <v>441a</v>
      </c>
      <c r="B3999" s="151" t="str">
        <f>'Reported burning'!B3999</f>
        <v>441a.2</v>
      </c>
      <c r="C3999" s="151" t="str">
        <f>'Reported burning'!C3999</f>
        <v>Human, deliberate</v>
      </c>
      <c r="D3999" s="151" t="str">
        <f>'Reported burning'!D3999</f>
        <v>ND</v>
      </c>
      <c r="E3999" s="151" t="str">
        <f>'Reported burning'!E3999</f>
        <v>ND</v>
      </c>
      <c r="F3999" s="151" t="str">
        <f>'Reported burning'!F3999</f>
        <v>ND</v>
      </c>
      <c r="G3999" s="151" t="str">
        <f>'Reported burning'!G3999</f>
        <v>ND</v>
      </c>
      <c r="H3999" s="151" t="str">
        <f>'Reported burning'!H3999</f>
        <v>Presence</v>
      </c>
      <c r="I3999" s="198"/>
      <c r="J3999" s="71" t="s">
        <v>2272</v>
      </c>
      <c r="K3999" s="71" t="s">
        <v>2272</v>
      </c>
      <c r="L3999" s="71" t="s">
        <v>2272</v>
      </c>
      <c r="M3999" s="71" t="s">
        <v>2272</v>
      </c>
      <c r="N3999" s="71" t="s">
        <v>2272</v>
      </c>
      <c r="O3999" s="71" t="s">
        <v>2272</v>
      </c>
      <c r="P3999" s="71" t="s">
        <v>2272</v>
      </c>
      <c r="Q3999" s="71" t="s">
        <v>2272</v>
      </c>
      <c r="R3999" s="71" t="s">
        <v>2272</v>
      </c>
      <c r="S3999" s="71" t="s">
        <v>2272</v>
      </c>
      <c r="T3999" s="71" t="s">
        <v>2272</v>
      </c>
      <c r="U3999" s="71" t="s">
        <v>2272</v>
      </c>
      <c r="V3999" s="71" t="s">
        <v>2272</v>
      </c>
      <c r="W3999" s="71" t="s">
        <v>2272</v>
      </c>
      <c r="X3999" s="71" t="s">
        <v>2272</v>
      </c>
      <c r="Y3999" s="71" t="s">
        <v>2272</v>
      </c>
      <c r="Z3999" s="71" t="s">
        <v>2272</v>
      </c>
      <c r="AA3999" s="71" t="s">
        <v>2272</v>
      </c>
      <c r="AB3999" s="198"/>
      <c r="AC3999" s="198"/>
    </row>
    <row r="4000" spans="1:29" ht="58.5" customHeight="1">
      <c r="A4000" s="151" t="str">
        <f>'Reported burning'!A4000</f>
        <v>441a</v>
      </c>
      <c r="B4000" s="151" t="str">
        <f>'Reported burning'!B4000</f>
        <v>441a.3</v>
      </c>
      <c r="C4000" s="151" t="str">
        <f>'Reported burning'!C4000</f>
        <v>Unknown</v>
      </c>
      <c r="D4000" s="151" t="str">
        <f>'Reported burning'!D4000</f>
        <v>ND</v>
      </c>
      <c r="E4000" s="151" t="str">
        <f>'Reported burning'!E4000</f>
        <v>Cattle, Intensive</v>
      </c>
      <c r="F4000" s="151" t="str">
        <f>'Reported burning'!F4000</f>
        <v>ND</v>
      </c>
      <c r="G4000" s="151" t="str">
        <f>'Reported burning'!G4000</f>
        <v>ND</v>
      </c>
      <c r="H4000" s="151" t="str">
        <f>'Reported burning'!H4000</f>
        <v>Presence</v>
      </c>
      <c r="I4000" s="198"/>
      <c r="J4000" s="71" t="s">
        <v>2272</v>
      </c>
      <c r="K4000" s="71" t="s">
        <v>2272</v>
      </c>
      <c r="L4000" s="71" t="s">
        <v>2272</v>
      </c>
      <c r="M4000" s="71" t="s">
        <v>2272</v>
      </c>
      <c r="N4000" s="71" t="s">
        <v>2272</v>
      </c>
      <c r="O4000" s="71" t="s">
        <v>2272</v>
      </c>
      <c r="P4000" s="71" t="s">
        <v>2272</v>
      </c>
      <c r="Q4000" s="71" t="s">
        <v>2272</v>
      </c>
      <c r="R4000" s="71" t="s">
        <v>2272</v>
      </c>
      <c r="S4000" s="71" t="s">
        <v>2272</v>
      </c>
      <c r="T4000" s="71" t="s">
        <v>2272</v>
      </c>
      <c r="U4000" s="71" t="s">
        <v>2272</v>
      </c>
      <c r="V4000" s="71" t="s">
        <v>2272</v>
      </c>
      <c r="W4000" s="71" t="s">
        <v>2272</v>
      </c>
      <c r="X4000" s="71" t="s">
        <v>2272</v>
      </c>
      <c r="Y4000" s="71" t="s">
        <v>2272</v>
      </c>
      <c r="Z4000" s="71" t="s">
        <v>2272</v>
      </c>
      <c r="AA4000" s="71" t="s">
        <v>2272</v>
      </c>
      <c r="AB4000" s="19" t="s">
        <v>10297</v>
      </c>
      <c r="AC4000" s="198"/>
    </row>
    <row r="4001" spans="1:29" ht="50.5" customHeight="1">
      <c r="A4001" s="151" t="str">
        <f>'Reported burning'!A4001</f>
        <v>441a</v>
      </c>
      <c r="B4001" s="151" t="str">
        <f>'Reported burning'!B4001</f>
        <v>441a.4</v>
      </c>
      <c r="C4001" s="151" t="str">
        <f>'Reported burning'!C4001</f>
        <v>Unknown</v>
      </c>
      <c r="D4001" s="151" t="str">
        <f>'Reported burning'!D4001</f>
        <v>ND</v>
      </c>
      <c r="E4001" s="151" t="str">
        <f>'Reported burning'!E4001</f>
        <v>Cropping, Intensive</v>
      </c>
      <c r="F4001" s="151" t="str">
        <f>'Reported burning'!F4001</f>
        <v>ND</v>
      </c>
      <c r="G4001" s="151" t="str">
        <f>'Reported burning'!G4001</f>
        <v>ND</v>
      </c>
      <c r="H4001" s="151" t="str">
        <f>'Reported burning'!H4001</f>
        <v>Presence</v>
      </c>
      <c r="I4001" s="198"/>
      <c r="J4001" s="71" t="s">
        <v>2272</v>
      </c>
      <c r="K4001" s="71" t="s">
        <v>2272</v>
      </c>
      <c r="L4001" s="71" t="s">
        <v>2272</v>
      </c>
      <c r="M4001" s="71" t="s">
        <v>2272</v>
      </c>
      <c r="N4001" s="71" t="s">
        <v>2272</v>
      </c>
      <c r="O4001" s="71" t="s">
        <v>2272</v>
      </c>
      <c r="P4001" s="71" t="s">
        <v>2272</v>
      </c>
      <c r="Q4001" s="71" t="s">
        <v>2272</v>
      </c>
      <c r="R4001" s="71" t="s">
        <v>2272</v>
      </c>
      <c r="S4001" s="71" t="s">
        <v>2272</v>
      </c>
      <c r="T4001" s="71" t="s">
        <v>2272</v>
      </c>
      <c r="U4001" s="71" t="s">
        <v>2272</v>
      </c>
      <c r="V4001" s="71" t="s">
        <v>2272</v>
      </c>
      <c r="W4001" s="71" t="s">
        <v>2272</v>
      </c>
      <c r="X4001" s="71" t="s">
        <v>2272</v>
      </c>
      <c r="Y4001" s="71" t="s">
        <v>2272</v>
      </c>
      <c r="Z4001" s="71" t="s">
        <v>2272</v>
      </c>
      <c r="AA4001" s="71" t="s">
        <v>2272</v>
      </c>
      <c r="AB4001" s="19" t="s">
        <v>10297</v>
      </c>
      <c r="AC4001" s="198"/>
    </row>
    <row r="4002" spans="1:29" ht="50.5" customHeight="1">
      <c r="A4002" s="151" t="str">
        <f>'Reported burning'!A4002</f>
        <v>441a</v>
      </c>
      <c r="B4002" s="151" t="str">
        <f>'Reported burning'!B4002</f>
        <v>441a.5</v>
      </c>
      <c r="C4002" s="151" t="str">
        <f>'Reported burning'!C4002</f>
        <v>Unknown</v>
      </c>
      <c r="D4002" s="151" t="str">
        <f>'Reported burning'!D4002</f>
        <v>ND</v>
      </c>
      <c r="E4002" s="151" t="str">
        <f>'Reported burning'!E4002</f>
        <v>Urban planner</v>
      </c>
      <c r="F4002" s="151" t="str">
        <f>'Reported burning'!F4002</f>
        <v>ND</v>
      </c>
      <c r="G4002" s="151" t="str">
        <f>'Reported burning'!G4002</f>
        <v>ND</v>
      </c>
      <c r="H4002" s="151" t="str">
        <f>'Reported burning'!H4002</f>
        <v>Presence</v>
      </c>
      <c r="I4002" s="198"/>
      <c r="J4002" s="71" t="s">
        <v>2272</v>
      </c>
      <c r="K4002" s="71" t="s">
        <v>2272</v>
      </c>
      <c r="L4002" s="71" t="s">
        <v>2272</v>
      </c>
      <c r="M4002" s="71" t="s">
        <v>2272</v>
      </c>
      <c r="N4002" s="71" t="s">
        <v>2272</v>
      </c>
      <c r="O4002" s="71" t="s">
        <v>2272</v>
      </c>
      <c r="P4002" s="71" t="s">
        <v>2272</v>
      </c>
      <c r="Q4002" s="71" t="s">
        <v>2272</v>
      </c>
      <c r="R4002" s="71" t="s">
        <v>2272</v>
      </c>
      <c r="S4002" s="71" t="s">
        <v>2272</v>
      </c>
      <c r="T4002" s="71" t="s">
        <v>2272</v>
      </c>
      <c r="U4002" s="71" t="s">
        <v>2272</v>
      </c>
      <c r="V4002" s="71" t="s">
        <v>2272</v>
      </c>
      <c r="W4002" s="71" t="s">
        <v>2272</v>
      </c>
      <c r="X4002" s="71" t="s">
        <v>2272</v>
      </c>
      <c r="Y4002" s="71" t="s">
        <v>2272</v>
      </c>
      <c r="Z4002" s="71" t="s">
        <v>2272</v>
      </c>
      <c r="AA4002" s="71" t="s">
        <v>2272</v>
      </c>
      <c r="AB4002" s="19" t="s">
        <v>10297</v>
      </c>
      <c r="AC4002" s="198"/>
    </row>
    <row r="4003" spans="1:29" ht="46" customHeight="1">
      <c r="A4003" s="147" t="str">
        <f>'Reported burning'!A4003</f>
        <v>441a</v>
      </c>
      <c r="B4003" s="147" t="str">
        <f>'Reported burning'!B4003</f>
        <v>441a.6</v>
      </c>
      <c r="C4003" s="147" t="str">
        <f>'Reported burning'!C4003</f>
        <v>Human, deliberate</v>
      </c>
      <c r="D4003" s="147" t="str">
        <f>'Reported burning'!D4003</f>
        <v>Conservation</v>
      </c>
      <c r="E4003" s="147" t="str">
        <f>'Reported burning'!E4003</f>
        <v>Forestry, Industrial</v>
      </c>
      <c r="F4003" s="147" t="str">
        <f>'Reported burning'!F4003</f>
        <v>Forest</v>
      </c>
      <c r="G4003" s="147" t="str">
        <f>'Reported burning'!G4003</f>
        <v>Forest</v>
      </c>
      <c r="H4003" s="147" t="str">
        <f>'Reported burning'!H4003</f>
        <v>Absence</v>
      </c>
      <c r="I4003" s="198"/>
      <c r="J4003" s="21">
        <v>0</v>
      </c>
      <c r="K4003" s="21">
        <v>0</v>
      </c>
      <c r="L4003" s="21">
        <v>0</v>
      </c>
      <c r="M4003" s="21">
        <v>0</v>
      </c>
      <c r="N4003" s="21">
        <v>0</v>
      </c>
      <c r="O4003" s="21">
        <v>0</v>
      </c>
      <c r="P4003" s="21">
        <v>0</v>
      </c>
      <c r="Q4003" s="21">
        <v>0</v>
      </c>
      <c r="R4003" s="21">
        <v>0</v>
      </c>
      <c r="S4003" s="21">
        <v>0</v>
      </c>
      <c r="T4003" s="21">
        <v>0</v>
      </c>
      <c r="U4003" s="21">
        <v>0</v>
      </c>
      <c r="V4003" s="21">
        <v>0</v>
      </c>
      <c r="W4003" s="21">
        <v>0</v>
      </c>
      <c r="X4003" s="71" t="s">
        <v>2272</v>
      </c>
      <c r="Y4003" s="71" t="s">
        <v>2272</v>
      </c>
      <c r="Z4003" s="71" t="s">
        <v>2272</v>
      </c>
      <c r="AA4003" s="71" t="s">
        <v>2272</v>
      </c>
      <c r="AB4003" s="19" t="s">
        <v>10302</v>
      </c>
      <c r="AC4003" s="198"/>
    </row>
    <row r="4004" spans="1:29" ht="46" customHeight="1">
      <c r="A4004" s="151" t="str">
        <f>'Reported burning'!A4004</f>
        <v>442a</v>
      </c>
      <c r="B4004" s="151" t="str">
        <f>'Reported burning'!B4004</f>
        <v>442a.1</v>
      </c>
      <c r="C4004" s="151" t="str">
        <f>'Reported burning'!C4004</f>
        <v>Human, escaped</v>
      </c>
      <c r="D4004" s="151" t="str">
        <f>'Reported burning'!D4004</f>
        <v>ND</v>
      </c>
      <c r="E4004" s="151" t="str">
        <f>'Reported burning'!E4004</f>
        <v>ND</v>
      </c>
      <c r="F4004" s="151" t="str">
        <f>'Reported burning'!F4004</f>
        <v>ND</v>
      </c>
      <c r="G4004" s="151" t="str">
        <f>'Reported burning'!G4004</f>
        <v>ND</v>
      </c>
      <c r="H4004" s="151" t="str">
        <f>'Reported burning'!H4004</f>
        <v>Presence</v>
      </c>
      <c r="I4004" s="198"/>
      <c r="J4004" s="71" t="s">
        <v>2272</v>
      </c>
      <c r="K4004" s="71" t="s">
        <v>2272</v>
      </c>
      <c r="L4004" s="71" t="s">
        <v>2272</v>
      </c>
      <c r="M4004" s="21" t="s">
        <v>2358</v>
      </c>
      <c r="N4004" s="71" t="s">
        <v>2272</v>
      </c>
      <c r="O4004" s="71" t="s">
        <v>2272</v>
      </c>
      <c r="P4004" s="71" t="s">
        <v>2272</v>
      </c>
      <c r="Q4004" s="71" t="s">
        <v>2272</v>
      </c>
      <c r="R4004" s="71" t="s">
        <v>2272</v>
      </c>
      <c r="S4004" s="21" t="s">
        <v>2358</v>
      </c>
      <c r="T4004" s="71" t="s">
        <v>2272</v>
      </c>
      <c r="U4004" s="71" t="s">
        <v>2272</v>
      </c>
      <c r="V4004" s="71" t="s">
        <v>2272</v>
      </c>
      <c r="W4004" s="71" t="s">
        <v>2272</v>
      </c>
      <c r="X4004" s="71" t="s">
        <v>2272</v>
      </c>
      <c r="Y4004" s="198" t="s">
        <v>37</v>
      </c>
      <c r="Z4004" s="198" t="s">
        <v>34</v>
      </c>
      <c r="AA4004" s="198" t="s">
        <v>2650</v>
      </c>
      <c r="AB4004" s="4" t="s">
        <v>10312</v>
      </c>
      <c r="AC4004" s="198"/>
    </row>
    <row r="4005" spans="1:29" ht="46" customHeight="1">
      <c r="A4005" s="151" t="str">
        <f>'Reported burning'!A4005</f>
        <v>442a</v>
      </c>
      <c r="B4005" s="151" t="str">
        <f>'Reported burning'!B4005</f>
        <v>442a.2</v>
      </c>
      <c r="C4005" s="151" t="str">
        <f>'Reported burning'!C4005</f>
        <v>Human, deliberate</v>
      </c>
      <c r="D4005" s="151" t="str">
        <f>'Reported burning'!D4005</f>
        <v>Domestic</v>
      </c>
      <c r="E4005" s="151" t="str">
        <f>'Reported burning'!E4005</f>
        <v>ND</v>
      </c>
      <c r="F4005" s="151" t="str">
        <f>'Reported burning'!F4005</f>
        <v>ND</v>
      </c>
      <c r="G4005" s="151" t="str">
        <f>'Reported burning'!G4005</f>
        <v>ND</v>
      </c>
      <c r="H4005" s="151" t="str">
        <f>'Reported burning'!H4005</f>
        <v>Presence</v>
      </c>
      <c r="I4005" s="198"/>
      <c r="J4005" s="71" t="s">
        <v>2272</v>
      </c>
      <c r="K4005" s="71" t="s">
        <v>2272</v>
      </c>
      <c r="L4005" s="71" t="s">
        <v>2272</v>
      </c>
      <c r="M4005" s="71" t="s">
        <v>2272</v>
      </c>
      <c r="N4005" s="71" t="s">
        <v>2272</v>
      </c>
      <c r="O4005" s="71" t="s">
        <v>2272</v>
      </c>
      <c r="P4005" s="71" t="s">
        <v>2272</v>
      </c>
      <c r="Q4005" s="71" t="s">
        <v>2272</v>
      </c>
      <c r="R4005" s="71" t="s">
        <v>2272</v>
      </c>
      <c r="S4005" s="71" t="s">
        <v>2272</v>
      </c>
      <c r="T4005" s="71" t="s">
        <v>2272</v>
      </c>
      <c r="U4005" s="71" t="s">
        <v>2272</v>
      </c>
      <c r="V4005" s="71" t="s">
        <v>2272</v>
      </c>
      <c r="W4005" s="71" t="s">
        <v>2272</v>
      </c>
      <c r="X4005" s="71" t="s">
        <v>2272</v>
      </c>
      <c r="Y4005" s="71" t="s">
        <v>2272</v>
      </c>
      <c r="Z4005" s="71" t="s">
        <v>2272</v>
      </c>
      <c r="AA4005" s="71" t="s">
        <v>2272</v>
      </c>
      <c r="AB4005" s="198"/>
      <c r="AC4005" s="198"/>
    </row>
    <row r="4006" spans="1:29" ht="46" customHeight="1">
      <c r="A4006" s="151" t="str">
        <f>'Reported burning'!A4006</f>
        <v>442a</v>
      </c>
      <c r="B4006" s="151" t="str">
        <f>'Reported burning'!B4006</f>
        <v>442a.3</v>
      </c>
      <c r="C4006" s="151" t="str">
        <f>'Reported burning'!C4006</f>
        <v>Human, deliberate</v>
      </c>
      <c r="D4006" s="151" t="str">
        <f>'Reported burning'!D4006</f>
        <v>Land clearance</v>
      </c>
      <c r="E4006" s="151" t="str">
        <f>'Reported burning'!E4006</f>
        <v>ND</v>
      </c>
      <c r="F4006" s="151" t="str">
        <f>'Reported burning'!F4006</f>
        <v>ND</v>
      </c>
      <c r="G4006" s="151" t="str">
        <f>'Reported burning'!G4006</f>
        <v>ND</v>
      </c>
      <c r="H4006" s="151" t="str">
        <f>'Reported burning'!H4006</f>
        <v>Presence</v>
      </c>
      <c r="I4006" s="198"/>
      <c r="J4006" s="71" t="s">
        <v>2272</v>
      </c>
      <c r="K4006" s="71" t="s">
        <v>2272</v>
      </c>
      <c r="L4006" s="71" t="s">
        <v>2272</v>
      </c>
      <c r="M4006" s="71" t="s">
        <v>2272</v>
      </c>
      <c r="N4006" s="71" t="s">
        <v>2272</v>
      </c>
      <c r="O4006" s="71" t="s">
        <v>2272</v>
      </c>
      <c r="P4006" s="71" t="s">
        <v>2272</v>
      </c>
      <c r="Q4006" s="71" t="s">
        <v>2272</v>
      </c>
      <c r="R4006" s="71" t="s">
        <v>2272</v>
      </c>
      <c r="S4006" s="71" t="s">
        <v>2272</v>
      </c>
      <c r="T4006" s="71" t="s">
        <v>2272</v>
      </c>
      <c r="U4006" s="71" t="s">
        <v>2272</v>
      </c>
      <c r="V4006" s="71" t="s">
        <v>2272</v>
      </c>
      <c r="W4006" s="71" t="s">
        <v>2272</v>
      </c>
      <c r="X4006" s="71" t="s">
        <v>2272</v>
      </c>
      <c r="Y4006" s="71" t="s">
        <v>2272</v>
      </c>
      <c r="Z4006" s="71" t="s">
        <v>2272</v>
      </c>
      <c r="AA4006" s="71" t="s">
        <v>2272</v>
      </c>
      <c r="AB4006" s="198"/>
      <c r="AC4006" s="198"/>
    </row>
    <row r="4007" spans="1:29" ht="46" customHeight="1">
      <c r="A4007" s="151" t="str">
        <f>'Reported burning'!A4007</f>
        <v>442a</v>
      </c>
      <c r="B4007" s="151" t="str">
        <f>'Reported burning'!B4007</f>
        <v>442a.4</v>
      </c>
      <c r="C4007" s="151" t="str">
        <f>'Reported burning'!C4007</f>
        <v>Human, deliberate</v>
      </c>
      <c r="D4007" s="151" t="str">
        <f>'Reported burning'!D4007</f>
        <v>Arson</v>
      </c>
      <c r="E4007" s="151" t="str">
        <f>'Reported burning'!E4007</f>
        <v>ND</v>
      </c>
      <c r="F4007" s="151" t="str">
        <f>'Reported burning'!F4007</f>
        <v>ND</v>
      </c>
      <c r="G4007" s="151" t="str">
        <f>'Reported burning'!G4007</f>
        <v>ND</v>
      </c>
      <c r="H4007" s="151" t="str">
        <f>'Reported burning'!H4007</f>
        <v>Presence</v>
      </c>
      <c r="I4007" s="198"/>
      <c r="J4007" s="71" t="s">
        <v>2272</v>
      </c>
      <c r="K4007" s="71" t="s">
        <v>2272</v>
      </c>
      <c r="L4007" s="71" t="s">
        <v>2272</v>
      </c>
      <c r="M4007" s="71" t="s">
        <v>2272</v>
      </c>
      <c r="N4007" s="71" t="s">
        <v>2272</v>
      </c>
      <c r="O4007" s="71" t="s">
        <v>2272</v>
      </c>
      <c r="P4007" s="71" t="s">
        <v>2272</v>
      </c>
      <c r="Q4007" s="71" t="s">
        <v>2272</v>
      </c>
      <c r="R4007" s="71" t="s">
        <v>2272</v>
      </c>
      <c r="S4007" s="71" t="s">
        <v>2272</v>
      </c>
      <c r="T4007" s="71" t="s">
        <v>2272</v>
      </c>
      <c r="U4007" s="71" t="s">
        <v>2272</v>
      </c>
      <c r="V4007" s="71" t="s">
        <v>2272</v>
      </c>
      <c r="W4007" s="71" t="s">
        <v>2272</v>
      </c>
      <c r="X4007" s="71" t="s">
        <v>2272</v>
      </c>
      <c r="Y4007" s="71" t="s">
        <v>2272</v>
      </c>
      <c r="Z4007" s="71" t="s">
        <v>2272</v>
      </c>
      <c r="AA4007" s="71" t="s">
        <v>2272</v>
      </c>
      <c r="AB4007" s="198"/>
      <c r="AC4007" s="198"/>
    </row>
    <row r="4008" spans="1:29" ht="46" customHeight="1">
      <c r="A4008" s="151" t="str">
        <f>'Reported burning'!A4008</f>
        <v>442a</v>
      </c>
      <c r="B4008" s="151" t="str">
        <f>'Reported burning'!B4008</f>
        <v>442a.5</v>
      </c>
      <c r="C4008" s="151" t="str">
        <f>'Reported burning'!C4008</f>
        <v>Human, deliberate</v>
      </c>
      <c r="D4008" s="151" t="str">
        <f>'Reported burning'!D4008</f>
        <v>Hunting</v>
      </c>
      <c r="E4008" s="151" t="str">
        <f>'Reported burning'!E4008</f>
        <v>ND</v>
      </c>
      <c r="F4008" s="151" t="str">
        <f>'Reported burning'!F4008</f>
        <v>ND</v>
      </c>
      <c r="G4008" s="151" t="str">
        <f>'Reported burning'!G4008</f>
        <v>ND</v>
      </c>
      <c r="H4008" s="151" t="str">
        <f>'Reported burning'!H4008</f>
        <v>Presence</v>
      </c>
      <c r="I4008" s="198"/>
      <c r="J4008" s="71" t="s">
        <v>2272</v>
      </c>
      <c r="K4008" s="71" t="s">
        <v>2272</v>
      </c>
      <c r="L4008" s="71" t="s">
        <v>2272</v>
      </c>
      <c r="M4008" s="71" t="s">
        <v>2272</v>
      </c>
      <c r="N4008" s="71" t="s">
        <v>2272</v>
      </c>
      <c r="O4008" s="71" t="s">
        <v>2272</v>
      </c>
      <c r="P4008" s="71" t="s">
        <v>2272</v>
      </c>
      <c r="Q4008" s="71" t="s">
        <v>2272</v>
      </c>
      <c r="R4008" s="71" t="s">
        <v>2272</v>
      </c>
      <c r="S4008" s="71" t="s">
        <v>2272</v>
      </c>
      <c r="T4008" s="71" t="s">
        <v>2272</v>
      </c>
      <c r="U4008" s="71" t="s">
        <v>2272</v>
      </c>
      <c r="V4008" s="71" t="s">
        <v>2272</v>
      </c>
      <c r="W4008" s="71" t="s">
        <v>2272</v>
      </c>
      <c r="X4008" s="71" t="s">
        <v>2272</v>
      </c>
      <c r="Y4008" s="71" t="s">
        <v>2272</v>
      </c>
      <c r="Z4008" s="71" t="s">
        <v>2272</v>
      </c>
      <c r="AA4008" s="71" t="s">
        <v>2272</v>
      </c>
      <c r="AB4008" s="198"/>
      <c r="AC4008" s="198"/>
    </row>
    <row r="4009" spans="1:29" ht="46" customHeight="1">
      <c r="A4009" s="151" t="str">
        <f>'Reported burning'!A4009</f>
        <v>442a</v>
      </c>
      <c r="B4009" s="151" t="str">
        <f>'Reported burning'!B4009</f>
        <v>442a.6</v>
      </c>
      <c r="C4009" s="151" t="str">
        <f>'Reported burning'!C4009</f>
        <v>Human, escaped</v>
      </c>
      <c r="D4009" s="151" t="str">
        <f>'Reported burning'!D4009</f>
        <v>Domestic</v>
      </c>
      <c r="E4009" s="151" t="str">
        <f>'Reported burning'!E4009</f>
        <v>ND</v>
      </c>
      <c r="F4009" s="151" t="str">
        <f>'Reported burning'!F4009</f>
        <v>ND</v>
      </c>
      <c r="G4009" s="151" t="str">
        <f>'Reported burning'!G4009</f>
        <v>ND</v>
      </c>
      <c r="H4009" s="151" t="str">
        <f>'Reported burning'!H4009</f>
        <v>Presence</v>
      </c>
      <c r="I4009" s="198"/>
      <c r="J4009" s="71" t="s">
        <v>2272</v>
      </c>
      <c r="K4009" s="71" t="s">
        <v>2272</v>
      </c>
      <c r="L4009" s="71" t="s">
        <v>2272</v>
      </c>
      <c r="M4009" s="71" t="s">
        <v>2272</v>
      </c>
      <c r="N4009" s="71" t="s">
        <v>2272</v>
      </c>
      <c r="O4009" s="71" t="s">
        <v>2272</v>
      </c>
      <c r="P4009" s="71" t="s">
        <v>2272</v>
      </c>
      <c r="Q4009" s="71" t="s">
        <v>2272</v>
      </c>
      <c r="R4009" s="71" t="s">
        <v>2272</v>
      </c>
      <c r="S4009" s="71" t="s">
        <v>2272</v>
      </c>
      <c r="T4009" s="71" t="s">
        <v>2272</v>
      </c>
      <c r="U4009" s="71" t="s">
        <v>2272</v>
      </c>
      <c r="V4009" s="71" t="s">
        <v>2272</v>
      </c>
      <c r="W4009" s="71" t="s">
        <v>2272</v>
      </c>
      <c r="X4009" s="71" t="s">
        <v>2272</v>
      </c>
      <c r="Y4009" s="71" t="s">
        <v>2272</v>
      </c>
      <c r="Z4009" s="71" t="s">
        <v>2272</v>
      </c>
      <c r="AA4009" s="71" t="s">
        <v>2272</v>
      </c>
      <c r="AB4009" s="198"/>
      <c r="AC4009" s="198"/>
    </row>
    <row r="4010" spans="1:29" ht="46" customHeight="1">
      <c r="A4010" s="151" t="str">
        <f>'Reported burning'!A4010</f>
        <v>442a</v>
      </c>
      <c r="B4010" s="151" t="str">
        <f>'Reported burning'!B4010</f>
        <v>442a.7</v>
      </c>
      <c r="C4010" s="151" t="str">
        <f>'Reported burning'!C4010</f>
        <v>Human, escaped</v>
      </c>
      <c r="D4010" s="151" t="str">
        <f>'Reported burning'!D4010</f>
        <v>Land clearance</v>
      </c>
      <c r="E4010" s="151" t="str">
        <f>'Reported burning'!E4010</f>
        <v>ND</v>
      </c>
      <c r="F4010" s="151" t="str">
        <f>'Reported burning'!F4010</f>
        <v>ND</v>
      </c>
      <c r="G4010" s="151" t="str">
        <f>'Reported burning'!G4010</f>
        <v>ND</v>
      </c>
      <c r="H4010" s="151" t="str">
        <f>'Reported burning'!H4010</f>
        <v>Presence</v>
      </c>
      <c r="I4010" s="198"/>
      <c r="J4010" s="71" t="s">
        <v>2272</v>
      </c>
      <c r="K4010" s="71" t="s">
        <v>2272</v>
      </c>
      <c r="L4010" s="71" t="s">
        <v>2272</v>
      </c>
      <c r="M4010" s="71" t="s">
        <v>2272</v>
      </c>
      <c r="N4010" s="71" t="s">
        <v>2272</v>
      </c>
      <c r="O4010" s="71" t="s">
        <v>2272</v>
      </c>
      <c r="P4010" s="71" t="s">
        <v>2272</v>
      </c>
      <c r="Q4010" s="71" t="s">
        <v>2272</v>
      </c>
      <c r="R4010" s="71" t="s">
        <v>2272</v>
      </c>
      <c r="S4010" s="71" t="s">
        <v>2272</v>
      </c>
      <c r="T4010" s="71" t="s">
        <v>2272</v>
      </c>
      <c r="U4010" s="71" t="s">
        <v>2272</v>
      </c>
      <c r="V4010" s="71" t="s">
        <v>2272</v>
      </c>
      <c r="W4010" s="71" t="s">
        <v>2272</v>
      </c>
      <c r="X4010" s="71" t="s">
        <v>2272</v>
      </c>
      <c r="Y4010" s="71" t="s">
        <v>2272</v>
      </c>
      <c r="Z4010" s="71" t="s">
        <v>2272</v>
      </c>
      <c r="AA4010" s="71" t="s">
        <v>2272</v>
      </c>
      <c r="AB4010" s="198"/>
      <c r="AC4010" s="198"/>
    </row>
    <row r="4011" spans="1:29" ht="46" customHeight="1">
      <c r="A4011" s="151" t="str">
        <f>'Reported burning'!A4011</f>
        <v>442a</v>
      </c>
      <c r="B4011" s="151" t="str">
        <f>'Reported burning'!B4011</f>
        <v>442a.8</v>
      </c>
      <c r="C4011" s="151" t="str">
        <f>'Reported burning'!C4011</f>
        <v>Human, escaped</v>
      </c>
      <c r="D4011" s="151" t="str">
        <f>'Reported burning'!D4011</f>
        <v>Hunting</v>
      </c>
      <c r="E4011" s="151" t="str">
        <f>'Reported burning'!E4011</f>
        <v>ND</v>
      </c>
      <c r="F4011" s="151" t="str">
        <f>'Reported burning'!F4011</f>
        <v>ND</v>
      </c>
      <c r="G4011" s="151" t="str">
        <f>'Reported burning'!G4011</f>
        <v>ND</v>
      </c>
      <c r="H4011" s="151" t="str">
        <f>'Reported burning'!H4011</f>
        <v>Presence</v>
      </c>
      <c r="I4011" s="198"/>
      <c r="J4011" s="71" t="s">
        <v>2272</v>
      </c>
      <c r="K4011" s="71" t="s">
        <v>2272</v>
      </c>
      <c r="L4011" s="71" t="s">
        <v>2272</v>
      </c>
      <c r="M4011" s="71" t="s">
        <v>2272</v>
      </c>
      <c r="N4011" s="71" t="s">
        <v>2272</v>
      </c>
      <c r="O4011" s="71" t="s">
        <v>2272</v>
      </c>
      <c r="P4011" s="71" t="s">
        <v>2272</v>
      </c>
      <c r="Q4011" s="71" t="s">
        <v>2272</v>
      </c>
      <c r="R4011" s="71" t="s">
        <v>2272</v>
      </c>
      <c r="S4011" s="71" t="s">
        <v>2272</v>
      </c>
      <c r="T4011" s="71" t="s">
        <v>2272</v>
      </c>
      <c r="U4011" s="71" t="s">
        <v>2272</v>
      </c>
      <c r="V4011" s="71" t="s">
        <v>2272</v>
      </c>
      <c r="W4011" s="71" t="s">
        <v>2272</v>
      </c>
      <c r="X4011" s="71" t="s">
        <v>2272</v>
      </c>
      <c r="Y4011" s="71" t="s">
        <v>2272</v>
      </c>
      <c r="Z4011" s="71" t="s">
        <v>2272</v>
      </c>
      <c r="AA4011" s="71" t="s">
        <v>2272</v>
      </c>
      <c r="AB4011" s="198"/>
      <c r="AC4011" s="198"/>
    </row>
    <row r="4012" spans="1:29" ht="46" customHeight="1">
      <c r="A4012" s="151" t="str">
        <f>'Reported burning'!A4012</f>
        <v>442a</v>
      </c>
      <c r="B4012" s="151" t="str">
        <f>'Reported burning'!B4012</f>
        <v>442a.9</v>
      </c>
      <c r="C4012" s="151" t="str">
        <f>'Reported burning'!C4012</f>
        <v>Lightning</v>
      </c>
      <c r="D4012" s="151" t="str">
        <f>'Reported burning'!D4012</f>
        <v>ND</v>
      </c>
      <c r="E4012" s="151" t="str">
        <f>'Reported burning'!E4012</f>
        <v>ND</v>
      </c>
      <c r="F4012" s="151" t="str">
        <f>'Reported burning'!F4012</f>
        <v>ND</v>
      </c>
      <c r="G4012" s="151" t="str">
        <f>'Reported burning'!G4012</f>
        <v>ND</v>
      </c>
      <c r="H4012" s="151" t="str">
        <f>'Reported burning'!H4012</f>
        <v>Presence</v>
      </c>
      <c r="I4012" s="198"/>
      <c r="J4012" s="71" t="s">
        <v>2272</v>
      </c>
      <c r="K4012" s="71" t="s">
        <v>2272</v>
      </c>
      <c r="L4012" s="71" t="s">
        <v>2272</v>
      </c>
      <c r="M4012" s="71" t="s">
        <v>2272</v>
      </c>
      <c r="N4012" s="71" t="s">
        <v>2272</v>
      </c>
      <c r="O4012" s="71" t="s">
        <v>2272</v>
      </c>
      <c r="P4012" s="71" t="s">
        <v>2272</v>
      </c>
      <c r="Q4012" s="71" t="s">
        <v>2272</v>
      </c>
      <c r="R4012" s="71" t="s">
        <v>2272</v>
      </c>
      <c r="S4012" s="71" t="s">
        <v>2272</v>
      </c>
      <c r="T4012" s="71" t="s">
        <v>2272</v>
      </c>
      <c r="U4012" s="71" t="s">
        <v>2272</v>
      </c>
      <c r="V4012" s="71" t="s">
        <v>2272</v>
      </c>
      <c r="W4012" s="71" t="s">
        <v>2272</v>
      </c>
      <c r="X4012" s="71" t="s">
        <v>2272</v>
      </c>
      <c r="Y4012" s="71" t="s">
        <v>2272</v>
      </c>
      <c r="Z4012" s="71" t="s">
        <v>2272</v>
      </c>
      <c r="AA4012" s="71" t="s">
        <v>2272</v>
      </c>
      <c r="AB4012" s="4" t="s">
        <v>10342</v>
      </c>
      <c r="AC4012" s="198"/>
    </row>
    <row r="4013" spans="1:29" ht="46" customHeight="1">
      <c r="A4013" s="151" t="str">
        <f>'Reported burning'!A4013</f>
        <v>442a</v>
      </c>
      <c r="B4013" s="151" t="str">
        <f>'Reported burning'!B4013</f>
        <v>442a.10</v>
      </c>
      <c r="C4013" s="151" t="str">
        <f>'Reported burning'!C4013</f>
        <v>Human, accidental</v>
      </c>
      <c r="D4013" s="151" t="str">
        <f>'Reported burning'!D4013</f>
        <v>ND</v>
      </c>
      <c r="E4013" s="151" t="str">
        <f>'Reported burning'!E4013</f>
        <v>ND</v>
      </c>
      <c r="F4013" s="151" t="str">
        <f>'Reported burning'!F4013</f>
        <v>ND</v>
      </c>
      <c r="G4013" s="151" t="str">
        <f>'Reported burning'!G4013</f>
        <v>ND</v>
      </c>
      <c r="H4013" s="151" t="str">
        <f>'Reported burning'!H4013</f>
        <v>Presence</v>
      </c>
      <c r="I4013" s="198"/>
      <c r="J4013" s="71" t="s">
        <v>2272</v>
      </c>
      <c r="K4013" s="71" t="s">
        <v>2272</v>
      </c>
      <c r="L4013" s="71" t="s">
        <v>2272</v>
      </c>
      <c r="M4013" s="71" t="s">
        <v>2272</v>
      </c>
      <c r="N4013" s="71" t="s">
        <v>2272</v>
      </c>
      <c r="O4013" s="71" t="s">
        <v>2272</v>
      </c>
      <c r="P4013" s="71" t="s">
        <v>2272</v>
      </c>
      <c r="Q4013" s="71" t="s">
        <v>2272</v>
      </c>
      <c r="R4013" s="71" t="s">
        <v>2272</v>
      </c>
      <c r="S4013" s="71" t="s">
        <v>2272</v>
      </c>
      <c r="T4013" s="71" t="s">
        <v>2272</v>
      </c>
      <c r="U4013" s="71" t="s">
        <v>2272</v>
      </c>
      <c r="V4013" s="71" t="s">
        <v>2272</v>
      </c>
      <c r="W4013" s="71" t="s">
        <v>2272</v>
      </c>
      <c r="X4013" s="71" t="s">
        <v>2272</v>
      </c>
      <c r="Y4013" s="71" t="s">
        <v>2272</v>
      </c>
      <c r="Z4013" s="71" t="s">
        <v>2272</v>
      </c>
      <c r="AA4013" s="71" t="s">
        <v>2272</v>
      </c>
      <c r="AB4013" s="198"/>
      <c r="AC4013" s="198"/>
    </row>
    <row r="4014" spans="1:29" ht="46" customHeight="1">
      <c r="A4014" s="151" t="str">
        <f>'Reported burning'!A4014</f>
        <v>442b</v>
      </c>
      <c r="B4014" s="151" t="str">
        <f>'Reported burning'!B4014</f>
        <v>442b.1</v>
      </c>
      <c r="C4014" s="151" t="str">
        <f>'Reported burning'!C4014</f>
        <v>Human, escaped</v>
      </c>
      <c r="D4014" s="151" t="str">
        <f>'Reported burning'!D4014</f>
        <v>ND</v>
      </c>
      <c r="E4014" s="151" t="str">
        <f>'Reported burning'!E4014</f>
        <v>ND</v>
      </c>
      <c r="F4014" s="151" t="str">
        <f>'Reported burning'!F4014</f>
        <v>ND</v>
      </c>
      <c r="G4014" s="151" t="str">
        <f>'Reported burning'!G4014</f>
        <v>ND</v>
      </c>
      <c r="H4014" s="151" t="str">
        <f>'Reported burning'!H4014</f>
        <v>Presence</v>
      </c>
      <c r="I4014" s="198"/>
      <c r="J4014" s="71" t="s">
        <v>2272</v>
      </c>
      <c r="K4014" s="71" t="s">
        <v>2272</v>
      </c>
      <c r="L4014" s="71" t="s">
        <v>2272</v>
      </c>
      <c r="M4014" s="21" t="s">
        <v>2358</v>
      </c>
      <c r="N4014" s="71" t="s">
        <v>2272</v>
      </c>
      <c r="O4014" s="71" t="s">
        <v>2272</v>
      </c>
      <c r="P4014" s="71" t="s">
        <v>2272</v>
      </c>
      <c r="Q4014" s="71" t="s">
        <v>2272</v>
      </c>
      <c r="R4014" s="71" t="s">
        <v>2272</v>
      </c>
      <c r="S4014" s="21" t="s">
        <v>2358</v>
      </c>
      <c r="T4014" s="71" t="s">
        <v>2272</v>
      </c>
      <c r="U4014" s="71" t="s">
        <v>2272</v>
      </c>
      <c r="V4014" s="71" t="s">
        <v>2272</v>
      </c>
      <c r="W4014" s="71" t="s">
        <v>2272</v>
      </c>
      <c r="X4014" s="71" t="s">
        <v>2272</v>
      </c>
      <c r="Y4014" s="198" t="s">
        <v>37</v>
      </c>
      <c r="Z4014" s="198" t="s">
        <v>34</v>
      </c>
      <c r="AA4014" s="198" t="s">
        <v>2650</v>
      </c>
      <c r="AB4014" s="4" t="s">
        <v>10344</v>
      </c>
      <c r="AC4014" s="198"/>
    </row>
    <row r="4015" spans="1:29" ht="46" customHeight="1">
      <c r="A4015" s="151" t="str">
        <f>'Reported burning'!A4015</f>
        <v>442b</v>
      </c>
      <c r="B4015" s="151" t="str">
        <f>'Reported burning'!B4015</f>
        <v>442b.2</v>
      </c>
      <c r="C4015" s="151" t="str">
        <f>'Reported burning'!C4015</f>
        <v>Human, deliberate</v>
      </c>
      <c r="D4015" s="151" t="str">
        <f>'Reported burning'!D4015</f>
        <v>Domestic</v>
      </c>
      <c r="E4015" s="151" t="str">
        <f>'Reported burning'!E4015</f>
        <v>ND</v>
      </c>
      <c r="F4015" s="151" t="str">
        <f>'Reported burning'!F4015</f>
        <v>ND</v>
      </c>
      <c r="G4015" s="151" t="str">
        <f>'Reported burning'!G4015</f>
        <v>ND</v>
      </c>
      <c r="H4015" s="151" t="str">
        <f>'Reported burning'!H4015</f>
        <v>Presence</v>
      </c>
      <c r="I4015" s="198"/>
      <c r="J4015" s="71" t="s">
        <v>2272</v>
      </c>
      <c r="K4015" s="71" t="s">
        <v>2272</v>
      </c>
      <c r="L4015" s="71" t="s">
        <v>2272</v>
      </c>
      <c r="M4015" s="71" t="s">
        <v>2272</v>
      </c>
      <c r="N4015" s="71" t="s">
        <v>2272</v>
      </c>
      <c r="O4015" s="71" t="s">
        <v>2272</v>
      </c>
      <c r="P4015" s="71" t="s">
        <v>2272</v>
      </c>
      <c r="Q4015" s="71" t="s">
        <v>2272</v>
      </c>
      <c r="R4015" s="71" t="s">
        <v>2272</v>
      </c>
      <c r="S4015" s="71" t="s">
        <v>2272</v>
      </c>
      <c r="T4015" s="71" t="s">
        <v>2272</v>
      </c>
      <c r="U4015" s="71" t="s">
        <v>2272</v>
      </c>
      <c r="V4015" s="71" t="s">
        <v>2272</v>
      </c>
      <c r="W4015" s="71" t="s">
        <v>2272</v>
      </c>
      <c r="X4015" s="71" t="s">
        <v>2272</v>
      </c>
      <c r="Y4015" s="71" t="s">
        <v>2272</v>
      </c>
      <c r="Z4015" s="71" t="s">
        <v>2272</v>
      </c>
      <c r="AA4015" s="71" t="s">
        <v>2272</v>
      </c>
      <c r="AB4015" s="198"/>
      <c r="AC4015" s="198"/>
    </row>
    <row r="4016" spans="1:29" ht="46" customHeight="1">
      <c r="A4016" s="151" t="str">
        <f>'Reported burning'!A4016</f>
        <v>442b</v>
      </c>
      <c r="B4016" s="151" t="str">
        <f>'Reported burning'!B4016</f>
        <v>442b.3</v>
      </c>
      <c r="C4016" s="151" t="str">
        <f>'Reported burning'!C4016</f>
        <v>Human, deliberate</v>
      </c>
      <c r="D4016" s="151" t="str">
        <f>'Reported burning'!D4016</f>
        <v>Land clearance</v>
      </c>
      <c r="E4016" s="151" t="str">
        <f>'Reported burning'!E4016</f>
        <v>ND</v>
      </c>
      <c r="F4016" s="151" t="str">
        <f>'Reported burning'!F4016</f>
        <v>ND</v>
      </c>
      <c r="G4016" s="151" t="str">
        <f>'Reported burning'!G4016</f>
        <v>ND</v>
      </c>
      <c r="H4016" s="151" t="str">
        <f>'Reported burning'!H4016</f>
        <v>Presence</v>
      </c>
      <c r="I4016" s="198"/>
      <c r="J4016" s="71" t="s">
        <v>2272</v>
      </c>
      <c r="K4016" s="71" t="s">
        <v>2272</v>
      </c>
      <c r="L4016" s="71" t="s">
        <v>2272</v>
      </c>
      <c r="M4016" s="71" t="s">
        <v>2272</v>
      </c>
      <c r="N4016" s="71" t="s">
        <v>2272</v>
      </c>
      <c r="O4016" s="71" t="s">
        <v>2272</v>
      </c>
      <c r="P4016" s="71" t="s">
        <v>2272</v>
      </c>
      <c r="Q4016" s="71" t="s">
        <v>2272</v>
      </c>
      <c r="R4016" s="71" t="s">
        <v>2272</v>
      </c>
      <c r="S4016" s="71" t="s">
        <v>2272</v>
      </c>
      <c r="T4016" s="71" t="s">
        <v>2272</v>
      </c>
      <c r="U4016" s="71" t="s">
        <v>2272</v>
      </c>
      <c r="V4016" s="71" t="s">
        <v>2272</v>
      </c>
      <c r="W4016" s="71" t="s">
        <v>2272</v>
      </c>
      <c r="X4016" s="71" t="s">
        <v>2272</v>
      </c>
      <c r="Y4016" s="71" t="s">
        <v>2272</v>
      </c>
      <c r="Z4016" s="71" t="s">
        <v>2272</v>
      </c>
      <c r="AA4016" s="71" t="s">
        <v>2272</v>
      </c>
      <c r="AB4016" s="198"/>
      <c r="AC4016" s="198"/>
    </row>
    <row r="4017" spans="1:29" ht="46" customHeight="1">
      <c r="A4017" s="151" t="str">
        <f>'Reported burning'!A4017</f>
        <v>442b</v>
      </c>
      <c r="B4017" s="151" t="str">
        <f>'Reported burning'!B4017</f>
        <v>442b.4</v>
      </c>
      <c r="C4017" s="151" t="str">
        <f>'Reported burning'!C4017</f>
        <v>Human, deliberate</v>
      </c>
      <c r="D4017" s="151" t="str">
        <f>'Reported burning'!D4017</f>
        <v>Arson</v>
      </c>
      <c r="E4017" s="151" t="str">
        <f>'Reported burning'!E4017</f>
        <v>ND</v>
      </c>
      <c r="F4017" s="151" t="str">
        <f>'Reported burning'!F4017</f>
        <v>ND</v>
      </c>
      <c r="G4017" s="151" t="str">
        <f>'Reported burning'!G4017</f>
        <v>ND</v>
      </c>
      <c r="H4017" s="151" t="str">
        <f>'Reported burning'!H4017</f>
        <v>Presence</v>
      </c>
      <c r="I4017" s="198"/>
      <c r="J4017" s="71" t="s">
        <v>2272</v>
      </c>
      <c r="K4017" s="71" t="s">
        <v>2272</v>
      </c>
      <c r="L4017" s="71" t="s">
        <v>2272</v>
      </c>
      <c r="M4017" s="71" t="s">
        <v>2272</v>
      </c>
      <c r="N4017" s="71" t="s">
        <v>2272</v>
      </c>
      <c r="O4017" s="71" t="s">
        <v>2272</v>
      </c>
      <c r="P4017" s="71" t="s">
        <v>2272</v>
      </c>
      <c r="Q4017" s="71" t="s">
        <v>2272</v>
      </c>
      <c r="R4017" s="71" t="s">
        <v>2272</v>
      </c>
      <c r="S4017" s="71" t="s">
        <v>2272</v>
      </c>
      <c r="T4017" s="71" t="s">
        <v>2272</v>
      </c>
      <c r="U4017" s="71" t="s">
        <v>2272</v>
      </c>
      <c r="V4017" s="71" t="s">
        <v>2272</v>
      </c>
      <c r="W4017" s="71" t="s">
        <v>2272</v>
      </c>
      <c r="X4017" s="71" t="s">
        <v>2272</v>
      </c>
      <c r="Y4017" s="71" t="s">
        <v>2272</v>
      </c>
      <c r="Z4017" s="71" t="s">
        <v>2272</v>
      </c>
      <c r="AA4017" s="71" t="s">
        <v>2272</v>
      </c>
      <c r="AB4017" s="198"/>
      <c r="AC4017" s="198"/>
    </row>
    <row r="4018" spans="1:29" ht="46" customHeight="1">
      <c r="A4018" s="151" t="str">
        <f>'Reported burning'!A4018</f>
        <v>442b</v>
      </c>
      <c r="B4018" s="151" t="str">
        <f>'Reported burning'!B4018</f>
        <v>442b.5</v>
      </c>
      <c r="C4018" s="151" t="str">
        <f>'Reported burning'!C4018</f>
        <v>Human, deliberate</v>
      </c>
      <c r="D4018" s="151" t="str">
        <f>'Reported burning'!D4018</f>
        <v>Hunting</v>
      </c>
      <c r="E4018" s="151" t="str">
        <f>'Reported burning'!E4018</f>
        <v>ND</v>
      </c>
      <c r="F4018" s="151" t="str">
        <f>'Reported burning'!F4018</f>
        <v>ND</v>
      </c>
      <c r="G4018" s="151" t="str">
        <f>'Reported burning'!G4018</f>
        <v>ND</v>
      </c>
      <c r="H4018" s="151" t="str">
        <f>'Reported burning'!H4018</f>
        <v>Presence</v>
      </c>
      <c r="I4018" s="198"/>
      <c r="J4018" s="71" t="s">
        <v>2272</v>
      </c>
      <c r="K4018" s="71" t="s">
        <v>2272</v>
      </c>
      <c r="L4018" s="71" t="s">
        <v>2272</v>
      </c>
      <c r="M4018" s="71" t="s">
        <v>2272</v>
      </c>
      <c r="N4018" s="71" t="s">
        <v>2272</v>
      </c>
      <c r="O4018" s="71" t="s">
        <v>2272</v>
      </c>
      <c r="P4018" s="71" t="s">
        <v>2272</v>
      </c>
      <c r="Q4018" s="71" t="s">
        <v>2272</v>
      </c>
      <c r="R4018" s="71" t="s">
        <v>2272</v>
      </c>
      <c r="S4018" s="71" t="s">
        <v>2272</v>
      </c>
      <c r="T4018" s="71" t="s">
        <v>2272</v>
      </c>
      <c r="U4018" s="71" t="s">
        <v>2272</v>
      </c>
      <c r="V4018" s="71" t="s">
        <v>2272</v>
      </c>
      <c r="W4018" s="71" t="s">
        <v>2272</v>
      </c>
      <c r="X4018" s="71" t="s">
        <v>2272</v>
      </c>
      <c r="Y4018" s="71" t="s">
        <v>2272</v>
      </c>
      <c r="Z4018" s="71" t="s">
        <v>2272</v>
      </c>
      <c r="AA4018" s="71" t="s">
        <v>2272</v>
      </c>
      <c r="AB4018" s="198"/>
      <c r="AC4018" s="198"/>
    </row>
    <row r="4019" spans="1:29" ht="46" customHeight="1">
      <c r="A4019" s="151" t="str">
        <f>'Reported burning'!A4019</f>
        <v>442b</v>
      </c>
      <c r="B4019" s="151" t="str">
        <f>'Reported burning'!B4019</f>
        <v>442b.6</v>
      </c>
      <c r="C4019" s="151" t="str">
        <f>'Reported burning'!C4019</f>
        <v>Human, escaped</v>
      </c>
      <c r="D4019" s="151" t="str">
        <f>'Reported burning'!D4019</f>
        <v>Domestic</v>
      </c>
      <c r="E4019" s="151" t="str">
        <f>'Reported burning'!E4019</f>
        <v>ND</v>
      </c>
      <c r="F4019" s="151" t="str">
        <f>'Reported burning'!F4019</f>
        <v>ND</v>
      </c>
      <c r="G4019" s="151" t="str">
        <f>'Reported burning'!G4019</f>
        <v>ND</v>
      </c>
      <c r="H4019" s="151" t="str">
        <f>'Reported burning'!H4019</f>
        <v>Presence</v>
      </c>
      <c r="I4019" s="198"/>
      <c r="J4019" s="71" t="s">
        <v>2272</v>
      </c>
      <c r="K4019" s="71" t="s">
        <v>2272</v>
      </c>
      <c r="L4019" s="71" t="s">
        <v>2272</v>
      </c>
      <c r="M4019" s="71" t="s">
        <v>2272</v>
      </c>
      <c r="N4019" s="71" t="s">
        <v>2272</v>
      </c>
      <c r="O4019" s="71" t="s">
        <v>2272</v>
      </c>
      <c r="P4019" s="71" t="s">
        <v>2272</v>
      </c>
      <c r="Q4019" s="71" t="s">
        <v>2272</v>
      </c>
      <c r="R4019" s="71" t="s">
        <v>2272</v>
      </c>
      <c r="S4019" s="71" t="s">
        <v>2272</v>
      </c>
      <c r="T4019" s="71" t="s">
        <v>2272</v>
      </c>
      <c r="U4019" s="71" t="s">
        <v>2272</v>
      </c>
      <c r="V4019" s="71" t="s">
        <v>2272</v>
      </c>
      <c r="W4019" s="71" t="s">
        <v>2272</v>
      </c>
      <c r="X4019" s="71" t="s">
        <v>2272</v>
      </c>
      <c r="Y4019" s="71" t="s">
        <v>2272</v>
      </c>
      <c r="Z4019" s="71" t="s">
        <v>2272</v>
      </c>
      <c r="AA4019" s="71" t="s">
        <v>2272</v>
      </c>
      <c r="AB4019" s="198"/>
      <c r="AC4019" s="198"/>
    </row>
    <row r="4020" spans="1:29" ht="46" customHeight="1">
      <c r="A4020" s="151" t="str">
        <f>'Reported burning'!A4020</f>
        <v>442b</v>
      </c>
      <c r="B4020" s="151" t="str">
        <f>'Reported burning'!B4020</f>
        <v>442b.7</v>
      </c>
      <c r="C4020" s="151" t="str">
        <f>'Reported burning'!C4020</f>
        <v>Human, escaped</v>
      </c>
      <c r="D4020" s="151" t="str">
        <f>'Reported burning'!D4020</f>
        <v>Land clearance</v>
      </c>
      <c r="E4020" s="151" t="str">
        <f>'Reported burning'!E4020</f>
        <v>ND</v>
      </c>
      <c r="F4020" s="151" t="str">
        <f>'Reported burning'!F4020</f>
        <v>ND</v>
      </c>
      <c r="G4020" s="151" t="str">
        <f>'Reported burning'!G4020</f>
        <v>ND</v>
      </c>
      <c r="H4020" s="151" t="str">
        <f>'Reported burning'!H4020</f>
        <v>Presence</v>
      </c>
      <c r="I4020" s="198"/>
      <c r="J4020" s="71" t="s">
        <v>2272</v>
      </c>
      <c r="K4020" s="71" t="s">
        <v>2272</v>
      </c>
      <c r="L4020" s="71" t="s">
        <v>2272</v>
      </c>
      <c r="M4020" s="71" t="s">
        <v>2272</v>
      </c>
      <c r="N4020" s="71" t="s">
        <v>2272</v>
      </c>
      <c r="O4020" s="71" t="s">
        <v>2272</v>
      </c>
      <c r="P4020" s="71" t="s">
        <v>2272</v>
      </c>
      <c r="Q4020" s="71" t="s">
        <v>2272</v>
      </c>
      <c r="R4020" s="71" t="s">
        <v>2272</v>
      </c>
      <c r="S4020" s="71" t="s">
        <v>2272</v>
      </c>
      <c r="T4020" s="71" t="s">
        <v>2272</v>
      </c>
      <c r="U4020" s="71" t="s">
        <v>2272</v>
      </c>
      <c r="V4020" s="71" t="s">
        <v>2272</v>
      </c>
      <c r="W4020" s="71" t="s">
        <v>2272</v>
      </c>
      <c r="X4020" s="71" t="s">
        <v>2272</v>
      </c>
      <c r="Y4020" s="71" t="s">
        <v>2272</v>
      </c>
      <c r="Z4020" s="71" t="s">
        <v>2272</v>
      </c>
      <c r="AA4020" s="71" t="s">
        <v>2272</v>
      </c>
      <c r="AB4020" s="198"/>
      <c r="AC4020" s="198"/>
    </row>
    <row r="4021" spans="1:29" ht="46" customHeight="1">
      <c r="A4021" s="151" t="str">
        <f>'Reported burning'!A4021</f>
        <v>442b</v>
      </c>
      <c r="B4021" s="151" t="str">
        <f>'Reported burning'!B4021</f>
        <v>442b.8</v>
      </c>
      <c r="C4021" s="151" t="str">
        <f>'Reported burning'!C4021</f>
        <v>Human, escaped</v>
      </c>
      <c r="D4021" s="151" t="str">
        <f>'Reported burning'!D4021</f>
        <v>Hunting</v>
      </c>
      <c r="E4021" s="151" t="str">
        <f>'Reported burning'!E4021</f>
        <v>ND</v>
      </c>
      <c r="F4021" s="151" t="str">
        <f>'Reported burning'!F4021</f>
        <v>ND</v>
      </c>
      <c r="G4021" s="151" t="str">
        <f>'Reported burning'!G4021</f>
        <v>ND</v>
      </c>
      <c r="H4021" s="151" t="str">
        <f>'Reported burning'!H4021</f>
        <v>Presence</v>
      </c>
      <c r="I4021" s="198"/>
      <c r="J4021" s="71" t="s">
        <v>2272</v>
      </c>
      <c r="K4021" s="71" t="s">
        <v>2272</v>
      </c>
      <c r="L4021" s="71" t="s">
        <v>2272</v>
      </c>
      <c r="M4021" s="71" t="s">
        <v>2272</v>
      </c>
      <c r="N4021" s="71" t="s">
        <v>2272</v>
      </c>
      <c r="O4021" s="71" t="s">
        <v>2272</v>
      </c>
      <c r="P4021" s="71" t="s">
        <v>2272</v>
      </c>
      <c r="Q4021" s="71" t="s">
        <v>2272</v>
      </c>
      <c r="R4021" s="71" t="s">
        <v>2272</v>
      </c>
      <c r="S4021" s="71" t="s">
        <v>2272</v>
      </c>
      <c r="T4021" s="71" t="s">
        <v>2272</v>
      </c>
      <c r="U4021" s="71" t="s">
        <v>2272</v>
      </c>
      <c r="V4021" s="71" t="s">
        <v>2272</v>
      </c>
      <c r="W4021" s="71" t="s">
        <v>2272</v>
      </c>
      <c r="X4021" s="71" t="s">
        <v>2272</v>
      </c>
      <c r="Y4021" s="71" t="s">
        <v>2272</v>
      </c>
      <c r="Z4021" s="71" t="s">
        <v>2272</v>
      </c>
      <c r="AA4021" s="71" t="s">
        <v>2272</v>
      </c>
      <c r="AB4021" s="198"/>
      <c r="AC4021" s="198"/>
    </row>
    <row r="4022" spans="1:29" ht="46" customHeight="1">
      <c r="A4022" s="151" t="str">
        <f>'Reported burning'!A4022</f>
        <v>442b</v>
      </c>
      <c r="B4022" s="151" t="str">
        <f>'Reported burning'!B4022</f>
        <v>442b.9</v>
      </c>
      <c r="C4022" s="151" t="str">
        <f>'Reported burning'!C4022</f>
        <v>Lightning</v>
      </c>
      <c r="D4022" s="151" t="str">
        <f>'Reported burning'!D4022</f>
        <v>ND</v>
      </c>
      <c r="E4022" s="151" t="str">
        <f>'Reported burning'!E4022</f>
        <v>ND</v>
      </c>
      <c r="F4022" s="151" t="str">
        <f>'Reported burning'!F4022</f>
        <v>ND</v>
      </c>
      <c r="G4022" s="151" t="str">
        <f>'Reported burning'!G4022</f>
        <v>ND</v>
      </c>
      <c r="H4022" s="151" t="str">
        <f>'Reported burning'!H4022</f>
        <v>Presence</v>
      </c>
      <c r="I4022" s="198"/>
      <c r="J4022" s="71" t="s">
        <v>2272</v>
      </c>
      <c r="K4022" s="71" t="s">
        <v>2272</v>
      </c>
      <c r="L4022" s="71" t="s">
        <v>2272</v>
      </c>
      <c r="M4022" s="71" t="s">
        <v>2272</v>
      </c>
      <c r="N4022" s="71" t="s">
        <v>2272</v>
      </c>
      <c r="O4022" s="71" t="s">
        <v>2272</v>
      </c>
      <c r="P4022" s="71" t="s">
        <v>2272</v>
      </c>
      <c r="Q4022" s="71" t="s">
        <v>2272</v>
      </c>
      <c r="R4022" s="71" t="s">
        <v>2272</v>
      </c>
      <c r="S4022" s="71" t="s">
        <v>2272</v>
      </c>
      <c r="T4022" s="71" t="s">
        <v>2272</v>
      </c>
      <c r="U4022" s="71" t="s">
        <v>2272</v>
      </c>
      <c r="V4022" s="71" t="s">
        <v>2272</v>
      </c>
      <c r="W4022" s="71" t="s">
        <v>2272</v>
      </c>
      <c r="X4022" s="71" t="s">
        <v>2272</v>
      </c>
      <c r="Y4022" s="71" t="s">
        <v>2272</v>
      </c>
      <c r="Z4022" s="71" t="s">
        <v>2272</v>
      </c>
      <c r="AA4022" s="71" t="s">
        <v>2272</v>
      </c>
      <c r="AB4022" s="4" t="s">
        <v>10342</v>
      </c>
      <c r="AC4022" s="198"/>
    </row>
    <row r="4023" spans="1:29" ht="46" customHeight="1">
      <c r="A4023" s="151" t="str">
        <f>'Reported burning'!A4023</f>
        <v>442b</v>
      </c>
      <c r="B4023" s="151" t="str">
        <f>'Reported burning'!B4023</f>
        <v>442b.10</v>
      </c>
      <c r="C4023" s="151" t="str">
        <f>'Reported burning'!C4023</f>
        <v>Human, accidental</v>
      </c>
      <c r="D4023" s="151" t="str">
        <f>'Reported burning'!D4023</f>
        <v>ND</v>
      </c>
      <c r="E4023" s="151" t="str">
        <f>'Reported burning'!E4023</f>
        <v>ND</v>
      </c>
      <c r="F4023" s="151" t="str">
        <f>'Reported burning'!F4023</f>
        <v>ND</v>
      </c>
      <c r="G4023" s="151" t="str">
        <f>'Reported burning'!G4023</f>
        <v>ND</v>
      </c>
      <c r="H4023" s="151" t="str">
        <f>'Reported burning'!H4023</f>
        <v>Presence</v>
      </c>
      <c r="I4023" s="198"/>
      <c r="J4023" s="71" t="s">
        <v>2272</v>
      </c>
      <c r="K4023" s="71" t="s">
        <v>2272</v>
      </c>
      <c r="L4023" s="71" t="s">
        <v>2272</v>
      </c>
      <c r="M4023" s="71" t="s">
        <v>2272</v>
      </c>
      <c r="N4023" s="71" t="s">
        <v>2272</v>
      </c>
      <c r="O4023" s="71" t="s">
        <v>2272</v>
      </c>
      <c r="P4023" s="71" t="s">
        <v>2272</v>
      </c>
      <c r="Q4023" s="71" t="s">
        <v>2272</v>
      </c>
      <c r="R4023" s="71" t="s">
        <v>2272</v>
      </c>
      <c r="S4023" s="71" t="s">
        <v>2272</v>
      </c>
      <c r="T4023" s="71" t="s">
        <v>2272</v>
      </c>
      <c r="U4023" s="71" t="s">
        <v>2272</v>
      </c>
      <c r="V4023" s="71" t="s">
        <v>2272</v>
      </c>
      <c r="W4023" s="71" t="s">
        <v>2272</v>
      </c>
      <c r="X4023" s="71" t="s">
        <v>2272</v>
      </c>
      <c r="Y4023" s="71" t="s">
        <v>2272</v>
      </c>
      <c r="Z4023" s="71" t="s">
        <v>2272</v>
      </c>
      <c r="AA4023" s="71" t="s">
        <v>2272</v>
      </c>
      <c r="AB4023" s="198"/>
      <c r="AC4023" s="198"/>
    </row>
    <row r="4024" spans="1:29" ht="46" customHeight="1">
      <c r="A4024" s="151" t="str">
        <f>'Reported burning'!A4024</f>
        <v>442c</v>
      </c>
      <c r="B4024" s="151" t="str">
        <f>'Reported burning'!B4024</f>
        <v>442c.1</v>
      </c>
      <c r="C4024" s="151" t="str">
        <f>'Reported burning'!C4024</f>
        <v>Human, escaped</v>
      </c>
      <c r="D4024" s="151" t="str">
        <f>'Reported burning'!D4024</f>
        <v>ND</v>
      </c>
      <c r="E4024" s="151" t="str">
        <f>'Reported burning'!E4024</f>
        <v>ND</v>
      </c>
      <c r="F4024" s="151" t="str">
        <f>'Reported burning'!F4024</f>
        <v>ND</v>
      </c>
      <c r="G4024" s="151" t="str">
        <f>'Reported burning'!G4024</f>
        <v>ND</v>
      </c>
      <c r="H4024" s="151" t="str">
        <f>'Reported burning'!H4024</f>
        <v>Presence</v>
      </c>
      <c r="I4024" s="198"/>
      <c r="J4024" s="71" t="s">
        <v>2272</v>
      </c>
      <c r="K4024" s="71" t="s">
        <v>2272</v>
      </c>
      <c r="L4024" s="71" t="s">
        <v>2272</v>
      </c>
      <c r="M4024" s="21" t="s">
        <v>2358</v>
      </c>
      <c r="N4024" s="71" t="s">
        <v>2272</v>
      </c>
      <c r="O4024" s="71" t="s">
        <v>2272</v>
      </c>
      <c r="P4024" s="71" t="s">
        <v>2272</v>
      </c>
      <c r="Q4024" s="71" t="s">
        <v>2272</v>
      </c>
      <c r="R4024" s="71" t="s">
        <v>2272</v>
      </c>
      <c r="S4024" s="21" t="s">
        <v>2358</v>
      </c>
      <c r="T4024" s="71" t="s">
        <v>2272</v>
      </c>
      <c r="U4024" s="71" t="s">
        <v>2272</v>
      </c>
      <c r="V4024" s="71" t="s">
        <v>2272</v>
      </c>
      <c r="W4024" s="71" t="s">
        <v>2272</v>
      </c>
      <c r="X4024" s="71" t="s">
        <v>2272</v>
      </c>
      <c r="Y4024" s="198" t="s">
        <v>37</v>
      </c>
      <c r="Z4024" s="198" t="s">
        <v>34</v>
      </c>
      <c r="AA4024" s="198" t="s">
        <v>2650</v>
      </c>
      <c r="AB4024" s="4" t="s">
        <v>10345</v>
      </c>
      <c r="AC4024" s="198"/>
    </row>
    <row r="4025" spans="1:29" ht="46" customHeight="1">
      <c r="A4025" s="151" t="str">
        <f>'Reported burning'!A4025</f>
        <v>442c</v>
      </c>
      <c r="B4025" s="151" t="str">
        <f>'Reported burning'!B4025</f>
        <v>442c.2</v>
      </c>
      <c r="C4025" s="151" t="str">
        <f>'Reported burning'!C4025</f>
        <v>Human, deliberate</v>
      </c>
      <c r="D4025" s="151" t="str">
        <f>'Reported burning'!D4025</f>
        <v>Domestic</v>
      </c>
      <c r="E4025" s="151" t="str">
        <f>'Reported burning'!E4025</f>
        <v>ND</v>
      </c>
      <c r="F4025" s="151" t="str">
        <f>'Reported burning'!F4025</f>
        <v>ND</v>
      </c>
      <c r="G4025" s="151" t="str">
        <f>'Reported burning'!G4025</f>
        <v>ND</v>
      </c>
      <c r="H4025" s="151" t="str">
        <f>'Reported burning'!H4025</f>
        <v>Presence</v>
      </c>
      <c r="I4025" s="198"/>
      <c r="J4025" s="71" t="s">
        <v>2272</v>
      </c>
      <c r="K4025" s="71" t="s">
        <v>2272</v>
      </c>
      <c r="L4025" s="71" t="s">
        <v>2272</v>
      </c>
      <c r="M4025" s="71" t="s">
        <v>2272</v>
      </c>
      <c r="N4025" s="71" t="s">
        <v>2272</v>
      </c>
      <c r="O4025" s="71" t="s">
        <v>2272</v>
      </c>
      <c r="P4025" s="71" t="s">
        <v>2272</v>
      </c>
      <c r="Q4025" s="71" t="s">
        <v>2272</v>
      </c>
      <c r="R4025" s="71" t="s">
        <v>2272</v>
      </c>
      <c r="S4025" s="71" t="s">
        <v>2272</v>
      </c>
      <c r="T4025" s="71" t="s">
        <v>2272</v>
      </c>
      <c r="U4025" s="71" t="s">
        <v>2272</v>
      </c>
      <c r="V4025" s="71" t="s">
        <v>2272</v>
      </c>
      <c r="W4025" s="71" t="s">
        <v>2272</v>
      </c>
      <c r="X4025" s="71" t="s">
        <v>2272</v>
      </c>
      <c r="Y4025" s="71" t="s">
        <v>2272</v>
      </c>
      <c r="Z4025" s="71" t="s">
        <v>2272</v>
      </c>
      <c r="AA4025" s="71" t="s">
        <v>2272</v>
      </c>
      <c r="AB4025" s="198"/>
      <c r="AC4025" s="198"/>
    </row>
    <row r="4026" spans="1:29" ht="46" customHeight="1">
      <c r="A4026" s="151" t="str">
        <f>'Reported burning'!A4026</f>
        <v>442c</v>
      </c>
      <c r="B4026" s="151" t="str">
        <f>'Reported burning'!B4026</f>
        <v>442c.3</v>
      </c>
      <c r="C4026" s="151" t="str">
        <f>'Reported burning'!C4026</f>
        <v>Human, deliberate</v>
      </c>
      <c r="D4026" s="151" t="str">
        <f>'Reported burning'!D4026</f>
        <v>Land clearance</v>
      </c>
      <c r="E4026" s="151" t="str">
        <f>'Reported burning'!E4026</f>
        <v>ND</v>
      </c>
      <c r="F4026" s="151" t="str">
        <f>'Reported burning'!F4026</f>
        <v>ND</v>
      </c>
      <c r="G4026" s="151" t="str">
        <f>'Reported burning'!G4026</f>
        <v>ND</v>
      </c>
      <c r="H4026" s="151" t="str">
        <f>'Reported burning'!H4026</f>
        <v>Presence</v>
      </c>
      <c r="I4026" s="198"/>
      <c r="J4026" s="71" t="s">
        <v>2272</v>
      </c>
      <c r="K4026" s="71" t="s">
        <v>2272</v>
      </c>
      <c r="L4026" s="71" t="s">
        <v>2272</v>
      </c>
      <c r="M4026" s="71" t="s">
        <v>2272</v>
      </c>
      <c r="N4026" s="71" t="s">
        <v>2272</v>
      </c>
      <c r="O4026" s="71" t="s">
        <v>2272</v>
      </c>
      <c r="P4026" s="71" t="s">
        <v>2272</v>
      </c>
      <c r="Q4026" s="71" t="s">
        <v>2272</v>
      </c>
      <c r="R4026" s="71" t="s">
        <v>2272</v>
      </c>
      <c r="S4026" s="71" t="s">
        <v>2272</v>
      </c>
      <c r="T4026" s="71" t="s">
        <v>2272</v>
      </c>
      <c r="U4026" s="71" t="s">
        <v>2272</v>
      </c>
      <c r="V4026" s="71" t="s">
        <v>2272</v>
      </c>
      <c r="W4026" s="71" t="s">
        <v>2272</v>
      </c>
      <c r="X4026" s="71" t="s">
        <v>2272</v>
      </c>
      <c r="Y4026" s="71" t="s">
        <v>2272</v>
      </c>
      <c r="Z4026" s="71" t="s">
        <v>2272</v>
      </c>
      <c r="AA4026" s="71" t="s">
        <v>2272</v>
      </c>
      <c r="AB4026" s="198"/>
      <c r="AC4026" s="198"/>
    </row>
    <row r="4027" spans="1:29" ht="46" customHeight="1">
      <c r="A4027" s="151" t="str">
        <f>'Reported burning'!A4027</f>
        <v>442c</v>
      </c>
      <c r="B4027" s="151" t="str">
        <f>'Reported burning'!B4027</f>
        <v>442c.4</v>
      </c>
      <c r="C4027" s="151" t="str">
        <f>'Reported burning'!C4027</f>
        <v>Human, deliberate</v>
      </c>
      <c r="D4027" s="151" t="str">
        <f>'Reported burning'!D4027</f>
        <v>Arson</v>
      </c>
      <c r="E4027" s="151" t="str">
        <f>'Reported burning'!E4027</f>
        <v>ND</v>
      </c>
      <c r="F4027" s="151" t="str">
        <f>'Reported burning'!F4027</f>
        <v>ND</v>
      </c>
      <c r="G4027" s="151" t="str">
        <f>'Reported burning'!G4027</f>
        <v>ND</v>
      </c>
      <c r="H4027" s="151" t="str">
        <f>'Reported burning'!H4027</f>
        <v>Presence</v>
      </c>
      <c r="I4027" s="198"/>
      <c r="J4027" s="71" t="s">
        <v>2272</v>
      </c>
      <c r="K4027" s="71" t="s">
        <v>2272</v>
      </c>
      <c r="L4027" s="71" t="s">
        <v>2272</v>
      </c>
      <c r="M4027" s="71" t="s">
        <v>2272</v>
      </c>
      <c r="N4027" s="71" t="s">
        <v>2272</v>
      </c>
      <c r="O4027" s="71" t="s">
        <v>2272</v>
      </c>
      <c r="P4027" s="71" t="s">
        <v>2272</v>
      </c>
      <c r="Q4027" s="71" t="s">
        <v>2272</v>
      </c>
      <c r="R4027" s="71" t="s">
        <v>2272</v>
      </c>
      <c r="S4027" s="71" t="s">
        <v>2272</v>
      </c>
      <c r="T4027" s="71" t="s">
        <v>2272</v>
      </c>
      <c r="U4027" s="71" t="s">
        <v>2272</v>
      </c>
      <c r="V4027" s="71" t="s">
        <v>2272</v>
      </c>
      <c r="W4027" s="71" t="s">
        <v>2272</v>
      </c>
      <c r="X4027" s="71" t="s">
        <v>2272</v>
      </c>
      <c r="Y4027" s="71" t="s">
        <v>2272</v>
      </c>
      <c r="Z4027" s="71" t="s">
        <v>2272</v>
      </c>
      <c r="AA4027" s="71" t="s">
        <v>2272</v>
      </c>
      <c r="AB4027" s="198"/>
      <c r="AC4027" s="198"/>
    </row>
    <row r="4028" spans="1:29" ht="46" customHeight="1">
      <c r="A4028" s="151" t="str">
        <f>'Reported burning'!A4028</f>
        <v>442c</v>
      </c>
      <c r="B4028" s="151" t="str">
        <f>'Reported burning'!B4028</f>
        <v>442c.5</v>
      </c>
      <c r="C4028" s="151" t="str">
        <f>'Reported burning'!C4028</f>
        <v>Human, deliberate</v>
      </c>
      <c r="D4028" s="151" t="str">
        <f>'Reported burning'!D4028</f>
        <v>Hunting</v>
      </c>
      <c r="E4028" s="151" t="str">
        <f>'Reported burning'!E4028</f>
        <v>ND</v>
      </c>
      <c r="F4028" s="151" t="str">
        <f>'Reported burning'!F4028</f>
        <v>ND</v>
      </c>
      <c r="G4028" s="151" t="str">
        <f>'Reported burning'!G4028</f>
        <v>ND</v>
      </c>
      <c r="H4028" s="151" t="str">
        <f>'Reported burning'!H4028</f>
        <v>Presence</v>
      </c>
      <c r="I4028" s="198"/>
      <c r="J4028" s="71" t="s">
        <v>2272</v>
      </c>
      <c r="K4028" s="71" t="s">
        <v>2272</v>
      </c>
      <c r="L4028" s="71" t="s">
        <v>2272</v>
      </c>
      <c r="M4028" s="71" t="s">
        <v>2272</v>
      </c>
      <c r="N4028" s="71" t="s">
        <v>2272</v>
      </c>
      <c r="O4028" s="71" t="s">
        <v>2272</v>
      </c>
      <c r="P4028" s="71" t="s">
        <v>2272</v>
      </c>
      <c r="Q4028" s="71" t="s">
        <v>2272</v>
      </c>
      <c r="R4028" s="71" t="s">
        <v>2272</v>
      </c>
      <c r="S4028" s="71" t="s">
        <v>2272</v>
      </c>
      <c r="T4028" s="71" t="s">
        <v>2272</v>
      </c>
      <c r="U4028" s="71" t="s">
        <v>2272</v>
      </c>
      <c r="V4028" s="71" t="s">
        <v>2272</v>
      </c>
      <c r="W4028" s="71" t="s">
        <v>2272</v>
      </c>
      <c r="X4028" s="71" t="s">
        <v>2272</v>
      </c>
      <c r="Y4028" s="71" t="s">
        <v>2272</v>
      </c>
      <c r="Z4028" s="71" t="s">
        <v>2272</v>
      </c>
      <c r="AA4028" s="71" t="s">
        <v>2272</v>
      </c>
      <c r="AB4028" s="198"/>
      <c r="AC4028" s="198"/>
    </row>
    <row r="4029" spans="1:29" ht="46" customHeight="1">
      <c r="A4029" s="151" t="str">
        <f>'Reported burning'!A4029</f>
        <v>442c</v>
      </c>
      <c r="B4029" s="151" t="str">
        <f>'Reported burning'!B4029</f>
        <v>442c.6</v>
      </c>
      <c r="C4029" s="151" t="str">
        <f>'Reported burning'!C4029</f>
        <v>Human, escaped</v>
      </c>
      <c r="D4029" s="151" t="str">
        <f>'Reported burning'!D4029</f>
        <v>Domestic</v>
      </c>
      <c r="E4029" s="151" t="str">
        <f>'Reported burning'!E4029</f>
        <v>ND</v>
      </c>
      <c r="F4029" s="151" t="str">
        <f>'Reported burning'!F4029</f>
        <v>ND</v>
      </c>
      <c r="G4029" s="151" t="str">
        <f>'Reported burning'!G4029</f>
        <v>ND</v>
      </c>
      <c r="H4029" s="151" t="str">
        <f>'Reported burning'!H4029</f>
        <v>Presence</v>
      </c>
      <c r="I4029" s="198"/>
      <c r="J4029" s="71" t="s">
        <v>2272</v>
      </c>
      <c r="K4029" s="71" t="s">
        <v>2272</v>
      </c>
      <c r="L4029" s="71" t="s">
        <v>2272</v>
      </c>
      <c r="M4029" s="71" t="s">
        <v>2272</v>
      </c>
      <c r="N4029" s="71" t="s">
        <v>2272</v>
      </c>
      <c r="O4029" s="71" t="s">
        <v>2272</v>
      </c>
      <c r="P4029" s="71" t="s">
        <v>2272</v>
      </c>
      <c r="Q4029" s="71" t="s">
        <v>2272</v>
      </c>
      <c r="R4029" s="71" t="s">
        <v>2272</v>
      </c>
      <c r="S4029" s="71" t="s">
        <v>2272</v>
      </c>
      <c r="T4029" s="71" t="s">
        <v>2272</v>
      </c>
      <c r="U4029" s="71" t="s">
        <v>2272</v>
      </c>
      <c r="V4029" s="71" t="s">
        <v>2272</v>
      </c>
      <c r="W4029" s="71" t="s">
        <v>2272</v>
      </c>
      <c r="X4029" s="71" t="s">
        <v>2272</v>
      </c>
      <c r="Y4029" s="71" t="s">
        <v>2272</v>
      </c>
      <c r="Z4029" s="71" t="s">
        <v>2272</v>
      </c>
      <c r="AA4029" s="71" t="s">
        <v>2272</v>
      </c>
      <c r="AB4029" s="198"/>
      <c r="AC4029" s="198"/>
    </row>
    <row r="4030" spans="1:29" ht="46" customHeight="1">
      <c r="A4030" s="151" t="str">
        <f>'Reported burning'!A4030</f>
        <v>442c</v>
      </c>
      <c r="B4030" s="151" t="str">
        <f>'Reported burning'!B4030</f>
        <v>442c.7</v>
      </c>
      <c r="C4030" s="151" t="str">
        <f>'Reported burning'!C4030</f>
        <v>Human, escaped</v>
      </c>
      <c r="D4030" s="151" t="str">
        <f>'Reported burning'!D4030</f>
        <v>Land clearance</v>
      </c>
      <c r="E4030" s="151" t="str">
        <f>'Reported burning'!E4030</f>
        <v>ND</v>
      </c>
      <c r="F4030" s="151" t="str">
        <f>'Reported burning'!F4030</f>
        <v>ND</v>
      </c>
      <c r="G4030" s="151" t="str">
        <f>'Reported burning'!G4030</f>
        <v>ND</v>
      </c>
      <c r="H4030" s="151" t="str">
        <f>'Reported burning'!H4030</f>
        <v>Presence</v>
      </c>
      <c r="I4030" s="198"/>
      <c r="J4030" s="71" t="s">
        <v>2272</v>
      </c>
      <c r="K4030" s="71" t="s">
        <v>2272</v>
      </c>
      <c r="L4030" s="71" t="s">
        <v>2272</v>
      </c>
      <c r="M4030" s="71" t="s">
        <v>2272</v>
      </c>
      <c r="N4030" s="71" t="s">
        <v>2272</v>
      </c>
      <c r="O4030" s="71" t="s">
        <v>2272</v>
      </c>
      <c r="P4030" s="71" t="s">
        <v>2272</v>
      </c>
      <c r="Q4030" s="71" t="s">
        <v>2272</v>
      </c>
      <c r="R4030" s="71" t="s">
        <v>2272</v>
      </c>
      <c r="S4030" s="71" t="s">
        <v>2272</v>
      </c>
      <c r="T4030" s="71" t="s">
        <v>2272</v>
      </c>
      <c r="U4030" s="71" t="s">
        <v>2272</v>
      </c>
      <c r="V4030" s="71" t="s">
        <v>2272</v>
      </c>
      <c r="W4030" s="71" t="s">
        <v>2272</v>
      </c>
      <c r="X4030" s="71" t="s">
        <v>2272</v>
      </c>
      <c r="Y4030" s="71" t="s">
        <v>2272</v>
      </c>
      <c r="Z4030" s="71" t="s">
        <v>2272</v>
      </c>
      <c r="AA4030" s="71" t="s">
        <v>2272</v>
      </c>
      <c r="AB4030" s="198"/>
      <c r="AC4030" s="198"/>
    </row>
    <row r="4031" spans="1:29" ht="46" customHeight="1">
      <c r="A4031" s="151" t="str">
        <f>'Reported burning'!A4031</f>
        <v>442c</v>
      </c>
      <c r="B4031" s="151" t="str">
        <f>'Reported burning'!B4031</f>
        <v>442c.8</v>
      </c>
      <c r="C4031" s="151" t="str">
        <f>'Reported burning'!C4031</f>
        <v>Human, escaped</v>
      </c>
      <c r="D4031" s="151" t="str">
        <f>'Reported burning'!D4031</f>
        <v>Hunting</v>
      </c>
      <c r="E4031" s="151" t="str">
        <f>'Reported burning'!E4031</f>
        <v>ND</v>
      </c>
      <c r="F4031" s="151" t="str">
        <f>'Reported burning'!F4031</f>
        <v>ND</v>
      </c>
      <c r="G4031" s="151" t="str">
        <f>'Reported burning'!G4031</f>
        <v>ND</v>
      </c>
      <c r="H4031" s="151" t="str">
        <f>'Reported burning'!H4031</f>
        <v>Presence</v>
      </c>
      <c r="I4031" s="198"/>
      <c r="J4031" s="71" t="s">
        <v>2272</v>
      </c>
      <c r="K4031" s="71" t="s">
        <v>2272</v>
      </c>
      <c r="L4031" s="71" t="s">
        <v>2272</v>
      </c>
      <c r="M4031" s="71" t="s">
        <v>2272</v>
      </c>
      <c r="N4031" s="71" t="s">
        <v>2272</v>
      </c>
      <c r="O4031" s="71" t="s">
        <v>2272</v>
      </c>
      <c r="P4031" s="71" t="s">
        <v>2272</v>
      </c>
      <c r="Q4031" s="71" t="s">
        <v>2272</v>
      </c>
      <c r="R4031" s="71" t="s">
        <v>2272</v>
      </c>
      <c r="S4031" s="71" t="s">
        <v>2272</v>
      </c>
      <c r="T4031" s="71" t="s">
        <v>2272</v>
      </c>
      <c r="U4031" s="71" t="s">
        <v>2272</v>
      </c>
      <c r="V4031" s="71" t="s">
        <v>2272</v>
      </c>
      <c r="W4031" s="71" t="s">
        <v>2272</v>
      </c>
      <c r="X4031" s="71" t="s">
        <v>2272</v>
      </c>
      <c r="Y4031" s="71" t="s">
        <v>2272</v>
      </c>
      <c r="Z4031" s="71" t="s">
        <v>2272</v>
      </c>
      <c r="AA4031" s="71" t="s">
        <v>2272</v>
      </c>
      <c r="AB4031" s="198"/>
      <c r="AC4031" s="198"/>
    </row>
    <row r="4032" spans="1:29" ht="46" customHeight="1">
      <c r="A4032" s="151" t="str">
        <f>'Reported burning'!A4032</f>
        <v>442c</v>
      </c>
      <c r="B4032" s="151" t="str">
        <f>'Reported burning'!B4032</f>
        <v>442c.9</v>
      </c>
      <c r="C4032" s="151" t="str">
        <f>'Reported burning'!C4032</f>
        <v>Lightning</v>
      </c>
      <c r="D4032" s="151" t="str">
        <f>'Reported burning'!D4032</f>
        <v>ND</v>
      </c>
      <c r="E4032" s="151" t="str">
        <f>'Reported burning'!E4032</f>
        <v>ND</v>
      </c>
      <c r="F4032" s="151" t="str">
        <f>'Reported burning'!F4032</f>
        <v>ND</v>
      </c>
      <c r="G4032" s="151" t="str">
        <f>'Reported burning'!G4032</f>
        <v>ND</v>
      </c>
      <c r="H4032" s="151" t="str">
        <f>'Reported burning'!H4032</f>
        <v>Presence</v>
      </c>
      <c r="I4032" s="198"/>
      <c r="J4032" s="71" t="s">
        <v>2272</v>
      </c>
      <c r="K4032" s="71" t="s">
        <v>2272</v>
      </c>
      <c r="L4032" s="71" t="s">
        <v>2272</v>
      </c>
      <c r="M4032" s="71" t="s">
        <v>2272</v>
      </c>
      <c r="N4032" s="71" t="s">
        <v>2272</v>
      </c>
      <c r="O4032" s="71" t="s">
        <v>2272</v>
      </c>
      <c r="P4032" s="71" t="s">
        <v>2272</v>
      </c>
      <c r="Q4032" s="71" t="s">
        <v>2272</v>
      </c>
      <c r="R4032" s="71" t="s">
        <v>2272</v>
      </c>
      <c r="S4032" s="71" t="s">
        <v>2272</v>
      </c>
      <c r="T4032" s="71" t="s">
        <v>2272</v>
      </c>
      <c r="U4032" s="71" t="s">
        <v>2272</v>
      </c>
      <c r="V4032" s="71" t="s">
        <v>2272</v>
      </c>
      <c r="W4032" s="71" t="s">
        <v>2272</v>
      </c>
      <c r="X4032" s="71" t="s">
        <v>2272</v>
      </c>
      <c r="Y4032" s="71" t="s">
        <v>2272</v>
      </c>
      <c r="Z4032" s="71" t="s">
        <v>2272</v>
      </c>
      <c r="AA4032" s="71" t="s">
        <v>2272</v>
      </c>
      <c r="AB4032" s="4" t="s">
        <v>10342</v>
      </c>
      <c r="AC4032" s="198"/>
    </row>
    <row r="4033" spans="1:29" ht="46" customHeight="1">
      <c r="A4033" s="151" t="str">
        <f>'Reported burning'!A4033</f>
        <v>442c</v>
      </c>
      <c r="B4033" s="151" t="str">
        <f>'Reported burning'!B4033</f>
        <v>442c.10</v>
      </c>
      <c r="C4033" s="151" t="str">
        <f>'Reported burning'!C4033</f>
        <v>Human, accidental</v>
      </c>
      <c r="D4033" s="151" t="str">
        <f>'Reported burning'!D4033</f>
        <v>ND</v>
      </c>
      <c r="E4033" s="151" t="str">
        <f>'Reported burning'!E4033</f>
        <v>ND</v>
      </c>
      <c r="F4033" s="151" t="str">
        <f>'Reported burning'!F4033</f>
        <v>ND</v>
      </c>
      <c r="G4033" s="151" t="str">
        <f>'Reported burning'!G4033</f>
        <v>ND</v>
      </c>
      <c r="H4033" s="151" t="str">
        <f>'Reported burning'!H4033</f>
        <v>Presence</v>
      </c>
      <c r="I4033" s="198"/>
      <c r="J4033" s="71" t="s">
        <v>2272</v>
      </c>
      <c r="K4033" s="71" t="s">
        <v>2272</v>
      </c>
      <c r="L4033" s="71" t="s">
        <v>2272</v>
      </c>
      <c r="M4033" s="71" t="s">
        <v>2272</v>
      </c>
      <c r="N4033" s="71" t="s">
        <v>2272</v>
      </c>
      <c r="O4033" s="71" t="s">
        <v>2272</v>
      </c>
      <c r="P4033" s="71" t="s">
        <v>2272</v>
      </c>
      <c r="Q4033" s="71" t="s">
        <v>2272</v>
      </c>
      <c r="R4033" s="71" t="s">
        <v>2272</v>
      </c>
      <c r="S4033" s="71" t="s">
        <v>2272</v>
      </c>
      <c r="T4033" s="71" t="s">
        <v>2272</v>
      </c>
      <c r="U4033" s="71" t="s">
        <v>2272</v>
      </c>
      <c r="V4033" s="71" t="s">
        <v>2272</v>
      </c>
      <c r="W4033" s="71" t="s">
        <v>2272</v>
      </c>
      <c r="X4033" s="71" t="s">
        <v>2272</v>
      </c>
      <c r="Y4033" s="71" t="s">
        <v>2272</v>
      </c>
      <c r="Z4033" s="71" t="s">
        <v>2272</v>
      </c>
      <c r="AA4033" s="71" t="s">
        <v>2272</v>
      </c>
      <c r="AB4033" s="198"/>
      <c r="AC4033" s="198"/>
    </row>
    <row r="4034" spans="1:29" ht="53" customHeight="1">
      <c r="A4034" s="151" t="str">
        <f>'Reported burning'!A4034</f>
        <v>443a</v>
      </c>
      <c r="B4034" s="151" t="str">
        <f>'Reported burning'!B4034</f>
        <v>443a.1</v>
      </c>
      <c r="C4034" s="151" t="str">
        <f>'Reported burning'!C4034</f>
        <v>Human, deliberate</v>
      </c>
      <c r="D4034" s="151" t="str">
        <f>'Reported burning'!D4034</f>
        <v>Conservation</v>
      </c>
      <c r="E4034" s="151" t="str">
        <f>'Reported burning'!E4034</f>
        <v>Biodiversity conservation</v>
      </c>
      <c r="F4034" s="151" t="str">
        <f>'Reported burning'!F4034</f>
        <v>Shrubland (Mixed forest &amp; grassland)</v>
      </c>
      <c r="G4034" s="151" t="str">
        <f>'Reported burning'!G4034</f>
        <v>Shrubland (Mixed forest &amp; grassland)</v>
      </c>
      <c r="H4034" s="151" t="str">
        <f>'Reported burning'!H4034</f>
        <v>Presence</v>
      </c>
      <c r="I4034" s="198"/>
      <c r="J4034" s="71" t="s">
        <v>2272</v>
      </c>
      <c r="K4034" s="71" t="s">
        <v>2272</v>
      </c>
      <c r="L4034" s="71" t="s">
        <v>2272</v>
      </c>
      <c r="M4034" s="71" t="s">
        <v>2272</v>
      </c>
      <c r="N4034" s="71" t="s">
        <v>2272</v>
      </c>
      <c r="O4034" s="71" t="s">
        <v>2272</v>
      </c>
      <c r="P4034" s="71" t="s">
        <v>2272</v>
      </c>
      <c r="Q4034" s="71" t="s">
        <v>2272</v>
      </c>
      <c r="R4034" s="71" t="s">
        <v>2272</v>
      </c>
      <c r="S4034" s="71" t="s">
        <v>2272</v>
      </c>
      <c r="T4034" s="71" t="s">
        <v>2272</v>
      </c>
      <c r="U4034" s="71" t="s">
        <v>2272</v>
      </c>
      <c r="V4034" s="71" t="s">
        <v>2272</v>
      </c>
      <c r="W4034" s="71" t="s">
        <v>2272</v>
      </c>
      <c r="X4034" s="71" t="s">
        <v>2272</v>
      </c>
      <c r="Y4034" s="198" t="s">
        <v>423</v>
      </c>
      <c r="Z4034" s="198" t="s">
        <v>67</v>
      </c>
      <c r="AA4034" s="198" t="s">
        <v>63</v>
      </c>
      <c r="AB4034" s="4" t="s">
        <v>10351</v>
      </c>
      <c r="AC4034" s="198"/>
    </row>
    <row r="4035" spans="1:29" ht="53" customHeight="1">
      <c r="A4035" s="179" t="str">
        <f>'Reported burning'!A4035</f>
        <v>443a</v>
      </c>
      <c r="B4035" s="179" t="str">
        <f>'Reported burning'!B4035</f>
        <v>443a.2</v>
      </c>
      <c r="C4035" s="179" t="str">
        <f>'Reported burning'!C4035</f>
        <v>Human, deliberate</v>
      </c>
      <c r="D4035" s="179" t="str">
        <f>'Reported burning'!D4035</f>
        <v>Conservation</v>
      </c>
      <c r="E4035" s="179" t="str">
        <f>'Reported burning'!E4035</f>
        <v>Biodiversity conservation</v>
      </c>
      <c r="F4035" s="179" t="str">
        <f>'Reported burning'!F4035</f>
        <v>Shrubland (Mixed forest &amp; grassland)</v>
      </c>
      <c r="G4035" s="179" t="str">
        <f>'Reported burning'!G4035</f>
        <v>Shrubland (Mixed forest &amp; grassland)</v>
      </c>
      <c r="H4035" s="179" t="str">
        <f>'Reported burning'!H4035</f>
        <v>Presence</v>
      </c>
      <c r="I4035" s="198"/>
      <c r="J4035" s="71" t="s">
        <v>2272</v>
      </c>
      <c r="K4035" s="71" t="s">
        <v>2272</v>
      </c>
      <c r="L4035" s="71" t="s">
        <v>2272</v>
      </c>
      <c r="M4035" s="71" t="s">
        <v>2272</v>
      </c>
      <c r="N4035" s="71" t="s">
        <v>2272</v>
      </c>
      <c r="O4035" s="71" t="s">
        <v>2272</v>
      </c>
      <c r="P4035" s="71" t="s">
        <v>2272</v>
      </c>
      <c r="Q4035" s="71" t="s">
        <v>2272</v>
      </c>
      <c r="R4035" s="71" t="s">
        <v>2272</v>
      </c>
      <c r="S4035" s="71" t="s">
        <v>2272</v>
      </c>
      <c r="T4035" s="71" t="s">
        <v>2272</v>
      </c>
      <c r="U4035" s="71" t="s">
        <v>2272</v>
      </c>
      <c r="V4035" s="71" t="s">
        <v>2272</v>
      </c>
      <c r="W4035" s="71" t="s">
        <v>2272</v>
      </c>
      <c r="X4035" s="71" t="s">
        <v>2272</v>
      </c>
      <c r="Y4035" s="198" t="s">
        <v>187</v>
      </c>
      <c r="Z4035" s="198" t="s">
        <v>37</v>
      </c>
      <c r="AA4035" s="198" t="s">
        <v>63</v>
      </c>
      <c r="AB4035" s="4" t="s">
        <v>10352</v>
      </c>
      <c r="AC4035" s="35"/>
    </row>
    <row r="4036" spans="1:29" ht="79" customHeight="1">
      <c r="A4036" s="147" t="str">
        <f>'Reported burning'!A4036</f>
        <v>443b</v>
      </c>
      <c r="B4036" s="147" t="str">
        <f>'Reported burning'!B4036</f>
        <v>443b.1</v>
      </c>
      <c r="C4036" s="147" t="str">
        <f>'Reported burning'!C4036</f>
        <v>Human, deliberate</v>
      </c>
      <c r="D4036" s="147" t="str">
        <f>'Reported burning'!D4036</f>
        <v>Conservation</v>
      </c>
      <c r="E4036" s="147" t="str">
        <f>'Reported burning'!E4036</f>
        <v>Biodiversity conservation</v>
      </c>
      <c r="F4036" s="147" t="str">
        <f>'Reported burning'!F4036</f>
        <v>Shrubland (Mixed forest &amp; grassland)</v>
      </c>
      <c r="G4036" s="147" t="str">
        <f>'Reported burning'!G4036</f>
        <v>Shrubland (Mixed forest &amp; grassland)</v>
      </c>
      <c r="H4036" s="147" t="str">
        <f>'Reported burning'!H4036</f>
        <v>Presence</v>
      </c>
      <c r="I4036" s="198"/>
      <c r="J4036" s="71" t="s">
        <v>2272</v>
      </c>
      <c r="K4036" s="71" t="s">
        <v>2272</v>
      </c>
      <c r="L4036" s="71" t="s">
        <v>2272</v>
      </c>
      <c r="M4036" s="71" t="s">
        <v>2272</v>
      </c>
      <c r="N4036" s="71" t="s">
        <v>2272</v>
      </c>
      <c r="O4036" s="71" t="s">
        <v>2272</v>
      </c>
      <c r="P4036" s="71" t="s">
        <v>2272</v>
      </c>
      <c r="Q4036" s="71" t="s">
        <v>2272</v>
      </c>
      <c r="R4036" s="71" t="s">
        <v>2272</v>
      </c>
      <c r="S4036" s="71" t="s">
        <v>2272</v>
      </c>
      <c r="T4036" s="71" t="s">
        <v>2272</v>
      </c>
      <c r="U4036" s="71" t="s">
        <v>2272</v>
      </c>
      <c r="V4036" s="71" t="s">
        <v>2272</v>
      </c>
      <c r="W4036" s="71" t="s">
        <v>2272</v>
      </c>
      <c r="X4036" s="21" t="s">
        <v>2370</v>
      </c>
      <c r="Y4036" s="71" t="s">
        <v>2272</v>
      </c>
      <c r="Z4036" s="71" t="s">
        <v>2272</v>
      </c>
      <c r="AA4036" s="71" t="s">
        <v>2272</v>
      </c>
      <c r="AB4036" s="19" t="s">
        <v>10359</v>
      </c>
      <c r="AC4036" s="198"/>
    </row>
    <row r="4037" spans="1:29" ht="56" customHeight="1">
      <c r="A4037" s="147" t="str">
        <f>'Reported burning'!A4037</f>
        <v>443b</v>
      </c>
      <c r="B4037" s="147" t="str">
        <f>'Reported burning'!B4037</f>
        <v>443b.2</v>
      </c>
      <c r="C4037" s="147" t="str">
        <f>'Reported burning'!C4037</f>
        <v>Human, deliberate</v>
      </c>
      <c r="D4037" s="147" t="str">
        <f>'Reported burning'!D4037</f>
        <v>Conservation</v>
      </c>
      <c r="E4037" s="147" t="str">
        <f>'Reported burning'!E4037</f>
        <v>Biodiversity conservation</v>
      </c>
      <c r="F4037" s="147" t="str">
        <f>'Reported burning'!F4037</f>
        <v>Shrubland (Mixed forest &amp; grassland)</v>
      </c>
      <c r="G4037" s="147" t="str">
        <f>'Reported burning'!G4037</f>
        <v>Shrubland (Mixed forest &amp; grassland)</v>
      </c>
      <c r="H4037" s="147" t="str">
        <f>'Reported burning'!H4037</f>
        <v>Presence</v>
      </c>
      <c r="I4037" s="198"/>
      <c r="J4037" s="71" t="s">
        <v>2272</v>
      </c>
      <c r="K4037" s="71" t="s">
        <v>2272</v>
      </c>
      <c r="L4037" s="71" t="s">
        <v>2272</v>
      </c>
      <c r="M4037" s="71" t="s">
        <v>2272</v>
      </c>
      <c r="N4037" s="71" t="s">
        <v>2272</v>
      </c>
      <c r="O4037" s="71" t="s">
        <v>2272</v>
      </c>
      <c r="P4037" s="71" t="s">
        <v>2272</v>
      </c>
      <c r="Q4037" s="71" t="s">
        <v>2272</v>
      </c>
      <c r="R4037" s="71" t="s">
        <v>2272</v>
      </c>
      <c r="S4037" s="71" t="s">
        <v>2272</v>
      </c>
      <c r="T4037" s="71" t="s">
        <v>2272</v>
      </c>
      <c r="U4037" s="71" t="s">
        <v>2272</v>
      </c>
      <c r="V4037" s="71" t="s">
        <v>2272</v>
      </c>
      <c r="W4037" s="71" t="s">
        <v>2272</v>
      </c>
      <c r="X4037" s="21" t="s">
        <v>2398</v>
      </c>
      <c r="Y4037" s="71" t="s">
        <v>2272</v>
      </c>
      <c r="Z4037" s="71" t="s">
        <v>2272</v>
      </c>
      <c r="AA4037" s="71" t="s">
        <v>2272</v>
      </c>
      <c r="AB4037" s="19" t="s">
        <v>10360</v>
      </c>
      <c r="AC4037" s="198"/>
    </row>
    <row r="4038" spans="1:29" ht="95" customHeight="1">
      <c r="A4038" s="151" t="str">
        <f>'Reported burning'!A4038</f>
        <v>444a</v>
      </c>
      <c r="B4038" s="151" t="str">
        <f>'Reported burning'!B4038</f>
        <v>444a.1</v>
      </c>
      <c r="C4038" s="151" t="str">
        <f>'Reported burning'!C4038</f>
        <v>All</v>
      </c>
      <c r="D4038" s="151" t="str">
        <f>'Reported burning'!D4038</f>
        <v>All</v>
      </c>
      <c r="E4038" s="151" t="str">
        <f>'Reported burning'!E4038</f>
        <v>ND</v>
      </c>
      <c r="F4038" s="151" t="str">
        <f>'Reported burning'!F4038</f>
        <v>ND</v>
      </c>
      <c r="G4038" s="151" t="str">
        <f>'Reported burning'!G4038</f>
        <v>Shrubland (Mixed forest &amp; grassland)</v>
      </c>
      <c r="H4038" s="151" t="str">
        <f>'Reported burning'!H4038</f>
        <v>Presence</v>
      </c>
      <c r="I4038" s="198"/>
      <c r="J4038" s="71" t="s">
        <v>2272</v>
      </c>
      <c r="K4038" s="71" t="s">
        <v>2272</v>
      </c>
      <c r="L4038" s="71" t="s">
        <v>2272</v>
      </c>
      <c r="M4038" s="71" t="s">
        <v>2272</v>
      </c>
      <c r="N4038" s="71" t="s">
        <v>2272</v>
      </c>
      <c r="O4038" s="71" t="s">
        <v>2272</v>
      </c>
      <c r="P4038" s="71" t="s">
        <v>2272</v>
      </c>
      <c r="Q4038" s="71" t="s">
        <v>2272</v>
      </c>
      <c r="R4038" s="71" t="s">
        <v>2272</v>
      </c>
      <c r="S4038" s="71" t="s">
        <v>2272</v>
      </c>
      <c r="T4038" s="71" t="s">
        <v>2272</v>
      </c>
      <c r="U4038" s="71" t="s">
        <v>2272</v>
      </c>
      <c r="V4038" s="71" t="s">
        <v>2272</v>
      </c>
      <c r="W4038" s="71" t="s">
        <v>2272</v>
      </c>
      <c r="X4038" s="71" t="s">
        <v>2272</v>
      </c>
      <c r="Y4038" s="226" t="s">
        <v>2272</v>
      </c>
      <c r="Z4038" s="226" t="s">
        <v>2272</v>
      </c>
      <c r="AA4038" s="226" t="s">
        <v>2272</v>
      </c>
      <c r="AB4038" s="198"/>
      <c r="AC4038" s="198"/>
    </row>
    <row r="4039" spans="1:29" ht="60" customHeight="1">
      <c r="A4039" s="151" t="str">
        <f>'Reported burning'!A4039</f>
        <v>444b</v>
      </c>
      <c r="B4039" s="151" t="str">
        <f>'Reported burning'!B4039</f>
        <v>444b.1</v>
      </c>
      <c r="C4039" s="151" t="str">
        <f>'Reported burning'!C4039</f>
        <v>All</v>
      </c>
      <c r="D4039" s="151" t="str">
        <f>'Reported burning'!D4039</f>
        <v>All</v>
      </c>
      <c r="E4039" s="151" t="str">
        <f>'Reported burning'!E4039</f>
        <v>ND</v>
      </c>
      <c r="F4039" s="151" t="str">
        <f>'Reported burning'!F4039</f>
        <v>ND</v>
      </c>
      <c r="G4039" s="151" t="str">
        <f>'Reported burning'!G4039</f>
        <v>Shrubland (Mixed forest &amp; grassland)</v>
      </c>
      <c r="H4039" s="151" t="str">
        <f>'Reported burning'!H4039</f>
        <v>Presence</v>
      </c>
      <c r="I4039" s="198"/>
      <c r="J4039" s="71" t="s">
        <v>2272</v>
      </c>
      <c r="K4039" s="71" t="s">
        <v>2272</v>
      </c>
      <c r="L4039" s="71" t="s">
        <v>2272</v>
      </c>
      <c r="M4039" s="71" t="s">
        <v>2272</v>
      </c>
      <c r="N4039" s="71" t="s">
        <v>2272</v>
      </c>
      <c r="O4039" s="71" t="s">
        <v>2272</v>
      </c>
      <c r="P4039" s="71" t="s">
        <v>2272</v>
      </c>
      <c r="Q4039" s="71" t="s">
        <v>2272</v>
      </c>
      <c r="R4039" s="71" t="s">
        <v>2272</v>
      </c>
      <c r="S4039" s="71" t="s">
        <v>2272</v>
      </c>
      <c r="T4039" s="71" t="s">
        <v>2272</v>
      </c>
      <c r="U4039" s="71" t="s">
        <v>2272</v>
      </c>
      <c r="V4039" s="71" t="s">
        <v>2272</v>
      </c>
      <c r="W4039" s="71" t="s">
        <v>2272</v>
      </c>
      <c r="X4039" s="71" t="s">
        <v>2272</v>
      </c>
      <c r="Y4039" s="226" t="s">
        <v>2272</v>
      </c>
      <c r="Z4039" s="226" t="s">
        <v>2272</v>
      </c>
      <c r="AA4039" s="226" t="s">
        <v>2272</v>
      </c>
      <c r="AB4039" s="198"/>
      <c r="AC4039" s="198"/>
    </row>
    <row r="4040" spans="1:29" ht="60" customHeight="1">
      <c r="A4040" s="151" t="str">
        <f>'Reported burning'!A4040</f>
        <v>444c</v>
      </c>
      <c r="B4040" s="151" t="str">
        <f>'Reported burning'!B4040</f>
        <v>444c.1</v>
      </c>
      <c r="C4040" s="151" t="str">
        <f>'Reported burning'!C4040</f>
        <v>All</v>
      </c>
      <c r="D4040" s="151" t="str">
        <f>'Reported burning'!D4040</f>
        <v>All</v>
      </c>
      <c r="E4040" s="151" t="str">
        <f>'Reported burning'!E4040</f>
        <v>ND</v>
      </c>
      <c r="F4040" s="151" t="str">
        <f>'Reported burning'!F4040</f>
        <v>ND</v>
      </c>
      <c r="G4040" s="151" t="str">
        <f>'Reported burning'!G4040</f>
        <v>Shrubland (Mixed forest &amp; grassland)</v>
      </c>
      <c r="H4040" s="151" t="str">
        <f>'Reported burning'!H4040</f>
        <v>Presence</v>
      </c>
      <c r="I4040" s="198"/>
      <c r="J4040" s="71" t="s">
        <v>2272</v>
      </c>
      <c r="K4040" s="71" t="s">
        <v>2272</v>
      </c>
      <c r="L4040" s="71" t="s">
        <v>2272</v>
      </c>
      <c r="M4040" s="71" t="s">
        <v>2272</v>
      </c>
      <c r="N4040" s="71" t="s">
        <v>2272</v>
      </c>
      <c r="O4040" s="71" t="s">
        <v>2272</v>
      </c>
      <c r="P4040" s="71" t="s">
        <v>2272</v>
      </c>
      <c r="Q4040" s="71" t="s">
        <v>2272</v>
      </c>
      <c r="R4040" s="71" t="s">
        <v>2272</v>
      </c>
      <c r="S4040" s="71" t="s">
        <v>2272</v>
      </c>
      <c r="T4040" s="71" t="s">
        <v>2272</v>
      </c>
      <c r="U4040" s="71" t="s">
        <v>2272</v>
      </c>
      <c r="V4040" s="71" t="s">
        <v>2272</v>
      </c>
      <c r="W4040" s="71" t="s">
        <v>2272</v>
      </c>
      <c r="X4040" s="71" t="s">
        <v>2272</v>
      </c>
      <c r="Y4040" s="226" t="s">
        <v>2272</v>
      </c>
      <c r="Z4040" s="226" t="s">
        <v>2272</v>
      </c>
      <c r="AA4040" s="226" t="s">
        <v>2272</v>
      </c>
      <c r="AB4040" s="198"/>
      <c r="AC4040" s="198"/>
    </row>
    <row r="4041" spans="1:29" ht="60" customHeight="1">
      <c r="A4041" s="151" t="str">
        <f>'Reported burning'!A4041</f>
        <v>444d</v>
      </c>
      <c r="B4041" s="151" t="str">
        <f>'Reported burning'!B4041</f>
        <v>444d.1</v>
      </c>
      <c r="C4041" s="151" t="str">
        <f>'Reported burning'!C4041</f>
        <v>All</v>
      </c>
      <c r="D4041" s="151" t="str">
        <f>'Reported burning'!D4041</f>
        <v>All</v>
      </c>
      <c r="E4041" s="151" t="str">
        <f>'Reported burning'!E4041</f>
        <v>ND</v>
      </c>
      <c r="F4041" s="151" t="str">
        <f>'Reported burning'!F4041</f>
        <v>ND</v>
      </c>
      <c r="G4041" s="151" t="str">
        <f>'Reported burning'!G4041</f>
        <v>Shrubland (Mixed forest &amp; grassland)</v>
      </c>
      <c r="H4041" s="151" t="str">
        <f>'Reported burning'!H4041</f>
        <v>Presence</v>
      </c>
      <c r="I4041" s="198"/>
      <c r="J4041" s="71" t="s">
        <v>2272</v>
      </c>
      <c r="K4041" s="71" t="s">
        <v>2272</v>
      </c>
      <c r="L4041" s="71" t="s">
        <v>2272</v>
      </c>
      <c r="M4041" s="71" t="s">
        <v>2272</v>
      </c>
      <c r="N4041" s="71" t="s">
        <v>2272</v>
      </c>
      <c r="O4041" s="71" t="s">
        <v>2272</v>
      </c>
      <c r="P4041" s="71" t="s">
        <v>2272</v>
      </c>
      <c r="Q4041" s="71" t="s">
        <v>2272</v>
      </c>
      <c r="R4041" s="71" t="s">
        <v>2272</v>
      </c>
      <c r="S4041" s="71" t="s">
        <v>2272</v>
      </c>
      <c r="T4041" s="71" t="s">
        <v>2272</v>
      </c>
      <c r="U4041" s="71" t="s">
        <v>2272</v>
      </c>
      <c r="V4041" s="71" t="s">
        <v>2272</v>
      </c>
      <c r="W4041" s="71" t="s">
        <v>2272</v>
      </c>
      <c r="X4041" s="71" t="s">
        <v>2272</v>
      </c>
      <c r="Y4041" s="226" t="s">
        <v>2272</v>
      </c>
      <c r="Z4041" s="226" t="s">
        <v>2272</v>
      </c>
      <c r="AA4041" s="226" t="s">
        <v>2272</v>
      </c>
      <c r="AB4041" s="198"/>
      <c r="AC4041" s="198"/>
    </row>
    <row r="4042" spans="1:29" ht="60" customHeight="1">
      <c r="A4042" s="151" t="str">
        <f>'Reported burning'!A4042</f>
        <v>444e</v>
      </c>
      <c r="B4042" s="151" t="str">
        <f>'Reported burning'!B4042</f>
        <v>444e.1</v>
      </c>
      <c r="C4042" s="151" t="str">
        <f>'Reported burning'!C4042</f>
        <v>All</v>
      </c>
      <c r="D4042" s="151" t="str">
        <f>'Reported burning'!D4042</f>
        <v>All</v>
      </c>
      <c r="E4042" s="151" t="str">
        <f>'Reported burning'!E4042</f>
        <v>ND</v>
      </c>
      <c r="F4042" s="151" t="str">
        <f>'Reported burning'!F4042</f>
        <v>ND</v>
      </c>
      <c r="G4042" s="151" t="str">
        <f>'Reported burning'!G4042</f>
        <v>Shrubland (Mixed forest &amp; grassland)</v>
      </c>
      <c r="H4042" s="151" t="str">
        <f>'Reported burning'!H4042</f>
        <v>Presence</v>
      </c>
      <c r="I4042" s="198"/>
      <c r="J4042" s="71" t="s">
        <v>2272</v>
      </c>
      <c r="K4042" s="71" t="s">
        <v>2272</v>
      </c>
      <c r="L4042" s="71" t="s">
        <v>2272</v>
      </c>
      <c r="M4042" s="71" t="s">
        <v>2272</v>
      </c>
      <c r="N4042" s="71" t="s">
        <v>2272</v>
      </c>
      <c r="O4042" s="71" t="s">
        <v>2272</v>
      </c>
      <c r="P4042" s="71" t="s">
        <v>2272</v>
      </c>
      <c r="Q4042" s="71" t="s">
        <v>2272</v>
      </c>
      <c r="R4042" s="71" t="s">
        <v>2272</v>
      </c>
      <c r="S4042" s="71" t="s">
        <v>2272</v>
      </c>
      <c r="T4042" s="71" t="s">
        <v>2272</v>
      </c>
      <c r="U4042" s="71" t="s">
        <v>2272</v>
      </c>
      <c r="V4042" s="71" t="s">
        <v>2272</v>
      </c>
      <c r="W4042" s="71" t="s">
        <v>2272</v>
      </c>
      <c r="X4042" s="71" t="s">
        <v>2272</v>
      </c>
      <c r="Y4042" s="226" t="s">
        <v>2272</v>
      </c>
      <c r="Z4042" s="226" t="s">
        <v>2272</v>
      </c>
      <c r="AA4042" s="226" t="s">
        <v>2272</v>
      </c>
      <c r="AB4042" s="198"/>
      <c r="AC4042" s="198"/>
    </row>
    <row r="4043" spans="1:29" ht="60" customHeight="1">
      <c r="A4043" s="151" t="str">
        <f>'Reported burning'!A4043</f>
        <v>444f</v>
      </c>
      <c r="B4043" s="151" t="str">
        <f>'Reported burning'!B4043</f>
        <v>444f.1</v>
      </c>
      <c r="C4043" s="151" t="str">
        <f>'Reported burning'!C4043</f>
        <v>All</v>
      </c>
      <c r="D4043" s="151" t="str">
        <f>'Reported burning'!D4043</f>
        <v>All</v>
      </c>
      <c r="E4043" s="151" t="str">
        <f>'Reported burning'!E4043</f>
        <v>ND</v>
      </c>
      <c r="F4043" s="151" t="str">
        <f>'Reported burning'!F4043</f>
        <v>ND</v>
      </c>
      <c r="G4043" s="151" t="str">
        <f>'Reported burning'!G4043</f>
        <v>Shrubland (Mixed forest &amp; grassland)</v>
      </c>
      <c r="H4043" s="151" t="str">
        <f>'Reported burning'!H4043</f>
        <v>Presence</v>
      </c>
      <c r="I4043" s="198"/>
      <c r="J4043" s="71" t="s">
        <v>2272</v>
      </c>
      <c r="K4043" s="71" t="s">
        <v>2272</v>
      </c>
      <c r="L4043" s="71" t="s">
        <v>2272</v>
      </c>
      <c r="M4043" s="71" t="s">
        <v>2272</v>
      </c>
      <c r="N4043" s="71" t="s">
        <v>2272</v>
      </c>
      <c r="O4043" s="71" t="s">
        <v>2272</v>
      </c>
      <c r="P4043" s="71" t="s">
        <v>2272</v>
      </c>
      <c r="Q4043" s="71" t="s">
        <v>2272</v>
      </c>
      <c r="R4043" s="71" t="s">
        <v>2272</v>
      </c>
      <c r="S4043" s="71" t="s">
        <v>2272</v>
      </c>
      <c r="T4043" s="71" t="s">
        <v>2272</v>
      </c>
      <c r="U4043" s="71" t="s">
        <v>2272</v>
      </c>
      <c r="V4043" s="71" t="s">
        <v>2272</v>
      </c>
      <c r="W4043" s="71" t="s">
        <v>2272</v>
      </c>
      <c r="X4043" s="71" t="s">
        <v>2272</v>
      </c>
      <c r="Y4043" s="226" t="s">
        <v>2272</v>
      </c>
      <c r="Z4043" s="226" t="s">
        <v>2272</v>
      </c>
      <c r="AA4043" s="226" t="s">
        <v>2272</v>
      </c>
      <c r="AB4043" s="198"/>
      <c r="AC4043" s="198"/>
    </row>
    <row r="4044" spans="1:29" ht="60" customHeight="1">
      <c r="A4044" s="151" t="str">
        <f>'Reported burning'!A4044</f>
        <v>444g</v>
      </c>
      <c r="B4044" s="151" t="str">
        <f>'Reported burning'!B4044</f>
        <v>444g.1</v>
      </c>
      <c r="C4044" s="151" t="str">
        <f>'Reported burning'!C4044</f>
        <v>All</v>
      </c>
      <c r="D4044" s="151" t="str">
        <f>'Reported burning'!D4044</f>
        <v>All</v>
      </c>
      <c r="E4044" s="151" t="str">
        <f>'Reported burning'!E4044</f>
        <v>ND</v>
      </c>
      <c r="F4044" s="151" t="str">
        <f>'Reported burning'!F4044</f>
        <v>ND</v>
      </c>
      <c r="G4044" s="151" t="str">
        <f>'Reported burning'!G4044</f>
        <v>Shrubland (Mixed forest &amp; grassland)</v>
      </c>
      <c r="H4044" s="151" t="str">
        <f>'Reported burning'!H4044</f>
        <v>Presence</v>
      </c>
      <c r="I4044" s="198"/>
      <c r="J4044" s="71" t="s">
        <v>2272</v>
      </c>
      <c r="K4044" s="71" t="s">
        <v>2272</v>
      </c>
      <c r="L4044" s="71" t="s">
        <v>2272</v>
      </c>
      <c r="M4044" s="71" t="s">
        <v>2272</v>
      </c>
      <c r="N4044" s="71" t="s">
        <v>2272</v>
      </c>
      <c r="O4044" s="71" t="s">
        <v>2272</v>
      </c>
      <c r="P4044" s="71" t="s">
        <v>2272</v>
      </c>
      <c r="Q4044" s="71" t="s">
        <v>2272</v>
      </c>
      <c r="R4044" s="71" t="s">
        <v>2272</v>
      </c>
      <c r="S4044" s="71" t="s">
        <v>2272</v>
      </c>
      <c r="T4044" s="71" t="s">
        <v>2272</v>
      </c>
      <c r="U4044" s="71" t="s">
        <v>2272</v>
      </c>
      <c r="V4044" s="71" t="s">
        <v>2272</v>
      </c>
      <c r="W4044" s="71" t="s">
        <v>2272</v>
      </c>
      <c r="X4044" s="71" t="s">
        <v>2272</v>
      </c>
      <c r="Y4044" s="226" t="s">
        <v>2272</v>
      </c>
      <c r="Z4044" s="226" t="s">
        <v>2272</v>
      </c>
      <c r="AA4044" s="226" t="s">
        <v>2272</v>
      </c>
      <c r="AB4044" s="198"/>
      <c r="AC4044" s="198"/>
    </row>
    <row r="4045" spans="1:29" ht="60" customHeight="1">
      <c r="A4045" s="151" t="str">
        <f>'Reported burning'!A4045</f>
        <v>444h</v>
      </c>
      <c r="B4045" s="151" t="str">
        <f>'Reported burning'!B4045</f>
        <v>444h.1</v>
      </c>
      <c r="C4045" s="151" t="str">
        <f>'Reported burning'!C4045</f>
        <v>All</v>
      </c>
      <c r="D4045" s="151" t="str">
        <f>'Reported burning'!D4045</f>
        <v>All</v>
      </c>
      <c r="E4045" s="151" t="str">
        <f>'Reported burning'!E4045</f>
        <v>ND</v>
      </c>
      <c r="F4045" s="151" t="str">
        <f>'Reported burning'!F4045</f>
        <v>ND</v>
      </c>
      <c r="G4045" s="151" t="str">
        <f>'Reported burning'!G4045</f>
        <v>Shrubland (Mixed forest &amp; grassland)</v>
      </c>
      <c r="H4045" s="151" t="str">
        <f>'Reported burning'!H4045</f>
        <v>Presence</v>
      </c>
      <c r="I4045" s="198"/>
      <c r="J4045" s="71" t="s">
        <v>2272</v>
      </c>
      <c r="K4045" s="71" t="s">
        <v>2272</v>
      </c>
      <c r="L4045" s="71" t="s">
        <v>2272</v>
      </c>
      <c r="M4045" s="71" t="s">
        <v>2272</v>
      </c>
      <c r="N4045" s="71" t="s">
        <v>2272</v>
      </c>
      <c r="O4045" s="71" t="s">
        <v>2272</v>
      </c>
      <c r="P4045" s="71" t="s">
        <v>2272</v>
      </c>
      <c r="Q4045" s="71" t="s">
        <v>2272</v>
      </c>
      <c r="R4045" s="71" t="s">
        <v>2272</v>
      </c>
      <c r="S4045" s="71" t="s">
        <v>2272</v>
      </c>
      <c r="T4045" s="71" t="s">
        <v>2272</v>
      </c>
      <c r="U4045" s="71" t="s">
        <v>2272</v>
      </c>
      <c r="V4045" s="71" t="s">
        <v>2272</v>
      </c>
      <c r="W4045" s="71" t="s">
        <v>2272</v>
      </c>
      <c r="X4045" s="71" t="s">
        <v>2272</v>
      </c>
      <c r="Y4045" s="226" t="s">
        <v>2272</v>
      </c>
      <c r="Z4045" s="226" t="s">
        <v>2272</v>
      </c>
      <c r="AA4045" s="226" t="s">
        <v>2272</v>
      </c>
      <c r="AB4045" s="198"/>
      <c r="AC4045" s="198"/>
    </row>
    <row r="4046" spans="1:29" ht="60" customHeight="1">
      <c r="A4046" s="151" t="str">
        <f>'Reported burning'!A4046</f>
        <v>444i</v>
      </c>
      <c r="B4046" s="151" t="str">
        <f>'Reported burning'!B4046</f>
        <v>444i.1</v>
      </c>
      <c r="C4046" s="179" t="str">
        <f>'Reported burning'!C4046</f>
        <v>All</v>
      </c>
      <c r="D4046" s="179" t="str">
        <f>'Reported burning'!D4046</f>
        <v>All</v>
      </c>
      <c r="E4046" s="179" t="str">
        <f>'Reported burning'!E4046</f>
        <v>ND</v>
      </c>
      <c r="F4046" s="179" t="str">
        <f>'Reported burning'!F4046</f>
        <v>ND</v>
      </c>
      <c r="G4046" s="179" t="str">
        <f>'Reported burning'!G4046</f>
        <v>Shrubland (Mixed forest &amp; grassland)</v>
      </c>
      <c r="H4046" s="179" t="str">
        <f>'Reported burning'!H4046</f>
        <v>Presence</v>
      </c>
      <c r="I4046" s="198"/>
      <c r="J4046" s="226" t="s">
        <v>2272</v>
      </c>
      <c r="K4046" s="226" t="s">
        <v>2272</v>
      </c>
      <c r="L4046" s="226" t="s">
        <v>2272</v>
      </c>
      <c r="M4046" s="226" t="s">
        <v>2272</v>
      </c>
      <c r="N4046" s="226" t="s">
        <v>2272</v>
      </c>
      <c r="O4046" s="226" t="s">
        <v>2272</v>
      </c>
      <c r="P4046" s="226" t="s">
        <v>2272</v>
      </c>
      <c r="Q4046" s="226" t="s">
        <v>2272</v>
      </c>
      <c r="R4046" s="226" t="s">
        <v>2272</v>
      </c>
      <c r="S4046" s="226" t="s">
        <v>2272</v>
      </c>
      <c r="T4046" s="226" t="s">
        <v>2272</v>
      </c>
      <c r="U4046" s="226" t="s">
        <v>2272</v>
      </c>
      <c r="V4046" s="226" t="s">
        <v>2272</v>
      </c>
      <c r="W4046" s="226" t="s">
        <v>2272</v>
      </c>
      <c r="X4046" s="226" t="s">
        <v>2272</v>
      </c>
      <c r="Y4046" s="226" t="s">
        <v>2272</v>
      </c>
      <c r="Z4046" s="226" t="s">
        <v>2272</v>
      </c>
      <c r="AA4046" s="71" t="s">
        <v>2272</v>
      </c>
      <c r="AB4046" s="198"/>
      <c r="AC4046" s="198"/>
    </row>
    <row r="4047" spans="1:29" ht="60" customHeight="1">
      <c r="A4047" s="151" t="str">
        <f>'Reported burning'!A4047</f>
        <v>444j</v>
      </c>
      <c r="B4047" s="151" t="str">
        <f>'Reported burning'!B4047</f>
        <v>444j.1</v>
      </c>
      <c r="C4047" s="147" t="str">
        <f>'Reported burning'!C4047</f>
        <v>All</v>
      </c>
      <c r="D4047" s="147" t="str">
        <f>'Reported burning'!D4047</f>
        <v>All</v>
      </c>
      <c r="E4047" s="147" t="str">
        <f>'Reported burning'!E4047</f>
        <v>ND</v>
      </c>
      <c r="F4047" s="147" t="str">
        <f>'Reported burning'!F4047</f>
        <v>ND</v>
      </c>
      <c r="G4047" s="147" t="str">
        <f>'Reported burning'!G4047</f>
        <v>Shrubland (Mixed forest &amp; grassland)</v>
      </c>
      <c r="H4047" s="147" t="str">
        <f>'Reported burning'!H4047</f>
        <v>Presence</v>
      </c>
      <c r="I4047" s="198"/>
      <c r="J4047" s="71" t="s">
        <v>2272</v>
      </c>
      <c r="K4047" s="71" t="s">
        <v>2272</v>
      </c>
      <c r="L4047" s="71" t="s">
        <v>2272</v>
      </c>
      <c r="M4047" s="71" t="s">
        <v>2272</v>
      </c>
      <c r="N4047" s="71" t="s">
        <v>2272</v>
      </c>
      <c r="O4047" s="71" t="s">
        <v>2272</v>
      </c>
      <c r="P4047" s="71" t="s">
        <v>2272</v>
      </c>
      <c r="Q4047" s="71" t="s">
        <v>2272</v>
      </c>
      <c r="R4047" s="71" t="s">
        <v>2272</v>
      </c>
      <c r="S4047" s="71" t="s">
        <v>2272</v>
      </c>
      <c r="T4047" s="71" t="s">
        <v>2272</v>
      </c>
      <c r="U4047" s="71" t="s">
        <v>2272</v>
      </c>
      <c r="V4047" s="71" t="s">
        <v>2272</v>
      </c>
      <c r="W4047" s="71" t="s">
        <v>2272</v>
      </c>
      <c r="X4047" s="71" t="s">
        <v>2272</v>
      </c>
      <c r="Y4047" s="71" t="s">
        <v>2272</v>
      </c>
      <c r="Z4047" s="71" t="s">
        <v>2272</v>
      </c>
      <c r="AA4047" s="71" t="s">
        <v>2272</v>
      </c>
      <c r="AB4047" s="198"/>
      <c r="AC4047" s="198"/>
    </row>
    <row r="4048" spans="1:29" ht="60" customHeight="1">
      <c r="A4048" s="151" t="str">
        <f>'Reported burning'!A4048</f>
        <v>444a</v>
      </c>
      <c r="B4048" s="151" t="str">
        <f>'Reported burning'!B4048</f>
        <v>444a.2</v>
      </c>
      <c r="C4048" s="147" t="str">
        <f>'Reported burning'!C4048</f>
        <v>Human, deliberate</v>
      </c>
      <c r="D4048" s="147" t="str">
        <f>'Reported burning'!D4048</f>
        <v>Conservation</v>
      </c>
      <c r="E4048" s="147" t="str">
        <f>'Reported burning'!E4048</f>
        <v>Biodiversity conservation</v>
      </c>
      <c r="F4048" s="147" t="str">
        <f>'Reported burning'!F4048</f>
        <v>Shrubland (Mixed forest &amp; grassland)</v>
      </c>
      <c r="G4048" s="147" t="str">
        <f>'Reported burning'!G4048</f>
        <v>Shrubland (Mixed forest &amp; grassland)</v>
      </c>
      <c r="H4048" s="147" t="str">
        <f>'Reported burning'!H4048</f>
        <v>Presence</v>
      </c>
      <c r="I4048" s="198"/>
      <c r="J4048" s="71" t="s">
        <v>2272</v>
      </c>
      <c r="K4048" s="71" t="s">
        <v>2272</v>
      </c>
      <c r="L4048" s="71" t="s">
        <v>2272</v>
      </c>
      <c r="M4048" s="71" t="s">
        <v>2272</v>
      </c>
      <c r="N4048" s="71" t="s">
        <v>2272</v>
      </c>
      <c r="O4048" s="71" t="s">
        <v>2272</v>
      </c>
      <c r="P4048" s="71" t="s">
        <v>2272</v>
      </c>
      <c r="Q4048" s="71" t="s">
        <v>2272</v>
      </c>
      <c r="R4048" s="71" t="s">
        <v>2272</v>
      </c>
      <c r="S4048" s="71" t="s">
        <v>2272</v>
      </c>
      <c r="T4048" s="71" t="s">
        <v>2272</v>
      </c>
      <c r="U4048" s="71" t="s">
        <v>2272</v>
      </c>
      <c r="V4048" s="71" t="s">
        <v>2272</v>
      </c>
      <c r="W4048" s="71" t="s">
        <v>2272</v>
      </c>
      <c r="X4048" s="71" t="s">
        <v>2272</v>
      </c>
      <c r="Y4048" s="198" t="s">
        <v>37</v>
      </c>
      <c r="Z4048" s="198" t="s">
        <v>423</v>
      </c>
      <c r="AA4048" s="71" t="s">
        <v>2272</v>
      </c>
      <c r="AB4048" s="4" t="s">
        <v>10403</v>
      </c>
      <c r="AC4048" s="198"/>
    </row>
    <row r="4049" spans="1:29" ht="60" customHeight="1">
      <c r="A4049" s="151" t="str">
        <f>'Reported burning'!A4049</f>
        <v>444b</v>
      </c>
      <c r="B4049" s="151" t="str">
        <f>'Reported burning'!B4049</f>
        <v>444b.2</v>
      </c>
      <c r="C4049" s="147" t="str">
        <f>'Reported burning'!C4049</f>
        <v>Human, deliberate</v>
      </c>
      <c r="D4049" s="147" t="str">
        <f>'Reported burning'!D4049</f>
        <v>Conservation</v>
      </c>
      <c r="E4049" s="147" t="str">
        <f>'Reported burning'!E4049</f>
        <v>Biodiversity conservation</v>
      </c>
      <c r="F4049" s="147" t="str">
        <f>'Reported burning'!F4049</f>
        <v>Shrubland (Mixed forest &amp; grassland)</v>
      </c>
      <c r="G4049" s="147" t="str">
        <f>'Reported burning'!G4049</f>
        <v>Shrubland (Mixed forest &amp; grassland)</v>
      </c>
      <c r="H4049" s="147" t="str">
        <f>'Reported burning'!H4049</f>
        <v>Presence</v>
      </c>
      <c r="I4049" s="198"/>
      <c r="J4049" s="71" t="s">
        <v>2272</v>
      </c>
      <c r="K4049" s="71" t="s">
        <v>2272</v>
      </c>
      <c r="L4049" s="71" t="s">
        <v>2272</v>
      </c>
      <c r="M4049" s="71" t="s">
        <v>2272</v>
      </c>
      <c r="N4049" s="71" t="s">
        <v>2272</v>
      </c>
      <c r="O4049" s="71" t="s">
        <v>2272</v>
      </c>
      <c r="P4049" s="71" t="s">
        <v>2272</v>
      </c>
      <c r="Q4049" s="71" t="s">
        <v>2272</v>
      </c>
      <c r="R4049" s="71" t="s">
        <v>2272</v>
      </c>
      <c r="S4049" s="71" t="s">
        <v>2272</v>
      </c>
      <c r="T4049" s="71" t="s">
        <v>2272</v>
      </c>
      <c r="U4049" s="71" t="s">
        <v>2272</v>
      </c>
      <c r="V4049" s="71" t="s">
        <v>2272</v>
      </c>
      <c r="W4049" s="71" t="s">
        <v>2272</v>
      </c>
      <c r="X4049" s="71" t="s">
        <v>2272</v>
      </c>
      <c r="Y4049" s="198" t="s">
        <v>37</v>
      </c>
      <c r="Z4049" s="198" t="s">
        <v>423</v>
      </c>
      <c r="AA4049" s="71" t="s">
        <v>2272</v>
      </c>
      <c r="AB4049" s="4" t="s">
        <v>10403</v>
      </c>
      <c r="AC4049" s="198"/>
    </row>
    <row r="4050" spans="1:29" ht="60" customHeight="1">
      <c r="A4050" s="151" t="str">
        <f>'Reported burning'!A4050</f>
        <v>444c</v>
      </c>
      <c r="B4050" s="151" t="str">
        <f>'Reported burning'!B4050</f>
        <v>444c.2</v>
      </c>
      <c r="C4050" s="147" t="str">
        <f>'Reported burning'!C4050</f>
        <v>Human, deliberate</v>
      </c>
      <c r="D4050" s="147" t="str">
        <f>'Reported burning'!D4050</f>
        <v>Conservation</v>
      </c>
      <c r="E4050" s="147" t="str">
        <f>'Reported burning'!E4050</f>
        <v>Biodiversity conservation</v>
      </c>
      <c r="F4050" s="147" t="str">
        <f>'Reported burning'!F4050</f>
        <v>Shrubland (Mixed forest &amp; grassland)</v>
      </c>
      <c r="G4050" s="147" t="str">
        <f>'Reported burning'!G4050</f>
        <v>Shrubland (Mixed forest &amp; grassland)</v>
      </c>
      <c r="H4050" s="147" t="str">
        <f>'Reported burning'!H4050</f>
        <v>Presence</v>
      </c>
      <c r="I4050" s="198"/>
      <c r="J4050" s="71" t="s">
        <v>2272</v>
      </c>
      <c r="K4050" s="71" t="s">
        <v>2272</v>
      </c>
      <c r="L4050" s="71" t="s">
        <v>2272</v>
      </c>
      <c r="M4050" s="71" t="s">
        <v>2272</v>
      </c>
      <c r="N4050" s="71" t="s">
        <v>2272</v>
      </c>
      <c r="O4050" s="71" t="s">
        <v>2272</v>
      </c>
      <c r="P4050" s="71" t="s">
        <v>2272</v>
      </c>
      <c r="Q4050" s="71" t="s">
        <v>2272</v>
      </c>
      <c r="R4050" s="71" t="s">
        <v>2272</v>
      </c>
      <c r="S4050" s="71" t="s">
        <v>2272</v>
      </c>
      <c r="T4050" s="71" t="s">
        <v>2272</v>
      </c>
      <c r="U4050" s="71" t="s">
        <v>2272</v>
      </c>
      <c r="V4050" s="71" t="s">
        <v>2272</v>
      </c>
      <c r="W4050" s="71" t="s">
        <v>2272</v>
      </c>
      <c r="X4050" s="71" t="s">
        <v>2272</v>
      </c>
      <c r="Y4050" s="198" t="s">
        <v>37</v>
      </c>
      <c r="Z4050" s="198" t="s">
        <v>423</v>
      </c>
      <c r="AA4050" s="71" t="s">
        <v>2272</v>
      </c>
      <c r="AB4050" s="4" t="s">
        <v>10403</v>
      </c>
      <c r="AC4050" s="198"/>
    </row>
    <row r="4051" spans="1:29" ht="60" customHeight="1">
      <c r="A4051" s="151" t="str">
        <f>'Reported burning'!A4051</f>
        <v>444d</v>
      </c>
      <c r="B4051" s="151" t="str">
        <f>'Reported burning'!B4051</f>
        <v>444d.2</v>
      </c>
      <c r="C4051" s="147" t="str">
        <f>'Reported burning'!C4051</f>
        <v>Human, deliberate</v>
      </c>
      <c r="D4051" s="147" t="str">
        <f>'Reported burning'!D4051</f>
        <v>Conservation</v>
      </c>
      <c r="E4051" s="147" t="str">
        <f>'Reported burning'!E4051</f>
        <v>Biodiversity conservation</v>
      </c>
      <c r="F4051" s="147" t="str">
        <f>'Reported burning'!F4051</f>
        <v>Shrubland (Mixed forest &amp; grassland)</v>
      </c>
      <c r="G4051" s="147" t="str">
        <f>'Reported burning'!G4051</f>
        <v>Shrubland (Mixed forest &amp; grassland)</v>
      </c>
      <c r="H4051" s="147" t="str">
        <f>'Reported burning'!H4051</f>
        <v>Presence</v>
      </c>
      <c r="I4051" s="198"/>
      <c r="J4051" s="71" t="s">
        <v>2272</v>
      </c>
      <c r="K4051" s="71" t="s">
        <v>2272</v>
      </c>
      <c r="L4051" s="71" t="s">
        <v>2272</v>
      </c>
      <c r="M4051" s="71" t="s">
        <v>2272</v>
      </c>
      <c r="N4051" s="71" t="s">
        <v>2272</v>
      </c>
      <c r="O4051" s="71" t="s">
        <v>2272</v>
      </c>
      <c r="P4051" s="71" t="s">
        <v>2272</v>
      </c>
      <c r="Q4051" s="71" t="s">
        <v>2272</v>
      </c>
      <c r="R4051" s="71" t="s">
        <v>2272</v>
      </c>
      <c r="S4051" s="71" t="s">
        <v>2272</v>
      </c>
      <c r="T4051" s="71" t="s">
        <v>2272</v>
      </c>
      <c r="U4051" s="71" t="s">
        <v>2272</v>
      </c>
      <c r="V4051" s="71" t="s">
        <v>2272</v>
      </c>
      <c r="W4051" s="71" t="s">
        <v>2272</v>
      </c>
      <c r="X4051" s="71" t="s">
        <v>2272</v>
      </c>
      <c r="Y4051" s="198" t="s">
        <v>37</v>
      </c>
      <c r="Z4051" s="198" t="s">
        <v>423</v>
      </c>
      <c r="AA4051" s="71" t="s">
        <v>2272</v>
      </c>
      <c r="AB4051" s="4" t="s">
        <v>10403</v>
      </c>
      <c r="AC4051" s="198"/>
    </row>
    <row r="4052" spans="1:29" ht="60" customHeight="1">
      <c r="A4052" s="151" t="str">
        <f>'Reported burning'!A4052</f>
        <v>444e</v>
      </c>
      <c r="B4052" s="151" t="str">
        <f>'Reported burning'!B4052</f>
        <v>444e.2</v>
      </c>
      <c r="C4052" s="147" t="str">
        <f>'Reported burning'!C4052</f>
        <v>Human, deliberate</v>
      </c>
      <c r="D4052" s="147" t="str">
        <f>'Reported burning'!D4052</f>
        <v>Conservation</v>
      </c>
      <c r="E4052" s="147" t="str">
        <f>'Reported burning'!E4052</f>
        <v>Biodiversity conservation</v>
      </c>
      <c r="F4052" s="147" t="str">
        <f>'Reported burning'!F4052</f>
        <v>Shrubland (Mixed forest &amp; grassland)</v>
      </c>
      <c r="G4052" s="147" t="str">
        <f>'Reported burning'!G4052</f>
        <v>Shrubland (Mixed forest &amp; grassland)</v>
      </c>
      <c r="H4052" s="147" t="str">
        <f>'Reported burning'!H4052</f>
        <v>Presence</v>
      </c>
      <c r="I4052" s="198"/>
      <c r="J4052" s="71" t="s">
        <v>2272</v>
      </c>
      <c r="K4052" s="71" t="s">
        <v>2272</v>
      </c>
      <c r="L4052" s="71" t="s">
        <v>2272</v>
      </c>
      <c r="M4052" s="71" t="s">
        <v>2272</v>
      </c>
      <c r="N4052" s="71" t="s">
        <v>2272</v>
      </c>
      <c r="O4052" s="71" t="s">
        <v>2272</v>
      </c>
      <c r="P4052" s="71" t="s">
        <v>2272</v>
      </c>
      <c r="Q4052" s="71" t="s">
        <v>2272</v>
      </c>
      <c r="R4052" s="71" t="s">
        <v>2272</v>
      </c>
      <c r="S4052" s="71" t="s">
        <v>2272</v>
      </c>
      <c r="T4052" s="71" t="s">
        <v>2272</v>
      </c>
      <c r="U4052" s="71" t="s">
        <v>2272</v>
      </c>
      <c r="V4052" s="71" t="s">
        <v>2272</v>
      </c>
      <c r="W4052" s="71" t="s">
        <v>2272</v>
      </c>
      <c r="X4052" s="71" t="s">
        <v>2272</v>
      </c>
      <c r="Y4052" s="198" t="s">
        <v>37</v>
      </c>
      <c r="Z4052" s="198" t="s">
        <v>423</v>
      </c>
      <c r="AA4052" s="71" t="s">
        <v>2272</v>
      </c>
      <c r="AB4052" s="4" t="s">
        <v>10403</v>
      </c>
      <c r="AC4052" s="198"/>
    </row>
    <row r="4053" spans="1:29" ht="60" customHeight="1">
      <c r="A4053" s="151" t="str">
        <f>'Reported burning'!A4053</f>
        <v>444f</v>
      </c>
      <c r="B4053" s="151" t="str">
        <f>'Reported burning'!B4053</f>
        <v>444f.2</v>
      </c>
      <c r="C4053" s="147" t="str">
        <f>'Reported burning'!C4053</f>
        <v>Human, deliberate</v>
      </c>
      <c r="D4053" s="147" t="str">
        <f>'Reported burning'!D4053</f>
        <v>Conservation</v>
      </c>
      <c r="E4053" s="147" t="str">
        <f>'Reported burning'!E4053</f>
        <v>Biodiversity conservation</v>
      </c>
      <c r="F4053" s="147" t="str">
        <f>'Reported burning'!F4053</f>
        <v>Shrubland (Mixed forest &amp; grassland)</v>
      </c>
      <c r="G4053" s="147" t="str">
        <f>'Reported burning'!G4053</f>
        <v>Shrubland (Mixed forest &amp; grassland)</v>
      </c>
      <c r="H4053" s="147" t="str">
        <f>'Reported burning'!H4053</f>
        <v>Presence</v>
      </c>
      <c r="I4053" s="198"/>
      <c r="J4053" s="71" t="s">
        <v>2272</v>
      </c>
      <c r="K4053" s="71" t="s">
        <v>2272</v>
      </c>
      <c r="L4053" s="71" t="s">
        <v>2272</v>
      </c>
      <c r="M4053" s="71" t="s">
        <v>2272</v>
      </c>
      <c r="N4053" s="71" t="s">
        <v>2272</v>
      </c>
      <c r="O4053" s="71" t="s">
        <v>2272</v>
      </c>
      <c r="P4053" s="71" t="s">
        <v>2272</v>
      </c>
      <c r="Q4053" s="71" t="s">
        <v>2272</v>
      </c>
      <c r="R4053" s="71" t="s">
        <v>2272</v>
      </c>
      <c r="S4053" s="71" t="s">
        <v>2272</v>
      </c>
      <c r="T4053" s="71" t="s">
        <v>2272</v>
      </c>
      <c r="U4053" s="71" t="s">
        <v>2272</v>
      </c>
      <c r="V4053" s="71" t="s">
        <v>2272</v>
      </c>
      <c r="W4053" s="71" t="s">
        <v>2272</v>
      </c>
      <c r="X4053" s="71" t="s">
        <v>2272</v>
      </c>
      <c r="Y4053" s="198" t="s">
        <v>37</v>
      </c>
      <c r="Z4053" s="198" t="s">
        <v>423</v>
      </c>
      <c r="AA4053" s="71" t="s">
        <v>2272</v>
      </c>
      <c r="AB4053" s="4" t="s">
        <v>10403</v>
      </c>
      <c r="AC4053" s="198"/>
    </row>
    <row r="4054" spans="1:29" ht="60" customHeight="1">
      <c r="A4054" s="151" t="str">
        <f>'Reported burning'!A4054</f>
        <v>444g</v>
      </c>
      <c r="B4054" s="151" t="str">
        <f>'Reported burning'!B4054</f>
        <v>444g.2</v>
      </c>
      <c r="C4054" s="147" t="str">
        <f>'Reported burning'!C4054</f>
        <v>Human, deliberate</v>
      </c>
      <c r="D4054" s="147" t="str">
        <f>'Reported burning'!D4054</f>
        <v>Conservation</v>
      </c>
      <c r="E4054" s="147" t="str">
        <f>'Reported burning'!E4054</f>
        <v>Biodiversity conservation</v>
      </c>
      <c r="F4054" s="147" t="str">
        <f>'Reported burning'!F4054</f>
        <v>Shrubland (Mixed forest &amp; grassland)</v>
      </c>
      <c r="G4054" s="147" t="str">
        <f>'Reported burning'!G4054</f>
        <v>Shrubland (Mixed forest &amp; grassland)</v>
      </c>
      <c r="H4054" s="147" t="str">
        <f>'Reported burning'!H4054</f>
        <v>Presence</v>
      </c>
      <c r="I4054" s="198"/>
      <c r="J4054" s="71" t="s">
        <v>2272</v>
      </c>
      <c r="K4054" s="71" t="s">
        <v>2272</v>
      </c>
      <c r="L4054" s="71" t="s">
        <v>2272</v>
      </c>
      <c r="M4054" s="71" t="s">
        <v>2272</v>
      </c>
      <c r="N4054" s="71" t="s">
        <v>2272</v>
      </c>
      <c r="O4054" s="71" t="s">
        <v>2272</v>
      </c>
      <c r="P4054" s="71" t="s">
        <v>2272</v>
      </c>
      <c r="Q4054" s="71" t="s">
        <v>2272</v>
      </c>
      <c r="R4054" s="71" t="s">
        <v>2272</v>
      </c>
      <c r="S4054" s="71" t="s">
        <v>2272</v>
      </c>
      <c r="T4054" s="71" t="s">
        <v>2272</v>
      </c>
      <c r="U4054" s="71" t="s">
        <v>2272</v>
      </c>
      <c r="V4054" s="71" t="s">
        <v>2272</v>
      </c>
      <c r="W4054" s="71" t="s">
        <v>2272</v>
      </c>
      <c r="X4054" s="71" t="s">
        <v>2272</v>
      </c>
      <c r="Y4054" s="198" t="s">
        <v>37</v>
      </c>
      <c r="Z4054" s="198" t="s">
        <v>423</v>
      </c>
      <c r="AA4054" s="71" t="s">
        <v>2272</v>
      </c>
      <c r="AB4054" s="4" t="s">
        <v>10403</v>
      </c>
      <c r="AC4054" s="198"/>
    </row>
    <row r="4055" spans="1:29" ht="60" customHeight="1">
      <c r="A4055" s="151" t="str">
        <f>'Reported burning'!A4055</f>
        <v>444h</v>
      </c>
      <c r="B4055" s="151" t="str">
        <f>'Reported burning'!B4055</f>
        <v>444h.2</v>
      </c>
      <c r="C4055" s="147" t="str">
        <f>'Reported burning'!C4055</f>
        <v>Human, deliberate</v>
      </c>
      <c r="D4055" s="147" t="str">
        <f>'Reported burning'!D4055</f>
        <v>Conservation</v>
      </c>
      <c r="E4055" s="147" t="str">
        <f>'Reported burning'!E4055</f>
        <v>Biodiversity conservation</v>
      </c>
      <c r="F4055" s="147" t="str">
        <f>'Reported burning'!F4055</f>
        <v>Shrubland (Mixed forest &amp; grassland)</v>
      </c>
      <c r="G4055" s="147" t="str">
        <f>'Reported burning'!G4055</f>
        <v>Shrubland (Mixed forest &amp; grassland)</v>
      </c>
      <c r="H4055" s="147" t="str">
        <f>'Reported burning'!H4055</f>
        <v>Presence</v>
      </c>
      <c r="I4055" s="198"/>
      <c r="J4055" s="71" t="s">
        <v>2272</v>
      </c>
      <c r="K4055" s="71" t="s">
        <v>2272</v>
      </c>
      <c r="L4055" s="71" t="s">
        <v>2272</v>
      </c>
      <c r="M4055" s="71" t="s">
        <v>2272</v>
      </c>
      <c r="N4055" s="71" t="s">
        <v>2272</v>
      </c>
      <c r="O4055" s="71" t="s">
        <v>2272</v>
      </c>
      <c r="P4055" s="71" t="s">
        <v>2272</v>
      </c>
      <c r="Q4055" s="71" t="s">
        <v>2272</v>
      </c>
      <c r="R4055" s="71" t="s">
        <v>2272</v>
      </c>
      <c r="S4055" s="71" t="s">
        <v>2272</v>
      </c>
      <c r="T4055" s="71" t="s">
        <v>2272</v>
      </c>
      <c r="U4055" s="71" t="s">
        <v>2272</v>
      </c>
      <c r="V4055" s="71" t="s">
        <v>2272</v>
      </c>
      <c r="W4055" s="71" t="s">
        <v>2272</v>
      </c>
      <c r="X4055" s="71" t="s">
        <v>2272</v>
      </c>
      <c r="Y4055" s="198" t="s">
        <v>37</v>
      </c>
      <c r="Z4055" s="198" t="s">
        <v>423</v>
      </c>
      <c r="AA4055" s="71" t="s">
        <v>2272</v>
      </c>
      <c r="AB4055" s="4" t="s">
        <v>10403</v>
      </c>
      <c r="AC4055" s="198"/>
    </row>
    <row r="4056" spans="1:29" ht="60" customHeight="1">
      <c r="A4056" s="151" t="str">
        <f>'Reported burning'!A4056</f>
        <v>444i</v>
      </c>
      <c r="B4056" s="151" t="str">
        <f>'Reported burning'!B4056</f>
        <v>444i.2</v>
      </c>
      <c r="C4056" s="147" t="str">
        <f>'Reported burning'!C4056</f>
        <v>Human, deliberate</v>
      </c>
      <c r="D4056" s="147" t="str">
        <f>'Reported burning'!D4056</f>
        <v>Conservation</v>
      </c>
      <c r="E4056" s="147" t="str">
        <f>'Reported burning'!E4056</f>
        <v>Biodiversity conservation</v>
      </c>
      <c r="F4056" s="147" t="str">
        <f>'Reported burning'!F4056</f>
        <v>Shrubland (Mixed forest &amp; grassland)</v>
      </c>
      <c r="G4056" s="147" t="str">
        <f>'Reported burning'!G4056</f>
        <v>Shrubland (Mixed forest &amp; grassland)</v>
      </c>
      <c r="H4056" s="147" t="str">
        <f>'Reported burning'!H4056</f>
        <v>Presence</v>
      </c>
      <c r="I4056" s="198"/>
      <c r="J4056" s="71" t="s">
        <v>2272</v>
      </c>
      <c r="K4056" s="71" t="s">
        <v>2272</v>
      </c>
      <c r="L4056" s="71" t="s">
        <v>2272</v>
      </c>
      <c r="M4056" s="71" t="s">
        <v>2272</v>
      </c>
      <c r="N4056" s="71" t="s">
        <v>2272</v>
      </c>
      <c r="O4056" s="71" t="s">
        <v>2272</v>
      </c>
      <c r="P4056" s="71" t="s">
        <v>2272</v>
      </c>
      <c r="Q4056" s="71" t="s">
        <v>2272</v>
      </c>
      <c r="R4056" s="71" t="s">
        <v>2272</v>
      </c>
      <c r="S4056" s="71" t="s">
        <v>2272</v>
      </c>
      <c r="T4056" s="71" t="s">
        <v>2272</v>
      </c>
      <c r="U4056" s="71" t="s">
        <v>2272</v>
      </c>
      <c r="V4056" s="71" t="s">
        <v>2272</v>
      </c>
      <c r="W4056" s="71" t="s">
        <v>2272</v>
      </c>
      <c r="X4056" s="71" t="s">
        <v>2272</v>
      </c>
      <c r="Y4056" s="198" t="s">
        <v>37</v>
      </c>
      <c r="Z4056" s="198" t="s">
        <v>423</v>
      </c>
      <c r="AA4056" s="71" t="s">
        <v>2272</v>
      </c>
      <c r="AB4056" s="4" t="s">
        <v>10403</v>
      </c>
      <c r="AC4056" s="198"/>
    </row>
    <row r="4057" spans="1:29" ht="60" customHeight="1">
      <c r="A4057" s="151" t="str">
        <f>'Reported burning'!A4057</f>
        <v>444j</v>
      </c>
      <c r="B4057" s="151" t="str">
        <f>'Reported burning'!B4057</f>
        <v>444j.2</v>
      </c>
      <c r="C4057" s="147" t="str">
        <f>'Reported burning'!C4057</f>
        <v>Human, deliberate</v>
      </c>
      <c r="D4057" s="147" t="str">
        <f>'Reported burning'!D4057</f>
        <v>Conservation</v>
      </c>
      <c r="E4057" s="147" t="str">
        <f>'Reported burning'!E4057</f>
        <v>Biodiversity conservation</v>
      </c>
      <c r="F4057" s="147" t="str">
        <f>'Reported burning'!F4057</f>
        <v>Shrubland (Mixed forest &amp; grassland)</v>
      </c>
      <c r="G4057" s="147" t="str">
        <f>'Reported burning'!G4057</f>
        <v>Shrubland (Mixed forest &amp; grassland)</v>
      </c>
      <c r="H4057" s="147" t="str">
        <f>'Reported burning'!H4057</f>
        <v>Absence</v>
      </c>
      <c r="I4057" s="198"/>
      <c r="J4057" s="21" t="s">
        <v>2359</v>
      </c>
      <c r="K4057" s="21" t="s">
        <v>2359</v>
      </c>
      <c r="L4057" s="21" t="s">
        <v>2359</v>
      </c>
      <c r="M4057" s="21" t="s">
        <v>2359</v>
      </c>
      <c r="N4057" s="21" t="s">
        <v>2359</v>
      </c>
      <c r="O4057" s="21" t="s">
        <v>2359</v>
      </c>
      <c r="P4057" s="21" t="s">
        <v>2359</v>
      </c>
      <c r="Q4057" s="21" t="s">
        <v>2359</v>
      </c>
      <c r="R4057" s="21" t="s">
        <v>2359</v>
      </c>
      <c r="S4057" s="21" t="s">
        <v>2359</v>
      </c>
      <c r="T4057" s="21" t="s">
        <v>2359</v>
      </c>
      <c r="U4057" s="21" t="s">
        <v>2359</v>
      </c>
      <c r="V4057" s="21" t="s">
        <v>2359</v>
      </c>
      <c r="W4057" s="21" t="s">
        <v>2359</v>
      </c>
      <c r="X4057" s="71" t="s">
        <v>2272</v>
      </c>
      <c r="Y4057" s="71" t="s">
        <v>2272</v>
      </c>
      <c r="Z4057" s="71" t="s">
        <v>2272</v>
      </c>
      <c r="AA4057" s="71" t="s">
        <v>2272</v>
      </c>
      <c r="AB4057" s="4" t="s">
        <v>10403</v>
      </c>
      <c r="AC4057" s="198"/>
    </row>
    <row r="4058" spans="1:29" ht="84" customHeight="1">
      <c r="A4058" s="147" t="str">
        <f>'Reported burning'!A4058</f>
        <v>445a</v>
      </c>
      <c r="B4058" s="147" t="str">
        <f>'Reported burning'!B4058</f>
        <v>445a.1</v>
      </c>
      <c r="C4058" s="147" t="str">
        <f>'Reported burning'!C4058</f>
        <v>Human, deliberate</v>
      </c>
      <c r="D4058" s="147" t="str">
        <f>'Reported burning'!D4058</f>
        <v>Conservation</v>
      </c>
      <c r="E4058" s="147" t="str">
        <f>'Reported burning'!E4058</f>
        <v>Biodiversity conservation</v>
      </c>
      <c r="F4058" s="147" t="str">
        <f>'Reported burning'!F4058</f>
        <v>Shrubland (Mixed forest &amp; grassland)</v>
      </c>
      <c r="G4058" s="147" t="str">
        <f>'Reported burning'!G4058</f>
        <v>Shrubland (Mixed forest &amp; grassland)</v>
      </c>
      <c r="H4058" s="147" t="str">
        <f>'Reported burning'!H4058</f>
        <v>Presence</v>
      </c>
      <c r="I4058" s="198"/>
      <c r="J4058" s="71" t="s">
        <v>2272</v>
      </c>
      <c r="K4058" s="71" t="s">
        <v>2272</v>
      </c>
      <c r="L4058" s="71" t="s">
        <v>2272</v>
      </c>
      <c r="M4058" s="71" t="s">
        <v>2272</v>
      </c>
      <c r="N4058" s="71" t="s">
        <v>2272</v>
      </c>
      <c r="O4058" s="71" t="s">
        <v>2272</v>
      </c>
      <c r="P4058" s="71" t="s">
        <v>2272</v>
      </c>
      <c r="Q4058" s="71" t="s">
        <v>2272</v>
      </c>
      <c r="R4058" s="71" t="s">
        <v>2272</v>
      </c>
      <c r="S4058" s="71" t="s">
        <v>2272</v>
      </c>
      <c r="T4058" s="21" t="s">
        <v>2385</v>
      </c>
      <c r="U4058" s="21" t="s">
        <v>2371</v>
      </c>
      <c r="V4058" s="71" t="s">
        <v>2272</v>
      </c>
      <c r="W4058" s="71" t="s">
        <v>2272</v>
      </c>
      <c r="X4058" s="71" t="s">
        <v>2272</v>
      </c>
      <c r="Y4058" s="198" t="s">
        <v>187</v>
      </c>
      <c r="Z4058" s="198" t="s">
        <v>37</v>
      </c>
      <c r="AA4058" s="198" t="s">
        <v>2650</v>
      </c>
      <c r="AB4058" s="198" t="s">
        <v>10413</v>
      </c>
      <c r="AC4058" s="4" t="s">
        <v>10423</v>
      </c>
    </row>
    <row r="4059" spans="1:29" ht="62.5" customHeight="1">
      <c r="A4059" s="147" t="str">
        <f>'Reported burning'!A4059</f>
        <v>445a</v>
      </c>
      <c r="B4059" s="147" t="str">
        <f>'Reported burning'!B4059</f>
        <v>445a.2</v>
      </c>
      <c r="C4059" s="147" t="str">
        <f>'Reported burning'!C4059</f>
        <v>Human, deliberate</v>
      </c>
      <c r="D4059" s="147" t="str">
        <f>'Reported burning'!D4059</f>
        <v>Conservation</v>
      </c>
      <c r="E4059" s="147" t="str">
        <f>'Reported burning'!E4059</f>
        <v>Biodiversity conservation</v>
      </c>
      <c r="F4059" s="147" t="str">
        <f>'Reported burning'!F4059</f>
        <v>Shrubland (Mixed forest &amp; grassland)</v>
      </c>
      <c r="G4059" s="147" t="str">
        <f>'Reported burning'!G4059</f>
        <v>Shrubland (Mixed forest &amp; grassland)</v>
      </c>
      <c r="H4059" s="147" t="str">
        <f>'Reported burning'!H4059</f>
        <v>Presence</v>
      </c>
      <c r="I4059" s="198"/>
      <c r="J4059" s="71" t="s">
        <v>2272</v>
      </c>
      <c r="K4059" s="71" t="s">
        <v>2272</v>
      </c>
      <c r="L4059" s="71" t="s">
        <v>2272</v>
      </c>
      <c r="M4059" s="71" t="s">
        <v>2272</v>
      </c>
      <c r="N4059" s="71" t="s">
        <v>2272</v>
      </c>
      <c r="O4059" s="71" t="s">
        <v>2272</v>
      </c>
      <c r="P4059" s="71" t="s">
        <v>2272</v>
      </c>
      <c r="Q4059" s="71" t="s">
        <v>2272</v>
      </c>
      <c r="R4059" s="71" t="s">
        <v>2272</v>
      </c>
      <c r="S4059" s="71" t="s">
        <v>2272</v>
      </c>
      <c r="T4059" s="21" t="s">
        <v>2384</v>
      </c>
      <c r="U4059" s="21" t="s">
        <v>2371</v>
      </c>
      <c r="V4059" s="71" t="s">
        <v>2272</v>
      </c>
      <c r="W4059" s="71" t="s">
        <v>2272</v>
      </c>
      <c r="X4059" s="21" t="s">
        <v>2397</v>
      </c>
      <c r="Y4059" s="198" t="s">
        <v>187</v>
      </c>
      <c r="Z4059" s="198" t="s">
        <v>423</v>
      </c>
      <c r="AA4059" s="198" t="s">
        <v>63</v>
      </c>
      <c r="AB4059" s="4" t="s">
        <v>10415</v>
      </c>
      <c r="AC4059" s="4" t="s">
        <v>10423</v>
      </c>
    </row>
    <row r="4060" spans="1:29" ht="92.5" customHeight="1">
      <c r="A4060" s="147" t="str">
        <f>'Reported burning'!A4060</f>
        <v>445a</v>
      </c>
      <c r="B4060" s="147" t="str">
        <f>'Reported burning'!B4060</f>
        <v>445a.3</v>
      </c>
      <c r="C4060" s="147" t="str">
        <f>'Reported burning'!C4060</f>
        <v>Human, deliberate</v>
      </c>
      <c r="D4060" s="147" t="str">
        <f>'Reported burning'!D4060</f>
        <v>Conservation</v>
      </c>
      <c r="E4060" s="147" t="str">
        <f>'Reported burning'!E4060</f>
        <v>Biodiversity conservation</v>
      </c>
      <c r="F4060" s="147" t="str">
        <f>'Reported burning'!F4060</f>
        <v>Shrubland (Mixed forest &amp; grassland)</v>
      </c>
      <c r="G4060" s="147" t="str">
        <f>'Reported burning'!G4060</f>
        <v>Shrubland (Mixed forest &amp; grassland)</v>
      </c>
      <c r="H4060" s="147" t="str">
        <f>'Reported burning'!H4060</f>
        <v>Absence</v>
      </c>
      <c r="I4060" s="198"/>
      <c r="J4060" s="21" t="s">
        <v>2359</v>
      </c>
      <c r="K4060" s="21" t="s">
        <v>2359</v>
      </c>
      <c r="L4060" s="21" t="s">
        <v>2359</v>
      </c>
      <c r="M4060" s="21" t="s">
        <v>2359</v>
      </c>
      <c r="N4060" s="21" t="s">
        <v>2359</v>
      </c>
      <c r="O4060" s="21" t="s">
        <v>2359</v>
      </c>
      <c r="P4060" s="21" t="s">
        <v>2359</v>
      </c>
      <c r="Q4060" s="21" t="s">
        <v>2359</v>
      </c>
      <c r="R4060" s="21" t="s">
        <v>2359</v>
      </c>
      <c r="S4060" s="21" t="s">
        <v>2359</v>
      </c>
      <c r="T4060" s="21" t="s">
        <v>2359</v>
      </c>
      <c r="U4060" s="21" t="s">
        <v>2359</v>
      </c>
      <c r="V4060" s="21" t="s">
        <v>2359</v>
      </c>
      <c r="W4060" s="21" t="s">
        <v>2359</v>
      </c>
      <c r="X4060" s="71" t="s">
        <v>2272</v>
      </c>
      <c r="Y4060" s="71" t="s">
        <v>2272</v>
      </c>
      <c r="Z4060" s="71" t="s">
        <v>2272</v>
      </c>
      <c r="AA4060" s="71" t="s">
        <v>2272</v>
      </c>
      <c r="AB4060" s="198"/>
      <c r="AC4060" s="198"/>
    </row>
    <row r="4061" spans="1:29" ht="62.5" customHeight="1">
      <c r="A4061" s="147" t="str">
        <f>'Reported burning'!A4061</f>
        <v>445a</v>
      </c>
      <c r="B4061" s="147" t="str">
        <f>'Reported burning'!B4061</f>
        <v>445a.4</v>
      </c>
      <c r="C4061" s="147" t="str">
        <f>'Reported burning'!C4061</f>
        <v>All</v>
      </c>
      <c r="D4061" s="147" t="str">
        <f>'Reported burning'!D4061</f>
        <v>All</v>
      </c>
      <c r="E4061" s="147" t="str">
        <f>'Reported burning'!E4061</f>
        <v>ND</v>
      </c>
      <c r="F4061" s="147" t="str">
        <f>'Reported burning'!F4061</f>
        <v>ND</v>
      </c>
      <c r="G4061" s="147" t="str">
        <f>'Reported burning'!G4061</f>
        <v>Shrubland (Mixed forest &amp; grassland)</v>
      </c>
      <c r="H4061" s="147" t="str">
        <f>'Reported burning'!H4061</f>
        <v>Presence</v>
      </c>
      <c r="I4061" s="198"/>
      <c r="J4061" s="71" t="s">
        <v>2272</v>
      </c>
      <c r="K4061" s="71" t="s">
        <v>2272</v>
      </c>
      <c r="L4061" s="71" t="s">
        <v>2272</v>
      </c>
      <c r="M4061" s="71" t="s">
        <v>2272</v>
      </c>
      <c r="N4061" s="71" t="s">
        <v>2272</v>
      </c>
      <c r="O4061" s="71" t="s">
        <v>2272</v>
      </c>
      <c r="P4061" s="71" t="s">
        <v>2272</v>
      </c>
      <c r="Q4061" s="71" t="s">
        <v>2272</v>
      </c>
      <c r="R4061" s="71" t="s">
        <v>2272</v>
      </c>
      <c r="S4061" s="71" t="s">
        <v>2272</v>
      </c>
      <c r="T4061" s="71" t="s">
        <v>2272</v>
      </c>
      <c r="U4061" s="71" t="s">
        <v>2272</v>
      </c>
      <c r="V4061" s="71" t="s">
        <v>2272</v>
      </c>
      <c r="W4061" s="71" t="s">
        <v>2272</v>
      </c>
      <c r="X4061" s="71" t="s">
        <v>2272</v>
      </c>
      <c r="Y4061" s="71" t="s">
        <v>2272</v>
      </c>
      <c r="Z4061" s="71" t="s">
        <v>2272</v>
      </c>
      <c r="AA4061" s="71" t="s">
        <v>2272</v>
      </c>
      <c r="AB4061" s="198"/>
      <c r="AC4061" s="198"/>
    </row>
    <row r="4062" spans="1:29" ht="62.5" customHeight="1">
      <c r="A4062" s="147" t="str">
        <f>'Reported burning'!A4062</f>
        <v>445a</v>
      </c>
      <c r="B4062" s="147" t="str">
        <f>'Reported burning'!B4062</f>
        <v>445a.5</v>
      </c>
      <c r="C4062" s="147" t="str">
        <f>'Reported burning'!C4062</f>
        <v>All</v>
      </c>
      <c r="D4062" s="147" t="str">
        <f>'Reported burning'!D4062</f>
        <v>All</v>
      </c>
      <c r="E4062" s="147" t="str">
        <f>'Reported burning'!E4062</f>
        <v>ND</v>
      </c>
      <c r="F4062" s="147" t="str">
        <f>'Reported burning'!F4062</f>
        <v>ND</v>
      </c>
      <c r="G4062" s="147" t="str">
        <f>'Reported burning'!G4062</f>
        <v>Shrubland (Mixed forest &amp; grassland)</v>
      </c>
      <c r="H4062" s="147" t="str">
        <f>'Reported burning'!H4062</f>
        <v>Presence</v>
      </c>
      <c r="I4062" s="198"/>
      <c r="J4062" s="71" t="s">
        <v>2272</v>
      </c>
      <c r="K4062" s="71" t="s">
        <v>2272</v>
      </c>
      <c r="L4062" s="71" t="s">
        <v>2272</v>
      </c>
      <c r="M4062" s="71" t="s">
        <v>2272</v>
      </c>
      <c r="N4062" s="71" t="s">
        <v>2272</v>
      </c>
      <c r="O4062" s="71" t="s">
        <v>2272</v>
      </c>
      <c r="P4062" s="71" t="s">
        <v>2272</v>
      </c>
      <c r="Q4062" s="71" t="s">
        <v>2272</v>
      </c>
      <c r="R4062" s="71" t="s">
        <v>2272</v>
      </c>
      <c r="S4062" s="71" t="s">
        <v>2272</v>
      </c>
      <c r="T4062" s="71" t="s">
        <v>2272</v>
      </c>
      <c r="U4062" s="71" t="s">
        <v>2272</v>
      </c>
      <c r="V4062" s="71" t="s">
        <v>2272</v>
      </c>
      <c r="W4062" s="71" t="s">
        <v>2272</v>
      </c>
      <c r="X4062" s="71" t="s">
        <v>2272</v>
      </c>
      <c r="Y4062" s="71" t="s">
        <v>2272</v>
      </c>
      <c r="Z4062" s="71" t="s">
        <v>2272</v>
      </c>
      <c r="AA4062" s="71" t="s">
        <v>2272</v>
      </c>
      <c r="AB4062" s="198"/>
      <c r="AC4062" s="198"/>
    </row>
    <row r="4063" spans="1:29" ht="62.5" customHeight="1">
      <c r="A4063" s="147" t="str">
        <f>'Reported burning'!A4063</f>
        <v>445a</v>
      </c>
      <c r="B4063" s="147" t="str">
        <f>'Reported burning'!B4063</f>
        <v>445a.6</v>
      </c>
      <c r="C4063" s="147" t="str">
        <f>'Reported burning'!C4063</f>
        <v>Lightning</v>
      </c>
      <c r="D4063" s="147" t="str">
        <f>'Reported burning'!D4063</f>
        <v>ND</v>
      </c>
      <c r="E4063" s="147" t="str">
        <f>'Reported burning'!E4063</f>
        <v>Biodiversity conservation</v>
      </c>
      <c r="F4063" s="147" t="str">
        <f>'Reported burning'!F4063</f>
        <v>ND</v>
      </c>
      <c r="G4063" s="147" t="str">
        <f>'Reported burning'!G4063</f>
        <v>Shrubland (Mixed forest &amp; grassland)</v>
      </c>
      <c r="H4063" s="147" t="str">
        <f>'Reported burning'!H4063</f>
        <v>Presence</v>
      </c>
      <c r="I4063" s="198"/>
      <c r="J4063" s="71" t="s">
        <v>2272</v>
      </c>
      <c r="K4063" s="71" t="s">
        <v>2272</v>
      </c>
      <c r="L4063" s="71" t="s">
        <v>2272</v>
      </c>
      <c r="M4063" s="71" t="s">
        <v>2272</v>
      </c>
      <c r="N4063" s="71" t="s">
        <v>2272</v>
      </c>
      <c r="O4063" s="71" t="s">
        <v>2272</v>
      </c>
      <c r="P4063" s="71" t="s">
        <v>2272</v>
      </c>
      <c r="Q4063" s="71" t="s">
        <v>2272</v>
      </c>
      <c r="R4063" s="71" t="s">
        <v>2272</v>
      </c>
      <c r="S4063" s="71" t="s">
        <v>2272</v>
      </c>
      <c r="T4063" s="71" t="s">
        <v>2272</v>
      </c>
      <c r="U4063" s="71" t="s">
        <v>2272</v>
      </c>
      <c r="V4063" s="71" t="s">
        <v>2272</v>
      </c>
      <c r="W4063" s="71" t="s">
        <v>2272</v>
      </c>
      <c r="X4063" s="71" t="s">
        <v>2272</v>
      </c>
      <c r="Y4063" s="71" t="s">
        <v>2272</v>
      </c>
      <c r="Z4063" s="71" t="s">
        <v>2272</v>
      </c>
      <c r="AA4063" s="71" t="s">
        <v>2272</v>
      </c>
      <c r="AB4063" s="198"/>
      <c r="AC4063" s="198"/>
    </row>
    <row r="4064" spans="1:29" ht="57.5" customHeight="1">
      <c r="A4064" s="151" t="str">
        <f>'Reported burning'!A4064</f>
        <v>446a</v>
      </c>
      <c r="B4064" s="151" t="str">
        <f>'Reported burning'!B4064</f>
        <v>446a.1</v>
      </c>
      <c r="C4064" s="151" t="str">
        <f>'Reported burning'!C4064</f>
        <v>Human, deliberate</v>
      </c>
      <c r="D4064" s="151" t="str">
        <f>'Reported burning'!D4064</f>
        <v>Pasture renewal</v>
      </c>
      <c r="E4064" s="151" t="str">
        <f>'Reported burning'!E4064</f>
        <v>Mixed cropping-livestock small holder, Subsistence-oriented</v>
      </c>
      <c r="F4064" s="151" t="str">
        <f>'Reported burning'!F4064</f>
        <v>Grassland</v>
      </c>
      <c r="G4064" s="151" t="str">
        <f>'Reported burning'!G4064</f>
        <v>Grassland</v>
      </c>
      <c r="H4064" s="151" t="str">
        <f>'Reported burning'!H4064</f>
        <v>Presence</v>
      </c>
      <c r="I4064" s="198"/>
      <c r="J4064" s="71" t="s">
        <v>2272</v>
      </c>
      <c r="K4064" s="71" t="s">
        <v>2272</v>
      </c>
      <c r="L4064" s="71" t="s">
        <v>2272</v>
      </c>
      <c r="M4064" s="71" t="s">
        <v>2272</v>
      </c>
      <c r="N4064" s="71" t="s">
        <v>2272</v>
      </c>
      <c r="O4064" s="71" t="s">
        <v>2272</v>
      </c>
      <c r="P4064" s="71" t="s">
        <v>2272</v>
      </c>
      <c r="Q4064" s="71" t="s">
        <v>2272</v>
      </c>
      <c r="R4064" s="71" t="s">
        <v>2272</v>
      </c>
      <c r="S4064" s="71" t="s">
        <v>2272</v>
      </c>
      <c r="T4064" s="71" t="s">
        <v>2272</v>
      </c>
      <c r="U4064" s="21" t="s">
        <v>2522</v>
      </c>
      <c r="V4064" s="71" t="s">
        <v>2272</v>
      </c>
      <c r="W4064" s="71" t="s">
        <v>2272</v>
      </c>
      <c r="X4064" s="71" t="s">
        <v>2272</v>
      </c>
      <c r="Y4064" s="71" t="s">
        <v>2272</v>
      </c>
      <c r="Z4064" s="71" t="s">
        <v>2272</v>
      </c>
      <c r="AA4064" s="71" t="s">
        <v>2272</v>
      </c>
      <c r="AB4064" s="198" t="s">
        <v>10438</v>
      </c>
      <c r="AC4064" s="198"/>
    </row>
    <row r="4065" spans="1:29" ht="57.5" customHeight="1">
      <c r="A4065" s="151" t="str">
        <f>'Reported burning'!A4065</f>
        <v>446b</v>
      </c>
      <c r="B4065" s="151" t="str">
        <f>'Reported burning'!B4065</f>
        <v>446b.1</v>
      </c>
      <c r="C4065" s="151" t="str">
        <f>'Reported burning'!C4065</f>
        <v>Human, deliberate</v>
      </c>
      <c r="D4065" s="151" t="str">
        <f>'Reported burning'!D4065</f>
        <v>Conservation</v>
      </c>
      <c r="E4065" s="151" t="str">
        <f>'Reported burning'!E4065</f>
        <v>Biodiversity conservation</v>
      </c>
      <c r="F4065" s="151" t="str">
        <f>'Reported burning'!F4065</f>
        <v>Grassland</v>
      </c>
      <c r="G4065" s="151" t="str">
        <f>'Reported burning'!G4065</f>
        <v>Grassland</v>
      </c>
      <c r="H4065" s="151" t="str">
        <f>'Reported burning'!H4065</f>
        <v>Absence</v>
      </c>
      <c r="I4065" s="198"/>
      <c r="J4065" s="21">
        <v>0</v>
      </c>
      <c r="K4065" s="21">
        <v>0</v>
      </c>
      <c r="L4065" s="21">
        <v>0</v>
      </c>
      <c r="M4065" s="21">
        <v>0</v>
      </c>
      <c r="N4065" s="21">
        <v>0</v>
      </c>
      <c r="O4065" s="21">
        <v>0</v>
      </c>
      <c r="P4065" s="21">
        <v>0</v>
      </c>
      <c r="Q4065" s="21">
        <v>0</v>
      </c>
      <c r="R4065" s="21">
        <v>0</v>
      </c>
      <c r="S4065" s="21">
        <v>0</v>
      </c>
      <c r="T4065" s="21">
        <v>0</v>
      </c>
      <c r="U4065" s="21">
        <v>0</v>
      </c>
      <c r="V4065" s="21">
        <v>0</v>
      </c>
      <c r="W4065" s="21">
        <v>0</v>
      </c>
      <c r="X4065" s="71" t="s">
        <v>2272</v>
      </c>
      <c r="Y4065" s="71" t="s">
        <v>2272</v>
      </c>
      <c r="Z4065" s="71" t="s">
        <v>2272</v>
      </c>
      <c r="AA4065" s="71" t="s">
        <v>2272</v>
      </c>
      <c r="AB4065" s="198"/>
      <c r="AC4065" s="198"/>
    </row>
    <row r="4066" spans="1:29" ht="57.5" customHeight="1">
      <c r="A4066" s="151" t="str">
        <f>'Reported burning'!A4066</f>
        <v>446c</v>
      </c>
      <c r="B4066" s="151" t="str">
        <f>'Reported burning'!B4066</f>
        <v>446c.1</v>
      </c>
      <c r="C4066" s="151" t="str">
        <f>'Reported burning'!C4066</f>
        <v>Human, deliberate</v>
      </c>
      <c r="D4066" s="151" t="str">
        <f>'Reported burning'!D4066</f>
        <v>Conservation</v>
      </c>
      <c r="E4066" s="151" t="str">
        <f>'Reported burning'!E4066</f>
        <v>Biodiversity conservation</v>
      </c>
      <c r="F4066" s="151" t="str">
        <f>'Reported burning'!F4066</f>
        <v>Grassland</v>
      </c>
      <c r="G4066" s="151" t="str">
        <f>'Reported burning'!G4066</f>
        <v>Grassland</v>
      </c>
      <c r="H4066" s="151" t="str">
        <f>'Reported burning'!H4066</f>
        <v>Absence</v>
      </c>
      <c r="I4066" s="198"/>
      <c r="J4066" s="21">
        <v>0</v>
      </c>
      <c r="K4066" s="21">
        <v>0</v>
      </c>
      <c r="L4066" s="21">
        <v>0</v>
      </c>
      <c r="M4066" s="21">
        <v>0</v>
      </c>
      <c r="N4066" s="21">
        <v>0</v>
      </c>
      <c r="O4066" s="21">
        <v>0</v>
      </c>
      <c r="P4066" s="21">
        <v>0</v>
      </c>
      <c r="Q4066" s="21">
        <v>0</v>
      </c>
      <c r="R4066" s="21">
        <v>0</v>
      </c>
      <c r="S4066" s="21">
        <v>0</v>
      </c>
      <c r="T4066" s="21">
        <v>0</v>
      </c>
      <c r="U4066" s="21">
        <v>0</v>
      </c>
      <c r="V4066" s="21">
        <v>0</v>
      </c>
      <c r="W4066" s="21">
        <v>0</v>
      </c>
      <c r="X4066" s="71" t="s">
        <v>2272</v>
      </c>
      <c r="Y4066" s="71" t="s">
        <v>2272</v>
      </c>
      <c r="Z4066" s="71" t="s">
        <v>2272</v>
      </c>
      <c r="AA4066" s="71" t="s">
        <v>2272</v>
      </c>
      <c r="AB4066" s="198"/>
      <c r="AC4066" s="198"/>
    </row>
    <row r="4067" spans="1:29" ht="57.5" customHeight="1">
      <c r="A4067" s="151" t="str">
        <f>'Reported burning'!A4067</f>
        <v>446d</v>
      </c>
      <c r="B4067" s="151" t="str">
        <f>'Reported burning'!B4067</f>
        <v>446d.1</v>
      </c>
      <c r="C4067" s="151" t="str">
        <f>'Reported burning'!C4067</f>
        <v>Human, deliberate</v>
      </c>
      <c r="D4067" s="151" t="str">
        <f>'Reported burning'!D4067</f>
        <v>Conservation</v>
      </c>
      <c r="E4067" s="151" t="str">
        <f>'Reported burning'!E4067</f>
        <v>Biodiversity conservation</v>
      </c>
      <c r="F4067" s="151" t="str">
        <f>'Reported burning'!F4067</f>
        <v>Grassland</v>
      </c>
      <c r="G4067" s="151" t="str">
        <f>'Reported burning'!G4067</f>
        <v>Grassland</v>
      </c>
      <c r="H4067" s="151" t="str">
        <f>'Reported burning'!H4067</f>
        <v>Absence</v>
      </c>
      <c r="I4067" s="198"/>
      <c r="J4067" s="21">
        <v>0</v>
      </c>
      <c r="K4067" s="21">
        <v>0</v>
      </c>
      <c r="L4067" s="21">
        <v>0</v>
      </c>
      <c r="M4067" s="21">
        <v>0</v>
      </c>
      <c r="N4067" s="21">
        <v>0</v>
      </c>
      <c r="O4067" s="21">
        <v>0</v>
      </c>
      <c r="P4067" s="21">
        <v>0</v>
      </c>
      <c r="Q4067" s="21">
        <v>0</v>
      </c>
      <c r="R4067" s="21">
        <v>0</v>
      </c>
      <c r="S4067" s="21">
        <v>0</v>
      </c>
      <c r="T4067" s="21">
        <v>0</v>
      </c>
      <c r="U4067" s="21">
        <v>0</v>
      </c>
      <c r="V4067" s="21">
        <v>0</v>
      </c>
      <c r="W4067" s="21">
        <v>0</v>
      </c>
      <c r="X4067" s="71" t="s">
        <v>2272</v>
      </c>
      <c r="Y4067" s="71" t="s">
        <v>2272</v>
      </c>
      <c r="Z4067" s="71" t="s">
        <v>2272</v>
      </c>
      <c r="AA4067" s="71" t="s">
        <v>2272</v>
      </c>
      <c r="AB4067" s="198"/>
      <c r="AC4067" s="198"/>
    </row>
    <row r="4068" spans="1:29" ht="55" customHeight="1">
      <c r="A4068" s="151" t="str">
        <f>'Reported burning'!A4068</f>
        <v>447a</v>
      </c>
      <c r="B4068" s="151" t="str">
        <f>'Reported burning'!B4068</f>
        <v>447a.1</v>
      </c>
      <c r="C4068" s="151" t="str">
        <f>'Reported burning'!C4068</f>
        <v>Human, deliberate</v>
      </c>
      <c r="D4068" s="151" t="str">
        <f>'Reported burning'!D4068</f>
        <v>ND</v>
      </c>
      <c r="E4068" s="151" t="str">
        <f>'Reported burning'!E4068</f>
        <v>Cropping, Monoculture, Subsistence-oriented</v>
      </c>
      <c r="F4068" s="151" t="str">
        <f>'Reported burning'!F4068</f>
        <v>ND</v>
      </c>
      <c r="G4068" s="151" t="str">
        <f>'Reported burning'!G4068</f>
        <v>ND</v>
      </c>
      <c r="H4068" s="151" t="str">
        <f>'Reported burning'!H4068</f>
        <v>Presence</v>
      </c>
      <c r="I4068" s="198"/>
      <c r="J4068" s="71" t="s">
        <v>2272</v>
      </c>
      <c r="K4068" s="71" t="s">
        <v>2272</v>
      </c>
      <c r="L4068" s="71" t="s">
        <v>2272</v>
      </c>
      <c r="M4068" s="71" t="s">
        <v>2272</v>
      </c>
      <c r="N4068" s="71" t="s">
        <v>2272</v>
      </c>
      <c r="O4068" s="71" t="s">
        <v>2272</v>
      </c>
      <c r="P4068" s="71" t="s">
        <v>2272</v>
      </c>
      <c r="Q4068" s="71" t="s">
        <v>2272</v>
      </c>
      <c r="R4068" s="71" t="s">
        <v>2272</v>
      </c>
      <c r="S4068" s="71" t="s">
        <v>2272</v>
      </c>
      <c r="T4068" s="71" t="s">
        <v>2272</v>
      </c>
      <c r="U4068" s="71" t="s">
        <v>2272</v>
      </c>
      <c r="V4068" s="71" t="s">
        <v>2272</v>
      </c>
      <c r="W4068" s="71" t="s">
        <v>2272</v>
      </c>
      <c r="X4068" s="71" t="s">
        <v>2272</v>
      </c>
      <c r="Y4068" s="71" t="s">
        <v>2272</v>
      </c>
      <c r="Z4068" s="71" t="s">
        <v>2272</v>
      </c>
      <c r="AA4068" s="71" t="s">
        <v>2272</v>
      </c>
      <c r="AB4068" s="198"/>
      <c r="AC4068" s="198"/>
    </row>
    <row r="4069" spans="1:29" ht="55" customHeight="1">
      <c r="A4069" s="147" t="str">
        <f>'Reported burning'!A4069</f>
        <v>447a</v>
      </c>
      <c r="B4069" s="147" t="str">
        <f>'Reported burning'!B4069</f>
        <v>447a.2</v>
      </c>
      <c r="C4069" s="147" t="str">
        <f>'Reported burning'!C4069</f>
        <v>Human, deliberate</v>
      </c>
      <c r="D4069" s="147" t="str">
        <f>'Reported burning'!D4069</f>
        <v>ND</v>
      </c>
      <c r="E4069" s="147" t="str">
        <f>'Reported burning'!E4069</f>
        <v>Cattle, Extensive</v>
      </c>
      <c r="F4069" s="147" t="str">
        <f>'Reported burning'!F4069</f>
        <v>ND</v>
      </c>
      <c r="G4069" s="147" t="str">
        <f>'Reported burning'!G4069</f>
        <v>ND</v>
      </c>
      <c r="H4069" s="147" t="str">
        <f>'Reported burning'!H4069</f>
        <v>Presence</v>
      </c>
      <c r="I4069" s="198"/>
      <c r="J4069" s="71" t="s">
        <v>2272</v>
      </c>
      <c r="K4069" s="71" t="s">
        <v>2272</v>
      </c>
      <c r="L4069" s="71" t="s">
        <v>2272</v>
      </c>
      <c r="M4069" s="71" t="s">
        <v>2272</v>
      </c>
      <c r="N4069" s="71" t="s">
        <v>2272</v>
      </c>
      <c r="O4069" s="71" t="s">
        <v>2272</v>
      </c>
      <c r="P4069" s="71" t="s">
        <v>2272</v>
      </c>
      <c r="Q4069" s="71" t="s">
        <v>2272</v>
      </c>
      <c r="R4069" s="71" t="s">
        <v>2272</v>
      </c>
      <c r="S4069" s="71" t="s">
        <v>2272</v>
      </c>
      <c r="T4069" s="71" t="s">
        <v>2272</v>
      </c>
      <c r="U4069" s="71" t="s">
        <v>2272</v>
      </c>
      <c r="V4069" s="71" t="s">
        <v>2272</v>
      </c>
      <c r="W4069" s="71" t="s">
        <v>2272</v>
      </c>
      <c r="X4069" s="71" t="s">
        <v>2272</v>
      </c>
      <c r="Y4069" s="71" t="s">
        <v>2272</v>
      </c>
      <c r="Z4069" s="71" t="s">
        <v>2272</v>
      </c>
      <c r="AA4069" s="71" t="s">
        <v>2272</v>
      </c>
      <c r="AB4069" s="198"/>
      <c r="AC4069" s="198"/>
    </row>
    <row r="4070" spans="1:29" ht="55" customHeight="1">
      <c r="A4070" s="147" t="str">
        <f>'Reported burning'!A4070</f>
        <v>447a</v>
      </c>
      <c r="B4070" s="147" t="str">
        <f>'Reported burning'!B4070</f>
        <v>447a.3</v>
      </c>
      <c r="C4070" s="147" t="str">
        <f>'Reported burning'!C4070</f>
        <v>Human, deliberate</v>
      </c>
      <c r="D4070" s="147" t="str">
        <f>'Reported burning'!D4070</f>
        <v>ND</v>
      </c>
      <c r="E4070" s="147" t="str">
        <f>'Reported burning'!E4070</f>
        <v>Forestry, Traditional</v>
      </c>
      <c r="F4070" s="147" t="str">
        <f>'Reported burning'!F4070</f>
        <v>ND</v>
      </c>
      <c r="G4070" s="147" t="str">
        <f>'Reported burning'!G4070</f>
        <v>ND</v>
      </c>
      <c r="H4070" s="147" t="str">
        <f>'Reported burning'!H4070</f>
        <v>Presence</v>
      </c>
      <c r="I4070" s="198"/>
      <c r="J4070" s="71" t="s">
        <v>2272</v>
      </c>
      <c r="K4070" s="71" t="s">
        <v>2272</v>
      </c>
      <c r="L4070" s="71" t="s">
        <v>2272</v>
      </c>
      <c r="M4070" s="71" t="s">
        <v>2272</v>
      </c>
      <c r="N4070" s="71" t="s">
        <v>2272</v>
      </c>
      <c r="O4070" s="71" t="s">
        <v>2272</v>
      </c>
      <c r="P4070" s="71" t="s">
        <v>2272</v>
      </c>
      <c r="Q4070" s="71" t="s">
        <v>2272</v>
      </c>
      <c r="R4070" s="71" t="s">
        <v>2272</v>
      </c>
      <c r="S4070" s="71" t="s">
        <v>2272</v>
      </c>
      <c r="T4070" s="71" t="s">
        <v>2272</v>
      </c>
      <c r="U4070" s="71" t="s">
        <v>2272</v>
      </c>
      <c r="V4070" s="71" t="s">
        <v>2272</v>
      </c>
      <c r="W4070" s="71" t="s">
        <v>2272</v>
      </c>
      <c r="X4070" s="71" t="s">
        <v>2272</v>
      </c>
      <c r="Y4070" s="71" t="s">
        <v>2272</v>
      </c>
      <c r="Z4070" s="71" t="s">
        <v>2272</v>
      </c>
      <c r="AA4070" s="71" t="s">
        <v>2272</v>
      </c>
      <c r="AB4070" s="198"/>
      <c r="AC4070" s="198"/>
    </row>
    <row r="4071" spans="1:29" ht="55" customHeight="1">
      <c r="A4071" s="147" t="str">
        <f>'Reported burning'!A4071</f>
        <v>447a</v>
      </c>
      <c r="B4071" s="147" t="str">
        <f>'Reported burning'!B4071</f>
        <v>447a.4</v>
      </c>
      <c r="C4071" s="147" t="str">
        <f>'Reported burning'!C4071</f>
        <v>Human, escaped</v>
      </c>
      <c r="D4071" s="147" t="str">
        <f>'Reported burning'!D4071</f>
        <v>ND</v>
      </c>
      <c r="E4071" s="147" t="str">
        <f>'Reported burning'!E4071</f>
        <v>Cropping, Monoculture, Subsistence-oriented</v>
      </c>
      <c r="F4071" s="147" t="str">
        <f>'Reported burning'!F4071</f>
        <v>ND</v>
      </c>
      <c r="G4071" s="147" t="str">
        <f>'Reported burning'!G4071</f>
        <v>Forest</v>
      </c>
      <c r="H4071" s="147" t="str">
        <f>'Reported burning'!H4071</f>
        <v>Presence</v>
      </c>
      <c r="I4071" s="198"/>
      <c r="J4071" s="71" t="s">
        <v>2272</v>
      </c>
      <c r="K4071" s="71" t="s">
        <v>2272</v>
      </c>
      <c r="L4071" s="71" t="s">
        <v>2272</v>
      </c>
      <c r="M4071" s="71" t="s">
        <v>2272</v>
      </c>
      <c r="N4071" s="71" t="s">
        <v>2272</v>
      </c>
      <c r="O4071" s="71" t="s">
        <v>2272</v>
      </c>
      <c r="P4071" s="71" t="s">
        <v>2272</v>
      </c>
      <c r="Q4071" s="71" t="s">
        <v>2272</v>
      </c>
      <c r="R4071" s="71" t="s">
        <v>2272</v>
      </c>
      <c r="S4071" s="71" t="s">
        <v>2272</v>
      </c>
      <c r="T4071" s="71" t="s">
        <v>2272</v>
      </c>
      <c r="U4071" s="71" t="s">
        <v>2272</v>
      </c>
      <c r="V4071" s="71" t="s">
        <v>2272</v>
      </c>
      <c r="W4071" s="71" t="s">
        <v>2272</v>
      </c>
      <c r="X4071" s="71" t="s">
        <v>2272</v>
      </c>
      <c r="Y4071" s="71" t="s">
        <v>2272</v>
      </c>
      <c r="Z4071" s="71" t="s">
        <v>2272</v>
      </c>
      <c r="AA4071" s="71" t="s">
        <v>2272</v>
      </c>
      <c r="AB4071" s="198"/>
      <c r="AC4071" s="198"/>
    </row>
    <row r="4072" spans="1:29" ht="55" customHeight="1">
      <c r="A4072" s="147" t="str">
        <f>'Reported burning'!A4072</f>
        <v>447a</v>
      </c>
      <c r="B4072" s="147" t="str">
        <f>'Reported burning'!B4072</f>
        <v>447a.5</v>
      </c>
      <c r="C4072" s="147" t="str">
        <f>'Reported burning'!C4072</f>
        <v>Human, escaped</v>
      </c>
      <c r="D4072" s="147" t="str">
        <f>'Reported burning'!D4072</f>
        <v>ND</v>
      </c>
      <c r="E4072" s="147" t="str">
        <f>'Reported burning'!E4072</f>
        <v>Cattle, Extensive</v>
      </c>
      <c r="F4072" s="147" t="str">
        <f>'Reported burning'!F4072</f>
        <v>ND</v>
      </c>
      <c r="G4072" s="147" t="str">
        <f>'Reported burning'!G4072</f>
        <v>Forest</v>
      </c>
      <c r="H4072" s="147" t="str">
        <f>'Reported burning'!H4072</f>
        <v>Presence</v>
      </c>
      <c r="I4072" s="198"/>
      <c r="J4072" s="71" t="s">
        <v>2272</v>
      </c>
      <c r="K4072" s="71" t="s">
        <v>2272</v>
      </c>
      <c r="L4072" s="71" t="s">
        <v>2272</v>
      </c>
      <c r="M4072" s="71" t="s">
        <v>2272</v>
      </c>
      <c r="N4072" s="71" t="s">
        <v>2272</v>
      </c>
      <c r="O4072" s="71" t="s">
        <v>2272</v>
      </c>
      <c r="P4072" s="71" t="s">
        <v>2272</v>
      </c>
      <c r="Q4072" s="71" t="s">
        <v>2272</v>
      </c>
      <c r="R4072" s="71" t="s">
        <v>2272</v>
      </c>
      <c r="S4072" s="71" t="s">
        <v>2272</v>
      </c>
      <c r="T4072" s="71" t="s">
        <v>2272</v>
      </c>
      <c r="U4072" s="71" t="s">
        <v>2272</v>
      </c>
      <c r="V4072" s="71" t="s">
        <v>2272</v>
      </c>
      <c r="W4072" s="71" t="s">
        <v>2272</v>
      </c>
      <c r="X4072" s="71" t="s">
        <v>2272</v>
      </c>
      <c r="Y4072" s="71" t="s">
        <v>2272</v>
      </c>
      <c r="Z4072" s="71" t="s">
        <v>2272</v>
      </c>
      <c r="AA4072" s="71" t="s">
        <v>2272</v>
      </c>
      <c r="AB4072" s="198"/>
      <c r="AC4072" s="198"/>
    </row>
    <row r="4073" spans="1:29" ht="55" customHeight="1">
      <c r="A4073" s="147" t="str">
        <f>'Reported burning'!A4073</f>
        <v>447a</v>
      </c>
      <c r="B4073" s="147" t="str">
        <f>'Reported burning'!B4073</f>
        <v>447a.6</v>
      </c>
      <c r="C4073" s="147" t="str">
        <f>'Reported burning'!C4073</f>
        <v>Human, escaped</v>
      </c>
      <c r="D4073" s="147" t="str">
        <f>'Reported burning'!D4073</f>
        <v>ND</v>
      </c>
      <c r="E4073" s="147" t="str">
        <f>'Reported burning'!E4073</f>
        <v>Forestry, Traditional</v>
      </c>
      <c r="F4073" s="147" t="str">
        <f>'Reported burning'!F4073</f>
        <v>ND</v>
      </c>
      <c r="G4073" s="147" t="str">
        <f>'Reported burning'!G4073</f>
        <v>Forest</v>
      </c>
      <c r="H4073" s="147" t="str">
        <f>'Reported burning'!H4073</f>
        <v>Presence</v>
      </c>
      <c r="I4073" s="198"/>
      <c r="J4073" s="71" t="s">
        <v>2272</v>
      </c>
      <c r="K4073" s="71" t="s">
        <v>2272</v>
      </c>
      <c r="L4073" s="71" t="s">
        <v>2272</v>
      </c>
      <c r="M4073" s="71" t="s">
        <v>2272</v>
      </c>
      <c r="N4073" s="71" t="s">
        <v>2272</v>
      </c>
      <c r="O4073" s="71" t="s">
        <v>2272</v>
      </c>
      <c r="P4073" s="71" t="s">
        <v>2272</v>
      </c>
      <c r="Q4073" s="71" t="s">
        <v>2272</v>
      </c>
      <c r="R4073" s="71" t="s">
        <v>2272</v>
      </c>
      <c r="S4073" s="71" t="s">
        <v>2272</v>
      </c>
      <c r="T4073" s="71" t="s">
        <v>2272</v>
      </c>
      <c r="U4073" s="71" t="s">
        <v>2272</v>
      </c>
      <c r="V4073" s="71" t="s">
        <v>2272</v>
      </c>
      <c r="W4073" s="71" t="s">
        <v>2272</v>
      </c>
      <c r="X4073" s="71" t="s">
        <v>2272</v>
      </c>
      <c r="Y4073" s="71" t="s">
        <v>2272</v>
      </c>
      <c r="Z4073" s="71" t="s">
        <v>2272</v>
      </c>
      <c r="AA4073" s="71" t="s">
        <v>2272</v>
      </c>
      <c r="AB4073" s="198"/>
      <c r="AC4073" s="198"/>
    </row>
    <row r="4074" spans="1:29" ht="62" customHeight="1">
      <c r="A4074" s="147" t="str">
        <f>'Reported burning'!A4074</f>
        <v>448a</v>
      </c>
      <c r="B4074" s="147" t="str">
        <f>'Reported burning'!B4074</f>
        <v>448a.1</v>
      </c>
      <c r="C4074" s="147" t="str">
        <f>'Reported burning'!C4074</f>
        <v>Human, deliberate</v>
      </c>
      <c r="D4074" s="147" t="str">
        <f>'Reported burning'!D4074</f>
        <v>ND</v>
      </c>
      <c r="E4074" s="147" t="str">
        <f>'Reported burning'!E4074</f>
        <v>ND</v>
      </c>
      <c r="F4074" s="147" t="str">
        <f>'Reported burning'!F4074</f>
        <v>ND</v>
      </c>
      <c r="G4074" s="147" t="str">
        <f>'Reported burning'!G4074</f>
        <v>ND</v>
      </c>
      <c r="H4074" s="147" t="str">
        <f>'Reported burning'!H4074</f>
        <v>Presence</v>
      </c>
      <c r="I4074" s="198"/>
      <c r="J4074" s="71" t="s">
        <v>2272</v>
      </c>
      <c r="K4074" s="71" t="s">
        <v>2272</v>
      </c>
      <c r="L4074" s="71" t="s">
        <v>2272</v>
      </c>
      <c r="M4074" s="71" t="s">
        <v>2272</v>
      </c>
      <c r="N4074" s="71" t="s">
        <v>2272</v>
      </c>
      <c r="O4074" s="71" t="s">
        <v>2272</v>
      </c>
      <c r="P4074" s="71" t="s">
        <v>2272</v>
      </c>
      <c r="Q4074" s="71" t="s">
        <v>2272</v>
      </c>
      <c r="R4074" s="71" t="s">
        <v>2272</v>
      </c>
      <c r="S4074" s="71" t="s">
        <v>2272</v>
      </c>
      <c r="T4074" s="71" t="s">
        <v>2272</v>
      </c>
      <c r="U4074" s="71" t="s">
        <v>2272</v>
      </c>
      <c r="V4074" s="71" t="s">
        <v>2272</v>
      </c>
      <c r="W4074" s="71" t="s">
        <v>2272</v>
      </c>
      <c r="X4074" s="71" t="s">
        <v>2272</v>
      </c>
      <c r="Y4074" s="71" t="s">
        <v>2272</v>
      </c>
      <c r="Z4074" s="71" t="s">
        <v>2272</v>
      </c>
      <c r="AA4074" s="71" t="s">
        <v>2272</v>
      </c>
      <c r="AB4074" s="198"/>
      <c r="AC4074" s="198"/>
    </row>
    <row r="4075" spans="1:29" ht="62" customHeight="1">
      <c r="A4075" s="147" t="str">
        <f>'Reported burning'!A4075</f>
        <v>448b</v>
      </c>
      <c r="B4075" s="147" t="str">
        <f>'Reported burning'!B4075</f>
        <v>448b.1</v>
      </c>
      <c r="C4075" s="147" t="str">
        <f>'Reported burning'!C4075</f>
        <v>Human, deliberate</v>
      </c>
      <c r="D4075" s="147" t="str">
        <f>'Reported burning'!D4075</f>
        <v>ND</v>
      </c>
      <c r="E4075" s="147" t="str">
        <f>'Reported burning'!E4075</f>
        <v>ND</v>
      </c>
      <c r="F4075" s="147" t="str">
        <f>'Reported burning'!F4075</f>
        <v>ND</v>
      </c>
      <c r="G4075" s="147" t="str">
        <f>'Reported burning'!G4075</f>
        <v>ND</v>
      </c>
      <c r="H4075" s="147" t="str">
        <f>'Reported burning'!H4075</f>
        <v>Presence</v>
      </c>
      <c r="I4075" s="198"/>
      <c r="J4075" s="71" t="s">
        <v>2272</v>
      </c>
      <c r="K4075" s="71" t="s">
        <v>2272</v>
      </c>
      <c r="L4075" s="71" t="s">
        <v>2272</v>
      </c>
      <c r="M4075" s="71" t="s">
        <v>2272</v>
      </c>
      <c r="N4075" s="71" t="s">
        <v>2272</v>
      </c>
      <c r="O4075" s="71" t="s">
        <v>2272</v>
      </c>
      <c r="P4075" s="71" t="s">
        <v>2272</v>
      </c>
      <c r="Q4075" s="21" t="s">
        <v>2373</v>
      </c>
      <c r="R4075" s="71" t="s">
        <v>2272</v>
      </c>
      <c r="S4075" s="71" t="s">
        <v>2272</v>
      </c>
      <c r="T4075" s="71" t="s">
        <v>2272</v>
      </c>
      <c r="U4075" s="71" t="s">
        <v>2272</v>
      </c>
      <c r="V4075" s="71" t="s">
        <v>2272</v>
      </c>
      <c r="W4075" s="71" t="s">
        <v>2272</v>
      </c>
      <c r="X4075" s="71" t="s">
        <v>2272</v>
      </c>
      <c r="Y4075" s="71" t="s">
        <v>2272</v>
      </c>
      <c r="Z4075" s="71" t="s">
        <v>2272</v>
      </c>
      <c r="AA4075" s="71" t="s">
        <v>2272</v>
      </c>
      <c r="AB4075" s="198"/>
      <c r="AC4075" s="198"/>
    </row>
    <row r="4076" spans="1:29" ht="62" customHeight="1">
      <c r="A4076" s="147" t="str">
        <f>'Reported burning'!A4076</f>
        <v>448c</v>
      </c>
      <c r="B4076" s="147" t="str">
        <f>'Reported burning'!B4076</f>
        <v>448c.1</v>
      </c>
      <c r="C4076" s="147" t="str">
        <f>'Reported burning'!C4076</f>
        <v>Human, deliberate</v>
      </c>
      <c r="D4076" s="147" t="str">
        <f>'Reported burning'!D4076</f>
        <v>ND</v>
      </c>
      <c r="E4076" s="147" t="str">
        <f>'Reported burning'!E4076</f>
        <v>ND</v>
      </c>
      <c r="F4076" s="147" t="str">
        <f>'Reported burning'!F4076</f>
        <v>ND</v>
      </c>
      <c r="G4076" s="147" t="str">
        <f>'Reported burning'!G4076</f>
        <v>ND</v>
      </c>
      <c r="H4076" s="147" t="str">
        <f>'Reported burning'!H4076</f>
        <v>Presence</v>
      </c>
      <c r="I4076" s="198"/>
      <c r="J4076" s="71" t="s">
        <v>2272</v>
      </c>
      <c r="K4076" s="71" t="s">
        <v>2272</v>
      </c>
      <c r="L4076" s="71" t="s">
        <v>2272</v>
      </c>
      <c r="M4076" s="71" t="s">
        <v>2272</v>
      </c>
      <c r="N4076" s="71" t="s">
        <v>2272</v>
      </c>
      <c r="O4076" s="71" t="s">
        <v>2272</v>
      </c>
      <c r="P4076" s="71" t="s">
        <v>2272</v>
      </c>
      <c r="Q4076" s="71" t="s">
        <v>2272</v>
      </c>
      <c r="R4076" s="71" t="s">
        <v>2272</v>
      </c>
      <c r="S4076" s="71" t="s">
        <v>2272</v>
      </c>
      <c r="T4076" s="71" t="s">
        <v>2272</v>
      </c>
      <c r="U4076" s="71" t="s">
        <v>2272</v>
      </c>
      <c r="V4076" s="71" t="s">
        <v>2272</v>
      </c>
      <c r="W4076" s="71" t="s">
        <v>2272</v>
      </c>
      <c r="X4076" s="71" t="s">
        <v>2272</v>
      </c>
      <c r="Y4076" s="71" t="s">
        <v>2272</v>
      </c>
      <c r="Z4076" s="71" t="s">
        <v>2272</v>
      </c>
      <c r="AA4076" s="71" t="s">
        <v>2272</v>
      </c>
      <c r="AB4076" s="198"/>
      <c r="AC4076" s="198"/>
    </row>
    <row r="4077" spans="1:29" ht="62" customHeight="1">
      <c r="A4077" s="147" t="str">
        <f>'Reported burning'!A4077</f>
        <v>448d</v>
      </c>
      <c r="B4077" s="147" t="str">
        <f>'Reported burning'!B4077</f>
        <v>448d.1</v>
      </c>
      <c r="C4077" s="147" t="str">
        <f>'Reported burning'!C4077</f>
        <v>Human, deliberate</v>
      </c>
      <c r="D4077" s="147" t="str">
        <f>'Reported burning'!D4077</f>
        <v>ND</v>
      </c>
      <c r="E4077" s="147" t="str">
        <f>'Reported burning'!E4077</f>
        <v>ND</v>
      </c>
      <c r="F4077" s="147" t="str">
        <f>'Reported burning'!F4077</f>
        <v>ND</v>
      </c>
      <c r="G4077" s="147" t="str">
        <f>'Reported burning'!G4077</f>
        <v>ND</v>
      </c>
      <c r="H4077" s="147" t="str">
        <f>'Reported burning'!H4077</f>
        <v>Presence</v>
      </c>
      <c r="I4077" s="198"/>
      <c r="J4077" s="71" t="s">
        <v>2272</v>
      </c>
      <c r="K4077" s="71" t="s">
        <v>2272</v>
      </c>
      <c r="L4077" s="71" t="s">
        <v>2272</v>
      </c>
      <c r="M4077" s="71" t="s">
        <v>2272</v>
      </c>
      <c r="N4077" s="71" t="s">
        <v>2272</v>
      </c>
      <c r="O4077" s="71" t="s">
        <v>2272</v>
      </c>
      <c r="P4077" s="71" t="s">
        <v>2272</v>
      </c>
      <c r="Q4077" s="71" t="s">
        <v>2272</v>
      </c>
      <c r="R4077" s="71" t="s">
        <v>2272</v>
      </c>
      <c r="S4077" s="71" t="s">
        <v>2272</v>
      </c>
      <c r="T4077" s="71" t="s">
        <v>2272</v>
      </c>
      <c r="U4077" s="71" t="s">
        <v>2272</v>
      </c>
      <c r="V4077" s="71" t="s">
        <v>2272</v>
      </c>
      <c r="W4077" s="71" t="s">
        <v>2272</v>
      </c>
      <c r="X4077" s="71" t="s">
        <v>2272</v>
      </c>
      <c r="Y4077" s="71" t="s">
        <v>2272</v>
      </c>
      <c r="Z4077" s="71" t="s">
        <v>2272</v>
      </c>
      <c r="AA4077" s="71" t="s">
        <v>2272</v>
      </c>
      <c r="AB4077" s="198"/>
      <c r="AC4077" s="198"/>
    </row>
    <row r="4078" spans="1:29" ht="62" customHeight="1">
      <c r="A4078" s="147" t="str">
        <f>'Reported burning'!A4078</f>
        <v>448a</v>
      </c>
      <c r="B4078" s="147" t="str">
        <f>'Reported burning'!B4078</f>
        <v>448a.2</v>
      </c>
      <c r="C4078" s="147" t="str">
        <f>'Reported burning'!C4078</f>
        <v>Human, escaped</v>
      </c>
      <c r="D4078" s="147" t="str">
        <f>'Reported burning'!D4078</f>
        <v>ND</v>
      </c>
      <c r="E4078" s="147" t="str">
        <f>'Reported burning'!E4078</f>
        <v>ND</v>
      </c>
      <c r="F4078" s="147" t="str">
        <f>'Reported burning'!F4078</f>
        <v>ND</v>
      </c>
      <c r="G4078" s="147" t="str">
        <f>'Reported burning'!G4078</f>
        <v>ND</v>
      </c>
      <c r="H4078" s="147" t="str">
        <f>'Reported burning'!H4078</f>
        <v>Presence</v>
      </c>
      <c r="I4078" s="198"/>
      <c r="J4078" s="71" t="s">
        <v>2272</v>
      </c>
      <c r="K4078" s="71" t="s">
        <v>2272</v>
      </c>
      <c r="L4078" s="71" t="s">
        <v>2272</v>
      </c>
      <c r="M4078" s="71" t="s">
        <v>2272</v>
      </c>
      <c r="N4078" s="71" t="s">
        <v>2272</v>
      </c>
      <c r="O4078" s="71" t="s">
        <v>2272</v>
      </c>
      <c r="P4078" s="71" t="s">
        <v>2272</v>
      </c>
      <c r="Q4078" s="71" t="s">
        <v>2272</v>
      </c>
      <c r="R4078" s="71" t="s">
        <v>2272</v>
      </c>
      <c r="S4078" s="71" t="s">
        <v>2272</v>
      </c>
      <c r="T4078" s="71" t="s">
        <v>2272</v>
      </c>
      <c r="U4078" s="71" t="s">
        <v>2272</v>
      </c>
      <c r="V4078" s="71" t="s">
        <v>2272</v>
      </c>
      <c r="W4078" s="71" t="s">
        <v>2272</v>
      </c>
      <c r="X4078" s="71" t="s">
        <v>2272</v>
      </c>
      <c r="Y4078" s="71" t="s">
        <v>2272</v>
      </c>
      <c r="Z4078" s="71" t="s">
        <v>2272</v>
      </c>
      <c r="AA4078" s="71" t="s">
        <v>2272</v>
      </c>
      <c r="AB4078" s="198"/>
      <c r="AC4078" s="198"/>
    </row>
    <row r="4079" spans="1:29" ht="62" customHeight="1">
      <c r="A4079" s="147" t="str">
        <f>'Reported burning'!A4079</f>
        <v>448b</v>
      </c>
      <c r="B4079" s="147" t="str">
        <f>'Reported burning'!B4079</f>
        <v>448b.2</v>
      </c>
      <c r="C4079" s="147" t="str">
        <f>'Reported burning'!C4079</f>
        <v>Human, escaped</v>
      </c>
      <c r="D4079" s="147" t="str">
        <f>'Reported burning'!D4079</f>
        <v>ND</v>
      </c>
      <c r="E4079" s="147" t="str">
        <f>'Reported burning'!E4079</f>
        <v>ND</v>
      </c>
      <c r="F4079" s="147" t="str">
        <f>'Reported burning'!F4079</f>
        <v>ND</v>
      </c>
      <c r="G4079" s="147" t="str">
        <f>'Reported burning'!G4079</f>
        <v>ND</v>
      </c>
      <c r="H4079" s="147" t="str">
        <f>'Reported burning'!H4079</f>
        <v>Presence</v>
      </c>
      <c r="I4079" s="198"/>
      <c r="J4079" s="71" t="s">
        <v>2272</v>
      </c>
      <c r="K4079" s="71" t="s">
        <v>2272</v>
      </c>
      <c r="L4079" s="71" t="s">
        <v>2272</v>
      </c>
      <c r="M4079" s="21" t="s">
        <v>2358</v>
      </c>
      <c r="N4079" s="71" t="s">
        <v>2272</v>
      </c>
      <c r="O4079" s="21" t="s">
        <v>2376</v>
      </c>
      <c r="P4079" s="71" t="s">
        <v>2272</v>
      </c>
      <c r="Q4079" s="71" t="s">
        <v>2272</v>
      </c>
      <c r="R4079" s="71" t="s">
        <v>2272</v>
      </c>
      <c r="S4079" s="21" t="s">
        <v>2358</v>
      </c>
      <c r="T4079" s="71" t="s">
        <v>2272</v>
      </c>
      <c r="U4079" s="71" t="s">
        <v>2272</v>
      </c>
      <c r="V4079" s="71" t="s">
        <v>2272</v>
      </c>
      <c r="W4079" s="71" t="s">
        <v>2272</v>
      </c>
      <c r="X4079" s="71" t="s">
        <v>2272</v>
      </c>
      <c r="Y4079" s="71" t="s">
        <v>2272</v>
      </c>
      <c r="Z4079" s="71" t="s">
        <v>2272</v>
      </c>
      <c r="AA4079" s="71" t="s">
        <v>2272</v>
      </c>
      <c r="AB4079" s="198"/>
      <c r="AC4079" s="198"/>
    </row>
    <row r="4080" spans="1:29" ht="62" customHeight="1">
      <c r="A4080" s="147" t="str">
        <f>'Reported burning'!A4080</f>
        <v>448c</v>
      </c>
      <c r="B4080" s="147" t="str">
        <f>'Reported burning'!B4080</f>
        <v>448c.2</v>
      </c>
      <c r="C4080" s="147" t="str">
        <f>'Reported burning'!C4080</f>
        <v>Human, escaped</v>
      </c>
      <c r="D4080" s="147" t="str">
        <f>'Reported burning'!D4080</f>
        <v>ND</v>
      </c>
      <c r="E4080" s="147" t="str">
        <f>'Reported burning'!E4080</f>
        <v>ND</v>
      </c>
      <c r="F4080" s="147" t="str">
        <f>'Reported burning'!F4080</f>
        <v>ND</v>
      </c>
      <c r="G4080" s="147" t="str">
        <f>'Reported burning'!G4080</f>
        <v>ND</v>
      </c>
      <c r="H4080" s="147" t="str">
        <f>'Reported burning'!H4080</f>
        <v>Absence</v>
      </c>
      <c r="I4080" s="198"/>
      <c r="J4080" s="21">
        <v>0</v>
      </c>
      <c r="K4080" s="21">
        <v>0</v>
      </c>
      <c r="L4080" s="21">
        <v>0</v>
      </c>
      <c r="M4080" s="21">
        <v>0</v>
      </c>
      <c r="N4080" s="21">
        <v>0</v>
      </c>
      <c r="O4080" s="21">
        <v>0</v>
      </c>
      <c r="P4080" s="21">
        <v>0</v>
      </c>
      <c r="Q4080" s="21">
        <v>0</v>
      </c>
      <c r="R4080" s="21">
        <v>0</v>
      </c>
      <c r="S4080" s="21">
        <v>0</v>
      </c>
      <c r="T4080" s="21">
        <v>0</v>
      </c>
      <c r="U4080" s="21">
        <v>0</v>
      </c>
      <c r="V4080" s="21">
        <v>0</v>
      </c>
      <c r="W4080" s="21">
        <v>0</v>
      </c>
      <c r="X4080" s="71" t="s">
        <v>2272</v>
      </c>
      <c r="Y4080" s="71" t="s">
        <v>2272</v>
      </c>
      <c r="Z4080" s="71" t="s">
        <v>2272</v>
      </c>
      <c r="AA4080" s="71" t="s">
        <v>2272</v>
      </c>
      <c r="AB4080" s="198"/>
      <c r="AC4080" s="198"/>
    </row>
    <row r="4081" spans="1:29" ht="62" customHeight="1">
      <c r="A4081" s="147" t="str">
        <f>'Reported burning'!A4081</f>
        <v>448d</v>
      </c>
      <c r="B4081" s="147" t="str">
        <f>'Reported burning'!B4081</f>
        <v>448d.2</v>
      </c>
      <c r="C4081" s="147" t="str">
        <f>'Reported burning'!C4081</f>
        <v>Human, escaped</v>
      </c>
      <c r="D4081" s="147" t="str">
        <f>'Reported burning'!D4081</f>
        <v>ND</v>
      </c>
      <c r="E4081" s="147" t="str">
        <f>'Reported burning'!E4081</f>
        <v>ND</v>
      </c>
      <c r="F4081" s="147" t="str">
        <f>'Reported burning'!F4081</f>
        <v>ND</v>
      </c>
      <c r="G4081" s="147" t="str">
        <f>'Reported burning'!G4081</f>
        <v>ND</v>
      </c>
      <c r="H4081" s="147" t="str">
        <f>'Reported burning'!H4081</f>
        <v>Absence</v>
      </c>
      <c r="I4081" s="198"/>
      <c r="J4081" s="21">
        <v>0</v>
      </c>
      <c r="K4081" s="21">
        <v>0</v>
      </c>
      <c r="L4081" s="21">
        <v>0</v>
      </c>
      <c r="M4081" s="21">
        <v>0</v>
      </c>
      <c r="N4081" s="21">
        <v>0</v>
      </c>
      <c r="O4081" s="21">
        <v>0</v>
      </c>
      <c r="P4081" s="21">
        <v>0</v>
      </c>
      <c r="Q4081" s="21">
        <v>0</v>
      </c>
      <c r="R4081" s="21">
        <v>0</v>
      </c>
      <c r="S4081" s="21">
        <v>0</v>
      </c>
      <c r="T4081" s="21">
        <v>0</v>
      </c>
      <c r="U4081" s="21">
        <v>0</v>
      </c>
      <c r="V4081" s="21">
        <v>0</v>
      </c>
      <c r="W4081" s="21">
        <v>0</v>
      </c>
      <c r="X4081" s="71" t="s">
        <v>2272</v>
      </c>
      <c r="Y4081" s="71" t="s">
        <v>2272</v>
      </c>
      <c r="Z4081" s="71" t="s">
        <v>2272</v>
      </c>
      <c r="AA4081" s="71" t="s">
        <v>2272</v>
      </c>
      <c r="AB4081" s="198"/>
      <c r="AC4081" s="198"/>
    </row>
    <row r="4082" spans="1:29" ht="62" customHeight="1">
      <c r="A4082" s="147" t="str">
        <f>'Reported burning'!A4082</f>
        <v>449a</v>
      </c>
      <c r="B4082" s="147" t="str">
        <f>'Reported burning'!B4082</f>
        <v>449a.1</v>
      </c>
      <c r="C4082" s="147" t="str">
        <f>'Reported burning'!C4082</f>
        <v>Human, deliberate</v>
      </c>
      <c r="D4082" s="147" t="str">
        <f>'Reported burning'!D4082</f>
        <v>Conservation</v>
      </c>
      <c r="E4082" s="147" t="str">
        <f>'Reported burning'!E4082</f>
        <v>Biodiversity conservation</v>
      </c>
      <c r="F4082" s="147" t="str">
        <f>'Reported burning'!F4082</f>
        <v>Shrubland (Mixed forest &amp; grassland)</v>
      </c>
      <c r="G4082" s="147" t="str">
        <f>'Reported burning'!G4082</f>
        <v>ND</v>
      </c>
      <c r="H4082" s="147" t="str">
        <f>'Reported burning'!H4082</f>
        <v>Absence</v>
      </c>
      <c r="I4082" s="198"/>
      <c r="J4082" s="21">
        <v>0</v>
      </c>
      <c r="K4082" s="21">
        <v>0</v>
      </c>
      <c r="L4082" s="21">
        <v>0</v>
      </c>
      <c r="M4082" s="21">
        <v>0</v>
      </c>
      <c r="N4082" s="21">
        <v>0</v>
      </c>
      <c r="O4082" s="21">
        <v>0</v>
      </c>
      <c r="P4082" s="21">
        <v>0</v>
      </c>
      <c r="Q4082" s="21">
        <v>0</v>
      </c>
      <c r="R4082" s="21">
        <v>0</v>
      </c>
      <c r="S4082" s="21">
        <v>0</v>
      </c>
      <c r="T4082" s="21">
        <v>0</v>
      </c>
      <c r="U4082" s="21">
        <v>0</v>
      </c>
      <c r="V4082" s="21">
        <v>0</v>
      </c>
      <c r="W4082" s="21">
        <v>0</v>
      </c>
      <c r="X4082" s="71" t="s">
        <v>2272</v>
      </c>
      <c r="Y4082" s="71" t="s">
        <v>2272</v>
      </c>
      <c r="Z4082" s="71" t="s">
        <v>2272</v>
      </c>
      <c r="AA4082" s="71" t="s">
        <v>2272</v>
      </c>
      <c r="AB4082" s="198"/>
      <c r="AC4082" s="198"/>
    </row>
    <row r="4083" spans="1:29" ht="51.5" customHeight="1">
      <c r="A4083" s="147" t="str">
        <f>'Reported burning'!A4083</f>
        <v>449a</v>
      </c>
      <c r="B4083" s="147" t="str">
        <f>'Reported burning'!B4083</f>
        <v>449a.2</v>
      </c>
      <c r="C4083" s="147" t="str">
        <f>'Reported burning'!C4083</f>
        <v>Human, deliberate</v>
      </c>
      <c r="D4083" s="147" t="str">
        <f>'Reported burning'!D4083</f>
        <v>Conservation</v>
      </c>
      <c r="E4083" s="147" t="str">
        <f>'Reported burning'!E4083</f>
        <v>Tourism manager</v>
      </c>
      <c r="F4083" s="147" t="str">
        <f>'Reported burning'!F4083</f>
        <v>Shrubland (Mixed forest &amp; grassland)</v>
      </c>
      <c r="G4083" s="147" t="str">
        <f>'Reported burning'!G4083</f>
        <v>ND</v>
      </c>
      <c r="H4083" s="147" t="str">
        <f>'Reported burning'!H4083</f>
        <v>Absence</v>
      </c>
      <c r="I4083" s="198"/>
      <c r="J4083" s="21">
        <v>0</v>
      </c>
      <c r="K4083" s="21">
        <v>0</v>
      </c>
      <c r="L4083" s="21">
        <v>0</v>
      </c>
      <c r="M4083" s="21">
        <v>0</v>
      </c>
      <c r="N4083" s="21">
        <v>0</v>
      </c>
      <c r="O4083" s="21">
        <v>0</v>
      </c>
      <c r="P4083" s="21">
        <v>0</v>
      </c>
      <c r="Q4083" s="21">
        <v>0</v>
      </c>
      <c r="R4083" s="21">
        <v>0</v>
      </c>
      <c r="S4083" s="21">
        <v>0</v>
      </c>
      <c r="T4083" s="21">
        <v>0</v>
      </c>
      <c r="U4083" s="21">
        <v>0</v>
      </c>
      <c r="V4083" s="21">
        <v>0</v>
      </c>
      <c r="W4083" s="21">
        <v>0</v>
      </c>
      <c r="X4083" s="71" t="s">
        <v>2272</v>
      </c>
      <c r="Y4083" s="71" t="s">
        <v>2272</v>
      </c>
      <c r="Z4083" s="71" t="s">
        <v>2272</v>
      </c>
      <c r="AA4083" s="71" t="s">
        <v>2272</v>
      </c>
      <c r="AB4083" s="198"/>
      <c r="AC4083" s="198"/>
    </row>
    <row r="4084" spans="1:29" ht="49" customHeight="1">
      <c r="A4084" s="147" t="str">
        <f>'Reported burning'!A4084</f>
        <v>449b</v>
      </c>
      <c r="B4084" s="147" t="str">
        <f>'Reported burning'!B4084</f>
        <v>449b.1</v>
      </c>
      <c r="C4084" s="147" t="str">
        <f>'Reported burning'!C4084</f>
        <v>Human, deliberate</v>
      </c>
      <c r="D4084" s="147" t="str">
        <f>'Reported burning'!D4084</f>
        <v>Rangeland management</v>
      </c>
      <c r="E4084" s="147" t="str">
        <f>'Reported burning'!E4084</f>
        <v>Cattle, Extensive</v>
      </c>
      <c r="F4084" s="147" t="str">
        <f>'Reported burning'!F4084</f>
        <v>Shrubland (Mixed forest &amp; grassland)</v>
      </c>
      <c r="G4084" s="147" t="str">
        <f>'Reported burning'!G4084</f>
        <v>Shrubland (Mixed forest &amp; grassland)</v>
      </c>
      <c r="H4084" s="147" t="str">
        <f>'Reported burning'!H4084</f>
        <v>Presence</v>
      </c>
      <c r="I4084" s="198"/>
      <c r="J4084" s="71" t="s">
        <v>2272</v>
      </c>
      <c r="K4084" s="71" t="s">
        <v>2272</v>
      </c>
      <c r="L4084" s="71" t="s">
        <v>2272</v>
      </c>
      <c r="M4084" s="71" t="s">
        <v>2272</v>
      </c>
      <c r="N4084" s="71" t="s">
        <v>2272</v>
      </c>
      <c r="O4084" s="71" t="s">
        <v>2272</v>
      </c>
      <c r="P4084" s="71" t="s">
        <v>2272</v>
      </c>
      <c r="Q4084" s="71" t="s">
        <v>2272</v>
      </c>
      <c r="R4084" s="71" t="s">
        <v>2272</v>
      </c>
      <c r="S4084" s="71" t="s">
        <v>2272</v>
      </c>
      <c r="T4084" s="71" t="s">
        <v>2272</v>
      </c>
      <c r="U4084" s="71" t="s">
        <v>2272</v>
      </c>
      <c r="V4084" s="71" t="s">
        <v>2272</v>
      </c>
      <c r="W4084" s="71" t="s">
        <v>2272</v>
      </c>
      <c r="X4084" s="71" t="s">
        <v>2272</v>
      </c>
      <c r="Y4084" s="71" t="s">
        <v>2272</v>
      </c>
      <c r="Z4084" s="71" t="s">
        <v>2272</v>
      </c>
      <c r="AA4084" s="71" t="s">
        <v>2272</v>
      </c>
      <c r="AB4084" s="198"/>
      <c r="AC4084" s="198"/>
    </row>
    <row r="4085" spans="1:29" ht="43" customHeight="1">
      <c r="A4085" s="147" t="str">
        <f>'Reported burning'!A4085</f>
        <v>450a</v>
      </c>
      <c r="B4085" s="147" t="str">
        <f>'Reported burning'!B4085</f>
        <v>450a.1</v>
      </c>
      <c r="C4085" s="147" t="str">
        <f>'Reported burning'!C4085</f>
        <v>All</v>
      </c>
      <c r="D4085" s="147" t="str">
        <f>'Reported burning'!D4085</f>
        <v>ND</v>
      </c>
      <c r="E4085" s="147" t="str">
        <f>'Reported burning'!E4085</f>
        <v>ND</v>
      </c>
      <c r="F4085" s="147" t="str">
        <f>'Reported burning'!F4085</f>
        <v>ND</v>
      </c>
      <c r="G4085" s="147" t="str">
        <f>'Reported burning'!G4085</f>
        <v>ND</v>
      </c>
      <c r="H4085" s="147" t="str">
        <f>'Reported burning'!H4085</f>
        <v>Presence</v>
      </c>
      <c r="I4085" s="198"/>
      <c r="J4085" s="71" t="s">
        <v>2272</v>
      </c>
      <c r="K4085" s="71" t="s">
        <v>2272</v>
      </c>
      <c r="L4085" s="71" t="s">
        <v>2272</v>
      </c>
      <c r="M4085" s="71" t="s">
        <v>2272</v>
      </c>
      <c r="N4085" s="71" t="s">
        <v>2272</v>
      </c>
      <c r="O4085" s="71" t="s">
        <v>2272</v>
      </c>
      <c r="P4085" s="71" t="s">
        <v>2272</v>
      </c>
      <c r="Q4085" s="71" t="s">
        <v>2272</v>
      </c>
      <c r="R4085" s="71" t="s">
        <v>2272</v>
      </c>
      <c r="S4085" s="71" t="s">
        <v>2272</v>
      </c>
      <c r="T4085" s="71" t="s">
        <v>2272</v>
      </c>
      <c r="U4085" s="71" t="s">
        <v>2272</v>
      </c>
      <c r="V4085" s="71" t="s">
        <v>2272</v>
      </c>
      <c r="W4085" s="71" t="s">
        <v>2272</v>
      </c>
      <c r="X4085" s="21" t="s">
        <v>2396</v>
      </c>
      <c r="Y4085" s="198" t="s">
        <v>402</v>
      </c>
      <c r="Z4085" s="198" t="s">
        <v>34</v>
      </c>
      <c r="AA4085" s="198" t="s">
        <v>63</v>
      </c>
      <c r="AB4085" s="198"/>
      <c r="AC4085" s="198" t="s">
        <v>10493</v>
      </c>
    </row>
    <row r="4086" spans="1:29" ht="43" customHeight="1">
      <c r="A4086" s="147" t="str">
        <f>'Reported burning'!A4086</f>
        <v>450b</v>
      </c>
      <c r="B4086" s="147" t="str">
        <f>'Reported burning'!B4086</f>
        <v>450b.1</v>
      </c>
      <c r="C4086" s="147" t="str">
        <f>'Reported burning'!C4086</f>
        <v>All</v>
      </c>
      <c r="D4086" s="147" t="str">
        <f>'Reported burning'!D4086</f>
        <v>ND</v>
      </c>
      <c r="E4086" s="147" t="str">
        <f>'Reported burning'!E4086</f>
        <v>ND</v>
      </c>
      <c r="F4086" s="147" t="str">
        <f>'Reported burning'!F4086</f>
        <v>ND</v>
      </c>
      <c r="G4086" s="147" t="str">
        <f>'Reported burning'!G4086</f>
        <v>ND</v>
      </c>
      <c r="H4086" s="147" t="str">
        <f>'Reported burning'!H4086</f>
        <v>Presence</v>
      </c>
      <c r="I4086" s="198"/>
      <c r="J4086" s="71" t="s">
        <v>2272</v>
      </c>
      <c r="K4086" s="71" t="s">
        <v>2272</v>
      </c>
      <c r="L4086" s="71" t="s">
        <v>2272</v>
      </c>
      <c r="M4086" s="71" t="s">
        <v>2272</v>
      </c>
      <c r="N4086" s="71" t="s">
        <v>2272</v>
      </c>
      <c r="O4086" s="71" t="s">
        <v>2272</v>
      </c>
      <c r="P4086" s="71" t="s">
        <v>2272</v>
      </c>
      <c r="Q4086" s="71" t="s">
        <v>2272</v>
      </c>
      <c r="R4086" s="71" t="s">
        <v>2272</v>
      </c>
      <c r="S4086" s="71" t="s">
        <v>2272</v>
      </c>
      <c r="T4086" s="71" t="s">
        <v>2272</v>
      </c>
      <c r="U4086" s="71" t="s">
        <v>2272</v>
      </c>
      <c r="V4086" s="71" t="s">
        <v>2272</v>
      </c>
      <c r="W4086" s="71" t="s">
        <v>2272</v>
      </c>
      <c r="X4086" s="21" t="s">
        <v>2396</v>
      </c>
      <c r="Y4086" s="198" t="s">
        <v>397</v>
      </c>
      <c r="Z4086" s="198" t="s">
        <v>34</v>
      </c>
      <c r="AA4086" s="198" t="s">
        <v>75</v>
      </c>
      <c r="AB4086" s="198"/>
      <c r="AC4086" s="198" t="s">
        <v>10493</v>
      </c>
    </row>
    <row r="4087" spans="1:29" ht="43" customHeight="1">
      <c r="A4087" s="147" t="str">
        <f>'Reported burning'!A4087</f>
        <v>450c</v>
      </c>
      <c r="B4087" s="147" t="str">
        <f>'Reported burning'!B4087</f>
        <v>450c.1</v>
      </c>
      <c r="C4087" s="147" t="str">
        <f>'Reported burning'!C4087</f>
        <v>All</v>
      </c>
      <c r="D4087" s="147" t="str">
        <f>'Reported burning'!D4087</f>
        <v>ND</v>
      </c>
      <c r="E4087" s="147" t="str">
        <f>'Reported burning'!E4087</f>
        <v>ND</v>
      </c>
      <c r="F4087" s="147" t="str">
        <f>'Reported burning'!F4087</f>
        <v>ND</v>
      </c>
      <c r="G4087" s="147" t="str">
        <f>'Reported burning'!G4087</f>
        <v>ND</v>
      </c>
      <c r="H4087" s="147" t="str">
        <f>'Reported burning'!H4087</f>
        <v>Presence</v>
      </c>
      <c r="I4087" s="198"/>
      <c r="J4087" s="71" t="s">
        <v>2272</v>
      </c>
      <c r="K4087" s="71" t="s">
        <v>2272</v>
      </c>
      <c r="L4087" s="71" t="s">
        <v>2272</v>
      </c>
      <c r="M4087" s="71" t="s">
        <v>2272</v>
      </c>
      <c r="N4087" s="71" t="s">
        <v>2272</v>
      </c>
      <c r="O4087" s="71" t="s">
        <v>2272</v>
      </c>
      <c r="P4087" s="71" t="s">
        <v>2272</v>
      </c>
      <c r="Q4087" s="71" t="s">
        <v>2272</v>
      </c>
      <c r="R4087" s="71" t="s">
        <v>2272</v>
      </c>
      <c r="S4087" s="71" t="s">
        <v>2272</v>
      </c>
      <c r="T4087" s="71" t="s">
        <v>2272</v>
      </c>
      <c r="U4087" s="71" t="s">
        <v>2272</v>
      </c>
      <c r="V4087" s="71" t="s">
        <v>2272</v>
      </c>
      <c r="W4087" s="71" t="s">
        <v>2272</v>
      </c>
      <c r="X4087" s="21" t="s">
        <v>2396</v>
      </c>
      <c r="Y4087" s="198" t="s">
        <v>397</v>
      </c>
      <c r="Z4087" s="198" t="s">
        <v>34</v>
      </c>
      <c r="AA4087" s="198" t="s">
        <v>63</v>
      </c>
      <c r="AB4087" s="198"/>
      <c r="AC4087" s="198" t="s">
        <v>10493</v>
      </c>
    </row>
    <row r="4088" spans="1:29" ht="52.5" customHeight="1">
      <c r="A4088" s="147" t="str">
        <f>'Reported burning'!A4088</f>
        <v>450a</v>
      </c>
      <c r="B4088" s="147" t="str">
        <f>'Reported burning'!B4088</f>
        <v>450a.2</v>
      </c>
      <c r="C4088" s="147" t="str">
        <f>'Reported burning'!C4088</f>
        <v>Human, deliberate</v>
      </c>
      <c r="D4088" s="147" t="str">
        <f>'Reported burning'!D4088</f>
        <v>Pyrome management</v>
      </c>
      <c r="E4088" s="147" t="str">
        <f>'Reported burning'!E4088</f>
        <v>Biodiversity conservation</v>
      </c>
      <c r="F4088" s="147" t="str">
        <f>'Reported burning'!F4088</f>
        <v>Shrubland (Mixed forest &amp; grassland)</v>
      </c>
      <c r="G4088" s="147" t="str">
        <f>'Reported burning'!G4088</f>
        <v>Shrubland (Mixed forest &amp; grassland)</v>
      </c>
      <c r="H4088" s="147" t="str">
        <f>'Reported burning'!H4088</f>
        <v>Absence</v>
      </c>
      <c r="I4088" s="198"/>
      <c r="J4088" s="21">
        <v>0</v>
      </c>
      <c r="K4088" s="21">
        <v>0</v>
      </c>
      <c r="L4088" s="21">
        <v>0</v>
      </c>
      <c r="M4088" s="21">
        <v>0</v>
      </c>
      <c r="N4088" s="21">
        <v>0</v>
      </c>
      <c r="O4088" s="21">
        <v>0</v>
      </c>
      <c r="P4088" s="21">
        <v>0</v>
      </c>
      <c r="Q4088" s="21">
        <v>0</v>
      </c>
      <c r="R4088" s="21">
        <v>0</v>
      </c>
      <c r="S4088" s="21">
        <v>0</v>
      </c>
      <c r="T4088" s="21">
        <v>0</v>
      </c>
      <c r="U4088" s="21">
        <v>0</v>
      </c>
      <c r="V4088" s="21">
        <v>0</v>
      </c>
      <c r="W4088" s="21">
        <v>0</v>
      </c>
      <c r="X4088" s="71" t="s">
        <v>2272</v>
      </c>
      <c r="Y4088" s="71" t="s">
        <v>2272</v>
      </c>
      <c r="Z4088" s="71" t="s">
        <v>2272</v>
      </c>
      <c r="AA4088" s="71" t="s">
        <v>2272</v>
      </c>
      <c r="AB4088" s="198"/>
      <c r="AC4088" s="198"/>
    </row>
    <row r="4089" spans="1:29" ht="52.5" customHeight="1">
      <c r="A4089" s="147" t="str">
        <f>'Reported burning'!A4089</f>
        <v>450b</v>
      </c>
      <c r="B4089" s="147" t="str">
        <f>'Reported burning'!B4089</f>
        <v>450b.2</v>
      </c>
      <c r="C4089" s="147" t="str">
        <f>'Reported burning'!C4089</f>
        <v>Human, deliberate</v>
      </c>
      <c r="D4089" s="147" t="str">
        <f>'Reported burning'!D4089</f>
        <v>Pasture renewal</v>
      </c>
      <c r="E4089" s="147" t="str">
        <f>'Reported burning'!E4089</f>
        <v>Cattle, Extensive</v>
      </c>
      <c r="F4089" s="147" t="str">
        <f>'Reported burning'!F4089</f>
        <v>Shrubland (Mixed forest &amp; grassland)</v>
      </c>
      <c r="G4089" s="147" t="str">
        <f>'Reported burning'!G4089</f>
        <v>Shrubland (Mixed forest &amp; grassland)</v>
      </c>
      <c r="H4089" s="147" t="str">
        <f>'Reported burning'!H4089</f>
        <v>Presence</v>
      </c>
      <c r="I4089" s="198"/>
      <c r="J4089" s="71" t="s">
        <v>2272</v>
      </c>
      <c r="K4089" s="71" t="s">
        <v>2272</v>
      </c>
      <c r="L4089" s="71" t="s">
        <v>2272</v>
      </c>
      <c r="M4089" s="71" t="s">
        <v>2272</v>
      </c>
      <c r="N4089" s="71" t="s">
        <v>2272</v>
      </c>
      <c r="O4089" s="71" t="s">
        <v>2272</v>
      </c>
      <c r="P4089" s="71" t="s">
        <v>2272</v>
      </c>
      <c r="Q4089" s="71" t="s">
        <v>2272</v>
      </c>
      <c r="R4089" s="71" t="s">
        <v>2272</v>
      </c>
      <c r="S4089" s="71" t="s">
        <v>2272</v>
      </c>
      <c r="T4089" s="71" t="s">
        <v>2272</v>
      </c>
      <c r="U4089" s="71" t="s">
        <v>2272</v>
      </c>
      <c r="V4089" s="71" t="s">
        <v>2272</v>
      </c>
      <c r="W4089" s="71" t="s">
        <v>2272</v>
      </c>
      <c r="X4089" s="21" t="s">
        <v>2370</v>
      </c>
      <c r="Y4089" s="71" t="s">
        <v>2272</v>
      </c>
      <c r="Z4089" s="71" t="s">
        <v>2272</v>
      </c>
      <c r="AA4089" s="71" t="s">
        <v>2272</v>
      </c>
      <c r="AB4089" s="198"/>
      <c r="AC4089" s="198"/>
    </row>
    <row r="4090" spans="1:29" ht="52.5" customHeight="1">
      <c r="A4090" s="147" t="str">
        <f>'Reported burning'!A4090</f>
        <v>450c</v>
      </c>
      <c r="B4090" s="147" t="str">
        <f>'Reported burning'!B4090</f>
        <v>450c.2</v>
      </c>
      <c r="C4090" s="147" t="str">
        <f>'Reported burning'!C4090</f>
        <v>Human, deliberate</v>
      </c>
      <c r="D4090" s="147" t="str">
        <f>'Reported burning'!D4090</f>
        <v>Pasture renewal</v>
      </c>
      <c r="E4090" s="147" t="str">
        <f>'Reported burning'!E4090</f>
        <v>Cattle, Extensive</v>
      </c>
      <c r="F4090" s="147" t="str">
        <f>'Reported burning'!F4090</f>
        <v>Shrubland (Mixed forest &amp; grassland)</v>
      </c>
      <c r="G4090" s="147" t="str">
        <f>'Reported burning'!G4090</f>
        <v>Shrubland (Mixed forest &amp; grassland)</v>
      </c>
      <c r="H4090" s="147" t="str">
        <f>'Reported burning'!H4090</f>
        <v>Presence</v>
      </c>
      <c r="I4090" s="198"/>
      <c r="J4090" s="71" t="s">
        <v>2272</v>
      </c>
      <c r="K4090" s="71" t="s">
        <v>2272</v>
      </c>
      <c r="L4090" s="71" t="s">
        <v>2272</v>
      </c>
      <c r="M4090" s="71" t="s">
        <v>2272</v>
      </c>
      <c r="N4090" s="71" t="s">
        <v>2272</v>
      </c>
      <c r="O4090" s="71" t="s">
        <v>2272</v>
      </c>
      <c r="P4090" s="71" t="s">
        <v>2272</v>
      </c>
      <c r="Q4090" s="71" t="s">
        <v>2272</v>
      </c>
      <c r="R4090" s="71" t="s">
        <v>2272</v>
      </c>
      <c r="S4090" s="71" t="s">
        <v>2272</v>
      </c>
      <c r="T4090" s="71" t="s">
        <v>2272</v>
      </c>
      <c r="U4090" s="71" t="s">
        <v>2272</v>
      </c>
      <c r="V4090" s="71" t="s">
        <v>2272</v>
      </c>
      <c r="W4090" s="71" t="s">
        <v>2272</v>
      </c>
      <c r="X4090" s="21" t="s">
        <v>2396</v>
      </c>
      <c r="Y4090" s="71" t="s">
        <v>2272</v>
      </c>
      <c r="Z4090" s="71" t="s">
        <v>2272</v>
      </c>
      <c r="AA4090" s="71" t="s">
        <v>2272</v>
      </c>
      <c r="AB4090" s="198"/>
      <c r="AC4090" s="198"/>
    </row>
    <row r="4091" spans="1:29" ht="52.5" customHeight="1">
      <c r="A4091" s="147" t="str">
        <f>'Reported burning'!A4091</f>
        <v>450a</v>
      </c>
      <c r="B4091" s="147" t="str">
        <f>'Reported burning'!B4091</f>
        <v>450a.3</v>
      </c>
      <c r="C4091" s="147" t="str">
        <f>'Reported burning'!C4091</f>
        <v>Human, deliberate</v>
      </c>
      <c r="D4091" s="147" t="str">
        <f>'Reported burning'!D4091</f>
        <v>Conservation</v>
      </c>
      <c r="E4091" s="147" t="str">
        <f>'Reported burning'!E4091</f>
        <v>Biodiversity conservation</v>
      </c>
      <c r="F4091" s="147" t="str">
        <f>'Reported burning'!F4091</f>
        <v>Shrubland (Mixed forest &amp; grassland)</v>
      </c>
      <c r="G4091" s="147" t="str">
        <f>'Reported burning'!G4091</f>
        <v>Shrubland (Mixed forest &amp; grassland)</v>
      </c>
      <c r="H4091" s="147" t="str">
        <f>'Reported burning'!H4091</f>
        <v>Absence</v>
      </c>
      <c r="I4091" s="198"/>
      <c r="J4091" s="21">
        <v>0</v>
      </c>
      <c r="K4091" s="21">
        <v>0</v>
      </c>
      <c r="L4091" s="21">
        <v>0</v>
      </c>
      <c r="M4091" s="21">
        <v>0</v>
      </c>
      <c r="N4091" s="21">
        <v>0</v>
      </c>
      <c r="O4091" s="21">
        <v>0</v>
      </c>
      <c r="P4091" s="21">
        <v>0</v>
      </c>
      <c r="Q4091" s="21">
        <v>0</v>
      </c>
      <c r="R4091" s="21">
        <v>0</v>
      </c>
      <c r="S4091" s="21">
        <v>0</v>
      </c>
      <c r="T4091" s="21">
        <v>0</v>
      </c>
      <c r="U4091" s="21">
        <v>0</v>
      </c>
      <c r="V4091" s="21">
        <v>0</v>
      </c>
      <c r="W4091" s="21">
        <v>0</v>
      </c>
      <c r="X4091" s="71" t="s">
        <v>2272</v>
      </c>
      <c r="Y4091" s="71" t="s">
        <v>2272</v>
      </c>
      <c r="Z4091" s="71" t="s">
        <v>2272</v>
      </c>
      <c r="AA4091" s="71" t="s">
        <v>2272</v>
      </c>
      <c r="AB4091" s="198"/>
      <c r="AC4091" s="198"/>
    </row>
    <row r="4092" spans="1:29" ht="52.5" customHeight="1">
      <c r="A4092" s="147" t="str">
        <f>'Reported burning'!A4092</f>
        <v>450b</v>
      </c>
      <c r="B4092" s="147" t="str">
        <f>'Reported burning'!B4092</f>
        <v>450b.3</v>
      </c>
      <c r="C4092" s="147" t="str">
        <f>'Reported burning'!C4092</f>
        <v>Human, deliberate</v>
      </c>
      <c r="D4092" s="147" t="str">
        <f>'Reported burning'!D4092</f>
        <v>ND</v>
      </c>
      <c r="E4092" s="147" t="str">
        <f>'Reported burning'!E4092</f>
        <v>Cropping, Monoculture, Subsistence-oriented</v>
      </c>
      <c r="F4092" s="147" t="str">
        <f>'Reported burning'!F4092</f>
        <v>Shrubland (Mixed forest &amp; grassland)</v>
      </c>
      <c r="G4092" s="147" t="str">
        <f>'Reported burning'!G4092</f>
        <v>Shrubland (Mixed forest &amp; grassland)</v>
      </c>
      <c r="H4092" s="147" t="str">
        <f>'Reported burning'!H4092</f>
        <v>Presence</v>
      </c>
      <c r="I4092" s="198"/>
      <c r="J4092" s="71" t="s">
        <v>2272</v>
      </c>
      <c r="K4092" s="71" t="s">
        <v>2272</v>
      </c>
      <c r="L4092" s="71" t="s">
        <v>2272</v>
      </c>
      <c r="M4092" s="71" t="s">
        <v>2272</v>
      </c>
      <c r="N4092" s="71" t="s">
        <v>2272</v>
      </c>
      <c r="O4092" s="71" t="s">
        <v>2272</v>
      </c>
      <c r="P4092" s="71" t="s">
        <v>2272</v>
      </c>
      <c r="Q4092" s="71" t="s">
        <v>2272</v>
      </c>
      <c r="R4092" s="71" t="s">
        <v>2272</v>
      </c>
      <c r="S4092" s="71" t="s">
        <v>2272</v>
      </c>
      <c r="T4092" s="71" t="s">
        <v>2272</v>
      </c>
      <c r="U4092" s="71" t="s">
        <v>2272</v>
      </c>
      <c r="V4092" s="71" t="s">
        <v>2272</v>
      </c>
      <c r="W4092" s="71" t="s">
        <v>2272</v>
      </c>
      <c r="X4092" s="71" t="s">
        <v>2272</v>
      </c>
      <c r="Y4092" s="71" t="s">
        <v>2272</v>
      </c>
      <c r="Z4092" s="71" t="s">
        <v>2272</v>
      </c>
      <c r="AA4092" s="71" t="s">
        <v>2272</v>
      </c>
      <c r="AB4092" s="198"/>
      <c r="AC4092" s="198"/>
    </row>
    <row r="4093" spans="1:29" ht="52.5" customHeight="1">
      <c r="A4093" s="147" t="str">
        <f>'Reported burning'!A4093</f>
        <v>450c</v>
      </c>
      <c r="B4093" s="147" t="str">
        <f>'Reported burning'!B4093</f>
        <v>450c.3</v>
      </c>
      <c r="C4093" s="147" t="str">
        <f>'Reported burning'!C4093</f>
        <v>Human, deliberate</v>
      </c>
      <c r="D4093" s="147" t="str">
        <f>'Reported burning'!D4093</f>
        <v>ND</v>
      </c>
      <c r="E4093" s="147" t="str">
        <f>'Reported burning'!E4093</f>
        <v>Cropping, Monoculture, Subsistence-oriented</v>
      </c>
      <c r="F4093" s="147" t="str">
        <f>'Reported burning'!F4093</f>
        <v>Shrubland (Mixed forest &amp; grassland)</v>
      </c>
      <c r="G4093" s="147" t="str">
        <f>'Reported burning'!G4093</f>
        <v>Shrubland (Mixed forest &amp; grassland)</v>
      </c>
      <c r="H4093" s="147" t="str">
        <f>'Reported burning'!H4093</f>
        <v>Presence</v>
      </c>
      <c r="I4093" s="198"/>
      <c r="J4093" s="71" t="s">
        <v>2272</v>
      </c>
      <c r="K4093" s="71" t="s">
        <v>2272</v>
      </c>
      <c r="L4093" s="71" t="s">
        <v>2272</v>
      </c>
      <c r="M4093" s="71" t="s">
        <v>2272</v>
      </c>
      <c r="N4093" s="71" t="s">
        <v>2272</v>
      </c>
      <c r="O4093" s="71" t="s">
        <v>2272</v>
      </c>
      <c r="P4093" s="71" t="s">
        <v>2272</v>
      </c>
      <c r="Q4093" s="71" t="s">
        <v>2272</v>
      </c>
      <c r="R4093" s="71" t="s">
        <v>2272</v>
      </c>
      <c r="S4093" s="71" t="s">
        <v>2272</v>
      </c>
      <c r="T4093" s="71" t="s">
        <v>2272</v>
      </c>
      <c r="U4093" s="71" t="s">
        <v>2272</v>
      </c>
      <c r="V4093" s="71" t="s">
        <v>2272</v>
      </c>
      <c r="W4093" s="71" t="s">
        <v>2272</v>
      </c>
      <c r="X4093" s="71" t="s">
        <v>2272</v>
      </c>
      <c r="Y4093" s="71" t="s">
        <v>2272</v>
      </c>
      <c r="Z4093" s="71" t="s">
        <v>2272</v>
      </c>
      <c r="AA4093" s="71" t="s">
        <v>2272</v>
      </c>
      <c r="AB4093" s="198"/>
      <c r="AC4093" s="198"/>
    </row>
    <row r="4094" spans="1:29" ht="52.5" customHeight="1">
      <c r="A4094" s="151" t="str">
        <f>'Reported burning'!A4094</f>
        <v>450b</v>
      </c>
      <c r="B4094" s="151" t="str">
        <f>'Reported burning'!B4094</f>
        <v>450b.4</v>
      </c>
      <c r="C4094" s="151" t="str">
        <f>'Reported burning'!C4094</f>
        <v>Human, escaped</v>
      </c>
      <c r="D4094" s="151" t="str">
        <f>'Reported burning'!D4094</f>
        <v>Pasture renewal</v>
      </c>
      <c r="E4094" s="151" t="str">
        <f>'Reported burning'!E4094</f>
        <v>Cattle, Extensive</v>
      </c>
      <c r="F4094" s="151" t="str">
        <f>'Reported burning'!F4094</f>
        <v>Shrubland (Mixed forest &amp; grassland)</v>
      </c>
      <c r="G4094" s="151" t="str">
        <f>'Reported burning'!G4094</f>
        <v>ND</v>
      </c>
      <c r="H4094" s="151" t="str">
        <f>'Reported burning'!H4094</f>
        <v>Presence</v>
      </c>
      <c r="I4094" s="198"/>
      <c r="J4094" s="71" t="s">
        <v>2272</v>
      </c>
      <c r="K4094" s="71" t="s">
        <v>2272</v>
      </c>
      <c r="L4094" s="71" t="s">
        <v>2272</v>
      </c>
      <c r="M4094" s="71" t="s">
        <v>2272</v>
      </c>
      <c r="N4094" s="71" t="s">
        <v>2272</v>
      </c>
      <c r="O4094" s="71" t="s">
        <v>2272</v>
      </c>
      <c r="P4094" s="71" t="s">
        <v>2272</v>
      </c>
      <c r="Q4094" s="71" t="s">
        <v>2272</v>
      </c>
      <c r="R4094" s="71" t="s">
        <v>2272</v>
      </c>
      <c r="S4094" s="71" t="s">
        <v>2272</v>
      </c>
      <c r="T4094" s="71" t="s">
        <v>2272</v>
      </c>
      <c r="U4094" s="71" t="s">
        <v>2272</v>
      </c>
      <c r="V4094" s="71" t="s">
        <v>2272</v>
      </c>
      <c r="W4094" s="71" t="s">
        <v>2272</v>
      </c>
      <c r="X4094" s="71" t="s">
        <v>2272</v>
      </c>
      <c r="Y4094" s="71" t="s">
        <v>2272</v>
      </c>
      <c r="Z4094" s="71" t="s">
        <v>2272</v>
      </c>
      <c r="AA4094" s="71" t="s">
        <v>2272</v>
      </c>
      <c r="AB4094" s="198"/>
      <c r="AC4094" s="198"/>
    </row>
    <row r="4095" spans="1:29" ht="41" customHeight="1">
      <c r="A4095" s="151" t="str">
        <f>'Reported burning'!A4095</f>
        <v>450a</v>
      </c>
      <c r="B4095" s="151" t="str">
        <f>'Reported burning'!B4095</f>
        <v>450a.4</v>
      </c>
      <c r="C4095" s="151" t="str">
        <f>'Reported burning'!C4095</f>
        <v>Human, deliberate</v>
      </c>
      <c r="D4095" s="151" t="str">
        <f>'Reported burning'!D4095</f>
        <v>Arson</v>
      </c>
      <c r="E4095" s="151" t="str">
        <f>'Reported burning'!E4095</f>
        <v>Cattle, Extensive</v>
      </c>
      <c r="F4095" s="151" t="str">
        <f>'Reported burning'!F4095</f>
        <v>Shrubland (Mixed forest &amp; grassland)</v>
      </c>
      <c r="G4095" s="151" t="str">
        <f>'Reported burning'!G4095</f>
        <v>Shrubland (Mixed forest &amp; grassland)</v>
      </c>
      <c r="H4095" s="151" t="str">
        <f>'Reported burning'!H4095</f>
        <v>Presence</v>
      </c>
      <c r="I4095" s="198"/>
      <c r="J4095" s="71" t="s">
        <v>2272</v>
      </c>
      <c r="K4095" s="71" t="s">
        <v>2272</v>
      </c>
      <c r="L4095" s="71" t="s">
        <v>2272</v>
      </c>
      <c r="M4095" s="71" t="s">
        <v>2272</v>
      </c>
      <c r="N4095" s="71" t="s">
        <v>2272</v>
      </c>
      <c r="O4095" s="71" t="s">
        <v>2272</v>
      </c>
      <c r="P4095" s="71" t="s">
        <v>2272</v>
      </c>
      <c r="Q4095" s="71" t="s">
        <v>2272</v>
      </c>
      <c r="R4095" s="71" t="s">
        <v>2272</v>
      </c>
      <c r="S4095" s="71" t="s">
        <v>2272</v>
      </c>
      <c r="T4095" s="71" t="s">
        <v>2272</v>
      </c>
      <c r="U4095" s="71" t="s">
        <v>2272</v>
      </c>
      <c r="V4095" s="71" t="s">
        <v>2272</v>
      </c>
      <c r="W4095" s="71" t="s">
        <v>2272</v>
      </c>
      <c r="X4095" s="71" t="s">
        <v>2272</v>
      </c>
      <c r="Y4095" s="198" t="s">
        <v>37</v>
      </c>
      <c r="Z4095" s="198" t="s">
        <v>67</v>
      </c>
      <c r="AA4095" s="71" t="s">
        <v>2272</v>
      </c>
      <c r="AB4095" s="198"/>
      <c r="AC4095" s="198"/>
    </row>
    <row r="4096" spans="1:29" ht="41" customHeight="1">
      <c r="A4096" s="147" t="str">
        <f>'Reported burning'!A4096</f>
        <v>450b</v>
      </c>
      <c r="B4096" s="147" t="str">
        <f>'Reported burning'!B4096</f>
        <v>450b.5</v>
      </c>
      <c r="C4096" s="147" t="str">
        <f>'Reported burning'!C4096</f>
        <v>Human, deliberate</v>
      </c>
      <c r="D4096" s="147" t="str">
        <f>'Reported burning'!D4096</f>
        <v>Arson</v>
      </c>
      <c r="E4096" s="147" t="str">
        <f>'Reported burning'!E4096</f>
        <v>Cattle, Extensive</v>
      </c>
      <c r="F4096" s="147" t="str">
        <f>'Reported burning'!F4096</f>
        <v>Shrubland (Mixed forest &amp; grassland)</v>
      </c>
      <c r="G4096" s="147" t="str">
        <f>'Reported burning'!G4096</f>
        <v>Shrubland (Mixed forest &amp; grassland)</v>
      </c>
      <c r="H4096" s="147" t="str">
        <f>'Reported burning'!H4096</f>
        <v>Presence</v>
      </c>
      <c r="I4096" s="198"/>
      <c r="J4096" s="71" t="s">
        <v>2272</v>
      </c>
      <c r="K4096" s="71" t="s">
        <v>2272</v>
      </c>
      <c r="L4096" s="71" t="s">
        <v>2272</v>
      </c>
      <c r="M4096" s="71" t="s">
        <v>2272</v>
      </c>
      <c r="N4096" s="71" t="s">
        <v>2272</v>
      </c>
      <c r="O4096" s="71" t="s">
        <v>2272</v>
      </c>
      <c r="P4096" s="71" t="s">
        <v>2272</v>
      </c>
      <c r="Q4096" s="71" t="s">
        <v>2272</v>
      </c>
      <c r="R4096" s="71" t="s">
        <v>2272</v>
      </c>
      <c r="S4096" s="71" t="s">
        <v>2272</v>
      </c>
      <c r="T4096" s="71" t="s">
        <v>2272</v>
      </c>
      <c r="U4096" s="71" t="s">
        <v>2272</v>
      </c>
      <c r="V4096" s="71" t="s">
        <v>2272</v>
      </c>
      <c r="W4096" s="71" t="s">
        <v>2272</v>
      </c>
      <c r="X4096" s="71" t="s">
        <v>2272</v>
      </c>
      <c r="Y4096" s="198" t="s">
        <v>37</v>
      </c>
      <c r="Z4096" s="198" t="s">
        <v>67</v>
      </c>
      <c r="AA4096" s="71" t="s">
        <v>2272</v>
      </c>
      <c r="AB4096" s="198"/>
      <c r="AC4096" s="198"/>
    </row>
    <row r="4097" spans="1:29" ht="41" customHeight="1">
      <c r="A4097" s="147" t="str">
        <f>'Reported burning'!A4097</f>
        <v>451a</v>
      </c>
      <c r="B4097" s="147" t="str">
        <f>'Reported burning'!B4097</f>
        <v>451a.1</v>
      </c>
      <c r="C4097" s="147" t="str">
        <f>'Reported burning'!C4097</f>
        <v>Human, deliberate</v>
      </c>
      <c r="D4097" s="147" t="str">
        <f>'Reported burning'!D4097</f>
        <v>Conservation</v>
      </c>
      <c r="E4097" s="147" t="str">
        <f>'Reported burning'!E4097</f>
        <v>Cattle, Intensive</v>
      </c>
      <c r="F4097" s="147" t="str">
        <f>'Reported burning'!F4097</f>
        <v>Shrubland (Mixed forest &amp; grassland)</v>
      </c>
      <c r="G4097" s="147" t="str">
        <f>'Reported burning'!G4097</f>
        <v>Shrubland (Mixed forest &amp; grassland)</v>
      </c>
      <c r="H4097" s="147" t="str">
        <f>'Reported burning'!H4097</f>
        <v>Presence</v>
      </c>
      <c r="I4097" s="198"/>
      <c r="J4097" s="71" t="s">
        <v>2272</v>
      </c>
      <c r="K4097" s="71" t="s">
        <v>2272</v>
      </c>
      <c r="L4097" s="71" t="s">
        <v>2272</v>
      </c>
      <c r="M4097" s="71" t="s">
        <v>2272</v>
      </c>
      <c r="N4097" s="71" t="s">
        <v>2272</v>
      </c>
      <c r="O4097" s="71" t="s">
        <v>2272</v>
      </c>
      <c r="P4097" s="71" t="s">
        <v>2272</v>
      </c>
      <c r="Q4097" s="71" t="s">
        <v>2272</v>
      </c>
      <c r="R4097" s="71" t="s">
        <v>2272</v>
      </c>
      <c r="S4097" s="71" t="s">
        <v>2272</v>
      </c>
      <c r="T4097" s="71" t="s">
        <v>2272</v>
      </c>
      <c r="U4097" s="71" t="s">
        <v>2272</v>
      </c>
      <c r="V4097" s="71" t="s">
        <v>2272</v>
      </c>
      <c r="W4097" s="71" t="s">
        <v>2272</v>
      </c>
      <c r="X4097" s="71" t="s">
        <v>2272</v>
      </c>
      <c r="Y4097" s="71" t="s">
        <v>2272</v>
      </c>
      <c r="Z4097" s="71" t="s">
        <v>2272</v>
      </c>
      <c r="AA4097" s="71" t="s">
        <v>2272</v>
      </c>
      <c r="AB4097" s="198"/>
      <c r="AC4097" s="198"/>
    </row>
    <row r="4098" spans="1:29" ht="46.5" customHeight="1">
      <c r="A4098" s="151" t="str">
        <f>'Reported burning'!A4098</f>
        <v>452a</v>
      </c>
      <c r="B4098" s="151" t="str">
        <f>'Reported burning'!B4098</f>
        <v>452a.1</v>
      </c>
      <c r="C4098" s="151" t="str">
        <f>'Reported burning'!C4098</f>
        <v>Human, deliberate</v>
      </c>
      <c r="D4098" s="151" t="str">
        <f>'Reported burning'!D4098</f>
        <v>Conservation</v>
      </c>
      <c r="E4098" s="151" t="str">
        <f>'Reported burning'!E4098</f>
        <v>Biodiversity conservation</v>
      </c>
      <c r="F4098" s="151" t="str">
        <f>'Reported burning'!F4098</f>
        <v>Shrubland (Mixed forest &amp; grassland)</v>
      </c>
      <c r="G4098" s="151" t="str">
        <f>'Reported burning'!G4098</f>
        <v>Shrubland (Mixed forest &amp; grassland)</v>
      </c>
      <c r="H4098" s="151" t="str">
        <f>'Reported burning'!H4098</f>
        <v>Presence</v>
      </c>
      <c r="I4098" s="198"/>
      <c r="J4098" s="71" t="s">
        <v>2272</v>
      </c>
      <c r="K4098" s="71" t="s">
        <v>2272</v>
      </c>
      <c r="L4098" s="71" t="s">
        <v>2272</v>
      </c>
      <c r="M4098" s="71" t="s">
        <v>2272</v>
      </c>
      <c r="N4098" s="71" t="s">
        <v>2272</v>
      </c>
      <c r="O4098" s="71" t="s">
        <v>2272</v>
      </c>
      <c r="P4098" s="71" t="s">
        <v>2272</v>
      </c>
      <c r="Q4098" s="71" t="s">
        <v>2272</v>
      </c>
      <c r="R4098" s="71" t="s">
        <v>2272</v>
      </c>
      <c r="S4098" s="71" t="s">
        <v>2272</v>
      </c>
      <c r="T4098" s="71" t="s">
        <v>2272</v>
      </c>
      <c r="U4098" s="71" t="s">
        <v>2272</v>
      </c>
      <c r="V4098" s="71" t="s">
        <v>2272</v>
      </c>
      <c r="W4098" s="71" t="s">
        <v>2272</v>
      </c>
      <c r="X4098" s="21" t="s">
        <v>2397</v>
      </c>
      <c r="Y4098" s="71" t="s">
        <v>2272</v>
      </c>
      <c r="Z4098" s="71" t="s">
        <v>2272</v>
      </c>
      <c r="AA4098" s="71" t="s">
        <v>2272</v>
      </c>
      <c r="AB4098" s="198"/>
      <c r="AC4098" s="198"/>
    </row>
    <row r="4099" spans="1:29" ht="48" customHeight="1">
      <c r="A4099" s="147" t="str">
        <f>'Reported burning'!A4099</f>
        <v>453a</v>
      </c>
      <c r="B4099" s="147" t="str">
        <f>'Reported burning'!B4099</f>
        <v>453a.1</v>
      </c>
      <c r="C4099" s="147" t="str">
        <f>'Reported burning'!C4099</f>
        <v>Human, deliberate</v>
      </c>
      <c r="D4099" s="147" t="str">
        <f>'Reported burning'!D4099</f>
        <v>Crop residue burning</v>
      </c>
      <c r="E4099" s="147" t="str">
        <f>'Reported burning'!E4099</f>
        <v>Cropping, Intensive</v>
      </c>
      <c r="F4099" s="147" t="str">
        <f>'Reported burning'!F4099</f>
        <v>Cropland</v>
      </c>
      <c r="G4099" s="147" t="str">
        <f>'Reported burning'!G4099</f>
        <v>ND</v>
      </c>
      <c r="H4099" s="147" t="str">
        <f>'Reported burning'!H4099</f>
        <v>Presence</v>
      </c>
      <c r="I4099" s="198"/>
      <c r="J4099" s="71" t="s">
        <v>2272</v>
      </c>
      <c r="K4099" s="71" t="s">
        <v>2272</v>
      </c>
      <c r="L4099" s="71" t="s">
        <v>2272</v>
      </c>
      <c r="M4099" s="71" t="s">
        <v>2272</v>
      </c>
      <c r="N4099" s="71" t="s">
        <v>2272</v>
      </c>
      <c r="O4099" s="71" t="s">
        <v>2272</v>
      </c>
      <c r="P4099" s="71" t="s">
        <v>2272</v>
      </c>
      <c r="Q4099" s="71" t="s">
        <v>2272</v>
      </c>
      <c r="R4099" s="71" t="s">
        <v>2272</v>
      </c>
      <c r="S4099" s="71" t="s">
        <v>2272</v>
      </c>
      <c r="T4099" s="71" t="s">
        <v>2272</v>
      </c>
      <c r="U4099" s="71" t="s">
        <v>2272</v>
      </c>
      <c r="V4099" s="71" t="s">
        <v>2272</v>
      </c>
      <c r="W4099" s="71" t="s">
        <v>2272</v>
      </c>
      <c r="X4099" s="71" t="s">
        <v>2272</v>
      </c>
      <c r="Y4099" s="198" t="s">
        <v>187</v>
      </c>
      <c r="Z4099" s="198" t="s">
        <v>84</v>
      </c>
      <c r="AA4099" s="71" t="s">
        <v>2272</v>
      </c>
      <c r="AB4099" s="198"/>
      <c r="AC4099" s="198"/>
    </row>
    <row r="4100" spans="1:29" ht="48" customHeight="1">
      <c r="A4100" s="147" t="str">
        <f>'Reported burning'!A4100</f>
        <v>453a</v>
      </c>
      <c r="B4100" s="147" t="str">
        <f>'Reported burning'!B4100</f>
        <v>453a.2</v>
      </c>
      <c r="C4100" s="147" t="str">
        <f>'Reported burning'!C4100</f>
        <v>Human, deliberate</v>
      </c>
      <c r="D4100" s="147" t="str">
        <f>'Reported burning'!D4100</f>
        <v>Domestic</v>
      </c>
      <c r="E4100" s="147" t="str">
        <f>'Reported burning'!E4100</f>
        <v>Cropping, Intensive</v>
      </c>
      <c r="F4100" s="147" t="str">
        <f>'Reported burning'!F4100</f>
        <v>Cropland</v>
      </c>
      <c r="G4100" s="147" t="str">
        <f>'Reported burning'!G4100</f>
        <v>ND</v>
      </c>
      <c r="H4100" s="147" t="str">
        <f>'Reported burning'!H4100</f>
        <v>Presence</v>
      </c>
      <c r="I4100" s="198"/>
      <c r="J4100" s="71" t="s">
        <v>2272</v>
      </c>
      <c r="K4100" s="71" t="s">
        <v>2272</v>
      </c>
      <c r="L4100" s="71" t="s">
        <v>2272</v>
      </c>
      <c r="M4100" s="71" t="s">
        <v>2272</v>
      </c>
      <c r="N4100" s="71" t="s">
        <v>2272</v>
      </c>
      <c r="O4100" s="71" t="s">
        <v>2272</v>
      </c>
      <c r="P4100" s="71" t="s">
        <v>2272</v>
      </c>
      <c r="Q4100" s="71" t="s">
        <v>2272</v>
      </c>
      <c r="R4100" s="71" t="s">
        <v>2272</v>
      </c>
      <c r="S4100" s="71" t="s">
        <v>2272</v>
      </c>
      <c r="T4100" s="71" t="s">
        <v>2272</v>
      </c>
      <c r="U4100" s="71" t="s">
        <v>2272</v>
      </c>
      <c r="V4100" s="71" t="s">
        <v>2272</v>
      </c>
      <c r="W4100" s="71" t="s">
        <v>2272</v>
      </c>
      <c r="X4100" s="71" t="s">
        <v>2272</v>
      </c>
      <c r="Y4100" s="198" t="s">
        <v>397</v>
      </c>
      <c r="Z4100" s="198" t="s">
        <v>125</v>
      </c>
      <c r="AA4100" s="198" t="s">
        <v>2308</v>
      </c>
      <c r="AB4100" s="198" t="s">
        <v>10552</v>
      </c>
      <c r="AC4100" s="198"/>
    </row>
    <row r="4101" spans="1:29" s="197" customFormat="1" ht="48" customHeight="1">
      <c r="A4101" s="147" t="str">
        <f>'Reported burning'!A4101</f>
        <v>453a</v>
      </c>
      <c r="B4101" s="147" t="str">
        <f>'Reported burning'!B4101</f>
        <v>453a.3</v>
      </c>
      <c r="C4101" s="147" t="str">
        <f>'Reported burning'!C4101</f>
        <v>Human, deliberate</v>
      </c>
      <c r="D4101" s="147" t="str">
        <f>'Reported burning'!D4101</f>
        <v>Crop field preparation</v>
      </c>
      <c r="E4101" s="147" t="str">
        <f>'Reported burning'!E4101</f>
        <v>Cropping, Intensive</v>
      </c>
      <c r="F4101" s="147" t="str">
        <f>'Reported burning'!F4101</f>
        <v>Cropland</v>
      </c>
      <c r="G4101" s="147" t="str">
        <f>'Reported burning'!G4101</f>
        <v>ND</v>
      </c>
      <c r="H4101" s="147" t="str">
        <f>'Reported burning'!H4101</f>
        <v>Presence</v>
      </c>
      <c r="I4101" s="198"/>
      <c r="J4101" s="71" t="s">
        <v>2272</v>
      </c>
      <c r="K4101" s="71" t="s">
        <v>2272</v>
      </c>
      <c r="L4101" s="71" t="s">
        <v>2272</v>
      </c>
      <c r="M4101" s="71" t="s">
        <v>2272</v>
      </c>
      <c r="N4101" s="71" t="s">
        <v>2272</v>
      </c>
      <c r="O4101" s="71" t="s">
        <v>2272</v>
      </c>
      <c r="P4101" s="71" t="s">
        <v>2272</v>
      </c>
      <c r="Q4101" s="71" t="s">
        <v>2272</v>
      </c>
      <c r="R4101" s="71" t="s">
        <v>2272</v>
      </c>
      <c r="S4101" s="71" t="s">
        <v>2272</v>
      </c>
      <c r="T4101" s="71" t="s">
        <v>2272</v>
      </c>
      <c r="U4101" s="71" t="s">
        <v>2272</v>
      </c>
      <c r="V4101" s="71" t="s">
        <v>2272</v>
      </c>
      <c r="W4101" s="71" t="s">
        <v>2272</v>
      </c>
      <c r="X4101" s="71" t="s">
        <v>2272</v>
      </c>
      <c r="Y4101" s="198" t="s">
        <v>423</v>
      </c>
      <c r="Z4101" s="198" t="s">
        <v>34</v>
      </c>
      <c r="AA4101" s="71" t="s">
        <v>2272</v>
      </c>
      <c r="AB4101" s="4" t="s">
        <v>10541</v>
      </c>
      <c r="AC4101" s="198"/>
    </row>
    <row r="4102" spans="1:29" s="197" customFormat="1" ht="48" customHeight="1">
      <c r="A4102" s="147" t="str">
        <f>'Reported burning'!A4102</f>
        <v>453a</v>
      </c>
      <c r="B4102" s="147" t="str">
        <f>'Reported burning'!B4102</f>
        <v>453a.4</v>
      </c>
      <c r="C4102" s="147" t="str">
        <f>'Reported burning'!C4102</f>
        <v>Human, deliberate</v>
      </c>
      <c r="D4102" s="147" t="str">
        <f>'Reported burning'!D4102</f>
        <v>Harvesting of Timber</v>
      </c>
      <c r="E4102" s="147" t="str">
        <f>'Reported burning'!E4102</f>
        <v>Forestry, Industrial</v>
      </c>
      <c r="F4102" s="147" t="str">
        <f>'Reported burning'!F4102</f>
        <v>Plantation forest</v>
      </c>
      <c r="G4102" s="147" t="str">
        <f>'Reported burning'!G4102</f>
        <v>ND</v>
      </c>
      <c r="H4102" s="147" t="str">
        <f>'Reported burning'!H4102</f>
        <v>Presence</v>
      </c>
      <c r="I4102" s="198"/>
      <c r="J4102" s="71" t="s">
        <v>2272</v>
      </c>
      <c r="K4102" s="71" t="s">
        <v>2272</v>
      </c>
      <c r="L4102" s="71" t="s">
        <v>2272</v>
      </c>
      <c r="M4102" s="71" t="s">
        <v>2272</v>
      </c>
      <c r="N4102" s="71" t="s">
        <v>2272</v>
      </c>
      <c r="O4102" s="71" t="s">
        <v>2272</v>
      </c>
      <c r="P4102" s="71" t="s">
        <v>2272</v>
      </c>
      <c r="Q4102" s="71" t="s">
        <v>2272</v>
      </c>
      <c r="R4102" s="71" t="s">
        <v>2272</v>
      </c>
      <c r="S4102" s="71" t="s">
        <v>2272</v>
      </c>
      <c r="T4102" s="71" t="s">
        <v>2272</v>
      </c>
      <c r="U4102" s="71" t="s">
        <v>2272</v>
      </c>
      <c r="V4102" s="71" t="s">
        <v>2272</v>
      </c>
      <c r="W4102" s="71" t="s">
        <v>2272</v>
      </c>
      <c r="X4102" s="71" t="s">
        <v>2272</v>
      </c>
      <c r="Y4102" s="198" t="s">
        <v>187</v>
      </c>
      <c r="Z4102" s="198" t="s">
        <v>423</v>
      </c>
      <c r="AA4102" s="71" t="s">
        <v>2272</v>
      </c>
      <c r="AB4102" s="18" t="s">
        <v>10545</v>
      </c>
      <c r="AC4102" s="198"/>
    </row>
    <row r="4103" spans="1:29" s="197" customFormat="1" ht="48" customHeight="1">
      <c r="A4103" s="147" t="str">
        <f>'Reported burning'!A4103</f>
        <v>453a</v>
      </c>
      <c r="B4103" s="147" t="str">
        <f>'Reported burning'!B4103</f>
        <v>453a.5</v>
      </c>
      <c r="C4103" s="147" t="str">
        <f>'Reported burning'!C4103</f>
        <v>Human, deliberate</v>
      </c>
      <c r="D4103" s="147" t="str">
        <f>'Reported burning'!D4103</f>
        <v>Domestic</v>
      </c>
      <c r="E4103" s="147" t="str">
        <f>'Reported burning'!E4103</f>
        <v>Forestry, Industrial</v>
      </c>
      <c r="F4103" s="147" t="str">
        <f>'Reported burning'!F4103</f>
        <v>Plantation forest</v>
      </c>
      <c r="G4103" s="147" t="str">
        <f>'Reported burning'!G4103</f>
        <v>ND</v>
      </c>
      <c r="H4103" s="147" t="str">
        <f>'Reported burning'!H4103</f>
        <v>Presence</v>
      </c>
      <c r="I4103" s="198"/>
      <c r="J4103" s="71" t="s">
        <v>2272</v>
      </c>
      <c r="K4103" s="71" t="s">
        <v>2272</v>
      </c>
      <c r="L4103" s="71" t="s">
        <v>2272</v>
      </c>
      <c r="M4103" s="71" t="s">
        <v>2272</v>
      </c>
      <c r="N4103" s="71" t="s">
        <v>2272</v>
      </c>
      <c r="O4103" s="71" t="s">
        <v>2272</v>
      </c>
      <c r="P4103" s="71" t="s">
        <v>2272</v>
      </c>
      <c r="Q4103" s="71" t="s">
        <v>2272</v>
      </c>
      <c r="R4103" s="71" t="s">
        <v>2272</v>
      </c>
      <c r="S4103" s="71" t="s">
        <v>2272</v>
      </c>
      <c r="T4103" s="71" t="s">
        <v>2272</v>
      </c>
      <c r="U4103" s="71" t="s">
        <v>2272</v>
      </c>
      <c r="V4103" s="71" t="s">
        <v>2272</v>
      </c>
      <c r="W4103" s="71" t="s">
        <v>2272</v>
      </c>
      <c r="X4103" s="71" t="s">
        <v>2272</v>
      </c>
      <c r="Y4103" s="198" t="s">
        <v>187</v>
      </c>
      <c r="Z4103" s="198" t="s">
        <v>423</v>
      </c>
      <c r="AA4103" s="71" t="s">
        <v>2272</v>
      </c>
      <c r="AB4103" s="18" t="s">
        <v>10547</v>
      </c>
      <c r="AC4103" s="198"/>
    </row>
    <row r="4104" spans="1:29" s="197" customFormat="1" ht="48" customHeight="1">
      <c r="A4104" s="147" t="str">
        <f>'Reported burning'!A4104</f>
        <v>453a</v>
      </c>
      <c r="B4104" s="147" t="str">
        <f>'Reported burning'!B4104</f>
        <v>453a.6</v>
      </c>
      <c r="C4104" s="147" t="str">
        <f>'Reported burning'!C4104</f>
        <v>Human, deliberate</v>
      </c>
      <c r="D4104" s="147" t="str">
        <f>'Reported burning'!D4104</f>
        <v>Land clearance</v>
      </c>
      <c r="E4104" s="147" t="str">
        <f>'Reported burning'!E4104</f>
        <v>Forestry, Industrial</v>
      </c>
      <c r="F4104" s="147" t="str">
        <f>'Reported burning'!F4104</f>
        <v>Plantation forest</v>
      </c>
      <c r="G4104" s="147" t="str">
        <f>'Reported burning'!G4104</f>
        <v>ND</v>
      </c>
      <c r="H4104" s="147" t="str">
        <f>'Reported burning'!H4104</f>
        <v>Presence</v>
      </c>
      <c r="I4104" s="198"/>
      <c r="J4104" s="71" t="s">
        <v>2272</v>
      </c>
      <c r="K4104" s="71" t="s">
        <v>2272</v>
      </c>
      <c r="L4104" s="71" t="s">
        <v>2272</v>
      </c>
      <c r="M4104" s="71" t="s">
        <v>2272</v>
      </c>
      <c r="N4104" s="71" t="s">
        <v>2272</v>
      </c>
      <c r="O4104" s="71" t="s">
        <v>2272</v>
      </c>
      <c r="P4104" s="71" t="s">
        <v>2272</v>
      </c>
      <c r="Q4104" s="71" t="s">
        <v>2272</v>
      </c>
      <c r="R4104" s="71" t="s">
        <v>2272</v>
      </c>
      <c r="S4104" s="71" t="s">
        <v>2272</v>
      </c>
      <c r="T4104" s="71" t="s">
        <v>2272</v>
      </c>
      <c r="U4104" s="71" t="s">
        <v>2272</v>
      </c>
      <c r="V4104" s="71" t="s">
        <v>2272</v>
      </c>
      <c r="W4104" s="71" t="s">
        <v>2272</v>
      </c>
      <c r="X4104" s="71" t="s">
        <v>2272</v>
      </c>
      <c r="Y4104" s="198" t="s">
        <v>187</v>
      </c>
      <c r="Z4104" s="198" t="s">
        <v>423</v>
      </c>
      <c r="AA4104" s="71" t="s">
        <v>2272</v>
      </c>
      <c r="AB4104" s="198" t="s">
        <v>10546</v>
      </c>
      <c r="AC4104" s="198"/>
    </row>
    <row r="4105" spans="1:29" s="197" customFormat="1" ht="48" customHeight="1">
      <c r="A4105" s="147" t="str">
        <f>'Reported burning'!A4105</f>
        <v>453a</v>
      </c>
      <c r="B4105" s="147" t="str">
        <f>'Reported burning'!B4105</f>
        <v>453a.7</v>
      </c>
      <c r="C4105" s="147" t="str">
        <f>'Reported burning'!C4105</f>
        <v>Human, deliberate</v>
      </c>
      <c r="D4105" s="147" t="str">
        <f>'Reported burning'!D4105</f>
        <v>Land clearance</v>
      </c>
      <c r="E4105" s="147" t="str">
        <f>'Reported burning'!E4105</f>
        <v>Cattle, Extensive</v>
      </c>
      <c r="F4105" s="147" t="str">
        <f>'Reported burning'!F4105</f>
        <v>Grassland</v>
      </c>
      <c r="G4105" s="147" t="str">
        <f>'Reported burning'!G4105</f>
        <v>ND</v>
      </c>
      <c r="H4105" s="147" t="str">
        <f>'Reported burning'!H4105</f>
        <v>Presence</v>
      </c>
      <c r="I4105" s="198"/>
      <c r="J4105" s="71" t="s">
        <v>2272</v>
      </c>
      <c r="K4105" s="71" t="s">
        <v>2272</v>
      </c>
      <c r="L4105" s="71" t="s">
        <v>2272</v>
      </c>
      <c r="M4105" s="71" t="s">
        <v>2272</v>
      </c>
      <c r="N4105" s="71" t="s">
        <v>2272</v>
      </c>
      <c r="O4105" s="71" t="s">
        <v>2272</v>
      </c>
      <c r="P4105" s="71" t="s">
        <v>2272</v>
      </c>
      <c r="Q4105" s="71" t="s">
        <v>2272</v>
      </c>
      <c r="R4105" s="71" t="s">
        <v>2272</v>
      </c>
      <c r="S4105" s="71" t="s">
        <v>2272</v>
      </c>
      <c r="T4105" s="71" t="s">
        <v>2272</v>
      </c>
      <c r="U4105" s="71" t="s">
        <v>2272</v>
      </c>
      <c r="V4105" s="71" t="s">
        <v>2272</v>
      </c>
      <c r="W4105" s="71" t="s">
        <v>2272</v>
      </c>
      <c r="X4105" s="71" t="s">
        <v>2272</v>
      </c>
      <c r="Y4105" s="198" t="s">
        <v>397</v>
      </c>
      <c r="Z4105" s="198" t="s">
        <v>125</v>
      </c>
      <c r="AA4105" s="198" t="s">
        <v>2308</v>
      </c>
      <c r="AB4105" s="198"/>
      <c r="AC4105" s="198"/>
    </row>
    <row r="4106" spans="1:29" s="197" customFormat="1" ht="48" customHeight="1">
      <c r="A4106" s="147" t="str">
        <f>'Reported burning'!A4106</f>
        <v>453a</v>
      </c>
      <c r="B4106" s="147" t="str">
        <f>'Reported burning'!B4106</f>
        <v>453a.8</v>
      </c>
      <c r="C4106" s="147" t="str">
        <f>'Reported burning'!C4106</f>
        <v>Human, deliberate</v>
      </c>
      <c r="D4106" s="147" t="str">
        <f>'Reported burning'!D4106</f>
        <v>Domestic</v>
      </c>
      <c r="E4106" s="147" t="str">
        <f>'Reported burning'!E4106</f>
        <v>Cattle, Extensive</v>
      </c>
      <c r="F4106" s="147" t="str">
        <f>'Reported burning'!F4106</f>
        <v>Grassland</v>
      </c>
      <c r="G4106" s="147" t="str">
        <f>'Reported burning'!G4106</f>
        <v>ND</v>
      </c>
      <c r="H4106" s="147" t="str">
        <f>'Reported burning'!H4106</f>
        <v>Presence</v>
      </c>
      <c r="I4106" s="198"/>
      <c r="J4106" s="71" t="s">
        <v>2272</v>
      </c>
      <c r="K4106" s="71" t="s">
        <v>2272</v>
      </c>
      <c r="L4106" s="71" t="s">
        <v>2272</v>
      </c>
      <c r="M4106" s="71" t="s">
        <v>2272</v>
      </c>
      <c r="N4106" s="71" t="s">
        <v>2272</v>
      </c>
      <c r="O4106" s="71" t="s">
        <v>2272</v>
      </c>
      <c r="P4106" s="71" t="s">
        <v>2272</v>
      </c>
      <c r="Q4106" s="71" t="s">
        <v>2272</v>
      </c>
      <c r="R4106" s="71" t="s">
        <v>2272</v>
      </c>
      <c r="S4106" s="71" t="s">
        <v>2272</v>
      </c>
      <c r="T4106" s="71" t="s">
        <v>2272</v>
      </c>
      <c r="U4106" s="71" t="s">
        <v>2272</v>
      </c>
      <c r="V4106" s="71" t="s">
        <v>2272</v>
      </c>
      <c r="W4106" s="71" t="s">
        <v>2272</v>
      </c>
      <c r="X4106" s="71" t="s">
        <v>2272</v>
      </c>
      <c r="Y4106" s="198" t="s">
        <v>397</v>
      </c>
      <c r="Z4106" s="198" t="s">
        <v>125</v>
      </c>
      <c r="AA4106" s="198" t="s">
        <v>2308</v>
      </c>
      <c r="AB4106" s="198" t="s">
        <v>10553</v>
      </c>
      <c r="AC4106" s="198"/>
    </row>
    <row r="4107" spans="1:29" s="197" customFormat="1" ht="48" customHeight="1">
      <c r="A4107" s="147" t="str">
        <f>'Reported burning'!A4107</f>
        <v>453a</v>
      </c>
      <c r="B4107" s="147" t="str">
        <f>'Reported burning'!B4107</f>
        <v>453a.9</v>
      </c>
      <c r="C4107" s="147" t="str">
        <f>'Reported burning'!C4107</f>
        <v>Human, deliberate</v>
      </c>
      <c r="D4107" s="147" t="str">
        <f>'Reported burning'!D4107</f>
        <v>Rangeland management</v>
      </c>
      <c r="E4107" s="147" t="str">
        <f>'Reported burning'!E4107</f>
        <v>Cattle, Extensive</v>
      </c>
      <c r="F4107" s="147" t="str">
        <f>'Reported burning'!F4107</f>
        <v>Grassland</v>
      </c>
      <c r="G4107" s="147" t="str">
        <f>'Reported burning'!G4107</f>
        <v>ND</v>
      </c>
      <c r="H4107" s="147" t="str">
        <f>'Reported burning'!H4107</f>
        <v>Presence</v>
      </c>
      <c r="I4107" s="198"/>
      <c r="J4107" s="71" t="s">
        <v>2272</v>
      </c>
      <c r="K4107" s="71" t="s">
        <v>2272</v>
      </c>
      <c r="L4107" s="71" t="s">
        <v>2272</v>
      </c>
      <c r="M4107" s="71" t="s">
        <v>2272</v>
      </c>
      <c r="N4107" s="71" t="s">
        <v>2272</v>
      </c>
      <c r="O4107" s="71" t="s">
        <v>2272</v>
      </c>
      <c r="P4107" s="71" t="s">
        <v>2272</v>
      </c>
      <c r="Q4107" s="71" t="s">
        <v>2272</v>
      </c>
      <c r="R4107" s="71" t="s">
        <v>2272</v>
      </c>
      <c r="S4107" s="71" t="s">
        <v>2272</v>
      </c>
      <c r="T4107" s="71" t="s">
        <v>2272</v>
      </c>
      <c r="U4107" s="71" t="s">
        <v>2272</v>
      </c>
      <c r="V4107" s="71" t="s">
        <v>2272</v>
      </c>
      <c r="W4107" s="71" t="s">
        <v>2272</v>
      </c>
      <c r="X4107" s="71" t="s">
        <v>2272</v>
      </c>
      <c r="Y4107" s="198" t="s">
        <v>397</v>
      </c>
      <c r="Z4107" s="198" t="s">
        <v>125</v>
      </c>
      <c r="AA4107" s="198" t="s">
        <v>2308</v>
      </c>
      <c r="AB4107" s="198"/>
      <c r="AC4107" s="198"/>
    </row>
    <row r="4108" spans="1:29" s="197" customFormat="1" ht="48" customHeight="1">
      <c r="A4108" s="147" t="str">
        <f>'Reported burning'!A4108</f>
        <v>453a</v>
      </c>
      <c r="B4108" s="147" t="str">
        <f>'Reported burning'!B4108</f>
        <v>453a.10</v>
      </c>
      <c r="C4108" s="147" t="str">
        <f>'Reported burning'!C4108</f>
        <v>Human, deliberate</v>
      </c>
      <c r="D4108" s="147" t="str">
        <f>'Reported burning'!D4108</f>
        <v>Crop residue burning</v>
      </c>
      <c r="E4108" s="147" t="str">
        <f>'Reported burning'!E4108</f>
        <v>Cattle, Extensive</v>
      </c>
      <c r="F4108" s="147" t="str">
        <f>'Reported burning'!F4108</f>
        <v>Grassland</v>
      </c>
      <c r="G4108" s="147" t="str">
        <f>'Reported burning'!G4108</f>
        <v>ND</v>
      </c>
      <c r="H4108" s="147" t="str">
        <f>'Reported burning'!H4108</f>
        <v>Presence</v>
      </c>
      <c r="I4108" s="198"/>
      <c r="J4108" s="71" t="s">
        <v>2272</v>
      </c>
      <c r="K4108" s="71" t="s">
        <v>2272</v>
      </c>
      <c r="L4108" s="71" t="s">
        <v>2272</v>
      </c>
      <c r="M4108" s="71" t="s">
        <v>2272</v>
      </c>
      <c r="N4108" s="71" t="s">
        <v>2272</v>
      </c>
      <c r="O4108" s="71" t="s">
        <v>2272</v>
      </c>
      <c r="P4108" s="71" t="s">
        <v>2272</v>
      </c>
      <c r="Q4108" s="71" t="s">
        <v>2272</v>
      </c>
      <c r="R4108" s="71" t="s">
        <v>2272</v>
      </c>
      <c r="S4108" s="71" t="s">
        <v>2272</v>
      </c>
      <c r="T4108" s="71" t="s">
        <v>2272</v>
      </c>
      <c r="U4108" s="71" t="s">
        <v>2272</v>
      </c>
      <c r="V4108" s="71" t="s">
        <v>2272</v>
      </c>
      <c r="W4108" s="71" t="s">
        <v>2272</v>
      </c>
      <c r="X4108" s="71" t="s">
        <v>2272</v>
      </c>
      <c r="Y4108" s="198" t="s">
        <v>397</v>
      </c>
      <c r="Z4108" s="198" t="s">
        <v>125</v>
      </c>
      <c r="AA4108" s="198" t="s">
        <v>2308</v>
      </c>
      <c r="AB4108" s="198"/>
      <c r="AC4108" s="198"/>
    </row>
    <row r="4109" spans="1:29" s="197" customFormat="1" ht="48" customHeight="1">
      <c r="A4109" s="147" t="str">
        <f>'Reported burning'!A4109</f>
        <v>453a</v>
      </c>
      <c r="B4109" s="147" t="str">
        <f>'Reported burning'!B4109</f>
        <v>453a.11</v>
      </c>
      <c r="C4109" s="147" t="str">
        <f>'Reported burning'!C4109</f>
        <v>Human, deliberate</v>
      </c>
      <c r="D4109" s="147" t="str">
        <f>'Reported burning'!D4109</f>
        <v>Pyrome management</v>
      </c>
      <c r="E4109" s="147" t="str">
        <f>'Reported burning'!E4109</f>
        <v>Cattle, Extensive</v>
      </c>
      <c r="F4109" s="147" t="str">
        <f>'Reported burning'!F4109</f>
        <v>Grassland</v>
      </c>
      <c r="G4109" s="147" t="str">
        <f>'Reported burning'!G4109</f>
        <v>ND</v>
      </c>
      <c r="H4109" s="147" t="str">
        <f>'Reported burning'!H4109</f>
        <v>Presence</v>
      </c>
      <c r="I4109" s="198"/>
      <c r="J4109" s="71" t="s">
        <v>2272</v>
      </c>
      <c r="K4109" s="71" t="s">
        <v>2272</v>
      </c>
      <c r="L4109" s="71" t="s">
        <v>2272</v>
      </c>
      <c r="M4109" s="71" t="s">
        <v>2272</v>
      </c>
      <c r="N4109" s="71" t="s">
        <v>2272</v>
      </c>
      <c r="O4109" s="71" t="s">
        <v>2272</v>
      </c>
      <c r="P4109" s="71" t="s">
        <v>2272</v>
      </c>
      <c r="Q4109" s="71" t="s">
        <v>2272</v>
      </c>
      <c r="R4109" s="71" t="s">
        <v>2272</v>
      </c>
      <c r="S4109" s="71" t="s">
        <v>2272</v>
      </c>
      <c r="T4109" s="71" t="s">
        <v>2272</v>
      </c>
      <c r="U4109" s="71" t="s">
        <v>2272</v>
      </c>
      <c r="V4109" s="71" t="s">
        <v>2272</v>
      </c>
      <c r="W4109" s="71" t="s">
        <v>2272</v>
      </c>
      <c r="X4109" s="71" t="s">
        <v>2272</v>
      </c>
      <c r="Y4109" s="198" t="s">
        <v>187</v>
      </c>
      <c r="Z4109" s="198" t="s">
        <v>423</v>
      </c>
      <c r="AA4109" s="198"/>
      <c r="AB4109" s="198"/>
      <c r="AC4109" s="198"/>
    </row>
    <row r="4110" spans="1:29" s="197" customFormat="1" ht="48" customHeight="1">
      <c r="A4110" s="147" t="str">
        <f>'Reported burning'!A4110</f>
        <v>453a</v>
      </c>
      <c r="B4110" s="147" t="str">
        <f>'Reported burning'!B4110</f>
        <v>453a.12</v>
      </c>
      <c r="C4110" s="147" t="str">
        <f>'Reported burning'!C4110</f>
        <v>Human, deliberate</v>
      </c>
      <c r="D4110" s="147" t="str">
        <f>'Reported burning'!D4110</f>
        <v>Land clearance</v>
      </c>
      <c r="E4110" s="147" t="str">
        <f>'Reported burning'!E4110</f>
        <v>Cropping, Agroecology</v>
      </c>
      <c r="F4110" s="147" t="str">
        <f>'Reported burning'!F4110</f>
        <v>Cropland</v>
      </c>
      <c r="G4110" s="147" t="str">
        <f>'Reported burning'!G4110</f>
        <v>ND</v>
      </c>
      <c r="H4110" s="147" t="str">
        <f>'Reported burning'!H4110</f>
        <v>Presence</v>
      </c>
      <c r="I4110" s="198"/>
      <c r="J4110" s="71" t="s">
        <v>2272</v>
      </c>
      <c r="K4110" s="71" t="s">
        <v>2272</v>
      </c>
      <c r="L4110" s="71" t="s">
        <v>2272</v>
      </c>
      <c r="M4110" s="71" t="s">
        <v>2272</v>
      </c>
      <c r="N4110" s="71" t="s">
        <v>2272</v>
      </c>
      <c r="O4110" s="71" t="s">
        <v>2272</v>
      </c>
      <c r="P4110" s="71" t="s">
        <v>2272</v>
      </c>
      <c r="Q4110" s="71" t="s">
        <v>2272</v>
      </c>
      <c r="R4110" s="71" t="s">
        <v>2272</v>
      </c>
      <c r="S4110" s="71" t="s">
        <v>2272</v>
      </c>
      <c r="T4110" s="71" t="s">
        <v>2272</v>
      </c>
      <c r="U4110" s="71" t="s">
        <v>2272</v>
      </c>
      <c r="V4110" s="71" t="s">
        <v>2272</v>
      </c>
      <c r="W4110" s="71" t="s">
        <v>2272</v>
      </c>
      <c r="X4110" s="71" t="s">
        <v>2272</v>
      </c>
      <c r="Y4110" s="198" t="s">
        <v>423</v>
      </c>
      <c r="Z4110" s="198" t="s">
        <v>34</v>
      </c>
      <c r="AA4110" s="71" t="s">
        <v>2272</v>
      </c>
      <c r="AB4110" s="198"/>
      <c r="AC4110" s="198"/>
    </row>
    <row r="4111" spans="1:29" s="197" customFormat="1" ht="48" customHeight="1">
      <c r="A4111" s="147" t="str">
        <f>'Reported burning'!A4111</f>
        <v>453a</v>
      </c>
      <c r="B4111" s="147" t="str">
        <f>'Reported burning'!B4111</f>
        <v>453a.13</v>
      </c>
      <c r="C4111" s="147" t="str">
        <f>'Reported burning'!C4111</f>
        <v>Human, deliberate</v>
      </c>
      <c r="D4111" s="147" t="str">
        <f>'Reported burning'!D4111</f>
        <v>Domestic</v>
      </c>
      <c r="E4111" s="147" t="str">
        <f>'Reported burning'!E4111</f>
        <v>Cropping, Agroecology</v>
      </c>
      <c r="F4111" s="147" t="str">
        <f>'Reported burning'!F4111</f>
        <v>Cropland</v>
      </c>
      <c r="G4111" s="147" t="str">
        <f>'Reported burning'!G4111</f>
        <v>ND</v>
      </c>
      <c r="H4111" s="147" t="str">
        <f>'Reported burning'!H4111</f>
        <v>Presence</v>
      </c>
      <c r="I4111" s="198"/>
      <c r="J4111" s="71" t="s">
        <v>2272</v>
      </c>
      <c r="K4111" s="71" t="s">
        <v>2272</v>
      </c>
      <c r="L4111" s="71" t="s">
        <v>2272</v>
      </c>
      <c r="M4111" s="71" t="s">
        <v>2272</v>
      </c>
      <c r="N4111" s="71" t="s">
        <v>2272</v>
      </c>
      <c r="O4111" s="71" t="s">
        <v>2272</v>
      </c>
      <c r="P4111" s="71" t="s">
        <v>2272</v>
      </c>
      <c r="Q4111" s="71" t="s">
        <v>2272</v>
      </c>
      <c r="R4111" s="71" t="s">
        <v>2272</v>
      </c>
      <c r="S4111" s="71" t="s">
        <v>2272</v>
      </c>
      <c r="T4111" s="71" t="s">
        <v>2272</v>
      </c>
      <c r="U4111" s="71" t="s">
        <v>2272</v>
      </c>
      <c r="V4111" s="71" t="s">
        <v>2272</v>
      </c>
      <c r="W4111" s="71" t="s">
        <v>2272</v>
      </c>
      <c r="X4111" s="71" t="s">
        <v>2272</v>
      </c>
      <c r="Y4111" s="198" t="s">
        <v>423</v>
      </c>
      <c r="Z4111" s="198" t="s">
        <v>34</v>
      </c>
      <c r="AA4111" s="71" t="s">
        <v>2272</v>
      </c>
      <c r="AB4111" s="198" t="s">
        <v>10553</v>
      </c>
      <c r="AC4111" s="198"/>
    </row>
    <row r="4112" spans="1:29" s="197" customFormat="1" ht="48" customHeight="1">
      <c r="A4112" s="147" t="str">
        <f>'Reported burning'!A4112</f>
        <v>453a</v>
      </c>
      <c r="B4112" s="147" t="str">
        <f>'Reported burning'!B4112</f>
        <v>453a.14</v>
      </c>
      <c r="C4112" s="147" t="str">
        <f>'Reported burning'!C4112</f>
        <v>Human, deliberate</v>
      </c>
      <c r="D4112" s="147" t="str">
        <f>'Reported burning'!D4112</f>
        <v>Rangeland management</v>
      </c>
      <c r="E4112" s="147" t="str">
        <f>'Reported burning'!E4112</f>
        <v>Cropping, Agroecology</v>
      </c>
      <c r="F4112" s="147" t="str">
        <f>'Reported burning'!F4112</f>
        <v>Grassland</v>
      </c>
      <c r="G4112" s="147" t="str">
        <f>'Reported burning'!G4112</f>
        <v>ND</v>
      </c>
      <c r="H4112" s="147" t="str">
        <f>'Reported burning'!H4112</f>
        <v>Presence</v>
      </c>
      <c r="I4112" s="198"/>
      <c r="J4112" s="71" t="s">
        <v>2272</v>
      </c>
      <c r="K4112" s="71" t="s">
        <v>2272</v>
      </c>
      <c r="L4112" s="71" t="s">
        <v>2272</v>
      </c>
      <c r="M4112" s="71" t="s">
        <v>2272</v>
      </c>
      <c r="N4112" s="71" t="s">
        <v>2272</v>
      </c>
      <c r="O4112" s="71" t="s">
        <v>2272</v>
      </c>
      <c r="P4112" s="71" t="s">
        <v>2272</v>
      </c>
      <c r="Q4112" s="71" t="s">
        <v>2272</v>
      </c>
      <c r="R4112" s="71" t="s">
        <v>2272</v>
      </c>
      <c r="S4112" s="71" t="s">
        <v>2272</v>
      </c>
      <c r="T4112" s="71" t="s">
        <v>2272</v>
      </c>
      <c r="U4112" s="71" t="s">
        <v>2272</v>
      </c>
      <c r="V4112" s="71" t="s">
        <v>2272</v>
      </c>
      <c r="W4112" s="71" t="s">
        <v>2272</v>
      </c>
      <c r="X4112" s="71" t="s">
        <v>2272</v>
      </c>
      <c r="Y4112" s="198" t="s">
        <v>423</v>
      </c>
      <c r="Z4112" s="198" t="s">
        <v>34</v>
      </c>
      <c r="AA4112" s="71" t="s">
        <v>2272</v>
      </c>
      <c r="AB4112" s="198"/>
      <c r="AC4112" s="198"/>
    </row>
    <row r="4113" spans="1:29" s="197" customFormat="1" ht="48" customHeight="1">
      <c r="A4113" s="147" t="str">
        <f>'Reported burning'!A4113</f>
        <v>453a</v>
      </c>
      <c r="B4113" s="147" t="str">
        <f>'Reported burning'!B4113</f>
        <v>453a.15</v>
      </c>
      <c r="C4113" s="147" t="str">
        <f>'Reported burning'!C4113</f>
        <v>Human, deliberate</v>
      </c>
      <c r="D4113" s="147" t="str">
        <f>'Reported burning'!D4113</f>
        <v>All</v>
      </c>
      <c r="E4113" s="147" t="str">
        <f>'Reported burning'!E4113</f>
        <v>Cropping, Intensive</v>
      </c>
      <c r="F4113" s="147" t="str">
        <f>'Reported burning'!F4113</f>
        <v>ND</v>
      </c>
      <c r="G4113" s="147" t="str">
        <f>'Reported burning'!G4113</f>
        <v>ND</v>
      </c>
      <c r="H4113" s="147" t="str">
        <f>'Reported burning'!H4113</f>
        <v>Presence</v>
      </c>
      <c r="I4113" s="198"/>
      <c r="J4113" s="71" t="s">
        <v>2272</v>
      </c>
      <c r="K4113" s="71" t="s">
        <v>2272</v>
      </c>
      <c r="L4113" s="71" t="s">
        <v>2272</v>
      </c>
      <c r="M4113" s="71" t="s">
        <v>2272</v>
      </c>
      <c r="N4113" s="71" t="s">
        <v>2272</v>
      </c>
      <c r="O4113" s="71" t="s">
        <v>2272</v>
      </c>
      <c r="P4113" s="71" t="s">
        <v>2272</v>
      </c>
      <c r="Q4113" s="21" t="s">
        <v>2373</v>
      </c>
      <c r="R4113" s="71" t="s">
        <v>2272</v>
      </c>
      <c r="S4113" s="71" t="s">
        <v>2272</v>
      </c>
      <c r="T4113" s="71" t="s">
        <v>2272</v>
      </c>
      <c r="U4113" s="71" t="s">
        <v>2272</v>
      </c>
      <c r="V4113" s="71" t="s">
        <v>2272</v>
      </c>
      <c r="W4113" s="71" t="s">
        <v>2272</v>
      </c>
      <c r="X4113" s="71" t="s">
        <v>2272</v>
      </c>
      <c r="Y4113" s="71" t="s">
        <v>2272</v>
      </c>
      <c r="Z4113" s="71" t="s">
        <v>2272</v>
      </c>
      <c r="AA4113" s="71" t="s">
        <v>2272</v>
      </c>
      <c r="AB4113" s="198"/>
      <c r="AC4113" s="198"/>
    </row>
    <row r="4114" spans="1:29" s="197" customFormat="1" ht="48" customHeight="1">
      <c r="A4114" s="147" t="str">
        <f>'Reported burning'!A4114</f>
        <v>453a</v>
      </c>
      <c r="B4114" s="147" t="str">
        <f>'Reported burning'!B4114</f>
        <v>453a.16</v>
      </c>
      <c r="C4114" s="147" t="str">
        <f>'Reported burning'!C4114</f>
        <v>Human, deliberate</v>
      </c>
      <c r="D4114" s="147" t="str">
        <f>'Reported burning'!D4114</f>
        <v>All</v>
      </c>
      <c r="E4114" s="147" t="str">
        <f>'Reported burning'!E4114</f>
        <v>Forestry, Industrial</v>
      </c>
      <c r="F4114" s="147" t="str">
        <f>'Reported burning'!F4114</f>
        <v>ND</v>
      </c>
      <c r="G4114" s="147" t="str">
        <f>'Reported burning'!G4114</f>
        <v>ND</v>
      </c>
      <c r="H4114" s="147" t="str">
        <f>'Reported burning'!H4114</f>
        <v>Presence</v>
      </c>
      <c r="I4114" s="198"/>
      <c r="J4114" s="71" t="s">
        <v>2272</v>
      </c>
      <c r="K4114" s="71" t="s">
        <v>2272</v>
      </c>
      <c r="L4114" s="71" t="s">
        <v>2272</v>
      </c>
      <c r="M4114" s="71" t="s">
        <v>2272</v>
      </c>
      <c r="N4114" s="71" t="s">
        <v>2272</v>
      </c>
      <c r="O4114" s="71" t="s">
        <v>2272</v>
      </c>
      <c r="P4114" s="71" t="s">
        <v>2272</v>
      </c>
      <c r="Q4114" s="21" t="s">
        <v>2373</v>
      </c>
      <c r="R4114" s="71" t="s">
        <v>2272</v>
      </c>
      <c r="S4114" s="71" t="s">
        <v>2272</v>
      </c>
      <c r="T4114" s="71" t="s">
        <v>2272</v>
      </c>
      <c r="U4114" s="71" t="s">
        <v>2272</v>
      </c>
      <c r="V4114" s="71" t="s">
        <v>2272</v>
      </c>
      <c r="W4114" s="71" t="s">
        <v>2272</v>
      </c>
      <c r="X4114" s="71" t="s">
        <v>2272</v>
      </c>
      <c r="Y4114" s="71" t="s">
        <v>2272</v>
      </c>
      <c r="Z4114" s="71" t="s">
        <v>2272</v>
      </c>
      <c r="AA4114" s="71" t="s">
        <v>2272</v>
      </c>
      <c r="AB4114" s="198"/>
      <c r="AC4114" s="198"/>
    </row>
    <row r="4115" spans="1:29" s="197" customFormat="1" ht="48" customHeight="1">
      <c r="A4115" s="147" t="str">
        <f>'Reported burning'!A4115</f>
        <v>453a</v>
      </c>
      <c r="B4115" s="147" t="str">
        <f>'Reported burning'!B4115</f>
        <v>453a.17</v>
      </c>
      <c r="C4115" s="147" t="str">
        <f>'Reported burning'!C4115</f>
        <v>Human, deliberate</v>
      </c>
      <c r="D4115" s="147" t="str">
        <f>'Reported burning'!D4115</f>
        <v>All</v>
      </c>
      <c r="E4115" s="147" t="str">
        <f>'Reported burning'!E4115</f>
        <v>Cattle, Extensive</v>
      </c>
      <c r="F4115" s="147" t="str">
        <f>'Reported burning'!F4115</f>
        <v>ND</v>
      </c>
      <c r="G4115" s="147" t="str">
        <f>'Reported burning'!G4115</f>
        <v>ND</v>
      </c>
      <c r="H4115" s="147" t="str">
        <f>'Reported burning'!H4115</f>
        <v>Presence</v>
      </c>
      <c r="I4115" s="198"/>
      <c r="J4115" s="71" t="s">
        <v>2272</v>
      </c>
      <c r="K4115" s="71" t="s">
        <v>2272</v>
      </c>
      <c r="L4115" s="71" t="s">
        <v>2272</v>
      </c>
      <c r="M4115" s="71" t="s">
        <v>2272</v>
      </c>
      <c r="N4115" s="71" t="s">
        <v>2272</v>
      </c>
      <c r="O4115" s="71" t="s">
        <v>2272</v>
      </c>
      <c r="P4115" s="71" t="s">
        <v>2272</v>
      </c>
      <c r="Q4115" s="21" t="s">
        <v>2371</v>
      </c>
      <c r="R4115" s="71" t="s">
        <v>2272</v>
      </c>
      <c r="S4115" s="71" t="s">
        <v>2272</v>
      </c>
      <c r="T4115" s="71" t="s">
        <v>2272</v>
      </c>
      <c r="U4115" s="71" t="s">
        <v>2272</v>
      </c>
      <c r="V4115" s="71" t="s">
        <v>2272</v>
      </c>
      <c r="W4115" s="71" t="s">
        <v>2272</v>
      </c>
      <c r="X4115" s="71" t="s">
        <v>2272</v>
      </c>
      <c r="Y4115" s="71" t="s">
        <v>2272</v>
      </c>
      <c r="Z4115" s="71" t="s">
        <v>2272</v>
      </c>
      <c r="AA4115" s="71" t="s">
        <v>2272</v>
      </c>
      <c r="AB4115" s="198"/>
      <c r="AC4115" s="198"/>
    </row>
    <row r="4116" spans="1:29" s="197" customFormat="1" ht="48" customHeight="1">
      <c r="A4116" s="147" t="str">
        <f>'Reported burning'!A4116</f>
        <v>453a</v>
      </c>
      <c r="B4116" s="147" t="str">
        <f>'Reported burning'!B4116</f>
        <v>453a.18</v>
      </c>
      <c r="C4116" s="147" t="str">
        <f>'Reported burning'!C4116</f>
        <v>Human, deliberate</v>
      </c>
      <c r="D4116" s="147" t="str">
        <f>'Reported burning'!D4116</f>
        <v>All</v>
      </c>
      <c r="E4116" s="147" t="str">
        <f>'Reported burning'!E4116</f>
        <v>Cropping, Agroecology</v>
      </c>
      <c r="F4116" s="147" t="str">
        <f>'Reported burning'!F4116</f>
        <v>ND</v>
      </c>
      <c r="G4116" s="147" t="str">
        <f>'Reported burning'!G4116</f>
        <v>ND</v>
      </c>
      <c r="H4116" s="147" t="str">
        <f>'Reported burning'!H4116</f>
        <v>Presence</v>
      </c>
      <c r="I4116" s="198"/>
      <c r="J4116" s="71" t="s">
        <v>2272</v>
      </c>
      <c r="K4116" s="71" t="s">
        <v>2272</v>
      </c>
      <c r="L4116" s="71" t="s">
        <v>2272</v>
      </c>
      <c r="M4116" s="71" t="s">
        <v>2272</v>
      </c>
      <c r="N4116" s="71" t="s">
        <v>2272</v>
      </c>
      <c r="O4116" s="71" t="s">
        <v>2272</v>
      </c>
      <c r="P4116" s="71" t="s">
        <v>2272</v>
      </c>
      <c r="Q4116" s="21" t="s">
        <v>2368</v>
      </c>
      <c r="R4116" s="71" t="s">
        <v>2272</v>
      </c>
      <c r="S4116" s="71" t="s">
        <v>2272</v>
      </c>
      <c r="T4116" s="71" t="s">
        <v>2272</v>
      </c>
      <c r="U4116" s="71" t="s">
        <v>2272</v>
      </c>
      <c r="V4116" s="71" t="s">
        <v>2272</v>
      </c>
      <c r="W4116" s="71" t="s">
        <v>2272</v>
      </c>
      <c r="X4116" s="71" t="s">
        <v>2272</v>
      </c>
      <c r="Y4116" s="71" t="s">
        <v>2272</v>
      </c>
      <c r="Z4116" s="71" t="s">
        <v>2272</v>
      </c>
      <c r="AA4116" s="71" t="s">
        <v>2272</v>
      </c>
      <c r="AB4116" s="198"/>
      <c r="AC4116" s="198"/>
    </row>
    <row r="4117" spans="1:29" s="197" customFormat="1" ht="48" customHeight="1">
      <c r="A4117" s="147" t="str">
        <f>'Reported burning'!A4117</f>
        <v>453a</v>
      </c>
      <c r="B4117" s="147" t="str">
        <f>'Reported burning'!B4117</f>
        <v>453a.19</v>
      </c>
      <c r="C4117" s="147" t="str">
        <f>'Reported burning'!C4117</f>
        <v>Human, escaped</v>
      </c>
      <c r="D4117" s="147" t="str">
        <f>'Reported burning'!D4117</f>
        <v>All</v>
      </c>
      <c r="E4117" s="147" t="str">
        <f>'Reported burning'!E4117</f>
        <v>All</v>
      </c>
      <c r="F4117" s="147" t="str">
        <f>'Reported burning'!F4117</f>
        <v>All</v>
      </c>
      <c r="G4117" s="147" t="str">
        <f>'Reported burning'!G4117</f>
        <v>ND</v>
      </c>
      <c r="H4117" s="147" t="str">
        <f>'Reported burning'!H4117</f>
        <v>Presence</v>
      </c>
      <c r="I4117" s="198"/>
      <c r="J4117" s="71" t="s">
        <v>2272</v>
      </c>
      <c r="K4117" s="71" t="s">
        <v>2272</v>
      </c>
      <c r="L4117" s="71" t="s">
        <v>2272</v>
      </c>
      <c r="M4117" s="71" t="s">
        <v>2272</v>
      </c>
      <c r="N4117" s="71" t="s">
        <v>2272</v>
      </c>
      <c r="O4117" s="71" t="s">
        <v>2272</v>
      </c>
      <c r="P4117" s="71" t="s">
        <v>2272</v>
      </c>
      <c r="Q4117" s="71" t="s">
        <v>2272</v>
      </c>
      <c r="R4117" s="71" t="s">
        <v>2272</v>
      </c>
      <c r="S4117" s="71" t="s">
        <v>2272</v>
      </c>
      <c r="T4117" s="71" t="s">
        <v>2272</v>
      </c>
      <c r="U4117" s="71" t="s">
        <v>2272</v>
      </c>
      <c r="V4117" s="71" t="s">
        <v>2272</v>
      </c>
      <c r="W4117" s="71" t="s">
        <v>2272</v>
      </c>
      <c r="X4117" s="71" t="s">
        <v>2272</v>
      </c>
      <c r="Y4117" s="71" t="s">
        <v>2272</v>
      </c>
      <c r="Z4117" s="71" t="s">
        <v>2272</v>
      </c>
      <c r="AA4117" s="71" t="s">
        <v>2272</v>
      </c>
      <c r="AB4117" s="198"/>
      <c r="AC4117" s="198"/>
    </row>
    <row r="4118" spans="1:29" s="197" customFormat="1" ht="48" customHeight="1">
      <c r="A4118" s="147" t="str">
        <f>'Reported burning'!A4118</f>
        <v>453b</v>
      </c>
      <c r="B4118" s="147" t="str">
        <f>'Reported burning'!B4118</f>
        <v>453b.1</v>
      </c>
      <c r="C4118" s="147" t="str">
        <f>'Reported burning'!C4118</f>
        <v>Human, deliberate</v>
      </c>
      <c r="D4118" s="147" t="str">
        <f>'Reported burning'!D4118</f>
        <v>Crop residue burning</v>
      </c>
      <c r="E4118" s="147" t="str">
        <f>'Reported burning'!E4118</f>
        <v>Cropping, Intensive</v>
      </c>
      <c r="F4118" s="147" t="str">
        <f>'Reported burning'!F4118</f>
        <v>Cropland</v>
      </c>
      <c r="G4118" s="147" t="str">
        <f>'Reported burning'!G4118</f>
        <v>Cropland</v>
      </c>
      <c r="H4118" s="147" t="str">
        <f>'Reported burning'!H4118</f>
        <v>Presence</v>
      </c>
      <c r="I4118" s="198"/>
      <c r="J4118" s="71" t="s">
        <v>2272</v>
      </c>
      <c r="K4118" s="71" t="s">
        <v>2272</v>
      </c>
      <c r="L4118" s="71" t="s">
        <v>2272</v>
      </c>
      <c r="M4118" s="71" t="s">
        <v>2272</v>
      </c>
      <c r="N4118" s="71" t="s">
        <v>2272</v>
      </c>
      <c r="O4118" s="71" t="s">
        <v>2272</v>
      </c>
      <c r="P4118" s="71" t="s">
        <v>2272</v>
      </c>
      <c r="Q4118" s="71" t="s">
        <v>2272</v>
      </c>
      <c r="R4118" s="71" t="s">
        <v>2272</v>
      </c>
      <c r="S4118" s="71" t="s">
        <v>2272</v>
      </c>
      <c r="T4118" s="71" t="s">
        <v>2272</v>
      </c>
      <c r="U4118" s="71" t="s">
        <v>2272</v>
      </c>
      <c r="V4118" s="71" t="s">
        <v>2272</v>
      </c>
      <c r="W4118" s="71" t="s">
        <v>2272</v>
      </c>
      <c r="X4118" s="71" t="s">
        <v>2272</v>
      </c>
      <c r="Y4118" s="71" t="s">
        <v>2272</v>
      </c>
      <c r="Z4118" s="71" t="s">
        <v>2272</v>
      </c>
      <c r="AA4118" s="71" t="s">
        <v>2272</v>
      </c>
      <c r="AB4118" s="4" t="s">
        <v>10529</v>
      </c>
      <c r="AC4118" s="198"/>
    </row>
    <row r="4119" spans="1:29" ht="48" customHeight="1">
      <c r="A4119" s="147" t="str">
        <f>'Reported burning'!A4119</f>
        <v>454a</v>
      </c>
      <c r="B4119" s="147" t="str">
        <f>'Reported burning'!B4119</f>
        <v>454a.1</v>
      </c>
      <c r="C4119" s="147" t="str">
        <f>'Reported burning'!C4119</f>
        <v>All</v>
      </c>
      <c r="D4119" s="147" t="str">
        <f>'Reported burning'!D4119</f>
        <v>ND</v>
      </c>
      <c r="E4119" s="147" t="str">
        <f>'Reported burning'!E4119</f>
        <v>ND</v>
      </c>
      <c r="F4119" s="147" t="str">
        <f>'Reported burning'!F4119</f>
        <v>ND</v>
      </c>
      <c r="G4119" s="147" t="str">
        <f>'Reported burning'!G4119</f>
        <v>ND</v>
      </c>
      <c r="H4119" s="147" t="str">
        <f>'Reported burning'!H4119</f>
        <v>Presence</v>
      </c>
      <c r="I4119" s="198"/>
      <c r="J4119" s="71" t="s">
        <v>2272</v>
      </c>
      <c r="K4119" s="71" t="s">
        <v>2272</v>
      </c>
      <c r="L4119" s="71" t="s">
        <v>2272</v>
      </c>
      <c r="M4119" s="71" t="s">
        <v>2272</v>
      </c>
      <c r="N4119" s="71" t="s">
        <v>2272</v>
      </c>
      <c r="O4119" s="71" t="s">
        <v>2272</v>
      </c>
      <c r="P4119" s="71" t="s">
        <v>2272</v>
      </c>
      <c r="Q4119" s="71" t="s">
        <v>2272</v>
      </c>
      <c r="R4119" s="71" t="s">
        <v>2272</v>
      </c>
      <c r="S4119" s="71" t="s">
        <v>2272</v>
      </c>
      <c r="T4119" s="71" t="s">
        <v>2272</v>
      </c>
      <c r="U4119" s="71" t="s">
        <v>2272</v>
      </c>
      <c r="V4119" s="71" t="s">
        <v>2272</v>
      </c>
      <c r="W4119" s="71" t="s">
        <v>2272</v>
      </c>
      <c r="X4119" s="71" t="s">
        <v>2272</v>
      </c>
      <c r="Y4119" s="71" t="s">
        <v>2272</v>
      </c>
      <c r="Z4119" s="71" t="s">
        <v>2272</v>
      </c>
      <c r="AA4119" s="71" t="s">
        <v>2272</v>
      </c>
      <c r="AB4119" s="4" t="s">
        <v>11520</v>
      </c>
      <c r="AC4119" s="4"/>
    </row>
    <row r="4120" spans="1:29" s="197" customFormat="1" ht="48" customHeight="1">
      <c r="A4120" s="147" t="str">
        <f>'Reported burning'!A4120</f>
        <v>454b</v>
      </c>
      <c r="B4120" s="147" t="str">
        <f>'Reported burning'!B4120</f>
        <v>454b.1</v>
      </c>
      <c r="C4120" s="147" t="str">
        <f>'Reported burning'!C4120</f>
        <v>All</v>
      </c>
      <c r="D4120" s="147" t="str">
        <f>'Reported burning'!D4120</f>
        <v>ND</v>
      </c>
      <c r="E4120" s="147" t="str">
        <f>'Reported burning'!E4120</f>
        <v>ND</v>
      </c>
      <c r="F4120" s="147" t="str">
        <f>'Reported burning'!F4120</f>
        <v>ND</v>
      </c>
      <c r="G4120" s="147" t="str">
        <f>'Reported burning'!G4120</f>
        <v>ND</v>
      </c>
      <c r="H4120" s="147" t="str">
        <f>'Reported burning'!H4120</f>
        <v>Presence</v>
      </c>
      <c r="I4120" s="198"/>
      <c r="J4120" s="71" t="s">
        <v>2272</v>
      </c>
      <c r="K4120" s="71" t="s">
        <v>2272</v>
      </c>
      <c r="L4120" s="71" t="s">
        <v>2272</v>
      </c>
      <c r="M4120" s="71" t="s">
        <v>2272</v>
      </c>
      <c r="N4120" s="71" t="s">
        <v>2272</v>
      </c>
      <c r="O4120" s="71" t="s">
        <v>2272</v>
      </c>
      <c r="P4120" s="71" t="s">
        <v>2272</v>
      </c>
      <c r="Q4120" s="71" t="s">
        <v>2272</v>
      </c>
      <c r="R4120" s="71" t="s">
        <v>2272</v>
      </c>
      <c r="S4120" s="71" t="s">
        <v>2272</v>
      </c>
      <c r="T4120" s="71" t="s">
        <v>2272</v>
      </c>
      <c r="U4120" s="71" t="s">
        <v>2272</v>
      </c>
      <c r="V4120" s="71" t="s">
        <v>2272</v>
      </c>
      <c r="W4120" s="71" t="s">
        <v>2272</v>
      </c>
      <c r="X4120" s="71" t="s">
        <v>2272</v>
      </c>
      <c r="Y4120" s="71" t="s">
        <v>2272</v>
      </c>
      <c r="Z4120" s="71" t="s">
        <v>2272</v>
      </c>
      <c r="AA4120" s="71" t="s">
        <v>2272</v>
      </c>
      <c r="AB4120" s="4" t="s">
        <v>11521</v>
      </c>
      <c r="AC4120" s="4" t="s">
        <v>11517</v>
      </c>
    </row>
    <row r="4121" spans="1:29" s="197" customFormat="1" ht="48" customHeight="1">
      <c r="A4121" s="147" t="str">
        <f>'Reported burning'!A4121</f>
        <v>454c</v>
      </c>
      <c r="B4121" s="147" t="str">
        <f>'Reported burning'!B4121</f>
        <v>454c.1</v>
      </c>
      <c r="C4121" s="147" t="str">
        <f>'Reported burning'!C4121</f>
        <v>All</v>
      </c>
      <c r="D4121" s="147" t="str">
        <f>'Reported burning'!D4121</f>
        <v>ND</v>
      </c>
      <c r="E4121" s="147" t="str">
        <f>'Reported burning'!E4121</f>
        <v>ND</v>
      </c>
      <c r="F4121" s="147" t="str">
        <f>'Reported burning'!F4121</f>
        <v>ND</v>
      </c>
      <c r="G4121" s="147" t="str">
        <f>'Reported burning'!G4121</f>
        <v>ND</v>
      </c>
      <c r="H4121" s="147" t="str">
        <f>'Reported burning'!H4121</f>
        <v>Presence</v>
      </c>
      <c r="I4121" s="198"/>
      <c r="J4121" s="71" t="s">
        <v>2272</v>
      </c>
      <c r="K4121" s="71" t="s">
        <v>2272</v>
      </c>
      <c r="L4121" s="71" t="s">
        <v>2272</v>
      </c>
      <c r="M4121" s="71" t="s">
        <v>2272</v>
      </c>
      <c r="N4121" s="71" t="s">
        <v>2272</v>
      </c>
      <c r="O4121" s="71" t="s">
        <v>2272</v>
      </c>
      <c r="P4121" s="71" t="s">
        <v>2272</v>
      </c>
      <c r="Q4121" s="71" t="s">
        <v>2272</v>
      </c>
      <c r="R4121" s="71" t="s">
        <v>2272</v>
      </c>
      <c r="S4121" s="71" t="s">
        <v>2272</v>
      </c>
      <c r="T4121" s="71" t="s">
        <v>2272</v>
      </c>
      <c r="U4121" s="71" t="s">
        <v>2272</v>
      </c>
      <c r="V4121" s="71" t="s">
        <v>2272</v>
      </c>
      <c r="W4121" s="71" t="s">
        <v>2272</v>
      </c>
      <c r="X4121" s="71" t="s">
        <v>2272</v>
      </c>
      <c r="Y4121" s="71" t="s">
        <v>2272</v>
      </c>
      <c r="Z4121" s="71" t="s">
        <v>2272</v>
      </c>
      <c r="AA4121" s="71" t="s">
        <v>2272</v>
      </c>
      <c r="AB4121" s="4" t="s">
        <v>11522</v>
      </c>
      <c r="AC4121" s="4" t="s">
        <v>11517</v>
      </c>
    </row>
    <row r="4122" spans="1:29" s="197" customFormat="1" ht="48" customHeight="1">
      <c r="A4122" s="147" t="str">
        <f>'Reported burning'!A4122</f>
        <v>454d</v>
      </c>
      <c r="B4122" s="147" t="str">
        <f>'Reported burning'!B4122</f>
        <v>454d.1</v>
      </c>
      <c r="C4122" s="147" t="str">
        <f>'Reported burning'!C4122</f>
        <v>All</v>
      </c>
      <c r="D4122" s="147" t="str">
        <f>'Reported burning'!D4122</f>
        <v>ND</v>
      </c>
      <c r="E4122" s="147" t="str">
        <f>'Reported burning'!E4122</f>
        <v>ND</v>
      </c>
      <c r="F4122" s="147" t="str">
        <f>'Reported burning'!F4122</f>
        <v>ND</v>
      </c>
      <c r="G4122" s="147" t="str">
        <f>'Reported burning'!G4122</f>
        <v>ND</v>
      </c>
      <c r="H4122" s="147" t="str">
        <f>'Reported burning'!H4122</f>
        <v>Presence</v>
      </c>
      <c r="I4122" s="198"/>
      <c r="J4122" s="71" t="s">
        <v>2272</v>
      </c>
      <c r="K4122" s="71" t="s">
        <v>2272</v>
      </c>
      <c r="L4122" s="71" t="s">
        <v>2272</v>
      </c>
      <c r="M4122" s="71" t="s">
        <v>2272</v>
      </c>
      <c r="N4122" s="71" t="s">
        <v>2272</v>
      </c>
      <c r="O4122" s="71" t="s">
        <v>2272</v>
      </c>
      <c r="P4122" s="71" t="s">
        <v>2272</v>
      </c>
      <c r="Q4122" s="71" t="s">
        <v>2272</v>
      </c>
      <c r="R4122" s="71" t="s">
        <v>2272</v>
      </c>
      <c r="S4122" s="71" t="s">
        <v>2272</v>
      </c>
      <c r="T4122" s="71" t="s">
        <v>2272</v>
      </c>
      <c r="U4122" s="71" t="s">
        <v>2272</v>
      </c>
      <c r="V4122" s="71" t="s">
        <v>2272</v>
      </c>
      <c r="W4122" s="71" t="s">
        <v>2272</v>
      </c>
      <c r="X4122" s="71" t="s">
        <v>2272</v>
      </c>
      <c r="Y4122" s="71" t="s">
        <v>2272</v>
      </c>
      <c r="Z4122" s="71" t="s">
        <v>2272</v>
      </c>
      <c r="AA4122" s="71" t="s">
        <v>2272</v>
      </c>
      <c r="AB4122" s="4" t="s">
        <v>11523</v>
      </c>
      <c r="AC4122" s="4" t="s">
        <v>11517</v>
      </c>
    </row>
    <row r="4123" spans="1:29" s="197" customFormat="1" ht="48" customHeight="1">
      <c r="A4123" s="147" t="str">
        <f>'Reported burning'!A4123</f>
        <v>454e</v>
      </c>
      <c r="B4123" s="147" t="str">
        <f>'Reported burning'!B4123</f>
        <v>454e.1</v>
      </c>
      <c r="C4123" s="147" t="str">
        <f>'Reported burning'!C4123</f>
        <v>All</v>
      </c>
      <c r="D4123" s="147" t="str">
        <f>'Reported burning'!D4123</f>
        <v>ND</v>
      </c>
      <c r="E4123" s="147" t="str">
        <f>'Reported burning'!E4123</f>
        <v>ND</v>
      </c>
      <c r="F4123" s="147" t="str">
        <f>'Reported burning'!F4123</f>
        <v>ND</v>
      </c>
      <c r="G4123" s="147" t="str">
        <f>'Reported burning'!G4123</f>
        <v>ND</v>
      </c>
      <c r="H4123" s="147" t="str">
        <f>'Reported burning'!H4123</f>
        <v>Presence</v>
      </c>
      <c r="I4123" s="198"/>
      <c r="J4123" s="71" t="s">
        <v>2272</v>
      </c>
      <c r="K4123" s="71" t="s">
        <v>2272</v>
      </c>
      <c r="L4123" s="71" t="s">
        <v>2272</v>
      </c>
      <c r="M4123" s="71" t="s">
        <v>2272</v>
      </c>
      <c r="N4123" s="71" t="s">
        <v>2272</v>
      </c>
      <c r="O4123" s="71" t="s">
        <v>2272</v>
      </c>
      <c r="P4123" s="71" t="s">
        <v>2272</v>
      </c>
      <c r="Q4123" s="71" t="s">
        <v>2272</v>
      </c>
      <c r="R4123" s="71" t="s">
        <v>2272</v>
      </c>
      <c r="S4123" s="71" t="s">
        <v>2272</v>
      </c>
      <c r="T4123" s="71" t="s">
        <v>2272</v>
      </c>
      <c r="U4123" s="71" t="s">
        <v>2272</v>
      </c>
      <c r="V4123" s="71" t="s">
        <v>2272</v>
      </c>
      <c r="W4123" s="71" t="s">
        <v>2272</v>
      </c>
      <c r="X4123" s="71" t="s">
        <v>2272</v>
      </c>
      <c r="Y4123" s="71" t="s">
        <v>2272</v>
      </c>
      <c r="Z4123" s="71" t="s">
        <v>2272</v>
      </c>
      <c r="AA4123" s="71" t="s">
        <v>2272</v>
      </c>
      <c r="AB4123" s="4" t="s">
        <v>11524</v>
      </c>
      <c r="AC4123" s="4" t="s">
        <v>11517</v>
      </c>
    </row>
    <row r="4124" spans="1:29" s="197" customFormat="1" ht="48" customHeight="1">
      <c r="A4124" s="147" t="str">
        <f>'Reported burning'!A4124</f>
        <v>454f</v>
      </c>
      <c r="B4124" s="147" t="str">
        <f>'Reported burning'!B4124</f>
        <v>454f.1</v>
      </c>
      <c r="C4124" s="147" t="str">
        <f>'Reported burning'!C4124</f>
        <v>All</v>
      </c>
      <c r="D4124" s="147" t="str">
        <f>'Reported burning'!D4124</f>
        <v>ND</v>
      </c>
      <c r="E4124" s="147" t="str">
        <f>'Reported burning'!E4124</f>
        <v>ND</v>
      </c>
      <c r="F4124" s="147" t="str">
        <f>'Reported burning'!F4124</f>
        <v>ND</v>
      </c>
      <c r="G4124" s="147" t="str">
        <f>'Reported burning'!G4124</f>
        <v>ND</v>
      </c>
      <c r="H4124" s="147" t="str">
        <f>'Reported burning'!H4124</f>
        <v>Presence</v>
      </c>
      <c r="I4124" s="198"/>
      <c r="J4124" s="71" t="s">
        <v>2272</v>
      </c>
      <c r="K4124" s="71" t="s">
        <v>2272</v>
      </c>
      <c r="L4124" s="71" t="s">
        <v>2272</v>
      </c>
      <c r="M4124" s="71" t="s">
        <v>2272</v>
      </c>
      <c r="N4124" s="71" t="s">
        <v>2272</v>
      </c>
      <c r="O4124" s="71" t="s">
        <v>2272</v>
      </c>
      <c r="P4124" s="71" t="s">
        <v>2272</v>
      </c>
      <c r="Q4124" s="71" t="s">
        <v>2272</v>
      </c>
      <c r="R4124" s="71" t="s">
        <v>2272</v>
      </c>
      <c r="S4124" s="71" t="s">
        <v>2272</v>
      </c>
      <c r="T4124" s="71" t="s">
        <v>2272</v>
      </c>
      <c r="U4124" s="71" t="s">
        <v>2272</v>
      </c>
      <c r="V4124" s="71" t="s">
        <v>2272</v>
      </c>
      <c r="W4124" s="71" t="s">
        <v>2272</v>
      </c>
      <c r="X4124" s="71" t="s">
        <v>2272</v>
      </c>
      <c r="Y4124" s="71" t="s">
        <v>2272</v>
      </c>
      <c r="Z4124" s="71" t="s">
        <v>2272</v>
      </c>
      <c r="AA4124" s="71" t="s">
        <v>2272</v>
      </c>
      <c r="AB4124" s="4" t="s">
        <v>11525</v>
      </c>
      <c r="AC4124" s="4" t="s">
        <v>11517</v>
      </c>
    </row>
    <row r="4125" spans="1:29" s="197" customFormat="1" ht="48" customHeight="1">
      <c r="A4125" s="147" t="str">
        <f>'Reported burning'!A4125</f>
        <v>454g</v>
      </c>
      <c r="B4125" s="147" t="str">
        <f>'Reported burning'!B4125</f>
        <v>454g.1</v>
      </c>
      <c r="C4125" s="147" t="str">
        <f>'Reported burning'!C4125</f>
        <v>All</v>
      </c>
      <c r="D4125" s="147" t="str">
        <f>'Reported burning'!D4125</f>
        <v>ND</v>
      </c>
      <c r="E4125" s="147" t="str">
        <f>'Reported burning'!E4125</f>
        <v>ND</v>
      </c>
      <c r="F4125" s="147" t="str">
        <f>'Reported burning'!F4125</f>
        <v>ND</v>
      </c>
      <c r="G4125" s="147" t="str">
        <f>'Reported burning'!G4125</f>
        <v>ND</v>
      </c>
      <c r="H4125" s="147" t="str">
        <f>'Reported burning'!H4125</f>
        <v>Presence</v>
      </c>
      <c r="I4125" s="198"/>
      <c r="J4125" s="71" t="s">
        <v>2272</v>
      </c>
      <c r="K4125" s="71" t="s">
        <v>2272</v>
      </c>
      <c r="L4125" s="71" t="s">
        <v>2272</v>
      </c>
      <c r="M4125" s="71" t="s">
        <v>2272</v>
      </c>
      <c r="N4125" s="71" t="s">
        <v>2272</v>
      </c>
      <c r="O4125" s="71" t="s">
        <v>2272</v>
      </c>
      <c r="P4125" s="71" t="s">
        <v>2272</v>
      </c>
      <c r="Q4125" s="71" t="s">
        <v>2272</v>
      </c>
      <c r="R4125" s="71" t="s">
        <v>2272</v>
      </c>
      <c r="S4125" s="71" t="s">
        <v>2272</v>
      </c>
      <c r="T4125" s="71" t="s">
        <v>2272</v>
      </c>
      <c r="U4125" s="71" t="s">
        <v>2272</v>
      </c>
      <c r="V4125" s="71" t="s">
        <v>2272</v>
      </c>
      <c r="W4125" s="71" t="s">
        <v>2272</v>
      </c>
      <c r="X4125" s="71" t="s">
        <v>2272</v>
      </c>
      <c r="Y4125" s="71" t="s">
        <v>2272</v>
      </c>
      <c r="Z4125" s="71" t="s">
        <v>2272</v>
      </c>
      <c r="AA4125" s="71" t="s">
        <v>2272</v>
      </c>
      <c r="AB4125" s="4" t="s">
        <v>11526</v>
      </c>
      <c r="AC4125" s="4" t="s">
        <v>11517</v>
      </c>
    </row>
    <row r="4126" spans="1:29" s="197" customFormat="1" ht="48" customHeight="1">
      <c r="A4126" s="147" t="str">
        <f>'Reported burning'!A4126</f>
        <v>454h</v>
      </c>
      <c r="B4126" s="147" t="str">
        <f>'Reported burning'!B4126</f>
        <v>454h.1</v>
      </c>
      <c r="C4126" s="147" t="str">
        <f>'Reported burning'!C4126</f>
        <v>All</v>
      </c>
      <c r="D4126" s="147" t="str">
        <f>'Reported burning'!D4126</f>
        <v>ND</v>
      </c>
      <c r="E4126" s="147" t="str">
        <f>'Reported burning'!E4126</f>
        <v>ND</v>
      </c>
      <c r="F4126" s="147" t="str">
        <f>'Reported burning'!F4126</f>
        <v>ND</v>
      </c>
      <c r="G4126" s="147" t="str">
        <f>'Reported burning'!G4126</f>
        <v>ND</v>
      </c>
      <c r="H4126" s="147" t="str">
        <f>'Reported burning'!H4126</f>
        <v>Presence</v>
      </c>
      <c r="I4126" s="198"/>
      <c r="J4126" s="71" t="s">
        <v>2272</v>
      </c>
      <c r="K4126" s="71" t="s">
        <v>2272</v>
      </c>
      <c r="L4126" s="71" t="s">
        <v>2272</v>
      </c>
      <c r="M4126" s="71" t="s">
        <v>2272</v>
      </c>
      <c r="N4126" s="71" t="s">
        <v>2272</v>
      </c>
      <c r="O4126" s="71" t="s">
        <v>2272</v>
      </c>
      <c r="P4126" s="71" t="s">
        <v>2272</v>
      </c>
      <c r="Q4126" s="71" t="s">
        <v>2272</v>
      </c>
      <c r="R4126" s="71" t="s">
        <v>2272</v>
      </c>
      <c r="S4126" s="71" t="s">
        <v>2272</v>
      </c>
      <c r="T4126" s="71" t="s">
        <v>2272</v>
      </c>
      <c r="U4126" s="71" t="s">
        <v>2272</v>
      </c>
      <c r="V4126" s="71" t="s">
        <v>2272</v>
      </c>
      <c r="W4126" s="71" t="s">
        <v>2272</v>
      </c>
      <c r="X4126" s="71" t="s">
        <v>2272</v>
      </c>
      <c r="Y4126" s="71" t="s">
        <v>2272</v>
      </c>
      <c r="Z4126" s="71" t="s">
        <v>2272</v>
      </c>
      <c r="AA4126" s="71" t="s">
        <v>2272</v>
      </c>
      <c r="AB4126" s="4" t="s">
        <v>11527</v>
      </c>
      <c r="AC4126" s="4" t="s">
        <v>11517</v>
      </c>
    </row>
    <row r="4127" spans="1:29" s="197" customFormat="1" ht="48" customHeight="1">
      <c r="A4127" s="147" t="str">
        <f>'Reported burning'!A4127</f>
        <v>454i</v>
      </c>
      <c r="B4127" s="147" t="str">
        <f>'Reported burning'!B4127</f>
        <v>454i.1</v>
      </c>
      <c r="C4127" s="147" t="str">
        <f>'Reported burning'!C4127</f>
        <v>All</v>
      </c>
      <c r="D4127" s="147" t="str">
        <f>'Reported burning'!D4127</f>
        <v>ND</v>
      </c>
      <c r="E4127" s="147" t="str">
        <f>'Reported burning'!E4127</f>
        <v>ND</v>
      </c>
      <c r="F4127" s="147" t="str">
        <f>'Reported burning'!F4127</f>
        <v>ND</v>
      </c>
      <c r="G4127" s="147" t="str">
        <f>'Reported burning'!G4127</f>
        <v>ND</v>
      </c>
      <c r="H4127" s="147" t="str">
        <f>'Reported burning'!H4127</f>
        <v>Presence</v>
      </c>
      <c r="I4127" s="198"/>
      <c r="J4127" s="71" t="s">
        <v>2272</v>
      </c>
      <c r="K4127" s="71" t="s">
        <v>2272</v>
      </c>
      <c r="L4127" s="71" t="s">
        <v>2272</v>
      </c>
      <c r="M4127" s="71" t="s">
        <v>2272</v>
      </c>
      <c r="N4127" s="71" t="s">
        <v>2272</v>
      </c>
      <c r="O4127" s="71" t="s">
        <v>2272</v>
      </c>
      <c r="P4127" s="71" t="s">
        <v>2272</v>
      </c>
      <c r="Q4127" s="71" t="s">
        <v>2272</v>
      </c>
      <c r="R4127" s="71" t="s">
        <v>2272</v>
      </c>
      <c r="S4127" s="71" t="s">
        <v>2272</v>
      </c>
      <c r="T4127" s="71" t="s">
        <v>2272</v>
      </c>
      <c r="U4127" s="71" t="s">
        <v>2272</v>
      </c>
      <c r="V4127" s="71" t="s">
        <v>2272</v>
      </c>
      <c r="W4127" s="71" t="s">
        <v>2272</v>
      </c>
      <c r="X4127" s="71" t="s">
        <v>2272</v>
      </c>
      <c r="Y4127" s="71" t="s">
        <v>2272</v>
      </c>
      <c r="Z4127" s="71" t="s">
        <v>2272</v>
      </c>
      <c r="AA4127" s="71" t="s">
        <v>2272</v>
      </c>
      <c r="AB4127" s="4" t="s">
        <v>11528</v>
      </c>
      <c r="AC4127" s="4" t="s">
        <v>11517</v>
      </c>
    </row>
    <row r="4128" spans="1:29" s="197" customFormat="1" ht="48" customHeight="1">
      <c r="A4128" s="11" t="s">
        <v>10659</v>
      </c>
      <c r="B4128" s="11" t="s">
        <v>11043</v>
      </c>
      <c r="C4128" s="11" t="s">
        <v>1102</v>
      </c>
      <c r="D4128" s="77" t="s">
        <v>2272</v>
      </c>
      <c r="E4128" s="77" t="s">
        <v>2272</v>
      </c>
      <c r="F4128" s="77" t="s">
        <v>2272</v>
      </c>
      <c r="G4128" s="77" t="s">
        <v>2272</v>
      </c>
      <c r="H4128" s="11" t="s">
        <v>521</v>
      </c>
      <c r="I4128" s="198"/>
      <c r="J4128" s="71" t="s">
        <v>2272</v>
      </c>
      <c r="K4128" s="71" t="s">
        <v>2272</v>
      </c>
      <c r="L4128" s="71" t="s">
        <v>2272</v>
      </c>
      <c r="M4128" s="71" t="s">
        <v>2272</v>
      </c>
      <c r="N4128" s="71" t="s">
        <v>2272</v>
      </c>
      <c r="O4128" s="71" t="s">
        <v>2272</v>
      </c>
      <c r="P4128" s="71" t="s">
        <v>2272</v>
      </c>
      <c r="Q4128" s="71" t="s">
        <v>2272</v>
      </c>
      <c r="R4128" s="71" t="s">
        <v>2272</v>
      </c>
      <c r="S4128" s="71" t="s">
        <v>2272</v>
      </c>
      <c r="T4128" s="71" t="s">
        <v>2272</v>
      </c>
      <c r="U4128" s="71" t="s">
        <v>2272</v>
      </c>
      <c r="V4128" s="71" t="s">
        <v>2272</v>
      </c>
      <c r="W4128" s="71" t="s">
        <v>2272</v>
      </c>
      <c r="X4128" s="71" t="s">
        <v>2272</v>
      </c>
      <c r="Y4128" s="71" t="s">
        <v>2272</v>
      </c>
      <c r="Z4128" s="71" t="s">
        <v>2272</v>
      </c>
      <c r="AA4128" s="71" t="s">
        <v>2272</v>
      </c>
      <c r="AB4128" s="19" t="s">
        <v>11529</v>
      </c>
      <c r="AC4128" s="4" t="s">
        <v>11517</v>
      </c>
    </row>
    <row r="4129" spans="1:29" s="197" customFormat="1" ht="48" customHeight="1">
      <c r="A4129" s="11" t="s">
        <v>10660</v>
      </c>
      <c r="B4129" s="11" t="s">
        <v>11044</v>
      </c>
      <c r="C4129" s="11" t="s">
        <v>1102</v>
      </c>
      <c r="D4129" s="77" t="s">
        <v>2272</v>
      </c>
      <c r="E4129" s="77" t="s">
        <v>2272</v>
      </c>
      <c r="F4129" s="77" t="s">
        <v>2272</v>
      </c>
      <c r="G4129" s="77" t="s">
        <v>2272</v>
      </c>
      <c r="H4129" s="11" t="s">
        <v>521</v>
      </c>
      <c r="I4129" s="198"/>
      <c r="J4129" s="71" t="s">
        <v>2272</v>
      </c>
      <c r="K4129" s="71" t="s">
        <v>2272</v>
      </c>
      <c r="L4129" s="71" t="s">
        <v>2272</v>
      </c>
      <c r="M4129" s="71" t="s">
        <v>2272</v>
      </c>
      <c r="N4129" s="71" t="s">
        <v>2272</v>
      </c>
      <c r="O4129" s="71" t="s">
        <v>2272</v>
      </c>
      <c r="P4129" s="71" t="s">
        <v>2272</v>
      </c>
      <c r="Q4129" s="71" t="s">
        <v>2272</v>
      </c>
      <c r="R4129" s="71" t="s">
        <v>2272</v>
      </c>
      <c r="S4129" s="71" t="s">
        <v>2272</v>
      </c>
      <c r="T4129" s="71" t="s">
        <v>2272</v>
      </c>
      <c r="U4129" s="71" t="s">
        <v>2272</v>
      </c>
      <c r="V4129" s="71" t="s">
        <v>2272</v>
      </c>
      <c r="W4129" s="71" t="s">
        <v>2272</v>
      </c>
      <c r="X4129" s="71" t="s">
        <v>2272</v>
      </c>
      <c r="Y4129" s="71" t="s">
        <v>2272</v>
      </c>
      <c r="Z4129" s="71" t="s">
        <v>2272</v>
      </c>
      <c r="AA4129" s="71" t="s">
        <v>2272</v>
      </c>
      <c r="AB4129" s="19" t="s">
        <v>11530</v>
      </c>
      <c r="AC4129" s="4" t="s">
        <v>11517</v>
      </c>
    </row>
    <row r="4130" spans="1:29" s="197" customFormat="1" ht="48" customHeight="1">
      <c r="A4130" s="11" t="s">
        <v>10661</v>
      </c>
      <c r="B4130" s="11" t="s">
        <v>11045</v>
      </c>
      <c r="C4130" s="11" t="s">
        <v>1102</v>
      </c>
      <c r="D4130" s="77" t="s">
        <v>2272</v>
      </c>
      <c r="E4130" s="77" t="s">
        <v>2272</v>
      </c>
      <c r="F4130" s="77" t="s">
        <v>2272</v>
      </c>
      <c r="G4130" s="77" t="s">
        <v>2272</v>
      </c>
      <c r="H4130" s="11" t="s">
        <v>521</v>
      </c>
      <c r="I4130" s="198"/>
      <c r="J4130" s="71" t="s">
        <v>2272</v>
      </c>
      <c r="K4130" s="71" t="s">
        <v>2272</v>
      </c>
      <c r="L4130" s="71" t="s">
        <v>2272</v>
      </c>
      <c r="M4130" s="71" t="s">
        <v>2272</v>
      </c>
      <c r="N4130" s="71" t="s">
        <v>2272</v>
      </c>
      <c r="O4130" s="71" t="s">
        <v>2272</v>
      </c>
      <c r="P4130" s="71" t="s">
        <v>2272</v>
      </c>
      <c r="Q4130" s="71" t="s">
        <v>2272</v>
      </c>
      <c r="R4130" s="71" t="s">
        <v>2272</v>
      </c>
      <c r="S4130" s="71" t="s">
        <v>2272</v>
      </c>
      <c r="T4130" s="71" t="s">
        <v>2272</v>
      </c>
      <c r="U4130" s="71" t="s">
        <v>2272</v>
      </c>
      <c r="V4130" s="71" t="s">
        <v>2272</v>
      </c>
      <c r="W4130" s="71" t="s">
        <v>2272</v>
      </c>
      <c r="X4130" s="71" t="s">
        <v>2272</v>
      </c>
      <c r="Y4130" s="71" t="s">
        <v>2272</v>
      </c>
      <c r="Z4130" s="71" t="s">
        <v>2272</v>
      </c>
      <c r="AA4130" s="71" t="s">
        <v>2272</v>
      </c>
      <c r="AB4130" s="19" t="s">
        <v>11525</v>
      </c>
      <c r="AC4130" s="4" t="s">
        <v>11517</v>
      </c>
    </row>
    <row r="4131" spans="1:29" s="197" customFormat="1" ht="48" customHeight="1">
      <c r="A4131" s="11" t="s">
        <v>10662</v>
      </c>
      <c r="B4131" s="11" t="s">
        <v>11046</v>
      </c>
      <c r="C4131" s="11" t="s">
        <v>1102</v>
      </c>
      <c r="D4131" s="77" t="s">
        <v>2272</v>
      </c>
      <c r="E4131" s="77" t="s">
        <v>2272</v>
      </c>
      <c r="F4131" s="77" t="s">
        <v>2272</v>
      </c>
      <c r="G4131" s="77" t="s">
        <v>2272</v>
      </c>
      <c r="H4131" s="11" t="s">
        <v>521</v>
      </c>
      <c r="I4131" s="198"/>
      <c r="J4131" s="71" t="s">
        <v>2272</v>
      </c>
      <c r="K4131" s="71" t="s">
        <v>2272</v>
      </c>
      <c r="L4131" s="71" t="s">
        <v>2272</v>
      </c>
      <c r="M4131" s="71" t="s">
        <v>2272</v>
      </c>
      <c r="N4131" s="71" t="s">
        <v>2272</v>
      </c>
      <c r="O4131" s="71" t="s">
        <v>2272</v>
      </c>
      <c r="P4131" s="71" t="s">
        <v>2272</v>
      </c>
      <c r="Q4131" s="71" t="s">
        <v>2272</v>
      </c>
      <c r="R4131" s="71" t="s">
        <v>2272</v>
      </c>
      <c r="S4131" s="71" t="s">
        <v>2272</v>
      </c>
      <c r="T4131" s="71" t="s">
        <v>2272</v>
      </c>
      <c r="U4131" s="71" t="s">
        <v>2272</v>
      </c>
      <c r="V4131" s="71" t="s">
        <v>2272</v>
      </c>
      <c r="W4131" s="71" t="s">
        <v>2272</v>
      </c>
      <c r="X4131" s="71" t="s">
        <v>2272</v>
      </c>
      <c r="Y4131" s="71" t="s">
        <v>2272</v>
      </c>
      <c r="Z4131" s="71" t="s">
        <v>2272</v>
      </c>
      <c r="AA4131" s="71" t="s">
        <v>2272</v>
      </c>
      <c r="AB4131" s="19" t="s">
        <v>11531</v>
      </c>
      <c r="AC4131" s="4" t="s">
        <v>11517</v>
      </c>
    </row>
    <row r="4132" spans="1:29" s="197" customFormat="1" ht="48" customHeight="1">
      <c r="A4132" s="11" t="s">
        <v>10663</v>
      </c>
      <c r="B4132" s="11" t="s">
        <v>11047</v>
      </c>
      <c r="C4132" s="11" t="s">
        <v>1102</v>
      </c>
      <c r="D4132" s="77" t="s">
        <v>2272</v>
      </c>
      <c r="E4132" s="77" t="s">
        <v>2272</v>
      </c>
      <c r="F4132" s="77" t="s">
        <v>2272</v>
      </c>
      <c r="G4132" s="77" t="s">
        <v>2272</v>
      </c>
      <c r="H4132" s="11" t="s">
        <v>521</v>
      </c>
      <c r="I4132" s="198"/>
      <c r="J4132" s="71" t="s">
        <v>2272</v>
      </c>
      <c r="K4132" s="71" t="s">
        <v>2272</v>
      </c>
      <c r="L4132" s="71" t="s">
        <v>2272</v>
      </c>
      <c r="M4132" s="71" t="s">
        <v>2272</v>
      </c>
      <c r="N4132" s="71" t="s">
        <v>2272</v>
      </c>
      <c r="O4132" s="71" t="s">
        <v>2272</v>
      </c>
      <c r="P4132" s="71" t="s">
        <v>2272</v>
      </c>
      <c r="Q4132" s="71" t="s">
        <v>2272</v>
      </c>
      <c r="R4132" s="71" t="s">
        <v>2272</v>
      </c>
      <c r="S4132" s="71" t="s">
        <v>2272</v>
      </c>
      <c r="T4132" s="71" t="s">
        <v>2272</v>
      </c>
      <c r="U4132" s="71" t="s">
        <v>2272</v>
      </c>
      <c r="V4132" s="71" t="s">
        <v>2272</v>
      </c>
      <c r="W4132" s="71" t="s">
        <v>2272</v>
      </c>
      <c r="X4132" s="71" t="s">
        <v>2272</v>
      </c>
      <c r="Y4132" s="71" t="s">
        <v>2272</v>
      </c>
      <c r="Z4132" s="71" t="s">
        <v>2272</v>
      </c>
      <c r="AA4132" s="71" t="s">
        <v>2272</v>
      </c>
      <c r="AB4132" s="19" t="s">
        <v>11532</v>
      </c>
      <c r="AC4132" s="4" t="s">
        <v>11517</v>
      </c>
    </row>
    <row r="4133" spans="1:29" s="197" customFormat="1" ht="48" customHeight="1">
      <c r="A4133" s="11" t="s">
        <v>10664</v>
      </c>
      <c r="B4133" s="11" t="s">
        <v>11048</v>
      </c>
      <c r="C4133" s="11" t="s">
        <v>1102</v>
      </c>
      <c r="D4133" s="77" t="s">
        <v>2272</v>
      </c>
      <c r="E4133" s="77" t="s">
        <v>2272</v>
      </c>
      <c r="F4133" s="77" t="s">
        <v>2272</v>
      </c>
      <c r="G4133" s="77" t="s">
        <v>2272</v>
      </c>
      <c r="H4133" s="11" t="s">
        <v>521</v>
      </c>
      <c r="I4133" s="198"/>
      <c r="J4133" s="71" t="s">
        <v>2272</v>
      </c>
      <c r="K4133" s="71" t="s">
        <v>2272</v>
      </c>
      <c r="L4133" s="71" t="s">
        <v>2272</v>
      </c>
      <c r="M4133" s="71" t="s">
        <v>2272</v>
      </c>
      <c r="N4133" s="71" t="s">
        <v>2272</v>
      </c>
      <c r="O4133" s="71" t="s">
        <v>2272</v>
      </c>
      <c r="P4133" s="71" t="s">
        <v>2272</v>
      </c>
      <c r="Q4133" s="71" t="s">
        <v>2272</v>
      </c>
      <c r="R4133" s="71" t="s">
        <v>2272</v>
      </c>
      <c r="S4133" s="71" t="s">
        <v>2272</v>
      </c>
      <c r="T4133" s="71" t="s">
        <v>2272</v>
      </c>
      <c r="U4133" s="71" t="s">
        <v>2272</v>
      </c>
      <c r="V4133" s="71" t="s">
        <v>2272</v>
      </c>
      <c r="W4133" s="71" t="s">
        <v>2272</v>
      </c>
      <c r="X4133" s="71" t="s">
        <v>2272</v>
      </c>
      <c r="Y4133" s="71" t="s">
        <v>2272</v>
      </c>
      <c r="Z4133" s="71" t="s">
        <v>2272</v>
      </c>
      <c r="AA4133" s="71" t="s">
        <v>2272</v>
      </c>
      <c r="AB4133" s="19" t="s">
        <v>11533</v>
      </c>
      <c r="AC4133" s="4" t="s">
        <v>11517</v>
      </c>
    </row>
    <row r="4134" spans="1:29" s="197" customFormat="1" ht="48" customHeight="1">
      <c r="A4134" s="11" t="s">
        <v>10665</v>
      </c>
      <c r="B4134" s="11" t="s">
        <v>11049</v>
      </c>
      <c r="C4134" s="11" t="s">
        <v>1102</v>
      </c>
      <c r="D4134" s="77" t="s">
        <v>2272</v>
      </c>
      <c r="E4134" s="77" t="s">
        <v>2272</v>
      </c>
      <c r="F4134" s="77" t="s">
        <v>2272</v>
      </c>
      <c r="G4134" s="77" t="s">
        <v>2272</v>
      </c>
      <c r="H4134" s="11" t="s">
        <v>521</v>
      </c>
      <c r="I4134" s="198"/>
      <c r="J4134" s="71" t="s">
        <v>2272</v>
      </c>
      <c r="K4134" s="71" t="s">
        <v>2272</v>
      </c>
      <c r="L4134" s="71" t="s">
        <v>2272</v>
      </c>
      <c r="M4134" s="71" t="s">
        <v>2272</v>
      </c>
      <c r="N4134" s="71" t="s">
        <v>2272</v>
      </c>
      <c r="O4134" s="71" t="s">
        <v>2272</v>
      </c>
      <c r="P4134" s="71" t="s">
        <v>2272</v>
      </c>
      <c r="Q4134" s="71" t="s">
        <v>2272</v>
      </c>
      <c r="R4134" s="71" t="s">
        <v>2272</v>
      </c>
      <c r="S4134" s="71" t="s">
        <v>2272</v>
      </c>
      <c r="T4134" s="71" t="s">
        <v>2272</v>
      </c>
      <c r="U4134" s="71" t="s">
        <v>2272</v>
      </c>
      <c r="V4134" s="71" t="s">
        <v>2272</v>
      </c>
      <c r="W4134" s="71" t="s">
        <v>2272</v>
      </c>
      <c r="X4134" s="71" t="s">
        <v>2272</v>
      </c>
      <c r="Y4134" s="71" t="s">
        <v>2272</v>
      </c>
      <c r="Z4134" s="71" t="s">
        <v>2272</v>
      </c>
      <c r="AA4134" s="71" t="s">
        <v>2272</v>
      </c>
      <c r="AB4134" s="19" t="s">
        <v>11534</v>
      </c>
      <c r="AC4134" s="4" t="s">
        <v>11517</v>
      </c>
    </row>
    <row r="4135" spans="1:29" s="197" customFormat="1" ht="48" customHeight="1">
      <c r="A4135" s="11" t="s">
        <v>10666</v>
      </c>
      <c r="B4135" s="11" t="s">
        <v>11050</v>
      </c>
      <c r="C4135" s="11" t="s">
        <v>1102</v>
      </c>
      <c r="D4135" s="77" t="s">
        <v>2272</v>
      </c>
      <c r="E4135" s="77" t="s">
        <v>2272</v>
      </c>
      <c r="F4135" s="77" t="s">
        <v>2272</v>
      </c>
      <c r="G4135" s="77" t="s">
        <v>2272</v>
      </c>
      <c r="H4135" s="11" t="s">
        <v>521</v>
      </c>
      <c r="I4135" s="198"/>
      <c r="J4135" s="71" t="s">
        <v>2272</v>
      </c>
      <c r="K4135" s="71" t="s">
        <v>2272</v>
      </c>
      <c r="L4135" s="71" t="s">
        <v>2272</v>
      </c>
      <c r="M4135" s="71" t="s">
        <v>2272</v>
      </c>
      <c r="N4135" s="71" t="s">
        <v>2272</v>
      </c>
      <c r="O4135" s="71" t="s">
        <v>2272</v>
      </c>
      <c r="P4135" s="71" t="s">
        <v>2272</v>
      </c>
      <c r="Q4135" s="71" t="s">
        <v>2272</v>
      </c>
      <c r="R4135" s="71" t="s">
        <v>2272</v>
      </c>
      <c r="S4135" s="71" t="s">
        <v>2272</v>
      </c>
      <c r="T4135" s="71" t="s">
        <v>2272</v>
      </c>
      <c r="U4135" s="71" t="s">
        <v>2272</v>
      </c>
      <c r="V4135" s="71" t="s">
        <v>2272</v>
      </c>
      <c r="W4135" s="71" t="s">
        <v>2272</v>
      </c>
      <c r="X4135" s="71" t="s">
        <v>2272</v>
      </c>
      <c r="Y4135" s="71" t="s">
        <v>2272</v>
      </c>
      <c r="Z4135" s="71" t="s">
        <v>2272</v>
      </c>
      <c r="AA4135" s="71" t="s">
        <v>2272</v>
      </c>
      <c r="AB4135" s="19" t="s">
        <v>11534</v>
      </c>
      <c r="AC4135" s="4" t="s">
        <v>11517</v>
      </c>
    </row>
    <row r="4136" spans="1:29" s="197" customFormat="1" ht="48" customHeight="1">
      <c r="A4136" s="11" t="s">
        <v>10667</v>
      </c>
      <c r="B4136" s="11" t="s">
        <v>11051</v>
      </c>
      <c r="C4136" s="11" t="s">
        <v>1102</v>
      </c>
      <c r="D4136" s="77" t="s">
        <v>2272</v>
      </c>
      <c r="E4136" s="77" t="s">
        <v>2272</v>
      </c>
      <c r="F4136" s="77" t="s">
        <v>2272</v>
      </c>
      <c r="G4136" s="77" t="s">
        <v>2272</v>
      </c>
      <c r="H4136" s="11" t="s">
        <v>521</v>
      </c>
      <c r="I4136" s="198"/>
      <c r="J4136" s="71" t="s">
        <v>2272</v>
      </c>
      <c r="K4136" s="71" t="s">
        <v>2272</v>
      </c>
      <c r="L4136" s="71" t="s">
        <v>2272</v>
      </c>
      <c r="M4136" s="71" t="s">
        <v>2272</v>
      </c>
      <c r="N4136" s="71" t="s">
        <v>2272</v>
      </c>
      <c r="O4136" s="71" t="s">
        <v>2272</v>
      </c>
      <c r="P4136" s="71" t="s">
        <v>2272</v>
      </c>
      <c r="Q4136" s="71" t="s">
        <v>2272</v>
      </c>
      <c r="R4136" s="71" t="s">
        <v>2272</v>
      </c>
      <c r="S4136" s="71" t="s">
        <v>2272</v>
      </c>
      <c r="T4136" s="71" t="s">
        <v>2272</v>
      </c>
      <c r="U4136" s="71" t="s">
        <v>2272</v>
      </c>
      <c r="V4136" s="71" t="s">
        <v>2272</v>
      </c>
      <c r="W4136" s="71" t="s">
        <v>2272</v>
      </c>
      <c r="X4136" s="71" t="s">
        <v>2272</v>
      </c>
      <c r="Y4136" s="71" t="s">
        <v>2272</v>
      </c>
      <c r="Z4136" s="71" t="s">
        <v>2272</v>
      </c>
      <c r="AA4136" s="71" t="s">
        <v>2272</v>
      </c>
      <c r="AB4136" s="19" t="s">
        <v>11528</v>
      </c>
      <c r="AC4136" s="4" t="s">
        <v>11517</v>
      </c>
    </row>
    <row r="4137" spans="1:29" s="197" customFormat="1" ht="48" customHeight="1">
      <c r="A4137" s="11" t="s">
        <v>10668</v>
      </c>
      <c r="B4137" s="11" t="s">
        <v>11052</v>
      </c>
      <c r="C4137" s="11" t="s">
        <v>1102</v>
      </c>
      <c r="D4137" s="77" t="s">
        <v>2272</v>
      </c>
      <c r="E4137" s="77" t="s">
        <v>2272</v>
      </c>
      <c r="F4137" s="77" t="s">
        <v>2272</v>
      </c>
      <c r="G4137" s="77" t="s">
        <v>2272</v>
      </c>
      <c r="H4137" s="11" t="s">
        <v>521</v>
      </c>
      <c r="I4137" s="198"/>
      <c r="J4137" s="71" t="s">
        <v>2272</v>
      </c>
      <c r="K4137" s="71" t="s">
        <v>2272</v>
      </c>
      <c r="L4137" s="71" t="s">
        <v>2272</v>
      </c>
      <c r="M4137" s="71" t="s">
        <v>2272</v>
      </c>
      <c r="N4137" s="71" t="s">
        <v>2272</v>
      </c>
      <c r="O4137" s="71" t="s">
        <v>2272</v>
      </c>
      <c r="P4137" s="71" t="s">
        <v>2272</v>
      </c>
      <c r="Q4137" s="71" t="s">
        <v>2272</v>
      </c>
      <c r="R4137" s="71" t="s">
        <v>2272</v>
      </c>
      <c r="S4137" s="71" t="s">
        <v>2272</v>
      </c>
      <c r="T4137" s="71" t="s">
        <v>2272</v>
      </c>
      <c r="U4137" s="71" t="s">
        <v>2272</v>
      </c>
      <c r="V4137" s="71" t="s">
        <v>2272</v>
      </c>
      <c r="W4137" s="71" t="s">
        <v>2272</v>
      </c>
      <c r="X4137" s="71" t="s">
        <v>2272</v>
      </c>
      <c r="Y4137" s="71" t="s">
        <v>2272</v>
      </c>
      <c r="Z4137" s="71" t="s">
        <v>2272</v>
      </c>
      <c r="AA4137" s="71" t="s">
        <v>2272</v>
      </c>
      <c r="AB4137" s="19" t="s">
        <v>11535</v>
      </c>
      <c r="AC4137" s="4" t="s">
        <v>11517</v>
      </c>
    </row>
    <row r="4138" spans="1:29" s="197" customFormat="1" ht="48" customHeight="1">
      <c r="A4138" s="11" t="s">
        <v>10669</v>
      </c>
      <c r="B4138" s="11" t="s">
        <v>11053</v>
      </c>
      <c r="C4138" s="11" t="s">
        <v>1102</v>
      </c>
      <c r="D4138" s="77" t="s">
        <v>2272</v>
      </c>
      <c r="E4138" s="77" t="s">
        <v>2272</v>
      </c>
      <c r="F4138" s="77" t="s">
        <v>2272</v>
      </c>
      <c r="G4138" s="77" t="s">
        <v>2272</v>
      </c>
      <c r="H4138" s="11" t="s">
        <v>521</v>
      </c>
      <c r="I4138" s="198"/>
      <c r="J4138" s="71" t="s">
        <v>2272</v>
      </c>
      <c r="K4138" s="71" t="s">
        <v>2272</v>
      </c>
      <c r="L4138" s="71" t="s">
        <v>2272</v>
      </c>
      <c r="M4138" s="71" t="s">
        <v>2272</v>
      </c>
      <c r="N4138" s="71" t="s">
        <v>2272</v>
      </c>
      <c r="O4138" s="71" t="s">
        <v>2272</v>
      </c>
      <c r="P4138" s="71" t="s">
        <v>2272</v>
      </c>
      <c r="Q4138" s="71" t="s">
        <v>2272</v>
      </c>
      <c r="R4138" s="71" t="s">
        <v>2272</v>
      </c>
      <c r="S4138" s="71" t="s">
        <v>2272</v>
      </c>
      <c r="T4138" s="71" t="s">
        <v>2272</v>
      </c>
      <c r="U4138" s="71" t="s">
        <v>2272</v>
      </c>
      <c r="V4138" s="71" t="s">
        <v>2272</v>
      </c>
      <c r="W4138" s="71" t="s">
        <v>2272</v>
      </c>
      <c r="X4138" s="71" t="s">
        <v>2272</v>
      </c>
      <c r="Y4138" s="71" t="s">
        <v>2272</v>
      </c>
      <c r="Z4138" s="71" t="s">
        <v>2272</v>
      </c>
      <c r="AA4138" s="71" t="s">
        <v>2272</v>
      </c>
      <c r="AB4138" s="19" t="s">
        <v>11536</v>
      </c>
      <c r="AC4138" s="4" t="s">
        <v>11517</v>
      </c>
    </row>
    <row r="4139" spans="1:29" s="197" customFormat="1" ht="48" customHeight="1">
      <c r="A4139" s="11" t="s">
        <v>10670</v>
      </c>
      <c r="B4139" s="11" t="s">
        <v>11054</v>
      </c>
      <c r="C4139" s="11" t="s">
        <v>1102</v>
      </c>
      <c r="D4139" s="77" t="s">
        <v>2272</v>
      </c>
      <c r="E4139" s="77" t="s">
        <v>2272</v>
      </c>
      <c r="F4139" s="77" t="s">
        <v>2272</v>
      </c>
      <c r="G4139" s="77" t="s">
        <v>2272</v>
      </c>
      <c r="H4139" s="11" t="s">
        <v>521</v>
      </c>
      <c r="I4139" s="198"/>
      <c r="J4139" s="71" t="s">
        <v>2272</v>
      </c>
      <c r="K4139" s="71" t="s">
        <v>2272</v>
      </c>
      <c r="L4139" s="71" t="s">
        <v>2272</v>
      </c>
      <c r="M4139" s="71" t="s">
        <v>2358</v>
      </c>
      <c r="N4139" s="71" t="s">
        <v>2272</v>
      </c>
      <c r="O4139" s="71" t="s">
        <v>2272</v>
      </c>
      <c r="P4139" s="71" t="s">
        <v>2272</v>
      </c>
      <c r="Q4139" s="71" t="s">
        <v>2272</v>
      </c>
      <c r="R4139" s="71" t="s">
        <v>2272</v>
      </c>
      <c r="S4139" s="71" t="s">
        <v>2358</v>
      </c>
      <c r="T4139" s="71" t="s">
        <v>2272</v>
      </c>
      <c r="U4139" s="71" t="s">
        <v>2272</v>
      </c>
      <c r="V4139" s="71" t="s">
        <v>2272</v>
      </c>
      <c r="W4139" s="71" t="s">
        <v>2272</v>
      </c>
      <c r="X4139" s="71" t="s">
        <v>2272</v>
      </c>
      <c r="Y4139" s="71" t="s">
        <v>2272</v>
      </c>
      <c r="Z4139" s="71" t="s">
        <v>2272</v>
      </c>
      <c r="AA4139" s="71" t="s">
        <v>2272</v>
      </c>
      <c r="AB4139" s="19" t="s">
        <v>11529</v>
      </c>
      <c r="AC4139" s="4" t="s">
        <v>11517</v>
      </c>
    </row>
    <row r="4140" spans="1:29" s="197" customFormat="1" ht="48" customHeight="1">
      <c r="A4140" s="11" t="s">
        <v>10671</v>
      </c>
      <c r="B4140" s="11" t="s">
        <v>11055</v>
      </c>
      <c r="C4140" s="11" t="s">
        <v>1102</v>
      </c>
      <c r="D4140" s="77" t="s">
        <v>2272</v>
      </c>
      <c r="E4140" s="77" t="s">
        <v>2272</v>
      </c>
      <c r="F4140" s="77" t="s">
        <v>2272</v>
      </c>
      <c r="G4140" s="77" t="s">
        <v>2272</v>
      </c>
      <c r="H4140" s="11" t="s">
        <v>521</v>
      </c>
      <c r="I4140" s="198"/>
      <c r="J4140" s="71" t="s">
        <v>2272</v>
      </c>
      <c r="K4140" s="71" t="s">
        <v>2272</v>
      </c>
      <c r="L4140" s="71" t="s">
        <v>2272</v>
      </c>
      <c r="M4140" s="71" t="s">
        <v>2358</v>
      </c>
      <c r="N4140" s="71" t="s">
        <v>2272</v>
      </c>
      <c r="O4140" s="71" t="s">
        <v>2272</v>
      </c>
      <c r="P4140" s="71" t="s">
        <v>2272</v>
      </c>
      <c r="Q4140" s="71" t="s">
        <v>2272</v>
      </c>
      <c r="R4140" s="71" t="s">
        <v>2272</v>
      </c>
      <c r="S4140" s="71" t="s">
        <v>2358</v>
      </c>
      <c r="T4140" s="71" t="s">
        <v>2272</v>
      </c>
      <c r="U4140" s="71" t="s">
        <v>2272</v>
      </c>
      <c r="V4140" s="71" t="s">
        <v>2272</v>
      </c>
      <c r="W4140" s="71" t="s">
        <v>2272</v>
      </c>
      <c r="X4140" s="71" t="s">
        <v>2272</v>
      </c>
      <c r="Y4140" s="71" t="s">
        <v>2272</v>
      </c>
      <c r="Z4140" s="71" t="s">
        <v>2272</v>
      </c>
      <c r="AA4140" s="71" t="s">
        <v>2272</v>
      </c>
      <c r="AB4140" s="19" t="s">
        <v>11537</v>
      </c>
      <c r="AC4140" s="4" t="s">
        <v>11517</v>
      </c>
    </row>
    <row r="4141" spans="1:29" s="197" customFormat="1" ht="48" customHeight="1">
      <c r="A4141" s="11" t="s">
        <v>10672</v>
      </c>
      <c r="B4141" s="11" t="s">
        <v>11056</v>
      </c>
      <c r="C4141" s="11" t="s">
        <v>1102</v>
      </c>
      <c r="D4141" s="77" t="s">
        <v>2272</v>
      </c>
      <c r="E4141" s="77" t="s">
        <v>2272</v>
      </c>
      <c r="F4141" s="77" t="s">
        <v>2272</v>
      </c>
      <c r="G4141" s="77" t="s">
        <v>2272</v>
      </c>
      <c r="H4141" s="11" t="s">
        <v>521</v>
      </c>
      <c r="I4141" s="198"/>
      <c r="J4141" s="71" t="s">
        <v>2272</v>
      </c>
      <c r="K4141" s="71" t="s">
        <v>2272</v>
      </c>
      <c r="L4141" s="71" t="s">
        <v>2272</v>
      </c>
      <c r="M4141" s="71" t="s">
        <v>2272</v>
      </c>
      <c r="N4141" s="71" t="s">
        <v>2272</v>
      </c>
      <c r="O4141" s="71" t="s">
        <v>2272</v>
      </c>
      <c r="P4141" s="71" t="s">
        <v>2272</v>
      </c>
      <c r="Q4141" s="71" t="s">
        <v>2272</v>
      </c>
      <c r="R4141" s="71" t="s">
        <v>2272</v>
      </c>
      <c r="S4141" s="71" t="s">
        <v>2272</v>
      </c>
      <c r="T4141" s="71" t="s">
        <v>2272</v>
      </c>
      <c r="U4141" s="71" t="s">
        <v>2272</v>
      </c>
      <c r="V4141" s="71" t="s">
        <v>2272</v>
      </c>
      <c r="W4141" s="71" t="s">
        <v>2272</v>
      </c>
      <c r="X4141" s="71" t="s">
        <v>2272</v>
      </c>
      <c r="Y4141" s="71" t="s">
        <v>2272</v>
      </c>
      <c r="Z4141" s="71" t="s">
        <v>2272</v>
      </c>
      <c r="AA4141" s="71" t="s">
        <v>2272</v>
      </c>
      <c r="AB4141" s="19" t="s">
        <v>11538</v>
      </c>
      <c r="AC4141" s="4" t="s">
        <v>11517</v>
      </c>
    </row>
    <row r="4142" spans="1:29" s="197" customFormat="1" ht="48" customHeight="1">
      <c r="A4142" s="11" t="s">
        <v>10673</v>
      </c>
      <c r="B4142" s="11" t="s">
        <v>11057</v>
      </c>
      <c r="C4142" s="11" t="s">
        <v>1102</v>
      </c>
      <c r="D4142" s="77" t="s">
        <v>2272</v>
      </c>
      <c r="E4142" s="77" t="s">
        <v>2272</v>
      </c>
      <c r="F4142" s="77" t="s">
        <v>2272</v>
      </c>
      <c r="G4142" s="77" t="s">
        <v>2272</v>
      </c>
      <c r="H4142" s="11" t="s">
        <v>521</v>
      </c>
      <c r="I4142" s="198"/>
      <c r="J4142" s="71" t="s">
        <v>2272</v>
      </c>
      <c r="K4142" s="71" t="s">
        <v>2272</v>
      </c>
      <c r="L4142" s="71" t="s">
        <v>2272</v>
      </c>
      <c r="M4142" s="71" t="s">
        <v>2272</v>
      </c>
      <c r="N4142" s="71" t="s">
        <v>2272</v>
      </c>
      <c r="O4142" s="71" t="s">
        <v>2272</v>
      </c>
      <c r="P4142" s="71" t="s">
        <v>2272</v>
      </c>
      <c r="Q4142" s="71" t="s">
        <v>2272</v>
      </c>
      <c r="R4142" s="71" t="s">
        <v>2272</v>
      </c>
      <c r="S4142" s="71" t="s">
        <v>2272</v>
      </c>
      <c r="T4142" s="71" t="s">
        <v>2272</v>
      </c>
      <c r="U4142" s="71" t="s">
        <v>2272</v>
      </c>
      <c r="V4142" s="71" t="s">
        <v>2272</v>
      </c>
      <c r="W4142" s="71" t="s">
        <v>2272</v>
      </c>
      <c r="X4142" s="71" t="s">
        <v>2272</v>
      </c>
      <c r="Y4142" s="71" t="s">
        <v>2272</v>
      </c>
      <c r="Z4142" s="71" t="s">
        <v>2272</v>
      </c>
      <c r="AA4142" s="71" t="s">
        <v>2272</v>
      </c>
      <c r="AB4142" s="19" t="s">
        <v>11539</v>
      </c>
      <c r="AC4142" s="4" t="s">
        <v>11517</v>
      </c>
    </row>
    <row r="4143" spans="1:29" s="197" customFormat="1" ht="48" customHeight="1">
      <c r="A4143" s="11" t="s">
        <v>10674</v>
      </c>
      <c r="B4143" s="11" t="s">
        <v>11058</v>
      </c>
      <c r="C4143" s="11" t="s">
        <v>1102</v>
      </c>
      <c r="D4143" s="77" t="s">
        <v>2272</v>
      </c>
      <c r="E4143" s="77" t="s">
        <v>2272</v>
      </c>
      <c r="F4143" s="77" t="s">
        <v>2272</v>
      </c>
      <c r="G4143" s="77" t="s">
        <v>2272</v>
      </c>
      <c r="H4143" s="11" t="s">
        <v>521</v>
      </c>
      <c r="I4143" s="198"/>
      <c r="J4143" s="71" t="s">
        <v>2272</v>
      </c>
      <c r="K4143" s="71" t="s">
        <v>2272</v>
      </c>
      <c r="L4143" s="71" t="s">
        <v>2272</v>
      </c>
      <c r="M4143" s="71" t="s">
        <v>2358</v>
      </c>
      <c r="N4143" s="71" t="s">
        <v>2272</v>
      </c>
      <c r="O4143" s="71" t="s">
        <v>2272</v>
      </c>
      <c r="P4143" s="71" t="s">
        <v>2272</v>
      </c>
      <c r="Q4143" s="71" t="s">
        <v>2272</v>
      </c>
      <c r="R4143" s="71" t="s">
        <v>2272</v>
      </c>
      <c r="S4143" s="71" t="s">
        <v>2358</v>
      </c>
      <c r="T4143" s="71" t="s">
        <v>2272</v>
      </c>
      <c r="U4143" s="71" t="s">
        <v>2272</v>
      </c>
      <c r="V4143" s="71" t="s">
        <v>2272</v>
      </c>
      <c r="W4143" s="71" t="s">
        <v>2272</v>
      </c>
      <c r="X4143" s="71" t="s">
        <v>2272</v>
      </c>
      <c r="Y4143" s="71" t="s">
        <v>2272</v>
      </c>
      <c r="Z4143" s="71" t="s">
        <v>2272</v>
      </c>
      <c r="AA4143" s="71" t="s">
        <v>2272</v>
      </c>
      <c r="AB4143" s="19" t="s">
        <v>11540</v>
      </c>
      <c r="AC4143" s="4" t="s">
        <v>11517</v>
      </c>
    </row>
    <row r="4144" spans="1:29" s="197" customFormat="1" ht="48" customHeight="1">
      <c r="A4144" s="11" t="s">
        <v>10675</v>
      </c>
      <c r="B4144" s="11" t="s">
        <v>11059</v>
      </c>
      <c r="C4144" s="11" t="s">
        <v>1102</v>
      </c>
      <c r="D4144" s="77" t="s">
        <v>2272</v>
      </c>
      <c r="E4144" s="77" t="s">
        <v>2272</v>
      </c>
      <c r="F4144" s="77" t="s">
        <v>2272</v>
      </c>
      <c r="G4144" s="77" t="s">
        <v>2272</v>
      </c>
      <c r="H4144" s="11" t="s">
        <v>521</v>
      </c>
      <c r="I4144" s="198"/>
      <c r="J4144" s="71" t="s">
        <v>2272</v>
      </c>
      <c r="K4144" s="71" t="s">
        <v>2272</v>
      </c>
      <c r="L4144" s="71" t="s">
        <v>2272</v>
      </c>
      <c r="M4144" s="71" t="s">
        <v>2358</v>
      </c>
      <c r="N4144" s="71" t="s">
        <v>2272</v>
      </c>
      <c r="O4144" s="71" t="s">
        <v>2272</v>
      </c>
      <c r="P4144" s="71" t="s">
        <v>2272</v>
      </c>
      <c r="Q4144" s="71" t="s">
        <v>2272</v>
      </c>
      <c r="R4144" s="71" t="s">
        <v>2272</v>
      </c>
      <c r="S4144" s="71" t="s">
        <v>2358</v>
      </c>
      <c r="T4144" s="71" t="s">
        <v>2272</v>
      </c>
      <c r="U4144" s="71" t="s">
        <v>2272</v>
      </c>
      <c r="V4144" s="71" t="s">
        <v>2272</v>
      </c>
      <c r="W4144" s="71" t="s">
        <v>2272</v>
      </c>
      <c r="X4144" s="71" t="s">
        <v>2272</v>
      </c>
      <c r="Y4144" s="71" t="s">
        <v>2272</v>
      </c>
      <c r="Z4144" s="71" t="s">
        <v>2272</v>
      </c>
      <c r="AA4144" s="71" t="s">
        <v>2272</v>
      </c>
      <c r="AB4144" s="19" t="s">
        <v>11537</v>
      </c>
      <c r="AC4144" s="4" t="s">
        <v>11517</v>
      </c>
    </row>
    <row r="4145" spans="1:29" s="197" customFormat="1" ht="48" customHeight="1">
      <c r="A4145" s="11" t="s">
        <v>10676</v>
      </c>
      <c r="B4145" s="11" t="s">
        <v>11060</v>
      </c>
      <c r="C4145" s="11" t="s">
        <v>1102</v>
      </c>
      <c r="D4145" s="77" t="s">
        <v>2272</v>
      </c>
      <c r="E4145" s="77" t="s">
        <v>2272</v>
      </c>
      <c r="F4145" s="77" t="s">
        <v>2272</v>
      </c>
      <c r="G4145" s="77" t="s">
        <v>2272</v>
      </c>
      <c r="H4145" s="11" t="s">
        <v>521</v>
      </c>
      <c r="I4145" s="198"/>
      <c r="J4145" s="71" t="s">
        <v>2272</v>
      </c>
      <c r="K4145" s="71" t="s">
        <v>2272</v>
      </c>
      <c r="L4145" s="71" t="s">
        <v>2272</v>
      </c>
      <c r="M4145" s="71" t="s">
        <v>2272</v>
      </c>
      <c r="N4145" s="71" t="s">
        <v>2272</v>
      </c>
      <c r="O4145" s="71" t="s">
        <v>2272</v>
      </c>
      <c r="P4145" s="71" t="s">
        <v>2272</v>
      </c>
      <c r="Q4145" s="71" t="s">
        <v>2272</v>
      </c>
      <c r="R4145" s="71" t="s">
        <v>2272</v>
      </c>
      <c r="S4145" s="71" t="s">
        <v>2272</v>
      </c>
      <c r="T4145" s="71" t="s">
        <v>2272</v>
      </c>
      <c r="U4145" s="71" t="s">
        <v>2272</v>
      </c>
      <c r="V4145" s="71" t="s">
        <v>2272</v>
      </c>
      <c r="W4145" s="71" t="s">
        <v>2272</v>
      </c>
      <c r="X4145" s="71" t="s">
        <v>2272</v>
      </c>
      <c r="Y4145" s="71" t="s">
        <v>2272</v>
      </c>
      <c r="Z4145" s="71" t="s">
        <v>2272</v>
      </c>
      <c r="AA4145" s="71" t="s">
        <v>2272</v>
      </c>
      <c r="AB4145" s="19" t="s">
        <v>11541</v>
      </c>
      <c r="AC4145" s="4" t="s">
        <v>11517</v>
      </c>
    </row>
    <row r="4146" spans="1:29" s="197" customFormat="1" ht="48" customHeight="1">
      <c r="A4146" s="11" t="s">
        <v>10677</v>
      </c>
      <c r="B4146" s="11" t="s">
        <v>11061</v>
      </c>
      <c r="C4146" s="11" t="s">
        <v>1102</v>
      </c>
      <c r="D4146" s="77" t="s">
        <v>2272</v>
      </c>
      <c r="E4146" s="77" t="s">
        <v>2272</v>
      </c>
      <c r="F4146" s="77" t="s">
        <v>2272</v>
      </c>
      <c r="G4146" s="77" t="s">
        <v>2272</v>
      </c>
      <c r="H4146" s="11" t="s">
        <v>521</v>
      </c>
      <c r="I4146" s="198"/>
      <c r="J4146" s="71" t="s">
        <v>2272</v>
      </c>
      <c r="K4146" s="71" t="s">
        <v>2272</v>
      </c>
      <c r="L4146" s="71" t="s">
        <v>2272</v>
      </c>
      <c r="M4146" s="71" t="s">
        <v>2272</v>
      </c>
      <c r="N4146" s="71" t="s">
        <v>2272</v>
      </c>
      <c r="O4146" s="71" t="s">
        <v>2272</v>
      </c>
      <c r="P4146" s="71" t="s">
        <v>2272</v>
      </c>
      <c r="Q4146" s="71" t="s">
        <v>2272</v>
      </c>
      <c r="R4146" s="71" t="s">
        <v>2272</v>
      </c>
      <c r="S4146" s="71" t="s">
        <v>2272</v>
      </c>
      <c r="T4146" s="71" t="s">
        <v>2272</v>
      </c>
      <c r="U4146" s="71" t="s">
        <v>2272</v>
      </c>
      <c r="V4146" s="71" t="s">
        <v>2272</v>
      </c>
      <c r="W4146" s="71" t="s">
        <v>2272</v>
      </c>
      <c r="X4146" s="71" t="s">
        <v>2272</v>
      </c>
      <c r="Y4146" s="71" t="s">
        <v>2272</v>
      </c>
      <c r="Z4146" s="71" t="s">
        <v>2272</v>
      </c>
      <c r="AA4146" s="71" t="s">
        <v>2272</v>
      </c>
      <c r="AB4146" s="19" t="s">
        <v>11542</v>
      </c>
      <c r="AC4146" s="4" t="s">
        <v>11517</v>
      </c>
    </row>
    <row r="4147" spans="1:29" s="197" customFormat="1" ht="48" customHeight="1">
      <c r="A4147" s="11" t="s">
        <v>10678</v>
      </c>
      <c r="B4147" s="11" t="s">
        <v>11062</v>
      </c>
      <c r="C4147" s="11" t="s">
        <v>1102</v>
      </c>
      <c r="D4147" s="77" t="s">
        <v>2272</v>
      </c>
      <c r="E4147" s="77" t="s">
        <v>2272</v>
      </c>
      <c r="F4147" s="77" t="s">
        <v>2272</v>
      </c>
      <c r="G4147" s="77" t="s">
        <v>2272</v>
      </c>
      <c r="H4147" s="11" t="s">
        <v>521</v>
      </c>
      <c r="I4147" s="198"/>
      <c r="J4147" s="71" t="s">
        <v>2272</v>
      </c>
      <c r="K4147" s="71" t="s">
        <v>2272</v>
      </c>
      <c r="L4147" s="71" t="s">
        <v>2272</v>
      </c>
      <c r="M4147" s="71" t="s">
        <v>2358</v>
      </c>
      <c r="N4147" s="71" t="s">
        <v>2272</v>
      </c>
      <c r="O4147" s="71" t="s">
        <v>2272</v>
      </c>
      <c r="P4147" s="71" t="s">
        <v>2272</v>
      </c>
      <c r="Q4147" s="71" t="s">
        <v>2272</v>
      </c>
      <c r="R4147" s="71" t="s">
        <v>2272</v>
      </c>
      <c r="S4147" s="71" t="s">
        <v>2358</v>
      </c>
      <c r="T4147" s="71" t="s">
        <v>2272</v>
      </c>
      <c r="U4147" s="71" t="s">
        <v>2272</v>
      </c>
      <c r="V4147" s="71" t="s">
        <v>2272</v>
      </c>
      <c r="W4147" s="71" t="s">
        <v>2272</v>
      </c>
      <c r="X4147" s="71" t="s">
        <v>2272</v>
      </c>
      <c r="Y4147" s="71" t="s">
        <v>2272</v>
      </c>
      <c r="Z4147" s="71" t="s">
        <v>2272</v>
      </c>
      <c r="AA4147" s="71" t="s">
        <v>2272</v>
      </c>
      <c r="AB4147" s="19" t="s">
        <v>11543</v>
      </c>
      <c r="AC4147" s="4" t="s">
        <v>11517</v>
      </c>
    </row>
    <row r="4148" spans="1:29" s="197" customFormat="1" ht="48" customHeight="1">
      <c r="A4148" s="11" t="s">
        <v>10679</v>
      </c>
      <c r="B4148" s="11" t="s">
        <v>11063</v>
      </c>
      <c r="C4148" s="11" t="s">
        <v>1102</v>
      </c>
      <c r="D4148" s="77" t="s">
        <v>2272</v>
      </c>
      <c r="E4148" s="77" t="s">
        <v>2272</v>
      </c>
      <c r="F4148" s="77" t="s">
        <v>2272</v>
      </c>
      <c r="G4148" s="77" t="s">
        <v>2272</v>
      </c>
      <c r="H4148" s="11" t="s">
        <v>521</v>
      </c>
      <c r="I4148" s="198"/>
      <c r="J4148" s="71" t="s">
        <v>2272</v>
      </c>
      <c r="K4148" s="71" t="s">
        <v>2272</v>
      </c>
      <c r="L4148" s="71" t="s">
        <v>2272</v>
      </c>
      <c r="M4148" s="71" t="s">
        <v>2272</v>
      </c>
      <c r="N4148" s="71" t="s">
        <v>2272</v>
      </c>
      <c r="O4148" s="71" t="s">
        <v>2272</v>
      </c>
      <c r="P4148" s="71" t="s">
        <v>2272</v>
      </c>
      <c r="Q4148" s="71" t="s">
        <v>2272</v>
      </c>
      <c r="R4148" s="71" t="s">
        <v>2272</v>
      </c>
      <c r="S4148" s="71" t="s">
        <v>2272</v>
      </c>
      <c r="T4148" s="71" t="s">
        <v>2272</v>
      </c>
      <c r="U4148" s="71" t="s">
        <v>2272</v>
      </c>
      <c r="V4148" s="71" t="s">
        <v>2272</v>
      </c>
      <c r="W4148" s="71" t="s">
        <v>2272</v>
      </c>
      <c r="X4148" s="71" t="s">
        <v>2272</v>
      </c>
      <c r="Y4148" s="71" t="s">
        <v>2272</v>
      </c>
      <c r="Z4148" s="71" t="s">
        <v>2272</v>
      </c>
      <c r="AA4148" s="71" t="s">
        <v>2272</v>
      </c>
      <c r="AB4148" s="19" t="s">
        <v>11544</v>
      </c>
      <c r="AC4148" s="4" t="s">
        <v>11517</v>
      </c>
    </row>
    <row r="4149" spans="1:29" s="197" customFormat="1" ht="48" customHeight="1">
      <c r="A4149" s="11" t="s">
        <v>10680</v>
      </c>
      <c r="B4149" s="11" t="s">
        <v>11064</v>
      </c>
      <c r="C4149" s="11" t="s">
        <v>1102</v>
      </c>
      <c r="D4149" s="77" t="s">
        <v>2272</v>
      </c>
      <c r="E4149" s="77" t="s">
        <v>2272</v>
      </c>
      <c r="F4149" s="77" t="s">
        <v>2272</v>
      </c>
      <c r="G4149" s="77" t="s">
        <v>2272</v>
      </c>
      <c r="H4149" s="11" t="s">
        <v>521</v>
      </c>
      <c r="I4149" s="198"/>
      <c r="J4149" s="71" t="s">
        <v>2272</v>
      </c>
      <c r="K4149" s="71" t="s">
        <v>2272</v>
      </c>
      <c r="L4149" s="71" t="s">
        <v>2272</v>
      </c>
      <c r="M4149" s="71" t="s">
        <v>2272</v>
      </c>
      <c r="N4149" s="71" t="s">
        <v>2272</v>
      </c>
      <c r="O4149" s="71" t="s">
        <v>2272</v>
      </c>
      <c r="P4149" s="71" t="s">
        <v>2272</v>
      </c>
      <c r="Q4149" s="71" t="s">
        <v>2272</v>
      </c>
      <c r="R4149" s="71" t="s">
        <v>2272</v>
      </c>
      <c r="S4149" s="71" t="s">
        <v>2272</v>
      </c>
      <c r="T4149" s="71" t="s">
        <v>2272</v>
      </c>
      <c r="U4149" s="71" t="s">
        <v>2272</v>
      </c>
      <c r="V4149" s="71" t="s">
        <v>2272</v>
      </c>
      <c r="W4149" s="71" t="s">
        <v>2272</v>
      </c>
      <c r="X4149" s="71" t="s">
        <v>2272</v>
      </c>
      <c r="Y4149" s="71" t="s">
        <v>2272</v>
      </c>
      <c r="Z4149" s="71" t="s">
        <v>2272</v>
      </c>
      <c r="AA4149" s="71" t="s">
        <v>2272</v>
      </c>
      <c r="AB4149" s="19" t="s">
        <v>11545</v>
      </c>
      <c r="AC4149" s="4" t="s">
        <v>11517</v>
      </c>
    </row>
    <row r="4150" spans="1:29" s="197" customFormat="1" ht="48" customHeight="1">
      <c r="A4150" s="11" t="s">
        <v>10681</v>
      </c>
      <c r="B4150" s="11" t="s">
        <v>11065</v>
      </c>
      <c r="C4150" s="11" t="s">
        <v>1102</v>
      </c>
      <c r="D4150" s="77" t="s">
        <v>2272</v>
      </c>
      <c r="E4150" s="77" t="s">
        <v>2272</v>
      </c>
      <c r="F4150" s="77" t="s">
        <v>2272</v>
      </c>
      <c r="G4150" s="77" t="s">
        <v>2272</v>
      </c>
      <c r="H4150" s="11" t="s">
        <v>521</v>
      </c>
      <c r="I4150" s="198"/>
      <c r="J4150" s="71" t="s">
        <v>2272</v>
      </c>
      <c r="K4150" s="71" t="s">
        <v>2272</v>
      </c>
      <c r="L4150" s="71" t="s">
        <v>2272</v>
      </c>
      <c r="M4150" s="71" t="s">
        <v>2272</v>
      </c>
      <c r="N4150" s="71" t="s">
        <v>2272</v>
      </c>
      <c r="O4150" s="71" t="s">
        <v>2272</v>
      </c>
      <c r="P4150" s="71" t="s">
        <v>2272</v>
      </c>
      <c r="Q4150" s="71" t="s">
        <v>2272</v>
      </c>
      <c r="R4150" s="71" t="s">
        <v>2272</v>
      </c>
      <c r="S4150" s="71" t="s">
        <v>2272</v>
      </c>
      <c r="T4150" s="71" t="s">
        <v>2272</v>
      </c>
      <c r="U4150" s="71" t="s">
        <v>2272</v>
      </c>
      <c r="V4150" s="71" t="s">
        <v>2272</v>
      </c>
      <c r="W4150" s="71" t="s">
        <v>2272</v>
      </c>
      <c r="X4150" s="71" t="s">
        <v>2272</v>
      </c>
      <c r="Y4150" s="71" t="s">
        <v>2272</v>
      </c>
      <c r="Z4150" s="71" t="s">
        <v>2272</v>
      </c>
      <c r="AA4150" s="71" t="s">
        <v>2272</v>
      </c>
      <c r="AB4150" s="19" t="s">
        <v>11546</v>
      </c>
      <c r="AC4150" s="4" t="s">
        <v>11517</v>
      </c>
    </row>
    <row r="4151" spans="1:29" s="197" customFormat="1" ht="48" customHeight="1">
      <c r="A4151" s="11" t="s">
        <v>10682</v>
      </c>
      <c r="B4151" s="11" t="s">
        <v>11066</v>
      </c>
      <c r="C4151" s="11" t="s">
        <v>1102</v>
      </c>
      <c r="D4151" s="77" t="s">
        <v>2272</v>
      </c>
      <c r="E4151" s="77" t="s">
        <v>2272</v>
      </c>
      <c r="F4151" s="77" t="s">
        <v>2272</v>
      </c>
      <c r="G4151" s="77" t="s">
        <v>2272</v>
      </c>
      <c r="H4151" s="11" t="s">
        <v>521</v>
      </c>
      <c r="I4151" s="198"/>
      <c r="J4151" s="71" t="s">
        <v>2272</v>
      </c>
      <c r="K4151" s="71" t="s">
        <v>2272</v>
      </c>
      <c r="L4151" s="71" t="s">
        <v>2272</v>
      </c>
      <c r="M4151" s="71" t="s">
        <v>2272</v>
      </c>
      <c r="N4151" s="71" t="s">
        <v>2272</v>
      </c>
      <c r="O4151" s="71" t="s">
        <v>2272</v>
      </c>
      <c r="P4151" s="71" t="s">
        <v>2272</v>
      </c>
      <c r="Q4151" s="71" t="s">
        <v>2272</v>
      </c>
      <c r="R4151" s="71" t="s">
        <v>2272</v>
      </c>
      <c r="S4151" s="71" t="s">
        <v>2272</v>
      </c>
      <c r="T4151" s="71" t="s">
        <v>2272</v>
      </c>
      <c r="U4151" s="71" t="s">
        <v>2272</v>
      </c>
      <c r="V4151" s="71" t="s">
        <v>2272</v>
      </c>
      <c r="W4151" s="71" t="s">
        <v>2272</v>
      </c>
      <c r="X4151" s="71" t="s">
        <v>2272</v>
      </c>
      <c r="Y4151" s="71" t="s">
        <v>2272</v>
      </c>
      <c r="Z4151" s="71" t="s">
        <v>2272</v>
      </c>
      <c r="AA4151" s="71" t="s">
        <v>2272</v>
      </c>
      <c r="AB4151" s="19" t="s">
        <v>11533</v>
      </c>
      <c r="AC4151" s="4" t="s">
        <v>11517</v>
      </c>
    </row>
    <row r="4152" spans="1:29" s="197" customFormat="1" ht="48" customHeight="1">
      <c r="A4152" s="11" t="s">
        <v>10683</v>
      </c>
      <c r="B4152" s="11" t="s">
        <v>11067</v>
      </c>
      <c r="C4152" s="11" t="s">
        <v>1102</v>
      </c>
      <c r="D4152" s="77" t="s">
        <v>2272</v>
      </c>
      <c r="E4152" s="77" t="s">
        <v>2272</v>
      </c>
      <c r="F4152" s="77" t="s">
        <v>2272</v>
      </c>
      <c r="G4152" s="77" t="s">
        <v>2272</v>
      </c>
      <c r="H4152" s="11" t="s">
        <v>521</v>
      </c>
      <c r="I4152" s="198"/>
      <c r="J4152" s="71" t="s">
        <v>2272</v>
      </c>
      <c r="K4152" s="71" t="s">
        <v>2272</v>
      </c>
      <c r="L4152" s="71" t="s">
        <v>2272</v>
      </c>
      <c r="M4152" s="71" t="s">
        <v>2272</v>
      </c>
      <c r="N4152" s="71" t="s">
        <v>2272</v>
      </c>
      <c r="O4152" s="71" t="s">
        <v>2272</v>
      </c>
      <c r="P4152" s="71" t="s">
        <v>2272</v>
      </c>
      <c r="Q4152" s="71" t="s">
        <v>2272</v>
      </c>
      <c r="R4152" s="71" t="s">
        <v>2272</v>
      </c>
      <c r="S4152" s="71" t="s">
        <v>2272</v>
      </c>
      <c r="T4152" s="71" t="s">
        <v>2272</v>
      </c>
      <c r="U4152" s="71" t="s">
        <v>2272</v>
      </c>
      <c r="V4152" s="71" t="s">
        <v>2272</v>
      </c>
      <c r="W4152" s="71" t="s">
        <v>2272</v>
      </c>
      <c r="X4152" s="71" t="s">
        <v>2272</v>
      </c>
      <c r="Y4152" s="71" t="s">
        <v>2272</v>
      </c>
      <c r="Z4152" s="71" t="s">
        <v>2272</v>
      </c>
      <c r="AA4152" s="71" t="s">
        <v>2272</v>
      </c>
      <c r="AB4152" s="19" t="s">
        <v>11547</v>
      </c>
      <c r="AC4152" s="4" t="s">
        <v>11517</v>
      </c>
    </row>
    <row r="4153" spans="1:29" s="197" customFormat="1" ht="48" customHeight="1">
      <c r="A4153" s="11" t="s">
        <v>10684</v>
      </c>
      <c r="B4153" s="11" t="s">
        <v>11068</v>
      </c>
      <c r="C4153" s="11" t="s">
        <v>1102</v>
      </c>
      <c r="D4153" s="77" t="s">
        <v>2272</v>
      </c>
      <c r="E4153" s="77" t="s">
        <v>2272</v>
      </c>
      <c r="F4153" s="77" t="s">
        <v>2272</v>
      </c>
      <c r="G4153" s="77" t="s">
        <v>2272</v>
      </c>
      <c r="H4153" s="11" t="s">
        <v>521</v>
      </c>
      <c r="I4153" s="198"/>
      <c r="J4153" s="71" t="s">
        <v>2272</v>
      </c>
      <c r="K4153" s="71" t="s">
        <v>2272</v>
      </c>
      <c r="L4153" s="71" t="s">
        <v>2272</v>
      </c>
      <c r="M4153" s="71" t="s">
        <v>2358</v>
      </c>
      <c r="N4153" s="71" t="s">
        <v>2272</v>
      </c>
      <c r="O4153" s="71" t="s">
        <v>2272</v>
      </c>
      <c r="P4153" s="71" t="s">
        <v>2272</v>
      </c>
      <c r="Q4153" s="71" t="s">
        <v>2272</v>
      </c>
      <c r="R4153" s="71" t="s">
        <v>2272</v>
      </c>
      <c r="S4153" s="71" t="s">
        <v>2358</v>
      </c>
      <c r="T4153" s="71" t="s">
        <v>2272</v>
      </c>
      <c r="U4153" s="71" t="s">
        <v>2272</v>
      </c>
      <c r="V4153" s="71" t="s">
        <v>2272</v>
      </c>
      <c r="W4153" s="71" t="s">
        <v>2272</v>
      </c>
      <c r="X4153" s="71" t="s">
        <v>2272</v>
      </c>
      <c r="Y4153" s="71" t="s">
        <v>2272</v>
      </c>
      <c r="Z4153" s="71" t="s">
        <v>2272</v>
      </c>
      <c r="AA4153" s="71" t="s">
        <v>2272</v>
      </c>
      <c r="AB4153" s="19" t="s">
        <v>11537</v>
      </c>
      <c r="AC4153" s="4" t="s">
        <v>11517</v>
      </c>
    </row>
    <row r="4154" spans="1:29" s="197" customFormat="1" ht="48" customHeight="1">
      <c r="A4154" s="11" t="s">
        <v>10685</v>
      </c>
      <c r="B4154" s="11" t="s">
        <v>11069</v>
      </c>
      <c r="C4154" s="11" t="s">
        <v>1102</v>
      </c>
      <c r="D4154" s="77" t="s">
        <v>2272</v>
      </c>
      <c r="E4154" s="77" t="s">
        <v>2272</v>
      </c>
      <c r="F4154" s="77" t="s">
        <v>2272</v>
      </c>
      <c r="G4154" s="77" t="s">
        <v>2272</v>
      </c>
      <c r="H4154" s="11" t="s">
        <v>521</v>
      </c>
      <c r="I4154" s="198"/>
      <c r="J4154" s="71" t="s">
        <v>2272</v>
      </c>
      <c r="K4154" s="71" t="s">
        <v>2272</v>
      </c>
      <c r="L4154" s="71" t="s">
        <v>2272</v>
      </c>
      <c r="M4154" s="71" t="s">
        <v>2358</v>
      </c>
      <c r="N4154" s="71" t="s">
        <v>2272</v>
      </c>
      <c r="O4154" s="71" t="s">
        <v>2272</v>
      </c>
      <c r="P4154" s="71" t="s">
        <v>2272</v>
      </c>
      <c r="Q4154" s="71" t="s">
        <v>2272</v>
      </c>
      <c r="R4154" s="71" t="s">
        <v>2272</v>
      </c>
      <c r="S4154" s="71" t="s">
        <v>2358</v>
      </c>
      <c r="T4154" s="71" t="s">
        <v>2272</v>
      </c>
      <c r="U4154" s="71" t="s">
        <v>2272</v>
      </c>
      <c r="V4154" s="71" t="s">
        <v>2272</v>
      </c>
      <c r="W4154" s="71" t="s">
        <v>2272</v>
      </c>
      <c r="X4154" s="71" t="s">
        <v>2272</v>
      </c>
      <c r="Y4154" s="71" t="s">
        <v>2272</v>
      </c>
      <c r="Z4154" s="71" t="s">
        <v>2272</v>
      </c>
      <c r="AA4154" s="71" t="s">
        <v>2272</v>
      </c>
      <c r="AB4154" s="19" t="s">
        <v>11543</v>
      </c>
      <c r="AC4154" s="4" t="s">
        <v>11517</v>
      </c>
    </row>
    <row r="4155" spans="1:29" s="197" customFormat="1" ht="48" customHeight="1">
      <c r="A4155" s="11" t="s">
        <v>10686</v>
      </c>
      <c r="B4155" s="11" t="s">
        <v>11070</v>
      </c>
      <c r="C4155" s="11" t="s">
        <v>1102</v>
      </c>
      <c r="D4155" s="77" t="s">
        <v>2272</v>
      </c>
      <c r="E4155" s="77" t="s">
        <v>2272</v>
      </c>
      <c r="F4155" s="77" t="s">
        <v>2272</v>
      </c>
      <c r="G4155" s="77" t="s">
        <v>2272</v>
      </c>
      <c r="H4155" s="11" t="s">
        <v>521</v>
      </c>
      <c r="I4155" s="198"/>
      <c r="J4155" s="71" t="s">
        <v>2272</v>
      </c>
      <c r="K4155" s="71" t="s">
        <v>2272</v>
      </c>
      <c r="L4155" s="71" t="s">
        <v>2272</v>
      </c>
      <c r="M4155" s="71" t="s">
        <v>2358</v>
      </c>
      <c r="N4155" s="71" t="s">
        <v>2272</v>
      </c>
      <c r="O4155" s="71" t="s">
        <v>2272</v>
      </c>
      <c r="P4155" s="71" t="s">
        <v>2272</v>
      </c>
      <c r="Q4155" s="71" t="s">
        <v>2272</v>
      </c>
      <c r="R4155" s="71" t="s">
        <v>2272</v>
      </c>
      <c r="S4155" s="71" t="s">
        <v>2358</v>
      </c>
      <c r="T4155" s="71" t="s">
        <v>2272</v>
      </c>
      <c r="U4155" s="71" t="s">
        <v>2272</v>
      </c>
      <c r="V4155" s="71" t="s">
        <v>2272</v>
      </c>
      <c r="W4155" s="71" t="s">
        <v>2272</v>
      </c>
      <c r="X4155" s="71" t="s">
        <v>2272</v>
      </c>
      <c r="Y4155" s="71" t="s">
        <v>2272</v>
      </c>
      <c r="Z4155" s="71" t="s">
        <v>2272</v>
      </c>
      <c r="AA4155" s="71" t="s">
        <v>2272</v>
      </c>
      <c r="AB4155" s="19" t="s">
        <v>11529</v>
      </c>
      <c r="AC4155" s="4" t="s">
        <v>11517</v>
      </c>
    </row>
    <row r="4156" spans="1:29" s="197" customFormat="1" ht="48" customHeight="1">
      <c r="A4156" s="11" t="s">
        <v>10687</v>
      </c>
      <c r="B4156" s="11" t="s">
        <v>11071</v>
      </c>
      <c r="C4156" s="11" t="s">
        <v>1102</v>
      </c>
      <c r="D4156" s="77" t="s">
        <v>2272</v>
      </c>
      <c r="E4156" s="77" t="s">
        <v>2272</v>
      </c>
      <c r="F4156" s="77" t="s">
        <v>2272</v>
      </c>
      <c r="G4156" s="77" t="s">
        <v>2272</v>
      </c>
      <c r="H4156" s="11" t="s">
        <v>521</v>
      </c>
      <c r="I4156" s="198"/>
      <c r="J4156" s="71" t="s">
        <v>2272</v>
      </c>
      <c r="K4156" s="71" t="s">
        <v>2272</v>
      </c>
      <c r="L4156" s="71" t="s">
        <v>2272</v>
      </c>
      <c r="M4156" s="71" t="s">
        <v>2272</v>
      </c>
      <c r="N4156" s="71" t="s">
        <v>2272</v>
      </c>
      <c r="O4156" s="71" t="s">
        <v>2272</v>
      </c>
      <c r="P4156" s="71" t="s">
        <v>2272</v>
      </c>
      <c r="Q4156" s="71" t="s">
        <v>2272</v>
      </c>
      <c r="R4156" s="71" t="s">
        <v>2272</v>
      </c>
      <c r="S4156" s="71" t="s">
        <v>2272</v>
      </c>
      <c r="T4156" s="71" t="s">
        <v>2272</v>
      </c>
      <c r="U4156" s="71" t="s">
        <v>2272</v>
      </c>
      <c r="V4156" s="71" t="s">
        <v>2272</v>
      </c>
      <c r="W4156" s="71" t="s">
        <v>2272</v>
      </c>
      <c r="X4156" s="71" t="s">
        <v>2272</v>
      </c>
      <c r="Y4156" s="71" t="s">
        <v>2272</v>
      </c>
      <c r="Z4156" s="71" t="s">
        <v>2272</v>
      </c>
      <c r="AA4156" s="71" t="s">
        <v>2272</v>
      </c>
      <c r="AB4156" s="19" t="s">
        <v>11548</v>
      </c>
      <c r="AC4156" s="4" t="s">
        <v>11517</v>
      </c>
    </row>
    <row r="4157" spans="1:29" s="197" customFormat="1" ht="48" customHeight="1">
      <c r="A4157" s="11" t="s">
        <v>10688</v>
      </c>
      <c r="B4157" s="11" t="s">
        <v>11072</v>
      </c>
      <c r="C4157" s="11" t="s">
        <v>1102</v>
      </c>
      <c r="D4157" s="77" t="s">
        <v>2272</v>
      </c>
      <c r="E4157" s="77" t="s">
        <v>2272</v>
      </c>
      <c r="F4157" s="77" t="s">
        <v>2272</v>
      </c>
      <c r="G4157" s="77" t="s">
        <v>2272</v>
      </c>
      <c r="H4157" s="11" t="s">
        <v>521</v>
      </c>
      <c r="I4157" s="198"/>
      <c r="J4157" s="71" t="s">
        <v>2272</v>
      </c>
      <c r="K4157" s="71" t="s">
        <v>2272</v>
      </c>
      <c r="L4157" s="71" t="s">
        <v>2272</v>
      </c>
      <c r="M4157" s="71" t="s">
        <v>2272</v>
      </c>
      <c r="N4157" s="71" t="s">
        <v>2272</v>
      </c>
      <c r="O4157" s="71" t="s">
        <v>2272</v>
      </c>
      <c r="P4157" s="71" t="s">
        <v>2272</v>
      </c>
      <c r="Q4157" s="71" t="s">
        <v>2272</v>
      </c>
      <c r="R4157" s="71" t="s">
        <v>2272</v>
      </c>
      <c r="S4157" s="71" t="s">
        <v>2272</v>
      </c>
      <c r="T4157" s="71" t="s">
        <v>2272</v>
      </c>
      <c r="U4157" s="71" t="s">
        <v>2272</v>
      </c>
      <c r="V4157" s="71" t="s">
        <v>2272</v>
      </c>
      <c r="W4157" s="71" t="s">
        <v>2272</v>
      </c>
      <c r="X4157" s="71" t="s">
        <v>2272</v>
      </c>
      <c r="Y4157" s="71" t="s">
        <v>2272</v>
      </c>
      <c r="Z4157" s="71" t="s">
        <v>2272</v>
      </c>
      <c r="AA4157" s="71" t="s">
        <v>2272</v>
      </c>
      <c r="AB4157" s="19" t="s">
        <v>11549</v>
      </c>
      <c r="AC4157" s="4" t="s">
        <v>11517</v>
      </c>
    </row>
    <row r="4158" spans="1:29" s="197" customFormat="1" ht="48" customHeight="1">
      <c r="A4158" s="11" t="s">
        <v>10689</v>
      </c>
      <c r="B4158" s="11" t="s">
        <v>11073</v>
      </c>
      <c r="C4158" s="11" t="s">
        <v>1102</v>
      </c>
      <c r="D4158" s="77" t="s">
        <v>2272</v>
      </c>
      <c r="E4158" s="77" t="s">
        <v>2272</v>
      </c>
      <c r="F4158" s="77" t="s">
        <v>2272</v>
      </c>
      <c r="G4158" s="77" t="s">
        <v>2272</v>
      </c>
      <c r="H4158" s="11" t="s">
        <v>521</v>
      </c>
      <c r="I4158" s="198"/>
      <c r="J4158" s="71" t="s">
        <v>2272</v>
      </c>
      <c r="K4158" s="71" t="s">
        <v>2272</v>
      </c>
      <c r="L4158" s="71" t="s">
        <v>2272</v>
      </c>
      <c r="M4158" s="71" t="s">
        <v>2272</v>
      </c>
      <c r="N4158" s="71" t="s">
        <v>2272</v>
      </c>
      <c r="O4158" s="71" t="s">
        <v>2272</v>
      </c>
      <c r="P4158" s="71" t="s">
        <v>2272</v>
      </c>
      <c r="Q4158" s="71" t="s">
        <v>2272</v>
      </c>
      <c r="R4158" s="71" t="s">
        <v>2272</v>
      </c>
      <c r="S4158" s="71" t="s">
        <v>2272</v>
      </c>
      <c r="T4158" s="71" t="s">
        <v>2272</v>
      </c>
      <c r="U4158" s="71" t="s">
        <v>2272</v>
      </c>
      <c r="V4158" s="71" t="s">
        <v>2272</v>
      </c>
      <c r="W4158" s="71" t="s">
        <v>2272</v>
      </c>
      <c r="X4158" s="71" t="s">
        <v>2272</v>
      </c>
      <c r="Y4158" s="71" t="s">
        <v>2272</v>
      </c>
      <c r="Z4158" s="71" t="s">
        <v>2272</v>
      </c>
      <c r="AA4158" s="71" t="s">
        <v>2272</v>
      </c>
      <c r="AB4158" s="19" t="s">
        <v>11525</v>
      </c>
      <c r="AC4158" s="4" t="s">
        <v>11517</v>
      </c>
    </row>
    <row r="4159" spans="1:29" s="197" customFormat="1" ht="48" customHeight="1">
      <c r="A4159" s="11" t="s">
        <v>10690</v>
      </c>
      <c r="B4159" s="11" t="s">
        <v>11074</v>
      </c>
      <c r="C4159" s="11" t="s">
        <v>1102</v>
      </c>
      <c r="D4159" s="77" t="s">
        <v>2272</v>
      </c>
      <c r="E4159" s="77" t="s">
        <v>2272</v>
      </c>
      <c r="F4159" s="77" t="s">
        <v>2272</v>
      </c>
      <c r="G4159" s="77" t="s">
        <v>2272</v>
      </c>
      <c r="H4159" s="11" t="s">
        <v>521</v>
      </c>
      <c r="I4159" s="198"/>
      <c r="J4159" s="71" t="s">
        <v>2272</v>
      </c>
      <c r="K4159" s="71" t="s">
        <v>2272</v>
      </c>
      <c r="L4159" s="71" t="s">
        <v>2272</v>
      </c>
      <c r="M4159" s="71" t="s">
        <v>2272</v>
      </c>
      <c r="N4159" s="71" t="s">
        <v>2272</v>
      </c>
      <c r="O4159" s="71" t="s">
        <v>2272</v>
      </c>
      <c r="P4159" s="71" t="s">
        <v>2272</v>
      </c>
      <c r="Q4159" s="71" t="s">
        <v>2272</v>
      </c>
      <c r="R4159" s="71" t="s">
        <v>2272</v>
      </c>
      <c r="S4159" s="71" t="s">
        <v>2272</v>
      </c>
      <c r="T4159" s="71" t="s">
        <v>2272</v>
      </c>
      <c r="U4159" s="71" t="s">
        <v>2272</v>
      </c>
      <c r="V4159" s="71" t="s">
        <v>2272</v>
      </c>
      <c r="W4159" s="71" t="s">
        <v>2272</v>
      </c>
      <c r="X4159" s="71" t="s">
        <v>2272</v>
      </c>
      <c r="Y4159" s="71" t="s">
        <v>2272</v>
      </c>
      <c r="Z4159" s="71" t="s">
        <v>2272</v>
      </c>
      <c r="AA4159" s="71" t="s">
        <v>2272</v>
      </c>
      <c r="AB4159" s="19" t="s">
        <v>11550</v>
      </c>
      <c r="AC4159" s="4" t="s">
        <v>11517</v>
      </c>
    </row>
    <row r="4160" spans="1:29" s="197" customFormat="1" ht="48" customHeight="1">
      <c r="A4160" s="11" t="s">
        <v>10691</v>
      </c>
      <c r="B4160" s="11" t="s">
        <v>11075</v>
      </c>
      <c r="C4160" s="11" t="s">
        <v>1102</v>
      </c>
      <c r="D4160" s="77" t="s">
        <v>2272</v>
      </c>
      <c r="E4160" s="77" t="s">
        <v>2272</v>
      </c>
      <c r="F4160" s="77" t="s">
        <v>2272</v>
      </c>
      <c r="G4160" s="77" t="s">
        <v>2272</v>
      </c>
      <c r="H4160" s="11" t="s">
        <v>521</v>
      </c>
      <c r="I4160" s="198"/>
      <c r="J4160" s="71" t="s">
        <v>2272</v>
      </c>
      <c r="K4160" s="71" t="s">
        <v>2272</v>
      </c>
      <c r="L4160" s="71" t="s">
        <v>2272</v>
      </c>
      <c r="M4160" s="71" t="s">
        <v>2358</v>
      </c>
      <c r="N4160" s="71" t="s">
        <v>2272</v>
      </c>
      <c r="O4160" s="71" t="s">
        <v>2272</v>
      </c>
      <c r="P4160" s="71" t="s">
        <v>2272</v>
      </c>
      <c r="Q4160" s="71" t="s">
        <v>2272</v>
      </c>
      <c r="R4160" s="71" t="s">
        <v>2272</v>
      </c>
      <c r="S4160" s="71" t="s">
        <v>2358</v>
      </c>
      <c r="T4160" s="71" t="s">
        <v>2272</v>
      </c>
      <c r="U4160" s="71" t="s">
        <v>2272</v>
      </c>
      <c r="V4160" s="71" t="s">
        <v>2272</v>
      </c>
      <c r="W4160" s="71" t="s">
        <v>2272</v>
      </c>
      <c r="X4160" s="71" t="s">
        <v>2272</v>
      </c>
      <c r="Y4160" s="71" t="s">
        <v>2272</v>
      </c>
      <c r="Z4160" s="71" t="s">
        <v>2272</v>
      </c>
      <c r="AA4160" s="71" t="s">
        <v>2272</v>
      </c>
      <c r="AB4160" s="19" t="s">
        <v>11551</v>
      </c>
      <c r="AC4160" s="4" t="s">
        <v>11517</v>
      </c>
    </row>
    <row r="4161" spans="1:29" s="197" customFormat="1" ht="48" customHeight="1">
      <c r="A4161" s="147" t="str">
        <f>'Reported burning'!A4161</f>
        <v>454aq</v>
      </c>
      <c r="B4161" s="147" t="str">
        <f>'Reported burning'!B4161</f>
        <v>454aq.1</v>
      </c>
      <c r="C4161" s="147" t="str">
        <f>'Reported burning'!C4161</f>
        <v>All</v>
      </c>
      <c r="D4161" s="147" t="str">
        <f>'Reported burning'!D4161</f>
        <v>ND</v>
      </c>
      <c r="E4161" s="147" t="str">
        <f>'Reported burning'!E4161</f>
        <v>ND</v>
      </c>
      <c r="F4161" s="147" t="str">
        <f>'Reported burning'!F4161</f>
        <v>ND</v>
      </c>
      <c r="G4161" s="147" t="str">
        <f>'Reported burning'!G4161</f>
        <v>ND</v>
      </c>
      <c r="H4161" s="147" t="str">
        <f>'Reported burning'!H4161</f>
        <v>Presence</v>
      </c>
      <c r="I4161" s="198"/>
      <c r="J4161" s="71" t="s">
        <v>2272</v>
      </c>
      <c r="K4161" s="71" t="s">
        <v>2272</v>
      </c>
      <c r="L4161" s="71" t="s">
        <v>2272</v>
      </c>
      <c r="M4161" s="71" t="s">
        <v>2272</v>
      </c>
      <c r="N4161" s="71" t="s">
        <v>2272</v>
      </c>
      <c r="O4161" s="71" t="s">
        <v>2272</v>
      </c>
      <c r="P4161" s="71" t="s">
        <v>2272</v>
      </c>
      <c r="Q4161" s="71" t="s">
        <v>2272</v>
      </c>
      <c r="R4161" s="71" t="s">
        <v>2272</v>
      </c>
      <c r="S4161" s="71" t="s">
        <v>2272</v>
      </c>
      <c r="T4161" s="71" t="s">
        <v>2272</v>
      </c>
      <c r="U4161" s="71" t="s">
        <v>2272</v>
      </c>
      <c r="V4161" s="71" t="s">
        <v>2272</v>
      </c>
      <c r="W4161" s="71" t="s">
        <v>2272</v>
      </c>
      <c r="X4161" s="71" t="s">
        <v>2272</v>
      </c>
      <c r="Y4161" s="71" t="s">
        <v>2272</v>
      </c>
      <c r="Z4161" s="71" t="s">
        <v>2272</v>
      </c>
      <c r="AA4161" s="71" t="s">
        <v>2272</v>
      </c>
      <c r="AB4161" s="19" t="s">
        <v>11547</v>
      </c>
      <c r="AC4161" s="4" t="s">
        <v>11517</v>
      </c>
    </row>
    <row r="4162" spans="1:29" s="197" customFormat="1" ht="48" customHeight="1">
      <c r="A4162" s="147" t="str">
        <f>'Reported burning'!A4162</f>
        <v>454ar</v>
      </c>
      <c r="B4162" s="147" t="str">
        <f>'Reported burning'!B4162</f>
        <v>454ar.1</v>
      </c>
      <c r="C4162" s="147" t="str">
        <f>'Reported burning'!C4162</f>
        <v>All</v>
      </c>
      <c r="D4162" s="147" t="str">
        <f>'Reported burning'!D4162</f>
        <v>ND</v>
      </c>
      <c r="E4162" s="147" t="str">
        <f>'Reported burning'!E4162</f>
        <v>ND</v>
      </c>
      <c r="F4162" s="147" t="str">
        <f>'Reported burning'!F4162</f>
        <v>ND</v>
      </c>
      <c r="G4162" s="147" t="str">
        <f>'Reported burning'!G4162</f>
        <v>ND</v>
      </c>
      <c r="H4162" s="147" t="str">
        <f>'Reported burning'!H4162</f>
        <v>Presence</v>
      </c>
      <c r="I4162" s="198"/>
      <c r="J4162" s="71" t="s">
        <v>2272</v>
      </c>
      <c r="K4162" s="71" t="s">
        <v>2272</v>
      </c>
      <c r="L4162" s="71" t="s">
        <v>2272</v>
      </c>
      <c r="M4162" s="71" t="s">
        <v>2272</v>
      </c>
      <c r="N4162" s="71" t="s">
        <v>2272</v>
      </c>
      <c r="O4162" s="71" t="s">
        <v>2272</v>
      </c>
      <c r="P4162" s="71" t="s">
        <v>2272</v>
      </c>
      <c r="Q4162" s="71" t="s">
        <v>2272</v>
      </c>
      <c r="R4162" s="71" t="s">
        <v>2272</v>
      </c>
      <c r="S4162" s="71" t="s">
        <v>2272</v>
      </c>
      <c r="T4162" s="71" t="s">
        <v>2272</v>
      </c>
      <c r="U4162" s="71" t="s">
        <v>2272</v>
      </c>
      <c r="V4162" s="71" t="s">
        <v>2272</v>
      </c>
      <c r="W4162" s="71" t="s">
        <v>2272</v>
      </c>
      <c r="X4162" s="71" t="s">
        <v>2272</v>
      </c>
      <c r="Y4162" s="71" t="s">
        <v>2272</v>
      </c>
      <c r="Z4162" s="71" t="s">
        <v>2272</v>
      </c>
      <c r="AA4162" s="71" t="s">
        <v>2272</v>
      </c>
      <c r="AB4162" s="19" t="s">
        <v>11525</v>
      </c>
      <c r="AC4162" s="4" t="s">
        <v>11517</v>
      </c>
    </row>
    <row r="4163" spans="1:29" s="197" customFormat="1" ht="48" customHeight="1">
      <c r="A4163" s="147" t="str">
        <f>'Reported burning'!A4163</f>
        <v>454as</v>
      </c>
      <c r="B4163" s="147" t="str">
        <f>'Reported burning'!B4163</f>
        <v>454as.1</v>
      </c>
      <c r="C4163" s="147" t="str">
        <f>'Reported burning'!C4163</f>
        <v>All</v>
      </c>
      <c r="D4163" s="147" t="str">
        <f>'Reported burning'!D4163</f>
        <v>ND</v>
      </c>
      <c r="E4163" s="147" t="str">
        <f>'Reported burning'!E4163</f>
        <v>ND</v>
      </c>
      <c r="F4163" s="147" t="str">
        <f>'Reported burning'!F4163</f>
        <v>ND</v>
      </c>
      <c r="G4163" s="147" t="str">
        <f>'Reported burning'!G4163</f>
        <v>ND</v>
      </c>
      <c r="H4163" s="147" t="str">
        <f>'Reported burning'!H4163</f>
        <v>Presence</v>
      </c>
      <c r="I4163" s="198"/>
      <c r="J4163" s="71" t="s">
        <v>2272</v>
      </c>
      <c r="K4163" s="71" t="s">
        <v>2272</v>
      </c>
      <c r="L4163" s="71" t="s">
        <v>2272</v>
      </c>
      <c r="M4163" s="71" t="s">
        <v>2272</v>
      </c>
      <c r="N4163" s="71" t="s">
        <v>2272</v>
      </c>
      <c r="O4163" s="71" t="s">
        <v>2272</v>
      </c>
      <c r="P4163" s="71" t="s">
        <v>2272</v>
      </c>
      <c r="Q4163" s="71" t="s">
        <v>2272</v>
      </c>
      <c r="R4163" s="71" t="s">
        <v>2272</v>
      </c>
      <c r="S4163" s="71" t="s">
        <v>2272</v>
      </c>
      <c r="T4163" s="71" t="s">
        <v>2272</v>
      </c>
      <c r="U4163" s="71" t="s">
        <v>2272</v>
      </c>
      <c r="V4163" s="71" t="s">
        <v>2272</v>
      </c>
      <c r="W4163" s="71" t="s">
        <v>2272</v>
      </c>
      <c r="X4163" s="71" t="s">
        <v>2272</v>
      </c>
      <c r="Y4163" s="71" t="s">
        <v>2272</v>
      </c>
      <c r="Z4163" s="71" t="s">
        <v>2272</v>
      </c>
      <c r="AA4163" s="71" t="s">
        <v>2272</v>
      </c>
      <c r="AB4163" s="19" t="s">
        <v>11534</v>
      </c>
      <c r="AC4163" s="4" t="s">
        <v>11517</v>
      </c>
    </row>
    <row r="4164" spans="1:29" s="197" customFormat="1" ht="48" customHeight="1">
      <c r="A4164" s="147" t="str">
        <f>'Reported burning'!A4164</f>
        <v>454at</v>
      </c>
      <c r="B4164" s="147" t="str">
        <f>'Reported burning'!B4164</f>
        <v>454at.1</v>
      </c>
      <c r="C4164" s="147" t="str">
        <f>'Reported burning'!C4164</f>
        <v>All</v>
      </c>
      <c r="D4164" s="147" t="str">
        <f>'Reported burning'!D4164</f>
        <v>ND</v>
      </c>
      <c r="E4164" s="147" t="str">
        <f>'Reported burning'!E4164</f>
        <v>ND</v>
      </c>
      <c r="F4164" s="147" t="str">
        <f>'Reported burning'!F4164</f>
        <v>ND</v>
      </c>
      <c r="G4164" s="147" t="str">
        <f>'Reported burning'!G4164</f>
        <v>ND</v>
      </c>
      <c r="H4164" s="147" t="str">
        <f>'Reported burning'!H4164</f>
        <v>Presence</v>
      </c>
      <c r="I4164" s="198"/>
      <c r="J4164" s="71" t="s">
        <v>2272</v>
      </c>
      <c r="K4164" s="71" t="s">
        <v>2272</v>
      </c>
      <c r="L4164" s="71" t="s">
        <v>2272</v>
      </c>
      <c r="M4164" s="71" t="s">
        <v>2272</v>
      </c>
      <c r="N4164" s="71" t="s">
        <v>2272</v>
      </c>
      <c r="O4164" s="71" t="s">
        <v>2272</v>
      </c>
      <c r="P4164" s="71" t="s">
        <v>2272</v>
      </c>
      <c r="Q4164" s="71" t="s">
        <v>2272</v>
      </c>
      <c r="R4164" s="71" t="s">
        <v>2272</v>
      </c>
      <c r="S4164" s="71" t="s">
        <v>2272</v>
      </c>
      <c r="T4164" s="71" t="s">
        <v>2272</v>
      </c>
      <c r="U4164" s="71" t="s">
        <v>2272</v>
      </c>
      <c r="V4164" s="71" t="s">
        <v>2272</v>
      </c>
      <c r="W4164" s="71" t="s">
        <v>2272</v>
      </c>
      <c r="X4164" s="71" t="s">
        <v>2272</v>
      </c>
      <c r="Y4164" s="71" t="s">
        <v>2272</v>
      </c>
      <c r="Z4164" s="71" t="s">
        <v>2272</v>
      </c>
      <c r="AA4164" s="71" t="s">
        <v>2272</v>
      </c>
      <c r="AB4164" s="19" t="s">
        <v>11528</v>
      </c>
      <c r="AC4164" s="4" t="s">
        <v>11517</v>
      </c>
    </row>
    <row r="4165" spans="1:29" s="197" customFormat="1" ht="48" customHeight="1">
      <c r="A4165" s="147" t="str">
        <f>'Reported burning'!A4165</f>
        <v>454au</v>
      </c>
      <c r="B4165" s="147" t="str">
        <f>'Reported burning'!B4165</f>
        <v>454au.1</v>
      </c>
      <c r="C4165" s="147" t="str">
        <f>'Reported burning'!C4165</f>
        <v>All</v>
      </c>
      <c r="D4165" s="147" t="str">
        <f>'Reported burning'!D4165</f>
        <v>ND</v>
      </c>
      <c r="E4165" s="147" t="str">
        <f>'Reported burning'!E4165</f>
        <v>ND</v>
      </c>
      <c r="F4165" s="147" t="str">
        <f>'Reported burning'!F4165</f>
        <v>ND</v>
      </c>
      <c r="G4165" s="147" t="str">
        <f>'Reported burning'!G4165</f>
        <v>ND</v>
      </c>
      <c r="H4165" s="147" t="str">
        <f>'Reported burning'!H4165</f>
        <v>Presence</v>
      </c>
      <c r="I4165" s="198"/>
      <c r="J4165" s="71" t="s">
        <v>2272</v>
      </c>
      <c r="K4165" s="71" t="s">
        <v>2272</v>
      </c>
      <c r="L4165" s="71" t="s">
        <v>2272</v>
      </c>
      <c r="M4165" s="71" t="s">
        <v>2272</v>
      </c>
      <c r="N4165" s="71" t="s">
        <v>2272</v>
      </c>
      <c r="O4165" s="71" t="s">
        <v>2272</v>
      </c>
      <c r="P4165" s="71" t="s">
        <v>2272</v>
      </c>
      <c r="Q4165" s="71" t="s">
        <v>2272</v>
      </c>
      <c r="R4165" s="71" t="s">
        <v>2272</v>
      </c>
      <c r="S4165" s="71" t="s">
        <v>2272</v>
      </c>
      <c r="T4165" s="71" t="s">
        <v>2272</v>
      </c>
      <c r="U4165" s="71" t="s">
        <v>2272</v>
      </c>
      <c r="V4165" s="71" t="s">
        <v>2272</v>
      </c>
      <c r="W4165" s="71" t="s">
        <v>2272</v>
      </c>
      <c r="X4165" s="71" t="s">
        <v>2272</v>
      </c>
      <c r="Y4165" s="71" t="s">
        <v>2272</v>
      </c>
      <c r="Z4165" s="71" t="s">
        <v>2272</v>
      </c>
      <c r="AA4165" s="71" t="s">
        <v>2272</v>
      </c>
      <c r="AB4165" s="19" t="s">
        <v>11525</v>
      </c>
      <c r="AC4165" s="4" t="s">
        <v>11517</v>
      </c>
    </row>
    <row r="4166" spans="1:29" s="197" customFormat="1" ht="48" customHeight="1">
      <c r="A4166" s="147" t="str">
        <f>'Reported burning'!A4166</f>
        <v>454av</v>
      </c>
      <c r="B4166" s="147" t="str">
        <f>'Reported burning'!B4166</f>
        <v>454av.1</v>
      </c>
      <c r="C4166" s="147" t="str">
        <f>'Reported burning'!C4166</f>
        <v>All</v>
      </c>
      <c r="D4166" s="147" t="str">
        <f>'Reported burning'!D4166</f>
        <v>ND</v>
      </c>
      <c r="E4166" s="147" t="str">
        <f>'Reported burning'!E4166</f>
        <v>ND</v>
      </c>
      <c r="F4166" s="147" t="str">
        <f>'Reported burning'!F4166</f>
        <v>ND</v>
      </c>
      <c r="G4166" s="147" t="str">
        <f>'Reported burning'!G4166</f>
        <v>ND</v>
      </c>
      <c r="H4166" s="147" t="str">
        <f>'Reported burning'!H4166</f>
        <v>Presence</v>
      </c>
      <c r="I4166" s="198"/>
      <c r="J4166" s="71" t="s">
        <v>2272</v>
      </c>
      <c r="K4166" s="71" t="s">
        <v>2272</v>
      </c>
      <c r="L4166" s="71" t="s">
        <v>2272</v>
      </c>
      <c r="M4166" s="71" t="s">
        <v>2272</v>
      </c>
      <c r="N4166" s="71" t="s">
        <v>2272</v>
      </c>
      <c r="O4166" s="71" t="s">
        <v>2272</v>
      </c>
      <c r="P4166" s="71" t="s">
        <v>2272</v>
      </c>
      <c r="Q4166" s="71" t="s">
        <v>2272</v>
      </c>
      <c r="R4166" s="71" t="s">
        <v>2272</v>
      </c>
      <c r="S4166" s="71" t="s">
        <v>2272</v>
      </c>
      <c r="T4166" s="71" t="s">
        <v>2272</v>
      </c>
      <c r="U4166" s="71" t="s">
        <v>2272</v>
      </c>
      <c r="V4166" s="71" t="s">
        <v>2272</v>
      </c>
      <c r="W4166" s="71" t="s">
        <v>2272</v>
      </c>
      <c r="X4166" s="71" t="s">
        <v>2272</v>
      </c>
      <c r="Y4166" s="71" t="s">
        <v>2272</v>
      </c>
      <c r="Z4166" s="71" t="s">
        <v>2272</v>
      </c>
      <c r="AA4166" s="71" t="s">
        <v>2272</v>
      </c>
      <c r="AB4166" s="19" t="s">
        <v>11536</v>
      </c>
      <c r="AC4166" s="4" t="s">
        <v>11517</v>
      </c>
    </row>
    <row r="4167" spans="1:29" s="197" customFormat="1" ht="48" customHeight="1">
      <c r="A4167" s="147" t="str">
        <f>'Reported burning'!A4167</f>
        <v>454aw</v>
      </c>
      <c r="B4167" s="147" t="str">
        <f>'Reported burning'!B4167</f>
        <v>454aw.1</v>
      </c>
      <c r="C4167" s="147" t="str">
        <f>'Reported burning'!C4167</f>
        <v>All</v>
      </c>
      <c r="D4167" s="147" t="str">
        <f>'Reported burning'!D4167</f>
        <v>ND</v>
      </c>
      <c r="E4167" s="147" t="str">
        <f>'Reported burning'!E4167</f>
        <v>ND</v>
      </c>
      <c r="F4167" s="147" t="str">
        <f>'Reported burning'!F4167</f>
        <v>ND</v>
      </c>
      <c r="G4167" s="147" t="str">
        <f>'Reported burning'!G4167</f>
        <v>ND</v>
      </c>
      <c r="H4167" s="147" t="str">
        <f>'Reported burning'!H4167</f>
        <v>Presence</v>
      </c>
      <c r="I4167" s="198"/>
      <c r="J4167" s="71" t="s">
        <v>2272</v>
      </c>
      <c r="K4167" s="71" t="s">
        <v>2272</v>
      </c>
      <c r="L4167" s="71" t="s">
        <v>2272</v>
      </c>
      <c r="M4167" s="71" t="s">
        <v>2272</v>
      </c>
      <c r="N4167" s="71" t="s">
        <v>2272</v>
      </c>
      <c r="O4167" s="71" t="s">
        <v>2272</v>
      </c>
      <c r="P4167" s="71" t="s">
        <v>2272</v>
      </c>
      <c r="Q4167" s="71" t="s">
        <v>2272</v>
      </c>
      <c r="R4167" s="71" t="s">
        <v>2272</v>
      </c>
      <c r="S4167" s="71" t="s">
        <v>2272</v>
      </c>
      <c r="T4167" s="71" t="s">
        <v>2272</v>
      </c>
      <c r="U4167" s="71" t="s">
        <v>2272</v>
      </c>
      <c r="V4167" s="71" t="s">
        <v>2272</v>
      </c>
      <c r="W4167" s="71" t="s">
        <v>2272</v>
      </c>
      <c r="X4167" s="71" t="s">
        <v>2272</v>
      </c>
      <c r="Y4167" s="71" t="s">
        <v>2272</v>
      </c>
      <c r="Z4167" s="71" t="s">
        <v>2272</v>
      </c>
      <c r="AA4167" s="71" t="s">
        <v>2272</v>
      </c>
      <c r="AB4167" s="19" t="s">
        <v>11552</v>
      </c>
      <c r="AC4167" s="4" t="s">
        <v>11517</v>
      </c>
    </row>
    <row r="4168" spans="1:29" s="197" customFormat="1" ht="48" customHeight="1">
      <c r="A4168" s="147" t="str">
        <f>'Reported burning'!A4168</f>
        <v>454ax</v>
      </c>
      <c r="B4168" s="147" t="str">
        <f>'Reported burning'!B4168</f>
        <v>454ax.1</v>
      </c>
      <c r="C4168" s="147" t="str">
        <f>'Reported burning'!C4168</f>
        <v>All</v>
      </c>
      <c r="D4168" s="147" t="str">
        <f>'Reported burning'!D4168</f>
        <v>ND</v>
      </c>
      <c r="E4168" s="147" t="str">
        <f>'Reported burning'!E4168</f>
        <v>ND</v>
      </c>
      <c r="F4168" s="147" t="str">
        <f>'Reported burning'!F4168</f>
        <v>ND</v>
      </c>
      <c r="G4168" s="147" t="str">
        <f>'Reported burning'!G4168</f>
        <v>ND</v>
      </c>
      <c r="H4168" s="147" t="str">
        <f>'Reported burning'!H4168</f>
        <v>Presence</v>
      </c>
      <c r="I4168" s="198"/>
      <c r="J4168" s="71" t="s">
        <v>2272</v>
      </c>
      <c r="K4168" s="71" t="s">
        <v>2272</v>
      </c>
      <c r="L4168" s="71" t="s">
        <v>2272</v>
      </c>
      <c r="M4168" s="71" t="s">
        <v>2272</v>
      </c>
      <c r="N4168" s="71" t="s">
        <v>2272</v>
      </c>
      <c r="O4168" s="71" t="s">
        <v>2272</v>
      </c>
      <c r="P4168" s="71" t="s">
        <v>2272</v>
      </c>
      <c r="Q4168" s="71" t="s">
        <v>2272</v>
      </c>
      <c r="R4168" s="71" t="s">
        <v>2272</v>
      </c>
      <c r="S4168" s="71" t="s">
        <v>2272</v>
      </c>
      <c r="T4168" s="71" t="s">
        <v>2272</v>
      </c>
      <c r="U4168" s="71" t="s">
        <v>2272</v>
      </c>
      <c r="V4168" s="71" t="s">
        <v>2272</v>
      </c>
      <c r="W4168" s="71" t="s">
        <v>2272</v>
      </c>
      <c r="X4168" s="71" t="s">
        <v>2272</v>
      </c>
      <c r="Y4168" s="71" t="s">
        <v>2272</v>
      </c>
      <c r="Z4168" s="71" t="s">
        <v>2272</v>
      </c>
      <c r="AA4168" s="71" t="s">
        <v>2272</v>
      </c>
      <c r="AB4168" s="19" t="s">
        <v>11547</v>
      </c>
      <c r="AC4168" s="4" t="s">
        <v>11517</v>
      </c>
    </row>
    <row r="4169" spans="1:29" s="197" customFormat="1" ht="48" customHeight="1">
      <c r="A4169" s="147" t="str">
        <f>'Reported burning'!A4169</f>
        <v>454ay</v>
      </c>
      <c r="B4169" s="147" t="str">
        <f>'Reported burning'!B4169</f>
        <v>454ay.1</v>
      </c>
      <c r="C4169" s="147" t="str">
        <f>'Reported burning'!C4169</f>
        <v>All</v>
      </c>
      <c r="D4169" s="147" t="str">
        <f>'Reported burning'!D4169</f>
        <v>ND</v>
      </c>
      <c r="E4169" s="147" t="str">
        <f>'Reported burning'!E4169</f>
        <v>ND</v>
      </c>
      <c r="F4169" s="147" t="str">
        <f>'Reported burning'!F4169</f>
        <v>ND</v>
      </c>
      <c r="G4169" s="147" t="str">
        <f>'Reported burning'!G4169</f>
        <v>ND</v>
      </c>
      <c r="H4169" s="147" t="str">
        <f>'Reported burning'!H4169</f>
        <v>Presence</v>
      </c>
      <c r="I4169" s="198"/>
      <c r="J4169" s="71" t="s">
        <v>2272</v>
      </c>
      <c r="K4169" s="71" t="s">
        <v>2272</v>
      </c>
      <c r="L4169" s="71" t="s">
        <v>2272</v>
      </c>
      <c r="M4169" s="71" t="s">
        <v>2272</v>
      </c>
      <c r="N4169" s="71" t="s">
        <v>2272</v>
      </c>
      <c r="O4169" s="71" t="s">
        <v>2272</v>
      </c>
      <c r="P4169" s="71" t="s">
        <v>2272</v>
      </c>
      <c r="Q4169" s="71" t="s">
        <v>2272</v>
      </c>
      <c r="R4169" s="71" t="s">
        <v>2272</v>
      </c>
      <c r="S4169" s="71" t="s">
        <v>2272</v>
      </c>
      <c r="T4169" s="71" t="s">
        <v>2272</v>
      </c>
      <c r="U4169" s="71" t="s">
        <v>2272</v>
      </c>
      <c r="V4169" s="71" t="s">
        <v>2272</v>
      </c>
      <c r="W4169" s="71" t="s">
        <v>2272</v>
      </c>
      <c r="X4169" s="71" t="s">
        <v>2272</v>
      </c>
      <c r="Y4169" s="71" t="s">
        <v>2272</v>
      </c>
      <c r="Z4169" s="71" t="s">
        <v>2272</v>
      </c>
      <c r="AA4169" s="71" t="s">
        <v>2272</v>
      </c>
      <c r="AB4169" s="19" t="s">
        <v>11553</v>
      </c>
      <c r="AC4169" s="4" t="s">
        <v>11517</v>
      </c>
    </row>
    <row r="4170" spans="1:29" s="197" customFormat="1" ht="48" customHeight="1">
      <c r="A4170" s="147" t="str">
        <f>'Reported burning'!A4170</f>
        <v>454az</v>
      </c>
      <c r="B4170" s="147" t="str">
        <f>'Reported burning'!B4170</f>
        <v>454az.1</v>
      </c>
      <c r="C4170" s="147" t="str">
        <f>'Reported burning'!C4170</f>
        <v>All</v>
      </c>
      <c r="D4170" s="147" t="str">
        <f>'Reported burning'!D4170</f>
        <v>ND</v>
      </c>
      <c r="E4170" s="147" t="str">
        <f>'Reported burning'!E4170</f>
        <v>ND</v>
      </c>
      <c r="F4170" s="147" t="str">
        <f>'Reported burning'!F4170</f>
        <v>ND</v>
      </c>
      <c r="G4170" s="147" t="str">
        <f>'Reported burning'!G4170</f>
        <v>ND</v>
      </c>
      <c r="H4170" s="147" t="str">
        <f>'Reported burning'!H4170</f>
        <v>Presence</v>
      </c>
      <c r="I4170" s="198"/>
      <c r="J4170" s="71" t="s">
        <v>2272</v>
      </c>
      <c r="K4170" s="71" t="s">
        <v>2272</v>
      </c>
      <c r="L4170" s="71" t="s">
        <v>2272</v>
      </c>
      <c r="M4170" s="71" t="s">
        <v>2272</v>
      </c>
      <c r="N4170" s="71" t="s">
        <v>2272</v>
      </c>
      <c r="O4170" s="71" t="s">
        <v>2272</v>
      </c>
      <c r="P4170" s="71" t="s">
        <v>2272</v>
      </c>
      <c r="Q4170" s="71" t="s">
        <v>2272</v>
      </c>
      <c r="R4170" s="71" t="s">
        <v>2272</v>
      </c>
      <c r="S4170" s="71" t="s">
        <v>2272</v>
      </c>
      <c r="T4170" s="71" t="s">
        <v>2272</v>
      </c>
      <c r="U4170" s="71" t="s">
        <v>2272</v>
      </c>
      <c r="V4170" s="71" t="s">
        <v>2272</v>
      </c>
      <c r="W4170" s="71" t="s">
        <v>2272</v>
      </c>
      <c r="X4170" s="71" t="s">
        <v>2272</v>
      </c>
      <c r="Y4170" s="71" t="s">
        <v>2272</v>
      </c>
      <c r="Z4170" s="71" t="s">
        <v>2272</v>
      </c>
      <c r="AA4170" s="71" t="s">
        <v>2272</v>
      </c>
      <c r="AB4170" s="19" t="s">
        <v>11553</v>
      </c>
      <c r="AC4170" s="4" t="s">
        <v>11517</v>
      </c>
    </row>
    <row r="4171" spans="1:29" s="197" customFormat="1" ht="48" customHeight="1">
      <c r="A4171" s="147" t="str">
        <f>'Reported burning'!A4171</f>
        <v>454ba</v>
      </c>
      <c r="B4171" s="147" t="str">
        <f>'Reported burning'!B4171</f>
        <v>454ba.1</v>
      </c>
      <c r="C4171" s="147" t="str">
        <f>'Reported burning'!C4171</f>
        <v>All</v>
      </c>
      <c r="D4171" s="147" t="str">
        <f>'Reported burning'!D4171</f>
        <v>ND</v>
      </c>
      <c r="E4171" s="147" t="str">
        <f>'Reported burning'!E4171</f>
        <v>ND</v>
      </c>
      <c r="F4171" s="147" t="str">
        <f>'Reported burning'!F4171</f>
        <v>ND</v>
      </c>
      <c r="G4171" s="147" t="str">
        <f>'Reported burning'!G4171</f>
        <v>ND</v>
      </c>
      <c r="H4171" s="147" t="str">
        <f>'Reported burning'!H4171</f>
        <v>Presence</v>
      </c>
      <c r="I4171" s="198"/>
      <c r="J4171" s="71" t="s">
        <v>2272</v>
      </c>
      <c r="K4171" s="71" t="s">
        <v>2272</v>
      </c>
      <c r="L4171" s="71" t="s">
        <v>2272</v>
      </c>
      <c r="M4171" s="71" t="s">
        <v>2272</v>
      </c>
      <c r="N4171" s="71" t="s">
        <v>2272</v>
      </c>
      <c r="O4171" s="71" t="s">
        <v>2272</v>
      </c>
      <c r="P4171" s="71" t="s">
        <v>2272</v>
      </c>
      <c r="Q4171" s="71" t="s">
        <v>2272</v>
      </c>
      <c r="R4171" s="71" t="s">
        <v>2272</v>
      </c>
      <c r="S4171" s="71" t="s">
        <v>2272</v>
      </c>
      <c r="T4171" s="71" t="s">
        <v>2272</v>
      </c>
      <c r="U4171" s="71" t="s">
        <v>2272</v>
      </c>
      <c r="V4171" s="71" t="s">
        <v>2272</v>
      </c>
      <c r="W4171" s="71" t="s">
        <v>2272</v>
      </c>
      <c r="X4171" s="71" t="s">
        <v>2272</v>
      </c>
      <c r="Y4171" s="71" t="s">
        <v>2272</v>
      </c>
      <c r="Z4171" s="71" t="s">
        <v>2272</v>
      </c>
      <c r="AA4171" s="71" t="s">
        <v>2272</v>
      </c>
      <c r="AB4171" s="19" t="s">
        <v>11554</v>
      </c>
      <c r="AC4171" s="4" t="s">
        <v>11517</v>
      </c>
    </row>
    <row r="4172" spans="1:29" s="197" customFormat="1" ht="48" customHeight="1">
      <c r="A4172" s="147" t="str">
        <f>'Reported burning'!A4172</f>
        <v>454bb</v>
      </c>
      <c r="B4172" s="147" t="str">
        <f>'Reported burning'!B4172</f>
        <v>454bb.1</v>
      </c>
      <c r="C4172" s="147" t="str">
        <f>'Reported burning'!C4172</f>
        <v>All</v>
      </c>
      <c r="D4172" s="147" t="str">
        <f>'Reported burning'!D4172</f>
        <v>ND</v>
      </c>
      <c r="E4172" s="147" t="str">
        <f>'Reported burning'!E4172</f>
        <v>ND</v>
      </c>
      <c r="F4172" s="147" t="str">
        <f>'Reported burning'!F4172</f>
        <v>ND</v>
      </c>
      <c r="G4172" s="147" t="str">
        <f>'Reported burning'!G4172</f>
        <v>ND</v>
      </c>
      <c r="H4172" s="147" t="str">
        <f>'Reported burning'!H4172</f>
        <v>Presence</v>
      </c>
      <c r="I4172" s="198"/>
      <c r="J4172" s="71" t="s">
        <v>2272</v>
      </c>
      <c r="K4172" s="71" t="s">
        <v>2272</v>
      </c>
      <c r="L4172" s="71" t="s">
        <v>2272</v>
      </c>
      <c r="M4172" s="71" t="s">
        <v>2272</v>
      </c>
      <c r="N4172" s="71" t="s">
        <v>2272</v>
      </c>
      <c r="O4172" s="71" t="s">
        <v>2272</v>
      </c>
      <c r="P4172" s="71" t="s">
        <v>2272</v>
      </c>
      <c r="Q4172" s="71" t="s">
        <v>2272</v>
      </c>
      <c r="R4172" s="71" t="s">
        <v>2272</v>
      </c>
      <c r="S4172" s="71" t="s">
        <v>2272</v>
      </c>
      <c r="T4172" s="71" t="s">
        <v>2272</v>
      </c>
      <c r="U4172" s="71" t="s">
        <v>2272</v>
      </c>
      <c r="V4172" s="71" t="s">
        <v>2272</v>
      </c>
      <c r="W4172" s="71" t="s">
        <v>2272</v>
      </c>
      <c r="X4172" s="71" t="s">
        <v>2272</v>
      </c>
      <c r="Y4172" s="71" t="s">
        <v>2272</v>
      </c>
      <c r="Z4172" s="71" t="s">
        <v>2272</v>
      </c>
      <c r="AA4172" s="71" t="s">
        <v>2272</v>
      </c>
      <c r="AB4172" s="19" t="s">
        <v>11547</v>
      </c>
      <c r="AC4172" s="4" t="s">
        <v>11517</v>
      </c>
    </row>
    <row r="4173" spans="1:29" s="197" customFormat="1" ht="48" customHeight="1">
      <c r="A4173" s="147" t="str">
        <f>'Reported burning'!A4173</f>
        <v>454bc</v>
      </c>
      <c r="B4173" s="147" t="str">
        <f>'Reported burning'!B4173</f>
        <v>454bc.1</v>
      </c>
      <c r="C4173" s="147" t="str">
        <f>'Reported burning'!C4173</f>
        <v>All</v>
      </c>
      <c r="D4173" s="147" t="str">
        <f>'Reported burning'!D4173</f>
        <v>ND</v>
      </c>
      <c r="E4173" s="147" t="str">
        <f>'Reported burning'!E4173</f>
        <v>ND</v>
      </c>
      <c r="F4173" s="147" t="str">
        <f>'Reported burning'!F4173</f>
        <v>ND</v>
      </c>
      <c r="G4173" s="147" t="str">
        <f>'Reported burning'!G4173</f>
        <v>ND</v>
      </c>
      <c r="H4173" s="147" t="str">
        <f>'Reported burning'!H4173</f>
        <v>Presence</v>
      </c>
      <c r="I4173" s="198"/>
      <c r="J4173" s="71" t="s">
        <v>2272</v>
      </c>
      <c r="K4173" s="71" t="s">
        <v>2272</v>
      </c>
      <c r="L4173" s="71" t="s">
        <v>2272</v>
      </c>
      <c r="M4173" s="71" t="s">
        <v>2272</v>
      </c>
      <c r="N4173" s="71" t="s">
        <v>2272</v>
      </c>
      <c r="O4173" s="71" t="s">
        <v>2272</v>
      </c>
      <c r="P4173" s="71" t="s">
        <v>2272</v>
      </c>
      <c r="Q4173" s="71" t="s">
        <v>2272</v>
      </c>
      <c r="R4173" s="71" t="s">
        <v>2272</v>
      </c>
      <c r="S4173" s="71" t="s">
        <v>2272</v>
      </c>
      <c r="T4173" s="71" t="s">
        <v>2272</v>
      </c>
      <c r="U4173" s="71" t="s">
        <v>2272</v>
      </c>
      <c r="V4173" s="71" t="s">
        <v>2272</v>
      </c>
      <c r="W4173" s="71" t="s">
        <v>2272</v>
      </c>
      <c r="X4173" s="71" t="s">
        <v>2272</v>
      </c>
      <c r="Y4173" s="71" t="s">
        <v>2272</v>
      </c>
      <c r="Z4173" s="71" t="s">
        <v>2272</v>
      </c>
      <c r="AA4173" s="71" t="s">
        <v>2272</v>
      </c>
      <c r="AB4173" s="19" t="s">
        <v>11555</v>
      </c>
      <c r="AC4173" s="4" t="s">
        <v>11517</v>
      </c>
    </row>
    <row r="4174" spans="1:29" s="197" customFormat="1" ht="48" customHeight="1">
      <c r="A4174" s="147" t="str">
        <f>'Reported burning'!A4174</f>
        <v>454bd</v>
      </c>
      <c r="B4174" s="147" t="str">
        <f>'Reported burning'!B4174</f>
        <v>454bd.1</v>
      </c>
      <c r="C4174" s="147" t="str">
        <f>'Reported burning'!C4174</f>
        <v>All</v>
      </c>
      <c r="D4174" s="147" t="str">
        <f>'Reported burning'!D4174</f>
        <v>ND</v>
      </c>
      <c r="E4174" s="147" t="str">
        <f>'Reported burning'!E4174</f>
        <v>ND</v>
      </c>
      <c r="F4174" s="147" t="str">
        <f>'Reported burning'!F4174</f>
        <v>ND</v>
      </c>
      <c r="G4174" s="147" t="str">
        <f>'Reported burning'!G4174</f>
        <v>ND</v>
      </c>
      <c r="H4174" s="147" t="str">
        <f>'Reported burning'!H4174</f>
        <v>Presence</v>
      </c>
      <c r="I4174" s="198"/>
      <c r="J4174" s="71" t="s">
        <v>2272</v>
      </c>
      <c r="K4174" s="71" t="s">
        <v>2272</v>
      </c>
      <c r="L4174" s="71" t="s">
        <v>2272</v>
      </c>
      <c r="M4174" s="71" t="s">
        <v>2272</v>
      </c>
      <c r="N4174" s="71" t="s">
        <v>2272</v>
      </c>
      <c r="O4174" s="71" t="s">
        <v>2272</v>
      </c>
      <c r="P4174" s="71" t="s">
        <v>2272</v>
      </c>
      <c r="Q4174" s="71" t="s">
        <v>2272</v>
      </c>
      <c r="R4174" s="71" t="s">
        <v>2272</v>
      </c>
      <c r="S4174" s="71" t="s">
        <v>2272</v>
      </c>
      <c r="T4174" s="71" t="s">
        <v>2272</v>
      </c>
      <c r="U4174" s="71" t="s">
        <v>2272</v>
      </c>
      <c r="V4174" s="71" t="s">
        <v>2272</v>
      </c>
      <c r="W4174" s="71" t="s">
        <v>2272</v>
      </c>
      <c r="X4174" s="71" t="s">
        <v>2272</v>
      </c>
      <c r="Y4174" s="71" t="s">
        <v>2272</v>
      </c>
      <c r="Z4174" s="71" t="s">
        <v>2272</v>
      </c>
      <c r="AA4174" s="71" t="s">
        <v>2272</v>
      </c>
      <c r="AB4174" s="19" t="s">
        <v>11554</v>
      </c>
      <c r="AC4174" s="4" t="s">
        <v>11517</v>
      </c>
    </row>
    <row r="4175" spans="1:29" s="197" customFormat="1" ht="48" customHeight="1">
      <c r="A4175" s="147" t="str">
        <f>'Reported burning'!A4175</f>
        <v>454be</v>
      </c>
      <c r="B4175" s="147" t="str">
        <f>'Reported burning'!B4175</f>
        <v>454be.1</v>
      </c>
      <c r="C4175" s="147" t="str">
        <f>'Reported burning'!C4175</f>
        <v>All</v>
      </c>
      <c r="D4175" s="147" t="str">
        <f>'Reported burning'!D4175</f>
        <v>ND</v>
      </c>
      <c r="E4175" s="147" t="str">
        <f>'Reported burning'!E4175</f>
        <v>ND</v>
      </c>
      <c r="F4175" s="147" t="str">
        <f>'Reported burning'!F4175</f>
        <v>ND</v>
      </c>
      <c r="G4175" s="147" t="str">
        <f>'Reported burning'!G4175</f>
        <v>ND</v>
      </c>
      <c r="H4175" s="147" t="str">
        <f>'Reported burning'!H4175</f>
        <v>Presence</v>
      </c>
      <c r="I4175" s="198"/>
      <c r="J4175" s="71" t="s">
        <v>2272</v>
      </c>
      <c r="K4175" s="71" t="s">
        <v>2272</v>
      </c>
      <c r="L4175" s="71" t="s">
        <v>2272</v>
      </c>
      <c r="M4175" s="71" t="s">
        <v>2272</v>
      </c>
      <c r="N4175" s="71" t="s">
        <v>2272</v>
      </c>
      <c r="O4175" s="71" t="s">
        <v>2272</v>
      </c>
      <c r="P4175" s="71" t="s">
        <v>2272</v>
      </c>
      <c r="Q4175" s="71" t="s">
        <v>2272</v>
      </c>
      <c r="R4175" s="71" t="s">
        <v>2272</v>
      </c>
      <c r="S4175" s="71" t="s">
        <v>2272</v>
      </c>
      <c r="T4175" s="71" t="s">
        <v>2272</v>
      </c>
      <c r="U4175" s="71" t="s">
        <v>2272</v>
      </c>
      <c r="V4175" s="71" t="s">
        <v>2272</v>
      </c>
      <c r="W4175" s="71" t="s">
        <v>2272</v>
      </c>
      <c r="X4175" s="71" t="s">
        <v>2272</v>
      </c>
      <c r="Y4175" s="71" t="s">
        <v>2272</v>
      </c>
      <c r="Z4175" s="71" t="s">
        <v>2272</v>
      </c>
      <c r="AA4175" s="71" t="s">
        <v>2272</v>
      </c>
      <c r="AB4175" s="19" t="s">
        <v>11556</v>
      </c>
      <c r="AC4175" s="4" t="s">
        <v>11517</v>
      </c>
    </row>
    <row r="4176" spans="1:29" s="197" customFormat="1" ht="48" customHeight="1">
      <c r="A4176" s="147" t="str">
        <f>'Reported burning'!A4176</f>
        <v>454bf</v>
      </c>
      <c r="B4176" s="147" t="str">
        <f>'Reported burning'!B4176</f>
        <v>454bf.1</v>
      </c>
      <c r="C4176" s="147" t="str">
        <f>'Reported burning'!C4176</f>
        <v>All</v>
      </c>
      <c r="D4176" s="147" t="str">
        <f>'Reported burning'!D4176</f>
        <v>ND</v>
      </c>
      <c r="E4176" s="147" t="str">
        <f>'Reported burning'!E4176</f>
        <v>ND</v>
      </c>
      <c r="F4176" s="147" t="str">
        <f>'Reported burning'!F4176</f>
        <v>ND</v>
      </c>
      <c r="G4176" s="147" t="str">
        <f>'Reported burning'!G4176</f>
        <v>ND</v>
      </c>
      <c r="H4176" s="147" t="str">
        <f>'Reported burning'!H4176</f>
        <v>Presence</v>
      </c>
      <c r="I4176" s="198"/>
      <c r="J4176" s="71" t="s">
        <v>2272</v>
      </c>
      <c r="K4176" s="71" t="s">
        <v>2272</v>
      </c>
      <c r="L4176" s="71" t="s">
        <v>2272</v>
      </c>
      <c r="M4176" s="71" t="s">
        <v>2272</v>
      </c>
      <c r="N4176" s="71" t="s">
        <v>2272</v>
      </c>
      <c r="O4176" s="71" t="s">
        <v>2272</v>
      </c>
      <c r="P4176" s="71" t="s">
        <v>2272</v>
      </c>
      <c r="Q4176" s="71" t="s">
        <v>2272</v>
      </c>
      <c r="R4176" s="71" t="s">
        <v>2272</v>
      </c>
      <c r="S4176" s="71" t="s">
        <v>2272</v>
      </c>
      <c r="T4176" s="71" t="s">
        <v>2272</v>
      </c>
      <c r="U4176" s="71" t="s">
        <v>2272</v>
      </c>
      <c r="V4176" s="71" t="s">
        <v>2272</v>
      </c>
      <c r="W4176" s="71" t="s">
        <v>2272</v>
      </c>
      <c r="X4176" s="71" t="s">
        <v>2272</v>
      </c>
      <c r="Y4176" s="71" t="s">
        <v>2272</v>
      </c>
      <c r="Z4176" s="71" t="s">
        <v>2272</v>
      </c>
      <c r="AA4176" s="71" t="s">
        <v>2272</v>
      </c>
      <c r="AB4176" s="19" t="s">
        <v>11555</v>
      </c>
      <c r="AC4176" s="4" t="s">
        <v>11517</v>
      </c>
    </row>
    <row r="4177" spans="1:29" s="197" customFormat="1" ht="48" customHeight="1">
      <c r="A4177" s="147" t="str">
        <f>'Reported burning'!A4177</f>
        <v>454bg</v>
      </c>
      <c r="B4177" s="147" t="str">
        <f>'Reported burning'!B4177</f>
        <v>454bg.1</v>
      </c>
      <c r="C4177" s="147" t="str">
        <f>'Reported burning'!C4177</f>
        <v>All</v>
      </c>
      <c r="D4177" s="147" t="str">
        <f>'Reported burning'!D4177</f>
        <v>ND</v>
      </c>
      <c r="E4177" s="147" t="str">
        <f>'Reported burning'!E4177</f>
        <v>ND</v>
      </c>
      <c r="F4177" s="147" t="str">
        <f>'Reported burning'!F4177</f>
        <v>ND</v>
      </c>
      <c r="G4177" s="147" t="str">
        <f>'Reported burning'!G4177</f>
        <v>ND</v>
      </c>
      <c r="H4177" s="147" t="str">
        <f>'Reported burning'!H4177</f>
        <v>Presence</v>
      </c>
      <c r="I4177" s="198"/>
      <c r="J4177" s="71" t="s">
        <v>2272</v>
      </c>
      <c r="K4177" s="71" t="s">
        <v>2272</v>
      </c>
      <c r="L4177" s="71" t="s">
        <v>2272</v>
      </c>
      <c r="M4177" s="71" t="s">
        <v>2272</v>
      </c>
      <c r="N4177" s="71" t="s">
        <v>2272</v>
      </c>
      <c r="O4177" s="71" t="s">
        <v>2272</v>
      </c>
      <c r="P4177" s="71" t="s">
        <v>2272</v>
      </c>
      <c r="Q4177" s="71" t="s">
        <v>2272</v>
      </c>
      <c r="R4177" s="71" t="s">
        <v>2272</v>
      </c>
      <c r="S4177" s="71" t="s">
        <v>2272</v>
      </c>
      <c r="T4177" s="71" t="s">
        <v>2272</v>
      </c>
      <c r="U4177" s="71" t="s">
        <v>2272</v>
      </c>
      <c r="V4177" s="71" t="s">
        <v>2272</v>
      </c>
      <c r="W4177" s="71" t="s">
        <v>2272</v>
      </c>
      <c r="X4177" s="71" t="s">
        <v>2272</v>
      </c>
      <c r="Y4177" s="71" t="s">
        <v>2272</v>
      </c>
      <c r="Z4177" s="71" t="s">
        <v>2272</v>
      </c>
      <c r="AA4177" s="71" t="s">
        <v>2272</v>
      </c>
      <c r="AB4177" s="19" t="s">
        <v>11534</v>
      </c>
      <c r="AC4177" s="4" t="s">
        <v>11517</v>
      </c>
    </row>
    <row r="4178" spans="1:29" s="197" customFormat="1" ht="48" customHeight="1">
      <c r="A4178" s="147" t="str">
        <f>'Reported burning'!A4178</f>
        <v>454bh</v>
      </c>
      <c r="B4178" s="147" t="str">
        <f>'Reported burning'!B4178</f>
        <v>454bh.1</v>
      </c>
      <c r="C4178" s="147" t="str">
        <f>'Reported burning'!C4178</f>
        <v>All</v>
      </c>
      <c r="D4178" s="147" t="str">
        <f>'Reported burning'!D4178</f>
        <v>ND</v>
      </c>
      <c r="E4178" s="147" t="str">
        <f>'Reported burning'!E4178</f>
        <v>ND</v>
      </c>
      <c r="F4178" s="147" t="str">
        <f>'Reported burning'!F4178</f>
        <v>ND</v>
      </c>
      <c r="G4178" s="147" t="str">
        <f>'Reported burning'!G4178</f>
        <v>ND</v>
      </c>
      <c r="H4178" s="147" t="str">
        <f>'Reported burning'!H4178</f>
        <v>Presence</v>
      </c>
      <c r="I4178" s="198"/>
      <c r="J4178" s="71" t="s">
        <v>2272</v>
      </c>
      <c r="K4178" s="71" t="s">
        <v>2272</v>
      </c>
      <c r="L4178" s="71" t="s">
        <v>2272</v>
      </c>
      <c r="M4178" s="71" t="s">
        <v>2272</v>
      </c>
      <c r="N4178" s="71" t="s">
        <v>2272</v>
      </c>
      <c r="O4178" s="71" t="s">
        <v>2272</v>
      </c>
      <c r="P4178" s="71" t="s">
        <v>2272</v>
      </c>
      <c r="Q4178" s="71" t="s">
        <v>2272</v>
      </c>
      <c r="R4178" s="71" t="s">
        <v>2272</v>
      </c>
      <c r="S4178" s="71" t="s">
        <v>2272</v>
      </c>
      <c r="T4178" s="71" t="s">
        <v>2272</v>
      </c>
      <c r="U4178" s="71" t="s">
        <v>2272</v>
      </c>
      <c r="V4178" s="71" t="s">
        <v>2272</v>
      </c>
      <c r="W4178" s="71" t="s">
        <v>2272</v>
      </c>
      <c r="X4178" s="71" t="s">
        <v>2272</v>
      </c>
      <c r="Y4178" s="71" t="s">
        <v>2272</v>
      </c>
      <c r="Z4178" s="71" t="s">
        <v>2272</v>
      </c>
      <c r="AA4178" s="71" t="s">
        <v>2272</v>
      </c>
      <c r="AB4178" s="19" t="s">
        <v>11531</v>
      </c>
      <c r="AC4178" s="4" t="s">
        <v>11517</v>
      </c>
    </row>
    <row r="4179" spans="1:29" s="197" customFormat="1" ht="48" customHeight="1">
      <c r="A4179" s="147" t="str">
        <f>'Reported burning'!A4179</f>
        <v>454bi</v>
      </c>
      <c r="B4179" s="147" t="str">
        <f>'Reported burning'!B4179</f>
        <v>454bi.1</v>
      </c>
      <c r="C4179" s="147" t="str">
        <f>'Reported burning'!C4179</f>
        <v>All</v>
      </c>
      <c r="D4179" s="147" t="str">
        <f>'Reported burning'!D4179</f>
        <v>ND</v>
      </c>
      <c r="E4179" s="147" t="str">
        <f>'Reported burning'!E4179</f>
        <v>ND</v>
      </c>
      <c r="F4179" s="147" t="str">
        <f>'Reported burning'!F4179</f>
        <v>ND</v>
      </c>
      <c r="G4179" s="147" t="str">
        <f>'Reported burning'!G4179</f>
        <v>ND</v>
      </c>
      <c r="H4179" s="147" t="str">
        <f>'Reported burning'!H4179</f>
        <v>Presence</v>
      </c>
      <c r="I4179" s="198"/>
      <c r="J4179" s="71" t="s">
        <v>2272</v>
      </c>
      <c r="K4179" s="71" t="s">
        <v>2272</v>
      </c>
      <c r="L4179" s="71" t="s">
        <v>2272</v>
      </c>
      <c r="M4179" s="71" t="s">
        <v>2272</v>
      </c>
      <c r="N4179" s="71" t="s">
        <v>2272</v>
      </c>
      <c r="O4179" s="71" t="s">
        <v>2272</v>
      </c>
      <c r="P4179" s="71" t="s">
        <v>2272</v>
      </c>
      <c r="Q4179" s="71" t="s">
        <v>2272</v>
      </c>
      <c r="R4179" s="71" t="s">
        <v>2272</v>
      </c>
      <c r="S4179" s="71" t="s">
        <v>2272</v>
      </c>
      <c r="T4179" s="71" t="s">
        <v>2272</v>
      </c>
      <c r="U4179" s="71" t="s">
        <v>2272</v>
      </c>
      <c r="V4179" s="71" t="s">
        <v>2272</v>
      </c>
      <c r="W4179" s="71" t="s">
        <v>2272</v>
      </c>
      <c r="X4179" s="71" t="s">
        <v>2272</v>
      </c>
      <c r="Y4179" s="71" t="s">
        <v>2272</v>
      </c>
      <c r="Z4179" s="71" t="s">
        <v>2272</v>
      </c>
      <c r="AA4179" s="71" t="s">
        <v>2272</v>
      </c>
      <c r="AB4179" s="19" t="s">
        <v>11557</v>
      </c>
      <c r="AC4179" s="4" t="s">
        <v>11517</v>
      </c>
    </row>
    <row r="4180" spans="1:29" s="197" customFormat="1" ht="48" customHeight="1">
      <c r="A4180" s="147" t="str">
        <f>'Reported burning'!A4180</f>
        <v>454bj</v>
      </c>
      <c r="B4180" s="147" t="str">
        <f>'Reported burning'!B4180</f>
        <v>454bj.1</v>
      </c>
      <c r="C4180" s="147" t="str">
        <f>'Reported burning'!C4180</f>
        <v>All</v>
      </c>
      <c r="D4180" s="147" t="str">
        <f>'Reported burning'!D4180</f>
        <v>ND</v>
      </c>
      <c r="E4180" s="147" t="str">
        <f>'Reported burning'!E4180</f>
        <v>ND</v>
      </c>
      <c r="F4180" s="147" t="str">
        <f>'Reported burning'!F4180</f>
        <v>ND</v>
      </c>
      <c r="G4180" s="147" t="str">
        <f>'Reported burning'!G4180</f>
        <v>ND</v>
      </c>
      <c r="H4180" s="147" t="str">
        <f>'Reported burning'!H4180</f>
        <v>Presence</v>
      </c>
      <c r="I4180" s="198"/>
      <c r="J4180" s="71" t="s">
        <v>2272</v>
      </c>
      <c r="K4180" s="71" t="s">
        <v>2272</v>
      </c>
      <c r="L4180" s="71" t="s">
        <v>2272</v>
      </c>
      <c r="M4180" s="71" t="s">
        <v>2272</v>
      </c>
      <c r="N4180" s="71" t="s">
        <v>2272</v>
      </c>
      <c r="O4180" s="71" t="s">
        <v>2272</v>
      </c>
      <c r="P4180" s="71" t="s">
        <v>2272</v>
      </c>
      <c r="Q4180" s="71" t="s">
        <v>2272</v>
      </c>
      <c r="R4180" s="71" t="s">
        <v>2272</v>
      </c>
      <c r="S4180" s="71" t="s">
        <v>2272</v>
      </c>
      <c r="T4180" s="71" t="s">
        <v>2272</v>
      </c>
      <c r="U4180" s="71" t="s">
        <v>2272</v>
      </c>
      <c r="V4180" s="71" t="s">
        <v>2272</v>
      </c>
      <c r="W4180" s="71" t="s">
        <v>2272</v>
      </c>
      <c r="X4180" s="71" t="s">
        <v>2272</v>
      </c>
      <c r="Y4180" s="71" t="s">
        <v>2272</v>
      </c>
      <c r="Z4180" s="71" t="s">
        <v>2272</v>
      </c>
      <c r="AA4180" s="71" t="s">
        <v>2272</v>
      </c>
      <c r="AB4180" s="19" t="s">
        <v>11531</v>
      </c>
      <c r="AC4180" s="4" t="s">
        <v>11517</v>
      </c>
    </row>
    <row r="4181" spans="1:29" s="197" customFormat="1" ht="48" customHeight="1">
      <c r="A4181" s="147" t="str">
        <f>'Reported burning'!A4181</f>
        <v>454bk</v>
      </c>
      <c r="B4181" s="147" t="str">
        <f>'Reported burning'!B4181</f>
        <v>454bk.1</v>
      </c>
      <c r="C4181" s="147" t="str">
        <f>'Reported burning'!C4181</f>
        <v>All</v>
      </c>
      <c r="D4181" s="147" t="str">
        <f>'Reported burning'!D4181</f>
        <v>ND</v>
      </c>
      <c r="E4181" s="147" t="str">
        <f>'Reported burning'!E4181</f>
        <v>ND</v>
      </c>
      <c r="F4181" s="147" t="str">
        <f>'Reported burning'!F4181</f>
        <v>ND</v>
      </c>
      <c r="G4181" s="147" t="str">
        <f>'Reported burning'!G4181</f>
        <v>ND</v>
      </c>
      <c r="H4181" s="147" t="str">
        <f>'Reported burning'!H4181</f>
        <v>Presence</v>
      </c>
      <c r="I4181" s="198"/>
      <c r="J4181" s="71" t="s">
        <v>2272</v>
      </c>
      <c r="K4181" s="71" t="s">
        <v>2272</v>
      </c>
      <c r="L4181" s="71" t="s">
        <v>2272</v>
      </c>
      <c r="M4181" s="71" t="s">
        <v>2272</v>
      </c>
      <c r="N4181" s="71" t="s">
        <v>2272</v>
      </c>
      <c r="O4181" s="71" t="s">
        <v>2272</v>
      </c>
      <c r="P4181" s="71" t="s">
        <v>2272</v>
      </c>
      <c r="Q4181" s="71" t="s">
        <v>2272</v>
      </c>
      <c r="R4181" s="71" t="s">
        <v>2272</v>
      </c>
      <c r="S4181" s="71" t="s">
        <v>2272</v>
      </c>
      <c r="T4181" s="71" t="s">
        <v>2272</v>
      </c>
      <c r="U4181" s="71" t="s">
        <v>2272</v>
      </c>
      <c r="V4181" s="71" t="s">
        <v>2272</v>
      </c>
      <c r="W4181" s="71" t="s">
        <v>2272</v>
      </c>
      <c r="X4181" s="71" t="s">
        <v>2272</v>
      </c>
      <c r="Y4181" s="71" t="s">
        <v>2272</v>
      </c>
      <c r="Z4181" s="71" t="s">
        <v>2272</v>
      </c>
      <c r="AA4181" s="71" t="s">
        <v>2272</v>
      </c>
      <c r="AB4181" s="19" t="s">
        <v>11553</v>
      </c>
      <c r="AC4181" s="4" t="s">
        <v>11517</v>
      </c>
    </row>
    <row r="4182" spans="1:29" s="197" customFormat="1" ht="48" customHeight="1">
      <c r="A4182" s="147" t="str">
        <f>'Reported burning'!A4182</f>
        <v>454bl</v>
      </c>
      <c r="B4182" s="147" t="str">
        <f>'Reported burning'!B4182</f>
        <v>454bl.1</v>
      </c>
      <c r="C4182" s="147" t="str">
        <f>'Reported burning'!C4182</f>
        <v>All</v>
      </c>
      <c r="D4182" s="147" t="str">
        <f>'Reported burning'!D4182</f>
        <v>ND</v>
      </c>
      <c r="E4182" s="147" t="str">
        <f>'Reported burning'!E4182</f>
        <v>ND</v>
      </c>
      <c r="F4182" s="147" t="str">
        <f>'Reported burning'!F4182</f>
        <v>ND</v>
      </c>
      <c r="G4182" s="147" t="str">
        <f>'Reported burning'!G4182</f>
        <v>ND</v>
      </c>
      <c r="H4182" s="147" t="str">
        <f>'Reported burning'!H4182</f>
        <v>Presence</v>
      </c>
      <c r="I4182" s="198"/>
      <c r="J4182" s="71" t="s">
        <v>2272</v>
      </c>
      <c r="K4182" s="71" t="s">
        <v>2272</v>
      </c>
      <c r="L4182" s="71" t="s">
        <v>2272</v>
      </c>
      <c r="M4182" s="71" t="s">
        <v>2272</v>
      </c>
      <c r="N4182" s="71" t="s">
        <v>2272</v>
      </c>
      <c r="O4182" s="71" t="s">
        <v>2272</v>
      </c>
      <c r="P4182" s="71" t="s">
        <v>2272</v>
      </c>
      <c r="Q4182" s="71" t="s">
        <v>2272</v>
      </c>
      <c r="R4182" s="71" t="s">
        <v>2272</v>
      </c>
      <c r="S4182" s="71" t="s">
        <v>2272</v>
      </c>
      <c r="T4182" s="71" t="s">
        <v>2272</v>
      </c>
      <c r="U4182" s="71" t="s">
        <v>2272</v>
      </c>
      <c r="V4182" s="71" t="s">
        <v>2272</v>
      </c>
      <c r="W4182" s="71" t="s">
        <v>2272</v>
      </c>
      <c r="X4182" s="71" t="s">
        <v>2272</v>
      </c>
      <c r="Y4182" s="71" t="s">
        <v>2272</v>
      </c>
      <c r="Z4182" s="71" t="s">
        <v>2272</v>
      </c>
      <c r="AA4182" s="71" t="s">
        <v>2272</v>
      </c>
      <c r="AB4182" s="26" t="s">
        <v>11543</v>
      </c>
      <c r="AC4182" s="4" t="s">
        <v>11517</v>
      </c>
    </row>
    <row r="4183" spans="1:29" s="197" customFormat="1" ht="48" customHeight="1">
      <c r="A4183" s="147" t="str">
        <f>'Reported burning'!A4183</f>
        <v>454bm</v>
      </c>
      <c r="B4183" s="147" t="str">
        <f>'Reported burning'!B4183</f>
        <v>454bm.1</v>
      </c>
      <c r="C4183" s="147" t="str">
        <f>'Reported burning'!C4183</f>
        <v>All</v>
      </c>
      <c r="D4183" s="147" t="str">
        <f>'Reported burning'!D4183</f>
        <v>ND</v>
      </c>
      <c r="E4183" s="147" t="str">
        <f>'Reported burning'!E4183</f>
        <v>ND</v>
      </c>
      <c r="F4183" s="147" t="str">
        <f>'Reported burning'!F4183</f>
        <v>ND</v>
      </c>
      <c r="G4183" s="147" t="str">
        <f>'Reported burning'!G4183</f>
        <v>ND</v>
      </c>
      <c r="H4183" s="147" t="str">
        <f>'Reported burning'!H4183</f>
        <v>Presence</v>
      </c>
      <c r="I4183" s="198"/>
      <c r="J4183" s="71" t="s">
        <v>2272</v>
      </c>
      <c r="K4183" s="71" t="s">
        <v>2272</v>
      </c>
      <c r="L4183" s="71" t="s">
        <v>2272</v>
      </c>
      <c r="M4183" s="71" t="s">
        <v>2272</v>
      </c>
      <c r="N4183" s="71" t="s">
        <v>2272</v>
      </c>
      <c r="O4183" s="71" t="s">
        <v>2272</v>
      </c>
      <c r="P4183" s="71" t="s">
        <v>2272</v>
      </c>
      <c r="Q4183" s="71" t="s">
        <v>2272</v>
      </c>
      <c r="R4183" s="71" t="s">
        <v>2272</v>
      </c>
      <c r="S4183" s="71" t="s">
        <v>2272</v>
      </c>
      <c r="T4183" s="71" t="s">
        <v>2272</v>
      </c>
      <c r="U4183" s="71" t="s">
        <v>2272</v>
      </c>
      <c r="V4183" s="71" t="s">
        <v>2272</v>
      </c>
      <c r="W4183" s="71" t="s">
        <v>2272</v>
      </c>
      <c r="X4183" s="71" t="s">
        <v>2272</v>
      </c>
      <c r="Y4183" s="71" t="s">
        <v>2272</v>
      </c>
      <c r="Z4183" s="71" t="s">
        <v>2272</v>
      </c>
      <c r="AA4183" s="71" t="s">
        <v>2272</v>
      </c>
      <c r="AB4183" s="19" t="s">
        <v>11531</v>
      </c>
      <c r="AC4183" s="4" t="s">
        <v>11517</v>
      </c>
    </row>
    <row r="4184" spans="1:29" s="197" customFormat="1" ht="48" customHeight="1">
      <c r="A4184" s="147" t="str">
        <f>'Reported burning'!A4184</f>
        <v>454bn</v>
      </c>
      <c r="B4184" s="147" t="str">
        <f>'Reported burning'!B4184</f>
        <v>454bn.1</v>
      </c>
      <c r="C4184" s="147" t="str">
        <f>'Reported burning'!C4184</f>
        <v>All</v>
      </c>
      <c r="D4184" s="147" t="str">
        <f>'Reported burning'!D4184</f>
        <v>ND</v>
      </c>
      <c r="E4184" s="147" t="str">
        <f>'Reported burning'!E4184</f>
        <v>ND</v>
      </c>
      <c r="F4184" s="147" t="str">
        <f>'Reported burning'!F4184</f>
        <v>ND</v>
      </c>
      <c r="G4184" s="147" t="str">
        <f>'Reported burning'!G4184</f>
        <v>ND</v>
      </c>
      <c r="H4184" s="147" t="str">
        <f>'Reported burning'!H4184</f>
        <v>Presence</v>
      </c>
      <c r="I4184" s="198"/>
      <c r="J4184" s="71" t="s">
        <v>2272</v>
      </c>
      <c r="K4184" s="71" t="s">
        <v>2272</v>
      </c>
      <c r="L4184" s="71" t="s">
        <v>2272</v>
      </c>
      <c r="M4184" s="71" t="s">
        <v>2272</v>
      </c>
      <c r="N4184" s="71" t="s">
        <v>2272</v>
      </c>
      <c r="O4184" s="71" t="s">
        <v>2272</v>
      </c>
      <c r="P4184" s="71" t="s">
        <v>2272</v>
      </c>
      <c r="Q4184" s="71" t="s">
        <v>2272</v>
      </c>
      <c r="R4184" s="71" t="s">
        <v>2272</v>
      </c>
      <c r="S4184" s="71" t="s">
        <v>2272</v>
      </c>
      <c r="T4184" s="71" t="s">
        <v>2272</v>
      </c>
      <c r="U4184" s="71" t="s">
        <v>2272</v>
      </c>
      <c r="V4184" s="71" t="s">
        <v>2272</v>
      </c>
      <c r="W4184" s="71" t="s">
        <v>2272</v>
      </c>
      <c r="X4184" s="71" t="s">
        <v>2272</v>
      </c>
      <c r="Y4184" s="71" t="s">
        <v>2272</v>
      </c>
      <c r="Z4184" s="71" t="s">
        <v>2272</v>
      </c>
      <c r="AA4184" s="71" t="s">
        <v>2272</v>
      </c>
      <c r="AB4184" s="19" t="s">
        <v>11531</v>
      </c>
      <c r="AC4184" s="4" t="s">
        <v>11517</v>
      </c>
    </row>
    <row r="4185" spans="1:29" s="197" customFormat="1" ht="48" customHeight="1">
      <c r="A4185" s="147" t="str">
        <f>'Reported burning'!A4185</f>
        <v>454bo</v>
      </c>
      <c r="B4185" s="147" t="str">
        <f>'Reported burning'!B4185</f>
        <v>454bo.1</v>
      </c>
      <c r="C4185" s="147" t="str">
        <f>'Reported burning'!C4185</f>
        <v>All</v>
      </c>
      <c r="D4185" s="147" t="str">
        <f>'Reported burning'!D4185</f>
        <v>ND</v>
      </c>
      <c r="E4185" s="147" t="str">
        <f>'Reported burning'!E4185</f>
        <v>ND</v>
      </c>
      <c r="F4185" s="147" t="str">
        <f>'Reported burning'!F4185</f>
        <v>ND</v>
      </c>
      <c r="G4185" s="147" t="str">
        <f>'Reported burning'!G4185</f>
        <v>ND</v>
      </c>
      <c r="H4185" s="147" t="str">
        <f>'Reported burning'!H4185</f>
        <v>Presence</v>
      </c>
      <c r="I4185" s="198"/>
      <c r="J4185" s="71" t="s">
        <v>2272</v>
      </c>
      <c r="K4185" s="71" t="s">
        <v>2272</v>
      </c>
      <c r="L4185" s="71" t="s">
        <v>2272</v>
      </c>
      <c r="M4185" s="71" t="s">
        <v>2272</v>
      </c>
      <c r="N4185" s="71" t="s">
        <v>2272</v>
      </c>
      <c r="O4185" s="71" t="s">
        <v>2272</v>
      </c>
      <c r="P4185" s="71" t="s">
        <v>2272</v>
      </c>
      <c r="Q4185" s="71" t="s">
        <v>2272</v>
      </c>
      <c r="R4185" s="71" t="s">
        <v>2272</v>
      </c>
      <c r="S4185" s="71" t="s">
        <v>2272</v>
      </c>
      <c r="T4185" s="71" t="s">
        <v>2272</v>
      </c>
      <c r="U4185" s="71" t="s">
        <v>2272</v>
      </c>
      <c r="V4185" s="71" t="s">
        <v>2272</v>
      </c>
      <c r="W4185" s="71" t="s">
        <v>2272</v>
      </c>
      <c r="X4185" s="71" t="s">
        <v>2272</v>
      </c>
      <c r="Y4185" s="71" t="s">
        <v>2272</v>
      </c>
      <c r="Z4185" s="71" t="s">
        <v>2272</v>
      </c>
      <c r="AA4185" s="71" t="s">
        <v>2272</v>
      </c>
      <c r="AB4185" s="19" t="s">
        <v>11558</v>
      </c>
      <c r="AC4185" s="4" t="s">
        <v>11517</v>
      </c>
    </row>
    <row r="4186" spans="1:29" s="197" customFormat="1" ht="48" customHeight="1">
      <c r="A4186" s="147" t="str">
        <f>'Reported burning'!A4186</f>
        <v>454bp</v>
      </c>
      <c r="B4186" s="147" t="str">
        <f>'Reported burning'!B4186</f>
        <v>454bp.1</v>
      </c>
      <c r="C4186" s="147" t="str">
        <f>'Reported burning'!C4186</f>
        <v>All</v>
      </c>
      <c r="D4186" s="147" t="str">
        <f>'Reported burning'!D4186</f>
        <v>ND</v>
      </c>
      <c r="E4186" s="147" t="str">
        <f>'Reported burning'!E4186</f>
        <v>ND</v>
      </c>
      <c r="F4186" s="147" t="str">
        <f>'Reported burning'!F4186</f>
        <v>ND</v>
      </c>
      <c r="G4186" s="147" t="str">
        <f>'Reported burning'!G4186</f>
        <v>ND</v>
      </c>
      <c r="H4186" s="147" t="str">
        <f>'Reported burning'!H4186</f>
        <v>Presence</v>
      </c>
      <c r="I4186" s="198"/>
      <c r="J4186" s="71" t="s">
        <v>2272</v>
      </c>
      <c r="K4186" s="71" t="s">
        <v>2272</v>
      </c>
      <c r="L4186" s="71" t="s">
        <v>2272</v>
      </c>
      <c r="M4186" s="71" t="s">
        <v>2272</v>
      </c>
      <c r="N4186" s="71" t="s">
        <v>2272</v>
      </c>
      <c r="O4186" s="71" t="s">
        <v>2272</v>
      </c>
      <c r="P4186" s="71" t="s">
        <v>2272</v>
      </c>
      <c r="Q4186" s="71" t="s">
        <v>2272</v>
      </c>
      <c r="R4186" s="71" t="s">
        <v>2272</v>
      </c>
      <c r="S4186" s="71" t="s">
        <v>2272</v>
      </c>
      <c r="T4186" s="71" t="s">
        <v>2272</v>
      </c>
      <c r="U4186" s="71" t="s">
        <v>2272</v>
      </c>
      <c r="V4186" s="71" t="s">
        <v>2272</v>
      </c>
      <c r="W4186" s="71" t="s">
        <v>2272</v>
      </c>
      <c r="X4186" s="71" t="s">
        <v>2272</v>
      </c>
      <c r="Y4186" s="71" t="s">
        <v>2272</v>
      </c>
      <c r="Z4186" s="71" t="s">
        <v>2272</v>
      </c>
      <c r="AA4186" s="71" t="s">
        <v>2272</v>
      </c>
      <c r="AB4186" s="19" t="s">
        <v>11536</v>
      </c>
      <c r="AC4186" s="4" t="s">
        <v>11517</v>
      </c>
    </row>
    <row r="4187" spans="1:29" s="197" customFormat="1" ht="48" customHeight="1">
      <c r="A4187" s="147" t="str">
        <f>'Reported burning'!A4187</f>
        <v>454bq</v>
      </c>
      <c r="B4187" s="147" t="str">
        <f>'Reported burning'!B4187</f>
        <v>454bq.1</v>
      </c>
      <c r="C4187" s="147" t="str">
        <f>'Reported burning'!C4187</f>
        <v>All</v>
      </c>
      <c r="D4187" s="147" t="str">
        <f>'Reported burning'!D4187</f>
        <v>ND</v>
      </c>
      <c r="E4187" s="147" t="str">
        <f>'Reported burning'!E4187</f>
        <v>ND</v>
      </c>
      <c r="F4187" s="147" t="str">
        <f>'Reported burning'!F4187</f>
        <v>ND</v>
      </c>
      <c r="G4187" s="147" t="str">
        <f>'Reported burning'!G4187</f>
        <v>ND</v>
      </c>
      <c r="H4187" s="147" t="str">
        <f>'Reported burning'!H4187</f>
        <v>Presence</v>
      </c>
      <c r="I4187" s="198"/>
      <c r="J4187" s="71" t="s">
        <v>2272</v>
      </c>
      <c r="K4187" s="71" t="s">
        <v>2272</v>
      </c>
      <c r="L4187" s="71" t="s">
        <v>2272</v>
      </c>
      <c r="M4187" s="71" t="s">
        <v>2272</v>
      </c>
      <c r="N4187" s="71" t="s">
        <v>2272</v>
      </c>
      <c r="O4187" s="71" t="s">
        <v>2272</v>
      </c>
      <c r="P4187" s="71" t="s">
        <v>2272</v>
      </c>
      <c r="Q4187" s="71" t="s">
        <v>2272</v>
      </c>
      <c r="R4187" s="71" t="s">
        <v>2272</v>
      </c>
      <c r="S4187" s="71" t="s">
        <v>2272</v>
      </c>
      <c r="T4187" s="71" t="s">
        <v>2272</v>
      </c>
      <c r="U4187" s="71" t="s">
        <v>2272</v>
      </c>
      <c r="V4187" s="71" t="s">
        <v>2272</v>
      </c>
      <c r="W4187" s="71" t="s">
        <v>2272</v>
      </c>
      <c r="X4187" s="71" t="s">
        <v>2272</v>
      </c>
      <c r="Y4187" s="71" t="s">
        <v>2272</v>
      </c>
      <c r="Z4187" s="71" t="s">
        <v>2272</v>
      </c>
      <c r="AA4187" s="71" t="s">
        <v>2272</v>
      </c>
      <c r="AB4187" s="19" t="s">
        <v>11544</v>
      </c>
      <c r="AC4187" s="4" t="s">
        <v>11517</v>
      </c>
    </row>
    <row r="4188" spans="1:29" s="197" customFormat="1" ht="48" customHeight="1">
      <c r="A4188" s="147" t="str">
        <f>'Reported burning'!A4188</f>
        <v>454br</v>
      </c>
      <c r="B4188" s="147" t="str">
        <f>'Reported burning'!B4188</f>
        <v>454br.1</v>
      </c>
      <c r="C4188" s="147" t="str">
        <f>'Reported burning'!C4188</f>
        <v>All</v>
      </c>
      <c r="D4188" s="147" t="str">
        <f>'Reported burning'!D4188</f>
        <v>ND</v>
      </c>
      <c r="E4188" s="147" t="str">
        <f>'Reported burning'!E4188</f>
        <v>ND</v>
      </c>
      <c r="F4188" s="147" t="str">
        <f>'Reported burning'!F4188</f>
        <v>ND</v>
      </c>
      <c r="G4188" s="147" t="str">
        <f>'Reported burning'!G4188</f>
        <v>ND</v>
      </c>
      <c r="H4188" s="147" t="str">
        <f>'Reported burning'!H4188</f>
        <v>Presence</v>
      </c>
      <c r="I4188" s="198"/>
      <c r="J4188" s="71" t="s">
        <v>2272</v>
      </c>
      <c r="K4188" s="71" t="s">
        <v>2272</v>
      </c>
      <c r="L4188" s="71" t="s">
        <v>2272</v>
      </c>
      <c r="M4188" s="71" t="s">
        <v>2272</v>
      </c>
      <c r="N4188" s="71" t="s">
        <v>2272</v>
      </c>
      <c r="O4188" s="71" t="s">
        <v>2272</v>
      </c>
      <c r="P4188" s="71" t="s">
        <v>2272</v>
      </c>
      <c r="Q4188" s="71" t="s">
        <v>2272</v>
      </c>
      <c r="R4188" s="71" t="s">
        <v>2272</v>
      </c>
      <c r="S4188" s="71" t="s">
        <v>2272</v>
      </c>
      <c r="T4188" s="71" t="s">
        <v>2272</v>
      </c>
      <c r="U4188" s="71" t="s">
        <v>2272</v>
      </c>
      <c r="V4188" s="71" t="s">
        <v>2272</v>
      </c>
      <c r="W4188" s="71" t="s">
        <v>2272</v>
      </c>
      <c r="X4188" s="71" t="s">
        <v>2272</v>
      </c>
      <c r="Y4188" s="71" t="s">
        <v>2272</v>
      </c>
      <c r="Z4188" s="71" t="s">
        <v>2272</v>
      </c>
      <c r="AA4188" s="71" t="s">
        <v>2272</v>
      </c>
      <c r="AB4188" s="19" t="s">
        <v>11531</v>
      </c>
      <c r="AC4188" s="4" t="s">
        <v>11517</v>
      </c>
    </row>
    <row r="4189" spans="1:29" s="197" customFormat="1" ht="48" customHeight="1">
      <c r="A4189" s="147" t="str">
        <f>'Reported burning'!A4189</f>
        <v>454bs</v>
      </c>
      <c r="B4189" s="147" t="str">
        <f>'Reported burning'!B4189</f>
        <v>454bs.1</v>
      </c>
      <c r="C4189" s="147" t="str">
        <f>'Reported burning'!C4189</f>
        <v>All</v>
      </c>
      <c r="D4189" s="147" t="str">
        <f>'Reported burning'!D4189</f>
        <v>ND</v>
      </c>
      <c r="E4189" s="147" t="str">
        <f>'Reported burning'!E4189</f>
        <v>ND</v>
      </c>
      <c r="F4189" s="147" t="str">
        <f>'Reported burning'!F4189</f>
        <v>ND</v>
      </c>
      <c r="G4189" s="147" t="str">
        <f>'Reported burning'!G4189</f>
        <v>ND</v>
      </c>
      <c r="H4189" s="147" t="str">
        <f>'Reported burning'!H4189</f>
        <v>Presence</v>
      </c>
      <c r="I4189" s="198"/>
      <c r="J4189" s="71" t="s">
        <v>2272</v>
      </c>
      <c r="K4189" s="71" t="s">
        <v>2272</v>
      </c>
      <c r="L4189" s="71" t="s">
        <v>2272</v>
      </c>
      <c r="M4189" s="71" t="s">
        <v>2272</v>
      </c>
      <c r="N4189" s="71" t="s">
        <v>2272</v>
      </c>
      <c r="O4189" s="71" t="s">
        <v>2272</v>
      </c>
      <c r="P4189" s="71" t="s">
        <v>2272</v>
      </c>
      <c r="Q4189" s="71" t="s">
        <v>2272</v>
      </c>
      <c r="R4189" s="71" t="s">
        <v>2272</v>
      </c>
      <c r="S4189" s="71" t="s">
        <v>2272</v>
      </c>
      <c r="T4189" s="71" t="s">
        <v>2272</v>
      </c>
      <c r="U4189" s="71" t="s">
        <v>2272</v>
      </c>
      <c r="V4189" s="71" t="s">
        <v>2272</v>
      </c>
      <c r="W4189" s="71" t="s">
        <v>2272</v>
      </c>
      <c r="X4189" s="71" t="s">
        <v>2272</v>
      </c>
      <c r="Y4189" s="71" t="s">
        <v>2272</v>
      </c>
      <c r="Z4189" s="71" t="s">
        <v>2272</v>
      </c>
      <c r="AA4189" s="71" t="s">
        <v>2272</v>
      </c>
      <c r="AB4189" s="19" t="s">
        <v>11559</v>
      </c>
      <c r="AC4189" s="4" t="s">
        <v>11517</v>
      </c>
    </row>
    <row r="4190" spans="1:29" s="197" customFormat="1" ht="48" customHeight="1">
      <c r="A4190" s="147" t="str">
        <f>'Reported burning'!A4190</f>
        <v>454bt</v>
      </c>
      <c r="B4190" s="147" t="str">
        <f>'Reported burning'!B4190</f>
        <v>454bt.1</v>
      </c>
      <c r="C4190" s="147" t="str">
        <f>'Reported burning'!C4190</f>
        <v>All</v>
      </c>
      <c r="D4190" s="147" t="str">
        <f>'Reported burning'!D4190</f>
        <v>ND</v>
      </c>
      <c r="E4190" s="147" t="str">
        <f>'Reported burning'!E4190</f>
        <v>ND</v>
      </c>
      <c r="F4190" s="147" t="str">
        <f>'Reported burning'!F4190</f>
        <v>ND</v>
      </c>
      <c r="G4190" s="147" t="str">
        <f>'Reported burning'!G4190</f>
        <v>ND</v>
      </c>
      <c r="H4190" s="147" t="str">
        <f>'Reported burning'!H4190</f>
        <v>Presence</v>
      </c>
      <c r="I4190" s="198"/>
      <c r="J4190" s="71" t="s">
        <v>2272</v>
      </c>
      <c r="K4190" s="71" t="s">
        <v>2272</v>
      </c>
      <c r="L4190" s="71" t="s">
        <v>2272</v>
      </c>
      <c r="M4190" s="71" t="s">
        <v>2272</v>
      </c>
      <c r="N4190" s="71" t="s">
        <v>2272</v>
      </c>
      <c r="O4190" s="71" t="s">
        <v>2272</v>
      </c>
      <c r="P4190" s="71" t="s">
        <v>2272</v>
      </c>
      <c r="Q4190" s="71" t="s">
        <v>2272</v>
      </c>
      <c r="R4190" s="71" t="s">
        <v>2272</v>
      </c>
      <c r="S4190" s="71" t="s">
        <v>2272</v>
      </c>
      <c r="T4190" s="71" t="s">
        <v>2272</v>
      </c>
      <c r="U4190" s="71" t="s">
        <v>2272</v>
      </c>
      <c r="V4190" s="71" t="s">
        <v>2272</v>
      </c>
      <c r="W4190" s="71" t="s">
        <v>2272</v>
      </c>
      <c r="X4190" s="71" t="s">
        <v>2272</v>
      </c>
      <c r="Y4190" s="71" t="s">
        <v>2272</v>
      </c>
      <c r="Z4190" s="71" t="s">
        <v>2272</v>
      </c>
      <c r="AA4190" s="71" t="s">
        <v>2272</v>
      </c>
      <c r="AB4190" s="19" t="s">
        <v>11545</v>
      </c>
      <c r="AC4190" s="4" t="s">
        <v>11517</v>
      </c>
    </row>
    <row r="4191" spans="1:29" s="197" customFormat="1" ht="48" customHeight="1">
      <c r="A4191" s="147" t="str">
        <f>'Reported burning'!A4191</f>
        <v>454bu</v>
      </c>
      <c r="B4191" s="147" t="str">
        <f>'Reported burning'!B4191</f>
        <v>454bu.1</v>
      </c>
      <c r="C4191" s="147" t="str">
        <f>'Reported burning'!C4191</f>
        <v>All</v>
      </c>
      <c r="D4191" s="147" t="str">
        <f>'Reported burning'!D4191</f>
        <v>ND</v>
      </c>
      <c r="E4191" s="147" t="str">
        <f>'Reported burning'!E4191</f>
        <v>ND</v>
      </c>
      <c r="F4191" s="147" t="str">
        <f>'Reported burning'!F4191</f>
        <v>ND</v>
      </c>
      <c r="G4191" s="147" t="str">
        <f>'Reported burning'!G4191</f>
        <v>ND</v>
      </c>
      <c r="H4191" s="147" t="str">
        <f>'Reported burning'!H4191</f>
        <v>Presence</v>
      </c>
      <c r="I4191" s="198"/>
      <c r="J4191" s="71" t="s">
        <v>2272</v>
      </c>
      <c r="K4191" s="71" t="s">
        <v>2272</v>
      </c>
      <c r="L4191" s="71" t="s">
        <v>2272</v>
      </c>
      <c r="M4191" s="71" t="s">
        <v>2272</v>
      </c>
      <c r="N4191" s="71" t="s">
        <v>2272</v>
      </c>
      <c r="O4191" s="71" t="s">
        <v>2272</v>
      </c>
      <c r="P4191" s="71" t="s">
        <v>2272</v>
      </c>
      <c r="Q4191" s="71" t="s">
        <v>2272</v>
      </c>
      <c r="R4191" s="71" t="s">
        <v>2272</v>
      </c>
      <c r="S4191" s="71" t="s">
        <v>2272</v>
      </c>
      <c r="T4191" s="71" t="s">
        <v>2272</v>
      </c>
      <c r="U4191" s="71" t="s">
        <v>2272</v>
      </c>
      <c r="V4191" s="71" t="s">
        <v>2272</v>
      </c>
      <c r="W4191" s="71" t="s">
        <v>2272</v>
      </c>
      <c r="X4191" s="71" t="s">
        <v>2272</v>
      </c>
      <c r="Y4191" s="71" t="s">
        <v>2272</v>
      </c>
      <c r="Z4191" s="71" t="s">
        <v>2272</v>
      </c>
      <c r="AA4191" s="71" t="s">
        <v>2272</v>
      </c>
      <c r="AB4191" s="19" t="s">
        <v>11560</v>
      </c>
      <c r="AC4191" s="4" t="s">
        <v>11517</v>
      </c>
    </row>
    <row r="4192" spans="1:29" s="197" customFormat="1" ht="48" customHeight="1">
      <c r="A4192" s="147" t="str">
        <f>'Reported burning'!A4192</f>
        <v>454bv</v>
      </c>
      <c r="B4192" s="147" t="str">
        <f>'Reported burning'!B4192</f>
        <v>454bv.1</v>
      </c>
      <c r="C4192" s="147" t="str">
        <f>'Reported burning'!C4192</f>
        <v>All</v>
      </c>
      <c r="D4192" s="147" t="str">
        <f>'Reported burning'!D4192</f>
        <v>ND</v>
      </c>
      <c r="E4192" s="147" t="str">
        <f>'Reported burning'!E4192</f>
        <v>ND</v>
      </c>
      <c r="F4192" s="147" t="str">
        <f>'Reported burning'!F4192</f>
        <v>ND</v>
      </c>
      <c r="G4192" s="147" t="str">
        <f>'Reported burning'!G4192</f>
        <v>ND</v>
      </c>
      <c r="H4192" s="147" t="str">
        <f>'Reported burning'!H4192</f>
        <v>Presence</v>
      </c>
      <c r="I4192" s="198"/>
      <c r="J4192" s="71" t="s">
        <v>2272</v>
      </c>
      <c r="K4192" s="71" t="s">
        <v>2272</v>
      </c>
      <c r="L4192" s="71" t="s">
        <v>2272</v>
      </c>
      <c r="M4192" s="71" t="s">
        <v>2272</v>
      </c>
      <c r="N4192" s="71" t="s">
        <v>2272</v>
      </c>
      <c r="O4192" s="71" t="s">
        <v>2272</v>
      </c>
      <c r="P4192" s="71" t="s">
        <v>2272</v>
      </c>
      <c r="Q4192" s="71" t="s">
        <v>2272</v>
      </c>
      <c r="R4192" s="71" t="s">
        <v>2272</v>
      </c>
      <c r="S4192" s="71" t="s">
        <v>2272</v>
      </c>
      <c r="T4192" s="71" t="s">
        <v>2272</v>
      </c>
      <c r="U4192" s="71" t="s">
        <v>2272</v>
      </c>
      <c r="V4192" s="71" t="s">
        <v>2272</v>
      </c>
      <c r="W4192" s="71" t="s">
        <v>2272</v>
      </c>
      <c r="X4192" s="71" t="s">
        <v>2272</v>
      </c>
      <c r="Y4192" s="71" t="s">
        <v>2272</v>
      </c>
      <c r="Z4192" s="71" t="s">
        <v>2272</v>
      </c>
      <c r="AA4192" s="71" t="s">
        <v>2272</v>
      </c>
      <c r="AB4192" s="19" t="s">
        <v>11561</v>
      </c>
      <c r="AC4192" s="4" t="s">
        <v>11517</v>
      </c>
    </row>
    <row r="4193" spans="1:29" s="197" customFormat="1" ht="48" customHeight="1">
      <c r="A4193" s="147" t="str">
        <f>'Reported burning'!A4193</f>
        <v>454bw</v>
      </c>
      <c r="B4193" s="147" t="str">
        <f>'Reported burning'!B4193</f>
        <v>454bw.1</v>
      </c>
      <c r="C4193" s="147" t="str">
        <f>'Reported burning'!C4193</f>
        <v>All</v>
      </c>
      <c r="D4193" s="147" t="str">
        <f>'Reported burning'!D4193</f>
        <v>ND</v>
      </c>
      <c r="E4193" s="147" t="str">
        <f>'Reported burning'!E4193</f>
        <v>ND</v>
      </c>
      <c r="F4193" s="147" t="str">
        <f>'Reported burning'!F4193</f>
        <v>ND</v>
      </c>
      <c r="G4193" s="147" t="str">
        <f>'Reported burning'!G4193</f>
        <v>ND</v>
      </c>
      <c r="H4193" s="147" t="str">
        <f>'Reported burning'!H4193</f>
        <v>Presence</v>
      </c>
      <c r="I4193" s="198"/>
      <c r="J4193" s="71" t="s">
        <v>2272</v>
      </c>
      <c r="K4193" s="71" t="s">
        <v>2272</v>
      </c>
      <c r="L4193" s="71" t="s">
        <v>2272</v>
      </c>
      <c r="M4193" s="71" t="s">
        <v>2272</v>
      </c>
      <c r="N4193" s="71" t="s">
        <v>2272</v>
      </c>
      <c r="O4193" s="71" t="s">
        <v>2272</v>
      </c>
      <c r="P4193" s="71" t="s">
        <v>2272</v>
      </c>
      <c r="Q4193" s="71" t="s">
        <v>2272</v>
      </c>
      <c r="R4193" s="71" t="s">
        <v>2272</v>
      </c>
      <c r="S4193" s="71" t="s">
        <v>2272</v>
      </c>
      <c r="T4193" s="71" t="s">
        <v>2272</v>
      </c>
      <c r="U4193" s="71" t="s">
        <v>2272</v>
      </c>
      <c r="V4193" s="71" t="s">
        <v>2272</v>
      </c>
      <c r="W4193" s="71" t="s">
        <v>2272</v>
      </c>
      <c r="X4193" s="71" t="s">
        <v>2272</v>
      </c>
      <c r="Y4193" s="71" t="s">
        <v>2272</v>
      </c>
      <c r="Z4193" s="71" t="s">
        <v>2272</v>
      </c>
      <c r="AA4193" s="71" t="s">
        <v>2272</v>
      </c>
      <c r="AB4193" s="19" t="s">
        <v>11543</v>
      </c>
      <c r="AC4193" s="4" t="s">
        <v>11517</v>
      </c>
    </row>
    <row r="4194" spans="1:29" s="197" customFormat="1" ht="48" customHeight="1">
      <c r="A4194" s="147" t="str">
        <f>'Reported burning'!A4194</f>
        <v>454bx</v>
      </c>
      <c r="B4194" s="147" t="str">
        <f>'Reported burning'!B4194</f>
        <v>454bx.1</v>
      </c>
      <c r="C4194" s="147" t="str">
        <f>'Reported burning'!C4194</f>
        <v>All</v>
      </c>
      <c r="D4194" s="147" t="str">
        <f>'Reported burning'!D4194</f>
        <v>ND</v>
      </c>
      <c r="E4194" s="147" t="str">
        <f>'Reported burning'!E4194</f>
        <v>ND</v>
      </c>
      <c r="F4194" s="147" t="str">
        <f>'Reported burning'!F4194</f>
        <v>ND</v>
      </c>
      <c r="G4194" s="147" t="str">
        <f>'Reported burning'!G4194</f>
        <v>ND</v>
      </c>
      <c r="H4194" s="147" t="str">
        <f>'Reported burning'!H4194</f>
        <v>Presence</v>
      </c>
      <c r="I4194" s="198"/>
      <c r="J4194" s="71" t="s">
        <v>2272</v>
      </c>
      <c r="K4194" s="71" t="s">
        <v>2272</v>
      </c>
      <c r="L4194" s="71" t="s">
        <v>2272</v>
      </c>
      <c r="M4194" s="71" t="s">
        <v>2272</v>
      </c>
      <c r="N4194" s="71" t="s">
        <v>2272</v>
      </c>
      <c r="O4194" s="71" t="s">
        <v>2272</v>
      </c>
      <c r="P4194" s="71" t="s">
        <v>2272</v>
      </c>
      <c r="Q4194" s="71" t="s">
        <v>2272</v>
      </c>
      <c r="R4194" s="71" t="s">
        <v>2272</v>
      </c>
      <c r="S4194" s="71" t="s">
        <v>2272</v>
      </c>
      <c r="T4194" s="71" t="s">
        <v>2272</v>
      </c>
      <c r="U4194" s="71" t="s">
        <v>2272</v>
      </c>
      <c r="V4194" s="71" t="s">
        <v>2272</v>
      </c>
      <c r="W4194" s="71" t="s">
        <v>2272</v>
      </c>
      <c r="X4194" s="71" t="s">
        <v>2272</v>
      </c>
      <c r="Y4194" s="71" t="s">
        <v>2272</v>
      </c>
      <c r="Z4194" s="71" t="s">
        <v>2272</v>
      </c>
      <c r="AA4194" s="71" t="s">
        <v>2272</v>
      </c>
      <c r="AB4194" s="19" t="s">
        <v>11562</v>
      </c>
      <c r="AC4194" s="4" t="s">
        <v>11517</v>
      </c>
    </row>
    <row r="4195" spans="1:29" s="197" customFormat="1" ht="48" customHeight="1">
      <c r="A4195" s="147" t="str">
        <f>'Reported burning'!A4195</f>
        <v>454by</v>
      </c>
      <c r="B4195" s="147" t="str">
        <f>'Reported burning'!B4195</f>
        <v>454by.1</v>
      </c>
      <c r="C4195" s="147" t="str">
        <f>'Reported burning'!C4195</f>
        <v>All</v>
      </c>
      <c r="D4195" s="147" t="str">
        <f>'Reported burning'!D4195</f>
        <v>ND</v>
      </c>
      <c r="E4195" s="147" t="str">
        <f>'Reported burning'!E4195</f>
        <v>ND</v>
      </c>
      <c r="F4195" s="147" t="str">
        <f>'Reported burning'!F4195</f>
        <v>ND</v>
      </c>
      <c r="G4195" s="147" t="str">
        <f>'Reported burning'!G4195</f>
        <v>ND</v>
      </c>
      <c r="H4195" s="147" t="str">
        <f>'Reported burning'!H4195</f>
        <v>Presence</v>
      </c>
      <c r="I4195" s="198"/>
      <c r="J4195" s="71" t="s">
        <v>2272</v>
      </c>
      <c r="K4195" s="71" t="s">
        <v>2272</v>
      </c>
      <c r="L4195" s="71" t="s">
        <v>2272</v>
      </c>
      <c r="M4195" s="71" t="s">
        <v>2272</v>
      </c>
      <c r="N4195" s="71" t="s">
        <v>2272</v>
      </c>
      <c r="O4195" s="71" t="s">
        <v>2272</v>
      </c>
      <c r="P4195" s="71" t="s">
        <v>2272</v>
      </c>
      <c r="Q4195" s="71" t="s">
        <v>2272</v>
      </c>
      <c r="R4195" s="71" t="s">
        <v>2272</v>
      </c>
      <c r="S4195" s="71" t="s">
        <v>2272</v>
      </c>
      <c r="T4195" s="71" t="s">
        <v>2272</v>
      </c>
      <c r="U4195" s="71" t="s">
        <v>2272</v>
      </c>
      <c r="V4195" s="71" t="s">
        <v>2272</v>
      </c>
      <c r="W4195" s="71" t="s">
        <v>2272</v>
      </c>
      <c r="X4195" s="71" t="s">
        <v>2272</v>
      </c>
      <c r="Y4195" s="71" t="s">
        <v>2272</v>
      </c>
      <c r="Z4195" s="71" t="s">
        <v>2272</v>
      </c>
      <c r="AA4195" s="71" t="s">
        <v>2272</v>
      </c>
      <c r="AB4195" s="19" t="s">
        <v>11563</v>
      </c>
      <c r="AC4195" s="4" t="s">
        <v>11517</v>
      </c>
    </row>
    <row r="4196" spans="1:29" s="197" customFormat="1" ht="48" customHeight="1">
      <c r="A4196" s="147" t="str">
        <f>'Reported burning'!A4196</f>
        <v>454bz</v>
      </c>
      <c r="B4196" s="147" t="str">
        <f>'Reported burning'!B4196</f>
        <v>454bz.1</v>
      </c>
      <c r="C4196" s="147" t="str">
        <f>'Reported burning'!C4196</f>
        <v>All</v>
      </c>
      <c r="D4196" s="147" t="str">
        <f>'Reported burning'!D4196</f>
        <v>ND</v>
      </c>
      <c r="E4196" s="147" t="str">
        <f>'Reported burning'!E4196</f>
        <v>ND</v>
      </c>
      <c r="F4196" s="147" t="str">
        <f>'Reported burning'!F4196</f>
        <v>ND</v>
      </c>
      <c r="G4196" s="147" t="str">
        <f>'Reported burning'!G4196</f>
        <v>ND</v>
      </c>
      <c r="H4196" s="147" t="str">
        <f>'Reported burning'!H4196</f>
        <v>Presence</v>
      </c>
      <c r="I4196" s="198"/>
      <c r="J4196" s="71" t="s">
        <v>2272</v>
      </c>
      <c r="K4196" s="71" t="s">
        <v>2272</v>
      </c>
      <c r="L4196" s="71" t="s">
        <v>2272</v>
      </c>
      <c r="M4196" s="71" t="s">
        <v>2272</v>
      </c>
      <c r="N4196" s="71" t="s">
        <v>2272</v>
      </c>
      <c r="O4196" s="71" t="s">
        <v>2272</v>
      </c>
      <c r="P4196" s="71" t="s">
        <v>2272</v>
      </c>
      <c r="Q4196" s="71" t="s">
        <v>2272</v>
      </c>
      <c r="R4196" s="71" t="s">
        <v>2272</v>
      </c>
      <c r="S4196" s="71" t="s">
        <v>2272</v>
      </c>
      <c r="T4196" s="71" t="s">
        <v>2272</v>
      </c>
      <c r="U4196" s="71" t="s">
        <v>2272</v>
      </c>
      <c r="V4196" s="71" t="s">
        <v>2272</v>
      </c>
      <c r="W4196" s="71" t="s">
        <v>2272</v>
      </c>
      <c r="X4196" s="71" t="s">
        <v>2272</v>
      </c>
      <c r="Y4196" s="71" t="s">
        <v>2272</v>
      </c>
      <c r="Z4196" s="71" t="s">
        <v>2272</v>
      </c>
      <c r="AA4196" s="71" t="s">
        <v>2272</v>
      </c>
      <c r="AB4196" s="19" t="s">
        <v>11537</v>
      </c>
      <c r="AC4196" s="4" t="s">
        <v>11517</v>
      </c>
    </row>
    <row r="4197" spans="1:29" s="197" customFormat="1" ht="48" customHeight="1">
      <c r="A4197" s="147" t="str">
        <f>'Reported burning'!A4197</f>
        <v>454ca</v>
      </c>
      <c r="B4197" s="147" t="str">
        <f>'Reported burning'!B4197</f>
        <v>454ca.1</v>
      </c>
      <c r="C4197" s="147" t="str">
        <f>'Reported burning'!C4197</f>
        <v>All</v>
      </c>
      <c r="D4197" s="147" t="str">
        <f>'Reported burning'!D4197</f>
        <v>ND</v>
      </c>
      <c r="E4197" s="147" t="str">
        <f>'Reported burning'!E4197</f>
        <v>ND</v>
      </c>
      <c r="F4197" s="147" t="str">
        <f>'Reported burning'!F4197</f>
        <v>ND</v>
      </c>
      <c r="G4197" s="147" t="str">
        <f>'Reported burning'!G4197</f>
        <v>ND</v>
      </c>
      <c r="H4197" s="147" t="str">
        <f>'Reported burning'!H4197</f>
        <v>Presence</v>
      </c>
      <c r="I4197" s="198"/>
      <c r="J4197" s="71" t="s">
        <v>2272</v>
      </c>
      <c r="K4197" s="71" t="s">
        <v>2272</v>
      </c>
      <c r="L4197" s="71" t="s">
        <v>2272</v>
      </c>
      <c r="M4197" s="71" t="s">
        <v>2272</v>
      </c>
      <c r="N4197" s="71" t="s">
        <v>2272</v>
      </c>
      <c r="O4197" s="71" t="s">
        <v>2272</v>
      </c>
      <c r="P4197" s="71" t="s">
        <v>2272</v>
      </c>
      <c r="Q4197" s="71" t="s">
        <v>2272</v>
      </c>
      <c r="R4197" s="71" t="s">
        <v>2272</v>
      </c>
      <c r="S4197" s="71" t="s">
        <v>2272</v>
      </c>
      <c r="T4197" s="71" t="s">
        <v>2272</v>
      </c>
      <c r="U4197" s="71" t="s">
        <v>2272</v>
      </c>
      <c r="V4197" s="71" t="s">
        <v>2272</v>
      </c>
      <c r="W4197" s="71" t="s">
        <v>2272</v>
      </c>
      <c r="X4197" s="71" t="s">
        <v>2272</v>
      </c>
      <c r="Y4197" s="71" t="s">
        <v>2272</v>
      </c>
      <c r="Z4197" s="71" t="s">
        <v>2272</v>
      </c>
      <c r="AA4197" s="71" t="s">
        <v>2272</v>
      </c>
      <c r="AB4197" s="19" t="s">
        <v>11564</v>
      </c>
      <c r="AC4197" s="4" t="s">
        <v>11517</v>
      </c>
    </row>
    <row r="4198" spans="1:29" s="197" customFormat="1" ht="48" customHeight="1">
      <c r="A4198" s="147" t="str">
        <f>'Reported burning'!A4198</f>
        <v>454cb</v>
      </c>
      <c r="B4198" s="147" t="str">
        <f>'Reported burning'!B4198</f>
        <v>454cb.1</v>
      </c>
      <c r="C4198" s="147" t="str">
        <f>'Reported burning'!C4198</f>
        <v>All</v>
      </c>
      <c r="D4198" s="147" t="str">
        <f>'Reported burning'!D4198</f>
        <v>ND</v>
      </c>
      <c r="E4198" s="147" t="str">
        <f>'Reported burning'!E4198</f>
        <v>ND</v>
      </c>
      <c r="F4198" s="147" t="str">
        <f>'Reported burning'!F4198</f>
        <v>ND</v>
      </c>
      <c r="G4198" s="147" t="str">
        <f>'Reported burning'!G4198</f>
        <v>ND</v>
      </c>
      <c r="H4198" s="147" t="str">
        <f>'Reported burning'!H4198</f>
        <v>Presence</v>
      </c>
      <c r="I4198" s="198"/>
      <c r="J4198" s="71" t="s">
        <v>2272</v>
      </c>
      <c r="K4198" s="71" t="s">
        <v>2272</v>
      </c>
      <c r="L4198" s="71" t="s">
        <v>2272</v>
      </c>
      <c r="M4198" s="71" t="s">
        <v>2272</v>
      </c>
      <c r="N4198" s="71" t="s">
        <v>2272</v>
      </c>
      <c r="O4198" s="71" t="s">
        <v>2272</v>
      </c>
      <c r="P4198" s="71" t="s">
        <v>2272</v>
      </c>
      <c r="Q4198" s="71" t="s">
        <v>2272</v>
      </c>
      <c r="R4198" s="71" t="s">
        <v>2272</v>
      </c>
      <c r="S4198" s="71" t="s">
        <v>2272</v>
      </c>
      <c r="T4198" s="71" t="s">
        <v>2272</v>
      </c>
      <c r="U4198" s="71" t="s">
        <v>2272</v>
      </c>
      <c r="V4198" s="71" t="s">
        <v>2272</v>
      </c>
      <c r="W4198" s="71" t="s">
        <v>2272</v>
      </c>
      <c r="X4198" s="71" t="s">
        <v>2272</v>
      </c>
      <c r="Y4198" s="71" t="s">
        <v>2272</v>
      </c>
      <c r="Z4198" s="71" t="s">
        <v>2272</v>
      </c>
      <c r="AA4198" s="71" t="s">
        <v>2272</v>
      </c>
      <c r="AB4198" s="19" t="s">
        <v>11543</v>
      </c>
      <c r="AC4198" s="4" t="s">
        <v>11517</v>
      </c>
    </row>
    <row r="4199" spans="1:29" s="197" customFormat="1" ht="48" customHeight="1">
      <c r="A4199" s="147" t="str">
        <f>'Reported burning'!A4199</f>
        <v>454cd</v>
      </c>
      <c r="B4199" s="147" t="str">
        <f>'Reported burning'!B4199</f>
        <v>454cd.1</v>
      </c>
      <c r="C4199" s="147" t="str">
        <f>'Reported burning'!C4199</f>
        <v>All</v>
      </c>
      <c r="D4199" s="147" t="str">
        <f>'Reported burning'!D4199</f>
        <v>ND</v>
      </c>
      <c r="E4199" s="147" t="str">
        <f>'Reported burning'!E4199</f>
        <v>ND</v>
      </c>
      <c r="F4199" s="147" t="str">
        <f>'Reported burning'!F4199</f>
        <v>ND</v>
      </c>
      <c r="G4199" s="147" t="str">
        <f>'Reported burning'!G4199</f>
        <v>ND</v>
      </c>
      <c r="H4199" s="147" t="str">
        <f>'Reported burning'!H4199</f>
        <v>Presence</v>
      </c>
      <c r="I4199" s="198"/>
      <c r="J4199" s="71" t="s">
        <v>2272</v>
      </c>
      <c r="K4199" s="71" t="s">
        <v>2272</v>
      </c>
      <c r="L4199" s="71" t="s">
        <v>2272</v>
      </c>
      <c r="M4199" s="71" t="s">
        <v>2272</v>
      </c>
      <c r="N4199" s="71" t="s">
        <v>2272</v>
      </c>
      <c r="O4199" s="71" t="s">
        <v>2272</v>
      </c>
      <c r="P4199" s="71" t="s">
        <v>2272</v>
      </c>
      <c r="Q4199" s="71" t="s">
        <v>2272</v>
      </c>
      <c r="R4199" s="71" t="s">
        <v>2272</v>
      </c>
      <c r="S4199" s="71" t="s">
        <v>2272</v>
      </c>
      <c r="T4199" s="71" t="s">
        <v>2272</v>
      </c>
      <c r="U4199" s="71" t="s">
        <v>2272</v>
      </c>
      <c r="V4199" s="71" t="s">
        <v>2272</v>
      </c>
      <c r="W4199" s="71" t="s">
        <v>2272</v>
      </c>
      <c r="X4199" s="71" t="s">
        <v>2272</v>
      </c>
      <c r="Y4199" s="71" t="s">
        <v>2272</v>
      </c>
      <c r="Z4199" s="71" t="s">
        <v>2272</v>
      </c>
      <c r="AA4199" s="71" t="s">
        <v>2272</v>
      </c>
      <c r="AB4199" s="19" t="s">
        <v>11543</v>
      </c>
      <c r="AC4199" s="4" t="s">
        <v>11517</v>
      </c>
    </row>
    <row r="4200" spans="1:29" s="197" customFormat="1" ht="48" customHeight="1">
      <c r="A4200" s="147" t="str">
        <f>'Reported burning'!A4200</f>
        <v>454ce</v>
      </c>
      <c r="B4200" s="147" t="str">
        <f>'Reported burning'!B4200</f>
        <v>454ce.1</v>
      </c>
      <c r="C4200" s="147" t="str">
        <f>'Reported burning'!C4200</f>
        <v>All</v>
      </c>
      <c r="D4200" s="147" t="str">
        <f>'Reported burning'!D4200</f>
        <v>ND</v>
      </c>
      <c r="E4200" s="147" t="str">
        <f>'Reported burning'!E4200</f>
        <v>ND</v>
      </c>
      <c r="F4200" s="147" t="str">
        <f>'Reported burning'!F4200</f>
        <v>ND</v>
      </c>
      <c r="G4200" s="147" t="str">
        <f>'Reported burning'!G4200</f>
        <v>ND</v>
      </c>
      <c r="H4200" s="147" t="str">
        <f>'Reported burning'!H4200</f>
        <v>Presence</v>
      </c>
      <c r="I4200" s="198"/>
      <c r="J4200" s="71" t="s">
        <v>2272</v>
      </c>
      <c r="K4200" s="71" t="s">
        <v>2272</v>
      </c>
      <c r="L4200" s="71" t="s">
        <v>2272</v>
      </c>
      <c r="M4200" s="71" t="s">
        <v>2272</v>
      </c>
      <c r="N4200" s="71" t="s">
        <v>2272</v>
      </c>
      <c r="O4200" s="71" t="s">
        <v>2272</v>
      </c>
      <c r="P4200" s="71" t="s">
        <v>2272</v>
      </c>
      <c r="Q4200" s="71" t="s">
        <v>2272</v>
      </c>
      <c r="R4200" s="71" t="s">
        <v>2272</v>
      </c>
      <c r="S4200" s="71" t="s">
        <v>2272</v>
      </c>
      <c r="T4200" s="71" t="s">
        <v>2272</v>
      </c>
      <c r="U4200" s="71" t="s">
        <v>2272</v>
      </c>
      <c r="V4200" s="71" t="s">
        <v>2272</v>
      </c>
      <c r="W4200" s="71" t="s">
        <v>2272</v>
      </c>
      <c r="X4200" s="71" t="s">
        <v>2272</v>
      </c>
      <c r="Y4200" s="71" t="s">
        <v>2272</v>
      </c>
      <c r="Z4200" s="71" t="s">
        <v>2272</v>
      </c>
      <c r="AA4200" s="71" t="s">
        <v>2272</v>
      </c>
      <c r="AB4200" s="19" t="s">
        <v>11565</v>
      </c>
      <c r="AC4200" s="4" t="s">
        <v>11517</v>
      </c>
    </row>
    <row r="4201" spans="1:29" s="197" customFormat="1" ht="48" customHeight="1">
      <c r="A4201" s="147" t="str">
        <f>'Reported burning'!A4201</f>
        <v>454cf</v>
      </c>
      <c r="B4201" s="147" t="str">
        <f>'Reported burning'!B4201</f>
        <v>454cf.1</v>
      </c>
      <c r="C4201" s="147" t="str">
        <f>'Reported burning'!C4201</f>
        <v>All</v>
      </c>
      <c r="D4201" s="147" t="str">
        <f>'Reported burning'!D4201</f>
        <v>ND</v>
      </c>
      <c r="E4201" s="147" t="str">
        <f>'Reported burning'!E4201</f>
        <v>ND</v>
      </c>
      <c r="F4201" s="147" t="str">
        <f>'Reported burning'!F4201</f>
        <v>ND</v>
      </c>
      <c r="G4201" s="147" t="str">
        <f>'Reported burning'!G4201</f>
        <v>ND</v>
      </c>
      <c r="H4201" s="147" t="str">
        <f>'Reported burning'!H4201</f>
        <v>Presence</v>
      </c>
      <c r="I4201" s="198"/>
      <c r="J4201" s="71" t="s">
        <v>2272</v>
      </c>
      <c r="K4201" s="71" t="s">
        <v>2272</v>
      </c>
      <c r="L4201" s="71" t="s">
        <v>2272</v>
      </c>
      <c r="M4201" s="71" t="s">
        <v>2272</v>
      </c>
      <c r="N4201" s="71" t="s">
        <v>2272</v>
      </c>
      <c r="O4201" s="71" t="s">
        <v>2272</v>
      </c>
      <c r="P4201" s="71" t="s">
        <v>2272</v>
      </c>
      <c r="Q4201" s="71" t="s">
        <v>2272</v>
      </c>
      <c r="R4201" s="71" t="s">
        <v>2272</v>
      </c>
      <c r="S4201" s="71" t="s">
        <v>2272</v>
      </c>
      <c r="T4201" s="71" t="s">
        <v>2272</v>
      </c>
      <c r="U4201" s="71" t="s">
        <v>2272</v>
      </c>
      <c r="V4201" s="71" t="s">
        <v>2272</v>
      </c>
      <c r="W4201" s="71" t="s">
        <v>2272</v>
      </c>
      <c r="X4201" s="71" t="s">
        <v>2272</v>
      </c>
      <c r="Y4201" s="71" t="s">
        <v>2272</v>
      </c>
      <c r="Z4201" s="71" t="s">
        <v>2272</v>
      </c>
      <c r="AA4201" s="71" t="s">
        <v>2272</v>
      </c>
      <c r="AB4201" s="19" t="s">
        <v>11565</v>
      </c>
      <c r="AC4201" s="4" t="s">
        <v>11517</v>
      </c>
    </row>
    <row r="4202" spans="1:29" s="197" customFormat="1" ht="48" customHeight="1">
      <c r="A4202" s="147" t="str">
        <f>'Reported burning'!A4202</f>
        <v>454cg</v>
      </c>
      <c r="B4202" s="147" t="str">
        <f>'Reported burning'!B4202</f>
        <v>454cg.1</v>
      </c>
      <c r="C4202" s="147" t="str">
        <f>'Reported burning'!C4202</f>
        <v>All</v>
      </c>
      <c r="D4202" s="147" t="str">
        <f>'Reported burning'!D4202</f>
        <v>ND</v>
      </c>
      <c r="E4202" s="147" t="str">
        <f>'Reported burning'!E4202</f>
        <v>ND</v>
      </c>
      <c r="F4202" s="147" t="str">
        <f>'Reported burning'!F4202</f>
        <v>ND</v>
      </c>
      <c r="G4202" s="147" t="str">
        <f>'Reported burning'!G4202</f>
        <v>ND</v>
      </c>
      <c r="H4202" s="147" t="str">
        <f>'Reported burning'!H4202</f>
        <v>Presence</v>
      </c>
      <c r="I4202" s="198"/>
      <c r="J4202" s="71" t="s">
        <v>2272</v>
      </c>
      <c r="K4202" s="71" t="s">
        <v>2272</v>
      </c>
      <c r="L4202" s="71" t="s">
        <v>2272</v>
      </c>
      <c r="M4202" s="71" t="s">
        <v>2272</v>
      </c>
      <c r="N4202" s="71" t="s">
        <v>2272</v>
      </c>
      <c r="O4202" s="71" t="s">
        <v>2272</v>
      </c>
      <c r="P4202" s="71" t="s">
        <v>2272</v>
      </c>
      <c r="Q4202" s="71" t="s">
        <v>2272</v>
      </c>
      <c r="R4202" s="71" t="s">
        <v>2272</v>
      </c>
      <c r="S4202" s="71" t="s">
        <v>2272</v>
      </c>
      <c r="T4202" s="71" t="s">
        <v>2272</v>
      </c>
      <c r="U4202" s="71" t="s">
        <v>2272</v>
      </c>
      <c r="V4202" s="71" t="s">
        <v>2272</v>
      </c>
      <c r="W4202" s="71" t="s">
        <v>2272</v>
      </c>
      <c r="X4202" s="71" t="s">
        <v>2272</v>
      </c>
      <c r="Y4202" s="71" t="s">
        <v>2272</v>
      </c>
      <c r="Z4202" s="71" t="s">
        <v>2272</v>
      </c>
      <c r="AA4202" s="71" t="s">
        <v>2272</v>
      </c>
      <c r="AB4202" s="19" t="s">
        <v>11566</v>
      </c>
      <c r="AC4202" s="4" t="s">
        <v>11517</v>
      </c>
    </row>
    <row r="4203" spans="1:29" s="197" customFormat="1" ht="48" customHeight="1">
      <c r="A4203" s="147" t="str">
        <f>'Reported burning'!A4203</f>
        <v>455a</v>
      </c>
      <c r="B4203" s="147" t="str">
        <f>'Reported burning'!B4203</f>
        <v>455a.1</v>
      </c>
      <c r="C4203" s="147" t="str">
        <f>'Reported burning'!C4203</f>
        <v>Human, deliberate</v>
      </c>
      <c r="D4203" s="147" t="str">
        <f>'Reported burning'!D4203</f>
        <v>Rangeland management</v>
      </c>
      <c r="E4203" s="147" t="str">
        <f>'Reported burning'!E4203</f>
        <v>Cattle, Intensive</v>
      </c>
      <c r="F4203" s="147" t="str">
        <f>'Reported burning'!F4203</f>
        <v>Grassland</v>
      </c>
      <c r="G4203" s="147" t="str">
        <f>'Reported burning'!G4203</f>
        <v>Grassland</v>
      </c>
      <c r="H4203" s="147" t="str">
        <f>'Reported burning'!H4203</f>
        <v>Presence</v>
      </c>
      <c r="I4203" s="198"/>
      <c r="J4203" s="71" t="s">
        <v>2272</v>
      </c>
      <c r="K4203" s="71" t="s">
        <v>2272</v>
      </c>
      <c r="L4203" s="71" t="s">
        <v>2272</v>
      </c>
      <c r="M4203" s="71" t="s">
        <v>2272</v>
      </c>
      <c r="N4203" s="71" t="s">
        <v>2272</v>
      </c>
      <c r="O4203" s="71" t="s">
        <v>2272</v>
      </c>
      <c r="P4203" s="71" t="s">
        <v>2272</v>
      </c>
      <c r="Q4203" s="71" t="s">
        <v>2272</v>
      </c>
      <c r="R4203" s="71" t="s">
        <v>2272</v>
      </c>
      <c r="S4203" s="71" t="s">
        <v>2272</v>
      </c>
      <c r="T4203" s="21" t="s">
        <v>2522</v>
      </c>
      <c r="U4203" s="21" t="s">
        <v>2522</v>
      </c>
      <c r="V4203" s="71" t="s">
        <v>2272</v>
      </c>
      <c r="W4203" s="71" t="s">
        <v>2272</v>
      </c>
      <c r="X4203" s="71" t="s">
        <v>2272</v>
      </c>
      <c r="Y4203" s="71" t="s">
        <v>2272</v>
      </c>
      <c r="Z4203" s="71" t="s">
        <v>2272</v>
      </c>
      <c r="AA4203" s="71" t="s">
        <v>2272</v>
      </c>
      <c r="AB4203" s="77" t="s">
        <v>10560</v>
      </c>
      <c r="AC4203" s="4" t="s">
        <v>11517</v>
      </c>
    </row>
    <row r="4204" spans="1:29" ht="62" customHeight="1">
      <c r="A4204" s="147" t="str">
        <f>'Reported burning'!A4204</f>
        <v>456a</v>
      </c>
      <c r="B4204" s="147" t="str">
        <f>'Reported burning'!B4204</f>
        <v>456a.1</v>
      </c>
      <c r="C4204" s="147" t="str">
        <f>'Reported burning'!C4204</f>
        <v>Human, deliberate</v>
      </c>
      <c r="D4204" s="147" t="str">
        <f>'Reported burning'!D4204</f>
        <v>Rangeland management</v>
      </c>
      <c r="E4204" s="147" t="str">
        <f>'Reported burning'!E4204</f>
        <v>Cattle, Intensive</v>
      </c>
      <c r="F4204" s="147" t="str">
        <f>'Reported burning'!F4204</f>
        <v>Grassland</v>
      </c>
      <c r="G4204" s="147" t="str">
        <f>'Reported burning'!G4204</f>
        <v>Grassland</v>
      </c>
      <c r="H4204" s="147" t="str">
        <f>'Reported burning'!H4204</f>
        <v>Presence</v>
      </c>
      <c r="I4204" s="198"/>
      <c r="J4204" s="71" t="s">
        <v>2272</v>
      </c>
      <c r="K4204" s="71" t="s">
        <v>2272</v>
      </c>
      <c r="L4204" s="71" t="s">
        <v>2272</v>
      </c>
      <c r="M4204" s="71" t="s">
        <v>2272</v>
      </c>
      <c r="N4204" s="71" t="s">
        <v>2272</v>
      </c>
      <c r="O4204" s="71" t="s">
        <v>2272</v>
      </c>
      <c r="P4204" s="71" t="s">
        <v>2272</v>
      </c>
      <c r="Q4204" s="71" t="s">
        <v>2272</v>
      </c>
      <c r="R4204" s="71" t="s">
        <v>2272</v>
      </c>
      <c r="S4204" s="71" t="s">
        <v>2272</v>
      </c>
      <c r="T4204" s="71" t="s">
        <v>2272</v>
      </c>
      <c r="U4204" s="21" t="s">
        <v>2371</v>
      </c>
      <c r="V4204" s="71" t="s">
        <v>2272</v>
      </c>
      <c r="W4204" s="71" t="s">
        <v>2272</v>
      </c>
      <c r="X4204" s="21" t="s">
        <v>2398</v>
      </c>
      <c r="Y4204" s="71" t="s">
        <v>2272</v>
      </c>
      <c r="Z4204" s="71" t="s">
        <v>2272</v>
      </c>
      <c r="AA4204" s="71" t="s">
        <v>2272</v>
      </c>
      <c r="AB4204" s="4" t="s">
        <v>10565</v>
      </c>
      <c r="AC4204" s="4" t="s">
        <v>10564</v>
      </c>
    </row>
    <row r="4205" spans="1:29" ht="47" customHeight="1">
      <c r="A4205" s="147" t="str">
        <f>'Reported burning'!A4205</f>
        <v>457a</v>
      </c>
      <c r="B4205" s="147" t="str">
        <f>'Reported burning'!B4205</f>
        <v>457a.1</v>
      </c>
      <c r="C4205" s="147" t="str">
        <f>'Reported burning'!C4205</f>
        <v>Human, deliberate</v>
      </c>
      <c r="D4205" s="147" t="str">
        <f>'Reported burning'!D4205</f>
        <v>Forest clearance</v>
      </c>
      <c r="E4205" s="147" t="str">
        <f>'Reported burning'!E4205</f>
        <v>Cropping, Intensive</v>
      </c>
      <c r="F4205" s="147" t="str">
        <f>'Reported burning'!F4205</f>
        <v>Forest</v>
      </c>
      <c r="G4205" s="147" t="str">
        <f>'Reported burning'!G4205</f>
        <v>Forest</v>
      </c>
      <c r="H4205" s="147" t="str">
        <f>'Reported burning'!H4205</f>
        <v>Presence</v>
      </c>
      <c r="I4205" s="198"/>
      <c r="J4205" s="71" t="s">
        <v>2272</v>
      </c>
      <c r="K4205" s="71" t="s">
        <v>2272</v>
      </c>
      <c r="L4205" s="71" t="s">
        <v>2272</v>
      </c>
      <c r="M4205" s="71" t="s">
        <v>2272</v>
      </c>
      <c r="N4205" s="71" t="s">
        <v>2272</v>
      </c>
      <c r="O4205" s="71" t="s">
        <v>2272</v>
      </c>
      <c r="P4205" s="71" t="s">
        <v>2272</v>
      </c>
      <c r="Q4205" s="71" t="s">
        <v>2272</v>
      </c>
      <c r="R4205" s="71" t="s">
        <v>2272</v>
      </c>
      <c r="S4205" s="71" t="s">
        <v>2272</v>
      </c>
      <c r="T4205" s="71" t="s">
        <v>2272</v>
      </c>
      <c r="U4205" s="71" t="s">
        <v>2272</v>
      </c>
      <c r="V4205" s="71" t="s">
        <v>2272</v>
      </c>
      <c r="W4205" s="71" t="s">
        <v>2272</v>
      </c>
      <c r="X4205" s="71" t="s">
        <v>2272</v>
      </c>
      <c r="Y4205" s="226" t="s">
        <v>2272</v>
      </c>
      <c r="Z4205" s="226" t="s">
        <v>2272</v>
      </c>
      <c r="AA4205" s="226" t="s">
        <v>2272</v>
      </c>
      <c r="AB4205" s="35"/>
      <c r="AC4205" s="35"/>
    </row>
    <row r="4206" spans="1:29" ht="47" customHeight="1">
      <c r="A4206" s="147" t="str">
        <f>'Reported burning'!A4206</f>
        <v>458a</v>
      </c>
      <c r="B4206" s="147" t="str">
        <f>'Reported burning'!B4206</f>
        <v>458a.1</v>
      </c>
      <c r="C4206" s="147" t="str">
        <f>'Reported burning'!C4206</f>
        <v>All</v>
      </c>
      <c r="D4206" s="147" t="str">
        <f>'Reported burning'!D4206</f>
        <v>ND</v>
      </c>
      <c r="E4206" s="147" t="str">
        <f>'Reported burning'!E4206</f>
        <v>ND</v>
      </c>
      <c r="F4206" s="147" t="str">
        <f>'Reported burning'!F4206</f>
        <v>ND</v>
      </c>
      <c r="G4206" s="147" t="str">
        <f>'Reported burning'!G4206</f>
        <v>ND</v>
      </c>
      <c r="H4206" s="147" t="str">
        <f>'Reported burning'!H4206</f>
        <v>Presence</v>
      </c>
      <c r="I4206" s="198"/>
      <c r="J4206" s="71" t="s">
        <v>2272</v>
      </c>
      <c r="K4206" s="21" t="s">
        <v>2363</v>
      </c>
      <c r="L4206" s="71" t="s">
        <v>2272</v>
      </c>
      <c r="M4206" s="71" t="s">
        <v>2272</v>
      </c>
      <c r="N4206" s="71" t="s">
        <v>2272</v>
      </c>
      <c r="O4206" s="71" t="s">
        <v>2272</v>
      </c>
      <c r="P4206" s="71" t="s">
        <v>2272</v>
      </c>
      <c r="Q4206" s="21" t="s">
        <v>2369</v>
      </c>
      <c r="R4206" s="71" t="s">
        <v>2272</v>
      </c>
      <c r="S4206" s="71" t="s">
        <v>2272</v>
      </c>
      <c r="T4206" s="71" t="s">
        <v>2272</v>
      </c>
      <c r="U4206" s="71" t="s">
        <v>2272</v>
      </c>
      <c r="V4206" s="71" t="s">
        <v>2272</v>
      </c>
      <c r="W4206" s="21" t="s">
        <v>2522</v>
      </c>
      <c r="X4206" s="21" t="s">
        <v>2841</v>
      </c>
      <c r="Y4206" s="71" t="s">
        <v>2272</v>
      </c>
      <c r="Z4206" s="71" t="s">
        <v>2272</v>
      </c>
      <c r="AA4206" s="71" t="s">
        <v>2272</v>
      </c>
      <c r="AB4206" s="198"/>
      <c r="AC4206" s="4" t="s">
        <v>10746</v>
      </c>
    </row>
    <row r="4207" spans="1:29" ht="62.5" customHeight="1">
      <c r="A4207" s="147" t="str">
        <f>'Reported burning'!A4207</f>
        <v>458b</v>
      </c>
      <c r="B4207" s="147" t="str">
        <f>'Reported burning'!B4207</f>
        <v>458b.1</v>
      </c>
      <c r="C4207" s="147" t="str">
        <f>'Reported burning'!C4207</f>
        <v>All</v>
      </c>
      <c r="D4207" s="147" t="str">
        <f>'Reported burning'!D4207</f>
        <v>ND</v>
      </c>
      <c r="E4207" s="147" t="str">
        <f>'Reported burning'!E4207</f>
        <v>ND</v>
      </c>
      <c r="F4207" s="147" t="str">
        <f>'Reported burning'!F4207</f>
        <v>ND</v>
      </c>
      <c r="G4207" s="147" t="str">
        <f>'Reported burning'!G4207</f>
        <v>ND</v>
      </c>
      <c r="H4207" s="147" t="str">
        <f>'Reported burning'!H4207</f>
        <v>Presence</v>
      </c>
      <c r="I4207" s="198"/>
      <c r="J4207" s="71" t="s">
        <v>2272</v>
      </c>
      <c r="K4207" s="21" t="s">
        <v>2362</v>
      </c>
      <c r="L4207" s="71" t="s">
        <v>2272</v>
      </c>
      <c r="M4207" s="71" t="s">
        <v>2272</v>
      </c>
      <c r="N4207" s="71" t="s">
        <v>2272</v>
      </c>
      <c r="O4207" s="71" t="s">
        <v>2272</v>
      </c>
      <c r="P4207" s="71" t="s">
        <v>2272</v>
      </c>
      <c r="Q4207" s="21" t="s">
        <v>2372</v>
      </c>
      <c r="R4207" s="71" t="s">
        <v>2272</v>
      </c>
      <c r="S4207" s="71" t="s">
        <v>2272</v>
      </c>
      <c r="T4207" s="71" t="s">
        <v>2272</v>
      </c>
      <c r="U4207" s="71" t="s">
        <v>2272</v>
      </c>
      <c r="V4207" s="71" t="s">
        <v>2272</v>
      </c>
      <c r="W4207" s="21" t="s">
        <v>2522</v>
      </c>
      <c r="X4207" s="21" t="s">
        <v>2841</v>
      </c>
      <c r="Y4207" s="71" t="s">
        <v>2272</v>
      </c>
      <c r="Z4207" s="71" t="s">
        <v>2272</v>
      </c>
      <c r="AA4207" s="71" t="s">
        <v>2272</v>
      </c>
      <c r="AB4207" s="198"/>
      <c r="AC4207" s="4" t="s">
        <v>10746</v>
      </c>
    </row>
    <row r="4208" spans="1:29" ht="62.5" customHeight="1">
      <c r="A4208" s="147" t="str">
        <f>'Reported burning'!A4208</f>
        <v>458b</v>
      </c>
      <c r="B4208" s="147" t="str">
        <f>'Reported burning'!B4208</f>
        <v>458b.2</v>
      </c>
      <c r="C4208" s="147" t="str">
        <f>'Reported burning'!C4208</f>
        <v>Human, accidental</v>
      </c>
      <c r="D4208" s="147" t="str">
        <f>'Reported burning'!D4208</f>
        <v>Accidental</v>
      </c>
      <c r="E4208" s="147" t="str">
        <f>'Reported burning'!E4208</f>
        <v>Urban planner</v>
      </c>
      <c r="F4208" s="147" t="str">
        <f>'Reported burning'!F4208</f>
        <v>ND</v>
      </c>
      <c r="G4208" s="147" t="str">
        <f>'Reported burning'!G4208</f>
        <v>Plantation forest</v>
      </c>
      <c r="H4208" s="147" t="str">
        <f>'Reported burning'!H4208</f>
        <v>Presence</v>
      </c>
      <c r="I4208" s="198"/>
      <c r="J4208" s="71" t="s">
        <v>2272</v>
      </c>
      <c r="K4208" s="71" t="s">
        <v>2272</v>
      </c>
      <c r="L4208" s="71" t="s">
        <v>2272</v>
      </c>
      <c r="M4208" s="71" t="s">
        <v>2272</v>
      </c>
      <c r="N4208" s="71" t="s">
        <v>2272</v>
      </c>
      <c r="O4208" s="71" t="s">
        <v>2272</v>
      </c>
      <c r="P4208" s="71" t="s">
        <v>2272</v>
      </c>
      <c r="Q4208" s="21" t="s">
        <v>2358</v>
      </c>
      <c r="R4208" s="71" t="s">
        <v>2272</v>
      </c>
      <c r="S4208" s="71" t="s">
        <v>2272</v>
      </c>
      <c r="T4208" s="71" t="s">
        <v>2272</v>
      </c>
      <c r="U4208" s="71" t="s">
        <v>2272</v>
      </c>
      <c r="V4208" s="71" t="s">
        <v>2272</v>
      </c>
      <c r="W4208" s="71" t="s">
        <v>2272</v>
      </c>
      <c r="X4208" s="71" t="s">
        <v>2272</v>
      </c>
      <c r="Y4208" s="71" t="s">
        <v>2272</v>
      </c>
      <c r="Z4208" s="71" t="s">
        <v>2272</v>
      </c>
      <c r="AA4208" s="71" t="s">
        <v>2272</v>
      </c>
      <c r="AB4208" s="198"/>
      <c r="AC4208" s="198"/>
    </row>
    <row r="4209" spans="1:29" ht="44.5" customHeight="1">
      <c r="A4209" s="147" t="str">
        <f>'Reported burning'!A4209</f>
        <v>458b</v>
      </c>
      <c r="B4209" s="147" t="str">
        <f>'Reported burning'!B4209</f>
        <v>458b.3</v>
      </c>
      <c r="C4209" s="147" t="str">
        <f>'Reported burning'!C4209</f>
        <v>Human, escaped</v>
      </c>
      <c r="D4209" s="147" t="str">
        <f>'Reported burning'!D4209</f>
        <v>ND</v>
      </c>
      <c r="E4209" s="147" t="str">
        <f>'Reported burning'!E4209</f>
        <v>Urban planner</v>
      </c>
      <c r="F4209" s="147" t="str">
        <f>'Reported burning'!F4209</f>
        <v>ND</v>
      </c>
      <c r="G4209" s="147" t="str">
        <f>'Reported burning'!G4209</f>
        <v>Plantation forest</v>
      </c>
      <c r="H4209" s="147" t="str">
        <f>'Reported burning'!H4209</f>
        <v>Presence</v>
      </c>
      <c r="I4209" s="198"/>
      <c r="J4209" s="71" t="s">
        <v>2272</v>
      </c>
      <c r="K4209" s="71" t="s">
        <v>2272</v>
      </c>
      <c r="L4209" s="71" t="s">
        <v>2272</v>
      </c>
      <c r="M4209" s="71" t="s">
        <v>2272</v>
      </c>
      <c r="N4209" s="71" t="s">
        <v>2272</v>
      </c>
      <c r="O4209" s="71" t="s">
        <v>2272</v>
      </c>
      <c r="P4209" s="71" t="s">
        <v>2272</v>
      </c>
      <c r="Q4209" s="21" t="s">
        <v>2358</v>
      </c>
      <c r="R4209" s="71" t="s">
        <v>2272</v>
      </c>
      <c r="S4209" s="71" t="s">
        <v>2272</v>
      </c>
      <c r="T4209" s="71" t="s">
        <v>2272</v>
      </c>
      <c r="U4209" s="71" t="s">
        <v>2272</v>
      </c>
      <c r="V4209" s="71" t="s">
        <v>2272</v>
      </c>
      <c r="W4209" s="71" t="s">
        <v>2272</v>
      </c>
      <c r="X4209" s="71" t="s">
        <v>2272</v>
      </c>
      <c r="Y4209" s="71" t="s">
        <v>2272</v>
      </c>
      <c r="Z4209" s="71" t="s">
        <v>2272</v>
      </c>
      <c r="AA4209" s="71" t="s">
        <v>2272</v>
      </c>
      <c r="AB4209" s="198"/>
      <c r="AC4209" s="198"/>
    </row>
    <row r="4210" spans="1:29" ht="44.5" customHeight="1">
      <c r="A4210" s="147" t="str">
        <f>'Reported burning'!A4210</f>
        <v>458b</v>
      </c>
      <c r="B4210" s="147" t="str">
        <f>'Reported burning'!B4210</f>
        <v>458b.4</v>
      </c>
      <c r="C4210" s="147" t="str">
        <f>'Reported burning'!C4210</f>
        <v>Human, accidental</v>
      </c>
      <c r="D4210" s="147" t="str">
        <f>'Reported burning'!D4210</f>
        <v>Accidental</v>
      </c>
      <c r="E4210" s="147" t="str">
        <f>'Reported burning'!E4210</f>
        <v>Urban planner</v>
      </c>
      <c r="F4210" s="147" t="str">
        <f>'Reported burning'!F4210</f>
        <v>ND</v>
      </c>
      <c r="G4210" s="147" t="str">
        <f>'Reported burning'!G4210</f>
        <v>Shrubland (Mixed forest &amp; grassland)</v>
      </c>
      <c r="H4210" s="147" t="str">
        <f>'Reported burning'!H4210</f>
        <v>Presence</v>
      </c>
      <c r="I4210" s="198"/>
      <c r="J4210" s="71" t="s">
        <v>2272</v>
      </c>
      <c r="K4210" s="71" t="s">
        <v>2272</v>
      </c>
      <c r="L4210" s="71" t="s">
        <v>2272</v>
      </c>
      <c r="M4210" s="71" t="s">
        <v>2272</v>
      </c>
      <c r="N4210" s="71" t="s">
        <v>2272</v>
      </c>
      <c r="O4210" s="71" t="s">
        <v>2272</v>
      </c>
      <c r="P4210" s="71" t="s">
        <v>2272</v>
      </c>
      <c r="Q4210" s="21" t="s">
        <v>2358</v>
      </c>
      <c r="R4210" s="71" t="s">
        <v>2272</v>
      </c>
      <c r="S4210" s="71" t="s">
        <v>2272</v>
      </c>
      <c r="T4210" s="71" t="s">
        <v>2272</v>
      </c>
      <c r="U4210" s="71" t="s">
        <v>2272</v>
      </c>
      <c r="V4210" s="71" t="s">
        <v>2272</v>
      </c>
      <c r="W4210" s="71" t="s">
        <v>2272</v>
      </c>
      <c r="X4210" s="71" t="s">
        <v>2272</v>
      </c>
      <c r="Y4210" s="71" t="s">
        <v>2272</v>
      </c>
      <c r="Z4210" s="71" t="s">
        <v>2272</v>
      </c>
      <c r="AA4210" s="71" t="s">
        <v>2272</v>
      </c>
      <c r="AB4210" s="198"/>
      <c r="AC4210" s="198"/>
    </row>
    <row r="4211" spans="1:29" ht="44.5" customHeight="1">
      <c r="A4211" s="147" t="str">
        <f>'Reported burning'!A4211</f>
        <v>458b</v>
      </c>
      <c r="B4211" s="147" t="str">
        <f>'Reported burning'!B4211</f>
        <v>458b.5</v>
      </c>
      <c r="C4211" s="147" t="str">
        <f>'Reported burning'!C4211</f>
        <v>Human, escaped</v>
      </c>
      <c r="D4211" s="147" t="str">
        <f>'Reported burning'!D4211</f>
        <v>ND</v>
      </c>
      <c r="E4211" s="147" t="str">
        <f>'Reported burning'!E4211</f>
        <v>Urban planner</v>
      </c>
      <c r="F4211" s="147" t="str">
        <f>'Reported burning'!F4211</f>
        <v>ND</v>
      </c>
      <c r="G4211" s="147" t="str">
        <f>'Reported burning'!G4211</f>
        <v>Shrubland (Mixed forest &amp; grassland)</v>
      </c>
      <c r="H4211" s="147" t="str">
        <f>'Reported burning'!H4211</f>
        <v>Presence</v>
      </c>
      <c r="I4211" s="198"/>
      <c r="J4211" s="71" t="s">
        <v>2272</v>
      </c>
      <c r="K4211" s="71" t="s">
        <v>2272</v>
      </c>
      <c r="L4211" s="71" t="s">
        <v>2272</v>
      </c>
      <c r="M4211" s="71" t="s">
        <v>2272</v>
      </c>
      <c r="N4211" s="71" t="s">
        <v>2272</v>
      </c>
      <c r="O4211" s="71" t="s">
        <v>2272</v>
      </c>
      <c r="P4211" s="71" t="s">
        <v>2272</v>
      </c>
      <c r="Q4211" s="21" t="s">
        <v>2358</v>
      </c>
      <c r="R4211" s="71" t="s">
        <v>2272</v>
      </c>
      <c r="S4211" s="71" t="s">
        <v>2272</v>
      </c>
      <c r="T4211" s="71" t="s">
        <v>2272</v>
      </c>
      <c r="U4211" s="71" t="s">
        <v>2272</v>
      </c>
      <c r="V4211" s="71" t="s">
        <v>2272</v>
      </c>
      <c r="W4211" s="71" t="s">
        <v>2272</v>
      </c>
      <c r="X4211" s="71" t="s">
        <v>2272</v>
      </c>
      <c r="Y4211" s="71" t="s">
        <v>2272</v>
      </c>
      <c r="Z4211" s="71" t="s">
        <v>2272</v>
      </c>
      <c r="AA4211" s="71" t="s">
        <v>2272</v>
      </c>
      <c r="AB4211" s="198"/>
      <c r="AC4211" s="198"/>
    </row>
    <row r="4212" spans="1:29" s="197" customFormat="1" ht="44.5" customHeight="1">
      <c r="A4212" s="147" t="str">
        <f>'Reported burning'!A4212</f>
        <v>459a</v>
      </c>
      <c r="B4212" s="147" t="str">
        <f>'Reported burning'!B4212</f>
        <v>459a.1</v>
      </c>
      <c r="C4212" s="147" t="str">
        <f>'Reported burning'!C4212</f>
        <v>All</v>
      </c>
      <c r="D4212" s="147" t="str">
        <f>'Reported burning'!D4212</f>
        <v>ND</v>
      </c>
      <c r="E4212" s="147" t="str">
        <f>'Reported burning'!E4212</f>
        <v>ND</v>
      </c>
      <c r="F4212" s="147" t="str">
        <f>'Reported burning'!F4212</f>
        <v>ND</v>
      </c>
      <c r="G4212" s="147" t="str">
        <f>'Reported burning'!G4212</f>
        <v>ND</v>
      </c>
      <c r="H4212" s="147" t="str">
        <f>'Reported burning'!H4212</f>
        <v>Presence</v>
      </c>
      <c r="I4212" s="198"/>
      <c r="J4212" s="71" t="s">
        <v>2272</v>
      </c>
      <c r="K4212" s="21" t="s">
        <v>2369</v>
      </c>
      <c r="L4212" s="71" t="s">
        <v>2272</v>
      </c>
      <c r="M4212" s="71" t="s">
        <v>2272</v>
      </c>
      <c r="N4212" s="71" t="s">
        <v>2272</v>
      </c>
      <c r="O4212" s="71" t="s">
        <v>2272</v>
      </c>
      <c r="P4212" s="71" t="s">
        <v>2272</v>
      </c>
      <c r="Q4212" s="71" t="s">
        <v>2272</v>
      </c>
      <c r="R4212" s="71" t="s">
        <v>2272</v>
      </c>
      <c r="S4212" s="71" t="s">
        <v>2272</v>
      </c>
      <c r="T4212" s="71" t="s">
        <v>2272</v>
      </c>
      <c r="U4212" s="71" t="s">
        <v>2272</v>
      </c>
      <c r="V4212" s="71" t="s">
        <v>2272</v>
      </c>
      <c r="W4212" s="71" t="s">
        <v>2272</v>
      </c>
      <c r="X4212" s="71" t="s">
        <v>2272</v>
      </c>
      <c r="Y4212" s="198" t="s">
        <v>67</v>
      </c>
      <c r="Z4212" s="198" t="s">
        <v>187</v>
      </c>
      <c r="AA4212" s="71" t="s">
        <v>2272</v>
      </c>
      <c r="AB4212" s="4" t="s">
        <v>11602</v>
      </c>
      <c r="AC4212" s="4" t="s">
        <v>11601</v>
      </c>
    </row>
    <row r="4213" spans="1:29" ht="44.5" customHeight="1">
      <c r="A4213" s="147" t="str">
        <f>'Reported burning'!A4213</f>
        <v>459a</v>
      </c>
      <c r="B4213" s="147" t="str">
        <f>'Reported burning'!B4213</f>
        <v>459a.2</v>
      </c>
      <c r="C4213" s="147" t="str">
        <f>'Reported burning'!C4213</f>
        <v>All</v>
      </c>
      <c r="D4213" s="147" t="str">
        <f>'Reported burning'!D4213</f>
        <v>ND</v>
      </c>
      <c r="E4213" s="147" t="str">
        <f>'Reported burning'!E4213</f>
        <v>Urban planner</v>
      </c>
      <c r="F4213" s="147" t="str">
        <f>'Reported burning'!F4213</f>
        <v>ND</v>
      </c>
      <c r="G4213" s="147" t="str">
        <f>'Reported burning'!G4213</f>
        <v>ND</v>
      </c>
      <c r="H4213" s="147" t="str">
        <f>'Reported burning'!H4213</f>
        <v>Presence</v>
      </c>
      <c r="I4213" s="198"/>
      <c r="J4213" s="71" t="s">
        <v>2272</v>
      </c>
      <c r="K4213" s="21" t="s">
        <v>2369</v>
      </c>
      <c r="L4213" s="71" t="s">
        <v>2272</v>
      </c>
      <c r="M4213" s="71" t="s">
        <v>2272</v>
      </c>
      <c r="N4213" s="71" t="s">
        <v>2272</v>
      </c>
      <c r="O4213" s="71" t="s">
        <v>2272</v>
      </c>
      <c r="P4213" s="71" t="s">
        <v>2272</v>
      </c>
      <c r="Q4213" s="71" t="s">
        <v>2272</v>
      </c>
      <c r="R4213" s="71" t="s">
        <v>2272</v>
      </c>
      <c r="S4213" s="71" t="s">
        <v>2272</v>
      </c>
      <c r="T4213" s="71" t="s">
        <v>2272</v>
      </c>
      <c r="U4213" s="71" t="s">
        <v>2272</v>
      </c>
      <c r="V4213" s="71" t="s">
        <v>2272</v>
      </c>
      <c r="W4213" s="71" t="s">
        <v>2272</v>
      </c>
      <c r="X4213" s="71" t="s">
        <v>2272</v>
      </c>
      <c r="Y4213" s="198" t="s">
        <v>67</v>
      </c>
      <c r="Z4213" s="198" t="s">
        <v>187</v>
      </c>
      <c r="AA4213" s="71" t="s">
        <v>2272</v>
      </c>
      <c r="AB4213" s="4" t="s">
        <v>11602</v>
      </c>
      <c r="AC4213" s="4" t="s">
        <v>11601</v>
      </c>
    </row>
    <row r="4214" spans="1:29" ht="45.5" customHeight="1">
      <c r="A4214" s="147" t="str">
        <f>'Reported burning'!A4214</f>
        <v>459a</v>
      </c>
      <c r="B4214" s="147" t="str">
        <f>'Reported burning'!B4214</f>
        <v>459a.3</v>
      </c>
      <c r="C4214" s="147" t="str">
        <f>'Reported burning'!C4214</f>
        <v>Human, escaped</v>
      </c>
      <c r="D4214" s="147" t="str">
        <f>'Reported burning'!D4214</f>
        <v>ND</v>
      </c>
      <c r="E4214" s="147" t="str">
        <f>'Reported burning'!E4214</f>
        <v>Urban planner</v>
      </c>
      <c r="F4214" s="147" t="str">
        <f>'Reported burning'!F4214</f>
        <v>ND</v>
      </c>
      <c r="G4214" s="147" t="str">
        <f>'Reported burning'!G4214</f>
        <v>Shrubland (Mixed forest &amp; grassland)</v>
      </c>
      <c r="H4214" s="147" t="str">
        <f>'Reported burning'!H4214</f>
        <v>Presence</v>
      </c>
      <c r="I4214" s="198"/>
      <c r="J4214" s="71" t="s">
        <v>2272</v>
      </c>
      <c r="K4214" s="71" t="s">
        <v>2272</v>
      </c>
      <c r="L4214" s="71" t="s">
        <v>2272</v>
      </c>
      <c r="M4214" s="71" t="s">
        <v>2272</v>
      </c>
      <c r="N4214" s="71" t="s">
        <v>2272</v>
      </c>
      <c r="O4214" s="71" t="s">
        <v>2272</v>
      </c>
      <c r="P4214" s="71" t="s">
        <v>2272</v>
      </c>
      <c r="Q4214" s="71" t="s">
        <v>2272</v>
      </c>
      <c r="R4214" s="71" t="s">
        <v>2272</v>
      </c>
      <c r="S4214" s="71" t="s">
        <v>2272</v>
      </c>
      <c r="T4214" s="71" t="s">
        <v>2272</v>
      </c>
      <c r="U4214" s="71" t="s">
        <v>2272</v>
      </c>
      <c r="V4214" s="71" t="s">
        <v>2272</v>
      </c>
      <c r="W4214" s="71" t="s">
        <v>2272</v>
      </c>
      <c r="X4214" s="71" t="s">
        <v>2272</v>
      </c>
      <c r="Y4214" s="198" t="s">
        <v>67</v>
      </c>
      <c r="Z4214" s="198" t="s">
        <v>187</v>
      </c>
      <c r="AA4214" s="71" t="s">
        <v>2272</v>
      </c>
      <c r="AB4214" s="4"/>
      <c r="AC4214" s="198"/>
    </row>
    <row r="4215" spans="1:29" ht="45.5" customHeight="1">
      <c r="A4215" s="147" t="str">
        <f>'Reported burning'!A4215</f>
        <v>459a</v>
      </c>
      <c r="B4215" s="147" t="str">
        <f>'Reported burning'!B4215</f>
        <v>459a.4</v>
      </c>
      <c r="C4215" s="147" t="str">
        <f>'Reported burning'!C4215</f>
        <v>Human, deliberate</v>
      </c>
      <c r="D4215" s="147" t="str">
        <f>'Reported burning'!D4215</f>
        <v>Forest management</v>
      </c>
      <c r="E4215" s="147" t="str">
        <f>'Reported burning'!E4215</f>
        <v>Forestry, Industrial</v>
      </c>
      <c r="F4215" s="147" t="str">
        <f>'Reported burning'!F4215</f>
        <v>Plantation forest</v>
      </c>
      <c r="G4215" s="147" t="str">
        <f>'Reported burning'!G4215</f>
        <v>Plantation forest</v>
      </c>
      <c r="H4215" s="147" t="str">
        <f>'Reported burning'!H4215</f>
        <v>Presence</v>
      </c>
      <c r="I4215" s="198"/>
      <c r="J4215" s="71" t="s">
        <v>2272</v>
      </c>
      <c r="K4215" s="71" t="s">
        <v>2272</v>
      </c>
      <c r="L4215" s="71" t="s">
        <v>2272</v>
      </c>
      <c r="M4215" s="71" t="s">
        <v>2272</v>
      </c>
      <c r="N4215" s="71" t="s">
        <v>2272</v>
      </c>
      <c r="O4215" s="71" t="s">
        <v>2272</v>
      </c>
      <c r="P4215" s="71" t="s">
        <v>2272</v>
      </c>
      <c r="Q4215" s="71" t="s">
        <v>2272</v>
      </c>
      <c r="R4215" s="71" t="s">
        <v>2272</v>
      </c>
      <c r="S4215" s="71" t="s">
        <v>2272</v>
      </c>
      <c r="T4215" s="71" t="s">
        <v>2272</v>
      </c>
      <c r="U4215" s="71" t="s">
        <v>2272</v>
      </c>
      <c r="V4215" s="71" t="s">
        <v>2272</v>
      </c>
      <c r="W4215" s="71" t="s">
        <v>2272</v>
      </c>
      <c r="X4215" s="71" t="s">
        <v>2272</v>
      </c>
      <c r="Y4215" s="71" t="s">
        <v>2272</v>
      </c>
      <c r="Z4215" s="71" t="s">
        <v>2272</v>
      </c>
      <c r="AA4215" s="71" t="s">
        <v>2272</v>
      </c>
      <c r="AB4215" s="77" t="s">
        <v>10757</v>
      </c>
      <c r="AC4215" s="198"/>
    </row>
    <row r="4216" spans="1:29" ht="40.5" customHeight="1">
      <c r="A4216" s="147" t="str">
        <f>'Reported burning'!A4216</f>
        <v>459a</v>
      </c>
      <c r="B4216" s="147" t="str">
        <f>'Reported burning'!B4216</f>
        <v>459a.5</v>
      </c>
      <c r="C4216" s="147" t="str">
        <f>'Reported burning'!C4216</f>
        <v>Human, deliberate</v>
      </c>
      <c r="D4216" s="147" t="str">
        <f>'Reported burning'!D4216</f>
        <v>Land clearance</v>
      </c>
      <c r="E4216" s="147" t="str">
        <f>'Reported burning'!E4216</f>
        <v>Urban planner</v>
      </c>
      <c r="F4216" s="147" t="str">
        <f>'Reported burning'!F4216</f>
        <v>ND</v>
      </c>
      <c r="G4216" s="147" t="str">
        <f>'Reported burning'!G4216</f>
        <v>ND</v>
      </c>
      <c r="H4216" s="147" t="str">
        <f>'Reported burning'!H4216</f>
        <v>Presence</v>
      </c>
      <c r="I4216" s="198"/>
      <c r="J4216" s="71" t="s">
        <v>2272</v>
      </c>
      <c r="K4216" s="71" t="s">
        <v>2272</v>
      </c>
      <c r="L4216" s="71" t="s">
        <v>2272</v>
      </c>
      <c r="M4216" s="71" t="s">
        <v>2272</v>
      </c>
      <c r="N4216" s="71" t="s">
        <v>2272</v>
      </c>
      <c r="O4216" s="71" t="s">
        <v>2272</v>
      </c>
      <c r="P4216" s="71" t="s">
        <v>2272</v>
      </c>
      <c r="Q4216" s="71" t="s">
        <v>2272</v>
      </c>
      <c r="R4216" s="71" t="s">
        <v>2272</v>
      </c>
      <c r="S4216" s="71" t="s">
        <v>2272</v>
      </c>
      <c r="T4216" s="71" t="s">
        <v>2272</v>
      </c>
      <c r="U4216" s="71" t="s">
        <v>2272</v>
      </c>
      <c r="V4216" s="71" t="s">
        <v>2272</v>
      </c>
      <c r="W4216" s="71" t="s">
        <v>2272</v>
      </c>
      <c r="X4216" s="71" t="s">
        <v>2272</v>
      </c>
      <c r="Y4216" s="71" t="s">
        <v>2272</v>
      </c>
      <c r="Z4216" s="71" t="s">
        <v>2272</v>
      </c>
      <c r="AA4216" s="71" t="s">
        <v>2272</v>
      </c>
      <c r="AB4216" s="198"/>
      <c r="AC4216" s="198"/>
    </row>
    <row r="4217" spans="1:29" ht="40.5" customHeight="1">
      <c r="A4217" s="147" t="str">
        <f>'Reported burning'!A4217</f>
        <v>459a</v>
      </c>
      <c r="B4217" s="147" t="str">
        <f>'Reported burning'!B4217</f>
        <v>459a.6</v>
      </c>
      <c r="C4217" s="147" t="str">
        <f>'Reported burning'!C4217</f>
        <v>Human, deliberate</v>
      </c>
      <c r="D4217" s="147" t="str">
        <f>'Reported burning'!D4217</f>
        <v>Arson</v>
      </c>
      <c r="E4217" s="147" t="str">
        <f>'Reported burning'!E4217</f>
        <v>Urban planner</v>
      </c>
      <c r="F4217" s="147" t="str">
        <f>'Reported burning'!F4217</f>
        <v>ND</v>
      </c>
      <c r="G4217" s="147" t="str">
        <f>'Reported burning'!G4217</f>
        <v>ND</v>
      </c>
      <c r="H4217" s="147" t="str">
        <f>'Reported burning'!H4217</f>
        <v>Presence</v>
      </c>
      <c r="I4217" s="198"/>
      <c r="J4217" s="71" t="s">
        <v>2272</v>
      </c>
      <c r="K4217" s="71" t="s">
        <v>2272</v>
      </c>
      <c r="L4217" s="71" t="s">
        <v>2272</v>
      </c>
      <c r="M4217" s="71" t="s">
        <v>2272</v>
      </c>
      <c r="N4217" s="71" t="s">
        <v>2272</v>
      </c>
      <c r="O4217" s="71" t="s">
        <v>2272</v>
      </c>
      <c r="P4217" s="71" t="s">
        <v>2272</v>
      </c>
      <c r="Q4217" s="71" t="s">
        <v>2272</v>
      </c>
      <c r="R4217" s="71" t="s">
        <v>2272</v>
      </c>
      <c r="S4217" s="71" t="s">
        <v>2272</v>
      </c>
      <c r="T4217" s="71" t="s">
        <v>2272</v>
      </c>
      <c r="U4217" s="71" t="s">
        <v>2272</v>
      </c>
      <c r="V4217" s="71" t="s">
        <v>2272</v>
      </c>
      <c r="W4217" s="71" t="s">
        <v>2272</v>
      </c>
      <c r="X4217" s="71" t="s">
        <v>2272</v>
      </c>
      <c r="Y4217" s="71" t="s">
        <v>2272</v>
      </c>
      <c r="Z4217" s="71" t="s">
        <v>2272</v>
      </c>
      <c r="AA4217" s="71" t="s">
        <v>2272</v>
      </c>
      <c r="AB4217" s="77" t="s">
        <v>10760</v>
      </c>
      <c r="AC4217" s="198"/>
    </row>
    <row r="4218" spans="1:29" ht="40.5" customHeight="1">
      <c r="A4218" s="147" t="str">
        <f>'Reported burning'!A4218</f>
        <v>460a</v>
      </c>
      <c r="B4218" s="147" t="str">
        <f>'Reported burning'!B4218</f>
        <v>460a.1</v>
      </c>
      <c r="C4218" s="147" t="str">
        <f>'Reported burning'!C4218</f>
        <v>Human, deliberate</v>
      </c>
      <c r="D4218" s="147" t="str">
        <f>'Reported burning'!D4218</f>
        <v>Pasture renewal</v>
      </c>
      <c r="E4218" s="147" t="str">
        <f>'Reported burning'!E4218</f>
        <v>Cattle, Extensive</v>
      </c>
      <c r="F4218" s="147" t="str">
        <f>'Reported burning'!F4218</f>
        <v>Grassland</v>
      </c>
      <c r="G4218" s="147" t="str">
        <f>'Reported burning'!G4218</f>
        <v>Grassland</v>
      </c>
      <c r="H4218" s="147" t="str">
        <f>'Reported burning'!H4218</f>
        <v>Presence</v>
      </c>
      <c r="I4218" s="198"/>
      <c r="J4218" s="71" t="s">
        <v>2272</v>
      </c>
      <c r="K4218" s="71" t="s">
        <v>2272</v>
      </c>
      <c r="L4218" s="71" t="s">
        <v>2272</v>
      </c>
      <c r="M4218" s="71" t="s">
        <v>2272</v>
      </c>
      <c r="N4218" s="71" t="s">
        <v>2272</v>
      </c>
      <c r="O4218" s="71" t="s">
        <v>2272</v>
      </c>
      <c r="P4218" s="71" t="s">
        <v>2272</v>
      </c>
      <c r="Q4218" s="71" t="s">
        <v>2272</v>
      </c>
      <c r="R4218" s="71" t="s">
        <v>2272</v>
      </c>
      <c r="S4218" s="71" t="s">
        <v>2272</v>
      </c>
      <c r="T4218" s="71" t="s">
        <v>2272</v>
      </c>
      <c r="U4218" s="71" t="s">
        <v>2272</v>
      </c>
      <c r="V4218" s="71" t="s">
        <v>2272</v>
      </c>
      <c r="W4218" s="71" t="s">
        <v>2272</v>
      </c>
      <c r="X4218" s="21" t="s">
        <v>2396</v>
      </c>
      <c r="Y4218" s="71" t="s">
        <v>2272</v>
      </c>
      <c r="Z4218" s="71" t="s">
        <v>2272</v>
      </c>
      <c r="AA4218" s="71" t="s">
        <v>2272</v>
      </c>
      <c r="AB4218" s="198"/>
      <c r="AC4218" s="198"/>
    </row>
    <row r="4219" spans="1:29" ht="48" customHeight="1">
      <c r="A4219" s="151" t="str">
        <f>'Reported burning'!A4219</f>
        <v>460a</v>
      </c>
      <c r="B4219" s="151" t="str">
        <f>'Reported burning'!B4219</f>
        <v>460a.2</v>
      </c>
      <c r="C4219" s="151" t="str">
        <f>'Reported burning'!C4219</f>
        <v>Human, escaped</v>
      </c>
      <c r="D4219" s="151" t="str">
        <f>'Reported burning'!D4219</f>
        <v>Land clearance</v>
      </c>
      <c r="E4219" s="151" t="str">
        <f>'Reported burning'!E4219</f>
        <v>ND</v>
      </c>
      <c r="F4219" s="151" t="str">
        <f>'Reported burning'!F4219</f>
        <v>ND</v>
      </c>
      <c r="G4219" s="151" t="str">
        <f>'Reported burning'!G4219</f>
        <v>Grassland</v>
      </c>
      <c r="H4219" s="151" t="str">
        <f>'Reported burning'!H4219</f>
        <v>Presence</v>
      </c>
      <c r="I4219" s="198"/>
      <c r="J4219" s="71" t="s">
        <v>2272</v>
      </c>
      <c r="K4219" s="71" t="s">
        <v>2272</v>
      </c>
      <c r="L4219" s="71" t="s">
        <v>2272</v>
      </c>
      <c r="M4219" s="71" t="s">
        <v>2272</v>
      </c>
      <c r="N4219" s="71" t="s">
        <v>2272</v>
      </c>
      <c r="O4219" s="71" t="s">
        <v>2272</v>
      </c>
      <c r="P4219" s="71" t="s">
        <v>2272</v>
      </c>
      <c r="Q4219" s="71" t="s">
        <v>2272</v>
      </c>
      <c r="R4219" s="71" t="s">
        <v>2272</v>
      </c>
      <c r="S4219" s="71" t="s">
        <v>2272</v>
      </c>
      <c r="T4219" s="71" t="s">
        <v>2272</v>
      </c>
      <c r="U4219" s="71" t="s">
        <v>2272</v>
      </c>
      <c r="V4219" s="71" t="s">
        <v>2272</v>
      </c>
      <c r="W4219" s="71" t="s">
        <v>2272</v>
      </c>
      <c r="X4219" s="71" t="s">
        <v>2272</v>
      </c>
      <c r="Y4219" s="71" t="s">
        <v>2272</v>
      </c>
      <c r="Z4219" s="71" t="s">
        <v>2272</v>
      </c>
      <c r="AA4219" s="71" t="s">
        <v>2272</v>
      </c>
      <c r="AB4219" s="198"/>
      <c r="AC4219" s="198"/>
    </row>
    <row r="4220" spans="1:29" ht="48" customHeight="1">
      <c r="A4220" s="147" t="str">
        <f>'Reported burning'!A4220</f>
        <v>460a</v>
      </c>
      <c r="B4220" s="147" t="str">
        <f>'Reported burning'!B4220</f>
        <v>460a.3</v>
      </c>
      <c r="C4220" s="147" t="str">
        <f>'Reported burning'!C4220</f>
        <v>Human, deliberate</v>
      </c>
      <c r="D4220" s="147" t="str">
        <f>'Reported burning'!D4220</f>
        <v>Arson</v>
      </c>
      <c r="E4220" s="147" t="str">
        <f>'Reported burning'!E4220</f>
        <v>ND</v>
      </c>
      <c r="F4220" s="147" t="str">
        <f>'Reported burning'!F4220</f>
        <v>ND</v>
      </c>
      <c r="G4220" s="147" t="str">
        <f>'Reported burning'!G4220</f>
        <v>Grassland</v>
      </c>
      <c r="H4220" s="147" t="str">
        <f>'Reported burning'!H4220</f>
        <v>Presence</v>
      </c>
      <c r="I4220" s="198"/>
      <c r="J4220" s="71" t="s">
        <v>2272</v>
      </c>
      <c r="K4220" s="71" t="s">
        <v>2272</v>
      </c>
      <c r="L4220" s="71" t="s">
        <v>2272</v>
      </c>
      <c r="M4220" s="71" t="s">
        <v>2272</v>
      </c>
      <c r="N4220" s="71" t="s">
        <v>2272</v>
      </c>
      <c r="O4220" s="71" t="s">
        <v>2272</v>
      </c>
      <c r="P4220" s="71" t="s">
        <v>2272</v>
      </c>
      <c r="Q4220" s="71" t="s">
        <v>2272</v>
      </c>
      <c r="R4220" s="71" t="s">
        <v>2272</v>
      </c>
      <c r="S4220" s="71" t="s">
        <v>2272</v>
      </c>
      <c r="T4220" s="71" t="s">
        <v>2272</v>
      </c>
      <c r="U4220" s="71" t="s">
        <v>2272</v>
      </c>
      <c r="V4220" s="71" t="s">
        <v>2272</v>
      </c>
      <c r="W4220" s="71" t="s">
        <v>2272</v>
      </c>
      <c r="X4220" s="71" t="s">
        <v>2272</v>
      </c>
      <c r="Y4220" s="71" t="s">
        <v>2272</v>
      </c>
      <c r="Z4220" s="71" t="s">
        <v>2272</v>
      </c>
      <c r="AA4220" s="71" t="s">
        <v>2272</v>
      </c>
      <c r="AB4220" s="198"/>
      <c r="AC4220" s="198"/>
    </row>
    <row r="4221" spans="1:29" ht="48" customHeight="1">
      <c r="A4221" s="147" t="str">
        <f>'Reported burning'!A4221</f>
        <v>461a</v>
      </c>
      <c r="B4221" s="147" t="str">
        <f>'Reported burning'!B4221</f>
        <v>461a.1</v>
      </c>
      <c r="C4221" s="147" t="str">
        <f>'Reported burning'!C4221</f>
        <v>Human, escaped</v>
      </c>
      <c r="D4221" s="147" t="str">
        <f>'Reported burning'!D4221</f>
        <v>ND</v>
      </c>
      <c r="E4221" s="147" t="str">
        <f>'Reported burning'!E4221</f>
        <v>ND</v>
      </c>
      <c r="F4221" s="147" t="str">
        <f>'Reported burning'!F4221</f>
        <v>ND</v>
      </c>
      <c r="G4221" s="147" t="str">
        <f>'Reported burning'!G4221</f>
        <v>Shrubland (Mixed forest &amp; grassland)</v>
      </c>
      <c r="H4221" s="147" t="str">
        <f>'Reported burning'!H4221</f>
        <v>Presence</v>
      </c>
      <c r="I4221" s="198"/>
      <c r="J4221" s="71" t="s">
        <v>2272</v>
      </c>
      <c r="K4221" s="71" t="s">
        <v>2272</v>
      </c>
      <c r="L4221" s="71" t="s">
        <v>2272</v>
      </c>
      <c r="M4221" s="71" t="s">
        <v>2272</v>
      </c>
      <c r="N4221" s="71" t="s">
        <v>2272</v>
      </c>
      <c r="O4221" s="71" t="s">
        <v>2272</v>
      </c>
      <c r="P4221" s="71" t="s">
        <v>2272</v>
      </c>
      <c r="Q4221" s="71" t="s">
        <v>2272</v>
      </c>
      <c r="R4221" s="71" t="s">
        <v>2272</v>
      </c>
      <c r="S4221" s="21" t="s">
        <v>2358</v>
      </c>
      <c r="T4221" s="71" t="s">
        <v>2272</v>
      </c>
      <c r="U4221" s="71" t="s">
        <v>2272</v>
      </c>
      <c r="V4221" s="71" t="s">
        <v>2272</v>
      </c>
      <c r="W4221" s="71" t="s">
        <v>2272</v>
      </c>
      <c r="X4221" s="71" t="s">
        <v>2272</v>
      </c>
      <c r="Y4221" s="198" t="s">
        <v>67</v>
      </c>
      <c r="Z4221" s="198" t="s">
        <v>187</v>
      </c>
      <c r="AA4221" s="71" t="s">
        <v>2272</v>
      </c>
      <c r="AB4221" s="198"/>
      <c r="AC4221" s="198"/>
    </row>
    <row r="4222" spans="1:29" ht="44.5" customHeight="1">
      <c r="A4222" s="147" t="str">
        <f>'Reported burning'!A4222</f>
        <v>461b</v>
      </c>
      <c r="B4222" s="147" t="str">
        <f>'Reported burning'!B4222</f>
        <v>461b.1</v>
      </c>
      <c r="C4222" s="147" t="str">
        <f>'Reported burning'!C4222</f>
        <v>Human, escaped</v>
      </c>
      <c r="D4222" s="147" t="str">
        <f>'Reported burning'!D4222</f>
        <v>ND</v>
      </c>
      <c r="E4222" s="147" t="str">
        <f>'Reported burning'!E4222</f>
        <v>ND</v>
      </c>
      <c r="F4222" s="147" t="str">
        <f>'Reported burning'!F4222</f>
        <v>ND</v>
      </c>
      <c r="G4222" s="147" t="str">
        <f>'Reported burning'!G4222</f>
        <v>Shrubland (Mixed forest &amp; grassland)</v>
      </c>
      <c r="H4222" s="147" t="str">
        <f>'Reported burning'!H4222</f>
        <v>Presence</v>
      </c>
      <c r="I4222" s="198"/>
      <c r="J4222" s="71" t="s">
        <v>2272</v>
      </c>
      <c r="K4222" s="71" t="s">
        <v>2272</v>
      </c>
      <c r="L4222" s="71" t="s">
        <v>2272</v>
      </c>
      <c r="M4222" s="71" t="s">
        <v>2272</v>
      </c>
      <c r="N4222" s="71" t="s">
        <v>2272</v>
      </c>
      <c r="O4222" s="71" t="s">
        <v>2272</v>
      </c>
      <c r="P4222" s="71" t="s">
        <v>2272</v>
      </c>
      <c r="Q4222" s="71" t="s">
        <v>2272</v>
      </c>
      <c r="R4222" s="71" t="s">
        <v>2272</v>
      </c>
      <c r="S4222" s="21" t="s">
        <v>2358</v>
      </c>
      <c r="T4222" s="71" t="s">
        <v>2272</v>
      </c>
      <c r="U4222" s="71" t="s">
        <v>2272</v>
      </c>
      <c r="V4222" s="71" t="s">
        <v>2272</v>
      </c>
      <c r="W4222" s="71" t="s">
        <v>2272</v>
      </c>
      <c r="X4222" s="71" t="s">
        <v>2272</v>
      </c>
      <c r="Y4222" s="198" t="s">
        <v>67</v>
      </c>
      <c r="Z4222" s="198" t="s">
        <v>187</v>
      </c>
      <c r="AA4222" s="71" t="s">
        <v>2272</v>
      </c>
      <c r="AB4222" s="198"/>
      <c r="AC4222" s="198"/>
    </row>
    <row r="4223" spans="1:29" ht="44.5" customHeight="1">
      <c r="A4223" s="147" t="str">
        <f>'Reported burning'!A4223</f>
        <v>461a</v>
      </c>
      <c r="B4223" s="147" t="str">
        <f>'Reported burning'!B4223</f>
        <v>461a.2</v>
      </c>
      <c r="C4223" s="147" t="str">
        <f>'Reported burning'!C4223</f>
        <v>Human, escaped</v>
      </c>
      <c r="D4223" s="147" t="str">
        <f>'Reported burning'!D4223</f>
        <v>ND</v>
      </c>
      <c r="E4223" s="147" t="str">
        <f>'Reported burning'!E4223</f>
        <v>ND</v>
      </c>
      <c r="F4223" s="147" t="str">
        <f>'Reported burning'!F4223</f>
        <v>ND</v>
      </c>
      <c r="G4223" s="147" t="str">
        <f>'Reported burning'!G4223</f>
        <v>Forest</v>
      </c>
      <c r="H4223" s="147" t="str">
        <f>'Reported burning'!H4223</f>
        <v>Presence</v>
      </c>
      <c r="I4223" s="198"/>
      <c r="J4223" s="71" t="s">
        <v>2272</v>
      </c>
      <c r="K4223" s="71" t="s">
        <v>2272</v>
      </c>
      <c r="L4223" s="71" t="s">
        <v>2272</v>
      </c>
      <c r="M4223" s="71" t="s">
        <v>2272</v>
      </c>
      <c r="N4223" s="71" t="s">
        <v>2272</v>
      </c>
      <c r="O4223" s="71" t="s">
        <v>2272</v>
      </c>
      <c r="P4223" s="71" t="s">
        <v>2272</v>
      </c>
      <c r="Q4223" s="71" t="s">
        <v>2272</v>
      </c>
      <c r="R4223" s="71" t="s">
        <v>2272</v>
      </c>
      <c r="S4223" s="21" t="s">
        <v>2358</v>
      </c>
      <c r="T4223" s="71" t="s">
        <v>2272</v>
      </c>
      <c r="U4223" s="71" t="s">
        <v>2272</v>
      </c>
      <c r="V4223" s="71" t="s">
        <v>2272</v>
      </c>
      <c r="W4223" s="71" t="s">
        <v>2272</v>
      </c>
      <c r="X4223" s="71" t="s">
        <v>2272</v>
      </c>
      <c r="Y4223" s="198" t="s">
        <v>67</v>
      </c>
      <c r="Z4223" s="198" t="s">
        <v>187</v>
      </c>
      <c r="AA4223" s="71" t="s">
        <v>2272</v>
      </c>
      <c r="AB4223" s="198"/>
      <c r="AC4223" s="198"/>
    </row>
    <row r="4224" spans="1:29" ht="44.5" customHeight="1">
      <c r="A4224" s="147" t="str">
        <f>'Reported burning'!A4224</f>
        <v>461b</v>
      </c>
      <c r="B4224" s="147" t="str">
        <f>'Reported burning'!B4224</f>
        <v>461b.2</v>
      </c>
      <c r="C4224" s="147" t="str">
        <f>'Reported burning'!C4224</f>
        <v>Human, escaped</v>
      </c>
      <c r="D4224" s="147" t="str">
        <f>'Reported burning'!D4224</f>
        <v>ND</v>
      </c>
      <c r="E4224" s="147" t="str">
        <f>'Reported burning'!E4224</f>
        <v>ND</v>
      </c>
      <c r="F4224" s="147" t="str">
        <f>'Reported burning'!F4224</f>
        <v>ND</v>
      </c>
      <c r="G4224" s="147" t="str">
        <f>'Reported burning'!G4224</f>
        <v>Forest</v>
      </c>
      <c r="H4224" s="147" t="str">
        <f>'Reported burning'!H4224</f>
        <v>Presence</v>
      </c>
      <c r="I4224" s="198"/>
      <c r="J4224" s="71" t="s">
        <v>2272</v>
      </c>
      <c r="K4224" s="71" t="s">
        <v>2272</v>
      </c>
      <c r="L4224" s="71" t="s">
        <v>2272</v>
      </c>
      <c r="M4224" s="71" t="s">
        <v>2272</v>
      </c>
      <c r="N4224" s="71" t="s">
        <v>2272</v>
      </c>
      <c r="O4224" s="71" t="s">
        <v>2272</v>
      </c>
      <c r="P4224" s="71" t="s">
        <v>2272</v>
      </c>
      <c r="Q4224" s="71" t="s">
        <v>2272</v>
      </c>
      <c r="R4224" s="71" t="s">
        <v>2272</v>
      </c>
      <c r="S4224" s="21" t="s">
        <v>2358</v>
      </c>
      <c r="T4224" s="71" t="s">
        <v>2272</v>
      </c>
      <c r="U4224" s="71" t="s">
        <v>2272</v>
      </c>
      <c r="V4224" s="71" t="s">
        <v>2272</v>
      </c>
      <c r="W4224" s="71" t="s">
        <v>2272</v>
      </c>
      <c r="X4224" s="71" t="s">
        <v>2272</v>
      </c>
      <c r="Y4224" s="198" t="s">
        <v>67</v>
      </c>
      <c r="Z4224" s="198" t="s">
        <v>187</v>
      </c>
      <c r="AA4224" s="71" t="s">
        <v>2272</v>
      </c>
      <c r="AB4224" s="198"/>
      <c r="AC4224" s="198"/>
    </row>
    <row r="4225" spans="1:29" ht="44.5" customHeight="1">
      <c r="A4225" s="147" t="str">
        <f>'Reported burning'!A4225</f>
        <v>461b</v>
      </c>
      <c r="B4225" s="147" t="str">
        <f>'Reported burning'!B4225</f>
        <v>461b.3</v>
      </c>
      <c r="C4225" s="147" t="str">
        <f>'Reported burning'!C4225</f>
        <v>Human, escaped</v>
      </c>
      <c r="D4225" s="147" t="str">
        <f>'Reported burning'!D4225</f>
        <v>ND</v>
      </c>
      <c r="E4225" s="147" t="str">
        <f>'Reported burning'!E4225</f>
        <v>Urban planner</v>
      </c>
      <c r="F4225" s="147" t="str">
        <f>'Reported burning'!F4225</f>
        <v>ND</v>
      </c>
      <c r="G4225" s="147" t="str">
        <f>'Reported burning'!G4225</f>
        <v>ND</v>
      </c>
      <c r="H4225" s="147" t="str">
        <f>'Reported burning'!H4225</f>
        <v>Presence</v>
      </c>
      <c r="I4225" s="198"/>
      <c r="J4225" s="71" t="s">
        <v>2272</v>
      </c>
      <c r="K4225" s="71" t="s">
        <v>2272</v>
      </c>
      <c r="L4225" s="71" t="s">
        <v>2272</v>
      </c>
      <c r="M4225" s="71" t="s">
        <v>2272</v>
      </c>
      <c r="N4225" s="71" t="s">
        <v>2272</v>
      </c>
      <c r="O4225" s="71" t="s">
        <v>2272</v>
      </c>
      <c r="P4225" s="71" t="s">
        <v>2272</v>
      </c>
      <c r="Q4225" s="71" t="s">
        <v>2272</v>
      </c>
      <c r="R4225" s="71" t="s">
        <v>2272</v>
      </c>
      <c r="S4225" s="21" t="s">
        <v>2358</v>
      </c>
      <c r="T4225" s="71" t="s">
        <v>2272</v>
      </c>
      <c r="U4225" s="71" t="s">
        <v>2272</v>
      </c>
      <c r="V4225" s="71" t="s">
        <v>2272</v>
      </c>
      <c r="W4225" s="71" t="s">
        <v>2272</v>
      </c>
      <c r="X4225" s="71" t="s">
        <v>2272</v>
      </c>
      <c r="Y4225" s="198" t="s">
        <v>67</v>
      </c>
      <c r="Z4225" s="198" t="s">
        <v>187</v>
      </c>
      <c r="AA4225" s="71" t="s">
        <v>2272</v>
      </c>
      <c r="AB4225" s="198"/>
      <c r="AC4225" s="198"/>
    </row>
    <row r="4226" spans="1:29" ht="38" customHeight="1">
      <c r="A4226" s="151" t="str">
        <f>'Reported burning'!A4226</f>
        <v>462a</v>
      </c>
      <c r="B4226" s="151" t="str">
        <f>'Reported burning'!B4226</f>
        <v>462a.1</v>
      </c>
      <c r="C4226" s="151" t="str">
        <f>'Reported burning'!C4226</f>
        <v>Human, deliberate</v>
      </c>
      <c r="D4226" s="151" t="str">
        <f>'Reported burning'!D4226</f>
        <v>Pasture renewal</v>
      </c>
      <c r="E4226" s="151" t="str">
        <f>'Reported burning'!E4226</f>
        <v>Cattle, Extensive</v>
      </c>
      <c r="F4226" s="151" t="str">
        <f>'Reported burning'!F4226</f>
        <v>Grassland</v>
      </c>
      <c r="G4226" s="151" t="str">
        <f>'Reported burning'!G4226</f>
        <v>Grassland</v>
      </c>
      <c r="H4226" s="151" t="str">
        <f>'Reported burning'!H4226</f>
        <v>Presence</v>
      </c>
      <c r="I4226" s="198"/>
      <c r="J4226" s="71" t="s">
        <v>2272</v>
      </c>
      <c r="K4226" s="71" t="s">
        <v>2272</v>
      </c>
      <c r="L4226" s="71" t="s">
        <v>2272</v>
      </c>
      <c r="M4226" s="71" t="s">
        <v>2272</v>
      </c>
      <c r="N4226" s="71" t="s">
        <v>2272</v>
      </c>
      <c r="O4226" s="71" t="s">
        <v>2272</v>
      </c>
      <c r="P4226" s="71" t="s">
        <v>2272</v>
      </c>
      <c r="Q4226" s="71" t="s">
        <v>2272</v>
      </c>
      <c r="R4226" s="71" t="s">
        <v>2272</v>
      </c>
      <c r="S4226" s="71" t="s">
        <v>2272</v>
      </c>
      <c r="T4226" s="71" t="s">
        <v>2272</v>
      </c>
      <c r="U4226" s="71" t="s">
        <v>2272</v>
      </c>
      <c r="V4226" s="71" t="s">
        <v>2272</v>
      </c>
      <c r="W4226" s="71" t="s">
        <v>2272</v>
      </c>
      <c r="X4226" s="14" t="s">
        <v>2396</v>
      </c>
      <c r="Y4226" s="71" t="s">
        <v>2272</v>
      </c>
      <c r="Z4226" s="71" t="s">
        <v>2272</v>
      </c>
      <c r="AA4226" s="71" t="s">
        <v>2272</v>
      </c>
      <c r="AB4226" s="198"/>
      <c r="AC4226" s="198"/>
    </row>
    <row r="4227" spans="1:29" ht="38" customHeight="1">
      <c r="A4227" s="147" t="str">
        <f>'Reported burning'!A4227</f>
        <v>462a</v>
      </c>
      <c r="B4227" s="147" t="str">
        <f>'Reported burning'!B4227</f>
        <v>462a.2</v>
      </c>
      <c r="C4227" s="147" t="str">
        <f>'Reported burning'!C4227</f>
        <v>Human, escaped</v>
      </c>
      <c r="D4227" s="147" t="str">
        <f>'Reported burning'!D4227</f>
        <v>Pasture renewal</v>
      </c>
      <c r="E4227" s="147" t="str">
        <f>'Reported burning'!E4227</f>
        <v>Cattle, Extensive</v>
      </c>
      <c r="F4227" s="147" t="str">
        <f>'Reported burning'!F4227</f>
        <v>Grassland</v>
      </c>
      <c r="G4227" s="147" t="str">
        <f>'Reported burning'!G4227</f>
        <v>Grassland</v>
      </c>
      <c r="H4227" s="147" t="str">
        <f>'Reported burning'!H4227</f>
        <v>Presence</v>
      </c>
      <c r="I4227" s="198"/>
      <c r="J4227" s="71" t="s">
        <v>2272</v>
      </c>
      <c r="K4227" s="71" t="s">
        <v>2272</v>
      </c>
      <c r="L4227" s="71" t="s">
        <v>2272</v>
      </c>
      <c r="M4227" s="71" t="s">
        <v>2272</v>
      </c>
      <c r="N4227" s="71" t="s">
        <v>2272</v>
      </c>
      <c r="O4227" s="21" t="s">
        <v>2376</v>
      </c>
      <c r="P4227" s="71" t="s">
        <v>2272</v>
      </c>
      <c r="Q4227" s="71" t="s">
        <v>2272</v>
      </c>
      <c r="R4227" s="71" t="s">
        <v>2272</v>
      </c>
      <c r="S4227" s="71" t="s">
        <v>2272</v>
      </c>
      <c r="T4227" s="71" t="s">
        <v>2272</v>
      </c>
      <c r="U4227" s="71" t="s">
        <v>2272</v>
      </c>
      <c r="V4227" s="71" t="s">
        <v>2272</v>
      </c>
      <c r="W4227" s="71" t="s">
        <v>2272</v>
      </c>
      <c r="X4227" s="71" t="s">
        <v>2272</v>
      </c>
      <c r="Y4227" s="71" t="s">
        <v>2272</v>
      </c>
      <c r="Z4227" s="71" t="s">
        <v>2272</v>
      </c>
      <c r="AA4227" s="71" t="s">
        <v>2272</v>
      </c>
      <c r="AB4227" s="198"/>
      <c r="AC4227" s="198"/>
    </row>
    <row r="4228" spans="1:29" ht="38" customHeight="1">
      <c r="A4228" s="147" t="str">
        <f>'Reported burning'!A4228</f>
        <v>462a</v>
      </c>
      <c r="B4228" s="147" t="str">
        <f>'Reported burning'!B4228</f>
        <v>462a.3</v>
      </c>
      <c r="C4228" s="147" t="str">
        <f>'Reported burning'!C4228</f>
        <v>Human, deliberate</v>
      </c>
      <c r="D4228" s="147" t="str">
        <f>'Reported burning'!D4228</f>
        <v>Arson</v>
      </c>
      <c r="E4228" s="147" t="str">
        <f>'Reported burning'!E4228</f>
        <v>Urban planner</v>
      </c>
      <c r="F4228" s="147" t="str">
        <f>'Reported burning'!F4228</f>
        <v>ND</v>
      </c>
      <c r="G4228" s="147" t="str">
        <f>'Reported burning'!G4228</f>
        <v>Grassland</v>
      </c>
      <c r="H4228" s="147" t="str">
        <f>'Reported burning'!H4228</f>
        <v>Presence</v>
      </c>
      <c r="I4228" s="198"/>
      <c r="J4228" s="71" t="s">
        <v>2272</v>
      </c>
      <c r="K4228" s="71" t="s">
        <v>2272</v>
      </c>
      <c r="L4228" s="71" t="s">
        <v>2272</v>
      </c>
      <c r="M4228" s="71" t="s">
        <v>2272</v>
      </c>
      <c r="N4228" s="71" t="s">
        <v>2272</v>
      </c>
      <c r="O4228" s="71" t="s">
        <v>2272</v>
      </c>
      <c r="P4228" s="71" t="s">
        <v>2272</v>
      </c>
      <c r="Q4228" s="71" t="s">
        <v>2272</v>
      </c>
      <c r="R4228" s="71" t="s">
        <v>2272</v>
      </c>
      <c r="S4228" s="71" t="s">
        <v>2272</v>
      </c>
      <c r="T4228" s="71" t="s">
        <v>2272</v>
      </c>
      <c r="U4228" s="71" t="s">
        <v>2272</v>
      </c>
      <c r="V4228" s="71" t="s">
        <v>2272</v>
      </c>
      <c r="W4228" s="71" t="s">
        <v>2272</v>
      </c>
      <c r="X4228" s="71" t="s">
        <v>2272</v>
      </c>
      <c r="Y4228" s="71" t="s">
        <v>2272</v>
      </c>
      <c r="Z4228" s="71" t="s">
        <v>2272</v>
      </c>
      <c r="AA4228" s="71" t="s">
        <v>2272</v>
      </c>
      <c r="AB4228" s="198" t="s">
        <v>10789</v>
      </c>
      <c r="AC4228" s="198"/>
    </row>
    <row r="4229" spans="1:29" ht="38" customHeight="1">
      <c r="A4229" s="147" t="str">
        <f>'Reported burning'!A4229</f>
        <v>462a</v>
      </c>
      <c r="B4229" s="147" t="str">
        <f>'Reported burning'!B4229</f>
        <v>462a.4</v>
      </c>
      <c r="C4229" s="147" t="str">
        <f>'Reported burning'!C4229</f>
        <v>Human, deliberate</v>
      </c>
      <c r="D4229" s="147" t="str">
        <f>'Reported burning'!D4229</f>
        <v>Conservation</v>
      </c>
      <c r="E4229" s="147" t="str">
        <f>'Reported burning'!E4229</f>
        <v>Biodiversity conservation</v>
      </c>
      <c r="F4229" s="147" t="str">
        <f>'Reported burning'!F4229</f>
        <v>Grassland</v>
      </c>
      <c r="G4229" s="147" t="str">
        <f>'Reported burning'!G4229</f>
        <v>Grassland</v>
      </c>
      <c r="H4229" s="147" t="str">
        <f>'Reported burning'!H4229</f>
        <v>Absence</v>
      </c>
      <c r="I4229" s="198"/>
      <c r="J4229" s="71" t="s">
        <v>2272</v>
      </c>
      <c r="K4229" s="71" t="s">
        <v>2272</v>
      </c>
      <c r="L4229" s="71" t="s">
        <v>2272</v>
      </c>
      <c r="M4229" s="71" t="s">
        <v>2272</v>
      </c>
      <c r="N4229" s="71" t="s">
        <v>2272</v>
      </c>
      <c r="O4229" s="71" t="s">
        <v>2272</v>
      </c>
      <c r="P4229" s="71" t="s">
        <v>2272</v>
      </c>
      <c r="Q4229" s="71" t="s">
        <v>2272</v>
      </c>
      <c r="R4229" s="71" t="s">
        <v>2272</v>
      </c>
      <c r="S4229" s="71" t="s">
        <v>2272</v>
      </c>
      <c r="T4229" s="71" t="s">
        <v>2272</v>
      </c>
      <c r="U4229" s="71" t="s">
        <v>2272</v>
      </c>
      <c r="V4229" s="71" t="s">
        <v>2272</v>
      </c>
      <c r="W4229" s="71" t="s">
        <v>2272</v>
      </c>
      <c r="X4229" s="71" t="s">
        <v>2272</v>
      </c>
      <c r="Y4229" s="71" t="s">
        <v>2272</v>
      </c>
      <c r="Z4229" s="71" t="s">
        <v>2272</v>
      </c>
      <c r="AA4229" s="71" t="s">
        <v>2272</v>
      </c>
      <c r="AB4229" s="198"/>
      <c r="AC4229" s="198"/>
    </row>
    <row r="4230" spans="1:29" ht="38" customHeight="1">
      <c r="A4230" s="147" t="str">
        <f>'Reported burning'!A4230</f>
        <v>462a</v>
      </c>
      <c r="B4230" s="147" t="str">
        <f>'Reported burning'!B4230</f>
        <v>462a.5</v>
      </c>
      <c r="C4230" s="147" t="str">
        <f>'Reported burning'!C4230</f>
        <v>Human, deliberate</v>
      </c>
      <c r="D4230" s="147" t="str">
        <f>'Reported burning'!D4230</f>
        <v>Forest clearance</v>
      </c>
      <c r="E4230" s="147" t="str">
        <f>'Reported burning'!E4230</f>
        <v>Cattle, Extensive</v>
      </c>
      <c r="F4230" s="147" t="str">
        <f>'Reported burning'!F4230</f>
        <v>Forest</v>
      </c>
      <c r="G4230" s="147" t="str">
        <f>'Reported burning'!G4230</f>
        <v>Forest</v>
      </c>
      <c r="H4230" s="147" t="str">
        <f>'Reported burning'!H4230</f>
        <v>Presence</v>
      </c>
      <c r="I4230" s="198"/>
      <c r="J4230" s="71" t="s">
        <v>2272</v>
      </c>
      <c r="K4230" s="71" t="s">
        <v>2272</v>
      </c>
      <c r="L4230" s="71" t="s">
        <v>2272</v>
      </c>
      <c r="M4230" s="71" t="s">
        <v>2272</v>
      </c>
      <c r="N4230" s="71" t="s">
        <v>2272</v>
      </c>
      <c r="O4230" s="71" t="s">
        <v>2272</v>
      </c>
      <c r="P4230" s="71" t="s">
        <v>2272</v>
      </c>
      <c r="Q4230" s="71" t="s">
        <v>2272</v>
      </c>
      <c r="R4230" s="71" t="s">
        <v>2272</v>
      </c>
      <c r="S4230" s="71" t="s">
        <v>2272</v>
      </c>
      <c r="T4230" s="71" t="s">
        <v>2272</v>
      </c>
      <c r="U4230" s="71" t="s">
        <v>2272</v>
      </c>
      <c r="V4230" s="71" t="s">
        <v>2272</v>
      </c>
      <c r="W4230" s="71" t="s">
        <v>2272</v>
      </c>
      <c r="X4230" s="71" t="s">
        <v>2272</v>
      </c>
      <c r="Y4230" s="71" t="s">
        <v>2272</v>
      </c>
      <c r="Z4230" s="71" t="s">
        <v>2272</v>
      </c>
      <c r="AA4230" s="71" t="s">
        <v>2272</v>
      </c>
      <c r="AB4230" s="198"/>
      <c r="AC4230" s="198"/>
    </row>
    <row r="4231" spans="1:29" ht="39" customHeight="1">
      <c r="A4231" s="147" t="str">
        <f>'Reported burning'!A4231</f>
        <v>462a</v>
      </c>
      <c r="B4231" s="147" t="str">
        <f>'Reported burning'!B4231</f>
        <v>462a.6</v>
      </c>
      <c r="C4231" s="147" t="str">
        <f>'Reported burning'!C4231</f>
        <v>Human, deliberate</v>
      </c>
      <c r="D4231" s="147" t="str">
        <f>'Reported burning'!D4231</f>
        <v>Hunting</v>
      </c>
      <c r="E4231" s="147" t="str">
        <f>'Reported burning'!E4231</f>
        <v>Forestry, Traditional</v>
      </c>
      <c r="F4231" s="147" t="str">
        <f>'Reported burning'!F4231</f>
        <v>Shrubland (Mixed forest &amp; grassland)</v>
      </c>
      <c r="G4231" s="147" t="str">
        <f>'Reported burning'!G4231</f>
        <v>Shrubland (Mixed forest &amp; grassland)</v>
      </c>
      <c r="H4231" s="147" t="str">
        <f>'Reported burning'!H4231</f>
        <v>Presence</v>
      </c>
      <c r="I4231" s="198"/>
      <c r="J4231" s="71" t="s">
        <v>2272</v>
      </c>
      <c r="K4231" s="71" t="s">
        <v>2272</v>
      </c>
      <c r="L4231" s="71" t="s">
        <v>2272</v>
      </c>
      <c r="M4231" s="71" t="s">
        <v>2272</v>
      </c>
      <c r="N4231" s="71" t="s">
        <v>2272</v>
      </c>
      <c r="O4231" s="71" t="s">
        <v>2272</v>
      </c>
      <c r="P4231" s="71" t="s">
        <v>2272</v>
      </c>
      <c r="Q4231" s="71" t="s">
        <v>2272</v>
      </c>
      <c r="R4231" s="71" t="s">
        <v>2272</v>
      </c>
      <c r="S4231" s="71" t="s">
        <v>2272</v>
      </c>
      <c r="T4231" s="71" t="s">
        <v>2272</v>
      </c>
      <c r="U4231" s="71" t="s">
        <v>2272</v>
      </c>
      <c r="V4231" s="71" t="s">
        <v>2272</v>
      </c>
      <c r="W4231" s="71" t="s">
        <v>2272</v>
      </c>
      <c r="X4231" s="71" t="s">
        <v>2272</v>
      </c>
      <c r="Y4231" s="71" t="s">
        <v>2272</v>
      </c>
      <c r="Z4231" s="71" t="s">
        <v>2272</v>
      </c>
      <c r="AA4231" s="71" t="s">
        <v>2272</v>
      </c>
      <c r="AB4231" s="198"/>
      <c r="AC4231" s="198"/>
    </row>
    <row r="4232" spans="1:29" ht="39" customHeight="1">
      <c r="A4232" s="147" t="str">
        <f>'Reported burning'!A4232</f>
        <v>462a</v>
      </c>
      <c r="B4232" s="147" t="str">
        <f>'Reported burning'!B4232</f>
        <v>462a.7</v>
      </c>
      <c r="C4232" s="147" t="str">
        <f>'Reported burning'!C4232</f>
        <v>Human, deliberate</v>
      </c>
      <c r="D4232" s="147" t="str">
        <f>'Reported burning'!D4232</f>
        <v>Charcoal production</v>
      </c>
      <c r="E4232" s="147" t="str">
        <f>'Reported burning'!E4232</f>
        <v>Forestry, Traditional</v>
      </c>
      <c r="F4232" s="147" t="str">
        <f>'Reported burning'!F4232</f>
        <v>Shrubland (Mixed forest &amp; grassland)</v>
      </c>
      <c r="G4232" s="147" t="str">
        <f>'Reported burning'!G4232</f>
        <v>Shrubland (Mixed forest &amp; grassland)</v>
      </c>
      <c r="H4232" s="147" t="str">
        <f>'Reported burning'!H4232</f>
        <v>Presence</v>
      </c>
      <c r="I4232" s="198"/>
      <c r="J4232" s="71" t="s">
        <v>2272</v>
      </c>
      <c r="K4232" s="71" t="s">
        <v>2272</v>
      </c>
      <c r="L4232" s="71" t="s">
        <v>2272</v>
      </c>
      <c r="M4232" s="71" t="s">
        <v>2272</v>
      </c>
      <c r="N4232" s="71" t="s">
        <v>2272</v>
      </c>
      <c r="O4232" s="71" t="s">
        <v>2272</v>
      </c>
      <c r="P4232" s="71" t="s">
        <v>2272</v>
      </c>
      <c r="Q4232" s="71" t="s">
        <v>2272</v>
      </c>
      <c r="R4232" s="71" t="s">
        <v>2272</v>
      </c>
      <c r="S4232" s="71" t="s">
        <v>2272</v>
      </c>
      <c r="T4232" s="71" t="s">
        <v>2272</v>
      </c>
      <c r="U4232" s="71" t="s">
        <v>2272</v>
      </c>
      <c r="V4232" s="71" t="s">
        <v>2272</v>
      </c>
      <c r="W4232" s="71" t="s">
        <v>2272</v>
      </c>
      <c r="X4232" s="71" t="s">
        <v>2272</v>
      </c>
      <c r="Y4232" s="71" t="s">
        <v>2272</v>
      </c>
      <c r="Z4232" s="71" t="s">
        <v>2272</v>
      </c>
      <c r="AA4232" s="71" t="s">
        <v>2272</v>
      </c>
      <c r="AB4232" s="198"/>
      <c r="AC4232" s="198"/>
    </row>
    <row r="4233" spans="1:29" ht="39" customHeight="1">
      <c r="A4233" s="151" t="str">
        <f>'Reported burning'!A4233</f>
        <v>462a</v>
      </c>
      <c r="B4233" s="151" t="str">
        <f>'Reported burning'!B4233</f>
        <v>462a.8</v>
      </c>
      <c r="C4233" s="151" t="str">
        <f>'Reported burning'!C4233</f>
        <v>Human, deliberate</v>
      </c>
      <c r="D4233" s="151" t="str">
        <f>'Reported burning'!D4233</f>
        <v>Pyrome management</v>
      </c>
      <c r="E4233" s="151" t="str">
        <f>'Reported burning'!E4233</f>
        <v>Forestry, Traditional</v>
      </c>
      <c r="F4233" s="151" t="str">
        <f>'Reported burning'!F4233</f>
        <v>Shrubland (Mixed forest &amp; grassland)</v>
      </c>
      <c r="G4233" s="147" t="str">
        <f>'Reported burning'!G4233</f>
        <v>Shrubland (Mixed forest &amp; grassland)</v>
      </c>
      <c r="H4233" s="147" t="str">
        <f>'Reported burning'!H4233</f>
        <v>Absence</v>
      </c>
      <c r="I4233" s="198"/>
      <c r="J4233" s="198">
        <v>0</v>
      </c>
      <c r="K4233" s="198">
        <v>0</v>
      </c>
      <c r="L4233" s="198">
        <v>0</v>
      </c>
      <c r="M4233" s="198">
        <v>0</v>
      </c>
      <c r="N4233" s="198">
        <v>0</v>
      </c>
      <c r="O4233" s="198">
        <v>0</v>
      </c>
      <c r="P4233" s="198">
        <v>0</v>
      </c>
      <c r="Q4233" s="198">
        <v>0</v>
      </c>
      <c r="R4233" s="198">
        <v>0</v>
      </c>
      <c r="S4233" s="198">
        <v>0</v>
      </c>
      <c r="T4233" s="198">
        <v>0</v>
      </c>
      <c r="U4233" s="198">
        <v>0</v>
      </c>
      <c r="V4233" s="198">
        <v>0</v>
      </c>
      <c r="W4233" s="198">
        <v>0</v>
      </c>
      <c r="X4233" s="198" t="s">
        <v>2272</v>
      </c>
      <c r="Y4233" s="71" t="s">
        <v>2272</v>
      </c>
      <c r="Z4233" s="71" t="s">
        <v>2272</v>
      </c>
      <c r="AA4233" s="71" t="s">
        <v>2272</v>
      </c>
      <c r="AB4233" s="198"/>
      <c r="AC4233" s="198"/>
    </row>
    <row r="4234" spans="1:29" ht="52.5" customHeight="1">
      <c r="A4234" s="147" t="str">
        <f>'Reported burning'!A4234</f>
        <v>464a</v>
      </c>
      <c r="B4234" s="147" t="str">
        <f>'Reported burning'!B4234</f>
        <v>464a.1</v>
      </c>
      <c r="C4234" s="147" t="str">
        <f>'Reported burning'!C4234</f>
        <v>Human, escaped</v>
      </c>
      <c r="D4234" s="147" t="str">
        <f>'Reported burning'!D4234</f>
        <v>All</v>
      </c>
      <c r="E4234" s="147" t="str">
        <f>'Reported burning'!E4234</f>
        <v>All</v>
      </c>
      <c r="F4234" s="147" t="str">
        <f>'Reported burning'!F4234</f>
        <v>ND</v>
      </c>
      <c r="G4234" s="147" t="str">
        <f>'Reported burning'!G4234</f>
        <v>ND</v>
      </c>
      <c r="H4234" s="147" t="str">
        <f>'Reported burning'!H4234</f>
        <v>Presence</v>
      </c>
      <c r="I4234" s="198"/>
      <c r="J4234" s="71" t="s">
        <v>2272</v>
      </c>
      <c r="K4234" s="71" t="s">
        <v>2272</v>
      </c>
      <c r="L4234" s="71" t="s">
        <v>2272</v>
      </c>
      <c r="M4234" s="71" t="s">
        <v>2272</v>
      </c>
      <c r="N4234" s="71" t="s">
        <v>2272</v>
      </c>
      <c r="O4234" s="71" t="s">
        <v>2272</v>
      </c>
      <c r="P4234" s="71" t="s">
        <v>2272</v>
      </c>
      <c r="Q4234" s="71" t="s">
        <v>2272</v>
      </c>
      <c r="R4234" s="71" t="s">
        <v>2272</v>
      </c>
      <c r="S4234" s="71" t="s">
        <v>2272</v>
      </c>
      <c r="T4234" s="71" t="s">
        <v>2272</v>
      </c>
      <c r="U4234" s="71" t="s">
        <v>2272</v>
      </c>
      <c r="V4234" s="71" t="s">
        <v>2272</v>
      </c>
      <c r="W4234" s="71" t="s">
        <v>2272</v>
      </c>
      <c r="X4234" s="71" t="s">
        <v>2272</v>
      </c>
      <c r="Y4234" s="71" t="s">
        <v>2272</v>
      </c>
      <c r="Z4234" s="71" t="s">
        <v>2272</v>
      </c>
      <c r="AA4234" s="71" t="s">
        <v>2272</v>
      </c>
      <c r="AB4234" s="198"/>
      <c r="AC4234" s="198"/>
    </row>
    <row r="4235" spans="1:29" ht="52.5" customHeight="1">
      <c r="A4235" s="147" t="str">
        <f>'Reported burning'!A4235</f>
        <v>464a</v>
      </c>
      <c r="B4235" s="147" t="str">
        <f>'Reported burning'!B4235</f>
        <v>464a.2</v>
      </c>
      <c r="C4235" s="147" t="str">
        <f>'Reported burning'!C4235</f>
        <v>Human, accidental</v>
      </c>
      <c r="D4235" s="147" t="str">
        <f>'Reported burning'!D4235</f>
        <v>ND</v>
      </c>
      <c r="E4235" s="147" t="str">
        <f>'Reported burning'!E4235</f>
        <v>ND</v>
      </c>
      <c r="F4235" s="147" t="str">
        <f>'Reported burning'!F4235</f>
        <v>ND</v>
      </c>
      <c r="G4235" s="147" t="str">
        <f>'Reported burning'!G4235</f>
        <v>ND</v>
      </c>
      <c r="H4235" s="147" t="str">
        <f>'Reported burning'!H4235</f>
        <v>Presence</v>
      </c>
      <c r="I4235" s="198"/>
      <c r="J4235" s="71" t="s">
        <v>2272</v>
      </c>
      <c r="K4235" s="71" t="s">
        <v>2272</v>
      </c>
      <c r="L4235" s="226" t="s">
        <v>2272</v>
      </c>
      <c r="M4235" s="226" t="s">
        <v>2272</v>
      </c>
      <c r="N4235" s="226" t="s">
        <v>2272</v>
      </c>
      <c r="O4235" s="226" t="s">
        <v>2272</v>
      </c>
      <c r="P4235" s="226" t="s">
        <v>2272</v>
      </c>
      <c r="Q4235" s="226" t="s">
        <v>2272</v>
      </c>
      <c r="R4235" s="226" t="s">
        <v>2272</v>
      </c>
      <c r="S4235" s="226" t="s">
        <v>2272</v>
      </c>
      <c r="T4235" s="226" t="s">
        <v>2272</v>
      </c>
      <c r="U4235" s="226" t="s">
        <v>2272</v>
      </c>
      <c r="V4235" s="226" t="s">
        <v>2272</v>
      </c>
      <c r="W4235" s="226" t="s">
        <v>2272</v>
      </c>
      <c r="X4235" s="226" t="s">
        <v>2272</v>
      </c>
      <c r="Y4235" s="226" t="s">
        <v>2272</v>
      </c>
      <c r="Z4235" s="226" t="s">
        <v>2272</v>
      </c>
      <c r="AA4235" s="226" t="s">
        <v>2272</v>
      </c>
      <c r="AB4235" s="35"/>
      <c r="AC4235" s="35"/>
    </row>
    <row r="4236" spans="1:29" ht="52.5" customHeight="1">
      <c r="A4236" s="147" t="str">
        <f>'Reported burning'!A4236</f>
        <v>464a</v>
      </c>
      <c r="B4236" s="147" t="str">
        <f>'Reported burning'!B4236</f>
        <v>464a.3</v>
      </c>
      <c r="C4236" s="147" t="str">
        <f>'Reported burning'!C4236</f>
        <v>Human, deliberate</v>
      </c>
      <c r="D4236" s="147" t="str">
        <f>'Reported burning'!D4236</f>
        <v>Arson</v>
      </c>
      <c r="E4236" s="147" t="str">
        <f>'Reported burning'!E4236</f>
        <v>ND</v>
      </c>
      <c r="F4236" s="147" t="str">
        <f>'Reported burning'!F4236</f>
        <v>ND</v>
      </c>
      <c r="G4236" s="147" t="str">
        <f>'Reported burning'!G4236</f>
        <v>ND</v>
      </c>
      <c r="H4236" s="147" t="str">
        <f>'Reported burning'!H4236</f>
        <v>Presence</v>
      </c>
      <c r="I4236" s="198"/>
      <c r="J4236" s="71" t="s">
        <v>2272</v>
      </c>
      <c r="K4236" s="71" t="s">
        <v>2272</v>
      </c>
      <c r="L4236" s="71" t="s">
        <v>2272</v>
      </c>
      <c r="M4236" s="71" t="s">
        <v>2272</v>
      </c>
      <c r="N4236" s="71" t="s">
        <v>2272</v>
      </c>
      <c r="O4236" s="71" t="s">
        <v>2272</v>
      </c>
      <c r="P4236" s="71" t="s">
        <v>2272</v>
      </c>
      <c r="Q4236" s="71" t="s">
        <v>2272</v>
      </c>
      <c r="R4236" s="71" t="s">
        <v>2272</v>
      </c>
      <c r="S4236" s="71" t="s">
        <v>2272</v>
      </c>
      <c r="T4236" s="71" t="s">
        <v>2272</v>
      </c>
      <c r="U4236" s="71" t="s">
        <v>2272</v>
      </c>
      <c r="V4236" s="71" t="s">
        <v>2272</v>
      </c>
      <c r="W4236" s="71" t="s">
        <v>2272</v>
      </c>
      <c r="X4236" s="71" t="s">
        <v>2272</v>
      </c>
      <c r="Y4236" s="71" t="s">
        <v>2272</v>
      </c>
      <c r="Z4236" s="71" t="s">
        <v>2272</v>
      </c>
      <c r="AA4236" s="71" t="s">
        <v>2272</v>
      </c>
      <c r="AB4236" s="198"/>
      <c r="AC4236" s="198"/>
    </row>
    <row r="4237" spans="1:29" ht="49" customHeight="1">
      <c r="A4237" s="147" t="str">
        <f>'Reported burning'!A4237</f>
        <v>465a</v>
      </c>
      <c r="B4237" s="147" t="str">
        <f>'Reported burning'!B4237</f>
        <v>465a.1</v>
      </c>
      <c r="C4237" s="147" t="str">
        <f>'Reported burning'!C4237</f>
        <v>Lightning</v>
      </c>
      <c r="D4237" s="147" t="str">
        <f>'Reported burning'!D4237</f>
        <v>ND</v>
      </c>
      <c r="E4237" s="147" t="str">
        <f>'Reported burning'!E4237</f>
        <v>ND</v>
      </c>
      <c r="F4237" s="147" t="str">
        <f>'Reported burning'!F4237</f>
        <v>ND</v>
      </c>
      <c r="G4237" s="147" t="str">
        <f>'Reported burning'!G4237</f>
        <v>ND</v>
      </c>
      <c r="H4237" s="147" t="str">
        <f>'Reported burning'!H4237</f>
        <v>Presence</v>
      </c>
      <c r="I4237" s="198"/>
      <c r="J4237" s="71" t="s">
        <v>2272</v>
      </c>
      <c r="K4237" s="71" t="s">
        <v>2272</v>
      </c>
      <c r="L4237" s="71" t="s">
        <v>2272</v>
      </c>
      <c r="M4237" s="71" t="s">
        <v>2272</v>
      </c>
      <c r="N4237" s="71" t="s">
        <v>2272</v>
      </c>
      <c r="O4237" s="71" t="s">
        <v>2272</v>
      </c>
      <c r="P4237" s="71" t="s">
        <v>2272</v>
      </c>
      <c r="Q4237" s="71" t="s">
        <v>2272</v>
      </c>
      <c r="R4237" s="71" t="s">
        <v>2272</v>
      </c>
      <c r="S4237" s="21" t="s">
        <v>2372</v>
      </c>
      <c r="T4237" s="71" t="s">
        <v>2272</v>
      </c>
      <c r="U4237" s="71" t="s">
        <v>2272</v>
      </c>
      <c r="V4237" s="71" t="s">
        <v>2272</v>
      </c>
      <c r="W4237" s="71" t="s">
        <v>2272</v>
      </c>
      <c r="X4237" s="71" t="s">
        <v>2272</v>
      </c>
      <c r="Y4237" s="71" t="s">
        <v>2272</v>
      </c>
      <c r="Z4237" s="71" t="s">
        <v>2272</v>
      </c>
      <c r="AA4237" s="71" t="s">
        <v>2272</v>
      </c>
      <c r="AB4237" s="198"/>
      <c r="AC4237" s="198"/>
    </row>
    <row r="4238" spans="1:29" ht="49" customHeight="1">
      <c r="A4238" s="147" t="str">
        <f>'Reported burning'!A4238</f>
        <v>465a</v>
      </c>
      <c r="B4238" s="147" t="str">
        <f>'Reported burning'!B4238</f>
        <v>465a.2</v>
      </c>
      <c r="C4238" s="147" t="str">
        <f>'Reported burning'!C4238</f>
        <v>Human, escaped</v>
      </c>
      <c r="D4238" s="147" t="str">
        <f>'Reported burning'!D4238</f>
        <v>ND</v>
      </c>
      <c r="E4238" s="147" t="str">
        <f>'Reported burning'!E4238</f>
        <v>ND</v>
      </c>
      <c r="F4238" s="147" t="str">
        <f>'Reported burning'!F4238</f>
        <v>ND</v>
      </c>
      <c r="G4238" s="147" t="str">
        <f>'Reported burning'!G4238</f>
        <v>ND</v>
      </c>
      <c r="H4238" s="147" t="str">
        <f>'Reported burning'!H4238</f>
        <v>Presence</v>
      </c>
      <c r="I4238" s="198"/>
      <c r="J4238" s="71" t="s">
        <v>2272</v>
      </c>
      <c r="K4238" s="71" t="s">
        <v>2272</v>
      </c>
      <c r="L4238" s="71" t="s">
        <v>2272</v>
      </c>
      <c r="M4238" s="71" t="s">
        <v>2272</v>
      </c>
      <c r="N4238" s="71" t="s">
        <v>2272</v>
      </c>
      <c r="O4238" s="71" t="s">
        <v>2272</v>
      </c>
      <c r="P4238" s="71" t="s">
        <v>2272</v>
      </c>
      <c r="Q4238" s="71" t="s">
        <v>2272</v>
      </c>
      <c r="R4238" s="71" t="s">
        <v>2272</v>
      </c>
      <c r="S4238" s="21" t="s">
        <v>2369</v>
      </c>
      <c r="T4238" s="71" t="s">
        <v>2272</v>
      </c>
      <c r="U4238" s="71" t="s">
        <v>2272</v>
      </c>
      <c r="V4238" s="71" t="s">
        <v>2272</v>
      </c>
      <c r="W4238" s="71" t="s">
        <v>2272</v>
      </c>
      <c r="X4238" s="71" t="s">
        <v>2272</v>
      </c>
      <c r="Y4238" s="71" t="s">
        <v>2272</v>
      </c>
      <c r="Z4238" s="71" t="s">
        <v>2272</v>
      </c>
      <c r="AA4238" s="71" t="s">
        <v>2272</v>
      </c>
      <c r="AB4238" s="198"/>
      <c r="AC4238" s="198"/>
    </row>
    <row r="4239" spans="1:29" ht="49" customHeight="1">
      <c r="A4239" s="147" t="str">
        <f>'Reported burning'!A4239</f>
        <v>465a</v>
      </c>
      <c r="B4239" s="147" t="str">
        <f>'Reported burning'!B4239</f>
        <v>465a.3</v>
      </c>
      <c r="C4239" s="147" t="str">
        <f>'Reported burning'!C4239</f>
        <v>Human, deliberate</v>
      </c>
      <c r="D4239" s="147" t="str">
        <f>'Reported burning'!D4239</f>
        <v>Arson</v>
      </c>
      <c r="E4239" s="147" t="str">
        <f>'Reported burning'!E4239</f>
        <v>ND</v>
      </c>
      <c r="F4239" s="147" t="str">
        <f>'Reported burning'!F4239</f>
        <v>ND</v>
      </c>
      <c r="G4239" s="147" t="str">
        <f>'Reported burning'!G4239</f>
        <v>ND</v>
      </c>
      <c r="H4239" s="147" t="str">
        <f>'Reported burning'!H4239</f>
        <v>Presence</v>
      </c>
      <c r="I4239" s="198"/>
      <c r="J4239" s="71" t="s">
        <v>2272</v>
      </c>
      <c r="K4239" s="71" t="s">
        <v>2272</v>
      </c>
      <c r="L4239" s="71" t="s">
        <v>2272</v>
      </c>
      <c r="M4239" s="71" t="s">
        <v>2272</v>
      </c>
      <c r="N4239" s="71" t="s">
        <v>2272</v>
      </c>
      <c r="O4239" s="71" t="s">
        <v>2272</v>
      </c>
      <c r="P4239" s="71" t="s">
        <v>2272</v>
      </c>
      <c r="Q4239" s="71" t="s">
        <v>2272</v>
      </c>
      <c r="R4239" s="71" t="s">
        <v>2272</v>
      </c>
      <c r="S4239" s="21" t="s">
        <v>2369</v>
      </c>
      <c r="T4239" s="71" t="s">
        <v>2272</v>
      </c>
      <c r="U4239" s="71" t="s">
        <v>2272</v>
      </c>
      <c r="V4239" s="71" t="s">
        <v>2272</v>
      </c>
      <c r="W4239" s="71" t="s">
        <v>2272</v>
      </c>
      <c r="X4239" s="71" t="s">
        <v>2272</v>
      </c>
      <c r="Y4239" s="71" t="s">
        <v>2272</v>
      </c>
      <c r="Z4239" s="71" t="s">
        <v>2272</v>
      </c>
      <c r="AA4239" s="71" t="s">
        <v>2272</v>
      </c>
      <c r="AB4239" s="198"/>
      <c r="AC4239" s="198"/>
    </row>
    <row r="4240" spans="1:29" ht="49" customHeight="1">
      <c r="A4240" s="147" t="str">
        <f>'Reported burning'!A4240</f>
        <v>465a</v>
      </c>
      <c r="B4240" s="147" t="str">
        <f>'Reported burning'!B4240</f>
        <v>465a.4</v>
      </c>
      <c r="C4240" s="147" t="str">
        <f>'Reported burning'!C4240</f>
        <v>Unknown</v>
      </c>
      <c r="D4240" s="147" t="str">
        <f>'Reported burning'!D4240</f>
        <v>ND</v>
      </c>
      <c r="E4240" s="147" t="str">
        <f>'Reported burning'!E4240</f>
        <v>ND</v>
      </c>
      <c r="F4240" s="147" t="str">
        <f>'Reported burning'!F4240</f>
        <v>ND</v>
      </c>
      <c r="G4240" s="147" t="str">
        <f>'Reported burning'!G4240</f>
        <v>ND</v>
      </c>
      <c r="H4240" s="147" t="str">
        <f>'Reported burning'!H4240</f>
        <v>Presence</v>
      </c>
      <c r="I4240" s="198"/>
      <c r="J4240" s="71" t="s">
        <v>2272</v>
      </c>
      <c r="K4240" s="71" t="s">
        <v>2272</v>
      </c>
      <c r="L4240" s="71" t="s">
        <v>2272</v>
      </c>
      <c r="M4240" s="71" t="s">
        <v>2272</v>
      </c>
      <c r="N4240" s="71" t="s">
        <v>2272</v>
      </c>
      <c r="O4240" s="71" t="s">
        <v>2272</v>
      </c>
      <c r="P4240" s="71" t="s">
        <v>2272</v>
      </c>
      <c r="Q4240" s="71" t="s">
        <v>2272</v>
      </c>
      <c r="R4240" s="71" t="s">
        <v>2272</v>
      </c>
      <c r="S4240" s="21" t="s">
        <v>2369</v>
      </c>
      <c r="T4240" s="71" t="s">
        <v>2272</v>
      </c>
      <c r="U4240" s="71" t="s">
        <v>2272</v>
      </c>
      <c r="V4240" s="71" t="s">
        <v>2272</v>
      </c>
      <c r="W4240" s="71" t="s">
        <v>2272</v>
      </c>
      <c r="X4240" s="71" t="s">
        <v>2272</v>
      </c>
      <c r="Y4240" s="71" t="s">
        <v>2272</v>
      </c>
      <c r="Z4240" s="71" t="s">
        <v>2272</v>
      </c>
      <c r="AA4240" s="71" t="s">
        <v>2272</v>
      </c>
      <c r="AB4240" s="198"/>
      <c r="AC4240" s="198"/>
    </row>
    <row r="4241" spans="1:29" ht="49" customHeight="1">
      <c r="A4241" s="147" t="str">
        <f>'Reported burning'!A4241</f>
        <v>465a</v>
      </c>
      <c r="B4241" s="147" t="str">
        <f>'Reported burning'!B4241</f>
        <v>465a.5</v>
      </c>
      <c r="C4241" s="147" t="str">
        <f>'Reported burning'!C4241</f>
        <v>Human, deliberate</v>
      </c>
      <c r="D4241" s="147" t="str">
        <f>'Reported burning'!D4241</f>
        <v>ND</v>
      </c>
      <c r="E4241" s="147" t="str">
        <f>'Reported burning'!E4241</f>
        <v>Urban planner</v>
      </c>
      <c r="F4241" s="147" t="str">
        <f>'Reported burning'!F4241</f>
        <v>ND</v>
      </c>
      <c r="G4241" s="147" t="str">
        <f>'Reported burning'!G4241</f>
        <v>ND</v>
      </c>
      <c r="H4241" s="147" t="str">
        <f>'Reported burning'!H4241</f>
        <v>Presence</v>
      </c>
      <c r="I4241" s="198"/>
      <c r="J4241" s="71" t="s">
        <v>2272</v>
      </c>
      <c r="K4241" s="71" t="s">
        <v>2272</v>
      </c>
      <c r="L4241" s="71" t="s">
        <v>2272</v>
      </c>
      <c r="M4241" s="71" t="s">
        <v>2272</v>
      </c>
      <c r="N4241" s="71" t="s">
        <v>2272</v>
      </c>
      <c r="O4241" s="71" t="s">
        <v>2272</v>
      </c>
      <c r="P4241" s="71" t="s">
        <v>2272</v>
      </c>
      <c r="Q4241" s="71" t="s">
        <v>2272</v>
      </c>
      <c r="R4241" s="71" t="s">
        <v>2272</v>
      </c>
      <c r="S4241" s="71" t="s">
        <v>2272</v>
      </c>
      <c r="T4241" s="71" t="s">
        <v>2272</v>
      </c>
      <c r="U4241" s="71" t="s">
        <v>2272</v>
      </c>
      <c r="V4241" s="71" t="s">
        <v>2272</v>
      </c>
      <c r="W4241" s="71" t="s">
        <v>2272</v>
      </c>
      <c r="X4241" s="71" t="s">
        <v>2272</v>
      </c>
      <c r="Y4241" s="71" t="s">
        <v>2272</v>
      </c>
      <c r="Z4241" s="71" t="s">
        <v>2272</v>
      </c>
      <c r="AA4241" s="71" t="s">
        <v>2272</v>
      </c>
      <c r="AB4241" s="4" t="s">
        <v>10818</v>
      </c>
      <c r="AC4241" s="198"/>
    </row>
    <row r="4242" spans="1:29" ht="44" customHeight="1">
      <c r="A4242" s="147" t="str">
        <f>'Reported burning'!A4242</f>
        <v>465a</v>
      </c>
      <c r="B4242" s="147" t="str">
        <f>'Reported burning'!B4242</f>
        <v>465a.6</v>
      </c>
      <c r="C4242" s="147" t="str">
        <f>'Reported burning'!C4242</f>
        <v>Human, deliberate</v>
      </c>
      <c r="D4242" s="147" t="str">
        <f>'Reported burning'!D4242</f>
        <v>ND</v>
      </c>
      <c r="E4242" s="147" t="str">
        <f>'Reported burning'!E4242</f>
        <v>Forestry, Industrial</v>
      </c>
      <c r="F4242" s="147" t="str">
        <f>'Reported burning'!F4242</f>
        <v>ND</v>
      </c>
      <c r="G4242" s="147" t="str">
        <f>'Reported burning'!G4242</f>
        <v>Plantation forest</v>
      </c>
      <c r="H4242" s="147" t="str">
        <f>'Reported burning'!H4242</f>
        <v>Presence</v>
      </c>
      <c r="I4242" s="198"/>
      <c r="J4242" s="71" t="s">
        <v>2272</v>
      </c>
      <c r="K4242" s="71" t="s">
        <v>2272</v>
      </c>
      <c r="L4242" s="71" t="s">
        <v>2272</v>
      </c>
      <c r="M4242" s="71" t="s">
        <v>2272</v>
      </c>
      <c r="N4242" s="71" t="s">
        <v>2272</v>
      </c>
      <c r="O4242" s="71" t="s">
        <v>2272</v>
      </c>
      <c r="P4242" s="71" t="s">
        <v>2272</v>
      </c>
      <c r="Q4242" s="71" t="s">
        <v>2272</v>
      </c>
      <c r="R4242" s="71" t="s">
        <v>2272</v>
      </c>
      <c r="S4242" s="71" t="s">
        <v>2272</v>
      </c>
      <c r="T4242" s="71" t="s">
        <v>2272</v>
      </c>
      <c r="U4242" s="71" t="s">
        <v>2272</v>
      </c>
      <c r="V4242" s="71" t="s">
        <v>2272</v>
      </c>
      <c r="W4242" s="71" t="s">
        <v>2272</v>
      </c>
      <c r="X4242" s="71" t="s">
        <v>2272</v>
      </c>
      <c r="Y4242" s="71" t="s">
        <v>2272</v>
      </c>
      <c r="Z4242" s="71" t="s">
        <v>2272</v>
      </c>
      <c r="AA4242" s="71" t="s">
        <v>2272</v>
      </c>
      <c r="AB4242" s="4" t="s">
        <v>10818</v>
      </c>
      <c r="AC4242" s="198"/>
    </row>
    <row r="4243" spans="1:29" ht="49.5" customHeight="1">
      <c r="A4243" s="147" t="str">
        <f>'Reported burning'!A4243</f>
        <v>465a</v>
      </c>
      <c r="B4243" s="147" t="str">
        <f>'Reported burning'!B4243</f>
        <v>465a.7</v>
      </c>
      <c r="C4243" s="147" t="str">
        <f>'Reported burning'!C4243</f>
        <v>Human, deliberate</v>
      </c>
      <c r="D4243" s="147" t="str">
        <f>'Reported burning'!D4243</f>
        <v>ND</v>
      </c>
      <c r="E4243" s="147" t="str">
        <f>'Reported burning'!E4243</f>
        <v>Cattle, Extensive</v>
      </c>
      <c r="F4243" s="147" t="str">
        <f>'Reported burning'!F4243</f>
        <v>ND</v>
      </c>
      <c r="G4243" s="147" t="str">
        <f>'Reported burning'!G4243</f>
        <v>Shrubland (Mixed forest &amp; grassland)</v>
      </c>
      <c r="H4243" s="147" t="str">
        <f>'Reported burning'!H4243</f>
        <v>Presence</v>
      </c>
      <c r="I4243" s="198"/>
      <c r="J4243" s="71" t="s">
        <v>2272</v>
      </c>
      <c r="K4243" s="71" t="s">
        <v>2272</v>
      </c>
      <c r="L4243" s="71" t="s">
        <v>2272</v>
      </c>
      <c r="M4243" s="71" t="s">
        <v>2272</v>
      </c>
      <c r="N4243" s="71" t="s">
        <v>2272</v>
      </c>
      <c r="O4243" s="71" t="s">
        <v>2272</v>
      </c>
      <c r="P4243" s="71" t="s">
        <v>2272</v>
      </c>
      <c r="Q4243" s="71" t="s">
        <v>2272</v>
      </c>
      <c r="R4243" s="71" t="s">
        <v>2272</v>
      </c>
      <c r="S4243" s="71" t="s">
        <v>2272</v>
      </c>
      <c r="T4243" s="71" t="s">
        <v>2272</v>
      </c>
      <c r="U4243" s="71" t="s">
        <v>2272</v>
      </c>
      <c r="V4243" s="71" t="s">
        <v>2272</v>
      </c>
      <c r="W4243" s="71" t="s">
        <v>2272</v>
      </c>
      <c r="X4243" s="71" t="s">
        <v>2272</v>
      </c>
      <c r="Y4243" s="71" t="s">
        <v>2272</v>
      </c>
      <c r="Z4243" s="71" t="s">
        <v>2272</v>
      </c>
      <c r="AA4243" s="71" t="s">
        <v>2272</v>
      </c>
      <c r="AB4243" s="77" t="s">
        <v>10822</v>
      </c>
      <c r="AC4243" s="198"/>
    </row>
    <row r="4244" spans="1:29" ht="64" customHeight="1">
      <c r="A4244" s="147" t="str">
        <f>'Reported burning'!A4244</f>
        <v>466a</v>
      </c>
      <c r="B4244" s="147" t="str">
        <f>'Reported burning'!B4244</f>
        <v>466a.1</v>
      </c>
      <c r="C4244" s="147" t="str">
        <f>'Reported burning'!C4244</f>
        <v>Human, escaped</v>
      </c>
      <c r="D4244" s="147" t="str">
        <f>'Reported burning'!D4244</f>
        <v>All</v>
      </c>
      <c r="E4244" s="147" t="str">
        <f>'Reported burning'!E4244</f>
        <v>All</v>
      </c>
      <c r="F4244" s="147" t="str">
        <f>'Reported burning'!F4244</f>
        <v>All</v>
      </c>
      <c r="G4244" s="147" t="str">
        <f>'Reported burning'!G4244</f>
        <v>Plantation forest</v>
      </c>
      <c r="H4244" s="147" t="str">
        <f>'Reported burning'!H4244</f>
        <v>Presence</v>
      </c>
      <c r="I4244" s="198"/>
      <c r="J4244" s="21" t="s">
        <v>2362</v>
      </c>
      <c r="K4244" s="71" t="s">
        <v>2272</v>
      </c>
      <c r="L4244" s="71" t="s">
        <v>2272</v>
      </c>
      <c r="M4244" s="71" t="s">
        <v>2272</v>
      </c>
      <c r="N4244" s="71" t="s">
        <v>2272</v>
      </c>
      <c r="O4244" s="71" t="s">
        <v>2272</v>
      </c>
      <c r="P4244" s="71" t="s">
        <v>2272</v>
      </c>
      <c r="Q4244" s="71" t="s">
        <v>2272</v>
      </c>
      <c r="R4244" s="71" t="s">
        <v>2272</v>
      </c>
      <c r="S4244" s="21" t="s">
        <v>2358</v>
      </c>
      <c r="T4244" s="71" t="s">
        <v>2272</v>
      </c>
      <c r="U4244" s="71" t="s">
        <v>2272</v>
      </c>
      <c r="V4244" s="71" t="s">
        <v>2272</v>
      </c>
      <c r="W4244" s="71" t="s">
        <v>2272</v>
      </c>
      <c r="X4244" s="71" t="s">
        <v>2272</v>
      </c>
      <c r="Y4244" s="198" t="s">
        <v>84</v>
      </c>
      <c r="Z4244" s="198" t="s">
        <v>67</v>
      </c>
      <c r="AA4244" s="198" t="s">
        <v>75</v>
      </c>
      <c r="AB4244" s="198"/>
      <c r="AC4244" s="4" t="s">
        <v>11603</v>
      </c>
    </row>
    <row r="4245" spans="1:29" ht="44.5" customHeight="1">
      <c r="A4245" s="147" t="str">
        <f>'Reported burning'!A4245</f>
        <v>466a</v>
      </c>
      <c r="B4245" s="147" t="str">
        <f>'Reported burning'!B4245</f>
        <v>466a.2</v>
      </c>
      <c r="C4245" s="147" t="str">
        <f>'Reported burning'!C4245</f>
        <v>Human, escaped</v>
      </c>
      <c r="D4245" s="147" t="str">
        <f>'Reported burning'!D4245</f>
        <v>Domestic</v>
      </c>
      <c r="E4245" s="147" t="str">
        <f>'Reported burning'!E4245</f>
        <v>Pastoralism, Migratory</v>
      </c>
      <c r="F4245" s="147" t="str">
        <f>'Reported burning'!F4245</f>
        <v>ND</v>
      </c>
      <c r="G4245" s="147" t="str">
        <f>'Reported burning'!G4245</f>
        <v>Plantation forest</v>
      </c>
      <c r="H4245" s="147" t="str">
        <f>'Reported burning'!H4245</f>
        <v>Presence</v>
      </c>
      <c r="I4245" s="198"/>
      <c r="J4245" s="71" t="s">
        <v>2272</v>
      </c>
      <c r="K4245" s="71" t="s">
        <v>2272</v>
      </c>
      <c r="L4245" s="71" t="s">
        <v>2272</v>
      </c>
      <c r="M4245" s="71" t="s">
        <v>2272</v>
      </c>
      <c r="N4245" s="71" t="s">
        <v>2272</v>
      </c>
      <c r="O4245" s="71" t="s">
        <v>2272</v>
      </c>
      <c r="P4245" s="71" t="s">
        <v>2272</v>
      </c>
      <c r="Q4245" s="71" t="s">
        <v>2272</v>
      </c>
      <c r="R4245" s="71" t="s">
        <v>2272</v>
      </c>
      <c r="S4245" s="71" t="s">
        <v>2272</v>
      </c>
      <c r="T4245" s="71" t="s">
        <v>2272</v>
      </c>
      <c r="U4245" s="71" t="s">
        <v>2272</v>
      </c>
      <c r="V4245" s="71" t="s">
        <v>2272</v>
      </c>
      <c r="W4245" s="71" t="s">
        <v>2272</v>
      </c>
      <c r="X4245" s="71" t="s">
        <v>2272</v>
      </c>
      <c r="Y4245" s="198" t="s">
        <v>37</v>
      </c>
      <c r="Z4245" s="198" t="s">
        <v>84</v>
      </c>
      <c r="AA4245" s="71" t="s">
        <v>2272</v>
      </c>
      <c r="AB4245" s="198"/>
      <c r="AC4245" s="198"/>
    </row>
    <row r="4246" spans="1:29" ht="44.5" customHeight="1">
      <c r="A4246" s="147" t="str">
        <f>'Reported burning'!A4246</f>
        <v>466a</v>
      </c>
      <c r="B4246" s="147" t="str">
        <f>'Reported burning'!B4246</f>
        <v>466a.3</v>
      </c>
      <c r="C4246" s="147" t="str">
        <f>'Reported burning'!C4246</f>
        <v>Human, escaped</v>
      </c>
      <c r="D4246" s="147" t="str">
        <f>'Reported burning'!D4246</f>
        <v>Crop residue burning</v>
      </c>
      <c r="E4246" s="147" t="str">
        <f>'Reported burning'!E4246</f>
        <v>ND</v>
      </c>
      <c r="F4246" s="147" t="str">
        <f>'Reported burning'!F4246</f>
        <v>ND</v>
      </c>
      <c r="G4246" s="147" t="str">
        <f>'Reported burning'!G4246</f>
        <v>Plantation forest</v>
      </c>
      <c r="H4246" s="147" t="str">
        <f>'Reported burning'!H4246</f>
        <v>Presence</v>
      </c>
      <c r="I4246" s="198"/>
      <c r="J4246" s="71" t="s">
        <v>2272</v>
      </c>
      <c r="K4246" s="71" t="s">
        <v>2272</v>
      </c>
      <c r="L4246" s="71" t="s">
        <v>2272</v>
      </c>
      <c r="M4246" s="71" t="s">
        <v>2272</v>
      </c>
      <c r="N4246" s="71" t="s">
        <v>2272</v>
      </c>
      <c r="O4246" s="71" t="s">
        <v>2272</v>
      </c>
      <c r="P4246" s="71" t="s">
        <v>2272</v>
      </c>
      <c r="Q4246" s="71" t="s">
        <v>2272</v>
      </c>
      <c r="R4246" s="71" t="s">
        <v>2272</v>
      </c>
      <c r="S4246" s="71" t="s">
        <v>2272</v>
      </c>
      <c r="T4246" s="71" t="s">
        <v>2272</v>
      </c>
      <c r="U4246" s="71" t="s">
        <v>2272</v>
      </c>
      <c r="V4246" s="71" t="s">
        <v>2272</v>
      </c>
      <c r="W4246" s="71" t="s">
        <v>2272</v>
      </c>
      <c r="X4246" s="71" t="s">
        <v>2272</v>
      </c>
      <c r="Y4246" s="198" t="s">
        <v>67</v>
      </c>
      <c r="Z4246" s="198" t="s">
        <v>34</v>
      </c>
      <c r="AA4246" s="198" t="s">
        <v>2272</v>
      </c>
      <c r="AB4246" s="198"/>
      <c r="AC4246" s="198"/>
    </row>
    <row r="4247" spans="1:29" ht="44.5" customHeight="1">
      <c r="A4247" s="147" t="str">
        <f>'Reported burning'!A4247</f>
        <v>466a</v>
      </c>
      <c r="B4247" s="147" t="str">
        <f>'Reported burning'!B4247</f>
        <v>466a.4</v>
      </c>
      <c r="C4247" s="147" t="str">
        <f>'Reported burning'!C4247</f>
        <v>Lightning</v>
      </c>
      <c r="D4247" s="147" t="str">
        <f>'Reported burning'!D4247</f>
        <v>ND</v>
      </c>
      <c r="E4247" s="147" t="str">
        <f>'Reported burning'!E4247</f>
        <v>ND</v>
      </c>
      <c r="F4247" s="147" t="str">
        <f>'Reported burning'!F4247</f>
        <v>ND</v>
      </c>
      <c r="G4247" s="147" t="str">
        <f>'Reported burning'!G4247</f>
        <v>Plantation forest</v>
      </c>
      <c r="H4247" s="147" t="str">
        <f>'Reported burning'!H4247</f>
        <v>Presence</v>
      </c>
      <c r="I4247" s="198"/>
      <c r="J4247" s="21" t="s">
        <v>2361</v>
      </c>
      <c r="K4247" s="71" t="s">
        <v>2272</v>
      </c>
      <c r="L4247" s="71" t="s">
        <v>2272</v>
      </c>
      <c r="M4247" s="71" t="s">
        <v>2272</v>
      </c>
      <c r="N4247" s="71" t="s">
        <v>2272</v>
      </c>
      <c r="O4247" s="71" t="s">
        <v>2272</v>
      </c>
      <c r="P4247" s="71" t="s">
        <v>2272</v>
      </c>
      <c r="Q4247" s="71" t="s">
        <v>2272</v>
      </c>
      <c r="R4247" s="71" t="s">
        <v>2272</v>
      </c>
      <c r="S4247" s="71" t="s">
        <v>2272</v>
      </c>
      <c r="T4247" s="71" t="s">
        <v>2272</v>
      </c>
      <c r="U4247" s="71" t="s">
        <v>2272</v>
      </c>
      <c r="V4247" s="71" t="s">
        <v>2272</v>
      </c>
      <c r="W4247" s="71" t="s">
        <v>2272</v>
      </c>
      <c r="X4247" s="71" t="s">
        <v>2272</v>
      </c>
      <c r="Y4247" s="71" t="s">
        <v>2272</v>
      </c>
      <c r="Z4247" s="71" t="s">
        <v>2272</v>
      </c>
      <c r="AA4247" s="71" t="s">
        <v>2272</v>
      </c>
      <c r="AB4247" s="198"/>
      <c r="AC4247" s="198"/>
    </row>
    <row r="4248" spans="1:29" ht="43.5" customHeight="1">
      <c r="A4248" s="151" t="str">
        <f>'Reported burning'!A4248</f>
        <v>466a</v>
      </c>
      <c r="B4248" s="151" t="str">
        <f>'Reported burning'!B4248</f>
        <v>466a.5</v>
      </c>
      <c r="C4248" s="151" t="str">
        <f>'Reported burning'!C4248</f>
        <v>Human, deliberate</v>
      </c>
      <c r="D4248" s="151" t="str">
        <f>'Reported burning'!D4248</f>
        <v>Arson</v>
      </c>
      <c r="E4248" s="151" t="str">
        <f>'Reported burning'!E4248</f>
        <v>ND</v>
      </c>
      <c r="F4248" s="151" t="str">
        <f>'Reported burning'!F4248</f>
        <v>ND</v>
      </c>
      <c r="G4248" s="151" t="str">
        <f>'Reported burning'!G4248</f>
        <v>Plantation forest</v>
      </c>
      <c r="H4248" s="151" t="str">
        <f>'Reported burning'!H4248</f>
        <v>Presence</v>
      </c>
      <c r="I4248" s="198"/>
      <c r="J4248" s="71" t="s">
        <v>2272</v>
      </c>
      <c r="K4248" s="71" t="s">
        <v>2272</v>
      </c>
      <c r="L4248" s="71" t="s">
        <v>2272</v>
      </c>
      <c r="M4248" s="71" t="s">
        <v>2272</v>
      </c>
      <c r="N4248" s="71" t="s">
        <v>2272</v>
      </c>
      <c r="O4248" s="71" t="s">
        <v>2272</v>
      </c>
      <c r="P4248" s="71" t="s">
        <v>2272</v>
      </c>
      <c r="Q4248" s="71" t="s">
        <v>2272</v>
      </c>
      <c r="R4248" s="71" t="s">
        <v>2272</v>
      </c>
      <c r="S4248" s="71" t="s">
        <v>2272</v>
      </c>
      <c r="T4248" s="71" t="s">
        <v>2272</v>
      </c>
      <c r="U4248" s="71" t="s">
        <v>2272</v>
      </c>
      <c r="V4248" s="71" t="s">
        <v>2272</v>
      </c>
      <c r="W4248" s="71" t="s">
        <v>2272</v>
      </c>
      <c r="X4248" s="71" t="s">
        <v>2272</v>
      </c>
      <c r="Y4248" s="71" t="s">
        <v>2272</v>
      </c>
      <c r="Z4248" s="71" t="s">
        <v>2272</v>
      </c>
      <c r="AA4248" s="71" t="s">
        <v>2272</v>
      </c>
      <c r="AB4248" s="198"/>
      <c r="AC4248" s="198"/>
    </row>
    <row r="4249" spans="1:29" ht="43.5" customHeight="1">
      <c r="A4249" s="147" t="str">
        <f>'Reported burning'!A4249</f>
        <v>466a</v>
      </c>
      <c r="B4249" s="147" t="str">
        <f>'Reported burning'!B4249</f>
        <v>466a.6</v>
      </c>
      <c r="C4249" s="147" t="str">
        <f>'Reported burning'!C4249</f>
        <v>Human, deliberate</v>
      </c>
      <c r="D4249" s="147" t="str">
        <f>'Reported burning'!D4249</f>
        <v>Hunting</v>
      </c>
      <c r="E4249" s="147" t="str">
        <f>'Reported burning'!E4249</f>
        <v>Forestry, Traditional</v>
      </c>
      <c r="F4249" s="147" t="str">
        <f>'Reported burning'!F4249</f>
        <v>ND</v>
      </c>
      <c r="G4249" s="147" t="str">
        <f>'Reported burning'!G4249</f>
        <v>Plantation forest</v>
      </c>
      <c r="H4249" s="147" t="str">
        <f>'Reported burning'!H4249</f>
        <v>Presence</v>
      </c>
      <c r="I4249" s="198"/>
      <c r="J4249" s="225" t="s">
        <v>2272</v>
      </c>
      <c r="K4249" s="71" t="s">
        <v>2272</v>
      </c>
      <c r="L4249" s="71" t="s">
        <v>2272</v>
      </c>
      <c r="M4249" s="71" t="s">
        <v>2272</v>
      </c>
      <c r="N4249" s="71" t="s">
        <v>2272</v>
      </c>
      <c r="O4249" s="71" t="s">
        <v>2272</v>
      </c>
      <c r="P4249" s="71" t="s">
        <v>2272</v>
      </c>
      <c r="Q4249" s="71" t="s">
        <v>2272</v>
      </c>
      <c r="R4249" s="71" t="s">
        <v>2272</v>
      </c>
      <c r="S4249" s="71" t="s">
        <v>2272</v>
      </c>
      <c r="T4249" s="71" t="s">
        <v>2272</v>
      </c>
      <c r="U4249" s="71" t="s">
        <v>2272</v>
      </c>
      <c r="V4249" s="71" t="s">
        <v>2272</v>
      </c>
      <c r="W4249" s="71" t="s">
        <v>2272</v>
      </c>
      <c r="X4249" s="71" t="s">
        <v>2272</v>
      </c>
      <c r="Y4249" s="71" t="s">
        <v>2272</v>
      </c>
      <c r="Z4249" s="71" t="s">
        <v>2272</v>
      </c>
      <c r="AA4249" s="71" t="s">
        <v>2272</v>
      </c>
      <c r="AB4249" s="198"/>
      <c r="AC4249" s="198"/>
    </row>
    <row r="4250" spans="1:29" ht="43.5" customHeight="1">
      <c r="A4250" s="147" t="str">
        <f>'Reported burning'!A4250</f>
        <v>466a</v>
      </c>
      <c r="B4250" s="147" t="str">
        <f>'Reported burning'!B4250</f>
        <v>466a.7</v>
      </c>
      <c r="C4250" s="147" t="str">
        <f>'Reported burning'!C4250</f>
        <v>Human, escaped</v>
      </c>
      <c r="D4250" s="147" t="str">
        <f>'Reported burning'!D4250</f>
        <v>Domestic</v>
      </c>
      <c r="E4250" s="147" t="str">
        <f>'Reported burning'!E4250</f>
        <v>Tourism manager</v>
      </c>
      <c r="F4250" s="147" t="str">
        <f>'Reported burning'!F4250</f>
        <v>ND</v>
      </c>
      <c r="G4250" s="147" t="str">
        <f>'Reported burning'!G4250</f>
        <v>Plantation forest</v>
      </c>
      <c r="H4250" s="147" t="str">
        <f>'Reported burning'!H4250</f>
        <v>Presence</v>
      </c>
      <c r="I4250" s="198"/>
      <c r="J4250" s="225" t="s">
        <v>2272</v>
      </c>
      <c r="K4250" s="71" t="s">
        <v>2272</v>
      </c>
      <c r="L4250" s="71" t="s">
        <v>2272</v>
      </c>
      <c r="M4250" s="71" t="s">
        <v>2272</v>
      </c>
      <c r="N4250" s="71" t="s">
        <v>2272</v>
      </c>
      <c r="O4250" s="71" t="s">
        <v>2272</v>
      </c>
      <c r="P4250" s="71" t="s">
        <v>2272</v>
      </c>
      <c r="Q4250" s="71" t="s">
        <v>2272</v>
      </c>
      <c r="R4250" s="71" t="s">
        <v>2272</v>
      </c>
      <c r="S4250" s="71" t="s">
        <v>2272</v>
      </c>
      <c r="T4250" s="71" t="s">
        <v>2272</v>
      </c>
      <c r="U4250" s="71" t="s">
        <v>2272</v>
      </c>
      <c r="V4250" s="71" t="s">
        <v>2272</v>
      </c>
      <c r="W4250" s="71" t="s">
        <v>2272</v>
      </c>
      <c r="X4250" s="71" t="s">
        <v>2272</v>
      </c>
      <c r="Y4250" s="71" t="s">
        <v>2272</v>
      </c>
      <c r="Z4250" s="71" t="s">
        <v>2272</v>
      </c>
      <c r="AA4250" s="71" t="s">
        <v>2272</v>
      </c>
      <c r="AB4250" s="198"/>
      <c r="AC4250" s="198"/>
    </row>
    <row r="4251" spans="1:29" ht="43.5" customHeight="1">
      <c r="A4251" s="147" t="str">
        <f>'Reported burning'!A4251</f>
        <v>466a</v>
      </c>
      <c r="B4251" s="147" t="str">
        <f>'Reported burning'!B4251</f>
        <v>466a.8</v>
      </c>
      <c r="C4251" s="147" t="str">
        <f>'Reported burning'!C4251</f>
        <v>Human, accidental</v>
      </c>
      <c r="D4251" s="147" t="str">
        <f>'Reported burning'!D4251</f>
        <v>Accidental</v>
      </c>
      <c r="E4251" s="147" t="str">
        <f>'Reported burning'!E4251</f>
        <v>Urban planner</v>
      </c>
      <c r="F4251" s="147" t="str">
        <f>'Reported burning'!F4251</f>
        <v>ND</v>
      </c>
      <c r="G4251" s="147" t="str">
        <f>'Reported burning'!G4251</f>
        <v>Plantation forest</v>
      </c>
      <c r="H4251" s="147" t="str">
        <f>'Reported burning'!H4251</f>
        <v>Presence</v>
      </c>
      <c r="I4251" s="198"/>
      <c r="J4251" s="225" t="s">
        <v>2272</v>
      </c>
      <c r="K4251" s="71" t="s">
        <v>2272</v>
      </c>
      <c r="L4251" s="71" t="s">
        <v>2272</v>
      </c>
      <c r="M4251" s="71" t="s">
        <v>2272</v>
      </c>
      <c r="N4251" s="71" t="s">
        <v>2272</v>
      </c>
      <c r="O4251" s="71" t="s">
        <v>2272</v>
      </c>
      <c r="P4251" s="71" t="s">
        <v>2272</v>
      </c>
      <c r="Q4251" s="71" t="s">
        <v>2272</v>
      </c>
      <c r="R4251" s="71" t="s">
        <v>2272</v>
      </c>
      <c r="S4251" s="71" t="s">
        <v>2272</v>
      </c>
      <c r="T4251" s="71" t="s">
        <v>2272</v>
      </c>
      <c r="U4251" s="71" t="s">
        <v>2272</v>
      </c>
      <c r="V4251" s="71" t="s">
        <v>2272</v>
      </c>
      <c r="W4251" s="71" t="s">
        <v>2272</v>
      </c>
      <c r="X4251" s="71" t="s">
        <v>2272</v>
      </c>
      <c r="Y4251" s="71" t="s">
        <v>2272</v>
      </c>
      <c r="Z4251" s="71" t="s">
        <v>2272</v>
      </c>
      <c r="AA4251" s="71" t="s">
        <v>2272</v>
      </c>
      <c r="AB4251" s="198"/>
      <c r="AC4251" s="198"/>
    </row>
    <row r="4252" spans="1:29" ht="43.5" customHeight="1">
      <c r="A4252" s="147" t="str">
        <f>'Reported burning'!A4252</f>
        <v>468a</v>
      </c>
      <c r="B4252" s="147" t="str">
        <f>'Reported burning'!B4252</f>
        <v>468a.1</v>
      </c>
      <c r="C4252" s="147" t="str">
        <f>'Reported burning'!C4252</f>
        <v>Human, accidental</v>
      </c>
      <c r="D4252" s="147" t="str">
        <f>'Reported burning'!D4252</f>
        <v>Accidental</v>
      </c>
      <c r="E4252" s="147" t="str">
        <f>'Reported burning'!E4252</f>
        <v>Tourism manager</v>
      </c>
      <c r="F4252" s="147" t="str">
        <f>'Reported burning'!F4252</f>
        <v>ND</v>
      </c>
      <c r="G4252" s="147" t="str">
        <f>'Reported burning'!G4252</f>
        <v>Forest</v>
      </c>
      <c r="H4252" s="147" t="str">
        <f>'Reported burning'!H4252</f>
        <v>Presence</v>
      </c>
      <c r="I4252" s="198"/>
      <c r="J4252" s="225" t="s">
        <v>2272</v>
      </c>
      <c r="K4252" s="71" t="s">
        <v>2272</v>
      </c>
      <c r="L4252" s="71" t="s">
        <v>2272</v>
      </c>
      <c r="M4252" s="71" t="s">
        <v>2272</v>
      </c>
      <c r="N4252" s="71" t="s">
        <v>2272</v>
      </c>
      <c r="O4252" s="71" t="s">
        <v>2272</v>
      </c>
      <c r="P4252" s="71" t="s">
        <v>2272</v>
      </c>
      <c r="Q4252" s="71" t="s">
        <v>2272</v>
      </c>
      <c r="R4252" s="71" t="s">
        <v>2272</v>
      </c>
      <c r="S4252" s="71" t="s">
        <v>2272</v>
      </c>
      <c r="T4252" s="71" t="s">
        <v>2272</v>
      </c>
      <c r="U4252" s="71" t="s">
        <v>2272</v>
      </c>
      <c r="V4252" s="71" t="s">
        <v>2272</v>
      </c>
      <c r="W4252" s="71" t="s">
        <v>2272</v>
      </c>
      <c r="X4252" s="71" t="s">
        <v>2272</v>
      </c>
      <c r="Y4252" s="198" t="s">
        <v>187</v>
      </c>
      <c r="Z4252" s="198" t="s">
        <v>84</v>
      </c>
      <c r="AA4252" s="71" t="s">
        <v>2272</v>
      </c>
      <c r="AB4252" s="77" t="s">
        <v>10855</v>
      </c>
      <c r="AC4252" s="198"/>
    </row>
    <row r="4253" spans="1:29" ht="46" customHeight="1">
      <c r="A4253" s="147" t="str">
        <f>'Reported burning'!A4253</f>
        <v>468a</v>
      </c>
      <c r="B4253" s="147" t="str">
        <f>'Reported burning'!B4253</f>
        <v>468a.2</v>
      </c>
      <c r="C4253" s="147" t="str">
        <f>'Reported burning'!C4253</f>
        <v>Human, accidental</v>
      </c>
      <c r="D4253" s="147" t="str">
        <f>'Reported burning'!D4253</f>
        <v>Accidental</v>
      </c>
      <c r="E4253" s="147" t="str">
        <f>'Reported burning'!E4253</f>
        <v>Urban planner</v>
      </c>
      <c r="F4253" s="147" t="str">
        <f>'Reported burning'!F4253</f>
        <v>ND</v>
      </c>
      <c r="G4253" s="147" t="str">
        <f>'Reported burning'!G4253</f>
        <v>Forest</v>
      </c>
      <c r="H4253" s="147" t="str">
        <f>'Reported burning'!H4253</f>
        <v>Presence</v>
      </c>
      <c r="I4253" s="198"/>
      <c r="J4253" s="225" t="s">
        <v>2272</v>
      </c>
      <c r="K4253" s="71" t="s">
        <v>2272</v>
      </c>
      <c r="L4253" s="71" t="s">
        <v>2272</v>
      </c>
      <c r="M4253" s="71" t="s">
        <v>2272</v>
      </c>
      <c r="N4253" s="71" t="s">
        <v>2272</v>
      </c>
      <c r="O4253" s="71" t="s">
        <v>2272</v>
      </c>
      <c r="P4253" s="71" t="s">
        <v>2272</v>
      </c>
      <c r="Q4253" s="71" t="s">
        <v>2272</v>
      </c>
      <c r="R4253" s="71" t="s">
        <v>2272</v>
      </c>
      <c r="S4253" s="71" t="s">
        <v>2272</v>
      </c>
      <c r="T4253" s="71" t="s">
        <v>2272</v>
      </c>
      <c r="U4253" s="71" t="s">
        <v>2272</v>
      </c>
      <c r="V4253" s="71" t="s">
        <v>2272</v>
      </c>
      <c r="W4253" s="71" t="s">
        <v>2272</v>
      </c>
      <c r="X4253" s="71" t="s">
        <v>2272</v>
      </c>
      <c r="Y4253" s="198" t="s">
        <v>187</v>
      </c>
      <c r="Z4253" s="198" t="s">
        <v>84</v>
      </c>
      <c r="AA4253" s="71" t="s">
        <v>2272</v>
      </c>
      <c r="AB4253" s="77" t="s">
        <v>10856</v>
      </c>
      <c r="AC4253" s="198"/>
    </row>
    <row r="4254" spans="1:29" ht="46" customHeight="1">
      <c r="A4254" s="147" t="str">
        <f>'Reported burning'!A4254</f>
        <v>468a</v>
      </c>
      <c r="B4254" s="147" t="str">
        <f>'Reported burning'!B4254</f>
        <v>468a.3</v>
      </c>
      <c r="C4254" s="147" t="str">
        <f>'Reported burning'!C4254</f>
        <v>Human, accidental</v>
      </c>
      <c r="D4254" s="147" t="str">
        <f>'Reported burning'!D4254</f>
        <v>Accidental</v>
      </c>
      <c r="E4254" s="147" t="str">
        <f>'Reported burning'!E4254</f>
        <v>Forestry, Industrial</v>
      </c>
      <c r="F4254" s="147" t="str">
        <f>'Reported burning'!F4254</f>
        <v>ND</v>
      </c>
      <c r="G4254" s="147" t="str">
        <f>'Reported burning'!G4254</f>
        <v>Forest</v>
      </c>
      <c r="H4254" s="147" t="str">
        <f>'Reported burning'!H4254</f>
        <v>Presence</v>
      </c>
      <c r="I4254" s="198"/>
      <c r="J4254" s="225" t="s">
        <v>2272</v>
      </c>
      <c r="K4254" s="71" t="s">
        <v>2272</v>
      </c>
      <c r="L4254" s="71" t="s">
        <v>2272</v>
      </c>
      <c r="M4254" s="71" t="s">
        <v>2272</v>
      </c>
      <c r="N4254" s="71" t="s">
        <v>2272</v>
      </c>
      <c r="O4254" s="71" t="s">
        <v>2272</v>
      </c>
      <c r="P4254" s="71" t="s">
        <v>2272</v>
      </c>
      <c r="Q4254" s="71" t="s">
        <v>2272</v>
      </c>
      <c r="R4254" s="71" t="s">
        <v>2272</v>
      </c>
      <c r="S4254" s="71" t="s">
        <v>2272</v>
      </c>
      <c r="T4254" s="71" t="s">
        <v>2272</v>
      </c>
      <c r="U4254" s="71" t="s">
        <v>2272</v>
      </c>
      <c r="V4254" s="71" t="s">
        <v>2272</v>
      </c>
      <c r="W4254" s="71" t="s">
        <v>2272</v>
      </c>
      <c r="X4254" s="71" t="s">
        <v>2272</v>
      </c>
      <c r="Y4254" s="198" t="s">
        <v>187</v>
      </c>
      <c r="Z4254" s="198" t="s">
        <v>84</v>
      </c>
      <c r="AA4254" s="71" t="s">
        <v>2272</v>
      </c>
      <c r="AB4254" s="77" t="s">
        <v>10855</v>
      </c>
      <c r="AC4254" s="198"/>
    </row>
    <row r="4255" spans="1:29" ht="46" customHeight="1">
      <c r="A4255" s="147" t="str">
        <f>'Reported burning'!A4255</f>
        <v>469a</v>
      </c>
      <c r="B4255" s="147" t="str">
        <f>'Reported burning'!B4255</f>
        <v>469a.1</v>
      </c>
      <c r="C4255" s="147" t="str">
        <f>'Reported burning'!C4255</f>
        <v>Human, deliberate</v>
      </c>
      <c r="D4255" s="147" t="str">
        <f>'Reported burning'!D4255</f>
        <v>Conservation</v>
      </c>
      <c r="E4255" s="147" t="str">
        <f>'Reported burning'!E4255</f>
        <v>Biodiversity conservation</v>
      </c>
      <c r="F4255" s="147" t="str">
        <f>'Reported burning'!F4255</f>
        <v>Shrubland (Mixed forest &amp; grassland)</v>
      </c>
      <c r="G4255" s="147" t="str">
        <f>'Reported burning'!G4255</f>
        <v>Shrubland (Mixed forest &amp; grassland)</v>
      </c>
      <c r="H4255" s="147" t="str">
        <f>'Reported burning'!H4255</f>
        <v>Presence</v>
      </c>
      <c r="I4255" s="198"/>
      <c r="J4255" s="225" t="s">
        <v>2272</v>
      </c>
      <c r="K4255" s="71" t="s">
        <v>2272</v>
      </c>
      <c r="L4255" s="71" t="s">
        <v>2272</v>
      </c>
      <c r="M4255" s="71" t="s">
        <v>2272</v>
      </c>
      <c r="N4255" s="71" t="s">
        <v>2272</v>
      </c>
      <c r="O4255" s="71" t="s">
        <v>2272</v>
      </c>
      <c r="P4255" s="71" t="s">
        <v>2272</v>
      </c>
      <c r="Q4255" s="71" t="s">
        <v>2272</v>
      </c>
      <c r="R4255" s="71" t="s">
        <v>2272</v>
      </c>
      <c r="S4255" s="71" t="s">
        <v>2272</v>
      </c>
      <c r="T4255" s="71" t="s">
        <v>2272</v>
      </c>
      <c r="U4255" s="71" t="s">
        <v>2272</v>
      </c>
      <c r="V4255" s="71" t="s">
        <v>2272</v>
      </c>
      <c r="W4255" s="71" t="s">
        <v>2272</v>
      </c>
      <c r="X4255" s="71" t="s">
        <v>2272</v>
      </c>
      <c r="Y4255" s="71" t="s">
        <v>2272</v>
      </c>
      <c r="Z4255" s="71" t="s">
        <v>2272</v>
      </c>
      <c r="AA4255" s="71" t="s">
        <v>2272</v>
      </c>
      <c r="AB4255" s="198"/>
      <c r="AC4255" s="198"/>
    </row>
    <row r="4256" spans="1:29" ht="46" customHeight="1">
      <c r="A4256" s="209" t="str">
        <f>'Reported burning'!A4256</f>
        <v>470a</v>
      </c>
      <c r="B4256" s="209" t="str">
        <f>'Reported burning'!B4256</f>
        <v>470a.1</v>
      </c>
      <c r="C4256" s="209" t="str">
        <f>'Reported burning'!C4256</f>
        <v>Human, deliberate</v>
      </c>
      <c r="D4256" s="209" t="str">
        <f>'Reported burning'!D4256</f>
        <v>Crop residue burning</v>
      </c>
      <c r="E4256" s="209" t="str">
        <f>'Reported burning'!E4256</f>
        <v>ND</v>
      </c>
      <c r="F4256" s="209" t="str">
        <f>'Reported burning'!F4256</f>
        <v>Cropland</v>
      </c>
      <c r="G4256" s="209" t="str">
        <f>'Reported burning'!G4256</f>
        <v>Cropland</v>
      </c>
      <c r="H4256" s="209" t="str">
        <f>'Reported burning'!H4256</f>
        <v>Presence</v>
      </c>
      <c r="I4256" s="11"/>
      <c r="J4256" s="225" t="s">
        <v>2272</v>
      </c>
      <c r="K4256" s="71" t="s">
        <v>2272</v>
      </c>
      <c r="L4256" s="225" t="s">
        <v>2272</v>
      </c>
      <c r="M4256" s="225" t="s">
        <v>2272</v>
      </c>
      <c r="N4256" s="225" t="s">
        <v>2272</v>
      </c>
      <c r="O4256" s="225" t="s">
        <v>2272</v>
      </c>
      <c r="P4256" s="225" t="s">
        <v>2272</v>
      </c>
      <c r="Q4256" s="225" t="s">
        <v>2272</v>
      </c>
      <c r="R4256" s="225" t="s">
        <v>2272</v>
      </c>
      <c r="S4256" s="225" t="s">
        <v>2272</v>
      </c>
      <c r="T4256" s="225" t="s">
        <v>2272</v>
      </c>
      <c r="U4256" s="225" t="s">
        <v>2272</v>
      </c>
      <c r="V4256" s="225" t="s">
        <v>2272</v>
      </c>
      <c r="W4256" s="225" t="s">
        <v>2272</v>
      </c>
      <c r="X4256" s="225" t="s">
        <v>2272</v>
      </c>
      <c r="Y4256" s="11" t="s">
        <v>187</v>
      </c>
      <c r="Z4256" s="11" t="s">
        <v>84</v>
      </c>
      <c r="AA4256" s="71" t="s">
        <v>2272</v>
      </c>
      <c r="AB4256" s="19" t="s">
        <v>10953</v>
      </c>
      <c r="AC4256" s="11"/>
    </row>
    <row r="4257" spans="1:29" s="236" customFormat="1" ht="42.5" customHeight="1">
      <c r="A4257" s="209" t="str">
        <f>'Reported burning'!A4257</f>
        <v>470a</v>
      </c>
      <c r="B4257" s="209" t="str">
        <f>'Reported burning'!B4257</f>
        <v>470a.2</v>
      </c>
      <c r="C4257" s="209" t="str">
        <f>'Reported burning'!C4257</f>
        <v>Human, escaped</v>
      </c>
      <c r="D4257" s="209" t="str">
        <f>'Reported burning'!D4257</f>
        <v>Crop residue burning</v>
      </c>
      <c r="E4257" s="209" t="str">
        <f>'Reported burning'!E4257</f>
        <v>ND</v>
      </c>
      <c r="F4257" s="209" t="str">
        <f>'Reported burning'!F4257</f>
        <v>Cropland</v>
      </c>
      <c r="G4257" s="209" t="str">
        <f>'Reported burning'!G4257</f>
        <v>Forest</v>
      </c>
      <c r="H4257" s="209" t="str">
        <f>'Reported burning'!H4257</f>
        <v>Presence</v>
      </c>
      <c r="I4257" s="11"/>
      <c r="J4257" s="225" t="s">
        <v>2272</v>
      </c>
      <c r="K4257" s="71" t="s">
        <v>2272</v>
      </c>
      <c r="L4257" s="225" t="s">
        <v>2272</v>
      </c>
      <c r="M4257" s="225" t="s">
        <v>2272</v>
      </c>
      <c r="N4257" s="225" t="s">
        <v>2272</v>
      </c>
      <c r="O4257" s="225" t="s">
        <v>2272</v>
      </c>
      <c r="P4257" s="225" t="s">
        <v>2272</v>
      </c>
      <c r="Q4257" s="225" t="s">
        <v>2272</v>
      </c>
      <c r="R4257" s="225" t="s">
        <v>2272</v>
      </c>
      <c r="S4257" s="225" t="s">
        <v>2272</v>
      </c>
      <c r="T4257" s="225" t="s">
        <v>2272</v>
      </c>
      <c r="U4257" s="225" t="s">
        <v>2272</v>
      </c>
      <c r="V4257" s="225" t="s">
        <v>2272</v>
      </c>
      <c r="W4257" s="225" t="s">
        <v>2272</v>
      </c>
      <c r="X4257" s="225" t="s">
        <v>2272</v>
      </c>
      <c r="Y4257" s="11" t="s">
        <v>187</v>
      </c>
      <c r="Z4257" s="11" t="s">
        <v>84</v>
      </c>
      <c r="AA4257" s="71" t="s">
        <v>2272</v>
      </c>
      <c r="AB4257" s="19" t="s">
        <v>10953</v>
      </c>
      <c r="AC4257" s="11"/>
    </row>
    <row r="4258" spans="1:29" s="236" customFormat="1" ht="42.5" customHeight="1">
      <c r="A4258" s="209" t="str">
        <f>'Reported burning'!A4258</f>
        <v>470a</v>
      </c>
      <c r="B4258" s="209" t="str">
        <f>'Reported burning'!B4258</f>
        <v>470a.3</v>
      </c>
      <c r="C4258" s="209" t="str">
        <f>'Reported burning'!C4258</f>
        <v>Human, deliberate</v>
      </c>
      <c r="D4258" s="209" t="str">
        <f>'Reported burning'!D4258</f>
        <v>Pyrome management</v>
      </c>
      <c r="E4258" s="209" t="str">
        <f>'Reported burning'!E4258</f>
        <v>Forestry, Industrial</v>
      </c>
      <c r="F4258" s="209" t="str">
        <f>'Reported burning'!F4258</f>
        <v>ND</v>
      </c>
      <c r="G4258" s="209" t="str">
        <f>'Reported burning'!G4258</f>
        <v>Forest</v>
      </c>
      <c r="H4258" s="209" t="str">
        <f>'Reported burning'!H4258</f>
        <v>Absence</v>
      </c>
      <c r="I4258" s="11"/>
      <c r="J4258" s="21">
        <v>0</v>
      </c>
      <c r="K4258" s="21">
        <v>0</v>
      </c>
      <c r="L4258" s="21">
        <v>0</v>
      </c>
      <c r="M4258" s="21">
        <v>0</v>
      </c>
      <c r="N4258" s="21">
        <v>0</v>
      </c>
      <c r="O4258" s="21">
        <v>0</v>
      </c>
      <c r="P4258" s="21">
        <v>0</v>
      </c>
      <c r="Q4258" s="21">
        <v>0</v>
      </c>
      <c r="R4258" s="21">
        <v>0</v>
      </c>
      <c r="S4258" s="21">
        <v>0</v>
      </c>
      <c r="T4258" s="21">
        <v>0</v>
      </c>
      <c r="U4258" s="21">
        <v>0</v>
      </c>
      <c r="V4258" s="21">
        <v>0</v>
      </c>
      <c r="W4258" s="21">
        <v>0</v>
      </c>
      <c r="X4258" s="71" t="s">
        <v>2272</v>
      </c>
      <c r="Y4258" s="71" t="s">
        <v>2272</v>
      </c>
      <c r="Z4258" s="71" t="s">
        <v>2272</v>
      </c>
      <c r="AA4258" s="71" t="s">
        <v>2272</v>
      </c>
      <c r="AB4258" s="19"/>
      <c r="AC4258" s="11"/>
    </row>
    <row r="4259" spans="1:29" s="236" customFormat="1" ht="42.5" customHeight="1">
      <c r="A4259" s="209" t="str">
        <f>'Reported burning'!A4259</f>
        <v>470a</v>
      </c>
      <c r="B4259" s="209" t="str">
        <f>'Reported burning'!B4259</f>
        <v>470a.4</v>
      </c>
      <c r="C4259" s="209" t="str">
        <f>'Reported burning'!C4259</f>
        <v>Human, deliberate</v>
      </c>
      <c r="D4259" s="209" t="str">
        <f>'Reported burning'!D4259</f>
        <v>Forest management</v>
      </c>
      <c r="E4259" s="209" t="str">
        <f>'Reported burning'!E4259</f>
        <v>Forestry, Industrial</v>
      </c>
      <c r="F4259" s="209" t="str">
        <f>'Reported burning'!F4259</f>
        <v>ND</v>
      </c>
      <c r="G4259" s="209" t="str">
        <f>'Reported burning'!G4259</f>
        <v>Forest</v>
      </c>
      <c r="H4259" s="209" t="str">
        <f>'Reported burning'!H4259</f>
        <v>Absence</v>
      </c>
      <c r="I4259" s="11"/>
      <c r="J4259" s="21">
        <v>0</v>
      </c>
      <c r="K4259" s="21">
        <v>0</v>
      </c>
      <c r="L4259" s="21">
        <v>0</v>
      </c>
      <c r="M4259" s="21">
        <v>0</v>
      </c>
      <c r="N4259" s="21">
        <v>0</v>
      </c>
      <c r="O4259" s="21">
        <v>0</v>
      </c>
      <c r="P4259" s="21">
        <v>0</v>
      </c>
      <c r="Q4259" s="21">
        <v>0</v>
      </c>
      <c r="R4259" s="21">
        <v>0</v>
      </c>
      <c r="S4259" s="21">
        <v>0</v>
      </c>
      <c r="T4259" s="21">
        <v>0</v>
      </c>
      <c r="U4259" s="21">
        <v>0</v>
      </c>
      <c r="V4259" s="21">
        <v>0</v>
      </c>
      <c r="W4259" s="21">
        <v>0</v>
      </c>
      <c r="X4259" s="71" t="s">
        <v>2272</v>
      </c>
      <c r="Y4259" s="71" t="s">
        <v>2272</v>
      </c>
      <c r="Z4259" s="71" t="s">
        <v>2272</v>
      </c>
      <c r="AA4259" s="71" t="s">
        <v>2272</v>
      </c>
      <c r="AB4259" s="19"/>
      <c r="AC4259" s="11"/>
    </row>
    <row r="4260" spans="1:29" s="236" customFormat="1" ht="42.5" customHeight="1">
      <c r="A4260" s="209" t="str">
        <f>'Reported burning'!A4260</f>
        <v>470a</v>
      </c>
      <c r="B4260" s="209" t="str">
        <f>'Reported burning'!B4260</f>
        <v>470a.5</v>
      </c>
      <c r="C4260" s="209" t="str">
        <f>'Reported burning'!C4260</f>
        <v>All</v>
      </c>
      <c r="D4260" s="209" t="str">
        <f>'Reported burning'!D4260</f>
        <v>ND</v>
      </c>
      <c r="E4260" s="209" t="str">
        <f>'Reported burning'!E4260</f>
        <v>ND</v>
      </c>
      <c r="F4260" s="209" t="str">
        <f>'Reported burning'!F4260</f>
        <v>ND</v>
      </c>
      <c r="G4260" s="209" t="str">
        <f>'Reported burning'!G4260</f>
        <v>ND</v>
      </c>
      <c r="H4260" s="209" t="str">
        <f>'Reported burning'!H4260</f>
        <v>Presence</v>
      </c>
      <c r="I4260" s="11"/>
      <c r="J4260" s="225" t="s">
        <v>2272</v>
      </c>
      <c r="K4260" s="225" t="s">
        <v>2272</v>
      </c>
      <c r="L4260" s="225" t="s">
        <v>2272</v>
      </c>
      <c r="M4260" s="225" t="s">
        <v>2272</v>
      </c>
      <c r="N4260" s="225" t="s">
        <v>2272</v>
      </c>
      <c r="O4260" s="225" t="s">
        <v>2272</v>
      </c>
      <c r="P4260" s="225" t="s">
        <v>2272</v>
      </c>
      <c r="Q4260" s="225" t="s">
        <v>2272</v>
      </c>
      <c r="R4260" s="225" t="s">
        <v>2272</v>
      </c>
      <c r="S4260" s="225" t="s">
        <v>2272</v>
      </c>
      <c r="T4260" s="225" t="s">
        <v>2272</v>
      </c>
      <c r="U4260" s="225" t="s">
        <v>2272</v>
      </c>
      <c r="V4260" s="225" t="s">
        <v>2272</v>
      </c>
      <c r="W4260" s="225" t="s">
        <v>2272</v>
      </c>
      <c r="X4260" s="225" t="s">
        <v>2272</v>
      </c>
      <c r="Y4260" s="225" t="s">
        <v>2272</v>
      </c>
      <c r="Z4260" s="225" t="s">
        <v>2272</v>
      </c>
      <c r="AA4260" s="225" t="s">
        <v>2272</v>
      </c>
      <c r="AB4260" s="19"/>
      <c r="AC4260" s="11"/>
    </row>
    <row r="4261" spans="1:29" s="236" customFormat="1" ht="42.5" customHeight="1">
      <c r="A4261" s="209" t="str">
        <f>'Reported burning'!A4261</f>
        <v>470c</v>
      </c>
      <c r="B4261" s="209" t="str">
        <f>'Reported burning'!B4261</f>
        <v>470c.1</v>
      </c>
      <c r="C4261" s="209" t="str">
        <f>'Reported burning'!C4261</f>
        <v>Human, deliberate</v>
      </c>
      <c r="D4261" s="209" t="str">
        <f>'Reported burning'!D4261</f>
        <v>Crop residue burning</v>
      </c>
      <c r="E4261" s="209" t="str">
        <f>'Reported burning'!E4261</f>
        <v>Cropping, Intensive</v>
      </c>
      <c r="F4261" s="209" t="str">
        <f>'Reported burning'!F4261</f>
        <v>Cropland</v>
      </c>
      <c r="G4261" s="209" t="str">
        <f>'Reported burning'!G4261</f>
        <v>Cropland</v>
      </c>
      <c r="H4261" s="209" t="str">
        <f>'Reported burning'!H4261</f>
        <v>Presence</v>
      </c>
      <c r="I4261" s="11"/>
      <c r="J4261" s="225" t="s">
        <v>2272</v>
      </c>
      <c r="K4261" s="225" t="s">
        <v>2272</v>
      </c>
      <c r="L4261" s="225" t="s">
        <v>2272</v>
      </c>
      <c r="M4261" s="225" t="s">
        <v>2272</v>
      </c>
      <c r="N4261" s="225" t="s">
        <v>2272</v>
      </c>
      <c r="O4261" s="225" t="s">
        <v>2272</v>
      </c>
      <c r="P4261" s="225" t="s">
        <v>2272</v>
      </c>
      <c r="Q4261" s="225" t="s">
        <v>2272</v>
      </c>
      <c r="R4261" s="225" t="s">
        <v>2272</v>
      </c>
      <c r="S4261" s="225" t="s">
        <v>2272</v>
      </c>
      <c r="T4261" s="225" t="s">
        <v>2272</v>
      </c>
      <c r="U4261" s="225" t="s">
        <v>2272</v>
      </c>
      <c r="V4261" s="225" t="s">
        <v>2272</v>
      </c>
      <c r="W4261" s="225" t="s">
        <v>2272</v>
      </c>
      <c r="X4261" s="225" t="s">
        <v>2272</v>
      </c>
      <c r="Y4261" s="71" t="s">
        <v>2272</v>
      </c>
      <c r="Z4261" s="71" t="s">
        <v>2272</v>
      </c>
      <c r="AA4261" s="71" t="s">
        <v>2272</v>
      </c>
      <c r="AB4261" s="19"/>
      <c r="AC4261" s="11"/>
    </row>
    <row r="4262" spans="1:29" s="236" customFormat="1" ht="42.5" customHeight="1">
      <c r="A4262" s="209" t="str">
        <f>'Reported burning'!A4262</f>
        <v>470c</v>
      </c>
      <c r="B4262" s="209" t="str">
        <f>'Reported burning'!B4262</f>
        <v>470c.2</v>
      </c>
      <c r="C4262" s="209" t="str">
        <f>'Reported burning'!C4262</f>
        <v>Human, escaped</v>
      </c>
      <c r="D4262" s="209" t="str">
        <f>'Reported burning'!D4262</f>
        <v>Crop residue burning</v>
      </c>
      <c r="E4262" s="209" t="str">
        <f>'Reported burning'!E4262</f>
        <v>Cropping, Intensive</v>
      </c>
      <c r="F4262" s="209" t="str">
        <f>'Reported burning'!F4262</f>
        <v>Cropland</v>
      </c>
      <c r="G4262" s="209" t="str">
        <f>'Reported burning'!G4262</f>
        <v>Forest</v>
      </c>
      <c r="H4262" s="209" t="str">
        <f>'Reported burning'!H4262</f>
        <v>Presence</v>
      </c>
      <c r="I4262" s="11"/>
      <c r="J4262" s="225" t="s">
        <v>2272</v>
      </c>
      <c r="K4262" s="225" t="s">
        <v>2272</v>
      </c>
      <c r="L4262" s="225" t="s">
        <v>2272</v>
      </c>
      <c r="M4262" s="225" t="s">
        <v>2272</v>
      </c>
      <c r="N4262" s="225" t="s">
        <v>2272</v>
      </c>
      <c r="O4262" s="225" t="s">
        <v>2272</v>
      </c>
      <c r="P4262" s="225" t="s">
        <v>2272</v>
      </c>
      <c r="Q4262" s="225" t="s">
        <v>2272</v>
      </c>
      <c r="R4262" s="225" t="s">
        <v>2272</v>
      </c>
      <c r="S4262" s="225" t="s">
        <v>2272</v>
      </c>
      <c r="T4262" s="225" t="s">
        <v>2272</v>
      </c>
      <c r="U4262" s="225" t="s">
        <v>2272</v>
      </c>
      <c r="V4262" s="225" t="s">
        <v>2272</v>
      </c>
      <c r="W4262" s="225" t="s">
        <v>2272</v>
      </c>
      <c r="X4262" s="225" t="s">
        <v>2272</v>
      </c>
      <c r="Y4262" s="71" t="s">
        <v>2272</v>
      </c>
      <c r="Z4262" s="71" t="s">
        <v>2272</v>
      </c>
      <c r="AA4262" s="71" t="s">
        <v>2272</v>
      </c>
      <c r="AB4262" s="19"/>
      <c r="AC4262" s="11"/>
    </row>
    <row r="4263" spans="1:29" s="236" customFormat="1" ht="42.5" customHeight="1">
      <c r="A4263" s="147" t="str">
        <f>'Reported burning'!A4263</f>
        <v>471a</v>
      </c>
      <c r="B4263" s="147" t="str">
        <f>'Reported burning'!B4263</f>
        <v>471a.1</v>
      </c>
      <c r="C4263" s="147" t="str">
        <f>'Reported burning'!C4263</f>
        <v>Human, escaped</v>
      </c>
      <c r="D4263" s="147" t="str">
        <f>'Reported burning'!D4263</f>
        <v>ND</v>
      </c>
      <c r="E4263" s="147" t="str">
        <f>'Reported burning'!E4263</f>
        <v>ND</v>
      </c>
      <c r="F4263" s="147" t="str">
        <f>'Reported burning'!F4263</f>
        <v>ND</v>
      </c>
      <c r="G4263" s="147" t="str">
        <f>'Reported burning'!G4263</f>
        <v>Forest</v>
      </c>
      <c r="H4263" s="147" t="str">
        <f>'Reported burning'!H4263</f>
        <v>Presence</v>
      </c>
      <c r="I4263" s="198"/>
      <c r="J4263" s="225" t="s">
        <v>2272</v>
      </c>
      <c r="K4263" s="225" t="s">
        <v>2272</v>
      </c>
      <c r="L4263" s="71" t="s">
        <v>2272</v>
      </c>
      <c r="M4263" s="71" t="s">
        <v>2272</v>
      </c>
      <c r="N4263" s="71" t="s">
        <v>2272</v>
      </c>
      <c r="O4263" s="71" t="s">
        <v>2272</v>
      </c>
      <c r="P4263" s="71" t="s">
        <v>2272</v>
      </c>
      <c r="Q4263" s="71" t="s">
        <v>2272</v>
      </c>
      <c r="R4263" s="71" t="s">
        <v>2272</v>
      </c>
      <c r="S4263" s="71" t="s">
        <v>2272</v>
      </c>
      <c r="T4263" s="71" t="s">
        <v>2272</v>
      </c>
      <c r="U4263" s="71" t="s">
        <v>2272</v>
      </c>
      <c r="V4263" s="71" t="s">
        <v>2272</v>
      </c>
      <c r="W4263" s="71" t="s">
        <v>2272</v>
      </c>
      <c r="X4263" s="71" t="s">
        <v>2272</v>
      </c>
      <c r="Y4263" s="71" t="s">
        <v>2272</v>
      </c>
      <c r="Z4263" s="71" t="s">
        <v>2272</v>
      </c>
      <c r="AA4263" s="71" t="s">
        <v>2272</v>
      </c>
      <c r="AB4263" s="4" t="s">
        <v>10890</v>
      </c>
      <c r="AC4263" s="198"/>
    </row>
    <row r="4264" spans="1:29" ht="44.5" customHeight="1">
      <c r="A4264" s="147" t="str">
        <f>'Reported burning'!A4264</f>
        <v>471b</v>
      </c>
      <c r="B4264" s="147" t="str">
        <f>'Reported burning'!B4264</f>
        <v>471b.1</v>
      </c>
      <c r="C4264" s="147" t="str">
        <f>'Reported burning'!C4264</f>
        <v>Human, escaped</v>
      </c>
      <c r="D4264" s="147" t="str">
        <f>'Reported burning'!D4264</f>
        <v>ND</v>
      </c>
      <c r="E4264" s="147" t="str">
        <f>'Reported burning'!E4264</f>
        <v>ND</v>
      </c>
      <c r="F4264" s="147" t="str">
        <f>'Reported burning'!F4264</f>
        <v>ND</v>
      </c>
      <c r="G4264" s="147" t="str">
        <f>'Reported burning'!G4264</f>
        <v>Plantation forest</v>
      </c>
      <c r="H4264" s="147" t="str">
        <f>'Reported burning'!H4264</f>
        <v>Presence</v>
      </c>
      <c r="I4264" s="198"/>
      <c r="J4264" s="225" t="s">
        <v>2272</v>
      </c>
      <c r="K4264" s="225" t="s">
        <v>2272</v>
      </c>
      <c r="L4264" s="71" t="s">
        <v>2272</v>
      </c>
      <c r="M4264" s="71" t="s">
        <v>2272</v>
      </c>
      <c r="N4264" s="71" t="s">
        <v>2272</v>
      </c>
      <c r="O4264" s="71" t="s">
        <v>2272</v>
      </c>
      <c r="P4264" s="71" t="s">
        <v>2272</v>
      </c>
      <c r="Q4264" s="71" t="s">
        <v>2272</v>
      </c>
      <c r="R4264" s="71" t="s">
        <v>2272</v>
      </c>
      <c r="S4264" s="71" t="s">
        <v>2272</v>
      </c>
      <c r="T4264" s="71" t="s">
        <v>2272</v>
      </c>
      <c r="U4264" s="71" t="s">
        <v>2272</v>
      </c>
      <c r="V4264" s="71" t="s">
        <v>2272</v>
      </c>
      <c r="W4264" s="71" t="s">
        <v>2272</v>
      </c>
      <c r="X4264" s="71" t="s">
        <v>2272</v>
      </c>
      <c r="Y4264" s="71" t="s">
        <v>2272</v>
      </c>
      <c r="Z4264" s="71" t="s">
        <v>2272</v>
      </c>
      <c r="AA4264" s="71" t="s">
        <v>2272</v>
      </c>
      <c r="AB4264" s="198"/>
      <c r="AC4264" s="198"/>
    </row>
    <row r="4265" spans="1:29" ht="41" customHeight="1">
      <c r="A4265" s="147" t="str">
        <f>'Reported burning'!A4265</f>
        <v>471c</v>
      </c>
      <c r="B4265" s="147" t="str">
        <f>'Reported burning'!B4265</f>
        <v>471c.1</v>
      </c>
      <c r="C4265" s="147" t="str">
        <f>'Reported burning'!C4265</f>
        <v>Human, escaped</v>
      </c>
      <c r="D4265" s="147" t="str">
        <f>'Reported burning'!D4265</f>
        <v>ND</v>
      </c>
      <c r="E4265" s="147" t="str">
        <f>'Reported burning'!E4265</f>
        <v>ND</v>
      </c>
      <c r="F4265" s="147" t="str">
        <f>'Reported burning'!F4265</f>
        <v>ND</v>
      </c>
      <c r="G4265" s="147" t="str">
        <f>'Reported burning'!G4265</f>
        <v>Plantation forest</v>
      </c>
      <c r="H4265" s="147" t="str">
        <f>'Reported burning'!H4265</f>
        <v>Presence</v>
      </c>
      <c r="I4265" s="198"/>
      <c r="J4265" s="225" t="s">
        <v>2272</v>
      </c>
      <c r="K4265" s="225" t="s">
        <v>2272</v>
      </c>
      <c r="L4265" s="71" t="s">
        <v>2272</v>
      </c>
      <c r="M4265" s="71" t="s">
        <v>2272</v>
      </c>
      <c r="N4265" s="71" t="s">
        <v>2272</v>
      </c>
      <c r="O4265" s="71" t="s">
        <v>2272</v>
      </c>
      <c r="P4265" s="71" t="s">
        <v>2272</v>
      </c>
      <c r="Q4265" s="71" t="s">
        <v>2272</v>
      </c>
      <c r="R4265" s="71" t="s">
        <v>2272</v>
      </c>
      <c r="S4265" s="71" t="s">
        <v>2272</v>
      </c>
      <c r="T4265" s="71" t="s">
        <v>2272</v>
      </c>
      <c r="U4265" s="71" t="s">
        <v>2272</v>
      </c>
      <c r="V4265" s="71" t="s">
        <v>2272</v>
      </c>
      <c r="W4265" s="71" t="s">
        <v>2272</v>
      </c>
      <c r="X4265" s="71" t="s">
        <v>2272</v>
      </c>
      <c r="Y4265" s="71" t="s">
        <v>2272</v>
      </c>
      <c r="Z4265" s="71" t="s">
        <v>2272</v>
      </c>
      <c r="AA4265" s="71" t="s">
        <v>2272</v>
      </c>
      <c r="AB4265" s="198"/>
      <c r="AC4265" s="198"/>
    </row>
    <row r="4266" spans="1:29" ht="41" customHeight="1">
      <c r="A4266" s="147" t="str">
        <f>'Reported burning'!A4266</f>
        <v>471d</v>
      </c>
      <c r="B4266" s="147" t="str">
        <f>'Reported burning'!B4266</f>
        <v>471d.1</v>
      </c>
      <c r="C4266" s="147" t="str">
        <f>'Reported burning'!C4266</f>
        <v>Human, escaped</v>
      </c>
      <c r="D4266" s="147" t="str">
        <f>'Reported burning'!D4266</f>
        <v>ND</v>
      </c>
      <c r="E4266" s="147" t="str">
        <f>'Reported burning'!E4266</f>
        <v>ND</v>
      </c>
      <c r="F4266" s="147" t="str">
        <f>'Reported burning'!F4266</f>
        <v>ND</v>
      </c>
      <c r="G4266" s="147" t="str">
        <f>'Reported burning'!G4266</f>
        <v>Plantation forest</v>
      </c>
      <c r="H4266" s="147" t="str">
        <f>'Reported burning'!H4266</f>
        <v>Presence</v>
      </c>
      <c r="I4266" s="198"/>
      <c r="J4266" s="225" t="s">
        <v>2272</v>
      </c>
      <c r="K4266" s="225" t="s">
        <v>2272</v>
      </c>
      <c r="L4266" s="71" t="s">
        <v>2272</v>
      </c>
      <c r="M4266" s="71" t="s">
        <v>2272</v>
      </c>
      <c r="N4266" s="71" t="s">
        <v>2272</v>
      </c>
      <c r="O4266" s="71" t="s">
        <v>2272</v>
      </c>
      <c r="P4266" s="71" t="s">
        <v>2272</v>
      </c>
      <c r="Q4266" s="71" t="s">
        <v>2272</v>
      </c>
      <c r="R4266" s="71" t="s">
        <v>2272</v>
      </c>
      <c r="S4266" s="71" t="s">
        <v>2272</v>
      </c>
      <c r="T4266" s="71" t="s">
        <v>2272</v>
      </c>
      <c r="U4266" s="71" t="s">
        <v>2272</v>
      </c>
      <c r="V4266" s="71" t="s">
        <v>2272</v>
      </c>
      <c r="W4266" s="71" t="s">
        <v>2272</v>
      </c>
      <c r="X4266" s="71" t="s">
        <v>2272</v>
      </c>
      <c r="Y4266" s="71" t="s">
        <v>2272</v>
      </c>
      <c r="Z4266" s="71" t="s">
        <v>2272</v>
      </c>
      <c r="AA4266" s="71" t="s">
        <v>2272</v>
      </c>
      <c r="AB4266" s="198"/>
      <c r="AC4266" s="198"/>
    </row>
    <row r="4267" spans="1:29" ht="41" customHeight="1">
      <c r="A4267" s="147" t="str">
        <f>'Reported burning'!A4267</f>
        <v>471a</v>
      </c>
      <c r="B4267" s="147" t="str">
        <f>'Reported burning'!B4267</f>
        <v>471a.2</v>
      </c>
      <c r="C4267" s="147" t="str">
        <f>'Reported burning'!C4267</f>
        <v>Human, deliberate</v>
      </c>
      <c r="D4267" s="147" t="str">
        <f>'Reported burning'!D4267</f>
        <v>ND</v>
      </c>
      <c r="E4267" s="147" t="str">
        <f>'Reported burning'!E4267</f>
        <v>Forestry, Industrial</v>
      </c>
      <c r="F4267" s="147" t="str">
        <f>'Reported burning'!F4267</f>
        <v>ND</v>
      </c>
      <c r="G4267" s="147" t="str">
        <f>'Reported burning'!G4267</f>
        <v>Forest</v>
      </c>
      <c r="H4267" s="147" t="str">
        <f>'Reported burning'!H4267</f>
        <v>Absence</v>
      </c>
      <c r="I4267" s="198"/>
      <c r="J4267" s="172">
        <v>0</v>
      </c>
      <c r="K4267" s="172">
        <v>0</v>
      </c>
      <c r="L4267" s="21">
        <v>0</v>
      </c>
      <c r="M4267" s="21">
        <v>0</v>
      </c>
      <c r="N4267" s="21">
        <v>0</v>
      </c>
      <c r="O4267" s="21">
        <v>0</v>
      </c>
      <c r="P4267" s="21">
        <v>0</v>
      </c>
      <c r="Q4267" s="21">
        <v>0</v>
      </c>
      <c r="R4267" s="21">
        <v>0</v>
      </c>
      <c r="S4267" s="21">
        <v>0</v>
      </c>
      <c r="T4267" s="21">
        <v>0</v>
      </c>
      <c r="U4267" s="21">
        <v>0</v>
      </c>
      <c r="V4267" s="21">
        <v>0</v>
      </c>
      <c r="W4267" s="21">
        <v>0</v>
      </c>
      <c r="X4267" s="71" t="s">
        <v>2272</v>
      </c>
      <c r="Y4267" s="71" t="s">
        <v>2272</v>
      </c>
      <c r="Z4267" s="71" t="s">
        <v>2272</v>
      </c>
      <c r="AA4267" s="71" t="s">
        <v>2272</v>
      </c>
      <c r="AB4267" s="4" t="s">
        <v>10895</v>
      </c>
      <c r="AC4267" s="198"/>
    </row>
    <row r="4268" spans="1:29" ht="88.5" customHeight="1">
      <c r="A4268" s="147" t="str">
        <f>'Reported burning'!A4268</f>
        <v>471a</v>
      </c>
      <c r="B4268" s="147" t="str">
        <f>'Reported burning'!B4268</f>
        <v>471a.3</v>
      </c>
      <c r="C4268" s="147" t="str">
        <f>'Reported burning'!C4268</f>
        <v>Human, deliberate</v>
      </c>
      <c r="D4268" s="147" t="str">
        <f>'Reported burning'!D4268</f>
        <v>ND</v>
      </c>
      <c r="E4268" s="147" t="str">
        <f>'Reported burning'!E4268</f>
        <v>Forestry, Industrial</v>
      </c>
      <c r="F4268" s="147" t="str">
        <f>'Reported burning'!F4268</f>
        <v>ND</v>
      </c>
      <c r="G4268" s="147" t="str">
        <f>'Reported burning'!G4268</f>
        <v>Plantation forest</v>
      </c>
      <c r="H4268" s="147" t="str">
        <f>'Reported burning'!H4268</f>
        <v>Absence</v>
      </c>
      <c r="I4268" s="198"/>
      <c r="J4268" s="172">
        <v>0</v>
      </c>
      <c r="K4268" s="172">
        <v>0</v>
      </c>
      <c r="L4268" s="21">
        <v>0</v>
      </c>
      <c r="M4268" s="21">
        <v>0</v>
      </c>
      <c r="N4268" s="21">
        <v>0</v>
      </c>
      <c r="O4268" s="21">
        <v>0</v>
      </c>
      <c r="P4268" s="21">
        <v>0</v>
      </c>
      <c r="Q4268" s="21">
        <v>0</v>
      </c>
      <c r="R4268" s="21">
        <v>0</v>
      </c>
      <c r="S4268" s="21">
        <v>0</v>
      </c>
      <c r="T4268" s="21">
        <v>0</v>
      </c>
      <c r="U4268" s="21">
        <v>0</v>
      </c>
      <c r="V4268" s="21">
        <v>0</v>
      </c>
      <c r="W4268" s="21">
        <v>0</v>
      </c>
      <c r="X4268" s="71" t="s">
        <v>2272</v>
      </c>
      <c r="Y4268" s="71" t="s">
        <v>2272</v>
      </c>
      <c r="Z4268" s="71" t="s">
        <v>2272</v>
      </c>
      <c r="AA4268" s="71" t="s">
        <v>2272</v>
      </c>
      <c r="AB4268" s="4" t="s">
        <v>10895</v>
      </c>
      <c r="AC4268" s="198"/>
    </row>
    <row r="4269" spans="1:29" ht="88.5" customHeight="1">
      <c r="A4269" s="147" t="str">
        <f>'Reported burning'!A4269</f>
        <v>471a</v>
      </c>
      <c r="B4269" s="147" t="str">
        <f>'Reported burning'!B4269</f>
        <v>471a.4</v>
      </c>
      <c r="C4269" s="147" t="str">
        <f>'Reported burning'!C4269</f>
        <v>Human, deliberate</v>
      </c>
      <c r="D4269" s="147" t="str">
        <f>'Reported burning'!D4269</f>
        <v>ND</v>
      </c>
      <c r="E4269" s="147" t="str">
        <f>'Reported burning'!E4269</f>
        <v>Biodiversity conservation</v>
      </c>
      <c r="F4269" s="147" t="str">
        <f>'Reported burning'!F4269</f>
        <v>ND</v>
      </c>
      <c r="G4269" s="147" t="str">
        <f>'Reported burning'!G4269</f>
        <v>Forest</v>
      </c>
      <c r="H4269" s="147" t="str">
        <f>'Reported burning'!H4269</f>
        <v>Absence</v>
      </c>
      <c r="I4269" s="198"/>
      <c r="J4269" s="172">
        <v>0</v>
      </c>
      <c r="K4269" s="172">
        <v>0</v>
      </c>
      <c r="L4269" s="21">
        <v>0</v>
      </c>
      <c r="M4269" s="21">
        <v>0</v>
      </c>
      <c r="N4269" s="21">
        <v>0</v>
      </c>
      <c r="O4269" s="21">
        <v>0</v>
      </c>
      <c r="P4269" s="21">
        <v>0</v>
      </c>
      <c r="Q4269" s="21">
        <v>0</v>
      </c>
      <c r="R4269" s="21">
        <v>0</v>
      </c>
      <c r="S4269" s="21">
        <v>0</v>
      </c>
      <c r="T4269" s="21">
        <v>0</v>
      </c>
      <c r="U4269" s="21">
        <v>0</v>
      </c>
      <c r="V4269" s="21">
        <v>0</v>
      </c>
      <c r="W4269" s="21">
        <v>0</v>
      </c>
      <c r="X4269" s="71" t="s">
        <v>2272</v>
      </c>
      <c r="Y4269" s="71" t="s">
        <v>2272</v>
      </c>
      <c r="Z4269" s="71" t="s">
        <v>2272</v>
      </c>
      <c r="AA4269" s="71" t="s">
        <v>2272</v>
      </c>
      <c r="AB4269" s="4" t="s">
        <v>10895</v>
      </c>
      <c r="AC4269" s="198"/>
    </row>
    <row r="4270" spans="1:29" ht="88.5" customHeight="1">
      <c r="A4270" s="147" t="str">
        <f>'Reported burning'!A4270</f>
        <v>471a</v>
      </c>
      <c r="B4270" s="147" t="str">
        <f>'Reported burning'!B4270</f>
        <v>471a.5</v>
      </c>
      <c r="C4270" s="147" t="str">
        <f>'Reported burning'!C4270</f>
        <v>Human, deliberate</v>
      </c>
      <c r="D4270" s="147" t="str">
        <f>'Reported burning'!D4270</f>
        <v>ND</v>
      </c>
      <c r="E4270" s="147" t="str">
        <f>'Reported burning'!E4270</f>
        <v>Biodiversity conservation</v>
      </c>
      <c r="F4270" s="147" t="str">
        <f>'Reported burning'!F4270</f>
        <v>ND</v>
      </c>
      <c r="G4270" s="147" t="str">
        <f>'Reported burning'!G4270</f>
        <v>Plantation forest</v>
      </c>
      <c r="H4270" s="147" t="str">
        <f>'Reported burning'!H4270</f>
        <v>Absence</v>
      </c>
      <c r="I4270" s="198"/>
      <c r="J4270" s="172">
        <v>0</v>
      </c>
      <c r="K4270" s="172">
        <v>0</v>
      </c>
      <c r="L4270" s="21">
        <v>0</v>
      </c>
      <c r="M4270" s="21">
        <v>0</v>
      </c>
      <c r="N4270" s="21">
        <v>0</v>
      </c>
      <c r="O4270" s="21">
        <v>0</v>
      </c>
      <c r="P4270" s="21">
        <v>0</v>
      </c>
      <c r="Q4270" s="21">
        <v>0</v>
      </c>
      <c r="R4270" s="21">
        <v>0</v>
      </c>
      <c r="S4270" s="21">
        <v>0</v>
      </c>
      <c r="T4270" s="21">
        <v>0</v>
      </c>
      <c r="U4270" s="21">
        <v>0</v>
      </c>
      <c r="V4270" s="21">
        <v>0</v>
      </c>
      <c r="W4270" s="21">
        <v>0</v>
      </c>
      <c r="X4270" s="71" t="s">
        <v>2272</v>
      </c>
      <c r="Y4270" s="71" t="s">
        <v>2272</v>
      </c>
      <c r="Z4270" s="71" t="s">
        <v>2272</v>
      </c>
      <c r="AA4270" s="71" t="s">
        <v>2272</v>
      </c>
      <c r="AB4270" s="4" t="s">
        <v>10895</v>
      </c>
      <c r="AC4270" s="198"/>
    </row>
    <row r="4271" spans="1:29" ht="88.5" customHeight="1">
      <c r="A4271" s="147" t="str">
        <f>'Reported burning'!A4271</f>
        <v>472a</v>
      </c>
      <c r="B4271" s="147" t="str">
        <f>'Reported burning'!B4271</f>
        <v>472a.1</v>
      </c>
      <c r="C4271" s="147" t="str">
        <f>'Reported burning'!C4271</f>
        <v>Human, escaped</v>
      </c>
      <c r="D4271" s="147" t="str">
        <f>'Reported burning'!D4271</f>
        <v>All</v>
      </c>
      <c r="E4271" s="147" t="str">
        <f>'Reported burning'!E4271</f>
        <v>ND</v>
      </c>
      <c r="F4271" s="147" t="str">
        <f>'Reported burning'!F4271</f>
        <v>ND</v>
      </c>
      <c r="G4271" s="147" t="str">
        <f>'Reported burning'!G4271</f>
        <v>Shrubland (Mixed forest &amp; grassland)</v>
      </c>
      <c r="H4271" s="147" t="str">
        <f>'Reported burning'!H4271</f>
        <v>Presence</v>
      </c>
      <c r="I4271" s="198"/>
      <c r="J4271" s="71" t="s">
        <v>2272</v>
      </c>
      <c r="K4271" s="71" t="s">
        <v>2272</v>
      </c>
      <c r="L4271" s="71" t="s">
        <v>2272</v>
      </c>
      <c r="M4271" s="71" t="s">
        <v>2272</v>
      </c>
      <c r="N4271" s="71" t="s">
        <v>2272</v>
      </c>
      <c r="O4271" s="71" t="s">
        <v>2272</v>
      </c>
      <c r="P4271" s="71" t="s">
        <v>2272</v>
      </c>
      <c r="Q4271" s="71" t="s">
        <v>2272</v>
      </c>
      <c r="R4271" s="71" t="s">
        <v>2272</v>
      </c>
      <c r="S4271" s="71" t="s">
        <v>2272</v>
      </c>
      <c r="T4271" s="71" t="s">
        <v>2272</v>
      </c>
      <c r="U4271" s="21" t="s">
        <v>2522</v>
      </c>
      <c r="V4271" s="71" t="s">
        <v>2272</v>
      </c>
      <c r="W4271" s="71" t="s">
        <v>2272</v>
      </c>
      <c r="X4271" s="71" t="s">
        <v>2272</v>
      </c>
      <c r="Y4271" s="198" t="s">
        <v>33</v>
      </c>
      <c r="Z4271" s="198" t="s">
        <v>67</v>
      </c>
      <c r="AA4271" s="198" t="s">
        <v>2650</v>
      </c>
      <c r="AB4271" s="198"/>
      <c r="AC4271" s="198"/>
    </row>
    <row r="4272" spans="1:29" ht="40" customHeight="1">
      <c r="A4272" s="147" t="str">
        <f>'Reported burning'!A4272</f>
        <v>472a</v>
      </c>
      <c r="B4272" s="147" t="str">
        <f>'Reported burning'!B4272</f>
        <v>472a.2</v>
      </c>
      <c r="C4272" s="147" t="str">
        <f>'Reported burning'!C4272</f>
        <v>Human, escaped</v>
      </c>
      <c r="D4272" s="147" t="str">
        <f>'Reported burning'!D4272</f>
        <v>All</v>
      </c>
      <c r="E4272" s="147" t="str">
        <f>'Reported burning'!E4272</f>
        <v>ND</v>
      </c>
      <c r="F4272" s="147" t="str">
        <f>'Reported burning'!F4272</f>
        <v>ND</v>
      </c>
      <c r="G4272" s="147" t="str">
        <f>'Reported burning'!G4272</f>
        <v>Shrubland (Mixed forest &amp; grassland)</v>
      </c>
      <c r="H4272" s="147" t="str">
        <f>'Reported burning'!H4272</f>
        <v>Presence</v>
      </c>
      <c r="I4272" s="198"/>
      <c r="J4272" s="71" t="s">
        <v>2272</v>
      </c>
      <c r="K4272" s="71" t="s">
        <v>2272</v>
      </c>
      <c r="L4272" s="71" t="s">
        <v>2272</v>
      </c>
      <c r="M4272" s="71" t="s">
        <v>2272</v>
      </c>
      <c r="N4272" s="71" t="s">
        <v>2272</v>
      </c>
      <c r="O4272" s="71" t="s">
        <v>2272</v>
      </c>
      <c r="P4272" s="71" t="s">
        <v>2272</v>
      </c>
      <c r="Q4272" s="71" t="s">
        <v>2272</v>
      </c>
      <c r="R4272" s="71" t="s">
        <v>2272</v>
      </c>
      <c r="S4272" s="71" t="s">
        <v>2272</v>
      </c>
      <c r="T4272" s="71" t="s">
        <v>2272</v>
      </c>
      <c r="U4272" s="21" t="s">
        <v>2522</v>
      </c>
      <c r="V4272" s="71" t="s">
        <v>2272</v>
      </c>
      <c r="W4272" s="71" t="s">
        <v>2272</v>
      </c>
      <c r="X4272" s="71" t="s">
        <v>2272</v>
      </c>
      <c r="Y4272" s="198" t="s">
        <v>33</v>
      </c>
      <c r="Z4272" s="198" t="s">
        <v>67</v>
      </c>
      <c r="AA4272" s="198" t="s">
        <v>2650</v>
      </c>
      <c r="AB4272" s="198"/>
      <c r="AC4272" s="198"/>
    </row>
    <row r="4273" spans="1:29" ht="40" customHeight="1">
      <c r="A4273" s="147" t="str">
        <f>'Reported burning'!A4273</f>
        <v>472a</v>
      </c>
      <c r="B4273" s="147" t="str">
        <f>'Reported burning'!B4273</f>
        <v>472a.3</v>
      </c>
      <c r="C4273" s="147" t="str">
        <f>'Reported burning'!C4273</f>
        <v>Human, escaped</v>
      </c>
      <c r="D4273" s="147" t="str">
        <f>'Reported burning'!D4273</f>
        <v>All</v>
      </c>
      <c r="E4273" s="147" t="str">
        <f>'Reported burning'!E4273</f>
        <v>ND</v>
      </c>
      <c r="F4273" s="147" t="str">
        <f>'Reported burning'!F4273</f>
        <v>ND</v>
      </c>
      <c r="G4273" s="147" t="str">
        <f>'Reported burning'!G4273</f>
        <v>Shrubland (Mixed forest &amp; grassland)</v>
      </c>
      <c r="H4273" s="147" t="str">
        <f>'Reported burning'!H4273</f>
        <v>Presence</v>
      </c>
      <c r="I4273" s="198"/>
      <c r="J4273" s="71" t="s">
        <v>2272</v>
      </c>
      <c r="K4273" s="71" t="s">
        <v>2272</v>
      </c>
      <c r="L4273" s="71" t="s">
        <v>2272</v>
      </c>
      <c r="M4273" s="71" t="s">
        <v>2272</v>
      </c>
      <c r="N4273" s="71" t="s">
        <v>2272</v>
      </c>
      <c r="O4273" s="71" t="s">
        <v>2272</v>
      </c>
      <c r="P4273" s="71" t="s">
        <v>2272</v>
      </c>
      <c r="Q4273" s="71" t="s">
        <v>2272</v>
      </c>
      <c r="R4273" s="71" t="s">
        <v>2272</v>
      </c>
      <c r="S4273" s="71" t="s">
        <v>2272</v>
      </c>
      <c r="T4273" s="71" t="s">
        <v>2272</v>
      </c>
      <c r="U4273" s="21" t="s">
        <v>2522</v>
      </c>
      <c r="V4273" s="71" t="s">
        <v>2272</v>
      </c>
      <c r="W4273" s="71" t="s">
        <v>2272</v>
      </c>
      <c r="X4273" s="71" t="s">
        <v>2272</v>
      </c>
      <c r="Y4273" s="198" t="s">
        <v>33</v>
      </c>
      <c r="Z4273" s="198" t="s">
        <v>67</v>
      </c>
      <c r="AA4273" s="198" t="s">
        <v>2650</v>
      </c>
      <c r="AB4273" s="198"/>
      <c r="AC4273" s="198"/>
    </row>
    <row r="4274" spans="1:29" ht="40" customHeight="1">
      <c r="A4274" s="147" t="str">
        <f>'Reported burning'!A4274</f>
        <v>472a</v>
      </c>
      <c r="B4274" s="147" t="str">
        <f>'Reported burning'!B4274</f>
        <v>472a.4</v>
      </c>
      <c r="C4274" s="147" t="str">
        <f>'Reported burning'!C4274</f>
        <v>Human, escaped</v>
      </c>
      <c r="D4274" s="147" t="str">
        <f>'Reported burning'!D4274</f>
        <v>All</v>
      </c>
      <c r="E4274" s="147" t="str">
        <f>'Reported burning'!E4274</f>
        <v>ND</v>
      </c>
      <c r="F4274" s="147" t="str">
        <f>'Reported burning'!F4274</f>
        <v>ND</v>
      </c>
      <c r="G4274" s="147" t="str">
        <f>'Reported burning'!G4274</f>
        <v>Shrubland (Mixed forest &amp; grassland)</v>
      </c>
      <c r="H4274" s="147" t="str">
        <f>'Reported burning'!H4274</f>
        <v>Presence</v>
      </c>
      <c r="I4274" s="198"/>
      <c r="J4274" s="71" t="s">
        <v>2272</v>
      </c>
      <c r="K4274" s="71" t="s">
        <v>2272</v>
      </c>
      <c r="L4274" s="71" t="s">
        <v>2272</v>
      </c>
      <c r="M4274" s="71" t="s">
        <v>2272</v>
      </c>
      <c r="N4274" s="71" t="s">
        <v>2272</v>
      </c>
      <c r="O4274" s="71" t="s">
        <v>2272</v>
      </c>
      <c r="P4274" s="71" t="s">
        <v>2272</v>
      </c>
      <c r="Q4274" s="71" t="s">
        <v>2272</v>
      </c>
      <c r="R4274" s="71" t="s">
        <v>2272</v>
      </c>
      <c r="S4274" s="71" t="s">
        <v>2272</v>
      </c>
      <c r="T4274" s="71" t="s">
        <v>2272</v>
      </c>
      <c r="U4274" s="21" t="s">
        <v>2522</v>
      </c>
      <c r="V4274" s="71" t="s">
        <v>2272</v>
      </c>
      <c r="W4274" s="71" t="s">
        <v>2272</v>
      </c>
      <c r="X4274" s="71" t="s">
        <v>2272</v>
      </c>
      <c r="Y4274" s="198" t="s">
        <v>33</v>
      </c>
      <c r="Z4274" s="198" t="s">
        <v>67</v>
      </c>
      <c r="AA4274" s="198" t="s">
        <v>2650</v>
      </c>
      <c r="AB4274" s="198"/>
      <c r="AC4274" s="198"/>
    </row>
    <row r="4275" spans="1:29" ht="40" customHeight="1">
      <c r="A4275" s="147" t="str">
        <f>'Reported burning'!A4275</f>
        <v>472a</v>
      </c>
      <c r="B4275" s="147" t="str">
        <f>'Reported burning'!B4275</f>
        <v>472a.5</v>
      </c>
      <c r="C4275" s="147" t="str">
        <f>'Reported burning'!C4275</f>
        <v>Human, escaped</v>
      </c>
      <c r="D4275" s="147" t="str">
        <f>'Reported burning'!D4275</f>
        <v>All</v>
      </c>
      <c r="E4275" s="147" t="str">
        <f>'Reported burning'!E4275</f>
        <v>ND</v>
      </c>
      <c r="F4275" s="147" t="str">
        <f>'Reported burning'!F4275</f>
        <v>ND</v>
      </c>
      <c r="G4275" s="147" t="str">
        <f>'Reported burning'!G4275</f>
        <v>Shrubland (Mixed forest &amp; grassland)</v>
      </c>
      <c r="H4275" s="147" t="str">
        <f>'Reported burning'!H4275</f>
        <v>Presence</v>
      </c>
      <c r="I4275" s="198"/>
      <c r="J4275" s="71" t="s">
        <v>2272</v>
      </c>
      <c r="K4275" s="71" t="s">
        <v>2272</v>
      </c>
      <c r="L4275" s="71" t="s">
        <v>2272</v>
      </c>
      <c r="M4275" s="71" t="s">
        <v>2272</v>
      </c>
      <c r="N4275" s="71" t="s">
        <v>2272</v>
      </c>
      <c r="O4275" s="71" t="s">
        <v>2272</v>
      </c>
      <c r="P4275" s="71" t="s">
        <v>2272</v>
      </c>
      <c r="Q4275" s="71" t="s">
        <v>2272</v>
      </c>
      <c r="R4275" s="71" t="s">
        <v>2272</v>
      </c>
      <c r="S4275" s="71" t="s">
        <v>2272</v>
      </c>
      <c r="T4275" s="71" t="s">
        <v>2272</v>
      </c>
      <c r="U4275" s="21" t="s">
        <v>2522</v>
      </c>
      <c r="V4275" s="71" t="s">
        <v>2272</v>
      </c>
      <c r="W4275" s="71" t="s">
        <v>2272</v>
      </c>
      <c r="X4275" s="71" t="s">
        <v>2272</v>
      </c>
      <c r="Y4275" s="198" t="s">
        <v>33</v>
      </c>
      <c r="Z4275" s="198" t="s">
        <v>67</v>
      </c>
      <c r="AA4275" s="198" t="s">
        <v>2650</v>
      </c>
      <c r="AB4275" s="198"/>
      <c r="AC4275" s="198"/>
    </row>
    <row r="4276" spans="1:29" ht="40" customHeight="1">
      <c r="A4276" s="147" t="str">
        <f>'Reported burning'!A4276</f>
        <v>472a</v>
      </c>
      <c r="B4276" s="147" t="str">
        <f>'Reported burning'!B4276</f>
        <v>472a.6</v>
      </c>
      <c r="C4276" s="147" t="str">
        <f>'Reported burning'!C4276</f>
        <v>Human, escaped</v>
      </c>
      <c r="D4276" s="147" t="str">
        <f>'Reported burning'!D4276</f>
        <v>ND</v>
      </c>
      <c r="E4276" s="147" t="str">
        <f>'Reported burning'!E4276</f>
        <v>Forestry, Traditional</v>
      </c>
      <c r="F4276" s="147" t="str">
        <f>'Reported burning'!F4276</f>
        <v>ND</v>
      </c>
      <c r="G4276" s="147" t="str">
        <f>'Reported burning'!G4276</f>
        <v>Shrubland (Mixed forest &amp; grassland)</v>
      </c>
      <c r="H4276" s="147" t="str">
        <f>'Reported burning'!H4276</f>
        <v>Presence</v>
      </c>
      <c r="I4276" s="198"/>
      <c r="J4276" s="71" t="s">
        <v>2272</v>
      </c>
      <c r="K4276" s="71" t="s">
        <v>2272</v>
      </c>
      <c r="L4276" s="71" t="s">
        <v>2272</v>
      </c>
      <c r="M4276" s="71" t="s">
        <v>2272</v>
      </c>
      <c r="N4276" s="71" t="s">
        <v>2272</v>
      </c>
      <c r="O4276" s="71" t="s">
        <v>2272</v>
      </c>
      <c r="P4276" s="71" t="s">
        <v>2272</v>
      </c>
      <c r="Q4276" s="71" t="s">
        <v>2272</v>
      </c>
      <c r="R4276" s="71" t="s">
        <v>2272</v>
      </c>
      <c r="S4276" s="71" t="s">
        <v>2272</v>
      </c>
      <c r="T4276" s="71" t="s">
        <v>2272</v>
      </c>
      <c r="U4276" s="71" t="s">
        <v>2272</v>
      </c>
      <c r="V4276" s="71" t="s">
        <v>2272</v>
      </c>
      <c r="W4276" s="71" t="s">
        <v>2272</v>
      </c>
      <c r="X4276" s="71" t="s">
        <v>2272</v>
      </c>
      <c r="Y4276" s="71" t="s">
        <v>2272</v>
      </c>
      <c r="Z4276" s="71" t="s">
        <v>2272</v>
      </c>
      <c r="AA4276" s="71" t="s">
        <v>2272</v>
      </c>
      <c r="AB4276" s="198"/>
      <c r="AC4276" s="198"/>
    </row>
    <row r="4277" spans="1:29" ht="45.5" customHeight="1">
      <c r="A4277" s="147" t="str">
        <f>'Reported burning'!A4277</f>
        <v>472a</v>
      </c>
      <c r="B4277" s="147" t="str">
        <f>'Reported burning'!B4277</f>
        <v>472a.7</v>
      </c>
      <c r="C4277" s="147" t="str">
        <f>'Reported burning'!C4277</f>
        <v>Human, deliberate</v>
      </c>
      <c r="D4277" s="147" t="str">
        <f>'Reported burning'!D4277</f>
        <v>Arson</v>
      </c>
      <c r="E4277" s="147" t="str">
        <f>'Reported burning'!E4277</f>
        <v>ND</v>
      </c>
      <c r="F4277" s="147" t="str">
        <f>'Reported burning'!F4277</f>
        <v>ND</v>
      </c>
      <c r="G4277" s="147" t="str">
        <f>'Reported burning'!G4277</f>
        <v>Shrubland (Mixed forest &amp; grassland)</v>
      </c>
      <c r="H4277" s="147" t="str">
        <f>'Reported burning'!H4277</f>
        <v>Presence</v>
      </c>
      <c r="I4277" s="198"/>
      <c r="J4277" s="71" t="s">
        <v>2272</v>
      </c>
      <c r="K4277" s="71" t="s">
        <v>2272</v>
      </c>
      <c r="L4277" s="71" t="s">
        <v>2272</v>
      </c>
      <c r="M4277" s="71" t="s">
        <v>2272</v>
      </c>
      <c r="N4277" s="71" t="s">
        <v>2272</v>
      </c>
      <c r="O4277" s="71" t="s">
        <v>2272</v>
      </c>
      <c r="P4277" s="71" t="s">
        <v>2272</v>
      </c>
      <c r="Q4277" s="71" t="s">
        <v>2272</v>
      </c>
      <c r="R4277" s="71" t="s">
        <v>2272</v>
      </c>
      <c r="S4277" s="71" t="s">
        <v>2272</v>
      </c>
      <c r="T4277" s="71" t="s">
        <v>2272</v>
      </c>
      <c r="U4277" s="71" t="s">
        <v>2272</v>
      </c>
      <c r="V4277" s="71" t="s">
        <v>2272</v>
      </c>
      <c r="W4277" s="71" t="s">
        <v>2272</v>
      </c>
      <c r="X4277" s="71" t="s">
        <v>2272</v>
      </c>
      <c r="Y4277" s="71" t="s">
        <v>2272</v>
      </c>
      <c r="Z4277" s="71" t="s">
        <v>2272</v>
      </c>
      <c r="AA4277" s="71" t="s">
        <v>2272</v>
      </c>
      <c r="AB4277" s="198"/>
      <c r="AC4277" s="198"/>
    </row>
    <row r="4278" spans="1:29" ht="45.5" customHeight="1">
      <c r="A4278" s="147" t="str">
        <f>'Reported burning'!A4278</f>
        <v>472a</v>
      </c>
      <c r="B4278" s="147" t="str">
        <f>'Reported burning'!B4278</f>
        <v>472a.8</v>
      </c>
      <c r="C4278" s="147" t="str">
        <f>'Reported burning'!C4278</f>
        <v>Unknown</v>
      </c>
      <c r="D4278" s="147" t="str">
        <f>'Reported burning'!D4278</f>
        <v>All</v>
      </c>
      <c r="E4278" s="147" t="str">
        <f>'Reported burning'!E4278</f>
        <v>ND</v>
      </c>
      <c r="F4278" s="147" t="str">
        <f>'Reported burning'!F4278</f>
        <v>ND</v>
      </c>
      <c r="G4278" s="147" t="str">
        <f>'Reported burning'!G4278</f>
        <v>Shrubland (Mixed forest &amp; grassland)</v>
      </c>
      <c r="H4278" s="147" t="str">
        <f>'Reported burning'!H4278</f>
        <v>Presence</v>
      </c>
      <c r="I4278" s="198"/>
      <c r="J4278" s="71" t="s">
        <v>2272</v>
      </c>
      <c r="K4278" s="71" t="s">
        <v>2272</v>
      </c>
      <c r="L4278" s="71" t="s">
        <v>2272</v>
      </c>
      <c r="M4278" s="71" t="s">
        <v>2272</v>
      </c>
      <c r="N4278" s="71" t="s">
        <v>2272</v>
      </c>
      <c r="O4278" s="71" t="s">
        <v>2272</v>
      </c>
      <c r="P4278" s="71" t="s">
        <v>2272</v>
      </c>
      <c r="Q4278" s="71" t="s">
        <v>2272</v>
      </c>
      <c r="R4278" s="71" t="s">
        <v>2272</v>
      </c>
      <c r="S4278" s="71" t="s">
        <v>2272</v>
      </c>
      <c r="T4278" s="71" t="s">
        <v>2272</v>
      </c>
      <c r="U4278" s="71" t="s">
        <v>2272</v>
      </c>
      <c r="V4278" s="71" t="s">
        <v>2272</v>
      </c>
      <c r="W4278" s="71" t="s">
        <v>2272</v>
      </c>
      <c r="X4278" s="71" t="s">
        <v>2272</v>
      </c>
      <c r="Y4278" s="71" t="s">
        <v>2272</v>
      </c>
      <c r="Z4278" s="71" t="s">
        <v>2272</v>
      </c>
      <c r="AA4278" s="71" t="s">
        <v>2272</v>
      </c>
      <c r="AB4278" s="198"/>
      <c r="AC4278" s="198"/>
    </row>
    <row r="4279" spans="1:29" ht="45.5" customHeight="1">
      <c r="A4279" s="147" t="str">
        <f>'Reported burning'!A4279</f>
        <v>472a</v>
      </c>
      <c r="B4279" s="147" t="str">
        <f>'Reported burning'!B4279</f>
        <v>472a.9</v>
      </c>
      <c r="C4279" s="147" t="str">
        <f>'Reported burning'!C4279</f>
        <v>Human, deliberate</v>
      </c>
      <c r="D4279" s="147" t="str">
        <f>'Reported burning'!D4279</f>
        <v>Forest clearance</v>
      </c>
      <c r="E4279" s="147" t="str">
        <f>'Reported burning'!E4279</f>
        <v>ND</v>
      </c>
      <c r="F4279" s="147" t="str">
        <f>'Reported burning'!F4279</f>
        <v>ND</v>
      </c>
      <c r="G4279" s="147" t="str">
        <f>'Reported burning'!G4279</f>
        <v>Forest</v>
      </c>
      <c r="H4279" s="147" t="str">
        <f>'Reported burning'!H4279</f>
        <v>Presence</v>
      </c>
      <c r="I4279" s="198"/>
      <c r="J4279" s="71" t="s">
        <v>2272</v>
      </c>
      <c r="K4279" s="71" t="s">
        <v>2272</v>
      </c>
      <c r="L4279" s="71" t="s">
        <v>2272</v>
      </c>
      <c r="M4279" s="71" t="s">
        <v>2272</v>
      </c>
      <c r="N4279" s="71" t="s">
        <v>2272</v>
      </c>
      <c r="O4279" s="71" t="s">
        <v>2272</v>
      </c>
      <c r="P4279" s="71" t="s">
        <v>2272</v>
      </c>
      <c r="Q4279" s="71" t="s">
        <v>2272</v>
      </c>
      <c r="R4279" s="71" t="s">
        <v>2272</v>
      </c>
      <c r="S4279" s="71" t="s">
        <v>2272</v>
      </c>
      <c r="T4279" s="71" t="s">
        <v>2272</v>
      </c>
      <c r="U4279" s="71" t="s">
        <v>2272</v>
      </c>
      <c r="V4279" s="71" t="s">
        <v>2272</v>
      </c>
      <c r="W4279" s="71" t="s">
        <v>2272</v>
      </c>
      <c r="X4279" s="71" t="s">
        <v>2272</v>
      </c>
      <c r="Y4279" s="71" t="s">
        <v>2272</v>
      </c>
      <c r="Z4279" s="71" t="s">
        <v>2272</v>
      </c>
      <c r="AA4279" s="71" t="s">
        <v>2272</v>
      </c>
      <c r="AB4279" s="77" t="s">
        <v>10914</v>
      </c>
      <c r="AC4279" s="198"/>
    </row>
    <row r="4280" spans="1:29" ht="50" customHeight="1">
      <c r="A4280" s="151" t="str">
        <f>'Reported burning'!A4280</f>
        <v>472a</v>
      </c>
      <c r="B4280" s="151" t="str">
        <f>'Reported burning'!B4280</f>
        <v>472a.10</v>
      </c>
      <c r="C4280" s="151" t="str">
        <f>'Reported burning'!C4280</f>
        <v>Lightning</v>
      </c>
      <c r="D4280" s="151" t="str">
        <f>'Reported burning'!D4280</f>
        <v>ND</v>
      </c>
      <c r="E4280" s="151" t="str">
        <f>'Reported burning'!E4280</f>
        <v>ND</v>
      </c>
      <c r="F4280" s="151" t="str">
        <f>'Reported burning'!F4280</f>
        <v>ND</v>
      </c>
      <c r="G4280" s="151" t="str">
        <f>'Reported burning'!G4280</f>
        <v>Shrubland (Mixed forest &amp; grassland)</v>
      </c>
      <c r="H4280" s="151" t="str">
        <f>'Reported burning'!H4280</f>
        <v>Absence</v>
      </c>
      <c r="I4280" s="198"/>
      <c r="J4280" s="21">
        <v>0</v>
      </c>
      <c r="K4280" s="21">
        <v>0</v>
      </c>
      <c r="L4280" s="21">
        <v>0</v>
      </c>
      <c r="M4280" s="21">
        <v>0</v>
      </c>
      <c r="N4280" s="21">
        <v>0</v>
      </c>
      <c r="O4280" s="21">
        <v>0</v>
      </c>
      <c r="P4280" s="21">
        <v>0</v>
      </c>
      <c r="Q4280" s="21">
        <v>0</v>
      </c>
      <c r="R4280" s="21">
        <v>0</v>
      </c>
      <c r="S4280" s="21">
        <v>0</v>
      </c>
      <c r="T4280" s="21">
        <v>0</v>
      </c>
      <c r="U4280" s="21">
        <v>0</v>
      </c>
      <c r="V4280" s="21">
        <v>0</v>
      </c>
      <c r="W4280" s="21">
        <v>0</v>
      </c>
      <c r="X4280" s="71" t="s">
        <v>2272</v>
      </c>
      <c r="Y4280" s="71" t="s">
        <v>2272</v>
      </c>
      <c r="Z4280" s="71" t="s">
        <v>2272</v>
      </c>
      <c r="AA4280" s="71" t="s">
        <v>2272</v>
      </c>
      <c r="AB4280" s="4" t="s">
        <v>10919</v>
      </c>
      <c r="AC4280" s="198"/>
    </row>
    <row r="4281" spans="1:29" ht="40" customHeight="1">
      <c r="A4281" s="147" t="str">
        <f>'Reported burning'!A4281</f>
        <v>473a</v>
      </c>
      <c r="B4281" s="147" t="str">
        <f>'Reported burning'!B4281</f>
        <v>473a.1</v>
      </c>
      <c r="C4281" s="147" t="str">
        <f>'Reported burning'!C4281</f>
        <v>Human, escaped</v>
      </c>
      <c r="D4281" s="147" t="str">
        <f>'Reported burning'!D4281</f>
        <v>ND</v>
      </c>
      <c r="E4281" s="147" t="str">
        <f>'Reported burning'!E4281</f>
        <v>ND</v>
      </c>
      <c r="F4281" s="147" t="str">
        <f>'Reported burning'!F4281</f>
        <v>ND</v>
      </c>
      <c r="G4281" s="147" t="str">
        <f>'Reported burning'!G4281</f>
        <v>Shrubland (Mixed forest &amp; grassland)</v>
      </c>
      <c r="H4281" s="147" t="str">
        <f>'Reported burning'!H4281</f>
        <v>Presence</v>
      </c>
      <c r="I4281" s="198"/>
      <c r="J4281" s="71" t="s">
        <v>2272</v>
      </c>
      <c r="K4281" s="71" t="s">
        <v>2272</v>
      </c>
      <c r="L4281" s="71" t="s">
        <v>2272</v>
      </c>
      <c r="M4281" s="71" t="s">
        <v>2272</v>
      </c>
      <c r="N4281" s="71" t="s">
        <v>2272</v>
      </c>
      <c r="O4281" s="71" t="s">
        <v>2272</v>
      </c>
      <c r="P4281" s="71" t="s">
        <v>2272</v>
      </c>
      <c r="Q4281" s="71" t="s">
        <v>2272</v>
      </c>
      <c r="R4281" s="71" t="s">
        <v>2272</v>
      </c>
      <c r="S4281" s="71" t="s">
        <v>2272</v>
      </c>
      <c r="T4281" s="71" t="s">
        <v>2272</v>
      </c>
      <c r="U4281" s="71" t="s">
        <v>2272</v>
      </c>
      <c r="V4281" s="71" t="s">
        <v>2272</v>
      </c>
      <c r="W4281" s="71" t="s">
        <v>2272</v>
      </c>
      <c r="X4281" s="71" t="s">
        <v>2272</v>
      </c>
      <c r="Y4281" s="198" t="s">
        <v>423</v>
      </c>
      <c r="Z4281" s="198" t="s">
        <v>125</v>
      </c>
      <c r="AA4281" s="198" t="s">
        <v>2650</v>
      </c>
      <c r="AB4281" s="4" t="s">
        <v>10925</v>
      </c>
      <c r="AC4281" s="198"/>
    </row>
    <row r="4282" spans="1:29" ht="29">
      <c r="A4282" s="147" t="str">
        <f>'Reported burning'!A4282</f>
        <v>473b</v>
      </c>
      <c r="B4282" s="147" t="str">
        <f>'Reported burning'!B4282</f>
        <v>473b.1</v>
      </c>
      <c r="C4282" s="147" t="str">
        <f>'Reported burning'!C4282</f>
        <v>Human, accidental</v>
      </c>
      <c r="D4282" s="147" t="str">
        <f>'Reported burning'!D4282</f>
        <v>Accidental</v>
      </c>
      <c r="E4282" s="147" t="str">
        <f>'Reported burning'!E4282</f>
        <v>Tourism manager</v>
      </c>
      <c r="F4282" s="147" t="str">
        <f>'Reported burning'!F4282</f>
        <v>ND</v>
      </c>
      <c r="G4282" s="147" t="str">
        <f>'Reported burning'!G4282</f>
        <v>Shrubland (Mixed forest &amp; grassland)</v>
      </c>
      <c r="H4282" s="147" t="str">
        <f>'Reported burning'!H4282</f>
        <v>Presence</v>
      </c>
      <c r="I4282" s="198"/>
      <c r="J4282" s="71" t="s">
        <v>2272</v>
      </c>
      <c r="K4282" s="71" t="s">
        <v>2272</v>
      </c>
      <c r="L4282" s="71" t="s">
        <v>2272</v>
      </c>
      <c r="M4282" s="71" t="s">
        <v>2272</v>
      </c>
      <c r="N4282" s="71" t="s">
        <v>2272</v>
      </c>
      <c r="O4282" s="71" t="s">
        <v>2272</v>
      </c>
      <c r="P4282" s="71" t="s">
        <v>2272</v>
      </c>
      <c r="Q4282" s="71" t="s">
        <v>2272</v>
      </c>
      <c r="R4282" s="71" t="s">
        <v>2272</v>
      </c>
      <c r="S4282" s="71" t="s">
        <v>2272</v>
      </c>
      <c r="T4282" s="71" t="s">
        <v>2272</v>
      </c>
      <c r="U4282" s="71" t="s">
        <v>2272</v>
      </c>
      <c r="V4282" s="71" t="s">
        <v>2272</v>
      </c>
      <c r="W4282" s="71" t="s">
        <v>2272</v>
      </c>
      <c r="X4282" s="71" t="s">
        <v>2272</v>
      </c>
      <c r="Y4282" s="71" t="s">
        <v>2272</v>
      </c>
      <c r="Z4282" s="71" t="s">
        <v>2272</v>
      </c>
      <c r="AA4282" s="71" t="s">
        <v>2272</v>
      </c>
      <c r="AB4282" s="198"/>
      <c r="AC4282" s="198"/>
    </row>
    <row r="4283" spans="1:29" ht="29">
      <c r="A4283" s="147" t="str">
        <f>'Reported burning'!A4283</f>
        <v>473b</v>
      </c>
      <c r="B4283" s="147" t="str">
        <f>'Reported burning'!B4283</f>
        <v>473b.2</v>
      </c>
      <c r="C4283" s="147" t="str">
        <f>'Reported burning'!C4283</f>
        <v>Human, escaped</v>
      </c>
      <c r="D4283" s="147" t="str">
        <f>'Reported burning'!D4283</f>
        <v>Domestic</v>
      </c>
      <c r="E4283" s="147" t="str">
        <f>'Reported burning'!E4283</f>
        <v>Tourism manager</v>
      </c>
      <c r="F4283" s="147" t="str">
        <f>'Reported burning'!F4283</f>
        <v>ND</v>
      </c>
      <c r="G4283" s="147" t="str">
        <f>'Reported burning'!G4283</f>
        <v>Shrubland (Mixed forest &amp; grassland)</v>
      </c>
      <c r="H4283" s="147" t="str">
        <f>'Reported burning'!H4283</f>
        <v>Presence</v>
      </c>
      <c r="I4283" s="198"/>
      <c r="J4283" s="71" t="s">
        <v>2272</v>
      </c>
      <c r="K4283" s="71" t="s">
        <v>2272</v>
      </c>
      <c r="L4283" s="71" t="s">
        <v>2272</v>
      </c>
      <c r="M4283" s="71" t="s">
        <v>2272</v>
      </c>
      <c r="N4283" s="71" t="s">
        <v>2272</v>
      </c>
      <c r="O4283" s="71" t="s">
        <v>2272</v>
      </c>
      <c r="P4283" s="71" t="s">
        <v>2272</v>
      </c>
      <c r="Q4283" s="71" t="s">
        <v>2272</v>
      </c>
      <c r="R4283" s="71" t="s">
        <v>2272</v>
      </c>
      <c r="S4283" s="71" t="s">
        <v>2272</v>
      </c>
      <c r="T4283" s="71" t="s">
        <v>2272</v>
      </c>
      <c r="U4283" s="71" t="s">
        <v>2272</v>
      </c>
      <c r="V4283" s="71" t="s">
        <v>2272</v>
      </c>
      <c r="W4283" s="71" t="s">
        <v>2272</v>
      </c>
      <c r="X4283" s="71" t="s">
        <v>2272</v>
      </c>
      <c r="Y4283" s="71" t="s">
        <v>2272</v>
      </c>
      <c r="Z4283" s="71" t="s">
        <v>2272</v>
      </c>
      <c r="AA4283" s="71" t="s">
        <v>2272</v>
      </c>
      <c r="AB4283" s="198"/>
      <c r="AC4283" s="198"/>
    </row>
    <row r="4284" spans="1:29" ht="29">
      <c r="A4284" s="147" t="str">
        <f>'Reported burning'!A4284</f>
        <v>473b</v>
      </c>
      <c r="B4284" s="147" t="str">
        <f>'Reported burning'!B4284</f>
        <v>473b.3</v>
      </c>
      <c r="C4284" s="147" t="str">
        <f>'Reported burning'!C4284</f>
        <v>Human, accidental</v>
      </c>
      <c r="D4284" s="147" t="str">
        <f>'Reported burning'!D4284</f>
        <v>Accidental</v>
      </c>
      <c r="E4284" s="147" t="str">
        <f>'Reported burning'!E4284</f>
        <v>Urban planner</v>
      </c>
      <c r="F4284" s="147" t="str">
        <f>'Reported burning'!F4284</f>
        <v>ND</v>
      </c>
      <c r="G4284" s="147" t="str">
        <f>'Reported burning'!G4284</f>
        <v>Shrubland (Mixed forest &amp; grassland)</v>
      </c>
      <c r="H4284" s="147" t="str">
        <f>'Reported burning'!H4284</f>
        <v>Presence</v>
      </c>
      <c r="I4284" s="198"/>
      <c r="J4284" s="71" t="s">
        <v>2272</v>
      </c>
      <c r="K4284" s="71" t="s">
        <v>2272</v>
      </c>
      <c r="L4284" s="71" t="s">
        <v>2272</v>
      </c>
      <c r="M4284" s="71" t="s">
        <v>2272</v>
      </c>
      <c r="N4284" s="71" t="s">
        <v>2272</v>
      </c>
      <c r="O4284" s="71" t="s">
        <v>2272</v>
      </c>
      <c r="P4284" s="71" t="s">
        <v>2272</v>
      </c>
      <c r="Q4284" s="71" t="s">
        <v>2272</v>
      </c>
      <c r="R4284" s="71" t="s">
        <v>2272</v>
      </c>
      <c r="S4284" s="71" t="s">
        <v>2272</v>
      </c>
      <c r="T4284" s="71" t="s">
        <v>2272</v>
      </c>
      <c r="U4284" s="71" t="s">
        <v>2272</v>
      </c>
      <c r="V4284" s="71" t="s">
        <v>2272</v>
      </c>
      <c r="W4284" s="71" t="s">
        <v>2272</v>
      </c>
      <c r="X4284" s="71" t="s">
        <v>2272</v>
      </c>
      <c r="Y4284" s="71" t="s">
        <v>2272</v>
      </c>
      <c r="Z4284" s="71" t="s">
        <v>2272</v>
      </c>
      <c r="AA4284" s="71" t="s">
        <v>2272</v>
      </c>
      <c r="AB4284" s="198" t="s">
        <v>10933</v>
      </c>
      <c r="AC4284" s="198"/>
    </row>
    <row r="4285" spans="1:29" ht="29">
      <c r="A4285" s="147" t="str">
        <f>'Reported burning'!A4285</f>
        <v>473b</v>
      </c>
      <c r="B4285" s="147" t="str">
        <f>'Reported burning'!B4285</f>
        <v>473b.4</v>
      </c>
      <c r="C4285" s="147" t="str">
        <f>'Reported burning'!C4285</f>
        <v>Human, escaped</v>
      </c>
      <c r="D4285" s="147" t="str">
        <f>'Reported burning'!D4285</f>
        <v>Domestic</v>
      </c>
      <c r="E4285" s="147" t="str">
        <f>'Reported burning'!E4285</f>
        <v>Urban planner</v>
      </c>
      <c r="F4285" s="147" t="str">
        <f>'Reported burning'!F4285</f>
        <v>ND</v>
      </c>
      <c r="G4285" s="147" t="str">
        <f>'Reported burning'!G4285</f>
        <v>Shrubland (Mixed forest &amp; grassland)</v>
      </c>
      <c r="H4285" s="147" t="str">
        <f>'Reported burning'!H4285</f>
        <v>Presence</v>
      </c>
      <c r="I4285" s="198"/>
      <c r="J4285" s="71" t="s">
        <v>2272</v>
      </c>
      <c r="K4285" s="71" t="s">
        <v>2272</v>
      </c>
      <c r="L4285" s="71" t="s">
        <v>2272</v>
      </c>
      <c r="M4285" s="71" t="s">
        <v>2272</v>
      </c>
      <c r="N4285" s="71" t="s">
        <v>2272</v>
      </c>
      <c r="O4285" s="71" t="s">
        <v>2272</v>
      </c>
      <c r="P4285" s="71" t="s">
        <v>2272</v>
      </c>
      <c r="Q4285" s="71" t="s">
        <v>2272</v>
      </c>
      <c r="R4285" s="71" t="s">
        <v>2272</v>
      </c>
      <c r="S4285" s="71" t="s">
        <v>2272</v>
      </c>
      <c r="T4285" s="71" t="s">
        <v>2272</v>
      </c>
      <c r="U4285" s="71" t="s">
        <v>2272</v>
      </c>
      <c r="V4285" s="71" t="s">
        <v>2272</v>
      </c>
      <c r="W4285" s="71" t="s">
        <v>2272</v>
      </c>
      <c r="X4285" s="71" t="s">
        <v>2272</v>
      </c>
      <c r="Y4285" s="71" t="s">
        <v>2272</v>
      </c>
      <c r="Z4285" s="71" t="s">
        <v>2272</v>
      </c>
      <c r="AA4285" s="71" t="s">
        <v>2272</v>
      </c>
      <c r="AB4285" s="198" t="s">
        <v>10933</v>
      </c>
      <c r="AC4285" s="198"/>
    </row>
    <row r="4286" spans="1:29" ht="29">
      <c r="A4286" s="147" t="str">
        <f>'Reported burning'!A4286</f>
        <v>473b</v>
      </c>
      <c r="B4286" s="147" t="str">
        <f>'Reported burning'!B4286</f>
        <v>473b.5</v>
      </c>
      <c r="C4286" s="147" t="str">
        <f>'Reported burning'!C4286</f>
        <v>Human, escaped</v>
      </c>
      <c r="D4286" s="147" t="str">
        <f>'Reported burning'!D4286</f>
        <v>ND</v>
      </c>
      <c r="E4286" s="147" t="str">
        <f>'Reported burning'!E4286</f>
        <v>ND</v>
      </c>
      <c r="F4286" s="147" t="str">
        <f>'Reported burning'!F4286</f>
        <v>ND</v>
      </c>
      <c r="G4286" s="147" t="str">
        <f>'Reported burning'!G4286</f>
        <v>Shrubland (Mixed forest &amp; grassland)</v>
      </c>
      <c r="H4286" s="147" t="str">
        <f>'Reported burning'!H4286</f>
        <v>Presence</v>
      </c>
      <c r="I4286" s="198"/>
      <c r="J4286" s="71" t="s">
        <v>2272</v>
      </c>
      <c r="K4286" s="71" t="s">
        <v>2272</v>
      </c>
      <c r="L4286" s="71" t="s">
        <v>2272</v>
      </c>
      <c r="M4286" s="71" t="s">
        <v>2272</v>
      </c>
      <c r="N4286" s="71" t="s">
        <v>2272</v>
      </c>
      <c r="O4286" s="71" t="s">
        <v>2272</v>
      </c>
      <c r="P4286" s="71" t="s">
        <v>2272</v>
      </c>
      <c r="Q4286" s="71" t="s">
        <v>2272</v>
      </c>
      <c r="R4286" s="71" t="s">
        <v>2272</v>
      </c>
      <c r="S4286" s="71" t="s">
        <v>2272</v>
      </c>
      <c r="T4286" s="71" t="s">
        <v>2272</v>
      </c>
      <c r="U4286" s="71" t="s">
        <v>2272</v>
      </c>
      <c r="V4286" s="71" t="s">
        <v>2272</v>
      </c>
      <c r="W4286" s="71" t="s">
        <v>2272</v>
      </c>
      <c r="X4286" s="71" t="s">
        <v>2272</v>
      </c>
      <c r="Y4286" s="71" t="s">
        <v>2272</v>
      </c>
      <c r="Z4286" s="71" t="s">
        <v>2272</v>
      </c>
      <c r="AA4286" s="71" t="s">
        <v>2272</v>
      </c>
      <c r="AB4286" s="198"/>
      <c r="AC4286" s="198"/>
    </row>
    <row r="4287" spans="1:29" ht="29">
      <c r="A4287" s="147" t="str">
        <f>'Reported burning'!A4287</f>
        <v>473b</v>
      </c>
      <c r="B4287" s="147" t="str">
        <f>'Reported burning'!B4287</f>
        <v>473b.6</v>
      </c>
      <c r="C4287" s="147" t="str">
        <f>'Reported burning'!C4287</f>
        <v>Lightning</v>
      </c>
      <c r="D4287" s="147" t="str">
        <f>'Reported burning'!D4287</f>
        <v>ND</v>
      </c>
      <c r="E4287" s="147" t="str">
        <f>'Reported burning'!E4287</f>
        <v>ND</v>
      </c>
      <c r="F4287" s="147" t="str">
        <f>'Reported burning'!F4287</f>
        <v>ND</v>
      </c>
      <c r="G4287" s="147" t="str">
        <f>'Reported burning'!G4287</f>
        <v>Shrubland (Mixed forest &amp; grassland)</v>
      </c>
      <c r="H4287" s="147" t="str">
        <f>'Reported burning'!H4287</f>
        <v>Absence</v>
      </c>
      <c r="I4287" s="198"/>
      <c r="J4287" s="21">
        <v>0</v>
      </c>
      <c r="K4287" s="21">
        <v>0</v>
      </c>
      <c r="L4287" s="21">
        <v>0</v>
      </c>
      <c r="M4287" s="21">
        <v>0</v>
      </c>
      <c r="N4287" s="21">
        <v>0</v>
      </c>
      <c r="O4287" s="21">
        <v>0</v>
      </c>
      <c r="P4287" s="21">
        <v>0</v>
      </c>
      <c r="Q4287" s="21">
        <v>0</v>
      </c>
      <c r="R4287" s="21">
        <v>0</v>
      </c>
      <c r="S4287" s="21">
        <v>0</v>
      </c>
      <c r="T4287" s="21">
        <v>0</v>
      </c>
      <c r="U4287" s="21">
        <v>0</v>
      </c>
      <c r="V4287" s="21">
        <v>0</v>
      </c>
      <c r="W4287" s="21">
        <v>0</v>
      </c>
      <c r="X4287" s="71" t="s">
        <v>2272</v>
      </c>
      <c r="Y4287" s="71" t="s">
        <v>2272</v>
      </c>
      <c r="Z4287" s="71" t="s">
        <v>2272</v>
      </c>
      <c r="AA4287" s="71" t="s">
        <v>2272</v>
      </c>
      <c r="AB4287" s="198"/>
      <c r="AC4287" s="198"/>
    </row>
    <row r="4288" spans="1:29" ht="29">
      <c r="A4288" s="147" t="str">
        <f>'Reported burning'!A4288</f>
        <v>473b</v>
      </c>
      <c r="B4288" s="147" t="str">
        <f>'Reported burning'!B4288</f>
        <v>473b.7</v>
      </c>
      <c r="C4288" s="147" t="str">
        <f>'Reported burning'!C4288</f>
        <v>Lightning</v>
      </c>
      <c r="D4288" s="147" t="str">
        <f>'Reported burning'!D4288</f>
        <v>ND</v>
      </c>
      <c r="E4288" s="147" t="str">
        <f>'Reported burning'!E4288</f>
        <v>ND</v>
      </c>
      <c r="F4288" s="147" t="str">
        <f>'Reported burning'!F4288</f>
        <v>ND</v>
      </c>
      <c r="G4288" s="147" t="str">
        <f>'Reported burning'!G4288</f>
        <v>Shrubland (Mixed forest &amp; grassland)</v>
      </c>
      <c r="H4288" s="147" t="str">
        <f>'Reported burning'!H4288</f>
        <v>Presence</v>
      </c>
      <c r="I4288" s="198"/>
      <c r="J4288" s="71" t="s">
        <v>2272</v>
      </c>
      <c r="K4288" s="71" t="s">
        <v>2272</v>
      </c>
      <c r="L4288" s="71" t="s">
        <v>2272</v>
      </c>
      <c r="M4288" s="71">
        <v>300</v>
      </c>
      <c r="N4288" s="71" t="s">
        <v>2272</v>
      </c>
      <c r="O4288" s="71" t="s">
        <v>2272</v>
      </c>
      <c r="P4288" s="71" t="s">
        <v>2272</v>
      </c>
      <c r="Q4288" s="71" t="s">
        <v>2272</v>
      </c>
      <c r="R4288" s="71" t="s">
        <v>2272</v>
      </c>
      <c r="S4288" s="71" t="s">
        <v>2272</v>
      </c>
      <c r="T4288" s="71" t="s">
        <v>2272</v>
      </c>
      <c r="U4288" s="71" t="s">
        <v>2272</v>
      </c>
      <c r="V4288" s="71" t="s">
        <v>2272</v>
      </c>
      <c r="W4288" s="71" t="s">
        <v>2272</v>
      </c>
      <c r="X4288" s="71" t="s">
        <v>2272</v>
      </c>
      <c r="Y4288" s="198" t="s">
        <v>67</v>
      </c>
      <c r="Z4288" s="198" t="s">
        <v>67</v>
      </c>
      <c r="AA4288" s="71" t="s">
        <v>2272</v>
      </c>
      <c r="AB4288" s="198"/>
      <c r="AC4288" s="198"/>
    </row>
    <row r="4289" spans="1:29" ht="43.5">
      <c r="A4289" s="147" t="str">
        <f>'Reported burning'!A4289</f>
        <v>473c</v>
      </c>
      <c r="B4289" s="147" t="str">
        <f>'Reported burning'!B4289</f>
        <v>473c.1</v>
      </c>
      <c r="C4289" s="147" t="str">
        <f>'Reported burning'!C4289</f>
        <v>All</v>
      </c>
      <c r="D4289" s="147" t="str">
        <f>'Reported burning'!D4289</f>
        <v>ND</v>
      </c>
      <c r="E4289" s="147" t="str">
        <f>'Reported burning'!E4289</f>
        <v>ND</v>
      </c>
      <c r="F4289" s="147" t="str">
        <f>'Reported burning'!F4289</f>
        <v>ND</v>
      </c>
      <c r="G4289" s="147" t="str">
        <f>'Reported burning'!G4289</f>
        <v>Shrubland (Mixed forest &amp; grassland)</v>
      </c>
      <c r="H4289" s="147" t="str">
        <f>'Reported burning'!H4289</f>
        <v>Presence</v>
      </c>
      <c r="I4289" s="198"/>
      <c r="J4289" s="21" t="s">
        <v>2363</v>
      </c>
      <c r="K4289" s="21" t="s">
        <v>2363</v>
      </c>
      <c r="L4289" s="71" t="s">
        <v>2272</v>
      </c>
      <c r="M4289" s="71" t="s">
        <v>2272</v>
      </c>
      <c r="N4289" s="71" t="s">
        <v>2272</v>
      </c>
      <c r="O4289" s="71" t="s">
        <v>2272</v>
      </c>
      <c r="P4289" s="71" t="s">
        <v>2272</v>
      </c>
      <c r="Q4289" s="21" t="s">
        <v>2369</v>
      </c>
      <c r="R4289" s="71" t="s">
        <v>2272</v>
      </c>
      <c r="S4289" s="71" t="s">
        <v>2272</v>
      </c>
      <c r="T4289" s="71" t="s">
        <v>2272</v>
      </c>
      <c r="U4289" s="71" t="s">
        <v>2272</v>
      </c>
      <c r="V4289" s="71" t="s">
        <v>2272</v>
      </c>
      <c r="W4289" s="71" t="s">
        <v>2272</v>
      </c>
      <c r="X4289" s="71" t="s">
        <v>2272</v>
      </c>
      <c r="Y4289" s="71" t="s">
        <v>2272</v>
      </c>
      <c r="Z4289" s="71" t="s">
        <v>2272</v>
      </c>
      <c r="AA4289" s="71" t="s">
        <v>2272</v>
      </c>
      <c r="AB4289" s="198"/>
      <c r="AC4289" s="4" t="s">
        <v>10942</v>
      </c>
    </row>
    <row r="4290" spans="1:29" ht="55" customHeight="1">
      <c r="A4290" s="147" t="str">
        <f>'Reported burning'!A4290</f>
        <v>473c</v>
      </c>
      <c r="B4290" s="147" t="str">
        <f>'Reported burning'!B4290</f>
        <v>473c.2</v>
      </c>
      <c r="C4290" s="147" t="str">
        <f>'Reported burning'!C4290</f>
        <v>All</v>
      </c>
      <c r="D4290" s="147" t="str">
        <f>'Reported burning'!D4290</f>
        <v>ND</v>
      </c>
      <c r="E4290" s="147" t="str">
        <f>'Reported burning'!E4290</f>
        <v>ND</v>
      </c>
      <c r="F4290" s="147" t="str">
        <f>'Reported burning'!F4290</f>
        <v>ND</v>
      </c>
      <c r="G4290" s="147" t="str">
        <f>'Reported burning'!G4290</f>
        <v>Shrubland (Mixed forest &amp; grassland)</v>
      </c>
      <c r="H4290" s="147" t="str">
        <f>'Reported burning'!H4290</f>
        <v>Presence</v>
      </c>
      <c r="I4290" s="198"/>
      <c r="J4290" s="21" t="s">
        <v>2363</v>
      </c>
      <c r="K4290" s="21" t="s">
        <v>2363</v>
      </c>
      <c r="L4290" s="71" t="s">
        <v>2272</v>
      </c>
      <c r="M4290" s="71" t="s">
        <v>2272</v>
      </c>
      <c r="N4290" s="71" t="s">
        <v>2272</v>
      </c>
      <c r="O4290" s="71" t="s">
        <v>2272</v>
      </c>
      <c r="P4290" s="71" t="s">
        <v>2272</v>
      </c>
      <c r="Q4290" s="21" t="s">
        <v>2372</v>
      </c>
      <c r="R4290" s="71" t="s">
        <v>2272</v>
      </c>
      <c r="S4290" s="71" t="s">
        <v>2272</v>
      </c>
      <c r="T4290" s="71" t="s">
        <v>2272</v>
      </c>
      <c r="U4290" s="71" t="s">
        <v>2272</v>
      </c>
      <c r="V4290" s="71" t="s">
        <v>2272</v>
      </c>
      <c r="W4290" s="71" t="s">
        <v>2272</v>
      </c>
      <c r="X4290" s="71" t="s">
        <v>2272</v>
      </c>
      <c r="Y4290" s="71" t="s">
        <v>2272</v>
      </c>
      <c r="Z4290" s="71" t="s">
        <v>2272</v>
      </c>
      <c r="AA4290" s="71" t="s">
        <v>2272</v>
      </c>
      <c r="AB4290" s="198"/>
      <c r="AC4290" s="4" t="s">
        <v>10942</v>
      </c>
    </row>
    <row r="4291" spans="1:29" ht="52.5" customHeight="1">
      <c r="A4291" s="147" t="str">
        <f>'Reported burning'!A4291</f>
        <v>474a</v>
      </c>
      <c r="B4291" s="147" t="str">
        <f>'Reported burning'!B4291</f>
        <v>474a.1</v>
      </c>
      <c r="C4291" s="147" t="str">
        <f>'Reported burning'!C4291</f>
        <v>All</v>
      </c>
      <c r="D4291" s="147" t="str">
        <f>'Reported burning'!D4291</f>
        <v>ND</v>
      </c>
      <c r="E4291" s="147" t="str">
        <f>'Reported burning'!E4291</f>
        <v>ND</v>
      </c>
      <c r="F4291" s="147" t="str">
        <f>'Reported burning'!F4291</f>
        <v>ND</v>
      </c>
      <c r="G4291" s="147" t="str">
        <f>'Reported burning'!G4291</f>
        <v>ND</v>
      </c>
      <c r="H4291" s="147" t="str">
        <f>'Reported burning'!H4291</f>
        <v>Presence</v>
      </c>
      <c r="I4291" s="198"/>
      <c r="J4291" s="71" t="s">
        <v>2272</v>
      </c>
      <c r="K4291" s="71" t="s">
        <v>2272</v>
      </c>
      <c r="L4291" s="71" t="s">
        <v>2272</v>
      </c>
      <c r="M4291" s="71" t="s">
        <v>2272</v>
      </c>
      <c r="N4291" s="71" t="s">
        <v>2272</v>
      </c>
      <c r="O4291" s="71" t="s">
        <v>2272</v>
      </c>
      <c r="P4291" s="71" t="s">
        <v>2272</v>
      </c>
      <c r="Q4291" s="71" t="s">
        <v>2272</v>
      </c>
      <c r="R4291" s="71" t="s">
        <v>2272</v>
      </c>
      <c r="S4291" s="71" t="s">
        <v>2272</v>
      </c>
      <c r="T4291" s="71" t="s">
        <v>2272</v>
      </c>
      <c r="U4291" s="71" t="s">
        <v>2272</v>
      </c>
      <c r="V4291" s="71" t="s">
        <v>2272</v>
      </c>
      <c r="W4291" s="71" t="s">
        <v>2272</v>
      </c>
      <c r="X4291" s="71" t="s">
        <v>2272</v>
      </c>
      <c r="Y4291" s="71" t="s">
        <v>2272</v>
      </c>
      <c r="Z4291" s="71" t="s">
        <v>2272</v>
      </c>
      <c r="AA4291" s="71" t="s">
        <v>2272</v>
      </c>
      <c r="AB4291" s="4" t="s">
        <v>11005</v>
      </c>
      <c r="AC4291" s="198"/>
    </row>
    <row r="4292" spans="1:29" ht="46.5" customHeight="1">
      <c r="A4292" s="147" t="str">
        <f>'Reported burning'!A4292</f>
        <v>474b</v>
      </c>
      <c r="B4292" s="147" t="str">
        <f>'Reported burning'!B4292</f>
        <v>474b.1</v>
      </c>
      <c r="C4292" s="147" t="str">
        <f>'Reported burning'!C4292</f>
        <v>All</v>
      </c>
      <c r="D4292" s="147" t="str">
        <f>'Reported burning'!D4292</f>
        <v>ND</v>
      </c>
      <c r="E4292" s="147" t="str">
        <f>'Reported burning'!E4292</f>
        <v>ND</v>
      </c>
      <c r="F4292" s="147" t="str">
        <f>'Reported burning'!F4292</f>
        <v>ND</v>
      </c>
      <c r="G4292" s="147" t="str">
        <f>'Reported burning'!G4292</f>
        <v>ND</v>
      </c>
      <c r="H4292" s="147" t="str">
        <f>'Reported burning'!H4292</f>
        <v>Presence</v>
      </c>
      <c r="I4292" s="198"/>
      <c r="J4292" s="71" t="s">
        <v>2272</v>
      </c>
      <c r="K4292" s="71" t="s">
        <v>2272</v>
      </c>
      <c r="L4292" s="71" t="s">
        <v>2272</v>
      </c>
      <c r="M4292" s="71" t="s">
        <v>2272</v>
      </c>
      <c r="N4292" s="71" t="s">
        <v>2272</v>
      </c>
      <c r="O4292" s="71" t="s">
        <v>2272</v>
      </c>
      <c r="P4292" s="71" t="s">
        <v>2272</v>
      </c>
      <c r="Q4292" s="71" t="s">
        <v>2272</v>
      </c>
      <c r="R4292" s="71" t="s">
        <v>2272</v>
      </c>
      <c r="S4292" s="71" t="s">
        <v>2272</v>
      </c>
      <c r="T4292" s="71" t="s">
        <v>2272</v>
      </c>
      <c r="U4292" s="71" t="s">
        <v>2272</v>
      </c>
      <c r="V4292" s="71" t="s">
        <v>2272</v>
      </c>
      <c r="W4292" s="71" t="s">
        <v>2272</v>
      </c>
      <c r="X4292" s="71" t="s">
        <v>2272</v>
      </c>
      <c r="Y4292" s="71" t="s">
        <v>2272</v>
      </c>
      <c r="Z4292" s="71" t="s">
        <v>2272</v>
      </c>
      <c r="AA4292" s="71" t="s">
        <v>2272</v>
      </c>
      <c r="AB4292" s="4" t="s">
        <v>11005</v>
      </c>
      <c r="AC4292" s="198"/>
    </row>
    <row r="4293" spans="1:29" ht="46.5" customHeight="1">
      <c r="A4293" s="147" t="str">
        <f>'Reported burning'!A4293</f>
        <v>474c</v>
      </c>
      <c r="B4293" s="147" t="str">
        <f>'Reported burning'!B4293</f>
        <v>474c.1</v>
      </c>
      <c r="C4293" s="147" t="str">
        <f>'Reported burning'!C4293</f>
        <v>All</v>
      </c>
      <c r="D4293" s="147" t="str">
        <f>'Reported burning'!D4293</f>
        <v>ND</v>
      </c>
      <c r="E4293" s="147" t="str">
        <f>'Reported burning'!E4293</f>
        <v>ND</v>
      </c>
      <c r="F4293" s="147" t="str">
        <f>'Reported burning'!F4293</f>
        <v>ND</v>
      </c>
      <c r="G4293" s="147" t="str">
        <f>'Reported burning'!G4293</f>
        <v>ND</v>
      </c>
      <c r="H4293" s="147" t="str">
        <f>'Reported burning'!H4293</f>
        <v>Presence</v>
      </c>
      <c r="I4293" s="198"/>
      <c r="J4293" s="71" t="s">
        <v>2272</v>
      </c>
      <c r="K4293" s="71" t="s">
        <v>2272</v>
      </c>
      <c r="L4293" s="71" t="s">
        <v>2272</v>
      </c>
      <c r="M4293" s="71" t="s">
        <v>2272</v>
      </c>
      <c r="N4293" s="71" t="s">
        <v>2272</v>
      </c>
      <c r="O4293" s="71" t="s">
        <v>2272</v>
      </c>
      <c r="P4293" s="71" t="s">
        <v>2272</v>
      </c>
      <c r="Q4293" s="71" t="s">
        <v>2272</v>
      </c>
      <c r="R4293" s="71" t="s">
        <v>2272</v>
      </c>
      <c r="S4293" s="71" t="s">
        <v>2272</v>
      </c>
      <c r="T4293" s="71" t="s">
        <v>2272</v>
      </c>
      <c r="U4293" s="71" t="s">
        <v>2272</v>
      </c>
      <c r="V4293" s="71" t="s">
        <v>2272</v>
      </c>
      <c r="W4293" s="71" t="s">
        <v>2272</v>
      </c>
      <c r="X4293" s="71" t="s">
        <v>2272</v>
      </c>
      <c r="Y4293" s="71" t="s">
        <v>2272</v>
      </c>
      <c r="Z4293" s="71" t="s">
        <v>2272</v>
      </c>
      <c r="AA4293" s="71" t="s">
        <v>2272</v>
      </c>
      <c r="AB4293" s="4" t="s">
        <v>11005</v>
      </c>
      <c r="AC4293" s="198"/>
    </row>
    <row r="4294" spans="1:29" ht="46.5" customHeight="1">
      <c r="A4294" s="147" t="str">
        <f>'Reported burning'!A4294</f>
        <v>474d</v>
      </c>
      <c r="B4294" s="147" t="str">
        <f>'Reported burning'!B4294</f>
        <v>474d.1</v>
      </c>
      <c r="C4294" s="147" t="str">
        <f>'Reported burning'!C4294</f>
        <v>All</v>
      </c>
      <c r="D4294" s="147" t="str">
        <f>'Reported burning'!D4294</f>
        <v>ND</v>
      </c>
      <c r="E4294" s="147" t="str">
        <f>'Reported burning'!E4294</f>
        <v>ND</v>
      </c>
      <c r="F4294" s="147" t="str">
        <f>'Reported burning'!F4294</f>
        <v>ND</v>
      </c>
      <c r="G4294" s="147" t="str">
        <f>'Reported burning'!G4294</f>
        <v>ND</v>
      </c>
      <c r="H4294" s="147" t="str">
        <f>'Reported burning'!H4294</f>
        <v>Presence</v>
      </c>
      <c r="I4294" s="198"/>
      <c r="J4294" s="71" t="s">
        <v>2272</v>
      </c>
      <c r="K4294" s="71" t="s">
        <v>2272</v>
      </c>
      <c r="L4294" s="71" t="s">
        <v>2272</v>
      </c>
      <c r="M4294" s="71" t="s">
        <v>2272</v>
      </c>
      <c r="N4294" s="71" t="s">
        <v>2272</v>
      </c>
      <c r="O4294" s="71" t="s">
        <v>2272</v>
      </c>
      <c r="P4294" s="71" t="s">
        <v>2272</v>
      </c>
      <c r="Q4294" s="71" t="s">
        <v>2272</v>
      </c>
      <c r="R4294" s="71" t="s">
        <v>2272</v>
      </c>
      <c r="S4294" s="71" t="s">
        <v>2272</v>
      </c>
      <c r="T4294" s="71" t="s">
        <v>2272</v>
      </c>
      <c r="U4294" s="71" t="s">
        <v>2272</v>
      </c>
      <c r="V4294" s="71" t="s">
        <v>2272</v>
      </c>
      <c r="W4294" s="71" t="s">
        <v>2272</v>
      </c>
      <c r="X4294" s="71" t="s">
        <v>2272</v>
      </c>
      <c r="Y4294" s="71" t="s">
        <v>2272</v>
      </c>
      <c r="Z4294" s="71" t="s">
        <v>2272</v>
      </c>
      <c r="AA4294" s="71" t="s">
        <v>2272</v>
      </c>
      <c r="AB4294" s="4" t="s">
        <v>11005</v>
      </c>
      <c r="AC4294" s="198"/>
    </row>
    <row r="4295" spans="1:29" ht="46.5" customHeight="1">
      <c r="A4295" s="147" t="str">
        <f>'Reported burning'!A4295</f>
        <v>474e</v>
      </c>
      <c r="B4295" s="147" t="str">
        <f>'Reported burning'!B4295</f>
        <v>474e.1</v>
      </c>
      <c r="C4295" s="147" t="str">
        <f>'Reported burning'!C4295</f>
        <v>All</v>
      </c>
      <c r="D4295" s="147" t="str">
        <f>'Reported burning'!D4295</f>
        <v>ND</v>
      </c>
      <c r="E4295" s="147" t="str">
        <f>'Reported burning'!E4295</f>
        <v>ND</v>
      </c>
      <c r="F4295" s="147" t="str">
        <f>'Reported burning'!F4295</f>
        <v>ND</v>
      </c>
      <c r="G4295" s="147" t="str">
        <f>'Reported burning'!G4295</f>
        <v>ND</v>
      </c>
      <c r="H4295" s="147" t="str">
        <f>'Reported burning'!H4295</f>
        <v>Presence</v>
      </c>
      <c r="I4295" s="198"/>
      <c r="J4295" s="71" t="s">
        <v>2272</v>
      </c>
      <c r="K4295" s="71" t="s">
        <v>2272</v>
      </c>
      <c r="L4295" s="71" t="s">
        <v>2272</v>
      </c>
      <c r="M4295" s="71" t="s">
        <v>2272</v>
      </c>
      <c r="N4295" s="71" t="s">
        <v>2272</v>
      </c>
      <c r="O4295" s="71" t="s">
        <v>2272</v>
      </c>
      <c r="P4295" s="71" t="s">
        <v>2272</v>
      </c>
      <c r="Q4295" s="71" t="s">
        <v>2272</v>
      </c>
      <c r="R4295" s="71" t="s">
        <v>2272</v>
      </c>
      <c r="S4295" s="71" t="s">
        <v>2272</v>
      </c>
      <c r="T4295" s="71" t="s">
        <v>2272</v>
      </c>
      <c r="U4295" s="71" t="s">
        <v>2272</v>
      </c>
      <c r="V4295" s="71" t="s">
        <v>2272</v>
      </c>
      <c r="W4295" s="71" t="s">
        <v>2272</v>
      </c>
      <c r="X4295" s="71" t="s">
        <v>2272</v>
      </c>
      <c r="Y4295" s="71" t="s">
        <v>2272</v>
      </c>
      <c r="Z4295" s="71" t="s">
        <v>2272</v>
      </c>
      <c r="AA4295" s="71" t="s">
        <v>2272</v>
      </c>
      <c r="AB4295" s="4" t="s">
        <v>11005</v>
      </c>
      <c r="AC4295" s="198"/>
    </row>
    <row r="4296" spans="1:29" ht="46.5" customHeight="1">
      <c r="A4296" s="147" t="str">
        <f>'Reported burning'!A4296</f>
        <v>474f</v>
      </c>
      <c r="B4296" s="147" t="str">
        <f>'Reported burning'!B4296</f>
        <v>474f.1</v>
      </c>
      <c r="C4296" s="147" t="str">
        <f>'Reported burning'!C4296</f>
        <v>All</v>
      </c>
      <c r="D4296" s="147" t="str">
        <f>'Reported burning'!D4296</f>
        <v>ND</v>
      </c>
      <c r="E4296" s="147" t="str">
        <f>'Reported burning'!E4296</f>
        <v>ND</v>
      </c>
      <c r="F4296" s="147" t="str">
        <f>'Reported burning'!F4296</f>
        <v>ND</v>
      </c>
      <c r="G4296" s="147" t="str">
        <f>'Reported burning'!G4296</f>
        <v>ND</v>
      </c>
      <c r="H4296" s="147" t="str">
        <f>'Reported burning'!H4296</f>
        <v>Presence</v>
      </c>
      <c r="I4296" s="198"/>
      <c r="J4296" s="71" t="s">
        <v>2272</v>
      </c>
      <c r="K4296" s="71" t="s">
        <v>2272</v>
      </c>
      <c r="L4296" s="71" t="s">
        <v>2272</v>
      </c>
      <c r="M4296" s="71" t="s">
        <v>2272</v>
      </c>
      <c r="N4296" s="71" t="s">
        <v>2272</v>
      </c>
      <c r="O4296" s="71" t="s">
        <v>2272</v>
      </c>
      <c r="P4296" s="71" t="s">
        <v>2272</v>
      </c>
      <c r="Q4296" s="71" t="s">
        <v>2272</v>
      </c>
      <c r="R4296" s="71" t="s">
        <v>2272</v>
      </c>
      <c r="S4296" s="71" t="s">
        <v>2272</v>
      </c>
      <c r="T4296" s="71" t="s">
        <v>2272</v>
      </c>
      <c r="U4296" s="71" t="s">
        <v>2272</v>
      </c>
      <c r="V4296" s="71" t="s">
        <v>2272</v>
      </c>
      <c r="W4296" s="71" t="s">
        <v>2272</v>
      </c>
      <c r="X4296" s="71" t="s">
        <v>2272</v>
      </c>
      <c r="Y4296" s="71" t="s">
        <v>2272</v>
      </c>
      <c r="Z4296" s="71" t="s">
        <v>2272</v>
      </c>
      <c r="AA4296" s="71" t="s">
        <v>2272</v>
      </c>
      <c r="AB4296" s="4" t="s">
        <v>11005</v>
      </c>
      <c r="AC4296" s="198"/>
    </row>
    <row r="4297" spans="1:29" ht="46.5" customHeight="1">
      <c r="A4297" s="147" t="str">
        <f>'Reported burning'!A4297</f>
        <v>474g</v>
      </c>
      <c r="B4297" s="147" t="str">
        <f>'Reported burning'!B4297</f>
        <v>474g.1</v>
      </c>
      <c r="C4297" s="147" t="str">
        <f>'Reported burning'!C4297</f>
        <v>All</v>
      </c>
      <c r="D4297" s="147" t="str">
        <f>'Reported burning'!D4297</f>
        <v>ND</v>
      </c>
      <c r="E4297" s="147" t="str">
        <f>'Reported burning'!E4297</f>
        <v>ND</v>
      </c>
      <c r="F4297" s="147" t="str">
        <f>'Reported burning'!F4297</f>
        <v>ND</v>
      </c>
      <c r="G4297" s="147" t="str">
        <f>'Reported burning'!G4297</f>
        <v>ND</v>
      </c>
      <c r="H4297" s="147" t="str">
        <f>'Reported burning'!H4297</f>
        <v>Presence</v>
      </c>
      <c r="I4297" s="198"/>
      <c r="J4297" s="71" t="s">
        <v>2272</v>
      </c>
      <c r="K4297" s="71" t="s">
        <v>2272</v>
      </c>
      <c r="L4297" s="71" t="s">
        <v>2272</v>
      </c>
      <c r="M4297" s="71" t="s">
        <v>2272</v>
      </c>
      <c r="N4297" s="71" t="s">
        <v>2272</v>
      </c>
      <c r="O4297" s="71" t="s">
        <v>2272</v>
      </c>
      <c r="P4297" s="71" t="s">
        <v>2272</v>
      </c>
      <c r="Q4297" s="71" t="s">
        <v>2272</v>
      </c>
      <c r="R4297" s="71" t="s">
        <v>2272</v>
      </c>
      <c r="S4297" s="71" t="s">
        <v>2272</v>
      </c>
      <c r="T4297" s="71" t="s">
        <v>2272</v>
      </c>
      <c r="U4297" s="71" t="s">
        <v>2272</v>
      </c>
      <c r="V4297" s="71" t="s">
        <v>2272</v>
      </c>
      <c r="W4297" s="71" t="s">
        <v>2272</v>
      </c>
      <c r="X4297" s="71" t="s">
        <v>2272</v>
      </c>
      <c r="Y4297" s="71" t="s">
        <v>2272</v>
      </c>
      <c r="Z4297" s="71" t="s">
        <v>2272</v>
      </c>
      <c r="AA4297" s="71" t="s">
        <v>2272</v>
      </c>
      <c r="AB4297" s="4" t="s">
        <v>11005</v>
      </c>
      <c r="AC4297" s="198"/>
    </row>
    <row r="4298" spans="1:29" ht="46.5" customHeight="1">
      <c r="A4298" s="147" t="str">
        <f>'Reported burning'!A4298</f>
        <v>474h</v>
      </c>
      <c r="B4298" s="147" t="str">
        <f>'Reported burning'!B4298</f>
        <v>474h.1</v>
      </c>
      <c r="C4298" s="147" t="str">
        <f>'Reported burning'!C4298</f>
        <v>All</v>
      </c>
      <c r="D4298" s="147" t="str">
        <f>'Reported burning'!D4298</f>
        <v>ND</v>
      </c>
      <c r="E4298" s="147" t="str">
        <f>'Reported burning'!E4298</f>
        <v>ND</v>
      </c>
      <c r="F4298" s="147" t="str">
        <f>'Reported burning'!F4298</f>
        <v>ND</v>
      </c>
      <c r="G4298" s="147" t="str">
        <f>'Reported burning'!G4298</f>
        <v>ND</v>
      </c>
      <c r="H4298" s="147" t="str">
        <f>'Reported burning'!H4298</f>
        <v>Presence</v>
      </c>
      <c r="I4298" s="198"/>
      <c r="J4298" s="71" t="s">
        <v>2272</v>
      </c>
      <c r="K4298" s="71" t="s">
        <v>2272</v>
      </c>
      <c r="L4298" s="71" t="s">
        <v>2272</v>
      </c>
      <c r="M4298" s="71" t="s">
        <v>2272</v>
      </c>
      <c r="N4298" s="71" t="s">
        <v>2272</v>
      </c>
      <c r="O4298" s="71" t="s">
        <v>2272</v>
      </c>
      <c r="P4298" s="71" t="s">
        <v>2272</v>
      </c>
      <c r="Q4298" s="71" t="s">
        <v>2272</v>
      </c>
      <c r="R4298" s="71" t="s">
        <v>2272</v>
      </c>
      <c r="S4298" s="71" t="s">
        <v>2272</v>
      </c>
      <c r="T4298" s="71" t="s">
        <v>2272</v>
      </c>
      <c r="U4298" s="71" t="s">
        <v>2272</v>
      </c>
      <c r="V4298" s="71" t="s">
        <v>2272</v>
      </c>
      <c r="W4298" s="71" t="s">
        <v>2272</v>
      </c>
      <c r="X4298" s="71" t="s">
        <v>2272</v>
      </c>
      <c r="Y4298" s="71" t="s">
        <v>2272</v>
      </c>
      <c r="Z4298" s="71" t="s">
        <v>2272</v>
      </c>
      <c r="AA4298" s="71" t="s">
        <v>2272</v>
      </c>
      <c r="AB4298" s="4" t="s">
        <v>11005</v>
      </c>
      <c r="AC4298" s="198"/>
    </row>
    <row r="4299" spans="1:29" ht="46.5" customHeight="1">
      <c r="A4299" s="147" t="str">
        <f>'Reported burning'!A4299</f>
        <v>474i</v>
      </c>
      <c r="B4299" s="147" t="str">
        <f>'Reported burning'!B4299</f>
        <v>474i.1</v>
      </c>
      <c r="C4299" s="147" t="str">
        <f>'Reported burning'!C4299</f>
        <v>All</v>
      </c>
      <c r="D4299" s="147" t="str">
        <f>'Reported burning'!D4299</f>
        <v>ND</v>
      </c>
      <c r="E4299" s="147" t="str">
        <f>'Reported burning'!E4299</f>
        <v>ND</v>
      </c>
      <c r="F4299" s="147" t="str">
        <f>'Reported burning'!F4299</f>
        <v>ND</v>
      </c>
      <c r="G4299" s="147" t="str">
        <f>'Reported burning'!G4299</f>
        <v>ND</v>
      </c>
      <c r="H4299" s="147" t="str">
        <f>'Reported burning'!H4299</f>
        <v>Presence</v>
      </c>
      <c r="I4299" s="198"/>
      <c r="J4299" s="71" t="s">
        <v>2272</v>
      </c>
      <c r="K4299" s="71" t="s">
        <v>2272</v>
      </c>
      <c r="L4299" s="71" t="s">
        <v>2272</v>
      </c>
      <c r="M4299" s="71" t="s">
        <v>2272</v>
      </c>
      <c r="N4299" s="71" t="s">
        <v>2272</v>
      </c>
      <c r="O4299" s="71" t="s">
        <v>2272</v>
      </c>
      <c r="P4299" s="71" t="s">
        <v>2272</v>
      </c>
      <c r="Q4299" s="71" t="s">
        <v>2272</v>
      </c>
      <c r="R4299" s="71" t="s">
        <v>2272</v>
      </c>
      <c r="S4299" s="71" t="s">
        <v>2272</v>
      </c>
      <c r="T4299" s="71" t="s">
        <v>2272</v>
      </c>
      <c r="U4299" s="71" t="s">
        <v>2272</v>
      </c>
      <c r="V4299" s="71" t="s">
        <v>2272</v>
      </c>
      <c r="W4299" s="71" t="s">
        <v>2272</v>
      </c>
      <c r="X4299" s="71" t="s">
        <v>2272</v>
      </c>
      <c r="Y4299" s="71" t="s">
        <v>2272</v>
      </c>
      <c r="Z4299" s="71" t="s">
        <v>2272</v>
      </c>
      <c r="AA4299" s="71" t="s">
        <v>2272</v>
      </c>
      <c r="AB4299" s="4" t="s">
        <v>11005</v>
      </c>
      <c r="AC4299" s="198"/>
    </row>
    <row r="4300" spans="1:29" ht="46.5" customHeight="1">
      <c r="A4300" s="147" t="str">
        <f>'Reported burning'!A4300</f>
        <v>474j</v>
      </c>
      <c r="B4300" s="147" t="str">
        <f>'Reported burning'!B4300</f>
        <v>474j.1</v>
      </c>
      <c r="C4300" s="147" t="str">
        <f>'Reported burning'!C4300</f>
        <v>All</v>
      </c>
      <c r="D4300" s="147" t="str">
        <f>'Reported burning'!D4300</f>
        <v>ND</v>
      </c>
      <c r="E4300" s="147" t="str">
        <f>'Reported burning'!E4300</f>
        <v>ND</v>
      </c>
      <c r="F4300" s="147" t="str">
        <f>'Reported burning'!F4300</f>
        <v>ND</v>
      </c>
      <c r="G4300" s="147" t="str">
        <f>'Reported burning'!G4300</f>
        <v>ND</v>
      </c>
      <c r="H4300" s="147" t="str">
        <f>'Reported burning'!H4300</f>
        <v>Presence</v>
      </c>
      <c r="I4300" s="198"/>
      <c r="J4300" s="71" t="s">
        <v>2272</v>
      </c>
      <c r="K4300" s="71" t="s">
        <v>2272</v>
      </c>
      <c r="L4300" s="71" t="s">
        <v>2272</v>
      </c>
      <c r="M4300" s="71" t="s">
        <v>2272</v>
      </c>
      <c r="N4300" s="71" t="s">
        <v>2272</v>
      </c>
      <c r="O4300" s="71" t="s">
        <v>2272</v>
      </c>
      <c r="P4300" s="71" t="s">
        <v>2272</v>
      </c>
      <c r="Q4300" s="71" t="s">
        <v>2272</v>
      </c>
      <c r="R4300" s="71" t="s">
        <v>2272</v>
      </c>
      <c r="S4300" s="71" t="s">
        <v>2272</v>
      </c>
      <c r="T4300" s="71" t="s">
        <v>2272</v>
      </c>
      <c r="U4300" s="71" t="s">
        <v>2272</v>
      </c>
      <c r="V4300" s="71" t="s">
        <v>2272</v>
      </c>
      <c r="W4300" s="71" t="s">
        <v>2272</v>
      </c>
      <c r="X4300" s="71" t="s">
        <v>2272</v>
      </c>
      <c r="Y4300" s="71" t="s">
        <v>2272</v>
      </c>
      <c r="Z4300" s="71" t="s">
        <v>2272</v>
      </c>
      <c r="AA4300" s="71" t="s">
        <v>2272</v>
      </c>
      <c r="AB4300" s="4" t="s">
        <v>11005</v>
      </c>
      <c r="AC4300" s="198"/>
    </row>
    <row r="4301" spans="1:29" ht="46.5" customHeight="1">
      <c r="A4301" s="147" t="str">
        <f>'Reported burning'!A4301</f>
        <v>474k</v>
      </c>
      <c r="B4301" s="147" t="str">
        <f>'Reported burning'!B4301</f>
        <v>474k.1</v>
      </c>
      <c r="C4301" s="147" t="str">
        <f>'Reported burning'!C4301</f>
        <v>All</v>
      </c>
      <c r="D4301" s="147" t="str">
        <f>'Reported burning'!D4301</f>
        <v>ND</v>
      </c>
      <c r="E4301" s="147" t="str">
        <f>'Reported burning'!E4301</f>
        <v>ND</v>
      </c>
      <c r="F4301" s="147" t="str">
        <f>'Reported burning'!F4301</f>
        <v>ND</v>
      </c>
      <c r="G4301" s="147" t="str">
        <f>'Reported burning'!G4301</f>
        <v>ND</v>
      </c>
      <c r="H4301" s="147" t="str">
        <f>'Reported burning'!H4301</f>
        <v>Presence</v>
      </c>
      <c r="I4301" s="198"/>
      <c r="J4301" s="71" t="s">
        <v>2272</v>
      </c>
      <c r="K4301" s="71" t="s">
        <v>2272</v>
      </c>
      <c r="L4301" s="71" t="s">
        <v>2272</v>
      </c>
      <c r="M4301" s="71" t="s">
        <v>2272</v>
      </c>
      <c r="N4301" s="71" t="s">
        <v>2272</v>
      </c>
      <c r="O4301" s="71" t="s">
        <v>2272</v>
      </c>
      <c r="P4301" s="71" t="s">
        <v>2272</v>
      </c>
      <c r="Q4301" s="71" t="s">
        <v>2272</v>
      </c>
      <c r="R4301" s="71" t="s">
        <v>2272</v>
      </c>
      <c r="S4301" s="71" t="s">
        <v>2272</v>
      </c>
      <c r="T4301" s="71" t="s">
        <v>2272</v>
      </c>
      <c r="U4301" s="71" t="s">
        <v>2272</v>
      </c>
      <c r="V4301" s="71" t="s">
        <v>2272</v>
      </c>
      <c r="W4301" s="71" t="s">
        <v>2272</v>
      </c>
      <c r="X4301" s="71" t="s">
        <v>2272</v>
      </c>
      <c r="Y4301" s="71" t="s">
        <v>2272</v>
      </c>
      <c r="Z4301" s="71" t="s">
        <v>2272</v>
      </c>
      <c r="AA4301" s="71" t="s">
        <v>2272</v>
      </c>
      <c r="AB4301" s="4" t="s">
        <v>11005</v>
      </c>
      <c r="AC4301" s="198"/>
    </row>
    <row r="4302" spans="1:29" ht="46.5" customHeight="1">
      <c r="A4302" s="147" t="str">
        <f>'Reported burning'!A4302</f>
        <v>474l</v>
      </c>
      <c r="B4302" s="147" t="str">
        <f>'Reported burning'!B4302</f>
        <v>474l.1</v>
      </c>
      <c r="C4302" s="147" t="str">
        <f>'Reported burning'!C4302</f>
        <v>All</v>
      </c>
      <c r="D4302" s="147" t="str">
        <f>'Reported burning'!D4302</f>
        <v>ND</v>
      </c>
      <c r="E4302" s="147" t="str">
        <f>'Reported burning'!E4302</f>
        <v>ND</v>
      </c>
      <c r="F4302" s="147" t="str">
        <f>'Reported burning'!F4302</f>
        <v>ND</v>
      </c>
      <c r="G4302" s="147" t="str">
        <f>'Reported burning'!G4302</f>
        <v>ND</v>
      </c>
      <c r="H4302" s="147" t="str">
        <f>'Reported burning'!H4302</f>
        <v>Presence</v>
      </c>
      <c r="I4302" s="198"/>
      <c r="J4302" s="71" t="s">
        <v>2272</v>
      </c>
      <c r="K4302" s="71" t="s">
        <v>2272</v>
      </c>
      <c r="L4302" s="71" t="s">
        <v>2272</v>
      </c>
      <c r="M4302" s="71" t="s">
        <v>2272</v>
      </c>
      <c r="N4302" s="71" t="s">
        <v>2272</v>
      </c>
      <c r="O4302" s="71" t="s">
        <v>2272</v>
      </c>
      <c r="P4302" s="71" t="s">
        <v>2272</v>
      </c>
      <c r="Q4302" s="71" t="s">
        <v>2272</v>
      </c>
      <c r="R4302" s="71" t="s">
        <v>2272</v>
      </c>
      <c r="S4302" s="71" t="s">
        <v>2272</v>
      </c>
      <c r="T4302" s="71" t="s">
        <v>2272</v>
      </c>
      <c r="U4302" s="71" t="s">
        <v>2272</v>
      </c>
      <c r="V4302" s="71" t="s">
        <v>2272</v>
      </c>
      <c r="W4302" s="71" t="s">
        <v>2272</v>
      </c>
      <c r="X4302" s="71" t="s">
        <v>2272</v>
      </c>
      <c r="Y4302" s="71" t="s">
        <v>2272</v>
      </c>
      <c r="Z4302" s="71" t="s">
        <v>2272</v>
      </c>
      <c r="AA4302" s="71" t="s">
        <v>2272</v>
      </c>
      <c r="AB4302" s="198"/>
      <c r="AC4302" s="198"/>
    </row>
    <row r="4303" spans="1:29" ht="38" customHeight="1">
      <c r="A4303" s="147" t="str">
        <f>'Reported burning'!A4303</f>
        <v>475a</v>
      </c>
      <c r="B4303" s="147" t="str">
        <f>'Reported burning'!B4303</f>
        <v>475a.1</v>
      </c>
      <c r="C4303" s="147" t="str">
        <f>'Reported burning'!C4303</f>
        <v>Human, accidental</v>
      </c>
      <c r="D4303" s="147" t="str">
        <f>'Reported burning'!D4303</f>
        <v>Accidental</v>
      </c>
      <c r="E4303" s="147" t="str">
        <f>'Reported burning'!E4303</f>
        <v>Urban planner</v>
      </c>
      <c r="F4303" s="147" t="str">
        <f>'Reported burning'!F4303</f>
        <v>ND</v>
      </c>
      <c r="G4303" s="147" t="str">
        <f>'Reported burning'!G4303</f>
        <v>Shrubland (Mixed forest &amp; grassland)</v>
      </c>
      <c r="H4303" s="147" t="str">
        <f>'Reported burning'!H4303</f>
        <v>Presence</v>
      </c>
      <c r="I4303" s="198"/>
      <c r="J4303" s="71" t="s">
        <v>2272</v>
      </c>
      <c r="K4303" s="71" t="s">
        <v>2272</v>
      </c>
      <c r="L4303" s="71" t="s">
        <v>2272</v>
      </c>
      <c r="M4303" s="71" t="s">
        <v>2272</v>
      </c>
      <c r="N4303" s="71" t="s">
        <v>2272</v>
      </c>
      <c r="O4303" s="71" t="s">
        <v>2272</v>
      </c>
      <c r="P4303" s="71" t="s">
        <v>2272</v>
      </c>
      <c r="Q4303" s="71" t="s">
        <v>2272</v>
      </c>
      <c r="R4303" s="71" t="s">
        <v>2272</v>
      </c>
      <c r="S4303" s="71" t="s">
        <v>2272</v>
      </c>
      <c r="T4303" s="71" t="s">
        <v>2272</v>
      </c>
      <c r="U4303" s="71" t="s">
        <v>2272</v>
      </c>
      <c r="V4303" s="71" t="s">
        <v>2272</v>
      </c>
      <c r="W4303" s="71" t="s">
        <v>2272</v>
      </c>
      <c r="X4303" s="71" t="s">
        <v>2272</v>
      </c>
      <c r="Y4303" s="71" t="s">
        <v>2272</v>
      </c>
      <c r="Z4303" s="71" t="s">
        <v>2272</v>
      </c>
      <c r="AA4303" s="71" t="s">
        <v>2272</v>
      </c>
      <c r="AB4303" s="198"/>
      <c r="AC4303" s="198"/>
    </row>
    <row r="4304" spans="1:29" ht="43.5" customHeight="1">
      <c r="A4304" s="147" t="str">
        <f>'Reported burning'!A4304</f>
        <v>475a</v>
      </c>
      <c r="B4304" s="147" t="str">
        <f>'Reported burning'!B4304</f>
        <v>475a.2</v>
      </c>
      <c r="C4304" s="147" t="str">
        <f>'Reported burning'!C4304</f>
        <v>Human, deliberate</v>
      </c>
      <c r="D4304" s="147" t="str">
        <f>'Reported burning'!D4304</f>
        <v>Arson</v>
      </c>
      <c r="E4304" s="147" t="str">
        <f>'Reported burning'!E4304</f>
        <v>ND</v>
      </c>
      <c r="F4304" s="147" t="str">
        <f>'Reported burning'!F4304</f>
        <v>ND</v>
      </c>
      <c r="G4304" s="147" t="str">
        <f>'Reported burning'!G4304</f>
        <v>Shrubland (Mixed forest &amp; grassland)</v>
      </c>
      <c r="H4304" s="147" t="str">
        <f>'Reported burning'!H4304</f>
        <v>Presence</v>
      </c>
      <c r="I4304" s="198"/>
      <c r="J4304" s="71" t="s">
        <v>2272</v>
      </c>
      <c r="K4304" s="71" t="s">
        <v>2272</v>
      </c>
      <c r="L4304" s="71" t="s">
        <v>2272</v>
      </c>
      <c r="M4304" s="71" t="s">
        <v>2272</v>
      </c>
      <c r="N4304" s="71" t="s">
        <v>2272</v>
      </c>
      <c r="O4304" s="71" t="s">
        <v>2272</v>
      </c>
      <c r="P4304" s="71" t="s">
        <v>2272</v>
      </c>
      <c r="Q4304" s="71" t="s">
        <v>2272</v>
      </c>
      <c r="R4304" s="71" t="s">
        <v>2272</v>
      </c>
      <c r="S4304" s="71" t="s">
        <v>2272</v>
      </c>
      <c r="T4304" s="71" t="s">
        <v>2272</v>
      </c>
      <c r="U4304" s="71" t="s">
        <v>2272</v>
      </c>
      <c r="V4304" s="71" t="s">
        <v>2272</v>
      </c>
      <c r="W4304" s="71" t="s">
        <v>2272</v>
      </c>
      <c r="X4304" s="71" t="s">
        <v>2272</v>
      </c>
      <c r="Y4304" s="71" t="s">
        <v>2272</v>
      </c>
      <c r="Z4304" s="71" t="s">
        <v>2272</v>
      </c>
      <c r="AA4304" s="71" t="s">
        <v>2272</v>
      </c>
      <c r="AB4304" s="198"/>
      <c r="AC4304" s="198"/>
    </row>
    <row r="4305" spans="1:29" ht="43.5" customHeight="1">
      <c r="A4305" s="147" t="str">
        <f>'Reported burning'!A4305</f>
        <v>476a</v>
      </c>
      <c r="B4305" s="147" t="str">
        <f>'Reported burning'!B4305</f>
        <v>476a.1</v>
      </c>
      <c r="C4305" s="147" t="str">
        <f>'Reported burning'!C4305</f>
        <v>Lightning</v>
      </c>
      <c r="D4305" s="147" t="str">
        <f>'Reported burning'!D4305</f>
        <v>ND</v>
      </c>
      <c r="E4305" s="147" t="str">
        <f>'Reported burning'!E4305</f>
        <v>ND</v>
      </c>
      <c r="F4305" s="147" t="str">
        <f>'Reported burning'!F4305</f>
        <v>ND</v>
      </c>
      <c r="G4305" s="147" t="str">
        <f>'Reported burning'!G4305</f>
        <v>Forest</v>
      </c>
      <c r="H4305" s="147" t="str">
        <f>'Reported burning'!H4305</f>
        <v>Presence</v>
      </c>
      <c r="I4305" s="198"/>
      <c r="J4305" s="71" t="s">
        <v>2272</v>
      </c>
      <c r="K4305" s="71" t="s">
        <v>2272</v>
      </c>
      <c r="L4305" s="71" t="s">
        <v>2272</v>
      </c>
      <c r="M4305" s="71" t="s">
        <v>2272</v>
      </c>
      <c r="N4305" s="71" t="s">
        <v>2272</v>
      </c>
      <c r="O4305" s="71" t="s">
        <v>2272</v>
      </c>
      <c r="P4305" s="71" t="s">
        <v>2272</v>
      </c>
      <c r="Q4305" s="71" t="s">
        <v>2272</v>
      </c>
      <c r="R4305" s="71" t="s">
        <v>2272</v>
      </c>
      <c r="S4305" s="71" t="s">
        <v>2272</v>
      </c>
      <c r="T4305" s="71" t="s">
        <v>2272</v>
      </c>
      <c r="U4305" s="71" t="s">
        <v>2272</v>
      </c>
      <c r="V4305" s="71" t="s">
        <v>2272</v>
      </c>
      <c r="W4305" s="71" t="s">
        <v>2272</v>
      </c>
      <c r="X4305" s="71" t="s">
        <v>2272</v>
      </c>
      <c r="Y4305" s="198" t="s">
        <v>84</v>
      </c>
      <c r="Z4305" s="198" t="s">
        <v>423</v>
      </c>
      <c r="AA4305" s="71" t="s">
        <v>2272</v>
      </c>
      <c r="AB4305" s="198"/>
      <c r="AC4305" s="198"/>
    </row>
    <row r="4306" spans="1:29" ht="43.5" customHeight="1">
      <c r="A4306" s="151" t="str">
        <f>'Reported burning'!A4306</f>
        <v>476a</v>
      </c>
      <c r="B4306" s="151" t="str">
        <f>'Reported burning'!B4306</f>
        <v>476a.2</v>
      </c>
      <c r="C4306" s="151" t="str">
        <f>'Reported burning'!C4306</f>
        <v>Human, escaped</v>
      </c>
      <c r="D4306" s="151" t="str">
        <f>'Reported burning'!D4306</f>
        <v>ND</v>
      </c>
      <c r="E4306" s="151" t="str">
        <f>'Reported burning'!E4306</f>
        <v>ND</v>
      </c>
      <c r="F4306" s="151" t="str">
        <f>'Reported burning'!F4306</f>
        <v>ND</v>
      </c>
      <c r="G4306" s="151" t="str">
        <f>'Reported burning'!G4306</f>
        <v>Forest</v>
      </c>
      <c r="H4306" s="151" t="str">
        <f>'Reported burning'!H4306</f>
        <v>Presence</v>
      </c>
      <c r="I4306" s="198"/>
      <c r="J4306" s="71" t="s">
        <v>2272</v>
      </c>
      <c r="K4306" s="71" t="s">
        <v>2272</v>
      </c>
      <c r="L4306" s="71" t="s">
        <v>2272</v>
      </c>
      <c r="M4306" s="71" t="s">
        <v>2272</v>
      </c>
      <c r="N4306" s="71" t="s">
        <v>2272</v>
      </c>
      <c r="O4306" s="71" t="s">
        <v>2272</v>
      </c>
      <c r="P4306" s="71" t="s">
        <v>2272</v>
      </c>
      <c r="Q4306" s="71" t="s">
        <v>2272</v>
      </c>
      <c r="R4306" s="71" t="s">
        <v>2272</v>
      </c>
      <c r="S4306" s="71" t="s">
        <v>2272</v>
      </c>
      <c r="T4306" s="71" t="s">
        <v>2272</v>
      </c>
      <c r="U4306" s="71" t="s">
        <v>2272</v>
      </c>
      <c r="V4306" s="71" t="s">
        <v>2272</v>
      </c>
      <c r="W4306" s="71" t="s">
        <v>2272</v>
      </c>
      <c r="X4306" s="71" t="s">
        <v>2272</v>
      </c>
      <c r="Y4306" s="71" t="s">
        <v>2272</v>
      </c>
      <c r="Z4306" s="71" t="s">
        <v>2272</v>
      </c>
      <c r="AA4306" s="71" t="s">
        <v>2272</v>
      </c>
      <c r="AB4306" s="198"/>
      <c r="AC4306" s="198"/>
    </row>
    <row r="4307" spans="1:29" ht="47" customHeight="1">
      <c r="A4307" s="147" t="str">
        <f>'Reported burning'!A4307</f>
        <v>476a</v>
      </c>
      <c r="B4307" s="147" t="str">
        <f>'Reported burning'!B4307</f>
        <v>476a.3</v>
      </c>
      <c r="C4307" s="147" t="str">
        <f>'Reported burning'!C4307</f>
        <v>Human, deliberate</v>
      </c>
      <c r="D4307" s="147" t="str">
        <f>'Reported burning'!D4307</f>
        <v>Pasture renewal</v>
      </c>
      <c r="E4307" s="147" t="str">
        <f>'Reported burning'!E4307</f>
        <v>Mixed cropping-livestock small holder, Market-oriented</v>
      </c>
      <c r="F4307" s="147" t="str">
        <f>'Reported burning'!F4307</f>
        <v>Pasture</v>
      </c>
      <c r="G4307" s="147" t="str">
        <f>'Reported burning'!G4307</f>
        <v>Pasture</v>
      </c>
      <c r="H4307" s="147" t="str">
        <f>'Reported burning'!H4307</f>
        <v>Presence</v>
      </c>
      <c r="I4307" s="198"/>
      <c r="J4307" s="71" t="s">
        <v>2272</v>
      </c>
      <c r="K4307" s="71" t="s">
        <v>2272</v>
      </c>
      <c r="L4307" s="71" t="s">
        <v>2272</v>
      </c>
      <c r="M4307" s="71" t="s">
        <v>2272</v>
      </c>
      <c r="N4307" s="71" t="s">
        <v>2272</v>
      </c>
      <c r="O4307" s="71" t="s">
        <v>2272</v>
      </c>
      <c r="P4307" s="71" t="s">
        <v>2272</v>
      </c>
      <c r="Q4307" s="71" t="s">
        <v>2272</v>
      </c>
      <c r="R4307" s="71" t="s">
        <v>2272</v>
      </c>
      <c r="S4307" s="71" t="s">
        <v>2272</v>
      </c>
      <c r="T4307" s="71" t="s">
        <v>2272</v>
      </c>
      <c r="U4307" s="71" t="s">
        <v>2272</v>
      </c>
      <c r="V4307" s="71" t="s">
        <v>2272</v>
      </c>
      <c r="W4307" s="71" t="s">
        <v>2272</v>
      </c>
      <c r="X4307" s="71" t="s">
        <v>2272</v>
      </c>
      <c r="Y4307" s="71" t="s">
        <v>2272</v>
      </c>
      <c r="Z4307" s="71" t="s">
        <v>2272</v>
      </c>
      <c r="AA4307" s="71" t="s">
        <v>2272</v>
      </c>
      <c r="AB4307" s="198"/>
      <c r="AC4307" s="198"/>
    </row>
    <row r="4308" spans="1:29" ht="47" customHeight="1">
      <c r="A4308" s="147" t="str">
        <f>'Reported burning'!A4308</f>
        <v>476a</v>
      </c>
      <c r="B4308" s="147" t="str">
        <f>'Reported burning'!B4308</f>
        <v>476a.4</v>
      </c>
      <c r="C4308" s="147" t="str">
        <f>'Reported burning'!C4308</f>
        <v>Human, deliberate</v>
      </c>
      <c r="D4308" s="147" t="str">
        <f>'Reported burning'!D4308</f>
        <v>Crop residue burning</v>
      </c>
      <c r="E4308" s="147" t="str">
        <f>'Reported burning'!E4308</f>
        <v>Mixed cropping-livestock small holder, Market-oriented</v>
      </c>
      <c r="F4308" s="147" t="str">
        <f>'Reported burning'!F4308</f>
        <v>Cropland</v>
      </c>
      <c r="G4308" s="147" t="str">
        <f>'Reported burning'!G4308</f>
        <v>Cropland</v>
      </c>
      <c r="H4308" s="147" t="str">
        <f>'Reported burning'!H4308</f>
        <v>Presence</v>
      </c>
      <c r="I4308" s="198"/>
      <c r="J4308" s="71" t="s">
        <v>2272</v>
      </c>
      <c r="K4308" s="71" t="s">
        <v>2272</v>
      </c>
      <c r="L4308" s="71" t="s">
        <v>2272</v>
      </c>
      <c r="M4308" s="71" t="s">
        <v>2272</v>
      </c>
      <c r="N4308" s="71" t="s">
        <v>2272</v>
      </c>
      <c r="O4308" s="71" t="s">
        <v>2272</v>
      </c>
      <c r="P4308" s="71" t="s">
        <v>2272</v>
      </c>
      <c r="Q4308" s="71" t="s">
        <v>2272</v>
      </c>
      <c r="R4308" s="71" t="s">
        <v>2272</v>
      </c>
      <c r="S4308" s="71" t="s">
        <v>2272</v>
      </c>
      <c r="T4308" s="71" t="s">
        <v>2272</v>
      </c>
      <c r="U4308" s="71" t="s">
        <v>2272</v>
      </c>
      <c r="V4308" s="71" t="s">
        <v>2272</v>
      </c>
      <c r="W4308" s="71" t="s">
        <v>2272</v>
      </c>
      <c r="X4308" s="71" t="s">
        <v>2272</v>
      </c>
      <c r="Y4308" s="71" t="s">
        <v>2272</v>
      </c>
      <c r="Z4308" s="71" t="s">
        <v>2272</v>
      </c>
      <c r="AA4308" s="71" t="s">
        <v>2272</v>
      </c>
      <c r="AB4308" s="198"/>
      <c r="AC4308" s="198"/>
    </row>
    <row r="4309" spans="1:29" ht="47" customHeight="1">
      <c r="A4309" s="147" t="str">
        <f>'Reported burning'!A4309</f>
        <v>476a</v>
      </c>
      <c r="B4309" s="147" t="str">
        <f>'Reported burning'!B4309</f>
        <v>476a.5</v>
      </c>
      <c r="C4309" s="147" t="str">
        <f>'Reported burning'!C4309</f>
        <v>Human, escaped</v>
      </c>
      <c r="D4309" s="147" t="str">
        <f>'Reported burning'!D4309</f>
        <v>Pasture renewal</v>
      </c>
      <c r="E4309" s="147" t="str">
        <f>'Reported burning'!E4309</f>
        <v>Mixed cropping-livestock small holder, Market-oriented</v>
      </c>
      <c r="F4309" s="147" t="str">
        <f>'Reported burning'!F4309</f>
        <v>Pasture</v>
      </c>
      <c r="G4309" s="147" t="str">
        <f>'Reported burning'!G4309</f>
        <v>Forest</v>
      </c>
      <c r="H4309" s="147" t="str">
        <f>'Reported burning'!H4309</f>
        <v>Presence</v>
      </c>
      <c r="I4309" s="198"/>
      <c r="J4309" s="71" t="s">
        <v>2272</v>
      </c>
      <c r="K4309" s="71" t="s">
        <v>2272</v>
      </c>
      <c r="L4309" s="71" t="s">
        <v>2272</v>
      </c>
      <c r="M4309" s="71" t="s">
        <v>2272</v>
      </c>
      <c r="N4309" s="71" t="s">
        <v>2272</v>
      </c>
      <c r="O4309" s="71" t="s">
        <v>2272</v>
      </c>
      <c r="P4309" s="71" t="s">
        <v>2272</v>
      </c>
      <c r="Q4309" s="71" t="s">
        <v>2272</v>
      </c>
      <c r="R4309" s="71" t="s">
        <v>2272</v>
      </c>
      <c r="S4309" s="71" t="s">
        <v>2272</v>
      </c>
      <c r="T4309" s="71" t="s">
        <v>2272</v>
      </c>
      <c r="U4309" s="71" t="s">
        <v>2272</v>
      </c>
      <c r="V4309" s="71" t="s">
        <v>2272</v>
      </c>
      <c r="W4309" s="71" t="s">
        <v>2272</v>
      </c>
      <c r="X4309" s="71" t="s">
        <v>2272</v>
      </c>
      <c r="Y4309" s="71" t="s">
        <v>2272</v>
      </c>
      <c r="Z4309" s="71" t="s">
        <v>2272</v>
      </c>
      <c r="AA4309" s="71" t="s">
        <v>2272</v>
      </c>
      <c r="AB4309" s="198"/>
      <c r="AC4309" s="198"/>
    </row>
    <row r="4310" spans="1:29" ht="47" customHeight="1">
      <c r="A4310" s="147" t="str">
        <f>'Reported burning'!A4310</f>
        <v>476a</v>
      </c>
      <c r="B4310" s="147" t="str">
        <f>'Reported burning'!B4310</f>
        <v>476a.6</v>
      </c>
      <c r="C4310" s="147" t="str">
        <f>'Reported burning'!C4310</f>
        <v>Human, escaped</v>
      </c>
      <c r="D4310" s="147" t="str">
        <f>'Reported burning'!D4310</f>
        <v>Crop residue burning</v>
      </c>
      <c r="E4310" s="147" t="str">
        <f>'Reported burning'!E4310</f>
        <v>Mixed cropping-livestock small holder, Market-oriented</v>
      </c>
      <c r="F4310" s="147" t="str">
        <f>'Reported burning'!F4310</f>
        <v>Cropland</v>
      </c>
      <c r="G4310" s="147" t="str">
        <f>'Reported burning'!G4310</f>
        <v>Forest</v>
      </c>
      <c r="H4310" s="147" t="str">
        <f>'Reported burning'!H4310</f>
        <v>Presence</v>
      </c>
      <c r="I4310" s="198"/>
      <c r="J4310" s="71" t="s">
        <v>2272</v>
      </c>
      <c r="K4310" s="71" t="s">
        <v>2272</v>
      </c>
      <c r="L4310" s="71" t="s">
        <v>2272</v>
      </c>
      <c r="M4310" s="71" t="s">
        <v>2272</v>
      </c>
      <c r="N4310" s="71" t="s">
        <v>2272</v>
      </c>
      <c r="O4310" s="71" t="s">
        <v>2272</v>
      </c>
      <c r="P4310" s="71" t="s">
        <v>2272</v>
      </c>
      <c r="Q4310" s="71" t="s">
        <v>2272</v>
      </c>
      <c r="R4310" s="71" t="s">
        <v>2272</v>
      </c>
      <c r="S4310" s="71" t="s">
        <v>2272</v>
      </c>
      <c r="T4310" s="71" t="s">
        <v>2272</v>
      </c>
      <c r="U4310" s="71" t="s">
        <v>2272</v>
      </c>
      <c r="V4310" s="71" t="s">
        <v>2272</v>
      </c>
      <c r="W4310" s="71" t="s">
        <v>2272</v>
      </c>
      <c r="X4310" s="71" t="s">
        <v>2272</v>
      </c>
      <c r="Y4310" s="71" t="s">
        <v>2272</v>
      </c>
      <c r="Z4310" s="71" t="s">
        <v>2272</v>
      </c>
      <c r="AA4310" s="71" t="s">
        <v>2272</v>
      </c>
      <c r="AB4310" s="198"/>
      <c r="AC4310" s="198"/>
    </row>
    <row r="4311" spans="1:29" ht="47" customHeight="1">
      <c r="A4311" s="147" t="str">
        <f>'Reported burning'!A4311</f>
        <v>477a</v>
      </c>
      <c r="B4311" s="147" t="str">
        <f>'Reported burning'!B4311</f>
        <v>477a.1</v>
      </c>
      <c r="C4311" s="147" t="str">
        <f>'Reported burning'!C4311</f>
        <v>All</v>
      </c>
      <c r="D4311" s="147" t="str">
        <f>'Reported burning'!D4311</f>
        <v>ND</v>
      </c>
      <c r="E4311" s="147" t="str">
        <f>'Reported burning'!E4311</f>
        <v>ND</v>
      </c>
      <c r="F4311" s="147" t="str">
        <f>'Reported burning'!F4311</f>
        <v>ND</v>
      </c>
      <c r="G4311" s="147" t="str">
        <f>'Reported burning'!G4311</f>
        <v>Shrubland (Mixed forest &amp; grassland)</v>
      </c>
      <c r="H4311" s="147" t="str">
        <f>'Reported burning'!H4311</f>
        <v>Presence</v>
      </c>
      <c r="I4311" s="198"/>
      <c r="J4311" s="71" t="s">
        <v>2272</v>
      </c>
      <c r="K4311" s="71" t="s">
        <v>2272</v>
      </c>
      <c r="L4311" s="71" t="s">
        <v>2272</v>
      </c>
      <c r="M4311" s="71" t="s">
        <v>2272</v>
      </c>
      <c r="N4311" s="71" t="s">
        <v>2272</v>
      </c>
      <c r="O4311" s="71" t="s">
        <v>2272</v>
      </c>
      <c r="P4311" s="71" t="s">
        <v>2272</v>
      </c>
      <c r="Q4311" s="21" t="s">
        <v>2381</v>
      </c>
      <c r="R4311" s="71" t="s">
        <v>2272</v>
      </c>
      <c r="S4311" s="71" t="s">
        <v>2272</v>
      </c>
      <c r="T4311" s="71" t="s">
        <v>2272</v>
      </c>
      <c r="U4311" s="71" t="s">
        <v>2272</v>
      </c>
      <c r="V4311" s="71" t="s">
        <v>2272</v>
      </c>
      <c r="W4311" s="71" t="s">
        <v>2272</v>
      </c>
      <c r="X4311" s="71" t="s">
        <v>2272</v>
      </c>
      <c r="Y4311" s="71" t="s">
        <v>2272</v>
      </c>
      <c r="Z4311" s="71" t="s">
        <v>2272</v>
      </c>
      <c r="AA4311" s="71" t="s">
        <v>2272</v>
      </c>
      <c r="AB4311" s="198"/>
      <c r="AC4311" s="4" t="s">
        <v>11131</v>
      </c>
    </row>
    <row r="4312" spans="1:29" ht="47.5" customHeight="1">
      <c r="A4312" s="151" t="str">
        <f>'Reported burning'!A4312</f>
        <v>477a</v>
      </c>
      <c r="B4312" s="151" t="str">
        <f>'Reported burning'!B4312</f>
        <v>477a.2</v>
      </c>
      <c r="C4312" s="151" t="str">
        <f>'Reported burning'!C4312</f>
        <v>Human, accidental</v>
      </c>
      <c r="D4312" s="151" t="str">
        <f>'Reported burning'!D4312</f>
        <v>ND</v>
      </c>
      <c r="E4312" s="151" t="str">
        <f>'Reported burning'!E4312</f>
        <v>Urban planner</v>
      </c>
      <c r="F4312" s="151" t="str">
        <f>'Reported burning'!F4312</f>
        <v>ND</v>
      </c>
      <c r="G4312" s="151" t="str">
        <f>'Reported burning'!G4312</f>
        <v>Shrubland (Mixed forest &amp; grassland)</v>
      </c>
      <c r="H4312" s="151" t="str">
        <f>'Reported burning'!H4312</f>
        <v>Presence</v>
      </c>
      <c r="I4312" s="198"/>
      <c r="J4312" s="71" t="s">
        <v>2272</v>
      </c>
      <c r="K4312" s="71" t="s">
        <v>2272</v>
      </c>
      <c r="L4312" s="71" t="s">
        <v>2272</v>
      </c>
      <c r="M4312" s="71" t="s">
        <v>2272</v>
      </c>
      <c r="N4312" s="71" t="s">
        <v>2272</v>
      </c>
      <c r="O4312" s="71" t="s">
        <v>2272</v>
      </c>
      <c r="P4312" s="71" t="s">
        <v>2272</v>
      </c>
      <c r="Q4312" s="71" t="s">
        <v>2272</v>
      </c>
      <c r="R4312" s="71" t="s">
        <v>2272</v>
      </c>
      <c r="S4312" s="71" t="s">
        <v>2272</v>
      </c>
      <c r="T4312" s="71" t="s">
        <v>2272</v>
      </c>
      <c r="U4312" s="71" t="s">
        <v>2272</v>
      </c>
      <c r="V4312" s="71" t="s">
        <v>2272</v>
      </c>
      <c r="W4312" s="71" t="s">
        <v>2272</v>
      </c>
      <c r="X4312" s="71" t="s">
        <v>2272</v>
      </c>
      <c r="Y4312" s="71" t="s">
        <v>2272</v>
      </c>
      <c r="Z4312" s="71" t="s">
        <v>2272</v>
      </c>
      <c r="AA4312" s="71" t="s">
        <v>2272</v>
      </c>
      <c r="AB4312" s="198"/>
      <c r="AC4312" s="198"/>
    </row>
    <row r="4313" spans="1:29" ht="42" customHeight="1">
      <c r="A4313" s="147" t="str">
        <f>'Reported burning'!A4313</f>
        <v>477a</v>
      </c>
      <c r="B4313" s="147" t="str">
        <f>'Reported burning'!B4313</f>
        <v>477a.3</v>
      </c>
      <c r="C4313" s="147" t="str">
        <f>'Reported burning'!C4313</f>
        <v>Human, escaped</v>
      </c>
      <c r="D4313" s="147" t="str">
        <f>'Reported burning'!D4313</f>
        <v>ND</v>
      </c>
      <c r="E4313" s="147" t="str">
        <f>'Reported burning'!E4313</f>
        <v>Urban planner</v>
      </c>
      <c r="F4313" s="147" t="str">
        <f>'Reported burning'!F4313</f>
        <v>ND</v>
      </c>
      <c r="G4313" s="147" t="str">
        <f>'Reported burning'!G4313</f>
        <v>Shrubland (Mixed forest &amp; grassland)</v>
      </c>
      <c r="H4313" s="147" t="str">
        <f>'Reported burning'!H4313</f>
        <v>Presence</v>
      </c>
      <c r="I4313" s="198"/>
      <c r="J4313" s="71" t="s">
        <v>2272</v>
      </c>
      <c r="K4313" s="71" t="s">
        <v>2272</v>
      </c>
      <c r="L4313" s="71" t="s">
        <v>2272</v>
      </c>
      <c r="M4313" s="71" t="s">
        <v>2272</v>
      </c>
      <c r="N4313" s="71" t="s">
        <v>2272</v>
      </c>
      <c r="O4313" s="71" t="s">
        <v>2272</v>
      </c>
      <c r="P4313" s="71" t="s">
        <v>2272</v>
      </c>
      <c r="Q4313" s="71" t="s">
        <v>2272</v>
      </c>
      <c r="R4313" s="71" t="s">
        <v>2272</v>
      </c>
      <c r="S4313" s="71" t="s">
        <v>2272</v>
      </c>
      <c r="T4313" s="71" t="s">
        <v>2272</v>
      </c>
      <c r="U4313" s="71" t="s">
        <v>2272</v>
      </c>
      <c r="V4313" s="71" t="s">
        <v>2272</v>
      </c>
      <c r="W4313" s="71" t="s">
        <v>2272</v>
      </c>
      <c r="X4313" s="71" t="s">
        <v>2272</v>
      </c>
      <c r="Y4313" s="71" t="s">
        <v>2272</v>
      </c>
      <c r="Z4313" s="71" t="s">
        <v>2272</v>
      </c>
      <c r="AA4313" s="71" t="s">
        <v>2272</v>
      </c>
      <c r="AB4313" s="198"/>
      <c r="AC4313" s="198"/>
    </row>
    <row r="4314" spans="1:29" ht="42" customHeight="1">
      <c r="A4314" s="147" t="str">
        <f>'Reported burning'!A4314</f>
        <v>478a</v>
      </c>
      <c r="B4314" s="147" t="str">
        <f>'Reported burning'!B4314</f>
        <v>478a.1</v>
      </c>
      <c r="C4314" s="147" t="str">
        <f>'Reported burning'!C4314</f>
        <v>All</v>
      </c>
      <c r="D4314" s="147" t="str">
        <f>'Reported burning'!D4314</f>
        <v>ND</v>
      </c>
      <c r="E4314" s="147" t="str">
        <f>'Reported burning'!E4314</f>
        <v>ND</v>
      </c>
      <c r="F4314" s="147" t="str">
        <f>'Reported burning'!F4314</f>
        <v>ND</v>
      </c>
      <c r="G4314" s="147" t="str">
        <f>'Reported burning'!G4314</f>
        <v>Shrubland (Mixed forest &amp; grassland)</v>
      </c>
      <c r="H4314" s="147" t="str">
        <f>'Reported burning'!H4314</f>
        <v>Presence</v>
      </c>
      <c r="I4314" s="198"/>
      <c r="J4314" s="71" t="s">
        <v>2272</v>
      </c>
      <c r="K4314" s="71" t="s">
        <v>2272</v>
      </c>
      <c r="L4314" s="71" t="s">
        <v>2272</v>
      </c>
      <c r="M4314" s="71" t="s">
        <v>2272</v>
      </c>
      <c r="N4314" s="71" t="s">
        <v>2272</v>
      </c>
      <c r="O4314" s="21" t="s">
        <v>2379</v>
      </c>
      <c r="P4314" s="71" t="s">
        <v>2272</v>
      </c>
      <c r="Q4314" s="71" t="s">
        <v>2272</v>
      </c>
      <c r="R4314" s="71" t="s">
        <v>2272</v>
      </c>
      <c r="S4314" s="71" t="s">
        <v>2272</v>
      </c>
      <c r="T4314" s="71" t="s">
        <v>2272</v>
      </c>
      <c r="U4314" s="71" t="s">
        <v>2272</v>
      </c>
      <c r="V4314" s="71" t="s">
        <v>2272</v>
      </c>
      <c r="W4314" s="71" t="s">
        <v>2272</v>
      </c>
      <c r="X4314" s="71" t="s">
        <v>2272</v>
      </c>
      <c r="Y4314" s="198" t="s">
        <v>186</v>
      </c>
      <c r="Z4314" s="198" t="s">
        <v>423</v>
      </c>
      <c r="AA4314" s="198" t="s">
        <v>75</v>
      </c>
      <c r="AB4314" s="198"/>
      <c r="AC4314" s="198"/>
    </row>
    <row r="4315" spans="1:29" ht="45.5" customHeight="1">
      <c r="A4315" s="147" t="str">
        <f>'Reported burning'!A4315</f>
        <v>478a</v>
      </c>
      <c r="B4315" s="147" t="str">
        <f>'Reported burning'!B4315</f>
        <v>478a.2</v>
      </c>
      <c r="C4315" s="147" t="str">
        <f>'Reported burning'!C4315</f>
        <v>Human, deliberate</v>
      </c>
      <c r="D4315" s="147" t="str">
        <f>'Reported burning'!D4315</f>
        <v>ND</v>
      </c>
      <c r="E4315" s="147" t="str">
        <f>'Reported burning'!E4315</f>
        <v>Mixed cropping-livestock small holder, Market-oriented</v>
      </c>
      <c r="F4315" s="147" t="str">
        <f>'Reported burning'!F4315</f>
        <v>ND</v>
      </c>
      <c r="G4315" s="147" t="str">
        <f>'Reported burning'!G4315</f>
        <v>ND</v>
      </c>
      <c r="H4315" s="147" t="str">
        <f>'Reported burning'!H4315</f>
        <v>Presence</v>
      </c>
      <c r="I4315" s="198"/>
      <c r="J4315" s="71" t="s">
        <v>2272</v>
      </c>
      <c r="K4315" s="71" t="s">
        <v>2272</v>
      </c>
      <c r="L4315" s="71" t="s">
        <v>2272</v>
      </c>
      <c r="M4315" s="71" t="s">
        <v>2272</v>
      </c>
      <c r="N4315" s="71" t="s">
        <v>2272</v>
      </c>
      <c r="O4315" s="71" t="s">
        <v>2272</v>
      </c>
      <c r="P4315" s="71" t="s">
        <v>2272</v>
      </c>
      <c r="Q4315" s="71" t="s">
        <v>2272</v>
      </c>
      <c r="R4315" s="71" t="s">
        <v>2272</v>
      </c>
      <c r="S4315" s="71" t="s">
        <v>2272</v>
      </c>
      <c r="T4315" s="71" t="s">
        <v>2272</v>
      </c>
      <c r="U4315" s="71" t="s">
        <v>2272</v>
      </c>
      <c r="V4315" s="71" t="s">
        <v>2272</v>
      </c>
      <c r="W4315" s="71" t="s">
        <v>2272</v>
      </c>
      <c r="X4315" s="71" t="s">
        <v>2272</v>
      </c>
      <c r="Y4315" s="71" t="s">
        <v>2272</v>
      </c>
      <c r="Z4315" s="71" t="s">
        <v>2272</v>
      </c>
      <c r="AA4315" s="71" t="s">
        <v>2272</v>
      </c>
      <c r="AB4315" s="198"/>
      <c r="AC4315" s="198"/>
    </row>
    <row r="4316" spans="1:29" s="197" customFormat="1" ht="42" customHeight="1">
      <c r="A4316" s="147" t="str">
        <f>'Reported burning'!A4316</f>
        <v>478b</v>
      </c>
      <c r="B4316" s="147" t="str">
        <f>'Reported burning'!B4316</f>
        <v>478b.1</v>
      </c>
      <c r="C4316" s="147" t="str">
        <f>'Reported burning'!C4316</f>
        <v>All</v>
      </c>
      <c r="D4316" s="147" t="str">
        <f>'Reported burning'!D4316</f>
        <v>ND</v>
      </c>
      <c r="E4316" s="147" t="str">
        <f>'Reported burning'!E4316</f>
        <v>ND</v>
      </c>
      <c r="F4316" s="147" t="str">
        <f>'Reported burning'!F4316</f>
        <v>ND</v>
      </c>
      <c r="G4316" s="147" t="str">
        <f>'Reported burning'!G4316</f>
        <v>Shrubland (Mixed forest &amp; grassland)</v>
      </c>
      <c r="H4316" s="147" t="str">
        <f>'Reported burning'!H4316</f>
        <v>Presence</v>
      </c>
      <c r="I4316" s="198"/>
      <c r="J4316" s="71" t="s">
        <v>2272</v>
      </c>
      <c r="K4316" s="71" t="s">
        <v>2272</v>
      </c>
      <c r="L4316" s="71" t="s">
        <v>2272</v>
      </c>
      <c r="M4316" s="71" t="s">
        <v>2272</v>
      </c>
      <c r="N4316" s="71" t="s">
        <v>2272</v>
      </c>
      <c r="O4316" s="21" t="s">
        <v>2379</v>
      </c>
      <c r="P4316" s="71" t="s">
        <v>2272</v>
      </c>
      <c r="Q4316" s="71" t="s">
        <v>2272</v>
      </c>
      <c r="R4316" s="71" t="s">
        <v>2272</v>
      </c>
      <c r="S4316" s="71" t="s">
        <v>2272</v>
      </c>
      <c r="T4316" s="71" t="s">
        <v>2272</v>
      </c>
      <c r="U4316" s="71" t="s">
        <v>2272</v>
      </c>
      <c r="V4316" s="71" t="s">
        <v>2272</v>
      </c>
      <c r="W4316" s="71" t="s">
        <v>2272</v>
      </c>
      <c r="X4316" s="71" t="s">
        <v>2272</v>
      </c>
      <c r="Y4316" s="198" t="s">
        <v>186</v>
      </c>
      <c r="Z4316" s="198" t="s">
        <v>423</v>
      </c>
      <c r="AA4316" s="198" t="s">
        <v>75</v>
      </c>
      <c r="AB4316" s="198"/>
      <c r="AC4316" s="198"/>
    </row>
    <row r="4317" spans="1:29" ht="42" customHeight="1">
      <c r="A4317" s="147" t="str">
        <f>'Reported burning'!A4317</f>
        <v>478b</v>
      </c>
      <c r="B4317" s="147" t="str">
        <f>'Reported burning'!B4317</f>
        <v>478b.2</v>
      </c>
      <c r="C4317" s="147" t="str">
        <f>'Reported burning'!C4317</f>
        <v>Human, accidental</v>
      </c>
      <c r="D4317" s="147" t="str">
        <f>'Reported burning'!D4317</f>
        <v>Accidental</v>
      </c>
      <c r="E4317" s="147" t="str">
        <f>'Reported burning'!E4317</f>
        <v>Urban planner</v>
      </c>
      <c r="F4317" s="147" t="str">
        <f>'Reported burning'!F4317</f>
        <v>ND</v>
      </c>
      <c r="G4317" s="147" t="str">
        <f>'Reported burning'!G4317</f>
        <v>Shrubland (Mixed forest &amp; grassland)</v>
      </c>
      <c r="H4317" s="147" t="str">
        <f>'Reported burning'!H4317</f>
        <v>Presence</v>
      </c>
      <c r="I4317" s="198"/>
      <c r="J4317" s="71" t="s">
        <v>2272</v>
      </c>
      <c r="K4317" s="71" t="s">
        <v>2272</v>
      </c>
      <c r="L4317" s="71" t="s">
        <v>2272</v>
      </c>
      <c r="M4317" s="71" t="s">
        <v>2272</v>
      </c>
      <c r="N4317" s="71" t="s">
        <v>2272</v>
      </c>
      <c r="O4317" s="71" t="s">
        <v>2272</v>
      </c>
      <c r="P4317" s="71" t="s">
        <v>2272</v>
      </c>
      <c r="Q4317" s="71" t="s">
        <v>2272</v>
      </c>
      <c r="R4317" s="71" t="s">
        <v>2272</v>
      </c>
      <c r="S4317" s="71" t="s">
        <v>2272</v>
      </c>
      <c r="T4317" s="71" t="s">
        <v>2272</v>
      </c>
      <c r="U4317" s="71" t="s">
        <v>2272</v>
      </c>
      <c r="V4317" s="71" t="s">
        <v>2272</v>
      </c>
      <c r="W4317" s="71" t="s">
        <v>2272</v>
      </c>
      <c r="X4317" s="71" t="s">
        <v>2272</v>
      </c>
      <c r="Y4317" s="71" t="s">
        <v>2272</v>
      </c>
      <c r="Z4317" s="71" t="s">
        <v>2272</v>
      </c>
      <c r="AA4317" s="71" t="s">
        <v>2272</v>
      </c>
      <c r="AB4317" s="198"/>
      <c r="AC4317" s="198"/>
    </row>
    <row r="4318" spans="1:29" ht="40" customHeight="1">
      <c r="A4318" s="147" t="str">
        <f>'Reported burning'!A4318</f>
        <v>478b</v>
      </c>
      <c r="B4318" s="147" t="str">
        <f>'Reported burning'!B4318</f>
        <v>478b.3</v>
      </c>
      <c r="C4318" s="147" t="str">
        <f>'Reported burning'!C4318</f>
        <v>Human, accidental</v>
      </c>
      <c r="D4318" s="147" t="str">
        <f>'Reported burning'!D4318</f>
        <v>Accidental</v>
      </c>
      <c r="E4318" s="147" t="str">
        <f>'Reported burning'!E4318</f>
        <v>Tourism manager</v>
      </c>
      <c r="F4318" s="147" t="str">
        <f>'Reported burning'!F4318</f>
        <v>ND</v>
      </c>
      <c r="G4318" s="147" t="str">
        <f>'Reported burning'!G4318</f>
        <v>Shrubland (Mixed forest &amp; grassland)</v>
      </c>
      <c r="H4318" s="147" t="str">
        <f>'Reported burning'!H4318</f>
        <v>Presence</v>
      </c>
      <c r="I4318" s="198"/>
      <c r="J4318" s="71" t="s">
        <v>2272</v>
      </c>
      <c r="K4318" s="71" t="s">
        <v>2272</v>
      </c>
      <c r="L4318" s="71" t="s">
        <v>2272</v>
      </c>
      <c r="M4318" s="71" t="s">
        <v>2272</v>
      </c>
      <c r="N4318" s="71" t="s">
        <v>2272</v>
      </c>
      <c r="O4318" s="71" t="s">
        <v>2272</v>
      </c>
      <c r="P4318" s="71" t="s">
        <v>2272</v>
      </c>
      <c r="Q4318" s="71" t="s">
        <v>2272</v>
      </c>
      <c r="R4318" s="71" t="s">
        <v>2272</v>
      </c>
      <c r="S4318" s="71" t="s">
        <v>2272</v>
      </c>
      <c r="T4318" s="71" t="s">
        <v>2272</v>
      </c>
      <c r="U4318" s="71" t="s">
        <v>2272</v>
      </c>
      <c r="V4318" s="71" t="s">
        <v>2272</v>
      </c>
      <c r="W4318" s="71" t="s">
        <v>2272</v>
      </c>
      <c r="X4318" s="71" t="s">
        <v>2272</v>
      </c>
      <c r="Y4318" s="71" t="s">
        <v>2272</v>
      </c>
      <c r="Z4318" s="71" t="s">
        <v>2272</v>
      </c>
      <c r="AA4318" s="71" t="s">
        <v>2272</v>
      </c>
      <c r="AB4318" s="198"/>
      <c r="AC4318" s="198"/>
    </row>
    <row r="4319" spans="1:29" ht="47.5" customHeight="1">
      <c r="A4319" s="147" t="str">
        <f>'Reported burning'!A4319</f>
        <v>478b</v>
      </c>
      <c r="B4319" s="147" t="str">
        <f>'Reported burning'!B4319</f>
        <v>478b.4</v>
      </c>
      <c r="C4319" s="147" t="str">
        <f>'Reported burning'!C4319</f>
        <v>Human, deliberate</v>
      </c>
      <c r="D4319" s="147" t="str">
        <f>'Reported burning'!D4319</f>
        <v>ND</v>
      </c>
      <c r="E4319" s="147" t="str">
        <f>'Reported burning'!E4319</f>
        <v>Mixed cropping-livestock small holder, Market-oriented</v>
      </c>
      <c r="F4319" s="147" t="str">
        <f>'Reported burning'!F4319</f>
        <v>ND</v>
      </c>
      <c r="G4319" s="147" t="str">
        <f>'Reported burning'!G4319</f>
        <v>ND</v>
      </c>
      <c r="H4319" s="147" t="str">
        <f>'Reported burning'!H4319</f>
        <v>Absence</v>
      </c>
      <c r="I4319" s="198"/>
      <c r="J4319" s="21" t="s">
        <v>2359</v>
      </c>
      <c r="K4319" s="21" t="s">
        <v>2359</v>
      </c>
      <c r="L4319" s="21" t="s">
        <v>2359</v>
      </c>
      <c r="M4319" s="21" t="s">
        <v>2359</v>
      </c>
      <c r="N4319" s="21" t="s">
        <v>2359</v>
      </c>
      <c r="O4319" s="21" t="s">
        <v>2359</v>
      </c>
      <c r="P4319" s="21" t="s">
        <v>2359</v>
      </c>
      <c r="Q4319" s="21" t="s">
        <v>2359</v>
      </c>
      <c r="R4319" s="21" t="s">
        <v>2359</v>
      </c>
      <c r="S4319" s="21" t="s">
        <v>2359</v>
      </c>
      <c r="T4319" s="21" t="s">
        <v>2359</v>
      </c>
      <c r="U4319" s="21" t="s">
        <v>2359</v>
      </c>
      <c r="V4319" s="21" t="s">
        <v>2359</v>
      </c>
      <c r="W4319" s="21" t="s">
        <v>2359</v>
      </c>
      <c r="X4319" s="71" t="s">
        <v>2272</v>
      </c>
      <c r="Y4319" s="71" t="s">
        <v>2272</v>
      </c>
      <c r="Z4319" s="71" t="s">
        <v>2272</v>
      </c>
      <c r="AA4319" s="71" t="s">
        <v>2272</v>
      </c>
      <c r="AB4319" s="198"/>
      <c r="AC4319" s="198"/>
    </row>
    <row r="4320" spans="1:29" ht="47.5" customHeight="1">
      <c r="A4320" s="147" t="str">
        <f>'Reported burning'!A4320</f>
        <v>479a</v>
      </c>
      <c r="B4320" s="147" t="str">
        <f>'Reported burning'!B4320</f>
        <v>479a.1</v>
      </c>
      <c r="C4320" s="147" t="str">
        <f>'Reported burning'!C4320</f>
        <v>Human, deliberate</v>
      </c>
      <c r="D4320" s="147" t="str">
        <f>'Reported burning'!D4320</f>
        <v>Pyrome management</v>
      </c>
      <c r="E4320" s="147" t="str">
        <f>'Reported burning'!E4320</f>
        <v>Fire suppression agent</v>
      </c>
      <c r="F4320" s="147" t="str">
        <f>'Reported burning'!F4320</f>
        <v>ND</v>
      </c>
      <c r="G4320" s="147" t="str">
        <f>'Reported burning'!G4320</f>
        <v>Secondary vegetation</v>
      </c>
      <c r="H4320" s="147" t="str">
        <f>'Reported burning'!H4320</f>
        <v>Presence</v>
      </c>
      <c r="I4320" s="198"/>
      <c r="J4320" s="71" t="s">
        <v>2272</v>
      </c>
      <c r="K4320" s="71" t="s">
        <v>2272</v>
      </c>
      <c r="L4320" s="71" t="s">
        <v>2272</v>
      </c>
      <c r="M4320" s="71" t="s">
        <v>2272</v>
      </c>
      <c r="N4320" s="71" t="s">
        <v>2272</v>
      </c>
      <c r="O4320" s="71" t="s">
        <v>2272</v>
      </c>
      <c r="P4320" s="71" t="s">
        <v>2272</v>
      </c>
      <c r="Q4320" s="71" t="s">
        <v>2272</v>
      </c>
      <c r="R4320" s="71" t="s">
        <v>2272</v>
      </c>
      <c r="S4320" s="71" t="s">
        <v>2272</v>
      </c>
      <c r="T4320" s="71" t="s">
        <v>2272</v>
      </c>
      <c r="U4320" s="21" t="s">
        <v>2369</v>
      </c>
      <c r="V4320" s="71" t="s">
        <v>2272</v>
      </c>
      <c r="W4320" s="71" t="s">
        <v>2272</v>
      </c>
      <c r="X4320" s="21" t="s">
        <v>2398</v>
      </c>
      <c r="Y4320" s="198" t="s">
        <v>34</v>
      </c>
      <c r="Z4320" s="198" t="s">
        <v>187</v>
      </c>
      <c r="AA4320" s="71" t="s">
        <v>2272</v>
      </c>
      <c r="AB4320" s="4" t="s">
        <v>11156</v>
      </c>
      <c r="AC4320" s="198"/>
    </row>
    <row r="4321" spans="1:29" ht="47.5" customHeight="1">
      <c r="A4321" s="147" t="str">
        <f>'Reported burning'!A4321</f>
        <v>479a</v>
      </c>
      <c r="B4321" s="147" t="str">
        <f>'Reported burning'!B4321</f>
        <v>479a.2</v>
      </c>
      <c r="C4321" s="147" t="str">
        <f>'Reported burning'!C4321</f>
        <v>Human, deliberate</v>
      </c>
      <c r="D4321" s="147" t="str">
        <f>'Reported burning'!D4321</f>
        <v>Pasture renewal</v>
      </c>
      <c r="E4321" s="147" t="str">
        <f>'Reported burning'!E4321</f>
        <v>Fire suppression agent</v>
      </c>
      <c r="F4321" s="147" t="str">
        <f>'Reported burning'!F4321</f>
        <v>ND</v>
      </c>
      <c r="G4321" s="147" t="str">
        <f>'Reported burning'!G4321</f>
        <v>Secondary vegetation</v>
      </c>
      <c r="H4321" s="147" t="str">
        <f>'Reported burning'!H4321</f>
        <v>Presence</v>
      </c>
      <c r="I4321" s="198"/>
      <c r="J4321" s="71" t="s">
        <v>2272</v>
      </c>
      <c r="K4321" s="71" t="s">
        <v>2272</v>
      </c>
      <c r="L4321" s="71" t="s">
        <v>2272</v>
      </c>
      <c r="M4321" s="71" t="s">
        <v>2272</v>
      </c>
      <c r="N4321" s="71" t="s">
        <v>2272</v>
      </c>
      <c r="O4321" s="71" t="s">
        <v>2272</v>
      </c>
      <c r="P4321" s="71" t="s">
        <v>2272</v>
      </c>
      <c r="Q4321" s="71" t="s">
        <v>2272</v>
      </c>
      <c r="R4321" s="71" t="s">
        <v>2272</v>
      </c>
      <c r="S4321" s="71" t="s">
        <v>2272</v>
      </c>
      <c r="T4321" s="71" t="s">
        <v>2272</v>
      </c>
      <c r="U4321" s="71" t="s">
        <v>2272</v>
      </c>
      <c r="V4321" s="71" t="s">
        <v>2272</v>
      </c>
      <c r="W4321" s="71" t="s">
        <v>2272</v>
      </c>
      <c r="X4321" s="21" t="s">
        <v>2398</v>
      </c>
      <c r="Y4321" s="198" t="s">
        <v>34</v>
      </c>
      <c r="Z4321" s="198" t="s">
        <v>187</v>
      </c>
      <c r="AA4321" s="71" t="s">
        <v>2272</v>
      </c>
      <c r="AB4321" s="4" t="s">
        <v>11156</v>
      </c>
      <c r="AC4321" s="198"/>
    </row>
    <row r="4322" spans="1:29" ht="47.5" customHeight="1">
      <c r="A4322" s="147" t="str">
        <f>'Reported burning'!A4322</f>
        <v>480a</v>
      </c>
      <c r="B4322" s="147" t="str">
        <f>'Reported burning'!B4322</f>
        <v>480a.1</v>
      </c>
      <c r="C4322" s="147" t="str">
        <f>'Reported burning'!C4322</f>
        <v>Human, deliberate</v>
      </c>
      <c r="D4322" s="147" t="str">
        <f>'Reported burning'!D4322</f>
        <v>ND</v>
      </c>
      <c r="E4322" s="147" t="str">
        <f>'Reported burning'!E4322</f>
        <v>ND</v>
      </c>
      <c r="F4322" s="147" t="str">
        <f>'Reported burning'!F4322</f>
        <v>ND</v>
      </c>
      <c r="G4322" s="147" t="str">
        <f>'Reported burning'!G4322</f>
        <v>ND</v>
      </c>
      <c r="H4322" s="147" t="str">
        <f>'Reported burning'!H4322</f>
        <v>Presence</v>
      </c>
      <c r="I4322" s="198"/>
      <c r="J4322" s="71" t="s">
        <v>2272</v>
      </c>
      <c r="K4322" s="71" t="s">
        <v>2272</v>
      </c>
      <c r="L4322" s="71" t="s">
        <v>2272</v>
      </c>
      <c r="M4322" s="71" t="s">
        <v>2272</v>
      </c>
      <c r="N4322" s="71" t="s">
        <v>2272</v>
      </c>
      <c r="O4322" s="71" t="s">
        <v>2272</v>
      </c>
      <c r="P4322" s="71" t="s">
        <v>2272</v>
      </c>
      <c r="Q4322" s="71" t="s">
        <v>2272</v>
      </c>
      <c r="R4322" s="71" t="s">
        <v>2272</v>
      </c>
      <c r="S4322" s="71" t="s">
        <v>2272</v>
      </c>
      <c r="T4322" s="71" t="s">
        <v>2272</v>
      </c>
      <c r="U4322" s="71" t="s">
        <v>2272</v>
      </c>
      <c r="V4322" s="71" t="s">
        <v>2272</v>
      </c>
      <c r="W4322" s="71" t="s">
        <v>2272</v>
      </c>
      <c r="X4322" s="71" t="s">
        <v>2272</v>
      </c>
      <c r="Y4322" s="71" t="s">
        <v>2272</v>
      </c>
      <c r="Z4322" s="71" t="s">
        <v>2272</v>
      </c>
      <c r="AA4322" s="71" t="s">
        <v>2272</v>
      </c>
      <c r="AB4322" s="198"/>
      <c r="AC4322" s="198"/>
    </row>
    <row r="4323" spans="1:29" ht="49.5" customHeight="1">
      <c r="A4323" s="147" t="str">
        <f>'Reported burning'!A4323</f>
        <v>480a</v>
      </c>
      <c r="B4323" s="147" t="str">
        <f>'Reported burning'!B4323</f>
        <v>480a.2</v>
      </c>
      <c r="C4323" s="147" t="str">
        <f>'Reported burning'!C4323</f>
        <v>Unknown</v>
      </c>
      <c r="D4323" s="147" t="str">
        <f>'Reported burning'!D4323</f>
        <v>ND</v>
      </c>
      <c r="E4323" s="147" t="str">
        <f>'Reported burning'!E4323</f>
        <v>ND</v>
      </c>
      <c r="F4323" s="147" t="str">
        <f>'Reported burning'!F4323</f>
        <v>ND</v>
      </c>
      <c r="G4323" s="147" t="str">
        <f>'Reported burning'!G4323</f>
        <v>ND</v>
      </c>
      <c r="H4323" s="147" t="str">
        <f>'Reported burning'!H4323</f>
        <v>Presence</v>
      </c>
      <c r="I4323" s="198"/>
      <c r="J4323" s="71" t="s">
        <v>2272</v>
      </c>
      <c r="K4323" s="71" t="s">
        <v>2272</v>
      </c>
      <c r="L4323" s="71" t="s">
        <v>2272</v>
      </c>
      <c r="M4323" s="71" t="s">
        <v>2272</v>
      </c>
      <c r="N4323" s="71" t="s">
        <v>2272</v>
      </c>
      <c r="O4323" s="71" t="s">
        <v>2272</v>
      </c>
      <c r="P4323" s="71" t="s">
        <v>2272</v>
      </c>
      <c r="Q4323" s="71" t="s">
        <v>2272</v>
      </c>
      <c r="R4323" s="71" t="s">
        <v>2272</v>
      </c>
      <c r="S4323" s="71" t="s">
        <v>2272</v>
      </c>
      <c r="T4323" s="71" t="s">
        <v>2272</v>
      </c>
      <c r="U4323" s="71" t="s">
        <v>2272</v>
      </c>
      <c r="V4323" s="71" t="s">
        <v>2272</v>
      </c>
      <c r="W4323" s="71" t="s">
        <v>2272</v>
      </c>
      <c r="X4323" s="71" t="s">
        <v>2272</v>
      </c>
      <c r="Y4323" s="71" t="s">
        <v>2272</v>
      </c>
      <c r="Z4323" s="71" t="s">
        <v>2272</v>
      </c>
      <c r="AA4323" s="71" t="s">
        <v>2272</v>
      </c>
      <c r="AB4323" s="198"/>
      <c r="AC4323" s="198"/>
    </row>
    <row r="4324" spans="1:29" ht="49.5" customHeight="1">
      <c r="A4324" s="147" t="str">
        <f>'Reported burning'!A4324</f>
        <v>480a</v>
      </c>
      <c r="B4324" s="147" t="str">
        <f>'Reported burning'!B4324</f>
        <v>480a.3</v>
      </c>
      <c r="C4324" s="147" t="str">
        <f>'Reported burning'!C4324</f>
        <v>Human, accidental</v>
      </c>
      <c r="D4324" s="147" t="str">
        <f>'Reported burning'!D4324</f>
        <v>ND</v>
      </c>
      <c r="E4324" s="147" t="str">
        <f>'Reported burning'!E4324</f>
        <v>Urban planner</v>
      </c>
      <c r="F4324" s="147" t="str">
        <f>'Reported burning'!F4324</f>
        <v>ND</v>
      </c>
      <c r="G4324" s="147" t="str">
        <f>'Reported burning'!G4324</f>
        <v>ND</v>
      </c>
      <c r="H4324" s="147" t="str">
        <f>'Reported burning'!H4324</f>
        <v>Presence</v>
      </c>
      <c r="I4324" s="198"/>
      <c r="J4324" s="71" t="s">
        <v>2272</v>
      </c>
      <c r="K4324" s="71" t="s">
        <v>2272</v>
      </c>
      <c r="L4324" s="71" t="s">
        <v>2272</v>
      </c>
      <c r="M4324" s="71" t="s">
        <v>2272</v>
      </c>
      <c r="N4324" s="71" t="s">
        <v>2272</v>
      </c>
      <c r="O4324" s="71" t="s">
        <v>2272</v>
      </c>
      <c r="P4324" s="71" t="s">
        <v>2272</v>
      </c>
      <c r="Q4324" s="71" t="s">
        <v>2272</v>
      </c>
      <c r="R4324" s="71" t="s">
        <v>2272</v>
      </c>
      <c r="S4324" s="71" t="s">
        <v>2272</v>
      </c>
      <c r="T4324" s="71" t="s">
        <v>2272</v>
      </c>
      <c r="U4324" s="71" t="s">
        <v>2272</v>
      </c>
      <c r="V4324" s="71" t="s">
        <v>2272</v>
      </c>
      <c r="W4324" s="71" t="s">
        <v>2272</v>
      </c>
      <c r="X4324" s="71" t="s">
        <v>2272</v>
      </c>
      <c r="Y4324" s="71" t="s">
        <v>2272</v>
      </c>
      <c r="Z4324" s="71" t="s">
        <v>2272</v>
      </c>
      <c r="AA4324" s="71" t="s">
        <v>2272</v>
      </c>
      <c r="AB4324" s="198"/>
      <c r="AC4324" s="198"/>
    </row>
    <row r="4325" spans="1:29" ht="49.5" customHeight="1">
      <c r="A4325" s="151" t="str">
        <f>'Reported burning'!A4325</f>
        <v>481a</v>
      </c>
      <c r="B4325" s="151" t="str">
        <f>'Reported burning'!B4325</f>
        <v>481a.1</v>
      </c>
      <c r="C4325" s="151" t="str">
        <f>'Reported burning'!C4325</f>
        <v>Human, deliberate</v>
      </c>
      <c r="D4325" s="151" t="str">
        <f>'Reported burning'!D4325</f>
        <v>ND</v>
      </c>
      <c r="E4325" s="151" t="str">
        <f>'Reported burning'!E4325</f>
        <v>Urban planner</v>
      </c>
      <c r="F4325" s="151" t="str">
        <f>'Reported burning'!F4325</f>
        <v>ND</v>
      </c>
      <c r="G4325" s="151" t="str">
        <f>'Reported burning'!G4325</f>
        <v>Shrubland (Mixed forest &amp; grassland)</v>
      </c>
      <c r="H4325" s="151" t="str">
        <f>'Reported burning'!H4325</f>
        <v>Presence</v>
      </c>
      <c r="I4325" s="198"/>
      <c r="J4325" s="71" t="s">
        <v>2272</v>
      </c>
      <c r="K4325" s="71" t="s">
        <v>2272</v>
      </c>
      <c r="L4325" s="71" t="s">
        <v>2272</v>
      </c>
      <c r="M4325" s="71" t="s">
        <v>2272</v>
      </c>
      <c r="N4325" s="71" t="s">
        <v>2272</v>
      </c>
      <c r="O4325" s="71" t="s">
        <v>2272</v>
      </c>
      <c r="P4325" s="71" t="s">
        <v>2272</v>
      </c>
      <c r="Q4325" s="71" t="s">
        <v>2272</v>
      </c>
      <c r="R4325" s="71" t="s">
        <v>2272</v>
      </c>
      <c r="S4325" s="71" t="s">
        <v>2272</v>
      </c>
      <c r="T4325" s="71" t="s">
        <v>2272</v>
      </c>
      <c r="U4325" s="71" t="s">
        <v>2272</v>
      </c>
      <c r="V4325" s="71" t="s">
        <v>2272</v>
      </c>
      <c r="W4325" s="71" t="s">
        <v>2272</v>
      </c>
      <c r="X4325" s="71" t="s">
        <v>2272</v>
      </c>
      <c r="Y4325" s="71" t="s">
        <v>2272</v>
      </c>
      <c r="Z4325" s="71" t="s">
        <v>2272</v>
      </c>
      <c r="AA4325" s="71" t="s">
        <v>2272</v>
      </c>
      <c r="AB4325" s="71"/>
      <c r="AC4325" s="71"/>
    </row>
    <row r="4326" spans="1:29" ht="38" customHeight="1">
      <c r="A4326" s="147" t="str">
        <f>'Reported burning'!A4326</f>
        <v>481a</v>
      </c>
      <c r="B4326" s="147" t="str">
        <f>'Reported burning'!B4326</f>
        <v>481a.2</v>
      </c>
      <c r="C4326" s="147" t="str">
        <f>'Reported burning'!C4326</f>
        <v>Human, deliberate</v>
      </c>
      <c r="D4326" s="147" t="str">
        <f>'Reported burning'!D4326</f>
        <v>ND</v>
      </c>
      <c r="E4326" s="147" t="str">
        <f>'Reported burning'!E4326</f>
        <v>ND</v>
      </c>
      <c r="F4326" s="147" t="str">
        <f>'Reported burning'!F4326</f>
        <v>ND</v>
      </c>
      <c r="G4326" s="147" t="str">
        <f>'Reported burning'!G4326</f>
        <v>Shrubland (Mixed forest &amp; grassland)</v>
      </c>
      <c r="H4326" s="147" t="str">
        <f>'Reported burning'!H4326</f>
        <v>Presence</v>
      </c>
      <c r="I4326" s="198"/>
      <c r="J4326" s="71" t="s">
        <v>2272</v>
      </c>
      <c r="K4326" s="71" t="s">
        <v>2272</v>
      </c>
      <c r="L4326" s="71" t="s">
        <v>2272</v>
      </c>
      <c r="M4326" s="71" t="s">
        <v>2272</v>
      </c>
      <c r="N4326" s="71" t="s">
        <v>2272</v>
      </c>
      <c r="O4326" s="71" t="s">
        <v>2272</v>
      </c>
      <c r="P4326" s="71" t="s">
        <v>2272</v>
      </c>
      <c r="Q4326" s="71" t="s">
        <v>2272</v>
      </c>
      <c r="R4326" s="71" t="s">
        <v>2272</v>
      </c>
      <c r="S4326" s="71" t="s">
        <v>2272</v>
      </c>
      <c r="T4326" s="71" t="s">
        <v>2272</v>
      </c>
      <c r="U4326" s="71" t="s">
        <v>2272</v>
      </c>
      <c r="V4326" s="71" t="s">
        <v>2272</v>
      </c>
      <c r="W4326" s="71" t="s">
        <v>2272</v>
      </c>
      <c r="X4326" s="71" t="s">
        <v>2272</v>
      </c>
      <c r="Y4326" s="71" t="s">
        <v>2272</v>
      </c>
      <c r="Z4326" s="71" t="s">
        <v>2272</v>
      </c>
      <c r="AA4326" s="71" t="s">
        <v>2272</v>
      </c>
      <c r="AB4326" s="71"/>
      <c r="AC4326" s="71"/>
    </row>
    <row r="4327" spans="1:29" ht="38" customHeight="1">
      <c r="A4327" s="147" t="str">
        <f>'Reported burning'!A4327</f>
        <v>481a</v>
      </c>
      <c r="B4327" s="147" t="str">
        <f>'Reported burning'!B4327</f>
        <v>481a.3</v>
      </c>
      <c r="C4327" s="147" t="str">
        <f>'Reported burning'!C4327</f>
        <v>Unknown</v>
      </c>
      <c r="D4327" s="147" t="str">
        <f>'Reported burning'!D4327</f>
        <v>ND</v>
      </c>
      <c r="E4327" s="147" t="str">
        <f>'Reported burning'!E4327</f>
        <v>Urban planner</v>
      </c>
      <c r="F4327" s="147" t="str">
        <f>'Reported burning'!F4327</f>
        <v>ND</v>
      </c>
      <c r="G4327" s="147" t="str">
        <f>'Reported burning'!G4327</f>
        <v>Shrubland (Mixed forest &amp; grassland)</v>
      </c>
      <c r="H4327" s="147" t="str">
        <f>'Reported burning'!H4327</f>
        <v>Presence</v>
      </c>
      <c r="I4327" s="198"/>
      <c r="J4327" s="71" t="s">
        <v>2272</v>
      </c>
      <c r="K4327" s="71" t="s">
        <v>2272</v>
      </c>
      <c r="L4327" s="71" t="s">
        <v>2272</v>
      </c>
      <c r="M4327" s="71" t="s">
        <v>2272</v>
      </c>
      <c r="N4327" s="71" t="s">
        <v>2272</v>
      </c>
      <c r="O4327" s="71" t="s">
        <v>2272</v>
      </c>
      <c r="P4327" s="71" t="s">
        <v>2272</v>
      </c>
      <c r="Q4327" s="71" t="s">
        <v>2272</v>
      </c>
      <c r="R4327" s="71" t="s">
        <v>2272</v>
      </c>
      <c r="S4327" s="71" t="s">
        <v>2272</v>
      </c>
      <c r="T4327" s="71" t="s">
        <v>2272</v>
      </c>
      <c r="U4327" s="71" t="s">
        <v>2272</v>
      </c>
      <c r="V4327" s="71" t="s">
        <v>2272</v>
      </c>
      <c r="W4327" s="71" t="s">
        <v>2272</v>
      </c>
      <c r="X4327" s="71" t="s">
        <v>2272</v>
      </c>
      <c r="Y4327" s="71" t="s">
        <v>2272</v>
      </c>
      <c r="Z4327" s="71" t="s">
        <v>2272</v>
      </c>
      <c r="AA4327" s="71" t="s">
        <v>2272</v>
      </c>
      <c r="AB4327" s="71"/>
      <c r="AC4327" s="71"/>
    </row>
    <row r="4328" spans="1:29" ht="38" customHeight="1">
      <c r="A4328" s="147" t="str">
        <f>'Reported burning'!A4328</f>
        <v>481a</v>
      </c>
      <c r="B4328" s="147" t="str">
        <f>'Reported burning'!B4328</f>
        <v>481a.4</v>
      </c>
      <c r="C4328" s="147" t="str">
        <f>'Reported burning'!C4328</f>
        <v>Unknown</v>
      </c>
      <c r="D4328" s="147" t="str">
        <f>'Reported burning'!D4328</f>
        <v>ND</v>
      </c>
      <c r="E4328" s="147" t="str">
        <f>'Reported burning'!E4328</f>
        <v>ND</v>
      </c>
      <c r="F4328" s="147" t="str">
        <f>'Reported burning'!F4328</f>
        <v>ND</v>
      </c>
      <c r="G4328" s="147" t="str">
        <f>'Reported burning'!G4328</f>
        <v>Shrubland (Mixed forest &amp; grassland)</v>
      </c>
      <c r="H4328" s="147" t="str">
        <f>'Reported burning'!H4328</f>
        <v>Presence</v>
      </c>
      <c r="I4328" s="198"/>
      <c r="J4328" s="71" t="s">
        <v>2272</v>
      </c>
      <c r="K4328" s="71" t="s">
        <v>2272</v>
      </c>
      <c r="L4328" s="71" t="s">
        <v>2272</v>
      </c>
      <c r="M4328" s="71" t="s">
        <v>2272</v>
      </c>
      <c r="N4328" s="71" t="s">
        <v>2272</v>
      </c>
      <c r="O4328" s="71" t="s">
        <v>2272</v>
      </c>
      <c r="P4328" s="71" t="s">
        <v>2272</v>
      </c>
      <c r="Q4328" s="71" t="s">
        <v>2272</v>
      </c>
      <c r="R4328" s="71" t="s">
        <v>2272</v>
      </c>
      <c r="S4328" s="71" t="s">
        <v>2272</v>
      </c>
      <c r="T4328" s="71" t="s">
        <v>2272</v>
      </c>
      <c r="U4328" s="71" t="s">
        <v>2272</v>
      </c>
      <c r="V4328" s="71" t="s">
        <v>2272</v>
      </c>
      <c r="W4328" s="71" t="s">
        <v>2272</v>
      </c>
      <c r="X4328" s="71" t="s">
        <v>2272</v>
      </c>
      <c r="Y4328" s="71" t="s">
        <v>2272</v>
      </c>
      <c r="Z4328" s="71" t="s">
        <v>2272</v>
      </c>
      <c r="AA4328" s="71" t="s">
        <v>2272</v>
      </c>
      <c r="AB4328" s="71"/>
      <c r="AC4328" s="71"/>
    </row>
    <row r="4329" spans="1:29" ht="38" customHeight="1">
      <c r="A4329" s="147" t="str">
        <f>'Reported burning'!A4329</f>
        <v>481a</v>
      </c>
      <c r="B4329" s="147" t="str">
        <f>'Reported burning'!B4329</f>
        <v>481a.5</v>
      </c>
      <c r="C4329" s="147" t="str">
        <f>'Reported burning'!C4329</f>
        <v>Human, deliberate</v>
      </c>
      <c r="D4329" s="147" t="str">
        <f>'Reported burning'!D4329</f>
        <v>Crop residue burning</v>
      </c>
      <c r="E4329" s="147" t="str">
        <f>'Reported burning'!E4329</f>
        <v>Mixed cropping-livestock small holder, Market-oriented</v>
      </c>
      <c r="F4329" s="147" t="str">
        <f>'Reported burning'!F4329</f>
        <v>Cropland</v>
      </c>
      <c r="G4329" s="147" t="str">
        <f>'Reported burning'!G4329</f>
        <v>Cropland</v>
      </c>
      <c r="H4329" s="147" t="str">
        <f>'Reported burning'!H4329</f>
        <v>Presence</v>
      </c>
      <c r="I4329" s="198"/>
      <c r="J4329" s="71" t="s">
        <v>2272</v>
      </c>
      <c r="K4329" s="71" t="s">
        <v>2272</v>
      </c>
      <c r="L4329" s="71" t="s">
        <v>2272</v>
      </c>
      <c r="M4329" s="71" t="s">
        <v>2272</v>
      </c>
      <c r="N4329" s="71" t="s">
        <v>2272</v>
      </c>
      <c r="O4329" s="71" t="s">
        <v>2272</v>
      </c>
      <c r="P4329" s="71" t="s">
        <v>2272</v>
      </c>
      <c r="Q4329" s="71" t="s">
        <v>2272</v>
      </c>
      <c r="R4329" s="71" t="s">
        <v>2272</v>
      </c>
      <c r="S4329" s="71" t="s">
        <v>2272</v>
      </c>
      <c r="T4329" s="71" t="s">
        <v>2272</v>
      </c>
      <c r="U4329" s="71" t="s">
        <v>2272</v>
      </c>
      <c r="V4329" s="71" t="s">
        <v>2272</v>
      </c>
      <c r="W4329" s="71" t="s">
        <v>2272</v>
      </c>
      <c r="X4329" s="71" t="s">
        <v>2272</v>
      </c>
      <c r="Y4329" s="71" t="s">
        <v>2272</v>
      </c>
      <c r="Z4329" s="71" t="s">
        <v>2272</v>
      </c>
      <c r="AA4329" s="71" t="s">
        <v>2272</v>
      </c>
      <c r="AB4329" s="198"/>
      <c r="AC4329" s="198"/>
    </row>
    <row r="4330" spans="1:29" ht="43.5" customHeight="1">
      <c r="A4330" s="147" t="str">
        <f>'Reported burning'!A4330</f>
        <v>481a</v>
      </c>
      <c r="B4330" s="147" t="str">
        <f>'Reported burning'!B4330</f>
        <v>481a.6</v>
      </c>
      <c r="C4330" s="147" t="str">
        <f>'Reported burning'!C4330</f>
        <v>Human, deliberate</v>
      </c>
      <c r="D4330" s="147" t="str">
        <f>'Reported burning'!D4330</f>
        <v>Land clearance</v>
      </c>
      <c r="E4330" s="147" t="str">
        <f>'Reported burning'!E4330</f>
        <v>Mixed cropping-livestock small holder, Market-oriented</v>
      </c>
      <c r="F4330" s="147" t="str">
        <f>'Reported burning'!F4330</f>
        <v>Shrubland (Mixed forest &amp; grassland)</v>
      </c>
      <c r="G4330" s="147" t="str">
        <f>'Reported burning'!G4330</f>
        <v>Shrubland (Mixed forest &amp; grassland)</v>
      </c>
      <c r="H4330" s="147" t="str">
        <f>'Reported burning'!H4330</f>
        <v>Presence</v>
      </c>
      <c r="I4330" s="198"/>
      <c r="J4330" s="71" t="s">
        <v>2272</v>
      </c>
      <c r="K4330" s="71" t="s">
        <v>2272</v>
      </c>
      <c r="L4330" s="71" t="s">
        <v>2272</v>
      </c>
      <c r="M4330" s="71" t="s">
        <v>2272</v>
      </c>
      <c r="N4330" s="71" t="s">
        <v>2272</v>
      </c>
      <c r="O4330" s="71" t="s">
        <v>2272</v>
      </c>
      <c r="P4330" s="71" t="s">
        <v>2272</v>
      </c>
      <c r="Q4330" s="71" t="s">
        <v>2272</v>
      </c>
      <c r="R4330" s="71" t="s">
        <v>2272</v>
      </c>
      <c r="S4330" s="71" t="s">
        <v>2272</v>
      </c>
      <c r="T4330" s="71" t="s">
        <v>2272</v>
      </c>
      <c r="U4330" s="71" t="s">
        <v>2272</v>
      </c>
      <c r="V4330" s="71" t="s">
        <v>2272</v>
      </c>
      <c r="W4330" s="71" t="s">
        <v>2272</v>
      </c>
      <c r="X4330" s="71" t="s">
        <v>2272</v>
      </c>
      <c r="Y4330" s="71" t="s">
        <v>2272</v>
      </c>
      <c r="Z4330" s="71" t="s">
        <v>2272</v>
      </c>
      <c r="AA4330" s="71" t="s">
        <v>2272</v>
      </c>
      <c r="AB4330" s="198"/>
      <c r="AC4330" s="198"/>
    </row>
    <row r="4331" spans="1:29" ht="43.5" customHeight="1">
      <c r="A4331" s="147" t="str">
        <f>'Reported burning'!A4331</f>
        <v>481a</v>
      </c>
      <c r="B4331" s="147" t="str">
        <f>'Reported burning'!B4331</f>
        <v>481a.7</v>
      </c>
      <c r="C4331" s="147" t="str">
        <f>'Reported burning'!C4331</f>
        <v>Human, deliberate</v>
      </c>
      <c r="D4331" s="147" t="str">
        <f>'Reported burning'!D4331</f>
        <v>Arson</v>
      </c>
      <c r="E4331" s="147" t="str">
        <f>'Reported burning'!E4331</f>
        <v>Mixed cropping-livestock small holder, Market-oriented</v>
      </c>
      <c r="F4331" s="147" t="str">
        <f>'Reported burning'!F4331</f>
        <v>Shrubland (Mixed forest &amp; grassland)</v>
      </c>
      <c r="G4331" s="147" t="str">
        <f>'Reported burning'!G4331</f>
        <v>Shrubland (Mixed forest &amp; grassland)</v>
      </c>
      <c r="H4331" s="147" t="str">
        <f>'Reported burning'!H4331</f>
        <v>Presence</v>
      </c>
      <c r="I4331" s="198"/>
      <c r="J4331" s="71" t="s">
        <v>2272</v>
      </c>
      <c r="K4331" s="71" t="s">
        <v>2272</v>
      </c>
      <c r="L4331" s="71" t="s">
        <v>2272</v>
      </c>
      <c r="M4331" s="71" t="s">
        <v>2272</v>
      </c>
      <c r="N4331" s="71" t="s">
        <v>2272</v>
      </c>
      <c r="O4331" s="71" t="s">
        <v>2272</v>
      </c>
      <c r="P4331" s="71" t="s">
        <v>2272</v>
      </c>
      <c r="Q4331" s="71" t="s">
        <v>2272</v>
      </c>
      <c r="R4331" s="71" t="s">
        <v>2272</v>
      </c>
      <c r="S4331" s="71" t="s">
        <v>2272</v>
      </c>
      <c r="T4331" s="71" t="s">
        <v>2272</v>
      </c>
      <c r="U4331" s="71" t="s">
        <v>2272</v>
      </c>
      <c r="V4331" s="71" t="s">
        <v>2272</v>
      </c>
      <c r="W4331" s="71" t="s">
        <v>2272</v>
      </c>
      <c r="X4331" s="71" t="s">
        <v>2272</v>
      </c>
      <c r="Y4331" s="71" t="s">
        <v>2272</v>
      </c>
      <c r="Z4331" s="71" t="s">
        <v>2272</v>
      </c>
      <c r="AA4331" s="71" t="s">
        <v>2272</v>
      </c>
      <c r="AB4331" s="198"/>
      <c r="AC4331" s="198"/>
    </row>
    <row r="4332" spans="1:29" ht="43.5" customHeight="1">
      <c r="A4332" s="147" t="str">
        <f>'Reported burning'!A4332</f>
        <v>481a</v>
      </c>
      <c r="B4332" s="147" t="str">
        <f>'Reported burning'!B4332</f>
        <v>481a.8</v>
      </c>
      <c r="C4332" s="147" t="str">
        <f>'Reported burning'!C4332</f>
        <v>Human, escaped</v>
      </c>
      <c r="D4332" s="147" t="str">
        <f>'Reported burning'!D4332</f>
        <v>Crop residue burning</v>
      </c>
      <c r="E4332" s="147" t="str">
        <f>'Reported burning'!E4332</f>
        <v>Mixed cropping-livestock small holder, Market-oriented</v>
      </c>
      <c r="F4332" s="147" t="str">
        <f>'Reported burning'!F4332</f>
        <v>Cropland</v>
      </c>
      <c r="G4332" s="147" t="str">
        <f>'Reported burning'!G4332</f>
        <v>Shrubland (Mixed forest &amp; grassland)</v>
      </c>
      <c r="H4332" s="147" t="str">
        <f>'Reported burning'!H4332</f>
        <v>Presence</v>
      </c>
      <c r="I4332" s="198"/>
      <c r="J4332" s="71" t="s">
        <v>2272</v>
      </c>
      <c r="K4332" s="71" t="s">
        <v>2272</v>
      </c>
      <c r="L4332" s="71" t="s">
        <v>2272</v>
      </c>
      <c r="M4332" s="71" t="s">
        <v>2272</v>
      </c>
      <c r="N4332" s="71" t="s">
        <v>2272</v>
      </c>
      <c r="O4332" s="71" t="s">
        <v>2272</v>
      </c>
      <c r="P4332" s="71" t="s">
        <v>2272</v>
      </c>
      <c r="Q4332" s="71" t="s">
        <v>2272</v>
      </c>
      <c r="R4332" s="71" t="s">
        <v>2272</v>
      </c>
      <c r="S4332" s="71" t="s">
        <v>2272</v>
      </c>
      <c r="T4332" s="71" t="s">
        <v>2272</v>
      </c>
      <c r="U4332" s="71" t="s">
        <v>2272</v>
      </c>
      <c r="V4332" s="71" t="s">
        <v>2272</v>
      </c>
      <c r="W4332" s="71" t="s">
        <v>2272</v>
      </c>
      <c r="X4332" s="71" t="s">
        <v>2272</v>
      </c>
      <c r="Y4332" s="71" t="s">
        <v>2272</v>
      </c>
      <c r="Z4332" s="71" t="s">
        <v>2272</v>
      </c>
      <c r="AA4332" s="71" t="s">
        <v>2272</v>
      </c>
      <c r="AB4332" s="198"/>
      <c r="AC4332" s="198"/>
    </row>
    <row r="4333" spans="1:29" ht="43.5" customHeight="1">
      <c r="A4333" s="147" t="str">
        <f>'Reported burning'!A4333</f>
        <v>481a</v>
      </c>
      <c r="B4333" s="147" t="str">
        <f>'Reported burning'!B4333</f>
        <v>481a.9</v>
      </c>
      <c r="C4333" s="147" t="str">
        <f>'Reported burning'!C4333</f>
        <v>Human, escaped</v>
      </c>
      <c r="D4333" s="147" t="str">
        <f>'Reported burning'!D4333</f>
        <v>Land clearance</v>
      </c>
      <c r="E4333" s="147" t="str">
        <f>'Reported burning'!E4333</f>
        <v>Mixed cropping-livestock small holder, Market-oriented</v>
      </c>
      <c r="F4333" s="147" t="str">
        <f>'Reported burning'!F4333</f>
        <v>ND</v>
      </c>
      <c r="G4333" s="147" t="str">
        <f>'Reported burning'!G4333</f>
        <v>Shrubland (Mixed forest &amp; grassland)</v>
      </c>
      <c r="H4333" s="147" t="str">
        <f>'Reported burning'!H4333</f>
        <v>Presence</v>
      </c>
      <c r="I4333" s="198"/>
      <c r="J4333" s="71" t="s">
        <v>2272</v>
      </c>
      <c r="K4333" s="71" t="s">
        <v>2272</v>
      </c>
      <c r="L4333" s="71" t="s">
        <v>2272</v>
      </c>
      <c r="M4333" s="71" t="s">
        <v>2272</v>
      </c>
      <c r="N4333" s="71" t="s">
        <v>2272</v>
      </c>
      <c r="O4333" s="71" t="s">
        <v>2272</v>
      </c>
      <c r="P4333" s="71" t="s">
        <v>2272</v>
      </c>
      <c r="Q4333" s="71" t="s">
        <v>2272</v>
      </c>
      <c r="R4333" s="71" t="s">
        <v>2272</v>
      </c>
      <c r="S4333" s="71" t="s">
        <v>2272</v>
      </c>
      <c r="T4333" s="71" t="s">
        <v>2272</v>
      </c>
      <c r="U4333" s="71" t="s">
        <v>2272</v>
      </c>
      <c r="V4333" s="71" t="s">
        <v>2272</v>
      </c>
      <c r="W4333" s="71" t="s">
        <v>2272</v>
      </c>
      <c r="X4333" s="71" t="s">
        <v>2272</v>
      </c>
      <c r="Y4333" s="71" t="s">
        <v>2272</v>
      </c>
      <c r="Z4333" s="71" t="s">
        <v>2272</v>
      </c>
      <c r="AA4333" s="71" t="s">
        <v>2272</v>
      </c>
      <c r="AB4333" s="198"/>
      <c r="AC4333" s="198"/>
    </row>
    <row r="4334" spans="1:29" ht="43.5" customHeight="1">
      <c r="A4334" s="147" t="str">
        <f>'Reported burning'!A4334</f>
        <v>482a</v>
      </c>
      <c r="B4334" s="147" t="str">
        <f>'Reported burning'!B4334</f>
        <v>482a.1</v>
      </c>
      <c r="C4334" s="147" t="str">
        <f>'Reported burning'!C4334</f>
        <v>Human, deliberate</v>
      </c>
      <c r="D4334" s="147" t="str">
        <f>'Reported burning'!D4334</f>
        <v>ND</v>
      </c>
      <c r="E4334" s="147" t="str">
        <f>'Reported burning'!E4334</f>
        <v>ND</v>
      </c>
      <c r="F4334" s="147" t="str">
        <f>'Reported burning'!F4334</f>
        <v>ND</v>
      </c>
      <c r="G4334" s="147" t="str">
        <f>'Reported burning'!G4334</f>
        <v>Forest</v>
      </c>
      <c r="H4334" s="147" t="str">
        <f>'Reported burning'!H4334</f>
        <v>Presence</v>
      </c>
      <c r="I4334" s="198"/>
      <c r="J4334" s="71" t="s">
        <v>2272</v>
      </c>
      <c r="K4334" s="71" t="s">
        <v>2272</v>
      </c>
      <c r="L4334" s="71" t="s">
        <v>2272</v>
      </c>
      <c r="M4334" s="71" t="s">
        <v>2272</v>
      </c>
      <c r="N4334" s="71" t="s">
        <v>2272</v>
      </c>
      <c r="O4334" s="71" t="s">
        <v>2272</v>
      </c>
      <c r="P4334" s="71" t="s">
        <v>2272</v>
      </c>
      <c r="Q4334" s="14" t="s">
        <v>2368</v>
      </c>
      <c r="R4334" s="71" t="s">
        <v>2272</v>
      </c>
      <c r="S4334" s="71" t="s">
        <v>2272</v>
      </c>
      <c r="T4334" s="71" t="s">
        <v>2272</v>
      </c>
      <c r="U4334" s="14" t="s">
        <v>2369</v>
      </c>
      <c r="V4334" s="71" t="s">
        <v>2272</v>
      </c>
      <c r="W4334" s="71" t="s">
        <v>2272</v>
      </c>
      <c r="X4334" s="71" t="s">
        <v>2272</v>
      </c>
      <c r="Y4334" s="71" t="s">
        <v>2272</v>
      </c>
      <c r="Z4334" s="71" t="s">
        <v>2272</v>
      </c>
      <c r="AA4334" s="71" t="s">
        <v>2272</v>
      </c>
      <c r="AB4334" s="198"/>
      <c r="AC4334" s="4" t="s">
        <v>11190</v>
      </c>
    </row>
    <row r="4335" spans="1:29" ht="46.5" customHeight="1">
      <c r="A4335" s="147" t="str">
        <f>'Reported burning'!A4335</f>
        <v>482a</v>
      </c>
      <c r="B4335" s="147" t="str">
        <f>'Reported burning'!B4335</f>
        <v>482a.2</v>
      </c>
      <c r="C4335" s="147" t="str">
        <f>'Reported burning'!C4335</f>
        <v>Human, deliberate</v>
      </c>
      <c r="D4335" s="147" t="str">
        <f>'Reported burning'!D4335</f>
        <v>Crop field preparation</v>
      </c>
      <c r="E4335" s="147" t="str">
        <f>'Reported burning'!E4335</f>
        <v>Cropping, Swidden</v>
      </c>
      <c r="F4335" s="147" t="str">
        <f>'Reported burning'!F4335</f>
        <v>ND</v>
      </c>
      <c r="G4335" s="147" t="str">
        <f>'Reported burning'!G4335</f>
        <v>ND</v>
      </c>
      <c r="H4335" s="147" t="str">
        <f>'Reported burning'!H4335</f>
        <v>Presence</v>
      </c>
      <c r="I4335" s="198"/>
      <c r="J4335" s="71" t="s">
        <v>2272</v>
      </c>
      <c r="K4335" s="71" t="s">
        <v>2272</v>
      </c>
      <c r="L4335" s="71" t="s">
        <v>2272</v>
      </c>
      <c r="M4335" s="71" t="s">
        <v>2272</v>
      </c>
      <c r="N4335" s="71" t="s">
        <v>2272</v>
      </c>
      <c r="O4335" s="71" t="s">
        <v>2272</v>
      </c>
      <c r="P4335" s="71" t="s">
        <v>2272</v>
      </c>
      <c r="Q4335" s="71" t="s">
        <v>2272</v>
      </c>
      <c r="R4335" s="71" t="s">
        <v>2272</v>
      </c>
      <c r="S4335" s="71" t="s">
        <v>2272</v>
      </c>
      <c r="T4335" s="71" t="s">
        <v>2272</v>
      </c>
      <c r="U4335" s="71" t="s">
        <v>2272</v>
      </c>
      <c r="V4335" s="71" t="s">
        <v>2272</v>
      </c>
      <c r="W4335" s="71" t="s">
        <v>2272</v>
      </c>
      <c r="X4335" s="71" t="s">
        <v>2272</v>
      </c>
      <c r="Y4335" s="71" t="s">
        <v>2272</v>
      </c>
      <c r="Z4335" s="71" t="s">
        <v>2272</v>
      </c>
      <c r="AA4335" s="71" t="s">
        <v>2272</v>
      </c>
      <c r="AB4335" s="198"/>
      <c r="AC4335" s="198"/>
    </row>
    <row r="4336" spans="1:29" ht="46.5" customHeight="1">
      <c r="A4336" s="147" t="str">
        <f>'Reported burning'!A4336</f>
        <v>482a</v>
      </c>
      <c r="B4336" s="147" t="str">
        <f>'Reported burning'!B4336</f>
        <v>482a.3</v>
      </c>
      <c r="C4336" s="147" t="str">
        <f>'Reported burning'!C4336</f>
        <v>Human, deliberate</v>
      </c>
      <c r="D4336" s="147" t="str">
        <f>'Reported burning'!D4336</f>
        <v>Pasture renewal</v>
      </c>
      <c r="E4336" s="147" t="str">
        <f>'Reported burning'!E4336</f>
        <v>Cattle, Extensive</v>
      </c>
      <c r="F4336" s="147" t="str">
        <f>'Reported burning'!F4336</f>
        <v>ND</v>
      </c>
      <c r="G4336" s="147" t="str">
        <f>'Reported burning'!G4336</f>
        <v>ND</v>
      </c>
      <c r="H4336" s="147" t="str">
        <f>'Reported burning'!H4336</f>
        <v>Presence</v>
      </c>
      <c r="I4336" s="198"/>
      <c r="J4336" s="71" t="s">
        <v>2272</v>
      </c>
      <c r="K4336" s="71" t="s">
        <v>2272</v>
      </c>
      <c r="L4336" s="71" t="s">
        <v>2272</v>
      </c>
      <c r="M4336" s="71" t="s">
        <v>2272</v>
      </c>
      <c r="N4336" s="71" t="s">
        <v>2272</v>
      </c>
      <c r="O4336" s="71" t="s">
        <v>2272</v>
      </c>
      <c r="P4336" s="71" t="s">
        <v>2272</v>
      </c>
      <c r="Q4336" s="71" t="s">
        <v>2272</v>
      </c>
      <c r="R4336" s="71" t="s">
        <v>2272</v>
      </c>
      <c r="S4336" s="71" t="s">
        <v>2272</v>
      </c>
      <c r="T4336" s="71" t="s">
        <v>2272</v>
      </c>
      <c r="U4336" s="71" t="s">
        <v>2272</v>
      </c>
      <c r="V4336" s="71" t="s">
        <v>2272</v>
      </c>
      <c r="W4336" s="71" t="s">
        <v>2272</v>
      </c>
      <c r="X4336" s="71" t="s">
        <v>2272</v>
      </c>
      <c r="Y4336" s="71" t="s">
        <v>2272</v>
      </c>
      <c r="Z4336" s="71" t="s">
        <v>2272</v>
      </c>
      <c r="AA4336" s="71" t="s">
        <v>2272</v>
      </c>
      <c r="AB4336" s="198"/>
      <c r="AC4336" s="198"/>
    </row>
    <row r="4337" spans="1:29" ht="46.5" customHeight="1">
      <c r="A4337" s="147" t="str">
        <f>'Reported burning'!A4337</f>
        <v>482a</v>
      </c>
      <c r="B4337" s="147" t="str">
        <f>'Reported burning'!B4337</f>
        <v>482a.4</v>
      </c>
      <c r="C4337" s="147" t="str">
        <f>'Reported burning'!C4337</f>
        <v>Human, deliberate</v>
      </c>
      <c r="D4337" s="147" t="str">
        <f>'Reported burning'!D4337</f>
        <v>Hunting</v>
      </c>
      <c r="E4337" s="147" t="str">
        <f>'Reported burning'!E4337</f>
        <v>Forestry, Traditional</v>
      </c>
      <c r="F4337" s="147" t="str">
        <f>'Reported burning'!F4337</f>
        <v>ND</v>
      </c>
      <c r="G4337" s="147" t="str">
        <f>'Reported burning'!G4337</f>
        <v>ND</v>
      </c>
      <c r="H4337" s="147" t="str">
        <f>'Reported burning'!H4337</f>
        <v>Presence</v>
      </c>
      <c r="I4337" s="198"/>
      <c r="J4337" s="71" t="s">
        <v>2272</v>
      </c>
      <c r="K4337" s="71" t="s">
        <v>2272</v>
      </c>
      <c r="L4337" s="71" t="s">
        <v>2272</v>
      </c>
      <c r="M4337" s="71" t="s">
        <v>2272</v>
      </c>
      <c r="N4337" s="71" t="s">
        <v>2272</v>
      </c>
      <c r="O4337" s="71" t="s">
        <v>2272</v>
      </c>
      <c r="P4337" s="71" t="s">
        <v>2272</v>
      </c>
      <c r="Q4337" s="71" t="s">
        <v>2272</v>
      </c>
      <c r="R4337" s="71" t="s">
        <v>2272</v>
      </c>
      <c r="S4337" s="71" t="s">
        <v>2272</v>
      </c>
      <c r="T4337" s="71" t="s">
        <v>2272</v>
      </c>
      <c r="U4337" s="71" t="s">
        <v>2272</v>
      </c>
      <c r="V4337" s="71" t="s">
        <v>2272</v>
      </c>
      <c r="W4337" s="71" t="s">
        <v>2272</v>
      </c>
      <c r="X4337" s="71" t="s">
        <v>2272</v>
      </c>
      <c r="Y4337" s="71" t="s">
        <v>2272</v>
      </c>
      <c r="Z4337" s="71" t="s">
        <v>2272</v>
      </c>
      <c r="AA4337" s="71" t="s">
        <v>2272</v>
      </c>
      <c r="AB4337" s="198"/>
      <c r="AC4337" s="198"/>
    </row>
    <row r="4338" spans="1:29" ht="46.5" customHeight="1">
      <c r="A4338" s="147" t="str">
        <f>'Reported burning'!A4338</f>
        <v>482a</v>
      </c>
      <c r="B4338" s="147" t="str">
        <f>'Reported burning'!B4338</f>
        <v>482a.5</v>
      </c>
      <c r="C4338" s="147" t="str">
        <f>'Reported burning'!C4338</f>
        <v>Human, deliberate</v>
      </c>
      <c r="D4338" s="147" t="str">
        <f>'Reported burning'!D4338</f>
        <v>Harvesting of NTFP</v>
      </c>
      <c r="E4338" s="147" t="str">
        <f>'Reported burning'!E4338</f>
        <v>Forestry, Traditional</v>
      </c>
      <c r="F4338" s="147" t="str">
        <f>'Reported burning'!F4338</f>
        <v>ND</v>
      </c>
      <c r="G4338" s="147" t="str">
        <f>'Reported burning'!G4338</f>
        <v>ND</v>
      </c>
      <c r="H4338" s="147" t="str">
        <f>'Reported burning'!H4338</f>
        <v>Presence</v>
      </c>
      <c r="I4338" s="198"/>
      <c r="J4338" s="71" t="s">
        <v>2272</v>
      </c>
      <c r="K4338" s="71" t="s">
        <v>2272</v>
      </c>
      <c r="L4338" s="71" t="s">
        <v>2272</v>
      </c>
      <c r="M4338" s="71" t="s">
        <v>2272</v>
      </c>
      <c r="N4338" s="71" t="s">
        <v>2272</v>
      </c>
      <c r="O4338" s="71" t="s">
        <v>2272</v>
      </c>
      <c r="P4338" s="71" t="s">
        <v>2272</v>
      </c>
      <c r="Q4338" s="71" t="s">
        <v>2272</v>
      </c>
      <c r="R4338" s="71" t="s">
        <v>2272</v>
      </c>
      <c r="S4338" s="71" t="s">
        <v>2272</v>
      </c>
      <c r="T4338" s="71" t="s">
        <v>2272</v>
      </c>
      <c r="U4338" s="71" t="s">
        <v>2272</v>
      </c>
      <c r="V4338" s="71" t="s">
        <v>2272</v>
      </c>
      <c r="W4338" s="71" t="s">
        <v>2272</v>
      </c>
      <c r="X4338" s="71" t="s">
        <v>2272</v>
      </c>
      <c r="Y4338" s="71" t="s">
        <v>2272</v>
      </c>
      <c r="Z4338" s="71" t="s">
        <v>2272</v>
      </c>
      <c r="AA4338" s="71" t="s">
        <v>2272</v>
      </c>
      <c r="AB4338" s="198"/>
      <c r="AC4338" s="198"/>
    </row>
    <row r="4339" spans="1:29" ht="46.5" customHeight="1">
      <c r="A4339" s="147" t="str">
        <f>'Reported burning'!A4339</f>
        <v>482a</v>
      </c>
      <c r="B4339" s="147" t="str">
        <f>'Reported burning'!B4339</f>
        <v>482a.6</v>
      </c>
      <c r="C4339" s="147" t="str">
        <f>'Reported burning'!C4339</f>
        <v>Human, deliberate</v>
      </c>
      <c r="D4339" s="147" t="str">
        <f>'Reported burning'!D4339</f>
        <v>Harvesting of Timber</v>
      </c>
      <c r="E4339" s="147" t="str">
        <f>'Reported burning'!E4339</f>
        <v>Forestry, Traditional</v>
      </c>
      <c r="F4339" s="147" t="str">
        <f>'Reported burning'!F4339</f>
        <v>ND</v>
      </c>
      <c r="G4339" s="147" t="str">
        <f>'Reported burning'!G4339</f>
        <v>ND</v>
      </c>
      <c r="H4339" s="147" t="str">
        <f>'Reported burning'!H4339</f>
        <v>Presence</v>
      </c>
      <c r="I4339" s="198"/>
      <c r="J4339" s="71" t="s">
        <v>2272</v>
      </c>
      <c r="K4339" s="71" t="s">
        <v>2272</v>
      </c>
      <c r="L4339" s="71" t="s">
        <v>2272</v>
      </c>
      <c r="M4339" s="71" t="s">
        <v>2272</v>
      </c>
      <c r="N4339" s="71" t="s">
        <v>2272</v>
      </c>
      <c r="O4339" s="71" t="s">
        <v>2272</v>
      </c>
      <c r="P4339" s="71" t="s">
        <v>2272</v>
      </c>
      <c r="Q4339" s="71" t="s">
        <v>2272</v>
      </c>
      <c r="R4339" s="71" t="s">
        <v>2272</v>
      </c>
      <c r="S4339" s="71" t="s">
        <v>2272</v>
      </c>
      <c r="T4339" s="71" t="s">
        <v>2272</v>
      </c>
      <c r="U4339" s="71" t="s">
        <v>2272</v>
      </c>
      <c r="V4339" s="71" t="s">
        <v>2272</v>
      </c>
      <c r="W4339" s="71" t="s">
        <v>2272</v>
      </c>
      <c r="X4339" s="71" t="s">
        <v>2272</v>
      </c>
      <c r="Y4339" s="71" t="s">
        <v>2272</v>
      </c>
      <c r="Z4339" s="71" t="s">
        <v>2272</v>
      </c>
      <c r="AA4339" s="71" t="s">
        <v>2272</v>
      </c>
      <c r="AB4339" s="198"/>
      <c r="AC4339" s="198"/>
    </row>
    <row r="4340" spans="1:29" ht="46.5" customHeight="1">
      <c r="A4340" s="147" t="str">
        <f>'Reported burning'!A4340</f>
        <v>482a</v>
      </c>
      <c r="B4340" s="147" t="str">
        <f>'Reported burning'!B4340</f>
        <v>482a.7</v>
      </c>
      <c r="C4340" s="147" t="str">
        <f>'Reported burning'!C4340</f>
        <v>Human, deliberate</v>
      </c>
      <c r="D4340" s="147" t="str">
        <f>'Reported burning'!D4340</f>
        <v>Domestic</v>
      </c>
      <c r="E4340" s="147" t="str">
        <f>'Reported burning'!E4340</f>
        <v>ND</v>
      </c>
      <c r="F4340" s="147" t="str">
        <f>'Reported burning'!F4340</f>
        <v>ND</v>
      </c>
      <c r="G4340" s="147" t="str">
        <f>'Reported burning'!G4340</f>
        <v>ND</v>
      </c>
      <c r="H4340" s="147" t="str">
        <f>'Reported burning'!H4340</f>
        <v>Presence</v>
      </c>
      <c r="I4340" s="198"/>
      <c r="J4340" s="71" t="s">
        <v>2272</v>
      </c>
      <c r="K4340" s="71" t="s">
        <v>2272</v>
      </c>
      <c r="L4340" s="71" t="s">
        <v>2272</v>
      </c>
      <c r="M4340" s="71" t="s">
        <v>2272</v>
      </c>
      <c r="N4340" s="71" t="s">
        <v>2272</v>
      </c>
      <c r="O4340" s="71" t="s">
        <v>2272</v>
      </c>
      <c r="P4340" s="71" t="s">
        <v>2272</v>
      </c>
      <c r="Q4340" s="71" t="s">
        <v>2272</v>
      </c>
      <c r="R4340" s="71" t="s">
        <v>2272</v>
      </c>
      <c r="S4340" s="71" t="s">
        <v>2272</v>
      </c>
      <c r="T4340" s="71" t="s">
        <v>2272</v>
      </c>
      <c r="U4340" s="71" t="s">
        <v>2272</v>
      </c>
      <c r="V4340" s="71" t="s">
        <v>2272</v>
      </c>
      <c r="W4340" s="71" t="s">
        <v>2272</v>
      </c>
      <c r="X4340" s="71" t="s">
        <v>2272</v>
      </c>
      <c r="Y4340" s="71" t="s">
        <v>2272</v>
      </c>
      <c r="Z4340" s="71" t="s">
        <v>2272</v>
      </c>
      <c r="AA4340" s="71" t="s">
        <v>2272</v>
      </c>
      <c r="AB4340" s="198"/>
      <c r="AC4340" s="198"/>
    </row>
    <row r="4341" spans="1:29" ht="46.5" customHeight="1">
      <c r="A4341" s="147" t="str">
        <f>'Reported burning'!A4341</f>
        <v>482a</v>
      </c>
      <c r="B4341" s="147" t="str">
        <f>'Reported burning'!B4341</f>
        <v>482a.8</v>
      </c>
      <c r="C4341" s="147" t="str">
        <f>'Reported burning'!C4341</f>
        <v>Human, deliberate</v>
      </c>
      <c r="D4341" s="147" t="str">
        <f>'Reported burning'!D4341</f>
        <v>Cultural &amp; Spiritual</v>
      </c>
      <c r="E4341" s="147" t="str">
        <f>'Reported burning'!E4341</f>
        <v>ND</v>
      </c>
      <c r="F4341" s="147" t="str">
        <f>'Reported burning'!F4341</f>
        <v>ND</v>
      </c>
      <c r="G4341" s="147" t="str">
        <f>'Reported burning'!G4341</f>
        <v>ND</v>
      </c>
      <c r="H4341" s="147" t="str">
        <f>'Reported burning'!H4341</f>
        <v>Presence</v>
      </c>
      <c r="I4341" s="198"/>
      <c r="J4341" s="71" t="s">
        <v>2272</v>
      </c>
      <c r="K4341" s="71" t="s">
        <v>2272</v>
      </c>
      <c r="L4341" s="71" t="s">
        <v>2272</v>
      </c>
      <c r="M4341" s="71" t="s">
        <v>2272</v>
      </c>
      <c r="N4341" s="71" t="s">
        <v>2272</v>
      </c>
      <c r="O4341" s="71" t="s">
        <v>2272</v>
      </c>
      <c r="P4341" s="71" t="s">
        <v>2272</v>
      </c>
      <c r="Q4341" s="71" t="s">
        <v>2272</v>
      </c>
      <c r="R4341" s="71" t="s">
        <v>2272</v>
      </c>
      <c r="S4341" s="71" t="s">
        <v>2272</v>
      </c>
      <c r="T4341" s="71" t="s">
        <v>2272</v>
      </c>
      <c r="U4341" s="71" t="s">
        <v>2272</v>
      </c>
      <c r="V4341" s="71" t="s">
        <v>2272</v>
      </c>
      <c r="W4341" s="71" t="s">
        <v>2272</v>
      </c>
      <c r="X4341" s="71" t="s">
        <v>2272</v>
      </c>
      <c r="Y4341" s="71" t="s">
        <v>2272</v>
      </c>
      <c r="Z4341" s="71" t="s">
        <v>2272</v>
      </c>
      <c r="AA4341" s="71" t="s">
        <v>2272</v>
      </c>
      <c r="AB4341" s="198"/>
      <c r="AC4341" s="198"/>
    </row>
    <row r="4342" spans="1:29" ht="42" customHeight="1">
      <c r="A4342" s="147" t="str">
        <f>'Reported burning'!A4342</f>
        <v>483a</v>
      </c>
      <c r="B4342" s="147" t="str">
        <f>'Reported burning'!B4342</f>
        <v>483a.1</v>
      </c>
      <c r="C4342" s="147" t="str">
        <f>'Reported burning'!C4342</f>
        <v>Human, deliberate</v>
      </c>
      <c r="D4342" s="147" t="str">
        <f>'Reported burning'!D4342</f>
        <v>Crop field preparation</v>
      </c>
      <c r="E4342" s="147" t="str">
        <f>'Reported burning'!E4342</f>
        <v>Cropping, Swidden</v>
      </c>
      <c r="F4342" s="147" t="str">
        <f>'Reported burning'!F4342</f>
        <v>Secondary vegetation</v>
      </c>
      <c r="G4342" s="147" t="str">
        <f>'Reported burning'!G4342</f>
        <v>Secondary vegetation</v>
      </c>
      <c r="H4342" s="147" t="str">
        <f>'Reported burning'!H4342</f>
        <v>Presence</v>
      </c>
      <c r="I4342" s="198"/>
      <c r="J4342" s="71" t="s">
        <v>2272</v>
      </c>
      <c r="K4342" s="71" t="s">
        <v>2272</v>
      </c>
      <c r="L4342" s="71" t="s">
        <v>2272</v>
      </c>
      <c r="M4342" s="71" t="s">
        <v>2272</v>
      </c>
      <c r="N4342" s="71" t="s">
        <v>2272</v>
      </c>
      <c r="O4342" s="71" t="s">
        <v>2272</v>
      </c>
      <c r="P4342" s="71" t="s">
        <v>2272</v>
      </c>
      <c r="Q4342" s="71" t="s">
        <v>2272</v>
      </c>
      <c r="R4342" s="71" t="s">
        <v>2272</v>
      </c>
      <c r="S4342" s="71" t="s">
        <v>2272</v>
      </c>
      <c r="T4342" s="71" t="s">
        <v>2272</v>
      </c>
      <c r="U4342" s="71" t="s">
        <v>2272</v>
      </c>
      <c r="V4342" s="71" t="s">
        <v>2272</v>
      </c>
      <c r="W4342" s="71" t="s">
        <v>2272</v>
      </c>
      <c r="X4342" s="71" t="s">
        <v>2272</v>
      </c>
      <c r="Y4342" s="71" t="s">
        <v>2272</v>
      </c>
      <c r="Z4342" s="71" t="s">
        <v>2272</v>
      </c>
      <c r="AA4342" s="71" t="s">
        <v>2272</v>
      </c>
      <c r="AB4342" s="198"/>
      <c r="AC4342" s="198"/>
    </row>
    <row r="4343" spans="1:29" ht="42" customHeight="1">
      <c r="A4343" s="147" t="str">
        <f>'Reported burning'!A4343</f>
        <v>483a</v>
      </c>
      <c r="B4343" s="147" t="str">
        <f>'Reported burning'!B4343</f>
        <v>483a.2</v>
      </c>
      <c r="C4343" s="147" t="str">
        <f>'Reported burning'!C4343</f>
        <v>Human, deliberate</v>
      </c>
      <c r="D4343" s="147" t="str">
        <f>'Reported burning'!D4343</f>
        <v>Pasture renewal</v>
      </c>
      <c r="E4343" s="147" t="str">
        <f>'Reported burning'!E4343</f>
        <v>Cattle, Extensive</v>
      </c>
      <c r="F4343" s="147" t="str">
        <f>'Reported burning'!F4343</f>
        <v>Grassland</v>
      </c>
      <c r="G4343" s="147" t="str">
        <f>'Reported burning'!G4343</f>
        <v>Grassland</v>
      </c>
      <c r="H4343" s="147" t="str">
        <f>'Reported burning'!H4343</f>
        <v>Presence</v>
      </c>
      <c r="I4343" s="198"/>
      <c r="J4343" s="71" t="s">
        <v>2272</v>
      </c>
      <c r="K4343" s="71" t="s">
        <v>2272</v>
      </c>
      <c r="L4343" s="71" t="s">
        <v>2272</v>
      </c>
      <c r="M4343" s="71" t="s">
        <v>2272</v>
      </c>
      <c r="N4343" s="71" t="s">
        <v>2272</v>
      </c>
      <c r="O4343" s="71" t="s">
        <v>2272</v>
      </c>
      <c r="P4343" s="71" t="s">
        <v>2272</v>
      </c>
      <c r="Q4343" s="71" t="s">
        <v>2272</v>
      </c>
      <c r="R4343" s="71" t="s">
        <v>2272</v>
      </c>
      <c r="S4343" s="71" t="s">
        <v>2272</v>
      </c>
      <c r="T4343" s="71" t="s">
        <v>2272</v>
      </c>
      <c r="U4343" s="71" t="s">
        <v>2272</v>
      </c>
      <c r="V4343" s="71" t="s">
        <v>2272</v>
      </c>
      <c r="W4343" s="71" t="s">
        <v>2272</v>
      </c>
      <c r="X4343" s="71" t="s">
        <v>2272</v>
      </c>
      <c r="Y4343" s="198" t="s">
        <v>37</v>
      </c>
      <c r="Z4343" s="198" t="s">
        <v>67</v>
      </c>
      <c r="AA4343" s="71" t="s">
        <v>2272</v>
      </c>
      <c r="AB4343" s="198"/>
      <c r="AC4343" s="198"/>
    </row>
    <row r="4344" spans="1:29" ht="42" customHeight="1">
      <c r="A4344" s="147" t="str">
        <f>'Reported burning'!A4344</f>
        <v>483a</v>
      </c>
      <c r="B4344" s="147" t="str">
        <f>'Reported burning'!B4344</f>
        <v>483a.3</v>
      </c>
      <c r="C4344" s="147" t="str">
        <f>'Reported burning'!C4344</f>
        <v>Human, deliberate</v>
      </c>
      <c r="D4344" s="147" t="str">
        <f>'Reported burning'!D4344</f>
        <v>Hunting</v>
      </c>
      <c r="E4344" s="147" t="str">
        <f>'Reported burning'!E4344</f>
        <v>Forestry, Traditional</v>
      </c>
      <c r="F4344" s="147" t="str">
        <f>'Reported burning'!F4344</f>
        <v>Grassland</v>
      </c>
      <c r="G4344" s="147" t="str">
        <f>'Reported burning'!G4344</f>
        <v>Grassland</v>
      </c>
      <c r="H4344" s="147" t="str">
        <f>'Reported burning'!H4344</f>
        <v>Presence</v>
      </c>
      <c r="I4344" s="198"/>
      <c r="J4344" s="71" t="s">
        <v>2272</v>
      </c>
      <c r="K4344" s="71" t="s">
        <v>2272</v>
      </c>
      <c r="L4344" s="71" t="s">
        <v>2272</v>
      </c>
      <c r="M4344" s="71" t="s">
        <v>2272</v>
      </c>
      <c r="N4344" s="71" t="s">
        <v>2272</v>
      </c>
      <c r="O4344" s="71" t="s">
        <v>2272</v>
      </c>
      <c r="P4344" s="71" t="s">
        <v>2272</v>
      </c>
      <c r="Q4344" s="71" t="s">
        <v>2272</v>
      </c>
      <c r="R4344" s="71" t="s">
        <v>2272</v>
      </c>
      <c r="S4344" s="71" t="s">
        <v>2272</v>
      </c>
      <c r="T4344" s="71" t="s">
        <v>2272</v>
      </c>
      <c r="U4344" s="71" t="s">
        <v>2272</v>
      </c>
      <c r="V4344" s="71" t="s">
        <v>2272</v>
      </c>
      <c r="W4344" s="71" t="s">
        <v>2272</v>
      </c>
      <c r="X4344" s="71" t="s">
        <v>2272</v>
      </c>
      <c r="Y4344" s="198" t="s">
        <v>37</v>
      </c>
      <c r="Z4344" s="198" t="s">
        <v>67</v>
      </c>
      <c r="AA4344" s="71" t="s">
        <v>2272</v>
      </c>
      <c r="AB4344" s="198"/>
      <c r="AC4344" s="198"/>
    </row>
    <row r="4345" spans="1:29" s="197" customFormat="1" ht="42" customHeight="1">
      <c r="A4345" s="147" t="str">
        <f>'Reported burning'!A4345</f>
        <v>483b</v>
      </c>
      <c r="B4345" s="147" t="str">
        <f>'Reported burning'!B4345</f>
        <v>483b.1</v>
      </c>
      <c r="C4345" s="147" t="str">
        <f>'Reported burning'!C4345</f>
        <v>Human, deliberate</v>
      </c>
      <c r="D4345" s="147" t="str">
        <f>'Reported burning'!D4345</f>
        <v>Crop field preparation</v>
      </c>
      <c r="E4345" s="147" t="str">
        <f>'Reported burning'!E4345</f>
        <v>Cropping, Swidden</v>
      </c>
      <c r="F4345" s="147" t="str">
        <f>'Reported burning'!F4345</f>
        <v>Secondary vegetation</v>
      </c>
      <c r="G4345" s="147" t="str">
        <f>'Reported burning'!G4345</f>
        <v>Secondary vegetation</v>
      </c>
      <c r="H4345" s="147" t="str">
        <f>'Reported burning'!H4345</f>
        <v>Presence</v>
      </c>
      <c r="I4345" s="198"/>
      <c r="J4345" s="71" t="s">
        <v>2272</v>
      </c>
      <c r="K4345" s="71" t="s">
        <v>2272</v>
      </c>
      <c r="L4345" s="71" t="s">
        <v>2272</v>
      </c>
      <c r="M4345" s="71" t="s">
        <v>2272</v>
      </c>
      <c r="N4345" s="71" t="s">
        <v>2272</v>
      </c>
      <c r="O4345" s="71" t="s">
        <v>2272</v>
      </c>
      <c r="P4345" s="71" t="s">
        <v>2272</v>
      </c>
      <c r="Q4345" s="71" t="s">
        <v>2272</v>
      </c>
      <c r="R4345" s="71" t="s">
        <v>2272</v>
      </c>
      <c r="S4345" s="71" t="s">
        <v>2272</v>
      </c>
      <c r="T4345" s="71" t="s">
        <v>2272</v>
      </c>
      <c r="U4345" s="71" t="s">
        <v>2272</v>
      </c>
      <c r="V4345" s="71" t="s">
        <v>2272</v>
      </c>
      <c r="W4345" s="71" t="s">
        <v>2272</v>
      </c>
      <c r="X4345" s="71" t="s">
        <v>2272</v>
      </c>
      <c r="Y4345" s="71" t="s">
        <v>2272</v>
      </c>
      <c r="Z4345" s="71" t="s">
        <v>2272</v>
      </c>
      <c r="AA4345" s="71" t="s">
        <v>2272</v>
      </c>
      <c r="AB4345" s="198"/>
      <c r="AC4345" s="198"/>
    </row>
    <row r="4346" spans="1:29" ht="42" customHeight="1">
      <c r="A4346" s="147" t="str">
        <f>'Reported burning'!A4346</f>
        <v>483b</v>
      </c>
      <c r="B4346" s="147" t="str">
        <f>'Reported burning'!B4346</f>
        <v>483b.2</v>
      </c>
      <c r="C4346" s="147" t="str">
        <f>'Reported burning'!C4346</f>
        <v>Human, deliberate</v>
      </c>
      <c r="D4346" s="147" t="str">
        <f>'Reported burning'!D4346</f>
        <v>Pasture renewal</v>
      </c>
      <c r="E4346" s="147" t="str">
        <f>'Reported burning'!E4346</f>
        <v>Cattle, Extensive</v>
      </c>
      <c r="F4346" s="147" t="str">
        <f>'Reported burning'!F4346</f>
        <v>Grassland</v>
      </c>
      <c r="G4346" s="147" t="str">
        <f>'Reported burning'!G4346</f>
        <v>Grassland</v>
      </c>
      <c r="H4346" s="147" t="str">
        <f>'Reported burning'!H4346</f>
        <v>Presence</v>
      </c>
      <c r="I4346" s="198"/>
      <c r="J4346" s="71" t="s">
        <v>2272</v>
      </c>
      <c r="K4346" s="71" t="s">
        <v>2272</v>
      </c>
      <c r="L4346" s="71" t="s">
        <v>2272</v>
      </c>
      <c r="M4346" s="71" t="s">
        <v>2272</v>
      </c>
      <c r="N4346" s="71" t="s">
        <v>2272</v>
      </c>
      <c r="O4346" s="71" t="s">
        <v>2272</v>
      </c>
      <c r="P4346" s="71" t="s">
        <v>2272</v>
      </c>
      <c r="Q4346" s="71" t="s">
        <v>2272</v>
      </c>
      <c r="R4346" s="71" t="s">
        <v>2272</v>
      </c>
      <c r="S4346" s="71" t="s">
        <v>2272</v>
      </c>
      <c r="T4346" s="71" t="s">
        <v>2272</v>
      </c>
      <c r="U4346" s="71" t="s">
        <v>2272</v>
      </c>
      <c r="V4346" s="71" t="s">
        <v>2272</v>
      </c>
      <c r="W4346" s="71" t="s">
        <v>2272</v>
      </c>
      <c r="X4346" s="71" t="s">
        <v>2272</v>
      </c>
      <c r="Y4346" s="198" t="s">
        <v>37</v>
      </c>
      <c r="Z4346" s="198" t="s">
        <v>67</v>
      </c>
      <c r="AA4346" s="71" t="s">
        <v>2272</v>
      </c>
      <c r="AB4346" s="198"/>
      <c r="AC4346" s="198"/>
    </row>
    <row r="4347" spans="1:29" ht="42" customHeight="1">
      <c r="A4347" s="147" t="str">
        <f>'Reported burning'!A4347</f>
        <v>483b</v>
      </c>
      <c r="B4347" s="147" t="str">
        <f>'Reported burning'!B4347</f>
        <v>483b.3</v>
      </c>
      <c r="C4347" s="147" t="str">
        <f>'Reported burning'!C4347</f>
        <v>Human, deliberate</v>
      </c>
      <c r="D4347" s="147" t="str">
        <f>'Reported burning'!D4347</f>
        <v>Hunting</v>
      </c>
      <c r="E4347" s="147" t="str">
        <f>'Reported burning'!E4347</f>
        <v>Forestry, Traditional</v>
      </c>
      <c r="F4347" s="147" t="str">
        <f>'Reported burning'!F4347</f>
        <v>Grassland</v>
      </c>
      <c r="G4347" s="147" t="str">
        <f>'Reported burning'!G4347</f>
        <v>Grassland</v>
      </c>
      <c r="H4347" s="147" t="str">
        <f>'Reported burning'!H4347</f>
        <v>Presence</v>
      </c>
      <c r="I4347" s="198"/>
      <c r="J4347" s="71" t="s">
        <v>2272</v>
      </c>
      <c r="K4347" s="71" t="s">
        <v>2272</v>
      </c>
      <c r="L4347" s="71" t="s">
        <v>2272</v>
      </c>
      <c r="M4347" s="71" t="s">
        <v>2272</v>
      </c>
      <c r="N4347" s="71" t="s">
        <v>2272</v>
      </c>
      <c r="O4347" s="71" t="s">
        <v>2272</v>
      </c>
      <c r="P4347" s="71" t="s">
        <v>2272</v>
      </c>
      <c r="Q4347" s="71" t="s">
        <v>2272</v>
      </c>
      <c r="R4347" s="71" t="s">
        <v>2272</v>
      </c>
      <c r="S4347" s="71" t="s">
        <v>2272</v>
      </c>
      <c r="T4347" s="71" t="s">
        <v>2272</v>
      </c>
      <c r="U4347" s="71" t="s">
        <v>2272</v>
      </c>
      <c r="V4347" s="71" t="s">
        <v>2272</v>
      </c>
      <c r="W4347" s="71" t="s">
        <v>2272</v>
      </c>
      <c r="X4347" s="71" t="s">
        <v>2272</v>
      </c>
      <c r="Y4347" s="198" t="s">
        <v>37</v>
      </c>
      <c r="Z4347" s="198" t="s">
        <v>67</v>
      </c>
      <c r="AA4347" s="71" t="s">
        <v>2272</v>
      </c>
      <c r="AB4347" s="198"/>
      <c r="AC4347" s="198"/>
    </row>
    <row r="4348" spans="1:29" ht="42" customHeight="1">
      <c r="A4348" s="147" t="str">
        <f>'Reported burning'!A4348</f>
        <v>483a</v>
      </c>
      <c r="B4348" s="147" t="str">
        <f>'Reported burning'!B4348</f>
        <v>483a.4</v>
      </c>
      <c r="C4348" s="147" t="str">
        <f>'Reported burning'!C4348</f>
        <v>Human, escaped</v>
      </c>
      <c r="D4348" s="147" t="str">
        <f>'Reported burning'!D4348</f>
        <v>ND</v>
      </c>
      <c r="E4348" s="147" t="str">
        <f>'Reported burning'!E4348</f>
        <v>Cattle, Extensive</v>
      </c>
      <c r="F4348" s="147" t="str">
        <f>'Reported burning'!F4348</f>
        <v>Grassland</v>
      </c>
      <c r="G4348" s="147" t="str">
        <f>'Reported burning'!G4348</f>
        <v>Secondary vegetation</v>
      </c>
      <c r="H4348" s="147" t="str">
        <f>'Reported burning'!H4348</f>
        <v>Presence</v>
      </c>
      <c r="I4348" s="198"/>
      <c r="J4348" s="71" t="s">
        <v>2272</v>
      </c>
      <c r="K4348" s="71" t="s">
        <v>2272</v>
      </c>
      <c r="L4348" s="71" t="s">
        <v>2272</v>
      </c>
      <c r="M4348" s="71" t="s">
        <v>2272</v>
      </c>
      <c r="N4348" s="71" t="s">
        <v>2272</v>
      </c>
      <c r="O4348" s="71" t="s">
        <v>2272</v>
      </c>
      <c r="P4348" s="71" t="s">
        <v>2272</v>
      </c>
      <c r="Q4348" s="71" t="s">
        <v>2272</v>
      </c>
      <c r="R4348" s="71" t="s">
        <v>2272</v>
      </c>
      <c r="S4348" s="71" t="s">
        <v>2272</v>
      </c>
      <c r="T4348" s="71" t="s">
        <v>2272</v>
      </c>
      <c r="U4348" s="71" t="s">
        <v>2272</v>
      </c>
      <c r="V4348" s="71" t="s">
        <v>2272</v>
      </c>
      <c r="W4348" s="71" t="s">
        <v>2272</v>
      </c>
      <c r="X4348" s="71" t="s">
        <v>2272</v>
      </c>
      <c r="Y4348" s="198" t="s">
        <v>37</v>
      </c>
      <c r="Z4348" s="198" t="s">
        <v>67</v>
      </c>
      <c r="AA4348" s="71" t="s">
        <v>2272</v>
      </c>
      <c r="AB4348" s="198"/>
      <c r="AC4348" s="198"/>
    </row>
    <row r="4349" spans="1:29" ht="38" customHeight="1">
      <c r="A4349" s="147" t="str">
        <f>'Reported burning'!A4349</f>
        <v>483b</v>
      </c>
      <c r="B4349" s="147" t="str">
        <f>'Reported burning'!B4349</f>
        <v>483b.4</v>
      </c>
      <c r="C4349" s="147" t="str">
        <f>'Reported burning'!C4349</f>
        <v>Human, escaped</v>
      </c>
      <c r="D4349" s="147" t="str">
        <f>'Reported burning'!D4349</f>
        <v>ND</v>
      </c>
      <c r="E4349" s="147" t="str">
        <f>'Reported burning'!E4349</f>
        <v>Cattle, Extensive</v>
      </c>
      <c r="F4349" s="147" t="str">
        <f>'Reported burning'!F4349</f>
        <v>Grassland</v>
      </c>
      <c r="G4349" s="147" t="str">
        <f>'Reported burning'!G4349</f>
        <v>Secondary vegetation</v>
      </c>
      <c r="H4349" s="147" t="str">
        <f>'Reported burning'!H4349</f>
        <v>Presence</v>
      </c>
      <c r="I4349" s="198"/>
      <c r="J4349" s="71" t="s">
        <v>2272</v>
      </c>
      <c r="K4349" s="71" t="s">
        <v>2272</v>
      </c>
      <c r="L4349" s="71" t="s">
        <v>2272</v>
      </c>
      <c r="M4349" s="71" t="s">
        <v>2272</v>
      </c>
      <c r="N4349" s="71" t="s">
        <v>2272</v>
      </c>
      <c r="O4349" s="71" t="s">
        <v>2272</v>
      </c>
      <c r="P4349" s="71" t="s">
        <v>2272</v>
      </c>
      <c r="Q4349" s="71" t="s">
        <v>2272</v>
      </c>
      <c r="R4349" s="71" t="s">
        <v>2272</v>
      </c>
      <c r="S4349" s="71" t="s">
        <v>2272</v>
      </c>
      <c r="T4349" s="71" t="s">
        <v>2272</v>
      </c>
      <c r="U4349" s="71" t="s">
        <v>2272</v>
      </c>
      <c r="V4349" s="71" t="s">
        <v>2272</v>
      </c>
      <c r="W4349" s="71" t="s">
        <v>2272</v>
      </c>
      <c r="X4349" s="71" t="s">
        <v>2272</v>
      </c>
      <c r="Y4349" s="198" t="s">
        <v>37</v>
      </c>
      <c r="Z4349" s="198" t="s">
        <v>67</v>
      </c>
      <c r="AA4349" s="71" t="s">
        <v>2272</v>
      </c>
      <c r="AB4349" s="198"/>
      <c r="AC4349" s="198"/>
    </row>
    <row r="4350" spans="1:29" ht="38" customHeight="1">
      <c r="A4350" s="147" t="str">
        <f>'Reported burning'!A4350</f>
        <v>484a</v>
      </c>
      <c r="B4350" s="147" t="str">
        <f>'Reported burning'!B4350</f>
        <v>484a.1</v>
      </c>
      <c r="C4350" s="147" t="str">
        <f>'Reported burning'!C4350</f>
        <v>Human, deliberate</v>
      </c>
      <c r="D4350" s="147" t="str">
        <f>'Reported burning'!D4350</f>
        <v>Pyrome management</v>
      </c>
      <c r="E4350" s="147" t="str">
        <f>'Reported burning'!E4350</f>
        <v>Forestry, Traditional</v>
      </c>
      <c r="F4350" s="147" t="str">
        <f>'Reported burning'!F4350</f>
        <v>Shrubland (Mixed forest &amp; grassland)</v>
      </c>
      <c r="G4350" s="147" t="str">
        <f>'Reported burning'!G4350</f>
        <v>Shrubland (Mixed forest &amp; grassland)</v>
      </c>
      <c r="H4350" s="147" t="str">
        <f>'Reported burning'!H4350</f>
        <v>Presence</v>
      </c>
      <c r="I4350" s="198"/>
      <c r="J4350" s="71" t="s">
        <v>2272</v>
      </c>
      <c r="K4350" s="71" t="s">
        <v>2272</v>
      </c>
      <c r="L4350" s="98" t="s">
        <v>2358</v>
      </c>
      <c r="M4350" s="98" t="s">
        <v>2358</v>
      </c>
      <c r="N4350" s="21" t="s">
        <v>2372</v>
      </c>
      <c r="O4350" s="21" t="s">
        <v>2372</v>
      </c>
      <c r="P4350" s="21" t="s">
        <v>2369</v>
      </c>
      <c r="Q4350" s="21" t="s">
        <v>2369</v>
      </c>
      <c r="R4350" s="21" t="s">
        <v>2370</v>
      </c>
      <c r="S4350" s="21" t="s">
        <v>2370</v>
      </c>
      <c r="T4350" s="71" t="s">
        <v>2272</v>
      </c>
      <c r="U4350" s="71" t="s">
        <v>2272</v>
      </c>
      <c r="V4350" s="71" t="s">
        <v>2272</v>
      </c>
      <c r="W4350" s="71" t="s">
        <v>2272</v>
      </c>
      <c r="X4350" s="71" t="s">
        <v>2272</v>
      </c>
      <c r="Y4350" s="198" t="s">
        <v>397</v>
      </c>
      <c r="Z4350" s="198" t="s">
        <v>423</v>
      </c>
      <c r="AA4350" s="198" t="s">
        <v>75</v>
      </c>
      <c r="AB4350" s="198"/>
      <c r="AC4350" s="4" t="s">
        <v>11224</v>
      </c>
    </row>
    <row r="4351" spans="1:29" ht="42" customHeight="1">
      <c r="A4351" s="147" t="str">
        <f>'Reported burning'!A4351</f>
        <v>484a</v>
      </c>
      <c r="B4351" s="147" t="str">
        <f>'Reported burning'!B4351</f>
        <v>484a.2</v>
      </c>
      <c r="C4351" s="147" t="str">
        <f>'Reported burning'!C4351</f>
        <v>Human, deliberate</v>
      </c>
      <c r="D4351" s="147" t="str">
        <f>'Reported burning'!D4351</f>
        <v>Conservation</v>
      </c>
      <c r="E4351" s="147" t="str">
        <f>'Reported burning'!E4351</f>
        <v>Forestry, Traditional</v>
      </c>
      <c r="F4351" s="147" t="str">
        <f>'Reported burning'!F4351</f>
        <v>Shrubland (Mixed forest &amp; grassland)</v>
      </c>
      <c r="G4351" s="147" t="str">
        <f>'Reported burning'!G4351</f>
        <v>Shrubland (Mixed forest &amp; grassland)</v>
      </c>
      <c r="H4351" s="147" t="str">
        <f>'Reported burning'!H4351</f>
        <v>Presence</v>
      </c>
      <c r="I4351" s="198"/>
      <c r="J4351" s="71" t="s">
        <v>2272</v>
      </c>
      <c r="K4351" s="71" t="s">
        <v>2272</v>
      </c>
      <c r="L4351" s="98" t="s">
        <v>2358</v>
      </c>
      <c r="M4351" s="98" t="s">
        <v>2358</v>
      </c>
      <c r="N4351" s="21" t="s">
        <v>2372</v>
      </c>
      <c r="O4351" s="21" t="s">
        <v>2372</v>
      </c>
      <c r="P4351" s="21" t="s">
        <v>2369</v>
      </c>
      <c r="Q4351" s="21" t="s">
        <v>2369</v>
      </c>
      <c r="R4351" s="21" t="s">
        <v>2370</v>
      </c>
      <c r="S4351" s="21" t="s">
        <v>2370</v>
      </c>
      <c r="T4351" s="71" t="s">
        <v>2272</v>
      </c>
      <c r="U4351" s="71" t="s">
        <v>2272</v>
      </c>
      <c r="V4351" s="71" t="s">
        <v>2272</v>
      </c>
      <c r="W4351" s="71" t="s">
        <v>2272</v>
      </c>
      <c r="X4351" s="71" t="s">
        <v>2272</v>
      </c>
      <c r="Y4351" s="198" t="s">
        <v>397</v>
      </c>
      <c r="Z4351" s="198" t="s">
        <v>423</v>
      </c>
      <c r="AA4351" s="198" t="s">
        <v>75</v>
      </c>
      <c r="AB4351" s="198"/>
      <c r="AC4351" s="4" t="s">
        <v>11224</v>
      </c>
    </row>
    <row r="4352" spans="1:29" ht="42" customHeight="1">
      <c r="A4352" s="147" t="str">
        <f>'Reported burning'!A4352</f>
        <v>484a</v>
      </c>
      <c r="B4352" s="147" t="str">
        <f>'Reported burning'!B4352</f>
        <v>484a.3</v>
      </c>
      <c r="C4352" s="147" t="str">
        <f>'Reported burning'!C4352</f>
        <v>Human, deliberate</v>
      </c>
      <c r="D4352" s="147" t="str">
        <f>'Reported burning'!D4352</f>
        <v>Cultural &amp; Spiritual</v>
      </c>
      <c r="E4352" s="147" t="str">
        <f>'Reported burning'!E4352</f>
        <v>Forestry, Traditional</v>
      </c>
      <c r="F4352" s="147" t="str">
        <f>'Reported burning'!F4352</f>
        <v>Shrubland (Mixed forest &amp; grassland)</v>
      </c>
      <c r="G4352" s="147" t="str">
        <f>'Reported burning'!G4352</f>
        <v>Shrubland (Mixed forest &amp; grassland)</v>
      </c>
      <c r="H4352" s="147" t="str">
        <f>'Reported burning'!H4352</f>
        <v>Presence</v>
      </c>
      <c r="I4352" s="198"/>
      <c r="J4352" s="71" t="s">
        <v>2272</v>
      </c>
      <c r="K4352" s="71" t="s">
        <v>2272</v>
      </c>
      <c r="L4352" s="98" t="s">
        <v>2358</v>
      </c>
      <c r="M4352" s="98" t="s">
        <v>2358</v>
      </c>
      <c r="N4352" s="21" t="s">
        <v>2372</v>
      </c>
      <c r="O4352" s="21" t="s">
        <v>2372</v>
      </c>
      <c r="P4352" s="21" t="s">
        <v>2369</v>
      </c>
      <c r="Q4352" s="21" t="s">
        <v>2369</v>
      </c>
      <c r="R4352" s="21" t="s">
        <v>2370</v>
      </c>
      <c r="S4352" s="21" t="s">
        <v>2370</v>
      </c>
      <c r="T4352" s="71" t="s">
        <v>2272</v>
      </c>
      <c r="U4352" s="71" t="s">
        <v>2272</v>
      </c>
      <c r="V4352" s="71" t="s">
        <v>2272</v>
      </c>
      <c r="W4352" s="71" t="s">
        <v>2272</v>
      </c>
      <c r="X4352" s="71" t="s">
        <v>2272</v>
      </c>
      <c r="Y4352" s="198" t="s">
        <v>397</v>
      </c>
      <c r="Z4352" s="198" t="s">
        <v>423</v>
      </c>
      <c r="AA4352" s="198" t="s">
        <v>75</v>
      </c>
      <c r="AB4352" s="198"/>
      <c r="AC4352" s="4" t="s">
        <v>11224</v>
      </c>
    </row>
    <row r="4353" spans="1:29" ht="42" customHeight="1">
      <c r="A4353" s="147" t="str">
        <f>'Reported burning'!A4353</f>
        <v>484a</v>
      </c>
      <c r="B4353" s="147" t="str">
        <f>'Reported burning'!B4353</f>
        <v>484a.4</v>
      </c>
      <c r="C4353" s="147" t="str">
        <f>'Reported burning'!C4353</f>
        <v>Human, deliberate</v>
      </c>
      <c r="D4353" s="147" t="str">
        <f>'Reported burning'!D4353</f>
        <v>Hunting</v>
      </c>
      <c r="E4353" s="147" t="str">
        <f>'Reported burning'!E4353</f>
        <v>Forestry, Traditional</v>
      </c>
      <c r="F4353" s="147" t="str">
        <f>'Reported burning'!F4353</f>
        <v>Shrubland (Mixed forest &amp; grassland)</v>
      </c>
      <c r="G4353" s="147" t="str">
        <f>'Reported burning'!G4353</f>
        <v>Shrubland (Mixed forest &amp; grassland)</v>
      </c>
      <c r="H4353" s="147" t="str">
        <f>'Reported burning'!H4353</f>
        <v>Presence</v>
      </c>
      <c r="I4353" s="198"/>
      <c r="J4353" s="71" t="s">
        <v>2272</v>
      </c>
      <c r="K4353" s="71" t="s">
        <v>2272</v>
      </c>
      <c r="L4353" s="98" t="s">
        <v>2358</v>
      </c>
      <c r="M4353" s="98" t="s">
        <v>2358</v>
      </c>
      <c r="N4353" s="21" t="s">
        <v>2372</v>
      </c>
      <c r="O4353" s="21" t="s">
        <v>2372</v>
      </c>
      <c r="P4353" s="21" t="s">
        <v>2369</v>
      </c>
      <c r="Q4353" s="21" t="s">
        <v>2369</v>
      </c>
      <c r="R4353" s="21" t="s">
        <v>2370</v>
      </c>
      <c r="S4353" s="21" t="s">
        <v>2370</v>
      </c>
      <c r="T4353" s="71" t="s">
        <v>2272</v>
      </c>
      <c r="U4353" s="71" t="s">
        <v>2272</v>
      </c>
      <c r="V4353" s="71" t="s">
        <v>2272</v>
      </c>
      <c r="W4353" s="71" t="s">
        <v>2272</v>
      </c>
      <c r="X4353" s="71" t="s">
        <v>2272</v>
      </c>
      <c r="Y4353" s="198" t="s">
        <v>397</v>
      </c>
      <c r="Z4353" s="198" t="s">
        <v>423</v>
      </c>
      <c r="AA4353" s="198" t="s">
        <v>75</v>
      </c>
      <c r="AB4353" s="198"/>
      <c r="AC4353" s="4" t="s">
        <v>11224</v>
      </c>
    </row>
    <row r="4354" spans="1:29" ht="42" customHeight="1">
      <c r="A4354" s="147" t="str">
        <f>'Reported burning'!A4354</f>
        <v>484a</v>
      </c>
      <c r="B4354" s="147" t="str">
        <f>'Reported burning'!B4354</f>
        <v>484a.5</v>
      </c>
      <c r="C4354" s="147" t="str">
        <f>'Reported burning'!C4354</f>
        <v>Human, deliberate</v>
      </c>
      <c r="D4354" s="147" t="str">
        <f>'Reported burning'!D4354</f>
        <v>Harvesting of NTFP</v>
      </c>
      <c r="E4354" s="147" t="str">
        <f>'Reported burning'!E4354</f>
        <v>Forestry, Traditional</v>
      </c>
      <c r="F4354" s="147" t="str">
        <f>'Reported burning'!F4354</f>
        <v>Shrubland (Mixed forest &amp; grassland)</v>
      </c>
      <c r="G4354" s="147" t="str">
        <f>'Reported burning'!G4354</f>
        <v>Shrubland (Mixed forest &amp; grassland)</v>
      </c>
      <c r="H4354" s="147" t="str">
        <f>'Reported burning'!H4354</f>
        <v>Presence</v>
      </c>
      <c r="I4354" s="198"/>
      <c r="J4354" s="71" t="s">
        <v>2272</v>
      </c>
      <c r="K4354" s="71" t="s">
        <v>2272</v>
      </c>
      <c r="L4354" s="98" t="s">
        <v>2358</v>
      </c>
      <c r="M4354" s="98" t="s">
        <v>2358</v>
      </c>
      <c r="N4354" s="71" t="s">
        <v>2272</v>
      </c>
      <c r="O4354" s="71" t="s">
        <v>2272</v>
      </c>
      <c r="P4354" s="71" t="s">
        <v>2272</v>
      </c>
      <c r="Q4354" s="71" t="s">
        <v>2272</v>
      </c>
      <c r="R4354" s="21" t="s">
        <v>2370</v>
      </c>
      <c r="S4354" s="21" t="s">
        <v>2370</v>
      </c>
      <c r="T4354" s="71" t="s">
        <v>2272</v>
      </c>
      <c r="U4354" s="71" t="s">
        <v>2272</v>
      </c>
      <c r="V4354" s="71" t="s">
        <v>2272</v>
      </c>
      <c r="W4354" s="71" t="s">
        <v>2272</v>
      </c>
      <c r="X4354" s="71" t="s">
        <v>2272</v>
      </c>
      <c r="Y4354" s="198" t="s">
        <v>397</v>
      </c>
      <c r="Z4354" s="198" t="s">
        <v>187</v>
      </c>
      <c r="AA4354" s="198" t="s">
        <v>75</v>
      </c>
      <c r="AB4354" s="4" t="s">
        <v>11225</v>
      </c>
      <c r="AC4354" s="4" t="s">
        <v>11224</v>
      </c>
    </row>
    <row r="4355" spans="1:29" ht="42" customHeight="1">
      <c r="A4355" s="147" t="str">
        <f>'Reported burning'!A4355</f>
        <v>484a</v>
      </c>
      <c r="B4355" s="147" t="str">
        <f>'Reported burning'!B4355</f>
        <v>484a.6</v>
      </c>
      <c r="C4355" s="147" t="str">
        <f>'Reported burning'!C4355</f>
        <v>Human, deliberate</v>
      </c>
      <c r="D4355" s="147" t="str">
        <f>'Reported burning'!D4355</f>
        <v>Pasture renewal</v>
      </c>
      <c r="E4355" s="147" t="str">
        <f>'Reported burning'!E4355</f>
        <v>Cattle, Extensive</v>
      </c>
      <c r="F4355" s="147" t="str">
        <f>'Reported burning'!F4355</f>
        <v>Grassland</v>
      </c>
      <c r="G4355" s="147" t="str">
        <f>'Reported burning'!G4355</f>
        <v>Grassland</v>
      </c>
      <c r="H4355" s="147" t="str">
        <f>'Reported burning'!H4355</f>
        <v>Presence</v>
      </c>
      <c r="I4355" s="198"/>
      <c r="J4355" s="71" t="s">
        <v>2272</v>
      </c>
      <c r="K4355" s="71" t="s">
        <v>2272</v>
      </c>
      <c r="L4355" s="71" t="s">
        <v>2272</v>
      </c>
      <c r="M4355" s="71" t="s">
        <v>2272</v>
      </c>
      <c r="N4355" s="71" t="s">
        <v>2272</v>
      </c>
      <c r="O4355" s="71" t="s">
        <v>2272</v>
      </c>
      <c r="P4355" s="71" t="s">
        <v>2272</v>
      </c>
      <c r="Q4355" s="71" t="s">
        <v>2272</v>
      </c>
      <c r="R4355" s="71" t="s">
        <v>2272</v>
      </c>
      <c r="S4355" s="71" t="s">
        <v>2272</v>
      </c>
      <c r="T4355" s="71" t="s">
        <v>2272</v>
      </c>
      <c r="U4355" s="71" t="s">
        <v>2272</v>
      </c>
      <c r="V4355" s="71" t="s">
        <v>2272</v>
      </c>
      <c r="W4355" s="71" t="s">
        <v>2272</v>
      </c>
      <c r="X4355" s="71" t="s">
        <v>2272</v>
      </c>
      <c r="Y4355" s="198" t="s">
        <v>34</v>
      </c>
      <c r="Z4355" s="198" t="s">
        <v>34</v>
      </c>
      <c r="AA4355" s="71" t="s">
        <v>2272</v>
      </c>
      <c r="AB4355" s="198"/>
      <c r="AC4355" s="198"/>
    </row>
    <row r="4356" spans="1:29" ht="42" customHeight="1">
      <c r="A4356" s="147" t="str">
        <f>'Reported burning'!A4356</f>
        <v>484a</v>
      </c>
      <c r="B4356" s="147" t="str">
        <f>'Reported burning'!B4356</f>
        <v>484a.7</v>
      </c>
      <c r="C4356" s="147" t="str">
        <f>'Reported burning'!C4356</f>
        <v>Human, deliberate</v>
      </c>
      <c r="D4356" s="147" t="str">
        <f>'Reported burning'!D4356</f>
        <v>Forest clearance</v>
      </c>
      <c r="E4356" s="147" t="str">
        <f>'Reported burning'!E4356</f>
        <v>Cropping, Intensive</v>
      </c>
      <c r="F4356" s="147" t="str">
        <f>'Reported burning'!F4356</f>
        <v>Forest</v>
      </c>
      <c r="G4356" s="147" t="str">
        <f>'Reported burning'!G4356</f>
        <v>Forest</v>
      </c>
      <c r="H4356" s="147" t="str">
        <f>'Reported burning'!H4356</f>
        <v>Presence</v>
      </c>
      <c r="I4356" s="198"/>
      <c r="J4356" s="71" t="s">
        <v>2272</v>
      </c>
      <c r="K4356" s="71" t="s">
        <v>2272</v>
      </c>
      <c r="L4356" s="71" t="s">
        <v>2272</v>
      </c>
      <c r="M4356" s="71" t="s">
        <v>2272</v>
      </c>
      <c r="N4356" s="71" t="s">
        <v>2272</v>
      </c>
      <c r="O4356" s="71" t="s">
        <v>2272</v>
      </c>
      <c r="P4356" s="71" t="s">
        <v>2272</v>
      </c>
      <c r="Q4356" s="71" t="s">
        <v>2272</v>
      </c>
      <c r="R4356" s="71" t="s">
        <v>2272</v>
      </c>
      <c r="S4356" s="71" t="s">
        <v>2272</v>
      </c>
      <c r="T4356" s="71" t="s">
        <v>2272</v>
      </c>
      <c r="U4356" s="71" t="s">
        <v>2272</v>
      </c>
      <c r="V4356" s="71" t="s">
        <v>2272</v>
      </c>
      <c r="W4356" s="71" t="s">
        <v>2272</v>
      </c>
      <c r="X4356" s="71" t="s">
        <v>2272</v>
      </c>
      <c r="Y4356" s="198" t="s">
        <v>402</v>
      </c>
      <c r="Z4356" s="198" t="s">
        <v>125</v>
      </c>
      <c r="AA4356" s="71" t="s">
        <v>2272</v>
      </c>
      <c r="AB4356" s="198"/>
      <c r="AC4356" s="198"/>
    </row>
    <row r="4357" spans="1:29" ht="46.5" customHeight="1">
      <c r="A4357" s="147" t="str">
        <f>'Reported burning'!A4357</f>
        <v>484a</v>
      </c>
      <c r="B4357" s="147" t="str">
        <f>'Reported burning'!B4357</f>
        <v>484a.8</v>
      </c>
      <c r="C4357" s="147" t="str">
        <f>'Reported burning'!C4357</f>
        <v>Human, deliberate</v>
      </c>
      <c r="D4357" s="147" t="str">
        <f>'Reported burning'!D4357</f>
        <v>All</v>
      </c>
      <c r="E4357" s="147" t="str">
        <f>'Reported burning'!E4357</f>
        <v>Tourism manager</v>
      </c>
      <c r="F4357" s="147" t="str">
        <f>'Reported burning'!F4357</f>
        <v>Shrubland (Mixed forest &amp; grassland)</v>
      </c>
      <c r="G4357" s="147" t="str">
        <f>'Reported burning'!G4357</f>
        <v>Shrubland (Mixed forest &amp; grassland)</v>
      </c>
      <c r="H4357" s="147" t="str">
        <f>'Reported burning'!H4357</f>
        <v>Absence</v>
      </c>
      <c r="I4357" s="198"/>
      <c r="J4357" s="21">
        <v>0</v>
      </c>
      <c r="K4357" s="21">
        <v>0</v>
      </c>
      <c r="L4357" s="21">
        <v>0</v>
      </c>
      <c r="M4357" s="21">
        <v>0</v>
      </c>
      <c r="N4357" s="21">
        <v>0</v>
      </c>
      <c r="O4357" s="21">
        <v>0</v>
      </c>
      <c r="P4357" s="21">
        <v>0</v>
      </c>
      <c r="Q4357" s="21">
        <v>0</v>
      </c>
      <c r="R4357" s="21">
        <v>0</v>
      </c>
      <c r="S4357" s="21">
        <v>0</v>
      </c>
      <c r="T4357" s="21">
        <v>0</v>
      </c>
      <c r="U4357" s="21">
        <v>0</v>
      </c>
      <c r="V4357" s="21">
        <v>0</v>
      </c>
      <c r="W4357" s="21">
        <v>0</v>
      </c>
      <c r="X4357" s="71" t="s">
        <v>2272</v>
      </c>
      <c r="Y4357" s="198" t="s">
        <v>33</v>
      </c>
      <c r="Z4357" s="198" t="s">
        <v>423</v>
      </c>
      <c r="AA4357" s="71" t="s">
        <v>2272</v>
      </c>
      <c r="AB4357" s="198"/>
      <c r="AC4357" s="198"/>
    </row>
    <row r="4358" spans="1:29" ht="46.5" customHeight="1">
      <c r="A4358" s="147" t="str">
        <f>'Reported burning'!A4358</f>
        <v>484a</v>
      </c>
      <c r="B4358" s="147" t="str">
        <f>'Reported burning'!B4358</f>
        <v>484a.9</v>
      </c>
      <c r="C4358" s="147" t="str">
        <f>'Reported burning'!C4358</f>
        <v>Human, deliberate</v>
      </c>
      <c r="D4358" s="147" t="str">
        <f>'Reported burning'!D4358</f>
        <v>Pyrome management</v>
      </c>
      <c r="E4358" s="147" t="str">
        <f>'Reported burning'!E4358</f>
        <v>Biodiversity conservation</v>
      </c>
      <c r="F4358" s="147" t="str">
        <f>'Reported burning'!F4358</f>
        <v>Shrubland (Mixed forest &amp; grassland)</v>
      </c>
      <c r="G4358" s="147" t="str">
        <f>'Reported burning'!G4358</f>
        <v>Shrubland (Mixed forest &amp; grassland)</v>
      </c>
      <c r="H4358" s="147" t="str">
        <f>'Reported burning'!H4358</f>
        <v>Presence</v>
      </c>
      <c r="I4358" s="198"/>
      <c r="J4358" s="71" t="s">
        <v>2272</v>
      </c>
      <c r="K4358" s="71" t="s">
        <v>2272</v>
      </c>
      <c r="L4358" s="71" t="s">
        <v>2272</v>
      </c>
      <c r="M4358" s="71" t="s">
        <v>2272</v>
      </c>
      <c r="N4358" s="71" t="s">
        <v>2272</v>
      </c>
      <c r="O4358" s="71" t="s">
        <v>2272</v>
      </c>
      <c r="P4358" s="71" t="s">
        <v>2272</v>
      </c>
      <c r="Q4358" s="71" t="s">
        <v>2272</v>
      </c>
      <c r="R4358" s="71" t="s">
        <v>2272</v>
      </c>
      <c r="S4358" s="71" t="s">
        <v>2272</v>
      </c>
      <c r="T4358" s="71" t="s">
        <v>2272</v>
      </c>
      <c r="U4358" s="71" t="s">
        <v>2272</v>
      </c>
      <c r="V4358" s="71" t="s">
        <v>2272</v>
      </c>
      <c r="W4358" s="71" t="s">
        <v>2272</v>
      </c>
      <c r="X4358" s="71">
        <v>3.5</v>
      </c>
      <c r="Y4358" s="71" t="s">
        <v>2272</v>
      </c>
      <c r="Z4358" s="71" t="s">
        <v>2272</v>
      </c>
      <c r="AA4358" s="71" t="s">
        <v>2272</v>
      </c>
      <c r="AB4358" s="198"/>
      <c r="AC4358" s="198"/>
    </row>
    <row r="4359" spans="1:29" ht="46.5" customHeight="1">
      <c r="A4359" s="147" t="str">
        <f>'Reported burning'!A4359</f>
        <v>485a</v>
      </c>
      <c r="B4359" s="147" t="str">
        <f>'Reported burning'!B4359</f>
        <v>485a.1</v>
      </c>
      <c r="C4359" s="147" t="str">
        <f>'Reported burning'!C4359</f>
        <v>Human, deliberate</v>
      </c>
      <c r="D4359" s="147" t="str">
        <f>'Reported burning'!D4359</f>
        <v>Hunting</v>
      </c>
      <c r="E4359" s="147" t="str">
        <f>'Reported burning'!E4359</f>
        <v>Forestry, Traditional</v>
      </c>
      <c r="F4359" s="147" t="str">
        <f>'Reported burning'!F4359</f>
        <v>Grassland</v>
      </c>
      <c r="G4359" s="147" t="str">
        <f>'Reported burning'!G4359</f>
        <v>Grassland</v>
      </c>
      <c r="H4359" s="147" t="str">
        <f>'Reported burning'!H4359</f>
        <v>Presence</v>
      </c>
      <c r="I4359" s="198"/>
      <c r="J4359" s="71" t="s">
        <v>2272</v>
      </c>
      <c r="K4359" s="71" t="s">
        <v>2272</v>
      </c>
      <c r="L4359" s="71" t="s">
        <v>2272</v>
      </c>
      <c r="M4359" s="71" t="s">
        <v>2272</v>
      </c>
      <c r="N4359" s="71" t="s">
        <v>2272</v>
      </c>
      <c r="O4359" s="71" t="s">
        <v>2272</v>
      </c>
      <c r="P4359" s="71" t="s">
        <v>2272</v>
      </c>
      <c r="Q4359" s="71" t="s">
        <v>2272</v>
      </c>
      <c r="R4359" s="71" t="s">
        <v>2272</v>
      </c>
      <c r="S4359" s="71" t="s">
        <v>2272</v>
      </c>
      <c r="T4359" s="71" t="s">
        <v>2272</v>
      </c>
      <c r="U4359" s="71" t="s">
        <v>2272</v>
      </c>
      <c r="V4359" s="71" t="s">
        <v>2272</v>
      </c>
      <c r="W4359" s="71" t="s">
        <v>2272</v>
      </c>
      <c r="X4359" s="71" t="s">
        <v>2272</v>
      </c>
      <c r="Y4359" s="71" t="s">
        <v>2272</v>
      </c>
      <c r="Z4359" s="71" t="s">
        <v>2272</v>
      </c>
      <c r="AA4359" s="71" t="s">
        <v>2272</v>
      </c>
      <c r="AB4359" s="18" t="s">
        <v>11245</v>
      </c>
      <c r="AC4359" s="198"/>
    </row>
    <row r="4360" spans="1:29" ht="40" customHeight="1">
      <c r="A4360" s="147" t="str">
        <f>'Reported burning'!A4360</f>
        <v>485a</v>
      </c>
      <c r="B4360" s="147" t="str">
        <f>'Reported burning'!B4360</f>
        <v>485a.2</v>
      </c>
      <c r="C4360" s="147" t="str">
        <f>'Reported burning'!C4360</f>
        <v>Human, deliberate</v>
      </c>
      <c r="D4360" s="147" t="str">
        <f>'Reported burning'!D4360</f>
        <v>Harvesting of NTFP</v>
      </c>
      <c r="E4360" s="147" t="str">
        <f>'Reported burning'!E4360</f>
        <v>Forestry, Traditional</v>
      </c>
      <c r="F4360" s="147" t="str">
        <f>'Reported burning'!F4360</f>
        <v>Shrubland (Mixed forest &amp; grassland)</v>
      </c>
      <c r="G4360" s="147" t="str">
        <f>'Reported burning'!G4360</f>
        <v>Shrubland (Mixed forest &amp; grassland)</v>
      </c>
      <c r="H4360" s="147" t="str">
        <f>'Reported burning'!H4360</f>
        <v>Presence</v>
      </c>
      <c r="I4360" s="198"/>
      <c r="J4360" s="71" t="s">
        <v>2272</v>
      </c>
      <c r="K4360" s="71" t="s">
        <v>2272</v>
      </c>
      <c r="L4360" s="98" t="s">
        <v>2358</v>
      </c>
      <c r="M4360" s="98" t="s">
        <v>2358</v>
      </c>
      <c r="N4360" s="71" t="s">
        <v>2272</v>
      </c>
      <c r="O4360" s="71" t="s">
        <v>2272</v>
      </c>
      <c r="P4360" s="71" t="s">
        <v>2272</v>
      </c>
      <c r="Q4360" s="71" t="s">
        <v>2272</v>
      </c>
      <c r="R4360" s="98" t="s">
        <v>2358</v>
      </c>
      <c r="S4360" s="98" t="s">
        <v>2358</v>
      </c>
      <c r="T4360" s="71" t="s">
        <v>2272</v>
      </c>
      <c r="U4360" s="71" t="s">
        <v>2272</v>
      </c>
      <c r="V4360" s="71" t="s">
        <v>2272</v>
      </c>
      <c r="W4360" s="71" t="s">
        <v>2272</v>
      </c>
      <c r="X4360" s="71" t="s">
        <v>2272</v>
      </c>
      <c r="Y4360" s="71" t="s">
        <v>2272</v>
      </c>
      <c r="Z4360" s="71" t="s">
        <v>2272</v>
      </c>
      <c r="AA4360" s="71" t="s">
        <v>2272</v>
      </c>
      <c r="AB4360" s="198"/>
      <c r="AC4360" s="198"/>
    </row>
    <row r="4361" spans="1:29" ht="40" customHeight="1">
      <c r="A4361" s="147" t="str">
        <f>'Reported burning'!A4361</f>
        <v>485a</v>
      </c>
      <c r="B4361" s="147" t="str">
        <f>'Reported burning'!B4361</f>
        <v>485a.3</v>
      </c>
      <c r="C4361" s="147" t="str">
        <f>'Reported burning'!C4361</f>
        <v>Human, deliberate</v>
      </c>
      <c r="D4361" s="147" t="str">
        <f>'Reported burning'!D4361</f>
        <v>Accessibility</v>
      </c>
      <c r="E4361" s="147" t="str">
        <f>'Reported burning'!E4361</f>
        <v>Forestry, Traditional</v>
      </c>
      <c r="F4361" s="147" t="str">
        <f>'Reported burning'!F4361</f>
        <v>Shrubland (Mixed forest &amp; grassland)</v>
      </c>
      <c r="G4361" s="147" t="str">
        <f>'Reported burning'!G4361</f>
        <v>Shrubland (Mixed forest &amp; grassland)</v>
      </c>
      <c r="H4361" s="147" t="str">
        <f>'Reported burning'!H4361</f>
        <v>Presence</v>
      </c>
      <c r="I4361" s="198"/>
      <c r="J4361" s="71" t="s">
        <v>2272</v>
      </c>
      <c r="K4361" s="71" t="s">
        <v>2272</v>
      </c>
      <c r="L4361" s="71" t="s">
        <v>2272</v>
      </c>
      <c r="M4361" s="71" t="s">
        <v>2272</v>
      </c>
      <c r="N4361" s="71" t="s">
        <v>2272</v>
      </c>
      <c r="O4361" s="71" t="s">
        <v>2272</v>
      </c>
      <c r="P4361" s="71" t="s">
        <v>2272</v>
      </c>
      <c r="Q4361" s="71" t="s">
        <v>2272</v>
      </c>
      <c r="R4361" s="71" t="s">
        <v>2272</v>
      </c>
      <c r="S4361" s="71" t="s">
        <v>2272</v>
      </c>
      <c r="T4361" s="71" t="s">
        <v>2272</v>
      </c>
      <c r="U4361" s="71" t="s">
        <v>2272</v>
      </c>
      <c r="V4361" s="71" t="s">
        <v>2272</v>
      </c>
      <c r="W4361" s="71" t="s">
        <v>2272</v>
      </c>
      <c r="X4361" s="71" t="s">
        <v>2272</v>
      </c>
      <c r="Y4361" s="71" t="s">
        <v>2272</v>
      </c>
      <c r="Z4361" s="71" t="s">
        <v>2272</v>
      </c>
      <c r="AA4361" s="71" t="s">
        <v>2272</v>
      </c>
      <c r="AB4361" s="198"/>
      <c r="AC4361" s="198"/>
    </row>
    <row r="4362" spans="1:29" ht="40" customHeight="1">
      <c r="A4362" s="147" t="str">
        <f>'Reported burning'!A4362</f>
        <v>485a</v>
      </c>
      <c r="B4362" s="147" t="str">
        <f>'Reported burning'!B4362</f>
        <v>485a.4</v>
      </c>
      <c r="C4362" s="147" t="str">
        <f>'Reported burning'!C4362</f>
        <v>Human, deliberate</v>
      </c>
      <c r="D4362" s="147" t="str">
        <f>'Reported burning'!D4362</f>
        <v>Hunting</v>
      </c>
      <c r="E4362" s="147" t="str">
        <f>'Reported burning'!E4362</f>
        <v>Forestry, Traditional</v>
      </c>
      <c r="F4362" s="147" t="str">
        <f>'Reported burning'!F4362</f>
        <v>Shrubland (Mixed forest &amp; grassland)</v>
      </c>
      <c r="G4362" s="147" t="str">
        <f>'Reported burning'!G4362</f>
        <v>Shrubland (Mixed forest &amp; grassland)</v>
      </c>
      <c r="H4362" s="147" t="str">
        <f>'Reported burning'!H4362</f>
        <v>Presence</v>
      </c>
      <c r="I4362" s="198"/>
      <c r="J4362" s="71" t="s">
        <v>2272</v>
      </c>
      <c r="K4362" s="71" t="s">
        <v>2272</v>
      </c>
      <c r="L4362" s="71" t="s">
        <v>2272</v>
      </c>
      <c r="M4362" s="71" t="s">
        <v>2272</v>
      </c>
      <c r="N4362" s="71" t="s">
        <v>2272</v>
      </c>
      <c r="O4362" s="71" t="s">
        <v>2272</v>
      </c>
      <c r="P4362" s="71" t="s">
        <v>2272</v>
      </c>
      <c r="Q4362" s="71" t="s">
        <v>2272</v>
      </c>
      <c r="R4362" s="71" t="s">
        <v>2272</v>
      </c>
      <c r="S4362" s="71" t="s">
        <v>2272</v>
      </c>
      <c r="T4362" s="71" t="s">
        <v>2272</v>
      </c>
      <c r="U4362" s="71" t="s">
        <v>2272</v>
      </c>
      <c r="V4362" s="71" t="s">
        <v>2272</v>
      </c>
      <c r="W4362" s="71" t="s">
        <v>2272</v>
      </c>
      <c r="X4362" s="71" t="s">
        <v>2272</v>
      </c>
      <c r="Y4362" s="71" t="s">
        <v>2272</v>
      </c>
      <c r="Z4362" s="71" t="s">
        <v>2272</v>
      </c>
      <c r="AA4362" s="71" t="s">
        <v>2272</v>
      </c>
      <c r="AB4362" s="198"/>
      <c r="AC4362" s="198"/>
    </row>
    <row r="4363" spans="1:29" ht="40" customHeight="1">
      <c r="A4363" s="147" t="str">
        <f>'Reported burning'!A4363</f>
        <v>485a</v>
      </c>
      <c r="B4363" s="147" t="str">
        <f>'Reported burning'!B4363</f>
        <v>485a.5</v>
      </c>
      <c r="C4363" s="147" t="str">
        <f>'Reported burning'!C4363</f>
        <v>Human, deliberate</v>
      </c>
      <c r="D4363" s="147" t="str">
        <f>'Reported burning'!D4363</f>
        <v>Pyrome management</v>
      </c>
      <c r="E4363" s="147" t="str">
        <f>'Reported burning'!E4363</f>
        <v>Forestry, Traditional</v>
      </c>
      <c r="F4363" s="147" t="str">
        <f>'Reported burning'!F4363</f>
        <v>Forest</v>
      </c>
      <c r="G4363" s="147" t="str">
        <f>'Reported burning'!G4363</f>
        <v>Forest</v>
      </c>
      <c r="H4363" s="147" t="str">
        <f>'Reported burning'!H4363</f>
        <v>Presence</v>
      </c>
      <c r="I4363" s="198"/>
      <c r="J4363" s="71" t="s">
        <v>2272</v>
      </c>
      <c r="K4363" s="71" t="s">
        <v>2272</v>
      </c>
      <c r="L4363" s="98" t="s">
        <v>2358</v>
      </c>
      <c r="M4363" s="98" t="s">
        <v>2358</v>
      </c>
      <c r="N4363" s="71" t="s">
        <v>2272</v>
      </c>
      <c r="O4363" s="71" t="s">
        <v>2272</v>
      </c>
      <c r="P4363" s="98" t="s">
        <v>2358</v>
      </c>
      <c r="Q4363" s="98" t="s">
        <v>2358</v>
      </c>
      <c r="R4363" s="98" t="s">
        <v>2358</v>
      </c>
      <c r="S4363" s="98" t="s">
        <v>2358</v>
      </c>
      <c r="T4363" s="71" t="s">
        <v>2272</v>
      </c>
      <c r="U4363" s="71" t="s">
        <v>2272</v>
      </c>
      <c r="V4363" s="71" t="s">
        <v>2272</v>
      </c>
      <c r="W4363" s="71" t="s">
        <v>2272</v>
      </c>
      <c r="X4363" s="71" t="s">
        <v>2272</v>
      </c>
      <c r="Y4363" s="71" t="s">
        <v>2272</v>
      </c>
      <c r="Z4363" s="71" t="s">
        <v>2272</v>
      </c>
      <c r="AA4363" s="71" t="s">
        <v>2272</v>
      </c>
      <c r="AB4363" s="77" t="s">
        <v>11243</v>
      </c>
      <c r="AC4363" s="198"/>
    </row>
    <row r="4364" spans="1:29" ht="37" customHeight="1">
      <c r="A4364" s="147" t="str">
        <f>'Reported burning'!A4364</f>
        <v>485a</v>
      </c>
      <c r="B4364" s="147" t="str">
        <f>'Reported burning'!B4364</f>
        <v>485a.6</v>
      </c>
      <c r="C4364" s="147" t="str">
        <f>'Reported burning'!C4364</f>
        <v>Human, deliberate</v>
      </c>
      <c r="D4364" s="147" t="str">
        <f>'Reported burning'!D4364</f>
        <v>Land clearance</v>
      </c>
      <c r="E4364" s="147" t="str">
        <f>'Reported burning'!E4364</f>
        <v>Forestry, Traditional</v>
      </c>
      <c r="F4364" s="147" t="str">
        <f>'Reported burning'!F4364</f>
        <v>Forest</v>
      </c>
      <c r="G4364" s="147" t="str">
        <f>'Reported burning'!G4364</f>
        <v>Forest</v>
      </c>
      <c r="H4364" s="147" t="str">
        <f>'Reported burning'!H4364</f>
        <v>Presence</v>
      </c>
      <c r="I4364" s="198"/>
      <c r="J4364" s="71" t="s">
        <v>2272</v>
      </c>
      <c r="K4364" s="71" t="s">
        <v>2272</v>
      </c>
      <c r="L4364" s="98" t="s">
        <v>2358</v>
      </c>
      <c r="M4364" s="98" t="s">
        <v>2358</v>
      </c>
      <c r="N4364" s="71" t="s">
        <v>2272</v>
      </c>
      <c r="O4364" s="71" t="s">
        <v>2272</v>
      </c>
      <c r="P4364" s="98" t="s">
        <v>2358</v>
      </c>
      <c r="Q4364" s="98" t="s">
        <v>2358</v>
      </c>
      <c r="R4364" s="98" t="s">
        <v>2358</v>
      </c>
      <c r="S4364" s="98" t="s">
        <v>2358</v>
      </c>
      <c r="T4364" s="71" t="s">
        <v>2272</v>
      </c>
      <c r="U4364" s="71" t="s">
        <v>2272</v>
      </c>
      <c r="V4364" s="71" t="s">
        <v>2272</v>
      </c>
      <c r="W4364" s="71" t="s">
        <v>2272</v>
      </c>
      <c r="X4364" s="71" t="s">
        <v>2272</v>
      </c>
      <c r="Y4364" s="71" t="s">
        <v>2272</v>
      </c>
      <c r="Z4364" s="71" t="s">
        <v>2272</v>
      </c>
      <c r="AA4364" s="71" t="s">
        <v>2272</v>
      </c>
      <c r="AB4364" s="77" t="s">
        <v>11244</v>
      </c>
      <c r="AC4364" s="198"/>
    </row>
    <row r="4365" spans="1:29" ht="42" customHeight="1">
      <c r="A4365" s="147" t="str">
        <f>'Reported burning'!A4365</f>
        <v>485a</v>
      </c>
      <c r="B4365" s="147" t="str">
        <f>'Reported burning'!B4365</f>
        <v>485a.7</v>
      </c>
      <c r="C4365" s="147" t="str">
        <f>'Reported burning'!C4365</f>
        <v>Human, deliberate</v>
      </c>
      <c r="D4365" s="147" t="str">
        <f>'Reported burning'!D4365</f>
        <v>Cultural &amp; Spiritual</v>
      </c>
      <c r="E4365" s="147" t="str">
        <f>'Reported burning'!E4365</f>
        <v>Forestry, Traditional</v>
      </c>
      <c r="F4365" s="147" t="str">
        <f>'Reported burning'!F4365</f>
        <v>Shrubland (Mixed forest &amp; grassland)</v>
      </c>
      <c r="G4365" s="147" t="str">
        <f>'Reported burning'!G4365</f>
        <v>Shrubland (Mixed forest &amp; grassland)</v>
      </c>
      <c r="H4365" s="147" t="str">
        <f>'Reported burning'!H4365</f>
        <v>Presence</v>
      </c>
      <c r="I4365" s="198"/>
      <c r="J4365" s="71" t="s">
        <v>2272</v>
      </c>
      <c r="K4365" s="71" t="s">
        <v>2272</v>
      </c>
      <c r="L4365" s="71" t="s">
        <v>2272</v>
      </c>
      <c r="M4365" s="71" t="s">
        <v>2272</v>
      </c>
      <c r="N4365" s="71" t="s">
        <v>2272</v>
      </c>
      <c r="O4365" s="71" t="s">
        <v>2272</v>
      </c>
      <c r="P4365" s="71" t="s">
        <v>2272</v>
      </c>
      <c r="Q4365" s="71" t="s">
        <v>2272</v>
      </c>
      <c r="R4365" s="71" t="s">
        <v>2272</v>
      </c>
      <c r="S4365" s="71" t="s">
        <v>2272</v>
      </c>
      <c r="T4365" s="71" t="s">
        <v>2272</v>
      </c>
      <c r="U4365" s="71" t="s">
        <v>2272</v>
      </c>
      <c r="V4365" s="71" t="s">
        <v>2272</v>
      </c>
      <c r="W4365" s="71" t="s">
        <v>2272</v>
      </c>
      <c r="X4365" s="71" t="s">
        <v>2272</v>
      </c>
      <c r="Y4365" s="71" t="s">
        <v>2272</v>
      </c>
      <c r="Z4365" s="71" t="s">
        <v>2272</v>
      </c>
      <c r="AA4365" s="71" t="s">
        <v>2272</v>
      </c>
      <c r="AB4365" s="198"/>
      <c r="AC4365" s="198"/>
    </row>
    <row r="4366" spans="1:29" ht="38" customHeight="1">
      <c r="A4366" s="147" t="str">
        <f>'Reported burning'!A4366</f>
        <v>485a</v>
      </c>
      <c r="B4366" s="147" t="str">
        <f>'Reported burning'!B4366</f>
        <v>485a.8</v>
      </c>
      <c r="C4366" s="147" t="str">
        <f>'Reported burning'!C4366</f>
        <v>Lightning</v>
      </c>
      <c r="D4366" s="147" t="str">
        <f>'Reported burning'!D4366</f>
        <v>ND</v>
      </c>
      <c r="E4366" s="147" t="str">
        <f>'Reported burning'!E4366</f>
        <v>ND</v>
      </c>
      <c r="F4366" s="147" t="str">
        <f>'Reported burning'!F4366</f>
        <v>Shrubland (Mixed forest &amp; grassland)</v>
      </c>
      <c r="G4366" s="147" t="str">
        <f>'Reported burning'!G4366</f>
        <v>Shrubland (Mixed forest &amp; grassland)</v>
      </c>
      <c r="H4366" s="147" t="str">
        <f>'Reported burning'!H4366</f>
        <v>Presence</v>
      </c>
      <c r="I4366" s="198"/>
      <c r="J4366" s="71" t="s">
        <v>2272</v>
      </c>
      <c r="K4366" s="71" t="s">
        <v>2272</v>
      </c>
      <c r="L4366" s="71" t="s">
        <v>2272</v>
      </c>
      <c r="M4366" s="71" t="s">
        <v>2272</v>
      </c>
      <c r="N4366" s="71" t="s">
        <v>2272</v>
      </c>
      <c r="O4366" s="71" t="s">
        <v>2272</v>
      </c>
      <c r="P4366" s="71" t="s">
        <v>2272</v>
      </c>
      <c r="Q4366" s="71" t="s">
        <v>2272</v>
      </c>
      <c r="R4366" s="71" t="s">
        <v>2272</v>
      </c>
      <c r="S4366" s="71" t="s">
        <v>2272</v>
      </c>
      <c r="T4366" s="71" t="s">
        <v>2272</v>
      </c>
      <c r="U4366" s="71" t="s">
        <v>2272</v>
      </c>
      <c r="V4366" s="71" t="s">
        <v>2272</v>
      </c>
      <c r="W4366" s="71" t="s">
        <v>2272</v>
      </c>
      <c r="X4366" s="71" t="s">
        <v>2272</v>
      </c>
      <c r="Y4366" s="198" t="s">
        <v>34</v>
      </c>
      <c r="Z4366" s="198" t="s">
        <v>187</v>
      </c>
      <c r="AA4366" s="71" t="s">
        <v>2272</v>
      </c>
      <c r="AB4366" s="198"/>
      <c r="AC4366" s="198"/>
    </row>
    <row r="4367" spans="1:29" ht="39" customHeight="1">
      <c r="A4367" s="147" t="str">
        <f>'Reported burning'!A4367</f>
        <v>486a</v>
      </c>
      <c r="B4367" s="147" t="str">
        <f>'Reported burning'!B4367</f>
        <v>486a.1</v>
      </c>
      <c r="C4367" s="147" t="str">
        <f>'Reported burning'!C4367</f>
        <v>Human, deliberate</v>
      </c>
      <c r="D4367" s="147" t="str">
        <f>'Reported burning'!D4367</f>
        <v>Land clearance</v>
      </c>
      <c r="E4367" s="147" t="str">
        <f>'Reported burning'!E4367</f>
        <v>Cropping, Swidden</v>
      </c>
      <c r="F4367" s="147" t="str">
        <f>'Reported burning'!F4367</f>
        <v>Shrubland (Mixed forest &amp; grassland)</v>
      </c>
      <c r="G4367" s="147" t="str">
        <f>'Reported burning'!G4367</f>
        <v>Shrubland (Mixed forest &amp; grassland)</v>
      </c>
      <c r="H4367" s="147" t="str">
        <f>'Reported burning'!H4367</f>
        <v>Presence</v>
      </c>
      <c r="I4367" s="198"/>
      <c r="J4367" s="71" t="s">
        <v>2272</v>
      </c>
      <c r="K4367" s="71" t="s">
        <v>2272</v>
      </c>
      <c r="L4367" s="98" t="s">
        <v>2358</v>
      </c>
      <c r="M4367" s="98" t="s">
        <v>2358</v>
      </c>
      <c r="N4367" s="71" t="s">
        <v>2272</v>
      </c>
      <c r="O4367" s="71" t="s">
        <v>2272</v>
      </c>
      <c r="P4367" s="71" t="s">
        <v>2272</v>
      </c>
      <c r="Q4367" s="71" t="s">
        <v>2272</v>
      </c>
      <c r="R4367" s="71" t="s">
        <v>2272</v>
      </c>
      <c r="S4367" s="71" t="s">
        <v>2272</v>
      </c>
      <c r="T4367" s="71" t="s">
        <v>2272</v>
      </c>
      <c r="U4367" s="71" t="s">
        <v>2272</v>
      </c>
      <c r="V4367" s="71" t="s">
        <v>2272</v>
      </c>
      <c r="W4367" s="71" t="s">
        <v>2272</v>
      </c>
      <c r="X4367" s="71" t="s">
        <v>2272</v>
      </c>
      <c r="Y4367" s="198" t="s">
        <v>37</v>
      </c>
      <c r="Z4367" s="198" t="s">
        <v>84</v>
      </c>
      <c r="AA4367" s="71" t="s">
        <v>2272</v>
      </c>
      <c r="AB4367" s="4" t="s">
        <v>11260</v>
      </c>
      <c r="AC4367" s="198"/>
    </row>
    <row r="4368" spans="1:29" ht="44.5" customHeight="1">
      <c r="A4368" s="147" t="str">
        <f>'Reported burning'!A4368</f>
        <v>486a</v>
      </c>
      <c r="B4368" s="147" t="str">
        <f>'Reported burning'!B4368</f>
        <v>486a.2</v>
      </c>
      <c r="C4368" s="147" t="str">
        <f>'Reported burning'!C4368</f>
        <v>Human, deliberate</v>
      </c>
      <c r="D4368" s="147" t="str">
        <f>'Reported burning'!D4368</f>
        <v>Crop field preparation</v>
      </c>
      <c r="E4368" s="147" t="str">
        <f>'Reported burning'!E4368</f>
        <v>Cropping, Swidden</v>
      </c>
      <c r="F4368" s="147" t="str">
        <f>'Reported burning'!F4368</f>
        <v>Cropland</v>
      </c>
      <c r="G4368" s="147" t="str">
        <f>'Reported burning'!G4368</f>
        <v>Cropland</v>
      </c>
      <c r="H4368" s="147" t="str">
        <f>'Reported burning'!H4368</f>
        <v>Presence</v>
      </c>
      <c r="I4368" s="198"/>
      <c r="J4368" s="71" t="s">
        <v>2272</v>
      </c>
      <c r="K4368" s="71" t="s">
        <v>2272</v>
      </c>
      <c r="L4368" s="98" t="s">
        <v>2358</v>
      </c>
      <c r="M4368" s="98" t="s">
        <v>2358</v>
      </c>
      <c r="N4368" s="71" t="s">
        <v>2272</v>
      </c>
      <c r="O4368" s="71" t="s">
        <v>2272</v>
      </c>
      <c r="P4368" s="71" t="s">
        <v>2272</v>
      </c>
      <c r="Q4368" s="71" t="s">
        <v>2272</v>
      </c>
      <c r="R4368" s="71" t="s">
        <v>2272</v>
      </c>
      <c r="S4368" s="71" t="s">
        <v>2272</v>
      </c>
      <c r="T4368" s="71" t="s">
        <v>2272</v>
      </c>
      <c r="U4368" s="71" t="s">
        <v>2272</v>
      </c>
      <c r="V4368" s="71" t="s">
        <v>2272</v>
      </c>
      <c r="W4368" s="71" t="s">
        <v>2272</v>
      </c>
      <c r="X4368" s="71" t="s">
        <v>2272</v>
      </c>
      <c r="Y4368" s="198" t="s">
        <v>186</v>
      </c>
      <c r="Z4368" s="198" t="s">
        <v>186</v>
      </c>
      <c r="AA4368" s="71" t="s">
        <v>2272</v>
      </c>
      <c r="AB4368" s="4" t="s">
        <v>11272</v>
      </c>
      <c r="AC4368" s="4" t="s">
        <v>11262</v>
      </c>
    </row>
    <row r="4369" spans="1:29" ht="49" customHeight="1">
      <c r="A4369" s="147" t="str">
        <f>'Reported burning'!A4369</f>
        <v>486a</v>
      </c>
      <c r="B4369" s="147" t="str">
        <f>'Reported burning'!B4369</f>
        <v>486a.3</v>
      </c>
      <c r="C4369" s="147" t="str">
        <f>'Reported burning'!C4369</f>
        <v>Human, deliberate</v>
      </c>
      <c r="D4369" s="147" t="str">
        <f>'Reported burning'!D4369</f>
        <v>Crop field preparation</v>
      </c>
      <c r="E4369" s="147" t="str">
        <f>'Reported burning'!E4369</f>
        <v>Cropping, Swidden</v>
      </c>
      <c r="F4369" s="147" t="str">
        <f>'Reported burning'!F4369</f>
        <v>Secondary vegetation</v>
      </c>
      <c r="G4369" s="147" t="str">
        <f>'Reported burning'!G4369</f>
        <v>Secondary vegetation</v>
      </c>
      <c r="H4369" s="147" t="str">
        <f>'Reported burning'!H4369</f>
        <v>Presence</v>
      </c>
      <c r="I4369" s="198"/>
      <c r="J4369" s="71" t="s">
        <v>2272</v>
      </c>
      <c r="K4369" s="71" t="s">
        <v>2272</v>
      </c>
      <c r="L4369" s="98" t="s">
        <v>2358</v>
      </c>
      <c r="M4369" s="98" t="s">
        <v>2358</v>
      </c>
      <c r="N4369" s="71" t="s">
        <v>2272</v>
      </c>
      <c r="O4369" s="71" t="s">
        <v>2272</v>
      </c>
      <c r="P4369" s="71" t="s">
        <v>2272</v>
      </c>
      <c r="Q4369" s="71" t="s">
        <v>2272</v>
      </c>
      <c r="R4369" s="71" t="s">
        <v>2272</v>
      </c>
      <c r="S4369" s="71" t="s">
        <v>2272</v>
      </c>
      <c r="T4369" s="71" t="s">
        <v>2272</v>
      </c>
      <c r="U4369" s="71" t="s">
        <v>2272</v>
      </c>
      <c r="V4369" s="71" t="s">
        <v>2272</v>
      </c>
      <c r="W4369" s="71" t="s">
        <v>2272</v>
      </c>
      <c r="X4369" s="71" t="s">
        <v>2272</v>
      </c>
      <c r="Y4369" s="198" t="s">
        <v>67</v>
      </c>
      <c r="Z4369" s="198" t="s">
        <v>34</v>
      </c>
      <c r="AA4369" s="71" t="s">
        <v>2272</v>
      </c>
      <c r="AB4369" s="4"/>
      <c r="AC4369" s="198"/>
    </row>
    <row r="4370" spans="1:29" s="197" customFormat="1" ht="49" customHeight="1">
      <c r="A4370" s="147" t="str">
        <f>'Reported burning'!A4370</f>
        <v>486a</v>
      </c>
      <c r="B4370" s="147" t="str">
        <f>'Reported burning'!B4370</f>
        <v>486a.4</v>
      </c>
      <c r="C4370" s="147" t="str">
        <f>'Reported burning'!C4370</f>
        <v>Human, deliberate</v>
      </c>
      <c r="D4370" s="147" t="str">
        <f>'Reported burning'!D4370</f>
        <v>Pasture renewal</v>
      </c>
      <c r="E4370" s="147" t="str">
        <f>'Reported burning'!E4370</f>
        <v>Cattle, Extensive</v>
      </c>
      <c r="F4370" s="147" t="str">
        <f>'Reported burning'!F4370</f>
        <v>Shrubland (Mixed forest &amp; grassland)</v>
      </c>
      <c r="G4370" s="147" t="str">
        <f>'Reported burning'!G4370</f>
        <v>Shrubland (Mixed forest &amp; grassland)</v>
      </c>
      <c r="H4370" s="147" t="str">
        <f>'Reported burning'!H4370</f>
        <v>Presence</v>
      </c>
      <c r="I4370" s="198"/>
      <c r="J4370" s="71" t="s">
        <v>2272</v>
      </c>
      <c r="K4370" s="71" t="s">
        <v>2272</v>
      </c>
      <c r="L4370" s="98" t="s">
        <v>2368</v>
      </c>
      <c r="M4370" s="21" t="s">
        <v>2368</v>
      </c>
      <c r="N4370" s="71" t="s">
        <v>2272</v>
      </c>
      <c r="O4370" s="71" t="s">
        <v>2272</v>
      </c>
      <c r="P4370" s="71" t="s">
        <v>2272</v>
      </c>
      <c r="Q4370" s="71" t="s">
        <v>2272</v>
      </c>
      <c r="R4370" s="98" t="s">
        <v>2369</v>
      </c>
      <c r="S4370" s="98" t="s">
        <v>2369</v>
      </c>
      <c r="T4370" s="71" t="s">
        <v>2272</v>
      </c>
      <c r="U4370" s="71" t="s">
        <v>2272</v>
      </c>
      <c r="V4370" s="71" t="s">
        <v>2272</v>
      </c>
      <c r="W4370" s="71" t="s">
        <v>2272</v>
      </c>
      <c r="X4370" s="71" t="s">
        <v>2272</v>
      </c>
      <c r="Y4370" s="198" t="s">
        <v>186</v>
      </c>
      <c r="Z4370" s="198" t="s">
        <v>186</v>
      </c>
      <c r="AA4370" s="71" t="s">
        <v>2272</v>
      </c>
      <c r="AB4370" s="4" t="s">
        <v>11279</v>
      </c>
      <c r="AC4370" s="198"/>
    </row>
    <row r="4371" spans="1:29" ht="154" customHeight="1">
      <c r="A4371" s="147" t="str">
        <f>'Reported burning'!A4371</f>
        <v>486a</v>
      </c>
      <c r="B4371" s="147" t="str">
        <f>'Reported burning'!B4371</f>
        <v>486a.5</v>
      </c>
      <c r="C4371" s="147" t="str">
        <f>'Reported burning'!C4371</f>
        <v>Human, deliberate</v>
      </c>
      <c r="D4371" s="147" t="str">
        <f>'Reported burning'!D4371</f>
        <v>Harvesting of NTFP</v>
      </c>
      <c r="E4371" s="147" t="str">
        <f>'Reported burning'!E4371</f>
        <v>Forestry, Traditional</v>
      </c>
      <c r="F4371" s="147" t="str">
        <f>'Reported burning'!F4371</f>
        <v>Forest</v>
      </c>
      <c r="G4371" s="147" t="str">
        <f>'Reported burning'!G4371</f>
        <v>Forest</v>
      </c>
      <c r="H4371" s="147" t="str">
        <f>'Reported burning'!H4371</f>
        <v>Presence</v>
      </c>
      <c r="I4371" s="198"/>
      <c r="J4371" s="71" t="s">
        <v>2272</v>
      </c>
      <c r="K4371" s="71" t="s">
        <v>2272</v>
      </c>
      <c r="L4371" s="71" t="s">
        <v>2272</v>
      </c>
      <c r="M4371" s="71" t="s">
        <v>2272</v>
      </c>
      <c r="N4371" s="71" t="s">
        <v>2272</v>
      </c>
      <c r="O4371" s="71" t="s">
        <v>2272</v>
      </c>
      <c r="P4371" s="71" t="s">
        <v>2272</v>
      </c>
      <c r="Q4371" s="71" t="s">
        <v>2272</v>
      </c>
      <c r="R4371" s="71" t="s">
        <v>2272</v>
      </c>
      <c r="S4371" s="71" t="s">
        <v>2272</v>
      </c>
      <c r="T4371" s="71" t="s">
        <v>2272</v>
      </c>
      <c r="U4371" s="71" t="s">
        <v>2272</v>
      </c>
      <c r="V4371" s="71" t="s">
        <v>2272</v>
      </c>
      <c r="W4371" s="71" t="s">
        <v>2272</v>
      </c>
      <c r="X4371" s="71" t="s">
        <v>2272</v>
      </c>
      <c r="Y4371" s="198" t="s">
        <v>34</v>
      </c>
      <c r="Z4371" s="198" t="s">
        <v>125</v>
      </c>
      <c r="AA4371" s="71" t="s">
        <v>2272</v>
      </c>
      <c r="AB4371" s="198" t="s">
        <v>11263</v>
      </c>
      <c r="AC4371" s="4" t="s">
        <v>11265</v>
      </c>
    </row>
    <row r="4372" spans="1:29" ht="44.5" customHeight="1">
      <c r="A4372" s="147" t="str">
        <f>'Reported burning'!A4372</f>
        <v>486a</v>
      </c>
      <c r="B4372" s="147" t="str">
        <f>'Reported burning'!B4372</f>
        <v>486a.6</v>
      </c>
      <c r="C4372" s="147" t="str">
        <f>'Reported burning'!C4372</f>
        <v>Human, deliberate</v>
      </c>
      <c r="D4372" s="147" t="str">
        <f>'Reported burning'!D4372</f>
        <v>Harvesting of NTFP</v>
      </c>
      <c r="E4372" s="147" t="str">
        <f>'Reported burning'!E4372</f>
        <v>Forestry, Traditional</v>
      </c>
      <c r="F4372" s="147" t="str">
        <f>'Reported burning'!F4372</f>
        <v>Plantation forest</v>
      </c>
      <c r="G4372" s="147" t="str">
        <f>'Reported burning'!G4372</f>
        <v>Plantation forest</v>
      </c>
      <c r="H4372" s="147" t="str">
        <f>'Reported burning'!H4372</f>
        <v>Presence</v>
      </c>
      <c r="I4372" s="198"/>
      <c r="J4372" s="71" t="s">
        <v>2272</v>
      </c>
      <c r="K4372" s="71" t="s">
        <v>2272</v>
      </c>
      <c r="L4372" s="71" t="s">
        <v>2272</v>
      </c>
      <c r="M4372" s="71" t="s">
        <v>2272</v>
      </c>
      <c r="N4372" s="71" t="s">
        <v>2272</v>
      </c>
      <c r="O4372" s="71" t="s">
        <v>2272</v>
      </c>
      <c r="P4372" s="71" t="s">
        <v>2272</v>
      </c>
      <c r="Q4372" s="71" t="s">
        <v>2272</v>
      </c>
      <c r="R4372" s="71" t="s">
        <v>2272</v>
      </c>
      <c r="S4372" s="71" t="s">
        <v>2272</v>
      </c>
      <c r="T4372" s="71" t="s">
        <v>2272</v>
      </c>
      <c r="U4372" s="71" t="s">
        <v>2272</v>
      </c>
      <c r="V4372" s="71" t="s">
        <v>2272</v>
      </c>
      <c r="W4372" s="71" t="s">
        <v>2272</v>
      </c>
      <c r="X4372" s="71" t="s">
        <v>2272</v>
      </c>
      <c r="Y4372" s="198" t="s">
        <v>33</v>
      </c>
      <c r="Z4372" s="198" t="s">
        <v>402</v>
      </c>
      <c r="AA4372" s="71" t="s">
        <v>2272</v>
      </c>
      <c r="AB4372" s="198" t="s">
        <v>11263</v>
      </c>
      <c r="AC4372" s="4" t="s">
        <v>11265</v>
      </c>
    </row>
    <row r="4373" spans="1:29" s="197" customFormat="1" ht="44.5" customHeight="1">
      <c r="A4373" s="147" t="str">
        <f>'Reported burning'!A4373</f>
        <v>486a</v>
      </c>
      <c r="B4373" s="147" t="str">
        <f>'Reported burning'!B4373</f>
        <v>486a.7</v>
      </c>
      <c r="C4373" s="147" t="str">
        <f>'Reported burning'!C4373</f>
        <v>Human, deliberate</v>
      </c>
      <c r="D4373" s="147" t="str">
        <f>'Reported burning'!D4373</f>
        <v>Hunting</v>
      </c>
      <c r="E4373" s="147" t="str">
        <f>'Reported burning'!E4373</f>
        <v>Forestry, Traditional</v>
      </c>
      <c r="F4373" s="147" t="str">
        <f>'Reported burning'!F4373</f>
        <v>Shrubland (Mixed forest &amp; grassland)</v>
      </c>
      <c r="G4373" s="147" t="str">
        <f>'Reported burning'!G4373</f>
        <v>Shrubland (Mixed forest &amp; grassland)</v>
      </c>
      <c r="H4373" s="147" t="str">
        <f>'Reported burning'!H4373</f>
        <v>Presence</v>
      </c>
      <c r="I4373" s="198"/>
      <c r="J4373" s="71" t="s">
        <v>2272</v>
      </c>
      <c r="K4373" s="71" t="s">
        <v>2272</v>
      </c>
      <c r="L4373" s="71" t="s">
        <v>2272</v>
      </c>
      <c r="M4373" s="71" t="s">
        <v>2272</v>
      </c>
      <c r="N4373" s="71" t="s">
        <v>2272</v>
      </c>
      <c r="O4373" s="71" t="s">
        <v>2272</v>
      </c>
      <c r="P4373" s="71" t="s">
        <v>2272</v>
      </c>
      <c r="Q4373" s="71" t="s">
        <v>2272</v>
      </c>
      <c r="R4373" s="71" t="s">
        <v>2272</v>
      </c>
      <c r="S4373" s="71" t="s">
        <v>2272</v>
      </c>
      <c r="T4373" s="71" t="s">
        <v>2272</v>
      </c>
      <c r="U4373" s="71" t="s">
        <v>2272</v>
      </c>
      <c r="V4373" s="71" t="s">
        <v>2272</v>
      </c>
      <c r="W4373" s="71" t="s">
        <v>2272</v>
      </c>
      <c r="X4373" s="71" t="s">
        <v>2272</v>
      </c>
      <c r="Y4373" s="198" t="s">
        <v>397</v>
      </c>
      <c r="Z4373" s="198" t="s">
        <v>125</v>
      </c>
      <c r="AA4373" s="198" t="s">
        <v>2308</v>
      </c>
      <c r="AB4373" s="198"/>
      <c r="AC4373" s="198"/>
    </row>
    <row r="4374" spans="1:29" ht="44.5" customHeight="1">
      <c r="A4374" s="147" t="str">
        <f>'Reported burning'!A4374</f>
        <v>486a</v>
      </c>
      <c r="B4374" s="147" t="str">
        <f>'Reported burning'!B4374</f>
        <v>486a.8</v>
      </c>
      <c r="C4374" s="147" t="str">
        <f>'Reported burning'!C4374</f>
        <v>Human, deliberate</v>
      </c>
      <c r="D4374" s="147" t="str">
        <f>'Reported burning'!D4374</f>
        <v>Harvesting of NTFP</v>
      </c>
      <c r="E4374" s="147" t="str">
        <f>'Reported burning'!E4374</f>
        <v>Forestry, Traditional</v>
      </c>
      <c r="F4374" s="147" t="str">
        <f>'Reported burning'!F4374</f>
        <v>Shrubland (Mixed forest &amp; grassland)</v>
      </c>
      <c r="G4374" s="147" t="str">
        <f>'Reported burning'!G4374</f>
        <v>Shrubland (Mixed forest &amp; grassland)</v>
      </c>
      <c r="H4374" s="147" t="str">
        <f>'Reported burning'!H4374</f>
        <v>Presence</v>
      </c>
      <c r="I4374" s="198"/>
      <c r="J4374" s="71" t="s">
        <v>2272</v>
      </c>
      <c r="K4374" s="71" t="s">
        <v>2272</v>
      </c>
      <c r="L4374" s="71" t="s">
        <v>2272</v>
      </c>
      <c r="M4374" s="71" t="s">
        <v>2272</v>
      </c>
      <c r="N4374" s="71" t="s">
        <v>2272</v>
      </c>
      <c r="O4374" s="71" t="s">
        <v>2272</v>
      </c>
      <c r="P4374" s="71" t="s">
        <v>2272</v>
      </c>
      <c r="Q4374" s="71" t="s">
        <v>2272</v>
      </c>
      <c r="R4374" s="71" t="s">
        <v>2272</v>
      </c>
      <c r="S4374" s="71" t="s">
        <v>2272</v>
      </c>
      <c r="T4374" s="71" t="s">
        <v>2272</v>
      </c>
      <c r="U4374" s="71" t="s">
        <v>2272</v>
      </c>
      <c r="V4374" s="71" t="s">
        <v>2272</v>
      </c>
      <c r="W4374" s="71" t="s">
        <v>2272</v>
      </c>
      <c r="X4374" s="71" t="s">
        <v>2272</v>
      </c>
      <c r="Y4374" s="198" t="s">
        <v>397</v>
      </c>
      <c r="Z4374" s="198" t="s">
        <v>125</v>
      </c>
      <c r="AA4374" s="198" t="s">
        <v>2308</v>
      </c>
      <c r="AB4374" s="198" t="s">
        <v>11264</v>
      </c>
      <c r="AC4374" s="198"/>
    </row>
    <row r="4375" spans="1:29" ht="54.5" customHeight="1">
      <c r="A4375" s="147" t="str">
        <f>'Reported burning'!A4375</f>
        <v>486a</v>
      </c>
      <c r="B4375" s="147" t="str">
        <f>'Reported burning'!B4375</f>
        <v>486a.9</v>
      </c>
      <c r="C4375" s="147" t="str">
        <f>'Reported burning'!C4375</f>
        <v>Human, accidental</v>
      </c>
      <c r="D4375" s="147" t="str">
        <f>'Reported burning'!D4375</f>
        <v>Accidental</v>
      </c>
      <c r="E4375" s="147" t="str">
        <f>'Reported burning'!E4375</f>
        <v>ND</v>
      </c>
      <c r="F4375" s="147" t="str">
        <f>'Reported burning'!F4375</f>
        <v>ND</v>
      </c>
      <c r="G4375" s="147" t="str">
        <f>'Reported burning'!G4375</f>
        <v>Shrubland (Mixed forest &amp; grassland)</v>
      </c>
      <c r="H4375" s="147" t="str">
        <f>'Reported burning'!H4375</f>
        <v>Presence</v>
      </c>
      <c r="J4375" s="71" t="s">
        <v>2272</v>
      </c>
      <c r="K4375" s="71" t="s">
        <v>2272</v>
      </c>
      <c r="L4375" s="71" t="s">
        <v>2272</v>
      </c>
      <c r="M4375" s="71" t="s">
        <v>2272</v>
      </c>
      <c r="N4375" s="71" t="s">
        <v>2272</v>
      </c>
      <c r="O4375" s="71" t="s">
        <v>2272</v>
      </c>
      <c r="P4375" s="71" t="s">
        <v>2272</v>
      </c>
      <c r="Q4375" s="71" t="s">
        <v>2272</v>
      </c>
      <c r="R4375" s="71" t="s">
        <v>2272</v>
      </c>
      <c r="S4375" s="71" t="s">
        <v>2272</v>
      </c>
      <c r="T4375" s="71" t="s">
        <v>2272</v>
      </c>
      <c r="U4375" s="71" t="s">
        <v>2272</v>
      </c>
      <c r="V4375" s="71" t="s">
        <v>2272</v>
      </c>
      <c r="W4375" s="71" t="s">
        <v>2272</v>
      </c>
      <c r="X4375" s="71" t="s">
        <v>2272</v>
      </c>
      <c r="Y4375" s="71" t="s">
        <v>2272</v>
      </c>
      <c r="Z4375" s="71" t="s">
        <v>2272</v>
      </c>
      <c r="AA4375" s="71" t="s">
        <v>2272</v>
      </c>
      <c r="AB4375" s="198"/>
      <c r="AC4375" s="198"/>
    </row>
    <row r="4376" spans="1:29" ht="54.5" customHeight="1">
      <c r="A4376" s="147" t="str">
        <f>'Reported burning'!A4376</f>
        <v>486a</v>
      </c>
      <c r="B4376" s="147" t="str">
        <f>'Reported burning'!B4376</f>
        <v>486a.10</v>
      </c>
      <c r="C4376" s="147" t="str">
        <f>'Reported burning'!C4376</f>
        <v>Human, deliberate</v>
      </c>
      <c r="D4376" s="147" t="str">
        <f>'Reported burning'!D4376</f>
        <v>Arson</v>
      </c>
      <c r="E4376" s="147" t="str">
        <f>'Reported burning'!E4376</f>
        <v>ND</v>
      </c>
      <c r="F4376" s="147" t="str">
        <f>'Reported burning'!F4376</f>
        <v>ND</v>
      </c>
      <c r="G4376" s="147" t="str">
        <f>'Reported burning'!G4376</f>
        <v>Shrubland (Mixed forest &amp; grassland)</v>
      </c>
      <c r="H4376" s="147" t="str">
        <f>'Reported burning'!H4376</f>
        <v>Presence</v>
      </c>
      <c r="J4376" s="71" t="s">
        <v>2272</v>
      </c>
      <c r="K4376" s="71" t="s">
        <v>2272</v>
      </c>
      <c r="L4376" s="71" t="s">
        <v>2272</v>
      </c>
      <c r="M4376" s="71" t="s">
        <v>2272</v>
      </c>
      <c r="N4376" s="71" t="s">
        <v>2272</v>
      </c>
      <c r="O4376" s="71" t="s">
        <v>2272</v>
      </c>
      <c r="P4376" s="71" t="s">
        <v>2272</v>
      </c>
      <c r="Q4376" s="71" t="s">
        <v>2272</v>
      </c>
      <c r="R4376" s="71" t="s">
        <v>2272</v>
      </c>
      <c r="S4376" s="71" t="s">
        <v>2272</v>
      </c>
      <c r="T4376" s="71" t="s">
        <v>2272</v>
      </c>
      <c r="U4376" s="71" t="s">
        <v>2272</v>
      </c>
      <c r="V4376" s="71" t="s">
        <v>2272</v>
      </c>
      <c r="W4376" s="71" t="s">
        <v>2272</v>
      </c>
      <c r="X4376" s="71" t="s">
        <v>2272</v>
      </c>
      <c r="Y4376" s="71" t="s">
        <v>2272</v>
      </c>
      <c r="Z4376" s="71" t="s">
        <v>2272</v>
      </c>
      <c r="AA4376" s="71" t="s">
        <v>2272</v>
      </c>
      <c r="AB4376" s="198"/>
      <c r="AC4376" s="198"/>
    </row>
    <row r="4377" spans="1:29" ht="54.5" customHeight="1">
      <c r="A4377" s="147" t="str">
        <f>'Reported burning'!A4377</f>
        <v>486a</v>
      </c>
      <c r="B4377" s="147" t="str">
        <f>'Reported burning'!B4377</f>
        <v>486a.11</v>
      </c>
      <c r="C4377" s="147" t="str">
        <f>'Reported burning'!C4377</f>
        <v>Human, deliberate</v>
      </c>
      <c r="D4377" s="147" t="str">
        <f>'Reported burning'!D4377</f>
        <v>Pest management</v>
      </c>
      <c r="E4377" s="147" t="str">
        <f>'Reported burning'!E4377</f>
        <v>ND</v>
      </c>
      <c r="F4377" s="147" t="str">
        <f>'Reported burning'!F4377</f>
        <v>ND</v>
      </c>
      <c r="G4377" s="147" t="str">
        <f>'Reported burning'!G4377</f>
        <v>Shrubland (Mixed forest &amp; grassland)</v>
      </c>
      <c r="H4377" s="147" t="str">
        <f>'Reported burning'!H4377</f>
        <v>Presence</v>
      </c>
      <c r="J4377" s="71" t="s">
        <v>2272</v>
      </c>
      <c r="K4377" s="71" t="s">
        <v>2272</v>
      </c>
      <c r="L4377" s="71" t="s">
        <v>2272</v>
      </c>
      <c r="M4377" s="71" t="s">
        <v>2272</v>
      </c>
      <c r="N4377" s="71" t="s">
        <v>2272</v>
      </c>
      <c r="O4377" s="71" t="s">
        <v>2272</v>
      </c>
      <c r="P4377" s="71" t="s">
        <v>2272</v>
      </c>
      <c r="Q4377" s="71" t="s">
        <v>2272</v>
      </c>
      <c r="R4377" s="71" t="s">
        <v>2272</v>
      </c>
      <c r="S4377" s="71" t="s">
        <v>2272</v>
      </c>
      <c r="T4377" s="71" t="s">
        <v>2272</v>
      </c>
      <c r="U4377" s="71" t="s">
        <v>2272</v>
      </c>
      <c r="V4377" s="71" t="s">
        <v>2272</v>
      </c>
      <c r="W4377" s="71" t="s">
        <v>2272</v>
      </c>
      <c r="X4377" s="71" t="s">
        <v>2272</v>
      </c>
      <c r="Y4377" s="71" t="s">
        <v>2272</v>
      </c>
      <c r="Z4377" s="71" t="s">
        <v>2272</v>
      </c>
      <c r="AA4377" s="71" t="s">
        <v>2272</v>
      </c>
      <c r="AB4377" s="4" t="s">
        <v>11271</v>
      </c>
      <c r="AC4377" s="198"/>
    </row>
    <row r="4378" spans="1:29" ht="54.5" customHeight="1">
      <c r="A4378" s="147" t="str">
        <f>'Reported burning'!A4378</f>
        <v>486a</v>
      </c>
      <c r="B4378" s="147" t="str">
        <f>'Reported burning'!B4378</f>
        <v>486a.12</v>
      </c>
      <c r="C4378" s="147" t="str">
        <f>'Reported burning'!C4378</f>
        <v>Human, deliberate</v>
      </c>
      <c r="D4378" s="147" t="str">
        <f>'Reported burning'!D4378</f>
        <v>Charcoal production</v>
      </c>
      <c r="E4378" s="147" t="str">
        <f>'Reported burning'!E4378</f>
        <v>Forestry, Small-scale</v>
      </c>
      <c r="F4378" s="147" t="str">
        <f>'Reported burning'!F4378</f>
        <v>ND</v>
      </c>
      <c r="G4378" s="147" t="str">
        <f>'Reported burning'!G4378</f>
        <v>Shrubland (Mixed forest &amp; grassland)</v>
      </c>
      <c r="H4378" s="147" t="str">
        <f>'Reported burning'!H4378</f>
        <v>Presence</v>
      </c>
      <c r="J4378" s="71" t="s">
        <v>2272</v>
      </c>
      <c r="K4378" s="71" t="s">
        <v>2272</v>
      </c>
      <c r="L4378" s="71" t="s">
        <v>2272</v>
      </c>
      <c r="M4378" s="71" t="s">
        <v>2272</v>
      </c>
      <c r="N4378" s="71" t="s">
        <v>2272</v>
      </c>
      <c r="O4378" s="71" t="s">
        <v>2272</v>
      </c>
      <c r="P4378" s="71" t="s">
        <v>2272</v>
      </c>
      <c r="Q4378" s="71" t="s">
        <v>2272</v>
      </c>
      <c r="R4378" s="71" t="s">
        <v>2272</v>
      </c>
      <c r="S4378" s="71" t="s">
        <v>2272</v>
      </c>
      <c r="T4378" s="71" t="s">
        <v>2272</v>
      </c>
      <c r="U4378" s="71" t="s">
        <v>2272</v>
      </c>
      <c r="V4378" s="71" t="s">
        <v>2272</v>
      </c>
      <c r="W4378" s="71" t="s">
        <v>2272</v>
      </c>
      <c r="X4378" s="71" t="s">
        <v>2272</v>
      </c>
      <c r="Y4378" s="71" t="s">
        <v>2272</v>
      </c>
      <c r="Z4378" s="71" t="s">
        <v>2272</v>
      </c>
      <c r="AA4378" s="71" t="s">
        <v>2272</v>
      </c>
      <c r="AB4378" s="198"/>
      <c r="AC4378" s="198"/>
    </row>
    <row r="4379" spans="1:29" ht="54.5" customHeight="1">
      <c r="A4379" s="217" t="str">
        <f>'Reported burning'!A4379</f>
        <v>487a</v>
      </c>
      <c r="B4379" s="217" t="str">
        <f>'Reported burning'!B4379</f>
        <v>487a.1</v>
      </c>
      <c r="C4379" s="217" t="str">
        <f>'Reported burning'!C4379</f>
        <v>Human, deliberate</v>
      </c>
      <c r="D4379" s="217" t="str">
        <f>'Reported burning'!D4379</f>
        <v>Conservation</v>
      </c>
      <c r="E4379" s="217" t="str">
        <f>'Reported burning'!E4379</f>
        <v>Biodiversity conservation</v>
      </c>
      <c r="F4379" s="217" t="str">
        <f>'Reported burning'!F4379</f>
        <v>Shrubland (Mixed forest &amp; grassland)</v>
      </c>
      <c r="G4379" s="217" t="str">
        <f>'Reported burning'!G4379</f>
        <v>Shrubland (Mixed forest &amp; grassland)</v>
      </c>
      <c r="H4379" s="217" t="str">
        <f>'Reported burning'!H4379</f>
        <v>Presence</v>
      </c>
      <c r="I4379" s="35"/>
      <c r="J4379" s="198" t="s">
        <v>2272</v>
      </c>
      <c r="K4379" s="198" t="s">
        <v>2272</v>
      </c>
      <c r="L4379" s="198" t="s">
        <v>2272</v>
      </c>
      <c r="M4379" s="198" t="s">
        <v>2272</v>
      </c>
      <c r="N4379" s="198" t="s">
        <v>2272</v>
      </c>
      <c r="O4379" s="198" t="s">
        <v>2272</v>
      </c>
      <c r="P4379" s="198" t="s">
        <v>2272</v>
      </c>
      <c r="Q4379" s="198" t="s">
        <v>2272</v>
      </c>
      <c r="R4379" s="198" t="s">
        <v>2272</v>
      </c>
      <c r="S4379" s="198" t="s">
        <v>2272</v>
      </c>
      <c r="T4379" s="198" t="s">
        <v>2272</v>
      </c>
      <c r="U4379" s="198" t="s">
        <v>2272</v>
      </c>
      <c r="V4379" s="198" t="s">
        <v>2272</v>
      </c>
      <c r="W4379" s="198" t="s">
        <v>2272</v>
      </c>
      <c r="X4379" s="198" t="s">
        <v>2272</v>
      </c>
      <c r="Y4379" s="198" t="s">
        <v>2272</v>
      </c>
      <c r="Z4379" s="198" t="s">
        <v>2272</v>
      </c>
      <c r="AA4379" s="198" t="s">
        <v>2272</v>
      </c>
      <c r="AB4379" s="35"/>
      <c r="AC4379" s="35"/>
    </row>
    <row r="4380" spans="1:29" ht="54.5" customHeight="1">
      <c r="A4380" s="217" t="str">
        <f>'Reported burning'!A4380</f>
        <v>487b</v>
      </c>
      <c r="B4380" s="217" t="str">
        <f>'Reported burning'!B4380</f>
        <v>487b.1</v>
      </c>
      <c r="C4380" s="217" t="str">
        <f>'Reported burning'!C4380</f>
        <v>Human, deliberate</v>
      </c>
      <c r="D4380" s="217" t="str">
        <f>'Reported burning'!D4380</f>
        <v>Hunting</v>
      </c>
      <c r="E4380" s="217" t="str">
        <f>'Reported burning'!E4380</f>
        <v>Tourism manager</v>
      </c>
      <c r="F4380" s="217" t="str">
        <f>'Reported burning'!F4380</f>
        <v>Shrubland (Mixed forest &amp; grassland)</v>
      </c>
      <c r="G4380" s="217" t="str">
        <f>'Reported burning'!G4380</f>
        <v>Shrubland (Mixed forest &amp; grassland)</v>
      </c>
      <c r="H4380" s="217" t="str">
        <f>'Reported burning'!H4380</f>
        <v>Presence</v>
      </c>
      <c r="I4380" s="35"/>
      <c r="J4380" s="198" t="s">
        <v>2272</v>
      </c>
      <c r="K4380" s="198" t="s">
        <v>2272</v>
      </c>
      <c r="L4380" s="198" t="s">
        <v>2272</v>
      </c>
      <c r="M4380" s="198" t="s">
        <v>2272</v>
      </c>
      <c r="N4380" s="198" t="s">
        <v>2272</v>
      </c>
      <c r="O4380" s="198" t="s">
        <v>2272</v>
      </c>
      <c r="P4380" s="198" t="s">
        <v>2272</v>
      </c>
      <c r="Q4380" s="198" t="s">
        <v>2272</v>
      </c>
      <c r="R4380" s="198" t="s">
        <v>2272</v>
      </c>
      <c r="S4380" s="198" t="s">
        <v>2272</v>
      </c>
      <c r="T4380" s="198" t="s">
        <v>2272</v>
      </c>
      <c r="U4380" s="198" t="s">
        <v>2272</v>
      </c>
      <c r="V4380" s="198" t="s">
        <v>2272</v>
      </c>
      <c r="W4380" s="198" t="s">
        <v>2272</v>
      </c>
      <c r="X4380" s="198" t="s">
        <v>2272</v>
      </c>
      <c r="Y4380" s="198" t="s">
        <v>2272</v>
      </c>
      <c r="Z4380" s="198" t="s">
        <v>2272</v>
      </c>
      <c r="AA4380" s="198" t="s">
        <v>2272</v>
      </c>
      <c r="AB4380" s="35"/>
      <c r="AC4380" s="35"/>
    </row>
    <row r="4381" spans="1:29" ht="54.5" customHeight="1">
      <c r="A4381" s="217" t="str">
        <f>'Reported burning'!A4381</f>
        <v>487b</v>
      </c>
      <c r="B4381" s="217" t="str">
        <f>'Reported burning'!B4381</f>
        <v>487b.2</v>
      </c>
      <c r="C4381" s="217" t="str">
        <f>'Reported burning'!C4381</f>
        <v>Human, deliberate</v>
      </c>
      <c r="D4381" s="217" t="str">
        <f>'Reported burning'!D4381</f>
        <v>All</v>
      </c>
      <c r="E4381" s="217" t="str">
        <f>'Reported burning'!E4381</f>
        <v>Biodiversity conservation</v>
      </c>
      <c r="F4381" s="217" t="str">
        <f>'Reported burning'!F4381</f>
        <v>Forest</v>
      </c>
      <c r="G4381" s="217" t="str">
        <f>'Reported burning'!G4381</f>
        <v>Forest</v>
      </c>
      <c r="H4381" s="217" t="str">
        <f>'Reported burning'!H4381</f>
        <v>Absence</v>
      </c>
      <c r="I4381" s="35"/>
      <c r="J4381" s="21">
        <v>0</v>
      </c>
      <c r="K4381" s="21">
        <v>0</v>
      </c>
      <c r="L4381" s="21">
        <v>0</v>
      </c>
      <c r="M4381" s="21">
        <v>0</v>
      </c>
      <c r="N4381" s="21">
        <v>0</v>
      </c>
      <c r="O4381" s="21">
        <v>0</v>
      </c>
      <c r="P4381" s="21">
        <v>0</v>
      </c>
      <c r="Q4381" s="21">
        <v>0</v>
      </c>
      <c r="R4381" s="21">
        <v>0</v>
      </c>
      <c r="S4381" s="21">
        <v>0</v>
      </c>
      <c r="T4381" s="21">
        <v>0</v>
      </c>
      <c r="U4381" s="21">
        <v>0</v>
      </c>
      <c r="V4381" s="21">
        <v>0</v>
      </c>
      <c r="W4381" s="21">
        <v>0</v>
      </c>
      <c r="X4381" s="21" t="s">
        <v>2272</v>
      </c>
      <c r="Y4381" s="198" t="s">
        <v>2272</v>
      </c>
      <c r="Z4381" s="198" t="s">
        <v>2272</v>
      </c>
      <c r="AA4381" s="198" t="s">
        <v>2272</v>
      </c>
      <c r="AB4381" s="35"/>
      <c r="AC4381" s="35"/>
    </row>
    <row r="4382" spans="1:29" ht="54.5" customHeight="1">
      <c r="A4382" s="217" t="str">
        <f>'Reported burning'!A4382</f>
        <v>488a</v>
      </c>
      <c r="B4382" s="217" t="str">
        <f>'Reported burning'!B4382</f>
        <v>488a.1</v>
      </c>
      <c r="C4382" s="217" t="str">
        <f>'Reported burning'!C4382</f>
        <v>Human, deliberate</v>
      </c>
      <c r="D4382" s="217" t="str">
        <f>'Reported burning'!D4382</f>
        <v>Conservation</v>
      </c>
      <c r="E4382" s="217" t="str">
        <f>'Reported burning'!E4382</f>
        <v>Biodiversity conservation</v>
      </c>
      <c r="F4382" s="217" t="str">
        <f>'Reported burning'!F4382</f>
        <v>Shrubland (Mixed forest &amp; grassland)</v>
      </c>
      <c r="G4382" s="217" t="str">
        <f>'Reported burning'!G4382</f>
        <v>Shrubland (Mixed forest &amp; grassland)</v>
      </c>
      <c r="H4382" s="217" t="str">
        <f>'Reported burning'!H4382</f>
        <v>Absence</v>
      </c>
      <c r="I4382" s="98" t="s">
        <v>9965</v>
      </c>
      <c r="J4382" s="21">
        <v>0</v>
      </c>
      <c r="K4382" s="21">
        <v>0</v>
      </c>
      <c r="L4382" s="21">
        <v>0</v>
      </c>
      <c r="M4382" s="21">
        <v>0</v>
      </c>
      <c r="N4382" s="21">
        <v>0</v>
      </c>
      <c r="O4382" s="21">
        <v>0</v>
      </c>
      <c r="P4382" s="21">
        <v>0</v>
      </c>
      <c r="Q4382" s="21">
        <v>0</v>
      </c>
      <c r="R4382" s="21">
        <v>0</v>
      </c>
      <c r="S4382" s="21">
        <v>0</v>
      </c>
      <c r="T4382" s="21">
        <v>0</v>
      </c>
      <c r="U4382" s="21">
        <v>0</v>
      </c>
      <c r="V4382" s="21">
        <v>0</v>
      </c>
      <c r="W4382" s="21">
        <v>0</v>
      </c>
      <c r="X4382" s="21" t="s">
        <v>2272</v>
      </c>
      <c r="Y4382" s="198" t="s">
        <v>2272</v>
      </c>
      <c r="Z4382" s="198" t="s">
        <v>2272</v>
      </c>
      <c r="AA4382" s="198" t="s">
        <v>2272</v>
      </c>
      <c r="AB4382" s="35"/>
      <c r="AC4382" s="35"/>
    </row>
    <row r="4383" spans="1:29" ht="54.5" customHeight="1">
      <c r="A4383" s="217" t="str">
        <f>'Reported burning'!A4383</f>
        <v>488a</v>
      </c>
      <c r="B4383" s="217" t="str">
        <f>'Reported burning'!B4383</f>
        <v>488a.2</v>
      </c>
      <c r="C4383" s="217" t="str">
        <f>'Reported burning'!C4383</f>
        <v>Human, deliberate</v>
      </c>
      <c r="D4383" s="217" t="str">
        <f>'Reported burning'!D4383</f>
        <v>Conservation</v>
      </c>
      <c r="E4383" s="217" t="str">
        <f>'Reported burning'!E4383</f>
        <v>Biodiversity conservation</v>
      </c>
      <c r="F4383" s="217" t="str">
        <f>'Reported burning'!F4383</f>
        <v>Shrubland (Mixed forest &amp; grassland)</v>
      </c>
      <c r="G4383" s="217" t="str">
        <f>'Reported burning'!G4383</f>
        <v>Shrubland (Mixed forest &amp; grassland)</v>
      </c>
      <c r="H4383" s="217" t="str">
        <f>'Reported burning'!H4383</f>
        <v>Presence</v>
      </c>
      <c r="I4383" s="98" t="s">
        <v>9966</v>
      </c>
      <c r="J4383" s="198" t="s">
        <v>2272</v>
      </c>
      <c r="K4383" s="198" t="s">
        <v>2272</v>
      </c>
      <c r="L4383" s="198" t="s">
        <v>2272</v>
      </c>
      <c r="M4383" s="198" t="s">
        <v>2272</v>
      </c>
      <c r="N4383" s="198" t="s">
        <v>2272</v>
      </c>
      <c r="O4383" s="198" t="s">
        <v>2272</v>
      </c>
      <c r="P4383" s="198" t="s">
        <v>2272</v>
      </c>
      <c r="Q4383" s="198" t="s">
        <v>2272</v>
      </c>
      <c r="R4383" s="198" t="s">
        <v>2272</v>
      </c>
      <c r="S4383" s="198" t="s">
        <v>2272</v>
      </c>
      <c r="T4383" s="198" t="s">
        <v>2272</v>
      </c>
      <c r="U4383" s="198" t="s">
        <v>2272</v>
      </c>
      <c r="V4383" s="198" t="s">
        <v>2272</v>
      </c>
      <c r="W4383" s="198" t="s">
        <v>2272</v>
      </c>
      <c r="X4383" s="198" t="s">
        <v>2272</v>
      </c>
      <c r="Y4383" s="198" t="s">
        <v>2272</v>
      </c>
      <c r="Z4383" s="198" t="s">
        <v>2272</v>
      </c>
      <c r="AA4383" s="198" t="s">
        <v>2272</v>
      </c>
      <c r="AB4383" s="35"/>
      <c r="AC4383" s="35"/>
    </row>
    <row r="4384" spans="1:29" ht="54.5" customHeight="1">
      <c r="A4384" s="217" t="str">
        <f>'Reported burning'!A4384</f>
        <v>488b</v>
      </c>
      <c r="B4384" s="217" t="str">
        <f>'Reported burning'!B4384</f>
        <v>488b.1</v>
      </c>
      <c r="C4384" s="217" t="str">
        <f>'Reported burning'!C4384</f>
        <v>Human, deliberate</v>
      </c>
      <c r="D4384" s="217" t="str">
        <f>'Reported burning'!D4384</f>
        <v>Crop residue burning</v>
      </c>
      <c r="E4384" s="217" t="str">
        <f>'Reported burning'!E4384</f>
        <v>Cropping, Intensive</v>
      </c>
      <c r="F4384" s="217" t="str">
        <f>'Reported burning'!F4384</f>
        <v>Cropland</v>
      </c>
      <c r="G4384" s="217" t="str">
        <f>'Reported burning'!G4384</f>
        <v>Cropland</v>
      </c>
      <c r="H4384" s="217" t="str">
        <f>'Reported burning'!H4384</f>
        <v>Presence</v>
      </c>
      <c r="I4384" s="98" t="s">
        <v>9969</v>
      </c>
      <c r="J4384" s="198" t="s">
        <v>2272</v>
      </c>
      <c r="K4384" s="198" t="s">
        <v>2272</v>
      </c>
      <c r="L4384" s="198" t="s">
        <v>2272</v>
      </c>
      <c r="M4384" s="198" t="s">
        <v>2272</v>
      </c>
      <c r="N4384" s="198" t="s">
        <v>2272</v>
      </c>
      <c r="O4384" s="198" t="s">
        <v>2272</v>
      </c>
      <c r="P4384" s="198" t="s">
        <v>2272</v>
      </c>
      <c r="Q4384" s="198" t="s">
        <v>2272</v>
      </c>
      <c r="R4384" s="198" t="s">
        <v>2272</v>
      </c>
      <c r="S4384" s="198" t="s">
        <v>2272</v>
      </c>
      <c r="T4384" s="198" t="s">
        <v>2272</v>
      </c>
      <c r="U4384" s="198" t="s">
        <v>2272</v>
      </c>
      <c r="V4384" s="198" t="s">
        <v>2272</v>
      </c>
      <c r="W4384" s="198" t="s">
        <v>2272</v>
      </c>
      <c r="X4384" s="198" t="s">
        <v>2272</v>
      </c>
      <c r="Y4384" s="198" t="s">
        <v>2272</v>
      </c>
      <c r="Z4384" s="198" t="s">
        <v>2272</v>
      </c>
      <c r="AA4384" s="198" t="s">
        <v>2272</v>
      </c>
      <c r="AB4384" s="35"/>
      <c r="AC4384" s="35"/>
    </row>
    <row r="4385" spans="1:29" ht="44.5" customHeight="1">
      <c r="A4385" s="217" t="str">
        <f>'Reported burning'!A4385</f>
        <v>488b</v>
      </c>
      <c r="B4385" s="217" t="str">
        <f>'Reported burning'!B4385</f>
        <v>488b.2</v>
      </c>
      <c r="C4385" s="217" t="str">
        <f>'Reported burning'!C4385</f>
        <v>Human, deliberate</v>
      </c>
      <c r="D4385" s="217" t="str">
        <f>'Reported burning'!D4385</f>
        <v>Harvesting of Timber</v>
      </c>
      <c r="E4385" s="217" t="str">
        <f>'Reported burning'!E4385</f>
        <v>Forestry, Industrial</v>
      </c>
      <c r="F4385" s="217" t="str">
        <f>'Reported burning'!F4385</f>
        <v>Forest</v>
      </c>
      <c r="G4385" s="217" t="str">
        <f>'Reported burning'!G4385</f>
        <v>Forest</v>
      </c>
      <c r="H4385" s="217" t="str">
        <f>'Reported burning'!H4385</f>
        <v>Presence</v>
      </c>
      <c r="I4385" s="98" t="s">
        <v>9969</v>
      </c>
      <c r="J4385" s="198" t="s">
        <v>2272</v>
      </c>
      <c r="K4385" s="198" t="s">
        <v>2272</v>
      </c>
      <c r="L4385" s="198" t="s">
        <v>2272</v>
      </c>
      <c r="M4385" s="198" t="s">
        <v>2272</v>
      </c>
      <c r="N4385" s="198" t="s">
        <v>2272</v>
      </c>
      <c r="O4385" s="198" t="s">
        <v>2272</v>
      </c>
      <c r="P4385" s="198" t="s">
        <v>2272</v>
      </c>
      <c r="Q4385" s="198" t="s">
        <v>2272</v>
      </c>
      <c r="R4385" s="198" t="s">
        <v>2272</v>
      </c>
      <c r="S4385" s="198" t="s">
        <v>2272</v>
      </c>
      <c r="T4385" s="198" t="s">
        <v>2272</v>
      </c>
      <c r="U4385" s="198" t="s">
        <v>2272</v>
      </c>
      <c r="V4385" s="198" t="s">
        <v>2272</v>
      </c>
      <c r="W4385" s="198" t="s">
        <v>2272</v>
      </c>
      <c r="X4385" s="198" t="s">
        <v>2272</v>
      </c>
      <c r="Y4385" s="198" t="s">
        <v>2272</v>
      </c>
      <c r="Z4385" s="198" t="s">
        <v>2272</v>
      </c>
      <c r="AA4385" s="198" t="s">
        <v>2272</v>
      </c>
      <c r="AB4385" s="35"/>
      <c r="AC4385" s="35"/>
    </row>
    <row r="4386" spans="1:29" ht="44.5" customHeight="1">
      <c r="A4386" s="217" t="str">
        <f>'Reported burning'!A4386</f>
        <v>488b</v>
      </c>
      <c r="B4386" s="217" t="str">
        <f>'Reported burning'!B4386</f>
        <v>488b.3</v>
      </c>
      <c r="C4386" s="217" t="str">
        <f>'Reported burning'!C4386</f>
        <v>Human, deliberate</v>
      </c>
      <c r="D4386" s="217" t="str">
        <f>'Reported burning'!D4386</f>
        <v>Crop residue burning</v>
      </c>
      <c r="E4386" s="217" t="str">
        <f>'Reported burning'!E4386</f>
        <v>Cropping, Intensive</v>
      </c>
      <c r="F4386" s="217" t="str">
        <f>'Reported burning'!F4386</f>
        <v>Cropland</v>
      </c>
      <c r="G4386" s="217" t="str">
        <f>'Reported burning'!G4386</f>
        <v>Cropland</v>
      </c>
      <c r="H4386" s="217" t="str">
        <f>'Reported burning'!H4386</f>
        <v>Absence</v>
      </c>
      <c r="I4386" s="98" t="s">
        <v>9970</v>
      </c>
      <c r="J4386" s="21">
        <v>0</v>
      </c>
      <c r="K4386" s="21">
        <v>0</v>
      </c>
      <c r="L4386" s="21">
        <v>0</v>
      </c>
      <c r="M4386" s="21">
        <v>0</v>
      </c>
      <c r="N4386" s="21">
        <v>0</v>
      </c>
      <c r="O4386" s="21">
        <v>0</v>
      </c>
      <c r="P4386" s="21">
        <v>0</v>
      </c>
      <c r="Q4386" s="21">
        <v>0</v>
      </c>
      <c r="R4386" s="21">
        <v>0</v>
      </c>
      <c r="S4386" s="21">
        <v>0</v>
      </c>
      <c r="T4386" s="21">
        <v>0</v>
      </c>
      <c r="U4386" s="21">
        <v>0</v>
      </c>
      <c r="V4386" s="21">
        <v>0</v>
      </c>
      <c r="W4386" s="21">
        <v>0</v>
      </c>
      <c r="X4386" s="21" t="s">
        <v>2272</v>
      </c>
      <c r="Y4386" s="198" t="s">
        <v>2272</v>
      </c>
      <c r="Z4386" s="198" t="s">
        <v>2272</v>
      </c>
      <c r="AA4386" s="198" t="s">
        <v>2272</v>
      </c>
      <c r="AB4386" s="35"/>
      <c r="AC4386" s="35"/>
    </row>
    <row r="4387" spans="1:29" ht="44.5" customHeight="1">
      <c r="A4387" s="147" t="str">
        <f>'Reported burning'!A4387</f>
        <v>488b</v>
      </c>
      <c r="B4387" s="147" t="str">
        <f>'Reported burning'!B4387</f>
        <v>488b.4</v>
      </c>
      <c r="C4387" s="147" t="str">
        <f>'Reported burning'!C4387</f>
        <v>Human, deliberate</v>
      </c>
      <c r="D4387" s="147" t="str">
        <f>'Reported burning'!D4387</f>
        <v>Harvesting of Timber</v>
      </c>
      <c r="E4387" s="147" t="str">
        <f>'Reported burning'!E4387</f>
        <v>Forestry, Industrial</v>
      </c>
      <c r="F4387" s="147" t="str">
        <f>'Reported burning'!F4387</f>
        <v>Forest</v>
      </c>
      <c r="G4387" s="147" t="str">
        <f>'Reported burning'!G4387</f>
        <v>Forest</v>
      </c>
      <c r="H4387" s="147" t="str">
        <f>'Reported burning'!H4387</f>
        <v>Absence</v>
      </c>
      <c r="I4387" s="98" t="s">
        <v>9970</v>
      </c>
      <c r="J4387" s="21">
        <v>0</v>
      </c>
      <c r="K4387" s="21">
        <v>0</v>
      </c>
      <c r="L4387" s="21">
        <v>0</v>
      </c>
      <c r="M4387" s="21">
        <v>0</v>
      </c>
      <c r="N4387" s="21">
        <v>0</v>
      </c>
      <c r="O4387" s="21">
        <v>0</v>
      </c>
      <c r="P4387" s="21">
        <v>0</v>
      </c>
      <c r="Q4387" s="21">
        <v>0</v>
      </c>
      <c r="R4387" s="21">
        <v>0</v>
      </c>
      <c r="S4387" s="21">
        <v>0</v>
      </c>
      <c r="T4387" s="21">
        <v>0</v>
      </c>
      <c r="U4387" s="21">
        <v>0</v>
      </c>
      <c r="V4387" s="21">
        <v>0</v>
      </c>
      <c r="W4387" s="21">
        <v>0</v>
      </c>
      <c r="X4387" s="21" t="s">
        <v>2272</v>
      </c>
      <c r="Y4387" s="198" t="s">
        <v>2272</v>
      </c>
      <c r="Z4387" s="198" t="s">
        <v>2272</v>
      </c>
      <c r="AA4387" s="198" t="s">
        <v>2272</v>
      </c>
      <c r="AB4387" s="198"/>
      <c r="AC4387" s="198"/>
    </row>
    <row r="4388" spans="1:29" ht="39" customHeight="1">
      <c r="A4388" s="147" t="str">
        <f>'Reported burning'!A4388</f>
        <v>489a</v>
      </c>
      <c r="B4388" s="147" t="str">
        <f>'Reported burning'!B4388</f>
        <v>489a.1</v>
      </c>
      <c r="C4388" s="147" t="str">
        <f>'Reported burning'!C4388</f>
        <v>Lightning</v>
      </c>
      <c r="D4388" s="147" t="str">
        <f>'Reported burning'!D4388</f>
        <v>ND</v>
      </c>
      <c r="E4388" s="147" t="str">
        <f>'Reported burning'!E4388</f>
        <v>ND</v>
      </c>
      <c r="F4388" s="147" t="str">
        <f>'Reported burning'!F4388</f>
        <v>ND</v>
      </c>
      <c r="G4388" s="147" t="str">
        <f>'Reported burning'!G4388</f>
        <v>Shrubland (Mixed forest &amp; grassland)</v>
      </c>
      <c r="H4388" s="147" t="str">
        <f>'Reported burning'!H4388</f>
        <v>Presence</v>
      </c>
      <c r="I4388" s="198"/>
      <c r="J4388" s="198" t="s">
        <v>2272</v>
      </c>
      <c r="K4388" s="198" t="s">
        <v>2272</v>
      </c>
      <c r="L4388" s="198" t="s">
        <v>2272</v>
      </c>
      <c r="M4388" s="198" t="s">
        <v>2272</v>
      </c>
      <c r="N4388" s="198" t="s">
        <v>2272</v>
      </c>
      <c r="O4388" s="198" t="s">
        <v>2272</v>
      </c>
      <c r="P4388" s="198" t="s">
        <v>2272</v>
      </c>
      <c r="Q4388" s="198" t="s">
        <v>2272</v>
      </c>
      <c r="R4388" s="198" t="s">
        <v>2272</v>
      </c>
      <c r="S4388" s="198" t="s">
        <v>2272</v>
      </c>
      <c r="T4388" s="198" t="s">
        <v>2272</v>
      </c>
      <c r="U4388" s="198" t="s">
        <v>2272</v>
      </c>
      <c r="V4388" s="198" t="s">
        <v>2272</v>
      </c>
      <c r="W4388" s="198" t="s">
        <v>2272</v>
      </c>
      <c r="X4388" s="198" t="s">
        <v>2272</v>
      </c>
      <c r="Y4388" s="198" t="s">
        <v>67</v>
      </c>
      <c r="Z4388" s="198" t="s">
        <v>34</v>
      </c>
      <c r="AA4388" s="198" t="s">
        <v>2272</v>
      </c>
      <c r="AB4388" s="198"/>
      <c r="AC4388" s="198"/>
    </row>
    <row r="4389" spans="1:29" ht="52" customHeight="1">
      <c r="A4389" s="147" t="str">
        <f>'Reported burning'!A4389</f>
        <v>489a</v>
      </c>
      <c r="B4389" s="147" t="str">
        <f>'Reported burning'!B4389</f>
        <v>489a.2</v>
      </c>
      <c r="C4389" s="147" t="str">
        <f>'Reported burning'!C4389</f>
        <v>Human, deliberate</v>
      </c>
      <c r="D4389" s="147" t="str">
        <f>'Reported burning'!D4389</f>
        <v>Pyrome management</v>
      </c>
      <c r="E4389" s="147" t="str">
        <f>'Reported burning'!E4389</f>
        <v>Forestry, Traditional</v>
      </c>
      <c r="F4389" s="147" t="str">
        <f>'Reported burning'!F4389</f>
        <v>Shrubland (Mixed forest &amp; grassland)</v>
      </c>
      <c r="G4389" s="147" t="str">
        <f>'Reported burning'!G4389</f>
        <v>Shrubland (Mixed forest &amp; grassland)</v>
      </c>
      <c r="H4389" s="147" t="str">
        <f>'Reported burning'!H4389</f>
        <v>Presence</v>
      </c>
      <c r="I4389" s="198"/>
      <c r="J4389" s="198" t="s">
        <v>2272</v>
      </c>
      <c r="K4389" s="198" t="s">
        <v>2272</v>
      </c>
      <c r="L4389" s="198" t="s">
        <v>2272</v>
      </c>
      <c r="M4389" s="198" t="s">
        <v>2272</v>
      </c>
      <c r="N4389" s="198" t="s">
        <v>2272</v>
      </c>
      <c r="O4389" s="198" t="s">
        <v>2272</v>
      </c>
      <c r="P4389" s="198" t="s">
        <v>2272</v>
      </c>
      <c r="Q4389" s="198" t="s">
        <v>2272</v>
      </c>
      <c r="R4389" s="198" t="s">
        <v>2272</v>
      </c>
      <c r="S4389" s="198" t="s">
        <v>2272</v>
      </c>
      <c r="T4389" s="198" t="s">
        <v>2272</v>
      </c>
      <c r="U4389" s="198" t="s">
        <v>2272</v>
      </c>
      <c r="V4389" s="198" t="s">
        <v>2272</v>
      </c>
      <c r="W4389" s="21" t="s">
        <v>2371</v>
      </c>
      <c r="X4389" s="198" t="s">
        <v>2272</v>
      </c>
      <c r="Y4389" s="198" t="s">
        <v>84</v>
      </c>
      <c r="Z4389" s="198" t="s">
        <v>125</v>
      </c>
      <c r="AA4389" s="198" t="s">
        <v>2272</v>
      </c>
      <c r="AB4389" s="4" t="s">
        <v>11365</v>
      </c>
      <c r="AC4389" s="198"/>
    </row>
    <row r="4390" spans="1:29" ht="52" customHeight="1">
      <c r="A4390" s="147" t="str">
        <f>'Reported burning'!A4390</f>
        <v>489a</v>
      </c>
      <c r="B4390" s="147" t="str">
        <f>'Reported burning'!B4390</f>
        <v>489a.3</v>
      </c>
      <c r="C4390" s="147" t="str">
        <f>'Reported burning'!C4390</f>
        <v>Human, deliberate</v>
      </c>
      <c r="D4390" s="147" t="str">
        <f>'Reported burning'!D4390</f>
        <v>Pyrome management</v>
      </c>
      <c r="E4390" s="147" t="str">
        <f>'Reported burning'!E4390</f>
        <v>Biodiversity conservation</v>
      </c>
      <c r="F4390" s="147" t="str">
        <f>'Reported burning'!F4390</f>
        <v>Shrubland (Mixed forest &amp; grassland)</v>
      </c>
      <c r="G4390" s="147" t="str">
        <f>'Reported burning'!G4390</f>
        <v>Shrubland (Mixed forest &amp; grassland)</v>
      </c>
      <c r="H4390" s="147" t="str">
        <f>'Reported burning'!H4390</f>
        <v>Presence</v>
      </c>
      <c r="I4390" s="198"/>
      <c r="J4390" s="198" t="s">
        <v>2272</v>
      </c>
      <c r="K4390" s="198" t="s">
        <v>2272</v>
      </c>
      <c r="L4390" s="198" t="s">
        <v>2272</v>
      </c>
      <c r="M4390" s="198" t="s">
        <v>2272</v>
      </c>
      <c r="N4390" s="198" t="s">
        <v>2272</v>
      </c>
      <c r="O4390" s="198" t="s">
        <v>2272</v>
      </c>
      <c r="P4390" s="198" t="s">
        <v>2272</v>
      </c>
      <c r="Q4390" s="198" t="s">
        <v>2272</v>
      </c>
      <c r="R4390" s="198" t="s">
        <v>2272</v>
      </c>
      <c r="S4390" s="198" t="s">
        <v>2272</v>
      </c>
      <c r="T4390" s="198" t="s">
        <v>2272</v>
      </c>
      <c r="U4390" s="198" t="s">
        <v>2272</v>
      </c>
      <c r="V4390" s="198" t="s">
        <v>2272</v>
      </c>
      <c r="W4390" s="21" t="s">
        <v>2385</v>
      </c>
      <c r="X4390" s="198" t="s">
        <v>2272</v>
      </c>
      <c r="Y4390" s="198" t="s">
        <v>84</v>
      </c>
      <c r="Z4390" s="198" t="s">
        <v>402</v>
      </c>
      <c r="AA4390" s="198" t="s">
        <v>2272</v>
      </c>
      <c r="AB4390" s="4" t="s">
        <v>11365</v>
      </c>
      <c r="AC4390" s="198"/>
    </row>
    <row r="4391" spans="1:29" ht="47" customHeight="1">
      <c r="A4391" s="147" t="str">
        <f>'Reported burning'!A4391</f>
        <v>490a</v>
      </c>
      <c r="B4391" s="147" t="str">
        <f>'Reported burning'!B4391</f>
        <v>490a.1</v>
      </c>
      <c r="C4391" s="147" t="str">
        <f>'Reported burning'!C4391</f>
        <v>Human, deliberate</v>
      </c>
      <c r="D4391" s="147" t="str">
        <f>'Reported burning'!D4391</f>
        <v>Harvesting of NTFP</v>
      </c>
      <c r="E4391" s="147" t="str">
        <f>'Reported burning'!E4391</f>
        <v>Forestry, Traditional</v>
      </c>
      <c r="F4391" s="147" t="str">
        <f>'Reported burning'!F4391</f>
        <v>Shrubland (Mixed forest &amp; grassland)</v>
      </c>
      <c r="G4391" s="147" t="str">
        <f>'Reported burning'!G4391</f>
        <v>Shrubland (Mixed forest &amp; grassland)</v>
      </c>
      <c r="H4391" s="147" t="str">
        <f>'Reported burning'!H4391</f>
        <v>Presence</v>
      </c>
      <c r="I4391" s="198"/>
      <c r="J4391" s="198" t="s">
        <v>2272</v>
      </c>
      <c r="K4391" s="198" t="s">
        <v>2272</v>
      </c>
      <c r="L4391" s="198" t="s">
        <v>2272</v>
      </c>
      <c r="M4391" s="198" t="s">
        <v>2272</v>
      </c>
      <c r="N4391" s="198" t="s">
        <v>2272</v>
      </c>
      <c r="O4391" s="198" t="s">
        <v>2272</v>
      </c>
      <c r="P4391" s="198" t="s">
        <v>2272</v>
      </c>
      <c r="Q4391" s="198" t="s">
        <v>2272</v>
      </c>
      <c r="R4391" s="198" t="s">
        <v>2272</v>
      </c>
      <c r="S4391" s="198" t="s">
        <v>2272</v>
      </c>
      <c r="T4391" s="198" t="s">
        <v>2272</v>
      </c>
      <c r="U4391" s="198" t="s">
        <v>2272</v>
      </c>
      <c r="V4391" s="198" t="s">
        <v>2272</v>
      </c>
      <c r="W4391" s="198" t="s">
        <v>2272</v>
      </c>
      <c r="X4391" s="198" t="s">
        <v>2272</v>
      </c>
      <c r="Y4391" s="198" t="s">
        <v>2272</v>
      </c>
      <c r="Z4391" s="198" t="s">
        <v>2272</v>
      </c>
      <c r="AA4391" s="198" t="s">
        <v>2272</v>
      </c>
      <c r="AB4391" s="198"/>
      <c r="AC4391" s="198"/>
    </row>
    <row r="4392" spans="1:29" ht="47" customHeight="1">
      <c r="A4392" s="147" t="str">
        <f>'Reported burning'!A4392</f>
        <v>490a</v>
      </c>
      <c r="B4392" s="147" t="str">
        <f>'Reported burning'!B4392</f>
        <v>490a.2</v>
      </c>
      <c r="C4392" s="147" t="str">
        <f>'Reported burning'!C4392</f>
        <v>Human, deliberate</v>
      </c>
      <c r="D4392" s="147" t="str">
        <f>'Reported burning'!D4392</f>
        <v>Pest management</v>
      </c>
      <c r="E4392" s="147" t="str">
        <f>'Reported burning'!E4392</f>
        <v>Forestry, Traditional</v>
      </c>
      <c r="F4392" s="147" t="str">
        <f>'Reported burning'!F4392</f>
        <v>Shrubland (Mixed forest &amp; grassland)</v>
      </c>
      <c r="G4392" s="147" t="str">
        <f>'Reported burning'!G4392</f>
        <v>Shrubland (Mixed forest &amp; grassland)</v>
      </c>
      <c r="H4392" s="147" t="str">
        <f>'Reported burning'!H4392</f>
        <v>Presence</v>
      </c>
      <c r="I4392" s="198"/>
      <c r="J4392" s="198" t="s">
        <v>2272</v>
      </c>
      <c r="K4392" s="198" t="s">
        <v>2272</v>
      </c>
      <c r="L4392" s="198" t="s">
        <v>2272</v>
      </c>
      <c r="M4392" s="198" t="s">
        <v>2272</v>
      </c>
      <c r="N4392" s="198" t="s">
        <v>2272</v>
      </c>
      <c r="O4392" s="198" t="s">
        <v>2272</v>
      </c>
      <c r="P4392" s="198" t="s">
        <v>2272</v>
      </c>
      <c r="Q4392" s="198" t="s">
        <v>2272</v>
      </c>
      <c r="R4392" s="198" t="s">
        <v>2272</v>
      </c>
      <c r="S4392" s="198" t="s">
        <v>2272</v>
      </c>
      <c r="T4392" s="198" t="s">
        <v>2272</v>
      </c>
      <c r="U4392" s="198" t="s">
        <v>2272</v>
      </c>
      <c r="V4392" s="198" t="s">
        <v>2272</v>
      </c>
      <c r="W4392" s="198" t="s">
        <v>2272</v>
      </c>
      <c r="X4392" s="198" t="s">
        <v>2272</v>
      </c>
      <c r="Y4392" s="198" t="s">
        <v>2272</v>
      </c>
      <c r="Z4392" s="198" t="s">
        <v>2272</v>
      </c>
      <c r="AA4392" s="198" t="s">
        <v>2272</v>
      </c>
      <c r="AB4392" s="198"/>
      <c r="AC4392" s="198"/>
    </row>
    <row r="4393" spans="1:29" ht="47" customHeight="1">
      <c r="A4393" s="147" t="str">
        <f>'Reported burning'!A4393</f>
        <v>490a</v>
      </c>
      <c r="B4393" s="147" t="str">
        <f>'Reported burning'!B4393</f>
        <v>490a.3</v>
      </c>
      <c r="C4393" s="147" t="str">
        <f>'Reported burning'!C4393</f>
        <v>Human, deliberate</v>
      </c>
      <c r="D4393" s="147" t="str">
        <f>'Reported burning'!D4393</f>
        <v>Pyrome management</v>
      </c>
      <c r="E4393" s="147" t="str">
        <f>'Reported burning'!E4393</f>
        <v>Forestry, Traditional</v>
      </c>
      <c r="F4393" s="147" t="str">
        <f>'Reported burning'!F4393</f>
        <v>Shrubland (Mixed forest &amp; grassland)</v>
      </c>
      <c r="G4393" s="147" t="str">
        <f>'Reported burning'!G4393</f>
        <v>Shrubland (Mixed forest &amp; grassland)</v>
      </c>
      <c r="H4393" s="147" t="str">
        <f>'Reported burning'!H4393</f>
        <v>Presence</v>
      </c>
      <c r="I4393" s="198"/>
      <c r="J4393" s="198" t="s">
        <v>2272</v>
      </c>
      <c r="K4393" s="198" t="s">
        <v>2272</v>
      </c>
      <c r="L4393" s="198" t="s">
        <v>2272</v>
      </c>
      <c r="M4393" s="198" t="s">
        <v>2272</v>
      </c>
      <c r="N4393" s="198" t="s">
        <v>2272</v>
      </c>
      <c r="O4393" s="198" t="s">
        <v>2272</v>
      </c>
      <c r="P4393" s="198" t="s">
        <v>2272</v>
      </c>
      <c r="Q4393" s="198" t="s">
        <v>2272</v>
      </c>
      <c r="R4393" s="198" t="s">
        <v>2272</v>
      </c>
      <c r="S4393" s="198" t="s">
        <v>2272</v>
      </c>
      <c r="T4393" s="198" t="s">
        <v>2272</v>
      </c>
      <c r="U4393" s="198" t="s">
        <v>2272</v>
      </c>
      <c r="V4393" s="198" t="s">
        <v>2272</v>
      </c>
      <c r="W4393" s="198" t="s">
        <v>2272</v>
      </c>
      <c r="X4393" s="198" t="s">
        <v>2272</v>
      </c>
      <c r="Y4393" s="198" t="s">
        <v>2272</v>
      </c>
      <c r="Z4393" s="198" t="s">
        <v>2272</v>
      </c>
      <c r="AA4393" s="198" t="s">
        <v>2272</v>
      </c>
      <c r="AB4393" s="198"/>
      <c r="AC4393" s="198"/>
    </row>
    <row r="4394" spans="1:29" ht="47" customHeight="1">
      <c r="A4394" s="147" t="str">
        <f>'Reported burning'!A4394</f>
        <v>490a</v>
      </c>
      <c r="B4394" s="147" t="str">
        <f>'Reported burning'!B4394</f>
        <v>490a.4</v>
      </c>
      <c r="C4394" s="147" t="str">
        <f>'Reported burning'!C4394</f>
        <v>Human, deliberate</v>
      </c>
      <c r="D4394" s="147" t="str">
        <f>'Reported burning'!D4394</f>
        <v>Conservation</v>
      </c>
      <c r="E4394" s="147" t="str">
        <f>'Reported burning'!E4394</f>
        <v>Forestry, Traditional</v>
      </c>
      <c r="F4394" s="147" t="str">
        <f>'Reported burning'!F4394</f>
        <v>Shrubland (Mixed forest &amp; grassland)</v>
      </c>
      <c r="G4394" s="147" t="str">
        <f>'Reported burning'!G4394</f>
        <v>Shrubland (Mixed forest &amp; grassland)</v>
      </c>
      <c r="H4394" s="147" t="str">
        <f>'Reported burning'!H4394</f>
        <v>Presence</v>
      </c>
      <c r="I4394" s="198"/>
      <c r="J4394" s="198" t="s">
        <v>2272</v>
      </c>
      <c r="K4394" s="198" t="s">
        <v>2272</v>
      </c>
      <c r="L4394" s="198" t="s">
        <v>2272</v>
      </c>
      <c r="M4394" s="198" t="s">
        <v>2272</v>
      </c>
      <c r="N4394" s="198" t="s">
        <v>2272</v>
      </c>
      <c r="O4394" s="198" t="s">
        <v>2272</v>
      </c>
      <c r="P4394" s="198" t="s">
        <v>2272</v>
      </c>
      <c r="Q4394" s="198" t="s">
        <v>2272</v>
      </c>
      <c r="R4394" s="198" t="s">
        <v>2272</v>
      </c>
      <c r="S4394" s="198" t="s">
        <v>2272</v>
      </c>
      <c r="T4394" s="198" t="s">
        <v>2272</v>
      </c>
      <c r="U4394" s="198" t="s">
        <v>2272</v>
      </c>
      <c r="V4394" s="198" t="s">
        <v>2272</v>
      </c>
      <c r="W4394" s="198" t="s">
        <v>2272</v>
      </c>
      <c r="X4394" s="198" t="s">
        <v>2272</v>
      </c>
      <c r="Y4394" s="198" t="s">
        <v>2272</v>
      </c>
      <c r="Z4394" s="198" t="s">
        <v>2272</v>
      </c>
      <c r="AA4394" s="198" t="s">
        <v>2272</v>
      </c>
      <c r="AB4394" s="198"/>
      <c r="AC4394" s="198"/>
    </row>
    <row r="4395" spans="1:29" ht="42" customHeight="1">
      <c r="A4395" s="147" t="str">
        <f>'Reported burning'!A4395</f>
        <v>491a</v>
      </c>
      <c r="B4395" s="147" t="str">
        <f>'Reported burning'!B4395</f>
        <v>491a.1</v>
      </c>
      <c r="C4395" s="147" t="str">
        <f>'Reported burning'!C4395</f>
        <v>Human, deliberate</v>
      </c>
      <c r="D4395" s="147" t="str">
        <f>'Reported burning'!D4395</f>
        <v>Hunting</v>
      </c>
      <c r="E4395" s="147" t="str">
        <f>'Reported burning'!E4395</f>
        <v>Forestry, Traditional</v>
      </c>
      <c r="F4395" s="147" t="str">
        <f>'Reported burning'!F4395</f>
        <v>Shrubland (Mixed forest &amp; grassland)</v>
      </c>
      <c r="G4395" s="147" t="str">
        <f>'Reported burning'!G4395</f>
        <v>Shrubland (Mixed forest &amp; grassland)</v>
      </c>
      <c r="H4395" s="147" t="str">
        <f>'Reported burning'!H4395</f>
        <v>Presence</v>
      </c>
      <c r="I4395" s="198"/>
      <c r="J4395" s="198" t="s">
        <v>2272</v>
      </c>
      <c r="K4395" s="198" t="s">
        <v>2272</v>
      </c>
      <c r="L4395" s="198" t="s">
        <v>2272</v>
      </c>
      <c r="M4395" s="198" t="s">
        <v>2272</v>
      </c>
      <c r="N4395" s="198" t="s">
        <v>2272</v>
      </c>
      <c r="O4395" s="198" t="s">
        <v>2272</v>
      </c>
      <c r="P4395" s="198" t="s">
        <v>2272</v>
      </c>
      <c r="Q4395" s="198" t="s">
        <v>2272</v>
      </c>
      <c r="R4395" s="198" t="s">
        <v>2272</v>
      </c>
      <c r="S4395" s="198" t="s">
        <v>2272</v>
      </c>
      <c r="T4395" s="198" t="s">
        <v>2272</v>
      </c>
      <c r="U4395" s="198" t="s">
        <v>2272</v>
      </c>
      <c r="V4395" s="198" t="s">
        <v>2272</v>
      </c>
      <c r="W4395" s="198" t="s">
        <v>2272</v>
      </c>
      <c r="X4395" s="198" t="s">
        <v>2272</v>
      </c>
      <c r="Y4395" s="198" t="s">
        <v>2272</v>
      </c>
      <c r="Z4395" s="198" t="s">
        <v>2272</v>
      </c>
      <c r="AA4395" s="198" t="s">
        <v>2272</v>
      </c>
      <c r="AB4395" s="198"/>
      <c r="AC4395" s="198"/>
    </row>
    <row r="4396" spans="1:29" ht="42" customHeight="1">
      <c r="A4396" s="147" t="str">
        <f>'Reported burning'!A4396</f>
        <v>491a</v>
      </c>
      <c r="B4396" s="147" t="str">
        <f>'Reported burning'!B4396</f>
        <v>491a.2</v>
      </c>
      <c r="C4396" s="147" t="str">
        <f>'Reported burning'!C4396</f>
        <v>Human, deliberate</v>
      </c>
      <c r="D4396" s="147" t="str">
        <f>'Reported burning'!D4396</f>
        <v>Harvesting of NTFP</v>
      </c>
      <c r="E4396" s="147" t="str">
        <f>'Reported burning'!E4396</f>
        <v>Forestry, Traditional</v>
      </c>
      <c r="F4396" s="147" t="str">
        <f>'Reported burning'!F4396</f>
        <v>Shrubland (Mixed forest &amp; grassland)</v>
      </c>
      <c r="G4396" s="147" t="str">
        <f>'Reported burning'!G4396</f>
        <v>Shrubland (Mixed forest &amp; grassland)</v>
      </c>
      <c r="H4396" s="147" t="str">
        <f>'Reported burning'!H4396</f>
        <v>Presence</v>
      </c>
      <c r="I4396" s="198"/>
      <c r="J4396" s="198" t="s">
        <v>2272</v>
      </c>
      <c r="K4396" s="198" t="s">
        <v>2272</v>
      </c>
      <c r="L4396" s="198" t="s">
        <v>2272</v>
      </c>
      <c r="M4396" s="198" t="s">
        <v>2272</v>
      </c>
      <c r="N4396" s="198" t="s">
        <v>2272</v>
      </c>
      <c r="O4396" s="198" t="s">
        <v>2272</v>
      </c>
      <c r="P4396" s="198" t="s">
        <v>2272</v>
      </c>
      <c r="Q4396" s="198" t="s">
        <v>2272</v>
      </c>
      <c r="R4396" s="198" t="s">
        <v>2272</v>
      </c>
      <c r="S4396" s="198" t="s">
        <v>2272</v>
      </c>
      <c r="T4396" s="198" t="s">
        <v>2272</v>
      </c>
      <c r="U4396" s="198" t="s">
        <v>2272</v>
      </c>
      <c r="V4396" s="198" t="s">
        <v>2272</v>
      </c>
      <c r="W4396" s="198" t="s">
        <v>2272</v>
      </c>
      <c r="X4396" s="198" t="s">
        <v>2272</v>
      </c>
      <c r="Y4396" s="198" t="s">
        <v>2272</v>
      </c>
      <c r="Z4396" s="198" t="s">
        <v>2272</v>
      </c>
      <c r="AA4396" s="198" t="s">
        <v>2272</v>
      </c>
      <c r="AB4396" s="198"/>
      <c r="AC4396" s="198"/>
    </row>
    <row r="4397" spans="1:29" ht="42" customHeight="1">
      <c r="A4397" s="147" t="str">
        <f>'Reported burning'!A4397</f>
        <v>491a</v>
      </c>
      <c r="B4397" s="147" t="str">
        <f>'Reported burning'!B4397</f>
        <v>491a.3</v>
      </c>
      <c r="C4397" s="147" t="str">
        <f>'Reported burning'!C4397</f>
        <v>Human, deliberate</v>
      </c>
      <c r="D4397" s="147" t="str">
        <f>'Reported burning'!D4397</f>
        <v>Pyrome management</v>
      </c>
      <c r="E4397" s="147" t="str">
        <f>'Reported burning'!E4397</f>
        <v>Forestry, Industrial</v>
      </c>
      <c r="F4397" s="147" t="str">
        <f>'Reported burning'!F4397</f>
        <v>Forest</v>
      </c>
      <c r="G4397" s="147" t="str">
        <f>'Reported burning'!G4397</f>
        <v>Forest</v>
      </c>
      <c r="H4397" s="147" t="str">
        <f>'Reported burning'!H4397</f>
        <v>Presence</v>
      </c>
      <c r="I4397" s="198"/>
      <c r="J4397" s="198" t="s">
        <v>2272</v>
      </c>
      <c r="K4397" s="198" t="s">
        <v>2272</v>
      </c>
      <c r="L4397" s="198" t="s">
        <v>2272</v>
      </c>
      <c r="M4397" s="198" t="s">
        <v>2272</v>
      </c>
      <c r="N4397" s="198" t="s">
        <v>2272</v>
      </c>
      <c r="O4397" s="198" t="s">
        <v>2272</v>
      </c>
      <c r="P4397" s="198" t="s">
        <v>2272</v>
      </c>
      <c r="Q4397" s="198" t="s">
        <v>2272</v>
      </c>
      <c r="R4397" s="198" t="s">
        <v>2272</v>
      </c>
      <c r="S4397" s="198" t="s">
        <v>2272</v>
      </c>
      <c r="T4397" s="198" t="s">
        <v>2272</v>
      </c>
      <c r="U4397" s="198" t="s">
        <v>2272</v>
      </c>
      <c r="V4397" s="198" t="s">
        <v>2272</v>
      </c>
      <c r="W4397" s="198" t="s">
        <v>2272</v>
      </c>
      <c r="X4397" s="198" t="s">
        <v>2272</v>
      </c>
      <c r="Y4397" s="198" t="s">
        <v>2272</v>
      </c>
      <c r="Z4397" s="198" t="s">
        <v>2272</v>
      </c>
      <c r="AA4397" s="198" t="s">
        <v>2272</v>
      </c>
      <c r="AB4397" s="198"/>
      <c r="AC4397" s="198"/>
    </row>
    <row r="4398" spans="1:29" ht="46.5" customHeight="1">
      <c r="A4398" s="179" t="str">
        <f>'Reported burning'!A4398</f>
        <v>492a</v>
      </c>
      <c r="B4398" s="179" t="str">
        <f>'Reported burning'!B4398</f>
        <v>492a.1</v>
      </c>
      <c r="C4398" s="179" t="str">
        <f>'Reported burning'!C4398</f>
        <v>Human, deliberate</v>
      </c>
      <c r="D4398" s="179" t="str">
        <f>'Reported burning'!D4398</f>
        <v>Pasture renewal</v>
      </c>
      <c r="E4398" s="179" t="str">
        <f>'Reported burning'!E4398</f>
        <v>Pastoralism, Migratory</v>
      </c>
      <c r="F4398" s="179" t="str">
        <f>'Reported burning'!F4398</f>
        <v>Shrubland (Mixed forest &amp; grassland)</v>
      </c>
      <c r="G4398" s="179" t="str">
        <f>'Reported burning'!G4398</f>
        <v>Shrubland (Mixed forest &amp; grassland)</v>
      </c>
      <c r="H4398" s="179" t="str">
        <f>'Reported burning'!H4398</f>
        <v>Presence</v>
      </c>
      <c r="I4398" s="198"/>
      <c r="J4398" s="198" t="s">
        <v>2272</v>
      </c>
      <c r="K4398" s="198" t="s">
        <v>2272</v>
      </c>
      <c r="L4398" s="198" t="s">
        <v>2272</v>
      </c>
      <c r="M4398" s="198" t="s">
        <v>2272</v>
      </c>
      <c r="N4398" s="198" t="s">
        <v>2272</v>
      </c>
      <c r="O4398" s="198" t="s">
        <v>2272</v>
      </c>
      <c r="P4398" s="198" t="s">
        <v>2272</v>
      </c>
      <c r="Q4398" s="198" t="s">
        <v>2272</v>
      </c>
      <c r="R4398" s="198" t="s">
        <v>2272</v>
      </c>
      <c r="S4398" s="198" t="s">
        <v>2272</v>
      </c>
      <c r="T4398" s="198" t="s">
        <v>2272</v>
      </c>
      <c r="U4398" s="198" t="s">
        <v>2272</v>
      </c>
      <c r="V4398" s="198" t="s">
        <v>2272</v>
      </c>
      <c r="W4398" s="198" t="s">
        <v>2272</v>
      </c>
      <c r="X4398" s="198" t="s">
        <v>2272</v>
      </c>
      <c r="Y4398" s="198" t="s">
        <v>37</v>
      </c>
      <c r="Z4398" s="198" t="s">
        <v>84</v>
      </c>
      <c r="AA4398" s="198" t="s">
        <v>2272</v>
      </c>
      <c r="AB4398" s="36" t="s">
        <v>11395</v>
      </c>
      <c r="AC4398" s="36"/>
    </row>
    <row r="4399" spans="1:29" ht="65" customHeight="1">
      <c r="A4399" s="217" t="str">
        <f>'Reported burning'!A4399</f>
        <v>492a</v>
      </c>
      <c r="B4399" s="217" t="str">
        <f>'Reported burning'!B4399</f>
        <v>492a.2</v>
      </c>
      <c r="C4399" s="217" t="str">
        <f>'Reported burning'!C4399</f>
        <v>Human, deliberate</v>
      </c>
      <c r="D4399" s="217" t="str">
        <f>'Reported burning'!D4399</f>
        <v>Hunting</v>
      </c>
      <c r="E4399" s="217" t="str">
        <f>'Reported burning'!E4399</f>
        <v>Forestry, Traditional</v>
      </c>
      <c r="F4399" s="217" t="str">
        <f>'Reported burning'!F4399</f>
        <v>Shrubland (Mixed forest &amp; grassland)</v>
      </c>
      <c r="G4399" s="217" t="str">
        <f>'Reported burning'!G4399</f>
        <v>Shrubland (Mixed forest &amp; grassland)</v>
      </c>
      <c r="H4399" s="217" t="str">
        <f>'Reported burning'!H4399</f>
        <v>Presence</v>
      </c>
      <c r="I4399" s="198"/>
      <c r="J4399" s="198" t="s">
        <v>2272</v>
      </c>
      <c r="K4399" s="198" t="s">
        <v>2272</v>
      </c>
      <c r="L4399" s="198" t="s">
        <v>2272</v>
      </c>
      <c r="M4399" s="198" t="s">
        <v>2272</v>
      </c>
      <c r="N4399" s="198" t="s">
        <v>2272</v>
      </c>
      <c r="O4399" s="198" t="s">
        <v>2272</v>
      </c>
      <c r="P4399" s="198" t="s">
        <v>2272</v>
      </c>
      <c r="Q4399" s="198" t="s">
        <v>2272</v>
      </c>
      <c r="R4399" s="198" t="s">
        <v>2272</v>
      </c>
      <c r="S4399" s="198" t="s">
        <v>2272</v>
      </c>
      <c r="T4399" s="198" t="s">
        <v>2272</v>
      </c>
      <c r="U4399" s="198" t="s">
        <v>2272</v>
      </c>
      <c r="V4399" s="198" t="s">
        <v>2272</v>
      </c>
      <c r="W4399" s="198" t="s">
        <v>2272</v>
      </c>
      <c r="X4399" s="198" t="s">
        <v>2272</v>
      </c>
      <c r="Y4399" s="198" t="s">
        <v>84</v>
      </c>
      <c r="Z4399" s="198" t="s">
        <v>423</v>
      </c>
      <c r="AA4399" s="198" t="s">
        <v>2650</v>
      </c>
      <c r="AB4399" s="18" t="s">
        <v>11396</v>
      </c>
      <c r="AC4399" s="198"/>
    </row>
    <row r="4400" spans="1:29" ht="63.5" customHeight="1">
      <c r="A4400" s="217" t="str">
        <f>'Reported burning'!A4400</f>
        <v>492a</v>
      </c>
      <c r="B4400" s="217" t="str">
        <f>'Reported burning'!B4400</f>
        <v>492a.3</v>
      </c>
      <c r="C4400" s="217" t="str">
        <f>'Reported burning'!C4400</f>
        <v>Human, deliberate</v>
      </c>
      <c r="D4400" s="217" t="str">
        <f>'Reported burning'!D4400</f>
        <v>Conservation</v>
      </c>
      <c r="E4400" s="217" t="str">
        <f>'Reported burning'!E4400</f>
        <v>Forestry, Traditional</v>
      </c>
      <c r="F4400" s="217" t="str">
        <f>'Reported burning'!F4400</f>
        <v>Shrubland (Mixed forest &amp; grassland)</v>
      </c>
      <c r="G4400" s="217" t="str">
        <f>'Reported burning'!G4400</f>
        <v>Shrubland (Mixed forest &amp; grassland)</v>
      </c>
      <c r="H4400" s="217" t="str">
        <f>'Reported burning'!H4400</f>
        <v>Presence</v>
      </c>
      <c r="I4400" s="198"/>
      <c r="J4400" s="198" t="s">
        <v>2272</v>
      </c>
      <c r="K4400" s="198" t="s">
        <v>2272</v>
      </c>
      <c r="L4400" s="198" t="s">
        <v>2272</v>
      </c>
      <c r="M4400" s="198" t="s">
        <v>2272</v>
      </c>
      <c r="N4400" s="198" t="s">
        <v>2272</v>
      </c>
      <c r="O4400" s="198" t="s">
        <v>2272</v>
      </c>
      <c r="P4400" s="198" t="s">
        <v>2272</v>
      </c>
      <c r="Q4400" s="198" t="s">
        <v>2272</v>
      </c>
      <c r="R4400" s="198" t="s">
        <v>2272</v>
      </c>
      <c r="S4400" s="198" t="s">
        <v>2272</v>
      </c>
      <c r="T4400" s="198" t="s">
        <v>2272</v>
      </c>
      <c r="U4400" s="198" t="s">
        <v>2272</v>
      </c>
      <c r="V4400" s="198" t="s">
        <v>2272</v>
      </c>
      <c r="W4400" s="198" t="s">
        <v>2272</v>
      </c>
      <c r="X4400" s="198" t="s">
        <v>2272</v>
      </c>
      <c r="Y4400" s="198" t="s">
        <v>84</v>
      </c>
      <c r="Z4400" s="198" t="s">
        <v>423</v>
      </c>
      <c r="AA4400" s="198" t="s">
        <v>2650</v>
      </c>
      <c r="AB4400" s="18" t="s">
        <v>11396</v>
      </c>
      <c r="AC4400" s="198"/>
    </row>
    <row r="4401" spans="1:29" ht="46.5" customHeight="1">
      <c r="A4401" s="217" t="str">
        <f>'Reported burning'!A4401</f>
        <v>492b</v>
      </c>
      <c r="B4401" s="217" t="str">
        <f>'Reported burning'!B4401</f>
        <v>492b.1</v>
      </c>
      <c r="C4401" s="217" t="str">
        <f>'Reported burning'!C4401</f>
        <v>Lightning</v>
      </c>
      <c r="D4401" s="217" t="str">
        <f>'Reported burning'!D4401</f>
        <v>ND</v>
      </c>
      <c r="E4401" s="217" t="str">
        <f>'Reported burning'!E4401</f>
        <v>Abandoned agricultural land</v>
      </c>
      <c r="F4401" s="217" t="str">
        <f>'Reported burning'!F4401</f>
        <v>Shrubland (Mixed forest &amp; grassland)</v>
      </c>
      <c r="G4401" s="217" t="str">
        <f>'Reported burning'!G4401</f>
        <v>Shrubland (Mixed forest &amp; grassland)</v>
      </c>
      <c r="H4401" s="217" t="str">
        <f>'Reported burning'!H4401</f>
        <v>Presence</v>
      </c>
      <c r="I4401" s="198"/>
      <c r="J4401" s="198" t="s">
        <v>2272</v>
      </c>
      <c r="K4401" s="198" t="s">
        <v>2272</v>
      </c>
      <c r="L4401" s="198" t="s">
        <v>2272</v>
      </c>
      <c r="M4401" s="198" t="s">
        <v>2272</v>
      </c>
      <c r="N4401" s="198" t="s">
        <v>2272</v>
      </c>
      <c r="O4401" s="198" t="s">
        <v>2272</v>
      </c>
      <c r="P4401" s="198" t="s">
        <v>2272</v>
      </c>
      <c r="Q4401" s="198" t="s">
        <v>2272</v>
      </c>
      <c r="R4401" s="198" t="s">
        <v>2272</v>
      </c>
      <c r="S4401" s="198" t="s">
        <v>2272</v>
      </c>
      <c r="T4401" s="198" t="s">
        <v>2272</v>
      </c>
      <c r="U4401" s="198" t="s">
        <v>2272</v>
      </c>
      <c r="V4401" s="198" t="s">
        <v>2272</v>
      </c>
      <c r="W4401" s="198" t="s">
        <v>2272</v>
      </c>
      <c r="X4401" s="198" t="s">
        <v>2272</v>
      </c>
      <c r="Y4401" s="198" t="s">
        <v>423</v>
      </c>
      <c r="Z4401" s="198" t="s">
        <v>67</v>
      </c>
      <c r="AA4401" s="198" t="s">
        <v>2272</v>
      </c>
      <c r="AB4401" s="198"/>
      <c r="AC4401" s="198"/>
    </row>
    <row r="4402" spans="1:29" ht="46" customHeight="1">
      <c r="A4402" s="147" t="str">
        <f>'Reported burning'!A4402</f>
        <v>494a</v>
      </c>
      <c r="B4402" s="147" t="str">
        <f>'Reported burning'!B4402</f>
        <v>494a.1</v>
      </c>
      <c r="C4402" s="147" t="str">
        <f>'Reported burning'!C4402</f>
        <v>Human, deliberate</v>
      </c>
      <c r="D4402" s="147" t="str">
        <f>'Reported burning'!D4402</f>
        <v>Hunting</v>
      </c>
      <c r="E4402" s="147" t="str">
        <f>'Reported burning'!E4402</f>
        <v>Tourism manager</v>
      </c>
      <c r="F4402" s="147" t="str">
        <f>'Reported burning'!F4402</f>
        <v>Secondary vegetation</v>
      </c>
      <c r="G4402" s="147" t="str">
        <f>'Reported burning'!G4402</f>
        <v>Secondary vegetation</v>
      </c>
      <c r="H4402" s="147" t="str">
        <f>'Reported burning'!H4402</f>
        <v>Presence</v>
      </c>
      <c r="I4402" s="35"/>
      <c r="J4402" s="35" t="s">
        <v>2272</v>
      </c>
      <c r="K4402" s="35" t="s">
        <v>2272</v>
      </c>
      <c r="L4402" s="35" t="s">
        <v>2272</v>
      </c>
      <c r="M4402" s="35" t="s">
        <v>2272</v>
      </c>
      <c r="N4402" s="35" t="s">
        <v>2272</v>
      </c>
      <c r="O4402" s="35" t="s">
        <v>2272</v>
      </c>
      <c r="P4402" s="35" t="s">
        <v>2272</v>
      </c>
      <c r="Q4402" s="35" t="s">
        <v>2272</v>
      </c>
      <c r="R4402" s="35" t="s">
        <v>2272</v>
      </c>
      <c r="S4402" s="35" t="s">
        <v>2272</v>
      </c>
      <c r="T4402" s="35" t="s">
        <v>2272</v>
      </c>
      <c r="U4402" s="35" t="s">
        <v>2272</v>
      </c>
      <c r="V4402" s="35" t="s">
        <v>2272</v>
      </c>
      <c r="W4402" s="35" t="s">
        <v>2272</v>
      </c>
      <c r="X4402" s="69" t="s">
        <v>2399</v>
      </c>
      <c r="Y4402" s="35" t="s">
        <v>2272</v>
      </c>
      <c r="Z4402" s="35" t="s">
        <v>2272</v>
      </c>
      <c r="AA4402" s="35" t="s">
        <v>2272</v>
      </c>
      <c r="AB4402" s="198"/>
      <c r="AC4402" s="198"/>
    </row>
    <row r="4403" spans="1:29" ht="47" customHeight="1">
      <c r="A4403" s="179" t="str">
        <f>'Reported burning'!A4403</f>
        <v>495a</v>
      </c>
      <c r="B4403" s="179" t="str">
        <f>'Reported burning'!B4403</f>
        <v>495a.1</v>
      </c>
      <c r="C4403" s="179" t="str">
        <f>'Reported burning'!C4403</f>
        <v>Human, deliberate</v>
      </c>
      <c r="D4403" s="179" t="str">
        <f>'Reported burning'!D4403</f>
        <v>Crop residue burning</v>
      </c>
      <c r="E4403" s="179" t="str">
        <f>'Reported burning'!E4403</f>
        <v>Cropping, Monoculture, Market-oriented</v>
      </c>
      <c r="F4403" s="179" t="str">
        <f>'Reported burning'!F4403</f>
        <v>Cropland</v>
      </c>
      <c r="G4403" s="179" t="str">
        <f>'Reported burning'!G4403</f>
        <v>Cropland</v>
      </c>
      <c r="H4403" s="179" t="str">
        <f>'Reported burning'!H4403</f>
        <v>Presence</v>
      </c>
      <c r="I4403" s="198">
        <v>1990</v>
      </c>
      <c r="J4403" s="198" t="s">
        <v>2272</v>
      </c>
      <c r="K4403" s="198" t="s">
        <v>2272</v>
      </c>
      <c r="L4403" s="198" t="s">
        <v>2272</v>
      </c>
      <c r="M4403" s="198" t="s">
        <v>2272</v>
      </c>
      <c r="N4403" s="198" t="s">
        <v>2272</v>
      </c>
      <c r="O4403" s="198" t="s">
        <v>2272</v>
      </c>
      <c r="P4403" s="198" t="s">
        <v>2272</v>
      </c>
      <c r="Q4403" s="198" t="s">
        <v>2272</v>
      </c>
      <c r="R4403" s="198" t="s">
        <v>2272</v>
      </c>
      <c r="S4403" s="198" t="s">
        <v>2272</v>
      </c>
      <c r="T4403" s="198" t="s">
        <v>2272</v>
      </c>
      <c r="U4403" s="198" t="s">
        <v>2272</v>
      </c>
      <c r="V4403" s="198" t="s">
        <v>2272</v>
      </c>
      <c r="W4403" s="21" t="s">
        <v>2369</v>
      </c>
      <c r="X4403" s="198" t="s">
        <v>2272</v>
      </c>
      <c r="Y4403" s="198" t="s">
        <v>84</v>
      </c>
      <c r="Z4403" s="198" t="s">
        <v>67</v>
      </c>
      <c r="AA4403" s="198" t="s">
        <v>2272</v>
      </c>
      <c r="AB4403" s="36" t="s">
        <v>11426</v>
      </c>
      <c r="AC4403" s="198"/>
    </row>
    <row r="4404" spans="1:29" ht="47" customHeight="1">
      <c r="A4404" s="217" t="str">
        <f>'Reported burning'!A4404</f>
        <v>495a</v>
      </c>
      <c r="B4404" s="217" t="str">
        <f>'Reported burning'!B4404</f>
        <v>495a.2</v>
      </c>
      <c r="C4404" s="217" t="str">
        <f>'Reported burning'!C4404</f>
        <v>Human, deliberate</v>
      </c>
      <c r="D4404" s="217" t="str">
        <f>'Reported burning'!D4404</f>
        <v>Crop residue burning</v>
      </c>
      <c r="E4404" s="217" t="str">
        <f>'Reported burning'!E4404</f>
        <v>Cropping, Monoculture, Market-oriented</v>
      </c>
      <c r="F4404" s="217" t="str">
        <f>'Reported burning'!F4404</f>
        <v>Cropland</v>
      </c>
      <c r="G4404" s="217" t="str">
        <f>'Reported burning'!G4404</f>
        <v>Cropland</v>
      </c>
      <c r="H4404" s="217" t="str">
        <f>'Reported burning'!H4404</f>
        <v>Presence</v>
      </c>
      <c r="I4404" s="198">
        <v>2006</v>
      </c>
      <c r="J4404" s="198" t="s">
        <v>2272</v>
      </c>
      <c r="K4404" s="198" t="s">
        <v>2272</v>
      </c>
      <c r="L4404" s="198" t="s">
        <v>2272</v>
      </c>
      <c r="M4404" s="198" t="s">
        <v>2272</v>
      </c>
      <c r="N4404" s="198" t="s">
        <v>2272</v>
      </c>
      <c r="O4404" s="198" t="s">
        <v>2272</v>
      </c>
      <c r="P4404" s="198" t="s">
        <v>2272</v>
      </c>
      <c r="Q4404" s="198" t="s">
        <v>2272</v>
      </c>
      <c r="R4404" s="198" t="s">
        <v>2272</v>
      </c>
      <c r="S4404" s="198" t="s">
        <v>2272</v>
      </c>
      <c r="T4404" s="198" t="s">
        <v>2272</v>
      </c>
      <c r="U4404" s="198" t="s">
        <v>2272</v>
      </c>
      <c r="V4404" s="198" t="s">
        <v>2272</v>
      </c>
      <c r="W4404" s="21" t="s">
        <v>2371</v>
      </c>
      <c r="X4404" s="198" t="s">
        <v>2272</v>
      </c>
      <c r="Y4404" s="198" t="s">
        <v>84</v>
      </c>
      <c r="Z4404" s="198" t="s">
        <v>67</v>
      </c>
      <c r="AA4404" s="198" t="s">
        <v>2272</v>
      </c>
      <c r="AB4404" s="36" t="s">
        <v>11426</v>
      </c>
      <c r="AC4404" s="198"/>
    </row>
    <row r="4405" spans="1:29" ht="47" customHeight="1">
      <c r="A4405" s="217" t="str">
        <f>'Reported burning'!A4405</f>
        <v>495a</v>
      </c>
      <c r="B4405" s="217" t="str">
        <f>'Reported burning'!B4405</f>
        <v>495a.3</v>
      </c>
      <c r="C4405" s="217" t="str">
        <f>'Reported burning'!C4405</f>
        <v>Human, deliberate</v>
      </c>
      <c r="D4405" s="217" t="str">
        <f>'Reported burning'!D4405</f>
        <v>Vegetation management</v>
      </c>
      <c r="E4405" s="217" t="str">
        <f>'Reported burning'!E4405</f>
        <v>Cropping, Intensive</v>
      </c>
      <c r="F4405" s="217" t="str">
        <f>'Reported burning'!F4405</f>
        <v>Cropland</v>
      </c>
      <c r="G4405" s="217" t="str">
        <f>'Reported burning'!G4405</f>
        <v>Cropland</v>
      </c>
      <c r="H4405" s="217" t="str">
        <f>'Reported burning'!H4405</f>
        <v>Absence</v>
      </c>
      <c r="I4405" s="198"/>
      <c r="J4405" s="198" t="s">
        <v>2272</v>
      </c>
      <c r="K4405" s="198" t="s">
        <v>2272</v>
      </c>
      <c r="L4405" s="198" t="s">
        <v>2272</v>
      </c>
      <c r="M4405" s="198" t="s">
        <v>2272</v>
      </c>
      <c r="N4405" s="198" t="s">
        <v>2272</v>
      </c>
      <c r="O4405" s="198" t="s">
        <v>2272</v>
      </c>
      <c r="P4405" s="198" t="s">
        <v>2272</v>
      </c>
      <c r="Q4405" s="198" t="s">
        <v>2272</v>
      </c>
      <c r="R4405" s="198" t="s">
        <v>2272</v>
      </c>
      <c r="S4405" s="198" t="s">
        <v>2272</v>
      </c>
      <c r="T4405" s="198" t="s">
        <v>2272</v>
      </c>
      <c r="U4405" s="198" t="s">
        <v>2272</v>
      </c>
      <c r="V4405" s="198" t="s">
        <v>2272</v>
      </c>
      <c r="W4405" s="198" t="s">
        <v>2272</v>
      </c>
      <c r="X4405" s="198" t="s">
        <v>2272</v>
      </c>
      <c r="Y4405" s="198" t="s">
        <v>84</v>
      </c>
      <c r="Z4405" s="198" t="s">
        <v>67</v>
      </c>
      <c r="AA4405" s="198" t="s">
        <v>2272</v>
      </c>
      <c r="AB4405" s="198" t="s">
        <v>11425</v>
      </c>
      <c r="AC4405" s="198"/>
    </row>
    <row r="4406" spans="1:29" s="197" customFormat="1" ht="54.5" customHeight="1">
      <c r="A4406" s="217" t="str">
        <f>'Reported burning'!A4406</f>
        <v>496b</v>
      </c>
      <c r="B4406" s="217" t="str">
        <f>'Reported burning'!B4406</f>
        <v>496b.1</v>
      </c>
      <c r="C4406" s="217" t="str">
        <f>'Reported burning'!C4406</f>
        <v>Human, escaped</v>
      </c>
      <c r="D4406" s="217" t="str">
        <f>'Reported burning'!D4406</f>
        <v>Domestic</v>
      </c>
      <c r="E4406" s="217" t="str">
        <f>'Reported burning'!E4406</f>
        <v>Urban planner</v>
      </c>
      <c r="F4406" s="217" t="str">
        <f>'Reported burning'!F4406</f>
        <v>ND</v>
      </c>
      <c r="G4406" s="217" t="str">
        <f>'Reported burning'!G4406</f>
        <v>Shrubland (Mixed forest &amp; grassland)</v>
      </c>
      <c r="H4406" s="217" t="str">
        <f>'Reported burning'!H4406</f>
        <v>Presence</v>
      </c>
      <c r="I4406" s="198"/>
      <c r="J4406" s="198" t="s">
        <v>2272</v>
      </c>
      <c r="K4406" s="198" t="s">
        <v>2272</v>
      </c>
      <c r="L4406" s="198"/>
      <c r="M4406" s="198"/>
      <c r="N4406" s="198"/>
      <c r="O4406" s="198"/>
      <c r="P4406" s="198"/>
      <c r="Q4406" s="198"/>
      <c r="R4406" s="198"/>
      <c r="S4406" s="198"/>
      <c r="T4406" s="198"/>
      <c r="U4406" s="198"/>
      <c r="V4406" s="198"/>
      <c r="W4406" s="198"/>
      <c r="X4406" s="198"/>
      <c r="Y4406" s="198"/>
      <c r="Z4406" s="198"/>
      <c r="AA4406" s="198"/>
      <c r="AB4406" s="198"/>
      <c r="AC4406" s="198"/>
    </row>
    <row r="4407" spans="1:29" s="197" customFormat="1" ht="54.5" customHeight="1">
      <c r="A4407" s="217" t="str">
        <f>'Reported burning'!A4407</f>
        <v>496b</v>
      </c>
      <c r="B4407" s="217" t="str">
        <f>'Reported burning'!B4407</f>
        <v>496b.2</v>
      </c>
      <c r="C4407" s="217" t="str">
        <f>'Reported burning'!C4407</f>
        <v>Human, escaped</v>
      </c>
      <c r="D4407" s="217" t="str">
        <f>'Reported burning'!D4407</f>
        <v>Domestic</v>
      </c>
      <c r="E4407" s="217" t="str">
        <f>'Reported burning'!E4407</f>
        <v>Tourism manager</v>
      </c>
      <c r="F4407" s="217" t="str">
        <f>'Reported burning'!F4407</f>
        <v>ND</v>
      </c>
      <c r="G4407" s="217" t="str">
        <f>'Reported burning'!G4407</f>
        <v>Shrubland (Mixed forest &amp; grassland)</v>
      </c>
      <c r="H4407" s="217" t="str">
        <f>'Reported burning'!H4407</f>
        <v>Presence</v>
      </c>
      <c r="I4407" s="198"/>
      <c r="J4407" s="198" t="s">
        <v>2272</v>
      </c>
      <c r="K4407" s="198" t="s">
        <v>2272</v>
      </c>
      <c r="L4407" s="198"/>
      <c r="M4407" s="198"/>
      <c r="N4407" s="198"/>
      <c r="O4407" s="198"/>
      <c r="P4407" s="198"/>
      <c r="Q4407" s="198"/>
      <c r="R4407" s="198"/>
      <c r="S4407" s="198"/>
      <c r="T4407" s="198"/>
      <c r="U4407" s="198"/>
      <c r="V4407" s="198"/>
      <c r="W4407" s="198"/>
      <c r="X4407" s="198"/>
      <c r="Y4407" s="198"/>
      <c r="Z4407" s="198"/>
      <c r="AA4407" s="198"/>
      <c r="AB4407" s="198"/>
      <c r="AC4407" s="198"/>
    </row>
    <row r="4408" spans="1:29" ht="93.5" customHeight="1">
      <c r="A4408" s="147" t="str">
        <f>'Reported burning'!A4409</f>
        <v>496c</v>
      </c>
      <c r="B4408" s="147" t="str">
        <f>'Reported burning'!B4409</f>
        <v>496c.1</v>
      </c>
      <c r="C4408" s="147" t="str">
        <f>'Reported burning'!C4409</f>
        <v>All</v>
      </c>
      <c r="D4408" s="147" t="str">
        <f>'Reported burning'!D4409</f>
        <v>All</v>
      </c>
      <c r="E4408" s="147" t="str">
        <f>'Reported burning'!E4409</f>
        <v>All</v>
      </c>
      <c r="F4408" s="147" t="str">
        <f>'Reported burning'!F4409</f>
        <v>All</v>
      </c>
      <c r="G4408" s="147" t="str">
        <f>'Reported burning'!G4409</f>
        <v>ND</v>
      </c>
      <c r="H4408" s="147" t="str">
        <f>'Reported burning'!H4409</f>
        <v>Presence</v>
      </c>
      <c r="I4408" s="198"/>
      <c r="J4408" s="198" t="s">
        <v>2272</v>
      </c>
      <c r="K4408" s="198" t="s">
        <v>2272</v>
      </c>
      <c r="L4408" s="98"/>
      <c r="M4408" s="21"/>
      <c r="N4408" s="21"/>
      <c r="O4408" s="21"/>
      <c r="P4408" s="21"/>
      <c r="Q4408" s="21"/>
      <c r="R4408" s="21"/>
      <c r="S4408" s="21"/>
      <c r="T4408" s="21"/>
      <c r="U4408" s="21"/>
      <c r="V4408" s="21"/>
      <c r="W4408" s="21"/>
      <c r="X4408" s="21"/>
      <c r="Y4408" s="198" t="s">
        <v>2272</v>
      </c>
      <c r="Z4408" s="198" t="s">
        <v>2272</v>
      </c>
      <c r="AA4408" s="198" t="s">
        <v>2272</v>
      </c>
      <c r="AB4408" s="19" t="s">
        <v>11437</v>
      </c>
      <c r="AC4408" s="4" t="s">
        <v>11434</v>
      </c>
    </row>
    <row r="4409" spans="1:29" ht="48" customHeight="1">
      <c r="A4409" s="147" t="str">
        <f>'Reported burning'!A4410</f>
        <v>496c</v>
      </c>
      <c r="B4409" s="147" t="str">
        <f>'Reported burning'!B4410</f>
        <v>496c.2</v>
      </c>
      <c r="C4409" s="147" t="str">
        <f>'Reported burning'!C4410</f>
        <v>Human, deliberate</v>
      </c>
      <c r="D4409" s="147" t="str">
        <f>'Reported burning'!D4410</f>
        <v>ND</v>
      </c>
      <c r="E4409" s="147" t="str">
        <f>'Reported burning'!E4410</f>
        <v>ND</v>
      </c>
      <c r="F4409" s="147" t="str">
        <f>'Reported burning'!F4410</f>
        <v>Cropland</v>
      </c>
      <c r="G4409" s="147" t="str">
        <f>'Reported burning'!G4410</f>
        <v>Cropland</v>
      </c>
      <c r="H4409" s="147" t="str">
        <f>'Reported burning'!H4410</f>
        <v>Presence</v>
      </c>
      <c r="I4409" s="198"/>
      <c r="J4409" s="198" t="s">
        <v>2272</v>
      </c>
      <c r="K4409" s="198" t="s">
        <v>2272</v>
      </c>
      <c r="L4409" s="98"/>
      <c r="M4409" s="21"/>
      <c r="N4409" s="21"/>
      <c r="O4409" s="21"/>
      <c r="P4409" s="21"/>
      <c r="Q4409" s="21"/>
      <c r="R4409" s="21"/>
      <c r="S4409" s="21"/>
      <c r="T4409" s="21"/>
      <c r="U4409" s="21"/>
      <c r="V4409" s="21"/>
      <c r="W4409" s="21"/>
      <c r="X4409" s="21"/>
      <c r="Y4409" s="198" t="s">
        <v>187</v>
      </c>
      <c r="Z4409" s="198" t="s">
        <v>84</v>
      </c>
      <c r="AA4409" s="198" t="s">
        <v>2272</v>
      </c>
      <c r="AB4409" s="36" t="s">
        <v>11439</v>
      </c>
      <c r="AC4409" s="198"/>
    </row>
    <row r="4410" spans="1:29" ht="44.5" customHeight="1">
      <c r="A4410" s="179" t="str">
        <f>'Reported burning'!A4411</f>
        <v>496c</v>
      </c>
      <c r="B4410" s="179" t="str">
        <f>'Reported burning'!B4411</f>
        <v>496c.3</v>
      </c>
      <c r="C4410" s="179" t="str">
        <f>'Reported burning'!C4411</f>
        <v>Human, deliberate</v>
      </c>
      <c r="D4410" s="179" t="str">
        <f>'Reported burning'!D4411</f>
        <v>Harvesting of Timber</v>
      </c>
      <c r="E4410" s="179" t="str">
        <f>'Reported burning'!E4411</f>
        <v>Forestry, Small-scale</v>
      </c>
      <c r="F4410" s="179" t="str">
        <f>'Reported burning'!F4411</f>
        <v>Forest</v>
      </c>
      <c r="G4410" s="179" t="str">
        <f>'Reported burning'!G4411</f>
        <v>Forest</v>
      </c>
      <c r="H4410" s="179" t="str">
        <f>'Reported burning'!H4411</f>
        <v>Presence</v>
      </c>
      <c r="I4410" s="198"/>
      <c r="J4410" s="198" t="s">
        <v>2272</v>
      </c>
      <c r="K4410" s="198" t="s">
        <v>2272</v>
      </c>
      <c r="L4410" s="198" t="s">
        <v>2272</v>
      </c>
      <c r="M4410" s="198" t="s">
        <v>2272</v>
      </c>
      <c r="N4410" s="198" t="s">
        <v>2272</v>
      </c>
      <c r="O4410" s="198" t="s">
        <v>2272</v>
      </c>
      <c r="P4410" s="198" t="s">
        <v>2272</v>
      </c>
      <c r="Q4410" s="198" t="s">
        <v>2272</v>
      </c>
      <c r="R4410" s="198" t="s">
        <v>2272</v>
      </c>
      <c r="S4410" s="198" t="s">
        <v>2272</v>
      </c>
      <c r="T4410" s="198" t="s">
        <v>2272</v>
      </c>
      <c r="U4410" s="198" t="s">
        <v>2272</v>
      </c>
      <c r="V4410" s="198" t="s">
        <v>2272</v>
      </c>
      <c r="W4410" s="198" t="s">
        <v>2272</v>
      </c>
      <c r="X4410" s="198" t="s">
        <v>2272</v>
      </c>
      <c r="Y4410" s="198" t="s">
        <v>2272</v>
      </c>
      <c r="Z4410" s="198" t="s">
        <v>2272</v>
      </c>
      <c r="AA4410" s="198" t="s">
        <v>2272</v>
      </c>
      <c r="AB4410" s="198"/>
      <c r="AC4410" s="198"/>
    </row>
    <row r="4411" spans="1:29" ht="44.5" customHeight="1">
      <c r="A4411" s="147" t="str">
        <f>'Reported burning'!A4412</f>
        <v>496d</v>
      </c>
      <c r="B4411" s="147" t="str">
        <f>'Reported burning'!B4412</f>
        <v>496d.1</v>
      </c>
      <c r="C4411" s="147" t="str">
        <f>'Reported burning'!C4412</f>
        <v>Human, deliberate</v>
      </c>
      <c r="D4411" s="147" t="str">
        <f>'Reported burning'!D4412</f>
        <v>Crop residue burning</v>
      </c>
      <c r="E4411" s="147" t="str">
        <f>'Reported burning'!E4412</f>
        <v>ND</v>
      </c>
      <c r="F4411" s="147" t="str">
        <f>'Reported burning'!F4412</f>
        <v>Cropland</v>
      </c>
      <c r="G4411" s="147" t="str">
        <f>'Reported burning'!G4412</f>
        <v>Cropland</v>
      </c>
      <c r="H4411" s="147" t="str">
        <f>'Reported burning'!H4412</f>
        <v>Presence</v>
      </c>
      <c r="I4411" s="198"/>
      <c r="J4411" s="198" t="s">
        <v>2272</v>
      </c>
      <c r="K4411" s="198" t="s">
        <v>2272</v>
      </c>
      <c r="L4411" s="198" t="s">
        <v>2272</v>
      </c>
      <c r="M4411" s="198" t="s">
        <v>2272</v>
      </c>
      <c r="N4411" s="198" t="s">
        <v>2272</v>
      </c>
      <c r="O4411" s="198" t="s">
        <v>2272</v>
      </c>
      <c r="P4411" s="198" t="s">
        <v>2272</v>
      </c>
      <c r="Q4411" s="198" t="s">
        <v>2272</v>
      </c>
      <c r="R4411" s="198" t="s">
        <v>2272</v>
      </c>
      <c r="S4411" s="198" t="s">
        <v>2272</v>
      </c>
      <c r="T4411" s="198" t="s">
        <v>2272</v>
      </c>
      <c r="U4411" s="198" t="s">
        <v>2272</v>
      </c>
      <c r="V4411" s="198" t="s">
        <v>2272</v>
      </c>
      <c r="W4411" s="198" t="s">
        <v>2272</v>
      </c>
      <c r="X4411" s="198" t="s">
        <v>2272</v>
      </c>
      <c r="Y4411" s="198" t="s">
        <v>2272</v>
      </c>
      <c r="Z4411" s="198" t="s">
        <v>2272</v>
      </c>
      <c r="AA4411" s="198" t="s">
        <v>2272</v>
      </c>
      <c r="AB4411" s="198"/>
      <c r="AC4411" s="198"/>
    </row>
    <row r="4412" spans="1:29" ht="45.5" customHeight="1">
      <c r="A4412" s="147" t="str">
        <f>'Reported burning'!A4413</f>
        <v>496d</v>
      </c>
      <c r="B4412" s="147" t="str">
        <f>'Reported burning'!B4413</f>
        <v>496d.2</v>
      </c>
      <c r="C4412" s="147" t="str">
        <f>'Reported burning'!C4413</f>
        <v>Human, escaped</v>
      </c>
      <c r="D4412" s="147" t="str">
        <f>'Reported burning'!D4413</f>
        <v>Crop residue burning</v>
      </c>
      <c r="E4412" s="147" t="str">
        <f>'Reported burning'!E4413</f>
        <v>ND</v>
      </c>
      <c r="F4412" s="147" t="str">
        <f>'Reported burning'!F4413</f>
        <v>Cropland</v>
      </c>
      <c r="G4412" s="147" t="str">
        <f>'Reported burning'!G4413</f>
        <v>Shrubland (Mixed forest &amp; grassland)</v>
      </c>
      <c r="H4412" s="147" t="str">
        <f>'Reported burning'!H4413</f>
        <v>Presence</v>
      </c>
      <c r="I4412" s="198"/>
      <c r="J4412" s="198" t="s">
        <v>2272</v>
      </c>
      <c r="K4412" s="198" t="s">
        <v>2272</v>
      </c>
      <c r="L4412" s="198" t="s">
        <v>2272</v>
      </c>
      <c r="M4412" s="198" t="s">
        <v>2272</v>
      </c>
      <c r="N4412" s="198" t="s">
        <v>2272</v>
      </c>
      <c r="O4412" s="198" t="s">
        <v>2272</v>
      </c>
      <c r="P4412" s="198" t="s">
        <v>2272</v>
      </c>
      <c r="Q4412" s="198" t="s">
        <v>2272</v>
      </c>
      <c r="R4412" s="198" t="s">
        <v>2272</v>
      </c>
      <c r="S4412" s="198" t="s">
        <v>2272</v>
      </c>
      <c r="T4412" s="198" t="s">
        <v>2272</v>
      </c>
      <c r="U4412" s="198" t="s">
        <v>2272</v>
      </c>
      <c r="V4412" s="198" t="s">
        <v>2272</v>
      </c>
      <c r="W4412" s="198" t="s">
        <v>2272</v>
      </c>
      <c r="X4412" s="198" t="s">
        <v>2272</v>
      </c>
      <c r="Y4412" s="198" t="s">
        <v>33</v>
      </c>
      <c r="Z4412" s="198" t="s">
        <v>403</v>
      </c>
      <c r="AA4412" s="198" t="s">
        <v>2272</v>
      </c>
      <c r="AB4412" s="244" t="s">
        <v>11456</v>
      </c>
      <c r="AC4412" s="198"/>
    </row>
    <row r="4413" spans="1:29" ht="45.5" customHeight="1">
      <c r="A4413" s="147" t="str">
        <f>'Reported burning'!A4414</f>
        <v>497a</v>
      </c>
      <c r="B4413" s="147" t="str">
        <f>'Reported burning'!B4414</f>
        <v>497a.1</v>
      </c>
      <c r="C4413" s="147" t="str">
        <f>'Reported burning'!C4414</f>
        <v>All</v>
      </c>
      <c r="D4413" s="147" t="str">
        <f>'Reported burning'!D4414</f>
        <v>ND</v>
      </c>
      <c r="E4413" s="147" t="str">
        <f>'Reported burning'!E4414</f>
        <v>ND</v>
      </c>
      <c r="F4413" s="147" t="str">
        <f>'Reported burning'!F4414</f>
        <v>ND</v>
      </c>
      <c r="G4413" s="147" t="str">
        <f>'Reported burning'!G4414</f>
        <v>Forest</v>
      </c>
      <c r="H4413" s="147" t="str">
        <f>'Reported burning'!H4414</f>
        <v>Presence</v>
      </c>
      <c r="I4413" s="198"/>
      <c r="J4413" s="198" t="s">
        <v>2272</v>
      </c>
      <c r="K4413" s="198" t="s">
        <v>2272</v>
      </c>
      <c r="L4413" s="198" t="s">
        <v>2272</v>
      </c>
      <c r="M4413" s="198" t="s">
        <v>2272</v>
      </c>
      <c r="N4413" s="198" t="s">
        <v>2272</v>
      </c>
      <c r="O4413" s="198" t="s">
        <v>2272</v>
      </c>
      <c r="P4413" s="198" t="s">
        <v>2272</v>
      </c>
      <c r="Q4413" s="198" t="s">
        <v>2272</v>
      </c>
      <c r="R4413" s="198" t="s">
        <v>2272</v>
      </c>
      <c r="S4413" s="198" t="s">
        <v>2272</v>
      </c>
      <c r="T4413" s="198" t="s">
        <v>2272</v>
      </c>
      <c r="U4413" s="198" t="s">
        <v>2272</v>
      </c>
      <c r="V4413" s="198" t="s">
        <v>2272</v>
      </c>
      <c r="W4413" s="198" t="s">
        <v>2272</v>
      </c>
      <c r="X4413" s="198" t="s">
        <v>2272</v>
      </c>
      <c r="Y4413" s="198" t="s">
        <v>187</v>
      </c>
      <c r="Z4413" s="198" t="s">
        <v>403</v>
      </c>
      <c r="AA4413" s="198" t="s">
        <v>2272</v>
      </c>
      <c r="AB4413" s="198"/>
      <c r="AC4413" s="198"/>
    </row>
    <row r="4414" spans="1:29" s="197" customFormat="1" ht="45.5" customHeight="1">
      <c r="A4414" s="147" t="str">
        <f>'Reported burning'!A4415</f>
        <v>497a</v>
      </c>
      <c r="B4414" s="147" t="str">
        <f>'Reported burning'!B4415</f>
        <v>497a.2</v>
      </c>
      <c r="C4414" s="147" t="str">
        <f>'Reported burning'!C4415</f>
        <v>All</v>
      </c>
      <c r="D4414" s="147" t="str">
        <f>'Reported burning'!D4415</f>
        <v>ND</v>
      </c>
      <c r="E4414" s="147" t="str">
        <f>'Reported burning'!E4415</f>
        <v>ND</v>
      </c>
      <c r="F4414" s="147" t="str">
        <f>'Reported burning'!F4415</f>
        <v>ND</v>
      </c>
      <c r="G4414" s="147" t="str">
        <f>'Reported burning'!G4415</f>
        <v>Grassland</v>
      </c>
      <c r="H4414" s="147" t="str">
        <f>'Reported burning'!H4415</f>
        <v>Presence</v>
      </c>
      <c r="I4414" s="198"/>
      <c r="J4414" s="198" t="s">
        <v>2272</v>
      </c>
      <c r="K4414" s="198" t="s">
        <v>2272</v>
      </c>
      <c r="L4414" s="198" t="s">
        <v>2272</v>
      </c>
      <c r="M4414" s="198" t="s">
        <v>2272</v>
      </c>
      <c r="N4414" s="198" t="s">
        <v>2272</v>
      </c>
      <c r="O4414" s="198" t="s">
        <v>2272</v>
      </c>
      <c r="P4414" s="198" t="s">
        <v>2272</v>
      </c>
      <c r="Q4414" s="198" t="s">
        <v>2272</v>
      </c>
      <c r="R4414" s="198" t="s">
        <v>2272</v>
      </c>
      <c r="S4414" s="198" t="s">
        <v>2272</v>
      </c>
      <c r="T4414" s="198" t="s">
        <v>2272</v>
      </c>
      <c r="U4414" s="198" t="s">
        <v>2272</v>
      </c>
      <c r="V4414" s="198" t="s">
        <v>2272</v>
      </c>
      <c r="W4414" s="198" t="s">
        <v>2272</v>
      </c>
      <c r="X4414" s="198" t="s">
        <v>2272</v>
      </c>
      <c r="Y4414" s="198" t="s">
        <v>187</v>
      </c>
      <c r="Z4414" s="198" t="s">
        <v>403</v>
      </c>
      <c r="AA4414" s="198" t="s">
        <v>2272</v>
      </c>
      <c r="AB4414" s="198"/>
      <c r="AC4414" s="198"/>
    </row>
    <row r="4415" spans="1:29" ht="61.5" customHeight="1">
      <c r="A4415" s="147" t="str">
        <f>'Reported burning'!A4416</f>
        <v>497a</v>
      </c>
      <c r="B4415" s="147" t="str">
        <f>'Reported burning'!B4416</f>
        <v>497a.3</v>
      </c>
      <c r="C4415" s="147" t="str">
        <f>'Reported burning'!C4416</f>
        <v>Human, deliberate</v>
      </c>
      <c r="D4415" s="147" t="str">
        <f>'Reported burning'!D4416</f>
        <v>Harvesting of Timber</v>
      </c>
      <c r="E4415" s="147" t="str">
        <f>'Reported burning'!E4416</f>
        <v>Forestry, Small-scale</v>
      </c>
      <c r="F4415" s="147" t="str">
        <f>'Reported burning'!F4416</f>
        <v>Forest</v>
      </c>
      <c r="G4415" s="147" t="str">
        <f>'Reported burning'!G4416</f>
        <v>Forest</v>
      </c>
      <c r="H4415" s="147" t="str">
        <f>'Reported burning'!H4416</f>
        <v>Presence</v>
      </c>
      <c r="I4415" s="198"/>
      <c r="J4415" s="198" t="s">
        <v>2272</v>
      </c>
      <c r="K4415" s="198" t="s">
        <v>2272</v>
      </c>
      <c r="L4415" s="198" t="s">
        <v>2272</v>
      </c>
      <c r="M4415" s="198" t="s">
        <v>2272</v>
      </c>
      <c r="N4415" s="198" t="s">
        <v>2272</v>
      </c>
      <c r="O4415" s="198" t="s">
        <v>2272</v>
      </c>
      <c r="P4415" s="198" t="s">
        <v>2272</v>
      </c>
      <c r="Q4415" s="198" t="s">
        <v>2272</v>
      </c>
      <c r="R4415" s="198" t="s">
        <v>2272</v>
      </c>
      <c r="S4415" s="198" t="s">
        <v>2272</v>
      </c>
      <c r="T4415" s="198" t="s">
        <v>2272</v>
      </c>
      <c r="U4415" s="198" t="s">
        <v>2272</v>
      </c>
      <c r="V4415" s="198" t="s">
        <v>2272</v>
      </c>
      <c r="W4415" s="198" t="s">
        <v>2272</v>
      </c>
      <c r="X4415" s="198" t="s">
        <v>2272</v>
      </c>
      <c r="Y4415" s="198" t="s">
        <v>2272</v>
      </c>
      <c r="Z4415" s="198" t="s">
        <v>2272</v>
      </c>
      <c r="AA4415" s="198" t="s">
        <v>2272</v>
      </c>
      <c r="AB4415" s="18" t="s">
        <v>11467</v>
      </c>
      <c r="AC4415" s="198"/>
    </row>
    <row r="4416" spans="1:29" ht="46" customHeight="1">
      <c r="A4416" s="147" t="str">
        <f>'Reported burning'!A4417</f>
        <v>497a</v>
      </c>
      <c r="B4416" s="147" t="str">
        <f>'Reported burning'!B4417</f>
        <v>497a.4</v>
      </c>
      <c r="C4416" s="147" t="str">
        <f>'Reported burning'!C4417</f>
        <v>Human, deliberate</v>
      </c>
      <c r="D4416" s="147" t="str">
        <f>'Reported burning'!D4417</f>
        <v>Pasture renewal</v>
      </c>
      <c r="E4416" s="147" t="str">
        <f>'Reported burning'!E4417</f>
        <v>ND</v>
      </c>
      <c r="F4416" s="147" t="str">
        <f>'Reported burning'!F4417</f>
        <v>Grassland</v>
      </c>
      <c r="G4416" s="147" t="str">
        <f>'Reported burning'!G4417</f>
        <v>Grassland</v>
      </c>
      <c r="H4416" s="147" t="str">
        <f>'Reported burning'!H4417</f>
        <v>Presence</v>
      </c>
      <c r="I4416" s="198"/>
      <c r="J4416" s="198" t="s">
        <v>2272</v>
      </c>
      <c r="K4416" s="198" t="s">
        <v>2272</v>
      </c>
      <c r="L4416" s="198" t="s">
        <v>2272</v>
      </c>
      <c r="M4416" s="198" t="s">
        <v>2272</v>
      </c>
      <c r="N4416" s="198" t="s">
        <v>2272</v>
      </c>
      <c r="O4416" s="198" t="s">
        <v>2272</v>
      </c>
      <c r="P4416" s="198" t="s">
        <v>2272</v>
      </c>
      <c r="Q4416" s="198" t="s">
        <v>2272</v>
      </c>
      <c r="R4416" s="198" t="s">
        <v>2272</v>
      </c>
      <c r="S4416" s="198" t="s">
        <v>2272</v>
      </c>
      <c r="T4416" s="198" t="s">
        <v>2272</v>
      </c>
      <c r="U4416" s="198" t="s">
        <v>2272</v>
      </c>
      <c r="V4416" s="198" t="s">
        <v>2272</v>
      </c>
      <c r="W4416" s="198" t="s">
        <v>2272</v>
      </c>
      <c r="X4416" s="198" t="s">
        <v>2272</v>
      </c>
      <c r="Y4416" s="198" t="s">
        <v>2272</v>
      </c>
      <c r="Z4416" s="198" t="s">
        <v>2272</v>
      </c>
      <c r="AA4416" s="198" t="s">
        <v>2272</v>
      </c>
      <c r="AB4416" s="18" t="s">
        <v>11466</v>
      </c>
      <c r="AC4416" s="198"/>
    </row>
    <row r="4417" spans="1:29" s="197" customFormat="1" ht="46" customHeight="1">
      <c r="A4417" s="147" t="str">
        <f>'Reported burning'!A4418</f>
        <v>498a</v>
      </c>
      <c r="B4417" s="147" t="str">
        <f>'Reported burning'!B4418</f>
        <v>498a.1</v>
      </c>
      <c r="C4417" s="147" t="str">
        <f>'Reported burning'!C4418</f>
        <v>Human, deliberate</v>
      </c>
      <c r="D4417" s="147" t="str">
        <f>'Reported burning'!D4418</f>
        <v>Crop field preparation</v>
      </c>
      <c r="E4417" s="147" t="str">
        <f>'Reported burning'!E4418</f>
        <v>Cropping, Swidden</v>
      </c>
      <c r="F4417" s="147" t="str">
        <f>'Reported burning'!F4418</f>
        <v>Secondary vegetation</v>
      </c>
      <c r="G4417" s="147" t="str">
        <f>'Reported burning'!G4418</f>
        <v>Secondary vegetation</v>
      </c>
      <c r="H4417" s="147" t="str">
        <f>'Reported burning'!H4418</f>
        <v>Presence</v>
      </c>
      <c r="I4417" s="198"/>
      <c r="J4417" s="198" t="s">
        <v>2272</v>
      </c>
      <c r="K4417" s="198" t="s">
        <v>2272</v>
      </c>
      <c r="L4417" s="198" t="s">
        <v>2272</v>
      </c>
      <c r="M4417" s="198" t="s">
        <v>2272</v>
      </c>
      <c r="N4417" s="198" t="s">
        <v>2272</v>
      </c>
      <c r="O4417" s="198" t="s">
        <v>2272</v>
      </c>
      <c r="P4417" s="198" t="s">
        <v>2272</v>
      </c>
      <c r="Q4417" s="198" t="s">
        <v>2272</v>
      </c>
      <c r="R4417" s="198" t="s">
        <v>2272</v>
      </c>
      <c r="S4417" s="198" t="s">
        <v>2272</v>
      </c>
      <c r="T4417" s="198" t="s">
        <v>2272</v>
      </c>
      <c r="U4417" s="198" t="s">
        <v>2272</v>
      </c>
      <c r="V4417" s="198" t="s">
        <v>2272</v>
      </c>
      <c r="W4417" s="198" t="s">
        <v>2272</v>
      </c>
      <c r="X4417" s="198" t="s">
        <v>2272</v>
      </c>
      <c r="Y4417" s="198" t="s">
        <v>2272</v>
      </c>
      <c r="Z4417" s="198" t="s">
        <v>2272</v>
      </c>
      <c r="AA4417" s="198" t="s">
        <v>2272</v>
      </c>
      <c r="AB4417" s="18" t="s">
        <v>11486</v>
      </c>
      <c r="AC4417" s="198"/>
    </row>
    <row r="4418" spans="1:29" s="197" customFormat="1" ht="46" customHeight="1">
      <c r="A4418" s="147" t="str">
        <f>'Reported burning'!A4419</f>
        <v>498a</v>
      </c>
      <c r="B4418" s="147" t="str">
        <f>'Reported burning'!B4419</f>
        <v>498a.2</v>
      </c>
      <c r="C4418" s="147" t="str">
        <f>'Reported burning'!C4419</f>
        <v>Human, deliberate</v>
      </c>
      <c r="D4418" s="147" t="str">
        <f>'Reported burning'!D4419</f>
        <v>Crop field preparation</v>
      </c>
      <c r="E4418" s="147" t="str">
        <f>'Reported burning'!E4419</f>
        <v>Cropping, Monoculture, Subsistence-oriented</v>
      </c>
      <c r="F4418" s="147" t="str">
        <f>'Reported burning'!F4419</f>
        <v>Secondary vegetation</v>
      </c>
      <c r="G4418" s="147" t="str">
        <f>'Reported burning'!G4419</f>
        <v>Secondary vegetation</v>
      </c>
      <c r="H4418" s="147" t="str">
        <f>'Reported burning'!H4419</f>
        <v>Presence</v>
      </c>
      <c r="I4418" s="198"/>
      <c r="J4418" s="198" t="s">
        <v>2272</v>
      </c>
      <c r="K4418" s="198" t="s">
        <v>2272</v>
      </c>
      <c r="L4418" s="198" t="s">
        <v>2272</v>
      </c>
      <c r="M4418" s="198" t="s">
        <v>2272</v>
      </c>
      <c r="N4418" s="198" t="s">
        <v>2272</v>
      </c>
      <c r="O4418" s="198" t="s">
        <v>2272</v>
      </c>
      <c r="P4418" s="198" t="s">
        <v>2272</v>
      </c>
      <c r="Q4418" s="198" t="s">
        <v>2272</v>
      </c>
      <c r="R4418" s="198" t="s">
        <v>2272</v>
      </c>
      <c r="S4418" s="198" t="s">
        <v>2272</v>
      </c>
      <c r="T4418" s="198" t="s">
        <v>2272</v>
      </c>
      <c r="U4418" s="198" t="s">
        <v>2272</v>
      </c>
      <c r="V4418" s="198" t="s">
        <v>2272</v>
      </c>
      <c r="W4418" s="198" t="s">
        <v>2272</v>
      </c>
      <c r="X4418" s="198" t="s">
        <v>2272</v>
      </c>
      <c r="Y4418" s="198" t="s">
        <v>2272</v>
      </c>
      <c r="Z4418" s="198" t="s">
        <v>2272</v>
      </c>
      <c r="AA4418" s="198" t="s">
        <v>2272</v>
      </c>
      <c r="AB4418" s="18" t="s">
        <v>11485</v>
      </c>
      <c r="AC4418" s="198"/>
    </row>
    <row r="4419" spans="1:29" s="197" customFormat="1" ht="46" customHeight="1">
      <c r="A4419" s="147" t="str">
        <f>'Reported burning'!A4420</f>
        <v>498a</v>
      </c>
      <c r="B4419" s="147" t="str">
        <f>'Reported burning'!B4420</f>
        <v>498a.3</v>
      </c>
      <c r="C4419" s="147" t="str">
        <f>'Reported burning'!C4420</f>
        <v>Human, deliberate</v>
      </c>
      <c r="D4419" s="147" t="str">
        <f>'Reported burning'!D4420</f>
        <v>Crop field preparation</v>
      </c>
      <c r="E4419" s="147" t="str">
        <f>'Reported burning'!E4420</f>
        <v>Mixed cropping-livestock small holder, Market-oriented</v>
      </c>
      <c r="F4419" s="147" t="str">
        <f>'Reported burning'!F4420</f>
        <v>Secondary vegetation</v>
      </c>
      <c r="G4419" s="147" t="str">
        <f>'Reported burning'!G4420</f>
        <v>Secondary vegetation</v>
      </c>
      <c r="H4419" s="147" t="str">
        <f>'Reported burning'!H4420</f>
        <v>Absence</v>
      </c>
      <c r="I4419" s="198"/>
      <c r="J4419" s="198">
        <v>0</v>
      </c>
      <c r="K4419" s="198">
        <v>0</v>
      </c>
      <c r="L4419" s="198">
        <v>0</v>
      </c>
      <c r="M4419" s="198">
        <v>0</v>
      </c>
      <c r="N4419" s="198">
        <v>0</v>
      </c>
      <c r="O4419" s="198">
        <v>0</v>
      </c>
      <c r="P4419" s="198">
        <v>0</v>
      </c>
      <c r="Q4419" s="198">
        <v>0</v>
      </c>
      <c r="R4419" s="198">
        <v>0</v>
      </c>
      <c r="S4419" s="198">
        <v>0</v>
      </c>
      <c r="T4419" s="198">
        <v>0</v>
      </c>
      <c r="U4419" s="198">
        <v>0</v>
      </c>
      <c r="V4419" s="198">
        <v>0</v>
      </c>
      <c r="W4419" s="198">
        <v>0</v>
      </c>
      <c r="X4419" s="198" t="s">
        <v>2272</v>
      </c>
      <c r="Y4419" s="198" t="s">
        <v>2272</v>
      </c>
      <c r="Z4419" s="198" t="s">
        <v>2272</v>
      </c>
      <c r="AA4419" s="198" t="s">
        <v>2272</v>
      </c>
      <c r="AB4419" s="18" t="s">
        <v>11487</v>
      </c>
      <c r="AC4419" s="198"/>
    </row>
    <row r="4420" spans="1:29" ht="41" customHeight="1">
      <c r="A4420" s="147" t="str">
        <f>'Reported burning'!A4421</f>
        <v>499a</v>
      </c>
      <c r="B4420" s="147" t="str">
        <f>'Reported burning'!B4421</f>
        <v>499a.1</v>
      </c>
      <c r="C4420" s="147" t="str">
        <f>'Reported burning'!C4421</f>
        <v>Human, deliberate</v>
      </c>
      <c r="D4420" s="147" t="str">
        <f>'Reported burning'!D4421</f>
        <v>Rangeland management</v>
      </c>
      <c r="E4420" s="147" t="str">
        <f>'Reported burning'!E4421</f>
        <v>Pastoralism, Migratory</v>
      </c>
      <c r="F4420" s="147" t="str">
        <f>'Reported burning'!F4421</f>
        <v>Shrubland (Mixed forest &amp; grassland)</v>
      </c>
      <c r="G4420" s="147" t="str">
        <f>'Reported burning'!G4421</f>
        <v>Shrubland (Mixed forest &amp; grassland)</v>
      </c>
      <c r="H4420" s="147" t="str">
        <f>'Reported burning'!H4421</f>
        <v>Presence</v>
      </c>
      <c r="I4420" s="198"/>
      <c r="J4420" s="198" t="s">
        <v>2272</v>
      </c>
      <c r="K4420" s="198" t="s">
        <v>2272</v>
      </c>
      <c r="L4420" s="198" t="s">
        <v>2272</v>
      </c>
      <c r="M4420" s="198" t="s">
        <v>2272</v>
      </c>
      <c r="N4420" s="198" t="s">
        <v>2272</v>
      </c>
      <c r="O4420" s="198" t="s">
        <v>2272</v>
      </c>
      <c r="P4420" s="198" t="s">
        <v>2272</v>
      </c>
      <c r="Q4420" s="198" t="s">
        <v>2272</v>
      </c>
      <c r="R4420" s="198" t="s">
        <v>2272</v>
      </c>
      <c r="S4420" s="198" t="s">
        <v>2272</v>
      </c>
      <c r="T4420" s="198" t="s">
        <v>2272</v>
      </c>
      <c r="U4420" s="198" t="s">
        <v>2272</v>
      </c>
      <c r="V4420" s="198" t="s">
        <v>2272</v>
      </c>
      <c r="W4420" s="198" t="s">
        <v>2272</v>
      </c>
      <c r="X4420" s="198" t="s">
        <v>2272</v>
      </c>
      <c r="Y4420" s="198" t="s">
        <v>2272</v>
      </c>
      <c r="Z4420" s="198" t="s">
        <v>2272</v>
      </c>
      <c r="AA4420" s="198" t="s">
        <v>2272</v>
      </c>
      <c r="AB4420" s="198"/>
      <c r="AC4420" s="198"/>
    </row>
    <row r="4421" spans="1:29" ht="41" customHeight="1">
      <c r="A4421" s="147" t="str">
        <f>'Reported burning'!A4422</f>
        <v>499a</v>
      </c>
      <c r="B4421" s="147" t="str">
        <f>'Reported burning'!B4422</f>
        <v>499a.2</v>
      </c>
      <c r="C4421" s="147" t="str">
        <f>'Reported burning'!C4422</f>
        <v>Human, escaped</v>
      </c>
      <c r="D4421" s="147" t="str">
        <f>'Reported burning'!D4422</f>
        <v>Rangeland management</v>
      </c>
      <c r="E4421" s="147" t="str">
        <f>'Reported burning'!E4422</f>
        <v>Pastoralism, Migratory</v>
      </c>
      <c r="F4421" s="147" t="str">
        <f>'Reported burning'!F4422</f>
        <v>Shrubland (Mixed forest &amp; grassland)</v>
      </c>
      <c r="G4421" s="147" t="str">
        <f>'Reported burning'!G4422</f>
        <v>Cropland</v>
      </c>
      <c r="H4421" s="147" t="str">
        <f>'Reported burning'!H4422</f>
        <v>Presence</v>
      </c>
      <c r="I4421" s="198"/>
      <c r="J4421" s="198" t="s">
        <v>2272</v>
      </c>
      <c r="K4421" s="198" t="s">
        <v>2272</v>
      </c>
      <c r="L4421" s="198" t="s">
        <v>2272</v>
      </c>
      <c r="M4421" s="198" t="s">
        <v>2272</v>
      </c>
      <c r="N4421" s="198" t="s">
        <v>2272</v>
      </c>
      <c r="O4421" s="198" t="s">
        <v>2272</v>
      </c>
      <c r="P4421" s="198" t="s">
        <v>2272</v>
      </c>
      <c r="Q4421" s="198" t="s">
        <v>2272</v>
      </c>
      <c r="R4421" s="198" t="s">
        <v>2272</v>
      </c>
      <c r="S4421" s="198" t="s">
        <v>2272</v>
      </c>
      <c r="T4421" s="198" t="s">
        <v>2272</v>
      </c>
      <c r="U4421" s="198" t="s">
        <v>2272</v>
      </c>
      <c r="V4421" s="198" t="s">
        <v>2272</v>
      </c>
      <c r="W4421" s="198" t="s">
        <v>2272</v>
      </c>
      <c r="X4421" s="198" t="s">
        <v>2272</v>
      </c>
      <c r="Y4421" s="198" t="s">
        <v>2272</v>
      </c>
      <c r="Z4421" s="198" t="s">
        <v>2272</v>
      </c>
      <c r="AA4421" s="198" t="s">
        <v>2272</v>
      </c>
      <c r="AB4421" s="198"/>
      <c r="AC4421" s="198"/>
    </row>
    <row r="4422" spans="1:29" ht="43.5" customHeight="1">
      <c r="A4422" s="147" t="str">
        <f>'Reported burning'!A4423</f>
        <v>500a</v>
      </c>
      <c r="B4422" s="147" t="str">
        <f>'Reported burning'!B4423</f>
        <v>500a.1</v>
      </c>
      <c r="C4422" s="147" t="str">
        <f>'Reported burning'!C4423</f>
        <v>Lightning</v>
      </c>
      <c r="D4422" s="147" t="str">
        <f>'Reported burning'!D4423</f>
        <v>ND</v>
      </c>
      <c r="E4422" s="147" t="str">
        <f>'Reported burning'!E4423</f>
        <v>ND</v>
      </c>
      <c r="F4422" s="147" t="str">
        <f>'Reported burning'!F4423</f>
        <v>ND</v>
      </c>
      <c r="G4422" s="147" t="str">
        <f>'Reported burning'!G4423</f>
        <v>Shrubland (Mixed forest &amp; grassland)</v>
      </c>
      <c r="H4422" s="147" t="str">
        <f>'Reported burning'!H4423</f>
        <v>Presence</v>
      </c>
      <c r="I4422" s="198"/>
      <c r="J4422" s="198" t="s">
        <v>2272</v>
      </c>
      <c r="K4422" s="198" t="s">
        <v>2272</v>
      </c>
      <c r="L4422" s="198" t="s">
        <v>2272</v>
      </c>
      <c r="M4422" s="198" t="s">
        <v>2272</v>
      </c>
      <c r="N4422" s="198" t="s">
        <v>2272</v>
      </c>
      <c r="O4422" s="198" t="s">
        <v>2272</v>
      </c>
      <c r="P4422" s="198" t="s">
        <v>2272</v>
      </c>
      <c r="Q4422" s="198" t="s">
        <v>2272</v>
      </c>
      <c r="R4422" s="198" t="s">
        <v>2272</v>
      </c>
      <c r="S4422" s="198" t="s">
        <v>2272</v>
      </c>
      <c r="T4422" s="198" t="s">
        <v>2272</v>
      </c>
      <c r="U4422" s="198" t="s">
        <v>2272</v>
      </c>
      <c r="V4422" s="198" t="s">
        <v>2272</v>
      </c>
      <c r="W4422" s="198" t="s">
        <v>2272</v>
      </c>
      <c r="X4422" s="198" t="s">
        <v>2272</v>
      </c>
      <c r="Y4422" s="198" t="s">
        <v>2272</v>
      </c>
      <c r="Z4422" s="198" t="s">
        <v>2272</v>
      </c>
      <c r="AA4422" s="198" t="s">
        <v>2272</v>
      </c>
      <c r="AB4422" s="198"/>
      <c r="AC4422" s="198"/>
    </row>
    <row r="4423" spans="1:29" ht="43.5" customHeight="1">
      <c r="A4423" s="147" t="str">
        <f>'Reported burning'!A4424</f>
        <v>500a</v>
      </c>
      <c r="B4423" s="147" t="str">
        <f>'Reported burning'!B4424</f>
        <v>500a.2</v>
      </c>
      <c r="C4423" s="147" t="str">
        <f>'Reported burning'!C4424</f>
        <v>Human, deliberate</v>
      </c>
      <c r="D4423" s="147" t="str">
        <f>'Reported burning'!D4424</f>
        <v>Land clearance</v>
      </c>
      <c r="E4423" s="147" t="str">
        <f>'Reported burning'!E4424</f>
        <v>Cropping, Intensive</v>
      </c>
      <c r="F4423" s="147" t="str">
        <f>'Reported burning'!F4424</f>
        <v>Shrubland (Mixed forest &amp; grassland)</v>
      </c>
      <c r="G4423" s="147" t="str">
        <f>'Reported burning'!G4424</f>
        <v>Shrubland (Mixed forest &amp; grassland)</v>
      </c>
      <c r="H4423" s="147" t="str">
        <f>'Reported burning'!H4424</f>
        <v>Presence</v>
      </c>
      <c r="I4423" s="198"/>
      <c r="J4423" s="198" t="s">
        <v>2272</v>
      </c>
      <c r="K4423" s="198" t="s">
        <v>2272</v>
      </c>
      <c r="L4423" s="198" t="s">
        <v>2272</v>
      </c>
      <c r="M4423" s="198" t="s">
        <v>2272</v>
      </c>
      <c r="N4423" s="198" t="s">
        <v>2272</v>
      </c>
      <c r="O4423" s="198" t="s">
        <v>2272</v>
      </c>
      <c r="P4423" s="198" t="s">
        <v>2272</v>
      </c>
      <c r="Q4423" s="198" t="s">
        <v>2272</v>
      </c>
      <c r="R4423" s="198" t="s">
        <v>2272</v>
      </c>
      <c r="S4423" s="198" t="s">
        <v>2272</v>
      </c>
      <c r="T4423" s="198" t="s">
        <v>2272</v>
      </c>
      <c r="U4423" s="198" t="s">
        <v>2272</v>
      </c>
      <c r="V4423" s="198" t="s">
        <v>2272</v>
      </c>
      <c r="W4423" s="198" t="s">
        <v>2272</v>
      </c>
      <c r="X4423" s="198" t="s">
        <v>2272</v>
      </c>
      <c r="Y4423" s="198" t="s">
        <v>2272</v>
      </c>
      <c r="Z4423" s="198" t="s">
        <v>2272</v>
      </c>
      <c r="AA4423" s="198" t="s">
        <v>2272</v>
      </c>
      <c r="AB4423" s="198"/>
      <c r="AC4423" s="198"/>
    </row>
    <row r="4424" spans="1:29" ht="43.5" customHeight="1">
      <c r="A4424" s="147" t="str">
        <f>'Reported burning'!A4425</f>
        <v>500a</v>
      </c>
      <c r="B4424" s="147" t="str">
        <f>'Reported burning'!B4425</f>
        <v>500a.3</v>
      </c>
      <c r="C4424" s="147" t="str">
        <f>'Reported burning'!C4425</f>
        <v>Human, deliberate</v>
      </c>
      <c r="D4424" s="147" t="str">
        <f>'Reported burning'!D4425</f>
        <v>Pasture renewal</v>
      </c>
      <c r="E4424" s="147" t="str">
        <f>'Reported burning'!E4425</f>
        <v>Cattle, Extensive</v>
      </c>
      <c r="F4424" s="147" t="str">
        <f>'Reported burning'!F4425</f>
        <v>Pasture</v>
      </c>
      <c r="G4424" s="147" t="str">
        <f>'Reported burning'!G4425</f>
        <v>Pasture</v>
      </c>
      <c r="H4424" s="147" t="str">
        <f>'Reported burning'!H4425</f>
        <v>Presence</v>
      </c>
      <c r="I4424" s="198"/>
      <c r="J4424" s="198" t="s">
        <v>2272</v>
      </c>
      <c r="K4424" s="198" t="s">
        <v>2272</v>
      </c>
      <c r="L4424" s="198" t="s">
        <v>2272</v>
      </c>
      <c r="M4424" s="198" t="s">
        <v>2272</v>
      </c>
      <c r="N4424" s="198" t="s">
        <v>2272</v>
      </c>
      <c r="O4424" s="198" t="s">
        <v>2272</v>
      </c>
      <c r="P4424" s="198" t="s">
        <v>2272</v>
      </c>
      <c r="Q4424" s="198" t="s">
        <v>2272</v>
      </c>
      <c r="R4424" s="198" t="s">
        <v>2272</v>
      </c>
      <c r="S4424" s="198" t="s">
        <v>2272</v>
      </c>
      <c r="T4424" s="198" t="s">
        <v>2272</v>
      </c>
      <c r="U4424" s="198" t="s">
        <v>2272</v>
      </c>
      <c r="V4424" s="198" t="s">
        <v>2272</v>
      </c>
      <c r="W4424" s="198" t="s">
        <v>2272</v>
      </c>
      <c r="X4424" s="198" t="s">
        <v>2272</v>
      </c>
      <c r="Y4424" s="198" t="s">
        <v>2272</v>
      </c>
      <c r="Z4424" s="198" t="s">
        <v>2272</v>
      </c>
      <c r="AA4424" s="198" t="s">
        <v>2272</v>
      </c>
      <c r="AB4424" s="198"/>
      <c r="AC4424" s="198"/>
    </row>
    <row r="4425" spans="1:29" ht="43.5" customHeight="1">
      <c r="A4425" s="147" t="str">
        <f>'Reported burning'!A4426</f>
        <v>500a</v>
      </c>
      <c r="B4425" s="147" t="str">
        <f>'Reported burning'!B4426</f>
        <v>500a.4</v>
      </c>
      <c r="C4425" s="147" t="str">
        <f>'Reported burning'!C4426</f>
        <v>Human, escaped</v>
      </c>
      <c r="D4425" s="147" t="str">
        <f>'Reported burning'!D4426</f>
        <v>Pasture renewal</v>
      </c>
      <c r="E4425" s="147" t="str">
        <f>'Reported burning'!E4426</f>
        <v>Cattle, Extensive</v>
      </c>
      <c r="F4425" s="147" t="str">
        <f>'Reported burning'!F4426</f>
        <v>Pasture</v>
      </c>
      <c r="G4425" s="147" t="str">
        <f>'Reported burning'!G4426</f>
        <v>Shrubland (Mixed forest &amp; grassland)</v>
      </c>
      <c r="H4425" s="147" t="str">
        <f>'Reported burning'!H4426</f>
        <v>Presence</v>
      </c>
      <c r="I4425" s="198"/>
      <c r="J4425" s="198" t="s">
        <v>2272</v>
      </c>
      <c r="K4425" s="198" t="s">
        <v>2272</v>
      </c>
      <c r="L4425" s="198" t="s">
        <v>2272</v>
      </c>
      <c r="M4425" s="21" t="s">
        <v>2381</v>
      </c>
      <c r="N4425" s="198" t="s">
        <v>2272</v>
      </c>
      <c r="O4425" s="198" t="s">
        <v>2272</v>
      </c>
      <c r="P4425" s="198" t="s">
        <v>2272</v>
      </c>
      <c r="Q4425" s="198" t="s">
        <v>2272</v>
      </c>
      <c r="R4425" s="198" t="s">
        <v>2272</v>
      </c>
      <c r="S4425" s="198" t="s">
        <v>2272</v>
      </c>
      <c r="T4425" s="198" t="s">
        <v>2272</v>
      </c>
      <c r="U4425" s="198" t="s">
        <v>2272</v>
      </c>
      <c r="V4425" s="198" t="s">
        <v>2272</v>
      </c>
      <c r="W4425" s="198" t="s">
        <v>2272</v>
      </c>
      <c r="X4425" s="198" t="s">
        <v>2272</v>
      </c>
      <c r="Y4425" s="198" t="s">
        <v>2272</v>
      </c>
      <c r="Z4425" s="198" t="s">
        <v>2272</v>
      </c>
      <c r="AA4425" s="198" t="s">
        <v>2272</v>
      </c>
      <c r="AB4425" s="198"/>
      <c r="AC4425" s="198"/>
    </row>
    <row r="4426" spans="1:29" ht="43.5" customHeight="1">
      <c r="A4426" s="147" t="str">
        <f>'Reported burning'!A4427</f>
        <v>500a</v>
      </c>
      <c r="B4426" s="147" t="str">
        <f>'Reported burning'!B4427</f>
        <v>500a.5</v>
      </c>
      <c r="C4426" s="147" t="str">
        <f>'Reported burning'!C4427</f>
        <v>Human, deliberate</v>
      </c>
      <c r="D4426" s="147" t="str">
        <f>'Reported burning'!D4427</f>
        <v>ND</v>
      </c>
      <c r="E4426" s="147" t="str">
        <f>'Reported burning'!E4427</f>
        <v>Cropping, Intensive</v>
      </c>
      <c r="F4426" s="147" t="str">
        <f>'Reported burning'!F4427</f>
        <v>Cropland</v>
      </c>
      <c r="G4426" s="147" t="str">
        <f>'Reported burning'!G4427</f>
        <v>Cropland</v>
      </c>
      <c r="H4426" s="147" t="str">
        <f>'Reported burning'!H4427</f>
        <v>Presence</v>
      </c>
      <c r="I4426" s="198"/>
      <c r="J4426" s="198" t="s">
        <v>2272</v>
      </c>
      <c r="K4426" s="198" t="s">
        <v>2272</v>
      </c>
      <c r="L4426" s="198" t="s">
        <v>2272</v>
      </c>
      <c r="M4426" s="198" t="s">
        <v>2272</v>
      </c>
      <c r="N4426" s="198" t="s">
        <v>2272</v>
      </c>
      <c r="O4426" s="198" t="s">
        <v>2272</v>
      </c>
      <c r="P4426" s="198" t="s">
        <v>2272</v>
      </c>
      <c r="Q4426" s="198" t="s">
        <v>2272</v>
      </c>
      <c r="R4426" s="198" t="s">
        <v>2272</v>
      </c>
      <c r="S4426" s="198" t="s">
        <v>2272</v>
      </c>
      <c r="T4426" s="198" t="s">
        <v>2272</v>
      </c>
      <c r="U4426" s="198" t="s">
        <v>2272</v>
      </c>
      <c r="V4426" s="198" t="s">
        <v>2272</v>
      </c>
      <c r="W4426" s="198" t="s">
        <v>2272</v>
      </c>
      <c r="X4426" s="198" t="s">
        <v>2272</v>
      </c>
      <c r="Y4426" s="198" t="s">
        <v>2272</v>
      </c>
      <c r="Z4426" s="198" t="s">
        <v>2272</v>
      </c>
      <c r="AA4426" s="198" t="s">
        <v>2272</v>
      </c>
      <c r="AB4426" s="198"/>
      <c r="AC4426" s="198"/>
    </row>
    <row r="4427" spans="1:29" ht="45" customHeight="1">
      <c r="A4427" s="147" t="str">
        <f>'Reported burning'!A4428</f>
        <v>500a</v>
      </c>
      <c r="B4427" s="147" t="str">
        <f>'Reported burning'!B4428</f>
        <v>500a.6</v>
      </c>
      <c r="C4427" s="147" t="str">
        <f>'Reported burning'!C4428</f>
        <v>Human, escaped</v>
      </c>
      <c r="D4427" s="147" t="str">
        <f>'Reported burning'!D4428</f>
        <v>ND</v>
      </c>
      <c r="E4427" s="147" t="str">
        <f>'Reported burning'!E4428</f>
        <v>Cropping, Intensive</v>
      </c>
      <c r="F4427" s="147" t="str">
        <f>'Reported burning'!F4428</f>
        <v>Cropland</v>
      </c>
      <c r="G4427" s="147" t="str">
        <f>'Reported burning'!G4428</f>
        <v>Shrubland (Mixed forest &amp; grassland)</v>
      </c>
      <c r="H4427" s="147" t="str">
        <f>'Reported burning'!H4428</f>
        <v>Presence</v>
      </c>
      <c r="I4427" s="198"/>
      <c r="J4427" s="198" t="s">
        <v>2272</v>
      </c>
      <c r="K4427" s="198" t="s">
        <v>2272</v>
      </c>
      <c r="L4427" s="198" t="s">
        <v>2272</v>
      </c>
      <c r="M4427" s="21" t="s">
        <v>2381</v>
      </c>
      <c r="N4427" s="198" t="s">
        <v>2272</v>
      </c>
      <c r="O4427" s="198" t="s">
        <v>2272</v>
      </c>
      <c r="P4427" s="198" t="s">
        <v>2272</v>
      </c>
      <c r="Q4427" s="198" t="s">
        <v>2272</v>
      </c>
      <c r="R4427" s="198" t="s">
        <v>2272</v>
      </c>
      <c r="S4427" s="198" t="s">
        <v>2272</v>
      </c>
      <c r="T4427" s="198" t="s">
        <v>2272</v>
      </c>
      <c r="U4427" s="198" t="s">
        <v>2272</v>
      </c>
      <c r="V4427" s="198" t="s">
        <v>2272</v>
      </c>
      <c r="W4427" s="198" t="s">
        <v>2272</v>
      </c>
      <c r="X4427" s="198" t="s">
        <v>2272</v>
      </c>
      <c r="Y4427" s="198" t="s">
        <v>2272</v>
      </c>
      <c r="Z4427" s="198" t="s">
        <v>2272</v>
      </c>
      <c r="AA4427" s="198" t="s">
        <v>2272</v>
      </c>
      <c r="AB4427" s="198"/>
      <c r="AC4427" s="198"/>
    </row>
    <row r="4428" spans="1:29" ht="45" customHeight="1">
      <c r="A4428" s="147" t="str">
        <f>'Reported burning'!A4429</f>
        <v>500a</v>
      </c>
      <c r="B4428" s="147" t="str">
        <f>'Reported burning'!B4429</f>
        <v>500a.7</v>
      </c>
      <c r="C4428" s="147" t="str">
        <f>'Reported burning'!C4429</f>
        <v>Human, deliberate</v>
      </c>
      <c r="D4428" s="147" t="str">
        <f>'Reported burning'!D4429</f>
        <v>Pyrome management</v>
      </c>
      <c r="E4428" s="147" t="str">
        <f>'Reported burning'!E4429</f>
        <v>Forestry, Traditional</v>
      </c>
      <c r="F4428" s="147" t="str">
        <f>'Reported burning'!F4429</f>
        <v>Shrubland (Mixed forest &amp; grassland)</v>
      </c>
      <c r="G4428" s="147" t="str">
        <f>'Reported burning'!G4429</f>
        <v>Shrubland (Mixed forest &amp; grassland)</v>
      </c>
      <c r="H4428" s="147" t="str">
        <f>'Reported burning'!H4429</f>
        <v>Presence</v>
      </c>
      <c r="I4428" s="198"/>
      <c r="J4428" s="198" t="s">
        <v>2272</v>
      </c>
      <c r="K4428" s="198" t="s">
        <v>2272</v>
      </c>
      <c r="L4428" s="198" t="s">
        <v>2272</v>
      </c>
      <c r="M4428" s="198" t="s">
        <v>2272</v>
      </c>
      <c r="N4428" s="198" t="s">
        <v>2272</v>
      </c>
      <c r="O4428" s="198" t="s">
        <v>2272</v>
      </c>
      <c r="P4428" s="198" t="s">
        <v>2272</v>
      </c>
      <c r="Q4428" s="198" t="s">
        <v>2272</v>
      </c>
      <c r="R4428" s="198" t="s">
        <v>2272</v>
      </c>
      <c r="S4428" s="198" t="s">
        <v>2272</v>
      </c>
      <c r="T4428" s="198" t="s">
        <v>2272</v>
      </c>
      <c r="U4428" s="198" t="s">
        <v>2272</v>
      </c>
      <c r="V4428" s="198" t="s">
        <v>2272</v>
      </c>
      <c r="W4428" s="198" t="s">
        <v>2272</v>
      </c>
      <c r="X4428" s="198" t="s">
        <v>2272</v>
      </c>
      <c r="Y4428" s="198" t="s">
        <v>2272</v>
      </c>
      <c r="Z4428" s="198" t="s">
        <v>2272</v>
      </c>
      <c r="AA4428" s="198" t="s">
        <v>2272</v>
      </c>
      <c r="AB4428" s="198"/>
      <c r="AC4428" s="198"/>
    </row>
    <row r="4429" spans="1:29" ht="45" customHeight="1">
      <c r="A4429" s="147" t="str">
        <f>'Reported burning'!A4430</f>
        <v>500a</v>
      </c>
      <c r="B4429" s="147" t="str">
        <f>'Reported burning'!B4430</f>
        <v>500a.8</v>
      </c>
      <c r="C4429" s="147" t="str">
        <f>'Reported burning'!C4430</f>
        <v>Human, deliberate</v>
      </c>
      <c r="D4429" s="147" t="str">
        <f>'Reported burning'!D4430</f>
        <v>Arson</v>
      </c>
      <c r="E4429" s="147" t="str">
        <f>'Reported burning'!E4430</f>
        <v>ND</v>
      </c>
      <c r="F4429" s="147" t="str">
        <f>'Reported burning'!F4430</f>
        <v>ND</v>
      </c>
      <c r="G4429" s="147" t="str">
        <f>'Reported burning'!G4430</f>
        <v>ND</v>
      </c>
      <c r="H4429" s="147" t="str">
        <f>'Reported burning'!H4430</f>
        <v>Presence</v>
      </c>
      <c r="I4429" s="198"/>
      <c r="J4429" s="198" t="s">
        <v>2272</v>
      </c>
      <c r="K4429" s="198" t="s">
        <v>2272</v>
      </c>
      <c r="L4429" s="198" t="s">
        <v>2272</v>
      </c>
      <c r="M4429" s="198" t="s">
        <v>2272</v>
      </c>
      <c r="N4429" s="198" t="s">
        <v>2272</v>
      </c>
      <c r="O4429" s="198" t="s">
        <v>2272</v>
      </c>
      <c r="P4429" s="198" t="s">
        <v>2272</v>
      </c>
      <c r="Q4429" s="198" t="s">
        <v>2272</v>
      </c>
      <c r="R4429" s="198" t="s">
        <v>2272</v>
      </c>
      <c r="S4429" s="198" t="s">
        <v>2272</v>
      </c>
      <c r="T4429" s="198" t="s">
        <v>2272</v>
      </c>
      <c r="U4429" s="198" t="s">
        <v>2272</v>
      </c>
      <c r="V4429" s="198" t="s">
        <v>2272</v>
      </c>
      <c r="W4429" s="198" t="s">
        <v>2272</v>
      </c>
      <c r="X4429" s="198" t="s">
        <v>2272</v>
      </c>
      <c r="Y4429" s="198" t="s">
        <v>2272</v>
      </c>
      <c r="Z4429" s="198" t="s">
        <v>2272</v>
      </c>
      <c r="AA4429" s="198" t="s">
        <v>2272</v>
      </c>
      <c r="AB4429" s="198"/>
      <c r="AC4429" s="198"/>
    </row>
    <row r="4430" spans="1:29">
      <c r="A4430" s="179">
        <f>'Reported burning'!A4431</f>
        <v>0</v>
      </c>
      <c r="B4430" s="179">
        <f>'Reported burning'!B4431</f>
        <v>0</v>
      </c>
      <c r="C4430" s="179">
        <f>'Reported burning'!C4431</f>
        <v>0</v>
      </c>
      <c r="D4430" s="179">
        <f>'Reported burning'!D4431</f>
        <v>0</v>
      </c>
      <c r="E4430" s="179">
        <f>'Reported burning'!E4431</f>
        <v>0</v>
      </c>
      <c r="F4430" s="179">
        <f>'Reported burning'!F4431</f>
        <v>0</v>
      </c>
      <c r="G4430" s="179">
        <f>'Reported burning'!G4431</f>
        <v>0</v>
      </c>
      <c r="H4430" s="179">
        <f>'Reported burning'!H4431</f>
        <v>0</v>
      </c>
    </row>
    <row r="4431" spans="1:29">
      <c r="A4431" s="217">
        <f>'Reported burning'!A4432</f>
        <v>0</v>
      </c>
      <c r="B4431" s="217">
        <f>'Reported burning'!B4432</f>
        <v>0</v>
      </c>
      <c r="C4431" s="217">
        <f>'Reported burning'!C4432</f>
        <v>0</v>
      </c>
      <c r="D4431" s="217">
        <f>'Reported burning'!D4432</f>
        <v>0</v>
      </c>
      <c r="E4431" s="217">
        <f>'Reported burning'!E4432</f>
        <v>0</v>
      </c>
      <c r="F4431" s="217">
        <f>'Reported burning'!F4432</f>
        <v>0</v>
      </c>
      <c r="G4431" s="217">
        <f>'Reported burning'!G4432</f>
        <v>0</v>
      </c>
      <c r="H4431" s="217">
        <f>'Reported burning'!H4432</f>
        <v>0</v>
      </c>
    </row>
    <row r="4432" spans="1:29">
      <c r="A4432" s="217">
        <f>'Reported burning'!A4433</f>
        <v>0</v>
      </c>
      <c r="B4432" s="217">
        <f>'Reported burning'!B4433</f>
        <v>0</v>
      </c>
      <c r="C4432" s="217">
        <f>'Reported burning'!C4433</f>
        <v>0</v>
      </c>
      <c r="D4432" s="217">
        <f>'Reported burning'!D4433</f>
        <v>0</v>
      </c>
      <c r="E4432" s="217">
        <f>'Reported burning'!E4433</f>
        <v>0</v>
      </c>
      <c r="F4432" s="217">
        <f>'Reported burning'!F4433</f>
        <v>0</v>
      </c>
      <c r="G4432" s="217">
        <f>'Reported burning'!G4433</f>
        <v>0</v>
      </c>
      <c r="H4432" s="217">
        <f>'Reported burning'!H4433</f>
        <v>0</v>
      </c>
    </row>
    <row r="4433" spans="1:8">
      <c r="A4433" s="217">
        <f>'Reported burning'!A4434</f>
        <v>0</v>
      </c>
      <c r="B4433" s="217">
        <f>'Reported burning'!B4434</f>
        <v>0</v>
      </c>
      <c r="C4433" s="217">
        <f>'Reported burning'!C4434</f>
        <v>0</v>
      </c>
      <c r="D4433" s="217">
        <f>'Reported burning'!D4434</f>
        <v>0</v>
      </c>
      <c r="E4433" s="217">
        <f>'Reported burning'!E4434</f>
        <v>0</v>
      </c>
      <c r="F4433" s="217">
        <f>'Reported burning'!F4434</f>
        <v>0</v>
      </c>
      <c r="G4433" s="217">
        <f>'Reported burning'!G4434</f>
        <v>0</v>
      </c>
      <c r="H4433" s="217">
        <f>'Reported burning'!H4434</f>
        <v>0</v>
      </c>
    </row>
    <row r="4434" spans="1:8">
      <c r="A4434" s="217">
        <f>'Reported burning'!A4435</f>
        <v>0</v>
      </c>
      <c r="B4434" s="217">
        <f>'Reported burning'!B4435</f>
        <v>0</v>
      </c>
      <c r="C4434" s="217">
        <f>'Reported burning'!C4435</f>
        <v>0</v>
      </c>
      <c r="D4434" s="217">
        <f>'Reported burning'!D4435</f>
        <v>0</v>
      </c>
      <c r="E4434" s="217">
        <f>'Reported burning'!E4435</f>
        <v>0</v>
      </c>
      <c r="F4434" s="217">
        <f>'Reported burning'!F4435</f>
        <v>0</v>
      </c>
      <c r="G4434" s="217">
        <f>'Reported burning'!G4435</f>
        <v>0</v>
      </c>
      <c r="H4434" s="217">
        <f>'Reported burning'!H4435</f>
        <v>0</v>
      </c>
    </row>
    <row r="4435" spans="1:8">
      <c r="A4435" s="217">
        <f>'Reported burning'!A4436</f>
        <v>0</v>
      </c>
      <c r="B4435" s="217">
        <f>'Reported burning'!B4436</f>
        <v>0</v>
      </c>
      <c r="C4435" s="217">
        <f>'Reported burning'!C4436</f>
        <v>0</v>
      </c>
      <c r="D4435" s="217">
        <f>'Reported burning'!D4436</f>
        <v>0</v>
      </c>
      <c r="E4435" s="217">
        <f>'Reported burning'!E4436</f>
        <v>0</v>
      </c>
      <c r="F4435" s="217">
        <f>'Reported burning'!F4436</f>
        <v>0</v>
      </c>
      <c r="G4435" s="217">
        <f>'Reported burning'!G4436</f>
        <v>0</v>
      </c>
      <c r="H4435" s="217">
        <f>'Reported burning'!H4436</f>
        <v>0</v>
      </c>
    </row>
    <row r="4436" spans="1:8">
      <c r="A4436" s="217">
        <f>'Reported burning'!A4437</f>
        <v>0</v>
      </c>
      <c r="B4436" s="217">
        <f>'Reported burning'!B4437</f>
        <v>0</v>
      </c>
      <c r="C4436" s="217">
        <f>'Reported burning'!C4437</f>
        <v>0</v>
      </c>
      <c r="D4436" s="217">
        <f>'Reported burning'!D4437</f>
        <v>0</v>
      </c>
      <c r="E4436" s="217">
        <f>'Reported burning'!E4437</f>
        <v>0</v>
      </c>
      <c r="F4436" s="217">
        <f>'Reported burning'!F4437</f>
        <v>0</v>
      </c>
      <c r="G4436" s="217">
        <f>'Reported burning'!G4437</f>
        <v>0</v>
      </c>
      <c r="H4436" s="217">
        <f>'Reported burning'!H4437</f>
        <v>0</v>
      </c>
    </row>
    <row r="4437" spans="1:8">
      <c r="A4437" s="217">
        <f>'Reported burning'!A4438</f>
        <v>0</v>
      </c>
      <c r="B4437" s="217">
        <f>'Reported burning'!B4438</f>
        <v>0</v>
      </c>
      <c r="C4437" s="217">
        <f>'Reported burning'!C4438</f>
        <v>0</v>
      </c>
      <c r="D4437" s="217">
        <f>'Reported burning'!D4438</f>
        <v>0</v>
      </c>
      <c r="E4437" s="217">
        <f>'Reported burning'!E4438</f>
        <v>0</v>
      </c>
      <c r="F4437" s="217">
        <f>'Reported burning'!F4438</f>
        <v>0</v>
      </c>
      <c r="G4437" s="217">
        <f>'Reported burning'!G4438</f>
        <v>0</v>
      </c>
      <c r="H4437" s="217">
        <f>'Reported burning'!H4438</f>
        <v>0</v>
      </c>
    </row>
    <row r="4438" spans="1:8">
      <c r="A4438" s="217">
        <f>'Reported burning'!A4439</f>
        <v>0</v>
      </c>
      <c r="B4438" s="217">
        <f>'Reported burning'!B4439</f>
        <v>0</v>
      </c>
      <c r="C4438" s="217">
        <f>'Reported burning'!C4439</f>
        <v>0</v>
      </c>
      <c r="D4438" s="217">
        <f>'Reported burning'!D4439</f>
        <v>0</v>
      </c>
      <c r="E4438" s="217">
        <f>'Reported burning'!E4439</f>
        <v>0</v>
      </c>
      <c r="F4438" s="217">
        <f>'Reported burning'!F4439</f>
        <v>0</v>
      </c>
      <c r="G4438" s="217">
        <f>'Reported burning'!G4439</f>
        <v>0</v>
      </c>
      <c r="H4438" s="217">
        <f>'Reported burning'!H4439</f>
        <v>0</v>
      </c>
    </row>
    <row r="4439" spans="1:8">
      <c r="A4439" s="217">
        <f>'Reported burning'!A4440</f>
        <v>0</v>
      </c>
      <c r="B4439" s="217">
        <f>'Reported burning'!B4440</f>
        <v>0</v>
      </c>
      <c r="C4439" s="217">
        <f>'Reported burning'!C4440</f>
        <v>0</v>
      </c>
      <c r="D4439" s="217">
        <f>'Reported burning'!D4440</f>
        <v>0</v>
      </c>
      <c r="E4439" s="217">
        <f>'Reported burning'!E4440</f>
        <v>0</v>
      </c>
      <c r="F4439" s="217">
        <f>'Reported burning'!F4440</f>
        <v>0</v>
      </c>
      <c r="G4439" s="217">
        <f>'Reported burning'!G4440</f>
        <v>0</v>
      </c>
      <c r="H4439" s="217">
        <f>'Reported burning'!H4440</f>
        <v>0</v>
      </c>
    </row>
    <row r="4440" spans="1:8">
      <c r="A4440" s="217">
        <f>'Reported burning'!A4441</f>
        <v>0</v>
      </c>
      <c r="B4440" s="217">
        <f>'Reported burning'!B4441</f>
        <v>0</v>
      </c>
      <c r="C4440" s="217">
        <f>'Reported burning'!C4441</f>
        <v>0</v>
      </c>
      <c r="D4440" s="217">
        <f>'Reported burning'!D4441</f>
        <v>0</v>
      </c>
      <c r="E4440" s="217">
        <f>'Reported burning'!E4441</f>
        <v>0</v>
      </c>
      <c r="F4440" s="217">
        <f>'Reported burning'!F4441</f>
        <v>0</v>
      </c>
      <c r="G4440" s="217">
        <f>'Reported burning'!G4441</f>
        <v>0</v>
      </c>
      <c r="H4440" s="217">
        <f>'Reported burning'!H4441</f>
        <v>0</v>
      </c>
    </row>
    <row r="4441" spans="1:8">
      <c r="A4441" s="217">
        <f>'Reported burning'!A4442</f>
        <v>0</v>
      </c>
      <c r="B4441" s="217">
        <f>'Reported burning'!B4442</f>
        <v>0</v>
      </c>
      <c r="C4441" s="217">
        <f>'Reported burning'!C4442</f>
        <v>0</v>
      </c>
      <c r="D4441" s="217">
        <f>'Reported burning'!D4442</f>
        <v>0</v>
      </c>
      <c r="E4441" s="217">
        <f>'Reported burning'!E4442</f>
        <v>0</v>
      </c>
      <c r="F4441" s="217">
        <f>'Reported burning'!F4442</f>
        <v>0</v>
      </c>
      <c r="G4441" s="217">
        <f>'Reported burning'!G4442</f>
        <v>0</v>
      </c>
      <c r="H4441" s="217">
        <f>'Reported burning'!H4442</f>
        <v>0</v>
      </c>
    </row>
    <row r="4442" spans="1:8">
      <c r="A4442" s="217">
        <f>'Reported burning'!A4443</f>
        <v>0</v>
      </c>
      <c r="B4442" s="217">
        <f>'Reported burning'!B4443</f>
        <v>0</v>
      </c>
      <c r="C4442" s="217">
        <f>'Reported burning'!C4443</f>
        <v>0</v>
      </c>
      <c r="D4442" s="217">
        <f>'Reported burning'!D4443</f>
        <v>0</v>
      </c>
      <c r="E4442" s="217">
        <f>'Reported burning'!E4443</f>
        <v>0</v>
      </c>
      <c r="F4442" s="217">
        <f>'Reported burning'!F4443</f>
        <v>0</v>
      </c>
      <c r="G4442" s="217">
        <f>'Reported burning'!G4443</f>
        <v>0</v>
      </c>
      <c r="H4442" s="217">
        <f>'Reported burning'!H4443</f>
        <v>0</v>
      </c>
    </row>
    <row r="4443" spans="1:8">
      <c r="A4443" s="217">
        <f>'Reported burning'!A4444</f>
        <v>0</v>
      </c>
      <c r="B4443" s="217">
        <f>'Reported burning'!B4444</f>
        <v>0</v>
      </c>
      <c r="C4443" s="217">
        <f>'Reported burning'!C4444</f>
        <v>0</v>
      </c>
      <c r="D4443" s="217">
        <f>'Reported burning'!D4444</f>
        <v>0</v>
      </c>
      <c r="E4443" s="217">
        <f>'Reported burning'!E4444</f>
        <v>0</v>
      </c>
      <c r="F4443" s="217">
        <f>'Reported burning'!F4444</f>
        <v>0</v>
      </c>
      <c r="G4443" s="217">
        <f>'Reported burning'!G4444</f>
        <v>0</v>
      </c>
      <c r="H4443" s="217">
        <f>'Reported burning'!H4444</f>
        <v>0</v>
      </c>
    </row>
    <row r="4444" spans="1:8">
      <c r="A4444" s="217">
        <f>'Reported burning'!A4445</f>
        <v>0</v>
      </c>
      <c r="B4444" s="217">
        <f>'Reported burning'!B4445</f>
        <v>0</v>
      </c>
      <c r="C4444" s="217">
        <f>'Reported burning'!C4445</f>
        <v>0</v>
      </c>
      <c r="D4444" s="217">
        <f>'Reported burning'!D4445</f>
        <v>0</v>
      </c>
      <c r="E4444" s="217">
        <f>'Reported burning'!E4445</f>
        <v>0</v>
      </c>
      <c r="F4444" s="217">
        <f>'Reported burning'!F4445</f>
        <v>0</v>
      </c>
      <c r="G4444" s="217">
        <f>'Reported burning'!G4445</f>
        <v>0</v>
      </c>
      <c r="H4444" s="217">
        <f>'Reported burning'!H4445</f>
        <v>0</v>
      </c>
    </row>
    <row r="4445" spans="1:8">
      <c r="A4445" s="217">
        <f>'Reported burning'!A4446</f>
        <v>0</v>
      </c>
      <c r="B4445" s="217">
        <f>'Reported burning'!B4446</f>
        <v>0</v>
      </c>
      <c r="C4445" s="217">
        <f>'Reported burning'!C4446</f>
        <v>0</v>
      </c>
      <c r="D4445" s="217">
        <f>'Reported burning'!D4446</f>
        <v>0</v>
      </c>
      <c r="E4445" s="217">
        <f>'Reported burning'!E4446</f>
        <v>0</v>
      </c>
      <c r="F4445" s="217">
        <f>'Reported burning'!F4446</f>
        <v>0</v>
      </c>
      <c r="G4445" s="217">
        <f>'Reported burning'!G4446</f>
        <v>0</v>
      </c>
      <c r="H4445" s="217">
        <f>'Reported burning'!H4446</f>
        <v>0</v>
      </c>
    </row>
    <row r="4446" spans="1:8">
      <c r="A4446" s="217">
        <f>'Reported burning'!A4447</f>
        <v>0</v>
      </c>
      <c r="B4446" s="217">
        <f>'Reported burning'!B4447</f>
        <v>0</v>
      </c>
      <c r="C4446" s="217">
        <f>'Reported burning'!C4447</f>
        <v>0</v>
      </c>
      <c r="D4446" s="217">
        <f>'Reported burning'!D4447</f>
        <v>0</v>
      </c>
      <c r="E4446" s="217">
        <f>'Reported burning'!E4447</f>
        <v>0</v>
      </c>
      <c r="F4446" s="217">
        <f>'Reported burning'!F4447</f>
        <v>0</v>
      </c>
      <c r="G4446" s="217">
        <f>'Reported burning'!G4447</f>
        <v>0</v>
      </c>
      <c r="H4446" s="217">
        <f>'Reported burning'!H4447</f>
        <v>0</v>
      </c>
    </row>
    <row r="4447" spans="1:8">
      <c r="A4447" s="217">
        <f>'Reported burning'!A4448</f>
        <v>0</v>
      </c>
      <c r="B4447" s="217">
        <f>'Reported burning'!B4448</f>
        <v>0</v>
      </c>
      <c r="C4447" s="217">
        <f>'Reported burning'!C4448</f>
        <v>0</v>
      </c>
      <c r="D4447" s="217">
        <f>'Reported burning'!D4448</f>
        <v>0</v>
      </c>
      <c r="E4447" s="217">
        <f>'Reported burning'!E4448</f>
        <v>0</v>
      </c>
      <c r="F4447" s="217">
        <f>'Reported burning'!F4448</f>
        <v>0</v>
      </c>
      <c r="G4447" s="217">
        <f>'Reported burning'!G4448</f>
        <v>0</v>
      </c>
      <c r="H4447" s="217">
        <f>'Reported burning'!H4448</f>
        <v>0</v>
      </c>
    </row>
    <row r="4448" spans="1:8">
      <c r="A4448" s="217">
        <f>'Reported burning'!A4449</f>
        <v>0</v>
      </c>
      <c r="B4448" s="217">
        <f>'Reported burning'!B4449</f>
        <v>0</v>
      </c>
      <c r="C4448" s="217">
        <f>'Reported burning'!C4449</f>
        <v>0</v>
      </c>
      <c r="D4448" s="217">
        <f>'Reported burning'!D4449</f>
        <v>0</v>
      </c>
      <c r="E4448" s="217">
        <f>'Reported burning'!E4449</f>
        <v>0</v>
      </c>
      <c r="F4448" s="217">
        <f>'Reported burning'!F4449</f>
        <v>0</v>
      </c>
      <c r="G4448" s="217">
        <f>'Reported burning'!G4449</f>
        <v>0</v>
      </c>
      <c r="H4448" s="217">
        <f>'Reported burning'!H4449</f>
        <v>0</v>
      </c>
    </row>
    <row r="4449" spans="1:8">
      <c r="A4449" s="217">
        <f>'Reported burning'!A4450</f>
        <v>0</v>
      </c>
      <c r="B4449" s="217">
        <f>'Reported burning'!B4450</f>
        <v>0</v>
      </c>
      <c r="C4449" s="217">
        <f>'Reported burning'!C4450</f>
        <v>0</v>
      </c>
      <c r="D4449" s="217">
        <f>'Reported burning'!D4450</f>
        <v>0</v>
      </c>
      <c r="E4449" s="217">
        <f>'Reported burning'!E4450</f>
        <v>0</v>
      </c>
      <c r="F4449" s="217">
        <f>'Reported burning'!F4450</f>
        <v>0</v>
      </c>
      <c r="G4449" s="217">
        <f>'Reported burning'!G4450</f>
        <v>0</v>
      </c>
      <c r="H4449" s="217">
        <f>'Reported burning'!H4450</f>
        <v>0</v>
      </c>
    </row>
    <row r="4450" spans="1:8">
      <c r="A4450" s="217">
        <f>'Reported burning'!A4451</f>
        <v>0</v>
      </c>
      <c r="B4450" s="217">
        <f>'Reported burning'!B4451</f>
        <v>0</v>
      </c>
      <c r="C4450" s="217">
        <f>'Reported burning'!C4451</f>
        <v>0</v>
      </c>
      <c r="D4450" s="217">
        <f>'Reported burning'!D4451</f>
        <v>0</v>
      </c>
      <c r="E4450" s="217">
        <f>'Reported burning'!E4451</f>
        <v>0</v>
      </c>
      <c r="F4450" s="217">
        <f>'Reported burning'!F4451</f>
        <v>0</v>
      </c>
      <c r="G4450" s="217">
        <f>'Reported burning'!G4451</f>
        <v>0</v>
      </c>
      <c r="H4450" s="217">
        <f>'Reported burning'!H4451</f>
        <v>0</v>
      </c>
    </row>
    <row r="4451" spans="1:8">
      <c r="A4451" s="217">
        <f>'Reported burning'!A4452</f>
        <v>0</v>
      </c>
      <c r="B4451" s="217">
        <f>'Reported burning'!B4452</f>
        <v>0</v>
      </c>
      <c r="C4451" s="217">
        <f>'Reported burning'!C4452</f>
        <v>0</v>
      </c>
      <c r="D4451" s="217">
        <f>'Reported burning'!D4452</f>
        <v>0</v>
      </c>
      <c r="E4451" s="217">
        <f>'Reported burning'!E4452</f>
        <v>0</v>
      </c>
      <c r="F4451" s="217">
        <f>'Reported burning'!F4452</f>
        <v>0</v>
      </c>
      <c r="G4451" s="217">
        <f>'Reported burning'!G4452</f>
        <v>0</v>
      </c>
      <c r="H4451" s="217">
        <f>'Reported burning'!H4452</f>
        <v>0</v>
      </c>
    </row>
    <row r="4452" spans="1:8">
      <c r="A4452" s="217">
        <f>'Reported burning'!A4453</f>
        <v>0</v>
      </c>
      <c r="B4452" s="217">
        <f>'Reported burning'!B4453</f>
        <v>0</v>
      </c>
      <c r="C4452" s="217">
        <f>'Reported burning'!C4453</f>
        <v>0</v>
      </c>
      <c r="D4452" s="217">
        <f>'Reported burning'!D4453</f>
        <v>0</v>
      </c>
      <c r="E4452" s="217">
        <f>'Reported burning'!E4453</f>
        <v>0</v>
      </c>
      <c r="F4452" s="217">
        <f>'Reported burning'!F4453</f>
        <v>0</v>
      </c>
      <c r="G4452" s="217">
        <f>'Reported burning'!G4453</f>
        <v>0</v>
      </c>
      <c r="H4452" s="217">
        <f>'Reported burning'!H4453</f>
        <v>0</v>
      </c>
    </row>
    <row r="4453" spans="1:8">
      <c r="A4453" s="217">
        <f>'Reported burning'!A4454</f>
        <v>0</v>
      </c>
      <c r="B4453" s="217">
        <f>'Reported burning'!B4454</f>
        <v>0</v>
      </c>
      <c r="C4453" s="217">
        <f>'Reported burning'!C4454</f>
        <v>0</v>
      </c>
      <c r="D4453" s="217">
        <f>'Reported burning'!D4454</f>
        <v>0</v>
      </c>
      <c r="E4453" s="217">
        <f>'Reported burning'!E4454</f>
        <v>0</v>
      </c>
      <c r="F4453" s="217">
        <f>'Reported burning'!F4454</f>
        <v>0</v>
      </c>
      <c r="G4453" s="217">
        <f>'Reported burning'!G4454</f>
        <v>0</v>
      </c>
      <c r="H4453" s="217">
        <f>'Reported burning'!H4454</f>
        <v>0</v>
      </c>
    </row>
    <row r="4454" spans="1:8">
      <c r="A4454" s="217">
        <f>'Reported burning'!A4455</f>
        <v>0</v>
      </c>
      <c r="B4454" s="217">
        <f>'Reported burning'!B4455</f>
        <v>0</v>
      </c>
      <c r="C4454" s="217">
        <f>'Reported burning'!C4455</f>
        <v>0</v>
      </c>
      <c r="D4454" s="217">
        <f>'Reported burning'!D4455</f>
        <v>0</v>
      </c>
      <c r="E4454" s="217">
        <f>'Reported burning'!E4455</f>
        <v>0</v>
      </c>
      <c r="F4454" s="217">
        <f>'Reported burning'!F4455</f>
        <v>0</v>
      </c>
      <c r="G4454" s="217">
        <f>'Reported burning'!G4455</f>
        <v>0</v>
      </c>
      <c r="H4454" s="217">
        <f>'Reported burning'!H4455</f>
        <v>0</v>
      </c>
    </row>
    <row r="4455" spans="1:8">
      <c r="A4455" s="217">
        <f>'Reported burning'!A4456</f>
        <v>0</v>
      </c>
      <c r="B4455" s="217">
        <f>'Reported burning'!B4456</f>
        <v>0</v>
      </c>
      <c r="C4455" s="217">
        <f>'Reported burning'!C4456</f>
        <v>0</v>
      </c>
      <c r="D4455" s="217">
        <f>'Reported burning'!D4456</f>
        <v>0</v>
      </c>
      <c r="E4455" s="217">
        <f>'Reported burning'!E4456</f>
        <v>0</v>
      </c>
      <c r="F4455" s="217">
        <f>'Reported burning'!F4456</f>
        <v>0</v>
      </c>
      <c r="G4455" s="217">
        <f>'Reported burning'!G4456</f>
        <v>0</v>
      </c>
      <c r="H4455" s="217">
        <f>'Reported burning'!H4456</f>
        <v>0</v>
      </c>
    </row>
    <row r="4456" spans="1:8">
      <c r="A4456" s="217">
        <f>'Reported burning'!A4457</f>
        <v>0</v>
      </c>
      <c r="B4456" s="217">
        <f>'Reported burning'!B4457</f>
        <v>0</v>
      </c>
      <c r="C4456" s="217">
        <f>'Reported burning'!C4457</f>
        <v>0</v>
      </c>
      <c r="D4456" s="217">
        <f>'Reported burning'!D4457</f>
        <v>0</v>
      </c>
      <c r="E4456" s="217">
        <f>'Reported burning'!E4457</f>
        <v>0</v>
      </c>
      <c r="F4456" s="217">
        <f>'Reported burning'!F4457</f>
        <v>0</v>
      </c>
      <c r="G4456" s="217">
        <f>'Reported burning'!G4457</f>
        <v>0</v>
      </c>
      <c r="H4456" s="217">
        <f>'Reported burning'!H4457</f>
        <v>0</v>
      </c>
    </row>
    <row r="4457" spans="1:8">
      <c r="A4457" s="217">
        <f>'Reported burning'!A4458</f>
        <v>0</v>
      </c>
      <c r="B4457" s="217">
        <f>'Reported burning'!B4458</f>
        <v>0</v>
      </c>
      <c r="C4457" s="217">
        <f>'Reported burning'!C4458</f>
        <v>0</v>
      </c>
      <c r="D4457" s="217">
        <f>'Reported burning'!D4458</f>
        <v>0</v>
      </c>
      <c r="E4457" s="217">
        <f>'Reported burning'!E4458</f>
        <v>0</v>
      </c>
      <c r="F4457" s="217">
        <f>'Reported burning'!F4458</f>
        <v>0</v>
      </c>
      <c r="G4457" s="217">
        <f>'Reported burning'!G4458</f>
        <v>0</v>
      </c>
      <c r="H4457" s="217">
        <f>'Reported burning'!H4458</f>
        <v>0</v>
      </c>
    </row>
    <row r="4458" spans="1:8">
      <c r="A4458" s="217">
        <f>'Reported burning'!A4459</f>
        <v>0</v>
      </c>
      <c r="B4458" s="217">
        <f>'Reported burning'!B4459</f>
        <v>0</v>
      </c>
      <c r="C4458" s="217">
        <f>'Reported burning'!C4459</f>
        <v>0</v>
      </c>
      <c r="D4458" s="217">
        <f>'Reported burning'!D4459</f>
        <v>0</v>
      </c>
      <c r="E4458" s="217">
        <f>'Reported burning'!E4459</f>
        <v>0</v>
      </c>
      <c r="F4458" s="217">
        <f>'Reported burning'!F4459</f>
        <v>0</v>
      </c>
      <c r="G4458" s="217">
        <f>'Reported burning'!G4459</f>
        <v>0</v>
      </c>
      <c r="H4458" s="217">
        <f>'Reported burning'!H4459</f>
        <v>0</v>
      </c>
    </row>
    <row r="4459" spans="1:8">
      <c r="A4459" s="217">
        <f>'Reported burning'!A4460</f>
        <v>0</v>
      </c>
      <c r="B4459" s="217">
        <f>'Reported burning'!B4460</f>
        <v>0</v>
      </c>
      <c r="C4459" s="217">
        <f>'Reported burning'!C4460</f>
        <v>0</v>
      </c>
      <c r="D4459" s="217">
        <f>'Reported burning'!D4460</f>
        <v>0</v>
      </c>
      <c r="E4459" s="217">
        <f>'Reported burning'!E4460</f>
        <v>0</v>
      </c>
      <c r="F4459" s="217">
        <f>'Reported burning'!F4460</f>
        <v>0</v>
      </c>
      <c r="G4459" s="217">
        <f>'Reported burning'!G4460</f>
        <v>0</v>
      </c>
      <c r="H4459" s="217">
        <f>'Reported burning'!H4460</f>
        <v>0</v>
      </c>
    </row>
    <row r="4460" spans="1:8">
      <c r="A4460" s="217">
        <f>'Reported burning'!A4461</f>
        <v>0</v>
      </c>
      <c r="B4460" s="217">
        <f>'Reported burning'!B4461</f>
        <v>0</v>
      </c>
      <c r="C4460" s="217">
        <f>'Reported burning'!C4461</f>
        <v>0</v>
      </c>
      <c r="D4460" s="217">
        <f>'Reported burning'!D4461</f>
        <v>0</v>
      </c>
      <c r="E4460" s="217">
        <f>'Reported burning'!E4461</f>
        <v>0</v>
      </c>
      <c r="F4460" s="217">
        <f>'Reported burning'!F4461</f>
        <v>0</v>
      </c>
      <c r="G4460" s="217">
        <f>'Reported burning'!G4461</f>
        <v>0</v>
      </c>
      <c r="H4460" s="217">
        <f>'Reported burning'!H4461</f>
        <v>0</v>
      </c>
    </row>
    <row r="4461" spans="1:8">
      <c r="A4461" s="217">
        <f>'Reported burning'!A4462</f>
        <v>0</v>
      </c>
      <c r="B4461" s="217">
        <f>'Reported burning'!B4462</f>
        <v>0</v>
      </c>
      <c r="C4461" s="217">
        <f>'Reported burning'!C4462</f>
        <v>0</v>
      </c>
      <c r="D4461" s="217">
        <f>'Reported burning'!D4462</f>
        <v>0</v>
      </c>
      <c r="E4461" s="217">
        <f>'Reported burning'!E4462</f>
        <v>0</v>
      </c>
      <c r="F4461" s="217">
        <f>'Reported burning'!F4462</f>
        <v>0</v>
      </c>
      <c r="G4461" s="217">
        <f>'Reported burning'!G4462</f>
        <v>0</v>
      </c>
      <c r="H4461" s="217">
        <f>'Reported burning'!H4462</f>
        <v>0</v>
      </c>
    </row>
    <row r="4462" spans="1:8">
      <c r="A4462" s="217">
        <f>'Reported burning'!A4463</f>
        <v>0</v>
      </c>
      <c r="B4462" s="217">
        <f>'Reported burning'!B4463</f>
        <v>0</v>
      </c>
      <c r="C4462" s="217">
        <f>'Reported burning'!C4463</f>
        <v>0</v>
      </c>
      <c r="D4462" s="217">
        <f>'Reported burning'!D4463</f>
        <v>0</v>
      </c>
      <c r="E4462" s="217">
        <f>'Reported burning'!E4463</f>
        <v>0</v>
      </c>
      <c r="F4462" s="217">
        <f>'Reported burning'!F4463</f>
        <v>0</v>
      </c>
      <c r="G4462" s="217">
        <f>'Reported burning'!G4463</f>
        <v>0</v>
      </c>
      <c r="H4462" s="217">
        <f>'Reported burning'!H4463</f>
        <v>0</v>
      </c>
    </row>
    <row r="4463" spans="1:8">
      <c r="A4463" s="217">
        <f>'Reported burning'!A4464</f>
        <v>0</v>
      </c>
      <c r="B4463" s="217">
        <f>'Reported burning'!B4464</f>
        <v>0</v>
      </c>
      <c r="C4463" s="217">
        <f>'Reported burning'!C4464</f>
        <v>0</v>
      </c>
      <c r="D4463" s="217">
        <f>'Reported burning'!D4464</f>
        <v>0</v>
      </c>
      <c r="E4463" s="217">
        <f>'Reported burning'!E4464</f>
        <v>0</v>
      </c>
      <c r="F4463" s="217">
        <f>'Reported burning'!F4464</f>
        <v>0</v>
      </c>
      <c r="G4463" s="217">
        <f>'Reported burning'!G4464</f>
        <v>0</v>
      </c>
      <c r="H4463" s="217">
        <f>'Reported burning'!H4464</f>
        <v>0</v>
      </c>
    </row>
    <row r="4464" spans="1:8">
      <c r="A4464" s="217">
        <f>'Reported burning'!A4465</f>
        <v>0</v>
      </c>
      <c r="B4464" s="217">
        <f>'Reported burning'!B4465</f>
        <v>0</v>
      </c>
      <c r="C4464" s="217">
        <f>'Reported burning'!C4465</f>
        <v>0</v>
      </c>
      <c r="D4464" s="217">
        <f>'Reported burning'!D4465</f>
        <v>0</v>
      </c>
      <c r="E4464" s="217">
        <f>'Reported burning'!E4465</f>
        <v>0</v>
      </c>
      <c r="F4464" s="217">
        <f>'Reported burning'!F4465</f>
        <v>0</v>
      </c>
      <c r="G4464" s="217">
        <f>'Reported burning'!G4465</f>
        <v>0</v>
      </c>
      <c r="H4464" s="217">
        <f>'Reported burning'!H4465</f>
        <v>0</v>
      </c>
    </row>
    <row r="4465" spans="1:8">
      <c r="A4465" s="217">
        <f>'Reported burning'!A4466</f>
        <v>0</v>
      </c>
      <c r="B4465" s="217">
        <f>'Reported burning'!B4466</f>
        <v>0</v>
      </c>
      <c r="C4465" s="217">
        <f>'Reported burning'!C4466</f>
        <v>0</v>
      </c>
      <c r="D4465" s="217">
        <f>'Reported burning'!D4466</f>
        <v>0</v>
      </c>
      <c r="E4465" s="217">
        <f>'Reported burning'!E4466</f>
        <v>0</v>
      </c>
      <c r="F4465" s="217">
        <f>'Reported burning'!F4466</f>
        <v>0</v>
      </c>
      <c r="G4465" s="217">
        <f>'Reported burning'!G4466</f>
        <v>0</v>
      </c>
      <c r="H4465" s="217">
        <f>'Reported burning'!H4466</f>
        <v>0</v>
      </c>
    </row>
    <row r="4466" spans="1:8">
      <c r="A4466" s="217">
        <f>'Reported burning'!A4467</f>
        <v>0</v>
      </c>
      <c r="B4466" s="217">
        <f>'Reported burning'!B4467</f>
        <v>0</v>
      </c>
      <c r="C4466" s="217">
        <f>'Reported burning'!C4467</f>
        <v>0</v>
      </c>
      <c r="D4466" s="217">
        <f>'Reported burning'!D4467</f>
        <v>0</v>
      </c>
      <c r="E4466" s="217">
        <f>'Reported burning'!E4467</f>
        <v>0</v>
      </c>
      <c r="F4466" s="217">
        <f>'Reported burning'!F4467</f>
        <v>0</v>
      </c>
      <c r="G4466" s="217">
        <f>'Reported burning'!G4467</f>
        <v>0</v>
      </c>
      <c r="H4466" s="217">
        <f>'Reported burning'!H4467</f>
        <v>0</v>
      </c>
    </row>
    <row r="4467" spans="1:8">
      <c r="A4467" s="217">
        <f>'Reported burning'!A4468</f>
        <v>0</v>
      </c>
      <c r="B4467" s="217">
        <f>'Reported burning'!B4468</f>
        <v>0</v>
      </c>
      <c r="C4467" s="217">
        <f>'Reported burning'!C4468</f>
        <v>0</v>
      </c>
      <c r="D4467" s="217">
        <f>'Reported burning'!D4468</f>
        <v>0</v>
      </c>
      <c r="E4467" s="217">
        <f>'Reported burning'!E4468</f>
        <v>0</v>
      </c>
      <c r="F4467" s="217">
        <f>'Reported burning'!F4468</f>
        <v>0</v>
      </c>
      <c r="G4467" s="217">
        <f>'Reported burning'!G4468</f>
        <v>0</v>
      </c>
      <c r="H4467" s="217">
        <f>'Reported burning'!H4468</f>
        <v>0</v>
      </c>
    </row>
    <row r="4468" spans="1:8">
      <c r="A4468" s="217">
        <f>'Reported burning'!A4469</f>
        <v>0</v>
      </c>
      <c r="B4468" s="217">
        <f>'Reported burning'!B4469</f>
        <v>0</v>
      </c>
      <c r="C4468" s="217">
        <f>'Reported burning'!C4469</f>
        <v>0</v>
      </c>
      <c r="D4468" s="217">
        <f>'Reported burning'!D4469</f>
        <v>0</v>
      </c>
      <c r="E4468" s="217">
        <f>'Reported burning'!E4469</f>
        <v>0</v>
      </c>
      <c r="F4468" s="217">
        <f>'Reported burning'!F4469</f>
        <v>0</v>
      </c>
      <c r="G4468" s="217">
        <f>'Reported burning'!G4469</f>
        <v>0</v>
      </c>
      <c r="H4468" s="217">
        <f>'Reported burning'!H4469</f>
        <v>0</v>
      </c>
    </row>
    <row r="4469" spans="1:8">
      <c r="A4469" s="217">
        <f>'Reported burning'!A4470</f>
        <v>0</v>
      </c>
      <c r="B4469" s="217">
        <f>'Reported burning'!B4470</f>
        <v>0</v>
      </c>
      <c r="C4469" s="217">
        <f>'Reported burning'!C4470</f>
        <v>0</v>
      </c>
      <c r="D4469" s="217">
        <f>'Reported burning'!D4470</f>
        <v>0</v>
      </c>
      <c r="E4469" s="217">
        <f>'Reported burning'!E4470</f>
        <v>0</v>
      </c>
      <c r="F4469" s="217">
        <f>'Reported burning'!F4470</f>
        <v>0</v>
      </c>
      <c r="G4469" s="217">
        <f>'Reported burning'!G4470</f>
        <v>0</v>
      </c>
      <c r="H4469" s="217">
        <f>'Reported burning'!H4470</f>
        <v>0</v>
      </c>
    </row>
    <row r="4470" spans="1:8">
      <c r="A4470" s="217">
        <f>'Reported burning'!A4471</f>
        <v>0</v>
      </c>
      <c r="B4470" s="217">
        <f>'Reported burning'!B4471</f>
        <v>0</v>
      </c>
      <c r="C4470" s="217">
        <f>'Reported burning'!C4471</f>
        <v>0</v>
      </c>
      <c r="D4470" s="217">
        <f>'Reported burning'!D4471</f>
        <v>0</v>
      </c>
      <c r="E4470" s="217">
        <f>'Reported burning'!E4471</f>
        <v>0</v>
      </c>
      <c r="F4470" s="217">
        <f>'Reported burning'!F4471</f>
        <v>0</v>
      </c>
      <c r="G4470" s="217">
        <f>'Reported burning'!G4471</f>
        <v>0</v>
      </c>
      <c r="H4470" s="217">
        <f>'Reported burning'!H4471</f>
        <v>0</v>
      </c>
    </row>
    <row r="4471" spans="1:8">
      <c r="A4471" s="217">
        <f>'Reported burning'!A4472</f>
        <v>0</v>
      </c>
      <c r="B4471" s="217">
        <f>'Reported burning'!B4472</f>
        <v>0</v>
      </c>
      <c r="C4471" s="217">
        <f>'Reported burning'!C4472</f>
        <v>0</v>
      </c>
      <c r="D4471" s="217">
        <f>'Reported burning'!D4472</f>
        <v>0</v>
      </c>
      <c r="E4471" s="217">
        <f>'Reported burning'!E4472</f>
        <v>0</v>
      </c>
      <c r="F4471" s="217">
        <f>'Reported burning'!F4472</f>
        <v>0</v>
      </c>
      <c r="G4471" s="217">
        <f>'Reported burning'!G4472</f>
        <v>0</v>
      </c>
      <c r="H4471" s="217">
        <f>'Reported burning'!H4472</f>
        <v>0</v>
      </c>
    </row>
    <row r="4472" spans="1:8">
      <c r="A4472" s="217">
        <f>'Reported burning'!A4473</f>
        <v>0</v>
      </c>
      <c r="B4472" s="217">
        <f>'Reported burning'!B4473</f>
        <v>0</v>
      </c>
      <c r="C4472" s="217">
        <f>'Reported burning'!C4473</f>
        <v>0</v>
      </c>
      <c r="D4472" s="217">
        <f>'Reported burning'!D4473</f>
        <v>0</v>
      </c>
      <c r="E4472" s="217">
        <f>'Reported burning'!E4473</f>
        <v>0</v>
      </c>
      <c r="F4472" s="217">
        <f>'Reported burning'!F4473</f>
        <v>0</v>
      </c>
      <c r="G4472" s="217">
        <f>'Reported burning'!G4473</f>
        <v>0</v>
      </c>
      <c r="H4472" s="217">
        <f>'Reported burning'!H4473</f>
        <v>0</v>
      </c>
    </row>
    <row r="4473" spans="1:8">
      <c r="A4473" s="217">
        <f>'Reported burning'!A4474</f>
        <v>0</v>
      </c>
      <c r="B4473" s="217">
        <f>'Reported burning'!B4474</f>
        <v>0</v>
      </c>
      <c r="C4473" s="217">
        <f>'Reported burning'!C4474</f>
        <v>0</v>
      </c>
      <c r="D4473" s="217">
        <f>'Reported burning'!D4474</f>
        <v>0</v>
      </c>
      <c r="E4473" s="217">
        <f>'Reported burning'!E4474</f>
        <v>0</v>
      </c>
      <c r="F4473" s="217">
        <f>'Reported burning'!F4474</f>
        <v>0</v>
      </c>
      <c r="G4473" s="217">
        <f>'Reported burning'!G4474</f>
        <v>0</v>
      </c>
      <c r="H4473" s="217">
        <f>'Reported burning'!H4474</f>
        <v>0</v>
      </c>
    </row>
    <row r="4474" spans="1:8">
      <c r="A4474" s="217">
        <f>'Reported burning'!A4475</f>
        <v>0</v>
      </c>
      <c r="B4474" s="217">
        <f>'Reported burning'!B4475</f>
        <v>0</v>
      </c>
      <c r="C4474" s="217">
        <f>'Reported burning'!C4475</f>
        <v>0</v>
      </c>
      <c r="D4474" s="217">
        <f>'Reported burning'!D4475</f>
        <v>0</v>
      </c>
      <c r="E4474" s="217">
        <f>'Reported burning'!E4475</f>
        <v>0</v>
      </c>
      <c r="F4474" s="217">
        <f>'Reported burning'!F4475</f>
        <v>0</v>
      </c>
      <c r="G4474" s="217">
        <f>'Reported burning'!G4475</f>
        <v>0</v>
      </c>
      <c r="H4474" s="217">
        <f>'Reported burning'!H4475</f>
        <v>0</v>
      </c>
    </row>
    <row r="4475" spans="1:8">
      <c r="A4475" s="217">
        <f>'Reported burning'!A4476</f>
        <v>0</v>
      </c>
      <c r="B4475" s="217">
        <f>'Reported burning'!B4476</f>
        <v>0</v>
      </c>
      <c r="C4475" s="217">
        <f>'Reported burning'!C4476</f>
        <v>0</v>
      </c>
      <c r="D4475" s="217">
        <f>'Reported burning'!D4476</f>
        <v>0</v>
      </c>
      <c r="E4475" s="217">
        <f>'Reported burning'!E4476</f>
        <v>0</v>
      </c>
      <c r="F4475" s="217">
        <f>'Reported burning'!F4476</f>
        <v>0</v>
      </c>
      <c r="G4475" s="217">
        <f>'Reported burning'!G4476</f>
        <v>0</v>
      </c>
      <c r="H4475" s="217">
        <f>'Reported burning'!H4476</f>
        <v>0</v>
      </c>
    </row>
    <row r="4476" spans="1:8">
      <c r="A4476" s="217">
        <f>'Reported burning'!A4477</f>
        <v>0</v>
      </c>
      <c r="B4476" s="217">
        <f>'Reported burning'!B4477</f>
        <v>0</v>
      </c>
      <c r="C4476" s="217">
        <f>'Reported burning'!C4477</f>
        <v>0</v>
      </c>
      <c r="D4476" s="217">
        <f>'Reported burning'!D4477</f>
        <v>0</v>
      </c>
      <c r="E4476" s="217">
        <f>'Reported burning'!E4477</f>
        <v>0</v>
      </c>
      <c r="F4476" s="217">
        <f>'Reported burning'!F4477</f>
        <v>0</v>
      </c>
      <c r="G4476" s="217">
        <f>'Reported burning'!G4477</f>
        <v>0</v>
      </c>
      <c r="H4476" s="217">
        <f>'Reported burning'!H4477</f>
        <v>0</v>
      </c>
    </row>
    <row r="4477" spans="1:8">
      <c r="A4477" s="217">
        <f>'Reported burning'!A4478</f>
        <v>0</v>
      </c>
      <c r="B4477" s="217">
        <f>'Reported burning'!B4478</f>
        <v>0</v>
      </c>
      <c r="C4477" s="217">
        <f>'Reported burning'!C4478</f>
        <v>0</v>
      </c>
      <c r="D4477" s="217">
        <f>'Reported burning'!D4478</f>
        <v>0</v>
      </c>
      <c r="E4477" s="217">
        <f>'Reported burning'!E4478</f>
        <v>0</v>
      </c>
      <c r="F4477" s="217">
        <f>'Reported burning'!F4478</f>
        <v>0</v>
      </c>
      <c r="G4477" s="217">
        <f>'Reported burning'!G4478</f>
        <v>0</v>
      </c>
      <c r="H4477" s="217">
        <f>'Reported burning'!H4478</f>
        <v>0</v>
      </c>
    </row>
    <row r="4478" spans="1:8">
      <c r="A4478" s="217">
        <f>'Reported burning'!A4479</f>
        <v>0</v>
      </c>
      <c r="B4478" s="217">
        <f>'Reported burning'!B4479</f>
        <v>0</v>
      </c>
      <c r="C4478" s="217">
        <f>'Reported burning'!C4479</f>
        <v>0</v>
      </c>
      <c r="D4478" s="217">
        <f>'Reported burning'!D4479</f>
        <v>0</v>
      </c>
      <c r="E4478" s="217">
        <f>'Reported burning'!E4479</f>
        <v>0</v>
      </c>
      <c r="F4478" s="217">
        <f>'Reported burning'!F4479</f>
        <v>0</v>
      </c>
      <c r="G4478" s="217">
        <f>'Reported burning'!G4479</f>
        <v>0</v>
      </c>
      <c r="H4478" s="217">
        <f>'Reported burning'!H4479</f>
        <v>0</v>
      </c>
    </row>
    <row r="4479" spans="1:8">
      <c r="A4479" s="217">
        <f>'Reported burning'!A4480</f>
        <v>0</v>
      </c>
      <c r="B4479" s="217">
        <f>'Reported burning'!B4480</f>
        <v>0</v>
      </c>
      <c r="C4479" s="217">
        <f>'Reported burning'!C4480</f>
        <v>0</v>
      </c>
      <c r="D4479" s="217">
        <f>'Reported burning'!D4480</f>
        <v>0</v>
      </c>
      <c r="E4479" s="217">
        <f>'Reported burning'!E4480</f>
        <v>0</v>
      </c>
      <c r="F4479" s="217">
        <f>'Reported burning'!F4480</f>
        <v>0</v>
      </c>
      <c r="G4479" s="217">
        <f>'Reported burning'!G4480</f>
        <v>0</v>
      </c>
      <c r="H4479" s="217">
        <f>'Reported burning'!H4480</f>
        <v>0</v>
      </c>
    </row>
    <row r="4480" spans="1:8">
      <c r="A4480" s="217">
        <f>'Reported burning'!A4481</f>
        <v>0</v>
      </c>
      <c r="B4480" s="217">
        <f>'Reported burning'!B4481</f>
        <v>0</v>
      </c>
      <c r="C4480" s="217">
        <f>'Reported burning'!C4481</f>
        <v>0</v>
      </c>
      <c r="D4480" s="217">
        <f>'Reported burning'!D4481</f>
        <v>0</v>
      </c>
      <c r="E4480" s="217">
        <f>'Reported burning'!E4481</f>
        <v>0</v>
      </c>
      <c r="F4480" s="217">
        <f>'Reported burning'!F4481</f>
        <v>0</v>
      </c>
      <c r="G4480" s="217">
        <f>'Reported burning'!G4481</f>
        <v>0</v>
      </c>
      <c r="H4480" s="217">
        <f>'Reported burning'!H4481</f>
        <v>0</v>
      </c>
    </row>
    <row r="4481" spans="1:8">
      <c r="A4481" s="217">
        <f>'Reported burning'!A4482</f>
        <v>0</v>
      </c>
      <c r="B4481" s="217">
        <f>'Reported burning'!B4482</f>
        <v>0</v>
      </c>
      <c r="C4481" s="217">
        <f>'Reported burning'!C4482</f>
        <v>0</v>
      </c>
      <c r="D4481" s="217">
        <f>'Reported burning'!D4482</f>
        <v>0</v>
      </c>
      <c r="E4481" s="217">
        <f>'Reported burning'!E4482</f>
        <v>0</v>
      </c>
      <c r="F4481" s="217">
        <f>'Reported burning'!F4482</f>
        <v>0</v>
      </c>
      <c r="G4481" s="217">
        <f>'Reported burning'!G4482</f>
        <v>0</v>
      </c>
      <c r="H4481" s="217">
        <f>'Reported burning'!H4482</f>
        <v>0</v>
      </c>
    </row>
    <row r="4482" spans="1:8">
      <c r="A4482" s="217">
        <f>'Reported burning'!A4483</f>
        <v>0</v>
      </c>
      <c r="B4482" s="217">
        <f>'Reported burning'!B4483</f>
        <v>0</v>
      </c>
      <c r="C4482" s="217">
        <f>'Reported burning'!C4483</f>
        <v>0</v>
      </c>
      <c r="D4482" s="217">
        <f>'Reported burning'!D4483</f>
        <v>0</v>
      </c>
      <c r="E4482" s="217">
        <f>'Reported burning'!E4483</f>
        <v>0</v>
      </c>
      <c r="F4482" s="217">
        <f>'Reported burning'!F4483</f>
        <v>0</v>
      </c>
      <c r="G4482" s="217">
        <f>'Reported burning'!G4483</f>
        <v>0</v>
      </c>
      <c r="H4482" s="217">
        <f>'Reported burning'!H4483</f>
        <v>0</v>
      </c>
    </row>
    <row r="4483" spans="1:8">
      <c r="A4483" s="217">
        <f>'Reported burning'!A4484</f>
        <v>0</v>
      </c>
      <c r="B4483" s="217">
        <f>'Reported burning'!B4484</f>
        <v>0</v>
      </c>
      <c r="C4483" s="217">
        <f>'Reported burning'!C4484</f>
        <v>0</v>
      </c>
      <c r="D4483" s="217">
        <f>'Reported burning'!D4484</f>
        <v>0</v>
      </c>
      <c r="E4483" s="217">
        <f>'Reported burning'!E4484</f>
        <v>0</v>
      </c>
      <c r="F4483" s="217">
        <f>'Reported burning'!F4484</f>
        <v>0</v>
      </c>
      <c r="G4483" s="217">
        <f>'Reported burning'!G4484</f>
        <v>0</v>
      </c>
      <c r="H4483" s="217">
        <f>'Reported burning'!H4484</f>
        <v>0</v>
      </c>
    </row>
    <row r="4484" spans="1:8">
      <c r="A4484" s="217">
        <f>'Reported burning'!A4485</f>
        <v>0</v>
      </c>
      <c r="B4484" s="217">
        <f>'Reported burning'!B4485</f>
        <v>0</v>
      </c>
      <c r="C4484" s="217">
        <f>'Reported burning'!C4485</f>
        <v>0</v>
      </c>
      <c r="D4484" s="217">
        <f>'Reported burning'!D4485</f>
        <v>0</v>
      </c>
      <c r="E4484" s="217">
        <f>'Reported burning'!E4485</f>
        <v>0</v>
      </c>
      <c r="F4484" s="217">
        <f>'Reported burning'!F4485</f>
        <v>0</v>
      </c>
      <c r="G4484" s="217">
        <f>'Reported burning'!G4485</f>
        <v>0</v>
      </c>
      <c r="H4484" s="217">
        <f>'Reported burning'!H4485</f>
        <v>0</v>
      </c>
    </row>
    <row r="4485" spans="1:8">
      <c r="A4485" s="217">
        <f>'Reported burning'!A4486</f>
        <v>0</v>
      </c>
      <c r="B4485" s="217">
        <f>'Reported burning'!B4486</f>
        <v>0</v>
      </c>
      <c r="C4485" s="217">
        <f>'Reported burning'!C4486</f>
        <v>0</v>
      </c>
      <c r="D4485" s="217">
        <f>'Reported burning'!D4486</f>
        <v>0</v>
      </c>
      <c r="E4485" s="217">
        <f>'Reported burning'!E4486</f>
        <v>0</v>
      </c>
      <c r="F4485" s="217">
        <f>'Reported burning'!F4486</f>
        <v>0</v>
      </c>
      <c r="G4485" s="217">
        <f>'Reported burning'!G4486</f>
        <v>0</v>
      </c>
      <c r="H4485" s="217">
        <f>'Reported burning'!H4486</f>
        <v>0</v>
      </c>
    </row>
    <row r="4486" spans="1:8">
      <c r="A4486" s="217">
        <f>'Reported burning'!A4487</f>
        <v>0</v>
      </c>
      <c r="B4486" s="217">
        <f>'Reported burning'!B4487</f>
        <v>0</v>
      </c>
      <c r="C4486" s="217">
        <f>'Reported burning'!C4487</f>
        <v>0</v>
      </c>
      <c r="D4486" s="217">
        <f>'Reported burning'!D4487</f>
        <v>0</v>
      </c>
      <c r="E4486" s="217">
        <f>'Reported burning'!E4487</f>
        <v>0</v>
      </c>
      <c r="F4486" s="217">
        <f>'Reported burning'!F4487</f>
        <v>0</v>
      </c>
      <c r="G4486" s="217">
        <f>'Reported burning'!G4487</f>
        <v>0</v>
      </c>
      <c r="H4486" s="217">
        <f>'Reported burning'!H4487</f>
        <v>0</v>
      </c>
    </row>
    <row r="4487" spans="1:8">
      <c r="A4487" s="217">
        <f>'Reported burning'!A4488</f>
        <v>0</v>
      </c>
      <c r="B4487" s="217">
        <f>'Reported burning'!B4488</f>
        <v>0</v>
      </c>
      <c r="C4487" s="217">
        <f>'Reported burning'!C4488</f>
        <v>0</v>
      </c>
      <c r="D4487" s="217">
        <f>'Reported burning'!D4488</f>
        <v>0</v>
      </c>
      <c r="E4487" s="217">
        <f>'Reported burning'!E4488</f>
        <v>0</v>
      </c>
      <c r="F4487" s="217">
        <f>'Reported burning'!F4488</f>
        <v>0</v>
      </c>
      <c r="G4487" s="217">
        <f>'Reported burning'!G4488</f>
        <v>0</v>
      </c>
      <c r="H4487" s="217">
        <f>'Reported burning'!H4488</f>
        <v>0</v>
      </c>
    </row>
    <row r="4488" spans="1:8">
      <c r="A4488" s="217">
        <f>'Reported burning'!A4489</f>
        <v>0</v>
      </c>
      <c r="B4488" s="217">
        <f>'Reported burning'!B4489</f>
        <v>0</v>
      </c>
      <c r="C4488" s="217">
        <f>'Reported burning'!C4489</f>
        <v>0</v>
      </c>
      <c r="D4488" s="217">
        <f>'Reported burning'!D4489</f>
        <v>0</v>
      </c>
      <c r="E4488" s="217">
        <f>'Reported burning'!E4489</f>
        <v>0</v>
      </c>
      <c r="F4488" s="217">
        <f>'Reported burning'!F4489</f>
        <v>0</v>
      </c>
      <c r="G4488" s="217">
        <f>'Reported burning'!G4489</f>
        <v>0</v>
      </c>
      <c r="H4488" s="217">
        <f>'Reported burning'!H4489</f>
        <v>0</v>
      </c>
    </row>
    <row r="4489" spans="1:8">
      <c r="A4489" s="217">
        <f>'Reported burning'!A4490</f>
        <v>0</v>
      </c>
      <c r="B4489" s="217">
        <f>'Reported burning'!B4490</f>
        <v>0</v>
      </c>
      <c r="C4489" s="217">
        <f>'Reported burning'!C4490</f>
        <v>0</v>
      </c>
      <c r="D4489" s="217">
        <f>'Reported burning'!D4490</f>
        <v>0</v>
      </c>
      <c r="E4489" s="217">
        <f>'Reported burning'!E4490</f>
        <v>0</v>
      </c>
      <c r="F4489" s="217">
        <f>'Reported burning'!F4490</f>
        <v>0</v>
      </c>
      <c r="G4489" s="217">
        <f>'Reported burning'!G4490</f>
        <v>0</v>
      </c>
      <c r="H4489" s="217">
        <f>'Reported burning'!H4490</f>
        <v>0</v>
      </c>
    </row>
    <row r="4490" spans="1:8">
      <c r="A4490" s="217">
        <f>'Reported burning'!A4491</f>
        <v>0</v>
      </c>
      <c r="B4490" s="217">
        <f>'Reported burning'!B4491</f>
        <v>0</v>
      </c>
      <c r="C4490" s="217">
        <f>'Reported burning'!C4491</f>
        <v>0</v>
      </c>
      <c r="D4490" s="217">
        <f>'Reported burning'!D4491</f>
        <v>0</v>
      </c>
      <c r="E4490" s="217">
        <f>'Reported burning'!E4491</f>
        <v>0</v>
      </c>
      <c r="F4490" s="217">
        <f>'Reported burning'!F4491</f>
        <v>0</v>
      </c>
      <c r="G4490" s="217">
        <f>'Reported burning'!G4491</f>
        <v>0</v>
      </c>
      <c r="H4490" s="217">
        <f>'Reported burning'!H4491</f>
        <v>0</v>
      </c>
    </row>
    <row r="4491" spans="1:8">
      <c r="A4491" s="217">
        <f>'Reported burning'!A4492</f>
        <v>0</v>
      </c>
      <c r="B4491" s="217">
        <f>'Reported burning'!B4492</f>
        <v>0</v>
      </c>
      <c r="C4491" s="217">
        <f>'Reported burning'!C4492</f>
        <v>0</v>
      </c>
      <c r="D4491" s="217">
        <f>'Reported burning'!D4492</f>
        <v>0</v>
      </c>
      <c r="E4491" s="217">
        <f>'Reported burning'!E4492</f>
        <v>0</v>
      </c>
      <c r="F4491" s="217">
        <f>'Reported burning'!F4492</f>
        <v>0</v>
      </c>
      <c r="G4491" s="217">
        <f>'Reported burning'!G4492</f>
        <v>0</v>
      </c>
      <c r="H4491" s="217">
        <f>'Reported burning'!H4492</f>
        <v>0</v>
      </c>
    </row>
    <row r="4492" spans="1:8">
      <c r="A4492" s="217">
        <f>'Reported burning'!A4493</f>
        <v>0</v>
      </c>
      <c r="B4492" s="217">
        <f>'Reported burning'!B4493</f>
        <v>0</v>
      </c>
      <c r="C4492" s="217">
        <f>'Reported burning'!C4493</f>
        <v>0</v>
      </c>
      <c r="D4492" s="217">
        <f>'Reported burning'!D4493</f>
        <v>0</v>
      </c>
      <c r="E4492" s="217">
        <f>'Reported burning'!E4493</f>
        <v>0</v>
      </c>
      <c r="F4492" s="217">
        <f>'Reported burning'!F4493</f>
        <v>0</v>
      </c>
      <c r="G4492" s="217">
        <f>'Reported burning'!G4493</f>
        <v>0</v>
      </c>
      <c r="H4492" s="217">
        <f>'Reported burning'!H4493</f>
        <v>0</v>
      </c>
    </row>
    <row r="4493" spans="1:8">
      <c r="A4493" s="217">
        <f>'Reported burning'!A4494</f>
        <v>0</v>
      </c>
      <c r="B4493" s="217">
        <f>'Reported burning'!B4494</f>
        <v>0</v>
      </c>
      <c r="C4493" s="217">
        <f>'Reported burning'!C4494</f>
        <v>0</v>
      </c>
      <c r="D4493" s="217">
        <f>'Reported burning'!D4494</f>
        <v>0</v>
      </c>
      <c r="E4493" s="217">
        <f>'Reported burning'!E4494</f>
        <v>0</v>
      </c>
      <c r="F4493" s="217">
        <f>'Reported burning'!F4494</f>
        <v>0</v>
      </c>
      <c r="G4493" s="217">
        <f>'Reported burning'!G4494</f>
        <v>0</v>
      </c>
      <c r="H4493" s="217">
        <f>'Reported burning'!H4494</f>
        <v>0</v>
      </c>
    </row>
    <row r="4494" spans="1:8">
      <c r="A4494" s="217">
        <f>'Reported burning'!A4495</f>
        <v>0</v>
      </c>
      <c r="B4494" s="217">
        <f>'Reported burning'!B4495</f>
        <v>0</v>
      </c>
      <c r="C4494" s="217">
        <f>'Reported burning'!C4495</f>
        <v>0</v>
      </c>
      <c r="D4494" s="217">
        <f>'Reported burning'!D4495</f>
        <v>0</v>
      </c>
      <c r="E4494" s="217">
        <f>'Reported burning'!E4495</f>
        <v>0</v>
      </c>
      <c r="F4494" s="217">
        <f>'Reported burning'!F4495</f>
        <v>0</v>
      </c>
      <c r="G4494" s="217">
        <f>'Reported burning'!G4495</f>
        <v>0</v>
      </c>
      <c r="H4494" s="217">
        <f>'Reported burning'!H4495</f>
        <v>0</v>
      </c>
    </row>
    <row r="4495" spans="1:8">
      <c r="A4495" s="217">
        <f>'Reported burning'!A4496</f>
        <v>0</v>
      </c>
      <c r="B4495" s="217">
        <f>'Reported burning'!B4496</f>
        <v>0</v>
      </c>
      <c r="C4495" s="217">
        <f>'Reported burning'!C4496</f>
        <v>0</v>
      </c>
      <c r="D4495" s="217">
        <f>'Reported burning'!D4496</f>
        <v>0</v>
      </c>
      <c r="E4495" s="217">
        <f>'Reported burning'!E4496</f>
        <v>0</v>
      </c>
      <c r="F4495" s="217">
        <f>'Reported burning'!F4496</f>
        <v>0</v>
      </c>
      <c r="G4495" s="217">
        <f>'Reported burning'!G4496</f>
        <v>0</v>
      </c>
      <c r="H4495" s="217">
        <f>'Reported burning'!H4496</f>
        <v>0</v>
      </c>
    </row>
    <row r="4496" spans="1:8">
      <c r="A4496" s="217">
        <f>'Reported burning'!A4497</f>
        <v>0</v>
      </c>
      <c r="B4496" s="217">
        <f>'Reported burning'!B4497</f>
        <v>0</v>
      </c>
      <c r="C4496" s="217">
        <f>'Reported burning'!C4497</f>
        <v>0</v>
      </c>
      <c r="D4496" s="217">
        <f>'Reported burning'!D4497</f>
        <v>0</v>
      </c>
      <c r="E4496" s="217">
        <f>'Reported burning'!E4497</f>
        <v>0</v>
      </c>
      <c r="F4496" s="217">
        <f>'Reported burning'!F4497</f>
        <v>0</v>
      </c>
      <c r="G4496" s="217">
        <f>'Reported burning'!G4497</f>
        <v>0</v>
      </c>
      <c r="H4496" s="217">
        <f>'Reported burning'!H4497</f>
        <v>0</v>
      </c>
    </row>
    <row r="4497" spans="1:8">
      <c r="A4497" s="217">
        <f>'Reported burning'!A4498</f>
        <v>0</v>
      </c>
      <c r="B4497" s="217">
        <f>'Reported burning'!B4498</f>
        <v>0</v>
      </c>
      <c r="C4497" s="217">
        <f>'Reported burning'!C4498</f>
        <v>0</v>
      </c>
      <c r="D4497" s="217">
        <f>'Reported burning'!D4498</f>
        <v>0</v>
      </c>
      <c r="E4497" s="217">
        <f>'Reported burning'!E4498</f>
        <v>0</v>
      </c>
      <c r="F4497" s="217">
        <f>'Reported burning'!F4498</f>
        <v>0</v>
      </c>
      <c r="G4497" s="217">
        <f>'Reported burning'!G4498</f>
        <v>0</v>
      </c>
      <c r="H4497" s="217">
        <f>'Reported burning'!H4498</f>
        <v>0</v>
      </c>
    </row>
    <row r="4498" spans="1:8">
      <c r="A4498" s="217">
        <f>'Reported burning'!A4499</f>
        <v>0</v>
      </c>
      <c r="B4498" s="217">
        <f>'Reported burning'!B4499</f>
        <v>0</v>
      </c>
      <c r="C4498" s="217">
        <f>'Reported burning'!C4499</f>
        <v>0</v>
      </c>
      <c r="D4498" s="217">
        <f>'Reported burning'!D4499</f>
        <v>0</v>
      </c>
      <c r="E4498" s="217">
        <f>'Reported burning'!E4499</f>
        <v>0</v>
      </c>
      <c r="F4498" s="217">
        <f>'Reported burning'!F4499</f>
        <v>0</v>
      </c>
      <c r="G4498" s="217">
        <f>'Reported burning'!G4499</f>
        <v>0</v>
      </c>
      <c r="H4498" s="217">
        <f>'Reported burning'!H4499</f>
        <v>0</v>
      </c>
    </row>
    <row r="4499" spans="1:8">
      <c r="A4499" s="217">
        <f>'Reported burning'!A4500</f>
        <v>0</v>
      </c>
      <c r="B4499" s="217">
        <f>'Reported burning'!B4500</f>
        <v>0</v>
      </c>
      <c r="C4499" s="217">
        <f>'Reported burning'!C4500</f>
        <v>0</v>
      </c>
      <c r="D4499" s="217">
        <f>'Reported burning'!D4500</f>
        <v>0</v>
      </c>
      <c r="E4499" s="217">
        <f>'Reported burning'!E4500</f>
        <v>0</v>
      </c>
      <c r="F4499" s="217">
        <f>'Reported burning'!F4500</f>
        <v>0</v>
      </c>
      <c r="G4499" s="217">
        <f>'Reported burning'!G4500</f>
        <v>0</v>
      </c>
      <c r="H4499" s="217">
        <f>'Reported burning'!H4500</f>
        <v>0</v>
      </c>
    </row>
    <row r="4500" spans="1:8">
      <c r="A4500" s="217">
        <f>'Reported burning'!A4501</f>
        <v>0</v>
      </c>
      <c r="B4500" s="217">
        <f>'Reported burning'!B4501</f>
        <v>0</v>
      </c>
      <c r="C4500" s="217">
        <f>'Reported burning'!C4501</f>
        <v>0</v>
      </c>
      <c r="D4500" s="217">
        <f>'Reported burning'!D4501</f>
        <v>0</v>
      </c>
      <c r="E4500" s="217">
        <f>'Reported burning'!E4501</f>
        <v>0</v>
      </c>
      <c r="F4500" s="217">
        <f>'Reported burning'!F4501</f>
        <v>0</v>
      </c>
      <c r="G4500" s="217">
        <f>'Reported burning'!G4501</f>
        <v>0</v>
      </c>
      <c r="H4500" s="217">
        <f>'Reported burning'!H4501</f>
        <v>0</v>
      </c>
    </row>
    <row r="4501" spans="1:8">
      <c r="A4501" s="217">
        <f>'Reported burning'!A4502</f>
        <v>0</v>
      </c>
      <c r="B4501" s="217">
        <f>'Reported burning'!B4502</f>
        <v>0</v>
      </c>
      <c r="C4501" s="217">
        <f>'Reported burning'!C4502</f>
        <v>0</v>
      </c>
      <c r="D4501" s="217">
        <f>'Reported burning'!D4502</f>
        <v>0</v>
      </c>
      <c r="E4501" s="217">
        <f>'Reported burning'!E4502</f>
        <v>0</v>
      </c>
      <c r="F4501" s="217">
        <f>'Reported burning'!F4502</f>
        <v>0</v>
      </c>
      <c r="G4501" s="217">
        <f>'Reported burning'!G4502</f>
        <v>0</v>
      </c>
      <c r="H4501" s="217">
        <f>'Reported burning'!H4502</f>
        <v>0</v>
      </c>
    </row>
    <row r="4502" spans="1:8">
      <c r="A4502" s="217">
        <f>'Reported burning'!A4503</f>
        <v>0</v>
      </c>
      <c r="B4502" s="217">
        <f>'Reported burning'!B4503</f>
        <v>0</v>
      </c>
      <c r="C4502" s="217">
        <f>'Reported burning'!C4503</f>
        <v>0</v>
      </c>
      <c r="D4502" s="217">
        <f>'Reported burning'!D4503</f>
        <v>0</v>
      </c>
      <c r="E4502" s="217">
        <f>'Reported burning'!E4503</f>
        <v>0</v>
      </c>
      <c r="F4502" s="217">
        <f>'Reported burning'!F4503</f>
        <v>0</v>
      </c>
      <c r="G4502" s="217">
        <f>'Reported burning'!G4503</f>
        <v>0</v>
      </c>
      <c r="H4502" s="217">
        <f>'Reported burning'!H4503</f>
        <v>0</v>
      </c>
    </row>
    <row r="4503" spans="1:8">
      <c r="A4503" s="217">
        <f>'Reported burning'!A4504</f>
        <v>0</v>
      </c>
      <c r="B4503" s="217">
        <f>'Reported burning'!B4504</f>
        <v>0</v>
      </c>
      <c r="C4503" s="217">
        <f>'Reported burning'!C4504</f>
        <v>0</v>
      </c>
      <c r="D4503" s="217">
        <f>'Reported burning'!D4504</f>
        <v>0</v>
      </c>
      <c r="E4503" s="217">
        <f>'Reported burning'!E4504</f>
        <v>0</v>
      </c>
      <c r="F4503" s="217">
        <f>'Reported burning'!F4504</f>
        <v>0</v>
      </c>
      <c r="G4503" s="217">
        <f>'Reported burning'!G4504</f>
        <v>0</v>
      </c>
      <c r="H4503" s="217">
        <f>'Reported burning'!H4504</f>
        <v>0</v>
      </c>
    </row>
    <row r="4504" spans="1:8">
      <c r="A4504" s="217">
        <f>'Reported burning'!A4505</f>
        <v>0</v>
      </c>
      <c r="B4504" s="217">
        <f>'Reported burning'!B4505</f>
        <v>0</v>
      </c>
      <c r="C4504" s="217">
        <f>'Reported burning'!C4505</f>
        <v>0</v>
      </c>
      <c r="D4504" s="217">
        <f>'Reported burning'!D4505</f>
        <v>0</v>
      </c>
      <c r="E4504" s="217">
        <f>'Reported burning'!E4505</f>
        <v>0</v>
      </c>
      <c r="F4504" s="217">
        <f>'Reported burning'!F4505</f>
        <v>0</v>
      </c>
      <c r="G4504" s="217">
        <f>'Reported burning'!G4505</f>
        <v>0</v>
      </c>
      <c r="H4504" s="217">
        <f>'Reported burning'!H4505</f>
        <v>0</v>
      </c>
    </row>
    <row r="4505" spans="1:8">
      <c r="A4505" s="217">
        <f>'Reported burning'!A4506</f>
        <v>0</v>
      </c>
      <c r="B4505" s="217">
        <f>'Reported burning'!B4506</f>
        <v>0</v>
      </c>
      <c r="C4505" s="217">
        <f>'Reported burning'!C4506</f>
        <v>0</v>
      </c>
      <c r="D4505" s="217">
        <f>'Reported burning'!D4506</f>
        <v>0</v>
      </c>
      <c r="E4505" s="217">
        <f>'Reported burning'!E4506</f>
        <v>0</v>
      </c>
      <c r="F4505" s="217">
        <f>'Reported burning'!F4506</f>
        <v>0</v>
      </c>
      <c r="G4505" s="217">
        <f>'Reported burning'!G4506</f>
        <v>0</v>
      </c>
      <c r="H4505" s="217">
        <f>'Reported burning'!H4506</f>
        <v>0</v>
      </c>
    </row>
    <row r="4506" spans="1:8">
      <c r="A4506" s="217">
        <f>'Reported burning'!A4507</f>
        <v>0</v>
      </c>
      <c r="B4506" s="217">
        <f>'Reported burning'!B4507</f>
        <v>0</v>
      </c>
      <c r="C4506" s="217">
        <f>'Reported burning'!C4507</f>
        <v>0</v>
      </c>
      <c r="D4506" s="217">
        <f>'Reported burning'!D4507</f>
        <v>0</v>
      </c>
      <c r="E4506" s="217">
        <f>'Reported burning'!E4507</f>
        <v>0</v>
      </c>
      <c r="F4506" s="217">
        <f>'Reported burning'!F4507</f>
        <v>0</v>
      </c>
      <c r="G4506" s="217">
        <f>'Reported burning'!G4507</f>
        <v>0</v>
      </c>
      <c r="H4506" s="217">
        <f>'Reported burning'!H4507</f>
        <v>0</v>
      </c>
    </row>
    <row r="4507" spans="1:8">
      <c r="A4507" s="217">
        <f>'Reported burning'!A4508</f>
        <v>0</v>
      </c>
      <c r="B4507" s="217">
        <f>'Reported burning'!B4508</f>
        <v>0</v>
      </c>
      <c r="C4507" s="217">
        <f>'Reported burning'!C4508</f>
        <v>0</v>
      </c>
      <c r="D4507" s="217">
        <f>'Reported burning'!D4508</f>
        <v>0</v>
      </c>
      <c r="E4507" s="217">
        <f>'Reported burning'!E4508</f>
        <v>0</v>
      </c>
      <c r="F4507" s="217">
        <f>'Reported burning'!F4508</f>
        <v>0</v>
      </c>
      <c r="G4507" s="217">
        <f>'Reported burning'!G4508</f>
        <v>0</v>
      </c>
      <c r="H4507" s="217">
        <f>'Reported burning'!H4508</f>
        <v>0</v>
      </c>
    </row>
    <row r="4508" spans="1:8">
      <c r="A4508" s="217">
        <f>'Reported burning'!A4509</f>
        <v>0</v>
      </c>
      <c r="B4508" s="217">
        <f>'Reported burning'!B4509</f>
        <v>0</v>
      </c>
      <c r="C4508" s="217">
        <f>'Reported burning'!C4509</f>
        <v>0</v>
      </c>
      <c r="D4508" s="217">
        <f>'Reported burning'!D4509</f>
        <v>0</v>
      </c>
      <c r="E4508" s="217">
        <f>'Reported burning'!E4509</f>
        <v>0</v>
      </c>
      <c r="F4508" s="217">
        <f>'Reported burning'!F4509</f>
        <v>0</v>
      </c>
      <c r="G4508" s="217">
        <f>'Reported burning'!G4509</f>
        <v>0</v>
      </c>
      <c r="H4508" s="217">
        <f>'Reported burning'!H4509</f>
        <v>0</v>
      </c>
    </row>
    <row r="4509" spans="1:8">
      <c r="A4509" s="217">
        <f>'Reported burning'!A4510</f>
        <v>0</v>
      </c>
      <c r="B4509" s="217">
        <f>'Reported burning'!B4510</f>
        <v>0</v>
      </c>
      <c r="C4509" s="217">
        <f>'Reported burning'!C4510</f>
        <v>0</v>
      </c>
      <c r="D4509" s="217">
        <f>'Reported burning'!D4510</f>
        <v>0</v>
      </c>
      <c r="E4509" s="217">
        <f>'Reported burning'!E4510</f>
        <v>0</v>
      </c>
      <c r="F4509" s="217">
        <f>'Reported burning'!F4510</f>
        <v>0</v>
      </c>
      <c r="G4509" s="217">
        <f>'Reported burning'!G4510</f>
        <v>0</v>
      </c>
      <c r="H4509" s="217">
        <f>'Reported burning'!H4510</f>
        <v>0</v>
      </c>
    </row>
    <row r="4510" spans="1:8">
      <c r="A4510" s="217">
        <f>'Reported burning'!A4511</f>
        <v>0</v>
      </c>
      <c r="B4510" s="217">
        <f>'Reported burning'!B4511</f>
        <v>0</v>
      </c>
      <c r="C4510" s="217">
        <f>'Reported burning'!C4511</f>
        <v>0</v>
      </c>
      <c r="D4510" s="217">
        <f>'Reported burning'!D4511</f>
        <v>0</v>
      </c>
      <c r="E4510" s="217">
        <f>'Reported burning'!E4511</f>
        <v>0</v>
      </c>
      <c r="F4510" s="217">
        <f>'Reported burning'!F4511</f>
        <v>0</v>
      </c>
      <c r="G4510" s="217">
        <f>'Reported burning'!G4511</f>
        <v>0</v>
      </c>
      <c r="H4510" s="217">
        <f>'Reported burning'!H4511</f>
        <v>0</v>
      </c>
    </row>
    <row r="4511" spans="1:8">
      <c r="A4511" s="217">
        <f>'Reported burning'!A4512</f>
        <v>0</v>
      </c>
      <c r="B4511" s="217">
        <f>'Reported burning'!B4512</f>
        <v>0</v>
      </c>
      <c r="C4511" s="217">
        <f>'Reported burning'!C4512</f>
        <v>0</v>
      </c>
      <c r="D4511" s="217">
        <f>'Reported burning'!D4512</f>
        <v>0</v>
      </c>
      <c r="E4511" s="217">
        <f>'Reported burning'!E4512</f>
        <v>0</v>
      </c>
      <c r="F4511" s="217">
        <f>'Reported burning'!F4512</f>
        <v>0</v>
      </c>
      <c r="G4511" s="217">
        <f>'Reported burning'!G4512</f>
        <v>0</v>
      </c>
      <c r="H4511" s="217">
        <f>'Reported burning'!H4512</f>
        <v>0</v>
      </c>
    </row>
    <row r="4512" spans="1:8">
      <c r="A4512" s="217">
        <f>'Reported burning'!A4513</f>
        <v>0</v>
      </c>
      <c r="B4512" s="217">
        <f>'Reported burning'!B4513</f>
        <v>0</v>
      </c>
      <c r="C4512" s="217">
        <f>'Reported burning'!C4513</f>
        <v>0</v>
      </c>
      <c r="D4512" s="217">
        <f>'Reported burning'!D4513</f>
        <v>0</v>
      </c>
      <c r="E4512" s="217">
        <f>'Reported burning'!E4513</f>
        <v>0</v>
      </c>
      <c r="F4512" s="217">
        <f>'Reported burning'!F4513</f>
        <v>0</v>
      </c>
      <c r="G4512" s="217">
        <f>'Reported burning'!G4513</f>
        <v>0</v>
      </c>
      <c r="H4512" s="217">
        <f>'Reported burning'!H4513</f>
        <v>0</v>
      </c>
    </row>
    <row r="4513" spans="1:8">
      <c r="A4513" s="217">
        <f>'Reported burning'!A4514</f>
        <v>0</v>
      </c>
      <c r="B4513" s="217">
        <f>'Reported burning'!B4514</f>
        <v>0</v>
      </c>
      <c r="C4513" s="217">
        <f>'Reported burning'!C4514</f>
        <v>0</v>
      </c>
      <c r="D4513" s="217">
        <f>'Reported burning'!D4514</f>
        <v>0</v>
      </c>
      <c r="E4513" s="217">
        <f>'Reported burning'!E4514</f>
        <v>0</v>
      </c>
      <c r="F4513" s="217">
        <f>'Reported burning'!F4514</f>
        <v>0</v>
      </c>
      <c r="G4513" s="217">
        <f>'Reported burning'!G4514</f>
        <v>0</v>
      </c>
      <c r="H4513" s="217">
        <f>'Reported burning'!H4514</f>
        <v>0</v>
      </c>
    </row>
    <row r="4514" spans="1:8">
      <c r="A4514" s="217">
        <f>'Reported burning'!A4515</f>
        <v>0</v>
      </c>
      <c r="B4514" s="217">
        <f>'Reported burning'!B4515</f>
        <v>0</v>
      </c>
      <c r="C4514" s="217">
        <f>'Reported burning'!C4515</f>
        <v>0</v>
      </c>
      <c r="D4514" s="217">
        <f>'Reported burning'!D4515</f>
        <v>0</v>
      </c>
      <c r="E4514" s="217">
        <f>'Reported burning'!E4515</f>
        <v>0</v>
      </c>
      <c r="F4514" s="217">
        <f>'Reported burning'!F4515</f>
        <v>0</v>
      </c>
      <c r="G4514" s="217">
        <f>'Reported burning'!G4515</f>
        <v>0</v>
      </c>
      <c r="H4514" s="217">
        <f>'Reported burning'!H4515</f>
        <v>0</v>
      </c>
    </row>
    <row r="4515" spans="1:8">
      <c r="A4515" s="217">
        <f>'Reported burning'!A4516</f>
        <v>0</v>
      </c>
      <c r="B4515" s="217">
        <f>'Reported burning'!B4516</f>
        <v>0</v>
      </c>
      <c r="C4515" s="217">
        <f>'Reported burning'!C4516</f>
        <v>0</v>
      </c>
      <c r="D4515" s="217">
        <f>'Reported burning'!D4516</f>
        <v>0</v>
      </c>
      <c r="E4515" s="217">
        <f>'Reported burning'!E4516</f>
        <v>0</v>
      </c>
      <c r="F4515" s="217">
        <f>'Reported burning'!F4516</f>
        <v>0</v>
      </c>
      <c r="G4515" s="217">
        <f>'Reported burning'!G4516</f>
        <v>0</v>
      </c>
      <c r="H4515" s="217">
        <f>'Reported burning'!H4516</f>
        <v>0</v>
      </c>
    </row>
    <row r="4516" spans="1:8">
      <c r="A4516" s="217">
        <f>'Reported burning'!A4517</f>
        <v>0</v>
      </c>
      <c r="B4516" s="217">
        <f>'Reported burning'!B4517</f>
        <v>0</v>
      </c>
      <c r="C4516" s="217">
        <f>'Reported burning'!C4517</f>
        <v>0</v>
      </c>
      <c r="D4516" s="217">
        <f>'Reported burning'!D4517</f>
        <v>0</v>
      </c>
      <c r="E4516" s="217">
        <f>'Reported burning'!E4517</f>
        <v>0</v>
      </c>
      <c r="F4516" s="217">
        <f>'Reported burning'!F4517</f>
        <v>0</v>
      </c>
      <c r="G4516" s="217">
        <f>'Reported burning'!G4517</f>
        <v>0</v>
      </c>
      <c r="H4516" s="217">
        <f>'Reported burning'!H4517</f>
        <v>0</v>
      </c>
    </row>
    <row r="4517" spans="1:8">
      <c r="A4517" s="217">
        <f>'Reported burning'!A4518</f>
        <v>0</v>
      </c>
      <c r="B4517" s="217">
        <f>'Reported burning'!B4518</f>
        <v>0</v>
      </c>
      <c r="C4517" s="217">
        <f>'Reported burning'!C4518</f>
        <v>0</v>
      </c>
      <c r="D4517" s="217">
        <f>'Reported burning'!D4518</f>
        <v>0</v>
      </c>
      <c r="E4517" s="217">
        <f>'Reported burning'!E4518</f>
        <v>0</v>
      </c>
      <c r="F4517" s="217">
        <f>'Reported burning'!F4518</f>
        <v>0</v>
      </c>
      <c r="G4517" s="217">
        <f>'Reported burning'!G4518</f>
        <v>0</v>
      </c>
      <c r="H4517" s="217">
        <f>'Reported burning'!H4518</f>
        <v>0</v>
      </c>
    </row>
    <row r="4518" spans="1:8">
      <c r="A4518" s="217">
        <f>'Reported burning'!A4519</f>
        <v>0</v>
      </c>
      <c r="B4518" s="217">
        <f>'Reported burning'!B4519</f>
        <v>0</v>
      </c>
      <c r="C4518" s="217">
        <f>'Reported burning'!C4519</f>
        <v>0</v>
      </c>
      <c r="D4518" s="217">
        <f>'Reported burning'!D4519</f>
        <v>0</v>
      </c>
      <c r="E4518" s="217">
        <f>'Reported burning'!E4519</f>
        <v>0</v>
      </c>
      <c r="F4518" s="217">
        <f>'Reported burning'!F4519</f>
        <v>0</v>
      </c>
      <c r="G4518" s="217">
        <f>'Reported burning'!G4519</f>
        <v>0</v>
      </c>
      <c r="H4518" s="217">
        <f>'Reported burning'!H4519</f>
        <v>0</v>
      </c>
    </row>
    <row r="4519" spans="1:8">
      <c r="A4519" s="217">
        <f>'Reported burning'!A4520</f>
        <v>0</v>
      </c>
      <c r="B4519" s="217">
        <f>'Reported burning'!B4520</f>
        <v>0</v>
      </c>
      <c r="C4519" s="217">
        <f>'Reported burning'!C4520</f>
        <v>0</v>
      </c>
      <c r="D4519" s="217">
        <f>'Reported burning'!D4520</f>
        <v>0</v>
      </c>
      <c r="E4519" s="217">
        <f>'Reported burning'!E4520</f>
        <v>0</v>
      </c>
      <c r="F4519" s="217">
        <f>'Reported burning'!F4520</f>
        <v>0</v>
      </c>
      <c r="G4519" s="217">
        <f>'Reported burning'!G4520</f>
        <v>0</v>
      </c>
      <c r="H4519" s="217">
        <f>'Reported burning'!H4520</f>
        <v>0</v>
      </c>
    </row>
    <row r="4520" spans="1:8">
      <c r="A4520" s="217">
        <f>'Reported burning'!A4521</f>
        <v>0</v>
      </c>
      <c r="B4520" s="217">
        <f>'Reported burning'!B4521</f>
        <v>0</v>
      </c>
      <c r="C4520" s="217">
        <f>'Reported burning'!C4521</f>
        <v>0</v>
      </c>
      <c r="D4520" s="217">
        <f>'Reported burning'!D4521</f>
        <v>0</v>
      </c>
      <c r="E4520" s="217">
        <f>'Reported burning'!E4521</f>
        <v>0</v>
      </c>
      <c r="F4520" s="217">
        <f>'Reported burning'!F4521</f>
        <v>0</v>
      </c>
      <c r="G4520" s="217">
        <f>'Reported burning'!G4521</f>
        <v>0</v>
      </c>
      <c r="H4520" s="217">
        <f>'Reported burning'!H4521</f>
        <v>0</v>
      </c>
    </row>
    <row r="4521" spans="1:8">
      <c r="A4521" s="217">
        <f>'Reported burning'!A4522</f>
        <v>0</v>
      </c>
      <c r="B4521" s="217">
        <f>'Reported burning'!B4522</f>
        <v>0</v>
      </c>
      <c r="C4521" s="217">
        <f>'Reported burning'!C4522</f>
        <v>0</v>
      </c>
      <c r="D4521" s="217">
        <f>'Reported burning'!D4522</f>
        <v>0</v>
      </c>
      <c r="E4521" s="217">
        <f>'Reported burning'!E4522</f>
        <v>0</v>
      </c>
      <c r="F4521" s="217">
        <f>'Reported burning'!F4522</f>
        <v>0</v>
      </c>
      <c r="G4521" s="217">
        <f>'Reported burning'!G4522</f>
        <v>0</v>
      </c>
      <c r="H4521" s="217">
        <f>'Reported burning'!H4522</f>
        <v>0</v>
      </c>
    </row>
    <row r="4522" spans="1:8">
      <c r="A4522" s="217">
        <f>'Reported burning'!A4523</f>
        <v>0</v>
      </c>
      <c r="B4522" s="217">
        <f>'Reported burning'!B4523</f>
        <v>0</v>
      </c>
      <c r="C4522" s="217">
        <f>'Reported burning'!C4523</f>
        <v>0</v>
      </c>
      <c r="D4522" s="217">
        <f>'Reported burning'!D4523</f>
        <v>0</v>
      </c>
      <c r="E4522" s="217">
        <f>'Reported burning'!E4523</f>
        <v>0</v>
      </c>
      <c r="F4522" s="217">
        <f>'Reported burning'!F4523</f>
        <v>0</v>
      </c>
      <c r="G4522" s="217">
        <f>'Reported burning'!G4523</f>
        <v>0</v>
      </c>
      <c r="H4522" s="217">
        <f>'Reported burning'!H4523</f>
        <v>0</v>
      </c>
    </row>
    <row r="4523" spans="1:8">
      <c r="A4523" s="217">
        <f>'Reported burning'!A4524</f>
        <v>0</v>
      </c>
      <c r="B4523" s="217">
        <f>'Reported burning'!B4524</f>
        <v>0</v>
      </c>
      <c r="C4523" s="217">
        <f>'Reported burning'!C4524</f>
        <v>0</v>
      </c>
      <c r="D4523" s="217">
        <f>'Reported burning'!D4524</f>
        <v>0</v>
      </c>
      <c r="E4523" s="217">
        <f>'Reported burning'!E4524</f>
        <v>0</v>
      </c>
      <c r="F4523" s="217">
        <f>'Reported burning'!F4524</f>
        <v>0</v>
      </c>
      <c r="G4523" s="217">
        <f>'Reported burning'!G4524</f>
        <v>0</v>
      </c>
      <c r="H4523" s="217">
        <f>'Reported burning'!H4524</f>
        <v>0</v>
      </c>
    </row>
    <row r="4524" spans="1:8">
      <c r="A4524" s="217">
        <f>'Reported burning'!A4525</f>
        <v>0</v>
      </c>
      <c r="B4524" s="217">
        <f>'Reported burning'!B4525</f>
        <v>0</v>
      </c>
      <c r="C4524" s="217">
        <f>'Reported burning'!C4525</f>
        <v>0</v>
      </c>
      <c r="D4524" s="217">
        <f>'Reported burning'!D4525</f>
        <v>0</v>
      </c>
      <c r="E4524" s="217">
        <f>'Reported burning'!E4525</f>
        <v>0</v>
      </c>
      <c r="F4524" s="217">
        <f>'Reported burning'!F4525</f>
        <v>0</v>
      </c>
      <c r="G4524" s="217">
        <f>'Reported burning'!G4525</f>
        <v>0</v>
      </c>
      <c r="H4524" s="217">
        <f>'Reported burning'!H4525</f>
        <v>0</v>
      </c>
    </row>
    <row r="4525" spans="1:8">
      <c r="A4525" s="217">
        <f>'Reported burning'!A4526</f>
        <v>0</v>
      </c>
      <c r="B4525" s="217">
        <f>'Reported burning'!B4526</f>
        <v>0</v>
      </c>
      <c r="C4525" s="217">
        <f>'Reported burning'!C4526</f>
        <v>0</v>
      </c>
      <c r="D4525" s="217">
        <f>'Reported burning'!D4526</f>
        <v>0</v>
      </c>
      <c r="E4525" s="217">
        <f>'Reported burning'!E4526</f>
        <v>0</v>
      </c>
      <c r="F4525" s="217">
        <f>'Reported burning'!F4526</f>
        <v>0</v>
      </c>
      <c r="G4525" s="217">
        <f>'Reported burning'!G4526</f>
        <v>0</v>
      </c>
      <c r="H4525" s="217">
        <f>'Reported burning'!H4526</f>
        <v>0</v>
      </c>
    </row>
    <row r="4526" spans="1:8">
      <c r="A4526" s="217">
        <f>'Reported burning'!A4527</f>
        <v>0</v>
      </c>
      <c r="B4526" s="217">
        <f>'Reported burning'!B4527</f>
        <v>0</v>
      </c>
      <c r="C4526" s="217">
        <f>'Reported burning'!C4527</f>
        <v>0</v>
      </c>
      <c r="D4526" s="217">
        <f>'Reported burning'!D4527</f>
        <v>0</v>
      </c>
      <c r="E4526" s="217">
        <f>'Reported burning'!E4527</f>
        <v>0</v>
      </c>
      <c r="F4526" s="217">
        <f>'Reported burning'!F4527</f>
        <v>0</v>
      </c>
      <c r="G4526" s="217">
        <f>'Reported burning'!G4527</f>
        <v>0</v>
      </c>
      <c r="H4526" s="217">
        <f>'Reported burning'!H4527</f>
        <v>0</v>
      </c>
    </row>
    <row r="4527" spans="1:8">
      <c r="A4527" s="217">
        <f>'Reported burning'!A4528</f>
        <v>0</v>
      </c>
      <c r="B4527" s="217">
        <f>'Reported burning'!B4528</f>
        <v>0</v>
      </c>
      <c r="C4527" s="217">
        <f>'Reported burning'!C4528</f>
        <v>0</v>
      </c>
      <c r="D4527" s="217">
        <f>'Reported burning'!D4528</f>
        <v>0</v>
      </c>
      <c r="E4527" s="217">
        <f>'Reported burning'!E4528</f>
        <v>0</v>
      </c>
      <c r="F4527" s="217">
        <f>'Reported burning'!F4528</f>
        <v>0</v>
      </c>
      <c r="G4527" s="217">
        <f>'Reported burning'!G4528</f>
        <v>0</v>
      </c>
      <c r="H4527" s="217">
        <f>'Reported burning'!H4528</f>
        <v>0</v>
      </c>
    </row>
    <row r="4528" spans="1:8">
      <c r="A4528" s="217">
        <f>'Reported burning'!A4529</f>
        <v>0</v>
      </c>
      <c r="B4528" s="217">
        <f>'Reported burning'!B4529</f>
        <v>0</v>
      </c>
      <c r="C4528" s="217">
        <f>'Reported burning'!C4529</f>
        <v>0</v>
      </c>
      <c r="D4528" s="217">
        <f>'Reported burning'!D4529</f>
        <v>0</v>
      </c>
      <c r="E4528" s="217">
        <f>'Reported burning'!E4529</f>
        <v>0</v>
      </c>
      <c r="F4528" s="217">
        <f>'Reported burning'!F4529</f>
        <v>0</v>
      </c>
      <c r="G4528" s="217">
        <f>'Reported burning'!G4529</f>
        <v>0</v>
      </c>
      <c r="H4528" s="217">
        <f>'Reported burning'!H4529</f>
        <v>0</v>
      </c>
    </row>
    <row r="4529" spans="1:8">
      <c r="A4529" s="217">
        <f>'Reported burning'!A4530</f>
        <v>0</v>
      </c>
      <c r="B4529" s="217">
        <f>'Reported burning'!B4530</f>
        <v>0</v>
      </c>
      <c r="C4529" s="217">
        <f>'Reported burning'!C4530</f>
        <v>0</v>
      </c>
      <c r="D4529" s="217">
        <f>'Reported burning'!D4530</f>
        <v>0</v>
      </c>
      <c r="E4529" s="217">
        <f>'Reported burning'!E4530</f>
        <v>0</v>
      </c>
      <c r="F4529" s="217">
        <f>'Reported burning'!F4530</f>
        <v>0</v>
      </c>
      <c r="G4529" s="217">
        <f>'Reported burning'!G4530</f>
        <v>0</v>
      </c>
      <c r="H4529" s="217">
        <f>'Reported burning'!H4530</f>
        <v>0</v>
      </c>
    </row>
    <row r="4530" spans="1:8">
      <c r="A4530" s="217">
        <f>'Reported burning'!A4531</f>
        <v>0</v>
      </c>
      <c r="B4530" s="217">
        <f>'Reported burning'!B4531</f>
        <v>0</v>
      </c>
      <c r="C4530" s="217">
        <f>'Reported burning'!C4531</f>
        <v>0</v>
      </c>
      <c r="D4530" s="217">
        <f>'Reported burning'!D4531</f>
        <v>0</v>
      </c>
      <c r="E4530" s="217">
        <f>'Reported burning'!E4531</f>
        <v>0</v>
      </c>
      <c r="F4530" s="217">
        <f>'Reported burning'!F4531</f>
        <v>0</v>
      </c>
      <c r="G4530" s="217">
        <f>'Reported burning'!G4531</f>
        <v>0</v>
      </c>
      <c r="H4530" s="217">
        <f>'Reported burning'!H4531</f>
        <v>0</v>
      </c>
    </row>
    <row r="4531" spans="1:8">
      <c r="A4531" s="217">
        <f>'Reported burning'!A4532</f>
        <v>0</v>
      </c>
      <c r="B4531" s="217">
        <f>'Reported burning'!B4532</f>
        <v>0</v>
      </c>
      <c r="C4531" s="217">
        <f>'Reported burning'!C4532</f>
        <v>0</v>
      </c>
      <c r="D4531" s="217">
        <f>'Reported burning'!D4532</f>
        <v>0</v>
      </c>
      <c r="E4531" s="217">
        <f>'Reported burning'!E4532</f>
        <v>0</v>
      </c>
      <c r="F4531" s="217">
        <f>'Reported burning'!F4532</f>
        <v>0</v>
      </c>
      <c r="G4531" s="217">
        <f>'Reported burning'!G4532</f>
        <v>0</v>
      </c>
      <c r="H4531" s="217">
        <f>'Reported burning'!H4532</f>
        <v>0</v>
      </c>
    </row>
    <row r="4532" spans="1:8">
      <c r="A4532" s="217">
        <f>'Reported burning'!A4533</f>
        <v>0</v>
      </c>
      <c r="B4532" s="217">
        <f>'Reported burning'!B4533</f>
        <v>0</v>
      </c>
      <c r="C4532" s="217">
        <f>'Reported burning'!C4533</f>
        <v>0</v>
      </c>
      <c r="D4532" s="217">
        <f>'Reported burning'!D4533</f>
        <v>0</v>
      </c>
      <c r="E4532" s="217">
        <f>'Reported burning'!E4533</f>
        <v>0</v>
      </c>
      <c r="F4532" s="217">
        <f>'Reported burning'!F4533</f>
        <v>0</v>
      </c>
      <c r="G4532" s="217">
        <f>'Reported burning'!G4533</f>
        <v>0</v>
      </c>
      <c r="H4532" s="217">
        <f>'Reported burning'!H4533</f>
        <v>0</v>
      </c>
    </row>
    <row r="4533" spans="1:8">
      <c r="A4533" s="217">
        <f>'Reported burning'!A4534</f>
        <v>0</v>
      </c>
      <c r="B4533" s="217">
        <f>'Reported burning'!B4534</f>
        <v>0</v>
      </c>
      <c r="C4533" s="217">
        <f>'Reported burning'!C4534</f>
        <v>0</v>
      </c>
      <c r="D4533" s="217">
        <f>'Reported burning'!D4534</f>
        <v>0</v>
      </c>
      <c r="E4533" s="217">
        <f>'Reported burning'!E4534</f>
        <v>0</v>
      </c>
      <c r="F4533" s="217">
        <f>'Reported burning'!F4534</f>
        <v>0</v>
      </c>
      <c r="G4533" s="217">
        <f>'Reported burning'!G4534</f>
        <v>0</v>
      </c>
      <c r="H4533" s="217">
        <f>'Reported burning'!H4534</f>
        <v>0</v>
      </c>
    </row>
    <row r="4534" spans="1:8">
      <c r="A4534" s="217">
        <f>'Reported burning'!A4535</f>
        <v>0</v>
      </c>
      <c r="B4534" s="217">
        <f>'Reported burning'!B4535</f>
        <v>0</v>
      </c>
      <c r="C4534" s="217">
        <f>'Reported burning'!C4535</f>
        <v>0</v>
      </c>
      <c r="D4534" s="217">
        <f>'Reported burning'!D4535</f>
        <v>0</v>
      </c>
      <c r="E4534" s="217">
        <f>'Reported burning'!E4535</f>
        <v>0</v>
      </c>
      <c r="F4534" s="217">
        <f>'Reported burning'!F4535</f>
        <v>0</v>
      </c>
      <c r="G4534" s="217">
        <f>'Reported burning'!G4535</f>
        <v>0</v>
      </c>
      <c r="H4534" s="217">
        <f>'Reported burning'!H4535</f>
        <v>0</v>
      </c>
    </row>
    <row r="4535" spans="1:8">
      <c r="A4535" s="217">
        <f>'Reported burning'!A4536</f>
        <v>0</v>
      </c>
      <c r="B4535" s="217">
        <f>'Reported burning'!B4536</f>
        <v>0</v>
      </c>
      <c r="C4535" s="217">
        <f>'Reported burning'!C4536</f>
        <v>0</v>
      </c>
      <c r="D4535" s="217">
        <f>'Reported burning'!D4536</f>
        <v>0</v>
      </c>
      <c r="E4535" s="217">
        <f>'Reported burning'!E4536</f>
        <v>0</v>
      </c>
      <c r="F4535" s="217">
        <f>'Reported burning'!F4536</f>
        <v>0</v>
      </c>
      <c r="G4535" s="217">
        <f>'Reported burning'!G4536</f>
        <v>0</v>
      </c>
      <c r="H4535" s="217">
        <f>'Reported burning'!H4536</f>
        <v>0</v>
      </c>
    </row>
    <row r="4536" spans="1:8">
      <c r="A4536" s="217">
        <f>'Reported burning'!A4537</f>
        <v>0</v>
      </c>
      <c r="B4536" s="217">
        <f>'Reported burning'!B4537</f>
        <v>0</v>
      </c>
      <c r="C4536" s="217">
        <f>'Reported burning'!C4537</f>
        <v>0</v>
      </c>
      <c r="D4536" s="217">
        <f>'Reported burning'!D4537</f>
        <v>0</v>
      </c>
      <c r="E4536" s="217">
        <f>'Reported burning'!E4537</f>
        <v>0</v>
      </c>
      <c r="F4536" s="217">
        <f>'Reported burning'!F4537</f>
        <v>0</v>
      </c>
      <c r="G4536" s="217">
        <f>'Reported burning'!G4537</f>
        <v>0</v>
      </c>
      <c r="H4536" s="217">
        <f>'Reported burning'!H4537</f>
        <v>0</v>
      </c>
    </row>
    <row r="4537" spans="1:8">
      <c r="A4537" s="217">
        <f>'Reported burning'!A4538</f>
        <v>0</v>
      </c>
      <c r="B4537" s="217">
        <f>'Reported burning'!B4538</f>
        <v>0</v>
      </c>
      <c r="C4537" s="217">
        <f>'Reported burning'!C4538</f>
        <v>0</v>
      </c>
      <c r="D4537" s="217">
        <f>'Reported burning'!D4538</f>
        <v>0</v>
      </c>
      <c r="E4537" s="217">
        <f>'Reported burning'!E4538</f>
        <v>0</v>
      </c>
      <c r="F4537" s="217">
        <f>'Reported burning'!F4538</f>
        <v>0</v>
      </c>
      <c r="G4537" s="217">
        <f>'Reported burning'!G4538</f>
        <v>0</v>
      </c>
      <c r="H4537" s="217">
        <f>'Reported burning'!H4538</f>
        <v>0</v>
      </c>
    </row>
    <row r="4538" spans="1:8">
      <c r="A4538" s="217">
        <f>'Reported burning'!A4539</f>
        <v>0</v>
      </c>
      <c r="B4538" s="217">
        <f>'Reported burning'!B4539</f>
        <v>0</v>
      </c>
      <c r="C4538" s="217">
        <f>'Reported burning'!C4539</f>
        <v>0</v>
      </c>
      <c r="D4538" s="217">
        <f>'Reported burning'!D4539</f>
        <v>0</v>
      </c>
      <c r="E4538" s="217">
        <f>'Reported burning'!E4539</f>
        <v>0</v>
      </c>
      <c r="F4538" s="217">
        <f>'Reported burning'!F4539</f>
        <v>0</v>
      </c>
      <c r="G4538" s="217">
        <f>'Reported burning'!G4539</f>
        <v>0</v>
      </c>
      <c r="H4538" s="217">
        <f>'Reported burning'!H4539</f>
        <v>0</v>
      </c>
    </row>
    <row r="4539" spans="1:8">
      <c r="A4539" s="217">
        <f>'Reported burning'!A4540</f>
        <v>0</v>
      </c>
      <c r="B4539" s="217">
        <f>'Reported burning'!B4540</f>
        <v>0</v>
      </c>
      <c r="C4539" s="217">
        <f>'Reported burning'!C4540</f>
        <v>0</v>
      </c>
      <c r="D4539" s="217">
        <f>'Reported burning'!D4540</f>
        <v>0</v>
      </c>
      <c r="E4539" s="217">
        <f>'Reported burning'!E4540</f>
        <v>0</v>
      </c>
      <c r="F4539" s="217">
        <f>'Reported burning'!F4540</f>
        <v>0</v>
      </c>
      <c r="G4539" s="217">
        <f>'Reported burning'!G4540</f>
        <v>0</v>
      </c>
      <c r="H4539" s="217">
        <f>'Reported burning'!H4540</f>
        <v>0</v>
      </c>
    </row>
    <row r="4540" spans="1:8">
      <c r="A4540" s="217">
        <f>'Reported burning'!A4541</f>
        <v>0</v>
      </c>
      <c r="B4540" s="217">
        <f>'Reported burning'!B4541</f>
        <v>0</v>
      </c>
      <c r="C4540" s="217">
        <f>'Reported burning'!C4541</f>
        <v>0</v>
      </c>
      <c r="D4540" s="217">
        <f>'Reported burning'!D4541</f>
        <v>0</v>
      </c>
      <c r="E4540" s="217">
        <f>'Reported burning'!E4541</f>
        <v>0</v>
      </c>
      <c r="F4540" s="217">
        <f>'Reported burning'!F4541</f>
        <v>0</v>
      </c>
      <c r="G4540" s="217">
        <f>'Reported burning'!G4541</f>
        <v>0</v>
      </c>
      <c r="H4540" s="217">
        <f>'Reported burning'!H4541</f>
        <v>0</v>
      </c>
    </row>
    <row r="4541" spans="1:8">
      <c r="A4541" s="217">
        <f>'Reported burning'!A4542</f>
        <v>0</v>
      </c>
      <c r="B4541" s="217">
        <f>'Reported burning'!B4542</f>
        <v>0</v>
      </c>
      <c r="C4541" s="217">
        <f>'Reported burning'!C4542</f>
        <v>0</v>
      </c>
      <c r="D4541" s="217">
        <f>'Reported burning'!D4542</f>
        <v>0</v>
      </c>
      <c r="E4541" s="217">
        <f>'Reported burning'!E4542</f>
        <v>0</v>
      </c>
      <c r="F4541" s="217">
        <f>'Reported burning'!F4542</f>
        <v>0</v>
      </c>
      <c r="G4541" s="217">
        <f>'Reported burning'!G4542</f>
        <v>0</v>
      </c>
      <c r="H4541" s="217">
        <f>'Reported burning'!H4542</f>
        <v>0</v>
      </c>
    </row>
    <row r="4542" spans="1:8">
      <c r="A4542" s="217">
        <f>'Reported burning'!A4543</f>
        <v>0</v>
      </c>
      <c r="B4542" s="217">
        <f>'Reported burning'!B4543</f>
        <v>0</v>
      </c>
      <c r="C4542" s="217">
        <f>'Reported burning'!C4543</f>
        <v>0</v>
      </c>
      <c r="D4542" s="217">
        <f>'Reported burning'!D4543</f>
        <v>0</v>
      </c>
      <c r="E4542" s="217">
        <f>'Reported burning'!E4543</f>
        <v>0</v>
      </c>
      <c r="F4542" s="217">
        <f>'Reported burning'!F4543</f>
        <v>0</v>
      </c>
      <c r="G4542" s="217">
        <f>'Reported burning'!G4543</f>
        <v>0</v>
      </c>
      <c r="H4542" s="217">
        <f>'Reported burning'!H4543</f>
        <v>0</v>
      </c>
    </row>
    <row r="4543" spans="1:8">
      <c r="A4543" s="217">
        <f>'Reported burning'!A4544</f>
        <v>0</v>
      </c>
      <c r="B4543" s="217">
        <f>'Reported burning'!B4544</f>
        <v>0</v>
      </c>
      <c r="C4543" s="217">
        <f>'Reported burning'!C4544</f>
        <v>0</v>
      </c>
      <c r="D4543" s="217">
        <f>'Reported burning'!D4544</f>
        <v>0</v>
      </c>
      <c r="E4543" s="217">
        <f>'Reported burning'!E4544</f>
        <v>0</v>
      </c>
      <c r="F4543" s="217">
        <f>'Reported burning'!F4544</f>
        <v>0</v>
      </c>
      <c r="G4543" s="217">
        <f>'Reported burning'!G4544</f>
        <v>0</v>
      </c>
      <c r="H4543" s="217">
        <f>'Reported burning'!H4544</f>
        <v>0</v>
      </c>
    </row>
    <row r="4544" spans="1:8">
      <c r="A4544" s="217">
        <f>'Reported burning'!A4545</f>
        <v>0</v>
      </c>
      <c r="B4544" s="217">
        <f>'Reported burning'!B4545</f>
        <v>0</v>
      </c>
      <c r="C4544" s="217">
        <f>'Reported burning'!C4545</f>
        <v>0</v>
      </c>
      <c r="D4544" s="217">
        <f>'Reported burning'!D4545</f>
        <v>0</v>
      </c>
      <c r="E4544" s="217">
        <f>'Reported burning'!E4545</f>
        <v>0</v>
      </c>
      <c r="F4544" s="217">
        <f>'Reported burning'!F4545</f>
        <v>0</v>
      </c>
      <c r="G4544" s="217">
        <f>'Reported burning'!G4545</f>
        <v>0</v>
      </c>
      <c r="H4544" s="217">
        <f>'Reported burning'!H4545</f>
        <v>0</v>
      </c>
    </row>
    <row r="4545" spans="1:8">
      <c r="A4545" s="217">
        <f>'Reported burning'!A4546</f>
        <v>0</v>
      </c>
      <c r="B4545" s="217">
        <f>'Reported burning'!B4546</f>
        <v>0</v>
      </c>
      <c r="C4545" s="217">
        <f>'Reported burning'!C4546</f>
        <v>0</v>
      </c>
      <c r="D4545" s="217">
        <f>'Reported burning'!D4546</f>
        <v>0</v>
      </c>
      <c r="E4545" s="217">
        <f>'Reported burning'!E4546</f>
        <v>0</v>
      </c>
      <c r="F4545" s="217">
        <f>'Reported burning'!F4546</f>
        <v>0</v>
      </c>
      <c r="G4545" s="217">
        <f>'Reported burning'!G4546</f>
        <v>0</v>
      </c>
      <c r="H4545" s="217">
        <f>'Reported burning'!H4546</f>
        <v>0</v>
      </c>
    </row>
    <row r="4546" spans="1:8">
      <c r="A4546" s="217">
        <f>'Reported burning'!A4547</f>
        <v>0</v>
      </c>
      <c r="B4546" s="217">
        <f>'Reported burning'!B4547</f>
        <v>0</v>
      </c>
      <c r="C4546" s="217">
        <f>'Reported burning'!C4547</f>
        <v>0</v>
      </c>
      <c r="D4546" s="217">
        <f>'Reported burning'!D4547</f>
        <v>0</v>
      </c>
      <c r="E4546" s="217">
        <f>'Reported burning'!E4547</f>
        <v>0</v>
      </c>
      <c r="F4546" s="217">
        <f>'Reported burning'!F4547</f>
        <v>0</v>
      </c>
      <c r="G4546" s="217">
        <f>'Reported burning'!G4547</f>
        <v>0</v>
      </c>
      <c r="H4546" s="217">
        <f>'Reported burning'!H4547</f>
        <v>0</v>
      </c>
    </row>
    <row r="4547" spans="1:8">
      <c r="A4547" s="217">
        <f>'Reported burning'!A4548</f>
        <v>0</v>
      </c>
      <c r="B4547" s="217">
        <f>'Reported burning'!B4548</f>
        <v>0</v>
      </c>
      <c r="C4547" s="217">
        <f>'Reported burning'!C4548</f>
        <v>0</v>
      </c>
      <c r="D4547" s="217">
        <f>'Reported burning'!D4548</f>
        <v>0</v>
      </c>
      <c r="E4547" s="217">
        <f>'Reported burning'!E4548</f>
        <v>0</v>
      </c>
      <c r="F4547" s="217">
        <f>'Reported burning'!F4548</f>
        <v>0</v>
      </c>
      <c r="G4547" s="217">
        <f>'Reported burning'!G4548</f>
        <v>0</v>
      </c>
      <c r="H4547" s="217">
        <f>'Reported burning'!H4548</f>
        <v>0</v>
      </c>
    </row>
    <row r="4548" spans="1:8">
      <c r="A4548" s="217">
        <f>'Reported burning'!A4549</f>
        <v>0</v>
      </c>
      <c r="B4548" s="217">
        <f>'Reported burning'!B4549</f>
        <v>0</v>
      </c>
      <c r="C4548" s="217">
        <f>'Reported burning'!C4549</f>
        <v>0</v>
      </c>
      <c r="D4548" s="217">
        <f>'Reported burning'!D4549</f>
        <v>0</v>
      </c>
      <c r="E4548" s="217">
        <f>'Reported burning'!E4549</f>
        <v>0</v>
      </c>
      <c r="F4548" s="217">
        <f>'Reported burning'!F4549</f>
        <v>0</v>
      </c>
      <c r="G4548" s="217">
        <f>'Reported burning'!G4549</f>
        <v>0</v>
      </c>
      <c r="H4548" s="217">
        <f>'Reported burning'!H4549</f>
        <v>0</v>
      </c>
    </row>
    <row r="4549" spans="1:8">
      <c r="A4549" s="217">
        <f>'Reported burning'!A4550</f>
        <v>0</v>
      </c>
      <c r="B4549" s="217">
        <f>'Reported burning'!B4550</f>
        <v>0</v>
      </c>
      <c r="C4549" s="217">
        <f>'Reported burning'!C4550</f>
        <v>0</v>
      </c>
      <c r="D4549" s="217">
        <f>'Reported burning'!D4550</f>
        <v>0</v>
      </c>
      <c r="E4549" s="217">
        <f>'Reported burning'!E4550</f>
        <v>0</v>
      </c>
      <c r="F4549" s="217">
        <f>'Reported burning'!F4550</f>
        <v>0</v>
      </c>
      <c r="G4549" s="217">
        <f>'Reported burning'!G4550</f>
        <v>0</v>
      </c>
      <c r="H4549" s="217">
        <f>'Reported burning'!H4550</f>
        <v>0</v>
      </c>
    </row>
    <row r="4550" spans="1:8">
      <c r="A4550" s="217">
        <f>'Reported burning'!A4551</f>
        <v>0</v>
      </c>
      <c r="B4550" s="217">
        <f>'Reported burning'!B4551</f>
        <v>0</v>
      </c>
      <c r="C4550" s="217">
        <f>'Reported burning'!C4551</f>
        <v>0</v>
      </c>
      <c r="D4550" s="217">
        <f>'Reported burning'!D4551</f>
        <v>0</v>
      </c>
      <c r="E4550" s="217">
        <f>'Reported burning'!E4551</f>
        <v>0</v>
      </c>
      <c r="F4550" s="217">
        <f>'Reported burning'!F4551</f>
        <v>0</v>
      </c>
      <c r="G4550" s="217">
        <f>'Reported burning'!G4551</f>
        <v>0</v>
      </c>
      <c r="H4550" s="217">
        <f>'Reported burning'!H4551</f>
        <v>0</v>
      </c>
    </row>
    <row r="4551" spans="1:8">
      <c r="A4551" s="217">
        <f>'Reported burning'!A4552</f>
        <v>0</v>
      </c>
      <c r="B4551" s="217">
        <f>'Reported burning'!B4552</f>
        <v>0</v>
      </c>
      <c r="C4551" s="217">
        <f>'Reported burning'!C4552</f>
        <v>0</v>
      </c>
      <c r="D4551" s="217">
        <f>'Reported burning'!D4552</f>
        <v>0</v>
      </c>
      <c r="E4551" s="217">
        <f>'Reported burning'!E4552</f>
        <v>0</v>
      </c>
      <c r="F4551" s="217">
        <f>'Reported burning'!F4552</f>
        <v>0</v>
      </c>
      <c r="G4551" s="217">
        <f>'Reported burning'!G4552</f>
        <v>0</v>
      </c>
      <c r="H4551" s="217">
        <f>'Reported burning'!H4552</f>
        <v>0</v>
      </c>
    </row>
    <row r="4552" spans="1:8">
      <c r="A4552" s="217">
        <f>'Reported burning'!A4553</f>
        <v>0</v>
      </c>
      <c r="B4552" s="217">
        <f>'Reported burning'!B4553</f>
        <v>0</v>
      </c>
      <c r="C4552" s="217">
        <f>'Reported burning'!C4553</f>
        <v>0</v>
      </c>
      <c r="D4552" s="217">
        <f>'Reported burning'!D4553</f>
        <v>0</v>
      </c>
      <c r="E4552" s="217">
        <f>'Reported burning'!E4553</f>
        <v>0</v>
      </c>
      <c r="F4552" s="217">
        <f>'Reported burning'!F4553</f>
        <v>0</v>
      </c>
      <c r="G4552" s="217">
        <f>'Reported burning'!G4553</f>
        <v>0</v>
      </c>
      <c r="H4552" s="217">
        <f>'Reported burning'!H4553</f>
        <v>0</v>
      </c>
    </row>
    <row r="4553" spans="1:8">
      <c r="A4553" s="217">
        <f>'Reported burning'!A4554</f>
        <v>0</v>
      </c>
      <c r="B4553" s="217">
        <f>'Reported burning'!B4554</f>
        <v>0</v>
      </c>
      <c r="C4553" s="217">
        <f>'Reported burning'!C4554</f>
        <v>0</v>
      </c>
      <c r="D4553" s="217">
        <f>'Reported burning'!D4554</f>
        <v>0</v>
      </c>
      <c r="E4553" s="217">
        <f>'Reported burning'!E4554</f>
        <v>0</v>
      </c>
      <c r="F4553" s="217">
        <f>'Reported burning'!F4554</f>
        <v>0</v>
      </c>
      <c r="G4553" s="217">
        <f>'Reported burning'!G4554</f>
        <v>0</v>
      </c>
      <c r="H4553" s="217">
        <f>'Reported burning'!H4554</f>
        <v>0</v>
      </c>
    </row>
    <row r="4554" spans="1:8">
      <c r="A4554" s="217">
        <f>'Reported burning'!A4555</f>
        <v>0</v>
      </c>
      <c r="B4554" s="217">
        <f>'Reported burning'!B4555</f>
        <v>0</v>
      </c>
      <c r="C4554" s="217">
        <f>'Reported burning'!C4555</f>
        <v>0</v>
      </c>
      <c r="D4554" s="217">
        <f>'Reported burning'!D4555</f>
        <v>0</v>
      </c>
      <c r="E4554" s="217">
        <f>'Reported burning'!E4555</f>
        <v>0</v>
      </c>
      <c r="F4554" s="217">
        <f>'Reported burning'!F4555</f>
        <v>0</v>
      </c>
      <c r="G4554" s="217">
        <f>'Reported burning'!G4555</f>
        <v>0</v>
      </c>
      <c r="H4554" s="217">
        <f>'Reported burning'!H4555</f>
        <v>0</v>
      </c>
    </row>
    <row r="4555" spans="1:8">
      <c r="A4555" s="217">
        <f>'Reported burning'!A4556</f>
        <v>0</v>
      </c>
      <c r="B4555" s="217">
        <f>'Reported burning'!B4556</f>
        <v>0</v>
      </c>
      <c r="C4555" s="217">
        <f>'Reported burning'!C4556</f>
        <v>0</v>
      </c>
      <c r="D4555" s="217">
        <f>'Reported burning'!D4556</f>
        <v>0</v>
      </c>
      <c r="E4555" s="217">
        <f>'Reported burning'!E4556</f>
        <v>0</v>
      </c>
      <c r="F4555" s="217">
        <f>'Reported burning'!F4556</f>
        <v>0</v>
      </c>
      <c r="G4555" s="217">
        <f>'Reported burning'!G4556</f>
        <v>0</v>
      </c>
      <c r="H4555" s="217">
        <f>'Reported burning'!H4556</f>
        <v>0</v>
      </c>
    </row>
    <row r="4556" spans="1:8">
      <c r="A4556" s="217">
        <f>'Reported burning'!A4557</f>
        <v>0</v>
      </c>
      <c r="B4556" s="217">
        <f>'Reported burning'!B4557</f>
        <v>0</v>
      </c>
      <c r="C4556" s="217">
        <f>'Reported burning'!C4557</f>
        <v>0</v>
      </c>
      <c r="D4556" s="217">
        <f>'Reported burning'!D4557</f>
        <v>0</v>
      </c>
      <c r="E4556" s="217">
        <f>'Reported burning'!E4557</f>
        <v>0</v>
      </c>
      <c r="F4556" s="217">
        <f>'Reported burning'!F4557</f>
        <v>0</v>
      </c>
      <c r="G4556" s="217">
        <f>'Reported burning'!G4557</f>
        <v>0</v>
      </c>
      <c r="H4556" s="217">
        <f>'Reported burning'!H4557</f>
        <v>0</v>
      </c>
    </row>
    <row r="4557" spans="1:8">
      <c r="A4557" s="217">
        <f>'Reported burning'!A4558</f>
        <v>0</v>
      </c>
      <c r="B4557" s="217">
        <f>'Reported burning'!B4558</f>
        <v>0</v>
      </c>
      <c r="C4557" s="217">
        <f>'Reported burning'!C4558</f>
        <v>0</v>
      </c>
      <c r="D4557" s="217">
        <f>'Reported burning'!D4558</f>
        <v>0</v>
      </c>
      <c r="E4557" s="217">
        <f>'Reported burning'!E4558</f>
        <v>0</v>
      </c>
      <c r="F4557" s="217">
        <f>'Reported burning'!F4558</f>
        <v>0</v>
      </c>
      <c r="G4557" s="217">
        <f>'Reported burning'!G4558</f>
        <v>0</v>
      </c>
      <c r="H4557" s="217">
        <f>'Reported burning'!H4558</f>
        <v>0</v>
      </c>
    </row>
    <row r="4558" spans="1:8">
      <c r="A4558" s="217">
        <f>'Reported burning'!A4559</f>
        <v>0</v>
      </c>
      <c r="B4558" s="217">
        <f>'Reported burning'!B4559</f>
        <v>0</v>
      </c>
      <c r="C4558" s="217">
        <f>'Reported burning'!C4559</f>
        <v>0</v>
      </c>
      <c r="D4558" s="217">
        <f>'Reported burning'!D4559</f>
        <v>0</v>
      </c>
      <c r="E4558" s="217">
        <f>'Reported burning'!E4559</f>
        <v>0</v>
      </c>
      <c r="F4558" s="217">
        <f>'Reported burning'!F4559</f>
        <v>0</v>
      </c>
      <c r="G4558" s="217">
        <f>'Reported burning'!G4559</f>
        <v>0</v>
      </c>
      <c r="H4558" s="217">
        <f>'Reported burning'!H4559</f>
        <v>0</v>
      </c>
    </row>
    <row r="4559" spans="1:8">
      <c r="A4559" s="217">
        <f>'Reported burning'!A4560</f>
        <v>0</v>
      </c>
      <c r="B4559" s="217">
        <f>'Reported burning'!B4560</f>
        <v>0</v>
      </c>
      <c r="C4559" s="217">
        <f>'Reported burning'!C4560</f>
        <v>0</v>
      </c>
      <c r="D4559" s="217">
        <f>'Reported burning'!D4560</f>
        <v>0</v>
      </c>
      <c r="E4559" s="217">
        <f>'Reported burning'!E4560</f>
        <v>0</v>
      </c>
      <c r="F4559" s="217">
        <f>'Reported burning'!F4560</f>
        <v>0</v>
      </c>
      <c r="G4559" s="217">
        <f>'Reported burning'!G4560</f>
        <v>0</v>
      </c>
      <c r="H4559" s="217">
        <f>'Reported burning'!H4560</f>
        <v>0</v>
      </c>
    </row>
    <row r="4560" spans="1:8">
      <c r="A4560" s="217">
        <f>'Reported burning'!A4561</f>
        <v>0</v>
      </c>
      <c r="B4560" s="217">
        <f>'Reported burning'!B4561</f>
        <v>0</v>
      </c>
      <c r="C4560" s="217">
        <f>'Reported burning'!C4561</f>
        <v>0</v>
      </c>
      <c r="D4560" s="217">
        <f>'Reported burning'!D4561</f>
        <v>0</v>
      </c>
      <c r="E4560" s="217">
        <f>'Reported burning'!E4561</f>
        <v>0</v>
      </c>
      <c r="F4560" s="217">
        <f>'Reported burning'!F4561</f>
        <v>0</v>
      </c>
      <c r="G4560" s="217">
        <f>'Reported burning'!G4561</f>
        <v>0</v>
      </c>
      <c r="H4560" s="217">
        <f>'Reported burning'!H4561</f>
        <v>0</v>
      </c>
    </row>
    <row r="4561" spans="1:8">
      <c r="A4561" s="217">
        <f>'Reported burning'!A4562</f>
        <v>0</v>
      </c>
      <c r="B4561" s="217">
        <f>'Reported burning'!B4562</f>
        <v>0</v>
      </c>
      <c r="C4561" s="217">
        <f>'Reported burning'!C4562</f>
        <v>0</v>
      </c>
      <c r="D4561" s="217">
        <f>'Reported burning'!D4562</f>
        <v>0</v>
      </c>
      <c r="E4561" s="217">
        <f>'Reported burning'!E4562</f>
        <v>0</v>
      </c>
      <c r="F4561" s="217">
        <f>'Reported burning'!F4562</f>
        <v>0</v>
      </c>
      <c r="G4561" s="217">
        <f>'Reported burning'!G4562</f>
        <v>0</v>
      </c>
      <c r="H4561" s="217">
        <f>'Reported burning'!H4562</f>
        <v>0</v>
      </c>
    </row>
    <row r="4562" spans="1:8">
      <c r="A4562" s="217">
        <f>'Reported burning'!A4563</f>
        <v>0</v>
      </c>
      <c r="B4562" s="217">
        <f>'Reported burning'!B4563</f>
        <v>0</v>
      </c>
      <c r="C4562" s="217">
        <f>'Reported burning'!C4563</f>
        <v>0</v>
      </c>
      <c r="D4562" s="217">
        <f>'Reported burning'!D4563</f>
        <v>0</v>
      </c>
      <c r="E4562" s="217">
        <f>'Reported burning'!E4563</f>
        <v>0</v>
      </c>
      <c r="F4562" s="217">
        <f>'Reported burning'!F4563</f>
        <v>0</v>
      </c>
      <c r="G4562" s="217">
        <f>'Reported burning'!G4563</f>
        <v>0</v>
      </c>
      <c r="H4562" s="217">
        <f>'Reported burning'!H4563</f>
        <v>0</v>
      </c>
    </row>
    <row r="4563" spans="1:8">
      <c r="A4563" s="217">
        <f>'Reported burning'!A4564</f>
        <v>0</v>
      </c>
      <c r="B4563" s="217">
        <f>'Reported burning'!B4564</f>
        <v>0</v>
      </c>
      <c r="C4563" s="217">
        <f>'Reported burning'!C4564</f>
        <v>0</v>
      </c>
      <c r="D4563" s="217">
        <f>'Reported burning'!D4564</f>
        <v>0</v>
      </c>
      <c r="E4563" s="217">
        <f>'Reported burning'!E4564</f>
        <v>0</v>
      </c>
      <c r="F4563" s="217">
        <f>'Reported burning'!F4564</f>
        <v>0</v>
      </c>
      <c r="G4563" s="217">
        <f>'Reported burning'!G4564</f>
        <v>0</v>
      </c>
      <c r="H4563" s="217">
        <f>'Reported burning'!H4564</f>
        <v>0</v>
      </c>
    </row>
    <row r="4564" spans="1:8">
      <c r="A4564" s="217">
        <f>'Reported burning'!A4565</f>
        <v>0</v>
      </c>
      <c r="B4564" s="217">
        <f>'Reported burning'!B4565</f>
        <v>0</v>
      </c>
      <c r="C4564" s="217">
        <f>'Reported burning'!C4565</f>
        <v>0</v>
      </c>
      <c r="D4564" s="217">
        <f>'Reported burning'!D4565</f>
        <v>0</v>
      </c>
      <c r="E4564" s="217">
        <f>'Reported burning'!E4565</f>
        <v>0</v>
      </c>
      <c r="F4564" s="217">
        <f>'Reported burning'!F4565</f>
        <v>0</v>
      </c>
      <c r="G4564" s="217">
        <f>'Reported burning'!G4565</f>
        <v>0</v>
      </c>
      <c r="H4564" s="217">
        <f>'Reported burning'!H4565</f>
        <v>0</v>
      </c>
    </row>
    <row r="4565" spans="1:8">
      <c r="A4565" s="217">
        <f>'Reported burning'!A4566</f>
        <v>0</v>
      </c>
      <c r="B4565" s="217">
        <f>'Reported burning'!B4566</f>
        <v>0</v>
      </c>
      <c r="C4565" s="217">
        <f>'Reported burning'!C4566</f>
        <v>0</v>
      </c>
      <c r="D4565" s="217">
        <f>'Reported burning'!D4566</f>
        <v>0</v>
      </c>
      <c r="E4565" s="217">
        <f>'Reported burning'!E4566</f>
        <v>0</v>
      </c>
      <c r="F4565" s="217">
        <f>'Reported burning'!F4566</f>
        <v>0</v>
      </c>
      <c r="G4565" s="217">
        <f>'Reported burning'!G4566</f>
        <v>0</v>
      </c>
      <c r="H4565" s="217">
        <f>'Reported burning'!H4566</f>
        <v>0</v>
      </c>
    </row>
    <row r="4566" spans="1:8">
      <c r="A4566" s="217">
        <f>'Reported burning'!A4567</f>
        <v>0</v>
      </c>
      <c r="B4566" s="217">
        <f>'Reported burning'!B4567</f>
        <v>0</v>
      </c>
      <c r="C4566" s="217">
        <f>'Reported burning'!C4567</f>
        <v>0</v>
      </c>
      <c r="D4566" s="217">
        <f>'Reported burning'!D4567</f>
        <v>0</v>
      </c>
      <c r="E4566" s="217">
        <f>'Reported burning'!E4567</f>
        <v>0</v>
      </c>
      <c r="F4566" s="217">
        <f>'Reported burning'!F4567</f>
        <v>0</v>
      </c>
      <c r="G4566" s="217">
        <f>'Reported burning'!G4567</f>
        <v>0</v>
      </c>
      <c r="H4566" s="217">
        <f>'Reported burning'!H4567</f>
        <v>0</v>
      </c>
    </row>
    <row r="4567" spans="1:8">
      <c r="A4567" s="217">
        <f>'Reported burning'!A4568</f>
        <v>0</v>
      </c>
      <c r="B4567" s="217">
        <f>'Reported burning'!B4568</f>
        <v>0</v>
      </c>
      <c r="C4567" s="217">
        <f>'Reported burning'!C4568</f>
        <v>0</v>
      </c>
      <c r="D4567" s="217">
        <f>'Reported burning'!D4568</f>
        <v>0</v>
      </c>
      <c r="E4567" s="217">
        <f>'Reported burning'!E4568</f>
        <v>0</v>
      </c>
      <c r="F4567" s="217">
        <f>'Reported burning'!F4568</f>
        <v>0</v>
      </c>
      <c r="G4567" s="217">
        <f>'Reported burning'!G4568</f>
        <v>0</v>
      </c>
      <c r="H4567" s="217">
        <f>'Reported burning'!H4568</f>
        <v>0</v>
      </c>
    </row>
    <row r="4568" spans="1:8">
      <c r="A4568" s="217">
        <f>'Reported burning'!A4569</f>
        <v>0</v>
      </c>
      <c r="B4568" s="217">
        <f>'Reported burning'!B4569</f>
        <v>0</v>
      </c>
      <c r="C4568" s="217">
        <f>'Reported burning'!C4569</f>
        <v>0</v>
      </c>
      <c r="D4568" s="217">
        <f>'Reported burning'!D4569</f>
        <v>0</v>
      </c>
      <c r="E4568" s="217">
        <f>'Reported burning'!E4569</f>
        <v>0</v>
      </c>
      <c r="F4568" s="217">
        <f>'Reported burning'!F4569</f>
        <v>0</v>
      </c>
      <c r="G4568" s="217">
        <f>'Reported burning'!G4569</f>
        <v>0</v>
      </c>
      <c r="H4568" s="217">
        <f>'Reported burning'!H4569</f>
        <v>0</v>
      </c>
    </row>
    <row r="4569" spans="1:8">
      <c r="A4569" s="217">
        <f>'Reported burning'!A4570</f>
        <v>0</v>
      </c>
      <c r="B4569" s="217">
        <f>'Reported burning'!B4570</f>
        <v>0</v>
      </c>
      <c r="C4569" s="217">
        <f>'Reported burning'!C4570</f>
        <v>0</v>
      </c>
      <c r="D4569" s="217">
        <f>'Reported burning'!D4570</f>
        <v>0</v>
      </c>
      <c r="E4569" s="217">
        <f>'Reported burning'!E4570</f>
        <v>0</v>
      </c>
      <c r="F4569" s="217">
        <f>'Reported burning'!F4570</f>
        <v>0</v>
      </c>
      <c r="G4569" s="217">
        <f>'Reported burning'!G4570</f>
        <v>0</v>
      </c>
      <c r="H4569" s="217">
        <f>'Reported burning'!H4570</f>
        <v>0</v>
      </c>
    </row>
    <row r="4570" spans="1:8">
      <c r="A4570" s="217">
        <f>'Reported burning'!A4571</f>
        <v>0</v>
      </c>
      <c r="B4570" s="217">
        <f>'Reported burning'!B4571</f>
        <v>0</v>
      </c>
      <c r="C4570" s="217">
        <f>'Reported burning'!C4571</f>
        <v>0</v>
      </c>
      <c r="D4570" s="217">
        <f>'Reported burning'!D4571</f>
        <v>0</v>
      </c>
      <c r="E4570" s="217">
        <f>'Reported burning'!E4571</f>
        <v>0</v>
      </c>
      <c r="F4570" s="217">
        <f>'Reported burning'!F4571</f>
        <v>0</v>
      </c>
      <c r="G4570" s="217">
        <f>'Reported burning'!G4571</f>
        <v>0</v>
      </c>
      <c r="H4570" s="217">
        <f>'Reported burning'!H4571</f>
        <v>0</v>
      </c>
    </row>
    <row r="4571" spans="1:8">
      <c r="A4571" s="217">
        <f>'Reported burning'!A4572</f>
        <v>0</v>
      </c>
      <c r="B4571" s="217">
        <f>'Reported burning'!B4572</f>
        <v>0</v>
      </c>
      <c r="C4571" s="217">
        <f>'Reported burning'!C4572</f>
        <v>0</v>
      </c>
      <c r="D4571" s="217">
        <f>'Reported burning'!D4572</f>
        <v>0</v>
      </c>
      <c r="E4571" s="217">
        <f>'Reported burning'!E4572</f>
        <v>0</v>
      </c>
      <c r="F4571" s="217">
        <f>'Reported burning'!F4572</f>
        <v>0</v>
      </c>
      <c r="G4571" s="217">
        <f>'Reported burning'!G4572</f>
        <v>0</v>
      </c>
      <c r="H4571" s="217">
        <f>'Reported burning'!H4572</f>
        <v>0</v>
      </c>
    </row>
    <row r="4572" spans="1:8">
      <c r="A4572" s="217">
        <f>'Reported burning'!A4573</f>
        <v>0</v>
      </c>
      <c r="B4572" s="217">
        <f>'Reported burning'!B4573</f>
        <v>0</v>
      </c>
      <c r="C4572" s="217">
        <f>'Reported burning'!C4573</f>
        <v>0</v>
      </c>
      <c r="D4572" s="217">
        <f>'Reported burning'!D4573</f>
        <v>0</v>
      </c>
      <c r="E4572" s="217">
        <f>'Reported burning'!E4573</f>
        <v>0</v>
      </c>
      <c r="F4572" s="217">
        <f>'Reported burning'!F4573</f>
        <v>0</v>
      </c>
      <c r="G4572" s="217">
        <f>'Reported burning'!G4573</f>
        <v>0</v>
      </c>
      <c r="H4572" s="217">
        <f>'Reported burning'!H4573</f>
        <v>0</v>
      </c>
    </row>
    <row r="4573" spans="1:8">
      <c r="A4573" s="217">
        <f>'Reported burning'!A4574</f>
        <v>0</v>
      </c>
      <c r="B4573" s="217">
        <f>'Reported burning'!B4574</f>
        <v>0</v>
      </c>
      <c r="C4573" s="217">
        <f>'Reported burning'!C4574</f>
        <v>0</v>
      </c>
      <c r="D4573" s="217">
        <f>'Reported burning'!D4574</f>
        <v>0</v>
      </c>
      <c r="E4573" s="217">
        <f>'Reported burning'!E4574</f>
        <v>0</v>
      </c>
      <c r="F4573" s="217">
        <f>'Reported burning'!F4574</f>
        <v>0</v>
      </c>
      <c r="G4573" s="217">
        <f>'Reported burning'!G4574</f>
        <v>0</v>
      </c>
      <c r="H4573" s="217">
        <f>'Reported burning'!H4574</f>
        <v>0</v>
      </c>
    </row>
    <row r="4574" spans="1:8">
      <c r="A4574" s="217">
        <f>'Reported burning'!A4575</f>
        <v>0</v>
      </c>
      <c r="B4574" s="217">
        <f>'Reported burning'!B4575</f>
        <v>0</v>
      </c>
      <c r="C4574" s="217">
        <f>'Reported burning'!C4575</f>
        <v>0</v>
      </c>
      <c r="D4574" s="217">
        <f>'Reported burning'!D4575</f>
        <v>0</v>
      </c>
      <c r="E4574" s="217">
        <f>'Reported burning'!E4575</f>
        <v>0</v>
      </c>
      <c r="F4574" s="217">
        <f>'Reported burning'!F4575</f>
        <v>0</v>
      </c>
      <c r="G4574" s="217">
        <f>'Reported burning'!G4575</f>
        <v>0</v>
      </c>
      <c r="H4574" s="217">
        <f>'Reported burning'!H4575</f>
        <v>0</v>
      </c>
    </row>
    <row r="4575" spans="1:8">
      <c r="A4575" s="217">
        <f>'Reported burning'!A4576</f>
        <v>0</v>
      </c>
      <c r="B4575" s="217">
        <f>'Reported burning'!B4576</f>
        <v>0</v>
      </c>
      <c r="C4575" s="217">
        <f>'Reported burning'!C4576</f>
        <v>0</v>
      </c>
      <c r="D4575" s="217">
        <f>'Reported burning'!D4576</f>
        <v>0</v>
      </c>
      <c r="E4575" s="217">
        <f>'Reported burning'!E4576</f>
        <v>0</v>
      </c>
      <c r="F4575" s="217">
        <f>'Reported burning'!F4576</f>
        <v>0</v>
      </c>
      <c r="G4575" s="217">
        <f>'Reported burning'!G4576</f>
        <v>0</v>
      </c>
      <c r="H4575" s="217">
        <f>'Reported burning'!H4576</f>
        <v>0</v>
      </c>
    </row>
    <row r="4576" spans="1:8">
      <c r="A4576" s="217">
        <f>'Reported burning'!A4577</f>
        <v>0</v>
      </c>
      <c r="B4576" s="217">
        <f>'Reported burning'!B4577</f>
        <v>0</v>
      </c>
      <c r="C4576" s="217">
        <f>'Reported burning'!C4577</f>
        <v>0</v>
      </c>
      <c r="D4576" s="217">
        <f>'Reported burning'!D4577</f>
        <v>0</v>
      </c>
      <c r="E4576" s="217">
        <f>'Reported burning'!E4577</f>
        <v>0</v>
      </c>
      <c r="F4576" s="217">
        <f>'Reported burning'!F4577</f>
        <v>0</v>
      </c>
      <c r="G4576" s="217">
        <f>'Reported burning'!G4577</f>
        <v>0</v>
      </c>
      <c r="H4576" s="217">
        <f>'Reported burning'!H4577</f>
        <v>0</v>
      </c>
    </row>
    <row r="4577" spans="1:8">
      <c r="A4577" s="217">
        <f>'Reported burning'!A4578</f>
        <v>0</v>
      </c>
      <c r="B4577" s="217">
        <f>'Reported burning'!B4578</f>
        <v>0</v>
      </c>
      <c r="C4577" s="217">
        <f>'Reported burning'!C4578</f>
        <v>0</v>
      </c>
      <c r="D4577" s="217">
        <f>'Reported burning'!D4578</f>
        <v>0</v>
      </c>
      <c r="E4577" s="217">
        <f>'Reported burning'!E4578</f>
        <v>0</v>
      </c>
      <c r="F4577" s="217">
        <f>'Reported burning'!F4578</f>
        <v>0</v>
      </c>
      <c r="G4577" s="217">
        <f>'Reported burning'!G4578</f>
        <v>0</v>
      </c>
      <c r="H4577" s="217">
        <f>'Reported burning'!H4578</f>
        <v>0</v>
      </c>
    </row>
    <row r="4578" spans="1:8">
      <c r="A4578" s="217">
        <f>'Reported burning'!A4579</f>
        <v>0</v>
      </c>
      <c r="B4578" s="217">
        <f>'Reported burning'!B4579</f>
        <v>0</v>
      </c>
      <c r="C4578" s="217">
        <f>'Reported burning'!C4579</f>
        <v>0</v>
      </c>
      <c r="D4578" s="217">
        <f>'Reported burning'!D4579</f>
        <v>0</v>
      </c>
      <c r="E4578" s="217">
        <f>'Reported burning'!E4579</f>
        <v>0</v>
      </c>
      <c r="F4578" s="217">
        <f>'Reported burning'!F4579</f>
        <v>0</v>
      </c>
      <c r="G4578" s="217">
        <f>'Reported burning'!G4579</f>
        <v>0</v>
      </c>
      <c r="H4578" s="217">
        <f>'Reported burning'!H4579</f>
        <v>0</v>
      </c>
    </row>
    <row r="4579" spans="1:8">
      <c r="A4579" s="217">
        <f>'Reported burning'!A4580</f>
        <v>0</v>
      </c>
      <c r="B4579" s="217">
        <f>'Reported burning'!B4580</f>
        <v>0</v>
      </c>
      <c r="C4579" s="217">
        <f>'Reported burning'!C4580</f>
        <v>0</v>
      </c>
      <c r="D4579" s="217">
        <f>'Reported burning'!D4580</f>
        <v>0</v>
      </c>
      <c r="E4579" s="217">
        <f>'Reported burning'!E4580</f>
        <v>0</v>
      </c>
      <c r="F4579" s="217">
        <f>'Reported burning'!F4580</f>
        <v>0</v>
      </c>
      <c r="G4579" s="217">
        <f>'Reported burning'!G4580</f>
        <v>0</v>
      </c>
      <c r="H4579" s="217">
        <f>'Reported burning'!H4580</f>
        <v>0</v>
      </c>
    </row>
    <row r="4580" spans="1:8">
      <c r="A4580" s="217">
        <f>'Reported burning'!A4581</f>
        <v>0</v>
      </c>
      <c r="B4580" s="217">
        <f>'Reported burning'!B4581</f>
        <v>0</v>
      </c>
      <c r="C4580" s="217">
        <f>'Reported burning'!C4581</f>
        <v>0</v>
      </c>
      <c r="D4580" s="217">
        <f>'Reported burning'!D4581</f>
        <v>0</v>
      </c>
      <c r="E4580" s="217">
        <f>'Reported burning'!E4581</f>
        <v>0</v>
      </c>
      <c r="F4580" s="217">
        <f>'Reported burning'!F4581</f>
        <v>0</v>
      </c>
      <c r="G4580" s="217">
        <f>'Reported burning'!G4581</f>
        <v>0</v>
      </c>
      <c r="H4580" s="217">
        <f>'Reported burning'!H4581</f>
        <v>0</v>
      </c>
    </row>
    <row r="4581" spans="1:8">
      <c r="A4581" s="217">
        <f>'Reported burning'!A4582</f>
        <v>0</v>
      </c>
      <c r="B4581" s="217">
        <f>'Reported burning'!B4582</f>
        <v>0</v>
      </c>
      <c r="C4581" s="217">
        <f>'Reported burning'!C4582</f>
        <v>0</v>
      </c>
      <c r="D4581" s="217">
        <f>'Reported burning'!D4582</f>
        <v>0</v>
      </c>
      <c r="E4581" s="217">
        <f>'Reported burning'!E4582</f>
        <v>0</v>
      </c>
      <c r="F4581" s="217">
        <f>'Reported burning'!F4582</f>
        <v>0</v>
      </c>
      <c r="G4581" s="217">
        <f>'Reported burning'!G4582</f>
        <v>0</v>
      </c>
      <c r="H4581" s="217">
        <f>'Reported burning'!H4582</f>
        <v>0</v>
      </c>
    </row>
    <row r="4582" spans="1:8">
      <c r="A4582" s="217">
        <f>'Reported burning'!A4583</f>
        <v>0</v>
      </c>
      <c r="B4582" s="217">
        <f>'Reported burning'!B4583</f>
        <v>0</v>
      </c>
      <c r="C4582" s="217">
        <f>'Reported burning'!C4583</f>
        <v>0</v>
      </c>
      <c r="D4582" s="217">
        <f>'Reported burning'!D4583</f>
        <v>0</v>
      </c>
      <c r="E4582" s="217">
        <f>'Reported burning'!E4583</f>
        <v>0</v>
      </c>
      <c r="F4582" s="217">
        <f>'Reported burning'!F4583</f>
        <v>0</v>
      </c>
      <c r="G4582" s="217">
        <f>'Reported burning'!G4583</f>
        <v>0</v>
      </c>
      <c r="H4582" s="217">
        <f>'Reported burning'!H4583</f>
        <v>0</v>
      </c>
    </row>
    <row r="4583" spans="1:8">
      <c r="A4583" s="217">
        <f>'Reported burning'!A4584</f>
        <v>0</v>
      </c>
      <c r="B4583" s="217">
        <f>'Reported burning'!B4584</f>
        <v>0</v>
      </c>
      <c r="C4583" s="217">
        <f>'Reported burning'!C4584</f>
        <v>0</v>
      </c>
      <c r="D4583" s="217">
        <f>'Reported burning'!D4584</f>
        <v>0</v>
      </c>
      <c r="E4583" s="217">
        <f>'Reported burning'!E4584</f>
        <v>0</v>
      </c>
      <c r="F4583" s="217">
        <f>'Reported burning'!F4584</f>
        <v>0</v>
      </c>
      <c r="G4583" s="217">
        <f>'Reported burning'!G4584</f>
        <v>0</v>
      </c>
      <c r="H4583" s="217">
        <f>'Reported burning'!H4584</f>
        <v>0</v>
      </c>
    </row>
    <row r="4584" spans="1:8">
      <c r="A4584" s="217">
        <f>'Reported burning'!A4585</f>
        <v>0</v>
      </c>
      <c r="B4584" s="217">
        <f>'Reported burning'!B4585</f>
        <v>0</v>
      </c>
      <c r="C4584" s="217">
        <f>'Reported burning'!C4585</f>
        <v>0</v>
      </c>
      <c r="D4584" s="217">
        <f>'Reported burning'!D4585</f>
        <v>0</v>
      </c>
      <c r="E4584" s="217">
        <f>'Reported burning'!E4585</f>
        <v>0</v>
      </c>
      <c r="F4584" s="217">
        <f>'Reported burning'!F4585</f>
        <v>0</v>
      </c>
      <c r="G4584" s="217">
        <f>'Reported burning'!G4585</f>
        <v>0</v>
      </c>
      <c r="H4584" s="217">
        <f>'Reported burning'!H4585</f>
        <v>0</v>
      </c>
    </row>
    <row r="4585" spans="1:8">
      <c r="A4585" s="217">
        <f>'Reported burning'!A4586</f>
        <v>0</v>
      </c>
      <c r="B4585" s="217">
        <f>'Reported burning'!B4586</f>
        <v>0</v>
      </c>
      <c r="C4585" s="217">
        <f>'Reported burning'!C4586</f>
        <v>0</v>
      </c>
      <c r="D4585" s="217">
        <f>'Reported burning'!D4586</f>
        <v>0</v>
      </c>
      <c r="E4585" s="217">
        <f>'Reported burning'!E4586</f>
        <v>0</v>
      </c>
      <c r="F4585" s="217">
        <f>'Reported burning'!F4586</f>
        <v>0</v>
      </c>
      <c r="G4585" s="217">
        <f>'Reported burning'!G4586</f>
        <v>0</v>
      </c>
      <c r="H4585" s="217">
        <f>'Reported burning'!H4586</f>
        <v>0</v>
      </c>
    </row>
    <row r="4586" spans="1:8">
      <c r="A4586" s="217">
        <f>'Reported burning'!A4587</f>
        <v>0</v>
      </c>
      <c r="B4586" s="217">
        <f>'Reported burning'!B4587</f>
        <v>0</v>
      </c>
      <c r="C4586" s="217">
        <f>'Reported burning'!C4587</f>
        <v>0</v>
      </c>
      <c r="D4586" s="217">
        <f>'Reported burning'!D4587</f>
        <v>0</v>
      </c>
      <c r="E4586" s="217">
        <f>'Reported burning'!E4587</f>
        <v>0</v>
      </c>
      <c r="F4586" s="217">
        <f>'Reported burning'!F4587</f>
        <v>0</v>
      </c>
      <c r="G4586" s="217">
        <f>'Reported burning'!G4587</f>
        <v>0</v>
      </c>
      <c r="H4586" s="217">
        <f>'Reported burning'!H4587</f>
        <v>0</v>
      </c>
    </row>
    <row r="4587" spans="1:8">
      <c r="A4587" s="217">
        <f>'Reported burning'!A4588</f>
        <v>0</v>
      </c>
      <c r="B4587" s="217">
        <f>'Reported burning'!B4588</f>
        <v>0</v>
      </c>
      <c r="C4587" s="217">
        <f>'Reported burning'!C4588</f>
        <v>0</v>
      </c>
      <c r="D4587" s="217">
        <f>'Reported burning'!D4588</f>
        <v>0</v>
      </c>
      <c r="E4587" s="217">
        <f>'Reported burning'!E4588</f>
        <v>0</v>
      </c>
      <c r="F4587" s="217">
        <f>'Reported burning'!F4588</f>
        <v>0</v>
      </c>
      <c r="G4587" s="217">
        <f>'Reported burning'!G4588</f>
        <v>0</v>
      </c>
      <c r="H4587" s="217">
        <f>'Reported burning'!H4588</f>
        <v>0</v>
      </c>
    </row>
    <row r="4588" spans="1:8">
      <c r="A4588" s="217">
        <f>'Reported burning'!A4589</f>
        <v>0</v>
      </c>
      <c r="B4588" s="217">
        <f>'Reported burning'!B4589</f>
        <v>0</v>
      </c>
      <c r="C4588" s="217">
        <f>'Reported burning'!C4589</f>
        <v>0</v>
      </c>
      <c r="D4588" s="217">
        <f>'Reported burning'!D4589</f>
        <v>0</v>
      </c>
      <c r="E4588" s="217">
        <f>'Reported burning'!E4589</f>
        <v>0</v>
      </c>
      <c r="F4588" s="217">
        <f>'Reported burning'!F4589</f>
        <v>0</v>
      </c>
      <c r="G4588" s="217">
        <f>'Reported burning'!G4589</f>
        <v>0</v>
      </c>
      <c r="H4588" s="217">
        <f>'Reported burning'!H4589</f>
        <v>0</v>
      </c>
    </row>
    <row r="4589" spans="1:8">
      <c r="A4589" s="217">
        <f>'Reported burning'!A4590</f>
        <v>0</v>
      </c>
      <c r="B4589" s="217">
        <f>'Reported burning'!B4590</f>
        <v>0</v>
      </c>
      <c r="C4589" s="217">
        <f>'Reported burning'!C4590</f>
        <v>0</v>
      </c>
      <c r="D4589" s="217">
        <f>'Reported burning'!D4590</f>
        <v>0</v>
      </c>
      <c r="E4589" s="217">
        <f>'Reported burning'!E4590</f>
        <v>0</v>
      </c>
      <c r="F4589" s="217">
        <f>'Reported burning'!F4590</f>
        <v>0</v>
      </c>
      <c r="G4589" s="217">
        <f>'Reported burning'!G4590</f>
        <v>0</v>
      </c>
      <c r="H4589" s="217">
        <f>'Reported burning'!H4590</f>
        <v>0</v>
      </c>
    </row>
    <row r="4590" spans="1:8">
      <c r="A4590" s="217">
        <f>'Reported burning'!A4591</f>
        <v>0</v>
      </c>
      <c r="B4590" s="217">
        <f>'Reported burning'!B4591</f>
        <v>0</v>
      </c>
      <c r="C4590" s="217">
        <f>'Reported burning'!C4591</f>
        <v>0</v>
      </c>
      <c r="D4590" s="217">
        <f>'Reported burning'!D4591</f>
        <v>0</v>
      </c>
      <c r="E4590" s="217">
        <f>'Reported burning'!E4591</f>
        <v>0</v>
      </c>
      <c r="F4590" s="217">
        <f>'Reported burning'!F4591</f>
        <v>0</v>
      </c>
      <c r="G4590" s="217">
        <f>'Reported burning'!G4591</f>
        <v>0</v>
      </c>
      <c r="H4590" s="217">
        <f>'Reported burning'!H4591</f>
        <v>0</v>
      </c>
    </row>
    <row r="4591" spans="1:8">
      <c r="A4591" s="217">
        <f>'Reported burning'!A4592</f>
        <v>0</v>
      </c>
      <c r="B4591" s="217">
        <f>'Reported burning'!B4592</f>
        <v>0</v>
      </c>
      <c r="C4591" s="217">
        <f>'Reported burning'!C4592</f>
        <v>0</v>
      </c>
      <c r="D4591" s="217">
        <f>'Reported burning'!D4592</f>
        <v>0</v>
      </c>
      <c r="E4591" s="217">
        <f>'Reported burning'!E4592</f>
        <v>0</v>
      </c>
      <c r="F4591" s="217">
        <f>'Reported burning'!F4592</f>
        <v>0</v>
      </c>
      <c r="G4591" s="217">
        <f>'Reported burning'!G4592</f>
        <v>0</v>
      </c>
      <c r="H4591" s="217">
        <f>'Reported burning'!H4592</f>
        <v>0</v>
      </c>
    </row>
    <row r="4592" spans="1:8">
      <c r="A4592" s="217">
        <f>'Reported burning'!A4593</f>
        <v>0</v>
      </c>
      <c r="B4592" s="217">
        <f>'Reported burning'!B4593</f>
        <v>0</v>
      </c>
      <c r="C4592" s="217">
        <f>'Reported burning'!C4593</f>
        <v>0</v>
      </c>
      <c r="D4592" s="217">
        <f>'Reported burning'!D4593</f>
        <v>0</v>
      </c>
      <c r="E4592" s="217">
        <f>'Reported burning'!E4593</f>
        <v>0</v>
      </c>
      <c r="F4592" s="217">
        <f>'Reported burning'!F4593</f>
        <v>0</v>
      </c>
      <c r="G4592" s="217">
        <f>'Reported burning'!G4593</f>
        <v>0</v>
      </c>
      <c r="H4592" s="217">
        <f>'Reported burning'!H4593</f>
        <v>0</v>
      </c>
    </row>
    <row r="4593" spans="1:8">
      <c r="A4593" s="217">
        <f>'Reported burning'!A4594</f>
        <v>0</v>
      </c>
      <c r="B4593" s="217">
        <f>'Reported burning'!B4594</f>
        <v>0</v>
      </c>
      <c r="C4593" s="217">
        <f>'Reported burning'!C4594</f>
        <v>0</v>
      </c>
      <c r="D4593" s="217">
        <f>'Reported burning'!D4594</f>
        <v>0</v>
      </c>
      <c r="E4593" s="217">
        <f>'Reported burning'!E4594</f>
        <v>0</v>
      </c>
      <c r="F4593" s="217">
        <f>'Reported burning'!F4594</f>
        <v>0</v>
      </c>
      <c r="G4593" s="217">
        <f>'Reported burning'!G4594</f>
        <v>0</v>
      </c>
      <c r="H4593" s="217">
        <f>'Reported burning'!H4594</f>
        <v>0</v>
      </c>
    </row>
    <row r="4594" spans="1:8">
      <c r="A4594" s="217">
        <f>'Reported burning'!A4595</f>
        <v>0</v>
      </c>
      <c r="B4594" s="217">
        <f>'Reported burning'!B4595</f>
        <v>0</v>
      </c>
      <c r="C4594" s="217">
        <f>'Reported burning'!C4595</f>
        <v>0</v>
      </c>
      <c r="D4594" s="217">
        <f>'Reported burning'!D4595</f>
        <v>0</v>
      </c>
      <c r="E4594" s="217">
        <f>'Reported burning'!E4595</f>
        <v>0</v>
      </c>
      <c r="F4594" s="217">
        <f>'Reported burning'!F4595</f>
        <v>0</v>
      </c>
      <c r="G4594" s="217">
        <f>'Reported burning'!G4595</f>
        <v>0</v>
      </c>
      <c r="H4594" s="217">
        <f>'Reported burning'!H4595</f>
        <v>0</v>
      </c>
    </row>
    <row r="4595" spans="1:8">
      <c r="A4595" s="217">
        <f>'Reported burning'!A4596</f>
        <v>0</v>
      </c>
      <c r="B4595" s="217">
        <f>'Reported burning'!B4596</f>
        <v>0</v>
      </c>
      <c r="C4595" s="217">
        <f>'Reported burning'!C4596</f>
        <v>0</v>
      </c>
      <c r="D4595" s="217">
        <f>'Reported burning'!D4596</f>
        <v>0</v>
      </c>
      <c r="E4595" s="217">
        <f>'Reported burning'!E4596</f>
        <v>0</v>
      </c>
      <c r="F4595" s="217">
        <f>'Reported burning'!F4596</f>
        <v>0</v>
      </c>
      <c r="G4595" s="217">
        <f>'Reported burning'!G4596</f>
        <v>0</v>
      </c>
      <c r="H4595" s="217">
        <f>'Reported burning'!H4596</f>
        <v>0</v>
      </c>
    </row>
    <row r="4596" spans="1:8">
      <c r="A4596" s="217">
        <f>'Reported burning'!A4597</f>
        <v>0</v>
      </c>
      <c r="B4596" s="217">
        <f>'Reported burning'!B4597</f>
        <v>0</v>
      </c>
      <c r="C4596" s="217">
        <f>'Reported burning'!C4597</f>
        <v>0</v>
      </c>
      <c r="D4596" s="217">
        <f>'Reported burning'!D4597</f>
        <v>0</v>
      </c>
      <c r="E4596" s="217">
        <f>'Reported burning'!E4597</f>
        <v>0</v>
      </c>
      <c r="F4596" s="217">
        <f>'Reported burning'!F4597</f>
        <v>0</v>
      </c>
      <c r="G4596" s="217">
        <f>'Reported burning'!G4597</f>
        <v>0</v>
      </c>
      <c r="H4596" s="217">
        <f>'Reported burning'!H4597</f>
        <v>0</v>
      </c>
    </row>
    <row r="4597" spans="1:8">
      <c r="A4597" s="217">
        <f>'Reported burning'!A4598</f>
        <v>0</v>
      </c>
      <c r="B4597" s="217">
        <f>'Reported burning'!B4598</f>
        <v>0</v>
      </c>
      <c r="C4597" s="217">
        <f>'Reported burning'!C4598</f>
        <v>0</v>
      </c>
      <c r="D4597" s="217">
        <f>'Reported burning'!D4598</f>
        <v>0</v>
      </c>
      <c r="E4597" s="217">
        <f>'Reported burning'!E4598</f>
        <v>0</v>
      </c>
      <c r="F4597" s="217">
        <f>'Reported burning'!F4598</f>
        <v>0</v>
      </c>
      <c r="G4597" s="217">
        <f>'Reported burning'!G4598</f>
        <v>0</v>
      </c>
      <c r="H4597" s="217">
        <f>'Reported burning'!H4598</f>
        <v>0</v>
      </c>
    </row>
    <row r="4598" spans="1:8">
      <c r="A4598" s="217">
        <f>'Reported burning'!A4599</f>
        <v>0</v>
      </c>
      <c r="B4598" s="217">
        <f>'Reported burning'!B4599</f>
        <v>0</v>
      </c>
      <c r="C4598" s="217">
        <f>'Reported burning'!C4599</f>
        <v>0</v>
      </c>
      <c r="D4598" s="217">
        <f>'Reported burning'!D4599</f>
        <v>0</v>
      </c>
      <c r="E4598" s="217">
        <f>'Reported burning'!E4599</f>
        <v>0</v>
      </c>
      <c r="F4598" s="217">
        <f>'Reported burning'!F4599</f>
        <v>0</v>
      </c>
      <c r="G4598" s="217">
        <f>'Reported burning'!G4599</f>
        <v>0</v>
      </c>
      <c r="H4598" s="217">
        <f>'Reported burning'!H4599</f>
        <v>0</v>
      </c>
    </row>
    <row r="4599" spans="1:8">
      <c r="A4599" s="217">
        <f>'Reported burning'!A4600</f>
        <v>0</v>
      </c>
      <c r="B4599" s="217">
        <f>'Reported burning'!B4600</f>
        <v>0</v>
      </c>
      <c r="C4599" s="217">
        <f>'Reported burning'!C4600</f>
        <v>0</v>
      </c>
      <c r="D4599" s="217">
        <f>'Reported burning'!D4600</f>
        <v>0</v>
      </c>
      <c r="E4599" s="217">
        <f>'Reported burning'!E4600</f>
        <v>0</v>
      </c>
      <c r="F4599" s="217">
        <f>'Reported burning'!F4600</f>
        <v>0</v>
      </c>
      <c r="G4599" s="217">
        <f>'Reported burning'!G4600</f>
        <v>0</v>
      </c>
      <c r="H4599" s="217">
        <f>'Reported burning'!H4600</f>
        <v>0</v>
      </c>
    </row>
    <row r="4600" spans="1:8">
      <c r="A4600" s="217">
        <f>'Reported burning'!A4601</f>
        <v>0</v>
      </c>
      <c r="B4600" s="217">
        <f>'Reported burning'!B4601</f>
        <v>0</v>
      </c>
      <c r="C4600" s="217">
        <f>'Reported burning'!C4601</f>
        <v>0</v>
      </c>
      <c r="D4600" s="217">
        <f>'Reported burning'!D4601</f>
        <v>0</v>
      </c>
      <c r="E4600" s="217">
        <f>'Reported burning'!E4601</f>
        <v>0</v>
      </c>
      <c r="F4600" s="217">
        <f>'Reported burning'!F4601</f>
        <v>0</v>
      </c>
      <c r="G4600" s="217">
        <f>'Reported burning'!G4601</f>
        <v>0</v>
      </c>
      <c r="H4600" s="217">
        <f>'Reported burning'!H4601</f>
        <v>0</v>
      </c>
    </row>
    <row r="4601" spans="1:8">
      <c r="A4601" s="217">
        <f>'Reported burning'!A4602</f>
        <v>0</v>
      </c>
      <c r="B4601" s="217">
        <f>'Reported burning'!B4602</f>
        <v>0</v>
      </c>
      <c r="C4601" s="217">
        <f>'Reported burning'!C4602</f>
        <v>0</v>
      </c>
      <c r="D4601" s="217">
        <f>'Reported burning'!D4602</f>
        <v>0</v>
      </c>
      <c r="E4601" s="217">
        <f>'Reported burning'!E4602</f>
        <v>0</v>
      </c>
      <c r="F4601" s="217">
        <f>'Reported burning'!F4602</f>
        <v>0</v>
      </c>
      <c r="G4601" s="217">
        <f>'Reported burning'!G4602</f>
        <v>0</v>
      </c>
      <c r="H4601" s="217">
        <f>'Reported burning'!H4602</f>
        <v>0</v>
      </c>
    </row>
    <row r="4602" spans="1:8">
      <c r="A4602" s="217">
        <f>'Reported burning'!A4603</f>
        <v>0</v>
      </c>
      <c r="B4602" s="217">
        <f>'Reported burning'!B4603</f>
        <v>0</v>
      </c>
      <c r="C4602" s="217">
        <f>'Reported burning'!C4603</f>
        <v>0</v>
      </c>
      <c r="D4602" s="217">
        <f>'Reported burning'!D4603</f>
        <v>0</v>
      </c>
      <c r="E4602" s="217">
        <f>'Reported burning'!E4603</f>
        <v>0</v>
      </c>
      <c r="F4602" s="217">
        <f>'Reported burning'!F4603</f>
        <v>0</v>
      </c>
      <c r="G4602" s="217">
        <f>'Reported burning'!G4603</f>
        <v>0</v>
      </c>
      <c r="H4602" s="217">
        <f>'Reported burning'!H4603</f>
        <v>0</v>
      </c>
    </row>
    <row r="4603" spans="1:8">
      <c r="A4603" s="217">
        <f>'Reported burning'!A4604</f>
        <v>0</v>
      </c>
      <c r="B4603" s="217">
        <f>'Reported burning'!B4604</f>
        <v>0</v>
      </c>
      <c r="C4603" s="217">
        <f>'Reported burning'!C4604</f>
        <v>0</v>
      </c>
      <c r="D4603" s="217">
        <f>'Reported burning'!D4604</f>
        <v>0</v>
      </c>
      <c r="E4603" s="217">
        <f>'Reported burning'!E4604</f>
        <v>0</v>
      </c>
      <c r="F4603" s="217">
        <f>'Reported burning'!F4604</f>
        <v>0</v>
      </c>
      <c r="G4603" s="217">
        <f>'Reported burning'!G4604</f>
        <v>0</v>
      </c>
      <c r="H4603" s="217">
        <f>'Reported burning'!H4604</f>
        <v>0</v>
      </c>
    </row>
    <row r="4604" spans="1:8">
      <c r="A4604" s="217">
        <f>'Reported burning'!A4605</f>
        <v>0</v>
      </c>
      <c r="B4604" s="217">
        <f>'Reported burning'!B4605</f>
        <v>0</v>
      </c>
      <c r="C4604" s="217">
        <f>'Reported burning'!C4605</f>
        <v>0</v>
      </c>
      <c r="D4604" s="217">
        <f>'Reported burning'!D4605</f>
        <v>0</v>
      </c>
      <c r="E4604" s="217">
        <f>'Reported burning'!E4605</f>
        <v>0</v>
      </c>
      <c r="F4604" s="217">
        <f>'Reported burning'!F4605</f>
        <v>0</v>
      </c>
      <c r="G4604" s="217">
        <f>'Reported burning'!G4605</f>
        <v>0</v>
      </c>
      <c r="H4604" s="217">
        <f>'Reported burning'!H4605</f>
        <v>0</v>
      </c>
    </row>
    <row r="4605" spans="1:8">
      <c r="A4605" s="217">
        <f>'Reported burning'!A4606</f>
        <v>0</v>
      </c>
      <c r="B4605" s="217">
        <f>'Reported burning'!B4606</f>
        <v>0</v>
      </c>
      <c r="C4605" s="217">
        <f>'Reported burning'!C4606</f>
        <v>0</v>
      </c>
      <c r="D4605" s="217">
        <f>'Reported burning'!D4606</f>
        <v>0</v>
      </c>
      <c r="E4605" s="217">
        <f>'Reported burning'!E4606</f>
        <v>0</v>
      </c>
      <c r="F4605" s="217">
        <f>'Reported burning'!F4606</f>
        <v>0</v>
      </c>
      <c r="G4605" s="217">
        <f>'Reported burning'!G4606</f>
        <v>0</v>
      </c>
      <c r="H4605" s="217">
        <f>'Reported burning'!H4606</f>
        <v>0</v>
      </c>
    </row>
    <row r="4606" spans="1:8">
      <c r="A4606" s="217">
        <f>'Reported burning'!A4607</f>
        <v>0</v>
      </c>
      <c r="B4606" s="217">
        <f>'Reported burning'!B4607</f>
        <v>0</v>
      </c>
      <c r="C4606" s="217">
        <f>'Reported burning'!C4607</f>
        <v>0</v>
      </c>
      <c r="D4606" s="217">
        <f>'Reported burning'!D4607</f>
        <v>0</v>
      </c>
      <c r="E4606" s="217">
        <f>'Reported burning'!E4607</f>
        <v>0</v>
      </c>
      <c r="F4606" s="217">
        <f>'Reported burning'!F4607</f>
        <v>0</v>
      </c>
      <c r="G4606" s="217">
        <f>'Reported burning'!G4607</f>
        <v>0</v>
      </c>
      <c r="H4606" s="217">
        <f>'Reported burning'!H4607</f>
        <v>0</v>
      </c>
    </row>
    <row r="4607" spans="1:8">
      <c r="A4607" s="217">
        <f>'Reported burning'!A4608</f>
        <v>0</v>
      </c>
      <c r="B4607" s="217">
        <f>'Reported burning'!B4608</f>
        <v>0</v>
      </c>
      <c r="C4607" s="217">
        <f>'Reported burning'!C4608</f>
        <v>0</v>
      </c>
      <c r="D4607" s="217">
        <f>'Reported burning'!D4608</f>
        <v>0</v>
      </c>
      <c r="E4607" s="217">
        <f>'Reported burning'!E4608</f>
        <v>0</v>
      </c>
      <c r="F4607" s="217">
        <f>'Reported burning'!F4608</f>
        <v>0</v>
      </c>
      <c r="G4607" s="217">
        <f>'Reported burning'!G4608</f>
        <v>0</v>
      </c>
      <c r="H4607" s="217">
        <f>'Reported burning'!H4608</f>
        <v>0</v>
      </c>
    </row>
    <row r="4608" spans="1:8">
      <c r="A4608" s="217">
        <f>'Reported burning'!A4609</f>
        <v>0</v>
      </c>
      <c r="B4608" s="217">
        <f>'Reported burning'!B4609</f>
        <v>0</v>
      </c>
      <c r="C4608" s="217">
        <f>'Reported burning'!C4609</f>
        <v>0</v>
      </c>
      <c r="D4608" s="217">
        <f>'Reported burning'!D4609</f>
        <v>0</v>
      </c>
      <c r="E4608" s="217">
        <f>'Reported burning'!E4609</f>
        <v>0</v>
      </c>
      <c r="F4608" s="217">
        <f>'Reported burning'!F4609</f>
        <v>0</v>
      </c>
      <c r="G4608" s="217">
        <f>'Reported burning'!G4609</f>
        <v>0</v>
      </c>
      <c r="H4608" s="217">
        <f>'Reported burning'!H4609</f>
        <v>0</v>
      </c>
    </row>
    <row r="4609" spans="1:8">
      <c r="A4609" s="217">
        <f>'Reported burning'!A4610</f>
        <v>0</v>
      </c>
      <c r="B4609" s="217">
        <f>'Reported burning'!B4610</f>
        <v>0</v>
      </c>
      <c r="C4609" s="217">
        <f>'Reported burning'!C4610</f>
        <v>0</v>
      </c>
      <c r="D4609" s="217">
        <f>'Reported burning'!D4610</f>
        <v>0</v>
      </c>
      <c r="E4609" s="217">
        <f>'Reported burning'!E4610</f>
        <v>0</v>
      </c>
      <c r="F4609" s="217">
        <f>'Reported burning'!F4610</f>
        <v>0</v>
      </c>
      <c r="G4609" s="217">
        <f>'Reported burning'!G4610</f>
        <v>0</v>
      </c>
      <c r="H4609" s="217">
        <f>'Reported burning'!H4610</f>
        <v>0</v>
      </c>
    </row>
    <row r="4610" spans="1:8">
      <c r="A4610" s="217">
        <f>'Reported burning'!A4611</f>
        <v>0</v>
      </c>
      <c r="B4610" s="217">
        <f>'Reported burning'!B4611</f>
        <v>0</v>
      </c>
      <c r="C4610" s="217">
        <f>'Reported burning'!C4611</f>
        <v>0</v>
      </c>
      <c r="D4610" s="217">
        <f>'Reported burning'!D4611</f>
        <v>0</v>
      </c>
      <c r="E4610" s="217">
        <f>'Reported burning'!E4611</f>
        <v>0</v>
      </c>
      <c r="F4610" s="217">
        <f>'Reported burning'!F4611</f>
        <v>0</v>
      </c>
      <c r="G4610" s="217">
        <f>'Reported burning'!G4611</f>
        <v>0</v>
      </c>
      <c r="H4610" s="217">
        <f>'Reported burning'!H4611</f>
        <v>0</v>
      </c>
    </row>
    <row r="4611" spans="1:8">
      <c r="A4611" s="217">
        <f>'Reported burning'!A4612</f>
        <v>0</v>
      </c>
      <c r="B4611" s="217">
        <f>'Reported burning'!B4612</f>
        <v>0</v>
      </c>
      <c r="C4611" s="217">
        <f>'Reported burning'!C4612</f>
        <v>0</v>
      </c>
      <c r="D4611" s="217">
        <f>'Reported burning'!D4612</f>
        <v>0</v>
      </c>
      <c r="E4611" s="217">
        <f>'Reported burning'!E4612</f>
        <v>0</v>
      </c>
      <c r="F4611" s="217">
        <f>'Reported burning'!F4612</f>
        <v>0</v>
      </c>
      <c r="G4611" s="217">
        <f>'Reported burning'!G4612</f>
        <v>0</v>
      </c>
      <c r="H4611" s="217">
        <f>'Reported burning'!H4612</f>
        <v>0</v>
      </c>
    </row>
    <row r="4612" spans="1:8">
      <c r="A4612" s="217">
        <f>'Reported burning'!A4613</f>
        <v>0</v>
      </c>
      <c r="B4612" s="217">
        <f>'Reported burning'!B4613</f>
        <v>0</v>
      </c>
      <c r="C4612" s="217">
        <f>'Reported burning'!C4613</f>
        <v>0</v>
      </c>
      <c r="D4612" s="217">
        <f>'Reported burning'!D4613</f>
        <v>0</v>
      </c>
      <c r="E4612" s="217">
        <f>'Reported burning'!E4613</f>
        <v>0</v>
      </c>
      <c r="F4612" s="217">
        <f>'Reported burning'!F4613</f>
        <v>0</v>
      </c>
      <c r="G4612" s="217">
        <f>'Reported burning'!G4613</f>
        <v>0</v>
      </c>
      <c r="H4612" s="217">
        <f>'Reported burning'!H4613</f>
        <v>0</v>
      </c>
    </row>
    <row r="4613" spans="1:8">
      <c r="A4613" s="217">
        <f>'Reported burning'!A4614</f>
        <v>0</v>
      </c>
      <c r="B4613" s="217">
        <f>'Reported burning'!B4614</f>
        <v>0</v>
      </c>
      <c r="C4613" s="217">
        <f>'Reported burning'!C4614</f>
        <v>0</v>
      </c>
      <c r="D4613" s="217">
        <f>'Reported burning'!D4614</f>
        <v>0</v>
      </c>
      <c r="E4613" s="217">
        <f>'Reported burning'!E4614</f>
        <v>0</v>
      </c>
      <c r="F4613" s="217">
        <f>'Reported burning'!F4614</f>
        <v>0</v>
      </c>
      <c r="G4613" s="217">
        <f>'Reported burning'!G4614</f>
        <v>0</v>
      </c>
      <c r="H4613" s="217">
        <f>'Reported burning'!H4614</f>
        <v>0</v>
      </c>
    </row>
    <row r="4614" spans="1:8">
      <c r="A4614" s="217">
        <f>'Reported burning'!A4615</f>
        <v>0</v>
      </c>
      <c r="B4614" s="217">
        <f>'Reported burning'!B4615</f>
        <v>0</v>
      </c>
      <c r="C4614" s="217">
        <f>'Reported burning'!C4615</f>
        <v>0</v>
      </c>
      <c r="D4614" s="217">
        <f>'Reported burning'!D4615</f>
        <v>0</v>
      </c>
      <c r="E4614" s="217">
        <f>'Reported burning'!E4615</f>
        <v>0</v>
      </c>
      <c r="F4614" s="217">
        <f>'Reported burning'!F4615</f>
        <v>0</v>
      </c>
      <c r="G4614" s="217">
        <f>'Reported burning'!G4615</f>
        <v>0</v>
      </c>
      <c r="H4614" s="217">
        <f>'Reported burning'!H4615</f>
        <v>0</v>
      </c>
    </row>
    <row r="4615" spans="1:8">
      <c r="A4615" s="217">
        <f>'Reported burning'!A4616</f>
        <v>0</v>
      </c>
      <c r="B4615" s="217">
        <f>'Reported burning'!B4616</f>
        <v>0</v>
      </c>
      <c r="C4615" s="217">
        <f>'Reported burning'!C4616</f>
        <v>0</v>
      </c>
      <c r="D4615" s="217">
        <f>'Reported burning'!D4616</f>
        <v>0</v>
      </c>
      <c r="E4615" s="217">
        <f>'Reported burning'!E4616</f>
        <v>0</v>
      </c>
      <c r="F4615" s="217">
        <f>'Reported burning'!F4616</f>
        <v>0</v>
      </c>
      <c r="G4615" s="217">
        <f>'Reported burning'!G4616</f>
        <v>0</v>
      </c>
      <c r="H4615" s="217">
        <f>'Reported burning'!H4616</f>
        <v>0</v>
      </c>
    </row>
    <row r="4616" spans="1:8">
      <c r="A4616" s="217">
        <f>'Reported burning'!A4617</f>
        <v>0</v>
      </c>
      <c r="B4616" s="217">
        <f>'Reported burning'!B4617</f>
        <v>0</v>
      </c>
      <c r="C4616" s="217">
        <f>'Reported burning'!C4617</f>
        <v>0</v>
      </c>
      <c r="D4616" s="217">
        <f>'Reported burning'!D4617</f>
        <v>0</v>
      </c>
      <c r="E4616" s="217">
        <f>'Reported burning'!E4617</f>
        <v>0</v>
      </c>
      <c r="F4616" s="217">
        <f>'Reported burning'!F4617</f>
        <v>0</v>
      </c>
      <c r="G4616" s="217">
        <f>'Reported burning'!G4617</f>
        <v>0</v>
      </c>
      <c r="H4616" s="217">
        <f>'Reported burning'!H4617</f>
        <v>0</v>
      </c>
    </row>
    <row r="4617" spans="1:8">
      <c r="A4617" s="217">
        <f>'Reported burning'!A4618</f>
        <v>0</v>
      </c>
      <c r="B4617" s="217">
        <f>'Reported burning'!B4618</f>
        <v>0</v>
      </c>
      <c r="C4617" s="217">
        <f>'Reported burning'!C4618</f>
        <v>0</v>
      </c>
      <c r="D4617" s="217">
        <f>'Reported burning'!D4618</f>
        <v>0</v>
      </c>
      <c r="E4617" s="217">
        <f>'Reported burning'!E4618</f>
        <v>0</v>
      </c>
      <c r="F4617" s="217">
        <f>'Reported burning'!F4618</f>
        <v>0</v>
      </c>
      <c r="G4617" s="217">
        <f>'Reported burning'!G4618</f>
        <v>0</v>
      </c>
      <c r="H4617" s="217">
        <f>'Reported burning'!H4618</f>
        <v>0</v>
      </c>
    </row>
    <row r="4618" spans="1:8">
      <c r="A4618" s="217">
        <f>'Reported burning'!A4619</f>
        <v>0</v>
      </c>
      <c r="B4618" s="217">
        <f>'Reported burning'!B4619</f>
        <v>0</v>
      </c>
      <c r="C4618" s="217">
        <f>'Reported burning'!C4619</f>
        <v>0</v>
      </c>
      <c r="D4618" s="217">
        <f>'Reported burning'!D4619</f>
        <v>0</v>
      </c>
      <c r="E4618" s="217">
        <f>'Reported burning'!E4619</f>
        <v>0</v>
      </c>
      <c r="F4618" s="217">
        <f>'Reported burning'!F4619</f>
        <v>0</v>
      </c>
      <c r="G4618" s="217">
        <f>'Reported burning'!G4619</f>
        <v>0</v>
      </c>
      <c r="H4618" s="217">
        <f>'Reported burning'!H4619</f>
        <v>0</v>
      </c>
    </row>
    <row r="4619" spans="1:8">
      <c r="A4619" s="217">
        <f>'Reported burning'!A4620</f>
        <v>0</v>
      </c>
      <c r="B4619" s="217">
        <f>'Reported burning'!B4620</f>
        <v>0</v>
      </c>
      <c r="C4619" s="217">
        <f>'Reported burning'!C4620</f>
        <v>0</v>
      </c>
      <c r="D4619" s="217">
        <f>'Reported burning'!D4620</f>
        <v>0</v>
      </c>
      <c r="E4619" s="217">
        <f>'Reported burning'!E4620</f>
        <v>0</v>
      </c>
      <c r="F4619" s="217">
        <f>'Reported burning'!F4620</f>
        <v>0</v>
      </c>
      <c r="G4619" s="217">
        <f>'Reported burning'!G4620</f>
        <v>0</v>
      </c>
      <c r="H4619" s="217">
        <f>'Reported burning'!H4620</f>
        <v>0</v>
      </c>
    </row>
    <row r="4620" spans="1:8">
      <c r="A4620" s="217">
        <f>'Reported burning'!A4621</f>
        <v>0</v>
      </c>
      <c r="B4620" s="217">
        <f>'Reported burning'!B4621</f>
        <v>0</v>
      </c>
      <c r="C4620" s="217">
        <f>'Reported burning'!C4621</f>
        <v>0</v>
      </c>
      <c r="D4620" s="217">
        <f>'Reported burning'!D4621</f>
        <v>0</v>
      </c>
      <c r="E4620" s="217">
        <f>'Reported burning'!E4621</f>
        <v>0</v>
      </c>
      <c r="F4620" s="217">
        <f>'Reported burning'!F4621</f>
        <v>0</v>
      </c>
      <c r="G4620" s="217">
        <f>'Reported burning'!G4621</f>
        <v>0</v>
      </c>
      <c r="H4620" s="217">
        <f>'Reported burning'!H4621</f>
        <v>0</v>
      </c>
    </row>
    <row r="4621" spans="1:8">
      <c r="A4621" s="217">
        <f>'Reported burning'!A4622</f>
        <v>0</v>
      </c>
      <c r="B4621" s="217">
        <f>'Reported burning'!B4622</f>
        <v>0</v>
      </c>
      <c r="C4621" s="217">
        <f>'Reported burning'!C4622</f>
        <v>0</v>
      </c>
      <c r="D4621" s="217">
        <f>'Reported burning'!D4622</f>
        <v>0</v>
      </c>
      <c r="E4621" s="217">
        <f>'Reported burning'!E4622</f>
        <v>0</v>
      </c>
      <c r="F4621" s="217">
        <f>'Reported burning'!F4622</f>
        <v>0</v>
      </c>
      <c r="G4621" s="217">
        <f>'Reported burning'!G4622</f>
        <v>0</v>
      </c>
      <c r="H4621" s="217">
        <f>'Reported burning'!H4622</f>
        <v>0</v>
      </c>
    </row>
    <row r="4622" spans="1:8">
      <c r="A4622" s="217">
        <f>'Reported burning'!A4623</f>
        <v>0</v>
      </c>
      <c r="B4622" s="217">
        <f>'Reported burning'!B4623</f>
        <v>0</v>
      </c>
      <c r="C4622" s="217">
        <f>'Reported burning'!C4623</f>
        <v>0</v>
      </c>
      <c r="D4622" s="217">
        <f>'Reported burning'!D4623</f>
        <v>0</v>
      </c>
      <c r="E4622" s="217">
        <f>'Reported burning'!E4623</f>
        <v>0</v>
      </c>
      <c r="F4622" s="217">
        <f>'Reported burning'!F4623</f>
        <v>0</v>
      </c>
      <c r="G4622" s="217">
        <f>'Reported burning'!G4623</f>
        <v>0</v>
      </c>
      <c r="H4622" s="217">
        <f>'Reported burning'!H4623</f>
        <v>0</v>
      </c>
    </row>
    <row r="4623" spans="1:8">
      <c r="A4623" s="217">
        <f>'Reported burning'!A4624</f>
        <v>0</v>
      </c>
      <c r="B4623" s="217">
        <f>'Reported burning'!B4624</f>
        <v>0</v>
      </c>
      <c r="C4623" s="217">
        <f>'Reported burning'!C4624</f>
        <v>0</v>
      </c>
      <c r="D4623" s="217">
        <f>'Reported burning'!D4624</f>
        <v>0</v>
      </c>
      <c r="E4623" s="217">
        <f>'Reported burning'!E4624</f>
        <v>0</v>
      </c>
      <c r="F4623" s="217">
        <f>'Reported burning'!F4624</f>
        <v>0</v>
      </c>
      <c r="G4623" s="217">
        <f>'Reported burning'!G4624</f>
        <v>0</v>
      </c>
      <c r="H4623" s="217">
        <f>'Reported burning'!H4624</f>
        <v>0</v>
      </c>
    </row>
    <row r="4624" spans="1:8">
      <c r="A4624" s="217">
        <f>'Reported burning'!A4625</f>
        <v>0</v>
      </c>
      <c r="B4624" s="217">
        <f>'Reported burning'!B4625</f>
        <v>0</v>
      </c>
      <c r="C4624" s="217">
        <f>'Reported burning'!C4625</f>
        <v>0</v>
      </c>
      <c r="D4624" s="217">
        <f>'Reported burning'!D4625</f>
        <v>0</v>
      </c>
      <c r="E4624" s="217">
        <f>'Reported burning'!E4625</f>
        <v>0</v>
      </c>
      <c r="F4624" s="217">
        <f>'Reported burning'!F4625</f>
        <v>0</v>
      </c>
      <c r="G4624" s="217">
        <f>'Reported burning'!G4625</f>
        <v>0</v>
      </c>
      <c r="H4624" s="217">
        <f>'Reported burning'!H4625</f>
        <v>0</v>
      </c>
    </row>
    <row r="4625" spans="1:8">
      <c r="A4625" s="217">
        <f>'Reported burning'!A4626</f>
        <v>0</v>
      </c>
      <c r="B4625" s="217">
        <f>'Reported burning'!B4626</f>
        <v>0</v>
      </c>
      <c r="C4625" s="217">
        <f>'Reported burning'!C4626</f>
        <v>0</v>
      </c>
      <c r="D4625" s="217">
        <f>'Reported burning'!D4626</f>
        <v>0</v>
      </c>
      <c r="E4625" s="217">
        <f>'Reported burning'!E4626</f>
        <v>0</v>
      </c>
      <c r="F4625" s="217">
        <f>'Reported burning'!F4626</f>
        <v>0</v>
      </c>
      <c r="G4625" s="217">
        <f>'Reported burning'!G4626</f>
        <v>0</v>
      </c>
      <c r="H4625" s="217">
        <f>'Reported burning'!H4626</f>
        <v>0</v>
      </c>
    </row>
    <row r="4626" spans="1:8">
      <c r="A4626" s="217">
        <f>'Reported burning'!A4627</f>
        <v>0</v>
      </c>
      <c r="B4626" s="217">
        <f>'Reported burning'!B4627</f>
        <v>0</v>
      </c>
      <c r="C4626" s="217">
        <f>'Reported burning'!C4627</f>
        <v>0</v>
      </c>
      <c r="D4626" s="217">
        <f>'Reported burning'!D4627</f>
        <v>0</v>
      </c>
      <c r="E4626" s="217">
        <f>'Reported burning'!E4627</f>
        <v>0</v>
      </c>
      <c r="F4626" s="217">
        <f>'Reported burning'!F4627</f>
        <v>0</v>
      </c>
      <c r="G4626" s="217">
        <f>'Reported burning'!G4627</f>
        <v>0</v>
      </c>
      <c r="H4626" s="217">
        <f>'Reported burning'!H4627</f>
        <v>0</v>
      </c>
    </row>
    <row r="4627" spans="1:8">
      <c r="A4627" s="217">
        <f>'Reported burning'!A4628</f>
        <v>0</v>
      </c>
      <c r="B4627" s="217">
        <f>'Reported burning'!B4628</f>
        <v>0</v>
      </c>
      <c r="C4627" s="217">
        <f>'Reported burning'!C4628</f>
        <v>0</v>
      </c>
      <c r="D4627" s="217">
        <f>'Reported burning'!D4628</f>
        <v>0</v>
      </c>
      <c r="E4627" s="217">
        <f>'Reported burning'!E4628</f>
        <v>0</v>
      </c>
      <c r="F4627" s="217">
        <f>'Reported burning'!F4628</f>
        <v>0</v>
      </c>
      <c r="G4627" s="217">
        <f>'Reported burning'!G4628</f>
        <v>0</v>
      </c>
      <c r="H4627" s="217">
        <f>'Reported burning'!H4628</f>
        <v>0</v>
      </c>
    </row>
    <row r="4628" spans="1:8">
      <c r="A4628" s="217">
        <f>'Reported burning'!A4629</f>
        <v>0</v>
      </c>
      <c r="B4628" s="217">
        <f>'Reported burning'!B4629</f>
        <v>0</v>
      </c>
      <c r="C4628" s="217">
        <f>'Reported burning'!C4629</f>
        <v>0</v>
      </c>
      <c r="D4628" s="217">
        <f>'Reported burning'!D4629</f>
        <v>0</v>
      </c>
      <c r="E4628" s="217">
        <f>'Reported burning'!E4629</f>
        <v>0</v>
      </c>
      <c r="F4628" s="217">
        <f>'Reported burning'!F4629</f>
        <v>0</v>
      </c>
      <c r="G4628" s="217">
        <f>'Reported burning'!G4629</f>
        <v>0</v>
      </c>
      <c r="H4628" s="217">
        <f>'Reported burning'!H4629</f>
        <v>0</v>
      </c>
    </row>
    <row r="4629" spans="1:8">
      <c r="A4629" s="217">
        <f>'Reported burning'!A4630</f>
        <v>0</v>
      </c>
      <c r="B4629" s="217">
        <f>'Reported burning'!B4630</f>
        <v>0</v>
      </c>
      <c r="C4629" s="217">
        <f>'Reported burning'!C4630</f>
        <v>0</v>
      </c>
      <c r="D4629" s="217">
        <f>'Reported burning'!D4630</f>
        <v>0</v>
      </c>
      <c r="E4629" s="217">
        <f>'Reported burning'!E4630</f>
        <v>0</v>
      </c>
      <c r="F4629" s="217">
        <f>'Reported burning'!F4630</f>
        <v>0</v>
      </c>
      <c r="G4629" s="217">
        <f>'Reported burning'!G4630</f>
        <v>0</v>
      </c>
      <c r="H4629" s="217">
        <f>'Reported burning'!H4630</f>
        <v>0</v>
      </c>
    </row>
    <row r="4630" spans="1:8">
      <c r="A4630" s="217">
        <f>'Reported burning'!A4631</f>
        <v>0</v>
      </c>
      <c r="B4630" s="217">
        <f>'Reported burning'!B4631</f>
        <v>0</v>
      </c>
      <c r="C4630" s="217">
        <f>'Reported burning'!C4631</f>
        <v>0</v>
      </c>
      <c r="D4630" s="217">
        <f>'Reported burning'!D4631</f>
        <v>0</v>
      </c>
      <c r="E4630" s="217">
        <f>'Reported burning'!E4631</f>
        <v>0</v>
      </c>
      <c r="F4630" s="217">
        <f>'Reported burning'!F4631</f>
        <v>0</v>
      </c>
      <c r="G4630" s="217">
        <f>'Reported burning'!G4631</f>
        <v>0</v>
      </c>
      <c r="H4630" s="217">
        <f>'Reported burning'!H4631</f>
        <v>0</v>
      </c>
    </row>
    <row r="4631" spans="1:8">
      <c r="A4631" s="217">
        <f>'Reported burning'!A4632</f>
        <v>0</v>
      </c>
      <c r="B4631" s="217">
        <f>'Reported burning'!B4632</f>
        <v>0</v>
      </c>
      <c r="C4631" s="217">
        <f>'Reported burning'!C4632</f>
        <v>0</v>
      </c>
      <c r="D4631" s="217">
        <f>'Reported burning'!D4632</f>
        <v>0</v>
      </c>
      <c r="E4631" s="217">
        <f>'Reported burning'!E4632</f>
        <v>0</v>
      </c>
      <c r="F4631" s="217">
        <f>'Reported burning'!F4632</f>
        <v>0</v>
      </c>
      <c r="G4631" s="217">
        <f>'Reported burning'!G4632</f>
        <v>0</v>
      </c>
      <c r="H4631" s="217">
        <f>'Reported burning'!H4632</f>
        <v>0</v>
      </c>
    </row>
    <row r="4632" spans="1:8">
      <c r="A4632" s="217">
        <f>'Reported burning'!A4633</f>
        <v>0</v>
      </c>
      <c r="B4632" s="217">
        <f>'Reported burning'!B4633</f>
        <v>0</v>
      </c>
      <c r="C4632" s="217">
        <f>'Reported burning'!C4633</f>
        <v>0</v>
      </c>
      <c r="D4632" s="217">
        <f>'Reported burning'!D4633</f>
        <v>0</v>
      </c>
      <c r="E4632" s="217">
        <f>'Reported burning'!E4633</f>
        <v>0</v>
      </c>
      <c r="F4632" s="217">
        <f>'Reported burning'!F4633</f>
        <v>0</v>
      </c>
      <c r="G4632" s="217">
        <f>'Reported burning'!G4633</f>
        <v>0</v>
      </c>
      <c r="H4632" s="217">
        <f>'Reported burning'!H4633</f>
        <v>0</v>
      </c>
    </row>
    <row r="4633" spans="1:8">
      <c r="A4633" s="217">
        <f>'Reported burning'!A4634</f>
        <v>0</v>
      </c>
      <c r="B4633" s="217">
        <f>'Reported burning'!B4634</f>
        <v>0</v>
      </c>
      <c r="C4633" s="217">
        <f>'Reported burning'!C4634</f>
        <v>0</v>
      </c>
      <c r="D4633" s="217">
        <f>'Reported burning'!D4634</f>
        <v>0</v>
      </c>
      <c r="E4633" s="217">
        <f>'Reported burning'!E4634</f>
        <v>0</v>
      </c>
      <c r="F4633" s="217">
        <f>'Reported burning'!F4634</f>
        <v>0</v>
      </c>
      <c r="G4633" s="217">
        <f>'Reported burning'!G4634</f>
        <v>0</v>
      </c>
      <c r="H4633" s="217">
        <f>'Reported burning'!H4634</f>
        <v>0</v>
      </c>
    </row>
    <row r="4634" spans="1:8">
      <c r="A4634" s="217">
        <f>'Reported burning'!A4635</f>
        <v>0</v>
      </c>
      <c r="B4634" s="217">
        <f>'Reported burning'!B4635</f>
        <v>0</v>
      </c>
      <c r="C4634" s="217">
        <f>'Reported burning'!C4635</f>
        <v>0</v>
      </c>
      <c r="D4634" s="217">
        <f>'Reported burning'!D4635</f>
        <v>0</v>
      </c>
      <c r="E4634" s="217">
        <f>'Reported burning'!E4635</f>
        <v>0</v>
      </c>
      <c r="F4634" s="217">
        <f>'Reported burning'!F4635</f>
        <v>0</v>
      </c>
      <c r="G4634" s="217">
        <f>'Reported burning'!G4635</f>
        <v>0</v>
      </c>
      <c r="H4634" s="217">
        <f>'Reported burning'!H4635</f>
        <v>0</v>
      </c>
    </row>
    <row r="4635" spans="1:8">
      <c r="A4635" s="217">
        <f>'Reported burning'!A4636</f>
        <v>0</v>
      </c>
      <c r="B4635" s="217">
        <f>'Reported burning'!B4636</f>
        <v>0</v>
      </c>
      <c r="C4635" s="217">
        <f>'Reported burning'!C4636</f>
        <v>0</v>
      </c>
      <c r="D4635" s="217">
        <f>'Reported burning'!D4636</f>
        <v>0</v>
      </c>
      <c r="E4635" s="217">
        <f>'Reported burning'!E4636</f>
        <v>0</v>
      </c>
      <c r="F4635" s="217">
        <f>'Reported burning'!F4636</f>
        <v>0</v>
      </c>
      <c r="G4635" s="217">
        <f>'Reported burning'!G4636</f>
        <v>0</v>
      </c>
      <c r="H4635" s="217">
        <f>'Reported burning'!H4636</f>
        <v>0</v>
      </c>
    </row>
    <row r="4636" spans="1:8">
      <c r="A4636" s="217">
        <f>'Reported burning'!A4637</f>
        <v>0</v>
      </c>
      <c r="B4636" s="217">
        <f>'Reported burning'!B4637</f>
        <v>0</v>
      </c>
      <c r="C4636" s="217">
        <f>'Reported burning'!C4637</f>
        <v>0</v>
      </c>
      <c r="D4636" s="217">
        <f>'Reported burning'!D4637</f>
        <v>0</v>
      </c>
      <c r="E4636" s="217">
        <f>'Reported burning'!E4637</f>
        <v>0</v>
      </c>
      <c r="F4636" s="217">
        <f>'Reported burning'!F4637</f>
        <v>0</v>
      </c>
      <c r="G4636" s="217">
        <f>'Reported burning'!G4637</f>
        <v>0</v>
      </c>
      <c r="H4636" s="217">
        <f>'Reported burning'!H4637</f>
        <v>0</v>
      </c>
    </row>
    <row r="4637" spans="1:8">
      <c r="A4637" s="217">
        <f>'Reported burning'!A4638</f>
        <v>0</v>
      </c>
      <c r="B4637" s="217">
        <f>'Reported burning'!B4638</f>
        <v>0</v>
      </c>
      <c r="C4637" s="217">
        <f>'Reported burning'!C4638</f>
        <v>0</v>
      </c>
      <c r="D4637" s="217">
        <f>'Reported burning'!D4638</f>
        <v>0</v>
      </c>
      <c r="E4637" s="217">
        <f>'Reported burning'!E4638</f>
        <v>0</v>
      </c>
      <c r="F4637" s="217">
        <f>'Reported burning'!F4638</f>
        <v>0</v>
      </c>
      <c r="G4637" s="217">
        <f>'Reported burning'!G4638</f>
        <v>0</v>
      </c>
      <c r="H4637" s="217">
        <f>'Reported burning'!H4638</f>
        <v>0</v>
      </c>
    </row>
    <row r="4638" spans="1:8">
      <c r="A4638" s="217">
        <f>'Reported burning'!A4639</f>
        <v>0</v>
      </c>
      <c r="B4638" s="217">
        <f>'Reported burning'!B4639</f>
        <v>0</v>
      </c>
      <c r="C4638" s="217">
        <f>'Reported burning'!C4639</f>
        <v>0</v>
      </c>
      <c r="D4638" s="217">
        <f>'Reported burning'!D4639</f>
        <v>0</v>
      </c>
      <c r="E4638" s="217">
        <f>'Reported burning'!E4639</f>
        <v>0</v>
      </c>
      <c r="F4638" s="217">
        <f>'Reported burning'!F4639</f>
        <v>0</v>
      </c>
      <c r="G4638" s="217">
        <f>'Reported burning'!G4639</f>
        <v>0</v>
      </c>
      <c r="H4638" s="217">
        <f>'Reported burning'!H4639</f>
        <v>0</v>
      </c>
    </row>
    <row r="4639" spans="1:8">
      <c r="A4639" s="217">
        <f>'Reported burning'!A4640</f>
        <v>0</v>
      </c>
      <c r="B4639" s="217">
        <f>'Reported burning'!B4640</f>
        <v>0</v>
      </c>
      <c r="C4639" s="217">
        <f>'Reported burning'!C4640</f>
        <v>0</v>
      </c>
      <c r="D4639" s="217">
        <f>'Reported burning'!D4640</f>
        <v>0</v>
      </c>
      <c r="E4639" s="217">
        <f>'Reported burning'!E4640</f>
        <v>0</v>
      </c>
      <c r="F4639" s="217">
        <f>'Reported burning'!F4640</f>
        <v>0</v>
      </c>
      <c r="G4639" s="217">
        <f>'Reported burning'!G4640</f>
        <v>0</v>
      </c>
      <c r="H4639" s="217">
        <f>'Reported burning'!H4640</f>
        <v>0</v>
      </c>
    </row>
    <row r="4640" spans="1:8">
      <c r="A4640" s="217">
        <f>'Reported burning'!A4641</f>
        <v>0</v>
      </c>
      <c r="B4640" s="217">
        <f>'Reported burning'!B4641</f>
        <v>0</v>
      </c>
      <c r="C4640" s="217">
        <f>'Reported burning'!C4641</f>
        <v>0</v>
      </c>
      <c r="D4640" s="217">
        <f>'Reported burning'!D4641</f>
        <v>0</v>
      </c>
      <c r="E4640" s="217">
        <f>'Reported burning'!E4641</f>
        <v>0</v>
      </c>
      <c r="F4640" s="217">
        <f>'Reported burning'!F4641</f>
        <v>0</v>
      </c>
      <c r="G4640" s="217">
        <f>'Reported burning'!G4641</f>
        <v>0</v>
      </c>
      <c r="H4640" s="217">
        <f>'Reported burning'!H4641</f>
        <v>0</v>
      </c>
    </row>
    <row r="4641" spans="1:8">
      <c r="A4641" s="217">
        <f>'Reported burning'!A4642</f>
        <v>0</v>
      </c>
      <c r="B4641" s="217">
        <f>'Reported burning'!B4642</f>
        <v>0</v>
      </c>
      <c r="C4641" s="217">
        <f>'Reported burning'!C4642</f>
        <v>0</v>
      </c>
      <c r="D4641" s="217">
        <f>'Reported burning'!D4642</f>
        <v>0</v>
      </c>
      <c r="E4641" s="217">
        <f>'Reported burning'!E4642</f>
        <v>0</v>
      </c>
      <c r="F4641" s="217">
        <f>'Reported burning'!F4642</f>
        <v>0</v>
      </c>
      <c r="G4641" s="217">
        <f>'Reported burning'!G4642</f>
        <v>0</v>
      </c>
      <c r="H4641" s="217">
        <f>'Reported burning'!H4642</f>
        <v>0</v>
      </c>
    </row>
    <row r="4642" spans="1:8">
      <c r="A4642" s="217">
        <f>'Reported burning'!A4643</f>
        <v>0</v>
      </c>
      <c r="B4642" s="217">
        <f>'Reported burning'!B4643</f>
        <v>0</v>
      </c>
      <c r="C4642" s="217">
        <f>'Reported burning'!C4643</f>
        <v>0</v>
      </c>
      <c r="D4642" s="217">
        <f>'Reported burning'!D4643</f>
        <v>0</v>
      </c>
      <c r="E4642" s="217">
        <f>'Reported burning'!E4643</f>
        <v>0</v>
      </c>
      <c r="F4642" s="217">
        <f>'Reported burning'!F4643</f>
        <v>0</v>
      </c>
      <c r="G4642" s="217">
        <f>'Reported burning'!G4643</f>
        <v>0</v>
      </c>
      <c r="H4642" s="217">
        <f>'Reported burning'!H4643</f>
        <v>0</v>
      </c>
    </row>
    <row r="4643" spans="1:8">
      <c r="A4643" s="217">
        <f>'Reported burning'!A4644</f>
        <v>0</v>
      </c>
      <c r="B4643" s="217">
        <f>'Reported burning'!B4644</f>
        <v>0</v>
      </c>
      <c r="C4643" s="217">
        <f>'Reported burning'!C4644</f>
        <v>0</v>
      </c>
      <c r="D4643" s="217">
        <f>'Reported burning'!D4644</f>
        <v>0</v>
      </c>
      <c r="E4643" s="217">
        <f>'Reported burning'!E4644</f>
        <v>0</v>
      </c>
      <c r="F4643" s="217">
        <f>'Reported burning'!F4644</f>
        <v>0</v>
      </c>
      <c r="G4643" s="217">
        <f>'Reported burning'!G4644</f>
        <v>0</v>
      </c>
      <c r="H4643" s="217">
        <f>'Reported burning'!H4644</f>
        <v>0</v>
      </c>
    </row>
    <row r="4644" spans="1:8">
      <c r="A4644" s="217">
        <f>'Reported burning'!A4645</f>
        <v>0</v>
      </c>
      <c r="B4644" s="217">
        <f>'Reported burning'!B4645</f>
        <v>0</v>
      </c>
      <c r="C4644" s="217">
        <f>'Reported burning'!C4645</f>
        <v>0</v>
      </c>
      <c r="D4644" s="217">
        <f>'Reported burning'!D4645</f>
        <v>0</v>
      </c>
      <c r="E4644" s="217">
        <f>'Reported burning'!E4645</f>
        <v>0</v>
      </c>
      <c r="F4644" s="217">
        <f>'Reported burning'!F4645</f>
        <v>0</v>
      </c>
      <c r="G4644" s="217">
        <f>'Reported burning'!G4645</f>
        <v>0</v>
      </c>
      <c r="H4644" s="217">
        <f>'Reported burning'!H4645</f>
        <v>0</v>
      </c>
    </row>
    <row r="4645" spans="1:8">
      <c r="A4645" s="217">
        <f>'Reported burning'!A4646</f>
        <v>0</v>
      </c>
      <c r="B4645" s="217">
        <f>'Reported burning'!B4646</f>
        <v>0</v>
      </c>
      <c r="C4645" s="217">
        <f>'Reported burning'!C4646</f>
        <v>0</v>
      </c>
      <c r="D4645" s="217">
        <f>'Reported burning'!D4646</f>
        <v>0</v>
      </c>
      <c r="E4645" s="217">
        <f>'Reported burning'!E4646</f>
        <v>0</v>
      </c>
      <c r="F4645" s="217">
        <f>'Reported burning'!F4646</f>
        <v>0</v>
      </c>
      <c r="G4645" s="217">
        <f>'Reported burning'!G4646</f>
        <v>0</v>
      </c>
      <c r="H4645" s="217">
        <f>'Reported burning'!H4646</f>
        <v>0</v>
      </c>
    </row>
    <row r="4646" spans="1:8">
      <c r="A4646" s="217">
        <f>'Reported burning'!A4647</f>
        <v>0</v>
      </c>
      <c r="B4646" s="217">
        <f>'Reported burning'!B4647</f>
        <v>0</v>
      </c>
      <c r="C4646" s="217">
        <f>'Reported burning'!C4647</f>
        <v>0</v>
      </c>
      <c r="D4646" s="217">
        <f>'Reported burning'!D4647</f>
        <v>0</v>
      </c>
      <c r="E4646" s="217">
        <f>'Reported burning'!E4647</f>
        <v>0</v>
      </c>
      <c r="F4646" s="217">
        <f>'Reported burning'!F4647</f>
        <v>0</v>
      </c>
      <c r="G4646" s="217">
        <f>'Reported burning'!G4647</f>
        <v>0</v>
      </c>
      <c r="H4646" s="217">
        <f>'Reported burning'!H4647</f>
        <v>0</v>
      </c>
    </row>
    <row r="4647" spans="1:8">
      <c r="A4647" s="217">
        <f>'Reported burning'!A4648</f>
        <v>0</v>
      </c>
      <c r="B4647" s="217">
        <f>'Reported burning'!B4648</f>
        <v>0</v>
      </c>
      <c r="C4647" s="217">
        <f>'Reported burning'!C4648</f>
        <v>0</v>
      </c>
      <c r="D4647" s="217">
        <f>'Reported burning'!D4648</f>
        <v>0</v>
      </c>
      <c r="E4647" s="217">
        <f>'Reported burning'!E4648</f>
        <v>0</v>
      </c>
      <c r="F4647" s="217">
        <f>'Reported burning'!F4648</f>
        <v>0</v>
      </c>
      <c r="G4647" s="217">
        <f>'Reported burning'!G4648</f>
        <v>0</v>
      </c>
      <c r="H4647" s="217">
        <f>'Reported burning'!H4648</f>
        <v>0</v>
      </c>
    </row>
    <row r="4648" spans="1:8">
      <c r="A4648" s="217">
        <f>'Reported burning'!A4649</f>
        <v>0</v>
      </c>
      <c r="B4648" s="217">
        <f>'Reported burning'!B4649</f>
        <v>0</v>
      </c>
      <c r="C4648" s="217">
        <f>'Reported burning'!C4649</f>
        <v>0</v>
      </c>
      <c r="D4648" s="217">
        <f>'Reported burning'!D4649</f>
        <v>0</v>
      </c>
      <c r="E4648" s="217">
        <f>'Reported burning'!E4649</f>
        <v>0</v>
      </c>
      <c r="F4648" s="217">
        <f>'Reported burning'!F4649</f>
        <v>0</v>
      </c>
      <c r="G4648" s="217">
        <f>'Reported burning'!G4649</f>
        <v>0</v>
      </c>
      <c r="H4648" s="217">
        <f>'Reported burning'!H4649</f>
        <v>0</v>
      </c>
    </row>
    <row r="4649" spans="1:8">
      <c r="A4649" s="217">
        <f>'Reported burning'!A4650</f>
        <v>0</v>
      </c>
      <c r="B4649" s="217">
        <f>'Reported burning'!B4650</f>
        <v>0</v>
      </c>
      <c r="C4649" s="217">
        <f>'Reported burning'!C4650</f>
        <v>0</v>
      </c>
      <c r="D4649" s="217">
        <f>'Reported burning'!D4650</f>
        <v>0</v>
      </c>
      <c r="E4649" s="217">
        <f>'Reported burning'!E4650</f>
        <v>0</v>
      </c>
      <c r="F4649" s="217">
        <f>'Reported burning'!F4650</f>
        <v>0</v>
      </c>
      <c r="G4649" s="217">
        <f>'Reported burning'!G4650</f>
        <v>0</v>
      </c>
      <c r="H4649" s="217">
        <f>'Reported burning'!H4650</f>
        <v>0</v>
      </c>
    </row>
    <row r="4650" spans="1:8">
      <c r="A4650" s="217">
        <f>'Reported burning'!A4651</f>
        <v>0</v>
      </c>
      <c r="B4650" s="217">
        <f>'Reported burning'!B4651</f>
        <v>0</v>
      </c>
      <c r="C4650" s="217">
        <f>'Reported burning'!C4651</f>
        <v>0</v>
      </c>
      <c r="D4650" s="217">
        <f>'Reported burning'!D4651</f>
        <v>0</v>
      </c>
      <c r="E4650" s="217">
        <f>'Reported burning'!E4651</f>
        <v>0</v>
      </c>
      <c r="F4650" s="217">
        <f>'Reported burning'!F4651</f>
        <v>0</v>
      </c>
      <c r="G4650" s="217">
        <f>'Reported burning'!G4651</f>
        <v>0</v>
      </c>
      <c r="H4650" s="217">
        <f>'Reported burning'!H4651</f>
        <v>0</v>
      </c>
    </row>
    <row r="4651" spans="1:8">
      <c r="A4651" s="217">
        <f>'Reported burning'!A4652</f>
        <v>0</v>
      </c>
      <c r="B4651" s="217">
        <f>'Reported burning'!B4652</f>
        <v>0</v>
      </c>
      <c r="C4651" s="217">
        <f>'Reported burning'!C4652</f>
        <v>0</v>
      </c>
      <c r="D4651" s="217">
        <f>'Reported burning'!D4652</f>
        <v>0</v>
      </c>
      <c r="E4651" s="217">
        <f>'Reported burning'!E4652</f>
        <v>0</v>
      </c>
      <c r="F4651" s="217">
        <f>'Reported burning'!F4652</f>
        <v>0</v>
      </c>
      <c r="G4651" s="217">
        <f>'Reported burning'!G4652</f>
        <v>0</v>
      </c>
      <c r="H4651" s="217">
        <f>'Reported burning'!H4652</f>
        <v>0</v>
      </c>
    </row>
    <row r="4652" spans="1:8">
      <c r="A4652" s="217">
        <f>'Reported burning'!A4653</f>
        <v>0</v>
      </c>
      <c r="B4652" s="217">
        <f>'Reported burning'!B4653</f>
        <v>0</v>
      </c>
      <c r="C4652" s="217">
        <f>'Reported burning'!C4653</f>
        <v>0</v>
      </c>
      <c r="D4652" s="217">
        <f>'Reported burning'!D4653</f>
        <v>0</v>
      </c>
      <c r="E4652" s="217">
        <f>'Reported burning'!E4653</f>
        <v>0</v>
      </c>
      <c r="F4652" s="217">
        <f>'Reported burning'!F4653</f>
        <v>0</v>
      </c>
      <c r="G4652" s="217">
        <f>'Reported burning'!G4653</f>
        <v>0</v>
      </c>
      <c r="H4652" s="217">
        <f>'Reported burning'!H4653</f>
        <v>0</v>
      </c>
    </row>
    <row r="4653" spans="1:8">
      <c r="A4653" s="217">
        <f>'Reported burning'!A4654</f>
        <v>0</v>
      </c>
      <c r="B4653" s="217">
        <f>'Reported burning'!B4654</f>
        <v>0</v>
      </c>
      <c r="C4653" s="217">
        <f>'Reported burning'!C4654</f>
        <v>0</v>
      </c>
      <c r="D4653" s="217">
        <f>'Reported burning'!D4654</f>
        <v>0</v>
      </c>
      <c r="E4653" s="217">
        <f>'Reported burning'!E4654</f>
        <v>0</v>
      </c>
      <c r="F4653" s="217">
        <f>'Reported burning'!F4654</f>
        <v>0</v>
      </c>
      <c r="G4653" s="217">
        <f>'Reported burning'!G4654</f>
        <v>0</v>
      </c>
      <c r="H4653" s="217">
        <f>'Reported burning'!H4654</f>
        <v>0</v>
      </c>
    </row>
    <row r="4654" spans="1:8">
      <c r="A4654" s="217">
        <f>'Reported burning'!A4655</f>
        <v>0</v>
      </c>
      <c r="B4654" s="217">
        <f>'Reported burning'!B4655</f>
        <v>0</v>
      </c>
      <c r="C4654" s="217">
        <f>'Reported burning'!C4655</f>
        <v>0</v>
      </c>
      <c r="D4654" s="217">
        <f>'Reported burning'!D4655</f>
        <v>0</v>
      </c>
      <c r="E4654" s="217">
        <f>'Reported burning'!E4655</f>
        <v>0</v>
      </c>
      <c r="F4654" s="217">
        <f>'Reported burning'!F4655</f>
        <v>0</v>
      </c>
      <c r="G4654" s="217">
        <f>'Reported burning'!G4655</f>
        <v>0</v>
      </c>
      <c r="H4654" s="217">
        <f>'Reported burning'!H4655</f>
        <v>0</v>
      </c>
    </row>
    <row r="4655" spans="1:8">
      <c r="A4655" s="217">
        <f>'Reported burning'!A4656</f>
        <v>0</v>
      </c>
      <c r="B4655" s="217">
        <f>'Reported burning'!B4656</f>
        <v>0</v>
      </c>
      <c r="C4655" s="217">
        <f>'Reported burning'!C4656</f>
        <v>0</v>
      </c>
      <c r="D4655" s="217">
        <f>'Reported burning'!D4656</f>
        <v>0</v>
      </c>
      <c r="E4655" s="217">
        <f>'Reported burning'!E4656</f>
        <v>0</v>
      </c>
      <c r="F4655" s="217">
        <f>'Reported burning'!F4656</f>
        <v>0</v>
      </c>
      <c r="G4655" s="217">
        <f>'Reported burning'!G4656</f>
        <v>0</v>
      </c>
      <c r="H4655" s="217">
        <f>'Reported burning'!H4656</f>
        <v>0</v>
      </c>
    </row>
    <row r="4656" spans="1:8">
      <c r="A4656" s="217">
        <f>'Reported burning'!A4657</f>
        <v>0</v>
      </c>
      <c r="B4656" s="217">
        <f>'Reported burning'!B4657</f>
        <v>0</v>
      </c>
      <c r="C4656" s="217">
        <f>'Reported burning'!C4657</f>
        <v>0</v>
      </c>
      <c r="D4656" s="217">
        <f>'Reported burning'!D4657</f>
        <v>0</v>
      </c>
      <c r="E4656" s="217">
        <f>'Reported burning'!E4657</f>
        <v>0</v>
      </c>
      <c r="F4656" s="217">
        <f>'Reported burning'!F4657</f>
        <v>0</v>
      </c>
      <c r="G4656" s="217">
        <f>'Reported burning'!G4657</f>
        <v>0</v>
      </c>
      <c r="H4656" s="217">
        <f>'Reported burning'!H4657</f>
        <v>0</v>
      </c>
    </row>
    <row r="4657" spans="1:8">
      <c r="A4657" s="217">
        <f>'Reported burning'!A4658</f>
        <v>0</v>
      </c>
      <c r="B4657" s="217">
        <f>'Reported burning'!B4658</f>
        <v>0</v>
      </c>
      <c r="C4657" s="217">
        <f>'Reported burning'!C4658</f>
        <v>0</v>
      </c>
      <c r="D4657" s="217">
        <f>'Reported burning'!D4658</f>
        <v>0</v>
      </c>
      <c r="E4657" s="217">
        <f>'Reported burning'!E4658</f>
        <v>0</v>
      </c>
      <c r="F4657" s="217">
        <f>'Reported burning'!F4658</f>
        <v>0</v>
      </c>
      <c r="G4657" s="217">
        <f>'Reported burning'!G4658</f>
        <v>0</v>
      </c>
      <c r="H4657" s="217">
        <f>'Reported burning'!H4658</f>
        <v>0</v>
      </c>
    </row>
    <row r="4658" spans="1:8">
      <c r="A4658" s="217">
        <f>'Reported burning'!A4659</f>
        <v>0</v>
      </c>
      <c r="B4658" s="217">
        <f>'Reported burning'!B4659</f>
        <v>0</v>
      </c>
      <c r="C4658" s="217">
        <f>'Reported burning'!C4659</f>
        <v>0</v>
      </c>
      <c r="D4658" s="217">
        <f>'Reported burning'!D4659</f>
        <v>0</v>
      </c>
      <c r="E4658" s="217">
        <f>'Reported burning'!E4659</f>
        <v>0</v>
      </c>
      <c r="F4658" s="217">
        <f>'Reported burning'!F4659</f>
        <v>0</v>
      </c>
      <c r="G4658" s="217">
        <f>'Reported burning'!G4659</f>
        <v>0</v>
      </c>
      <c r="H4658" s="217">
        <f>'Reported burning'!H4659</f>
        <v>0</v>
      </c>
    </row>
    <row r="4659" spans="1:8">
      <c r="A4659" s="217">
        <f>'Reported burning'!A4660</f>
        <v>0</v>
      </c>
      <c r="B4659" s="217">
        <f>'Reported burning'!B4660</f>
        <v>0</v>
      </c>
      <c r="C4659" s="217">
        <f>'Reported burning'!C4660</f>
        <v>0</v>
      </c>
      <c r="D4659" s="217">
        <f>'Reported burning'!D4660</f>
        <v>0</v>
      </c>
      <c r="E4659" s="217">
        <f>'Reported burning'!E4660</f>
        <v>0</v>
      </c>
      <c r="F4659" s="217">
        <f>'Reported burning'!F4660</f>
        <v>0</v>
      </c>
      <c r="G4659" s="217">
        <f>'Reported burning'!G4660</f>
        <v>0</v>
      </c>
      <c r="H4659" s="217">
        <f>'Reported burning'!H4660</f>
        <v>0</v>
      </c>
    </row>
    <row r="4660" spans="1:8">
      <c r="A4660" s="217">
        <f>'Reported burning'!A4661</f>
        <v>0</v>
      </c>
      <c r="B4660" s="217">
        <f>'Reported burning'!B4661</f>
        <v>0</v>
      </c>
      <c r="C4660" s="217">
        <f>'Reported burning'!C4661</f>
        <v>0</v>
      </c>
      <c r="D4660" s="217">
        <f>'Reported burning'!D4661</f>
        <v>0</v>
      </c>
      <c r="E4660" s="217">
        <f>'Reported burning'!E4661</f>
        <v>0</v>
      </c>
      <c r="F4660" s="217">
        <f>'Reported burning'!F4661</f>
        <v>0</v>
      </c>
      <c r="G4660" s="217">
        <f>'Reported burning'!G4661</f>
        <v>0</v>
      </c>
      <c r="H4660" s="217">
        <f>'Reported burning'!H4661</f>
        <v>0</v>
      </c>
    </row>
    <row r="4661" spans="1:8">
      <c r="A4661" s="217">
        <f>'Reported burning'!A4662</f>
        <v>0</v>
      </c>
      <c r="B4661" s="217">
        <f>'Reported burning'!B4662</f>
        <v>0</v>
      </c>
      <c r="C4661" s="217">
        <f>'Reported burning'!C4662</f>
        <v>0</v>
      </c>
      <c r="D4661" s="217">
        <f>'Reported burning'!D4662</f>
        <v>0</v>
      </c>
      <c r="E4661" s="217">
        <f>'Reported burning'!E4662</f>
        <v>0</v>
      </c>
      <c r="F4661" s="217">
        <f>'Reported burning'!F4662</f>
        <v>0</v>
      </c>
      <c r="G4661" s="217">
        <f>'Reported burning'!G4662</f>
        <v>0</v>
      </c>
      <c r="H4661" s="217">
        <f>'Reported burning'!H4662</f>
        <v>0</v>
      </c>
    </row>
    <row r="4662" spans="1:8">
      <c r="A4662" s="217">
        <f>'Reported burning'!A4663</f>
        <v>0</v>
      </c>
      <c r="B4662" s="217">
        <f>'Reported burning'!B4663</f>
        <v>0</v>
      </c>
      <c r="C4662" s="217">
        <f>'Reported burning'!C4663</f>
        <v>0</v>
      </c>
      <c r="D4662" s="217">
        <f>'Reported burning'!D4663</f>
        <v>0</v>
      </c>
      <c r="E4662" s="217">
        <f>'Reported burning'!E4663</f>
        <v>0</v>
      </c>
      <c r="F4662" s="217">
        <f>'Reported burning'!F4663</f>
        <v>0</v>
      </c>
      <c r="G4662" s="217">
        <f>'Reported burning'!G4663</f>
        <v>0</v>
      </c>
      <c r="H4662" s="217">
        <f>'Reported burning'!H4663</f>
        <v>0</v>
      </c>
    </row>
    <row r="4663" spans="1:8">
      <c r="A4663" s="217">
        <f>'Reported burning'!A4664</f>
        <v>0</v>
      </c>
      <c r="B4663" s="217">
        <f>'Reported burning'!B4664</f>
        <v>0</v>
      </c>
      <c r="C4663" s="217">
        <f>'Reported burning'!C4664</f>
        <v>0</v>
      </c>
      <c r="D4663" s="217">
        <f>'Reported burning'!D4664</f>
        <v>0</v>
      </c>
      <c r="E4663" s="217">
        <f>'Reported burning'!E4664</f>
        <v>0</v>
      </c>
      <c r="F4663" s="217">
        <f>'Reported burning'!F4664</f>
        <v>0</v>
      </c>
      <c r="G4663" s="217">
        <f>'Reported burning'!G4664</f>
        <v>0</v>
      </c>
      <c r="H4663" s="217">
        <f>'Reported burning'!H4664</f>
        <v>0</v>
      </c>
    </row>
    <row r="4664" spans="1:8">
      <c r="A4664" s="217">
        <f>'Reported burning'!A4665</f>
        <v>0</v>
      </c>
      <c r="B4664" s="217">
        <f>'Reported burning'!B4665</f>
        <v>0</v>
      </c>
      <c r="C4664" s="217">
        <f>'Reported burning'!C4665</f>
        <v>0</v>
      </c>
      <c r="D4664" s="217">
        <f>'Reported burning'!D4665</f>
        <v>0</v>
      </c>
      <c r="E4664" s="217">
        <f>'Reported burning'!E4665</f>
        <v>0</v>
      </c>
      <c r="F4664" s="217">
        <f>'Reported burning'!F4665</f>
        <v>0</v>
      </c>
      <c r="G4664" s="217">
        <f>'Reported burning'!G4665</f>
        <v>0</v>
      </c>
      <c r="H4664" s="217">
        <f>'Reported burning'!H4665</f>
        <v>0</v>
      </c>
    </row>
    <row r="4665" spans="1:8">
      <c r="A4665" s="217">
        <f>'Reported burning'!A4666</f>
        <v>0</v>
      </c>
      <c r="B4665" s="217">
        <f>'Reported burning'!B4666</f>
        <v>0</v>
      </c>
      <c r="C4665" s="217">
        <f>'Reported burning'!C4666</f>
        <v>0</v>
      </c>
      <c r="D4665" s="217">
        <f>'Reported burning'!D4666</f>
        <v>0</v>
      </c>
      <c r="E4665" s="217">
        <f>'Reported burning'!E4666</f>
        <v>0</v>
      </c>
      <c r="F4665" s="217">
        <f>'Reported burning'!F4666</f>
        <v>0</v>
      </c>
      <c r="G4665" s="217">
        <f>'Reported burning'!G4666</f>
        <v>0</v>
      </c>
      <c r="H4665" s="217">
        <f>'Reported burning'!H4666</f>
        <v>0</v>
      </c>
    </row>
    <row r="4666" spans="1:8">
      <c r="A4666" s="217">
        <f>'Reported burning'!A4667</f>
        <v>0</v>
      </c>
      <c r="B4666" s="217">
        <f>'Reported burning'!B4667</f>
        <v>0</v>
      </c>
      <c r="C4666" s="217">
        <f>'Reported burning'!C4667</f>
        <v>0</v>
      </c>
      <c r="D4666" s="217">
        <f>'Reported burning'!D4667</f>
        <v>0</v>
      </c>
      <c r="E4666" s="217">
        <f>'Reported burning'!E4667</f>
        <v>0</v>
      </c>
      <c r="F4666" s="217">
        <f>'Reported burning'!F4667</f>
        <v>0</v>
      </c>
      <c r="G4666" s="217">
        <f>'Reported burning'!G4667</f>
        <v>0</v>
      </c>
      <c r="H4666" s="217">
        <f>'Reported burning'!H4667</f>
        <v>0</v>
      </c>
    </row>
    <row r="4667" spans="1:8">
      <c r="A4667" s="217">
        <f>'Reported burning'!A4668</f>
        <v>0</v>
      </c>
      <c r="B4667" s="217">
        <f>'Reported burning'!B4668</f>
        <v>0</v>
      </c>
      <c r="C4667" s="217">
        <f>'Reported burning'!C4668</f>
        <v>0</v>
      </c>
      <c r="D4667" s="217">
        <f>'Reported burning'!D4668</f>
        <v>0</v>
      </c>
      <c r="E4667" s="217">
        <f>'Reported burning'!E4668</f>
        <v>0</v>
      </c>
      <c r="F4667" s="217">
        <f>'Reported burning'!F4668</f>
        <v>0</v>
      </c>
      <c r="G4667" s="217">
        <f>'Reported burning'!G4668</f>
        <v>0</v>
      </c>
      <c r="H4667" s="217">
        <f>'Reported burning'!H4668</f>
        <v>0</v>
      </c>
    </row>
    <row r="4668" spans="1:8">
      <c r="A4668" s="217">
        <f>'Reported burning'!A4669</f>
        <v>0</v>
      </c>
      <c r="B4668" s="217">
        <f>'Reported burning'!B4669</f>
        <v>0</v>
      </c>
      <c r="C4668" s="217">
        <f>'Reported burning'!C4669</f>
        <v>0</v>
      </c>
      <c r="D4668" s="217">
        <f>'Reported burning'!D4669</f>
        <v>0</v>
      </c>
      <c r="E4668" s="217">
        <f>'Reported burning'!E4669</f>
        <v>0</v>
      </c>
      <c r="F4668" s="217">
        <f>'Reported burning'!F4669</f>
        <v>0</v>
      </c>
      <c r="G4668" s="217">
        <f>'Reported burning'!G4669</f>
        <v>0</v>
      </c>
      <c r="H4668" s="217">
        <f>'Reported burning'!H4669</f>
        <v>0</v>
      </c>
    </row>
    <row r="4669" spans="1:8">
      <c r="A4669" s="217">
        <f>'Reported burning'!A4670</f>
        <v>0</v>
      </c>
      <c r="B4669" s="217">
        <f>'Reported burning'!B4670</f>
        <v>0</v>
      </c>
      <c r="C4669" s="217">
        <f>'Reported burning'!C4670</f>
        <v>0</v>
      </c>
      <c r="D4669" s="217">
        <f>'Reported burning'!D4670</f>
        <v>0</v>
      </c>
      <c r="E4669" s="217">
        <f>'Reported burning'!E4670</f>
        <v>0</v>
      </c>
      <c r="F4669" s="217">
        <f>'Reported burning'!F4670</f>
        <v>0</v>
      </c>
      <c r="G4669" s="217">
        <f>'Reported burning'!G4670</f>
        <v>0</v>
      </c>
      <c r="H4669" s="217">
        <f>'Reported burning'!H4670</f>
        <v>0</v>
      </c>
    </row>
    <row r="4670" spans="1:8">
      <c r="A4670" s="217">
        <f>'Reported burning'!A4671</f>
        <v>0</v>
      </c>
      <c r="B4670" s="217">
        <f>'Reported burning'!B4671</f>
        <v>0</v>
      </c>
      <c r="C4670" s="217">
        <f>'Reported burning'!C4671</f>
        <v>0</v>
      </c>
      <c r="D4670" s="217">
        <f>'Reported burning'!D4671</f>
        <v>0</v>
      </c>
      <c r="E4670" s="217">
        <f>'Reported burning'!E4671</f>
        <v>0</v>
      </c>
      <c r="F4670" s="217">
        <f>'Reported burning'!F4671</f>
        <v>0</v>
      </c>
      <c r="G4670" s="217">
        <f>'Reported burning'!G4671</f>
        <v>0</v>
      </c>
      <c r="H4670" s="217">
        <f>'Reported burning'!H4671</f>
        <v>0</v>
      </c>
    </row>
    <row r="4671" spans="1:8">
      <c r="A4671" s="217">
        <f>'Reported burning'!A4672</f>
        <v>0</v>
      </c>
      <c r="B4671" s="217">
        <f>'Reported burning'!B4672</f>
        <v>0</v>
      </c>
      <c r="C4671" s="217">
        <f>'Reported burning'!C4672</f>
        <v>0</v>
      </c>
      <c r="D4671" s="217">
        <f>'Reported burning'!D4672</f>
        <v>0</v>
      </c>
      <c r="E4671" s="217">
        <f>'Reported burning'!E4672</f>
        <v>0</v>
      </c>
      <c r="F4671" s="217">
        <f>'Reported burning'!F4672</f>
        <v>0</v>
      </c>
      <c r="G4671" s="217">
        <f>'Reported burning'!G4672</f>
        <v>0</v>
      </c>
      <c r="H4671" s="217">
        <f>'Reported burning'!H4672</f>
        <v>0</v>
      </c>
    </row>
    <row r="4672" spans="1:8">
      <c r="A4672" s="217">
        <f>'Reported burning'!A4673</f>
        <v>0</v>
      </c>
      <c r="B4672" s="217">
        <f>'Reported burning'!B4673</f>
        <v>0</v>
      </c>
      <c r="C4672" s="217">
        <f>'Reported burning'!C4673</f>
        <v>0</v>
      </c>
      <c r="D4672" s="217">
        <f>'Reported burning'!D4673</f>
        <v>0</v>
      </c>
      <c r="E4672" s="217">
        <f>'Reported burning'!E4673</f>
        <v>0</v>
      </c>
      <c r="F4672" s="217">
        <f>'Reported burning'!F4673</f>
        <v>0</v>
      </c>
      <c r="G4672" s="217">
        <f>'Reported burning'!G4673</f>
        <v>0</v>
      </c>
      <c r="H4672" s="217">
        <f>'Reported burning'!H4673</f>
        <v>0</v>
      </c>
    </row>
    <row r="4673" spans="1:8">
      <c r="A4673" s="217">
        <f>'Reported burning'!A4674</f>
        <v>0</v>
      </c>
      <c r="B4673" s="217">
        <f>'Reported burning'!B4674</f>
        <v>0</v>
      </c>
      <c r="C4673" s="217">
        <f>'Reported burning'!C4674</f>
        <v>0</v>
      </c>
      <c r="D4673" s="217">
        <f>'Reported burning'!D4674</f>
        <v>0</v>
      </c>
      <c r="E4673" s="217">
        <f>'Reported burning'!E4674</f>
        <v>0</v>
      </c>
      <c r="F4673" s="217">
        <f>'Reported burning'!F4674</f>
        <v>0</v>
      </c>
      <c r="G4673" s="217">
        <f>'Reported burning'!G4674</f>
        <v>0</v>
      </c>
      <c r="H4673" s="217">
        <f>'Reported burning'!H4674</f>
        <v>0</v>
      </c>
    </row>
    <row r="4674" spans="1:8">
      <c r="A4674" s="217">
        <f>'Reported burning'!A4675</f>
        <v>0</v>
      </c>
      <c r="B4674" s="217">
        <f>'Reported burning'!B4675</f>
        <v>0</v>
      </c>
      <c r="C4674" s="217">
        <f>'Reported burning'!C4675</f>
        <v>0</v>
      </c>
      <c r="D4674" s="217">
        <f>'Reported burning'!D4675</f>
        <v>0</v>
      </c>
      <c r="E4674" s="217">
        <f>'Reported burning'!E4675</f>
        <v>0</v>
      </c>
      <c r="F4674" s="217">
        <f>'Reported burning'!F4675</f>
        <v>0</v>
      </c>
      <c r="G4674" s="217">
        <f>'Reported burning'!G4675</f>
        <v>0</v>
      </c>
      <c r="H4674" s="217">
        <f>'Reported burning'!H4675</f>
        <v>0</v>
      </c>
    </row>
    <row r="4675" spans="1:8">
      <c r="A4675" s="217">
        <f>'Reported burning'!A4676</f>
        <v>0</v>
      </c>
      <c r="B4675" s="217">
        <f>'Reported burning'!B4676</f>
        <v>0</v>
      </c>
      <c r="C4675" s="217">
        <f>'Reported burning'!C4676</f>
        <v>0</v>
      </c>
      <c r="D4675" s="217">
        <f>'Reported burning'!D4676</f>
        <v>0</v>
      </c>
      <c r="E4675" s="217">
        <f>'Reported burning'!E4676</f>
        <v>0</v>
      </c>
      <c r="F4675" s="217">
        <f>'Reported burning'!F4676</f>
        <v>0</v>
      </c>
      <c r="G4675" s="217">
        <f>'Reported burning'!G4676</f>
        <v>0</v>
      </c>
      <c r="H4675" s="217">
        <f>'Reported burning'!H4676</f>
        <v>0</v>
      </c>
    </row>
    <row r="4676" spans="1:8">
      <c r="A4676" s="217">
        <f>'Reported burning'!A4677</f>
        <v>0</v>
      </c>
      <c r="B4676" s="217">
        <f>'Reported burning'!B4677</f>
        <v>0</v>
      </c>
      <c r="C4676" s="217">
        <f>'Reported burning'!C4677</f>
        <v>0</v>
      </c>
      <c r="D4676" s="217">
        <f>'Reported burning'!D4677</f>
        <v>0</v>
      </c>
      <c r="E4676" s="217">
        <f>'Reported burning'!E4677</f>
        <v>0</v>
      </c>
      <c r="F4676" s="217">
        <f>'Reported burning'!F4677</f>
        <v>0</v>
      </c>
      <c r="G4676" s="217">
        <f>'Reported burning'!G4677</f>
        <v>0</v>
      </c>
      <c r="H4676" s="217">
        <f>'Reported burning'!H4677</f>
        <v>0</v>
      </c>
    </row>
    <row r="4677" spans="1:8">
      <c r="A4677" s="217">
        <f>'Reported burning'!A4678</f>
        <v>0</v>
      </c>
      <c r="B4677" s="217">
        <f>'Reported burning'!B4678</f>
        <v>0</v>
      </c>
      <c r="C4677" s="217">
        <f>'Reported burning'!C4678</f>
        <v>0</v>
      </c>
      <c r="D4677" s="217">
        <f>'Reported burning'!D4678</f>
        <v>0</v>
      </c>
      <c r="E4677" s="217">
        <f>'Reported burning'!E4678</f>
        <v>0</v>
      </c>
      <c r="F4677" s="217">
        <f>'Reported burning'!F4678</f>
        <v>0</v>
      </c>
      <c r="G4677" s="217">
        <f>'Reported burning'!G4678</f>
        <v>0</v>
      </c>
      <c r="H4677" s="217">
        <f>'Reported burning'!H4678</f>
        <v>0</v>
      </c>
    </row>
    <row r="4678" spans="1:8">
      <c r="A4678" s="217">
        <f>'Reported burning'!A4679</f>
        <v>0</v>
      </c>
      <c r="B4678" s="217">
        <f>'Reported burning'!B4679</f>
        <v>0</v>
      </c>
      <c r="C4678" s="217">
        <f>'Reported burning'!C4679</f>
        <v>0</v>
      </c>
      <c r="D4678" s="217">
        <f>'Reported burning'!D4679</f>
        <v>0</v>
      </c>
      <c r="E4678" s="217">
        <f>'Reported burning'!E4679</f>
        <v>0</v>
      </c>
      <c r="F4678" s="217">
        <f>'Reported burning'!F4679</f>
        <v>0</v>
      </c>
      <c r="G4678" s="217">
        <f>'Reported burning'!G4679</f>
        <v>0</v>
      </c>
      <c r="H4678" s="217">
        <f>'Reported burning'!H4679</f>
        <v>0</v>
      </c>
    </row>
    <row r="4679" spans="1:8">
      <c r="A4679" s="217">
        <f>'Reported burning'!A4680</f>
        <v>0</v>
      </c>
      <c r="B4679" s="217">
        <f>'Reported burning'!B4680</f>
        <v>0</v>
      </c>
      <c r="C4679" s="217">
        <f>'Reported burning'!C4680</f>
        <v>0</v>
      </c>
      <c r="D4679" s="217">
        <f>'Reported burning'!D4680</f>
        <v>0</v>
      </c>
      <c r="E4679" s="217">
        <f>'Reported burning'!E4680</f>
        <v>0</v>
      </c>
      <c r="F4679" s="217">
        <f>'Reported burning'!F4680</f>
        <v>0</v>
      </c>
      <c r="G4679" s="217">
        <f>'Reported burning'!G4680</f>
        <v>0</v>
      </c>
      <c r="H4679" s="217">
        <f>'Reported burning'!H4680</f>
        <v>0</v>
      </c>
    </row>
    <row r="4680" spans="1:8">
      <c r="A4680" s="217">
        <f>'Reported burning'!A4681</f>
        <v>0</v>
      </c>
      <c r="B4680" s="217">
        <f>'Reported burning'!B4681</f>
        <v>0</v>
      </c>
      <c r="C4680" s="217">
        <f>'Reported burning'!C4681</f>
        <v>0</v>
      </c>
      <c r="D4680" s="217">
        <f>'Reported burning'!D4681</f>
        <v>0</v>
      </c>
      <c r="E4680" s="217">
        <f>'Reported burning'!E4681</f>
        <v>0</v>
      </c>
      <c r="F4680" s="217">
        <f>'Reported burning'!F4681</f>
        <v>0</v>
      </c>
      <c r="G4680" s="217">
        <f>'Reported burning'!G4681</f>
        <v>0</v>
      </c>
      <c r="H4680" s="217">
        <f>'Reported burning'!H4681</f>
        <v>0</v>
      </c>
    </row>
    <row r="4681" spans="1:8">
      <c r="A4681" s="217">
        <f>'Reported burning'!A4682</f>
        <v>0</v>
      </c>
      <c r="B4681" s="217">
        <f>'Reported burning'!B4682</f>
        <v>0</v>
      </c>
      <c r="C4681" s="217">
        <f>'Reported burning'!C4682</f>
        <v>0</v>
      </c>
      <c r="D4681" s="217">
        <f>'Reported burning'!D4682</f>
        <v>0</v>
      </c>
      <c r="E4681" s="217">
        <f>'Reported burning'!E4682</f>
        <v>0</v>
      </c>
      <c r="F4681" s="217">
        <f>'Reported burning'!F4682</f>
        <v>0</v>
      </c>
      <c r="G4681" s="217">
        <f>'Reported burning'!G4682</f>
        <v>0</v>
      </c>
      <c r="H4681" s="217">
        <f>'Reported burning'!H4682</f>
        <v>0</v>
      </c>
    </row>
    <row r="4682" spans="1:8">
      <c r="A4682" s="217">
        <f>'Reported burning'!A4683</f>
        <v>0</v>
      </c>
      <c r="B4682" s="217">
        <f>'Reported burning'!B4683</f>
        <v>0</v>
      </c>
      <c r="C4682" s="217">
        <f>'Reported burning'!C4683</f>
        <v>0</v>
      </c>
      <c r="D4682" s="217">
        <f>'Reported burning'!D4683</f>
        <v>0</v>
      </c>
      <c r="E4682" s="217">
        <f>'Reported burning'!E4683</f>
        <v>0</v>
      </c>
      <c r="F4682" s="217">
        <f>'Reported burning'!F4683</f>
        <v>0</v>
      </c>
      <c r="G4682" s="217">
        <f>'Reported burning'!G4683</f>
        <v>0</v>
      </c>
      <c r="H4682" s="217">
        <f>'Reported burning'!H4683</f>
        <v>0</v>
      </c>
    </row>
    <row r="4683" spans="1:8">
      <c r="A4683" s="217">
        <f>'Reported burning'!A4684</f>
        <v>0</v>
      </c>
      <c r="B4683" s="217">
        <f>'Reported burning'!B4684</f>
        <v>0</v>
      </c>
      <c r="C4683" s="217">
        <f>'Reported burning'!C4684</f>
        <v>0</v>
      </c>
      <c r="D4683" s="217">
        <f>'Reported burning'!D4684</f>
        <v>0</v>
      </c>
      <c r="E4683" s="217">
        <f>'Reported burning'!E4684</f>
        <v>0</v>
      </c>
      <c r="F4683" s="217">
        <f>'Reported burning'!F4684</f>
        <v>0</v>
      </c>
      <c r="G4683" s="217">
        <f>'Reported burning'!G4684</f>
        <v>0</v>
      </c>
      <c r="H4683" s="217">
        <f>'Reported burning'!H4684</f>
        <v>0</v>
      </c>
    </row>
    <row r="4684" spans="1:8">
      <c r="A4684" s="217">
        <f>'Reported burning'!A4685</f>
        <v>0</v>
      </c>
      <c r="B4684" s="217">
        <f>'Reported burning'!B4685</f>
        <v>0</v>
      </c>
      <c r="C4684" s="217">
        <f>'Reported burning'!C4685</f>
        <v>0</v>
      </c>
      <c r="D4684" s="217">
        <f>'Reported burning'!D4685</f>
        <v>0</v>
      </c>
      <c r="E4684" s="217">
        <f>'Reported burning'!E4685</f>
        <v>0</v>
      </c>
      <c r="F4684" s="217">
        <f>'Reported burning'!F4685</f>
        <v>0</v>
      </c>
      <c r="G4684" s="217">
        <f>'Reported burning'!G4685</f>
        <v>0</v>
      </c>
      <c r="H4684" s="217">
        <f>'Reported burning'!H4685</f>
        <v>0</v>
      </c>
    </row>
    <row r="4685" spans="1:8">
      <c r="A4685" s="217">
        <f>'Reported burning'!A4686</f>
        <v>0</v>
      </c>
      <c r="B4685" s="217">
        <f>'Reported burning'!B4686</f>
        <v>0</v>
      </c>
      <c r="C4685" s="217">
        <f>'Reported burning'!C4686</f>
        <v>0</v>
      </c>
      <c r="D4685" s="217">
        <f>'Reported burning'!D4686</f>
        <v>0</v>
      </c>
      <c r="E4685" s="217">
        <f>'Reported burning'!E4686</f>
        <v>0</v>
      </c>
      <c r="F4685" s="217">
        <f>'Reported burning'!F4686</f>
        <v>0</v>
      </c>
      <c r="G4685" s="217">
        <f>'Reported burning'!G4686</f>
        <v>0</v>
      </c>
      <c r="H4685" s="217">
        <f>'Reported burning'!H4686</f>
        <v>0</v>
      </c>
    </row>
    <row r="4686" spans="1:8">
      <c r="A4686" s="217">
        <f>'Reported burning'!A4687</f>
        <v>0</v>
      </c>
      <c r="B4686" s="217">
        <f>'Reported burning'!B4687</f>
        <v>0</v>
      </c>
      <c r="C4686" s="217">
        <f>'Reported burning'!C4687</f>
        <v>0</v>
      </c>
      <c r="D4686" s="217">
        <f>'Reported burning'!D4687</f>
        <v>0</v>
      </c>
      <c r="E4686" s="217">
        <f>'Reported burning'!E4687</f>
        <v>0</v>
      </c>
      <c r="F4686" s="217">
        <f>'Reported burning'!F4687</f>
        <v>0</v>
      </c>
      <c r="G4686" s="217">
        <f>'Reported burning'!G4687</f>
        <v>0</v>
      </c>
      <c r="H4686" s="217">
        <f>'Reported burning'!H4687</f>
        <v>0</v>
      </c>
    </row>
    <row r="4687" spans="1:8">
      <c r="A4687" s="217">
        <f>'Reported burning'!A4688</f>
        <v>0</v>
      </c>
      <c r="B4687" s="217">
        <f>'Reported burning'!B4688</f>
        <v>0</v>
      </c>
      <c r="C4687" s="217">
        <f>'Reported burning'!C4688</f>
        <v>0</v>
      </c>
      <c r="D4687" s="217">
        <f>'Reported burning'!D4688</f>
        <v>0</v>
      </c>
      <c r="E4687" s="217">
        <f>'Reported burning'!E4688</f>
        <v>0</v>
      </c>
      <c r="F4687" s="217">
        <f>'Reported burning'!F4688</f>
        <v>0</v>
      </c>
      <c r="G4687" s="217">
        <f>'Reported burning'!G4688</f>
        <v>0</v>
      </c>
      <c r="H4687" s="217">
        <f>'Reported burning'!H4688</f>
        <v>0</v>
      </c>
    </row>
    <row r="4688" spans="1:8">
      <c r="A4688" s="217">
        <f>'Reported burning'!A4689</f>
        <v>0</v>
      </c>
      <c r="B4688" s="217">
        <f>'Reported burning'!B4689</f>
        <v>0</v>
      </c>
      <c r="C4688" s="217">
        <f>'Reported burning'!C4689</f>
        <v>0</v>
      </c>
      <c r="D4688" s="217">
        <f>'Reported burning'!D4689</f>
        <v>0</v>
      </c>
      <c r="E4688" s="217">
        <f>'Reported burning'!E4689</f>
        <v>0</v>
      </c>
      <c r="F4688" s="217">
        <f>'Reported burning'!F4689</f>
        <v>0</v>
      </c>
      <c r="G4688" s="217">
        <f>'Reported burning'!G4689</f>
        <v>0</v>
      </c>
      <c r="H4688" s="217">
        <f>'Reported burning'!H4689</f>
        <v>0</v>
      </c>
    </row>
    <row r="4689" spans="1:8">
      <c r="A4689" s="217">
        <f>'Reported burning'!A4690</f>
        <v>0</v>
      </c>
      <c r="B4689" s="217">
        <f>'Reported burning'!B4690</f>
        <v>0</v>
      </c>
      <c r="C4689" s="217">
        <f>'Reported burning'!C4690</f>
        <v>0</v>
      </c>
      <c r="D4689" s="217">
        <f>'Reported burning'!D4690</f>
        <v>0</v>
      </c>
      <c r="E4689" s="217">
        <f>'Reported burning'!E4690</f>
        <v>0</v>
      </c>
      <c r="F4689" s="217">
        <f>'Reported burning'!F4690</f>
        <v>0</v>
      </c>
      <c r="G4689" s="217">
        <f>'Reported burning'!G4690</f>
        <v>0</v>
      </c>
      <c r="H4689" s="217">
        <f>'Reported burning'!H4690</f>
        <v>0</v>
      </c>
    </row>
    <row r="4690" spans="1:8">
      <c r="A4690" s="217">
        <f>'Reported burning'!A4691</f>
        <v>0</v>
      </c>
      <c r="B4690" s="217">
        <f>'Reported burning'!B4691</f>
        <v>0</v>
      </c>
      <c r="C4690" s="217">
        <f>'Reported burning'!C4691</f>
        <v>0</v>
      </c>
      <c r="D4690" s="217">
        <f>'Reported burning'!D4691</f>
        <v>0</v>
      </c>
      <c r="E4690" s="217">
        <f>'Reported burning'!E4691</f>
        <v>0</v>
      </c>
      <c r="F4690" s="217">
        <f>'Reported burning'!F4691</f>
        <v>0</v>
      </c>
      <c r="G4690" s="217">
        <f>'Reported burning'!G4691</f>
        <v>0</v>
      </c>
      <c r="H4690" s="217">
        <f>'Reported burning'!H4691</f>
        <v>0</v>
      </c>
    </row>
    <row r="4691" spans="1:8">
      <c r="A4691" s="217">
        <f>'Reported burning'!A4692</f>
        <v>0</v>
      </c>
      <c r="B4691" s="217">
        <f>'Reported burning'!B4692</f>
        <v>0</v>
      </c>
      <c r="C4691" s="217">
        <f>'Reported burning'!C4692</f>
        <v>0</v>
      </c>
      <c r="D4691" s="217">
        <f>'Reported burning'!D4692</f>
        <v>0</v>
      </c>
      <c r="E4691" s="217">
        <f>'Reported burning'!E4692</f>
        <v>0</v>
      </c>
      <c r="F4691" s="217">
        <f>'Reported burning'!F4692</f>
        <v>0</v>
      </c>
      <c r="G4691" s="217">
        <f>'Reported burning'!G4692</f>
        <v>0</v>
      </c>
      <c r="H4691" s="217">
        <f>'Reported burning'!H4692</f>
        <v>0</v>
      </c>
    </row>
    <row r="4692" spans="1:8">
      <c r="A4692" s="217">
        <f>'Reported burning'!A4693</f>
        <v>0</v>
      </c>
      <c r="B4692" s="217">
        <f>'Reported burning'!B4693</f>
        <v>0</v>
      </c>
      <c r="C4692" s="217">
        <f>'Reported burning'!C4693</f>
        <v>0</v>
      </c>
      <c r="D4692" s="217">
        <f>'Reported burning'!D4693</f>
        <v>0</v>
      </c>
      <c r="E4692" s="217">
        <f>'Reported burning'!E4693</f>
        <v>0</v>
      </c>
      <c r="F4692" s="217">
        <f>'Reported burning'!F4693</f>
        <v>0</v>
      </c>
      <c r="G4692" s="217">
        <f>'Reported burning'!G4693</f>
        <v>0</v>
      </c>
      <c r="H4692" s="217">
        <f>'Reported burning'!H4693</f>
        <v>0</v>
      </c>
    </row>
    <row r="4693" spans="1:8">
      <c r="A4693" s="217">
        <f>'Reported burning'!A4694</f>
        <v>0</v>
      </c>
      <c r="B4693" s="217">
        <f>'Reported burning'!B4694</f>
        <v>0</v>
      </c>
      <c r="C4693" s="217">
        <f>'Reported burning'!C4694</f>
        <v>0</v>
      </c>
      <c r="D4693" s="217">
        <f>'Reported burning'!D4694</f>
        <v>0</v>
      </c>
      <c r="E4693" s="217">
        <f>'Reported burning'!E4694</f>
        <v>0</v>
      </c>
      <c r="F4693" s="217">
        <f>'Reported burning'!F4694</f>
        <v>0</v>
      </c>
      <c r="G4693" s="217">
        <f>'Reported burning'!G4694</f>
        <v>0</v>
      </c>
      <c r="H4693" s="217">
        <f>'Reported burning'!H4694</f>
        <v>0</v>
      </c>
    </row>
    <row r="4694" spans="1:8">
      <c r="A4694" s="217">
        <f>'Reported burning'!A4695</f>
        <v>0</v>
      </c>
      <c r="B4694" s="217">
        <f>'Reported burning'!B4695</f>
        <v>0</v>
      </c>
      <c r="C4694" s="217">
        <f>'Reported burning'!C4695</f>
        <v>0</v>
      </c>
      <c r="D4694" s="217">
        <f>'Reported burning'!D4695</f>
        <v>0</v>
      </c>
      <c r="E4694" s="217">
        <f>'Reported burning'!E4695</f>
        <v>0</v>
      </c>
      <c r="F4694" s="217">
        <f>'Reported burning'!F4695</f>
        <v>0</v>
      </c>
      <c r="G4694" s="217">
        <f>'Reported burning'!G4695</f>
        <v>0</v>
      </c>
      <c r="H4694" s="217">
        <f>'Reported burning'!H4695</f>
        <v>0</v>
      </c>
    </row>
    <row r="4695" spans="1:8">
      <c r="A4695" s="217">
        <f>'Reported burning'!A4696</f>
        <v>0</v>
      </c>
      <c r="B4695" s="217">
        <f>'Reported burning'!B4696</f>
        <v>0</v>
      </c>
      <c r="C4695" s="217">
        <f>'Reported burning'!C4696</f>
        <v>0</v>
      </c>
      <c r="D4695" s="217">
        <f>'Reported burning'!D4696</f>
        <v>0</v>
      </c>
      <c r="E4695" s="217">
        <f>'Reported burning'!E4696</f>
        <v>0</v>
      </c>
      <c r="F4695" s="217">
        <f>'Reported burning'!F4696</f>
        <v>0</v>
      </c>
      <c r="G4695" s="217">
        <f>'Reported burning'!G4696</f>
        <v>0</v>
      </c>
      <c r="H4695" s="217">
        <f>'Reported burning'!H4696</f>
        <v>0</v>
      </c>
    </row>
    <row r="4696" spans="1:8">
      <c r="A4696" s="217">
        <f>'Reported burning'!A4697</f>
        <v>0</v>
      </c>
      <c r="B4696" s="217">
        <f>'Reported burning'!B4697</f>
        <v>0</v>
      </c>
      <c r="C4696" s="217">
        <f>'Reported burning'!C4697</f>
        <v>0</v>
      </c>
      <c r="D4696" s="217">
        <f>'Reported burning'!D4697</f>
        <v>0</v>
      </c>
      <c r="E4696" s="217">
        <f>'Reported burning'!E4697</f>
        <v>0</v>
      </c>
      <c r="F4696" s="217">
        <f>'Reported burning'!F4697</f>
        <v>0</v>
      </c>
      <c r="G4696" s="217">
        <f>'Reported burning'!G4697</f>
        <v>0</v>
      </c>
      <c r="H4696" s="217">
        <f>'Reported burning'!H4697</f>
        <v>0</v>
      </c>
    </row>
    <row r="4697" spans="1:8">
      <c r="A4697" s="217">
        <f>'Reported burning'!A4698</f>
        <v>0</v>
      </c>
      <c r="B4697" s="217">
        <f>'Reported burning'!B4698</f>
        <v>0</v>
      </c>
      <c r="C4697" s="217">
        <f>'Reported burning'!C4698</f>
        <v>0</v>
      </c>
      <c r="D4697" s="217">
        <f>'Reported burning'!D4698</f>
        <v>0</v>
      </c>
      <c r="E4697" s="217">
        <f>'Reported burning'!E4698</f>
        <v>0</v>
      </c>
      <c r="F4697" s="217">
        <f>'Reported burning'!F4698</f>
        <v>0</v>
      </c>
      <c r="G4697" s="217">
        <f>'Reported burning'!G4698</f>
        <v>0</v>
      </c>
      <c r="H4697" s="217">
        <f>'Reported burning'!H4698</f>
        <v>0</v>
      </c>
    </row>
    <row r="4698" spans="1:8">
      <c r="A4698" s="217">
        <f>'Reported burning'!A4699</f>
        <v>0</v>
      </c>
      <c r="B4698" s="217">
        <f>'Reported burning'!B4699</f>
        <v>0</v>
      </c>
      <c r="C4698" s="217">
        <f>'Reported burning'!C4699</f>
        <v>0</v>
      </c>
      <c r="D4698" s="217">
        <f>'Reported burning'!D4699</f>
        <v>0</v>
      </c>
      <c r="E4698" s="217">
        <f>'Reported burning'!E4699</f>
        <v>0</v>
      </c>
      <c r="F4698" s="217">
        <f>'Reported burning'!F4699</f>
        <v>0</v>
      </c>
      <c r="G4698" s="217">
        <f>'Reported burning'!G4699</f>
        <v>0</v>
      </c>
      <c r="H4698" s="217">
        <f>'Reported burning'!H4699</f>
        <v>0</v>
      </c>
    </row>
    <row r="4699" spans="1:8">
      <c r="A4699" s="217">
        <f>'Reported burning'!A4700</f>
        <v>0</v>
      </c>
      <c r="B4699" s="217">
        <f>'Reported burning'!B4700</f>
        <v>0</v>
      </c>
      <c r="C4699" s="217">
        <f>'Reported burning'!C4700</f>
        <v>0</v>
      </c>
      <c r="D4699" s="217">
        <f>'Reported burning'!D4700</f>
        <v>0</v>
      </c>
      <c r="E4699" s="217">
        <f>'Reported burning'!E4700</f>
        <v>0</v>
      </c>
      <c r="F4699" s="217">
        <f>'Reported burning'!F4700</f>
        <v>0</v>
      </c>
      <c r="G4699" s="217">
        <f>'Reported burning'!G4700</f>
        <v>0</v>
      </c>
      <c r="H4699" s="217">
        <f>'Reported burning'!H4700</f>
        <v>0</v>
      </c>
    </row>
    <row r="4700" spans="1:8">
      <c r="A4700" s="217">
        <f>'Reported burning'!A4701</f>
        <v>0</v>
      </c>
      <c r="B4700" s="217">
        <f>'Reported burning'!B4701</f>
        <v>0</v>
      </c>
      <c r="C4700" s="217">
        <f>'Reported burning'!C4701</f>
        <v>0</v>
      </c>
      <c r="D4700" s="217">
        <f>'Reported burning'!D4701</f>
        <v>0</v>
      </c>
      <c r="E4700" s="217">
        <f>'Reported burning'!E4701</f>
        <v>0</v>
      </c>
      <c r="F4700" s="217">
        <f>'Reported burning'!F4701</f>
        <v>0</v>
      </c>
      <c r="G4700" s="217">
        <f>'Reported burning'!G4701</f>
        <v>0</v>
      </c>
      <c r="H4700" s="217">
        <f>'Reported burning'!H4701</f>
        <v>0</v>
      </c>
    </row>
    <row r="4701" spans="1:8">
      <c r="A4701" s="217">
        <f>'Reported burning'!A4702</f>
        <v>0</v>
      </c>
      <c r="B4701" s="217">
        <f>'Reported burning'!B4702</f>
        <v>0</v>
      </c>
      <c r="C4701" s="217">
        <f>'Reported burning'!C4702</f>
        <v>0</v>
      </c>
      <c r="D4701" s="217">
        <f>'Reported burning'!D4702</f>
        <v>0</v>
      </c>
      <c r="E4701" s="217">
        <f>'Reported burning'!E4702</f>
        <v>0</v>
      </c>
      <c r="F4701" s="217">
        <f>'Reported burning'!F4702</f>
        <v>0</v>
      </c>
      <c r="G4701" s="217">
        <f>'Reported burning'!G4702</f>
        <v>0</v>
      </c>
      <c r="H4701" s="217">
        <f>'Reported burning'!H4702</f>
        <v>0</v>
      </c>
    </row>
    <row r="4702" spans="1:8">
      <c r="A4702" s="217">
        <f>'Reported burning'!A4703</f>
        <v>0</v>
      </c>
      <c r="B4702" s="217">
        <f>'Reported burning'!B4703</f>
        <v>0</v>
      </c>
      <c r="C4702" s="217">
        <f>'Reported burning'!C4703</f>
        <v>0</v>
      </c>
      <c r="D4702" s="217">
        <f>'Reported burning'!D4703</f>
        <v>0</v>
      </c>
      <c r="E4702" s="217">
        <f>'Reported burning'!E4703</f>
        <v>0</v>
      </c>
      <c r="F4702" s="217">
        <f>'Reported burning'!F4703</f>
        <v>0</v>
      </c>
      <c r="G4702" s="217">
        <f>'Reported burning'!G4703</f>
        <v>0</v>
      </c>
      <c r="H4702" s="217">
        <f>'Reported burning'!H4703</f>
        <v>0</v>
      </c>
    </row>
    <row r="4703" spans="1:8">
      <c r="A4703" s="217">
        <f>'Reported burning'!A4704</f>
        <v>0</v>
      </c>
      <c r="B4703" s="217">
        <f>'Reported burning'!B4704</f>
        <v>0</v>
      </c>
      <c r="C4703" s="217">
        <f>'Reported burning'!C4704</f>
        <v>0</v>
      </c>
      <c r="D4703" s="217">
        <f>'Reported burning'!D4704</f>
        <v>0</v>
      </c>
      <c r="E4703" s="217">
        <f>'Reported burning'!E4704</f>
        <v>0</v>
      </c>
      <c r="F4703" s="217">
        <f>'Reported burning'!F4704</f>
        <v>0</v>
      </c>
      <c r="G4703" s="217">
        <f>'Reported burning'!G4704</f>
        <v>0</v>
      </c>
      <c r="H4703" s="217">
        <f>'Reported burning'!H4704</f>
        <v>0</v>
      </c>
    </row>
    <row r="4704" spans="1:8">
      <c r="A4704" s="217">
        <f>'Reported burning'!A4705</f>
        <v>0</v>
      </c>
      <c r="B4704" s="217">
        <f>'Reported burning'!B4705</f>
        <v>0</v>
      </c>
      <c r="C4704" s="217">
        <f>'Reported burning'!C4705</f>
        <v>0</v>
      </c>
      <c r="D4704" s="217">
        <f>'Reported burning'!D4705</f>
        <v>0</v>
      </c>
      <c r="E4704" s="217">
        <f>'Reported burning'!E4705</f>
        <v>0</v>
      </c>
      <c r="F4704" s="217">
        <f>'Reported burning'!F4705</f>
        <v>0</v>
      </c>
      <c r="G4704" s="217">
        <f>'Reported burning'!G4705</f>
        <v>0</v>
      </c>
      <c r="H4704" s="217">
        <f>'Reported burning'!H4705</f>
        <v>0</v>
      </c>
    </row>
    <row r="4705" spans="1:8">
      <c r="A4705" s="217">
        <f>'Reported burning'!A4706</f>
        <v>0</v>
      </c>
      <c r="B4705" s="217">
        <f>'Reported burning'!B4706</f>
        <v>0</v>
      </c>
      <c r="C4705" s="217">
        <f>'Reported burning'!C4706</f>
        <v>0</v>
      </c>
      <c r="D4705" s="217">
        <f>'Reported burning'!D4706</f>
        <v>0</v>
      </c>
      <c r="E4705" s="217">
        <f>'Reported burning'!E4706</f>
        <v>0</v>
      </c>
      <c r="F4705" s="217">
        <f>'Reported burning'!F4706</f>
        <v>0</v>
      </c>
      <c r="G4705" s="217">
        <f>'Reported burning'!G4706</f>
        <v>0</v>
      </c>
      <c r="H4705" s="217">
        <f>'Reported burning'!H4706</f>
        <v>0</v>
      </c>
    </row>
    <row r="4706" spans="1:8">
      <c r="A4706" s="217">
        <f>'Reported burning'!A4707</f>
        <v>0</v>
      </c>
      <c r="B4706" s="217">
        <f>'Reported burning'!B4707</f>
        <v>0</v>
      </c>
      <c r="C4706" s="217">
        <f>'Reported burning'!C4707</f>
        <v>0</v>
      </c>
      <c r="D4706" s="217">
        <f>'Reported burning'!D4707</f>
        <v>0</v>
      </c>
      <c r="E4706" s="217">
        <f>'Reported burning'!E4707</f>
        <v>0</v>
      </c>
      <c r="F4706" s="217">
        <f>'Reported burning'!F4707</f>
        <v>0</v>
      </c>
      <c r="G4706" s="217">
        <f>'Reported burning'!G4707</f>
        <v>0</v>
      </c>
      <c r="H4706" s="217">
        <f>'Reported burning'!H4707</f>
        <v>0</v>
      </c>
    </row>
    <row r="4707" spans="1:8">
      <c r="A4707" s="217">
        <f>'Reported burning'!A4708</f>
        <v>0</v>
      </c>
      <c r="B4707" s="217">
        <f>'Reported burning'!B4708</f>
        <v>0</v>
      </c>
      <c r="C4707" s="217">
        <f>'Reported burning'!C4708</f>
        <v>0</v>
      </c>
      <c r="D4707" s="217">
        <f>'Reported burning'!D4708</f>
        <v>0</v>
      </c>
      <c r="E4707" s="217">
        <f>'Reported burning'!E4708</f>
        <v>0</v>
      </c>
      <c r="F4707" s="217">
        <f>'Reported burning'!F4708</f>
        <v>0</v>
      </c>
      <c r="G4707" s="217">
        <f>'Reported burning'!G4708</f>
        <v>0</v>
      </c>
      <c r="H4707" s="217">
        <f>'Reported burning'!H4708</f>
        <v>0</v>
      </c>
    </row>
    <row r="4708" spans="1:8">
      <c r="A4708" s="217">
        <f>'Reported burning'!A4709</f>
        <v>0</v>
      </c>
      <c r="B4708" s="217">
        <f>'Reported burning'!B4709</f>
        <v>0</v>
      </c>
      <c r="C4708" s="217">
        <f>'Reported burning'!C4709</f>
        <v>0</v>
      </c>
      <c r="D4708" s="217">
        <f>'Reported burning'!D4709</f>
        <v>0</v>
      </c>
      <c r="E4708" s="217">
        <f>'Reported burning'!E4709</f>
        <v>0</v>
      </c>
      <c r="F4708" s="217">
        <f>'Reported burning'!F4709</f>
        <v>0</v>
      </c>
      <c r="G4708" s="217">
        <f>'Reported burning'!G4709</f>
        <v>0</v>
      </c>
      <c r="H4708" s="217">
        <f>'Reported burning'!H4709</f>
        <v>0</v>
      </c>
    </row>
    <row r="4709" spans="1:8">
      <c r="A4709" s="217">
        <f>'Reported burning'!A4710</f>
        <v>0</v>
      </c>
      <c r="B4709" s="217">
        <f>'Reported burning'!B4710</f>
        <v>0</v>
      </c>
      <c r="C4709" s="217">
        <f>'Reported burning'!C4710</f>
        <v>0</v>
      </c>
      <c r="D4709" s="217">
        <f>'Reported burning'!D4710</f>
        <v>0</v>
      </c>
      <c r="E4709" s="217">
        <f>'Reported burning'!E4710</f>
        <v>0</v>
      </c>
      <c r="F4709" s="217">
        <f>'Reported burning'!F4710</f>
        <v>0</v>
      </c>
      <c r="G4709" s="217">
        <f>'Reported burning'!G4710</f>
        <v>0</v>
      </c>
      <c r="H4709" s="217">
        <f>'Reported burning'!H4710</f>
        <v>0</v>
      </c>
    </row>
    <row r="4710" spans="1:8">
      <c r="A4710" s="217">
        <f>'Reported burning'!A4711</f>
        <v>0</v>
      </c>
      <c r="B4710" s="217">
        <f>'Reported burning'!B4711</f>
        <v>0</v>
      </c>
      <c r="C4710" s="217">
        <f>'Reported burning'!C4711</f>
        <v>0</v>
      </c>
      <c r="D4710" s="217">
        <f>'Reported burning'!D4711</f>
        <v>0</v>
      </c>
      <c r="E4710" s="217">
        <f>'Reported burning'!E4711</f>
        <v>0</v>
      </c>
      <c r="F4710" s="217">
        <f>'Reported burning'!F4711</f>
        <v>0</v>
      </c>
      <c r="G4710" s="217">
        <f>'Reported burning'!G4711</f>
        <v>0</v>
      </c>
      <c r="H4710" s="217">
        <f>'Reported burning'!H4711</f>
        <v>0</v>
      </c>
    </row>
    <row r="4711" spans="1:8">
      <c r="A4711" s="217">
        <f>'Reported burning'!A4712</f>
        <v>0</v>
      </c>
      <c r="B4711" s="217">
        <f>'Reported burning'!B4712</f>
        <v>0</v>
      </c>
      <c r="C4711" s="217">
        <f>'Reported burning'!C4712</f>
        <v>0</v>
      </c>
      <c r="D4711" s="217">
        <f>'Reported burning'!D4712</f>
        <v>0</v>
      </c>
      <c r="E4711" s="217">
        <f>'Reported burning'!E4712</f>
        <v>0</v>
      </c>
      <c r="F4711" s="217">
        <f>'Reported burning'!F4712</f>
        <v>0</v>
      </c>
      <c r="G4711" s="217">
        <f>'Reported burning'!G4712</f>
        <v>0</v>
      </c>
      <c r="H4711" s="217">
        <f>'Reported burning'!H4712</f>
        <v>0</v>
      </c>
    </row>
    <row r="4712" spans="1:8">
      <c r="A4712" s="217">
        <f>'Reported burning'!A4713</f>
        <v>0</v>
      </c>
      <c r="B4712" s="217">
        <f>'Reported burning'!B4713</f>
        <v>0</v>
      </c>
      <c r="C4712" s="217">
        <f>'Reported burning'!C4713</f>
        <v>0</v>
      </c>
      <c r="D4712" s="217">
        <f>'Reported burning'!D4713</f>
        <v>0</v>
      </c>
      <c r="E4712" s="217">
        <f>'Reported burning'!E4713</f>
        <v>0</v>
      </c>
      <c r="F4712" s="217">
        <f>'Reported burning'!F4713</f>
        <v>0</v>
      </c>
      <c r="G4712" s="217">
        <f>'Reported burning'!G4713</f>
        <v>0</v>
      </c>
      <c r="H4712" s="217">
        <f>'Reported burning'!H4713</f>
        <v>0</v>
      </c>
    </row>
    <row r="4713" spans="1:8">
      <c r="A4713" s="217">
        <f>'Reported burning'!A4714</f>
        <v>0</v>
      </c>
      <c r="B4713" s="217">
        <f>'Reported burning'!B4714</f>
        <v>0</v>
      </c>
      <c r="C4713" s="217">
        <f>'Reported burning'!C4714</f>
        <v>0</v>
      </c>
      <c r="D4713" s="217">
        <f>'Reported burning'!D4714</f>
        <v>0</v>
      </c>
      <c r="E4713" s="217">
        <f>'Reported burning'!E4714</f>
        <v>0</v>
      </c>
      <c r="F4713" s="217">
        <f>'Reported burning'!F4714</f>
        <v>0</v>
      </c>
      <c r="G4713" s="217">
        <f>'Reported burning'!G4714</f>
        <v>0</v>
      </c>
      <c r="H4713" s="217">
        <f>'Reported burning'!H4714</f>
        <v>0</v>
      </c>
    </row>
    <row r="4714" spans="1:8">
      <c r="A4714" s="217">
        <f>'Reported burning'!A4715</f>
        <v>0</v>
      </c>
      <c r="B4714" s="217">
        <f>'Reported burning'!B4715</f>
        <v>0</v>
      </c>
      <c r="C4714" s="217">
        <f>'Reported burning'!C4715</f>
        <v>0</v>
      </c>
      <c r="D4714" s="217">
        <f>'Reported burning'!D4715</f>
        <v>0</v>
      </c>
      <c r="E4714" s="217">
        <f>'Reported burning'!E4715</f>
        <v>0</v>
      </c>
      <c r="F4714" s="217">
        <f>'Reported burning'!F4715</f>
        <v>0</v>
      </c>
      <c r="G4714" s="217">
        <f>'Reported burning'!G4715</f>
        <v>0</v>
      </c>
      <c r="H4714" s="217">
        <f>'Reported burning'!H4715</f>
        <v>0</v>
      </c>
    </row>
    <row r="4715" spans="1:8">
      <c r="A4715" s="217">
        <f>'Reported burning'!A4716</f>
        <v>0</v>
      </c>
      <c r="B4715" s="217">
        <f>'Reported burning'!B4716</f>
        <v>0</v>
      </c>
      <c r="C4715" s="217">
        <f>'Reported burning'!C4716</f>
        <v>0</v>
      </c>
      <c r="D4715" s="217">
        <f>'Reported burning'!D4716</f>
        <v>0</v>
      </c>
      <c r="E4715" s="217">
        <f>'Reported burning'!E4716</f>
        <v>0</v>
      </c>
      <c r="F4715" s="217">
        <f>'Reported burning'!F4716</f>
        <v>0</v>
      </c>
      <c r="G4715" s="217">
        <f>'Reported burning'!G4716</f>
        <v>0</v>
      </c>
      <c r="H4715" s="217">
        <f>'Reported burning'!H4716</f>
        <v>0</v>
      </c>
    </row>
    <row r="4716" spans="1:8">
      <c r="A4716" s="217">
        <f>'Reported burning'!A4717</f>
        <v>0</v>
      </c>
      <c r="B4716" s="217">
        <f>'Reported burning'!B4717</f>
        <v>0</v>
      </c>
      <c r="C4716" s="217">
        <f>'Reported burning'!C4717</f>
        <v>0</v>
      </c>
      <c r="D4716" s="217">
        <f>'Reported burning'!D4717</f>
        <v>0</v>
      </c>
      <c r="E4716" s="217">
        <f>'Reported burning'!E4717</f>
        <v>0</v>
      </c>
      <c r="F4716" s="217">
        <f>'Reported burning'!F4717</f>
        <v>0</v>
      </c>
      <c r="G4716" s="217">
        <f>'Reported burning'!G4717</f>
        <v>0</v>
      </c>
      <c r="H4716" s="217">
        <f>'Reported burning'!H4717</f>
        <v>0</v>
      </c>
    </row>
    <row r="4717" spans="1:8">
      <c r="A4717" s="217">
        <f>'Reported burning'!A4718</f>
        <v>0</v>
      </c>
      <c r="B4717" s="217">
        <f>'Reported burning'!B4718</f>
        <v>0</v>
      </c>
      <c r="C4717" s="217">
        <f>'Reported burning'!C4718</f>
        <v>0</v>
      </c>
      <c r="D4717" s="217">
        <f>'Reported burning'!D4718</f>
        <v>0</v>
      </c>
      <c r="E4717" s="217">
        <f>'Reported burning'!E4718</f>
        <v>0</v>
      </c>
      <c r="F4717" s="217">
        <f>'Reported burning'!F4718</f>
        <v>0</v>
      </c>
      <c r="G4717" s="217">
        <f>'Reported burning'!G4718</f>
        <v>0</v>
      </c>
      <c r="H4717" s="217">
        <f>'Reported burning'!H4718</f>
        <v>0</v>
      </c>
    </row>
    <row r="4718" spans="1:8">
      <c r="A4718" s="217">
        <f>'Reported burning'!A4719</f>
        <v>0</v>
      </c>
      <c r="B4718" s="217">
        <f>'Reported burning'!B4719</f>
        <v>0</v>
      </c>
      <c r="C4718" s="217">
        <f>'Reported burning'!C4719</f>
        <v>0</v>
      </c>
      <c r="D4718" s="217">
        <f>'Reported burning'!D4719</f>
        <v>0</v>
      </c>
      <c r="E4718" s="217">
        <f>'Reported burning'!E4719</f>
        <v>0</v>
      </c>
      <c r="F4718" s="217">
        <f>'Reported burning'!F4719</f>
        <v>0</v>
      </c>
      <c r="G4718" s="217">
        <f>'Reported burning'!G4719</f>
        <v>0</v>
      </c>
      <c r="H4718" s="217">
        <f>'Reported burning'!H4719</f>
        <v>0</v>
      </c>
    </row>
    <row r="4719" spans="1:8">
      <c r="A4719" s="217">
        <f>'Reported burning'!A4720</f>
        <v>0</v>
      </c>
      <c r="B4719" s="217">
        <f>'Reported burning'!B4720</f>
        <v>0</v>
      </c>
      <c r="C4719" s="217">
        <f>'Reported burning'!C4720</f>
        <v>0</v>
      </c>
      <c r="D4719" s="217">
        <f>'Reported burning'!D4720</f>
        <v>0</v>
      </c>
      <c r="E4719" s="217">
        <f>'Reported burning'!E4720</f>
        <v>0</v>
      </c>
      <c r="F4719" s="217">
        <f>'Reported burning'!F4720</f>
        <v>0</v>
      </c>
      <c r="G4719" s="217">
        <f>'Reported burning'!G4720</f>
        <v>0</v>
      </c>
      <c r="H4719" s="217">
        <f>'Reported burning'!H4720</f>
        <v>0</v>
      </c>
    </row>
    <row r="4720" spans="1:8">
      <c r="A4720" s="217">
        <f>'Reported burning'!A4721</f>
        <v>0</v>
      </c>
      <c r="B4720" s="217">
        <f>'Reported burning'!B4721</f>
        <v>0</v>
      </c>
      <c r="C4720" s="217">
        <f>'Reported burning'!C4721</f>
        <v>0</v>
      </c>
      <c r="D4720" s="217">
        <f>'Reported burning'!D4721</f>
        <v>0</v>
      </c>
      <c r="E4720" s="217">
        <f>'Reported burning'!E4721</f>
        <v>0</v>
      </c>
      <c r="F4720" s="217">
        <f>'Reported burning'!F4721</f>
        <v>0</v>
      </c>
      <c r="G4720" s="217">
        <f>'Reported burning'!G4721</f>
        <v>0</v>
      </c>
      <c r="H4720" s="217">
        <f>'Reported burning'!H4721</f>
        <v>0</v>
      </c>
    </row>
    <row r="4721" spans="1:8">
      <c r="A4721" s="217">
        <f>'Reported burning'!A4722</f>
        <v>0</v>
      </c>
      <c r="B4721" s="217">
        <f>'Reported burning'!B4722</f>
        <v>0</v>
      </c>
      <c r="C4721" s="217">
        <f>'Reported burning'!C4722</f>
        <v>0</v>
      </c>
      <c r="D4721" s="217">
        <f>'Reported burning'!D4722</f>
        <v>0</v>
      </c>
      <c r="E4721" s="217">
        <f>'Reported burning'!E4722</f>
        <v>0</v>
      </c>
      <c r="F4721" s="217">
        <f>'Reported burning'!F4722</f>
        <v>0</v>
      </c>
      <c r="G4721" s="217">
        <f>'Reported burning'!G4722</f>
        <v>0</v>
      </c>
      <c r="H4721" s="217">
        <f>'Reported burning'!H4722</f>
        <v>0</v>
      </c>
    </row>
    <row r="4722" spans="1:8">
      <c r="A4722" s="217">
        <f>'Reported burning'!A4723</f>
        <v>0</v>
      </c>
      <c r="B4722" s="217">
        <f>'Reported burning'!B4723</f>
        <v>0</v>
      </c>
      <c r="C4722" s="217">
        <f>'Reported burning'!C4723</f>
        <v>0</v>
      </c>
      <c r="D4722" s="217">
        <f>'Reported burning'!D4723</f>
        <v>0</v>
      </c>
      <c r="E4722" s="217">
        <f>'Reported burning'!E4723</f>
        <v>0</v>
      </c>
      <c r="F4722" s="217">
        <f>'Reported burning'!F4723</f>
        <v>0</v>
      </c>
      <c r="G4722" s="217">
        <f>'Reported burning'!G4723</f>
        <v>0</v>
      </c>
      <c r="H4722" s="217">
        <f>'Reported burning'!H4723</f>
        <v>0</v>
      </c>
    </row>
    <row r="4723" spans="1:8">
      <c r="A4723" s="217">
        <f>'Reported burning'!A4724</f>
        <v>0</v>
      </c>
      <c r="B4723" s="217">
        <f>'Reported burning'!B4724</f>
        <v>0</v>
      </c>
      <c r="C4723" s="217">
        <f>'Reported burning'!C4724</f>
        <v>0</v>
      </c>
      <c r="D4723" s="217">
        <f>'Reported burning'!D4724</f>
        <v>0</v>
      </c>
      <c r="E4723" s="217">
        <f>'Reported burning'!E4724</f>
        <v>0</v>
      </c>
      <c r="F4723" s="217">
        <f>'Reported burning'!F4724</f>
        <v>0</v>
      </c>
      <c r="G4723" s="217">
        <f>'Reported burning'!G4724</f>
        <v>0</v>
      </c>
      <c r="H4723" s="217">
        <f>'Reported burning'!H4724</f>
        <v>0</v>
      </c>
    </row>
    <row r="4724" spans="1:8">
      <c r="A4724" s="217">
        <f>'Reported burning'!A4725</f>
        <v>0</v>
      </c>
      <c r="B4724" s="217">
        <f>'Reported burning'!B4725</f>
        <v>0</v>
      </c>
      <c r="C4724" s="217">
        <f>'Reported burning'!C4725</f>
        <v>0</v>
      </c>
      <c r="D4724" s="217">
        <f>'Reported burning'!D4725</f>
        <v>0</v>
      </c>
      <c r="E4724" s="217">
        <f>'Reported burning'!E4725</f>
        <v>0</v>
      </c>
      <c r="F4724" s="217">
        <f>'Reported burning'!F4725</f>
        <v>0</v>
      </c>
      <c r="G4724" s="217">
        <f>'Reported burning'!G4725</f>
        <v>0</v>
      </c>
      <c r="H4724" s="217">
        <f>'Reported burning'!H4725</f>
        <v>0</v>
      </c>
    </row>
    <row r="4725" spans="1:8">
      <c r="A4725" s="217">
        <f>'Reported burning'!A4726</f>
        <v>0</v>
      </c>
      <c r="B4725" s="217">
        <f>'Reported burning'!B4726</f>
        <v>0</v>
      </c>
      <c r="C4725" s="217">
        <f>'Reported burning'!C4726</f>
        <v>0</v>
      </c>
      <c r="D4725" s="217">
        <f>'Reported burning'!D4726</f>
        <v>0</v>
      </c>
      <c r="E4725" s="217">
        <f>'Reported burning'!E4726</f>
        <v>0</v>
      </c>
      <c r="F4725" s="217">
        <f>'Reported burning'!F4726</f>
        <v>0</v>
      </c>
      <c r="G4725" s="217">
        <f>'Reported burning'!G4726</f>
        <v>0</v>
      </c>
      <c r="H4725" s="217">
        <f>'Reported burning'!H4726</f>
        <v>0</v>
      </c>
    </row>
    <row r="4726" spans="1:8">
      <c r="A4726" s="217">
        <f>'Reported burning'!A4727</f>
        <v>0</v>
      </c>
      <c r="B4726" s="217">
        <f>'Reported burning'!B4727</f>
        <v>0</v>
      </c>
      <c r="C4726" s="217">
        <f>'Reported burning'!C4727</f>
        <v>0</v>
      </c>
      <c r="D4726" s="217">
        <f>'Reported burning'!D4727</f>
        <v>0</v>
      </c>
      <c r="E4726" s="217">
        <f>'Reported burning'!E4727</f>
        <v>0</v>
      </c>
      <c r="F4726" s="217">
        <f>'Reported burning'!F4727</f>
        <v>0</v>
      </c>
      <c r="G4726" s="217">
        <f>'Reported burning'!G4727</f>
        <v>0</v>
      </c>
      <c r="H4726" s="217">
        <f>'Reported burning'!H4727</f>
        <v>0</v>
      </c>
    </row>
    <row r="4727" spans="1:8">
      <c r="A4727" s="217">
        <f>'Reported burning'!A4728</f>
        <v>0</v>
      </c>
      <c r="B4727" s="217">
        <f>'Reported burning'!B4728</f>
        <v>0</v>
      </c>
      <c r="C4727" s="217">
        <f>'Reported burning'!C4728</f>
        <v>0</v>
      </c>
      <c r="D4727" s="217">
        <f>'Reported burning'!D4728</f>
        <v>0</v>
      </c>
      <c r="E4727" s="217">
        <f>'Reported burning'!E4728</f>
        <v>0</v>
      </c>
      <c r="F4727" s="217">
        <f>'Reported burning'!F4728</f>
        <v>0</v>
      </c>
      <c r="G4727" s="217">
        <f>'Reported burning'!G4728</f>
        <v>0</v>
      </c>
      <c r="H4727" s="217">
        <f>'Reported burning'!H4728</f>
        <v>0</v>
      </c>
    </row>
    <row r="4728" spans="1:8">
      <c r="A4728" s="217">
        <f>'Reported burning'!A4729</f>
        <v>0</v>
      </c>
      <c r="B4728" s="217">
        <f>'Reported burning'!B4729</f>
        <v>0</v>
      </c>
      <c r="C4728" s="217">
        <f>'Reported burning'!C4729</f>
        <v>0</v>
      </c>
      <c r="D4728" s="217">
        <f>'Reported burning'!D4729</f>
        <v>0</v>
      </c>
      <c r="E4728" s="217">
        <f>'Reported burning'!E4729</f>
        <v>0</v>
      </c>
      <c r="F4728" s="217">
        <f>'Reported burning'!F4729</f>
        <v>0</v>
      </c>
      <c r="G4728" s="217">
        <f>'Reported burning'!G4729</f>
        <v>0</v>
      </c>
      <c r="H4728" s="217">
        <f>'Reported burning'!H4729</f>
        <v>0</v>
      </c>
    </row>
    <row r="4729" spans="1:8">
      <c r="A4729" s="217">
        <f>'Reported burning'!A4730</f>
        <v>0</v>
      </c>
      <c r="B4729" s="217">
        <f>'Reported burning'!B4730</f>
        <v>0</v>
      </c>
      <c r="C4729" s="217">
        <f>'Reported burning'!C4730</f>
        <v>0</v>
      </c>
      <c r="D4729" s="217">
        <f>'Reported burning'!D4730</f>
        <v>0</v>
      </c>
      <c r="E4729" s="217">
        <f>'Reported burning'!E4730</f>
        <v>0</v>
      </c>
      <c r="F4729" s="217">
        <f>'Reported burning'!F4730</f>
        <v>0</v>
      </c>
      <c r="G4729" s="217">
        <f>'Reported burning'!G4730</f>
        <v>0</v>
      </c>
      <c r="H4729" s="217">
        <f>'Reported burning'!H4730</f>
        <v>0</v>
      </c>
    </row>
    <row r="4730" spans="1:8">
      <c r="A4730" s="217">
        <f>'Reported burning'!A4731</f>
        <v>0</v>
      </c>
      <c r="B4730" s="217">
        <f>'Reported burning'!B4731</f>
        <v>0</v>
      </c>
      <c r="C4730" s="217">
        <f>'Reported burning'!C4731</f>
        <v>0</v>
      </c>
      <c r="D4730" s="217">
        <f>'Reported burning'!D4731</f>
        <v>0</v>
      </c>
      <c r="E4730" s="217">
        <f>'Reported burning'!E4731</f>
        <v>0</v>
      </c>
      <c r="F4730" s="217">
        <f>'Reported burning'!F4731</f>
        <v>0</v>
      </c>
      <c r="G4730" s="217">
        <f>'Reported burning'!G4731</f>
        <v>0</v>
      </c>
      <c r="H4730" s="217">
        <f>'Reported burning'!H4731</f>
        <v>0</v>
      </c>
    </row>
    <row r="4731" spans="1:8">
      <c r="A4731" s="217">
        <f>'Reported burning'!A4732</f>
        <v>0</v>
      </c>
      <c r="B4731" s="217">
        <f>'Reported burning'!B4732</f>
        <v>0</v>
      </c>
      <c r="C4731" s="217">
        <f>'Reported burning'!C4732</f>
        <v>0</v>
      </c>
      <c r="D4731" s="217">
        <f>'Reported burning'!D4732</f>
        <v>0</v>
      </c>
      <c r="E4731" s="217">
        <f>'Reported burning'!E4732</f>
        <v>0</v>
      </c>
      <c r="F4731" s="217">
        <f>'Reported burning'!F4732</f>
        <v>0</v>
      </c>
      <c r="G4731" s="217">
        <f>'Reported burning'!G4732</f>
        <v>0</v>
      </c>
      <c r="H4731" s="217">
        <f>'Reported burning'!H4732</f>
        <v>0</v>
      </c>
    </row>
    <row r="4732" spans="1:8">
      <c r="A4732" s="217">
        <f>'Reported burning'!A4733</f>
        <v>0</v>
      </c>
      <c r="B4732" s="217">
        <f>'Reported burning'!B4733</f>
        <v>0</v>
      </c>
      <c r="C4732" s="217">
        <f>'Reported burning'!C4733</f>
        <v>0</v>
      </c>
      <c r="D4732" s="217">
        <f>'Reported burning'!D4733</f>
        <v>0</v>
      </c>
      <c r="E4732" s="217">
        <f>'Reported burning'!E4733</f>
        <v>0</v>
      </c>
      <c r="F4732" s="217">
        <f>'Reported burning'!F4733</f>
        <v>0</v>
      </c>
      <c r="G4732" s="217">
        <f>'Reported burning'!G4733</f>
        <v>0</v>
      </c>
      <c r="H4732" s="217">
        <f>'Reported burning'!H4733</f>
        <v>0</v>
      </c>
    </row>
    <row r="4733" spans="1:8">
      <c r="A4733" s="217">
        <f>'Reported burning'!A4734</f>
        <v>0</v>
      </c>
      <c r="B4733" s="217">
        <f>'Reported burning'!B4734</f>
        <v>0</v>
      </c>
      <c r="C4733" s="217">
        <f>'Reported burning'!C4734</f>
        <v>0</v>
      </c>
      <c r="D4733" s="217">
        <f>'Reported burning'!D4734</f>
        <v>0</v>
      </c>
      <c r="E4733" s="217">
        <f>'Reported burning'!E4734</f>
        <v>0</v>
      </c>
      <c r="F4733" s="217">
        <f>'Reported burning'!F4734</f>
        <v>0</v>
      </c>
      <c r="G4733" s="217">
        <f>'Reported burning'!G4734</f>
        <v>0</v>
      </c>
      <c r="H4733" s="217">
        <f>'Reported burning'!H4734</f>
        <v>0</v>
      </c>
    </row>
    <row r="4734" spans="1:8">
      <c r="A4734" s="217">
        <f>'Reported burning'!A4735</f>
        <v>0</v>
      </c>
      <c r="B4734" s="217">
        <f>'Reported burning'!B4735</f>
        <v>0</v>
      </c>
      <c r="C4734" s="217">
        <f>'Reported burning'!C4735</f>
        <v>0</v>
      </c>
      <c r="D4734" s="217">
        <f>'Reported burning'!D4735</f>
        <v>0</v>
      </c>
      <c r="E4734" s="217">
        <f>'Reported burning'!E4735</f>
        <v>0</v>
      </c>
      <c r="F4734" s="217">
        <f>'Reported burning'!F4735</f>
        <v>0</v>
      </c>
      <c r="G4734" s="217">
        <f>'Reported burning'!G4735</f>
        <v>0</v>
      </c>
      <c r="H4734" s="217">
        <f>'Reported burning'!H4735</f>
        <v>0</v>
      </c>
    </row>
    <row r="4735" spans="1:8">
      <c r="A4735" s="217">
        <f>'Reported burning'!A4736</f>
        <v>0</v>
      </c>
      <c r="B4735" s="217">
        <f>'Reported burning'!B4736</f>
        <v>0</v>
      </c>
      <c r="C4735" s="217">
        <f>'Reported burning'!C4736</f>
        <v>0</v>
      </c>
      <c r="D4735" s="217">
        <f>'Reported burning'!D4736</f>
        <v>0</v>
      </c>
      <c r="E4735" s="217">
        <f>'Reported burning'!E4736</f>
        <v>0</v>
      </c>
      <c r="F4735" s="217">
        <f>'Reported burning'!F4736</f>
        <v>0</v>
      </c>
      <c r="G4735" s="217">
        <f>'Reported burning'!G4736</f>
        <v>0</v>
      </c>
      <c r="H4735" s="217">
        <f>'Reported burning'!H4736</f>
        <v>0</v>
      </c>
    </row>
    <row r="4736" spans="1:8">
      <c r="A4736" s="217">
        <f>'Reported burning'!A4737</f>
        <v>0</v>
      </c>
      <c r="B4736" s="217">
        <f>'Reported burning'!B4737</f>
        <v>0</v>
      </c>
      <c r="C4736" s="217">
        <f>'Reported burning'!C4737</f>
        <v>0</v>
      </c>
      <c r="D4736" s="217">
        <f>'Reported burning'!D4737</f>
        <v>0</v>
      </c>
      <c r="E4736" s="217">
        <f>'Reported burning'!E4737</f>
        <v>0</v>
      </c>
      <c r="F4736" s="217">
        <f>'Reported burning'!F4737</f>
        <v>0</v>
      </c>
      <c r="G4736" s="217">
        <f>'Reported burning'!G4737</f>
        <v>0</v>
      </c>
      <c r="H4736" s="217">
        <f>'Reported burning'!H4737</f>
        <v>0</v>
      </c>
    </row>
    <row r="4737" spans="1:8">
      <c r="A4737" s="217">
        <f>'Reported burning'!A4738</f>
        <v>0</v>
      </c>
      <c r="B4737" s="217">
        <f>'Reported burning'!B4738</f>
        <v>0</v>
      </c>
      <c r="C4737" s="217">
        <f>'Reported burning'!C4738</f>
        <v>0</v>
      </c>
      <c r="D4737" s="217">
        <f>'Reported burning'!D4738</f>
        <v>0</v>
      </c>
      <c r="E4737" s="217">
        <f>'Reported burning'!E4738</f>
        <v>0</v>
      </c>
      <c r="F4737" s="217">
        <f>'Reported burning'!F4738</f>
        <v>0</v>
      </c>
      <c r="G4737" s="217">
        <f>'Reported burning'!G4738</f>
        <v>0</v>
      </c>
      <c r="H4737" s="217">
        <f>'Reported burning'!H4738</f>
        <v>0</v>
      </c>
    </row>
    <row r="4738" spans="1:8">
      <c r="A4738" s="217">
        <f>'Reported burning'!A4739</f>
        <v>0</v>
      </c>
      <c r="B4738" s="217">
        <f>'Reported burning'!B4739</f>
        <v>0</v>
      </c>
      <c r="C4738" s="217">
        <f>'Reported burning'!C4739</f>
        <v>0</v>
      </c>
      <c r="D4738" s="217">
        <f>'Reported burning'!D4739</f>
        <v>0</v>
      </c>
      <c r="E4738" s="217">
        <f>'Reported burning'!E4739</f>
        <v>0</v>
      </c>
      <c r="F4738" s="217">
        <f>'Reported burning'!F4739</f>
        <v>0</v>
      </c>
      <c r="G4738" s="217">
        <f>'Reported burning'!G4739</f>
        <v>0</v>
      </c>
      <c r="H4738" s="217">
        <f>'Reported burning'!H4739</f>
        <v>0</v>
      </c>
    </row>
    <row r="4739" spans="1:8">
      <c r="A4739" s="217">
        <f>'Reported burning'!A4740</f>
        <v>0</v>
      </c>
      <c r="B4739" s="217">
        <f>'Reported burning'!B4740</f>
        <v>0</v>
      </c>
      <c r="C4739" s="217">
        <f>'Reported burning'!C4740</f>
        <v>0</v>
      </c>
      <c r="D4739" s="217">
        <f>'Reported burning'!D4740</f>
        <v>0</v>
      </c>
      <c r="E4739" s="217">
        <f>'Reported burning'!E4740</f>
        <v>0</v>
      </c>
      <c r="F4739" s="217">
        <f>'Reported burning'!F4740</f>
        <v>0</v>
      </c>
      <c r="G4739" s="217">
        <f>'Reported burning'!G4740</f>
        <v>0</v>
      </c>
      <c r="H4739" s="217">
        <f>'Reported burning'!H4740</f>
        <v>0</v>
      </c>
    </row>
    <row r="4740" spans="1:8">
      <c r="A4740" s="217">
        <f>'Reported burning'!A4741</f>
        <v>0</v>
      </c>
      <c r="B4740" s="217">
        <f>'Reported burning'!B4741</f>
        <v>0</v>
      </c>
      <c r="C4740" s="217">
        <f>'Reported burning'!C4741</f>
        <v>0</v>
      </c>
      <c r="D4740" s="217">
        <f>'Reported burning'!D4741</f>
        <v>0</v>
      </c>
      <c r="E4740" s="217">
        <f>'Reported burning'!E4741</f>
        <v>0</v>
      </c>
      <c r="F4740" s="217">
        <f>'Reported burning'!F4741</f>
        <v>0</v>
      </c>
      <c r="G4740" s="217">
        <f>'Reported burning'!G4741</f>
        <v>0</v>
      </c>
      <c r="H4740" s="217">
        <f>'Reported burning'!H4741</f>
        <v>0</v>
      </c>
    </row>
    <row r="4741" spans="1:8">
      <c r="A4741" s="217">
        <f>'Reported burning'!A4742</f>
        <v>0</v>
      </c>
      <c r="B4741" s="217">
        <f>'Reported burning'!B4742</f>
        <v>0</v>
      </c>
      <c r="C4741" s="217">
        <f>'Reported burning'!C4742</f>
        <v>0</v>
      </c>
      <c r="D4741" s="217">
        <f>'Reported burning'!D4742</f>
        <v>0</v>
      </c>
      <c r="E4741" s="217">
        <f>'Reported burning'!E4742</f>
        <v>0</v>
      </c>
      <c r="F4741" s="217">
        <f>'Reported burning'!F4742</f>
        <v>0</v>
      </c>
      <c r="G4741" s="217">
        <f>'Reported burning'!G4742</f>
        <v>0</v>
      </c>
      <c r="H4741" s="217">
        <f>'Reported burning'!H4742</f>
        <v>0</v>
      </c>
    </row>
    <row r="4742" spans="1:8">
      <c r="A4742" s="217">
        <f>'Reported burning'!A4743</f>
        <v>0</v>
      </c>
      <c r="B4742" s="217">
        <f>'Reported burning'!B4743</f>
        <v>0</v>
      </c>
      <c r="C4742" s="217">
        <f>'Reported burning'!C4743</f>
        <v>0</v>
      </c>
      <c r="D4742" s="217">
        <f>'Reported burning'!D4743</f>
        <v>0</v>
      </c>
      <c r="E4742" s="217">
        <f>'Reported burning'!E4743</f>
        <v>0</v>
      </c>
      <c r="F4742" s="217">
        <f>'Reported burning'!F4743</f>
        <v>0</v>
      </c>
      <c r="G4742" s="217">
        <f>'Reported burning'!G4743</f>
        <v>0</v>
      </c>
      <c r="H4742" s="217">
        <f>'Reported burning'!H4743</f>
        <v>0</v>
      </c>
    </row>
    <row r="4743" spans="1:8">
      <c r="A4743" s="217">
        <f>'Reported burning'!A4744</f>
        <v>0</v>
      </c>
      <c r="B4743" s="217">
        <f>'Reported burning'!B4744</f>
        <v>0</v>
      </c>
      <c r="C4743" s="217">
        <f>'Reported burning'!C4744</f>
        <v>0</v>
      </c>
      <c r="D4743" s="217">
        <f>'Reported burning'!D4744</f>
        <v>0</v>
      </c>
      <c r="E4743" s="217">
        <f>'Reported burning'!E4744</f>
        <v>0</v>
      </c>
      <c r="F4743" s="217">
        <f>'Reported burning'!F4744</f>
        <v>0</v>
      </c>
      <c r="G4743" s="217">
        <f>'Reported burning'!G4744</f>
        <v>0</v>
      </c>
      <c r="H4743" s="217">
        <f>'Reported burning'!H4744</f>
        <v>0</v>
      </c>
    </row>
    <row r="4744" spans="1:8">
      <c r="A4744" s="217">
        <f>'Reported burning'!A4745</f>
        <v>0</v>
      </c>
      <c r="B4744" s="217">
        <f>'Reported burning'!B4745</f>
        <v>0</v>
      </c>
      <c r="C4744" s="217">
        <f>'Reported burning'!C4745</f>
        <v>0</v>
      </c>
      <c r="D4744" s="217">
        <f>'Reported burning'!D4745</f>
        <v>0</v>
      </c>
      <c r="E4744" s="217">
        <f>'Reported burning'!E4745</f>
        <v>0</v>
      </c>
      <c r="F4744" s="217">
        <f>'Reported burning'!F4745</f>
        <v>0</v>
      </c>
      <c r="G4744" s="217">
        <f>'Reported burning'!G4745</f>
        <v>0</v>
      </c>
      <c r="H4744" s="217">
        <f>'Reported burning'!H4745</f>
        <v>0</v>
      </c>
    </row>
    <row r="4745" spans="1:8">
      <c r="A4745" s="217">
        <f>'Reported burning'!A4746</f>
        <v>0</v>
      </c>
      <c r="B4745" s="217">
        <f>'Reported burning'!B4746</f>
        <v>0</v>
      </c>
      <c r="C4745" s="217">
        <f>'Reported burning'!C4746</f>
        <v>0</v>
      </c>
      <c r="D4745" s="217">
        <f>'Reported burning'!D4746</f>
        <v>0</v>
      </c>
      <c r="E4745" s="217">
        <f>'Reported burning'!E4746</f>
        <v>0</v>
      </c>
      <c r="F4745" s="217">
        <f>'Reported burning'!F4746</f>
        <v>0</v>
      </c>
      <c r="G4745" s="217">
        <f>'Reported burning'!G4746</f>
        <v>0</v>
      </c>
      <c r="H4745" s="217">
        <f>'Reported burning'!H4746</f>
        <v>0</v>
      </c>
    </row>
    <row r="4746" spans="1:8">
      <c r="A4746" s="217">
        <f>'Reported burning'!A4747</f>
        <v>0</v>
      </c>
      <c r="B4746" s="217">
        <f>'Reported burning'!B4747</f>
        <v>0</v>
      </c>
      <c r="C4746" s="217">
        <f>'Reported burning'!C4747</f>
        <v>0</v>
      </c>
      <c r="D4746" s="217">
        <f>'Reported burning'!D4747</f>
        <v>0</v>
      </c>
      <c r="E4746" s="217">
        <f>'Reported burning'!E4747</f>
        <v>0</v>
      </c>
      <c r="F4746" s="217">
        <f>'Reported burning'!F4747</f>
        <v>0</v>
      </c>
      <c r="G4746" s="217">
        <f>'Reported burning'!G4747</f>
        <v>0</v>
      </c>
      <c r="H4746" s="217">
        <f>'Reported burning'!H4747</f>
        <v>0</v>
      </c>
    </row>
    <row r="4747" spans="1:8">
      <c r="A4747" s="217">
        <f>'Reported burning'!A4748</f>
        <v>0</v>
      </c>
      <c r="B4747" s="217">
        <f>'Reported burning'!B4748</f>
        <v>0</v>
      </c>
      <c r="C4747" s="217">
        <f>'Reported burning'!C4748</f>
        <v>0</v>
      </c>
      <c r="D4747" s="217">
        <f>'Reported burning'!D4748</f>
        <v>0</v>
      </c>
      <c r="E4747" s="217">
        <f>'Reported burning'!E4748</f>
        <v>0</v>
      </c>
      <c r="F4747" s="217">
        <f>'Reported burning'!F4748</f>
        <v>0</v>
      </c>
      <c r="G4747" s="217">
        <f>'Reported burning'!G4748</f>
        <v>0</v>
      </c>
      <c r="H4747" s="217">
        <f>'Reported burning'!H4748</f>
        <v>0</v>
      </c>
    </row>
    <row r="4748" spans="1:8">
      <c r="A4748" s="217">
        <f>'Reported burning'!A4749</f>
        <v>0</v>
      </c>
      <c r="B4748" s="217">
        <f>'Reported burning'!B4749</f>
        <v>0</v>
      </c>
      <c r="C4748" s="217">
        <f>'Reported burning'!C4749</f>
        <v>0</v>
      </c>
      <c r="D4748" s="217">
        <f>'Reported burning'!D4749</f>
        <v>0</v>
      </c>
      <c r="E4748" s="217">
        <f>'Reported burning'!E4749</f>
        <v>0</v>
      </c>
      <c r="F4748" s="217">
        <f>'Reported burning'!F4749</f>
        <v>0</v>
      </c>
      <c r="G4748" s="217">
        <f>'Reported burning'!G4749</f>
        <v>0</v>
      </c>
      <c r="H4748" s="217">
        <f>'Reported burning'!H4749</f>
        <v>0</v>
      </c>
    </row>
    <row r="4749" spans="1:8">
      <c r="A4749" s="217">
        <f>'Reported burning'!A4750</f>
        <v>0</v>
      </c>
      <c r="B4749" s="217">
        <f>'Reported burning'!B4750</f>
        <v>0</v>
      </c>
      <c r="C4749" s="217">
        <f>'Reported burning'!C4750</f>
        <v>0</v>
      </c>
      <c r="D4749" s="217">
        <f>'Reported burning'!D4750</f>
        <v>0</v>
      </c>
      <c r="E4749" s="217">
        <f>'Reported burning'!E4750</f>
        <v>0</v>
      </c>
      <c r="F4749" s="217">
        <f>'Reported burning'!F4750</f>
        <v>0</v>
      </c>
      <c r="G4749" s="217">
        <f>'Reported burning'!G4750</f>
        <v>0</v>
      </c>
      <c r="H4749" s="217">
        <f>'Reported burning'!H4750</f>
        <v>0</v>
      </c>
    </row>
    <row r="4750" spans="1:8">
      <c r="A4750" s="217">
        <f>'Reported burning'!A4751</f>
        <v>0</v>
      </c>
      <c r="B4750" s="217">
        <f>'Reported burning'!B4751</f>
        <v>0</v>
      </c>
      <c r="C4750" s="217">
        <f>'Reported burning'!C4751</f>
        <v>0</v>
      </c>
      <c r="D4750" s="217">
        <f>'Reported burning'!D4751</f>
        <v>0</v>
      </c>
      <c r="E4750" s="217">
        <f>'Reported burning'!E4751</f>
        <v>0</v>
      </c>
      <c r="F4750" s="217">
        <f>'Reported burning'!F4751</f>
        <v>0</v>
      </c>
      <c r="G4750" s="217">
        <f>'Reported burning'!G4751</f>
        <v>0</v>
      </c>
      <c r="H4750" s="217">
        <f>'Reported burning'!H4751</f>
        <v>0</v>
      </c>
    </row>
    <row r="4751" spans="1:8">
      <c r="A4751" s="217">
        <f>'Reported burning'!A4752</f>
        <v>0</v>
      </c>
      <c r="B4751" s="217">
        <f>'Reported burning'!B4752</f>
        <v>0</v>
      </c>
      <c r="C4751" s="217">
        <f>'Reported burning'!C4752</f>
        <v>0</v>
      </c>
      <c r="D4751" s="217">
        <f>'Reported burning'!D4752</f>
        <v>0</v>
      </c>
      <c r="E4751" s="217">
        <f>'Reported burning'!E4752</f>
        <v>0</v>
      </c>
      <c r="F4751" s="217">
        <f>'Reported burning'!F4752</f>
        <v>0</v>
      </c>
      <c r="G4751" s="217">
        <f>'Reported burning'!G4752</f>
        <v>0</v>
      </c>
      <c r="H4751" s="217">
        <f>'Reported burning'!H4752</f>
        <v>0</v>
      </c>
    </row>
    <row r="4752" spans="1:8">
      <c r="A4752" s="217">
        <f>'Reported burning'!A4753</f>
        <v>0</v>
      </c>
      <c r="B4752" s="217">
        <f>'Reported burning'!B4753</f>
        <v>0</v>
      </c>
      <c r="C4752" s="217">
        <f>'Reported burning'!C4753</f>
        <v>0</v>
      </c>
      <c r="D4752" s="217">
        <f>'Reported burning'!D4753</f>
        <v>0</v>
      </c>
      <c r="E4752" s="217">
        <f>'Reported burning'!E4753</f>
        <v>0</v>
      </c>
      <c r="F4752" s="217">
        <f>'Reported burning'!F4753</f>
        <v>0</v>
      </c>
      <c r="G4752" s="217">
        <f>'Reported burning'!G4753</f>
        <v>0</v>
      </c>
      <c r="H4752" s="217">
        <f>'Reported burning'!H4753</f>
        <v>0</v>
      </c>
    </row>
    <row r="4753" spans="1:8">
      <c r="A4753" s="217">
        <f>'Reported burning'!A4754</f>
        <v>0</v>
      </c>
      <c r="B4753" s="217">
        <f>'Reported burning'!B4754</f>
        <v>0</v>
      </c>
      <c r="C4753" s="217">
        <f>'Reported burning'!C4754</f>
        <v>0</v>
      </c>
      <c r="D4753" s="217">
        <f>'Reported burning'!D4754</f>
        <v>0</v>
      </c>
      <c r="E4753" s="217">
        <f>'Reported burning'!E4754</f>
        <v>0</v>
      </c>
      <c r="F4753" s="217">
        <f>'Reported burning'!F4754</f>
        <v>0</v>
      </c>
      <c r="G4753" s="217">
        <f>'Reported burning'!G4754</f>
        <v>0</v>
      </c>
      <c r="H4753" s="217">
        <f>'Reported burning'!H4754</f>
        <v>0</v>
      </c>
    </row>
    <row r="4754" spans="1:8">
      <c r="A4754" s="217">
        <f>'Reported burning'!A4755</f>
        <v>0</v>
      </c>
      <c r="B4754" s="217">
        <f>'Reported burning'!B4755</f>
        <v>0</v>
      </c>
      <c r="C4754" s="217">
        <f>'Reported burning'!C4755</f>
        <v>0</v>
      </c>
      <c r="D4754" s="217">
        <f>'Reported burning'!D4755</f>
        <v>0</v>
      </c>
      <c r="E4754" s="217">
        <f>'Reported burning'!E4755</f>
        <v>0</v>
      </c>
      <c r="F4754" s="217">
        <f>'Reported burning'!F4755</f>
        <v>0</v>
      </c>
      <c r="G4754" s="217">
        <f>'Reported burning'!G4755</f>
        <v>0</v>
      </c>
      <c r="H4754" s="217">
        <f>'Reported burning'!H4755</f>
        <v>0</v>
      </c>
    </row>
    <row r="4755" spans="1:8">
      <c r="A4755" s="217">
        <f>'Reported burning'!A4756</f>
        <v>0</v>
      </c>
      <c r="B4755" s="217">
        <f>'Reported burning'!B4756</f>
        <v>0</v>
      </c>
      <c r="C4755" s="217">
        <f>'Reported burning'!C4756</f>
        <v>0</v>
      </c>
      <c r="D4755" s="217">
        <f>'Reported burning'!D4756</f>
        <v>0</v>
      </c>
      <c r="E4755" s="217">
        <f>'Reported burning'!E4756</f>
        <v>0</v>
      </c>
      <c r="F4755" s="217">
        <f>'Reported burning'!F4756</f>
        <v>0</v>
      </c>
      <c r="G4755" s="217">
        <f>'Reported burning'!G4756</f>
        <v>0</v>
      </c>
      <c r="H4755" s="217">
        <f>'Reported burning'!H4756</f>
        <v>0</v>
      </c>
    </row>
    <row r="4756" spans="1:8">
      <c r="A4756" s="217">
        <f>'Reported burning'!A4757</f>
        <v>0</v>
      </c>
      <c r="B4756" s="217">
        <f>'Reported burning'!B4757</f>
        <v>0</v>
      </c>
      <c r="C4756" s="217">
        <f>'Reported burning'!C4757</f>
        <v>0</v>
      </c>
      <c r="D4756" s="217">
        <f>'Reported burning'!D4757</f>
        <v>0</v>
      </c>
      <c r="E4756" s="217">
        <f>'Reported burning'!E4757</f>
        <v>0</v>
      </c>
      <c r="F4756" s="217">
        <f>'Reported burning'!F4757</f>
        <v>0</v>
      </c>
      <c r="G4756" s="217">
        <f>'Reported burning'!G4757</f>
        <v>0</v>
      </c>
      <c r="H4756" s="217">
        <f>'Reported burning'!H4757</f>
        <v>0</v>
      </c>
    </row>
    <row r="4757" spans="1:8">
      <c r="A4757" s="217">
        <f>'Reported burning'!A4758</f>
        <v>0</v>
      </c>
      <c r="B4757" s="217">
        <f>'Reported burning'!B4758</f>
        <v>0</v>
      </c>
      <c r="C4757" s="217">
        <f>'Reported burning'!C4758</f>
        <v>0</v>
      </c>
      <c r="D4757" s="217">
        <f>'Reported burning'!D4758</f>
        <v>0</v>
      </c>
      <c r="E4757" s="217">
        <f>'Reported burning'!E4758</f>
        <v>0</v>
      </c>
      <c r="F4757" s="217">
        <f>'Reported burning'!F4758</f>
        <v>0</v>
      </c>
      <c r="G4757" s="217">
        <f>'Reported burning'!G4758</f>
        <v>0</v>
      </c>
      <c r="H4757" s="217">
        <f>'Reported burning'!H4758</f>
        <v>0</v>
      </c>
    </row>
    <row r="4758" spans="1:8">
      <c r="A4758" s="217">
        <f>'Reported burning'!A4759</f>
        <v>0</v>
      </c>
      <c r="B4758" s="217">
        <f>'Reported burning'!B4759</f>
        <v>0</v>
      </c>
      <c r="C4758" s="217">
        <f>'Reported burning'!C4759</f>
        <v>0</v>
      </c>
      <c r="D4758" s="217">
        <f>'Reported burning'!D4759</f>
        <v>0</v>
      </c>
      <c r="E4758" s="217">
        <f>'Reported burning'!E4759</f>
        <v>0</v>
      </c>
      <c r="F4758" s="217">
        <f>'Reported burning'!F4759</f>
        <v>0</v>
      </c>
      <c r="G4758" s="217">
        <f>'Reported burning'!G4759</f>
        <v>0</v>
      </c>
      <c r="H4758" s="217">
        <f>'Reported burning'!H4759</f>
        <v>0</v>
      </c>
    </row>
    <row r="4759" spans="1:8">
      <c r="A4759" s="217">
        <f>'Reported burning'!A4760</f>
        <v>0</v>
      </c>
      <c r="B4759" s="217">
        <f>'Reported burning'!B4760</f>
        <v>0</v>
      </c>
      <c r="C4759" s="217">
        <f>'Reported burning'!C4760</f>
        <v>0</v>
      </c>
      <c r="D4759" s="217">
        <f>'Reported burning'!D4760</f>
        <v>0</v>
      </c>
      <c r="E4759" s="217">
        <f>'Reported burning'!E4760</f>
        <v>0</v>
      </c>
      <c r="F4759" s="217">
        <f>'Reported burning'!F4760</f>
        <v>0</v>
      </c>
      <c r="G4759" s="217">
        <f>'Reported burning'!G4760</f>
        <v>0</v>
      </c>
      <c r="H4759" s="217">
        <f>'Reported burning'!H4760</f>
        <v>0</v>
      </c>
    </row>
    <row r="4760" spans="1:8">
      <c r="A4760" s="217">
        <f>'Reported burning'!A4761</f>
        <v>0</v>
      </c>
      <c r="B4760" s="217">
        <f>'Reported burning'!B4761</f>
        <v>0</v>
      </c>
      <c r="C4760" s="217">
        <f>'Reported burning'!C4761</f>
        <v>0</v>
      </c>
      <c r="D4760" s="217">
        <f>'Reported burning'!D4761</f>
        <v>0</v>
      </c>
      <c r="E4760" s="217">
        <f>'Reported burning'!E4761</f>
        <v>0</v>
      </c>
      <c r="F4760" s="217">
        <f>'Reported burning'!F4761</f>
        <v>0</v>
      </c>
      <c r="G4760" s="217">
        <f>'Reported burning'!G4761</f>
        <v>0</v>
      </c>
      <c r="H4760" s="217">
        <f>'Reported burning'!H4761</f>
        <v>0</v>
      </c>
    </row>
    <row r="4761" spans="1:8">
      <c r="A4761" s="217">
        <f>'Reported burning'!A4762</f>
        <v>0</v>
      </c>
      <c r="B4761" s="217">
        <f>'Reported burning'!B4762</f>
        <v>0</v>
      </c>
      <c r="C4761" s="217">
        <f>'Reported burning'!C4762</f>
        <v>0</v>
      </c>
      <c r="D4761" s="217">
        <f>'Reported burning'!D4762</f>
        <v>0</v>
      </c>
      <c r="E4761" s="217">
        <f>'Reported burning'!E4762</f>
        <v>0</v>
      </c>
      <c r="F4761" s="217">
        <f>'Reported burning'!F4762</f>
        <v>0</v>
      </c>
      <c r="G4761" s="217">
        <f>'Reported burning'!G4762</f>
        <v>0</v>
      </c>
      <c r="H4761" s="217">
        <f>'Reported burning'!H4762</f>
        <v>0</v>
      </c>
    </row>
    <row r="4762" spans="1:8">
      <c r="A4762" s="217">
        <f>'Reported burning'!A4763</f>
        <v>0</v>
      </c>
      <c r="B4762" s="217">
        <f>'Reported burning'!B4763</f>
        <v>0</v>
      </c>
      <c r="C4762" s="217">
        <f>'Reported burning'!C4763</f>
        <v>0</v>
      </c>
      <c r="D4762" s="217">
        <f>'Reported burning'!D4763</f>
        <v>0</v>
      </c>
      <c r="E4762" s="217">
        <f>'Reported burning'!E4763</f>
        <v>0</v>
      </c>
      <c r="F4762" s="217">
        <f>'Reported burning'!F4763</f>
        <v>0</v>
      </c>
      <c r="G4762" s="217">
        <f>'Reported burning'!G4763</f>
        <v>0</v>
      </c>
      <c r="H4762" s="217">
        <f>'Reported burning'!H4763</f>
        <v>0</v>
      </c>
    </row>
    <row r="4763" spans="1:8">
      <c r="A4763" s="217">
        <f>'Reported burning'!A4764</f>
        <v>0</v>
      </c>
      <c r="B4763" s="217">
        <f>'Reported burning'!B4764</f>
        <v>0</v>
      </c>
      <c r="C4763" s="217">
        <f>'Reported burning'!C4764</f>
        <v>0</v>
      </c>
      <c r="D4763" s="217">
        <f>'Reported burning'!D4764</f>
        <v>0</v>
      </c>
      <c r="E4763" s="217">
        <f>'Reported burning'!E4764</f>
        <v>0</v>
      </c>
      <c r="F4763" s="217">
        <f>'Reported burning'!F4764</f>
        <v>0</v>
      </c>
      <c r="G4763" s="217">
        <f>'Reported burning'!G4764</f>
        <v>0</v>
      </c>
      <c r="H4763" s="217">
        <f>'Reported burning'!H4764</f>
        <v>0</v>
      </c>
    </row>
    <row r="4764" spans="1:8">
      <c r="A4764" s="217">
        <f>'Reported burning'!A4765</f>
        <v>0</v>
      </c>
      <c r="B4764" s="217">
        <f>'Reported burning'!B4765</f>
        <v>0</v>
      </c>
      <c r="C4764" s="217">
        <f>'Reported burning'!C4765</f>
        <v>0</v>
      </c>
      <c r="D4764" s="217">
        <f>'Reported burning'!D4765</f>
        <v>0</v>
      </c>
      <c r="E4764" s="217">
        <f>'Reported burning'!E4765</f>
        <v>0</v>
      </c>
      <c r="F4764" s="217">
        <f>'Reported burning'!F4765</f>
        <v>0</v>
      </c>
      <c r="G4764" s="217">
        <f>'Reported burning'!G4765</f>
        <v>0</v>
      </c>
      <c r="H4764" s="217">
        <f>'Reported burning'!H4765</f>
        <v>0</v>
      </c>
    </row>
    <row r="4765" spans="1:8">
      <c r="A4765" s="217">
        <f>'Reported burning'!A4766</f>
        <v>0</v>
      </c>
      <c r="B4765" s="217">
        <f>'Reported burning'!B4766</f>
        <v>0</v>
      </c>
      <c r="C4765" s="217">
        <f>'Reported burning'!C4766</f>
        <v>0</v>
      </c>
      <c r="D4765" s="217">
        <f>'Reported burning'!D4766</f>
        <v>0</v>
      </c>
      <c r="E4765" s="217">
        <f>'Reported burning'!E4766</f>
        <v>0</v>
      </c>
      <c r="F4765" s="217">
        <f>'Reported burning'!F4766</f>
        <v>0</v>
      </c>
      <c r="G4765" s="217">
        <f>'Reported burning'!G4766</f>
        <v>0</v>
      </c>
      <c r="H4765" s="217">
        <f>'Reported burning'!H4766</f>
        <v>0</v>
      </c>
    </row>
    <row r="4766" spans="1:8">
      <c r="A4766" s="217">
        <f>'Reported burning'!A4767</f>
        <v>0</v>
      </c>
      <c r="B4766" s="217">
        <f>'Reported burning'!B4767</f>
        <v>0</v>
      </c>
      <c r="C4766" s="217">
        <f>'Reported burning'!C4767</f>
        <v>0</v>
      </c>
      <c r="D4766" s="217">
        <f>'Reported burning'!D4767</f>
        <v>0</v>
      </c>
      <c r="E4766" s="217">
        <f>'Reported burning'!E4767</f>
        <v>0</v>
      </c>
      <c r="F4766" s="217">
        <f>'Reported burning'!F4767</f>
        <v>0</v>
      </c>
      <c r="G4766" s="217">
        <f>'Reported burning'!G4767</f>
        <v>0</v>
      </c>
      <c r="H4766" s="217">
        <f>'Reported burning'!H4767</f>
        <v>0</v>
      </c>
    </row>
    <row r="4767" spans="1:8">
      <c r="A4767" s="217">
        <f>'Reported burning'!A4768</f>
        <v>0</v>
      </c>
      <c r="B4767" s="217">
        <f>'Reported burning'!B4768</f>
        <v>0</v>
      </c>
      <c r="C4767" s="217">
        <f>'Reported burning'!C4768</f>
        <v>0</v>
      </c>
      <c r="D4767" s="217">
        <f>'Reported burning'!D4768</f>
        <v>0</v>
      </c>
      <c r="E4767" s="217">
        <f>'Reported burning'!E4768</f>
        <v>0</v>
      </c>
      <c r="F4767" s="217">
        <f>'Reported burning'!F4768</f>
        <v>0</v>
      </c>
      <c r="G4767" s="217">
        <f>'Reported burning'!G4768</f>
        <v>0</v>
      </c>
      <c r="H4767" s="217">
        <f>'Reported burning'!H4768</f>
        <v>0</v>
      </c>
    </row>
    <row r="4768" spans="1:8">
      <c r="A4768" s="217">
        <f>'Reported burning'!A4769</f>
        <v>0</v>
      </c>
      <c r="B4768" s="217">
        <f>'Reported burning'!B4769</f>
        <v>0</v>
      </c>
      <c r="C4768" s="217">
        <f>'Reported burning'!C4769</f>
        <v>0</v>
      </c>
      <c r="D4768" s="217">
        <f>'Reported burning'!D4769</f>
        <v>0</v>
      </c>
      <c r="E4768" s="217">
        <f>'Reported burning'!E4769</f>
        <v>0</v>
      </c>
      <c r="F4768" s="217">
        <f>'Reported burning'!F4769</f>
        <v>0</v>
      </c>
      <c r="G4768" s="217">
        <f>'Reported burning'!G4769</f>
        <v>0</v>
      </c>
      <c r="H4768" s="217">
        <f>'Reported burning'!H4769</f>
        <v>0</v>
      </c>
    </row>
    <row r="4769" spans="1:8">
      <c r="A4769" s="217">
        <f>'Reported burning'!A4770</f>
        <v>0</v>
      </c>
      <c r="B4769" s="217">
        <f>'Reported burning'!B4770</f>
        <v>0</v>
      </c>
      <c r="C4769" s="217">
        <f>'Reported burning'!C4770</f>
        <v>0</v>
      </c>
      <c r="D4769" s="217">
        <f>'Reported burning'!D4770</f>
        <v>0</v>
      </c>
      <c r="E4769" s="217">
        <f>'Reported burning'!E4770</f>
        <v>0</v>
      </c>
      <c r="F4769" s="217">
        <f>'Reported burning'!F4770</f>
        <v>0</v>
      </c>
      <c r="G4769" s="217">
        <f>'Reported burning'!G4770</f>
        <v>0</v>
      </c>
      <c r="H4769" s="217">
        <f>'Reported burning'!H4770</f>
        <v>0</v>
      </c>
    </row>
    <row r="4770" spans="1:8">
      <c r="A4770" s="217">
        <f>'Reported burning'!A4771</f>
        <v>0</v>
      </c>
      <c r="B4770" s="217">
        <f>'Reported burning'!B4771</f>
        <v>0</v>
      </c>
      <c r="C4770" s="217">
        <f>'Reported burning'!C4771</f>
        <v>0</v>
      </c>
      <c r="D4770" s="217">
        <f>'Reported burning'!D4771</f>
        <v>0</v>
      </c>
      <c r="E4770" s="217">
        <f>'Reported burning'!E4771</f>
        <v>0</v>
      </c>
      <c r="F4770" s="217">
        <f>'Reported burning'!F4771</f>
        <v>0</v>
      </c>
      <c r="G4770" s="217">
        <f>'Reported burning'!G4771</f>
        <v>0</v>
      </c>
      <c r="H4770" s="217">
        <f>'Reported burning'!H4771</f>
        <v>0</v>
      </c>
    </row>
    <row r="4771" spans="1:8">
      <c r="A4771" s="217">
        <f>'Reported burning'!A4772</f>
        <v>0</v>
      </c>
      <c r="B4771" s="217">
        <f>'Reported burning'!B4772</f>
        <v>0</v>
      </c>
      <c r="C4771" s="217">
        <f>'Reported burning'!C4772</f>
        <v>0</v>
      </c>
      <c r="D4771" s="217">
        <f>'Reported burning'!D4772</f>
        <v>0</v>
      </c>
      <c r="E4771" s="217">
        <f>'Reported burning'!E4772</f>
        <v>0</v>
      </c>
      <c r="F4771" s="217">
        <f>'Reported burning'!F4772</f>
        <v>0</v>
      </c>
      <c r="G4771" s="217">
        <f>'Reported burning'!G4772</f>
        <v>0</v>
      </c>
      <c r="H4771" s="217">
        <f>'Reported burning'!H4772</f>
        <v>0</v>
      </c>
    </row>
    <row r="4772" spans="1:8">
      <c r="A4772" s="217">
        <f>'Reported burning'!A4773</f>
        <v>0</v>
      </c>
      <c r="B4772" s="217">
        <f>'Reported burning'!B4773</f>
        <v>0</v>
      </c>
      <c r="C4772" s="217">
        <f>'Reported burning'!C4773</f>
        <v>0</v>
      </c>
      <c r="D4772" s="217">
        <f>'Reported burning'!D4773</f>
        <v>0</v>
      </c>
      <c r="E4772" s="217">
        <f>'Reported burning'!E4773</f>
        <v>0</v>
      </c>
      <c r="F4772" s="217">
        <f>'Reported burning'!F4773</f>
        <v>0</v>
      </c>
      <c r="G4772" s="217">
        <f>'Reported burning'!G4773</f>
        <v>0</v>
      </c>
      <c r="H4772" s="217">
        <f>'Reported burning'!H4773</f>
        <v>0</v>
      </c>
    </row>
    <row r="4773" spans="1:8">
      <c r="A4773" s="217">
        <f>'Reported burning'!A4774</f>
        <v>0</v>
      </c>
      <c r="B4773" s="217">
        <f>'Reported burning'!B4774</f>
        <v>0</v>
      </c>
      <c r="C4773" s="217">
        <f>'Reported burning'!C4774</f>
        <v>0</v>
      </c>
      <c r="D4773" s="217">
        <f>'Reported burning'!D4774</f>
        <v>0</v>
      </c>
      <c r="E4773" s="217">
        <f>'Reported burning'!E4774</f>
        <v>0</v>
      </c>
      <c r="F4773" s="217">
        <f>'Reported burning'!F4774</f>
        <v>0</v>
      </c>
      <c r="G4773" s="217">
        <f>'Reported burning'!G4774</f>
        <v>0</v>
      </c>
      <c r="H4773" s="217">
        <f>'Reported burning'!H4774</f>
        <v>0</v>
      </c>
    </row>
    <row r="4774" spans="1:8">
      <c r="A4774" s="217">
        <f>'Reported burning'!A4775</f>
        <v>0</v>
      </c>
      <c r="B4774" s="217">
        <f>'Reported burning'!B4775</f>
        <v>0</v>
      </c>
      <c r="C4774" s="217">
        <f>'Reported burning'!C4775</f>
        <v>0</v>
      </c>
      <c r="D4774" s="217">
        <f>'Reported burning'!D4775</f>
        <v>0</v>
      </c>
      <c r="E4774" s="217">
        <f>'Reported burning'!E4775</f>
        <v>0</v>
      </c>
      <c r="F4774" s="217">
        <f>'Reported burning'!F4775</f>
        <v>0</v>
      </c>
      <c r="G4774" s="217">
        <f>'Reported burning'!G4775</f>
        <v>0</v>
      </c>
      <c r="H4774" s="217">
        <f>'Reported burning'!H4775</f>
        <v>0</v>
      </c>
    </row>
    <row r="4775" spans="1:8">
      <c r="A4775" s="217">
        <f>'Reported burning'!A4776</f>
        <v>0</v>
      </c>
      <c r="B4775" s="217">
        <f>'Reported burning'!B4776</f>
        <v>0</v>
      </c>
      <c r="C4775" s="217">
        <f>'Reported burning'!C4776</f>
        <v>0</v>
      </c>
      <c r="D4775" s="217">
        <f>'Reported burning'!D4776</f>
        <v>0</v>
      </c>
      <c r="E4775" s="217">
        <f>'Reported burning'!E4776</f>
        <v>0</v>
      </c>
      <c r="F4775" s="217">
        <f>'Reported burning'!F4776</f>
        <v>0</v>
      </c>
      <c r="G4775" s="217">
        <f>'Reported burning'!G4776</f>
        <v>0</v>
      </c>
      <c r="H4775" s="217">
        <f>'Reported burning'!H4776</f>
        <v>0</v>
      </c>
    </row>
    <row r="4776" spans="1:8">
      <c r="A4776" s="217">
        <f>'Reported burning'!A4777</f>
        <v>0</v>
      </c>
      <c r="B4776" s="217">
        <f>'Reported burning'!B4777</f>
        <v>0</v>
      </c>
      <c r="C4776" s="217">
        <f>'Reported burning'!C4777</f>
        <v>0</v>
      </c>
      <c r="D4776" s="217">
        <f>'Reported burning'!D4777</f>
        <v>0</v>
      </c>
      <c r="E4776" s="217">
        <f>'Reported burning'!E4777</f>
        <v>0</v>
      </c>
      <c r="F4776" s="217">
        <f>'Reported burning'!F4777</f>
        <v>0</v>
      </c>
      <c r="G4776" s="217">
        <f>'Reported burning'!G4777</f>
        <v>0</v>
      </c>
      <c r="H4776" s="217">
        <f>'Reported burning'!H4777</f>
        <v>0</v>
      </c>
    </row>
    <row r="4777" spans="1:8">
      <c r="A4777" s="217">
        <f>'Reported burning'!A4778</f>
        <v>0</v>
      </c>
      <c r="B4777" s="217">
        <f>'Reported burning'!B4778</f>
        <v>0</v>
      </c>
      <c r="C4777" s="217">
        <f>'Reported burning'!C4778</f>
        <v>0</v>
      </c>
      <c r="D4777" s="217">
        <f>'Reported burning'!D4778</f>
        <v>0</v>
      </c>
      <c r="E4777" s="217">
        <f>'Reported burning'!E4778</f>
        <v>0</v>
      </c>
      <c r="F4777" s="217">
        <f>'Reported burning'!F4778</f>
        <v>0</v>
      </c>
      <c r="G4777" s="217">
        <f>'Reported burning'!G4778</f>
        <v>0</v>
      </c>
      <c r="H4777" s="217">
        <f>'Reported burning'!H4778</f>
        <v>0</v>
      </c>
    </row>
    <row r="4778" spans="1:8">
      <c r="A4778" s="217">
        <f>'Reported burning'!A4779</f>
        <v>0</v>
      </c>
      <c r="B4778" s="217">
        <f>'Reported burning'!B4779</f>
        <v>0</v>
      </c>
      <c r="C4778" s="217">
        <f>'Reported burning'!C4779</f>
        <v>0</v>
      </c>
      <c r="D4778" s="217">
        <f>'Reported burning'!D4779</f>
        <v>0</v>
      </c>
      <c r="E4778" s="217">
        <f>'Reported burning'!E4779</f>
        <v>0</v>
      </c>
      <c r="F4778" s="217">
        <f>'Reported burning'!F4779</f>
        <v>0</v>
      </c>
      <c r="G4778" s="217">
        <f>'Reported burning'!G4779</f>
        <v>0</v>
      </c>
      <c r="H4778" s="217">
        <f>'Reported burning'!H4779</f>
        <v>0</v>
      </c>
    </row>
    <row r="4779" spans="1:8">
      <c r="A4779" s="217">
        <f>'Reported burning'!A4780</f>
        <v>0</v>
      </c>
      <c r="B4779" s="217">
        <f>'Reported burning'!B4780</f>
        <v>0</v>
      </c>
      <c r="C4779" s="217">
        <f>'Reported burning'!C4780</f>
        <v>0</v>
      </c>
      <c r="D4779" s="217">
        <f>'Reported burning'!D4780</f>
        <v>0</v>
      </c>
      <c r="E4779" s="217">
        <f>'Reported burning'!E4780</f>
        <v>0</v>
      </c>
      <c r="F4779" s="217">
        <f>'Reported burning'!F4780</f>
        <v>0</v>
      </c>
      <c r="G4779" s="217">
        <f>'Reported burning'!G4780</f>
        <v>0</v>
      </c>
      <c r="H4779" s="217">
        <f>'Reported burning'!H4780</f>
        <v>0</v>
      </c>
    </row>
    <row r="4780" spans="1:8">
      <c r="A4780" s="217">
        <f>'Reported burning'!A4781</f>
        <v>0</v>
      </c>
      <c r="B4780" s="217">
        <f>'Reported burning'!B4781</f>
        <v>0</v>
      </c>
      <c r="C4780" s="217">
        <f>'Reported burning'!C4781</f>
        <v>0</v>
      </c>
      <c r="D4780" s="217">
        <f>'Reported burning'!D4781</f>
        <v>0</v>
      </c>
      <c r="E4780" s="217">
        <f>'Reported burning'!E4781</f>
        <v>0</v>
      </c>
      <c r="F4780" s="217">
        <f>'Reported burning'!F4781</f>
        <v>0</v>
      </c>
      <c r="G4780" s="217">
        <f>'Reported burning'!G4781</f>
        <v>0</v>
      </c>
      <c r="H4780" s="217">
        <f>'Reported burning'!H4781</f>
        <v>0</v>
      </c>
    </row>
    <row r="4781" spans="1:8">
      <c r="A4781" s="217">
        <f>'Reported burning'!A4782</f>
        <v>0</v>
      </c>
      <c r="B4781" s="217">
        <f>'Reported burning'!B4782</f>
        <v>0</v>
      </c>
      <c r="C4781" s="217">
        <f>'Reported burning'!C4782</f>
        <v>0</v>
      </c>
      <c r="D4781" s="217">
        <f>'Reported burning'!D4782</f>
        <v>0</v>
      </c>
      <c r="E4781" s="217">
        <f>'Reported burning'!E4782</f>
        <v>0</v>
      </c>
      <c r="F4781" s="217">
        <f>'Reported burning'!F4782</f>
        <v>0</v>
      </c>
      <c r="G4781" s="217">
        <f>'Reported burning'!G4782</f>
        <v>0</v>
      </c>
      <c r="H4781" s="217">
        <f>'Reported burning'!H4782</f>
        <v>0</v>
      </c>
    </row>
    <row r="4782" spans="1:8">
      <c r="A4782" s="217">
        <f>'Reported burning'!A4783</f>
        <v>0</v>
      </c>
      <c r="B4782" s="217">
        <f>'Reported burning'!B4783</f>
        <v>0</v>
      </c>
      <c r="C4782" s="217">
        <f>'Reported burning'!C4783</f>
        <v>0</v>
      </c>
      <c r="D4782" s="217">
        <f>'Reported burning'!D4783</f>
        <v>0</v>
      </c>
      <c r="E4782" s="217">
        <f>'Reported burning'!E4783</f>
        <v>0</v>
      </c>
      <c r="F4782" s="217">
        <f>'Reported burning'!F4783</f>
        <v>0</v>
      </c>
      <c r="G4782" s="217">
        <f>'Reported burning'!G4783</f>
        <v>0</v>
      </c>
      <c r="H4782" s="217">
        <f>'Reported burning'!H4783</f>
        <v>0</v>
      </c>
    </row>
    <row r="4783" spans="1:8">
      <c r="A4783" s="217">
        <f>'Reported burning'!A4784</f>
        <v>0</v>
      </c>
      <c r="B4783" s="217">
        <f>'Reported burning'!B4784</f>
        <v>0</v>
      </c>
      <c r="C4783" s="217">
        <f>'Reported burning'!C4784</f>
        <v>0</v>
      </c>
      <c r="D4783" s="217">
        <f>'Reported burning'!D4784</f>
        <v>0</v>
      </c>
      <c r="E4783" s="217">
        <f>'Reported burning'!E4784</f>
        <v>0</v>
      </c>
      <c r="F4783" s="217">
        <f>'Reported burning'!F4784</f>
        <v>0</v>
      </c>
      <c r="G4783" s="217">
        <f>'Reported burning'!G4784</f>
        <v>0</v>
      </c>
      <c r="H4783" s="217">
        <f>'Reported burning'!H4784</f>
        <v>0</v>
      </c>
    </row>
    <row r="4784" spans="1:8">
      <c r="A4784" s="217">
        <f>'Reported burning'!A4785</f>
        <v>0</v>
      </c>
      <c r="B4784" s="217">
        <f>'Reported burning'!B4785</f>
        <v>0</v>
      </c>
      <c r="C4784" s="217">
        <f>'Reported burning'!C4785</f>
        <v>0</v>
      </c>
      <c r="D4784" s="217">
        <f>'Reported burning'!D4785</f>
        <v>0</v>
      </c>
      <c r="E4784" s="217">
        <f>'Reported burning'!E4785</f>
        <v>0</v>
      </c>
      <c r="F4784" s="217">
        <f>'Reported burning'!F4785</f>
        <v>0</v>
      </c>
      <c r="G4784" s="217">
        <f>'Reported burning'!G4785</f>
        <v>0</v>
      </c>
      <c r="H4784" s="217">
        <f>'Reported burning'!H4785</f>
        <v>0</v>
      </c>
    </row>
    <row r="4785" spans="1:8">
      <c r="A4785" s="217">
        <f>'Reported burning'!A4786</f>
        <v>0</v>
      </c>
      <c r="B4785" s="217">
        <f>'Reported burning'!B4786</f>
        <v>0</v>
      </c>
      <c r="C4785" s="217">
        <f>'Reported burning'!C4786</f>
        <v>0</v>
      </c>
      <c r="D4785" s="217">
        <f>'Reported burning'!D4786</f>
        <v>0</v>
      </c>
      <c r="E4785" s="217">
        <f>'Reported burning'!E4786</f>
        <v>0</v>
      </c>
      <c r="F4785" s="217">
        <f>'Reported burning'!F4786</f>
        <v>0</v>
      </c>
      <c r="G4785" s="217">
        <f>'Reported burning'!G4786</f>
        <v>0</v>
      </c>
      <c r="H4785" s="217">
        <f>'Reported burning'!H4786</f>
        <v>0</v>
      </c>
    </row>
    <row r="4786" spans="1:8">
      <c r="A4786" s="217">
        <f>'Reported burning'!A4787</f>
        <v>0</v>
      </c>
      <c r="B4786" s="217">
        <f>'Reported burning'!B4787</f>
        <v>0</v>
      </c>
      <c r="C4786" s="217">
        <f>'Reported burning'!C4787</f>
        <v>0</v>
      </c>
      <c r="D4786" s="217">
        <f>'Reported burning'!D4787</f>
        <v>0</v>
      </c>
      <c r="E4786" s="217">
        <f>'Reported burning'!E4787</f>
        <v>0</v>
      </c>
      <c r="F4786" s="217">
        <f>'Reported burning'!F4787</f>
        <v>0</v>
      </c>
      <c r="G4786" s="217">
        <f>'Reported burning'!G4787</f>
        <v>0</v>
      </c>
      <c r="H4786" s="217">
        <f>'Reported burning'!H4787</f>
        <v>0</v>
      </c>
    </row>
    <row r="4787" spans="1:8">
      <c r="A4787" s="217">
        <f>'Reported burning'!A4788</f>
        <v>0</v>
      </c>
      <c r="B4787" s="217">
        <f>'Reported burning'!B4788</f>
        <v>0</v>
      </c>
      <c r="C4787" s="217">
        <f>'Reported burning'!C4788</f>
        <v>0</v>
      </c>
      <c r="D4787" s="217">
        <f>'Reported burning'!D4788</f>
        <v>0</v>
      </c>
      <c r="E4787" s="217">
        <f>'Reported burning'!E4788</f>
        <v>0</v>
      </c>
      <c r="F4787" s="217">
        <f>'Reported burning'!F4788</f>
        <v>0</v>
      </c>
      <c r="G4787" s="217">
        <f>'Reported burning'!G4788</f>
        <v>0</v>
      </c>
      <c r="H4787" s="217">
        <f>'Reported burning'!H4788</f>
        <v>0</v>
      </c>
    </row>
    <row r="4788" spans="1:8">
      <c r="A4788" s="217">
        <f>'Reported burning'!A4789</f>
        <v>0</v>
      </c>
      <c r="B4788" s="217">
        <f>'Reported burning'!B4789</f>
        <v>0</v>
      </c>
      <c r="C4788" s="217">
        <f>'Reported burning'!C4789</f>
        <v>0</v>
      </c>
      <c r="D4788" s="217">
        <f>'Reported burning'!D4789</f>
        <v>0</v>
      </c>
      <c r="E4788" s="217">
        <f>'Reported burning'!E4789</f>
        <v>0</v>
      </c>
      <c r="F4788" s="217">
        <f>'Reported burning'!F4789</f>
        <v>0</v>
      </c>
      <c r="G4788" s="217">
        <f>'Reported burning'!G4789</f>
        <v>0</v>
      </c>
      <c r="H4788" s="217">
        <f>'Reported burning'!H4789</f>
        <v>0</v>
      </c>
    </row>
    <row r="4789" spans="1:8">
      <c r="A4789" s="217">
        <f>'Reported burning'!A4790</f>
        <v>0</v>
      </c>
      <c r="B4789" s="217">
        <f>'Reported burning'!B4790</f>
        <v>0</v>
      </c>
      <c r="C4789" s="217">
        <f>'Reported burning'!C4790</f>
        <v>0</v>
      </c>
      <c r="D4789" s="217">
        <f>'Reported burning'!D4790</f>
        <v>0</v>
      </c>
      <c r="E4789" s="217">
        <f>'Reported burning'!E4790</f>
        <v>0</v>
      </c>
      <c r="F4789" s="217">
        <f>'Reported burning'!F4790</f>
        <v>0</v>
      </c>
      <c r="G4789" s="217">
        <f>'Reported burning'!G4790</f>
        <v>0</v>
      </c>
      <c r="H4789" s="217">
        <f>'Reported burning'!H4790</f>
        <v>0</v>
      </c>
    </row>
    <row r="4790" spans="1:8">
      <c r="A4790" s="217">
        <f>'Reported burning'!A4791</f>
        <v>0</v>
      </c>
      <c r="B4790" s="217">
        <f>'Reported burning'!B4791</f>
        <v>0</v>
      </c>
      <c r="C4790" s="217">
        <f>'Reported burning'!C4791</f>
        <v>0</v>
      </c>
      <c r="D4790" s="217">
        <f>'Reported burning'!D4791</f>
        <v>0</v>
      </c>
      <c r="E4790" s="217">
        <f>'Reported burning'!E4791</f>
        <v>0</v>
      </c>
      <c r="F4790" s="217">
        <f>'Reported burning'!F4791</f>
        <v>0</v>
      </c>
      <c r="G4790" s="217">
        <f>'Reported burning'!G4791</f>
        <v>0</v>
      </c>
      <c r="H4790" s="217">
        <f>'Reported burning'!H4791</f>
        <v>0</v>
      </c>
    </row>
    <row r="4791" spans="1:8">
      <c r="A4791" s="217">
        <f>'Reported burning'!A4792</f>
        <v>0</v>
      </c>
      <c r="B4791" s="217">
        <f>'Reported burning'!B4792</f>
        <v>0</v>
      </c>
      <c r="C4791" s="217">
        <f>'Reported burning'!C4792</f>
        <v>0</v>
      </c>
      <c r="D4791" s="217">
        <f>'Reported burning'!D4792</f>
        <v>0</v>
      </c>
      <c r="E4791" s="217">
        <f>'Reported burning'!E4792</f>
        <v>0</v>
      </c>
      <c r="F4791" s="217">
        <f>'Reported burning'!F4792</f>
        <v>0</v>
      </c>
      <c r="G4791" s="217">
        <f>'Reported burning'!G4792</f>
        <v>0</v>
      </c>
      <c r="H4791" s="217">
        <f>'Reported burning'!H4792</f>
        <v>0</v>
      </c>
    </row>
    <row r="4792" spans="1:8">
      <c r="A4792" s="217">
        <f>'Reported burning'!A4793</f>
        <v>0</v>
      </c>
      <c r="B4792" s="217">
        <f>'Reported burning'!B4793</f>
        <v>0</v>
      </c>
      <c r="C4792" s="217">
        <f>'Reported burning'!C4793</f>
        <v>0</v>
      </c>
      <c r="D4792" s="217">
        <f>'Reported burning'!D4793</f>
        <v>0</v>
      </c>
      <c r="E4792" s="217">
        <f>'Reported burning'!E4793</f>
        <v>0</v>
      </c>
      <c r="F4792" s="217">
        <f>'Reported burning'!F4793</f>
        <v>0</v>
      </c>
      <c r="G4792" s="217">
        <f>'Reported burning'!G4793</f>
        <v>0</v>
      </c>
      <c r="H4792" s="217">
        <f>'Reported burning'!H4793</f>
        <v>0</v>
      </c>
    </row>
    <row r="4793" spans="1:8">
      <c r="A4793" s="217">
        <f>'Reported burning'!A4794</f>
        <v>0</v>
      </c>
      <c r="B4793" s="217">
        <f>'Reported burning'!B4794</f>
        <v>0</v>
      </c>
      <c r="C4793" s="217">
        <f>'Reported burning'!C4794</f>
        <v>0</v>
      </c>
      <c r="D4793" s="217">
        <f>'Reported burning'!D4794</f>
        <v>0</v>
      </c>
      <c r="E4793" s="217">
        <f>'Reported burning'!E4794</f>
        <v>0</v>
      </c>
      <c r="F4793" s="217">
        <f>'Reported burning'!F4794</f>
        <v>0</v>
      </c>
      <c r="G4793" s="217">
        <f>'Reported burning'!G4794</f>
        <v>0</v>
      </c>
      <c r="H4793" s="217">
        <f>'Reported burning'!H4794</f>
        <v>0</v>
      </c>
    </row>
    <row r="4794" spans="1:8">
      <c r="A4794" s="217">
        <f>'Reported burning'!A4795</f>
        <v>0</v>
      </c>
      <c r="B4794" s="217">
        <f>'Reported burning'!B4795</f>
        <v>0</v>
      </c>
      <c r="C4794" s="217">
        <f>'Reported burning'!C4795</f>
        <v>0</v>
      </c>
      <c r="D4794" s="217">
        <f>'Reported burning'!D4795</f>
        <v>0</v>
      </c>
      <c r="E4794" s="217">
        <f>'Reported burning'!E4795</f>
        <v>0</v>
      </c>
      <c r="F4794" s="217">
        <f>'Reported burning'!F4795</f>
        <v>0</v>
      </c>
      <c r="G4794" s="217">
        <f>'Reported burning'!G4795</f>
        <v>0</v>
      </c>
      <c r="H4794" s="217">
        <f>'Reported burning'!H4795</f>
        <v>0</v>
      </c>
    </row>
    <row r="4795" spans="1:8">
      <c r="A4795" s="217">
        <f>'Reported burning'!A4796</f>
        <v>0</v>
      </c>
      <c r="B4795" s="217">
        <f>'Reported burning'!B4796</f>
        <v>0</v>
      </c>
      <c r="C4795" s="217">
        <f>'Reported burning'!C4796</f>
        <v>0</v>
      </c>
      <c r="D4795" s="217">
        <f>'Reported burning'!D4796</f>
        <v>0</v>
      </c>
      <c r="E4795" s="217">
        <f>'Reported burning'!E4796</f>
        <v>0</v>
      </c>
      <c r="F4795" s="217">
        <f>'Reported burning'!F4796</f>
        <v>0</v>
      </c>
      <c r="G4795" s="217">
        <f>'Reported burning'!G4796</f>
        <v>0</v>
      </c>
      <c r="H4795" s="217">
        <f>'Reported burning'!H4796</f>
        <v>0</v>
      </c>
    </row>
    <row r="4796" spans="1:8">
      <c r="A4796" s="217">
        <f>'Reported burning'!A4797</f>
        <v>0</v>
      </c>
      <c r="B4796" s="217">
        <f>'Reported burning'!B4797</f>
        <v>0</v>
      </c>
      <c r="C4796" s="217">
        <f>'Reported burning'!C4797</f>
        <v>0</v>
      </c>
      <c r="D4796" s="217">
        <f>'Reported burning'!D4797</f>
        <v>0</v>
      </c>
      <c r="E4796" s="217">
        <f>'Reported burning'!E4797</f>
        <v>0</v>
      </c>
      <c r="F4796" s="217">
        <f>'Reported burning'!F4797</f>
        <v>0</v>
      </c>
      <c r="G4796" s="217">
        <f>'Reported burning'!G4797</f>
        <v>0</v>
      </c>
      <c r="H4796" s="217">
        <f>'Reported burning'!H4797</f>
        <v>0</v>
      </c>
    </row>
    <row r="4797" spans="1:8">
      <c r="A4797" s="217">
        <f>'Reported burning'!A4798</f>
        <v>0</v>
      </c>
      <c r="B4797" s="217">
        <f>'Reported burning'!B4798</f>
        <v>0</v>
      </c>
      <c r="C4797" s="217">
        <f>'Reported burning'!C4798</f>
        <v>0</v>
      </c>
      <c r="D4797" s="217">
        <f>'Reported burning'!D4798</f>
        <v>0</v>
      </c>
      <c r="E4797" s="217">
        <f>'Reported burning'!E4798</f>
        <v>0</v>
      </c>
      <c r="F4797" s="217">
        <f>'Reported burning'!F4798</f>
        <v>0</v>
      </c>
      <c r="G4797" s="217">
        <f>'Reported burning'!G4798</f>
        <v>0</v>
      </c>
      <c r="H4797" s="217">
        <f>'Reported burning'!H4798</f>
        <v>0</v>
      </c>
    </row>
    <row r="4798" spans="1:8">
      <c r="A4798" s="217">
        <f>'Reported burning'!A4799</f>
        <v>0</v>
      </c>
      <c r="B4798" s="217">
        <f>'Reported burning'!B4799</f>
        <v>0</v>
      </c>
      <c r="C4798" s="217">
        <f>'Reported burning'!C4799</f>
        <v>0</v>
      </c>
      <c r="D4798" s="217">
        <f>'Reported burning'!D4799</f>
        <v>0</v>
      </c>
      <c r="E4798" s="217">
        <f>'Reported burning'!E4799</f>
        <v>0</v>
      </c>
      <c r="F4798" s="217">
        <f>'Reported burning'!F4799</f>
        <v>0</v>
      </c>
      <c r="G4798" s="217">
        <f>'Reported burning'!G4799</f>
        <v>0</v>
      </c>
      <c r="H4798" s="217">
        <f>'Reported burning'!H4799</f>
        <v>0</v>
      </c>
    </row>
    <row r="4799" spans="1:8">
      <c r="A4799" s="217">
        <f>'Reported burning'!A4800</f>
        <v>0</v>
      </c>
      <c r="B4799" s="217">
        <f>'Reported burning'!B4800</f>
        <v>0</v>
      </c>
      <c r="C4799" s="217">
        <f>'Reported burning'!C4800</f>
        <v>0</v>
      </c>
      <c r="D4799" s="217">
        <f>'Reported burning'!D4800</f>
        <v>0</v>
      </c>
      <c r="E4799" s="217">
        <f>'Reported burning'!E4800</f>
        <v>0</v>
      </c>
      <c r="F4799" s="217">
        <f>'Reported burning'!F4800</f>
        <v>0</v>
      </c>
      <c r="G4799" s="217">
        <f>'Reported burning'!G4800</f>
        <v>0</v>
      </c>
      <c r="H4799" s="217">
        <f>'Reported burning'!H4800</f>
        <v>0</v>
      </c>
    </row>
    <row r="4800" spans="1:8">
      <c r="A4800" s="217">
        <f>'Reported burning'!A4801</f>
        <v>0</v>
      </c>
      <c r="B4800" s="217">
        <f>'Reported burning'!B4801</f>
        <v>0</v>
      </c>
      <c r="C4800" s="217">
        <f>'Reported burning'!C4801</f>
        <v>0</v>
      </c>
      <c r="D4800" s="217">
        <f>'Reported burning'!D4801</f>
        <v>0</v>
      </c>
      <c r="E4800" s="217">
        <f>'Reported burning'!E4801</f>
        <v>0</v>
      </c>
      <c r="F4800" s="217">
        <f>'Reported burning'!F4801</f>
        <v>0</v>
      </c>
      <c r="G4800" s="217">
        <f>'Reported burning'!G4801</f>
        <v>0</v>
      </c>
      <c r="H4800" s="217">
        <f>'Reported burning'!H4801</f>
        <v>0</v>
      </c>
    </row>
    <row r="4801" spans="1:8">
      <c r="A4801" s="217">
        <f>'Reported burning'!A4802</f>
        <v>0</v>
      </c>
      <c r="B4801" s="217">
        <f>'Reported burning'!B4802</f>
        <v>0</v>
      </c>
      <c r="C4801" s="217">
        <f>'Reported burning'!C4802</f>
        <v>0</v>
      </c>
      <c r="D4801" s="217">
        <f>'Reported burning'!D4802</f>
        <v>0</v>
      </c>
      <c r="E4801" s="217">
        <f>'Reported burning'!E4802</f>
        <v>0</v>
      </c>
      <c r="F4801" s="217">
        <f>'Reported burning'!F4802</f>
        <v>0</v>
      </c>
      <c r="G4801" s="217">
        <f>'Reported burning'!G4802</f>
        <v>0</v>
      </c>
      <c r="H4801" s="217">
        <f>'Reported burning'!H4802</f>
        <v>0</v>
      </c>
    </row>
    <row r="4802" spans="1:8">
      <c r="A4802" s="217">
        <f>'Reported burning'!A4803</f>
        <v>0</v>
      </c>
      <c r="B4802" s="217">
        <f>'Reported burning'!B4803</f>
        <v>0</v>
      </c>
      <c r="C4802" s="217">
        <f>'Reported burning'!C4803</f>
        <v>0</v>
      </c>
      <c r="D4802" s="217">
        <f>'Reported burning'!D4803</f>
        <v>0</v>
      </c>
      <c r="E4802" s="217">
        <f>'Reported burning'!E4803</f>
        <v>0</v>
      </c>
      <c r="F4802" s="217">
        <f>'Reported burning'!F4803</f>
        <v>0</v>
      </c>
      <c r="G4802" s="217">
        <f>'Reported burning'!G4803</f>
        <v>0</v>
      </c>
      <c r="H4802" s="217">
        <f>'Reported burning'!H4803</f>
        <v>0</v>
      </c>
    </row>
    <row r="4803" spans="1:8">
      <c r="A4803" s="217">
        <f>'Reported burning'!A4804</f>
        <v>0</v>
      </c>
      <c r="B4803" s="217">
        <f>'Reported burning'!B4804</f>
        <v>0</v>
      </c>
      <c r="C4803" s="217">
        <f>'Reported burning'!C4804</f>
        <v>0</v>
      </c>
      <c r="D4803" s="217">
        <f>'Reported burning'!D4804</f>
        <v>0</v>
      </c>
      <c r="E4803" s="217">
        <f>'Reported burning'!E4804</f>
        <v>0</v>
      </c>
      <c r="F4803" s="217">
        <f>'Reported burning'!F4804</f>
        <v>0</v>
      </c>
      <c r="G4803" s="217">
        <f>'Reported burning'!G4804</f>
        <v>0</v>
      </c>
      <c r="H4803" s="217">
        <f>'Reported burning'!H4804</f>
        <v>0</v>
      </c>
    </row>
    <row r="4804" spans="1:8">
      <c r="A4804" s="217">
        <f>'Reported burning'!A4805</f>
        <v>0</v>
      </c>
      <c r="B4804" s="217">
        <f>'Reported burning'!B4805</f>
        <v>0</v>
      </c>
      <c r="C4804" s="217">
        <f>'Reported burning'!C4805</f>
        <v>0</v>
      </c>
      <c r="D4804" s="217">
        <f>'Reported burning'!D4805</f>
        <v>0</v>
      </c>
      <c r="E4804" s="217">
        <f>'Reported burning'!E4805</f>
        <v>0</v>
      </c>
      <c r="F4804" s="217">
        <f>'Reported burning'!F4805</f>
        <v>0</v>
      </c>
      <c r="G4804" s="217">
        <f>'Reported burning'!G4805</f>
        <v>0</v>
      </c>
      <c r="H4804" s="217">
        <f>'Reported burning'!H4805</f>
        <v>0</v>
      </c>
    </row>
    <row r="4805" spans="1:8">
      <c r="A4805" s="217">
        <f>'Reported burning'!A4806</f>
        <v>0</v>
      </c>
      <c r="B4805" s="217">
        <f>'Reported burning'!B4806</f>
        <v>0</v>
      </c>
      <c r="C4805" s="217">
        <f>'Reported burning'!C4806</f>
        <v>0</v>
      </c>
      <c r="D4805" s="217">
        <f>'Reported burning'!D4806</f>
        <v>0</v>
      </c>
      <c r="E4805" s="217">
        <f>'Reported burning'!E4806</f>
        <v>0</v>
      </c>
      <c r="F4805" s="217">
        <f>'Reported burning'!F4806</f>
        <v>0</v>
      </c>
      <c r="G4805" s="217">
        <f>'Reported burning'!G4806</f>
        <v>0</v>
      </c>
      <c r="H4805" s="217">
        <f>'Reported burning'!H4806</f>
        <v>0</v>
      </c>
    </row>
    <row r="4806" spans="1:8">
      <c r="A4806" s="217">
        <f>'Reported burning'!A4807</f>
        <v>0</v>
      </c>
      <c r="B4806" s="217">
        <f>'Reported burning'!B4807</f>
        <v>0</v>
      </c>
      <c r="C4806" s="217">
        <f>'Reported burning'!C4807</f>
        <v>0</v>
      </c>
      <c r="D4806" s="217">
        <f>'Reported burning'!D4807</f>
        <v>0</v>
      </c>
      <c r="E4806" s="217">
        <f>'Reported burning'!E4807</f>
        <v>0</v>
      </c>
      <c r="F4806" s="217">
        <f>'Reported burning'!F4807</f>
        <v>0</v>
      </c>
      <c r="G4806" s="217">
        <f>'Reported burning'!G4807</f>
        <v>0</v>
      </c>
      <c r="H4806" s="217">
        <f>'Reported burning'!H4807</f>
        <v>0</v>
      </c>
    </row>
    <row r="4807" spans="1:8">
      <c r="A4807" s="217">
        <f>'Reported burning'!A4808</f>
        <v>0</v>
      </c>
      <c r="B4807" s="217">
        <f>'Reported burning'!B4808</f>
        <v>0</v>
      </c>
      <c r="C4807" s="217">
        <f>'Reported burning'!C4808</f>
        <v>0</v>
      </c>
      <c r="D4807" s="217">
        <f>'Reported burning'!D4808</f>
        <v>0</v>
      </c>
      <c r="E4807" s="217">
        <f>'Reported burning'!E4808</f>
        <v>0</v>
      </c>
      <c r="F4807" s="217">
        <f>'Reported burning'!F4808</f>
        <v>0</v>
      </c>
      <c r="G4807" s="217">
        <f>'Reported burning'!G4808</f>
        <v>0</v>
      </c>
      <c r="H4807" s="217">
        <f>'Reported burning'!H4808</f>
        <v>0</v>
      </c>
    </row>
    <row r="4808" spans="1:8">
      <c r="A4808" s="217">
        <f>'Reported burning'!A4809</f>
        <v>0</v>
      </c>
      <c r="B4808" s="217">
        <f>'Reported burning'!B4809</f>
        <v>0</v>
      </c>
      <c r="C4808" s="217">
        <f>'Reported burning'!C4809</f>
        <v>0</v>
      </c>
      <c r="D4808" s="217">
        <f>'Reported burning'!D4809</f>
        <v>0</v>
      </c>
      <c r="E4808" s="217">
        <f>'Reported burning'!E4809</f>
        <v>0</v>
      </c>
      <c r="F4808" s="217">
        <f>'Reported burning'!F4809</f>
        <v>0</v>
      </c>
      <c r="G4808" s="217">
        <f>'Reported burning'!G4809</f>
        <v>0</v>
      </c>
      <c r="H4808" s="217">
        <f>'Reported burning'!H4809</f>
        <v>0</v>
      </c>
    </row>
    <row r="4809" spans="1:8">
      <c r="A4809" s="217">
        <f>'Reported burning'!A4810</f>
        <v>0</v>
      </c>
      <c r="B4809" s="217">
        <f>'Reported burning'!B4810</f>
        <v>0</v>
      </c>
      <c r="C4809" s="217">
        <f>'Reported burning'!C4810</f>
        <v>0</v>
      </c>
      <c r="D4809" s="217">
        <f>'Reported burning'!D4810</f>
        <v>0</v>
      </c>
      <c r="E4809" s="217">
        <f>'Reported burning'!E4810</f>
        <v>0</v>
      </c>
      <c r="F4809" s="217">
        <f>'Reported burning'!F4810</f>
        <v>0</v>
      </c>
      <c r="G4809" s="217">
        <f>'Reported burning'!G4810</f>
        <v>0</v>
      </c>
      <c r="H4809" s="217">
        <f>'Reported burning'!H4810</f>
        <v>0</v>
      </c>
    </row>
    <row r="4810" spans="1:8">
      <c r="A4810" s="217">
        <f>'Reported burning'!A4811</f>
        <v>0</v>
      </c>
      <c r="B4810" s="217">
        <f>'Reported burning'!B4811</f>
        <v>0</v>
      </c>
      <c r="C4810" s="217">
        <f>'Reported burning'!C4811</f>
        <v>0</v>
      </c>
      <c r="D4810" s="217">
        <f>'Reported burning'!D4811</f>
        <v>0</v>
      </c>
      <c r="E4810" s="217">
        <f>'Reported burning'!E4811</f>
        <v>0</v>
      </c>
      <c r="F4810" s="217">
        <f>'Reported burning'!F4811</f>
        <v>0</v>
      </c>
      <c r="G4810" s="217">
        <f>'Reported burning'!G4811</f>
        <v>0</v>
      </c>
      <c r="H4810" s="217">
        <f>'Reported burning'!H4811</f>
        <v>0</v>
      </c>
    </row>
    <row r="4811" spans="1:8">
      <c r="A4811" s="217">
        <f>'Reported burning'!A4812</f>
        <v>0</v>
      </c>
      <c r="B4811" s="217">
        <f>'Reported burning'!B4812</f>
        <v>0</v>
      </c>
      <c r="C4811" s="217">
        <f>'Reported burning'!C4812</f>
        <v>0</v>
      </c>
      <c r="D4811" s="217">
        <f>'Reported burning'!D4812</f>
        <v>0</v>
      </c>
      <c r="E4811" s="217">
        <f>'Reported burning'!E4812</f>
        <v>0</v>
      </c>
      <c r="F4811" s="217">
        <f>'Reported burning'!F4812</f>
        <v>0</v>
      </c>
      <c r="G4811" s="217">
        <f>'Reported burning'!G4812</f>
        <v>0</v>
      </c>
      <c r="H4811" s="217">
        <f>'Reported burning'!H4812</f>
        <v>0</v>
      </c>
    </row>
    <row r="4812" spans="1:8">
      <c r="A4812" s="217">
        <f>'Reported burning'!A4813</f>
        <v>0</v>
      </c>
      <c r="B4812" s="217">
        <f>'Reported burning'!B4813</f>
        <v>0</v>
      </c>
      <c r="C4812" s="217">
        <f>'Reported burning'!C4813</f>
        <v>0</v>
      </c>
      <c r="D4812" s="217">
        <f>'Reported burning'!D4813</f>
        <v>0</v>
      </c>
      <c r="E4812" s="217">
        <f>'Reported burning'!E4813</f>
        <v>0</v>
      </c>
      <c r="F4812" s="217">
        <f>'Reported burning'!F4813</f>
        <v>0</v>
      </c>
      <c r="G4812" s="217">
        <f>'Reported burning'!G4813</f>
        <v>0</v>
      </c>
      <c r="H4812" s="217">
        <f>'Reported burning'!H4813</f>
        <v>0</v>
      </c>
    </row>
    <row r="4813" spans="1:8">
      <c r="A4813" s="217">
        <f>'Reported burning'!A4814</f>
        <v>0</v>
      </c>
      <c r="B4813" s="217">
        <f>'Reported burning'!B4814</f>
        <v>0</v>
      </c>
      <c r="C4813" s="217">
        <f>'Reported burning'!C4814</f>
        <v>0</v>
      </c>
      <c r="D4813" s="217">
        <f>'Reported burning'!D4814</f>
        <v>0</v>
      </c>
      <c r="E4813" s="217">
        <f>'Reported burning'!E4814</f>
        <v>0</v>
      </c>
      <c r="F4813" s="217">
        <f>'Reported burning'!F4814</f>
        <v>0</v>
      </c>
      <c r="G4813" s="217">
        <f>'Reported burning'!G4814</f>
        <v>0</v>
      </c>
      <c r="H4813" s="217">
        <f>'Reported burning'!H4814</f>
        <v>0</v>
      </c>
    </row>
    <row r="4814" spans="1:8">
      <c r="A4814" s="217">
        <f>'Reported burning'!A4815</f>
        <v>0</v>
      </c>
      <c r="B4814" s="217">
        <f>'Reported burning'!B4815</f>
        <v>0</v>
      </c>
      <c r="C4814" s="217">
        <f>'Reported burning'!C4815</f>
        <v>0</v>
      </c>
      <c r="D4814" s="217">
        <f>'Reported burning'!D4815</f>
        <v>0</v>
      </c>
      <c r="E4814" s="217">
        <f>'Reported burning'!E4815</f>
        <v>0</v>
      </c>
      <c r="F4814" s="217">
        <f>'Reported burning'!F4815</f>
        <v>0</v>
      </c>
      <c r="G4814" s="217">
        <f>'Reported burning'!G4815</f>
        <v>0</v>
      </c>
      <c r="H4814" s="217">
        <f>'Reported burning'!H4815</f>
        <v>0</v>
      </c>
    </row>
    <row r="4815" spans="1:8">
      <c r="A4815" s="217">
        <f>'Reported burning'!A4816</f>
        <v>0</v>
      </c>
      <c r="B4815" s="217">
        <f>'Reported burning'!B4816</f>
        <v>0</v>
      </c>
      <c r="C4815" s="217">
        <f>'Reported burning'!C4816</f>
        <v>0</v>
      </c>
      <c r="D4815" s="217">
        <f>'Reported burning'!D4816</f>
        <v>0</v>
      </c>
      <c r="E4815" s="217">
        <f>'Reported burning'!E4816</f>
        <v>0</v>
      </c>
      <c r="F4815" s="217">
        <f>'Reported burning'!F4816</f>
        <v>0</v>
      </c>
      <c r="G4815" s="217">
        <f>'Reported burning'!G4816</f>
        <v>0</v>
      </c>
      <c r="H4815" s="217">
        <f>'Reported burning'!H4816</f>
        <v>0</v>
      </c>
    </row>
    <row r="4816" spans="1:8">
      <c r="A4816" s="217">
        <f>'Reported burning'!A4817</f>
        <v>0</v>
      </c>
      <c r="B4816" s="217">
        <f>'Reported burning'!B4817</f>
        <v>0</v>
      </c>
      <c r="C4816" s="217">
        <f>'Reported burning'!C4817</f>
        <v>0</v>
      </c>
      <c r="D4816" s="217">
        <f>'Reported burning'!D4817</f>
        <v>0</v>
      </c>
      <c r="E4816" s="217">
        <f>'Reported burning'!E4817</f>
        <v>0</v>
      </c>
      <c r="F4816" s="217">
        <f>'Reported burning'!F4817</f>
        <v>0</v>
      </c>
      <c r="G4816" s="217">
        <f>'Reported burning'!G4817</f>
        <v>0</v>
      </c>
      <c r="H4816" s="217">
        <f>'Reported burning'!H4817</f>
        <v>0</v>
      </c>
    </row>
    <row r="4817" spans="1:8">
      <c r="A4817" s="217">
        <f>'Reported burning'!A4818</f>
        <v>0</v>
      </c>
      <c r="B4817" s="217">
        <f>'Reported burning'!B4818</f>
        <v>0</v>
      </c>
      <c r="C4817" s="217">
        <f>'Reported burning'!C4818</f>
        <v>0</v>
      </c>
      <c r="D4817" s="217">
        <f>'Reported burning'!D4818</f>
        <v>0</v>
      </c>
      <c r="E4817" s="217">
        <f>'Reported burning'!E4818</f>
        <v>0</v>
      </c>
      <c r="F4817" s="217">
        <f>'Reported burning'!F4818</f>
        <v>0</v>
      </c>
      <c r="G4817" s="217">
        <f>'Reported burning'!G4818</f>
        <v>0</v>
      </c>
      <c r="H4817" s="217">
        <f>'Reported burning'!H4818</f>
        <v>0</v>
      </c>
    </row>
    <row r="4818" spans="1:8">
      <c r="A4818" s="217">
        <f>'Reported burning'!A4819</f>
        <v>0</v>
      </c>
      <c r="B4818" s="217">
        <f>'Reported burning'!B4819</f>
        <v>0</v>
      </c>
      <c r="C4818" s="217">
        <f>'Reported burning'!C4819</f>
        <v>0</v>
      </c>
      <c r="D4818" s="217">
        <f>'Reported burning'!D4819</f>
        <v>0</v>
      </c>
      <c r="E4818" s="217">
        <f>'Reported burning'!E4819</f>
        <v>0</v>
      </c>
      <c r="F4818" s="217">
        <f>'Reported burning'!F4819</f>
        <v>0</v>
      </c>
      <c r="G4818" s="217">
        <f>'Reported burning'!G4819</f>
        <v>0</v>
      </c>
      <c r="H4818" s="217">
        <f>'Reported burning'!H4819</f>
        <v>0</v>
      </c>
    </row>
    <row r="4819" spans="1:8">
      <c r="A4819" s="217">
        <f>'Reported burning'!A4820</f>
        <v>0</v>
      </c>
      <c r="B4819" s="217">
        <f>'Reported burning'!B4820</f>
        <v>0</v>
      </c>
      <c r="C4819" s="217">
        <f>'Reported burning'!C4820</f>
        <v>0</v>
      </c>
      <c r="D4819" s="217">
        <f>'Reported burning'!D4820</f>
        <v>0</v>
      </c>
      <c r="E4819" s="217">
        <f>'Reported burning'!E4820</f>
        <v>0</v>
      </c>
      <c r="F4819" s="217">
        <f>'Reported burning'!F4820</f>
        <v>0</v>
      </c>
      <c r="G4819" s="217">
        <f>'Reported burning'!G4820</f>
        <v>0</v>
      </c>
      <c r="H4819" s="217">
        <f>'Reported burning'!H4820</f>
        <v>0</v>
      </c>
    </row>
    <row r="4820" spans="1:8">
      <c r="A4820" s="217">
        <f>'Reported burning'!A4821</f>
        <v>0</v>
      </c>
      <c r="B4820" s="217">
        <f>'Reported burning'!B4821</f>
        <v>0</v>
      </c>
      <c r="C4820" s="217">
        <f>'Reported burning'!C4821</f>
        <v>0</v>
      </c>
      <c r="D4820" s="217">
        <f>'Reported burning'!D4821</f>
        <v>0</v>
      </c>
      <c r="E4820" s="217">
        <f>'Reported burning'!E4821</f>
        <v>0</v>
      </c>
      <c r="F4820" s="217">
        <f>'Reported burning'!F4821</f>
        <v>0</v>
      </c>
      <c r="G4820" s="217">
        <f>'Reported burning'!G4821</f>
        <v>0</v>
      </c>
      <c r="H4820" s="217">
        <f>'Reported burning'!H4821</f>
        <v>0</v>
      </c>
    </row>
    <row r="4821" spans="1:8">
      <c r="A4821" s="217">
        <f>'Reported burning'!A4822</f>
        <v>0</v>
      </c>
      <c r="B4821" s="217">
        <f>'Reported burning'!B4822</f>
        <v>0</v>
      </c>
      <c r="C4821" s="217">
        <f>'Reported burning'!C4822</f>
        <v>0</v>
      </c>
      <c r="D4821" s="217">
        <f>'Reported burning'!D4822</f>
        <v>0</v>
      </c>
      <c r="E4821" s="217">
        <f>'Reported burning'!E4822</f>
        <v>0</v>
      </c>
      <c r="F4821" s="217">
        <f>'Reported burning'!F4822</f>
        <v>0</v>
      </c>
      <c r="G4821" s="217">
        <f>'Reported burning'!G4822</f>
        <v>0</v>
      </c>
      <c r="H4821" s="217">
        <f>'Reported burning'!H4822</f>
        <v>0</v>
      </c>
    </row>
    <row r="4822" spans="1:8">
      <c r="A4822" s="217">
        <f>'Reported burning'!A4823</f>
        <v>0</v>
      </c>
      <c r="B4822" s="217">
        <f>'Reported burning'!B4823</f>
        <v>0</v>
      </c>
      <c r="C4822" s="217">
        <f>'Reported burning'!C4823</f>
        <v>0</v>
      </c>
      <c r="D4822" s="217">
        <f>'Reported burning'!D4823</f>
        <v>0</v>
      </c>
      <c r="E4822" s="217">
        <f>'Reported burning'!E4823</f>
        <v>0</v>
      </c>
      <c r="F4822" s="217">
        <f>'Reported burning'!F4823</f>
        <v>0</v>
      </c>
      <c r="G4822" s="217">
        <f>'Reported burning'!G4823</f>
        <v>0</v>
      </c>
      <c r="H4822" s="217">
        <f>'Reported burning'!H4823</f>
        <v>0</v>
      </c>
    </row>
    <row r="4823" spans="1:8">
      <c r="A4823" s="217">
        <f>'Reported burning'!A4824</f>
        <v>0</v>
      </c>
      <c r="B4823" s="217">
        <f>'Reported burning'!B4824</f>
        <v>0</v>
      </c>
      <c r="C4823" s="217">
        <f>'Reported burning'!C4824</f>
        <v>0</v>
      </c>
      <c r="D4823" s="217">
        <f>'Reported burning'!D4824</f>
        <v>0</v>
      </c>
      <c r="E4823" s="217">
        <f>'Reported burning'!E4824</f>
        <v>0</v>
      </c>
      <c r="F4823" s="217">
        <f>'Reported burning'!F4824</f>
        <v>0</v>
      </c>
      <c r="G4823" s="217">
        <f>'Reported burning'!G4824</f>
        <v>0</v>
      </c>
      <c r="H4823" s="217">
        <f>'Reported burning'!H4824</f>
        <v>0</v>
      </c>
    </row>
    <row r="4824" spans="1:8">
      <c r="A4824" s="217">
        <f>'Reported burning'!A4825</f>
        <v>0</v>
      </c>
      <c r="B4824" s="217">
        <f>'Reported burning'!B4825</f>
        <v>0</v>
      </c>
      <c r="C4824" s="217">
        <f>'Reported burning'!C4825</f>
        <v>0</v>
      </c>
      <c r="D4824" s="217">
        <f>'Reported burning'!D4825</f>
        <v>0</v>
      </c>
      <c r="E4824" s="217">
        <f>'Reported burning'!E4825</f>
        <v>0</v>
      </c>
      <c r="F4824" s="217">
        <f>'Reported burning'!F4825</f>
        <v>0</v>
      </c>
      <c r="G4824" s="217">
        <f>'Reported burning'!G4825</f>
        <v>0</v>
      </c>
      <c r="H4824" s="217">
        <f>'Reported burning'!H4825</f>
        <v>0</v>
      </c>
    </row>
    <row r="4825" spans="1:8">
      <c r="A4825" s="217">
        <f>'Reported burning'!A4826</f>
        <v>0</v>
      </c>
      <c r="B4825" s="217">
        <f>'Reported burning'!B4826</f>
        <v>0</v>
      </c>
      <c r="C4825" s="217">
        <f>'Reported burning'!C4826</f>
        <v>0</v>
      </c>
      <c r="D4825" s="217">
        <f>'Reported burning'!D4826</f>
        <v>0</v>
      </c>
      <c r="E4825" s="217">
        <f>'Reported burning'!E4826</f>
        <v>0</v>
      </c>
      <c r="F4825" s="217">
        <f>'Reported burning'!F4826</f>
        <v>0</v>
      </c>
      <c r="G4825" s="217">
        <f>'Reported burning'!G4826</f>
        <v>0</v>
      </c>
      <c r="H4825" s="217">
        <f>'Reported burning'!H4826</f>
        <v>0</v>
      </c>
    </row>
    <row r="4826" spans="1:8">
      <c r="A4826" s="217">
        <f>'Reported burning'!A4827</f>
        <v>0</v>
      </c>
      <c r="B4826" s="217">
        <f>'Reported burning'!B4827</f>
        <v>0</v>
      </c>
      <c r="C4826" s="217">
        <f>'Reported burning'!C4827</f>
        <v>0</v>
      </c>
      <c r="D4826" s="217">
        <f>'Reported burning'!D4827</f>
        <v>0</v>
      </c>
      <c r="E4826" s="217">
        <f>'Reported burning'!E4827</f>
        <v>0</v>
      </c>
      <c r="F4826" s="217">
        <f>'Reported burning'!F4827</f>
        <v>0</v>
      </c>
      <c r="G4826" s="217">
        <f>'Reported burning'!G4827</f>
        <v>0</v>
      </c>
      <c r="H4826" s="217">
        <f>'Reported burning'!H4827</f>
        <v>0</v>
      </c>
    </row>
    <row r="4827" spans="1:8">
      <c r="A4827" s="217">
        <f>'Reported burning'!A4828</f>
        <v>0</v>
      </c>
      <c r="B4827" s="217">
        <f>'Reported burning'!B4828</f>
        <v>0</v>
      </c>
      <c r="C4827" s="217">
        <f>'Reported burning'!C4828</f>
        <v>0</v>
      </c>
      <c r="D4827" s="217">
        <f>'Reported burning'!D4828</f>
        <v>0</v>
      </c>
      <c r="E4827" s="217">
        <f>'Reported burning'!E4828</f>
        <v>0</v>
      </c>
      <c r="F4827" s="217">
        <f>'Reported burning'!F4828</f>
        <v>0</v>
      </c>
      <c r="G4827" s="217">
        <f>'Reported burning'!G4828</f>
        <v>0</v>
      </c>
      <c r="H4827" s="217">
        <f>'Reported burning'!H4828</f>
        <v>0</v>
      </c>
    </row>
    <row r="4828" spans="1:8">
      <c r="A4828" s="217">
        <f>'Reported burning'!A4829</f>
        <v>0</v>
      </c>
      <c r="B4828" s="217">
        <f>'Reported burning'!B4829</f>
        <v>0</v>
      </c>
      <c r="C4828" s="217">
        <f>'Reported burning'!C4829</f>
        <v>0</v>
      </c>
      <c r="D4828" s="217">
        <f>'Reported burning'!D4829</f>
        <v>0</v>
      </c>
      <c r="E4828" s="217">
        <f>'Reported burning'!E4829</f>
        <v>0</v>
      </c>
      <c r="F4828" s="217">
        <f>'Reported burning'!F4829</f>
        <v>0</v>
      </c>
      <c r="G4828" s="217">
        <f>'Reported burning'!G4829</f>
        <v>0</v>
      </c>
      <c r="H4828" s="217">
        <f>'Reported burning'!H4829</f>
        <v>0</v>
      </c>
    </row>
    <row r="4829" spans="1:8">
      <c r="A4829" s="217">
        <f>'Reported burning'!A4830</f>
        <v>0</v>
      </c>
      <c r="B4829" s="217">
        <f>'Reported burning'!B4830</f>
        <v>0</v>
      </c>
      <c r="C4829" s="217">
        <f>'Reported burning'!C4830</f>
        <v>0</v>
      </c>
      <c r="D4829" s="217">
        <f>'Reported burning'!D4830</f>
        <v>0</v>
      </c>
      <c r="E4829" s="217">
        <f>'Reported burning'!E4830</f>
        <v>0</v>
      </c>
      <c r="F4829" s="217">
        <f>'Reported burning'!F4830</f>
        <v>0</v>
      </c>
      <c r="G4829" s="217">
        <f>'Reported burning'!G4830</f>
        <v>0</v>
      </c>
      <c r="H4829" s="217">
        <f>'Reported burning'!H4830</f>
        <v>0</v>
      </c>
    </row>
    <row r="4830" spans="1:8">
      <c r="A4830" s="217">
        <f>'Reported burning'!A4831</f>
        <v>0</v>
      </c>
      <c r="B4830" s="217">
        <f>'Reported burning'!B4831</f>
        <v>0</v>
      </c>
      <c r="C4830" s="217">
        <f>'Reported burning'!C4831</f>
        <v>0</v>
      </c>
      <c r="D4830" s="217">
        <f>'Reported burning'!D4831</f>
        <v>0</v>
      </c>
      <c r="E4830" s="217">
        <f>'Reported burning'!E4831</f>
        <v>0</v>
      </c>
      <c r="F4830" s="217">
        <f>'Reported burning'!F4831</f>
        <v>0</v>
      </c>
      <c r="G4830" s="217">
        <f>'Reported burning'!G4831</f>
        <v>0</v>
      </c>
      <c r="H4830" s="217">
        <f>'Reported burning'!H4831</f>
        <v>0</v>
      </c>
    </row>
    <row r="4831" spans="1:8">
      <c r="A4831" s="217">
        <f>'Reported burning'!A4832</f>
        <v>0</v>
      </c>
      <c r="B4831" s="217">
        <f>'Reported burning'!B4832</f>
        <v>0</v>
      </c>
      <c r="C4831" s="217">
        <f>'Reported burning'!C4832</f>
        <v>0</v>
      </c>
      <c r="D4831" s="217">
        <f>'Reported burning'!D4832</f>
        <v>0</v>
      </c>
      <c r="E4831" s="217">
        <f>'Reported burning'!E4832</f>
        <v>0</v>
      </c>
      <c r="F4831" s="217">
        <f>'Reported burning'!F4832</f>
        <v>0</v>
      </c>
      <c r="G4831" s="217">
        <f>'Reported burning'!G4832</f>
        <v>0</v>
      </c>
      <c r="H4831" s="217">
        <f>'Reported burning'!H4832</f>
        <v>0</v>
      </c>
    </row>
    <row r="4832" spans="1:8">
      <c r="A4832" s="217">
        <f>'Reported burning'!A4833</f>
        <v>0</v>
      </c>
      <c r="B4832" s="217">
        <f>'Reported burning'!B4833</f>
        <v>0</v>
      </c>
      <c r="C4832" s="217">
        <f>'Reported burning'!C4833</f>
        <v>0</v>
      </c>
      <c r="D4832" s="217">
        <f>'Reported burning'!D4833</f>
        <v>0</v>
      </c>
      <c r="E4832" s="217">
        <f>'Reported burning'!E4833</f>
        <v>0</v>
      </c>
      <c r="F4832" s="217">
        <f>'Reported burning'!F4833</f>
        <v>0</v>
      </c>
      <c r="G4832" s="217">
        <f>'Reported burning'!G4833</f>
        <v>0</v>
      </c>
      <c r="H4832" s="217">
        <f>'Reported burning'!H4833</f>
        <v>0</v>
      </c>
    </row>
    <row r="4833" spans="1:8">
      <c r="A4833" s="217">
        <f>'Reported burning'!A4834</f>
        <v>0</v>
      </c>
      <c r="B4833" s="217">
        <f>'Reported burning'!B4834</f>
        <v>0</v>
      </c>
      <c r="C4833" s="217">
        <f>'Reported burning'!C4834</f>
        <v>0</v>
      </c>
      <c r="D4833" s="217">
        <f>'Reported burning'!D4834</f>
        <v>0</v>
      </c>
      <c r="E4833" s="217">
        <f>'Reported burning'!E4834</f>
        <v>0</v>
      </c>
      <c r="F4833" s="217">
        <f>'Reported burning'!F4834</f>
        <v>0</v>
      </c>
      <c r="G4833" s="217">
        <f>'Reported burning'!G4834</f>
        <v>0</v>
      </c>
      <c r="H4833" s="217">
        <f>'Reported burning'!H4834</f>
        <v>0</v>
      </c>
    </row>
    <row r="4834" spans="1:8">
      <c r="A4834" s="217">
        <f>'Reported burning'!A4835</f>
        <v>0</v>
      </c>
      <c r="B4834" s="217">
        <f>'Reported burning'!B4835</f>
        <v>0</v>
      </c>
      <c r="C4834" s="217">
        <f>'Reported burning'!C4835</f>
        <v>0</v>
      </c>
      <c r="D4834" s="217">
        <f>'Reported burning'!D4835</f>
        <v>0</v>
      </c>
      <c r="E4834" s="217">
        <f>'Reported burning'!E4835</f>
        <v>0</v>
      </c>
      <c r="F4834" s="217">
        <f>'Reported burning'!F4835</f>
        <v>0</v>
      </c>
      <c r="G4834" s="217">
        <f>'Reported burning'!G4835</f>
        <v>0</v>
      </c>
      <c r="H4834" s="217">
        <f>'Reported burning'!H4835</f>
        <v>0</v>
      </c>
    </row>
    <row r="4835" spans="1:8">
      <c r="A4835" s="217">
        <f>'Reported burning'!A4836</f>
        <v>0</v>
      </c>
      <c r="B4835" s="217">
        <f>'Reported burning'!B4836</f>
        <v>0</v>
      </c>
      <c r="C4835" s="217">
        <f>'Reported burning'!C4836</f>
        <v>0</v>
      </c>
      <c r="D4835" s="217">
        <f>'Reported burning'!D4836</f>
        <v>0</v>
      </c>
      <c r="E4835" s="217">
        <f>'Reported burning'!E4836</f>
        <v>0</v>
      </c>
      <c r="F4835" s="217">
        <f>'Reported burning'!F4836</f>
        <v>0</v>
      </c>
      <c r="G4835" s="217">
        <f>'Reported burning'!G4836</f>
        <v>0</v>
      </c>
      <c r="H4835" s="217">
        <f>'Reported burning'!H4836</f>
        <v>0</v>
      </c>
    </row>
    <row r="4836" spans="1:8">
      <c r="A4836" s="217">
        <f>'Reported burning'!A4837</f>
        <v>0</v>
      </c>
      <c r="B4836" s="217">
        <f>'Reported burning'!B4837</f>
        <v>0</v>
      </c>
      <c r="C4836" s="217">
        <f>'Reported burning'!C4837</f>
        <v>0</v>
      </c>
      <c r="D4836" s="217">
        <f>'Reported burning'!D4837</f>
        <v>0</v>
      </c>
      <c r="E4836" s="217">
        <f>'Reported burning'!E4837</f>
        <v>0</v>
      </c>
      <c r="F4836" s="217">
        <f>'Reported burning'!F4837</f>
        <v>0</v>
      </c>
      <c r="G4836" s="217">
        <f>'Reported burning'!G4837</f>
        <v>0</v>
      </c>
      <c r="H4836" s="217">
        <f>'Reported burning'!H4837</f>
        <v>0</v>
      </c>
    </row>
    <row r="4837" spans="1:8">
      <c r="A4837" s="217">
        <f>'Reported burning'!A4838</f>
        <v>0</v>
      </c>
      <c r="B4837" s="217">
        <f>'Reported burning'!B4838</f>
        <v>0</v>
      </c>
      <c r="C4837" s="217">
        <f>'Reported burning'!C4838</f>
        <v>0</v>
      </c>
      <c r="D4837" s="217">
        <f>'Reported burning'!D4838</f>
        <v>0</v>
      </c>
      <c r="E4837" s="217">
        <f>'Reported burning'!E4838</f>
        <v>0</v>
      </c>
      <c r="F4837" s="217">
        <f>'Reported burning'!F4838</f>
        <v>0</v>
      </c>
      <c r="G4837" s="217">
        <f>'Reported burning'!G4838</f>
        <v>0</v>
      </c>
      <c r="H4837" s="217">
        <f>'Reported burning'!H4838</f>
        <v>0</v>
      </c>
    </row>
    <row r="4838" spans="1:8">
      <c r="A4838" s="217">
        <f>'Reported burning'!A4839</f>
        <v>0</v>
      </c>
      <c r="B4838" s="217">
        <f>'Reported burning'!B4839</f>
        <v>0</v>
      </c>
      <c r="C4838" s="217">
        <f>'Reported burning'!C4839</f>
        <v>0</v>
      </c>
      <c r="D4838" s="217">
        <f>'Reported burning'!D4839</f>
        <v>0</v>
      </c>
      <c r="E4838" s="217">
        <f>'Reported burning'!E4839</f>
        <v>0</v>
      </c>
      <c r="F4838" s="217">
        <f>'Reported burning'!F4839</f>
        <v>0</v>
      </c>
      <c r="G4838" s="217">
        <f>'Reported burning'!G4839</f>
        <v>0</v>
      </c>
      <c r="H4838" s="217">
        <f>'Reported burning'!H4839</f>
        <v>0</v>
      </c>
    </row>
    <row r="4839" spans="1:8">
      <c r="A4839" s="217">
        <f>'Reported burning'!A4840</f>
        <v>0</v>
      </c>
      <c r="B4839" s="217">
        <f>'Reported burning'!B4840</f>
        <v>0</v>
      </c>
      <c r="C4839" s="217">
        <f>'Reported burning'!C4840</f>
        <v>0</v>
      </c>
      <c r="D4839" s="217">
        <f>'Reported burning'!D4840</f>
        <v>0</v>
      </c>
      <c r="E4839" s="217">
        <f>'Reported burning'!E4840</f>
        <v>0</v>
      </c>
      <c r="F4839" s="217">
        <f>'Reported burning'!F4840</f>
        <v>0</v>
      </c>
      <c r="G4839" s="217">
        <f>'Reported burning'!G4840</f>
        <v>0</v>
      </c>
      <c r="H4839" s="217">
        <f>'Reported burning'!H4840</f>
        <v>0</v>
      </c>
    </row>
    <row r="4840" spans="1:8">
      <c r="A4840" s="217">
        <f>'Reported burning'!A4841</f>
        <v>0</v>
      </c>
      <c r="B4840" s="217">
        <f>'Reported burning'!B4841</f>
        <v>0</v>
      </c>
      <c r="C4840" s="217">
        <f>'Reported burning'!C4841</f>
        <v>0</v>
      </c>
      <c r="D4840" s="217">
        <f>'Reported burning'!D4841</f>
        <v>0</v>
      </c>
      <c r="E4840" s="217">
        <f>'Reported burning'!E4841</f>
        <v>0</v>
      </c>
      <c r="F4840" s="217">
        <f>'Reported burning'!F4841</f>
        <v>0</v>
      </c>
      <c r="G4840" s="217">
        <f>'Reported burning'!G4841</f>
        <v>0</v>
      </c>
      <c r="H4840" s="217">
        <f>'Reported burning'!H4841</f>
        <v>0</v>
      </c>
    </row>
    <row r="4841" spans="1:8">
      <c r="A4841" s="217">
        <f>'Reported burning'!A4842</f>
        <v>0</v>
      </c>
      <c r="B4841" s="217">
        <f>'Reported burning'!B4842</f>
        <v>0</v>
      </c>
      <c r="C4841" s="217">
        <f>'Reported burning'!C4842</f>
        <v>0</v>
      </c>
      <c r="D4841" s="217">
        <f>'Reported burning'!D4842</f>
        <v>0</v>
      </c>
      <c r="E4841" s="217">
        <f>'Reported burning'!E4842</f>
        <v>0</v>
      </c>
      <c r="F4841" s="217">
        <f>'Reported burning'!F4842</f>
        <v>0</v>
      </c>
      <c r="G4841" s="217">
        <f>'Reported burning'!G4842</f>
        <v>0</v>
      </c>
      <c r="H4841" s="217">
        <f>'Reported burning'!H4842</f>
        <v>0</v>
      </c>
    </row>
    <row r="4842" spans="1:8">
      <c r="A4842" s="217">
        <f>'Reported burning'!A4843</f>
        <v>0</v>
      </c>
      <c r="B4842" s="217">
        <f>'Reported burning'!B4843</f>
        <v>0</v>
      </c>
      <c r="C4842" s="217">
        <f>'Reported burning'!C4843</f>
        <v>0</v>
      </c>
      <c r="D4842" s="217">
        <f>'Reported burning'!D4843</f>
        <v>0</v>
      </c>
      <c r="E4842" s="217">
        <f>'Reported burning'!E4843</f>
        <v>0</v>
      </c>
      <c r="F4842" s="217">
        <f>'Reported burning'!F4843</f>
        <v>0</v>
      </c>
      <c r="G4842" s="217">
        <f>'Reported burning'!G4843</f>
        <v>0</v>
      </c>
      <c r="H4842" s="217">
        <f>'Reported burning'!H4843</f>
        <v>0</v>
      </c>
    </row>
    <row r="4843" spans="1:8">
      <c r="A4843" s="217">
        <f>'Reported burning'!A4844</f>
        <v>0</v>
      </c>
      <c r="B4843" s="217">
        <f>'Reported burning'!B4844</f>
        <v>0</v>
      </c>
      <c r="C4843" s="217">
        <f>'Reported burning'!C4844</f>
        <v>0</v>
      </c>
      <c r="D4843" s="217">
        <f>'Reported burning'!D4844</f>
        <v>0</v>
      </c>
      <c r="E4843" s="217">
        <f>'Reported burning'!E4844</f>
        <v>0</v>
      </c>
      <c r="F4843" s="217">
        <f>'Reported burning'!F4844</f>
        <v>0</v>
      </c>
      <c r="G4843" s="217">
        <f>'Reported burning'!G4844</f>
        <v>0</v>
      </c>
      <c r="H4843" s="217">
        <f>'Reported burning'!H4844</f>
        <v>0</v>
      </c>
    </row>
    <row r="4844" spans="1:8">
      <c r="A4844" s="217">
        <f>'Reported burning'!A4845</f>
        <v>0</v>
      </c>
      <c r="B4844" s="217">
        <f>'Reported burning'!B4845</f>
        <v>0</v>
      </c>
      <c r="C4844" s="217">
        <f>'Reported burning'!C4845</f>
        <v>0</v>
      </c>
      <c r="D4844" s="217">
        <f>'Reported burning'!D4845</f>
        <v>0</v>
      </c>
      <c r="E4844" s="217">
        <f>'Reported burning'!E4845</f>
        <v>0</v>
      </c>
      <c r="F4844" s="217">
        <f>'Reported burning'!F4845</f>
        <v>0</v>
      </c>
      <c r="G4844" s="217">
        <f>'Reported burning'!G4845</f>
        <v>0</v>
      </c>
      <c r="H4844" s="217">
        <f>'Reported burning'!H4845</f>
        <v>0</v>
      </c>
    </row>
    <row r="4845" spans="1:8">
      <c r="A4845" s="217">
        <f>'Reported burning'!A4846</f>
        <v>0</v>
      </c>
      <c r="B4845" s="217">
        <f>'Reported burning'!B4846</f>
        <v>0</v>
      </c>
      <c r="C4845" s="217">
        <f>'Reported burning'!C4846</f>
        <v>0</v>
      </c>
      <c r="D4845" s="217">
        <f>'Reported burning'!D4846</f>
        <v>0</v>
      </c>
      <c r="E4845" s="217">
        <f>'Reported burning'!E4846</f>
        <v>0</v>
      </c>
      <c r="F4845" s="217">
        <f>'Reported burning'!F4846</f>
        <v>0</v>
      </c>
      <c r="G4845" s="217">
        <f>'Reported burning'!G4846</f>
        <v>0</v>
      </c>
      <c r="H4845" s="217">
        <f>'Reported burning'!H4846</f>
        <v>0</v>
      </c>
    </row>
    <row r="4846" spans="1:8">
      <c r="A4846" s="217">
        <f>'Reported burning'!A4847</f>
        <v>0</v>
      </c>
      <c r="B4846" s="217">
        <f>'Reported burning'!B4847</f>
        <v>0</v>
      </c>
      <c r="C4846" s="217">
        <f>'Reported burning'!C4847</f>
        <v>0</v>
      </c>
      <c r="D4846" s="217">
        <f>'Reported burning'!D4847</f>
        <v>0</v>
      </c>
      <c r="E4846" s="217">
        <f>'Reported burning'!E4847</f>
        <v>0</v>
      </c>
      <c r="F4846" s="217">
        <f>'Reported burning'!F4847</f>
        <v>0</v>
      </c>
      <c r="G4846" s="217">
        <f>'Reported burning'!G4847</f>
        <v>0</v>
      </c>
      <c r="H4846" s="217">
        <f>'Reported burning'!H4847</f>
        <v>0</v>
      </c>
    </row>
    <row r="4847" spans="1:8">
      <c r="A4847" s="217">
        <f>'Reported burning'!A4848</f>
        <v>0</v>
      </c>
      <c r="B4847" s="217">
        <f>'Reported burning'!B4848</f>
        <v>0</v>
      </c>
      <c r="C4847" s="217">
        <f>'Reported burning'!C4848</f>
        <v>0</v>
      </c>
      <c r="D4847" s="217">
        <f>'Reported burning'!D4848</f>
        <v>0</v>
      </c>
      <c r="E4847" s="217">
        <f>'Reported burning'!E4848</f>
        <v>0</v>
      </c>
      <c r="F4847" s="217">
        <f>'Reported burning'!F4848</f>
        <v>0</v>
      </c>
      <c r="G4847" s="217">
        <f>'Reported burning'!G4848</f>
        <v>0</v>
      </c>
      <c r="H4847" s="217">
        <f>'Reported burning'!H4848</f>
        <v>0</v>
      </c>
    </row>
    <row r="4848" spans="1:8">
      <c r="A4848" s="217">
        <f>'Reported burning'!A4849</f>
        <v>0</v>
      </c>
      <c r="B4848" s="217">
        <f>'Reported burning'!B4849</f>
        <v>0</v>
      </c>
      <c r="C4848" s="217">
        <f>'Reported burning'!C4849</f>
        <v>0</v>
      </c>
      <c r="D4848" s="217">
        <f>'Reported burning'!D4849</f>
        <v>0</v>
      </c>
      <c r="E4848" s="217">
        <f>'Reported burning'!E4849</f>
        <v>0</v>
      </c>
      <c r="F4848" s="217">
        <f>'Reported burning'!F4849</f>
        <v>0</v>
      </c>
      <c r="G4848" s="217">
        <f>'Reported burning'!G4849</f>
        <v>0</v>
      </c>
      <c r="H4848" s="217">
        <f>'Reported burning'!H4849</f>
        <v>0</v>
      </c>
    </row>
    <row r="4849" spans="1:8">
      <c r="A4849" s="217">
        <f>'Reported burning'!A4850</f>
        <v>0</v>
      </c>
      <c r="B4849" s="217">
        <f>'Reported burning'!B4850</f>
        <v>0</v>
      </c>
      <c r="C4849" s="217">
        <f>'Reported burning'!C4850</f>
        <v>0</v>
      </c>
      <c r="D4849" s="217">
        <f>'Reported burning'!D4850</f>
        <v>0</v>
      </c>
      <c r="E4849" s="217">
        <f>'Reported burning'!E4850</f>
        <v>0</v>
      </c>
      <c r="F4849" s="217">
        <f>'Reported burning'!F4850</f>
        <v>0</v>
      </c>
      <c r="G4849" s="217">
        <f>'Reported burning'!G4850</f>
        <v>0</v>
      </c>
      <c r="H4849" s="217">
        <f>'Reported burning'!H4850</f>
        <v>0</v>
      </c>
    </row>
    <row r="4850" spans="1:8">
      <c r="A4850" s="217">
        <f>'Reported burning'!A4851</f>
        <v>0</v>
      </c>
      <c r="B4850" s="217">
        <f>'Reported burning'!B4851</f>
        <v>0</v>
      </c>
      <c r="C4850" s="217">
        <f>'Reported burning'!C4851</f>
        <v>0</v>
      </c>
      <c r="D4850" s="217">
        <f>'Reported burning'!D4851</f>
        <v>0</v>
      </c>
      <c r="E4850" s="217">
        <f>'Reported burning'!E4851</f>
        <v>0</v>
      </c>
      <c r="F4850" s="217">
        <f>'Reported burning'!F4851</f>
        <v>0</v>
      </c>
      <c r="G4850" s="217">
        <f>'Reported burning'!G4851</f>
        <v>0</v>
      </c>
      <c r="H4850" s="217">
        <f>'Reported burning'!H4851</f>
        <v>0</v>
      </c>
    </row>
    <row r="4851" spans="1:8">
      <c r="A4851" s="217">
        <f>'Reported burning'!A4852</f>
        <v>0</v>
      </c>
      <c r="B4851" s="217">
        <f>'Reported burning'!B4852</f>
        <v>0</v>
      </c>
      <c r="C4851" s="217">
        <f>'Reported burning'!C4852</f>
        <v>0</v>
      </c>
      <c r="D4851" s="217">
        <f>'Reported burning'!D4852</f>
        <v>0</v>
      </c>
      <c r="E4851" s="217">
        <f>'Reported burning'!E4852</f>
        <v>0</v>
      </c>
      <c r="F4851" s="217">
        <f>'Reported burning'!F4852</f>
        <v>0</v>
      </c>
      <c r="G4851" s="217">
        <f>'Reported burning'!G4852</f>
        <v>0</v>
      </c>
      <c r="H4851" s="217">
        <f>'Reported burning'!H4852</f>
        <v>0</v>
      </c>
    </row>
    <row r="4852" spans="1:8">
      <c r="A4852" s="217">
        <f>'Reported burning'!A4853</f>
        <v>0</v>
      </c>
      <c r="B4852" s="217">
        <f>'Reported burning'!B4853</f>
        <v>0</v>
      </c>
      <c r="C4852" s="217">
        <f>'Reported burning'!C4853</f>
        <v>0</v>
      </c>
      <c r="D4852" s="217">
        <f>'Reported burning'!D4853</f>
        <v>0</v>
      </c>
      <c r="E4852" s="217">
        <f>'Reported burning'!E4853</f>
        <v>0</v>
      </c>
      <c r="F4852" s="217">
        <f>'Reported burning'!F4853</f>
        <v>0</v>
      </c>
      <c r="G4852" s="217">
        <f>'Reported burning'!G4853</f>
        <v>0</v>
      </c>
      <c r="H4852" s="217">
        <f>'Reported burning'!H4853</f>
        <v>0</v>
      </c>
    </row>
    <row r="4853" spans="1:8">
      <c r="A4853" s="217">
        <f>'Reported burning'!A4854</f>
        <v>0</v>
      </c>
      <c r="B4853" s="217">
        <f>'Reported burning'!B4854</f>
        <v>0</v>
      </c>
      <c r="C4853" s="217">
        <f>'Reported burning'!C4854</f>
        <v>0</v>
      </c>
      <c r="D4853" s="217">
        <f>'Reported burning'!D4854</f>
        <v>0</v>
      </c>
      <c r="E4853" s="217">
        <f>'Reported burning'!E4854</f>
        <v>0</v>
      </c>
      <c r="F4853" s="217">
        <f>'Reported burning'!F4854</f>
        <v>0</v>
      </c>
      <c r="G4853" s="217">
        <f>'Reported burning'!G4854</f>
        <v>0</v>
      </c>
      <c r="H4853" s="217">
        <f>'Reported burning'!H4854</f>
        <v>0</v>
      </c>
    </row>
    <row r="4854" spans="1:8">
      <c r="A4854" s="217">
        <f>'Reported burning'!A4855</f>
        <v>0</v>
      </c>
      <c r="B4854" s="217">
        <f>'Reported burning'!B4855</f>
        <v>0</v>
      </c>
      <c r="C4854" s="217">
        <f>'Reported burning'!C4855</f>
        <v>0</v>
      </c>
      <c r="D4854" s="217">
        <f>'Reported burning'!D4855</f>
        <v>0</v>
      </c>
      <c r="E4854" s="217">
        <f>'Reported burning'!E4855</f>
        <v>0</v>
      </c>
      <c r="F4854" s="217">
        <f>'Reported burning'!F4855</f>
        <v>0</v>
      </c>
      <c r="G4854" s="217">
        <f>'Reported burning'!G4855</f>
        <v>0</v>
      </c>
      <c r="H4854" s="217">
        <f>'Reported burning'!H4855</f>
        <v>0</v>
      </c>
    </row>
    <row r="4855" spans="1:8">
      <c r="A4855" s="217">
        <f>'Reported burning'!A4856</f>
        <v>0</v>
      </c>
      <c r="B4855" s="217">
        <f>'Reported burning'!B4856</f>
        <v>0</v>
      </c>
      <c r="C4855" s="217">
        <f>'Reported burning'!C4856</f>
        <v>0</v>
      </c>
      <c r="D4855" s="217">
        <f>'Reported burning'!D4856</f>
        <v>0</v>
      </c>
      <c r="E4855" s="217">
        <f>'Reported burning'!E4856</f>
        <v>0</v>
      </c>
      <c r="F4855" s="217">
        <f>'Reported burning'!F4856</f>
        <v>0</v>
      </c>
      <c r="G4855" s="217">
        <f>'Reported burning'!G4856</f>
        <v>0</v>
      </c>
      <c r="H4855" s="217">
        <f>'Reported burning'!H4856</f>
        <v>0</v>
      </c>
    </row>
    <row r="4856" spans="1:8">
      <c r="A4856" s="217">
        <f>'Reported burning'!A4857</f>
        <v>0</v>
      </c>
      <c r="B4856" s="217">
        <f>'Reported burning'!B4857</f>
        <v>0</v>
      </c>
      <c r="C4856" s="217">
        <f>'Reported burning'!C4857</f>
        <v>0</v>
      </c>
      <c r="D4856" s="217">
        <f>'Reported burning'!D4857</f>
        <v>0</v>
      </c>
      <c r="E4856" s="217">
        <f>'Reported burning'!E4857</f>
        <v>0</v>
      </c>
      <c r="F4856" s="217">
        <f>'Reported burning'!F4857</f>
        <v>0</v>
      </c>
      <c r="G4856" s="217">
        <f>'Reported burning'!G4857</f>
        <v>0</v>
      </c>
      <c r="H4856" s="217">
        <f>'Reported burning'!H4857</f>
        <v>0</v>
      </c>
    </row>
    <row r="4857" spans="1:8">
      <c r="A4857" s="217">
        <f>'Reported burning'!A4858</f>
        <v>0</v>
      </c>
      <c r="B4857" s="217">
        <f>'Reported burning'!B4858</f>
        <v>0</v>
      </c>
      <c r="C4857" s="217">
        <f>'Reported burning'!C4858</f>
        <v>0</v>
      </c>
      <c r="D4857" s="217">
        <f>'Reported burning'!D4858</f>
        <v>0</v>
      </c>
      <c r="E4857" s="217">
        <f>'Reported burning'!E4858</f>
        <v>0</v>
      </c>
      <c r="F4857" s="217">
        <f>'Reported burning'!F4858</f>
        <v>0</v>
      </c>
      <c r="G4857" s="217">
        <f>'Reported burning'!G4858</f>
        <v>0</v>
      </c>
      <c r="H4857" s="217">
        <f>'Reported burning'!H4858</f>
        <v>0</v>
      </c>
    </row>
    <row r="4858" spans="1:8">
      <c r="A4858" s="217">
        <f>'Reported burning'!A4859</f>
        <v>0</v>
      </c>
      <c r="B4858" s="217">
        <f>'Reported burning'!B4859</f>
        <v>0</v>
      </c>
      <c r="C4858" s="217">
        <f>'Reported burning'!C4859</f>
        <v>0</v>
      </c>
      <c r="D4858" s="217">
        <f>'Reported burning'!D4859</f>
        <v>0</v>
      </c>
      <c r="E4858" s="217">
        <f>'Reported burning'!E4859</f>
        <v>0</v>
      </c>
      <c r="F4858" s="217">
        <f>'Reported burning'!F4859</f>
        <v>0</v>
      </c>
      <c r="G4858" s="217">
        <f>'Reported burning'!G4859</f>
        <v>0</v>
      </c>
      <c r="H4858" s="217">
        <f>'Reported burning'!H4859</f>
        <v>0</v>
      </c>
    </row>
    <row r="4859" spans="1:8">
      <c r="A4859" s="217">
        <f>'Reported burning'!A4860</f>
        <v>0</v>
      </c>
      <c r="B4859" s="217">
        <f>'Reported burning'!B4860</f>
        <v>0</v>
      </c>
      <c r="C4859" s="217">
        <f>'Reported burning'!C4860</f>
        <v>0</v>
      </c>
      <c r="D4859" s="217">
        <f>'Reported burning'!D4860</f>
        <v>0</v>
      </c>
      <c r="E4859" s="217">
        <f>'Reported burning'!E4860</f>
        <v>0</v>
      </c>
      <c r="F4859" s="217">
        <f>'Reported burning'!F4860</f>
        <v>0</v>
      </c>
      <c r="G4859" s="217">
        <f>'Reported burning'!G4860</f>
        <v>0</v>
      </c>
      <c r="H4859" s="217">
        <f>'Reported burning'!H4860</f>
        <v>0</v>
      </c>
    </row>
    <row r="4860" spans="1:8">
      <c r="A4860" s="217">
        <f>'Reported burning'!A4861</f>
        <v>0</v>
      </c>
      <c r="B4860" s="217">
        <f>'Reported burning'!B4861</f>
        <v>0</v>
      </c>
      <c r="C4860" s="217">
        <f>'Reported burning'!C4861</f>
        <v>0</v>
      </c>
      <c r="D4860" s="217">
        <f>'Reported burning'!D4861</f>
        <v>0</v>
      </c>
      <c r="E4860" s="217">
        <f>'Reported burning'!E4861</f>
        <v>0</v>
      </c>
      <c r="F4860" s="217">
        <f>'Reported burning'!F4861</f>
        <v>0</v>
      </c>
      <c r="G4860" s="217">
        <f>'Reported burning'!G4861</f>
        <v>0</v>
      </c>
      <c r="H4860" s="217">
        <f>'Reported burning'!H4861</f>
        <v>0</v>
      </c>
    </row>
    <row r="4861" spans="1:8">
      <c r="A4861" s="217">
        <f>'Reported burning'!A4862</f>
        <v>0</v>
      </c>
      <c r="B4861" s="217">
        <f>'Reported burning'!B4862</f>
        <v>0</v>
      </c>
      <c r="C4861" s="217">
        <f>'Reported burning'!C4862</f>
        <v>0</v>
      </c>
      <c r="D4861" s="217">
        <f>'Reported burning'!D4862</f>
        <v>0</v>
      </c>
      <c r="E4861" s="217">
        <f>'Reported burning'!E4862</f>
        <v>0</v>
      </c>
      <c r="F4861" s="217">
        <f>'Reported burning'!F4862</f>
        <v>0</v>
      </c>
      <c r="G4861" s="217">
        <f>'Reported burning'!G4862</f>
        <v>0</v>
      </c>
      <c r="H4861" s="217">
        <f>'Reported burning'!H4862</f>
        <v>0</v>
      </c>
    </row>
    <row r="4862" spans="1:8">
      <c r="A4862" s="217">
        <f>'Reported burning'!A4863</f>
        <v>0</v>
      </c>
      <c r="B4862" s="217">
        <f>'Reported burning'!B4863</f>
        <v>0</v>
      </c>
      <c r="C4862" s="217">
        <f>'Reported burning'!C4863</f>
        <v>0</v>
      </c>
      <c r="D4862" s="217">
        <f>'Reported burning'!D4863</f>
        <v>0</v>
      </c>
      <c r="E4862" s="217">
        <f>'Reported burning'!E4863</f>
        <v>0</v>
      </c>
      <c r="F4862" s="217">
        <f>'Reported burning'!F4863</f>
        <v>0</v>
      </c>
      <c r="G4862" s="217">
        <f>'Reported burning'!G4863</f>
        <v>0</v>
      </c>
      <c r="H4862" s="217">
        <f>'Reported burning'!H4863</f>
        <v>0</v>
      </c>
    </row>
    <row r="4863" spans="1:8">
      <c r="A4863" s="217">
        <f>'Reported burning'!A4864</f>
        <v>0</v>
      </c>
      <c r="B4863" s="217">
        <f>'Reported burning'!B4864</f>
        <v>0</v>
      </c>
      <c r="C4863" s="217">
        <f>'Reported burning'!C4864</f>
        <v>0</v>
      </c>
      <c r="D4863" s="217">
        <f>'Reported burning'!D4864</f>
        <v>0</v>
      </c>
      <c r="E4863" s="217">
        <f>'Reported burning'!E4864</f>
        <v>0</v>
      </c>
      <c r="F4863" s="217">
        <f>'Reported burning'!F4864</f>
        <v>0</v>
      </c>
      <c r="G4863" s="217">
        <f>'Reported burning'!G4864</f>
        <v>0</v>
      </c>
      <c r="H4863" s="217">
        <f>'Reported burning'!H4864</f>
        <v>0</v>
      </c>
    </row>
    <row r="4864" spans="1:8">
      <c r="A4864" s="217">
        <f>'Reported burning'!A4865</f>
        <v>0</v>
      </c>
      <c r="B4864" s="217">
        <f>'Reported burning'!B4865</f>
        <v>0</v>
      </c>
      <c r="C4864" s="217">
        <f>'Reported burning'!C4865</f>
        <v>0</v>
      </c>
      <c r="D4864" s="217">
        <f>'Reported burning'!D4865</f>
        <v>0</v>
      </c>
      <c r="E4864" s="217">
        <f>'Reported burning'!E4865</f>
        <v>0</v>
      </c>
      <c r="F4864" s="217">
        <f>'Reported burning'!F4865</f>
        <v>0</v>
      </c>
      <c r="G4864" s="217">
        <f>'Reported burning'!G4865</f>
        <v>0</v>
      </c>
      <c r="H4864" s="217">
        <f>'Reported burning'!H4865</f>
        <v>0</v>
      </c>
    </row>
    <row r="4865" spans="1:8">
      <c r="A4865" s="217">
        <f>'Reported burning'!A4866</f>
        <v>0</v>
      </c>
      <c r="B4865" s="217">
        <f>'Reported burning'!B4866</f>
        <v>0</v>
      </c>
      <c r="C4865" s="217">
        <f>'Reported burning'!C4866</f>
        <v>0</v>
      </c>
      <c r="D4865" s="217">
        <f>'Reported burning'!D4866</f>
        <v>0</v>
      </c>
      <c r="E4865" s="217">
        <f>'Reported burning'!E4866</f>
        <v>0</v>
      </c>
      <c r="F4865" s="217">
        <f>'Reported burning'!F4866</f>
        <v>0</v>
      </c>
      <c r="G4865" s="217">
        <f>'Reported burning'!G4866</f>
        <v>0</v>
      </c>
      <c r="H4865" s="217">
        <f>'Reported burning'!H4866</f>
        <v>0</v>
      </c>
    </row>
    <row r="4866" spans="1:8">
      <c r="A4866" s="217">
        <f>'Reported burning'!A4867</f>
        <v>0</v>
      </c>
      <c r="B4866" s="217">
        <f>'Reported burning'!B4867</f>
        <v>0</v>
      </c>
      <c r="C4866" s="217">
        <f>'Reported burning'!C4867</f>
        <v>0</v>
      </c>
      <c r="D4866" s="217">
        <f>'Reported burning'!D4867</f>
        <v>0</v>
      </c>
      <c r="E4866" s="217">
        <f>'Reported burning'!E4867</f>
        <v>0</v>
      </c>
      <c r="F4866" s="217">
        <f>'Reported burning'!F4867</f>
        <v>0</v>
      </c>
      <c r="G4866" s="217">
        <f>'Reported burning'!G4867</f>
        <v>0</v>
      </c>
      <c r="H4866" s="217">
        <f>'Reported burning'!H4867</f>
        <v>0</v>
      </c>
    </row>
    <row r="4867" spans="1:8">
      <c r="A4867" s="217">
        <f>'Reported burning'!A4868</f>
        <v>0</v>
      </c>
      <c r="B4867" s="217">
        <f>'Reported burning'!B4868</f>
        <v>0</v>
      </c>
      <c r="C4867" s="217">
        <f>'Reported burning'!C4868</f>
        <v>0</v>
      </c>
      <c r="D4867" s="217">
        <f>'Reported burning'!D4868</f>
        <v>0</v>
      </c>
      <c r="E4867" s="217">
        <f>'Reported burning'!E4868</f>
        <v>0</v>
      </c>
      <c r="F4867" s="217">
        <f>'Reported burning'!F4868</f>
        <v>0</v>
      </c>
      <c r="G4867" s="217">
        <f>'Reported burning'!G4868</f>
        <v>0</v>
      </c>
      <c r="H4867" s="217">
        <f>'Reported burning'!H4868</f>
        <v>0</v>
      </c>
    </row>
    <row r="4868" spans="1:8">
      <c r="A4868" s="217">
        <f>'Reported burning'!A4869</f>
        <v>0</v>
      </c>
      <c r="B4868" s="217">
        <f>'Reported burning'!B4869</f>
        <v>0</v>
      </c>
      <c r="C4868" s="217">
        <f>'Reported burning'!C4869</f>
        <v>0</v>
      </c>
      <c r="D4868" s="217">
        <f>'Reported burning'!D4869</f>
        <v>0</v>
      </c>
      <c r="E4868" s="217">
        <f>'Reported burning'!E4869</f>
        <v>0</v>
      </c>
      <c r="F4868" s="217">
        <f>'Reported burning'!F4869</f>
        <v>0</v>
      </c>
      <c r="G4868" s="217">
        <f>'Reported burning'!G4869</f>
        <v>0</v>
      </c>
      <c r="H4868" s="217">
        <f>'Reported burning'!H4869</f>
        <v>0</v>
      </c>
    </row>
    <row r="4869" spans="1:8">
      <c r="A4869" s="217">
        <f>'Reported burning'!A4870</f>
        <v>0</v>
      </c>
      <c r="B4869" s="217">
        <f>'Reported burning'!B4870</f>
        <v>0</v>
      </c>
      <c r="C4869" s="217">
        <f>'Reported burning'!C4870</f>
        <v>0</v>
      </c>
      <c r="D4869" s="217">
        <f>'Reported burning'!D4870</f>
        <v>0</v>
      </c>
      <c r="E4869" s="217">
        <f>'Reported burning'!E4870</f>
        <v>0</v>
      </c>
      <c r="F4869" s="217">
        <f>'Reported burning'!F4870</f>
        <v>0</v>
      </c>
      <c r="G4869" s="217">
        <f>'Reported burning'!G4870</f>
        <v>0</v>
      </c>
      <c r="H4869" s="217">
        <f>'Reported burning'!H4870</f>
        <v>0</v>
      </c>
    </row>
    <row r="4870" spans="1:8">
      <c r="A4870" s="217">
        <f>'Reported burning'!A4871</f>
        <v>0</v>
      </c>
      <c r="B4870" s="217">
        <f>'Reported burning'!B4871</f>
        <v>0</v>
      </c>
      <c r="C4870" s="217">
        <f>'Reported burning'!C4871</f>
        <v>0</v>
      </c>
      <c r="D4870" s="217">
        <f>'Reported burning'!D4871</f>
        <v>0</v>
      </c>
      <c r="E4870" s="217">
        <f>'Reported burning'!E4871</f>
        <v>0</v>
      </c>
      <c r="F4870" s="217">
        <f>'Reported burning'!F4871</f>
        <v>0</v>
      </c>
      <c r="G4870" s="217">
        <f>'Reported burning'!G4871</f>
        <v>0</v>
      </c>
      <c r="H4870" s="217">
        <f>'Reported burning'!H4871</f>
        <v>0</v>
      </c>
    </row>
    <row r="4871" spans="1:8">
      <c r="A4871" s="217">
        <f>'Reported burning'!A4872</f>
        <v>0</v>
      </c>
      <c r="B4871" s="217">
        <f>'Reported burning'!B4872</f>
        <v>0</v>
      </c>
      <c r="C4871" s="217">
        <f>'Reported burning'!C4872</f>
        <v>0</v>
      </c>
      <c r="D4871" s="217">
        <f>'Reported burning'!D4872</f>
        <v>0</v>
      </c>
      <c r="E4871" s="217">
        <f>'Reported burning'!E4872</f>
        <v>0</v>
      </c>
      <c r="F4871" s="217">
        <f>'Reported burning'!F4872</f>
        <v>0</v>
      </c>
      <c r="G4871" s="217">
        <f>'Reported burning'!G4872</f>
        <v>0</v>
      </c>
      <c r="H4871" s="217">
        <f>'Reported burning'!H4872</f>
        <v>0</v>
      </c>
    </row>
    <row r="4872" spans="1:8">
      <c r="A4872" s="217">
        <f>'Reported burning'!A4873</f>
        <v>0</v>
      </c>
      <c r="B4872" s="217">
        <f>'Reported burning'!B4873</f>
        <v>0</v>
      </c>
      <c r="C4872" s="217">
        <f>'Reported burning'!C4873</f>
        <v>0</v>
      </c>
      <c r="D4872" s="217">
        <f>'Reported burning'!D4873</f>
        <v>0</v>
      </c>
      <c r="E4872" s="217">
        <f>'Reported burning'!E4873</f>
        <v>0</v>
      </c>
      <c r="F4872" s="217">
        <f>'Reported burning'!F4873</f>
        <v>0</v>
      </c>
      <c r="G4872" s="217">
        <f>'Reported burning'!G4873</f>
        <v>0</v>
      </c>
      <c r="H4872" s="217">
        <f>'Reported burning'!H4873</f>
        <v>0</v>
      </c>
    </row>
    <row r="4873" spans="1:8">
      <c r="A4873" s="217">
        <f>'Reported burning'!A4874</f>
        <v>0</v>
      </c>
      <c r="B4873" s="217">
        <f>'Reported burning'!B4874</f>
        <v>0</v>
      </c>
      <c r="C4873" s="217">
        <f>'Reported burning'!C4874</f>
        <v>0</v>
      </c>
      <c r="D4873" s="217">
        <f>'Reported burning'!D4874</f>
        <v>0</v>
      </c>
      <c r="E4873" s="217">
        <f>'Reported burning'!E4874</f>
        <v>0</v>
      </c>
      <c r="F4873" s="217">
        <f>'Reported burning'!F4874</f>
        <v>0</v>
      </c>
      <c r="G4873" s="217">
        <f>'Reported burning'!G4874</f>
        <v>0</v>
      </c>
      <c r="H4873" s="217">
        <f>'Reported burning'!H4874</f>
        <v>0</v>
      </c>
    </row>
    <row r="4874" spans="1:8">
      <c r="A4874" s="217">
        <f>'Reported burning'!A4875</f>
        <v>0</v>
      </c>
      <c r="B4874" s="217">
        <f>'Reported burning'!B4875</f>
        <v>0</v>
      </c>
      <c r="C4874" s="217">
        <f>'Reported burning'!C4875</f>
        <v>0</v>
      </c>
      <c r="D4874" s="217">
        <f>'Reported burning'!D4875</f>
        <v>0</v>
      </c>
      <c r="E4874" s="217">
        <f>'Reported burning'!E4875</f>
        <v>0</v>
      </c>
      <c r="F4874" s="217">
        <f>'Reported burning'!F4875</f>
        <v>0</v>
      </c>
      <c r="G4874" s="217">
        <f>'Reported burning'!G4875</f>
        <v>0</v>
      </c>
      <c r="H4874" s="217">
        <f>'Reported burning'!H4875</f>
        <v>0</v>
      </c>
    </row>
    <row r="4875" spans="1:8">
      <c r="A4875" s="217">
        <f>'Reported burning'!A4876</f>
        <v>0</v>
      </c>
      <c r="B4875" s="217">
        <f>'Reported burning'!B4876</f>
        <v>0</v>
      </c>
      <c r="C4875" s="217">
        <f>'Reported burning'!C4876</f>
        <v>0</v>
      </c>
      <c r="D4875" s="217">
        <f>'Reported burning'!D4876</f>
        <v>0</v>
      </c>
      <c r="E4875" s="217">
        <f>'Reported burning'!E4876</f>
        <v>0</v>
      </c>
      <c r="F4875" s="217">
        <f>'Reported burning'!F4876</f>
        <v>0</v>
      </c>
      <c r="G4875" s="217">
        <f>'Reported burning'!G4876</f>
        <v>0</v>
      </c>
      <c r="H4875" s="217">
        <f>'Reported burning'!H4876</f>
        <v>0</v>
      </c>
    </row>
    <row r="4876" spans="1:8">
      <c r="A4876" s="217">
        <f>'Reported burning'!A4877</f>
        <v>0</v>
      </c>
      <c r="B4876" s="217">
        <f>'Reported burning'!B4877</f>
        <v>0</v>
      </c>
      <c r="C4876" s="217">
        <f>'Reported burning'!C4877</f>
        <v>0</v>
      </c>
      <c r="D4876" s="217">
        <f>'Reported burning'!D4877</f>
        <v>0</v>
      </c>
      <c r="E4876" s="217">
        <f>'Reported burning'!E4877</f>
        <v>0</v>
      </c>
      <c r="F4876" s="217">
        <f>'Reported burning'!F4877</f>
        <v>0</v>
      </c>
      <c r="G4876" s="217">
        <f>'Reported burning'!G4877</f>
        <v>0</v>
      </c>
      <c r="H4876" s="217">
        <f>'Reported burning'!H4877</f>
        <v>0</v>
      </c>
    </row>
    <row r="4877" spans="1:8">
      <c r="A4877" s="217">
        <f>'Reported burning'!A4878</f>
        <v>0</v>
      </c>
      <c r="B4877" s="217">
        <f>'Reported burning'!B4878</f>
        <v>0</v>
      </c>
      <c r="C4877" s="217">
        <f>'Reported burning'!C4878</f>
        <v>0</v>
      </c>
      <c r="D4877" s="217">
        <f>'Reported burning'!D4878</f>
        <v>0</v>
      </c>
      <c r="E4877" s="217">
        <f>'Reported burning'!E4878</f>
        <v>0</v>
      </c>
      <c r="F4877" s="217">
        <f>'Reported burning'!F4878</f>
        <v>0</v>
      </c>
      <c r="G4877" s="217">
        <f>'Reported burning'!G4878</f>
        <v>0</v>
      </c>
      <c r="H4877" s="217">
        <f>'Reported burning'!H4878</f>
        <v>0</v>
      </c>
    </row>
    <row r="4878" spans="1:8">
      <c r="A4878" s="217">
        <f>'Reported burning'!A4879</f>
        <v>0</v>
      </c>
      <c r="B4878" s="217">
        <f>'Reported burning'!B4879</f>
        <v>0</v>
      </c>
      <c r="C4878" s="217">
        <f>'Reported burning'!C4879</f>
        <v>0</v>
      </c>
      <c r="D4878" s="217">
        <f>'Reported burning'!D4879</f>
        <v>0</v>
      </c>
      <c r="E4878" s="217">
        <f>'Reported burning'!E4879</f>
        <v>0</v>
      </c>
      <c r="F4878" s="217">
        <f>'Reported burning'!F4879</f>
        <v>0</v>
      </c>
      <c r="G4878" s="217">
        <f>'Reported burning'!G4879</f>
        <v>0</v>
      </c>
      <c r="H4878" s="217">
        <f>'Reported burning'!H4879</f>
        <v>0</v>
      </c>
    </row>
    <row r="4879" spans="1:8">
      <c r="A4879" s="217">
        <f>'Reported burning'!A4880</f>
        <v>0</v>
      </c>
      <c r="B4879" s="217">
        <f>'Reported burning'!B4880</f>
        <v>0</v>
      </c>
      <c r="C4879" s="217">
        <f>'Reported burning'!C4880</f>
        <v>0</v>
      </c>
      <c r="D4879" s="217">
        <f>'Reported burning'!D4880</f>
        <v>0</v>
      </c>
      <c r="E4879" s="217">
        <f>'Reported burning'!E4880</f>
        <v>0</v>
      </c>
      <c r="F4879" s="217">
        <f>'Reported burning'!F4880</f>
        <v>0</v>
      </c>
      <c r="G4879" s="217">
        <f>'Reported burning'!G4880</f>
        <v>0</v>
      </c>
      <c r="H4879" s="217">
        <f>'Reported burning'!H4880</f>
        <v>0</v>
      </c>
    </row>
    <row r="4880" spans="1:8">
      <c r="A4880" s="217">
        <f>'Reported burning'!A4881</f>
        <v>0</v>
      </c>
      <c r="B4880" s="217">
        <f>'Reported burning'!B4881</f>
        <v>0</v>
      </c>
      <c r="C4880" s="217">
        <f>'Reported burning'!C4881</f>
        <v>0</v>
      </c>
      <c r="D4880" s="217">
        <f>'Reported burning'!D4881</f>
        <v>0</v>
      </c>
      <c r="E4880" s="217">
        <f>'Reported burning'!E4881</f>
        <v>0</v>
      </c>
      <c r="F4880" s="217">
        <f>'Reported burning'!F4881</f>
        <v>0</v>
      </c>
      <c r="G4880" s="217">
        <f>'Reported burning'!G4881</f>
        <v>0</v>
      </c>
      <c r="H4880" s="217">
        <f>'Reported burning'!H4881</f>
        <v>0</v>
      </c>
    </row>
    <row r="4881" spans="1:8">
      <c r="A4881" s="217">
        <f>'Reported burning'!A4882</f>
        <v>0</v>
      </c>
      <c r="B4881" s="217">
        <f>'Reported burning'!B4882</f>
        <v>0</v>
      </c>
      <c r="C4881" s="217">
        <f>'Reported burning'!C4882</f>
        <v>0</v>
      </c>
      <c r="D4881" s="217">
        <f>'Reported burning'!D4882</f>
        <v>0</v>
      </c>
      <c r="E4881" s="217">
        <f>'Reported burning'!E4882</f>
        <v>0</v>
      </c>
      <c r="F4881" s="217">
        <f>'Reported burning'!F4882</f>
        <v>0</v>
      </c>
      <c r="G4881" s="217">
        <f>'Reported burning'!G4882</f>
        <v>0</v>
      </c>
      <c r="H4881" s="217">
        <f>'Reported burning'!H4882</f>
        <v>0</v>
      </c>
    </row>
    <row r="4882" spans="1:8">
      <c r="A4882" s="217">
        <f>'Reported burning'!A4883</f>
        <v>0</v>
      </c>
      <c r="B4882" s="217">
        <f>'Reported burning'!B4883</f>
        <v>0</v>
      </c>
      <c r="C4882" s="217">
        <f>'Reported burning'!C4883</f>
        <v>0</v>
      </c>
      <c r="D4882" s="217">
        <f>'Reported burning'!D4883</f>
        <v>0</v>
      </c>
      <c r="E4882" s="217">
        <f>'Reported burning'!E4883</f>
        <v>0</v>
      </c>
      <c r="F4882" s="217">
        <f>'Reported burning'!F4883</f>
        <v>0</v>
      </c>
      <c r="G4882" s="217">
        <f>'Reported burning'!G4883</f>
        <v>0</v>
      </c>
      <c r="H4882" s="217">
        <f>'Reported burning'!H4883</f>
        <v>0</v>
      </c>
    </row>
    <row r="4883" spans="1:8">
      <c r="A4883" s="217">
        <f>'Reported burning'!A4884</f>
        <v>0</v>
      </c>
      <c r="B4883" s="217">
        <f>'Reported burning'!B4884</f>
        <v>0</v>
      </c>
      <c r="C4883" s="217">
        <f>'Reported burning'!C4884</f>
        <v>0</v>
      </c>
      <c r="D4883" s="217">
        <f>'Reported burning'!D4884</f>
        <v>0</v>
      </c>
      <c r="E4883" s="217">
        <f>'Reported burning'!E4884</f>
        <v>0</v>
      </c>
      <c r="F4883" s="217">
        <f>'Reported burning'!F4884</f>
        <v>0</v>
      </c>
      <c r="G4883" s="217">
        <f>'Reported burning'!G4884</f>
        <v>0</v>
      </c>
      <c r="H4883" s="217">
        <f>'Reported burning'!H4884</f>
        <v>0</v>
      </c>
    </row>
    <row r="4884" spans="1:8">
      <c r="A4884" s="217">
        <f>'Reported burning'!A4885</f>
        <v>0</v>
      </c>
      <c r="B4884" s="217">
        <f>'Reported burning'!B4885</f>
        <v>0</v>
      </c>
      <c r="C4884" s="217">
        <f>'Reported burning'!C4885</f>
        <v>0</v>
      </c>
      <c r="D4884" s="217">
        <f>'Reported burning'!D4885</f>
        <v>0</v>
      </c>
      <c r="E4884" s="217">
        <f>'Reported burning'!E4885</f>
        <v>0</v>
      </c>
      <c r="F4884" s="217">
        <f>'Reported burning'!F4885</f>
        <v>0</v>
      </c>
      <c r="G4884" s="217">
        <f>'Reported burning'!G4885</f>
        <v>0</v>
      </c>
      <c r="H4884" s="217">
        <f>'Reported burning'!H4885</f>
        <v>0</v>
      </c>
    </row>
    <row r="4885" spans="1:8">
      <c r="A4885" s="217">
        <f>'Reported burning'!A4886</f>
        <v>0</v>
      </c>
      <c r="B4885" s="217">
        <f>'Reported burning'!B4886</f>
        <v>0</v>
      </c>
      <c r="C4885" s="217">
        <f>'Reported burning'!C4886</f>
        <v>0</v>
      </c>
      <c r="D4885" s="217">
        <f>'Reported burning'!D4886</f>
        <v>0</v>
      </c>
      <c r="E4885" s="217">
        <f>'Reported burning'!E4886</f>
        <v>0</v>
      </c>
      <c r="F4885" s="217">
        <f>'Reported burning'!F4886</f>
        <v>0</v>
      </c>
      <c r="G4885" s="217">
        <f>'Reported burning'!G4886</f>
        <v>0</v>
      </c>
      <c r="H4885" s="217">
        <f>'Reported burning'!H4886</f>
        <v>0</v>
      </c>
    </row>
    <row r="4886" spans="1:8">
      <c r="A4886" s="217">
        <f>'Reported burning'!A4887</f>
        <v>0</v>
      </c>
      <c r="B4886" s="217">
        <f>'Reported burning'!B4887</f>
        <v>0</v>
      </c>
      <c r="C4886" s="217">
        <f>'Reported burning'!C4887</f>
        <v>0</v>
      </c>
      <c r="D4886" s="217">
        <f>'Reported burning'!D4887</f>
        <v>0</v>
      </c>
      <c r="E4886" s="217">
        <f>'Reported burning'!E4887</f>
        <v>0</v>
      </c>
      <c r="F4886" s="217">
        <f>'Reported burning'!F4887</f>
        <v>0</v>
      </c>
      <c r="G4886" s="217">
        <f>'Reported burning'!G4887</f>
        <v>0</v>
      </c>
      <c r="H4886" s="217">
        <f>'Reported burning'!H4887</f>
        <v>0</v>
      </c>
    </row>
    <row r="4887" spans="1:8">
      <c r="A4887" s="217">
        <f>'Reported burning'!A4888</f>
        <v>0</v>
      </c>
      <c r="B4887" s="217">
        <f>'Reported burning'!B4888</f>
        <v>0</v>
      </c>
      <c r="C4887" s="217">
        <f>'Reported burning'!C4888</f>
        <v>0</v>
      </c>
      <c r="D4887" s="217">
        <f>'Reported burning'!D4888</f>
        <v>0</v>
      </c>
      <c r="E4887" s="217">
        <f>'Reported burning'!E4888</f>
        <v>0</v>
      </c>
      <c r="F4887" s="217">
        <f>'Reported burning'!F4888</f>
        <v>0</v>
      </c>
      <c r="G4887" s="217">
        <f>'Reported burning'!G4888</f>
        <v>0</v>
      </c>
      <c r="H4887" s="217">
        <f>'Reported burning'!H4888</f>
        <v>0</v>
      </c>
    </row>
    <row r="4888" spans="1:8">
      <c r="A4888" s="217">
        <f>'Reported burning'!A4889</f>
        <v>0</v>
      </c>
      <c r="B4888" s="217">
        <f>'Reported burning'!B4889</f>
        <v>0</v>
      </c>
      <c r="C4888" s="217">
        <f>'Reported burning'!C4889</f>
        <v>0</v>
      </c>
      <c r="D4888" s="217">
        <f>'Reported burning'!D4889</f>
        <v>0</v>
      </c>
      <c r="E4888" s="217">
        <f>'Reported burning'!E4889</f>
        <v>0</v>
      </c>
      <c r="F4888" s="217">
        <f>'Reported burning'!F4889</f>
        <v>0</v>
      </c>
      <c r="G4888" s="217">
        <f>'Reported burning'!G4889</f>
        <v>0</v>
      </c>
      <c r="H4888" s="217">
        <f>'Reported burning'!H4889</f>
        <v>0</v>
      </c>
    </row>
    <row r="4889" spans="1:8">
      <c r="A4889" s="217">
        <f>'Reported burning'!A4890</f>
        <v>0</v>
      </c>
      <c r="B4889" s="217">
        <f>'Reported burning'!B4890</f>
        <v>0</v>
      </c>
      <c r="C4889" s="217">
        <f>'Reported burning'!C4890</f>
        <v>0</v>
      </c>
      <c r="D4889" s="217">
        <f>'Reported burning'!D4890</f>
        <v>0</v>
      </c>
      <c r="E4889" s="217">
        <f>'Reported burning'!E4890</f>
        <v>0</v>
      </c>
      <c r="F4889" s="217">
        <f>'Reported burning'!F4890</f>
        <v>0</v>
      </c>
      <c r="G4889" s="217">
        <f>'Reported burning'!G4890</f>
        <v>0</v>
      </c>
      <c r="H4889" s="217">
        <f>'Reported burning'!H4890</f>
        <v>0</v>
      </c>
    </row>
    <row r="4890" spans="1:8">
      <c r="A4890" s="217">
        <f>'Reported burning'!A4891</f>
        <v>0</v>
      </c>
      <c r="B4890" s="217">
        <f>'Reported burning'!B4891</f>
        <v>0</v>
      </c>
      <c r="C4890" s="217">
        <f>'Reported burning'!C4891</f>
        <v>0</v>
      </c>
      <c r="D4890" s="217">
        <f>'Reported burning'!D4891</f>
        <v>0</v>
      </c>
      <c r="E4890" s="217">
        <f>'Reported burning'!E4891</f>
        <v>0</v>
      </c>
      <c r="F4890" s="217">
        <f>'Reported burning'!F4891</f>
        <v>0</v>
      </c>
      <c r="G4890" s="217">
        <f>'Reported burning'!G4891</f>
        <v>0</v>
      </c>
      <c r="H4890" s="217">
        <f>'Reported burning'!H4891</f>
        <v>0</v>
      </c>
    </row>
    <row r="4891" spans="1:8">
      <c r="A4891" s="217">
        <f>'Reported burning'!A4892</f>
        <v>0</v>
      </c>
      <c r="B4891" s="217">
        <f>'Reported burning'!B4892</f>
        <v>0</v>
      </c>
      <c r="C4891" s="217">
        <f>'Reported burning'!C4892</f>
        <v>0</v>
      </c>
      <c r="D4891" s="217">
        <f>'Reported burning'!D4892</f>
        <v>0</v>
      </c>
      <c r="E4891" s="217">
        <f>'Reported burning'!E4892</f>
        <v>0</v>
      </c>
      <c r="F4891" s="217">
        <f>'Reported burning'!F4892</f>
        <v>0</v>
      </c>
      <c r="G4891" s="217">
        <f>'Reported burning'!G4892</f>
        <v>0</v>
      </c>
      <c r="H4891" s="217">
        <f>'Reported burning'!H4892</f>
        <v>0</v>
      </c>
    </row>
    <row r="4892" spans="1:8">
      <c r="A4892" s="217">
        <f>'Reported burning'!A4893</f>
        <v>0</v>
      </c>
      <c r="B4892" s="217">
        <f>'Reported burning'!B4893</f>
        <v>0</v>
      </c>
      <c r="C4892" s="217">
        <f>'Reported burning'!C4893</f>
        <v>0</v>
      </c>
      <c r="D4892" s="217">
        <f>'Reported burning'!D4893</f>
        <v>0</v>
      </c>
      <c r="E4892" s="217">
        <f>'Reported burning'!E4893</f>
        <v>0</v>
      </c>
      <c r="F4892" s="217">
        <f>'Reported burning'!F4893</f>
        <v>0</v>
      </c>
      <c r="G4892" s="217">
        <f>'Reported burning'!G4893</f>
        <v>0</v>
      </c>
      <c r="H4892" s="217">
        <f>'Reported burning'!H4893</f>
        <v>0</v>
      </c>
    </row>
    <row r="4893" spans="1:8">
      <c r="A4893" s="217">
        <f>'Reported burning'!A4894</f>
        <v>0</v>
      </c>
      <c r="B4893" s="217">
        <f>'Reported burning'!B4894</f>
        <v>0</v>
      </c>
      <c r="C4893" s="217">
        <f>'Reported burning'!C4894</f>
        <v>0</v>
      </c>
      <c r="D4893" s="217">
        <f>'Reported burning'!D4894</f>
        <v>0</v>
      </c>
      <c r="E4893" s="217">
        <f>'Reported burning'!E4894</f>
        <v>0</v>
      </c>
      <c r="F4893" s="217">
        <f>'Reported burning'!F4894</f>
        <v>0</v>
      </c>
      <c r="G4893" s="217">
        <f>'Reported burning'!G4894</f>
        <v>0</v>
      </c>
      <c r="H4893" s="217">
        <f>'Reported burning'!H4894</f>
        <v>0</v>
      </c>
    </row>
    <row r="4894" spans="1:8">
      <c r="A4894" s="217">
        <f>'Reported burning'!A4895</f>
        <v>0</v>
      </c>
      <c r="B4894" s="217">
        <f>'Reported burning'!B4895</f>
        <v>0</v>
      </c>
      <c r="C4894" s="217">
        <f>'Reported burning'!C4895</f>
        <v>0</v>
      </c>
      <c r="D4894" s="217">
        <f>'Reported burning'!D4895</f>
        <v>0</v>
      </c>
      <c r="E4894" s="217">
        <f>'Reported burning'!E4895</f>
        <v>0</v>
      </c>
      <c r="F4894" s="217">
        <f>'Reported burning'!F4895</f>
        <v>0</v>
      </c>
      <c r="G4894" s="217">
        <f>'Reported burning'!G4895</f>
        <v>0</v>
      </c>
      <c r="H4894" s="217">
        <f>'Reported burning'!H4895</f>
        <v>0</v>
      </c>
    </row>
    <row r="4895" spans="1:8">
      <c r="A4895" s="217">
        <f>'Reported burning'!A4896</f>
        <v>0</v>
      </c>
      <c r="B4895" s="217">
        <f>'Reported burning'!B4896</f>
        <v>0</v>
      </c>
      <c r="C4895" s="217">
        <f>'Reported burning'!C4896</f>
        <v>0</v>
      </c>
      <c r="D4895" s="217">
        <f>'Reported burning'!D4896</f>
        <v>0</v>
      </c>
      <c r="E4895" s="217">
        <f>'Reported burning'!E4896</f>
        <v>0</v>
      </c>
      <c r="F4895" s="217">
        <f>'Reported burning'!F4896</f>
        <v>0</v>
      </c>
      <c r="G4895" s="217">
        <f>'Reported burning'!G4896</f>
        <v>0</v>
      </c>
      <c r="H4895" s="217">
        <f>'Reported burning'!H4896</f>
        <v>0</v>
      </c>
    </row>
    <row r="4896" spans="1:8">
      <c r="A4896" s="217">
        <f>'Reported burning'!A4897</f>
        <v>0</v>
      </c>
      <c r="B4896" s="217">
        <f>'Reported burning'!B4897</f>
        <v>0</v>
      </c>
      <c r="C4896" s="217">
        <f>'Reported burning'!C4897</f>
        <v>0</v>
      </c>
      <c r="D4896" s="217">
        <f>'Reported burning'!D4897</f>
        <v>0</v>
      </c>
      <c r="E4896" s="217">
        <f>'Reported burning'!E4897</f>
        <v>0</v>
      </c>
      <c r="F4896" s="217">
        <f>'Reported burning'!F4897</f>
        <v>0</v>
      </c>
      <c r="G4896" s="217">
        <f>'Reported burning'!G4897</f>
        <v>0</v>
      </c>
      <c r="H4896" s="217">
        <f>'Reported burning'!H4897</f>
        <v>0</v>
      </c>
    </row>
    <row r="4897" spans="1:8">
      <c r="A4897" s="217">
        <f>'Reported burning'!A4898</f>
        <v>0</v>
      </c>
      <c r="B4897" s="217">
        <f>'Reported burning'!B4898</f>
        <v>0</v>
      </c>
      <c r="C4897" s="217">
        <f>'Reported burning'!C4898</f>
        <v>0</v>
      </c>
      <c r="D4897" s="217">
        <f>'Reported burning'!D4898</f>
        <v>0</v>
      </c>
      <c r="E4897" s="217">
        <f>'Reported burning'!E4898</f>
        <v>0</v>
      </c>
      <c r="F4897" s="217">
        <f>'Reported burning'!F4898</f>
        <v>0</v>
      </c>
      <c r="G4897" s="217">
        <f>'Reported burning'!G4898</f>
        <v>0</v>
      </c>
      <c r="H4897" s="217">
        <f>'Reported burning'!H4898</f>
        <v>0</v>
      </c>
    </row>
    <row r="4898" spans="1:8">
      <c r="A4898" s="217">
        <f>'Reported burning'!A4899</f>
        <v>0</v>
      </c>
      <c r="B4898" s="217">
        <f>'Reported burning'!B4899</f>
        <v>0</v>
      </c>
      <c r="C4898" s="217">
        <f>'Reported burning'!C4899</f>
        <v>0</v>
      </c>
      <c r="D4898" s="217">
        <f>'Reported burning'!D4899</f>
        <v>0</v>
      </c>
      <c r="E4898" s="217">
        <f>'Reported burning'!E4899</f>
        <v>0</v>
      </c>
      <c r="F4898" s="217">
        <f>'Reported burning'!F4899</f>
        <v>0</v>
      </c>
      <c r="G4898" s="217">
        <f>'Reported burning'!G4899</f>
        <v>0</v>
      </c>
      <c r="H4898" s="217">
        <f>'Reported burning'!H4899</f>
        <v>0</v>
      </c>
    </row>
    <row r="4899" spans="1:8">
      <c r="A4899" s="217">
        <f>'Reported burning'!A4900</f>
        <v>0</v>
      </c>
      <c r="B4899" s="217">
        <f>'Reported burning'!B4900</f>
        <v>0</v>
      </c>
      <c r="C4899" s="217">
        <f>'Reported burning'!C4900</f>
        <v>0</v>
      </c>
      <c r="D4899" s="217">
        <f>'Reported burning'!D4900</f>
        <v>0</v>
      </c>
      <c r="E4899" s="217">
        <f>'Reported burning'!E4900</f>
        <v>0</v>
      </c>
      <c r="F4899" s="217">
        <f>'Reported burning'!F4900</f>
        <v>0</v>
      </c>
      <c r="G4899" s="217">
        <f>'Reported burning'!G4900</f>
        <v>0</v>
      </c>
      <c r="H4899" s="217">
        <f>'Reported burning'!H4900</f>
        <v>0</v>
      </c>
    </row>
    <row r="4900" spans="1:8">
      <c r="A4900" s="217">
        <f>'Reported burning'!A4901</f>
        <v>0</v>
      </c>
      <c r="B4900" s="217">
        <f>'Reported burning'!B4901</f>
        <v>0</v>
      </c>
      <c r="C4900" s="217">
        <f>'Reported burning'!C4901</f>
        <v>0</v>
      </c>
      <c r="D4900" s="217">
        <f>'Reported burning'!D4901</f>
        <v>0</v>
      </c>
      <c r="E4900" s="217">
        <f>'Reported burning'!E4901</f>
        <v>0</v>
      </c>
      <c r="F4900" s="217">
        <f>'Reported burning'!F4901</f>
        <v>0</v>
      </c>
      <c r="G4900" s="217">
        <f>'Reported burning'!G4901</f>
        <v>0</v>
      </c>
      <c r="H4900" s="217">
        <f>'Reported burning'!H4901</f>
        <v>0</v>
      </c>
    </row>
    <row r="4901" spans="1:8">
      <c r="A4901" s="217">
        <f>'Reported burning'!A4902</f>
        <v>0</v>
      </c>
      <c r="B4901" s="217">
        <f>'Reported burning'!B4902</f>
        <v>0</v>
      </c>
      <c r="C4901" s="217">
        <f>'Reported burning'!C4902</f>
        <v>0</v>
      </c>
      <c r="D4901" s="217">
        <f>'Reported burning'!D4902</f>
        <v>0</v>
      </c>
      <c r="E4901" s="217">
        <f>'Reported burning'!E4902</f>
        <v>0</v>
      </c>
      <c r="F4901" s="217">
        <f>'Reported burning'!F4902</f>
        <v>0</v>
      </c>
      <c r="G4901" s="217">
        <f>'Reported burning'!G4902</f>
        <v>0</v>
      </c>
      <c r="H4901" s="217">
        <f>'Reported burning'!H4902</f>
        <v>0</v>
      </c>
    </row>
    <row r="4902" spans="1:8">
      <c r="A4902" s="217">
        <f>'Reported burning'!A4903</f>
        <v>0</v>
      </c>
      <c r="B4902" s="217">
        <f>'Reported burning'!B4903</f>
        <v>0</v>
      </c>
      <c r="C4902" s="217">
        <f>'Reported burning'!C4903</f>
        <v>0</v>
      </c>
      <c r="D4902" s="217">
        <f>'Reported burning'!D4903</f>
        <v>0</v>
      </c>
      <c r="E4902" s="217">
        <f>'Reported burning'!E4903</f>
        <v>0</v>
      </c>
      <c r="F4902" s="217">
        <f>'Reported burning'!F4903</f>
        <v>0</v>
      </c>
      <c r="G4902" s="217">
        <f>'Reported burning'!G4903</f>
        <v>0</v>
      </c>
      <c r="H4902" s="217">
        <f>'Reported burning'!H4903</f>
        <v>0</v>
      </c>
    </row>
    <row r="4903" spans="1:8">
      <c r="A4903" s="217">
        <f>'Reported burning'!A4904</f>
        <v>0</v>
      </c>
      <c r="B4903" s="217">
        <f>'Reported burning'!B4904</f>
        <v>0</v>
      </c>
      <c r="C4903" s="217">
        <f>'Reported burning'!C4904</f>
        <v>0</v>
      </c>
      <c r="D4903" s="217">
        <f>'Reported burning'!D4904</f>
        <v>0</v>
      </c>
      <c r="E4903" s="217">
        <f>'Reported burning'!E4904</f>
        <v>0</v>
      </c>
      <c r="F4903" s="217">
        <f>'Reported burning'!F4904</f>
        <v>0</v>
      </c>
      <c r="G4903" s="217">
        <f>'Reported burning'!G4904</f>
        <v>0</v>
      </c>
      <c r="H4903" s="217">
        <f>'Reported burning'!H4904</f>
        <v>0</v>
      </c>
    </row>
    <row r="4904" spans="1:8">
      <c r="A4904" s="217">
        <f>'Reported burning'!A4905</f>
        <v>0</v>
      </c>
      <c r="B4904" s="217">
        <f>'Reported burning'!B4905</f>
        <v>0</v>
      </c>
      <c r="C4904" s="217">
        <f>'Reported burning'!C4905</f>
        <v>0</v>
      </c>
      <c r="D4904" s="217">
        <f>'Reported burning'!D4905</f>
        <v>0</v>
      </c>
      <c r="E4904" s="217">
        <f>'Reported burning'!E4905</f>
        <v>0</v>
      </c>
      <c r="F4904" s="217">
        <f>'Reported burning'!F4905</f>
        <v>0</v>
      </c>
      <c r="G4904" s="217">
        <f>'Reported burning'!G4905</f>
        <v>0</v>
      </c>
      <c r="H4904" s="217">
        <f>'Reported burning'!H4905</f>
        <v>0</v>
      </c>
    </row>
    <row r="4905" spans="1:8">
      <c r="A4905" s="217">
        <f>'Reported burning'!A4906</f>
        <v>0</v>
      </c>
      <c r="B4905" s="217">
        <f>'Reported burning'!B4906</f>
        <v>0</v>
      </c>
      <c r="C4905" s="217">
        <f>'Reported burning'!C4906</f>
        <v>0</v>
      </c>
      <c r="D4905" s="217">
        <f>'Reported burning'!D4906</f>
        <v>0</v>
      </c>
      <c r="E4905" s="217">
        <f>'Reported burning'!E4906</f>
        <v>0</v>
      </c>
      <c r="F4905" s="217">
        <f>'Reported burning'!F4906</f>
        <v>0</v>
      </c>
      <c r="G4905" s="217">
        <f>'Reported burning'!G4906</f>
        <v>0</v>
      </c>
      <c r="H4905" s="217">
        <f>'Reported burning'!H4906</f>
        <v>0</v>
      </c>
    </row>
    <row r="4906" spans="1:8">
      <c r="A4906" s="217">
        <f>'Reported burning'!A4907</f>
        <v>0</v>
      </c>
      <c r="B4906" s="217">
        <f>'Reported burning'!B4907</f>
        <v>0</v>
      </c>
      <c r="C4906" s="217">
        <f>'Reported burning'!C4907</f>
        <v>0</v>
      </c>
      <c r="D4906" s="217">
        <f>'Reported burning'!D4907</f>
        <v>0</v>
      </c>
      <c r="E4906" s="217">
        <f>'Reported burning'!E4907</f>
        <v>0</v>
      </c>
      <c r="F4906" s="217">
        <f>'Reported burning'!F4907</f>
        <v>0</v>
      </c>
      <c r="G4906" s="217">
        <f>'Reported burning'!G4907</f>
        <v>0</v>
      </c>
      <c r="H4906" s="217">
        <f>'Reported burning'!H4907</f>
        <v>0</v>
      </c>
    </row>
    <row r="4907" spans="1:8">
      <c r="A4907" s="217">
        <f>'Reported burning'!A4908</f>
        <v>0</v>
      </c>
      <c r="B4907" s="217">
        <f>'Reported burning'!B4908</f>
        <v>0</v>
      </c>
      <c r="C4907" s="217">
        <f>'Reported burning'!C4908</f>
        <v>0</v>
      </c>
      <c r="D4907" s="217">
        <f>'Reported burning'!D4908</f>
        <v>0</v>
      </c>
      <c r="E4907" s="217">
        <f>'Reported burning'!E4908</f>
        <v>0</v>
      </c>
      <c r="F4907" s="217">
        <f>'Reported burning'!F4908</f>
        <v>0</v>
      </c>
      <c r="G4907" s="217">
        <f>'Reported burning'!G4908</f>
        <v>0</v>
      </c>
      <c r="H4907" s="217">
        <f>'Reported burning'!H4908</f>
        <v>0</v>
      </c>
    </row>
    <row r="4908" spans="1:8">
      <c r="A4908" s="217">
        <f>'Reported burning'!A4909</f>
        <v>0</v>
      </c>
      <c r="B4908" s="217">
        <f>'Reported burning'!B4909</f>
        <v>0</v>
      </c>
      <c r="C4908" s="217">
        <f>'Reported burning'!C4909</f>
        <v>0</v>
      </c>
      <c r="D4908" s="217">
        <f>'Reported burning'!D4909</f>
        <v>0</v>
      </c>
      <c r="E4908" s="217">
        <f>'Reported burning'!E4909</f>
        <v>0</v>
      </c>
      <c r="F4908" s="217">
        <f>'Reported burning'!F4909</f>
        <v>0</v>
      </c>
      <c r="G4908" s="217">
        <f>'Reported burning'!G4909</f>
        <v>0</v>
      </c>
      <c r="H4908" s="217">
        <f>'Reported burning'!H4909</f>
        <v>0</v>
      </c>
    </row>
    <row r="4909" spans="1:8">
      <c r="A4909" s="217">
        <f>'Reported burning'!A4910</f>
        <v>0</v>
      </c>
      <c r="B4909" s="217">
        <f>'Reported burning'!B4910</f>
        <v>0</v>
      </c>
      <c r="C4909" s="217">
        <f>'Reported burning'!C4910</f>
        <v>0</v>
      </c>
      <c r="D4909" s="217">
        <f>'Reported burning'!D4910</f>
        <v>0</v>
      </c>
      <c r="E4909" s="217">
        <f>'Reported burning'!E4910</f>
        <v>0</v>
      </c>
      <c r="F4909" s="217">
        <f>'Reported burning'!F4910</f>
        <v>0</v>
      </c>
      <c r="G4909" s="217">
        <f>'Reported burning'!G4910</f>
        <v>0</v>
      </c>
      <c r="H4909" s="217">
        <f>'Reported burning'!H4910</f>
        <v>0</v>
      </c>
    </row>
    <row r="4910" spans="1:8">
      <c r="A4910" s="217">
        <f>'Reported burning'!A4911</f>
        <v>0</v>
      </c>
      <c r="B4910" s="217">
        <f>'Reported burning'!B4911</f>
        <v>0</v>
      </c>
      <c r="C4910" s="217">
        <f>'Reported burning'!C4911</f>
        <v>0</v>
      </c>
      <c r="D4910" s="217">
        <f>'Reported burning'!D4911</f>
        <v>0</v>
      </c>
      <c r="E4910" s="217">
        <f>'Reported burning'!E4911</f>
        <v>0</v>
      </c>
      <c r="F4910" s="217">
        <f>'Reported burning'!F4911</f>
        <v>0</v>
      </c>
      <c r="G4910" s="217">
        <f>'Reported burning'!G4911</f>
        <v>0</v>
      </c>
      <c r="H4910" s="217">
        <f>'Reported burning'!H4911</f>
        <v>0</v>
      </c>
    </row>
    <row r="4911" spans="1:8">
      <c r="A4911" s="217">
        <f>'Reported burning'!A4912</f>
        <v>0</v>
      </c>
      <c r="B4911" s="217">
        <f>'Reported burning'!B4912</f>
        <v>0</v>
      </c>
      <c r="C4911" s="217">
        <f>'Reported burning'!C4912</f>
        <v>0</v>
      </c>
      <c r="D4911" s="217">
        <f>'Reported burning'!D4912</f>
        <v>0</v>
      </c>
      <c r="E4911" s="217">
        <f>'Reported burning'!E4912</f>
        <v>0</v>
      </c>
      <c r="F4911" s="217">
        <f>'Reported burning'!F4912</f>
        <v>0</v>
      </c>
      <c r="G4911" s="217">
        <f>'Reported burning'!G4912</f>
        <v>0</v>
      </c>
      <c r="H4911" s="217">
        <f>'Reported burning'!H4912</f>
        <v>0</v>
      </c>
    </row>
    <row r="4912" spans="1:8">
      <c r="A4912" s="217">
        <f>'Reported burning'!A4913</f>
        <v>0</v>
      </c>
      <c r="B4912" s="217">
        <f>'Reported burning'!B4913</f>
        <v>0</v>
      </c>
      <c r="C4912" s="217">
        <f>'Reported burning'!C4913</f>
        <v>0</v>
      </c>
      <c r="D4912" s="217">
        <f>'Reported burning'!D4913</f>
        <v>0</v>
      </c>
      <c r="E4912" s="217">
        <f>'Reported burning'!E4913</f>
        <v>0</v>
      </c>
      <c r="F4912" s="217">
        <f>'Reported burning'!F4913</f>
        <v>0</v>
      </c>
      <c r="G4912" s="217">
        <f>'Reported burning'!G4913</f>
        <v>0</v>
      </c>
      <c r="H4912" s="217">
        <f>'Reported burning'!H4913</f>
        <v>0</v>
      </c>
    </row>
    <row r="4913" spans="1:8">
      <c r="A4913" s="217">
        <f>'Reported burning'!A4914</f>
        <v>0</v>
      </c>
      <c r="B4913" s="217">
        <f>'Reported burning'!B4914</f>
        <v>0</v>
      </c>
      <c r="C4913" s="217">
        <f>'Reported burning'!C4914</f>
        <v>0</v>
      </c>
      <c r="D4913" s="217">
        <f>'Reported burning'!D4914</f>
        <v>0</v>
      </c>
      <c r="E4913" s="217">
        <f>'Reported burning'!E4914</f>
        <v>0</v>
      </c>
      <c r="F4913" s="217">
        <f>'Reported burning'!F4914</f>
        <v>0</v>
      </c>
      <c r="G4913" s="217">
        <f>'Reported burning'!G4914</f>
        <v>0</v>
      </c>
      <c r="H4913" s="217">
        <f>'Reported burning'!H4914</f>
        <v>0</v>
      </c>
    </row>
    <row r="4914" spans="1:8">
      <c r="A4914" s="217">
        <f>'Reported burning'!A4915</f>
        <v>0</v>
      </c>
      <c r="B4914" s="217">
        <f>'Reported burning'!B4915</f>
        <v>0</v>
      </c>
      <c r="C4914" s="217">
        <f>'Reported burning'!C4915</f>
        <v>0</v>
      </c>
      <c r="D4914" s="217">
        <f>'Reported burning'!D4915</f>
        <v>0</v>
      </c>
      <c r="E4914" s="217">
        <f>'Reported burning'!E4915</f>
        <v>0</v>
      </c>
      <c r="F4914" s="217">
        <f>'Reported burning'!F4915</f>
        <v>0</v>
      </c>
      <c r="G4914" s="217">
        <f>'Reported burning'!G4915</f>
        <v>0</v>
      </c>
      <c r="H4914" s="217">
        <f>'Reported burning'!H4915</f>
        <v>0</v>
      </c>
    </row>
    <row r="4915" spans="1:8">
      <c r="A4915" s="217">
        <f>'Reported burning'!A4916</f>
        <v>0</v>
      </c>
      <c r="B4915" s="217">
        <f>'Reported burning'!B4916</f>
        <v>0</v>
      </c>
      <c r="C4915" s="217">
        <f>'Reported burning'!C4916</f>
        <v>0</v>
      </c>
      <c r="D4915" s="217">
        <f>'Reported burning'!D4916</f>
        <v>0</v>
      </c>
      <c r="E4915" s="217">
        <f>'Reported burning'!E4916</f>
        <v>0</v>
      </c>
      <c r="F4915" s="217">
        <f>'Reported burning'!F4916</f>
        <v>0</v>
      </c>
      <c r="G4915" s="217">
        <f>'Reported burning'!G4916</f>
        <v>0</v>
      </c>
      <c r="H4915" s="217">
        <f>'Reported burning'!H4916</f>
        <v>0</v>
      </c>
    </row>
    <row r="4916" spans="1:8">
      <c r="A4916" s="217">
        <f>'Reported burning'!A4917</f>
        <v>0</v>
      </c>
      <c r="B4916" s="217">
        <f>'Reported burning'!B4917</f>
        <v>0</v>
      </c>
      <c r="C4916" s="217">
        <f>'Reported burning'!C4917</f>
        <v>0</v>
      </c>
      <c r="D4916" s="217">
        <f>'Reported burning'!D4917</f>
        <v>0</v>
      </c>
      <c r="E4916" s="217">
        <f>'Reported burning'!E4917</f>
        <v>0</v>
      </c>
      <c r="F4916" s="217">
        <f>'Reported burning'!F4917</f>
        <v>0</v>
      </c>
      <c r="G4916" s="217">
        <f>'Reported burning'!G4917</f>
        <v>0</v>
      </c>
      <c r="H4916" s="217">
        <f>'Reported burning'!H4917</f>
        <v>0</v>
      </c>
    </row>
    <row r="4917" spans="1:8">
      <c r="A4917" s="217">
        <f>'Reported burning'!A4918</f>
        <v>0</v>
      </c>
      <c r="B4917" s="217">
        <f>'Reported burning'!B4918</f>
        <v>0</v>
      </c>
      <c r="C4917" s="217">
        <f>'Reported burning'!C4918</f>
        <v>0</v>
      </c>
      <c r="D4917" s="217">
        <f>'Reported burning'!D4918</f>
        <v>0</v>
      </c>
      <c r="E4917" s="217">
        <f>'Reported burning'!E4918</f>
        <v>0</v>
      </c>
      <c r="F4917" s="217">
        <f>'Reported burning'!F4918</f>
        <v>0</v>
      </c>
      <c r="G4917" s="217">
        <f>'Reported burning'!G4918</f>
        <v>0</v>
      </c>
      <c r="H4917" s="217">
        <f>'Reported burning'!H4918</f>
        <v>0</v>
      </c>
    </row>
    <row r="4918" spans="1:8">
      <c r="A4918" s="217">
        <f>'Reported burning'!A4919</f>
        <v>0</v>
      </c>
      <c r="B4918" s="217">
        <f>'Reported burning'!B4919</f>
        <v>0</v>
      </c>
      <c r="C4918" s="217">
        <f>'Reported burning'!C4919</f>
        <v>0</v>
      </c>
      <c r="D4918" s="217">
        <f>'Reported burning'!D4919</f>
        <v>0</v>
      </c>
      <c r="E4918" s="217">
        <f>'Reported burning'!E4919</f>
        <v>0</v>
      </c>
      <c r="F4918" s="217">
        <f>'Reported burning'!F4919</f>
        <v>0</v>
      </c>
      <c r="G4918" s="217">
        <f>'Reported burning'!G4919</f>
        <v>0</v>
      </c>
      <c r="H4918" s="217">
        <f>'Reported burning'!H4919</f>
        <v>0</v>
      </c>
    </row>
    <row r="4919" spans="1:8">
      <c r="A4919" s="217">
        <f>'Reported burning'!A4920</f>
        <v>0</v>
      </c>
      <c r="B4919" s="217">
        <f>'Reported burning'!B4920</f>
        <v>0</v>
      </c>
      <c r="C4919" s="217">
        <f>'Reported burning'!C4920</f>
        <v>0</v>
      </c>
      <c r="D4919" s="217">
        <f>'Reported burning'!D4920</f>
        <v>0</v>
      </c>
      <c r="E4919" s="217">
        <f>'Reported burning'!E4920</f>
        <v>0</v>
      </c>
      <c r="F4919" s="217">
        <f>'Reported burning'!F4920</f>
        <v>0</v>
      </c>
      <c r="G4919" s="217">
        <f>'Reported burning'!G4920</f>
        <v>0</v>
      </c>
      <c r="H4919" s="217">
        <f>'Reported burning'!H4920</f>
        <v>0</v>
      </c>
    </row>
    <row r="4920" spans="1:8">
      <c r="A4920" s="217">
        <f>'Reported burning'!A4921</f>
        <v>0</v>
      </c>
      <c r="B4920" s="217">
        <f>'Reported burning'!B4921</f>
        <v>0</v>
      </c>
      <c r="C4920" s="217">
        <f>'Reported burning'!C4921</f>
        <v>0</v>
      </c>
      <c r="D4920" s="217">
        <f>'Reported burning'!D4921</f>
        <v>0</v>
      </c>
      <c r="E4920" s="217">
        <f>'Reported burning'!E4921</f>
        <v>0</v>
      </c>
      <c r="F4920" s="217">
        <f>'Reported burning'!F4921</f>
        <v>0</v>
      </c>
      <c r="G4920" s="217">
        <f>'Reported burning'!G4921</f>
        <v>0</v>
      </c>
      <c r="H4920" s="217">
        <f>'Reported burning'!H4921</f>
        <v>0</v>
      </c>
    </row>
    <row r="4921" spans="1:8">
      <c r="A4921" s="217">
        <f>'Reported burning'!A4922</f>
        <v>0</v>
      </c>
      <c r="B4921" s="217">
        <f>'Reported burning'!B4922</f>
        <v>0</v>
      </c>
      <c r="C4921" s="217">
        <f>'Reported burning'!C4922</f>
        <v>0</v>
      </c>
      <c r="D4921" s="217">
        <f>'Reported burning'!D4922</f>
        <v>0</v>
      </c>
      <c r="E4921" s="217">
        <f>'Reported burning'!E4922</f>
        <v>0</v>
      </c>
      <c r="F4921" s="217">
        <f>'Reported burning'!F4922</f>
        <v>0</v>
      </c>
      <c r="G4921" s="217">
        <f>'Reported burning'!G4922</f>
        <v>0</v>
      </c>
      <c r="H4921" s="217">
        <f>'Reported burning'!H4922</f>
        <v>0</v>
      </c>
    </row>
    <row r="4922" spans="1:8">
      <c r="A4922" s="217">
        <f>'Reported burning'!A4923</f>
        <v>0</v>
      </c>
      <c r="B4922" s="217">
        <f>'Reported burning'!B4923</f>
        <v>0</v>
      </c>
      <c r="C4922" s="217">
        <f>'Reported burning'!C4923</f>
        <v>0</v>
      </c>
      <c r="D4922" s="217">
        <f>'Reported burning'!D4923</f>
        <v>0</v>
      </c>
      <c r="E4922" s="217">
        <f>'Reported burning'!E4923</f>
        <v>0</v>
      </c>
      <c r="F4922" s="217">
        <f>'Reported burning'!F4923</f>
        <v>0</v>
      </c>
      <c r="G4922" s="217">
        <f>'Reported burning'!G4923</f>
        <v>0</v>
      </c>
      <c r="H4922" s="217">
        <f>'Reported burning'!H4923</f>
        <v>0</v>
      </c>
    </row>
    <row r="4923" spans="1:8">
      <c r="A4923" s="217">
        <f>'Reported burning'!A4924</f>
        <v>0</v>
      </c>
      <c r="B4923" s="217">
        <f>'Reported burning'!B4924</f>
        <v>0</v>
      </c>
      <c r="C4923" s="217">
        <f>'Reported burning'!C4924</f>
        <v>0</v>
      </c>
      <c r="D4923" s="217">
        <f>'Reported burning'!D4924</f>
        <v>0</v>
      </c>
      <c r="E4923" s="217">
        <f>'Reported burning'!E4924</f>
        <v>0</v>
      </c>
      <c r="F4923" s="217">
        <f>'Reported burning'!F4924</f>
        <v>0</v>
      </c>
      <c r="G4923" s="217">
        <f>'Reported burning'!G4924</f>
        <v>0</v>
      </c>
      <c r="H4923" s="217">
        <f>'Reported burning'!H4924</f>
        <v>0</v>
      </c>
    </row>
    <row r="4924" spans="1:8">
      <c r="A4924" s="217">
        <f>'Reported burning'!A4925</f>
        <v>0</v>
      </c>
      <c r="B4924" s="217">
        <f>'Reported burning'!B4925</f>
        <v>0</v>
      </c>
      <c r="C4924" s="217">
        <f>'Reported burning'!C4925</f>
        <v>0</v>
      </c>
      <c r="D4924" s="217">
        <f>'Reported burning'!D4925</f>
        <v>0</v>
      </c>
      <c r="E4924" s="217">
        <f>'Reported burning'!E4925</f>
        <v>0</v>
      </c>
      <c r="F4924" s="217">
        <f>'Reported burning'!F4925</f>
        <v>0</v>
      </c>
      <c r="G4924" s="217">
        <f>'Reported burning'!G4925</f>
        <v>0</v>
      </c>
      <c r="H4924" s="217">
        <f>'Reported burning'!H4925</f>
        <v>0</v>
      </c>
    </row>
    <row r="4925" spans="1:8">
      <c r="A4925" s="217">
        <f>'Reported burning'!A4926</f>
        <v>0</v>
      </c>
      <c r="B4925" s="217">
        <f>'Reported burning'!B4926</f>
        <v>0</v>
      </c>
      <c r="C4925" s="217">
        <f>'Reported burning'!C4926</f>
        <v>0</v>
      </c>
      <c r="D4925" s="217">
        <f>'Reported burning'!D4926</f>
        <v>0</v>
      </c>
      <c r="E4925" s="217">
        <f>'Reported burning'!E4926</f>
        <v>0</v>
      </c>
      <c r="F4925" s="217">
        <f>'Reported burning'!F4926</f>
        <v>0</v>
      </c>
      <c r="G4925" s="217">
        <f>'Reported burning'!G4926</f>
        <v>0</v>
      </c>
      <c r="H4925" s="217">
        <f>'Reported burning'!H4926</f>
        <v>0</v>
      </c>
    </row>
    <row r="4926" spans="1:8">
      <c r="A4926" s="217">
        <f>'Reported burning'!A4927</f>
        <v>0</v>
      </c>
      <c r="B4926" s="217">
        <f>'Reported burning'!B4927</f>
        <v>0</v>
      </c>
      <c r="C4926" s="217">
        <f>'Reported burning'!C4927</f>
        <v>0</v>
      </c>
      <c r="D4926" s="217">
        <f>'Reported burning'!D4927</f>
        <v>0</v>
      </c>
      <c r="E4926" s="217">
        <f>'Reported burning'!E4927</f>
        <v>0</v>
      </c>
      <c r="F4926" s="217">
        <f>'Reported burning'!F4927</f>
        <v>0</v>
      </c>
      <c r="G4926" s="217">
        <f>'Reported burning'!G4927</f>
        <v>0</v>
      </c>
      <c r="H4926" s="217">
        <f>'Reported burning'!H4927</f>
        <v>0</v>
      </c>
    </row>
    <row r="4927" spans="1:8">
      <c r="A4927" s="217">
        <f>'Reported burning'!A4928</f>
        <v>0</v>
      </c>
      <c r="B4927" s="217">
        <f>'Reported burning'!B4928</f>
        <v>0</v>
      </c>
      <c r="C4927" s="217">
        <f>'Reported burning'!C4928</f>
        <v>0</v>
      </c>
      <c r="D4927" s="217">
        <f>'Reported burning'!D4928</f>
        <v>0</v>
      </c>
      <c r="E4927" s="217">
        <f>'Reported burning'!E4928</f>
        <v>0</v>
      </c>
      <c r="F4927" s="217">
        <f>'Reported burning'!F4928</f>
        <v>0</v>
      </c>
      <c r="G4927" s="217">
        <f>'Reported burning'!G4928</f>
        <v>0</v>
      </c>
      <c r="H4927" s="217">
        <f>'Reported burning'!H4928</f>
        <v>0</v>
      </c>
    </row>
    <row r="4928" spans="1:8">
      <c r="A4928" s="217">
        <f>'Reported burning'!A4929</f>
        <v>0</v>
      </c>
      <c r="B4928" s="217">
        <f>'Reported burning'!B4929</f>
        <v>0</v>
      </c>
      <c r="C4928" s="217">
        <f>'Reported burning'!C4929</f>
        <v>0</v>
      </c>
      <c r="D4928" s="217">
        <f>'Reported burning'!D4929</f>
        <v>0</v>
      </c>
      <c r="E4928" s="217">
        <f>'Reported burning'!E4929</f>
        <v>0</v>
      </c>
      <c r="F4928" s="217">
        <f>'Reported burning'!F4929</f>
        <v>0</v>
      </c>
      <c r="G4928" s="217">
        <f>'Reported burning'!G4929</f>
        <v>0</v>
      </c>
      <c r="H4928" s="217">
        <f>'Reported burning'!H4929</f>
        <v>0</v>
      </c>
    </row>
    <row r="4929" spans="1:8">
      <c r="A4929" s="217">
        <f>'Reported burning'!A4930</f>
        <v>0</v>
      </c>
      <c r="B4929" s="217">
        <f>'Reported burning'!B4930</f>
        <v>0</v>
      </c>
      <c r="C4929" s="217">
        <f>'Reported burning'!C4930</f>
        <v>0</v>
      </c>
      <c r="D4929" s="217">
        <f>'Reported burning'!D4930</f>
        <v>0</v>
      </c>
      <c r="E4929" s="217">
        <f>'Reported burning'!E4930</f>
        <v>0</v>
      </c>
      <c r="F4929" s="217">
        <f>'Reported burning'!F4930</f>
        <v>0</v>
      </c>
      <c r="G4929" s="217">
        <f>'Reported burning'!G4930</f>
        <v>0</v>
      </c>
      <c r="H4929" s="217">
        <f>'Reported burning'!H4930</f>
        <v>0</v>
      </c>
    </row>
    <row r="4930" spans="1:8">
      <c r="A4930" s="217">
        <f>'Reported burning'!A4931</f>
        <v>0</v>
      </c>
      <c r="B4930" s="217">
        <f>'Reported burning'!B4931</f>
        <v>0</v>
      </c>
      <c r="C4930" s="217">
        <f>'Reported burning'!C4931</f>
        <v>0</v>
      </c>
      <c r="D4930" s="217">
        <f>'Reported burning'!D4931</f>
        <v>0</v>
      </c>
      <c r="E4930" s="217">
        <f>'Reported burning'!E4931</f>
        <v>0</v>
      </c>
      <c r="F4930" s="217">
        <f>'Reported burning'!F4931</f>
        <v>0</v>
      </c>
      <c r="G4930" s="217">
        <f>'Reported burning'!G4931</f>
        <v>0</v>
      </c>
      <c r="H4930" s="217">
        <f>'Reported burning'!H4931</f>
        <v>0</v>
      </c>
    </row>
    <row r="4931" spans="1:8">
      <c r="A4931" s="217">
        <f>'Reported burning'!A4932</f>
        <v>0</v>
      </c>
      <c r="B4931" s="217">
        <f>'Reported burning'!B4932</f>
        <v>0</v>
      </c>
      <c r="C4931" s="217">
        <f>'Reported burning'!C4932</f>
        <v>0</v>
      </c>
      <c r="D4931" s="217">
        <f>'Reported burning'!D4932</f>
        <v>0</v>
      </c>
      <c r="E4931" s="217">
        <f>'Reported burning'!E4932</f>
        <v>0</v>
      </c>
      <c r="F4931" s="217">
        <f>'Reported burning'!F4932</f>
        <v>0</v>
      </c>
      <c r="G4931" s="217">
        <f>'Reported burning'!G4932</f>
        <v>0</v>
      </c>
      <c r="H4931" s="217">
        <f>'Reported burning'!H4932</f>
        <v>0</v>
      </c>
    </row>
    <row r="4932" spans="1:8">
      <c r="A4932" s="217">
        <f>'Reported burning'!A4933</f>
        <v>0</v>
      </c>
      <c r="B4932" s="217">
        <f>'Reported burning'!B4933</f>
        <v>0</v>
      </c>
      <c r="C4932" s="217">
        <f>'Reported burning'!C4933</f>
        <v>0</v>
      </c>
      <c r="D4932" s="217">
        <f>'Reported burning'!D4933</f>
        <v>0</v>
      </c>
      <c r="E4932" s="217">
        <f>'Reported burning'!E4933</f>
        <v>0</v>
      </c>
      <c r="F4932" s="217">
        <f>'Reported burning'!F4933</f>
        <v>0</v>
      </c>
      <c r="G4932" s="217">
        <f>'Reported burning'!G4933</f>
        <v>0</v>
      </c>
      <c r="H4932" s="217">
        <f>'Reported burning'!H4933</f>
        <v>0</v>
      </c>
    </row>
    <row r="4933" spans="1:8">
      <c r="A4933" s="217">
        <f>'Reported burning'!A4934</f>
        <v>0</v>
      </c>
      <c r="B4933" s="217">
        <f>'Reported burning'!B4934</f>
        <v>0</v>
      </c>
      <c r="C4933" s="217">
        <f>'Reported burning'!C4934</f>
        <v>0</v>
      </c>
      <c r="D4933" s="217">
        <f>'Reported burning'!D4934</f>
        <v>0</v>
      </c>
      <c r="E4933" s="217">
        <f>'Reported burning'!E4934</f>
        <v>0</v>
      </c>
      <c r="F4933" s="217">
        <f>'Reported burning'!F4934</f>
        <v>0</v>
      </c>
      <c r="G4933" s="217">
        <f>'Reported burning'!G4934</f>
        <v>0</v>
      </c>
      <c r="H4933" s="217">
        <f>'Reported burning'!H4934</f>
        <v>0</v>
      </c>
    </row>
    <row r="4934" spans="1:8">
      <c r="A4934" s="217">
        <f>'Reported burning'!A4935</f>
        <v>0</v>
      </c>
      <c r="B4934" s="217">
        <f>'Reported burning'!B4935</f>
        <v>0</v>
      </c>
      <c r="C4934" s="217">
        <f>'Reported burning'!C4935</f>
        <v>0</v>
      </c>
      <c r="D4934" s="217">
        <f>'Reported burning'!D4935</f>
        <v>0</v>
      </c>
      <c r="E4934" s="217">
        <f>'Reported burning'!E4935</f>
        <v>0</v>
      </c>
      <c r="F4934" s="217">
        <f>'Reported burning'!F4935</f>
        <v>0</v>
      </c>
      <c r="G4934" s="217">
        <f>'Reported burning'!G4935</f>
        <v>0</v>
      </c>
      <c r="H4934" s="217">
        <f>'Reported burning'!H4935</f>
        <v>0</v>
      </c>
    </row>
    <row r="4935" spans="1:8">
      <c r="A4935" s="217">
        <f>'Reported burning'!A4936</f>
        <v>0</v>
      </c>
      <c r="B4935" s="217">
        <f>'Reported burning'!B4936</f>
        <v>0</v>
      </c>
      <c r="C4935" s="217">
        <f>'Reported burning'!C4936</f>
        <v>0</v>
      </c>
      <c r="D4935" s="217">
        <f>'Reported burning'!D4936</f>
        <v>0</v>
      </c>
      <c r="E4935" s="217">
        <f>'Reported burning'!E4936</f>
        <v>0</v>
      </c>
      <c r="F4935" s="217">
        <f>'Reported burning'!F4936</f>
        <v>0</v>
      </c>
      <c r="G4935" s="217">
        <f>'Reported burning'!G4936</f>
        <v>0</v>
      </c>
      <c r="H4935" s="217">
        <f>'Reported burning'!H4936</f>
        <v>0</v>
      </c>
    </row>
    <row r="4936" spans="1:8">
      <c r="A4936" s="217">
        <f>'Reported burning'!A4937</f>
        <v>0</v>
      </c>
      <c r="B4936" s="217">
        <f>'Reported burning'!B4937</f>
        <v>0</v>
      </c>
      <c r="C4936" s="217">
        <f>'Reported burning'!C4937</f>
        <v>0</v>
      </c>
      <c r="D4936" s="217">
        <f>'Reported burning'!D4937</f>
        <v>0</v>
      </c>
      <c r="E4936" s="217">
        <f>'Reported burning'!E4937</f>
        <v>0</v>
      </c>
      <c r="F4936" s="217">
        <f>'Reported burning'!F4937</f>
        <v>0</v>
      </c>
      <c r="G4936" s="217">
        <f>'Reported burning'!G4937</f>
        <v>0</v>
      </c>
      <c r="H4936" s="217">
        <f>'Reported burning'!H4937</f>
        <v>0</v>
      </c>
    </row>
    <row r="4937" spans="1:8">
      <c r="A4937" s="217">
        <f>'Reported burning'!A4938</f>
        <v>0</v>
      </c>
      <c r="B4937" s="217">
        <f>'Reported burning'!B4938</f>
        <v>0</v>
      </c>
      <c r="C4937" s="217">
        <f>'Reported burning'!C4938</f>
        <v>0</v>
      </c>
      <c r="D4937" s="217">
        <f>'Reported burning'!D4938</f>
        <v>0</v>
      </c>
      <c r="E4937" s="217">
        <f>'Reported burning'!E4938</f>
        <v>0</v>
      </c>
      <c r="F4937" s="217">
        <f>'Reported burning'!F4938</f>
        <v>0</v>
      </c>
      <c r="G4937" s="217">
        <f>'Reported burning'!G4938</f>
        <v>0</v>
      </c>
      <c r="H4937" s="217">
        <f>'Reported burning'!H4938</f>
        <v>0</v>
      </c>
    </row>
    <row r="4938" spans="1:8">
      <c r="A4938" s="217">
        <f>'Reported burning'!A4939</f>
        <v>0</v>
      </c>
      <c r="B4938" s="217">
        <f>'Reported burning'!B4939</f>
        <v>0</v>
      </c>
      <c r="C4938" s="217">
        <f>'Reported burning'!C4939</f>
        <v>0</v>
      </c>
      <c r="D4938" s="217">
        <f>'Reported burning'!D4939</f>
        <v>0</v>
      </c>
      <c r="E4938" s="217">
        <f>'Reported burning'!E4939</f>
        <v>0</v>
      </c>
      <c r="F4938" s="217">
        <f>'Reported burning'!F4939</f>
        <v>0</v>
      </c>
      <c r="G4938" s="217">
        <f>'Reported burning'!G4939</f>
        <v>0</v>
      </c>
      <c r="H4938" s="217">
        <f>'Reported burning'!H4939</f>
        <v>0</v>
      </c>
    </row>
    <row r="4939" spans="1:8">
      <c r="A4939" s="217">
        <f>'Reported burning'!A4940</f>
        <v>0</v>
      </c>
      <c r="B4939" s="217">
        <f>'Reported burning'!B4940</f>
        <v>0</v>
      </c>
      <c r="C4939" s="217">
        <f>'Reported burning'!C4940</f>
        <v>0</v>
      </c>
      <c r="D4939" s="217">
        <f>'Reported burning'!D4940</f>
        <v>0</v>
      </c>
      <c r="E4939" s="217">
        <f>'Reported burning'!E4940</f>
        <v>0</v>
      </c>
      <c r="F4939" s="217">
        <f>'Reported burning'!F4940</f>
        <v>0</v>
      </c>
      <c r="G4939" s="217">
        <f>'Reported burning'!G4940</f>
        <v>0</v>
      </c>
      <c r="H4939" s="217">
        <f>'Reported burning'!H4940</f>
        <v>0</v>
      </c>
    </row>
    <row r="4940" spans="1:8">
      <c r="A4940" s="217">
        <f>'Reported burning'!A4941</f>
        <v>0</v>
      </c>
      <c r="B4940" s="217">
        <f>'Reported burning'!B4941</f>
        <v>0</v>
      </c>
      <c r="C4940" s="217">
        <f>'Reported burning'!C4941</f>
        <v>0</v>
      </c>
      <c r="D4940" s="217">
        <f>'Reported burning'!D4941</f>
        <v>0</v>
      </c>
      <c r="E4940" s="217">
        <f>'Reported burning'!E4941</f>
        <v>0</v>
      </c>
      <c r="F4940" s="217">
        <f>'Reported burning'!F4941</f>
        <v>0</v>
      </c>
      <c r="G4940" s="217">
        <f>'Reported burning'!G4941</f>
        <v>0</v>
      </c>
      <c r="H4940" s="217">
        <f>'Reported burning'!H4941</f>
        <v>0</v>
      </c>
    </row>
    <row r="4941" spans="1:8">
      <c r="A4941" s="217">
        <f>'Reported burning'!A4942</f>
        <v>0</v>
      </c>
      <c r="B4941" s="217">
        <f>'Reported burning'!B4942</f>
        <v>0</v>
      </c>
      <c r="C4941" s="217">
        <f>'Reported burning'!C4942</f>
        <v>0</v>
      </c>
      <c r="D4941" s="217">
        <f>'Reported burning'!D4942</f>
        <v>0</v>
      </c>
      <c r="E4941" s="217">
        <f>'Reported burning'!E4942</f>
        <v>0</v>
      </c>
      <c r="F4941" s="217">
        <f>'Reported burning'!F4942</f>
        <v>0</v>
      </c>
      <c r="G4941" s="217">
        <f>'Reported burning'!G4942</f>
        <v>0</v>
      </c>
      <c r="H4941" s="217">
        <f>'Reported burning'!H4942</f>
        <v>0</v>
      </c>
    </row>
    <row r="4942" spans="1:8">
      <c r="A4942" s="217">
        <f>'Reported burning'!A4943</f>
        <v>0</v>
      </c>
      <c r="B4942" s="217">
        <f>'Reported burning'!B4943</f>
        <v>0</v>
      </c>
      <c r="C4942" s="217">
        <f>'Reported burning'!C4943</f>
        <v>0</v>
      </c>
      <c r="D4942" s="217">
        <f>'Reported burning'!D4943</f>
        <v>0</v>
      </c>
      <c r="E4942" s="217">
        <f>'Reported burning'!E4943</f>
        <v>0</v>
      </c>
      <c r="F4942" s="217">
        <f>'Reported burning'!F4943</f>
        <v>0</v>
      </c>
      <c r="G4942" s="217">
        <f>'Reported burning'!G4943</f>
        <v>0</v>
      </c>
      <c r="H4942" s="217">
        <f>'Reported burning'!H4943</f>
        <v>0</v>
      </c>
    </row>
    <row r="4943" spans="1:8">
      <c r="A4943" s="217">
        <f>'Reported burning'!A4944</f>
        <v>0</v>
      </c>
      <c r="B4943" s="217">
        <f>'Reported burning'!B4944</f>
        <v>0</v>
      </c>
      <c r="C4943" s="217">
        <f>'Reported burning'!C4944</f>
        <v>0</v>
      </c>
      <c r="D4943" s="217">
        <f>'Reported burning'!D4944</f>
        <v>0</v>
      </c>
      <c r="E4943" s="217">
        <f>'Reported burning'!E4944</f>
        <v>0</v>
      </c>
      <c r="F4943" s="217">
        <f>'Reported burning'!F4944</f>
        <v>0</v>
      </c>
      <c r="G4943" s="217">
        <f>'Reported burning'!G4944</f>
        <v>0</v>
      </c>
      <c r="H4943" s="217">
        <f>'Reported burning'!H4944</f>
        <v>0</v>
      </c>
    </row>
    <row r="4944" spans="1:8">
      <c r="A4944" s="217">
        <f>'Reported burning'!A4945</f>
        <v>0</v>
      </c>
      <c r="B4944" s="217">
        <f>'Reported burning'!B4945</f>
        <v>0</v>
      </c>
      <c r="C4944" s="217">
        <f>'Reported burning'!C4945</f>
        <v>0</v>
      </c>
      <c r="D4944" s="217">
        <f>'Reported burning'!D4945</f>
        <v>0</v>
      </c>
      <c r="E4944" s="217">
        <f>'Reported burning'!E4945</f>
        <v>0</v>
      </c>
      <c r="F4944" s="217">
        <f>'Reported burning'!F4945</f>
        <v>0</v>
      </c>
      <c r="G4944" s="217">
        <f>'Reported burning'!G4945</f>
        <v>0</v>
      </c>
      <c r="H4944" s="217">
        <f>'Reported burning'!H4945</f>
        <v>0</v>
      </c>
    </row>
    <row r="4945" spans="1:8">
      <c r="A4945" s="217">
        <f>'Reported burning'!A4946</f>
        <v>0</v>
      </c>
      <c r="B4945" s="217">
        <f>'Reported burning'!B4946</f>
        <v>0</v>
      </c>
      <c r="C4945" s="217">
        <f>'Reported burning'!C4946</f>
        <v>0</v>
      </c>
      <c r="D4945" s="217">
        <f>'Reported burning'!D4946</f>
        <v>0</v>
      </c>
      <c r="E4945" s="217">
        <f>'Reported burning'!E4946</f>
        <v>0</v>
      </c>
      <c r="F4945" s="217">
        <f>'Reported burning'!F4946</f>
        <v>0</v>
      </c>
      <c r="G4945" s="217">
        <f>'Reported burning'!G4946</f>
        <v>0</v>
      </c>
      <c r="H4945" s="217">
        <f>'Reported burning'!H4946</f>
        <v>0</v>
      </c>
    </row>
    <row r="4946" spans="1:8">
      <c r="A4946" s="217">
        <f>'Reported burning'!A4947</f>
        <v>0</v>
      </c>
      <c r="B4946" s="217">
        <f>'Reported burning'!B4947</f>
        <v>0</v>
      </c>
      <c r="C4946" s="217">
        <f>'Reported burning'!C4947</f>
        <v>0</v>
      </c>
      <c r="D4946" s="217">
        <f>'Reported burning'!D4947</f>
        <v>0</v>
      </c>
      <c r="E4946" s="217">
        <f>'Reported burning'!E4947</f>
        <v>0</v>
      </c>
      <c r="F4946" s="217">
        <f>'Reported burning'!F4947</f>
        <v>0</v>
      </c>
      <c r="G4946" s="217">
        <f>'Reported burning'!G4947</f>
        <v>0</v>
      </c>
      <c r="H4946" s="217">
        <f>'Reported burning'!H4947</f>
        <v>0</v>
      </c>
    </row>
    <row r="4947" spans="1:8">
      <c r="A4947" s="217">
        <f>'Reported burning'!A4948</f>
        <v>0</v>
      </c>
      <c r="B4947" s="217">
        <f>'Reported burning'!B4948</f>
        <v>0</v>
      </c>
      <c r="C4947" s="217">
        <f>'Reported burning'!C4948</f>
        <v>0</v>
      </c>
      <c r="D4947" s="217">
        <f>'Reported burning'!D4948</f>
        <v>0</v>
      </c>
      <c r="E4947" s="217">
        <f>'Reported burning'!E4948</f>
        <v>0</v>
      </c>
      <c r="F4947" s="217">
        <f>'Reported burning'!F4948</f>
        <v>0</v>
      </c>
      <c r="G4947" s="217">
        <f>'Reported burning'!G4948</f>
        <v>0</v>
      </c>
      <c r="H4947" s="217">
        <f>'Reported burning'!H4948</f>
        <v>0</v>
      </c>
    </row>
    <row r="4948" spans="1:8">
      <c r="A4948" s="217">
        <f>'Reported burning'!A4949</f>
        <v>0</v>
      </c>
      <c r="B4948" s="217">
        <f>'Reported burning'!B4949</f>
        <v>0</v>
      </c>
      <c r="C4948" s="217">
        <f>'Reported burning'!C4949</f>
        <v>0</v>
      </c>
      <c r="D4948" s="217">
        <f>'Reported burning'!D4949</f>
        <v>0</v>
      </c>
      <c r="E4948" s="217">
        <f>'Reported burning'!E4949</f>
        <v>0</v>
      </c>
      <c r="F4948" s="217">
        <f>'Reported burning'!F4949</f>
        <v>0</v>
      </c>
      <c r="G4948" s="217">
        <f>'Reported burning'!G4949</f>
        <v>0</v>
      </c>
      <c r="H4948" s="217">
        <f>'Reported burning'!H4949</f>
        <v>0</v>
      </c>
    </row>
    <row r="4949" spans="1:8">
      <c r="A4949" s="217">
        <f>'Reported burning'!A4950</f>
        <v>0</v>
      </c>
      <c r="B4949" s="217">
        <f>'Reported burning'!B4950</f>
        <v>0</v>
      </c>
      <c r="C4949" s="217">
        <f>'Reported burning'!C4950</f>
        <v>0</v>
      </c>
      <c r="D4949" s="217">
        <f>'Reported burning'!D4950</f>
        <v>0</v>
      </c>
      <c r="E4949" s="217">
        <f>'Reported burning'!E4950</f>
        <v>0</v>
      </c>
      <c r="F4949" s="217">
        <f>'Reported burning'!F4950</f>
        <v>0</v>
      </c>
      <c r="G4949" s="217">
        <f>'Reported burning'!G4950</f>
        <v>0</v>
      </c>
      <c r="H4949" s="217">
        <f>'Reported burning'!H4950</f>
        <v>0</v>
      </c>
    </row>
    <row r="4950" spans="1:8">
      <c r="A4950" s="217">
        <f>'Reported burning'!A4951</f>
        <v>0</v>
      </c>
      <c r="B4950" s="217">
        <f>'Reported burning'!B4951</f>
        <v>0</v>
      </c>
      <c r="C4950" s="217">
        <f>'Reported burning'!C4951</f>
        <v>0</v>
      </c>
      <c r="D4950" s="217">
        <f>'Reported burning'!D4951</f>
        <v>0</v>
      </c>
      <c r="E4950" s="217">
        <f>'Reported burning'!E4951</f>
        <v>0</v>
      </c>
      <c r="F4950" s="217">
        <f>'Reported burning'!F4951</f>
        <v>0</v>
      </c>
      <c r="G4950" s="217">
        <f>'Reported burning'!G4951</f>
        <v>0</v>
      </c>
      <c r="H4950" s="217">
        <f>'Reported burning'!H4951</f>
        <v>0</v>
      </c>
    </row>
    <row r="4951" spans="1:8">
      <c r="A4951" s="217">
        <f>'Reported burning'!A4952</f>
        <v>0</v>
      </c>
      <c r="B4951" s="217">
        <f>'Reported burning'!B4952</f>
        <v>0</v>
      </c>
      <c r="C4951" s="217">
        <f>'Reported burning'!C4952</f>
        <v>0</v>
      </c>
      <c r="D4951" s="217">
        <f>'Reported burning'!D4952</f>
        <v>0</v>
      </c>
      <c r="E4951" s="217">
        <f>'Reported burning'!E4952</f>
        <v>0</v>
      </c>
      <c r="F4951" s="217">
        <f>'Reported burning'!F4952</f>
        <v>0</v>
      </c>
      <c r="G4951" s="217">
        <f>'Reported burning'!G4952</f>
        <v>0</v>
      </c>
      <c r="H4951" s="217">
        <f>'Reported burning'!H4952</f>
        <v>0</v>
      </c>
    </row>
    <row r="4952" spans="1:8">
      <c r="A4952" s="217">
        <f>'Reported burning'!A4953</f>
        <v>0</v>
      </c>
      <c r="B4952" s="217">
        <f>'Reported burning'!B4953</f>
        <v>0</v>
      </c>
      <c r="C4952" s="217">
        <f>'Reported burning'!C4953</f>
        <v>0</v>
      </c>
      <c r="D4952" s="217">
        <f>'Reported burning'!D4953</f>
        <v>0</v>
      </c>
      <c r="E4952" s="217">
        <f>'Reported burning'!E4953</f>
        <v>0</v>
      </c>
      <c r="F4952" s="217">
        <f>'Reported burning'!F4953</f>
        <v>0</v>
      </c>
      <c r="G4952" s="217">
        <f>'Reported burning'!G4953</f>
        <v>0</v>
      </c>
      <c r="H4952" s="217">
        <f>'Reported burning'!H4953</f>
        <v>0</v>
      </c>
    </row>
    <row r="4953" spans="1:8">
      <c r="A4953" s="217">
        <f>'Reported burning'!A4954</f>
        <v>0</v>
      </c>
      <c r="B4953" s="217">
        <f>'Reported burning'!B4954</f>
        <v>0</v>
      </c>
      <c r="C4953" s="217">
        <f>'Reported burning'!C4954</f>
        <v>0</v>
      </c>
      <c r="D4953" s="217">
        <f>'Reported burning'!D4954</f>
        <v>0</v>
      </c>
      <c r="E4953" s="217">
        <f>'Reported burning'!E4954</f>
        <v>0</v>
      </c>
      <c r="F4953" s="217">
        <f>'Reported burning'!F4954</f>
        <v>0</v>
      </c>
      <c r="G4953" s="217">
        <f>'Reported burning'!G4954</f>
        <v>0</v>
      </c>
      <c r="H4953" s="217">
        <f>'Reported burning'!H4954</f>
        <v>0</v>
      </c>
    </row>
    <row r="4954" spans="1:8">
      <c r="A4954" s="217">
        <f>'Reported burning'!A4955</f>
        <v>0</v>
      </c>
      <c r="B4954" s="217">
        <f>'Reported burning'!B4955</f>
        <v>0</v>
      </c>
      <c r="C4954" s="217">
        <f>'Reported burning'!C4955</f>
        <v>0</v>
      </c>
      <c r="D4954" s="217">
        <f>'Reported burning'!D4955</f>
        <v>0</v>
      </c>
      <c r="E4954" s="217">
        <f>'Reported burning'!E4955</f>
        <v>0</v>
      </c>
      <c r="F4954" s="217">
        <f>'Reported burning'!F4955</f>
        <v>0</v>
      </c>
      <c r="G4954" s="217">
        <f>'Reported burning'!G4955</f>
        <v>0</v>
      </c>
      <c r="H4954" s="217">
        <f>'Reported burning'!H4955</f>
        <v>0</v>
      </c>
    </row>
    <row r="4955" spans="1:8">
      <c r="A4955" s="217">
        <f>'Reported burning'!A4956</f>
        <v>0</v>
      </c>
      <c r="B4955" s="217">
        <f>'Reported burning'!B4956</f>
        <v>0</v>
      </c>
      <c r="C4955" s="217">
        <f>'Reported burning'!C4956</f>
        <v>0</v>
      </c>
      <c r="D4955" s="217">
        <f>'Reported burning'!D4956</f>
        <v>0</v>
      </c>
      <c r="E4955" s="217">
        <f>'Reported burning'!E4956</f>
        <v>0</v>
      </c>
      <c r="F4955" s="217">
        <f>'Reported burning'!F4956</f>
        <v>0</v>
      </c>
      <c r="G4955" s="217">
        <f>'Reported burning'!G4956</f>
        <v>0</v>
      </c>
      <c r="H4955" s="217">
        <f>'Reported burning'!H4956</f>
        <v>0</v>
      </c>
    </row>
    <row r="4956" spans="1:8">
      <c r="A4956" s="217">
        <f>'Reported burning'!A4957</f>
        <v>0</v>
      </c>
      <c r="B4956" s="217">
        <f>'Reported burning'!B4957</f>
        <v>0</v>
      </c>
      <c r="C4956" s="217">
        <f>'Reported burning'!C4957</f>
        <v>0</v>
      </c>
      <c r="D4956" s="217">
        <f>'Reported burning'!D4957</f>
        <v>0</v>
      </c>
      <c r="E4956" s="217">
        <f>'Reported burning'!E4957</f>
        <v>0</v>
      </c>
      <c r="F4956" s="217">
        <f>'Reported burning'!F4957</f>
        <v>0</v>
      </c>
      <c r="G4956" s="217">
        <f>'Reported burning'!G4957</f>
        <v>0</v>
      </c>
      <c r="H4956" s="217">
        <f>'Reported burning'!H4957</f>
        <v>0</v>
      </c>
    </row>
    <row r="4957" spans="1:8">
      <c r="A4957" s="217">
        <f>'Reported burning'!A4958</f>
        <v>0</v>
      </c>
      <c r="B4957" s="217">
        <f>'Reported burning'!B4958</f>
        <v>0</v>
      </c>
      <c r="C4957" s="217">
        <f>'Reported burning'!C4958</f>
        <v>0</v>
      </c>
      <c r="D4957" s="217">
        <f>'Reported burning'!D4958</f>
        <v>0</v>
      </c>
      <c r="E4957" s="217">
        <f>'Reported burning'!E4958</f>
        <v>0</v>
      </c>
      <c r="F4957" s="217">
        <f>'Reported burning'!F4958</f>
        <v>0</v>
      </c>
      <c r="G4957" s="217">
        <f>'Reported burning'!G4958</f>
        <v>0</v>
      </c>
      <c r="H4957" s="217">
        <f>'Reported burning'!H4958</f>
        <v>0</v>
      </c>
    </row>
    <row r="4958" spans="1:8">
      <c r="A4958" s="217">
        <f>'Reported burning'!A4959</f>
        <v>0</v>
      </c>
      <c r="B4958" s="217">
        <f>'Reported burning'!B4959</f>
        <v>0</v>
      </c>
      <c r="C4958" s="217">
        <f>'Reported burning'!C4959</f>
        <v>0</v>
      </c>
      <c r="D4958" s="217">
        <f>'Reported burning'!D4959</f>
        <v>0</v>
      </c>
      <c r="E4958" s="217">
        <f>'Reported burning'!E4959</f>
        <v>0</v>
      </c>
      <c r="F4958" s="217">
        <f>'Reported burning'!F4959</f>
        <v>0</v>
      </c>
      <c r="G4958" s="217">
        <f>'Reported burning'!G4959</f>
        <v>0</v>
      </c>
      <c r="H4958" s="217">
        <f>'Reported burning'!H4959</f>
        <v>0</v>
      </c>
    </row>
    <row r="4959" spans="1:8">
      <c r="A4959" s="217">
        <f>'Reported burning'!A4960</f>
        <v>0</v>
      </c>
      <c r="B4959" s="217">
        <f>'Reported burning'!B4960</f>
        <v>0</v>
      </c>
      <c r="C4959" s="217">
        <f>'Reported burning'!C4960</f>
        <v>0</v>
      </c>
      <c r="D4959" s="217">
        <f>'Reported burning'!D4960</f>
        <v>0</v>
      </c>
      <c r="E4959" s="217">
        <f>'Reported burning'!E4960</f>
        <v>0</v>
      </c>
      <c r="F4959" s="217">
        <f>'Reported burning'!F4960</f>
        <v>0</v>
      </c>
      <c r="G4959" s="217">
        <f>'Reported burning'!G4960</f>
        <v>0</v>
      </c>
      <c r="H4959" s="217">
        <f>'Reported burning'!H4960</f>
        <v>0</v>
      </c>
    </row>
    <row r="4960" spans="1:8">
      <c r="A4960" s="217">
        <f>'Reported burning'!A4961</f>
        <v>0</v>
      </c>
      <c r="B4960" s="217">
        <f>'Reported burning'!B4961</f>
        <v>0</v>
      </c>
      <c r="C4960" s="217">
        <f>'Reported burning'!C4961</f>
        <v>0</v>
      </c>
      <c r="D4960" s="217">
        <f>'Reported burning'!D4961</f>
        <v>0</v>
      </c>
      <c r="E4960" s="217">
        <f>'Reported burning'!E4961</f>
        <v>0</v>
      </c>
      <c r="F4960" s="217">
        <f>'Reported burning'!F4961</f>
        <v>0</v>
      </c>
      <c r="G4960" s="217">
        <f>'Reported burning'!G4961</f>
        <v>0</v>
      </c>
      <c r="H4960" s="217">
        <f>'Reported burning'!H4961</f>
        <v>0</v>
      </c>
    </row>
    <row r="4961" spans="1:8">
      <c r="A4961" s="217">
        <f>'Reported burning'!A4962</f>
        <v>0</v>
      </c>
      <c r="B4961" s="217">
        <f>'Reported burning'!B4962</f>
        <v>0</v>
      </c>
      <c r="C4961" s="217">
        <f>'Reported burning'!C4962</f>
        <v>0</v>
      </c>
      <c r="D4961" s="217">
        <f>'Reported burning'!D4962</f>
        <v>0</v>
      </c>
      <c r="E4961" s="217">
        <f>'Reported burning'!E4962</f>
        <v>0</v>
      </c>
      <c r="F4961" s="217">
        <f>'Reported burning'!F4962</f>
        <v>0</v>
      </c>
      <c r="G4961" s="217">
        <f>'Reported burning'!G4962</f>
        <v>0</v>
      </c>
      <c r="H4961" s="217">
        <f>'Reported burning'!H4962</f>
        <v>0</v>
      </c>
    </row>
    <row r="4962" spans="1:8">
      <c r="A4962" s="217">
        <f>'Reported burning'!A4963</f>
        <v>0</v>
      </c>
      <c r="B4962" s="217">
        <f>'Reported burning'!B4963</f>
        <v>0</v>
      </c>
      <c r="C4962" s="217">
        <f>'Reported burning'!C4963</f>
        <v>0</v>
      </c>
      <c r="D4962" s="217">
        <f>'Reported burning'!D4963</f>
        <v>0</v>
      </c>
      <c r="E4962" s="217">
        <f>'Reported burning'!E4963</f>
        <v>0</v>
      </c>
      <c r="F4962" s="217">
        <f>'Reported burning'!F4963</f>
        <v>0</v>
      </c>
      <c r="G4962" s="217">
        <f>'Reported burning'!G4963</f>
        <v>0</v>
      </c>
      <c r="H4962" s="217">
        <f>'Reported burning'!H4963</f>
        <v>0</v>
      </c>
    </row>
    <row r="4963" spans="1:8">
      <c r="A4963" s="217">
        <f>'Reported burning'!A4964</f>
        <v>0</v>
      </c>
      <c r="B4963" s="217">
        <f>'Reported burning'!B4964</f>
        <v>0</v>
      </c>
      <c r="C4963" s="217">
        <f>'Reported burning'!C4964</f>
        <v>0</v>
      </c>
      <c r="D4963" s="217">
        <f>'Reported burning'!D4964</f>
        <v>0</v>
      </c>
      <c r="E4963" s="217">
        <f>'Reported burning'!E4964</f>
        <v>0</v>
      </c>
      <c r="F4963" s="217">
        <f>'Reported burning'!F4964</f>
        <v>0</v>
      </c>
      <c r="G4963" s="217">
        <f>'Reported burning'!G4964</f>
        <v>0</v>
      </c>
      <c r="H4963" s="217">
        <f>'Reported burning'!H4964</f>
        <v>0</v>
      </c>
    </row>
    <row r="4964" spans="1:8">
      <c r="A4964" s="217">
        <f>'Reported burning'!A4965</f>
        <v>0</v>
      </c>
      <c r="B4964" s="217">
        <f>'Reported burning'!B4965</f>
        <v>0</v>
      </c>
      <c r="C4964" s="217">
        <f>'Reported burning'!C4965</f>
        <v>0</v>
      </c>
      <c r="D4964" s="217">
        <f>'Reported burning'!D4965</f>
        <v>0</v>
      </c>
      <c r="E4964" s="217">
        <f>'Reported burning'!E4965</f>
        <v>0</v>
      </c>
      <c r="F4964" s="217">
        <f>'Reported burning'!F4965</f>
        <v>0</v>
      </c>
      <c r="G4964" s="217">
        <f>'Reported burning'!G4965</f>
        <v>0</v>
      </c>
      <c r="H4964" s="217">
        <f>'Reported burning'!H4965</f>
        <v>0</v>
      </c>
    </row>
    <row r="4965" spans="1:8">
      <c r="A4965" s="217">
        <f>'Reported burning'!A4966</f>
        <v>0</v>
      </c>
      <c r="B4965" s="217">
        <f>'Reported burning'!B4966</f>
        <v>0</v>
      </c>
      <c r="C4965" s="217">
        <f>'Reported burning'!C4966</f>
        <v>0</v>
      </c>
      <c r="D4965" s="217">
        <f>'Reported burning'!D4966</f>
        <v>0</v>
      </c>
      <c r="E4965" s="217">
        <f>'Reported burning'!E4966</f>
        <v>0</v>
      </c>
      <c r="F4965" s="217">
        <f>'Reported burning'!F4966</f>
        <v>0</v>
      </c>
      <c r="G4965" s="217">
        <f>'Reported burning'!G4966</f>
        <v>0</v>
      </c>
      <c r="H4965" s="217">
        <f>'Reported burning'!H4966</f>
        <v>0</v>
      </c>
    </row>
    <row r="4966" spans="1:8">
      <c r="A4966" s="217">
        <f>'Reported burning'!A4967</f>
        <v>0</v>
      </c>
      <c r="B4966" s="217">
        <f>'Reported burning'!B4967</f>
        <v>0</v>
      </c>
      <c r="C4966" s="217">
        <f>'Reported burning'!C4967</f>
        <v>0</v>
      </c>
      <c r="D4966" s="217">
        <f>'Reported burning'!D4967</f>
        <v>0</v>
      </c>
      <c r="E4966" s="217">
        <f>'Reported burning'!E4967</f>
        <v>0</v>
      </c>
      <c r="F4966" s="217">
        <f>'Reported burning'!F4967</f>
        <v>0</v>
      </c>
      <c r="G4966" s="217">
        <f>'Reported burning'!G4967</f>
        <v>0</v>
      </c>
      <c r="H4966" s="217">
        <f>'Reported burning'!H4967</f>
        <v>0</v>
      </c>
    </row>
    <row r="4967" spans="1:8">
      <c r="A4967" s="217">
        <f>'Reported burning'!A4968</f>
        <v>0</v>
      </c>
      <c r="B4967" s="217">
        <f>'Reported burning'!B4968</f>
        <v>0</v>
      </c>
      <c r="C4967" s="217">
        <f>'Reported burning'!C4968</f>
        <v>0</v>
      </c>
      <c r="D4967" s="217">
        <f>'Reported burning'!D4968</f>
        <v>0</v>
      </c>
      <c r="E4967" s="217">
        <f>'Reported burning'!E4968</f>
        <v>0</v>
      </c>
      <c r="F4967" s="217">
        <f>'Reported burning'!F4968</f>
        <v>0</v>
      </c>
      <c r="G4967" s="217">
        <f>'Reported burning'!G4968</f>
        <v>0</v>
      </c>
      <c r="H4967" s="217">
        <f>'Reported burning'!H4968</f>
        <v>0</v>
      </c>
    </row>
    <row r="4968" spans="1:8">
      <c r="A4968" s="217">
        <f>'Reported burning'!A4969</f>
        <v>0</v>
      </c>
      <c r="B4968" s="217">
        <f>'Reported burning'!B4969</f>
        <v>0</v>
      </c>
      <c r="C4968" s="217">
        <f>'Reported burning'!C4969</f>
        <v>0</v>
      </c>
      <c r="D4968" s="217">
        <f>'Reported burning'!D4969</f>
        <v>0</v>
      </c>
      <c r="E4968" s="217">
        <f>'Reported burning'!E4969</f>
        <v>0</v>
      </c>
      <c r="F4968" s="217">
        <f>'Reported burning'!F4969</f>
        <v>0</v>
      </c>
      <c r="G4968" s="217">
        <f>'Reported burning'!G4969</f>
        <v>0</v>
      </c>
      <c r="H4968" s="217">
        <f>'Reported burning'!H4969</f>
        <v>0</v>
      </c>
    </row>
    <row r="4969" spans="1:8">
      <c r="A4969" s="217">
        <f>'Reported burning'!A4970</f>
        <v>0</v>
      </c>
      <c r="B4969" s="217">
        <f>'Reported burning'!B4970</f>
        <v>0</v>
      </c>
      <c r="C4969" s="217">
        <f>'Reported burning'!C4970</f>
        <v>0</v>
      </c>
      <c r="D4969" s="217">
        <f>'Reported burning'!D4970</f>
        <v>0</v>
      </c>
      <c r="E4969" s="217">
        <f>'Reported burning'!E4970</f>
        <v>0</v>
      </c>
      <c r="F4969" s="217">
        <f>'Reported burning'!F4970</f>
        <v>0</v>
      </c>
      <c r="G4969" s="217">
        <f>'Reported burning'!G4970</f>
        <v>0</v>
      </c>
      <c r="H4969" s="217">
        <f>'Reported burning'!H4970</f>
        <v>0</v>
      </c>
    </row>
    <row r="4970" spans="1:8">
      <c r="A4970" s="217">
        <f>'Reported burning'!A4971</f>
        <v>0</v>
      </c>
      <c r="B4970" s="217">
        <f>'Reported burning'!B4971</f>
        <v>0</v>
      </c>
      <c r="C4970" s="217">
        <f>'Reported burning'!C4971</f>
        <v>0</v>
      </c>
      <c r="D4970" s="217">
        <f>'Reported burning'!D4971</f>
        <v>0</v>
      </c>
      <c r="E4970" s="217">
        <f>'Reported burning'!E4971</f>
        <v>0</v>
      </c>
      <c r="F4970" s="217">
        <f>'Reported burning'!F4971</f>
        <v>0</v>
      </c>
      <c r="G4970" s="217">
        <f>'Reported burning'!G4971</f>
        <v>0</v>
      </c>
      <c r="H4970" s="217">
        <f>'Reported burning'!H4971</f>
        <v>0</v>
      </c>
    </row>
    <row r="4971" spans="1:8">
      <c r="A4971" s="217">
        <f>'Reported burning'!A4972</f>
        <v>0</v>
      </c>
      <c r="B4971" s="217">
        <f>'Reported burning'!B4972</f>
        <v>0</v>
      </c>
      <c r="C4971" s="217">
        <f>'Reported burning'!C4972</f>
        <v>0</v>
      </c>
      <c r="D4971" s="217">
        <f>'Reported burning'!D4972</f>
        <v>0</v>
      </c>
      <c r="E4971" s="217">
        <f>'Reported burning'!E4972</f>
        <v>0</v>
      </c>
      <c r="F4971" s="217">
        <f>'Reported burning'!F4972</f>
        <v>0</v>
      </c>
      <c r="G4971" s="217">
        <f>'Reported burning'!G4972</f>
        <v>0</v>
      </c>
      <c r="H4971" s="217">
        <f>'Reported burning'!H4972</f>
        <v>0</v>
      </c>
    </row>
    <row r="4972" spans="1:8">
      <c r="A4972" s="217">
        <f>'Reported burning'!A4973</f>
        <v>0</v>
      </c>
      <c r="B4972" s="217">
        <f>'Reported burning'!B4973</f>
        <v>0</v>
      </c>
      <c r="C4972" s="217">
        <f>'Reported burning'!C4973</f>
        <v>0</v>
      </c>
      <c r="D4972" s="217">
        <f>'Reported burning'!D4973</f>
        <v>0</v>
      </c>
      <c r="E4972" s="217">
        <f>'Reported burning'!E4973</f>
        <v>0</v>
      </c>
      <c r="F4972" s="217">
        <f>'Reported burning'!F4973</f>
        <v>0</v>
      </c>
      <c r="G4972" s="217">
        <f>'Reported burning'!G4973</f>
        <v>0</v>
      </c>
      <c r="H4972" s="217">
        <f>'Reported burning'!H4973</f>
        <v>0</v>
      </c>
    </row>
    <row r="4973" spans="1:8">
      <c r="A4973" s="217">
        <f>'Reported burning'!A4974</f>
        <v>0</v>
      </c>
      <c r="B4973" s="217">
        <f>'Reported burning'!B4974</f>
        <v>0</v>
      </c>
      <c r="C4973" s="217">
        <f>'Reported burning'!C4974</f>
        <v>0</v>
      </c>
      <c r="D4973" s="217">
        <f>'Reported burning'!D4974</f>
        <v>0</v>
      </c>
      <c r="E4973" s="217">
        <f>'Reported burning'!E4974</f>
        <v>0</v>
      </c>
      <c r="F4973" s="217">
        <f>'Reported burning'!F4974</f>
        <v>0</v>
      </c>
      <c r="G4973" s="217">
        <f>'Reported burning'!G4974</f>
        <v>0</v>
      </c>
      <c r="H4973" s="217">
        <f>'Reported burning'!H4974</f>
        <v>0</v>
      </c>
    </row>
    <row r="4974" spans="1:8">
      <c r="A4974" s="217">
        <f>'Reported burning'!A4975</f>
        <v>0</v>
      </c>
      <c r="B4974" s="217">
        <f>'Reported burning'!B4975</f>
        <v>0</v>
      </c>
      <c r="C4974" s="217">
        <f>'Reported burning'!C4975</f>
        <v>0</v>
      </c>
      <c r="D4974" s="217">
        <f>'Reported burning'!D4975</f>
        <v>0</v>
      </c>
      <c r="E4974" s="217">
        <f>'Reported burning'!E4975</f>
        <v>0</v>
      </c>
      <c r="F4974" s="217">
        <f>'Reported burning'!F4975</f>
        <v>0</v>
      </c>
      <c r="G4974" s="217">
        <f>'Reported burning'!G4975</f>
        <v>0</v>
      </c>
      <c r="H4974" s="217">
        <f>'Reported burning'!H4975</f>
        <v>0</v>
      </c>
    </row>
    <row r="4975" spans="1:8">
      <c r="A4975" s="217">
        <f>'Reported burning'!A4976</f>
        <v>0</v>
      </c>
      <c r="B4975" s="217">
        <f>'Reported burning'!B4976</f>
        <v>0</v>
      </c>
      <c r="C4975" s="217">
        <f>'Reported burning'!C4976</f>
        <v>0</v>
      </c>
      <c r="D4975" s="217">
        <f>'Reported burning'!D4976</f>
        <v>0</v>
      </c>
      <c r="E4975" s="217">
        <f>'Reported burning'!E4976</f>
        <v>0</v>
      </c>
      <c r="F4975" s="217">
        <f>'Reported burning'!F4976</f>
        <v>0</v>
      </c>
      <c r="G4975" s="217">
        <f>'Reported burning'!G4976</f>
        <v>0</v>
      </c>
      <c r="H4975" s="217">
        <f>'Reported burning'!H4976</f>
        <v>0</v>
      </c>
    </row>
    <row r="4976" spans="1:8">
      <c r="A4976" s="217">
        <f>'Reported burning'!A4977</f>
        <v>0</v>
      </c>
      <c r="B4976" s="217">
        <f>'Reported burning'!B4977</f>
        <v>0</v>
      </c>
      <c r="C4976" s="217">
        <f>'Reported burning'!C4977</f>
        <v>0</v>
      </c>
      <c r="D4976" s="217">
        <f>'Reported burning'!D4977</f>
        <v>0</v>
      </c>
      <c r="E4976" s="217">
        <f>'Reported burning'!E4977</f>
        <v>0</v>
      </c>
      <c r="F4976" s="217">
        <f>'Reported burning'!F4977</f>
        <v>0</v>
      </c>
      <c r="G4976" s="217">
        <f>'Reported burning'!G4977</f>
        <v>0</v>
      </c>
      <c r="H4976" s="217">
        <f>'Reported burning'!H4977</f>
        <v>0</v>
      </c>
    </row>
    <row r="4977" spans="1:8">
      <c r="A4977" s="217">
        <f>'Reported burning'!A4978</f>
        <v>0</v>
      </c>
      <c r="B4977" s="217">
        <f>'Reported burning'!B4978</f>
        <v>0</v>
      </c>
      <c r="C4977" s="217">
        <f>'Reported burning'!C4978</f>
        <v>0</v>
      </c>
      <c r="D4977" s="217">
        <f>'Reported burning'!D4978</f>
        <v>0</v>
      </c>
      <c r="E4977" s="217">
        <f>'Reported burning'!E4978</f>
        <v>0</v>
      </c>
      <c r="F4977" s="217">
        <f>'Reported burning'!F4978</f>
        <v>0</v>
      </c>
      <c r="G4977" s="217">
        <f>'Reported burning'!G4978</f>
        <v>0</v>
      </c>
      <c r="H4977" s="217">
        <f>'Reported burning'!H4978</f>
        <v>0</v>
      </c>
    </row>
    <row r="4978" spans="1:8">
      <c r="A4978" s="217">
        <f>'Reported burning'!A4979</f>
        <v>0</v>
      </c>
      <c r="B4978" s="217">
        <f>'Reported burning'!B4979</f>
        <v>0</v>
      </c>
      <c r="C4978" s="217">
        <f>'Reported burning'!C4979</f>
        <v>0</v>
      </c>
      <c r="D4978" s="217">
        <f>'Reported burning'!D4979</f>
        <v>0</v>
      </c>
      <c r="E4978" s="217">
        <f>'Reported burning'!E4979</f>
        <v>0</v>
      </c>
      <c r="F4978" s="217">
        <f>'Reported burning'!F4979</f>
        <v>0</v>
      </c>
      <c r="G4978" s="217">
        <f>'Reported burning'!G4979</f>
        <v>0</v>
      </c>
      <c r="H4978" s="217">
        <f>'Reported burning'!H4979</f>
        <v>0</v>
      </c>
    </row>
    <row r="4979" spans="1:8">
      <c r="A4979" s="217">
        <f>'Reported burning'!A4980</f>
        <v>0</v>
      </c>
      <c r="B4979" s="217">
        <f>'Reported burning'!B4980</f>
        <v>0</v>
      </c>
      <c r="C4979" s="217">
        <f>'Reported burning'!C4980</f>
        <v>0</v>
      </c>
      <c r="D4979" s="217">
        <f>'Reported burning'!D4980</f>
        <v>0</v>
      </c>
      <c r="E4979" s="217">
        <f>'Reported burning'!E4980</f>
        <v>0</v>
      </c>
      <c r="F4979" s="217">
        <f>'Reported burning'!F4980</f>
        <v>0</v>
      </c>
      <c r="G4979" s="217">
        <f>'Reported burning'!G4980</f>
        <v>0</v>
      </c>
      <c r="H4979" s="217">
        <f>'Reported burning'!H4980</f>
        <v>0</v>
      </c>
    </row>
    <row r="4980" spans="1:8">
      <c r="A4980" s="217">
        <f>'Reported burning'!A4981</f>
        <v>0</v>
      </c>
      <c r="B4980" s="217">
        <f>'Reported burning'!B4981</f>
        <v>0</v>
      </c>
      <c r="C4980" s="217">
        <f>'Reported burning'!C4981</f>
        <v>0</v>
      </c>
      <c r="D4980" s="217">
        <f>'Reported burning'!D4981</f>
        <v>0</v>
      </c>
      <c r="E4980" s="217">
        <f>'Reported burning'!E4981</f>
        <v>0</v>
      </c>
      <c r="F4980" s="217">
        <f>'Reported burning'!F4981</f>
        <v>0</v>
      </c>
      <c r="G4980" s="217">
        <f>'Reported burning'!G4981</f>
        <v>0</v>
      </c>
      <c r="H4980" s="217">
        <f>'Reported burning'!H4981</f>
        <v>0</v>
      </c>
    </row>
    <row r="4981" spans="1:8">
      <c r="A4981" s="217">
        <f>'Reported burning'!A4982</f>
        <v>0</v>
      </c>
      <c r="B4981" s="217">
        <f>'Reported burning'!B4982</f>
        <v>0</v>
      </c>
      <c r="C4981" s="217">
        <f>'Reported burning'!C4982</f>
        <v>0</v>
      </c>
      <c r="D4981" s="217">
        <f>'Reported burning'!D4982</f>
        <v>0</v>
      </c>
      <c r="E4981" s="217">
        <f>'Reported burning'!E4982</f>
        <v>0</v>
      </c>
      <c r="F4981" s="217">
        <f>'Reported burning'!F4982</f>
        <v>0</v>
      </c>
      <c r="G4981" s="217">
        <f>'Reported burning'!G4982</f>
        <v>0</v>
      </c>
      <c r="H4981" s="217">
        <f>'Reported burning'!H4982</f>
        <v>0</v>
      </c>
    </row>
    <row r="4982" spans="1:8">
      <c r="A4982" s="217">
        <f>'Reported burning'!A4983</f>
        <v>0</v>
      </c>
      <c r="B4982" s="217">
        <f>'Reported burning'!B4983</f>
        <v>0</v>
      </c>
      <c r="C4982" s="217">
        <f>'Reported burning'!C4983</f>
        <v>0</v>
      </c>
      <c r="D4982" s="217">
        <f>'Reported burning'!D4983</f>
        <v>0</v>
      </c>
      <c r="E4982" s="217">
        <f>'Reported burning'!E4983</f>
        <v>0</v>
      </c>
      <c r="F4982" s="217">
        <f>'Reported burning'!F4983</f>
        <v>0</v>
      </c>
      <c r="G4982" s="217">
        <f>'Reported burning'!G4983</f>
        <v>0</v>
      </c>
      <c r="H4982" s="217">
        <f>'Reported burning'!H4983</f>
        <v>0</v>
      </c>
    </row>
    <row r="4983" spans="1:8">
      <c r="A4983" s="217">
        <f>'Reported burning'!A4984</f>
        <v>0</v>
      </c>
      <c r="B4983" s="217">
        <f>'Reported burning'!B4984</f>
        <v>0</v>
      </c>
      <c r="C4983" s="217">
        <f>'Reported burning'!C4984</f>
        <v>0</v>
      </c>
      <c r="D4983" s="217">
        <f>'Reported burning'!D4984</f>
        <v>0</v>
      </c>
      <c r="E4983" s="217">
        <f>'Reported burning'!E4984</f>
        <v>0</v>
      </c>
      <c r="F4983" s="217">
        <f>'Reported burning'!F4984</f>
        <v>0</v>
      </c>
      <c r="G4983" s="217">
        <f>'Reported burning'!G4984</f>
        <v>0</v>
      </c>
      <c r="H4983" s="217">
        <f>'Reported burning'!H4984</f>
        <v>0</v>
      </c>
    </row>
    <row r="4984" spans="1:8">
      <c r="A4984" s="217">
        <f>'Reported burning'!A4985</f>
        <v>0</v>
      </c>
      <c r="B4984" s="217">
        <f>'Reported burning'!B4985</f>
        <v>0</v>
      </c>
      <c r="C4984" s="217">
        <f>'Reported burning'!C4985</f>
        <v>0</v>
      </c>
      <c r="D4984" s="217">
        <f>'Reported burning'!D4985</f>
        <v>0</v>
      </c>
      <c r="E4984" s="217">
        <f>'Reported burning'!E4985</f>
        <v>0</v>
      </c>
      <c r="F4984" s="217">
        <f>'Reported burning'!F4985</f>
        <v>0</v>
      </c>
      <c r="G4984" s="217">
        <f>'Reported burning'!G4985</f>
        <v>0</v>
      </c>
      <c r="H4984" s="217">
        <f>'Reported burning'!H4985</f>
        <v>0</v>
      </c>
    </row>
    <row r="4985" spans="1:8">
      <c r="A4985" s="217">
        <f>'Reported burning'!A4986</f>
        <v>0</v>
      </c>
      <c r="B4985" s="217">
        <f>'Reported burning'!B4986</f>
        <v>0</v>
      </c>
      <c r="C4985" s="217">
        <f>'Reported burning'!C4986</f>
        <v>0</v>
      </c>
      <c r="D4985" s="217">
        <f>'Reported burning'!D4986</f>
        <v>0</v>
      </c>
      <c r="E4985" s="217">
        <f>'Reported burning'!E4986</f>
        <v>0</v>
      </c>
      <c r="F4985" s="217">
        <f>'Reported burning'!F4986</f>
        <v>0</v>
      </c>
      <c r="G4985" s="217">
        <f>'Reported burning'!G4986</f>
        <v>0</v>
      </c>
      <c r="H4985" s="217">
        <f>'Reported burning'!H4986</f>
        <v>0</v>
      </c>
    </row>
    <row r="4986" spans="1:8">
      <c r="A4986" s="217">
        <f>'Reported burning'!A4987</f>
        <v>0</v>
      </c>
      <c r="B4986" s="217">
        <f>'Reported burning'!B4987</f>
        <v>0</v>
      </c>
      <c r="C4986" s="217">
        <f>'Reported burning'!C4987</f>
        <v>0</v>
      </c>
      <c r="D4986" s="217">
        <f>'Reported burning'!D4987</f>
        <v>0</v>
      </c>
      <c r="E4986" s="217">
        <f>'Reported burning'!E4987</f>
        <v>0</v>
      </c>
      <c r="F4986" s="217">
        <f>'Reported burning'!F4987</f>
        <v>0</v>
      </c>
      <c r="G4986" s="217">
        <f>'Reported burning'!G4987</f>
        <v>0</v>
      </c>
      <c r="H4986" s="217">
        <f>'Reported burning'!H4987</f>
        <v>0</v>
      </c>
    </row>
    <row r="4987" spans="1:8">
      <c r="A4987" s="217">
        <f>'Reported burning'!A4988</f>
        <v>0</v>
      </c>
      <c r="B4987" s="217">
        <f>'Reported burning'!B4988</f>
        <v>0</v>
      </c>
      <c r="C4987" s="217">
        <f>'Reported burning'!C4988</f>
        <v>0</v>
      </c>
      <c r="D4987" s="217">
        <f>'Reported burning'!D4988</f>
        <v>0</v>
      </c>
      <c r="E4987" s="217">
        <f>'Reported burning'!E4988</f>
        <v>0</v>
      </c>
      <c r="F4987" s="217">
        <f>'Reported burning'!F4988</f>
        <v>0</v>
      </c>
      <c r="G4987" s="217">
        <f>'Reported burning'!G4988</f>
        <v>0</v>
      </c>
      <c r="H4987" s="217">
        <f>'Reported burning'!H4988</f>
        <v>0</v>
      </c>
    </row>
    <row r="4988" spans="1:8">
      <c r="A4988" s="217">
        <f>'Reported burning'!A4989</f>
        <v>0</v>
      </c>
      <c r="B4988" s="217">
        <f>'Reported burning'!B4989</f>
        <v>0</v>
      </c>
      <c r="C4988" s="217">
        <f>'Reported burning'!C4989</f>
        <v>0</v>
      </c>
      <c r="D4988" s="217">
        <f>'Reported burning'!D4989</f>
        <v>0</v>
      </c>
      <c r="E4988" s="217">
        <f>'Reported burning'!E4989</f>
        <v>0</v>
      </c>
      <c r="F4988" s="217">
        <f>'Reported burning'!F4989</f>
        <v>0</v>
      </c>
      <c r="G4988" s="217">
        <f>'Reported burning'!G4989</f>
        <v>0</v>
      </c>
      <c r="H4988" s="217">
        <f>'Reported burning'!H4989</f>
        <v>0</v>
      </c>
    </row>
    <row r="4989" spans="1:8">
      <c r="A4989" s="217">
        <f>'Reported burning'!A4990</f>
        <v>0</v>
      </c>
      <c r="B4989" s="217">
        <f>'Reported burning'!B4990</f>
        <v>0</v>
      </c>
      <c r="C4989" s="217">
        <f>'Reported burning'!C4990</f>
        <v>0</v>
      </c>
      <c r="D4989" s="217">
        <f>'Reported burning'!D4990</f>
        <v>0</v>
      </c>
      <c r="E4989" s="217">
        <f>'Reported burning'!E4990</f>
        <v>0</v>
      </c>
      <c r="F4989" s="217">
        <f>'Reported burning'!F4990</f>
        <v>0</v>
      </c>
      <c r="G4989" s="217">
        <f>'Reported burning'!G4990</f>
        <v>0</v>
      </c>
      <c r="H4989" s="217">
        <f>'Reported burning'!H4990</f>
        <v>0</v>
      </c>
    </row>
    <row r="4990" spans="1:8">
      <c r="A4990" s="217">
        <f>'Reported burning'!A4991</f>
        <v>0</v>
      </c>
      <c r="B4990" s="217">
        <f>'Reported burning'!B4991</f>
        <v>0</v>
      </c>
      <c r="C4990" s="217">
        <f>'Reported burning'!C4991</f>
        <v>0</v>
      </c>
      <c r="D4990" s="217">
        <f>'Reported burning'!D4991</f>
        <v>0</v>
      </c>
      <c r="E4990" s="217">
        <f>'Reported burning'!E4991</f>
        <v>0</v>
      </c>
      <c r="F4990" s="217">
        <f>'Reported burning'!F4991</f>
        <v>0</v>
      </c>
      <c r="G4990" s="217">
        <f>'Reported burning'!G4991</f>
        <v>0</v>
      </c>
      <c r="H4990" s="217">
        <f>'Reported burning'!H4991</f>
        <v>0</v>
      </c>
    </row>
    <row r="4991" spans="1:8">
      <c r="A4991" s="217">
        <f>'Reported burning'!A4992</f>
        <v>0</v>
      </c>
      <c r="B4991" s="217">
        <f>'Reported burning'!B4992</f>
        <v>0</v>
      </c>
      <c r="C4991" s="217">
        <f>'Reported burning'!C4992</f>
        <v>0</v>
      </c>
      <c r="D4991" s="217">
        <f>'Reported burning'!D4992</f>
        <v>0</v>
      </c>
      <c r="E4991" s="217">
        <f>'Reported burning'!E4992</f>
        <v>0</v>
      </c>
      <c r="F4991" s="217">
        <f>'Reported burning'!F4992</f>
        <v>0</v>
      </c>
      <c r="G4991" s="217">
        <f>'Reported burning'!G4992</f>
        <v>0</v>
      </c>
      <c r="H4991" s="217">
        <f>'Reported burning'!H4992</f>
        <v>0</v>
      </c>
    </row>
    <row r="4992" spans="1:8">
      <c r="A4992" s="217">
        <f>'Reported burning'!A4993</f>
        <v>0</v>
      </c>
      <c r="B4992" s="217">
        <f>'Reported burning'!B4993</f>
        <v>0</v>
      </c>
      <c r="C4992" s="217">
        <f>'Reported burning'!C4993</f>
        <v>0</v>
      </c>
      <c r="D4992" s="217">
        <f>'Reported burning'!D4993</f>
        <v>0</v>
      </c>
      <c r="E4992" s="217">
        <f>'Reported burning'!E4993</f>
        <v>0</v>
      </c>
      <c r="F4992" s="217">
        <f>'Reported burning'!F4993</f>
        <v>0</v>
      </c>
      <c r="G4992" s="217">
        <f>'Reported burning'!G4993</f>
        <v>0</v>
      </c>
      <c r="H4992" s="217">
        <f>'Reported burning'!H4993</f>
        <v>0</v>
      </c>
    </row>
    <row r="4993" spans="1:8">
      <c r="A4993" s="217">
        <f>'Reported burning'!A4994</f>
        <v>0</v>
      </c>
      <c r="B4993" s="217">
        <f>'Reported burning'!B4994</f>
        <v>0</v>
      </c>
      <c r="C4993" s="217">
        <f>'Reported burning'!C4994</f>
        <v>0</v>
      </c>
      <c r="D4993" s="217">
        <f>'Reported burning'!D4994</f>
        <v>0</v>
      </c>
      <c r="E4993" s="217">
        <f>'Reported burning'!E4994</f>
        <v>0</v>
      </c>
      <c r="F4993" s="217">
        <f>'Reported burning'!F4994</f>
        <v>0</v>
      </c>
      <c r="G4993" s="217">
        <f>'Reported burning'!G4994</f>
        <v>0</v>
      </c>
      <c r="H4993" s="217">
        <f>'Reported burning'!H4994</f>
        <v>0</v>
      </c>
    </row>
    <row r="4994" spans="1:8">
      <c r="A4994" s="217">
        <f>'Reported burning'!A4995</f>
        <v>0</v>
      </c>
      <c r="B4994" s="217">
        <f>'Reported burning'!B4995</f>
        <v>0</v>
      </c>
      <c r="C4994" s="217">
        <f>'Reported burning'!C4995</f>
        <v>0</v>
      </c>
      <c r="D4994" s="217">
        <f>'Reported burning'!D4995</f>
        <v>0</v>
      </c>
      <c r="E4994" s="217">
        <f>'Reported burning'!E4995</f>
        <v>0</v>
      </c>
      <c r="F4994" s="217">
        <f>'Reported burning'!F4995</f>
        <v>0</v>
      </c>
      <c r="G4994" s="217">
        <f>'Reported burning'!G4995</f>
        <v>0</v>
      </c>
      <c r="H4994" s="217">
        <f>'Reported burning'!H4995</f>
        <v>0</v>
      </c>
    </row>
    <row r="4995" spans="1:8">
      <c r="A4995" s="217">
        <f>'Reported burning'!A4996</f>
        <v>0</v>
      </c>
      <c r="B4995" s="217">
        <f>'Reported burning'!B4996</f>
        <v>0</v>
      </c>
      <c r="C4995" s="217">
        <f>'Reported burning'!C4996</f>
        <v>0</v>
      </c>
      <c r="D4995" s="217">
        <f>'Reported burning'!D4996</f>
        <v>0</v>
      </c>
      <c r="E4995" s="217">
        <f>'Reported burning'!E4996</f>
        <v>0</v>
      </c>
      <c r="F4995" s="217">
        <f>'Reported burning'!F4996</f>
        <v>0</v>
      </c>
      <c r="G4995" s="217">
        <f>'Reported burning'!G4996</f>
        <v>0</v>
      </c>
      <c r="H4995" s="217">
        <f>'Reported burning'!H4996</f>
        <v>0</v>
      </c>
    </row>
    <row r="4996" spans="1:8">
      <c r="A4996" s="217">
        <f>'Reported burning'!A4997</f>
        <v>0</v>
      </c>
      <c r="B4996" s="217">
        <f>'Reported burning'!B4997</f>
        <v>0</v>
      </c>
      <c r="C4996" s="217">
        <f>'Reported burning'!C4997</f>
        <v>0</v>
      </c>
      <c r="D4996" s="217">
        <f>'Reported burning'!D4997</f>
        <v>0</v>
      </c>
      <c r="E4996" s="217">
        <f>'Reported burning'!E4997</f>
        <v>0</v>
      </c>
      <c r="F4996" s="217">
        <f>'Reported burning'!F4997</f>
        <v>0</v>
      </c>
      <c r="G4996" s="217">
        <f>'Reported burning'!G4997</f>
        <v>0</v>
      </c>
      <c r="H4996" s="217">
        <f>'Reported burning'!H4997</f>
        <v>0</v>
      </c>
    </row>
    <row r="4997" spans="1:8">
      <c r="A4997" s="217">
        <f>'Reported burning'!A4998</f>
        <v>0</v>
      </c>
      <c r="B4997" s="217">
        <f>'Reported burning'!B4998</f>
        <v>0</v>
      </c>
      <c r="C4997" s="217">
        <f>'Reported burning'!C4998</f>
        <v>0</v>
      </c>
      <c r="D4997" s="217">
        <f>'Reported burning'!D4998</f>
        <v>0</v>
      </c>
      <c r="E4997" s="217">
        <f>'Reported burning'!E4998</f>
        <v>0</v>
      </c>
      <c r="F4997" s="217">
        <f>'Reported burning'!F4998</f>
        <v>0</v>
      </c>
      <c r="G4997" s="217">
        <f>'Reported burning'!G4998</f>
        <v>0</v>
      </c>
      <c r="H4997" s="217">
        <f>'Reported burning'!H4998</f>
        <v>0</v>
      </c>
    </row>
    <row r="4998" spans="1:8">
      <c r="A4998" s="217">
        <f>'Reported burning'!A4999</f>
        <v>0</v>
      </c>
      <c r="B4998" s="217">
        <f>'Reported burning'!B4999</f>
        <v>0</v>
      </c>
      <c r="C4998" s="217">
        <f>'Reported burning'!C4999</f>
        <v>0</v>
      </c>
      <c r="D4998" s="217">
        <f>'Reported burning'!D4999</f>
        <v>0</v>
      </c>
      <c r="E4998" s="217">
        <f>'Reported burning'!E4999</f>
        <v>0</v>
      </c>
      <c r="F4998" s="217">
        <f>'Reported burning'!F4999</f>
        <v>0</v>
      </c>
      <c r="G4998" s="217">
        <f>'Reported burning'!G4999</f>
        <v>0</v>
      </c>
      <c r="H4998" s="217">
        <f>'Reported burning'!H4999</f>
        <v>0</v>
      </c>
    </row>
    <row r="4999" spans="1:8">
      <c r="A4999" s="217">
        <f>'Reported burning'!A5000</f>
        <v>0</v>
      </c>
      <c r="B4999" s="217">
        <f>'Reported burning'!B5000</f>
        <v>0</v>
      </c>
      <c r="C4999" s="217">
        <f>'Reported burning'!C5000</f>
        <v>0</v>
      </c>
      <c r="D4999" s="217">
        <f>'Reported burning'!D5000</f>
        <v>0</v>
      </c>
      <c r="E4999" s="217">
        <f>'Reported burning'!E5000</f>
        <v>0</v>
      </c>
      <c r="F4999" s="217">
        <f>'Reported burning'!F5000</f>
        <v>0</v>
      </c>
      <c r="G4999" s="217">
        <f>'Reported burning'!G5000</f>
        <v>0</v>
      </c>
      <c r="H4999" s="217">
        <f>'Reported burning'!H5000</f>
        <v>0</v>
      </c>
    </row>
    <row r="5000" spans="1:8">
      <c r="A5000" s="217">
        <f>'Reported burning'!A5001</f>
        <v>0</v>
      </c>
      <c r="B5000" s="217">
        <f>'Reported burning'!B5001</f>
        <v>0</v>
      </c>
      <c r="C5000" s="217">
        <f>'Reported burning'!C5001</f>
        <v>0</v>
      </c>
      <c r="D5000" s="217">
        <f>'Reported burning'!D5001</f>
        <v>0</v>
      </c>
      <c r="E5000" s="217">
        <f>'Reported burning'!E5001</f>
        <v>0</v>
      </c>
      <c r="F5000" s="217">
        <f>'Reported burning'!F5001</f>
        <v>0</v>
      </c>
      <c r="G5000" s="217">
        <f>'Reported burning'!G5001</f>
        <v>0</v>
      </c>
      <c r="H5000" s="217">
        <f>'Reported burning'!H5001</f>
        <v>0</v>
      </c>
    </row>
    <row r="5001" spans="1:8">
      <c r="A5001" s="217">
        <f>'Reported burning'!A5002</f>
        <v>0</v>
      </c>
      <c r="B5001" s="217">
        <f>'Reported burning'!B5002</f>
        <v>0</v>
      </c>
      <c r="C5001" s="217">
        <f>'Reported burning'!C5002</f>
        <v>0</v>
      </c>
      <c r="D5001" s="217">
        <f>'Reported burning'!D5002</f>
        <v>0</v>
      </c>
      <c r="E5001" s="217">
        <f>'Reported burning'!E5002</f>
        <v>0</v>
      </c>
      <c r="F5001" s="217">
        <f>'Reported burning'!F5002</f>
        <v>0</v>
      </c>
      <c r="G5001" s="217">
        <f>'Reported burning'!G5002</f>
        <v>0</v>
      </c>
      <c r="H5001" s="217">
        <f>'Reported burning'!H5002</f>
        <v>0</v>
      </c>
    </row>
    <row r="5002" spans="1:8">
      <c r="A5002" s="217">
        <f>'Reported burning'!A5003</f>
        <v>0</v>
      </c>
      <c r="B5002" s="217">
        <f>'Reported burning'!B5003</f>
        <v>0</v>
      </c>
      <c r="C5002" s="217">
        <f>'Reported burning'!C5003</f>
        <v>0</v>
      </c>
      <c r="D5002" s="217">
        <f>'Reported burning'!D5003</f>
        <v>0</v>
      </c>
      <c r="E5002" s="217">
        <f>'Reported burning'!E5003</f>
        <v>0</v>
      </c>
      <c r="F5002" s="217">
        <f>'Reported burning'!F5003</f>
        <v>0</v>
      </c>
      <c r="G5002" s="217">
        <f>'Reported burning'!G5003</f>
        <v>0</v>
      </c>
      <c r="H5002" s="217">
        <f>'Reported burning'!H5003</f>
        <v>0</v>
      </c>
    </row>
    <row r="5003" spans="1:8">
      <c r="A5003" s="217">
        <f>'Reported burning'!A5004</f>
        <v>0</v>
      </c>
      <c r="B5003" s="217">
        <f>'Reported burning'!B5004</f>
        <v>0</v>
      </c>
      <c r="C5003" s="217">
        <f>'Reported burning'!C5004</f>
        <v>0</v>
      </c>
      <c r="D5003" s="217">
        <f>'Reported burning'!D5004</f>
        <v>0</v>
      </c>
      <c r="E5003" s="217">
        <f>'Reported burning'!E5004</f>
        <v>0</v>
      </c>
      <c r="F5003" s="217">
        <f>'Reported burning'!F5004</f>
        <v>0</v>
      </c>
      <c r="G5003" s="217">
        <f>'Reported burning'!G5004</f>
        <v>0</v>
      </c>
      <c r="H5003" s="217">
        <f>'Reported burning'!H5004</f>
        <v>0</v>
      </c>
    </row>
    <row r="5004" spans="1:8">
      <c r="A5004" s="217">
        <f>'Reported burning'!A5005</f>
        <v>0</v>
      </c>
      <c r="B5004" s="217">
        <f>'Reported burning'!B5005</f>
        <v>0</v>
      </c>
      <c r="C5004" s="217">
        <f>'Reported burning'!C5005</f>
        <v>0</v>
      </c>
      <c r="D5004" s="217">
        <f>'Reported burning'!D5005</f>
        <v>0</v>
      </c>
      <c r="E5004" s="217">
        <f>'Reported burning'!E5005</f>
        <v>0</v>
      </c>
      <c r="F5004" s="217">
        <f>'Reported burning'!F5005</f>
        <v>0</v>
      </c>
      <c r="G5004" s="217">
        <f>'Reported burning'!G5005</f>
        <v>0</v>
      </c>
      <c r="H5004" s="217">
        <f>'Reported burning'!H5005</f>
        <v>0</v>
      </c>
    </row>
    <row r="5005" spans="1:8">
      <c r="A5005" s="217">
        <f>'Reported burning'!A5006</f>
        <v>0</v>
      </c>
      <c r="B5005" s="217">
        <f>'Reported burning'!B5006</f>
        <v>0</v>
      </c>
      <c r="C5005" s="217">
        <f>'Reported burning'!C5006</f>
        <v>0</v>
      </c>
      <c r="D5005" s="217">
        <f>'Reported burning'!D5006</f>
        <v>0</v>
      </c>
      <c r="E5005" s="217">
        <f>'Reported burning'!E5006</f>
        <v>0</v>
      </c>
      <c r="F5005" s="217">
        <f>'Reported burning'!F5006</f>
        <v>0</v>
      </c>
      <c r="G5005" s="217">
        <f>'Reported burning'!G5006</f>
        <v>0</v>
      </c>
      <c r="H5005" s="217">
        <f>'Reported burning'!H5006</f>
        <v>0</v>
      </c>
    </row>
    <row r="5006" spans="1:8">
      <c r="A5006" s="217">
        <f>'Reported burning'!A5007</f>
        <v>0</v>
      </c>
      <c r="B5006" s="217">
        <f>'Reported burning'!B5007</f>
        <v>0</v>
      </c>
      <c r="C5006" s="217">
        <f>'Reported burning'!C5007</f>
        <v>0</v>
      </c>
      <c r="D5006" s="217">
        <f>'Reported burning'!D5007</f>
        <v>0</v>
      </c>
      <c r="E5006" s="217">
        <f>'Reported burning'!E5007</f>
        <v>0</v>
      </c>
      <c r="F5006" s="217">
        <f>'Reported burning'!F5007</f>
        <v>0</v>
      </c>
      <c r="G5006" s="217">
        <f>'Reported burning'!G5007</f>
        <v>0</v>
      </c>
      <c r="H5006" s="217">
        <f>'Reported burning'!H5007</f>
        <v>0</v>
      </c>
    </row>
    <row r="5007" spans="1:8">
      <c r="A5007" s="217">
        <f>'Reported burning'!A5008</f>
        <v>0</v>
      </c>
      <c r="B5007" s="217">
        <f>'Reported burning'!B5008</f>
        <v>0</v>
      </c>
      <c r="C5007" s="217">
        <f>'Reported burning'!C5008</f>
        <v>0</v>
      </c>
      <c r="D5007" s="217">
        <f>'Reported burning'!D5008</f>
        <v>0</v>
      </c>
      <c r="E5007" s="217">
        <f>'Reported burning'!E5008</f>
        <v>0</v>
      </c>
      <c r="F5007" s="217">
        <f>'Reported burning'!F5008</f>
        <v>0</v>
      </c>
      <c r="G5007" s="217">
        <f>'Reported burning'!G5008</f>
        <v>0</v>
      </c>
      <c r="H5007" s="217">
        <f>'Reported burning'!H5008</f>
        <v>0</v>
      </c>
    </row>
    <row r="5008" spans="1:8">
      <c r="A5008" s="217">
        <f>'Reported burning'!A5009</f>
        <v>0</v>
      </c>
      <c r="B5008" s="217">
        <f>'Reported burning'!B5009</f>
        <v>0</v>
      </c>
      <c r="C5008" s="217">
        <f>'Reported burning'!C5009</f>
        <v>0</v>
      </c>
      <c r="D5008" s="217">
        <f>'Reported burning'!D5009</f>
        <v>0</v>
      </c>
      <c r="E5008" s="217">
        <f>'Reported burning'!E5009</f>
        <v>0</v>
      </c>
      <c r="F5008" s="217">
        <f>'Reported burning'!F5009</f>
        <v>0</v>
      </c>
      <c r="G5008" s="217">
        <f>'Reported burning'!G5009</f>
        <v>0</v>
      </c>
      <c r="H5008" s="217">
        <f>'Reported burning'!H5009</f>
        <v>0</v>
      </c>
    </row>
    <row r="5009" spans="1:8">
      <c r="A5009" s="217">
        <f>'Reported burning'!A5010</f>
        <v>0</v>
      </c>
      <c r="B5009" s="217">
        <f>'Reported burning'!B5010</f>
        <v>0</v>
      </c>
      <c r="C5009" s="217">
        <f>'Reported burning'!C5010</f>
        <v>0</v>
      </c>
      <c r="D5009" s="217">
        <f>'Reported burning'!D5010</f>
        <v>0</v>
      </c>
      <c r="E5009" s="217">
        <f>'Reported burning'!E5010</f>
        <v>0</v>
      </c>
      <c r="F5009" s="217">
        <f>'Reported burning'!F5010</f>
        <v>0</v>
      </c>
      <c r="G5009" s="217">
        <f>'Reported burning'!G5010</f>
        <v>0</v>
      </c>
      <c r="H5009" s="217">
        <f>'Reported burning'!H5010</f>
        <v>0</v>
      </c>
    </row>
    <row r="5010" spans="1:8">
      <c r="A5010" s="217">
        <f>'Reported burning'!A5011</f>
        <v>0</v>
      </c>
      <c r="B5010" s="217">
        <f>'Reported burning'!B5011</f>
        <v>0</v>
      </c>
      <c r="C5010" s="217">
        <f>'Reported burning'!C5011</f>
        <v>0</v>
      </c>
      <c r="D5010" s="217">
        <f>'Reported burning'!D5011</f>
        <v>0</v>
      </c>
      <c r="E5010" s="217">
        <f>'Reported burning'!E5011</f>
        <v>0</v>
      </c>
      <c r="F5010" s="217">
        <f>'Reported burning'!F5011</f>
        <v>0</v>
      </c>
      <c r="G5010" s="217">
        <f>'Reported burning'!G5011</f>
        <v>0</v>
      </c>
      <c r="H5010" s="217">
        <f>'Reported burning'!H5011</f>
        <v>0</v>
      </c>
    </row>
    <row r="5011" spans="1:8">
      <c r="A5011" s="217">
        <f>'Reported burning'!A5012</f>
        <v>0</v>
      </c>
      <c r="B5011" s="217">
        <f>'Reported burning'!B5012</f>
        <v>0</v>
      </c>
      <c r="C5011" s="217">
        <f>'Reported burning'!C5012</f>
        <v>0</v>
      </c>
      <c r="D5011" s="217">
        <f>'Reported burning'!D5012</f>
        <v>0</v>
      </c>
      <c r="E5011" s="217">
        <f>'Reported burning'!E5012</f>
        <v>0</v>
      </c>
      <c r="F5011" s="217">
        <f>'Reported burning'!F5012</f>
        <v>0</v>
      </c>
      <c r="G5011" s="217">
        <f>'Reported burning'!G5012</f>
        <v>0</v>
      </c>
      <c r="H5011" s="217">
        <f>'Reported burning'!H5012</f>
        <v>0</v>
      </c>
    </row>
    <row r="5012" spans="1:8">
      <c r="A5012" s="217">
        <f>'Reported burning'!A5013</f>
        <v>0</v>
      </c>
      <c r="B5012" s="217">
        <f>'Reported burning'!B5013</f>
        <v>0</v>
      </c>
      <c r="C5012" s="217">
        <f>'Reported burning'!C5013</f>
        <v>0</v>
      </c>
      <c r="D5012" s="217">
        <f>'Reported burning'!D5013</f>
        <v>0</v>
      </c>
      <c r="E5012" s="217">
        <f>'Reported burning'!E5013</f>
        <v>0</v>
      </c>
      <c r="F5012" s="217">
        <f>'Reported burning'!F5013</f>
        <v>0</v>
      </c>
      <c r="G5012" s="217">
        <f>'Reported burning'!G5013</f>
        <v>0</v>
      </c>
      <c r="H5012" s="217">
        <f>'Reported burning'!H5013</f>
        <v>0</v>
      </c>
    </row>
    <row r="5013" spans="1:8">
      <c r="A5013" s="217">
        <f>'Reported burning'!A5014</f>
        <v>0</v>
      </c>
      <c r="B5013" s="217">
        <f>'Reported burning'!B5014</f>
        <v>0</v>
      </c>
      <c r="C5013" s="217">
        <f>'Reported burning'!C5014</f>
        <v>0</v>
      </c>
      <c r="D5013" s="217">
        <f>'Reported burning'!D5014</f>
        <v>0</v>
      </c>
      <c r="E5013" s="217">
        <f>'Reported burning'!E5014</f>
        <v>0</v>
      </c>
      <c r="F5013" s="217">
        <f>'Reported burning'!F5014</f>
        <v>0</v>
      </c>
      <c r="G5013" s="217">
        <f>'Reported burning'!G5014</f>
        <v>0</v>
      </c>
      <c r="H5013" s="217">
        <f>'Reported burning'!H5014</f>
        <v>0</v>
      </c>
    </row>
    <row r="5014" spans="1:8">
      <c r="A5014" s="217">
        <f>'Reported burning'!A5015</f>
        <v>0</v>
      </c>
      <c r="B5014" s="217">
        <f>'Reported burning'!B5015</f>
        <v>0</v>
      </c>
      <c r="C5014" s="217">
        <f>'Reported burning'!C5015</f>
        <v>0</v>
      </c>
      <c r="D5014" s="217">
        <f>'Reported burning'!D5015</f>
        <v>0</v>
      </c>
      <c r="E5014" s="217">
        <f>'Reported burning'!E5015</f>
        <v>0</v>
      </c>
      <c r="F5014" s="217">
        <f>'Reported burning'!F5015</f>
        <v>0</v>
      </c>
      <c r="G5014" s="217">
        <f>'Reported burning'!G5015</f>
        <v>0</v>
      </c>
      <c r="H5014" s="217">
        <f>'Reported burning'!H5015</f>
        <v>0</v>
      </c>
    </row>
    <row r="5015" spans="1:8">
      <c r="A5015" s="217">
        <f>'Reported burning'!A5016</f>
        <v>0</v>
      </c>
      <c r="B5015" s="217">
        <f>'Reported burning'!B5016</f>
        <v>0</v>
      </c>
      <c r="C5015" s="217">
        <f>'Reported burning'!C5016</f>
        <v>0</v>
      </c>
      <c r="D5015" s="217">
        <f>'Reported burning'!D5016</f>
        <v>0</v>
      </c>
      <c r="E5015" s="217">
        <f>'Reported burning'!E5016</f>
        <v>0</v>
      </c>
      <c r="F5015" s="217">
        <f>'Reported burning'!F5016</f>
        <v>0</v>
      </c>
      <c r="G5015" s="217">
        <f>'Reported burning'!G5016</f>
        <v>0</v>
      </c>
      <c r="H5015" s="217">
        <f>'Reported burning'!H5016</f>
        <v>0</v>
      </c>
    </row>
    <row r="5016" spans="1:8">
      <c r="A5016" s="217">
        <f>'Reported burning'!A5017</f>
        <v>0</v>
      </c>
      <c r="B5016" s="217">
        <f>'Reported burning'!B5017</f>
        <v>0</v>
      </c>
      <c r="C5016" s="217">
        <f>'Reported burning'!C5017</f>
        <v>0</v>
      </c>
      <c r="D5016" s="217">
        <f>'Reported burning'!D5017</f>
        <v>0</v>
      </c>
      <c r="E5016" s="217">
        <f>'Reported burning'!E5017</f>
        <v>0</v>
      </c>
      <c r="F5016" s="217">
        <f>'Reported burning'!F5017</f>
        <v>0</v>
      </c>
      <c r="G5016" s="217">
        <f>'Reported burning'!G5017</f>
        <v>0</v>
      </c>
      <c r="H5016" s="217">
        <f>'Reported burning'!H5017</f>
        <v>0</v>
      </c>
    </row>
    <row r="5017" spans="1:8">
      <c r="A5017" s="217">
        <f>'Reported burning'!A5018</f>
        <v>0</v>
      </c>
      <c r="B5017" s="217">
        <f>'Reported burning'!B5018</f>
        <v>0</v>
      </c>
      <c r="C5017" s="217">
        <f>'Reported burning'!C5018</f>
        <v>0</v>
      </c>
      <c r="D5017" s="217">
        <f>'Reported burning'!D5018</f>
        <v>0</v>
      </c>
      <c r="E5017" s="217">
        <f>'Reported burning'!E5018</f>
        <v>0</v>
      </c>
      <c r="F5017" s="217">
        <f>'Reported burning'!F5018</f>
        <v>0</v>
      </c>
      <c r="G5017" s="217">
        <f>'Reported burning'!G5018</f>
        <v>0</v>
      </c>
      <c r="H5017" s="217">
        <f>'Reported burning'!H5018</f>
        <v>0</v>
      </c>
    </row>
    <row r="5018" spans="1:8">
      <c r="A5018" s="217">
        <f>'Reported burning'!A5019</f>
        <v>0</v>
      </c>
      <c r="B5018" s="217">
        <f>'Reported burning'!B5019</f>
        <v>0</v>
      </c>
      <c r="C5018" s="217">
        <f>'Reported burning'!C5019</f>
        <v>0</v>
      </c>
      <c r="D5018" s="217">
        <f>'Reported burning'!D5019</f>
        <v>0</v>
      </c>
      <c r="E5018" s="217">
        <f>'Reported burning'!E5019</f>
        <v>0</v>
      </c>
      <c r="F5018" s="217">
        <f>'Reported burning'!F5019</f>
        <v>0</v>
      </c>
      <c r="G5018" s="217">
        <f>'Reported burning'!G5019</f>
        <v>0</v>
      </c>
      <c r="H5018" s="217">
        <f>'Reported burning'!H5019</f>
        <v>0</v>
      </c>
    </row>
    <row r="5019" spans="1:8">
      <c r="A5019" s="217">
        <f>'Reported burning'!A5020</f>
        <v>0</v>
      </c>
      <c r="B5019" s="217">
        <f>'Reported burning'!B5020</f>
        <v>0</v>
      </c>
      <c r="C5019" s="217">
        <f>'Reported burning'!C5020</f>
        <v>0</v>
      </c>
      <c r="D5019" s="217">
        <f>'Reported burning'!D5020</f>
        <v>0</v>
      </c>
      <c r="E5019" s="217">
        <f>'Reported burning'!E5020</f>
        <v>0</v>
      </c>
      <c r="F5019" s="217">
        <f>'Reported burning'!F5020</f>
        <v>0</v>
      </c>
      <c r="G5019" s="217">
        <f>'Reported burning'!G5020</f>
        <v>0</v>
      </c>
      <c r="H5019" s="217">
        <f>'Reported burning'!H5020</f>
        <v>0</v>
      </c>
    </row>
    <row r="5020" spans="1:8">
      <c r="A5020" s="217">
        <f>'Reported burning'!A5021</f>
        <v>0</v>
      </c>
      <c r="B5020" s="217">
        <f>'Reported burning'!B5021</f>
        <v>0</v>
      </c>
      <c r="C5020" s="217">
        <f>'Reported burning'!C5021</f>
        <v>0</v>
      </c>
      <c r="D5020" s="217">
        <f>'Reported burning'!D5021</f>
        <v>0</v>
      </c>
      <c r="E5020" s="217">
        <f>'Reported burning'!E5021</f>
        <v>0</v>
      </c>
      <c r="F5020" s="217">
        <f>'Reported burning'!F5021</f>
        <v>0</v>
      </c>
      <c r="G5020" s="217">
        <f>'Reported burning'!G5021</f>
        <v>0</v>
      </c>
      <c r="H5020" s="217">
        <f>'Reported burning'!H5021</f>
        <v>0</v>
      </c>
    </row>
    <row r="5021" spans="1:8">
      <c r="A5021" s="217">
        <f>'Reported burning'!A5022</f>
        <v>0</v>
      </c>
      <c r="B5021" s="217">
        <f>'Reported burning'!B5022</f>
        <v>0</v>
      </c>
      <c r="C5021" s="217">
        <f>'Reported burning'!C5022</f>
        <v>0</v>
      </c>
      <c r="D5021" s="217">
        <f>'Reported burning'!D5022</f>
        <v>0</v>
      </c>
      <c r="E5021" s="217">
        <f>'Reported burning'!E5022</f>
        <v>0</v>
      </c>
      <c r="F5021" s="217">
        <f>'Reported burning'!F5022</f>
        <v>0</v>
      </c>
      <c r="G5021" s="217">
        <f>'Reported burning'!G5022</f>
        <v>0</v>
      </c>
      <c r="H5021" s="217">
        <f>'Reported burning'!H5022</f>
        <v>0</v>
      </c>
    </row>
    <row r="5022" spans="1:8">
      <c r="A5022" s="217">
        <f>'Reported burning'!A5023</f>
        <v>0</v>
      </c>
      <c r="B5022" s="217">
        <f>'Reported burning'!B5023</f>
        <v>0</v>
      </c>
      <c r="C5022" s="217">
        <f>'Reported burning'!C5023</f>
        <v>0</v>
      </c>
      <c r="D5022" s="217">
        <f>'Reported burning'!D5023</f>
        <v>0</v>
      </c>
      <c r="E5022" s="217">
        <f>'Reported burning'!E5023</f>
        <v>0</v>
      </c>
      <c r="F5022" s="217">
        <f>'Reported burning'!F5023</f>
        <v>0</v>
      </c>
      <c r="G5022" s="217">
        <f>'Reported burning'!G5023</f>
        <v>0</v>
      </c>
      <c r="H5022" s="217">
        <f>'Reported burning'!H5023</f>
        <v>0</v>
      </c>
    </row>
    <row r="5023" spans="1:8">
      <c r="A5023" s="217">
        <f>'Reported burning'!A5024</f>
        <v>0</v>
      </c>
      <c r="B5023" s="217">
        <f>'Reported burning'!B5024</f>
        <v>0</v>
      </c>
      <c r="C5023" s="217">
        <f>'Reported burning'!C5024</f>
        <v>0</v>
      </c>
      <c r="D5023" s="217">
        <f>'Reported burning'!D5024</f>
        <v>0</v>
      </c>
      <c r="E5023" s="217">
        <f>'Reported burning'!E5024</f>
        <v>0</v>
      </c>
      <c r="F5023" s="217">
        <f>'Reported burning'!F5024</f>
        <v>0</v>
      </c>
      <c r="G5023" s="217">
        <f>'Reported burning'!G5024</f>
        <v>0</v>
      </c>
      <c r="H5023" s="217">
        <f>'Reported burning'!H5024</f>
        <v>0</v>
      </c>
    </row>
    <row r="5024" spans="1:8">
      <c r="A5024" s="217">
        <f>'Reported burning'!A5025</f>
        <v>0</v>
      </c>
      <c r="B5024" s="217">
        <f>'Reported burning'!B5025</f>
        <v>0</v>
      </c>
      <c r="C5024" s="217">
        <f>'Reported burning'!C5025</f>
        <v>0</v>
      </c>
      <c r="D5024" s="217">
        <f>'Reported burning'!D5025</f>
        <v>0</v>
      </c>
      <c r="E5024" s="217">
        <f>'Reported burning'!E5025</f>
        <v>0</v>
      </c>
      <c r="F5024" s="217">
        <f>'Reported burning'!F5025</f>
        <v>0</v>
      </c>
      <c r="G5024" s="217">
        <f>'Reported burning'!G5025</f>
        <v>0</v>
      </c>
      <c r="H5024" s="217">
        <f>'Reported burning'!H5025</f>
        <v>0</v>
      </c>
    </row>
    <row r="5025" spans="1:8">
      <c r="A5025" s="217">
        <f>'Reported burning'!A5026</f>
        <v>0</v>
      </c>
      <c r="B5025" s="217">
        <f>'Reported burning'!B5026</f>
        <v>0</v>
      </c>
      <c r="C5025" s="217">
        <f>'Reported burning'!C5026</f>
        <v>0</v>
      </c>
      <c r="D5025" s="217">
        <f>'Reported burning'!D5026</f>
        <v>0</v>
      </c>
      <c r="E5025" s="217">
        <f>'Reported burning'!E5026</f>
        <v>0</v>
      </c>
      <c r="F5025" s="217">
        <f>'Reported burning'!F5026</f>
        <v>0</v>
      </c>
      <c r="G5025" s="217">
        <f>'Reported burning'!G5026</f>
        <v>0</v>
      </c>
      <c r="H5025" s="217">
        <f>'Reported burning'!H5026</f>
        <v>0</v>
      </c>
    </row>
    <row r="5026" spans="1:8">
      <c r="A5026" s="217">
        <f>'Reported burning'!A5027</f>
        <v>0</v>
      </c>
      <c r="B5026" s="217">
        <f>'Reported burning'!B5027</f>
        <v>0</v>
      </c>
      <c r="C5026" s="217">
        <f>'Reported burning'!C5027</f>
        <v>0</v>
      </c>
      <c r="D5026" s="217">
        <f>'Reported burning'!D5027</f>
        <v>0</v>
      </c>
      <c r="E5026" s="217">
        <f>'Reported burning'!E5027</f>
        <v>0</v>
      </c>
      <c r="F5026" s="217">
        <f>'Reported burning'!F5027</f>
        <v>0</v>
      </c>
      <c r="G5026" s="217">
        <f>'Reported burning'!G5027</f>
        <v>0</v>
      </c>
      <c r="H5026" s="217">
        <f>'Reported burning'!H5027</f>
        <v>0</v>
      </c>
    </row>
    <row r="5027" spans="1:8">
      <c r="A5027" s="217">
        <f>'Reported burning'!A5028</f>
        <v>0</v>
      </c>
      <c r="B5027" s="217">
        <f>'Reported burning'!B5028</f>
        <v>0</v>
      </c>
      <c r="C5027" s="217">
        <f>'Reported burning'!C5028</f>
        <v>0</v>
      </c>
      <c r="D5027" s="217">
        <f>'Reported burning'!D5028</f>
        <v>0</v>
      </c>
      <c r="E5027" s="217">
        <f>'Reported burning'!E5028</f>
        <v>0</v>
      </c>
      <c r="F5027" s="217">
        <f>'Reported burning'!F5028</f>
        <v>0</v>
      </c>
      <c r="G5027" s="217">
        <f>'Reported burning'!G5028</f>
        <v>0</v>
      </c>
      <c r="H5027" s="217">
        <f>'Reported burning'!H5028</f>
        <v>0</v>
      </c>
    </row>
    <row r="5028" spans="1:8">
      <c r="A5028" s="217">
        <f>'Reported burning'!A5029</f>
        <v>0</v>
      </c>
      <c r="B5028" s="217">
        <f>'Reported burning'!B5029</f>
        <v>0</v>
      </c>
      <c r="C5028" s="217">
        <f>'Reported burning'!C5029</f>
        <v>0</v>
      </c>
      <c r="D5028" s="217">
        <f>'Reported burning'!D5029</f>
        <v>0</v>
      </c>
      <c r="E5028" s="217">
        <f>'Reported burning'!E5029</f>
        <v>0</v>
      </c>
      <c r="F5028" s="217">
        <f>'Reported burning'!F5029</f>
        <v>0</v>
      </c>
      <c r="G5028" s="217">
        <f>'Reported burning'!G5029</f>
        <v>0</v>
      </c>
      <c r="H5028" s="217">
        <f>'Reported burning'!H5029</f>
        <v>0</v>
      </c>
    </row>
    <row r="5029" spans="1:8">
      <c r="A5029" s="217">
        <f>'Reported burning'!A5030</f>
        <v>0</v>
      </c>
      <c r="B5029" s="217">
        <f>'Reported burning'!B5030</f>
        <v>0</v>
      </c>
      <c r="C5029" s="217">
        <f>'Reported burning'!C5030</f>
        <v>0</v>
      </c>
      <c r="D5029" s="217">
        <f>'Reported burning'!D5030</f>
        <v>0</v>
      </c>
      <c r="E5029" s="217">
        <f>'Reported burning'!E5030</f>
        <v>0</v>
      </c>
      <c r="F5029" s="217">
        <f>'Reported burning'!F5030</f>
        <v>0</v>
      </c>
      <c r="G5029" s="217">
        <f>'Reported burning'!G5030</f>
        <v>0</v>
      </c>
      <c r="H5029" s="217">
        <f>'Reported burning'!H5030</f>
        <v>0</v>
      </c>
    </row>
    <row r="5030" spans="1:8">
      <c r="A5030" s="217">
        <f>'Reported burning'!A5031</f>
        <v>0</v>
      </c>
      <c r="B5030" s="217">
        <f>'Reported burning'!B5031</f>
        <v>0</v>
      </c>
      <c r="C5030" s="217">
        <f>'Reported burning'!C5031</f>
        <v>0</v>
      </c>
      <c r="D5030" s="217">
        <f>'Reported burning'!D5031</f>
        <v>0</v>
      </c>
      <c r="E5030" s="217">
        <f>'Reported burning'!E5031</f>
        <v>0</v>
      </c>
      <c r="F5030" s="217">
        <f>'Reported burning'!F5031</f>
        <v>0</v>
      </c>
      <c r="G5030" s="217">
        <f>'Reported burning'!G5031</f>
        <v>0</v>
      </c>
      <c r="H5030" s="217">
        <f>'Reported burning'!H5031</f>
        <v>0</v>
      </c>
    </row>
    <row r="5031" spans="1:8">
      <c r="A5031" s="217">
        <f>'Reported burning'!A5032</f>
        <v>0</v>
      </c>
      <c r="B5031" s="217">
        <f>'Reported burning'!B5032</f>
        <v>0</v>
      </c>
      <c r="C5031" s="217">
        <f>'Reported burning'!C5032</f>
        <v>0</v>
      </c>
      <c r="D5031" s="217">
        <f>'Reported burning'!D5032</f>
        <v>0</v>
      </c>
      <c r="E5031" s="217">
        <f>'Reported burning'!E5032</f>
        <v>0</v>
      </c>
      <c r="F5031" s="217">
        <f>'Reported burning'!F5032</f>
        <v>0</v>
      </c>
      <c r="G5031" s="217">
        <f>'Reported burning'!G5032</f>
        <v>0</v>
      </c>
      <c r="H5031" s="217">
        <f>'Reported burning'!H5032</f>
        <v>0</v>
      </c>
    </row>
    <row r="5032" spans="1:8">
      <c r="A5032" s="217">
        <f>'Reported burning'!A5033</f>
        <v>0</v>
      </c>
      <c r="B5032" s="217">
        <f>'Reported burning'!B5033</f>
        <v>0</v>
      </c>
      <c r="C5032" s="217">
        <f>'Reported burning'!C5033</f>
        <v>0</v>
      </c>
      <c r="D5032" s="217">
        <f>'Reported burning'!D5033</f>
        <v>0</v>
      </c>
      <c r="E5032" s="217">
        <f>'Reported burning'!E5033</f>
        <v>0</v>
      </c>
      <c r="F5032" s="217">
        <f>'Reported burning'!F5033</f>
        <v>0</v>
      </c>
      <c r="G5032" s="217">
        <f>'Reported burning'!G5033</f>
        <v>0</v>
      </c>
      <c r="H5032" s="217">
        <f>'Reported burning'!H5033</f>
        <v>0</v>
      </c>
    </row>
    <row r="5033" spans="1:8">
      <c r="A5033" s="217">
        <f>'Reported burning'!A5034</f>
        <v>0</v>
      </c>
      <c r="B5033" s="217">
        <f>'Reported burning'!B5034</f>
        <v>0</v>
      </c>
      <c r="C5033" s="217">
        <f>'Reported burning'!C5034</f>
        <v>0</v>
      </c>
      <c r="D5033" s="217">
        <f>'Reported burning'!D5034</f>
        <v>0</v>
      </c>
      <c r="E5033" s="217">
        <f>'Reported burning'!E5034</f>
        <v>0</v>
      </c>
      <c r="F5033" s="217">
        <f>'Reported burning'!F5034</f>
        <v>0</v>
      </c>
      <c r="G5033" s="217">
        <f>'Reported burning'!G5034</f>
        <v>0</v>
      </c>
      <c r="H5033" s="217">
        <f>'Reported burning'!H5034</f>
        <v>0</v>
      </c>
    </row>
    <row r="5034" spans="1:8">
      <c r="A5034" s="217">
        <f>'Reported burning'!A5035</f>
        <v>0</v>
      </c>
      <c r="B5034" s="217">
        <f>'Reported burning'!B5035</f>
        <v>0</v>
      </c>
      <c r="C5034" s="217">
        <f>'Reported burning'!C5035</f>
        <v>0</v>
      </c>
      <c r="D5034" s="217">
        <f>'Reported burning'!D5035</f>
        <v>0</v>
      </c>
      <c r="E5034" s="217">
        <f>'Reported burning'!E5035</f>
        <v>0</v>
      </c>
      <c r="F5034" s="217">
        <f>'Reported burning'!F5035</f>
        <v>0</v>
      </c>
      <c r="G5034" s="217">
        <f>'Reported burning'!G5035</f>
        <v>0</v>
      </c>
      <c r="H5034" s="217">
        <f>'Reported burning'!H5035</f>
        <v>0</v>
      </c>
    </row>
    <row r="5035" spans="1:8">
      <c r="A5035" s="217">
        <f>'Reported burning'!A5036</f>
        <v>0</v>
      </c>
      <c r="B5035" s="217">
        <f>'Reported burning'!B5036</f>
        <v>0</v>
      </c>
      <c r="C5035" s="217">
        <f>'Reported burning'!C5036</f>
        <v>0</v>
      </c>
      <c r="D5035" s="217">
        <f>'Reported burning'!D5036</f>
        <v>0</v>
      </c>
      <c r="E5035" s="217">
        <f>'Reported burning'!E5036</f>
        <v>0</v>
      </c>
      <c r="F5035" s="217">
        <f>'Reported burning'!F5036</f>
        <v>0</v>
      </c>
      <c r="G5035" s="217">
        <f>'Reported burning'!G5036</f>
        <v>0</v>
      </c>
      <c r="H5035" s="217">
        <f>'Reported burning'!H5036</f>
        <v>0</v>
      </c>
    </row>
    <row r="5036" spans="1:8">
      <c r="A5036" s="217">
        <f>'Reported burning'!A5037</f>
        <v>0</v>
      </c>
      <c r="B5036" s="217">
        <f>'Reported burning'!B5037</f>
        <v>0</v>
      </c>
      <c r="C5036" s="217">
        <f>'Reported burning'!C5037</f>
        <v>0</v>
      </c>
      <c r="D5036" s="217">
        <f>'Reported burning'!D5037</f>
        <v>0</v>
      </c>
      <c r="E5036" s="217">
        <f>'Reported burning'!E5037</f>
        <v>0</v>
      </c>
      <c r="F5036" s="217">
        <f>'Reported burning'!F5037</f>
        <v>0</v>
      </c>
      <c r="G5036" s="217">
        <f>'Reported burning'!G5037</f>
        <v>0</v>
      </c>
      <c r="H5036" s="217">
        <f>'Reported burning'!H5037</f>
        <v>0</v>
      </c>
    </row>
    <row r="5037" spans="1:8">
      <c r="A5037" s="217">
        <f>'Reported burning'!A5038</f>
        <v>0</v>
      </c>
      <c r="B5037" s="217">
        <f>'Reported burning'!B5038</f>
        <v>0</v>
      </c>
      <c r="C5037" s="217">
        <f>'Reported burning'!C5038</f>
        <v>0</v>
      </c>
      <c r="D5037" s="217">
        <f>'Reported burning'!D5038</f>
        <v>0</v>
      </c>
      <c r="E5037" s="217">
        <f>'Reported burning'!E5038</f>
        <v>0</v>
      </c>
      <c r="F5037" s="217">
        <f>'Reported burning'!F5038</f>
        <v>0</v>
      </c>
      <c r="G5037" s="217">
        <f>'Reported burning'!G5038</f>
        <v>0</v>
      </c>
      <c r="H5037" s="217">
        <f>'Reported burning'!H5038</f>
        <v>0</v>
      </c>
    </row>
    <row r="5038" spans="1:8">
      <c r="A5038" s="217">
        <f>'Reported burning'!A5039</f>
        <v>0</v>
      </c>
      <c r="B5038" s="217">
        <f>'Reported burning'!B5039</f>
        <v>0</v>
      </c>
      <c r="C5038" s="217">
        <f>'Reported burning'!C5039</f>
        <v>0</v>
      </c>
      <c r="D5038" s="217">
        <f>'Reported burning'!D5039</f>
        <v>0</v>
      </c>
      <c r="E5038" s="217">
        <f>'Reported burning'!E5039</f>
        <v>0</v>
      </c>
      <c r="F5038" s="217">
        <f>'Reported burning'!F5039</f>
        <v>0</v>
      </c>
      <c r="G5038" s="217">
        <f>'Reported burning'!G5039</f>
        <v>0</v>
      </c>
      <c r="H5038" s="217">
        <f>'Reported burning'!H5039</f>
        <v>0</v>
      </c>
    </row>
    <row r="5039" spans="1:8">
      <c r="A5039" s="217">
        <f>'Reported burning'!A5040</f>
        <v>0</v>
      </c>
      <c r="B5039" s="217">
        <f>'Reported burning'!B5040</f>
        <v>0</v>
      </c>
      <c r="C5039" s="217">
        <f>'Reported burning'!C5040</f>
        <v>0</v>
      </c>
      <c r="D5039" s="217">
        <f>'Reported burning'!D5040</f>
        <v>0</v>
      </c>
      <c r="E5039" s="217">
        <f>'Reported burning'!E5040</f>
        <v>0</v>
      </c>
      <c r="F5039" s="217">
        <f>'Reported burning'!F5040</f>
        <v>0</v>
      </c>
      <c r="G5039" s="217">
        <f>'Reported burning'!G5040</f>
        <v>0</v>
      </c>
      <c r="H5039" s="217">
        <f>'Reported burning'!H5040</f>
        <v>0</v>
      </c>
    </row>
    <row r="5040" spans="1:8">
      <c r="A5040" s="217">
        <f>'Reported burning'!A5041</f>
        <v>0</v>
      </c>
      <c r="B5040" s="217">
        <f>'Reported burning'!B5041</f>
        <v>0</v>
      </c>
      <c r="C5040" s="217">
        <f>'Reported burning'!C5041</f>
        <v>0</v>
      </c>
      <c r="D5040" s="217">
        <f>'Reported burning'!D5041</f>
        <v>0</v>
      </c>
      <c r="E5040" s="217">
        <f>'Reported burning'!E5041</f>
        <v>0</v>
      </c>
      <c r="F5040" s="217">
        <f>'Reported burning'!F5041</f>
        <v>0</v>
      </c>
      <c r="G5040" s="217">
        <f>'Reported burning'!G5041</f>
        <v>0</v>
      </c>
      <c r="H5040" s="217">
        <f>'Reported burning'!H5041</f>
        <v>0</v>
      </c>
    </row>
    <row r="5041" spans="1:8">
      <c r="A5041" s="217">
        <f>'Reported burning'!A5042</f>
        <v>0</v>
      </c>
      <c r="B5041" s="217">
        <f>'Reported burning'!B5042</f>
        <v>0</v>
      </c>
      <c r="C5041" s="217">
        <f>'Reported burning'!C5042</f>
        <v>0</v>
      </c>
      <c r="D5041" s="217">
        <f>'Reported burning'!D5042</f>
        <v>0</v>
      </c>
      <c r="E5041" s="217">
        <f>'Reported burning'!E5042</f>
        <v>0</v>
      </c>
      <c r="F5041" s="217">
        <f>'Reported burning'!F5042</f>
        <v>0</v>
      </c>
      <c r="G5041" s="217">
        <f>'Reported burning'!G5042</f>
        <v>0</v>
      </c>
      <c r="H5041" s="217">
        <f>'Reported burning'!H5042</f>
        <v>0</v>
      </c>
    </row>
    <row r="5042" spans="1:8">
      <c r="A5042" s="217">
        <f>'Reported burning'!A5043</f>
        <v>0</v>
      </c>
      <c r="B5042" s="217">
        <f>'Reported burning'!B5043</f>
        <v>0</v>
      </c>
      <c r="C5042" s="217">
        <f>'Reported burning'!C5043</f>
        <v>0</v>
      </c>
      <c r="D5042" s="217">
        <f>'Reported burning'!D5043</f>
        <v>0</v>
      </c>
      <c r="E5042" s="217">
        <f>'Reported burning'!E5043</f>
        <v>0</v>
      </c>
      <c r="F5042" s="217">
        <f>'Reported burning'!F5043</f>
        <v>0</v>
      </c>
      <c r="G5042" s="217">
        <f>'Reported burning'!G5043</f>
        <v>0</v>
      </c>
      <c r="H5042" s="217">
        <f>'Reported burning'!H5043</f>
        <v>0</v>
      </c>
    </row>
    <row r="5043" spans="1:8">
      <c r="A5043" s="217">
        <f>'Reported burning'!A5044</f>
        <v>0</v>
      </c>
      <c r="B5043" s="217">
        <f>'Reported burning'!B5044</f>
        <v>0</v>
      </c>
      <c r="C5043" s="217">
        <f>'Reported burning'!C5044</f>
        <v>0</v>
      </c>
      <c r="D5043" s="217">
        <f>'Reported burning'!D5044</f>
        <v>0</v>
      </c>
      <c r="E5043" s="217">
        <f>'Reported burning'!E5044</f>
        <v>0</v>
      </c>
      <c r="F5043" s="217">
        <f>'Reported burning'!F5044</f>
        <v>0</v>
      </c>
      <c r="G5043" s="217">
        <f>'Reported burning'!G5044</f>
        <v>0</v>
      </c>
      <c r="H5043" s="217">
        <f>'Reported burning'!H5044</f>
        <v>0</v>
      </c>
    </row>
    <row r="5044" spans="1:8">
      <c r="A5044" s="217">
        <f>'Reported burning'!A5045</f>
        <v>0</v>
      </c>
      <c r="B5044" s="217">
        <f>'Reported burning'!B5045</f>
        <v>0</v>
      </c>
      <c r="C5044" s="217">
        <f>'Reported burning'!C5045</f>
        <v>0</v>
      </c>
      <c r="D5044" s="217">
        <f>'Reported burning'!D5045</f>
        <v>0</v>
      </c>
      <c r="E5044" s="217">
        <f>'Reported burning'!E5045</f>
        <v>0</v>
      </c>
      <c r="F5044" s="217">
        <f>'Reported burning'!F5045</f>
        <v>0</v>
      </c>
      <c r="G5044" s="217">
        <f>'Reported burning'!G5045</f>
        <v>0</v>
      </c>
      <c r="H5044" s="217">
        <f>'Reported burning'!H5045</f>
        <v>0</v>
      </c>
    </row>
    <row r="5045" spans="1:8">
      <c r="A5045" s="217">
        <f>'Reported burning'!A5046</f>
        <v>0</v>
      </c>
      <c r="B5045" s="217">
        <f>'Reported burning'!B5046</f>
        <v>0</v>
      </c>
      <c r="C5045" s="217">
        <f>'Reported burning'!C5046</f>
        <v>0</v>
      </c>
      <c r="D5045" s="217">
        <f>'Reported burning'!D5046</f>
        <v>0</v>
      </c>
      <c r="E5045" s="217">
        <f>'Reported burning'!E5046</f>
        <v>0</v>
      </c>
      <c r="F5045" s="217">
        <f>'Reported burning'!F5046</f>
        <v>0</v>
      </c>
      <c r="G5045" s="217">
        <f>'Reported burning'!G5046</f>
        <v>0</v>
      </c>
      <c r="H5045" s="217">
        <f>'Reported burning'!H5046</f>
        <v>0</v>
      </c>
    </row>
    <row r="5046" spans="1:8">
      <c r="A5046" s="217">
        <f>'Reported burning'!A5047</f>
        <v>0</v>
      </c>
      <c r="B5046" s="217">
        <f>'Reported burning'!B5047</f>
        <v>0</v>
      </c>
      <c r="C5046" s="217">
        <f>'Reported burning'!C5047</f>
        <v>0</v>
      </c>
      <c r="D5046" s="217">
        <f>'Reported burning'!D5047</f>
        <v>0</v>
      </c>
      <c r="E5046" s="217">
        <f>'Reported burning'!E5047</f>
        <v>0</v>
      </c>
      <c r="F5046" s="217">
        <f>'Reported burning'!F5047</f>
        <v>0</v>
      </c>
      <c r="G5046" s="217">
        <f>'Reported burning'!G5047</f>
        <v>0</v>
      </c>
      <c r="H5046" s="217">
        <f>'Reported burning'!H5047</f>
        <v>0</v>
      </c>
    </row>
    <row r="5047" spans="1:8">
      <c r="A5047" s="217">
        <f>'Reported burning'!A5048</f>
        <v>0</v>
      </c>
      <c r="B5047" s="217">
        <f>'Reported burning'!B5048</f>
        <v>0</v>
      </c>
      <c r="C5047" s="217">
        <f>'Reported burning'!C5048</f>
        <v>0</v>
      </c>
      <c r="D5047" s="217">
        <f>'Reported burning'!D5048</f>
        <v>0</v>
      </c>
      <c r="E5047" s="217">
        <f>'Reported burning'!E5048</f>
        <v>0</v>
      </c>
      <c r="F5047" s="217">
        <f>'Reported burning'!F5048</f>
        <v>0</v>
      </c>
      <c r="G5047" s="217">
        <f>'Reported burning'!G5048</f>
        <v>0</v>
      </c>
      <c r="H5047" s="217">
        <f>'Reported burning'!H5048</f>
        <v>0</v>
      </c>
    </row>
    <row r="5048" spans="1:8">
      <c r="A5048" s="217">
        <f>'Reported burning'!A5049</f>
        <v>0</v>
      </c>
      <c r="B5048" s="217">
        <f>'Reported burning'!B5049</f>
        <v>0</v>
      </c>
      <c r="C5048" s="217">
        <f>'Reported burning'!C5049</f>
        <v>0</v>
      </c>
      <c r="D5048" s="217">
        <f>'Reported burning'!D5049</f>
        <v>0</v>
      </c>
      <c r="E5048" s="217">
        <f>'Reported burning'!E5049</f>
        <v>0</v>
      </c>
      <c r="F5048" s="217">
        <f>'Reported burning'!F5049</f>
        <v>0</v>
      </c>
      <c r="G5048" s="217">
        <f>'Reported burning'!G5049</f>
        <v>0</v>
      </c>
      <c r="H5048" s="217">
        <f>'Reported burning'!H5049</f>
        <v>0</v>
      </c>
    </row>
    <row r="5049" spans="1:8">
      <c r="A5049" s="217">
        <f>'Reported burning'!A5050</f>
        <v>0</v>
      </c>
      <c r="B5049" s="217">
        <f>'Reported burning'!B5050</f>
        <v>0</v>
      </c>
      <c r="C5049" s="217">
        <f>'Reported burning'!C5050</f>
        <v>0</v>
      </c>
      <c r="D5049" s="217">
        <f>'Reported burning'!D5050</f>
        <v>0</v>
      </c>
      <c r="E5049" s="217">
        <f>'Reported burning'!E5050</f>
        <v>0</v>
      </c>
      <c r="F5049" s="217">
        <f>'Reported burning'!F5050</f>
        <v>0</v>
      </c>
      <c r="G5049" s="217">
        <f>'Reported burning'!G5050</f>
        <v>0</v>
      </c>
      <c r="H5049" s="217">
        <f>'Reported burning'!H5050</f>
        <v>0</v>
      </c>
    </row>
    <row r="5050" spans="1:8">
      <c r="A5050" s="217">
        <f>'Reported burning'!A5051</f>
        <v>0</v>
      </c>
      <c r="B5050" s="217">
        <f>'Reported burning'!B5051</f>
        <v>0</v>
      </c>
      <c r="C5050" s="217">
        <f>'Reported burning'!C5051</f>
        <v>0</v>
      </c>
      <c r="D5050" s="217">
        <f>'Reported burning'!D5051</f>
        <v>0</v>
      </c>
      <c r="E5050" s="217">
        <f>'Reported burning'!E5051</f>
        <v>0</v>
      </c>
      <c r="F5050" s="217">
        <f>'Reported burning'!F5051</f>
        <v>0</v>
      </c>
      <c r="G5050" s="217">
        <f>'Reported burning'!G5051</f>
        <v>0</v>
      </c>
      <c r="H5050" s="217">
        <f>'Reported burning'!H5051</f>
        <v>0</v>
      </c>
    </row>
    <row r="5051" spans="1:8">
      <c r="A5051" s="217">
        <f>'Reported burning'!A5052</f>
        <v>0</v>
      </c>
      <c r="B5051" s="217">
        <f>'Reported burning'!B5052</f>
        <v>0</v>
      </c>
      <c r="C5051" s="217">
        <f>'Reported burning'!C5052</f>
        <v>0</v>
      </c>
      <c r="D5051" s="217">
        <f>'Reported burning'!D5052</f>
        <v>0</v>
      </c>
      <c r="E5051" s="217">
        <f>'Reported burning'!E5052</f>
        <v>0</v>
      </c>
      <c r="F5051" s="217">
        <f>'Reported burning'!F5052</f>
        <v>0</v>
      </c>
      <c r="G5051" s="217">
        <f>'Reported burning'!G5052</f>
        <v>0</v>
      </c>
      <c r="H5051" s="217">
        <f>'Reported burning'!H5052</f>
        <v>0</v>
      </c>
    </row>
    <row r="5052" spans="1:8">
      <c r="A5052" s="217">
        <f>'Reported burning'!A5053</f>
        <v>0</v>
      </c>
      <c r="B5052" s="217">
        <f>'Reported burning'!B5053</f>
        <v>0</v>
      </c>
      <c r="C5052" s="217">
        <f>'Reported burning'!C5053</f>
        <v>0</v>
      </c>
      <c r="D5052" s="217">
        <f>'Reported burning'!D5053</f>
        <v>0</v>
      </c>
      <c r="E5052" s="217">
        <f>'Reported burning'!E5053</f>
        <v>0</v>
      </c>
      <c r="F5052" s="217">
        <f>'Reported burning'!F5053</f>
        <v>0</v>
      </c>
      <c r="G5052" s="217">
        <f>'Reported burning'!G5053</f>
        <v>0</v>
      </c>
      <c r="H5052" s="217">
        <f>'Reported burning'!H5053</f>
        <v>0</v>
      </c>
    </row>
    <row r="5053" spans="1:8">
      <c r="A5053" s="217">
        <f>'Reported burning'!A5054</f>
        <v>0</v>
      </c>
      <c r="B5053" s="217">
        <f>'Reported burning'!B5054</f>
        <v>0</v>
      </c>
      <c r="C5053" s="217">
        <f>'Reported burning'!C5054</f>
        <v>0</v>
      </c>
      <c r="D5053" s="217">
        <f>'Reported burning'!D5054</f>
        <v>0</v>
      </c>
      <c r="E5053" s="217">
        <f>'Reported burning'!E5054</f>
        <v>0</v>
      </c>
      <c r="F5053" s="217">
        <f>'Reported burning'!F5054</f>
        <v>0</v>
      </c>
      <c r="G5053" s="217">
        <f>'Reported burning'!G5054</f>
        <v>0</v>
      </c>
      <c r="H5053" s="217">
        <f>'Reported burning'!H5054</f>
        <v>0</v>
      </c>
    </row>
    <row r="5054" spans="1:8">
      <c r="A5054" s="217">
        <f>'Reported burning'!A5055</f>
        <v>0</v>
      </c>
      <c r="B5054" s="217">
        <f>'Reported burning'!B5055</f>
        <v>0</v>
      </c>
      <c r="C5054" s="217">
        <f>'Reported burning'!C5055</f>
        <v>0</v>
      </c>
      <c r="D5054" s="217">
        <f>'Reported burning'!D5055</f>
        <v>0</v>
      </c>
      <c r="E5054" s="217">
        <f>'Reported burning'!E5055</f>
        <v>0</v>
      </c>
      <c r="F5054" s="217">
        <f>'Reported burning'!F5055</f>
        <v>0</v>
      </c>
      <c r="G5054" s="217">
        <f>'Reported burning'!G5055</f>
        <v>0</v>
      </c>
      <c r="H5054" s="217">
        <f>'Reported burning'!H5055</f>
        <v>0</v>
      </c>
    </row>
    <row r="5055" spans="1:8">
      <c r="A5055" s="217">
        <f>'Reported burning'!A5056</f>
        <v>0</v>
      </c>
      <c r="B5055" s="217">
        <f>'Reported burning'!B5056</f>
        <v>0</v>
      </c>
      <c r="C5055" s="217">
        <f>'Reported burning'!C5056</f>
        <v>0</v>
      </c>
      <c r="D5055" s="217">
        <f>'Reported burning'!D5056</f>
        <v>0</v>
      </c>
      <c r="E5055" s="217">
        <f>'Reported burning'!E5056</f>
        <v>0</v>
      </c>
      <c r="F5055" s="217">
        <f>'Reported burning'!F5056</f>
        <v>0</v>
      </c>
      <c r="G5055" s="217">
        <f>'Reported burning'!G5056</f>
        <v>0</v>
      </c>
      <c r="H5055" s="217">
        <f>'Reported burning'!H5056</f>
        <v>0</v>
      </c>
    </row>
    <row r="5056" spans="1:8">
      <c r="A5056" s="217">
        <f>'Reported burning'!A5057</f>
        <v>0</v>
      </c>
      <c r="B5056" s="217">
        <f>'Reported burning'!B5057</f>
        <v>0</v>
      </c>
      <c r="C5056" s="217">
        <f>'Reported burning'!C5057</f>
        <v>0</v>
      </c>
      <c r="D5056" s="217">
        <f>'Reported burning'!D5057</f>
        <v>0</v>
      </c>
      <c r="E5056" s="217">
        <f>'Reported burning'!E5057</f>
        <v>0</v>
      </c>
      <c r="F5056" s="217">
        <f>'Reported burning'!F5057</f>
        <v>0</v>
      </c>
      <c r="G5056" s="217">
        <f>'Reported burning'!G5057</f>
        <v>0</v>
      </c>
      <c r="H5056" s="217">
        <f>'Reported burning'!H5057</f>
        <v>0</v>
      </c>
    </row>
    <row r="5057" spans="1:8">
      <c r="A5057" s="217">
        <f>'Reported burning'!A5058</f>
        <v>0</v>
      </c>
      <c r="B5057" s="217">
        <f>'Reported burning'!B5058</f>
        <v>0</v>
      </c>
      <c r="C5057" s="217">
        <f>'Reported burning'!C5058</f>
        <v>0</v>
      </c>
      <c r="D5057" s="217">
        <f>'Reported burning'!D5058</f>
        <v>0</v>
      </c>
      <c r="E5057" s="217">
        <f>'Reported burning'!E5058</f>
        <v>0</v>
      </c>
      <c r="F5057" s="217">
        <f>'Reported burning'!F5058</f>
        <v>0</v>
      </c>
      <c r="G5057" s="217">
        <f>'Reported burning'!G5058</f>
        <v>0</v>
      </c>
      <c r="H5057" s="217">
        <f>'Reported burning'!H5058</f>
        <v>0</v>
      </c>
    </row>
    <row r="5058" spans="1:8">
      <c r="A5058" s="217">
        <f>'Reported burning'!A5059</f>
        <v>0</v>
      </c>
      <c r="B5058" s="217">
        <f>'Reported burning'!B5059</f>
        <v>0</v>
      </c>
      <c r="C5058" s="217">
        <f>'Reported burning'!C5059</f>
        <v>0</v>
      </c>
      <c r="D5058" s="217">
        <f>'Reported burning'!D5059</f>
        <v>0</v>
      </c>
      <c r="E5058" s="217">
        <f>'Reported burning'!E5059</f>
        <v>0</v>
      </c>
      <c r="F5058" s="217">
        <f>'Reported burning'!F5059</f>
        <v>0</v>
      </c>
      <c r="G5058" s="217">
        <f>'Reported burning'!G5059</f>
        <v>0</v>
      </c>
      <c r="H5058" s="217">
        <f>'Reported burning'!H5059</f>
        <v>0</v>
      </c>
    </row>
    <row r="5059" spans="1:8">
      <c r="A5059" s="217">
        <f>'Reported burning'!A5060</f>
        <v>0</v>
      </c>
      <c r="B5059" s="217">
        <f>'Reported burning'!B5060</f>
        <v>0</v>
      </c>
      <c r="C5059" s="217">
        <f>'Reported burning'!C5060</f>
        <v>0</v>
      </c>
      <c r="D5059" s="217">
        <f>'Reported burning'!D5060</f>
        <v>0</v>
      </c>
      <c r="E5059" s="217">
        <f>'Reported burning'!E5060</f>
        <v>0</v>
      </c>
      <c r="F5059" s="217">
        <f>'Reported burning'!F5060</f>
        <v>0</v>
      </c>
      <c r="G5059" s="217">
        <f>'Reported burning'!G5060</f>
        <v>0</v>
      </c>
      <c r="H5059" s="217">
        <f>'Reported burning'!H5060</f>
        <v>0</v>
      </c>
    </row>
    <row r="5060" spans="1:8">
      <c r="A5060" s="217">
        <f>'Reported burning'!A5061</f>
        <v>0</v>
      </c>
      <c r="B5060" s="217">
        <f>'Reported burning'!B5061</f>
        <v>0</v>
      </c>
      <c r="C5060" s="217">
        <f>'Reported burning'!C5061</f>
        <v>0</v>
      </c>
      <c r="D5060" s="217">
        <f>'Reported burning'!D5061</f>
        <v>0</v>
      </c>
      <c r="E5060" s="217">
        <f>'Reported burning'!E5061</f>
        <v>0</v>
      </c>
      <c r="F5060" s="217">
        <f>'Reported burning'!F5061</f>
        <v>0</v>
      </c>
      <c r="G5060" s="217">
        <f>'Reported burning'!G5061</f>
        <v>0</v>
      </c>
      <c r="H5060" s="217">
        <f>'Reported burning'!H5061</f>
        <v>0</v>
      </c>
    </row>
    <row r="5061" spans="1:8">
      <c r="A5061" s="217">
        <f>'Reported burning'!A5062</f>
        <v>0</v>
      </c>
      <c r="B5061" s="217">
        <f>'Reported burning'!B5062</f>
        <v>0</v>
      </c>
      <c r="C5061" s="217">
        <f>'Reported burning'!C5062</f>
        <v>0</v>
      </c>
      <c r="D5061" s="217">
        <f>'Reported burning'!D5062</f>
        <v>0</v>
      </c>
      <c r="E5061" s="217">
        <f>'Reported burning'!E5062</f>
        <v>0</v>
      </c>
      <c r="F5061" s="217">
        <f>'Reported burning'!F5062</f>
        <v>0</v>
      </c>
      <c r="G5061" s="217">
        <f>'Reported burning'!G5062</f>
        <v>0</v>
      </c>
      <c r="H5061" s="217">
        <f>'Reported burning'!H5062</f>
        <v>0</v>
      </c>
    </row>
    <row r="5062" spans="1:8">
      <c r="A5062" s="217">
        <f>'Reported burning'!A5063</f>
        <v>0</v>
      </c>
      <c r="B5062" s="217">
        <f>'Reported burning'!B5063</f>
        <v>0</v>
      </c>
      <c r="C5062" s="217">
        <f>'Reported burning'!C5063</f>
        <v>0</v>
      </c>
      <c r="D5062" s="217">
        <f>'Reported burning'!D5063</f>
        <v>0</v>
      </c>
      <c r="E5062" s="217">
        <f>'Reported burning'!E5063</f>
        <v>0</v>
      </c>
      <c r="F5062" s="217">
        <f>'Reported burning'!F5063</f>
        <v>0</v>
      </c>
      <c r="G5062" s="217">
        <f>'Reported burning'!G5063</f>
        <v>0</v>
      </c>
      <c r="H5062" s="217">
        <f>'Reported burning'!H5063</f>
        <v>0</v>
      </c>
    </row>
    <row r="5063" spans="1:8">
      <c r="A5063" s="217">
        <f>'Reported burning'!A5064</f>
        <v>0</v>
      </c>
      <c r="B5063" s="217">
        <f>'Reported burning'!B5064</f>
        <v>0</v>
      </c>
      <c r="C5063" s="217">
        <f>'Reported burning'!C5064</f>
        <v>0</v>
      </c>
      <c r="D5063" s="217">
        <f>'Reported burning'!D5064</f>
        <v>0</v>
      </c>
      <c r="E5063" s="217">
        <f>'Reported burning'!E5064</f>
        <v>0</v>
      </c>
      <c r="F5063" s="217">
        <f>'Reported burning'!F5064</f>
        <v>0</v>
      </c>
      <c r="G5063" s="217">
        <f>'Reported burning'!G5064</f>
        <v>0</v>
      </c>
      <c r="H5063" s="217">
        <f>'Reported burning'!H5064</f>
        <v>0</v>
      </c>
    </row>
    <row r="5064" spans="1:8">
      <c r="A5064" s="217">
        <f>'Reported burning'!A5065</f>
        <v>0</v>
      </c>
      <c r="B5064" s="217">
        <f>'Reported burning'!B5065</f>
        <v>0</v>
      </c>
      <c r="C5064" s="217">
        <f>'Reported burning'!C5065</f>
        <v>0</v>
      </c>
      <c r="D5064" s="217">
        <f>'Reported burning'!D5065</f>
        <v>0</v>
      </c>
      <c r="E5064" s="217">
        <f>'Reported burning'!E5065</f>
        <v>0</v>
      </c>
      <c r="F5064" s="217">
        <f>'Reported burning'!F5065</f>
        <v>0</v>
      </c>
      <c r="G5064" s="217">
        <f>'Reported burning'!G5065</f>
        <v>0</v>
      </c>
      <c r="H5064" s="217">
        <f>'Reported burning'!H5065</f>
        <v>0</v>
      </c>
    </row>
    <row r="5065" spans="1:8">
      <c r="A5065" s="217">
        <f>'Reported burning'!A5066</f>
        <v>0</v>
      </c>
      <c r="B5065" s="217">
        <f>'Reported burning'!B5066</f>
        <v>0</v>
      </c>
      <c r="C5065" s="217">
        <f>'Reported burning'!C5066</f>
        <v>0</v>
      </c>
      <c r="D5065" s="217">
        <f>'Reported burning'!D5066</f>
        <v>0</v>
      </c>
      <c r="E5065" s="217">
        <f>'Reported burning'!E5066</f>
        <v>0</v>
      </c>
      <c r="F5065" s="217">
        <f>'Reported burning'!F5066</f>
        <v>0</v>
      </c>
      <c r="G5065" s="217">
        <f>'Reported burning'!G5066</f>
        <v>0</v>
      </c>
      <c r="H5065" s="217">
        <f>'Reported burning'!H5066</f>
        <v>0</v>
      </c>
    </row>
    <row r="5066" spans="1:8">
      <c r="A5066" s="217">
        <f>'Reported burning'!A5067</f>
        <v>0</v>
      </c>
      <c r="B5066" s="217">
        <f>'Reported burning'!B5067</f>
        <v>0</v>
      </c>
      <c r="C5066" s="217">
        <f>'Reported burning'!C5067</f>
        <v>0</v>
      </c>
      <c r="D5066" s="217">
        <f>'Reported burning'!D5067</f>
        <v>0</v>
      </c>
      <c r="E5066" s="217">
        <f>'Reported burning'!E5067</f>
        <v>0</v>
      </c>
      <c r="F5066" s="217">
        <f>'Reported burning'!F5067</f>
        <v>0</v>
      </c>
      <c r="G5066" s="217">
        <f>'Reported burning'!G5067</f>
        <v>0</v>
      </c>
      <c r="H5066" s="217">
        <f>'Reported burning'!H5067</f>
        <v>0</v>
      </c>
    </row>
    <row r="5067" spans="1:8">
      <c r="A5067" s="217">
        <f>'Reported burning'!A5068</f>
        <v>0</v>
      </c>
      <c r="B5067" s="217">
        <f>'Reported burning'!B5068</f>
        <v>0</v>
      </c>
      <c r="C5067" s="217">
        <f>'Reported burning'!C5068</f>
        <v>0</v>
      </c>
      <c r="D5067" s="217">
        <f>'Reported burning'!D5068</f>
        <v>0</v>
      </c>
      <c r="E5067" s="217">
        <f>'Reported burning'!E5068</f>
        <v>0</v>
      </c>
      <c r="F5067" s="217">
        <f>'Reported burning'!F5068</f>
        <v>0</v>
      </c>
      <c r="G5067" s="217">
        <f>'Reported burning'!G5068</f>
        <v>0</v>
      </c>
      <c r="H5067" s="217">
        <f>'Reported burning'!H5068</f>
        <v>0</v>
      </c>
    </row>
    <row r="5068" spans="1:8">
      <c r="A5068" s="217">
        <f>'Reported burning'!A5069</f>
        <v>0</v>
      </c>
      <c r="B5068" s="217">
        <f>'Reported burning'!B5069</f>
        <v>0</v>
      </c>
      <c r="C5068" s="217">
        <f>'Reported burning'!C5069</f>
        <v>0</v>
      </c>
      <c r="D5068" s="217">
        <f>'Reported burning'!D5069</f>
        <v>0</v>
      </c>
      <c r="E5068" s="217">
        <f>'Reported burning'!E5069</f>
        <v>0</v>
      </c>
      <c r="F5068" s="217">
        <f>'Reported burning'!F5069</f>
        <v>0</v>
      </c>
      <c r="G5068" s="217">
        <f>'Reported burning'!G5069</f>
        <v>0</v>
      </c>
      <c r="H5068" s="217">
        <f>'Reported burning'!H5069</f>
        <v>0</v>
      </c>
    </row>
    <row r="5069" spans="1:8">
      <c r="A5069" s="217">
        <f>'Reported burning'!A5070</f>
        <v>0</v>
      </c>
      <c r="B5069" s="217">
        <f>'Reported burning'!B5070</f>
        <v>0</v>
      </c>
      <c r="C5069" s="217">
        <f>'Reported burning'!C5070</f>
        <v>0</v>
      </c>
      <c r="D5069" s="217">
        <f>'Reported burning'!D5070</f>
        <v>0</v>
      </c>
      <c r="E5069" s="217">
        <f>'Reported burning'!E5070</f>
        <v>0</v>
      </c>
      <c r="F5069" s="217">
        <f>'Reported burning'!F5070</f>
        <v>0</v>
      </c>
      <c r="G5069" s="217">
        <f>'Reported burning'!G5070</f>
        <v>0</v>
      </c>
      <c r="H5069" s="217">
        <f>'Reported burning'!H5070</f>
        <v>0</v>
      </c>
    </row>
    <row r="5070" spans="1:8">
      <c r="A5070" s="217">
        <f>'Reported burning'!A5071</f>
        <v>0</v>
      </c>
      <c r="B5070" s="217">
        <f>'Reported burning'!B5071</f>
        <v>0</v>
      </c>
      <c r="C5070" s="217">
        <f>'Reported burning'!C5071</f>
        <v>0</v>
      </c>
      <c r="D5070" s="217">
        <f>'Reported burning'!D5071</f>
        <v>0</v>
      </c>
      <c r="E5070" s="217">
        <f>'Reported burning'!E5071</f>
        <v>0</v>
      </c>
      <c r="F5070" s="217">
        <f>'Reported burning'!F5071</f>
        <v>0</v>
      </c>
      <c r="G5070" s="217">
        <f>'Reported burning'!G5071</f>
        <v>0</v>
      </c>
      <c r="H5070" s="217">
        <f>'Reported burning'!H5071</f>
        <v>0</v>
      </c>
    </row>
    <row r="5071" spans="1:8">
      <c r="A5071" s="217">
        <f>'Reported burning'!A5072</f>
        <v>0</v>
      </c>
      <c r="B5071" s="217">
        <f>'Reported burning'!B5072</f>
        <v>0</v>
      </c>
      <c r="C5071" s="217">
        <f>'Reported burning'!C5072</f>
        <v>0</v>
      </c>
      <c r="D5071" s="217">
        <f>'Reported burning'!D5072</f>
        <v>0</v>
      </c>
      <c r="E5071" s="217">
        <f>'Reported burning'!E5072</f>
        <v>0</v>
      </c>
      <c r="F5071" s="217">
        <f>'Reported burning'!F5072</f>
        <v>0</v>
      </c>
      <c r="G5071" s="217">
        <f>'Reported burning'!G5072</f>
        <v>0</v>
      </c>
      <c r="H5071" s="217">
        <f>'Reported burning'!H5072</f>
        <v>0</v>
      </c>
    </row>
    <row r="5072" spans="1:8">
      <c r="A5072" s="217">
        <f>'Reported burning'!A5073</f>
        <v>0</v>
      </c>
      <c r="B5072" s="217">
        <f>'Reported burning'!B5073</f>
        <v>0</v>
      </c>
      <c r="C5072" s="217">
        <f>'Reported burning'!C5073</f>
        <v>0</v>
      </c>
      <c r="D5072" s="217">
        <f>'Reported burning'!D5073</f>
        <v>0</v>
      </c>
      <c r="E5072" s="217">
        <f>'Reported burning'!E5073</f>
        <v>0</v>
      </c>
      <c r="F5072" s="217">
        <f>'Reported burning'!F5073</f>
        <v>0</v>
      </c>
      <c r="G5072" s="217">
        <f>'Reported burning'!G5073</f>
        <v>0</v>
      </c>
      <c r="H5072" s="217">
        <f>'Reported burning'!H5073</f>
        <v>0</v>
      </c>
    </row>
    <row r="5073" spans="1:8">
      <c r="A5073" s="217">
        <f>'Reported burning'!A5074</f>
        <v>0</v>
      </c>
      <c r="B5073" s="217">
        <f>'Reported burning'!B5074</f>
        <v>0</v>
      </c>
      <c r="C5073" s="217">
        <f>'Reported burning'!C5074</f>
        <v>0</v>
      </c>
      <c r="D5073" s="217">
        <f>'Reported burning'!D5074</f>
        <v>0</v>
      </c>
      <c r="E5073" s="217">
        <f>'Reported burning'!E5074</f>
        <v>0</v>
      </c>
      <c r="F5073" s="217">
        <f>'Reported burning'!F5074</f>
        <v>0</v>
      </c>
      <c r="G5073" s="217">
        <f>'Reported burning'!G5074</f>
        <v>0</v>
      </c>
      <c r="H5073" s="217">
        <f>'Reported burning'!H5074</f>
        <v>0</v>
      </c>
    </row>
    <row r="5074" spans="1:8">
      <c r="A5074" s="217">
        <f>'Reported burning'!A5075</f>
        <v>0</v>
      </c>
      <c r="B5074" s="217">
        <f>'Reported burning'!B5075</f>
        <v>0</v>
      </c>
      <c r="C5074" s="217">
        <f>'Reported burning'!C5075</f>
        <v>0</v>
      </c>
      <c r="D5074" s="217">
        <f>'Reported burning'!D5075</f>
        <v>0</v>
      </c>
      <c r="E5074" s="217">
        <f>'Reported burning'!E5075</f>
        <v>0</v>
      </c>
      <c r="F5074" s="217">
        <f>'Reported burning'!F5075</f>
        <v>0</v>
      </c>
      <c r="G5074" s="217">
        <f>'Reported burning'!G5075</f>
        <v>0</v>
      </c>
      <c r="H5074" s="217">
        <f>'Reported burning'!H5075</f>
        <v>0</v>
      </c>
    </row>
    <row r="5075" spans="1:8">
      <c r="A5075" s="217">
        <f>'Reported burning'!A5076</f>
        <v>0</v>
      </c>
      <c r="B5075" s="217">
        <f>'Reported burning'!B5076</f>
        <v>0</v>
      </c>
      <c r="C5075" s="217">
        <f>'Reported burning'!C5076</f>
        <v>0</v>
      </c>
      <c r="D5075" s="217">
        <f>'Reported burning'!D5076</f>
        <v>0</v>
      </c>
      <c r="E5075" s="217">
        <f>'Reported burning'!E5076</f>
        <v>0</v>
      </c>
      <c r="F5075" s="217">
        <f>'Reported burning'!F5076</f>
        <v>0</v>
      </c>
      <c r="G5075" s="217">
        <f>'Reported burning'!G5076</f>
        <v>0</v>
      </c>
      <c r="H5075" s="217">
        <f>'Reported burning'!H5076</f>
        <v>0</v>
      </c>
    </row>
    <row r="5076" spans="1:8">
      <c r="A5076" s="217">
        <f>'Reported burning'!A5077</f>
        <v>0</v>
      </c>
      <c r="B5076" s="217">
        <f>'Reported burning'!B5077</f>
        <v>0</v>
      </c>
      <c r="C5076" s="217">
        <f>'Reported burning'!C5077</f>
        <v>0</v>
      </c>
      <c r="D5076" s="217">
        <f>'Reported burning'!D5077</f>
        <v>0</v>
      </c>
      <c r="E5076" s="217">
        <f>'Reported burning'!E5077</f>
        <v>0</v>
      </c>
      <c r="F5076" s="217">
        <f>'Reported burning'!F5077</f>
        <v>0</v>
      </c>
      <c r="G5076" s="217">
        <f>'Reported burning'!G5077</f>
        <v>0</v>
      </c>
      <c r="H5076" s="217">
        <f>'Reported burning'!H5077</f>
        <v>0</v>
      </c>
    </row>
    <row r="5077" spans="1:8">
      <c r="A5077" s="217">
        <f>'Reported burning'!A5078</f>
        <v>0</v>
      </c>
      <c r="B5077" s="217">
        <f>'Reported burning'!B5078</f>
        <v>0</v>
      </c>
      <c r="C5077" s="217">
        <f>'Reported burning'!C5078</f>
        <v>0</v>
      </c>
      <c r="D5077" s="217">
        <f>'Reported burning'!D5078</f>
        <v>0</v>
      </c>
      <c r="E5077" s="217">
        <f>'Reported burning'!E5078</f>
        <v>0</v>
      </c>
      <c r="F5077" s="217">
        <f>'Reported burning'!F5078</f>
        <v>0</v>
      </c>
      <c r="G5077" s="217">
        <f>'Reported burning'!G5078</f>
        <v>0</v>
      </c>
      <c r="H5077" s="217">
        <f>'Reported burning'!H5078</f>
        <v>0</v>
      </c>
    </row>
    <row r="5078" spans="1:8">
      <c r="A5078" s="217">
        <f>'Reported burning'!A5079</f>
        <v>0</v>
      </c>
      <c r="B5078" s="217">
        <f>'Reported burning'!B5079</f>
        <v>0</v>
      </c>
      <c r="C5078" s="217">
        <f>'Reported burning'!C5079</f>
        <v>0</v>
      </c>
      <c r="D5078" s="217">
        <f>'Reported burning'!D5079</f>
        <v>0</v>
      </c>
      <c r="E5078" s="217">
        <f>'Reported burning'!E5079</f>
        <v>0</v>
      </c>
      <c r="F5078" s="217">
        <f>'Reported burning'!F5079</f>
        <v>0</v>
      </c>
      <c r="G5078" s="217">
        <f>'Reported burning'!G5079</f>
        <v>0</v>
      </c>
      <c r="H5078" s="217">
        <f>'Reported burning'!H5079</f>
        <v>0</v>
      </c>
    </row>
    <row r="5079" spans="1:8">
      <c r="A5079" s="217">
        <f>'Reported burning'!A5080</f>
        <v>0</v>
      </c>
      <c r="B5079" s="217">
        <f>'Reported burning'!B5080</f>
        <v>0</v>
      </c>
      <c r="C5079" s="217">
        <f>'Reported burning'!C5080</f>
        <v>0</v>
      </c>
      <c r="D5079" s="217">
        <f>'Reported burning'!D5080</f>
        <v>0</v>
      </c>
      <c r="E5079" s="217">
        <f>'Reported burning'!E5080</f>
        <v>0</v>
      </c>
      <c r="F5079" s="217">
        <f>'Reported burning'!F5080</f>
        <v>0</v>
      </c>
      <c r="G5079" s="217">
        <f>'Reported burning'!G5080</f>
        <v>0</v>
      </c>
      <c r="H5079" s="217">
        <f>'Reported burning'!H5080</f>
        <v>0</v>
      </c>
    </row>
    <row r="5080" spans="1:8">
      <c r="A5080" s="217">
        <f>'Reported burning'!A5081</f>
        <v>0</v>
      </c>
      <c r="B5080" s="217">
        <f>'Reported burning'!B5081</f>
        <v>0</v>
      </c>
      <c r="C5080" s="217">
        <f>'Reported burning'!C5081</f>
        <v>0</v>
      </c>
      <c r="D5080" s="217">
        <f>'Reported burning'!D5081</f>
        <v>0</v>
      </c>
      <c r="E5080" s="217">
        <f>'Reported burning'!E5081</f>
        <v>0</v>
      </c>
      <c r="F5080" s="217">
        <f>'Reported burning'!F5081</f>
        <v>0</v>
      </c>
      <c r="G5080" s="217">
        <f>'Reported burning'!G5081</f>
        <v>0</v>
      </c>
      <c r="H5080" s="217">
        <f>'Reported burning'!H5081</f>
        <v>0</v>
      </c>
    </row>
    <row r="5081" spans="1:8">
      <c r="A5081" s="217">
        <f>'Reported burning'!A5082</f>
        <v>0</v>
      </c>
      <c r="B5081" s="217">
        <f>'Reported burning'!B5082</f>
        <v>0</v>
      </c>
      <c r="C5081" s="217">
        <f>'Reported burning'!C5082</f>
        <v>0</v>
      </c>
      <c r="D5081" s="217">
        <f>'Reported burning'!D5082</f>
        <v>0</v>
      </c>
      <c r="E5081" s="217">
        <f>'Reported burning'!E5082</f>
        <v>0</v>
      </c>
      <c r="F5081" s="217">
        <f>'Reported burning'!F5082</f>
        <v>0</v>
      </c>
      <c r="G5081" s="217">
        <f>'Reported burning'!G5082</f>
        <v>0</v>
      </c>
      <c r="H5081" s="217">
        <f>'Reported burning'!H5082</f>
        <v>0</v>
      </c>
    </row>
    <row r="5082" spans="1:8">
      <c r="A5082" s="217">
        <f>'Reported burning'!A5083</f>
        <v>0</v>
      </c>
      <c r="B5082" s="217">
        <f>'Reported burning'!B5083</f>
        <v>0</v>
      </c>
      <c r="C5082" s="217">
        <f>'Reported burning'!C5083</f>
        <v>0</v>
      </c>
      <c r="D5082" s="217">
        <f>'Reported burning'!D5083</f>
        <v>0</v>
      </c>
      <c r="E5082" s="217">
        <f>'Reported burning'!E5083</f>
        <v>0</v>
      </c>
      <c r="F5082" s="217">
        <f>'Reported burning'!F5083</f>
        <v>0</v>
      </c>
      <c r="G5082" s="217">
        <f>'Reported burning'!G5083</f>
        <v>0</v>
      </c>
      <c r="H5082" s="217">
        <f>'Reported burning'!H5083</f>
        <v>0</v>
      </c>
    </row>
    <row r="5083" spans="1:8">
      <c r="A5083" s="217">
        <f>'Reported burning'!A5084</f>
        <v>0</v>
      </c>
      <c r="B5083" s="217">
        <f>'Reported burning'!B5084</f>
        <v>0</v>
      </c>
      <c r="C5083" s="217">
        <f>'Reported burning'!C5084</f>
        <v>0</v>
      </c>
      <c r="D5083" s="217">
        <f>'Reported burning'!D5084</f>
        <v>0</v>
      </c>
      <c r="E5083" s="217">
        <f>'Reported burning'!E5084</f>
        <v>0</v>
      </c>
      <c r="F5083" s="217">
        <f>'Reported burning'!F5084</f>
        <v>0</v>
      </c>
      <c r="G5083" s="217">
        <f>'Reported burning'!G5084</f>
        <v>0</v>
      </c>
      <c r="H5083" s="217">
        <f>'Reported burning'!H5084</f>
        <v>0</v>
      </c>
    </row>
    <row r="5084" spans="1:8">
      <c r="A5084" s="217">
        <f>'Reported burning'!A5085</f>
        <v>0</v>
      </c>
      <c r="B5084" s="217">
        <f>'Reported burning'!B5085</f>
        <v>0</v>
      </c>
      <c r="C5084" s="217">
        <f>'Reported burning'!C5085</f>
        <v>0</v>
      </c>
      <c r="D5084" s="217">
        <f>'Reported burning'!D5085</f>
        <v>0</v>
      </c>
      <c r="E5084" s="217">
        <f>'Reported burning'!E5085</f>
        <v>0</v>
      </c>
      <c r="F5084" s="217">
        <f>'Reported burning'!F5085</f>
        <v>0</v>
      </c>
      <c r="G5084" s="217">
        <f>'Reported burning'!G5085</f>
        <v>0</v>
      </c>
      <c r="H5084" s="217">
        <f>'Reported burning'!H5085</f>
        <v>0</v>
      </c>
    </row>
    <row r="5085" spans="1:8">
      <c r="A5085" s="217">
        <f>'Reported burning'!A5086</f>
        <v>0</v>
      </c>
      <c r="B5085" s="217">
        <f>'Reported burning'!B5086</f>
        <v>0</v>
      </c>
      <c r="C5085" s="217">
        <f>'Reported burning'!C5086</f>
        <v>0</v>
      </c>
      <c r="D5085" s="217">
        <f>'Reported burning'!D5086</f>
        <v>0</v>
      </c>
      <c r="E5085" s="217">
        <f>'Reported burning'!E5086</f>
        <v>0</v>
      </c>
      <c r="F5085" s="217">
        <f>'Reported burning'!F5086</f>
        <v>0</v>
      </c>
      <c r="G5085" s="217">
        <f>'Reported burning'!G5086</f>
        <v>0</v>
      </c>
      <c r="H5085" s="217">
        <f>'Reported burning'!H5086</f>
        <v>0</v>
      </c>
    </row>
    <row r="5086" spans="1:8">
      <c r="A5086" s="217">
        <f>'Reported burning'!A5087</f>
        <v>0</v>
      </c>
      <c r="B5086" s="217">
        <f>'Reported burning'!B5087</f>
        <v>0</v>
      </c>
      <c r="C5086" s="217">
        <f>'Reported burning'!C5087</f>
        <v>0</v>
      </c>
      <c r="D5086" s="217">
        <f>'Reported burning'!D5087</f>
        <v>0</v>
      </c>
      <c r="E5086" s="217">
        <f>'Reported burning'!E5087</f>
        <v>0</v>
      </c>
      <c r="F5086" s="217">
        <f>'Reported burning'!F5087</f>
        <v>0</v>
      </c>
      <c r="G5086" s="217">
        <f>'Reported burning'!G5087</f>
        <v>0</v>
      </c>
      <c r="H5086" s="217">
        <f>'Reported burning'!H5087</f>
        <v>0</v>
      </c>
    </row>
    <row r="5087" spans="1:8">
      <c r="A5087" s="217">
        <f>'Reported burning'!A5088</f>
        <v>0</v>
      </c>
      <c r="B5087" s="217">
        <f>'Reported burning'!B5088</f>
        <v>0</v>
      </c>
      <c r="C5087" s="217">
        <f>'Reported burning'!C5088</f>
        <v>0</v>
      </c>
      <c r="D5087" s="217">
        <f>'Reported burning'!D5088</f>
        <v>0</v>
      </c>
      <c r="E5087" s="217">
        <f>'Reported burning'!E5088</f>
        <v>0</v>
      </c>
      <c r="F5087" s="217">
        <f>'Reported burning'!F5088</f>
        <v>0</v>
      </c>
      <c r="G5087" s="217">
        <f>'Reported burning'!G5088</f>
        <v>0</v>
      </c>
      <c r="H5087" s="217">
        <f>'Reported burning'!H5088</f>
        <v>0</v>
      </c>
    </row>
    <row r="5088" spans="1:8">
      <c r="A5088" s="217">
        <f>'Reported burning'!A5089</f>
        <v>0</v>
      </c>
      <c r="B5088" s="217">
        <f>'Reported burning'!B5089</f>
        <v>0</v>
      </c>
      <c r="C5088" s="217">
        <f>'Reported burning'!C5089</f>
        <v>0</v>
      </c>
      <c r="D5088" s="217">
        <f>'Reported burning'!D5089</f>
        <v>0</v>
      </c>
      <c r="E5088" s="217">
        <f>'Reported burning'!E5089</f>
        <v>0</v>
      </c>
      <c r="F5088" s="217">
        <f>'Reported burning'!F5089</f>
        <v>0</v>
      </c>
      <c r="G5088" s="217">
        <f>'Reported burning'!G5089</f>
        <v>0</v>
      </c>
      <c r="H5088" s="217">
        <f>'Reported burning'!H5089</f>
        <v>0</v>
      </c>
    </row>
    <row r="5089" spans="1:8">
      <c r="A5089" s="217">
        <f>'Reported burning'!A5090</f>
        <v>0</v>
      </c>
      <c r="B5089" s="217">
        <f>'Reported burning'!B5090</f>
        <v>0</v>
      </c>
      <c r="C5089" s="217">
        <f>'Reported burning'!C5090</f>
        <v>0</v>
      </c>
      <c r="D5089" s="217">
        <f>'Reported burning'!D5090</f>
        <v>0</v>
      </c>
      <c r="E5089" s="217">
        <f>'Reported burning'!E5090</f>
        <v>0</v>
      </c>
      <c r="F5089" s="217">
        <f>'Reported burning'!F5090</f>
        <v>0</v>
      </c>
      <c r="G5089" s="217">
        <f>'Reported burning'!G5090</f>
        <v>0</v>
      </c>
      <c r="H5089" s="217">
        <f>'Reported burning'!H5090</f>
        <v>0</v>
      </c>
    </row>
    <row r="5090" spans="1:8">
      <c r="A5090" s="217">
        <f>'Reported burning'!A5091</f>
        <v>0</v>
      </c>
      <c r="B5090" s="217">
        <f>'Reported burning'!B5091</f>
        <v>0</v>
      </c>
      <c r="C5090" s="217">
        <f>'Reported burning'!C5091</f>
        <v>0</v>
      </c>
      <c r="D5090" s="217">
        <f>'Reported burning'!D5091</f>
        <v>0</v>
      </c>
      <c r="E5090" s="217">
        <f>'Reported burning'!E5091</f>
        <v>0</v>
      </c>
      <c r="F5090" s="217">
        <f>'Reported burning'!F5091</f>
        <v>0</v>
      </c>
      <c r="G5090" s="217">
        <f>'Reported burning'!G5091</f>
        <v>0</v>
      </c>
      <c r="H5090" s="217">
        <f>'Reported burning'!H5091</f>
        <v>0</v>
      </c>
    </row>
    <row r="5091" spans="1:8">
      <c r="A5091" s="217">
        <f>'Reported burning'!A5092</f>
        <v>0</v>
      </c>
      <c r="B5091" s="217">
        <f>'Reported burning'!B5092</f>
        <v>0</v>
      </c>
      <c r="C5091" s="217">
        <f>'Reported burning'!C5092</f>
        <v>0</v>
      </c>
      <c r="D5091" s="217">
        <f>'Reported burning'!D5092</f>
        <v>0</v>
      </c>
      <c r="E5091" s="217">
        <f>'Reported burning'!E5092</f>
        <v>0</v>
      </c>
      <c r="F5091" s="217">
        <f>'Reported burning'!F5092</f>
        <v>0</v>
      </c>
      <c r="G5091" s="217">
        <f>'Reported burning'!G5092</f>
        <v>0</v>
      </c>
      <c r="H5091" s="217">
        <f>'Reported burning'!H5092</f>
        <v>0</v>
      </c>
    </row>
    <row r="5092" spans="1:8">
      <c r="A5092" s="217">
        <f>'Reported burning'!A5093</f>
        <v>0</v>
      </c>
      <c r="B5092" s="217">
        <f>'Reported burning'!B5093</f>
        <v>0</v>
      </c>
      <c r="C5092" s="217">
        <f>'Reported burning'!C5093</f>
        <v>0</v>
      </c>
      <c r="D5092" s="217">
        <f>'Reported burning'!D5093</f>
        <v>0</v>
      </c>
      <c r="E5092" s="217">
        <f>'Reported burning'!E5093</f>
        <v>0</v>
      </c>
      <c r="F5092" s="217">
        <f>'Reported burning'!F5093</f>
        <v>0</v>
      </c>
      <c r="G5092" s="217">
        <f>'Reported burning'!G5093</f>
        <v>0</v>
      </c>
      <c r="H5092" s="217">
        <f>'Reported burning'!H5093</f>
        <v>0</v>
      </c>
    </row>
    <row r="5093" spans="1:8">
      <c r="A5093" s="217">
        <f>'Reported burning'!A5094</f>
        <v>0</v>
      </c>
      <c r="B5093" s="217">
        <f>'Reported burning'!B5094</f>
        <v>0</v>
      </c>
      <c r="C5093" s="217">
        <f>'Reported burning'!C5094</f>
        <v>0</v>
      </c>
      <c r="D5093" s="217">
        <f>'Reported burning'!D5094</f>
        <v>0</v>
      </c>
      <c r="E5093" s="217">
        <f>'Reported burning'!E5094</f>
        <v>0</v>
      </c>
      <c r="F5093" s="217">
        <f>'Reported burning'!F5094</f>
        <v>0</v>
      </c>
      <c r="G5093" s="217">
        <f>'Reported burning'!G5094</f>
        <v>0</v>
      </c>
      <c r="H5093" s="217">
        <f>'Reported burning'!H5094</f>
        <v>0</v>
      </c>
    </row>
    <row r="5094" spans="1:8">
      <c r="A5094" s="217">
        <f>'Reported burning'!A5095</f>
        <v>0</v>
      </c>
      <c r="B5094" s="217">
        <f>'Reported burning'!B5095</f>
        <v>0</v>
      </c>
      <c r="C5094" s="217">
        <f>'Reported burning'!C5095</f>
        <v>0</v>
      </c>
      <c r="D5094" s="217">
        <f>'Reported burning'!D5095</f>
        <v>0</v>
      </c>
      <c r="E5094" s="217">
        <f>'Reported burning'!E5095</f>
        <v>0</v>
      </c>
      <c r="F5094" s="217">
        <f>'Reported burning'!F5095</f>
        <v>0</v>
      </c>
      <c r="G5094" s="217">
        <f>'Reported burning'!G5095</f>
        <v>0</v>
      </c>
      <c r="H5094" s="217">
        <f>'Reported burning'!H5095</f>
        <v>0</v>
      </c>
    </row>
    <row r="5095" spans="1:8">
      <c r="A5095" s="217">
        <f>'Reported burning'!A5096</f>
        <v>0</v>
      </c>
      <c r="B5095" s="217">
        <f>'Reported burning'!B5096</f>
        <v>0</v>
      </c>
      <c r="C5095" s="217">
        <f>'Reported burning'!C5096</f>
        <v>0</v>
      </c>
      <c r="D5095" s="217">
        <f>'Reported burning'!D5096</f>
        <v>0</v>
      </c>
      <c r="E5095" s="217">
        <f>'Reported burning'!E5096</f>
        <v>0</v>
      </c>
      <c r="F5095" s="217">
        <f>'Reported burning'!F5096</f>
        <v>0</v>
      </c>
      <c r="G5095" s="217">
        <f>'Reported burning'!G5096</f>
        <v>0</v>
      </c>
      <c r="H5095" s="217">
        <f>'Reported burning'!H5096</f>
        <v>0</v>
      </c>
    </row>
    <row r="5096" spans="1:8">
      <c r="A5096" s="217">
        <f>'Reported burning'!A5097</f>
        <v>0</v>
      </c>
      <c r="B5096" s="217">
        <f>'Reported burning'!B5097</f>
        <v>0</v>
      </c>
      <c r="C5096" s="217">
        <f>'Reported burning'!C5097</f>
        <v>0</v>
      </c>
      <c r="D5096" s="217">
        <f>'Reported burning'!D5097</f>
        <v>0</v>
      </c>
      <c r="E5096" s="217">
        <f>'Reported burning'!E5097</f>
        <v>0</v>
      </c>
      <c r="F5096" s="217">
        <f>'Reported burning'!F5097</f>
        <v>0</v>
      </c>
      <c r="G5096" s="217">
        <f>'Reported burning'!G5097</f>
        <v>0</v>
      </c>
      <c r="H5096" s="217">
        <f>'Reported burning'!H5097</f>
        <v>0</v>
      </c>
    </row>
    <row r="5097" spans="1:8">
      <c r="A5097" s="217">
        <f>'Reported burning'!A5098</f>
        <v>0</v>
      </c>
      <c r="B5097" s="217">
        <f>'Reported burning'!B5098</f>
        <v>0</v>
      </c>
      <c r="C5097" s="217">
        <f>'Reported burning'!C5098</f>
        <v>0</v>
      </c>
      <c r="D5097" s="217">
        <f>'Reported burning'!D5098</f>
        <v>0</v>
      </c>
      <c r="E5097" s="217">
        <f>'Reported burning'!E5098</f>
        <v>0</v>
      </c>
      <c r="F5097" s="217">
        <f>'Reported burning'!F5098</f>
        <v>0</v>
      </c>
      <c r="G5097" s="217">
        <f>'Reported burning'!G5098</f>
        <v>0</v>
      </c>
      <c r="H5097" s="217">
        <f>'Reported burning'!H5098</f>
        <v>0</v>
      </c>
    </row>
    <row r="5098" spans="1:8">
      <c r="A5098" s="217">
        <f>'Reported burning'!A5099</f>
        <v>0</v>
      </c>
      <c r="B5098" s="217">
        <f>'Reported burning'!B5099</f>
        <v>0</v>
      </c>
      <c r="C5098" s="217">
        <f>'Reported burning'!C5099</f>
        <v>0</v>
      </c>
      <c r="D5098" s="217">
        <f>'Reported burning'!D5099</f>
        <v>0</v>
      </c>
      <c r="E5098" s="217">
        <f>'Reported burning'!E5099</f>
        <v>0</v>
      </c>
      <c r="F5098" s="217">
        <f>'Reported burning'!F5099</f>
        <v>0</v>
      </c>
      <c r="G5098" s="217">
        <f>'Reported burning'!G5099</f>
        <v>0</v>
      </c>
      <c r="H5098" s="217">
        <f>'Reported burning'!H5099</f>
        <v>0</v>
      </c>
    </row>
    <row r="5099" spans="1:8">
      <c r="A5099" s="217">
        <f>'Reported burning'!A5100</f>
        <v>0</v>
      </c>
      <c r="B5099" s="217">
        <f>'Reported burning'!B5100</f>
        <v>0</v>
      </c>
      <c r="C5099" s="217">
        <f>'Reported burning'!C5100</f>
        <v>0</v>
      </c>
      <c r="D5099" s="217">
        <f>'Reported burning'!D5100</f>
        <v>0</v>
      </c>
      <c r="E5099" s="217">
        <f>'Reported burning'!E5100</f>
        <v>0</v>
      </c>
      <c r="F5099" s="217">
        <f>'Reported burning'!F5100</f>
        <v>0</v>
      </c>
      <c r="G5099" s="217">
        <f>'Reported burning'!G5100</f>
        <v>0</v>
      </c>
      <c r="H5099" s="217">
        <f>'Reported burning'!H5100</f>
        <v>0</v>
      </c>
    </row>
    <row r="5100" spans="1:8">
      <c r="A5100" s="217">
        <f>'Reported burning'!A5101</f>
        <v>0</v>
      </c>
      <c r="B5100" s="217">
        <f>'Reported burning'!B5101</f>
        <v>0</v>
      </c>
      <c r="C5100" s="217">
        <f>'Reported burning'!C5101</f>
        <v>0</v>
      </c>
      <c r="D5100" s="217">
        <f>'Reported burning'!D5101</f>
        <v>0</v>
      </c>
      <c r="E5100" s="217">
        <f>'Reported burning'!E5101</f>
        <v>0</v>
      </c>
      <c r="F5100" s="217">
        <f>'Reported burning'!F5101</f>
        <v>0</v>
      </c>
      <c r="G5100" s="217">
        <f>'Reported burning'!G5101</f>
        <v>0</v>
      </c>
      <c r="H5100" s="217">
        <f>'Reported burning'!H5101</f>
        <v>0</v>
      </c>
    </row>
    <row r="5101" spans="1:8">
      <c r="A5101" s="217">
        <f>'Reported burning'!A5102</f>
        <v>0</v>
      </c>
      <c r="B5101" s="217">
        <f>'Reported burning'!B5102</f>
        <v>0</v>
      </c>
      <c r="C5101" s="217">
        <f>'Reported burning'!C5102</f>
        <v>0</v>
      </c>
      <c r="D5101" s="217">
        <f>'Reported burning'!D5102</f>
        <v>0</v>
      </c>
      <c r="E5101" s="217">
        <f>'Reported burning'!E5102</f>
        <v>0</v>
      </c>
      <c r="F5101" s="217">
        <f>'Reported burning'!F5102</f>
        <v>0</v>
      </c>
      <c r="G5101" s="217">
        <f>'Reported burning'!G5102</f>
        <v>0</v>
      </c>
      <c r="H5101" s="217">
        <f>'Reported burning'!H5102</f>
        <v>0</v>
      </c>
    </row>
    <row r="5102" spans="1:8">
      <c r="A5102" s="217">
        <f>'Reported burning'!A5103</f>
        <v>0</v>
      </c>
      <c r="B5102" s="217">
        <f>'Reported burning'!B5103</f>
        <v>0</v>
      </c>
      <c r="C5102" s="217">
        <f>'Reported burning'!C5103</f>
        <v>0</v>
      </c>
      <c r="D5102" s="217">
        <f>'Reported burning'!D5103</f>
        <v>0</v>
      </c>
      <c r="E5102" s="217">
        <f>'Reported burning'!E5103</f>
        <v>0</v>
      </c>
      <c r="F5102" s="217">
        <f>'Reported burning'!F5103</f>
        <v>0</v>
      </c>
      <c r="G5102" s="217">
        <f>'Reported burning'!G5103</f>
        <v>0</v>
      </c>
      <c r="H5102" s="217">
        <f>'Reported burning'!H5103</f>
        <v>0</v>
      </c>
    </row>
    <row r="5103" spans="1:8">
      <c r="A5103" s="217">
        <f>'Reported burning'!A5104</f>
        <v>0</v>
      </c>
      <c r="B5103" s="217">
        <f>'Reported burning'!B5104</f>
        <v>0</v>
      </c>
      <c r="C5103" s="217">
        <f>'Reported burning'!C5104</f>
        <v>0</v>
      </c>
      <c r="D5103" s="217">
        <f>'Reported burning'!D5104</f>
        <v>0</v>
      </c>
      <c r="E5103" s="217">
        <f>'Reported burning'!E5104</f>
        <v>0</v>
      </c>
      <c r="F5103" s="217">
        <f>'Reported burning'!F5104</f>
        <v>0</v>
      </c>
      <c r="G5103" s="217">
        <f>'Reported burning'!G5104</f>
        <v>0</v>
      </c>
      <c r="H5103" s="217">
        <f>'Reported burning'!H5104</f>
        <v>0</v>
      </c>
    </row>
    <row r="5104" spans="1:8">
      <c r="A5104" s="217">
        <f>'Reported burning'!A5105</f>
        <v>0</v>
      </c>
      <c r="B5104" s="217">
        <f>'Reported burning'!B5105</f>
        <v>0</v>
      </c>
      <c r="C5104" s="217">
        <f>'Reported burning'!C5105</f>
        <v>0</v>
      </c>
      <c r="D5104" s="217">
        <f>'Reported burning'!D5105</f>
        <v>0</v>
      </c>
      <c r="E5104" s="217">
        <f>'Reported burning'!E5105</f>
        <v>0</v>
      </c>
      <c r="F5104" s="217">
        <f>'Reported burning'!F5105</f>
        <v>0</v>
      </c>
      <c r="G5104" s="217">
        <f>'Reported burning'!G5105</f>
        <v>0</v>
      </c>
      <c r="H5104" s="217">
        <f>'Reported burning'!H5105</f>
        <v>0</v>
      </c>
    </row>
    <row r="5105" spans="1:8">
      <c r="A5105" s="217">
        <f>'Reported burning'!A5106</f>
        <v>0</v>
      </c>
      <c r="B5105" s="217">
        <f>'Reported burning'!B5106</f>
        <v>0</v>
      </c>
      <c r="C5105" s="217">
        <f>'Reported burning'!C5106</f>
        <v>0</v>
      </c>
      <c r="D5105" s="217">
        <f>'Reported burning'!D5106</f>
        <v>0</v>
      </c>
      <c r="E5105" s="217">
        <f>'Reported burning'!E5106</f>
        <v>0</v>
      </c>
      <c r="F5105" s="217">
        <f>'Reported burning'!F5106</f>
        <v>0</v>
      </c>
      <c r="G5105" s="217">
        <f>'Reported burning'!G5106</f>
        <v>0</v>
      </c>
      <c r="H5105" s="217">
        <f>'Reported burning'!H5106</f>
        <v>0</v>
      </c>
    </row>
    <row r="5106" spans="1:8">
      <c r="A5106" s="217">
        <f>'Reported burning'!A5107</f>
        <v>0</v>
      </c>
      <c r="B5106" s="217">
        <f>'Reported burning'!B5107</f>
        <v>0</v>
      </c>
      <c r="C5106" s="217">
        <f>'Reported burning'!C5107</f>
        <v>0</v>
      </c>
      <c r="D5106" s="217">
        <f>'Reported burning'!D5107</f>
        <v>0</v>
      </c>
      <c r="E5106" s="217">
        <f>'Reported burning'!E5107</f>
        <v>0</v>
      </c>
      <c r="F5106" s="217">
        <f>'Reported burning'!F5107</f>
        <v>0</v>
      </c>
      <c r="G5106" s="217">
        <f>'Reported burning'!G5107</f>
        <v>0</v>
      </c>
      <c r="H5106" s="217">
        <f>'Reported burning'!H5107</f>
        <v>0</v>
      </c>
    </row>
    <row r="5107" spans="1:8">
      <c r="A5107" s="217">
        <f>'Reported burning'!A5108</f>
        <v>0</v>
      </c>
      <c r="B5107" s="217">
        <f>'Reported burning'!B5108</f>
        <v>0</v>
      </c>
      <c r="C5107" s="217">
        <f>'Reported burning'!C5108</f>
        <v>0</v>
      </c>
      <c r="D5107" s="217">
        <f>'Reported burning'!D5108</f>
        <v>0</v>
      </c>
      <c r="E5107" s="217">
        <f>'Reported burning'!E5108</f>
        <v>0</v>
      </c>
      <c r="F5107" s="217">
        <f>'Reported burning'!F5108</f>
        <v>0</v>
      </c>
      <c r="G5107" s="217">
        <f>'Reported burning'!G5108</f>
        <v>0</v>
      </c>
      <c r="H5107" s="217">
        <f>'Reported burning'!H5108</f>
        <v>0</v>
      </c>
    </row>
    <row r="5108" spans="1:8">
      <c r="A5108" s="217">
        <f>'Reported burning'!A5109</f>
        <v>0</v>
      </c>
      <c r="B5108" s="217">
        <f>'Reported burning'!B5109</f>
        <v>0</v>
      </c>
      <c r="C5108" s="217">
        <f>'Reported burning'!C5109</f>
        <v>0</v>
      </c>
      <c r="D5108" s="217">
        <f>'Reported burning'!D5109</f>
        <v>0</v>
      </c>
      <c r="E5108" s="217">
        <f>'Reported burning'!E5109</f>
        <v>0</v>
      </c>
      <c r="F5108" s="217">
        <f>'Reported burning'!F5109</f>
        <v>0</v>
      </c>
      <c r="G5108" s="217">
        <f>'Reported burning'!G5109</f>
        <v>0</v>
      </c>
      <c r="H5108" s="217">
        <f>'Reported burning'!H5109</f>
        <v>0</v>
      </c>
    </row>
    <row r="5109" spans="1:8">
      <c r="A5109" s="217">
        <f>'Reported burning'!A5110</f>
        <v>0</v>
      </c>
      <c r="B5109" s="217">
        <f>'Reported burning'!B5110</f>
        <v>0</v>
      </c>
      <c r="C5109" s="217">
        <f>'Reported burning'!C5110</f>
        <v>0</v>
      </c>
      <c r="D5109" s="217">
        <f>'Reported burning'!D5110</f>
        <v>0</v>
      </c>
      <c r="E5109" s="217">
        <f>'Reported burning'!E5110</f>
        <v>0</v>
      </c>
      <c r="F5109" s="217">
        <f>'Reported burning'!F5110</f>
        <v>0</v>
      </c>
      <c r="G5109" s="217">
        <f>'Reported burning'!G5110</f>
        <v>0</v>
      </c>
      <c r="H5109" s="217">
        <f>'Reported burning'!H5110</f>
        <v>0</v>
      </c>
    </row>
    <row r="5110" spans="1:8">
      <c r="A5110" s="217">
        <f>'Reported burning'!A5111</f>
        <v>0</v>
      </c>
      <c r="B5110" s="217">
        <f>'Reported burning'!B5111</f>
        <v>0</v>
      </c>
      <c r="C5110" s="217">
        <f>'Reported burning'!C5111</f>
        <v>0</v>
      </c>
      <c r="D5110" s="217">
        <f>'Reported burning'!D5111</f>
        <v>0</v>
      </c>
      <c r="E5110" s="217">
        <f>'Reported burning'!E5111</f>
        <v>0</v>
      </c>
      <c r="F5110" s="217">
        <f>'Reported burning'!F5111</f>
        <v>0</v>
      </c>
      <c r="G5110" s="217">
        <f>'Reported burning'!G5111</f>
        <v>0</v>
      </c>
      <c r="H5110" s="217">
        <f>'Reported burning'!H5111</f>
        <v>0</v>
      </c>
    </row>
    <row r="5111" spans="1:8">
      <c r="A5111" s="217">
        <f>'Reported burning'!A5112</f>
        <v>0</v>
      </c>
      <c r="B5111" s="217">
        <f>'Reported burning'!B5112</f>
        <v>0</v>
      </c>
      <c r="C5111" s="217">
        <f>'Reported burning'!C5112</f>
        <v>0</v>
      </c>
      <c r="D5111" s="217">
        <f>'Reported burning'!D5112</f>
        <v>0</v>
      </c>
      <c r="E5111" s="217">
        <f>'Reported burning'!E5112</f>
        <v>0</v>
      </c>
      <c r="F5111" s="217">
        <f>'Reported burning'!F5112</f>
        <v>0</v>
      </c>
      <c r="G5111" s="217">
        <f>'Reported burning'!G5112</f>
        <v>0</v>
      </c>
      <c r="H5111" s="217">
        <f>'Reported burning'!H5112</f>
        <v>0</v>
      </c>
    </row>
    <row r="5112" spans="1:8">
      <c r="A5112" s="217">
        <f>'Reported burning'!A5113</f>
        <v>0</v>
      </c>
      <c r="B5112" s="217">
        <f>'Reported burning'!B5113</f>
        <v>0</v>
      </c>
      <c r="C5112" s="217">
        <f>'Reported burning'!C5113</f>
        <v>0</v>
      </c>
      <c r="D5112" s="217">
        <f>'Reported burning'!D5113</f>
        <v>0</v>
      </c>
      <c r="E5112" s="217">
        <f>'Reported burning'!E5113</f>
        <v>0</v>
      </c>
      <c r="F5112" s="217">
        <f>'Reported burning'!F5113</f>
        <v>0</v>
      </c>
      <c r="G5112" s="217">
        <f>'Reported burning'!G5113</f>
        <v>0</v>
      </c>
      <c r="H5112" s="217">
        <f>'Reported burning'!H5113</f>
        <v>0</v>
      </c>
    </row>
    <row r="5113" spans="1:8">
      <c r="A5113" s="217">
        <f>'Reported burning'!A5114</f>
        <v>0</v>
      </c>
      <c r="B5113" s="217">
        <f>'Reported burning'!B5114</f>
        <v>0</v>
      </c>
      <c r="C5113" s="217">
        <f>'Reported burning'!C5114</f>
        <v>0</v>
      </c>
      <c r="D5113" s="217">
        <f>'Reported burning'!D5114</f>
        <v>0</v>
      </c>
      <c r="E5113" s="217">
        <f>'Reported burning'!E5114</f>
        <v>0</v>
      </c>
      <c r="F5113" s="217">
        <f>'Reported burning'!F5114</f>
        <v>0</v>
      </c>
      <c r="G5113" s="217">
        <f>'Reported burning'!G5114</f>
        <v>0</v>
      </c>
      <c r="H5113" s="217">
        <f>'Reported burning'!H5114</f>
        <v>0</v>
      </c>
    </row>
    <row r="5114" spans="1:8">
      <c r="A5114" s="217">
        <f>'Reported burning'!A5115</f>
        <v>0</v>
      </c>
      <c r="B5114" s="217">
        <f>'Reported burning'!B5115</f>
        <v>0</v>
      </c>
      <c r="C5114" s="217">
        <f>'Reported burning'!C5115</f>
        <v>0</v>
      </c>
      <c r="D5114" s="217">
        <f>'Reported burning'!D5115</f>
        <v>0</v>
      </c>
      <c r="E5114" s="217">
        <f>'Reported burning'!E5115</f>
        <v>0</v>
      </c>
      <c r="F5114" s="217">
        <f>'Reported burning'!F5115</f>
        <v>0</v>
      </c>
      <c r="G5114" s="217">
        <f>'Reported burning'!G5115</f>
        <v>0</v>
      </c>
      <c r="H5114" s="217">
        <f>'Reported burning'!H5115</f>
        <v>0</v>
      </c>
    </row>
    <row r="5115" spans="1:8">
      <c r="A5115" s="217">
        <f>'Reported burning'!A5116</f>
        <v>0</v>
      </c>
      <c r="B5115" s="217">
        <f>'Reported burning'!B5116</f>
        <v>0</v>
      </c>
      <c r="C5115" s="217">
        <f>'Reported burning'!C5116</f>
        <v>0</v>
      </c>
      <c r="D5115" s="217">
        <f>'Reported burning'!D5116</f>
        <v>0</v>
      </c>
      <c r="E5115" s="217">
        <f>'Reported burning'!E5116</f>
        <v>0</v>
      </c>
      <c r="F5115" s="217">
        <f>'Reported burning'!F5116</f>
        <v>0</v>
      </c>
      <c r="G5115" s="217">
        <f>'Reported burning'!G5116</f>
        <v>0</v>
      </c>
      <c r="H5115" s="217">
        <f>'Reported burning'!H5116</f>
        <v>0</v>
      </c>
    </row>
    <row r="5116" spans="1:8">
      <c r="A5116" s="217">
        <f>'Reported burning'!A5117</f>
        <v>0</v>
      </c>
      <c r="B5116" s="217">
        <f>'Reported burning'!B5117</f>
        <v>0</v>
      </c>
      <c r="C5116" s="217">
        <f>'Reported burning'!C5117</f>
        <v>0</v>
      </c>
      <c r="D5116" s="217">
        <f>'Reported burning'!D5117</f>
        <v>0</v>
      </c>
      <c r="E5116" s="217">
        <f>'Reported burning'!E5117</f>
        <v>0</v>
      </c>
      <c r="F5116" s="217">
        <f>'Reported burning'!F5117</f>
        <v>0</v>
      </c>
      <c r="G5116" s="217">
        <f>'Reported burning'!G5117</f>
        <v>0</v>
      </c>
      <c r="H5116" s="217">
        <f>'Reported burning'!H5117</f>
        <v>0</v>
      </c>
    </row>
    <row r="5117" spans="1:8">
      <c r="A5117" s="217">
        <f>'Reported burning'!A5118</f>
        <v>0</v>
      </c>
      <c r="B5117" s="217">
        <f>'Reported burning'!B5118</f>
        <v>0</v>
      </c>
      <c r="C5117" s="217">
        <f>'Reported burning'!C5118</f>
        <v>0</v>
      </c>
      <c r="D5117" s="217">
        <f>'Reported burning'!D5118</f>
        <v>0</v>
      </c>
      <c r="E5117" s="217">
        <f>'Reported burning'!E5118</f>
        <v>0</v>
      </c>
      <c r="F5117" s="217">
        <f>'Reported burning'!F5118</f>
        <v>0</v>
      </c>
      <c r="G5117" s="217">
        <f>'Reported burning'!G5118</f>
        <v>0</v>
      </c>
      <c r="H5117" s="217">
        <f>'Reported burning'!H5118</f>
        <v>0</v>
      </c>
    </row>
    <row r="5118" spans="1:8">
      <c r="A5118" s="217">
        <f>'Reported burning'!A5119</f>
        <v>0</v>
      </c>
      <c r="B5118" s="217">
        <f>'Reported burning'!B5119</f>
        <v>0</v>
      </c>
      <c r="C5118" s="217">
        <f>'Reported burning'!C5119</f>
        <v>0</v>
      </c>
      <c r="D5118" s="217">
        <f>'Reported burning'!D5119</f>
        <v>0</v>
      </c>
      <c r="E5118" s="217">
        <f>'Reported burning'!E5119</f>
        <v>0</v>
      </c>
      <c r="F5118" s="217">
        <f>'Reported burning'!F5119</f>
        <v>0</v>
      </c>
      <c r="G5118" s="217">
        <f>'Reported burning'!G5119</f>
        <v>0</v>
      </c>
      <c r="H5118" s="217">
        <f>'Reported burning'!H5119</f>
        <v>0</v>
      </c>
    </row>
    <row r="5119" spans="1:8">
      <c r="A5119" s="217">
        <f>'Reported burning'!A5120</f>
        <v>0</v>
      </c>
      <c r="B5119" s="217">
        <f>'Reported burning'!B5120</f>
        <v>0</v>
      </c>
      <c r="C5119" s="217">
        <f>'Reported burning'!C5120</f>
        <v>0</v>
      </c>
      <c r="D5119" s="217">
        <f>'Reported burning'!D5120</f>
        <v>0</v>
      </c>
      <c r="E5119" s="217">
        <f>'Reported burning'!E5120</f>
        <v>0</v>
      </c>
      <c r="F5119" s="217">
        <f>'Reported burning'!F5120</f>
        <v>0</v>
      </c>
      <c r="G5119" s="217">
        <f>'Reported burning'!G5120</f>
        <v>0</v>
      </c>
      <c r="H5119" s="217">
        <f>'Reported burning'!H5120</f>
        <v>0</v>
      </c>
    </row>
    <row r="5120" spans="1:8">
      <c r="A5120" s="217">
        <f>'Reported burning'!A5121</f>
        <v>0</v>
      </c>
      <c r="B5120" s="217">
        <f>'Reported burning'!B5121</f>
        <v>0</v>
      </c>
      <c r="C5120" s="217">
        <f>'Reported burning'!C5121</f>
        <v>0</v>
      </c>
      <c r="D5120" s="217">
        <f>'Reported burning'!D5121</f>
        <v>0</v>
      </c>
      <c r="E5120" s="217">
        <f>'Reported burning'!E5121</f>
        <v>0</v>
      </c>
      <c r="F5120" s="217">
        <f>'Reported burning'!F5121</f>
        <v>0</v>
      </c>
      <c r="G5120" s="217">
        <f>'Reported burning'!G5121</f>
        <v>0</v>
      </c>
      <c r="H5120" s="217">
        <f>'Reported burning'!H5121</f>
        <v>0</v>
      </c>
    </row>
    <row r="5121" spans="1:8">
      <c r="A5121" s="217">
        <f>'Reported burning'!A5122</f>
        <v>0</v>
      </c>
      <c r="B5121" s="217">
        <f>'Reported burning'!B5122</f>
        <v>0</v>
      </c>
      <c r="C5121" s="217">
        <f>'Reported burning'!C5122</f>
        <v>0</v>
      </c>
      <c r="D5121" s="217">
        <f>'Reported burning'!D5122</f>
        <v>0</v>
      </c>
      <c r="E5121" s="217">
        <f>'Reported burning'!E5122</f>
        <v>0</v>
      </c>
      <c r="F5121" s="217">
        <f>'Reported burning'!F5122</f>
        <v>0</v>
      </c>
      <c r="G5121" s="217">
        <f>'Reported burning'!G5122</f>
        <v>0</v>
      </c>
      <c r="H5121" s="217">
        <f>'Reported burning'!H5122</f>
        <v>0</v>
      </c>
    </row>
    <row r="5122" spans="1:8">
      <c r="A5122" s="217">
        <f>'Reported burning'!A5123</f>
        <v>0</v>
      </c>
      <c r="B5122" s="217">
        <f>'Reported burning'!B5123</f>
        <v>0</v>
      </c>
      <c r="C5122" s="217">
        <f>'Reported burning'!C5123</f>
        <v>0</v>
      </c>
      <c r="D5122" s="217">
        <f>'Reported burning'!D5123</f>
        <v>0</v>
      </c>
      <c r="E5122" s="217">
        <f>'Reported burning'!E5123</f>
        <v>0</v>
      </c>
      <c r="F5122" s="217">
        <f>'Reported burning'!F5123</f>
        <v>0</v>
      </c>
      <c r="G5122" s="217">
        <f>'Reported burning'!G5123</f>
        <v>0</v>
      </c>
      <c r="H5122" s="217">
        <f>'Reported burning'!H5123</f>
        <v>0</v>
      </c>
    </row>
    <row r="5123" spans="1:8">
      <c r="A5123" s="217">
        <f>'Reported burning'!A5124</f>
        <v>0</v>
      </c>
      <c r="B5123" s="217">
        <f>'Reported burning'!B5124</f>
        <v>0</v>
      </c>
      <c r="C5123" s="217">
        <f>'Reported burning'!C5124</f>
        <v>0</v>
      </c>
      <c r="D5123" s="217">
        <f>'Reported burning'!D5124</f>
        <v>0</v>
      </c>
      <c r="E5123" s="217">
        <f>'Reported burning'!E5124</f>
        <v>0</v>
      </c>
      <c r="F5123" s="217">
        <f>'Reported burning'!F5124</f>
        <v>0</v>
      </c>
      <c r="G5123" s="217">
        <f>'Reported burning'!G5124</f>
        <v>0</v>
      </c>
      <c r="H5123" s="217">
        <f>'Reported burning'!H5124</f>
        <v>0</v>
      </c>
    </row>
    <row r="5124" spans="1:8">
      <c r="A5124" s="217">
        <f>'Reported burning'!A5125</f>
        <v>0</v>
      </c>
      <c r="B5124" s="217">
        <f>'Reported burning'!B5125</f>
        <v>0</v>
      </c>
      <c r="C5124" s="217">
        <f>'Reported burning'!C5125</f>
        <v>0</v>
      </c>
      <c r="D5124" s="217">
        <f>'Reported burning'!D5125</f>
        <v>0</v>
      </c>
      <c r="E5124" s="217">
        <f>'Reported burning'!E5125</f>
        <v>0</v>
      </c>
      <c r="F5124" s="217">
        <f>'Reported burning'!F5125</f>
        <v>0</v>
      </c>
      <c r="G5124" s="217">
        <f>'Reported burning'!G5125</f>
        <v>0</v>
      </c>
      <c r="H5124" s="217">
        <f>'Reported burning'!H5125</f>
        <v>0</v>
      </c>
    </row>
    <row r="5125" spans="1:8">
      <c r="A5125" s="217">
        <f>'Reported burning'!A5126</f>
        <v>0</v>
      </c>
      <c r="B5125" s="217">
        <f>'Reported burning'!B5126</f>
        <v>0</v>
      </c>
      <c r="C5125" s="217">
        <f>'Reported burning'!C5126</f>
        <v>0</v>
      </c>
      <c r="D5125" s="217">
        <f>'Reported burning'!D5126</f>
        <v>0</v>
      </c>
      <c r="E5125" s="217">
        <f>'Reported burning'!E5126</f>
        <v>0</v>
      </c>
      <c r="F5125" s="217">
        <f>'Reported burning'!F5126</f>
        <v>0</v>
      </c>
      <c r="G5125" s="217">
        <f>'Reported burning'!G5126</f>
        <v>0</v>
      </c>
      <c r="H5125" s="217">
        <f>'Reported burning'!H5126</f>
        <v>0</v>
      </c>
    </row>
    <row r="5126" spans="1:8">
      <c r="A5126" s="217">
        <f>'Reported burning'!A5127</f>
        <v>0</v>
      </c>
      <c r="B5126" s="217">
        <f>'Reported burning'!B5127</f>
        <v>0</v>
      </c>
      <c r="C5126" s="217">
        <f>'Reported burning'!C5127</f>
        <v>0</v>
      </c>
      <c r="D5126" s="217">
        <f>'Reported burning'!D5127</f>
        <v>0</v>
      </c>
      <c r="E5126" s="217">
        <f>'Reported burning'!E5127</f>
        <v>0</v>
      </c>
      <c r="F5126" s="217">
        <f>'Reported burning'!F5127</f>
        <v>0</v>
      </c>
      <c r="G5126" s="217">
        <f>'Reported burning'!G5127</f>
        <v>0</v>
      </c>
      <c r="H5126" s="217">
        <f>'Reported burning'!H5127</f>
        <v>0</v>
      </c>
    </row>
    <row r="5127" spans="1:8">
      <c r="A5127" s="217">
        <f>'Reported burning'!A5128</f>
        <v>0</v>
      </c>
      <c r="B5127" s="217">
        <f>'Reported burning'!B5128</f>
        <v>0</v>
      </c>
      <c r="C5127" s="217">
        <f>'Reported burning'!C5128</f>
        <v>0</v>
      </c>
      <c r="D5127" s="217">
        <f>'Reported burning'!D5128</f>
        <v>0</v>
      </c>
      <c r="E5127" s="217">
        <f>'Reported burning'!E5128</f>
        <v>0</v>
      </c>
      <c r="F5127" s="217">
        <f>'Reported burning'!F5128</f>
        <v>0</v>
      </c>
      <c r="G5127" s="217">
        <f>'Reported burning'!G5128</f>
        <v>0</v>
      </c>
      <c r="H5127" s="217">
        <f>'Reported burning'!H5128</f>
        <v>0</v>
      </c>
    </row>
    <row r="5128" spans="1:8">
      <c r="A5128" s="217">
        <f>'Reported burning'!A5129</f>
        <v>0</v>
      </c>
      <c r="B5128" s="217">
        <f>'Reported burning'!B5129</f>
        <v>0</v>
      </c>
      <c r="C5128" s="217">
        <f>'Reported burning'!C5129</f>
        <v>0</v>
      </c>
      <c r="D5128" s="217">
        <f>'Reported burning'!D5129</f>
        <v>0</v>
      </c>
      <c r="E5128" s="217">
        <f>'Reported burning'!E5129</f>
        <v>0</v>
      </c>
      <c r="F5128" s="217">
        <f>'Reported burning'!F5129</f>
        <v>0</v>
      </c>
      <c r="G5128" s="217">
        <f>'Reported burning'!G5129</f>
        <v>0</v>
      </c>
      <c r="H5128" s="217">
        <f>'Reported burning'!H5129</f>
        <v>0</v>
      </c>
    </row>
    <row r="5129" spans="1:8">
      <c r="A5129" s="217">
        <f>'Reported burning'!A5130</f>
        <v>0</v>
      </c>
      <c r="B5129" s="217">
        <f>'Reported burning'!B5130</f>
        <v>0</v>
      </c>
      <c r="C5129" s="217">
        <f>'Reported burning'!C5130</f>
        <v>0</v>
      </c>
      <c r="D5129" s="217">
        <f>'Reported burning'!D5130</f>
        <v>0</v>
      </c>
      <c r="E5129" s="217">
        <f>'Reported burning'!E5130</f>
        <v>0</v>
      </c>
      <c r="F5129" s="217">
        <f>'Reported burning'!F5130</f>
        <v>0</v>
      </c>
      <c r="G5129" s="217">
        <f>'Reported burning'!G5130</f>
        <v>0</v>
      </c>
      <c r="H5129" s="217">
        <f>'Reported burning'!H5130</f>
        <v>0</v>
      </c>
    </row>
    <row r="5130" spans="1:8">
      <c r="A5130" s="217">
        <f>'Reported burning'!A5131</f>
        <v>0</v>
      </c>
      <c r="B5130" s="217">
        <f>'Reported burning'!B5131</f>
        <v>0</v>
      </c>
      <c r="C5130" s="217">
        <f>'Reported burning'!C5131</f>
        <v>0</v>
      </c>
      <c r="D5130" s="217">
        <f>'Reported burning'!D5131</f>
        <v>0</v>
      </c>
      <c r="E5130" s="217">
        <f>'Reported burning'!E5131</f>
        <v>0</v>
      </c>
      <c r="F5130" s="217">
        <f>'Reported burning'!F5131</f>
        <v>0</v>
      </c>
      <c r="G5130" s="217">
        <f>'Reported burning'!G5131</f>
        <v>0</v>
      </c>
      <c r="H5130" s="217">
        <f>'Reported burning'!H5131</f>
        <v>0</v>
      </c>
    </row>
    <row r="5131" spans="1:8">
      <c r="A5131" s="217">
        <f>'Reported burning'!A5132</f>
        <v>0</v>
      </c>
      <c r="B5131" s="217">
        <f>'Reported burning'!B5132</f>
        <v>0</v>
      </c>
      <c r="C5131" s="217">
        <f>'Reported burning'!C5132</f>
        <v>0</v>
      </c>
      <c r="D5131" s="217">
        <f>'Reported burning'!D5132</f>
        <v>0</v>
      </c>
      <c r="E5131" s="217">
        <f>'Reported burning'!E5132</f>
        <v>0</v>
      </c>
      <c r="F5131" s="217">
        <f>'Reported burning'!F5132</f>
        <v>0</v>
      </c>
      <c r="G5131" s="217">
        <f>'Reported burning'!G5132</f>
        <v>0</v>
      </c>
      <c r="H5131" s="217">
        <f>'Reported burning'!H5132</f>
        <v>0</v>
      </c>
    </row>
    <row r="5132" spans="1:8">
      <c r="A5132" s="217">
        <f>'Reported burning'!A5133</f>
        <v>0</v>
      </c>
      <c r="B5132" s="217">
        <f>'Reported burning'!B5133</f>
        <v>0</v>
      </c>
      <c r="C5132" s="217">
        <f>'Reported burning'!C5133</f>
        <v>0</v>
      </c>
      <c r="D5132" s="217">
        <f>'Reported burning'!D5133</f>
        <v>0</v>
      </c>
      <c r="E5132" s="217">
        <f>'Reported burning'!E5133</f>
        <v>0</v>
      </c>
      <c r="F5132" s="217">
        <f>'Reported burning'!F5133</f>
        <v>0</v>
      </c>
      <c r="G5132" s="217">
        <f>'Reported burning'!G5133</f>
        <v>0</v>
      </c>
      <c r="H5132" s="217">
        <f>'Reported burning'!H5133</f>
        <v>0</v>
      </c>
    </row>
    <row r="5133" spans="1:8">
      <c r="A5133" s="217">
        <f>'Reported burning'!A5134</f>
        <v>0</v>
      </c>
      <c r="B5133" s="217">
        <f>'Reported burning'!B5134</f>
        <v>0</v>
      </c>
      <c r="C5133" s="217">
        <f>'Reported burning'!C5134</f>
        <v>0</v>
      </c>
      <c r="D5133" s="217">
        <f>'Reported burning'!D5134</f>
        <v>0</v>
      </c>
      <c r="E5133" s="217">
        <f>'Reported burning'!E5134</f>
        <v>0</v>
      </c>
      <c r="F5133" s="217">
        <f>'Reported burning'!F5134</f>
        <v>0</v>
      </c>
      <c r="G5133" s="217">
        <f>'Reported burning'!G5134</f>
        <v>0</v>
      </c>
      <c r="H5133" s="217">
        <f>'Reported burning'!H5134</f>
        <v>0</v>
      </c>
    </row>
    <row r="5134" spans="1:8">
      <c r="A5134" s="217">
        <f>'Reported burning'!A5135</f>
        <v>0</v>
      </c>
      <c r="B5134" s="217">
        <f>'Reported burning'!B5135</f>
        <v>0</v>
      </c>
      <c r="C5134" s="217">
        <f>'Reported burning'!C5135</f>
        <v>0</v>
      </c>
      <c r="D5134" s="217">
        <f>'Reported burning'!D5135</f>
        <v>0</v>
      </c>
      <c r="E5134" s="217">
        <f>'Reported burning'!E5135</f>
        <v>0</v>
      </c>
      <c r="F5134" s="217">
        <f>'Reported burning'!F5135</f>
        <v>0</v>
      </c>
      <c r="G5134" s="217">
        <f>'Reported burning'!G5135</f>
        <v>0</v>
      </c>
      <c r="H5134" s="217">
        <f>'Reported burning'!H5135</f>
        <v>0</v>
      </c>
    </row>
    <row r="5135" spans="1:8">
      <c r="A5135" s="217">
        <f>'Reported burning'!A5136</f>
        <v>0</v>
      </c>
      <c r="B5135" s="217">
        <f>'Reported burning'!B5136</f>
        <v>0</v>
      </c>
      <c r="C5135" s="217">
        <f>'Reported burning'!C5136</f>
        <v>0</v>
      </c>
      <c r="D5135" s="217">
        <f>'Reported burning'!D5136</f>
        <v>0</v>
      </c>
      <c r="E5135" s="217">
        <f>'Reported burning'!E5136</f>
        <v>0</v>
      </c>
      <c r="F5135" s="217">
        <f>'Reported burning'!F5136</f>
        <v>0</v>
      </c>
      <c r="G5135" s="217">
        <f>'Reported burning'!G5136</f>
        <v>0</v>
      </c>
      <c r="H5135" s="217">
        <f>'Reported burning'!H5136</f>
        <v>0</v>
      </c>
    </row>
    <row r="5136" spans="1:8">
      <c r="A5136" s="217">
        <f>'Reported burning'!A5137</f>
        <v>0</v>
      </c>
      <c r="B5136" s="217">
        <f>'Reported burning'!B5137</f>
        <v>0</v>
      </c>
      <c r="C5136" s="217">
        <f>'Reported burning'!C5137</f>
        <v>0</v>
      </c>
      <c r="D5136" s="217">
        <f>'Reported burning'!D5137</f>
        <v>0</v>
      </c>
      <c r="E5136" s="217">
        <f>'Reported burning'!E5137</f>
        <v>0</v>
      </c>
      <c r="F5136" s="217">
        <f>'Reported burning'!F5137</f>
        <v>0</v>
      </c>
      <c r="G5136" s="217">
        <f>'Reported burning'!G5137</f>
        <v>0</v>
      </c>
      <c r="H5136" s="217">
        <f>'Reported burning'!H5137</f>
        <v>0</v>
      </c>
    </row>
    <row r="5137" spans="1:8">
      <c r="A5137" s="217">
        <f>'Reported burning'!A5138</f>
        <v>0</v>
      </c>
      <c r="B5137" s="217">
        <f>'Reported burning'!B5138</f>
        <v>0</v>
      </c>
      <c r="C5137" s="217">
        <f>'Reported burning'!C5138</f>
        <v>0</v>
      </c>
      <c r="D5137" s="217">
        <f>'Reported burning'!D5138</f>
        <v>0</v>
      </c>
      <c r="E5137" s="217">
        <f>'Reported burning'!E5138</f>
        <v>0</v>
      </c>
      <c r="F5137" s="217">
        <f>'Reported burning'!F5138</f>
        <v>0</v>
      </c>
      <c r="G5137" s="217">
        <f>'Reported burning'!G5138</f>
        <v>0</v>
      </c>
      <c r="H5137" s="217">
        <f>'Reported burning'!H5138</f>
        <v>0</v>
      </c>
    </row>
    <row r="5138" spans="1:8">
      <c r="A5138" s="217">
        <f>'Reported burning'!A5139</f>
        <v>0</v>
      </c>
      <c r="B5138" s="217">
        <f>'Reported burning'!B5139</f>
        <v>0</v>
      </c>
      <c r="C5138" s="217">
        <f>'Reported burning'!C5139</f>
        <v>0</v>
      </c>
      <c r="D5138" s="217">
        <f>'Reported burning'!D5139</f>
        <v>0</v>
      </c>
      <c r="E5138" s="217">
        <f>'Reported burning'!E5139</f>
        <v>0</v>
      </c>
      <c r="F5138" s="217">
        <f>'Reported burning'!F5139</f>
        <v>0</v>
      </c>
      <c r="G5138" s="217">
        <f>'Reported burning'!G5139</f>
        <v>0</v>
      </c>
      <c r="H5138" s="217">
        <f>'Reported burning'!H5139</f>
        <v>0</v>
      </c>
    </row>
    <row r="5139" spans="1:8">
      <c r="A5139" s="217">
        <f>'Reported burning'!A5140</f>
        <v>0</v>
      </c>
      <c r="B5139" s="217">
        <f>'Reported burning'!B5140</f>
        <v>0</v>
      </c>
      <c r="C5139" s="217">
        <f>'Reported burning'!C5140</f>
        <v>0</v>
      </c>
      <c r="D5139" s="217">
        <f>'Reported burning'!D5140</f>
        <v>0</v>
      </c>
      <c r="E5139" s="217">
        <f>'Reported burning'!E5140</f>
        <v>0</v>
      </c>
      <c r="F5139" s="217">
        <f>'Reported burning'!F5140</f>
        <v>0</v>
      </c>
      <c r="G5139" s="217">
        <f>'Reported burning'!G5140</f>
        <v>0</v>
      </c>
      <c r="H5139" s="217">
        <f>'Reported burning'!H5140</f>
        <v>0</v>
      </c>
    </row>
    <row r="5140" spans="1:8">
      <c r="A5140" s="147">
        <f>'Reported burning'!A5141</f>
        <v>0</v>
      </c>
      <c r="B5140" s="147">
        <f>'Reported burning'!B5141</f>
        <v>0</v>
      </c>
      <c r="C5140" s="147">
        <f>'Reported burning'!C5141</f>
        <v>0</v>
      </c>
      <c r="D5140" s="147">
        <f>'Reported burning'!D5141</f>
        <v>0</v>
      </c>
      <c r="E5140" s="147">
        <f>'Reported burning'!E5141</f>
        <v>0</v>
      </c>
      <c r="F5140" s="147">
        <f>'Reported burning'!F5141</f>
        <v>0</v>
      </c>
      <c r="G5140" s="147">
        <f>'Reported burning'!G5141</f>
        <v>0</v>
      </c>
      <c r="H5140" s="147">
        <f>'Reported burning'!H5141</f>
        <v>0</v>
      </c>
    </row>
    <row r="5141" spans="1:8">
      <c r="A5141" s="147">
        <f>'Reported burning'!A5142</f>
        <v>0</v>
      </c>
      <c r="B5141" s="147">
        <f>'Reported burning'!B5142</f>
        <v>0</v>
      </c>
      <c r="C5141" s="147">
        <f>'Reported burning'!C5142</f>
        <v>0</v>
      </c>
      <c r="D5141" s="147">
        <f>'Reported burning'!D5142</f>
        <v>0</v>
      </c>
      <c r="E5141" s="147">
        <f>'Reported burning'!E5142</f>
        <v>0</v>
      </c>
      <c r="F5141" s="147">
        <f>'Reported burning'!F5142</f>
        <v>0</v>
      </c>
      <c r="G5141" s="147">
        <f>'Reported burning'!G5142</f>
        <v>0</v>
      </c>
      <c r="H5141" s="147">
        <f>'Reported burning'!H5142</f>
        <v>0</v>
      </c>
    </row>
  </sheetData>
  <autoFilter ref="A1:A4015" xr:uid="{CDE09BE0-F5F5-46A1-8BC0-66FAD6C81324}"/>
  <phoneticPr fontId="6" type="noConversion"/>
  <conditionalFormatting sqref="AB238:AC238 AC241">
    <cfRule type="duplicateValues" dxfId="164" priority="36"/>
    <cfRule type="duplicateValues" dxfId="163" priority="37"/>
  </conditionalFormatting>
  <conditionalFormatting sqref="AC231 AC233">
    <cfRule type="duplicateValues" dxfId="162" priority="34"/>
    <cfRule type="duplicateValues" dxfId="161" priority="35"/>
  </conditionalFormatting>
  <conditionalFormatting sqref="AC237">
    <cfRule type="duplicateValues" dxfId="160" priority="32"/>
    <cfRule type="duplicateValues" dxfId="159" priority="33"/>
  </conditionalFormatting>
  <conditionalFormatting sqref="AB239:AC239">
    <cfRule type="duplicateValues" dxfId="158" priority="30"/>
    <cfRule type="duplicateValues" dxfId="157" priority="31"/>
  </conditionalFormatting>
  <conditionalFormatting sqref="AB240">
    <cfRule type="duplicateValues" dxfId="156" priority="26"/>
    <cfRule type="duplicateValues" dxfId="155" priority="27"/>
  </conditionalFormatting>
  <conditionalFormatting sqref="AB241">
    <cfRule type="duplicateValues" dxfId="154" priority="24"/>
    <cfRule type="duplicateValues" dxfId="153" priority="25"/>
  </conditionalFormatting>
  <conditionalFormatting sqref="AB242">
    <cfRule type="duplicateValues" dxfId="152" priority="22"/>
    <cfRule type="duplicateValues" dxfId="151" priority="23"/>
  </conditionalFormatting>
  <conditionalFormatting sqref="AC235:AC236">
    <cfRule type="duplicateValues" dxfId="150" priority="20"/>
    <cfRule type="duplicateValues" dxfId="149" priority="21"/>
  </conditionalFormatting>
  <conditionalFormatting sqref="AC240">
    <cfRule type="duplicateValues" dxfId="148" priority="18"/>
    <cfRule type="duplicateValues" dxfId="147" priority="19"/>
  </conditionalFormatting>
  <conditionalFormatting sqref="AC242">
    <cfRule type="duplicateValues" dxfId="146" priority="16"/>
    <cfRule type="duplicateValues" dxfId="145" priority="17"/>
  </conditionalFormatting>
  <conditionalFormatting sqref="AC234">
    <cfRule type="duplicateValues" dxfId="144" priority="5"/>
    <cfRule type="duplicateValues" dxfId="143" priority="6"/>
  </conditionalFormatting>
  <conditionalFormatting sqref="AC232">
    <cfRule type="duplicateValues" dxfId="142" priority="3"/>
    <cfRule type="duplicateValues" dxfId="141" priority="4"/>
  </conditionalFormatting>
  <dataValidations xWindow="699" yWindow="585" count="10">
    <dataValidation type="whole" allowBlank="1" showInputMessage="1" showErrorMessage="1" prompt="Integer: leave blank if all study years" sqref="I805:I916 I589:I788 I1:I536 AB2132:AB2135 AC2130:AC2132 AB2599 I918:I1048576" xr:uid="{44BCFA16-E4FF-4DD8-A16E-C774E4872836}">
      <formula1>1900</formula1>
      <formula2>2020</formula2>
    </dataValidation>
    <dataValidation allowBlank="1" showInputMessage="1" showErrorMessage="1" prompt="Case study ID + .1, .2 etc for each direct fire creation PCB associated with the case study" sqref="B1 B5142:B1048576" xr:uid="{2880189A-7147-4804-9C2C-2A2473A6A0CD}"/>
    <dataValidation type="textLength" allowBlank="1" showInputMessage="1" showErrorMessage="1" sqref="AB809:AB810" xr:uid="{D686AA90-7BA4-463D-802C-28CFCCE7DF1B}">
      <formula1>2</formula1>
      <formula2>20</formula2>
    </dataValidation>
    <dataValidation allowBlank="1" showInputMessage="1" showErrorMessage="1" prompt="The same as Case study ID in Record Info" sqref="B917:I917 AB917:AC917 X1116:AA1121 M1191:X1191 W1113:W1121 V1116:V1121 M1326:W1329 A1:A1527 M1113:U1121 B918:H1527 A1528:H4127 A5142:A1048576 B2:H916 A4161:H5141" xr:uid="{17AA178F-4754-4BE2-9EC5-55FBA7DF8BF7}"/>
    <dataValidation type="decimal" allowBlank="1" showInputMessage="1" showErrorMessage="1" prompt="Float_x000a_" sqref="AB869:AC872 V922 O885:Q886 U885:AA887 Y888:AA892 U889:X890 U888:W888 T887 T889 T891:W893 X893:AA893 T894:AA894 X900 X896:AA898 X901:AA905 M885:M922 X907 T895:W916 S885:S922 X908:AA912 X914 M869:AA884 V917 W917:W922 U917:U922 T917 Q918:Q922 N887:R917 N918:O922 X915:AA916 Y917:AA921 R922 T922 J3552:W3552 J3543:W3545" xr:uid="{3B57A34E-4C32-4B12-893C-FD52A40661E2}">
      <formula1>0</formula1>
      <formula2>999999999</formula2>
    </dataValidation>
    <dataValidation type="decimal" allowBlank="1" showInputMessage="1" showErrorMessage="1" prompt="Float" sqref="L2454:W2455 M1111:X1112 M971:W971 M1123:X1124 M1172:X1178 Y1123 M1197:AA1200 M1201:AC1207 M1208:AA1210 L3185:W3185 N1218:T1218 M1212:T1212 O1211:T1211 O1213:T1217 N1216 N1214 M1211 V1211:AA1218 AB1219:AB1223 N1219:AA1225 L3202:W3202 M1213:M1225 M1227:AA1237 AD1281:AD1292 L3216:W3226 L3228:W3228 L3231:W3233 L3259:V3260 L1469:W1469 M978:W978 L1489:W1497 L1502:W1502 L1517:X1519 L1528:Y1528 L1574:W1584 L1594:W1594 L1592:W1592 L1605:X1605 L1597:X1597 L1603:X1603 L1608:X1608 L1612:X1622 L1627:X1629 L1649:W1649 L1672:W1674 L1849:X1850 I537:I588 L1922:W1937 L1972:W1975 L1995:W1998 L2030:V2031 L2033:V2034 L2027:V2028 L2042:W2050 AA2042:AA2069 L2051:V2058 X2042:Z2049 L2059:W2069 X2051:X2069 W2051:W2057 L2070:AA2071 L2072:W2074 Y2059:Z2069 L2089:W2090 L2123:W2126 L2129:W2129 L2132:W2132 L2550:W2551 L2560:W2560 L2583:W2584 L2974:V2974 L3013:V3013 L3026:W3026 L3033:W3033 L3081:W3081 L3084:W3090 L3116:W3116 L3145:W3145 L3153:W3153 L3183:W3183 L2447:W2447 Y3297:AA3302 AA3307:AA3329 K3327:W3329 K3330:R3340 J3343:K3343 T3330:X3340 S3330:S3334 M3343 W3343 S3343:U3343 Q3343 O3343 K3345:AA3345 X3341:X3342 K3346:W3346 X3346:AA3348 X3350:AA3351 X3353:AA3354 Y3352:AA3352 X3356:AA3357 Y3355:AA3355 X3359:AA3360 K3390:AA3419 Y3358:AA3358 K3381:Z3389 K3361:AA3380 K3420:Z3420 AB3421:AB3429 AA3420:AA3539 AB3433:AB3441 AB3469:AB3477 AB3481:AB3489 AB3493:AB3501 AB3505:AB3513 AB3517:AB3525 K3421:W3447 J2949:X2951 R3534:W3535 X3421:X3599 K3553:W3581 Y3533:Z3539 K3582:O3583 V3582:V3614 W3583:W3598 Y3540:AA3583 U3583:U3591 K3584:T3592 Q3582:T3583 P3582 AA3584:AA3599 Y3585:Z3586 K3593:U3613 Y3592:Z3599 K3614:P3616 R3614:R3617 T3615:AA3615 K3534:P3535 Q3614 S3614:U3614 W3600:AA3614 Q3616:Q3617 L3617:P3617 S3616:AA3617 AA3618:AA3647 Y3619:Z3619 T3618:X3620 T3621:Z3623 K3624:Z3647 K3648:X3655 K3656:AA3659 Y3660:AA3665 Y3668:AA3673 K3993:AA3993 K3700:W3723 K3724:AA3726 Y3694:Z3723 X3694:X3722 K3727:W3732 K3733:AA3737 Y3727:AA3732 K3738:V3738 X3738:X3741 K3739:W3741 K3742:AA3753 Y3739:AA3741 K3754:L3761 M3754:AA3756 K3762:AC3767 N3757:AA3761 K3768:L3772 K3773:AA3783 N3768:AA3772 K3784:T3784 AB3773:AC3778 K3785:AA3785 V3784:AA3784 J3786:K3901 L3786 P3786:AA3786 N3786 S3787:AA3787 R3788:AA3857 R3858:W3858 Y3858:AA3858 R3859:AA3900 K3925:K3950 N3788:N3901 L3788:L3901 Q3888:Q3901 M3786:M3901 O3786:O3901 P3788:P3901 K4291:Z4304 R3901:W3901 Y3901:AA3901 AA3902:AA3909 P3904:Z3907 L3910:N3915 K3924:N3924 O3910:O3912 P3910:R3915 T3910:V3915 N4427:Z4429 L3925:W3930 T3924:W3924 L3931:R3937 Y3924:AA3930 AA3931:AA3936 L3938:N3940 T3931:W3937 P3938:W3938 P3939:P3950 R3939:W3940 L3941:L3942 AA3939:AA3956 Q3941:R3942 N3941:N3950 L3943:M3950 T3941:W3942 O3943:O3950 L3916:W3923 Q3943:W3950 K3957:AC3957 Y3943:Z3956 K3958:AA3960 K3961:X3967 K3968:AA3971 K3972:L3972 K3973:AA3975 N3972:R3972 T3972:AA3972 K3976:X3980 J3618:S3623 K3981:AA3983 K3994:R3994 K3995:S3997 K3998:R4002 S3999:AA4002 T3994:AA3998 X4003:AA4003 Y4005:AA4013 Y4015:AA4023 Y4025:AA4033 S4005:S4013 S4015:S4023 M4005:M4013 M4015:M4023 M4025:M4056 S4025:S4056 T4004:X4035 T4036:W4037 Y4036:AA4047 AA4048:AA4057 N4004:R4056 T4038:X4056 X4060:AA4060 X4057:X4058 K4061:T4074 Y4057:Z4057 V4058:W4059 U4061:U4063 U4065:U4079 V4061:AA4073 Q4076:Q4087 K4075:P4078 K4079:L4079 K4080:M4084 N4079:N4087 P4079:P4087 O4080:O4087 R4075:R4079 S4075:T4078 T4079 V4074:X4079 Y4074:AA4081 R4080:X4081 J4085:K4099 R4082:AA4084 K4100:Q4112 R4085:W4087 L4085:M4087 Y4088:AA4093 X4088 X4091:X4097 AA4094:AA4099 Y4094:Z4094 Y4097:Z4098 L4088:W4098 K4204:T4204 R4100:X4116 AA4110:AA4117 AA4101:AA4104 L4099:X4099 Y4118:AA4204 K4113:P4116 K4117:W4117 K4205:AA4205 Y4113:Z4117 K3984:K3986 R4206:V4207 J4118:S4203 L4206:P4211 AA4212:AA4214 K4234:AA4236 Y4215:AA4218 L4218:W4220 X4219:AA4220 L4221:R4225 AA4221:AA4233 T4221:X4225 X4227:X4232 O4226 O4228:O4232 L4226:N4232 P4226:W4232 K4237:R4240 Y4226:Z4233 K4241:AA4243 T4237:AA4240 Y4206:AA4211 T4244:X4247 Y4247:AA4247 AA4245 T4248:AA4251 T4252:X4254 T4255:Z4255 K4271:T4275 K4281:X4281 V4271:X4275 K4287:X4288 Y4312:Z4313 Y4287:Z4287 K4282:AA4286 K4258:AA4270 R4289:Z4290 L4289:P4290 T4256:X4257 AA4252:AA4257 S4245:S4257 J4214:K4232 K4244:R4257 K4305:X4310 X4117:X4203 T4118:U4202 D4128:G4160 V4118:W4204 K4311:P4311 Y4306:Z4310 K4317:AA4318 R4311:Z4311 P4316:X4316 O4312:O4313 AA4355:AA4357 AA4287:AA4313 K4320:T4320 X4319:AA4319 AA4320:AA4334 V4320:W4320 K4321:W4321 K4322:Z4333 AB4325:AC4328 K4335:AA4341 K4334:P4334 V4334:Z4334 K4342:X4349 R4334:T4334 Y4342:AA4342 Y4345:AA4345 AA4343:AA4344 AA4346:AA4349 J4350:K4356 K4312:N4314 P4312:X4314 K4316:N4316 K4315:AA4315 K4358:AA4358 T4350:X4354 L4355:X4356 K4357:X4357 J4359:K4365 N4354:Q4354 Y4359:AA4362 N4363:O4364 T4363:AA4364 L4362:X4362 L4361:M4361 L4359:M4359 N4359:Q4361 T4359:X4361 R4359:S4359 R4361:S4361 L4365:AA4365 J4367:K4378 L4372:X4374 T4370:X4371 N4370:Q4371 R4371:S4371 L4371:M4371 L4375:AA4378 N4367:X4369 AA4366:AA4372 K4398:X4401 K4402:W4402 AA4398 Y4402:Z4402 K4403:V4404 X4403:X4407 K4410:X4421 J4276:AA4280 Y4408:Z4408 Y4410:Z4411 AB4413:AC4414 K4422:L4429 AA4401:AA4429 Y4415:Z4421 L4405:W4407 M4422:M4424 M4426:Z4426 M4428:M4429 N4422:Z4425 X3910:X3956 Y3922:AA3922 J3546:W3551 L3674:AA3681 J3902:X3903 J3700:J3785 J3697:W3697 J3695:W3695 J3674:K3693 L3682:Y3693 J3924:J3950 J3904:K3923 L3908:Z3909 Q3787:Q3869 J3462:W3533 J3451:W3459 J3361:J3447 J3358:S3358 J3355:S3355 J3352:S3352 J3349:S3349 J3345:J3346 J3325:W3325 J3315:W3323 J3327:J3340 J3307:X3314 J3553:J3617 J3536:W3542 K3660:X3673 J3624:J3673 J3957:J3982 J3952:W3956 J4100:J4117 J4061:J4084 J4058:S4059 J4004:L4056 J3993:J4002 K4208:K4211 J4204:J4213 L4212:X4217 R4208:X4211 J4234:J4243 J4245:J4246 J4281:J4288 J4248:J4275 J4405:K4409 J4410:J4429 J4398:J4404 J4381:X4382 J4366:X4366 J4357:J4358 J4320:J4349 J4291:J4318 J4386:X4387" xr:uid="{B3C6C6A5-74F8-4A7D-8965-C5F3C42A7810}">
      <formula1>0</formula1>
      <formula2>9999</formula2>
    </dataValidation>
    <dataValidation type="decimal" allowBlank="1" showInputMessage="1" showErrorMessage="1" prompt="Float_x000a__x000a_" sqref="U3349:W3349 U3352:W3352 U3355:W3355 J3951:W3951 U3358:W3358 J3324:W3324 J3359:W3360 J3356:W3357 J3353:W3354 J3350:W3351 J3347:W3348 J3344:X3344 J3341:W3342 J3326:W3326 J4003:W4003" xr:uid="{62A98ED7-2157-4DDD-A9FB-0FA143525867}">
      <formula1>0</formula1>
      <formula2>9999999</formula2>
    </dataValidation>
    <dataValidation type="decimal" allowBlank="1" showInputMessage="1" showErrorMessage="1" prompt="Float between 0-100" sqref="J3460:W3461 J3448:W3450" xr:uid="{7C89A4EC-6D68-4D78-BC21-D9F6AD9F9A8A}">
      <formula1>0</formula1>
      <formula2>100</formula2>
    </dataValidation>
    <dataValidation type="decimal" allowBlank="1" showInputMessage="1" showErrorMessage="1" prompt="Preferably an integer, but a float acceptible if reported as a mean. 1 = Fire returns each year." sqref="K3958:AA3960 K3961:X3967 K3968:AA3971 K3972:L3972 K3973:AA3975 N3972:R3972 T3972:AA3972 K3976:X3980 K3993:AA3993 K3981:AA3983 K3994:R3994 K3995:S3997 K3998:R4002 S3999:AA4002 T3994:AA3998 X4003:AA4003 Y4005:AA4013 Y4015:AA4023 Y4025:AA4033 S4005:S4013 S4015:S4023 M4005:M4013 M4015:M4023 M4025:M4056 S4025:S4056 T4004:X4035 T4036:W4037 Y4036:AA4047 AA4048:AA4057 N4004:R4056 T4038:X4056 X4060:AA4060 X4057:X4058 K4061:AA4063 Y4057:Z4057 V4058:W4059 K4064:T4064 X4064:AA4067 K4068:AA4074 V4064:W4064 Q4076:Q4079 K4075:P4078 K4079:L4079 K4084:AA4084 N4079 P4079 R4075:R4079 T4079:AA4079 S4075:AA4078 X4080:AA4083 K4085:W4087 K4092:W4098 Y4088:AA4093 X4088 X4091:X4097 AA4094:AA4099 Y4094:Z4094 Y4097:Z4098 K4099:Q4112 AA4110:AA4117 AA4101:AA4104 R4099:X4116 K4204:T4204 Y4118:AA4204 K4113:P4116 K4117:W4117 K4205:AA4205 Y4113:Z4117 K3984:K3986 R4206:V4207 J4118:S4203 L4206:P4211 AA4212:AA4214 K4234:AA4236 Y4215:AA4218 L4218:W4220 X4219:AA4220 L4221:R4225 AA4221:AA4233 T4221:X4225 X4227:X4232 O4226 O4228:O4232 L4226:N4232 P4226:W4232 K4237:R4240 Y4226:Z4233 K4241:AA4243 T4237:AA4240 Y4206:AA4211 J4248:J4257 T4244:X4247 Y4247:AA4247 AA4245 T4248:AA4251 T4252:X4254 T4255:Z4255 X4263:AA4270 K4271:T4275 K4276:AA4279 V4271:X4275 X4280:AA4280 Y4312:Z4313 Y4282:AA4287 X4281:X4287 K4261:X4262 R4289:Z4290 L4289:P4290 T4256:X4257 X4258:X4260 S4245:S4257 J4214:K4232 K4260:W4260 AA4252:AA4262 K4244:R4257 Y4258:Z4262 K4305:X4310 X4117:X4203 T4118:U4202 D4128:G4160 V4118:W4204 K4311:P4311 Y4306:Z4310 K4317:AA4318 R4311:Z4311 P4316:X4316 O4312:O4313 AA4355:AA4357 AA4288:AA4313 K4320:T4320 X4319:AA4319 AA4320:AA4334 V4320:W4320 K4321:W4321 K4322:Z4333 AB4325:AC4328 K4335:AA4341 K4334:P4334 V4334:Z4334 K4342:X4349 R4334:T4334 Y4342:AA4342 Y4345:AA4345 AA4343:AA4344 AA4346:AA4349 J4350:K4356 K4312:N4314 P4312:X4314 K4316:N4316 K4315:AA4315 J4358:K4365 T4350:X4354 L4355:X4356 Y4358:AA4362 X4357:X4362 N4354:Q4354 N4363:O4364 T4363:AA4364 L4362:W4362 L4361:M4361 L4358:M4359 N4358:Q4361 T4358:W4361 R4358:S4359 R4361:S4361 L4365:AA4365 J4367:K4378 L4372:X4374 T4370:X4371 N4370:Q4371 R4371:S4371 J4263:W4266 L4371:M4371 L4375:AA4378 N4367:X4369 AA4366:AA4372 J3958:J3982 J3957:AC3957 J4092:J4117 J4089:W4090 J4084:J4087 J4068:J4079 J4061:J4064 J4058:S4059 J4004:L4056 J3993:J4002 K4208:K4211 J4204:J4213 L4212:X4217 R4208:X4211 J4234:J4243 J4245:J4246 J4260:J4262 J4288:X4288 J4281:W4286 J4271:J4279 J4366:X4366 J4320:J4349 J4305:J4318 J4291:Z4304" xr:uid="{72C53FB1-9926-4486-8CCC-99AC914611EA}">
      <formula1>0</formula1>
      <formula2>50</formula2>
    </dataValidation>
    <dataValidation allowBlank="1" showInputMessage="1" showErrorMessage="1" prompt="Study ID + letter denoting case study: 1a, 1b, 1c etc." sqref="A4128:B4160" xr:uid="{1FEAF790-5CB1-4B9A-A6B3-FE4AEDDEC733}"/>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699" yWindow="585" count="19">
        <x14:dataValidation type="list" allowBlank="1" showInputMessage="1" showErrorMessage="1" prompt="One of: Human Deliberate, Human Accidental, Human Escaped, Lightning, Other Natural, Unknown" xr:uid="{77BAA449-F600-4FAA-A409-378EF4E05B84}">
          <x14:formula1>
            <xm:f>'IGNORE Lookups'!$E$3:$E$8</xm:f>
          </x14:formula1>
          <xm:sqref>C1 C5142:C1048576</xm:sqref>
        </x14:dataValidation>
        <x14:dataValidation type="list" allowBlank="1" showInputMessage="1" showErrorMessage="1" xr:uid="{A80DA6D3-F1ED-4EE0-A729-6AB920157E33}">
          <x14:formula1>
            <xm:f>'IGNORE Lookups'!$I$2:$I$14</xm:f>
          </x14:formula1>
          <xm:sqref>Y863:Z863 Y895:Z895 Y899:Z900 Y906:Z907 Y913:Z914 Y922:Z941 Y946:Z949 Y951:Z985 Y1052:Z1055 Y1070:Z1080 Y1094:Z1110 Y1113:Z1115 Y1122:Z1122 Z1139:AA1143 Y1147:Z1148 Y1144:Z1145 Y1160:Z1160 Y1162:Z1171 Y1179:Z1186 Y1238:Z1242 Y1259:Z1259 Y1256:Z1256 Y1262:Z1264 Y1267:Z1276 Y1281:Z1292 Y1300:Z1307 Y1343:Z1345 Y1367:Z1372 Y1375:Z1376 Y1381:Z1391 Y1393:Z1406 Y1412:Z1423 Y1476:Z1477 Y1482:Z1488 Y1510:Z1510 Y1560:Z1560 Y1564:Z1564 Y1591:Z1591 Y1602:Z1602 Y1596:Z1600 Y1604:Z1604 Y1606:Z1606 Y1660:Z1666 Y1670:Z1670 Y1675:Z1676 Y1125:Z1128 Y1:Z151 Y1693:Z1722 Y1732:Z1733 Y1809:Z1822 Y1834:Z1836 Y1840:Z1844 Y1847:Z1848 Y1851 Y1863:Z1865 Y1886:Z1888 Y1868:Z1868 AA1861 Y1881:Z1881 Y1879:Z1879 Y1854:Z1861 AA1859 Y1897:Z1899 Y1890:Z1891 Y1873:Z1877 Y1895:Z1895 Y1905:Z1905 Y1986:Z1988 Y2050:Z2058 Y2086:Z2088 Y2107:Z2110 Y2112:Z2115 Z2135:AA2135 Z2133:AA2133 Y155:Z822 Y2147:Z2147 Y2149:Z2150 Y2153:Z2154 Y2163:Z2170 Y2180:Z2188 Y2202:Z2206 Y2211:Z2219 Y2306:Z2306 Y2310:Z2313 Y2145:Z2145 AA2528:AA2539 X2550:AA2551 L2552:W2553 X2552 AA2552:AA2553 L2557:V2559 AA2555 Y2552:Z2556 X2558:AA2560 W2558:W2559 L2561:AA2566 W2557:AA2557 L2575:Z2575 L2567:W2574 X2573:Z2573 X2567:AA2572 Y2574:Z2574 AA2573:AA2581 L2576:W2577 L2578:Z2581 Y2576:Z2577 L2585:S2588 T2585:T2586 X2582:AA2584 T2582:W2582 O2582 L2582:M2582 L2844:W2854 T2588:AA2588 U2585:AA2587 L2675:W2678 X2675:X2854 L2682:W2696 L2700:W2714 L2718:W2732 L2736:W2750 L2754:W2768 L2772:W2786 L2790:W2804 L2808:W2822 L2826:W2840 L2855:X2872 S2873:X2873 L2589:X2674 P2873:Q2873 O2875:O2877 Y2881:Z2881 P2875:Q2881 Y2498:AA2513 O2874:Q2874 Y2589:AA2599 Y3281:Z3282 R2873:R2879 L2965:N2965 Y3923:AA3923 N2873:N2879 Y2528:Z2543 X2874:X2879 Y2600:Z2879 Y2880:AA2880 T2874:W2881 X2960:AA2960 R2882:Z2948 L2953:M2960 N2953:Q2957 R2956:R2957 N2959:R2960 S2953:W2960 X2953 L2882:P2948 X2957:X2958 Y2953:AA2959 N2958 X2955 P2958:R2958 Y2961:AA2962 X2973 X2963:AA2965 P2965:W2965 L2966:Z2972 L2549:AA2549 Y2978:Z2992 Y3012:Z3012 Y3014:Z3015 Y3025:Z3032 Y3063:Z3063 Y3065:Z3081 Y3083:Z3083 Y3098:Z3115 Y3118:Z3119 Y3134:Z3144 Y3146:Z3152 Y3154:Z3159 Y3160:AA3167 Y3168:Z3171 Z2455 Y2401:Z2424 Y2450:Y2455 Z2451 Z2453 Y3186:Z3190 Y3194:Z3201 Y3203:Z3203 Y3240:Z3254 Y3261:Z3265 Y3271:Z3276 Y3286:Z3296 Y3303:Z3344 Y3349:Z3349 Y3421:Z3532 Y3584:Z3584 Y3587:Z3591 Y3618:Z3618 Y3620:Z3620 Y3648:Z3655 Y3666:Z3667 Y3738:Z3738 AA2881:AA2948 Y3902:Z3903 Y4430:Z1048576 Y3931:Z3942 Y3963:Z3966 Y3976:Z3980 Y4024:Z4024 Y4004:Z4004 Y4014:Z4014 Y4034:Z4035 Y4058:Z4059 Y4048:Z4056 Y4085:Z4087 Y4095:Z4096 Y4099:Z4112 Y4212:Z4214 Y4221:Z4225 Y4244:Z4246 Y4252:Z4254 Y4256:Z4257 Y4271:Z4275 Y4281:Z4281 Y4288:Z4288 Y4305:Z4305 Y4316:Z4316 Y4320:Z4321 Y4343:Z4344 Y4314:Z4314 Y4346:Z4357 Y4366:Z4374 Y2456:Z2479 Y4380:Z4390 Y4398:Z4401 Y4403:Z4407 Y4409:Z4409 Y4412:Z4414 Y3910:Z3921 AA3920:AA3921 L2873:L2879</xm:sqref>
        </x14:dataValidation>
        <x14:dataValidation type="list" allowBlank="1" showInputMessage="1" showErrorMessage="1" xr:uid="{EADF027C-B889-438A-81FA-F5D4AA23CB7F}">
          <x14:formula1>
            <xm:f>'IGNORE Lookups'!$J$3:$J$7</xm:f>
          </x14:formula1>
          <xm:sqref>AA863:AA868 AA895 AA899:AA900 AA906:AA907 AA913:AA914 AA922:AA941 AA946:AA949 AA951:AA984 AA1052:AA1055 AA1070:AA1080 AA1094:AA1110 AA1113:AA1115 AA1122 AB1139:AB1143 AA1147:AA1148 AA1144:AA1145 AA1160:AB1160 AA1162:AB1171 AA1179:AA1186 AA1238:AA1242 AA1259 AA1256 AA1262:AA1264 AA1267:AA1276 AA1375:AA1376 AA1381:AA1391 AA1393:AA1406 AA1412:AA1423 AA1476:AA1477 AA1482:AA1488 AA1560 AA1564 AA1571 AA1591 AA1602 AA1596:AA1600 AA1604 AA1606 AA1660:AA1666 AA1125:AA1128 AA1:AA151 AA1693:AA1722 AA1809:AA1822 AA1834:AA1836 AA1847:AA1848 AA1856:AA1857 AA1865 AA1986:AA1988 Y2111:Z2111 X2116 Y2116:Z2127 L2127:W2128 X2119:X2127 L2130:Z2131 X2128:Z2129 L2133:R2135 X2132:Z2132 AA2107:AA2132 L2136:W2140 Z2134:AA2134 T2133:Y2135 S2133:S2134 L2147:V2148 AA155:AA822 AA2310:AA2313 AB2146 AA2152:AA2154 AA2163:AA2170 AA2177:AA2178 AA2180:AA2187 AA2202:AA2206 AA2306 X2136:Z2144 L2142:W2146 Y2146:Z2146 AA2136:AA2150 W2148:Z2148 AA3281:AA3282 W2147 AA2540:AA2543 AA2554 AA2556 AA2600:AA2879 AA2966:AA2972 AA2978:AA2992 AA3029 AA3065:AA3081 AA3083 AA3102:AA3115 AA3134:AA3144 AA3146:AA3152 AA3154:AA3159 AA3168:AA3171 AA3186:AA3190 AA3244:AA3245 L2116:W2122 AA4430:AA1048576 AA3330:AA3344 AA3349 AA3648:AA3655 AA3666:AA3667 Z3682:Z3693 AA3738 AA3910:AA3919 AA3937:AA3938 Y3967:Z3967 Y3961:AA3961 Y3962:Z3962 AA3962:AA3967 AA3976:AA3980 AA4024 AA4004 AA4014 AA4034:AA4035 AA4058:AA4059 AA4085:AA4087 AA4105:AA4109 AA4100 AA4244 AA4246 AA4281 AA4271:AA4275 AA4350:AA4354 AA4316 AA4314 AA4373:AA4374 AA4380:AA4390 AA4399:AA4400 AA3291:AA3292 AA3294:AA3296</xm:sqref>
        </x14:dataValidation>
        <x14:dataValidation type="list" allowBlank="1" showInputMessage="1" showErrorMessage="1" prompt="Presence or absence" xr:uid="{606FCF66-415C-41B1-B1BE-9964B4191819}">
          <x14:formula1>
            <xm:f>'IGNORE Lookups'!$H$2:$H$3</xm:f>
          </x14:formula1>
          <xm:sqref>H1 H5142:H1048576 H4128:H4160</xm:sqref>
        </x14:dataValidation>
        <x14:dataValidation type="list" allowBlank="1" showInputMessage="1" showErrorMessage="1" xr:uid="{62876A7A-7519-4CDA-8C59-D1191D159B01}">
          <x14:formula1>
            <xm:f>'IGNORE Lookups'!$G$3:$G$10</xm:f>
          </x14:formula1>
          <xm:sqref>X1731 M1226:AA1226 F1:G1 L2047:AA2048 AC1226 M1243:AA1252 M1253:W1255 Y1253:AA1255 M1256:X1261 M1262:W1266 Y1257:AA1258 Y1260:AA1261 M1267:V1276 X1263 X1265:AA1266 X1630:AA1634 M1278:W1278 Y1277:AA1280 X1279:X1321 AA1281:AA1357 M1281:W1325 Y1293:Z1299 M1330:W1330 Y1308:Z1321 X1322:Z1330 M1331:Z1342 Y1346:Z1357 X2046:AA2046 L2050:W2055 X2049:AA2049 L1529:W1555 AB1677:AB1678 M1238:V1239 Y1517:AB1519 Z1528:AA1528 X1529:AA1552 Y1553:AA1553 L1556:X1560 X1554:AA1554 Y1555:AA1559 X1561:AA1561 L1562:AA1563 L1569:AA1569 M1564 Q1564 O1564 S1564:U1564 W1564:X1564 X1565:AA1568 X1570:AA1570 L1571:Z1571 X1572:AA1572 L1573:AA1573 L1585:AA1590 X1574:AA1584 L1593:AA1593 X1592:AA1592 X1594:AA1594 L1595:AA1595 L1591:W1591 Y1601:AA1601 Y1603:AA1603 Y1605:AA1605 L1596:X1596 Y1607:AA1608 L1598:X1602 L1604:X1604 L1606:W1607 L1609:AA1629 X1606 L1630:V1659 AA2050:AA2069 W1267:X1267 X1277 W1635:AB1635 X2051:X2069 L2057:V2058 L1662:X1662 P1240:T1242 W1632:W1634 W1636:AA1659 L1661:P1661 R1661:X1661 T1660:X1660 L1660:R1660 L1665:X1666 L1663:P1664 R1663:X1664 L1669:W1676 L1667:AA1667 L2059:W2069 X1668:X1676 AA1668:AA1676 Y1668:Z1669 Y1671:Z1674 L1677:AA1680 L1683:AA1687 U1240:U1241 V1240:X1242 M1240:N1242 X1681:AA1682 L1693:L1731 Y1688:AA1692 M1698:M1731 N1693:N1731 P1693:W1697 Y1723:AA1731 O1698:X1730 L1823:AA1831 O1731:V1731 Y2059:Z2069 L1832:T1833 L1834:X1836 U1832:AA1832 V1833:W1833 Y1833:AA1833 L1837:W1839 L1840:X1844 X1838:AA1839 Y1837:AA1837 L1847:X1848 L1846:M1846 L1845:Z1845 L1851:X1853 Y1846:Z1846 O1846:T1846 V1846:W1846 AA1840:AA1846 L1861:W1868 Z1850:AA1853 Y1849:AA1849 Y1850 Y1852:Y1853 L1869:Z1872 AA1858 Y1862:AA1862 AA1863:AA1864 AA1854:AA1855 X1866:Z1867 Y1882:Z1885 L1854:W1859 Y1878:Z1878 Y1880:Z1880 L1860:X1860 X1855:X1859 X1861:X1863 AA1860 L1896:X1913 Y1892:Z1894 L1873:W1895 X1874:X1885 AA1866:AA1971 Y1900:Z1904 L1914:Z1921 Y1906:Z1913 Y1896:Z1896 Y1889:Z1889 X1887:X1895 W2057 X1922:Z1937 L1941:L1951 L1938:L1939 P1941:P1951 P1938:P1939 R1938:R1939 AB1942:AC1949 M1938:O1951 L1952:P1971 S1938:W1951 X1938:X1949 X1952:X1962 R1941:R1971 Q1938:Q1971 S1952:S1962 T1952:W1966 Y1938:Z1966 L1986:O1986 S1967:Z1971 L1976:AA1985 X1972:AA1975 L1990:W1990 V1986:X1986 X1989:AA1990 S1986:U1989 L1987:R1989 L2070:AA2071 L1991:AA1994 V1987:W1989 X1995:AA1998 L1999:L2005 M1999:M2002 Q1999:S2002 N1999:N2026 O1999:O2002 T2012:AA2026 X2043:AA2043 T1999:AA2008 U2009:AA2011 L2012:L2026 P2012:P2026 R2012:R2026 R2003:R2005 S2006:S2026 Q2006:Q2026 O2006:O2026 M2006:M2026 L2029:AA2029 P1999:P2005 L2032:AA2032 L2035:AA2040 W2030:AA2031 W2033:AA2034 W2027:AA2028 L2042:AA2042 N2041:P2041 T2041:V2041 X2041:AA2041 L2044:AA2045 F5142:G1048576</xm:sqref>
        </x14:dataValidation>
        <x14:dataValidation type="list" allowBlank="1" showInputMessage="1" showErrorMessage="1" xr:uid="{B23DF0E5-ABEB-42C2-BC5E-21D1A72B6E20}">
          <x14:formula1>
            <xm:f>'IGNORE Lookups'!$I$3:$I$14</xm:f>
          </x14:formula1>
          <xm:sqref>Y864:Z868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D5142:D1048576</xm:sqref>
        </x14:dataValidation>
        <x14:dataValidation type="list" allowBlank="1" showInputMessage="1" showErrorMessage="1" xr:uid="{02EB0620-5B89-4C11-9299-DE7D7509325E}">
          <x14:formula1>
            <xm:f>'IGNORE Lookups'!$G$3:$G$11</xm:f>
          </x14:formula1>
          <xm:sqref>X923:X928 X931:X948 AB943 Y942:AA945 Y950:AA950 U923:U948 X951:X952 V923:W949 U951:U952 U954:U970 O972:O973 M962:O962 R1110:X1110 M969:O969 O964:O967 M961:N961 M963:N968 M970:N970 M972:N977 W974 W968:W969 V951:V970 W951:W956 W961:W962 P972:V977 W985:X985 O975:O976 S961 S963 O979:V980 O982:O983 M979:M1080 AA985 Q986:Q1080 S986:W991 Y986:AA1051 M1081:T1109 N992:N1080 P992:P1080 X993:X1007 X1053 X1040:X1050 X1025:X1038 X1009:X1023 U992:W1069 T992:T1052 X1055 T1054 Y1056:AA1069 T1056:T1080 U1070:X1071 X1072:X1077 R992:S1080 U1072:W1080 Y1081:AA1093 U1081:U1093 V1081:X1109 S970 M1122:X1122 Y1111:AA1112 Z1122:Z1124 T951:T970 AA1123:AA1124 AC1123:AC1124 Y1124 P1125:W1125 M1126:X1126 L1504:P1516 X1129:AA1138 S968 X1139:Y1143 Y1154:AA1159 R1511:Z1516 X1145:X1160 O986:O1080 N979:N985 P985:R985 N1125 L1498:W1500 M923:T949 X1489:AA1497 L1501:AA1501 Y1498:AA1500 X1499 X1502:AA1502 L1503:O1503 P981:S984 Q1503:Q1516 S1503:AA1503 Y1504:AA1509 AA1510:AA1516 R1504:X1510 T981:V985 X954:X984 M1127:W1127 M1110:P1110 S951:S957 M951:R960 P961:R970 M1129:W1160 M1162:W1171</xm:sqref>
        </x14:dataValidation>
        <x14:dataValidation type="list" allowBlank="1" showInputMessage="1" showErrorMessage="1" prompt="Should be included in AFTs listed in land use record_x000a_" xr:uid="{7EF252FD-BAFF-477B-8C5F-96D534AF02C8}">
          <x14:formula1>
            <xm:f>'IGNORE Lookups'!$C$23:$C$41</xm:f>
          </x14:formula1>
          <xm:sqref>E1 E5142:E1048576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Y1149:AA1153 M1208:AA1210 M1213:M1225 M1227:AA1237 N1219:AA1225 AB1219:AB1223 V1211:AA1218 M1211 N1214 N1216 O1213:T1217 O1211:T1211 M1212:T1212 N1218:T1218 M1201:AC1207 Y1146:AA1146 X1197:AA1200 Y1172:AA1178 X1162:X1171 X1161:AB1161</xm:sqref>
        </x14:dataValidation>
        <x14:dataValidation type="list" allowBlank="1" showInputMessage="1" showErrorMessage="1" xr:uid="{4A73D9D5-4712-4F83-916B-305B43FBC89C}">
          <x14:formula1>
            <xm:f>'IGNORE Lookups'!$F$3:$F$27</xm:f>
          </x14:formula1>
          <xm:sqref>Y1379:AA1380 M1368:T1371 Y1373:AA1374 V1373:X1376 U1373:U1374 V1368:W1371 M1358:AA1363 X1364:AA1372 M1377:AA1378 M1379:W1410 Y1392:AA1392 M1411:AA1411 X1379:X1408 Y1407:AA1410 L2112:L2115 L1478:AA1481 M1417:R1423 M1373:T1376 M1416:O1416 S1412:X1423 Q1416 M1412:R1415 AB1445 AB1427 AB1425 AB1434 AB1436 AB1443 L1466:AA1475 N2112:N2115 L1476:W1477 P2111:W2113 L1732:X1733 L1734:Z1738 AA1732:AA1808 Y1739:Z1808 L1739:P1822 T1739:X1822 L2075:AA2075 S1740:S1748 Q1740:Q1748 Q1750:Q1758 S1750:S1758 S1760:S1768 Q1760:Q1768 Q1770:Q1778 S1770:S1778 S1780:S1788 Q1800:Q1808 Q1780:Q1788 Q1790:Q1798 R1739:R1822 S1790:S1798 S1800:S1808 X2111:X2115 X2072:AA2074 AA2076:AA2106 Y2076:Z2085 L2076:X2088 L2091:O2106 X2089:Z2090 R2091:Z2106 L2107:W2108 P2105:Q2106 P2091:P2101 Q2091:Q2104 L2111:N2111 M2114:M2115 M2109:O2110 Q2109:X2110 O2114:W2115 X3989:AA3991 L3984:AA3988 C4128:C4160 J3984:J3988 J3992:AA3992</xm:sqref>
        </x14:dataValidation>
        <x14:dataValidation type="list" allowBlank="1" showInputMessage="1" showErrorMessage="1" xr:uid="{6EC831F5-CE44-443E-883A-B397249D2404}">
          <x14:formula1>
            <xm:f>'IGNORE Lookups'!$F$29:$F$44</xm:f>
          </x14:formula1>
          <xm:sqref>N1211 M1125 N1215 O1125 X847:X848 O984:O985 P986:P991 R986:R991 Q985 O981 O977 O974 M152:AA154 Q957:Q960 Q964:Q967 O961 O970 O963 M155:S609 M1424:AA1465 O968 Q962 Q851:S853 Y861:AA862 X863 N853:P853 N1213 N854:S858 X851:AA853 Y854:AA854 M851:P852 X855:AA860 N845:Q850 M853:M858 R885:R886 N885:N886 M859:S868 R918:R921 P918:P922 N1217 R1416 P1416 M1128:X1128 N986:N991 R1503 P1503 P1564 L1564 N1564 R1564 O1240:O1242 S1660 Q1661 Q1663:Q1664 O3117 S3110:S3115 Q1110 S957 P3162:P3171 Q969 L3162:L3171 R3162:R3171 L3244:O3245 T603:V609 Q3870:Q3887 AC610 M611:V617 M619:S844 M618:X618 M610:X610 Q3271:Q3272 M1693:M1697 O1693:O1697 S1799 S1809:S1822 Q1809:Q1822 Q1739 S1739 Q1749 S1749 Q1759 S1759 Q1769 S1769 Q1779 S1779 Q1789 S1789 Q1799 N1846 R1940 L1940 P1940 S1963:S1966 P1986:R1986 Q2003:Q2005 O2003:O2005 M2003:M2005 R2006:R2011 P2006:P2011 S2003:S2005 L2006:L2011 Q2041:S2041 L2041:M2041 P2054 R2054 P2102:P2104 L2109:L2110 P2109:P2110 O2111:O2113 M2112:M2113 S2135 M151:S151 L2310:S2313 L2149:S2150 L2152:S2155 T2176:AA2176 L4430:S1048576 S2188 O2180:O2188 L2180:N2187 P2180:S2187 Q2217:R2219 Q2211:S2216 L2202:P2206 R2202:S2206 L1668:W1668 L2220:R2221 T2214:X2219 T2221:AA2221 S2217:S2221 L2211:P2219 T2220:AB2220 L2306:S2306 S2548 N2547 Q2548 L2544:L2548 P2582:S2582 N2582 R2880:R2881 O2873 N2880:N2881 O2878:O2881 L2880:L2881 M2533 M2873:M2881 S2530 S2533 M2530 S2874:S2881 Q2882:Q2948 O2958 R2953:R2955 L2961:S2962 O2965 O3014 P3031 R3031 Q3032 O3032 M3110:M3115 Q3110:Q3115 S3295:S3296 S3335:S3340 R3343 P3343 L3343 N3343 Q3534:Q3535 P3583 S3615 Q3615 Q3621 S3621 M3757:M3761 M3768:M3772 R3787 N3787 L3787 P3787 L3904:O3907 S3910:S3915 O3913:O3915 O3924:S3924 S3931:S3937 Q3939:Q3940 M3941:M3942 S3941:S3942 O3938:O3942 S3972 M3972 S3994 S3998 S4004 S4014 M4014 M4004 M4024 S4024 Q4075 O4079 M4079 S4079 Q4113:Q4116 J1281:J1292 S4221:S4225 O4227 S4237:S4240 S4244 Q4289:Q4290 Q4311 O4316 Q4334 O4314 N4350:Q4353 L4350:M4354 R4350:S4354 R4360:S4360 L4360:M4360 L4363:M4364 P4363:S4364 R4370:S4370 L4367:M4370 L4380:S4387 L4408:S4409 M4425 M4427 L2163:S2177 L1:S149 L151:L1160 L1162:L1465 Q4206:Q4211</xm:sqref>
        </x14:dataValidation>
        <x14:dataValidation type="list" allowBlank="1" showInputMessage="1" showErrorMessage="1" xr:uid="{B26A30C8-EB82-40E6-83A7-E7BE45A0CF04}">
          <x14:formula1>
            <xm:f>'IGNORE Lookups'!$G$29:$G$40</xm:f>
          </x14:formula1>
          <xm:sqref>X846 W611:W617 W1268:W1276 W1238:W1239 U1211:U1218 T1192:T1196 V1192:V1196 V1113:V1115 U1094:U1109 T1055 T1053 S985 W975:W977 W970 W963:W967 W957:W960 W972:W973 U949 U953 T885:T886 T888 T890 V918:V921 T918:T921 U1368:U1371 U1375:U1376 V1564 W1630:W1631 U1242 W979:W984 V3286:V3288 S958:S960 S962 S964:S967 S969 T619:W868 W603:W609 W1731 U1833 U1846 T2009:T2011 W2041 W2058 T155:W602 W2374 T2149:W2150 T2152:W2155 V2157:V2175 U2163:U2175 T2157:T2175 W2163:W2175 X2171:AA2175 T2177:W2177 T2180:W2187 X2187 T2211:W2213 T2202:W2206 W2314 T2306:W2306 T2310:W2313 U2317:U2320 W2317:W2320 W2329 W2338 W2347 W2356 W2365 U2540:U2543 U2545 W2554 T2587 W2503 T2961:W2962 W2978:W2987 U3012 T3030 W3031:W3032 W3069:W3080 T3083 W3110 T2415:T2417 T2401:T2405 T2407:T2408 T2412 T3176:T3182 T2450 T2443:T2444 U3234 T3238:T3239 V3343 T3349 T3352 T3355 T3358 W3582 U3582 U3592 W3599 W3738 U3784 W3910:W3915 T4058:U4059 U4064 T4203:U4203 U4204 W4206:W4207 U4271:U4275 U4320 U4334 T4380:W4387 W4389:W4390 W4403:W4404 T4408:W4409 T4430:W1048576 T3286:T3288 W1:W151 T1:V149 T151:V151 T3293:T3294</xm:sqref>
        </x14:dataValidation>
        <x14:dataValidation type="list" allowBlank="1" showInputMessage="1" showErrorMessage="1" xr:uid="{999E5E90-F9EB-4941-9A5D-878C99B401B0}">
          <x14:formula1>
            <xm:f>'IGNORE Lookups'!$H$29:$H$35</xm:f>
          </x14:formula1>
          <xm:sqref>Y823:AA850 X1409:X1410 X1278 X1264 X1262 X1253:X1255 X1238:X1239 X1192:X1196 X1144 X619:X845 X1125 X1113:X1115 X1078:X1080 X1056:X1069 X1054 X1008 X1024 X1039 X1051:X1052 X986:X992 X953 X949 X861:X862 X849:X850 X4430:X1048576 X854 X864:X868 X888 X891:X892 X895 X913 X906 X899 X917:X922 X929:X930 X1476:X1477 L2554:V2556 X1498 X1500 X1525:X1527 X1607 X1268:X1276 X1553 X1555 X1591 X1127 X1:X151 X611:X617 X1693:X1697 X1833 X1837 X1846 X1854 X1864:X1865 X1868 X1886 X1873 X1950:X1951 X1963:X1966 X1987:X1988 X2050 X2107:X2108 X2117:X2118 X155:X609 X2145:X2147 X2149:X2150 X2152:X2155 Y2155:AA2155 X2163:X2170 X2177 X2180:X2186 X2211:X2213 X2202:X2206 X2306 X2310:X2313 X2540 X2542 L1482:X1488 W2555:W2556 X2553:X2556 X2574 X2576:X2577 X2498 X2880:X2881 X2954 X2956 X2959 X2961:X2962 X2975 X2978:X2992 X3022 X3031 X3063 X3083 X3118:X3119 X3168:X3171 X3186:X3190 X3194:X3201 X3289:X3294 X3315:X3329 X3343 X3349 X3352 X3355 X3358 X3723 X3727:X3732 X3858 X3901 X4036:X4037 X4059 X4085:X4087 X4089:X4090 X4098 X4204 X4206:X4207 X4218 X4226 X4320:X4321 X4380:X4387 X4402 X4408:X4409</xm:sqref>
        </x14:dataValidation>
        <x14:dataValidation type="list" allowBlank="1" showInputMessage="1" showErrorMessage="1" xr:uid="{22B62566-8B42-4989-AC2F-9DCAB30ABC59}">
          <x14:formula1>
            <xm:f>'IGNORE Lookups'!$E$29:$E$42</xm:f>
          </x14:formula1>
          <xm:sqref>L2497:L2538 M1279:W1280 S2534:S2538 S2531:S2532 M2531:M2532 M2534:M2538 X2374:AA2382 W2504:W2538 X2499:X2538 M1372:W1372 M2497:M2529 M1277:W1277 W1192:W1196 U1192:U1196 M1192:S1196 S2497:S2529 Y1191:AA1196 M1187:AA1190 T2498:V2538 M1179:X1186 Y2514:AA2527 M950:X950 M1343:X1357 M1364:W1367 L1520:W1527 L1561:W1561 Y1520:AA1527 X1520:X1524 Q2450:S2453 L1565:W1568 L1570:W1570 L1572:W1572 P2314:P2382 Y2389:Z2394 R2314:S2394 U2494:V2497 L2963:W2964 L2973:W2973 W2496:W2502 L3011:W3011 T2495:T2497 L2841:W2843 L2448:P2449 X2495 U2428:W2429 U2431:W2432 U2434:W2435 U2437:W2438 U2440:W2441 U2443:W2446 Q2448:S2448 P2445:S2446 Y2152:Z2152 L2151:AA2151 T2156 W2156:AA2162 V2156 L2156:S2162 U2156:U2162 L2178:X2179 P2188:R2188 AA2188 T2188:X2188 L2188:N2188 R2207:AA2210 L2189:AA2201 L2207:P2210 L2450:O2453 Q2202:Q2210 Q2449:T2449 U2448:W2453 L2307:AA2309 T2317:T2388 Q2314:Q2316 W2315:W2316 T2314:U2316 V2314:V2394 W2321:W2328 X2314:AA2329 W2330:AA2337 X2338:AA2338 W2339:AA2346 X2347:AA2347 W2348:AA2355 X2356:AA2356 W2357:AA2364 X2365:AA2365 Q2321:Q2394 N2497:R2538 W2375:W2394 L2314:O2394 W2366:AA2373 L2539:X2539 U2321:U2394 N2548 L2540:T2543 X2543:X2548 V2540:W2540 V2541:X2541 V2542:W2543 M2544:T2546 U2544:W2544 U2546:W2546 V2545:W2545 M2547:M2548 O2547:P2548 Q2547:W2547 R2548 T2548:W2548 Y2544:AA2548 L2494:S2496 L2679:W2681 L2697:W2699 L2715:W2717 L2733:W2735 L2751:W2753 L2769:W2771 L2787:W2789 L2805:W2807 L2823:W2825 W2494 K2374:K2382</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Q2317:Q2320 Y2383:Z2388 P2383:P2394 T2389:T2394 X2383:X2394 AA2383:AA2405 Q2406:W2406 L2409:O2411 X2407:X2408 L2413:O2414 Q2409:W2411 Q2413:W2414 X2401:X2405 X2412 L2423:O2424 X2415:X2422 U2423:W2424 L2427:S2427 Q2423:S2424 P2401:P2424 U2427:W2427 L2430:S2430 U2430:W2430 L2433:S2433 U2433:W2433 L2436:S2436 U2436:W2436 L2439:S2439 U2439:W2439 L2442:O2442 T2418:T2441 Q2442:W2442 T2494 P2442:P2444 T2448 Y2445:Z2446 AA2407:AA2446 T2445:T2446 X2425:X2446 Z2454 P2450:P2453 X2448:X2453 Y2448:Y2449 Z2448:Z2450 Z2452 T2451:T2453 X2496:X2497 W2495 X2486:X2488 L2406:O2406 AA2448:AA2479 Y2492:AA2497 X2490:X2494 J2489:X2489</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Y2177:Z2179 AA2179 AA2211:AA2219 L2401:O2405 AA2406 U2401:W2405 Q2401:S2405 L2407:O2408 L2412:O2412 Q2407:S2408 U2407:W2408 L2415:O2422 Q2412:S2412 U2412:W2412 X2413:X2414 X2409:X2411 X2406 X2423:X2424 U2415:W2422 Q2415:S2422 L2425:S2426 L2428:S2429 L2431:S2432 L2434:S2435 L2437:S2438 L2440:S2441 L2443:O2446 U2425:W2426 Q2443:S2444 Y2425:Z2444 X2447:AA2447 X2454:X2485 L2395:Z2400 Y2480:AA2491 J2456:W2488 J2490:W2493</xm:sqref>
        </x14:dataValidation>
        <x14:dataValidation type="list" allowBlank="1" showInputMessage="1" showErrorMessage="1" prompt="One of: Traditional , Private, Centrally-allocated, Insecure, Mixed. _x000a_" xr:uid="{BF1116FB-359C-47E7-BC75-685C624DF54C}">
          <x14:formula1>
            <xm:f>'IGNORE Lookups'!$A$23:$A$28</xm:f>
          </x14:formula1>
          <xm:sqref>W2974:W2977 Y2973:AA2975 X2974 L2988:W2992 X2976:AA2977 Y3277:Z3280 N4427:Z4429 L3012:T3012 X3011:AA3011 L3014:N3014 V3012:X3012 AA3012 W3013:AA3013 AA3014:AA3028 L3015:X3015 P3014:X3014 L3016:Z3021 L3022:W3022 L3025:W3025 Y3022:Z3022 L3023:Z3024 X3025:X3030 L3027:W3030 L3034:Z3062 AA3030:AA3064 U3031:V3032 X3032 L3031:O3031 L3032:N3032 Q3031 P3032 R3032:T3032 S3031:T3031 X3033:Z3033 L3063:W3063 L3064:Z3064 L3065:V3080 W3065:W3068 X3065:X3082 L3082:W3082 L3083:S3083 Y3082:AA3082 U3083:W3083 L3091:AA3097 L3098:X3109 X3084:AA3090 AA3098:AA3101 L3110:L3115 N3110:P3115 R3110:R3116 L3117:N3117 T3110:V3115 X3110:X3116 W3111:W3116 L3116:Q3116 P3117:AA3117 AA3118:AA3126 L3118:W3119 S3116:V3116 Y3116:AA3116 L3120:Z3126 L3127:AA3133 L3134:X3144 L3145:AA3145 L3146:X3152 L3153:AA3153 Y3283:AA3285 L3184:AA3184 L3154:X3161 X3162:X3167 S3162:W3171 Q3162:Q3182 M3162:O3171 R3172:AA3175 L3172:P3182 R3176:S3182 U3176:AA3182 X3183:AA3183 L3186:W3190 X3185:AA3185 L3191:AA3193 L3194:W3201 AA3194:AA3235 X3202:Z3202 L3203:X3203 L3204:Z3204 L3205:W3215 L3227:Z3227 L3229:W3230 L3234:T3234 X3205:Z3226 X3228:Z3233 L3236:AA3237 V3234:Z3234 L3235:Z3235 L3238:S3239 U3238:AA3239 L3240:X3243 AA3240:AA3243 AA3286:AA3290 P3244:X3245 L3261:X3270 L3246:X3254 L3255:Z3258 W3259:Z3260 AA3246:AA3280 L2993:AA3010 Y3266:Z3270 R3271:X3272 L3271:P3272 L2975:V2987 Y2949:AA2951 AA4388:AA4390 K4402:W4402 AA4398 Y4402:Z4402 K4403:V4404 X4403:X4407 K4410:X4421 AA3293 Y4408:Z4408 Y4410:Z4411 AB4413:AC4414 K4422:L4429 AA4401:AA4429 Y4415:Z4421 L4405:W4407 M4422:M4424 M4426:Z4426 M4428:M4429 N4422:Z4425 L3273:S3288 T3273:T3285 U3273:U3288 W3273:X3288 V3273:V3285 J4405:K4409 J4410:J4429 J4402:J4404 J4398:X4401</xm:sqref>
        </x14:dataValidation>
        <x14:dataValidation type="list" allowBlank="1" showInputMessage="1" showErrorMessage="1" xr:uid="{E36CE04E-BEBD-4D0D-A047-604BF44253E5}">
          <x14:formula1>
            <xm:f>'IGNORE Lookups'!$E$29:$E$45</xm:f>
          </x14:formula1>
          <xm:sqref>T3289:T3292 T3295:X3296 L3295:R3296 AA3303:AA3306 K3297:X3306 K2953:K3296 J3534:J3535 J1293:J2455 K4380:X4380 J3694:W3694 K3617 J3983 K3987:K3988 J4057:W4057 K4206:K4207 J4247 K4212:K4213 J4244 K4379:AA4379 J4430:K1048576 K2:K2373 K4388:V4389 Y4380:AA4387 K4383:X4385 W4388 L4388:V4390 X4388:X4397 Y4391:AA4397 L4391:W4397 J4060:W4060 J4289:K4290 J3696:W3696 J3698:W3699 L150:V150 L1161:W1161 J2:J1280 K2383:K2455 J2494:K2948 J2952:AA2952 L3289:S3294 U3289:W3294 J2953:J3306 J4380:K4397 J4379:J4380 J4319:W4319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95"/>
  <sheetViews>
    <sheetView zoomScale="57" zoomScaleNormal="57" workbookViewId="0">
      <pane ySplit="1" topLeftCell="A933" activePane="bottomLeft" state="frozen"/>
      <selection activeCell="F1" sqref="F1"/>
      <selection pane="bottomLeft" activeCell="E302" sqref="E302:E304"/>
    </sheetView>
  </sheetViews>
  <sheetFormatPr defaultRowHeight="14.5"/>
  <cols>
    <col min="1" max="1" width="20.26953125" customWidth="1"/>
    <col min="2" max="2" width="25.1796875" customWidth="1"/>
    <col min="3" max="3" width="20.81640625" customWidth="1"/>
    <col min="4" max="4" width="24.81640625" customWidth="1"/>
    <col min="5" max="5" width="21.453125" style="56"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2260</v>
      </c>
      <c r="B1" s="2" t="s">
        <v>1131</v>
      </c>
      <c r="C1" s="2" t="s">
        <v>6</v>
      </c>
      <c r="D1" s="2" t="s">
        <v>7</v>
      </c>
      <c r="E1" s="15" t="s">
        <v>2281</v>
      </c>
      <c r="F1" s="2" t="s">
        <v>117</v>
      </c>
      <c r="G1" s="2" t="s">
        <v>1083</v>
      </c>
      <c r="H1" s="2" t="s">
        <v>2426</v>
      </c>
      <c r="I1" s="2" t="s">
        <v>525</v>
      </c>
      <c r="J1" s="2" t="s">
        <v>2436</v>
      </c>
      <c r="K1" s="2" t="s">
        <v>2437</v>
      </c>
      <c r="L1" s="2" t="s">
        <v>2427</v>
      </c>
      <c r="M1" s="2" t="s">
        <v>533</v>
      </c>
      <c r="N1" s="16" t="s">
        <v>6248</v>
      </c>
    </row>
    <row r="2" spans="1:14" ht="28" customHeight="1">
      <c r="A2" s="6" t="s">
        <v>14</v>
      </c>
      <c r="B2" s="6" t="s">
        <v>39</v>
      </c>
      <c r="C2" s="6" t="s">
        <v>23</v>
      </c>
      <c r="D2" s="6" t="s">
        <v>24</v>
      </c>
      <c r="E2" s="6" t="s">
        <v>44</v>
      </c>
      <c r="F2" s="6" t="s">
        <v>28</v>
      </c>
      <c r="G2" s="6"/>
      <c r="H2" s="6" t="s">
        <v>2272</v>
      </c>
      <c r="I2" s="5" t="s">
        <v>2272</v>
      </c>
      <c r="J2" s="6" t="s">
        <v>2272</v>
      </c>
      <c r="K2" s="6" t="s">
        <v>2272</v>
      </c>
      <c r="L2" s="6" t="s">
        <v>2272</v>
      </c>
      <c r="M2" s="44" t="s">
        <v>2272</v>
      </c>
      <c r="N2" s="5"/>
    </row>
    <row r="3" spans="1:14" ht="28" customHeight="1">
      <c r="A3" s="4" t="s">
        <v>14</v>
      </c>
      <c r="B3" s="4" t="s">
        <v>40</v>
      </c>
      <c r="C3" s="4" t="s">
        <v>23</v>
      </c>
      <c r="D3" s="4" t="s">
        <v>25</v>
      </c>
      <c r="E3" s="4" t="s">
        <v>44</v>
      </c>
      <c r="F3" s="4" t="s">
        <v>28</v>
      </c>
      <c r="G3" s="4"/>
      <c r="H3" s="4" t="s">
        <v>2272</v>
      </c>
      <c r="I3" s="3" t="s">
        <v>2272</v>
      </c>
      <c r="J3" s="4" t="s">
        <v>2272</v>
      </c>
      <c r="K3" s="4" t="s">
        <v>2272</v>
      </c>
      <c r="L3" s="4" t="s">
        <v>2272</v>
      </c>
      <c r="M3" s="45" t="s">
        <v>2272</v>
      </c>
      <c r="N3" s="3"/>
    </row>
    <row r="4" spans="1:14" ht="28" customHeight="1">
      <c r="A4" s="4" t="s">
        <v>14</v>
      </c>
      <c r="B4" s="4" t="s">
        <v>41</v>
      </c>
      <c r="C4" s="4" t="s">
        <v>23</v>
      </c>
      <c r="D4" s="4" t="s">
        <v>26</v>
      </c>
      <c r="E4" s="4" t="s">
        <v>395</v>
      </c>
      <c r="F4" s="4" t="s">
        <v>27</v>
      </c>
      <c r="G4" s="4"/>
      <c r="H4" s="4" t="s">
        <v>2272</v>
      </c>
      <c r="I4" s="3" t="s">
        <v>2272</v>
      </c>
      <c r="J4" s="4" t="s">
        <v>2272</v>
      </c>
      <c r="K4" s="4" t="s">
        <v>2272</v>
      </c>
      <c r="L4" s="4" t="s">
        <v>2272</v>
      </c>
      <c r="M4" s="45" t="s">
        <v>2272</v>
      </c>
      <c r="N4" s="3"/>
    </row>
    <row r="5" spans="1:14" ht="28" customHeight="1">
      <c r="A5" s="4" t="s">
        <v>14</v>
      </c>
      <c r="B5" s="4" t="s">
        <v>42</v>
      </c>
      <c r="C5" s="4" t="s">
        <v>30</v>
      </c>
      <c r="D5" s="4" t="s">
        <v>29</v>
      </c>
      <c r="E5" s="4" t="s">
        <v>44</v>
      </c>
      <c r="F5" s="4" t="s">
        <v>31</v>
      </c>
      <c r="G5" s="4"/>
      <c r="H5" s="4" t="s">
        <v>2272</v>
      </c>
      <c r="I5" s="3" t="s">
        <v>2272</v>
      </c>
      <c r="J5" s="4" t="s">
        <v>2272</v>
      </c>
      <c r="K5" s="4" t="s">
        <v>2272</v>
      </c>
      <c r="L5" s="4" t="s">
        <v>2272</v>
      </c>
      <c r="M5" s="45" t="s">
        <v>2272</v>
      </c>
      <c r="N5" s="3"/>
    </row>
    <row r="6" spans="1:14" ht="28" customHeight="1">
      <c r="A6" s="4" t="s">
        <v>14</v>
      </c>
      <c r="B6" s="4" t="s">
        <v>43</v>
      </c>
      <c r="C6" s="4" t="s">
        <v>23</v>
      </c>
      <c r="D6" s="4" t="s">
        <v>2342</v>
      </c>
      <c r="E6" s="9"/>
      <c r="F6" s="4" t="s">
        <v>31</v>
      </c>
      <c r="G6" s="4"/>
      <c r="H6" s="4" t="s">
        <v>2272</v>
      </c>
      <c r="I6" s="3" t="s">
        <v>2272</v>
      </c>
      <c r="J6" s="4" t="s">
        <v>2272</v>
      </c>
      <c r="K6" s="4" t="s">
        <v>2272</v>
      </c>
      <c r="L6" s="4" t="s">
        <v>2272</v>
      </c>
      <c r="M6" s="45" t="s">
        <v>2272</v>
      </c>
      <c r="N6" s="3"/>
    </row>
    <row r="7" spans="1:14" ht="28" customHeight="1">
      <c r="A7" s="4" t="s">
        <v>14</v>
      </c>
      <c r="B7" s="4" t="s">
        <v>59</v>
      </c>
      <c r="C7" s="4" t="s">
        <v>23</v>
      </c>
      <c r="D7" s="4" t="s">
        <v>60</v>
      </c>
      <c r="E7" s="24" t="s">
        <v>114</v>
      </c>
      <c r="F7" s="4" t="s">
        <v>61</v>
      </c>
      <c r="G7" s="4"/>
      <c r="H7" s="4" t="s">
        <v>2272</v>
      </c>
      <c r="I7" s="3" t="s">
        <v>2272</v>
      </c>
      <c r="J7" s="4" t="s">
        <v>2272</v>
      </c>
      <c r="K7" s="4" t="s">
        <v>2272</v>
      </c>
      <c r="L7" s="4" t="s">
        <v>2272</v>
      </c>
      <c r="M7" s="45" t="s">
        <v>2272</v>
      </c>
      <c r="N7" s="3"/>
    </row>
    <row r="8" spans="1:14" ht="28" customHeight="1">
      <c r="A8" s="19" t="s">
        <v>15</v>
      </c>
      <c r="B8" s="19" t="s">
        <v>45</v>
      </c>
      <c r="C8" s="19" t="s">
        <v>23</v>
      </c>
      <c r="D8" s="19" t="s">
        <v>24</v>
      </c>
      <c r="E8" s="4" t="s">
        <v>44</v>
      </c>
      <c r="F8" s="19" t="s">
        <v>28</v>
      </c>
      <c r="G8" s="19"/>
      <c r="H8" s="19" t="s">
        <v>2272</v>
      </c>
      <c r="I8" s="3" t="s">
        <v>2272</v>
      </c>
      <c r="J8" s="19" t="s">
        <v>2272</v>
      </c>
      <c r="K8" s="19" t="s">
        <v>2272</v>
      </c>
      <c r="L8" s="19" t="s">
        <v>2272</v>
      </c>
      <c r="M8" s="46" t="s">
        <v>2272</v>
      </c>
      <c r="N8" s="3"/>
    </row>
    <row r="9" spans="1:14" ht="28" customHeight="1">
      <c r="A9" s="19" t="s">
        <v>16</v>
      </c>
      <c r="B9" s="19" t="s">
        <v>46</v>
      </c>
      <c r="C9" s="19" t="s">
        <v>23</v>
      </c>
      <c r="D9" s="19" t="s">
        <v>26</v>
      </c>
      <c r="E9" s="4" t="s">
        <v>395</v>
      </c>
      <c r="F9" s="19" t="s">
        <v>27</v>
      </c>
      <c r="G9" s="19"/>
      <c r="H9" s="19" t="s">
        <v>2272</v>
      </c>
      <c r="I9" s="3" t="s">
        <v>2272</v>
      </c>
      <c r="J9" s="19" t="s">
        <v>2272</v>
      </c>
      <c r="K9" s="19" t="s">
        <v>2272</v>
      </c>
      <c r="L9" s="19" t="s">
        <v>2272</v>
      </c>
      <c r="M9" s="46" t="s">
        <v>2272</v>
      </c>
      <c r="N9" s="3"/>
    </row>
    <row r="10" spans="1:14" ht="28" customHeight="1">
      <c r="A10" s="19" t="s">
        <v>17</v>
      </c>
      <c r="B10" s="19" t="s">
        <v>50</v>
      </c>
      <c r="C10" s="19" t="s">
        <v>23</v>
      </c>
      <c r="D10" s="19" t="s">
        <v>24</v>
      </c>
      <c r="E10" s="4" t="s">
        <v>44</v>
      </c>
      <c r="F10" s="19" t="s">
        <v>28</v>
      </c>
      <c r="G10" s="19"/>
      <c r="H10" s="19" t="s">
        <v>2272</v>
      </c>
      <c r="I10" s="3" t="s">
        <v>2272</v>
      </c>
      <c r="J10" s="19" t="s">
        <v>2272</v>
      </c>
      <c r="K10" s="19" t="s">
        <v>2272</v>
      </c>
      <c r="L10" s="19" t="s">
        <v>2272</v>
      </c>
      <c r="M10" s="46" t="s">
        <v>2272</v>
      </c>
      <c r="N10" s="3"/>
    </row>
    <row r="11" spans="1:14" ht="40.5" customHeight="1">
      <c r="A11" s="4" t="s">
        <v>18</v>
      </c>
      <c r="B11" s="4" t="s">
        <v>52</v>
      </c>
      <c r="C11" s="4" t="s">
        <v>23</v>
      </c>
      <c r="D11" s="4" t="s">
        <v>24</v>
      </c>
      <c r="E11" s="4" t="s">
        <v>44</v>
      </c>
      <c r="F11" s="4" t="s">
        <v>28</v>
      </c>
      <c r="G11" s="4"/>
      <c r="H11" s="4" t="s">
        <v>2272</v>
      </c>
      <c r="I11" s="3" t="s">
        <v>2272</v>
      </c>
      <c r="J11" s="4" t="s">
        <v>2272</v>
      </c>
      <c r="K11" s="4" t="s">
        <v>2272</v>
      </c>
      <c r="L11" s="4" t="s">
        <v>2272</v>
      </c>
      <c r="M11" s="45" t="s">
        <v>2272</v>
      </c>
      <c r="N11" s="3"/>
    </row>
    <row r="12" spans="1:14" ht="40.5" customHeight="1">
      <c r="A12" s="4" t="s">
        <v>18</v>
      </c>
      <c r="B12" s="4" t="s">
        <v>53</v>
      </c>
      <c r="C12" s="4" t="s">
        <v>23</v>
      </c>
      <c r="D12" s="4" t="s">
        <v>142</v>
      </c>
      <c r="E12" s="4" t="s">
        <v>135</v>
      </c>
      <c r="F12" s="4" t="s">
        <v>54</v>
      </c>
      <c r="G12" s="4"/>
      <c r="H12" s="4" t="s">
        <v>2272</v>
      </c>
      <c r="I12" s="3" t="s">
        <v>2272</v>
      </c>
      <c r="J12" s="4" t="s">
        <v>2272</v>
      </c>
      <c r="K12" s="4" t="s">
        <v>2272</v>
      </c>
      <c r="L12" s="4" t="s">
        <v>2272</v>
      </c>
      <c r="M12" s="45" t="s">
        <v>2272</v>
      </c>
      <c r="N12" s="3"/>
    </row>
    <row r="13" spans="1:14" ht="46" customHeight="1">
      <c r="A13" s="26" t="s">
        <v>70</v>
      </c>
      <c r="B13" s="26" t="s">
        <v>72</v>
      </c>
      <c r="C13" s="26" t="s">
        <v>23</v>
      </c>
      <c r="D13" s="26" t="s">
        <v>26</v>
      </c>
      <c r="E13" s="26" t="s">
        <v>395</v>
      </c>
      <c r="F13" s="26" t="s">
        <v>73</v>
      </c>
      <c r="G13" s="26"/>
      <c r="H13" s="100">
        <v>2</v>
      </c>
      <c r="I13" s="9" t="s">
        <v>118</v>
      </c>
      <c r="J13" s="26" t="s">
        <v>2272</v>
      </c>
      <c r="K13" s="26" t="s">
        <v>2272</v>
      </c>
      <c r="L13" s="26" t="s">
        <v>2272</v>
      </c>
      <c r="M13" s="47" t="s">
        <v>2272</v>
      </c>
      <c r="N13" s="3"/>
    </row>
    <row r="14" spans="1:14" ht="40.5" customHeight="1">
      <c r="A14" s="19" t="s">
        <v>110</v>
      </c>
      <c r="B14" s="19" t="s">
        <v>113</v>
      </c>
      <c r="C14" s="19" t="s">
        <v>23</v>
      </c>
      <c r="D14" s="19" t="s">
        <v>2654</v>
      </c>
      <c r="E14" s="19" t="s">
        <v>82</v>
      </c>
      <c r="F14" s="19" t="s">
        <v>27</v>
      </c>
      <c r="G14" s="19"/>
      <c r="H14" s="19" t="s">
        <v>2272</v>
      </c>
      <c r="I14" s="3" t="s">
        <v>2272</v>
      </c>
      <c r="J14" s="19" t="s">
        <v>2272</v>
      </c>
      <c r="K14" s="19" t="s">
        <v>2272</v>
      </c>
      <c r="L14" s="19" t="s">
        <v>2272</v>
      </c>
      <c r="M14" s="46" t="s">
        <v>2272</v>
      </c>
      <c r="N14" s="3"/>
    </row>
    <row r="15" spans="1:14" ht="247" customHeight="1">
      <c r="A15" s="23" t="s">
        <v>121</v>
      </c>
      <c r="B15" s="23" t="s">
        <v>122</v>
      </c>
      <c r="C15" s="23" t="s">
        <v>23</v>
      </c>
      <c r="D15" s="23" t="s">
        <v>26</v>
      </c>
      <c r="E15" s="26" t="s">
        <v>395</v>
      </c>
      <c r="F15" s="23" t="s">
        <v>73</v>
      </c>
      <c r="G15" s="23"/>
      <c r="H15" s="23">
        <v>1</v>
      </c>
      <c r="I15" s="4" t="s">
        <v>2282</v>
      </c>
      <c r="J15" s="23" t="s">
        <v>2272</v>
      </c>
      <c r="K15" s="23" t="s">
        <v>2272</v>
      </c>
      <c r="L15" s="23" t="s">
        <v>2272</v>
      </c>
      <c r="M15" s="48" t="s">
        <v>2272</v>
      </c>
      <c r="N15" s="3"/>
    </row>
    <row r="16" spans="1:14" ht="295.5" customHeight="1">
      <c r="A16" s="23" t="s">
        <v>121</v>
      </c>
      <c r="B16" s="23" t="s">
        <v>123</v>
      </c>
      <c r="C16" s="23" t="s">
        <v>23</v>
      </c>
      <c r="D16" s="23" t="s">
        <v>26</v>
      </c>
      <c r="E16" s="26" t="s">
        <v>395</v>
      </c>
      <c r="F16" s="23" t="s">
        <v>124</v>
      </c>
      <c r="G16" s="23"/>
      <c r="H16" s="23">
        <v>1</v>
      </c>
      <c r="I16" s="4" t="s">
        <v>2283</v>
      </c>
      <c r="J16" s="23" t="s">
        <v>2272</v>
      </c>
      <c r="K16" s="23" t="s">
        <v>2272</v>
      </c>
      <c r="L16" s="23" t="s">
        <v>2272</v>
      </c>
      <c r="M16" s="48" t="s">
        <v>2272</v>
      </c>
      <c r="N16" s="3"/>
    </row>
    <row r="17" spans="1:14" ht="52.5" customHeight="1">
      <c r="A17" s="23" t="s">
        <v>143</v>
      </c>
      <c r="B17" s="23" t="s">
        <v>2296</v>
      </c>
      <c r="C17" s="23" t="s">
        <v>23</v>
      </c>
      <c r="D17" s="23" t="s">
        <v>26</v>
      </c>
      <c r="E17" s="26" t="s">
        <v>395</v>
      </c>
      <c r="F17" s="23" t="s">
        <v>73</v>
      </c>
      <c r="G17" s="23"/>
      <c r="H17" s="23">
        <v>0</v>
      </c>
      <c r="I17" s="4" t="s">
        <v>2300</v>
      </c>
      <c r="J17" s="23"/>
      <c r="K17" s="23"/>
      <c r="L17" s="23"/>
      <c r="M17" s="48"/>
      <c r="N17" s="3"/>
    </row>
    <row r="18" spans="1:14" ht="52.5" customHeight="1">
      <c r="A18" s="23" t="s">
        <v>143</v>
      </c>
      <c r="B18" s="23" t="s">
        <v>2297</v>
      </c>
      <c r="C18" s="23" t="s">
        <v>23</v>
      </c>
      <c r="D18" s="23" t="s">
        <v>1241</v>
      </c>
      <c r="E18" s="26" t="s">
        <v>114</v>
      </c>
      <c r="F18" s="23" t="s">
        <v>73</v>
      </c>
      <c r="G18" s="23"/>
      <c r="H18" s="23">
        <v>0</v>
      </c>
      <c r="I18" s="4" t="s">
        <v>2300</v>
      </c>
      <c r="J18" s="23"/>
      <c r="K18" s="23"/>
      <c r="L18" s="23"/>
      <c r="M18" s="48"/>
      <c r="N18" s="3"/>
    </row>
    <row r="19" spans="1:14" ht="52.5" customHeight="1">
      <c r="A19" s="23" t="s">
        <v>507</v>
      </c>
      <c r="B19" s="23" t="s">
        <v>2305</v>
      </c>
      <c r="C19" s="23" t="s">
        <v>23</v>
      </c>
      <c r="D19" s="23" t="s">
        <v>1241</v>
      </c>
      <c r="E19" s="26" t="s">
        <v>114</v>
      </c>
      <c r="F19" s="23" t="s">
        <v>73</v>
      </c>
      <c r="G19" s="23"/>
      <c r="H19" s="23">
        <v>0</v>
      </c>
      <c r="I19" s="4" t="s">
        <v>2325</v>
      </c>
      <c r="J19" s="23"/>
      <c r="K19" s="23"/>
      <c r="L19" s="23"/>
      <c r="M19" s="48"/>
      <c r="N19" s="3"/>
    </row>
    <row r="20" spans="1:14" ht="52.5" customHeight="1">
      <c r="A20" s="23" t="s">
        <v>507</v>
      </c>
      <c r="B20" s="23" t="s">
        <v>2306</v>
      </c>
      <c r="C20" s="23" t="s">
        <v>23</v>
      </c>
      <c r="D20" s="23" t="s">
        <v>1241</v>
      </c>
      <c r="E20" s="26" t="s">
        <v>114</v>
      </c>
      <c r="F20" s="23" t="s">
        <v>158</v>
      </c>
      <c r="G20" s="23"/>
      <c r="H20" s="23">
        <v>0</v>
      </c>
      <c r="I20" s="4" t="s">
        <v>2325</v>
      </c>
      <c r="J20" s="23"/>
      <c r="K20" s="23"/>
      <c r="L20" s="23"/>
      <c r="M20" s="48"/>
      <c r="N20" s="3"/>
    </row>
    <row r="21" spans="1:14" ht="52.5" customHeight="1">
      <c r="A21" s="23" t="s">
        <v>2311</v>
      </c>
      <c r="B21" s="23" t="s">
        <v>2313</v>
      </c>
      <c r="C21" s="23" t="s">
        <v>23</v>
      </c>
      <c r="D21" s="23" t="s">
        <v>1241</v>
      </c>
      <c r="E21" s="26" t="s">
        <v>114</v>
      </c>
      <c r="F21" s="23" t="s">
        <v>73</v>
      </c>
      <c r="G21" s="23"/>
      <c r="H21" s="23">
        <v>0</v>
      </c>
      <c r="I21" s="4" t="s">
        <v>2325</v>
      </c>
      <c r="J21" s="23"/>
      <c r="K21" s="23"/>
      <c r="L21" s="23"/>
      <c r="M21" s="48"/>
      <c r="N21" s="3"/>
    </row>
    <row r="22" spans="1:14" ht="52.5" customHeight="1">
      <c r="A22" s="23" t="s">
        <v>2311</v>
      </c>
      <c r="B22" s="23" t="s">
        <v>2314</v>
      </c>
      <c r="C22" s="23" t="s">
        <v>23</v>
      </c>
      <c r="D22" s="23" t="s">
        <v>1241</v>
      </c>
      <c r="E22" s="26" t="s">
        <v>114</v>
      </c>
      <c r="F22" s="23" t="s">
        <v>158</v>
      </c>
      <c r="G22" s="23"/>
      <c r="H22" s="23">
        <v>0</v>
      </c>
      <c r="I22" s="4" t="s">
        <v>2325</v>
      </c>
      <c r="J22" s="23"/>
      <c r="K22" s="23"/>
      <c r="L22" s="23"/>
      <c r="M22" s="48"/>
      <c r="N22" s="3"/>
    </row>
    <row r="23" spans="1:14" ht="52.5" customHeight="1">
      <c r="A23" s="23" t="s">
        <v>2312</v>
      </c>
      <c r="B23" s="23" t="s">
        <v>2316</v>
      </c>
      <c r="C23" s="23" t="s">
        <v>23</v>
      </c>
      <c r="D23" s="23" t="s">
        <v>1241</v>
      </c>
      <c r="E23" s="26" t="s">
        <v>114</v>
      </c>
      <c r="F23" s="23" t="s">
        <v>73</v>
      </c>
      <c r="G23" s="23"/>
      <c r="H23" s="23">
        <v>0</v>
      </c>
      <c r="I23" s="4" t="s">
        <v>2325</v>
      </c>
      <c r="J23" s="23"/>
      <c r="K23" s="23"/>
      <c r="L23" s="23"/>
      <c r="M23" s="48"/>
      <c r="N23" s="3"/>
    </row>
    <row r="24" spans="1:14" ht="52.5" customHeight="1">
      <c r="A24" s="23" t="s">
        <v>2312</v>
      </c>
      <c r="B24" s="23" t="s">
        <v>2317</v>
      </c>
      <c r="C24" s="23" t="s">
        <v>23</v>
      </c>
      <c r="D24" s="23" t="s">
        <v>1241</v>
      </c>
      <c r="E24" s="26" t="s">
        <v>114</v>
      </c>
      <c r="F24" s="23" t="s">
        <v>158</v>
      </c>
      <c r="G24" s="23"/>
      <c r="H24" s="23">
        <v>0</v>
      </c>
      <c r="I24" s="4" t="s">
        <v>2325</v>
      </c>
      <c r="J24" s="23"/>
      <c r="K24" s="23" t="s">
        <v>5077</v>
      </c>
      <c r="L24" s="23"/>
      <c r="M24" s="48"/>
      <c r="N24" s="3"/>
    </row>
    <row r="25" spans="1:14" ht="52.5" customHeight="1">
      <c r="A25" s="23" t="s">
        <v>930</v>
      </c>
      <c r="B25" s="23" t="s">
        <v>5054</v>
      </c>
      <c r="C25" s="23" t="s">
        <v>23</v>
      </c>
      <c r="D25" s="23" t="s">
        <v>2799</v>
      </c>
      <c r="E25" s="26" t="s">
        <v>5000</v>
      </c>
      <c r="F25" s="26" t="s">
        <v>2657</v>
      </c>
      <c r="G25" s="23"/>
      <c r="H25" s="23">
        <v>0</v>
      </c>
      <c r="I25" s="4" t="s">
        <v>5075</v>
      </c>
      <c r="J25" s="23" t="s">
        <v>2272</v>
      </c>
      <c r="K25" s="23" t="s">
        <v>2272</v>
      </c>
      <c r="L25" s="23" t="s">
        <v>2272</v>
      </c>
      <c r="M25" s="48" t="s">
        <v>2272</v>
      </c>
      <c r="N25" s="3"/>
    </row>
    <row r="26" spans="1:14" ht="52.5" customHeight="1">
      <c r="A26" s="23" t="s">
        <v>930</v>
      </c>
      <c r="B26" s="23" t="s">
        <v>5055</v>
      </c>
      <c r="C26" s="23" t="s">
        <v>1102</v>
      </c>
      <c r="D26" s="23" t="s">
        <v>1102</v>
      </c>
      <c r="E26" s="26" t="s">
        <v>3204</v>
      </c>
      <c r="F26" s="26" t="s">
        <v>2657</v>
      </c>
      <c r="G26" s="23"/>
      <c r="H26" s="23" t="s">
        <v>2272</v>
      </c>
      <c r="I26" s="23" t="s">
        <v>2272</v>
      </c>
      <c r="J26" s="23" t="s">
        <v>2272</v>
      </c>
      <c r="K26" s="23" t="s">
        <v>2272</v>
      </c>
      <c r="L26" s="23">
        <v>2</v>
      </c>
      <c r="M26" s="47" t="s">
        <v>5073</v>
      </c>
      <c r="N26" s="3"/>
    </row>
    <row r="27" spans="1:14" ht="52.5" customHeight="1">
      <c r="A27" s="23" t="s">
        <v>930</v>
      </c>
      <c r="B27" s="23" t="s">
        <v>5056</v>
      </c>
      <c r="C27" s="23" t="s">
        <v>1102</v>
      </c>
      <c r="D27" s="23" t="s">
        <v>1102</v>
      </c>
      <c r="E27" s="26" t="s">
        <v>135</v>
      </c>
      <c r="F27" s="26" t="s">
        <v>2657</v>
      </c>
      <c r="G27" s="23"/>
      <c r="H27" s="23" t="s">
        <v>2272</v>
      </c>
      <c r="I27" s="23" t="s">
        <v>2272</v>
      </c>
      <c r="J27" s="23">
        <v>0</v>
      </c>
      <c r="K27" s="23" t="s">
        <v>5077</v>
      </c>
      <c r="L27" s="23" t="s">
        <v>2272</v>
      </c>
      <c r="M27" s="48" t="s">
        <v>2272</v>
      </c>
      <c r="N27" s="3"/>
    </row>
    <row r="28" spans="1:14" ht="52.5" customHeight="1">
      <c r="A28" s="23" t="s">
        <v>5053</v>
      </c>
      <c r="B28" s="23" t="s">
        <v>5062</v>
      </c>
      <c r="C28" s="23" t="s">
        <v>23</v>
      </c>
      <c r="D28" s="23"/>
      <c r="E28" s="26" t="s">
        <v>5000</v>
      </c>
      <c r="F28" s="26" t="s">
        <v>2657</v>
      </c>
      <c r="G28" s="23"/>
      <c r="H28" s="23">
        <v>1</v>
      </c>
      <c r="I28" s="4" t="s">
        <v>5076</v>
      </c>
      <c r="J28" s="23">
        <v>2</v>
      </c>
      <c r="K28" s="23" t="s">
        <v>5074</v>
      </c>
      <c r="L28" s="23" t="s">
        <v>2272</v>
      </c>
      <c r="M28" s="48" t="s">
        <v>2272</v>
      </c>
      <c r="N28" s="3"/>
    </row>
    <row r="29" spans="1:14" ht="57.5" customHeight="1">
      <c r="A29" s="19" t="s">
        <v>1095</v>
      </c>
      <c r="B29" s="19" t="s">
        <v>1098</v>
      </c>
      <c r="C29" s="23" t="s">
        <v>1102</v>
      </c>
      <c r="D29" s="19" t="s">
        <v>1102</v>
      </c>
      <c r="E29" s="19" t="s">
        <v>135</v>
      </c>
      <c r="F29" s="19" t="s">
        <v>73</v>
      </c>
      <c r="G29" s="3"/>
      <c r="H29" s="3" t="s">
        <v>2272</v>
      </c>
      <c r="I29" s="3" t="s">
        <v>2272</v>
      </c>
      <c r="J29" s="3" t="s">
        <v>2272</v>
      </c>
      <c r="K29" s="3" t="s">
        <v>2272</v>
      </c>
      <c r="L29" s="3">
        <v>3</v>
      </c>
      <c r="M29" s="45" t="s">
        <v>1103</v>
      </c>
      <c r="N29" s="3"/>
    </row>
    <row r="30" spans="1:14" ht="57.5" customHeight="1">
      <c r="A30" s="19" t="s">
        <v>1114</v>
      </c>
      <c r="B30" s="19" t="s">
        <v>2327</v>
      </c>
      <c r="C30" s="23" t="s">
        <v>23</v>
      </c>
      <c r="D30" s="19" t="s">
        <v>1102</v>
      </c>
      <c r="E30" s="19" t="s">
        <v>1102</v>
      </c>
      <c r="F30" s="19" t="s">
        <v>1102</v>
      </c>
      <c r="G30" s="3"/>
      <c r="H30" s="23">
        <v>0</v>
      </c>
      <c r="I30" s="4" t="s">
        <v>2346</v>
      </c>
      <c r="J30" s="3" t="s">
        <v>2272</v>
      </c>
      <c r="K30" s="3" t="s">
        <v>2272</v>
      </c>
      <c r="L30" s="3" t="s">
        <v>2272</v>
      </c>
      <c r="M30" s="49" t="s">
        <v>2272</v>
      </c>
      <c r="N30" s="3"/>
    </row>
    <row r="31" spans="1:14" ht="57.5" customHeight="1">
      <c r="A31" s="19" t="s">
        <v>1115</v>
      </c>
      <c r="B31" s="19" t="s">
        <v>2329</v>
      </c>
      <c r="C31" s="23" t="s">
        <v>23</v>
      </c>
      <c r="D31" s="19" t="s">
        <v>1102</v>
      </c>
      <c r="E31" s="19" t="s">
        <v>1102</v>
      </c>
      <c r="F31" s="19" t="s">
        <v>1102</v>
      </c>
      <c r="G31" s="3"/>
      <c r="H31" s="23">
        <v>0</v>
      </c>
      <c r="I31" s="4" t="s">
        <v>2346</v>
      </c>
      <c r="J31" s="3" t="s">
        <v>2272</v>
      </c>
      <c r="K31" s="3" t="s">
        <v>2272</v>
      </c>
      <c r="L31" s="3" t="s">
        <v>2272</v>
      </c>
      <c r="M31" s="49" t="s">
        <v>2272</v>
      </c>
      <c r="N31" s="3"/>
    </row>
    <row r="32" spans="1:14" ht="41" customHeight="1">
      <c r="A32" s="19" t="s">
        <v>1122</v>
      </c>
      <c r="B32" s="19" t="s">
        <v>1124</v>
      </c>
      <c r="C32" s="23" t="s">
        <v>23</v>
      </c>
      <c r="D32" s="23" t="s">
        <v>26</v>
      </c>
      <c r="E32" s="19" t="s">
        <v>128</v>
      </c>
      <c r="F32" s="23" t="s">
        <v>124</v>
      </c>
      <c r="G32" s="3"/>
      <c r="H32" s="3">
        <v>2</v>
      </c>
      <c r="I32" s="4" t="s">
        <v>1130</v>
      </c>
      <c r="J32" s="3" t="s">
        <v>2272</v>
      </c>
      <c r="K32" s="3" t="s">
        <v>2272</v>
      </c>
      <c r="L32" s="3" t="s">
        <v>2272</v>
      </c>
      <c r="M32" s="49" t="s">
        <v>2272</v>
      </c>
      <c r="N32" s="3"/>
    </row>
    <row r="33" spans="1:14" ht="43.5" customHeight="1">
      <c r="A33" s="19" t="s">
        <v>1122</v>
      </c>
      <c r="B33" s="19" t="s">
        <v>1126</v>
      </c>
      <c r="C33" s="23" t="s">
        <v>23</v>
      </c>
      <c r="D33" s="23" t="s">
        <v>2654</v>
      </c>
      <c r="E33" s="19" t="s">
        <v>128</v>
      </c>
      <c r="F33" s="23" t="s">
        <v>27</v>
      </c>
      <c r="G33" s="3"/>
      <c r="H33" s="3">
        <v>2</v>
      </c>
      <c r="I33" s="4" t="s">
        <v>1130</v>
      </c>
      <c r="J33" s="3" t="s">
        <v>2272</v>
      </c>
      <c r="K33" s="3" t="s">
        <v>2272</v>
      </c>
      <c r="L33" s="3" t="s">
        <v>2272</v>
      </c>
      <c r="M33" s="49" t="s">
        <v>2272</v>
      </c>
      <c r="N33" s="3"/>
    </row>
    <row r="34" spans="1:14" ht="37" customHeight="1">
      <c r="A34" s="19" t="s">
        <v>1140</v>
      </c>
      <c r="B34" s="19" t="s">
        <v>1144</v>
      </c>
      <c r="C34" s="3" t="s">
        <v>1102</v>
      </c>
      <c r="D34" s="3"/>
      <c r="E34" s="4" t="s">
        <v>2644</v>
      </c>
      <c r="F34" s="19" t="s">
        <v>73</v>
      </c>
      <c r="G34" s="3"/>
      <c r="H34" s="3" t="s">
        <v>2272</v>
      </c>
      <c r="I34" s="3" t="s">
        <v>2272</v>
      </c>
      <c r="J34" s="3">
        <v>0</v>
      </c>
      <c r="K34" s="3" t="s">
        <v>1154</v>
      </c>
      <c r="L34" s="3" t="s">
        <v>2272</v>
      </c>
      <c r="M34" s="49" t="s">
        <v>2272</v>
      </c>
      <c r="N34" s="3"/>
    </row>
    <row r="35" spans="1:14" ht="42" customHeight="1">
      <c r="A35" s="19" t="s">
        <v>1140</v>
      </c>
      <c r="B35" s="19" t="s">
        <v>1146</v>
      </c>
      <c r="C35" s="3" t="s">
        <v>1102</v>
      </c>
      <c r="D35" s="3"/>
      <c r="E35" s="4" t="s">
        <v>860</v>
      </c>
      <c r="F35" s="19" t="s">
        <v>73</v>
      </c>
      <c r="G35" s="3"/>
      <c r="H35" s="3" t="s">
        <v>2272</v>
      </c>
      <c r="I35" s="3" t="s">
        <v>2272</v>
      </c>
      <c r="J35" s="3">
        <v>0</v>
      </c>
      <c r="K35" s="3" t="s">
        <v>1154</v>
      </c>
      <c r="L35" s="3" t="s">
        <v>2272</v>
      </c>
      <c r="M35" s="49" t="s">
        <v>2272</v>
      </c>
      <c r="N35" s="3"/>
    </row>
    <row r="36" spans="1:14" ht="38" customHeight="1">
      <c r="A36" s="19" t="s">
        <v>1140</v>
      </c>
      <c r="B36" s="19" t="s">
        <v>1156</v>
      </c>
      <c r="C36" s="3" t="s">
        <v>1102</v>
      </c>
      <c r="D36" s="3"/>
      <c r="E36" s="4" t="s">
        <v>114</v>
      </c>
      <c r="F36" s="19" t="s">
        <v>73</v>
      </c>
      <c r="G36" s="3"/>
      <c r="H36" s="3" t="s">
        <v>2272</v>
      </c>
      <c r="I36" s="3" t="s">
        <v>2272</v>
      </c>
      <c r="J36" s="3">
        <v>0</v>
      </c>
      <c r="K36" s="3" t="s">
        <v>1154</v>
      </c>
      <c r="L36" s="3" t="s">
        <v>2272</v>
      </c>
      <c r="M36" s="49" t="s">
        <v>2272</v>
      </c>
      <c r="N36" s="3"/>
    </row>
    <row r="37" spans="1:14" ht="64" customHeight="1">
      <c r="A37" s="19" t="s">
        <v>1174</v>
      </c>
      <c r="B37" s="19" t="s">
        <v>1178</v>
      </c>
      <c r="C37" s="11" t="s">
        <v>1102</v>
      </c>
      <c r="D37" s="3" t="s">
        <v>141</v>
      </c>
      <c r="E37" s="19" t="s">
        <v>44</v>
      </c>
      <c r="F37" s="19" t="s">
        <v>73</v>
      </c>
      <c r="G37" s="3"/>
      <c r="H37" s="3">
        <v>0</v>
      </c>
      <c r="I37" s="4" t="s">
        <v>1182</v>
      </c>
      <c r="J37" s="3" t="s">
        <v>2272</v>
      </c>
      <c r="K37" s="3" t="s">
        <v>2272</v>
      </c>
      <c r="L37" s="3">
        <v>1</v>
      </c>
      <c r="M37" s="45" t="s">
        <v>2439</v>
      </c>
      <c r="N37" s="3"/>
    </row>
    <row r="38" spans="1:14" ht="86.5" customHeight="1">
      <c r="A38" s="19" t="s">
        <v>1174</v>
      </c>
      <c r="B38" s="19" t="s">
        <v>1179</v>
      </c>
      <c r="C38" s="11" t="s">
        <v>1102</v>
      </c>
      <c r="D38" s="3" t="s">
        <v>1102</v>
      </c>
      <c r="E38" s="19" t="s">
        <v>3204</v>
      </c>
      <c r="F38" s="19" t="s">
        <v>73</v>
      </c>
      <c r="G38" s="3">
        <v>1998</v>
      </c>
      <c r="H38" s="3" t="s">
        <v>2272</v>
      </c>
      <c r="I38" s="4" t="s">
        <v>2272</v>
      </c>
      <c r="J38" s="3" t="s">
        <v>2272</v>
      </c>
      <c r="K38" s="3" t="s">
        <v>2272</v>
      </c>
      <c r="L38" s="3">
        <v>2</v>
      </c>
      <c r="M38" s="45" t="s">
        <v>2438</v>
      </c>
      <c r="N38" s="3"/>
    </row>
    <row r="39" spans="1:14" ht="85.5" customHeight="1">
      <c r="A39" s="3" t="s">
        <v>1174</v>
      </c>
      <c r="B39" s="3" t="s">
        <v>1180</v>
      </c>
      <c r="C39" s="3" t="s">
        <v>1102</v>
      </c>
      <c r="D39" s="3" t="s">
        <v>1102</v>
      </c>
      <c r="E39" s="19" t="s">
        <v>3204</v>
      </c>
      <c r="F39" s="19" t="s">
        <v>73</v>
      </c>
      <c r="G39" s="3">
        <v>1999</v>
      </c>
      <c r="H39" s="3" t="s">
        <v>2272</v>
      </c>
      <c r="I39" s="3" t="s">
        <v>2272</v>
      </c>
      <c r="J39" s="3" t="s">
        <v>2272</v>
      </c>
      <c r="K39" s="3" t="s">
        <v>2272</v>
      </c>
      <c r="L39" s="3">
        <v>3</v>
      </c>
      <c r="M39" s="45" t="s">
        <v>1186</v>
      </c>
      <c r="N39" s="3"/>
    </row>
    <row r="40" spans="1:14" ht="119.5" customHeight="1">
      <c r="A40" s="19" t="s">
        <v>1228</v>
      </c>
      <c r="B40" s="19" t="s">
        <v>1229</v>
      </c>
      <c r="C40" s="19" t="s">
        <v>23</v>
      </c>
      <c r="D40" s="19" t="s">
        <v>1238</v>
      </c>
      <c r="E40" s="19" t="s">
        <v>5000</v>
      </c>
      <c r="F40" s="3" t="s">
        <v>54</v>
      </c>
      <c r="G40" s="3"/>
      <c r="H40" s="3">
        <v>2</v>
      </c>
      <c r="I40" s="4" t="s">
        <v>2284</v>
      </c>
      <c r="J40" s="3" t="s">
        <v>2272</v>
      </c>
      <c r="K40" s="3" t="s">
        <v>2272</v>
      </c>
      <c r="L40" s="3" t="s">
        <v>2272</v>
      </c>
      <c r="M40" s="49" t="s">
        <v>2272</v>
      </c>
      <c r="N40" s="3"/>
    </row>
    <row r="41" spans="1:14" ht="68" customHeight="1">
      <c r="A41" s="19" t="s">
        <v>1236</v>
      </c>
      <c r="B41" s="19" t="s">
        <v>1237</v>
      </c>
      <c r="C41" s="19" t="s">
        <v>23</v>
      </c>
      <c r="D41" s="19" t="s">
        <v>1238</v>
      </c>
      <c r="E41" s="19" t="s">
        <v>135</v>
      </c>
      <c r="F41" s="3" t="s">
        <v>54</v>
      </c>
      <c r="G41" s="3"/>
      <c r="H41" s="3">
        <v>3</v>
      </c>
      <c r="I41" s="4" t="s">
        <v>2562</v>
      </c>
      <c r="J41" s="3">
        <v>3</v>
      </c>
      <c r="K41" s="4" t="s">
        <v>1243</v>
      </c>
      <c r="L41" s="3" t="s">
        <v>2272</v>
      </c>
      <c r="M41" s="49" t="s">
        <v>2272</v>
      </c>
      <c r="N41" s="3"/>
    </row>
    <row r="42" spans="1:14" ht="55" customHeight="1">
      <c r="A42" s="19" t="s">
        <v>2441</v>
      </c>
      <c r="B42" s="19" t="s">
        <v>2448</v>
      </c>
      <c r="C42" s="11" t="s">
        <v>23</v>
      </c>
      <c r="D42" s="11" t="s">
        <v>26</v>
      </c>
      <c r="E42" s="19" t="s">
        <v>128</v>
      </c>
      <c r="F42" s="19" t="s">
        <v>73</v>
      </c>
      <c r="G42" s="3"/>
      <c r="H42" s="3">
        <v>1</v>
      </c>
      <c r="I42" s="4" t="s">
        <v>2454</v>
      </c>
      <c r="J42" s="3" t="s">
        <v>2272</v>
      </c>
      <c r="K42" s="3" t="s">
        <v>2272</v>
      </c>
      <c r="L42" s="3" t="s">
        <v>2272</v>
      </c>
      <c r="M42" s="49" t="s">
        <v>2272</v>
      </c>
      <c r="N42" s="3"/>
    </row>
    <row r="43" spans="1:14" ht="48.5" customHeight="1">
      <c r="A43" s="19" t="s">
        <v>2444</v>
      </c>
      <c r="B43" s="19" t="s">
        <v>2455</v>
      </c>
      <c r="C43" s="11" t="s">
        <v>23</v>
      </c>
      <c r="D43" s="11" t="s">
        <v>26</v>
      </c>
      <c r="E43" s="19" t="s">
        <v>128</v>
      </c>
      <c r="F43" s="19" t="s">
        <v>73</v>
      </c>
      <c r="G43" s="3"/>
      <c r="H43" s="3">
        <v>1</v>
      </c>
      <c r="I43" s="4" t="s">
        <v>2454</v>
      </c>
      <c r="J43" s="3" t="s">
        <v>2272</v>
      </c>
      <c r="K43" s="3" t="s">
        <v>2272</v>
      </c>
      <c r="L43" s="3" t="s">
        <v>2272</v>
      </c>
      <c r="M43" s="49" t="s">
        <v>2272</v>
      </c>
      <c r="N43" s="3"/>
    </row>
    <row r="44" spans="1:14" ht="42.5" customHeight="1">
      <c r="A44" s="3" t="s">
        <v>2545</v>
      </c>
      <c r="B44" s="11" t="s">
        <v>2549</v>
      </c>
      <c r="C44" s="23" t="s">
        <v>23</v>
      </c>
      <c r="D44" s="11" t="s">
        <v>26</v>
      </c>
      <c r="E44" s="19" t="s">
        <v>128</v>
      </c>
      <c r="F44" s="11" t="s">
        <v>159</v>
      </c>
      <c r="G44" s="3">
        <v>2002</v>
      </c>
      <c r="H44" s="11">
        <v>1</v>
      </c>
      <c r="I44" s="19" t="s">
        <v>2560</v>
      </c>
      <c r="J44" s="3" t="s">
        <v>2272</v>
      </c>
      <c r="K44" s="3" t="s">
        <v>2272</v>
      </c>
      <c r="L44" s="3" t="s">
        <v>2272</v>
      </c>
      <c r="M44" s="49" t="s">
        <v>2272</v>
      </c>
      <c r="N44" s="3"/>
    </row>
    <row r="45" spans="1:14" ht="45" customHeight="1">
      <c r="A45" s="3" t="s">
        <v>2545</v>
      </c>
      <c r="B45" s="11" t="s">
        <v>2550</v>
      </c>
      <c r="C45" s="23" t="s">
        <v>23</v>
      </c>
      <c r="D45" s="11" t="s">
        <v>26</v>
      </c>
      <c r="E45" s="19" t="s">
        <v>395</v>
      </c>
      <c r="F45" s="11" t="s">
        <v>27</v>
      </c>
      <c r="G45" s="3">
        <v>2002</v>
      </c>
      <c r="H45" s="11">
        <v>2</v>
      </c>
      <c r="I45" s="19" t="s">
        <v>2561</v>
      </c>
      <c r="J45" s="3" t="s">
        <v>2272</v>
      </c>
      <c r="K45" s="3" t="s">
        <v>2272</v>
      </c>
      <c r="L45" s="3" t="s">
        <v>2272</v>
      </c>
      <c r="M45" s="49" t="s">
        <v>2272</v>
      </c>
      <c r="N45" s="3"/>
    </row>
    <row r="46" spans="1:14" ht="29">
      <c r="A46" s="3" t="s">
        <v>2552</v>
      </c>
      <c r="B46" s="11" t="s">
        <v>2553</v>
      </c>
      <c r="C46" s="23" t="s">
        <v>23</v>
      </c>
      <c r="D46" s="11" t="s">
        <v>26</v>
      </c>
      <c r="E46" s="19" t="s">
        <v>128</v>
      </c>
      <c r="F46" s="11" t="s">
        <v>159</v>
      </c>
      <c r="G46" s="3">
        <v>1997</v>
      </c>
      <c r="H46" s="11">
        <v>1</v>
      </c>
      <c r="I46" s="19" t="s">
        <v>2560</v>
      </c>
      <c r="J46" s="3" t="s">
        <v>2272</v>
      </c>
      <c r="K46" s="3" t="s">
        <v>2272</v>
      </c>
      <c r="L46" s="3" t="s">
        <v>2272</v>
      </c>
      <c r="M46" s="49" t="s">
        <v>2272</v>
      </c>
      <c r="N46" s="3"/>
    </row>
    <row r="47" spans="1:14" ht="29">
      <c r="A47" s="3" t="s">
        <v>2552</v>
      </c>
      <c r="B47" s="11" t="s">
        <v>2554</v>
      </c>
      <c r="C47" s="23" t="s">
        <v>23</v>
      </c>
      <c r="D47" s="11" t="s">
        <v>26</v>
      </c>
      <c r="E47" s="19" t="s">
        <v>128</v>
      </c>
      <c r="F47" s="11" t="s">
        <v>159</v>
      </c>
      <c r="G47" s="3">
        <v>1992</v>
      </c>
      <c r="H47" s="11">
        <v>1</v>
      </c>
      <c r="I47" s="19" t="s">
        <v>2560</v>
      </c>
      <c r="J47" s="3" t="s">
        <v>2272</v>
      </c>
      <c r="K47" s="3" t="s">
        <v>2272</v>
      </c>
      <c r="L47" s="3" t="s">
        <v>2272</v>
      </c>
      <c r="M47" s="49" t="s">
        <v>2272</v>
      </c>
      <c r="N47" s="3"/>
    </row>
    <row r="48" spans="1:14" ht="29">
      <c r="A48" s="3" t="s">
        <v>2552</v>
      </c>
      <c r="B48" s="11" t="s">
        <v>2555</v>
      </c>
      <c r="C48" s="23" t="s">
        <v>23</v>
      </c>
      <c r="D48" s="11" t="s">
        <v>26</v>
      </c>
      <c r="E48" s="19" t="s">
        <v>128</v>
      </c>
      <c r="F48" s="11" t="s">
        <v>159</v>
      </c>
      <c r="G48" s="3">
        <v>1987</v>
      </c>
      <c r="H48" s="11">
        <v>1</v>
      </c>
      <c r="I48" s="19" t="s">
        <v>2560</v>
      </c>
      <c r="J48" s="3" t="s">
        <v>2272</v>
      </c>
      <c r="K48" s="3" t="s">
        <v>2272</v>
      </c>
      <c r="L48" s="3" t="s">
        <v>2272</v>
      </c>
      <c r="M48" s="49" t="s">
        <v>2272</v>
      </c>
      <c r="N48" s="3"/>
    </row>
    <row r="49" spans="1:14" ht="29">
      <c r="A49" s="3" t="s">
        <v>2552</v>
      </c>
      <c r="B49" s="11" t="s">
        <v>2556</v>
      </c>
      <c r="C49" s="23" t="s">
        <v>23</v>
      </c>
      <c r="D49" s="11" t="s">
        <v>26</v>
      </c>
      <c r="E49" s="19" t="s">
        <v>128</v>
      </c>
      <c r="F49" s="11" t="s">
        <v>159</v>
      </c>
      <c r="G49" s="3">
        <v>1982</v>
      </c>
      <c r="H49" s="11">
        <v>1</v>
      </c>
      <c r="I49" s="19" t="s">
        <v>2560</v>
      </c>
      <c r="J49" s="3" t="s">
        <v>2272</v>
      </c>
      <c r="K49" s="3" t="s">
        <v>2272</v>
      </c>
      <c r="L49" s="3" t="s">
        <v>2272</v>
      </c>
      <c r="M49" s="49" t="s">
        <v>2272</v>
      </c>
      <c r="N49" s="3"/>
    </row>
    <row r="50" spans="1:14" ht="29">
      <c r="A50" s="3" t="s">
        <v>2552</v>
      </c>
      <c r="B50" s="11" t="s">
        <v>2557</v>
      </c>
      <c r="C50" s="23" t="s">
        <v>23</v>
      </c>
      <c r="D50" s="11" t="s">
        <v>26</v>
      </c>
      <c r="E50" s="19" t="s">
        <v>128</v>
      </c>
      <c r="F50" s="11" t="s">
        <v>159</v>
      </c>
      <c r="G50" s="3">
        <v>1977</v>
      </c>
      <c r="H50" s="11">
        <v>1</v>
      </c>
      <c r="I50" s="19" t="s">
        <v>2560</v>
      </c>
      <c r="J50" s="3" t="s">
        <v>2272</v>
      </c>
      <c r="K50" s="3" t="s">
        <v>2272</v>
      </c>
      <c r="L50" s="3" t="s">
        <v>2272</v>
      </c>
      <c r="M50" s="49" t="s">
        <v>2272</v>
      </c>
      <c r="N50" s="3"/>
    </row>
    <row r="51" spans="1:14" ht="51" customHeight="1">
      <c r="A51" s="3" t="s">
        <v>2558</v>
      </c>
      <c r="B51" s="11" t="s">
        <v>2566</v>
      </c>
      <c r="C51" s="23" t="s">
        <v>23</v>
      </c>
      <c r="D51" s="11" t="s">
        <v>26</v>
      </c>
      <c r="E51" s="19" t="s">
        <v>395</v>
      </c>
      <c r="F51" s="11" t="s">
        <v>27</v>
      </c>
      <c r="G51" s="3"/>
      <c r="H51" s="11">
        <v>2</v>
      </c>
      <c r="I51" s="19" t="s">
        <v>2561</v>
      </c>
      <c r="J51" s="3" t="s">
        <v>2272</v>
      </c>
      <c r="K51" s="3" t="s">
        <v>2272</v>
      </c>
      <c r="L51" s="3" t="s">
        <v>2272</v>
      </c>
      <c r="M51" s="49" t="s">
        <v>2272</v>
      </c>
      <c r="N51" s="3"/>
    </row>
    <row r="52" spans="1:14" ht="51" customHeight="1">
      <c r="A52" s="11" t="s">
        <v>2703</v>
      </c>
      <c r="B52" s="11" t="s">
        <v>2715</v>
      </c>
      <c r="C52" s="23" t="s">
        <v>23</v>
      </c>
      <c r="D52" s="11" t="s">
        <v>26</v>
      </c>
      <c r="E52" s="19" t="s">
        <v>128</v>
      </c>
      <c r="F52" s="11" t="s">
        <v>73</v>
      </c>
      <c r="G52" s="3"/>
      <c r="H52" s="11">
        <v>2</v>
      </c>
      <c r="I52" s="19" t="s">
        <v>2735</v>
      </c>
      <c r="J52" s="11" t="s">
        <v>2272</v>
      </c>
      <c r="K52" s="11" t="s">
        <v>2272</v>
      </c>
      <c r="L52" s="11" t="s">
        <v>2272</v>
      </c>
      <c r="M52" s="49"/>
      <c r="N52" s="3"/>
    </row>
    <row r="53" spans="1:14" ht="51" customHeight="1">
      <c r="A53" s="11" t="s">
        <v>2703</v>
      </c>
      <c r="B53" s="11" t="s">
        <v>2722</v>
      </c>
      <c r="C53" s="23" t="s">
        <v>23</v>
      </c>
      <c r="D53" s="11" t="s">
        <v>26</v>
      </c>
      <c r="E53" s="19" t="s">
        <v>128</v>
      </c>
      <c r="F53" s="11" t="s">
        <v>158</v>
      </c>
      <c r="G53" s="3"/>
      <c r="H53" s="11">
        <v>2</v>
      </c>
      <c r="I53" s="19" t="s">
        <v>2735</v>
      </c>
      <c r="J53" s="11" t="s">
        <v>2272</v>
      </c>
      <c r="K53" s="11" t="s">
        <v>2272</v>
      </c>
      <c r="L53" s="11" t="s">
        <v>2272</v>
      </c>
      <c r="M53" s="49"/>
      <c r="N53" s="3"/>
    </row>
    <row r="54" spans="1:14" ht="64" customHeight="1">
      <c r="A54" s="11" t="s">
        <v>2703</v>
      </c>
      <c r="B54" s="11" t="s">
        <v>2738</v>
      </c>
      <c r="C54" s="3" t="s">
        <v>1102</v>
      </c>
      <c r="D54" s="3" t="s">
        <v>1102</v>
      </c>
      <c r="E54" s="9" t="s">
        <v>1102</v>
      </c>
      <c r="F54" s="3" t="s">
        <v>1102</v>
      </c>
      <c r="G54" s="3"/>
      <c r="H54" s="11" t="s">
        <v>2272</v>
      </c>
      <c r="I54" s="11" t="s">
        <v>2272</v>
      </c>
      <c r="J54" s="11" t="s">
        <v>2272</v>
      </c>
      <c r="K54" s="11" t="s">
        <v>2272</v>
      </c>
      <c r="L54" s="3">
        <v>1</v>
      </c>
      <c r="M54" s="45" t="s">
        <v>2739</v>
      </c>
      <c r="N54" s="3"/>
    </row>
    <row r="55" spans="1:14" ht="68.5" customHeight="1">
      <c r="A55" s="11" t="s">
        <v>2704</v>
      </c>
      <c r="B55" s="11" t="s">
        <v>2711</v>
      </c>
      <c r="C55" s="3" t="s">
        <v>1102</v>
      </c>
      <c r="D55" s="3" t="s">
        <v>1102</v>
      </c>
      <c r="E55" s="4" t="s">
        <v>3204</v>
      </c>
      <c r="F55" s="3" t="s">
        <v>1102</v>
      </c>
      <c r="G55" s="3"/>
      <c r="H55" s="11" t="s">
        <v>2272</v>
      </c>
      <c r="I55" s="11" t="s">
        <v>2272</v>
      </c>
      <c r="J55" s="11" t="s">
        <v>2272</v>
      </c>
      <c r="K55" s="11" t="s">
        <v>2272</v>
      </c>
      <c r="L55" s="3">
        <v>2</v>
      </c>
      <c r="M55" s="45" t="s">
        <v>2740</v>
      </c>
      <c r="N55" s="3"/>
    </row>
    <row r="56" spans="1:14" ht="59" customHeight="1">
      <c r="A56" s="11" t="s">
        <v>2876</v>
      </c>
      <c r="B56" s="11" t="s">
        <v>2878</v>
      </c>
      <c r="C56" s="3" t="s">
        <v>23</v>
      </c>
      <c r="D56" s="3" t="s">
        <v>26</v>
      </c>
      <c r="E56" s="4" t="s">
        <v>128</v>
      </c>
      <c r="F56" s="3" t="s">
        <v>158</v>
      </c>
      <c r="G56" s="3"/>
      <c r="H56" s="3">
        <v>2</v>
      </c>
      <c r="I56" s="4" t="s">
        <v>2879</v>
      </c>
      <c r="J56" s="11" t="s">
        <v>2272</v>
      </c>
      <c r="K56" s="11" t="s">
        <v>2272</v>
      </c>
      <c r="L56" s="11" t="s">
        <v>2272</v>
      </c>
      <c r="M56" s="190" t="s">
        <v>2272</v>
      </c>
      <c r="N56" s="3"/>
    </row>
    <row r="57" spans="1:14" ht="67" customHeight="1">
      <c r="A57" s="11" t="s">
        <v>2881</v>
      </c>
      <c r="B57" s="11" t="s">
        <v>2889</v>
      </c>
      <c r="C57" s="3" t="s">
        <v>23</v>
      </c>
      <c r="D57" s="3" t="s">
        <v>1102</v>
      </c>
      <c r="E57" s="4" t="s">
        <v>860</v>
      </c>
      <c r="F57" s="4" t="s">
        <v>2657</v>
      </c>
      <c r="G57" s="3"/>
      <c r="H57" s="3">
        <v>0</v>
      </c>
      <c r="I57" s="56" t="s">
        <v>2915</v>
      </c>
      <c r="J57" s="11" t="s">
        <v>2272</v>
      </c>
      <c r="K57" s="11" t="s">
        <v>2272</v>
      </c>
      <c r="L57" s="3">
        <v>1</v>
      </c>
      <c r="M57" s="45" t="s">
        <v>2914</v>
      </c>
      <c r="N57" s="3"/>
    </row>
    <row r="58" spans="1:14" ht="99.5" customHeight="1">
      <c r="A58" s="11" t="s">
        <v>2881</v>
      </c>
      <c r="B58" s="11" t="s">
        <v>2892</v>
      </c>
      <c r="C58" s="3" t="s">
        <v>23</v>
      </c>
      <c r="D58" s="3" t="s">
        <v>26</v>
      </c>
      <c r="E58" s="4" t="s">
        <v>128</v>
      </c>
      <c r="F58" s="3" t="s">
        <v>158</v>
      </c>
      <c r="G58" s="3"/>
      <c r="H58" s="3">
        <v>1</v>
      </c>
      <c r="I58" s="4" t="s">
        <v>2916</v>
      </c>
      <c r="J58" s="11" t="s">
        <v>2272</v>
      </c>
      <c r="K58" s="11" t="s">
        <v>2272</v>
      </c>
      <c r="L58" s="3">
        <v>1</v>
      </c>
      <c r="M58" s="45" t="s">
        <v>2914</v>
      </c>
      <c r="N58" s="3"/>
    </row>
    <row r="59" spans="1:14" ht="62" customHeight="1">
      <c r="A59" s="11" t="s">
        <v>2882</v>
      </c>
      <c r="B59" s="11" t="s">
        <v>2890</v>
      </c>
      <c r="C59" s="3" t="s">
        <v>23</v>
      </c>
      <c r="D59" s="3" t="s">
        <v>1102</v>
      </c>
      <c r="E59" s="4" t="s">
        <v>860</v>
      </c>
      <c r="F59" s="4" t="s">
        <v>2657</v>
      </c>
      <c r="G59" s="3"/>
      <c r="H59" s="3">
        <v>0</v>
      </c>
      <c r="I59" s="56" t="s">
        <v>2915</v>
      </c>
      <c r="J59" s="11" t="s">
        <v>2272</v>
      </c>
      <c r="K59" s="11" t="s">
        <v>2272</v>
      </c>
      <c r="L59" s="3">
        <v>1</v>
      </c>
      <c r="M59" s="45" t="s">
        <v>2914</v>
      </c>
      <c r="N59" s="3"/>
    </row>
    <row r="60" spans="1:14" ht="76.5" customHeight="1">
      <c r="A60" s="11" t="s">
        <v>2882</v>
      </c>
      <c r="B60" s="11" t="s">
        <v>2902</v>
      </c>
      <c r="C60" s="3" t="s">
        <v>23</v>
      </c>
      <c r="D60" s="3" t="s">
        <v>26</v>
      </c>
      <c r="E60" s="4" t="s">
        <v>128</v>
      </c>
      <c r="F60" s="3" t="s">
        <v>158</v>
      </c>
      <c r="G60" s="3"/>
      <c r="H60" s="3">
        <v>1</v>
      </c>
      <c r="I60" s="4" t="s">
        <v>2916</v>
      </c>
      <c r="J60" s="11" t="s">
        <v>2272</v>
      </c>
      <c r="K60" s="11" t="s">
        <v>2272</v>
      </c>
      <c r="L60" s="3">
        <v>1</v>
      </c>
      <c r="M60" s="45" t="s">
        <v>2914</v>
      </c>
      <c r="N60" s="3"/>
    </row>
    <row r="61" spans="1:14" ht="68.5" customHeight="1">
      <c r="A61" s="11" t="s">
        <v>2883</v>
      </c>
      <c r="B61" s="11" t="s">
        <v>2891</v>
      </c>
      <c r="C61" s="3" t="s">
        <v>23</v>
      </c>
      <c r="D61" s="3" t="s">
        <v>1102</v>
      </c>
      <c r="E61" s="4" t="s">
        <v>860</v>
      </c>
      <c r="F61" s="4" t="s">
        <v>2657</v>
      </c>
      <c r="G61" s="3"/>
      <c r="H61" s="3">
        <v>0</v>
      </c>
      <c r="I61" s="56" t="s">
        <v>2915</v>
      </c>
      <c r="J61" s="11" t="s">
        <v>2272</v>
      </c>
      <c r="K61" s="11" t="s">
        <v>2272</v>
      </c>
      <c r="L61" s="3">
        <v>1</v>
      </c>
      <c r="M61" s="45" t="s">
        <v>2914</v>
      </c>
      <c r="N61" s="3"/>
    </row>
    <row r="62" spans="1:14" ht="95.5" customHeight="1">
      <c r="A62" s="11" t="s">
        <v>2883</v>
      </c>
      <c r="B62" s="11" t="s">
        <v>2908</v>
      </c>
      <c r="C62" s="3" t="s">
        <v>23</v>
      </c>
      <c r="D62" s="3" t="s">
        <v>26</v>
      </c>
      <c r="E62" s="4" t="s">
        <v>128</v>
      </c>
      <c r="F62" s="3" t="s">
        <v>158</v>
      </c>
      <c r="G62" s="3"/>
      <c r="H62" s="3">
        <v>1</v>
      </c>
      <c r="I62" s="4" t="s">
        <v>2916</v>
      </c>
      <c r="J62" s="11" t="s">
        <v>2272</v>
      </c>
      <c r="K62" s="11" t="s">
        <v>2272</v>
      </c>
      <c r="L62" s="3">
        <v>1</v>
      </c>
      <c r="M62" s="45" t="s">
        <v>2914</v>
      </c>
      <c r="N62" s="3"/>
    </row>
    <row r="63" spans="1:14" ht="116.5" customHeight="1">
      <c r="A63" s="11" t="s">
        <v>2919</v>
      </c>
      <c r="B63" s="11" t="s">
        <v>2923</v>
      </c>
      <c r="C63" s="3" t="s">
        <v>23</v>
      </c>
      <c r="D63" s="3" t="s">
        <v>142</v>
      </c>
      <c r="E63" s="4" t="s">
        <v>135</v>
      </c>
      <c r="F63" s="4" t="s">
        <v>2657</v>
      </c>
      <c r="G63" s="3"/>
      <c r="H63" s="3">
        <v>3</v>
      </c>
      <c r="I63" s="4" t="s">
        <v>2925</v>
      </c>
      <c r="J63" s="11" t="s">
        <v>2272</v>
      </c>
      <c r="K63" s="11" t="s">
        <v>2272</v>
      </c>
      <c r="L63" s="3">
        <v>2</v>
      </c>
      <c r="M63" s="45" t="s">
        <v>2925</v>
      </c>
      <c r="N63" s="3"/>
    </row>
    <row r="64" spans="1:14" ht="95.5" customHeight="1">
      <c r="A64" s="11" t="s">
        <v>2949</v>
      </c>
      <c r="B64" s="11" t="s">
        <v>2953</v>
      </c>
      <c r="C64" s="3" t="s">
        <v>23</v>
      </c>
      <c r="D64" s="3" t="s">
        <v>26</v>
      </c>
      <c r="E64" s="4" t="s">
        <v>128</v>
      </c>
      <c r="F64" s="3" t="s">
        <v>158</v>
      </c>
      <c r="G64" s="3"/>
      <c r="H64" s="11">
        <v>1</v>
      </c>
      <c r="I64" s="4" t="s">
        <v>2979</v>
      </c>
      <c r="J64" s="3">
        <v>2</v>
      </c>
      <c r="K64" s="4" t="s">
        <v>2978</v>
      </c>
      <c r="L64" s="11" t="s">
        <v>2272</v>
      </c>
      <c r="M64" s="190" t="s">
        <v>2272</v>
      </c>
      <c r="N64" s="3"/>
    </row>
    <row r="65" spans="1:14" ht="66.5" customHeight="1">
      <c r="A65" s="11" t="s">
        <v>2949</v>
      </c>
      <c r="B65" s="11" t="s">
        <v>2955</v>
      </c>
      <c r="C65" s="23" t="s">
        <v>23</v>
      </c>
      <c r="D65" s="3" t="s">
        <v>1128</v>
      </c>
      <c r="E65" s="4" t="s">
        <v>114</v>
      </c>
      <c r="F65" s="4" t="s">
        <v>2657</v>
      </c>
      <c r="G65" s="3"/>
      <c r="H65" s="11">
        <v>2</v>
      </c>
      <c r="I65" s="19" t="s">
        <v>2975</v>
      </c>
      <c r="J65" s="3">
        <v>2</v>
      </c>
      <c r="K65" s="4" t="s">
        <v>2978</v>
      </c>
      <c r="L65" s="11" t="s">
        <v>2272</v>
      </c>
      <c r="M65" s="190" t="s">
        <v>2272</v>
      </c>
      <c r="N65" s="3"/>
    </row>
    <row r="66" spans="1:14" ht="63" customHeight="1">
      <c r="A66" s="11" t="s">
        <v>2949</v>
      </c>
      <c r="B66" s="11" t="s">
        <v>2957</v>
      </c>
      <c r="C66" s="23" t="s">
        <v>23</v>
      </c>
      <c r="D66" s="3" t="s">
        <v>1102</v>
      </c>
      <c r="E66" s="4" t="s">
        <v>114</v>
      </c>
      <c r="F66" s="4" t="s">
        <v>2657</v>
      </c>
      <c r="G66" s="3"/>
      <c r="H66" s="11" t="s">
        <v>2272</v>
      </c>
      <c r="I66" s="11" t="s">
        <v>2272</v>
      </c>
      <c r="J66" s="3">
        <v>2</v>
      </c>
      <c r="K66" s="4" t="s">
        <v>2978</v>
      </c>
      <c r="L66" s="11" t="s">
        <v>2272</v>
      </c>
      <c r="M66" s="190" t="s">
        <v>2272</v>
      </c>
      <c r="N66" s="3"/>
    </row>
    <row r="67" spans="1:14" ht="31.5" customHeight="1">
      <c r="A67" s="11" t="s">
        <v>2983</v>
      </c>
      <c r="B67" s="11" t="s">
        <v>2984</v>
      </c>
      <c r="C67" s="23" t="s">
        <v>23</v>
      </c>
      <c r="D67" s="3" t="s">
        <v>26</v>
      </c>
      <c r="E67" s="4" t="s">
        <v>128</v>
      </c>
      <c r="F67" s="4" t="s">
        <v>2657</v>
      </c>
      <c r="G67" s="3"/>
      <c r="H67" s="3">
        <v>1</v>
      </c>
      <c r="I67" s="4" t="s">
        <v>3007</v>
      </c>
      <c r="J67" s="3">
        <v>2</v>
      </c>
      <c r="K67" s="4" t="s">
        <v>3008</v>
      </c>
      <c r="L67" s="11" t="s">
        <v>2272</v>
      </c>
      <c r="M67" s="190" t="s">
        <v>2272</v>
      </c>
      <c r="N67" s="3"/>
    </row>
    <row r="68" spans="1:14" ht="41" customHeight="1">
      <c r="A68" s="11" t="s">
        <v>2983</v>
      </c>
      <c r="B68" s="11" t="s">
        <v>2985</v>
      </c>
      <c r="C68" s="23" t="s">
        <v>23</v>
      </c>
      <c r="D68" s="3" t="s">
        <v>26</v>
      </c>
      <c r="E68" s="4" t="s">
        <v>128</v>
      </c>
      <c r="F68" s="4" t="s">
        <v>158</v>
      </c>
      <c r="G68" s="3"/>
      <c r="H68" s="3">
        <v>1</v>
      </c>
      <c r="I68" s="4" t="s">
        <v>3007</v>
      </c>
      <c r="J68" s="3">
        <v>2</v>
      </c>
      <c r="K68" s="4" t="s">
        <v>3008</v>
      </c>
      <c r="L68" s="11" t="s">
        <v>2272</v>
      </c>
      <c r="M68" s="190" t="s">
        <v>2272</v>
      </c>
      <c r="N68" s="3"/>
    </row>
    <row r="69" spans="1:14" ht="45" customHeight="1">
      <c r="A69" s="11" t="s">
        <v>2983</v>
      </c>
      <c r="B69" s="11" t="s">
        <v>2986</v>
      </c>
      <c r="C69" s="23" t="s">
        <v>23</v>
      </c>
      <c r="D69" s="3" t="s">
        <v>60</v>
      </c>
      <c r="E69" s="4" t="s">
        <v>2644</v>
      </c>
      <c r="F69" s="4" t="s">
        <v>2657</v>
      </c>
      <c r="G69" s="3"/>
      <c r="H69" s="11" t="s">
        <v>2272</v>
      </c>
      <c r="I69" s="11" t="s">
        <v>2272</v>
      </c>
      <c r="J69" s="3">
        <v>2</v>
      </c>
      <c r="K69" s="4" t="s">
        <v>3011</v>
      </c>
      <c r="L69" s="11" t="s">
        <v>2272</v>
      </c>
      <c r="M69" s="190" t="s">
        <v>2272</v>
      </c>
      <c r="N69" s="3"/>
    </row>
    <row r="70" spans="1:14" ht="44" customHeight="1">
      <c r="A70" s="11" t="s">
        <v>2990</v>
      </c>
      <c r="B70" s="11" t="s">
        <v>2991</v>
      </c>
      <c r="C70" s="23" t="s">
        <v>23</v>
      </c>
      <c r="D70" s="3" t="s">
        <v>26</v>
      </c>
      <c r="E70" s="4" t="s">
        <v>128</v>
      </c>
      <c r="F70" s="3" t="s">
        <v>158</v>
      </c>
      <c r="G70" s="3"/>
      <c r="H70" s="3">
        <v>1</v>
      </c>
      <c r="I70" s="4" t="s">
        <v>3024</v>
      </c>
      <c r="J70" s="3">
        <v>1</v>
      </c>
      <c r="K70" s="4" t="s">
        <v>3029</v>
      </c>
      <c r="L70" s="11" t="s">
        <v>2272</v>
      </c>
      <c r="M70" s="190" t="s">
        <v>2272</v>
      </c>
      <c r="N70" s="3"/>
    </row>
    <row r="71" spans="1:14" ht="50.5" customHeight="1">
      <c r="A71" s="11" t="s">
        <v>2990</v>
      </c>
      <c r="B71" s="11" t="s">
        <v>3016</v>
      </c>
      <c r="C71" s="23" t="s">
        <v>23</v>
      </c>
      <c r="D71" s="3" t="s">
        <v>24</v>
      </c>
      <c r="E71" s="4" t="s">
        <v>44</v>
      </c>
      <c r="F71" s="3" t="s">
        <v>28</v>
      </c>
      <c r="G71" s="3"/>
      <c r="H71" s="3">
        <v>0</v>
      </c>
      <c r="I71" s="4" t="s">
        <v>3028</v>
      </c>
      <c r="J71" s="3">
        <v>1</v>
      </c>
      <c r="K71" s="4" t="s">
        <v>3029</v>
      </c>
      <c r="L71" s="11" t="s">
        <v>2272</v>
      </c>
      <c r="M71" s="190" t="s">
        <v>2272</v>
      </c>
      <c r="N71" s="3"/>
    </row>
    <row r="72" spans="1:14" ht="34.5" customHeight="1">
      <c r="A72" s="11" t="s">
        <v>3039</v>
      </c>
      <c r="B72" s="11" t="s">
        <v>3044</v>
      </c>
      <c r="C72" s="23" t="s">
        <v>23</v>
      </c>
      <c r="D72" s="3" t="s">
        <v>24</v>
      </c>
      <c r="E72" s="4" t="s">
        <v>44</v>
      </c>
      <c r="F72" s="4" t="s">
        <v>2657</v>
      </c>
      <c r="G72" s="3"/>
      <c r="H72" s="3">
        <v>1</v>
      </c>
      <c r="I72" s="4" t="s">
        <v>3090</v>
      </c>
      <c r="J72" s="3">
        <v>2</v>
      </c>
      <c r="K72" s="4" t="s">
        <v>3091</v>
      </c>
      <c r="L72" s="11" t="s">
        <v>2272</v>
      </c>
      <c r="M72" s="190" t="s">
        <v>2272</v>
      </c>
      <c r="N72" s="3"/>
    </row>
    <row r="73" spans="1:14" ht="34" customHeight="1">
      <c r="A73" s="11" t="s">
        <v>3039</v>
      </c>
      <c r="B73" s="11" t="s">
        <v>3045</v>
      </c>
      <c r="C73" s="23" t="s">
        <v>23</v>
      </c>
      <c r="D73" s="3" t="s">
        <v>24</v>
      </c>
      <c r="E73" s="4" t="s">
        <v>44</v>
      </c>
      <c r="F73" s="4" t="s">
        <v>28</v>
      </c>
      <c r="G73" s="3"/>
      <c r="H73" s="3">
        <v>1</v>
      </c>
      <c r="I73" s="4" t="s">
        <v>3090</v>
      </c>
      <c r="J73" s="3">
        <v>2</v>
      </c>
      <c r="K73" s="4" t="s">
        <v>3091</v>
      </c>
      <c r="L73" s="11" t="s">
        <v>2272</v>
      </c>
      <c r="M73" s="190" t="s">
        <v>2272</v>
      </c>
      <c r="N73" s="3"/>
    </row>
    <row r="74" spans="1:14" ht="29">
      <c r="A74" s="11" t="s">
        <v>3039</v>
      </c>
      <c r="B74" s="11" t="s">
        <v>3046</v>
      </c>
      <c r="C74" s="23" t="s">
        <v>23</v>
      </c>
      <c r="D74" s="3" t="s">
        <v>24</v>
      </c>
      <c r="E74" s="4" t="s">
        <v>44</v>
      </c>
      <c r="F74" s="4" t="s">
        <v>54</v>
      </c>
      <c r="G74" s="3"/>
      <c r="H74" s="3">
        <v>1</v>
      </c>
      <c r="I74" s="4" t="s">
        <v>3090</v>
      </c>
      <c r="J74" s="3">
        <v>2</v>
      </c>
      <c r="K74" s="4" t="s">
        <v>3091</v>
      </c>
      <c r="L74" s="11" t="s">
        <v>2272</v>
      </c>
      <c r="M74" s="190" t="s">
        <v>2272</v>
      </c>
      <c r="N74" s="3"/>
    </row>
    <row r="75" spans="1:14" ht="29">
      <c r="A75" s="11" t="s">
        <v>3040</v>
      </c>
      <c r="B75" s="11" t="s">
        <v>3060</v>
      </c>
      <c r="C75" s="23" t="s">
        <v>23</v>
      </c>
      <c r="D75" s="3" t="s">
        <v>24</v>
      </c>
      <c r="E75" s="4" t="s">
        <v>44</v>
      </c>
      <c r="F75" s="4" t="s">
        <v>2657</v>
      </c>
      <c r="G75" s="3"/>
      <c r="H75" s="3">
        <v>1</v>
      </c>
      <c r="I75" s="4" t="s">
        <v>3090</v>
      </c>
      <c r="J75" s="3">
        <v>2</v>
      </c>
      <c r="K75" s="4" t="s">
        <v>3091</v>
      </c>
      <c r="L75" s="11" t="s">
        <v>2272</v>
      </c>
      <c r="M75" s="190" t="s">
        <v>2272</v>
      </c>
      <c r="N75" s="3"/>
    </row>
    <row r="76" spans="1:14" ht="29">
      <c r="A76" s="11" t="s">
        <v>3040</v>
      </c>
      <c r="B76" s="11" t="s">
        <v>3061</v>
      </c>
      <c r="C76" s="23" t="s">
        <v>23</v>
      </c>
      <c r="D76" s="3" t="s">
        <v>24</v>
      </c>
      <c r="E76" s="4" t="s">
        <v>44</v>
      </c>
      <c r="F76" s="4" t="s">
        <v>28</v>
      </c>
      <c r="G76" s="3"/>
      <c r="H76" s="3">
        <v>1</v>
      </c>
      <c r="I76" s="4" t="s">
        <v>3090</v>
      </c>
      <c r="J76" s="3">
        <v>2</v>
      </c>
      <c r="K76" s="4" t="s">
        <v>3091</v>
      </c>
      <c r="L76" s="11" t="s">
        <v>2272</v>
      </c>
      <c r="M76" s="190" t="s">
        <v>2272</v>
      </c>
      <c r="N76" s="3"/>
    </row>
    <row r="77" spans="1:14" ht="44.5" customHeight="1">
      <c r="A77" s="11" t="s">
        <v>3040</v>
      </c>
      <c r="B77" s="11" t="s">
        <v>3062</v>
      </c>
      <c r="C77" s="23" t="s">
        <v>23</v>
      </c>
      <c r="D77" s="3" t="s">
        <v>24</v>
      </c>
      <c r="E77" s="4" t="s">
        <v>44</v>
      </c>
      <c r="F77" s="4" t="s">
        <v>54</v>
      </c>
      <c r="G77" s="3"/>
      <c r="H77" s="3">
        <v>1</v>
      </c>
      <c r="I77" s="4" t="s">
        <v>3090</v>
      </c>
      <c r="J77" s="3">
        <v>2</v>
      </c>
      <c r="K77" s="4" t="s">
        <v>3091</v>
      </c>
      <c r="L77" s="11" t="s">
        <v>2272</v>
      </c>
      <c r="M77" s="190" t="s">
        <v>2272</v>
      </c>
      <c r="N77" s="3"/>
    </row>
    <row r="78" spans="1:14" ht="80" customHeight="1">
      <c r="A78" s="11" t="s">
        <v>3124</v>
      </c>
      <c r="B78" s="11" t="s">
        <v>3133</v>
      </c>
      <c r="C78" s="3" t="s">
        <v>23</v>
      </c>
      <c r="D78" s="3" t="s">
        <v>26</v>
      </c>
      <c r="E78" s="4" t="s">
        <v>128</v>
      </c>
      <c r="F78" s="3" t="s">
        <v>158</v>
      </c>
      <c r="G78" s="3"/>
      <c r="H78" s="3">
        <v>2</v>
      </c>
      <c r="I78" s="4" t="s">
        <v>3199</v>
      </c>
      <c r="J78" s="3" t="s">
        <v>2272</v>
      </c>
      <c r="K78" s="3" t="s">
        <v>2272</v>
      </c>
      <c r="L78" s="3">
        <v>0</v>
      </c>
      <c r="M78" s="45" t="s">
        <v>3209</v>
      </c>
      <c r="N78" s="3"/>
    </row>
    <row r="79" spans="1:14" ht="79" customHeight="1">
      <c r="A79" s="11" t="s">
        <v>3124</v>
      </c>
      <c r="B79" s="11" t="s">
        <v>3142</v>
      </c>
      <c r="C79" s="3" t="s">
        <v>23</v>
      </c>
      <c r="D79" s="3" t="s">
        <v>24</v>
      </c>
      <c r="E79" s="4" t="s">
        <v>128</v>
      </c>
      <c r="F79" s="4" t="s">
        <v>2657</v>
      </c>
      <c r="G79" s="3"/>
      <c r="H79" s="3">
        <v>2</v>
      </c>
      <c r="I79" s="4" t="s">
        <v>3199</v>
      </c>
      <c r="J79" s="3">
        <v>2</v>
      </c>
      <c r="K79" s="4" t="s">
        <v>3200</v>
      </c>
      <c r="L79" s="3">
        <v>0</v>
      </c>
      <c r="M79" s="45" t="s">
        <v>3209</v>
      </c>
      <c r="N79" s="3"/>
    </row>
    <row r="80" spans="1:14" ht="79" customHeight="1">
      <c r="A80" s="11" t="s">
        <v>3124</v>
      </c>
      <c r="B80" s="11" t="s">
        <v>3143</v>
      </c>
      <c r="C80" s="3" t="s">
        <v>23</v>
      </c>
      <c r="D80" s="3" t="s">
        <v>1102</v>
      </c>
      <c r="E80" s="4" t="s">
        <v>3204</v>
      </c>
      <c r="F80" s="4" t="s">
        <v>2272</v>
      </c>
      <c r="G80" s="3"/>
      <c r="H80" s="3" t="s">
        <v>2272</v>
      </c>
      <c r="I80" s="3" t="s">
        <v>2272</v>
      </c>
      <c r="J80" s="3" t="s">
        <v>2272</v>
      </c>
      <c r="K80" s="3" t="s">
        <v>2272</v>
      </c>
      <c r="L80" s="3">
        <v>0</v>
      </c>
      <c r="M80" s="190" t="s">
        <v>3208</v>
      </c>
      <c r="N80" s="3"/>
    </row>
    <row r="81" spans="1:14" ht="83" customHeight="1">
      <c r="A81" s="11" t="s">
        <v>3125</v>
      </c>
      <c r="B81" s="11" t="s">
        <v>3134</v>
      </c>
      <c r="C81" s="3" t="s">
        <v>23</v>
      </c>
      <c r="D81" s="3" t="s">
        <v>26</v>
      </c>
      <c r="E81" s="4" t="s">
        <v>128</v>
      </c>
      <c r="F81" s="3" t="s">
        <v>158</v>
      </c>
      <c r="G81" s="3"/>
      <c r="H81" s="3">
        <v>2</v>
      </c>
      <c r="I81" s="4" t="s">
        <v>3199</v>
      </c>
      <c r="J81" s="3" t="s">
        <v>2272</v>
      </c>
      <c r="K81" s="3" t="s">
        <v>2272</v>
      </c>
      <c r="L81" s="3">
        <v>0</v>
      </c>
      <c r="M81" s="45" t="s">
        <v>3209</v>
      </c>
      <c r="N81" s="3"/>
    </row>
    <row r="82" spans="1:14" ht="85" customHeight="1">
      <c r="A82" s="11" t="s">
        <v>3125</v>
      </c>
      <c r="B82" s="11" t="s">
        <v>3159</v>
      </c>
      <c r="C82" s="3" t="s">
        <v>23</v>
      </c>
      <c r="D82" s="3" t="s">
        <v>24</v>
      </c>
      <c r="E82" s="4" t="s">
        <v>128</v>
      </c>
      <c r="F82" s="4" t="s">
        <v>2657</v>
      </c>
      <c r="G82" s="3"/>
      <c r="H82" s="3">
        <v>2</v>
      </c>
      <c r="I82" s="4" t="s">
        <v>3199</v>
      </c>
      <c r="J82" s="3">
        <v>2</v>
      </c>
      <c r="K82" s="4" t="s">
        <v>3200</v>
      </c>
      <c r="L82" s="3">
        <v>0</v>
      </c>
      <c r="M82" s="45" t="s">
        <v>3209</v>
      </c>
      <c r="N82" s="3"/>
    </row>
    <row r="83" spans="1:14" ht="85" customHeight="1">
      <c r="A83" s="11" t="s">
        <v>3125</v>
      </c>
      <c r="B83" s="11" t="s">
        <v>3160</v>
      </c>
      <c r="C83" s="3" t="s">
        <v>23</v>
      </c>
      <c r="D83" s="3" t="s">
        <v>1102</v>
      </c>
      <c r="E83" s="4" t="s">
        <v>3204</v>
      </c>
      <c r="F83" s="4" t="s">
        <v>2272</v>
      </c>
      <c r="G83" s="3"/>
      <c r="H83" s="3" t="s">
        <v>2272</v>
      </c>
      <c r="I83" s="3" t="s">
        <v>2272</v>
      </c>
      <c r="J83" s="3" t="s">
        <v>2272</v>
      </c>
      <c r="K83" s="3" t="s">
        <v>2272</v>
      </c>
      <c r="L83" s="3">
        <v>0</v>
      </c>
      <c r="M83" s="190" t="s">
        <v>3208</v>
      </c>
      <c r="N83" s="3"/>
    </row>
    <row r="84" spans="1:14" ht="82" customHeight="1">
      <c r="A84" s="11" t="s">
        <v>3126</v>
      </c>
      <c r="B84" s="11" t="s">
        <v>3135</v>
      </c>
      <c r="C84" s="3" t="s">
        <v>23</v>
      </c>
      <c r="D84" s="3" t="s">
        <v>26</v>
      </c>
      <c r="E84" s="4" t="s">
        <v>128</v>
      </c>
      <c r="F84" s="3" t="s">
        <v>158</v>
      </c>
      <c r="G84" s="3"/>
      <c r="H84" s="3">
        <v>2</v>
      </c>
      <c r="I84" s="4" t="s">
        <v>3199</v>
      </c>
      <c r="J84" s="3" t="s">
        <v>2272</v>
      </c>
      <c r="K84" s="3" t="s">
        <v>2272</v>
      </c>
      <c r="L84" s="3">
        <v>0</v>
      </c>
      <c r="M84" s="191" t="s">
        <v>3210</v>
      </c>
      <c r="N84" s="3"/>
    </row>
    <row r="85" spans="1:14" ht="87.5" customHeight="1">
      <c r="A85" s="11" t="s">
        <v>3126</v>
      </c>
      <c r="B85" s="11" t="s">
        <v>3138</v>
      </c>
      <c r="C85" s="3" t="s">
        <v>1102</v>
      </c>
      <c r="D85" s="3" t="s">
        <v>1102</v>
      </c>
      <c r="E85" s="4" t="s">
        <v>3204</v>
      </c>
      <c r="F85" s="3" t="s">
        <v>2272</v>
      </c>
      <c r="G85" s="3"/>
      <c r="H85" s="3" t="s">
        <v>2272</v>
      </c>
      <c r="I85" s="3" t="s">
        <v>2272</v>
      </c>
      <c r="J85" s="3">
        <v>2</v>
      </c>
      <c r="K85" s="4" t="s">
        <v>3205</v>
      </c>
      <c r="L85" s="3">
        <v>2</v>
      </c>
      <c r="M85" s="45" t="s">
        <v>3206</v>
      </c>
      <c r="N85" s="3"/>
    </row>
    <row r="86" spans="1:14" ht="115" customHeight="1">
      <c r="A86" s="11" t="s">
        <v>3127</v>
      </c>
      <c r="B86" s="11" t="s">
        <v>3136</v>
      </c>
      <c r="C86" s="3" t="s">
        <v>23</v>
      </c>
      <c r="D86" s="3" t="s">
        <v>1238</v>
      </c>
      <c r="E86" s="4" t="s">
        <v>114</v>
      </c>
      <c r="F86" s="4" t="s">
        <v>2657</v>
      </c>
      <c r="G86" s="3"/>
      <c r="H86" s="3">
        <v>2</v>
      </c>
      <c r="I86" s="4" t="s">
        <v>3201</v>
      </c>
      <c r="J86" s="3">
        <v>2</v>
      </c>
      <c r="K86" s="4" t="s">
        <v>3201</v>
      </c>
      <c r="L86" s="3" t="s">
        <v>2272</v>
      </c>
      <c r="M86" s="49" t="s">
        <v>2272</v>
      </c>
      <c r="N86" s="3"/>
    </row>
    <row r="87" spans="1:14" ht="114" customHeight="1">
      <c r="A87" s="11" t="s">
        <v>3127</v>
      </c>
      <c r="B87" s="11" t="s">
        <v>3186</v>
      </c>
      <c r="C87" s="3" t="s">
        <v>23</v>
      </c>
      <c r="D87" s="3" t="s">
        <v>26</v>
      </c>
      <c r="E87" s="4" t="s">
        <v>128</v>
      </c>
      <c r="F87" s="3" t="s">
        <v>158</v>
      </c>
      <c r="G87" s="3"/>
      <c r="H87" s="3">
        <v>2</v>
      </c>
      <c r="I87" s="4" t="s">
        <v>3207</v>
      </c>
      <c r="J87" s="3" t="s">
        <v>2272</v>
      </c>
      <c r="K87" s="3" t="s">
        <v>2272</v>
      </c>
      <c r="L87" s="3">
        <v>2</v>
      </c>
      <c r="M87" s="45" t="s">
        <v>3202</v>
      </c>
      <c r="N87" s="3"/>
    </row>
    <row r="88" spans="1:14" ht="70.5" customHeight="1">
      <c r="A88" s="11" t="s">
        <v>3127</v>
      </c>
      <c r="B88" s="11" t="s">
        <v>3187</v>
      </c>
      <c r="C88" s="3" t="s">
        <v>23</v>
      </c>
      <c r="D88" s="3" t="s">
        <v>1102</v>
      </c>
      <c r="E88" s="4" t="s">
        <v>3204</v>
      </c>
      <c r="F88" s="3" t="s">
        <v>2272</v>
      </c>
      <c r="G88" s="3"/>
      <c r="H88" s="3" t="s">
        <v>2272</v>
      </c>
      <c r="I88" s="3" t="s">
        <v>2272</v>
      </c>
      <c r="J88" s="3" t="s">
        <v>2272</v>
      </c>
      <c r="K88" s="3" t="s">
        <v>2272</v>
      </c>
      <c r="L88" s="3">
        <v>2</v>
      </c>
      <c r="M88" s="45" t="s">
        <v>3203</v>
      </c>
      <c r="N88" s="3"/>
    </row>
    <row r="89" spans="1:14" ht="142.5" customHeight="1">
      <c r="A89" s="11" t="s">
        <v>3281</v>
      </c>
      <c r="B89" s="11" t="s">
        <v>3286</v>
      </c>
      <c r="C89" s="3" t="s">
        <v>23</v>
      </c>
      <c r="D89" s="3" t="s">
        <v>1241</v>
      </c>
      <c r="E89" s="4" t="s">
        <v>114</v>
      </c>
      <c r="F89" s="3" t="s">
        <v>54</v>
      </c>
      <c r="G89" s="3"/>
      <c r="H89" s="3">
        <v>2</v>
      </c>
      <c r="I89" s="4" t="s">
        <v>3290</v>
      </c>
      <c r="J89" s="3">
        <v>2</v>
      </c>
      <c r="K89" s="4" t="s">
        <v>3290</v>
      </c>
      <c r="L89" s="3" t="s">
        <v>2272</v>
      </c>
      <c r="M89" s="49" t="s">
        <v>2272</v>
      </c>
      <c r="N89" s="3"/>
    </row>
    <row r="90" spans="1:14" ht="141.5" customHeight="1">
      <c r="A90" s="11" t="s">
        <v>3281</v>
      </c>
      <c r="B90" s="11" t="s">
        <v>3288</v>
      </c>
      <c r="C90" s="3" t="s">
        <v>23</v>
      </c>
      <c r="D90" s="3" t="s">
        <v>1241</v>
      </c>
      <c r="E90" s="4" t="s">
        <v>114</v>
      </c>
      <c r="F90" s="4" t="s">
        <v>2657</v>
      </c>
      <c r="G90" s="3"/>
      <c r="H90" s="3">
        <v>2</v>
      </c>
      <c r="I90" s="4" t="s">
        <v>3290</v>
      </c>
      <c r="J90" s="3">
        <v>2</v>
      </c>
      <c r="K90" s="4" t="s">
        <v>3290</v>
      </c>
      <c r="L90" s="3" t="s">
        <v>2272</v>
      </c>
      <c r="M90" s="49" t="s">
        <v>2272</v>
      </c>
      <c r="N90" s="3"/>
    </row>
    <row r="91" spans="1:14" ht="70" customHeight="1">
      <c r="A91" s="23" t="s">
        <v>3292</v>
      </c>
      <c r="B91" s="23" t="s">
        <v>3303</v>
      </c>
      <c r="C91" s="3" t="s">
        <v>23</v>
      </c>
      <c r="D91" s="3" t="s">
        <v>24</v>
      </c>
      <c r="E91" s="4" t="s">
        <v>5000</v>
      </c>
      <c r="F91" s="3" t="s">
        <v>54</v>
      </c>
      <c r="G91" s="3"/>
      <c r="H91" s="3">
        <v>0</v>
      </c>
      <c r="I91" s="4" t="s">
        <v>3325</v>
      </c>
      <c r="J91" s="3">
        <v>1</v>
      </c>
      <c r="K91" s="3" t="s">
        <v>3326</v>
      </c>
      <c r="L91" s="3" t="s">
        <v>2272</v>
      </c>
      <c r="M91" s="49" t="s">
        <v>2272</v>
      </c>
      <c r="N91" s="3"/>
    </row>
    <row r="92" spans="1:14" ht="70" customHeight="1">
      <c r="A92" s="23" t="s">
        <v>3292</v>
      </c>
      <c r="B92" s="23" t="s">
        <v>3304</v>
      </c>
      <c r="C92" s="3" t="s">
        <v>23</v>
      </c>
      <c r="D92" s="3" t="s">
        <v>24</v>
      </c>
      <c r="E92" s="4" t="s">
        <v>5000</v>
      </c>
      <c r="F92" s="4" t="s">
        <v>2657</v>
      </c>
      <c r="G92" s="3"/>
      <c r="H92" s="3">
        <v>0</v>
      </c>
      <c r="I92" s="4" t="s">
        <v>3325</v>
      </c>
      <c r="J92" s="3">
        <v>1</v>
      </c>
      <c r="K92" s="3" t="s">
        <v>3326</v>
      </c>
      <c r="L92" s="3" t="s">
        <v>2272</v>
      </c>
      <c r="M92" s="49" t="s">
        <v>2272</v>
      </c>
      <c r="N92" s="3"/>
    </row>
    <row r="93" spans="1:14" ht="70" customHeight="1">
      <c r="A93" s="23" t="s">
        <v>3297</v>
      </c>
      <c r="B93" s="23" t="s">
        <v>3306</v>
      </c>
      <c r="C93" s="3" t="s">
        <v>23</v>
      </c>
      <c r="D93" s="3" t="s">
        <v>24</v>
      </c>
      <c r="E93" s="4" t="s">
        <v>5000</v>
      </c>
      <c r="F93" s="3" t="s">
        <v>54</v>
      </c>
      <c r="G93" s="3"/>
      <c r="H93" s="3">
        <v>0</v>
      </c>
      <c r="I93" s="4" t="s">
        <v>3325</v>
      </c>
      <c r="J93" s="3">
        <v>1</v>
      </c>
      <c r="K93" s="3" t="s">
        <v>3326</v>
      </c>
      <c r="L93" s="3" t="s">
        <v>2272</v>
      </c>
      <c r="M93" s="49" t="s">
        <v>2272</v>
      </c>
      <c r="N93" s="3"/>
    </row>
    <row r="94" spans="1:14" ht="70" customHeight="1">
      <c r="A94" s="23" t="s">
        <v>3297</v>
      </c>
      <c r="B94" s="23" t="s">
        <v>3307</v>
      </c>
      <c r="C94" s="3" t="s">
        <v>23</v>
      </c>
      <c r="D94" s="3" t="s">
        <v>24</v>
      </c>
      <c r="E94" s="4" t="s">
        <v>5000</v>
      </c>
      <c r="F94" s="4" t="s">
        <v>2657</v>
      </c>
      <c r="G94" s="3"/>
      <c r="H94" s="3">
        <v>0</v>
      </c>
      <c r="I94" s="4" t="s">
        <v>3325</v>
      </c>
      <c r="J94" s="3">
        <v>1</v>
      </c>
      <c r="K94" s="3" t="s">
        <v>3326</v>
      </c>
      <c r="L94" s="3" t="s">
        <v>2272</v>
      </c>
      <c r="M94" s="49" t="s">
        <v>2272</v>
      </c>
      <c r="N94" s="3"/>
    </row>
    <row r="95" spans="1:14" ht="70" customHeight="1">
      <c r="A95" s="23" t="s">
        <v>3298</v>
      </c>
      <c r="B95" s="23" t="s">
        <v>3308</v>
      </c>
      <c r="C95" s="3" t="s">
        <v>23</v>
      </c>
      <c r="D95" s="3" t="s">
        <v>24</v>
      </c>
      <c r="E95" s="4" t="s">
        <v>5000</v>
      </c>
      <c r="F95" s="3" t="s">
        <v>54</v>
      </c>
      <c r="G95" s="3"/>
      <c r="H95" s="3">
        <v>0</v>
      </c>
      <c r="I95" s="4" t="s">
        <v>3325</v>
      </c>
      <c r="J95" s="3">
        <v>1</v>
      </c>
      <c r="K95" s="3" t="s">
        <v>3326</v>
      </c>
      <c r="L95" s="3" t="s">
        <v>2272</v>
      </c>
      <c r="M95" s="49" t="s">
        <v>2272</v>
      </c>
      <c r="N95" s="3"/>
    </row>
    <row r="96" spans="1:14" ht="70" customHeight="1">
      <c r="A96" s="23" t="s">
        <v>3298</v>
      </c>
      <c r="B96" s="23" t="s">
        <v>3309</v>
      </c>
      <c r="C96" s="3" t="s">
        <v>23</v>
      </c>
      <c r="D96" s="3" t="s">
        <v>24</v>
      </c>
      <c r="E96" s="4" t="s">
        <v>5000</v>
      </c>
      <c r="F96" s="4" t="s">
        <v>2657</v>
      </c>
      <c r="G96" s="3"/>
      <c r="H96" s="3">
        <v>0</v>
      </c>
      <c r="I96" s="4" t="s">
        <v>3325</v>
      </c>
      <c r="J96" s="3">
        <v>1</v>
      </c>
      <c r="K96" s="3" t="s">
        <v>3326</v>
      </c>
      <c r="L96" s="3" t="s">
        <v>2272</v>
      </c>
      <c r="M96" s="49" t="s">
        <v>2272</v>
      </c>
      <c r="N96" s="3"/>
    </row>
    <row r="97" spans="1:14" ht="36.5" customHeight="1">
      <c r="A97" s="23" t="s">
        <v>3300</v>
      </c>
      <c r="B97" s="23" t="s">
        <v>3312</v>
      </c>
      <c r="C97" s="3" t="s">
        <v>23</v>
      </c>
      <c r="D97" s="3" t="s">
        <v>24</v>
      </c>
      <c r="E97" s="4" t="s">
        <v>5000</v>
      </c>
      <c r="F97" s="3" t="s">
        <v>54</v>
      </c>
      <c r="G97" s="3"/>
      <c r="H97" s="3">
        <v>2</v>
      </c>
      <c r="I97" s="4" t="s">
        <v>3327</v>
      </c>
      <c r="J97" s="3">
        <v>0</v>
      </c>
      <c r="K97" s="4" t="s">
        <v>3324</v>
      </c>
      <c r="L97" s="3" t="s">
        <v>2272</v>
      </c>
      <c r="M97" s="49" t="s">
        <v>2272</v>
      </c>
      <c r="N97" s="3"/>
    </row>
    <row r="98" spans="1:14" ht="36.5" customHeight="1">
      <c r="A98" s="23" t="s">
        <v>3301</v>
      </c>
      <c r="B98" s="23" t="s">
        <v>3315</v>
      </c>
      <c r="C98" s="3" t="s">
        <v>23</v>
      </c>
      <c r="D98" s="3" t="s">
        <v>24</v>
      </c>
      <c r="E98" s="4" t="s">
        <v>5000</v>
      </c>
      <c r="F98" s="3" t="s">
        <v>54</v>
      </c>
      <c r="G98" s="3"/>
      <c r="H98" s="3">
        <v>2</v>
      </c>
      <c r="I98" s="4" t="s">
        <v>3327</v>
      </c>
      <c r="J98" s="3">
        <v>0</v>
      </c>
      <c r="K98" s="4" t="s">
        <v>3324</v>
      </c>
      <c r="L98" s="3" t="s">
        <v>2272</v>
      </c>
      <c r="M98" s="49" t="s">
        <v>2272</v>
      </c>
      <c r="N98" s="3"/>
    </row>
    <row r="99" spans="1:14" ht="36.5" customHeight="1">
      <c r="A99" s="23" t="s">
        <v>3302</v>
      </c>
      <c r="B99" s="23" t="s">
        <v>3316</v>
      </c>
      <c r="C99" s="3" t="s">
        <v>23</v>
      </c>
      <c r="D99" s="3" t="s">
        <v>24</v>
      </c>
      <c r="E99" s="4" t="s">
        <v>5000</v>
      </c>
      <c r="F99" s="3" t="s">
        <v>54</v>
      </c>
      <c r="G99" s="3"/>
      <c r="H99" s="3">
        <v>2</v>
      </c>
      <c r="I99" s="4" t="s">
        <v>3327</v>
      </c>
      <c r="J99" s="3">
        <v>0</v>
      </c>
      <c r="K99" s="4" t="s">
        <v>3324</v>
      </c>
      <c r="L99" s="3" t="s">
        <v>2272</v>
      </c>
      <c r="M99" s="49" t="s">
        <v>2272</v>
      </c>
      <c r="N99" s="3"/>
    </row>
    <row r="100" spans="1:14" ht="36.5" customHeight="1">
      <c r="A100" s="23" t="s">
        <v>3292</v>
      </c>
      <c r="B100" s="23" t="s">
        <v>3317</v>
      </c>
      <c r="C100" s="3" t="s">
        <v>23</v>
      </c>
      <c r="D100" s="3" t="s">
        <v>142</v>
      </c>
      <c r="E100" s="4" t="s">
        <v>135</v>
      </c>
      <c r="F100" s="3" t="s">
        <v>54</v>
      </c>
      <c r="G100" s="3"/>
      <c r="H100" s="3">
        <v>1</v>
      </c>
      <c r="I100" s="4" t="s">
        <v>3328</v>
      </c>
      <c r="J100" s="3"/>
      <c r="K100" s="3"/>
      <c r="L100" s="3" t="s">
        <v>2272</v>
      </c>
      <c r="M100" s="49" t="s">
        <v>2272</v>
      </c>
      <c r="N100" s="3"/>
    </row>
    <row r="101" spans="1:14" ht="36.5" customHeight="1">
      <c r="A101" s="23" t="s">
        <v>3292</v>
      </c>
      <c r="B101" s="23" t="s">
        <v>3318</v>
      </c>
      <c r="C101" s="3" t="s">
        <v>23</v>
      </c>
      <c r="D101" s="3" t="s">
        <v>142</v>
      </c>
      <c r="E101" s="4" t="s">
        <v>135</v>
      </c>
      <c r="F101" s="4" t="s">
        <v>2657</v>
      </c>
      <c r="G101" s="3"/>
      <c r="H101" s="3">
        <v>1</v>
      </c>
      <c r="I101" s="4" t="s">
        <v>3328</v>
      </c>
      <c r="J101" s="3">
        <v>1</v>
      </c>
      <c r="K101" s="4" t="s">
        <v>3328</v>
      </c>
      <c r="L101" s="3" t="s">
        <v>2272</v>
      </c>
      <c r="M101" s="49" t="s">
        <v>2272</v>
      </c>
      <c r="N101" s="3"/>
    </row>
    <row r="102" spans="1:14" ht="36.5" customHeight="1">
      <c r="A102" s="23" t="s">
        <v>3297</v>
      </c>
      <c r="B102" s="23" t="s">
        <v>3319</v>
      </c>
      <c r="C102" s="3" t="s">
        <v>23</v>
      </c>
      <c r="D102" s="3" t="s">
        <v>142</v>
      </c>
      <c r="E102" s="4" t="s">
        <v>135</v>
      </c>
      <c r="F102" s="3" t="s">
        <v>54</v>
      </c>
      <c r="G102" s="3"/>
      <c r="H102" s="3">
        <v>1</v>
      </c>
      <c r="I102" s="4" t="s">
        <v>3328</v>
      </c>
      <c r="J102" s="3">
        <v>1</v>
      </c>
      <c r="K102" s="4" t="s">
        <v>3328</v>
      </c>
      <c r="L102" s="3" t="s">
        <v>2272</v>
      </c>
      <c r="M102" s="49" t="s">
        <v>2272</v>
      </c>
      <c r="N102" s="3"/>
    </row>
    <row r="103" spans="1:14" ht="36.5" customHeight="1">
      <c r="A103" s="23" t="s">
        <v>3297</v>
      </c>
      <c r="B103" s="23" t="s">
        <v>3320</v>
      </c>
      <c r="C103" s="3" t="s">
        <v>23</v>
      </c>
      <c r="D103" s="3" t="s">
        <v>142</v>
      </c>
      <c r="E103" s="4" t="s">
        <v>135</v>
      </c>
      <c r="F103" s="4" t="s">
        <v>2657</v>
      </c>
      <c r="G103" s="3"/>
      <c r="H103" s="3">
        <v>1</v>
      </c>
      <c r="I103" s="4" t="s">
        <v>3328</v>
      </c>
      <c r="J103" s="3">
        <v>1</v>
      </c>
      <c r="K103" s="4" t="s">
        <v>3328</v>
      </c>
      <c r="L103" s="3" t="s">
        <v>2272</v>
      </c>
      <c r="M103" s="49" t="s">
        <v>2272</v>
      </c>
      <c r="N103" s="3"/>
    </row>
    <row r="104" spans="1:14" ht="36.5" customHeight="1">
      <c r="A104" s="23" t="s">
        <v>3298</v>
      </c>
      <c r="B104" s="23" t="s">
        <v>3321</v>
      </c>
      <c r="C104" s="3" t="s">
        <v>23</v>
      </c>
      <c r="D104" s="3" t="s">
        <v>142</v>
      </c>
      <c r="E104" s="4" t="s">
        <v>135</v>
      </c>
      <c r="F104" s="3" t="s">
        <v>54</v>
      </c>
      <c r="G104" s="3"/>
      <c r="H104" s="3">
        <v>1</v>
      </c>
      <c r="I104" s="4" t="s">
        <v>3328</v>
      </c>
      <c r="J104" s="3">
        <v>1</v>
      </c>
      <c r="K104" s="4" t="s">
        <v>3328</v>
      </c>
      <c r="L104" s="3" t="s">
        <v>2272</v>
      </c>
      <c r="M104" s="49" t="s">
        <v>2272</v>
      </c>
      <c r="N104" s="3"/>
    </row>
    <row r="105" spans="1:14" ht="36.5" customHeight="1">
      <c r="A105" s="23" t="s">
        <v>3298</v>
      </c>
      <c r="B105" s="23" t="s">
        <v>3322</v>
      </c>
      <c r="C105" s="3" t="s">
        <v>23</v>
      </c>
      <c r="D105" s="3" t="s">
        <v>142</v>
      </c>
      <c r="E105" s="4" t="s">
        <v>135</v>
      </c>
      <c r="F105" s="4" t="s">
        <v>2657</v>
      </c>
      <c r="G105" s="3"/>
      <c r="H105" s="3">
        <v>1</v>
      </c>
      <c r="I105" s="4" t="s">
        <v>3328</v>
      </c>
      <c r="J105" s="3">
        <v>1</v>
      </c>
      <c r="K105" s="4" t="s">
        <v>3328</v>
      </c>
      <c r="L105" s="3" t="s">
        <v>2272</v>
      </c>
      <c r="M105" s="49" t="s">
        <v>2272</v>
      </c>
      <c r="N105" s="3"/>
    </row>
    <row r="106" spans="1:14" ht="52.5" customHeight="1">
      <c r="A106" s="23" t="s">
        <v>3373</v>
      </c>
      <c r="B106" s="3" t="s">
        <v>3384</v>
      </c>
      <c r="C106" s="3" t="s">
        <v>23</v>
      </c>
      <c r="D106" s="3" t="s">
        <v>2799</v>
      </c>
      <c r="E106" s="4" t="s">
        <v>5000</v>
      </c>
      <c r="F106" s="4" t="s">
        <v>2657</v>
      </c>
      <c r="G106" s="3">
        <v>1968</v>
      </c>
      <c r="H106" s="3">
        <v>2</v>
      </c>
      <c r="I106" s="4" t="s">
        <v>3395</v>
      </c>
      <c r="J106" s="3" t="s">
        <v>2272</v>
      </c>
      <c r="K106" s="3" t="s">
        <v>2272</v>
      </c>
      <c r="L106" s="3" t="s">
        <v>2272</v>
      </c>
      <c r="M106" s="49" t="s">
        <v>2272</v>
      </c>
      <c r="N106" s="3"/>
    </row>
    <row r="107" spans="1:14" ht="52.5" customHeight="1">
      <c r="A107" s="23" t="s">
        <v>3374</v>
      </c>
      <c r="B107" s="3" t="s">
        <v>3385</v>
      </c>
      <c r="C107" s="3" t="s">
        <v>23</v>
      </c>
      <c r="D107" s="3" t="s">
        <v>2799</v>
      </c>
      <c r="E107" s="4" t="s">
        <v>5000</v>
      </c>
      <c r="F107" s="4" t="s">
        <v>2657</v>
      </c>
      <c r="G107" s="3">
        <v>1968</v>
      </c>
      <c r="H107" s="3">
        <v>2</v>
      </c>
      <c r="I107" s="4" t="s">
        <v>3395</v>
      </c>
      <c r="J107" s="3" t="s">
        <v>2272</v>
      </c>
      <c r="K107" s="3" t="s">
        <v>2272</v>
      </c>
      <c r="L107" s="3" t="s">
        <v>2272</v>
      </c>
      <c r="M107" s="49" t="s">
        <v>2272</v>
      </c>
      <c r="N107" s="3"/>
    </row>
    <row r="108" spans="1:14" ht="52.5" customHeight="1">
      <c r="A108" s="23" t="s">
        <v>3378</v>
      </c>
      <c r="B108" s="3" t="s">
        <v>3386</v>
      </c>
      <c r="C108" s="3" t="s">
        <v>23</v>
      </c>
      <c r="D108" s="3" t="s">
        <v>2799</v>
      </c>
      <c r="E108" s="4" t="s">
        <v>5000</v>
      </c>
      <c r="F108" s="4" t="s">
        <v>2657</v>
      </c>
      <c r="G108" s="3">
        <v>1968</v>
      </c>
      <c r="H108" s="3">
        <v>2</v>
      </c>
      <c r="I108" s="4" t="s">
        <v>3395</v>
      </c>
      <c r="J108" s="3" t="s">
        <v>2272</v>
      </c>
      <c r="K108" s="3" t="s">
        <v>2272</v>
      </c>
      <c r="L108" s="3" t="s">
        <v>2272</v>
      </c>
      <c r="M108" s="49" t="s">
        <v>2272</v>
      </c>
      <c r="N108" s="3"/>
    </row>
    <row r="109" spans="1:14" ht="111" customHeight="1">
      <c r="A109" s="3" t="s">
        <v>3408</v>
      </c>
      <c r="B109" s="3" t="s">
        <v>3413</v>
      </c>
      <c r="C109" s="3" t="s">
        <v>23</v>
      </c>
      <c r="D109" s="3" t="s">
        <v>1241</v>
      </c>
      <c r="E109" s="4" t="s">
        <v>114</v>
      </c>
      <c r="F109" s="4" t="s">
        <v>2657</v>
      </c>
      <c r="G109" s="3"/>
      <c r="H109" s="3">
        <v>2</v>
      </c>
      <c r="I109" s="4" t="s">
        <v>3417</v>
      </c>
      <c r="J109" s="3">
        <v>2</v>
      </c>
      <c r="K109" s="3" t="s">
        <v>3412</v>
      </c>
      <c r="L109" s="3" t="s">
        <v>2272</v>
      </c>
      <c r="M109" s="49" t="s">
        <v>2272</v>
      </c>
      <c r="N109" s="3"/>
    </row>
    <row r="110" spans="1:14" ht="80" customHeight="1">
      <c r="A110" s="11" t="s">
        <v>3421</v>
      </c>
      <c r="B110" s="11" t="s">
        <v>3424</v>
      </c>
      <c r="C110" s="3" t="s">
        <v>23</v>
      </c>
      <c r="D110" s="3" t="s">
        <v>1241</v>
      </c>
      <c r="E110" s="4" t="s">
        <v>114</v>
      </c>
      <c r="F110" s="4" t="s">
        <v>2657</v>
      </c>
      <c r="G110" s="3">
        <v>1953</v>
      </c>
      <c r="H110" s="3">
        <v>2</v>
      </c>
      <c r="I110" s="4" t="s">
        <v>3435</v>
      </c>
      <c r="J110" s="3">
        <v>2</v>
      </c>
      <c r="K110" s="4" t="s">
        <v>3436</v>
      </c>
      <c r="L110" s="3" t="s">
        <v>2272</v>
      </c>
      <c r="M110" s="49" t="s">
        <v>2272</v>
      </c>
      <c r="N110" s="3"/>
    </row>
    <row r="111" spans="1:14" ht="193.5" customHeight="1">
      <c r="A111" s="11" t="s">
        <v>3440</v>
      </c>
      <c r="B111" s="11" t="s">
        <v>3442</v>
      </c>
      <c r="C111" s="3" t="s">
        <v>23</v>
      </c>
      <c r="D111" s="3" t="s">
        <v>1102</v>
      </c>
      <c r="E111" s="4" t="s">
        <v>114</v>
      </c>
      <c r="F111" s="4" t="s">
        <v>2657</v>
      </c>
      <c r="G111" s="35"/>
      <c r="H111" s="35">
        <v>2</v>
      </c>
      <c r="I111" s="56" t="s">
        <v>3452</v>
      </c>
      <c r="J111" s="35">
        <v>2</v>
      </c>
      <c r="K111" s="56" t="s">
        <v>3452</v>
      </c>
      <c r="L111" s="35" t="s">
        <v>2272</v>
      </c>
      <c r="M111" s="192" t="s">
        <v>2272</v>
      </c>
      <c r="N111" s="3"/>
    </row>
    <row r="112" spans="1:14" ht="61.5" customHeight="1">
      <c r="A112" s="11" t="s">
        <v>3455</v>
      </c>
      <c r="B112" s="11" t="s">
        <v>3460</v>
      </c>
      <c r="C112" s="3" t="s">
        <v>23</v>
      </c>
      <c r="D112" s="3" t="s">
        <v>26</v>
      </c>
      <c r="E112" s="4" t="s">
        <v>128</v>
      </c>
      <c r="F112" s="3" t="s">
        <v>158</v>
      </c>
      <c r="G112" s="3"/>
      <c r="H112" s="3">
        <v>2</v>
      </c>
      <c r="I112" s="4" t="s">
        <v>3468</v>
      </c>
      <c r="J112" s="3" t="s">
        <v>2272</v>
      </c>
      <c r="K112" s="3" t="s">
        <v>2272</v>
      </c>
      <c r="L112" s="3" t="s">
        <v>2272</v>
      </c>
      <c r="M112" s="49" t="s">
        <v>2272</v>
      </c>
      <c r="N112" s="3"/>
    </row>
    <row r="113" spans="1:14" ht="61.5" customHeight="1">
      <c r="A113" s="11" t="s">
        <v>3455</v>
      </c>
      <c r="B113" s="11" t="s">
        <v>3462</v>
      </c>
      <c r="C113" s="3" t="s">
        <v>23</v>
      </c>
      <c r="D113" s="3" t="s">
        <v>3471</v>
      </c>
      <c r="E113" s="4" t="s">
        <v>860</v>
      </c>
      <c r="F113" s="3" t="s">
        <v>158</v>
      </c>
      <c r="G113" s="3"/>
      <c r="H113" s="3">
        <v>0</v>
      </c>
      <c r="I113" s="4" t="s">
        <v>3469</v>
      </c>
      <c r="J113" s="3" t="s">
        <v>2272</v>
      </c>
      <c r="K113" s="3" t="s">
        <v>2272</v>
      </c>
      <c r="L113" s="3" t="s">
        <v>2272</v>
      </c>
      <c r="M113" s="49" t="s">
        <v>2272</v>
      </c>
      <c r="N113" s="3"/>
    </row>
    <row r="114" spans="1:14" ht="61.5" customHeight="1">
      <c r="A114" s="11" t="s">
        <v>3455</v>
      </c>
      <c r="B114" s="11" t="s">
        <v>3464</v>
      </c>
      <c r="C114" s="3" t="s">
        <v>23</v>
      </c>
      <c r="D114" s="3" t="s">
        <v>3475</v>
      </c>
      <c r="E114" s="4" t="s">
        <v>114</v>
      </c>
      <c r="F114" s="3" t="s">
        <v>73</v>
      </c>
      <c r="G114" s="3"/>
      <c r="H114" s="3">
        <v>0</v>
      </c>
      <c r="I114" s="4" t="s">
        <v>3481</v>
      </c>
      <c r="J114" s="3" t="s">
        <v>2272</v>
      </c>
      <c r="K114" s="3" t="s">
        <v>2272</v>
      </c>
      <c r="L114" s="3" t="s">
        <v>2272</v>
      </c>
      <c r="M114" s="49" t="s">
        <v>2272</v>
      </c>
      <c r="N114" s="3"/>
    </row>
    <row r="115" spans="1:14" ht="151" customHeight="1">
      <c r="A115" s="23" t="s">
        <v>3486</v>
      </c>
      <c r="B115" s="3" t="s">
        <v>3492</v>
      </c>
      <c r="C115" s="3" t="s">
        <v>1102</v>
      </c>
      <c r="D115" s="3" t="s">
        <v>1102</v>
      </c>
      <c r="E115" s="56" t="s">
        <v>3204</v>
      </c>
      <c r="F115" s="3" t="s">
        <v>2272</v>
      </c>
      <c r="G115" s="3"/>
      <c r="H115" s="3" t="s">
        <v>2272</v>
      </c>
      <c r="I115" s="3" t="s">
        <v>2272</v>
      </c>
      <c r="J115" s="3" t="s">
        <v>2272</v>
      </c>
      <c r="K115" s="3" t="s">
        <v>2272</v>
      </c>
      <c r="L115" s="3">
        <v>1</v>
      </c>
      <c r="M115" s="45" t="s">
        <v>3495</v>
      </c>
      <c r="N115" s="3"/>
    </row>
    <row r="116" spans="1:14" ht="109" customHeight="1">
      <c r="A116" s="23" t="s">
        <v>3486</v>
      </c>
      <c r="B116" s="3" t="s">
        <v>3493</v>
      </c>
      <c r="C116" s="3" t="s">
        <v>1102</v>
      </c>
      <c r="D116" s="3" t="s">
        <v>1102</v>
      </c>
      <c r="E116" s="4" t="s">
        <v>395</v>
      </c>
      <c r="F116" s="3" t="s">
        <v>27</v>
      </c>
      <c r="G116" s="3">
        <v>2009</v>
      </c>
      <c r="H116" s="22">
        <v>0</v>
      </c>
      <c r="I116" s="157" t="s">
        <v>3500</v>
      </c>
      <c r="J116" s="3">
        <v>0</v>
      </c>
      <c r="K116" s="157" t="s">
        <v>3500</v>
      </c>
      <c r="L116" s="12">
        <v>0</v>
      </c>
      <c r="M116" s="193" t="s">
        <v>3523</v>
      </c>
      <c r="N116" s="3"/>
    </row>
    <row r="117" spans="1:14" ht="109" customHeight="1">
      <c r="A117" s="23" t="s">
        <v>3486</v>
      </c>
      <c r="B117" s="3" t="s">
        <v>3494</v>
      </c>
      <c r="C117" s="3" t="s">
        <v>1102</v>
      </c>
      <c r="D117" s="3" t="s">
        <v>1102</v>
      </c>
      <c r="E117" s="4" t="s">
        <v>394</v>
      </c>
      <c r="F117" s="3" t="s">
        <v>27</v>
      </c>
      <c r="G117" s="3">
        <v>2009</v>
      </c>
      <c r="H117" s="22">
        <v>0</v>
      </c>
      <c r="I117" s="157" t="s">
        <v>3500</v>
      </c>
      <c r="J117" s="3">
        <v>0</v>
      </c>
      <c r="K117" s="157" t="s">
        <v>3500</v>
      </c>
      <c r="L117" s="12">
        <v>0</v>
      </c>
      <c r="M117" s="193" t="s">
        <v>3523</v>
      </c>
      <c r="N117" s="3"/>
    </row>
    <row r="118" spans="1:14" ht="109" customHeight="1">
      <c r="A118" s="23" t="s">
        <v>3486</v>
      </c>
      <c r="B118" s="3" t="s">
        <v>3497</v>
      </c>
      <c r="C118" s="3" t="s">
        <v>1102</v>
      </c>
      <c r="D118" s="3" t="s">
        <v>1102</v>
      </c>
      <c r="E118" s="4" t="s">
        <v>44</v>
      </c>
      <c r="F118" s="3" t="s">
        <v>28</v>
      </c>
      <c r="G118" s="3">
        <v>2009</v>
      </c>
      <c r="H118" s="22">
        <v>0</v>
      </c>
      <c r="I118" s="157" t="s">
        <v>3500</v>
      </c>
      <c r="J118" s="3">
        <v>0</v>
      </c>
      <c r="K118" s="157" t="s">
        <v>3500</v>
      </c>
      <c r="L118" s="12">
        <v>0</v>
      </c>
      <c r="M118" s="193" t="s">
        <v>3523</v>
      </c>
      <c r="N118" s="3"/>
    </row>
    <row r="119" spans="1:14" ht="109" customHeight="1">
      <c r="A119" s="23" t="s">
        <v>3486</v>
      </c>
      <c r="B119" s="3" t="s">
        <v>3498</v>
      </c>
      <c r="C119" s="3" t="s">
        <v>1102</v>
      </c>
      <c r="D119" s="3" t="s">
        <v>1102</v>
      </c>
      <c r="E119" s="4" t="s">
        <v>395</v>
      </c>
      <c r="F119" s="3" t="s">
        <v>27</v>
      </c>
      <c r="G119" s="3">
        <v>2010</v>
      </c>
      <c r="H119" s="22">
        <v>0</v>
      </c>
      <c r="I119" s="157" t="s">
        <v>3502</v>
      </c>
      <c r="J119" s="3">
        <v>0</v>
      </c>
      <c r="K119" s="157" t="s">
        <v>3502</v>
      </c>
      <c r="L119" s="12">
        <v>0</v>
      </c>
      <c r="M119" s="193" t="s">
        <v>3523</v>
      </c>
      <c r="N119" s="3"/>
    </row>
    <row r="120" spans="1:14" ht="109" customHeight="1">
      <c r="A120" s="23" t="s">
        <v>3486</v>
      </c>
      <c r="B120" s="3" t="s">
        <v>3499</v>
      </c>
      <c r="C120" s="3" t="s">
        <v>1102</v>
      </c>
      <c r="D120" s="3" t="s">
        <v>1102</v>
      </c>
      <c r="E120" s="4" t="s">
        <v>394</v>
      </c>
      <c r="F120" s="3" t="s">
        <v>27</v>
      </c>
      <c r="G120" s="3">
        <v>2010</v>
      </c>
      <c r="H120" s="22">
        <v>0</v>
      </c>
      <c r="I120" s="157" t="s">
        <v>3502</v>
      </c>
      <c r="J120" s="3">
        <v>0</v>
      </c>
      <c r="K120" s="157" t="s">
        <v>3502</v>
      </c>
      <c r="L120" s="12">
        <v>0</v>
      </c>
      <c r="M120" s="193" t="s">
        <v>3523</v>
      </c>
      <c r="N120" s="3"/>
    </row>
    <row r="121" spans="1:14" ht="109" customHeight="1">
      <c r="A121" s="23" t="s">
        <v>3486</v>
      </c>
      <c r="B121" s="3" t="s">
        <v>3501</v>
      </c>
      <c r="C121" s="3" t="s">
        <v>1102</v>
      </c>
      <c r="D121" s="3" t="s">
        <v>1102</v>
      </c>
      <c r="E121" s="4" t="s">
        <v>44</v>
      </c>
      <c r="F121" s="3" t="s">
        <v>28</v>
      </c>
      <c r="G121" s="3">
        <v>2010</v>
      </c>
      <c r="H121" s="22">
        <v>0</v>
      </c>
      <c r="I121" s="157" t="s">
        <v>3502</v>
      </c>
      <c r="J121" s="3">
        <v>0</v>
      </c>
      <c r="K121" s="157" t="s">
        <v>3502</v>
      </c>
      <c r="L121" s="12">
        <v>0</v>
      </c>
      <c r="M121" s="193" t="s">
        <v>3523</v>
      </c>
      <c r="N121" s="3"/>
    </row>
    <row r="122" spans="1:14" ht="109" customHeight="1">
      <c r="A122" s="23" t="s">
        <v>3486</v>
      </c>
      <c r="B122" s="3" t="s">
        <v>3503</v>
      </c>
      <c r="C122" s="3" t="s">
        <v>1102</v>
      </c>
      <c r="D122" s="3" t="s">
        <v>1102</v>
      </c>
      <c r="E122" s="4" t="s">
        <v>395</v>
      </c>
      <c r="F122" s="3" t="s">
        <v>27</v>
      </c>
      <c r="G122" s="3">
        <v>2011</v>
      </c>
      <c r="H122" s="22">
        <v>1</v>
      </c>
      <c r="I122" s="157" t="s">
        <v>3506</v>
      </c>
      <c r="J122" s="22">
        <v>1</v>
      </c>
      <c r="K122" s="157" t="s">
        <v>3506</v>
      </c>
      <c r="L122" s="12">
        <v>1</v>
      </c>
      <c r="M122" s="193" t="s">
        <v>3519</v>
      </c>
      <c r="N122" s="3"/>
    </row>
    <row r="123" spans="1:14" ht="109" customHeight="1">
      <c r="A123" s="23" t="s">
        <v>3486</v>
      </c>
      <c r="B123" s="3" t="s">
        <v>3504</v>
      </c>
      <c r="C123" s="3" t="s">
        <v>1102</v>
      </c>
      <c r="D123" s="3" t="s">
        <v>1102</v>
      </c>
      <c r="E123" s="4" t="s">
        <v>394</v>
      </c>
      <c r="F123" s="3" t="s">
        <v>27</v>
      </c>
      <c r="G123" s="3">
        <v>2011</v>
      </c>
      <c r="H123" s="22">
        <v>1</v>
      </c>
      <c r="I123" s="157" t="s">
        <v>3506</v>
      </c>
      <c r="J123" s="22">
        <v>1</v>
      </c>
      <c r="K123" s="157" t="s">
        <v>3506</v>
      </c>
      <c r="L123" s="12">
        <v>1</v>
      </c>
      <c r="M123" s="193" t="s">
        <v>3519</v>
      </c>
      <c r="N123" s="3"/>
    </row>
    <row r="124" spans="1:14" ht="109" customHeight="1">
      <c r="A124" s="23" t="s">
        <v>3486</v>
      </c>
      <c r="B124" s="3" t="s">
        <v>3505</v>
      </c>
      <c r="C124" s="3" t="s">
        <v>1102</v>
      </c>
      <c r="D124" s="3" t="s">
        <v>1102</v>
      </c>
      <c r="E124" s="4" t="s">
        <v>44</v>
      </c>
      <c r="F124" s="3" t="s">
        <v>28</v>
      </c>
      <c r="G124" s="3">
        <v>2011</v>
      </c>
      <c r="H124" s="22">
        <v>1</v>
      </c>
      <c r="I124" s="157" t="s">
        <v>3506</v>
      </c>
      <c r="J124" s="22">
        <v>1</v>
      </c>
      <c r="K124" s="157" t="s">
        <v>3506</v>
      </c>
      <c r="L124" s="12">
        <v>1</v>
      </c>
      <c r="M124" s="193" t="s">
        <v>3519</v>
      </c>
      <c r="N124" s="3"/>
    </row>
    <row r="125" spans="1:14" ht="109" customHeight="1">
      <c r="A125" s="23" t="s">
        <v>3486</v>
      </c>
      <c r="B125" s="3" t="s">
        <v>3507</v>
      </c>
      <c r="C125" s="3" t="s">
        <v>1102</v>
      </c>
      <c r="D125" s="3" t="s">
        <v>1102</v>
      </c>
      <c r="E125" s="4" t="s">
        <v>395</v>
      </c>
      <c r="F125" s="3" t="s">
        <v>27</v>
      </c>
      <c r="G125" s="3">
        <v>2012</v>
      </c>
      <c r="H125" s="22">
        <v>1</v>
      </c>
      <c r="I125" s="157" t="s">
        <v>3510</v>
      </c>
      <c r="J125" s="22">
        <v>1</v>
      </c>
      <c r="K125" s="157" t="s">
        <v>3510</v>
      </c>
      <c r="L125" s="12">
        <v>1</v>
      </c>
      <c r="M125" s="193" t="s">
        <v>3518</v>
      </c>
      <c r="N125" s="3"/>
    </row>
    <row r="126" spans="1:14" ht="109" customHeight="1">
      <c r="A126" s="23" t="s">
        <v>3486</v>
      </c>
      <c r="B126" s="3" t="s">
        <v>3508</v>
      </c>
      <c r="C126" s="3" t="s">
        <v>1102</v>
      </c>
      <c r="D126" s="3" t="s">
        <v>1102</v>
      </c>
      <c r="E126" s="4" t="s">
        <v>394</v>
      </c>
      <c r="F126" s="3" t="s">
        <v>27</v>
      </c>
      <c r="G126" s="3">
        <v>2012</v>
      </c>
      <c r="H126" s="22">
        <v>1</v>
      </c>
      <c r="I126" s="157" t="s">
        <v>3510</v>
      </c>
      <c r="J126" s="22">
        <v>1</v>
      </c>
      <c r="K126" s="157" t="s">
        <v>3510</v>
      </c>
      <c r="L126" s="12">
        <v>1</v>
      </c>
      <c r="M126" s="193" t="s">
        <v>3518</v>
      </c>
      <c r="N126" s="3"/>
    </row>
    <row r="127" spans="1:14" ht="109" customHeight="1">
      <c r="A127" s="23" t="s">
        <v>3486</v>
      </c>
      <c r="B127" s="3" t="s">
        <v>3509</v>
      </c>
      <c r="C127" s="3" t="s">
        <v>1102</v>
      </c>
      <c r="D127" s="3" t="s">
        <v>1102</v>
      </c>
      <c r="E127" s="4" t="s">
        <v>44</v>
      </c>
      <c r="F127" s="3" t="s">
        <v>28</v>
      </c>
      <c r="G127" s="3">
        <v>2012</v>
      </c>
      <c r="H127" s="22">
        <v>1</v>
      </c>
      <c r="I127" s="157" t="s">
        <v>3510</v>
      </c>
      <c r="J127" s="22">
        <v>1</v>
      </c>
      <c r="K127" s="157" t="s">
        <v>3510</v>
      </c>
      <c r="L127" s="12">
        <v>1</v>
      </c>
      <c r="M127" s="193" t="s">
        <v>3518</v>
      </c>
      <c r="N127" s="3"/>
    </row>
    <row r="128" spans="1:14" ht="109" customHeight="1">
      <c r="A128" s="23" t="s">
        <v>3486</v>
      </c>
      <c r="B128" s="3" t="s">
        <v>3511</v>
      </c>
      <c r="C128" s="3" t="s">
        <v>1102</v>
      </c>
      <c r="D128" s="3" t="s">
        <v>1102</v>
      </c>
      <c r="E128" s="4" t="s">
        <v>395</v>
      </c>
      <c r="F128" s="3" t="s">
        <v>27</v>
      </c>
      <c r="G128" s="3">
        <v>2013</v>
      </c>
      <c r="H128" s="22">
        <v>1</v>
      </c>
      <c r="I128" s="157" t="s">
        <v>3510</v>
      </c>
      <c r="J128" s="22">
        <v>1</v>
      </c>
      <c r="K128" s="157" t="s">
        <v>3510</v>
      </c>
      <c r="L128" s="12">
        <v>1</v>
      </c>
      <c r="M128" s="193" t="s">
        <v>3520</v>
      </c>
      <c r="N128" s="3"/>
    </row>
    <row r="129" spans="1:14" ht="109" customHeight="1">
      <c r="A129" s="23" t="s">
        <v>3486</v>
      </c>
      <c r="B129" s="3" t="s">
        <v>3512</v>
      </c>
      <c r="C129" s="3" t="s">
        <v>1102</v>
      </c>
      <c r="D129" s="3" t="s">
        <v>1102</v>
      </c>
      <c r="E129" s="4" t="s">
        <v>394</v>
      </c>
      <c r="F129" s="3" t="s">
        <v>27</v>
      </c>
      <c r="G129" s="3">
        <v>2013</v>
      </c>
      <c r="H129" s="22">
        <v>1</v>
      </c>
      <c r="I129" s="157" t="s">
        <v>3510</v>
      </c>
      <c r="J129" s="22">
        <v>1</v>
      </c>
      <c r="K129" s="157" t="s">
        <v>3510</v>
      </c>
      <c r="L129" s="12">
        <v>1</v>
      </c>
      <c r="M129" s="193" t="s">
        <v>3520</v>
      </c>
      <c r="N129" s="3"/>
    </row>
    <row r="130" spans="1:14" ht="109" customHeight="1">
      <c r="A130" s="23" t="s">
        <v>3486</v>
      </c>
      <c r="B130" s="3" t="s">
        <v>3513</v>
      </c>
      <c r="C130" s="3" t="s">
        <v>1102</v>
      </c>
      <c r="D130" s="3" t="s">
        <v>1102</v>
      </c>
      <c r="E130" s="4" t="s">
        <v>44</v>
      </c>
      <c r="F130" s="3" t="s">
        <v>28</v>
      </c>
      <c r="G130" s="3">
        <v>2013</v>
      </c>
      <c r="H130" s="22">
        <v>1</v>
      </c>
      <c r="I130" s="157" t="s">
        <v>3510</v>
      </c>
      <c r="J130" s="22">
        <v>1</v>
      </c>
      <c r="K130" s="157" t="s">
        <v>3510</v>
      </c>
      <c r="L130" s="12">
        <v>1</v>
      </c>
      <c r="M130" s="193" t="s">
        <v>3520</v>
      </c>
      <c r="N130" s="3"/>
    </row>
    <row r="131" spans="1:14" ht="109" customHeight="1">
      <c r="A131" s="23" t="s">
        <v>3486</v>
      </c>
      <c r="B131" s="3" t="s">
        <v>3514</v>
      </c>
      <c r="C131" s="3" t="s">
        <v>1102</v>
      </c>
      <c r="D131" s="3" t="s">
        <v>1102</v>
      </c>
      <c r="E131" s="4" t="s">
        <v>395</v>
      </c>
      <c r="F131" s="3" t="s">
        <v>27</v>
      </c>
      <c r="G131" s="3">
        <v>2014</v>
      </c>
      <c r="H131" s="22">
        <v>1</v>
      </c>
      <c r="I131" s="157" t="s">
        <v>3517</v>
      </c>
      <c r="J131" s="22">
        <v>1</v>
      </c>
      <c r="K131" s="157" t="s">
        <v>3510</v>
      </c>
      <c r="L131" s="12">
        <v>1</v>
      </c>
      <c r="M131" s="193" t="s">
        <v>3521</v>
      </c>
      <c r="N131" s="3"/>
    </row>
    <row r="132" spans="1:14" ht="109" customHeight="1">
      <c r="A132" s="23" t="s">
        <v>3486</v>
      </c>
      <c r="B132" s="3" t="s">
        <v>3515</v>
      </c>
      <c r="C132" s="3" t="s">
        <v>1102</v>
      </c>
      <c r="D132" s="3" t="s">
        <v>1102</v>
      </c>
      <c r="E132" s="4" t="s">
        <v>394</v>
      </c>
      <c r="F132" s="3" t="s">
        <v>27</v>
      </c>
      <c r="G132" s="3">
        <v>2014</v>
      </c>
      <c r="H132" s="22">
        <v>1</v>
      </c>
      <c r="I132" s="157" t="s">
        <v>3510</v>
      </c>
      <c r="J132" s="22">
        <v>1</v>
      </c>
      <c r="K132" s="157" t="s">
        <v>3510</v>
      </c>
      <c r="L132" s="12">
        <v>1</v>
      </c>
      <c r="M132" s="193" t="s">
        <v>3521</v>
      </c>
      <c r="N132" s="3"/>
    </row>
    <row r="133" spans="1:14" ht="109" customHeight="1">
      <c r="A133" s="23" t="s">
        <v>3486</v>
      </c>
      <c r="B133" s="3" t="s">
        <v>3516</v>
      </c>
      <c r="C133" s="3" t="s">
        <v>1102</v>
      </c>
      <c r="D133" s="3" t="s">
        <v>1102</v>
      </c>
      <c r="E133" s="4" t="s">
        <v>44</v>
      </c>
      <c r="F133" s="3" t="s">
        <v>28</v>
      </c>
      <c r="G133" s="3">
        <v>2014</v>
      </c>
      <c r="H133" s="22">
        <v>1</v>
      </c>
      <c r="I133" s="157" t="s">
        <v>3510</v>
      </c>
      <c r="J133" s="22">
        <v>1</v>
      </c>
      <c r="K133" s="157" t="s">
        <v>3510</v>
      </c>
      <c r="L133" s="12">
        <v>1</v>
      </c>
      <c r="M133" s="193" t="s">
        <v>3521</v>
      </c>
      <c r="N133" s="3"/>
    </row>
    <row r="134" spans="1:14" ht="97" customHeight="1">
      <c r="A134" s="23" t="s">
        <v>3487</v>
      </c>
      <c r="B134" s="3" t="s">
        <v>3489</v>
      </c>
      <c r="C134" s="3" t="s">
        <v>1102</v>
      </c>
      <c r="D134" s="3" t="s">
        <v>1102</v>
      </c>
      <c r="E134" s="4" t="s">
        <v>1102</v>
      </c>
      <c r="F134" s="3" t="s">
        <v>2658</v>
      </c>
      <c r="G134" s="3"/>
      <c r="H134" s="3" t="s">
        <v>2272</v>
      </c>
      <c r="I134" s="3" t="s">
        <v>2272</v>
      </c>
      <c r="J134" s="3" t="s">
        <v>2272</v>
      </c>
      <c r="K134" s="3" t="s">
        <v>2272</v>
      </c>
      <c r="L134" s="3">
        <v>3</v>
      </c>
      <c r="M134" s="45" t="s">
        <v>3491</v>
      </c>
      <c r="N134" s="3"/>
    </row>
    <row r="135" spans="1:14" ht="102" customHeight="1">
      <c r="A135" s="23" t="s">
        <v>3487</v>
      </c>
      <c r="B135" s="3" t="s">
        <v>3490</v>
      </c>
      <c r="C135" s="3" t="s">
        <v>1102</v>
      </c>
      <c r="D135" s="3" t="s">
        <v>1102</v>
      </c>
      <c r="E135" s="4" t="s">
        <v>82</v>
      </c>
      <c r="F135" s="3" t="s">
        <v>27</v>
      </c>
      <c r="G135" s="3"/>
      <c r="H135" s="3" t="s">
        <v>2272</v>
      </c>
      <c r="I135" s="3" t="s">
        <v>2272</v>
      </c>
      <c r="J135" s="3" t="s">
        <v>2272</v>
      </c>
      <c r="K135" s="3" t="s">
        <v>2272</v>
      </c>
      <c r="L135" s="3">
        <v>3</v>
      </c>
      <c r="M135" s="45" t="s">
        <v>3491</v>
      </c>
      <c r="N135" s="3"/>
    </row>
    <row r="136" spans="1:14" ht="94" customHeight="1">
      <c r="A136" s="26" t="s">
        <v>3525</v>
      </c>
      <c r="B136" s="4" t="s">
        <v>3528</v>
      </c>
      <c r="C136" s="4" t="s">
        <v>23</v>
      </c>
      <c r="D136" s="4" t="s">
        <v>1102</v>
      </c>
      <c r="E136" s="4" t="s">
        <v>5000</v>
      </c>
      <c r="F136" s="4" t="s">
        <v>2657</v>
      </c>
      <c r="G136" s="3"/>
      <c r="H136" s="3">
        <v>2</v>
      </c>
      <c r="I136" s="4" t="s">
        <v>3542</v>
      </c>
      <c r="J136" s="3">
        <v>2</v>
      </c>
      <c r="K136" s="4" t="s">
        <v>3544</v>
      </c>
      <c r="L136" s="3">
        <v>2</v>
      </c>
      <c r="M136" s="45" t="s">
        <v>3543</v>
      </c>
      <c r="N136" s="3"/>
    </row>
    <row r="137" spans="1:14" ht="60.5" customHeight="1">
      <c r="A137" s="26" t="s">
        <v>3527</v>
      </c>
      <c r="B137" s="4" t="s">
        <v>3568</v>
      </c>
      <c r="C137" s="4" t="s">
        <v>23</v>
      </c>
      <c r="D137" s="4" t="s">
        <v>1102</v>
      </c>
      <c r="E137" s="4" t="s">
        <v>5000</v>
      </c>
      <c r="F137" s="4" t="s">
        <v>2657</v>
      </c>
      <c r="G137" s="3"/>
      <c r="H137" s="3">
        <v>1</v>
      </c>
      <c r="I137" s="4" t="s">
        <v>3570</v>
      </c>
      <c r="J137" s="3">
        <v>1</v>
      </c>
      <c r="K137" s="4" t="s">
        <v>3570</v>
      </c>
      <c r="L137" s="3">
        <v>1</v>
      </c>
      <c r="M137" s="45" t="s">
        <v>3570</v>
      </c>
      <c r="N137" s="3"/>
    </row>
    <row r="138" spans="1:14" ht="30" customHeight="1">
      <c r="A138" s="23" t="s">
        <v>3620</v>
      </c>
      <c r="B138" s="11" t="s">
        <v>3630</v>
      </c>
      <c r="C138" s="4" t="s">
        <v>23</v>
      </c>
      <c r="D138" s="3" t="s">
        <v>26</v>
      </c>
      <c r="E138" s="4" t="s">
        <v>128</v>
      </c>
      <c r="F138" s="3" t="s">
        <v>2272</v>
      </c>
      <c r="G138" s="3"/>
      <c r="H138" s="3">
        <v>2</v>
      </c>
      <c r="I138" s="19" t="s">
        <v>3655</v>
      </c>
      <c r="J138" s="3" t="s">
        <v>2272</v>
      </c>
      <c r="K138" s="3" t="s">
        <v>2272</v>
      </c>
      <c r="L138" s="3" t="s">
        <v>2272</v>
      </c>
      <c r="M138" s="49" t="s">
        <v>2272</v>
      </c>
      <c r="N138" s="3"/>
    </row>
    <row r="139" spans="1:14" ht="30" customHeight="1">
      <c r="A139" s="23" t="s">
        <v>3621</v>
      </c>
      <c r="B139" s="11" t="s">
        <v>3631</v>
      </c>
      <c r="C139" s="4" t="s">
        <v>23</v>
      </c>
      <c r="D139" s="3" t="s">
        <v>26</v>
      </c>
      <c r="E139" s="4" t="s">
        <v>128</v>
      </c>
      <c r="F139" s="3" t="s">
        <v>2272</v>
      </c>
      <c r="G139" s="3"/>
      <c r="H139" s="3">
        <v>2</v>
      </c>
      <c r="I139" s="19" t="s">
        <v>3655</v>
      </c>
      <c r="J139" s="3" t="s">
        <v>2272</v>
      </c>
      <c r="K139" s="3" t="s">
        <v>2272</v>
      </c>
      <c r="L139" s="3" t="s">
        <v>2272</v>
      </c>
      <c r="M139" s="49" t="s">
        <v>2272</v>
      </c>
      <c r="N139" s="3"/>
    </row>
    <row r="140" spans="1:14" ht="30" customHeight="1">
      <c r="A140" s="23" t="s">
        <v>3624</v>
      </c>
      <c r="B140" s="11" t="s">
        <v>3632</v>
      </c>
      <c r="C140" s="4" t="s">
        <v>23</v>
      </c>
      <c r="D140" s="3" t="s">
        <v>26</v>
      </c>
      <c r="E140" s="4" t="s">
        <v>128</v>
      </c>
      <c r="F140" s="3" t="s">
        <v>2272</v>
      </c>
      <c r="G140" s="3"/>
      <c r="H140" s="3">
        <v>2</v>
      </c>
      <c r="I140" s="19" t="s">
        <v>3655</v>
      </c>
      <c r="J140" s="3" t="s">
        <v>2272</v>
      </c>
      <c r="K140" s="3" t="s">
        <v>2272</v>
      </c>
      <c r="L140" s="3" t="s">
        <v>2272</v>
      </c>
      <c r="M140" s="49" t="s">
        <v>2272</v>
      </c>
      <c r="N140" s="3"/>
    </row>
    <row r="141" spans="1:14" ht="33" customHeight="1">
      <c r="A141" s="23" t="s">
        <v>3620</v>
      </c>
      <c r="B141" s="11" t="s">
        <v>3634</v>
      </c>
      <c r="C141" s="4" t="s">
        <v>23</v>
      </c>
      <c r="D141" s="3" t="s">
        <v>1102</v>
      </c>
      <c r="E141" s="4" t="s">
        <v>3204</v>
      </c>
      <c r="F141" s="3" t="s">
        <v>2272</v>
      </c>
      <c r="G141" s="3"/>
      <c r="H141" s="3" t="s">
        <v>2272</v>
      </c>
      <c r="I141" s="3" t="s">
        <v>2272</v>
      </c>
      <c r="J141" s="3">
        <v>2</v>
      </c>
      <c r="K141" s="4" t="s">
        <v>3657</v>
      </c>
      <c r="L141" s="3">
        <v>2</v>
      </c>
      <c r="M141" s="45" t="s">
        <v>3656</v>
      </c>
      <c r="N141" s="3"/>
    </row>
    <row r="142" spans="1:14" ht="33" customHeight="1">
      <c r="A142" s="23" t="s">
        <v>3621</v>
      </c>
      <c r="B142" s="11" t="s">
        <v>3635</v>
      </c>
      <c r="C142" s="4" t="s">
        <v>23</v>
      </c>
      <c r="D142" s="3" t="s">
        <v>1102</v>
      </c>
      <c r="E142" s="4" t="s">
        <v>3204</v>
      </c>
      <c r="F142" s="3" t="s">
        <v>2272</v>
      </c>
      <c r="G142" s="3"/>
      <c r="H142" s="3" t="s">
        <v>2272</v>
      </c>
      <c r="I142" s="3" t="s">
        <v>2272</v>
      </c>
      <c r="J142" s="3">
        <v>2</v>
      </c>
      <c r="K142" s="4" t="s">
        <v>3657</v>
      </c>
      <c r="L142" s="3">
        <v>2</v>
      </c>
      <c r="M142" s="45" t="s">
        <v>3656</v>
      </c>
      <c r="N142" s="3"/>
    </row>
    <row r="143" spans="1:14" ht="33" customHeight="1">
      <c r="A143" s="23" t="s">
        <v>3624</v>
      </c>
      <c r="B143" s="11" t="s">
        <v>3636</v>
      </c>
      <c r="C143" s="4" t="s">
        <v>23</v>
      </c>
      <c r="D143" s="3" t="s">
        <v>1102</v>
      </c>
      <c r="E143" s="4" t="s">
        <v>3204</v>
      </c>
      <c r="F143" s="3" t="s">
        <v>2272</v>
      </c>
      <c r="G143" s="3"/>
      <c r="H143" s="3" t="s">
        <v>2272</v>
      </c>
      <c r="I143" s="3" t="s">
        <v>2272</v>
      </c>
      <c r="J143" s="3">
        <v>2</v>
      </c>
      <c r="K143" s="4" t="s">
        <v>3657</v>
      </c>
      <c r="L143" s="3">
        <v>2</v>
      </c>
      <c r="M143" s="45" t="s">
        <v>3656</v>
      </c>
      <c r="N143" s="3"/>
    </row>
    <row r="144" spans="1:14" ht="83.5" customHeight="1">
      <c r="A144" s="23" t="s">
        <v>3659</v>
      </c>
      <c r="B144" s="11" t="s">
        <v>3664</v>
      </c>
      <c r="C144" s="3" t="s">
        <v>1102</v>
      </c>
      <c r="D144" s="3" t="s">
        <v>1102</v>
      </c>
      <c r="E144" s="4" t="s">
        <v>395</v>
      </c>
      <c r="F144" s="3" t="s">
        <v>2272</v>
      </c>
      <c r="G144" s="3">
        <v>2009</v>
      </c>
      <c r="H144" s="3">
        <v>0</v>
      </c>
      <c r="I144" s="4" t="s">
        <v>3688</v>
      </c>
      <c r="J144" s="3" t="s">
        <v>2272</v>
      </c>
      <c r="K144" s="3" t="s">
        <v>2272</v>
      </c>
      <c r="L144" s="3" t="s">
        <v>2272</v>
      </c>
      <c r="M144" s="49" t="s">
        <v>2272</v>
      </c>
      <c r="N144" s="3"/>
    </row>
    <row r="145" spans="1:14" ht="82" customHeight="1">
      <c r="A145" s="23" t="s">
        <v>3659</v>
      </c>
      <c r="B145" s="11" t="s">
        <v>3665</v>
      </c>
      <c r="C145" s="3" t="s">
        <v>1102</v>
      </c>
      <c r="D145" s="3" t="s">
        <v>1102</v>
      </c>
      <c r="E145" s="4" t="s">
        <v>394</v>
      </c>
      <c r="F145" s="3" t="s">
        <v>2272</v>
      </c>
      <c r="G145" s="3">
        <v>2009</v>
      </c>
      <c r="H145" s="3">
        <v>0</v>
      </c>
      <c r="I145" s="4" t="s">
        <v>3688</v>
      </c>
      <c r="J145" s="3" t="s">
        <v>2272</v>
      </c>
      <c r="K145" s="3" t="s">
        <v>2272</v>
      </c>
      <c r="L145" s="3" t="s">
        <v>2272</v>
      </c>
      <c r="M145" s="49" t="s">
        <v>2272</v>
      </c>
      <c r="N145" s="3"/>
    </row>
    <row r="146" spans="1:14" ht="72.5">
      <c r="A146" s="23" t="s">
        <v>3659</v>
      </c>
      <c r="B146" s="11" t="s">
        <v>3666</v>
      </c>
      <c r="C146" s="3" t="s">
        <v>1102</v>
      </c>
      <c r="D146" s="3" t="s">
        <v>1102</v>
      </c>
      <c r="E146" s="4" t="s">
        <v>395</v>
      </c>
      <c r="F146" s="3" t="s">
        <v>2272</v>
      </c>
      <c r="G146" s="3">
        <v>2010</v>
      </c>
      <c r="H146" s="3">
        <v>0</v>
      </c>
      <c r="I146" s="4" t="s">
        <v>3688</v>
      </c>
      <c r="J146" s="3" t="s">
        <v>2272</v>
      </c>
      <c r="K146" s="3" t="s">
        <v>2272</v>
      </c>
      <c r="L146" s="3" t="s">
        <v>2272</v>
      </c>
      <c r="M146" s="49" t="s">
        <v>2272</v>
      </c>
      <c r="N146" s="3"/>
    </row>
    <row r="147" spans="1:14" ht="72.5">
      <c r="A147" s="23" t="s">
        <v>3659</v>
      </c>
      <c r="B147" s="11" t="s">
        <v>3667</v>
      </c>
      <c r="C147" s="3" t="s">
        <v>1102</v>
      </c>
      <c r="D147" s="3" t="s">
        <v>1102</v>
      </c>
      <c r="E147" s="4" t="s">
        <v>394</v>
      </c>
      <c r="F147" s="3" t="s">
        <v>2272</v>
      </c>
      <c r="G147" s="3">
        <v>2010</v>
      </c>
      <c r="H147" s="3">
        <v>0</v>
      </c>
      <c r="I147" s="4" t="s">
        <v>3688</v>
      </c>
      <c r="J147" s="3" t="s">
        <v>2272</v>
      </c>
      <c r="K147" s="3" t="s">
        <v>2272</v>
      </c>
      <c r="L147" s="3" t="s">
        <v>2272</v>
      </c>
      <c r="M147" s="49" t="s">
        <v>2272</v>
      </c>
      <c r="N147" s="3"/>
    </row>
    <row r="148" spans="1:14" ht="45.5" customHeight="1">
      <c r="A148" s="23" t="s">
        <v>3659</v>
      </c>
      <c r="B148" s="11" t="s">
        <v>3669</v>
      </c>
      <c r="C148" s="3" t="s">
        <v>1102</v>
      </c>
      <c r="D148" s="3" t="s">
        <v>1102</v>
      </c>
      <c r="E148" s="4" t="s">
        <v>395</v>
      </c>
      <c r="F148" s="3" t="s">
        <v>2272</v>
      </c>
      <c r="G148" s="3">
        <v>2011</v>
      </c>
      <c r="H148" s="3">
        <v>1</v>
      </c>
      <c r="I148" s="19" t="s">
        <v>3693</v>
      </c>
      <c r="J148" s="3" t="s">
        <v>2272</v>
      </c>
      <c r="K148" s="3" t="s">
        <v>2272</v>
      </c>
      <c r="L148" s="3" t="s">
        <v>2272</v>
      </c>
      <c r="M148" s="49" t="s">
        <v>2272</v>
      </c>
      <c r="N148" s="3"/>
    </row>
    <row r="149" spans="1:14" ht="51" customHeight="1">
      <c r="A149" s="23" t="s">
        <v>3659</v>
      </c>
      <c r="B149" s="11" t="s">
        <v>3671</v>
      </c>
      <c r="C149" s="3" t="s">
        <v>1102</v>
      </c>
      <c r="D149" s="3" t="s">
        <v>1102</v>
      </c>
      <c r="E149" s="4" t="s">
        <v>394</v>
      </c>
      <c r="F149" s="3" t="s">
        <v>2272</v>
      </c>
      <c r="G149" s="3">
        <v>2011</v>
      </c>
      <c r="H149" s="3">
        <v>1</v>
      </c>
      <c r="I149" s="19" t="s">
        <v>3693</v>
      </c>
      <c r="J149" s="3" t="s">
        <v>2272</v>
      </c>
      <c r="K149" s="3" t="s">
        <v>2272</v>
      </c>
      <c r="L149" s="3" t="s">
        <v>2272</v>
      </c>
      <c r="M149" s="49" t="s">
        <v>2272</v>
      </c>
      <c r="N149" s="3"/>
    </row>
    <row r="150" spans="1:14" ht="46.5" customHeight="1">
      <c r="A150" s="23" t="s">
        <v>3659</v>
      </c>
      <c r="B150" s="11" t="s">
        <v>3672</v>
      </c>
      <c r="C150" s="3" t="s">
        <v>1102</v>
      </c>
      <c r="D150" s="3" t="s">
        <v>1102</v>
      </c>
      <c r="E150" s="4" t="s">
        <v>395</v>
      </c>
      <c r="F150" s="3" t="s">
        <v>2272</v>
      </c>
      <c r="G150" s="3">
        <v>2012</v>
      </c>
      <c r="H150" s="3">
        <v>1</v>
      </c>
      <c r="I150" s="19" t="s">
        <v>3693</v>
      </c>
      <c r="J150" s="3" t="s">
        <v>2272</v>
      </c>
      <c r="K150" s="3" t="s">
        <v>2272</v>
      </c>
      <c r="L150" s="3" t="s">
        <v>2272</v>
      </c>
      <c r="M150" s="49" t="s">
        <v>2272</v>
      </c>
      <c r="N150" s="3"/>
    </row>
    <row r="151" spans="1:14" ht="46.5" customHeight="1">
      <c r="A151" s="23" t="s">
        <v>3659</v>
      </c>
      <c r="B151" s="11" t="s">
        <v>3673</v>
      </c>
      <c r="C151" s="3" t="s">
        <v>1102</v>
      </c>
      <c r="D151" s="3" t="s">
        <v>1102</v>
      </c>
      <c r="E151" s="4" t="s">
        <v>394</v>
      </c>
      <c r="F151" s="3" t="s">
        <v>2272</v>
      </c>
      <c r="G151" s="3">
        <v>2012</v>
      </c>
      <c r="H151" s="3">
        <v>1</v>
      </c>
      <c r="I151" s="19" t="s">
        <v>3693</v>
      </c>
      <c r="J151" s="3" t="s">
        <v>2272</v>
      </c>
      <c r="K151" s="3" t="s">
        <v>2272</v>
      </c>
      <c r="L151" s="3" t="s">
        <v>2272</v>
      </c>
      <c r="M151" s="49" t="s">
        <v>2272</v>
      </c>
      <c r="N151" s="3"/>
    </row>
    <row r="152" spans="1:14" ht="36.5" customHeight="1">
      <c r="A152" s="23" t="s">
        <v>3695</v>
      </c>
      <c r="B152" s="3" t="s">
        <v>3706</v>
      </c>
      <c r="C152" s="3" t="s">
        <v>1102</v>
      </c>
      <c r="D152" s="3" t="s">
        <v>1102</v>
      </c>
      <c r="E152" s="4" t="s">
        <v>2644</v>
      </c>
      <c r="F152" s="3" t="s">
        <v>73</v>
      </c>
      <c r="G152" s="3"/>
      <c r="H152" s="3" t="s">
        <v>2272</v>
      </c>
      <c r="I152" s="3" t="s">
        <v>2272</v>
      </c>
      <c r="J152" s="3" t="s">
        <v>2272</v>
      </c>
      <c r="K152" s="3" t="s">
        <v>2272</v>
      </c>
      <c r="L152" s="3">
        <v>3</v>
      </c>
      <c r="M152" s="49" t="s">
        <v>3708</v>
      </c>
      <c r="N152" s="3"/>
    </row>
    <row r="153" spans="1:14" ht="40" customHeight="1">
      <c r="A153" s="23" t="s">
        <v>3695</v>
      </c>
      <c r="B153" s="3" t="s">
        <v>3704</v>
      </c>
      <c r="C153" s="3" t="s">
        <v>1102</v>
      </c>
      <c r="D153" s="3" t="s">
        <v>1102</v>
      </c>
      <c r="E153" s="4" t="s">
        <v>2644</v>
      </c>
      <c r="F153" s="3" t="s">
        <v>2658</v>
      </c>
      <c r="G153" s="3"/>
      <c r="H153" s="3" t="s">
        <v>2272</v>
      </c>
      <c r="I153" s="3" t="s">
        <v>2272</v>
      </c>
      <c r="J153" s="3" t="s">
        <v>2272</v>
      </c>
      <c r="K153" s="3" t="s">
        <v>2272</v>
      </c>
      <c r="L153" s="3">
        <v>3</v>
      </c>
      <c r="M153" s="49" t="s">
        <v>3708</v>
      </c>
      <c r="N153" s="3"/>
    </row>
    <row r="154" spans="1:14" ht="45.5" customHeight="1">
      <c r="A154" s="23" t="s">
        <v>3696</v>
      </c>
      <c r="B154" s="3" t="s">
        <v>3705</v>
      </c>
      <c r="C154" s="3" t="s">
        <v>1102</v>
      </c>
      <c r="D154" s="3" t="s">
        <v>1102</v>
      </c>
      <c r="E154" s="4" t="s">
        <v>135</v>
      </c>
      <c r="F154" s="3" t="s">
        <v>73</v>
      </c>
      <c r="G154" s="3"/>
      <c r="H154" s="3" t="s">
        <v>2272</v>
      </c>
      <c r="I154" s="3" t="s">
        <v>2272</v>
      </c>
      <c r="J154" s="3" t="s">
        <v>2272</v>
      </c>
      <c r="K154" s="3" t="s">
        <v>2272</v>
      </c>
      <c r="L154" s="3">
        <v>2</v>
      </c>
      <c r="M154" s="45" t="s">
        <v>3709</v>
      </c>
      <c r="N154" s="3"/>
    </row>
    <row r="155" spans="1:14" ht="67" customHeight="1">
      <c r="A155" s="23" t="s">
        <v>3711</v>
      </c>
      <c r="B155" s="11" t="s">
        <v>3715</v>
      </c>
      <c r="C155" s="3" t="s">
        <v>1102</v>
      </c>
      <c r="D155" s="3" t="s">
        <v>1102</v>
      </c>
      <c r="E155" s="4" t="s">
        <v>5000</v>
      </c>
      <c r="F155" s="4" t="s">
        <v>2657</v>
      </c>
      <c r="G155" s="3"/>
      <c r="H155" s="3">
        <v>1</v>
      </c>
      <c r="I155" s="4" t="s">
        <v>3743</v>
      </c>
      <c r="J155" s="3">
        <v>2</v>
      </c>
      <c r="K155" s="4" t="s">
        <v>3744</v>
      </c>
      <c r="L155" s="3" t="s">
        <v>2272</v>
      </c>
      <c r="M155" s="49" t="s">
        <v>2272</v>
      </c>
      <c r="N155" s="3"/>
    </row>
    <row r="156" spans="1:14" ht="136" customHeight="1">
      <c r="A156" s="23" t="s">
        <v>3764</v>
      </c>
      <c r="B156" s="11" t="s">
        <v>3769</v>
      </c>
      <c r="C156" s="3" t="s">
        <v>23</v>
      </c>
      <c r="D156" s="3" t="s">
        <v>24</v>
      </c>
      <c r="E156" s="4" t="s">
        <v>44</v>
      </c>
      <c r="F156" s="3" t="s">
        <v>28</v>
      </c>
      <c r="G156" s="3"/>
      <c r="H156" s="3">
        <v>0</v>
      </c>
      <c r="I156" s="4" t="s">
        <v>3776</v>
      </c>
      <c r="J156" s="3">
        <v>1</v>
      </c>
      <c r="K156" s="4" t="s">
        <v>3775</v>
      </c>
      <c r="L156" s="3" t="s">
        <v>2272</v>
      </c>
      <c r="M156" s="49" t="s">
        <v>2272</v>
      </c>
      <c r="N156" s="3"/>
    </row>
    <row r="157" spans="1:14" ht="52.5" customHeight="1">
      <c r="A157" s="23" t="s">
        <v>3778</v>
      </c>
      <c r="B157" s="11" t="s">
        <v>3781</v>
      </c>
      <c r="C157" s="3" t="s">
        <v>23</v>
      </c>
      <c r="D157" s="3" t="s">
        <v>1102</v>
      </c>
      <c r="E157" s="4" t="s">
        <v>44</v>
      </c>
      <c r="F157" s="3" t="s">
        <v>2272</v>
      </c>
      <c r="G157" s="3"/>
      <c r="H157" s="3">
        <v>1</v>
      </c>
      <c r="I157" s="3" t="s">
        <v>3790</v>
      </c>
      <c r="J157" s="3" t="s">
        <v>2272</v>
      </c>
      <c r="K157" s="3" t="s">
        <v>2272</v>
      </c>
      <c r="L157" s="3" t="s">
        <v>2272</v>
      </c>
      <c r="M157" s="49" t="s">
        <v>2272</v>
      </c>
      <c r="N157" s="3"/>
    </row>
    <row r="158" spans="1:14" ht="52.5" customHeight="1">
      <c r="A158" s="23" t="s">
        <v>3778</v>
      </c>
      <c r="B158" s="11" t="s">
        <v>3783</v>
      </c>
      <c r="C158" s="3" t="s">
        <v>23</v>
      </c>
      <c r="D158" s="3" t="s">
        <v>1102</v>
      </c>
      <c r="E158" s="4" t="s">
        <v>128</v>
      </c>
      <c r="F158" s="3" t="s">
        <v>2272</v>
      </c>
      <c r="G158" s="3"/>
      <c r="H158" s="3">
        <v>1</v>
      </c>
      <c r="I158" s="3" t="s">
        <v>3790</v>
      </c>
      <c r="J158" s="3" t="s">
        <v>2272</v>
      </c>
      <c r="K158" s="3" t="s">
        <v>2272</v>
      </c>
      <c r="L158" s="3" t="s">
        <v>2272</v>
      </c>
      <c r="M158" s="49" t="s">
        <v>2272</v>
      </c>
      <c r="N158" s="3"/>
    </row>
    <row r="159" spans="1:14" ht="52.5" customHeight="1">
      <c r="A159" s="23" t="s">
        <v>3792</v>
      </c>
      <c r="B159" s="11" t="s">
        <v>3796</v>
      </c>
      <c r="C159" s="3" t="s">
        <v>23</v>
      </c>
      <c r="D159" s="3" t="s">
        <v>1238</v>
      </c>
      <c r="E159" s="4" t="s">
        <v>1102</v>
      </c>
      <c r="F159" s="4" t="s">
        <v>2657</v>
      </c>
      <c r="G159" s="3"/>
      <c r="H159" s="3">
        <v>2</v>
      </c>
      <c r="I159" s="4" t="s">
        <v>3806</v>
      </c>
      <c r="J159" s="3">
        <v>2</v>
      </c>
      <c r="K159" s="4" t="s">
        <v>3806</v>
      </c>
      <c r="L159" s="3" t="s">
        <v>2272</v>
      </c>
      <c r="M159" s="49" t="s">
        <v>2272</v>
      </c>
      <c r="N159" s="3"/>
    </row>
    <row r="160" spans="1:14" ht="57" customHeight="1">
      <c r="A160" s="23" t="s">
        <v>3811</v>
      </c>
      <c r="B160" s="11" t="s">
        <v>3813</v>
      </c>
      <c r="C160" s="3" t="s">
        <v>23</v>
      </c>
      <c r="D160" s="3" t="s">
        <v>1238</v>
      </c>
      <c r="E160" s="4" t="s">
        <v>1102</v>
      </c>
      <c r="F160" s="4" t="s">
        <v>2657</v>
      </c>
      <c r="G160" s="3"/>
      <c r="H160" s="3">
        <v>1</v>
      </c>
      <c r="I160" s="4" t="s">
        <v>3825</v>
      </c>
      <c r="J160" s="3">
        <v>2</v>
      </c>
      <c r="K160" s="4" t="s">
        <v>3806</v>
      </c>
      <c r="L160" s="3" t="s">
        <v>2272</v>
      </c>
      <c r="M160" s="49" t="s">
        <v>2272</v>
      </c>
      <c r="N160" s="3"/>
    </row>
    <row r="161" spans="1:14" ht="57" customHeight="1">
      <c r="A161" s="23" t="s">
        <v>3845</v>
      </c>
      <c r="B161" s="11" t="s">
        <v>3852</v>
      </c>
      <c r="C161" s="3" t="s">
        <v>23</v>
      </c>
      <c r="D161" s="3" t="s">
        <v>1102</v>
      </c>
      <c r="E161" s="4" t="s">
        <v>135</v>
      </c>
      <c r="F161" s="4" t="s">
        <v>2272</v>
      </c>
      <c r="G161" s="3"/>
      <c r="H161" s="3" t="s">
        <v>2272</v>
      </c>
      <c r="I161" s="3" t="s">
        <v>2272</v>
      </c>
      <c r="J161" s="3">
        <v>3</v>
      </c>
      <c r="K161" s="4" t="s">
        <v>4123</v>
      </c>
      <c r="L161" s="3" t="s">
        <v>2272</v>
      </c>
      <c r="M161" s="49" t="s">
        <v>2272</v>
      </c>
      <c r="N161" s="3"/>
    </row>
    <row r="162" spans="1:14" ht="45.5" customHeight="1">
      <c r="A162" s="23" t="s">
        <v>3856</v>
      </c>
      <c r="B162" s="11" t="s">
        <v>3860</v>
      </c>
      <c r="C162" s="3" t="s">
        <v>23</v>
      </c>
      <c r="D162" s="3" t="s">
        <v>1102</v>
      </c>
      <c r="E162" s="4" t="s">
        <v>2643</v>
      </c>
      <c r="F162" s="4" t="s">
        <v>2657</v>
      </c>
      <c r="G162" s="3"/>
      <c r="H162" s="3">
        <v>2</v>
      </c>
      <c r="I162" s="4" t="s">
        <v>3885</v>
      </c>
      <c r="J162" s="3">
        <v>2</v>
      </c>
      <c r="K162" s="4" t="s">
        <v>3884</v>
      </c>
      <c r="L162" s="3" t="s">
        <v>2272</v>
      </c>
      <c r="M162" s="49" t="s">
        <v>2272</v>
      </c>
      <c r="N162" s="3"/>
    </row>
    <row r="163" spans="1:14" ht="63" customHeight="1">
      <c r="A163" s="23" t="s">
        <v>3856</v>
      </c>
      <c r="B163" s="11" t="s">
        <v>3862</v>
      </c>
      <c r="C163" s="3" t="s">
        <v>1102</v>
      </c>
      <c r="D163" s="3" t="s">
        <v>1102</v>
      </c>
      <c r="E163" s="4" t="s">
        <v>2644</v>
      </c>
      <c r="F163" s="3" t="s">
        <v>73</v>
      </c>
      <c r="G163" s="3"/>
      <c r="H163" s="3" t="s">
        <v>2272</v>
      </c>
      <c r="I163" s="3" t="s">
        <v>2272</v>
      </c>
      <c r="J163" s="3">
        <v>0</v>
      </c>
      <c r="K163" s="4" t="s">
        <v>3883</v>
      </c>
      <c r="L163" s="3">
        <v>3</v>
      </c>
      <c r="M163" s="45" t="s">
        <v>3882</v>
      </c>
      <c r="N163" s="3"/>
    </row>
    <row r="164" spans="1:14" ht="34" customHeight="1">
      <c r="A164" s="23" t="s">
        <v>4043</v>
      </c>
      <c r="B164" s="11" t="s">
        <v>4044</v>
      </c>
      <c r="C164" s="3" t="s">
        <v>1102</v>
      </c>
      <c r="D164" s="3" t="s">
        <v>1102</v>
      </c>
      <c r="E164" s="4" t="s">
        <v>44</v>
      </c>
      <c r="F164" s="4" t="s">
        <v>2657</v>
      </c>
      <c r="G164" s="3"/>
      <c r="H164" s="3" t="s">
        <v>2272</v>
      </c>
      <c r="I164" s="3" t="s">
        <v>2272</v>
      </c>
      <c r="J164" s="3">
        <v>2</v>
      </c>
      <c r="K164" s="19" t="s">
        <v>4071</v>
      </c>
      <c r="L164" s="3" t="s">
        <v>2272</v>
      </c>
      <c r="M164" s="49" t="s">
        <v>2272</v>
      </c>
      <c r="N164" s="3"/>
    </row>
    <row r="165" spans="1:14" ht="34" customHeight="1">
      <c r="A165" s="23" t="s">
        <v>4054</v>
      </c>
      <c r="B165" s="11" t="s">
        <v>4067</v>
      </c>
      <c r="C165" s="3" t="s">
        <v>1102</v>
      </c>
      <c r="D165" s="3" t="s">
        <v>1102</v>
      </c>
      <c r="E165" s="4" t="s">
        <v>44</v>
      </c>
      <c r="F165" s="4" t="s">
        <v>2657</v>
      </c>
      <c r="G165" s="3"/>
      <c r="H165" s="3" t="s">
        <v>2272</v>
      </c>
      <c r="I165" s="3" t="s">
        <v>2272</v>
      </c>
      <c r="J165" s="3">
        <v>2</v>
      </c>
      <c r="K165" s="19" t="s">
        <v>4071</v>
      </c>
      <c r="L165" s="3" t="s">
        <v>2272</v>
      </c>
      <c r="M165" s="49" t="s">
        <v>2272</v>
      </c>
      <c r="N165" s="3"/>
    </row>
    <row r="166" spans="1:14" ht="34" customHeight="1">
      <c r="A166" s="23" t="s">
        <v>4055</v>
      </c>
      <c r="B166" s="11" t="s">
        <v>4068</v>
      </c>
      <c r="C166" s="3" t="s">
        <v>1102</v>
      </c>
      <c r="D166" s="3" t="s">
        <v>1102</v>
      </c>
      <c r="E166" s="4" t="s">
        <v>44</v>
      </c>
      <c r="F166" s="4" t="s">
        <v>2657</v>
      </c>
      <c r="G166" s="3"/>
      <c r="H166" s="3" t="s">
        <v>2272</v>
      </c>
      <c r="I166" s="3" t="s">
        <v>2272</v>
      </c>
      <c r="J166" s="3">
        <v>2</v>
      </c>
      <c r="K166" s="19" t="s">
        <v>4071</v>
      </c>
      <c r="L166" s="3" t="s">
        <v>2272</v>
      </c>
      <c r="M166" s="49" t="s">
        <v>2272</v>
      </c>
      <c r="N166" s="3"/>
    </row>
    <row r="167" spans="1:14" ht="34" customHeight="1">
      <c r="A167" s="23" t="s">
        <v>4056</v>
      </c>
      <c r="B167" s="11" t="s">
        <v>4069</v>
      </c>
      <c r="C167" s="3" t="s">
        <v>1102</v>
      </c>
      <c r="D167" s="3" t="s">
        <v>1102</v>
      </c>
      <c r="E167" s="4" t="s">
        <v>44</v>
      </c>
      <c r="F167" s="4" t="s">
        <v>2657</v>
      </c>
      <c r="G167" s="3"/>
      <c r="H167" s="3" t="s">
        <v>2272</v>
      </c>
      <c r="I167" s="3" t="s">
        <v>2272</v>
      </c>
      <c r="J167" s="3">
        <v>2</v>
      </c>
      <c r="K167" s="19" t="s">
        <v>4071</v>
      </c>
      <c r="L167" s="3" t="s">
        <v>2272</v>
      </c>
      <c r="M167" s="49" t="s">
        <v>2272</v>
      </c>
      <c r="N167" s="3"/>
    </row>
    <row r="168" spans="1:14" ht="34" customHeight="1">
      <c r="A168" s="23" t="s">
        <v>4057</v>
      </c>
      <c r="B168" s="11" t="s">
        <v>4070</v>
      </c>
      <c r="C168" s="3" t="s">
        <v>1102</v>
      </c>
      <c r="D168" s="3" t="s">
        <v>1102</v>
      </c>
      <c r="E168" s="4" t="s">
        <v>44</v>
      </c>
      <c r="F168" s="4" t="s">
        <v>2657</v>
      </c>
      <c r="G168" s="3"/>
      <c r="H168" s="3" t="s">
        <v>2272</v>
      </c>
      <c r="I168" s="3" t="s">
        <v>2272</v>
      </c>
      <c r="J168" s="3">
        <v>2</v>
      </c>
      <c r="K168" s="19" t="s">
        <v>4071</v>
      </c>
      <c r="L168" s="3" t="s">
        <v>2272</v>
      </c>
      <c r="M168" s="49" t="s">
        <v>2272</v>
      </c>
      <c r="N168" s="3"/>
    </row>
    <row r="169" spans="1:14" ht="34" customHeight="1">
      <c r="A169" s="23" t="s">
        <v>4058</v>
      </c>
      <c r="B169" s="11" t="s">
        <v>4061</v>
      </c>
      <c r="C169" s="3" t="s">
        <v>1102</v>
      </c>
      <c r="D169" s="3" t="s">
        <v>1102</v>
      </c>
      <c r="E169" s="4" t="s">
        <v>44</v>
      </c>
      <c r="F169" s="4" t="s">
        <v>2657</v>
      </c>
      <c r="G169" s="3"/>
      <c r="H169" s="3" t="s">
        <v>2272</v>
      </c>
      <c r="I169" s="3" t="s">
        <v>2272</v>
      </c>
      <c r="J169" s="3">
        <v>2</v>
      </c>
      <c r="K169" s="19" t="s">
        <v>4071</v>
      </c>
      <c r="L169" s="3" t="s">
        <v>2272</v>
      </c>
      <c r="M169" s="49" t="s">
        <v>2272</v>
      </c>
      <c r="N169" s="3"/>
    </row>
    <row r="170" spans="1:14" ht="37.5" customHeight="1">
      <c r="A170" s="23" t="s">
        <v>4081</v>
      </c>
      <c r="B170" s="19" t="s">
        <v>4085</v>
      </c>
      <c r="C170" s="4" t="s">
        <v>1102</v>
      </c>
      <c r="D170" s="4" t="s">
        <v>1102</v>
      </c>
      <c r="E170" s="4" t="s">
        <v>3204</v>
      </c>
      <c r="F170" s="4" t="s">
        <v>73</v>
      </c>
      <c r="G170" s="3">
        <v>1982</v>
      </c>
      <c r="H170" s="3" t="s">
        <v>2272</v>
      </c>
      <c r="I170" s="3" t="s">
        <v>2272</v>
      </c>
      <c r="J170" s="3" t="s">
        <v>2272</v>
      </c>
      <c r="K170" s="3" t="s">
        <v>2272</v>
      </c>
      <c r="L170" s="3">
        <v>1</v>
      </c>
      <c r="M170" s="49" t="s">
        <v>4097</v>
      </c>
      <c r="N170" s="3"/>
    </row>
    <row r="171" spans="1:14" ht="37.5" customHeight="1">
      <c r="A171" s="23" t="s">
        <v>4081</v>
      </c>
      <c r="B171" s="19" t="s">
        <v>4086</v>
      </c>
      <c r="C171" s="4" t="s">
        <v>1102</v>
      </c>
      <c r="D171" s="4" t="s">
        <v>1102</v>
      </c>
      <c r="E171" s="4" t="s">
        <v>3204</v>
      </c>
      <c r="F171" s="4" t="s">
        <v>73</v>
      </c>
      <c r="G171" s="3">
        <v>1983</v>
      </c>
      <c r="H171" s="3" t="s">
        <v>2272</v>
      </c>
      <c r="I171" s="3" t="s">
        <v>2272</v>
      </c>
      <c r="J171" s="3" t="s">
        <v>2272</v>
      </c>
      <c r="K171" s="3" t="s">
        <v>2272</v>
      </c>
      <c r="L171" s="3">
        <v>1</v>
      </c>
      <c r="M171" s="49" t="s">
        <v>4097</v>
      </c>
      <c r="N171" s="3"/>
    </row>
    <row r="172" spans="1:14" ht="37.5" customHeight="1">
      <c r="A172" s="23" t="s">
        <v>4081</v>
      </c>
      <c r="B172" s="19" t="s">
        <v>4087</v>
      </c>
      <c r="C172" s="4" t="s">
        <v>1102</v>
      </c>
      <c r="D172" s="4" t="s">
        <v>1102</v>
      </c>
      <c r="E172" s="4" t="s">
        <v>3204</v>
      </c>
      <c r="F172" s="4" t="s">
        <v>73</v>
      </c>
      <c r="G172" s="3">
        <v>1984</v>
      </c>
      <c r="H172" s="3" t="s">
        <v>2272</v>
      </c>
      <c r="I172" s="3" t="s">
        <v>2272</v>
      </c>
      <c r="J172" s="3" t="s">
        <v>2272</v>
      </c>
      <c r="K172" s="3" t="s">
        <v>2272</v>
      </c>
      <c r="L172" s="3">
        <v>1</v>
      </c>
      <c r="M172" s="49" t="s">
        <v>4097</v>
      </c>
      <c r="N172" s="3"/>
    </row>
    <row r="173" spans="1:14" ht="37.5" customHeight="1">
      <c r="A173" s="23" t="s">
        <v>4081</v>
      </c>
      <c r="B173" s="19" t="s">
        <v>4088</v>
      </c>
      <c r="C173" s="4" t="s">
        <v>1102</v>
      </c>
      <c r="D173" s="4" t="s">
        <v>1102</v>
      </c>
      <c r="E173" s="4" t="s">
        <v>3204</v>
      </c>
      <c r="F173" s="4" t="s">
        <v>73</v>
      </c>
      <c r="G173" s="3">
        <v>1985</v>
      </c>
      <c r="H173" s="3" t="s">
        <v>2272</v>
      </c>
      <c r="I173" s="3" t="s">
        <v>2272</v>
      </c>
      <c r="J173" s="3" t="s">
        <v>2272</v>
      </c>
      <c r="K173" s="3" t="s">
        <v>2272</v>
      </c>
      <c r="L173" s="3">
        <v>1</v>
      </c>
      <c r="M173" s="49" t="s">
        <v>4097</v>
      </c>
      <c r="N173" s="3"/>
    </row>
    <row r="174" spans="1:14" ht="37.5" customHeight="1">
      <c r="A174" s="23" t="s">
        <v>4081</v>
      </c>
      <c r="B174" s="19" t="s">
        <v>4089</v>
      </c>
      <c r="C174" s="4" t="s">
        <v>1102</v>
      </c>
      <c r="D174" s="4" t="s">
        <v>1102</v>
      </c>
      <c r="E174" s="4" t="s">
        <v>3204</v>
      </c>
      <c r="F174" s="4" t="s">
        <v>73</v>
      </c>
      <c r="G174" s="3">
        <v>1986</v>
      </c>
      <c r="H174" s="3" t="s">
        <v>2272</v>
      </c>
      <c r="I174" s="3" t="s">
        <v>2272</v>
      </c>
      <c r="J174" s="3" t="s">
        <v>2272</v>
      </c>
      <c r="K174" s="3" t="s">
        <v>2272</v>
      </c>
      <c r="L174" s="3">
        <v>1</v>
      </c>
      <c r="M174" s="49" t="s">
        <v>4097</v>
      </c>
      <c r="N174" s="3"/>
    </row>
    <row r="175" spans="1:14" ht="37.5" customHeight="1">
      <c r="A175" s="23" t="s">
        <v>4081</v>
      </c>
      <c r="B175" s="19" t="s">
        <v>4090</v>
      </c>
      <c r="C175" s="4" t="s">
        <v>1102</v>
      </c>
      <c r="D175" s="4" t="s">
        <v>1102</v>
      </c>
      <c r="E175" s="4" t="s">
        <v>3204</v>
      </c>
      <c r="F175" s="4" t="s">
        <v>73</v>
      </c>
      <c r="G175" s="3">
        <v>1987</v>
      </c>
      <c r="H175" s="3" t="s">
        <v>2272</v>
      </c>
      <c r="I175" s="3" t="s">
        <v>2272</v>
      </c>
      <c r="J175" s="3" t="s">
        <v>2272</v>
      </c>
      <c r="K175" s="3" t="s">
        <v>2272</v>
      </c>
      <c r="L175" s="3">
        <v>1</v>
      </c>
      <c r="M175" s="49" t="s">
        <v>4097</v>
      </c>
      <c r="N175" s="3"/>
    </row>
    <row r="176" spans="1:14" ht="37.5" customHeight="1">
      <c r="A176" s="23" t="s">
        <v>4081</v>
      </c>
      <c r="B176" s="19" t="s">
        <v>4091</v>
      </c>
      <c r="C176" s="4" t="s">
        <v>1102</v>
      </c>
      <c r="D176" s="4" t="s">
        <v>1102</v>
      </c>
      <c r="E176" s="4" t="s">
        <v>3204</v>
      </c>
      <c r="F176" s="4" t="s">
        <v>73</v>
      </c>
      <c r="G176" s="3">
        <v>1988</v>
      </c>
      <c r="H176" s="3" t="s">
        <v>2272</v>
      </c>
      <c r="I176" s="3" t="s">
        <v>2272</v>
      </c>
      <c r="J176" s="3" t="s">
        <v>2272</v>
      </c>
      <c r="K176" s="3" t="s">
        <v>2272</v>
      </c>
      <c r="L176" s="3">
        <v>1</v>
      </c>
      <c r="M176" s="49" t="s">
        <v>4097</v>
      </c>
      <c r="N176" s="3"/>
    </row>
    <row r="177" spans="1:14" ht="37.5" customHeight="1">
      <c r="A177" s="23" t="s">
        <v>4081</v>
      </c>
      <c r="B177" s="19" t="s">
        <v>4092</v>
      </c>
      <c r="C177" s="4" t="s">
        <v>1102</v>
      </c>
      <c r="D177" s="4" t="s">
        <v>1102</v>
      </c>
      <c r="E177" s="4" t="s">
        <v>3204</v>
      </c>
      <c r="F177" s="4" t="s">
        <v>73</v>
      </c>
      <c r="G177" s="3">
        <v>1989</v>
      </c>
      <c r="H177" s="3" t="s">
        <v>2272</v>
      </c>
      <c r="I177" s="3" t="s">
        <v>2272</v>
      </c>
      <c r="J177" s="3" t="s">
        <v>2272</v>
      </c>
      <c r="K177" s="3" t="s">
        <v>2272</v>
      </c>
      <c r="L177" s="3">
        <v>1</v>
      </c>
      <c r="M177" s="49" t="s">
        <v>4097</v>
      </c>
      <c r="N177" s="3"/>
    </row>
    <row r="178" spans="1:14" ht="37.5" customHeight="1">
      <c r="A178" s="23" t="s">
        <v>4081</v>
      </c>
      <c r="B178" s="19" t="s">
        <v>4093</v>
      </c>
      <c r="C178" s="4" t="s">
        <v>1102</v>
      </c>
      <c r="D178" s="4" t="s">
        <v>1102</v>
      </c>
      <c r="E178" s="4" t="s">
        <v>3204</v>
      </c>
      <c r="F178" s="4" t="s">
        <v>73</v>
      </c>
      <c r="G178" s="3">
        <v>1990</v>
      </c>
      <c r="H178" s="3" t="s">
        <v>2272</v>
      </c>
      <c r="I178" s="3" t="s">
        <v>2272</v>
      </c>
      <c r="J178" s="3" t="s">
        <v>2272</v>
      </c>
      <c r="K178" s="3" t="s">
        <v>2272</v>
      </c>
      <c r="L178" s="3">
        <v>1</v>
      </c>
      <c r="M178" s="49" t="s">
        <v>4097</v>
      </c>
      <c r="N178" s="3"/>
    </row>
    <row r="179" spans="1:14" ht="37.5" customHeight="1">
      <c r="A179" s="23" t="s">
        <v>4081</v>
      </c>
      <c r="B179" s="19" t="s">
        <v>4095</v>
      </c>
      <c r="C179" s="4" t="s">
        <v>1102</v>
      </c>
      <c r="D179" s="4" t="s">
        <v>1102</v>
      </c>
      <c r="E179" s="4" t="s">
        <v>3204</v>
      </c>
      <c r="F179" s="4" t="s">
        <v>73</v>
      </c>
      <c r="G179" s="3">
        <v>1991</v>
      </c>
      <c r="H179" s="3" t="s">
        <v>2272</v>
      </c>
      <c r="I179" s="3" t="s">
        <v>2272</v>
      </c>
      <c r="J179" s="3" t="s">
        <v>2272</v>
      </c>
      <c r="K179" s="3" t="s">
        <v>2272</v>
      </c>
      <c r="L179" s="3">
        <v>1</v>
      </c>
      <c r="M179" s="49" t="s">
        <v>4097</v>
      </c>
      <c r="N179" s="3"/>
    </row>
    <row r="180" spans="1:14" ht="37.5" customHeight="1">
      <c r="A180" s="23" t="s">
        <v>4081</v>
      </c>
      <c r="B180" s="19" t="s">
        <v>4096</v>
      </c>
      <c r="C180" s="4" t="s">
        <v>1102</v>
      </c>
      <c r="D180" s="4" t="s">
        <v>1102</v>
      </c>
      <c r="E180" s="4" t="s">
        <v>3204</v>
      </c>
      <c r="F180" s="4" t="s">
        <v>73</v>
      </c>
      <c r="G180" s="3">
        <v>1992</v>
      </c>
      <c r="H180" s="3" t="s">
        <v>2272</v>
      </c>
      <c r="I180" s="3" t="s">
        <v>2272</v>
      </c>
      <c r="J180" s="3" t="s">
        <v>2272</v>
      </c>
      <c r="K180" s="3" t="s">
        <v>2272</v>
      </c>
      <c r="L180" s="3">
        <v>1</v>
      </c>
      <c r="M180" s="49" t="s">
        <v>4097</v>
      </c>
      <c r="N180" s="3"/>
    </row>
    <row r="181" spans="1:14" ht="42" customHeight="1">
      <c r="A181" s="23" t="s">
        <v>4081</v>
      </c>
      <c r="B181" s="19" t="s">
        <v>4098</v>
      </c>
      <c r="C181" s="4" t="s">
        <v>1102</v>
      </c>
      <c r="D181" s="4" t="s">
        <v>1102</v>
      </c>
      <c r="E181" s="4" t="s">
        <v>5000</v>
      </c>
      <c r="F181" s="3" t="s">
        <v>54</v>
      </c>
      <c r="G181" s="3"/>
      <c r="H181" s="3" t="s">
        <v>2272</v>
      </c>
      <c r="I181" s="3" t="s">
        <v>2272</v>
      </c>
      <c r="J181" s="3">
        <v>1</v>
      </c>
      <c r="K181" s="4" t="s">
        <v>4100</v>
      </c>
      <c r="L181" s="3" t="s">
        <v>2272</v>
      </c>
      <c r="M181" s="49" t="s">
        <v>2272</v>
      </c>
      <c r="N181" s="3"/>
    </row>
    <row r="182" spans="1:14" ht="42" customHeight="1">
      <c r="A182" s="23" t="s">
        <v>4081</v>
      </c>
      <c r="B182" s="19" t="s">
        <v>4099</v>
      </c>
      <c r="C182" s="4" t="s">
        <v>1102</v>
      </c>
      <c r="D182" s="4" t="s">
        <v>1102</v>
      </c>
      <c r="E182" s="4" t="s">
        <v>44</v>
      </c>
      <c r="F182" s="3" t="s">
        <v>54</v>
      </c>
      <c r="G182" s="3"/>
      <c r="H182" s="3" t="s">
        <v>2272</v>
      </c>
      <c r="I182" s="3" t="s">
        <v>2272</v>
      </c>
      <c r="J182" s="3">
        <v>1</v>
      </c>
      <c r="K182" s="4" t="s">
        <v>4100</v>
      </c>
      <c r="L182" s="3" t="s">
        <v>2272</v>
      </c>
      <c r="M182" s="49" t="s">
        <v>2272</v>
      </c>
      <c r="N182" s="3"/>
    </row>
    <row r="183" spans="1:14" ht="49" customHeight="1">
      <c r="A183" s="11" t="s">
        <v>4103</v>
      </c>
      <c r="B183" s="3" t="s">
        <v>4113</v>
      </c>
      <c r="C183" s="3" t="s">
        <v>23</v>
      </c>
      <c r="D183" s="3" t="s">
        <v>24</v>
      </c>
      <c r="E183" s="4" t="s">
        <v>5000</v>
      </c>
      <c r="F183" s="3" t="s">
        <v>54</v>
      </c>
      <c r="G183" s="3"/>
      <c r="H183" s="3" t="s">
        <v>2272</v>
      </c>
      <c r="I183" s="3" t="s">
        <v>2272</v>
      </c>
      <c r="J183" s="3" t="s">
        <v>2272</v>
      </c>
      <c r="K183" s="3" t="s">
        <v>2272</v>
      </c>
      <c r="L183" s="3" t="s">
        <v>2272</v>
      </c>
      <c r="M183" s="49" t="s">
        <v>2272</v>
      </c>
      <c r="N183" s="3"/>
    </row>
    <row r="184" spans="1:14" ht="49" customHeight="1">
      <c r="A184" s="11" t="s">
        <v>4103</v>
      </c>
      <c r="B184" s="3" t="s">
        <v>4114</v>
      </c>
      <c r="C184" s="3" t="s">
        <v>23</v>
      </c>
      <c r="D184" s="3" t="s">
        <v>24</v>
      </c>
      <c r="E184" s="4" t="s">
        <v>44</v>
      </c>
      <c r="F184" s="3" t="s">
        <v>54</v>
      </c>
      <c r="G184" s="3"/>
      <c r="H184" s="3" t="s">
        <v>2272</v>
      </c>
      <c r="I184" s="3" t="s">
        <v>2272</v>
      </c>
      <c r="J184" s="3" t="s">
        <v>2272</v>
      </c>
      <c r="K184" s="3" t="s">
        <v>2272</v>
      </c>
      <c r="L184" s="3" t="s">
        <v>2272</v>
      </c>
      <c r="M184" s="49" t="s">
        <v>2272</v>
      </c>
      <c r="N184" s="3"/>
    </row>
    <row r="185" spans="1:14" ht="59" customHeight="1">
      <c r="A185" s="11" t="s">
        <v>4104</v>
      </c>
      <c r="B185" s="3" t="s">
        <v>4115</v>
      </c>
      <c r="C185" s="3" t="s">
        <v>23</v>
      </c>
      <c r="D185" s="3" t="s">
        <v>24</v>
      </c>
      <c r="E185" s="4" t="s">
        <v>5000</v>
      </c>
      <c r="F185" s="3" t="s">
        <v>54</v>
      </c>
      <c r="G185" s="3"/>
      <c r="H185" s="3">
        <v>2</v>
      </c>
      <c r="I185" s="4" t="s">
        <v>4119</v>
      </c>
      <c r="J185" s="3" t="s">
        <v>2272</v>
      </c>
      <c r="K185" s="3" t="s">
        <v>2272</v>
      </c>
      <c r="L185" s="3" t="s">
        <v>2272</v>
      </c>
      <c r="M185" s="49" t="s">
        <v>2272</v>
      </c>
      <c r="N185" s="3"/>
    </row>
    <row r="186" spans="1:14" ht="73" customHeight="1">
      <c r="A186" s="11" t="s">
        <v>4104</v>
      </c>
      <c r="B186" s="3" t="s">
        <v>4116</v>
      </c>
      <c r="C186" s="3" t="s">
        <v>23</v>
      </c>
      <c r="D186" s="3" t="s">
        <v>24</v>
      </c>
      <c r="E186" s="4" t="s">
        <v>44</v>
      </c>
      <c r="F186" s="3" t="s">
        <v>54</v>
      </c>
      <c r="G186" s="3"/>
      <c r="H186" s="3">
        <v>2</v>
      </c>
      <c r="I186" s="4" t="s">
        <v>4119</v>
      </c>
      <c r="J186" s="3" t="s">
        <v>2272</v>
      </c>
      <c r="K186" s="3" t="s">
        <v>2272</v>
      </c>
      <c r="L186" s="3" t="s">
        <v>2272</v>
      </c>
      <c r="M186" s="49" t="s">
        <v>2272</v>
      </c>
      <c r="N186" s="3"/>
    </row>
    <row r="187" spans="1:14" ht="45" customHeight="1">
      <c r="A187" s="11" t="s">
        <v>4124</v>
      </c>
      <c r="B187" s="11" t="s">
        <v>4128</v>
      </c>
      <c r="C187" s="3" t="s">
        <v>23</v>
      </c>
      <c r="D187" s="3" t="s">
        <v>2799</v>
      </c>
      <c r="E187" s="4" t="s">
        <v>2644</v>
      </c>
      <c r="F187" s="4" t="s">
        <v>2657</v>
      </c>
      <c r="G187" s="3"/>
      <c r="H187" s="3" t="s">
        <v>2272</v>
      </c>
      <c r="I187" s="3" t="s">
        <v>2272</v>
      </c>
      <c r="J187" s="3" t="s">
        <v>2272</v>
      </c>
      <c r="K187" s="3" t="s">
        <v>2272</v>
      </c>
      <c r="L187" s="3" t="s">
        <v>2272</v>
      </c>
      <c r="M187" s="49" t="s">
        <v>2272</v>
      </c>
      <c r="N187" s="3"/>
    </row>
    <row r="188" spans="1:14" ht="44" customHeight="1">
      <c r="A188" s="11" t="s">
        <v>4124</v>
      </c>
      <c r="B188" s="11" t="s">
        <v>4129</v>
      </c>
      <c r="C188" s="3" t="s">
        <v>23</v>
      </c>
      <c r="D188" s="3" t="s">
        <v>2799</v>
      </c>
      <c r="E188" s="4" t="s">
        <v>135</v>
      </c>
      <c r="F188" s="4" t="s">
        <v>2657</v>
      </c>
      <c r="G188" s="3"/>
      <c r="H188" s="3" t="s">
        <v>2272</v>
      </c>
      <c r="I188" s="3" t="s">
        <v>2272</v>
      </c>
      <c r="J188" s="3" t="s">
        <v>2272</v>
      </c>
      <c r="K188" s="3" t="s">
        <v>2272</v>
      </c>
      <c r="L188" s="3" t="s">
        <v>2272</v>
      </c>
      <c r="M188" s="49" t="s">
        <v>2272</v>
      </c>
      <c r="N188" s="3"/>
    </row>
    <row r="189" spans="1:14" ht="55" customHeight="1">
      <c r="A189" s="11" t="s">
        <v>4141</v>
      </c>
      <c r="B189" s="11" t="s">
        <v>4149</v>
      </c>
      <c r="C189" s="3" t="s">
        <v>23</v>
      </c>
      <c r="D189" s="3" t="s">
        <v>1102</v>
      </c>
      <c r="E189" s="4" t="s">
        <v>3849</v>
      </c>
      <c r="F189" s="3" t="s">
        <v>2272</v>
      </c>
      <c r="G189" s="3"/>
      <c r="H189" s="3" t="s">
        <v>2272</v>
      </c>
      <c r="I189" s="3" t="s">
        <v>2272</v>
      </c>
      <c r="J189" s="3">
        <v>2</v>
      </c>
      <c r="K189" s="4" t="s">
        <v>4170</v>
      </c>
      <c r="L189" s="3" t="s">
        <v>2272</v>
      </c>
      <c r="M189" s="49" t="s">
        <v>2272</v>
      </c>
      <c r="N189" s="3"/>
    </row>
    <row r="190" spans="1:14" ht="50.5" customHeight="1">
      <c r="A190" s="11" t="s">
        <v>4141</v>
      </c>
      <c r="B190" s="11" t="s">
        <v>4150</v>
      </c>
      <c r="C190" s="3" t="s">
        <v>23</v>
      </c>
      <c r="D190" s="3" t="s">
        <v>1102</v>
      </c>
      <c r="E190" s="4" t="s">
        <v>860</v>
      </c>
      <c r="F190" s="3" t="s">
        <v>2272</v>
      </c>
      <c r="G190" s="3"/>
      <c r="H190" s="3">
        <v>1</v>
      </c>
      <c r="I190" s="56" t="s">
        <v>4174</v>
      </c>
      <c r="J190" s="3" t="s">
        <v>2272</v>
      </c>
      <c r="K190" s="3" t="s">
        <v>2272</v>
      </c>
      <c r="L190" s="3" t="s">
        <v>2272</v>
      </c>
      <c r="M190" s="49" t="s">
        <v>2272</v>
      </c>
      <c r="N190" s="3"/>
    </row>
    <row r="191" spans="1:14" ht="49" customHeight="1">
      <c r="A191" s="11" t="s">
        <v>4142</v>
      </c>
      <c r="B191" s="11" t="s">
        <v>4159</v>
      </c>
      <c r="C191" s="3" t="s">
        <v>23</v>
      </c>
      <c r="D191" s="3" t="s">
        <v>1102</v>
      </c>
      <c r="E191" s="4" t="s">
        <v>5000</v>
      </c>
      <c r="F191" s="3" t="s">
        <v>2272</v>
      </c>
      <c r="G191" s="3"/>
      <c r="H191" s="3">
        <v>2</v>
      </c>
      <c r="I191" s="4" t="s">
        <v>4171</v>
      </c>
      <c r="J191" s="3">
        <v>2</v>
      </c>
      <c r="K191" s="4" t="s">
        <v>4170</v>
      </c>
      <c r="L191" s="3" t="s">
        <v>2272</v>
      </c>
      <c r="M191" s="49" t="s">
        <v>2272</v>
      </c>
      <c r="N191" s="3"/>
    </row>
    <row r="192" spans="1:14" ht="50.5" customHeight="1">
      <c r="A192" s="11" t="s">
        <v>4142</v>
      </c>
      <c r="B192" s="11" t="s">
        <v>4160</v>
      </c>
      <c r="C192" s="3" t="s">
        <v>23</v>
      </c>
      <c r="D192" s="3" t="s">
        <v>1102</v>
      </c>
      <c r="E192" s="4" t="s">
        <v>44</v>
      </c>
      <c r="F192" s="3" t="s">
        <v>2272</v>
      </c>
      <c r="G192" s="3"/>
      <c r="H192" s="3">
        <v>2</v>
      </c>
      <c r="I192" s="4" t="s">
        <v>4171</v>
      </c>
      <c r="J192" s="3">
        <v>2</v>
      </c>
      <c r="K192" s="4" t="s">
        <v>4170</v>
      </c>
      <c r="L192" s="3" t="s">
        <v>2272</v>
      </c>
      <c r="M192" s="49" t="s">
        <v>2272</v>
      </c>
      <c r="N192" s="3"/>
    </row>
    <row r="193" spans="1:15" ht="47" customHeight="1">
      <c r="A193" s="11" t="s">
        <v>4142</v>
      </c>
      <c r="B193" s="11" t="s">
        <v>4162</v>
      </c>
      <c r="C193" s="3" t="s">
        <v>23</v>
      </c>
      <c r="D193" s="3" t="s">
        <v>1102</v>
      </c>
      <c r="E193" s="4" t="s">
        <v>2647</v>
      </c>
      <c r="F193" s="3" t="s">
        <v>2272</v>
      </c>
      <c r="G193" s="3"/>
      <c r="H193" s="3" t="s">
        <v>2272</v>
      </c>
      <c r="I193" s="3" t="s">
        <v>2272</v>
      </c>
      <c r="J193" s="3">
        <v>1</v>
      </c>
      <c r="K193" s="4" t="s">
        <v>4420</v>
      </c>
      <c r="L193" s="3" t="s">
        <v>2272</v>
      </c>
      <c r="M193" s="49" t="s">
        <v>2272</v>
      </c>
      <c r="N193" s="3"/>
    </row>
    <row r="194" spans="1:15" ht="55.5" customHeight="1">
      <c r="A194" s="11" t="s">
        <v>4142</v>
      </c>
      <c r="B194" s="11" t="s">
        <v>4163</v>
      </c>
      <c r="C194" s="3" t="s">
        <v>23</v>
      </c>
      <c r="D194" s="3" t="s">
        <v>1102</v>
      </c>
      <c r="E194" s="4" t="s">
        <v>135</v>
      </c>
      <c r="F194" s="3" t="s">
        <v>2272</v>
      </c>
      <c r="G194" s="3"/>
      <c r="H194" s="3" t="s">
        <v>2272</v>
      </c>
      <c r="I194" s="3" t="s">
        <v>2272</v>
      </c>
      <c r="J194" s="3">
        <v>1</v>
      </c>
      <c r="K194" s="4" t="s">
        <v>4420</v>
      </c>
      <c r="L194" s="3" t="s">
        <v>2272</v>
      </c>
      <c r="M194" s="49" t="s">
        <v>2272</v>
      </c>
      <c r="N194" s="3"/>
      <c r="O194" s="117"/>
    </row>
    <row r="195" spans="1:15" ht="35" customHeight="1">
      <c r="A195" s="34" t="s">
        <v>4192</v>
      </c>
      <c r="B195" s="34" t="s">
        <v>4195</v>
      </c>
      <c r="C195" s="35" t="s">
        <v>1102</v>
      </c>
      <c r="D195" s="35" t="s">
        <v>1102</v>
      </c>
      <c r="E195" s="163" t="s">
        <v>82</v>
      </c>
      <c r="F195" s="35" t="s">
        <v>54</v>
      </c>
      <c r="G195" s="35"/>
      <c r="H195" s="35" t="s">
        <v>2272</v>
      </c>
      <c r="I195" s="35" t="s">
        <v>2272</v>
      </c>
      <c r="J195">
        <v>2</v>
      </c>
      <c r="K195" s="146" t="s">
        <v>4202</v>
      </c>
      <c r="L195" s="35" t="s">
        <v>2272</v>
      </c>
      <c r="M195" s="192" t="s">
        <v>2272</v>
      </c>
      <c r="N195" s="3"/>
    </row>
    <row r="196" spans="1:15" ht="40" customHeight="1">
      <c r="A196" s="34" t="s">
        <v>4215</v>
      </c>
      <c r="B196" s="34" t="s">
        <v>4219</v>
      </c>
      <c r="C196" s="35" t="s">
        <v>23</v>
      </c>
      <c r="D196" s="35" t="s">
        <v>1238</v>
      </c>
      <c r="E196" s="163" t="s">
        <v>135</v>
      </c>
      <c r="F196" s="163" t="s">
        <v>2657</v>
      </c>
      <c r="G196" s="35"/>
      <c r="H196" s="35">
        <v>2</v>
      </c>
      <c r="I196" s="35" t="s">
        <v>4245</v>
      </c>
      <c r="J196" s="35">
        <v>2</v>
      </c>
      <c r="K196" s="52" t="s">
        <v>4246</v>
      </c>
      <c r="L196" s="35" t="s">
        <v>2272</v>
      </c>
      <c r="M196" s="192" t="s">
        <v>2272</v>
      </c>
      <c r="N196" s="3"/>
    </row>
    <row r="197" spans="1:15" ht="51.5" customHeight="1">
      <c r="A197" s="34" t="s">
        <v>4216</v>
      </c>
      <c r="B197" s="34" t="s">
        <v>4227</v>
      </c>
      <c r="C197" s="35" t="s">
        <v>23</v>
      </c>
      <c r="D197" s="35" t="s">
        <v>1238</v>
      </c>
      <c r="E197" s="163" t="s">
        <v>3849</v>
      </c>
      <c r="F197" s="163" t="s">
        <v>2657</v>
      </c>
      <c r="G197" s="35"/>
      <c r="H197" s="35">
        <v>1</v>
      </c>
      <c r="I197" s="35" t="s">
        <v>4247</v>
      </c>
      <c r="J197" s="35" t="s">
        <v>2272</v>
      </c>
      <c r="K197" s="35" t="s">
        <v>2272</v>
      </c>
      <c r="L197" s="35" t="s">
        <v>2272</v>
      </c>
      <c r="M197" s="192" t="s">
        <v>2272</v>
      </c>
      <c r="N197" s="3"/>
    </row>
    <row r="198" spans="1:15" ht="36" customHeight="1">
      <c r="A198" s="11" t="s">
        <v>4216</v>
      </c>
      <c r="B198" s="11" t="s">
        <v>4228</v>
      </c>
      <c r="C198" s="3" t="s">
        <v>23</v>
      </c>
      <c r="D198" s="3" t="s">
        <v>1241</v>
      </c>
      <c r="E198" s="4" t="s">
        <v>114</v>
      </c>
      <c r="F198" s="163" t="s">
        <v>2657</v>
      </c>
      <c r="G198" s="3"/>
      <c r="H198" s="3">
        <v>0</v>
      </c>
      <c r="I198" s="4" t="s">
        <v>3007</v>
      </c>
      <c r="J198" s="4">
        <v>0</v>
      </c>
      <c r="K198" s="4" t="s">
        <v>3007</v>
      </c>
      <c r="L198" s="35" t="s">
        <v>2272</v>
      </c>
      <c r="M198" s="192" t="s">
        <v>2272</v>
      </c>
      <c r="N198" s="3"/>
    </row>
    <row r="199" spans="1:15" ht="39.5" customHeight="1">
      <c r="A199" s="11" t="s">
        <v>4216</v>
      </c>
      <c r="B199" s="11" t="s">
        <v>4229</v>
      </c>
      <c r="C199" s="3" t="s">
        <v>23</v>
      </c>
      <c r="D199" s="3" t="s">
        <v>26</v>
      </c>
      <c r="E199" s="4" t="s">
        <v>128</v>
      </c>
      <c r="F199" s="4" t="s">
        <v>2657</v>
      </c>
      <c r="G199" s="3"/>
      <c r="H199" s="3">
        <v>0</v>
      </c>
      <c r="I199" s="4" t="s">
        <v>3007</v>
      </c>
      <c r="J199" s="4">
        <v>0</v>
      </c>
      <c r="K199" s="4" t="s">
        <v>3007</v>
      </c>
      <c r="L199" s="3" t="s">
        <v>2272</v>
      </c>
      <c r="M199" s="49" t="s">
        <v>2272</v>
      </c>
      <c r="N199" s="3"/>
    </row>
    <row r="200" spans="1:15" ht="63" customHeight="1">
      <c r="A200" s="11" t="s">
        <v>4251</v>
      </c>
      <c r="B200" s="11" t="s">
        <v>4258</v>
      </c>
      <c r="C200" s="3" t="s">
        <v>1102</v>
      </c>
      <c r="D200" s="3" t="s">
        <v>1102</v>
      </c>
      <c r="E200" s="4" t="s">
        <v>3204</v>
      </c>
      <c r="F200" s="3" t="s">
        <v>73</v>
      </c>
      <c r="G200" s="3"/>
      <c r="H200" s="35" t="s">
        <v>2272</v>
      </c>
      <c r="I200" s="35" t="s">
        <v>2272</v>
      </c>
      <c r="J200" s="35" t="s">
        <v>2272</v>
      </c>
      <c r="K200" s="35" t="s">
        <v>2272</v>
      </c>
      <c r="L200" s="3">
        <v>2</v>
      </c>
      <c r="M200" s="45" t="s">
        <v>4307</v>
      </c>
      <c r="N200" s="3"/>
    </row>
    <row r="201" spans="1:15" ht="43.5">
      <c r="A201" s="11" t="s">
        <v>4252</v>
      </c>
      <c r="B201" s="11" t="s">
        <v>4276</v>
      </c>
      <c r="C201" s="3" t="s">
        <v>1102</v>
      </c>
      <c r="D201" s="3" t="s">
        <v>1102</v>
      </c>
      <c r="E201" s="4" t="s">
        <v>3204</v>
      </c>
      <c r="F201" s="3" t="s">
        <v>73</v>
      </c>
      <c r="G201" s="3"/>
      <c r="H201" s="35" t="s">
        <v>2272</v>
      </c>
      <c r="I201" s="35" t="s">
        <v>2272</v>
      </c>
      <c r="J201" s="35" t="s">
        <v>2272</v>
      </c>
      <c r="K201" s="35" t="s">
        <v>2272</v>
      </c>
      <c r="L201" s="3">
        <v>2</v>
      </c>
      <c r="M201" s="45" t="s">
        <v>4307</v>
      </c>
      <c r="N201" s="3"/>
    </row>
    <row r="202" spans="1:15" ht="43.5">
      <c r="A202" s="11" t="s">
        <v>4060</v>
      </c>
      <c r="B202" s="11" t="s">
        <v>4285</v>
      </c>
      <c r="C202" s="3" t="s">
        <v>1102</v>
      </c>
      <c r="D202" s="3" t="s">
        <v>1102</v>
      </c>
      <c r="E202" s="163" t="s">
        <v>3204</v>
      </c>
      <c r="F202" s="35" t="s">
        <v>73</v>
      </c>
      <c r="G202" s="35"/>
      <c r="H202" s="35" t="s">
        <v>2272</v>
      </c>
      <c r="I202" s="35" t="s">
        <v>2272</v>
      </c>
      <c r="J202" s="35" t="s">
        <v>2272</v>
      </c>
      <c r="K202" s="35" t="s">
        <v>2272</v>
      </c>
      <c r="L202" s="35">
        <v>2</v>
      </c>
      <c r="M202" s="194" t="s">
        <v>4307</v>
      </c>
      <c r="N202" s="3"/>
    </row>
    <row r="203" spans="1:15" ht="46.5" customHeight="1">
      <c r="A203" s="11" t="s">
        <v>4308</v>
      </c>
      <c r="B203" s="11" t="s">
        <v>4327</v>
      </c>
      <c r="C203" s="3" t="s">
        <v>1102</v>
      </c>
      <c r="D203" s="3" t="s">
        <v>1102</v>
      </c>
      <c r="E203" s="4" t="s">
        <v>1102</v>
      </c>
      <c r="F203" s="3" t="s">
        <v>2272</v>
      </c>
      <c r="G203" s="3"/>
      <c r="H203" s="35" t="s">
        <v>2272</v>
      </c>
      <c r="I203" s="35" t="s">
        <v>2272</v>
      </c>
      <c r="J203" s="3">
        <v>0</v>
      </c>
      <c r="K203" s="4" t="s">
        <v>4339</v>
      </c>
      <c r="L203" s="3" t="s">
        <v>2272</v>
      </c>
      <c r="M203" s="49" t="s">
        <v>2272</v>
      </c>
      <c r="N203" s="3"/>
    </row>
    <row r="204" spans="1:15" ht="50" customHeight="1">
      <c r="A204" s="11" t="s">
        <v>4312</v>
      </c>
      <c r="B204" s="11" t="s">
        <v>4328</v>
      </c>
      <c r="C204" s="3" t="s">
        <v>1102</v>
      </c>
      <c r="D204" s="3" t="s">
        <v>1102</v>
      </c>
      <c r="E204" s="4" t="s">
        <v>44</v>
      </c>
      <c r="F204" s="3" t="s">
        <v>73</v>
      </c>
      <c r="G204" s="3"/>
      <c r="H204" s="35" t="s">
        <v>2272</v>
      </c>
      <c r="I204" s="35" t="s">
        <v>2272</v>
      </c>
      <c r="J204" s="3">
        <v>2</v>
      </c>
      <c r="K204" s="4" t="s">
        <v>4338</v>
      </c>
      <c r="L204" s="3" t="s">
        <v>2272</v>
      </c>
      <c r="M204" s="49" t="s">
        <v>2272</v>
      </c>
      <c r="N204" s="3"/>
    </row>
    <row r="205" spans="1:15" ht="50" customHeight="1">
      <c r="A205" s="11" t="s">
        <v>4313</v>
      </c>
      <c r="B205" s="11" t="s">
        <v>4329</v>
      </c>
      <c r="C205" s="3" t="s">
        <v>1102</v>
      </c>
      <c r="D205" s="3" t="s">
        <v>1102</v>
      </c>
      <c r="E205" s="4" t="s">
        <v>44</v>
      </c>
      <c r="F205" s="3" t="s">
        <v>73</v>
      </c>
      <c r="G205" s="3"/>
      <c r="H205" s="35" t="s">
        <v>2272</v>
      </c>
      <c r="I205" s="35" t="s">
        <v>2272</v>
      </c>
      <c r="J205" s="3">
        <v>2</v>
      </c>
      <c r="K205" s="4" t="s">
        <v>4338</v>
      </c>
      <c r="L205" s="3" t="s">
        <v>2272</v>
      </c>
      <c r="M205" s="49" t="s">
        <v>2272</v>
      </c>
      <c r="N205" s="3"/>
    </row>
    <row r="206" spans="1:15" ht="50" customHeight="1">
      <c r="A206" s="11" t="s">
        <v>4314</v>
      </c>
      <c r="B206" s="11" t="s">
        <v>4330</v>
      </c>
      <c r="C206" s="3" t="s">
        <v>1102</v>
      </c>
      <c r="D206" s="3" t="s">
        <v>1102</v>
      </c>
      <c r="E206" s="4" t="s">
        <v>44</v>
      </c>
      <c r="F206" s="3" t="s">
        <v>73</v>
      </c>
      <c r="G206" s="3"/>
      <c r="H206" s="35" t="s">
        <v>2272</v>
      </c>
      <c r="I206" s="35" t="s">
        <v>2272</v>
      </c>
      <c r="J206" s="3">
        <v>2</v>
      </c>
      <c r="K206" s="4" t="s">
        <v>4338</v>
      </c>
      <c r="L206" s="3" t="s">
        <v>2272</v>
      </c>
      <c r="M206" s="49" t="s">
        <v>2272</v>
      </c>
      <c r="N206" s="3"/>
    </row>
    <row r="207" spans="1:15" ht="50" customHeight="1">
      <c r="A207" s="11" t="s">
        <v>4315</v>
      </c>
      <c r="B207" s="11" t="s">
        <v>4331</v>
      </c>
      <c r="C207" s="3" t="s">
        <v>1102</v>
      </c>
      <c r="D207" s="3" t="s">
        <v>1102</v>
      </c>
      <c r="E207" s="4" t="s">
        <v>44</v>
      </c>
      <c r="F207" s="3" t="s">
        <v>73</v>
      </c>
      <c r="G207" s="3"/>
      <c r="H207" s="35" t="s">
        <v>2272</v>
      </c>
      <c r="I207" s="35" t="s">
        <v>2272</v>
      </c>
      <c r="J207" s="3">
        <v>2</v>
      </c>
      <c r="K207" s="4" t="s">
        <v>4338</v>
      </c>
      <c r="L207" s="3" t="s">
        <v>2272</v>
      </c>
      <c r="M207" s="49" t="s">
        <v>2272</v>
      </c>
      <c r="N207" s="3"/>
    </row>
    <row r="208" spans="1:15" ht="50" customHeight="1">
      <c r="A208" s="11" t="s">
        <v>4316</v>
      </c>
      <c r="B208" s="11" t="s">
        <v>4332</v>
      </c>
      <c r="C208" s="3" t="s">
        <v>1102</v>
      </c>
      <c r="D208" s="3" t="s">
        <v>1102</v>
      </c>
      <c r="E208" s="4" t="s">
        <v>44</v>
      </c>
      <c r="F208" s="3" t="s">
        <v>73</v>
      </c>
      <c r="G208" s="3"/>
      <c r="H208" s="35" t="s">
        <v>2272</v>
      </c>
      <c r="I208" s="35" t="s">
        <v>2272</v>
      </c>
      <c r="J208" s="3">
        <v>2</v>
      </c>
      <c r="K208" s="4" t="s">
        <v>4338</v>
      </c>
      <c r="L208" s="3" t="s">
        <v>2272</v>
      </c>
      <c r="M208" s="49" t="s">
        <v>2272</v>
      </c>
      <c r="N208" s="3"/>
    </row>
    <row r="209" spans="1:14" ht="50" customHeight="1">
      <c r="A209" s="11" t="s">
        <v>4317</v>
      </c>
      <c r="B209" s="11" t="s">
        <v>4333</v>
      </c>
      <c r="C209" s="3" t="s">
        <v>1102</v>
      </c>
      <c r="D209" s="3" t="s">
        <v>1102</v>
      </c>
      <c r="E209" s="4" t="s">
        <v>44</v>
      </c>
      <c r="F209" s="3" t="s">
        <v>73</v>
      </c>
      <c r="G209" s="3"/>
      <c r="H209" s="35" t="s">
        <v>2272</v>
      </c>
      <c r="I209" s="35" t="s">
        <v>2272</v>
      </c>
      <c r="J209" s="3">
        <v>2</v>
      </c>
      <c r="K209" s="4" t="s">
        <v>4338</v>
      </c>
      <c r="L209" s="3" t="s">
        <v>2272</v>
      </c>
      <c r="M209" s="49" t="s">
        <v>2272</v>
      </c>
      <c r="N209" s="3"/>
    </row>
    <row r="210" spans="1:14" ht="50" customHeight="1">
      <c r="A210" s="11" t="s">
        <v>4318</v>
      </c>
      <c r="B210" s="11" t="s">
        <v>4334</v>
      </c>
      <c r="C210" s="3" t="s">
        <v>1102</v>
      </c>
      <c r="D210" s="3" t="s">
        <v>1102</v>
      </c>
      <c r="E210" s="4" t="s">
        <v>44</v>
      </c>
      <c r="F210" s="3" t="s">
        <v>73</v>
      </c>
      <c r="G210" s="3"/>
      <c r="H210" s="35" t="s">
        <v>2272</v>
      </c>
      <c r="I210" s="35" t="s">
        <v>2272</v>
      </c>
      <c r="J210" s="3">
        <v>2</v>
      </c>
      <c r="K210" s="4" t="s">
        <v>4338</v>
      </c>
      <c r="L210" s="3" t="s">
        <v>2272</v>
      </c>
      <c r="M210" s="49" t="s">
        <v>2272</v>
      </c>
      <c r="N210" s="3"/>
    </row>
    <row r="211" spans="1:14" ht="50" customHeight="1">
      <c r="A211" s="11" t="s">
        <v>4319</v>
      </c>
      <c r="B211" s="11" t="s">
        <v>4335</v>
      </c>
      <c r="C211" s="3" t="s">
        <v>1102</v>
      </c>
      <c r="D211" s="3" t="s">
        <v>1102</v>
      </c>
      <c r="E211" s="4" t="s">
        <v>44</v>
      </c>
      <c r="F211" s="3" t="s">
        <v>73</v>
      </c>
      <c r="G211" s="3"/>
      <c r="H211" s="35" t="s">
        <v>2272</v>
      </c>
      <c r="I211" s="35" t="s">
        <v>2272</v>
      </c>
      <c r="J211" s="3">
        <v>2</v>
      </c>
      <c r="K211" s="4" t="s">
        <v>4338</v>
      </c>
      <c r="L211" s="3" t="s">
        <v>2272</v>
      </c>
      <c r="M211" s="49" t="s">
        <v>2272</v>
      </c>
      <c r="N211" s="3"/>
    </row>
    <row r="212" spans="1:14" ht="50" customHeight="1">
      <c r="A212" s="11" t="s">
        <v>4320</v>
      </c>
      <c r="B212" s="11" t="s">
        <v>4336</v>
      </c>
      <c r="C212" s="3" t="s">
        <v>1102</v>
      </c>
      <c r="D212" s="3" t="s">
        <v>1102</v>
      </c>
      <c r="E212" s="4" t="s">
        <v>44</v>
      </c>
      <c r="F212" s="3" t="s">
        <v>73</v>
      </c>
      <c r="G212" s="3"/>
      <c r="H212" s="35" t="s">
        <v>2272</v>
      </c>
      <c r="I212" s="35" t="s">
        <v>2272</v>
      </c>
      <c r="J212" s="3">
        <v>2</v>
      </c>
      <c r="K212" s="4" t="s">
        <v>4338</v>
      </c>
      <c r="L212" s="3" t="s">
        <v>2272</v>
      </c>
      <c r="M212" s="49" t="s">
        <v>2272</v>
      </c>
      <c r="N212" s="3"/>
    </row>
    <row r="213" spans="1:14" ht="50" customHeight="1">
      <c r="A213" s="11" t="s">
        <v>4321</v>
      </c>
      <c r="B213" s="11" t="s">
        <v>4337</v>
      </c>
      <c r="C213" s="3" t="s">
        <v>1102</v>
      </c>
      <c r="D213" s="3" t="s">
        <v>1102</v>
      </c>
      <c r="E213" s="4" t="s">
        <v>44</v>
      </c>
      <c r="F213" s="3" t="s">
        <v>73</v>
      </c>
      <c r="G213" s="3"/>
      <c r="H213" s="35" t="s">
        <v>2272</v>
      </c>
      <c r="I213" s="35" t="s">
        <v>2272</v>
      </c>
      <c r="J213" s="3">
        <v>2</v>
      </c>
      <c r="K213" s="4" t="s">
        <v>4338</v>
      </c>
      <c r="L213" s="3" t="s">
        <v>2272</v>
      </c>
      <c r="M213" s="49" t="s">
        <v>2272</v>
      </c>
      <c r="N213" s="3"/>
    </row>
    <row r="214" spans="1:14" ht="50" customHeight="1">
      <c r="A214" s="11" t="s">
        <v>4308</v>
      </c>
      <c r="B214" s="11" t="s">
        <v>4340</v>
      </c>
      <c r="C214" s="3" t="s">
        <v>1102</v>
      </c>
      <c r="D214" s="3" t="s">
        <v>1102</v>
      </c>
      <c r="E214" s="4" t="s">
        <v>3204</v>
      </c>
      <c r="F214" s="3" t="s">
        <v>2272</v>
      </c>
      <c r="G214" s="3"/>
      <c r="H214" s="35" t="s">
        <v>2272</v>
      </c>
      <c r="I214" s="35" t="s">
        <v>2272</v>
      </c>
      <c r="J214" s="3" t="s">
        <v>2272</v>
      </c>
      <c r="K214" s="3" t="s">
        <v>2272</v>
      </c>
      <c r="L214" s="3">
        <v>3</v>
      </c>
      <c r="M214" s="45" t="s">
        <v>4351</v>
      </c>
      <c r="N214" s="3"/>
    </row>
    <row r="215" spans="1:14" ht="50" customHeight="1">
      <c r="A215" s="11" t="s">
        <v>4312</v>
      </c>
      <c r="B215" s="11" t="s">
        <v>4341</v>
      </c>
      <c r="C215" s="3" t="s">
        <v>1102</v>
      </c>
      <c r="D215" s="3" t="s">
        <v>1102</v>
      </c>
      <c r="E215" s="4" t="s">
        <v>3204</v>
      </c>
      <c r="F215" s="3" t="s">
        <v>2272</v>
      </c>
      <c r="G215" s="3"/>
      <c r="H215" s="35" t="s">
        <v>2272</v>
      </c>
      <c r="I215" s="35" t="s">
        <v>2272</v>
      </c>
      <c r="J215" s="3" t="s">
        <v>2272</v>
      </c>
      <c r="K215" s="3" t="s">
        <v>2272</v>
      </c>
      <c r="L215" s="3">
        <v>3</v>
      </c>
      <c r="M215" s="45" t="s">
        <v>4351</v>
      </c>
      <c r="N215" s="3"/>
    </row>
    <row r="216" spans="1:14" ht="50" customHeight="1">
      <c r="A216" s="11" t="s">
        <v>4313</v>
      </c>
      <c r="B216" s="11" t="s">
        <v>4342</v>
      </c>
      <c r="C216" s="3" t="s">
        <v>1102</v>
      </c>
      <c r="D216" s="3" t="s">
        <v>1102</v>
      </c>
      <c r="E216" s="4" t="s">
        <v>3204</v>
      </c>
      <c r="F216" s="3" t="s">
        <v>2272</v>
      </c>
      <c r="G216" s="3"/>
      <c r="H216" s="35" t="s">
        <v>2272</v>
      </c>
      <c r="I216" s="35" t="s">
        <v>2272</v>
      </c>
      <c r="J216" s="3" t="s">
        <v>2272</v>
      </c>
      <c r="K216" s="3" t="s">
        <v>2272</v>
      </c>
      <c r="L216" s="3">
        <v>3</v>
      </c>
      <c r="M216" s="45" t="s">
        <v>4351</v>
      </c>
      <c r="N216" s="3"/>
    </row>
    <row r="217" spans="1:14" ht="50" customHeight="1">
      <c r="A217" s="11" t="s">
        <v>4314</v>
      </c>
      <c r="B217" s="11" t="s">
        <v>4343</v>
      </c>
      <c r="C217" s="3" t="s">
        <v>1102</v>
      </c>
      <c r="D217" s="3" t="s">
        <v>1102</v>
      </c>
      <c r="E217" s="4" t="s">
        <v>3204</v>
      </c>
      <c r="F217" s="3" t="s">
        <v>2272</v>
      </c>
      <c r="G217" s="3"/>
      <c r="H217" s="35" t="s">
        <v>2272</v>
      </c>
      <c r="I217" s="35" t="s">
        <v>2272</v>
      </c>
      <c r="J217" s="3" t="s">
        <v>2272</v>
      </c>
      <c r="K217" s="3" t="s">
        <v>2272</v>
      </c>
      <c r="L217" s="3">
        <v>3</v>
      </c>
      <c r="M217" s="45" t="s">
        <v>4351</v>
      </c>
      <c r="N217" s="3"/>
    </row>
    <row r="218" spans="1:14" ht="50" customHeight="1">
      <c r="A218" s="11" t="s">
        <v>4315</v>
      </c>
      <c r="B218" s="11" t="s">
        <v>4344</v>
      </c>
      <c r="C218" s="3" t="s">
        <v>1102</v>
      </c>
      <c r="D218" s="3" t="s">
        <v>1102</v>
      </c>
      <c r="E218" s="4" t="s">
        <v>3204</v>
      </c>
      <c r="F218" s="3" t="s">
        <v>2272</v>
      </c>
      <c r="G218" s="3"/>
      <c r="H218" s="35" t="s">
        <v>2272</v>
      </c>
      <c r="I218" s="35" t="s">
        <v>2272</v>
      </c>
      <c r="J218" s="3" t="s">
        <v>2272</v>
      </c>
      <c r="K218" s="3" t="s">
        <v>2272</v>
      </c>
      <c r="L218" s="3">
        <v>3</v>
      </c>
      <c r="M218" s="45" t="s">
        <v>4351</v>
      </c>
      <c r="N218" s="3"/>
    </row>
    <row r="219" spans="1:14" ht="50" customHeight="1">
      <c r="A219" s="11" t="s">
        <v>4316</v>
      </c>
      <c r="B219" s="11" t="s">
        <v>4345</v>
      </c>
      <c r="C219" s="3" t="s">
        <v>1102</v>
      </c>
      <c r="D219" s="3" t="s">
        <v>1102</v>
      </c>
      <c r="E219" s="4" t="s">
        <v>3204</v>
      </c>
      <c r="F219" s="3" t="s">
        <v>2272</v>
      </c>
      <c r="G219" s="3"/>
      <c r="H219" s="35" t="s">
        <v>2272</v>
      </c>
      <c r="I219" s="35" t="s">
        <v>2272</v>
      </c>
      <c r="J219" s="3" t="s">
        <v>2272</v>
      </c>
      <c r="K219" s="3" t="s">
        <v>2272</v>
      </c>
      <c r="L219" s="3">
        <v>3</v>
      </c>
      <c r="M219" s="45" t="s">
        <v>4351</v>
      </c>
      <c r="N219" s="3"/>
    </row>
    <row r="220" spans="1:14" ht="50" customHeight="1">
      <c r="A220" s="11" t="s">
        <v>4317</v>
      </c>
      <c r="B220" s="11" t="s">
        <v>4346</v>
      </c>
      <c r="C220" s="3" t="s">
        <v>1102</v>
      </c>
      <c r="D220" s="3" t="s">
        <v>1102</v>
      </c>
      <c r="E220" s="4" t="s">
        <v>3204</v>
      </c>
      <c r="F220" s="3" t="s">
        <v>2272</v>
      </c>
      <c r="G220" s="3"/>
      <c r="H220" s="35" t="s">
        <v>2272</v>
      </c>
      <c r="I220" s="35" t="s">
        <v>2272</v>
      </c>
      <c r="J220" s="3" t="s">
        <v>2272</v>
      </c>
      <c r="K220" s="3" t="s">
        <v>2272</v>
      </c>
      <c r="L220" s="3">
        <v>3</v>
      </c>
      <c r="M220" s="45" t="s">
        <v>4351</v>
      </c>
      <c r="N220" s="3"/>
    </row>
    <row r="221" spans="1:14" ht="50" customHeight="1">
      <c r="A221" s="11" t="s">
        <v>4318</v>
      </c>
      <c r="B221" s="11" t="s">
        <v>4347</v>
      </c>
      <c r="C221" s="3" t="s">
        <v>1102</v>
      </c>
      <c r="D221" s="3" t="s">
        <v>1102</v>
      </c>
      <c r="E221" s="4" t="s">
        <v>3204</v>
      </c>
      <c r="F221" s="3" t="s">
        <v>2272</v>
      </c>
      <c r="G221" s="3"/>
      <c r="H221" s="35" t="s">
        <v>2272</v>
      </c>
      <c r="I221" s="35" t="s">
        <v>2272</v>
      </c>
      <c r="J221" s="3" t="s">
        <v>2272</v>
      </c>
      <c r="K221" s="3" t="s">
        <v>2272</v>
      </c>
      <c r="L221" s="3">
        <v>3</v>
      </c>
      <c r="M221" s="45" t="s">
        <v>4351</v>
      </c>
      <c r="N221" s="3"/>
    </row>
    <row r="222" spans="1:14" ht="50" customHeight="1">
      <c r="A222" s="11" t="s">
        <v>4319</v>
      </c>
      <c r="B222" s="11" t="s">
        <v>4348</v>
      </c>
      <c r="C222" s="3" t="s">
        <v>1102</v>
      </c>
      <c r="D222" s="3" t="s">
        <v>1102</v>
      </c>
      <c r="E222" s="4" t="s">
        <v>3204</v>
      </c>
      <c r="F222" s="3" t="s">
        <v>2272</v>
      </c>
      <c r="G222" s="3"/>
      <c r="H222" s="35" t="s">
        <v>2272</v>
      </c>
      <c r="I222" s="35" t="s">
        <v>2272</v>
      </c>
      <c r="J222" s="3" t="s">
        <v>2272</v>
      </c>
      <c r="K222" s="3" t="s">
        <v>2272</v>
      </c>
      <c r="L222" s="3">
        <v>3</v>
      </c>
      <c r="M222" s="45" t="s">
        <v>4351</v>
      </c>
      <c r="N222" s="3"/>
    </row>
    <row r="223" spans="1:14" ht="50" customHeight="1">
      <c r="A223" s="11" t="s">
        <v>4320</v>
      </c>
      <c r="B223" s="11" t="s">
        <v>4349</v>
      </c>
      <c r="C223" s="3" t="s">
        <v>1102</v>
      </c>
      <c r="D223" s="3" t="s">
        <v>1102</v>
      </c>
      <c r="E223" s="4" t="s">
        <v>3204</v>
      </c>
      <c r="F223" s="3" t="s">
        <v>2272</v>
      </c>
      <c r="G223" s="3"/>
      <c r="H223" s="35" t="s">
        <v>2272</v>
      </c>
      <c r="I223" s="35" t="s">
        <v>2272</v>
      </c>
      <c r="J223" s="3" t="s">
        <v>2272</v>
      </c>
      <c r="K223" s="3" t="s">
        <v>2272</v>
      </c>
      <c r="L223" s="3">
        <v>3</v>
      </c>
      <c r="M223" s="45" t="s">
        <v>4351</v>
      </c>
      <c r="N223" s="3"/>
    </row>
    <row r="224" spans="1:14" ht="50" customHeight="1">
      <c r="A224" s="11" t="s">
        <v>4321</v>
      </c>
      <c r="B224" s="11" t="s">
        <v>4350</v>
      </c>
      <c r="C224" s="3" t="s">
        <v>1102</v>
      </c>
      <c r="D224" s="3" t="s">
        <v>1102</v>
      </c>
      <c r="E224" s="4" t="s">
        <v>3204</v>
      </c>
      <c r="F224" s="3" t="s">
        <v>2272</v>
      </c>
      <c r="G224" s="3"/>
      <c r="H224" s="3" t="s">
        <v>2272</v>
      </c>
      <c r="I224" s="3" t="s">
        <v>2272</v>
      </c>
      <c r="J224" s="3" t="s">
        <v>2272</v>
      </c>
      <c r="K224" s="3" t="s">
        <v>2272</v>
      </c>
      <c r="L224" s="3">
        <v>3</v>
      </c>
      <c r="M224" s="45" t="s">
        <v>4351</v>
      </c>
      <c r="N224" s="3"/>
    </row>
    <row r="225" spans="1:14" ht="39" customHeight="1">
      <c r="A225" s="11" t="s">
        <v>4357</v>
      </c>
      <c r="B225" s="11" t="s">
        <v>4361</v>
      </c>
      <c r="C225" s="3" t="s">
        <v>23</v>
      </c>
      <c r="D225" s="3" t="s">
        <v>1102</v>
      </c>
      <c r="E225" s="4" t="s">
        <v>135</v>
      </c>
      <c r="F225" s="3" t="s">
        <v>73</v>
      </c>
      <c r="G225" s="3"/>
      <c r="H225" s="3" t="s">
        <v>2272</v>
      </c>
      <c r="I225" s="3" t="s">
        <v>2272</v>
      </c>
      <c r="J225" s="3">
        <v>2</v>
      </c>
      <c r="K225" s="19" t="s">
        <v>4372</v>
      </c>
      <c r="L225" s="3" t="s">
        <v>2272</v>
      </c>
      <c r="M225" s="49" t="s">
        <v>2272</v>
      </c>
      <c r="N225" s="3"/>
    </row>
    <row r="226" spans="1:14" ht="46.5" customHeight="1">
      <c r="A226" s="11" t="s">
        <v>4357</v>
      </c>
      <c r="B226" s="11" t="s">
        <v>4362</v>
      </c>
      <c r="C226" s="3" t="s">
        <v>1102</v>
      </c>
      <c r="D226" s="3" t="s">
        <v>1102</v>
      </c>
      <c r="E226" s="4" t="s">
        <v>135</v>
      </c>
      <c r="F226" s="3" t="s">
        <v>73</v>
      </c>
      <c r="G226" s="3"/>
      <c r="H226" s="3" t="s">
        <v>2272</v>
      </c>
      <c r="I226" s="3" t="s">
        <v>2272</v>
      </c>
      <c r="J226" s="3">
        <v>1</v>
      </c>
      <c r="K226" s="19" t="s">
        <v>4373</v>
      </c>
      <c r="L226" s="3" t="s">
        <v>2272</v>
      </c>
      <c r="M226" s="49" t="s">
        <v>2272</v>
      </c>
      <c r="N226" s="3"/>
    </row>
    <row r="227" spans="1:14" ht="58.5" customHeight="1">
      <c r="A227" s="147" t="s">
        <v>4413</v>
      </c>
      <c r="B227" s="147" t="s">
        <v>4423</v>
      </c>
      <c r="C227" s="3" t="s">
        <v>1102</v>
      </c>
      <c r="D227" s="3" t="s">
        <v>1102</v>
      </c>
      <c r="E227" s="4" t="s">
        <v>5000</v>
      </c>
      <c r="F227" s="4" t="s">
        <v>2657</v>
      </c>
      <c r="G227" s="3"/>
      <c r="H227" s="3" t="s">
        <v>2272</v>
      </c>
      <c r="I227" s="3" t="s">
        <v>2272</v>
      </c>
      <c r="J227" s="3">
        <v>2</v>
      </c>
      <c r="K227" s="4" t="s">
        <v>4427</v>
      </c>
      <c r="L227" s="3" t="s">
        <v>2272</v>
      </c>
      <c r="M227" s="49" t="s">
        <v>2272</v>
      </c>
      <c r="N227" s="3"/>
    </row>
    <row r="228" spans="1:14" ht="61.5" customHeight="1">
      <c r="A228" s="147" t="s">
        <v>4443</v>
      </c>
      <c r="B228" s="147" t="s">
        <v>4452</v>
      </c>
      <c r="C228" s="3" t="s">
        <v>23</v>
      </c>
      <c r="D228" s="3" t="s">
        <v>1102</v>
      </c>
      <c r="E228" s="4" t="s">
        <v>128</v>
      </c>
      <c r="F228" s="3" t="s">
        <v>2272</v>
      </c>
      <c r="G228" s="3"/>
      <c r="H228" s="3">
        <v>2</v>
      </c>
      <c r="I228" s="19" t="s">
        <v>4465</v>
      </c>
      <c r="J228" s="3" t="s">
        <v>2272</v>
      </c>
      <c r="K228" s="3" t="s">
        <v>2272</v>
      </c>
      <c r="L228" s="3">
        <v>1</v>
      </c>
      <c r="M228" s="191" t="s">
        <v>4466</v>
      </c>
      <c r="N228" s="3"/>
    </row>
    <row r="229" spans="1:14" ht="50" customHeight="1">
      <c r="A229" s="11" t="s">
        <v>4483</v>
      </c>
      <c r="B229" s="11" t="s">
        <v>4491</v>
      </c>
      <c r="C229" s="3" t="s">
        <v>1102</v>
      </c>
      <c r="D229" s="3" t="s">
        <v>1102</v>
      </c>
      <c r="E229" s="4" t="s">
        <v>5000</v>
      </c>
      <c r="F229" s="4" t="s">
        <v>2657</v>
      </c>
      <c r="G229" s="3"/>
      <c r="H229" s="3" t="s">
        <v>2272</v>
      </c>
      <c r="I229" s="3" t="s">
        <v>2272</v>
      </c>
      <c r="J229" s="3">
        <v>1</v>
      </c>
      <c r="K229" s="19" t="s">
        <v>4495</v>
      </c>
      <c r="L229" s="3" t="s">
        <v>2272</v>
      </c>
      <c r="M229" s="49" t="s">
        <v>2272</v>
      </c>
      <c r="N229" s="3"/>
    </row>
    <row r="230" spans="1:14" ht="62" customHeight="1">
      <c r="A230" s="11" t="s">
        <v>4484</v>
      </c>
      <c r="B230" s="11" t="s">
        <v>4494</v>
      </c>
      <c r="C230" s="3" t="s">
        <v>1102</v>
      </c>
      <c r="D230" s="3" t="s">
        <v>1102</v>
      </c>
      <c r="E230" s="4" t="s">
        <v>5000</v>
      </c>
      <c r="F230" s="4" t="s">
        <v>2657</v>
      </c>
      <c r="G230" s="3"/>
      <c r="H230" s="3" t="s">
        <v>2272</v>
      </c>
      <c r="I230" s="3" t="s">
        <v>2272</v>
      </c>
      <c r="J230" s="3">
        <v>1</v>
      </c>
      <c r="K230" s="19" t="s">
        <v>4495</v>
      </c>
      <c r="L230" s="3" t="s">
        <v>2272</v>
      </c>
      <c r="M230" s="49" t="s">
        <v>2272</v>
      </c>
      <c r="N230" s="3"/>
    </row>
    <row r="231" spans="1:14" ht="64.5" customHeight="1">
      <c r="A231" s="11" t="s">
        <v>4484</v>
      </c>
      <c r="B231" s="11" t="s">
        <v>4492</v>
      </c>
      <c r="C231" s="3" t="s">
        <v>1102</v>
      </c>
      <c r="D231" s="3" t="s">
        <v>1102</v>
      </c>
      <c r="E231" s="4" t="s">
        <v>3849</v>
      </c>
      <c r="F231" s="4" t="s">
        <v>2657</v>
      </c>
      <c r="G231" s="3"/>
      <c r="H231" s="3" t="s">
        <v>2272</v>
      </c>
      <c r="I231" s="3" t="s">
        <v>2272</v>
      </c>
      <c r="J231" s="3">
        <v>1</v>
      </c>
      <c r="K231" s="19" t="s">
        <v>4495</v>
      </c>
      <c r="L231" s="3" t="s">
        <v>2272</v>
      </c>
      <c r="M231" s="49" t="s">
        <v>2272</v>
      </c>
      <c r="N231" s="3"/>
    </row>
    <row r="232" spans="1:14" ht="37" customHeight="1">
      <c r="A232" s="11" t="s">
        <v>4497</v>
      </c>
      <c r="B232" s="11" t="s">
        <v>4503</v>
      </c>
      <c r="C232" s="3" t="s">
        <v>1102</v>
      </c>
      <c r="D232" s="3" t="s">
        <v>1102</v>
      </c>
      <c r="E232" s="4" t="s">
        <v>2642</v>
      </c>
      <c r="F232" s="3"/>
      <c r="G232" s="3"/>
      <c r="H232" s="3" t="s">
        <v>2272</v>
      </c>
      <c r="I232" s="3" t="s">
        <v>2272</v>
      </c>
      <c r="J232" s="3">
        <v>2</v>
      </c>
      <c r="K232" s="4" t="s">
        <v>4511</v>
      </c>
      <c r="L232" s="3" t="s">
        <v>2272</v>
      </c>
      <c r="M232" s="49" t="s">
        <v>2272</v>
      </c>
      <c r="N232" s="3"/>
    </row>
    <row r="233" spans="1:14" ht="37" customHeight="1">
      <c r="A233" s="11" t="s">
        <v>4497</v>
      </c>
      <c r="B233" s="11" t="s">
        <v>4505</v>
      </c>
      <c r="C233" s="3" t="s">
        <v>1102</v>
      </c>
      <c r="D233" s="3" t="s">
        <v>1102</v>
      </c>
      <c r="E233" s="4" t="s">
        <v>44</v>
      </c>
      <c r="F233" s="3"/>
      <c r="G233" s="3"/>
      <c r="H233" s="3" t="s">
        <v>2272</v>
      </c>
      <c r="I233" s="3" t="s">
        <v>2272</v>
      </c>
      <c r="J233" s="3">
        <v>2</v>
      </c>
      <c r="K233" s="4" t="s">
        <v>4511</v>
      </c>
      <c r="L233" s="3" t="s">
        <v>2272</v>
      </c>
      <c r="M233" s="49" t="s">
        <v>2272</v>
      </c>
      <c r="N233" s="3"/>
    </row>
    <row r="234" spans="1:14" ht="37" customHeight="1">
      <c r="A234" s="11" t="s">
        <v>4501</v>
      </c>
      <c r="B234" s="11" t="s">
        <v>4507</v>
      </c>
      <c r="C234" s="3" t="s">
        <v>1102</v>
      </c>
      <c r="D234" s="3" t="s">
        <v>1102</v>
      </c>
      <c r="E234" s="4" t="s">
        <v>2642</v>
      </c>
      <c r="F234" s="3"/>
      <c r="G234" s="3"/>
      <c r="H234" s="3" t="s">
        <v>2272</v>
      </c>
      <c r="I234" s="3" t="s">
        <v>2272</v>
      </c>
      <c r="J234" s="3">
        <v>2</v>
      </c>
      <c r="K234" s="4" t="s">
        <v>4511</v>
      </c>
      <c r="L234" s="3" t="s">
        <v>2272</v>
      </c>
      <c r="M234" s="49" t="s">
        <v>2272</v>
      </c>
      <c r="N234" s="3"/>
    </row>
    <row r="235" spans="1:14" ht="37" customHeight="1">
      <c r="A235" s="11" t="s">
        <v>4501</v>
      </c>
      <c r="B235" s="11" t="s">
        <v>4508</v>
      </c>
      <c r="C235" s="3" t="s">
        <v>1102</v>
      </c>
      <c r="D235" s="3" t="s">
        <v>1102</v>
      </c>
      <c r="E235" s="4" t="s">
        <v>44</v>
      </c>
      <c r="F235" s="3"/>
      <c r="G235" s="3"/>
      <c r="H235" s="3" t="s">
        <v>2272</v>
      </c>
      <c r="I235" s="3" t="s">
        <v>2272</v>
      </c>
      <c r="J235" s="3">
        <v>2</v>
      </c>
      <c r="K235" s="4" t="s">
        <v>4511</v>
      </c>
      <c r="L235" s="3" t="s">
        <v>2272</v>
      </c>
      <c r="M235" s="49" t="s">
        <v>2272</v>
      </c>
      <c r="N235" s="3"/>
    </row>
    <row r="236" spans="1:14" ht="51" customHeight="1">
      <c r="A236" s="11" t="s">
        <v>4514</v>
      </c>
      <c r="B236" s="11" t="s">
        <v>4524</v>
      </c>
      <c r="C236" s="3" t="s">
        <v>1102</v>
      </c>
      <c r="D236" s="3" t="s">
        <v>1102</v>
      </c>
      <c r="E236" s="4" t="s">
        <v>2642</v>
      </c>
      <c r="F236" s="4" t="s">
        <v>2657</v>
      </c>
      <c r="G236" s="3">
        <v>1973</v>
      </c>
      <c r="H236" s="3" t="s">
        <v>2272</v>
      </c>
      <c r="I236" s="3" t="s">
        <v>2272</v>
      </c>
      <c r="J236" s="3">
        <v>1</v>
      </c>
      <c r="K236" s="4" t="s">
        <v>4536</v>
      </c>
      <c r="L236" s="3" t="s">
        <v>2272</v>
      </c>
      <c r="M236" s="49" t="s">
        <v>2272</v>
      </c>
      <c r="N236" s="3"/>
    </row>
    <row r="237" spans="1:14" ht="51" customHeight="1">
      <c r="A237" s="11" t="s">
        <v>4514</v>
      </c>
      <c r="B237" s="11" t="s">
        <v>4528</v>
      </c>
      <c r="C237" s="3" t="s">
        <v>1102</v>
      </c>
      <c r="D237" s="3" t="s">
        <v>1102</v>
      </c>
      <c r="E237" s="4" t="s">
        <v>44</v>
      </c>
      <c r="F237" s="4" t="s">
        <v>2657</v>
      </c>
      <c r="G237" s="3">
        <v>1973</v>
      </c>
      <c r="H237" s="3" t="s">
        <v>2272</v>
      </c>
      <c r="I237" s="3" t="s">
        <v>2272</v>
      </c>
      <c r="J237" s="3">
        <v>1</v>
      </c>
      <c r="K237" s="4" t="s">
        <v>4536</v>
      </c>
      <c r="L237" s="3" t="s">
        <v>2272</v>
      </c>
      <c r="M237" s="49" t="s">
        <v>2272</v>
      </c>
      <c r="N237" s="3"/>
    </row>
    <row r="238" spans="1:14" ht="51" customHeight="1">
      <c r="A238" s="11" t="s">
        <v>4515</v>
      </c>
      <c r="B238" s="11" t="s">
        <v>4525</v>
      </c>
      <c r="C238" s="3" t="s">
        <v>1102</v>
      </c>
      <c r="D238" s="3" t="s">
        <v>1102</v>
      </c>
      <c r="E238" s="4" t="s">
        <v>5000</v>
      </c>
      <c r="F238" s="4" t="s">
        <v>2657</v>
      </c>
      <c r="G238" s="3">
        <v>1973</v>
      </c>
      <c r="H238" s="3" t="s">
        <v>2272</v>
      </c>
      <c r="I238" s="3" t="s">
        <v>2272</v>
      </c>
      <c r="J238" s="3">
        <v>1</v>
      </c>
      <c r="K238" s="4" t="s">
        <v>4536</v>
      </c>
      <c r="L238" s="3" t="s">
        <v>2272</v>
      </c>
      <c r="M238" s="49" t="s">
        <v>2272</v>
      </c>
      <c r="N238" s="3"/>
    </row>
    <row r="239" spans="1:14" ht="51" customHeight="1">
      <c r="A239" s="11" t="s">
        <v>4516</v>
      </c>
      <c r="B239" s="11" t="s">
        <v>4526</v>
      </c>
      <c r="C239" s="3" t="s">
        <v>1102</v>
      </c>
      <c r="D239" s="3" t="s">
        <v>1102</v>
      </c>
      <c r="E239" s="4" t="s">
        <v>5000</v>
      </c>
      <c r="F239" s="4" t="s">
        <v>2657</v>
      </c>
      <c r="G239" s="3">
        <v>1973</v>
      </c>
      <c r="H239" s="3" t="s">
        <v>2272</v>
      </c>
      <c r="I239" s="3" t="s">
        <v>2272</v>
      </c>
      <c r="J239" s="3">
        <v>1</v>
      </c>
      <c r="K239" s="4" t="s">
        <v>4536</v>
      </c>
      <c r="L239" s="3" t="s">
        <v>2272</v>
      </c>
      <c r="M239" s="49" t="s">
        <v>2272</v>
      </c>
      <c r="N239" s="3"/>
    </row>
    <row r="240" spans="1:14" ht="78.5" customHeight="1">
      <c r="A240" s="11" t="s">
        <v>4577</v>
      </c>
      <c r="B240" s="3" t="s">
        <v>4578</v>
      </c>
      <c r="C240" s="3" t="s">
        <v>23</v>
      </c>
      <c r="D240" s="3" t="s">
        <v>1102</v>
      </c>
      <c r="E240" s="4" t="s">
        <v>5000</v>
      </c>
      <c r="F240" s="4" t="s">
        <v>2657</v>
      </c>
      <c r="G240" s="3"/>
      <c r="H240" s="3" t="s">
        <v>2272</v>
      </c>
      <c r="I240" s="3" t="s">
        <v>2272</v>
      </c>
      <c r="J240" s="3">
        <v>2</v>
      </c>
      <c r="K240" s="4" t="s">
        <v>4591</v>
      </c>
      <c r="L240" s="3" t="s">
        <v>2272</v>
      </c>
      <c r="M240" s="49" t="s">
        <v>2272</v>
      </c>
      <c r="N240" s="3"/>
    </row>
    <row r="241" spans="1:14" ht="69.5" customHeight="1">
      <c r="A241" s="11" t="s">
        <v>4580</v>
      </c>
      <c r="B241" s="3" t="s">
        <v>4584</v>
      </c>
      <c r="C241" s="3" t="s">
        <v>23</v>
      </c>
      <c r="D241" s="3" t="s">
        <v>1102</v>
      </c>
      <c r="E241" s="4" t="s">
        <v>135</v>
      </c>
      <c r="F241" s="4" t="s">
        <v>2657</v>
      </c>
      <c r="G241" s="3"/>
      <c r="H241" s="3">
        <v>3</v>
      </c>
      <c r="I241" s="4" t="s">
        <v>4589</v>
      </c>
      <c r="J241" s="3">
        <v>2</v>
      </c>
      <c r="K241" s="4" t="s">
        <v>4590</v>
      </c>
      <c r="L241" s="3" t="s">
        <v>2272</v>
      </c>
      <c r="M241" s="49" t="s">
        <v>2272</v>
      </c>
      <c r="N241" s="3"/>
    </row>
    <row r="242" spans="1:14" ht="58">
      <c r="A242" s="11" t="s">
        <v>4581</v>
      </c>
      <c r="B242" s="3" t="s">
        <v>4585</v>
      </c>
      <c r="C242" s="3" t="s">
        <v>23</v>
      </c>
      <c r="D242" s="3" t="s">
        <v>1102</v>
      </c>
      <c r="E242" s="4" t="s">
        <v>135</v>
      </c>
      <c r="F242" s="4" t="s">
        <v>2657</v>
      </c>
      <c r="G242" s="3"/>
      <c r="H242" s="3">
        <v>3</v>
      </c>
      <c r="I242" s="4" t="s">
        <v>4589</v>
      </c>
      <c r="J242" s="3">
        <v>2</v>
      </c>
      <c r="K242" s="4" t="s">
        <v>4590</v>
      </c>
      <c r="L242" s="3" t="s">
        <v>2272</v>
      </c>
      <c r="M242" s="49" t="s">
        <v>2272</v>
      </c>
      <c r="N242" s="3"/>
    </row>
    <row r="243" spans="1:14" ht="56.5" customHeight="1">
      <c r="A243" s="11" t="s">
        <v>4592</v>
      </c>
      <c r="B243" s="3" t="s">
        <v>4601</v>
      </c>
      <c r="C243" s="3" t="s">
        <v>2651</v>
      </c>
      <c r="D243" s="3" t="s">
        <v>142</v>
      </c>
      <c r="E243" s="4" t="s">
        <v>135</v>
      </c>
      <c r="F243" s="4" t="s">
        <v>2657</v>
      </c>
      <c r="G243" s="3"/>
      <c r="H243" s="3">
        <v>3</v>
      </c>
      <c r="I243" s="4" t="s">
        <v>4611</v>
      </c>
      <c r="J243" s="3">
        <v>2</v>
      </c>
      <c r="K243" s="4" t="s">
        <v>4614</v>
      </c>
      <c r="L243" s="3" t="s">
        <v>2272</v>
      </c>
      <c r="M243" s="49" t="s">
        <v>2272</v>
      </c>
      <c r="N243" s="3"/>
    </row>
    <row r="244" spans="1:14" ht="54" customHeight="1">
      <c r="A244" s="11" t="s">
        <v>4592</v>
      </c>
      <c r="B244" s="3" t="s">
        <v>4603</v>
      </c>
      <c r="C244" s="3" t="s">
        <v>23</v>
      </c>
      <c r="D244" s="3" t="s">
        <v>1102</v>
      </c>
      <c r="E244" s="4" t="s">
        <v>135</v>
      </c>
      <c r="F244" s="4" t="s">
        <v>2657</v>
      </c>
      <c r="G244" s="3"/>
      <c r="H244" s="3" t="s">
        <v>2272</v>
      </c>
      <c r="I244" s="3" t="s">
        <v>2272</v>
      </c>
      <c r="J244" s="3" t="s">
        <v>2272</v>
      </c>
      <c r="K244" s="3" t="s">
        <v>2272</v>
      </c>
      <c r="L244" s="3">
        <v>3</v>
      </c>
      <c r="M244" s="45" t="s">
        <v>4613</v>
      </c>
      <c r="N244" s="3"/>
    </row>
    <row r="245" spans="1:14" ht="51" customHeight="1">
      <c r="A245" s="11" t="s">
        <v>4592</v>
      </c>
      <c r="B245" s="3" t="s">
        <v>4610</v>
      </c>
      <c r="C245" s="3" t="s">
        <v>30</v>
      </c>
      <c r="D245" s="3" t="s">
        <v>1102</v>
      </c>
      <c r="E245" s="4" t="s">
        <v>135</v>
      </c>
      <c r="F245" s="4" t="s">
        <v>2657</v>
      </c>
      <c r="G245" s="3"/>
      <c r="H245" s="3" t="s">
        <v>2272</v>
      </c>
      <c r="I245" s="3" t="s">
        <v>2272</v>
      </c>
      <c r="J245" s="3" t="s">
        <v>2272</v>
      </c>
      <c r="K245" s="3" t="s">
        <v>2272</v>
      </c>
      <c r="L245" s="3">
        <v>3</v>
      </c>
      <c r="M245" s="45" t="s">
        <v>4613</v>
      </c>
      <c r="N245" s="3"/>
    </row>
    <row r="246" spans="1:14" ht="54.5" customHeight="1">
      <c r="A246" s="11" t="s">
        <v>4598</v>
      </c>
      <c r="B246" s="3" t="s">
        <v>4608</v>
      </c>
      <c r="C246" s="3" t="s">
        <v>23</v>
      </c>
      <c r="D246" s="3" t="s">
        <v>1102</v>
      </c>
      <c r="E246" s="4" t="s">
        <v>135</v>
      </c>
      <c r="F246" s="4" t="s">
        <v>2657</v>
      </c>
      <c r="G246" s="3"/>
      <c r="H246" s="3" t="s">
        <v>2272</v>
      </c>
      <c r="I246" s="3" t="s">
        <v>2272</v>
      </c>
      <c r="J246" s="3">
        <v>3</v>
      </c>
      <c r="K246" s="4" t="s">
        <v>4612</v>
      </c>
      <c r="L246" s="3"/>
      <c r="M246" s="49"/>
      <c r="N246" s="3"/>
    </row>
    <row r="247" spans="1:14" ht="48" customHeight="1">
      <c r="A247" s="3" t="s">
        <v>4615</v>
      </c>
      <c r="B247" s="11" t="s">
        <v>4624</v>
      </c>
      <c r="C247" s="3" t="s">
        <v>1102</v>
      </c>
      <c r="D247" s="3" t="s">
        <v>1102</v>
      </c>
      <c r="E247" s="4" t="s">
        <v>2642</v>
      </c>
      <c r="F247" s="4" t="s">
        <v>2657</v>
      </c>
      <c r="G247" s="3"/>
      <c r="H247" s="3" t="s">
        <v>2272</v>
      </c>
      <c r="I247" s="3" t="s">
        <v>2272</v>
      </c>
      <c r="J247" s="3">
        <v>2</v>
      </c>
      <c r="K247" s="4" t="s">
        <v>4635</v>
      </c>
      <c r="L247" s="3" t="s">
        <v>2272</v>
      </c>
      <c r="M247" s="49" t="s">
        <v>2272</v>
      </c>
      <c r="N247" s="3"/>
    </row>
    <row r="248" spans="1:14" ht="48" customHeight="1">
      <c r="A248" s="3" t="s">
        <v>4615</v>
      </c>
      <c r="B248" s="11" t="s">
        <v>4627</v>
      </c>
      <c r="C248" s="3" t="s">
        <v>1102</v>
      </c>
      <c r="D248" s="3" t="s">
        <v>1102</v>
      </c>
      <c r="E248" s="4" t="s">
        <v>5000</v>
      </c>
      <c r="F248" s="4" t="s">
        <v>2657</v>
      </c>
      <c r="G248" s="3"/>
      <c r="H248" s="3">
        <v>0</v>
      </c>
      <c r="I248" t="s">
        <v>4636</v>
      </c>
      <c r="J248" s="3">
        <v>2</v>
      </c>
      <c r="K248" s="4" t="s">
        <v>4635</v>
      </c>
      <c r="L248" s="3" t="s">
        <v>2272</v>
      </c>
      <c r="M248" s="49" t="s">
        <v>2272</v>
      </c>
      <c r="N248" s="3"/>
    </row>
    <row r="249" spans="1:14" ht="48" customHeight="1">
      <c r="A249" s="3" t="s">
        <v>4615</v>
      </c>
      <c r="B249" s="11" t="s">
        <v>4632</v>
      </c>
      <c r="C249" s="3" t="s">
        <v>1102</v>
      </c>
      <c r="D249" s="3" t="s">
        <v>1102</v>
      </c>
      <c r="E249" s="4" t="s">
        <v>44</v>
      </c>
      <c r="F249" s="4" t="s">
        <v>2657</v>
      </c>
      <c r="G249" s="3"/>
      <c r="H249" s="3" t="s">
        <v>2272</v>
      </c>
      <c r="I249" s="3" t="s">
        <v>2272</v>
      </c>
      <c r="J249" s="3">
        <v>2</v>
      </c>
      <c r="K249" s="4" t="s">
        <v>4635</v>
      </c>
      <c r="L249" s="3" t="s">
        <v>2272</v>
      </c>
      <c r="M249" s="49" t="s">
        <v>2272</v>
      </c>
      <c r="N249" s="3"/>
    </row>
    <row r="250" spans="1:14" ht="48" customHeight="1">
      <c r="A250" s="3" t="s">
        <v>4615</v>
      </c>
      <c r="B250" s="11" t="s">
        <v>4633</v>
      </c>
      <c r="C250" s="3" t="s">
        <v>1102</v>
      </c>
      <c r="D250" s="3" t="s">
        <v>1102</v>
      </c>
      <c r="E250" s="4" t="s">
        <v>5000</v>
      </c>
      <c r="F250" s="4" t="s">
        <v>2657</v>
      </c>
      <c r="G250" s="3"/>
      <c r="H250" s="3" t="s">
        <v>2272</v>
      </c>
      <c r="I250" s="3" t="s">
        <v>2272</v>
      </c>
      <c r="J250" s="3">
        <v>2</v>
      </c>
      <c r="K250" s="4" t="s">
        <v>4635</v>
      </c>
      <c r="L250" s="3" t="s">
        <v>2272</v>
      </c>
      <c r="M250" s="49" t="s">
        <v>2272</v>
      </c>
      <c r="N250" s="3"/>
    </row>
    <row r="251" spans="1:14" ht="34.5" customHeight="1">
      <c r="A251" s="11" t="s">
        <v>4638</v>
      </c>
      <c r="B251" s="11" t="s">
        <v>4645</v>
      </c>
      <c r="C251" s="3" t="s">
        <v>1102</v>
      </c>
      <c r="D251" s="3" t="s">
        <v>1102</v>
      </c>
      <c r="E251" s="4" t="s">
        <v>5000</v>
      </c>
      <c r="F251" s="3" t="s">
        <v>73</v>
      </c>
      <c r="G251" s="3">
        <v>1997</v>
      </c>
      <c r="H251" s="3" t="s">
        <v>2272</v>
      </c>
      <c r="I251" s="3" t="s">
        <v>2272</v>
      </c>
      <c r="J251" s="3">
        <v>1</v>
      </c>
      <c r="K251" s="4" t="s">
        <v>4652</v>
      </c>
      <c r="L251" s="3" t="s">
        <v>2272</v>
      </c>
      <c r="M251" s="49" t="s">
        <v>2272</v>
      </c>
      <c r="N251" s="3"/>
    </row>
    <row r="252" spans="1:14" ht="34.5" customHeight="1">
      <c r="A252" s="3" t="s">
        <v>4638</v>
      </c>
      <c r="B252" s="11" t="s">
        <v>4647</v>
      </c>
      <c r="C252" s="3" t="s">
        <v>1102</v>
      </c>
      <c r="D252" s="3" t="s">
        <v>1102</v>
      </c>
      <c r="E252" s="4" t="s">
        <v>5000</v>
      </c>
      <c r="F252" s="3" t="s">
        <v>73</v>
      </c>
      <c r="G252" s="3">
        <v>1999</v>
      </c>
      <c r="H252" s="3" t="s">
        <v>2272</v>
      </c>
      <c r="I252" s="3" t="s">
        <v>2272</v>
      </c>
      <c r="J252" s="3">
        <v>2</v>
      </c>
      <c r="K252" s="4" t="s">
        <v>4653</v>
      </c>
      <c r="L252" s="3" t="s">
        <v>2272</v>
      </c>
      <c r="M252" s="49" t="s">
        <v>2272</v>
      </c>
      <c r="N252" s="3"/>
    </row>
    <row r="253" spans="1:14" ht="34.5" customHeight="1">
      <c r="A253" s="11" t="s">
        <v>4639</v>
      </c>
      <c r="B253" s="11" t="s">
        <v>4648</v>
      </c>
      <c r="C253" s="3" t="s">
        <v>1102</v>
      </c>
      <c r="D253" s="3" t="s">
        <v>1102</v>
      </c>
      <c r="E253" s="4" t="s">
        <v>5000</v>
      </c>
      <c r="F253" s="3" t="s">
        <v>73</v>
      </c>
      <c r="G253" s="3">
        <v>1997</v>
      </c>
      <c r="H253" s="3" t="s">
        <v>2272</v>
      </c>
      <c r="I253" s="3" t="s">
        <v>2272</v>
      </c>
      <c r="J253" s="3">
        <v>1</v>
      </c>
      <c r="K253" s="4" t="s">
        <v>4652</v>
      </c>
      <c r="L253" s="3" t="s">
        <v>2272</v>
      </c>
      <c r="M253" s="49" t="s">
        <v>2272</v>
      </c>
      <c r="N253" s="3"/>
    </row>
    <row r="254" spans="1:14" ht="34.5" customHeight="1">
      <c r="A254" s="11" t="s">
        <v>4639</v>
      </c>
      <c r="B254" s="11" t="s">
        <v>4649</v>
      </c>
      <c r="C254" s="3" t="s">
        <v>1102</v>
      </c>
      <c r="D254" s="3" t="s">
        <v>1102</v>
      </c>
      <c r="E254" s="4" t="s">
        <v>5000</v>
      </c>
      <c r="F254" s="3" t="s">
        <v>73</v>
      </c>
      <c r="G254" s="3">
        <v>1999</v>
      </c>
      <c r="H254" s="3" t="s">
        <v>2272</v>
      </c>
      <c r="I254" s="3" t="s">
        <v>2272</v>
      </c>
      <c r="J254" s="3">
        <v>2</v>
      </c>
      <c r="K254" s="4" t="s">
        <v>4653</v>
      </c>
      <c r="L254" s="3" t="s">
        <v>2272</v>
      </c>
      <c r="M254" s="49" t="s">
        <v>2272</v>
      </c>
      <c r="N254" s="3"/>
    </row>
    <row r="255" spans="1:14" ht="62" customHeight="1">
      <c r="A255" s="11" t="s">
        <v>4656</v>
      </c>
      <c r="B255" s="11" t="s">
        <v>4659</v>
      </c>
      <c r="C255" s="3" t="s">
        <v>1102</v>
      </c>
      <c r="D255" s="3" t="s">
        <v>1102</v>
      </c>
      <c r="E255" s="4" t="s">
        <v>5000</v>
      </c>
      <c r="F255" s="4" t="s">
        <v>2657</v>
      </c>
      <c r="G255" s="3"/>
      <c r="H255" s="3" t="s">
        <v>2272</v>
      </c>
      <c r="I255" s="3" t="s">
        <v>2272</v>
      </c>
      <c r="J255" s="3">
        <v>2</v>
      </c>
      <c r="K255" s="4" t="s">
        <v>4665</v>
      </c>
      <c r="L255" s="3" t="s">
        <v>2272</v>
      </c>
      <c r="M255" s="49" t="s">
        <v>2272</v>
      </c>
      <c r="N255" s="3"/>
    </row>
    <row r="256" spans="1:14" ht="55.5" customHeight="1">
      <c r="A256" s="11" t="s">
        <v>4711</v>
      </c>
      <c r="B256" s="3" t="s">
        <v>4719</v>
      </c>
      <c r="C256" s="3" t="s">
        <v>1102</v>
      </c>
      <c r="D256" s="3" t="s">
        <v>1102</v>
      </c>
      <c r="E256" s="4" t="s">
        <v>82</v>
      </c>
      <c r="F256" s="3" t="s">
        <v>27</v>
      </c>
      <c r="G256" s="3"/>
      <c r="H256" s="3" t="s">
        <v>2272</v>
      </c>
      <c r="I256" s="3" t="s">
        <v>2272</v>
      </c>
      <c r="J256" s="3">
        <v>3</v>
      </c>
      <c r="K256" s="4" t="s">
        <v>4725</v>
      </c>
      <c r="L256" s="3" t="s">
        <v>2272</v>
      </c>
      <c r="M256" s="49" t="s">
        <v>2272</v>
      </c>
      <c r="N256" s="3"/>
    </row>
    <row r="257" spans="1:14" ht="79" customHeight="1">
      <c r="A257" s="11" t="s">
        <v>4729</v>
      </c>
      <c r="B257" s="11" t="s">
        <v>4733</v>
      </c>
      <c r="C257" s="3" t="s">
        <v>1102</v>
      </c>
      <c r="D257" s="3" t="s">
        <v>1102</v>
      </c>
      <c r="E257" s="4" t="s">
        <v>5000</v>
      </c>
      <c r="F257" s="3" t="s">
        <v>73</v>
      </c>
      <c r="G257" s="3"/>
      <c r="H257" s="3" t="s">
        <v>2272</v>
      </c>
      <c r="I257" s="3" t="s">
        <v>2272</v>
      </c>
      <c r="J257" s="3">
        <v>2</v>
      </c>
      <c r="K257" s="4" t="s">
        <v>4735</v>
      </c>
      <c r="L257" s="3" t="s">
        <v>2272</v>
      </c>
      <c r="M257" s="49" t="s">
        <v>2272</v>
      </c>
      <c r="N257" s="3"/>
    </row>
    <row r="258" spans="1:14" ht="79" customHeight="1">
      <c r="A258" s="11" t="s">
        <v>4730</v>
      </c>
      <c r="B258" s="11" t="s">
        <v>4734</v>
      </c>
      <c r="C258" s="3" t="s">
        <v>1102</v>
      </c>
      <c r="D258" s="3" t="s">
        <v>1102</v>
      </c>
      <c r="E258" s="4" t="s">
        <v>5000</v>
      </c>
      <c r="F258" s="3" t="s">
        <v>73</v>
      </c>
      <c r="G258" s="3"/>
      <c r="H258" s="3" t="s">
        <v>2272</v>
      </c>
      <c r="I258" s="3" t="s">
        <v>2272</v>
      </c>
      <c r="J258" s="3">
        <v>2</v>
      </c>
      <c r="K258" s="4" t="s">
        <v>4735</v>
      </c>
      <c r="L258" s="3" t="s">
        <v>2272</v>
      </c>
      <c r="M258" s="49" t="s">
        <v>2272</v>
      </c>
      <c r="N258" s="3"/>
    </row>
    <row r="259" spans="1:14" ht="31" customHeight="1">
      <c r="A259" s="11" t="s">
        <v>4742</v>
      </c>
      <c r="B259" s="11" t="s">
        <v>4749</v>
      </c>
      <c r="C259" s="3" t="s">
        <v>23</v>
      </c>
      <c r="D259" s="3" t="s">
        <v>1102</v>
      </c>
      <c r="E259" s="4" t="s">
        <v>5000</v>
      </c>
      <c r="F259" s="4" t="s">
        <v>2657</v>
      </c>
      <c r="G259" s="3">
        <v>1937</v>
      </c>
      <c r="H259" s="3">
        <v>2</v>
      </c>
      <c r="I259" s="11" t="s">
        <v>4760</v>
      </c>
      <c r="J259" s="3" t="s">
        <v>2272</v>
      </c>
      <c r="K259" s="3" t="s">
        <v>2272</v>
      </c>
      <c r="L259" s="3" t="s">
        <v>2272</v>
      </c>
      <c r="M259" s="49" t="s">
        <v>2272</v>
      </c>
      <c r="N259" s="3"/>
    </row>
    <row r="260" spans="1:14" ht="31" customHeight="1">
      <c r="A260" s="11" t="s">
        <v>4742</v>
      </c>
      <c r="B260" s="11" t="s">
        <v>4751</v>
      </c>
      <c r="C260" s="3" t="s">
        <v>23</v>
      </c>
      <c r="D260" s="3" t="s">
        <v>1102</v>
      </c>
      <c r="E260" s="4" t="s">
        <v>128</v>
      </c>
      <c r="F260" s="4" t="s">
        <v>2657</v>
      </c>
      <c r="G260" s="3">
        <v>1937</v>
      </c>
      <c r="H260" s="3">
        <v>2</v>
      </c>
      <c r="I260" s="11" t="s">
        <v>4760</v>
      </c>
      <c r="J260" s="3" t="s">
        <v>2272</v>
      </c>
      <c r="K260" s="3" t="s">
        <v>2272</v>
      </c>
      <c r="L260" s="3" t="s">
        <v>2272</v>
      </c>
      <c r="M260" s="49" t="s">
        <v>2272</v>
      </c>
      <c r="N260" s="3"/>
    </row>
    <row r="261" spans="1:14" ht="31" customHeight="1">
      <c r="A261" s="11" t="s">
        <v>4742</v>
      </c>
      <c r="B261" s="11" t="s">
        <v>4752</v>
      </c>
      <c r="C261" s="3" t="s">
        <v>23</v>
      </c>
      <c r="D261" s="3" t="s">
        <v>1102</v>
      </c>
      <c r="E261" s="4" t="s">
        <v>44</v>
      </c>
      <c r="F261" s="4" t="s">
        <v>2657</v>
      </c>
      <c r="G261" s="3">
        <v>1937</v>
      </c>
      <c r="H261" s="3">
        <v>2</v>
      </c>
      <c r="I261" s="11" t="s">
        <v>4760</v>
      </c>
      <c r="J261" s="3" t="s">
        <v>2272</v>
      </c>
      <c r="K261" s="3" t="s">
        <v>2272</v>
      </c>
      <c r="L261" s="3" t="s">
        <v>2272</v>
      </c>
      <c r="M261" s="49" t="s">
        <v>2272</v>
      </c>
      <c r="N261" s="3"/>
    </row>
    <row r="262" spans="1:14" ht="29">
      <c r="A262" s="11" t="s">
        <v>4742</v>
      </c>
      <c r="B262" s="11" t="s">
        <v>4753</v>
      </c>
      <c r="C262" s="3" t="s">
        <v>23</v>
      </c>
      <c r="D262" s="3" t="s">
        <v>1102</v>
      </c>
      <c r="E262" s="4" t="s">
        <v>5000</v>
      </c>
      <c r="F262" s="4" t="s">
        <v>2657</v>
      </c>
      <c r="G262" s="11">
        <v>1990</v>
      </c>
      <c r="H262" s="3">
        <v>1</v>
      </c>
      <c r="I262" s="11" t="s">
        <v>4761</v>
      </c>
      <c r="J262" s="3" t="s">
        <v>2272</v>
      </c>
      <c r="K262" s="3" t="s">
        <v>2272</v>
      </c>
      <c r="L262" s="3" t="s">
        <v>2272</v>
      </c>
      <c r="M262" s="49" t="s">
        <v>2272</v>
      </c>
      <c r="N262" s="3"/>
    </row>
    <row r="263" spans="1:14" ht="29">
      <c r="A263" s="11" t="s">
        <v>4742</v>
      </c>
      <c r="B263" s="11" t="s">
        <v>4758</v>
      </c>
      <c r="C263" s="3" t="s">
        <v>23</v>
      </c>
      <c r="D263" s="3" t="s">
        <v>1102</v>
      </c>
      <c r="E263" s="4" t="s">
        <v>128</v>
      </c>
      <c r="F263" s="4" t="s">
        <v>2657</v>
      </c>
      <c r="G263" s="11">
        <v>1990</v>
      </c>
      <c r="H263" s="3">
        <v>1</v>
      </c>
      <c r="I263" s="11" t="s">
        <v>4761</v>
      </c>
      <c r="J263" s="3" t="s">
        <v>2272</v>
      </c>
      <c r="K263" s="3" t="s">
        <v>2272</v>
      </c>
      <c r="L263" s="3" t="s">
        <v>2272</v>
      </c>
      <c r="M263" s="49" t="s">
        <v>2272</v>
      </c>
      <c r="N263" s="3"/>
    </row>
    <row r="264" spans="1:14" ht="29">
      <c r="A264" s="11" t="s">
        <v>4742</v>
      </c>
      <c r="B264" s="11" t="s">
        <v>4759</v>
      </c>
      <c r="C264" s="3" t="s">
        <v>23</v>
      </c>
      <c r="D264" s="3" t="s">
        <v>1102</v>
      </c>
      <c r="E264" s="4" t="s">
        <v>44</v>
      </c>
      <c r="F264" s="4" t="s">
        <v>2657</v>
      </c>
      <c r="G264" s="11">
        <v>1990</v>
      </c>
      <c r="H264" s="3">
        <v>1</v>
      </c>
      <c r="I264" s="11" t="s">
        <v>4761</v>
      </c>
      <c r="J264" s="3" t="s">
        <v>2272</v>
      </c>
      <c r="K264" s="3" t="s">
        <v>2272</v>
      </c>
      <c r="L264" s="3" t="s">
        <v>2272</v>
      </c>
      <c r="M264" s="49" t="s">
        <v>2272</v>
      </c>
      <c r="N264" s="3"/>
    </row>
    <row r="265" spans="1:14" ht="45.5" customHeight="1">
      <c r="A265" s="11" t="s">
        <v>4772</v>
      </c>
      <c r="B265" s="11" t="s">
        <v>4778</v>
      </c>
      <c r="C265" s="3" t="s">
        <v>23</v>
      </c>
      <c r="D265" s="3" t="s">
        <v>2799</v>
      </c>
      <c r="E265" s="4" t="s">
        <v>5000</v>
      </c>
      <c r="F265" s="4" t="s">
        <v>2657</v>
      </c>
      <c r="G265" s="3"/>
      <c r="H265" s="3" t="s">
        <v>2272</v>
      </c>
      <c r="I265" s="3" t="s">
        <v>2272</v>
      </c>
      <c r="J265" s="3">
        <v>2</v>
      </c>
      <c r="K265" s="4" t="s">
        <v>4781</v>
      </c>
      <c r="L265" s="3" t="s">
        <v>2272</v>
      </c>
      <c r="M265" s="49" t="s">
        <v>2272</v>
      </c>
      <c r="N265" s="3"/>
    </row>
    <row r="266" spans="1:14" ht="79" customHeight="1">
      <c r="A266" s="11" t="s">
        <v>4786</v>
      </c>
      <c r="B266" s="11" t="s">
        <v>4789</v>
      </c>
      <c r="C266" s="3" t="s">
        <v>1102</v>
      </c>
      <c r="D266" s="3" t="s">
        <v>1102</v>
      </c>
      <c r="E266" s="4" t="s">
        <v>5000</v>
      </c>
      <c r="F266" s="4" t="s">
        <v>2657</v>
      </c>
      <c r="G266" s="3">
        <v>1965</v>
      </c>
      <c r="H266" s="3" t="s">
        <v>2272</v>
      </c>
      <c r="I266" s="3" t="s">
        <v>2272</v>
      </c>
      <c r="J266" s="3">
        <v>2</v>
      </c>
      <c r="K266" s="4" t="s">
        <v>4792</v>
      </c>
      <c r="L266" s="3" t="s">
        <v>2272</v>
      </c>
      <c r="M266" s="49" t="s">
        <v>2272</v>
      </c>
      <c r="N266" s="3"/>
    </row>
    <row r="267" spans="1:14" ht="36.5" customHeight="1">
      <c r="A267" s="11" t="s">
        <v>4788</v>
      </c>
      <c r="B267" s="11" t="s">
        <v>4790</v>
      </c>
      <c r="C267" s="3" t="s">
        <v>1102</v>
      </c>
      <c r="D267" s="3" t="s">
        <v>1102</v>
      </c>
      <c r="E267" s="4" t="s">
        <v>5000</v>
      </c>
      <c r="F267" s="4" t="s">
        <v>2657</v>
      </c>
      <c r="G267" s="3"/>
      <c r="H267" s="3" t="s">
        <v>2272</v>
      </c>
      <c r="I267" s="3" t="s">
        <v>2272</v>
      </c>
      <c r="J267" s="3">
        <v>2</v>
      </c>
      <c r="K267" s="4" t="s">
        <v>4781</v>
      </c>
      <c r="L267" s="3" t="s">
        <v>2272</v>
      </c>
      <c r="M267" s="49" t="s">
        <v>2272</v>
      </c>
      <c r="N267" s="3"/>
    </row>
    <row r="268" spans="1:14" ht="35.5" customHeight="1">
      <c r="A268" s="3" t="s">
        <v>4797</v>
      </c>
      <c r="B268" s="3" t="s">
        <v>4809</v>
      </c>
      <c r="C268" s="3" t="s">
        <v>1102</v>
      </c>
      <c r="D268" s="3" t="s">
        <v>1102</v>
      </c>
      <c r="E268" s="4" t="s">
        <v>5000</v>
      </c>
      <c r="F268" s="3" t="s">
        <v>73</v>
      </c>
      <c r="G268" s="3"/>
      <c r="H268" s="3" t="s">
        <v>2272</v>
      </c>
      <c r="I268" s="3" t="s">
        <v>2272</v>
      </c>
      <c r="J268" s="3">
        <v>2</v>
      </c>
      <c r="K268" s="4" t="s">
        <v>4832</v>
      </c>
      <c r="L268" s="3" t="s">
        <v>2272</v>
      </c>
      <c r="M268" s="49" t="s">
        <v>2272</v>
      </c>
      <c r="N268" s="3"/>
    </row>
    <row r="269" spans="1:14" ht="35.5" customHeight="1">
      <c r="A269" s="3" t="s">
        <v>4798</v>
      </c>
      <c r="B269" s="3" t="s">
        <v>4810</v>
      </c>
      <c r="C269" s="3" t="s">
        <v>1102</v>
      </c>
      <c r="D269" s="3" t="s">
        <v>1102</v>
      </c>
      <c r="E269" s="4" t="s">
        <v>5000</v>
      </c>
      <c r="F269" s="3" t="s">
        <v>73</v>
      </c>
      <c r="G269" s="3"/>
      <c r="H269" s="3" t="s">
        <v>2272</v>
      </c>
      <c r="I269" s="3" t="s">
        <v>2272</v>
      </c>
      <c r="J269" s="3">
        <v>2</v>
      </c>
      <c r="K269" s="4" t="s">
        <v>4832</v>
      </c>
      <c r="L269" s="3" t="s">
        <v>2272</v>
      </c>
      <c r="M269" s="49" t="s">
        <v>2272</v>
      </c>
      <c r="N269" s="3"/>
    </row>
    <row r="270" spans="1:14" ht="35.5" customHeight="1">
      <c r="A270" s="3" t="s">
        <v>4799</v>
      </c>
      <c r="B270" s="3" t="s">
        <v>4811</v>
      </c>
      <c r="C270" s="3" t="s">
        <v>1102</v>
      </c>
      <c r="D270" s="3" t="s">
        <v>1102</v>
      </c>
      <c r="E270" s="4" t="s">
        <v>5000</v>
      </c>
      <c r="F270" s="3" t="s">
        <v>73</v>
      </c>
      <c r="G270" s="3"/>
      <c r="H270" s="3" t="s">
        <v>2272</v>
      </c>
      <c r="I270" s="3" t="s">
        <v>2272</v>
      </c>
      <c r="J270" s="3">
        <v>2</v>
      </c>
      <c r="K270" s="4" t="s">
        <v>4832</v>
      </c>
      <c r="L270" s="3" t="s">
        <v>2272</v>
      </c>
      <c r="M270" s="49" t="s">
        <v>2272</v>
      </c>
      <c r="N270" s="3"/>
    </row>
    <row r="271" spans="1:14" ht="35.5" customHeight="1">
      <c r="A271" s="3" t="s">
        <v>4800</v>
      </c>
      <c r="B271" s="3" t="s">
        <v>4812</v>
      </c>
      <c r="C271" s="3" t="s">
        <v>1102</v>
      </c>
      <c r="D271" s="3" t="s">
        <v>1102</v>
      </c>
      <c r="E271" s="4" t="s">
        <v>5000</v>
      </c>
      <c r="F271" s="3" t="s">
        <v>73</v>
      </c>
      <c r="G271" s="3"/>
      <c r="H271" s="3" t="s">
        <v>2272</v>
      </c>
      <c r="I271" s="3" t="s">
        <v>2272</v>
      </c>
      <c r="J271" s="3">
        <v>2</v>
      </c>
      <c r="K271" s="4" t="s">
        <v>4832</v>
      </c>
      <c r="L271" s="3" t="s">
        <v>2272</v>
      </c>
      <c r="M271" s="49" t="s">
        <v>2272</v>
      </c>
      <c r="N271" s="3"/>
    </row>
    <row r="272" spans="1:14" ht="42.5" customHeight="1">
      <c r="A272" s="3" t="s">
        <v>4797</v>
      </c>
      <c r="B272" s="3" t="s">
        <v>4814</v>
      </c>
      <c r="C272" s="3" t="s">
        <v>1102</v>
      </c>
      <c r="D272" s="3" t="s">
        <v>1102</v>
      </c>
      <c r="E272" s="4" t="s">
        <v>2644</v>
      </c>
      <c r="F272" s="3" t="s">
        <v>73</v>
      </c>
      <c r="G272" s="3"/>
      <c r="H272" s="3" t="s">
        <v>2272</v>
      </c>
      <c r="I272" s="3" t="s">
        <v>2272</v>
      </c>
      <c r="J272" s="3">
        <v>2</v>
      </c>
      <c r="K272" s="4" t="s">
        <v>4835</v>
      </c>
      <c r="L272" s="3" t="s">
        <v>2272</v>
      </c>
      <c r="M272" s="49" t="s">
        <v>2272</v>
      </c>
      <c r="N272" s="3"/>
    </row>
    <row r="273" spans="1:14" ht="32.5" customHeight="1">
      <c r="A273" s="3" t="s">
        <v>4798</v>
      </c>
      <c r="B273" s="3" t="s">
        <v>4815</v>
      </c>
      <c r="C273" s="3" t="s">
        <v>1102</v>
      </c>
      <c r="D273" s="3" t="s">
        <v>1102</v>
      </c>
      <c r="E273" s="4" t="s">
        <v>2644</v>
      </c>
      <c r="F273" s="3" t="s">
        <v>73</v>
      </c>
      <c r="G273" s="3"/>
      <c r="H273" s="3" t="s">
        <v>2272</v>
      </c>
      <c r="I273" s="3" t="s">
        <v>2272</v>
      </c>
      <c r="J273" s="3">
        <v>3</v>
      </c>
      <c r="K273" s="4" t="s">
        <v>4834</v>
      </c>
      <c r="L273" s="3" t="s">
        <v>2272</v>
      </c>
      <c r="M273" s="49" t="s">
        <v>2272</v>
      </c>
      <c r="N273" s="3"/>
    </row>
    <row r="274" spans="1:14" ht="32.5" customHeight="1">
      <c r="A274" s="3" t="s">
        <v>4799</v>
      </c>
      <c r="B274" s="3" t="s">
        <v>4816</v>
      </c>
      <c r="C274" s="3" t="s">
        <v>1102</v>
      </c>
      <c r="D274" s="3" t="s">
        <v>1102</v>
      </c>
      <c r="E274" s="4" t="s">
        <v>2644</v>
      </c>
      <c r="F274" s="3" t="s">
        <v>73</v>
      </c>
      <c r="G274" s="3"/>
      <c r="H274" s="3" t="s">
        <v>2272</v>
      </c>
      <c r="I274" s="3" t="s">
        <v>2272</v>
      </c>
      <c r="J274" s="3">
        <v>2</v>
      </c>
      <c r="K274" s="4" t="s">
        <v>4835</v>
      </c>
      <c r="L274" s="3" t="s">
        <v>2272</v>
      </c>
      <c r="M274" s="49" t="s">
        <v>2272</v>
      </c>
      <c r="N274" s="3"/>
    </row>
    <row r="275" spans="1:14" ht="32.5" customHeight="1">
      <c r="A275" s="3" t="s">
        <v>4800</v>
      </c>
      <c r="B275" s="3" t="s">
        <v>4817</v>
      </c>
      <c r="C275" s="3" t="s">
        <v>1102</v>
      </c>
      <c r="D275" s="3" t="s">
        <v>1102</v>
      </c>
      <c r="E275" s="4" t="s">
        <v>2644</v>
      </c>
      <c r="F275" s="3" t="s">
        <v>73</v>
      </c>
      <c r="G275" s="3"/>
      <c r="H275" s="3" t="s">
        <v>2272</v>
      </c>
      <c r="I275" s="3" t="s">
        <v>2272</v>
      </c>
      <c r="J275" s="3">
        <v>2</v>
      </c>
      <c r="K275" s="4" t="s">
        <v>4835</v>
      </c>
      <c r="L275" s="3" t="s">
        <v>2272</v>
      </c>
      <c r="M275" s="49" t="s">
        <v>2272</v>
      </c>
      <c r="N275" s="3"/>
    </row>
    <row r="276" spans="1:14" ht="36.5" customHeight="1">
      <c r="A276" s="3" t="s">
        <v>4797</v>
      </c>
      <c r="B276" s="3" t="s">
        <v>4819</v>
      </c>
      <c r="C276" s="3" t="s">
        <v>1102</v>
      </c>
      <c r="D276" s="3" t="s">
        <v>1102</v>
      </c>
      <c r="E276" s="4" t="s">
        <v>44</v>
      </c>
      <c r="F276" s="3" t="s">
        <v>73</v>
      </c>
      <c r="G276" s="3"/>
      <c r="H276" s="3" t="s">
        <v>2272</v>
      </c>
      <c r="I276" s="3" t="s">
        <v>2272</v>
      </c>
      <c r="J276" s="3">
        <v>2</v>
      </c>
      <c r="K276" s="3" t="s">
        <v>4833</v>
      </c>
      <c r="L276" s="3" t="s">
        <v>2272</v>
      </c>
      <c r="M276" s="49" t="s">
        <v>2272</v>
      </c>
      <c r="N276" s="3"/>
    </row>
    <row r="277" spans="1:14" ht="36.5" customHeight="1">
      <c r="A277" s="3" t="s">
        <v>4798</v>
      </c>
      <c r="B277" s="3" t="s">
        <v>4820</v>
      </c>
      <c r="C277" s="3" t="s">
        <v>1102</v>
      </c>
      <c r="D277" s="3" t="s">
        <v>1102</v>
      </c>
      <c r="E277" s="4" t="s">
        <v>44</v>
      </c>
      <c r="F277" s="3" t="s">
        <v>73</v>
      </c>
      <c r="G277" s="3"/>
      <c r="H277" s="3" t="s">
        <v>2272</v>
      </c>
      <c r="I277" s="3" t="s">
        <v>2272</v>
      </c>
      <c r="J277" s="3">
        <v>3</v>
      </c>
      <c r="K277" s="3" t="s">
        <v>4831</v>
      </c>
      <c r="L277" s="3" t="s">
        <v>2272</v>
      </c>
      <c r="M277" s="49" t="s">
        <v>2272</v>
      </c>
      <c r="N277" s="3"/>
    </row>
    <row r="278" spans="1:14" ht="36.5" customHeight="1">
      <c r="A278" s="3" t="s">
        <v>4799</v>
      </c>
      <c r="B278" s="3" t="s">
        <v>4821</v>
      </c>
      <c r="C278" s="3" t="s">
        <v>1102</v>
      </c>
      <c r="D278" s="3" t="s">
        <v>1102</v>
      </c>
      <c r="E278" s="4" t="s">
        <v>44</v>
      </c>
      <c r="F278" s="3" t="s">
        <v>73</v>
      </c>
      <c r="G278" s="3"/>
      <c r="H278" s="3" t="s">
        <v>2272</v>
      </c>
      <c r="I278" s="3" t="s">
        <v>2272</v>
      </c>
      <c r="J278" s="3">
        <v>2</v>
      </c>
      <c r="K278" s="3" t="s">
        <v>4833</v>
      </c>
      <c r="L278" s="3" t="s">
        <v>2272</v>
      </c>
      <c r="M278" s="49" t="s">
        <v>2272</v>
      </c>
      <c r="N278" s="3"/>
    </row>
    <row r="279" spans="1:14" ht="36.5" customHeight="1">
      <c r="A279" s="3" t="s">
        <v>4800</v>
      </c>
      <c r="B279" s="3" t="s">
        <v>4822</v>
      </c>
      <c r="C279" s="3" t="s">
        <v>1102</v>
      </c>
      <c r="D279" s="3" t="s">
        <v>1102</v>
      </c>
      <c r="E279" s="4" t="s">
        <v>44</v>
      </c>
      <c r="F279" s="3" t="s">
        <v>73</v>
      </c>
      <c r="G279" s="3"/>
      <c r="H279" s="3" t="s">
        <v>2272</v>
      </c>
      <c r="I279" s="3" t="s">
        <v>2272</v>
      </c>
      <c r="J279" s="3">
        <v>2</v>
      </c>
      <c r="K279" s="3" t="s">
        <v>4833</v>
      </c>
      <c r="L279" s="3" t="s">
        <v>2272</v>
      </c>
      <c r="M279" s="49" t="s">
        <v>2272</v>
      </c>
      <c r="N279" s="3"/>
    </row>
    <row r="280" spans="1:14" ht="35.5" customHeight="1">
      <c r="A280" s="11" t="s">
        <v>4828</v>
      </c>
      <c r="B280" s="11" t="s">
        <v>4829</v>
      </c>
      <c r="C280" s="3" t="s">
        <v>1102</v>
      </c>
      <c r="D280" s="3" t="s">
        <v>1102</v>
      </c>
      <c r="E280" s="4" t="s">
        <v>44</v>
      </c>
      <c r="F280" s="56" t="s">
        <v>2657</v>
      </c>
      <c r="G280" s="3"/>
      <c r="H280" s="3" t="s">
        <v>2272</v>
      </c>
      <c r="I280" s="3" t="s">
        <v>2272</v>
      </c>
      <c r="J280" s="3">
        <v>2</v>
      </c>
      <c r="K280" s="4" t="s">
        <v>4839</v>
      </c>
      <c r="L280" s="3" t="s">
        <v>2272</v>
      </c>
      <c r="M280" s="49" t="s">
        <v>2272</v>
      </c>
      <c r="N280" s="3"/>
    </row>
    <row r="281" spans="1:14" ht="33.5" customHeight="1">
      <c r="A281" s="11" t="s">
        <v>4828</v>
      </c>
      <c r="B281" s="11" t="s">
        <v>4838</v>
      </c>
      <c r="C281" s="3" t="s">
        <v>1102</v>
      </c>
      <c r="D281" s="3" t="s">
        <v>1102</v>
      </c>
      <c r="E281" s="4" t="s">
        <v>2644</v>
      </c>
      <c r="F281" s="49" t="s">
        <v>73</v>
      </c>
      <c r="G281" s="3"/>
      <c r="H281" s="3" t="s">
        <v>2272</v>
      </c>
      <c r="I281" s="3" t="s">
        <v>2272</v>
      </c>
      <c r="J281" s="3">
        <v>3</v>
      </c>
      <c r="K281" s="3" t="s">
        <v>4840</v>
      </c>
      <c r="L281" s="3" t="s">
        <v>2272</v>
      </c>
      <c r="M281" s="49" t="s">
        <v>2272</v>
      </c>
      <c r="N281" s="3"/>
    </row>
    <row r="282" spans="1:14" ht="67" customHeight="1">
      <c r="A282" s="11" t="s">
        <v>4920</v>
      </c>
      <c r="B282" s="11" t="s">
        <v>4929</v>
      </c>
      <c r="C282" s="3" t="s">
        <v>1102</v>
      </c>
      <c r="D282" s="3" t="s">
        <v>1102</v>
      </c>
      <c r="E282" s="4" t="s">
        <v>44</v>
      </c>
      <c r="F282" s="49" t="s">
        <v>73</v>
      </c>
      <c r="G282" s="3"/>
      <c r="H282" s="3" t="s">
        <v>2272</v>
      </c>
      <c r="I282" s="3" t="s">
        <v>2272</v>
      </c>
      <c r="J282" s="3">
        <v>2</v>
      </c>
      <c r="K282" s="4" t="s">
        <v>4933</v>
      </c>
      <c r="L282" s="3" t="s">
        <v>2272</v>
      </c>
      <c r="M282" s="49" t="s">
        <v>2272</v>
      </c>
      <c r="N282" s="3"/>
    </row>
    <row r="283" spans="1:14" ht="67" customHeight="1">
      <c r="A283" s="11" t="s">
        <v>4920</v>
      </c>
      <c r="B283" s="11" t="s">
        <v>4930</v>
      </c>
      <c r="C283" s="3" t="s">
        <v>1102</v>
      </c>
      <c r="D283" s="3" t="s">
        <v>1102</v>
      </c>
      <c r="E283" s="4" t="s">
        <v>44</v>
      </c>
      <c r="F283" s="49" t="s">
        <v>73</v>
      </c>
      <c r="G283" s="3"/>
      <c r="H283" s="3" t="s">
        <v>2272</v>
      </c>
      <c r="I283" s="3" t="s">
        <v>2272</v>
      </c>
      <c r="J283" s="3">
        <v>2</v>
      </c>
      <c r="K283" s="4" t="s">
        <v>4933</v>
      </c>
      <c r="L283" s="3" t="s">
        <v>2272</v>
      </c>
      <c r="M283" s="49" t="s">
        <v>2272</v>
      </c>
      <c r="N283" s="3"/>
    </row>
    <row r="284" spans="1:14" ht="67" customHeight="1">
      <c r="A284" s="11" t="s">
        <v>4924</v>
      </c>
      <c r="B284" s="11" t="s">
        <v>4931</v>
      </c>
      <c r="C284" s="3" t="s">
        <v>1102</v>
      </c>
      <c r="D284" s="3" t="s">
        <v>1102</v>
      </c>
      <c r="E284" s="4" t="s">
        <v>44</v>
      </c>
      <c r="F284" s="49" t="s">
        <v>73</v>
      </c>
      <c r="G284" s="3"/>
      <c r="H284" s="3" t="s">
        <v>2272</v>
      </c>
      <c r="I284" s="3" t="s">
        <v>2272</v>
      </c>
      <c r="J284" s="3">
        <v>2</v>
      </c>
      <c r="K284" s="4" t="s">
        <v>4933</v>
      </c>
      <c r="L284" s="3" t="s">
        <v>2272</v>
      </c>
      <c r="M284" s="49" t="s">
        <v>2272</v>
      </c>
      <c r="N284" s="3"/>
    </row>
    <row r="285" spans="1:14" ht="67" customHeight="1">
      <c r="A285" s="11" t="s">
        <v>4924</v>
      </c>
      <c r="B285" s="11" t="s">
        <v>4932</v>
      </c>
      <c r="C285" s="3" t="s">
        <v>1102</v>
      </c>
      <c r="D285" s="3" t="s">
        <v>1102</v>
      </c>
      <c r="E285" s="4" t="s">
        <v>44</v>
      </c>
      <c r="F285" s="49" t="s">
        <v>73</v>
      </c>
      <c r="G285" s="3"/>
      <c r="H285" s="3" t="s">
        <v>2272</v>
      </c>
      <c r="I285" s="3" t="s">
        <v>2272</v>
      </c>
      <c r="J285" s="3">
        <v>2</v>
      </c>
      <c r="K285" s="4" t="s">
        <v>4933</v>
      </c>
      <c r="L285" s="3" t="s">
        <v>2272</v>
      </c>
      <c r="M285" s="49" t="s">
        <v>2272</v>
      </c>
      <c r="N285" s="3"/>
    </row>
    <row r="286" spans="1:14" ht="41" customHeight="1">
      <c r="A286" s="11" t="s">
        <v>4934</v>
      </c>
      <c r="B286" s="11" t="s">
        <v>4939</v>
      </c>
      <c r="C286" s="3" t="s">
        <v>1102</v>
      </c>
      <c r="D286" s="3" t="s">
        <v>1102</v>
      </c>
      <c r="E286" s="4" t="s">
        <v>3204</v>
      </c>
      <c r="F286" s="3" t="s">
        <v>2272</v>
      </c>
      <c r="G286" s="3"/>
      <c r="H286" s="3" t="s">
        <v>2272</v>
      </c>
      <c r="I286" s="3" t="s">
        <v>2272</v>
      </c>
      <c r="J286" s="3" t="s">
        <v>2272</v>
      </c>
      <c r="K286" s="3" t="s">
        <v>2272</v>
      </c>
      <c r="L286" s="3">
        <v>3</v>
      </c>
      <c r="M286" s="45" t="s">
        <v>4952</v>
      </c>
      <c r="N286" s="3"/>
    </row>
    <row r="287" spans="1:14" ht="48" customHeight="1">
      <c r="A287" s="11" t="s">
        <v>5122</v>
      </c>
      <c r="B287" s="3" t="s">
        <v>5139</v>
      </c>
      <c r="C287" s="3" t="s">
        <v>23</v>
      </c>
      <c r="D287" s="3" t="s">
        <v>1238</v>
      </c>
      <c r="E287" s="4" t="s">
        <v>135</v>
      </c>
      <c r="F287" s="4" t="s">
        <v>2657</v>
      </c>
      <c r="G287" s="3"/>
      <c r="H287" s="3">
        <v>3</v>
      </c>
      <c r="I287" s="4" t="s">
        <v>5157</v>
      </c>
      <c r="J287" s="3">
        <v>3</v>
      </c>
      <c r="K287" s="4" t="s">
        <v>5149</v>
      </c>
      <c r="L287" s="3" t="s">
        <v>2272</v>
      </c>
      <c r="M287" s="49" t="s">
        <v>2272</v>
      </c>
      <c r="N287" s="3"/>
    </row>
    <row r="288" spans="1:14" ht="48" customHeight="1">
      <c r="A288" s="11" t="s">
        <v>5123</v>
      </c>
      <c r="B288" s="3" t="s">
        <v>5140</v>
      </c>
      <c r="C288" s="3" t="s">
        <v>23</v>
      </c>
      <c r="D288" s="3" t="s">
        <v>1238</v>
      </c>
      <c r="E288" s="4" t="s">
        <v>135</v>
      </c>
      <c r="F288" s="4" t="s">
        <v>2657</v>
      </c>
      <c r="G288" s="3"/>
      <c r="H288" s="3">
        <v>3</v>
      </c>
      <c r="I288" s="4" t="s">
        <v>5157</v>
      </c>
      <c r="J288" s="3">
        <v>3</v>
      </c>
      <c r="K288" s="4" t="s">
        <v>5149</v>
      </c>
      <c r="L288" s="3" t="s">
        <v>2272</v>
      </c>
      <c r="M288" s="49" t="s">
        <v>2272</v>
      </c>
      <c r="N288" s="3"/>
    </row>
    <row r="289" spans="1:14" ht="48" customHeight="1">
      <c r="A289" s="11" t="s">
        <v>5124</v>
      </c>
      <c r="B289" s="3" t="s">
        <v>5141</v>
      </c>
      <c r="C289" s="3" t="s">
        <v>23</v>
      </c>
      <c r="D289" s="3" t="s">
        <v>1238</v>
      </c>
      <c r="E289" s="4" t="s">
        <v>135</v>
      </c>
      <c r="F289" s="4" t="s">
        <v>2657</v>
      </c>
      <c r="G289" s="3"/>
      <c r="H289" s="3">
        <v>3</v>
      </c>
      <c r="I289" s="4" t="s">
        <v>5157</v>
      </c>
      <c r="J289" s="3">
        <v>3</v>
      </c>
      <c r="K289" s="4" t="s">
        <v>5149</v>
      </c>
      <c r="L289" s="3" t="s">
        <v>2272</v>
      </c>
      <c r="M289" s="49" t="s">
        <v>2272</v>
      </c>
      <c r="N289" s="3"/>
    </row>
    <row r="290" spans="1:14" ht="48" customHeight="1">
      <c r="A290" s="11" t="s">
        <v>5125</v>
      </c>
      <c r="B290" s="3" t="s">
        <v>5142</v>
      </c>
      <c r="C290" s="3" t="s">
        <v>23</v>
      </c>
      <c r="D290" s="3" t="s">
        <v>1238</v>
      </c>
      <c r="E290" s="4" t="s">
        <v>135</v>
      </c>
      <c r="F290" s="4" t="s">
        <v>2657</v>
      </c>
      <c r="G290" s="3"/>
      <c r="H290" s="3">
        <v>3</v>
      </c>
      <c r="I290" s="4" t="s">
        <v>5157</v>
      </c>
      <c r="J290" s="3">
        <v>3</v>
      </c>
      <c r="K290" s="4" t="s">
        <v>5149</v>
      </c>
      <c r="L290" s="3" t="s">
        <v>2272</v>
      </c>
      <c r="M290" s="49" t="s">
        <v>2272</v>
      </c>
      <c r="N290" s="3"/>
    </row>
    <row r="291" spans="1:14" ht="48" customHeight="1">
      <c r="A291" s="11" t="s">
        <v>5126</v>
      </c>
      <c r="B291" s="3" t="s">
        <v>5143</v>
      </c>
      <c r="C291" s="3" t="s">
        <v>23</v>
      </c>
      <c r="D291" s="3" t="s">
        <v>1238</v>
      </c>
      <c r="E291" s="4" t="s">
        <v>135</v>
      </c>
      <c r="F291" s="4" t="s">
        <v>2657</v>
      </c>
      <c r="G291" s="3"/>
      <c r="H291" s="3">
        <v>3</v>
      </c>
      <c r="I291" s="4" t="s">
        <v>5157</v>
      </c>
      <c r="J291" s="3">
        <v>3</v>
      </c>
      <c r="K291" s="4" t="s">
        <v>5149</v>
      </c>
      <c r="L291" s="3" t="s">
        <v>2272</v>
      </c>
      <c r="M291" s="49" t="s">
        <v>2272</v>
      </c>
      <c r="N291" s="3"/>
    </row>
    <row r="292" spans="1:14" ht="48" customHeight="1">
      <c r="A292" s="11" t="s">
        <v>5122</v>
      </c>
      <c r="B292" s="3" t="s">
        <v>5144</v>
      </c>
      <c r="C292" s="3" t="s">
        <v>30</v>
      </c>
      <c r="D292" s="3" t="s">
        <v>29</v>
      </c>
      <c r="E292" s="4" t="s">
        <v>135</v>
      </c>
      <c r="F292" s="4" t="s">
        <v>2657</v>
      </c>
      <c r="G292" s="3"/>
      <c r="H292" s="3" t="s">
        <v>2272</v>
      </c>
      <c r="I292" s="3" t="s">
        <v>2272</v>
      </c>
      <c r="J292" s="3">
        <v>3</v>
      </c>
      <c r="K292" s="4" t="s">
        <v>5149</v>
      </c>
      <c r="L292" s="3">
        <v>3</v>
      </c>
      <c r="M292" s="49" t="s">
        <v>5150</v>
      </c>
      <c r="N292" s="3"/>
    </row>
    <row r="293" spans="1:14" ht="48" customHeight="1">
      <c r="A293" s="11" t="s">
        <v>5123</v>
      </c>
      <c r="B293" s="3" t="s">
        <v>5145</v>
      </c>
      <c r="C293" s="3" t="s">
        <v>30</v>
      </c>
      <c r="D293" s="3" t="s">
        <v>29</v>
      </c>
      <c r="E293" s="4" t="s">
        <v>135</v>
      </c>
      <c r="F293" s="4" t="s">
        <v>2657</v>
      </c>
      <c r="G293" s="3"/>
      <c r="H293" s="3" t="s">
        <v>2272</v>
      </c>
      <c r="I293" s="3" t="s">
        <v>2272</v>
      </c>
      <c r="J293" s="3">
        <v>3</v>
      </c>
      <c r="K293" s="4" t="s">
        <v>5149</v>
      </c>
      <c r="L293" s="3">
        <v>3</v>
      </c>
      <c r="M293" s="49" t="s">
        <v>5150</v>
      </c>
      <c r="N293" s="3"/>
    </row>
    <row r="294" spans="1:14" ht="48" customHeight="1">
      <c r="A294" s="11" t="s">
        <v>5124</v>
      </c>
      <c r="B294" s="3" t="s">
        <v>5146</v>
      </c>
      <c r="C294" s="3" t="s">
        <v>30</v>
      </c>
      <c r="D294" s="3" t="s">
        <v>29</v>
      </c>
      <c r="E294" s="4" t="s">
        <v>135</v>
      </c>
      <c r="F294" s="4" t="s">
        <v>2657</v>
      </c>
      <c r="G294" s="3"/>
      <c r="H294" s="3" t="s">
        <v>2272</v>
      </c>
      <c r="I294" s="3" t="s">
        <v>2272</v>
      </c>
      <c r="J294" s="3">
        <v>3</v>
      </c>
      <c r="K294" s="4" t="s">
        <v>5149</v>
      </c>
      <c r="L294" s="3">
        <v>3</v>
      </c>
      <c r="M294" s="49" t="s">
        <v>5150</v>
      </c>
      <c r="N294" s="3"/>
    </row>
    <row r="295" spans="1:14" ht="48" customHeight="1">
      <c r="A295" s="11" t="s">
        <v>5125</v>
      </c>
      <c r="B295" s="3" t="s">
        <v>5147</v>
      </c>
      <c r="C295" s="3" t="s">
        <v>30</v>
      </c>
      <c r="D295" s="3" t="s">
        <v>29</v>
      </c>
      <c r="E295" s="4" t="s">
        <v>135</v>
      </c>
      <c r="F295" s="4" t="s">
        <v>2657</v>
      </c>
      <c r="G295" s="3"/>
      <c r="H295" s="3" t="s">
        <v>2272</v>
      </c>
      <c r="I295" s="3" t="s">
        <v>2272</v>
      </c>
      <c r="J295" s="3">
        <v>3</v>
      </c>
      <c r="K295" s="4" t="s">
        <v>5149</v>
      </c>
      <c r="L295" s="3">
        <v>3</v>
      </c>
      <c r="M295" s="49" t="s">
        <v>5150</v>
      </c>
      <c r="N295" s="3"/>
    </row>
    <row r="296" spans="1:14" ht="48" customHeight="1">
      <c r="A296" s="11" t="s">
        <v>5126</v>
      </c>
      <c r="B296" s="3" t="s">
        <v>5148</v>
      </c>
      <c r="C296" s="3" t="s">
        <v>30</v>
      </c>
      <c r="D296" s="3" t="s">
        <v>29</v>
      </c>
      <c r="E296" s="4" t="s">
        <v>135</v>
      </c>
      <c r="F296" s="4" t="s">
        <v>2657</v>
      </c>
      <c r="G296" s="3"/>
      <c r="H296" s="3" t="s">
        <v>2272</v>
      </c>
      <c r="I296" s="3" t="s">
        <v>2272</v>
      </c>
      <c r="J296" s="3">
        <v>3</v>
      </c>
      <c r="K296" s="4" t="s">
        <v>5149</v>
      </c>
      <c r="L296" s="3">
        <v>3</v>
      </c>
      <c r="M296" s="49" t="s">
        <v>5150</v>
      </c>
      <c r="N296" s="3"/>
    </row>
    <row r="297" spans="1:14" ht="33.5" customHeight="1">
      <c r="A297" s="11" t="s">
        <v>5122</v>
      </c>
      <c r="B297" s="3" t="s">
        <v>5152</v>
      </c>
      <c r="C297" s="3" t="s">
        <v>30</v>
      </c>
      <c r="D297" s="3" t="s">
        <v>29</v>
      </c>
      <c r="E297" s="4" t="s">
        <v>2647</v>
      </c>
      <c r="F297" s="4" t="s">
        <v>2657</v>
      </c>
      <c r="G297" s="3"/>
      <c r="H297" s="3">
        <v>0</v>
      </c>
      <c r="I297" s="3" t="s">
        <v>5151</v>
      </c>
      <c r="J297" s="3" t="s">
        <v>2272</v>
      </c>
      <c r="K297" s="3" t="s">
        <v>2272</v>
      </c>
      <c r="L297" s="3" t="s">
        <v>2272</v>
      </c>
      <c r="M297" s="49" t="s">
        <v>2272</v>
      </c>
      <c r="N297" s="3"/>
    </row>
    <row r="298" spans="1:14" ht="33.5" customHeight="1">
      <c r="A298" s="11" t="s">
        <v>5123</v>
      </c>
      <c r="B298" s="3" t="s">
        <v>5153</v>
      </c>
      <c r="C298" s="3" t="s">
        <v>30</v>
      </c>
      <c r="D298" s="3" t="s">
        <v>29</v>
      </c>
      <c r="E298" s="4" t="s">
        <v>2647</v>
      </c>
      <c r="F298" s="4" t="s">
        <v>2657</v>
      </c>
      <c r="G298" s="3"/>
      <c r="H298" s="3">
        <v>0</v>
      </c>
      <c r="I298" s="3" t="s">
        <v>5151</v>
      </c>
      <c r="J298" s="3" t="s">
        <v>2272</v>
      </c>
      <c r="K298" s="3" t="s">
        <v>2272</v>
      </c>
      <c r="L298" s="3" t="s">
        <v>2272</v>
      </c>
      <c r="M298" s="49" t="s">
        <v>2272</v>
      </c>
      <c r="N298" s="3"/>
    </row>
    <row r="299" spans="1:14" ht="33.5" customHeight="1">
      <c r="A299" s="11" t="s">
        <v>5124</v>
      </c>
      <c r="B299" s="3" t="s">
        <v>5154</v>
      </c>
      <c r="C299" s="3" t="s">
        <v>30</v>
      </c>
      <c r="D299" s="3" t="s">
        <v>29</v>
      </c>
      <c r="E299" s="4" t="s">
        <v>2647</v>
      </c>
      <c r="F299" s="4" t="s">
        <v>2657</v>
      </c>
      <c r="G299" s="3"/>
      <c r="H299" s="3">
        <v>0</v>
      </c>
      <c r="I299" s="3" t="s">
        <v>5151</v>
      </c>
      <c r="J299" s="3" t="s">
        <v>2272</v>
      </c>
      <c r="K299" s="3" t="s">
        <v>2272</v>
      </c>
      <c r="L299" s="3" t="s">
        <v>2272</v>
      </c>
      <c r="M299" s="49" t="s">
        <v>2272</v>
      </c>
      <c r="N299" s="3"/>
    </row>
    <row r="300" spans="1:14" ht="33.5" customHeight="1">
      <c r="A300" s="11" t="s">
        <v>5125</v>
      </c>
      <c r="B300" s="3" t="s">
        <v>5155</v>
      </c>
      <c r="C300" s="3" t="s">
        <v>30</v>
      </c>
      <c r="D300" s="3" t="s">
        <v>29</v>
      </c>
      <c r="E300" s="4" t="s">
        <v>2647</v>
      </c>
      <c r="F300" s="4" t="s">
        <v>2657</v>
      </c>
      <c r="G300" s="3"/>
      <c r="H300" s="3">
        <v>0</v>
      </c>
      <c r="I300" s="3" t="s">
        <v>5151</v>
      </c>
      <c r="J300" s="3" t="s">
        <v>2272</v>
      </c>
      <c r="K300" s="3" t="s">
        <v>2272</v>
      </c>
      <c r="L300" s="3" t="s">
        <v>2272</v>
      </c>
      <c r="M300" s="49" t="s">
        <v>2272</v>
      </c>
      <c r="N300" s="3"/>
    </row>
    <row r="301" spans="1:14" ht="33.5" customHeight="1">
      <c r="A301" s="11" t="s">
        <v>5126</v>
      </c>
      <c r="B301" s="3" t="s">
        <v>5156</v>
      </c>
      <c r="C301" s="3" t="s">
        <v>30</v>
      </c>
      <c r="D301" s="3" t="s">
        <v>29</v>
      </c>
      <c r="E301" s="4" t="s">
        <v>2647</v>
      </c>
      <c r="F301" s="4" t="s">
        <v>2657</v>
      </c>
      <c r="G301" s="3"/>
      <c r="H301" s="3">
        <v>0</v>
      </c>
      <c r="I301" s="3" t="s">
        <v>5151</v>
      </c>
      <c r="J301" s="3" t="s">
        <v>2272</v>
      </c>
      <c r="K301" s="3" t="s">
        <v>2272</v>
      </c>
      <c r="L301" s="3" t="s">
        <v>2272</v>
      </c>
      <c r="M301" s="49" t="s">
        <v>2272</v>
      </c>
      <c r="N301" s="3"/>
    </row>
    <row r="302" spans="1:14" ht="29">
      <c r="A302" s="3" t="s">
        <v>5184</v>
      </c>
      <c r="B302" s="11" t="s">
        <v>5187</v>
      </c>
      <c r="C302" s="4" t="s">
        <v>23</v>
      </c>
      <c r="D302" s="3" t="s">
        <v>1102</v>
      </c>
      <c r="E302" s="4" t="s">
        <v>394</v>
      </c>
      <c r="F302" s="3" t="s">
        <v>73</v>
      </c>
      <c r="G302" s="3">
        <v>2015</v>
      </c>
      <c r="H302" s="3">
        <v>0</v>
      </c>
      <c r="I302" s="4" t="s">
        <v>5201</v>
      </c>
      <c r="J302" s="3" t="s">
        <v>2272</v>
      </c>
      <c r="K302" s="3" t="s">
        <v>2272</v>
      </c>
      <c r="L302" s="3" t="s">
        <v>2272</v>
      </c>
      <c r="M302" s="49" t="s">
        <v>2272</v>
      </c>
      <c r="N302" s="3"/>
    </row>
    <row r="303" spans="1:14" ht="29">
      <c r="A303" s="3" t="s">
        <v>5184</v>
      </c>
      <c r="B303" s="11" t="s">
        <v>5188</v>
      </c>
      <c r="C303" s="4" t="s">
        <v>23</v>
      </c>
      <c r="D303" s="3" t="s">
        <v>1102</v>
      </c>
      <c r="E303" s="4" t="s">
        <v>128</v>
      </c>
      <c r="F303" s="3" t="s">
        <v>73</v>
      </c>
      <c r="G303" s="3">
        <v>2015</v>
      </c>
      <c r="H303" s="3">
        <v>0</v>
      </c>
      <c r="I303" s="4" t="s">
        <v>5201</v>
      </c>
      <c r="J303" s="3" t="s">
        <v>2272</v>
      </c>
      <c r="K303" s="3" t="s">
        <v>2272</v>
      </c>
      <c r="L303" s="3" t="s">
        <v>2272</v>
      </c>
      <c r="M303" s="49" t="s">
        <v>2272</v>
      </c>
      <c r="N303" s="3"/>
    </row>
    <row r="304" spans="1:14" ht="29">
      <c r="A304" s="3" t="s">
        <v>5184</v>
      </c>
      <c r="B304" s="11" t="s">
        <v>5189</v>
      </c>
      <c r="C304" s="4" t="s">
        <v>23</v>
      </c>
      <c r="D304" s="3" t="s">
        <v>1102</v>
      </c>
      <c r="E304" s="4" t="s">
        <v>860</v>
      </c>
      <c r="F304" s="3" t="s">
        <v>73</v>
      </c>
      <c r="G304" s="3">
        <v>2015</v>
      </c>
      <c r="H304" s="3">
        <v>0</v>
      </c>
      <c r="I304" s="4" t="s">
        <v>5201</v>
      </c>
      <c r="J304" s="3" t="s">
        <v>2272</v>
      </c>
      <c r="K304" s="3" t="s">
        <v>2272</v>
      </c>
      <c r="L304" s="3" t="s">
        <v>2272</v>
      </c>
      <c r="M304" s="49" t="s">
        <v>2272</v>
      </c>
      <c r="N304" s="3"/>
    </row>
    <row r="305" spans="1:14" ht="29">
      <c r="A305" s="4" t="s">
        <v>5203</v>
      </c>
      <c r="B305" s="19" t="s">
        <v>5210</v>
      </c>
      <c r="C305" s="4" t="s">
        <v>23</v>
      </c>
      <c r="D305" s="4" t="s">
        <v>142</v>
      </c>
      <c r="E305" s="4" t="s">
        <v>135</v>
      </c>
      <c r="F305" s="4" t="s">
        <v>54</v>
      </c>
      <c r="G305" s="3"/>
      <c r="H305" s="3">
        <v>3</v>
      </c>
      <c r="I305" s="19" t="s">
        <v>5213</v>
      </c>
      <c r="J305" s="3" t="s">
        <v>2272</v>
      </c>
      <c r="K305" s="3" t="s">
        <v>2272</v>
      </c>
      <c r="L305" s="3">
        <v>3</v>
      </c>
      <c r="M305" s="49" t="s">
        <v>5214</v>
      </c>
      <c r="N305" s="3"/>
    </row>
    <row r="306" spans="1:14" ht="35.5" customHeight="1">
      <c r="A306" s="4" t="s">
        <v>5203</v>
      </c>
      <c r="B306" s="19" t="s">
        <v>5211</v>
      </c>
      <c r="C306" s="4" t="s">
        <v>23</v>
      </c>
      <c r="D306" s="4" t="s">
        <v>404</v>
      </c>
      <c r="E306" s="4" t="s">
        <v>135</v>
      </c>
      <c r="F306" s="4" t="s">
        <v>54</v>
      </c>
      <c r="G306" s="3"/>
      <c r="H306" s="3">
        <v>3</v>
      </c>
      <c r="I306" s="19" t="s">
        <v>5213</v>
      </c>
      <c r="J306" s="3" t="s">
        <v>2272</v>
      </c>
      <c r="K306" s="3" t="s">
        <v>2272</v>
      </c>
      <c r="L306" s="3">
        <v>3</v>
      </c>
      <c r="M306" s="49" t="s">
        <v>5214</v>
      </c>
      <c r="N306" s="3"/>
    </row>
    <row r="307" spans="1:14" ht="30" customHeight="1">
      <c r="A307" s="151" t="s">
        <v>5364</v>
      </c>
      <c r="B307" s="151" t="s">
        <v>5368</v>
      </c>
      <c r="C307" s="151" t="s">
        <v>23</v>
      </c>
      <c r="D307" s="151" t="s">
        <v>1238</v>
      </c>
      <c r="E307" s="151" t="s">
        <v>114</v>
      </c>
      <c r="F307" s="151" t="s">
        <v>73</v>
      </c>
      <c r="G307" s="151"/>
      <c r="H307" s="3" t="s">
        <v>2272</v>
      </c>
      <c r="I307" s="3" t="s">
        <v>2272</v>
      </c>
      <c r="J307" s="3">
        <v>2</v>
      </c>
      <c r="K307" s="3" t="s">
        <v>5374</v>
      </c>
      <c r="L307" s="3" t="s">
        <v>2272</v>
      </c>
      <c r="M307" s="49" t="s">
        <v>2272</v>
      </c>
      <c r="N307" s="3"/>
    </row>
    <row r="308" spans="1:14" ht="42" customHeight="1">
      <c r="A308" s="179" t="s">
        <v>5364</v>
      </c>
      <c r="B308" s="179" t="s">
        <v>5369</v>
      </c>
      <c r="C308" s="179" t="s">
        <v>23</v>
      </c>
      <c r="D308" s="179" t="s">
        <v>24</v>
      </c>
      <c r="E308" s="179" t="s">
        <v>44</v>
      </c>
      <c r="F308" s="179" t="s">
        <v>54</v>
      </c>
      <c r="G308" s="179"/>
      <c r="H308" s="35">
        <v>2</v>
      </c>
      <c r="I308" s="146" t="s">
        <v>5373</v>
      </c>
      <c r="J308" s="35" t="s">
        <v>2272</v>
      </c>
      <c r="K308" s="35" t="s">
        <v>2272</v>
      </c>
      <c r="L308" s="35" t="s">
        <v>2272</v>
      </c>
      <c r="M308" s="192" t="s">
        <v>2272</v>
      </c>
      <c r="N308" s="3"/>
    </row>
    <row r="309" spans="1:14" ht="40.5" customHeight="1">
      <c r="A309" s="11" t="s">
        <v>5379</v>
      </c>
      <c r="B309" s="11" t="s">
        <v>5382</v>
      </c>
      <c r="C309" s="3" t="s">
        <v>23</v>
      </c>
      <c r="D309" s="3" t="s">
        <v>1238</v>
      </c>
      <c r="E309" s="4" t="s">
        <v>135</v>
      </c>
      <c r="F309" s="4" t="s">
        <v>2657</v>
      </c>
      <c r="G309" s="147"/>
      <c r="H309" s="3">
        <v>2</v>
      </c>
      <c r="I309" s="4" t="s">
        <v>5388</v>
      </c>
      <c r="J309" s="3" t="s">
        <v>2272</v>
      </c>
      <c r="K309" s="3" t="s">
        <v>5392</v>
      </c>
      <c r="L309" s="3">
        <v>3</v>
      </c>
      <c r="M309" s="49" t="s">
        <v>5393</v>
      </c>
      <c r="N309" s="3"/>
    </row>
    <row r="310" spans="1:14" ht="33.5" customHeight="1">
      <c r="A310" s="11" t="s">
        <v>5379</v>
      </c>
      <c r="B310" s="11" t="s">
        <v>5383</v>
      </c>
      <c r="C310" s="3" t="s">
        <v>23</v>
      </c>
      <c r="D310" s="3" t="s">
        <v>1238</v>
      </c>
      <c r="E310" s="4" t="s">
        <v>114</v>
      </c>
      <c r="F310" s="4" t="s">
        <v>2657</v>
      </c>
      <c r="G310" s="147"/>
      <c r="H310" s="3">
        <v>3</v>
      </c>
      <c r="I310" s="3" t="s">
        <v>5387</v>
      </c>
      <c r="J310" s="3">
        <v>2</v>
      </c>
      <c r="K310" s="3" t="s">
        <v>5389</v>
      </c>
      <c r="L310" s="3">
        <v>3</v>
      </c>
      <c r="M310" s="49" t="s">
        <v>5393</v>
      </c>
      <c r="N310" s="3"/>
    </row>
    <row r="311" spans="1:14" ht="36.5" customHeight="1">
      <c r="A311" s="11" t="s">
        <v>5415</v>
      </c>
      <c r="B311" s="11" t="s">
        <v>5417</v>
      </c>
      <c r="C311" s="3" t="s">
        <v>23</v>
      </c>
      <c r="D311" s="3" t="s">
        <v>1238</v>
      </c>
      <c r="E311" s="4" t="s">
        <v>135</v>
      </c>
      <c r="F311" s="4" t="s">
        <v>2657</v>
      </c>
      <c r="G311" s="147"/>
      <c r="H311" s="3">
        <v>3</v>
      </c>
      <c r="I311" s="4" t="s">
        <v>5419</v>
      </c>
      <c r="J311" s="3" t="s">
        <v>2272</v>
      </c>
      <c r="K311" s="3" t="s">
        <v>2272</v>
      </c>
      <c r="L311" s="3" t="s">
        <v>2272</v>
      </c>
      <c r="M311" s="49" t="s">
        <v>2272</v>
      </c>
      <c r="N311" s="3"/>
    </row>
    <row r="312" spans="1:14" ht="39.5" customHeight="1">
      <c r="A312" s="11" t="s">
        <v>5415</v>
      </c>
      <c r="B312" s="11" t="s">
        <v>5418</v>
      </c>
      <c r="C312" s="3" t="s">
        <v>23</v>
      </c>
      <c r="D312" s="3" t="s">
        <v>1238</v>
      </c>
      <c r="E312" s="4" t="s">
        <v>114</v>
      </c>
      <c r="F312" s="4" t="s">
        <v>2657</v>
      </c>
      <c r="G312" s="3"/>
      <c r="H312" s="3">
        <v>3</v>
      </c>
      <c r="I312" s="4" t="s">
        <v>5419</v>
      </c>
      <c r="J312" s="3" t="s">
        <v>2272</v>
      </c>
      <c r="K312" s="3" t="s">
        <v>2272</v>
      </c>
      <c r="L312" s="3" t="s">
        <v>2272</v>
      </c>
      <c r="M312" s="49" t="s">
        <v>2272</v>
      </c>
      <c r="N312" s="3"/>
    </row>
    <row r="313" spans="1:14" ht="51" customHeight="1">
      <c r="A313" s="11" t="s">
        <v>5434</v>
      </c>
      <c r="B313" s="11" t="s">
        <v>5450</v>
      </c>
      <c r="C313" s="3" t="s">
        <v>23</v>
      </c>
      <c r="D313" s="3" t="s">
        <v>1102</v>
      </c>
      <c r="E313" s="3" t="s">
        <v>128</v>
      </c>
      <c r="F313" s="3" t="s">
        <v>1102</v>
      </c>
      <c r="G313" s="3"/>
      <c r="H313" s="3">
        <v>0</v>
      </c>
      <c r="I313" s="19" t="s">
        <v>5470</v>
      </c>
      <c r="J313" s="3" t="s">
        <v>2272</v>
      </c>
      <c r="K313" s="3" t="s">
        <v>2272</v>
      </c>
      <c r="L313" s="3" t="s">
        <v>2272</v>
      </c>
      <c r="M313" s="49" t="s">
        <v>2272</v>
      </c>
      <c r="N313" s="3"/>
    </row>
    <row r="314" spans="1:14" ht="65.5" customHeight="1">
      <c r="A314" s="11" t="s">
        <v>5434</v>
      </c>
      <c r="B314" s="11" t="s">
        <v>5451</v>
      </c>
      <c r="C314" s="3" t="s">
        <v>23</v>
      </c>
      <c r="D314" s="3" t="s">
        <v>1102</v>
      </c>
      <c r="E314" s="4" t="s">
        <v>394</v>
      </c>
      <c r="F314" s="3" t="s">
        <v>1102</v>
      </c>
      <c r="G314" s="3"/>
      <c r="H314" s="3">
        <v>2</v>
      </c>
      <c r="I314" s="4" t="s">
        <v>5471</v>
      </c>
      <c r="J314" s="3">
        <v>1</v>
      </c>
      <c r="K314" s="3" t="s">
        <v>5472</v>
      </c>
      <c r="L314" s="3">
        <v>1</v>
      </c>
      <c r="M314" s="49" t="s">
        <v>5473</v>
      </c>
      <c r="N314" s="3"/>
    </row>
    <row r="315" spans="1:14" ht="51" customHeight="1">
      <c r="A315" s="11" t="s">
        <v>5437</v>
      </c>
      <c r="B315" s="11" t="s">
        <v>5477</v>
      </c>
      <c r="C315" s="3" t="s">
        <v>23</v>
      </c>
      <c r="D315" s="3" t="s">
        <v>1102</v>
      </c>
      <c r="E315" s="3" t="s">
        <v>128</v>
      </c>
      <c r="F315" s="3" t="s">
        <v>1102</v>
      </c>
      <c r="G315" s="3"/>
      <c r="H315" s="3">
        <v>0</v>
      </c>
      <c r="I315" s="19" t="s">
        <v>5470</v>
      </c>
      <c r="J315" s="3" t="s">
        <v>2272</v>
      </c>
      <c r="K315" s="3" t="s">
        <v>2272</v>
      </c>
      <c r="L315" s="3" t="s">
        <v>2272</v>
      </c>
      <c r="M315" s="49" t="s">
        <v>2272</v>
      </c>
      <c r="N315" s="3"/>
    </row>
    <row r="316" spans="1:14" ht="70" customHeight="1">
      <c r="A316" s="11" t="s">
        <v>5437</v>
      </c>
      <c r="B316" s="11" t="s">
        <v>5478</v>
      </c>
      <c r="C316" s="3" t="s">
        <v>23</v>
      </c>
      <c r="D316" s="3" t="s">
        <v>1102</v>
      </c>
      <c r="E316" s="4" t="s">
        <v>394</v>
      </c>
      <c r="F316" s="3" t="s">
        <v>1102</v>
      </c>
      <c r="G316" s="3"/>
      <c r="H316" s="3">
        <v>2</v>
      </c>
      <c r="I316" s="4" t="s">
        <v>5471</v>
      </c>
      <c r="J316" s="3">
        <v>1</v>
      </c>
      <c r="K316" s="3" t="s">
        <v>5472</v>
      </c>
      <c r="L316" s="3">
        <v>1</v>
      </c>
      <c r="M316" s="49" t="s">
        <v>5473</v>
      </c>
      <c r="N316" s="3"/>
    </row>
    <row r="317" spans="1:14" ht="51.5" customHeight="1">
      <c r="A317" s="11" t="s">
        <v>5438</v>
      </c>
      <c r="B317" s="11" t="s">
        <v>5489</v>
      </c>
      <c r="C317" s="3" t="s">
        <v>23</v>
      </c>
      <c r="D317" s="3" t="s">
        <v>1102</v>
      </c>
      <c r="E317" s="3" t="s">
        <v>128</v>
      </c>
      <c r="F317" s="3" t="s">
        <v>1102</v>
      </c>
      <c r="G317" s="3"/>
      <c r="H317" s="3">
        <v>1</v>
      </c>
      <c r="I317" s="4" t="s">
        <v>5500</v>
      </c>
      <c r="J317" s="3" t="s">
        <v>2272</v>
      </c>
      <c r="K317" s="3" t="s">
        <v>2272</v>
      </c>
      <c r="L317" s="3" t="s">
        <v>2272</v>
      </c>
      <c r="M317" s="49" t="s">
        <v>2272</v>
      </c>
      <c r="N317" s="3"/>
    </row>
    <row r="318" spans="1:14" ht="68.5" customHeight="1">
      <c r="A318" s="11" t="s">
        <v>5438</v>
      </c>
      <c r="B318" s="11" t="s">
        <v>5490</v>
      </c>
      <c r="C318" s="3" t="s">
        <v>23</v>
      </c>
      <c r="D318" s="3" t="s">
        <v>1102</v>
      </c>
      <c r="E318" s="4" t="s">
        <v>394</v>
      </c>
      <c r="F318" s="3" t="s">
        <v>1102</v>
      </c>
      <c r="G318" s="3"/>
      <c r="H318" s="3">
        <v>2</v>
      </c>
      <c r="I318" s="4" t="s">
        <v>5471</v>
      </c>
      <c r="J318" s="3">
        <v>1</v>
      </c>
      <c r="K318" s="3" t="s">
        <v>5472</v>
      </c>
      <c r="L318" s="3">
        <v>1</v>
      </c>
      <c r="M318" s="49" t="s">
        <v>5473</v>
      </c>
      <c r="N318" s="3"/>
    </row>
    <row r="319" spans="1:14" ht="45.5" customHeight="1">
      <c r="A319" s="11" t="s">
        <v>5440</v>
      </c>
      <c r="B319" s="11" t="s">
        <v>5501</v>
      </c>
      <c r="C319" s="3" t="s">
        <v>23</v>
      </c>
      <c r="D319" s="3" t="s">
        <v>1102</v>
      </c>
      <c r="E319" s="3" t="s">
        <v>128</v>
      </c>
      <c r="F319" s="3" t="s">
        <v>1102</v>
      </c>
      <c r="G319" s="3"/>
      <c r="H319" s="3">
        <v>0</v>
      </c>
      <c r="I319" s="19" t="s">
        <v>5470</v>
      </c>
      <c r="J319" s="3" t="s">
        <v>2272</v>
      </c>
      <c r="K319" s="3" t="s">
        <v>2272</v>
      </c>
      <c r="L319" s="3" t="s">
        <v>2272</v>
      </c>
      <c r="M319" s="49" t="s">
        <v>2272</v>
      </c>
      <c r="N319" s="3"/>
    </row>
    <row r="320" spans="1:14" ht="43.5">
      <c r="A320" s="11" t="s">
        <v>5440</v>
      </c>
      <c r="B320" s="11" t="s">
        <v>5502</v>
      </c>
      <c r="C320" s="3" t="s">
        <v>23</v>
      </c>
      <c r="D320" s="3" t="s">
        <v>1102</v>
      </c>
      <c r="E320" s="4" t="s">
        <v>394</v>
      </c>
      <c r="F320" s="3" t="s">
        <v>1102</v>
      </c>
      <c r="G320" s="3"/>
      <c r="H320" s="3">
        <v>2</v>
      </c>
      <c r="I320" s="4" t="s">
        <v>5471</v>
      </c>
      <c r="J320" s="3">
        <v>1</v>
      </c>
      <c r="K320" s="3" t="s">
        <v>5472</v>
      </c>
      <c r="L320" s="3">
        <v>1</v>
      </c>
      <c r="M320" s="49" t="s">
        <v>5473</v>
      </c>
      <c r="N320" s="3"/>
    </row>
    <row r="321" spans="1:14" ht="43.5">
      <c r="A321" s="11" t="s">
        <v>5439</v>
      </c>
      <c r="B321" s="11" t="s">
        <v>5511</v>
      </c>
      <c r="C321" s="3" t="s">
        <v>23</v>
      </c>
      <c r="D321" s="3" t="s">
        <v>1102</v>
      </c>
      <c r="E321" s="3" t="s">
        <v>128</v>
      </c>
      <c r="F321" s="3" t="s">
        <v>1102</v>
      </c>
      <c r="G321" s="3"/>
      <c r="H321" s="3">
        <v>1</v>
      </c>
      <c r="I321" s="4" t="s">
        <v>5500</v>
      </c>
      <c r="J321" s="3" t="s">
        <v>2272</v>
      </c>
      <c r="K321" s="3" t="s">
        <v>2272</v>
      </c>
      <c r="L321" s="3" t="s">
        <v>2272</v>
      </c>
      <c r="M321" s="49" t="s">
        <v>2272</v>
      </c>
      <c r="N321" s="3"/>
    </row>
    <row r="322" spans="1:14" ht="43.5">
      <c r="A322" s="11" t="s">
        <v>5439</v>
      </c>
      <c r="B322" s="11" t="s">
        <v>5512</v>
      </c>
      <c r="C322" s="3" t="s">
        <v>23</v>
      </c>
      <c r="D322" s="3" t="s">
        <v>1102</v>
      </c>
      <c r="E322" s="4" t="s">
        <v>394</v>
      </c>
      <c r="F322" s="3" t="s">
        <v>1102</v>
      </c>
      <c r="G322" s="3"/>
      <c r="H322" s="3">
        <v>2</v>
      </c>
      <c r="I322" s="4" t="s">
        <v>5471</v>
      </c>
      <c r="J322" s="3">
        <v>1</v>
      </c>
      <c r="K322" s="3" t="s">
        <v>5472</v>
      </c>
      <c r="L322" s="3">
        <v>1</v>
      </c>
      <c r="M322" s="49" t="s">
        <v>5473</v>
      </c>
      <c r="N322" s="3"/>
    </row>
    <row r="323" spans="1:14" ht="34.5" customHeight="1">
      <c r="A323" s="11" t="s">
        <v>5572</v>
      </c>
      <c r="B323" s="11" t="s">
        <v>5576</v>
      </c>
      <c r="C323" s="3" t="s">
        <v>1102</v>
      </c>
      <c r="D323" s="3" t="s">
        <v>1102</v>
      </c>
      <c r="E323" s="4" t="s">
        <v>2646</v>
      </c>
      <c r="F323" t="s">
        <v>54</v>
      </c>
      <c r="G323" s="3"/>
      <c r="H323" s="3" t="s">
        <v>2272</v>
      </c>
      <c r="I323" s="3" t="s">
        <v>2272</v>
      </c>
      <c r="J323" s="3">
        <v>2</v>
      </c>
      <c r="K323" s="4" t="s">
        <v>5578</v>
      </c>
      <c r="L323" s="3" t="s">
        <v>2272</v>
      </c>
      <c r="M323" s="49" t="s">
        <v>2272</v>
      </c>
      <c r="N323" s="3"/>
    </row>
    <row r="324" spans="1:14" ht="54.5" customHeight="1">
      <c r="A324" s="11" t="s">
        <v>5572</v>
      </c>
      <c r="B324" s="11" t="s">
        <v>5577</v>
      </c>
      <c r="C324" s="3" t="s">
        <v>1102</v>
      </c>
      <c r="D324" s="3" t="s">
        <v>1102</v>
      </c>
      <c r="E324" s="4" t="s">
        <v>395</v>
      </c>
      <c r="F324" s="3" t="s">
        <v>54</v>
      </c>
      <c r="G324" s="3"/>
      <c r="H324" s="3" t="s">
        <v>2272</v>
      </c>
      <c r="I324" s="3" t="s">
        <v>2272</v>
      </c>
      <c r="J324" s="3">
        <v>2</v>
      </c>
      <c r="K324" s="4" t="s">
        <v>5578</v>
      </c>
      <c r="L324" s="3" t="s">
        <v>2272</v>
      </c>
      <c r="M324" s="49" t="s">
        <v>2272</v>
      </c>
      <c r="N324" s="3"/>
    </row>
    <row r="325" spans="1:14" ht="49.5" customHeight="1">
      <c r="A325" s="11" t="s">
        <v>5593</v>
      </c>
      <c r="B325" s="11" t="s">
        <v>5597</v>
      </c>
      <c r="C325" s="3" t="s">
        <v>23</v>
      </c>
      <c r="D325" s="3" t="s">
        <v>1102</v>
      </c>
      <c r="E325" s="3" t="s">
        <v>128</v>
      </c>
      <c r="F325" s="3" t="s">
        <v>1102</v>
      </c>
      <c r="G325" s="3"/>
      <c r="H325" s="3">
        <v>1</v>
      </c>
      <c r="I325" s="4" t="s">
        <v>5609</v>
      </c>
      <c r="J325" s="3">
        <v>1</v>
      </c>
      <c r="K325" s="4" t="s">
        <v>5611</v>
      </c>
      <c r="L325" s="3">
        <v>1</v>
      </c>
      <c r="M325" s="45" t="s">
        <v>5610</v>
      </c>
      <c r="N325" s="3"/>
    </row>
    <row r="326" spans="1:14" ht="49.5" customHeight="1">
      <c r="A326" s="11" t="s">
        <v>5594</v>
      </c>
      <c r="B326" s="11" t="s">
        <v>5598</v>
      </c>
      <c r="C326" s="3" t="s">
        <v>23</v>
      </c>
      <c r="D326" s="3" t="s">
        <v>1102</v>
      </c>
      <c r="E326" s="3" t="s">
        <v>128</v>
      </c>
      <c r="F326" s="3" t="s">
        <v>1102</v>
      </c>
      <c r="G326" s="3"/>
      <c r="H326" s="3">
        <v>1</v>
      </c>
      <c r="I326" s="4" t="s">
        <v>5609</v>
      </c>
      <c r="J326" s="3">
        <v>1</v>
      </c>
      <c r="K326" s="4" t="s">
        <v>5611</v>
      </c>
      <c r="L326" s="3">
        <v>1</v>
      </c>
      <c r="M326" s="45" t="s">
        <v>5610</v>
      </c>
      <c r="N326" s="3"/>
    </row>
    <row r="327" spans="1:14" ht="49.5" customHeight="1">
      <c r="A327" s="11" t="s">
        <v>5593</v>
      </c>
      <c r="B327" s="11" t="s">
        <v>5599</v>
      </c>
      <c r="C327" s="3" t="s">
        <v>23</v>
      </c>
      <c r="D327" s="3" t="s">
        <v>1102</v>
      </c>
      <c r="E327" s="147" t="s">
        <v>44</v>
      </c>
      <c r="F327" s="3" t="s">
        <v>1102</v>
      </c>
      <c r="G327" s="3"/>
      <c r="H327" s="3">
        <v>1</v>
      </c>
      <c r="I327" s="4" t="s">
        <v>5609</v>
      </c>
      <c r="J327" s="3">
        <v>1</v>
      </c>
      <c r="K327" s="4" t="s">
        <v>5611</v>
      </c>
      <c r="L327" s="3">
        <v>1</v>
      </c>
      <c r="M327" s="45" t="s">
        <v>5610</v>
      </c>
      <c r="N327" s="3"/>
    </row>
    <row r="328" spans="1:14" ht="49.5" customHeight="1">
      <c r="A328" s="11" t="s">
        <v>5594</v>
      </c>
      <c r="B328" s="11" t="s">
        <v>5600</v>
      </c>
      <c r="C328" s="3" t="s">
        <v>23</v>
      </c>
      <c r="D328" s="3" t="s">
        <v>1102</v>
      </c>
      <c r="E328" s="147" t="s">
        <v>44</v>
      </c>
      <c r="F328" s="3" t="s">
        <v>1102</v>
      </c>
      <c r="G328" s="3"/>
      <c r="H328" s="3">
        <v>1</v>
      </c>
      <c r="I328" s="4" t="s">
        <v>5609</v>
      </c>
      <c r="J328" s="3">
        <v>1</v>
      </c>
      <c r="K328" s="4" t="s">
        <v>5611</v>
      </c>
      <c r="L328" s="3">
        <v>1</v>
      </c>
      <c r="M328" s="45" t="s">
        <v>5610</v>
      </c>
      <c r="N328" s="3"/>
    </row>
    <row r="329" spans="1:14" ht="34.5" customHeight="1">
      <c r="A329" s="11" t="s">
        <v>5593</v>
      </c>
      <c r="B329" s="11" t="s">
        <v>5601</v>
      </c>
      <c r="C329" s="3" t="s">
        <v>1102</v>
      </c>
      <c r="D329" s="3" t="s">
        <v>1102</v>
      </c>
      <c r="E329" s="4" t="s">
        <v>3204</v>
      </c>
      <c r="F329" s="3" t="s">
        <v>1102</v>
      </c>
      <c r="G329" s="3"/>
      <c r="H329" s="3" t="s">
        <v>2272</v>
      </c>
      <c r="I329" s="3" t="s">
        <v>2272</v>
      </c>
      <c r="J329" s="3" t="s">
        <v>2272</v>
      </c>
      <c r="K329" s="3" t="s">
        <v>2272</v>
      </c>
      <c r="L329" s="3">
        <v>1</v>
      </c>
      <c r="M329" s="45" t="s">
        <v>5618</v>
      </c>
      <c r="N329" s="3"/>
    </row>
    <row r="330" spans="1:14" ht="34.5" customHeight="1">
      <c r="A330" s="11" t="s">
        <v>5594</v>
      </c>
      <c r="B330" s="11" t="s">
        <v>5602</v>
      </c>
      <c r="C330" s="3" t="s">
        <v>1102</v>
      </c>
      <c r="D330" s="3" t="s">
        <v>1102</v>
      </c>
      <c r="E330" s="4" t="s">
        <v>3204</v>
      </c>
      <c r="F330" s="3" t="s">
        <v>1102</v>
      </c>
      <c r="G330" s="3"/>
      <c r="H330" s="3" t="s">
        <v>2272</v>
      </c>
      <c r="I330" s="3" t="s">
        <v>2272</v>
      </c>
      <c r="J330" s="3">
        <v>2</v>
      </c>
      <c r="K330" s="4" t="s">
        <v>5617</v>
      </c>
      <c r="L330" s="3" t="s">
        <v>2272</v>
      </c>
      <c r="M330" s="49" t="s">
        <v>2272</v>
      </c>
      <c r="N330" s="3"/>
    </row>
    <row r="331" spans="1:14" ht="39" customHeight="1">
      <c r="A331" s="19" t="s">
        <v>5670</v>
      </c>
      <c r="B331" s="19" t="s">
        <v>5673</v>
      </c>
      <c r="C331" s="3" t="s">
        <v>1102</v>
      </c>
      <c r="D331" s="3" t="s">
        <v>1102</v>
      </c>
      <c r="E331" s="4" t="s">
        <v>135</v>
      </c>
      <c r="F331" s="3" t="s">
        <v>73</v>
      </c>
      <c r="G331" s="3"/>
      <c r="H331" s="3" t="s">
        <v>2272</v>
      </c>
      <c r="I331" s="3" t="s">
        <v>2272</v>
      </c>
      <c r="J331" s="3">
        <v>3</v>
      </c>
      <c r="K331" s="4" t="s">
        <v>5676</v>
      </c>
      <c r="L331" s="3" t="s">
        <v>2272</v>
      </c>
      <c r="M331" s="49" t="s">
        <v>2272</v>
      </c>
      <c r="N331" s="3"/>
    </row>
    <row r="332" spans="1:14" ht="32.5" customHeight="1">
      <c r="A332" s="19" t="s">
        <v>5670</v>
      </c>
      <c r="B332" s="19" t="s">
        <v>5674</v>
      </c>
      <c r="C332" s="3" t="s">
        <v>1102</v>
      </c>
      <c r="D332" s="3" t="s">
        <v>1102</v>
      </c>
      <c r="E332" s="4" t="s">
        <v>2644</v>
      </c>
      <c r="F332" s="3" t="s">
        <v>73</v>
      </c>
      <c r="G332" s="3"/>
      <c r="H332" s="3" t="s">
        <v>2272</v>
      </c>
      <c r="I332" s="3" t="s">
        <v>2272</v>
      </c>
      <c r="J332" s="3">
        <v>3</v>
      </c>
      <c r="K332" s="4" t="s">
        <v>5676</v>
      </c>
      <c r="L332" s="3" t="s">
        <v>2272</v>
      </c>
      <c r="M332" s="49" t="s">
        <v>2272</v>
      </c>
      <c r="N332" s="3"/>
    </row>
    <row r="333" spans="1:14" ht="29">
      <c r="A333" s="19" t="s">
        <v>5678</v>
      </c>
      <c r="B333" s="19" t="s">
        <v>5680</v>
      </c>
      <c r="C333" s="3" t="s">
        <v>23</v>
      </c>
      <c r="D333" s="3" t="s">
        <v>404</v>
      </c>
      <c r="E333" s="3" t="s">
        <v>114</v>
      </c>
      <c r="F333" s="4" t="s">
        <v>73</v>
      </c>
      <c r="G333" s="3"/>
      <c r="H333" s="3">
        <v>2</v>
      </c>
      <c r="I333" s="19" t="s">
        <v>5685</v>
      </c>
      <c r="J333" s="3" t="s">
        <v>2272</v>
      </c>
      <c r="K333" s="3" t="s">
        <v>2272</v>
      </c>
      <c r="L333" s="3" t="s">
        <v>2272</v>
      </c>
      <c r="M333" s="49" t="s">
        <v>2272</v>
      </c>
      <c r="N333" s="3"/>
    </row>
    <row r="334" spans="1:14" ht="29">
      <c r="A334" s="19" t="s">
        <v>5678</v>
      </c>
      <c r="B334" s="19" t="s">
        <v>5681</v>
      </c>
      <c r="C334" s="3" t="s">
        <v>23</v>
      </c>
      <c r="D334" s="3" t="s">
        <v>3475</v>
      </c>
      <c r="E334" s="3" t="s">
        <v>114</v>
      </c>
      <c r="F334" s="4" t="s">
        <v>73</v>
      </c>
      <c r="G334" s="3"/>
      <c r="H334" s="3">
        <v>2</v>
      </c>
      <c r="I334" s="19" t="s">
        <v>5685</v>
      </c>
      <c r="J334" s="3" t="s">
        <v>2272</v>
      </c>
      <c r="K334" s="3" t="s">
        <v>2272</v>
      </c>
      <c r="L334" s="3" t="s">
        <v>2272</v>
      </c>
      <c r="M334" s="49" t="s">
        <v>2272</v>
      </c>
      <c r="N334" s="3"/>
    </row>
    <row r="335" spans="1:14" ht="32.5" customHeight="1">
      <c r="A335" s="3" t="s">
        <v>5687</v>
      </c>
      <c r="B335" s="19" t="s">
        <v>5692</v>
      </c>
      <c r="C335" s="3" t="s">
        <v>23</v>
      </c>
      <c r="D335" s="3" t="s">
        <v>26</v>
      </c>
      <c r="E335" s="3" t="s">
        <v>128</v>
      </c>
      <c r="F335" s="4" t="s">
        <v>73</v>
      </c>
      <c r="G335" s="3"/>
      <c r="H335" s="3">
        <v>1</v>
      </c>
      <c r="I335" s="19" t="s">
        <v>5705</v>
      </c>
      <c r="J335" s="3" t="s">
        <v>2272</v>
      </c>
      <c r="K335" s="3" t="s">
        <v>2272</v>
      </c>
      <c r="L335" s="3" t="s">
        <v>2272</v>
      </c>
      <c r="M335" s="49" t="s">
        <v>2272</v>
      </c>
      <c r="N335" s="3"/>
    </row>
    <row r="336" spans="1:14" ht="32.5" customHeight="1">
      <c r="A336" s="3" t="s">
        <v>5687</v>
      </c>
      <c r="B336" s="19" t="s">
        <v>5693</v>
      </c>
      <c r="C336" s="3" t="s">
        <v>23</v>
      </c>
      <c r="D336" s="3" t="s">
        <v>24</v>
      </c>
      <c r="E336" s="3" t="s">
        <v>44</v>
      </c>
      <c r="F336" s="4" t="s">
        <v>54</v>
      </c>
      <c r="G336" s="3"/>
      <c r="H336" s="3">
        <v>1</v>
      </c>
      <c r="I336" s="19" t="s">
        <v>5704</v>
      </c>
      <c r="J336" s="3">
        <v>1</v>
      </c>
      <c r="K336" s="19" t="s">
        <v>5706</v>
      </c>
      <c r="L336" s="3" t="s">
        <v>2272</v>
      </c>
      <c r="M336" s="49" t="s">
        <v>2272</v>
      </c>
      <c r="N336" s="3"/>
    </row>
    <row r="337" spans="1:14" ht="28" customHeight="1">
      <c r="A337" s="19" t="s">
        <v>5733</v>
      </c>
      <c r="B337" s="19" t="s">
        <v>5740</v>
      </c>
      <c r="C337" s="3" t="s">
        <v>23</v>
      </c>
      <c r="D337" s="3" t="s">
        <v>1102</v>
      </c>
      <c r="E337" s="3" t="s">
        <v>44</v>
      </c>
      <c r="F337" s="4" t="s">
        <v>2272</v>
      </c>
      <c r="G337" s="3"/>
      <c r="H337" s="3">
        <v>1</v>
      </c>
      <c r="I337" s="19" t="s">
        <v>5747</v>
      </c>
      <c r="J337" s="3" t="s">
        <v>2272</v>
      </c>
      <c r="K337" s="3" t="s">
        <v>5771</v>
      </c>
      <c r="L337" s="3">
        <v>1</v>
      </c>
      <c r="M337" s="190" t="s">
        <v>5748</v>
      </c>
      <c r="N337" s="3"/>
    </row>
    <row r="338" spans="1:14" ht="28" customHeight="1">
      <c r="A338" s="19" t="s">
        <v>5737</v>
      </c>
      <c r="B338" s="19" t="s">
        <v>5741</v>
      </c>
      <c r="C338" s="3" t="s">
        <v>23</v>
      </c>
      <c r="D338" s="3" t="s">
        <v>1102</v>
      </c>
      <c r="E338" s="3" t="s">
        <v>44</v>
      </c>
      <c r="F338" s="4" t="s">
        <v>2272</v>
      </c>
      <c r="G338" s="3"/>
      <c r="H338" s="3">
        <v>1</v>
      </c>
      <c r="I338" s="19" t="s">
        <v>5747</v>
      </c>
      <c r="J338" s="3" t="s">
        <v>2272</v>
      </c>
      <c r="K338" s="3" t="s">
        <v>5771</v>
      </c>
      <c r="L338" s="3">
        <v>1</v>
      </c>
      <c r="M338" s="190" t="s">
        <v>5748</v>
      </c>
      <c r="N338" s="3"/>
    </row>
    <row r="339" spans="1:14" ht="28" customHeight="1">
      <c r="A339" s="19" t="s">
        <v>5738</v>
      </c>
      <c r="B339" s="19" t="s">
        <v>5742</v>
      </c>
      <c r="C339" s="3" t="s">
        <v>23</v>
      </c>
      <c r="D339" s="3" t="s">
        <v>1102</v>
      </c>
      <c r="E339" s="3" t="s">
        <v>44</v>
      </c>
      <c r="F339" s="4" t="s">
        <v>2272</v>
      </c>
      <c r="G339" s="3"/>
      <c r="H339" s="3">
        <v>1</v>
      </c>
      <c r="I339" s="19" t="s">
        <v>5747</v>
      </c>
      <c r="J339" s="3" t="s">
        <v>2272</v>
      </c>
      <c r="K339" s="3" t="s">
        <v>5771</v>
      </c>
      <c r="L339" s="3">
        <v>1</v>
      </c>
      <c r="M339" s="190" t="s">
        <v>5748</v>
      </c>
      <c r="N339" s="3"/>
    </row>
    <row r="340" spans="1:14" ht="42" customHeight="1">
      <c r="A340" s="19" t="s">
        <v>5733</v>
      </c>
      <c r="B340" s="19" t="s">
        <v>5744</v>
      </c>
      <c r="C340" s="3" t="s">
        <v>23</v>
      </c>
      <c r="D340" s="3" t="s">
        <v>1102</v>
      </c>
      <c r="E340" s="4" t="s">
        <v>395</v>
      </c>
      <c r="F340" s="4" t="s">
        <v>2272</v>
      </c>
      <c r="G340" s="3"/>
      <c r="H340" s="3">
        <v>1</v>
      </c>
      <c r="I340" s="19" t="s">
        <v>5747</v>
      </c>
      <c r="J340" s="3">
        <v>1</v>
      </c>
      <c r="K340" s="3" t="s">
        <v>5753</v>
      </c>
      <c r="L340" s="3">
        <v>1</v>
      </c>
      <c r="M340" s="190" t="s">
        <v>5748</v>
      </c>
      <c r="N340" s="3"/>
    </row>
    <row r="341" spans="1:14" ht="42" customHeight="1">
      <c r="A341" s="19" t="s">
        <v>5737</v>
      </c>
      <c r="B341" s="19" t="s">
        <v>5745</v>
      </c>
      <c r="C341" s="3" t="s">
        <v>23</v>
      </c>
      <c r="D341" s="3" t="s">
        <v>1102</v>
      </c>
      <c r="E341" s="4" t="s">
        <v>395</v>
      </c>
      <c r="F341" s="4" t="s">
        <v>2272</v>
      </c>
      <c r="G341" s="3"/>
      <c r="H341" s="3">
        <v>1</v>
      </c>
      <c r="I341" s="19" t="s">
        <v>5747</v>
      </c>
      <c r="J341" s="3">
        <v>1</v>
      </c>
      <c r="K341" s="3" t="s">
        <v>5753</v>
      </c>
      <c r="L341" s="3">
        <v>1</v>
      </c>
      <c r="M341" s="190" t="s">
        <v>5748</v>
      </c>
      <c r="N341" s="3"/>
    </row>
    <row r="342" spans="1:14" ht="42" customHeight="1">
      <c r="A342" s="19" t="s">
        <v>5738</v>
      </c>
      <c r="B342" s="19" t="s">
        <v>5746</v>
      </c>
      <c r="C342" s="3" t="s">
        <v>23</v>
      </c>
      <c r="D342" s="3" t="s">
        <v>1102</v>
      </c>
      <c r="E342" s="4" t="s">
        <v>395</v>
      </c>
      <c r="F342" s="4" t="s">
        <v>2272</v>
      </c>
      <c r="G342" s="3"/>
      <c r="H342" s="3">
        <v>1</v>
      </c>
      <c r="I342" s="19" t="s">
        <v>5747</v>
      </c>
      <c r="J342" s="3">
        <v>1</v>
      </c>
      <c r="K342" s="3" t="s">
        <v>5753</v>
      </c>
      <c r="L342" s="3">
        <v>1</v>
      </c>
      <c r="M342" s="190" t="s">
        <v>5748</v>
      </c>
      <c r="N342" s="3"/>
    </row>
    <row r="343" spans="1:14" ht="32" customHeight="1">
      <c r="A343" s="19" t="s">
        <v>5733</v>
      </c>
      <c r="B343" s="19" t="s">
        <v>5740</v>
      </c>
      <c r="C343" s="3" t="s">
        <v>1102</v>
      </c>
      <c r="D343" s="3" t="s">
        <v>1102</v>
      </c>
      <c r="E343" s="4" t="s">
        <v>3204</v>
      </c>
      <c r="F343" s="3" t="s">
        <v>73</v>
      </c>
      <c r="G343" s="3">
        <v>1950</v>
      </c>
      <c r="H343" s="3"/>
      <c r="I343" s="3" t="s">
        <v>2272</v>
      </c>
      <c r="J343" s="3" t="s">
        <v>2272</v>
      </c>
      <c r="K343" s="3" t="s">
        <v>2272</v>
      </c>
      <c r="L343" s="3">
        <v>3</v>
      </c>
      <c r="M343" s="46" t="s">
        <v>5785</v>
      </c>
      <c r="N343" s="3"/>
    </row>
    <row r="344" spans="1:14" ht="32" customHeight="1">
      <c r="A344" s="19" t="s">
        <v>5733</v>
      </c>
      <c r="B344" s="19" t="s">
        <v>5744</v>
      </c>
      <c r="C344" s="3" t="s">
        <v>1102</v>
      </c>
      <c r="D344" s="3" t="s">
        <v>1102</v>
      </c>
      <c r="E344" s="4" t="s">
        <v>3204</v>
      </c>
      <c r="F344" s="3" t="s">
        <v>73</v>
      </c>
      <c r="G344" s="3">
        <v>1984</v>
      </c>
      <c r="H344" s="3"/>
      <c r="I344" s="3" t="s">
        <v>2272</v>
      </c>
      <c r="J344" s="3" t="s">
        <v>2272</v>
      </c>
      <c r="K344" s="3" t="s">
        <v>2272</v>
      </c>
      <c r="L344" s="3">
        <v>0</v>
      </c>
      <c r="M344" s="46" t="s">
        <v>5786</v>
      </c>
      <c r="N344" s="3"/>
    </row>
    <row r="345" spans="1:14" ht="38.5" customHeight="1">
      <c r="A345" s="3" t="s">
        <v>5733</v>
      </c>
      <c r="B345" s="19" t="s">
        <v>5749</v>
      </c>
      <c r="C345" s="3" t="s">
        <v>1102</v>
      </c>
      <c r="D345" s="3" t="s">
        <v>1102</v>
      </c>
      <c r="E345" s="4" t="s">
        <v>3204</v>
      </c>
      <c r="F345" s="3" t="s">
        <v>73</v>
      </c>
      <c r="G345" s="3">
        <v>2004</v>
      </c>
      <c r="H345" s="3"/>
      <c r="I345" s="3" t="s">
        <v>2272</v>
      </c>
      <c r="J345" s="3" t="s">
        <v>2272</v>
      </c>
      <c r="K345" s="3" t="s">
        <v>2272</v>
      </c>
      <c r="L345" s="3">
        <v>2</v>
      </c>
      <c r="M345" s="46" t="s">
        <v>5787</v>
      </c>
      <c r="N345" s="3"/>
    </row>
    <row r="346" spans="1:14" ht="33.5" customHeight="1">
      <c r="A346" s="19" t="s">
        <v>5737</v>
      </c>
      <c r="B346" s="19" t="s">
        <v>5741</v>
      </c>
      <c r="C346" s="3" t="s">
        <v>1102</v>
      </c>
      <c r="D346" s="3" t="s">
        <v>1102</v>
      </c>
      <c r="E346" s="4" t="s">
        <v>3204</v>
      </c>
      <c r="F346" s="3" t="s">
        <v>73</v>
      </c>
      <c r="G346" s="3">
        <v>1950</v>
      </c>
      <c r="H346" s="3"/>
      <c r="I346" s="3" t="s">
        <v>2272</v>
      </c>
      <c r="J346" s="3" t="s">
        <v>2272</v>
      </c>
      <c r="K346" s="3" t="s">
        <v>2272</v>
      </c>
      <c r="L346" s="3">
        <v>3</v>
      </c>
      <c r="M346" s="46" t="s">
        <v>5785</v>
      </c>
      <c r="N346" s="3"/>
    </row>
    <row r="347" spans="1:14" ht="33.5" customHeight="1">
      <c r="A347" s="19" t="s">
        <v>5737</v>
      </c>
      <c r="B347" s="19" t="s">
        <v>5745</v>
      </c>
      <c r="C347" s="3" t="s">
        <v>1102</v>
      </c>
      <c r="D347" s="3" t="s">
        <v>1102</v>
      </c>
      <c r="E347" s="4" t="s">
        <v>3204</v>
      </c>
      <c r="F347" s="3" t="s">
        <v>73</v>
      </c>
      <c r="G347" s="3">
        <v>1984</v>
      </c>
      <c r="H347" s="3"/>
      <c r="I347" s="3" t="s">
        <v>2272</v>
      </c>
      <c r="J347" s="3" t="s">
        <v>2272</v>
      </c>
      <c r="K347" s="3" t="s">
        <v>2272</v>
      </c>
      <c r="L347" s="3">
        <v>0</v>
      </c>
      <c r="M347" s="46" t="s">
        <v>5786</v>
      </c>
      <c r="N347" s="3"/>
    </row>
    <row r="348" spans="1:14" ht="33.5" customHeight="1">
      <c r="A348" s="19" t="s">
        <v>5737</v>
      </c>
      <c r="B348" s="19" t="s">
        <v>5750</v>
      </c>
      <c r="C348" s="3" t="s">
        <v>1102</v>
      </c>
      <c r="D348" s="3" t="s">
        <v>1102</v>
      </c>
      <c r="E348" s="4" t="s">
        <v>3204</v>
      </c>
      <c r="F348" s="3" t="s">
        <v>73</v>
      </c>
      <c r="G348" s="3">
        <v>2004</v>
      </c>
      <c r="H348" s="3"/>
      <c r="I348" s="3" t="s">
        <v>2272</v>
      </c>
      <c r="J348" s="3" t="s">
        <v>2272</v>
      </c>
      <c r="K348" s="3" t="s">
        <v>2272</v>
      </c>
      <c r="L348" s="3">
        <v>2</v>
      </c>
      <c r="M348" s="46" t="s">
        <v>5787</v>
      </c>
      <c r="N348" s="3"/>
    </row>
    <row r="349" spans="1:14" ht="31" customHeight="1">
      <c r="A349" s="19" t="s">
        <v>5791</v>
      </c>
      <c r="B349" s="19" t="s">
        <v>5796</v>
      </c>
      <c r="C349" s="3" t="s">
        <v>23</v>
      </c>
      <c r="D349" s="3" t="s">
        <v>1102</v>
      </c>
      <c r="E349" s="4" t="s">
        <v>394</v>
      </c>
      <c r="F349" s="3" t="s">
        <v>2272</v>
      </c>
      <c r="G349" s="3"/>
      <c r="H349" s="3">
        <v>2</v>
      </c>
      <c r="I349" s="19" t="s">
        <v>5804</v>
      </c>
      <c r="J349" s="3">
        <v>2</v>
      </c>
      <c r="K349" s="11" t="s">
        <v>5805</v>
      </c>
      <c r="L349" s="3" t="s">
        <v>2272</v>
      </c>
      <c r="M349" s="49" t="s">
        <v>2272</v>
      </c>
      <c r="N349" s="3"/>
    </row>
    <row r="350" spans="1:14" ht="31.5" customHeight="1">
      <c r="A350" s="19" t="s">
        <v>5791</v>
      </c>
      <c r="B350" s="19" t="s">
        <v>5797</v>
      </c>
      <c r="C350" s="3" t="s">
        <v>2653</v>
      </c>
      <c r="D350" s="3" t="s">
        <v>1102</v>
      </c>
      <c r="E350" s="4" t="s">
        <v>5795</v>
      </c>
      <c r="F350" s="4" t="s">
        <v>2657</v>
      </c>
      <c r="G350" s="3"/>
      <c r="H350" s="3">
        <v>0</v>
      </c>
      <c r="I350" s="11" t="s">
        <v>5806</v>
      </c>
      <c r="J350" s="3">
        <v>0</v>
      </c>
      <c r="K350" s="11" t="s">
        <v>5806</v>
      </c>
      <c r="L350" s="3">
        <v>0</v>
      </c>
      <c r="M350" s="190" t="s">
        <v>5806</v>
      </c>
      <c r="N350" s="3"/>
    </row>
    <row r="351" spans="1:14" ht="33.5" customHeight="1">
      <c r="A351" s="19" t="s">
        <v>5791</v>
      </c>
      <c r="B351" s="19" t="s">
        <v>5798</v>
      </c>
      <c r="C351" s="3" t="s">
        <v>1102</v>
      </c>
      <c r="D351" s="3" t="s">
        <v>1102</v>
      </c>
      <c r="E351" s="4" t="s">
        <v>3204</v>
      </c>
      <c r="F351" s="3" t="s">
        <v>2272</v>
      </c>
      <c r="G351" s="3"/>
      <c r="H351" s="3" t="s">
        <v>2272</v>
      </c>
      <c r="I351" s="3" t="s">
        <v>2272</v>
      </c>
      <c r="J351" s="3" t="s">
        <v>2272</v>
      </c>
      <c r="K351" s="3" t="s">
        <v>2272</v>
      </c>
      <c r="L351" s="3">
        <v>3</v>
      </c>
      <c r="M351" s="46" t="s">
        <v>5807</v>
      </c>
      <c r="N351" s="3"/>
    </row>
    <row r="352" spans="1:14" ht="54.5" customHeight="1">
      <c r="A352" s="19" t="s">
        <v>5856</v>
      </c>
      <c r="B352" s="19" t="s">
        <v>5878</v>
      </c>
      <c r="C352" s="3" t="s">
        <v>23</v>
      </c>
      <c r="D352" s="3" t="s">
        <v>1102</v>
      </c>
      <c r="E352" s="4" t="s">
        <v>44</v>
      </c>
      <c r="F352" s="3" t="s">
        <v>2272</v>
      </c>
      <c r="G352" s="3"/>
      <c r="H352" s="3">
        <v>1</v>
      </c>
      <c r="I352" s="4" t="s">
        <v>5885</v>
      </c>
      <c r="J352" s="3">
        <v>1</v>
      </c>
      <c r="K352" s="4" t="s">
        <v>5886</v>
      </c>
      <c r="L352" s="3" t="s">
        <v>2272</v>
      </c>
      <c r="M352" s="49" t="s">
        <v>2272</v>
      </c>
      <c r="N352" s="3"/>
    </row>
    <row r="353" spans="1:14" ht="54.5" customHeight="1">
      <c r="A353" s="19" t="s">
        <v>5856</v>
      </c>
      <c r="B353" s="19" t="s">
        <v>5879</v>
      </c>
      <c r="C353" s="3" t="s">
        <v>23</v>
      </c>
      <c r="D353" s="3" t="s">
        <v>2989</v>
      </c>
      <c r="E353" s="4" t="s">
        <v>2647</v>
      </c>
      <c r="F353" s="3" t="s">
        <v>2272</v>
      </c>
      <c r="G353" s="3"/>
      <c r="H353" s="3">
        <v>1</v>
      </c>
      <c r="I353" s="4" t="s">
        <v>5885</v>
      </c>
      <c r="J353" s="3">
        <v>1</v>
      </c>
      <c r="K353" s="4" t="s">
        <v>5886</v>
      </c>
      <c r="L353" s="3" t="s">
        <v>2272</v>
      </c>
      <c r="M353" s="49" t="s">
        <v>2272</v>
      </c>
      <c r="N353" s="3"/>
    </row>
    <row r="354" spans="1:14" ht="48" customHeight="1">
      <c r="A354" s="19" t="s">
        <v>5856</v>
      </c>
      <c r="B354" s="19" t="s">
        <v>5880</v>
      </c>
      <c r="C354" s="3" t="s">
        <v>1102</v>
      </c>
      <c r="D354" s="3" t="s">
        <v>1102</v>
      </c>
      <c r="E354" s="4" t="s">
        <v>3204</v>
      </c>
      <c r="F354" s="3" t="s">
        <v>2272</v>
      </c>
      <c r="G354" s="3"/>
      <c r="H354" s="3" t="s">
        <v>2272</v>
      </c>
      <c r="I354" s="3" t="s">
        <v>2272</v>
      </c>
      <c r="J354" s="3" t="s">
        <v>2272</v>
      </c>
      <c r="K354" s="3" t="s">
        <v>2272</v>
      </c>
      <c r="L354" s="3">
        <v>3</v>
      </c>
      <c r="M354" s="46" t="s">
        <v>5888</v>
      </c>
      <c r="N354" s="3"/>
    </row>
    <row r="355" spans="1:14" ht="33" customHeight="1">
      <c r="A355" s="147" t="s">
        <v>5903</v>
      </c>
      <c r="B355" s="147" t="s">
        <v>5906</v>
      </c>
      <c r="C355" s="3" t="s">
        <v>2453</v>
      </c>
      <c r="D355" s="3" t="s">
        <v>1102</v>
      </c>
      <c r="E355" s="4" t="s">
        <v>135</v>
      </c>
      <c r="F355" s="3" t="s">
        <v>2272</v>
      </c>
      <c r="G355" s="3"/>
      <c r="H355" s="3" t="s">
        <v>2272</v>
      </c>
      <c r="I355" s="3" t="s">
        <v>2272</v>
      </c>
      <c r="J355" s="3" t="s">
        <v>2272</v>
      </c>
      <c r="K355" s="3" t="s">
        <v>2272</v>
      </c>
      <c r="L355" s="3">
        <v>2</v>
      </c>
      <c r="M355" s="45" t="s">
        <v>5921</v>
      </c>
      <c r="N355" s="3"/>
    </row>
    <row r="356" spans="1:14" ht="41.5" customHeight="1">
      <c r="A356" s="186" t="s">
        <v>5926</v>
      </c>
      <c r="B356" s="186" t="s">
        <v>5928</v>
      </c>
      <c r="C356" s="3" t="s">
        <v>23</v>
      </c>
      <c r="D356" s="3" t="s">
        <v>1102</v>
      </c>
      <c r="E356" s="4" t="s">
        <v>114</v>
      </c>
      <c r="F356" s="4" t="s">
        <v>2657</v>
      </c>
      <c r="G356" s="3"/>
      <c r="H356" s="3">
        <v>2</v>
      </c>
      <c r="I356" s="19" t="s">
        <v>5936</v>
      </c>
      <c r="J356" s="3">
        <v>2</v>
      </c>
      <c r="K356" s="11" t="s">
        <v>5935</v>
      </c>
      <c r="L356" s="3">
        <v>0</v>
      </c>
      <c r="M356" s="46" t="s">
        <v>5937</v>
      </c>
      <c r="N356" s="3"/>
    </row>
    <row r="357" spans="1:14" ht="34.5" customHeight="1">
      <c r="A357" s="186" t="s">
        <v>5926</v>
      </c>
      <c r="B357" s="186" t="s">
        <v>5929</v>
      </c>
      <c r="C357" s="3" t="s">
        <v>23</v>
      </c>
      <c r="D357" s="3" t="s">
        <v>1102</v>
      </c>
      <c r="E357" s="4" t="s">
        <v>114</v>
      </c>
      <c r="F357" s="4" t="s">
        <v>2657</v>
      </c>
      <c r="G357" s="3"/>
      <c r="H357" s="3">
        <v>2</v>
      </c>
      <c r="I357" s="3" t="s">
        <v>5934</v>
      </c>
      <c r="J357" s="3">
        <v>0</v>
      </c>
      <c r="K357" s="11" t="s">
        <v>11571</v>
      </c>
      <c r="L357" s="3">
        <v>2</v>
      </c>
      <c r="M357" s="49" t="s">
        <v>5933</v>
      </c>
      <c r="N357" s="3"/>
    </row>
    <row r="358" spans="1:14" ht="35.5" customHeight="1">
      <c r="A358" s="3" t="s">
        <v>5949</v>
      </c>
      <c r="B358" s="3" t="s">
        <v>5950</v>
      </c>
      <c r="C358" s="3" t="s">
        <v>23</v>
      </c>
      <c r="D358" s="3" t="s">
        <v>142</v>
      </c>
      <c r="E358" s="4" t="s">
        <v>135</v>
      </c>
      <c r="F358" s="3" t="s">
        <v>73</v>
      </c>
      <c r="G358" s="3"/>
      <c r="H358" s="3">
        <v>3</v>
      </c>
      <c r="I358" s="4" t="s">
        <v>5956</v>
      </c>
      <c r="J358" s="3" t="s">
        <v>2272</v>
      </c>
      <c r="K358" s="3" t="s">
        <v>2272</v>
      </c>
      <c r="L358" s="3" t="s">
        <v>2272</v>
      </c>
      <c r="M358" s="49" t="s">
        <v>2272</v>
      </c>
      <c r="N358" s="3"/>
    </row>
    <row r="359" spans="1:14" ht="35.5" customHeight="1">
      <c r="A359" s="3" t="s">
        <v>5949</v>
      </c>
      <c r="B359" s="3" t="s">
        <v>5953</v>
      </c>
      <c r="C359" s="3" t="s">
        <v>23</v>
      </c>
      <c r="D359" s="3" t="s">
        <v>142</v>
      </c>
      <c r="E359" s="4" t="s">
        <v>114</v>
      </c>
      <c r="F359" s="3" t="s">
        <v>73</v>
      </c>
      <c r="G359" s="3"/>
      <c r="H359" s="3">
        <v>3</v>
      </c>
      <c r="I359" s="4" t="s">
        <v>5956</v>
      </c>
      <c r="J359" s="3" t="s">
        <v>2272</v>
      </c>
      <c r="K359" s="3" t="s">
        <v>2272</v>
      </c>
      <c r="L359" s="3" t="s">
        <v>2272</v>
      </c>
      <c r="M359" s="49" t="s">
        <v>2272</v>
      </c>
      <c r="N359" s="3"/>
    </row>
    <row r="360" spans="1:14" ht="35.5" customHeight="1">
      <c r="A360" s="3" t="s">
        <v>5949</v>
      </c>
      <c r="B360" s="3" t="s">
        <v>5954</v>
      </c>
      <c r="C360" s="3" t="s">
        <v>23</v>
      </c>
      <c r="D360" s="3" t="s">
        <v>3475</v>
      </c>
      <c r="E360" s="4" t="s">
        <v>114</v>
      </c>
      <c r="F360" s="3" t="s">
        <v>73</v>
      </c>
      <c r="G360" s="3"/>
      <c r="H360" s="3">
        <v>3</v>
      </c>
      <c r="I360" s="4" t="s">
        <v>5956</v>
      </c>
      <c r="J360" s="3" t="s">
        <v>2272</v>
      </c>
      <c r="K360" s="3" t="s">
        <v>2272</v>
      </c>
      <c r="L360" s="3" t="s">
        <v>2272</v>
      </c>
      <c r="M360" s="49" t="s">
        <v>2272</v>
      </c>
      <c r="N360" s="3"/>
    </row>
    <row r="361" spans="1:14" ht="41.5" customHeight="1">
      <c r="A361" s="11" t="s">
        <v>5962</v>
      </c>
      <c r="B361" s="11" t="s">
        <v>5964</v>
      </c>
      <c r="C361" s="3" t="s">
        <v>23</v>
      </c>
      <c r="D361" s="3" t="s">
        <v>1102</v>
      </c>
      <c r="E361" s="4" t="s">
        <v>128</v>
      </c>
      <c r="F361" s="3" t="s">
        <v>2272</v>
      </c>
      <c r="G361" s="3"/>
      <c r="H361" s="3" t="s">
        <v>2272</v>
      </c>
      <c r="I361" s="3" t="s">
        <v>2272</v>
      </c>
      <c r="J361" s="3" t="s">
        <v>2272</v>
      </c>
      <c r="K361" s="3" t="s">
        <v>2272</v>
      </c>
      <c r="L361" s="3">
        <v>0</v>
      </c>
      <c r="M361" s="46" t="s">
        <v>5969</v>
      </c>
      <c r="N361" s="3"/>
    </row>
    <row r="362" spans="1:14" ht="57" customHeight="1">
      <c r="A362" s="11" t="s">
        <v>5962</v>
      </c>
      <c r="B362" s="11" t="s">
        <v>5965</v>
      </c>
      <c r="C362" s="3" t="s">
        <v>23</v>
      </c>
      <c r="D362" s="3" t="s">
        <v>1102</v>
      </c>
      <c r="E362" s="4" t="s">
        <v>394</v>
      </c>
      <c r="F362" s="3" t="s">
        <v>2272</v>
      </c>
      <c r="G362" s="3"/>
      <c r="H362" s="3" t="s">
        <v>2272</v>
      </c>
      <c r="I362" s="3" t="s">
        <v>2272</v>
      </c>
      <c r="J362" s="3" t="s">
        <v>2272</v>
      </c>
      <c r="K362" s="3" t="s">
        <v>2272</v>
      </c>
      <c r="L362" s="3">
        <v>0</v>
      </c>
      <c r="M362" s="46" t="s">
        <v>5969</v>
      </c>
      <c r="N362" s="3"/>
    </row>
    <row r="363" spans="1:14" ht="41.5" customHeight="1">
      <c r="A363" s="11" t="s">
        <v>5962</v>
      </c>
      <c r="B363" s="11" t="s">
        <v>5966</v>
      </c>
      <c r="C363" s="3" t="s">
        <v>23</v>
      </c>
      <c r="D363" s="3" t="s">
        <v>1102</v>
      </c>
      <c r="E363" s="4" t="s">
        <v>82</v>
      </c>
      <c r="F363" s="3" t="s">
        <v>73</v>
      </c>
      <c r="G363" s="3"/>
      <c r="H363" s="3" t="s">
        <v>2272</v>
      </c>
      <c r="I363" s="3" t="s">
        <v>2272</v>
      </c>
      <c r="J363" s="3" t="s">
        <v>2272</v>
      </c>
      <c r="K363" s="3" t="s">
        <v>2272</v>
      </c>
      <c r="L363" s="3">
        <v>3</v>
      </c>
      <c r="M363" s="46" t="s">
        <v>5970</v>
      </c>
      <c r="N363" s="3"/>
    </row>
    <row r="364" spans="1:14" ht="41.5" customHeight="1">
      <c r="A364" s="11" t="s">
        <v>5962</v>
      </c>
      <c r="B364" s="11" t="s">
        <v>5967</v>
      </c>
      <c r="C364" s="3" t="s">
        <v>23</v>
      </c>
      <c r="D364" s="3" t="s">
        <v>1102</v>
      </c>
      <c r="E364" s="4" t="s">
        <v>82</v>
      </c>
      <c r="F364" s="3" t="s">
        <v>27</v>
      </c>
      <c r="G364" s="3"/>
      <c r="H364" s="3" t="s">
        <v>2272</v>
      </c>
      <c r="I364" s="3" t="s">
        <v>2272</v>
      </c>
      <c r="J364" s="3" t="s">
        <v>2272</v>
      </c>
      <c r="K364" s="3" t="s">
        <v>2272</v>
      </c>
      <c r="L364" s="3">
        <v>0</v>
      </c>
      <c r="M364" s="46" t="s">
        <v>5970</v>
      </c>
      <c r="N364" s="3"/>
    </row>
    <row r="365" spans="1:14" ht="41.5" customHeight="1">
      <c r="A365" s="11" t="s">
        <v>5975</v>
      </c>
      <c r="B365" s="11" t="s">
        <v>5980</v>
      </c>
      <c r="C365" s="3" t="s">
        <v>23</v>
      </c>
      <c r="D365" s="3" t="s">
        <v>26</v>
      </c>
      <c r="E365" s="4" t="s">
        <v>128</v>
      </c>
      <c r="F365" s="3" t="s">
        <v>158</v>
      </c>
      <c r="G365" s="3"/>
      <c r="H365" s="3">
        <v>2</v>
      </c>
      <c r="I365" s="19" t="s">
        <v>5985</v>
      </c>
      <c r="J365" s="3" t="s">
        <v>2272</v>
      </c>
      <c r="K365" s="3" t="s">
        <v>2272</v>
      </c>
      <c r="L365" s="3" t="s">
        <v>2272</v>
      </c>
      <c r="M365" s="49" t="s">
        <v>2272</v>
      </c>
      <c r="N365" s="3"/>
    </row>
    <row r="366" spans="1:14" ht="117.5" customHeight="1">
      <c r="A366" s="19" t="s">
        <v>5987</v>
      </c>
      <c r="B366" s="19" t="s">
        <v>5994</v>
      </c>
      <c r="C366" s="4" t="s">
        <v>23</v>
      </c>
      <c r="D366" s="4" t="s">
        <v>1238</v>
      </c>
      <c r="E366" s="4" t="s">
        <v>114</v>
      </c>
      <c r="F366" s="4" t="s">
        <v>2657</v>
      </c>
      <c r="G366" s="3"/>
      <c r="H366" s="3">
        <v>2</v>
      </c>
      <c r="I366" s="19" t="s">
        <v>6002</v>
      </c>
      <c r="J366" s="4">
        <v>2</v>
      </c>
      <c r="K366" s="19" t="s">
        <v>6000</v>
      </c>
      <c r="L366" s="3" t="s">
        <v>2272</v>
      </c>
      <c r="M366" s="49" t="s">
        <v>2272</v>
      </c>
      <c r="N366" s="3"/>
    </row>
    <row r="367" spans="1:14" ht="34.5" customHeight="1">
      <c r="A367" s="11" t="s">
        <v>5993</v>
      </c>
      <c r="B367" s="11" t="s">
        <v>6005</v>
      </c>
      <c r="C367" s="3" t="s">
        <v>23</v>
      </c>
      <c r="D367" s="3" t="s">
        <v>26</v>
      </c>
      <c r="E367" s="4" t="s">
        <v>128</v>
      </c>
      <c r="F367" s="3" t="s">
        <v>158</v>
      </c>
      <c r="G367" s="3"/>
      <c r="H367" s="3">
        <v>2</v>
      </c>
      <c r="I367" s="19" t="s">
        <v>6008</v>
      </c>
      <c r="J367" s="3" t="s">
        <v>2272</v>
      </c>
      <c r="K367" s="3" t="s">
        <v>2272</v>
      </c>
      <c r="L367" s="3" t="s">
        <v>2272</v>
      </c>
      <c r="M367" s="49" t="s">
        <v>2272</v>
      </c>
      <c r="N367" s="3"/>
    </row>
    <row r="368" spans="1:14" ht="43.5" customHeight="1">
      <c r="A368" s="3" t="s">
        <v>5993</v>
      </c>
      <c r="B368" s="11" t="s">
        <v>6006</v>
      </c>
      <c r="C368" s="3" t="s">
        <v>23</v>
      </c>
      <c r="D368" s="3" t="s">
        <v>24</v>
      </c>
      <c r="E368" s="4" t="s">
        <v>44</v>
      </c>
      <c r="F368" s="4" t="s">
        <v>2657</v>
      </c>
      <c r="G368" s="3"/>
      <c r="H368" s="3">
        <v>2</v>
      </c>
      <c r="I368" s="19" t="s">
        <v>6008</v>
      </c>
      <c r="J368" s="3" t="s">
        <v>2272</v>
      </c>
      <c r="K368" s="3" t="s">
        <v>2272</v>
      </c>
      <c r="L368" s="3" t="s">
        <v>2272</v>
      </c>
      <c r="M368" s="49" t="s">
        <v>2272</v>
      </c>
      <c r="N368" s="3"/>
    </row>
    <row r="369" spans="1:14" ht="37" customHeight="1">
      <c r="A369" s="3" t="s">
        <v>5993</v>
      </c>
      <c r="B369" s="3" t="s">
        <v>6007</v>
      </c>
      <c r="C369" s="3" t="s">
        <v>23</v>
      </c>
      <c r="D369" s="3" t="s">
        <v>24</v>
      </c>
      <c r="E369" s="4" t="s">
        <v>44</v>
      </c>
      <c r="F369" s="3" t="s">
        <v>28</v>
      </c>
      <c r="G369" s="3"/>
      <c r="H369" s="3">
        <v>2</v>
      </c>
      <c r="I369" s="19" t="s">
        <v>6008</v>
      </c>
      <c r="J369" s="3" t="s">
        <v>2272</v>
      </c>
      <c r="K369" s="3" t="s">
        <v>2272</v>
      </c>
      <c r="L369" s="3" t="s">
        <v>2272</v>
      </c>
      <c r="M369" s="49" t="s">
        <v>2272</v>
      </c>
      <c r="N369" s="3"/>
    </row>
    <row r="370" spans="1:14" ht="44.5" customHeight="1">
      <c r="A370" s="11" t="s">
        <v>6041</v>
      </c>
      <c r="B370" s="11" t="s">
        <v>6045</v>
      </c>
      <c r="C370" s="3" t="s">
        <v>23</v>
      </c>
      <c r="D370" s="3" t="s">
        <v>26</v>
      </c>
      <c r="E370" s="4" t="s">
        <v>128</v>
      </c>
      <c r="F370" s="3" t="s">
        <v>158</v>
      </c>
      <c r="G370" s="3"/>
      <c r="H370" s="3">
        <v>2</v>
      </c>
      <c r="I370" s="19" t="s">
        <v>6047</v>
      </c>
      <c r="J370" s="3" t="s">
        <v>2272</v>
      </c>
      <c r="K370" s="3" t="s">
        <v>2272</v>
      </c>
      <c r="L370" s="3">
        <v>1</v>
      </c>
      <c r="M370" s="49" t="s">
        <v>6048</v>
      </c>
      <c r="N370" s="3"/>
    </row>
    <row r="371" spans="1:14" ht="43" customHeight="1">
      <c r="A371" s="11" t="s">
        <v>6041</v>
      </c>
      <c r="B371" s="11" t="s">
        <v>6046</v>
      </c>
      <c r="C371" s="3" t="s">
        <v>23</v>
      </c>
      <c r="D371" s="3" t="s">
        <v>24</v>
      </c>
      <c r="E371" s="4" t="s">
        <v>44</v>
      </c>
      <c r="F371" s="3" t="s">
        <v>28</v>
      </c>
      <c r="G371" s="3"/>
      <c r="H371" s="3">
        <v>2</v>
      </c>
      <c r="I371" s="19" t="s">
        <v>6047</v>
      </c>
      <c r="J371" s="3" t="s">
        <v>2272</v>
      </c>
      <c r="K371" s="3" t="s">
        <v>2272</v>
      </c>
      <c r="L371" s="3">
        <v>1</v>
      </c>
      <c r="M371" s="49" t="s">
        <v>6048</v>
      </c>
      <c r="N371" s="3"/>
    </row>
    <row r="372" spans="1:14" ht="36" customHeight="1">
      <c r="A372" s="11" t="s">
        <v>6068</v>
      </c>
      <c r="B372" s="11" t="s">
        <v>6071</v>
      </c>
      <c r="C372" s="3" t="s">
        <v>1102</v>
      </c>
      <c r="D372" s="3" t="s">
        <v>1102</v>
      </c>
      <c r="E372" s="4" t="s">
        <v>3204</v>
      </c>
      <c r="F372" s="4" t="s">
        <v>2657</v>
      </c>
      <c r="G372" s="3"/>
      <c r="H372" s="198" t="s">
        <v>2272</v>
      </c>
      <c r="I372" s="198" t="s">
        <v>2272</v>
      </c>
      <c r="J372" s="198" t="s">
        <v>2272</v>
      </c>
      <c r="K372" s="198" t="s">
        <v>2272</v>
      </c>
      <c r="L372" s="3">
        <v>2</v>
      </c>
      <c r="M372" s="46" t="s">
        <v>6075</v>
      </c>
      <c r="N372" s="3"/>
    </row>
    <row r="373" spans="1:14" ht="43.5" customHeight="1">
      <c r="A373" s="11" t="s">
        <v>6076</v>
      </c>
      <c r="B373" s="11" t="s">
        <v>6969</v>
      </c>
      <c r="C373" s="11" t="s">
        <v>1102</v>
      </c>
      <c r="D373" s="11" t="s">
        <v>1102</v>
      </c>
      <c r="E373" s="19" t="s">
        <v>5000</v>
      </c>
      <c r="F373" s="19" t="s">
        <v>2657</v>
      </c>
      <c r="G373" s="11"/>
      <c r="H373" s="198" t="s">
        <v>2272</v>
      </c>
      <c r="I373" s="198" t="s">
        <v>2272</v>
      </c>
      <c r="J373" s="11">
        <v>2</v>
      </c>
      <c r="K373" s="19" t="s">
        <v>6974</v>
      </c>
      <c r="L373" s="198" t="s">
        <v>2272</v>
      </c>
      <c r="M373" s="198" t="s">
        <v>2272</v>
      </c>
      <c r="N373" s="11"/>
    </row>
    <row r="374" spans="1:14" ht="51" customHeight="1">
      <c r="A374" s="11" t="s">
        <v>6077</v>
      </c>
      <c r="B374" s="11" t="s">
        <v>6971</v>
      </c>
      <c r="C374" s="11" t="s">
        <v>1102</v>
      </c>
      <c r="D374" s="11" t="s">
        <v>1102</v>
      </c>
      <c r="E374" s="19" t="s">
        <v>395</v>
      </c>
      <c r="F374" s="19" t="s">
        <v>27</v>
      </c>
      <c r="G374" s="11"/>
      <c r="H374" s="198" t="s">
        <v>2272</v>
      </c>
      <c r="I374" s="198" t="s">
        <v>2272</v>
      </c>
      <c r="J374" s="11">
        <v>2</v>
      </c>
      <c r="K374" s="19" t="s">
        <v>6975</v>
      </c>
      <c r="L374" s="198" t="s">
        <v>2272</v>
      </c>
      <c r="M374" s="198" t="s">
        <v>2272</v>
      </c>
      <c r="N374" s="11"/>
    </row>
    <row r="375" spans="1:14" s="197" customFormat="1" ht="51" customHeight="1">
      <c r="A375" s="11" t="s">
        <v>6076</v>
      </c>
      <c r="B375" s="11" t="s">
        <v>6970</v>
      </c>
      <c r="C375" s="11" t="s">
        <v>1102</v>
      </c>
      <c r="D375" s="11" t="s">
        <v>1102</v>
      </c>
      <c r="E375" s="19" t="s">
        <v>5000</v>
      </c>
      <c r="F375" s="19" t="s">
        <v>2657</v>
      </c>
      <c r="G375" s="11"/>
      <c r="H375" s="198" t="s">
        <v>2272</v>
      </c>
      <c r="I375" s="198" t="s">
        <v>2272</v>
      </c>
      <c r="J375" s="11">
        <v>2</v>
      </c>
      <c r="K375" s="19" t="s">
        <v>6974</v>
      </c>
      <c r="L375" s="198" t="s">
        <v>2272</v>
      </c>
      <c r="M375" s="198" t="s">
        <v>2272</v>
      </c>
      <c r="N375" s="11"/>
    </row>
    <row r="376" spans="1:14" s="197" customFormat="1" ht="51" customHeight="1">
      <c r="A376" s="11" t="s">
        <v>6077</v>
      </c>
      <c r="B376" s="11" t="s">
        <v>6972</v>
      </c>
      <c r="C376" s="11" t="s">
        <v>1102</v>
      </c>
      <c r="D376" s="11" t="s">
        <v>1102</v>
      </c>
      <c r="E376" s="19" t="s">
        <v>395</v>
      </c>
      <c r="F376" s="19" t="s">
        <v>27</v>
      </c>
      <c r="G376" s="11"/>
      <c r="H376" s="198" t="s">
        <v>2272</v>
      </c>
      <c r="I376" s="198" t="s">
        <v>2272</v>
      </c>
      <c r="J376" s="11">
        <v>2</v>
      </c>
      <c r="K376" s="19" t="s">
        <v>6975</v>
      </c>
      <c r="L376" s="198" t="s">
        <v>2272</v>
      </c>
      <c r="M376" s="198" t="s">
        <v>2272</v>
      </c>
      <c r="N376" s="11"/>
    </row>
    <row r="377" spans="1:14" ht="69.5" customHeight="1">
      <c r="A377" s="3" t="s">
        <v>6141</v>
      </c>
      <c r="B377" s="3" t="s">
        <v>6183</v>
      </c>
      <c r="C377" s="3" t="s">
        <v>23</v>
      </c>
      <c r="D377" s="3" t="s">
        <v>1238</v>
      </c>
      <c r="E377" s="4" t="s">
        <v>135</v>
      </c>
      <c r="F377" s="3" t="s">
        <v>73</v>
      </c>
      <c r="G377" s="3"/>
      <c r="H377" s="3">
        <v>2</v>
      </c>
      <c r="I377" s="3" t="s">
        <v>6242</v>
      </c>
      <c r="J377" s="3">
        <v>2</v>
      </c>
      <c r="K377" s="3" t="s">
        <v>6242</v>
      </c>
      <c r="L377" s="198" t="s">
        <v>2272</v>
      </c>
      <c r="M377" s="198" t="s">
        <v>2272</v>
      </c>
      <c r="N377" s="3"/>
    </row>
    <row r="378" spans="1:14" s="197" customFormat="1" ht="69.5" customHeight="1">
      <c r="A378" s="198" t="s">
        <v>6141</v>
      </c>
      <c r="B378" s="198" t="s">
        <v>6184</v>
      </c>
      <c r="C378" s="198" t="s">
        <v>23</v>
      </c>
      <c r="D378" s="198" t="s">
        <v>1238</v>
      </c>
      <c r="E378" s="4" t="s">
        <v>2644</v>
      </c>
      <c r="F378" s="198" t="s">
        <v>73</v>
      </c>
      <c r="G378" s="198"/>
      <c r="H378" s="198">
        <v>2</v>
      </c>
      <c r="I378" s="198" t="s">
        <v>6643</v>
      </c>
      <c r="J378" s="198">
        <v>2</v>
      </c>
      <c r="K378" s="198" t="s">
        <v>6643</v>
      </c>
      <c r="L378" s="198" t="s">
        <v>2272</v>
      </c>
      <c r="M378" s="198" t="s">
        <v>2272</v>
      </c>
      <c r="N378" s="198"/>
    </row>
    <row r="379" spans="1:14" ht="69.5" customHeight="1">
      <c r="A379" s="3" t="s">
        <v>6141</v>
      </c>
      <c r="B379" s="198" t="s">
        <v>6185</v>
      </c>
      <c r="C379" s="3" t="s">
        <v>2651</v>
      </c>
      <c r="D379" s="198" t="s">
        <v>2272</v>
      </c>
      <c r="E379" s="4" t="s">
        <v>135</v>
      </c>
      <c r="F379" s="3" t="s">
        <v>73</v>
      </c>
      <c r="G379" s="3"/>
      <c r="H379" s="3">
        <v>2</v>
      </c>
      <c r="I379" s="198" t="s">
        <v>6642</v>
      </c>
      <c r="J379" s="3">
        <v>2</v>
      </c>
      <c r="K379" s="198" t="s">
        <v>6642</v>
      </c>
      <c r="L379" s="3">
        <v>0</v>
      </c>
      <c r="M379" s="3" t="s">
        <v>6642</v>
      </c>
      <c r="N379" s="3"/>
    </row>
    <row r="380" spans="1:14" s="197" customFormat="1" ht="69.5" customHeight="1">
      <c r="A380" s="198" t="s">
        <v>6141</v>
      </c>
      <c r="B380" s="198" t="s">
        <v>6186</v>
      </c>
      <c r="C380" s="198" t="s">
        <v>2651</v>
      </c>
      <c r="D380" s="198" t="s">
        <v>2272</v>
      </c>
      <c r="E380" s="4" t="s">
        <v>2644</v>
      </c>
      <c r="F380" s="198" t="s">
        <v>73</v>
      </c>
      <c r="G380" s="198"/>
      <c r="H380" s="198">
        <v>2</v>
      </c>
      <c r="I380" s="198" t="s">
        <v>6642</v>
      </c>
      <c r="J380" s="198">
        <v>2</v>
      </c>
      <c r="K380" s="198" t="s">
        <v>6642</v>
      </c>
      <c r="L380" s="198">
        <v>0</v>
      </c>
      <c r="M380" s="198" t="s">
        <v>6642</v>
      </c>
      <c r="N380" s="198"/>
    </row>
    <row r="381" spans="1:14" ht="69.5" customHeight="1">
      <c r="A381" s="3" t="s">
        <v>6142</v>
      </c>
      <c r="B381" s="3" t="s">
        <v>6187</v>
      </c>
      <c r="C381" s="3" t="s">
        <v>23</v>
      </c>
      <c r="D381" s="3" t="s">
        <v>1238</v>
      </c>
      <c r="E381" s="4" t="s">
        <v>135</v>
      </c>
      <c r="F381" s="3" t="s">
        <v>73</v>
      </c>
      <c r="G381" s="3"/>
      <c r="H381" s="3">
        <v>2</v>
      </c>
      <c r="I381" s="3" t="s">
        <v>6242</v>
      </c>
      <c r="J381" s="3">
        <v>2</v>
      </c>
      <c r="K381" s="3" t="s">
        <v>6242</v>
      </c>
      <c r="L381" s="198" t="s">
        <v>2272</v>
      </c>
      <c r="M381" s="198" t="s">
        <v>2272</v>
      </c>
      <c r="N381" s="3"/>
    </row>
    <row r="382" spans="1:14" s="197" customFormat="1" ht="69.5" customHeight="1">
      <c r="A382" s="198" t="s">
        <v>6142</v>
      </c>
      <c r="B382" s="198" t="s">
        <v>6188</v>
      </c>
      <c r="C382" s="198" t="s">
        <v>23</v>
      </c>
      <c r="D382" s="198" t="s">
        <v>1238</v>
      </c>
      <c r="E382" s="4" t="s">
        <v>2644</v>
      </c>
      <c r="F382" s="198" t="s">
        <v>73</v>
      </c>
      <c r="G382" s="198"/>
      <c r="H382" s="198">
        <v>2</v>
      </c>
      <c r="I382" s="198" t="s">
        <v>6643</v>
      </c>
      <c r="J382" s="198">
        <v>2</v>
      </c>
      <c r="K382" s="198" t="s">
        <v>6643</v>
      </c>
      <c r="L382" s="198" t="s">
        <v>2272</v>
      </c>
      <c r="M382" s="198" t="s">
        <v>2272</v>
      </c>
      <c r="N382" s="198"/>
    </row>
    <row r="383" spans="1:14" s="197" customFormat="1" ht="69.5" customHeight="1">
      <c r="A383" s="198" t="s">
        <v>6629</v>
      </c>
      <c r="B383" s="198" t="s">
        <v>6636</v>
      </c>
      <c r="C383" s="198" t="s">
        <v>23</v>
      </c>
      <c r="D383" s="198" t="s">
        <v>1238</v>
      </c>
      <c r="E383" s="4" t="s">
        <v>135</v>
      </c>
      <c r="F383" s="198" t="s">
        <v>73</v>
      </c>
      <c r="G383" s="198"/>
      <c r="H383" s="198">
        <v>2</v>
      </c>
      <c r="I383" s="198" t="s">
        <v>6242</v>
      </c>
      <c r="J383" s="198">
        <v>2</v>
      </c>
      <c r="K383" s="198" t="s">
        <v>6242</v>
      </c>
      <c r="L383" s="198" t="s">
        <v>2272</v>
      </c>
      <c r="M383" s="198" t="s">
        <v>2272</v>
      </c>
      <c r="N383" s="198" t="s">
        <v>6644</v>
      </c>
    </row>
    <row r="384" spans="1:14" s="197" customFormat="1" ht="69.5" customHeight="1">
      <c r="A384" s="198" t="s">
        <v>6629</v>
      </c>
      <c r="B384" s="198" t="s">
        <v>6637</v>
      </c>
      <c r="C384" s="198" t="s">
        <v>23</v>
      </c>
      <c r="D384" s="198" t="s">
        <v>1238</v>
      </c>
      <c r="E384" s="4" t="s">
        <v>2644</v>
      </c>
      <c r="F384" s="198" t="s">
        <v>73</v>
      </c>
      <c r="G384" s="198"/>
      <c r="H384" s="198">
        <v>2</v>
      </c>
      <c r="I384" s="198" t="s">
        <v>6643</v>
      </c>
      <c r="J384" s="198">
        <v>2</v>
      </c>
      <c r="K384" s="198" t="s">
        <v>6643</v>
      </c>
      <c r="L384" s="198" t="s">
        <v>2272</v>
      </c>
      <c r="M384" s="198" t="s">
        <v>2272</v>
      </c>
      <c r="N384" s="198" t="s">
        <v>6645</v>
      </c>
    </row>
    <row r="385" spans="1:14" s="197" customFormat="1" ht="69.5" customHeight="1">
      <c r="A385" s="198" t="s">
        <v>6630</v>
      </c>
      <c r="B385" s="198" t="s">
        <v>6638</v>
      </c>
      <c r="C385" s="198" t="s">
        <v>23</v>
      </c>
      <c r="D385" s="198" t="s">
        <v>1238</v>
      </c>
      <c r="E385" s="4" t="s">
        <v>135</v>
      </c>
      <c r="F385" s="198" t="s">
        <v>73</v>
      </c>
      <c r="G385" s="198"/>
      <c r="H385" s="198">
        <v>2</v>
      </c>
      <c r="I385" s="198" t="s">
        <v>6242</v>
      </c>
      <c r="J385" s="198">
        <v>2</v>
      </c>
      <c r="K385" s="198" t="s">
        <v>6242</v>
      </c>
      <c r="L385" s="198" t="s">
        <v>2272</v>
      </c>
      <c r="M385" s="198" t="s">
        <v>2272</v>
      </c>
      <c r="N385" s="198" t="s">
        <v>6644</v>
      </c>
    </row>
    <row r="386" spans="1:14" s="197" customFormat="1" ht="69.5" customHeight="1">
      <c r="A386" s="198" t="s">
        <v>6630</v>
      </c>
      <c r="B386" s="198" t="s">
        <v>6639</v>
      </c>
      <c r="C386" s="198" t="s">
        <v>23</v>
      </c>
      <c r="D386" s="198" t="s">
        <v>1238</v>
      </c>
      <c r="E386" s="4" t="s">
        <v>2644</v>
      </c>
      <c r="F386" s="198" t="s">
        <v>73</v>
      </c>
      <c r="G386" s="198"/>
      <c r="H386" s="198">
        <v>2</v>
      </c>
      <c r="I386" s="198" t="s">
        <v>6643</v>
      </c>
      <c r="J386" s="198">
        <v>2</v>
      </c>
      <c r="K386" s="198" t="s">
        <v>6643</v>
      </c>
      <c r="L386" s="198" t="s">
        <v>2272</v>
      </c>
      <c r="M386" s="198" t="s">
        <v>2272</v>
      </c>
      <c r="N386" s="198" t="s">
        <v>6645</v>
      </c>
    </row>
    <row r="387" spans="1:14" s="197" customFormat="1" ht="69.5" customHeight="1">
      <c r="A387" s="198" t="s">
        <v>6631</v>
      </c>
      <c r="B387" s="198" t="s">
        <v>6640</v>
      </c>
      <c r="C387" s="198" t="s">
        <v>23</v>
      </c>
      <c r="D387" s="198" t="s">
        <v>1238</v>
      </c>
      <c r="E387" s="4" t="s">
        <v>135</v>
      </c>
      <c r="F387" s="198" t="s">
        <v>73</v>
      </c>
      <c r="G387" s="198"/>
      <c r="H387" s="198">
        <v>2</v>
      </c>
      <c r="I387" s="198" t="s">
        <v>6242</v>
      </c>
      <c r="J387" s="198">
        <v>2</v>
      </c>
      <c r="K387" s="198" t="s">
        <v>6242</v>
      </c>
      <c r="L387" s="198" t="s">
        <v>2272</v>
      </c>
      <c r="M387" s="198" t="s">
        <v>2272</v>
      </c>
      <c r="N387" s="198" t="s">
        <v>6644</v>
      </c>
    </row>
    <row r="388" spans="1:14" s="197" customFormat="1" ht="69.5" customHeight="1">
      <c r="A388" s="198" t="s">
        <v>6631</v>
      </c>
      <c r="B388" s="198" t="s">
        <v>6641</v>
      </c>
      <c r="C388" s="198" t="s">
        <v>23</v>
      </c>
      <c r="D388" s="198" t="s">
        <v>1238</v>
      </c>
      <c r="E388" s="4" t="s">
        <v>2644</v>
      </c>
      <c r="F388" s="198" t="s">
        <v>73</v>
      </c>
      <c r="G388" s="198"/>
      <c r="H388" s="198">
        <v>2</v>
      </c>
      <c r="I388" s="198" t="s">
        <v>6643</v>
      </c>
      <c r="J388" s="198">
        <v>2</v>
      </c>
      <c r="K388" s="198" t="s">
        <v>6643</v>
      </c>
      <c r="L388" s="198" t="s">
        <v>2272</v>
      </c>
      <c r="M388" s="198" t="s">
        <v>2272</v>
      </c>
      <c r="N388" s="198" t="s">
        <v>6645</v>
      </c>
    </row>
    <row r="389" spans="1:14" ht="69.5" customHeight="1">
      <c r="A389" s="3" t="s">
        <v>6143</v>
      </c>
      <c r="B389" s="3" t="s">
        <v>6191</v>
      </c>
      <c r="C389" s="198" t="s">
        <v>1102</v>
      </c>
      <c r="D389" s="198" t="s">
        <v>1102</v>
      </c>
      <c r="E389" s="4" t="s">
        <v>5795</v>
      </c>
      <c r="F389" s="198" t="s">
        <v>158</v>
      </c>
      <c r="G389" s="3"/>
      <c r="H389" s="3" t="s">
        <v>2272</v>
      </c>
      <c r="I389" s="3" t="s">
        <v>2272</v>
      </c>
      <c r="J389" s="3">
        <v>0</v>
      </c>
      <c r="K389" s="3" t="s">
        <v>5209</v>
      </c>
      <c r="L389" s="3" t="s">
        <v>2272</v>
      </c>
      <c r="M389" s="3" t="s">
        <v>2272</v>
      </c>
      <c r="N389" s="3"/>
    </row>
    <row r="390" spans="1:14" ht="130" customHeight="1">
      <c r="A390" s="3" t="s">
        <v>6144</v>
      </c>
      <c r="B390" s="3" t="s">
        <v>6192</v>
      </c>
      <c r="C390" s="198" t="s">
        <v>1102</v>
      </c>
      <c r="D390" s="198" t="s">
        <v>1102</v>
      </c>
      <c r="E390" s="4" t="s">
        <v>3204</v>
      </c>
      <c r="F390" s="198" t="s">
        <v>1102</v>
      </c>
      <c r="G390" s="3">
        <v>2004</v>
      </c>
      <c r="H390" s="198" t="s">
        <v>2272</v>
      </c>
      <c r="I390" s="198" t="s">
        <v>2272</v>
      </c>
      <c r="J390" s="3" t="s">
        <v>2272</v>
      </c>
      <c r="K390" s="3" t="s">
        <v>2272</v>
      </c>
      <c r="L390" s="3">
        <v>3</v>
      </c>
      <c r="M390" s="3" t="s">
        <v>6243</v>
      </c>
      <c r="N390" s="4" t="s">
        <v>6244</v>
      </c>
    </row>
    <row r="391" spans="1:14" s="197" customFormat="1" ht="130" customHeight="1">
      <c r="A391" s="198" t="s">
        <v>6144</v>
      </c>
      <c r="B391" s="198" t="s">
        <v>6193</v>
      </c>
      <c r="C391" s="198" t="s">
        <v>1102</v>
      </c>
      <c r="D391" s="198" t="s">
        <v>1102</v>
      </c>
      <c r="E391" s="4" t="s">
        <v>3204</v>
      </c>
      <c r="F391" s="198" t="s">
        <v>1102</v>
      </c>
      <c r="G391" s="198">
        <v>2003</v>
      </c>
      <c r="H391" s="198" t="s">
        <v>2272</v>
      </c>
      <c r="I391" s="198" t="s">
        <v>2272</v>
      </c>
      <c r="J391" s="198" t="s">
        <v>2272</v>
      </c>
      <c r="K391" s="198" t="s">
        <v>2272</v>
      </c>
      <c r="L391" s="198">
        <v>2</v>
      </c>
      <c r="M391" s="4" t="s">
        <v>6664</v>
      </c>
      <c r="N391" s="4"/>
    </row>
    <row r="392" spans="1:14" ht="59" customHeight="1">
      <c r="A392" s="198" t="s">
        <v>6144</v>
      </c>
      <c r="B392" s="198" t="s">
        <v>6194</v>
      </c>
      <c r="C392" s="198" t="s">
        <v>1102</v>
      </c>
      <c r="D392" s="198" t="s">
        <v>1102</v>
      </c>
      <c r="E392" s="4" t="s">
        <v>5795</v>
      </c>
      <c r="F392" s="198" t="s">
        <v>158</v>
      </c>
      <c r="G392" s="3"/>
      <c r="H392" s="3" t="s">
        <v>2272</v>
      </c>
      <c r="I392" s="3" t="s">
        <v>2272</v>
      </c>
      <c r="J392" s="3">
        <v>0</v>
      </c>
      <c r="K392" s="198" t="s">
        <v>5209</v>
      </c>
      <c r="L392" s="3" t="s">
        <v>2272</v>
      </c>
      <c r="M392" s="3" t="s">
        <v>2272</v>
      </c>
      <c r="N392" s="4"/>
    </row>
    <row r="393" spans="1:14" ht="130" customHeight="1">
      <c r="A393" s="3" t="s">
        <v>6145</v>
      </c>
      <c r="B393" s="3" t="s">
        <v>6195</v>
      </c>
      <c r="C393" s="198" t="s">
        <v>1102</v>
      </c>
      <c r="D393" s="198" t="s">
        <v>1102</v>
      </c>
      <c r="E393" s="4" t="s">
        <v>3204</v>
      </c>
      <c r="F393" s="198" t="s">
        <v>1102</v>
      </c>
      <c r="G393" s="3"/>
      <c r="H393" s="198" t="s">
        <v>2272</v>
      </c>
      <c r="I393" s="198" t="s">
        <v>2272</v>
      </c>
      <c r="J393" s="3" t="s">
        <v>2272</v>
      </c>
      <c r="K393" s="3" t="s">
        <v>2272</v>
      </c>
      <c r="L393" s="3">
        <v>3</v>
      </c>
      <c r="M393" s="3" t="s">
        <v>6243</v>
      </c>
      <c r="N393" s="4" t="s">
        <v>6245</v>
      </c>
    </row>
    <row r="394" spans="1:14" ht="43.5" customHeight="1">
      <c r="A394" s="3" t="s">
        <v>6145</v>
      </c>
      <c r="B394" s="3" t="s">
        <v>6252</v>
      </c>
      <c r="C394" s="198" t="s">
        <v>1102</v>
      </c>
      <c r="D394" s="198" t="s">
        <v>1102</v>
      </c>
      <c r="E394" s="4" t="s">
        <v>5795</v>
      </c>
      <c r="F394" s="198" t="s">
        <v>158</v>
      </c>
      <c r="G394" s="3"/>
      <c r="H394" s="3" t="s">
        <v>2272</v>
      </c>
      <c r="I394" s="3" t="s">
        <v>2272</v>
      </c>
      <c r="J394" s="3">
        <v>0</v>
      </c>
      <c r="K394" s="3" t="s">
        <v>5209</v>
      </c>
      <c r="L394" s="3" t="s">
        <v>2272</v>
      </c>
      <c r="M394" s="3" t="s">
        <v>2272</v>
      </c>
      <c r="N394" s="4"/>
    </row>
    <row r="395" spans="1:14" ht="153.5" customHeight="1">
      <c r="A395" s="198" t="s">
        <v>6146</v>
      </c>
      <c r="B395" s="198" t="s">
        <v>6196</v>
      </c>
      <c r="C395" s="198" t="s">
        <v>1102</v>
      </c>
      <c r="D395" s="198" t="s">
        <v>1102</v>
      </c>
      <c r="E395" s="4" t="s">
        <v>3204</v>
      </c>
      <c r="F395" s="198" t="s">
        <v>1102</v>
      </c>
      <c r="G395" s="3"/>
      <c r="H395" s="198" t="s">
        <v>2272</v>
      </c>
      <c r="I395" s="198" t="s">
        <v>2272</v>
      </c>
      <c r="J395" s="3" t="s">
        <v>2272</v>
      </c>
      <c r="K395" s="3" t="s">
        <v>2272</v>
      </c>
      <c r="L395" s="3">
        <v>3</v>
      </c>
      <c r="M395" s="3" t="s">
        <v>6243</v>
      </c>
      <c r="N395" s="4" t="s">
        <v>6245</v>
      </c>
    </row>
    <row r="396" spans="1:14" ht="65.5" customHeight="1">
      <c r="A396" s="198" t="s">
        <v>6146</v>
      </c>
      <c r="B396" s="198" t="s">
        <v>6253</v>
      </c>
      <c r="C396" s="198" t="s">
        <v>1102</v>
      </c>
      <c r="D396" s="198" t="s">
        <v>1102</v>
      </c>
      <c r="E396" s="4" t="s">
        <v>5795</v>
      </c>
      <c r="F396" s="198" t="s">
        <v>158</v>
      </c>
      <c r="G396" s="3"/>
      <c r="H396" s="3" t="s">
        <v>2272</v>
      </c>
      <c r="I396" s="3" t="s">
        <v>2272</v>
      </c>
      <c r="J396" s="3">
        <v>0</v>
      </c>
      <c r="K396" s="3" t="s">
        <v>5209</v>
      </c>
      <c r="L396" s="3" t="s">
        <v>2272</v>
      </c>
      <c r="M396" s="3" t="s">
        <v>2272</v>
      </c>
      <c r="N396" s="4"/>
    </row>
    <row r="397" spans="1:14" s="197" customFormat="1" ht="142.5" customHeight="1">
      <c r="A397" s="3" t="s">
        <v>6665</v>
      </c>
      <c r="B397" s="3" t="s">
        <v>6666</v>
      </c>
      <c r="C397" s="198" t="s">
        <v>1102</v>
      </c>
      <c r="D397" s="198" t="s">
        <v>1102</v>
      </c>
      <c r="E397" s="4" t="s">
        <v>3204</v>
      </c>
      <c r="F397" s="198" t="s">
        <v>1102</v>
      </c>
      <c r="G397" s="198"/>
      <c r="H397" s="198" t="s">
        <v>2272</v>
      </c>
      <c r="I397" s="198" t="s">
        <v>2272</v>
      </c>
      <c r="J397" s="198" t="s">
        <v>2272</v>
      </c>
      <c r="K397" s="198" t="s">
        <v>2272</v>
      </c>
      <c r="L397" s="198">
        <v>3</v>
      </c>
      <c r="M397" s="198" t="s">
        <v>6243</v>
      </c>
      <c r="N397" s="4" t="s">
        <v>6246</v>
      </c>
    </row>
    <row r="398" spans="1:14" s="197" customFormat="1" ht="46.5" customHeight="1">
      <c r="A398" s="3" t="s">
        <v>6665</v>
      </c>
      <c r="B398" s="198" t="s">
        <v>6668</v>
      </c>
      <c r="C398" s="198" t="s">
        <v>1102</v>
      </c>
      <c r="D398" s="198" t="s">
        <v>1102</v>
      </c>
      <c r="E398" s="4" t="s">
        <v>5795</v>
      </c>
      <c r="F398" s="198" t="s">
        <v>158</v>
      </c>
      <c r="G398" s="198"/>
      <c r="H398" s="198" t="s">
        <v>2272</v>
      </c>
      <c r="I398" s="198" t="s">
        <v>2272</v>
      </c>
      <c r="J398" s="198">
        <v>0</v>
      </c>
      <c r="K398" s="198" t="s">
        <v>5209</v>
      </c>
      <c r="L398" s="198" t="s">
        <v>2272</v>
      </c>
      <c r="M398" s="198" t="s">
        <v>2272</v>
      </c>
      <c r="N398" s="4"/>
    </row>
    <row r="399" spans="1:14" s="197" customFormat="1" ht="46.5" customHeight="1">
      <c r="A399" s="4" t="s">
        <v>6147</v>
      </c>
      <c r="B399" s="4" t="s">
        <v>6197</v>
      </c>
      <c r="C399" s="198" t="s">
        <v>1102</v>
      </c>
      <c r="D399" s="198" t="s">
        <v>1102</v>
      </c>
      <c r="E399" s="4" t="s">
        <v>5795</v>
      </c>
      <c r="F399" s="198" t="s">
        <v>158</v>
      </c>
      <c r="G399" s="198"/>
      <c r="H399" s="198" t="s">
        <v>2272</v>
      </c>
      <c r="I399" s="198" t="s">
        <v>2272</v>
      </c>
      <c r="J399" s="198">
        <v>0</v>
      </c>
      <c r="K399" s="198" t="s">
        <v>5209</v>
      </c>
      <c r="L399" s="198" t="s">
        <v>2272</v>
      </c>
      <c r="M399" s="198" t="s">
        <v>2272</v>
      </c>
      <c r="N399" s="4"/>
    </row>
    <row r="400" spans="1:14" s="197" customFormat="1" ht="46.5" customHeight="1">
      <c r="A400" s="4" t="s">
        <v>6148</v>
      </c>
      <c r="B400" s="4" t="s">
        <v>6198</v>
      </c>
      <c r="C400" s="198" t="s">
        <v>1102</v>
      </c>
      <c r="D400" s="198" t="s">
        <v>1102</v>
      </c>
      <c r="E400" s="4" t="s">
        <v>5795</v>
      </c>
      <c r="F400" s="198" t="s">
        <v>158</v>
      </c>
      <c r="G400" s="198"/>
      <c r="H400" s="198" t="s">
        <v>2272</v>
      </c>
      <c r="I400" s="198" t="s">
        <v>2272</v>
      </c>
      <c r="J400" s="198">
        <v>0</v>
      </c>
      <c r="K400" s="198" t="s">
        <v>5209</v>
      </c>
      <c r="L400" s="198" t="s">
        <v>2272</v>
      </c>
      <c r="M400" s="198" t="s">
        <v>2272</v>
      </c>
      <c r="N400" s="4"/>
    </row>
    <row r="401" spans="1:14" s="197" customFormat="1" ht="46.5" customHeight="1">
      <c r="A401" s="4" t="s">
        <v>6149</v>
      </c>
      <c r="B401" s="4" t="s">
        <v>6199</v>
      </c>
      <c r="C401" s="198" t="s">
        <v>1102</v>
      </c>
      <c r="D401" s="198" t="s">
        <v>1102</v>
      </c>
      <c r="E401" s="4" t="s">
        <v>5795</v>
      </c>
      <c r="F401" s="198" t="s">
        <v>158</v>
      </c>
      <c r="G401" s="198"/>
      <c r="H401" s="198" t="s">
        <v>2272</v>
      </c>
      <c r="I401" s="198" t="s">
        <v>2272</v>
      </c>
      <c r="J401" s="198">
        <v>0</v>
      </c>
      <c r="K401" s="198" t="s">
        <v>5209</v>
      </c>
      <c r="L401" s="198" t="s">
        <v>2272</v>
      </c>
      <c r="M401" s="198" t="s">
        <v>2272</v>
      </c>
      <c r="N401" s="4"/>
    </row>
    <row r="402" spans="1:14" s="197" customFormat="1" ht="46.5" customHeight="1">
      <c r="A402" s="4" t="s">
        <v>6150</v>
      </c>
      <c r="B402" s="4" t="s">
        <v>6200</v>
      </c>
      <c r="C402" s="198" t="s">
        <v>1102</v>
      </c>
      <c r="D402" s="198" t="s">
        <v>1102</v>
      </c>
      <c r="E402" s="4" t="s">
        <v>5795</v>
      </c>
      <c r="F402" s="198" t="s">
        <v>158</v>
      </c>
      <c r="G402" s="198"/>
      <c r="H402" s="198" t="s">
        <v>2272</v>
      </c>
      <c r="I402" s="198" t="s">
        <v>2272</v>
      </c>
      <c r="J402" s="198">
        <v>0</v>
      </c>
      <c r="K402" s="198" t="s">
        <v>5209</v>
      </c>
      <c r="L402" s="198" t="s">
        <v>2272</v>
      </c>
      <c r="M402" s="198" t="s">
        <v>2272</v>
      </c>
      <c r="N402" s="4"/>
    </row>
    <row r="403" spans="1:14" s="197" customFormat="1" ht="46.5" customHeight="1">
      <c r="A403" s="4" t="s">
        <v>6151</v>
      </c>
      <c r="B403" s="4" t="s">
        <v>6201</v>
      </c>
      <c r="C403" s="198" t="s">
        <v>1102</v>
      </c>
      <c r="D403" s="198" t="s">
        <v>1102</v>
      </c>
      <c r="E403" s="4" t="s">
        <v>5795</v>
      </c>
      <c r="F403" s="198" t="s">
        <v>158</v>
      </c>
      <c r="G403" s="198"/>
      <c r="H403" s="198" t="s">
        <v>2272</v>
      </c>
      <c r="I403" s="198" t="s">
        <v>2272</v>
      </c>
      <c r="J403" s="198">
        <v>0</v>
      </c>
      <c r="K403" s="198" t="s">
        <v>5209</v>
      </c>
      <c r="L403" s="198" t="s">
        <v>2272</v>
      </c>
      <c r="M403" s="198" t="s">
        <v>2272</v>
      </c>
      <c r="N403" s="4"/>
    </row>
    <row r="404" spans="1:14" s="197" customFormat="1" ht="46.5" customHeight="1">
      <c r="A404" s="4" t="s">
        <v>6152</v>
      </c>
      <c r="B404" s="4" t="s">
        <v>6202</v>
      </c>
      <c r="C404" s="198" t="s">
        <v>1102</v>
      </c>
      <c r="D404" s="198" t="s">
        <v>1102</v>
      </c>
      <c r="E404" s="4" t="s">
        <v>5795</v>
      </c>
      <c r="F404" s="198" t="s">
        <v>158</v>
      </c>
      <c r="G404" s="198"/>
      <c r="H404" s="198" t="s">
        <v>2272</v>
      </c>
      <c r="I404" s="198" t="s">
        <v>2272</v>
      </c>
      <c r="J404" s="198">
        <v>0</v>
      </c>
      <c r="K404" s="198" t="s">
        <v>5209</v>
      </c>
      <c r="L404" s="198" t="s">
        <v>2272</v>
      </c>
      <c r="M404" s="198" t="s">
        <v>2272</v>
      </c>
      <c r="N404" s="4"/>
    </row>
    <row r="405" spans="1:14" ht="46.5" customHeight="1">
      <c r="A405" s="41" t="s">
        <v>6154</v>
      </c>
      <c r="B405" s="41" t="s">
        <v>6204</v>
      </c>
      <c r="C405" s="41" t="s">
        <v>23</v>
      </c>
      <c r="D405" s="41" t="s">
        <v>2342</v>
      </c>
      <c r="E405" s="54" t="s">
        <v>5795</v>
      </c>
      <c r="F405" s="41" t="s">
        <v>73</v>
      </c>
      <c r="G405" s="3"/>
      <c r="H405" s="3" t="s">
        <v>2272</v>
      </c>
      <c r="I405" s="3" t="s">
        <v>2272</v>
      </c>
      <c r="J405" s="3">
        <v>0</v>
      </c>
      <c r="K405" s="3" t="s">
        <v>5209</v>
      </c>
      <c r="L405" s="3" t="s">
        <v>2272</v>
      </c>
      <c r="M405" s="3" t="s">
        <v>2272</v>
      </c>
      <c r="N405" s="3"/>
    </row>
    <row r="406" spans="1:14" ht="46.5" customHeight="1">
      <c r="A406" s="41" t="s">
        <v>6154</v>
      </c>
      <c r="B406" s="41" t="s">
        <v>6205</v>
      </c>
      <c r="C406" s="41" t="s">
        <v>2651</v>
      </c>
      <c r="D406" s="41" t="s">
        <v>2272</v>
      </c>
      <c r="E406" s="54" t="s">
        <v>5795</v>
      </c>
      <c r="F406" s="41" t="s">
        <v>73</v>
      </c>
      <c r="G406" s="3"/>
      <c r="H406" s="3" t="s">
        <v>2272</v>
      </c>
      <c r="I406" s="3" t="s">
        <v>2272</v>
      </c>
      <c r="J406" s="3">
        <v>0</v>
      </c>
      <c r="K406" s="3" t="s">
        <v>5209</v>
      </c>
      <c r="L406" s="3" t="s">
        <v>2272</v>
      </c>
      <c r="M406" s="3" t="s">
        <v>2272</v>
      </c>
      <c r="N406" s="3"/>
    </row>
    <row r="407" spans="1:14" ht="46.5" customHeight="1">
      <c r="A407" s="41" t="s">
        <v>6154</v>
      </c>
      <c r="B407" s="41" t="s">
        <v>6206</v>
      </c>
      <c r="C407" s="41" t="s">
        <v>2653</v>
      </c>
      <c r="D407" s="41" t="s">
        <v>2272</v>
      </c>
      <c r="E407" s="54" t="s">
        <v>5795</v>
      </c>
      <c r="F407" s="41" t="s">
        <v>73</v>
      </c>
      <c r="G407" s="3"/>
      <c r="H407" s="3" t="s">
        <v>2272</v>
      </c>
      <c r="I407" s="3" t="s">
        <v>2272</v>
      </c>
      <c r="J407" s="3">
        <v>0</v>
      </c>
      <c r="K407" s="3" t="s">
        <v>5209</v>
      </c>
      <c r="L407" s="3" t="s">
        <v>2272</v>
      </c>
      <c r="M407" s="3" t="s">
        <v>2272</v>
      </c>
      <c r="N407" s="3"/>
    </row>
    <row r="408" spans="1:14" ht="46.5" customHeight="1">
      <c r="A408" s="3" t="s">
        <v>6155</v>
      </c>
      <c r="B408" s="3" t="s">
        <v>6207</v>
      </c>
      <c r="C408" s="198" t="s">
        <v>1102</v>
      </c>
      <c r="D408" s="198" t="s">
        <v>1102</v>
      </c>
      <c r="E408" s="4" t="s">
        <v>5795</v>
      </c>
      <c r="F408" s="198" t="s">
        <v>158</v>
      </c>
      <c r="G408" s="3"/>
      <c r="H408" s="3" t="s">
        <v>2272</v>
      </c>
      <c r="I408" s="3" t="s">
        <v>2272</v>
      </c>
      <c r="J408" s="3">
        <v>0</v>
      </c>
      <c r="K408" s="3" t="s">
        <v>5209</v>
      </c>
      <c r="L408" s="198" t="s">
        <v>2272</v>
      </c>
      <c r="M408" s="198" t="s">
        <v>2272</v>
      </c>
      <c r="N408" s="3"/>
    </row>
    <row r="409" spans="1:14" ht="68" customHeight="1">
      <c r="A409" s="198" t="s">
        <v>6155</v>
      </c>
      <c r="B409" s="198" t="s">
        <v>6208</v>
      </c>
      <c r="C409" s="3" t="s">
        <v>1102</v>
      </c>
      <c r="D409" s="3" t="s">
        <v>1102</v>
      </c>
      <c r="E409" s="4" t="s">
        <v>3204</v>
      </c>
      <c r="F409" s="3" t="s">
        <v>73</v>
      </c>
      <c r="G409" s="3"/>
      <c r="H409" s="3">
        <v>2</v>
      </c>
      <c r="I409" s="3" t="s">
        <v>6247</v>
      </c>
      <c r="J409" s="3">
        <v>2</v>
      </c>
      <c r="K409" s="3" t="s">
        <v>6247</v>
      </c>
      <c r="L409" s="198">
        <v>3</v>
      </c>
      <c r="M409" s="198" t="s">
        <v>6686</v>
      </c>
      <c r="N409" s="3"/>
    </row>
    <row r="410" spans="1:14" s="197" customFormat="1" ht="68" customHeight="1">
      <c r="A410" s="198" t="s">
        <v>6156</v>
      </c>
      <c r="B410" s="198" t="s">
        <v>6211</v>
      </c>
      <c r="C410" s="198" t="s">
        <v>1102</v>
      </c>
      <c r="D410" s="198" t="s">
        <v>1102</v>
      </c>
      <c r="E410" s="4" t="s">
        <v>5795</v>
      </c>
      <c r="F410" s="198" t="s">
        <v>158</v>
      </c>
      <c r="G410" s="198"/>
      <c r="H410" s="198" t="s">
        <v>2272</v>
      </c>
      <c r="I410" s="198" t="s">
        <v>2272</v>
      </c>
      <c r="J410" s="198">
        <v>0</v>
      </c>
      <c r="K410" s="198" t="s">
        <v>5209</v>
      </c>
      <c r="L410" s="198" t="s">
        <v>2272</v>
      </c>
      <c r="M410" s="198" t="s">
        <v>2272</v>
      </c>
      <c r="N410" s="198" t="s">
        <v>6703</v>
      </c>
    </row>
    <row r="411" spans="1:14" s="197" customFormat="1" ht="68" customHeight="1">
      <c r="A411" s="198" t="s">
        <v>6157</v>
      </c>
      <c r="B411" s="198" t="s">
        <v>6212</v>
      </c>
      <c r="C411" s="198" t="s">
        <v>1102</v>
      </c>
      <c r="D411" s="198" t="s">
        <v>1102</v>
      </c>
      <c r="E411" s="4" t="s">
        <v>5795</v>
      </c>
      <c r="F411" s="198" t="s">
        <v>158</v>
      </c>
      <c r="G411" s="198"/>
      <c r="H411" s="198" t="s">
        <v>2272</v>
      </c>
      <c r="I411" s="198" t="s">
        <v>2272</v>
      </c>
      <c r="J411" s="198">
        <v>0</v>
      </c>
      <c r="K411" s="198" t="s">
        <v>5209</v>
      </c>
      <c r="L411" s="198" t="s">
        <v>2272</v>
      </c>
      <c r="M411" s="198" t="s">
        <v>2272</v>
      </c>
      <c r="N411" s="198" t="s">
        <v>6703</v>
      </c>
    </row>
    <row r="412" spans="1:14" s="197" customFormat="1" ht="68" customHeight="1">
      <c r="A412" s="198" t="s">
        <v>6158</v>
      </c>
      <c r="B412" s="198" t="s">
        <v>6213</v>
      </c>
      <c r="C412" s="198" t="s">
        <v>1102</v>
      </c>
      <c r="D412" s="198" t="s">
        <v>1102</v>
      </c>
      <c r="E412" s="4" t="s">
        <v>5795</v>
      </c>
      <c r="F412" s="198" t="s">
        <v>158</v>
      </c>
      <c r="G412" s="198"/>
      <c r="H412" s="198" t="s">
        <v>2272</v>
      </c>
      <c r="I412" s="198" t="s">
        <v>2272</v>
      </c>
      <c r="J412" s="198">
        <v>0</v>
      </c>
      <c r="K412" s="198" t="s">
        <v>5209</v>
      </c>
      <c r="L412" s="198" t="s">
        <v>2272</v>
      </c>
      <c r="M412" s="198" t="s">
        <v>2272</v>
      </c>
      <c r="N412" s="198" t="s">
        <v>6703</v>
      </c>
    </row>
    <row r="413" spans="1:14" s="197" customFormat="1" ht="68" customHeight="1">
      <c r="A413" s="198" t="s">
        <v>6157</v>
      </c>
      <c r="B413" s="198" t="s">
        <v>6695</v>
      </c>
      <c r="C413" s="198" t="s">
        <v>1102</v>
      </c>
      <c r="D413" s="198" t="s">
        <v>1102</v>
      </c>
      <c r="E413" s="4" t="s">
        <v>3204</v>
      </c>
      <c r="F413" s="198" t="s">
        <v>1102</v>
      </c>
      <c r="G413" s="198"/>
      <c r="H413" s="198" t="s">
        <v>2272</v>
      </c>
      <c r="I413" s="198" t="s">
        <v>2272</v>
      </c>
      <c r="J413" s="198" t="s">
        <v>2272</v>
      </c>
      <c r="K413" s="198" t="s">
        <v>2272</v>
      </c>
      <c r="L413" s="198">
        <v>3</v>
      </c>
      <c r="M413" s="198" t="s">
        <v>6702</v>
      </c>
      <c r="N413" s="198"/>
    </row>
    <row r="414" spans="1:14" s="197" customFormat="1" ht="68" customHeight="1">
      <c r="A414" s="198" t="s">
        <v>6158</v>
      </c>
      <c r="B414" s="198" t="s">
        <v>6696</v>
      </c>
      <c r="C414" s="198" t="s">
        <v>1102</v>
      </c>
      <c r="D414" s="198" t="s">
        <v>1102</v>
      </c>
      <c r="E414" s="4" t="s">
        <v>3204</v>
      </c>
      <c r="F414" s="198" t="s">
        <v>1102</v>
      </c>
      <c r="G414" s="198"/>
      <c r="H414" s="198" t="s">
        <v>2272</v>
      </c>
      <c r="I414" s="198" t="s">
        <v>2272</v>
      </c>
      <c r="J414" s="198" t="s">
        <v>2272</v>
      </c>
      <c r="K414" s="198" t="s">
        <v>2272</v>
      </c>
      <c r="L414" s="198">
        <v>3</v>
      </c>
      <c r="M414" s="198" t="s">
        <v>6702</v>
      </c>
      <c r="N414" s="198"/>
    </row>
    <row r="415" spans="1:14" s="197" customFormat="1" ht="68" customHeight="1">
      <c r="A415" s="198" t="s">
        <v>6159</v>
      </c>
      <c r="B415" s="198" t="s">
        <v>6214</v>
      </c>
      <c r="C415" s="198" t="s">
        <v>1102</v>
      </c>
      <c r="D415" s="198" t="s">
        <v>1102</v>
      </c>
      <c r="E415" s="4" t="s">
        <v>5795</v>
      </c>
      <c r="F415" s="198" t="s">
        <v>158</v>
      </c>
      <c r="G415" s="198"/>
      <c r="H415" s="198" t="s">
        <v>2272</v>
      </c>
      <c r="I415" s="198" t="s">
        <v>2272</v>
      </c>
      <c r="J415" s="198">
        <v>0</v>
      </c>
      <c r="K415" s="4" t="s">
        <v>6795</v>
      </c>
      <c r="L415" s="198" t="s">
        <v>2272</v>
      </c>
      <c r="M415" s="198" t="s">
        <v>2272</v>
      </c>
      <c r="N415" s="198"/>
    </row>
    <row r="416" spans="1:14" s="197" customFormat="1" ht="68" customHeight="1">
      <c r="A416" s="198" t="s">
        <v>6160</v>
      </c>
      <c r="B416" s="198" t="s">
        <v>6215</v>
      </c>
      <c r="C416" s="198" t="s">
        <v>1102</v>
      </c>
      <c r="D416" s="198" t="s">
        <v>1102</v>
      </c>
      <c r="E416" s="4" t="s">
        <v>5795</v>
      </c>
      <c r="F416" s="198" t="s">
        <v>158</v>
      </c>
      <c r="G416" s="198"/>
      <c r="H416" s="198" t="s">
        <v>2272</v>
      </c>
      <c r="I416" s="198" t="s">
        <v>2272</v>
      </c>
      <c r="J416" s="198">
        <v>0</v>
      </c>
      <c r="K416" s="4" t="s">
        <v>6795</v>
      </c>
      <c r="L416" s="198" t="s">
        <v>2272</v>
      </c>
      <c r="M416" s="198" t="s">
        <v>2272</v>
      </c>
      <c r="N416" s="198"/>
    </row>
    <row r="417" spans="1:14" ht="68" customHeight="1">
      <c r="A417" s="3" t="s">
        <v>6161</v>
      </c>
      <c r="B417" s="3" t="s">
        <v>6216</v>
      </c>
      <c r="C417" s="198" t="s">
        <v>23</v>
      </c>
      <c r="D417" s="198" t="s">
        <v>24</v>
      </c>
      <c r="E417" s="4" t="s">
        <v>3850</v>
      </c>
      <c r="F417" s="198" t="s">
        <v>28</v>
      </c>
      <c r="G417" s="3"/>
      <c r="H417" s="198">
        <v>1</v>
      </c>
      <c r="I417" s="4" t="s">
        <v>6771</v>
      </c>
      <c r="J417" s="198">
        <v>1</v>
      </c>
      <c r="K417" s="4" t="s">
        <v>6772</v>
      </c>
      <c r="L417" s="198" t="s">
        <v>2272</v>
      </c>
      <c r="M417" s="49" t="s">
        <v>2272</v>
      </c>
      <c r="N417" s="198"/>
    </row>
    <row r="418" spans="1:14" ht="68" customHeight="1">
      <c r="A418" s="3" t="s">
        <v>6161</v>
      </c>
      <c r="B418" s="3" t="s">
        <v>6217</v>
      </c>
      <c r="C418" s="198" t="s">
        <v>1102</v>
      </c>
      <c r="D418" s="198" t="s">
        <v>1102</v>
      </c>
      <c r="E418" s="4" t="s">
        <v>5795</v>
      </c>
      <c r="F418" s="198" t="s">
        <v>158</v>
      </c>
      <c r="G418" s="3"/>
      <c r="H418" s="3" t="s">
        <v>2272</v>
      </c>
      <c r="I418" s="3" t="s">
        <v>2272</v>
      </c>
      <c r="J418" s="3">
        <v>0</v>
      </c>
      <c r="K418" s="3" t="s">
        <v>5209</v>
      </c>
      <c r="L418" s="3" t="s">
        <v>2272</v>
      </c>
      <c r="M418" s="3" t="s">
        <v>2272</v>
      </c>
      <c r="N418" s="3"/>
    </row>
    <row r="419" spans="1:14" ht="68" customHeight="1">
      <c r="A419" s="198" t="s">
        <v>6161</v>
      </c>
      <c r="B419" s="198" t="s">
        <v>6218</v>
      </c>
      <c r="C419" s="198" t="s">
        <v>1102</v>
      </c>
      <c r="D419" s="198" t="s">
        <v>1102</v>
      </c>
      <c r="E419" s="4" t="s">
        <v>3204</v>
      </c>
      <c r="F419" s="4" t="s">
        <v>2272</v>
      </c>
      <c r="G419" s="3"/>
      <c r="H419" s="198">
        <v>1</v>
      </c>
      <c r="I419" s="4" t="s">
        <v>6773</v>
      </c>
      <c r="J419" s="198">
        <v>2</v>
      </c>
      <c r="K419" s="4" t="s">
        <v>6774</v>
      </c>
      <c r="L419" s="198">
        <v>3</v>
      </c>
      <c r="M419" s="4" t="s">
        <v>6775</v>
      </c>
      <c r="N419" s="3"/>
    </row>
    <row r="420" spans="1:14" s="197" customFormat="1" ht="68" customHeight="1">
      <c r="A420" s="198" t="s">
        <v>6161</v>
      </c>
      <c r="B420" s="198" t="s">
        <v>6219</v>
      </c>
      <c r="C420" s="198" t="s">
        <v>23</v>
      </c>
      <c r="D420" s="198" t="s">
        <v>2654</v>
      </c>
      <c r="E420" s="4" t="s">
        <v>3850</v>
      </c>
      <c r="F420" s="4" t="s">
        <v>27</v>
      </c>
      <c r="G420" s="198"/>
      <c r="H420" s="198">
        <v>0</v>
      </c>
      <c r="I420" s="4" t="s">
        <v>6778</v>
      </c>
      <c r="J420" s="198" t="s">
        <v>2272</v>
      </c>
      <c r="K420" s="198" t="s">
        <v>2272</v>
      </c>
      <c r="L420" s="198" t="s">
        <v>2272</v>
      </c>
      <c r="M420" s="198" t="s">
        <v>2272</v>
      </c>
      <c r="N420" s="198"/>
    </row>
    <row r="421" spans="1:14" ht="68" customHeight="1">
      <c r="A421" s="198" t="s">
        <v>6162</v>
      </c>
      <c r="B421" s="198" t="s">
        <v>6222</v>
      </c>
      <c r="C421" s="198" t="s">
        <v>23</v>
      </c>
      <c r="D421" s="198" t="s">
        <v>24</v>
      </c>
      <c r="E421" s="4" t="s">
        <v>3850</v>
      </c>
      <c r="F421" s="198" t="s">
        <v>28</v>
      </c>
      <c r="G421" s="198"/>
      <c r="H421" s="198">
        <v>1</v>
      </c>
      <c r="I421" s="4" t="s">
        <v>6771</v>
      </c>
      <c r="J421" s="198">
        <v>1</v>
      </c>
      <c r="K421" s="4" t="s">
        <v>6772</v>
      </c>
      <c r="L421" s="198" t="s">
        <v>2272</v>
      </c>
      <c r="M421" s="49" t="s">
        <v>2272</v>
      </c>
      <c r="N421" s="198"/>
    </row>
    <row r="422" spans="1:14" ht="68" customHeight="1">
      <c r="A422" s="198" t="s">
        <v>6162</v>
      </c>
      <c r="B422" s="198" t="s">
        <v>6705</v>
      </c>
      <c r="C422" s="198" t="s">
        <v>1102</v>
      </c>
      <c r="D422" s="198" t="s">
        <v>1102</v>
      </c>
      <c r="E422" s="4" t="s">
        <v>5795</v>
      </c>
      <c r="F422" s="198" t="s">
        <v>158</v>
      </c>
      <c r="G422" s="198"/>
      <c r="H422" s="198" t="s">
        <v>2272</v>
      </c>
      <c r="I422" s="198" t="s">
        <v>2272</v>
      </c>
      <c r="J422" s="198">
        <v>0</v>
      </c>
      <c r="K422" s="198" t="s">
        <v>5209</v>
      </c>
      <c r="L422" s="198" t="s">
        <v>2272</v>
      </c>
      <c r="M422" s="198" t="s">
        <v>2272</v>
      </c>
      <c r="N422" s="198"/>
    </row>
    <row r="423" spans="1:14" ht="68" customHeight="1">
      <c r="A423" s="198" t="s">
        <v>6162</v>
      </c>
      <c r="B423" s="198" t="s">
        <v>6706</v>
      </c>
      <c r="C423" s="198" t="s">
        <v>1102</v>
      </c>
      <c r="D423" s="198" t="s">
        <v>1102</v>
      </c>
      <c r="E423" s="4" t="s">
        <v>3204</v>
      </c>
      <c r="F423" s="4" t="s">
        <v>2272</v>
      </c>
      <c r="G423" s="198"/>
      <c r="H423" s="198">
        <v>1</v>
      </c>
      <c r="I423" s="4" t="s">
        <v>6773</v>
      </c>
      <c r="J423" s="198">
        <v>2</v>
      </c>
      <c r="K423" s="4" t="s">
        <v>6774</v>
      </c>
      <c r="L423" s="198">
        <v>3</v>
      </c>
      <c r="M423" s="4" t="s">
        <v>6775</v>
      </c>
      <c r="N423" s="198"/>
    </row>
    <row r="424" spans="1:14" s="197" customFormat="1" ht="68" customHeight="1">
      <c r="A424" s="198" t="s">
        <v>6162</v>
      </c>
      <c r="B424" s="198" t="s">
        <v>6707</v>
      </c>
      <c r="C424" s="198" t="s">
        <v>23</v>
      </c>
      <c r="D424" s="198" t="s">
        <v>2654</v>
      </c>
      <c r="E424" s="4" t="s">
        <v>3850</v>
      </c>
      <c r="F424" s="4" t="s">
        <v>27</v>
      </c>
      <c r="G424" s="198"/>
      <c r="H424" s="198">
        <v>0</v>
      </c>
      <c r="I424" s="4" t="s">
        <v>6778</v>
      </c>
      <c r="J424" s="198" t="s">
        <v>2272</v>
      </c>
      <c r="K424" s="198" t="s">
        <v>2272</v>
      </c>
      <c r="L424" s="198" t="s">
        <v>2272</v>
      </c>
      <c r="M424" s="198" t="s">
        <v>2272</v>
      </c>
      <c r="N424" s="198"/>
    </row>
    <row r="425" spans="1:14" ht="68" customHeight="1">
      <c r="A425" s="198" t="s">
        <v>6163</v>
      </c>
      <c r="B425" s="198" t="s">
        <v>6223</v>
      </c>
      <c r="C425" s="198" t="s">
        <v>23</v>
      </c>
      <c r="D425" s="198" t="s">
        <v>24</v>
      </c>
      <c r="E425" s="4" t="s">
        <v>3850</v>
      </c>
      <c r="F425" s="198" t="s">
        <v>28</v>
      </c>
      <c r="G425" s="198"/>
      <c r="H425" s="198">
        <v>1</v>
      </c>
      <c r="I425" s="4" t="s">
        <v>6771</v>
      </c>
      <c r="J425" s="198">
        <v>1</v>
      </c>
      <c r="K425" s="4" t="s">
        <v>6772</v>
      </c>
      <c r="L425" s="198" t="s">
        <v>2272</v>
      </c>
      <c r="M425" s="49" t="s">
        <v>2272</v>
      </c>
      <c r="N425" s="198"/>
    </row>
    <row r="426" spans="1:14" ht="68" customHeight="1">
      <c r="A426" s="198" t="s">
        <v>6163</v>
      </c>
      <c r="B426" s="198" t="s">
        <v>6711</v>
      </c>
      <c r="C426" s="198" t="s">
        <v>1102</v>
      </c>
      <c r="D426" s="198" t="s">
        <v>1102</v>
      </c>
      <c r="E426" s="4" t="s">
        <v>5795</v>
      </c>
      <c r="F426" s="198" t="s">
        <v>158</v>
      </c>
      <c r="G426" s="198"/>
      <c r="H426" s="198" t="s">
        <v>2272</v>
      </c>
      <c r="I426" s="198" t="s">
        <v>2272</v>
      </c>
      <c r="J426" s="198">
        <v>0</v>
      </c>
      <c r="K426" s="198" t="s">
        <v>5209</v>
      </c>
      <c r="L426" s="198" t="s">
        <v>2272</v>
      </c>
      <c r="M426" s="198" t="s">
        <v>2272</v>
      </c>
      <c r="N426" s="198"/>
    </row>
    <row r="427" spans="1:14" ht="68" customHeight="1">
      <c r="A427" s="198" t="s">
        <v>6163</v>
      </c>
      <c r="B427" s="198" t="s">
        <v>6712</v>
      </c>
      <c r="C427" s="198" t="s">
        <v>1102</v>
      </c>
      <c r="D427" s="198" t="s">
        <v>1102</v>
      </c>
      <c r="E427" s="4" t="s">
        <v>3204</v>
      </c>
      <c r="F427" s="4" t="s">
        <v>2272</v>
      </c>
      <c r="G427" s="198"/>
      <c r="H427" s="198">
        <v>1</v>
      </c>
      <c r="I427" s="4" t="s">
        <v>6773</v>
      </c>
      <c r="J427" s="198">
        <v>2</v>
      </c>
      <c r="K427" s="4" t="s">
        <v>6774</v>
      </c>
      <c r="L427" s="198">
        <v>3</v>
      </c>
      <c r="M427" s="4" t="s">
        <v>6775</v>
      </c>
      <c r="N427" s="198"/>
    </row>
    <row r="428" spans="1:14" ht="68" customHeight="1">
      <c r="A428" s="198" t="s">
        <v>6163</v>
      </c>
      <c r="B428" s="198" t="s">
        <v>6713</v>
      </c>
      <c r="C428" s="198" t="s">
        <v>23</v>
      </c>
      <c r="D428" s="198" t="s">
        <v>2654</v>
      </c>
      <c r="E428" s="4" t="s">
        <v>3850</v>
      </c>
      <c r="F428" s="4" t="s">
        <v>27</v>
      </c>
      <c r="G428" s="198"/>
      <c r="H428" s="198">
        <v>0</v>
      </c>
      <c r="I428" s="4" t="s">
        <v>6778</v>
      </c>
      <c r="J428" s="198" t="s">
        <v>2272</v>
      </c>
      <c r="K428" s="198" t="s">
        <v>2272</v>
      </c>
      <c r="L428" s="198" t="s">
        <v>2272</v>
      </c>
      <c r="M428" s="198" t="s">
        <v>2272</v>
      </c>
      <c r="N428" s="198"/>
    </row>
    <row r="429" spans="1:14" ht="68" customHeight="1">
      <c r="A429" s="198" t="s">
        <v>6164</v>
      </c>
      <c r="B429" s="198" t="s">
        <v>6224</v>
      </c>
      <c r="C429" s="198" t="s">
        <v>23</v>
      </c>
      <c r="D429" s="198" t="s">
        <v>24</v>
      </c>
      <c r="E429" s="4" t="s">
        <v>3850</v>
      </c>
      <c r="F429" s="198" t="s">
        <v>28</v>
      </c>
      <c r="G429" s="198"/>
      <c r="H429" s="198">
        <v>1</v>
      </c>
      <c r="I429" s="4" t="s">
        <v>6771</v>
      </c>
      <c r="J429" s="198">
        <v>1</v>
      </c>
      <c r="K429" s="4" t="s">
        <v>6772</v>
      </c>
      <c r="L429" s="198" t="s">
        <v>2272</v>
      </c>
      <c r="M429" s="49" t="s">
        <v>2272</v>
      </c>
      <c r="N429" s="198"/>
    </row>
    <row r="430" spans="1:14" ht="68" customHeight="1">
      <c r="A430" s="198" t="s">
        <v>6164</v>
      </c>
      <c r="B430" s="198" t="s">
        <v>6717</v>
      </c>
      <c r="C430" s="198" t="s">
        <v>1102</v>
      </c>
      <c r="D430" s="198" t="s">
        <v>1102</v>
      </c>
      <c r="E430" s="4" t="s">
        <v>5795</v>
      </c>
      <c r="F430" s="198" t="s">
        <v>158</v>
      </c>
      <c r="G430" s="198"/>
      <c r="H430" s="198" t="s">
        <v>2272</v>
      </c>
      <c r="I430" s="198" t="s">
        <v>2272</v>
      </c>
      <c r="J430" s="198">
        <v>0</v>
      </c>
      <c r="K430" s="198" t="s">
        <v>5209</v>
      </c>
      <c r="L430" s="198" t="s">
        <v>2272</v>
      </c>
      <c r="M430" s="198" t="s">
        <v>2272</v>
      </c>
      <c r="N430" s="198"/>
    </row>
    <row r="431" spans="1:14" ht="68" customHeight="1">
      <c r="A431" s="198" t="s">
        <v>6164</v>
      </c>
      <c r="B431" s="198" t="s">
        <v>6718</v>
      </c>
      <c r="C431" s="198" t="s">
        <v>1102</v>
      </c>
      <c r="D431" s="198" t="s">
        <v>1102</v>
      </c>
      <c r="E431" s="4" t="s">
        <v>3204</v>
      </c>
      <c r="F431" s="4" t="s">
        <v>2272</v>
      </c>
      <c r="G431" s="198"/>
      <c r="H431" s="198">
        <v>1</v>
      </c>
      <c r="I431" s="4" t="s">
        <v>6773</v>
      </c>
      <c r="J431" s="198">
        <v>2</v>
      </c>
      <c r="K431" s="4" t="s">
        <v>6774</v>
      </c>
      <c r="L431" s="198">
        <v>3</v>
      </c>
      <c r="M431" s="4" t="s">
        <v>6775</v>
      </c>
      <c r="N431" s="198"/>
    </row>
    <row r="432" spans="1:14" ht="68" customHeight="1">
      <c r="A432" s="198" t="s">
        <v>6164</v>
      </c>
      <c r="B432" s="198" t="s">
        <v>6719</v>
      </c>
      <c r="C432" s="198" t="s">
        <v>23</v>
      </c>
      <c r="D432" s="198" t="s">
        <v>2654</v>
      </c>
      <c r="E432" s="4" t="s">
        <v>3850</v>
      </c>
      <c r="F432" s="4" t="s">
        <v>27</v>
      </c>
      <c r="G432" s="198"/>
      <c r="H432" s="198">
        <v>0</v>
      </c>
      <c r="I432" s="4" t="s">
        <v>6778</v>
      </c>
      <c r="J432" s="198" t="s">
        <v>2272</v>
      </c>
      <c r="K432" s="198" t="s">
        <v>2272</v>
      </c>
      <c r="L432" s="198" t="s">
        <v>2272</v>
      </c>
      <c r="M432" s="198" t="s">
        <v>2272</v>
      </c>
      <c r="N432" s="198"/>
    </row>
    <row r="433" spans="1:14" ht="68" customHeight="1">
      <c r="A433" s="198" t="s">
        <v>6165</v>
      </c>
      <c r="B433" s="198" t="s">
        <v>6225</v>
      </c>
      <c r="C433" s="198" t="s">
        <v>23</v>
      </c>
      <c r="D433" s="198" t="s">
        <v>24</v>
      </c>
      <c r="E433" s="4" t="s">
        <v>3850</v>
      </c>
      <c r="F433" s="198" t="s">
        <v>28</v>
      </c>
      <c r="G433" s="198"/>
      <c r="H433" s="198">
        <v>1</v>
      </c>
      <c r="I433" s="4" t="s">
        <v>6771</v>
      </c>
      <c r="J433" s="198">
        <v>1</v>
      </c>
      <c r="K433" s="4" t="s">
        <v>6772</v>
      </c>
      <c r="L433" s="198" t="s">
        <v>2272</v>
      </c>
      <c r="M433" s="49" t="s">
        <v>2272</v>
      </c>
      <c r="N433" s="198"/>
    </row>
    <row r="434" spans="1:14" s="197" customFormat="1" ht="68" customHeight="1">
      <c r="A434" s="198" t="s">
        <v>6165</v>
      </c>
      <c r="B434" s="198" t="s">
        <v>6723</v>
      </c>
      <c r="C434" s="198" t="s">
        <v>1102</v>
      </c>
      <c r="D434" s="198" t="s">
        <v>1102</v>
      </c>
      <c r="E434" s="4" t="s">
        <v>5795</v>
      </c>
      <c r="F434" s="198" t="s">
        <v>158</v>
      </c>
      <c r="G434" s="198"/>
      <c r="H434" s="198" t="s">
        <v>2272</v>
      </c>
      <c r="I434" s="198" t="s">
        <v>2272</v>
      </c>
      <c r="J434" s="198">
        <v>0</v>
      </c>
      <c r="K434" s="198" t="s">
        <v>5209</v>
      </c>
      <c r="L434" s="198" t="s">
        <v>2272</v>
      </c>
      <c r="M434" s="198" t="s">
        <v>2272</v>
      </c>
      <c r="N434" s="198"/>
    </row>
    <row r="435" spans="1:14" s="197" customFormat="1" ht="68" customHeight="1">
      <c r="A435" s="198" t="s">
        <v>6165</v>
      </c>
      <c r="B435" s="198" t="s">
        <v>6724</v>
      </c>
      <c r="C435" s="198" t="s">
        <v>1102</v>
      </c>
      <c r="D435" s="198" t="s">
        <v>1102</v>
      </c>
      <c r="E435" s="4" t="s">
        <v>3204</v>
      </c>
      <c r="F435" s="4" t="s">
        <v>2272</v>
      </c>
      <c r="G435" s="198"/>
      <c r="H435" s="198">
        <v>1</v>
      </c>
      <c r="I435" s="4" t="s">
        <v>6773</v>
      </c>
      <c r="J435" s="198">
        <v>2</v>
      </c>
      <c r="K435" s="4" t="s">
        <v>6774</v>
      </c>
      <c r="L435" s="198">
        <v>3</v>
      </c>
      <c r="M435" s="4" t="s">
        <v>6775</v>
      </c>
      <c r="N435" s="198"/>
    </row>
    <row r="436" spans="1:14" s="197" customFormat="1" ht="68" customHeight="1">
      <c r="A436" s="198" t="s">
        <v>6165</v>
      </c>
      <c r="B436" s="198" t="s">
        <v>6725</v>
      </c>
      <c r="C436" s="198" t="s">
        <v>23</v>
      </c>
      <c r="D436" s="198" t="s">
        <v>2654</v>
      </c>
      <c r="E436" s="4" t="s">
        <v>3850</v>
      </c>
      <c r="F436" s="4" t="s">
        <v>27</v>
      </c>
      <c r="G436" s="198"/>
      <c r="H436" s="198">
        <v>0</v>
      </c>
      <c r="I436" s="4" t="s">
        <v>6778</v>
      </c>
      <c r="J436" s="198" t="s">
        <v>2272</v>
      </c>
      <c r="K436" s="198" t="s">
        <v>2272</v>
      </c>
      <c r="L436" s="198" t="s">
        <v>2272</v>
      </c>
      <c r="M436" s="198" t="s">
        <v>2272</v>
      </c>
      <c r="N436" s="198"/>
    </row>
    <row r="437" spans="1:14" s="197" customFormat="1" ht="68" customHeight="1">
      <c r="A437" s="198" t="s">
        <v>6166</v>
      </c>
      <c r="B437" s="198" t="s">
        <v>6226</v>
      </c>
      <c r="C437" s="198" t="s">
        <v>23</v>
      </c>
      <c r="D437" s="198" t="s">
        <v>24</v>
      </c>
      <c r="E437" s="4" t="s">
        <v>3850</v>
      </c>
      <c r="F437" s="198" t="s">
        <v>28</v>
      </c>
      <c r="G437" s="198"/>
      <c r="H437" s="198">
        <v>1</v>
      </c>
      <c r="I437" s="4" t="s">
        <v>6771</v>
      </c>
      <c r="J437" s="198">
        <v>1</v>
      </c>
      <c r="K437" s="4" t="s">
        <v>6772</v>
      </c>
      <c r="L437" s="198" t="s">
        <v>2272</v>
      </c>
      <c r="M437" s="49" t="s">
        <v>2272</v>
      </c>
      <c r="N437" s="198"/>
    </row>
    <row r="438" spans="1:14" s="197" customFormat="1" ht="68" customHeight="1">
      <c r="A438" s="198" t="s">
        <v>6166</v>
      </c>
      <c r="B438" s="198" t="s">
        <v>6729</v>
      </c>
      <c r="C438" s="198" t="s">
        <v>1102</v>
      </c>
      <c r="D438" s="198" t="s">
        <v>1102</v>
      </c>
      <c r="E438" s="4" t="s">
        <v>5795</v>
      </c>
      <c r="F438" s="198" t="s">
        <v>158</v>
      </c>
      <c r="G438" s="198"/>
      <c r="H438" s="198" t="s">
        <v>2272</v>
      </c>
      <c r="I438" s="198" t="s">
        <v>2272</v>
      </c>
      <c r="J438" s="198">
        <v>0</v>
      </c>
      <c r="K438" s="198" t="s">
        <v>5209</v>
      </c>
      <c r="L438" s="198" t="s">
        <v>2272</v>
      </c>
      <c r="M438" s="198" t="s">
        <v>2272</v>
      </c>
      <c r="N438" s="198"/>
    </row>
    <row r="439" spans="1:14" s="197" customFormat="1" ht="68" customHeight="1">
      <c r="A439" s="198" t="s">
        <v>6166</v>
      </c>
      <c r="B439" s="198" t="s">
        <v>6730</v>
      </c>
      <c r="C439" s="198" t="s">
        <v>1102</v>
      </c>
      <c r="D439" s="198" t="s">
        <v>1102</v>
      </c>
      <c r="E439" s="4" t="s">
        <v>3204</v>
      </c>
      <c r="F439" s="4" t="s">
        <v>2272</v>
      </c>
      <c r="G439" s="198"/>
      <c r="H439" s="198">
        <v>1</v>
      </c>
      <c r="I439" s="4" t="s">
        <v>6773</v>
      </c>
      <c r="J439" s="198">
        <v>2</v>
      </c>
      <c r="K439" s="4" t="s">
        <v>6774</v>
      </c>
      <c r="L439" s="198">
        <v>3</v>
      </c>
      <c r="M439" s="4" t="s">
        <v>6775</v>
      </c>
      <c r="N439" s="198"/>
    </row>
    <row r="440" spans="1:14" s="197" customFormat="1" ht="68" customHeight="1">
      <c r="A440" s="198" t="s">
        <v>6166</v>
      </c>
      <c r="B440" s="198" t="s">
        <v>6731</v>
      </c>
      <c r="C440" s="198" t="s">
        <v>23</v>
      </c>
      <c r="D440" s="198" t="s">
        <v>2654</v>
      </c>
      <c r="E440" s="4" t="s">
        <v>3850</v>
      </c>
      <c r="F440" s="4" t="s">
        <v>27</v>
      </c>
      <c r="G440" s="198"/>
      <c r="H440" s="198">
        <v>0</v>
      </c>
      <c r="I440" s="4" t="s">
        <v>6778</v>
      </c>
      <c r="J440" s="198" t="s">
        <v>2272</v>
      </c>
      <c r="K440" s="198" t="s">
        <v>2272</v>
      </c>
      <c r="L440" s="198" t="s">
        <v>2272</v>
      </c>
      <c r="M440" s="198" t="s">
        <v>2272</v>
      </c>
      <c r="N440" s="198"/>
    </row>
    <row r="441" spans="1:14" s="197" customFormat="1" ht="68" customHeight="1">
      <c r="A441" s="198" t="s">
        <v>6167</v>
      </c>
      <c r="B441" s="198" t="s">
        <v>6227</v>
      </c>
      <c r="C441" s="198" t="s">
        <v>23</v>
      </c>
      <c r="D441" s="198" t="s">
        <v>24</v>
      </c>
      <c r="E441" s="4" t="s">
        <v>3850</v>
      </c>
      <c r="F441" s="198" t="s">
        <v>28</v>
      </c>
      <c r="G441" s="198"/>
      <c r="H441" s="198">
        <v>1</v>
      </c>
      <c r="I441" s="4" t="s">
        <v>6771</v>
      </c>
      <c r="J441" s="198">
        <v>1</v>
      </c>
      <c r="K441" s="4" t="s">
        <v>6772</v>
      </c>
      <c r="L441" s="198" t="s">
        <v>2272</v>
      </c>
      <c r="M441" s="49" t="s">
        <v>2272</v>
      </c>
      <c r="N441" s="198"/>
    </row>
    <row r="442" spans="1:14" s="197" customFormat="1" ht="68" customHeight="1">
      <c r="A442" s="198" t="s">
        <v>6167</v>
      </c>
      <c r="B442" s="198" t="s">
        <v>6735</v>
      </c>
      <c r="C442" s="198" t="s">
        <v>1102</v>
      </c>
      <c r="D442" s="198" t="s">
        <v>1102</v>
      </c>
      <c r="E442" s="4" t="s">
        <v>5795</v>
      </c>
      <c r="F442" s="198" t="s">
        <v>158</v>
      </c>
      <c r="G442" s="198"/>
      <c r="H442" s="198" t="s">
        <v>2272</v>
      </c>
      <c r="I442" s="198" t="s">
        <v>2272</v>
      </c>
      <c r="J442" s="198">
        <v>0</v>
      </c>
      <c r="K442" s="198" t="s">
        <v>5209</v>
      </c>
      <c r="L442" s="198" t="s">
        <v>2272</v>
      </c>
      <c r="M442" s="198" t="s">
        <v>2272</v>
      </c>
      <c r="N442" s="198"/>
    </row>
    <row r="443" spans="1:14" s="197" customFormat="1" ht="68" customHeight="1">
      <c r="A443" s="198" t="s">
        <v>6167</v>
      </c>
      <c r="B443" s="198" t="s">
        <v>6736</v>
      </c>
      <c r="C443" s="198" t="s">
        <v>1102</v>
      </c>
      <c r="D443" s="198" t="s">
        <v>1102</v>
      </c>
      <c r="E443" s="4" t="s">
        <v>3204</v>
      </c>
      <c r="F443" s="4" t="s">
        <v>2272</v>
      </c>
      <c r="G443" s="198"/>
      <c r="H443" s="198">
        <v>1</v>
      </c>
      <c r="I443" s="4" t="s">
        <v>6773</v>
      </c>
      <c r="J443" s="198">
        <v>2</v>
      </c>
      <c r="K443" s="4" t="s">
        <v>6774</v>
      </c>
      <c r="L443" s="198">
        <v>3</v>
      </c>
      <c r="M443" s="4" t="s">
        <v>6775</v>
      </c>
      <c r="N443" s="198"/>
    </row>
    <row r="444" spans="1:14" s="197" customFormat="1" ht="68" customHeight="1">
      <c r="A444" s="198" t="s">
        <v>6167</v>
      </c>
      <c r="B444" s="198" t="s">
        <v>6737</v>
      </c>
      <c r="C444" s="198" t="s">
        <v>23</v>
      </c>
      <c r="D444" s="198" t="s">
        <v>2654</v>
      </c>
      <c r="E444" s="4" t="s">
        <v>3850</v>
      </c>
      <c r="F444" s="4" t="s">
        <v>27</v>
      </c>
      <c r="G444" s="198"/>
      <c r="H444" s="198">
        <v>0</v>
      </c>
      <c r="I444" s="4" t="s">
        <v>6778</v>
      </c>
      <c r="J444" s="198" t="s">
        <v>2272</v>
      </c>
      <c r="K444" s="198" t="s">
        <v>2272</v>
      </c>
      <c r="L444" s="198" t="s">
        <v>2272</v>
      </c>
      <c r="M444" s="198" t="s">
        <v>2272</v>
      </c>
      <c r="N444" s="198"/>
    </row>
    <row r="445" spans="1:14" s="197" customFormat="1" ht="68" customHeight="1">
      <c r="A445" s="198" t="s">
        <v>6168</v>
      </c>
      <c r="B445" s="198" t="s">
        <v>6228</v>
      </c>
      <c r="C445" s="198" t="s">
        <v>23</v>
      </c>
      <c r="D445" s="198" t="s">
        <v>24</v>
      </c>
      <c r="E445" s="4" t="s">
        <v>3850</v>
      </c>
      <c r="F445" s="198" t="s">
        <v>28</v>
      </c>
      <c r="G445" s="198"/>
      <c r="H445" s="198">
        <v>1</v>
      </c>
      <c r="I445" s="4" t="s">
        <v>6771</v>
      </c>
      <c r="J445" s="198">
        <v>1</v>
      </c>
      <c r="K445" s="4" t="s">
        <v>6772</v>
      </c>
      <c r="L445" s="198" t="s">
        <v>2272</v>
      </c>
      <c r="M445" s="49" t="s">
        <v>2272</v>
      </c>
      <c r="N445" s="198"/>
    </row>
    <row r="446" spans="1:14" s="197" customFormat="1" ht="68" customHeight="1">
      <c r="A446" s="198" t="s">
        <v>6168</v>
      </c>
      <c r="B446" s="198" t="s">
        <v>6741</v>
      </c>
      <c r="C446" s="198" t="s">
        <v>1102</v>
      </c>
      <c r="D446" s="198" t="s">
        <v>1102</v>
      </c>
      <c r="E446" s="4" t="s">
        <v>5795</v>
      </c>
      <c r="F446" s="198" t="s">
        <v>158</v>
      </c>
      <c r="G446" s="198"/>
      <c r="H446" s="198" t="s">
        <v>2272</v>
      </c>
      <c r="I446" s="198" t="s">
        <v>2272</v>
      </c>
      <c r="J446" s="198">
        <v>0</v>
      </c>
      <c r="K446" s="198" t="s">
        <v>5209</v>
      </c>
      <c r="L446" s="198" t="s">
        <v>2272</v>
      </c>
      <c r="M446" s="198" t="s">
        <v>2272</v>
      </c>
      <c r="N446" s="198"/>
    </row>
    <row r="447" spans="1:14" s="197" customFormat="1" ht="68" customHeight="1">
      <c r="A447" s="198" t="s">
        <v>6168</v>
      </c>
      <c r="B447" s="198" t="s">
        <v>6742</v>
      </c>
      <c r="C447" s="198" t="s">
        <v>1102</v>
      </c>
      <c r="D447" s="198" t="s">
        <v>1102</v>
      </c>
      <c r="E447" s="4" t="s">
        <v>3204</v>
      </c>
      <c r="F447" s="4" t="s">
        <v>2272</v>
      </c>
      <c r="G447" s="198"/>
      <c r="H447" s="198">
        <v>1</v>
      </c>
      <c r="I447" s="4" t="s">
        <v>6773</v>
      </c>
      <c r="J447" s="198">
        <v>2</v>
      </c>
      <c r="K447" s="4" t="s">
        <v>6774</v>
      </c>
      <c r="L447" s="198">
        <v>3</v>
      </c>
      <c r="M447" s="4" t="s">
        <v>6775</v>
      </c>
      <c r="N447" s="198"/>
    </row>
    <row r="448" spans="1:14" s="197" customFormat="1" ht="68" customHeight="1">
      <c r="A448" s="198" t="s">
        <v>6168</v>
      </c>
      <c r="B448" s="198" t="s">
        <v>6743</v>
      </c>
      <c r="C448" s="198" t="s">
        <v>23</v>
      </c>
      <c r="D448" s="198" t="s">
        <v>2654</v>
      </c>
      <c r="E448" s="4" t="s">
        <v>3850</v>
      </c>
      <c r="F448" s="4" t="s">
        <v>27</v>
      </c>
      <c r="G448" s="198"/>
      <c r="H448" s="198">
        <v>0</v>
      </c>
      <c r="I448" s="4" t="s">
        <v>6778</v>
      </c>
      <c r="J448" s="198" t="s">
        <v>2272</v>
      </c>
      <c r="K448" s="198" t="s">
        <v>2272</v>
      </c>
      <c r="L448" s="198" t="s">
        <v>2272</v>
      </c>
      <c r="M448" s="198" t="s">
        <v>2272</v>
      </c>
      <c r="N448" s="198"/>
    </row>
    <row r="449" spans="1:14" s="197" customFormat="1" ht="68" customHeight="1">
      <c r="A449" s="198" t="s">
        <v>6169</v>
      </c>
      <c r="B449" s="198" t="s">
        <v>6229</v>
      </c>
      <c r="C449" s="198" t="s">
        <v>23</v>
      </c>
      <c r="D449" s="198" t="s">
        <v>24</v>
      </c>
      <c r="E449" s="4" t="s">
        <v>3850</v>
      </c>
      <c r="F449" s="198" t="s">
        <v>28</v>
      </c>
      <c r="G449" s="198"/>
      <c r="H449" s="198">
        <v>1</v>
      </c>
      <c r="I449" s="4" t="s">
        <v>6771</v>
      </c>
      <c r="J449" s="198">
        <v>1</v>
      </c>
      <c r="K449" s="4" t="s">
        <v>6772</v>
      </c>
      <c r="L449" s="198" t="s">
        <v>2272</v>
      </c>
      <c r="M449" s="49" t="s">
        <v>2272</v>
      </c>
      <c r="N449" s="198"/>
    </row>
    <row r="450" spans="1:14" s="197" customFormat="1" ht="68" customHeight="1">
      <c r="A450" s="198" t="s">
        <v>6169</v>
      </c>
      <c r="B450" s="198" t="s">
        <v>6747</v>
      </c>
      <c r="C450" s="198" t="s">
        <v>1102</v>
      </c>
      <c r="D450" s="198" t="s">
        <v>1102</v>
      </c>
      <c r="E450" s="4" t="s">
        <v>5795</v>
      </c>
      <c r="F450" s="198" t="s">
        <v>158</v>
      </c>
      <c r="G450" s="198"/>
      <c r="H450" s="198" t="s">
        <v>2272</v>
      </c>
      <c r="I450" s="198" t="s">
        <v>2272</v>
      </c>
      <c r="J450" s="198">
        <v>0</v>
      </c>
      <c r="K450" s="198" t="s">
        <v>5209</v>
      </c>
      <c r="L450" s="198" t="s">
        <v>2272</v>
      </c>
      <c r="M450" s="198" t="s">
        <v>2272</v>
      </c>
      <c r="N450" s="198"/>
    </row>
    <row r="451" spans="1:14" s="197" customFormat="1" ht="68" customHeight="1">
      <c r="A451" s="198" t="s">
        <v>6169</v>
      </c>
      <c r="B451" s="198" t="s">
        <v>6748</v>
      </c>
      <c r="C451" s="198" t="s">
        <v>1102</v>
      </c>
      <c r="D451" s="198" t="s">
        <v>1102</v>
      </c>
      <c r="E451" s="4" t="s">
        <v>3204</v>
      </c>
      <c r="F451" s="4" t="s">
        <v>2272</v>
      </c>
      <c r="G451" s="198"/>
      <c r="H451" s="198">
        <v>1</v>
      </c>
      <c r="I451" s="4" t="s">
        <v>6773</v>
      </c>
      <c r="J451" s="198">
        <v>2</v>
      </c>
      <c r="K451" s="4" t="s">
        <v>6774</v>
      </c>
      <c r="L451" s="198">
        <v>3</v>
      </c>
      <c r="M451" s="4" t="s">
        <v>6775</v>
      </c>
      <c r="N451" s="198"/>
    </row>
    <row r="452" spans="1:14" s="197" customFormat="1" ht="68" customHeight="1">
      <c r="A452" s="198" t="s">
        <v>6169</v>
      </c>
      <c r="B452" s="198" t="s">
        <v>6749</v>
      </c>
      <c r="C452" s="198" t="s">
        <v>23</v>
      </c>
      <c r="D452" s="198" t="s">
        <v>2654</v>
      </c>
      <c r="E452" s="4" t="s">
        <v>3850</v>
      </c>
      <c r="F452" s="4" t="s">
        <v>27</v>
      </c>
      <c r="G452" s="198"/>
      <c r="H452" s="198">
        <v>0</v>
      </c>
      <c r="I452" s="4" t="s">
        <v>6778</v>
      </c>
      <c r="J452" s="198" t="s">
        <v>2272</v>
      </c>
      <c r="K452" s="198" t="s">
        <v>2272</v>
      </c>
      <c r="L452" s="198" t="s">
        <v>2272</v>
      </c>
      <c r="M452" s="198" t="s">
        <v>2272</v>
      </c>
      <c r="N452" s="198"/>
    </row>
    <row r="453" spans="1:14" s="197" customFormat="1" ht="68" customHeight="1">
      <c r="A453" s="198" t="s">
        <v>6170</v>
      </c>
      <c r="B453" s="198" t="s">
        <v>6230</v>
      </c>
      <c r="C453" s="198" t="s">
        <v>23</v>
      </c>
      <c r="D453" s="198" t="s">
        <v>24</v>
      </c>
      <c r="E453" s="4" t="s">
        <v>3850</v>
      </c>
      <c r="F453" s="198" t="s">
        <v>28</v>
      </c>
      <c r="G453" s="198"/>
      <c r="H453" s="198">
        <v>1</v>
      </c>
      <c r="I453" s="4" t="s">
        <v>6771</v>
      </c>
      <c r="J453" s="198">
        <v>1</v>
      </c>
      <c r="K453" s="4" t="s">
        <v>6772</v>
      </c>
      <c r="L453" s="198" t="s">
        <v>2272</v>
      </c>
      <c r="M453" s="49" t="s">
        <v>2272</v>
      </c>
      <c r="N453" s="198"/>
    </row>
    <row r="454" spans="1:14" ht="68" customHeight="1">
      <c r="A454" s="198" t="s">
        <v>6170</v>
      </c>
      <c r="B454" s="198" t="s">
        <v>6753</v>
      </c>
      <c r="C454" s="198" t="s">
        <v>1102</v>
      </c>
      <c r="D454" s="198" t="s">
        <v>1102</v>
      </c>
      <c r="E454" s="4" t="s">
        <v>5795</v>
      </c>
      <c r="F454" s="198" t="s">
        <v>158</v>
      </c>
      <c r="G454" s="198"/>
      <c r="H454" s="198" t="s">
        <v>2272</v>
      </c>
      <c r="I454" s="198" t="s">
        <v>2272</v>
      </c>
      <c r="J454" s="198">
        <v>0</v>
      </c>
      <c r="K454" s="198" t="s">
        <v>5209</v>
      </c>
      <c r="L454" s="198" t="s">
        <v>2272</v>
      </c>
      <c r="M454" s="198" t="s">
        <v>2272</v>
      </c>
      <c r="N454" s="198"/>
    </row>
    <row r="455" spans="1:14" ht="68" customHeight="1">
      <c r="A455" s="198" t="s">
        <v>6170</v>
      </c>
      <c r="B455" s="198" t="s">
        <v>6754</v>
      </c>
      <c r="C455" s="198" t="s">
        <v>1102</v>
      </c>
      <c r="D455" s="198" t="s">
        <v>1102</v>
      </c>
      <c r="E455" s="4" t="s">
        <v>3204</v>
      </c>
      <c r="F455" s="4" t="s">
        <v>2272</v>
      </c>
      <c r="G455" s="198"/>
      <c r="H455" s="198">
        <v>1</v>
      </c>
      <c r="I455" s="4" t="s">
        <v>6773</v>
      </c>
      <c r="J455" s="198">
        <v>2</v>
      </c>
      <c r="K455" s="4" t="s">
        <v>6774</v>
      </c>
      <c r="L455" s="198">
        <v>3</v>
      </c>
      <c r="M455" s="4" t="s">
        <v>6775</v>
      </c>
      <c r="N455" s="198"/>
    </row>
    <row r="456" spans="1:14" ht="68" customHeight="1">
      <c r="A456" s="198" t="s">
        <v>6170</v>
      </c>
      <c r="B456" s="198" t="s">
        <v>6755</v>
      </c>
      <c r="C456" s="198" t="s">
        <v>23</v>
      </c>
      <c r="D456" s="198" t="s">
        <v>2654</v>
      </c>
      <c r="E456" s="4" t="s">
        <v>3850</v>
      </c>
      <c r="F456" s="4" t="s">
        <v>27</v>
      </c>
      <c r="G456" s="198"/>
      <c r="H456" s="198">
        <v>0</v>
      </c>
      <c r="I456" s="4" t="s">
        <v>6778</v>
      </c>
      <c r="J456" s="198" t="s">
        <v>2272</v>
      </c>
      <c r="K456" s="198" t="s">
        <v>2272</v>
      </c>
      <c r="L456" s="198" t="s">
        <v>2272</v>
      </c>
      <c r="M456" s="198" t="s">
        <v>2272</v>
      </c>
      <c r="N456" s="198"/>
    </row>
    <row r="457" spans="1:14" ht="68" customHeight="1">
      <c r="A457" s="198" t="s">
        <v>6171</v>
      </c>
      <c r="B457" s="198" t="s">
        <v>6231</v>
      </c>
      <c r="C457" s="198" t="s">
        <v>23</v>
      </c>
      <c r="D457" s="198" t="s">
        <v>24</v>
      </c>
      <c r="E457" s="4" t="s">
        <v>3850</v>
      </c>
      <c r="F457" s="198" t="s">
        <v>28</v>
      </c>
      <c r="G457" s="198"/>
      <c r="H457" s="198">
        <v>1</v>
      </c>
      <c r="I457" s="4" t="s">
        <v>6771</v>
      </c>
      <c r="J457" s="198">
        <v>1</v>
      </c>
      <c r="K457" s="4" t="s">
        <v>6772</v>
      </c>
      <c r="L457" s="198" t="s">
        <v>2272</v>
      </c>
      <c r="M457" s="49" t="s">
        <v>2272</v>
      </c>
      <c r="N457" s="198"/>
    </row>
    <row r="458" spans="1:14" ht="68" customHeight="1">
      <c r="A458" s="198" t="s">
        <v>6171</v>
      </c>
      <c r="B458" s="198" t="s">
        <v>6759</v>
      </c>
      <c r="C458" s="198" t="s">
        <v>1102</v>
      </c>
      <c r="D458" s="198" t="s">
        <v>1102</v>
      </c>
      <c r="E458" s="4" t="s">
        <v>5795</v>
      </c>
      <c r="F458" s="198" t="s">
        <v>158</v>
      </c>
      <c r="G458" s="198"/>
      <c r="H458" s="198" t="s">
        <v>2272</v>
      </c>
      <c r="I458" s="198" t="s">
        <v>2272</v>
      </c>
      <c r="J458" s="198">
        <v>0</v>
      </c>
      <c r="K458" s="198" t="s">
        <v>5209</v>
      </c>
      <c r="L458" s="198" t="s">
        <v>2272</v>
      </c>
      <c r="M458" s="198" t="s">
        <v>2272</v>
      </c>
      <c r="N458" s="198"/>
    </row>
    <row r="459" spans="1:14" ht="68" customHeight="1">
      <c r="A459" s="198" t="s">
        <v>6171</v>
      </c>
      <c r="B459" s="198" t="s">
        <v>6760</v>
      </c>
      <c r="C459" s="198" t="s">
        <v>1102</v>
      </c>
      <c r="D459" s="198" t="s">
        <v>1102</v>
      </c>
      <c r="E459" s="4" t="s">
        <v>3204</v>
      </c>
      <c r="F459" s="4" t="s">
        <v>2272</v>
      </c>
      <c r="G459" s="198"/>
      <c r="H459" s="198">
        <v>1</v>
      </c>
      <c r="I459" s="4" t="s">
        <v>6773</v>
      </c>
      <c r="J459" s="198">
        <v>2</v>
      </c>
      <c r="K459" s="4" t="s">
        <v>6774</v>
      </c>
      <c r="L459" s="198">
        <v>3</v>
      </c>
      <c r="M459" s="4" t="s">
        <v>6775</v>
      </c>
      <c r="N459" s="198"/>
    </row>
    <row r="460" spans="1:14" ht="66" customHeight="1">
      <c r="A460" s="198" t="s">
        <v>6171</v>
      </c>
      <c r="B460" s="198" t="s">
        <v>6761</v>
      </c>
      <c r="C460" s="198" t="s">
        <v>23</v>
      </c>
      <c r="D460" s="198" t="s">
        <v>2654</v>
      </c>
      <c r="E460" s="4" t="s">
        <v>3850</v>
      </c>
      <c r="F460" s="4" t="s">
        <v>27</v>
      </c>
      <c r="G460" s="198"/>
      <c r="H460" s="198">
        <v>0</v>
      </c>
      <c r="I460" s="4" t="s">
        <v>6778</v>
      </c>
      <c r="J460" s="198" t="s">
        <v>2272</v>
      </c>
      <c r="K460" s="198" t="s">
        <v>2272</v>
      </c>
      <c r="L460" s="198" t="s">
        <v>2272</v>
      </c>
      <c r="M460" s="198" t="s">
        <v>2272</v>
      </c>
      <c r="N460" s="198"/>
    </row>
    <row r="461" spans="1:14" ht="43.5">
      <c r="A461" s="198" t="s">
        <v>6172</v>
      </c>
      <c r="B461" s="198" t="s">
        <v>6232</v>
      </c>
      <c r="C461" s="198" t="s">
        <v>23</v>
      </c>
      <c r="D461" s="198" t="s">
        <v>24</v>
      </c>
      <c r="E461" s="4" t="s">
        <v>3850</v>
      </c>
      <c r="F461" s="198" t="s">
        <v>28</v>
      </c>
      <c r="G461" s="198"/>
      <c r="H461" s="198">
        <v>1</v>
      </c>
      <c r="I461" s="4" t="s">
        <v>6771</v>
      </c>
      <c r="J461" s="198">
        <v>1</v>
      </c>
      <c r="K461" s="4" t="s">
        <v>6772</v>
      </c>
      <c r="L461" s="198" t="s">
        <v>2272</v>
      </c>
      <c r="M461" s="49" t="s">
        <v>2272</v>
      </c>
      <c r="N461" s="198"/>
    </row>
    <row r="462" spans="1:14" ht="35.5" customHeight="1">
      <c r="A462" s="198" t="s">
        <v>6172</v>
      </c>
      <c r="B462" s="198" t="s">
        <v>6765</v>
      </c>
      <c r="C462" s="198" t="s">
        <v>1102</v>
      </c>
      <c r="D462" s="198" t="s">
        <v>1102</v>
      </c>
      <c r="E462" s="4" t="s">
        <v>5795</v>
      </c>
      <c r="F462" s="198" t="s">
        <v>158</v>
      </c>
      <c r="G462" s="198"/>
      <c r="H462" s="198" t="s">
        <v>2272</v>
      </c>
      <c r="I462" s="198" t="s">
        <v>2272</v>
      </c>
      <c r="J462" s="198">
        <v>0</v>
      </c>
      <c r="K462" s="198" t="s">
        <v>5209</v>
      </c>
      <c r="L462" s="198" t="s">
        <v>2272</v>
      </c>
      <c r="M462" s="198" t="s">
        <v>2272</v>
      </c>
      <c r="N462" s="198"/>
    </row>
    <row r="463" spans="1:14" ht="29">
      <c r="A463" s="198" t="s">
        <v>6172</v>
      </c>
      <c r="B463" s="198" t="s">
        <v>6766</v>
      </c>
      <c r="C463" s="198" t="s">
        <v>1102</v>
      </c>
      <c r="D463" s="198" t="s">
        <v>1102</v>
      </c>
      <c r="E463" s="4" t="s">
        <v>3204</v>
      </c>
      <c r="F463" s="4" t="s">
        <v>2272</v>
      </c>
      <c r="G463" s="198"/>
      <c r="H463" s="198">
        <v>1</v>
      </c>
      <c r="I463" s="4" t="s">
        <v>6773</v>
      </c>
      <c r="J463" s="198">
        <v>2</v>
      </c>
      <c r="K463" s="4" t="s">
        <v>6774</v>
      </c>
      <c r="L463" s="198">
        <v>3</v>
      </c>
      <c r="M463" s="4" t="s">
        <v>6775</v>
      </c>
      <c r="N463" s="198"/>
    </row>
    <row r="464" spans="1:14" ht="51" customHeight="1">
      <c r="A464" s="198" t="s">
        <v>6172</v>
      </c>
      <c r="B464" s="198" t="s">
        <v>6767</v>
      </c>
      <c r="C464" s="198" t="s">
        <v>23</v>
      </c>
      <c r="D464" s="198" t="s">
        <v>2654</v>
      </c>
      <c r="E464" s="4" t="s">
        <v>3850</v>
      </c>
      <c r="F464" s="4" t="s">
        <v>27</v>
      </c>
      <c r="G464" s="198"/>
      <c r="H464" s="198">
        <v>0</v>
      </c>
      <c r="I464" s="4" t="s">
        <v>6778</v>
      </c>
      <c r="J464" s="198" t="s">
        <v>2272</v>
      </c>
      <c r="K464" s="198" t="s">
        <v>2272</v>
      </c>
      <c r="L464" s="198" t="s">
        <v>2272</v>
      </c>
      <c r="M464" s="198" t="s">
        <v>2272</v>
      </c>
      <c r="N464" s="198"/>
    </row>
    <row r="465" spans="1:14" s="197" customFormat="1" ht="51" customHeight="1">
      <c r="A465" s="198" t="s">
        <v>6173</v>
      </c>
      <c r="B465" s="198" t="s">
        <v>6233</v>
      </c>
      <c r="C465" s="198" t="s">
        <v>1102</v>
      </c>
      <c r="D465" s="198" t="s">
        <v>1102</v>
      </c>
      <c r="E465" s="4" t="s">
        <v>5795</v>
      </c>
      <c r="F465" s="198" t="s">
        <v>158</v>
      </c>
      <c r="G465" s="198"/>
      <c r="H465" s="198" t="s">
        <v>2272</v>
      </c>
      <c r="I465" s="198" t="s">
        <v>2272</v>
      </c>
      <c r="J465" s="198">
        <v>0</v>
      </c>
      <c r="K465" s="198" t="s">
        <v>5209</v>
      </c>
      <c r="L465" s="198" t="s">
        <v>2272</v>
      </c>
      <c r="M465" s="198" t="s">
        <v>2272</v>
      </c>
      <c r="N465" s="198"/>
    </row>
    <row r="466" spans="1:14" s="197" customFormat="1" ht="51" customHeight="1">
      <c r="A466" s="19" t="s">
        <v>6174</v>
      </c>
      <c r="B466" s="19" t="s">
        <v>6234</v>
      </c>
      <c r="C466" s="198" t="s">
        <v>1102</v>
      </c>
      <c r="D466" s="198" t="s">
        <v>1102</v>
      </c>
      <c r="E466" s="4" t="s">
        <v>5795</v>
      </c>
      <c r="F466" s="198" t="s">
        <v>158</v>
      </c>
      <c r="G466" s="198"/>
      <c r="H466" s="198" t="s">
        <v>2272</v>
      </c>
      <c r="I466" s="198" t="s">
        <v>2272</v>
      </c>
      <c r="J466" s="198">
        <v>0</v>
      </c>
      <c r="K466" s="198" t="s">
        <v>5209</v>
      </c>
      <c r="L466" s="198" t="s">
        <v>2272</v>
      </c>
      <c r="M466" s="198" t="s">
        <v>2272</v>
      </c>
      <c r="N466" s="198"/>
    </row>
    <row r="467" spans="1:14" s="197" customFormat="1" ht="51" customHeight="1">
      <c r="A467" s="19" t="s">
        <v>6801</v>
      </c>
      <c r="B467" s="19" t="s">
        <v>6859</v>
      </c>
      <c r="C467" s="198" t="s">
        <v>1102</v>
      </c>
      <c r="D467" s="198" t="s">
        <v>1102</v>
      </c>
      <c r="E467" s="4" t="s">
        <v>5795</v>
      </c>
      <c r="F467" s="198" t="s">
        <v>158</v>
      </c>
      <c r="G467" s="198"/>
      <c r="H467" s="198" t="s">
        <v>2272</v>
      </c>
      <c r="I467" s="198" t="s">
        <v>2272</v>
      </c>
      <c r="J467" s="198">
        <v>0</v>
      </c>
      <c r="K467" s="198" t="s">
        <v>5209</v>
      </c>
      <c r="L467" s="198" t="s">
        <v>2272</v>
      </c>
      <c r="M467" s="198" t="s">
        <v>2272</v>
      </c>
      <c r="N467" s="198"/>
    </row>
    <row r="468" spans="1:14" s="197" customFormat="1" ht="51" customHeight="1">
      <c r="A468" s="19" t="s">
        <v>6802</v>
      </c>
      <c r="B468" s="19" t="s">
        <v>6860</v>
      </c>
      <c r="C468" s="198" t="s">
        <v>1102</v>
      </c>
      <c r="D468" s="198" t="s">
        <v>1102</v>
      </c>
      <c r="E468" s="4" t="s">
        <v>5795</v>
      </c>
      <c r="F468" s="198" t="s">
        <v>158</v>
      </c>
      <c r="G468" s="198"/>
      <c r="H468" s="198" t="s">
        <v>2272</v>
      </c>
      <c r="I468" s="198" t="s">
        <v>2272</v>
      </c>
      <c r="J468" s="198">
        <v>0</v>
      </c>
      <c r="K468" s="198" t="s">
        <v>5209</v>
      </c>
      <c r="L468" s="198" t="s">
        <v>2272</v>
      </c>
      <c r="M468" s="198" t="s">
        <v>2272</v>
      </c>
      <c r="N468" s="198"/>
    </row>
    <row r="469" spans="1:14" s="197" customFormat="1" ht="51" customHeight="1">
      <c r="A469" s="19" t="s">
        <v>6803</v>
      </c>
      <c r="B469" s="19" t="s">
        <v>6861</v>
      </c>
      <c r="C469" s="198" t="s">
        <v>1102</v>
      </c>
      <c r="D469" s="198" t="s">
        <v>1102</v>
      </c>
      <c r="E469" s="4" t="s">
        <v>5795</v>
      </c>
      <c r="F469" s="198" t="s">
        <v>158</v>
      </c>
      <c r="G469" s="198"/>
      <c r="H469" s="198" t="s">
        <v>2272</v>
      </c>
      <c r="I469" s="198" t="s">
        <v>2272</v>
      </c>
      <c r="J469" s="198">
        <v>0</v>
      </c>
      <c r="K469" s="198" t="s">
        <v>5209</v>
      </c>
      <c r="L469" s="198" t="s">
        <v>2272</v>
      </c>
      <c r="M469" s="198" t="s">
        <v>2272</v>
      </c>
      <c r="N469" s="198"/>
    </row>
    <row r="470" spans="1:14" s="197" customFormat="1" ht="51" customHeight="1">
      <c r="A470" s="19" t="s">
        <v>6804</v>
      </c>
      <c r="B470" s="19" t="s">
        <v>6862</v>
      </c>
      <c r="C470" s="198" t="s">
        <v>1102</v>
      </c>
      <c r="D470" s="198" t="s">
        <v>1102</v>
      </c>
      <c r="E470" s="4" t="s">
        <v>5795</v>
      </c>
      <c r="F470" s="198" t="s">
        <v>158</v>
      </c>
      <c r="G470" s="198"/>
      <c r="H470" s="198" t="s">
        <v>2272</v>
      </c>
      <c r="I470" s="198" t="s">
        <v>2272</v>
      </c>
      <c r="J470" s="198">
        <v>0</v>
      </c>
      <c r="K470" s="198" t="s">
        <v>5209</v>
      </c>
      <c r="L470" s="198" t="s">
        <v>2272</v>
      </c>
      <c r="M470" s="198" t="s">
        <v>2272</v>
      </c>
      <c r="N470" s="198"/>
    </row>
    <row r="471" spans="1:14" s="197" customFormat="1" ht="51" customHeight="1">
      <c r="A471" s="19" t="s">
        <v>6805</v>
      </c>
      <c r="B471" s="19" t="s">
        <v>6863</v>
      </c>
      <c r="C471" s="198" t="s">
        <v>1102</v>
      </c>
      <c r="D471" s="198" t="s">
        <v>1102</v>
      </c>
      <c r="E471" s="4" t="s">
        <v>5795</v>
      </c>
      <c r="F471" s="198" t="s">
        <v>158</v>
      </c>
      <c r="G471" s="198"/>
      <c r="H471" s="198" t="s">
        <v>2272</v>
      </c>
      <c r="I471" s="198" t="s">
        <v>2272</v>
      </c>
      <c r="J471" s="198">
        <v>0</v>
      </c>
      <c r="K471" s="198" t="s">
        <v>5209</v>
      </c>
      <c r="L471" s="198" t="s">
        <v>2272</v>
      </c>
      <c r="M471" s="198" t="s">
        <v>2272</v>
      </c>
      <c r="N471" s="198"/>
    </row>
    <row r="472" spans="1:14" s="197" customFormat="1" ht="51" customHeight="1">
      <c r="A472" s="19" t="s">
        <v>6806</v>
      </c>
      <c r="B472" s="19" t="s">
        <v>6864</v>
      </c>
      <c r="C472" s="198" t="s">
        <v>1102</v>
      </c>
      <c r="D472" s="198" t="s">
        <v>1102</v>
      </c>
      <c r="E472" s="4" t="s">
        <v>5795</v>
      </c>
      <c r="F472" s="198" t="s">
        <v>158</v>
      </c>
      <c r="G472" s="198"/>
      <c r="H472" s="198" t="s">
        <v>2272</v>
      </c>
      <c r="I472" s="198" t="s">
        <v>2272</v>
      </c>
      <c r="J472" s="198">
        <v>0</v>
      </c>
      <c r="K472" s="198" t="s">
        <v>5209</v>
      </c>
      <c r="L472" s="198" t="s">
        <v>2272</v>
      </c>
      <c r="M472" s="198" t="s">
        <v>2272</v>
      </c>
      <c r="N472" s="198"/>
    </row>
    <row r="473" spans="1:14" s="197" customFormat="1" ht="51" customHeight="1">
      <c r="A473" s="19" t="s">
        <v>6807</v>
      </c>
      <c r="B473" s="19" t="s">
        <v>6865</v>
      </c>
      <c r="C473" s="198" t="s">
        <v>1102</v>
      </c>
      <c r="D473" s="198" t="s">
        <v>1102</v>
      </c>
      <c r="E473" s="4" t="s">
        <v>5795</v>
      </c>
      <c r="F473" s="198" t="s">
        <v>158</v>
      </c>
      <c r="G473" s="198"/>
      <c r="H473" s="198" t="s">
        <v>2272</v>
      </c>
      <c r="I473" s="198" t="s">
        <v>2272</v>
      </c>
      <c r="J473" s="198">
        <v>0</v>
      </c>
      <c r="K473" s="198" t="s">
        <v>5209</v>
      </c>
      <c r="L473" s="198" t="s">
        <v>2272</v>
      </c>
      <c r="M473" s="198" t="s">
        <v>2272</v>
      </c>
      <c r="N473" s="198"/>
    </row>
    <row r="474" spans="1:14" s="197" customFormat="1" ht="51" customHeight="1">
      <c r="A474" s="19" t="s">
        <v>6808</v>
      </c>
      <c r="B474" s="19" t="s">
        <v>6866</v>
      </c>
      <c r="C474" s="198" t="s">
        <v>1102</v>
      </c>
      <c r="D474" s="198" t="s">
        <v>1102</v>
      </c>
      <c r="E474" s="4" t="s">
        <v>5795</v>
      </c>
      <c r="F474" s="198" t="s">
        <v>158</v>
      </c>
      <c r="G474" s="198"/>
      <c r="H474" s="198" t="s">
        <v>2272</v>
      </c>
      <c r="I474" s="198" t="s">
        <v>2272</v>
      </c>
      <c r="J474" s="198">
        <v>0</v>
      </c>
      <c r="K474" s="198" t="s">
        <v>5209</v>
      </c>
      <c r="L474" s="198" t="s">
        <v>2272</v>
      </c>
      <c r="M474" s="198" t="s">
        <v>2272</v>
      </c>
      <c r="N474" s="198"/>
    </row>
    <row r="475" spans="1:14" s="197" customFormat="1" ht="51" customHeight="1">
      <c r="A475" s="19" t="s">
        <v>6809</v>
      </c>
      <c r="B475" s="19" t="s">
        <v>6867</v>
      </c>
      <c r="C475" s="198" t="s">
        <v>1102</v>
      </c>
      <c r="D475" s="198" t="s">
        <v>1102</v>
      </c>
      <c r="E475" s="4" t="s">
        <v>5795</v>
      </c>
      <c r="F475" s="198" t="s">
        <v>158</v>
      </c>
      <c r="G475" s="198"/>
      <c r="H475" s="198" t="s">
        <v>2272</v>
      </c>
      <c r="I475" s="198" t="s">
        <v>2272</v>
      </c>
      <c r="J475" s="198">
        <v>0</v>
      </c>
      <c r="K475" s="198" t="s">
        <v>5209</v>
      </c>
      <c r="L475" s="198" t="s">
        <v>2272</v>
      </c>
      <c r="M475" s="198" t="s">
        <v>2272</v>
      </c>
      <c r="N475" s="198"/>
    </row>
    <row r="476" spans="1:14" s="197" customFormat="1" ht="51" customHeight="1">
      <c r="A476" s="19" t="s">
        <v>6810</v>
      </c>
      <c r="B476" s="19" t="s">
        <v>6868</v>
      </c>
      <c r="C476" s="198" t="s">
        <v>1102</v>
      </c>
      <c r="D476" s="198" t="s">
        <v>1102</v>
      </c>
      <c r="E476" s="4" t="s">
        <v>5795</v>
      </c>
      <c r="F476" s="198" t="s">
        <v>158</v>
      </c>
      <c r="G476" s="198"/>
      <c r="H476" s="198" t="s">
        <v>2272</v>
      </c>
      <c r="I476" s="198" t="s">
        <v>2272</v>
      </c>
      <c r="J476" s="198">
        <v>0</v>
      </c>
      <c r="K476" s="198" t="s">
        <v>5209</v>
      </c>
      <c r="L476" s="198" t="s">
        <v>2272</v>
      </c>
      <c r="M476" s="198" t="s">
        <v>2272</v>
      </c>
      <c r="N476" s="198"/>
    </row>
    <row r="477" spans="1:14" s="197" customFormat="1" ht="51" customHeight="1">
      <c r="A477" s="19" t="s">
        <v>6811</v>
      </c>
      <c r="B477" s="19" t="s">
        <v>6869</v>
      </c>
      <c r="C477" s="198" t="s">
        <v>1102</v>
      </c>
      <c r="D477" s="198" t="s">
        <v>1102</v>
      </c>
      <c r="E477" s="4" t="s">
        <v>5795</v>
      </c>
      <c r="F477" s="198" t="s">
        <v>158</v>
      </c>
      <c r="G477" s="198"/>
      <c r="H477" s="198" t="s">
        <v>2272</v>
      </c>
      <c r="I477" s="198" t="s">
        <v>2272</v>
      </c>
      <c r="J477" s="198">
        <v>0</v>
      </c>
      <c r="K477" s="198" t="s">
        <v>5209</v>
      </c>
      <c r="L477" s="198" t="s">
        <v>2272</v>
      </c>
      <c r="M477" s="198" t="s">
        <v>2272</v>
      </c>
      <c r="N477" s="198"/>
    </row>
    <row r="478" spans="1:14" s="197" customFormat="1" ht="51" customHeight="1">
      <c r="A478" s="19" t="s">
        <v>6812</v>
      </c>
      <c r="B478" s="19" t="s">
        <v>6870</v>
      </c>
      <c r="C478" s="198" t="s">
        <v>1102</v>
      </c>
      <c r="D478" s="198" t="s">
        <v>1102</v>
      </c>
      <c r="E478" s="4" t="s">
        <v>5795</v>
      </c>
      <c r="F478" s="198" t="s">
        <v>158</v>
      </c>
      <c r="G478" s="198"/>
      <c r="H478" s="198" t="s">
        <v>2272</v>
      </c>
      <c r="I478" s="198" t="s">
        <v>2272</v>
      </c>
      <c r="J478" s="198">
        <v>0</v>
      </c>
      <c r="K478" s="198" t="s">
        <v>5209</v>
      </c>
      <c r="L478" s="198" t="s">
        <v>2272</v>
      </c>
      <c r="M478" s="198" t="s">
        <v>2272</v>
      </c>
      <c r="N478" s="198"/>
    </row>
    <row r="479" spans="1:14" s="197" customFormat="1" ht="51" customHeight="1">
      <c r="A479" s="19" t="s">
        <v>6813</v>
      </c>
      <c r="B479" s="19" t="s">
        <v>6871</v>
      </c>
      <c r="C479" s="198" t="s">
        <v>1102</v>
      </c>
      <c r="D479" s="198" t="s">
        <v>1102</v>
      </c>
      <c r="E479" s="4" t="s">
        <v>5795</v>
      </c>
      <c r="F479" s="198" t="s">
        <v>158</v>
      </c>
      <c r="G479" s="198"/>
      <c r="H479" s="198" t="s">
        <v>2272</v>
      </c>
      <c r="I479" s="198" t="s">
        <v>2272</v>
      </c>
      <c r="J479" s="198">
        <v>0</v>
      </c>
      <c r="K479" s="198" t="s">
        <v>5209</v>
      </c>
      <c r="L479" s="198" t="s">
        <v>2272</v>
      </c>
      <c r="M479" s="198" t="s">
        <v>2272</v>
      </c>
      <c r="N479" s="198"/>
    </row>
    <row r="480" spans="1:14" s="197" customFormat="1" ht="51" customHeight="1">
      <c r="A480" s="19" t="s">
        <v>6814</v>
      </c>
      <c r="B480" s="19" t="s">
        <v>6872</v>
      </c>
      <c r="C480" s="198" t="s">
        <v>1102</v>
      </c>
      <c r="D480" s="198" t="s">
        <v>1102</v>
      </c>
      <c r="E480" s="4" t="s">
        <v>5795</v>
      </c>
      <c r="F480" s="198" t="s">
        <v>158</v>
      </c>
      <c r="G480" s="198"/>
      <c r="H480" s="198" t="s">
        <v>2272</v>
      </c>
      <c r="I480" s="198" t="s">
        <v>2272</v>
      </c>
      <c r="J480" s="198">
        <v>0</v>
      </c>
      <c r="K480" s="198" t="s">
        <v>5209</v>
      </c>
      <c r="L480" s="198" t="s">
        <v>2272</v>
      </c>
      <c r="M480" s="198" t="s">
        <v>2272</v>
      </c>
      <c r="N480" s="198"/>
    </row>
    <row r="481" spans="1:14" s="197" customFormat="1" ht="51" customHeight="1">
      <c r="A481" s="19" t="s">
        <v>6815</v>
      </c>
      <c r="B481" s="19" t="s">
        <v>6873</v>
      </c>
      <c r="C481" s="198" t="s">
        <v>1102</v>
      </c>
      <c r="D481" s="198" t="s">
        <v>1102</v>
      </c>
      <c r="E481" s="4" t="s">
        <v>5795</v>
      </c>
      <c r="F481" s="198" t="s">
        <v>158</v>
      </c>
      <c r="G481" s="198"/>
      <c r="H481" s="198" t="s">
        <v>2272</v>
      </c>
      <c r="I481" s="198" t="s">
        <v>2272</v>
      </c>
      <c r="J481" s="198">
        <v>0</v>
      </c>
      <c r="K481" s="198" t="s">
        <v>5209</v>
      </c>
      <c r="L481" s="198" t="s">
        <v>2272</v>
      </c>
      <c r="M481" s="198" t="s">
        <v>2272</v>
      </c>
      <c r="N481" s="198"/>
    </row>
    <row r="482" spans="1:14" s="197" customFormat="1" ht="51" customHeight="1">
      <c r="A482" s="19" t="s">
        <v>6816</v>
      </c>
      <c r="B482" s="19" t="s">
        <v>6874</v>
      </c>
      <c r="C482" s="198" t="s">
        <v>1102</v>
      </c>
      <c r="D482" s="198" t="s">
        <v>1102</v>
      </c>
      <c r="E482" s="4" t="s">
        <v>5795</v>
      </c>
      <c r="F482" s="198" t="s">
        <v>158</v>
      </c>
      <c r="G482" s="198"/>
      <c r="H482" s="198" t="s">
        <v>2272</v>
      </c>
      <c r="I482" s="198" t="s">
        <v>2272</v>
      </c>
      <c r="J482" s="198">
        <v>0</v>
      </c>
      <c r="K482" s="198" t="s">
        <v>5209</v>
      </c>
      <c r="L482" s="198" t="s">
        <v>2272</v>
      </c>
      <c r="M482" s="198" t="s">
        <v>2272</v>
      </c>
      <c r="N482" s="198"/>
    </row>
    <row r="483" spans="1:14" s="197" customFormat="1" ht="51" customHeight="1">
      <c r="A483" s="19" t="s">
        <v>6817</v>
      </c>
      <c r="B483" s="19" t="s">
        <v>6875</v>
      </c>
      <c r="C483" s="198" t="s">
        <v>1102</v>
      </c>
      <c r="D483" s="198" t="s">
        <v>1102</v>
      </c>
      <c r="E483" s="4" t="s">
        <v>5795</v>
      </c>
      <c r="F483" s="198" t="s">
        <v>158</v>
      </c>
      <c r="G483" s="198"/>
      <c r="H483" s="198" t="s">
        <v>2272</v>
      </c>
      <c r="I483" s="198" t="s">
        <v>2272</v>
      </c>
      <c r="J483" s="198">
        <v>0</v>
      </c>
      <c r="K483" s="198" t="s">
        <v>5209</v>
      </c>
      <c r="L483" s="198" t="s">
        <v>2272</v>
      </c>
      <c r="M483" s="198" t="s">
        <v>2272</v>
      </c>
      <c r="N483" s="198"/>
    </row>
    <row r="484" spans="1:14" s="197" customFormat="1" ht="51" customHeight="1">
      <c r="A484" s="19" t="s">
        <v>6818</v>
      </c>
      <c r="B484" s="19" t="s">
        <v>6876</v>
      </c>
      <c r="C484" s="198" t="s">
        <v>1102</v>
      </c>
      <c r="D484" s="198" t="s">
        <v>1102</v>
      </c>
      <c r="E484" s="4" t="s">
        <v>5795</v>
      </c>
      <c r="F484" s="198" t="s">
        <v>158</v>
      </c>
      <c r="G484" s="198"/>
      <c r="H484" s="198" t="s">
        <v>2272</v>
      </c>
      <c r="I484" s="198" t="s">
        <v>2272</v>
      </c>
      <c r="J484" s="198">
        <v>0</v>
      </c>
      <c r="K484" s="198" t="s">
        <v>5209</v>
      </c>
      <c r="L484" s="198" t="s">
        <v>2272</v>
      </c>
      <c r="M484" s="198" t="s">
        <v>2272</v>
      </c>
      <c r="N484" s="198"/>
    </row>
    <row r="485" spans="1:14" s="197" customFormat="1" ht="51" customHeight="1">
      <c r="A485" s="19" t="s">
        <v>6819</v>
      </c>
      <c r="B485" s="19" t="s">
        <v>6877</v>
      </c>
      <c r="C485" s="198" t="s">
        <v>1102</v>
      </c>
      <c r="D485" s="198" t="s">
        <v>1102</v>
      </c>
      <c r="E485" s="4" t="s">
        <v>5795</v>
      </c>
      <c r="F485" s="198" t="s">
        <v>158</v>
      </c>
      <c r="G485" s="198"/>
      <c r="H485" s="198" t="s">
        <v>2272</v>
      </c>
      <c r="I485" s="198" t="s">
        <v>2272</v>
      </c>
      <c r="J485" s="198">
        <v>0</v>
      </c>
      <c r="K485" s="198" t="s">
        <v>5209</v>
      </c>
      <c r="L485" s="198" t="s">
        <v>2272</v>
      </c>
      <c r="M485" s="198" t="s">
        <v>2272</v>
      </c>
      <c r="N485" s="198"/>
    </row>
    <row r="486" spans="1:14" s="197" customFormat="1" ht="51" customHeight="1">
      <c r="A486" s="19" t="s">
        <v>6820</v>
      </c>
      <c r="B486" s="19" t="s">
        <v>6878</v>
      </c>
      <c r="C486" s="198" t="s">
        <v>1102</v>
      </c>
      <c r="D486" s="198" t="s">
        <v>1102</v>
      </c>
      <c r="E486" s="4" t="s">
        <v>5795</v>
      </c>
      <c r="F486" s="198" t="s">
        <v>158</v>
      </c>
      <c r="G486" s="198"/>
      <c r="H486" s="198" t="s">
        <v>2272</v>
      </c>
      <c r="I486" s="198" t="s">
        <v>2272</v>
      </c>
      <c r="J486" s="198">
        <v>0</v>
      </c>
      <c r="K486" s="198" t="s">
        <v>5209</v>
      </c>
      <c r="L486" s="198" t="s">
        <v>2272</v>
      </c>
      <c r="M486" s="198" t="s">
        <v>2272</v>
      </c>
      <c r="N486" s="198"/>
    </row>
    <row r="487" spans="1:14" s="197" customFormat="1" ht="51" customHeight="1">
      <c r="A487" s="19" t="s">
        <v>6821</v>
      </c>
      <c r="B487" s="19" t="s">
        <v>6879</v>
      </c>
      <c r="C487" s="198" t="s">
        <v>1102</v>
      </c>
      <c r="D487" s="198" t="s">
        <v>1102</v>
      </c>
      <c r="E487" s="4" t="s">
        <v>5795</v>
      </c>
      <c r="F487" s="198" t="s">
        <v>158</v>
      </c>
      <c r="G487" s="198"/>
      <c r="H487" s="198" t="s">
        <v>2272</v>
      </c>
      <c r="I487" s="198" t="s">
        <v>2272</v>
      </c>
      <c r="J487" s="198">
        <v>0</v>
      </c>
      <c r="K487" s="198" t="s">
        <v>5209</v>
      </c>
      <c r="L487" s="198" t="s">
        <v>2272</v>
      </c>
      <c r="M487" s="198" t="s">
        <v>2272</v>
      </c>
      <c r="N487" s="198"/>
    </row>
    <row r="488" spans="1:14" s="197" customFormat="1" ht="51" customHeight="1">
      <c r="A488" s="19" t="s">
        <v>6822</v>
      </c>
      <c r="B488" s="19" t="s">
        <v>6880</v>
      </c>
      <c r="C488" s="198" t="s">
        <v>1102</v>
      </c>
      <c r="D488" s="198" t="s">
        <v>1102</v>
      </c>
      <c r="E488" s="4" t="s">
        <v>5795</v>
      </c>
      <c r="F488" s="198" t="s">
        <v>158</v>
      </c>
      <c r="G488" s="198"/>
      <c r="H488" s="198" t="s">
        <v>2272</v>
      </c>
      <c r="I488" s="198" t="s">
        <v>2272</v>
      </c>
      <c r="J488" s="198">
        <v>0</v>
      </c>
      <c r="K488" s="198" t="s">
        <v>5209</v>
      </c>
      <c r="L488" s="198" t="s">
        <v>2272</v>
      </c>
      <c r="M488" s="198" t="s">
        <v>2272</v>
      </c>
      <c r="N488" s="198"/>
    </row>
    <row r="489" spans="1:14" s="197" customFormat="1" ht="51" customHeight="1">
      <c r="A489" s="19" t="s">
        <v>6823</v>
      </c>
      <c r="B489" s="19" t="s">
        <v>6881</v>
      </c>
      <c r="C489" s="198" t="s">
        <v>1102</v>
      </c>
      <c r="D489" s="198" t="s">
        <v>1102</v>
      </c>
      <c r="E489" s="4" t="s">
        <v>5795</v>
      </c>
      <c r="F489" s="198" t="s">
        <v>158</v>
      </c>
      <c r="G489" s="198"/>
      <c r="H489" s="198" t="s">
        <v>2272</v>
      </c>
      <c r="I489" s="198" t="s">
        <v>2272</v>
      </c>
      <c r="J489" s="198">
        <v>0</v>
      </c>
      <c r="K489" s="198" t="s">
        <v>5209</v>
      </c>
      <c r="L489" s="198" t="s">
        <v>2272</v>
      </c>
      <c r="M489" s="198" t="s">
        <v>2272</v>
      </c>
      <c r="N489" s="198"/>
    </row>
    <row r="490" spans="1:14" s="197" customFormat="1" ht="51" customHeight="1">
      <c r="A490" s="19" t="s">
        <v>6174</v>
      </c>
      <c r="B490" s="19" t="s">
        <v>6235</v>
      </c>
      <c r="C490" s="198" t="s">
        <v>1102</v>
      </c>
      <c r="D490" s="198" t="s">
        <v>1102</v>
      </c>
      <c r="E490" s="19" t="s">
        <v>3850</v>
      </c>
      <c r="F490" s="198" t="s">
        <v>28</v>
      </c>
      <c r="G490" s="198"/>
      <c r="H490" s="198" t="s">
        <v>2272</v>
      </c>
      <c r="I490" s="198" t="s">
        <v>2272</v>
      </c>
      <c r="J490" s="198">
        <v>2</v>
      </c>
      <c r="K490" s="4" t="s">
        <v>6888</v>
      </c>
      <c r="L490" s="198" t="s">
        <v>2272</v>
      </c>
      <c r="M490" s="198" t="s">
        <v>2272</v>
      </c>
      <c r="N490" s="198"/>
    </row>
    <row r="491" spans="1:14" s="197" customFormat="1" ht="51" customHeight="1">
      <c r="A491" s="19" t="s">
        <v>6801</v>
      </c>
      <c r="B491" s="19" t="s">
        <v>6882</v>
      </c>
      <c r="C491" s="198" t="s">
        <v>1102</v>
      </c>
      <c r="D491" s="198" t="s">
        <v>1102</v>
      </c>
      <c r="E491" s="19" t="s">
        <v>3850</v>
      </c>
      <c r="F491" s="198" t="s">
        <v>28</v>
      </c>
      <c r="G491" s="198"/>
      <c r="H491" s="198" t="s">
        <v>2272</v>
      </c>
      <c r="I491" s="198" t="s">
        <v>2272</v>
      </c>
      <c r="J491" s="198">
        <v>2</v>
      </c>
      <c r="K491" s="4" t="s">
        <v>6888</v>
      </c>
      <c r="L491" s="198" t="s">
        <v>2272</v>
      </c>
      <c r="M491" s="198" t="s">
        <v>2272</v>
      </c>
      <c r="N491" s="198"/>
    </row>
    <row r="492" spans="1:14" s="197" customFormat="1" ht="51" customHeight="1">
      <c r="A492" s="19" t="s">
        <v>6802</v>
      </c>
      <c r="B492" s="19" t="s">
        <v>6883</v>
      </c>
      <c r="C492" s="198" t="s">
        <v>1102</v>
      </c>
      <c r="D492" s="198" t="s">
        <v>1102</v>
      </c>
      <c r="E492" s="19" t="s">
        <v>3850</v>
      </c>
      <c r="F492" s="198" t="s">
        <v>28</v>
      </c>
      <c r="G492" s="198"/>
      <c r="H492" s="198" t="s">
        <v>2272</v>
      </c>
      <c r="I492" s="198" t="s">
        <v>2272</v>
      </c>
      <c r="J492" s="198">
        <v>2</v>
      </c>
      <c r="K492" s="4" t="s">
        <v>6888</v>
      </c>
      <c r="L492" s="198" t="s">
        <v>2272</v>
      </c>
      <c r="M492" s="198" t="s">
        <v>2272</v>
      </c>
      <c r="N492" s="198"/>
    </row>
    <row r="493" spans="1:14" s="197" customFormat="1" ht="51" customHeight="1">
      <c r="A493" s="19" t="s">
        <v>6803</v>
      </c>
      <c r="B493" s="19" t="s">
        <v>6884</v>
      </c>
      <c r="C493" s="198" t="s">
        <v>1102</v>
      </c>
      <c r="D493" s="198" t="s">
        <v>1102</v>
      </c>
      <c r="E493" s="19" t="s">
        <v>3850</v>
      </c>
      <c r="F493" s="198" t="s">
        <v>28</v>
      </c>
      <c r="G493" s="198"/>
      <c r="H493" s="198" t="s">
        <v>2272</v>
      </c>
      <c r="I493" s="198" t="s">
        <v>2272</v>
      </c>
      <c r="J493" s="198">
        <v>2</v>
      </c>
      <c r="K493" s="4" t="s">
        <v>6888</v>
      </c>
      <c r="L493" s="198" t="s">
        <v>2272</v>
      </c>
      <c r="M493" s="198" t="s">
        <v>2272</v>
      </c>
      <c r="N493" s="198"/>
    </row>
    <row r="494" spans="1:14" s="197" customFormat="1" ht="51" customHeight="1">
      <c r="A494" s="19" t="s">
        <v>6804</v>
      </c>
      <c r="B494" s="19" t="s">
        <v>6885</v>
      </c>
      <c r="C494" s="198" t="s">
        <v>1102</v>
      </c>
      <c r="D494" s="198" t="s">
        <v>1102</v>
      </c>
      <c r="E494" s="19" t="s">
        <v>3850</v>
      </c>
      <c r="F494" s="198" t="s">
        <v>28</v>
      </c>
      <c r="G494" s="198"/>
      <c r="H494" s="198" t="s">
        <v>2272</v>
      </c>
      <c r="I494" s="198" t="s">
        <v>2272</v>
      </c>
      <c r="J494" s="198">
        <v>2</v>
      </c>
      <c r="K494" s="4" t="s">
        <v>6888</v>
      </c>
      <c r="L494" s="198" t="s">
        <v>2272</v>
      </c>
      <c r="M494" s="198" t="s">
        <v>2272</v>
      </c>
      <c r="N494" s="198"/>
    </row>
    <row r="495" spans="1:14" s="197" customFormat="1" ht="51" customHeight="1">
      <c r="A495" s="19" t="s">
        <v>6805</v>
      </c>
      <c r="B495" s="19" t="s">
        <v>6886</v>
      </c>
      <c r="C495" s="198" t="s">
        <v>1102</v>
      </c>
      <c r="D495" s="198" t="s">
        <v>1102</v>
      </c>
      <c r="E495" s="19" t="s">
        <v>3850</v>
      </c>
      <c r="F495" s="198" t="s">
        <v>28</v>
      </c>
      <c r="G495" s="198"/>
      <c r="H495" s="198" t="s">
        <v>2272</v>
      </c>
      <c r="I495" s="198" t="s">
        <v>2272</v>
      </c>
      <c r="J495" s="198">
        <v>2</v>
      </c>
      <c r="K495" s="4" t="s">
        <v>6888</v>
      </c>
      <c r="L495" s="198" t="s">
        <v>2272</v>
      </c>
      <c r="M495" s="198" t="s">
        <v>2272</v>
      </c>
      <c r="N495" s="198"/>
    </row>
    <row r="496" spans="1:14" s="197" customFormat="1" ht="51" customHeight="1">
      <c r="A496" s="19" t="s">
        <v>6806</v>
      </c>
      <c r="B496" s="19" t="s">
        <v>6887</v>
      </c>
      <c r="C496" s="198" t="s">
        <v>1102</v>
      </c>
      <c r="D496" s="198" t="s">
        <v>1102</v>
      </c>
      <c r="E496" s="19" t="s">
        <v>3850</v>
      </c>
      <c r="F496" s="198" t="s">
        <v>28</v>
      </c>
      <c r="G496" s="198"/>
      <c r="H496" s="198" t="s">
        <v>2272</v>
      </c>
      <c r="I496" s="198" t="s">
        <v>2272</v>
      </c>
      <c r="J496" s="198">
        <v>2</v>
      </c>
      <c r="K496" s="4" t="s">
        <v>6888</v>
      </c>
      <c r="L496" s="198" t="s">
        <v>2272</v>
      </c>
      <c r="M496" s="198" t="s">
        <v>2272</v>
      </c>
      <c r="N496" s="198"/>
    </row>
    <row r="497" spans="1:14" ht="47" customHeight="1">
      <c r="A497" s="3" t="s">
        <v>6175</v>
      </c>
      <c r="B497" s="3" t="s">
        <v>6236</v>
      </c>
      <c r="C497" s="198" t="s">
        <v>1102</v>
      </c>
      <c r="D497" s="198" t="s">
        <v>1102</v>
      </c>
      <c r="E497" s="4" t="s">
        <v>5795</v>
      </c>
      <c r="F497" s="198" t="s">
        <v>158</v>
      </c>
      <c r="G497" s="3"/>
      <c r="H497" s="3" t="s">
        <v>2272</v>
      </c>
      <c r="I497" s="3" t="s">
        <v>2272</v>
      </c>
      <c r="J497" s="3">
        <v>0</v>
      </c>
      <c r="K497" s="3" t="s">
        <v>5209</v>
      </c>
      <c r="L497" s="3" t="s">
        <v>2272</v>
      </c>
      <c r="M497" s="3" t="s">
        <v>2272</v>
      </c>
      <c r="N497" s="3"/>
    </row>
    <row r="498" spans="1:14" s="197" customFormat="1" ht="47" customHeight="1">
      <c r="A498" s="198" t="s">
        <v>6176</v>
      </c>
      <c r="B498" s="198" t="s">
        <v>6238</v>
      </c>
      <c r="C498" s="198" t="s">
        <v>1102</v>
      </c>
      <c r="D498" s="198" t="s">
        <v>1102</v>
      </c>
      <c r="E498" s="4" t="s">
        <v>2648</v>
      </c>
      <c r="F498" s="198" t="s">
        <v>2272</v>
      </c>
      <c r="G498" s="198"/>
      <c r="H498" s="198" t="s">
        <v>2272</v>
      </c>
      <c r="I498" s="198" t="s">
        <v>2272</v>
      </c>
      <c r="J498" s="198" t="s">
        <v>2272</v>
      </c>
      <c r="K498" s="198" t="s">
        <v>2272</v>
      </c>
      <c r="L498" s="198">
        <v>3</v>
      </c>
      <c r="M498" s="4" t="s">
        <v>6786</v>
      </c>
      <c r="N498" s="198"/>
    </row>
    <row r="499" spans="1:14" s="197" customFormat="1" ht="47" customHeight="1">
      <c r="A499" s="198" t="s">
        <v>6176</v>
      </c>
      <c r="B499" s="198" t="s">
        <v>6783</v>
      </c>
      <c r="C499" s="198" t="s">
        <v>1102</v>
      </c>
      <c r="D499" s="198" t="s">
        <v>1102</v>
      </c>
      <c r="E499" s="4" t="s">
        <v>2647</v>
      </c>
      <c r="F499" s="198" t="s">
        <v>2272</v>
      </c>
      <c r="G499" s="198"/>
      <c r="H499" s="198" t="s">
        <v>2272</v>
      </c>
      <c r="I499" s="198" t="s">
        <v>2272</v>
      </c>
      <c r="J499" s="198">
        <v>0</v>
      </c>
      <c r="K499" s="4" t="s">
        <v>6788</v>
      </c>
      <c r="L499" s="198" t="s">
        <v>2272</v>
      </c>
      <c r="M499" s="198" t="s">
        <v>2272</v>
      </c>
      <c r="N499" s="198"/>
    </row>
    <row r="500" spans="1:14" s="197" customFormat="1" ht="47" customHeight="1">
      <c r="A500" s="198" t="s">
        <v>6176</v>
      </c>
      <c r="B500" s="198" t="s">
        <v>6784</v>
      </c>
      <c r="C500" s="198" t="s">
        <v>23</v>
      </c>
      <c r="D500" s="198" t="s">
        <v>1102</v>
      </c>
      <c r="E500" s="4" t="s">
        <v>3850</v>
      </c>
      <c r="F500" s="198" t="s">
        <v>28</v>
      </c>
      <c r="G500" s="198"/>
      <c r="H500" s="198">
        <v>1</v>
      </c>
      <c r="I500" s="4" t="s">
        <v>6787</v>
      </c>
      <c r="J500" s="198" t="s">
        <v>2272</v>
      </c>
      <c r="K500" s="198" t="s">
        <v>2272</v>
      </c>
      <c r="L500" s="198" t="s">
        <v>2272</v>
      </c>
      <c r="M500" s="198" t="s">
        <v>2272</v>
      </c>
      <c r="N500" s="198"/>
    </row>
    <row r="501" spans="1:14" s="197" customFormat="1" ht="47" customHeight="1">
      <c r="A501" s="198" t="s">
        <v>5433</v>
      </c>
      <c r="B501" s="4" t="s">
        <v>6521</v>
      </c>
      <c r="C501" s="198" t="s">
        <v>23</v>
      </c>
      <c r="D501" s="198" t="s">
        <v>26</v>
      </c>
      <c r="E501" s="4" t="s">
        <v>128</v>
      </c>
      <c r="F501" s="198" t="s">
        <v>158</v>
      </c>
      <c r="G501" s="198"/>
      <c r="H501" s="198">
        <v>1</v>
      </c>
      <c r="I501" s="4" t="s">
        <v>11334</v>
      </c>
      <c r="J501" s="198" t="s">
        <v>2272</v>
      </c>
      <c r="K501" s="198" t="s">
        <v>2272</v>
      </c>
      <c r="L501" s="198">
        <v>1</v>
      </c>
      <c r="M501" s="198" t="s">
        <v>11335</v>
      </c>
      <c r="N501" s="198"/>
    </row>
    <row r="502" spans="1:14" s="197" customFormat="1" ht="47" customHeight="1">
      <c r="A502" s="198" t="s">
        <v>11283</v>
      </c>
      <c r="B502" s="4" t="s">
        <v>11298</v>
      </c>
      <c r="C502" s="198" t="s">
        <v>23</v>
      </c>
      <c r="D502" s="198" t="s">
        <v>26</v>
      </c>
      <c r="E502" s="4" t="s">
        <v>128</v>
      </c>
      <c r="F502" s="198" t="s">
        <v>158</v>
      </c>
      <c r="G502" s="198"/>
      <c r="H502" s="198">
        <v>1</v>
      </c>
      <c r="I502" s="4" t="s">
        <v>11334</v>
      </c>
      <c r="J502" s="198" t="s">
        <v>2272</v>
      </c>
      <c r="K502" s="198" t="s">
        <v>2272</v>
      </c>
      <c r="L502" s="198">
        <v>1</v>
      </c>
      <c r="M502" s="198" t="s">
        <v>11335</v>
      </c>
      <c r="N502" s="198"/>
    </row>
    <row r="503" spans="1:14" s="197" customFormat="1" ht="47" customHeight="1">
      <c r="A503" s="198" t="s">
        <v>11284</v>
      </c>
      <c r="B503" s="4" t="s">
        <v>11299</v>
      </c>
      <c r="C503" s="198" t="s">
        <v>23</v>
      </c>
      <c r="D503" s="198" t="s">
        <v>26</v>
      </c>
      <c r="E503" s="4" t="s">
        <v>128</v>
      </c>
      <c r="F503" s="198" t="s">
        <v>158</v>
      </c>
      <c r="G503" s="198"/>
      <c r="H503" s="198">
        <v>1</v>
      </c>
      <c r="I503" s="4" t="s">
        <v>11334</v>
      </c>
      <c r="J503" s="198" t="s">
        <v>2272</v>
      </c>
      <c r="K503" s="198" t="s">
        <v>2272</v>
      </c>
      <c r="L503" s="198">
        <v>1</v>
      </c>
      <c r="M503" s="198" t="s">
        <v>11335</v>
      </c>
      <c r="N503" s="198"/>
    </row>
    <row r="504" spans="1:14" s="197" customFormat="1" ht="47" customHeight="1">
      <c r="A504" s="198" t="s">
        <v>11285</v>
      </c>
      <c r="B504" s="4" t="s">
        <v>11300</v>
      </c>
      <c r="C504" s="198" t="s">
        <v>23</v>
      </c>
      <c r="D504" s="198" t="s">
        <v>26</v>
      </c>
      <c r="E504" s="4" t="s">
        <v>128</v>
      </c>
      <c r="F504" s="198" t="s">
        <v>158</v>
      </c>
      <c r="G504" s="198"/>
      <c r="H504" s="198">
        <v>1</v>
      </c>
      <c r="I504" s="4" t="s">
        <v>11334</v>
      </c>
      <c r="J504" s="198" t="s">
        <v>2272</v>
      </c>
      <c r="K504" s="198" t="s">
        <v>2272</v>
      </c>
      <c r="L504" s="198">
        <v>1</v>
      </c>
      <c r="M504" s="198" t="s">
        <v>11335</v>
      </c>
      <c r="N504" s="198"/>
    </row>
    <row r="505" spans="1:14" s="197" customFormat="1" ht="47" customHeight="1">
      <c r="A505" s="198" t="s">
        <v>11286</v>
      </c>
      <c r="B505" s="4" t="s">
        <v>11301</v>
      </c>
      <c r="C505" s="198" t="s">
        <v>23</v>
      </c>
      <c r="D505" s="198" t="s">
        <v>26</v>
      </c>
      <c r="E505" s="4" t="s">
        <v>128</v>
      </c>
      <c r="F505" s="198" t="s">
        <v>158</v>
      </c>
      <c r="G505" s="198"/>
      <c r="H505" s="198">
        <v>1</v>
      </c>
      <c r="I505" s="4" t="s">
        <v>11334</v>
      </c>
      <c r="J505" s="198" t="s">
        <v>2272</v>
      </c>
      <c r="K505" s="198" t="s">
        <v>2272</v>
      </c>
      <c r="L505" s="198">
        <v>1</v>
      </c>
      <c r="M505" s="198" t="s">
        <v>11335</v>
      </c>
      <c r="N505" s="198"/>
    </row>
    <row r="506" spans="1:14" s="197" customFormat="1" ht="47" customHeight="1">
      <c r="A506" s="198" t="s">
        <v>11287</v>
      </c>
      <c r="B506" s="4" t="s">
        <v>11302</v>
      </c>
      <c r="C506" s="198" t="s">
        <v>23</v>
      </c>
      <c r="D506" s="198" t="s">
        <v>26</v>
      </c>
      <c r="E506" s="4" t="s">
        <v>128</v>
      </c>
      <c r="F506" s="198" t="s">
        <v>158</v>
      </c>
      <c r="G506" s="198"/>
      <c r="H506" s="198">
        <v>1</v>
      </c>
      <c r="I506" s="4" t="s">
        <v>11334</v>
      </c>
      <c r="J506" s="198" t="s">
        <v>2272</v>
      </c>
      <c r="K506" s="198" t="s">
        <v>2272</v>
      </c>
      <c r="L506" s="198">
        <v>1</v>
      </c>
      <c r="M506" s="198" t="s">
        <v>11335</v>
      </c>
      <c r="N506" s="198"/>
    </row>
    <row r="507" spans="1:14" s="197" customFormat="1" ht="47" customHeight="1">
      <c r="A507" s="198" t="s">
        <v>5433</v>
      </c>
      <c r="B507" s="4" t="s">
        <v>11303</v>
      </c>
      <c r="C507" s="198" t="s">
        <v>2453</v>
      </c>
      <c r="D507" s="198" t="s">
        <v>1102</v>
      </c>
      <c r="E507" s="4" t="s">
        <v>394</v>
      </c>
      <c r="F507" s="198" t="s">
        <v>27</v>
      </c>
      <c r="G507" s="198"/>
      <c r="H507" s="198" t="s">
        <v>2272</v>
      </c>
      <c r="I507" s="4" t="s">
        <v>11336</v>
      </c>
      <c r="J507" s="198" t="s">
        <v>2272</v>
      </c>
      <c r="K507" s="198" t="s">
        <v>2272</v>
      </c>
      <c r="L507" s="198">
        <v>2</v>
      </c>
      <c r="M507" s="198" t="s">
        <v>11337</v>
      </c>
      <c r="N507" s="198"/>
    </row>
    <row r="508" spans="1:14" s="197" customFormat="1" ht="47" customHeight="1">
      <c r="A508" s="198" t="s">
        <v>11286</v>
      </c>
      <c r="B508" s="4" t="s">
        <v>11307</v>
      </c>
      <c r="C508" s="198" t="s">
        <v>2453</v>
      </c>
      <c r="D508" s="198" t="s">
        <v>1102</v>
      </c>
      <c r="E508" s="4" t="s">
        <v>394</v>
      </c>
      <c r="F508" s="198" t="s">
        <v>27</v>
      </c>
      <c r="G508" s="198"/>
      <c r="H508" s="198" t="s">
        <v>2272</v>
      </c>
      <c r="I508" s="4" t="s">
        <v>11336</v>
      </c>
      <c r="J508" s="198" t="s">
        <v>2272</v>
      </c>
      <c r="K508" s="198" t="s">
        <v>2272</v>
      </c>
      <c r="L508" s="198">
        <v>2</v>
      </c>
      <c r="M508" s="198" t="s">
        <v>11337</v>
      </c>
      <c r="N508" s="198"/>
    </row>
    <row r="509" spans="1:14" ht="39.5" customHeight="1">
      <c r="A509" s="4" t="s">
        <v>6394</v>
      </c>
      <c r="B509" s="4" t="s">
        <v>6534</v>
      </c>
      <c r="C509" s="4" t="s">
        <v>23</v>
      </c>
      <c r="D509" s="4" t="s">
        <v>1238</v>
      </c>
      <c r="E509" s="4" t="s">
        <v>135</v>
      </c>
      <c r="F509" s="4" t="s">
        <v>73</v>
      </c>
      <c r="G509" s="4"/>
      <c r="H509" s="198" t="s">
        <v>2272</v>
      </c>
      <c r="I509" s="198" t="s">
        <v>2272</v>
      </c>
      <c r="J509" s="4">
        <v>2</v>
      </c>
      <c r="K509" s="4" t="s">
        <v>6570</v>
      </c>
      <c r="L509" s="198" t="s">
        <v>2272</v>
      </c>
      <c r="M509" s="198" t="s">
        <v>2272</v>
      </c>
      <c r="N509" s="4" t="s">
        <v>7851</v>
      </c>
    </row>
    <row r="510" spans="1:14" ht="39.5" customHeight="1">
      <c r="A510" s="4" t="s">
        <v>6395</v>
      </c>
      <c r="B510" s="4" t="s">
        <v>6536</v>
      </c>
      <c r="C510" s="4" t="s">
        <v>23</v>
      </c>
      <c r="D510" s="4" t="s">
        <v>1238</v>
      </c>
      <c r="E510" s="4" t="s">
        <v>135</v>
      </c>
      <c r="F510" s="4" t="s">
        <v>73</v>
      </c>
      <c r="G510" s="4"/>
      <c r="H510" s="198" t="s">
        <v>2272</v>
      </c>
      <c r="I510" s="198" t="s">
        <v>2272</v>
      </c>
      <c r="J510" s="4">
        <v>2</v>
      </c>
      <c r="K510" s="4" t="s">
        <v>6570</v>
      </c>
      <c r="L510" s="198" t="s">
        <v>2272</v>
      </c>
      <c r="M510" s="198" t="s">
        <v>2272</v>
      </c>
      <c r="N510" s="4" t="s">
        <v>7851</v>
      </c>
    </row>
    <row r="511" spans="1:14" s="197" customFormat="1" ht="39.5" customHeight="1">
      <c r="A511" s="4" t="s">
        <v>6395</v>
      </c>
      <c r="B511" s="4" t="s">
        <v>6537</v>
      </c>
      <c r="C511" s="198" t="s">
        <v>1102</v>
      </c>
      <c r="D511" s="198" t="s">
        <v>1102</v>
      </c>
      <c r="E511" s="4" t="s">
        <v>2648</v>
      </c>
      <c r="F511" s="4" t="s">
        <v>73</v>
      </c>
      <c r="G511" s="198"/>
      <c r="H511" s="198" t="s">
        <v>2272</v>
      </c>
      <c r="I511" s="198" t="s">
        <v>2272</v>
      </c>
      <c r="J511" s="198">
        <v>0</v>
      </c>
      <c r="K511" s="198" t="s">
        <v>7853</v>
      </c>
      <c r="L511" s="198" t="s">
        <v>2272</v>
      </c>
      <c r="M511" s="198" t="s">
        <v>2272</v>
      </c>
      <c r="N511" s="198"/>
    </row>
    <row r="512" spans="1:14" ht="39.5" customHeight="1">
      <c r="A512" s="4" t="s">
        <v>6396</v>
      </c>
      <c r="B512" s="4" t="s">
        <v>6538</v>
      </c>
      <c r="C512" s="4" t="s">
        <v>23</v>
      </c>
      <c r="D512" s="35" t="s">
        <v>2272</v>
      </c>
      <c r="E512" s="4" t="s">
        <v>2648</v>
      </c>
      <c r="F512" s="198" t="s">
        <v>2272</v>
      </c>
      <c r="G512" s="4"/>
      <c r="H512" s="198" t="s">
        <v>2272</v>
      </c>
      <c r="I512" s="198" t="s">
        <v>2272</v>
      </c>
      <c r="J512" s="198" t="s">
        <v>2272</v>
      </c>
      <c r="K512" s="4"/>
      <c r="L512" s="4">
        <v>3</v>
      </c>
      <c r="M512" s="198" t="s">
        <v>2272</v>
      </c>
      <c r="N512" s="4"/>
    </row>
    <row r="513" spans="1:14" ht="39.5" customHeight="1">
      <c r="A513" s="4" t="s">
        <v>6396</v>
      </c>
      <c r="B513" s="4" t="s">
        <v>6539</v>
      </c>
      <c r="C513" s="4" t="s">
        <v>2651</v>
      </c>
      <c r="D513" s="35" t="s">
        <v>2272</v>
      </c>
      <c r="E513" s="24" t="s">
        <v>2648</v>
      </c>
      <c r="F513" s="198" t="s">
        <v>2272</v>
      </c>
      <c r="G513" s="4"/>
      <c r="H513" s="198" t="s">
        <v>2272</v>
      </c>
      <c r="I513" s="198" t="s">
        <v>2272</v>
      </c>
      <c r="J513" s="198" t="s">
        <v>2272</v>
      </c>
      <c r="K513" s="4"/>
      <c r="L513" s="4">
        <v>3</v>
      </c>
      <c r="M513" s="198" t="s">
        <v>2272</v>
      </c>
      <c r="N513" s="4"/>
    </row>
    <row r="514" spans="1:14" ht="39.5" customHeight="1">
      <c r="A514" s="4" t="s">
        <v>6397</v>
      </c>
      <c r="B514" s="4" t="s">
        <v>6540</v>
      </c>
      <c r="C514" s="4" t="s">
        <v>23</v>
      </c>
      <c r="D514" s="35" t="s">
        <v>2272</v>
      </c>
      <c r="E514" s="24" t="s">
        <v>2644</v>
      </c>
      <c r="F514" s="4" t="s">
        <v>73</v>
      </c>
      <c r="G514" s="4"/>
      <c r="H514" s="198" t="s">
        <v>2272</v>
      </c>
      <c r="I514" s="198" t="s">
        <v>2272</v>
      </c>
      <c r="J514" s="198" t="s">
        <v>2272</v>
      </c>
      <c r="K514" s="4"/>
      <c r="L514" s="4">
        <v>2</v>
      </c>
      <c r="M514" s="4" t="s">
        <v>6571</v>
      </c>
      <c r="N514" s="4"/>
    </row>
    <row r="515" spans="1:14" ht="39.5" customHeight="1">
      <c r="A515" s="4" t="s">
        <v>6397</v>
      </c>
      <c r="B515" s="4" t="s">
        <v>6541</v>
      </c>
      <c r="C515" s="4" t="s">
        <v>2651</v>
      </c>
      <c r="D515" s="35" t="s">
        <v>2272</v>
      </c>
      <c r="E515" s="24" t="s">
        <v>2644</v>
      </c>
      <c r="F515" s="4" t="s">
        <v>73</v>
      </c>
      <c r="G515" s="4"/>
      <c r="H515" s="198" t="s">
        <v>2272</v>
      </c>
      <c r="I515" s="198" t="s">
        <v>2272</v>
      </c>
      <c r="J515" s="198" t="s">
        <v>2272</v>
      </c>
      <c r="K515" s="4"/>
      <c r="L515" s="4">
        <v>2</v>
      </c>
      <c r="M515" s="4" t="s">
        <v>6571</v>
      </c>
      <c r="N515" s="4"/>
    </row>
    <row r="516" spans="1:14" ht="39.5" customHeight="1">
      <c r="A516" s="4" t="s">
        <v>6398</v>
      </c>
      <c r="B516" s="4" t="s">
        <v>6586</v>
      </c>
      <c r="C516" s="4" t="s">
        <v>1102</v>
      </c>
      <c r="D516" s="4" t="s">
        <v>1102</v>
      </c>
      <c r="E516" s="24" t="s">
        <v>135</v>
      </c>
      <c r="F516" s="198" t="s">
        <v>2272</v>
      </c>
      <c r="G516" s="4"/>
      <c r="H516" s="198" t="s">
        <v>2272</v>
      </c>
      <c r="I516" s="198" t="s">
        <v>2272</v>
      </c>
      <c r="J516" s="198" t="s">
        <v>2272</v>
      </c>
      <c r="K516" s="4"/>
      <c r="L516" s="198" t="s">
        <v>2272</v>
      </c>
      <c r="M516" s="4"/>
      <c r="N516" s="4"/>
    </row>
    <row r="517" spans="1:14" ht="39.5" customHeight="1">
      <c r="A517" s="4" t="s">
        <v>6399</v>
      </c>
      <c r="B517" s="4" t="s">
        <v>6587</v>
      </c>
      <c r="C517" s="4" t="s">
        <v>1102</v>
      </c>
      <c r="D517" s="4" t="s">
        <v>1102</v>
      </c>
      <c r="E517" s="24" t="s">
        <v>2644</v>
      </c>
      <c r="F517" s="198" t="s">
        <v>2272</v>
      </c>
      <c r="G517" s="4"/>
      <c r="H517" s="198" t="s">
        <v>2272</v>
      </c>
      <c r="I517" s="198" t="s">
        <v>2272</v>
      </c>
      <c r="J517" s="198" t="s">
        <v>2272</v>
      </c>
      <c r="K517" s="4"/>
      <c r="L517" s="198" t="s">
        <v>2272</v>
      </c>
      <c r="M517" s="4"/>
      <c r="N517" s="4"/>
    </row>
    <row r="518" spans="1:14" ht="39.5" customHeight="1">
      <c r="A518" s="4" t="s">
        <v>6400</v>
      </c>
      <c r="B518" s="4" t="s">
        <v>6588</v>
      </c>
      <c r="C518" s="4" t="s">
        <v>1102</v>
      </c>
      <c r="D518" s="4" t="s">
        <v>1102</v>
      </c>
      <c r="E518" s="24" t="s">
        <v>2644</v>
      </c>
      <c r="F518" s="198" t="s">
        <v>2272</v>
      </c>
      <c r="G518" s="4"/>
      <c r="H518" s="198" t="s">
        <v>2272</v>
      </c>
      <c r="I518" s="198" t="s">
        <v>2272</v>
      </c>
      <c r="J518" s="198" t="s">
        <v>2272</v>
      </c>
      <c r="K518" s="4"/>
      <c r="L518" s="198" t="s">
        <v>2272</v>
      </c>
      <c r="M518" s="4"/>
      <c r="N518" s="4"/>
    </row>
    <row r="519" spans="1:14" ht="39.5" customHeight="1">
      <c r="A519" s="4" t="s">
        <v>6401</v>
      </c>
      <c r="B519" s="4" t="s">
        <v>6542</v>
      </c>
      <c r="C519" s="4" t="s">
        <v>1102</v>
      </c>
      <c r="D519" s="4" t="s">
        <v>1102</v>
      </c>
      <c r="E519" s="24" t="s">
        <v>2644</v>
      </c>
      <c r="F519" s="4" t="s">
        <v>73</v>
      </c>
      <c r="G519" s="4"/>
      <c r="H519" s="4">
        <v>3</v>
      </c>
      <c r="I519" s="4"/>
      <c r="J519" s="4">
        <v>3</v>
      </c>
      <c r="K519" s="4" t="s">
        <v>6572</v>
      </c>
      <c r="L519" s="4">
        <v>3</v>
      </c>
      <c r="M519" s="4"/>
      <c r="N519" s="4" t="s">
        <v>6573</v>
      </c>
    </row>
    <row r="520" spans="1:14" ht="39.5" customHeight="1">
      <c r="A520" s="4" t="s">
        <v>6402</v>
      </c>
      <c r="B520" s="4" t="s">
        <v>6544</v>
      </c>
      <c r="C520" s="4" t="s">
        <v>1102</v>
      </c>
      <c r="D520" s="4" t="s">
        <v>1102</v>
      </c>
      <c r="E520" s="24" t="s">
        <v>2644</v>
      </c>
      <c r="F520" s="4" t="s">
        <v>73</v>
      </c>
      <c r="G520" s="4"/>
      <c r="H520" s="4">
        <v>3</v>
      </c>
      <c r="I520" s="4"/>
      <c r="J520" s="4">
        <v>3</v>
      </c>
      <c r="K520" s="4" t="s">
        <v>6572</v>
      </c>
      <c r="L520" s="4">
        <v>3</v>
      </c>
      <c r="M520" s="4"/>
      <c r="N520" s="4" t="s">
        <v>6573</v>
      </c>
    </row>
    <row r="521" spans="1:14" ht="39.5" customHeight="1">
      <c r="A521" s="4" t="s">
        <v>6403</v>
      </c>
      <c r="B521" s="4" t="s">
        <v>6546</v>
      </c>
      <c r="C521" s="4" t="s">
        <v>1102</v>
      </c>
      <c r="D521" s="4" t="s">
        <v>1102</v>
      </c>
      <c r="E521" s="24" t="s">
        <v>2644</v>
      </c>
      <c r="F521" s="4" t="s">
        <v>73</v>
      </c>
      <c r="G521" s="4"/>
      <c r="H521" s="4">
        <v>3</v>
      </c>
      <c r="I521" s="4"/>
      <c r="J521" s="4">
        <v>3</v>
      </c>
      <c r="K521" s="4" t="s">
        <v>6572</v>
      </c>
      <c r="L521" s="4">
        <v>3</v>
      </c>
      <c r="M521" s="4"/>
      <c r="N521" s="4" t="s">
        <v>6573</v>
      </c>
    </row>
    <row r="522" spans="1:14" ht="39.5" customHeight="1">
      <c r="A522" s="4" t="s">
        <v>6404</v>
      </c>
      <c r="B522" s="4" t="s">
        <v>6548</v>
      </c>
      <c r="C522" s="4" t="s">
        <v>1102</v>
      </c>
      <c r="D522" s="4" t="s">
        <v>1102</v>
      </c>
      <c r="E522" s="24" t="s">
        <v>2644</v>
      </c>
      <c r="F522" s="4" t="s">
        <v>73</v>
      </c>
      <c r="G522" s="4"/>
      <c r="H522" s="4">
        <v>3</v>
      </c>
      <c r="I522" s="4"/>
      <c r="J522" s="4">
        <v>3</v>
      </c>
      <c r="K522" s="4" t="s">
        <v>6572</v>
      </c>
      <c r="L522" s="4">
        <v>3</v>
      </c>
      <c r="M522" s="4"/>
      <c r="N522" s="4" t="s">
        <v>6573</v>
      </c>
    </row>
    <row r="523" spans="1:14" ht="39.5" customHeight="1">
      <c r="A523" s="4" t="s">
        <v>6405</v>
      </c>
      <c r="B523" s="4" t="s">
        <v>6550</v>
      </c>
      <c r="C523" s="4" t="s">
        <v>1102</v>
      </c>
      <c r="D523" s="4" t="s">
        <v>1102</v>
      </c>
      <c r="E523" s="24" t="s">
        <v>2644</v>
      </c>
      <c r="F523" s="4" t="s">
        <v>73</v>
      </c>
      <c r="G523" s="4"/>
      <c r="H523" s="198" t="s">
        <v>2272</v>
      </c>
      <c r="I523" s="4"/>
      <c r="J523" s="198" t="s">
        <v>2272</v>
      </c>
      <c r="K523" s="4"/>
      <c r="L523" s="4">
        <v>3</v>
      </c>
      <c r="M523" s="4"/>
      <c r="N523" s="4" t="s">
        <v>6574</v>
      </c>
    </row>
    <row r="524" spans="1:14" ht="39.5" customHeight="1">
      <c r="A524" s="4" t="s">
        <v>6405</v>
      </c>
      <c r="B524" s="4" t="s">
        <v>6628</v>
      </c>
      <c r="C524" s="4" t="s">
        <v>23</v>
      </c>
      <c r="D524" s="4" t="s">
        <v>2654</v>
      </c>
      <c r="E524" s="4" t="s">
        <v>2644</v>
      </c>
      <c r="F524" s="4" t="s">
        <v>73</v>
      </c>
      <c r="G524" s="4"/>
      <c r="H524" s="4">
        <v>2</v>
      </c>
      <c r="I524" s="4" t="s">
        <v>6575</v>
      </c>
      <c r="J524" s="198" t="s">
        <v>2272</v>
      </c>
      <c r="K524" s="4"/>
      <c r="L524" s="198" t="s">
        <v>2272</v>
      </c>
      <c r="M524" s="4"/>
      <c r="N524" s="4" t="s">
        <v>6576</v>
      </c>
    </row>
    <row r="525" spans="1:14" ht="39.5" customHeight="1">
      <c r="A525" s="4" t="s">
        <v>6406</v>
      </c>
      <c r="B525" s="4" t="s">
        <v>6551</v>
      </c>
      <c r="C525" s="4" t="s">
        <v>1102</v>
      </c>
      <c r="D525" s="4" t="s">
        <v>1102</v>
      </c>
      <c r="E525" s="4" t="s">
        <v>2644</v>
      </c>
      <c r="F525" s="4" t="s">
        <v>73</v>
      </c>
      <c r="G525" s="4"/>
      <c r="H525" s="198" t="s">
        <v>2272</v>
      </c>
      <c r="I525" s="4"/>
      <c r="J525" s="198" t="s">
        <v>2272</v>
      </c>
      <c r="K525" s="4"/>
      <c r="L525" s="4">
        <v>3</v>
      </c>
      <c r="M525" s="4"/>
      <c r="N525" s="4" t="s">
        <v>6577</v>
      </c>
    </row>
    <row r="526" spans="1:14" ht="39.5" customHeight="1">
      <c r="A526" s="4" t="s">
        <v>6406</v>
      </c>
      <c r="B526" s="4" t="s">
        <v>6589</v>
      </c>
      <c r="C526" s="4" t="s">
        <v>23</v>
      </c>
      <c r="D526" s="4" t="s">
        <v>2654</v>
      </c>
      <c r="E526" s="4" t="s">
        <v>2644</v>
      </c>
      <c r="F526" s="4" t="s">
        <v>73</v>
      </c>
      <c r="G526" s="4"/>
      <c r="H526" s="4">
        <v>2</v>
      </c>
      <c r="I526" s="4" t="s">
        <v>6575</v>
      </c>
      <c r="J526" s="198" t="s">
        <v>2272</v>
      </c>
      <c r="K526" s="4"/>
      <c r="L526" s="198" t="s">
        <v>2272</v>
      </c>
      <c r="M526" s="4"/>
      <c r="N526" s="4" t="s">
        <v>6576</v>
      </c>
    </row>
    <row r="527" spans="1:14" ht="39.5" customHeight="1">
      <c r="A527" s="4" t="s">
        <v>6407</v>
      </c>
      <c r="B527" s="4" t="s">
        <v>6552</v>
      </c>
      <c r="C527" s="4" t="s">
        <v>1102</v>
      </c>
      <c r="D527" s="4" t="s">
        <v>1102</v>
      </c>
      <c r="E527" s="4" t="s">
        <v>2644</v>
      </c>
      <c r="F527" s="4" t="s">
        <v>73</v>
      </c>
      <c r="G527" s="4"/>
      <c r="H527" s="198" t="s">
        <v>2272</v>
      </c>
      <c r="I527" s="4"/>
      <c r="J527" s="198" t="s">
        <v>2272</v>
      </c>
      <c r="K527" s="4"/>
      <c r="L527" s="4">
        <v>2</v>
      </c>
      <c r="M527" s="4"/>
      <c r="N527" s="4" t="s">
        <v>6578</v>
      </c>
    </row>
    <row r="528" spans="1:14" ht="39.5" customHeight="1">
      <c r="A528" s="4" t="s">
        <v>6407</v>
      </c>
      <c r="B528" s="4" t="s">
        <v>6590</v>
      </c>
      <c r="C528" s="4" t="s">
        <v>23</v>
      </c>
      <c r="D528" s="4" t="s">
        <v>2654</v>
      </c>
      <c r="E528" s="4" t="s">
        <v>2644</v>
      </c>
      <c r="F528" s="4" t="s">
        <v>73</v>
      </c>
      <c r="G528" s="4"/>
      <c r="H528" s="4">
        <v>2</v>
      </c>
      <c r="I528" s="4" t="s">
        <v>6575</v>
      </c>
      <c r="J528" s="198" t="s">
        <v>2272</v>
      </c>
      <c r="K528" s="4"/>
      <c r="L528" s="198" t="s">
        <v>2272</v>
      </c>
      <c r="M528" s="4"/>
      <c r="N528" s="4" t="s">
        <v>6576</v>
      </c>
    </row>
    <row r="529" spans="1:14" ht="39.5" customHeight="1">
      <c r="A529" s="4" t="s">
        <v>6407</v>
      </c>
      <c r="B529" s="4" t="s">
        <v>6591</v>
      </c>
      <c r="C529" s="4" t="s">
        <v>23</v>
      </c>
      <c r="D529" s="4" t="s">
        <v>1238</v>
      </c>
      <c r="E529" s="4" t="s">
        <v>2644</v>
      </c>
      <c r="F529" s="4" t="s">
        <v>73</v>
      </c>
      <c r="G529" s="4"/>
      <c r="H529" s="198" t="s">
        <v>2272</v>
      </c>
      <c r="I529" s="4"/>
      <c r="J529" s="198">
        <v>1</v>
      </c>
      <c r="K529" s="4" t="s">
        <v>7854</v>
      </c>
      <c r="L529" s="198" t="s">
        <v>2272</v>
      </c>
      <c r="M529" s="4"/>
      <c r="N529" s="4" t="s">
        <v>6576</v>
      </c>
    </row>
    <row r="530" spans="1:14" ht="39.5" customHeight="1">
      <c r="A530" s="4" t="s">
        <v>6407</v>
      </c>
      <c r="B530" s="4" t="s">
        <v>6592</v>
      </c>
      <c r="C530" s="4" t="s">
        <v>2651</v>
      </c>
      <c r="D530" s="35" t="s">
        <v>2272</v>
      </c>
      <c r="E530" s="4" t="s">
        <v>2644</v>
      </c>
      <c r="F530" s="4" t="s">
        <v>73</v>
      </c>
      <c r="G530" s="4"/>
      <c r="H530" s="198" t="s">
        <v>2272</v>
      </c>
      <c r="I530" s="4"/>
      <c r="J530" s="198" t="s">
        <v>2272</v>
      </c>
      <c r="K530" s="4"/>
      <c r="L530" s="4">
        <v>2</v>
      </c>
      <c r="M530" s="4"/>
      <c r="N530" s="4" t="s">
        <v>6578</v>
      </c>
    </row>
    <row r="531" spans="1:14" ht="39.5" customHeight="1">
      <c r="A531" s="4" t="s">
        <v>6408</v>
      </c>
      <c r="B531" s="4" t="s">
        <v>6553</v>
      </c>
      <c r="C531" s="4" t="s">
        <v>1102</v>
      </c>
      <c r="D531" s="4" t="s">
        <v>1102</v>
      </c>
      <c r="E531" s="4" t="s">
        <v>2644</v>
      </c>
      <c r="F531" s="4" t="s">
        <v>73</v>
      </c>
      <c r="G531" s="4"/>
      <c r="H531" s="198" t="s">
        <v>2272</v>
      </c>
      <c r="I531" s="4"/>
      <c r="J531" s="198" t="s">
        <v>2272</v>
      </c>
      <c r="K531" s="4"/>
      <c r="L531" s="4">
        <v>2</v>
      </c>
      <c r="M531" s="4"/>
      <c r="N531" s="4" t="s">
        <v>6578</v>
      </c>
    </row>
    <row r="532" spans="1:14" ht="39.5" customHeight="1">
      <c r="A532" s="4" t="s">
        <v>6408</v>
      </c>
      <c r="B532" s="4" t="s">
        <v>6593</v>
      </c>
      <c r="C532" s="4" t="s">
        <v>23</v>
      </c>
      <c r="D532" s="4" t="s">
        <v>2654</v>
      </c>
      <c r="E532" s="4" t="s">
        <v>2644</v>
      </c>
      <c r="F532" s="4" t="s">
        <v>73</v>
      </c>
      <c r="G532" s="4"/>
      <c r="H532" s="4">
        <v>2</v>
      </c>
      <c r="I532" s="4" t="s">
        <v>6575</v>
      </c>
      <c r="J532" s="198" t="s">
        <v>2272</v>
      </c>
      <c r="K532" s="4"/>
      <c r="L532" s="198" t="s">
        <v>2272</v>
      </c>
      <c r="M532" s="4"/>
      <c r="N532" s="4" t="s">
        <v>6576</v>
      </c>
    </row>
    <row r="533" spans="1:14" ht="39.5" customHeight="1">
      <c r="A533" s="4" t="s">
        <v>6408</v>
      </c>
      <c r="B533" s="4" t="s">
        <v>6594</v>
      </c>
      <c r="C533" s="4" t="s">
        <v>23</v>
      </c>
      <c r="D533" s="4" t="s">
        <v>1238</v>
      </c>
      <c r="E533" s="4" t="s">
        <v>2644</v>
      </c>
      <c r="F533" s="4" t="s">
        <v>73</v>
      </c>
      <c r="G533" s="4"/>
      <c r="H533" s="198" t="s">
        <v>2272</v>
      </c>
      <c r="I533" s="4"/>
      <c r="J533" s="4">
        <v>3</v>
      </c>
      <c r="K533" s="4" t="s">
        <v>6579</v>
      </c>
      <c r="L533" s="198" t="s">
        <v>2272</v>
      </c>
      <c r="M533" s="4"/>
      <c r="N533" s="4" t="s">
        <v>6576</v>
      </c>
    </row>
    <row r="534" spans="1:14" ht="39.5" customHeight="1">
      <c r="A534" s="4" t="s">
        <v>6408</v>
      </c>
      <c r="B534" s="4" t="s">
        <v>6595</v>
      </c>
      <c r="C534" s="4" t="s">
        <v>2651</v>
      </c>
      <c r="D534" s="35" t="s">
        <v>2272</v>
      </c>
      <c r="E534" s="4" t="s">
        <v>2644</v>
      </c>
      <c r="F534" s="4" t="s">
        <v>73</v>
      </c>
      <c r="G534" s="4"/>
      <c r="H534" s="198" t="s">
        <v>2272</v>
      </c>
      <c r="I534" s="4"/>
      <c r="J534" s="198" t="s">
        <v>2272</v>
      </c>
      <c r="K534" s="4"/>
      <c r="L534" s="4">
        <v>2</v>
      </c>
      <c r="M534" s="4"/>
      <c r="N534" s="4" t="s">
        <v>6578</v>
      </c>
    </row>
    <row r="535" spans="1:14" ht="39.5" customHeight="1">
      <c r="A535" s="4" t="s">
        <v>6409</v>
      </c>
      <c r="B535" s="204" t="s">
        <v>6554</v>
      </c>
      <c r="C535" s="4" t="s">
        <v>1102</v>
      </c>
      <c r="D535" s="4" t="s">
        <v>1102</v>
      </c>
      <c r="E535" s="4" t="s">
        <v>2644</v>
      </c>
      <c r="F535" s="4" t="s">
        <v>73</v>
      </c>
      <c r="G535" s="4"/>
      <c r="H535" s="198" t="s">
        <v>2272</v>
      </c>
      <c r="I535" s="4"/>
      <c r="J535" s="198" t="s">
        <v>2272</v>
      </c>
      <c r="K535" s="4"/>
      <c r="L535" s="4">
        <v>3</v>
      </c>
      <c r="M535" s="4"/>
      <c r="N535" s="4" t="s">
        <v>6574</v>
      </c>
    </row>
    <row r="536" spans="1:14" ht="39.5" customHeight="1">
      <c r="A536" s="4" t="s">
        <v>6409</v>
      </c>
      <c r="B536" s="204" t="s">
        <v>6596</v>
      </c>
      <c r="C536" s="4" t="s">
        <v>23</v>
      </c>
      <c r="D536" s="4" t="s">
        <v>2654</v>
      </c>
      <c r="E536" s="4" t="s">
        <v>2644</v>
      </c>
      <c r="F536" s="4" t="s">
        <v>73</v>
      </c>
      <c r="G536" s="4"/>
      <c r="H536" s="4">
        <v>1</v>
      </c>
      <c r="I536" s="4" t="s">
        <v>6580</v>
      </c>
      <c r="J536" s="198" t="s">
        <v>2272</v>
      </c>
      <c r="K536" s="4"/>
      <c r="L536" s="198" t="s">
        <v>2272</v>
      </c>
      <c r="M536" s="4"/>
      <c r="N536" s="4" t="s">
        <v>6576</v>
      </c>
    </row>
    <row r="537" spans="1:14" ht="39.5" customHeight="1">
      <c r="A537" s="4" t="s">
        <v>6410</v>
      </c>
      <c r="B537" s="4" t="s">
        <v>6555</v>
      </c>
      <c r="C537" s="4" t="s">
        <v>1102</v>
      </c>
      <c r="D537" s="4" t="s">
        <v>1102</v>
      </c>
      <c r="E537" s="4" t="s">
        <v>2644</v>
      </c>
      <c r="F537" s="4" t="s">
        <v>73</v>
      </c>
      <c r="G537" s="4"/>
      <c r="H537" s="198" t="s">
        <v>2272</v>
      </c>
      <c r="I537" s="4"/>
      <c r="J537" s="198" t="s">
        <v>2272</v>
      </c>
      <c r="K537" s="4"/>
      <c r="L537" s="4">
        <v>3</v>
      </c>
      <c r="M537" s="4"/>
      <c r="N537" s="4" t="s">
        <v>6574</v>
      </c>
    </row>
    <row r="538" spans="1:14" ht="39.5" customHeight="1">
      <c r="A538" s="4" t="s">
        <v>6410</v>
      </c>
      <c r="B538" s="4" t="s">
        <v>6597</v>
      </c>
      <c r="C538" s="4" t="s">
        <v>23</v>
      </c>
      <c r="D538" s="4" t="s">
        <v>2654</v>
      </c>
      <c r="E538" s="4" t="s">
        <v>2644</v>
      </c>
      <c r="F538" s="4" t="s">
        <v>73</v>
      </c>
      <c r="G538" s="4"/>
      <c r="H538" s="4">
        <v>2</v>
      </c>
      <c r="I538" s="4" t="s">
        <v>6575</v>
      </c>
      <c r="J538" s="198" t="s">
        <v>2272</v>
      </c>
      <c r="K538" s="4"/>
      <c r="L538" s="198" t="s">
        <v>2272</v>
      </c>
      <c r="M538" s="4"/>
      <c r="N538" s="4" t="s">
        <v>6576</v>
      </c>
    </row>
    <row r="539" spans="1:14" ht="39.5" customHeight="1">
      <c r="A539" s="4" t="s">
        <v>6556</v>
      </c>
      <c r="B539" s="4" t="s">
        <v>6557</v>
      </c>
      <c r="C539" s="4" t="s">
        <v>1102</v>
      </c>
      <c r="D539" s="4" t="s">
        <v>1102</v>
      </c>
      <c r="E539" s="4" t="s">
        <v>2644</v>
      </c>
      <c r="F539" s="4" t="s">
        <v>73</v>
      </c>
      <c r="G539" s="4"/>
      <c r="H539" s="198" t="s">
        <v>2272</v>
      </c>
      <c r="I539" s="4"/>
      <c r="J539" s="198" t="s">
        <v>2272</v>
      </c>
      <c r="K539" s="4"/>
      <c r="L539" s="4">
        <v>3</v>
      </c>
      <c r="M539" s="4"/>
      <c r="N539" s="4" t="s">
        <v>6574</v>
      </c>
    </row>
    <row r="540" spans="1:14" ht="39.5" customHeight="1">
      <c r="A540" s="4" t="s">
        <v>6556</v>
      </c>
      <c r="B540" s="4" t="s">
        <v>6598</v>
      </c>
      <c r="C540" s="4" t="s">
        <v>23</v>
      </c>
      <c r="D540" s="4" t="s">
        <v>2654</v>
      </c>
      <c r="E540" s="4" t="s">
        <v>2644</v>
      </c>
      <c r="F540" s="4" t="s">
        <v>73</v>
      </c>
      <c r="G540" s="4"/>
      <c r="H540" s="4">
        <v>2</v>
      </c>
      <c r="I540" s="4" t="s">
        <v>6575</v>
      </c>
      <c r="J540" s="198" t="s">
        <v>2272</v>
      </c>
      <c r="K540" s="4"/>
      <c r="L540" s="198" t="s">
        <v>2272</v>
      </c>
      <c r="M540" s="4"/>
      <c r="N540" s="4" t="s">
        <v>6576</v>
      </c>
    </row>
    <row r="541" spans="1:14" ht="39.5" customHeight="1">
      <c r="A541" s="4" t="s">
        <v>6556</v>
      </c>
      <c r="B541" s="4" t="s">
        <v>6599</v>
      </c>
      <c r="C541" s="4" t="s">
        <v>23</v>
      </c>
      <c r="D541" s="4" t="s">
        <v>1238</v>
      </c>
      <c r="E541" s="4" t="s">
        <v>2644</v>
      </c>
      <c r="F541" s="4" t="s">
        <v>73</v>
      </c>
      <c r="G541" s="4"/>
      <c r="H541" s="198" t="s">
        <v>2272</v>
      </c>
      <c r="I541" s="4"/>
      <c r="J541" s="4">
        <v>3</v>
      </c>
      <c r="K541" s="4" t="s">
        <v>6581</v>
      </c>
      <c r="L541" s="198" t="s">
        <v>2272</v>
      </c>
      <c r="M541" s="4"/>
      <c r="N541" s="4" t="s">
        <v>6576</v>
      </c>
    </row>
    <row r="542" spans="1:14" ht="39.5" customHeight="1">
      <c r="A542" s="4" t="s">
        <v>6411</v>
      </c>
      <c r="B542" s="4" t="s">
        <v>6558</v>
      </c>
      <c r="C542" s="4" t="s">
        <v>1102</v>
      </c>
      <c r="D542" s="4" t="s">
        <v>1102</v>
      </c>
      <c r="E542" s="4" t="s">
        <v>2644</v>
      </c>
      <c r="F542" s="4" t="s">
        <v>73</v>
      </c>
      <c r="G542" s="4"/>
      <c r="H542" s="198" t="s">
        <v>2272</v>
      </c>
      <c r="I542" s="4"/>
      <c r="J542" s="198" t="s">
        <v>2272</v>
      </c>
      <c r="K542" s="4"/>
      <c r="L542" s="4">
        <v>3</v>
      </c>
      <c r="M542" s="4"/>
      <c r="N542" s="4" t="s">
        <v>6574</v>
      </c>
    </row>
    <row r="543" spans="1:14" ht="39.5" customHeight="1">
      <c r="A543" s="4" t="s">
        <v>6411</v>
      </c>
      <c r="B543" s="4" t="s">
        <v>6600</v>
      </c>
      <c r="C543" s="4" t="s">
        <v>23</v>
      </c>
      <c r="D543" s="4" t="s">
        <v>2654</v>
      </c>
      <c r="E543" s="4" t="s">
        <v>2644</v>
      </c>
      <c r="F543" s="4" t="s">
        <v>73</v>
      </c>
      <c r="G543" s="4"/>
      <c r="H543" s="4">
        <v>2</v>
      </c>
      <c r="I543" s="4" t="s">
        <v>6575</v>
      </c>
      <c r="J543" s="198" t="s">
        <v>2272</v>
      </c>
      <c r="K543" s="4"/>
      <c r="L543" s="198" t="s">
        <v>2272</v>
      </c>
      <c r="M543" s="4"/>
      <c r="N543" s="4" t="s">
        <v>6576</v>
      </c>
    </row>
    <row r="544" spans="1:14" ht="39.5" customHeight="1">
      <c r="A544" s="4" t="s">
        <v>6412</v>
      </c>
      <c r="B544" s="4" t="s">
        <v>6559</v>
      </c>
      <c r="C544" s="4" t="s">
        <v>1102</v>
      </c>
      <c r="D544" s="4" t="s">
        <v>1102</v>
      </c>
      <c r="E544" s="4" t="s">
        <v>2644</v>
      </c>
      <c r="F544" s="4" t="s">
        <v>73</v>
      </c>
      <c r="G544" s="4"/>
      <c r="H544" s="198" t="s">
        <v>2272</v>
      </c>
      <c r="I544" s="4"/>
      <c r="J544" s="198" t="s">
        <v>2272</v>
      </c>
      <c r="K544" s="4"/>
      <c r="L544" s="4">
        <v>3</v>
      </c>
      <c r="M544" s="4"/>
      <c r="N544" s="4" t="s">
        <v>6576</v>
      </c>
    </row>
    <row r="545" spans="1:14" ht="39.5" customHeight="1">
      <c r="A545" s="4" t="s">
        <v>6412</v>
      </c>
      <c r="B545" s="4" t="s">
        <v>6601</v>
      </c>
      <c r="C545" s="4" t="s">
        <v>23</v>
      </c>
      <c r="D545" s="4" t="s">
        <v>2654</v>
      </c>
      <c r="E545" s="4" t="s">
        <v>2644</v>
      </c>
      <c r="F545" s="4" t="s">
        <v>73</v>
      </c>
      <c r="G545" s="4"/>
      <c r="H545" s="4">
        <v>2</v>
      </c>
      <c r="I545" s="4" t="s">
        <v>6575</v>
      </c>
      <c r="J545" s="198" t="s">
        <v>2272</v>
      </c>
      <c r="K545" s="4"/>
      <c r="L545" s="198" t="s">
        <v>2272</v>
      </c>
      <c r="M545" s="4"/>
      <c r="N545" s="4" t="s">
        <v>6576</v>
      </c>
    </row>
    <row r="546" spans="1:14" ht="39.5" customHeight="1">
      <c r="A546" s="4" t="s">
        <v>6413</v>
      </c>
      <c r="B546" s="4" t="s">
        <v>6560</v>
      </c>
      <c r="C546" s="4" t="s">
        <v>1102</v>
      </c>
      <c r="D546" s="4" t="s">
        <v>1102</v>
      </c>
      <c r="E546" s="4" t="s">
        <v>2644</v>
      </c>
      <c r="F546" s="4" t="s">
        <v>73</v>
      </c>
      <c r="G546" s="4"/>
      <c r="H546" s="198" t="s">
        <v>2272</v>
      </c>
      <c r="I546" s="4"/>
      <c r="J546" s="198" t="s">
        <v>2272</v>
      </c>
      <c r="K546" s="4"/>
      <c r="L546" s="4">
        <v>3</v>
      </c>
      <c r="M546" s="4"/>
      <c r="N546" s="4" t="s">
        <v>6574</v>
      </c>
    </row>
    <row r="547" spans="1:14" ht="39.5" customHeight="1">
      <c r="A547" s="4" t="s">
        <v>6413</v>
      </c>
      <c r="B547" s="4" t="s">
        <v>6602</v>
      </c>
      <c r="C547" s="4" t="s">
        <v>23</v>
      </c>
      <c r="D547" s="4" t="s">
        <v>2654</v>
      </c>
      <c r="E547" s="4" t="s">
        <v>2644</v>
      </c>
      <c r="F547" s="4" t="s">
        <v>73</v>
      </c>
      <c r="G547" s="4"/>
      <c r="H547" s="4">
        <v>2</v>
      </c>
      <c r="I547" s="4" t="s">
        <v>6575</v>
      </c>
      <c r="J547" s="198" t="s">
        <v>2272</v>
      </c>
      <c r="K547" s="4"/>
      <c r="L547" s="198" t="s">
        <v>2272</v>
      </c>
      <c r="M547" s="4"/>
      <c r="N547" s="4" t="s">
        <v>6576</v>
      </c>
    </row>
    <row r="548" spans="1:14" ht="39.5" customHeight="1">
      <c r="A548" s="4" t="s">
        <v>6413</v>
      </c>
      <c r="B548" s="4" t="s">
        <v>6603</v>
      </c>
      <c r="C548" s="4" t="s">
        <v>23</v>
      </c>
      <c r="D548" s="4" t="s">
        <v>1238</v>
      </c>
      <c r="E548" s="4" t="s">
        <v>2644</v>
      </c>
      <c r="F548" s="4" t="s">
        <v>73</v>
      </c>
      <c r="G548" s="4"/>
      <c r="H548" s="198" t="s">
        <v>2272</v>
      </c>
      <c r="I548" s="4"/>
      <c r="J548" s="4">
        <v>2</v>
      </c>
      <c r="K548" s="4" t="s">
        <v>6570</v>
      </c>
      <c r="L548" s="198" t="s">
        <v>2272</v>
      </c>
      <c r="M548" s="4"/>
      <c r="N548" s="4" t="s">
        <v>6576</v>
      </c>
    </row>
    <row r="549" spans="1:14" ht="39.5" customHeight="1">
      <c r="A549" s="4" t="s">
        <v>6414</v>
      </c>
      <c r="B549" s="4" t="s">
        <v>6561</v>
      </c>
      <c r="C549" s="4" t="s">
        <v>1102</v>
      </c>
      <c r="D549" s="4" t="s">
        <v>1102</v>
      </c>
      <c r="E549" s="4" t="s">
        <v>2644</v>
      </c>
      <c r="F549" s="4" t="s">
        <v>73</v>
      </c>
      <c r="G549" s="4"/>
      <c r="H549" s="198" t="s">
        <v>2272</v>
      </c>
      <c r="I549" s="4"/>
      <c r="J549" s="198" t="s">
        <v>2272</v>
      </c>
      <c r="K549" s="4"/>
      <c r="L549" s="4">
        <v>3</v>
      </c>
      <c r="M549" s="4"/>
      <c r="N549" s="4" t="s">
        <v>6574</v>
      </c>
    </row>
    <row r="550" spans="1:14" ht="39.5" customHeight="1">
      <c r="A550" s="4" t="s">
        <v>6414</v>
      </c>
      <c r="B550" s="4" t="s">
        <v>6604</v>
      </c>
      <c r="C550" s="4" t="s">
        <v>23</v>
      </c>
      <c r="D550" s="4" t="s">
        <v>2654</v>
      </c>
      <c r="E550" s="4" t="s">
        <v>2644</v>
      </c>
      <c r="F550" s="4" t="s">
        <v>73</v>
      </c>
      <c r="G550" s="4"/>
      <c r="H550" s="4">
        <v>2</v>
      </c>
      <c r="I550" s="4" t="s">
        <v>6575</v>
      </c>
      <c r="J550" s="198" t="s">
        <v>2272</v>
      </c>
      <c r="K550" s="4"/>
      <c r="L550" s="198" t="s">
        <v>2272</v>
      </c>
      <c r="M550" s="4"/>
      <c r="N550" s="4" t="s">
        <v>6576</v>
      </c>
    </row>
    <row r="551" spans="1:14" ht="39.5" customHeight="1">
      <c r="A551" s="4" t="s">
        <v>6414</v>
      </c>
      <c r="B551" s="4" t="s">
        <v>6605</v>
      </c>
      <c r="C551" s="4" t="s">
        <v>23</v>
      </c>
      <c r="D551" s="4" t="s">
        <v>1238</v>
      </c>
      <c r="E551" s="4" t="s">
        <v>2644</v>
      </c>
      <c r="F551" s="4" t="s">
        <v>73</v>
      </c>
      <c r="G551" s="4"/>
      <c r="H551" s="198" t="s">
        <v>2272</v>
      </c>
      <c r="I551" s="4"/>
      <c r="J551" s="4">
        <v>3</v>
      </c>
      <c r="K551" s="4" t="s">
        <v>6579</v>
      </c>
      <c r="L551" s="198" t="s">
        <v>2272</v>
      </c>
      <c r="M551" s="4"/>
      <c r="N551" s="4" t="s">
        <v>6576</v>
      </c>
    </row>
    <row r="552" spans="1:14" ht="39.5" customHeight="1">
      <c r="A552" s="4" t="s">
        <v>6415</v>
      </c>
      <c r="B552" s="4" t="s">
        <v>6562</v>
      </c>
      <c r="C552" s="4" t="s">
        <v>6531</v>
      </c>
      <c r="D552" s="35" t="s">
        <v>29</v>
      </c>
      <c r="E552" s="4" t="s">
        <v>135</v>
      </c>
      <c r="F552" s="4" t="s">
        <v>73</v>
      </c>
      <c r="G552" s="4"/>
      <c r="H552" s="198" t="s">
        <v>2272</v>
      </c>
      <c r="I552" s="4"/>
      <c r="J552" s="4">
        <v>0</v>
      </c>
      <c r="K552" s="4"/>
      <c r="L552" s="4">
        <v>1</v>
      </c>
      <c r="M552" s="4"/>
      <c r="N552" s="161" t="s">
        <v>7855</v>
      </c>
    </row>
    <row r="553" spans="1:14" ht="39.5" customHeight="1">
      <c r="A553" s="4" t="s">
        <v>6415</v>
      </c>
      <c r="B553" s="4" t="s">
        <v>6563</v>
      </c>
      <c r="C553" s="4" t="s">
        <v>2651</v>
      </c>
      <c r="D553" s="35" t="s">
        <v>2272</v>
      </c>
      <c r="E553" s="4" t="s">
        <v>135</v>
      </c>
      <c r="F553" s="4" t="s">
        <v>73</v>
      </c>
      <c r="G553" s="4"/>
      <c r="H553" s="198" t="s">
        <v>2272</v>
      </c>
      <c r="I553" s="4"/>
      <c r="J553" s="4">
        <v>0</v>
      </c>
      <c r="K553" s="4"/>
      <c r="L553" s="4">
        <v>1</v>
      </c>
      <c r="M553" s="4"/>
      <c r="N553" s="161" t="s">
        <v>7855</v>
      </c>
    </row>
    <row r="554" spans="1:14" ht="39.5" customHeight="1">
      <c r="A554" s="4" t="s">
        <v>6416</v>
      </c>
      <c r="B554" s="4" t="s">
        <v>6606</v>
      </c>
      <c r="C554" s="4" t="s">
        <v>6531</v>
      </c>
      <c r="D554" s="35" t="s">
        <v>29</v>
      </c>
      <c r="E554" s="4" t="s">
        <v>2644</v>
      </c>
      <c r="F554" s="4" t="s">
        <v>73</v>
      </c>
      <c r="G554" s="4"/>
      <c r="H554" s="198" t="s">
        <v>2272</v>
      </c>
      <c r="I554" s="4"/>
      <c r="J554" s="198" t="s">
        <v>2272</v>
      </c>
      <c r="K554" s="4"/>
      <c r="L554" s="4">
        <v>3</v>
      </c>
      <c r="M554" s="4"/>
      <c r="N554" s="161"/>
    </row>
    <row r="555" spans="1:14" ht="39.5" customHeight="1">
      <c r="A555" s="4" t="s">
        <v>6416</v>
      </c>
      <c r="B555" s="4" t="s">
        <v>6607</v>
      </c>
      <c r="C555" s="4" t="s">
        <v>2651</v>
      </c>
      <c r="D555" s="35" t="s">
        <v>2272</v>
      </c>
      <c r="E555" s="4" t="s">
        <v>2644</v>
      </c>
      <c r="F555" s="4" t="s">
        <v>73</v>
      </c>
      <c r="G555" s="4"/>
      <c r="H555" s="198" t="s">
        <v>2272</v>
      </c>
      <c r="I555" s="4"/>
      <c r="J555" s="198" t="s">
        <v>2272</v>
      </c>
      <c r="K555" s="4"/>
      <c r="L555" s="4">
        <v>3</v>
      </c>
      <c r="M555" s="4"/>
      <c r="N555" s="161"/>
    </row>
    <row r="556" spans="1:14" ht="39.5" customHeight="1">
      <c r="A556" s="4" t="s">
        <v>6417</v>
      </c>
      <c r="B556" s="4" t="s">
        <v>6564</v>
      </c>
      <c r="C556" s="4" t="s">
        <v>1102</v>
      </c>
      <c r="D556" s="4" t="s">
        <v>1102</v>
      </c>
      <c r="E556" s="4" t="s">
        <v>2644</v>
      </c>
      <c r="F556" s="4" t="s">
        <v>73</v>
      </c>
      <c r="G556" s="4"/>
      <c r="H556" s="198" t="s">
        <v>2272</v>
      </c>
      <c r="I556" s="4"/>
      <c r="J556" s="4">
        <v>0</v>
      </c>
      <c r="K556" s="4"/>
      <c r="L556" s="4">
        <v>2</v>
      </c>
      <c r="M556" s="4" t="s">
        <v>6582</v>
      </c>
      <c r="N556" s="4" t="s">
        <v>6583</v>
      </c>
    </row>
    <row r="557" spans="1:14" ht="39.5" customHeight="1">
      <c r="A557" s="4" t="s">
        <v>6418</v>
      </c>
      <c r="B557" s="4" t="s">
        <v>6567</v>
      </c>
      <c r="C557" s="4" t="s">
        <v>23</v>
      </c>
      <c r="D557" s="4" t="s">
        <v>1238</v>
      </c>
      <c r="E557" s="4" t="s">
        <v>2644</v>
      </c>
      <c r="F557" s="4" t="s">
        <v>73</v>
      </c>
      <c r="G557" s="4"/>
      <c r="H557" s="4">
        <v>2</v>
      </c>
      <c r="I557" s="4" t="s">
        <v>6584</v>
      </c>
      <c r="J557" s="4">
        <v>2</v>
      </c>
      <c r="K557" s="4" t="s">
        <v>6570</v>
      </c>
      <c r="L557" s="198" t="s">
        <v>2272</v>
      </c>
      <c r="M557" s="4"/>
      <c r="N557" s="4"/>
    </row>
    <row r="558" spans="1:14" ht="39.5" customHeight="1">
      <c r="A558" s="4" t="s">
        <v>6419</v>
      </c>
      <c r="B558" s="4" t="s">
        <v>6568</v>
      </c>
      <c r="C558" s="4" t="s">
        <v>23</v>
      </c>
      <c r="D558" s="4" t="s">
        <v>1238</v>
      </c>
      <c r="E558" s="4" t="s">
        <v>2644</v>
      </c>
      <c r="F558" s="4" t="s">
        <v>73</v>
      </c>
      <c r="G558" s="4"/>
      <c r="H558" s="198" t="s">
        <v>2272</v>
      </c>
      <c r="I558" s="4"/>
      <c r="J558" s="4">
        <v>2</v>
      </c>
      <c r="K558" s="4" t="s">
        <v>6570</v>
      </c>
      <c r="L558" s="198" t="s">
        <v>2272</v>
      </c>
      <c r="M558" s="4"/>
      <c r="N558" s="4" t="s">
        <v>6585</v>
      </c>
    </row>
    <row r="559" spans="1:14" ht="39.5" customHeight="1">
      <c r="A559" s="19" t="s">
        <v>6979</v>
      </c>
      <c r="B559" s="19" t="s">
        <v>6982</v>
      </c>
      <c r="C559" s="198" t="s">
        <v>1102</v>
      </c>
      <c r="D559" s="198" t="s">
        <v>1102</v>
      </c>
      <c r="E559" s="4" t="s">
        <v>44</v>
      </c>
      <c r="F559" s="198" t="s">
        <v>54</v>
      </c>
      <c r="G559" s="198"/>
      <c r="H559" s="198"/>
      <c r="I559" s="198"/>
      <c r="J559" s="198">
        <v>2</v>
      </c>
      <c r="K559" s="198" t="s">
        <v>6984</v>
      </c>
      <c r="L559" s="198"/>
      <c r="M559" s="198"/>
      <c r="N559" s="198"/>
    </row>
    <row r="560" spans="1:14" ht="39.5" customHeight="1">
      <c r="A560" s="19" t="s">
        <v>6979</v>
      </c>
      <c r="B560" s="19" t="s">
        <v>6983</v>
      </c>
      <c r="C560" s="198" t="s">
        <v>1102</v>
      </c>
      <c r="D560" s="198" t="s">
        <v>1102</v>
      </c>
      <c r="E560" s="4" t="s">
        <v>5795</v>
      </c>
      <c r="F560" s="198" t="s">
        <v>54</v>
      </c>
      <c r="G560" s="198"/>
      <c r="H560" s="198"/>
      <c r="I560" s="198"/>
      <c r="J560" s="198">
        <v>0</v>
      </c>
      <c r="K560" s="198" t="s">
        <v>6985</v>
      </c>
      <c r="L560" s="198"/>
      <c r="M560" s="198"/>
      <c r="N560" s="198"/>
    </row>
    <row r="561" spans="1:14" ht="38.5" customHeight="1">
      <c r="A561" s="19" t="s">
        <v>7037</v>
      </c>
      <c r="B561" s="19" t="s">
        <v>7040</v>
      </c>
      <c r="C561" s="198" t="s">
        <v>23</v>
      </c>
      <c r="D561" s="198" t="s">
        <v>1238</v>
      </c>
      <c r="E561" s="4" t="s">
        <v>44</v>
      </c>
      <c r="F561" s="198" t="s">
        <v>27</v>
      </c>
      <c r="G561" s="198"/>
      <c r="H561" s="198"/>
      <c r="I561" s="198"/>
      <c r="J561" s="198">
        <v>1</v>
      </c>
      <c r="K561" s="19" t="s">
        <v>11572</v>
      </c>
      <c r="L561" s="198"/>
      <c r="M561" s="198"/>
      <c r="N561" s="198"/>
    </row>
    <row r="562" spans="1:14" ht="39" customHeight="1">
      <c r="A562" s="19" t="s">
        <v>7049</v>
      </c>
      <c r="B562" s="19" t="s">
        <v>7057</v>
      </c>
      <c r="C562" s="198" t="s">
        <v>1102</v>
      </c>
      <c r="D562" s="198" t="s">
        <v>1102</v>
      </c>
      <c r="E562" s="4" t="s">
        <v>3204</v>
      </c>
      <c r="F562" s="198" t="s">
        <v>2272</v>
      </c>
      <c r="G562" s="198"/>
      <c r="H562" s="198" t="s">
        <v>2272</v>
      </c>
      <c r="I562" s="198" t="s">
        <v>2272</v>
      </c>
      <c r="J562" s="198">
        <v>1</v>
      </c>
      <c r="K562" s="198" t="s">
        <v>7067</v>
      </c>
      <c r="L562" s="4">
        <v>2</v>
      </c>
      <c r="M562" s="198" t="s">
        <v>7066</v>
      </c>
      <c r="N562" s="198"/>
    </row>
    <row r="563" spans="1:14" ht="50.5" customHeight="1">
      <c r="A563" s="19" t="s">
        <v>7049</v>
      </c>
      <c r="B563" s="19" t="s">
        <v>7058</v>
      </c>
      <c r="C563" s="198" t="s">
        <v>23</v>
      </c>
      <c r="D563" s="198" t="s">
        <v>2272</v>
      </c>
      <c r="E563" s="4" t="s">
        <v>44</v>
      </c>
      <c r="F563" s="198" t="s">
        <v>2272</v>
      </c>
      <c r="G563" s="198"/>
      <c r="H563" s="198">
        <v>0</v>
      </c>
      <c r="I563" s="4" t="s">
        <v>7068</v>
      </c>
      <c r="J563" s="198" t="s">
        <v>2272</v>
      </c>
      <c r="K563" s="198" t="s">
        <v>2272</v>
      </c>
      <c r="L563" s="198" t="s">
        <v>2272</v>
      </c>
      <c r="M563" s="198" t="s">
        <v>2272</v>
      </c>
      <c r="N563" s="198"/>
    </row>
    <row r="564" spans="1:14" ht="50.5" customHeight="1">
      <c r="A564" s="19" t="s">
        <v>7049</v>
      </c>
      <c r="B564" s="19" t="s">
        <v>7059</v>
      </c>
      <c r="C564" s="198" t="s">
        <v>23</v>
      </c>
      <c r="D564" s="198" t="s">
        <v>2272</v>
      </c>
      <c r="E564" s="4" t="s">
        <v>128</v>
      </c>
      <c r="F564" s="198" t="s">
        <v>2272</v>
      </c>
      <c r="G564" s="198"/>
      <c r="H564" s="198">
        <v>0</v>
      </c>
      <c r="I564" s="4" t="s">
        <v>7068</v>
      </c>
      <c r="J564" s="198" t="s">
        <v>2272</v>
      </c>
      <c r="K564" s="198" t="s">
        <v>2272</v>
      </c>
      <c r="L564" s="198" t="s">
        <v>2272</v>
      </c>
      <c r="M564" s="198" t="s">
        <v>2272</v>
      </c>
      <c r="N564" s="198"/>
    </row>
    <row r="565" spans="1:14" ht="36.5" customHeight="1">
      <c r="A565" s="19" t="s">
        <v>7069</v>
      </c>
      <c r="B565" s="19" t="s">
        <v>7073</v>
      </c>
      <c r="C565" s="198" t="s">
        <v>23</v>
      </c>
      <c r="D565" s="198" t="s">
        <v>1238</v>
      </c>
      <c r="E565" s="4" t="s">
        <v>3204</v>
      </c>
      <c r="F565" s="4" t="s">
        <v>2657</v>
      </c>
      <c r="G565" s="198"/>
      <c r="H565" s="198">
        <v>3</v>
      </c>
      <c r="I565" s="198" t="s">
        <v>7079</v>
      </c>
      <c r="J565" s="198">
        <v>2</v>
      </c>
      <c r="K565" s="198" t="s">
        <v>7078</v>
      </c>
      <c r="L565" s="198" t="s">
        <v>2272</v>
      </c>
      <c r="M565" s="198" t="s">
        <v>2272</v>
      </c>
      <c r="N565" s="198"/>
    </row>
    <row r="566" spans="1:14" ht="35.5" customHeight="1">
      <c r="A566" s="19" t="s">
        <v>7069</v>
      </c>
      <c r="B566" s="19" t="s">
        <v>7074</v>
      </c>
      <c r="C566" s="198" t="s">
        <v>23</v>
      </c>
      <c r="D566" s="198" t="s">
        <v>1102</v>
      </c>
      <c r="E566" s="4" t="s">
        <v>5795</v>
      </c>
      <c r="F566" s="4" t="s">
        <v>2657</v>
      </c>
      <c r="G566" s="198"/>
      <c r="H566" s="198" t="s">
        <v>2272</v>
      </c>
      <c r="I566" s="198" t="s">
        <v>2272</v>
      </c>
      <c r="J566" s="198">
        <v>0</v>
      </c>
      <c r="K566" s="4" t="s">
        <v>7080</v>
      </c>
      <c r="L566" s="198" t="s">
        <v>2272</v>
      </c>
      <c r="M566" s="198" t="s">
        <v>2272</v>
      </c>
      <c r="N566" s="198"/>
    </row>
    <row r="567" spans="1:14" ht="29">
      <c r="A567" s="19" t="s">
        <v>7069</v>
      </c>
      <c r="B567" s="19" t="s">
        <v>7075</v>
      </c>
      <c r="C567" s="198" t="s">
        <v>23</v>
      </c>
      <c r="D567" s="198" t="s">
        <v>1238</v>
      </c>
      <c r="E567" s="4" t="s">
        <v>3204</v>
      </c>
      <c r="F567" s="4" t="s">
        <v>2657</v>
      </c>
      <c r="G567" s="198"/>
      <c r="H567" s="198">
        <v>3</v>
      </c>
      <c r="I567" s="198" t="s">
        <v>7079</v>
      </c>
      <c r="J567" s="198">
        <v>2</v>
      </c>
      <c r="K567" s="198" t="s">
        <v>7078</v>
      </c>
      <c r="L567" s="198" t="s">
        <v>2272</v>
      </c>
      <c r="M567" s="198" t="s">
        <v>2272</v>
      </c>
      <c r="N567" s="198"/>
    </row>
    <row r="568" spans="1:14" ht="36.5" customHeight="1">
      <c r="A568" s="19" t="s">
        <v>7084</v>
      </c>
      <c r="B568" s="19" t="s">
        <v>7173</v>
      </c>
      <c r="C568" s="198" t="s">
        <v>1102</v>
      </c>
      <c r="D568" s="198" t="s">
        <v>1102</v>
      </c>
      <c r="E568" s="4" t="s">
        <v>44</v>
      </c>
      <c r="F568" s="4" t="s">
        <v>2657</v>
      </c>
      <c r="G568" s="198"/>
      <c r="H568" s="198" t="s">
        <v>2272</v>
      </c>
      <c r="I568" s="198" t="s">
        <v>2272</v>
      </c>
      <c r="J568" s="198">
        <v>2</v>
      </c>
      <c r="K568" s="4" t="s">
        <v>7177</v>
      </c>
      <c r="L568" s="198" t="s">
        <v>2272</v>
      </c>
      <c r="M568" s="198" t="s">
        <v>2272</v>
      </c>
      <c r="N568" s="198"/>
    </row>
    <row r="569" spans="1:14" ht="36.5" customHeight="1">
      <c r="A569" s="19" t="s">
        <v>7084</v>
      </c>
      <c r="B569" s="19" t="s">
        <v>7174</v>
      </c>
      <c r="C569" s="198" t="s">
        <v>1102</v>
      </c>
      <c r="D569" s="198" t="s">
        <v>1102</v>
      </c>
      <c r="E569" s="4" t="s">
        <v>5795</v>
      </c>
      <c r="F569" s="4" t="s">
        <v>2657</v>
      </c>
      <c r="G569" s="198"/>
      <c r="H569" s="198" t="s">
        <v>2272</v>
      </c>
      <c r="I569" s="198" t="s">
        <v>2272</v>
      </c>
      <c r="J569" s="198">
        <v>0</v>
      </c>
      <c r="K569" s="4" t="s">
        <v>7080</v>
      </c>
      <c r="L569" s="198" t="s">
        <v>2272</v>
      </c>
      <c r="M569" s="198" t="s">
        <v>2272</v>
      </c>
      <c r="N569" s="198"/>
    </row>
    <row r="570" spans="1:14" ht="36.5" customHeight="1">
      <c r="A570" s="19" t="s">
        <v>7104</v>
      </c>
      <c r="B570" s="19" t="s">
        <v>7175</v>
      </c>
      <c r="C570" s="198" t="s">
        <v>1102</v>
      </c>
      <c r="D570" s="198" t="s">
        <v>1102</v>
      </c>
      <c r="E570" s="4" t="s">
        <v>5795</v>
      </c>
      <c r="F570" s="4" t="s">
        <v>2657</v>
      </c>
      <c r="G570" s="198"/>
      <c r="H570" s="198" t="s">
        <v>2272</v>
      </c>
      <c r="I570" s="198" t="s">
        <v>2272</v>
      </c>
      <c r="J570" s="198">
        <v>0</v>
      </c>
      <c r="K570" s="4" t="s">
        <v>7080</v>
      </c>
      <c r="L570" s="198" t="s">
        <v>2272</v>
      </c>
      <c r="M570" s="198" t="s">
        <v>2272</v>
      </c>
      <c r="N570" s="198"/>
    </row>
    <row r="571" spans="1:14" ht="36.5" customHeight="1">
      <c r="A571" s="19" t="s">
        <v>7104</v>
      </c>
      <c r="B571" s="19" t="s">
        <v>7176</v>
      </c>
      <c r="C571" s="198" t="s">
        <v>1102</v>
      </c>
      <c r="D571" s="198" t="s">
        <v>1102</v>
      </c>
      <c r="E571" s="4" t="s">
        <v>5795</v>
      </c>
      <c r="F571" s="4" t="s">
        <v>2657</v>
      </c>
      <c r="G571" s="198"/>
      <c r="H571" s="198" t="s">
        <v>2272</v>
      </c>
      <c r="I571" s="198" t="s">
        <v>2272</v>
      </c>
      <c r="J571" s="198">
        <v>0</v>
      </c>
      <c r="K571" s="4" t="s">
        <v>7080</v>
      </c>
      <c r="L571" s="198" t="s">
        <v>2272</v>
      </c>
      <c r="M571" s="198" t="s">
        <v>2272</v>
      </c>
      <c r="N571" s="198"/>
    </row>
    <row r="572" spans="1:14" ht="30" customHeight="1">
      <c r="A572" s="19" t="s">
        <v>7109</v>
      </c>
      <c r="B572" s="19" t="s">
        <v>7178</v>
      </c>
      <c r="C572" s="198" t="s">
        <v>1102</v>
      </c>
      <c r="D572" s="198" t="s">
        <v>1102</v>
      </c>
      <c r="E572" s="4" t="s">
        <v>44</v>
      </c>
      <c r="F572" s="4" t="s">
        <v>2657</v>
      </c>
      <c r="G572" s="198"/>
      <c r="H572" s="198" t="s">
        <v>2272</v>
      </c>
      <c r="I572" s="198" t="s">
        <v>2272</v>
      </c>
      <c r="J572" s="198">
        <v>2</v>
      </c>
      <c r="K572" s="4" t="s">
        <v>7177</v>
      </c>
      <c r="L572" s="198" t="s">
        <v>2272</v>
      </c>
      <c r="M572" s="198" t="s">
        <v>2272</v>
      </c>
      <c r="N572" s="198"/>
    </row>
    <row r="573" spans="1:14" ht="29">
      <c r="A573" s="19" t="s">
        <v>7109</v>
      </c>
      <c r="B573" s="19" t="s">
        <v>7183</v>
      </c>
      <c r="C573" s="198" t="s">
        <v>1102</v>
      </c>
      <c r="D573" s="198" t="s">
        <v>1102</v>
      </c>
      <c r="E573" s="4" t="s">
        <v>5795</v>
      </c>
      <c r="F573" s="4" t="s">
        <v>2657</v>
      </c>
      <c r="G573" s="198"/>
      <c r="H573" s="198" t="s">
        <v>2272</v>
      </c>
      <c r="I573" s="198" t="s">
        <v>2272</v>
      </c>
      <c r="J573" s="198">
        <v>0</v>
      </c>
      <c r="K573" s="4" t="s">
        <v>7080</v>
      </c>
      <c r="L573" s="198" t="s">
        <v>2272</v>
      </c>
      <c r="M573" s="198" t="s">
        <v>2272</v>
      </c>
      <c r="N573" s="198"/>
    </row>
    <row r="574" spans="1:14" ht="29">
      <c r="A574" s="19" t="s">
        <v>7110</v>
      </c>
      <c r="B574" s="19" t="s">
        <v>7179</v>
      </c>
      <c r="C574" s="198" t="s">
        <v>1102</v>
      </c>
      <c r="D574" s="198" t="s">
        <v>1102</v>
      </c>
      <c r="E574" s="4" t="s">
        <v>44</v>
      </c>
      <c r="F574" s="4" t="s">
        <v>2657</v>
      </c>
      <c r="G574" s="198"/>
      <c r="H574" s="198" t="s">
        <v>2272</v>
      </c>
      <c r="I574" s="198" t="s">
        <v>2272</v>
      </c>
      <c r="J574" s="198">
        <v>2</v>
      </c>
      <c r="K574" s="4" t="s">
        <v>7177</v>
      </c>
      <c r="L574" s="198" t="s">
        <v>2272</v>
      </c>
      <c r="M574" s="198" t="s">
        <v>2272</v>
      </c>
      <c r="N574" s="198"/>
    </row>
    <row r="575" spans="1:14" ht="29">
      <c r="A575" s="19" t="s">
        <v>7110</v>
      </c>
      <c r="B575" s="19" t="s">
        <v>7184</v>
      </c>
      <c r="C575" s="198" t="s">
        <v>1102</v>
      </c>
      <c r="D575" s="198" t="s">
        <v>1102</v>
      </c>
      <c r="E575" s="4" t="s">
        <v>5795</v>
      </c>
      <c r="F575" s="4" t="s">
        <v>2657</v>
      </c>
      <c r="G575" s="198"/>
      <c r="H575" s="198" t="s">
        <v>2272</v>
      </c>
      <c r="I575" s="198" t="s">
        <v>2272</v>
      </c>
      <c r="J575" s="198">
        <v>0</v>
      </c>
      <c r="K575" s="4" t="s">
        <v>7080</v>
      </c>
      <c r="L575" s="198" t="s">
        <v>2272</v>
      </c>
      <c r="M575" s="198" t="s">
        <v>2272</v>
      </c>
      <c r="N575" s="198"/>
    </row>
    <row r="576" spans="1:14" ht="29">
      <c r="A576" s="19" t="s">
        <v>7111</v>
      </c>
      <c r="B576" s="19" t="s">
        <v>7180</v>
      </c>
      <c r="C576" s="198" t="s">
        <v>1102</v>
      </c>
      <c r="D576" s="198" t="s">
        <v>1102</v>
      </c>
      <c r="E576" s="4" t="s">
        <v>44</v>
      </c>
      <c r="F576" s="4" t="s">
        <v>2657</v>
      </c>
      <c r="G576" s="198"/>
      <c r="H576" s="198" t="s">
        <v>2272</v>
      </c>
      <c r="I576" s="198" t="s">
        <v>2272</v>
      </c>
      <c r="J576" s="198">
        <v>2</v>
      </c>
      <c r="K576" s="4" t="s">
        <v>7177</v>
      </c>
      <c r="L576" s="198" t="s">
        <v>2272</v>
      </c>
      <c r="M576" s="198" t="s">
        <v>2272</v>
      </c>
      <c r="N576" s="198"/>
    </row>
    <row r="577" spans="1:14" ht="29">
      <c r="A577" s="19" t="s">
        <v>7111</v>
      </c>
      <c r="B577" s="19" t="s">
        <v>7185</v>
      </c>
      <c r="C577" s="198" t="s">
        <v>1102</v>
      </c>
      <c r="D577" s="198" t="s">
        <v>1102</v>
      </c>
      <c r="E577" s="4" t="s">
        <v>5795</v>
      </c>
      <c r="F577" s="4" t="s">
        <v>2657</v>
      </c>
      <c r="G577" s="198"/>
      <c r="H577" s="198" t="s">
        <v>2272</v>
      </c>
      <c r="I577" s="198" t="s">
        <v>2272</v>
      </c>
      <c r="J577" s="198">
        <v>0</v>
      </c>
      <c r="K577" s="4" t="s">
        <v>7080</v>
      </c>
      <c r="L577" s="198" t="s">
        <v>2272</v>
      </c>
      <c r="M577" s="198" t="s">
        <v>2272</v>
      </c>
      <c r="N577" s="198"/>
    </row>
    <row r="578" spans="1:14" ht="29">
      <c r="A578" s="19" t="s">
        <v>7112</v>
      </c>
      <c r="B578" s="19" t="s">
        <v>7181</v>
      </c>
      <c r="C578" s="198" t="s">
        <v>1102</v>
      </c>
      <c r="D578" s="198" t="s">
        <v>1102</v>
      </c>
      <c r="E578" s="4" t="s">
        <v>44</v>
      </c>
      <c r="F578" s="4" t="s">
        <v>2657</v>
      </c>
      <c r="G578" s="198"/>
      <c r="H578" s="198" t="s">
        <v>2272</v>
      </c>
      <c r="I578" s="198" t="s">
        <v>2272</v>
      </c>
      <c r="J578" s="198">
        <v>2</v>
      </c>
      <c r="K578" s="4" t="s">
        <v>7177</v>
      </c>
      <c r="L578" s="198" t="s">
        <v>2272</v>
      </c>
      <c r="M578" s="198" t="s">
        <v>2272</v>
      </c>
      <c r="N578" s="198"/>
    </row>
    <row r="579" spans="1:14" ht="29">
      <c r="A579" s="19" t="s">
        <v>7112</v>
      </c>
      <c r="B579" s="19" t="s">
        <v>7186</v>
      </c>
      <c r="C579" s="198" t="s">
        <v>1102</v>
      </c>
      <c r="D579" s="198" t="s">
        <v>1102</v>
      </c>
      <c r="E579" s="4" t="s">
        <v>5795</v>
      </c>
      <c r="F579" s="4" t="s">
        <v>2657</v>
      </c>
      <c r="G579" s="198"/>
      <c r="H579" s="198" t="s">
        <v>2272</v>
      </c>
      <c r="I579" s="198" t="s">
        <v>2272</v>
      </c>
      <c r="J579" s="198">
        <v>0</v>
      </c>
      <c r="K579" s="4" t="s">
        <v>7080</v>
      </c>
      <c r="L579" s="198" t="s">
        <v>2272</v>
      </c>
      <c r="M579" s="198" t="s">
        <v>2272</v>
      </c>
      <c r="N579" s="198"/>
    </row>
    <row r="580" spans="1:14" ht="29">
      <c r="A580" s="19" t="s">
        <v>7113</v>
      </c>
      <c r="B580" s="19" t="s">
        <v>7182</v>
      </c>
      <c r="C580" s="198" t="s">
        <v>1102</v>
      </c>
      <c r="D580" s="198" t="s">
        <v>1102</v>
      </c>
      <c r="E580" s="4" t="s">
        <v>44</v>
      </c>
      <c r="F580" s="4" t="s">
        <v>2657</v>
      </c>
      <c r="G580" s="198"/>
      <c r="H580" s="198" t="s">
        <v>2272</v>
      </c>
      <c r="I580" s="198" t="s">
        <v>2272</v>
      </c>
      <c r="J580" s="198">
        <v>2</v>
      </c>
      <c r="K580" s="4" t="s">
        <v>7177</v>
      </c>
      <c r="L580" s="198" t="s">
        <v>2272</v>
      </c>
      <c r="M580" s="198" t="s">
        <v>2272</v>
      </c>
      <c r="N580" s="198"/>
    </row>
    <row r="581" spans="1:14" ht="29">
      <c r="A581" s="19" t="s">
        <v>7113</v>
      </c>
      <c r="B581" s="19" t="s">
        <v>7187</v>
      </c>
      <c r="C581" s="198" t="s">
        <v>1102</v>
      </c>
      <c r="D581" s="198" t="s">
        <v>1102</v>
      </c>
      <c r="E581" s="4" t="s">
        <v>5795</v>
      </c>
      <c r="F581" s="4" t="s">
        <v>2657</v>
      </c>
      <c r="G581" s="198"/>
      <c r="H581" s="198" t="s">
        <v>2272</v>
      </c>
      <c r="I581" s="198" t="s">
        <v>2272</v>
      </c>
      <c r="J581" s="198">
        <v>0</v>
      </c>
      <c r="K581" s="4" t="s">
        <v>7080</v>
      </c>
      <c r="L581" s="198" t="s">
        <v>2272</v>
      </c>
      <c r="M581" s="198" t="s">
        <v>2272</v>
      </c>
      <c r="N581" s="198"/>
    </row>
    <row r="582" spans="1:14" ht="47" customHeight="1">
      <c r="A582" s="19" t="s">
        <v>7115</v>
      </c>
      <c r="B582" s="19" t="s">
        <v>7191</v>
      </c>
      <c r="C582" s="198" t="s">
        <v>1102</v>
      </c>
      <c r="D582" s="198" t="s">
        <v>1102</v>
      </c>
      <c r="E582" s="4" t="s">
        <v>3850</v>
      </c>
      <c r="F582" s="198" t="s">
        <v>27</v>
      </c>
      <c r="G582" s="198"/>
      <c r="H582" s="198" t="s">
        <v>2272</v>
      </c>
      <c r="I582" s="198" t="s">
        <v>2272</v>
      </c>
      <c r="J582" s="198">
        <v>1</v>
      </c>
      <c r="K582" s="4" t="s">
        <v>7192</v>
      </c>
      <c r="L582" s="198" t="s">
        <v>2272</v>
      </c>
      <c r="M582" s="198" t="s">
        <v>2272</v>
      </c>
      <c r="N582" s="198"/>
    </row>
    <row r="583" spans="1:14" ht="40.5" customHeight="1">
      <c r="A583" s="19" t="s">
        <v>7119</v>
      </c>
      <c r="B583" s="19" t="s">
        <v>7193</v>
      </c>
      <c r="C583" s="198" t="s">
        <v>1102</v>
      </c>
      <c r="D583" s="198" t="s">
        <v>1102</v>
      </c>
      <c r="E583" s="4" t="s">
        <v>5795</v>
      </c>
      <c r="F583" s="4" t="s">
        <v>2657</v>
      </c>
      <c r="G583" s="198"/>
      <c r="H583" s="198" t="s">
        <v>2272</v>
      </c>
      <c r="I583" s="198" t="s">
        <v>2272</v>
      </c>
      <c r="J583" s="198">
        <v>0</v>
      </c>
      <c r="K583" s="4" t="s">
        <v>7194</v>
      </c>
      <c r="L583" s="198" t="s">
        <v>2272</v>
      </c>
      <c r="M583" s="198" t="s">
        <v>2272</v>
      </c>
      <c r="N583" s="198"/>
    </row>
    <row r="584" spans="1:14" ht="32.5" customHeight="1">
      <c r="A584" s="19" t="s">
        <v>7121</v>
      </c>
      <c r="B584" s="19" t="s">
        <v>7195</v>
      </c>
      <c r="C584" s="198" t="s">
        <v>1102</v>
      </c>
      <c r="D584" s="198" t="s">
        <v>1102</v>
      </c>
      <c r="E584" s="4" t="s">
        <v>5795</v>
      </c>
      <c r="F584" s="4" t="s">
        <v>2657</v>
      </c>
      <c r="G584" s="198"/>
      <c r="H584" s="198" t="s">
        <v>2272</v>
      </c>
      <c r="I584" s="198" t="s">
        <v>2272</v>
      </c>
      <c r="J584" s="198">
        <v>0</v>
      </c>
      <c r="K584" s="4" t="s">
        <v>7196</v>
      </c>
      <c r="L584" s="198" t="s">
        <v>2272</v>
      </c>
      <c r="M584" s="198" t="s">
        <v>2272</v>
      </c>
      <c r="N584" s="198"/>
    </row>
    <row r="585" spans="1:14" ht="32.5" customHeight="1">
      <c r="A585" s="19" t="s">
        <v>7122</v>
      </c>
      <c r="B585" s="19" t="s">
        <v>7197</v>
      </c>
      <c r="C585" s="198" t="s">
        <v>1102</v>
      </c>
      <c r="D585" s="198" t="s">
        <v>1102</v>
      </c>
      <c r="E585" s="4" t="s">
        <v>44</v>
      </c>
      <c r="F585" s="4" t="s">
        <v>2657</v>
      </c>
      <c r="G585" s="198"/>
      <c r="H585" s="198" t="s">
        <v>2272</v>
      </c>
      <c r="I585" s="198" t="s">
        <v>2272</v>
      </c>
      <c r="J585" s="198">
        <v>2</v>
      </c>
      <c r="K585" s="198" t="s">
        <v>7199</v>
      </c>
      <c r="L585" s="198" t="s">
        <v>2272</v>
      </c>
      <c r="M585" s="198" t="s">
        <v>2272</v>
      </c>
      <c r="N585" s="198"/>
    </row>
    <row r="586" spans="1:14" ht="32.5" customHeight="1">
      <c r="A586" s="19" t="s">
        <v>7122</v>
      </c>
      <c r="B586" s="19" t="s">
        <v>7198</v>
      </c>
      <c r="C586" s="198" t="s">
        <v>1102</v>
      </c>
      <c r="D586" s="198" t="s">
        <v>1102</v>
      </c>
      <c r="E586" s="4" t="s">
        <v>5795</v>
      </c>
      <c r="F586" s="4" t="s">
        <v>2657</v>
      </c>
      <c r="G586" s="198"/>
      <c r="H586" s="198" t="s">
        <v>2272</v>
      </c>
      <c r="I586" s="198" t="s">
        <v>2272</v>
      </c>
      <c r="J586" s="198">
        <v>0</v>
      </c>
      <c r="K586" s="198" t="s">
        <v>7200</v>
      </c>
      <c r="L586" s="198" t="s">
        <v>2272</v>
      </c>
      <c r="M586" s="198" t="s">
        <v>2272</v>
      </c>
      <c r="N586" s="198"/>
    </row>
    <row r="587" spans="1:14" ht="32.5" customHeight="1">
      <c r="A587" s="19" t="s">
        <v>7125</v>
      </c>
      <c r="B587" s="19" t="s">
        <v>7201</v>
      </c>
      <c r="C587" s="198" t="s">
        <v>1102</v>
      </c>
      <c r="D587" s="198" t="s">
        <v>1102</v>
      </c>
      <c r="E587" s="4" t="s">
        <v>5795</v>
      </c>
      <c r="F587" s="4" t="s">
        <v>2657</v>
      </c>
      <c r="G587" s="198"/>
      <c r="H587" s="198" t="s">
        <v>2272</v>
      </c>
      <c r="I587" s="198" t="s">
        <v>2272</v>
      </c>
      <c r="J587" s="198">
        <v>0</v>
      </c>
      <c r="K587" s="198" t="s">
        <v>7200</v>
      </c>
      <c r="L587" s="198" t="s">
        <v>2272</v>
      </c>
      <c r="M587" s="198" t="s">
        <v>2272</v>
      </c>
      <c r="N587" s="198"/>
    </row>
    <row r="588" spans="1:14" ht="29">
      <c r="A588" s="19" t="s">
        <v>7125</v>
      </c>
      <c r="B588" s="19" t="s">
        <v>7203</v>
      </c>
      <c r="C588" s="198" t="s">
        <v>1102</v>
      </c>
      <c r="D588" s="198" t="s">
        <v>1102</v>
      </c>
      <c r="E588" s="4" t="s">
        <v>44</v>
      </c>
      <c r="F588" s="4" t="s">
        <v>2657</v>
      </c>
      <c r="G588" s="198"/>
      <c r="H588" s="198" t="s">
        <v>2272</v>
      </c>
      <c r="I588" s="198" t="s">
        <v>2272</v>
      </c>
      <c r="J588" s="198">
        <v>2</v>
      </c>
      <c r="K588" s="4" t="s">
        <v>7202</v>
      </c>
      <c r="L588" s="198" t="s">
        <v>2272</v>
      </c>
      <c r="M588" s="198" t="s">
        <v>2272</v>
      </c>
      <c r="N588" s="198"/>
    </row>
    <row r="589" spans="1:14" ht="43" customHeight="1">
      <c r="A589" s="19" t="s">
        <v>7223</v>
      </c>
      <c r="B589" s="19" t="s">
        <v>7230</v>
      </c>
      <c r="C589" s="198" t="s">
        <v>23</v>
      </c>
      <c r="D589" s="198" t="s">
        <v>1238</v>
      </c>
      <c r="E589" s="4" t="s">
        <v>3204</v>
      </c>
      <c r="F589" s="4" t="s">
        <v>2657</v>
      </c>
      <c r="G589" s="147"/>
      <c r="H589" s="198" t="s">
        <v>2272</v>
      </c>
      <c r="I589" s="198" t="s">
        <v>2272</v>
      </c>
      <c r="J589" s="198">
        <v>1</v>
      </c>
      <c r="K589" s="19" t="s">
        <v>7233</v>
      </c>
      <c r="L589" s="198" t="s">
        <v>2272</v>
      </c>
      <c r="M589" s="198" t="s">
        <v>2272</v>
      </c>
      <c r="N589" s="4" t="s">
        <v>7255</v>
      </c>
    </row>
    <row r="590" spans="1:14" ht="53.5" customHeight="1">
      <c r="A590" s="19" t="s">
        <v>7226</v>
      </c>
      <c r="B590" s="19" t="s">
        <v>7240</v>
      </c>
      <c r="C590" s="198" t="s">
        <v>23</v>
      </c>
      <c r="D590" s="198" t="s">
        <v>2799</v>
      </c>
      <c r="E590" s="4" t="s">
        <v>44</v>
      </c>
      <c r="F590" s="4" t="s">
        <v>2657</v>
      </c>
      <c r="G590" s="198">
        <v>1990</v>
      </c>
      <c r="H590" s="198">
        <v>0</v>
      </c>
      <c r="I590" s="19" t="s">
        <v>7244</v>
      </c>
      <c r="J590" s="198" t="s">
        <v>2272</v>
      </c>
      <c r="K590" s="198" t="s">
        <v>2272</v>
      </c>
      <c r="L590" s="198" t="s">
        <v>2272</v>
      </c>
      <c r="M590" s="198" t="s">
        <v>2272</v>
      </c>
      <c r="N590" s="198"/>
    </row>
    <row r="591" spans="1:14" ht="67.5" customHeight="1">
      <c r="A591" s="19" t="s">
        <v>7226</v>
      </c>
      <c r="B591" s="19" t="s">
        <v>7242</v>
      </c>
      <c r="C591" s="198" t="s">
        <v>23</v>
      </c>
      <c r="D591" s="198" t="s">
        <v>2799</v>
      </c>
      <c r="E591" s="4" t="s">
        <v>44</v>
      </c>
      <c r="F591" s="4" t="s">
        <v>2657</v>
      </c>
      <c r="G591" s="198">
        <v>2000</v>
      </c>
      <c r="H591" s="198">
        <v>2</v>
      </c>
      <c r="I591" s="19" t="s">
        <v>7245</v>
      </c>
      <c r="J591" s="198" t="s">
        <v>2272</v>
      </c>
      <c r="K591" s="198" t="s">
        <v>2272</v>
      </c>
      <c r="L591" s="198" t="s">
        <v>2272</v>
      </c>
      <c r="M591" s="198" t="s">
        <v>2272</v>
      </c>
      <c r="N591" s="173"/>
    </row>
    <row r="592" spans="1:14" ht="32" customHeight="1">
      <c r="A592" s="19" t="s">
        <v>7227</v>
      </c>
      <c r="B592" s="19" t="s">
        <v>7241</v>
      </c>
      <c r="C592" s="198" t="s">
        <v>23</v>
      </c>
      <c r="D592" s="198" t="s">
        <v>2799</v>
      </c>
      <c r="E592" s="4" t="s">
        <v>44</v>
      </c>
      <c r="F592" s="4" t="s">
        <v>2657</v>
      </c>
      <c r="G592" s="198">
        <v>1980</v>
      </c>
      <c r="H592" s="198">
        <v>0</v>
      </c>
      <c r="I592" s="11" t="s">
        <v>7252</v>
      </c>
      <c r="J592" s="198" t="s">
        <v>2272</v>
      </c>
      <c r="K592" s="198" t="s">
        <v>2272</v>
      </c>
      <c r="L592" s="198" t="s">
        <v>2272</v>
      </c>
      <c r="M592" s="198" t="s">
        <v>2272</v>
      </c>
      <c r="N592" s="173"/>
    </row>
    <row r="593" spans="1:14" ht="32" customHeight="1">
      <c r="A593" s="19" t="s">
        <v>7227</v>
      </c>
      <c r="B593" s="19" t="s">
        <v>7248</v>
      </c>
      <c r="C593" s="198" t="s">
        <v>23</v>
      </c>
      <c r="D593" s="198" t="s">
        <v>2799</v>
      </c>
      <c r="E593" s="4" t="s">
        <v>44</v>
      </c>
      <c r="F593" s="4" t="s">
        <v>2657</v>
      </c>
      <c r="G593" s="198">
        <v>1990</v>
      </c>
      <c r="H593" s="198">
        <v>2</v>
      </c>
      <c r="I593" s="11" t="s">
        <v>7253</v>
      </c>
      <c r="J593" s="198" t="s">
        <v>2272</v>
      </c>
      <c r="K593" s="198" t="s">
        <v>2272</v>
      </c>
      <c r="L593" s="198" t="s">
        <v>2272</v>
      </c>
      <c r="M593" s="198" t="s">
        <v>2272</v>
      </c>
      <c r="N593" s="173"/>
    </row>
    <row r="594" spans="1:14" ht="32" customHeight="1">
      <c r="A594" s="19" t="s">
        <v>7227</v>
      </c>
      <c r="B594" s="19" t="s">
        <v>7249</v>
      </c>
      <c r="C594" s="198" t="s">
        <v>23</v>
      </c>
      <c r="D594" s="198" t="s">
        <v>2799</v>
      </c>
      <c r="E594" s="4" t="s">
        <v>3204</v>
      </c>
      <c r="F594" s="4" t="s">
        <v>2657</v>
      </c>
      <c r="G594" s="198"/>
      <c r="H594" s="198">
        <v>3</v>
      </c>
      <c r="I594" s="19" t="s">
        <v>7254</v>
      </c>
      <c r="J594" s="198" t="s">
        <v>2272</v>
      </c>
      <c r="K594" s="198" t="s">
        <v>2272</v>
      </c>
      <c r="L594" s="198" t="s">
        <v>2272</v>
      </c>
      <c r="M594" s="198" t="s">
        <v>2272</v>
      </c>
      <c r="N594" s="173"/>
    </row>
    <row r="595" spans="1:14" ht="29">
      <c r="A595" s="19" t="s">
        <v>7277</v>
      </c>
      <c r="B595" s="19" t="s">
        <v>7292</v>
      </c>
      <c r="C595" s="198" t="s">
        <v>1102</v>
      </c>
      <c r="D595" s="198" t="s">
        <v>1238</v>
      </c>
      <c r="E595" s="4" t="s">
        <v>3204</v>
      </c>
      <c r="F595" s="4" t="s">
        <v>2657</v>
      </c>
      <c r="G595" s="198"/>
      <c r="H595" s="198">
        <v>3</v>
      </c>
      <c r="I595" s="4" t="s">
        <v>7622</v>
      </c>
      <c r="J595" s="198">
        <v>1</v>
      </c>
      <c r="K595" s="11" t="s">
        <v>7620</v>
      </c>
      <c r="L595" s="198" t="s">
        <v>2272</v>
      </c>
      <c r="M595" s="198" t="s">
        <v>2272</v>
      </c>
    </row>
    <row r="596" spans="1:14" ht="29">
      <c r="A596" s="19" t="s">
        <v>7278</v>
      </c>
      <c r="B596" s="19" t="s">
        <v>7293</v>
      </c>
      <c r="C596" s="198" t="s">
        <v>1102</v>
      </c>
      <c r="D596" s="198" t="s">
        <v>1238</v>
      </c>
      <c r="E596" s="4" t="s">
        <v>3204</v>
      </c>
      <c r="F596" s="4" t="s">
        <v>2657</v>
      </c>
      <c r="G596" s="198"/>
      <c r="H596" s="198">
        <v>3</v>
      </c>
      <c r="I596" s="4" t="s">
        <v>7622</v>
      </c>
      <c r="J596" s="198">
        <v>1</v>
      </c>
      <c r="K596" s="11" t="s">
        <v>7620</v>
      </c>
      <c r="L596" s="198" t="s">
        <v>2272</v>
      </c>
      <c r="M596" s="198" t="s">
        <v>2272</v>
      </c>
    </row>
    <row r="597" spans="1:14" ht="29">
      <c r="A597" s="19" t="s">
        <v>7279</v>
      </c>
      <c r="B597" s="19" t="s">
        <v>7294</v>
      </c>
      <c r="C597" s="198" t="s">
        <v>1102</v>
      </c>
      <c r="D597" s="198" t="s">
        <v>1238</v>
      </c>
      <c r="E597" s="4" t="s">
        <v>3204</v>
      </c>
      <c r="F597" s="4" t="s">
        <v>2657</v>
      </c>
      <c r="G597" s="198"/>
      <c r="H597" s="198">
        <v>3</v>
      </c>
      <c r="I597" s="4" t="s">
        <v>7622</v>
      </c>
      <c r="J597" s="198">
        <v>2</v>
      </c>
      <c r="K597" s="11" t="s">
        <v>7621</v>
      </c>
      <c r="L597" s="198" t="s">
        <v>2272</v>
      </c>
      <c r="M597" s="198" t="s">
        <v>2272</v>
      </c>
    </row>
    <row r="598" spans="1:14" ht="29">
      <c r="A598" s="19" t="s">
        <v>7280</v>
      </c>
      <c r="B598" s="19" t="s">
        <v>7295</v>
      </c>
      <c r="C598" s="198" t="s">
        <v>1102</v>
      </c>
      <c r="D598" s="198" t="s">
        <v>1238</v>
      </c>
      <c r="E598" s="4" t="s">
        <v>3204</v>
      </c>
      <c r="F598" s="4" t="s">
        <v>2657</v>
      </c>
      <c r="G598" s="198"/>
      <c r="H598" s="198">
        <v>3</v>
      </c>
      <c r="I598" s="4" t="s">
        <v>7622</v>
      </c>
      <c r="J598" s="198">
        <v>2</v>
      </c>
      <c r="K598" s="11" t="s">
        <v>7621</v>
      </c>
      <c r="L598" s="198" t="s">
        <v>2272</v>
      </c>
      <c r="M598" s="198" t="s">
        <v>2272</v>
      </c>
    </row>
    <row r="599" spans="1:14" ht="29">
      <c r="A599" s="19" t="s">
        <v>7281</v>
      </c>
      <c r="B599" s="19" t="s">
        <v>7296</v>
      </c>
      <c r="C599" s="198" t="s">
        <v>1102</v>
      </c>
      <c r="D599" s="198" t="s">
        <v>1238</v>
      </c>
      <c r="E599" s="4" t="s">
        <v>3204</v>
      </c>
      <c r="F599" s="4" t="s">
        <v>2657</v>
      </c>
      <c r="G599" s="198"/>
      <c r="H599" s="198">
        <v>3</v>
      </c>
      <c r="I599" s="4" t="s">
        <v>7622</v>
      </c>
      <c r="J599" s="198">
        <v>1</v>
      </c>
      <c r="K599" s="11" t="s">
        <v>7620</v>
      </c>
      <c r="L599" s="198" t="s">
        <v>2272</v>
      </c>
      <c r="M599" s="198" t="s">
        <v>2272</v>
      </c>
    </row>
    <row r="600" spans="1:14" ht="29">
      <c r="A600" s="19" t="s">
        <v>7282</v>
      </c>
      <c r="B600" s="19" t="s">
        <v>7402</v>
      </c>
      <c r="C600" s="198" t="s">
        <v>1102</v>
      </c>
      <c r="D600" s="198" t="s">
        <v>1238</v>
      </c>
      <c r="E600" s="4" t="s">
        <v>3204</v>
      </c>
      <c r="F600" s="4" t="s">
        <v>2657</v>
      </c>
      <c r="G600" s="198"/>
      <c r="H600" s="198">
        <v>3</v>
      </c>
      <c r="I600" s="4" t="s">
        <v>7622</v>
      </c>
      <c r="J600" s="198">
        <v>1</v>
      </c>
      <c r="K600" s="11" t="s">
        <v>7620</v>
      </c>
      <c r="L600" s="198" t="s">
        <v>2272</v>
      </c>
      <c r="M600" s="198" t="s">
        <v>2272</v>
      </c>
    </row>
    <row r="601" spans="1:14" ht="29">
      <c r="A601" s="19" t="s">
        <v>7368</v>
      </c>
      <c r="B601" s="19" t="s">
        <v>7403</v>
      </c>
      <c r="C601" s="198" t="s">
        <v>1102</v>
      </c>
      <c r="D601" s="198" t="s">
        <v>1238</v>
      </c>
      <c r="E601" s="4" t="s">
        <v>3204</v>
      </c>
      <c r="F601" s="4" t="s">
        <v>2657</v>
      </c>
      <c r="G601" s="198"/>
      <c r="H601" s="198">
        <v>3</v>
      </c>
      <c r="I601" s="4" t="s">
        <v>7622</v>
      </c>
      <c r="J601" s="198">
        <v>1</v>
      </c>
      <c r="K601" s="11" t="s">
        <v>7620</v>
      </c>
      <c r="L601" s="198" t="s">
        <v>2272</v>
      </c>
      <c r="M601" s="198" t="s">
        <v>2272</v>
      </c>
    </row>
    <row r="602" spans="1:14" ht="29">
      <c r="A602" s="19" t="s">
        <v>7369</v>
      </c>
      <c r="B602" s="19" t="s">
        <v>7404</v>
      </c>
      <c r="C602" s="198" t="s">
        <v>1102</v>
      </c>
      <c r="D602" s="198" t="s">
        <v>1238</v>
      </c>
      <c r="E602" s="4" t="s">
        <v>3204</v>
      </c>
      <c r="F602" s="4" t="s">
        <v>2657</v>
      </c>
      <c r="G602" s="198"/>
      <c r="H602" s="198">
        <v>3</v>
      </c>
      <c r="I602" s="4" t="s">
        <v>7622</v>
      </c>
      <c r="J602" s="198">
        <v>1</v>
      </c>
      <c r="K602" s="11" t="s">
        <v>7620</v>
      </c>
      <c r="L602" s="198" t="s">
        <v>2272</v>
      </c>
      <c r="M602" s="198" t="s">
        <v>2272</v>
      </c>
    </row>
    <row r="603" spans="1:14" ht="29">
      <c r="A603" s="19" t="s">
        <v>7370</v>
      </c>
      <c r="B603" s="19" t="s">
        <v>7405</v>
      </c>
      <c r="C603" s="198" t="s">
        <v>1102</v>
      </c>
      <c r="D603" s="198" t="s">
        <v>1238</v>
      </c>
      <c r="E603" s="4" t="s">
        <v>3204</v>
      </c>
      <c r="F603" s="4" t="s">
        <v>2657</v>
      </c>
      <c r="G603" s="198"/>
      <c r="H603" s="198">
        <v>3</v>
      </c>
      <c r="I603" s="4" t="s">
        <v>7622</v>
      </c>
      <c r="J603" s="198">
        <v>1</v>
      </c>
      <c r="K603" s="11" t="s">
        <v>7620</v>
      </c>
      <c r="L603" s="198" t="s">
        <v>2272</v>
      </c>
      <c r="M603" s="198" t="s">
        <v>2272</v>
      </c>
    </row>
    <row r="604" spans="1:14" ht="29">
      <c r="A604" s="19" t="s">
        <v>7371</v>
      </c>
      <c r="B604" s="19" t="s">
        <v>7406</v>
      </c>
      <c r="C604" s="198" t="s">
        <v>1102</v>
      </c>
      <c r="D604" s="198" t="s">
        <v>1238</v>
      </c>
      <c r="E604" s="4" t="s">
        <v>3204</v>
      </c>
      <c r="F604" s="4" t="s">
        <v>2657</v>
      </c>
      <c r="G604" s="198"/>
      <c r="H604" s="198">
        <v>3</v>
      </c>
      <c r="I604" s="4" t="s">
        <v>7622</v>
      </c>
      <c r="J604" s="198">
        <v>1</v>
      </c>
      <c r="K604" s="11" t="s">
        <v>7620</v>
      </c>
      <c r="L604" s="198" t="s">
        <v>2272</v>
      </c>
      <c r="M604" s="198" t="s">
        <v>2272</v>
      </c>
    </row>
    <row r="605" spans="1:14" ht="29">
      <c r="A605" s="19" t="s">
        <v>7372</v>
      </c>
      <c r="B605" s="19" t="s">
        <v>7407</v>
      </c>
      <c r="C605" s="198" t="s">
        <v>1102</v>
      </c>
      <c r="D605" s="198" t="s">
        <v>1238</v>
      </c>
      <c r="E605" s="4" t="s">
        <v>3204</v>
      </c>
      <c r="F605" s="4" t="s">
        <v>2657</v>
      </c>
      <c r="G605" s="198"/>
      <c r="H605" s="198">
        <v>3</v>
      </c>
      <c r="I605" s="4" t="s">
        <v>7622</v>
      </c>
      <c r="J605" s="198">
        <v>1</v>
      </c>
      <c r="K605" s="11" t="s">
        <v>7620</v>
      </c>
      <c r="L605" s="198" t="s">
        <v>2272</v>
      </c>
      <c r="M605" s="198" t="s">
        <v>2272</v>
      </c>
    </row>
    <row r="606" spans="1:14" ht="29">
      <c r="A606" s="19" t="s">
        <v>7373</v>
      </c>
      <c r="B606" s="19" t="s">
        <v>7408</v>
      </c>
      <c r="C606" s="198" t="s">
        <v>1102</v>
      </c>
      <c r="D606" s="198" t="s">
        <v>1238</v>
      </c>
      <c r="E606" s="4" t="s">
        <v>3204</v>
      </c>
      <c r="F606" s="4" t="s">
        <v>2657</v>
      </c>
      <c r="G606" s="198"/>
      <c r="H606" s="198">
        <v>3</v>
      </c>
      <c r="I606" s="4" t="s">
        <v>7622</v>
      </c>
      <c r="J606" s="198">
        <v>1</v>
      </c>
      <c r="K606" s="11" t="s">
        <v>7620</v>
      </c>
      <c r="L606" s="198" t="s">
        <v>2272</v>
      </c>
      <c r="M606" s="198" t="s">
        <v>2272</v>
      </c>
    </row>
    <row r="607" spans="1:14" ht="29">
      <c r="A607" s="19" t="s">
        <v>7374</v>
      </c>
      <c r="B607" s="19" t="s">
        <v>7409</v>
      </c>
      <c r="C607" s="198" t="s">
        <v>1102</v>
      </c>
      <c r="D607" s="198" t="s">
        <v>1238</v>
      </c>
      <c r="E607" s="4" t="s">
        <v>3204</v>
      </c>
      <c r="F607" s="4" t="s">
        <v>2657</v>
      </c>
      <c r="G607" s="198"/>
      <c r="H607" s="198">
        <v>3</v>
      </c>
      <c r="I607" s="4" t="s">
        <v>7622</v>
      </c>
      <c r="J607" s="198">
        <v>1</v>
      </c>
      <c r="K607" s="11" t="s">
        <v>7620</v>
      </c>
      <c r="L607" s="198" t="s">
        <v>2272</v>
      </c>
      <c r="M607" s="198" t="s">
        <v>2272</v>
      </c>
    </row>
    <row r="608" spans="1:14" ht="29">
      <c r="A608" s="19" t="s">
        <v>7375</v>
      </c>
      <c r="B608" s="19" t="s">
        <v>7410</v>
      </c>
      <c r="C608" s="198" t="s">
        <v>1102</v>
      </c>
      <c r="D608" s="198" t="s">
        <v>1238</v>
      </c>
      <c r="E608" s="4" t="s">
        <v>3204</v>
      </c>
      <c r="F608" s="4" t="s">
        <v>2657</v>
      </c>
      <c r="G608" s="198"/>
      <c r="H608" s="198">
        <v>3</v>
      </c>
      <c r="I608" s="4" t="s">
        <v>7622</v>
      </c>
      <c r="J608" s="198">
        <v>1</v>
      </c>
      <c r="K608" s="11" t="s">
        <v>7620</v>
      </c>
      <c r="L608" s="198" t="s">
        <v>2272</v>
      </c>
      <c r="M608" s="198" t="s">
        <v>2272</v>
      </c>
    </row>
    <row r="609" spans="1:13" ht="29">
      <c r="A609" s="19" t="s">
        <v>7376</v>
      </c>
      <c r="B609" s="19" t="s">
        <v>7411</v>
      </c>
      <c r="C609" s="198" t="s">
        <v>1102</v>
      </c>
      <c r="D609" s="198" t="s">
        <v>1238</v>
      </c>
      <c r="E609" s="4" t="s">
        <v>3204</v>
      </c>
      <c r="F609" s="4" t="s">
        <v>2657</v>
      </c>
      <c r="G609" s="198"/>
      <c r="H609" s="198">
        <v>3</v>
      </c>
      <c r="I609" s="4" t="s">
        <v>7622</v>
      </c>
      <c r="J609" s="198">
        <v>2</v>
      </c>
      <c r="K609" s="11" t="s">
        <v>7621</v>
      </c>
      <c r="L609" s="198" t="s">
        <v>2272</v>
      </c>
      <c r="M609" s="198" t="s">
        <v>2272</v>
      </c>
    </row>
    <row r="610" spans="1:13" ht="29">
      <c r="A610" s="19" t="s">
        <v>7377</v>
      </c>
      <c r="B610" s="19" t="s">
        <v>7412</v>
      </c>
      <c r="C610" s="198" t="s">
        <v>1102</v>
      </c>
      <c r="D610" s="198" t="s">
        <v>1238</v>
      </c>
      <c r="E610" s="4" t="s">
        <v>3204</v>
      </c>
      <c r="F610" s="4" t="s">
        <v>2657</v>
      </c>
      <c r="G610" s="198"/>
      <c r="H610" s="198">
        <v>3</v>
      </c>
      <c r="I610" s="4" t="s">
        <v>7622</v>
      </c>
      <c r="J610" s="198">
        <v>1</v>
      </c>
      <c r="K610" s="11" t="s">
        <v>7620</v>
      </c>
      <c r="L610" s="198" t="s">
        <v>2272</v>
      </c>
      <c r="M610" s="198" t="s">
        <v>2272</v>
      </c>
    </row>
    <row r="611" spans="1:13" ht="29">
      <c r="A611" s="19" t="s">
        <v>7378</v>
      </c>
      <c r="B611" s="19" t="s">
        <v>7413</v>
      </c>
      <c r="C611" s="198" t="s">
        <v>1102</v>
      </c>
      <c r="D611" s="198" t="s">
        <v>1238</v>
      </c>
      <c r="E611" s="4" t="s">
        <v>3204</v>
      </c>
      <c r="F611" s="4" t="s">
        <v>2657</v>
      </c>
      <c r="G611" s="198"/>
      <c r="H611" s="198">
        <v>3</v>
      </c>
      <c r="I611" s="4" t="s">
        <v>7622</v>
      </c>
      <c r="J611" s="198">
        <v>1</v>
      </c>
      <c r="K611" s="11" t="s">
        <v>7620</v>
      </c>
      <c r="L611" s="198" t="s">
        <v>2272</v>
      </c>
      <c r="M611" s="198" t="s">
        <v>2272</v>
      </c>
    </row>
    <row r="612" spans="1:13" ht="29">
      <c r="A612" s="19" t="s">
        <v>7379</v>
      </c>
      <c r="B612" s="19" t="s">
        <v>7414</v>
      </c>
      <c r="C612" s="198" t="s">
        <v>1102</v>
      </c>
      <c r="D612" s="198" t="s">
        <v>1238</v>
      </c>
      <c r="E612" s="4" t="s">
        <v>3204</v>
      </c>
      <c r="F612" s="4" t="s">
        <v>2657</v>
      </c>
      <c r="G612" s="198"/>
      <c r="H612" s="198">
        <v>3</v>
      </c>
      <c r="I612" s="4" t="s">
        <v>7622</v>
      </c>
      <c r="J612" s="198">
        <v>1</v>
      </c>
      <c r="K612" s="11" t="s">
        <v>7620</v>
      </c>
      <c r="L612" s="198" t="s">
        <v>2272</v>
      </c>
      <c r="M612" s="198" t="s">
        <v>2272</v>
      </c>
    </row>
    <row r="613" spans="1:13" ht="29">
      <c r="A613" s="19" t="s">
        <v>7380</v>
      </c>
      <c r="B613" s="19" t="s">
        <v>7415</v>
      </c>
      <c r="C613" s="198" t="s">
        <v>1102</v>
      </c>
      <c r="D613" s="198" t="s">
        <v>1238</v>
      </c>
      <c r="E613" s="4" t="s">
        <v>3204</v>
      </c>
      <c r="F613" s="4" t="s">
        <v>2657</v>
      </c>
      <c r="G613" s="198"/>
      <c r="H613" s="198">
        <v>3</v>
      </c>
      <c r="I613" s="4" t="s">
        <v>7622</v>
      </c>
      <c r="J613" s="198">
        <v>1</v>
      </c>
      <c r="K613" s="11" t="s">
        <v>7620</v>
      </c>
      <c r="L613" s="198" t="s">
        <v>2272</v>
      </c>
      <c r="M613" s="198" t="s">
        <v>2272</v>
      </c>
    </row>
    <row r="614" spans="1:13" ht="29">
      <c r="A614" s="19" t="s">
        <v>7381</v>
      </c>
      <c r="B614" s="19" t="s">
        <v>7416</v>
      </c>
      <c r="C614" s="198" t="s">
        <v>1102</v>
      </c>
      <c r="D614" s="198" t="s">
        <v>1238</v>
      </c>
      <c r="E614" s="4" t="s">
        <v>3204</v>
      </c>
      <c r="F614" s="4" t="s">
        <v>2657</v>
      </c>
      <c r="G614" s="198"/>
      <c r="H614" s="198">
        <v>3</v>
      </c>
      <c r="I614" s="4" t="s">
        <v>7622</v>
      </c>
      <c r="J614" s="198">
        <v>1</v>
      </c>
      <c r="K614" s="11" t="s">
        <v>7620</v>
      </c>
      <c r="L614" s="198" t="s">
        <v>2272</v>
      </c>
      <c r="M614" s="198" t="s">
        <v>2272</v>
      </c>
    </row>
    <row r="615" spans="1:13" ht="29">
      <c r="A615" s="19" t="s">
        <v>7382</v>
      </c>
      <c r="B615" s="19" t="s">
        <v>7417</v>
      </c>
      <c r="C615" s="198" t="s">
        <v>1102</v>
      </c>
      <c r="D615" s="198" t="s">
        <v>1238</v>
      </c>
      <c r="E615" s="4" t="s">
        <v>3204</v>
      </c>
      <c r="F615" s="4" t="s">
        <v>2657</v>
      </c>
      <c r="G615" s="198"/>
      <c r="H615" s="198">
        <v>3</v>
      </c>
      <c r="I615" s="4" t="s">
        <v>7622</v>
      </c>
      <c r="J615" s="198">
        <v>2</v>
      </c>
      <c r="K615" s="11" t="s">
        <v>7621</v>
      </c>
      <c r="L615" s="198" t="s">
        <v>2272</v>
      </c>
      <c r="M615" s="198" t="s">
        <v>2272</v>
      </c>
    </row>
    <row r="616" spans="1:13" ht="29">
      <c r="A616" s="19" t="s">
        <v>7383</v>
      </c>
      <c r="B616" s="19" t="s">
        <v>7418</v>
      </c>
      <c r="C616" s="198" t="s">
        <v>1102</v>
      </c>
      <c r="D616" s="198" t="s">
        <v>1238</v>
      </c>
      <c r="E616" s="4" t="s">
        <v>3204</v>
      </c>
      <c r="F616" s="4" t="s">
        <v>2657</v>
      </c>
      <c r="G616" s="198"/>
      <c r="H616" s="198">
        <v>3</v>
      </c>
      <c r="I616" s="4" t="s">
        <v>7622</v>
      </c>
      <c r="J616" s="198">
        <v>2</v>
      </c>
      <c r="K616" s="11" t="s">
        <v>7621</v>
      </c>
      <c r="L616" s="198" t="s">
        <v>2272</v>
      </c>
      <c r="M616" s="198" t="s">
        <v>2272</v>
      </c>
    </row>
    <row r="617" spans="1:13" ht="29">
      <c r="A617" s="19" t="s">
        <v>7384</v>
      </c>
      <c r="B617" s="19" t="s">
        <v>7419</v>
      </c>
      <c r="C617" s="198" t="s">
        <v>1102</v>
      </c>
      <c r="D617" s="198" t="s">
        <v>1238</v>
      </c>
      <c r="E617" s="4" t="s">
        <v>3204</v>
      </c>
      <c r="F617" s="4" t="s">
        <v>2657</v>
      </c>
      <c r="G617" s="198"/>
      <c r="H617" s="198">
        <v>3</v>
      </c>
      <c r="I617" s="4" t="s">
        <v>7622</v>
      </c>
      <c r="J617" s="198">
        <v>2</v>
      </c>
      <c r="K617" s="11" t="s">
        <v>7621</v>
      </c>
      <c r="L617" s="198" t="s">
        <v>2272</v>
      </c>
      <c r="M617" s="198" t="s">
        <v>2272</v>
      </c>
    </row>
    <row r="618" spans="1:13" ht="29">
      <c r="A618" s="19" t="s">
        <v>7583</v>
      </c>
      <c r="B618" s="19" t="s">
        <v>7584</v>
      </c>
      <c r="C618" s="198" t="s">
        <v>1102</v>
      </c>
      <c r="D618" s="198" t="s">
        <v>1238</v>
      </c>
      <c r="E618" s="4" t="s">
        <v>3204</v>
      </c>
      <c r="F618" s="4" t="s">
        <v>2657</v>
      </c>
      <c r="G618" s="198"/>
      <c r="H618" s="198">
        <v>3</v>
      </c>
      <c r="I618" s="4" t="s">
        <v>7622</v>
      </c>
      <c r="J618" s="198">
        <v>1</v>
      </c>
      <c r="K618" s="11" t="s">
        <v>7620</v>
      </c>
      <c r="L618" s="198" t="s">
        <v>2272</v>
      </c>
      <c r="M618" s="198" t="s">
        <v>2272</v>
      </c>
    </row>
    <row r="619" spans="1:13" ht="29">
      <c r="A619" s="19" t="s">
        <v>7605</v>
      </c>
      <c r="B619" s="19" t="s">
        <v>7606</v>
      </c>
      <c r="C619" s="198" t="s">
        <v>1102</v>
      </c>
      <c r="D619" s="198" t="s">
        <v>1238</v>
      </c>
      <c r="E619" s="4" t="s">
        <v>3204</v>
      </c>
      <c r="F619" s="4" t="s">
        <v>2657</v>
      </c>
      <c r="G619" s="198"/>
      <c r="H619" s="198">
        <v>3</v>
      </c>
      <c r="I619" s="4" t="s">
        <v>7622</v>
      </c>
      <c r="J619" s="198">
        <v>1</v>
      </c>
      <c r="K619" s="11" t="s">
        <v>7620</v>
      </c>
      <c r="L619" s="198" t="s">
        <v>2272</v>
      </c>
      <c r="M619" s="198" t="s">
        <v>2272</v>
      </c>
    </row>
    <row r="620" spans="1:13" ht="31.5" customHeight="1">
      <c r="A620" s="19" t="s">
        <v>7277</v>
      </c>
      <c r="B620" s="19" t="s">
        <v>7298</v>
      </c>
      <c r="C620" s="198" t="s">
        <v>1102</v>
      </c>
      <c r="D620" s="198" t="s">
        <v>1238</v>
      </c>
      <c r="E620" s="4" t="s">
        <v>3204</v>
      </c>
      <c r="F620" s="4" t="s">
        <v>73</v>
      </c>
      <c r="G620" s="198"/>
      <c r="H620" s="198">
        <v>3</v>
      </c>
      <c r="I620" s="4" t="s">
        <v>7622</v>
      </c>
      <c r="J620" s="198">
        <v>1</v>
      </c>
      <c r="K620" s="11" t="s">
        <v>7620</v>
      </c>
      <c r="L620" s="198" t="s">
        <v>2272</v>
      </c>
      <c r="M620" s="198" t="s">
        <v>2272</v>
      </c>
    </row>
    <row r="621" spans="1:13" ht="31.5" customHeight="1">
      <c r="A621" s="19" t="s">
        <v>7278</v>
      </c>
      <c r="B621" s="19" t="s">
        <v>7299</v>
      </c>
      <c r="C621" s="198" t="s">
        <v>1102</v>
      </c>
      <c r="D621" s="198" t="s">
        <v>1238</v>
      </c>
      <c r="E621" s="4" t="s">
        <v>3204</v>
      </c>
      <c r="F621" s="4" t="s">
        <v>73</v>
      </c>
      <c r="G621" s="198"/>
      <c r="H621" s="198">
        <v>3</v>
      </c>
      <c r="I621" s="4" t="s">
        <v>7622</v>
      </c>
      <c r="J621" s="198">
        <v>1</v>
      </c>
      <c r="K621" s="11" t="s">
        <v>7620</v>
      </c>
      <c r="L621" s="198" t="s">
        <v>2272</v>
      </c>
      <c r="M621" s="198" t="s">
        <v>2272</v>
      </c>
    </row>
    <row r="622" spans="1:13" ht="31.5" customHeight="1">
      <c r="A622" s="19" t="s">
        <v>7279</v>
      </c>
      <c r="B622" s="19" t="s">
        <v>7300</v>
      </c>
      <c r="C622" s="198" t="s">
        <v>1102</v>
      </c>
      <c r="D622" s="198" t="s">
        <v>1238</v>
      </c>
      <c r="E622" s="4" t="s">
        <v>3204</v>
      </c>
      <c r="F622" s="4" t="s">
        <v>73</v>
      </c>
      <c r="G622" s="198"/>
      <c r="H622" s="198">
        <v>3</v>
      </c>
      <c r="I622" s="4" t="s">
        <v>7622</v>
      </c>
      <c r="J622" s="198">
        <v>2</v>
      </c>
      <c r="K622" s="11" t="s">
        <v>7621</v>
      </c>
      <c r="L622" s="198" t="s">
        <v>2272</v>
      </c>
      <c r="M622" s="198" t="s">
        <v>2272</v>
      </c>
    </row>
    <row r="623" spans="1:13" ht="31.5" customHeight="1">
      <c r="A623" s="19" t="s">
        <v>7280</v>
      </c>
      <c r="B623" s="19" t="s">
        <v>7301</v>
      </c>
      <c r="C623" s="198" t="s">
        <v>1102</v>
      </c>
      <c r="D623" s="198" t="s">
        <v>1238</v>
      </c>
      <c r="E623" s="4" t="s">
        <v>3204</v>
      </c>
      <c r="F623" s="4" t="s">
        <v>73</v>
      </c>
      <c r="G623" s="198"/>
      <c r="H623" s="198">
        <v>3</v>
      </c>
      <c r="I623" s="4" t="s">
        <v>7622</v>
      </c>
      <c r="J623" s="198">
        <v>2</v>
      </c>
      <c r="K623" s="11" t="s">
        <v>7621</v>
      </c>
      <c r="L623" s="198" t="s">
        <v>2272</v>
      </c>
      <c r="M623" s="198" t="s">
        <v>2272</v>
      </c>
    </row>
    <row r="624" spans="1:13" ht="31.5" customHeight="1">
      <c r="A624" s="19" t="s">
        <v>7281</v>
      </c>
      <c r="B624" s="19" t="s">
        <v>7302</v>
      </c>
      <c r="C624" s="198" t="s">
        <v>1102</v>
      </c>
      <c r="D624" s="198" t="s">
        <v>1238</v>
      </c>
      <c r="E624" s="4" t="s">
        <v>3204</v>
      </c>
      <c r="F624" s="4" t="s">
        <v>73</v>
      </c>
      <c r="G624" s="198"/>
      <c r="H624" s="198">
        <v>3</v>
      </c>
      <c r="I624" s="4" t="s">
        <v>7622</v>
      </c>
      <c r="J624" s="198">
        <v>1</v>
      </c>
      <c r="K624" s="11" t="s">
        <v>7620</v>
      </c>
      <c r="L624" s="198" t="s">
        <v>2272</v>
      </c>
      <c r="M624" s="198" t="s">
        <v>2272</v>
      </c>
    </row>
    <row r="625" spans="1:13" ht="31.5" customHeight="1">
      <c r="A625" s="19" t="s">
        <v>7282</v>
      </c>
      <c r="B625" s="19" t="s">
        <v>7420</v>
      </c>
      <c r="C625" s="198" t="s">
        <v>1102</v>
      </c>
      <c r="D625" s="198" t="s">
        <v>1238</v>
      </c>
      <c r="E625" s="4" t="s">
        <v>3204</v>
      </c>
      <c r="F625" s="4" t="s">
        <v>73</v>
      </c>
      <c r="G625" s="198"/>
      <c r="H625" s="198">
        <v>3</v>
      </c>
      <c r="I625" s="4" t="s">
        <v>7622</v>
      </c>
      <c r="J625" s="198">
        <v>1</v>
      </c>
      <c r="K625" s="11" t="s">
        <v>7620</v>
      </c>
      <c r="L625" s="198" t="s">
        <v>2272</v>
      </c>
      <c r="M625" s="198" t="s">
        <v>2272</v>
      </c>
    </row>
    <row r="626" spans="1:13" ht="31.5" customHeight="1">
      <c r="A626" s="19" t="s">
        <v>7368</v>
      </c>
      <c r="B626" s="19" t="s">
        <v>7421</v>
      </c>
      <c r="C626" s="198" t="s">
        <v>1102</v>
      </c>
      <c r="D626" s="198" t="s">
        <v>1238</v>
      </c>
      <c r="E626" s="4" t="s">
        <v>3204</v>
      </c>
      <c r="F626" s="4" t="s">
        <v>73</v>
      </c>
      <c r="G626" s="198"/>
      <c r="H626" s="198">
        <v>3</v>
      </c>
      <c r="I626" s="4" t="s">
        <v>7622</v>
      </c>
      <c r="J626" s="198">
        <v>1</v>
      </c>
      <c r="K626" s="11" t="s">
        <v>7620</v>
      </c>
      <c r="L626" s="198" t="s">
        <v>2272</v>
      </c>
      <c r="M626" s="198" t="s">
        <v>2272</v>
      </c>
    </row>
    <row r="627" spans="1:13" ht="31.5" customHeight="1">
      <c r="A627" s="19" t="s">
        <v>7369</v>
      </c>
      <c r="B627" s="19" t="s">
        <v>7422</v>
      </c>
      <c r="C627" s="198" t="s">
        <v>1102</v>
      </c>
      <c r="D627" s="198" t="s">
        <v>1238</v>
      </c>
      <c r="E627" s="4" t="s">
        <v>3204</v>
      </c>
      <c r="F627" s="4" t="s">
        <v>73</v>
      </c>
      <c r="G627" s="198"/>
      <c r="H627" s="198">
        <v>3</v>
      </c>
      <c r="I627" s="4" t="s">
        <v>7622</v>
      </c>
      <c r="J627" s="198">
        <v>1</v>
      </c>
      <c r="K627" s="11" t="s">
        <v>7620</v>
      </c>
      <c r="L627" s="198" t="s">
        <v>2272</v>
      </c>
      <c r="M627" s="198" t="s">
        <v>2272</v>
      </c>
    </row>
    <row r="628" spans="1:13" ht="31.5" customHeight="1">
      <c r="A628" s="19" t="s">
        <v>7370</v>
      </c>
      <c r="B628" s="19" t="s">
        <v>7423</v>
      </c>
      <c r="C628" s="198" t="s">
        <v>1102</v>
      </c>
      <c r="D628" s="198" t="s">
        <v>1238</v>
      </c>
      <c r="E628" s="4" t="s">
        <v>3204</v>
      </c>
      <c r="F628" s="4" t="s">
        <v>73</v>
      </c>
      <c r="G628" s="198"/>
      <c r="H628" s="198">
        <v>3</v>
      </c>
      <c r="I628" s="4" t="s">
        <v>7622</v>
      </c>
      <c r="J628" s="198">
        <v>1</v>
      </c>
      <c r="K628" s="11" t="s">
        <v>7620</v>
      </c>
      <c r="L628" s="198" t="s">
        <v>2272</v>
      </c>
      <c r="M628" s="198" t="s">
        <v>2272</v>
      </c>
    </row>
    <row r="629" spans="1:13" ht="31.5" customHeight="1">
      <c r="A629" s="19" t="s">
        <v>7371</v>
      </c>
      <c r="B629" s="19" t="s">
        <v>7424</v>
      </c>
      <c r="C629" s="198" t="s">
        <v>1102</v>
      </c>
      <c r="D629" s="198" t="s">
        <v>1238</v>
      </c>
      <c r="E629" s="4" t="s">
        <v>3204</v>
      </c>
      <c r="F629" s="4" t="s">
        <v>73</v>
      </c>
      <c r="G629" s="198"/>
      <c r="H629" s="198">
        <v>3</v>
      </c>
      <c r="I629" s="4" t="s">
        <v>7622</v>
      </c>
      <c r="J629" s="198">
        <v>1</v>
      </c>
      <c r="K629" s="11" t="s">
        <v>7620</v>
      </c>
      <c r="L629" s="198" t="s">
        <v>2272</v>
      </c>
      <c r="M629" s="198" t="s">
        <v>2272</v>
      </c>
    </row>
    <row r="630" spans="1:13" ht="31.5" customHeight="1">
      <c r="A630" s="19" t="s">
        <v>7372</v>
      </c>
      <c r="B630" s="19" t="s">
        <v>7425</v>
      </c>
      <c r="C630" s="198" t="s">
        <v>1102</v>
      </c>
      <c r="D630" s="198" t="s">
        <v>1238</v>
      </c>
      <c r="E630" s="4" t="s">
        <v>3204</v>
      </c>
      <c r="F630" s="4" t="s">
        <v>73</v>
      </c>
      <c r="G630" s="198"/>
      <c r="H630" s="198">
        <v>3</v>
      </c>
      <c r="I630" s="4" t="s">
        <v>7622</v>
      </c>
      <c r="J630" s="198">
        <v>1</v>
      </c>
      <c r="K630" s="11" t="s">
        <v>7620</v>
      </c>
      <c r="L630" s="198" t="s">
        <v>2272</v>
      </c>
      <c r="M630" s="198" t="s">
        <v>2272</v>
      </c>
    </row>
    <row r="631" spans="1:13" ht="31.5" customHeight="1">
      <c r="A631" s="19" t="s">
        <v>7373</v>
      </c>
      <c r="B631" s="19" t="s">
        <v>7426</v>
      </c>
      <c r="C631" s="198" t="s">
        <v>1102</v>
      </c>
      <c r="D631" s="198" t="s">
        <v>1238</v>
      </c>
      <c r="E631" s="4" t="s">
        <v>3204</v>
      </c>
      <c r="F631" s="4" t="s">
        <v>73</v>
      </c>
      <c r="G631" s="198"/>
      <c r="H631" s="198">
        <v>3</v>
      </c>
      <c r="I631" s="4" t="s">
        <v>7622</v>
      </c>
      <c r="J631" s="198">
        <v>1</v>
      </c>
      <c r="K631" s="11" t="s">
        <v>7620</v>
      </c>
      <c r="L631" s="198" t="s">
        <v>2272</v>
      </c>
      <c r="M631" s="198" t="s">
        <v>2272</v>
      </c>
    </row>
    <row r="632" spans="1:13" ht="31.5" customHeight="1">
      <c r="A632" s="19" t="s">
        <v>7374</v>
      </c>
      <c r="B632" s="19" t="s">
        <v>7427</v>
      </c>
      <c r="C632" s="198" t="s">
        <v>1102</v>
      </c>
      <c r="D632" s="198" t="s">
        <v>1238</v>
      </c>
      <c r="E632" s="4" t="s">
        <v>3204</v>
      </c>
      <c r="F632" s="4" t="s">
        <v>73</v>
      </c>
      <c r="G632" s="198"/>
      <c r="H632" s="198">
        <v>3</v>
      </c>
      <c r="I632" s="4" t="s">
        <v>7622</v>
      </c>
      <c r="J632" s="198">
        <v>1</v>
      </c>
      <c r="K632" s="11" t="s">
        <v>7620</v>
      </c>
      <c r="L632" s="198" t="s">
        <v>2272</v>
      </c>
      <c r="M632" s="198" t="s">
        <v>2272</v>
      </c>
    </row>
    <row r="633" spans="1:13" ht="31.5" customHeight="1">
      <c r="A633" s="19" t="s">
        <v>7375</v>
      </c>
      <c r="B633" s="19" t="s">
        <v>7428</v>
      </c>
      <c r="C633" s="198" t="s">
        <v>1102</v>
      </c>
      <c r="D633" s="198" t="s">
        <v>1238</v>
      </c>
      <c r="E633" s="4" t="s">
        <v>3204</v>
      </c>
      <c r="F633" s="4" t="s">
        <v>73</v>
      </c>
      <c r="G633" s="198"/>
      <c r="H633" s="198">
        <v>3</v>
      </c>
      <c r="I633" s="4" t="s">
        <v>7622</v>
      </c>
      <c r="J633" s="198">
        <v>1</v>
      </c>
      <c r="K633" s="11" t="s">
        <v>7620</v>
      </c>
      <c r="L633" s="198" t="s">
        <v>2272</v>
      </c>
      <c r="M633" s="198" t="s">
        <v>2272</v>
      </c>
    </row>
    <row r="634" spans="1:13" ht="31.5" customHeight="1">
      <c r="A634" s="19" t="s">
        <v>7376</v>
      </c>
      <c r="B634" s="19" t="s">
        <v>7429</v>
      </c>
      <c r="C634" s="198" t="s">
        <v>1102</v>
      </c>
      <c r="D634" s="198" t="s">
        <v>1238</v>
      </c>
      <c r="E634" s="4" t="s">
        <v>3204</v>
      </c>
      <c r="F634" s="4" t="s">
        <v>73</v>
      </c>
      <c r="G634" s="198"/>
      <c r="H634" s="198">
        <v>3</v>
      </c>
      <c r="I634" s="4" t="s">
        <v>7622</v>
      </c>
      <c r="J634" s="198">
        <v>2</v>
      </c>
      <c r="K634" s="11" t="s">
        <v>7621</v>
      </c>
      <c r="L634" s="198" t="s">
        <v>2272</v>
      </c>
      <c r="M634" s="198" t="s">
        <v>2272</v>
      </c>
    </row>
    <row r="635" spans="1:13" ht="31.5" customHeight="1">
      <c r="A635" s="19" t="s">
        <v>7377</v>
      </c>
      <c r="B635" s="19" t="s">
        <v>7430</v>
      </c>
      <c r="C635" s="198" t="s">
        <v>1102</v>
      </c>
      <c r="D635" s="198" t="s">
        <v>1238</v>
      </c>
      <c r="E635" s="4" t="s">
        <v>3204</v>
      </c>
      <c r="F635" s="4" t="s">
        <v>73</v>
      </c>
      <c r="G635" s="198"/>
      <c r="H635" s="198">
        <v>3</v>
      </c>
      <c r="I635" s="4" t="s">
        <v>7622</v>
      </c>
      <c r="J635" s="198">
        <v>1</v>
      </c>
      <c r="K635" s="11" t="s">
        <v>7620</v>
      </c>
      <c r="L635" s="198" t="s">
        <v>2272</v>
      </c>
      <c r="M635" s="198" t="s">
        <v>2272</v>
      </c>
    </row>
    <row r="636" spans="1:13" ht="31.5" customHeight="1">
      <c r="A636" s="19" t="s">
        <v>7378</v>
      </c>
      <c r="B636" s="19" t="s">
        <v>7431</v>
      </c>
      <c r="C636" s="198" t="s">
        <v>1102</v>
      </c>
      <c r="D636" s="198" t="s">
        <v>1238</v>
      </c>
      <c r="E636" s="4" t="s">
        <v>3204</v>
      </c>
      <c r="F636" s="4" t="s">
        <v>73</v>
      </c>
      <c r="G636" s="198"/>
      <c r="H636" s="198">
        <v>3</v>
      </c>
      <c r="I636" s="4" t="s">
        <v>7622</v>
      </c>
      <c r="J636" s="198">
        <v>1</v>
      </c>
      <c r="K636" s="11" t="s">
        <v>7620</v>
      </c>
      <c r="L636" s="198" t="s">
        <v>2272</v>
      </c>
      <c r="M636" s="198" t="s">
        <v>2272</v>
      </c>
    </row>
    <row r="637" spans="1:13" ht="31.5" customHeight="1">
      <c r="A637" s="19" t="s">
        <v>7379</v>
      </c>
      <c r="B637" s="19" t="s">
        <v>7432</v>
      </c>
      <c r="C637" s="198" t="s">
        <v>1102</v>
      </c>
      <c r="D637" s="198" t="s">
        <v>1238</v>
      </c>
      <c r="E637" s="4" t="s">
        <v>3204</v>
      </c>
      <c r="F637" s="4" t="s">
        <v>73</v>
      </c>
      <c r="G637" s="198"/>
      <c r="H637" s="198">
        <v>3</v>
      </c>
      <c r="I637" s="4" t="s">
        <v>7622</v>
      </c>
      <c r="J637" s="198">
        <v>1</v>
      </c>
      <c r="K637" s="11" t="s">
        <v>7620</v>
      </c>
      <c r="L637" s="198" t="s">
        <v>2272</v>
      </c>
      <c r="M637" s="198" t="s">
        <v>2272</v>
      </c>
    </row>
    <row r="638" spans="1:13" ht="31.5" customHeight="1">
      <c r="A638" s="19" t="s">
        <v>7380</v>
      </c>
      <c r="B638" s="19" t="s">
        <v>7433</v>
      </c>
      <c r="C638" s="198" t="s">
        <v>1102</v>
      </c>
      <c r="D638" s="198" t="s">
        <v>1238</v>
      </c>
      <c r="E638" s="4" t="s">
        <v>3204</v>
      </c>
      <c r="F638" s="4" t="s">
        <v>73</v>
      </c>
      <c r="G638" s="198"/>
      <c r="H638" s="198">
        <v>3</v>
      </c>
      <c r="I638" s="4" t="s">
        <v>7622</v>
      </c>
      <c r="J638" s="198">
        <v>1</v>
      </c>
      <c r="K638" s="11" t="s">
        <v>7620</v>
      </c>
      <c r="L638" s="198" t="s">
        <v>2272</v>
      </c>
      <c r="M638" s="198" t="s">
        <v>2272</v>
      </c>
    </row>
    <row r="639" spans="1:13" ht="31.5" customHeight="1">
      <c r="A639" s="19" t="s">
        <v>7381</v>
      </c>
      <c r="B639" s="19" t="s">
        <v>7434</v>
      </c>
      <c r="C639" s="198" t="s">
        <v>1102</v>
      </c>
      <c r="D639" s="198" t="s">
        <v>1238</v>
      </c>
      <c r="E639" s="4" t="s">
        <v>3204</v>
      </c>
      <c r="F639" s="4" t="s">
        <v>73</v>
      </c>
      <c r="G639" s="198"/>
      <c r="H639" s="198">
        <v>3</v>
      </c>
      <c r="I639" s="4" t="s">
        <v>7622</v>
      </c>
      <c r="J639" s="198">
        <v>1</v>
      </c>
      <c r="K639" s="11" t="s">
        <v>7620</v>
      </c>
      <c r="L639" s="198" t="s">
        <v>2272</v>
      </c>
      <c r="M639" s="198" t="s">
        <v>2272</v>
      </c>
    </row>
    <row r="640" spans="1:13" ht="31.5" customHeight="1">
      <c r="A640" s="19" t="s">
        <v>7382</v>
      </c>
      <c r="B640" s="19" t="s">
        <v>7435</v>
      </c>
      <c r="C640" s="198" t="s">
        <v>1102</v>
      </c>
      <c r="D640" s="198" t="s">
        <v>1238</v>
      </c>
      <c r="E640" s="4" t="s">
        <v>3204</v>
      </c>
      <c r="F640" s="4" t="s">
        <v>73</v>
      </c>
      <c r="G640" s="198"/>
      <c r="H640" s="198">
        <v>3</v>
      </c>
      <c r="I640" s="4" t="s">
        <v>7622</v>
      </c>
      <c r="J640" s="198">
        <v>2</v>
      </c>
      <c r="K640" s="11" t="s">
        <v>7621</v>
      </c>
      <c r="L640" s="198" t="s">
        <v>2272</v>
      </c>
      <c r="M640" s="198" t="s">
        <v>2272</v>
      </c>
    </row>
    <row r="641" spans="1:14" ht="31.5" customHeight="1">
      <c r="A641" s="19" t="s">
        <v>7383</v>
      </c>
      <c r="B641" s="19" t="s">
        <v>7436</v>
      </c>
      <c r="C641" s="198" t="s">
        <v>1102</v>
      </c>
      <c r="D641" s="198" t="s">
        <v>1238</v>
      </c>
      <c r="E641" s="4" t="s">
        <v>3204</v>
      </c>
      <c r="F641" s="4" t="s">
        <v>73</v>
      </c>
      <c r="G641" s="198"/>
      <c r="H641" s="198">
        <v>3</v>
      </c>
      <c r="I641" s="4" t="s">
        <v>7622</v>
      </c>
      <c r="J641" s="198">
        <v>2</v>
      </c>
      <c r="K641" s="11" t="s">
        <v>7621</v>
      </c>
      <c r="L641" s="198" t="s">
        <v>2272</v>
      </c>
      <c r="M641" s="198" t="s">
        <v>2272</v>
      </c>
    </row>
    <row r="642" spans="1:14" ht="31.5" customHeight="1">
      <c r="A642" s="19" t="s">
        <v>7384</v>
      </c>
      <c r="B642" s="19" t="s">
        <v>7437</v>
      </c>
      <c r="C642" s="198" t="s">
        <v>1102</v>
      </c>
      <c r="D642" s="198" t="s">
        <v>1238</v>
      </c>
      <c r="E642" s="4" t="s">
        <v>3204</v>
      </c>
      <c r="F642" s="4" t="s">
        <v>73</v>
      </c>
      <c r="G642" s="198"/>
      <c r="H642" s="198">
        <v>3</v>
      </c>
      <c r="I642" s="4" t="s">
        <v>7622</v>
      </c>
      <c r="J642" s="198">
        <v>2</v>
      </c>
      <c r="K642" s="11" t="s">
        <v>7621</v>
      </c>
      <c r="L642" s="198" t="s">
        <v>2272</v>
      </c>
      <c r="M642" s="198" t="s">
        <v>2272</v>
      </c>
    </row>
    <row r="643" spans="1:14" ht="31.5" customHeight="1">
      <c r="A643" s="19" t="s">
        <v>7583</v>
      </c>
      <c r="B643" s="19" t="s">
        <v>7585</v>
      </c>
      <c r="C643" s="198" t="s">
        <v>1102</v>
      </c>
      <c r="D643" s="198" t="s">
        <v>1238</v>
      </c>
      <c r="E643" s="4" t="s">
        <v>3204</v>
      </c>
      <c r="F643" s="4" t="s">
        <v>73</v>
      </c>
      <c r="G643" s="198"/>
      <c r="H643" s="198">
        <v>3</v>
      </c>
      <c r="I643" s="4" t="s">
        <v>7622</v>
      </c>
      <c r="J643" s="198">
        <v>1</v>
      </c>
      <c r="K643" s="11" t="s">
        <v>7620</v>
      </c>
      <c r="L643" s="198" t="s">
        <v>2272</v>
      </c>
      <c r="M643" s="198" t="s">
        <v>2272</v>
      </c>
    </row>
    <row r="644" spans="1:14" ht="31.5" customHeight="1">
      <c r="A644" s="52" t="s">
        <v>7605</v>
      </c>
      <c r="B644" s="52" t="s">
        <v>7619</v>
      </c>
      <c r="C644" s="35" t="s">
        <v>1102</v>
      </c>
      <c r="D644" s="35" t="s">
        <v>1238</v>
      </c>
      <c r="E644" s="163" t="s">
        <v>3204</v>
      </c>
      <c r="F644" s="163" t="s">
        <v>73</v>
      </c>
      <c r="G644" s="35"/>
      <c r="H644" s="35">
        <v>3</v>
      </c>
      <c r="I644" s="163" t="s">
        <v>7622</v>
      </c>
      <c r="J644" s="35">
        <v>1</v>
      </c>
      <c r="K644" s="34" t="s">
        <v>7620</v>
      </c>
      <c r="L644" s="35" t="s">
        <v>2272</v>
      </c>
      <c r="M644" s="35" t="s">
        <v>2272</v>
      </c>
    </row>
    <row r="645" spans="1:14" ht="29">
      <c r="A645" s="19" t="s">
        <v>7633</v>
      </c>
      <c r="B645" s="198" t="s">
        <v>7774</v>
      </c>
      <c r="C645" s="35" t="s">
        <v>1102</v>
      </c>
      <c r="D645" s="35" t="s">
        <v>1238</v>
      </c>
      <c r="E645" s="163" t="s">
        <v>3204</v>
      </c>
      <c r="F645" s="4" t="s">
        <v>2272</v>
      </c>
      <c r="G645" s="198"/>
      <c r="H645" s="4" t="s">
        <v>2272</v>
      </c>
      <c r="I645" s="4" t="s">
        <v>2272</v>
      </c>
      <c r="J645" s="198">
        <v>2</v>
      </c>
      <c r="K645" s="19" t="s">
        <v>7839</v>
      </c>
      <c r="L645" s="198" t="s">
        <v>2272</v>
      </c>
      <c r="M645" s="198" t="s">
        <v>2272</v>
      </c>
      <c r="N645" s="198"/>
    </row>
    <row r="646" spans="1:14" ht="29">
      <c r="A646" s="19" t="s">
        <v>7634</v>
      </c>
      <c r="B646" s="198" t="s">
        <v>7775</v>
      </c>
      <c r="C646" s="35" t="s">
        <v>1102</v>
      </c>
      <c r="D646" s="35" t="s">
        <v>1238</v>
      </c>
      <c r="E646" s="163" t="s">
        <v>3204</v>
      </c>
      <c r="F646" s="4" t="s">
        <v>2272</v>
      </c>
      <c r="G646" s="198"/>
      <c r="H646" s="4" t="s">
        <v>2272</v>
      </c>
      <c r="I646" s="4" t="s">
        <v>2272</v>
      </c>
      <c r="J646" s="198">
        <v>2</v>
      </c>
      <c r="K646" s="19" t="s">
        <v>7839</v>
      </c>
      <c r="L646" s="198" t="s">
        <v>2272</v>
      </c>
      <c r="M646" s="198" t="s">
        <v>2272</v>
      </c>
      <c r="N646" s="198"/>
    </row>
    <row r="647" spans="1:14" ht="29">
      <c r="A647" s="19" t="s">
        <v>7635</v>
      </c>
      <c r="B647" s="198" t="s">
        <v>7776</v>
      </c>
      <c r="C647" s="35" t="s">
        <v>1102</v>
      </c>
      <c r="D647" s="35" t="s">
        <v>1238</v>
      </c>
      <c r="E647" s="163" t="s">
        <v>3204</v>
      </c>
      <c r="F647" s="4" t="s">
        <v>2272</v>
      </c>
      <c r="G647" s="198"/>
      <c r="H647" s="4" t="s">
        <v>2272</v>
      </c>
      <c r="I647" s="4" t="s">
        <v>2272</v>
      </c>
      <c r="J647" s="198">
        <v>2</v>
      </c>
      <c r="K647" s="19" t="s">
        <v>7839</v>
      </c>
      <c r="L647" s="198" t="s">
        <v>2272</v>
      </c>
      <c r="M647" s="198" t="s">
        <v>2272</v>
      </c>
      <c r="N647" s="198"/>
    </row>
    <row r="648" spans="1:14" ht="29">
      <c r="A648" s="19" t="s">
        <v>7636</v>
      </c>
      <c r="B648" s="198" t="s">
        <v>7777</v>
      </c>
      <c r="C648" s="35" t="s">
        <v>1102</v>
      </c>
      <c r="D648" s="35" t="s">
        <v>1238</v>
      </c>
      <c r="E648" s="163" t="s">
        <v>3204</v>
      </c>
      <c r="F648" s="4" t="s">
        <v>2272</v>
      </c>
      <c r="G648" s="198"/>
      <c r="H648" s="4" t="s">
        <v>2272</v>
      </c>
      <c r="I648" s="4" t="s">
        <v>2272</v>
      </c>
      <c r="J648" s="198">
        <v>2</v>
      </c>
      <c r="K648" s="19" t="s">
        <v>7839</v>
      </c>
      <c r="L648" s="198" t="s">
        <v>2272</v>
      </c>
      <c r="M648" s="198" t="s">
        <v>2272</v>
      </c>
      <c r="N648" s="198"/>
    </row>
    <row r="649" spans="1:14" ht="29">
      <c r="A649" s="19" t="s">
        <v>7637</v>
      </c>
      <c r="B649" s="198" t="s">
        <v>7778</v>
      </c>
      <c r="C649" s="35" t="s">
        <v>1102</v>
      </c>
      <c r="D649" s="35" t="s">
        <v>1238</v>
      </c>
      <c r="E649" s="163" t="s">
        <v>3204</v>
      </c>
      <c r="F649" s="4" t="s">
        <v>2272</v>
      </c>
      <c r="G649" s="198"/>
      <c r="H649" s="4" t="s">
        <v>2272</v>
      </c>
      <c r="I649" s="4" t="s">
        <v>2272</v>
      </c>
      <c r="J649" s="198">
        <v>1</v>
      </c>
      <c r="K649" s="19" t="s">
        <v>7839</v>
      </c>
      <c r="L649" s="198" t="s">
        <v>2272</v>
      </c>
      <c r="M649" s="198" t="s">
        <v>2272</v>
      </c>
      <c r="N649" s="198"/>
    </row>
    <row r="650" spans="1:14" ht="29">
      <c r="A650" s="19" t="s">
        <v>7638</v>
      </c>
      <c r="B650" s="198" t="s">
        <v>7779</v>
      </c>
      <c r="C650" s="35" t="s">
        <v>1102</v>
      </c>
      <c r="D650" s="35" t="s">
        <v>1238</v>
      </c>
      <c r="E650" s="163" t="s">
        <v>3204</v>
      </c>
      <c r="F650" s="4" t="s">
        <v>2272</v>
      </c>
      <c r="G650" s="198"/>
      <c r="H650" s="4" t="s">
        <v>2272</v>
      </c>
      <c r="I650" s="4" t="s">
        <v>2272</v>
      </c>
      <c r="J650" s="198">
        <v>3</v>
      </c>
      <c r="K650" s="19" t="s">
        <v>7839</v>
      </c>
      <c r="L650" s="198" t="s">
        <v>2272</v>
      </c>
      <c r="M650" s="198" t="s">
        <v>2272</v>
      </c>
      <c r="N650" s="198"/>
    </row>
    <row r="651" spans="1:14" ht="29">
      <c r="A651" s="19" t="s">
        <v>7639</v>
      </c>
      <c r="B651" s="198" t="s">
        <v>7780</v>
      </c>
      <c r="C651" s="35" t="s">
        <v>1102</v>
      </c>
      <c r="D651" s="35" t="s">
        <v>1238</v>
      </c>
      <c r="E651" s="163" t="s">
        <v>3204</v>
      </c>
      <c r="F651" s="4" t="s">
        <v>2272</v>
      </c>
      <c r="G651" s="198"/>
      <c r="H651" s="4" t="s">
        <v>2272</v>
      </c>
      <c r="I651" s="4" t="s">
        <v>2272</v>
      </c>
      <c r="J651" s="198">
        <v>3</v>
      </c>
      <c r="K651" s="19" t="s">
        <v>7839</v>
      </c>
      <c r="L651" s="198" t="s">
        <v>2272</v>
      </c>
      <c r="M651" s="198" t="s">
        <v>2272</v>
      </c>
      <c r="N651" s="198"/>
    </row>
    <row r="652" spans="1:14" ht="29">
      <c r="A652" s="19" t="s">
        <v>7640</v>
      </c>
      <c r="B652" s="198" t="s">
        <v>7781</v>
      </c>
      <c r="C652" s="35" t="s">
        <v>1102</v>
      </c>
      <c r="D652" s="35" t="s">
        <v>1238</v>
      </c>
      <c r="E652" s="163" t="s">
        <v>3204</v>
      </c>
      <c r="F652" s="4" t="s">
        <v>2272</v>
      </c>
      <c r="G652" s="198"/>
      <c r="H652" s="4" t="s">
        <v>2272</v>
      </c>
      <c r="I652" s="4" t="s">
        <v>2272</v>
      </c>
      <c r="J652" s="198">
        <v>1</v>
      </c>
      <c r="K652" s="19" t="s">
        <v>7839</v>
      </c>
      <c r="L652" s="198" t="s">
        <v>2272</v>
      </c>
      <c r="M652" s="198" t="s">
        <v>2272</v>
      </c>
      <c r="N652" s="198"/>
    </row>
    <row r="653" spans="1:14" ht="29">
      <c r="A653" s="19" t="s">
        <v>7641</v>
      </c>
      <c r="B653" s="198" t="s">
        <v>7782</v>
      </c>
      <c r="C653" s="35" t="s">
        <v>1102</v>
      </c>
      <c r="D653" s="35" t="s">
        <v>1238</v>
      </c>
      <c r="E653" s="163" t="s">
        <v>3204</v>
      </c>
      <c r="F653" s="4" t="s">
        <v>2272</v>
      </c>
      <c r="G653" s="198"/>
      <c r="H653" s="4" t="s">
        <v>2272</v>
      </c>
      <c r="I653" s="4" t="s">
        <v>2272</v>
      </c>
      <c r="J653" s="198">
        <v>3</v>
      </c>
      <c r="K653" s="19" t="s">
        <v>7839</v>
      </c>
      <c r="L653" s="198" t="s">
        <v>2272</v>
      </c>
      <c r="M653" s="198" t="s">
        <v>2272</v>
      </c>
      <c r="N653" s="198"/>
    </row>
    <row r="654" spans="1:14" ht="29">
      <c r="A654" s="19" t="s">
        <v>7642</v>
      </c>
      <c r="B654" s="198" t="s">
        <v>7783</v>
      </c>
      <c r="C654" s="35" t="s">
        <v>1102</v>
      </c>
      <c r="D654" s="35" t="s">
        <v>1238</v>
      </c>
      <c r="E654" s="163" t="s">
        <v>3204</v>
      </c>
      <c r="F654" s="4" t="s">
        <v>2272</v>
      </c>
      <c r="G654" s="198"/>
      <c r="H654" s="4" t="s">
        <v>2272</v>
      </c>
      <c r="I654" s="4" t="s">
        <v>2272</v>
      </c>
      <c r="J654" s="198">
        <v>3</v>
      </c>
      <c r="K654" s="19" t="s">
        <v>7839</v>
      </c>
      <c r="L654" s="198" t="s">
        <v>2272</v>
      </c>
      <c r="M654" s="198" t="s">
        <v>2272</v>
      </c>
      <c r="N654" s="198"/>
    </row>
    <row r="655" spans="1:14" ht="29">
      <c r="A655" s="19" t="s">
        <v>7643</v>
      </c>
      <c r="B655" s="198" t="s">
        <v>7784</v>
      </c>
      <c r="C655" s="35" t="s">
        <v>1102</v>
      </c>
      <c r="D655" s="35" t="s">
        <v>1238</v>
      </c>
      <c r="E655" s="163" t="s">
        <v>3204</v>
      </c>
      <c r="F655" s="4" t="s">
        <v>2272</v>
      </c>
      <c r="G655" s="198"/>
      <c r="H655" s="4" t="s">
        <v>2272</v>
      </c>
      <c r="I655" s="4" t="s">
        <v>2272</v>
      </c>
      <c r="J655" s="198">
        <v>2</v>
      </c>
      <c r="K655" s="19" t="s">
        <v>7839</v>
      </c>
      <c r="L655" s="198" t="s">
        <v>2272</v>
      </c>
      <c r="M655" s="198" t="s">
        <v>2272</v>
      </c>
      <c r="N655" s="198"/>
    </row>
    <row r="656" spans="1:14" ht="29">
      <c r="A656" s="19" t="s">
        <v>7644</v>
      </c>
      <c r="B656" s="198" t="s">
        <v>7785</v>
      </c>
      <c r="C656" s="35" t="s">
        <v>1102</v>
      </c>
      <c r="D656" s="35" t="s">
        <v>1238</v>
      </c>
      <c r="E656" s="163" t="s">
        <v>3204</v>
      </c>
      <c r="F656" s="4" t="s">
        <v>2272</v>
      </c>
      <c r="G656" s="198"/>
      <c r="H656" s="4" t="s">
        <v>2272</v>
      </c>
      <c r="I656" s="4" t="s">
        <v>2272</v>
      </c>
      <c r="J656" s="198">
        <v>1</v>
      </c>
      <c r="K656" s="19" t="s">
        <v>7839</v>
      </c>
      <c r="L656" s="198" t="s">
        <v>2272</v>
      </c>
      <c r="M656" s="198" t="s">
        <v>2272</v>
      </c>
      <c r="N656" s="198"/>
    </row>
    <row r="657" spans="1:14" ht="29">
      <c r="A657" s="19" t="s">
        <v>7645</v>
      </c>
      <c r="B657" s="198" t="s">
        <v>7786</v>
      </c>
      <c r="C657" s="35" t="s">
        <v>1102</v>
      </c>
      <c r="D657" s="35" t="s">
        <v>1238</v>
      </c>
      <c r="E657" s="163" t="s">
        <v>3204</v>
      </c>
      <c r="F657" s="4" t="s">
        <v>2272</v>
      </c>
      <c r="G657" s="198"/>
      <c r="H657" s="4" t="s">
        <v>2272</v>
      </c>
      <c r="I657" s="4" t="s">
        <v>2272</v>
      </c>
      <c r="J657" s="198">
        <v>2</v>
      </c>
      <c r="K657" s="19" t="s">
        <v>7839</v>
      </c>
      <c r="L657" s="198" t="s">
        <v>2272</v>
      </c>
      <c r="M657" s="198" t="s">
        <v>2272</v>
      </c>
      <c r="N657" s="198"/>
    </row>
    <row r="658" spans="1:14" ht="29">
      <c r="A658" s="19" t="s">
        <v>7646</v>
      </c>
      <c r="B658" s="198" t="s">
        <v>7787</v>
      </c>
      <c r="C658" s="35" t="s">
        <v>1102</v>
      </c>
      <c r="D658" s="35" t="s">
        <v>1238</v>
      </c>
      <c r="E658" s="163" t="s">
        <v>3204</v>
      </c>
      <c r="F658" s="4" t="s">
        <v>2272</v>
      </c>
      <c r="G658" s="198"/>
      <c r="H658" s="4" t="s">
        <v>2272</v>
      </c>
      <c r="I658" s="4" t="s">
        <v>2272</v>
      </c>
      <c r="J658" s="198">
        <v>3</v>
      </c>
      <c r="K658" s="19" t="s">
        <v>7839</v>
      </c>
      <c r="L658" s="198" t="s">
        <v>2272</v>
      </c>
      <c r="M658" s="198" t="s">
        <v>2272</v>
      </c>
      <c r="N658" s="198"/>
    </row>
    <row r="659" spans="1:14" ht="29">
      <c r="A659" s="19" t="s">
        <v>7647</v>
      </c>
      <c r="B659" s="198" t="s">
        <v>7788</v>
      </c>
      <c r="C659" s="35" t="s">
        <v>1102</v>
      </c>
      <c r="D659" s="35" t="s">
        <v>1238</v>
      </c>
      <c r="E659" s="163" t="s">
        <v>3204</v>
      </c>
      <c r="F659" s="4" t="s">
        <v>2272</v>
      </c>
      <c r="G659" s="198"/>
      <c r="H659" s="4" t="s">
        <v>2272</v>
      </c>
      <c r="I659" s="4" t="s">
        <v>2272</v>
      </c>
      <c r="J659" s="198">
        <v>2</v>
      </c>
      <c r="K659" s="19" t="s">
        <v>7839</v>
      </c>
      <c r="L659" s="198" t="s">
        <v>2272</v>
      </c>
      <c r="M659" s="198" t="s">
        <v>2272</v>
      </c>
      <c r="N659" s="198"/>
    </row>
    <row r="660" spans="1:14" ht="29">
      <c r="A660" s="19" t="s">
        <v>7648</v>
      </c>
      <c r="B660" s="198" t="s">
        <v>7789</v>
      </c>
      <c r="C660" s="35" t="s">
        <v>1102</v>
      </c>
      <c r="D660" s="35" t="s">
        <v>1238</v>
      </c>
      <c r="E660" s="163" t="s">
        <v>3204</v>
      </c>
      <c r="F660" s="4" t="s">
        <v>2272</v>
      </c>
      <c r="G660" s="198"/>
      <c r="H660" s="4" t="s">
        <v>2272</v>
      </c>
      <c r="I660" s="4" t="s">
        <v>2272</v>
      </c>
      <c r="J660" s="198">
        <v>2</v>
      </c>
      <c r="K660" s="19" t="s">
        <v>7839</v>
      </c>
      <c r="L660" s="198" t="s">
        <v>2272</v>
      </c>
      <c r="M660" s="198" t="s">
        <v>2272</v>
      </c>
      <c r="N660" s="198"/>
    </row>
    <row r="661" spans="1:14" ht="29">
      <c r="A661" s="19" t="s">
        <v>7649</v>
      </c>
      <c r="B661" s="198" t="s">
        <v>7790</v>
      </c>
      <c r="C661" s="35" t="s">
        <v>1102</v>
      </c>
      <c r="D661" s="35" t="s">
        <v>1238</v>
      </c>
      <c r="E661" s="163" t="s">
        <v>3204</v>
      </c>
      <c r="F661" s="4" t="s">
        <v>2272</v>
      </c>
      <c r="G661" s="198"/>
      <c r="H661" s="4" t="s">
        <v>2272</v>
      </c>
      <c r="I661" s="4" t="s">
        <v>2272</v>
      </c>
      <c r="J661" s="198">
        <v>2</v>
      </c>
      <c r="K661" s="19" t="s">
        <v>7839</v>
      </c>
      <c r="L661" s="198" t="s">
        <v>2272</v>
      </c>
      <c r="M661" s="198" t="s">
        <v>2272</v>
      </c>
      <c r="N661" s="198"/>
    </row>
    <row r="662" spans="1:14" ht="29">
      <c r="A662" s="19" t="s">
        <v>7650</v>
      </c>
      <c r="B662" s="198" t="s">
        <v>7791</v>
      </c>
      <c r="C662" s="35" t="s">
        <v>1102</v>
      </c>
      <c r="D662" s="35" t="s">
        <v>1238</v>
      </c>
      <c r="E662" s="163" t="s">
        <v>3204</v>
      </c>
      <c r="F662" s="4" t="s">
        <v>2272</v>
      </c>
      <c r="G662" s="198"/>
      <c r="H662" s="4" t="s">
        <v>2272</v>
      </c>
      <c r="I662" s="4" t="s">
        <v>2272</v>
      </c>
      <c r="J662" s="198">
        <v>2</v>
      </c>
      <c r="K662" s="19" t="s">
        <v>7839</v>
      </c>
      <c r="L662" s="198" t="s">
        <v>2272</v>
      </c>
      <c r="M662" s="198" t="s">
        <v>2272</v>
      </c>
      <c r="N662" s="198"/>
    </row>
    <row r="663" spans="1:14" ht="29">
      <c r="A663" s="19" t="s">
        <v>7651</v>
      </c>
      <c r="B663" s="198" t="s">
        <v>7792</v>
      </c>
      <c r="C663" s="35" t="s">
        <v>1102</v>
      </c>
      <c r="D663" s="35" t="s">
        <v>1238</v>
      </c>
      <c r="E663" s="163" t="s">
        <v>3204</v>
      </c>
      <c r="F663" s="4" t="s">
        <v>2272</v>
      </c>
      <c r="G663" s="198"/>
      <c r="H663" s="4" t="s">
        <v>2272</v>
      </c>
      <c r="I663" s="4" t="s">
        <v>2272</v>
      </c>
      <c r="J663" s="198">
        <v>1</v>
      </c>
      <c r="K663" s="19" t="s">
        <v>7839</v>
      </c>
      <c r="L663" s="198" t="s">
        <v>2272</v>
      </c>
      <c r="M663" s="198" t="s">
        <v>2272</v>
      </c>
      <c r="N663" s="198"/>
    </row>
    <row r="664" spans="1:14" ht="29">
      <c r="A664" s="19" t="s">
        <v>7652</v>
      </c>
      <c r="B664" s="198" t="s">
        <v>7793</v>
      </c>
      <c r="C664" s="35" t="s">
        <v>1102</v>
      </c>
      <c r="D664" s="35" t="s">
        <v>1238</v>
      </c>
      <c r="E664" s="163" t="s">
        <v>3204</v>
      </c>
      <c r="F664" s="4" t="s">
        <v>2272</v>
      </c>
      <c r="G664" s="198"/>
      <c r="H664" s="4" t="s">
        <v>2272</v>
      </c>
      <c r="I664" s="4" t="s">
        <v>2272</v>
      </c>
      <c r="J664" s="198">
        <v>2</v>
      </c>
      <c r="K664" s="19" t="s">
        <v>7839</v>
      </c>
      <c r="L664" s="198" t="s">
        <v>2272</v>
      </c>
      <c r="M664" s="198" t="s">
        <v>2272</v>
      </c>
      <c r="N664" s="198"/>
    </row>
    <row r="665" spans="1:14" ht="29">
      <c r="A665" s="19" t="s">
        <v>7653</v>
      </c>
      <c r="B665" s="198" t="s">
        <v>7794</v>
      </c>
      <c r="C665" s="35" t="s">
        <v>1102</v>
      </c>
      <c r="D665" s="35" t="s">
        <v>1238</v>
      </c>
      <c r="E665" s="163" t="s">
        <v>3204</v>
      </c>
      <c r="F665" s="4" t="s">
        <v>2272</v>
      </c>
      <c r="G665" s="198"/>
      <c r="H665" s="4" t="s">
        <v>2272</v>
      </c>
      <c r="I665" s="4" t="s">
        <v>2272</v>
      </c>
      <c r="J665" s="198">
        <v>2</v>
      </c>
      <c r="K665" s="19" t="s">
        <v>7839</v>
      </c>
      <c r="L665" s="198" t="s">
        <v>2272</v>
      </c>
      <c r="M665" s="198" t="s">
        <v>2272</v>
      </c>
      <c r="N665" s="198"/>
    </row>
    <row r="666" spans="1:14" ht="29">
      <c r="A666" s="19" t="s">
        <v>7654</v>
      </c>
      <c r="B666" s="198" t="s">
        <v>7795</v>
      </c>
      <c r="C666" s="35" t="s">
        <v>1102</v>
      </c>
      <c r="D666" s="35" t="s">
        <v>1238</v>
      </c>
      <c r="E666" s="163" t="s">
        <v>3204</v>
      </c>
      <c r="F666" s="4" t="s">
        <v>2272</v>
      </c>
      <c r="G666" s="198"/>
      <c r="H666" s="4" t="s">
        <v>2272</v>
      </c>
      <c r="I666" s="4" t="s">
        <v>2272</v>
      </c>
      <c r="J666" s="198">
        <v>2</v>
      </c>
      <c r="K666" s="19" t="s">
        <v>7839</v>
      </c>
      <c r="L666" s="198" t="s">
        <v>2272</v>
      </c>
      <c r="M666" s="198" t="s">
        <v>2272</v>
      </c>
      <c r="N666" s="198"/>
    </row>
    <row r="667" spans="1:14" ht="29">
      <c r="A667" s="19" t="s">
        <v>7655</v>
      </c>
      <c r="B667" s="198" t="s">
        <v>7796</v>
      </c>
      <c r="C667" s="35" t="s">
        <v>1102</v>
      </c>
      <c r="D667" s="35" t="s">
        <v>1238</v>
      </c>
      <c r="E667" s="163" t="s">
        <v>3204</v>
      </c>
      <c r="F667" s="4" t="s">
        <v>2272</v>
      </c>
      <c r="G667" s="198"/>
      <c r="H667" s="4" t="s">
        <v>2272</v>
      </c>
      <c r="I667" s="4" t="s">
        <v>2272</v>
      </c>
      <c r="J667" s="198">
        <v>2</v>
      </c>
      <c r="K667" s="19" t="s">
        <v>7839</v>
      </c>
      <c r="L667" s="198" t="s">
        <v>2272</v>
      </c>
      <c r="M667" s="198" t="s">
        <v>2272</v>
      </c>
      <c r="N667" s="198"/>
    </row>
    <row r="668" spans="1:14" ht="29">
      <c r="A668" s="19" t="s">
        <v>7656</v>
      </c>
      <c r="B668" s="198" t="s">
        <v>7797</v>
      </c>
      <c r="C668" s="35" t="s">
        <v>1102</v>
      </c>
      <c r="D668" s="35" t="s">
        <v>1238</v>
      </c>
      <c r="E668" s="163" t="s">
        <v>3204</v>
      </c>
      <c r="F668" s="4" t="s">
        <v>2272</v>
      </c>
      <c r="G668" s="198"/>
      <c r="H668" s="4" t="s">
        <v>2272</v>
      </c>
      <c r="I668" s="4" t="s">
        <v>2272</v>
      </c>
      <c r="J668" s="198">
        <v>2</v>
      </c>
      <c r="K668" s="19" t="s">
        <v>7839</v>
      </c>
      <c r="L668" s="198" t="s">
        <v>2272</v>
      </c>
      <c r="M668" s="198" t="s">
        <v>2272</v>
      </c>
      <c r="N668" s="198"/>
    </row>
    <row r="669" spans="1:14" ht="29">
      <c r="A669" s="19" t="s">
        <v>7657</v>
      </c>
      <c r="B669" s="198" t="s">
        <v>7798</v>
      </c>
      <c r="C669" s="35" t="s">
        <v>1102</v>
      </c>
      <c r="D669" s="35" t="s">
        <v>1238</v>
      </c>
      <c r="E669" s="163" t="s">
        <v>3204</v>
      </c>
      <c r="F669" s="4" t="s">
        <v>2272</v>
      </c>
      <c r="G669" s="198"/>
      <c r="H669" s="4" t="s">
        <v>2272</v>
      </c>
      <c r="I669" s="4" t="s">
        <v>2272</v>
      </c>
      <c r="J669" s="198">
        <v>2</v>
      </c>
      <c r="K669" s="19" t="s">
        <v>7839</v>
      </c>
      <c r="L669" s="198" t="s">
        <v>2272</v>
      </c>
      <c r="M669" s="198" t="s">
        <v>2272</v>
      </c>
      <c r="N669" s="198"/>
    </row>
    <row r="670" spans="1:14" ht="29">
      <c r="A670" s="19" t="s">
        <v>7658</v>
      </c>
      <c r="B670" s="198" t="s">
        <v>7799</v>
      </c>
      <c r="C670" s="35" t="s">
        <v>1102</v>
      </c>
      <c r="D670" s="35" t="s">
        <v>1238</v>
      </c>
      <c r="E670" s="163" t="s">
        <v>3204</v>
      </c>
      <c r="F670" s="4" t="s">
        <v>2272</v>
      </c>
      <c r="G670" s="198"/>
      <c r="H670" s="4" t="s">
        <v>2272</v>
      </c>
      <c r="I670" s="4" t="s">
        <v>2272</v>
      </c>
      <c r="J670" s="198">
        <v>1</v>
      </c>
      <c r="K670" s="19" t="s">
        <v>7839</v>
      </c>
      <c r="L670" s="198" t="s">
        <v>2272</v>
      </c>
      <c r="M670" s="198" t="s">
        <v>2272</v>
      </c>
      <c r="N670" s="198"/>
    </row>
    <row r="671" spans="1:14" ht="29">
      <c r="A671" s="19" t="s">
        <v>7659</v>
      </c>
      <c r="B671" s="198" t="s">
        <v>7800</v>
      </c>
      <c r="C671" s="35" t="s">
        <v>1102</v>
      </c>
      <c r="D671" s="35" t="s">
        <v>1238</v>
      </c>
      <c r="E671" s="163" t="s">
        <v>3204</v>
      </c>
      <c r="F671" s="4" t="s">
        <v>2272</v>
      </c>
      <c r="G671" s="198"/>
      <c r="H671" s="4" t="s">
        <v>2272</v>
      </c>
      <c r="I671" s="4" t="s">
        <v>2272</v>
      </c>
      <c r="J671" s="198">
        <v>2</v>
      </c>
      <c r="K671" s="19" t="s">
        <v>7839</v>
      </c>
      <c r="L671" s="198" t="s">
        <v>2272</v>
      </c>
      <c r="M671" s="198" t="s">
        <v>2272</v>
      </c>
      <c r="N671" s="198"/>
    </row>
    <row r="672" spans="1:14" ht="29">
      <c r="A672" s="19" t="s">
        <v>7660</v>
      </c>
      <c r="B672" s="198" t="s">
        <v>7801</v>
      </c>
      <c r="C672" s="35" t="s">
        <v>1102</v>
      </c>
      <c r="D672" s="35" t="s">
        <v>1238</v>
      </c>
      <c r="E672" s="163" t="s">
        <v>3204</v>
      </c>
      <c r="F672" s="4" t="s">
        <v>2272</v>
      </c>
      <c r="G672" s="198"/>
      <c r="H672" s="4" t="s">
        <v>2272</v>
      </c>
      <c r="I672" s="4" t="s">
        <v>2272</v>
      </c>
      <c r="J672" s="198">
        <v>2</v>
      </c>
      <c r="K672" s="19" t="s">
        <v>7839</v>
      </c>
      <c r="L672" s="198" t="s">
        <v>2272</v>
      </c>
      <c r="M672" s="198" t="s">
        <v>2272</v>
      </c>
      <c r="N672" s="198"/>
    </row>
    <row r="673" spans="1:14" ht="29">
      <c r="A673" s="19" t="s">
        <v>7661</v>
      </c>
      <c r="B673" s="198" t="s">
        <v>7802</v>
      </c>
      <c r="C673" s="35" t="s">
        <v>1102</v>
      </c>
      <c r="D673" s="35" t="s">
        <v>1238</v>
      </c>
      <c r="E673" s="163" t="s">
        <v>3204</v>
      </c>
      <c r="F673" s="4" t="s">
        <v>2272</v>
      </c>
      <c r="G673" s="198"/>
      <c r="H673" s="4" t="s">
        <v>2272</v>
      </c>
      <c r="I673" s="4" t="s">
        <v>2272</v>
      </c>
      <c r="J673" s="198">
        <v>1</v>
      </c>
      <c r="K673" s="19" t="s">
        <v>7839</v>
      </c>
      <c r="L673" s="198" t="s">
        <v>2272</v>
      </c>
      <c r="M673" s="198" t="s">
        <v>2272</v>
      </c>
      <c r="N673" s="198"/>
    </row>
    <row r="674" spans="1:14" ht="29">
      <c r="A674" s="19" t="s">
        <v>7662</v>
      </c>
      <c r="B674" s="198" t="s">
        <v>7803</v>
      </c>
      <c r="C674" s="35" t="s">
        <v>1102</v>
      </c>
      <c r="D674" s="35" t="s">
        <v>1238</v>
      </c>
      <c r="E674" s="163" t="s">
        <v>3204</v>
      </c>
      <c r="F674" s="4" t="s">
        <v>2272</v>
      </c>
      <c r="G674" s="198"/>
      <c r="H674" s="4" t="s">
        <v>2272</v>
      </c>
      <c r="I674" s="4" t="s">
        <v>2272</v>
      </c>
      <c r="J674" s="198">
        <v>1</v>
      </c>
      <c r="K674" s="19" t="s">
        <v>7839</v>
      </c>
      <c r="L674" s="198" t="s">
        <v>2272</v>
      </c>
      <c r="M674" s="198" t="s">
        <v>2272</v>
      </c>
      <c r="N674" s="198"/>
    </row>
    <row r="675" spans="1:14" ht="29">
      <c r="A675" s="19" t="s">
        <v>7582</v>
      </c>
      <c r="B675" s="198" t="s">
        <v>7804</v>
      </c>
      <c r="C675" s="35" t="s">
        <v>1102</v>
      </c>
      <c r="D675" s="35" t="s">
        <v>1238</v>
      </c>
      <c r="E675" s="163" t="s">
        <v>3204</v>
      </c>
      <c r="F675" s="4" t="s">
        <v>2272</v>
      </c>
      <c r="G675" s="198"/>
      <c r="H675" s="4" t="s">
        <v>2272</v>
      </c>
      <c r="I675" s="4" t="s">
        <v>2272</v>
      </c>
      <c r="J675" s="198">
        <v>1</v>
      </c>
      <c r="K675" s="19" t="s">
        <v>7839</v>
      </c>
      <c r="L675" s="198" t="s">
        <v>2272</v>
      </c>
      <c r="M675" s="198" t="s">
        <v>2272</v>
      </c>
      <c r="N675" s="198"/>
    </row>
    <row r="676" spans="1:14" ht="29">
      <c r="A676" s="19" t="s">
        <v>7603</v>
      </c>
      <c r="B676" s="198" t="s">
        <v>7604</v>
      </c>
      <c r="C676" s="35" t="s">
        <v>1102</v>
      </c>
      <c r="D676" s="35" t="s">
        <v>1238</v>
      </c>
      <c r="E676" s="163" t="s">
        <v>3204</v>
      </c>
      <c r="F676" s="4" t="s">
        <v>2272</v>
      </c>
      <c r="G676" s="198"/>
      <c r="H676" s="4" t="s">
        <v>2272</v>
      </c>
      <c r="I676" s="4" t="s">
        <v>2272</v>
      </c>
      <c r="J676" s="198">
        <v>1</v>
      </c>
      <c r="K676" s="19" t="s">
        <v>7839</v>
      </c>
      <c r="L676" s="198" t="s">
        <v>2272</v>
      </c>
      <c r="M676" s="198" t="s">
        <v>2272</v>
      </c>
      <c r="N676" s="198"/>
    </row>
    <row r="677" spans="1:14" ht="29">
      <c r="A677" s="19" t="s">
        <v>7663</v>
      </c>
      <c r="B677" s="198" t="s">
        <v>7805</v>
      </c>
      <c r="C677" s="35" t="s">
        <v>1102</v>
      </c>
      <c r="D677" s="35" t="s">
        <v>1238</v>
      </c>
      <c r="E677" s="163" t="s">
        <v>3204</v>
      </c>
      <c r="F677" s="4" t="s">
        <v>2272</v>
      </c>
      <c r="G677" s="198"/>
      <c r="H677" s="4" t="s">
        <v>2272</v>
      </c>
      <c r="I677" s="4" t="s">
        <v>2272</v>
      </c>
      <c r="J677" s="198">
        <v>1</v>
      </c>
      <c r="K677" s="19" t="s">
        <v>7839</v>
      </c>
      <c r="L677" s="198" t="s">
        <v>2272</v>
      </c>
      <c r="M677" s="198" t="s">
        <v>2272</v>
      </c>
      <c r="N677" s="198"/>
    </row>
    <row r="678" spans="1:14" ht="29">
      <c r="A678" s="19" t="s">
        <v>7664</v>
      </c>
      <c r="B678" s="198" t="s">
        <v>7806</v>
      </c>
      <c r="C678" s="35" t="s">
        <v>1102</v>
      </c>
      <c r="D678" s="35" t="s">
        <v>1238</v>
      </c>
      <c r="E678" s="163" t="s">
        <v>3204</v>
      </c>
      <c r="F678" s="4" t="s">
        <v>2272</v>
      </c>
      <c r="G678" s="198"/>
      <c r="H678" s="4" t="s">
        <v>2272</v>
      </c>
      <c r="I678" s="4" t="s">
        <v>2272</v>
      </c>
      <c r="J678" s="198">
        <v>0</v>
      </c>
      <c r="K678" s="19" t="s">
        <v>7839</v>
      </c>
      <c r="L678" s="198" t="s">
        <v>2272</v>
      </c>
      <c r="M678" s="198" t="s">
        <v>2272</v>
      </c>
      <c r="N678" s="198"/>
    </row>
    <row r="679" spans="1:14" ht="29">
      <c r="A679" s="19" t="s">
        <v>7665</v>
      </c>
      <c r="B679" s="198" t="s">
        <v>7807</v>
      </c>
      <c r="C679" s="35" t="s">
        <v>1102</v>
      </c>
      <c r="D679" s="35" t="s">
        <v>1238</v>
      </c>
      <c r="E679" s="163" t="s">
        <v>3204</v>
      </c>
      <c r="F679" s="4" t="s">
        <v>2272</v>
      </c>
      <c r="G679" s="198"/>
      <c r="H679" s="4" t="s">
        <v>2272</v>
      </c>
      <c r="I679" s="4" t="s">
        <v>2272</v>
      </c>
      <c r="J679" s="198">
        <v>1</v>
      </c>
      <c r="K679" s="19" t="s">
        <v>7839</v>
      </c>
      <c r="L679" s="198" t="s">
        <v>2272</v>
      </c>
      <c r="M679" s="198" t="s">
        <v>2272</v>
      </c>
      <c r="N679" s="198"/>
    </row>
    <row r="680" spans="1:14" ht="29">
      <c r="A680" s="19" t="s">
        <v>7666</v>
      </c>
      <c r="B680" s="198" t="s">
        <v>7808</v>
      </c>
      <c r="C680" s="35" t="s">
        <v>1102</v>
      </c>
      <c r="D680" s="35" t="s">
        <v>1238</v>
      </c>
      <c r="E680" s="163" t="s">
        <v>3204</v>
      </c>
      <c r="F680" s="4" t="s">
        <v>2272</v>
      </c>
      <c r="G680" s="198"/>
      <c r="H680" s="4" t="s">
        <v>2272</v>
      </c>
      <c r="I680" s="4" t="s">
        <v>2272</v>
      </c>
      <c r="J680" s="198">
        <v>3</v>
      </c>
      <c r="K680" s="19" t="s">
        <v>7839</v>
      </c>
      <c r="L680" s="198" t="s">
        <v>2272</v>
      </c>
      <c r="M680" s="198" t="s">
        <v>2272</v>
      </c>
      <c r="N680" s="198"/>
    </row>
    <row r="681" spans="1:14" ht="29">
      <c r="A681" s="19" t="s">
        <v>7667</v>
      </c>
      <c r="B681" s="198" t="s">
        <v>7809</v>
      </c>
      <c r="C681" s="35" t="s">
        <v>1102</v>
      </c>
      <c r="D681" s="35" t="s">
        <v>1238</v>
      </c>
      <c r="E681" s="163" t="s">
        <v>3204</v>
      </c>
      <c r="F681" s="4" t="s">
        <v>2272</v>
      </c>
      <c r="G681" s="198"/>
      <c r="H681" s="4" t="s">
        <v>2272</v>
      </c>
      <c r="I681" s="4" t="s">
        <v>2272</v>
      </c>
      <c r="J681" s="198">
        <v>1</v>
      </c>
      <c r="K681" s="19" t="s">
        <v>7839</v>
      </c>
      <c r="L681" s="198" t="s">
        <v>2272</v>
      </c>
      <c r="M681" s="198" t="s">
        <v>2272</v>
      </c>
      <c r="N681" s="198"/>
    </row>
    <row r="682" spans="1:14" ht="29">
      <c r="A682" s="19" t="s">
        <v>7668</v>
      </c>
      <c r="B682" s="198" t="s">
        <v>7810</v>
      </c>
      <c r="C682" s="35" t="s">
        <v>1102</v>
      </c>
      <c r="D682" s="35" t="s">
        <v>1238</v>
      </c>
      <c r="E682" s="163" t="s">
        <v>3204</v>
      </c>
      <c r="F682" s="4" t="s">
        <v>2272</v>
      </c>
      <c r="G682" s="198"/>
      <c r="H682" s="4" t="s">
        <v>2272</v>
      </c>
      <c r="I682" s="4" t="s">
        <v>2272</v>
      </c>
      <c r="J682" s="198">
        <v>1</v>
      </c>
      <c r="K682" s="19" t="s">
        <v>7839</v>
      </c>
      <c r="L682" s="198" t="s">
        <v>2272</v>
      </c>
      <c r="M682" s="198" t="s">
        <v>2272</v>
      </c>
      <c r="N682" s="198"/>
    </row>
    <row r="683" spans="1:14" ht="29">
      <c r="A683" s="19" t="s">
        <v>7669</v>
      </c>
      <c r="B683" s="198" t="s">
        <v>7811</v>
      </c>
      <c r="C683" s="35" t="s">
        <v>1102</v>
      </c>
      <c r="D683" s="35" t="s">
        <v>1238</v>
      </c>
      <c r="E683" s="163" t="s">
        <v>3204</v>
      </c>
      <c r="F683" s="4" t="s">
        <v>2272</v>
      </c>
      <c r="G683" s="198"/>
      <c r="H683" s="4" t="s">
        <v>2272</v>
      </c>
      <c r="I683" s="4" t="s">
        <v>2272</v>
      </c>
      <c r="J683" s="198">
        <v>2</v>
      </c>
      <c r="K683" s="19" t="s">
        <v>7839</v>
      </c>
      <c r="L683" s="198" t="s">
        <v>2272</v>
      </c>
      <c r="M683" s="198" t="s">
        <v>2272</v>
      </c>
      <c r="N683" s="198"/>
    </row>
    <row r="684" spans="1:14" ht="29">
      <c r="A684" s="19" t="s">
        <v>7670</v>
      </c>
      <c r="B684" s="198" t="s">
        <v>7812</v>
      </c>
      <c r="C684" s="35" t="s">
        <v>1102</v>
      </c>
      <c r="D684" s="35" t="s">
        <v>1238</v>
      </c>
      <c r="E684" s="163" t="s">
        <v>3204</v>
      </c>
      <c r="F684" s="4" t="s">
        <v>2272</v>
      </c>
      <c r="G684" s="198"/>
      <c r="H684" s="4" t="s">
        <v>2272</v>
      </c>
      <c r="I684" s="4" t="s">
        <v>2272</v>
      </c>
      <c r="J684" s="198">
        <v>2</v>
      </c>
      <c r="K684" s="19" t="s">
        <v>7839</v>
      </c>
      <c r="L684" s="198" t="s">
        <v>2272</v>
      </c>
      <c r="M684" s="198" t="s">
        <v>2272</v>
      </c>
      <c r="N684" s="198"/>
    </row>
    <row r="685" spans="1:14" ht="29">
      <c r="A685" s="19" t="s">
        <v>7671</v>
      </c>
      <c r="B685" s="198" t="s">
        <v>7813</v>
      </c>
      <c r="C685" s="35" t="s">
        <v>1102</v>
      </c>
      <c r="D685" s="35" t="s">
        <v>1238</v>
      </c>
      <c r="E685" s="163" t="s">
        <v>3204</v>
      </c>
      <c r="F685" s="4" t="s">
        <v>2272</v>
      </c>
      <c r="G685" s="198"/>
      <c r="H685" s="4" t="s">
        <v>2272</v>
      </c>
      <c r="I685" s="4" t="s">
        <v>2272</v>
      </c>
      <c r="J685" s="198">
        <v>1</v>
      </c>
      <c r="K685" s="19" t="s">
        <v>7839</v>
      </c>
      <c r="L685" s="198" t="s">
        <v>2272</v>
      </c>
      <c r="M685" s="198" t="s">
        <v>2272</v>
      </c>
      <c r="N685" s="198"/>
    </row>
    <row r="686" spans="1:14" ht="29">
      <c r="A686" s="19" t="s">
        <v>7672</v>
      </c>
      <c r="B686" s="198" t="s">
        <v>7814</v>
      </c>
      <c r="C686" s="35" t="s">
        <v>1102</v>
      </c>
      <c r="D686" s="35" t="s">
        <v>1238</v>
      </c>
      <c r="E686" s="163" t="s">
        <v>3204</v>
      </c>
      <c r="F686" s="4" t="s">
        <v>2272</v>
      </c>
      <c r="G686" s="198"/>
      <c r="H686" s="4" t="s">
        <v>2272</v>
      </c>
      <c r="I686" s="4" t="s">
        <v>2272</v>
      </c>
      <c r="J686" s="198">
        <v>1</v>
      </c>
      <c r="K686" s="19" t="s">
        <v>7839</v>
      </c>
      <c r="L686" s="198" t="s">
        <v>2272</v>
      </c>
      <c r="M686" s="198" t="s">
        <v>2272</v>
      </c>
      <c r="N686" s="198"/>
    </row>
    <row r="687" spans="1:14" ht="29">
      <c r="A687" s="19" t="s">
        <v>7673</v>
      </c>
      <c r="B687" s="198" t="s">
        <v>7815</v>
      </c>
      <c r="C687" s="35" t="s">
        <v>1102</v>
      </c>
      <c r="D687" s="35" t="s">
        <v>1238</v>
      </c>
      <c r="E687" s="163" t="s">
        <v>3204</v>
      </c>
      <c r="F687" s="4" t="s">
        <v>2272</v>
      </c>
      <c r="G687" s="198"/>
      <c r="H687" s="4" t="s">
        <v>2272</v>
      </c>
      <c r="I687" s="4" t="s">
        <v>2272</v>
      </c>
      <c r="J687" s="198">
        <v>2</v>
      </c>
      <c r="K687" s="19" t="s">
        <v>7839</v>
      </c>
      <c r="L687" s="198" t="s">
        <v>2272</v>
      </c>
      <c r="M687" s="198" t="s">
        <v>2272</v>
      </c>
      <c r="N687" s="198"/>
    </row>
    <row r="688" spans="1:14" ht="29">
      <c r="A688" s="19" t="s">
        <v>7674</v>
      </c>
      <c r="B688" s="198" t="s">
        <v>7816</v>
      </c>
      <c r="C688" s="35" t="s">
        <v>1102</v>
      </c>
      <c r="D688" s="35" t="s">
        <v>1238</v>
      </c>
      <c r="E688" s="163" t="s">
        <v>3204</v>
      </c>
      <c r="F688" s="4" t="s">
        <v>2272</v>
      </c>
      <c r="G688" s="198"/>
      <c r="H688" s="4" t="s">
        <v>2272</v>
      </c>
      <c r="I688" s="4" t="s">
        <v>2272</v>
      </c>
      <c r="J688" s="198">
        <v>1</v>
      </c>
      <c r="K688" s="19" t="s">
        <v>7839</v>
      </c>
      <c r="L688" s="198" t="s">
        <v>2272</v>
      </c>
      <c r="M688" s="198" t="s">
        <v>2272</v>
      </c>
      <c r="N688" s="198"/>
    </row>
    <row r="689" spans="1:14" ht="29">
      <c r="A689" s="19" t="s">
        <v>7675</v>
      </c>
      <c r="B689" s="198" t="s">
        <v>7817</v>
      </c>
      <c r="C689" s="35" t="s">
        <v>1102</v>
      </c>
      <c r="D689" s="35" t="s">
        <v>1238</v>
      </c>
      <c r="E689" s="163" t="s">
        <v>3204</v>
      </c>
      <c r="F689" s="4" t="s">
        <v>2272</v>
      </c>
      <c r="G689" s="198"/>
      <c r="H689" s="4" t="s">
        <v>2272</v>
      </c>
      <c r="I689" s="4" t="s">
        <v>2272</v>
      </c>
      <c r="J689" s="198">
        <v>1</v>
      </c>
      <c r="K689" s="19" t="s">
        <v>7839</v>
      </c>
      <c r="L689" s="198" t="s">
        <v>2272</v>
      </c>
      <c r="M689" s="198" t="s">
        <v>2272</v>
      </c>
      <c r="N689" s="198"/>
    </row>
    <row r="690" spans="1:14" ht="29">
      <c r="A690" s="19" t="s">
        <v>7676</v>
      </c>
      <c r="B690" s="198" t="s">
        <v>7818</v>
      </c>
      <c r="C690" s="35" t="s">
        <v>1102</v>
      </c>
      <c r="D690" s="35" t="s">
        <v>1238</v>
      </c>
      <c r="E690" s="163" t="s">
        <v>3204</v>
      </c>
      <c r="F690" s="4" t="s">
        <v>2272</v>
      </c>
      <c r="G690" s="198"/>
      <c r="H690" s="4" t="s">
        <v>2272</v>
      </c>
      <c r="I690" s="4" t="s">
        <v>2272</v>
      </c>
      <c r="J690" s="198">
        <v>1</v>
      </c>
      <c r="K690" s="19" t="s">
        <v>7839</v>
      </c>
      <c r="L690" s="198" t="s">
        <v>2272</v>
      </c>
      <c r="M690" s="198" t="s">
        <v>2272</v>
      </c>
      <c r="N690" s="198"/>
    </row>
    <row r="691" spans="1:14" ht="29">
      <c r="A691" s="19" t="s">
        <v>7677</v>
      </c>
      <c r="B691" s="198" t="s">
        <v>7819</v>
      </c>
      <c r="C691" s="35" t="s">
        <v>1102</v>
      </c>
      <c r="D691" s="35" t="s">
        <v>1238</v>
      </c>
      <c r="E691" s="163" t="s">
        <v>3204</v>
      </c>
      <c r="F691" s="4" t="s">
        <v>2272</v>
      </c>
      <c r="G691" s="198"/>
      <c r="H691" s="4" t="s">
        <v>2272</v>
      </c>
      <c r="I691" s="4" t="s">
        <v>2272</v>
      </c>
      <c r="J691" s="198">
        <v>1</v>
      </c>
      <c r="K691" s="19" t="s">
        <v>7839</v>
      </c>
      <c r="L691" s="198" t="s">
        <v>2272</v>
      </c>
      <c r="M691" s="198" t="s">
        <v>2272</v>
      </c>
      <c r="N691" s="198"/>
    </row>
    <row r="692" spans="1:14" ht="29">
      <c r="A692" s="19" t="s">
        <v>7678</v>
      </c>
      <c r="B692" s="198" t="s">
        <v>7820</v>
      </c>
      <c r="C692" s="35" t="s">
        <v>1102</v>
      </c>
      <c r="D692" s="35" t="s">
        <v>1238</v>
      </c>
      <c r="E692" s="163" t="s">
        <v>3204</v>
      </c>
      <c r="F692" s="4" t="s">
        <v>2272</v>
      </c>
      <c r="G692" s="198"/>
      <c r="H692" s="4" t="s">
        <v>2272</v>
      </c>
      <c r="I692" s="4" t="s">
        <v>2272</v>
      </c>
      <c r="J692" s="198">
        <v>1</v>
      </c>
      <c r="K692" s="19" t="s">
        <v>7839</v>
      </c>
      <c r="L692" s="198" t="s">
        <v>2272</v>
      </c>
      <c r="M692" s="198" t="s">
        <v>2272</v>
      </c>
      <c r="N692" s="198"/>
    </row>
    <row r="693" spans="1:14" ht="29">
      <c r="A693" s="19" t="s">
        <v>7679</v>
      </c>
      <c r="B693" s="198" t="s">
        <v>7821</v>
      </c>
      <c r="C693" s="35" t="s">
        <v>1102</v>
      </c>
      <c r="D693" s="35" t="s">
        <v>1238</v>
      </c>
      <c r="E693" s="163" t="s">
        <v>3204</v>
      </c>
      <c r="F693" s="4" t="s">
        <v>2272</v>
      </c>
      <c r="G693" s="198"/>
      <c r="H693" s="4" t="s">
        <v>2272</v>
      </c>
      <c r="I693" s="4" t="s">
        <v>2272</v>
      </c>
      <c r="J693" s="198">
        <v>1</v>
      </c>
      <c r="K693" s="19" t="s">
        <v>7839</v>
      </c>
      <c r="L693" s="198" t="s">
        <v>2272</v>
      </c>
      <c r="M693" s="198" t="s">
        <v>2272</v>
      </c>
      <c r="N693" s="198"/>
    </row>
    <row r="694" spans="1:14" ht="29">
      <c r="A694" s="19" t="s">
        <v>7680</v>
      </c>
      <c r="B694" s="198" t="s">
        <v>7822</v>
      </c>
      <c r="C694" s="35" t="s">
        <v>1102</v>
      </c>
      <c r="D694" s="35" t="s">
        <v>1238</v>
      </c>
      <c r="E694" s="163" t="s">
        <v>3204</v>
      </c>
      <c r="F694" s="4" t="s">
        <v>2272</v>
      </c>
      <c r="G694" s="198"/>
      <c r="H694" s="4" t="s">
        <v>2272</v>
      </c>
      <c r="I694" s="4" t="s">
        <v>2272</v>
      </c>
      <c r="J694" s="198">
        <v>2</v>
      </c>
      <c r="K694" s="19" t="s">
        <v>7839</v>
      </c>
      <c r="L694" s="198" t="s">
        <v>2272</v>
      </c>
      <c r="M694" s="198" t="s">
        <v>2272</v>
      </c>
      <c r="N694" s="198"/>
    </row>
    <row r="695" spans="1:14" ht="29">
      <c r="A695" s="19" t="s">
        <v>7681</v>
      </c>
      <c r="B695" s="198" t="s">
        <v>7823</v>
      </c>
      <c r="C695" s="35" t="s">
        <v>1102</v>
      </c>
      <c r="D695" s="35" t="s">
        <v>1238</v>
      </c>
      <c r="E695" s="163" t="s">
        <v>3204</v>
      </c>
      <c r="F695" s="4" t="s">
        <v>2272</v>
      </c>
      <c r="G695" s="198"/>
      <c r="H695" s="4" t="s">
        <v>2272</v>
      </c>
      <c r="I695" s="4" t="s">
        <v>2272</v>
      </c>
      <c r="J695" s="198">
        <v>0</v>
      </c>
      <c r="K695" s="19" t="s">
        <v>7839</v>
      </c>
      <c r="L695" s="198" t="s">
        <v>2272</v>
      </c>
      <c r="M695" s="198" t="s">
        <v>2272</v>
      </c>
      <c r="N695" s="198"/>
    </row>
    <row r="696" spans="1:14" ht="29">
      <c r="A696" s="19" t="s">
        <v>7749</v>
      </c>
      <c r="B696" s="198" t="s">
        <v>7824</v>
      </c>
      <c r="C696" s="35" t="s">
        <v>1102</v>
      </c>
      <c r="D696" s="35" t="s">
        <v>1238</v>
      </c>
      <c r="E696" s="163" t="s">
        <v>3204</v>
      </c>
      <c r="F696" s="4" t="s">
        <v>2272</v>
      </c>
      <c r="G696" s="198"/>
      <c r="H696" s="4" t="s">
        <v>2272</v>
      </c>
      <c r="I696" s="4" t="s">
        <v>2272</v>
      </c>
      <c r="J696" s="198">
        <v>1</v>
      </c>
      <c r="K696" s="19" t="s">
        <v>7839</v>
      </c>
      <c r="L696" s="198" t="s">
        <v>2272</v>
      </c>
      <c r="M696" s="198" t="s">
        <v>2272</v>
      </c>
      <c r="N696" s="198"/>
    </row>
    <row r="697" spans="1:14" ht="29">
      <c r="A697" s="19" t="s">
        <v>7750</v>
      </c>
      <c r="B697" s="198" t="s">
        <v>7825</v>
      </c>
      <c r="C697" s="35" t="s">
        <v>1102</v>
      </c>
      <c r="D697" s="35" t="s">
        <v>1238</v>
      </c>
      <c r="E697" s="163" t="s">
        <v>3204</v>
      </c>
      <c r="F697" s="4" t="s">
        <v>2272</v>
      </c>
      <c r="G697" s="198"/>
      <c r="H697" s="4" t="s">
        <v>2272</v>
      </c>
      <c r="I697" s="4" t="s">
        <v>2272</v>
      </c>
      <c r="J697" s="198">
        <v>2</v>
      </c>
      <c r="K697" s="19" t="s">
        <v>7839</v>
      </c>
      <c r="L697" s="198" t="s">
        <v>2272</v>
      </c>
      <c r="M697" s="198" t="s">
        <v>2272</v>
      </c>
      <c r="N697" s="198"/>
    </row>
    <row r="698" spans="1:14" ht="29">
      <c r="A698" s="19" t="s">
        <v>7751</v>
      </c>
      <c r="B698" s="198" t="s">
        <v>7826</v>
      </c>
      <c r="C698" s="35" t="s">
        <v>1102</v>
      </c>
      <c r="D698" s="35" t="s">
        <v>1238</v>
      </c>
      <c r="E698" s="163" t="s">
        <v>3204</v>
      </c>
      <c r="F698" s="4" t="s">
        <v>2272</v>
      </c>
      <c r="G698" s="198"/>
      <c r="H698" s="4" t="s">
        <v>2272</v>
      </c>
      <c r="I698" s="4" t="s">
        <v>2272</v>
      </c>
      <c r="J698" s="198">
        <v>3</v>
      </c>
      <c r="K698" s="19" t="s">
        <v>7839</v>
      </c>
      <c r="L698" s="198" t="s">
        <v>2272</v>
      </c>
      <c r="M698" s="198" t="s">
        <v>2272</v>
      </c>
      <c r="N698" s="198"/>
    </row>
    <row r="699" spans="1:14" ht="29">
      <c r="A699" s="19" t="s">
        <v>7752</v>
      </c>
      <c r="B699" s="198" t="s">
        <v>7827</v>
      </c>
      <c r="C699" s="35" t="s">
        <v>1102</v>
      </c>
      <c r="D699" s="35" t="s">
        <v>1238</v>
      </c>
      <c r="E699" s="163" t="s">
        <v>3204</v>
      </c>
      <c r="F699" s="4" t="s">
        <v>2272</v>
      </c>
      <c r="G699" s="198"/>
      <c r="H699" s="4" t="s">
        <v>2272</v>
      </c>
      <c r="I699" s="4" t="s">
        <v>2272</v>
      </c>
      <c r="J699" s="198">
        <v>3</v>
      </c>
      <c r="K699" s="19" t="s">
        <v>7839</v>
      </c>
      <c r="L699" s="198" t="s">
        <v>2272</v>
      </c>
      <c r="M699" s="198" t="s">
        <v>2272</v>
      </c>
      <c r="N699" s="198"/>
    </row>
    <row r="700" spans="1:14" ht="29">
      <c r="A700" s="19" t="s">
        <v>7753</v>
      </c>
      <c r="B700" s="198" t="s">
        <v>7828</v>
      </c>
      <c r="C700" s="35" t="s">
        <v>1102</v>
      </c>
      <c r="D700" s="35" t="s">
        <v>1238</v>
      </c>
      <c r="E700" s="163" t="s">
        <v>3204</v>
      </c>
      <c r="F700" s="4" t="s">
        <v>2272</v>
      </c>
      <c r="G700" s="198"/>
      <c r="H700" s="4" t="s">
        <v>2272</v>
      </c>
      <c r="I700" s="4" t="s">
        <v>2272</v>
      </c>
      <c r="J700" s="198">
        <v>1</v>
      </c>
      <c r="K700" s="19" t="s">
        <v>7839</v>
      </c>
      <c r="L700" s="198" t="s">
        <v>2272</v>
      </c>
      <c r="M700" s="198" t="s">
        <v>2272</v>
      </c>
      <c r="N700" s="198"/>
    </row>
    <row r="701" spans="1:14" ht="29">
      <c r="A701" s="19" t="s">
        <v>7754</v>
      </c>
      <c r="B701" s="198" t="s">
        <v>7829</v>
      </c>
      <c r="C701" s="35" t="s">
        <v>1102</v>
      </c>
      <c r="D701" s="35" t="s">
        <v>1238</v>
      </c>
      <c r="E701" s="163" t="s">
        <v>3204</v>
      </c>
      <c r="F701" s="4" t="s">
        <v>2272</v>
      </c>
      <c r="G701" s="198"/>
      <c r="H701" s="4" t="s">
        <v>2272</v>
      </c>
      <c r="I701" s="4" t="s">
        <v>2272</v>
      </c>
      <c r="J701" s="198">
        <v>2</v>
      </c>
      <c r="K701" s="19" t="s">
        <v>7839</v>
      </c>
      <c r="L701" s="198" t="s">
        <v>2272</v>
      </c>
      <c r="M701" s="198" t="s">
        <v>2272</v>
      </c>
      <c r="N701" s="198"/>
    </row>
    <row r="702" spans="1:14" ht="29">
      <c r="A702" s="19" t="s">
        <v>7755</v>
      </c>
      <c r="B702" s="198" t="s">
        <v>7830</v>
      </c>
      <c r="C702" s="35" t="s">
        <v>1102</v>
      </c>
      <c r="D702" s="35" t="s">
        <v>1238</v>
      </c>
      <c r="E702" s="163" t="s">
        <v>3204</v>
      </c>
      <c r="F702" s="4" t="s">
        <v>2272</v>
      </c>
      <c r="G702" s="198"/>
      <c r="H702" s="4" t="s">
        <v>2272</v>
      </c>
      <c r="I702" s="4" t="s">
        <v>2272</v>
      </c>
      <c r="J702" s="198">
        <v>1</v>
      </c>
      <c r="K702" s="19" t="s">
        <v>7839</v>
      </c>
      <c r="L702" s="198" t="s">
        <v>2272</v>
      </c>
      <c r="M702" s="198" t="s">
        <v>2272</v>
      </c>
      <c r="N702" s="198"/>
    </row>
    <row r="703" spans="1:14" ht="29">
      <c r="A703" s="19" t="s">
        <v>7659</v>
      </c>
      <c r="B703" s="198" t="s">
        <v>7800</v>
      </c>
      <c r="C703" s="35" t="s">
        <v>1102</v>
      </c>
      <c r="D703" s="35" t="s">
        <v>1238</v>
      </c>
      <c r="E703" s="163" t="s">
        <v>3204</v>
      </c>
      <c r="F703" s="4" t="s">
        <v>2272</v>
      </c>
      <c r="G703" s="198"/>
      <c r="H703" s="4" t="s">
        <v>2272</v>
      </c>
      <c r="I703" s="4" t="s">
        <v>2272</v>
      </c>
      <c r="J703" s="198">
        <v>1</v>
      </c>
      <c r="K703" s="19" t="s">
        <v>7839</v>
      </c>
      <c r="L703" s="198" t="s">
        <v>2272</v>
      </c>
      <c r="M703" s="198" t="s">
        <v>2272</v>
      </c>
      <c r="N703" s="198"/>
    </row>
    <row r="704" spans="1:14" ht="29">
      <c r="A704" s="19" t="s">
        <v>7756</v>
      </c>
      <c r="B704" s="198" t="s">
        <v>7831</v>
      </c>
      <c r="C704" s="35" t="s">
        <v>1102</v>
      </c>
      <c r="D704" s="35" t="s">
        <v>1238</v>
      </c>
      <c r="E704" s="163" t="s">
        <v>3204</v>
      </c>
      <c r="F704" s="4" t="s">
        <v>2272</v>
      </c>
      <c r="G704" s="198"/>
      <c r="H704" s="4" t="s">
        <v>2272</v>
      </c>
      <c r="I704" s="4" t="s">
        <v>2272</v>
      </c>
      <c r="J704" s="198">
        <v>1</v>
      </c>
      <c r="K704" s="19" t="s">
        <v>7839</v>
      </c>
      <c r="L704" s="198" t="s">
        <v>2272</v>
      </c>
      <c r="M704" s="198" t="s">
        <v>2272</v>
      </c>
      <c r="N704" s="198"/>
    </row>
    <row r="705" spans="1:14" ht="29">
      <c r="A705" s="19" t="s">
        <v>7757</v>
      </c>
      <c r="B705" s="198" t="s">
        <v>7832</v>
      </c>
      <c r="C705" s="35" t="s">
        <v>1102</v>
      </c>
      <c r="D705" s="35" t="s">
        <v>1238</v>
      </c>
      <c r="E705" s="163" t="s">
        <v>3204</v>
      </c>
      <c r="F705" s="4" t="s">
        <v>2272</v>
      </c>
      <c r="G705" s="198"/>
      <c r="H705" s="4" t="s">
        <v>2272</v>
      </c>
      <c r="I705" s="4" t="s">
        <v>2272</v>
      </c>
      <c r="J705" s="198">
        <v>0</v>
      </c>
      <c r="K705" s="19" t="s">
        <v>7839</v>
      </c>
      <c r="L705" s="198" t="s">
        <v>2272</v>
      </c>
      <c r="M705" s="198" t="s">
        <v>2272</v>
      </c>
      <c r="N705" s="198"/>
    </row>
    <row r="706" spans="1:14" ht="29">
      <c r="A706" s="19" t="s">
        <v>7758</v>
      </c>
      <c r="B706" s="198" t="s">
        <v>7833</v>
      </c>
      <c r="C706" s="35" t="s">
        <v>1102</v>
      </c>
      <c r="D706" s="35" t="s">
        <v>1238</v>
      </c>
      <c r="E706" s="163" t="s">
        <v>3204</v>
      </c>
      <c r="F706" s="4" t="s">
        <v>2272</v>
      </c>
      <c r="G706" s="198"/>
      <c r="H706" s="4" t="s">
        <v>2272</v>
      </c>
      <c r="I706" s="4" t="s">
        <v>2272</v>
      </c>
      <c r="J706" s="198">
        <v>1</v>
      </c>
      <c r="K706" s="19" t="s">
        <v>7839</v>
      </c>
      <c r="L706" s="198" t="s">
        <v>2272</v>
      </c>
      <c r="M706" s="198" t="s">
        <v>2272</v>
      </c>
      <c r="N706" s="198"/>
    </row>
    <row r="707" spans="1:14" ht="29">
      <c r="A707" s="19" t="s">
        <v>7759</v>
      </c>
      <c r="B707" s="198" t="s">
        <v>7834</v>
      </c>
      <c r="C707" s="35" t="s">
        <v>1102</v>
      </c>
      <c r="D707" s="35" t="s">
        <v>1238</v>
      </c>
      <c r="E707" s="163" t="s">
        <v>3204</v>
      </c>
      <c r="F707" s="4" t="s">
        <v>2272</v>
      </c>
      <c r="G707" s="198"/>
      <c r="H707" s="4" t="s">
        <v>2272</v>
      </c>
      <c r="I707" s="4" t="s">
        <v>2272</v>
      </c>
      <c r="J707" s="198">
        <v>1</v>
      </c>
      <c r="K707" s="19" t="s">
        <v>7839</v>
      </c>
      <c r="L707" s="198" t="s">
        <v>2272</v>
      </c>
      <c r="M707" s="198" t="s">
        <v>2272</v>
      </c>
      <c r="N707" s="198"/>
    </row>
    <row r="708" spans="1:14" ht="29">
      <c r="A708" s="19" t="s">
        <v>7760</v>
      </c>
      <c r="B708" s="198" t="s">
        <v>7835</v>
      </c>
      <c r="C708" s="35" t="s">
        <v>1102</v>
      </c>
      <c r="D708" s="35" t="s">
        <v>1238</v>
      </c>
      <c r="E708" s="163" t="s">
        <v>3204</v>
      </c>
      <c r="F708" s="4" t="s">
        <v>2272</v>
      </c>
      <c r="G708" s="198"/>
      <c r="H708" s="4" t="s">
        <v>2272</v>
      </c>
      <c r="I708" s="4" t="s">
        <v>2272</v>
      </c>
      <c r="J708" s="198">
        <v>1</v>
      </c>
      <c r="K708" s="19" t="s">
        <v>7839</v>
      </c>
      <c r="L708" s="198" t="s">
        <v>2272</v>
      </c>
      <c r="M708" s="198" t="s">
        <v>2272</v>
      </c>
      <c r="N708" s="198"/>
    </row>
    <row r="709" spans="1:14" ht="29">
      <c r="A709" s="19" t="s">
        <v>7761</v>
      </c>
      <c r="B709" s="198" t="s">
        <v>7836</v>
      </c>
      <c r="C709" s="198" t="s">
        <v>1102</v>
      </c>
      <c r="D709" s="198" t="s">
        <v>1238</v>
      </c>
      <c r="E709" s="4" t="s">
        <v>3204</v>
      </c>
      <c r="F709" s="4" t="s">
        <v>2272</v>
      </c>
      <c r="G709" s="198"/>
      <c r="H709" s="4" t="s">
        <v>2272</v>
      </c>
      <c r="I709" s="4" t="s">
        <v>2272</v>
      </c>
      <c r="J709" s="198">
        <v>1</v>
      </c>
      <c r="K709" s="19" t="s">
        <v>7839</v>
      </c>
      <c r="L709" s="198" t="s">
        <v>2272</v>
      </c>
      <c r="M709" s="198" t="s">
        <v>2272</v>
      </c>
      <c r="N709" s="198"/>
    </row>
    <row r="710" spans="1:14" ht="29">
      <c r="A710" s="19" t="s">
        <v>7762</v>
      </c>
      <c r="B710" s="198" t="s">
        <v>7837</v>
      </c>
      <c r="C710" s="198" t="s">
        <v>1102</v>
      </c>
      <c r="D710" s="198" t="s">
        <v>1238</v>
      </c>
      <c r="E710" s="4" t="s">
        <v>3204</v>
      </c>
      <c r="F710" s="4" t="s">
        <v>2272</v>
      </c>
      <c r="G710" s="198"/>
      <c r="H710" s="4" t="s">
        <v>2272</v>
      </c>
      <c r="I710" s="4" t="s">
        <v>2272</v>
      </c>
      <c r="J710" s="198">
        <v>0</v>
      </c>
      <c r="K710" s="19" t="s">
        <v>7839</v>
      </c>
      <c r="L710" s="198" t="s">
        <v>2272</v>
      </c>
      <c r="M710" s="198" t="s">
        <v>2272</v>
      </c>
      <c r="N710" s="198"/>
    </row>
    <row r="711" spans="1:14" ht="29">
      <c r="A711" s="19" t="s">
        <v>7763</v>
      </c>
      <c r="B711" s="198" t="s">
        <v>7838</v>
      </c>
      <c r="C711" s="198" t="s">
        <v>1102</v>
      </c>
      <c r="D711" s="198" t="s">
        <v>1238</v>
      </c>
      <c r="E711" s="4" t="s">
        <v>3204</v>
      </c>
      <c r="F711" s="4" t="s">
        <v>2272</v>
      </c>
      <c r="G711" s="198"/>
      <c r="H711" s="4" t="s">
        <v>2272</v>
      </c>
      <c r="I711" s="4" t="s">
        <v>2272</v>
      </c>
      <c r="J711" s="198">
        <v>2</v>
      </c>
      <c r="K711" s="19" t="s">
        <v>7839</v>
      </c>
      <c r="L711" s="198" t="s">
        <v>2272</v>
      </c>
      <c r="M711" s="198" t="s">
        <v>2272</v>
      </c>
      <c r="N711" s="198"/>
    </row>
    <row r="712" spans="1:14" s="197" customFormat="1" ht="42" customHeight="1">
      <c r="A712" s="19" t="s">
        <v>7841</v>
      </c>
      <c r="B712" s="198" t="s">
        <v>9939</v>
      </c>
      <c r="C712" s="198" t="s">
        <v>23</v>
      </c>
      <c r="D712" s="198" t="s">
        <v>142</v>
      </c>
      <c r="E712" s="4" t="s">
        <v>135</v>
      </c>
      <c r="F712" s="4" t="s">
        <v>2657</v>
      </c>
      <c r="G712" s="198"/>
      <c r="H712" s="198">
        <v>3</v>
      </c>
      <c r="I712" s="4" t="s">
        <v>9945</v>
      </c>
      <c r="J712" s="4" t="s">
        <v>2272</v>
      </c>
      <c r="K712" s="4" t="s">
        <v>2272</v>
      </c>
      <c r="L712" s="4" t="s">
        <v>2272</v>
      </c>
      <c r="M712" s="4" t="s">
        <v>2272</v>
      </c>
      <c r="N712" s="198"/>
    </row>
    <row r="713" spans="1:14" s="197" customFormat="1" ht="46" customHeight="1">
      <c r="A713" s="19" t="s">
        <v>9947</v>
      </c>
      <c r="B713" s="198" t="s">
        <v>9952</v>
      </c>
      <c r="C713" s="198" t="s">
        <v>23</v>
      </c>
      <c r="D713" s="198" t="s">
        <v>142</v>
      </c>
      <c r="E713" s="4" t="s">
        <v>135</v>
      </c>
      <c r="F713" s="4" t="s">
        <v>2657</v>
      </c>
      <c r="G713" s="198"/>
      <c r="H713" s="198">
        <v>2</v>
      </c>
      <c r="I713" s="4" t="s">
        <v>9957</v>
      </c>
      <c r="J713" s="4" t="s">
        <v>2272</v>
      </c>
      <c r="K713" s="4" t="s">
        <v>2272</v>
      </c>
      <c r="L713" s="4" t="s">
        <v>2272</v>
      </c>
      <c r="M713" s="4" t="s">
        <v>2272</v>
      </c>
      <c r="N713" s="198"/>
    </row>
    <row r="714" spans="1:14" s="197" customFormat="1" ht="46" customHeight="1">
      <c r="A714" s="19" t="s">
        <v>9959</v>
      </c>
      <c r="B714" s="198" t="s">
        <v>9963</v>
      </c>
      <c r="C714" s="198" t="s">
        <v>23</v>
      </c>
      <c r="D714" s="198" t="s">
        <v>142</v>
      </c>
      <c r="E714" s="4" t="s">
        <v>135</v>
      </c>
      <c r="F714" s="4" t="s">
        <v>2657</v>
      </c>
      <c r="G714" s="198"/>
      <c r="H714" s="198">
        <v>3</v>
      </c>
      <c r="I714" s="19" t="s">
        <v>9972</v>
      </c>
      <c r="J714" s="198">
        <v>3</v>
      </c>
      <c r="K714" s="4" t="s">
        <v>9971</v>
      </c>
      <c r="L714" s="4" t="s">
        <v>2272</v>
      </c>
      <c r="M714" s="4" t="s">
        <v>2272</v>
      </c>
      <c r="N714" s="198"/>
    </row>
    <row r="715" spans="1:14" ht="44.5" customHeight="1">
      <c r="A715" s="198" t="s">
        <v>7862</v>
      </c>
      <c r="B715" s="198" t="s">
        <v>7864</v>
      </c>
      <c r="C715" s="198" t="s">
        <v>23</v>
      </c>
      <c r="D715" s="198" t="s">
        <v>141</v>
      </c>
      <c r="E715" s="4" t="s">
        <v>128</v>
      </c>
      <c r="F715" s="198" t="s">
        <v>73</v>
      </c>
      <c r="G715" s="198"/>
      <c r="H715" s="198">
        <v>1</v>
      </c>
      <c r="I715" s="19" t="s">
        <v>7872</v>
      </c>
      <c r="J715" s="198" t="s">
        <v>2272</v>
      </c>
      <c r="K715" s="198" t="s">
        <v>2272</v>
      </c>
      <c r="L715" s="198" t="s">
        <v>2272</v>
      </c>
      <c r="M715" s="198" t="s">
        <v>2272</v>
      </c>
      <c r="N715" s="198"/>
    </row>
    <row r="716" spans="1:14" ht="44.5" customHeight="1">
      <c r="A716" s="198" t="s">
        <v>7862</v>
      </c>
      <c r="B716" s="198" t="s">
        <v>7865</v>
      </c>
      <c r="C716" s="198" t="s">
        <v>23</v>
      </c>
      <c r="D716" s="198" t="s">
        <v>26</v>
      </c>
      <c r="E716" s="4" t="s">
        <v>128</v>
      </c>
      <c r="F716" s="198" t="s">
        <v>158</v>
      </c>
      <c r="G716" s="198"/>
      <c r="H716" s="198">
        <v>1</v>
      </c>
      <c r="I716" s="19" t="s">
        <v>7872</v>
      </c>
      <c r="J716" s="198" t="s">
        <v>2272</v>
      </c>
      <c r="K716" s="198" t="s">
        <v>2272</v>
      </c>
      <c r="L716" s="198" t="s">
        <v>2272</v>
      </c>
      <c r="M716" s="198" t="s">
        <v>2272</v>
      </c>
      <c r="N716" s="198"/>
    </row>
    <row r="717" spans="1:14" ht="44.5" customHeight="1">
      <c r="A717" s="198" t="s">
        <v>7862</v>
      </c>
      <c r="B717" s="198" t="s">
        <v>7866</v>
      </c>
      <c r="C717" s="198" t="s">
        <v>23</v>
      </c>
      <c r="D717" s="198" t="s">
        <v>141</v>
      </c>
      <c r="E717" s="4" t="s">
        <v>3849</v>
      </c>
      <c r="F717" s="198" t="s">
        <v>73</v>
      </c>
      <c r="G717" s="198"/>
      <c r="H717" s="198">
        <v>1</v>
      </c>
      <c r="I717" s="19" t="s">
        <v>7872</v>
      </c>
      <c r="J717" s="198" t="s">
        <v>2272</v>
      </c>
      <c r="K717" s="198" t="s">
        <v>2272</v>
      </c>
      <c r="L717" s="198" t="s">
        <v>2272</v>
      </c>
      <c r="M717" s="198" t="s">
        <v>2272</v>
      </c>
      <c r="N717" s="198"/>
    </row>
    <row r="718" spans="1:14" ht="44.5" customHeight="1">
      <c r="A718" s="198" t="s">
        <v>7862</v>
      </c>
      <c r="B718" s="198" t="s">
        <v>7867</v>
      </c>
      <c r="C718" s="198" t="s">
        <v>23</v>
      </c>
      <c r="D718" s="198" t="s">
        <v>24</v>
      </c>
      <c r="E718" s="4" t="s">
        <v>3849</v>
      </c>
      <c r="F718" s="198" t="s">
        <v>28</v>
      </c>
      <c r="G718" s="198"/>
      <c r="H718" s="198">
        <v>1</v>
      </c>
      <c r="I718" s="19" t="s">
        <v>7872</v>
      </c>
      <c r="J718" s="198" t="s">
        <v>2272</v>
      </c>
      <c r="K718" s="198" t="s">
        <v>2272</v>
      </c>
      <c r="L718" s="198" t="s">
        <v>2272</v>
      </c>
      <c r="M718" s="198" t="s">
        <v>2272</v>
      </c>
      <c r="N718" s="198"/>
    </row>
    <row r="719" spans="1:14" ht="44.5" customHeight="1">
      <c r="A719" s="198" t="s">
        <v>7862</v>
      </c>
      <c r="B719" s="198" t="s">
        <v>7869</v>
      </c>
      <c r="C719" s="198" t="s">
        <v>23</v>
      </c>
      <c r="D719" s="198" t="s">
        <v>141</v>
      </c>
      <c r="E719" s="4" t="s">
        <v>44</v>
      </c>
      <c r="F719" s="198" t="s">
        <v>73</v>
      </c>
      <c r="G719" s="198"/>
      <c r="H719" s="198">
        <v>1</v>
      </c>
      <c r="I719" s="19" t="s">
        <v>7872</v>
      </c>
      <c r="J719" s="198" t="s">
        <v>2272</v>
      </c>
      <c r="K719" s="198" t="s">
        <v>2272</v>
      </c>
      <c r="L719" s="198" t="s">
        <v>2272</v>
      </c>
      <c r="M719" s="198" t="s">
        <v>2272</v>
      </c>
      <c r="N719" s="198"/>
    </row>
    <row r="720" spans="1:14" ht="44.5" customHeight="1">
      <c r="A720" s="198" t="s">
        <v>7862</v>
      </c>
      <c r="B720" s="198" t="s">
        <v>7870</v>
      </c>
      <c r="C720" s="198" t="s">
        <v>23</v>
      </c>
      <c r="D720" s="198" t="s">
        <v>24</v>
      </c>
      <c r="E720" s="4" t="s">
        <v>44</v>
      </c>
      <c r="F720" s="198" t="s">
        <v>28</v>
      </c>
      <c r="G720" s="198"/>
      <c r="H720" s="198">
        <v>1</v>
      </c>
      <c r="I720" s="19" t="s">
        <v>7872</v>
      </c>
      <c r="J720" s="198" t="s">
        <v>2272</v>
      </c>
      <c r="K720" s="198" t="s">
        <v>2272</v>
      </c>
      <c r="L720" s="198" t="s">
        <v>2272</v>
      </c>
      <c r="M720" s="198" t="s">
        <v>2272</v>
      </c>
      <c r="N720" s="198"/>
    </row>
    <row r="721" spans="1:14" ht="36" customHeight="1">
      <c r="A721" s="11" t="s">
        <v>7884</v>
      </c>
      <c r="B721" s="11" t="s">
        <v>7887</v>
      </c>
      <c r="C721" s="198" t="s">
        <v>23</v>
      </c>
      <c r="D721" s="198" t="s">
        <v>2272</v>
      </c>
      <c r="E721" s="4" t="s">
        <v>135</v>
      </c>
      <c r="F721" s="4" t="s">
        <v>2657</v>
      </c>
      <c r="G721" s="198"/>
      <c r="H721" s="198" t="s">
        <v>2272</v>
      </c>
      <c r="I721" s="198" t="s">
        <v>2272</v>
      </c>
      <c r="J721" s="198">
        <v>0</v>
      </c>
      <c r="K721" s="11" t="s">
        <v>7893</v>
      </c>
      <c r="L721" s="198" t="s">
        <v>2272</v>
      </c>
      <c r="M721" s="198" t="s">
        <v>2272</v>
      </c>
      <c r="N721" s="198"/>
    </row>
    <row r="722" spans="1:14" ht="37" customHeight="1">
      <c r="A722" s="11" t="s">
        <v>7896</v>
      </c>
      <c r="B722" s="11" t="s">
        <v>7907</v>
      </c>
      <c r="C722" s="151" t="s">
        <v>23</v>
      </c>
      <c r="D722" s="151" t="s">
        <v>142</v>
      </c>
      <c r="E722" s="151" t="s">
        <v>135</v>
      </c>
      <c r="F722" s="151" t="s">
        <v>2657</v>
      </c>
      <c r="G722" s="198"/>
      <c r="H722" s="198" t="s">
        <v>2272</v>
      </c>
      <c r="I722" s="198" t="s">
        <v>2272</v>
      </c>
      <c r="J722" s="198">
        <v>2</v>
      </c>
      <c r="K722" s="198" t="s">
        <v>7916</v>
      </c>
      <c r="L722" s="198" t="s">
        <v>2272</v>
      </c>
      <c r="M722" s="198" t="s">
        <v>2272</v>
      </c>
      <c r="N722" s="198"/>
    </row>
    <row r="723" spans="1:14" ht="37" customHeight="1">
      <c r="A723" s="198" t="s">
        <v>7899</v>
      </c>
      <c r="B723" s="198" t="s">
        <v>7908</v>
      </c>
      <c r="C723" s="151" t="s">
        <v>23</v>
      </c>
      <c r="D723" s="151" t="s">
        <v>142</v>
      </c>
      <c r="E723" s="151" t="s">
        <v>135</v>
      </c>
      <c r="F723" s="151" t="s">
        <v>2657</v>
      </c>
      <c r="G723" s="198"/>
      <c r="H723" s="198" t="s">
        <v>2272</v>
      </c>
      <c r="I723" s="198" t="s">
        <v>2272</v>
      </c>
      <c r="J723" s="198">
        <v>2</v>
      </c>
      <c r="K723" s="198" t="s">
        <v>7916</v>
      </c>
      <c r="L723" s="198" t="s">
        <v>2272</v>
      </c>
      <c r="M723" s="198" t="s">
        <v>2272</v>
      </c>
      <c r="N723" s="198"/>
    </row>
    <row r="724" spans="1:14" ht="37" customHeight="1">
      <c r="A724" s="198" t="s">
        <v>7900</v>
      </c>
      <c r="B724" s="198" t="s">
        <v>7909</v>
      </c>
      <c r="C724" s="151" t="s">
        <v>23</v>
      </c>
      <c r="D724" s="151" t="s">
        <v>142</v>
      </c>
      <c r="E724" s="151" t="s">
        <v>135</v>
      </c>
      <c r="F724" s="151" t="s">
        <v>2657</v>
      </c>
      <c r="G724" s="198"/>
      <c r="H724" s="198" t="s">
        <v>2272</v>
      </c>
      <c r="I724" s="198" t="s">
        <v>2272</v>
      </c>
      <c r="J724" s="198">
        <v>2</v>
      </c>
      <c r="K724" s="198" t="s">
        <v>7916</v>
      </c>
      <c r="L724" s="198" t="s">
        <v>2272</v>
      </c>
      <c r="M724" s="198" t="s">
        <v>2272</v>
      </c>
      <c r="N724" s="198"/>
    </row>
    <row r="725" spans="1:14" ht="37" customHeight="1">
      <c r="A725" s="198" t="s">
        <v>7901</v>
      </c>
      <c r="B725" s="198" t="s">
        <v>7910</v>
      </c>
      <c r="C725" s="151" t="s">
        <v>23</v>
      </c>
      <c r="D725" s="151" t="s">
        <v>142</v>
      </c>
      <c r="E725" s="151" t="s">
        <v>135</v>
      </c>
      <c r="F725" s="151" t="s">
        <v>2657</v>
      </c>
      <c r="G725" s="198"/>
      <c r="H725" s="198" t="s">
        <v>2272</v>
      </c>
      <c r="I725" s="198" t="s">
        <v>2272</v>
      </c>
      <c r="J725" s="198">
        <v>2</v>
      </c>
      <c r="K725" s="198" t="s">
        <v>7916</v>
      </c>
      <c r="L725" s="198" t="s">
        <v>2272</v>
      </c>
      <c r="M725" s="198" t="s">
        <v>2272</v>
      </c>
      <c r="N725" s="198"/>
    </row>
    <row r="726" spans="1:14" ht="37" customHeight="1">
      <c r="A726" s="198" t="s">
        <v>7902</v>
      </c>
      <c r="B726" s="198" t="s">
        <v>7911</v>
      </c>
      <c r="C726" s="151" t="s">
        <v>23</v>
      </c>
      <c r="D726" s="151" t="s">
        <v>24</v>
      </c>
      <c r="E726" s="151" t="s">
        <v>2642</v>
      </c>
      <c r="F726" s="151" t="s">
        <v>28</v>
      </c>
      <c r="G726" s="198"/>
      <c r="H726" s="198" t="s">
        <v>2272</v>
      </c>
      <c r="I726" s="198" t="s">
        <v>2272</v>
      </c>
      <c r="J726" s="198">
        <v>2</v>
      </c>
      <c r="K726" s="198" t="s">
        <v>7917</v>
      </c>
      <c r="L726" s="198" t="s">
        <v>2272</v>
      </c>
      <c r="M726" s="198" t="s">
        <v>2272</v>
      </c>
      <c r="N726" s="198"/>
    </row>
    <row r="727" spans="1:14" ht="37" customHeight="1">
      <c r="A727" s="198" t="s">
        <v>7903</v>
      </c>
      <c r="B727" s="198" t="s">
        <v>7912</v>
      </c>
      <c r="C727" s="151" t="s">
        <v>23</v>
      </c>
      <c r="D727" s="151" t="s">
        <v>24</v>
      </c>
      <c r="E727" s="151" t="s">
        <v>2642</v>
      </c>
      <c r="F727" s="151" t="s">
        <v>28</v>
      </c>
      <c r="G727" s="198"/>
      <c r="H727" s="198" t="s">
        <v>2272</v>
      </c>
      <c r="I727" s="198" t="s">
        <v>2272</v>
      </c>
      <c r="J727" s="198">
        <v>2</v>
      </c>
      <c r="K727" s="198" t="s">
        <v>7917</v>
      </c>
      <c r="L727" s="198" t="s">
        <v>2272</v>
      </c>
      <c r="M727" s="198" t="s">
        <v>2272</v>
      </c>
      <c r="N727" s="198"/>
    </row>
    <row r="728" spans="1:14" ht="37" customHeight="1">
      <c r="A728" s="198" t="s">
        <v>7904</v>
      </c>
      <c r="B728" s="198" t="s">
        <v>7913</v>
      </c>
      <c r="C728" s="151" t="s">
        <v>23</v>
      </c>
      <c r="D728" s="151" t="s">
        <v>24</v>
      </c>
      <c r="E728" s="151" t="s">
        <v>2642</v>
      </c>
      <c r="F728" s="151" t="s">
        <v>28</v>
      </c>
      <c r="G728" s="198"/>
      <c r="H728" s="198" t="s">
        <v>2272</v>
      </c>
      <c r="I728" s="198" t="s">
        <v>2272</v>
      </c>
      <c r="J728" s="198">
        <v>2</v>
      </c>
      <c r="K728" s="198" t="s">
        <v>7917</v>
      </c>
      <c r="L728" s="198" t="s">
        <v>2272</v>
      </c>
      <c r="M728" s="198" t="s">
        <v>2272</v>
      </c>
      <c r="N728" s="198"/>
    </row>
    <row r="729" spans="1:14" ht="37" customHeight="1">
      <c r="A729" s="198" t="s">
        <v>7905</v>
      </c>
      <c r="B729" s="198" t="s">
        <v>7914</v>
      </c>
      <c r="C729" s="151" t="s">
        <v>23</v>
      </c>
      <c r="D729" s="198" t="s">
        <v>2272</v>
      </c>
      <c r="E729" s="147" t="s">
        <v>5000</v>
      </c>
      <c r="F729" s="147" t="s">
        <v>2657</v>
      </c>
      <c r="G729" s="198"/>
      <c r="H729" s="198" t="s">
        <v>2272</v>
      </c>
      <c r="I729" s="198" t="s">
        <v>2272</v>
      </c>
      <c r="J729" s="198">
        <v>2</v>
      </c>
      <c r="K729" s="198" t="s">
        <v>7918</v>
      </c>
      <c r="L729" s="198" t="s">
        <v>2272</v>
      </c>
      <c r="M729" s="198" t="s">
        <v>2272</v>
      </c>
      <c r="N729" s="198"/>
    </row>
    <row r="730" spans="1:14" ht="32" customHeight="1">
      <c r="A730" s="4" t="s">
        <v>7929</v>
      </c>
      <c r="B730" s="19" t="s">
        <v>7952</v>
      </c>
      <c r="C730" s="4" t="s">
        <v>1102</v>
      </c>
      <c r="D730" s="4" t="s">
        <v>1102</v>
      </c>
      <c r="E730" s="4" t="s">
        <v>5795</v>
      </c>
      <c r="F730" s="4" t="s">
        <v>2657</v>
      </c>
      <c r="G730" s="4"/>
      <c r="H730" s="198" t="s">
        <v>2272</v>
      </c>
      <c r="I730" s="198" t="s">
        <v>2272</v>
      </c>
      <c r="J730" s="198">
        <v>0</v>
      </c>
      <c r="K730" s="11" t="s">
        <v>5795</v>
      </c>
      <c r="L730" s="198" t="s">
        <v>2272</v>
      </c>
      <c r="M730" s="198" t="s">
        <v>2272</v>
      </c>
      <c r="N730" s="198"/>
    </row>
    <row r="731" spans="1:14" ht="32" customHeight="1">
      <c r="A731" s="4" t="s">
        <v>7929</v>
      </c>
      <c r="B731" s="19" t="s">
        <v>7953</v>
      </c>
      <c r="C731" s="4" t="s">
        <v>1102</v>
      </c>
      <c r="D731" s="4" t="s">
        <v>1102</v>
      </c>
      <c r="E731" s="4" t="s">
        <v>5795</v>
      </c>
      <c r="F731" s="4" t="s">
        <v>2657</v>
      </c>
      <c r="G731" s="4"/>
      <c r="H731" s="198" t="s">
        <v>2272</v>
      </c>
      <c r="I731" s="198" t="s">
        <v>2272</v>
      </c>
      <c r="J731" s="198">
        <v>0</v>
      </c>
      <c r="K731" s="11" t="s">
        <v>5795</v>
      </c>
      <c r="L731" s="198" t="s">
        <v>2272</v>
      </c>
      <c r="M731" s="198" t="s">
        <v>2272</v>
      </c>
      <c r="N731" s="198"/>
    </row>
    <row r="732" spans="1:14" ht="32" customHeight="1">
      <c r="A732" s="4" t="s">
        <v>7929</v>
      </c>
      <c r="B732" s="19" t="s">
        <v>7954</v>
      </c>
      <c r="C732" s="4" t="s">
        <v>1102</v>
      </c>
      <c r="D732" s="4" t="s">
        <v>1102</v>
      </c>
      <c r="E732" s="4" t="s">
        <v>5795</v>
      </c>
      <c r="F732" s="4" t="s">
        <v>2657</v>
      </c>
      <c r="G732" s="4"/>
      <c r="H732" s="198" t="s">
        <v>2272</v>
      </c>
      <c r="I732" s="198" t="s">
        <v>2272</v>
      </c>
      <c r="J732" s="198">
        <v>0</v>
      </c>
      <c r="K732" s="11" t="s">
        <v>5795</v>
      </c>
      <c r="L732" s="198" t="s">
        <v>2272</v>
      </c>
      <c r="M732" s="198" t="s">
        <v>2272</v>
      </c>
      <c r="N732" s="198"/>
    </row>
    <row r="733" spans="1:14" ht="32" customHeight="1">
      <c r="A733" s="4" t="s">
        <v>7929</v>
      </c>
      <c r="B733" s="19" t="s">
        <v>7955</v>
      </c>
      <c r="C733" s="4" t="s">
        <v>1102</v>
      </c>
      <c r="D733" s="4" t="s">
        <v>1102</v>
      </c>
      <c r="E733" s="4" t="s">
        <v>5795</v>
      </c>
      <c r="F733" s="4" t="s">
        <v>2657</v>
      </c>
      <c r="G733" s="4"/>
      <c r="H733" s="198" t="s">
        <v>2272</v>
      </c>
      <c r="I733" s="198" t="s">
        <v>2272</v>
      </c>
      <c r="J733" s="198">
        <v>0</v>
      </c>
      <c r="K733" s="11" t="s">
        <v>5795</v>
      </c>
      <c r="L733" s="198" t="s">
        <v>2272</v>
      </c>
      <c r="M733" s="198" t="s">
        <v>2272</v>
      </c>
      <c r="N733" s="198"/>
    </row>
    <row r="734" spans="1:14" ht="32" customHeight="1">
      <c r="A734" s="4" t="s">
        <v>7929</v>
      </c>
      <c r="B734" s="19" t="s">
        <v>7956</v>
      </c>
      <c r="C734" s="4" t="s">
        <v>1102</v>
      </c>
      <c r="D734" s="4" t="s">
        <v>1102</v>
      </c>
      <c r="E734" s="4" t="s">
        <v>5795</v>
      </c>
      <c r="F734" s="4" t="s">
        <v>2657</v>
      </c>
      <c r="G734" s="4"/>
      <c r="H734" s="198" t="s">
        <v>2272</v>
      </c>
      <c r="I734" s="198" t="s">
        <v>2272</v>
      </c>
      <c r="J734" s="198">
        <v>0</v>
      </c>
      <c r="K734" s="11" t="s">
        <v>5795</v>
      </c>
      <c r="L734" s="198" t="s">
        <v>2272</v>
      </c>
      <c r="M734" s="198" t="s">
        <v>2272</v>
      </c>
      <c r="N734" s="198"/>
    </row>
    <row r="735" spans="1:14" ht="28" customHeight="1">
      <c r="A735" s="198" t="s">
        <v>7965</v>
      </c>
      <c r="B735" s="19" t="s">
        <v>7972</v>
      </c>
      <c r="C735" s="198" t="s">
        <v>1102</v>
      </c>
      <c r="D735" s="198" t="s">
        <v>1102</v>
      </c>
      <c r="E735" s="4" t="s">
        <v>5795</v>
      </c>
      <c r="F735" s="198" t="s">
        <v>54</v>
      </c>
      <c r="G735" s="198"/>
      <c r="H735" s="198" t="s">
        <v>2272</v>
      </c>
      <c r="I735" s="198" t="s">
        <v>2272</v>
      </c>
      <c r="J735" s="198">
        <v>2</v>
      </c>
      <c r="K735" s="11" t="s">
        <v>7976</v>
      </c>
      <c r="L735" s="198" t="s">
        <v>2272</v>
      </c>
      <c r="M735" s="198" t="s">
        <v>2272</v>
      </c>
      <c r="N735" s="198"/>
    </row>
    <row r="736" spans="1:14" ht="25.5" customHeight="1">
      <c r="A736" s="19" t="s">
        <v>7966</v>
      </c>
      <c r="B736" s="19" t="s">
        <v>7969</v>
      </c>
      <c r="C736" s="198" t="s">
        <v>1102</v>
      </c>
      <c r="D736" s="198" t="s">
        <v>1102</v>
      </c>
      <c r="E736" s="4" t="s">
        <v>5795</v>
      </c>
      <c r="F736" s="198" t="s">
        <v>54</v>
      </c>
      <c r="G736" s="198"/>
      <c r="H736" s="198" t="s">
        <v>2272</v>
      </c>
      <c r="I736" s="198" t="s">
        <v>2272</v>
      </c>
      <c r="J736" s="198">
        <v>2</v>
      </c>
      <c r="K736" s="11" t="s">
        <v>7976</v>
      </c>
      <c r="L736" s="198" t="s">
        <v>2272</v>
      </c>
      <c r="M736" s="198" t="s">
        <v>2272</v>
      </c>
      <c r="N736" s="198"/>
    </row>
    <row r="737" spans="1:14" ht="29">
      <c r="A737" s="19" t="s">
        <v>7966</v>
      </c>
      <c r="B737" s="19" t="s">
        <v>7970</v>
      </c>
      <c r="C737" s="198" t="s">
        <v>1102</v>
      </c>
      <c r="D737" s="198" t="s">
        <v>1102</v>
      </c>
      <c r="E737" s="4" t="s">
        <v>5795</v>
      </c>
      <c r="F737" s="198" t="s">
        <v>54</v>
      </c>
      <c r="G737" s="198"/>
      <c r="H737" s="198" t="s">
        <v>2272</v>
      </c>
      <c r="I737" s="198" t="s">
        <v>2272</v>
      </c>
      <c r="J737" s="198">
        <v>0</v>
      </c>
      <c r="K737" s="11" t="s">
        <v>5795</v>
      </c>
      <c r="L737" s="198" t="s">
        <v>2272</v>
      </c>
      <c r="M737" s="198" t="s">
        <v>2272</v>
      </c>
      <c r="N737" s="198"/>
    </row>
    <row r="738" spans="1:14" ht="32.5" customHeight="1">
      <c r="A738" s="19" t="s">
        <v>8002</v>
      </c>
      <c r="B738" s="19" t="s">
        <v>8004</v>
      </c>
      <c r="C738" s="198" t="s">
        <v>1102</v>
      </c>
      <c r="D738" s="198" t="s">
        <v>1102</v>
      </c>
      <c r="E738" s="4" t="s">
        <v>5795</v>
      </c>
      <c r="F738" s="4" t="s">
        <v>2657</v>
      </c>
      <c r="G738" s="198"/>
      <c r="H738" s="198" t="s">
        <v>2272</v>
      </c>
      <c r="I738" s="198" t="s">
        <v>2272</v>
      </c>
      <c r="J738" s="198">
        <v>0</v>
      </c>
      <c r="K738" s="11" t="s">
        <v>5795</v>
      </c>
      <c r="L738" s="198" t="s">
        <v>2272</v>
      </c>
      <c r="M738" s="198" t="s">
        <v>2272</v>
      </c>
      <c r="N738" s="198"/>
    </row>
    <row r="739" spans="1:14" ht="30.5" customHeight="1">
      <c r="A739" s="19" t="s">
        <v>8008</v>
      </c>
      <c r="B739" s="19" t="s">
        <v>8012</v>
      </c>
      <c r="C739" s="198" t="s">
        <v>1102</v>
      </c>
      <c r="D739" s="198" t="s">
        <v>1102</v>
      </c>
      <c r="E739" s="4" t="s">
        <v>135</v>
      </c>
      <c r="F739" s="4" t="s">
        <v>2657</v>
      </c>
      <c r="G739" s="198"/>
      <c r="H739" s="198" t="s">
        <v>2272</v>
      </c>
      <c r="I739" s="198" t="s">
        <v>2272</v>
      </c>
      <c r="J739" s="198">
        <v>0</v>
      </c>
      <c r="K739" s="11" t="s">
        <v>8015</v>
      </c>
      <c r="L739" s="198" t="s">
        <v>2272</v>
      </c>
      <c r="M739" s="198" t="s">
        <v>2272</v>
      </c>
      <c r="N739" s="198"/>
    </row>
    <row r="740" spans="1:14" ht="31" customHeight="1">
      <c r="A740" s="19" t="s">
        <v>8009</v>
      </c>
      <c r="B740" s="19" t="s">
        <v>8013</v>
      </c>
      <c r="C740" s="198" t="s">
        <v>1102</v>
      </c>
      <c r="D740" s="198" t="s">
        <v>1102</v>
      </c>
      <c r="E740" s="4" t="s">
        <v>44</v>
      </c>
      <c r="F740" s="4" t="s">
        <v>2657</v>
      </c>
      <c r="G740" s="198"/>
      <c r="H740" s="198" t="s">
        <v>2272</v>
      </c>
      <c r="I740" s="198" t="s">
        <v>2272</v>
      </c>
      <c r="J740" s="198">
        <v>2</v>
      </c>
      <c r="K740" s="198" t="s">
        <v>8014</v>
      </c>
      <c r="L740" s="198" t="s">
        <v>2272</v>
      </c>
      <c r="M740" s="198" t="s">
        <v>2272</v>
      </c>
      <c r="N740" s="198"/>
    </row>
    <row r="741" spans="1:14" ht="33.5" customHeight="1">
      <c r="A741" s="4" t="s">
        <v>8019</v>
      </c>
      <c r="B741" s="4" t="s">
        <v>8022</v>
      </c>
      <c r="C741" s="4" t="s">
        <v>23</v>
      </c>
      <c r="D741" s="4" t="s">
        <v>1241</v>
      </c>
      <c r="E741" s="4" t="s">
        <v>114</v>
      </c>
      <c r="F741" s="4" t="s">
        <v>2657</v>
      </c>
      <c r="G741" s="198"/>
      <c r="H741" s="198">
        <v>2</v>
      </c>
      <c r="I741" s="198" t="s">
        <v>8024</v>
      </c>
      <c r="J741" s="198" t="s">
        <v>2272</v>
      </c>
      <c r="K741" s="198" t="s">
        <v>2272</v>
      </c>
      <c r="L741" s="198" t="s">
        <v>2272</v>
      </c>
      <c r="M741" s="198" t="s">
        <v>2272</v>
      </c>
      <c r="N741" s="198"/>
    </row>
    <row r="742" spans="1:14" ht="29.5" customHeight="1">
      <c r="A742" s="19" t="s">
        <v>8027</v>
      </c>
      <c r="B742" s="19" t="s">
        <v>8030</v>
      </c>
      <c r="C742" s="198" t="s">
        <v>1102</v>
      </c>
      <c r="D742" s="198" t="s">
        <v>1102</v>
      </c>
      <c r="E742" s="4" t="s">
        <v>3204</v>
      </c>
      <c r="F742" s="198" t="s">
        <v>54</v>
      </c>
      <c r="G742" s="198"/>
      <c r="H742" s="198"/>
      <c r="I742" s="198"/>
      <c r="J742" s="198"/>
      <c r="K742" s="198"/>
      <c r="L742" s="198">
        <v>3</v>
      </c>
      <c r="M742" s="198" t="s">
        <v>8035</v>
      </c>
      <c r="N742" s="198"/>
    </row>
    <row r="743" spans="1:14" ht="100" customHeight="1">
      <c r="A743" s="19" t="s">
        <v>8027</v>
      </c>
      <c r="B743" s="19" t="s">
        <v>8033</v>
      </c>
      <c r="C743" s="198" t="s">
        <v>1102</v>
      </c>
      <c r="D743" s="198" t="s">
        <v>1102</v>
      </c>
      <c r="E743" s="4" t="s">
        <v>3204</v>
      </c>
      <c r="F743" s="198" t="s">
        <v>73</v>
      </c>
      <c r="G743" s="198"/>
      <c r="H743" s="198" t="s">
        <v>2272</v>
      </c>
      <c r="I743" s="198" t="s">
        <v>2272</v>
      </c>
      <c r="J743" s="198" t="s">
        <v>2272</v>
      </c>
      <c r="K743" s="198" t="s">
        <v>2272</v>
      </c>
      <c r="L743" s="198">
        <v>1</v>
      </c>
      <c r="M743" s="4" t="s">
        <v>8036</v>
      </c>
      <c r="N743" s="198"/>
    </row>
    <row r="744" spans="1:14" ht="29.5" customHeight="1">
      <c r="A744" s="19" t="s">
        <v>8029</v>
      </c>
      <c r="B744" s="19" t="s">
        <v>8031</v>
      </c>
      <c r="C744" s="198" t="s">
        <v>1102</v>
      </c>
      <c r="D744" s="198" t="s">
        <v>1102</v>
      </c>
      <c r="E744" s="4" t="s">
        <v>3204</v>
      </c>
      <c r="F744" s="198" t="s">
        <v>54</v>
      </c>
      <c r="G744" s="198"/>
      <c r="H744" s="198" t="s">
        <v>2272</v>
      </c>
      <c r="I744" s="198" t="s">
        <v>2272</v>
      </c>
      <c r="J744" s="198" t="s">
        <v>2272</v>
      </c>
      <c r="K744" s="198" t="s">
        <v>2272</v>
      </c>
      <c r="L744" s="198">
        <v>3</v>
      </c>
      <c r="M744" s="198"/>
      <c r="N744" s="198"/>
    </row>
    <row r="745" spans="1:14" ht="93.5" customHeight="1">
      <c r="A745" s="19" t="s">
        <v>8029</v>
      </c>
      <c r="B745" s="19" t="s">
        <v>8034</v>
      </c>
      <c r="C745" s="198" t="s">
        <v>1102</v>
      </c>
      <c r="D745" s="198" t="s">
        <v>1102</v>
      </c>
      <c r="E745" s="4" t="s">
        <v>3204</v>
      </c>
      <c r="F745" s="198" t="s">
        <v>73</v>
      </c>
      <c r="G745" s="198"/>
      <c r="H745" s="198" t="s">
        <v>2272</v>
      </c>
      <c r="I745" s="198" t="s">
        <v>2272</v>
      </c>
      <c r="J745" s="198" t="s">
        <v>2272</v>
      </c>
      <c r="K745" s="198" t="s">
        <v>2272</v>
      </c>
      <c r="L745" s="198">
        <v>1</v>
      </c>
      <c r="M745" s="4" t="s">
        <v>8036</v>
      </c>
      <c r="N745" s="198"/>
    </row>
    <row r="746" spans="1:14" ht="28.5" customHeight="1">
      <c r="A746" s="19" t="s">
        <v>8027</v>
      </c>
      <c r="B746" s="19" t="s">
        <v>8038</v>
      </c>
      <c r="C746" s="198" t="s">
        <v>23</v>
      </c>
      <c r="D746" s="198" t="s">
        <v>2799</v>
      </c>
      <c r="E746" s="4" t="s">
        <v>2642</v>
      </c>
      <c r="F746" s="4" t="s">
        <v>2657</v>
      </c>
      <c r="G746" s="198"/>
      <c r="H746" s="198">
        <v>2</v>
      </c>
      <c r="I746" s="11" t="s">
        <v>8042</v>
      </c>
      <c r="J746" s="198" t="s">
        <v>2272</v>
      </c>
      <c r="K746" s="198" t="s">
        <v>2272</v>
      </c>
      <c r="L746" s="198" t="s">
        <v>2272</v>
      </c>
      <c r="M746" s="198" t="s">
        <v>2272</v>
      </c>
      <c r="N746" s="198"/>
    </row>
    <row r="747" spans="1:14" ht="28.5" customHeight="1">
      <c r="A747" s="19" t="s">
        <v>8029</v>
      </c>
      <c r="B747" s="19" t="s">
        <v>8039</v>
      </c>
      <c r="C747" s="198" t="s">
        <v>23</v>
      </c>
      <c r="D747" s="198" t="s">
        <v>2799</v>
      </c>
      <c r="E747" s="4" t="s">
        <v>2642</v>
      </c>
      <c r="F747" s="4" t="s">
        <v>2657</v>
      </c>
      <c r="G747" s="198"/>
      <c r="H747" s="198">
        <v>2</v>
      </c>
      <c r="I747" s="11" t="s">
        <v>8042</v>
      </c>
      <c r="J747" s="198" t="s">
        <v>2272</v>
      </c>
      <c r="K747" s="198" t="s">
        <v>2272</v>
      </c>
      <c r="L747" s="198" t="s">
        <v>2272</v>
      </c>
      <c r="M747" s="198" t="s">
        <v>2272</v>
      </c>
      <c r="N747" s="198"/>
    </row>
    <row r="748" spans="1:14" ht="28.5" customHeight="1">
      <c r="A748" s="19" t="s">
        <v>8027</v>
      </c>
      <c r="B748" s="19" t="s">
        <v>8040</v>
      </c>
      <c r="C748" s="198" t="s">
        <v>23</v>
      </c>
      <c r="D748" s="198" t="s">
        <v>2799</v>
      </c>
      <c r="E748" s="4" t="s">
        <v>44</v>
      </c>
      <c r="F748" s="4" t="s">
        <v>2657</v>
      </c>
      <c r="G748" s="198"/>
      <c r="H748" s="198">
        <v>2</v>
      </c>
      <c r="I748" s="11" t="s">
        <v>8042</v>
      </c>
      <c r="J748" s="198" t="s">
        <v>2272</v>
      </c>
      <c r="K748" s="198" t="s">
        <v>2272</v>
      </c>
      <c r="L748" s="198" t="s">
        <v>2272</v>
      </c>
      <c r="M748" s="198" t="s">
        <v>2272</v>
      </c>
      <c r="N748" s="198"/>
    </row>
    <row r="749" spans="1:14" ht="28.5" customHeight="1">
      <c r="A749" s="19" t="s">
        <v>8029</v>
      </c>
      <c r="B749" s="19" t="s">
        <v>8041</v>
      </c>
      <c r="C749" s="198" t="s">
        <v>23</v>
      </c>
      <c r="D749" s="198" t="s">
        <v>2799</v>
      </c>
      <c r="E749" s="4" t="s">
        <v>44</v>
      </c>
      <c r="F749" s="4" t="s">
        <v>2657</v>
      </c>
      <c r="G749" s="198"/>
      <c r="H749" s="198">
        <v>2</v>
      </c>
      <c r="I749" s="11" t="s">
        <v>8042</v>
      </c>
      <c r="J749" s="198" t="s">
        <v>2272</v>
      </c>
      <c r="K749" s="198" t="s">
        <v>2272</v>
      </c>
      <c r="L749" s="198" t="s">
        <v>2272</v>
      </c>
      <c r="M749" s="198" t="s">
        <v>2272</v>
      </c>
      <c r="N749" s="198"/>
    </row>
    <row r="750" spans="1:14" ht="33" customHeight="1">
      <c r="A750" s="19" t="s">
        <v>8093</v>
      </c>
      <c r="B750" s="19" t="s">
        <v>8097</v>
      </c>
      <c r="C750" s="198" t="s">
        <v>23</v>
      </c>
      <c r="D750" s="198" t="s">
        <v>2799</v>
      </c>
      <c r="E750" s="4" t="s">
        <v>44</v>
      </c>
      <c r="F750" s="4" t="s">
        <v>2657</v>
      </c>
      <c r="G750" s="198"/>
      <c r="H750" s="198">
        <v>0</v>
      </c>
      <c r="I750" s="4" t="s">
        <v>8100</v>
      </c>
      <c r="J750" s="198" t="s">
        <v>2272</v>
      </c>
      <c r="K750" s="198" t="s">
        <v>2272</v>
      </c>
      <c r="L750" s="198" t="s">
        <v>2272</v>
      </c>
      <c r="M750" s="198" t="s">
        <v>2272</v>
      </c>
      <c r="N750" s="198"/>
    </row>
    <row r="751" spans="1:14" ht="32" customHeight="1">
      <c r="A751" s="52" t="s">
        <v>8147</v>
      </c>
      <c r="B751" s="52" t="s">
        <v>8149</v>
      </c>
      <c r="C751" s="35" t="s">
        <v>23</v>
      </c>
      <c r="D751" s="35" t="s">
        <v>1241</v>
      </c>
      <c r="E751" s="163" t="s">
        <v>114</v>
      </c>
      <c r="F751" s="163" t="s">
        <v>2657</v>
      </c>
      <c r="G751" s="35"/>
      <c r="H751" s="35">
        <v>2</v>
      </c>
      <c r="I751" s="34" t="s">
        <v>8152</v>
      </c>
      <c r="J751" s="35">
        <v>2</v>
      </c>
      <c r="K751" s="34" t="s">
        <v>8153</v>
      </c>
      <c r="L751" s="35" t="s">
        <v>2272</v>
      </c>
      <c r="M751" s="35" t="s">
        <v>2272</v>
      </c>
      <c r="N751" s="198"/>
    </row>
    <row r="752" spans="1:14" ht="37.5" customHeight="1">
      <c r="A752" s="19" t="s">
        <v>8156</v>
      </c>
      <c r="B752" s="19" t="s">
        <v>8160</v>
      </c>
      <c r="C752" s="4" t="s">
        <v>23</v>
      </c>
      <c r="D752" s="4" t="s">
        <v>1238</v>
      </c>
      <c r="E752" s="4" t="s">
        <v>114</v>
      </c>
      <c r="F752" s="4" t="s">
        <v>2657</v>
      </c>
      <c r="G752" s="4"/>
      <c r="H752" s="198" t="s">
        <v>2272</v>
      </c>
      <c r="I752" s="198" t="s">
        <v>2272</v>
      </c>
      <c r="J752" s="198">
        <v>2</v>
      </c>
      <c r="K752" s="11" t="s">
        <v>8153</v>
      </c>
      <c r="L752" s="198" t="s">
        <v>2272</v>
      </c>
      <c r="M752" s="198" t="s">
        <v>2272</v>
      </c>
      <c r="N752" s="198"/>
    </row>
    <row r="753" spans="1:14" ht="37.5" customHeight="1">
      <c r="A753" s="4" t="s">
        <v>8156</v>
      </c>
      <c r="B753" s="4" t="s">
        <v>8161</v>
      </c>
      <c r="C753" s="4" t="s">
        <v>23</v>
      </c>
      <c r="D753" s="4" t="s">
        <v>1238</v>
      </c>
      <c r="E753" s="4" t="s">
        <v>128</v>
      </c>
      <c r="F753" s="4" t="s">
        <v>27</v>
      </c>
      <c r="G753" s="4"/>
      <c r="H753" s="198" t="s">
        <v>2272</v>
      </c>
      <c r="I753" s="198" t="s">
        <v>2272</v>
      </c>
      <c r="J753" s="198">
        <v>1</v>
      </c>
      <c r="K753" s="11" t="s">
        <v>8177</v>
      </c>
      <c r="L753" s="198" t="s">
        <v>2272</v>
      </c>
      <c r="M753" s="198" t="s">
        <v>2272</v>
      </c>
      <c r="N753" s="198"/>
    </row>
    <row r="754" spans="1:14" ht="33.5" customHeight="1">
      <c r="A754" s="19" t="s">
        <v>8180</v>
      </c>
      <c r="B754" s="19" t="s">
        <v>8183</v>
      </c>
      <c r="C754" s="4" t="s">
        <v>23</v>
      </c>
      <c r="D754" s="198" t="s">
        <v>1238</v>
      </c>
      <c r="E754" s="4" t="s">
        <v>135</v>
      </c>
      <c r="F754" s="4" t="s">
        <v>2657</v>
      </c>
      <c r="G754" s="198"/>
      <c r="H754" s="198" t="s">
        <v>2272</v>
      </c>
      <c r="I754" s="198" t="s">
        <v>2272</v>
      </c>
      <c r="J754" s="198">
        <v>2</v>
      </c>
      <c r="K754" s="198" t="s">
        <v>8187</v>
      </c>
      <c r="L754" s="198" t="s">
        <v>2272</v>
      </c>
      <c r="M754" s="198" t="s">
        <v>2272</v>
      </c>
      <c r="N754" s="198"/>
    </row>
    <row r="755" spans="1:14" ht="38" customHeight="1">
      <c r="A755" s="19" t="s">
        <v>8243</v>
      </c>
      <c r="B755" s="19" t="s">
        <v>8245</v>
      </c>
      <c r="C755" s="4" t="s">
        <v>23</v>
      </c>
      <c r="D755" s="198" t="s">
        <v>1238</v>
      </c>
      <c r="E755" s="4" t="s">
        <v>114</v>
      </c>
      <c r="F755" s="4" t="s">
        <v>2657</v>
      </c>
      <c r="G755" s="198"/>
      <c r="H755" s="198">
        <v>2</v>
      </c>
      <c r="I755" s="11" t="s">
        <v>8255</v>
      </c>
      <c r="J755" s="198">
        <v>2</v>
      </c>
      <c r="K755" s="11" t="s">
        <v>8256</v>
      </c>
      <c r="L755" s="198" t="s">
        <v>2272</v>
      </c>
      <c r="M755" s="198" t="s">
        <v>2272</v>
      </c>
      <c r="N755" s="198"/>
    </row>
    <row r="756" spans="1:14" ht="33" customHeight="1">
      <c r="A756" s="19" t="s">
        <v>8257</v>
      </c>
      <c r="B756" s="19" t="s">
        <v>8261</v>
      </c>
      <c r="C756" s="4" t="s">
        <v>23</v>
      </c>
      <c r="D756" s="198" t="s">
        <v>1102</v>
      </c>
      <c r="E756" s="4" t="s">
        <v>114</v>
      </c>
      <c r="F756" s="198" t="s">
        <v>73</v>
      </c>
      <c r="G756" s="198"/>
      <c r="H756" s="198">
        <v>2</v>
      </c>
      <c r="I756" s="4" t="s">
        <v>8265</v>
      </c>
      <c r="J756" s="198" t="s">
        <v>2272</v>
      </c>
      <c r="K756" s="198" t="s">
        <v>2272</v>
      </c>
      <c r="L756" s="198">
        <v>1</v>
      </c>
      <c r="M756" s="4" t="s">
        <v>8264</v>
      </c>
      <c r="N756" s="198"/>
    </row>
    <row r="757" spans="1:14" ht="35.5" customHeight="1">
      <c r="A757" s="19" t="s">
        <v>8257</v>
      </c>
      <c r="B757" s="19" t="s">
        <v>8262</v>
      </c>
      <c r="C757" s="198" t="s">
        <v>1102</v>
      </c>
      <c r="D757" s="198" t="s">
        <v>1102</v>
      </c>
      <c r="E757" s="4" t="s">
        <v>3204</v>
      </c>
      <c r="F757" s="198" t="s">
        <v>73</v>
      </c>
      <c r="G757" s="198"/>
      <c r="H757" s="198" t="s">
        <v>2272</v>
      </c>
      <c r="I757" s="198" t="s">
        <v>2272</v>
      </c>
      <c r="J757" s="198" t="s">
        <v>2272</v>
      </c>
      <c r="K757" s="198" t="s">
        <v>2272</v>
      </c>
      <c r="L757" s="198">
        <v>3</v>
      </c>
      <c r="M757" s="4" t="s">
        <v>8263</v>
      </c>
      <c r="N757" s="198"/>
    </row>
    <row r="758" spans="1:14" ht="34.5" customHeight="1">
      <c r="A758" s="19" t="s">
        <v>8270</v>
      </c>
      <c r="B758" s="19" t="s">
        <v>8274</v>
      </c>
      <c r="C758" s="4" t="s">
        <v>23</v>
      </c>
      <c r="D758" s="198" t="s">
        <v>1238</v>
      </c>
      <c r="E758" s="4" t="s">
        <v>114</v>
      </c>
      <c r="F758" s="4" t="s">
        <v>2657</v>
      </c>
      <c r="G758" s="198"/>
      <c r="H758" s="198" t="s">
        <v>2272</v>
      </c>
      <c r="I758" s="198" t="s">
        <v>2272</v>
      </c>
      <c r="J758" s="198">
        <v>2</v>
      </c>
      <c r="K758" s="4" t="s">
        <v>8281</v>
      </c>
      <c r="L758" s="198" t="s">
        <v>2272</v>
      </c>
      <c r="M758" s="198" t="s">
        <v>2272</v>
      </c>
      <c r="N758" s="198"/>
    </row>
    <row r="759" spans="1:14" ht="34.5" customHeight="1">
      <c r="A759" s="19" t="s">
        <v>8271</v>
      </c>
      <c r="B759" s="19" t="s">
        <v>8275</v>
      </c>
      <c r="C759" s="4" t="s">
        <v>23</v>
      </c>
      <c r="D759" s="198" t="s">
        <v>1238</v>
      </c>
      <c r="E759" s="4" t="s">
        <v>114</v>
      </c>
      <c r="F759" s="4" t="s">
        <v>2657</v>
      </c>
      <c r="G759" s="198"/>
      <c r="H759" s="198" t="s">
        <v>2272</v>
      </c>
      <c r="I759" s="198" t="s">
        <v>2272</v>
      </c>
      <c r="J759" s="198">
        <v>2</v>
      </c>
      <c r="K759" s="4" t="s">
        <v>8281</v>
      </c>
      <c r="L759" s="198" t="s">
        <v>2272</v>
      </c>
      <c r="M759" s="198" t="s">
        <v>2272</v>
      </c>
      <c r="N759" s="198"/>
    </row>
    <row r="760" spans="1:14" ht="34.5" customHeight="1">
      <c r="A760" s="19" t="s">
        <v>8272</v>
      </c>
      <c r="B760" s="19" t="s">
        <v>8276</v>
      </c>
      <c r="C760" s="4" t="s">
        <v>23</v>
      </c>
      <c r="D760" s="198" t="s">
        <v>1238</v>
      </c>
      <c r="E760" s="4" t="s">
        <v>114</v>
      </c>
      <c r="F760" s="4" t="s">
        <v>2657</v>
      </c>
      <c r="G760" s="198"/>
      <c r="H760" s="198" t="s">
        <v>2272</v>
      </c>
      <c r="I760" s="198" t="s">
        <v>2272</v>
      </c>
      <c r="J760" s="198">
        <v>2</v>
      </c>
      <c r="K760" s="4" t="s">
        <v>8281</v>
      </c>
      <c r="L760" s="198" t="s">
        <v>2272</v>
      </c>
      <c r="M760" s="198" t="s">
        <v>2272</v>
      </c>
      <c r="N760" s="198"/>
    </row>
    <row r="761" spans="1:14" ht="29">
      <c r="A761" s="19" t="s">
        <v>8270</v>
      </c>
      <c r="B761" s="19" t="s">
        <v>8279</v>
      </c>
      <c r="C761" s="4" t="s">
        <v>23</v>
      </c>
      <c r="D761" s="198" t="s">
        <v>1238</v>
      </c>
      <c r="E761" s="4" t="s">
        <v>3204</v>
      </c>
      <c r="F761" s="4" t="s">
        <v>2657</v>
      </c>
      <c r="G761" s="198"/>
      <c r="H761" s="198" t="s">
        <v>2272</v>
      </c>
      <c r="I761" s="198" t="s">
        <v>2272</v>
      </c>
      <c r="J761" s="198">
        <v>2</v>
      </c>
      <c r="K761" s="4" t="s">
        <v>8281</v>
      </c>
      <c r="L761" s="198" t="s">
        <v>2272</v>
      </c>
      <c r="M761" s="198" t="s">
        <v>2272</v>
      </c>
      <c r="N761" s="198"/>
    </row>
    <row r="762" spans="1:14" ht="29">
      <c r="A762" s="19" t="s">
        <v>8271</v>
      </c>
      <c r="B762" s="19" t="s">
        <v>8280</v>
      </c>
      <c r="C762" s="4" t="s">
        <v>23</v>
      </c>
      <c r="D762" s="198" t="s">
        <v>1238</v>
      </c>
      <c r="E762" s="4" t="s">
        <v>3204</v>
      </c>
      <c r="F762" s="4" t="s">
        <v>2657</v>
      </c>
      <c r="G762" s="198"/>
      <c r="H762" s="198" t="s">
        <v>2272</v>
      </c>
      <c r="I762" s="198" t="s">
        <v>2272</v>
      </c>
      <c r="J762" s="198">
        <v>2</v>
      </c>
      <c r="K762" s="4" t="s">
        <v>8281</v>
      </c>
      <c r="L762" s="198" t="s">
        <v>2272</v>
      </c>
      <c r="M762" s="198" t="s">
        <v>2272</v>
      </c>
      <c r="N762" s="198"/>
    </row>
    <row r="763" spans="1:14" ht="29">
      <c r="A763" s="19" t="s">
        <v>8272</v>
      </c>
      <c r="B763" s="19" t="s">
        <v>8277</v>
      </c>
      <c r="C763" s="4" t="s">
        <v>23</v>
      </c>
      <c r="D763" s="198" t="s">
        <v>1238</v>
      </c>
      <c r="E763" s="4" t="s">
        <v>3204</v>
      </c>
      <c r="F763" s="4" t="s">
        <v>2657</v>
      </c>
      <c r="G763" s="198"/>
      <c r="H763" s="198">
        <v>3</v>
      </c>
      <c r="I763" s="11" t="s">
        <v>8282</v>
      </c>
      <c r="J763" s="198">
        <v>2</v>
      </c>
      <c r="K763" s="4" t="s">
        <v>8281</v>
      </c>
      <c r="L763" s="198" t="s">
        <v>2272</v>
      </c>
      <c r="M763" s="198" t="s">
        <v>2272</v>
      </c>
      <c r="N763" s="198"/>
    </row>
    <row r="764" spans="1:14" ht="25.5" customHeight="1">
      <c r="A764" s="19" t="s">
        <v>8285</v>
      </c>
      <c r="B764" s="19" t="s">
        <v>8287</v>
      </c>
      <c r="C764" s="198" t="s">
        <v>1102</v>
      </c>
      <c r="D764" s="198" t="s">
        <v>1102</v>
      </c>
      <c r="E764" s="4" t="s">
        <v>114</v>
      </c>
      <c r="F764" s="4" t="s">
        <v>2657</v>
      </c>
      <c r="G764" s="198"/>
      <c r="H764" s="198">
        <v>1</v>
      </c>
      <c r="I764" s="19" t="s">
        <v>8292</v>
      </c>
      <c r="J764" s="198">
        <v>1</v>
      </c>
      <c r="K764" s="4" t="s">
        <v>8293</v>
      </c>
      <c r="L764" s="198" t="s">
        <v>2272</v>
      </c>
      <c r="M764" s="198" t="s">
        <v>2272</v>
      </c>
      <c r="N764" s="198"/>
    </row>
    <row r="765" spans="1:14" ht="25.5" customHeight="1">
      <c r="A765" s="19" t="s">
        <v>8285</v>
      </c>
      <c r="B765" s="19" t="s">
        <v>8288</v>
      </c>
      <c r="C765" s="198" t="s">
        <v>1102</v>
      </c>
      <c r="D765" s="198" t="s">
        <v>1102</v>
      </c>
      <c r="E765" s="4" t="s">
        <v>2648</v>
      </c>
      <c r="F765" s="4" t="s">
        <v>2657</v>
      </c>
      <c r="G765" s="198"/>
      <c r="H765" s="198"/>
      <c r="I765" s="198"/>
      <c r="J765" s="198">
        <v>0</v>
      </c>
      <c r="K765" s="198" t="s">
        <v>8291</v>
      </c>
      <c r="L765" s="198" t="s">
        <v>2272</v>
      </c>
      <c r="M765" s="198" t="s">
        <v>2272</v>
      </c>
      <c r="N765" s="198"/>
    </row>
    <row r="766" spans="1:14" ht="27" customHeight="1">
      <c r="A766" s="19" t="s">
        <v>8285</v>
      </c>
      <c r="B766" s="19" t="s">
        <v>8289</v>
      </c>
      <c r="C766" s="198" t="s">
        <v>1102</v>
      </c>
      <c r="D766" s="198" t="s">
        <v>1102</v>
      </c>
      <c r="E766" s="4" t="s">
        <v>2644</v>
      </c>
      <c r="F766" s="4" t="s">
        <v>2657</v>
      </c>
      <c r="G766" s="198"/>
      <c r="H766" s="198"/>
      <c r="I766" s="198"/>
      <c r="J766" s="198">
        <v>0</v>
      </c>
      <c r="K766" s="198" t="s">
        <v>8291</v>
      </c>
      <c r="L766" s="198" t="s">
        <v>2272</v>
      </c>
      <c r="M766" s="198" t="s">
        <v>2272</v>
      </c>
      <c r="N766" s="198"/>
    </row>
    <row r="767" spans="1:14" ht="44.5" customHeight="1">
      <c r="A767" s="19" t="s">
        <v>8300</v>
      </c>
      <c r="B767" s="19" t="s">
        <v>8311</v>
      </c>
      <c r="C767" s="4" t="s">
        <v>23</v>
      </c>
      <c r="D767" s="198" t="s">
        <v>1102</v>
      </c>
      <c r="E767" s="4" t="s">
        <v>3849</v>
      </c>
      <c r="F767" s="198" t="s">
        <v>2272</v>
      </c>
      <c r="G767" s="198"/>
      <c r="H767" s="198">
        <v>0</v>
      </c>
      <c r="I767" s="4" t="s">
        <v>8338</v>
      </c>
      <c r="J767" s="198" t="s">
        <v>2272</v>
      </c>
      <c r="K767" s="198" t="s">
        <v>2272</v>
      </c>
      <c r="L767" s="198" t="s">
        <v>2272</v>
      </c>
      <c r="M767" s="198" t="s">
        <v>2272</v>
      </c>
      <c r="N767" s="198"/>
    </row>
    <row r="768" spans="1:14" ht="44.5" customHeight="1">
      <c r="A768" s="19" t="s">
        <v>8301</v>
      </c>
      <c r="B768" s="19" t="s">
        <v>8316</v>
      </c>
      <c r="C768" s="4" t="s">
        <v>23</v>
      </c>
      <c r="D768" s="198" t="s">
        <v>1102</v>
      </c>
      <c r="E768" s="4" t="s">
        <v>3849</v>
      </c>
      <c r="F768" s="198" t="s">
        <v>2272</v>
      </c>
      <c r="G768" s="198"/>
      <c r="H768" s="198">
        <v>0</v>
      </c>
      <c r="I768" s="4" t="s">
        <v>8338</v>
      </c>
      <c r="J768" s="198" t="s">
        <v>2272</v>
      </c>
      <c r="K768" s="198" t="s">
        <v>2272</v>
      </c>
      <c r="L768" s="198" t="s">
        <v>2272</v>
      </c>
      <c r="M768" s="198" t="s">
        <v>2272</v>
      </c>
      <c r="N768" s="198"/>
    </row>
    <row r="769" spans="1:14" ht="44.5" customHeight="1">
      <c r="A769" s="19" t="s">
        <v>8304</v>
      </c>
      <c r="B769" s="19" t="s">
        <v>8322</v>
      </c>
      <c r="C769" s="4" t="s">
        <v>23</v>
      </c>
      <c r="D769" s="198" t="s">
        <v>1102</v>
      </c>
      <c r="E769" s="4" t="s">
        <v>3849</v>
      </c>
      <c r="F769" s="198" t="s">
        <v>2272</v>
      </c>
      <c r="G769" s="198"/>
      <c r="H769" s="198">
        <v>0</v>
      </c>
      <c r="I769" s="4" t="s">
        <v>8338</v>
      </c>
      <c r="J769" s="198" t="s">
        <v>2272</v>
      </c>
      <c r="K769" s="198" t="s">
        <v>2272</v>
      </c>
      <c r="L769" s="198" t="s">
        <v>2272</v>
      </c>
      <c r="M769" s="198" t="s">
        <v>2272</v>
      </c>
      <c r="N769" s="198"/>
    </row>
    <row r="770" spans="1:14" ht="44.5" customHeight="1">
      <c r="A770" s="19" t="s">
        <v>8305</v>
      </c>
      <c r="B770" s="19" t="s">
        <v>8331</v>
      </c>
      <c r="C770" s="4" t="s">
        <v>23</v>
      </c>
      <c r="D770" s="198" t="s">
        <v>1102</v>
      </c>
      <c r="E770" s="4" t="s">
        <v>3849</v>
      </c>
      <c r="F770" s="198" t="s">
        <v>2272</v>
      </c>
      <c r="G770" s="198"/>
      <c r="H770" s="198">
        <v>0</v>
      </c>
      <c r="I770" s="4" t="s">
        <v>8338</v>
      </c>
      <c r="J770" s="198" t="s">
        <v>2272</v>
      </c>
      <c r="K770" s="198" t="s">
        <v>2272</v>
      </c>
      <c r="L770" s="198" t="s">
        <v>2272</v>
      </c>
      <c r="M770" s="198" t="s">
        <v>2272</v>
      </c>
      <c r="N770" s="198"/>
    </row>
    <row r="771" spans="1:14" ht="31.5" customHeight="1">
      <c r="A771" s="19" t="s">
        <v>8563</v>
      </c>
      <c r="B771" s="19" t="s">
        <v>8572</v>
      </c>
      <c r="C771" s="198" t="s">
        <v>1102</v>
      </c>
      <c r="D771" s="198" t="s">
        <v>1102</v>
      </c>
      <c r="E771" s="4" t="s">
        <v>44</v>
      </c>
      <c r="F771" s="4" t="s">
        <v>2657</v>
      </c>
      <c r="G771" s="198"/>
      <c r="H771" s="198">
        <v>1</v>
      </c>
      <c r="I771" s="19" t="s">
        <v>8578</v>
      </c>
      <c r="J771" s="198"/>
      <c r="K771" s="198"/>
      <c r="L771" s="198">
        <v>1</v>
      </c>
      <c r="M771" s="11" t="s">
        <v>8580</v>
      </c>
      <c r="N771" s="198"/>
    </row>
    <row r="772" spans="1:14" ht="31.5" customHeight="1">
      <c r="A772" s="19" t="s">
        <v>8570</v>
      </c>
      <c r="B772" s="19" t="s">
        <v>8574</v>
      </c>
      <c r="C772" s="198" t="s">
        <v>1102</v>
      </c>
      <c r="D772" s="198" t="s">
        <v>1102</v>
      </c>
      <c r="E772" s="4" t="s">
        <v>44</v>
      </c>
      <c r="F772" s="4" t="s">
        <v>2657</v>
      </c>
      <c r="G772" s="198"/>
      <c r="H772" s="198">
        <v>1</v>
      </c>
      <c r="I772" s="19" t="s">
        <v>8578</v>
      </c>
      <c r="J772" s="198"/>
      <c r="K772" s="198"/>
      <c r="L772" s="198">
        <v>1</v>
      </c>
      <c r="M772" s="19" t="s">
        <v>8580</v>
      </c>
      <c r="N772" s="198"/>
    </row>
    <row r="773" spans="1:14" ht="31.5" customHeight="1">
      <c r="A773" s="19" t="s">
        <v>8563</v>
      </c>
      <c r="B773" s="19" t="s">
        <v>8576</v>
      </c>
      <c r="C773" s="198" t="s">
        <v>1102</v>
      </c>
      <c r="D773" s="198" t="s">
        <v>1102</v>
      </c>
      <c r="E773" s="4" t="s">
        <v>3204</v>
      </c>
      <c r="F773" s="4" t="s">
        <v>2657</v>
      </c>
      <c r="G773" s="198"/>
      <c r="H773" s="198" t="s">
        <v>2272</v>
      </c>
      <c r="I773" s="198" t="s">
        <v>2272</v>
      </c>
      <c r="J773" s="198" t="s">
        <v>2272</v>
      </c>
      <c r="K773" s="198" t="s">
        <v>2272</v>
      </c>
      <c r="L773" s="198">
        <v>2</v>
      </c>
      <c r="M773" s="4" t="s">
        <v>8579</v>
      </c>
      <c r="N773" s="198"/>
    </row>
    <row r="774" spans="1:14" ht="31.5" customHeight="1">
      <c r="A774" s="19" t="s">
        <v>8570</v>
      </c>
      <c r="B774" s="19" t="s">
        <v>8577</v>
      </c>
      <c r="C774" s="198" t="s">
        <v>1102</v>
      </c>
      <c r="D774" s="198" t="s">
        <v>1102</v>
      </c>
      <c r="E774" s="4" t="s">
        <v>3204</v>
      </c>
      <c r="F774" s="4" t="s">
        <v>2657</v>
      </c>
      <c r="G774" s="198"/>
      <c r="H774" s="198" t="s">
        <v>2272</v>
      </c>
      <c r="I774" s="198" t="s">
        <v>2272</v>
      </c>
      <c r="J774" s="198" t="s">
        <v>2272</v>
      </c>
      <c r="K774" s="198" t="s">
        <v>2272</v>
      </c>
      <c r="L774" s="198">
        <v>2</v>
      </c>
      <c r="M774" s="4" t="s">
        <v>8579</v>
      </c>
      <c r="N774" s="198"/>
    </row>
    <row r="775" spans="1:14" ht="36" customHeight="1">
      <c r="A775" s="19" t="s">
        <v>8641</v>
      </c>
      <c r="B775" s="19" t="s">
        <v>8645</v>
      </c>
      <c r="C775" s="198" t="s">
        <v>23</v>
      </c>
      <c r="D775" s="198" t="s">
        <v>2654</v>
      </c>
      <c r="E775" s="4" t="s">
        <v>394</v>
      </c>
      <c r="F775" s="198" t="s">
        <v>27</v>
      </c>
      <c r="G775" s="198"/>
      <c r="H775" s="198">
        <v>1</v>
      </c>
      <c r="I775" s="19" t="s">
        <v>8653</v>
      </c>
      <c r="J775" s="198" t="s">
        <v>2272</v>
      </c>
      <c r="K775" s="198" t="s">
        <v>2272</v>
      </c>
      <c r="L775" s="198" t="s">
        <v>2272</v>
      </c>
      <c r="M775" s="198" t="s">
        <v>2272</v>
      </c>
      <c r="N775" s="198"/>
    </row>
    <row r="776" spans="1:14" ht="36" customHeight="1">
      <c r="A776" s="19" t="s">
        <v>8642</v>
      </c>
      <c r="B776" s="19" t="s">
        <v>8646</v>
      </c>
      <c r="C776" s="198" t="s">
        <v>23</v>
      </c>
      <c r="D776" s="198" t="s">
        <v>2654</v>
      </c>
      <c r="E776" s="4" t="s">
        <v>394</v>
      </c>
      <c r="F776" s="198" t="s">
        <v>27</v>
      </c>
      <c r="G776" s="198"/>
      <c r="H776" s="198">
        <v>1</v>
      </c>
      <c r="I776" s="19" t="s">
        <v>8653</v>
      </c>
      <c r="J776" s="198" t="s">
        <v>2272</v>
      </c>
      <c r="K776" s="198" t="s">
        <v>2272</v>
      </c>
      <c r="L776" s="198" t="s">
        <v>2272</v>
      </c>
      <c r="M776" s="198" t="s">
        <v>2272</v>
      </c>
      <c r="N776" s="198"/>
    </row>
    <row r="777" spans="1:14" ht="36" customHeight="1">
      <c r="A777" s="19" t="s">
        <v>8703</v>
      </c>
      <c r="B777" s="19" t="s">
        <v>8704</v>
      </c>
      <c r="C777" s="198" t="s">
        <v>23</v>
      </c>
      <c r="D777" s="198" t="s">
        <v>2654</v>
      </c>
      <c r="E777" s="4" t="s">
        <v>395</v>
      </c>
      <c r="F777" s="198" t="s">
        <v>27</v>
      </c>
      <c r="G777" s="198"/>
      <c r="H777" s="198">
        <v>1</v>
      </c>
      <c r="I777" s="19" t="s">
        <v>8653</v>
      </c>
      <c r="J777" s="198" t="s">
        <v>2272</v>
      </c>
      <c r="K777" s="198" t="s">
        <v>2272</v>
      </c>
      <c r="L777" s="198" t="s">
        <v>2272</v>
      </c>
      <c r="M777" s="198" t="s">
        <v>2272</v>
      </c>
      <c r="N777" s="198"/>
    </row>
    <row r="778" spans="1:14" ht="34.5" customHeight="1">
      <c r="A778" s="19" t="s">
        <v>8733</v>
      </c>
      <c r="B778" s="19" t="s">
        <v>8736</v>
      </c>
      <c r="C778" s="198" t="s">
        <v>1102</v>
      </c>
      <c r="D778" s="198" t="s">
        <v>1102</v>
      </c>
      <c r="E778" s="4" t="s">
        <v>5795</v>
      </c>
      <c r="F778" s="4" t="s">
        <v>2657</v>
      </c>
      <c r="G778" s="198"/>
      <c r="H778" s="198" t="s">
        <v>2272</v>
      </c>
      <c r="I778" s="198" t="s">
        <v>2272</v>
      </c>
      <c r="J778" s="198">
        <v>0</v>
      </c>
      <c r="K778" s="11" t="s">
        <v>8753</v>
      </c>
      <c r="L778" s="198" t="s">
        <v>2272</v>
      </c>
      <c r="M778" s="198" t="s">
        <v>2272</v>
      </c>
      <c r="N778" s="198"/>
    </row>
    <row r="779" spans="1:14" ht="44.5" customHeight="1">
      <c r="A779" s="19" t="s">
        <v>8829</v>
      </c>
      <c r="B779" s="19" t="s">
        <v>8831</v>
      </c>
      <c r="C779" s="198" t="s">
        <v>23</v>
      </c>
      <c r="D779" s="198" t="s">
        <v>26</v>
      </c>
      <c r="E779" s="4" t="s">
        <v>128</v>
      </c>
      <c r="F779" s="198" t="s">
        <v>73</v>
      </c>
      <c r="G779" s="198"/>
      <c r="H779" s="198">
        <v>0</v>
      </c>
      <c r="I779" s="19" t="s">
        <v>8836</v>
      </c>
      <c r="J779" s="198" t="s">
        <v>2272</v>
      </c>
      <c r="K779" s="198" t="s">
        <v>2272</v>
      </c>
      <c r="L779" s="198" t="s">
        <v>2272</v>
      </c>
      <c r="M779" s="198" t="s">
        <v>2272</v>
      </c>
      <c r="N779" s="198"/>
    </row>
    <row r="780" spans="1:14" ht="44.5" customHeight="1">
      <c r="A780" s="19" t="s">
        <v>8829</v>
      </c>
      <c r="B780" s="19" t="s">
        <v>8833</v>
      </c>
      <c r="C780" s="198" t="s">
        <v>1102</v>
      </c>
      <c r="D780" s="198" t="s">
        <v>1102</v>
      </c>
      <c r="E780" s="4" t="s">
        <v>82</v>
      </c>
      <c r="F780" s="198" t="s">
        <v>27</v>
      </c>
      <c r="G780" s="198"/>
      <c r="H780" s="198" t="s">
        <v>2272</v>
      </c>
      <c r="I780" s="198" t="s">
        <v>2272</v>
      </c>
      <c r="J780" s="198">
        <v>3</v>
      </c>
      <c r="K780" s="4" t="s">
        <v>8835</v>
      </c>
      <c r="L780" s="4">
        <v>3</v>
      </c>
      <c r="M780" s="4" t="s">
        <v>8835</v>
      </c>
      <c r="N780" s="198"/>
    </row>
    <row r="781" spans="1:14" ht="44.5" customHeight="1">
      <c r="A781" s="19" t="s">
        <v>8829</v>
      </c>
      <c r="B781" s="19" t="s">
        <v>8834</v>
      </c>
      <c r="C781" s="198" t="s">
        <v>1102</v>
      </c>
      <c r="D781" s="198" t="s">
        <v>1102</v>
      </c>
      <c r="E781" s="4" t="s">
        <v>2644</v>
      </c>
      <c r="F781" s="198" t="s">
        <v>2658</v>
      </c>
      <c r="G781" s="198"/>
      <c r="H781" s="198" t="s">
        <v>2272</v>
      </c>
      <c r="I781" s="198" t="s">
        <v>2272</v>
      </c>
      <c r="J781" s="198">
        <v>3</v>
      </c>
      <c r="K781" s="4" t="s">
        <v>8835</v>
      </c>
      <c r="L781" s="4">
        <v>3</v>
      </c>
      <c r="M781" s="4" t="s">
        <v>8835</v>
      </c>
      <c r="N781" s="198"/>
    </row>
    <row r="782" spans="1:14" ht="41" customHeight="1">
      <c r="A782" s="19" t="s">
        <v>8862</v>
      </c>
      <c r="B782" s="19" t="s">
        <v>8865</v>
      </c>
      <c r="C782" s="4" t="s">
        <v>1102</v>
      </c>
      <c r="D782" s="4" t="s">
        <v>1102</v>
      </c>
      <c r="E782" s="4" t="s">
        <v>3204</v>
      </c>
      <c r="F782" s="4" t="s">
        <v>73</v>
      </c>
      <c r="G782" s="4"/>
      <c r="H782" s="4" t="s">
        <v>2272</v>
      </c>
      <c r="I782" s="4" t="s">
        <v>2272</v>
      </c>
      <c r="J782" s="4">
        <v>1</v>
      </c>
      <c r="K782" s="19" t="s">
        <v>8876</v>
      </c>
      <c r="L782" s="4">
        <v>3</v>
      </c>
      <c r="M782" s="19" t="s">
        <v>8877</v>
      </c>
      <c r="N782" s="4"/>
    </row>
    <row r="783" spans="1:14" ht="28.5" customHeight="1">
      <c r="A783" s="19" t="s">
        <v>8879</v>
      </c>
      <c r="B783" s="19" t="s">
        <v>8882</v>
      </c>
      <c r="C783" s="4" t="s">
        <v>23</v>
      </c>
      <c r="D783" s="4" t="s">
        <v>1102</v>
      </c>
      <c r="E783" s="4" t="s">
        <v>128</v>
      </c>
      <c r="F783" s="4" t="s">
        <v>158</v>
      </c>
      <c r="G783" s="4"/>
      <c r="H783" s="4">
        <v>1</v>
      </c>
      <c r="I783" s="19" t="s">
        <v>8903</v>
      </c>
      <c r="J783" s="4" t="s">
        <v>2272</v>
      </c>
      <c r="K783" s="4" t="s">
        <v>2272</v>
      </c>
      <c r="L783" s="4" t="s">
        <v>2272</v>
      </c>
      <c r="M783" s="4" t="s">
        <v>2272</v>
      </c>
      <c r="N783" s="4"/>
    </row>
    <row r="784" spans="1:14" ht="28.5" customHeight="1">
      <c r="A784" s="19" t="s">
        <v>8879</v>
      </c>
      <c r="B784" s="19" t="s">
        <v>8883</v>
      </c>
      <c r="C784" s="4" t="s">
        <v>23</v>
      </c>
      <c r="D784" s="4" t="s">
        <v>1102</v>
      </c>
      <c r="E784" s="4" t="s">
        <v>44</v>
      </c>
      <c r="F784" s="4" t="s">
        <v>28</v>
      </c>
      <c r="G784" s="4"/>
      <c r="H784" s="4">
        <v>1</v>
      </c>
      <c r="I784" s="19" t="s">
        <v>8903</v>
      </c>
      <c r="J784" s="4" t="s">
        <v>2272</v>
      </c>
      <c r="K784" s="4" t="s">
        <v>2272</v>
      </c>
      <c r="L784" s="4" t="s">
        <v>2272</v>
      </c>
      <c r="M784" s="4" t="s">
        <v>2272</v>
      </c>
      <c r="N784" s="4"/>
    </row>
    <row r="785" spans="1:14" ht="28.5" customHeight="1">
      <c r="A785" s="19" t="s">
        <v>8879</v>
      </c>
      <c r="B785" s="19" t="s">
        <v>8884</v>
      </c>
      <c r="C785" s="4" t="s">
        <v>1102</v>
      </c>
      <c r="D785" s="4" t="s">
        <v>1102</v>
      </c>
      <c r="E785" s="4" t="s">
        <v>3850</v>
      </c>
      <c r="F785" s="4" t="s">
        <v>2272</v>
      </c>
      <c r="G785" s="4"/>
      <c r="H785" s="4" t="s">
        <v>2272</v>
      </c>
      <c r="I785" s="4" t="s">
        <v>2272</v>
      </c>
      <c r="J785" s="4" t="s">
        <v>2272</v>
      </c>
      <c r="K785" s="4" t="s">
        <v>2272</v>
      </c>
      <c r="L785" s="4">
        <v>1</v>
      </c>
      <c r="M785" s="19" t="s">
        <v>8905</v>
      </c>
      <c r="N785" s="4"/>
    </row>
    <row r="786" spans="1:14" ht="28.5" customHeight="1">
      <c r="A786" s="19" t="s">
        <v>8879</v>
      </c>
      <c r="B786" s="19" t="s">
        <v>8885</v>
      </c>
      <c r="C786" s="4" t="s">
        <v>1102</v>
      </c>
      <c r="D786" s="4" t="s">
        <v>1102</v>
      </c>
      <c r="E786" s="4" t="s">
        <v>2642</v>
      </c>
      <c r="F786" s="4" t="s">
        <v>28</v>
      </c>
      <c r="G786" s="4"/>
      <c r="H786" s="4" t="s">
        <v>2272</v>
      </c>
      <c r="I786" s="4" t="s">
        <v>2272</v>
      </c>
      <c r="J786" s="4" t="s">
        <v>2272</v>
      </c>
      <c r="K786" s="4" t="s">
        <v>2272</v>
      </c>
      <c r="L786" s="4">
        <v>3</v>
      </c>
      <c r="M786" s="4" t="s">
        <v>8904</v>
      </c>
      <c r="N786" s="4"/>
    </row>
    <row r="787" spans="1:14" ht="28.5" customHeight="1">
      <c r="A787" s="19" t="s">
        <v>8879</v>
      </c>
      <c r="B787" s="19" t="s">
        <v>8886</v>
      </c>
      <c r="C787" s="4" t="s">
        <v>1102</v>
      </c>
      <c r="D787" s="4" t="s">
        <v>1102</v>
      </c>
      <c r="E787" s="4" t="s">
        <v>82</v>
      </c>
      <c r="F787" s="4" t="s">
        <v>27</v>
      </c>
      <c r="G787" s="4"/>
      <c r="H787" s="4" t="s">
        <v>2272</v>
      </c>
      <c r="I787" s="4" t="s">
        <v>2272</v>
      </c>
      <c r="J787" s="4" t="s">
        <v>2272</v>
      </c>
      <c r="K787" s="4" t="s">
        <v>2272</v>
      </c>
      <c r="L787" s="4">
        <v>3</v>
      </c>
      <c r="M787" s="4" t="s">
        <v>8904</v>
      </c>
      <c r="N787" s="4"/>
    </row>
    <row r="788" spans="1:14" ht="47.5" customHeight="1">
      <c r="A788" s="19" t="s">
        <v>8881</v>
      </c>
      <c r="B788" s="19" t="s">
        <v>8894</v>
      </c>
      <c r="C788" s="4" t="s">
        <v>23</v>
      </c>
      <c r="D788" s="4" t="s">
        <v>1102</v>
      </c>
      <c r="E788" s="4" t="s">
        <v>128</v>
      </c>
      <c r="F788" s="4" t="s">
        <v>158</v>
      </c>
      <c r="G788" s="4"/>
      <c r="H788" s="4">
        <v>1</v>
      </c>
      <c r="I788" s="19" t="s">
        <v>8903</v>
      </c>
      <c r="J788" s="4" t="s">
        <v>2272</v>
      </c>
      <c r="K788" s="4" t="s">
        <v>2272</v>
      </c>
      <c r="L788" s="4" t="s">
        <v>2272</v>
      </c>
      <c r="M788" s="4" t="s">
        <v>2272</v>
      </c>
      <c r="N788" s="4"/>
    </row>
    <row r="789" spans="1:14" ht="47.5" customHeight="1">
      <c r="A789" s="19" t="s">
        <v>8881</v>
      </c>
      <c r="B789" s="19" t="s">
        <v>8895</v>
      </c>
      <c r="C789" s="4" t="s">
        <v>23</v>
      </c>
      <c r="D789" s="4" t="s">
        <v>1102</v>
      </c>
      <c r="E789" s="4" t="s">
        <v>44</v>
      </c>
      <c r="F789" s="4" t="s">
        <v>28</v>
      </c>
      <c r="G789" s="4"/>
      <c r="H789" s="4">
        <v>1</v>
      </c>
      <c r="I789" s="19" t="s">
        <v>8903</v>
      </c>
      <c r="J789" s="4" t="s">
        <v>2272</v>
      </c>
      <c r="K789" s="4" t="s">
        <v>2272</v>
      </c>
      <c r="L789" s="4" t="s">
        <v>2272</v>
      </c>
      <c r="M789" s="4" t="s">
        <v>2272</v>
      </c>
      <c r="N789" s="4"/>
    </row>
    <row r="790" spans="1:14" ht="47.5" customHeight="1">
      <c r="A790" s="19" t="s">
        <v>8881</v>
      </c>
      <c r="B790" s="19" t="s">
        <v>8896</v>
      </c>
      <c r="C790" s="4" t="s">
        <v>1102</v>
      </c>
      <c r="D790" s="4" t="s">
        <v>1102</v>
      </c>
      <c r="E790" s="4" t="s">
        <v>3850</v>
      </c>
      <c r="F790" s="4" t="s">
        <v>2272</v>
      </c>
      <c r="G790" s="4"/>
      <c r="H790" s="4" t="s">
        <v>2272</v>
      </c>
      <c r="I790" s="4" t="s">
        <v>2272</v>
      </c>
      <c r="J790" s="4" t="s">
        <v>2272</v>
      </c>
      <c r="K790" s="4" t="s">
        <v>2272</v>
      </c>
      <c r="L790" s="4">
        <v>1</v>
      </c>
      <c r="M790" s="19" t="s">
        <v>8905</v>
      </c>
      <c r="N790" s="4"/>
    </row>
    <row r="791" spans="1:14" ht="47.5" customHeight="1">
      <c r="A791" s="19" t="s">
        <v>8881</v>
      </c>
      <c r="B791" s="19" t="s">
        <v>8897</v>
      </c>
      <c r="C791" s="4" t="s">
        <v>1102</v>
      </c>
      <c r="D791" s="4" t="s">
        <v>1102</v>
      </c>
      <c r="E791" s="4" t="s">
        <v>2642</v>
      </c>
      <c r="F791" s="4" t="s">
        <v>28</v>
      </c>
      <c r="G791" s="4"/>
      <c r="H791" s="4" t="s">
        <v>2272</v>
      </c>
      <c r="I791" s="4" t="s">
        <v>2272</v>
      </c>
      <c r="J791" s="4" t="s">
        <v>2272</v>
      </c>
      <c r="K791" s="4" t="s">
        <v>2272</v>
      </c>
      <c r="L791" s="4">
        <v>3</v>
      </c>
      <c r="M791" s="4" t="s">
        <v>8904</v>
      </c>
      <c r="N791" s="4"/>
    </row>
    <row r="792" spans="1:14" ht="47.5" customHeight="1">
      <c r="A792" s="19" t="s">
        <v>8881</v>
      </c>
      <c r="B792" s="19" t="s">
        <v>8898</v>
      </c>
      <c r="C792" s="4" t="s">
        <v>1102</v>
      </c>
      <c r="D792" s="4" t="s">
        <v>1102</v>
      </c>
      <c r="E792" s="4" t="s">
        <v>82</v>
      </c>
      <c r="F792" s="4" t="s">
        <v>27</v>
      </c>
      <c r="G792" s="4"/>
      <c r="H792" s="4" t="s">
        <v>2272</v>
      </c>
      <c r="I792" s="4" t="s">
        <v>2272</v>
      </c>
      <c r="J792" s="4" t="s">
        <v>2272</v>
      </c>
      <c r="K792" s="4" t="s">
        <v>2272</v>
      </c>
      <c r="L792" s="4">
        <v>3</v>
      </c>
      <c r="M792" s="4" t="s">
        <v>8904</v>
      </c>
      <c r="N792" s="4"/>
    </row>
    <row r="793" spans="1:14" ht="35.5" customHeight="1">
      <c r="A793" s="19" t="s">
        <v>8907</v>
      </c>
      <c r="B793" s="19" t="s">
        <v>8909</v>
      </c>
      <c r="C793" s="198" t="s">
        <v>23</v>
      </c>
      <c r="D793" s="4" t="s">
        <v>141</v>
      </c>
      <c r="E793" s="4" t="s">
        <v>82</v>
      </c>
      <c r="F793" s="198" t="s">
        <v>73</v>
      </c>
      <c r="G793" s="198"/>
      <c r="H793" s="198">
        <v>0</v>
      </c>
      <c r="I793" s="19" t="s">
        <v>8917</v>
      </c>
      <c r="J793" s="4" t="s">
        <v>2272</v>
      </c>
      <c r="K793" s="4" t="s">
        <v>2272</v>
      </c>
      <c r="L793" s="4" t="s">
        <v>2272</v>
      </c>
      <c r="M793" s="4" t="s">
        <v>2272</v>
      </c>
      <c r="N793" s="198"/>
    </row>
    <row r="794" spans="1:14" ht="35.5" customHeight="1">
      <c r="A794" s="19" t="s">
        <v>8907</v>
      </c>
      <c r="B794" s="19" t="s">
        <v>8910</v>
      </c>
      <c r="C794" s="198" t="s">
        <v>23</v>
      </c>
      <c r="D794" s="4" t="s">
        <v>1102</v>
      </c>
      <c r="E794" s="4" t="s">
        <v>114</v>
      </c>
      <c r="F794" s="198" t="s">
        <v>73</v>
      </c>
      <c r="G794" s="198"/>
      <c r="H794" s="198">
        <v>0</v>
      </c>
      <c r="I794" s="19" t="s">
        <v>8917</v>
      </c>
      <c r="J794" s="4" t="s">
        <v>2272</v>
      </c>
      <c r="K794" s="4" t="s">
        <v>2272</v>
      </c>
      <c r="L794" s="4" t="s">
        <v>2272</v>
      </c>
      <c r="M794" s="4" t="s">
        <v>2272</v>
      </c>
      <c r="N794" s="198"/>
    </row>
    <row r="795" spans="1:14" ht="35.5" customHeight="1">
      <c r="A795" s="19" t="s">
        <v>8907</v>
      </c>
      <c r="B795" s="19" t="s">
        <v>8911</v>
      </c>
      <c r="C795" s="198" t="s">
        <v>1102</v>
      </c>
      <c r="D795" s="198" t="s">
        <v>1102</v>
      </c>
      <c r="E795" s="4" t="s">
        <v>860</v>
      </c>
      <c r="F795" s="198" t="s">
        <v>73</v>
      </c>
      <c r="G795" s="198"/>
      <c r="H795" s="4" t="s">
        <v>2272</v>
      </c>
      <c r="I795" s="4" t="s">
        <v>2272</v>
      </c>
      <c r="J795" s="198">
        <v>0</v>
      </c>
      <c r="K795" s="19" t="s">
        <v>8918</v>
      </c>
      <c r="L795" s="4" t="s">
        <v>2272</v>
      </c>
      <c r="M795" s="4" t="s">
        <v>2272</v>
      </c>
      <c r="N795" s="198"/>
    </row>
    <row r="796" spans="1:14" ht="36.5" customHeight="1">
      <c r="A796" s="19" t="s">
        <v>8907</v>
      </c>
      <c r="B796" s="19" t="s">
        <v>8912</v>
      </c>
      <c r="C796" s="198" t="s">
        <v>1102</v>
      </c>
      <c r="D796" s="198" t="s">
        <v>1102</v>
      </c>
      <c r="E796" s="4" t="s">
        <v>3204</v>
      </c>
      <c r="F796" s="198" t="s">
        <v>73</v>
      </c>
      <c r="G796" s="198"/>
      <c r="H796" s="4" t="s">
        <v>2272</v>
      </c>
      <c r="I796" s="4" t="s">
        <v>2272</v>
      </c>
      <c r="J796" s="198">
        <v>1</v>
      </c>
      <c r="K796" s="19" t="s">
        <v>8919</v>
      </c>
      <c r="L796" s="198">
        <v>1</v>
      </c>
      <c r="M796" s="146" t="s">
        <v>8923</v>
      </c>
      <c r="N796" s="198"/>
    </row>
    <row r="797" spans="1:14" ht="44" customHeight="1">
      <c r="A797" s="19" t="s">
        <v>8926</v>
      </c>
      <c r="B797" s="19" t="s">
        <v>8930</v>
      </c>
      <c r="C797" s="198" t="s">
        <v>23</v>
      </c>
      <c r="D797" s="198" t="s">
        <v>1102</v>
      </c>
      <c r="E797" s="4" t="s">
        <v>395</v>
      </c>
      <c r="F797" s="4" t="s">
        <v>2657</v>
      </c>
      <c r="G797" s="198"/>
      <c r="H797" s="198">
        <v>1</v>
      </c>
      <c r="I797" s="19" t="s">
        <v>8944</v>
      </c>
      <c r="J797" s="198">
        <v>1</v>
      </c>
      <c r="K797" s="19" t="s">
        <v>8944</v>
      </c>
      <c r="L797" s="4" t="s">
        <v>2272</v>
      </c>
      <c r="M797" s="4" t="s">
        <v>2272</v>
      </c>
      <c r="N797" s="198"/>
    </row>
    <row r="798" spans="1:14" ht="44" customHeight="1">
      <c r="A798" s="19" t="s">
        <v>8926</v>
      </c>
      <c r="B798" s="19" t="s">
        <v>8931</v>
      </c>
      <c r="C798" s="198" t="s">
        <v>23</v>
      </c>
      <c r="D798" s="198" t="s">
        <v>1102</v>
      </c>
      <c r="E798" s="4" t="s">
        <v>44</v>
      </c>
      <c r="F798" s="4" t="s">
        <v>2657</v>
      </c>
      <c r="G798" s="198"/>
      <c r="H798" s="198">
        <v>1</v>
      </c>
      <c r="I798" s="19" t="s">
        <v>8944</v>
      </c>
      <c r="J798" s="198">
        <v>1</v>
      </c>
      <c r="K798" s="19" t="s">
        <v>8944</v>
      </c>
      <c r="L798" s="4" t="s">
        <v>2272</v>
      </c>
      <c r="M798" s="4" t="s">
        <v>2272</v>
      </c>
      <c r="N798" s="198"/>
    </row>
    <row r="799" spans="1:14" ht="44" customHeight="1">
      <c r="A799" s="19" t="s">
        <v>8926</v>
      </c>
      <c r="B799" s="19" t="s">
        <v>8932</v>
      </c>
      <c r="C799" s="198" t="s">
        <v>1102</v>
      </c>
      <c r="D799" s="198" t="s">
        <v>1102</v>
      </c>
      <c r="E799" s="4" t="s">
        <v>3204</v>
      </c>
      <c r="F799" s="198" t="s">
        <v>2272</v>
      </c>
      <c r="G799" s="198"/>
      <c r="H799" s="4" t="s">
        <v>2272</v>
      </c>
      <c r="I799" s="4" t="s">
        <v>2272</v>
      </c>
      <c r="J799" s="198">
        <v>1</v>
      </c>
      <c r="K799" s="19" t="s">
        <v>8945</v>
      </c>
      <c r="L799" s="4" t="s">
        <v>2272</v>
      </c>
      <c r="M799" s="4" t="s">
        <v>2272</v>
      </c>
      <c r="N799" s="198"/>
    </row>
    <row r="800" spans="1:14" ht="42.5" customHeight="1">
      <c r="A800" s="19" t="s">
        <v>8961</v>
      </c>
      <c r="B800" s="19" t="s">
        <v>8964</v>
      </c>
      <c r="C800" s="198" t="s">
        <v>1102</v>
      </c>
      <c r="D800" s="198" t="s">
        <v>1102</v>
      </c>
      <c r="E800" s="4" t="s">
        <v>44</v>
      </c>
      <c r="F800" s="198" t="s">
        <v>54</v>
      </c>
      <c r="G800" s="198"/>
      <c r="H800" s="4" t="s">
        <v>2272</v>
      </c>
      <c r="I800" s="4" t="s">
        <v>2272</v>
      </c>
      <c r="J800" s="198">
        <v>2</v>
      </c>
      <c r="K800" s="19" t="s">
        <v>8966</v>
      </c>
      <c r="L800" s="4" t="s">
        <v>2272</v>
      </c>
      <c r="M800" s="4" t="s">
        <v>2272</v>
      </c>
      <c r="N800" s="198"/>
    </row>
    <row r="801" spans="1:14" ht="42.5" customHeight="1">
      <c r="A801" s="19" t="s">
        <v>8961</v>
      </c>
      <c r="B801" s="19" t="s">
        <v>8965</v>
      </c>
      <c r="C801" s="198" t="s">
        <v>1102</v>
      </c>
      <c r="D801" s="198" t="s">
        <v>1102</v>
      </c>
      <c r="E801" s="4" t="s">
        <v>5795</v>
      </c>
      <c r="F801" s="198" t="s">
        <v>54</v>
      </c>
      <c r="G801" s="198"/>
      <c r="H801" s="4" t="s">
        <v>2272</v>
      </c>
      <c r="I801" s="4" t="s">
        <v>2272</v>
      </c>
      <c r="J801" s="173">
        <v>0</v>
      </c>
      <c r="K801" s="19" t="s">
        <v>8967</v>
      </c>
      <c r="L801" s="4" t="s">
        <v>2272</v>
      </c>
      <c r="M801" s="4" t="s">
        <v>2272</v>
      </c>
      <c r="N801" s="198"/>
    </row>
    <row r="802" spans="1:14" ht="39" customHeight="1">
      <c r="A802" s="19" t="s">
        <v>8969</v>
      </c>
      <c r="B802" s="19" t="s">
        <v>8974</v>
      </c>
      <c r="C802" s="198" t="s">
        <v>23</v>
      </c>
      <c r="D802" s="198" t="s">
        <v>1241</v>
      </c>
      <c r="E802" s="4" t="s">
        <v>114</v>
      </c>
      <c r="F802" s="4" t="s">
        <v>2657</v>
      </c>
      <c r="G802" s="198"/>
      <c r="H802" s="198">
        <v>2</v>
      </c>
      <c r="I802" s="198" t="s">
        <v>8976</v>
      </c>
      <c r="J802" s="198">
        <v>2</v>
      </c>
      <c r="K802" s="19" t="s">
        <v>8975</v>
      </c>
      <c r="L802" s="4" t="s">
        <v>2272</v>
      </c>
      <c r="M802" s="4" t="s">
        <v>2272</v>
      </c>
      <c r="N802" s="198"/>
    </row>
    <row r="803" spans="1:14" ht="44.5" customHeight="1">
      <c r="A803" s="198" t="s">
        <v>9105</v>
      </c>
      <c r="B803" s="198" t="s">
        <v>9108</v>
      </c>
      <c r="C803" s="198" t="s">
        <v>1102</v>
      </c>
      <c r="D803" s="198" t="s">
        <v>1102</v>
      </c>
      <c r="E803" s="4" t="s">
        <v>2644</v>
      </c>
      <c r="F803" s="198" t="s">
        <v>2658</v>
      </c>
      <c r="G803" s="198"/>
      <c r="H803" s="4" t="s">
        <v>2272</v>
      </c>
      <c r="I803" s="4" t="s">
        <v>2272</v>
      </c>
      <c r="J803" s="198">
        <v>2</v>
      </c>
      <c r="K803" s="19" t="s">
        <v>9116</v>
      </c>
      <c r="L803" s="4" t="s">
        <v>2272</v>
      </c>
      <c r="M803" s="4" t="s">
        <v>2272</v>
      </c>
      <c r="N803" s="198"/>
    </row>
    <row r="804" spans="1:14" ht="50" customHeight="1">
      <c r="A804" s="198" t="s">
        <v>9106</v>
      </c>
      <c r="B804" s="198" t="s">
        <v>9111</v>
      </c>
      <c r="C804" s="198" t="s">
        <v>1102</v>
      </c>
      <c r="D804" s="198" t="s">
        <v>1102</v>
      </c>
      <c r="E804" s="4" t="s">
        <v>2644</v>
      </c>
      <c r="F804" s="198" t="s">
        <v>2658</v>
      </c>
      <c r="G804" s="198"/>
      <c r="H804" s="4" t="s">
        <v>2272</v>
      </c>
      <c r="I804" s="4" t="s">
        <v>2272</v>
      </c>
      <c r="J804" s="198">
        <v>0</v>
      </c>
      <c r="K804" s="19" t="s">
        <v>9117</v>
      </c>
      <c r="L804" s="4" t="s">
        <v>2272</v>
      </c>
      <c r="M804" s="4" t="s">
        <v>2272</v>
      </c>
      <c r="N804" s="198"/>
    </row>
    <row r="805" spans="1:14" ht="51" customHeight="1">
      <c r="A805" s="198" t="s">
        <v>9105</v>
      </c>
      <c r="B805" s="198" t="s">
        <v>9109</v>
      </c>
      <c r="C805" s="198" t="s">
        <v>1102</v>
      </c>
      <c r="D805" s="198" t="s">
        <v>1102</v>
      </c>
      <c r="E805" s="4" t="s">
        <v>5795</v>
      </c>
      <c r="F805" s="198" t="s">
        <v>2658</v>
      </c>
      <c r="G805" s="198"/>
      <c r="H805" s="4" t="s">
        <v>2272</v>
      </c>
      <c r="I805" s="4" t="s">
        <v>2272</v>
      </c>
      <c r="J805" s="198">
        <v>0</v>
      </c>
      <c r="K805" s="19" t="s">
        <v>9118</v>
      </c>
      <c r="L805" s="4" t="s">
        <v>2272</v>
      </c>
      <c r="M805" s="4" t="s">
        <v>2272</v>
      </c>
      <c r="N805" s="198"/>
    </row>
    <row r="806" spans="1:14" ht="39" customHeight="1">
      <c r="A806" s="11" t="s">
        <v>9120</v>
      </c>
      <c r="B806" s="11" t="s">
        <v>9122</v>
      </c>
      <c r="C806" s="198" t="s">
        <v>1102</v>
      </c>
      <c r="D806" s="198" t="s">
        <v>1102</v>
      </c>
      <c r="E806" s="4" t="s">
        <v>2644</v>
      </c>
      <c r="F806" s="198" t="s">
        <v>2658</v>
      </c>
      <c r="G806" s="198"/>
      <c r="H806" s="4" t="s">
        <v>2272</v>
      </c>
      <c r="I806" s="4" t="s">
        <v>2272</v>
      </c>
      <c r="J806" s="198">
        <v>3</v>
      </c>
      <c r="K806" s="19" t="s">
        <v>9131</v>
      </c>
      <c r="L806" s="4" t="s">
        <v>2272</v>
      </c>
      <c r="M806" s="4" t="s">
        <v>2272</v>
      </c>
      <c r="N806" s="198"/>
    </row>
    <row r="807" spans="1:14" ht="42.5" customHeight="1">
      <c r="A807" s="11" t="s">
        <v>9155</v>
      </c>
      <c r="B807" s="11" t="s">
        <v>9195</v>
      </c>
      <c r="C807" s="198" t="s">
        <v>1102</v>
      </c>
      <c r="D807" s="198" t="s">
        <v>2272</v>
      </c>
      <c r="E807" s="4" t="s">
        <v>3204</v>
      </c>
      <c r="F807" s="4" t="s">
        <v>2657</v>
      </c>
      <c r="G807" s="198"/>
      <c r="H807" s="4" t="s">
        <v>2272</v>
      </c>
      <c r="I807" s="4" t="s">
        <v>2272</v>
      </c>
      <c r="J807" s="4" t="s">
        <v>2272</v>
      </c>
      <c r="K807" s="4" t="s">
        <v>2272</v>
      </c>
      <c r="L807" s="198">
        <v>3</v>
      </c>
      <c r="M807" s="19" t="s">
        <v>9236</v>
      </c>
      <c r="N807" s="198"/>
    </row>
    <row r="808" spans="1:14" ht="47" customHeight="1">
      <c r="A808" s="11" t="s">
        <v>9180</v>
      </c>
      <c r="B808" s="11" t="s">
        <v>9210</v>
      </c>
      <c r="C808" s="198" t="s">
        <v>1102</v>
      </c>
      <c r="D808" s="198" t="s">
        <v>2272</v>
      </c>
      <c r="E808" s="4" t="s">
        <v>3204</v>
      </c>
      <c r="F808" s="4" t="s">
        <v>2657</v>
      </c>
      <c r="G808" s="198"/>
      <c r="H808" s="4" t="s">
        <v>2272</v>
      </c>
      <c r="I808" s="4" t="s">
        <v>2272</v>
      </c>
      <c r="J808" s="198">
        <v>2</v>
      </c>
      <c r="K808" s="4" t="s">
        <v>9240</v>
      </c>
      <c r="L808" s="198">
        <v>3</v>
      </c>
      <c r="M808" s="19" t="s">
        <v>9236</v>
      </c>
      <c r="N808" s="198"/>
    </row>
    <row r="809" spans="1:14" ht="49" customHeight="1">
      <c r="A809" s="11" t="s">
        <v>9180</v>
      </c>
      <c r="B809" s="11" t="s">
        <v>9228</v>
      </c>
      <c r="C809" s="198" t="s">
        <v>1102</v>
      </c>
      <c r="D809" s="198" t="s">
        <v>2272</v>
      </c>
      <c r="E809" s="4" t="s">
        <v>2648</v>
      </c>
      <c r="F809" s="198" t="s">
        <v>73</v>
      </c>
      <c r="G809" s="198"/>
      <c r="H809" s="4" t="s">
        <v>2272</v>
      </c>
      <c r="I809" s="4" t="s">
        <v>2272</v>
      </c>
      <c r="J809" s="198">
        <v>0</v>
      </c>
      <c r="K809" s="19" t="s">
        <v>9237</v>
      </c>
      <c r="L809" s="198">
        <v>0</v>
      </c>
      <c r="M809" s="19" t="s">
        <v>9238</v>
      </c>
      <c r="N809" s="198"/>
    </row>
    <row r="810" spans="1:14" ht="44.5" customHeight="1">
      <c r="A810" s="11" t="s">
        <v>9179</v>
      </c>
      <c r="B810" s="11" t="s">
        <v>9209</v>
      </c>
      <c r="C810" s="198" t="s">
        <v>1102</v>
      </c>
      <c r="D810" s="198" t="s">
        <v>2272</v>
      </c>
      <c r="E810" s="4" t="s">
        <v>2648</v>
      </c>
      <c r="F810" s="198" t="s">
        <v>73</v>
      </c>
      <c r="G810" s="198"/>
      <c r="H810" s="4" t="s">
        <v>2272</v>
      </c>
      <c r="I810" s="4" t="s">
        <v>2272</v>
      </c>
      <c r="J810" s="198">
        <v>0</v>
      </c>
      <c r="K810" s="19" t="s">
        <v>9237</v>
      </c>
      <c r="L810" s="198">
        <v>0</v>
      </c>
      <c r="M810" s="19" t="s">
        <v>9238</v>
      </c>
      <c r="N810" s="198"/>
    </row>
    <row r="811" spans="1:14" s="197" customFormat="1" ht="44.5" customHeight="1">
      <c r="A811" s="11" t="s">
        <v>9179</v>
      </c>
      <c r="B811" s="11" t="s">
        <v>9235</v>
      </c>
      <c r="C811" s="198" t="s">
        <v>1102</v>
      </c>
      <c r="D811" s="198" t="s">
        <v>2272</v>
      </c>
      <c r="E811" s="4" t="s">
        <v>3204</v>
      </c>
      <c r="F811" s="4" t="s">
        <v>2657</v>
      </c>
      <c r="G811" s="198"/>
      <c r="H811" s="4" t="s">
        <v>2272</v>
      </c>
      <c r="I811" s="4" t="s">
        <v>2272</v>
      </c>
      <c r="J811" s="198">
        <v>2</v>
      </c>
      <c r="K811" s="4" t="s">
        <v>9240</v>
      </c>
      <c r="L811" s="4" t="s">
        <v>2272</v>
      </c>
      <c r="M811" s="4" t="s">
        <v>2272</v>
      </c>
      <c r="N811" s="198"/>
    </row>
    <row r="812" spans="1:14" ht="37" customHeight="1">
      <c r="A812" s="11" t="s">
        <v>9159</v>
      </c>
      <c r="B812" s="11" t="s">
        <v>9199</v>
      </c>
      <c r="C812" s="198" t="s">
        <v>1102</v>
      </c>
      <c r="D812" s="198" t="s">
        <v>2272</v>
      </c>
      <c r="E812" s="4" t="s">
        <v>2644</v>
      </c>
      <c r="F812" s="198" t="s">
        <v>2658</v>
      </c>
      <c r="G812" s="198"/>
      <c r="H812" s="4" t="s">
        <v>2272</v>
      </c>
      <c r="I812" s="4" t="s">
        <v>2272</v>
      </c>
      <c r="J812" s="198">
        <v>0</v>
      </c>
      <c r="K812" s="19" t="s">
        <v>9239</v>
      </c>
      <c r="L812" s="4" t="s">
        <v>2272</v>
      </c>
      <c r="M812" s="4" t="s">
        <v>2272</v>
      </c>
      <c r="N812" s="198"/>
    </row>
    <row r="813" spans="1:14" ht="37" customHeight="1">
      <c r="A813" s="11" t="s">
        <v>9160</v>
      </c>
      <c r="B813" s="11" t="s">
        <v>9200</v>
      </c>
      <c r="C813" s="198" t="s">
        <v>1102</v>
      </c>
      <c r="D813" s="198" t="s">
        <v>2272</v>
      </c>
      <c r="E813" s="4" t="s">
        <v>2644</v>
      </c>
      <c r="F813" s="198" t="s">
        <v>2658</v>
      </c>
      <c r="G813" s="198"/>
      <c r="H813" s="4" t="s">
        <v>2272</v>
      </c>
      <c r="I813" s="4" t="s">
        <v>2272</v>
      </c>
      <c r="J813" s="198">
        <v>0</v>
      </c>
      <c r="K813" s="19" t="s">
        <v>9239</v>
      </c>
      <c r="L813" s="4" t="s">
        <v>2272</v>
      </c>
      <c r="M813" s="4" t="s">
        <v>2272</v>
      </c>
      <c r="N813" s="198"/>
    </row>
    <row r="814" spans="1:14" ht="37" customHeight="1">
      <c r="A814" s="11" t="s">
        <v>9184</v>
      </c>
      <c r="B814" s="11" t="s">
        <v>9214</v>
      </c>
      <c r="C814" s="198" t="s">
        <v>1102</v>
      </c>
      <c r="D814" s="198" t="s">
        <v>2272</v>
      </c>
      <c r="E814" s="4" t="s">
        <v>2644</v>
      </c>
      <c r="F814" s="198" t="s">
        <v>2658</v>
      </c>
      <c r="G814" s="198"/>
      <c r="H814" s="4" t="s">
        <v>2272</v>
      </c>
      <c r="I814" s="4" t="s">
        <v>2272</v>
      </c>
      <c r="J814" s="198">
        <v>0</v>
      </c>
      <c r="K814" s="19" t="s">
        <v>9239</v>
      </c>
      <c r="L814" s="4" t="s">
        <v>2272</v>
      </c>
      <c r="M814" s="4" t="s">
        <v>2272</v>
      </c>
      <c r="N814" s="198"/>
    </row>
    <row r="815" spans="1:14" ht="37" customHeight="1">
      <c r="A815" s="11" t="s">
        <v>9185</v>
      </c>
      <c r="B815" s="11" t="s">
        <v>9215</v>
      </c>
      <c r="C815" s="198" t="s">
        <v>1102</v>
      </c>
      <c r="D815" s="198" t="s">
        <v>2272</v>
      </c>
      <c r="E815" s="4" t="s">
        <v>2644</v>
      </c>
      <c r="F815" s="198" t="s">
        <v>2658</v>
      </c>
      <c r="G815" s="198"/>
      <c r="H815" s="4" t="s">
        <v>2272</v>
      </c>
      <c r="I815" s="4" t="s">
        <v>2272</v>
      </c>
      <c r="J815" s="198">
        <v>0</v>
      </c>
      <c r="K815" s="19" t="s">
        <v>9239</v>
      </c>
      <c r="L815" s="4" t="s">
        <v>2272</v>
      </c>
      <c r="M815" s="4" t="s">
        <v>2272</v>
      </c>
      <c r="N815" s="198"/>
    </row>
    <row r="816" spans="1:14" ht="42.5" customHeight="1">
      <c r="A816" s="11" t="s">
        <v>9250</v>
      </c>
      <c r="B816" s="11" t="s">
        <v>9254</v>
      </c>
      <c r="C816" s="198" t="s">
        <v>1102</v>
      </c>
      <c r="D816" s="198" t="s">
        <v>2272</v>
      </c>
      <c r="E816" s="4" t="s">
        <v>2644</v>
      </c>
      <c r="F816" s="198" t="s">
        <v>2658</v>
      </c>
      <c r="G816" s="198">
        <v>1976</v>
      </c>
      <c r="H816" s="4" t="s">
        <v>2272</v>
      </c>
      <c r="I816" s="4" t="s">
        <v>2272</v>
      </c>
      <c r="J816" s="198">
        <v>1</v>
      </c>
      <c r="K816" s="19" t="s">
        <v>9257</v>
      </c>
      <c r="L816" s="4" t="s">
        <v>2272</v>
      </c>
      <c r="M816" s="4" t="s">
        <v>2272</v>
      </c>
      <c r="N816" s="198"/>
    </row>
    <row r="817" spans="1:14" ht="44.5" customHeight="1">
      <c r="A817" s="11" t="s">
        <v>9250</v>
      </c>
      <c r="B817" s="11" t="s">
        <v>9256</v>
      </c>
      <c r="C817" s="198" t="s">
        <v>1102</v>
      </c>
      <c r="D817" s="198" t="s">
        <v>2272</v>
      </c>
      <c r="E817" s="4" t="s">
        <v>2644</v>
      </c>
      <c r="F817" s="198" t="s">
        <v>2658</v>
      </c>
      <c r="G817" s="198">
        <v>1984</v>
      </c>
      <c r="H817" s="4">
        <v>3</v>
      </c>
      <c r="I817" s="19" t="s">
        <v>9258</v>
      </c>
      <c r="J817" s="198">
        <v>3</v>
      </c>
      <c r="K817" s="19" t="s">
        <v>9259</v>
      </c>
      <c r="L817" s="4" t="s">
        <v>2272</v>
      </c>
      <c r="M817" s="4" t="s">
        <v>2272</v>
      </c>
      <c r="N817" s="198"/>
    </row>
    <row r="818" spans="1:14" ht="42" customHeight="1">
      <c r="A818" s="11" t="s">
        <v>9264</v>
      </c>
      <c r="B818" s="11" t="s">
        <v>9265</v>
      </c>
      <c r="C818" s="198" t="s">
        <v>1102</v>
      </c>
      <c r="D818" s="198" t="s">
        <v>2272</v>
      </c>
      <c r="E818" s="4" t="s">
        <v>2644</v>
      </c>
      <c r="F818" s="198" t="s">
        <v>2658</v>
      </c>
      <c r="G818" s="198"/>
      <c r="H818" s="4" t="s">
        <v>2272</v>
      </c>
      <c r="I818" s="4" t="s">
        <v>2272</v>
      </c>
      <c r="J818" s="198">
        <v>0</v>
      </c>
      <c r="K818" s="19" t="s">
        <v>9239</v>
      </c>
      <c r="L818" s="4" t="s">
        <v>2272</v>
      </c>
      <c r="M818" s="4" t="s">
        <v>2272</v>
      </c>
      <c r="N818" s="198"/>
    </row>
    <row r="819" spans="1:14" ht="39" customHeight="1">
      <c r="A819" s="11" t="s">
        <v>9273</v>
      </c>
      <c r="B819" s="11" t="s">
        <v>9276</v>
      </c>
      <c r="C819" s="198" t="s">
        <v>1102</v>
      </c>
      <c r="D819" s="198" t="s">
        <v>2272</v>
      </c>
      <c r="E819" s="4" t="s">
        <v>5795</v>
      </c>
      <c r="F819" s="198" t="s">
        <v>158</v>
      </c>
      <c r="G819" s="198"/>
      <c r="H819" s="4" t="s">
        <v>2272</v>
      </c>
      <c r="I819" s="4" t="s">
        <v>2272</v>
      </c>
      <c r="J819" s="198">
        <v>0</v>
      </c>
      <c r="K819" s="19" t="s">
        <v>9275</v>
      </c>
      <c r="L819" s="4" t="s">
        <v>2272</v>
      </c>
      <c r="M819" s="4" t="s">
        <v>2272</v>
      </c>
      <c r="N819" s="198"/>
    </row>
    <row r="820" spans="1:14" ht="51" customHeight="1">
      <c r="A820" s="11" t="s">
        <v>9278</v>
      </c>
      <c r="B820" s="11" t="s">
        <v>9282</v>
      </c>
      <c r="C820" s="198" t="s">
        <v>1102</v>
      </c>
      <c r="D820" s="198" t="s">
        <v>2272</v>
      </c>
      <c r="E820" s="198" t="s">
        <v>1102</v>
      </c>
      <c r="F820" s="198" t="s">
        <v>73</v>
      </c>
      <c r="G820" s="198"/>
      <c r="H820" s="4" t="s">
        <v>2272</v>
      </c>
      <c r="I820" s="4" t="s">
        <v>2272</v>
      </c>
      <c r="J820" s="198">
        <v>1</v>
      </c>
      <c r="K820" s="19" t="s">
        <v>9284</v>
      </c>
      <c r="L820" s="4" t="s">
        <v>2272</v>
      </c>
      <c r="M820" s="4" t="s">
        <v>2272</v>
      </c>
      <c r="N820" s="198"/>
    </row>
    <row r="821" spans="1:14" ht="57.5" customHeight="1">
      <c r="A821" s="198" t="s">
        <v>9287</v>
      </c>
      <c r="B821" s="198" t="s">
        <v>9289</v>
      </c>
      <c r="C821" s="198" t="s">
        <v>23</v>
      </c>
      <c r="D821" s="198" t="s">
        <v>1238</v>
      </c>
      <c r="E821" s="198" t="s">
        <v>2644</v>
      </c>
      <c r="F821" s="198" t="s">
        <v>73</v>
      </c>
      <c r="G821" s="198"/>
      <c r="H821" s="4" t="s">
        <v>2272</v>
      </c>
      <c r="I821" s="4" t="s">
        <v>2272</v>
      </c>
      <c r="J821" s="4">
        <v>3</v>
      </c>
      <c r="K821" s="19" t="s">
        <v>9295</v>
      </c>
      <c r="L821" s="4" t="s">
        <v>2272</v>
      </c>
      <c r="M821" s="4" t="s">
        <v>2272</v>
      </c>
      <c r="N821" s="198"/>
    </row>
    <row r="822" spans="1:14" ht="57.5" customHeight="1">
      <c r="A822" s="198" t="s">
        <v>9287</v>
      </c>
      <c r="B822" s="198" t="s">
        <v>9291</v>
      </c>
      <c r="C822" s="198" t="s">
        <v>23</v>
      </c>
      <c r="D822" s="198" t="s">
        <v>1238</v>
      </c>
      <c r="E822" s="198" t="s">
        <v>3204</v>
      </c>
      <c r="F822" s="198" t="s">
        <v>73</v>
      </c>
      <c r="G822" s="198"/>
      <c r="H822" s="4" t="s">
        <v>2272</v>
      </c>
      <c r="I822" s="4" t="s">
        <v>2272</v>
      </c>
      <c r="J822" s="4">
        <v>3</v>
      </c>
      <c r="K822" s="19" t="s">
        <v>9295</v>
      </c>
      <c r="L822" s="4" t="s">
        <v>2272</v>
      </c>
      <c r="M822" s="4" t="s">
        <v>2272</v>
      </c>
      <c r="N822" s="198"/>
    </row>
    <row r="823" spans="1:14" ht="57.5" customHeight="1">
      <c r="A823" s="198" t="s">
        <v>9288</v>
      </c>
      <c r="B823" s="198" t="s">
        <v>9290</v>
      </c>
      <c r="C823" s="198" t="s">
        <v>23</v>
      </c>
      <c r="D823" s="198" t="s">
        <v>1238</v>
      </c>
      <c r="E823" s="198" t="s">
        <v>2644</v>
      </c>
      <c r="F823" s="198" t="s">
        <v>73</v>
      </c>
      <c r="G823" s="198"/>
      <c r="H823" s="4" t="s">
        <v>2272</v>
      </c>
      <c r="I823" s="4" t="s">
        <v>2272</v>
      </c>
      <c r="J823" s="4">
        <v>3</v>
      </c>
      <c r="K823" s="19" t="s">
        <v>9295</v>
      </c>
      <c r="L823" s="4" t="s">
        <v>2272</v>
      </c>
      <c r="M823" s="4" t="s">
        <v>2272</v>
      </c>
      <c r="N823" s="198"/>
    </row>
    <row r="824" spans="1:14" ht="57.5" customHeight="1">
      <c r="A824" s="198" t="s">
        <v>9288</v>
      </c>
      <c r="B824" s="198" t="s">
        <v>9292</v>
      </c>
      <c r="C824" s="198" t="s">
        <v>23</v>
      </c>
      <c r="D824" s="198" t="s">
        <v>1238</v>
      </c>
      <c r="E824" s="198" t="s">
        <v>3204</v>
      </c>
      <c r="F824" s="198" t="s">
        <v>73</v>
      </c>
      <c r="G824" s="198"/>
      <c r="H824" s="4" t="s">
        <v>2272</v>
      </c>
      <c r="I824" s="4" t="s">
        <v>2272</v>
      </c>
      <c r="J824" s="4">
        <v>3</v>
      </c>
      <c r="K824" s="19" t="s">
        <v>9295</v>
      </c>
      <c r="L824" s="4" t="s">
        <v>2272</v>
      </c>
      <c r="M824" s="4" t="s">
        <v>2272</v>
      </c>
      <c r="N824" s="198"/>
    </row>
    <row r="825" spans="1:14" ht="42.5" customHeight="1">
      <c r="A825" s="198" t="s">
        <v>9287</v>
      </c>
      <c r="B825" s="198" t="s">
        <v>9296</v>
      </c>
      <c r="C825" s="198" t="s">
        <v>1102</v>
      </c>
      <c r="D825" s="198" t="s">
        <v>1102</v>
      </c>
      <c r="E825" s="198" t="s">
        <v>2648</v>
      </c>
      <c r="F825" s="198" t="s">
        <v>73</v>
      </c>
      <c r="G825" s="198"/>
      <c r="H825" s="198"/>
      <c r="I825" s="198"/>
      <c r="J825" s="198">
        <v>1</v>
      </c>
      <c r="K825" s="19" t="s">
        <v>9298</v>
      </c>
      <c r="L825" s="4" t="s">
        <v>2272</v>
      </c>
      <c r="M825" s="4" t="s">
        <v>2272</v>
      </c>
      <c r="N825" s="198"/>
    </row>
    <row r="826" spans="1:14" ht="42.5" customHeight="1">
      <c r="A826" s="198" t="s">
        <v>9288</v>
      </c>
      <c r="B826" s="198" t="s">
        <v>9297</v>
      </c>
      <c r="C826" s="198" t="s">
        <v>1102</v>
      </c>
      <c r="D826" s="198" t="s">
        <v>1102</v>
      </c>
      <c r="E826" s="198" t="s">
        <v>2648</v>
      </c>
      <c r="F826" s="198" t="s">
        <v>73</v>
      </c>
      <c r="G826" s="198"/>
      <c r="H826" s="198"/>
      <c r="I826" s="198"/>
      <c r="J826" s="198">
        <v>1</v>
      </c>
      <c r="K826" s="19" t="s">
        <v>9298</v>
      </c>
      <c r="L826" s="4" t="s">
        <v>2272</v>
      </c>
      <c r="M826" s="4" t="s">
        <v>2272</v>
      </c>
      <c r="N826" s="198"/>
    </row>
    <row r="827" spans="1:14" ht="53" customHeight="1">
      <c r="A827" s="11" t="s">
        <v>9299</v>
      </c>
      <c r="B827" s="11" t="s">
        <v>9301</v>
      </c>
      <c r="C827" s="198" t="s">
        <v>23</v>
      </c>
      <c r="D827" s="198" t="s">
        <v>1238</v>
      </c>
      <c r="E827" s="198" t="s">
        <v>3204</v>
      </c>
      <c r="F827" s="198" t="s">
        <v>73</v>
      </c>
      <c r="G827" s="198"/>
      <c r="H827" s="198"/>
      <c r="I827" s="198"/>
      <c r="J827" s="198">
        <v>2</v>
      </c>
      <c r="K827" s="4" t="s">
        <v>9303</v>
      </c>
      <c r="L827" s="4" t="s">
        <v>2272</v>
      </c>
      <c r="M827" s="4" t="s">
        <v>2272</v>
      </c>
      <c r="N827" s="198"/>
    </row>
    <row r="828" spans="1:14" ht="31" customHeight="1">
      <c r="A828" s="11" t="s">
        <v>9307</v>
      </c>
      <c r="B828" s="11" t="s">
        <v>9309</v>
      </c>
      <c r="C828" s="198" t="s">
        <v>23</v>
      </c>
      <c r="D828" s="198" t="s">
        <v>1238</v>
      </c>
      <c r="E828" s="4" t="s">
        <v>2644</v>
      </c>
      <c r="F828" s="4" t="s">
        <v>2657</v>
      </c>
      <c r="G828" s="198"/>
      <c r="H828" s="4" t="s">
        <v>2272</v>
      </c>
      <c r="I828" s="4" t="s">
        <v>2272</v>
      </c>
      <c r="J828" s="181">
        <v>2</v>
      </c>
      <c r="K828" s="4" t="s">
        <v>9321</v>
      </c>
      <c r="L828" s="4" t="s">
        <v>2272</v>
      </c>
      <c r="M828" s="4" t="s">
        <v>2272</v>
      </c>
      <c r="N828" s="198"/>
    </row>
    <row r="829" spans="1:14" ht="31" customHeight="1">
      <c r="A829" s="11" t="s">
        <v>9307</v>
      </c>
      <c r="B829" s="11" t="s">
        <v>9310</v>
      </c>
      <c r="C829" s="198" t="s">
        <v>23</v>
      </c>
      <c r="D829" s="198" t="s">
        <v>1238</v>
      </c>
      <c r="E829" s="4" t="s">
        <v>135</v>
      </c>
      <c r="F829" s="4" t="s">
        <v>2657</v>
      </c>
      <c r="G829" s="198"/>
      <c r="H829" s="4" t="s">
        <v>2272</v>
      </c>
      <c r="I829" s="4" t="s">
        <v>2272</v>
      </c>
      <c r="J829" s="181">
        <v>3</v>
      </c>
      <c r="K829" s="4" t="s">
        <v>9322</v>
      </c>
      <c r="L829" s="4" t="s">
        <v>2272</v>
      </c>
      <c r="M829" s="4" t="s">
        <v>2272</v>
      </c>
      <c r="N829" s="198"/>
    </row>
    <row r="830" spans="1:14" ht="31" customHeight="1">
      <c r="A830" s="11" t="s">
        <v>9307</v>
      </c>
      <c r="B830" s="11" t="s">
        <v>9311</v>
      </c>
      <c r="C830" s="198" t="s">
        <v>23</v>
      </c>
      <c r="D830" s="198" t="s">
        <v>1238</v>
      </c>
      <c r="E830" s="4" t="s">
        <v>114</v>
      </c>
      <c r="F830" s="4" t="s">
        <v>2657</v>
      </c>
      <c r="G830" s="198"/>
      <c r="H830" s="4" t="s">
        <v>2272</v>
      </c>
      <c r="I830" s="4" t="s">
        <v>2272</v>
      </c>
      <c r="J830" s="181">
        <v>2</v>
      </c>
      <c r="K830" s="4" t="s">
        <v>9324</v>
      </c>
      <c r="L830" s="4" t="s">
        <v>2272</v>
      </c>
      <c r="M830" s="4" t="s">
        <v>2272</v>
      </c>
      <c r="N830" s="198"/>
    </row>
    <row r="831" spans="1:14" ht="31" customHeight="1">
      <c r="A831" s="11" t="s">
        <v>9307</v>
      </c>
      <c r="B831" s="11" t="s">
        <v>9312</v>
      </c>
      <c r="C831" s="198" t="s">
        <v>23</v>
      </c>
      <c r="D831" s="198" t="s">
        <v>1238</v>
      </c>
      <c r="E831" s="4" t="s">
        <v>2648</v>
      </c>
      <c r="F831" s="4" t="s">
        <v>2657</v>
      </c>
      <c r="G831" s="198"/>
      <c r="H831" s="198">
        <v>3</v>
      </c>
      <c r="I831" s="198" t="s">
        <v>9320</v>
      </c>
      <c r="J831" s="181">
        <v>1</v>
      </c>
      <c r="K831" s="4" t="s">
        <v>9323</v>
      </c>
      <c r="L831" s="4" t="s">
        <v>2272</v>
      </c>
      <c r="M831" s="4" t="s">
        <v>2272</v>
      </c>
      <c r="N831" s="198"/>
    </row>
    <row r="832" spans="1:14" ht="38" customHeight="1">
      <c r="A832" s="11" t="s">
        <v>9330</v>
      </c>
      <c r="B832" s="11" t="s">
        <v>9343</v>
      </c>
      <c r="C832" s="198" t="s">
        <v>23</v>
      </c>
      <c r="D832" s="198" t="s">
        <v>1238</v>
      </c>
      <c r="E832" s="4" t="s">
        <v>2648</v>
      </c>
      <c r="F832" s="4" t="s">
        <v>2657</v>
      </c>
      <c r="G832" s="35"/>
      <c r="H832" s="163" t="s">
        <v>2272</v>
      </c>
      <c r="I832" s="4" t="s">
        <v>2272</v>
      </c>
      <c r="J832" s="4">
        <v>2</v>
      </c>
      <c r="K832" s="4" t="s">
        <v>9354</v>
      </c>
      <c r="L832" s="4" t="s">
        <v>2272</v>
      </c>
      <c r="M832" s="4" t="s">
        <v>2272</v>
      </c>
      <c r="N832" s="198"/>
    </row>
    <row r="833" spans="1:14" ht="38" customHeight="1">
      <c r="A833" s="11" t="s">
        <v>9331</v>
      </c>
      <c r="B833" s="11" t="s">
        <v>9344</v>
      </c>
      <c r="C833" s="198" t="s">
        <v>23</v>
      </c>
      <c r="D833" s="198" t="s">
        <v>1238</v>
      </c>
      <c r="E833" s="4" t="s">
        <v>2648</v>
      </c>
      <c r="F833" s="4" t="s">
        <v>2657</v>
      </c>
      <c r="G833" s="198"/>
      <c r="H833" s="163" t="s">
        <v>2272</v>
      </c>
      <c r="I833" s="163" t="s">
        <v>2272</v>
      </c>
      <c r="J833" s="198">
        <v>1</v>
      </c>
      <c r="K833" s="4" t="s">
        <v>9323</v>
      </c>
      <c r="L833" s="4" t="s">
        <v>2272</v>
      </c>
      <c r="M833" s="4" t="s">
        <v>2272</v>
      </c>
      <c r="N833" s="198"/>
    </row>
    <row r="834" spans="1:14" ht="38" customHeight="1">
      <c r="A834" s="11" t="s">
        <v>9332</v>
      </c>
      <c r="B834" s="11" t="s">
        <v>9345</v>
      </c>
      <c r="C834" s="198" t="s">
        <v>23</v>
      </c>
      <c r="D834" s="198" t="s">
        <v>1238</v>
      </c>
      <c r="E834" s="4" t="s">
        <v>2648</v>
      </c>
      <c r="F834" s="4" t="s">
        <v>2657</v>
      </c>
      <c r="G834" s="198"/>
      <c r="H834" s="163" t="s">
        <v>2272</v>
      </c>
      <c r="I834" s="163" t="s">
        <v>2272</v>
      </c>
      <c r="J834" s="198">
        <v>1</v>
      </c>
      <c r="K834" s="4" t="s">
        <v>9323</v>
      </c>
      <c r="L834" s="4" t="s">
        <v>2272</v>
      </c>
      <c r="M834" s="4" t="s">
        <v>2272</v>
      </c>
      <c r="N834" s="198"/>
    </row>
    <row r="835" spans="1:14" ht="38" customHeight="1">
      <c r="A835" s="11" t="s">
        <v>9333</v>
      </c>
      <c r="B835" s="11" t="s">
        <v>9346</v>
      </c>
      <c r="C835" s="198" t="s">
        <v>23</v>
      </c>
      <c r="D835" s="198" t="s">
        <v>1238</v>
      </c>
      <c r="E835" s="4" t="s">
        <v>2648</v>
      </c>
      <c r="F835" s="4" t="s">
        <v>2657</v>
      </c>
      <c r="G835" s="198"/>
      <c r="H835" s="163" t="s">
        <v>2272</v>
      </c>
      <c r="I835" s="163" t="s">
        <v>2272</v>
      </c>
      <c r="J835" s="4">
        <v>1</v>
      </c>
      <c r="K835" s="4" t="s">
        <v>9323</v>
      </c>
      <c r="L835" s="4" t="s">
        <v>2272</v>
      </c>
      <c r="M835" s="4" t="s">
        <v>2272</v>
      </c>
      <c r="N835" s="198"/>
    </row>
    <row r="836" spans="1:14" ht="38" customHeight="1">
      <c r="A836" s="11" t="s">
        <v>9334</v>
      </c>
      <c r="B836" s="11" t="s">
        <v>9347</v>
      </c>
      <c r="C836" s="198" t="s">
        <v>23</v>
      </c>
      <c r="D836" s="198" t="s">
        <v>1238</v>
      </c>
      <c r="E836" s="4" t="s">
        <v>2648</v>
      </c>
      <c r="F836" s="4" t="s">
        <v>2657</v>
      </c>
      <c r="G836" s="198"/>
      <c r="H836" s="163" t="s">
        <v>2272</v>
      </c>
      <c r="I836" s="163" t="s">
        <v>2272</v>
      </c>
      <c r="J836" s="198">
        <v>1</v>
      </c>
      <c r="K836" s="4" t="s">
        <v>9323</v>
      </c>
      <c r="L836" s="4" t="s">
        <v>2272</v>
      </c>
      <c r="M836" s="4" t="s">
        <v>2272</v>
      </c>
      <c r="N836" s="198"/>
    </row>
    <row r="837" spans="1:14" ht="38" customHeight="1">
      <c r="A837" s="11" t="s">
        <v>9335</v>
      </c>
      <c r="B837" s="11" t="s">
        <v>9348</v>
      </c>
      <c r="C837" s="198" t="s">
        <v>23</v>
      </c>
      <c r="D837" s="198" t="s">
        <v>1238</v>
      </c>
      <c r="E837" s="4" t="s">
        <v>2648</v>
      </c>
      <c r="F837" s="4" t="s">
        <v>2657</v>
      </c>
      <c r="G837" s="198"/>
      <c r="H837" s="163" t="s">
        <v>2272</v>
      </c>
      <c r="I837" s="163" t="s">
        <v>2272</v>
      </c>
      <c r="J837" s="198">
        <v>1</v>
      </c>
      <c r="K837" s="4" t="s">
        <v>9323</v>
      </c>
      <c r="L837" s="4" t="s">
        <v>2272</v>
      </c>
      <c r="M837" s="4" t="s">
        <v>2272</v>
      </c>
      <c r="N837" s="198"/>
    </row>
    <row r="838" spans="1:14" ht="38" customHeight="1">
      <c r="A838" s="11" t="s">
        <v>9336</v>
      </c>
      <c r="B838" s="11" t="s">
        <v>9349</v>
      </c>
      <c r="C838" s="198" t="s">
        <v>23</v>
      </c>
      <c r="D838" s="198" t="s">
        <v>1238</v>
      </c>
      <c r="E838" s="4" t="s">
        <v>2648</v>
      </c>
      <c r="F838" s="4" t="s">
        <v>2657</v>
      </c>
      <c r="G838" s="198"/>
      <c r="H838" s="163" t="s">
        <v>2272</v>
      </c>
      <c r="I838" s="163" t="s">
        <v>2272</v>
      </c>
      <c r="J838" s="198">
        <v>1</v>
      </c>
      <c r="K838" s="4" t="s">
        <v>9323</v>
      </c>
      <c r="L838" s="4" t="s">
        <v>2272</v>
      </c>
      <c r="M838" s="4" t="s">
        <v>2272</v>
      </c>
      <c r="N838" s="198"/>
    </row>
    <row r="839" spans="1:14" ht="38" customHeight="1">
      <c r="A839" s="11" t="s">
        <v>9337</v>
      </c>
      <c r="B839" s="11" t="s">
        <v>9350</v>
      </c>
      <c r="C839" s="198" t="s">
        <v>23</v>
      </c>
      <c r="D839" s="198" t="s">
        <v>1238</v>
      </c>
      <c r="E839" s="4" t="s">
        <v>2648</v>
      </c>
      <c r="F839" s="4" t="s">
        <v>2657</v>
      </c>
      <c r="G839" s="198"/>
      <c r="H839" s="163" t="s">
        <v>2272</v>
      </c>
      <c r="I839" s="163" t="s">
        <v>2272</v>
      </c>
      <c r="J839" s="198">
        <v>1</v>
      </c>
      <c r="K839" s="4" t="s">
        <v>9323</v>
      </c>
      <c r="L839" s="4" t="s">
        <v>2272</v>
      </c>
      <c r="M839" s="4" t="s">
        <v>2272</v>
      </c>
      <c r="N839" s="198"/>
    </row>
    <row r="840" spans="1:14" ht="38" customHeight="1">
      <c r="A840" s="11" t="s">
        <v>9338</v>
      </c>
      <c r="B840" s="11" t="s">
        <v>9351</v>
      </c>
      <c r="C840" s="198" t="s">
        <v>23</v>
      </c>
      <c r="D840" s="198" t="s">
        <v>1238</v>
      </c>
      <c r="E840" s="4" t="s">
        <v>2648</v>
      </c>
      <c r="F840" s="4" t="s">
        <v>2657</v>
      </c>
      <c r="G840" s="198"/>
      <c r="H840" s="163" t="s">
        <v>2272</v>
      </c>
      <c r="I840" s="163" t="s">
        <v>2272</v>
      </c>
      <c r="J840" s="198">
        <v>1</v>
      </c>
      <c r="K840" s="4" t="s">
        <v>9323</v>
      </c>
      <c r="L840" s="4" t="s">
        <v>2272</v>
      </c>
      <c r="M840" s="4" t="s">
        <v>2272</v>
      </c>
      <c r="N840" s="198"/>
    </row>
    <row r="841" spans="1:14" ht="38" customHeight="1">
      <c r="A841" s="11" t="s">
        <v>9339</v>
      </c>
      <c r="B841" s="11" t="s">
        <v>9352</v>
      </c>
      <c r="C841" s="198" t="s">
        <v>23</v>
      </c>
      <c r="D841" s="198" t="s">
        <v>1238</v>
      </c>
      <c r="E841" s="4" t="s">
        <v>2648</v>
      </c>
      <c r="F841" s="4" t="s">
        <v>2657</v>
      </c>
      <c r="G841" s="198"/>
      <c r="H841" s="163" t="s">
        <v>2272</v>
      </c>
      <c r="I841" s="163" t="s">
        <v>2272</v>
      </c>
      <c r="J841" s="198">
        <v>1</v>
      </c>
      <c r="K841" s="4" t="s">
        <v>9323</v>
      </c>
      <c r="L841" s="4" t="s">
        <v>2272</v>
      </c>
      <c r="M841" s="4" t="s">
        <v>2272</v>
      </c>
      <c r="N841" s="198"/>
    </row>
    <row r="842" spans="1:14" ht="38" customHeight="1">
      <c r="A842" s="11" t="s">
        <v>9340</v>
      </c>
      <c r="B842" s="11" t="s">
        <v>9353</v>
      </c>
      <c r="C842" s="198" t="s">
        <v>23</v>
      </c>
      <c r="D842" s="198" t="s">
        <v>1238</v>
      </c>
      <c r="E842" s="4" t="s">
        <v>2648</v>
      </c>
      <c r="F842" s="4" t="s">
        <v>2657</v>
      </c>
      <c r="G842" s="198"/>
      <c r="H842" s="4" t="s">
        <v>2272</v>
      </c>
      <c r="I842" s="4" t="s">
        <v>2272</v>
      </c>
      <c r="J842" s="198">
        <v>1</v>
      </c>
      <c r="K842" s="4" t="s">
        <v>9323</v>
      </c>
      <c r="L842" s="4" t="s">
        <v>2272</v>
      </c>
      <c r="M842" s="4" t="s">
        <v>2272</v>
      </c>
      <c r="N842" s="198"/>
    </row>
    <row r="843" spans="1:14" ht="38" customHeight="1">
      <c r="A843" s="11" t="s">
        <v>9356</v>
      </c>
      <c r="B843" s="11" t="s">
        <v>9358</v>
      </c>
      <c r="C843" s="198" t="s">
        <v>1102</v>
      </c>
      <c r="D843" s="198" t="s">
        <v>1102</v>
      </c>
      <c r="E843" s="4" t="s">
        <v>860</v>
      </c>
      <c r="F843" s="198" t="s">
        <v>73</v>
      </c>
      <c r="G843" s="198"/>
      <c r="H843" s="4" t="s">
        <v>2272</v>
      </c>
      <c r="I843" s="4" t="s">
        <v>2272</v>
      </c>
      <c r="J843" s="198">
        <v>0</v>
      </c>
      <c r="K843" s="19" t="s">
        <v>9364</v>
      </c>
      <c r="L843" s="4" t="s">
        <v>2272</v>
      </c>
      <c r="M843" s="4" t="s">
        <v>2272</v>
      </c>
      <c r="N843" s="198"/>
    </row>
    <row r="844" spans="1:14" ht="48.5" customHeight="1">
      <c r="A844" s="11" t="s">
        <v>9367</v>
      </c>
      <c r="B844" s="11" t="s">
        <v>9368</v>
      </c>
      <c r="C844" s="198" t="s">
        <v>1102</v>
      </c>
      <c r="D844" s="198" t="s">
        <v>1102</v>
      </c>
      <c r="E844" s="4" t="s">
        <v>3204</v>
      </c>
      <c r="F844" s="198" t="s">
        <v>73</v>
      </c>
      <c r="G844" s="198"/>
      <c r="H844" s="4" t="s">
        <v>2272</v>
      </c>
      <c r="I844" s="4" t="s">
        <v>2272</v>
      </c>
      <c r="J844" s="4" t="s">
        <v>2272</v>
      </c>
      <c r="K844" s="4" t="s">
        <v>2272</v>
      </c>
      <c r="L844" s="198">
        <v>1</v>
      </c>
      <c r="M844" s="19" t="s">
        <v>9372</v>
      </c>
      <c r="N844" s="198"/>
    </row>
    <row r="845" spans="1:14" ht="56" customHeight="1">
      <c r="A845" s="11" t="s">
        <v>9390</v>
      </c>
      <c r="B845" s="11" t="s">
        <v>9392</v>
      </c>
      <c r="C845" s="198" t="s">
        <v>1102</v>
      </c>
      <c r="D845" s="198" t="s">
        <v>1102</v>
      </c>
      <c r="E845" s="4" t="s">
        <v>3204</v>
      </c>
      <c r="F845" s="198" t="s">
        <v>73</v>
      </c>
      <c r="G845" s="198"/>
      <c r="H845" s="4" t="s">
        <v>2272</v>
      </c>
      <c r="I845" s="4" t="s">
        <v>2272</v>
      </c>
      <c r="J845" s="198">
        <v>1</v>
      </c>
      <c r="K845" s="19" t="s">
        <v>9404</v>
      </c>
      <c r="L845" s="198">
        <v>1</v>
      </c>
      <c r="M845" s="19" t="s">
        <v>9404</v>
      </c>
      <c r="N845" s="198"/>
    </row>
    <row r="846" spans="1:14" ht="50" customHeight="1">
      <c r="A846" s="26" t="s">
        <v>9390</v>
      </c>
      <c r="B846" s="26" t="s">
        <v>9393</v>
      </c>
      <c r="C846" s="198" t="s">
        <v>23</v>
      </c>
      <c r="D846" s="198" t="s">
        <v>1102</v>
      </c>
      <c r="E846" s="4" t="s">
        <v>82</v>
      </c>
      <c r="F846" s="4" t="s">
        <v>27</v>
      </c>
      <c r="G846" s="198"/>
      <c r="H846" s="4" t="s">
        <v>2272</v>
      </c>
      <c r="I846" s="4" t="s">
        <v>2272</v>
      </c>
      <c r="J846" s="4" t="s">
        <v>2272</v>
      </c>
      <c r="K846" s="4" t="s">
        <v>2272</v>
      </c>
      <c r="L846" s="198">
        <v>0</v>
      </c>
      <c r="M846" s="198" t="s">
        <v>9407</v>
      </c>
      <c r="N846" s="198"/>
    </row>
    <row r="847" spans="1:14" ht="57.5" customHeight="1">
      <c r="A847" s="26" t="s">
        <v>9390</v>
      </c>
      <c r="B847" s="26" t="s">
        <v>9394</v>
      </c>
      <c r="C847" s="198" t="s">
        <v>23</v>
      </c>
      <c r="D847" s="198" t="s">
        <v>1102</v>
      </c>
      <c r="E847" s="4" t="s">
        <v>2644</v>
      </c>
      <c r="F847" s="4" t="s">
        <v>2658</v>
      </c>
      <c r="G847" s="198"/>
      <c r="H847" s="4" t="s">
        <v>2272</v>
      </c>
      <c r="I847" s="4" t="s">
        <v>2272</v>
      </c>
      <c r="J847" s="4" t="s">
        <v>2272</v>
      </c>
      <c r="K847" s="4" t="s">
        <v>2272</v>
      </c>
      <c r="L847" s="198">
        <v>0</v>
      </c>
      <c r="M847" s="198" t="s">
        <v>9407</v>
      </c>
      <c r="N847" s="198"/>
    </row>
    <row r="848" spans="1:14" ht="51" customHeight="1">
      <c r="A848" s="26" t="s">
        <v>9390</v>
      </c>
      <c r="B848" s="26" t="s">
        <v>9395</v>
      </c>
      <c r="C848" s="198" t="s">
        <v>23</v>
      </c>
      <c r="D848" s="198" t="s">
        <v>1102</v>
      </c>
      <c r="E848" s="4" t="s">
        <v>394</v>
      </c>
      <c r="F848" s="4" t="s">
        <v>73</v>
      </c>
      <c r="G848" s="198"/>
      <c r="H848" s="4" t="s">
        <v>2272</v>
      </c>
      <c r="I848" s="4" t="s">
        <v>2272</v>
      </c>
      <c r="J848" s="4" t="s">
        <v>2272</v>
      </c>
      <c r="K848" s="4" t="s">
        <v>2272</v>
      </c>
      <c r="L848" s="198">
        <v>2</v>
      </c>
      <c r="M848" s="11" t="s">
        <v>9408</v>
      </c>
      <c r="N848" s="198"/>
    </row>
    <row r="849" spans="1:14" ht="50" customHeight="1">
      <c r="A849" s="26" t="s">
        <v>9390</v>
      </c>
      <c r="B849" s="26" t="s">
        <v>9396</v>
      </c>
      <c r="C849" s="4" t="s">
        <v>23</v>
      </c>
      <c r="D849" s="4" t="s">
        <v>1102</v>
      </c>
      <c r="E849" s="4" t="s">
        <v>394</v>
      </c>
      <c r="F849" s="4" t="s">
        <v>27</v>
      </c>
      <c r="G849" s="4"/>
      <c r="H849" s="4" t="s">
        <v>2272</v>
      </c>
      <c r="I849" s="4" t="s">
        <v>2272</v>
      </c>
      <c r="J849" s="4" t="s">
        <v>2272</v>
      </c>
      <c r="K849" s="4" t="s">
        <v>2272</v>
      </c>
      <c r="L849" s="4">
        <v>2</v>
      </c>
      <c r="M849" s="19" t="s">
        <v>9409</v>
      </c>
      <c r="N849" s="4"/>
    </row>
    <row r="850" spans="1:14" ht="91.5" customHeight="1">
      <c r="A850" s="11" t="s">
        <v>9411</v>
      </c>
      <c r="B850" s="11" t="s">
        <v>9423</v>
      </c>
      <c r="C850" s="4" t="s">
        <v>23</v>
      </c>
      <c r="D850" s="4" t="s">
        <v>1102</v>
      </c>
      <c r="E850" s="4" t="s">
        <v>2645</v>
      </c>
      <c r="F850" s="198" t="s">
        <v>2658</v>
      </c>
      <c r="G850" s="198"/>
      <c r="H850" s="198">
        <v>2</v>
      </c>
      <c r="I850" s="4" t="s">
        <v>9439</v>
      </c>
      <c r="J850" s="198">
        <v>2</v>
      </c>
      <c r="K850" s="4" t="s">
        <v>9439</v>
      </c>
      <c r="L850" s="4" t="s">
        <v>2272</v>
      </c>
      <c r="M850" s="4" t="s">
        <v>2272</v>
      </c>
      <c r="N850" s="198"/>
    </row>
    <row r="851" spans="1:14" ht="91.5" customHeight="1">
      <c r="A851" s="11" t="s">
        <v>9417</v>
      </c>
      <c r="B851" s="11" t="s">
        <v>9424</v>
      </c>
      <c r="C851" s="4" t="s">
        <v>23</v>
      </c>
      <c r="D851" s="4" t="s">
        <v>1102</v>
      </c>
      <c r="E851" s="4" t="s">
        <v>2645</v>
      </c>
      <c r="F851" s="198" t="s">
        <v>2658</v>
      </c>
      <c r="G851" s="198"/>
      <c r="H851" s="198">
        <v>2</v>
      </c>
      <c r="I851" s="4" t="s">
        <v>9439</v>
      </c>
      <c r="J851" s="198">
        <v>2</v>
      </c>
      <c r="K851" s="4" t="s">
        <v>9439</v>
      </c>
      <c r="L851" s="4" t="s">
        <v>2272</v>
      </c>
      <c r="M851" s="4" t="s">
        <v>2272</v>
      </c>
      <c r="N851" s="198"/>
    </row>
    <row r="852" spans="1:14" ht="91.5" customHeight="1">
      <c r="A852" s="11" t="s">
        <v>9418</v>
      </c>
      <c r="B852" s="11" t="s">
        <v>9425</v>
      </c>
      <c r="C852" s="4" t="s">
        <v>23</v>
      </c>
      <c r="D852" s="4" t="s">
        <v>1102</v>
      </c>
      <c r="E852" s="4" t="s">
        <v>2645</v>
      </c>
      <c r="F852" s="198" t="s">
        <v>2658</v>
      </c>
      <c r="G852" s="198"/>
      <c r="H852" s="198">
        <v>2</v>
      </c>
      <c r="I852" s="4" t="s">
        <v>9439</v>
      </c>
      <c r="J852" s="198">
        <v>2</v>
      </c>
      <c r="K852" s="4" t="s">
        <v>9439</v>
      </c>
      <c r="L852" s="4" t="s">
        <v>2272</v>
      </c>
      <c r="M852" s="4" t="s">
        <v>2272</v>
      </c>
      <c r="N852" s="198"/>
    </row>
    <row r="853" spans="1:14" ht="91.5" customHeight="1">
      <c r="A853" s="11" t="s">
        <v>9419</v>
      </c>
      <c r="B853" s="11" t="s">
        <v>9426</v>
      </c>
      <c r="C853" s="4" t="s">
        <v>23</v>
      </c>
      <c r="D853" s="4" t="s">
        <v>1102</v>
      </c>
      <c r="E853" s="4" t="s">
        <v>2645</v>
      </c>
      <c r="F853" s="198" t="s">
        <v>2658</v>
      </c>
      <c r="G853" s="198"/>
      <c r="H853" s="198">
        <v>2</v>
      </c>
      <c r="I853" s="4" t="s">
        <v>9439</v>
      </c>
      <c r="J853" s="198">
        <v>2</v>
      </c>
      <c r="K853" s="4" t="s">
        <v>9439</v>
      </c>
      <c r="L853" s="4" t="s">
        <v>2272</v>
      </c>
      <c r="M853" s="4" t="s">
        <v>2272</v>
      </c>
      <c r="N853" s="198"/>
    </row>
    <row r="854" spans="1:14" ht="91.5" customHeight="1">
      <c r="A854" s="11" t="s">
        <v>9416</v>
      </c>
      <c r="B854" s="11" t="s">
        <v>9427</v>
      </c>
      <c r="C854" s="4" t="s">
        <v>23</v>
      </c>
      <c r="D854" s="4" t="s">
        <v>1102</v>
      </c>
      <c r="E854" s="4" t="s">
        <v>2645</v>
      </c>
      <c r="F854" s="198" t="s">
        <v>2658</v>
      </c>
      <c r="G854" s="198"/>
      <c r="H854" s="198">
        <v>2</v>
      </c>
      <c r="I854" s="4" t="s">
        <v>9439</v>
      </c>
      <c r="J854" s="198">
        <v>2</v>
      </c>
      <c r="K854" s="4" t="s">
        <v>9439</v>
      </c>
      <c r="L854" s="4" t="s">
        <v>2272</v>
      </c>
      <c r="M854" s="4" t="s">
        <v>2272</v>
      </c>
      <c r="N854" s="198"/>
    </row>
    <row r="855" spans="1:14" ht="91.5" customHeight="1">
      <c r="A855" s="11" t="s">
        <v>9411</v>
      </c>
      <c r="B855" s="11" t="s">
        <v>9428</v>
      </c>
      <c r="C855" s="4" t="s">
        <v>23</v>
      </c>
      <c r="D855" s="4" t="s">
        <v>1102</v>
      </c>
      <c r="E855" s="4" t="s">
        <v>2646</v>
      </c>
      <c r="F855" s="198" t="s">
        <v>2658</v>
      </c>
      <c r="G855" s="198"/>
      <c r="H855" s="198">
        <v>2</v>
      </c>
      <c r="I855" s="4" t="s">
        <v>9439</v>
      </c>
      <c r="J855" s="198">
        <v>2</v>
      </c>
      <c r="K855" s="4" t="s">
        <v>9439</v>
      </c>
      <c r="L855" s="4" t="s">
        <v>2272</v>
      </c>
      <c r="M855" s="4" t="s">
        <v>2272</v>
      </c>
      <c r="N855" s="198"/>
    </row>
    <row r="856" spans="1:14" ht="91.5" customHeight="1">
      <c r="A856" s="11" t="s">
        <v>9417</v>
      </c>
      <c r="B856" s="11" t="s">
        <v>9429</v>
      </c>
      <c r="C856" s="4" t="s">
        <v>23</v>
      </c>
      <c r="D856" s="4" t="s">
        <v>1102</v>
      </c>
      <c r="E856" s="4" t="s">
        <v>2646</v>
      </c>
      <c r="F856" s="198" t="s">
        <v>2658</v>
      </c>
      <c r="G856" s="198"/>
      <c r="H856" s="198">
        <v>2</v>
      </c>
      <c r="I856" s="4" t="s">
        <v>9439</v>
      </c>
      <c r="J856" s="198">
        <v>2</v>
      </c>
      <c r="K856" s="4" t="s">
        <v>9439</v>
      </c>
      <c r="L856" s="4" t="s">
        <v>2272</v>
      </c>
      <c r="M856" s="4" t="s">
        <v>2272</v>
      </c>
      <c r="N856" s="198"/>
    </row>
    <row r="857" spans="1:14" ht="91.5" customHeight="1">
      <c r="A857" s="11" t="s">
        <v>9418</v>
      </c>
      <c r="B857" s="11" t="s">
        <v>9430</v>
      </c>
      <c r="C857" s="4" t="s">
        <v>23</v>
      </c>
      <c r="D857" s="4" t="s">
        <v>1102</v>
      </c>
      <c r="E857" s="4" t="s">
        <v>2646</v>
      </c>
      <c r="F857" s="198" t="s">
        <v>2658</v>
      </c>
      <c r="G857" s="198"/>
      <c r="H857" s="198">
        <v>2</v>
      </c>
      <c r="I857" s="4" t="s">
        <v>9439</v>
      </c>
      <c r="J857" s="198">
        <v>2</v>
      </c>
      <c r="K857" s="4" t="s">
        <v>9439</v>
      </c>
      <c r="L857" s="4" t="s">
        <v>2272</v>
      </c>
      <c r="M857" s="4" t="s">
        <v>2272</v>
      </c>
      <c r="N857" s="198"/>
    </row>
    <row r="858" spans="1:14" ht="91.5" customHeight="1">
      <c r="A858" s="11" t="s">
        <v>9419</v>
      </c>
      <c r="B858" s="11" t="s">
        <v>9431</v>
      </c>
      <c r="C858" s="4" t="s">
        <v>23</v>
      </c>
      <c r="D858" s="4" t="s">
        <v>1102</v>
      </c>
      <c r="E858" s="4" t="s">
        <v>2646</v>
      </c>
      <c r="F858" s="198" t="s">
        <v>2658</v>
      </c>
      <c r="G858" s="198"/>
      <c r="H858" s="198">
        <v>2</v>
      </c>
      <c r="I858" s="4" t="s">
        <v>9439</v>
      </c>
      <c r="J858" s="198">
        <v>2</v>
      </c>
      <c r="K858" s="4" t="s">
        <v>9439</v>
      </c>
      <c r="L858" s="4" t="s">
        <v>2272</v>
      </c>
      <c r="M858" s="4" t="s">
        <v>2272</v>
      </c>
      <c r="N858" s="198"/>
    </row>
    <row r="859" spans="1:14" ht="91.5" customHeight="1">
      <c r="A859" s="11" t="s">
        <v>9416</v>
      </c>
      <c r="B859" s="11" t="s">
        <v>9432</v>
      </c>
      <c r="C859" s="4" t="s">
        <v>23</v>
      </c>
      <c r="D859" s="4" t="s">
        <v>1102</v>
      </c>
      <c r="E859" s="4" t="s">
        <v>2646</v>
      </c>
      <c r="F859" s="198" t="s">
        <v>2658</v>
      </c>
      <c r="G859" s="198"/>
      <c r="H859" s="198">
        <v>2</v>
      </c>
      <c r="I859" s="4" t="s">
        <v>9439</v>
      </c>
      <c r="J859" s="198">
        <v>2</v>
      </c>
      <c r="K859" s="4" t="s">
        <v>9439</v>
      </c>
      <c r="L859" s="4" t="s">
        <v>2272</v>
      </c>
      <c r="M859" s="4" t="s">
        <v>2272</v>
      </c>
      <c r="N859" s="198"/>
    </row>
    <row r="860" spans="1:14" ht="91.5" customHeight="1">
      <c r="A860" s="11" t="s">
        <v>9411</v>
      </c>
      <c r="B860" s="11" t="s">
        <v>9433</v>
      </c>
      <c r="C860" s="4" t="s">
        <v>23</v>
      </c>
      <c r="D860" s="198" t="s">
        <v>3475</v>
      </c>
      <c r="E860" s="4" t="s">
        <v>114</v>
      </c>
      <c r="F860" s="198" t="s">
        <v>2272</v>
      </c>
      <c r="G860" s="198"/>
      <c r="H860" s="198">
        <v>2</v>
      </c>
      <c r="I860" s="4" t="s">
        <v>9439</v>
      </c>
      <c r="J860" s="198">
        <v>2</v>
      </c>
      <c r="K860" s="4" t="s">
        <v>9439</v>
      </c>
      <c r="L860" s="4" t="s">
        <v>2272</v>
      </c>
      <c r="M860" s="4" t="s">
        <v>2272</v>
      </c>
      <c r="N860" s="198"/>
    </row>
    <row r="861" spans="1:14" ht="91.5" customHeight="1">
      <c r="A861" s="11" t="s">
        <v>9417</v>
      </c>
      <c r="B861" s="11" t="s">
        <v>9434</v>
      </c>
      <c r="C861" s="4" t="s">
        <v>23</v>
      </c>
      <c r="D861" s="198" t="s">
        <v>3475</v>
      </c>
      <c r="E861" s="4" t="s">
        <v>114</v>
      </c>
      <c r="F861" s="198" t="s">
        <v>2272</v>
      </c>
      <c r="G861" s="198"/>
      <c r="H861" s="198">
        <v>2</v>
      </c>
      <c r="I861" s="4" t="s">
        <v>9439</v>
      </c>
      <c r="J861" s="198">
        <v>2</v>
      </c>
      <c r="K861" s="4" t="s">
        <v>9439</v>
      </c>
      <c r="L861" s="4" t="s">
        <v>2272</v>
      </c>
      <c r="M861" s="4" t="s">
        <v>2272</v>
      </c>
      <c r="N861" s="198"/>
    </row>
    <row r="862" spans="1:14" ht="91.5" customHeight="1">
      <c r="A862" s="11" t="s">
        <v>9418</v>
      </c>
      <c r="B862" s="11" t="s">
        <v>9435</v>
      </c>
      <c r="C862" s="4" t="s">
        <v>23</v>
      </c>
      <c r="D862" s="198" t="s">
        <v>3475</v>
      </c>
      <c r="E862" s="4" t="s">
        <v>114</v>
      </c>
      <c r="F862" s="198" t="s">
        <v>2272</v>
      </c>
      <c r="G862" s="198"/>
      <c r="H862" s="198">
        <v>2</v>
      </c>
      <c r="I862" s="4" t="s">
        <v>9439</v>
      </c>
      <c r="J862" s="198">
        <v>2</v>
      </c>
      <c r="K862" s="4" t="s">
        <v>9439</v>
      </c>
      <c r="L862" s="4" t="s">
        <v>2272</v>
      </c>
      <c r="M862" s="4" t="s">
        <v>2272</v>
      </c>
      <c r="N862" s="198"/>
    </row>
    <row r="863" spans="1:14" ht="91.5" customHeight="1">
      <c r="A863" s="11" t="s">
        <v>9419</v>
      </c>
      <c r="B863" s="11" t="s">
        <v>9436</v>
      </c>
      <c r="C863" s="4" t="s">
        <v>23</v>
      </c>
      <c r="D863" s="198" t="s">
        <v>3475</v>
      </c>
      <c r="E863" s="4" t="s">
        <v>114</v>
      </c>
      <c r="F863" s="198" t="s">
        <v>2272</v>
      </c>
      <c r="G863" s="198"/>
      <c r="H863" s="198">
        <v>2</v>
      </c>
      <c r="I863" s="4" t="s">
        <v>9439</v>
      </c>
      <c r="J863" s="198">
        <v>2</v>
      </c>
      <c r="K863" s="4" t="s">
        <v>9439</v>
      </c>
      <c r="L863" s="4" t="s">
        <v>2272</v>
      </c>
      <c r="M863" s="4" t="s">
        <v>2272</v>
      </c>
      <c r="N863" s="198"/>
    </row>
    <row r="864" spans="1:14" ht="91.5" customHeight="1">
      <c r="A864" s="11" t="s">
        <v>9416</v>
      </c>
      <c r="B864" s="11" t="s">
        <v>9437</v>
      </c>
      <c r="C864" s="4" t="s">
        <v>23</v>
      </c>
      <c r="D864" s="198" t="s">
        <v>3475</v>
      </c>
      <c r="E864" s="4" t="s">
        <v>114</v>
      </c>
      <c r="F864" s="198" t="s">
        <v>2272</v>
      </c>
      <c r="G864" s="198"/>
      <c r="H864" s="198">
        <v>2</v>
      </c>
      <c r="I864" s="4" t="s">
        <v>9439</v>
      </c>
      <c r="J864" s="198">
        <v>2</v>
      </c>
      <c r="K864" s="4" t="s">
        <v>9439</v>
      </c>
      <c r="L864" s="4" t="s">
        <v>2272</v>
      </c>
      <c r="M864" s="4" t="s">
        <v>2272</v>
      </c>
      <c r="N864" s="198"/>
    </row>
    <row r="865" spans="1:14" ht="91.5" customHeight="1">
      <c r="A865" s="11" t="s">
        <v>9411</v>
      </c>
      <c r="B865" s="11" t="s">
        <v>9440</v>
      </c>
      <c r="C865" s="4" t="s">
        <v>23</v>
      </c>
      <c r="D865" s="198" t="s">
        <v>1241</v>
      </c>
      <c r="E865" s="4" t="s">
        <v>114</v>
      </c>
      <c r="F865" s="198" t="s">
        <v>2272</v>
      </c>
      <c r="G865" s="198"/>
      <c r="H865" s="198">
        <v>2</v>
      </c>
      <c r="I865" s="4" t="s">
        <v>9439</v>
      </c>
      <c r="J865" s="198">
        <v>2</v>
      </c>
      <c r="K865" s="4" t="s">
        <v>9439</v>
      </c>
      <c r="L865" s="4" t="s">
        <v>2272</v>
      </c>
      <c r="M865" s="4" t="s">
        <v>2272</v>
      </c>
      <c r="N865" s="198"/>
    </row>
    <row r="866" spans="1:14" ht="91.5" customHeight="1">
      <c r="A866" s="11" t="s">
        <v>9417</v>
      </c>
      <c r="B866" s="11" t="s">
        <v>9441</v>
      </c>
      <c r="C866" s="4" t="s">
        <v>23</v>
      </c>
      <c r="D866" s="198" t="s">
        <v>1241</v>
      </c>
      <c r="E866" s="4" t="s">
        <v>114</v>
      </c>
      <c r="F866" s="198" t="s">
        <v>2272</v>
      </c>
      <c r="G866" s="198"/>
      <c r="H866" s="198">
        <v>2</v>
      </c>
      <c r="I866" s="4" t="s">
        <v>9439</v>
      </c>
      <c r="J866" s="198">
        <v>2</v>
      </c>
      <c r="K866" s="4" t="s">
        <v>9439</v>
      </c>
      <c r="L866" s="4" t="s">
        <v>2272</v>
      </c>
      <c r="M866" s="4" t="s">
        <v>2272</v>
      </c>
      <c r="N866" s="198"/>
    </row>
    <row r="867" spans="1:14" ht="91.5" customHeight="1">
      <c r="A867" s="11" t="s">
        <v>9418</v>
      </c>
      <c r="B867" s="11" t="s">
        <v>9442</v>
      </c>
      <c r="C867" s="4" t="s">
        <v>23</v>
      </c>
      <c r="D867" s="198" t="s">
        <v>1241</v>
      </c>
      <c r="E867" s="4" t="s">
        <v>114</v>
      </c>
      <c r="F867" s="198" t="s">
        <v>2272</v>
      </c>
      <c r="G867" s="198"/>
      <c r="H867" s="198">
        <v>2</v>
      </c>
      <c r="I867" s="4" t="s">
        <v>9439</v>
      </c>
      <c r="J867" s="198">
        <v>2</v>
      </c>
      <c r="K867" s="4" t="s">
        <v>9439</v>
      </c>
      <c r="L867" s="4" t="s">
        <v>2272</v>
      </c>
      <c r="M867" s="4" t="s">
        <v>2272</v>
      </c>
      <c r="N867" s="198"/>
    </row>
    <row r="868" spans="1:14" ht="91.5" customHeight="1">
      <c r="A868" s="11" t="s">
        <v>9419</v>
      </c>
      <c r="B868" s="11" t="s">
        <v>9443</v>
      </c>
      <c r="C868" s="4" t="s">
        <v>23</v>
      </c>
      <c r="D868" s="198" t="s">
        <v>1241</v>
      </c>
      <c r="E868" s="4" t="s">
        <v>114</v>
      </c>
      <c r="F868" s="198" t="s">
        <v>2272</v>
      </c>
      <c r="G868" s="198"/>
      <c r="H868" s="198">
        <v>2</v>
      </c>
      <c r="I868" s="4" t="s">
        <v>9439</v>
      </c>
      <c r="J868" s="198">
        <v>2</v>
      </c>
      <c r="K868" s="4" t="s">
        <v>9439</v>
      </c>
      <c r="L868" s="4" t="s">
        <v>2272</v>
      </c>
      <c r="M868" s="4" t="s">
        <v>2272</v>
      </c>
      <c r="N868" s="198"/>
    </row>
    <row r="869" spans="1:14" ht="93.5" customHeight="1">
      <c r="A869" s="11" t="s">
        <v>9416</v>
      </c>
      <c r="B869" s="11" t="s">
        <v>9444</v>
      </c>
      <c r="C869" s="4" t="s">
        <v>23</v>
      </c>
      <c r="D869" s="198" t="s">
        <v>1241</v>
      </c>
      <c r="E869" s="4" t="s">
        <v>114</v>
      </c>
      <c r="F869" s="198" t="s">
        <v>2272</v>
      </c>
      <c r="G869" s="198"/>
      <c r="H869" s="198">
        <v>2</v>
      </c>
      <c r="I869" s="4" t="s">
        <v>9439</v>
      </c>
      <c r="J869" s="198">
        <v>2</v>
      </c>
      <c r="K869" s="4" t="s">
        <v>9439</v>
      </c>
      <c r="L869" s="4" t="s">
        <v>2272</v>
      </c>
      <c r="M869" s="4" t="s">
        <v>2272</v>
      </c>
      <c r="N869" s="198"/>
    </row>
    <row r="870" spans="1:14" ht="93.5" customHeight="1">
      <c r="A870" s="11" t="s">
        <v>9411</v>
      </c>
      <c r="B870" s="11" t="s">
        <v>9445</v>
      </c>
      <c r="C870" s="4" t="s">
        <v>23</v>
      </c>
      <c r="D870" s="198" t="s">
        <v>26</v>
      </c>
      <c r="E870" s="4" t="s">
        <v>128</v>
      </c>
      <c r="F870" s="198" t="s">
        <v>158</v>
      </c>
      <c r="G870" s="198"/>
      <c r="H870" s="198">
        <v>2</v>
      </c>
      <c r="I870" s="4" t="s">
        <v>9439</v>
      </c>
      <c r="J870" s="198">
        <v>2</v>
      </c>
      <c r="K870" s="4" t="s">
        <v>9439</v>
      </c>
      <c r="L870" s="4" t="s">
        <v>2272</v>
      </c>
      <c r="M870" s="4" t="s">
        <v>2272</v>
      </c>
      <c r="N870" s="198"/>
    </row>
    <row r="871" spans="1:14" ht="93.5" customHeight="1">
      <c r="A871" s="11" t="s">
        <v>9417</v>
      </c>
      <c r="B871" s="11" t="s">
        <v>9446</v>
      </c>
      <c r="C871" s="4" t="s">
        <v>23</v>
      </c>
      <c r="D871" s="198" t="s">
        <v>26</v>
      </c>
      <c r="E871" s="4" t="s">
        <v>128</v>
      </c>
      <c r="F871" s="198" t="s">
        <v>158</v>
      </c>
      <c r="G871" s="198"/>
      <c r="H871" s="198">
        <v>2</v>
      </c>
      <c r="I871" s="4" t="s">
        <v>9439</v>
      </c>
      <c r="J871" s="198">
        <v>2</v>
      </c>
      <c r="K871" s="4" t="s">
        <v>9439</v>
      </c>
      <c r="L871" s="4" t="s">
        <v>2272</v>
      </c>
      <c r="M871" s="4" t="s">
        <v>2272</v>
      </c>
      <c r="N871" s="198"/>
    </row>
    <row r="872" spans="1:14" ht="93.5" customHeight="1">
      <c r="A872" s="11" t="s">
        <v>9418</v>
      </c>
      <c r="B872" s="11" t="s">
        <v>9447</v>
      </c>
      <c r="C872" s="4" t="s">
        <v>23</v>
      </c>
      <c r="D872" s="198" t="s">
        <v>26</v>
      </c>
      <c r="E872" s="4" t="s">
        <v>128</v>
      </c>
      <c r="F872" s="198" t="s">
        <v>158</v>
      </c>
      <c r="G872" s="198"/>
      <c r="H872" s="198">
        <v>2</v>
      </c>
      <c r="I872" s="4" t="s">
        <v>9439</v>
      </c>
      <c r="J872" s="198">
        <v>2</v>
      </c>
      <c r="K872" s="4" t="s">
        <v>9439</v>
      </c>
      <c r="L872" s="4" t="s">
        <v>2272</v>
      </c>
      <c r="M872" s="4" t="s">
        <v>2272</v>
      </c>
      <c r="N872" s="198"/>
    </row>
    <row r="873" spans="1:14" ht="93.5" customHeight="1">
      <c r="A873" s="11" t="s">
        <v>9419</v>
      </c>
      <c r="B873" s="11" t="s">
        <v>9448</v>
      </c>
      <c r="C873" s="4" t="s">
        <v>23</v>
      </c>
      <c r="D873" s="198" t="s">
        <v>26</v>
      </c>
      <c r="E873" s="4" t="s">
        <v>128</v>
      </c>
      <c r="F873" s="198" t="s">
        <v>158</v>
      </c>
      <c r="G873" s="198"/>
      <c r="H873" s="198">
        <v>2</v>
      </c>
      <c r="I873" s="4" t="s">
        <v>9439</v>
      </c>
      <c r="J873" s="198">
        <v>2</v>
      </c>
      <c r="K873" s="4" t="s">
        <v>9439</v>
      </c>
      <c r="L873" s="4" t="s">
        <v>2272</v>
      </c>
      <c r="M873" s="4" t="s">
        <v>2272</v>
      </c>
      <c r="N873" s="198"/>
    </row>
    <row r="874" spans="1:14" ht="93.5" customHeight="1">
      <c r="A874" s="11" t="s">
        <v>9416</v>
      </c>
      <c r="B874" s="11" t="s">
        <v>9449</v>
      </c>
      <c r="C874" s="4" t="s">
        <v>23</v>
      </c>
      <c r="D874" s="198" t="s">
        <v>26</v>
      </c>
      <c r="E874" s="4" t="s">
        <v>128</v>
      </c>
      <c r="F874" s="198" t="s">
        <v>158</v>
      </c>
      <c r="G874" s="198"/>
      <c r="H874" s="198">
        <v>2</v>
      </c>
      <c r="I874" s="4" t="s">
        <v>9439</v>
      </c>
      <c r="J874" s="198">
        <v>2</v>
      </c>
      <c r="K874" s="4" t="s">
        <v>9439</v>
      </c>
      <c r="L874" s="4" t="s">
        <v>2272</v>
      </c>
      <c r="M874" s="4" t="s">
        <v>2272</v>
      </c>
      <c r="N874" s="198"/>
    </row>
    <row r="875" spans="1:14" ht="67" customHeight="1">
      <c r="A875" s="11" t="s">
        <v>9472</v>
      </c>
      <c r="B875" s="11" t="s">
        <v>9474</v>
      </c>
      <c r="C875" s="198" t="s">
        <v>23</v>
      </c>
      <c r="D875" s="198" t="s">
        <v>1238</v>
      </c>
      <c r="E875" s="198" t="s">
        <v>2644</v>
      </c>
      <c r="F875" s="6" t="s">
        <v>54</v>
      </c>
      <c r="G875" s="198"/>
      <c r="H875" s="4" t="s">
        <v>2272</v>
      </c>
      <c r="I875" s="4" t="s">
        <v>2272</v>
      </c>
      <c r="J875" s="198">
        <v>1</v>
      </c>
      <c r="K875" s="4" t="s">
        <v>9475</v>
      </c>
      <c r="L875" s="4" t="s">
        <v>2272</v>
      </c>
      <c r="M875" s="4" t="s">
        <v>2272</v>
      </c>
      <c r="N875" s="198"/>
    </row>
    <row r="876" spans="1:14" ht="54.5" customHeight="1">
      <c r="A876" s="11" t="s">
        <v>9502</v>
      </c>
      <c r="B876" s="11" t="s">
        <v>9505</v>
      </c>
      <c r="C876" s="198" t="s">
        <v>23</v>
      </c>
      <c r="D876" s="198" t="s">
        <v>60</v>
      </c>
      <c r="E876" s="198" t="s">
        <v>2644</v>
      </c>
      <c r="F876" s="4" t="s">
        <v>2658</v>
      </c>
      <c r="G876" s="4"/>
      <c r="H876" s="4">
        <v>1</v>
      </c>
      <c r="I876" s="4" t="s">
        <v>9515</v>
      </c>
      <c r="J876" s="4">
        <v>1</v>
      </c>
      <c r="K876" s="4" t="s">
        <v>9514</v>
      </c>
      <c r="L876" s="4" t="s">
        <v>2272</v>
      </c>
      <c r="M876" s="4" t="s">
        <v>2272</v>
      </c>
      <c r="N876" s="4"/>
    </row>
    <row r="877" spans="1:14" ht="53" customHeight="1">
      <c r="A877" s="11" t="s">
        <v>9517</v>
      </c>
      <c r="B877" s="11" t="s">
        <v>9519</v>
      </c>
      <c r="C877" s="198" t="s">
        <v>1102</v>
      </c>
      <c r="D877" s="198" t="s">
        <v>1102</v>
      </c>
      <c r="E877" s="198" t="s">
        <v>82</v>
      </c>
      <c r="F877" s="198" t="s">
        <v>73</v>
      </c>
      <c r="G877" s="198"/>
      <c r="H877" s="4" t="s">
        <v>2272</v>
      </c>
      <c r="I877" s="4" t="s">
        <v>2272</v>
      </c>
      <c r="J877" s="198">
        <v>0</v>
      </c>
      <c r="K877" s="4" t="s">
        <v>9532</v>
      </c>
      <c r="L877" s="4" t="s">
        <v>2272</v>
      </c>
      <c r="M877" s="4" t="s">
        <v>2272</v>
      </c>
      <c r="N877" s="198"/>
    </row>
    <row r="878" spans="1:14" ht="68" customHeight="1">
      <c r="A878" s="11" t="s">
        <v>9517</v>
      </c>
      <c r="B878" s="11" t="s">
        <v>9520</v>
      </c>
      <c r="C878" s="198" t="s">
        <v>1102</v>
      </c>
      <c r="D878" s="198" t="s">
        <v>1102</v>
      </c>
      <c r="E878" s="198" t="s">
        <v>2644</v>
      </c>
      <c r="F878" s="198" t="s">
        <v>73</v>
      </c>
      <c r="G878" s="198"/>
      <c r="H878" s="4" t="s">
        <v>2272</v>
      </c>
      <c r="I878" s="4" t="s">
        <v>2272</v>
      </c>
      <c r="J878" s="198">
        <v>0</v>
      </c>
      <c r="K878" s="4" t="s">
        <v>9531</v>
      </c>
      <c r="L878" s="4" t="s">
        <v>2272</v>
      </c>
      <c r="M878" s="4" t="s">
        <v>2272</v>
      </c>
      <c r="N878" s="198"/>
    </row>
    <row r="879" spans="1:14" ht="66" customHeight="1">
      <c r="A879" s="11" t="s">
        <v>9534</v>
      </c>
      <c r="B879" s="11" t="s">
        <v>9544</v>
      </c>
      <c r="C879" s="198" t="s">
        <v>1102</v>
      </c>
      <c r="D879" s="198" t="s">
        <v>1102</v>
      </c>
      <c r="E879" s="4" t="s">
        <v>128</v>
      </c>
      <c r="F879" s="198" t="s">
        <v>158</v>
      </c>
      <c r="G879" s="198"/>
      <c r="H879" s="4" t="s">
        <v>2272</v>
      </c>
      <c r="I879" s="4" t="s">
        <v>2272</v>
      </c>
      <c r="J879" s="198">
        <v>0</v>
      </c>
      <c r="K879" s="4" t="s">
        <v>9578</v>
      </c>
      <c r="L879" s="4" t="s">
        <v>2272</v>
      </c>
      <c r="M879" s="4" t="s">
        <v>2272</v>
      </c>
      <c r="N879" s="198"/>
    </row>
    <row r="880" spans="1:14" ht="66" customHeight="1">
      <c r="A880" s="11" t="s">
        <v>9538</v>
      </c>
      <c r="B880" s="11" t="s">
        <v>9545</v>
      </c>
      <c r="C880" s="198" t="s">
        <v>1102</v>
      </c>
      <c r="D880" s="198" t="s">
        <v>1102</v>
      </c>
      <c r="E880" s="4" t="s">
        <v>128</v>
      </c>
      <c r="F880" s="198" t="s">
        <v>158</v>
      </c>
      <c r="G880" s="198"/>
      <c r="H880" s="4" t="s">
        <v>2272</v>
      </c>
      <c r="I880" s="4" t="s">
        <v>2272</v>
      </c>
      <c r="J880" s="198">
        <v>0</v>
      </c>
      <c r="K880" s="4" t="s">
        <v>9578</v>
      </c>
      <c r="L880" s="4" t="s">
        <v>2272</v>
      </c>
      <c r="M880" s="4" t="s">
        <v>2272</v>
      </c>
      <c r="N880" s="198"/>
    </row>
    <row r="881" spans="1:14" ht="66" customHeight="1">
      <c r="A881" s="11" t="s">
        <v>9539</v>
      </c>
      <c r="B881" s="11" t="s">
        <v>9546</v>
      </c>
      <c r="C881" s="198" t="s">
        <v>1102</v>
      </c>
      <c r="D881" s="198" t="s">
        <v>1102</v>
      </c>
      <c r="E881" s="4" t="s">
        <v>128</v>
      </c>
      <c r="F881" s="198" t="s">
        <v>158</v>
      </c>
      <c r="G881" s="198"/>
      <c r="H881" s="4" t="s">
        <v>2272</v>
      </c>
      <c r="I881" s="4" t="s">
        <v>2272</v>
      </c>
      <c r="J881" s="198">
        <v>0</v>
      </c>
      <c r="K881" s="4" t="s">
        <v>9578</v>
      </c>
      <c r="L881" s="4" t="s">
        <v>2272</v>
      </c>
      <c r="M881" s="4" t="s">
        <v>2272</v>
      </c>
      <c r="N881" s="198"/>
    </row>
    <row r="882" spans="1:14" ht="66" customHeight="1">
      <c r="A882" s="11" t="s">
        <v>9540</v>
      </c>
      <c r="B882" s="11" t="s">
        <v>9547</v>
      </c>
      <c r="C882" s="198" t="s">
        <v>1102</v>
      </c>
      <c r="D882" s="198" t="s">
        <v>1102</v>
      </c>
      <c r="E882" s="4" t="s">
        <v>128</v>
      </c>
      <c r="F882" s="198" t="s">
        <v>158</v>
      </c>
      <c r="G882" s="198"/>
      <c r="H882" s="4" t="s">
        <v>2272</v>
      </c>
      <c r="I882" s="4" t="s">
        <v>2272</v>
      </c>
      <c r="J882" s="198">
        <v>0</v>
      </c>
      <c r="K882" s="4" t="s">
        <v>9578</v>
      </c>
      <c r="L882" s="4" t="s">
        <v>2272</v>
      </c>
      <c r="M882" s="4" t="s">
        <v>2272</v>
      </c>
      <c r="N882" s="198"/>
    </row>
    <row r="883" spans="1:14" ht="66" customHeight="1">
      <c r="A883" s="11" t="s">
        <v>9541</v>
      </c>
      <c r="B883" s="11" t="s">
        <v>9548</v>
      </c>
      <c r="C883" s="198" t="s">
        <v>1102</v>
      </c>
      <c r="D883" s="198" t="s">
        <v>1102</v>
      </c>
      <c r="E883" s="4" t="s">
        <v>128</v>
      </c>
      <c r="F883" s="198" t="s">
        <v>158</v>
      </c>
      <c r="G883" s="198"/>
      <c r="H883" s="4" t="s">
        <v>2272</v>
      </c>
      <c r="I883" s="4" t="s">
        <v>2272</v>
      </c>
      <c r="J883" s="198">
        <v>0</v>
      </c>
      <c r="K883" s="4" t="s">
        <v>9578</v>
      </c>
      <c r="L883" s="4" t="s">
        <v>2272</v>
      </c>
      <c r="M883" s="4" t="s">
        <v>2272</v>
      </c>
      <c r="N883" s="198"/>
    </row>
    <row r="884" spans="1:14" ht="49" customHeight="1">
      <c r="A884" s="11" t="s">
        <v>9542</v>
      </c>
      <c r="B884" s="11" t="s">
        <v>9549</v>
      </c>
      <c r="C884" s="198" t="s">
        <v>1102</v>
      </c>
      <c r="D884" s="198" t="s">
        <v>1102</v>
      </c>
      <c r="E884" s="198" t="s">
        <v>860</v>
      </c>
      <c r="F884" s="198" t="s">
        <v>73</v>
      </c>
      <c r="G884" s="198"/>
      <c r="H884" s="4" t="s">
        <v>2272</v>
      </c>
      <c r="I884" s="4" t="s">
        <v>2272</v>
      </c>
      <c r="J884" s="198">
        <v>0</v>
      </c>
      <c r="K884" s="198" t="s">
        <v>9557</v>
      </c>
      <c r="L884" s="4" t="s">
        <v>2272</v>
      </c>
      <c r="M884" s="4" t="s">
        <v>2272</v>
      </c>
      <c r="N884" s="198"/>
    </row>
    <row r="885" spans="1:14" ht="46.5" customHeight="1">
      <c r="A885" s="11" t="s">
        <v>9584</v>
      </c>
      <c r="B885" s="11" t="s">
        <v>9586</v>
      </c>
      <c r="C885" s="198" t="s">
        <v>23</v>
      </c>
      <c r="D885" s="198" t="s">
        <v>2272</v>
      </c>
      <c r="E885" s="4" t="s">
        <v>128</v>
      </c>
      <c r="F885" s="198" t="s">
        <v>73</v>
      </c>
      <c r="G885" s="198"/>
      <c r="H885" s="198">
        <v>0</v>
      </c>
      <c r="I885" s="19" t="s">
        <v>9587</v>
      </c>
      <c r="J885" s="4" t="s">
        <v>2272</v>
      </c>
      <c r="K885" s="4" t="s">
        <v>2272</v>
      </c>
      <c r="L885" s="4" t="s">
        <v>2272</v>
      </c>
      <c r="M885" s="4" t="s">
        <v>2272</v>
      </c>
      <c r="N885" s="198"/>
    </row>
    <row r="886" spans="1:14" ht="57" customHeight="1">
      <c r="A886" s="11" t="s">
        <v>9606</v>
      </c>
      <c r="B886" s="11" t="s">
        <v>9607</v>
      </c>
      <c r="C886" s="198" t="s">
        <v>23</v>
      </c>
      <c r="D886" s="198" t="s">
        <v>2272</v>
      </c>
      <c r="E886" s="4" t="s">
        <v>394</v>
      </c>
      <c r="F886" s="198" t="s">
        <v>73</v>
      </c>
      <c r="G886" s="198"/>
      <c r="H886" s="198">
        <v>0</v>
      </c>
      <c r="I886" s="19" t="s">
        <v>9608</v>
      </c>
      <c r="J886" s="198">
        <v>0</v>
      </c>
      <c r="K886" s="19" t="s">
        <v>9608</v>
      </c>
      <c r="L886" s="198">
        <v>0</v>
      </c>
      <c r="M886" s="19" t="s">
        <v>9608</v>
      </c>
      <c r="N886" s="198"/>
    </row>
    <row r="887" spans="1:14" ht="51" customHeight="1">
      <c r="A887" s="11" t="s">
        <v>9644</v>
      </c>
      <c r="B887" s="11" t="s">
        <v>9649</v>
      </c>
      <c r="C887" s="198" t="s">
        <v>23</v>
      </c>
      <c r="D887" s="198" t="s">
        <v>2272</v>
      </c>
      <c r="E887" s="4" t="s">
        <v>2644</v>
      </c>
      <c r="F887" s="198" t="s">
        <v>73</v>
      </c>
      <c r="G887" s="198"/>
      <c r="H887" s="4" t="s">
        <v>2272</v>
      </c>
      <c r="I887" s="4" t="s">
        <v>2272</v>
      </c>
      <c r="J887" s="198">
        <v>0</v>
      </c>
      <c r="K887" s="19" t="s">
        <v>9655</v>
      </c>
      <c r="L887" s="4" t="s">
        <v>2272</v>
      </c>
      <c r="M887" s="4" t="s">
        <v>2272</v>
      </c>
      <c r="N887" s="198"/>
    </row>
    <row r="888" spans="1:14" ht="51" customHeight="1">
      <c r="A888" s="11" t="s">
        <v>9716</v>
      </c>
      <c r="B888" s="11" t="s">
        <v>9718</v>
      </c>
      <c r="C888" s="198" t="s">
        <v>1102</v>
      </c>
      <c r="D888" s="198" t="s">
        <v>1102</v>
      </c>
      <c r="E888" s="4" t="s">
        <v>860</v>
      </c>
      <c r="F888" s="198" t="s">
        <v>73</v>
      </c>
      <c r="G888" s="198"/>
      <c r="H888" s="4" t="s">
        <v>2272</v>
      </c>
      <c r="I888" s="4" t="s">
        <v>2272</v>
      </c>
      <c r="J888" s="198">
        <v>0</v>
      </c>
      <c r="K888" s="198" t="s">
        <v>9721</v>
      </c>
      <c r="L888" s="4" t="s">
        <v>2272</v>
      </c>
      <c r="M888" s="4" t="s">
        <v>2272</v>
      </c>
      <c r="N888" s="198"/>
    </row>
    <row r="889" spans="1:14" ht="42.5" customHeight="1">
      <c r="A889" s="19" t="s">
        <v>9839</v>
      </c>
      <c r="B889" s="19" t="s">
        <v>9842</v>
      </c>
      <c r="C889" s="4" t="s">
        <v>23</v>
      </c>
      <c r="D889" s="4" t="s">
        <v>1238</v>
      </c>
      <c r="E889" s="4" t="s">
        <v>114</v>
      </c>
      <c r="F889" s="4" t="s">
        <v>2657</v>
      </c>
      <c r="G889" s="198"/>
      <c r="H889" s="198">
        <v>1</v>
      </c>
      <c r="I889" s="19" t="s">
        <v>9852</v>
      </c>
      <c r="J889" s="198">
        <v>2</v>
      </c>
      <c r="K889" s="19" t="s">
        <v>8153</v>
      </c>
      <c r="L889" s="4" t="s">
        <v>2272</v>
      </c>
      <c r="M889" s="4" t="s">
        <v>2272</v>
      </c>
      <c r="N889" s="198"/>
    </row>
    <row r="890" spans="1:14" ht="42.5" customHeight="1">
      <c r="A890" s="19" t="s">
        <v>9839</v>
      </c>
      <c r="B890" s="19" t="s">
        <v>9843</v>
      </c>
      <c r="C890" s="4" t="s">
        <v>23</v>
      </c>
      <c r="D890" s="4" t="s">
        <v>1241</v>
      </c>
      <c r="E890" s="4" t="s">
        <v>114</v>
      </c>
      <c r="F890" s="4" t="s">
        <v>2657</v>
      </c>
      <c r="G890" s="198"/>
      <c r="H890" s="198">
        <v>1</v>
      </c>
      <c r="I890" s="19" t="s">
        <v>9852</v>
      </c>
      <c r="J890" s="198">
        <v>2</v>
      </c>
      <c r="K890" s="19" t="s">
        <v>8153</v>
      </c>
      <c r="L890" s="4" t="s">
        <v>2272</v>
      </c>
      <c r="M890" s="4" t="s">
        <v>2272</v>
      </c>
      <c r="N890" s="198"/>
    </row>
    <row r="891" spans="1:14" ht="42.5" customHeight="1">
      <c r="A891" s="19" t="s">
        <v>9839</v>
      </c>
      <c r="B891" s="19" t="s">
        <v>9844</v>
      </c>
      <c r="C891" s="198" t="s">
        <v>23</v>
      </c>
      <c r="D891" s="198" t="s">
        <v>4157</v>
      </c>
      <c r="E891" s="198" t="s">
        <v>860</v>
      </c>
      <c r="F891" s="4" t="s">
        <v>2657</v>
      </c>
      <c r="G891" s="198"/>
      <c r="H891" s="198">
        <v>0</v>
      </c>
      <c r="I891" s="19" t="s">
        <v>9853</v>
      </c>
      <c r="J891" s="4" t="s">
        <v>2272</v>
      </c>
      <c r="K891" s="4" t="s">
        <v>2272</v>
      </c>
      <c r="L891" s="4" t="s">
        <v>2272</v>
      </c>
      <c r="M891" s="4" t="s">
        <v>2272</v>
      </c>
      <c r="N891" s="198"/>
    </row>
    <row r="892" spans="1:14" ht="51.5" customHeight="1">
      <c r="A892" s="19" t="s">
        <v>9839</v>
      </c>
      <c r="B892" s="19" t="s">
        <v>9845</v>
      </c>
      <c r="C892" s="198" t="s">
        <v>2453</v>
      </c>
      <c r="D892" s="198" t="s">
        <v>1102</v>
      </c>
      <c r="E892" s="4" t="s">
        <v>394</v>
      </c>
      <c r="F892" s="198" t="s">
        <v>27</v>
      </c>
      <c r="G892" s="198"/>
      <c r="H892" s="4" t="s">
        <v>2272</v>
      </c>
      <c r="I892" s="4" t="s">
        <v>2272</v>
      </c>
      <c r="J892" s="198">
        <v>1</v>
      </c>
      <c r="K892" s="19" t="s">
        <v>9854</v>
      </c>
      <c r="L892" s="198">
        <v>2</v>
      </c>
      <c r="M892" s="19" t="s">
        <v>9855</v>
      </c>
      <c r="N892" s="198"/>
    </row>
    <row r="893" spans="1:14" ht="38" customHeight="1">
      <c r="A893" s="19" t="s">
        <v>9867</v>
      </c>
      <c r="B893" s="19" t="s">
        <v>9870</v>
      </c>
      <c r="C893" s="198" t="s">
        <v>1102</v>
      </c>
      <c r="D893" s="198" t="s">
        <v>1102</v>
      </c>
      <c r="E893" s="4" t="s">
        <v>2644</v>
      </c>
      <c r="F893" s="198" t="s">
        <v>2658</v>
      </c>
      <c r="G893" s="198"/>
      <c r="H893" s="4" t="s">
        <v>2272</v>
      </c>
      <c r="I893" s="4" t="s">
        <v>2272</v>
      </c>
      <c r="J893" s="198">
        <v>0</v>
      </c>
      <c r="K893" s="19" t="s">
        <v>9872</v>
      </c>
      <c r="L893" s="4" t="s">
        <v>2272</v>
      </c>
      <c r="M893" s="4" t="s">
        <v>2272</v>
      </c>
      <c r="N893" s="198"/>
    </row>
    <row r="894" spans="1:14" ht="44.5" customHeight="1">
      <c r="A894" s="19" t="s">
        <v>9891</v>
      </c>
      <c r="B894" s="19" t="s">
        <v>9899</v>
      </c>
      <c r="C894" s="198" t="s">
        <v>23</v>
      </c>
      <c r="D894" s="198" t="s">
        <v>1238</v>
      </c>
      <c r="E894" s="4" t="s">
        <v>2645</v>
      </c>
      <c r="F894" s="198" t="s">
        <v>73</v>
      </c>
      <c r="G894" s="198"/>
      <c r="H894" s="198">
        <v>2</v>
      </c>
      <c r="I894" s="19" t="s">
        <v>9931</v>
      </c>
      <c r="J894" s="198">
        <v>2</v>
      </c>
      <c r="K894" s="19" t="s">
        <v>9932</v>
      </c>
      <c r="L894" s="4" t="s">
        <v>2272</v>
      </c>
      <c r="M894" s="4" t="s">
        <v>2272</v>
      </c>
      <c r="N894" s="198"/>
    </row>
    <row r="895" spans="1:14" ht="44.5" customHeight="1">
      <c r="A895" s="19" t="s">
        <v>9894</v>
      </c>
      <c r="B895" s="19" t="s">
        <v>9908</v>
      </c>
      <c r="C895" s="198" t="s">
        <v>1102</v>
      </c>
      <c r="D895" s="198" t="s">
        <v>1102</v>
      </c>
      <c r="E895" s="4" t="s">
        <v>5795</v>
      </c>
      <c r="F895" s="198" t="s">
        <v>158</v>
      </c>
      <c r="G895" s="198"/>
      <c r="H895" s="4" t="s">
        <v>2272</v>
      </c>
      <c r="I895" s="4" t="s">
        <v>2272</v>
      </c>
      <c r="J895" s="198">
        <v>0</v>
      </c>
      <c r="K895" s="19" t="s">
        <v>9933</v>
      </c>
      <c r="L895" s="4" t="s">
        <v>2272</v>
      </c>
      <c r="M895" s="4" t="s">
        <v>2272</v>
      </c>
      <c r="N895" s="198"/>
    </row>
    <row r="896" spans="1:14" ht="36" customHeight="1">
      <c r="A896" s="19" t="s">
        <v>9891</v>
      </c>
      <c r="B896" s="19" t="s">
        <v>9900</v>
      </c>
      <c r="C896" s="198" t="s">
        <v>1102</v>
      </c>
      <c r="D896" s="198" t="s">
        <v>1102</v>
      </c>
      <c r="E896" s="4" t="s">
        <v>3204</v>
      </c>
      <c r="F896" s="198" t="s">
        <v>2272</v>
      </c>
      <c r="G896" s="198"/>
      <c r="H896" s="4" t="s">
        <v>2272</v>
      </c>
      <c r="I896" s="4" t="s">
        <v>2272</v>
      </c>
      <c r="J896" s="4" t="s">
        <v>2272</v>
      </c>
      <c r="K896" s="4" t="s">
        <v>2272</v>
      </c>
      <c r="L896" s="198">
        <v>2</v>
      </c>
      <c r="M896" s="19" t="s">
        <v>9936</v>
      </c>
      <c r="N896" s="198"/>
    </row>
    <row r="897" spans="1:14" ht="36" customHeight="1">
      <c r="A897" s="19" t="s">
        <v>9894</v>
      </c>
      <c r="B897" s="19" t="s">
        <v>9909</v>
      </c>
      <c r="C897" s="198" t="s">
        <v>1102</v>
      </c>
      <c r="D897" s="198" t="s">
        <v>1102</v>
      </c>
      <c r="E897" s="4" t="s">
        <v>3204</v>
      </c>
      <c r="F897" s="198" t="s">
        <v>2272</v>
      </c>
      <c r="G897" s="198"/>
      <c r="H897" s="4" t="s">
        <v>2272</v>
      </c>
      <c r="I897" s="4" t="s">
        <v>2272</v>
      </c>
      <c r="J897" s="4" t="s">
        <v>2272</v>
      </c>
      <c r="K897" s="4" t="s">
        <v>2272</v>
      </c>
      <c r="L897" s="198">
        <v>3</v>
      </c>
      <c r="M897" s="19" t="s">
        <v>9936</v>
      </c>
      <c r="N897" s="198"/>
    </row>
    <row r="898" spans="1:14" ht="46.5" customHeight="1">
      <c r="A898" s="19" t="s">
        <v>9894</v>
      </c>
      <c r="B898" s="19" t="s">
        <v>9910</v>
      </c>
      <c r="C898" s="198" t="s">
        <v>1102</v>
      </c>
      <c r="D898" s="198" t="s">
        <v>1102</v>
      </c>
      <c r="E898" s="4" t="s">
        <v>2644</v>
      </c>
      <c r="F898" s="198" t="s">
        <v>2658</v>
      </c>
      <c r="G898" s="198"/>
      <c r="H898" s="4" t="s">
        <v>2272</v>
      </c>
      <c r="I898" s="4" t="s">
        <v>2272</v>
      </c>
      <c r="J898" s="198">
        <v>1</v>
      </c>
      <c r="K898" s="19" t="s">
        <v>9937</v>
      </c>
      <c r="L898" s="4" t="s">
        <v>2272</v>
      </c>
      <c r="M898" s="4" t="s">
        <v>2272</v>
      </c>
      <c r="N898" s="198"/>
    </row>
    <row r="899" spans="1:14" ht="45.5" customHeight="1">
      <c r="A899" s="19" t="s">
        <v>9894</v>
      </c>
      <c r="B899" s="19" t="s">
        <v>9911</v>
      </c>
      <c r="C899" s="198" t="s">
        <v>1102</v>
      </c>
      <c r="D899" s="198" t="s">
        <v>1102</v>
      </c>
      <c r="E899" s="4" t="s">
        <v>2647</v>
      </c>
      <c r="F899" s="198" t="s">
        <v>73</v>
      </c>
      <c r="G899" s="198"/>
      <c r="H899" s="4" t="s">
        <v>2272</v>
      </c>
      <c r="I899" s="4" t="s">
        <v>2272</v>
      </c>
      <c r="J899" s="198">
        <v>0</v>
      </c>
      <c r="K899" s="19" t="s">
        <v>9938</v>
      </c>
      <c r="L899" s="4" t="s">
        <v>2272</v>
      </c>
      <c r="M899" s="4" t="s">
        <v>2272</v>
      </c>
      <c r="N899" s="198"/>
    </row>
    <row r="900" spans="1:14" ht="66.5" customHeight="1">
      <c r="A900" s="19" t="s">
        <v>9974</v>
      </c>
      <c r="B900" s="19" t="s">
        <v>9977</v>
      </c>
      <c r="C900" s="198" t="s">
        <v>1102</v>
      </c>
      <c r="D900" s="198" t="s">
        <v>1102</v>
      </c>
      <c r="E900" s="4" t="s">
        <v>135</v>
      </c>
      <c r="F900" s="198" t="s">
        <v>73</v>
      </c>
      <c r="G900" s="198"/>
      <c r="H900" s="4" t="s">
        <v>2272</v>
      </c>
      <c r="I900" s="4" t="s">
        <v>2272</v>
      </c>
      <c r="J900" s="198">
        <v>0</v>
      </c>
      <c r="K900" s="19" t="s">
        <v>9979</v>
      </c>
      <c r="L900" s="4" t="s">
        <v>2272</v>
      </c>
      <c r="M900" s="4" t="s">
        <v>2272</v>
      </c>
      <c r="N900" s="198"/>
    </row>
    <row r="901" spans="1:14" ht="32" customHeight="1">
      <c r="A901" s="19" t="s">
        <v>9988</v>
      </c>
      <c r="B901" s="19" t="s">
        <v>9993</v>
      </c>
      <c r="C901" s="4" t="s">
        <v>23</v>
      </c>
      <c r="D901" s="4" t="s">
        <v>1238</v>
      </c>
      <c r="E901" s="4" t="s">
        <v>2644</v>
      </c>
      <c r="F901" s="4" t="s">
        <v>2657</v>
      </c>
      <c r="G901" s="4"/>
      <c r="H901" s="4" t="s">
        <v>2272</v>
      </c>
      <c r="I901" s="4" t="s">
        <v>2272</v>
      </c>
      <c r="J901" s="4">
        <v>3</v>
      </c>
      <c r="K901" s="19" t="s">
        <v>10000</v>
      </c>
      <c r="L901" s="4" t="s">
        <v>2272</v>
      </c>
      <c r="M901" s="4" t="s">
        <v>2272</v>
      </c>
      <c r="N901" s="4"/>
    </row>
    <row r="902" spans="1:14" ht="32" customHeight="1">
      <c r="A902" s="19" t="s">
        <v>9989</v>
      </c>
      <c r="B902" s="19" t="s">
        <v>9994</v>
      </c>
      <c r="C902" s="4" t="s">
        <v>23</v>
      </c>
      <c r="D902" s="4" t="s">
        <v>1238</v>
      </c>
      <c r="E902" s="4" t="s">
        <v>2644</v>
      </c>
      <c r="F902" s="4" t="s">
        <v>2657</v>
      </c>
      <c r="G902" s="4"/>
      <c r="H902" s="4" t="s">
        <v>2272</v>
      </c>
      <c r="I902" s="4" t="s">
        <v>2272</v>
      </c>
      <c r="J902" s="4">
        <v>3</v>
      </c>
      <c r="K902" s="19" t="s">
        <v>10000</v>
      </c>
      <c r="L902" s="4" t="s">
        <v>2272</v>
      </c>
      <c r="M902" s="4" t="s">
        <v>2272</v>
      </c>
      <c r="N902" s="4"/>
    </row>
    <row r="903" spans="1:14" ht="32" customHeight="1">
      <c r="A903" s="19" t="s">
        <v>9990</v>
      </c>
      <c r="B903" s="19" t="s">
        <v>9995</v>
      </c>
      <c r="C903" s="4" t="s">
        <v>23</v>
      </c>
      <c r="D903" s="4" t="s">
        <v>1238</v>
      </c>
      <c r="E903" s="4" t="s">
        <v>2644</v>
      </c>
      <c r="F903" s="4" t="s">
        <v>2657</v>
      </c>
      <c r="G903" s="4"/>
      <c r="H903" s="4" t="s">
        <v>2272</v>
      </c>
      <c r="I903" s="4" t="s">
        <v>2272</v>
      </c>
      <c r="J903" s="4">
        <v>3</v>
      </c>
      <c r="K903" s="19" t="s">
        <v>10000</v>
      </c>
      <c r="L903" s="4" t="s">
        <v>2272</v>
      </c>
      <c r="M903" s="4" t="s">
        <v>2272</v>
      </c>
      <c r="N903" s="4"/>
    </row>
    <row r="904" spans="1:14" ht="32" customHeight="1">
      <c r="A904" s="19" t="s">
        <v>9991</v>
      </c>
      <c r="B904" s="19" t="s">
        <v>9996</v>
      </c>
      <c r="C904" s="4" t="s">
        <v>23</v>
      </c>
      <c r="D904" s="4" t="s">
        <v>1238</v>
      </c>
      <c r="E904" s="4" t="s">
        <v>2644</v>
      </c>
      <c r="F904" s="4" t="s">
        <v>2657</v>
      </c>
      <c r="G904" s="4"/>
      <c r="H904" s="4" t="s">
        <v>2272</v>
      </c>
      <c r="I904" s="4" t="s">
        <v>2272</v>
      </c>
      <c r="J904" s="4">
        <v>3</v>
      </c>
      <c r="K904" s="19" t="s">
        <v>10000</v>
      </c>
      <c r="L904" s="4" t="s">
        <v>2272</v>
      </c>
      <c r="M904" s="4" t="s">
        <v>2272</v>
      </c>
      <c r="N904" s="4"/>
    </row>
    <row r="905" spans="1:14" ht="36.5" customHeight="1">
      <c r="A905" s="19" t="s">
        <v>10001</v>
      </c>
      <c r="B905" s="19" t="s">
        <v>10005</v>
      </c>
      <c r="C905" s="198" t="s">
        <v>1102</v>
      </c>
      <c r="D905" s="198" t="s">
        <v>1102</v>
      </c>
      <c r="E905" s="4" t="s">
        <v>2644</v>
      </c>
      <c r="F905" s="198" t="s">
        <v>73</v>
      </c>
      <c r="G905" s="198"/>
      <c r="H905" s="4" t="s">
        <v>2272</v>
      </c>
      <c r="I905" s="4" t="s">
        <v>2272</v>
      </c>
      <c r="J905" s="198">
        <v>0</v>
      </c>
      <c r="K905" s="4" t="s">
        <v>10007</v>
      </c>
      <c r="L905" s="4" t="s">
        <v>2272</v>
      </c>
      <c r="M905" s="4" t="s">
        <v>2272</v>
      </c>
      <c r="N905" s="198"/>
    </row>
    <row r="906" spans="1:14" ht="49" customHeight="1">
      <c r="A906" s="19" t="s">
        <v>10001</v>
      </c>
      <c r="B906" s="19" t="s">
        <v>10006</v>
      </c>
      <c r="C906" s="198" t="s">
        <v>1102</v>
      </c>
      <c r="D906" s="198" t="s">
        <v>1102</v>
      </c>
      <c r="E906" s="4" t="s">
        <v>3204</v>
      </c>
      <c r="F906" s="198" t="s">
        <v>73</v>
      </c>
      <c r="G906" s="198"/>
      <c r="H906" s="4" t="s">
        <v>2272</v>
      </c>
      <c r="I906" s="4" t="s">
        <v>2272</v>
      </c>
      <c r="J906" s="198"/>
      <c r="K906" s="198"/>
      <c r="L906" s="198">
        <v>3</v>
      </c>
      <c r="M906" s="4" t="s">
        <v>10008</v>
      </c>
      <c r="N906" s="198"/>
    </row>
    <row r="907" spans="1:14" ht="49" customHeight="1">
      <c r="A907" s="19" t="s">
        <v>10009</v>
      </c>
      <c r="B907" s="19" t="s">
        <v>10014</v>
      </c>
      <c r="C907" s="198" t="s">
        <v>1102</v>
      </c>
      <c r="D907" s="198" t="s">
        <v>1102</v>
      </c>
      <c r="E907" s="4" t="s">
        <v>3204</v>
      </c>
      <c r="F907" s="198" t="s">
        <v>73</v>
      </c>
      <c r="G907" s="198"/>
      <c r="H907" s="4" t="s">
        <v>2272</v>
      </c>
      <c r="I907" s="4" t="s">
        <v>2272</v>
      </c>
      <c r="J907" s="4" t="s">
        <v>2272</v>
      </c>
      <c r="K907" s="4" t="s">
        <v>2272</v>
      </c>
      <c r="L907" s="198">
        <v>2</v>
      </c>
      <c r="M907" s="19" t="s">
        <v>10029</v>
      </c>
      <c r="N907" s="198"/>
    </row>
    <row r="908" spans="1:14" ht="49" customHeight="1">
      <c r="A908" s="19" t="s">
        <v>10013</v>
      </c>
      <c r="B908" s="19" t="s">
        <v>10020</v>
      </c>
      <c r="C908" s="198" t="s">
        <v>1102</v>
      </c>
      <c r="D908" s="198" t="s">
        <v>1102</v>
      </c>
      <c r="E908" s="4" t="s">
        <v>3204</v>
      </c>
      <c r="F908" s="198" t="s">
        <v>73</v>
      </c>
      <c r="G908" s="198"/>
      <c r="H908" s="4" t="s">
        <v>2272</v>
      </c>
      <c r="I908" s="4" t="s">
        <v>2272</v>
      </c>
      <c r="J908" s="4" t="s">
        <v>2272</v>
      </c>
      <c r="K908" s="4" t="s">
        <v>2272</v>
      </c>
      <c r="L908" s="198">
        <v>3</v>
      </c>
      <c r="M908" s="19" t="s">
        <v>10030</v>
      </c>
      <c r="N908" s="198"/>
    </row>
    <row r="909" spans="1:14" ht="82.5" customHeight="1">
      <c r="A909" s="19" t="s">
        <v>10033</v>
      </c>
      <c r="B909" s="19" t="s">
        <v>10036</v>
      </c>
      <c r="C909" s="198" t="s">
        <v>1102</v>
      </c>
      <c r="D909" s="198" t="s">
        <v>1102</v>
      </c>
      <c r="E909" s="4" t="s">
        <v>3204</v>
      </c>
      <c r="F909" s="198" t="s">
        <v>73</v>
      </c>
      <c r="G909" s="198">
        <v>1987</v>
      </c>
      <c r="H909" s="4" t="s">
        <v>2272</v>
      </c>
      <c r="I909" s="4" t="s">
        <v>2272</v>
      </c>
      <c r="J909" s="198">
        <v>0</v>
      </c>
      <c r="K909" s="198" t="s">
        <v>10038</v>
      </c>
      <c r="L909" s="198">
        <v>3</v>
      </c>
      <c r="M909" s="4" t="s">
        <v>10039</v>
      </c>
      <c r="N909" s="198"/>
    </row>
    <row r="910" spans="1:14" ht="87.5" customHeight="1">
      <c r="A910" s="19" t="s">
        <v>10033</v>
      </c>
      <c r="B910" s="19" t="s">
        <v>10040</v>
      </c>
      <c r="C910" s="198" t="s">
        <v>1102</v>
      </c>
      <c r="D910" s="198" t="s">
        <v>1102</v>
      </c>
      <c r="E910" s="4" t="s">
        <v>3204</v>
      </c>
      <c r="F910" s="198" t="s">
        <v>73</v>
      </c>
      <c r="G910" s="198">
        <v>1988</v>
      </c>
      <c r="H910" s="4" t="s">
        <v>2272</v>
      </c>
      <c r="I910" s="4" t="s">
        <v>2272</v>
      </c>
      <c r="J910" s="198" t="s">
        <v>2272</v>
      </c>
      <c r="K910" s="4" t="s">
        <v>10041</v>
      </c>
      <c r="L910" s="198">
        <v>3</v>
      </c>
      <c r="M910" s="4" t="s">
        <v>10039</v>
      </c>
      <c r="N910" s="198"/>
    </row>
    <row r="911" spans="1:14" ht="54.5" customHeight="1">
      <c r="A911" s="198" t="s">
        <v>10043</v>
      </c>
      <c r="B911" s="19" t="s">
        <v>10045</v>
      </c>
      <c r="C911" s="198" t="s">
        <v>1102</v>
      </c>
      <c r="D911" s="198" t="s">
        <v>1102</v>
      </c>
      <c r="E911" s="4" t="s">
        <v>135</v>
      </c>
      <c r="F911" s="198" t="s">
        <v>73</v>
      </c>
      <c r="G911" s="198"/>
      <c r="H911" s="4" t="s">
        <v>2272</v>
      </c>
      <c r="I911" s="4" t="s">
        <v>2272</v>
      </c>
      <c r="J911" s="198">
        <v>1</v>
      </c>
      <c r="K911" s="19" t="s">
        <v>10051</v>
      </c>
      <c r="L911" s="4" t="s">
        <v>2272</v>
      </c>
      <c r="M911" s="4" t="s">
        <v>2272</v>
      </c>
      <c r="N911" s="198"/>
    </row>
    <row r="912" spans="1:14" ht="74" customHeight="1">
      <c r="A912" s="198" t="s">
        <v>10043</v>
      </c>
      <c r="B912" s="19" t="s">
        <v>10047</v>
      </c>
      <c r="C912" s="198" t="s">
        <v>1102</v>
      </c>
      <c r="D912" s="198" t="s">
        <v>1102</v>
      </c>
      <c r="E912" s="4" t="s">
        <v>3204</v>
      </c>
      <c r="F912" s="198" t="s">
        <v>2272</v>
      </c>
      <c r="G912" s="198"/>
      <c r="H912" s="4" t="s">
        <v>2272</v>
      </c>
      <c r="I912" s="4" t="s">
        <v>2272</v>
      </c>
      <c r="J912" s="4" t="s">
        <v>2272</v>
      </c>
      <c r="K912" s="4" t="s">
        <v>2272</v>
      </c>
      <c r="L912" s="4" t="s">
        <v>2272</v>
      </c>
      <c r="M912" s="4" t="s">
        <v>2272</v>
      </c>
      <c r="N912" s="198"/>
    </row>
    <row r="913" spans="1:14" ht="78.5" customHeight="1">
      <c r="A913" s="19" t="s">
        <v>10053</v>
      </c>
      <c r="B913" s="19" t="s">
        <v>10055</v>
      </c>
      <c r="C913" s="198" t="s">
        <v>1102</v>
      </c>
      <c r="D913" s="198" t="s">
        <v>1102</v>
      </c>
      <c r="E913" s="4" t="s">
        <v>135</v>
      </c>
      <c r="F913" s="198" t="s">
        <v>73</v>
      </c>
      <c r="G913" s="198"/>
      <c r="H913" s="4" t="s">
        <v>2272</v>
      </c>
      <c r="I913" s="4" t="s">
        <v>2272</v>
      </c>
      <c r="J913" s="198">
        <v>2</v>
      </c>
      <c r="K913" s="19" t="s">
        <v>10060</v>
      </c>
      <c r="L913" s="4" t="s">
        <v>2272</v>
      </c>
      <c r="M913" s="4" t="s">
        <v>2272</v>
      </c>
      <c r="N913" s="198"/>
    </row>
    <row r="914" spans="1:14" ht="45.5" customHeight="1">
      <c r="A914" s="19" t="s">
        <v>10121</v>
      </c>
      <c r="B914" s="19" t="s">
        <v>10125</v>
      </c>
      <c r="C914" s="198" t="s">
        <v>23</v>
      </c>
      <c r="D914" s="198" t="s">
        <v>1238</v>
      </c>
      <c r="E914" s="4" t="s">
        <v>135</v>
      </c>
      <c r="F914" s="4" t="s">
        <v>2657</v>
      </c>
      <c r="G914" s="198"/>
      <c r="H914" s="4" t="s">
        <v>2272</v>
      </c>
      <c r="I914" s="4" t="s">
        <v>2272</v>
      </c>
      <c r="J914" s="198">
        <v>2</v>
      </c>
      <c r="K914" s="19" t="s">
        <v>10127</v>
      </c>
      <c r="L914" s="4" t="s">
        <v>2272</v>
      </c>
      <c r="M914" s="4" t="s">
        <v>2272</v>
      </c>
      <c r="N914" s="198"/>
    </row>
    <row r="915" spans="1:14" ht="46.5" customHeight="1">
      <c r="A915" s="19" t="s">
        <v>10121</v>
      </c>
      <c r="B915" s="19" t="s">
        <v>10126</v>
      </c>
      <c r="C915" s="198" t="s">
        <v>1102</v>
      </c>
      <c r="D915" s="198" t="s">
        <v>1102</v>
      </c>
      <c r="E915" s="4" t="s">
        <v>2644</v>
      </c>
      <c r="F915" s="4" t="s">
        <v>2657</v>
      </c>
      <c r="G915" s="198"/>
      <c r="H915" s="4" t="s">
        <v>2272</v>
      </c>
      <c r="I915" s="4" t="s">
        <v>2272</v>
      </c>
      <c r="J915" s="198">
        <v>2</v>
      </c>
      <c r="K915" s="19" t="s">
        <v>10128</v>
      </c>
      <c r="L915" s="4" t="s">
        <v>2272</v>
      </c>
      <c r="M915" s="4" t="s">
        <v>2272</v>
      </c>
      <c r="N915" s="198"/>
    </row>
    <row r="916" spans="1:14" ht="54.5" customHeight="1">
      <c r="A916" s="19" t="s">
        <v>10121</v>
      </c>
      <c r="B916" s="19" t="s">
        <v>10129</v>
      </c>
      <c r="C916" s="198" t="s">
        <v>1102</v>
      </c>
      <c r="D916" s="198" t="s">
        <v>1102</v>
      </c>
      <c r="E916" s="4" t="s">
        <v>2648</v>
      </c>
      <c r="F916" s="4" t="s">
        <v>2657</v>
      </c>
      <c r="G916" s="198"/>
      <c r="H916" s="4" t="s">
        <v>2272</v>
      </c>
      <c r="I916" s="4" t="s">
        <v>2272</v>
      </c>
      <c r="J916" s="198">
        <v>0</v>
      </c>
      <c r="K916" s="4" t="s">
        <v>10130</v>
      </c>
      <c r="L916" s="4" t="s">
        <v>2272</v>
      </c>
      <c r="M916" s="4" t="s">
        <v>2272</v>
      </c>
      <c r="N916" s="198"/>
    </row>
    <row r="917" spans="1:14" ht="44" customHeight="1">
      <c r="A917" s="19" t="s">
        <v>10133</v>
      </c>
      <c r="B917" s="19" t="s">
        <v>10145</v>
      </c>
      <c r="C917" s="198" t="s">
        <v>23</v>
      </c>
      <c r="D917" s="198" t="s">
        <v>1238</v>
      </c>
      <c r="E917" s="4" t="s">
        <v>2644</v>
      </c>
      <c r="F917" s="4" t="s">
        <v>2658</v>
      </c>
      <c r="G917" s="198"/>
      <c r="H917" s="4" t="s">
        <v>2272</v>
      </c>
      <c r="I917" s="4" t="s">
        <v>2272</v>
      </c>
      <c r="J917" s="198">
        <v>2</v>
      </c>
      <c r="K917" s="19" t="s">
        <v>10147</v>
      </c>
      <c r="L917" s="4" t="s">
        <v>2272</v>
      </c>
      <c r="M917" s="4" t="s">
        <v>2272</v>
      </c>
      <c r="N917" s="198"/>
    </row>
    <row r="918" spans="1:14" ht="45.5" customHeight="1">
      <c r="A918" s="19" t="s">
        <v>10133</v>
      </c>
      <c r="B918" s="19" t="s">
        <v>10148</v>
      </c>
      <c r="C918" s="198" t="s">
        <v>1102</v>
      </c>
      <c r="D918" s="198" t="s">
        <v>1102</v>
      </c>
      <c r="E918" s="4" t="s">
        <v>3204</v>
      </c>
      <c r="F918" s="4" t="s">
        <v>2658</v>
      </c>
      <c r="G918" s="4"/>
      <c r="H918" s="4" t="s">
        <v>2272</v>
      </c>
      <c r="I918" s="4" t="s">
        <v>2272</v>
      </c>
      <c r="J918" s="198">
        <v>1</v>
      </c>
      <c r="K918" s="19" t="s">
        <v>10149</v>
      </c>
      <c r="L918" s="4" t="s">
        <v>2272</v>
      </c>
      <c r="M918" s="4" t="s">
        <v>2272</v>
      </c>
      <c r="N918" s="198"/>
    </row>
    <row r="919" spans="1:14" s="197" customFormat="1" ht="69" customHeight="1">
      <c r="A919" s="19" t="s">
        <v>10151</v>
      </c>
      <c r="B919" s="19" t="s">
        <v>10153</v>
      </c>
      <c r="C919" s="198" t="s">
        <v>1102</v>
      </c>
      <c r="D919" s="198" t="s">
        <v>1102</v>
      </c>
      <c r="E919" s="4" t="s">
        <v>3204</v>
      </c>
      <c r="F919" s="4" t="s">
        <v>2657</v>
      </c>
      <c r="G919" s="4"/>
      <c r="H919" s="4" t="s">
        <v>2272</v>
      </c>
      <c r="I919" s="4" t="s">
        <v>2272</v>
      </c>
      <c r="J919" s="198">
        <v>1</v>
      </c>
      <c r="K919" s="4" t="s">
        <v>10194</v>
      </c>
      <c r="L919" s="4">
        <v>3</v>
      </c>
      <c r="M919" s="4" t="s">
        <v>10193</v>
      </c>
      <c r="N919" s="198"/>
    </row>
    <row r="920" spans="1:14" ht="45.5" customHeight="1">
      <c r="A920" s="19" t="s">
        <v>10155</v>
      </c>
      <c r="B920" s="19" t="s">
        <v>10157</v>
      </c>
      <c r="C920" s="198" t="s">
        <v>1102</v>
      </c>
      <c r="D920" s="198" t="s">
        <v>1102</v>
      </c>
      <c r="E920" s="4" t="s">
        <v>3204</v>
      </c>
      <c r="F920" s="198" t="s">
        <v>73</v>
      </c>
      <c r="G920" s="198">
        <v>1950</v>
      </c>
      <c r="H920" s="4" t="s">
        <v>2272</v>
      </c>
      <c r="I920" s="4" t="s">
        <v>2272</v>
      </c>
      <c r="J920" s="4" t="s">
        <v>2272</v>
      </c>
      <c r="K920" s="4" t="s">
        <v>2272</v>
      </c>
      <c r="L920" s="198">
        <v>1</v>
      </c>
      <c r="M920" s="4" t="s">
        <v>10159</v>
      </c>
      <c r="N920" s="198"/>
    </row>
    <row r="921" spans="1:14" ht="45.5" customHeight="1">
      <c r="A921" s="19" t="s">
        <v>10155</v>
      </c>
      <c r="B921" s="19" t="s">
        <v>10158</v>
      </c>
      <c r="C921" s="198" t="s">
        <v>1102</v>
      </c>
      <c r="D921" s="198" t="s">
        <v>1102</v>
      </c>
      <c r="E921" s="4" t="s">
        <v>3204</v>
      </c>
      <c r="F921" s="198" t="s">
        <v>73</v>
      </c>
      <c r="G921" s="198">
        <v>1988</v>
      </c>
      <c r="H921" s="4" t="s">
        <v>2272</v>
      </c>
      <c r="I921" s="4" t="s">
        <v>2272</v>
      </c>
      <c r="J921" s="4" t="s">
        <v>2272</v>
      </c>
      <c r="K921" s="4" t="s">
        <v>2272</v>
      </c>
      <c r="L921" s="198">
        <v>3</v>
      </c>
      <c r="M921" s="4" t="s">
        <v>10160</v>
      </c>
      <c r="N921" s="198"/>
    </row>
    <row r="922" spans="1:14" ht="38" customHeight="1">
      <c r="A922" s="19" t="s">
        <v>10155</v>
      </c>
      <c r="B922" s="19" t="s">
        <v>10162</v>
      </c>
      <c r="C922" s="198" t="s">
        <v>1102</v>
      </c>
      <c r="D922" s="198" t="s">
        <v>1102</v>
      </c>
      <c r="E922" s="4" t="s">
        <v>3204</v>
      </c>
      <c r="F922" s="198" t="s">
        <v>73</v>
      </c>
      <c r="G922" s="198">
        <v>1950</v>
      </c>
      <c r="H922" s="4" t="s">
        <v>2272</v>
      </c>
      <c r="I922" s="4" t="s">
        <v>2272</v>
      </c>
      <c r="J922" s="198" t="s">
        <v>2272</v>
      </c>
      <c r="K922" s="4" t="s">
        <v>2272</v>
      </c>
      <c r="L922" s="4" t="s">
        <v>2272</v>
      </c>
      <c r="M922" s="4" t="s">
        <v>2272</v>
      </c>
      <c r="N922" s="198"/>
    </row>
    <row r="923" spans="1:14" ht="38" customHeight="1">
      <c r="A923" s="19" t="s">
        <v>10155</v>
      </c>
      <c r="B923" s="19" t="s">
        <v>10163</v>
      </c>
      <c r="C923" s="198" t="s">
        <v>1102</v>
      </c>
      <c r="D923" s="198" t="s">
        <v>1102</v>
      </c>
      <c r="E923" s="4" t="s">
        <v>3204</v>
      </c>
      <c r="F923" s="198" t="s">
        <v>73</v>
      </c>
      <c r="G923" s="198">
        <v>1988</v>
      </c>
      <c r="H923" s="4" t="s">
        <v>2272</v>
      </c>
      <c r="I923" s="4" t="s">
        <v>2272</v>
      </c>
      <c r="J923" s="198">
        <v>2</v>
      </c>
      <c r="K923" s="19" t="s">
        <v>10164</v>
      </c>
      <c r="L923" s="4" t="s">
        <v>2272</v>
      </c>
      <c r="M923" s="4" t="s">
        <v>2272</v>
      </c>
      <c r="N923" s="198"/>
    </row>
    <row r="924" spans="1:14" ht="48" customHeight="1">
      <c r="A924" s="19" t="s">
        <v>10196</v>
      </c>
      <c r="B924" s="19" t="s">
        <v>10199</v>
      </c>
      <c r="C924" s="198" t="s">
        <v>1102</v>
      </c>
      <c r="D924" s="198" t="s">
        <v>1102</v>
      </c>
      <c r="E924" s="4" t="s">
        <v>3204</v>
      </c>
      <c r="F924" s="198" t="s">
        <v>73</v>
      </c>
      <c r="G924" s="198"/>
      <c r="H924" s="4" t="s">
        <v>2272</v>
      </c>
      <c r="I924" s="4" t="s">
        <v>2272</v>
      </c>
      <c r="J924" s="4" t="s">
        <v>2272</v>
      </c>
      <c r="K924" s="4" t="s">
        <v>2272</v>
      </c>
      <c r="L924" s="198">
        <v>3</v>
      </c>
      <c r="M924" s="4" t="s">
        <v>10201</v>
      </c>
      <c r="N924" s="198"/>
    </row>
    <row r="925" spans="1:14" ht="50" customHeight="1">
      <c r="A925" s="198" t="s">
        <v>10204</v>
      </c>
      <c r="B925" s="19" t="s">
        <v>10206</v>
      </c>
      <c r="C925" s="198" t="s">
        <v>23</v>
      </c>
      <c r="D925" s="198" t="s">
        <v>1102</v>
      </c>
      <c r="E925" s="4" t="s">
        <v>44</v>
      </c>
      <c r="F925" s="198" t="s">
        <v>28</v>
      </c>
      <c r="G925" s="198"/>
      <c r="H925" s="198">
        <v>1</v>
      </c>
      <c r="I925" s="18" t="s">
        <v>10211</v>
      </c>
      <c r="J925" s="4" t="s">
        <v>2272</v>
      </c>
      <c r="K925" s="4" t="s">
        <v>2272</v>
      </c>
      <c r="L925" s="4" t="s">
        <v>2272</v>
      </c>
      <c r="M925" s="4" t="s">
        <v>2272</v>
      </c>
      <c r="N925" s="198"/>
    </row>
    <row r="926" spans="1:14" ht="50" customHeight="1">
      <c r="A926" s="198" t="s">
        <v>10204</v>
      </c>
      <c r="B926" s="19" t="s">
        <v>10207</v>
      </c>
      <c r="C926" s="198" t="s">
        <v>23</v>
      </c>
      <c r="D926" s="198" t="s">
        <v>1102</v>
      </c>
      <c r="E926" s="4" t="s">
        <v>44</v>
      </c>
      <c r="F926" s="4" t="s">
        <v>2657</v>
      </c>
      <c r="G926" s="198"/>
      <c r="H926" s="198">
        <v>1</v>
      </c>
      <c r="I926" s="18" t="s">
        <v>10211</v>
      </c>
      <c r="J926" s="4" t="s">
        <v>2272</v>
      </c>
      <c r="K926" s="4" t="s">
        <v>2272</v>
      </c>
      <c r="L926" s="4" t="s">
        <v>2272</v>
      </c>
      <c r="M926" s="4" t="s">
        <v>2272</v>
      </c>
      <c r="N926" s="198"/>
    </row>
    <row r="927" spans="1:14" ht="50" customHeight="1">
      <c r="A927" s="198" t="s">
        <v>10204</v>
      </c>
      <c r="B927" s="19" t="s">
        <v>10210</v>
      </c>
      <c r="C927" s="198" t="s">
        <v>2453</v>
      </c>
      <c r="D927" s="198" t="s">
        <v>2272</v>
      </c>
      <c r="E927" s="198" t="s">
        <v>2272</v>
      </c>
      <c r="F927" s="198" t="s">
        <v>27</v>
      </c>
      <c r="G927" s="198"/>
      <c r="H927" s="198" t="s">
        <v>2272</v>
      </c>
      <c r="I927" s="198" t="s">
        <v>2272</v>
      </c>
      <c r="J927" s="198">
        <v>2</v>
      </c>
      <c r="K927" s="4" t="s">
        <v>10214</v>
      </c>
      <c r="L927" s="4" t="s">
        <v>2272</v>
      </c>
      <c r="M927" s="4" t="s">
        <v>2272</v>
      </c>
      <c r="N927" s="198"/>
    </row>
    <row r="928" spans="1:14" ht="50" customHeight="1">
      <c r="A928" s="198" t="s">
        <v>10204</v>
      </c>
      <c r="B928" s="19" t="s">
        <v>10212</v>
      </c>
      <c r="C928" s="198" t="s">
        <v>2453</v>
      </c>
      <c r="D928" s="198" t="s">
        <v>2272</v>
      </c>
      <c r="E928" s="198" t="s">
        <v>2272</v>
      </c>
      <c r="F928" s="198" t="s">
        <v>73</v>
      </c>
      <c r="G928" s="198"/>
      <c r="H928" s="198" t="s">
        <v>2272</v>
      </c>
      <c r="I928" s="198" t="s">
        <v>2272</v>
      </c>
      <c r="J928" s="198">
        <v>2</v>
      </c>
      <c r="K928" s="4" t="s">
        <v>10214</v>
      </c>
      <c r="L928" s="4" t="s">
        <v>2272</v>
      </c>
      <c r="M928" s="4" t="s">
        <v>2272</v>
      </c>
      <c r="N928" s="198"/>
    </row>
    <row r="929" spans="1:14" ht="45.5" customHeight="1">
      <c r="A929" s="198" t="s">
        <v>10204</v>
      </c>
      <c r="B929" s="19" t="s">
        <v>10213</v>
      </c>
      <c r="C929" s="198" t="s">
        <v>2453</v>
      </c>
      <c r="D929" s="198" t="s">
        <v>2272</v>
      </c>
      <c r="E929" s="4" t="s">
        <v>2644</v>
      </c>
      <c r="F929" s="198" t="s">
        <v>2658</v>
      </c>
      <c r="G929" s="198"/>
      <c r="H929" s="198" t="s">
        <v>2272</v>
      </c>
      <c r="I929" s="198" t="s">
        <v>2272</v>
      </c>
      <c r="J929" s="198">
        <v>0</v>
      </c>
      <c r="K929" s="19" t="s">
        <v>10215</v>
      </c>
      <c r="L929" s="4" t="s">
        <v>2272</v>
      </c>
      <c r="M929" s="4" t="s">
        <v>2272</v>
      </c>
      <c r="N929" s="198"/>
    </row>
    <row r="930" spans="1:14" ht="55" customHeight="1">
      <c r="A930" s="11" t="s">
        <v>10217</v>
      </c>
      <c r="B930" s="19" t="s">
        <v>10219</v>
      </c>
      <c r="C930" s="198" t="s">
        <v>1102</v>
      </c>
      <c r="D930" s="198" t="s">
        <v>2272</v>
      </c>
      <c r="E930" s="4" t="s">
        <v>3204</v>
      </c>
      <c r="F930" s="4" t="s">
        <v>2657</v>
      </c>
      <c r="G930" s="198">
        <v>1985</v>
      </c>
      <c r="H930" s="198" t="s">
        <v>2272</v>
      </c>
      <c r="I930" s="198" t="s">
        <v>2272</v>
      </c>
      <c r="J930" s="198">
        <v>0</v>
      </c>
      <c r="K930" s="4" t="s">
        <v>10220</v>
      </c>
      <c r="L930" s="198">
        <v>3</v>
      </c>
      <c r="M930" s="4" t="s">
        <v>10221</v>
      </c>
      <c r="N930" s="4" t="s">
        <v>10229</v>
      </c>
    </row>
    <row r="931" spans="1:14" ht="79.5" customHeight="1">
      <c r="A931" s="11" t="s">
        <v>10217</v>
      </c>
      <c r="B931" s="19" t="s">
        <v>10222</v>
      </c>
      <c r="C931" s="198" t="s">
        <v>1102</v>
      </c>
      <c r="D931" s="198" t="s">
        <v>2272</v>
      </c>
      <c r="E931" s="4" t="s">
        <v>3204</v>
      </c>
      <c r="F931" s="4" t="s">
        <v>2657</v>
      </c>
      <c r="G931" s="198">
        <v>1995</v>
      </c>
      <c r="H931" s="198" t="s">
        <v>2272</v>
      </c>
      <c r="I931" s="198" t="s">
        <v>2272</v>
      </c>
      <c r="J931" s="198">
        <v>1</v>
      </c>
      <c r="K931" s="18" t="s">
        <v>10223</v>
      </c>
      <c r="L931" s="198">
        <v>3</v>
      </c>
      <c r="M931" s="198" t="s">
        <v>10225</v>
      </c>
      <c r="N931" s="198" t="s">
        <v>10230</v>
      </c>
    </row>
    <row r="932" spans="1:14" ht="54" customHeight="1">
      <c r="A932" s="11" t="s">
        <v>10217</v>
      </c>
      <c r="B932" s="19" t="s">
        <v>10224</v>
      </c>
      <c r="C932" s="198" t="s">
        <v>1102</v>
      </c>
      <c r="D932" s="198" t="s">
        <v>2272</v>
      </c>
      <c r="E932" s="4" t="s">
        <v>3204</v>
      </c>
      <c r="F932" s="4" t="s">
        <v>2657</v>
      </c>
      <c r="G932">
        <v>2001</v>
      </c>
      <c r="H932" s="198" t="s">
        <v>2272</v>
      </c>
      <c r="I932" s="198" t="s">
        <v>2272</v>
      </c>
      <c r="J932" s="198">
        <v>2</v>
      </c>
      <c r="K932" s="146" t="s">
        <v>10228</v>
      </c>
      <c r="L932" s="198">
        <v>3</v>
      </c>
      <c r="M932" s="198" t="s">
        <v>10225</v>
      </c>
      <c r="N932" s="198" t="s">
        <v>10231</v>
      </c>
    </row>
    <row r="933" spans="1:14" ht="59.5" customHeight="1">
      <c r="A933" s="11" t="s">
        <v>10217</v>
      </c>
      <c r="B933" s="19" t="s">
        <v>10227</v>
      </c>
      <c r="C933" s="198" t="s">
        <v>1102</v>
      </c>
      <c r="D933" s="198" t="s">
        <v>2272</v>
      </c>
      <c r="E933" s="4" t="s">
        <v>3204</v>
      </c>
      <c r="F933" s="4" t="s">
        <v>2657</v>
      </c>
      <c r="G933" s="198">
        <v>2003</v>
      </c>
      <c r="H933" s="198" t="s">
        <v>2272</v>
      </c>
      <c r="I933" s="198" t="s">
        <v>2272</v>
      </c>
      <c r="J933" s="198">
        <v>2</v>
      </c>
      <c r="K933" s="18" t="s">
        <v>10226</v>
      </c>
      <c r="L933" s="198">
        <v>3</v>
      </c>
      <c r="M933" s="198" t="s">
        <v>10225</v>
      </c>
      <c r="N933" s="4" t="s">
        <v>10232</v>
      </c>
    </row>
    <row r="934" spans="1:14" ht="76.5" customHeight="1">
      <c r="A934" s="11" t="s">
        <v>10234</v>
      </c>
      <c r="B934" s="19" t="s">
        <v>10240</v>
      </c>
      <c r="C934" s="198" t="s">
        <v>1102</v>
      </c>
      <c r="D934" s="198" t="s">
        <v>1102</v>
      </c>
      <c r="E934" s="4" t="s">
        <v>2644</v>
      </c>
      <c r="F934" s="198" t="s">
        <v>73</v>
      </c>
      <c r="G934" s="198"/>
      <c r="H934" s="198" t="s">
        <v>2272</v>
      </c>
      <c r="I934" s="198" t="s">
        <v>2272</v>
      </c>
      <c r="J934" s="198">
        <v>1</v>
      </c>
      <c r="K934" s="4" t="s">
        <v>10242</v>
      </c>
      <c r="L934" s="4" t="s">
        <v>2272</v>
      </c>
      <c r="M934" s="4" t="s">
        <v>2272</v>
      </c>
      <c r="N934" s="198"/>
    </row>
    <row r="935" spans="1:14" ht="61" customHeight="1">
      <c r="A935" s="11" t="s">
        <v>10236</v>
      </c>
      <c r="B935" s="19" t="s">
        <v>10241</v>
      </c>
      <c r="C935" s="198" t="s">
        <v>1102</v>
      </c>
      <c r="D935" s="198" t="s">
        <v>1102</v>
      </c>
      <c r="E935" s="4" t="s">
        <v>2644</v>
      </c>
      <c r="F935" s="198" t="s">
        <v>73</v>
      </c>
      <c r="G935" s="198"/>
      <c r="H935" s="198" t="s">
        <v>2272</v>
      </c>
      <c r="I935" s="198" t="s">
        <v>2272</v>
      </c>
      <c r="J935" s="198">
        <v>3</v>
      </c>
      <c r="K935" s="198" t="s">
        <v>10243</v>
      </c>
      <c r="L935" s="4" t="s">
        <v>2272</v>
      </c>
      <c r="M935" s="4" t="s">
        <v>2272</v>
      </c>
      <c r="N935" s="198"/>
    </row>
    <row r="936" spans="1:14" ht="50.5" customHeight="1">
      <c r="A936" s="11" t="s">
        <v>10255</v>
      </c>
      <c r="B936" s="19" t="s">
        <v>10257</v>
      </c>
      <c r="C936" s="198" t="s">
        <v>2651</v>
      </c>
      <c r="D936" s="198" t="s">
        <v>2272</v>
      </c>
      <c r="E936" s="4" t="s">
        <v>2644</v>
      </c>
      <c r="F936" s="198" t="s">
        <v>73</v>
      </c>
      <c r="G936" s="198"/>
      <c r="H936" s="198" t="s">
        <v>2272</v>
      </c>
      <c r="I936" s="198" t="s">
        <v>2272</v>
      </c>
      <c r="J936" s="198">
        <v>1</v>
      </c>
      <c r="K936" s="4" t="s">
        <v>10264</v>
      </c>
      <c r="L936" s="4" t="s">
        <v>2272</v>
      </c>
      <c r="M936" s="4" t="s">
        <v>2272</v>
      </c>
      <c r="N936" s="198"/>
    </row>
    <row r="937" spans="1:14" ht="50.5" customHeight="1">
      <c r="A937" s="11" t="s">
        <v>10255</v>
      </c>
      <c r="B937" s="19" t="s">
        <v>10258</v>
      </c>
      <c r="C937" s="198" t="s">
        <v>2651</v>
      </c>
      <c r="D937" s="198" t="s">
        <v>2272</v>
      </c>
      <c r="E937" s="4" t="s">
        <v>860</v>
      </c>
      <c r="F937" s="198" t="s">
        <v>73</v>
      </c>
      <c r="G937" s="198"/>
      <c r="H937" s="198" t="s">
        <v>2272</v>
      </c>
      <c r="I937" s="198" t="s">
        <v>2272</v>
      </c>
      <c r="J937" s="198">
        <v>1</v>
      </c>
      <c r="K937" s="4" t="s">
        <v>10264</v>
      </c>
      <c r="L937" s="4" t="s">
        <v>2272</v>
      </c>
      <c r="M937" s="4" t="s">
        <v>2272</v>
      </c>
      <c r="N937" s="198"/>
    </row>
    <row r="938" spans="1:14" ht="50.5" customHeight="1">
      <c r="A938" s="11" t="s">
        <v>10255</v>
      </c>
      <c r="B938" s="19" t="s">
        <v>10259</v>
      </c>
      <c r="C938" s="198" t="s">
        <v>2651</v>
      </c>
      <c r="D938" s="198" t="s">
        <v>2272</v>
      </c>
      <c r="E938" s="4" t="s">
        <v>2644</v>
      </c>
      <c r="F938" s="198" t="s">
        <v>2658</v>
      </c>
      <c r="G938" s="198"/>
      <c r="H938" s="198" t="s">
        <v>2272</v>
      </c>
      <c r="I938" s="198" t="s">
        <v>2272</v>
      </c>
      <c r="J938" s="198">
        <v>1</v>
      </c>
      <c r="K938" s="4" t="s">
        <v>10264</v>
      </c>
      <c r="L938" s="4" t="s">
        <v>2272</v>
      </c>
      <c r="M938" s="4" t="s">
        <v>2272</v>
      </c>
      <c r="N938" s="198"/>
    </row>
    <row r="939" spans="1:14" ht="50.5" customHeight="1">
      <c r="A939" s="11" t="s">
        <v>10255</v>
      </c>
      <c r="B939" s="19" t="s">
        <v>10260</v>
      </c>
      <c r="C939" s="198" t="s">
        <v>2651</v>
      </c>
      <c r="D939" s="198" t="s">
        <v>2272</v>
      </c>
      <c r="E939" s="4" t="s">
        <v>860</v>
      </c>
      <c r="F939" s="198" t="s">
        <v>2658</v>
      </c>
      <c r="G939" s="198"/>
      <c r="H939" s="198" t="s">
        <v>2272</v>
      </c>
      <c r="I939" s="198" t="s">
        <v>2272</v>
      </c>
      <c r="J939" s="198">
        <v>1</v>
      </c>
      <c r="K939" s="4" t="s">
        <v>10264</v>
      </c>
      <c r="L939" s="4" t="s">
        <v>2272</v>
      </c>
      <c r="M939" s="4" t="s">
        <v>2272</v>
      </c>
      <c r="N939" s="198"/>
    </row>
    <row r="940" spans="1:14" ht="56" customHeight="1">
      <c r="A940" s="11" t="s">
        <v>10267</v>
      </c>
      <c r="B940" s="19" t="s">
        <v>10271</v>
      </c>
      <c r="C940" s="198" t="s">
        <v>1102</v>
      </c>
      <c r="D940" s="198" t="s">
        <v>2272</v>
      </c>
      <c r="E940" s="4" t="s">
        <v>3204</v>
      </c>
      <c r="F940" s="198" t="s">
        <v>73</v>
      </c>
      <c r="G940" s="198"/>
      <c r="H940" s="198" t="s">
        <v>2272</v>
      </c>
      <c r="I940" s="198" t="s">
        <v>2272</v>
      </c>
      <c r="J940" s="198" t="s">
        <v>2272</v>
      </c>
      <c r="K940" s="198" t="s">
        <v>2272</v>
      </c>
      <c r="L940" s="198">
        <v>2</v>
      </c>
      <c r="M940" s="19" t="s">
        <v>10272</v>
      </c>
      <c r="N940" s="198"/>
    </row>
    <row r="941" spans="1:14" ht="45.5" customHeight="1">
      <c r="A941" s="11" t="s">
        <v>10274</v>
      </c>
      <c r="B941" s="19" t="s">
        <v>10278</v>
      </c>
      <c r="C941" s="198" t="s">
        <v>1102</v>
      </c>
      <c r="D941" s="198" t="s">
        <v>2272</v>
      </c>
      <c r="E941" s="4" t="s">
        <v>3204</v>
      </c>
      <c r="F941" s="198" t="s">
        <v>73</v>
      </c>
      <c r="G941" s="198"/>
      <c r="H941" s="198" t="s">
        <v>2272</v>
      </c>
      <c r="I941" s="198" t="s">
        <v>2272</v>
      </c>
      <c r="J941" s="198" t="s">
        <v>2272</v>
      </c>
      <c r="K941" s="198" t="s">
        <v>2272</v>
      </c>
      <c r="L941" s="198">
        <v>3</v>
      </c>
      <c r="M941" s="19" t="s">
        <v>10285</v>
      </c>
      <c r="N941" s="198"/>
    </row>
    <row r="942" spans="1:14" ht="44.5" customHeight="1">
      <c r="A942" s="11" t="s">
        <v>10274</v>
      </c>
      <c r="B942" s="19" t="s">
        <v>10279</v>
      </c>
      <c r="C942" s="198" t="s">
        <v>1102</v>
      </c>
      <c r="D942" s="198" t="s">
        <v>2272</v>
      </c>
      <c r="E942" s="4" t="s">
        <v>2648</v>
      </c>
      <c r="F942" s="198" t="s">
        <v>73</v>
      </c>
      <c r="G942" s="198"/>
      <c r="H942" s="198" t="s">
        <v>2272</v>
      </c>
      <c r="I942" s="198" t="s">
        <v>2272</v>
      </c>
      <c r="J942" s="198">
        <v>2</v>
      </c>
      <c r="K942" s="19" t="s">
        <v>10286</v>
      </c>
      <c r="L942" s="4" t="s">
        <v>2272</v>
      </c>
      <c r="M942" s="4" t="s">
        <v>2272</v>
      </c>
      <c r="N942" s="198"/>
    </row>
    <row r="943" spans="1:14" ht="41" customHeight="1">
      <c r="A943" s="11" t="s">
        <v>10288</v>
      </c>
      <c r="B943" s="19" t="s">
        <v>10290</v>
      </c>
      <c r="C943" s="198" t="s">
        <v>2453</v>
      </c>
      <c r="D943" s="198" t="s">
        <v>2272</v>
      </c>
      <c r="E943" s="4" t="s">
        <v>3204</v>
      </c>
      <c r="F943" s="198" t="s">
        <v>2272</v>
      </c>
      <c r="G943" s="198"/>
      <c r="H943" s="198" t="s">
        <v>2272</v>
      </c>
      <c r="I943" s="198" t="s">
        <v>2272</v>
      </c>
      <c r="J943" s="198" t="s">
        <v>2272</v>
      </c>
      <c r="K943" s="198" t="s">
        <v>2272</v>
      </c>
      <c r="L943" s="198">
        <v>3</v>
      </c>
      <c r="M943" s="19" t="s">
        <v>10299</v>
      </c>
      <c r="N943" s="198"/>
    </row>
    <row r="944" spans="1:14" ht="41" customHeight="1">
      <c r="A944" s="19" t="s">
        <v>10362</v>
      </c>
      <c r="B944" s="19" t="s">
        <v>10383</v>
      </c>
      <c r="C944" s="4" t="s">
        <v>23</v>
      </c>
      <c r="D944" s="4" t="s">
        <v>142</v>
      </c>
      <c r="E944" s="4" t="s">
        <v>135</v>
      </c>
      <c r="F944" s="4" t="s">
        <v>2657</v>
      </c>
      <c r="G944" s="198"/>
      <c r="H944" s="198">
        <v>2</v>
      </c>
      <c r="I944" s="4" t="s">
        <v>10404</v>
      </c>
      <c r="J944" s="198">
        <v>2</v>
      </c>
      <c r="K944" s="198" t="s">
        <v>7078</v>
      </c>
      <c r="L944" s="198" t="s">
        <v>2272</v>
      </c>
      <c r="M944" s="198" t="s">
        <v>2272</v>
      </c>
      <c r="N944" s="198"/>
    </row>
    <row r="945" spans="1:14" ht="41" customHeight="1">
      <c r="A945" s="19" t="s">
        <v>10373</v>
      </c>
      <c r="B945" s="19" t="s">
        <v>10384</v>
      </c>
      <c r="C945" s="4" t="s">
        <v>23</v>
      </c>
      <c r="D945" s="4" t="s">
        <v>142</v>
      </c>
      <c r="E945" s="4" t="s">
        <v>135</v>
      </c>
      <c r="F945" s="4" t="s">
        <v>2657</v>
      </c>
      <c r="G945" s="198"/>
      <c r="H945" s="198">
        <v>2</v>
      </c>
      <c r="I945" s="4" t="s">
        <v>10404</v>
      </c>
      <c r="J945" s="198">
        <v>2</v>
      </c>
      <c r="K945" s="198" t="s">
        <v>7078</v>
      </c>
      <c r="L945" s="198" t="s">
        <v>2272</v>
      </c>
      <c r="M945" s="198" t="s">
        <v>2272</v>
      </c>
      <c r="N945" s="198"/>
    </row>
    <row r="946" spans="1:14" ht="43.5">
      <c r="A946" s="19" t="s">
        <v>10374</v>
      </c>
      <c r="B946" s="19" t="s">
        <v>10385</v>
      </c>
      <c r="C946" s="4" t="s">
        <v>23</v>
      </c>
      <c r="D946" s="4" t="s">
        <v>142</v>
      </c>
      <c r="E946" s="4" t="s">
        <v>135</v>
      </c>
      <c r="F946" s="4" t="s">
        <v>2657</v>
      </c>
      <c r="G946" s="198"/>
      <c r="H946" s="198">
        <v>2</v>
      </c>
      <c r="I946" s="4" t="s">
        <v>10404</v>
      </c>
      <c r="J946" s="198">
        <v>2</v>
      </c>
      <c r="K946" s="198" t="s">
        <v>7078</v>
      </c>
      <c r="L946" s="198" t="s">
        <v>2272</v>
      </c>
      <c r="M946" s="198" t="s">
        <v>2272</v>
      </c>
      <c r="N946" s="198"/>
    </row>
    <row r="947" spans="1:14" ht="43.5">
      <c r="A947" s="19" t="s">
        <v>10375</v>
      </c>
      <c r="B947" s="19" t="s">
        <v>10386</v>
      </c>
      <c r="C947" s="4" t="s">
        <v>23</v>
      </c>
      <c r="D947" s="4" t="s">
        <v>142</v>
      </c>
      <c r="E947" s="4" t="s">
        <v>135</v>
      </c>
      <c r="F947" s="4" t="s">
        <v>2657</v>
      </c>
      <c r="G947" s="198"/>
      <c r="H947" s="198">
        <v>2</v>
      </c>
      <c r="I947" s="4" t="s">
        <v>10404</v>
      </c>
      <c r="J947" s="198">
        <v>2</v>
      </c>
      <c r="K947" s="198" t="s">
        <v>7078</v>
      </c>
      <c r="L947" s="198" t="s">
        <v>2272</v>
      </c>
      <c r="M947" s="198" t="s">
        <v>2272</v>
      </c>
      <c r="N947" s="198"/>
    </row>
    <row r="948" spans="1:14" ht="43.5">
      <c r="A948" s="19" t="s">
        <v>10376</v>
      </c>
      <c r="B948" s="19" t="s">
        <v>10387</v>
      </c>
      <c r="C948" s="4" t="s">
        <v>23</v>
      </c>
      <c r="D948" s="4" t="s">
        <v>142</v>
      </c>
      <c r="E948" s="4" t="s">
        <v>135</v>
      </c>
      <c r="F948" s="4" t="s">
        <v>2657</v>
      </c>
      <c r="G948" s="198"/>
      <c r="H948" s="198">
        <v>2</v>
      </c>
      <c r="I948" s="4" t="s">
        <v>10404</v>
      </c>
      <c r="J948" s="198">
        <v>2</v>
      </c>
      <c r="K948" s="198" t="s">
        <v>7078</v>
      </c>
      <c r="L948" s="198" t="s">
        <v>2272</v>
      </c>
      <c r="M948" s="198" t="s">
        <v>2272</v>
      </c>
      <c r="N948" s="198"/>
    </row>
    <row r="949" spans="1:14" ht="43.5">
      <c r="A949" s="19" t="s">
        <v>10377</v>
      </c>
      <c r="B949" s="19" t="s">
        <v>10388</v>
      </c>
      <c r="C949" s="4" t="s">
        <v>23</v>
      </c>
      <c r="D949" s="4" t="s">
        <v>142</v>
      </c>
      <c r="E949" s="4" t="s">
        <v>135</v>
      </c>
      <c r="F949" s="4" t="s">
        <v>2657</v>
      </c>
      <c r="G949" s="198"/>
      <c r="H949" s="198">
        <v>2</v>
      </c>
      <c r="I949" s="4" t="s">
        <v>10404</v>
      </c>
      <c r="J949" s="198">
        <v>2</v>
      </c>
      <c r="K949" s="198" t="s">
        <v>7078</v>
      </c>
      <c r="L949" s="198" t="s">
        <v>2272</v>
      </c>
      <c r="M949" s="198" t="s">
        <v>2272</v>
      </c>
      <c r="N949" s="198"/>
    </row>
    <row r="950" spans="1:14" ht="43.5">
      <c r="A950" s="19" t="s">
        <v>10378</v>
      </c>
      <c r="B950" s="19" t="s">
        <v>10389</v>
      </c>
      <c r="C950" s="4" t="s">
        <v>23</v>
      </c>
      <c r="D950" s="4" t="s">
        <v>142</v>
      </c>
      <c r="E950" s="4" t="s">
        <v>135</v>
      </c>
      <c r="F950" s="4" t="s">
        <v>2657</v>
      </c>
      <c r="G950" s="198"/>
      <c r="H950" s="198">
        <v>2</v>
      </c>
      <c r="I950" s="4" t="s">
        <v>10404</v>
      </c>
      <c r="J950" s="198">
        <v>2</v>
      </c>
      <c r="K950" s="198" t="s">
        <v>7078</v>
      </c>
      <c r="L950" s="198" t="s">
        <v>2272</v>
      </c>
      <c r="M950" s="198" t="s">
        <v>2272</v>
      </c>
      <c r="N950" s="198"/>
    </row>
    <row r="951" spans="1:14" ht="43.5">
      <c r="A951" s="19" t="s">
        <v>10379</v>
      </c>
      <c r="B951" s="19" t="s">
        <v>10390</v>
      </c>
      <c r="C951" s="4" t="s">
        <v>23</v>
      </c>
      <c r="D951" s="4" t="s">
        <v>142</v>
      </c>
      <c r="E951" s="4" t="s">
        <v>135</v>
      </c>
      <c r="F951" s="4" t="s">
        <v>2657</v>
      </c>
      <c r="G951" s="198"/>
      <c r="H951" s="198">
        <v>2</v>
      </c>
      <c r="I951" s="4" t="s">
        <v>10404</v>
      </c>
      <c r="J951" s="198">
        <v>2</v>
      </c>
      <c r="K951" s="198" t="s">
        <v>7078</v>
      </c>
      <c r="L951" s="198" t="s">
        <v>2272</v>
      </c>
      <c r="M951" s="198" t="s">
        <v>2272</v>
      </c>
      <c r="N951" s="198"/>
    </row>
    <row r="952" spans="1:14" ht="43.5">
      <c r="A952" s="19" t="s">
        <v>10380</v>
      </c>
      <c r="B952" s="19" t="s">
        <v>10391</v>
      </c>
      <c r="C952" s="4" t="s">
        <v>23</v>
      </c>
      <c r="D952" s="4" t="s">
        <v>142</v>
      </c>
      <c r="E952" s="4" t="s">
        <v>135</v>
      </c>
      <c r="F952" s="4" t="s">
        <v>2657</v>
      </c>
      <c r="G952" s="198"/>
      <c r="H952" s="198">
        <v>2</v>
      </c>
      <c r="I952" s="4" t="s">
        <v>10404</v>
      </c>
      <c r="J952" s="198">
        <v>2</v>
      </c>
      <c r="K952" s="198" t="s">
        <v>7078</v>
      </c>
      <c r="L952" s="198" t="s">
        <v>2272</v>
      </c>
      <c r="M952" s="198" t="s">
        <v>2272</v>
      </c>
      <c r="N952" s="198"/>
    </row>
    <row r="953" spans="1:14" ht="47" customHeight="1">
      <c r="A953" s="11" t="s">
        <v>10406</v>
      </c>
      <c r="B953" s="11" t="s">
        <v>10407</v>
      </c>
      <c r="C953" s="198" t="s">
        <v>23</v>
      </c>
      <c r="D953" s="198" t="s">
        <v>142</v>
      </c>
      <c r="E953" s="4" t="s">
        <v>135</v>
      </c>
      <c r="F953" s="4" t="s">
        <v>2657</v>
      </c>
      <c r="G953" s="4"/>
      <c r="H953" s="198">
        <v>2</v>
      </c>
      <c r="I953" s="19" t="s">
        <v>10414</v>
      </c>
      <c r="J953" s="198">
        <v>2</v>
      </c>
      <c r="K953" s="198" t="s">
        <v>7078</v>
      </c>
      <c r="L953" s="198" t="s">
        <v>2272</v>
      </c>
      <c r="M953" s="198" t="s">
        <v>2272</v>
      </c>
      <c r="N953" s="198"/>
    </row>
    <row r="954" spans="1:14" ht="54.5" customHeight="1">
      <c r="A954" s="11" t="s">
        <v>10406</v>
      </c>
      <c r="B954" s="11" t="s">
        <v>10417</v>
      </c>
      <c r="C954" s="198" t="s">
        <v>23</v>
      </c>
      <c r="D954" s="198" t="s">
        <v>142</v>
      </c>
      <c r="E954" s="4" t="s">
        <v>135</v>
      </c>
      <c r="F954" s="4" t="s">
        <v>2657</v>
      </c>
      <c r="G954" s="4"/>
      <c r="H954" s="198">
        <v>2</v>
      </c>
      <c r="I954" s="19" t="s">
        <v>10414</v>
      </c>
      <c r="J954" s="198">
        <v>2</v>
      </c>
      <c r="K954" s="198" t="s">
        <v>7078</v>
      </c>
      <c r="L954" s="198" t="s">
        <v>2272</v>
      </c>
      <c r="M954" s="198" t="s">
        <v>2272</v>
      </c>
      <c r="N954" s="198"/>
    </row>
    <row r="955" spans="1:14" ht="40" customHeight="1">
      <c r="A955" s="11" t="s">
        <v>10406</v>
      </c>
      <c r="B955" s="11" t="s">
        <v>10418</v>
      </c>
      <c r="C955" s="198" t="s">
        <v>23</v>
      </c>
      <c r="D955" s="198" t="s">
        <v>1102</v>
      </c>
      <c r="E955" s="4" t="s">
        <v>135</v>
      </c>
      <c r="F955" s="4" t="s">
        <v>2657</v>
      </c>
      <c r="G955" s="4"/>
      <c r="H955" s="198" t="s">
        <v>2272</v>
      </c>
      <c r="I955" s="198" t="s">
        <v>2272</v>
      </c>
      <c r="J955" s="198">
        <v>1</v>
      </c>
      <c r="K955" s="198" t="s">
        <v>10419</v>
      </c>
      <c r="L955" s="198">
        <v>2</v>
      </c>
      <c r="M955" s="198" t="s">
        <v>10420</v>
      </c>
      <c r="N955" s="198"/>
    </row>
    <row r="956" spans="1:14" ht="46.5" customHeight="1">
      <c r="A956" s="11" t="s">
        <v>10406</v>
      </c>
      <c r="B956" s="11" t="s">
        <v>10421</v>
      </c>
      <c r="C956" s="198" t="s">
        <v>2651</v>
      </c>
      <c r="D956" s="198" t="s">
        <v>2272</v>
      </c>
      <c r="E956" s="4" t="s">
        <v>135</v>
      </c>
      <c r="F956" s="4" t="s">
        <v>2657</v>
      </c>
      <c r="G956" s="198"/>
      <c r="H956" s="198" t="s">
        <v>2272</v>
      </c>
      <c r="I956" s="198" t="s">
        <v>2272</v>
      </c>
      <c r="J956" s="198">
        <v>0</v>
      </c>
      <c r="K956" s="11" t="s">
        <v>10422</v>
      </c>
      <c r="L956" s="198">
        <v>0</v>
      </c>
      <c r="M956" s="11" t="s">
        <v>10422</v>
      </c>
      <c r="N956" s="198"/>
    </row>
    <row r="957" spans="1:14" ht="46.5" customHeight="1">
      <c r="A957" s="198" t="s">
        <v>10425</v>
      </c>
      <c r="B957" s="11" t="s">
        <v>10434</v>
      </c>
      <c r="C957" s="198" t="s">
        <v>23</v>
      </c>
      <c r="D957" s="198" t="s">
        <v>24</v>
      </c>
      <c r="E957" s="4" t="s">
        <v>3849</v>
      </c>
      <c r="F957" s="198" t="s">
        <v>54</v>
      </c>
      <c r="G957" s="198"/>
      <c r="H957" s="198" t="s">
        <v>2272</v>
      </c>
      <c r="I957" s="198" t="s">
        <v>2272</v>
      </c>
      <c r="J957" s="198">
        <v>2</v>
      </c>
      <c r="K957" s="11" t="s">
        <v>10439</v>
      </c>
      <c r="L957" s="198" t="s">
        <v>2272</v>
      </c>
      <c r="M957" s="198" t="s">
        <v>2272</v>
      </c>
      <c r="N957" s="198"/>
    </row>
    <row r="958" spans="1:14" ht="46.5" customHeight="1">
      <c r="A958" s="198" t="s">
        <v>10441</v>
      </c>
      <c r="B958" s="198" t="s">
        <v>10444</v>
      </c>
      <c r="C958" s="198" t="s">
        <v>1102</v>
      </c>
      <c r="D958" s="198" t="s">
        <v>1102</v>
      </c>
      <c r="E958" s="4" t="s">
        <v>135</v>
      </c>
      <c r="F958" s="198" t="s">
        <v>73</v>
      </c>
      <c r="G958" s="198"/>
      <c r="H958" s="198" t="s">
        <v>2272</v>
      </c>
      <c r="I958" s="198" t="s">
        <v>2272</v>
      </c>
      <c r="J958" s="198" t="s">
        <v>2272</v>
      </c>
      <c r="K958" s="198" t="s">
        <v>2272</v>
      </c>
      <c r="L958" s="198">
        <v>2</v>
      </c>
      <c r="M958" s="19" t="s">
        <v>10450</v>
      </c>
      <c r="N958" s="198"/>
    </row>
    <row r="959" spans="1:14" ht="46" customHeight="1">
      <c r="A959" s="198" t="s">
        <v>10452</v>
      </c>
      <c r="B959" s="198" t="s">
        <v>10460</v>
      </c>
      <c r="C959" s="198" t="s">
        <v>23</v>
      </c>
      <c r="D959" s="198" t="s">
        <v>2272</v>
      </c>
      <c r="E959" s="198" t="s">
        <v>2272</v>
      </c>
      <c r="F959" s="198" t="s">
        <v>2272</v>
      </c>
      <c r="G959" s="198"/>
      <c r="H959" s="198">
        <v>3</v>
      </c>
      <c r="I959" s="11" t="s">
        <v>10468</v>
      </c>
      <c r="J959" s="198" t="s">
        <v>2272</v>
      </c>
      <c r="K959" s="198" t="s">
        <v>2272</v>
      </c>
      <c r="L959" s="198" t="s">
        <v>2272</v>
      </c>
      <c r="M959" s="198" t="s">
        <v>2272</v>
      </c>
      <c r="N959" s="198"/>
    </row>
    <row r="960" spans="1:14" ht="46" customHeight="1">
      <c r="A960" s="198" t="s">
        <v>10455</v>
      </c>
      <c r="B960" s="198" t="s">
        <v>10463</v>
      </c>
      <c r="C960" s="198" t="s">
        <v>23</v>
      </c>
      <c r="D960" s="198" t="s">
        <v>2272</v>
      </c>
      <c r="E960" s="198" t="s">
        <v>2272</v>
      </c>
      <c r="F960" s="198" t="s">
        <v>2272</v>
      </c>
      <c r="G960" s="198"/>
      <c r="H960" s="198">
        <v>3</v>
      </c>
      <c r="I960" s="11" t="s">
        <v>10469</v>
      </c>
      <c r="J960" s="198" t="s">
        <v>2272</v>
      </c>
      <c r="K960" s="198" t="s">
        <v>2272</v>
      </c>
      <c r="L960" s="198" t="s">
        <v>2272</v>
      </c>
      <c r="M960" s="198" t="s">
        <v>2272</v>
      </c>
      <c r="N960" s="198"/>
    </row>
    <row r="961" spans="1:14" ht="46" customHeight="1">
      <c r="A961" s="198" t="s">
        <v>10456</v>
      </c>
      <c r="B961" s="198" t="s">
        <v>10464</v>
      </c>
      <c r="C961" s="198" t="s">
        <v>23</v>
      </c>
      <c r="D961" s="198" t="s">
        <v>2272</v>
      </c>
      <c r="E961" s="198" t="s">
        <v>2272</v>
      </c>
      <c r="F961" s="198" t="s">
        <v>2272</v>
      </c>
      <c r="G961" s="198"/>
      <c r="H961" s="198">
        <v>3</v>
      </c>
      <c r="I961" s="11" t="s">
        <v>10470</v>
      </c>
      <c r="J961" s="198" t="s">
        <v>2272</v>
      </c>
      <c r="K961" s="198" t="s">
        <v>2272</v>
      </c>
      <c r="L961" s="198" t="s">
        <v>2272</v>
      </c>
      <c r="M961" s="198" t="s">
        <v>2272</v>
      </c>
      <c r="N961" s="198"/>
    </row>
    <row r="962" spans="1:14" ht="46" customHeight="1">
      <c r="A962" s="198" t="s">
        <v>10457</v>
      </c>
      <c r="B962" s="198" t="s">
        <v>10465</v>
      </c>
      <c r="C962" s="198" t="s">
        <v>23</v>
      </c>
      <c r="D962" s="198" t="s">
        <v>2272</v>
      </c>
      <c r="E962" s="198" t="s">
        <v>2272</v>
      </c>
      <c r="F962" s="198" t="s">
        <v>2272</v>
      </c>
      <c r="G962" s="198"/>
      <c r="H962" s="198">
        <v>3</v>
      </c>
      <c r="I962" s="11" t="s">
        <v>10471</v>
      </c>
      <c r="J962" s="198" t="s">
        <v>2272</v>
      </c>
      <c r="K962" s="198" t="s">
        <v>2272</v>
      </c>
      <c r="L962" s="198" t="s">
        <v>2272</v>
      </c>
      <c r="M962" s="198" t="s">
        <v>2272</v>
      </c>
      <c r="N962" s="198"/>
    </row>
    <row r="963" spans="1:14" ht="39.5" customHeight="1">
      <c r="A963" s="11" t="s">
        <v>10474</v>
      </c>
      <c r="B963" s="11" t="s">
        <v>10478</v>
      </c>
      <c r="C963" s="198" t="s">
        <v>1102</v>
      </c>
      <c r="D963" s="198" t="s">
        <v>2272</v>
      </c>
      <c r="E963" s="4" t="s">
        <v>135</v>
      </c>
      <c r="F963" s="4" t="s">
        <v>2657</v>
      </c>
      <c r="G963" s="198"/>
      <c r="H963" s="198" t="s">
        <v>2272</v>
      </c>
      <c r="I963" s="198" t="s">
        <v>2272</v>
      </c>
      <c r="J963" s="198" t="s">
        <v>2272</v>
      </c>
      <c r="K963" s="198" t="s">
        <v>2272</v>
      </c>
      <c r="L963" s="198">
        <v>2</v>
      </c>
      <c r="M963" s="198" t="s">
        <v>10481</v>
      </c>
      <c r="N963" s="198"/>
    </row>
    <row r="964" spans="1:14" ht="44.5" customHeight="1">
      <c r="A964" s="11" t="s">
        <v>10483</v>
      </c>
      <c r="B964" s="11" t="s">
        <v>10490</v>
      </c>
      <c r="C964" s="198" t="s">
        <v>1102</v>
      </c>
      <c r="D964" s="198" t="s">
        <v>2272</v>
      </c>
      <c r="E964" s="4" t="s">
        <v>135</v>
      </c>
      <c r="F964" s="4" t="s">
        <v>2657</v>
      </c>
      <c r="G964" s="198"/>
      <c r="H964" s="198" t="s">
        <v>2272</v>
      </c>
      <c r="I964" s="198" t="s">
        <v>2272</v>
      </c>
      <c r="J964" s="198">
        <v>1</v>
      </c>
      <c r="K964" s="11" t="s">
        <v>10500</v>
      </c>
      <c r="L964" s="198">
        <v>2</v>
      </c>
      <c r="M964" s="198" t="s">
        <v>10481</v>
      </c>
      <c r="N964" s="198"/>
    </row>
    <row r="965" spans="1:14" ht="53.5" customHeight="1">
      <c r="A965" s="11" t="s">
        <v>10485</v>
      </c>
      <c r="B965" s="11" t="s">
        <v>10491</v>
      </c>
      <c r="C965" s="198" t="s">
        <v>23</v>
      </c>
      <c r="D965" s="198" t="s">
        <v>24</v>
      </c>
      <c r="E965" s="4" t="s">
        <v>44</v>
      </c>
      <c r="F965" s="4" t="s">
        <v>2657</v>
      </c>
      <c r="G965" s="198"/>
      <c r="H965" s="198">
        <v>0</v>
      </c>
      <c r="I965" s="19" t="s">
        <v>10505</v>
      </c>
      <c r="J965" s="198" t="s">
        <v>2272</v>
      </c>
      <c r="K965" s="198" t="s">
        <v>2272</v>
      </c>
      <c r="L965" s="198" t="s">
        <v>2272</v>
      </c>
      <c r="M965" s="198" t="s">
        <v>2272</v>
      </c>
      <c r="N965" s="198"/>
    </row>
    <row r="966" spans="1:14" ht="44.5" customHeight="1">
      <c r="A966" s="11" t="s">
        <v>10489</v>
      </c>
      <c r="B966" s="11" t="s">
        <v>10492</v>
      </c>
      <c r="C966" s="198" t="s">
        <v>1102</v>
      </c>
      <c r="D966" s="198" t="s">
        <v>2272</v>
      </c>
      <c r="E966" s="4" t="s">
        <v>2648</v>
      </c>
      <c r="F966" s="4" t="s">
        <v>2657</v>
      </c>
      <c r="G966" s="198"/>
      <c r="H966" s="198" t="s">
        <v>2272</v>
      </c>
      <c r="I966" s="198" t="s">
        <v>2272</v>
      </c>
      <c r="J966" s="198">
        <v>2</v>
      </c>
      <c r="K966" s="4" t="s">
        <v>10501</v>
      </c>
      <c r="L966" s="198" t="s">
        <v>2272</v>
      </c>
      <c r="M966" s="198" t="s">
        <v>2272</v>
      </c>
      <c r="N966" s="198"/>
    </row>
    <row r="967" spans="1:14" ht="49.5" customHeight="1">
      <c r="A967" s="11" t="s">
        <v>10510</v>
      </c>
      <c r="B967" s="11" t="s">
        <v>10512</v>
      </c>
      <c r="C967" s="198" t="s">
        <v>1102</v>
      </c>
      <c r="D967" s="198" t="s">
        <v>2272</v>
      </c>
      <c r="E967" s="4" t="s">
        <v>2642</v>
      </c>
      <c r="F967" s="4" t="s">
        <v>2657</v>
      </c>
      <c r="G967" s="198"/>
      <c r="H967" s="198" t="s">
        <v>2272</v>
      </c>
      <c r="I967" s="198" t="s">
        <v>2272</v>
      </c>
      <c r="J967" s="198">
        <v>2</v>
      </c>
      <c r="K967" s="19" t="s">
        <v>10513</v>
      </c>
      <c r="L967" s="198" t="s">
        <v>2272</v>
      </c>
      <c r="M967" s="198" t="s">
        <v>2272</v>
      </c>
      <c r="N967" s="198"/>
    </row>
    <row r="968" spans="1:14" ht="45.5" customHeight="1">
      <c r="A968" s="11" t="s">
        <v>10516</v>
      </c>
      <c r="B968" s="11" t="s">
        <v>10519</v>
      </c>
      <c r="C968" s="198" t="s">
        <v>23</v>
      </c>
      <c r="D968" s="198" t="s">
        <v>142</v>
      </c>
      <c r="E968" s="4" t="s">
        <v>135</v>
      </c>
      <c r="F968" s="4" t="s">
        <v>2657</v>
      </c>
      <c r="G968" s="198"/>
      <c r="H968" s="198">
        <v>3</v>
      </c>
      <c r="I968" s="4" t="s">
        <v>10521</v>
      </c>
      <c r="J968" s="198">
        <v>3</v>
      </c>
      <c r="K968" s="198" t="s">
        <v>10520</v>
      </c>
      <c r="L968" s="198" t="s">
        <v>2272</v>
      </c>
      <c r="M968" s="198" t="s">
        <v>2272</v>
      </c>
      <c r="N968" s="198"/>
    </row>
    <row r="969" spans="1:14" ht="48.5" customHeight="1">
      <c r="A969" s="11" t="s">
        <v>10523</v>
      </c>
      <c r="B969" s="11" t="s">
        <v>10527</v>
      </c>
      <c r="C969" s="11" t="s">
        <v>1102</v>
      </c>
      <c r="D969" s="11" t="s">
        <v>1102</v>
      </c>
      <c r="E969" s="11" t="s">
        <v>1102</v>
      </c>
      <c r="F969" s="11" t="s">
        <v>73</v>
      </c>
      <c r="G969" s="11"/>
      <c r="H969" s="198" t="s">
        <v>2272</v>
      </c>
      <c r="I969" s="198" t="s">
        <v>2272</v>
      </c>
      <c r="J969" s="198" t="s">
        <v>2272</v>
      </c>
      <c r="K969" s="198" t="s">
        <v>2272</v>
      </c>
      <c r="L969" s="11">
        <v>3</v>
      </c>
      <c r="M969" s="19" t="s">
        <v>10568</v>
      </c>
      <c r="N969" s="11"/>
    </row>
    <row r="970" spans="1:14" s="197" customFormat="1" ht="48.5" customHeight="1">
      <c r="A970" s="11" t="s">
        <v>10523</v>
      </c>
      <c r="B970" s="11" t="s">
        <v>10531</v>
      </c>
      <c r="C970" s="198" t="s">
        <v>23</v>
      </c>
      <c r="D970" s="198" t="s">
        <v>2989</v>
      </c>
      <c r="E970" s="198" t="s">
        <v>82</v>
      </c>
      <c r="F970" s="11" t="s">
        <v>2272</v>
      </c>
      <c r="G970" s="11"/>
      <c r="H970" s="198">
        <v>2</v>
      </c>
      <c r="I970" s="11" t="s">
        <v>10571</v>
      </c>
      <c r="J970" s="198" t="s">
        <v>2272</v>
      </c>
      <c r="K970" s="198" t="s">
        <v>2272</v>
      </c>
      <c r="L970" s="198" t="s">
        <v>2272</v>
      </c>
      <c r="M970" s="198" t="s">
        <v>2272</v>
      </c>
      <c r="N970" s="11"/>
    </row>
    <row r="971" spans="1:14" s="197" customFormat="1" ht="48.5" customHeight="1">
      <c r="A971" s="11" t="s">
        <v>10523</v>
      </c>
      <c r="B971" s="11" t="s">
        <v>10532</v>
      </c>
      <c r="C971" s="198" t="s">
        <v>23</v>
      </c>
      <c r="D971" s="198" t="s">
        <v>2989</v>
      </c>
      <c r="E971" s="198" t="s">
        <v>2644</v>
      </c>
      <c r="F971" s="11" t="s">
        <v>2272</v>
      </c>
      <c r="G971" s="11"/>
      <c r="H971" s="198">
        <v>2</v>
      </c>
      <c r="I971" s="11" t="s">
        <v>10571</v>
      </c>
      <c r="J971" s="198" t="s">
        <v>2272</v>
      </c>
      <c r="K971" s="198" t="s">
        <v>2272</v>
      </c>
      <c r="L971" s="198" t="s">
        <v>2272</v>
      </c>
      <c r="M971" s="198" t="s">
        <v>2272</v>
      </c>
      <c r="N971" s="11"/>
    </row>
    <row r="972" spans="1:14" s="197" customFormat="1" ht="48.5" customHeight="1">
      <c r="A972" s="11" t="s">
        <v>10523</v>
      </c>
      <c r="B972" s="11" t="s">
        <v>10533</v>
      </c>
      <c r="C972" s="198" t="s">
        <v>23</v>
      </c>
      <c r="D972" s="198" t="s">
        <v>2989</v>
      </c>
      <c r="E972" s="198" t="s">
        <v>44</v>
      </c>
      <c r="F972" s="11" t="s">
        <v>2272</v>
      </c>
      <c r="G972" s="11"/>
      <c r="H972" s="198">
        <v>2</v>
      </c>
      <c r="I972" s="11" t="s">
        <v>10571</v>
      </c>
      <c r="J972" s="198" t="s">
        <v>2272</v>
      </c>
      <c r="K972" s="198" t="s">
        <v>2272</v>
      </c>
      <c r="L972" s="198" t="s">
        <v>2272</v>
      </c>
      <c r="M972" s="198" t="s">
        <v>2272</v>
      </c>
      <c r="N972" s="11"/>
    </row>
    <row r="973" spans="1:14" s="197" customFormat="1" ht="48.5" customHeight="1">
      <c r="A973" s="11" t="s">
        <v>10523</v>
      </c>
      <c r="B973" s="11" t="s">
        <v>10534</v>
      </c>
      <c r="C973" s="198" t="s">
        <v>23</v>
      </c>
      <c r="D973" s="198" t="s">
        <v>2989</v>
      </c>
      <c r="E973" s="198" t="s">
        <v>5001</v>
      </c>
      <c r="F973" s="11" t="s">
        <v>2272</v>
      </c>
      <c r="G973" s="11"/>
      <c r="H973" s="198">
        <v>2</v>
      </c>
      <c r="I973" s="11" t="s">
        <v>10571</v>
      </c>
      <c r="J973" s="198" t="s">
        <v>2272</v>
      </c>
      <c r="K973" s="198" t="s">
        <v>2272</v>
      </c>
      <c r="L973" s="198" t="s">
        <v>2272</v>
      </c>
      <c r="M973" s="198" t="s">
        <v>2272</v>
      </c>
      <c r="N973" s="11"/>
    </row>
    <row r="974" spans="1:14" ht="37.5" customHeight="1">
      <c r="A974" s="11" t="s">
        <v>10562</v>
      </c>
      <c r="B974" s="11" t="s">
        <v>10563</v>
      </c>
      <c r="C974" s="198" t="s">
        <v>23</v>
      </c>
      <c r="D974" s="198" t="s">
        <v>2799</v>
      </c>
      <c r="E974" s="4" t="s">
        <v>2642</v>
      </c>
      <c r="F974" s="198" t="s">
        <v>54</v>
      </c>
      <c r="G974" s="198"/>
      <c r="H974" s="198">
        <v>2</v>
      </c>
      <c r="I974" s="198" t="s">
        <v>10566</v>
      </c>
      <c r="J974" s="198" t="s">
        <v>2272</v>
      </c>
      <c r="K974" s="198" t="s">
        <v>2272</v>
      </c>
      <c r="L974" s="198" t="s">
        <v>2272</v>
      </c>
      <c r="M974" s="198" t="s">
        <v>2272</v>
      </c>
      <c r="N974" s="198"/>
    </row>
    <row r="975" spans="1:14" ht="37.5" customHeight="1">
      <c r="A975" s="147" t="s">
        <v>10735</v>
      </c>
      <c r="B975" s="147" t="s">
        <v>10740</v>
      </c>
      <c r="C975" s="4" t="s">
        <v>30</v>
      </c>
      <c r="D975" s="4" t="s">
        <v>29</v>
      </c>
      <c r="E975" s="4" t="s">
        <v>2648</v>
      </c>
      <c r="F975" s="4" t="s">
        <v>2657</v>
      </c>
      <c r="G975" s="198"/>
      <c r="H975" s="198" t="s">
        <v>2272</v>
      </c>
      <c r="I975" s="198" t="s">
        <v>2272</v>
      </c>
      <c r="J975" s="198" t="s">
        <v>2272</v>
      </c>
      <c r="K975" s="198" t="s">
        <v>2272</v>
      </c>
      <c r="L975" s="198">
        <v>3</v>
      </c>
      <c r="M975" s="11" t="s">
        <v>10748</v>
      </c>
      <c r="N975" s="198"/>
    </row>
    <row r="976" spans="1:14" ht="37.5" customHeight="1">
      <c r="A976" s="147" t="s">
        <v>10738</v>
      </c>
      <c r="B976" s="147" t="s">
        <v>10741</v>
      </c>
      <c r="C976" s="4" t="s">
        <v>30</v>
      </c>
      <c r="D976" s="4" t="s">
        <v>29</v>
      </c>
      <c r="E976" s="4" t="s">
        <v>2648</v>
      </c>
      <c r="F976" s="4" t="s">
        <v>2657</v>
      </c>
      <c r="G976" s="198"/>
      <c r="H976" s="198" t="s">
        <v>2272</v>
      </c>
      <c r="I976" s="198" t="s">
        <v>2272</v>
      </c>
      <c r="J976" s="198" t="s">
        <v>2272</v>
      </c>
      <c r="K976" s="198" t="s">
        <v>2272</v>
      </c>
      <c r="L976" s="198">
        <v>3</v>
      </c>
      <c r="M976" s="11" t="s">
        <v>10748</v>
      </c>
      <c r="N976" s="198"/>
    </row>
    <row r="977" spans="1:14" ht="37.5" customHeight="1">
      <c r="A977" s="147" t="s">
        <v>10735</v>
      </c>
      <c r="B977" s="147" t="s">
        <v>10747</v>
      </c>
      <c r="C977" s="4" t="s">
        <v>2453</v>
      </c>
      <c r="D977" s="4" t="s">
        <v>2272</v>
      </c>
      <c r="E977" s="4" t="s">
        <v>2648</v>
      </c>
      <c r="F977" s="4" t="s">
        <v>2657</v>
      </c>
      <c r="G977" s="198"/>
      <c r="H977" s="198" t="s">
        <v>2272</v>
      </c>
      <c r="I977" s="198" t="s">
        <v>2272</v>
      </c>
      <c r="J977" s="198" t="s">
        <v>2272</v>
      </c>
      <c r="K977" s="198" t="s">
        <v>2272</v>
      </c>
      <c r="L977" s="198">
        <v>3</v>
      </c>
      <c r="M977" s="11" t="s">
        <v>10748</v>
      </c>
      <c r="N977" s="198"/>
    </row>
    <row r="978" spans="1:14" ht="37.5" customHeight="1">
      <c r="A978" s="147" t="s">
        <v>10738</v>
      </c>
      <c r="B978" s="147" t="s">
        <v>10742</v>
      </c>
      <c r="C978" s="4" t="s">
        <v>2453</v>
      </c>
      <c r="D978" s="4" t="s">
        <v>2272</v>
      </c>
      <c r="E978" s="4" t="s">
        <v>2648</v>
      </c>
      <c r="F978" s="4" t="s">
        <v>2657</v>
      </c>
      <c r="G978" s="198"/>
      <c r="H978" s="198" t="s">
        <v>2272</v>
      </c>
      <c r="I978" s="198" t="s">
        <v>2272</v>
      </c>
      <c r="J978" s="198" t="s">
        <v>2272</v>
      </c>
      <c r="K978" s="198" t="s">
        <v>2272</v>
      </c>
      <c r="L978" s="198">
        <v>3</v>
      </c>
      <c r="M978" s="11" t="s">
        <v>10748</v>
      </c>
      <c r="N978" s="198"/>
    </row>
    <row r="979" spans="1:14" ht="42" customHeight="1">
      <c r="A979" s="147" t="s">
        <v>10738</v>
      </c>
      <c r="B979" s="147" t="s">
        <v>10743</v>
      </c>
      <c r="C979" s="198" t="s">
        <v>1102</v>
      </c>
      <c r="D979" s="198" t="s">
        <v>1102</v>
      </c>
      <c r="E979" s="4" t="s">
        <v>5795</v>
      </c>
      <c r="F979" s="198" t="s">
        <v>158</v>
      </c>
      <c r="G979" s="198"/>
      <c r="H979" s="198" t="s">
        <v>2272</v>
      </c>
      <c r="I979" s="198" t="s">
        <v>2272</v>
      </c>
      <c r="J979" s="198">
        <v>0</v>
      </c>
      <c r="K979" s="19" t="s">
        <v>10749</v>
      </c>
      <c r="L979" s="198" t="s">
        <v>2272</v>
      </c>
      <c r="M979" s="198" t="s">
        <v>2272</v>
      </c>
      <c r="N979" s="198"/>
    </row>
    <row r="980" spans="1:14" ht="42.5" customHeight="1">
      <c r="A980" s="147" t="s">
        <v>10738</v>
      </c>
      <c r="B980" s="147" t="s">
        <v>10744</v>
      </c>
      <c r="C980" s="198" t="s">
        <v>1102</v>
      </c>
      <c r="D980" s="198" t="s">
        <v>1102</v>
      </c>
      <c r="E980" s="198" t="s">
        <v>2272</v>
      </c>
      <c r="F980" s="198" t="s">
        <v>2658</v>
      </c>
      <c r="G980" s="198"/>
      <c r="H980" s="198" t="s">
        <v>2272</v>
      </c>
      <c r="I980" s="198" t="s">
        <v>2272</v>
      </c>
      <c r="J980" s="198">
        <v>0</v>
      </c>
      <c r="K980" s="19" t="s">
        <v>10750</v>
      </c>
      <c r="L980" s="198" t="s">
        <v>2272</v>
      </c>
      <c r="M980" s="198" t="s">
        <v>2272</v>
      </c>
      <c r="N980" s="198"/>
    </row>
    <row r="981" spans="1:14" ht="37.5" customHeight="1">
      <c r="A981" s="186" t="s">
        <v>10751</v>
      </c>
      <c r="B981" s="186" t="s">
        <v>10754</v>
      </c>
      <c r="C981" s="198" t="s">
        <v>1102</v>
      </c>
      <c r="D981" s="198" t="s">
        <v>1102</v>
      </c>
      <c r="E981" s="4" t="s">
        <v>3204</v>
      </c>
      <c r="F981" s="4" t="s">
        <v>2657</v>
      </c>
      <c r="G981" s="198"/>
      <c r="H981" s="198" t="s">
        <v>2272</v>
      </c>
      <c r="I981" s="198" t="s">
        <v>2272</v>
      </c>
      <c r="J981" s="198">
        <v>1</v>
      </c>
      <c r="K981" s="11" t="s">
        <v>10762</v>
      </c>
      <c r="L981" s="198">
        <v>3</v>
      </c>
      <c r="M981" s="11" t="s">
        <v>10763</v>
      </c>
      <c r="N981" s="198"/>
    </row>
    <row r="982" spans="1:14" ht="39.5" customHeight="1">
      <c r="A982" s="186" t="s">
        <v>10751</v>
      </c>
      <c r="B982" s="186" t="s">
        <v>10755</v>
      </c>
      <c r="C982" s="198" t="s">
        <v>1102</v>
      </c>
      <c r="D982" s="198" t="s">
        <v>1102</v>
      </c>
      <c r="E982" s="4" t="s">
        <v>2648</v>
      </c>
      <c r="F982" s="4" t="s">
        <v>2657</v>
      </c>
      <c r="G982" s="198"/>
      <c r="H982" s="198" t="s">
        <v>2272</v>
      </c>
      <c r="I982" s="198" t="s">
        <v>2272</v>
      </c>
      <c r="J982" s="198">
        <v>0</v>
      </c>
      <c r="K982" s="198" t="s">
        <v>10761</v>
      </c>
      <c r="L982" s="198" t="s">
        <v>2272</v>
      </c>
      <c r="M982" s="198" t="s">
        <v>2272</v>
      </c>
      <c r="N982" s="198"/>
    </row>
    <row r="983" spans="1:14" ht="38.5" customHeight="1">
      <c r="A983" s="186" t="s">
        <v>10773</v>
      </c>
      <c r="B983" s="186" t="s">
        <v>10777</v>
      </c>
      <c r="C983" s="198" t="s">
        <v>2453</v>
      </c>
      <c r="D983" s="198" t="s">
        <v>2272</v>
      </c>
      <c r="E983" s="4" t="s">
        <v>3204</v>
      </c>
      <c r="F983" s="198" t="s">
        <v>2272</v>
      </c>
      <c r="G983" s="198"/>
      <c r="H983" s="198" t="s">
        <v>2272</v>
      </c>
      <c r="I983" s="198" t="s">
        <v>2272</v>
      </c>
      <c r="J983" s="198" t="s">
        <v>2272</v>
      </c>
      <c r="K983" s="198" t="s">
        <v>2272</v>
      </c>
      <c r="L983" s="198">
        <v>3</v>
      </c>
      <c r="M983" s="19" t="s">
        <v>10779</v>
      </c>
      <c r="N983" s="198"/>
    </row>
    <row r="984" spans="1:14" ht="36.5" customHeight="1">
      <c r="A984" s="186" t="s">
        <v>10776</v>
      </c>
      <c r="B984" s="186" t="s">
        <v>10778</v>
      </c>
      <c r="C984" s="198" t="s">
        <v>2453</v>
      </c>
      <c r="D984" s="198" t="s">
        <v>2272</v>
      </c>
      <c r="E984" s="4" t="s">
        <v>3204</v>
      </c>
      <c r="F984" s="198" t="s">
        <v>2272</v>
      </c>
      <c r="G984" s="198"/>
      <c r="H984" s="49" t="s">
        <v>2272</v>
      </c>
      <c r="I984" s="198" t="s">
        <v>2272</v>
      </c>
      <c r="J984" s="198" t="s">
        <v>2272</v>
      </c>
      <c r="K984" s="198" t="s">
        <v>2272</v>
      </c>
      <c r="L984" s="198">
        <v>3</v>
      </c>
      <c r="M984" s="19" t="s">
        <v>10779</v>
      </c>
      <c r="N984" s="198"/>
    </row>
    <row r="985" spans="1:14" ht="37.5" customHeight="1">
      <c r="A985" s="186" t="s">
        <v>10781</v>
      </c>
      <c r="B985" s="186" t="s">
        <v>10784</v>
      </c>
      <c r="C985" s="198" t="s">
        <v>1102</v>
      </c>
      <c r="D985" s="198" t="s">
        <v>1102</v>
      </c>
      <c r="E985" s="4" t="s">
        <v>3204</v>
      </c>
      <c r="F985" s="198" t="s">
        <v>54</v>
      </c>
      <c r="G985" s="198"/>
      <c r="H985" s="49" t="s">
        <v>2272</v>
      </c>
      <c r="I985" s="198" t="s">
        <v>2272</v>
      </c>
      <c r="J985" s="198" t="s">
        <v>2272</v>
      </c>
      <c r="K985" s="198" t="s">
        <v>2272</v>
      </c>
      <c r="L985" s="198">
        <v>2</v>
      </c>
      <c r="M985" s="19" t="s">
        <v>10793</v>
      </c>
      <c r="N985" s="198"/>
    </row>
    <row r="986" spans="1:14" ht="43.5" customHeight="1">
      <c r="A986" s="186" t="s">
        <v>10781</v>
      </c>
      <c r="B986" s="186" t="s">
        <v>10786</v>
      </c>
      <c r="C986" s="198" t="s">
        <v>23</v>
      </c>
      <c r="D986" s="198" t="s">
        <v>1102</v>
      </c>
      <c r="E986" s="4" t="s">
        <v>2647</v>
      </c>
      <c r="F986" s="198" t="s">
        <v>54</v>
      </c>
      <c r="G986" s="198"/>
      <c r="H986" s="198" t="s">
        <v>2272</v>
      </c>
      <c r="I986" s="198" t="s">
        <v>2272</v>
      </c>
      <c r="J986" s="198">
        <v>3</v>
      </c>
      <c r="K986" s="4" t="s">
        <v>10794</v>
      </c>
      <c r="L986" s="198" t="s">
        <v>2272</v>
      </c>
      <c r="M986" s="198" t="s">
        <v>2272</v>
      </c>
      <c r="N986" s="198"/>
    </row>
    <row r="987" spans="1:14" ht="46" customHeight="1">
      <c r="A987" s="186" t="s">
        <v>10797</v>
      </c>
      <c r="B987" s="186" t="s">
        <v>10800</v>
      </c>
      <c r="C987" s="4" t="s">
        <v>1102</v>
      </c>
      <c r="D987" s="4" t="s">
        <v>1102</v>
      </c>
      <c r="E987" s="4" t="s">
        <v>2648</v>
      </c>
      <c r="F987" s="4" t="s">
        <v>2657</v>
      </c>
      <c r="G987" s="198"/>
      <c r="H987" s="198" t="s">
        <v>2272</v>
      </c>
      <c r="I987" s="198" t="s">
        <v>2272</v>
      </c>
      <c r="J987" s="198">
        <v>1</v>
      </c>
      <c r="K987" s="4" t="s">
        <v>10801</v>
      </c>
      <c r="L987" s="198" t="s">
        <v>2272</v>
      </c>
      <c r="M987" s="198" t="s">
        <v>2272</v>
      </c>
      <c r="N987" s="198"/>
    </row>
    <row r="988" spans="1:14" ht="40" customHeight="1">
      <c r="A988" s="186" t="s">
        <v>10803</v>
      </c>
      <c r="B988" s="186" t="s">
        <v>10804</v>
      </c>
      <c r="C988" s="198" t="s">
        <v>1102</v>
      </c>
      <c r="D988" s="198" t="s">
        <v>1102</v>
      </c>
      <c r="E988" s="4" t="s">
        <v>2648</v>
      </c>
      <c r="F988" s="198" t="s">
        <v>2272</v>
      </c>
      <c r="G988" s="198"/>
      <c r="H988" s="198" t="s">
        <v>2272</v>
      </c>
      <c r="I988" s="198" t="s">
        <v>2272</v>
      </c>
      <c r="J988" s="198">
        <v>3</v>
      </c>
      <c r="K988" s="19" t="s">
        <v>10808</v>
      </c>
      <c r="L988" s="198" t="s">
        <v>2272</v>
      </c>
      <c r="M988" s="198" t="s">
        <v>2272</v>
      </c>
      <c r="N988" s="198"/>
    </row>
    <row r="989" spans="1:14" ht="47" customHeight="1">
      <c r="A989" s="186" t="s">
        <v>10803</v>
      </c>
      <c r="B989" s="186" t="s">
        <v>10805</v>
      </c>
      <c r="C989" s="198" t="s">
        <v>1102</v>
      </c>
      <c r="D989" s="198" t="s">
        <v>1102</v>
      </c>
      <c r="E989" s="4" t="s">
        <v>3204</v>
      </c>
      <c r="F989" s="198" t="s">
        <v>2272</v>
      </c>
      <c r="G989" s="198"/>
      <c r="H989" s="198" t="s">
        <v>2272</v>
      </c>
      <c r="I989" s="198" t="s">
        <v>2272</v>
      </c>
      <c r="J989" s="198">
        <v>3</v>
      </c>
      <c r="K989" s="19" t="s">
        <v>10808</v>
      </c>
      <c r="L989" s="198" t="s">
        <v>2272</v>
      </c>
      <c r="M989" s="198" t="s">
        <v>2272</v>
      </c>
      <c r="N989" s="198"/>
    </row>
    <row r="990" spans="1:14" ht="45.5" customHeight="1">
      <c r="A990" s="186" t="s">
        <v>10810</v>
      </c>
      <c r="B990" s="186" t="s">
        <v>10812</v>
      </c>
      <c r="C990" s="198" t="s">
        <v>2453</v>
      </c>
      <c r="D990" s="198" t="s">
        <v>2272</v>
      </c>
      <c r="E990" s="4" t="s">
        <v>2648</v>
      </c>
      <c r="F990" s="198" t="s">
        <v>2272</v>
      </c>
      <c r="G990" s="198"/>
      <c r="H990" s="198" t="s">
        <v>2272</v>
      </c>
      <c r="I990" s="198" t="s">
        <v>2272</v>
      </c>
      <c r="J990" s="198" t="s">
        <v>2272</v>
      </c>
      <c r="K990" s="198" t="s">
        <v>2272</v>
      </c>
      <c r="L990" s="198">
        <v>2</v>
      </c>
      <c r="M990" s="4" t="s">
        <v>10819</v>
      </c>
      <c r="N990" s="198"/>
    </row>
    <row r="991" spans="1:14" ht="81.5" customHeight="1">
      <c r="A991" s="186" t="s">
        <v>10810</v>
      </c>
      <c r="B991" s="186" t="s">
        <v>10813</v>
      </c>
      <c r="C991" s="198" t="s">
        <v>1102</v>
      </c>
      <c r="D991" s="198" t="s">
        <v>1102</v>
      </c>
      <c r="E991" s="4" t="s">
        <v>2644</v>
      </c>
      <c r="F991" s="198" t="s">
        <v>2658</v>
      </c>
      <c r="G991" s="198"/>
      <c r="H991" s="198" t="s">
        <v>2272</v>
      </c>
      <c r="I991" s="198" t="s">
        <v>2272</v>
      </c>
      <c r="J991" s="198">
        <v>0</v>
      </c>
      <c r="K991" s="18" t="s">
        <v>10820</v>
      </c>
      <c r="L991" s="198" t="s">
        <v>2272</v>
      </c>
      <c r="M991" s="198" t="s">
        <v>2272</v>
      </c>
      <c r="N991" s="198"/>
    </row>
    <row r="992" spans="1:14" ht="57.5" customHeight="1">
      <c r="A992" s="186" t="s">
        <v>10836</v>
      </c>
      <c r="B992" s="186" t="s">
        <v>10838</v>
      </c>
      <c r="C992" s="198" t="s">
        <v>1102</v>
      </c>
      <c r="D992" s="198" t="s">
        <v>1102</v>
      </c>
      <c r="E992" s="4" t="s">
        <v>2648</v>
      </c>
      <c r="F992" s="198" t="s">
        <v>2272</v>
      </c>
      <c r="G992" s="198"/>
      <c r="H992" s="198" t="s">
        <v>2272</v>
      </c>
      <c r="I992" s="198" t="s">
        <v>2272</v>
      </c>
      <c r="J992" s="198">
        <v>1</v>
      </c>
      <c r="K992" s="4" t="s">
        <v>10842</v>
      </c>
      <c r="L992" s="198">
        <v>2</v>
      </c>
      <c r="M992" s="198" t="s">
        <v>10841</v>
      </c>
      <c r="N992" s="198"/>
    </row>
    <row r="993" spans="1:14" ht="125" customHeight="1">
      <c r="A993" s="186" t="s">
        <v>10836</v>
      </c>
      <c r="B993" s="186" t="s">
        <v>10839</v>
      </c>
      <c r="C993" s="198" t="s">
        <v>1102</v>
      </c>
      <c r="D993" s="198" t="s">
        <v>1102</v>
      </c>
      <c r="E993" s="4" t="s">
        <v>2647</v>
      </c>
      <c r="F993" s="198" t="s">
        <v>2272</v>
      </c>
      <c r="G993" s="198"/>
      <c r="H993" s="198" t="s">
        <v>2272</v>
      </c>
      <c r="I993" s="198" t="s">
        <v>2272</v>
      </c>
      <c r="J993" s="198">
        <v>0</v>
      </c>
      <c r="K993" s="4" t="s">
        <v>10840</v>
      </c>
      <c r="L993" s="198" t="s">
        <v>2272</v>
      </c>
      <c r="M993" s="198" t="s">
        <v>2272</v>
      </c>
      <c r="N993" s="198" t="s">
        <v>10843</v>
      </c>
    </row>
    <row r="994" spans="1:14" ht="46" customHeight="1">
      <c r="A994" s="186" t="s">
        <v>10845</v>
      </c>
      <c r="B994" s="186" t="s">
        <v>10850</v>
      </c>
      <c r="C994" s="198" t="s">
        <v>1102</v>
      </c>
      <c r="D994" s="198" t="s">
        <v>1102</v>
      </c>
      <c r="E994" s="4" t="s">
        <v>2644</v>
      </c>
      <c r="F994" s="198" t="s">
        <v>73</v>
      </c>
      <c r="G994" s="198"/>
      <c r="H994" s="198" t="s">
        <v>2272</v>
      </c>
      <c r="I994" s="198" t="s">
        <v>2272</v>
      </c>
      <c r="J994" s="198">
        <v>2</v>
      </c>
      <c r="K994" s="4" t="s">
        <v>10861</v>
      </c>
      <c r="L994" s="198">
        <v>3</v>
      </c>
      <c r="M994" s="198" t="s">
        <v>10851</v>
      </c>
      <c r="N994" s="198"/>
    </row>
    <row r="995" spans="1:14" ht="46" customHeight="1">
      <c r="A995" s="186" t="s">
        <v>10845</v>
      </c>
      <c r="B995" s="186" t="s">
        <v>10849</v>
      </c>
      <c r="C995" s="198" t="s">
        <v>1102</v>
      </c>
      <c r="D995" s="198" t="s">
        <v>1102</v>
      </c>
      <c r="E995" s="4" t="s">
        <v>2648</v>
      </c>
      <c r="F995" s="198" t="s">
        <v>73</v>
      </c>
      <c r="G995" s="198"/>
      <c r="H995" s="198" t="s">
        <v>2272</v>
      </c>
      <c r="I995" s="198" t="s">
        <v>2272</v>
      </c>
      <c r="J995" s="198">
        <v>0</v>
      </c>
      <c r="K995" s="4" t="s">
        <v>10860</v>
      </c>
      <c r="L995" s="198" t="s">
        <v>2272</v>
      </c>
      <c r="M995" s="198" t="s">
        <v>2272</v>
      </c>
      <c r="N995" s="198"/>
    </row>
    <row r="996" spans="1:14" ht="46" customHeight="1">
      <c r="A996" s="186" t="s">
        <v>10845</v>
      </c>
      <c r="B996" s="186" t="s">
        <v>10853</v>
      </c>
      <c r="C996" s="198" t="s">
        <v>1102</v>
      </c>
      <c r="D996" s="198" t="s">
        <v>1102</v>
      </c>
      <c r="E996" s="4" t="s">
        <v>2647</v>
      </c>
      <c r="F996" s="198" t="s">
        <v>73</v>
      </c>
      <c r="G996" s="198"/>
      <c r="H996" s="198" t="s">
        <v>2272</v>
      </c>
      <c r="I996" s="198" t="s">
        <v>2272</v>
      </c>
      <c r="J996" s="198">
        <v>0</v>
      </c>
      <c r="K996" s="4" t="s">
        <v>10859</v>
      </c>
      <c r="L996" s="198" t="s">
        <v>2272</v>
      </c>
      <c r="M996" s="198" t="s">
        <v>2272</v>
      </c>
      <c r="N996" s="198"/>
    </row>
    <row r="997" spans="1:14" ht="46" customHeight="1">
      <c r="A997" s="186" t="s">
        <v>10845</v>
      </c>
      <c r="B997" s="186" t="s">
        <v>10854</v>
      </c>
      <c r="C997" s="198" t="s">
        <v>1102</v>
      </c>
      <c r="D997" s="198" t="s">
        <v>1102</v>
      </c>
      <c r="E997" s="4" t="s">
        <v>114</v>
      </c>
      <c r="F997" s="198" t="s">
        <v>73</v>
      </c>
      <c r="G997" s="198"/>
      <c r="H997" s="198" t="s">
        <v>2272</v>
      </c>
      <c r="I997" s="198" t="s">
        <v>2272</v>
      </c>
      <c r="J997" s="198">
        <v>2</v>
      </c>
      <c r="K997" s="4" t="s">
        <v>10858</v>
      </c>
      <c r="L997" s="198">
        <v>2</v>
      </c>
      <c r="M997" s="198" t="s">
        <v>10857</v>
      </c>
      <c r="N997" s="198"/>
    </row>
    <row r="998" spans="1:14" ht="50.5" customHeight="1">
      <c r="A998" s="186" t="s">
        <v>10862</v>
      </c>
      <c r="B998" s="186" t="s">
        <v>10870</v>
      </c>
      <c r="C998" s="4" t="s">
        <v>1102</v>
      </c>
      <c r="D998" s="4" t="s">
        <v>1102</v>
      </c>
      <c r="E998" s="4" t="s">
        <v>3204</v>
      </c>
      <c r="F998" s="4" t="s">
        <v>2657</v>
      </c>
      <c r="G998" s="198"/>
      <c r="H998" s="198" t="s">
        <v>2272</v>
      </c>
      <c r="I998" s="198" t="s">
        <v>2272</v>
      </c>
      <c r="J998" s="198">
        <v>1</v>
      </c>
      <c r="K998" s="4" t="s">
        <v>10873</v>
      </c>
      <c r="L998" s="198" t="s">
        <v>2272</v>
      </c>
      <c r="M998" s="198" t="s">
        <v>2272</v>
      </c>
      <c r="N998" s="198"/>
    </row>
    <row r="999" spans="1:14" ht="50.5" customHeight="1">
      <c r="A999" s="186" t="s">
        <v>10862</v>
      </c>
      <c r="B999" s="186" t="s">
        <v>10871</v>
      </c>
      <c r="C999" s="4" t="s">
        <v>1102</v>
      </c>
      <c r="D999" s="4" t="s">
        <v>1102</v>
      </c>
      <c r="E999" s="4" t="s">
        <v>3204</v>
      </c>
      <c r="F999" s="4" t="s">
        <v>2657</v>
      </c>
      <c r="G999" s="198"/>
      <c r="H999" s="198" t="s">
        <v>2272</v>
      </c>
      <c r="I999" s="198" t="s">
        <v>2272</v>
      </c>
      <c r="J999" s="198">
        <v>1</v>
      </c>
      <c r="K999" s="4" t="s">
        <v>10873</v>
      </c>
      <c r="L999" s="198" t="s">
        <v>2272</v>
      </c>
      <c r="M999" s="198" t="s">
        <v>2272</v>
      </c>
      <c r="N999" s="198"/>
    </row>
    <row r="1000" spans="1:14" ht="50.5" customHeight="1">
      <c r="A1000" s="186" t="s">
        <v>10862</v>
      </c>
      <c r="B1000" s="186" t="s">
        <v>10872</v>
      </c>
      <c r="C1000" s="4" t="s">
        <v>1102</v>
      </c>
      <c r="D1000" s="4" t="s">
        <v>1102</v>
      </c>
      <c r="E1000" s="4" t="s">
        <v>3204</v>
      </c>
      <c r="F1000" s="4" t="s">
        <v>2657</v>
      </c>
      <c r="G1000" s="198"/>
      <c r="H1000" s="198" t="s">
        <v>2272</v>
      </c>
      <c r="I1000" s="198" t="s">
        <v>2272</v>
      </c>
      <c r="J1000" s="198">
        <v>1</v>
      </c>
      <c r="K1000" s="4" t="s">
        <v>10873</v>
      </c>
      <c r="L1000" s="198" t="s">
        <v>2272</v>
      </c>
      <c r="M1000" s="198" t="s">
        <v>2272</v>
      </c>
      <c r="N1000" s="198"/>
    </row>
    <row r="1001" spans="1:14" s="197" customFormat="1" ht="50.5" customHeight="1">
      <c r="A1001" s="186" t="s">
        <v>10954</v>
      </c>
      <c r="B1001" s="186" t="s">
        <v>10956</v>
      </c>
      <c r="C1001" s="4" t="s">
        <v>1102</v>
      </c>
      <c r="D1001" s="4" t="s">
        <v>1102</v>
      </c>
      <c r="E1001" s="4" t="s">
        <v>82</v>
      </c>
      <c r="F1001" s="4" t="s">
        <v>2657</v>
      </c>
      <c r="G1001" s="198"/>
      <c r="H1001" s="198" t="s">
        <v>2272</v>
      </c>
      <c r="I1001" s="198" t="s">
        <v>2272</v>
      </c>
      <c r="J1001" s="198">
        <v>0</v>
      </c>
      <c r="K1001" s="4" t="s">
        <v>10957</v>
      </c>
      <c r="L1001" s="198" t="s">
        <v>2272</v>
      </c>
      <c r="M1001" s="198" t="s">
        <v>2272</v>
      </c>
      <c r="N1001" s="198"/>
    </row>
    <row r="1002" spans="1:14" s="197" customFormat="1" ht="54" customHeight="1">
      <c r="A1002" s="186" t="s">
        <v>10876</v>
      </c>
      <c r="B1002" s="186" t="s">
        <v>10951</v>
      </c>
      <c r="C1002" s="4" t="s">
        <v>1102</v>
      </c>
      <c r="D1002" s="4" t="s">
        <v>1102</v>
      </c>
      <c r="E1002" s="4" t="s">
        <v>3204</v>
      </c>
      <c r="F1002" s="4" t="s">
        <v>73</v>
      </c>
      <c r="G1002" s="198"/>
      <c r="H1002" s="198" t="s">
        <v>2272</v>
      </c>
      <c r="I1002" s="198" t="s">
        <v>2272</v>
      </c>
      <c r="J1002" s="198" t="s">
        <v>2272</v>
      </c>
      <c r="K1002" s="198" t="s">
        <v>2272</v>
      </c>
      <c r="L1002" s="198">
        <v>1</v>
      </c>
      <c r="M1002" s="4" t="s">
        <v>10965</v>
      </c>
      <c r="N1002" s="198"/>
    </row>
    <row r="1003" spans="1:14" ht="54" customHeight="1">
      <c r="A1003" s="186" t="s">
        <v>10881</v>
      </c>
      <c r="B1003" s="186" t="s">
        <v>10886</v>
      </c>
      <c r="C1003" s="4" t="s">
        <v>1102</v>
      </c>
      <c r="D1003" s="4" t="s">
        <v>1102</v>
      </c>
      <c r="E1003" s="4" t="s">
        <v>3204</v>
      </c>
      <c r="F1003" s="198" t="s">
        <v>73</v>
      </c>
      <c r="G1003" s="198"/>
      <c r="H1003" s="198" t="s">
        <v>2272</v>
      </c>
      <c r="I1003" s="198" t="s">
        <v>2272</v>
      </c>
      <c r="J1003" s="198" t="s">
        <v>2272</v>
      </c>
      <c r="K1003" s="198" t="s">
        <v>2272</v>
      </c>
      <c r="L1003" s="198">
        <v>3</v>
      </c>
      <c r="M1003" s="4" t="s">
        <v>10896</v>
      </c>
      <c r="N1003" s="198"/>
    </row>
    <row r="1004" spans="1:14" ht="54" customHeight="1">
      <c r="A1004" s="186" t="s">
        <v>10881</v>
      </c>
      <c r="B1004" s="186" t="s">
        <v>10891</v>
      </c>
      <c r="C1004" s="4" t="s">
        <v>1102</v>
      </c>
      <c r="D1004" s="4" t="s">
        <v>1102</v>
      </c>
      <c r="E1004" s="4" t="s">
        <v>3204</v>
      </c>
      <c r="F1004" s="198" t="s">
        <v>2658</v>
      </c>
      <c r="G1004" s="198"/>
      <c r="H1004" s="198" t="s">
        <v>2272</v>
      </c>
      <c r="I1004" s="198" t="s">
        <v>2272</v>
      </c>
      <c r="J1004" s="198" t="s">
        <v>2272</v>
      </c>
      <c r="K1004" s="198" t="s">
        <v>2272</v>
      </c>
      <c r="L1004" s="198">
        <v>3</v>
      </c>
      <c r="M1004" s="4" t="s">
        <v>10896</v>
      </c>
      <c r="N1004" s="198"/>
    </row>
    <row r="1005" spans="1:14" ht="54" customHeight="1">
      <c r="A1005" s="186" t="s">
        <v>10881</v>
      </c>
      <c r="B1005" s="186" t="s">
        <v>10892</v>
      </c>
      <c r="C1005" s="4" t="s">
        <v>1102</v>
      </c>
      <c r="D1005" s="4" t="s">
        <v>1102</v>
      </c>
      <c r="E1005" s="4" t="s">
        <v>2644</v>
      </c>
      <c r="F1005" s="198" t="s">
        <v>73</v>
      </c>
      <c r="G1005" s="198"/>
      <c r="H1005" s="198" t="s">
        <v>2272</v>
      </c>
      <c r="I1005" s="198" t="s">
        <v>2272</v>
      </c>
      <c r="J1005" s="198" t="s">
        <v>2272</v>
      </c>
      <c r="K1005" s="198" t="s">
        <v>2272</v>
      </c>
      <c r="L1005" s="198">
        <v>3</v>
      </c>
      <c r="M1005" s="4" t="s">
        <v>10896</v>
      </c>
      <c r="N1005" s="198"/>
    </row>
    <row r="1006" spans="1:14" ht="41" customHeight="1">
      <c r="A1006" s="186" t="s">
        <v>10881</v>
      </c>
      <c r="B1006" s="186" t="s">
        <v>10893</v>
      </c>
      <c r="C1006" s="4" t="s">
        <v>1102</v>
      </c>
      <c r="D1006" s="4" t="s">
        <v>1102</v>
      </c>
      <c r="E1006" s="4" t="s">
        <v>2644</v>
      </c>
      <c r="F1006" s="198" t="s">
        <v>2658</v>
      </c>
      <c r="G1006" s="198"/>
      <c r="H1006" s="198" t="s">
        <v>2272</v>
      </c>
      <c r="I1006" s="198" t="s">
        <v>2272</v>
      </c>
      <c r="J1006" s="198">
        <v>0</v>
      </c>
      <c r="K1006" s="198" t="s">
        <v>10897</v>
      </c>
      <c r="L1006" s="198">
        <v>3</v>
      </c>
      <c r="M1006" s="4" t="s">
        <v>10896</v>
      </c>
      <c r="N1006" s="198"/>
    </row>
    <row r="1007" spans="1:14" ht="29">
      <c r="A1007" s="186" t="s">
        <v>10882</v>
      </c>
      <c r="B1007" s="186" t="s">
        <v>10887</v>
      </c>
      <c r="C1007" s="4" t="s">
        <v>1102</v>
      </c>
      <c r="D1007" s="4" t="s">
        <v>1102</v>
      </c>
      <c r="E1007" s="4" t="s">
        <v>2644</v>
      </c>
      <c r="F1007" s="198" t="s">
        <v>73</v>
      </c>
      <c r="G1007" s="198"/>
      <c r="H1007" s="198" t="s">
        <v>2272</v>
      </c>
      <c r="I1007" s="198" t="s">
        <v>2272</v>
      </c>
      <c r="J1007" s="198" t="s">
        <v>2272</v>
      </c>
      <c r="K1007" s="198" t="s">
        <v>2272</v>
      </c>
      <c r="L1007" s="198">
        <v>3</v>
      </c>
      <c r="M1007" s="4" t="s">
        <v>10896</v>
      </c>
      <c r="N1007" s="198"/>
    </row>
    <row r="1008" spans="1:14" ht="29">
      <c r="A1008" s="186" t="s">
        <v>10882</v>
      </c>
      <c r="B1008" s="186" t="s">
        <v>10899</v>
      </c>
      <c r="C1008" s="4" t="s">
        <v>1102</v>
      </c>
      <c r="D1008" s="4" t="s">
        <v>1102</v>
      </c>
      <c r="E1008" s="4" t="s">
        <v>2644</v>
      </c>
      <c r="F1008" s="198" t="s">
        <v>2658</v>
      </c>
      <c r="G1008" s="198"/>
      <c r="H1008" s="198" t="s">
        <v>2272</v>
      </c>
      <c r="I1008" s="198" t="s">
        <v>2272</v>
      </c>
      <c r="J1008" s="198">
        <v>0</v>
      </c>
      <c r="K1008" s="198" t="s">
        <v>10897</v>
      </c>
      <c r="L1008" s="198">
        <v>3</v>
      </c>
      <c r="M1008" s="4" t="s">
        <v>10896</v>
      </c>
      <c r="N1008" s="198"/>
    </row>
    <row r="1009" spans="1:14" ht="29">
      <c r="A1009" s="186" t="s">
        <v>10883</v>
      </c>
      <c r="B1009" s="186" t="s">
        <v>10888</v>
      </c>
      <c r="C1009" s="4" t="s">
        <v>1102</v>
      </c>
      <c r="D1009" s="4" t="s">
        <v>1102</v>
      </c>
      <c r="E1009" s="4" t="s">
        <v>2644</v>
      </c>
      <c r="F1009" s="198" t="s">
        <v>73</v>
      </c>
      <c r="G1009" s="198"/>
      <c r="H1009" s="198" t="s">
        <v>2272</v>
      </c>
      <c r="I1009" s="198" t="s">
        <v>2272</v>
      </c>
      <c r="J1009" s="198" t="s">
        <v>2272</v>
      </c>
      <c r="K1009" s="198" t="s">
        <v>2272</v>
      </c>
      <c r="L1009" s="198">
        <v>3</v>
      </c>
      <c r="M1009" s="4" t="s">
        <v>10896</v>
      </c>
      <c r="N1009" s="198"/>
    </row>
    <row r="1010" spans="1:14" ht="29">
      <c r="A1010" s="186" t="s">
        <v>10883</v>
      </c>
      <c r="B1010" s="186" t="s">
        <v>10900</v>
      </c>
      <c r="C1010" s="4" t="s">
        <v>1102</v>
      </c>
      <c r="D1010" s="4" t="s">
        <v>1102</v>
      </c>
      <c r="E1010" s="4" t="s">
        <v>2644</v>
      </c>
      <c r="F1010" s="198" t="s">
        <v>2658</v>
      </c>
      <c r="G1010" s="198"/>
      <c r="H1010" s="198" t="s">
        <v>2272</v>
      </c>
      <c r="I1010" s="198" t="s">
        <v>2272</v>
      </c>
      <c r="J1010" s="198">
        <v>0</v>
      </c>
      <c r="K1010" s="198" t="s">
        <v>10897</v>
      </c>
      <c r="L1010" s="198">
        <v>3</v>
      </c>
      <c r="M1010" s="4" t="s">
        <v>10896</v>
      </c>
      <c r="N1010" s="198"/>
    </row>
    <row r="1011" spans="1:14" ht="29">
      <c r="A1011" s="186" t="s">
        <v>10884</v>
      </c>
      <c r="B1011" s="186" t="s">
        <v>10889</v>
      </c>
      <c r="C1011" s="4" t="s">
        <v>1102</v>
      </c>
      <c r="D1011" s="4" t="s">
        <v>1102</v>
      </c>
      <c r="E1011" s="4" t="s">
        <v>2644</v>
      </c>
      <c r="F1011" s="198" t="s">
        <v>73</v>
      </c>
      <c r="G1011" s="198"/>
      <c r="H1011" s="198" t="s">
        <v>2272</v>
      </c>
      <c r="I1011" s="198" t="s">
        <v>2272</v>
      </c>
      <c r="J1011" s="198" t="s">
        <v>2272</v>
      </c>
      <c r="K1011" s="198" t="s">
        <v>2272</v>
      </c>
      <c r="L1011" s="198">
        <v>3</v>
      </c>
      <c r="M1011" s="4" t="s">
        <v>10896</v>
      </c>
      <c r="N1011" s="198"/>
    </row>
    <row r="1012" spans="1:14" ht="33.5" customHeight="1">
      <c r="A1012" s="186" t="s">
        <v>10884</v>
      </c>
      <c r="B1012" s="186" t="s">
        <v>10901</v>
      </c>
      <c r="C1012" s="4" t="s">
        <v>1102</v>
      </c>
      <c r="D1012" s="4" t="s">
        <v>1102</v>
      </c>
      <c r="E1012" s="4" t="s">
        <v>2644</v>
      </c>
      <c r="F1012" s="198" t="s">
        <v>2658</v>
      </c>
      <c r="G1012" s="198"/>
      <c r="H1012" s="198" t="s">
        <v>2272</v>
      </c>
      <c r="I1012" s="198" t="s">
        <v>2272</v>
      </c>
      <c r="J1012" s="198">
        <v>0</v>
      </c>
      <c r="K1012" s="198" t="s">
        <v>10897</v>
      </c>
      <c r="L1012" s="198">
        <v>3</v>
      </c>
      <c r="M1012" s="4" t="s">
        <v>10896</v>
      </c>
      <c r="N1012" s="198"/>
    </row>
    <row r="1013" spans="1:14" ht="66.5" customHeight="1">
      <c r="A1013" s="186" t="s">
        <v>10903</v>
      </c>
      <c r="B1013" s="186" t="s">
        <v>10905</v>
      </c>
      <c r="C1013" s="198" t="s">
        <v>2453</v>
      </c>
      <c r="D1013" s="198" t="s">
        <v>1102</v>
      </c>
      <c r="E1013" s="4" t="s">
        <v>3204</v>
      </c>
      <c r="F1013" s="198" t="s">
        <v>73</v>
      </c>
      <c r="G1013" s="198"/>
      <c r="H1013" s="198" t="s">
        <v>2272</v>
      </c>
      <c r="I1013" s="198" t="s">
        <v>2272</v>
      </c>
      <c r="J1013" s="198">
        <v>2</v>
      </c>
      <c r="K1013" s="4" t="s">
        <v>10916</v>
      </c>
      <c r="L1013" s="198">
        <v>2</v>
      </c>
      <c r="M1013" s="4" t="s">
        <v>10917</v>
      </c>
      <c r="N1013" s="198"/>
    </row>
    <row r="1014" spans="1:14" ht="43" customHeight="1">
      <c r="A1014" s="186" t="s">
        <v>10921</v>
      </c>
      <c r="B1014" s="186" t="s">
        <v>10924</v>
      </c>
      <c r="C1014" s="198" t="s">
        <v>1102</v>
      </c>
      <c r="D1014" s="198" t="s">
        <v>1102</v>
      </c>
      <c r="E1014" s="4" t="s">
        <v>3204</v>
      </c>
      <c r="F1014" s="4" t="s">
        <v>2657</v>
      </c>
      <c r="G1014" s="198"/>
      <c r="H1014" s="198" t="s">
        <v>2272</v>
      </c>
      <c r="I1014" s="198" t="s">
        <v>2272</v>
      </c>
      <c r="J1014" s="198" t="s">
        <v>2272</v>
      </c>
      <c r="K1014" s="198" t="s">
        <v>2272</v>
      </c>
      <c r="L1014" s="198">
        <v>3</v>
      </c>
      <c r="M1014" s="198" t="s">
        <v>10947</v>
      </c>
      <c r="N1014" s="198"/>
    </row>
    <row r="1015" spans="1:14" ht="43" customHeight="1">
      <c r="A1015" s="186" t="s">
        <v>10921</v>
      </c>
      <c r="B1015" s="186" t="s">
        <v>10943</v>
      </c>
      <c r="C1015" s="198" t="s">
        <v>1102</v>
      </c>
      <c r="D1015" s="198" t="s">
        <v>1102</v>
      </c>
      <c r="E1015" s="4" t="s">
        <v>2644</v>
      </c>
      <c r="F1015" s="4" t="s">
        <v>2658</v>
      </c>
      <c r="G1015" s="198"/>
      <c r="H1015" s="198" t="s">
        <v>2272</v>
      </c>
      <c r="I1015" s="198" t="s">
        <v>2272</v>
      </c>
      <c r="J1015" s="198">
        <v>0</v>
      </c>
      <c r="K1015" s="4" t="s">
        <v>10945</v>
      </c>
      <c r="L1015" s="198" t="s">
        <v>2272</v>
      </c>
      <c r="M1015" s="198" t="s">
        <v>2272</v>
      </c>
      <c r="N1015" s="198"/>
    </row>
    <row r="1016" spans="1:14" ht="43" customHeight="1">
      <c r="A1016" s="186" t="s">
        <v>10921</v>
      </c>
      <c r="B1016" s="186" t="s">
        <v>10944</v>
      </c>
      <c r="C1016" s="198" t="s">
        <v>1102</v>
      </c>
      <c r="D1016" s="198" t="s">
        <v>1102</v>
      </c>
      <c r="E1016" s="4" t="s">
        <v>5795</v>
      </c>
      <c r="F1016" s="4" t="s">
        <v>158</v>
      </c>
      <c r="G1016" s="198"/>
      <c r="H1016" s="198" t="s">
        <v>2272</v>
      </c>
      <c r="I1016" s="198" t="s">
        <v>2272</v>
      </c>
      <c r="J1016" s="198">
        <v>0</v>
      </c>
      <c r="K1016" s="198" t="s">
        <v>10946</v>
      </c>
      <c r="L1016" s="198" t="s">
        <v>2272</v>
      </c>
      <c r="M1016" s="198" t="s">
        <v>2272</v>
      </c>
      <c r="N1016" s="198"/>
    </row>
    <row r="1017" spans="1:14" ht="39.5" customHeight="1">
      <c r="A1017" s="186" t="s">
        <v>10921</v>
      </c>
      <c r="B1017" s="186" t="s">
        <v>10948</v>
      </c>
      <c r="C1017" s="198" t="s">
        <v>1102</v>
      </c>
      <c r="D1017" s="198" t="s">
        <v>1102</v>
      </c>
      <c r="E1017" s="4" t="s">
        <v>135</v>
      </c>
      <c r="F1017" s="4" t="s">
        <v>158</v>
      </c>
      <c r="G1017" s="198"/>
      <c r="H1017" s="198" t="s">
        <v>2272</v>
      </c>
      <c r="I1017" s="198" t="s">
        <v>2272</v>
      </c>
      <c r="J1017" s="198">
        <v>0</v>
      </c>
      <c r="K1017" s="19" t="s">
        <v>10949</v>
      </c>
      <c r="L1017" s="198" t="s">
        <v>2272</v>
      </c>
      <c r="M1017" s="198" t="s">
        <v>2272</v>
      </c>
      <c r="N1017" s="198"/>
    </row>
    <row r="1018" spans="1:14" ht="45.5" customHeight="1">
      <c r="A1018" s="11" t="s">
        <v>10970</v>
      </c>
      <c r="B1018" s="11" t="s">
        <v>10993</v>
      </c>
      <c r="C1018" s="198" t="s">
        <v>1102</v>
      </c>
      <c r="D1018" s="198" t="s">
        <v>1102</v>
      </c>
      <c r="E1018" s="4" t="s">
        <v>3204</v>
      </c>
      <c r="F1018" s="198" t="s">
        <v>73</v>
      </c>
      <c r="G1018" s="198"/>
      <c r="H1018" s="198" t="s">
        <v>2272</v>
      </c>
      <c r="I1018" s="198" t="s">
        <v>2272</v>
      </c>
      <c r="J1018" s="198" t="s">
        <v>2272</v>
      </c>
      <c r="K1018" s="198" t="s">
        <v>2272</v>
      </c>
      <c r="L1018" s="198">
        <v>3</v>
      </c>
      <c r="M1018" s="19" t="s">
        <v>11006</v>
      </c>
      <c r="N1018" s="198"/>
    </row>
    <row r="1019" spans="1:14" ht="45.5" customHeight="1">
      <c r="A1019" s="11" t="s">
        <v>10987</v>
      </c>
      <c r="B1019" s="11" t="s">
        <v>10998</v>
      </c>
      <c r="C1019" s="198" t="s">
        <v>1102</v>
      </c>
      <c r="D1019" s="198" t="s">
        <v>1102</v>
      </c>
      <c r="E1019" s="4" t="s">
        <v>3204</v>
      </c>
      <c r="F1019" s="198" t="s">
        <v>73</v>
      </c>
      <c r="G1019" s="198"/>
      <c r="H1019" s="198" t="s">
        <v>2272</v>
      </c>
      <c r="I1019" s="198" t="s">
        <v>2272</v>
      </c>
      <c r="J1019" s="198" t="s">
        <v>2272</v>
      </c>
      <c r="K1019" s="198" t="s">
        <v>2272</v>
      </c>
      <c r="L1019" s="198">
        <v>0</v>
      </c>
      <c r="M1019" s="19" t="s">
        <v>11009</v>
      </c>
      <c r="N1019" s="198"/>
    </row>
    <row r="1020" spans="1:14" ht="45.5" customHeight="1">
      <c r="A1020" s="11" t="s">
        <v>10988</v>
      </c>
      <c r="B1020" s="11" t="s">
        <v>10999</v>
      </c>
      <c r="C1020" s="198" t="s">
        <v>1102</v>
      </c>
      <c r="D1020" s="198" t="s">
        <v>1102</v>
      </c>
      <c r="E1020" s="4" t="s">
        <v>3204</v>
      </c>
      <c r="F1020" s="198" t="s">
        <v>73</v>
      </c>
      <c r="G1020" s="198"/>
      <c r="H1020" s="198" t="s">
        <v>2272</v>
      </c>
      <c r="I1020" s="198" t="s">
        <v>2272</v>
      </c>
      <c r="J1020" s="198" t="s">
        <v>2272</v>
      </c>
      <c r="K1020" s="198" t="s">
        <v>2272</v>
      </c>
      <c r="L1020" s="198">
        <v>3</v>
      </c>
      <c r="M1020" s="19" t="s">
        <v>11006</v>
      </c>
      <c r="N1020" s="198"/>
    </row>
    <row r="1021" spans="1:14" ht="45.5" customHeight="1">
      <c r="A1021" s="11" t="s">
        <v>10989</v>
      </c>
      <c r="B1021" s="11" t="s">
        <v>11000</v>
      </c>
      <c r="C1021" s="198" t="s">
        <v>1102</v>
      </c>
      <c r="D1021" s="198" t="s">
        <v>1102</v>
      </c>
      <c r="E1021" s="4" t="s">
        <v>3204</v>
      </c>
      <c r="F1021" s="198" t="s">
        <v>73</v>
      </c>
      <c r="G1021" s="198"/>
      <c r="H1021" s="198" t="s">
        <v>2272</v>
      </c>
      <c r="I1021" s="198" t="s">
        <v>2272</v>
      </c>
      <c r="J1021" s="198" t="s">
        <v>2272</v>
      </c>
      <c r="K1021" s="198" t="s">
        <v>2272</v>
      </c>
      <c r="L1021" s="198">
        <v>3</v>
      </c>
      <c r="M1021" s="19" t="s">
        <v>11006</v>
      </c>
      <c r="N1021" s="198"/>
    </row>
    <row r="1022" spans="1:14" ht="45.5" customHeight="1">
      <c r="A1022" s="11" t="s">
        <v>10990</v>
      </c>
      <c r="B1022" s="11" t="s">
        <v>11001</v>
      </c>
      <c r="C1022" s="198" t="s">
        <v>1102</v>
      </c>
      <c r="D1022" s="198" t="s">
        <v>1102</v>
      </c>
      <c r="E1022" s="4" t="s">
        <v>3204</v>
      </c>
      <c r="F1022" s="198" t="s">
        <v>73</v>
      </c>
      <c r="G1022" s="198"/>
      <c r="H1022" s="198" t="s">
        <v>2272</v>
      </c>
      <c r="I1022" s="198" t="s">
        <v>2272</v>
      </c>
      <c r="J1022" s="198" t="s">
        <v>2272</v>
      </c>
      <c r="K1022" s="198" t="s">
        <v>2272</v>
      </c>
      <c r="L1022" s="198">
        <v>0</v>
      </c>
      <c r="M1022" s="19" t="s">
        <v>11009</v>
      </c>
      <c r="N1022" s="198"/>
    </row>
    <row r="1023" spans="1:14" ht="45.5" customHeight="1">
      <c r="A1023" s="11" t="s">
        <v>10991</v>
      </c>
      <c r="B1023" s="11" t="s">
        <v>11002</v>
      </c>
      <c r="C1023" s="198" t="s">
        <v>1102</v>
      </c>
      <c r="D1023" s="198" t="s">
        <v>1102</v>
      </c>
      <c r="E1023" s="4" t="s">
        <v>3204</v>
      </c>
      <c r="F1023" s="198" t="s">
        <v>73</v>
      </c>
      <c r="G1023" s="198"/>
      <c r="H1023" s="198" t="s">
        <v>2272</v>
      </c>
      <c r="I1023" s="198" t="s">
        <v>2272</v>
      </c>
      <c r="J1023" s="198" t="s">
        <v>2272</v>
      </c>
      <c r="K1023" s="198" t="s">
        <v>2272</v>
      </c>
      <c r="L1023" s="198">
        <v>0</v>
      </c>
      <c r="M1023" s="19" t="s">
        <v>11009</v>
      </c>
      <c r="N1023" s="198"/>
    </row>
    <row r="1024" spans="1:14" ht="45.5" customHeight="1">
      <c r="A1024" s="11" t="s">
        <v>10992</v>
      </c>
      <c r="B1024" s="11" t="s">
        <v>11003</v>
      </c>
      <c r="C1024" s="198" t="s">
        <v>1102</v>
      </c>
      <c r="D1024" s="198" t="s">
        <v>1102</v>
      </c>
      <c r="E1024" s="4" t="s">
        <v>3204</v>
      </c>
      <c r="F1024" s="198" t="s">
        <v>73</v>
      </c>
      <c r="G1024" s="198"/>
      <c r="H1024" s="198" t="s">
        <v>2272</v>
      </c>
      <c r="I1024" s="198" t="s">
        <v>2272</v>
      </c>
      <c r="J1024" s="198" t="s">
        <v>2272</v>
      </c>
      <c r="K1024" s="198" t="s">
        <v>2272</v>
      </c>
      <c r="L1024" s="198">
        <v>0</v>
      </c>
      <c r="M1024" s="19" t="s">
        <v>11009</v>
      </c>
      <c r="N1024" s="198"/>
    </row>
    <row r="1025" spans="1:14" ht="45.5" customHeight="1">
      <c r="A1025" s="11" t="s">
        <v>11007</v>
      </c>
      <c r="B1025" s="11" t="s">
        <v>11008</v>
      </c>
      <c r="C1025" s="198" t="s">
        <v>1102</v>
      </c>
      <c r="D1025" s="198" t="s">
        <v>1102</v>
      </c>
      <c r="E1025" s="4" t="s">
        <v>3204</v>
      </c>
      <c r="F1025" s="198" t="s">
        <v>73</v>
      </c>
      <c r="G1025" s="198"/>
      <c r="H1025" s="198" t="s">
        <v>2272</v>
      </c>
      <c r="I1025" s="198" t="s">
        <v>2272</v>
      </c>
      <c r="J1025" s="198" t="s">
        <v>2272</v>
      </c>
      <c r="K1025" s="198" t="s">
        <v>2272</v>
      </c>
      <c r="L1025" s="198">
        <v>0</v>
      </c>
      <c r="M1025" s="19" t="s">
        <v>11009</v>
      </c>
      <c r="N1025" s="198"/>
    </row>
    <row r="1026" spans="1:14" ht="42.5" customHeight="1">
      <c r="A1026" s="11" t="s">
        <v>11011</v>
      </c>
      <c r="B1026" s="11" t="s">
        <v>11012</v>
      </c>
      <c r="C1026" s="198" t="s">
        <v>1102</v>
      </c>
      <c r="D1026" s="198" t="s">
        <v>1102</v>
      </c>
      <c r="E1026" s="4" t="s">
        <v>5795</v>
      </c>
      <c r="F1026" s="198" t="s">
        <v>158</v>
      </c>
      <c r="G1026" s="198"/>
      <c r="H1026" s="198" t="s">
        <v>2272</v>
      </c>
      <c r="I1026" s="198" t="s">
        <v>2272</v>
      </c>
      <c r="J1026" s="198">
        <v>0</v>
      </c>
      <c r="K1026" s="198" t="s">
        <v>11015</v>
      </c>
      <c r="L1026" s="198" t="s">
        <v>2272</v>
      </c>
      <c r="M1026" s="198" t="s">
        <v>2272</v>
      </c>
      <c r="N1026" s="198"/>
    </row>
    <row r="1027" spans="1:14" ht="42.5" customHeight="1">
      <c r="A1027" s="11" t="s">
        <v>11011</v>
      </c>
      <c r="B1027" s="11" t="s">
        <v>11013</v>
      </c>
      <c r="C1027" s="198" t="s">
        <v>1102</v>
      </c>
      <c r="D1027" s="198" t="s">
        <v>1102</v>
      </c>
      <c r="E1027" s="4" t="s">
        <v>5795</v>
      </c>
      <c r="F1027" s="198" t="s">
        <v>2658</v>
      </c>
      <c r="G1027" s="198"/>
      <c r="H1027" s="198" t="s">
        <v>2272</v>
      </c>
      <c r="I1027" s="198" t="s">
        <v>2272</v>
      </c>
      <c r="J1027" s="198">
        <v>0</v>
      </c>
      <c r="K1027" s="198" t="s">
        <v>11014</v>
      </c>
      <c r="L1027" s="198" t="s">
        <v>2272</v>
      </c>
      <c r="M1027" s="198" t="s">
        <v>2272</v>
      </c>
      <c r="N1027" s="198"/>
    </row>
    <row r="1028" spans="1:14" ht="50" customHeight="1">
      <c r="A1028" s="11" t="s">
        <v>11011</v>
      </c>
      <c r="B1028" s="11" t="s">
        <v>11016</v>
      </c>
      <c r="C1028" s="198" t="s">
        <v>1102</v>
      </c>
      <c r="D1028" s="198" t="s">
        <v>1102</v>
      </c>
      <c r="E1028" s="4" t="s">
        <v>2648</v>
      </c>
      <c r="F1028" s="4" t="s">
        <v>2657</v>
      </c>
      <c r="G1028" s="198"/>
      <c r="H1028" s="198" t="s">
        <v>2272</v>
      </c>
      <c r="I1028" s="198" t="s">
        <v>2272</v>
      </c>
      <c r="J1028" s="198">
        <v>0</v>
      </c>
      <c r="K1028" s="4" t="s">
        <v>11017</v>
      </c>
      <c r="L1028" s="198" t="s">
        <v>2272</v>
      </c>
      <c r="M1028" s="198" t="s">
        <v>2272</v>
      </c>
      <c r="N1028" s="198"/>
    </row>
    <row r="1029" spans="1:14" ht="46" customHeight="1">
      <c r="A1029" s="11" t="s">
        <v>11011</v>
      </c>
      <c r="B1029" s="11" t="s">
        <v>11018</v>
      </c>
      <c r="C1029" s="198" t="s">
        <v>1102</v>
      </c>
      <c r="D1029" s="198" t="s">
        <v>1102</v>
      </c>
      <c r="E1029" s="4" t="s">
        <v>3849</v>
      </c>
      <c r="F1029" s="4" t="s">
        <v>2657</v>
      </c>
      <c r="G1029" s="198"/>
      <c r="H1029" s="198" t="s">
        <v>2272</v>
      </c>
      <c r="I1029" s="198" t="s">
        <v>2272</v>
      </c>
      <c r="J1029" s="198" t="s">
        <v>2272</v>
      </c>
      <c r="K1029" s="198" t="s">
        <v>2272</v>
      </c>
      <c r="L1029" s="198">
        <v>1</v>
      </c>
      <c r="M1029" s="4" t="s">
        <v>11019</v>
      </c>
      <c r="N1029" s="198"/>
    </row>
    <row r="1030" spans="1:14" ht="43" customHeight="1">
      <c r="A1030" s="11" t="s">
        <v>11011</v>
      </c>
      <c r="B1030" s="11" t="s">
        <v>11021</v>
      </c>
      <c r="C1030" s="198" t="s">
        <v>1102</v>
      </c>
      <c r="D1030" s="198" t="s">
        <v>1102</v>
      </c>
      <c r="E1030" s="4" t="s">
        <v>3204</v>
      </c>
      <c r="F1030" s="198" t="s">
        <v>73</v>
      </c>
      <c r="G1030" s="198">
        <v>1993</v>
      </c>
      <c r="H1030" s="198" t="s">
        <v>2272</v>
      </c>
      <c r="I1030" s="198" t="s">
        <v>2272</v>
      </c>
      <c r="J1030" s="198">
        <v>3</v>
      </c>
      <c r="K1030" s="19" t="s">
        <v>11025</v>
      </c>
      <c r="L1030" s="198">
        <v>3</v>
      </c>
      <c r="M1030" s="4" t="s">
        <v>11031</v>
      </c>
      <c r="N1030" s="198"/>
    </row>
    <row r="1031" spans="1:14" ht="43" customHeight="1">
      <c r="A1031" s="11" t="s">
        <v>11011</v>
      </c>
      <c r="B1031" s="11" t="s">
        <v>11022</v>
      </c>
      <c r="C1031" s="198" t="s">
        <v>1102</v>
      </c>
      <c r="D1031" s="198" t="s">
        <v>1102</v>
      </c>
      <c r="E1031" s="4" t="s">
        <v>3204</v>
      </c>
      <c r="F1031" s="198" t="s">
        <v>73</v>
      </c>
      <c r="G1031" s="198">
        <v>1998</v>
      </c>
      <c r="H1031" s="198" t="s">
        <v>2272</v>
      </c>
      <c r="I1031" s="198" t="s">
        <v>2272</v>
      </c>
      <c r="J1031" s="198">
        <v>1</v>
      </c>
      <c r="K1031" s="19" t="s">
        <v>11026</v>
      </c>
      <c r="L1031" s="198">
        <v>1</v>
      </c>
      <c r="M1031" s="4" t="s">
        <v>11027</v>
      </c>
      <c r="N1031" s="198" t="s">
        <v>11030</v>
      </c>
    </row>
    <row r="1032" spans="1:14" ht="43" customHeight="1">
      <c r="A1032" s="11" t="s">
        <v>11011</v>
      </c>
      <c r="B1032" s="11" t="s">
        <v>11023</v>
      </c>
      <c r="C1032" s="198" t="s">
        <v>1102</v>
      </c>
      <c r="D1032" s="198" t="s">
        <v>1102</v>
      </c>
      <c r="E1032" s="4" t="s">
        <v>3204</v>
      </c>
      <c r="F1032" s="198" t="s">
        <v>73</v>
      </c>
      <c r="G1032" s="198">
        <v>2000</v>
      </c>
      <c r="H1032" s="198" t="s">
        <v>2272</v>
      </c>
      <c r="I1032" s="198" t="s">
        <v>2272</v>
      </c>
      <c r="J1032" s="198">
        <v>1</v>
      </c>
      <c r="K1032" s="19" t="s">
        <v>11026</v>
      </c>
      <c r="L1032" s="198">
        <v>2</v>
      </c>
      <c r="M1032" s="4" t="s">
        <v>11028</v>
      </c>
      <c r="N1032" s="198" t="s">
        <v>11030</v>
      </c>
    </row>
    <row r="1033" spans="1:14" ht="40" customHeight="1">
      <c r="A1033" s="11" t="s">
        <v>11011</v>
      </c>
      <c r="B1033" s="11" t="s">
        <v>11024</v>
      </c>
      <c r="C1033" s="198" t="s">
        <v>1102</v>
      </c>
      <c r="D1033" s="198" t="s">
        <v>1102</v>
      </c>
      <c r="E1033" s="4" t="s">
        <v>3204</v>
      </c>
      <c r="F1033" s="198" t="s">
        <v>73</v>
      </c>
      <c r="G1033" s="198">
        <v>2009</v>
      </c>
      <c r="H1033" s="198" t="s">
        <v>2272</v>
      </c>
      <c r="I1033" s="198" t="s">
        <v>2272</v>
      </c>
      <c r="J1033" s="198">
        <v>1</v>
      </c>
      <c r="K1033" s="19" t="s">
        <v>11026</v>
      </c>
      <c r="L1033" s="198">
        <v>3</v>
      </c>
      <c r="M1033" s="4" t="s">
        <v>11029</v>
      </c>
      <c r="N1033" s="198" t="s">
        <v>11030</v>
      </c>
    </row>
    <row r="1034" spans="1:14" ht="42.5" customHeight="1">
      <c r="A1034" s="11" t="s">
        <v>11032</v>
      </c>
      <c r="B1034" s="11" t="s">
        <v>11118</v>
      </c>
      <c r="C1034" s="198" t="s">
        <v>1102</v>
      </c>
      <c r="D1034" s="198" t="s">
        <v>1102</v>
      </c>
      <c r="E1034" s="4" t="s">
        <v>3204</v>
      </c>
      <c r="F1034" s="198" t="s">
        <v>73</v>
      </c>
      <c r="G1034" s="198"/>
      <c r="H1034" s="198" t="s">
        <v>2272</v>
      </c>
      <c r="I1034" s="198" t="s">
        <v>2272</v>
      </c>
      <c r="J1034" s="198" t="s">
        <v>2272</v>
      </c>
      <c r="K1034" s="198" t="s">
        <v>2272</v>
      </c>
      <c r="L1034" s="198">
        <v>3</v>
      </c>
      <c r="M1034" s="19" t="s">
        <v>11124</v>
      </c>
      <c r="N1034" s="198"/>
    </row>
    <row r="1035" spans="1:14" ht="66" customHeight="1">
      <c r="A1035" s="11" t="s">
        <v>11136</v>
      </c>
      <c r="B1035" s="11" t="s">
        <v>11137</v>
      </c>
      <c r="C1035" s="198" t="s">
        <v>1102</v>
      </c>
      <c r="D1035" s="198" t="s">
        <v>1102</v>
      </c>
      <c r="E1035" s="4" t="s">
        <v>3204</v>
      </c>
      <c r="F1035" s="4" t="s">
        <v>2657</v>
      </c>
      <c r="G1035" s="198"/>
      <c r="H1035" s="198" t="s">
        <v>2272</v>
      </c>
      <c r="I1035" s="198" t="s">
        <v>2272</v>
      </c>
      <c r="J1035" s="198">
        <v>0</v>
      </c>
      <c r="K1035" s="4" t="s">
        <v>11140</v>
      </c>
      <c r="L1035" s="198">
        <v>3</v>
      </c>
      <c r="M1035" s="4" t="s">
        <v>11141</v>
      </c>
      <c r="N1035" s="198"/>
    </row>
    <row r="1036" spans="1:14" s="197" customFormat="1" ht="66" customHeight="1">
      <c r="A1036" s="11" t="s">
        <v>11136</v>
      </c>
      <c r="B1036" s="11" t="s">
        <v>11138</v>
      </c>
      <c r="C1036" s="198" t="s">
        <v>30</v>
      </c>
      <c r="D1036" s="4" t="s">
        <v>29</v>
      </c>
      <c r="E1036" s="4" t="s">
        <v>3850</v>
      </c>
      <c r="F1036" s="4" t="s">
        <v>2657</v>
      </c>
      <c r="G1036" s="198"/>
      <c r="H1036" s="198" t="s">
        <v>2272</v>
      </c>
      <c r="I1036" s="198" t="s">
        <v>2272</v>
      </c>
      <c r="J1036" s="198">
        <v>2</v>
      </c>
      <c r="K1036" s="4" t="s">
        <v>11149</v>
      </c>
      <c r="L1036" s="198" t="s">
        <v>2272</v>
      </c>
      <c r="M1036" s="198" t="s">
        <v>2272</v>
      </c>
      <c r="N1036" s="198"/>
    </row>
    <row r="1037" spans="1:14" ht="69" customHeight="1">
      <c r="A1037" s="11" t="s">
        <v>11143</v>
      </c>
      <c r="B1037" s="11" t="s">
        <v>11144</v>
      </c>
      <c r="C1037" s="198" t="s">
        <v>1102</v>
      </c>
      <c r="D1037" s="198" t="s">
        <v>1102</v>
      </c>
      <c r="E1037" s="4" t="s">
        <v>3204</v>
      </c>
      <c r="F1037" s="4" t="s">
        <v>2657</v>
      </c>
      <c r="G1037" s="198"/>
      <c r="H1037" s="198" t="s">
        <v>2272</v>
      </c>
      <c r="I1037" s="198" t="s">
        <v>2272</v>
      </c>
      <c r="J1037" s="198">
        <v>1</v>
      </c>
      <c r="K1037" s="4" t="s">
        <v>11139</v>
      </c>
      <c r="L1037" s="198">
        <v>3</v>
      </c>
      <c r="M1037" s="4" t="s">
        <v>11142</v>
      </c>
      <c r="N1037" s="198"/>
    </row>
    <row r="1038" spans="1:14" ht="70.5" customHeight="1">
      <c r="A1038" s="11" t="s">
        <v>11143</v>
      </c>
      <c r="B1038" s="11" t="s">
        <v>11145</v>
      </c>
      <c r="C1038" s="198" t="s">
        <v>30</v>
      </c>
      <c r="D1038" s="4" t="s">
        <v>29</v>
      </c>
      <c r="E1038" s="4" t="s">
        <v>3204</v>
      </c>
      <c r="F1038" s="4" t="s">
        <v>2657</v>
      </c>
      <c r="G1038" s="198"/>
      <c r="H1038" s="198" t="s">
        <v>2272</v>
      </c>
      <c r="I1038" s="198" t="s">
        <v>2272</v>
      </c>
      <c r="J1038" s="198">
        <v>2</v>
      </c>
      <c r="K1038" s="4" t="s">
        <v>11139</v>
      </c>
      <c r="L1038" s="198">
        <v>3</v>
      </c>
      <c r="M1038" s="4" t="s">
        <v>11142</v>
      </c>
      <c r="N1038" s="198"/>
    </row>
    <row r="1039" spans="1:14" ht="53.5" customHeight="1">
      <c r="A1039" s="11" t="s">
        <v>11143</v>
      </c>
      <c r="B1039" s="11" t="s">
        <v>11146</v>
      </c>
      <c r="C1039" s="198" t="s">
        <v>30</v>
      </c>
      <c r="D1039" s="4" t="s">
        <v>29</v>
      </c>
      <c r="E1039" s="4" t="s">
        <v>2648</v>
      </c>
      <c r="F1039" s="4" t="s">
        <v>2657</v>
      </c>
      <c r="G1039" s="198"/>
      <c r="H1039" s="198" t="s">
        <v>2272</v>
      </c>
      <c r="I1039" s="198" t="s">
        <v>2272</v>
      </c>
      <c r="J1039" s="198">
        <v>0</v>
      </c>
      <c r="K1039" s="4" t="s">
        <v>11148</v>
      </c>
      <c r="L1039" s="198" t="s">
        <v>2272</v>
      </c>
      <c r="M1039" s="198" t="s">
        <v>2272</v>
      </c>
      <c r="N1039" s="198"/>
    </row>
    <row r="1040" spans="1:14" ht="65.5" customHeight="1">
      <c r="A1040" s="11" t="s">
        <v>11143</v>
      </c>
      <c r="B1040" s="11" t="s">
        <v>11147</v>
      </c>
      <c r="C1040" s="198" t="s">
        <v>30</v>
      </c>
      <c r="D1040" s="4" t="s">
        <v>29</v>
      </c>
      <c r="E1040" s="4" t="s">
        <v>2647</v>
      </c>
      <c r="F1040" s="4" t="s">
        <v>2657</v>
      </c>
      <c r="G1040" s="198"/>
      <c r="H1040" s="198" t="s">
        <v>2272</v>
      </c>
      <c r="I1040" s="198" t="s">
        <v>2272</v>
      </c>
      <c r="J1040" s="198">
        <v>0</v>
      </c>
      <c r="K1040" s="4" t="s">
        <v>11148</v>
      </c>
      <c r="L1040" s="198" t="s">
        <v>2272</v>
      </c>
      <c r="M1040" s="198" t="s">
        <v>2272</v>
      </c>
      <c r="N1040" s="198"/>
    </row>
    <row r="1041" spans="1:14" ht="39" customHeight="1">
      <c r="A1041" s="19" t="s">
        <v>11158</v>
      </c>
      <c r="B1041" s="19" t="s">
        <v>11162</v>
      </c>
      <c r="C1041" s="4" t="s">
        <v>1102</v>
      </c>
      <c r="D1041" s="4" t="s">
        <v>1102</v>
      </c>
      <c r="E1041" s="4" t="s">
        <v>2648</v>
      </c>
      <c r="F1041" s="4" t="s">
        <v>2657</v>
      </c>
      <c r="G1041" s="4"/>
      <c r="H1041" s="198" t="s">
        <v>2272</v>
      </c>
      <c r="I1041" s="198" t="s">
        <v>2272</v>
      </c>
      <c r="J1041" s="4">
        <v>0</v>
      </c>
      <c r="K1041" s="4" t="s">
        <v>11165</v>
      </c>
      <c r="L1041" s="198" t="s">
        <v>2272</v>
      </c>
      <c r="M1041" s="198" t="s">
        <v>2272</v>
      </c>
      <c r="N1041" s="4"/>
    </row>
    <row r="1042" spans="1:14" ht="39" customHeight="1">
      <c r="A1042" s="19" t="s">
        <v>11158</v>
      </c>
      <c r="B1042" s="19" t="s">
        <v>11163</v>
      </c>
      <c r="C1042" s="4" t="s">
        <v>1102</v>
      </c>
      <c r="D1042" s="4" t="s">
        <v>1102</v>
      </c>
      <c r="E1042" s="4" t="s">
        <v>5795</v>
      </c>
      <c r="F1042" s="4" t="s">
        <v>158</v>
      </c>
      <c r="G1042" s="4"/>
      <c r="H1042" s="198" t="s">
        <v>2272</v>
      </c>
      <c r="I1042" s="198" t="s">
        <v>2272</v>
      </c>
      <c r="J1042" s="4">
        <v>0</v>
      </c>
      <c r="K1042" s="4" t="s">
        <v>11166</v>
      </c>
      <c r="L1042" s="198" t="s">
        <v>2272</v>
      </c>
      <c r="M1042" s="198" t="s">
        <v>2272</v>
      </c>
      <c r="N1042" s="4"/>
    </row>
    <row r="1043" spans="1:14" ht="39" customHeight="1">
      <c r="A1043" s="19" t="s">
        <v>11158</v>
      </c>
      <c r="B1043" s="19" t="s">
        <v>11164</v>
      </c>
      <c r="C1043" s="4" t="s">
        <v>1102</v>
      </c>
      <c r="D1043" s="4" t="s">
        <v>1102</v>
      </c>
      <c r="E1043" s="4" t="s">
        <v>5795</v>
      </c>
      <c r="F1043" s="4" t="s">
        <v>2658</v>
      </c>
      <c r="G1043" s="4"/>
      <c r="H1043" s="198" t="s">
        <v>2272</v>
      </c>
      <c r="I1043" s="198" t="s">
        <v>2272</v>
      </c>
      <c r="J1043" s="4">
        <v>0</v>
      </c>
      <c r="K1043" s="4" t="s">
        <v>11167</v>
      </c>
      <c r="L1043" s="198" t="s">
        <v>2272</v>
      </c>
      <c r="M1043" s="198" t="s">
        <v>2272</v>
      </c>
      <c r="N1043" s="4"/>
    </row>
    <row r="1044" spans="1:14" ht="37" customHeight="1">
      <c r="A1044" s="11" t="s">
        <v>11192</v>
      </c>
      <c r="B1044" s="11" t="s">
        <v>11196</v>
      </c>
      <c r="C1044" s="198" t="s">
        <v>23</v>
      </c>
      <c r="D1044" s="198" t="s">
        <v>26</v>
      </c>
      <c r="E1044" s="198" t="s">
        <v>128</v>
      </c>
      <c r="F1044" s="4" t="s">
        <v>158</v>
      </c>
      <c r="G1044" s="198"/>
      <c r="H1044" s="198">
        <v>2</v>
      </c>
      <c r="I1044" s="11" t="s">
        <v>11204</v>
      </c>
      <c r="J1044" s="198" t="s">
        <v>2272</v>
      </c>
      <c r="K1044" s="198" t="s">
        <v>2272</v>
      </c>
      <c r="L1044" s="198" t="s">
        <v>2272</v>
      </c>
      <c r="M1044" s="198" t="s">
        <v>2272</v>
      </c>
      <c r="N1044" s="198"/>
    </row>
    <row r="1045" spans="1:14" ht="37" customHeight="1">
      <c r="A1045" s="11" t="s">
        <v>11192</v>
      </c>
      <c r="B1045" s="11" t="s">
        <v>11197</v>
      </c>
      <c r="C1045" s="198" t="s">
        <v>23</v>
      </c>
      <c r="D1045" s="198" t="s">
        <v>24</v>
      </c>
      <c r="E1045" s="198" t="s">
        <v>44</v>
      </c>
      <c r="F1045" s="4" t="s">
        <v>54</v>
      </c>
      <c r="G1045" s="198"/>
      <c r="H1045" s="198">
        <v>0</v>
      </c>
      <c r="I1045" s="4" t="s">
        <v>11203</v>
      </c>
      <c r="J1045" s="198" t="s">
        <v>2272</v>
      </c>
      <c r="K1045" s="198" t="s">
        <v>2272</v>
      </c>
      <c r="L1045" s="198" t="s">
        <v>2272</v>
      </c>
      <c r="M1045" s="198" t="s">
        <v>2272</v>
      </c>
      <c r="N1045" s="198"/>
    </row>
    <row r="1046" spans="1:14" ht="37" customHeight="1">
      <c r="A1046" s="11" t="s">
        <v>11192</v>
      </c>
      <c r="B1046" s="11" t="s">
        <v>11200</v>
      </c>
      <c r="C1046" s="198" t="s">
        <v>23</v>
      </c>
      <c r="D1046" s="198" t="s">
        <v>1241</v>
      </c>
      <c r="E1046" s="198" t="s">
        <v>114</v>
      </c>
      <c r="F1046" s="4" t="s">
        <v>54</v>
      </c>
      <c r="G1046" s="198"/>
      <c r="H1046" s="198">
        <v>0</v>
      </c>
      <c r="I1046" s="4" t="s">
        <v>11203</v>
      </c>
      <c r="J1046" s="198" t="s">
        <v>2272</v>
      </c>
      <c r="K1046" s="198" t="s">
        <v>2272</v>
      </c>
      <c r="L1046" s="198" t="s">
        <v>2272</v>
      </c>
      <c r="M1046" s="198" t="s">
        <v>2272</v>
      </c>
      <c r="N1046" s="198"/>
    </row>
    <row r="1047" spans="1:14" ht="37" customHeight="1">
      <c r="A1047" s="11" t="s">
        <v>11193</v>
      </c>
      <c r="B1047" s="11" t="s">
        <v>11198</v>
      </c>
      <c r="C1047" s="198" t="s">
        <v>23</v>
      </c>
      <c r="D1047" s="198" t="s">
        <v>26</v>
      </c>
      <c r="E1047" s="198" t="s">
        <v>128</v>
      </c>
      <c r="F1047" s="4" t="s">
        <v>158</v>
      </c>
      <c r="G1047" s="198"/>
      <c r="H1047" s="198">
        <v>2</v>
      </c>
      <c r="I1047" s="11" t="s">
        <v>11204</v>
      </c>
      <c r="J1047" s="198" t="s">
        <v>2272</v>
      </c>
      <c r="K1047" s="198" t="s">
        <v>2272</v>
      </c>
      <c r="L1047" s="198" t="s">
        <v>2272</v>
      </c>
      <c r="M1047" s="198" t="s">
        <v>2272</v>
      </c>
      <c r="N1047" s="198"/>
    </row>
    <row r="1048" spans="1:14" ht="37" customHeight="1">
      <c r="A1048" s="11" t="s">
        <v>11193</v>
      </c>
      <c r="B1048" s="11" t="s">
        <v>11199</v>
      </c>
      <c r="C1048" s="198" t="s">
        <v>23</v>
      </c>
      <c r="D1048" s="198" t="s">
        <v>24</v>
      </c>
      <c r="E1048" s="198" t="s">
        <v>44</v>
      </c>
      <c r="F1048" s="4" t="s">
        <v>54</v>
      </c>
      <c r="G1048" s="198"/>
      <c r="H1048" s="198">
        <v>0</v>
      </c>
      <c r="I1048" s="4" t="s">
        <v>11203</v>
      </c>
      <c r="J1048" s="198" t="s">
        <v>2272</v>
      </c>
      <c r="K1048" s="198" t="s">
        <v>2272</v>
      </c>
      <c r="L1048" s="198" t="s">
        <v>2272</v>
      </c>
      <c r="M1048" s="198" t="s">
        <v>2272</v>
      </c>
      <c r="N1048" s="198"/>
    </row>
    <row r="1049" spans="1:14" ht="37" customHeight="1">
      <c r="A1049" s="11" t="s">
        <v>11193</v>
      </c>
      <c r="B1049" s="11" t="s">
        <v>11201</v>
      </c>
      <c r="C1049" s="198" t="s">
        <v>23</v>
      </c>
      <c r="D1049" s="198" t="s">
        <v>1241</v>
      </c>
      <c r="E1049" s="198" t="s">
        <v>114</v>
      </c>
      <c r="F1049" s="4" t="s">
        <v>54</v>
      </c>
      <c r="G1049" s="198"/>
      <c r="H1049" s="198">
        <v>0</v>
      </c>
      <c r="I1049" s="4" t="s">
        <v>11203</v>
      </c>
      <c r="J1049" s="198" t="s">
        <v>2272</v>
      </c>
      <c r="K1049" s="198" t="s">
        <v>2272</v>
      </c>
      <c r="L1049" s="198" t="s">
        <v>2272</v>
      </c>
      <c r="M1049" s="198" t="s">
        <v>2272</v>
      </c>
      <c r="N1049" s="198"/>
    </row>
    <row r="1050" spans="1:14" ht="38" customHeight="1">
      <c r="A1050" s="11" t="s">
        <v>11210</v>
      </c>
      <c r="B1050" s="11" t="s">
        <v>11212</v>
      </c>
      <c r="C1050" s="198" t="s">
        <v>23</v>
      </c>
      <c r="D1050" s="198" t="s">
        <v>1238</v>
      </c>
      <c r="E1050" s="198" t="s">
        <v>114</v>
      </c>
      <c r="F1050" s="4" t="s">
        <v>2657</v>
      </c>
      <c r="G1050" s="198"/>
      <c r="H1050" s="198">
        <v>2</v>
      </c>
      <c r="I1050" s="4" t="s">
        <v>11231</v>
      </c>
      <c r="J1050" s="198">
        <v>2</v>
      </c>
      <c r="K1050" s="198" t="s">
        <v>11230</v>
      </c>
      <c r="L1050" s="198">
        <v>1</v>
      </c>
      <c r="M1050" s="11" t="s">
        <v>11229</v>
      </c>
      <c r="N1050" s="198"/>
    </row>
    <row r="1051" spans="1:14" ht="43.5">
      <c r="A1051" s="11" t="s">
        <v>11210</v>
      </c>
      <c r="B1051" s="11" t="s">
        <v>11213</v>
      </c>
      <c r="C1051" s="198" t="s">
        <v>23</v>
      </c>
      <c r="D1051" s="198" t="s">
        <v>1238</v>
      </c>
      <c r="E1051" s="4" t="s">
        <v>135</v>
      </c>
      <c r="F1051" s="4" t="s">
        <v>73</v>
      </c>
      <c r="G1051" s="198"/>
      <c r="H1051" s="198">
        <v>3</v>
      </c>
      <c r="I1051" s="4" t="s">
        <v>11226</v>
      </c>
      <c r="J1051" s="198">
        <v>3</v>
      </c>
      <c r="K1051" s="198" t="s">
        <v>11227</v>
      </c>
      <c r="L1051" s="198">
        <v>3</v>
      </c>
      <c r="M1051" s="198" t="s">
        <v>11228</v>
      </c>
      <c r="N1051" s="198"/>
    </row>
    <row r="1052" spans="1:14" ht="34" customHeight="1">
      <c r="A1052" s="11" t="s">
        <v>11233</v>
      </c>
      <c r="B1052" s="11" t="s">
        <v>11237</v>
      </c>
      <c r="C1052" s="198" t="s">
        <v>23</v>
      </c>
      <c r="D1052" s="198" t="s">
        <v>1238</v>
      </c>
      <c r="E1052" s="198" t="s">
        <v>114</v>
      </c>
      <c r="F1052" s="4" t="s">
        <v>2657</v>
      </c>
      <c r="G1052" s="198"/>
      <c r="H1052" s="198" t="s">
        <v>2272</v>
      </c>
      <c r="I1052" s="198" t="s">
        <v>2272</v>
      </c>
      <c r="J1052" s="198">
        <v>1</v>
      </c>
      <c r="K1052" s="4" t="s">
        <v>11249</v>
      </c>
      <c r="L1052" s="198" t="s">
        <v>2272</v>
      </c>
      <c r="M1052" s="198" t="s">
        <v>2272</v>
      </c>
      <c r="N1052" s="198"/>
    </row>
    <row r="1053" spans="1:14" ht="34" customHeight="1">
      <c r="A1053" s="198" t="s">
        <v>11233</v>
      </c>
      <c r="B1053" s="11" t="s">
        <v>11238</v>
      </c>
      <c r="C1053" s="198" t="s">
        <v>2651</v>
      </c>
      <c r="D1053" s="198" t="s">
        <v>2272</v>
      </c>
      <c r="E1053" s="198" t="s">
        <v>114</v>
      </c>
      <c r="F1053" s="4" t="s">
        <v>2657</v>
      </c>
      <c r="G1053" s="198"/>
      <c r="H1053" s="198" t="s">
        <v>2272</v>
      </c>
      <c r="I1053" s="198" t="s">
        <v>2272</v>
      </c>
      <c r="J1053" s="198">
        <v>1</v>
      </c>
      <c r="K1053" s="4" t="s">
        <v>11249</v>
      </c>
      <c r="L1053" s="198">
        <v>0</v>
      </c>
      <c r="M1053" s="4" t="s">
        <v>11248</v>
      </c>
      <c r="N1053" s="198"/>
    </row>
    <row r="1054" spans="1:14" ht="39" customHeight="1">
      <c r="A1054" s="11" t="s">
        <v>11251</v>
      </c>
      <c r="B1054" s="198" t="s">
        <v>11254</v>
      </c>
      <c r="C1054" s="198" t="s">
        <v>23</v>
      </c>
      <c r="D1054" s="198" t="s">
        <v>2227</v>
      </c>
      <c r="E1054" s="198" t="s">
        <v>128</v>
      </c>
      <c r="F1054" s="4" t="s">
        <v>2657</v>
      </c>
      <c r="G1054" s="198"/>
      <c r="H1054" s="4">
        <v>2</v>
      </c>
      <c r="I1054" s="4" t="s">
        <v>11277</v>
      </c>
      <c r="J1054" s="198" t="s">
        <v>2272</v>
      </c>
      <c r="K1054" s="198" t="s">
        <v>2272</v>
      </c>
      <c r="L1054" s="198" t="s">
        <v>2272</v>
      </c>
      <c r="M1054" s="198" t="s">
        <v>2272</v>
      </c>
      <c r="N1054" s="198"/>
    </row>
    <row r="1055" spans="1:14" ht="39" customHeight="1">
      <c r="A1055" s="11" t="s">
        <v>11251</v>
      </c>
      <c r="B1055" s="198" t="s">
        <v>11255</v>
      </c>
      <c r="C1055" s="198" t="s">
        <v>23</v>
      </c>
      <c r="D1055" s="198" t="s">
        <v>26</v>
      </c>
      <c r="E1055" s="198" t="s">
        <v>128</v>
      </c>
      <c r="F1055" s="4" t="s">
        <v>27</v>
      </c>
      <c r="G1055" s="198"/>
      <c r="H1055" s="4">
        <v>2</v>
      </c>
      <c r="I1055" s="4" t="s">
        <v>11277</v>
      </c>
      <c r="J1055" s="198" t="s">
        <v>2272</v>
      </c>
      <c r="K1055" s="198" t="s">
        <v>2272</v>
      </c>
      <c r="L1055" s="198" t="s">
        <v>2272</v>
      </c>
      <c r="M1055" s="198" t="s">
        <v>2272</v>
      </c>
      <c r="N1055" s="198"/>
    </row>
    <row r="1056" spans="1:14" ht="39" customHeight="1">
      <c r="A1056" s="11" t="s">
        <v>11251</v>
      </c>
      <c r="B1056" s="198" t="s">
        <v>11256</v>
      </c>
      <c r="C1056" s="198" t="s">
        <v>23</v>
      </c>
      <c r="D1056" s="198" t="s">
        <v>26</v>
      </c>
      <c r="E1056" s="198" t="s">
        <v>128</v>
      </c>
      <c r="F1056" s="4" t="s">
        <v>158</v>
      </c>
      <c r="G1056" s="198"/>
      <c r="H1056" s="4">
        <v>2</v>
      </c>
      <c r="I1056" s="4" t="s">
        <v>11277</v>
      </c>
      <c r="J1056" s="198" t="s">
        <v>2272</v>
      </c>
      <c r="K1056" s="198" t="s">
        <v>2272</v>
      </c>
      <c r="L1056" s="198" t="s">
        <v>2272</v>
      </c>
      <c r="M1056" s="198" t="s">
        <v>2272</v>
      </c>
      <c r="N1056" s="198"/>
    </row>
    <row r="1057" spans="1:14" ht="39" customHeight="1">
      <c r="A1057" s="11" t="s">
        <v>11251</v>
      </c>
      <c r="B1057" s="198" t="s">
        <v>11257</v>
      </c>
      <c r="C1057" s="198" t="s">
        <v>23</v>
      </c>
      <c r="D1057" s="198" t="s">
        <v>24</v>
      </c>
      <c r="E1057" s="198" t="s">
        <v>44</v>
      </c>
      <c r="F1057" s="4" t="s">
        <v>2657</v>
      </c>
      <c r="G1057" s="198"/>
      <c r="H1057" s="4">
        <v>2</v>
      </c>
      <c r="I1057" s="4" t="s">
        <v>11277</v>
      </c>
      <c r="J1057" s="198" t="s">
        <v>2272</v>
      </c>
      <c r="K1057" s="198" t="s">
        <v>2272</v>
      </c>
      <c r="L1057" s="198" t="s">
        <v>2272</v>
      </c>
      <c r="M1057" s="198" t="s">
        <v>2272</v>
      </c>
      <c r="N1057" s="198"/>
    </row>
    <row r="1058" spans="1:14" ht="80.5" customHeight="1">
      <c r="A1058" s="11" t="s">
        <v>11251</v>
      </c>
      <c r="B1058" s="198" t="s">
        <v>11258</v>
      </c>
      <c r="C1058" s="198" t="s">
        <v>23</v>
      </c>
      <c r="D1058" s="198" t="s">
        <v>3475</v>
      </c>
      <c r="E1058" s="198" t="s">
        <v>114</v>
      </c>
      <c r="F1058" s="4" t="s">
        <v>73</v>
      </c>
      <c r="G1058" s="198"/>
      <c r="H1058" s="198">
        <v>0</v>
      </c>
      <c r="I1058" s="4" t="s">
        <v>11274</v>
      </c>
      <c r="J1058" s="198" t="s">
        <v>2272</v>
      </c>
      <c r="K1058" s="198" t="s">
        <v>2272</v>
      </c>
      <c r="L1058" s="198" t="s">
        <v>2272</v>
      </c>
      <c r="M1058" s="198" t="s">
        <v>2272</v>
      </c>
      <c r="N1058" s="198"/>
    </row>
    <row r="1059" spans="1:14" ht="80.5" customHeight="1">
      <c r="A1059" s="11" t="s">
        <v>11251</v>
      </c>
      <c r="B1059" s="198" t="s">
        <v>11259</v>
      </c>
      <c r="C1059" s="198" t="s">
        <v>23</v>
      </c>
      <c r="D1059" s="198" t="s">
        <v>3475</v>
      </c>
      <c r="E1059" s="198" t="s">
        <v>114</v>
      </c>
      <c r="F1059" s="4" t="s">
        <v>2658</v>
      </c>
      <c r="G1059" s="198"/>
      <c r="H1059" s="198">
        <v>0</v>
      </c>
      <c r="I1059" s="4" t="s">
        <v>11274</v>
      </c>
      <c r="J1059" s="198" t="s">
        <v>2272</v>
      </c>
      <c r="K1059" s="198" t="s">
        <v>2272</v>
      </c>
      <c r="L1059" s="198" t="s">
        <v>2272</v>
      </c>
      <c r="M1059" s="198" t="s">
        <v>2272</v>
      </c>
      <c r="N1059" s="198"/>
    </row>
    <row r="1060" spans="1:14" ht="39" customHeight="1">
      <c r="A1060" s="11" t="s">
        <v>11251</v>
      </c>
      <c r="B1060" s="198" t="s">
        <v>11261</v>
      </c>
      <c r="C1060" s="198" t="s">
        <v>23</v>
      </c>
      <c r="D1060" s="198" t="s">
        <v>1241</v>
      </c>
      <c r="E1060" s="198" t="s">
        <v>114</v>
      </c>
      <c r="F1060" s="4" t="s">
        <v>2657</v>
      </c>
      <c r="G1060" s="198"/>
      <c r="H1060" s="198">
        <v>1</v>
      </c>
      <c r="I1060" s="4" t="s">
        <v>11275</v>
      </c>
      <c r="J1060" s="198" t="s">
        <v>2272</v>
      </c>
      <c r="K1060" s="198" t="s">
        <v>2272</v>
      </c>
      <c r="L1060" s="198" t="s">
        <v>2272</v>
      </c>
      <c r="M1060" s="198" t="s">
        <v>2272</v>
      </c>
      <c r="N1060" s="198"/>
    </row>
    <row r="1061" spans="1:14" ht="39" customHeight="1">
      <c r="A1061" s="11" t="s">
        <v>11251</v>
      </c>
      <c r="B1061" s="198" t="s">
        <v>11266</v>
      </c>
      <c r="C1061" s="198" t="s">
        <v>23</v>
      </c>
      <c r="D1061" s="198" t="s">
        <v>3475</v>
      </c>
      <c r="E1061" s="198" t="s">
        <v>114</v>
      </c>
      <c r="F1061" s="4" t="s">
        <v>2657</v>
      </c>
      <c r="G1061" s="198"/>
      <c r="H1061" s="198">
        <v>2</v>
      </c>
      <c r="I1061" s="4" t="s">
        <v>11276</v>
      </c>
      <c r="J1061" s="198" t="s">
        <v>2272</v>
      </c>
      <c r="K1061" s="198" t="s">
        <v>2272</v>
      </c>
      <c r="L1061" s="198" t="s">
        <v>2272</v>
      </c>
      <c r="M1061" s="198" t="s">
        <v>2272</v>
      </c>
      <c r="N1061" s="198"/>
    </row>
    <row r="1062" spans="1:14" ht="39" customHeight="1">
      <c r="A1062" s="19" t="s">
        <v>11251</v>
      </c>
      <c r="B1062" s="198" t="s">
        <v>11267</v>
      </c>
      <c r="C1062" s="4" t="s">
        <v>30</v>
      </c>
      <c r="D1062" s="4" t="s">
        <v>29</v>
      </c>
      <c r="E1062" s="4" t="s">
        <v>2272</v>
      </c>
      <c r="F1062" s="4" t="s">
        <v>2657</v>
      </c>
      <c r="G1062" s="198"/>
      <c r="H1062" s="198">
        <v>0</v>
      </c>
      <c r="I1062" s="198"/>
      <c r="J1062" s="198" t="s">
        <v>2272</v>
      </c>
      <c r="K1062" s="198" t="s">
        <v>2272</v>
      </c>
      <c r="L1062" s="198" t="s">
        <v>2272</v>
      </c>
      <c r="M1062" s="198" t="s">
        <v>2272</v>
      </c>
      <c r="N1062" s="198"/>
    </row>
    <row r="1063" spans="1:14" ht="39" customHeight="1">
      <c r="A1063" s="19" t="s">
        <v>11251</v>
      </c>
      <c r="B1063" s="198" t="s">
        <v>11268</v>
      </c>
      <c r="C1063" s="4" t="s">
        <v>23</v>
      </c>
      <c r="D1063" s="4" t="s">
        <v>2342</v>
      </c>
      <c r="E1063" s="4" t="s">
        <v>2272</v>
      </c>
      <c r="F1063" s="4" t="s">
        <v>2657</v>
      </c>
      <c r="G1063" s="198"/>
      <c r="H1063" s="198">
        <v>0</v>
      </c>
      <c r="I1063" s="198"/>
      <c r="J1063" s="198" t="s">
        <v>2272</v>
      </c>
      <c r="K1063" s="198" t="s">
        <v>2272</v>
      </c>
      <c r="L1063" s="198" t="s">
        <v>2272</v>
      </c>
      <c r="M1063" s="198" t="s">
        <v>2272</v>
      </c>
      <c r="N1063" s="198"/>
    </row>
    <row r="1064" spans="1:14" ht="39" customHeight="1">
      <c r="A1064" s="19" t="s">
        <v>11251</v>
      </c>
      <c r="B1064" s="198" t="s">
        <v>11269</v>
      </c>
      <c r="C1064" s="4" t="s">
        <v>23</v>
      </c>
      <c r="D1064" s="4" t="s">
        <v>25</v>
      </c>
      <c r="E1064" s="4" t="s">
        <v>2272</v>
      </c>
      <c r="F1064" s="4" t="s">
        <v>2657</v>
      </c>
      <c r="G1064" s="198"/>
      <c r="H1064" s="198">
        <v>2</v>
      </c>
      <c r="I1064" s="198" t="s">
        <v>11273</v>
      </c>
      <c r="J1064" s="198" t="s">
        <v>2272</v>
      </c>
      <c r="K1064" s="198" t="s">
        <v>2272</v>
      </c>
      <c r="L1064" s="198" t="s">
        <v>2272</v>
      </c>
      <c r="M1064" s="198" t="s">
        <v>2272</v>
      </c>
      <c r="N1064" s="198"/>
    </row>
    <row r="1065" spans="1:14" ht="86.5" customHeight="1">
      <c r="A1065" s="19" t="s">
        <v>11251</v>
      </c>
      <c r="B1065" s="198" t="s">
        <v>11270</v>
      </c>
      <c r="C1065" s="4" t="s">
        <v>23</v>
      </c>
      <c r="D1065" s="4" t="s">
        <v>3471</v>
      </c>
      <c r="E1065" s="4" t="s">
        <v>860</v>
      </c>
      <c r="F1065" s="4" t="s">
        <v>2657</v>
      </c>
      <c r="G1065" s="198"/>
      <c r="H1065" s="198">
        <v>1</v>
      </c>
      <c r="I1065" s="4" t="s">
        <v>11278</v>
      </c>
      <c r="J1065" s="198" t="s">
        <v>2272</v>
      </c>
      <c r="K1065" s="198" t="s">
        <v>2272</v>
      </c>
      <c r="L1065" s="198" t="s">
        <v>2272</v>
      </c>
      <c r="M1065" s="198" t="s">
        <v>2272</v>
      </c>
      <c r="N1065" s="198"/>
    </row>
    <row r="1066" spans="1:14" ht="62" customHeight="1">
      <c r="A1066" s="19" t="s">
        <v>11357</v>
      </c>
      <c r="B1066" s="11" t="s">
        <v>11359</v>
      </c>
      <c r="C1066" s="4" t="s">
        <v>1102</v>
      </c>
      <c r="D1066" s="4" t="s">
        <v>1102</v>
      </c>
      <c r="E1066" s="4" t="s">
        <v>135</v>
      </c>
      <c r="F1066" s="4" t="s">
        <v>2657</v>
      </c>
      <c r="G1066" s="198"/>
      <c r="H1066" s="198" t="s">
        <v>2272</v>
      </c>
      <c r="I1066" s="198" t="s">
        <v>2272</v>
      </c>
      <c r="J1066" s="198">
        <v>2</v>
      </c>
      <c r="K1066" s="4" t="s">
        <v>11364</v>
      </c>
      <c r="L1066" s="198" t="s">
        <v>2272</v>
      </c>
      <c r="M1066" s="198" t="s">
        <v>2272</v>
      </c>
      <c r="N1066" s="198"/>
    </row>
    <row r="1067" spans="1:14" ht="62" customHeight="1">
      <c r="A1067" s="19" t="s">
        <v>11357</v>
      </c>
      <c r="B1067" s="11" t="s">
        <v>11360</v>
      </c>
      <c r="C1067" s="4" t="s">
        <v>1102</v>
      </c>
      <c r="D1067" s="4" t="s">
        <v>1102</v>
      </c>
      <c r="E1067" s="4" t="s">
        <v>114</v>
      </c>
      <c r="F1067" s="4" t="s">
        <v>2657</v>
      </c>
      <c r="G1067" s="198"/>
      <c r="H1067" s="198" t="s">
        <v>2272</v>
      </c>
      <c r="I1067" s="198" t="s">
        <v>2272</v>
      </c>
      <c r="J1067" s="198">
        <v>2</v>
      </c>
      <c r="K1067" s="4" t="s">
        <v>11364</v>
      </c>
      <c r="L1067" s="198" t="s">
        <v>2272</v>
      </c>
      <c r="M1067" s="198" t="s">
        <v>2272</v>
      </c>
      <c r="N1067" s="198"/>
    </row>
    <row r="1068" spans="1:14" ht="45.5" customHeight="1">
      <c r="A1068" s="19" t="s">
        <v>11367</v>
      </c>
      <c r="B1068" s="11" t="s">
        <v>11370</v>
      </c>
      <c r="C1068" s="4" t="s">
        <v>1102</v>
      </c>
      <c r="D1068" s="4" t="s">
        <v>1102</v>
      </c>
      <c r="E1068" s="4" t="s">
        <v>114</v>
      </c>
      <c r="F1068" s="198" t="s">
        <v>73</v>
      </c>
      <c r="G1068" s="198"/>
      <c r="H1068" s="198" t="s">
        <v>2272</v>
      </c>
      <c r="I1068" s="198" t="s">
        <v>2272</v>
      </c>
      <c r="J1068" s="198">
        <v>2</v>
      </c>
      <c r="K1068" s="198" t="s">
        <v>11372</v>
      </c>
      <c r="L1068" s="198">
        <v>2</v>
      </c>
      <c r="M1068" s="4" t="s">
        <v>11373</v>
      </c>
      <c r="N1068" s="198"/>
    </row>
    <row r="1069" spans="1:14" ht="49" customHeight="1">
      <c r="A1069" s="19" t="s">
        <v>11367</v>
      </c>
      <c r="B1069" s="11" t="s">
        <v>11371</v>
      </c>
      <c r="C1069" s="4" t="s">
        <v>1102</v>
      </c>
      <c r="D1069" s="4" t="s">
        <v>1102</v>
      </c>
      <c r="E1069" s="4" t="s">
        <v>3204</v>
      </c>
      <c r="F1069" s="198" t="s">
        <v>73</v>
      </c>
      <c r="G1069" s="198"/>
      <c r="H1069" s="198" t="s">
        <v>2272</v>
      </c>
      <c r="I1069" s="198" t="s">
        <v>2272</v>
      </c>
      <c r="J1069" s="198">
        <v>2</v>
      </c>
      <c r="K1069" s="198" t="s">
        <v>11372</v>
      </c>
      <c r="L1069" s="198">
        <v>2</v>
      </c>
      <c r="M1069" s="4" t="s">
        <v>11373</v>
      </c>
      <c r="N1069" s="198"/>
    </row>
    <row r="1070" spans="1:14" ht="39.5" customHeight="1">
      <c r="A1070" s="19" t="s">
        <v>11386</v>
      </c>
      <c r="B1070" s="19" t="s">
        <v>11389</v>
      </c>
      <c r="C1070" s="198" t="s">
        <v>23</v>
      </c>
      <c r="D1070" s="4" t="s">
        <v>1102</v>
      </c>
      <c r="E1070" s="4" t="s">
        <v>114</v>
      </c>
      <c r="F1070" s="4" t="s">
        <v>2657</v>
      </c>
      <c r="G1070" s="198"/>
      <c r="H1070" s="198">
        <v>2</v>
      </c>
      <c r="I1070" s="198" t="s">
        <v>11398</v>
      </c>
      <c r="J1070" s="198">
        <v>2</v>
      </c>
      <c r="K1070" s="4" t="s">
        <v>11391</v>
      </c>
      <c r="L1070" s="198" t="s">
        <v>2272</v>
      </c>
      <c r="M1070" s="198" t="s">
        <v>2272</v>
      </c>
      <c r="N1070" s="198"/>
    </row>
    <row r="1071" spans="1:14" s="197" customFormat="1" ht="39.5" customHeight="1">
      <c r="A1071" s="19" t="s">
        <v>11386</v>
      </c>
      <c r="B1071" s="19" t="s">
        <v>11393</v>
      </c>
      <c r="C1071" s="198" t="s">
        <v>23</v>
      </c>
      <c r="D1071" s="4" t="s">
        <v>24</v>
      </c>
      <c r="E1071" s="4" t="s">
        <v>5000</v>
      </c>
      <c r="F1071" s="4" t="s">
        <v>2657</v>
      </c>
      <c r="G1071" s="198"/>
      <c r="H1071" s="198">
        <v>2</v>
      </c>
      <c r="I1071" s="4" t="s">
        <v>11397</v>
      </c>
      <c r="J1071" s="198">
        <v>2</v>
      </c>
      <c r="K1071" s="4" t="s">
        <v>11391</v>
      </c>
      <c r="L1071" s="198" t="s">
        <v>2272</v>
      </c>
      <c r="M1071" s="198" t="s">
        <v>2272</v>
      </c>
      <c r="N1071" s="198"/>
    </row>
    <row r="1072" spans="1:14" ht="43" customHeight="1">
      <c r="A1072" s="19" t="s">
        <v>11388</v>
      </c>
      <c r="B1072" s="19" t="s">
        <v>11390</v>
      </c>
      <c r="C1072" s="198" t="s">
        <v>2651</v>
      </c>
      <c r="D1072" s="198" t="s">
        <v>2272</v>
      </c>
      <c r="E1072" s="4" t="s">
        <v>5795</v>
      </c>
      <c r="F1072" s="4" t="s">
        <v>2657</v>
      </c>
      <c r="G1072" s="198"/>
      <c r="H1072" s="198" t="s">
        <v>2272</v>
      </c>
      <c r="I1072" s="198" t="s">
        <v>2272</v>
      </c>
      <c r="J1072" s="198">
        <v>0</v>
      </c>
      <c r="K1072" s="4" t="s">
        <v>11392</v>
      </c>
      <c r="L1072" s="198" t="s">
        <v>2272</v>
      </c>
      <c r="M1072" s="198" t="s">
        <v>2272</v>
      </c>
      <c r="N1072" s="198"/>
    </row>
    <row r="1073" spans="1:14" ht="68.5" customHeight="1">
      <c r="A1073" s="19" t="s">
        <v>11400</v>
      </c>
      <c r="B1073" s="19" t="s">
        <v>11401</v>
      </c>
      <c r="C1073" s="4" t="s">
        <v>2453</v>
      </c>
      <c r="D1073" s="4" t="s">
        <v>2272</v>
      </c>
      <c r="E1073" s="4" t="s">
        <v>2642</v>
      </c>
      <c r="F1073" s="4" t="s">
        <v>2657</v>
      </c>
      <c r="G1073" s="198">
        <v>2011</v>
      </c>
      <c r="H1073" s="198" t="s">
        <v>2272</v>
      </c>
      <c r="I1073" s="198" t="s">
        <v>2272</v>
      </c>
      <c r="J1073" s="198" t="s">
        <v>2272</v>
      </c>
      <c r="K1073" s="4" t="s">
        <v>11409</v>
      </c>
      <c r="L1073" s="4">
        <v>0</v>
      </c>
      <c r="M1073" s="4" t="s">
        <v>11410</v>
      </c>
      <c r="N1073" s="198"/>
    </row>
    <row r="1074" spans="1:14" ht="53.5" customHeight="1">
      <c r="A1074" s="19" t="s">
        <v>11400</v>
      </c>
      <c r="B1074" s="19" t="s">
        <v>11402</v>
      </c>
      <c r="C1074" s="4" t="s">
        <v>2453</v>
      </c>
      <c r="D1074" s="4" t="s">
        <v>2272</v>
      </c>
      <c r="E1074" s="4" t="s">
        <v>2642</v>
      </c>
      <c r="F1074" s="4" t="s">
        <v>2657</v>
      </c>
      <c r="G1074" s="198">
        <v>2012</v>
      </c>
      <c r="H1074" s="198" t="s">
        <v>2272</v>
      </c>
      <c r="I1074" s="198" t="s">
        <v>2272</v>
      </c>
      <c r="J1074" s="198">
        <v>2</v>
      </c>
      <c r="K1074" s="4" t="s">
        <v>11411</v>
      </c>
      <c r="L1074" s="4">
        <v>2</v>
      </c>
      <c r="M1074" s="4" t="s">
        <v>11412</v>
      </c>
      <c r="N1074" s="198"/>
    </row>
    <row r="1075" spans="1:14" ht="53.5" customHeight="1">
      <c r="A1075" s="19" t="s">
        <v>11400</v>
      </c>
      <c r="B1075" s="19" t="s">
        <v>11403</v>
      </c>
      <c r="C1075" s="4" t="s">
        <v>2453</v>
      </c>
      <c r="D1075" s="4" t="s">
        <v>2272</v>
      </c>
      <c r="E1075" s="4" t="s">
        <v>2644</v>
      </c>
      <c r="F1075" s="4" t="s">
        <v>73</v>
      </c>
      <c r="G1075" s="198">
        <v>2011</v>
      </c>
      <c r="H1075" s="198" t="s">
        <v>2272</v>
      </c>
      <c r="I1075" s="198" t="s">
        <v>2272</v>
      </c>
      <c r="J1075" s="198" t="s">
        <v>2272</v>
      </c>
      <c r="K1075" s="198"/>
      <c r="L1075" s="198">
        <v>2</v>
      </c>
      <c r="M1075" s="4" t="s">
        <v>11413</v>
      </c>
      <c r="N1075" s="198"/>
    </row>
    <row r="1076" spans="1:14" ht="53.5" customHeight="1">
      <c r="A1076" s="19" t="s">
        <v>11400</v>
      </c>
      <c r="B1076" s="19" t="s">
        <v>11404</v>
      </c>
      <c r="C1076" s="4" t="s">
        <v>2453</v>
      </c>
      <c r="D1076" s="4" t="s">
        <v>2272</v>
      </c>
      <c r="E1076" s="4" t="s">
        <v>2644</v>
      </c>
      <c r="F1076" s="4" t="s">
        <v>73</v>
      </c>
      <c r="G1076" s="198">
        <v>2012</v>
      </c>
      <c r="H1076" s="198" t="s">
        <v>2272</v>
      </c>
      <c r="I1076" s="198" t="s">
        <v>2272</v>
      </c>
      <c r="J1076" s="198" t="s">
        <v>2272</v>
      </c>
      <c r="K1076" s="198"/>
      <c r="L1076" s="198">
        <v>2</v>
      </c>
      <c r="M1076" s="4" t="s">
        <v>11413</v>
      </c>
      <c r="N1076" s="198"/>
    </row>
    <row r="1077" spans="1:14" ht="65" customHeight="1">
      <c r="A1077" s="19" t="s">
        <v>11400</v>
      </c>
      <c r="B1077" s="19" t="s">
        <v>11405</v>
      </c>
      <c r="C1077" s="4" t="s">
        <v>2651</v>
      </c>
      <c r="D1077" s="4" t="s">
        <v>2272</v>
      </c>
      <c r="E1077" s="4" t="s">
        <v>2642</v>
      </c>
      <c r="F1077" s="4" t="s">
        <v>2657</v>
      </c>
      <c r="G1077" s="198">
        <v>2011</v>
      </c>
      <c r="H1077" s="198" t="s">
        <v>2272</v>
      </c>
      <c r="I1077" s="198" t="s">
        <v>2272</v>
      </c>
      <c r="J1077" s="198" t="s">
        <v>2272</v>
      </c>
      <c r="K1077" s="4" t="s">
        <v>11409</v>
      </c>
      <c r="L1077" s="4">
        <v>0</v>
      </c>
      <c r="M1077" s="4" t="s">
        <v>11410</v>
      </c>
      <c r="N1077" s="198"/>
    </row>
    <row r="1078" spans="1:14" ht="37.5" customHeight="1">
      <c r="A1078" s="19" t="s">
        <v>11400</v>
      </c>
      <c r="B1078" s="19" t="s">
        <v>11406</v>
      </c>
      <c r="C1078" s="4" t="s">
        <v>2651</v>
      </c>
      <c r="D1078" s="4" t="s">
        <v>2272</v>
      </c>
      <c r="E1078" s="4" t="s">
        <v>2642</v>
      </c>
      <c r="F1078" s="4" t="s">
        <v>2657</v>
      </c>
      <c r="G1078" s="198">
        <v>2012</v>
      </c>
      <c r="H1078" s="198" t="s">
        <v>2272</v>
      </c>
      <c r="I1078" s="198" t="s">
        <v>2272</v>
      </c>
      <c r="J1078" s="198">
        <v>2</v>
      </c>
      <c r="K1078" s="4" t="s">
        <v>11411</v>
      </c>
      <c r="L1078" s="4">
        <v>2</v>
      </c>
      <c r="M1078" s="4" t="s">
        <v>11412</v>
      </c>
      <c r="N1078" s="198"/>
    </row>
    <row r="1079" spans="1:14" ht="37.5" customHeight="1">
      <c r="A1079" s="19" t="s">
        <v>11400</v>
      </c>
      <c r="B1079" s="19" t="s">
        <v>11407</v>
      </c>
      <c r="C1079" s="4" t="s">
        <v>2651</v>
      </c>
      <c r="D1079" s="4" t="s">
        <v>2272</v>
      </c>
      <c r="E1079" s="4" t="s">
        <v>2644</v>
      </c>
      <c r="F1079" s="4" t="s">
        <v>73</v>
      </c>
      <c r="G1079" s="198">
        <v>2011</v>
      </c>
      <c r="H1079" s="198" t="s">
        <v>2272</v>
      </c>
      <c r="I1079" s="198" t="s">
        <v>2272</v>
      </c>
      <c r="J1079" s="198" t="s">
        <v>2272</v>
      </c>
      <c r="K1079" s="198" t="s">
        <v>2272</v>
      </c>
      <c r="L1079" s="198">
        <v>2</v>
      </c>
      <c r="M1079" s="4" t="s">
        <v>11413</v>
      </c>
      <c r="N1079" s="198"/>
    </row>
    <row r="1080" spans="1:14" ht="37.5" customHeight="1">
      <c r="A1080" s="19" t="s">
        <v>11400</v>
      </c>
      <c r="B1080" s="19" t="s">
        <v>11408</v>
      </c>
      <c r="C1080" s="4" t="s">
        <v>2651</v>
      </c>
      <c r="D1080" s="4" t="s">
        <v>2272</v>
      </c>
      <c r="E1080" s="4" t="s">
        <v>2644</v>
      </c>
      <c r="F1080" s="4" t="s">
        <v>73</v>
      </c>
      <c r="G1080" s="198">
        <v>2012</v>
      </c>
      <c r="H1080" s="198" t="s">
        <v>2272</v>
      </c>
      <c r="I1080" s="198" t="s">
        <v>2272</v>
      </c>
      <c r="J1080" s="198" t="s">
        <v>2272</v>
      </c>
      <c r="K1080" s="198" t="s">
        <v>2272</v>
      </c>
      <c r="L1080" s="198">
        <v>2</v>
      </c>
      <c r="M1080" s="4" t="s">
        <v>11413</v>
      </c>
      <c r="N1080" s="198"/>
    </row>
    <row r="1081" spans="1:14" ht="56.5" customHeight="1">
      <c r="A1081" s="19" t="s">
        <v>11429</v>
      </c>
      <c r="B1081" s="19" t="s">
        <v>11430</v>
      </c>
      <c r="C1081" s="198" t="s">
        <v>2453</v>
      </c>
      <c r="D1081" s="4" t="s">
        <v>2272</v>
      </c>
      <c r="E1081" s="4" t="s">
        <v>3204</v>
      </c>
      <c r="F1081" s="4" t="s">
        <v>73</v>
      </c>
      <c r="G1081" s="11">
        <v>1945</v>
      </c>
      <c r="H1081" s="198" t="s">
        <v>2272</v>
      </c>
      <c r="I1081" s="198" t="s">
        <v>2272</v>
      </c>
      <c r="J1081" s="198" t="s">
        <v>2272</v>
      </c>
      <c r="K1081" s="198" t="s">
        <v>2272</v>
      </c>
      <c r="L1081" s="198">
        <v>2</v>
      </c>
      <c r="M1081" s="18" t="s">
        <v>11441</v>
      </c>
      <c r="N1081" s="198"/>
    </row>
    <row r="1082" spans="1:14" ht="90" customHeight="1">
      <c r="A1082" s="19" t="s">
        <v>11429</v>
      </c>
      <c r="B1082" s="19" t="s">
        <v>11440</v>
      </c>
      <c r="C1082" s="198" t="s">
        <v>2453</v>
      </c>
      <c r="D1082" s="4" t="s">
        <v>2272</v>
      </c>
      <c r="E1082" s="4" t="s">
        <v>3204</v>
      </c>
      <c r="F1082" s="4" t="s">
        <v>73</v>
      </c>
      <c r="G1082" s="11">
        <v>1975</v>
      </c>
      <c r="H1082" s="198" t="s">
        <v>2272</v>
      </c>
      <c r="I1082" s="198" t="s">
        <v>2272</v>
      </c>
      <c r="J1082" s="198" t="s">
        <v>2272</v>
      </c>
      <c r="K1082" s="198" t="s">
        <v>2272</v>
      </c>
      <c r="L1082" s="198">
        <v>3</v>
      </c>
      <c r="M1082" s="18" t="s">
        <v>11442</v>
      </c>
      <c r="N1082" s="198"/>
    </row>
    <row r="1083" spans="1:14" ht="81" customHeight="1">
      <c r="A1083" s="19" t="s">
        <v>11431</v>
      </c>
      <c r="B1083" s="19" t="s">
        <v>11433</v>
      </c>
      <c r="C1083" s="198" t="s">
        <v>2453</v>
      </c>
      <c r="D1083" s="4" t="s">
        <v>2272</v>
      </c>
      <c r="E1083" s="4" t="s">
        <v>3204</v>
      </c>
      <c r="F1083" s="4" t="s">
        <v>73</v>
      </c>
      <c r="G1083" s="198">
        <v>1991</v>
      </c>
      <c r="H1083" s="198" t="s">
        <v>2272</v>
      </c>
      <c r="I1083" s="198" t="s">
        <v>2272</v>
      </c>
      <c r="J1083" s="198" t="s">
        <v>2272</v>
      </c>
      <c r="K1083" s="198" t="s">
        <v>2272</v>
      </c>
      <c r="L1083" s="198">
        <v>1</v>
      </c>
      <c r="M1083" s="18" t="s">
        <v>11443</v>
      </c>
      <c r="N1083" s="198"/>
    </row>
    <row r="1084" spans="1:14" ht="56" customHeight="1">
      <c r="A1084" s="19" t="s">
        <v>11431</v>
      </c>
      <c r="B1084" s="19" t="s">
        <v>11444</v>
      </c>
      <c r="C1084" s="198" t="s">
        <v>1102</v>
      </c>
      <c r="D1084" s="198" t="s">
        <v>2272</v>
      </c>
      <c r="E1084" s="4" t="s">
        <v>5795</v>
      </c>
      <c r="F1084" s="198" t="s">
        <v>158</v>
      </c>
      <c r="G1084" s="198"/>
      <c r="H1084" s="198" t="s">
        <v>2272</v>
      </c>
      <c r="I1084" s="198" t="s">
        <v>2272</v>
      </c>
      <c r="J1084" s="198">
        <v>0</v>
      </c>
      <c r="K1084" s="4" t="s">
        <v>11446</v>
      </c>
      <c r="L1084" s="198" t="s">
        <v>2272</v>
      </c>
      <c r="M1084" s="198" t="s">
        <v>2272</v>
      </c>
      <c r="N1084" s="198"/>
    </row>
    <row r="1085" spans="1:14" ht="56" customHeight="1">
      <c r="A1085" s="19" t="s">
        <v>11431</v>
      </c>
      <c r="B1085" s="19" t="s">
        <v>11445</v>
      </c>
      <c r="C1085" s="198" t="s">
        <v>1102</v>
      </c>
      <c r="D1085" s="198" t="s">
        <v>2272</v>
      </c>
      <c r="E1085" s="4" t="s">
        <v>2647</v>
      </c>
      <c r="F1085" s="198" t="s">
        <v>73</v>
      </c>
      <c r="G1085" s="198"/>
      <c r="H1085" s="198">
        <v>0</v>
      </c>
      <c r="I1085" s="18" t="s">
        <v>11447</v>
      </c>
      <c r="J1085" s="198" t="s">
        <v>2272</v>
      </c>
      <c r="K1085" s="198" t="s">
        <v>2272</v>
      </c>
      <c r="L1085" s="198" t="s">
        <v>2272</v>
      </c>
      <c r="M1085" s="198" t="s">
        <v>2272</v>
      </c>
      <c r="N1085" s="198"/>
    </row>
    <row r="1086" spans="1:14" ht="50.5" customHeight="1">
      <c r="A1086" s="19" t="s">
        <v>11451</v>
      </c>
      <c r="B1086" s="19" t="s">
        <v>11454</v>
      </c>
      <c r="C1086" s="4" t="s">
        <v>1102</v>
      </c>
      <c r="D1086" s="4" t="s">
        <v>2272</v>
      </c>
      <c r="E1086" s="4" t="s">
        <v>5795</v>
      </c>
      <c r="F1086" s="4" t="s">
        <v>158</v>
      </c>
      <c r="G1086" s="4"/>
      <c r="H1086" s="4" t="s">
        <v>2272</v>
      </c>
      <c r="I1086" s="4" t="s">
        <v>2272</v>
      </c>
      <c r="J1086" s="4">
        <v>0</v>
      </c>
      <c r="K1086" s="4" t="s">
        <v>11446</v>
      </c>
      <c r="L1086" s="4" t="s">
        <v>2272</v>
      </c>
      <c r="M1086" s="4" t="s">
        <v>2272</v>
      </c>
      <c r="N1086" s="4"/>
    </row>
    <row r="1087" spans="1:14" ht="46" customHeight="1">
      <c r="A1087" s="19" t="s">
        <v>11451</v>
      </c>
      <c r="B1087" s="19" t="s">
        <v>11455</v>
      </c>
      <c r="C1087" s="4" t="s">
        <v>23</v>
      </c>
      <c r="D1087" s="4" t="s">
        <v>2654</v>
      </c>
      <c r="E1087" s="4" t="s">
        <v>2272</v>
      </c>
      <c r="F1087" s="4" t="s">
        <v>2657</v>
      </c>
      <c r="G1087" s="4"/>
      <c r="H1087" s="4">
        <v>0</v>
      </c>
      <c r="I1087" s="244" t="s">
        <v>11457</v>
      </c>
      <c r="J1087" s="4" t="s">
        <v>2272</v>
      </c>
      <c r="K1087" s="4" t="s">
        <v>2272</v>
      </c>
      <c r="L1087" s="4" t="s">
        <v>2272</v>
      </c>
      <c r="M1087" s="4" t="s">
        <v>2272</v>
      </c>
      <c r="N1087" s="4"/>
    </row>
    <row r="1088" spans="1:14" ht="40.5" customHeight="1">
      <c r="A1088" s="19" t="s">
        <v>11458</v>
      </c>
      <c r="B1088" s="19" t="s">
        <v>11462</v>
      </c>
      <c r="C1088" s="4" t="s">
        <v>1102</v>
      </c>
      <c r="D1088" s="4" t="s">
        <v>1102</v>
      </c>
      <c r="E1088" s="4" t="s">
        <v>3204</v>
      </c>
      <c r="F1088" s="198" t="s">
        <v>73</v>
      </c>
      <c r="G1088" s="198"/>
      <c r="H1088" s="198" t="s">
        <v>2272</v>
      </c>
      <c r="I1088" s="198" t="s">
        <v>2272</v>
      </c>
      <c r="J1088" s="4" t="s">
        <v>2272</v>
      </c>
      <c r="K1088" s="4" t="s">
        <v>2272</v>
      </c>
      <c r="L1088" s="198">
        <v>1</v>
      </c>
      <c r="M1088" s="4" t="s">
        <v>11468</v>
      </c>
      <c r="N1088" s="4" t="s">
        <v>11469</v>
      </c>
    </row>
    <row r="1089" spans="1:14" ht="40.5" customHeight="1">
      <c r="A1089" s="19" t="s">
        <v>11458</v>
      </c>
      <c r="B1089" s="19" t="s">
        <v>11463</v>
      </c>
      <c r="C1089" s="4" t="s">
        <v>23</v>
      </c>
      <c r="D1089" s="198" t="s">
        <v>4157</v>
      </c>
      <c r="E1089" s="4" t="s">
        <v>860</v>
      </c>
      <c r="F1089" s="198" t="s">
        <v>73</v>
      </c>
      <c r="G1089" s="198"/>
      <c r="H1089" s="198">
        <v>0</v>
      </c>
      <c r="I1089" s="198" t="s">
        <v>11471</v>
      </c>
      <c r="J1089" s="4" t="s">
        <v>2272</v>
      </c>
      <c r="K1089" s="4" t="s">
        <v>2272</v>
      </c>
      <c r="L1089" s="4" t="s">
        <v>2272</v>
      </c>
      <c r="M1089" s="4" t="s">
        <v>2272</v>
      </c>
      <c r="N1089" s="4" t="s">
        <v>11469</v>
      </c>
    </row>
    <row r="1090" spans="1:14" ht="40.5" customHeight="1">
      <c r="A1090" s="19" t="s">
        <v>11458</v>
      </c>
      <c r="B1090" s="19" t="s">
        <v>11464</v>
      </c>
      <c r="C1090" s="4" t="s">
        <v>23</v>
      </c>
      <c r="D1090" s="198" t="s">
        <v>24</v>
      </c>
      <c r="E1090" s="4" t="s">
        <v>2272</v>
      </c>
      <c r="F1090" s="198" t="s">
        <v>54</v>
      </c>
      <c r="G1090" s="198"/>
      <c r="H1090" s="198">
        <v>0</v>
      </c>
      <c r="I1090" s="198" t="s">
        <v>11471</v>
      </c>
      <c r="J1090" s="4" t="s">
        <v>2272</v>
      </c>
      <c r="K1090" s="4" t="s">
        <v>2272</v>
      </c>
      <c r="L1090" s="4" t="s">
        <v>2272</v>
      </c>
      <c r="M1090" s="4" t="s">
        <v>2272</v>
      </c>
      <c r="N1090" s="4" t="s">
        <v>11469</v>
      </c>
    </row>
    <row r="1091" spans="1:14" ht="42.5" customHeight="1">
      <c r="A1091" s="19" t="s">
        <v>11458</v>
      </c>
      <c r="B1091" s="19" t="s">
        <v>11465</v>
      </c>
      <c r="C1091" s="4" t="s">
        <v>1102</v>
      </c>
      <c r="D1091" s="4" t="s">
        <v>1102</v>
      </c>
      <c r="E1091" s="4" t="s">
        <v>860</v>
      </c>
      <c r="F1091" s="198" t="s">
        <v>73</v>
      </c>
      <c r="G1091" s="198"/>
      <c r="H1091" s="198" t="s">
        <v>2272</v>
      </c>
      <c r="I1091" s="198" t="s">
        <v>2272</v>
      </c>
      <c r="J1091" s="198">
        <v>0</v>
      </c>
      <c r="K1091" s="4" t="s">
        <v>11470</v>
      </c>
      <c r="L1091" s="4" t="s">
        <v>2272</v>
      </c>
      <c r="M1091" s="4" t="s">
        <v>2272</v>
      </c>
      <c r="N1091" s="4" t="s">
        <v>11469</v>
      </c>
    </row>
    <row r="1092" spans="1:14" ht="40.5" customHeight="1">
      <c r="A1092" s="19" t="s">
        <v>11489</v>
      </c>
      <c r="B1092" s="19" t="s">
        <v>11493</v>
      </c>
      <c r="C1092" s="198" t="s">
        <v>23</v>
      </c>
      <c r="D1092" s="198" t="s">
        <v>2272</v>
      </c>
      <c r="E1092" s="4" t="s">
        <v>394</v>
      </c>
      <c r="F1092" s="198" t="s">
        <v>27</v>
      </c>
      <c r="G1092" s="198"/>
      <c r="H1092" s="198">
        <v>1</v>
      </c>
      <c r="I1092" s="4" t="s">
        <v>11506</v>
      </c>
      <c r="J1092" s="4" t="s">
        <v>2272</v>
      </c>
      <c r="K1092" s="4" t="s">
        <v>2272</v>
      </c>
      <c r="L1092" s="4" t="s">
        <v>2272</v>
      </c>
      <c r="M1092" s="4" t="s">
        <v>2272</v>
      </c>
      <c r="N1092" s="198"/>
    </row>
    <row r="1093" spans="1:14" ht="40.5" customHeight="1">
      <c r="A1093" s="19" t="s">
        <v>11489</v>
      </c>
      <c r="B1093" s="19" t="s">
        <v>11495</v>
      </c>
      <c r="C1093" s="198" t="s">
        <v>23</v>
      </c>
      <c r="D1093" s="198" t="s">
        <v>24</v>
      </c>
      <c r="E1093" s="4" t="s">
        <v>44</v>
      </c>
      <c r="F1093" s="198" t="s">
        <v>28</v>
      </c>
      <c r="G1093" s="198"/>
      <c r="H1093" s="198">
        <v>1</v>
      </c>
      <c r="I1093" s="4" t="s">
        <v>11506</v>
      </c>
      <c r="J1093" s="4" t="s">
        <v>2272</v>
      </c>
      <c r="K1093" s="4" t="s">
        <v>2272</v>
      </c>
      <c r="L1093" s="4" t="s">
        <v>2272</v>
      </c>
      <c r="M1093" s="4" t="s">
        <v>2272</v>
      </c>
      <c r="N1093" s="198"/>
    </row>
    <row r="1094" spans="1:14" ht="40.5" customHeight="1">
      <c r="A1094" s="19" t="s">
        <v>11489</v>
      </c>
      <c r="B1094" s="19" t="s">
        <v>11496</v>
      </c>
      <c r="C1094" s="198" t="s">
        <v>23</v>
      </c>
      <c r="D1094" s="198" t="s">
        <v>1238</v>
      </c>
      <c r="E1094" s="4" t="s">
        <v>114</v>
      </c>
      <c r="F1094" s="4" t="s">
        <v>2657</v>
      </c>
      <c r="G1094" s="198"/>
      <c r="H1094" s="198">
        <v>1</v>
      </c>
      <c r="I1094" s="4" t="s">
        <v>11504</v>
      </c>
      <c r="J1094" s="4">
        <v>1</v>
      </c>
      <c r="K1094" s="4" t="s">
        <v>11504</v>
      </c>
      <c r="L1094" s="4" t="s">
        <v>2272</v>
      </c>
      <c r="M1094" s="4" t="s">
        <v>2272</v>
      </c>
      <c r="N1094" s="198"/>
    </row>
    <row r="1095" spans="1:14" ht="40.5" customHeight="1">
      <c r="A1095" s="19" t="s">
        <v>11489</v>
      </c>
      <c r="B1095" s="19" t="s">
        <v>11497</v>
      </c>
      <c r="C1095" s="4" t="s">
        <v>1102</v>
      </c>
      <c r="D1095" s="4" t="s">
        <v>1102</v>
      </c>
      <c r="E1095" s="4" t="s">
        <v>3204</v>
      </c>
      <c r="F1095" s="4" t="s">
        <v>2657</v>
      </c>
      <c r="G1095" s="198"/>
      <c r="H1095" s="4" t="s">
        <v>2272</v>
      </c>
      <c r="I1095" s="4" t="s">
        <v>2272</v>
      </c>
      <c r="J1095" s="198">
        <v>0</v>
      </c>
      <c r="K1095" s="4" t="s">
        <v>11503</v>
      </c>
      <c r="L1095" s="4" t="s">
        <v>2272</v>
      </c>
      <c r="M1095" s="4" t="s">
        <v>2272</v>
      </c>
      <c r="N1095" s="198"/>
    </row>
  </sheetData>
  <autoFilter ref="A1:A711" xr:uid="{D51B2D5E-D687-4BEF-AD8D-C0C0A4AF7AEF}"/>
  <phoneticPr fontId="6" type="noConversion"/>
  <dataValidations xWindow="966" yWindow="503" count="9">
    <dataValidation allowBlank="1" showInputMessage="1" showErrorMessage="1" prompt="The same as Case study ID in Record Info" sqref="B57:B62 A1:A202 B227:B228 A225:A231 B238:B239 B251:B255 B268:B279 A234:A286 A302:A304 F307:G308 G309:G311 B307:C308 B315:B322 A307:A322 B333:B334 B337:B348 B355:B357 A519:A522 A417:A465 B373:B376 B383:B384 A331:A399 G589 A550:A594 B1088:B1095 C722:C729 E722:F729 B758:B763 B767:B770 B779:B782 B788:B796 B800:B801 B803:B805 B807:B815 B818:B831 A715:A831 A843:A849 A875:A878 B889:B892 A885:A900 B905:B906 A905:A943 B975:B980 B983:B984 B987 B998:B1002 B1013:B1017 A963:A1017 B1026:B1028 B1034 B1037:B1040 B1044:B1051 B1070:B1072 A1026: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9:B591 B715:B729 B735:B757 B764:B766 B771:B778 B783:B787 B797:B799 B802 B806 B816:B817 B843:B849 B876:B878 B885:B888 B893:B900 B907:B943 B963:B974 B981:B982 B985:B986 B988:B997 B1003:B1012 B1029:B1033 B1035:B1036 B1041:B1043 B1052:B1053 B1066:B1069 B1073:B1087 B1096:B1048576" xr:uid="{6A6EF5BA-79F7-4B26-8190-9E5956E67713}"/>
    <dataValidation type="whole" allowBlank="1" showInputMessage="1" showErrorMessage="1" prompt="Blank if refers to all study years" sqref="G55:G88 G106:G246 G1:G43 G513:G588 G590:G917 G920:G931 G933:G952 G312:G508 G956:G1048576 G302:G304 G251:G301"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45:B714 B592:B594 B1054:B1065 B730:B734 B875 B957:B958 B501:B518"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95:B644 A523:A549 B498:B500 A466:B496 A595:A714 A1018:B1025 A832:B842 A850:B874 A879:B884 A901:B904 A944:B956 A497:A515"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9:G510 G512" xr:uid="{2CCE6A99-02B7-46C3-9C1F-DBE23BEB1FEE}">
      <formula1>1900</formula1>
      <formula2>2020</formula2>
    </dataValidation>
    <dataValidation allowBlank="1" showInputMessage="1" showErrorMessage="1" prompt="The same as Case study ID in Record Info_x000a_" sqref="A516:A518 A400 A403 A957:A962 B959:B962"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66" yWindow="503" count="15">
        <x14:dataValidation type="list" allowBlank="1" showInputMessage="1" showErrorMessage="1" xr:uid="{B63E25C7-F911-439D-9F0A-9A77154F1872}">
          <x14:formula1>
            <xm:f>'IGNORE Lookups'!$E$3:$E$9</xm:f>
          </x14:formula1>
          <xm:sqref>C1:C64 C78:C90 C109:C111 C187:C246 C331:C332 C268:C301 C256:C265 C115:C182 C389:C404 C417:C508 C337:C376 F390:F391 F393 F395 F397 C410:C412 C876:C892 F413:F414 C894 C901:C904 C569:C571 C559:C567 C573 C575 C577 C579 C581:C584 C586:C587 C511 C1070:C1048576 C595:C721 C957:C969 C730:C770 C775:C777 C779 C974:C1053 E820 E969 C911:C952 C783:C874</xm:sqref>
        </x14:dataValidation>
        <x14:dataValidation type="list" allowBlank="1" showInputMessage="1" showErrorMessage="1" xr:uid="{AAF9C4C1-09FE-4569-A9E5-AD024FF08D29}">
          <x14:formula1>
            <xm:f>'IGNORE Lookups'!$G$3:$G$10</xm:f>
          </x14:formula1>
          <xm:sqref>F1:F53 F56:F301 F305:F306 F309:F312 F323:F324 F415:F508 H562:I562 F392 F396 F394 F398:F404 F408 F410:F412 F389 F331:F376 F994:F1048576 I645:I713 G511 F559:F721 K712:M714 H645:H711 J712:J713 G953:G955 F730:F958 F963:F982 F985:F987 F991</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L32:L296 I307 M307:M308 K308 M311:M313 K311:K313 K315 M315 K321:M321 K317:M317 L318:L320 M330:M336 I323:I324 K319 M319 K333:K335 M323:M324 I329:I332 K329 K343:K348 I343:I348 M349 K351 M352:M353 I351 K354:K355 I354:I355 M358:M360 K358:K365 I361:I364 M365:M369 K367:K372 J490:J496 M373:M376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M1054:M1067 H463:H464 L322:L376 I372:I376 L559:L561 H559:H561 K563:M563 K564 I566 I568:I589 K590:K594 H563:H644 J511 J529 K715:K720 J714:J886 I721:I740 K741 I752:I754 K743:K750 I743:I745 M746:M755 K756:K757 M758:M770 K767:K770 I757:I762 I773:I774 I778 K773:K777 I780:I782 M775:M779 K779 K783:K794 I785:I787 M783:M784 I795:I796 M788:M789 I790:I792 M793:M795 M797:M806 I799:I801 K807 M811:M843 I803:I816 I818:I824 I828:I830 K844 I832:I849 K846:K849 I875 M850:M885 I877:I884 K885 I887:J887 I888 M887:M891 K891 I892:I893 M893:M895 M898:M905 K896:K897 J559:J711 L564:M711 M715:M741 K907:K908 K912 I895:I924 G918:G919 M922:M923 M911:M918 K920:K922 M925:M929 K924:K926 J888:J932 I935:I943 H712:H932 M934:M939 I927:I932 H933:J933 M942 H934:I934 K940:K941 K943:K955 I955:I958 K958:K963 M944:M955 M957 M959:M962 K965 M965:M968 I963:I964 I966:I967 I969 M970:M974 K969:K978 M986:M989 M979:M980 M982 K983:K985 K990 M991 K1002:K1005 M993 M995:M996 K1011 M1015:M1017 K1007 K1009 K1014 M998:M1002 K1018:K1025 M1026:M1028 K1029 M1039:M1049 K1034 M1036 M1052 I975:I1043 K1044:K1049 L501:L508 I1052:I1053 I1066:I1069 K1054:K1065 H500:H508 I1072:I1084 M1070:M1072 K1079:K1083 I1086 M1084:M1087 K1085 K1087:K1090 I1088 I1091 K1092:K1093 L715:L1048576 J934:J1048576 H935:H1048576 I1095 M1089:M1095 H141:H376 L304:M304 K297:M303 J1:J376 K304:K306 L305:L316</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C589:C594 C875 C953:C956 C970:C973 C1054:C1069</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C771:C774 C778 C780:C782 F992:F993 E959:F962 F988:F990 C572 C568 C574 C576 C578 C580 C585 C588 C893 C895:C900 C905:C910 E980 E1087 F983:F984 E927:E928 E302:E304 D1:D301 D305:D1048576</xm:sqref>
        </x14:dataValidation>
        <x14:dataValidation type="list" allowBlank="1" showInputMessage="1" showErrorMessage="1" xr:uid="{9FD56368-611F-424A-BF9F-CC9F55131B81}">
          <x14:formula1>
            <xm:f>'IGNORE Lookups'!$C$23:$C$45</xm:f>
          </x14:formula1>
          <xm:sqref>E415:E508 E378 E380 E382 E384 E386 E410:E412 E388:E408 E511 E559:E721 E730:E819 E821:E926 E929:E958 E963:E968 E970:E979 E981:E1086 E1088:E1048576 D302:D304 E1:E301 E305:E376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J499:J508 M392 M394 M377:M378 M381:M389 E516:F516 E377 E379 E381 E383 E385 E387 L377:L390 I389:I408 C377:C388 C405:C409 F377:F388 M396 F405:F407 E409:F409 C413:C416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L557:L558 I499 K500:K508 J464:M464 J497 E490:E496 H465:H499 I465:I497 J465:J489 L465:M497 E509:E510 L509:M511 M512:M513 F512:F513 F517:F518 H509:I518 H523 H527 H525 H529:H531 H533:H535 H537 H539 H541:H542 H544 H546 H548:H549 H551:H556 H558 J554:J555 J549:J550 J542:J547 J534:J540 J530:J532 J523:J528 J512:J518 L516:L518 L524 L526 L528:L529 L532:L533 L536 L538 L540:L541 L545 L543 L547:L548 L550:L551 L500 M500:M508</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E517:E558 C514 C523:C551 E512:E515 L542 L562 C512 L546 J519:J522 F519:F558 H557 C509:C510 L549 L552:L556 J533 F514:F515 H519:H522 H526 H524 H528 H532 H536 H538 H540 H543 H545 H547 H550 J556:J558 J551:J553 J548 J541 L514:L515 L519:L523 L525 L527 L530:L531 L534:L535 L537 L539 L544 C556:C558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C553 C555</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C513 C515</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L512:L513 F509:F511 J509:J510 K512</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C516:C522</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E517:E518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67"/>
  <sheetViews>
    <sheetView zoomScale="55" zoomScaleNormal="55" workbookViewId="0">
      <pane ySplit="1" topLeftCell="A885" activePane="bottomLeft" state="frozen"/>
      <selection pane="bottomLeft" activeCell="H906" sqref="H906"/>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56"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78" t="s">
        <v>2260</v>
      </c>
      <c r="B1" s="15" t="s">
        <v>1158</v>
      </c>
      <c r="C1" s="2" t="s">
        <v>6</v>
      </c>
      <c r="D1" s="2" t="s">
        <v>7</v>
      </c>
      <c r="E1" s="2" t="s">
        <v>2281</v>
      </c>
      <c r="F1" s="2" t="s">
        <v>117</v>
      </c>
      <c r="G1" s="2" t="s">
        <v>1083</v>
      </c>
      <c r="H1" s="15" t="s">
        <v>534</v>
      </c>
      <c r="I1" s="2" t="s">
        <v>603</v>
      </c>
      <c r="J1" s="15" t="s">
        <v>604</v>
      </c>
      <c r="K1" s="15" t="s">
        <v>605</v>
      </c>
      <c r="L1" s="15" t="s">
        <v>606</v>
      </c>
      <c r="M1" s="15" t="s">
        <v>523</v>
      </c>
      <c r="N1" s="15" t="s">
        <v>526</v>
      </c>
      <c r="O1" s="15" t="s">
        <v>527</v>
      </c>
      <c r="P1" s="15" t="s">
        <v>528</v>
      </c>
      <c r="Q1" s="15" t="s">
        <v>1248</v>
      </c>
      <c r="R1" s="2" t="s">
        <v>524</v>
      </c>
      <c r="S1" s="2" t="s">
        <v>529</v>
      </c>
      <c r="T1" s="2" t="s">
        <v>530</v>
      </c>
      <c r="U1" s="2" t="s">
        <v>531</v>
      </c>
      <c r="V1" s="15" t="s">
        <v>1247</v>
      </c>
      <c r="W1" s="16" t="s">
        <v>0</v>
      </c>
    </row>
    <row r="2" spans="1:23">
      <c r="A2" s="6" t="s">
        <v>14</v>
      </c>
      <c r="B2" s="6" t="s">
        <v>39</v>
      </c>
      <c r="C2" s="6" t="s">
        <v>23</v>
      </c>
      <c r="D2" s="6" t="s">
        <v>24</v>
      </c>
      <c r="E2" s="62"/>
      <c r="F2" s="6" t="s">
        <v>28</v>
      </c>
      <c r="G2" s="6"/>
      <c r="H2" s="6"/>
      <c r="I2" s="6" t="s">
        <v>2272</v>
      </c>
      <c r="J2" s="6" t="s">
        <v>2272</v>
      </c>
      <c r="K2" s="6" t="s">
        <v>2272</v>
      </c>
      <c r="L2" s="6" t="s">
        <v>2272</v>
      </c>
      <c r="M2" s="176" t="s">
        <v>532</v>
      </c>
      <c r="N2" s="6" t="s">
        <v>2272</v>
      </c>
      <c r="O2" s="6" t="s">
        <v>2272</v>
      </c>
      <c r="P2" s="6" t="s">
        <v>2272</v>
      </c>
      <c r="Q2" s="6">
        <v>2</v>
      </c>
      <c r="R2" s="6" t="s">
        <v>2272</v>
      </c>
      <c r="S2" s="6" t="s">
        <v>2272</v>
      </c>
      <c r="T2" s="6" t="s">
        <v>2272</v>
      </c>
      <c r="U2" s="6" t="s">
        <v>2272</v>
      </c>
      <c r="V2" s="44" t="s">
        <v>2272</v>
      </c>
      <c r="W2" s="5"/>
    </row>
    <row r="3" spans="1:23">
      <c r="A3" s="4" t="s">
        <v>14</v>
      </c>
      <c r="B3" s="4" t="s">
        <v>40</v>
      </c>
      <c r="C3" s="4" t="s">
        <v>23</v>
      </c>
      <c r="D3" s="4" t="s">
        <v>25</v>
      </c>
      <c r="E3" s="54"/>
      <c r="F3" s="4" t="s">
        <v>28</v>
      </c>
      <c r="G3" s="4"/>
      <c r="H3" s="4"/>
      <c r="I3" s="4" t="s">
        <v>2272</v>
      </c>
      <c r="J3" s="4" t="s">
        <v>2272</v>
      </c>
      <c r="K3" s="4" t="s">
        <v>2272</v>
      </c>
      <c r="L3" s="4" t="s">
        <v>2272</v>
      </c>
      <c r="M3" s="4" t="s">
        <v>535</v>
      </c>
      <c r="N3" s="4" t="s">
        <v>2272</v>
      </c>
      <c r="O3" s="4" t="s">
        <v>2272</v>
      </c>
      <c r="P3" s="4" t="s">
        <v>2272</v>
      </c>
      <c r="Q3" s="4">
        <v>1</v>
      </c>
      <c r="R3" s="4" t="s">
        <v>2272</v>
      </c>
      <c r="S3" s="4" t="s">
        <v>2272</v>
      </c>
      <c r="T3" s="4" t="s">
        <v>2272</v>
      </c>
      <c r="U3" s="4" t="s">
        <v>2272</v>
      </c>
      <c r="V3" s="45" t="s">
        <v>2272</v>
      </c>
      <c r="W3" s="3"/>
    </row>
    <row r="4" spans="1:23">
      <c r="A4" s="4" t="s">
        <v>14</v>
      </c>
      <c r="B4" s="4" t="s">
        <v>41</v>
      </c>
      <c r="C4" s="4" t="s">
        <v>23</v>
      </c>
      <c r="D4" s="4" t="s">
        <v>26</v>
      </c>
      <c r="E4" s="54"/>
      <c r="F4" s="4" t="s">
        <v>27</v>
      </c>
      <c r="G4" s="4"/>
      <c r="H4" s="4"/>
      <c r="I4" s="4" t="s">
        <v>2272</v>
      </c>
      <c r="J4" s="4" t="s">
        <v>2272</v>
      </c>
      <c r="K4" s="4" t="s">
        <v>2272</v>
      </c>
      <c r="L4" s="4" t="s">
        <v>2272</v>
      </c>
      <c r="M4" s="4" t="s">
        <v>2272</v>
      </c>
      <c r="N4" s="4" t="s">
        <v>2272</v>
      </c>
      <c r="O4" s="4" t="s">
        <v>2272</v>
      </c>
      <c r="P4" s="4" t="s">
        <v>2272</v>
      </c>
      <c r="Q4" s="4" t="s">
        <v>2272</v>
      </c>
      <c r="R4" s="4" t="s">
        <v>2272</v>
      </c>
      <c r="S4" s="4" t="s">
        <v>2272</v>
      </c>
      <c r="T4" s="4" t="s">
        <v>2272</v>
      </c>
      <c r="U4" s="4" t="s">
        <v>2272</v>
      </c>
      <c r="V4" s="45" t="s">
        <v>2272</v>
      </c>
      <c r="W4" s="3"/>
    </row>
    <row r="5" spans="1:23">
      <c r="A5" s="4" t="s">
        <v>14</v>
      </c>
      <c r="B5" s="4" t="s">
        <v>42</v>
      </c>
      <c r="C5" s="4" t="s">
        <v>30</v>
      </c>
      <c r="D5" s="4" t="s">
        <v>29</v>
      </c>
      <c r="E5" s="54"/>
      <c r="F5" s="4" t="s">
        <v>31</v>
      </c>
      <c r="G5" s="4"/>
      <c r="H5" s="4"/>
      <c r="I5" s="4" t="s">
        <v>2272</v>
      </c>
      <c r="J5" s="4" t="s">
        <v>2272</v>
      </c>
      <c r="K5" s="4" t="s">
        <v>2272</v>
      </c>
      <c r="L5" s="4" t="s">
        <v>2272</v>
      </c>
      <c r="M5" s="4" t="s">
        <v>2272</v>
      </c>
      <c r="N5" s="4" t="s">
        <v>2272</v>
      </c>
      <c r="O5" s="4" t="s">
        <v>2272</v>
      </c>
      <c r="P5" s="4" t="s">
        <v>2272</v>
      </c>
      <c r="Q5" s="4" t="s">
        <v>2272</v>
      </c>
      <c r="R5" s="4" t="s">
        <v>2272</v>
      </c>
      <c r="S5" s="4" t="s">
        <v>2272</v>
      </c>
      <c r="T5" s="4" t="s">
        <v>2272</v>
      </c>
      <c r="U5" s="4" t="s">
        <v>2272</v>
      </c>
      <c r="V5" s="45" t="s">
        <v>2272</v>
      </c>
      <c r="W5" s="3"/>
    </row>
    <row r="6" spans="1:23">
      <c r="A6" s="4" t="s">
        <v>14</v>
      </c>
      <c r="B6" s="4" t="s">
        <v>43</v>
      </c>
      <c r="C6" s="4" t="s">
        <v>23</v>
      </c>
      <c r="D6" s="4" t="s">
        <v>32</v>
      </c>
      <c r="E6" s="54"/>
      <c r="F6" s="4" t="s">
        <v>31</v>
      </c>
      <c r="G6" s="4"/>
      <c r="H6" s="4"/>
      <c r="I6" s="4" t="s">
        <v>2272</v>
      </c>
      <c r="J6" s="4" t="s">
        <v>2272</v>
      </c>
      <c r="K6" s="4" t="s">
        <v>2272</v>
      </c>
      <c r="L6" s="4" t="s">
        <v>2272</v>
      </c>
      <c r="M6" s="4" t="s">
        <v>2272</v>
      </c>
      <c r="N6" s="4" t="s">
        <v>2272</v>
      </c>
      <c r="O6" s="4" t="s">
        <v>2272</v>
      </c>
      <c r="P6" s="4" t="s">
        <v>2272</v>
      </c>
      <c r="Q6" s="4" t="s">
        <v>2272</v>
      </c>
      <c r="R6" s="4" t="s">
        <v>2272</v>
      </c>
      <c r="S6" s="4" t="s">
        <v>2272</v>
      </c>
      <c r="T6" s="4" t="s">
        <v>2272</v>
      </c>
      <c r="U6" s="4" t="s">
        <v>2272</v>
      </c>
      <c r="V6" s="45" t="s">
        <v>2272</v>
      </c>
      <c r="W6" s="3"/>
    </row>
    <row r="7" spans="1:23">
      <c r="A7" s="4" t="s">
        <v>14</v>
      </c>
      <c r="B7" s="4" t="s">
        <v>59</v>
      </c>
      <c r="C7" s="4" t="s">
        <v>23</v>
      </c>
      <c r="D7" s="4" t="s">
        <v>60</v>
      </c>
      <c r="E7" s="54"/>
      <c r="F7" s="4" t="s">
        <v>61</v>
      </c>
      <c r="G7" s="4"/>
      <c r="H7" s="4"/>
      <c r="I7" s="4" t="s">
        <v>2272</v>
      </c>
      <c r="J7" s="4" t="s">
        <v>2272</v>
      </c>
      <c r="K7" s="4" t="s">
        <v>2272</v>
      </c>
      <c r="L7" s="4" t="s">
        <v>2272</v>
      </c>
      <c r="M7" s="4" t="s">
        <v>2272</v>
      </c>
      <c r="N7" s="4" t="s">
        <v>2272</v>
      </c>
      <c r="O7" s="4" t="s">
        <v>2272</v>
      </c>
      <c r="P7" s="4" t="s">
        <v>2272</v>
      </c>
      <c r="Q7" s="4" t="s">
        <v>2272</v>
      </c>
      <c r="R7" s="4" t="s">
        <v>2272</v>
      </c>
      <c r="S7" s="4" t="s">
        <v>2272</v>
      </c>
      <c r="T7" s="4" t="s">
        <v>2272</v>
      </c>
      <c r="U7" s="4" t="s">
        <v>2272</v>
      </c>
      <c r="V7" s="45" t="s">
        <v>2272</v>
      </c>
      <c r="W7" s="3"/>
    </row>
    <row r="8" spans="1:23">
      <c r="A8" s="19" t="s">
        <v>15</v>
      </c>
      <c r="B8" s="19" t="s">
        <v>45</v>
      </c>
      <c r="C8" s="19" t="s">
        <v>23</v>
      </c>
      <c r="D8" s="19" t="s">
        <v>24</v>
      </c>
      <c r="E8" s="54"/>
      <c r="F8" s="19" t="s">
        <v>28</v>
      </c>
      <c r="G8" s="19"/>
      <c r="H8" s="19"/>
      <c r="I8" s="19" t="s">
        <v>2272</v>
      </c>
      <c r="J8" s="19" t="s">
        <v>2272</v>
      </c>
      <c r="K8" s="19" t="s">
        <v>2272</v>
      </c>
      <c r="L8" s="19" t="s">
        <v>2272</v>
      </c>
      <c r="M8" s="19" t="s">
        <v>2272</v>
      </c>
      <c r="N8" s="19" t="s">
        <v>2272</v>
      </c>
      <c r="O8" s="19" t="s">
        <v>2272</v>
      </c>
      <c r="P8" s="19" t="s">
        <v>2272</v>
      </c>
      <c r="Q8" s="19" t="s">
        <v>2272</v>
      </c>
      <c r="R8" s="19" t="s">
        <v>2272</v>
      </c>
      <c r="S8" s="19" t="s">
        <v>2272</v>
      </c>
      <c r="T8" s="19" t="s">
        <v>2272</v>
      </c>
      <c r="U8" s="19" t="s">
        <v>2272</v>
      </c>
      <c r="V8" s="46" t="s">
        <v>2272</v>
      </c>
      <c r="W8" s="3"/>
    </row>
    <row r="9" spans="1:23">
      <c r="A9" s="19" t="s">
        <v>16</v>
      </c>
      <c r="B9" s="19" t="s">
        <v>46</v>
      </c>
      <c r="C9" s="19" t="s">
        <v>23</v>
      </c>
      <c r="D9" s="19" t="s">
        <v>26</v>
      </c>
      <c r="E9" s="54"/>
      <c r="F9" s="19" t="s">
        <v>27</v>
      </c>
      <c r="G9" s="19"/>
      <c r="H9" s="19"/>
      <c r="I9" s="19" t="s">
        <v>2272</v>
      </c>
      <c r="J9" s="19" t="s">
        <v>2272</v>
      </c>
      <c r="K9" s="19" t="s">
        <v>2272</v>
      </c>
      <c r="L9" s="19" t="s">
        <v>2272</v>
      </c>
      <c r="M9" s="19" t="s">
        <v>2272</v>
      </c>
      <c r="N9" s="19" t="s">
        <v>2272</v>
      </c>
      <c r="O9" s="19" t="s">
        <v>2272</v>
      </c>
      <c r="P9" s="19" t="s">
        <v>2272</v>
      </c>
      <c r="Q9" s="19" t="s">
        <v>2272</v>
      </c>
      <c r="R9" s="19" t="s">
        <v>2272</v>
      </c>
      <c r="S9" s="19" t="s">
        <v>2272</v>
      </c>
      <c r="T9" s="19" t="s">
        <v>2272</v>
      </c>
      <c r="U9" s="19" t="s">
        <v>2272</v>
      </c>
      <c r="V9" s="46" t="s">
        <v>2272</v>
      </c>
      <c r="W9" s="3"/>
    </row>
    <row r="10" spans="1:23">
      <c r="A10" s="19" t="s">
        <v>17</v>
      </c>
      <c r="B10" s="19" t="s">
        <v>50</v>
      </c>
      <c r="C10" s="19" t="s">
        <v>23</v>
      </c>
      <c r="D10" s="19" t="s">
        <v>24</v>
      </c>
      <c r="E10" s="54"/>
      <c r="F10" s="19" t="s">
        <v>28</v>
      </c>
      <c r="G10" s="19"/>
      <c r="H10" s="19"/>
      <c r="I10" s="19" t="s">
        <v>2272</v>
      </c>
      <c r="J10" s="19" t="s">
        <v>2272</v>
      </c>
      <c r="K10" s="19" t="s">
        <v>2272</v>
      </c>
      <c r="L10" s="19" t="s">
        <v>2272</v>
      </c>
      <c r="M10" s="19" t="s">
        <v>2272</v>
      </c>
      <c r="N10" s="19" t="s">
        <v>2272</v>
      </c>
      <c r="O10" s="19" t="s">
        <v>2272</v>
      </c>
      <c r="P10" s="19" t="s">
        <v>2272</v>
      </c>
      <c r="Q10" s="19" t="s">
        <v>2272</v>
      </c>
      <c r="R10" s="19" t="s">
        <v>2272</v>
      </c>
      <c r="S10" s="19" t="s">
        <v>2272</v>
      </c>
      <c r="T10" s="19" t="s">
        <v>2272</v>
      </c>
      <c r="U10" s="19" t="s">
        <v>2272</v>
      </c>
      <c r="V10" s="46" t="s">
        <v>2272</v>
      </c>
      <c r="W10" s="3"/>
    </row>
    <row r="11" spans="1:23">
      <c r="A11" s="4" t="s">
        <v>18</v>
      </c>
      <c r="B11" s="4" t="s">
        <v>52</v>
      </c>
      <c r="C11" s="4" t="s">
        <v>23</v>
      </c>
      <c r="D11" s="4" t="s">
        <v>24</v>
      </c>
      <c r="E11" s="54"/>
      <c r="F11" s="4" t="s">
        <v>28</v>
      </c>
      <c r="G11" s="4"/>
      <c r="H11" s="4"/>
      <c r="I11" s="4" t="s">
        <v>2272</v>
      </c>
      <c r="J11" s="4" t="s">
        <v>2272</v>
      </c>
      <c r="K11" s="4" t="s">
        <v>2272</v>
      </c>
      <c r="L11" s="4" t="s">
        <v>2272</v>
      </c>
      <c r="M11" s="4" t="s">
        <v>2272</v>
      </c>
      <c r="N11" s="4" t="s">
        <v>2272</v>
      </c>
      <c r="O11" s="4" t="s">
        <v>2272</v>
      </c>
      <c r="P11" s="4" t="s">
        <v>2272</v>
      </c>
      <c r="Q11" s="4" t="s">
        <v>2272</v>
      </c>
      <c r="R11" s="4" t="s">
        <v>2272</v>
      </c>
      <c r="S11" s="4" t="s">
        <v>2272</v>
      </c>
      <c r="T11" s="4" t="s">
        <v>2272</v>
      </c>
      <c r="U11" s="4" t="s">
        <v>2272</v>
      </c>
      <c r="V11" s="45" t="s">
        <v>2272</v>
      </c>
      <c r="W11" s="3"/>
    </row>
    <row r="12" spans="1:23">
      <c r="A12" s="4" t="s">
        <v>18</v>
      </c>
      <c r="B12" s="4" t="s">
        <v>53</v>
      </c>
      <c r="C12" s="4" t="s">
        <v>23</v>
      </c>
      <c r="D12" s="4" t="s">
        <v>135</v>
      </c>
      <c r="E12" s="54"/>
      <c r="F12" s="4" t="s">
        <v>54</v>
      </c>
      <c r="G12" s="4"/>
      <c r="H12" s="4"/>
      <c r="I12" s="4" t="s">
        <v>2272</v>
      </c>
      <c r="J12" s="4" t="s">
        <v>2272</v>
      </c>
      <c r="K12" s="4" t="s">
        <v>2272</v>
      </c>
      <c r="L12" s="4" t="s">
        <v>2272</v>
      </c>
      <c r="M12" s="4" t="s">
        <v>2272</v>
      </c>
      <c r="N12" s="4" t="s">
        <v>2272</v>
      </c>
      <c r="O12" s="4" t="s">
        <v>2272</v>
      </c>
      <c r="P12" s="4" t="s">
        <v>2272</v>
      </c>
      <c r="Q12" s="4" t="s">
        <v>2272</v>
      </c>
      <c r="R12" s="4" t="s">
        <v>2272</v>
      </c>
      <c r="S12" s="4" t="s">
        <v>2272</v>
      </c>
      <c r="T12" s="4" t="s">
        <v>2272</v>
      </c>
      <c r="U12" s="4" t="s">
        <v>2272</v>
      </c>
      <c r="V12" s="45" t="s">
        <v>2272</v>
      </c>
      <c r="W12" s="3"/>
    </row>
    <row r="13" spans="1:23">
      <c r="A13" s="26" t="s">
        <v>70</v>
      </c>
      <c r="B13" s="26" t="s">
        <v>72</v>
      </c>
      <c r="C13" s="26" t="s">
        <v>23</v>
      </c>
      <c r="D13" s="26" t="s">
        <v>26</v>
      </c>
      <c r="E13" s="63"/>
      <c r="F13" s="26" t="s">
        <v>73</v>
      </c>
      <c r="G13" s="26"/>
      <c r="H13" s="26"/>
      <c r="I13" s="26" t="s">
        <v>2272</v>
      </c>
      <c r="J13" s="26" t="s">
        <v>2272</v>
      </c>
      <c r="K13" s="26" t="s">
        <v>2272</v>
      </c>
      <c r="L13" s="26" t="s">
        <v>2272</v>
      </c>
      <c r="M13" s="26" t="s">
        <v>2272</v>
      </c>
      <c r="N13" s="26" t="s">
        <v>2272</v>
      </c>
      <c r="O13" s="26" t="s">
        <v>2272</v>
      </c>
      <c r="P13" s="26" t="s">
        <v>2272</v>
      </c>
      <c r="Q13" s="26" t="s">
        <v>2272</v>
      </c>
      <c r="R13" s="26" t="s">
        <v>2272</v>
      </c>
      <c r="S13" s="26" t="s">
        <v>2272</v>
      </c>
      <c r="T13" s="26" t="s">
        <v>2272</v>
      </c>
      <c r="U13" s="26" t="s">
        <v>2272</v>
      </c>
      <c r="V13" s="47" t="s">
        <v>2272</v>
      </c>
      <c r="W13" s="3"/>
    </row>
    <row r="14" spans="1:23" ht="43.5">
      <c r="A14" s="3" t="s">
        <v>105</v>
      </c>
      <c r="B14" s="3" t="s">
        <v>108</v>
      </c>
      <c r="C14" s="26" t="s">
        <v>23</v>
      </c>
      <c r="D14" s="3" t="s">
        <v>2429</v>
      </c>
      <c r="E14" s="4" t="s">
        <v>394</v>
      </c>
      <c r="F14" s="3" t="s">
        <v>27</v>
      </c>
      <c r="G14" s="26"/>
      <c r="H14" s="26" t="s">
        <v>539</v>
      </c>
      <c r="I14" s="26" t="s">
        <v>2272</v>
      </c>
      <c r="J14" s="26" t="s">
        <v>2272</v>
      </c>
      <c r="K14" s="26" t="s">
        <v>2272</v>
      </c>
      <c r="L14" s="26" t="s">
        <v>2272</v>
      </c>
      <c r="M14" s="26" t="s">
        <v>2272</v>
      </c>
      <c r="N14" s="26" t="s">
        <v>2272</v>
      </c>
      <c r="O14" s="26" t="s">
        <v>2272</v>
      </c>
      <c r="P14" s="26" t="s">
        <v>2272</v>
      </c>
      <c r="Q14" s="26" t="s">
        <v>2272</v>
      </c>
      <c r="R14" s="26" t="s">
        <v>532</v>
      </c>
      <c r="S14" s="26" t="s">
        <v>2272</v>
      </c>
      <c r="T14" s="26" t="s">
        <v>2272</v>
      </c>
      <c r="U14" s="26" t="s">
        <v>2272</v>
      </c>
      <c r="V14" s="47">
        <v>2</v>
      </c>
      <c r="W14" s="4" t="s">
        <v>2430</v>
      </c>
    </row>
    <row r="15" spans="1:23" ht="43.5">
      <c r="A15" s="3" t="s">
        <v>1313</v>
      </c>
      <c r="B15" s="3" t="s">
        <v>1323</v>
      </c>
      <c r="C15" s="26" t="s">
        <v>23</v>
      </c>
      <c r="D15" s="3" t="s">
        <v>2429</v>
      </c>
      <c r="E15" s="4" t="s">
        <v>394</v>
      </c>
      <c r="F15" s="3" t="s">
        <v>27</v>
      </c>
      <c r="G15" s="26"/>
      <c r="H15" s="26" t="s">
        <v>539</v>
      </c>
      <c r="I15" s="26" t="s">
        <v>2272</v>
      </c>
      <c r="J15" s="26" t="s">
        <v>2272</v>
      </c>
      <c r="K15" s="26" t="s">
        <v>2272</v>
      </c>
      <c r="L15" s="26" t="s">
        <v>2272</v>
      </c>
      <c r="M15" s="26" t="s">
        <v>2272</v>
      </c>
      <c r="N15" s="26" t="s">
        <v>2272</v>
      </c>
      <c r="O15" s="26" t="s">
        <v>2272</v>
      </c>
      <c r="P15" s="26" t="s">
        <v>2272</v>
      </c>
      <c r="Q15" s="26" t="s">
        <v>2272</v>
      </c>
      <c r="R15" s="26" t="s">
        <v>532</v>
      </c>
      <c r="S15" s="26" t="s">
        <v>2272</v>
      </c>
      <c r="T15" s="26" t="s">
        <v>2272</v>
      </c>
      <c r="U15" s="26" t="s">
        <v>2272</v>
      </c>
      <c r="V15" s="47">
        <v>2</v>
      </c>
      <c r="W15" s="4" t="s">
        <v>2430</v>
      </c>
    </row>
    <row r="16" spans="1:23" ht="43.5">
      <c r="A16" s="3" t="s">
        <v>1314</v>
      </c>
      <c r="B16" s="3" t="s">
        <v>1336</v>
      </c>
      <c r="C16" s="26" t="s">
        <v>23</v>
      </c>
      <c r="D16" s="3" t="s">
        <v>2429</v>
      </c>
      <c r="E16" s="4" t="s">
        <v>394</v>
      </c>
      <c r="F16" s="3" t="s">
        <v>27</v>
      </c>
      <c r="G16" s="26"/>
      <c r="H16" s="26" t="s">
        <v>539</v>
      </c>
      <c r="I16" s="26" t="s">
        <v>2272</v>
      </c>
      <c r="J16" s="26" t="s">
        <v>2272</v>
      </c>
      <c r="K16" s="26" t="s">
        <v>2272</v>
      </c>
      <c r="L16" s="26" t="s">
        <v>2272</v>
      </c>
      <c r="M16" s="26" t="s">
        <v>2272</v>
      </c>
      <c r="N16" s="26" t="s">
        <v>2272</v>
      </c>
      <c r="O16" s="26" t="s">
        <v>2272</v>
      </c>
      <c r="P16" s="26" t="s">
        <v>2272</v>
      </c>
      <c r="Q16" s="26" t="s">
        <v>2272</v>
      </c>
      <c r="R16" s="26" t="s">
        <v>532</v>
      </c>
      <c r="S16" s="26" t="s">
        <v>2272</v>
      </c>
      <c r="T16" s="26" t="s">
        <v>2272</v>
      </c>
      <c r="U16" s="26" t="s">
        <v>2272</v>
      </c>
      <c r="V16" s="47">
        <v>2</v>
      </c>
      <c r="W16" s="4" t="s">
        <v>2430</v>
      </c>
    </row>
    <row r="17" spans="1:23" ht="43.5">
      <c r="A17" s="3" t="s">
        <v>1315</v>
      </c>
      <c r="B17" s="3" t="s">
        <v>1338</v>
      </c>
      <c r="C17" s="26" t="s">
        <v>23</v>
      </c>
      <c r="D17" s="3" t="s">
        <v>2429</v>
      </c>
      <c r="E17" s="4" t="s">
        <v>394</v>
      </c>
      <c r="F17" s="3" t="s">
        <v>27</v>
      </c>
      <c r="G17" s="26"/>
      <c r="H17" s="26" t="s">
        <v>539</v>
      </c>
      <c r="I17" s="26" t="s">
        <v>2272</v>
      </c>
      <c r="J17" s="26" t="s">
        <v>2272</v>
      </c>
      <c r="K17" s="26" t="s">
        <v>2272</v>
      </c>
      <c r="L17" s="26" t="s">
        <v>2272</v>
      </c>
      <c r="M17" s="26" t="s">
        <v>2272</v>
      </c>
      <c r="N17" s="26" t="s">
        <v>2272</v>
      </c>
      <c r="O17" s="26" t="s">
        <v>2272</v>
      </c>
      <c r="P17" s="26" t="s">
        <v>2272</v>
      </c>
      <c r="Q17" s="26" t="s">
        <v>2272</v>
      </c>
      <c r="R17" s="26" t="s">
        <v>532</v>
      </c>
      <c r="S17" s="26" t="s">
        <v>2272</v>
      </c>
      <c r="T17" s="26" t="s">
        <v>2272</v>
      </c>
      <c r="U17" s="26" t="s">
        <v>2272</v>
      </c>
      <c r="V17" s="47">
        <v>2</v>
      </c>
      <c r="W17" s="4" t="s">
        <v>2430</v>
      </c>
    </row>
    <row r="18" spans="1:23" ht="43.5">
      <c r="A18" s="3" t="s">
        <v>1316</v>
      </c>
      <c r="B18" s="3" t="s">
        <v>1340</v>
      </c>
      <c r="C18" s="26" t="s">
        <v>23</v>
      </c>
      <c r="D18" s="3" t="s">
        <v>2429</v>
      </c>
      <c r="E18" s="4" t="s">
        <v>394</v>
      </c>
      <c r="F18" s="3" t="s">
        <v>27</v>
      </c>
      <c r="G18" s="26"/>
      <c r="H18" s="26" t="s">
        <v>539</v>
      </c>
      <c r="I18" s="26" t="s">
        <v>2272</v>
      </c>
      <c r="J18" s="26" t="s">
        <v>2272</v>
      </c>
      <c r="K18" s="26" t="s">
        <v>2272</v>
      </c>
      <c r="L18" s="26" t="s">
        <v>2272</v>
      </c>
      <c r="M18" s="26" t="s">
        <v>2272</v>
      </c>
      <c r="N18" s="26" t="s">
        <v>2272</v>
      </c>
      <c r="O18" s="26" t="s">
        <v>2272</v>
      </c>
      <c r="P18" s="26" t="s">
        <v>2272</v>
      </c>
      <c r="Q18" s="26" t="s">
        <v>2272</v>
      </c>
      <c r="R18" s="26" t="s">
        <v>532</v>
      </c>
      <c r="S18" s="26" t="s">
        <v>2272</v>
      </c>
      <c r="T18" s="26" t="s">
        <v>2272</v>
      </c>
      <c r="U18" s="26" t="s">
        <v>2272</v>
      </c>
      <c r="V18" s="47">
        <v>2</v>
      </c>
      <c r="W18" s="4" t="s">
        <v>2430</v>
      </c>
    </row>
    <row r="19" spans="1:23" ht="43.5">
      <c r="A19" s="3" t="s">
        <v>1317</v>
      </c>
      <c r="B19" s="3" t="s">
        <v>1342</v>
      </c>
      <c r="C19" s="26" t="s">
        <v>23</v>
      </c>
      <c r="D19" s="3" t="s">
        <v>2429</v>
      </c>
      <c r="E19" s="4" t="s">
        <v>394</v>
      </c>
      <c r="F19" s="3" t="s">
        <v>27</v>
      </c>
      <c r="G19" s="26"/>
      <c r="H19" s="26" t="s">
        <v>539</v>
      </c>
      <c r="I19" s="26" t="s">
        <v>2272</v>
      </c>
      <c r="J19" s="26" t="s">
        <v>2272</v>
      </c>
      <c r="K19" s="26" t="s">
        <v>2272</v>
      </c>
      <c r="L19" s="26" t="s">
        <v>2272</v>
      </c>
      <c r="M19" s="26" t="s">
        <v>2272</v>
      </c>
      <c r="N19" s="26" t="s">
        <v>2272</v>
      </c>
      <c r="O19" s="26" t="s">
        <v>2272</v>
      </c>
      <c r="P19" s="26" t="s">
        <v>2272</v>
      </c>
      <c r="Q19" s="26" t="s">
        <v>2272</v>
      </c>
      <c r="R19" s="26" t="s">
        <v>532</v>
      </c>
      <c r="S19" s="26" t="s">
        <v>2272</v>
      </c>
      <c r="T19" s="26" t="s">
        <v>2272</v>
      </c>
      <c r="U19" s="26" t="s">
        <v>2272</v>
      </c>
      <c r="V19" s="47">
        <v>2</v>
      </c>
      <c r="W19" s="4" t="s">
        <v>2430</v>
      </c>
    </row>
    <row r="20" spans="1:23" ht="43.5">
      <c r="A20" s="3" t="s">
        <v>1318</v>
      </c>
      <c r="B20" s="3" t="s">
        <v>1344</v>
      </c>
      <c r="C20" s="26" t="s">
        <v>23</v>
      </c>
      <c r="D20" s="3" t="s">
        <v>2429</v>
      </c>
      <c r="E20" s="4" t="s">
        <v>394</v>
      </c>
      <c r="F20" s="3" t="s">
        <v>27</v>
      </c>
      <c r="G20" s="26"/>
      <c r="H20" s="26" t="s">
        <v>539</v>
      </c>
      <c r="I20" s="26" t="s">
        <v>2272</v>
      </c>
      <c r="J20" s="26" t="s">
        <v>2272</v>
      </c>
      <c r="K20" s="26" t="s">
        <v>2272</v>
      </c>
      <c r="L20" s="26" t="s">
        <v>2272</v>
      </c>
      <c r="M20" s="26" t="s">
        <v>2272</v>
      </c>
      <c r="N20" s="26" t="s">
        <v>2272</v>
      </c>
      <c r="O20" s="26" t="s">
        <v>2272</v>
      </c>
      <c r="P20" s="26" t="s">
        <v>2272</v>
      </c>
      <c r="Q20" s="26" t="s">
        <v>2272</v>
      </c>
      <c r="R20" s="26" t="s">
        <v>532</v>
      </c>
      <c r="S20" s="26" t="s">
        <v>2272</v>
      </c>
      <c r="T20" s="26" t="s">
        <v>2272</v>
      </c>
      <c r="U20" s="26" t="s">
        <v>2272</v>
      </c>
      <c r="V20" s="47">
        <v>2</v>
      </c>
      <c r="W20" s="4" t="s">
        <v>2430</v>
      </c>
    </row>
    <row r="21" spans="1:23" ht="43.5">
      <c r="A21" s="3" t="s">
        <v>1319</v>
      </c>
      <c r="B21" s="3" t="s">
        <v>1346</v>
      </c>
      <c r="C21" s="26" t="s">
        <v>23</v>
      </c>
      <c r="D21" s="3" t="s">
        <v>2429</v>
      </c>
      <c r="E21" s="4" t="s">
        <v>394</v>
      </c>
      <c r="F21" s="3" t="s">
        <v>27</v>
      </c>
      <c r="G21" s="26"/>
      <c r="H21" s="26" t="s">
        <v>539</v>
      </c>
      <c r="I21" s="26" t="s">
        <v>2272</v>
      </c>
      <c r="J21" s="26" t="s">
        <v>2272</v>
      </c>
      <c r="K21" s="26" t="s">
        <v>2272</v>
      </c>
      <c r="L21" s="26" t="s">
        <v>2272</v>
      </c>
      <c r="M21" s="26" t="s">
        <v>2272</v>
      </c>
      <c r="N21" s="26" t="s">
        <v>2272</v>
      </c>
      <c r="O21" s="26" t="s">
        <v>2272</v>
      </c>
      <c r="P21" s="26" t="s">
        <v>2272</v>
      </c>
      <c r="Q21" s="26" t="s">
        <v>2272</v>
      </c>
      <c r="R21" s="26" t="s">
        <v>532</v>
      </c>
      <c r="S21" s="26" t="s">
        <v>2272</v>
      </c>
      <c r="T21" s="26" t="s">
        <v>2272</v>
      </c>
      <c r="U21" s="26" t="s">
        <v>2272</v>
      </c>
      <c r="V21" s="47">
        <v>2</v>
      </c>
      <c r="W21" s="4" t="s">
        <v>2430</v>
      </c>
    </row>
    <row r="22" spans="1:23" ht="43.5">
      <c r="A22" s="3" t="s">
        <v>1320</v>
      </c>
      <c r="B22" s="3" t="s">
        <v>1348</v>
      </c>
      <c r="C22" s="26" t="s">
        <v>23</v>
      </c>
      <c r="D22" s="3" t="s">
        <v>2429</v>
      </c>
      <c r="E22" s="4" t="s">
        <v>394</v>
      </c>
      <c r="F22" s="3" t="s">
        <v>27</v>
      </c>
      <c r="G22" s="26"/>
      <c r="H22" s="26" t="s">
        <v>539</v>
      </c>
      <c r="I22" s="26" t="s">
        <v>2272</v>
      </c>
      <c r="J22" s="26" t="s">
        <v>2272</v>
      </c>
      <c r="K22" s="26" t="s">
        <v>2272</v>
      </c>
      <c r="L22" s="26" t="s">
        <v>2272</v>
      </c>
      <c r="M22" s="26" t="s">
        <v>2272</v>
      </c>
      <c r="N22" s="26" t="s">
        <v>2272</v>
      </c>
      <c r="O22" s="26" t="s">
        <v>2272</v>
      </c>
      <c r="P22" s="26" t="s">
        <v>2272</v>
      </c>
      <c r="Q22" s="26" t="s">
        <v>2272</v>
      </c>
      <c r="R22" s="26" t="s">
        <v>532</v>
      </c>
      <c r="S22" s="26" t="s">
        <v>2272</v>
      </c>
      <c r="T22" s="26" t="s">
        <v>2272</v>
      </c>
      <c r="U22" s="26" t="s">
        <v>2272</v>
      </c>
      <c r="V22" s="47">
        <v>2</v>
      </c>
      <c r="W22" s="4" t="s">
        <v>2430</v>
      </c>
    </row>
    <row r="23" spans="1:23" ht="43.5">
      <c r="A23" s="3" t="s">
        <v>1321</v>
      </c>
      <c r="B23" s="3" t="s">
        <v>1350</v>
      </c>
      <c r="C23" s="26" t="s">
        <v>23</v>
      </c>
      <c r="D23" s="3" t="s">
        <v>2429</v>
      </c>
      <c r="E23" s="4" t="s">
        <v>394</v>
      </c>
      <c r="F23" s="3" t="s">
        <v>27</v>
      </c>
      <c r="G23" s="26"/>
      <c r="H23" s="26" t="s">
        <v>539</v>
      </c>
      <c r="I23" s="26" t="s">
        <v>2272</v>
      </c>
      <c r="J23" s="26" t="s">
        <v>2272</v>
      </c>
      <c r="K23" s="26" t="s">
        <v>2272</v>
      </c>
      <c r="L23" s="26" t="s">
        <v>2272</v>
      </c>
      <c r="M23" s="26" t="s">
        <v>2272</v>
      </c>
      <c r="N23" s="26" t="s">
        <v>2272</v>
      </c>
      <c r="O23" s="26" t="s">
        <v>2272</v>
      </c>
      <c r="P23" s="26" t="s">
        <v>2272</v>
      </c>
      <c r="Q23" s="26" t="s">
        <v>2272</v>
      </c>
      <c r="R23" s="26" t="s">
        <v>532</v>
      </c>
      <c r="S23" s="26" t="s">
        <v>2272</v>
      </c>
      <c r="T23" s="26" t="s">
        <v>2272</v>
      </c>
      <c r="U23" s="26" t="s">
        <v>2272</v>
      </c>
      <c r="V23" s="47">
        <v>2</v>
      </c>
      <c r="W23" s="4" t="s">
        <v>2430</v>
      </c>
    </row>
    <row r="24" spans="1:23" ht="43.5">
      <c r="A24" s="3" t="s">
        <v>1322</v>
      </c>
      <c r="B24" s="3" t="s">
        <v>1352</v>
      </c>
      <c r="C24" s="26" t="s">
        <v>23</v>
      </c>
      <c r="D24" s="3" t="s">
        <v>2429</v>
      </c>
      <c r="E24" s="4" t="s">
        <v>394</v>
      </c>
      <c r="F24" s="3" t="s">
        <v>27</v>
      </c>
      <c r="G24" s="26"/>
      <c r="H24" s="26" t="s">
        <v>539</v>
      </c>
      <c r="I24" s="26" t="s">
        <v>2272</v>
      </c>
      <c r="J24" s="26" t="s">
        <v>2272</v>
      </c>
      <c r="K24" s="26" t="s">
        <v>2272</v>
      </c>
      <c r="L24" s="26" t="s">
        <v>2272</v>
      </c>
      <c r="M24" s="26" t="s">
        <v>2272</v>
      </c>
      <c r="N24" s="26" t="s">
        <v>2272</v>
      </c>
      <c r="O24" s="26" t="s">
        <v>2272</v>
      </c>
      <c r="P24" s="26" t="s">
        <v>2272</v>
      </c>
      <c r="Q24" s="26" t="s">
        <v>2272</v>
      </c>
      <c r="R24" s="26" t="s">
        <v>532</v>
      </c>
      <c r="S24" s="26" t="s">
        <v>2272</v>
      </c>
      <c r="T24" s="26" t="s">
        <v>2272</v>
      </c>
      <c r="U24" s="26" t="s">
        <v>2272</v>
      </c>
      <c r="V24" s="47">
        <v>2</v>
      </c>
      <c r="W24" s="4" t="s">
        <v>2430</v>
      </c>
    </row>
    <row r="25" spans="1:23" ht="43.5">
      <c r="A25" s="3" t="s">
        <v>1357</v>
      </c>
      <c r="B25" s="3" t="s">
        <v>1359</v>
      </c>
      <c r="C25" s="26" t="s">
        <v>23</v>
      </c>
      <c r="D25" s="3" t="s">
        <v>2429</v>
      </c>
      <c r="E25" s="3" t="s">
        <v>394</v>
      </c>
      <c r="F25" s="3" t="s">
        <v>27</v>
      </c>
      <c r="G25" s="26"/>
      <c r="H25" s="26" t="s">
        <v>539</v>
      </c>
      <c r="I25" s="26" t="s">
        <v>2272</v>
      </c>
      <c r="J25" s="26" t="s">
        <v>2272</v>
      </c>
      <c r="K25" s="26" t="s">
        <v>2272</v>
      </c>
      <c r="L25" s="26" t="s">
        <v>2272</v>
      </c>
      <c r="M25" s="26" t="s">
        <v>2272</v>
      </c>
      <c r="N25" s="26" t="s">
        <v>2272</v>
      </c>
      <c r="O25" s="26" t="s">
        <v>2272</v>
      </c>
      <c r="P25" s="26" t="s">
        <v>2272</v>
      </c>
      <c r="Q25" s="26" t="s">
        <v>2272</v>
      </c>
      <c r="R25" s="26" t="s">
        <v>532</v>
      </c>
      <c r="S25" s="26" t="s">
        <v>2272</v>
      </c>
      <c r="T25" s="26" t="s">
        <v>2272</v>
      </c>
      <c r="U25" s="26" t="s">
        <v>2272</v>
      </c>
      <c r="V25" s="47">
        <v>2</v>
      </c>
      <c r="W25" s="4" t="s">
        <v>2430</v>
      </c>
    </row>
    <row r="26" spans="1:23" ht="24" customHeight="1">
      <c r="A26" s="23" t="s">
        <v>121</v>
      </c>
      <c r="B26" s="23" t="s">
        <v>122</v>
      </c>
      <c r="C26" s="23" t="s">
        <v>23</v>
      </c>
      <c r="D26" s="23" t="s">
        <v>26</v>
      </c>
      <c r="E26" s="3" t="s">
        <v>128</v>
      </c>
      <c r="F26" s="23" t="s">
        <v>73</v>
      </c>
      <c r="G26" s="23"/>
      <c r="H26" s="26" t="s">
        <v>541</v>
      </c>
      <c r="I26" s="23" t="s">
        <v>2272</v>
      </c>
      <c r="J26" s="23" t="s">
        <v>2272</v>
      </c>
      <c r="K26" s="23" t="s">
        <v>2272</v>
      </c>
      <c r="L26" s="23" t="s">
        <v>2272</v>
      </c>
      <c r="M26" s="23" t="s">
        <v>2723</v>
      </c>
      <c r="N26" s="23" t="s">
        <v>2272</v>
      </c>
      <c r="O26" s="23" t="s">
        <v>532</v>
      </c>
      <c r="P26" s="23" t="s">
        <v>2272</v>
      </c>
      <c r="Q26" s="23">
        <v>2</v>
      </c>
      <c r="R26" s="23" t="s">
        <v>2272</v>
      </c>
      <c r="S26" s="23" t="s">
        <v>2272</v>
      </c>
      <c r="T26" s="23" t="s">
        <v>2272</v>
      </c>
      <c r="U26" s="23" t="s">
        <v>2272</v>
      </c>
      <c r="V26" s="48" t="s">
        <v>2272</v>
      </c>
      <c r="W26" s="3" t="s">
        <v>5024</v>
      </c>
    </row>
    <row r="27" spans="1:23" ht="20.5" customHeight="1">
      <c r="A27" s="23" t="s">
        <v>121</v>
      </c>
      <c r="B27" s="23" t="s">
        <v>123</v>
      </c>
      <c r="C27" s="23" t="s">
        <v>23</v>
      </c>
      <c r="D27" s="23" t="s">
        <v>26</v>
      </c>
      <c r="E27" s="3" t="s">
        <v>128</v>
      </c>
      <c r="F27" s="23" t="s">
        <v>158</v>
      </c>
      <c r="G27" s="23"/>
      <c r="H27" s="26" t="s">
        <v>541</v>
      </c>
      <c r="I27" s="23" t="s">
        <v>2272</v>
      </c>
      <c r="J27" s="23" t="s">
        <v>2272</v>
      </c>
      <c r="K27" s="23" t="s">
        <v>2272</v>
      </c>
      <c r="L27" s="23" t="s">
        <v>2272</v>
      </c>
      <c r="M27" s="23" t="s">
        <v>2723</v>
      </c>
      <c r="N27" s="23" t="s">
        <v>2272</v>
      </c>
      <c r="O27" s="23" t="s">
        <v>532</v>
      </c>
      <c r="P27" s="23" t="s">
        <v>2272</v>
      </c>
      <c r="Q27" s="23">
        <v>2</v>
      </c>
      <c r="R27" s="23" t="s">
        <v>2272</v>
      </c>
      <c r="S27" s="23" t="s">
        <v>2272</v>
      </c>
      <c r="T27" s="23" t="s">
        <v>2272</v>
      </c>
      <c r="U27" s="23" t="s">
        <v>2272</v>
      </c>
      <c r="V27" s="48" t="s">
        <v>2272</v>
      </c>
      <c r="W27" s="3" t="s">
        <v>5024</v>
      </c>
    </row>
    <row r="28" spans="1:23" ht="20.5" customHeight="1">
      <c r="A28" s="23" t="s">
        <v>160</v>
      </c>
      <c r="B28" s="23" t="s">
        <v>165</v>
      </c>
      <c r="C28" s="23" t="s">
        <v>23</v>
      </c>
      <c r="D28" s="23" t="s">
        <v>141</v>
      </c>
      <c r="E28" s="23" t="s">
        <v>82</v>
      </c>
      <c r="F28" s="23" t="s">
        <v>73</v>
      </c>
      <c r="G28" s="23">
        <v>2002</v>
      </c>
      <c r="H28" s="26" t="s">
        <v>539</v>
      </c>
      <c r="I28" s="23" t="s">
        <v>2272</v>
      </c>
      <c r="J28" s="23" t="s">
        <v>2272</v>
      </c>
      <c r="K28" s="23" t="s">
        <v>2272</v>
      </c>
      <c r="L28" s="23" t="s">
        <v>2272</v>
      </c>
      <c r="M28" s="23" t="s">
        <v>2272</v>
      </c>
      <c r="N28" s="23" t="s">
        <v>2272</v>
      </c>
      <c r="O28" s="23" t="s">
        <v>2272</v>
      </c>
      <c r="P28" s="23" t="s">
        <v>2272</v>
      </c>
      <c r="Q28" s="23" t="s">
        <v>2272</v>
      </c>
      <c r="R28" s="23" t="s">
        <v>532</v>
      </c>
      <c r="S28" s="23" t="s">
        <v>2272</v>
      </c>
      <c r="T28" s="23" t="s">
        <v>532</v>
      </c>
      <c r="U28" s="23" t="s">
        <v>2272</v>
      </c>
      <c r="V28" s="23">
        <v>2</v>
      </c>
      <c r="W28" s="3"/>
    </row>
    <row r="29" spans="1:23" ht="20.5" customHeight="1">
      <c r="A29" s="23" t="s">
        <v>160</v>
      </c>
      <c r="B29" s="23" t="s">
        <v>167</v>
      </c>
      <c r="C29" s="23" t="s">
        <v>23</v>
      </c>
      <c r="D29" s="23" t="s">
        <v>141</v>
      </c>
      <c r="E29" s="23" t="s">
        <v>82</v>
      </c>
      <c r="F29" s="23" t="s">
        <v>73</v>
      </c>
      <c r="G29" s="23">
        <v>2003</v>
      </c>
      <c r="H29" s="26" t="s">
        <v>539</v>
      </c>
      <c r="I29" s="23" t="s">
        <v>2272</v>
      </c>
      <c r="J29" s="23" t="s">
        <v>2272</v>
      </c>
      <c r="K29" s="23" t="s">
        <v>2272</v>
      </c>
      <c r="L29" s="23" t="s">
        <v>2272</v>
      </c>
      <c r="M29" s="23" t="s">
        <v>2272</v>
      </c>
      <c r="N29" s="23" t="s">
        <v>2272</v>
      </c>
      <c r="O29" s="23" t="s">
        <v>2272</v>
      </c>
      <c r="P29" s="23" t="s">
        <v>2272</v>
      </c>
      <c r="Q29" s="23" t="s">
        <v>2272</v>
      </c>
      <c r="R29" s="23" t="s">
        <v>532</v>
      </c>
      <c r="S29" s="23" t="s">
        <v>2272</v>
      </c>
      <c r="T29" s="23" t="s">
        <v>532</v>
      </c>
      <c r="U29" s="23" t="s">
        <v>2272</v>
      </c>
      <c r="V29" s="23">
        <v>2</v>
      </c>
      <c r="W29" s="4"/>
    </row>
    <row r="30" spans="1:23" ht="20.5" customHeight="1">
      <c r="A30" s="23" t="s">
        <v>160</v>
      </c>
      <c r="B30" s="23" t="s">
        <v>168</v>
      </c>
      <c r="C30" s="23" t="s">
        <v>23</v>
      </c>
      <c r="D30" s="23" t="s">
        <v>141</v>
      </c>
      <c r="E30" s="23" t="s">
        <v>82</v>
      </c>
      <c r="F30" s="23" t="s">
        <v>73</v>
      </c>
      <c r="G30" s="23">
        <v>2004</v>
      </c>
      <c r="H30" s="26" t="s">
        <v>539</v>
      </c>
      <c r="I30" s="23" t="s">
        <v>2272</v>
      </c>
      <c r="J30" s="23" t="s">
        <v>2272</v>
      </c>
      <c r="K30" s="23" t="s">
        <v>2272</v>
      </c>
      <c r="L30" s="23" t="s">
        <v>2272</v>
      </c>
      <c r="M30" s="23" t="s">
        <v>2272</v>
      </c>
      <c r="N30" s="23" t="s">
        <v>2272</v>
      </c>
      <c r="O30" s="23" t="s">
        <v>2272</v>
      </c>
      <c r="P30" s="23" t="s">
        <v>2272</v>
      </c>
      <c r="Q30" s="23" t="s">
        <v>2272</v>
      </c>
      <c r="R30" s="23" t="s">
        <v>532</v>
      </c>
      <c r="S30" s="23" t="s">
        <v>2272</v>
      </c>
      <c r="T30" s="23" t="s">
        <v>532</v>
      </c>
      <c r="U30" s="23" t="s">
        <v>2272</v>
      </c>
      <c r="V30" s="23">
        <v>2</v>
      </c>
      <c r="W30" s="4"/>
    </row>
    <row r="31" spans="1:23" ht="69.5" customHeight="1">
      <c r="A31" s="23" t="s">
        <v>160</v>
      </c>
      <c r="B31" s="23" t="s">
        <v>1386</v>
      </c>
      <c r="C31" s="23" t="s">
        <v>23</v>
      </c>
      <c r="D31" s="23" t="s">
        <v>141</v>
      </c>
      <c r="E31" s="23" t="s">
        <v>82</v>
      </c>
      <c r="F31" s="23" t="s">
        <v>73</v>
      </c>
      <c r="G31" s="23">
        <v>2005</v>
      </c>
      <c r="H31" s="26" t="s">
        <v>539</v>
      </c>
      <c r="I31" s="23" t="s">
        <v>2272</v>
      </c>
      <c r="J31" s="23" t="s">
        <v>2272</v>
      </c>
      <c r="K31" s="23" t="s">
        <v>2272</v>
      </c>
      <c r="L31" s="23" t="s">
        <v>2272</v>
      </c>
      <c r="M31" s="23" t="s">
        <v>2272</v>
      </c>
      <c r="N31" s="23" t="s">
        <v>2272</v>
      </c>
      <c r="O31" s="23" t="s">
        <v>2272</v>
      </c>
      <c r="P31" s="23" t="s">
        <v>2272</v>
      </c>
      <c r="Q31" s="23" t="s">
        <v>2272</v>
      </c>
      <c r="R31" s="23" t="s">
        <v>532</v>
      </c>
      <c r="S31" s="23" t="s">
        <v>2272</v>
      </c>
      <c r="T31" s="23" t="s">
        <v>532</v>
      </c>
      <c r="U31" s="23" t="s">
        <v>2272</v>
      </c>
      <c r="V31" s="23">
        <v>4</v>
      </c>
      <c r="W31" s="4" t="s">
        <v>1452</v>
      </c>
    </row>
    <row r="32" spans="1:23" ht="54.5" customHeight="1">
      <c r="A32" s="23" t="s">
        <v>160</v>
      </c>
      <c r="B32" s="23" t="s">
        <v>1387</v>
      </c>
      <c r="C32" s="23" t="s">
        <v>23</v>
      </c>
      <c r="D32" s="23" t="s">
        <v>141</v>
      </c>
      <c r="E32" s="23" t="s">
        <v>82</v>
      </c>
      <c r="F32" s="23" t="s">
        <v>73</v>
      </c>
      <c r="G32" s="23">
        <v>2006</v>
      </c>
      <c r="H32" s="26" t="s">
        <v>539</v>
      </c>
      <c r="I32" s="23" t="s">
        <v>2272</v>
      </c>
      <c r="J32" s="23" t="s">
        <v>2272</v>
      </c>
      <c r="K32" s="23" t="s">
        <v>2272</v>
      </c>
      <c r="L32" s="23" t="s">
        <v>2272</v>
      </c>
      <c r="M32" s="23" t="s">
        <v>2272</v>
      </c>
      <c r="N32" s="23" t="s">
        <v>2272</v>
      </c>
      <c r="O32" s="23" t="s">
        <v>2272</v>
      </c>
      <c r="P32" s="23" t="s">
        <v>2272</v>
      </c>
      <c r="Q32" s="23" t="s">
        <v>2272</v>
      </c>
      <c r="R32" s="23" t="s">
        <v>532</v>
      </c>
      <c r="S32" s="23" t="s">
        <v>2272</v>
      </c>
      <c r="T32" s="23" t="s">
        <v>532</v>
      </c>
      <c r="U32" s="23" t="s">
        <v>2272</v>
      </c>
      <c r="V32" s="23">
        <v>4</v>
      </c>
      <c r="W32" s="4" t="s">
        <v>1453</v>
      </c>
    </row>
    <row r="33" spans="1:23" ht="50.5" customHeight="1">
      <c r="A33" s="23" t="s">
        <v>160</v>
      </c>
      <c r="B33" s="23" t="s">
        <v>1388</v>
      </c>
      <c r="C33" s="23" t="s">
        <v>23</v>
      </c>
      <c r="D33" s="23" t="s">
        <v>141</v>
      </c>
      <c r="E33" s="23" t="s">
        <v>82</v>
      </c>
      <c r="F33" s="23" t="s">
        <v>73</v>
      </c>
      <c r="G33" s="23">
        <v>2007</v>
      </c>
      <c r="H33" s="26" t="s">
        <v>539</v>
      </c>
      <c r="I33" s="23" t="s">
        <v>2272</v>
      </c>
      <c r="J33" s="23" t="s">
        <v>2272</v>
      </c>
      <c r="K33" s="23" t="s">
        <v>2272</v>
      </c>
      <c r="L33" s="23" t="s">
        <v>2272</v>
      </c>
      <c r="M33" s="23" t="s">
        <v>2272</v>
      </c>
      <c r="N33" s="23" t="s">
        <v>2272</v>
      </c>
      <c r="O33" s="23" t="s">
        <v>2272</v>
      </c>
      <c r="P33" s="23" t="s">
        <v>2272</v>
      </c>
      <c r="Q33" s="23" t="s">
        <v>2272</v>
      </c>
      <c r="R33" s="23" t="s">
        <v>532</v>
      </c>
      <c r="S33" s="23" t="s">
        <v>2272</v>
      </c>
      <c r="T33" s="23" t="s">
        <v>532</v>
      </c>
      <c r="U33" s="23" t="s">
        <v>2272</v>
      </c>
      <c r="V33" s="23">
        <v>4</v>
      </c>
      <c r="W33" s="4" t="s">
        <v>1453</v>
      </c>
    </row>
    <row r="34" spans="1:23" ht="54.5" customHeight="1">
      <c r="A34" s="23" t="s">
        <v>160</v>
      </c>
      <c r="B34" s="23" t="s">
        <v>1389</v>
      </c>
      <c r="C34" s="23" t="s">
        <v>23</v>
      </c>
      <c r="D34" s="23" t="s">
        <v>141</v>
      </c>
      <c r="E34" s="23" t="s">
        <v>82</v>
      </c>
      <c r="F34" s="23" t="s">
        <v>73</v>
      </c>
      <c r="G34" s="23">
        <v>2008</v>
      </c>
      <c r="H34" s="26" t="s">
        <v>539</v>
      </c>
      <c r="I34" s="23" t="s">
        <v>2272</v>
      </c>
      <c r="J34" s="23" t="s">
        <v>2272</v>
      </c>
      <c r="K34" s="23" t="s">
        <v>2272</v>
      </c>
      <c r="L34" s="23" t="s">
        <v>2272</v>
      </c>
      <c r="M34" s="23" t="s">
        <v>2272</v>
      </c>
      <c r="N34" s="23" t="s">
        <v>2272</v>
      </c>
      <c r="O34" s="23" t="s">
        <v>2272</v>
      </c>
      <c r="P34" s="23" t="s">
        <v>2272</v>
      </c>
      <c r="Q34" s="23" t="s">
        <v>2272</v>
      </c>
      <c r="R34" s="23" t="s">
        <v>532</v>
      </c>
      <c r="S34" s="23" t="s">
        <v>2272</v>
      </c>
      <c r="T34" s="23" t="s">
        <v>532</v>
      </c>
      <c r="U34" s="23" t="s">
        <v>2272</v>
      </c>
      <c r="V34" s="23">
        <v>4</v>
      </c>
      <c r="W34" s="4" t="s">
        <v>1453</v>
      </c>
    </row>
    <row r="35" spans="1:23" ht="59.5" customHeight="1">
      <c r="A35" s="23" t="s">
        <v>160</v>
      </c>
      <c r="B35" s="23" t="s">
        <v>1390</v>
      </c>
      <c r="C35" s="23" t="s">
        <v>23</v>
      </c>
      <c r="D35" s="23" t="s">
        <v>141</v>
      </c>
      <c r="E35" s="23" t="s">
        <v>82</v>
      </c>
      <c r="F35" s="23" t="s">
        <v>73</v>
      </c>
      <c r="G35" s="23">
        <v>2009</v>
      </c>
      <c r="H35" s="26" t="s">
        <v>539</v>
      </c>
      <c r="I35" s="23" t="s">
        <v>2272</v>
      </c>
      <c r="J35" s="23" t="s">
        <v>2272</v>
      </c>
      <c r="K35" s="23" t="s">
        <v>2272</v>
      </c>
      <c r="L35" s="23" t="s">
        <v>2272</v>
      </c>
      <c r="M35" s="23" t="s">
        <v>2272</v>
      </c>
      <c r="N35" s="23" t="s">
        <v>2272</v>
      </c>
      <c r="O35" s="23" t="s">
        <v>2272</v>
      </c>
      <c r="P35" s="23" t="s">
        <v>2272</v>
      </c>
      <c r="Q35" s="23" t="s">
        <v>2272</v>
      </c>
      <c r="R35" s="23" t="s">
        <v>532</v>
      </c>
      <c r="S35" s="23" t="s">
        <v>2272</v>
      </c>
      <c r="T35" s="23" t="s">
        <v>532</v>
      </c>
      <c r="U35" s="23" t="s">
        <v>2272</v>
      </c>
      <c r="V35" s="23">
        <v>4</v>
      </c>
      <c r="W35" s="4" t="s">
        <v>1453</v>
      </c>
    </row>
    <row r="36" spans="1:23" ht="59.5" customHeight="1">
      <c r="A36" s="23" t="s">
        <v>160</v>
      </c>
      <c r="B36" s="23" t="s">
        <v>1391</v>
      </c>
      <c r="C36" s="23" t="s">
        <v>23</v>
      </c>
      <c r="D36" s="23" t="s">
        <v>141</v>
      </c>
      <c r="E36" s="23" t="s">
        <v>82</v>
      </c>
      <c r="F36" s="23" t="s">
        <v>73</v>
      </c>
      <c r="G36" s="23">
        <v>2010</v>
      </c>
      <c r="H36" s="26" t="s">
        <v>539</v>
      </c>
      <c r="I36" s="23" t="s">
        <v>2272</v>
      </c>
      <c r="J36" s="23" t="s">
        <v>2272</v>
      </c>
      <c r="K36" s="23" t="s">
        <v>2272</v>
      </c>
      <c r="L36" s="23" t="s">
        <v>2272</v>
      </c>
      <c r="M36" s="23" t="s">
        <v>2272</v>
      </c>
      <c r="N36" s="23" t="s">
        <v>2272</v>
      </c>
      <c r="O36" s="23" t="s">
        <v>2272</v>
      </c>
      <c r="P36" s="23" t="s">
        <v>2272</v>
      </c>
      <c r="Q36" s="23" t="s">
        <v>2272</v>
      </c>
      <c r="R36" s="23" t="s">
        <v>532</v>
      </c>
      <c r="S36" s="23" t="s">
        <v>2272</v>
      </c>
      <c r="T36" s="23" t="s">
        <v>532</v>
      </c>
      <c r="U36" s="23" t="s">
        <v>2272</v>
      </c>
      <c r="V36" s="23">
        <v>4</v>
      </c>
      <c r="W36" s="4" t="s">
        <v>1453</v>
      </c>
    </row>
    <row r="37" spans="1:23" ht="58.5" customHeight="1">
      <c r="A37" s="23" t="s">
        <v>160</v>
      </c>
      <c r="B37" s="23" t="s">
        <v>1392</v>
      </c>
      <c r="C37" s="23" t="s">
        <v>23</v>
      </c>
      <c r="D37" s="23" t="s">
        <v>141</v>
      </c>
      <c r="E37" s="23" t="s">
        <v>82</v>
      </c>
      <c r="F37" s="23" t="s">
        <v>73</v>
      </c>
      <c r="G37" s="23">
        <v>2011</v>
      </c>
      <c r="H37" s="26" t="s">
        <v>539</v>
      </c>
      <c r="I37" s="23" t="s">
        <v>2272</v>
      </c>
      <c r="J37" s="23" t="s">
        <v>2272</v>
      </c>
      <c r="K37" s="23" t="s">
        <v>2272</v>
      </c>
      <c r="L37" s="23" t="s">
        <v>2272</v>
      </c>
      <c r="M37" s="23" t="s">
        <v>2272</v>
      </c>
      <c r="N37" s="23" t="s">
        <v>2272</v>
      </c>
      <c r="O37" s="23" t="s">
        <v>2272</v>
      </c>
      <c r="P37" s="23" t="s">
        <v>2272</v>
      </c>
      <c r="Q37" s="23" t="s">
        <v>2272</v>
      </c>
      <c r="R37" s="23" t="s">
        <v>532</v>
      </c>
      <c r="S37" s="23" t="s">
        <v>2272</v>
      </c>
      <c r="T37" s="23" t="s">
        <v>532</v>
      </c>
      <c r="U37" s="23" t="s">
        <v>2272</v>
      </c>
      <c r="V37" s="23">
        <v>4</v>
      </c>
      <c r="W37" s="4" t="s">
        <v>1454</v>
      </c>
    </row>
    <row r="38" spans="1:23" ht="52" customHeight="1">
      <c r="A38" s="23" t="s">
        <v>160</v>
      </c>
      <c r="B38" s="23" t="s">
        <v>1393</v>
      </c>
      <c r="C38" s="23" t="s">
        <v>23</v>
      </c>
      <c r="D38" s="23" t="s">
        <v>141</v>
      </c>
      <c r="E38" s="23" t="s">
        <v>82</v>
      </c>
      <c r="F38" s="23" t="s">
        <v>73</v>
      </c>
      <c r="G38" s="23">
        <v>2012</v>
      </c>
      <c r="H38" s="26" t="s">
        <v>539</v>
      </c>
      <c r="I38" s="23" t="s">
        <v>2272</v>
      </c>
      <c r="J38" s="23" t="s">
        <v>2272</v>
      </c>
      <c r="K38" s="23" t="s">
        <v>2272</v>
      </c>
      <c r="L38" s="23" t="s">
        <v>2272</v>
      </c>
      <c r="M38" s="23" t="s">
        <v>2272</v>
      </c>
      <c r="N38" s="23" t="s">
        <v>2272</v>
      </c>
      <c r="O38" s="23" t="s">
        <v>2272</v>
      </c>
      <c r="P38" s="23" t="s">
        <v>2272</v>
      </c>
      <c r="Q38" s="23" t="s">
        <v>2272</v>
      </c>
      <c r="R38" s="23" t="s">
        <v>532</v>
      </c>
      <c r="S38" s="23" t="s">
        <v>2272</v>
      </c>
      <c r="T38" s="23" t="s">
        <v>532</v>
      </c>
      <c r="U38" s="23" t="s">
        <v>2272</v>
      </c>
      <c r="V38" s="23">
        <v>4</v>
      </c>
      <c r="W38" s="4" t="s">
        <v>1454</v>
      </c>
    </row>
    <row r="39" spans="1:23" ht="50.5" customHeight="1">
      <c r="A39" s="23" t="s">
        <v>160</v>
      </c>
      <c r="B39" s="23" t="s">
        <v>1395</v>
      </c>
      <c r="C39" s="23" t="s">
        <v>23</v>
      </c>
      <c r="D39" s="23" t="s">
        <v>141</v>
      </c>
      <c r="E39" s="26" t="s">
        <v>44</v>
      </c>
      <c r="F39" s="23" t="s">
        <v>73</v>
      </c>
      <c r="G39" s="23">
        <v>2002</v>
      </c>
      <c r="H39" s="26" t="s">
        <v>539</v>
      </c>
      <c r="I39" s="23" t="s">
        <v>2272</v>
      </c>
      <c r="J39" s="23" t="s">
        <v>2272</v>
      </c>
      <c r="K39" s="23" t="s">
        <v>2272</v>
      </c>
      <c r="L39" s="23" t="s">
        <v>2272</v>
      </c>
      <c r="M39" s="23" t="s">
        <v>2272</v>
      </c>
      <c r="N39" s="23" t="s">
        <v>2272</v>
      </c>
      <c r="O39" s="23" t="s">
        <v>2272</v>
      </c>
      <c r="P39" s="23" t="s">
        <v>2272</v>
      </c>
      <c r="Q39" s="23" t="s">
        <v>2272</v>
      </c>
      <c r="R39" s="23" t="s">
        <v>532</v>
      </c>
      <c r="S39" s="23" t="s">
        <v>2272</v>
      </c>
      <c r="T39" s="23" t="s">
        <v>532</v>
      </c>
      <c r="U39" s="23" t="s">
        <v>2272</v>
      </c>
      <c r="V39" s="23">
        <v>2</v>
      </c>
      <c r="W39" s="4" t="s">
        <v>1469</v>
      </c>
    </row>
    <row r="40" spans="1:23" ht="50.5" customHeight="1">
      <c r="A40" s="23" t="s">
        <v>160</v>
      </c>
      <c r="B40" s="23" t="s">
        <v>1396</v>
      </c>
      <c r="C40" s="23" t="s">
        <v>23</v>
      </c>
      <c r="D40" s="23" t="s">
        <v>141</v>
      </c>
      <c r="E40" s="26" t="s">
        <v>44</v>
      </c>
      <c r="F40" s="23" t="s">
        <v>73</v>
      </c>
      <c r="G40" s="23">
        <v>2003</v>
      </c>
      <c r="H40" s="26" t="s">
        <v>539</v>
      </c>
      <c r="I40" s="23" t="s">
        <v>2272</v>
      </c>
      <c r="J40" s="23" t="s">
        <v>2272</v>
      </c>
      <c r="K40" s="23" t="s">
        <v>2272</v>
      </c>
      <c r="L40" s="23" t="s">
        <v>2272</v>
      </c>
      <c r="M40" s="23" t="s">
        <v>2272</v>
      </c>
      <c r="N40" s="23" t="s">
        <v>2272</v>
      </c>
      <c r="O40" s="23" t="s">
        <v>2272</v>
      </c>
      <c r="P40" s="23" t="s">
        <v>2272</v>
      </c>
      <c r="Q40" s="23" t="s">
        <v>2272</v>
      </c>
      <c r="R40" s="23" t="s">
        <v>532</v>
      </c>
      <c r="S40" s="23" t="s">
        <v>2272</v>
      </c>
      <c r="T40" s="23" t="s">
        <v>532</v>
      </c>
      <c r="U40" s="23" t="s">
        <v>2272</v>
      </c>
      <c r="V40" s="23">
        <v>2</v>
      </c>
      <c r="W40" s="4" t="s">
        <v>1469</v>
      </c>
    </row>
    <row r="41" spans="1:23" ht="50.5" customHeight="1">
      <c r="A41" s="23" t="s">
        <v>160</v>
      </c>
      <c r="B41" s="23" t="s">
        <v>1397</v>
      </c>
      <c r="C41" s="23" t="s">
        <v>23</v>
      </c>
      <c r="D41" s="23" t="s">
        <v>141</v>
      </c>
      <c r="E41" s="26" t="s">
        <v>44</v>
      </c>
      <c r="F41" s="23" t="s">
        <v>73</v>
      </c>
      <c r="G41" s="23">
        <v>2004</v>
      </c>
      <c r="H41" s="26" t="s">
        <v>539</v>
      </c>
      <c r="I41" s="23" t="s">
        <v>2272</v>
      </c>
      <c r="J41" s="23" t="s">
        <v>2272</v>
      </c>
      <c r="K41" s="23" t="s">
        <v>2272</v>
      </c>
      <c r="L41" s="23" t="s">
        <v>2272</v>
      </c>
      <c r="M41" s="23" t="s">
        <v>2272</v>
      </c>
      <c r="N41" s="23" t="s">
        <v>2272</v>
      </c>
      <c r="O41" s="23" t="s">
        <v>2272</v>
      </c>
      <c r="P41" s="23" t="s">
        <v>2272</v>
      </c>
      <c r="Q41" s="23" t="s">
        <v>2272</v>
      </c>
      <c r="R41" s="23" t="s">
        <v>532</v>
      </c>
      <c r="S41" s="23" t="s">
        <v>2272</v>
      </c>
      <c r="T41" s="23" t="s">
        <v>532</v>
      </c>
      <c r="U41" s="23" t="s">
        <v>2272</v>
      </c>
      <c r="V41" s="23">
        <v>2</v>
      </c>
      <c r="W41" s="4" t="s">
        <v>1469</v>
      </c>
    </row>
    <row r="42" spans="1:23" ht="50.5" customHeight="1">
      <c r="A42" s="23" t="s">
        <v>160</v>
      </c>
      <c r="B42" s="23" t="s">
        <v>1398</v>
      </c>
      <c r="C42" s="23" t="s">
        <v>23</v>
      </c>
      <c r="D42" s="23" t="s">
        <v>141</v>
      </c>
      <c r="E42" s="26" t="s">
        <v>44</v>
      </c>
      <c r="F42" s="23" t="s">
        <v>73</v>
      </c>
      <c r="G42" s="23">
        <v>2005</v>
      </c>
      <c r="H42" s="26" t="s">
        <v>539</v>
      </c>
      <c r="I42" s="23" t="s">
        <v>2272</v>
      </c>
      <c r="J42" s="23" t="s">
        <v>2272</v>
      </c>
      <c r="K42" s="23" t="s">
        <v>2272</v>
      </c>
      <c r="L42" s="23" t="s">
        <v>2272</v>
      </c>
      <c r="M42" s="23" t="s">
        <v>2272</v>
      </c>
      <c r="N42" s="23" t="s">
        <v>2272</v>
      </c>
      <c r="O42" s="23" t="s">
        <v>2272</v>
      </c>
      <c r="P42" s="23" t="s">
        <v>2272</v>
      </c>
      <c r="Q42" s="23" t="s">
        <v>2272</v>
      </c>
      <c r="R42" s="23" t="s">
        <v>532</v>
      </c>
      <c r="S42" s="23" t="s">
        <v>2272</v>
      </c>
      <c r="T42" s="23" t="s">
        <v>532</v>
      </c>
      <c r="U42" s="23" t="s">
        <v>2272</v>
      </c>
      <c r="V42" s="23">
        <v>2</v>
      </c>
      <c r="W42" s="4" t="s">
        <v>1469</v>
      </c>
    </row>
    <row r="43" spans="1:23" ht="50.5" customHeight="1">
      <c r="A43" s="23" t="s">
        <v>160</v>
      </c>
      <c r="B43" s="23" t="s">
        <v>1399</v>
      </c>
      <c r="C43" s="23" t="s">
        <v>23</v>
      </c>
      <c r="D43" s="23" t="s">
        <v>141</v>
      </c>
      <c r="E43" s="26" t="s">
        <v>44</v>
      </c>
      <c r="F43" s="23" t="s">
        <v>73</v>
      </c>
      <c r="G43" s="23">
        <v>2006</v>
      </c>
      <c r="H43" s="26" t="s">
        <v>539</v>
      </c>
      <c r="I43" s="23" t="s">
        <v>2272</v>
      </c>
      <c r="J43" s="23" t="s">
        <v>2272</v>
      </c>
      <c r="K43" s="23" t="s">
        <v>2272</v>
      </c>
      <c r="L43" s="23" t="s">
        <v>2272</v>
      </c>
      <c r="M43" s="23" t="s">
        <v>2272</v>
      </c>
      <c r="N43" s="23" t="s">
        <v>2272</v>
      </c>
      <c r="O43" s="23" t="s">
        <v>2272</v>
      </c>
      <c r="P43" s="23" t="s">
        <v>2272</v>
      </c>
      <c r="Q43" s="23" t="s">
        <v>2272</v>
      </c>
      <c r="R43" s="23" t="s">
        <v>532</v>
      </c>
      <c r="S43" s="23" t="s">
        <v>2272</v>
      </c>
      <c r="T43" s="23" t="s">
        <v>532</v>
      </c>
      <c r="U43" s="23" t="s">
        <v>2272</v>
      </c>
      <c r="V43" s="23">
        <v>2</v>
      </c>
      <c r="W43" s="4" t="s">
        <v>1469</v>
      </c>
    </row>
    <row r="44" spans="1:23" ht="50.5" customHeight="1">
      <c r="A44" s="23" t="s">
        <v>160</v>
      </c>
      <c r="B44" s="23" t="s">
        <v>1400</v>
      </c>
      <c r="C44" s="23" t="s">
        <v>23</v>
      </c>
      <c r="D44" s="23" t="s">
        <v>141</v>
      </c>
      <c r="E44" s="26" t="s">
        <v>44</v>
      </c>
      <c r="F44" s="23" t="s">
        <v>73</v>
      </c>
      <c r="G44" s="23">
        <v>2007</v>
      </c>
      <c r="H44" s="26" t="s">
        <v>539</v>
      </c>
      <c r="I44" s="23" t="s">
        <v>2272</v>
      </c>
      <c r="J44" s="23" t="s">
        <v>2272</v>
      </c>
      <c r="K44" s="23" t="s">
        <v>2272</v>
      </c>
      <c r="L44" s="23" t="s">
        <v>2272</v>
      </c>
      <c r="M44" s="23" t="s">
        <v>2272</v>
      </c>
      <c r="N44" s="23" t="s">
        <v>2272</v>
      </c>
      <c r="O44" s="23" t="s">
        <v>2272</v>
      </c>
      <c r="P44" s="23" t="s">
        <v>2272</v>
      </c>
      <c r="Q44" s="23" t="s">
        <v>2272</v>
      </c>
      <c r="R44" s="23" t="s">
        <v>532</v>
      </c>
      <c r="S44" s="23" t="s">
        <v>2272</v>
      </c>
      <c r="T44" s="23" t="s">
        <v>532</v>
      </c>
      <c r="U44" s="23" t="s">
        <v>2272</v>
      </c>
      <c r="V44" s="23">
        <v>2</v>
      </c>
      <c r="W44" s="4" t="s">
        <v>1469</v>
      </c>
    </row>
    <row r="45" spans="1:23" ht="50.5" customHeight="1">
      <c r="A45" s="23" t="s">
        <v>160</v>
      </c>
      <c r="B45" s="23" t="s">
        <v>1401</v>
      </c>
      <c r="C45" s="23" t="s">
        <v>23</v>
      </c>
      <c r="D45" s="23" t="s">
        <v>141</v>
      </c>
      <c r="E45" s="26" t="s">
        <v>44</v>
      </c>
      <c r="F45" s="23" t="s">
        <v>73</v>
      </c>
      <c r="G45" s="23">
        <v>2008</v>
      </c>
      <c r="H45" s="26" t="s">
        <v>539</v>
      </c>
      <c r="I45" s="23" t="s">
        <v>2272</v>
      </c>
      <c r="J45" s="23" t="s">
        <v>2272</v>
      </c>
      <c r="K45" s="23" t="s">
        <v>2272</v>
      </c>
      <c r="L45" s="23" t="s">
        <v>2272</v>
      </c>
      <c r="M45" s="23" t="s">
        <v>2272</v>
      </c>
      <c r="N45" s="23" t="s">
        <v>2272</v>
      </c>
      <c r="O45" s="23" t="s">
        <v>2272</v>
      </c>
      <c r="P45" s="23" t="s">
        <v>2272</v>
      </c>
      <c r="Q45" s="23" t="s">
        <v>2272</v>
      </c>
      <c r="R45" s="23" t="s">
        <v>532</v>
      </c>
      <c r="S45" s="23" t="s">
        <v>2272</v>
      </c>
      <c r="T45" s="23" t="s">
        <v>532</v>
      </c>
      <c r="U45" s="23" t="s">
        <v>2272</v>
      </c>
      <c r="V45" s="23">
        <v>2</v>
      </c>
      <c r="W45" s="4" t="s">
        <v>1469</v>
      </c>
    </row>
    <row r="46" spans="1:23" ht="50.5" customHeight="1">
      <c r="A46" s="23" t="s">
        <v>160</v>
      </c>
      <c r="B46" s="23" t="s">
        <v>1402</v>
      </c>
      <c r="C46" s="23" t="s">
        <v>23</v>
      </c>
      <c r="D46" s="23" t="s">
        <v>141</v>
      </c>
      <c r="E46" s="26" t="s">
        <v>44</v>
      </c>
      <c r="F46" s="23" t="s">
        <v>73</v>
      </c>
      <c r="G46" s="23">
        <v>2009</v>
      </c>
      <c r="H46" s="26" t="s">
        <v>539</v>
      </c>
      <c r="I46" s="23" t="s">
        <v>2272</v>
      </c>
      <c r="J46" s="23" t="s">
        <v>2272</v>
      </c>
      <c r="K46" s="23" t="s">
        <v>2272</v>
      </c>
      <c r="L46" s="23" t="s">
        <v>2272</v>
      </c>
      <c r="M46" s="23" t="s">
        <v>2272</v>
      </c>
      <c r="N46" s="23" t="s">
        <v>2272</v>
      </c>
      <c r="O46" s="23" t="s">
        <v>2272</v>
      </c>
      <c r="P46" s="23" t="s">
        <v>2272</v>
      </c>
      <c r="Q46" s="23" t="s">
        <v>2272</v>
      </c>
      <c r="R46" s="23" t="s">
        <v>532</v>
      </c>
      <c r="S46" s="23" t="s">
        <v>2272</v>
      </c>
      <c r="T46" s="23" t="s">
        <v>532</v>
      </c>
      <c r="U46" s="23" t="s">
        <v>2272</v>
      </c>
      <c r="V46" s="23">
        <v>2</v>
      </c>
      <c r="W46" s="4" t="s">
        <v>1469</v>
      </c>
    </row>
    <row r="47" spans="1:23" ht="50.5" customHeight="1">
      <c r="A47" s="23" t="s">
        <v>160</v>
      </c>
      <c r="B47" s="23" t="s">
        <v>1403</v>
      </c>
      <c r="C47" s="23" t="s">
        <v>23</v>
      </c>
      <c r="D47" s="23" t="s">
        <v>141</v>
      </c>
      <c r="E47" s="26" t="s">
        <v>44</v>
      </c>
      <c r="F47" s="23" t="s">
        <v>73</v>
      </c>
      <c r="G47" s="23">
        <v>2010</v>
      </c>
      <c r="H47" s="26" t="s">
        <v>539</v>
      </c>
      <c r="I47" s="23" t="s">
        <v>2272</v>
      </c>
      <c r="J47" s="23" t="s">
        <v>2272</v>
      </c>
      <c r="K47" s="23" t="s">
        <v>2272</v>
      </c>
      <c r="L47" s="23" t="s">
        <v>2272</v>
      </c>
      <c r="M47" s="23" t="s">
        <v>2272</v>
      </c>
      <c r="N47" s="23" t="s">
        <v>2272</v>
      </c>
      <c r="O47" s="23" t="s">
        <v>2272</v>
      </c>
      <c r="P47" s="23" t="s">
        <v>2272</v>
      </c>
      <c r="Q47" s="23" t="s">
        <v>2272</v>
      </c>
      <c r="R47" s="23" t="s">
        <v>532</v>
      </c>
      <c r="S47" s="23" t="s">
        <v>2272</v>
      </c>
      <c r="T47" s="23" t="s">
        <v>532</v>
      </c>
      <c r="U47" s="23" t="s">
        <v>2272</v>
      </c>
      <c r="V47" s="23">
        <v>2</v>
      </c>
      <c r="W47" s="4" t="s">
        <v>1469</v>
      </c>
    </row>
    <row r="48" spans="1:23" ht="50.5" customHeight="1">
      <c r="A48" s="23" t="s">
        <v>160</v>
      </c>
      <c r="B48" s="23" t="s">
        <v>1404</v>
      </c>
      <c r="C48" s="23" t="s">
        <v>23</v>
      </c>
      <c r="D48" s="23" t="s">
        <v>141</v>
      </c>
      <c r="E48" s="26" t="s">
        <v>44</v>
      </c>
      <c r="F48" s="23" t="s">
        <v>73</v>
      </c>
      <c r="G48" s="23">
        <v>2011</v>
      </c>
      <c r="H48" s="26" t="s">
        <v>539</v>
      </c>
      <c r="I48" s="23" t="s">
        <v>2272</v>
      </c>
      <c r="J48" s="23" t="s">
        <v>2272</v>
      </c>
      <c r="K48" s="23" t="s">
        <v>2272</v>
      </c>
      <c r="L48" s="23" t="s">
        <v>2272</v>
      </c>
      <c r="M48" s="23" t="s">
        <v>2272</v>
      </c>
      <c r="N48" s="23" t="s">
        <v>2272</v>
      </c>
      <c r="O48" s="23" t="s">
        <v>2272</v>
      </c>
      <c r="P48" s="23" t="s">
        <v>2272</v>
      </c>
      <c r="Q48" s="23" t="s">
        <v>2272</v>
      </c>
      <c r="R48" s="23" t="s">
        <v>532</v>
      </c>
      <c r="S48" s="23" t="s">
        <v>2272</v>
      </c>
      <c r="T48" s="23" t="s">
        <v>532</v>
      </c>
      <c r="U48" s="23" t="s">
        <v>2272</v>
      </c>
      <c r="V48" s="23">
        <v>2</v>
      </c>
      <c r="W48" s="4" t="s">
        <v>1469</v>
      </c>
    </row>
    <row r="49" spans="1:23" ht="50.5" customHeight="1">
      <c r="A49" s="23" t="s">
        <v>160</v>
      </c>
      <c r="B49" s="23" t="s">
        <v>1405</v>
      </c>
      <c r="C49" s="23" t="s">
        <v>23</v>
      </c>
      <c r="D49" s="23" t="s">
        <v>141</v>
      </c>
      <c r="E49" s="26" t="s">
        <v>44</v>
      </c>
      <c r="F49" s="23" t="s">
        <v>73</v>
      </c>
      <c r="G49" s="23">
        <v>2012</v>
      </c>
      <c r="H49" s="26" t="s">
        <v>539</v>
      </c>
      <c r="I49" s="23" t="s">
        <v>2272</v>
      </c>
      <c r="J49" s="23" t="s">
        <v>2272</v>
      </c>
      <c r="K49" s="23" t="s">
        <v>2272</v>
      </c>
      <c r="L49" s="23" t="s">
        <v>2272</v>
      </c>
      <c r="M49" s="23" t="s">
        <v>2272</v>
      </c>
      <c r="N49" s="23" t="s">
        <v>2272</v>
      </c>
      <c r="O49" s="23" t="s">
        <v>2272</v>
      </c>
      <c r="P49" s="23" t="s">
        <v>2272</v>
      </c>
      <c r="Q49" s="23" t="s">
        <v>2272</v>
      </c>
      <c r="R49" s="23" t="s">
        <v>532</v>
      </c>
      <c r="S49" s="23" t="s">
        <v>2272</v>
      </c>
      <c r="T49" s="23" t="s">
        <v>532</v>
      </c>
      <c r="U49" s="23" t="s">
        <v>2272</v>
      </c>
      <c r="V49" s="23">
        <v>2</v>
      </c>
      <c r="W49" s="4" t="s">
        <v>1469</v>
      </c>
    </row>
    <row r="50" spans="1:23" ht="50.5" customHeight="1">
      <c r="A50" s="23" t="s">
        <v>160</v>
      </c>
      <c r="B50" s="23" t="s">
        <v>1419</v>
      </c>
      <c r="C50" s="23" t="s">
        <v>23</v>
      </c>
      <c r="D50" s="23" t="s">
        <v>141</v>
      </c>
      <c r="E50" s="26" t="s">
        <v>394</v>
      </c>
      <c r="F50" s="23" t="s">
        <v>73</v>
      </c>
      <c r="G50" s="23">
        <v>2002</v>
      </c>
      <c r="H50" s="26" t="s">
        <v>539</v>
      </c>
      <c r="I50" s="23" t="s">
        <v>2272</v>
      </c>
      <c r="J50" s="23" t="s">
        <v>2272</v>
      </c>
      <c r="K50" s="23" t="s">
        <v>2272</v>
      </c>
      <c r="L50" s="23" t="s">
        <v>2272</v>
      </c>
      <c r="M50" s="23" t="s">
        <v>2272</v>
      </c>
      <c r="N50" s="23" t="s">
        <v>2272</v>
      </c>
      <c r="O50" s="23" t="s">
        <v>2272</v>
      </c>
      <c r="P50" s="23" t="s">
        <v>2272</v>
      </c>
      <c r="Q50" s="23" t="s">
        <v>2272</v>
      </c>
      <c r="R50" s="23" t="s">
        <v>532</v>
      </c>
      <c r="S50" s="23" t="s">
        <v>2272</v>
      </c>
      <c r="T50" s="23" t="s">
        <v>532</v>
      </c>
      <c r="U50" s="23" t="s">
        <v>2272</v>
      </c>
      <c r="V50" s="23">
        <v>2</v>
      </c>
      <c r="W50" s="4" t="s">
        <v>1469</v>
      </c>
    </row>
    <row r="51" spans="1:23" ht="50.5" customHeight="1">
      <c r="A51" s="23" t="s">
        <v>160</v>
      </c>
      <c r="B51" s="23" t="s">
        <v>1420</v>
      </c>
      <c r="C51" s="23" t="s">
        <v>23</v>
      </c>
      <c r="D51" s="23" t="s">
        <v>141</v>
      </c>
      <c r="E51" s="26" t="s">
        <v>394</v>
      </c>
      <c r="F51" s="23" t="s">
        <v>73</v>
      </c>
      <c r="G51" s="23">
        <v>2003</v>
      </c>
      <c r="H51" s="26" t="s">
        <v>539</v>
      </c>
      <c r="I51" s="23" t="s">
        <v>2272</v>
      </c>
      <c r="J51" s="23" t="s">
        <v>2272</v>
      </c>
      <c r="K51" s="23" t="s">
        <v>2272</v>
      </c>
      <c r="L51" s="23" t="s">
        <v>2272</v>
      </c>
      <c r="M51" s="23" t="s">
        <v>2272</v>
      </c>
      <c r="N51" s="23" t="s">
        <v>2272</v>
      </c>
      <c r="O51" s="23" t="s">
        <v>2272</v>
      </c>
      <c r="P51" s="23" t="s">
        <v>2272</v>
      </c>
      <c r="Q51" s="23" t="s">
        <v>2272</v>
      </c>
      <c r="R51" s="23" t="s">
        <v>532</v>
      </c>
      <c r="S51" s="23" t="s">
        <v>2272</v>
      </c>
      <c r="T51" s="23" t="s">
        <v>532</v>
      </c>
      <c r="U51" s="23" t="s">
        <v>2272</v>
      </c>
      <c r="V51" s="23">
        <v>2</v>
      </c>
      <c r="W51" s="4" t="s">
        <v>1469</v>
      </c>
    </row>
    <row r="52" spans="1:23" ht="50.5" customHeight="1">
      <c r="A52" s="23" t="s">
        <v>160</v>
      </c>
      <c r="B52" s="23" t="s">
        <v>1421</v>
      </c>
      <c r="C52" s="23" t="s">
        <v>23</v>
      </c>
      <c r="D52" s="23" t="s">
        <v>141</v>
      </c>
      <c r="E52" s="26" t="s">
        <v>394</v>
      </c>
      <c r="F52" s="23" t="s">
        <v>73</v>
      </c>
      <c r="G52" s="23">
        <v>2004</v>
      </c>
      <c r="H52" s="26" t="s">
        <v>539</v>
      </c>
      <c r="I52" s="23" t="s">
        <v>2272</v>
      </c>
      <c r="J52" s="23" t="s">
        <v>2272</v>
      </c>
      <c r="K52" s="23" t="s">
        <v>2272</v>
      </c>
      <c r="L52" s="23" t="s">
        <v>2272</v>
      </c>
      <c r="M52" s="23" t="s">
        <v>2272</v>
      </c>
      <c r="N52" s="23" t="s">
        <v>2272</v>
      </c>
      <c r="O52" s="23" t="s">
        <v>2272</v>
      </c>
      <c r="P52" s="23" t="s">
        <v>2272</v>
      </c>
      <c r="Q52" s="23" t="s">
        <v>2272</v>
      </c>
      <c r="R52" s="23" t="s">
        <v>532</v>
      </c>
      <c r="S52" s="23" t="s">
        <v>2272</v>
      </c>
      <c r="T52" s="23" t="s">
        <v>532</v>
      </c>
      <c r="U52" s="23" t="s">
        <v>2272</v>
      </c>
      <c r="V52" s="23">
        <v>2</v>
      </c>
      <c r="W52" s="4" t="s">
        <v>1469</v>
      </c>
    </row>
    <row r="53" spans="1:23" ht="50.5" customHeight="1">
      <c r="A53" s="23" t="s">
        <v>160</v>
      </c>
      <c r="B53" s="23" t="s">
        <v>1422</v>
      </c>
      <c r="C53" s="23" t="s">
        <v>23</v>
      </c>
      <c r="D53" s="23" t="s">
        <v>141</v>
      </c>
      <c r="E53" s="26" t="s">
        <v>394</v>
      </c>
      <c r="F53" s="23" t="s">
        <v>73</v>
      </c>
      <c r="G53" s="23">
        <v>2005</v>
      </c>
      <c r="H53" s="26" t="s">
        <v>539</v>
      </c>
      <c r="I53" s="23" t="s">
        <v>2272</v>
      </c>
      <c r="J53" s="23" t="s">
        <v>2272</v>
      </c>
      <c r="K53" s="23" t="s">
        <v>2272</v>
      </c>
      <c r="L53" s="23" t="s">
        <v>2272</v>
      </c>
      <c r="M53" s="23" t="s">
        <v>2272</v>
      </c>
      <c r="N53" s="23" t="s">
        <v>2272</v>
      </c>
      <c r="O53" s="23" t="s">
        <v>2272</v>
      </c>
      <c r="P53" s="23" t="s">
        <v>2272</v>
      </c>
      <c r="Q53" s="23" t="s">
        <v>2272</v>
      </c>
      <c r="R53" s="23" t="s">
        <v>532</v>
      </c>
      <c r="S53" s="23" t="s">
        <v>2272</v>
      </c>
      <c r="T53" s="23" t="s">
        <v>532</v>
      </c>
      <c r="U53" s="23" t="s">
        <v>2272</v>
      </c>
      <c r="V53" s="23">
        <v>2</v>
      </c>
      <c r="W53" s="4" t="s">
        <v>1469</v>
      </c>
    </row>
    <row r="54" spans="1:23" ht="50.5" customHeight="1">
      <c r="A54" s="23" t="s">
        <v>160</v>
      </c>
      <c r="B54" s="23" t="s">
        <v>1423</v>
      </c>
      <c r="C54" s="23" t="s">
        <v>23</v>
      </c>
      <c r="D54" s="23" t="s">
        <v>141</v>
      </c>
      <c r="E54" s="26" t="s">
        <v>394</v>
      </c>
      <c r="F54" s="23" t="s">
        <v>73</v>
      </c>
      <c r="G54" s="23">
        <v>2006</v>
      </c>
      <c r="H54" s="26" t="s">
        <v>539</v>
      </c>
      <c r="I54" s="23" t="s">
        <v>2272</v>
      </c>
      <c r="J54" s="23" t="s">
        <v>2272</v>
      </c>
      <c r="K54" s="23" t="s">
        <v>2272</v>
      </c>
      <c r="L54" s="23" t="s">
        <v>2272</v>
      </c>
      <c r="M54" s="23" t="s">
        <v>2272</v>
      </c>
      <c r="N54" s="23" t="s">
        <v>2272</v>
      </c>
      <c r="O54" s="23" t="s">
        <v>2272</v>
      </c>
      <c r="P54" s="23" t="s">
        <v>2272</v>
      </c>
      <c r="Q54" s="23" t="s">
        <v>2272</v>
      </c>
      <c r="R54" s="23" t="s">
        <v>532</v>
      </c>
      <c r="S54" s="23" t="s">
        <v>2272</v>
      </c>
      <c r="T54" s="23" t="s">
        <v>532</v>
      </c>
      <c r="U54" s="23" t="s">
        <v>2272</v>
      </c>
      <c r="V54" s="23">
        <v>2</v>
      </c>
      <c r="W54" s="4" t="s">
        <v>1469</v>
      </c>
    </row>
    <row r="55" spans="1:23" ht="50.5" customHeight="1">
      <c r="A55" s="23" t="s">
        <v>160</v>
      </c>
      <c r="B55" s="23" t="s">
        <v>1424</v>
      </c>
      <c r="C55" s="23" t="s">
        <v>23</v>
      </c>
      <c r="D55" s="23" t="s">
        <v>141</v>
      </c>
      <c r="E55" s="26" t="s">
        <v>394</v>
      </c>
      <c r="F55" s="23" t="s">
        <v>73</v>
      </c>
      <c r="G55" s="23">
        <v>2007</v>
      </c>
      <c r="H55" s="26" t="s">
        <v>539</v>
      </c>
      <c r="I55" s="23" t="s">
        <v>2272</v>
      </c>
      <c r="J55" s="23" t="s">
        <v>2272</v>
      </c>
      <c r="K55" s="23" t="s">
        <v>2272</v>
      </c>
      <c r="L55" s="23" t="s">
        <v>2272</v>
      </c>
      <c r="M55" s="23" t="s">
        <v>2272</v>
      </c>
      <c r="N55" s="23" t="s">
        <v>2272</v>
      </c>
      <c r="O55" s="23" t="s">
        <v>2272</v>
      </c>
      <c r="P55" s="23" t="s">
        <v>2272</v>
      </c>
      <c r="Q55" s="23" t="s">
        <v>2272</v>
      </c>
      <c r="R55" s="23" t="s">
        <v>532</v>
      </c>
      <c r="S55" s="23" t="s">
        <v>2272</v>
      </c>
      <c r="T55" s="23" t="s">
        <v>532</v>
      </c>
      <c r="U55" s="23" t="s">
        <v>2272</v>
      </c>
      <c r="V55" s="23">
        <v>2</v>
      </c>
      <c r="W55" s="4" t="s">
        <v>1469</v>
      </c>
    </row>
    <row r="56" spans="1:23" ht="50.5" customHeight="1">
      <c r="A56" s="23" t="s">
        <v>160</v>
      </c>
      <c r="B56" s="23" t="s">
        <v>1425</v>
      </c>
      <c r="C56" s="23" t="s">
        <v>23</v>
      </c>
      <c r="D56" s="23" t="s">
        <v>141</v>
      </c>
      <c r="E56" s="26" t="s">
        <v>394</v>
      </c>
      <c r="F56" s="23" t="s">
        <v>73</v>
      </c>
      <c r="G56" s="23">
        <v>2008</v>
      </c>
      <c r="H56" s="26" t="s">
        <v>539</v>
      </c>
      <c r="I56" s="23" t="s">
        <v>2272</v>
      </c>
      <c r="J56" s="23" t="s">
        <v>2272</v>
      </c>
      <c r="K56" s="23" t="s">
        <v>2272</v>
      </c>
      <c r="L56" s="23" t="s">
        <v>2272</v>
      </c>
      <c r="M56" s="23" t="s">
        <v>2272</v>
      </c>
      <c r="N56" s="23" t="s">
        <v>2272</v>
      </c>
      <c r="O56" s="23" t="s">
        <v>2272</v>
      </c>
      <c r="P56" s="23" t="s">
        <v>2272</v>
      </c>
      <c r="Q56" s="23" t="s">
        <v>2272</v>
      </c>
      <c r="R56" s="23" t="s">
        <v>532</v>
      </c>
      <c r="S56" s="23" t="s">
        <v>2272</v>
      </c>
      <c r="T56" s="23" t="s">
        <v>532</v>
      </c>
      <c r="U56" s="23" t="s">
        <v>2272</v>
      </c>
      <c r="V56" s="23">
        <v>2</v>
      </c>
      <c r="W56" s="4" t="s">
        <v>1469</v>
      </c>
    </row>
    <row r="57" spans="1:23" ht="50.5" customHeight="1">
      <c r="A57" s="23" t="s">
        <v>160</v>
      </c>
      <c r="B57" s="23" t="s">
        <v>1426</v>
      </c>
      <c r="C57" s="23" t="s">
        <v>23</v>
      </c>
      <c r="D57" s="23" t="s">
        <v>141</v>
      </c>
      <c r="E57" s="26" t="s">
        <v>394</v>
      </c>
      <c r="F57" s="23" t="s">
        <v>73</v>
      </c>
      <c r="G57" s="23">
        <v>2009</v>
      </c>
      <c r="H57" s="26" t="s">
        <v>539</v>
      </c>
      <c r="I57" s="23" t="s">
        <v>2272</v>
      </c>
      <c r="J57" s="23" t="s">
        <v>2272</v>
      </c>
      <c r="K57" s="23" t="s">
        <v>2272</v>
      </c>
      <c r="L57" s="23" t="s">
        <v>2272</v>
      </c>
      <c r="M57" s="23" t="s">
        <v>2272</v>
      </c>
      <c r="N57" s="23" t="s">
        <v>2272</v>
      </c>
      <c r="O57" s="23" t="s">
        <v>2272</v>
      </c>
      <c r="P57" s="23" t="s">
        <v>2272</v>
      </c>
      <c r="Q57" s="23" t="s">
        <v>2272</v>
      </c>
      <c r="R57" s="23" t="s">
        <v>532</v>
      </c>
      <c r="S57" s="23" t="s">
        <v>2272</v>
      </c>
      <c r="T57" s="23" t="s">
        <v>532</v>
      </c>
      <c r="U57" s="23" t="s">
        <v>2272</v>
      </c>
      <c r="V57" s="23">
        <v>2</v>
      </c>
      <c r="W57" s="4" t="s">
        <v>1469</v>
      </c>
    </row>
    <row r="58" spans="1:23" ht="50.5" customHeight="1">
      <c r="A58" s="23" t="s">
        <v>160</v>
      </c>
      <c r="B58" s="23" t="s">
        <v>1427</v>
      </c>
      <c r="C58" s="23" t="s">
        <v>23</v>
      </c>
      <c r="D58" s="23" t="s">
        <v>141</v>
      </c>
      <c r="E58" s="26" t="s">
        <v>394</v>
      </c>
      <c r="F58" s="23" t="s">
        <v>73</v>
      </c>
      <c r="G58" s="23">
        <v>2010</v>
      </c>
      <c r="H58" s="26" t="s">
        <v>539</v>
      </c>
      <c r="I58" s="23" t="s">
        <v>2272</v>
      </c>
      <c r="J58" s="23" t="s">
        <v>2272</v>
      </c>
      <c r="K58" s="23" t="s">
        <v>2272</v>
      </c>
      <c r="L58" s="23" t="s">
        <v>2272</v>
      </c>
      <c r="M58" s="23" t="s">
        <v>2272</v>
      </c>
      <c r="N58" s="23" t="s">
        <v>2272</v>
      </c>
      <c r="O58" s="23" t="s">
        <v>2272</v>
      </c>
      <c r="P58" s="23" t="s">
        <v>2272</v>
      </c>
      <c r="Q58" s="23" t="s">
        <v>2272</v>
      </c>
      <c r="R58" s="23" t="s">
        <v>532</v>
      </c>
      <c r="S58" s="23" t="s">
        <v>2272</v>
      </c>
      <c r="T58" s="23" t="s">
        <v>532</v>
      </c>
      <c r="U58" s="23" t="s">
        <v>2272</v>
      </c>
      <c r="V58" s="23">
        <v>2</v>
      </c>
      <c r="W58" s="4" t="s">
        <v>1469</v>
      </c>
    </row>
    <row r="59" spans="1:23" ht="50.5" customHeight="1">
      <c r="A59" s="23" t="s">
        <v>160</v>
      </c>
      <c r="B59" s="23" t="s">
        <v>1428</v>
      </c>
      <c r="C59" s="23" t="s">
        <v>23</v>
      </c>
      <c r="D59" s="23" t="s">
        <v>141</v>
      </c>
      <c r="E59" s="26" t="s">
        <v>394</v>
      </c>
      <c r="F59" s="23" t="s">
        <v>73</v>
      </c>
      <c r="G59" s="23">
        <v>2011</v>
      </c>
      <c r="H59" s="26" t="s">
        <v>539</v>
      </c>
      <c r="I59" s="23" t="s">
        <v>2272</v>
      </c>
      <c r="J59" s="23" t="s">
        <v>2272</v>
      </c>
      <c r="K59" s="23" t="s">
        <v>2272</v>
      </c>
      <c r="L59" s="23" t="s">
        <v>2272</v>
      </c>
      <c r="M59" s="23" t="s">
        <v>2272</v>
      </c>
      <c r="N59" s="23" t="s">
        <v>2272</v>
      </c>
      <c r="O59" s="23" t="s">
        <v>2272</v>
      </c>
      <c r="P59" s="23" t="s">
        <v>2272</v>
      </c>
      <c r="Q59" s="23" t="s">
        <v>2272</v>
      </c>
      <c r="R59" s="23" t="s">
        <v>532</v>
      </c>
      <c r="S59" s="23" t="s">
        <v>2272</v>
      </c>
      <c r="T59" s="23" t="s">
        <v>532</v>
      </c>
      <c r="U59" s="23" t="s">
        <v>2272</v>
      </c>
      <c r="V59" s="23">
        <v>2</v>
      </c>
      <c r="W59" s="4" t="s">
        <v>1469</v>
      </c>
    </row>
    <row r="60" spans="1:23" ht="50.5" customHeight="1">
      <c r="A60" s="23" t="s">
        <v>160</v>
      </c>
      <c r="B60" s="23" t="s">
        <v>1429</v>
      </c>
      <c r="C60" s="23" t="s">
        <v>23</v>
      </c>
      <c r="D60" s="23" t="s">
        <v>141</v>
      </c>
      <c r="E60" s="26" t="s">
        <v>394</v>
      </c>
      <c r="F60" s="23" t="s">
        <v>73</v>
      </c>
      <c r="G60" s="23">
        <v>2012</v>
      </c>
      <c r="H60" s="26" t="s">
        <v>539</v>
      </c>
      <c r="I60" s="23" t="s">
        <v>2272</v>
      </c>
      <c r="J60" s="23" t="s">
        <v>2272</v>
      </c>
      <c r="K60" s="23" t="s">
        <v>2272</v>
      </c>
      <c r="L60" s="23" t="s">
        <v>2272</v>
      </c>
      <c r="M60" s="23" t="s">
        <v>2272</v>
      </c>
      <c r="N60" s="23" t="s">
        <v>2272</v>
      </c>
      <c r="O60" s="23" t="s">
        <v>2272</v>
      </c>
      <c r="P60" s="23" t="s">
        <v>2272</v>
      </c>
      <c r="Q60" s="23" t="s">
        <v>2272</v>
      </c>
      <c r="R60" s="23" t="s">
        <v>532</v>
      </c>
      <c r="S60" s="23" t="s">
        <v>2272</v>
      </c>
      <c r="T60" s="23" t="s">
        <v>532</v>
      </c>
      <c r="U60" s="23" t="s">
        <v>2272</v>
      </c>
      <c r="V60" s="23">
        <v>2</v>
      </c>
      <c r="W60" s="4" t="s">
        <v>1469</v>
      </c>
    </row>
    <row r="61" spans="1:23" ht="20.5" customHeight="1">
      <c r="A61" s="23" t="s">
        <v>161</v>
      </c>
      <c r="B61" s="23" t="s">
        <v>169</v>
      </c>
      <c r="C61" s="23" t="s">
        <v>23</v>
      </c>
      <c r="D61" s="23" t="s">
        <v>141</v>
      </c>
      <c r="E61" s="23" t="s">
        <v>82</v>
      </c>
      <c r="F61" s="23" t="s">
        <v>73</v>
      </c>
      <c r="G61" s="23">
        <v>2002</v>
      </c>
      <c r="H61" s="26" t="s">
        <v>539</v>
      </c>
      <c r="I61" s="23" t="s">
        <v>2272</v>
      </c>
      <c r="J61" s="23" t="s">
        <v>2272</v>
      </c>
      <c r="K61" s="23" t="s">
        <v>2272</v>
      </c>
      <c r="L61" s="23" t="s">
        <v>2272</v>
      </c>
      <c r="M61" s="23" t="s">
        <v>2272</v>
      </c>
      <c r="N61" s="23" t="s">
        <v>2272</v>
      </c>
      <c r="O61" s="23" t="s">
        <v>2272</v>
      </c>
      <c r="P61" s="23" t="s">
        <v>2272</v>
      </c>
      <c r="Q61" s="23" t="s">
        <v>2272</v>
      </c>
      <c r="R61" s="23" t="s">
        <v>532</v>
      </c>
      <c r="S61" s="23" t="s">
        <v>2272</v>
      </c>
      <c r="T61" s="23" t="s">
        <v>532</v>
      </c>
      <c r="U61" s="23" t="s">
        <v>2272</v>
      </c>
      <c r="V61" s="23">
        <v>2</v>
      </c>
      <c r="W61" s="3"/>
    </row>
    <row r="62" spans="1:23" ht="20.5" customHeight="1">
      <c r="A62" s="23" t="s">
        <v>161</v>
      </c>
      <c r="B62" s="23" t="s">
        <v>170</v>
      </c>
      <c r="C62" s="23" t="s">
        <v>23</v>
      </c>
      <c r="D62" s="23" t="s">
        <v>141</v>
      </c>
      <c r="E62" s="23" t="s">
        <v>82</v>
      </c>
      <c r="F62" s="23" t="s">
        <v>73</v>
      </c>
      <c r="G62" s="23">
        <v>2003</v>
      </c>
      <c r="H62" s="26" t="s">
        <v>539</v>
      </c>
      <c r="I62" s="23" t="s">
        <v>2272</v>
      </c>
      <c r="J62" s="23" t="s">
        <v>2272</v>
      </c>
      <c r="K62" s="23" t="s">
        <v>2272</v>
      </c>
      <c r="L62" s="23" t="s">
        <v>2272</v>
      </c>
      <c r="M62" s="23" t="s">
        <v>2272</v>
      </c>
      <c r="N62" s="23" t="s">
        <v>2272</v>
      </c>
      <c r="O62" s="23" t="s">
        <v>2272</v>
      </c>
      <c r="P62" s="23" t="s">
        <v>2272</v>
      </c>
      <c r="Q62" s="23" t="s">
        <v>2272</v>
      </c>
      <c r="R62" s="23" t="s">
        <v>532</v>
      </c>
      <c r="S62" s="23" t="s">
        <v>2272</v>
      </c>
      <c r="T62" s="23" t="s">
        <v>532</v>
      </c>
      <c r="U62" s="23" t="s">
        <v>2272</v>
      </c>
      <c r="V62" s="23">
        <v>2</v>
      </c>
      <c r="W62" s="4"/>
    </row>
    <row r="63" spans="1:23" ht="20.5" customHeight="1">
      <c r="A63" s="23" t="s">
        <v>161</v>
      </c>
      <c r="B63" s="23" t="s">
        <v>171</v>
      </c>
      <c r="C63" s="23" t="s">
        <v>23</v>
      </c>
      <c r="D63" s="23" t="s">
        <v>141</v>
      </c>
      <c r="E63" s="23" t="s">
        <v>82</v>
      </c>
      <c r="F63" s="23" t="s">
        <v>73</v>
      </c>
      <c r="G63" s="23">
        <v>2004</v>
      </c>
      <c r="H63" s="26" t="s">
        <v>539</v>
      </c>
      <c r="I63" s="23" t="s">
        <v>2272</v>
      </c>
      <c r="J63" s="23" t="s">
        <v>2272</v>
      </c>
      <c r="K63" s="23" t="s">
        <v>2272</v>
      </c>
      <c r="L63" s="23" t="s">
        <v>2272</v>
      </c>
      <c r="M63" s="23" t="s">
        <v>2272</v>
      </c>
      <c r="N63" s="23" t="s">
        <v>2272</v>
      </c>
      <c r="O63" s="23" t="s">
        <v>2272</v>
      </c>
      <c r="P63" s="23" t="s">
        <v>2272</v>
      </c>
      <c r="Q63" s="23" t="s">
        <v>2272</v>
      </c>
      <c r="R63" s="23" t="s">
        <v>532</v>
      </c>
      <c r="S63" s="23" t="s">
        <v>2272</v>
      </c>
      <c r="T63" s="23" t="s">
        <v>532</v>
      </c>
      <c r="U63" s="23" t="s">
        <v>2272</v>
      </c>
      <c r="V63" s="23">
        <v>2</v>
      </c>
      <c r="W63" s="4"/>
    </row>
    <row r="64" spans="1:23" ht="56.5" customHeight="1">
      <c r="A64" s="23" t="s">
        <v>161</v>
      </c>
      <c r="B64" s="23" t="s">
        <v>1408</v>
      </c>
      <c r="C64" s="23" t="s">
        <v>23</v>
      </c>
      <c r="D64" s="23" t="s">
        <v>141</v>
      </c>
      <c r="E64" s="23" t="s">
        <v>82</v>
      </c>
      <c r="F64" s="23" t="s">
        <v>73</v>
      </c>
      <c r="G64" s="23">
        <v>2005</v>
      </c>
      <c r="H64" s="26" t="s">
        <v>539</v>
      </c>
      <c r="I64" s="23" t="s">
        <v>2272</v>
      </c>
      <c r="J64" s="23" t="s">
        <v>2272</v>
      </c>
      <c r="K64" s="23" t="s">
        <v>2272</v>
      </c>
      <c r="L64" s="23" t="s">
        <v>2272</v>
      </c>
      <c r="M64" s="23" t="s">
        <v>2272</v>
      </c>
      <c r="N64" s="23" t="s">
        <v>2272</v>
      </c>
      <c r="O64" s="23" t="s">
        <v>2272</v>
      </c>
      <c r="P64" s="23" t="s">
        <v>2272</v>
      </c>
      <c r="Q64" s="23" t="s">
        <v>2272</v>
      </c>
      <c r="R64" s="23" t="s">
        <v>532</v>
      </c>
      <c r="S64" s="23" t="s">
        <v>2272</v>
      </c>
      <c r="T64" s="23" t="s">
        <v>532</v>
      </c>
      <c r="U64" s="23" t="s">
        <v>2272</v>
      </c>
      <c r="V64" s="23">
        <v>4</v>
      </c>
      <c r="W64" s="4" t="s">
        <v>1452</v>
      </c>
    </row>
    <row r="65" spans="1:23" ht="52" customHeight="1">
      <c r="A65" s="23" t="s">
        <v>161</v>
      </c>
      <c r="B65" s="23" t="s">
        <v>1409</v>
      </c>
      <c r="C65" s="23" t="s">
        <v>23</v>
      </c>
      <c r="D65" s="23" t="s">
        <v>141</v>
      </c>
      <c r="E65" s="23" t="s">
        <v>82</v>
      </c>
      <c r="F65" s="23" t="s">
        <v>73</v>
      </c>
      <c r="G65" s="23">
        <v>2006</v>
      </c>
      <c r="H65" s="26" t="s">
        <v>539</v>
      </c>
      <c r="I65" s="23" t="s">
        <v>2272</v>
      </c>
      <c r="J65" s="23" t="s">
        <v>2272</v>
      </c>
      <c r="K65" s="23" t="s">
        <v>2272</v>
      </c>
      <c r="L65" s="23" t="s">
        <v>2272</v>
      </c>
      <c r="M65" s="23" t="s">
        <v>2272</v>
      </c>
      <c r="N65" s="23" t="s">
        <v>2272</v>
      </c>
      <c r="O65" s="23" t="s">
        <v>2272</v>
      </c>
      <c r="P65" s="23" t="s">
        <v>2272</v>
      </c>
      <c r="Q65" s="23" t="s">
        <v>2272</v>
      </c>
      <c r="R65" s="23" t="s">
        <v>532</v>
      </c>
      <c r="S65" s="23" t="s">
        <v>2272</v>
      </c>
      <c r="T65" s="23" t="s">
        <v>532</v>
      </c>
      <c r="U65" s="23" t="s">
        <v>2272</v>
      </c>
      <c r="V65" s="23">
        <v>4</v>
      </c>
      <c r="W65" s="4" t="s">
        <v>1453</v>
      </c>
    </row>
    <row r="66" spans="1:23" ht="52" customHeight="1">
      <c r="A66" s="23" t="s">
        <v>161</v>
      </c>
      <c r="B66" s="23" t="s">
        <v>1410</v>
      </c>
      <c r="C66" s="23" t="s">
        <v>23</v>
      </c>
      <c r="D66" s="23" t="s">
        <v>141</v>
      </c>
      <c r="E66" s="23" t="s">
        <v>82</v>
      </c>
      <c r="F66" s="23" t="s">
        <v>73</v>
      </c>
      <c r="G66" s="23">
        <v>2007</v>
      </c>
      <c r="H66" s="26" t="s">
        <v>539</v>
      </c>
      <c r="I66" s="23" t="s">
        <v>2272</v>
      </c>
      <c r="J66" s="23" t="s">
        <v>2272</v>
      </c>
      <c r="K66" s="23" t="s">
        <v>2272</v>
      </c>
      <c r="L66" s="23" t="s">
        <v>2272</v>
      </c>
      <c r="M66" s="23" t="s">
        <v>2272</v>
      </c>
      <c r="N66" s="23" t="s">
        <v>2272</v>
      </c>
      <c r="O66" s="23" t="s">
        <v>2272</v>
      </c>
      <c r="P66" s="23" t="s">
        <v>2272</v>
      </c>
      <c r="Q66" s="23" t="s">
        <v>2272</v>
      </c>
      <c r="R66" s="23" t="s">
        <v>532</v>
      </c>
      <c r="S66" s="23" t="s">
        <v>2272</v>
      </c>
      <c r="T66" s="23" t="s">
        <v>532</v>
      </c>
      <c r="U66" s="23" t="s">
        <v>2272</v>
      </c>
      <c r="V66" s="23">
        <v>4</v>
      </c>
      <c r="W66" s="4" t="s">
        <v>1453</v>
      </c>
    </row>
    <row r="67" spans="1:23" ht="52" customHeight="1">
      <c r="A67" s="23" t="s">
        <v>161</v>
      </c>
      <c r="B67" s="23" t="s">
        <v>1411</v>
      </c>
      <c r="C67" s="23" t="s">
        <v>23</v>
      </c>
      <c r="D67" s="23" t="s">
        <v>141</v>
      </c>
      <c r="E67" s="23" t="s">
        <v>82</v>
      </c>
      <c r="F67" s="23" t="s">
        <v>73</v>
      </c>
      <c r="G67" s="23">
        <v>2008</v>
      </c>
      <c r="H67" s="26" t="s">
        <v>539</v>
      </c>
      <c r="I67" s="23" t="s">
        <v>2272</v>
      </c>
      <c r="J67" s="23" t="s">
        <v>2272</v>
      </c>
      <c r="K67" s="23" t="s">
        <v>2272</v>
      </c>
      <c r="L67" s="23" t="s">
        <v>2272</v>
      </c>
      <c r="M67" s="23" t="s">
        <v>2272</v>
      </c>
      <c r="N67" s="23" t="s">
        <v>2272</v>
      </c>
      <c r="O67" s="23" t="s">
        <v>2272</v>
      </c>
      <c r="P67" s="23" t="s">
        <v>2272</v>
      </c>
      <c r="Q67" s="23" t="s">
        <v>2272</v>
      </c>
      <c r="R67" s="23" t="s">
        <v>532</v>
      </c>
      <c r="S67" s="23" t="s">
        <v>2272</v>
      </c>
      <c r="T67" s="23" t="s">
        <v>532</v>
      </c>
      <c r="U67" s="23" t="s">
        <v>2272</v>
      </c>
      <c r="V67" s="23">
        <v>4</v>
      </c>
      <c r="W67" s="4" t="s">
        <v>1453</v>
      </c>
    </row>
    <row r="68" spans="1:23" ht="52" customHeight="1">
      <c r="A68" s="23" t="s">
        <v>161</v>
      </c>
      <c r="B68" s="23" t="s">
        <v>1412</v>
      </c>
      <c r="C68" s="23" t="s">
        <v>23</v>
      </c>
      <c r="D68" s="23" t="s">
        <v>141</v>
      </c>
      <c r="E68" s="23" t="s">
        <v>82</v>
      </c>
      <c r="F68" s="23" t="s">
        <v>73</v>
      </c>
      <c r="G68" s="23">
        <v>2009</v>
      </c>
      <c r="H68" s="26" t="s">
        <v>539</v>
      </c>
      <c r="I68" s="23" t="s">
        <v>2272</v>
      </c>
      <c r="J68" s="23" t="s">
        <v>2272</v>
      </c>
      <c r="K68" s="23" t="s">
        <v>2272</v>
      </c>
      <c r="L68" s="23" t="s">
        <v>2272</v>
      </c>
      <c r="M68" s="23" t="s">
        <v>2272</v>
      </c>
      <c r="N68" s="23" t="s">
        <v>2272</v>
      </c>
      <c r="O68" s="23" t="s">
        <v>2272</v>
      </c>
      <c r="P68" s="23" t="s">
        <v>2272</v>
      </c>
      <c r="Q68" s="23" t="s">
        <v>2272</v>
      </c>
      <c r="R68" s="23" t="s">
        <v>532</v>
      </c>
      <c r="S68" s="23" t="s">
        <v>2272</v>
      </c>
      <c r="T68" s="23" t="s">
        <v>532</v>
      </c>
      <c r="U68" s="23" t="s">
        <v>2272</v>
      </c>
      <c r="V68" s="23">
        <v>4</v>
      </c>
      <c r="W68" s="4" t="s">
        <v>1453</v>
      </c>
    </row>
    <row r="69" spans="1:23" ht="52" customHeight="1">
      <c r="A69" s="23" t="s">
        <v>161</v>
      </c>
      <c r="B69" s="23" t="s">
        <v>1413</v>
      </c>
      <c r="C69" s="23" t="s">
        <v>23</v>
      </c>
      <c r="D69" s="23" t="s">
        <v>141</v>
      </c>
      <c r="E69" s="23" t="s">
        <v>82</v>
      </c>
      <c r="F69" s="23" t="s">
        <v>73</v>
      </c>
      <c r="G69" s="23">
        <v>2010</v>
      </c>
      <c r="H69" s="26" t="s">
        <v>539</v>
      </c>
      <c r="I69" s="23" t="s">
        <v>2272</v>
      </c>
      <c r="J69" s="23" t="s">
        <v>2272</v>
      </c>
      <c r="K69" s="23" t="s">
        <v>2272</v>
      </c>
      <c r="L69" s="23" t="s">
        <v>2272</v>
      </c>
      <c r="M69" s="23" t="s">
        <v>2272</v>
      </c>
      <c r="N69" s="23" t="s">
        <v>2272</v>
      </c>
      <c r="O69" s="23" t="s">
        <v>2272</v>
      </c>
      <c r="P69" s="23" t="s">
        <v>2272</v>
      </c>
      <c r="Q69" s="23" t="s">
        <v>2272</v>
      </c>
      <c r="R69" s="23" t="s">
        <v>532</v>
      </c>
      <c r="S69" s="23" t="s">
        <v>2272</v>
      </c>
      <c r="T69" s="23" t="s">
        <v>532</v>
      </c>
      <c r="U69" s="23" t="s">
        <v>2272</v>
      </c>
      <c r="V69" s="23">
        <v>4</v>
      </c>
      <c r="W69" s="4" t="s">
        <v>1453</v>
      </c>
    </row>
    <row r="70" spans="1:23" ht="52" customHeight="1">
      <c r="A70" s="23" t="s">
        <v>161</v>
      </c>
      <c r="B70" s="23" t="s">
        <v>1414</v>
      </c>
      <c r="C70" s="23" t="s">
        <v>23</v>
      </c>
      <c r="D70" s="23" t="s">
        <v>141</v>
      </c>
      <c r="E70" s="23" t="s">
        <v>82</v>
      </c>
      <c r="F70" s="23" t="s">
        <v>73</v>
      </c>
      <c r="G70" s="23">
        <v>2011</v>
      </c>
      <c r="H70" s="26" t="s">
        <v>539</v>
      </c>
      <c r="I70" s="23" t="s">
        <v>2272</v>
      </c>
      <c r="J70" s="23" t="s">
        <v>2272</v>
      </c>
      <c r="K70" s="23" t="s">
        <v>2272</v>
      </c>
      <c r="L70" s="23" t="s">
        <v>2272</v>
      </c>
      <c r="M70" s="23" t="s">
        <v>2272</v>
      </c>
      <c r="N70" s="23" t="s">
        <v>2272</v>
      </c>
      <c r="O70" s="23" t="s">
        <v>2272</v>
      </c>
      <c r="P70" s="23" t="s">
        <v>2272</v>
      </c>
      <c r="Q70" s="23" t="s">
        <v>2272</v>
      </c>
      <c r="R70" s="23" t="s">
        <v>532</v>
      </c>
      <c r="S70" s="23" t="s">
        <v>2272</v>
      </c>
      <c r="T70" s="23" t="s">
        <v>532</v>
      </c>
      <c r="U70" s="23" t="s">
        <v>2272</v>
      </c>
      <c r="V70" s="23">
        <v>4</v>
      </c>
      <c r="W70" s="4" t="s">
        <v>1454</v>
      </c>
    </row>
    <row r="71" spans="1:23" ht="52" customHeight="1">
      <c r="A71" s="23" t="s">
        <v>161</v>
      </c>
      <c r="B71" s="23" t="s">
        <v>1415</v>
      </c>
      <c r="C71" s="23" t="s">
        <v>23</v>
      </c>
      <c r="D71" s="23" t="s">
        <v>141</v>
      </c>
      <c r="E71" s="23" t="s">
        <v>82</v>
      </c>
      <c r="F71" s="23" t="s">
        <v>73</v>
      </c>
      <c r="G71" s="23">
        <v>2012</v>
      </c>
      <c r="H71" s="26" t="s">
        <v>539</v>
      </c>
      <c r="I71" s="23" t="s">
        <v>2272</v>
      </c>
      <c r="J71" s="23" t="s">
        <v>2272</v>
      </c>
      <c r="K71" s="23" t="s">
        <v>2272</v>
      </c>
      <c r="L71" s="23" t="s">
        <v>2272</v>
      </c>
      <c r="M71" s="23" t="s">
        <v>2272</v>
      </c>
      <c r="N71" s="23" t="s">
        <v>2272</v>
      </c>
      <c r="O71" s="23" t="s">
        <v>2272</v>
      </c>
      <c r="P71" s="23" t="s">
        <v>2272</v>
      </c>
      <c r="Q71" s="23" t="s">
        <v>2272</v>
      </c>
      <c r="R71" s="23" t="s">
        <v>532</v>
      </c>
      <c r="S71" s="23" t="s">
        <v>2272</v>
      </c>
      <c r="T71" s="23" t="s">
        <v>532</v>
      </c>
      <c r="U71" s="23" t="s">
        <v>2272</v>
      </c>
      <c r="V71" s="23">
        <v>4</v>
      </c>
      <c r="W71" s="4" t="s">
        <v>1454</v>
      </c>
    </row>
    <row r="72" spans="1:23" ht="52" customHeight="1">
      <c r="A72" s="23" t="s">
        <v>161</v>
      </c>
      <c r="B72" s="23" t="s">
        <v>1416</v>
      </c>
      <c r="C72" s="23" t="s">
        <v>23</v>
      </c>
      <c r="D72" s="23" t="s">
        <v>141</v>
      </c>
      <c r="E72" s="26" t="s">
        <v>44</v>
      </c>
      <c r="F72" s="23" t="s">
        <v>73</v>
      </c>
      <c r="G72" s="23">
        <v>2002</v>
      </c>
      <c r="H72" s="26" t="s">
        <v>539</v>
      </c>
      <c r="I72" s="23" t="s">
        <v>2272</v>
      </c>
      <c r="J72" s="23" t="s">
        <v>2272</v>
      </c>
      <c r="K72" s="23" t="s">
        <v>2272</v>
      </c>
      <c r="L72" s="23" t="s">
        <v>2272</v>
      </c>
      <c r="M72" s="23" t="s">
        <v>2272</v>
      </c>
      <c r="N72" s="23" t="s">
        <v>2272</v>
      </c>
      <c r="O72" s="23" t="s">
        <v>2272</v>
      </c>
      <c r="P72" s="23" t="s">
        <v>2272</v>
      </c>
      <c r="Q72" s="23" t="s">
        <v>2272</v>
      </c>
      <c r="R72" s="23" t="s">
        <v>532</v>
      </c>
      <c r="S72" s="23" t="s">
        <v>2272</v>
      </c>
      <c r="T72" s="23" t="s">
        <v>532</v>
      </c>
      <c r="U72" s="23" t="s">
        <v>2272</v>
      </c>
      <c r="V72" s="23">
        <v>2</v>
      </c>
      <c r="W72" s="4" t="s">
        <v>1469</v>
      </c>
    </row>
    <row r="73" spans="1:23" ht="52" customHeight="1">
      <c r="A73" s="23" t="s">
        <v>161</v>
      </c>
      <c r="B73" s="23" t="s">
        <v>1417</v>
      </c>
      <c r="C73" s="23" t="s">
        <v>23</v>
      </c>
      <c r="D73" s="23" t="s">
        <v>141</v>
      </c>
      <c r="E73" s="26" t="s">
        <v>44</v>
      </c>
      <c r="F73" s="23" t="s">
        <v>73</v>
      </c>
      <c r="G73" s="23">
        <v>2003</v>
      </c>
      <c r="H73" s="26" t="s">
        <v>539</v>
      </c>
      <c r="I73" s="23" t="s">
        <v>2272</v>
      </c>
      <c r="J73" s="23" t="s">
        <v>2272</v>
      </c>
      <c r="K73" s="23" t="s">
        <v>2272</v>
      </c>
      <c r="L73" s="23" t="s">
        <v>2272</v>
      </c>
      <c r="M73" s="23" t="s">
        <v>2272</v>
      </c>
      <c r="N73" s="23" t="s">
        <v>2272</v>
      </c>
      <c r="O73" s="23" t="s">
        <v>2272</v>
      </c>
      <c r="P73" s="23" t="s">
        <v>2272</v>
      </c>
      <c r="Q73" s="23" t="s">
        <v>2272</v>
      </c>
      <c r="R73" s="23" t="s">
        <v>532</v>
      </c>
      <c r="S73" s="23" t="s">
        <v>2272</v>
      </c>
      <c r="T73" s="23" t="s">
        <v>532</v>
      </c>
      <c r="U73" s="23" t="s">
        <v>2272</v>
      </c>
      <c r="V73" s="23">
        <v>2</v>
      </c>
      <c r="W73" s="4" t="s">
        <v>1469</v>
      </c>
    </row>
    <row r="74" spans="1:23" ht="52" customHeight="1">
      <c r="A74" s="23" t="s">
        <v>161</v>
      </c>
      <c r="B74" s="23" t="s">
        <v>1418</v>
      </c>
      <c r="C74" s="23" t="s">
        <v>23</v>
      </c>
      <c r="D74" s="23" t="s">
        <v>141</v>
      </c>
      <c r="E74" s="26" t="s">
        <v>44</v>
      </c>
      <c r="F74" s="23" t="s">
        <v>73</v>
      </c>
      <c r="G74" s="23">
        <v>2004</v>
      </c>
      <c r="H74" s="26" t="s">
        <v>539</v>
      </c>
      <c r="I74" s="23" t="s">
        <v>2272</v>
      </c>
      <c r="J74" s="23" t="s">
        <v>2272</v>
      </c>
      <c r="K74" s="23" t="s">
        <v>2272</v>
      </c>
      <c r="L74" s="23" t="s">
        <v>2272</v>
      </c>
      <c r="M74" s="23" t="s">
        <v>2272</v>
      </c>
      <c r="N74" s="23" t="s">
        <v>2272</v>
      </c>
      <c r="O74" s="23" t="s">
        <v>2272</v>
      </c>
      <c r="P74" s="23" t="s">
        <v>2272</v>
      </c>
      <c r="Q74" s="23" t="s">
        <v>2272</v>
      </c>
      <c r="R74" s="23" t="s">
        <v>532</v>
      </c>
      <c r="S74" s="23" t="s">
        <v>2272</v>
      </c>
      <c r="T74" s="23" t="s">
        <v>532</v>
      </c>
      <c r="U74" s="23" t="s">
        <v>2272</v>
      </c>
      <c r="V74" s="23">
        <v>2</v>
      </c>
      <c r="W74" s="4" t="s">
        <v>1469</v>
      </c>
    </row>
    <row r="75" spans="1:23" ht="52" customHeight="1">
      <c r="A75" s="23" t="s">
        <v>161</v>
      </c>
      <c r="B75" s="23" t="s">
        <v>1430</v>
      </c>
      <c r="C75" s="23" t="s">
        <v>23</v>
      </c>
      <c r="D75" s="23" t="s">
        <v>141</v>
      </c>
      <c r="E75" s="26" t="s">
        <v>44</v>
      </c>
      <c r="F75" s="23" t="s">
        <v>73</v>
      </c>
      <c r="G75" s="23">
        <v>2005</v>
      </c>
      <c r="H75" s="26" t="s">
        <v>539</v>
      </c>
      <c r="I75" s="23" t="s">
        <v>2272</v>
      </c>
      <c r="J75" s="23" t="s">
        <v>2272</v>
      </c>
      <c r="K75" s="23" t="s">
        <v>2272</v>
      </c>
      <c r="L75" s="23" t="s">
        <v>2272</v>
      </c>
      <c r="M75" s="23" t="s">
        <v>2272</v>
      </c>
      <c r="N75" s="23" t="s">
        <v>2272</v>
      </c>
      <c r="O75" s="23" t="s">
        <v>2272</v>
      </c>
      <c r="P75" s="23" t="s">
        <v>2272</v>
      </c>
      <c r="Q75" s="23" t="s">
        <v>2272</v>
      </c>
      <c r="R75" s="23" t="s">
        <v>532</v>
      </c>
      <c r="S75" s="23" t="s">
        <v>2272</v>
      </c>
      <c r="T75" s="23" t="s">
        <v>532</v>
      </c>
      <c r="U75" s="23" t="s">
        <v>2272</v>
      </c>
      <c r="V75" s="23">
        <v>2</v>
      </c>
      <c r="W75" s="4" t="s">
        <v>1469</v>
      </c>
    </row>
    <row r="76" spans="1:23" ht="52" customHeight="1">
      <c r="A76" s="23" t="s">
        <v>161</v>
      </c>
      <c r="B76" s="23" t="s">
        <v>1431</v>
      </c>
      <c r="C76" s="23" t="s">
        <v>23</v>
      </c>
      <c r="D76" s="23" t="s">
        <v>141</v>
      </c>
      <c r="E76" s="26" t="s">
        <v>44</v>
      </c>
      <c r="F76" s="23" t="s">
        <v>73</v>
      </c>
      <c r="G76" s="23">
        <v>2006</v>
      </c>
      <c r="H76" s="26" t="s">
        <v>539</v>
      </c>
      <c r="I76" s="23" t="s">
        <v>2272</v>
      </c>
      <c r="J76" s="23" t="s">
        <v>2272</v>
      </c>
      <c r="K76" s="23" t="s">
        <v>2272</v>
      </c>
      <c r="L76" s="23" t="s">
        <v>2272</v>
      </c>
      <c r="M76" s="23" t="s">
        <v>2272</v>
      </c>
      <c r="N76" s="23" t="s">
        <v>2272</v>
      </c>
      <c r="O76" s="23" t="s">
        <v>2272</v>
      </c>
      <c r="P76" s="23" t="s">
        <v>2272</v>
      </c>
      <c r="Q76" s="23" t="s">
        <v>2272</v>
      </c>
      <c r="R76" s="23" t="s">
        <v>532</v>
      </c>
      <c r="S76" s="23" t="s">
        <v>2272</v>
      </c>
      <c r="T76" s="23" t="s">
        <v>532</v>
      </c>
      <c r="U76" s="23" t="s">
        <v>2272</v>
      </c>
      <c r="V76" s="23">
        <v>2</v>
      </c>
      <c r="W76" s="4" t="s">
        <v>1469</v>
      </c>
    </row>
    <row r="77" spans="1:23" ht="52" customHeight="1">
      <c r="A77" s="23" t="s">
        <v>161</v>
      </c>
      <c r="B77" s="23" t="s">
        <v>1432</v>
      </c>
      <c r="C77" s="23" t="s">
        <v>23</v>
      </c>
      <c r="D77" s="23" t="s">
        <v>141</v>
      </c>
      <c r="E77" s="26" t="s">
        <v>44</v>
      </c>
      <c r="F77" s="23" t="s">
        <v>73</v>
      </c>
      <c r="G77" s="23">
        <v>2007</v>
      </c>
      <c r="H77" s="26" t="s">
        <v>539</v>
      </c>
      <c r="I77" s="23" t="s">
        <v>2272</v>
      </c>
      <c r="J77" s="23" t="s">
        <v>2272</v>
      </c>
      <c r="K77" s="23" t="s">
        <v>2272</v>
      </c>
      <c r="L77" s="23" t="s">
        <v>2272</v>
      </c>
      <c r="M77" s="23" t="s">
        <v>2272</v>
      </c>
      <c r="N77" s="23" t="s">
        <v>2272</v>
      </c>
      <c r="O77" s="23" t="s">
        <v>2272</v>
      </c>
      <c r="P77" s="23" t="s">
        <v>2272</v>
      </c>
      <c r="Q77" s="23" t="s">
        <v>2272</v>
      </c>
      <c r="R77" s="23" t="s">
        <v>532</v>
      </c>
      <c r="S77" s="23" t="s">
        <v>2272</v>
      </c>
      <c r="T77" s="23" t="s">
        <v>532</v>
      </c>
      <c r="U77" s="23" t="s">
        <v>2272</v>
      </c>
      <c r="V77" s="23">
        <v>2</v>
      </c>
      <c r="W77" s="4" t="s">
        <v>1469</v>
      </c>
    </row>
    <row r="78" spans="1:23" ht="52" customHeight="1">
      <c r="A78" s="23" t="s">
        <v>161</v>
      </c>
      <c r="B78" s="23" t="s">
        <v>1433</v>
      </c>
      <c r="C78" s="23" t="s">
        <v>23</v>
      </c>
      <c r="D78" s="23" t="s">
        <v>141</v>
      </c>
      <c r="E78" s="26" t="s">
        <v>44</v>
      </c>
      <c r="F78" s="23" t="s">
        <v>73</v>
      </c>
      <c r="G78" s="23">
        <v>2008</v>
      </c>
      <c r="H78" s="26" t="s">
        <v>539</v>
      </c>
      <c r="I78" s="23" t="s">
        <v>2272</v>
      </c>
      <c r="J78" s="23" t="s">
        <v>2272</v>
      </c>
      <c r="K78" s="23" t="s">
        <v>2272</v>
      </c>
      <c r="L78" s="23" t="s">
        <v>2272</v>
      </c>
      <c r="M78" s="23" t="s">
        <v>2272</v>
      </c>
      <c r="N78" s="23" t="s">
        <v>2272</v>
      </c>
      <c r="O78" s="23" t="s">
        <v>2272</v>
      </c>
      <c r="P78" s="23" t="s">
        <v>2272</v>
      </c>
      <c r="Q78" s="23" t="s">
        <v>2272</v>
      </c>
      <c r="R78" s="23" t="s">
        <v>532</v>
      </c>
      <c r="S78" s="23" t="s">
        <v>2272</v>
      </c>
      <c r="T78" s="23" t="s">
        <v>532</v>
      </c>
      <c r="U78" s="23" t="s">
        <v>2272</v>
      </c>
      <c r="V78" s="23">
        <v>2</v>
      </c>
      <c r="W78" s="4" t="s">
        <v>1469</v>
      </c>
    </row>
    <row r="79" spans="1:23" ht="52" customHeight="1">
      <c r="A79" s="23" t="s">
        <v>161</v>
      </c>
      <c r="B79" s="23" t="s">
        <v>1434</v>
      </c>
      <c r="C79" s="23" t="s">
        <v>23</v>
      </c>
      <c r="D79" s="23" t="s">
        <v>141</v>
      </c>
      <c r="E79" s="26" t="s">
        <v>44</v>
      </c>
      <c r="F79" s="23" t="s">
        <v>73</v>
      </c>
      <c r="G79" s="23">
        <v>2009</v>
      </c>
      <c r="H79" s="26" t="s">
        <v>539</v>
      </c>
      <c r="I79" s="23" t="s">
        <v>2272</v>
      </c>
      <c r="J79" s="23" t="s">
        <v>2272</v>
      </c>
      <c r="K79" s="23" t="s">
        <v>2272</v>
      </c>
      <c r="L79" s="23" t="s">
        <v>2272</v>
      </c>
      <c r="M79" s="23" t="s">
        <v>2272</v>
      </c>
      <c r="N79" s="23" t="s">
        <v>2272</v>
      </c>
      <c r="O79" s="23" t="s">
        <v>2272</v>
      </c>
      <c r="P79" s="23" t="s">
        <v>2272</v>
      </c>
      <c r="Q79" s="23" t="s">
        <v>2272</v>
      </c>
      <c r="R79" s="23" t="s">
        <v>532</v>
      </c>
      <c r="S79" s="23" t="s">
        <v>2272</v>
      </c>
      <c r="T79" s="23" t="s">
        <v>532</v>
      </c>
      <c r="U79" s="23" t="s">
        <v>2272</v>
      </c>
      <c r="V79" s="23">
        <v>2</v>
      </c>
      <c r="W79" s="4" t="s">
        <v>1469</v>
      </c>
    </row>
    <row r="80" spans="1:23" ht="52" customHeight="1">
      <c r="A80" s="23" t="s">
        <v>161</v>
      </c>
      <c r="B80" s="23" t="s">
        <v>1435</v>
      </c>
      <c r="C80" s="23" t="s">
        <v>23</v>
      </c>
      <c r="D80" s="23" t="s">
        <v>141</v>
      </c>
      <c r="E80" s="26" t="s">
        <v>44</v>
      </c>
      <c r="F80" s="23" t="s">
        <v>73</v>
      </c>
      <c r="G80" s="23">
        <v>2010</v>
      </c>
      <c r="H80" s="26" t="s">
        <v>539</v>
      </c>
      <c r="I80" s="23" t="s">
        <v>2272</v>
      </c>
      <c r="J80" s="23" t="s">
        <v>2272</v>
      </c>
      <c r="K80" s="23" t="s">
        <v>2272</v>
      </c>
      <c r="L80" s="23" t="s">
        <v>2272</v>
      </c>
      <c r="M80" s="23" t="s">
        <v>2272</v>
      </c>
      <c r="N80" s="23" t="s">
        <v>2272</v>
      </c>
      <c r="O80" s="23" t="s">
        <v>2272</v>
      </c>
      <c r="P80" s="23" t="s">
        <v>2272</v>
      </c>
      <c r="Q80" s="23" t="s">
        <v>2272</v>
      </c>
      <c r="R80" s="23" t="s">
        <v>532</v>
      </c>
      <c r="S80" s="23" t="s">
        <v>2272</v>
      </c>
      <c r="T80" s="23" t="s">
        <v>532</v>
      </c>
      <c r="U80" s="23" t="s">
        <v>2272</v>
      </c>
      <c r="V80" s="23">
        <v>2</v>
      </c>
      <c r="W80" s="4" t="s">
        <v>1469</v>
      </c>
    </row>
    <row r="81" spans="1:23" ht="52" customHeight="1">
      <c r="A81" s="23" t="s">
        <v>161</v>
      </c>
      <c r="B81" s="23" t="s">
        <v>1436</v>
      </c>
      <c r="C81" s="23" t="s">
        <v>23</v>
      </c>
      <c r="D81" s="23" t="s">
        <v>141</v>
      </c>
      <c r="E81" s="26" t="s">
        <v>44</v>
      </c>
      <c r="F81" s="23" t="s">
        <v>73</v>
      </c>
      <c r="G81" s="23">
        <v>2011</v>
      </c>
      <c r="H81" s="26" t="s">
        <v>539</v>
      </c>
      <c r="I81" s="23" t="s">
        <v>2272</v>
      </c>
      <c r="J81" s="23" t="s">
        <v>2272</v>
      </c>
      <c r="K81" s="23" t="s">
        <v>2272</v>
      </c>
      <c r="L81" s="23" t="s">
        <v>2272</v>
      </c>
      <c r="M81" s="23" t="s">
        <v>2272</v>
      </c>
      <c r="N81" s="23" t="s">
        <v>2272</v>
      </c>
      <c r="O81" s="23" t="s">
        <v>2272</v>
      </c>
      <c r="P81" s="23" t="s">
        <v>2272</v>
      </c>
      <c r="Q81" s="23" t="s">
        <v>2272</v>
      </c>
      <c r="R81" s="23" t="s">
        <v>532</v>
      </c>
      <c r="S81" s="23" t="s">
        <v>2272</v>
      </c>
      <c r="T81" s="23" t="s">
        <v>532</v>
      </c>
      <c r="U81" s="23" t="s">
        <v>2272</v>
      </c>
      <c r="V81" s="23">
        <v>2</v>
      </c>
      <c r="W81" s="4" t="s">
        <v>1469</v>
      </c>
    </row>
    <row r="82" spans="1:23" ht="52" customHeight="1">
      <c r="A82" s="23" t="s">
        <v>161</v>
      </c>
      <c r="B82" s="23" t="s">
        <v>1437</v>
      </c>
      <c r="C82" s="23" t="s">
        <v>23</v>
      </c>
      <c r="D82" s="23" t="s">
        <v>141</v>
      </c>
      <c r="E82" s="26" t="s">
        <v>44</v>
      </c>
      <c r="F82" s="23" t="s">
        <v>73</v>
      </c>
      <c r="G82" s="23">
        <v>2012</v>
      </c>
      <c r="H82" s="26" t="s">
        <v>539</v>
      </c>
      <c r="I82" s="23" t="s">
        <v>2272</v>
      </c>
      <c r="J82" s="23" t="s">
        <v>2272</v>
      </c>
      <c r="K82" s="23" t="s">
        <v>2272</v>
      </c>
      <c r="L82" s="23" t="s">
        <v>2272</v>
      </c>
      <c r="M82" s="23" t="s">
        <v>2272</v>
      </c>
      <c r="N82" s="23" t="s">
        <v>2272</v>
      </c>
      <c r="O82" s="23" t="s">
        <v>2272</v>
      </c>
      <c r="P82" s="23" t="s">
        <v>2272</v>
      </c>
      <c r="Q82" s="23" t="s">
        <v>2272</v>
      </c>
      <c r="R82" s="23" t="s">
        <v>532</v>
      </c>
      <c r="S82" s="23" t="s">
        <v>2272</v>
      </c>
      <c r="T82" s="23" t="s">
        <v>532</v>
      </c>
      <c r="U82" s="23" t="s">
        <v>2272</v>
      </c>
      <c r="V82" s="23">
        <v>2</v>
      </c>
      <c r="W82" s="4" t="s">
        <v>1469</v>
      </c>
    </row>
    <row r="83" spans="1:23" ht="52" customHeight="1">
      <c r="A83" s="23" t="s">
        <v>161</v>
      </c>
      <c r="B83" s="23" t="s">
        <v>1440</v>
      </c>
      <c r="C83" s="23" t="s">
        <v>23</v>
      </c>
      <c r="D83" s="23" t="s">
        <v>141</v>
      </c>
      <c r="E83" s="26" t="s">
        <v>394</v>
      </c>
      <c r="F83" s="23" t="s">
        <v>73</v>
      </c>
      <c r="G83" s="23">
        <v>2002</v>
      </c>
      <c r="H83" s="26" t="s">
        <v>539</v>
      </c>
      <c r="I83" s="23" t="s">
        <v>2272</v>
      </c>
      <c r="J83" s="23" t="s">
        <v>2272</v>
      </c>
      <c r="K83" s="23" t="s">
        <v>2272</v>
      </c>
      <c r="L83" s="23" t="s">
        <v>2272</v>
      </c>
      <c r="M83" s="23" t="s">
        <v>2272</v>
      </c>
      <c r="N83" s="23" t="s">
        <v>2272</v>
      </c>
      <c r="O83" s="23" t="s">
        <v>2272</v>
      </c>
      <c r="P83" s="23" t="s">
        <v>2272</v>
      </c>
      <c r="Q83" s="23" t="s">
        <v>2272</v>
      </c>
      <c r="R83" s="23" t="s">
        <v>532</v>
      </c>
      <c r="S83" s="23" t="s">
        <v>2272</v>
      </c>
      <c r="T83" s="23" t="s">
        <v>532</v>
      </c>
      <c r="U83" s="23" t="s">
        <v>2272</v>
      </c>
      <c r="V83" s="23">
        <v>2</v>
      </c>
      <c r="W83" s="4" t="s">
        <v>1469</v>
      </c>
    </row>
    <row r="84" spans="1:23" ht="52" customHeight="1">
      <c r="A84" s="23" t="s">
        <v>161</v>
      </c>
      <c r="B84" s="23" t="s">
        <v>1441</v>
      </c>
      <c r="C84" s="23" t="s">
        <v>23</v>
      </c>
      <c r="D84" s="23" t="s">
        <v>141</v>
      </c>
      <c r="E84" s="26" t="s">
        <v>394</v>
      </c>
      <c r="F84" s="23" t="s">
        <v>73</v>
      </c>
      <c r="G84" s="23">
        <v>2003</v>
      </c>
      <c r="H84" s="26" t="s">
        <v>539</v>
      </c>
      <c r="I84" s="23" t="s">
        <v>2272</v>
      </c>
      <c r="J84" s="23" t="s">
        <v>2272</v>
      </c>
      <c r="K84" s="23" t="s">
        <v>2272</v>
      </c>
      <c r="L84" s="23" t="s">
        <v>2272</v>
      </c>
      <c r="M84" s="23" t="s">
        <v>2272</v>
      </c>
      <c r="N84" s="23" t="s">
        <v>2272</v>
      </c>
      <c r="O84" s="23" t="s">
        <v>2272</v>
      </c>
      <c r="P84" s="23" t="s">
        <v>2272</v>
      </c>
      <c r="Q84" s="23" t="s">
        <v>2272</v>
      </c>
      <c r="R84" s="23" t="s">
        <v>532</v>
      </c>
      <c r="S84" s="23" t="s">
        <v>2272</v>
      </c>
      <c r="T84" s="23" t="s">
        <v>532</v>
      </c>
      <c r="U84" s="23" t="s">
        <v>2272</v>
      </c>
      <c r="V84" s="23">
        <v>2</v>
      </c>
      <c r="W84" s="4" t="s">
        <v>1469</v>
      </c>
    </row>
    <row r="85" spans="1:23" ht="52" customHeight="1">
      <c r="A85" s="23" t="s">
        <v>161</v>
      </c>
      <c r="B85" s="23" t="s">
        <v>1442</v>
      </c>
      <c r="C85" s="23" t="s">
        <v>23</v>
      </c>
      <c r="D85" s="23" t="s">
        <v>141</v>
      </c>
      <c r="E85" s="26" t="s">
        <v>394</v>
      </c>
      <c r="F85" s="23" t="s">
        <v>73</v>
      </c>
      <c r="G85" s="23">
        <v>2004</v>
      </c>
      <c r="H85" s="26" t="s">
        <v>539</v>
      </c>
      <c r="I85" s="23" t="s">
        <v>2272</v>
      </c>
      <c r="J85" s="23" t="s">
        <v>2272</v>
      </c>
      <c r="K85" s="23" t="s">
        <v>2272</v>
      </c>
      <c r="L85" s="23" t="s">
        <v>2272</v>
      </c>
      <c r="M85" s="23" t="s">
        <v>2272</v>
      </c>
      <c r="N85" s="23" t="s">
        <v>2272</v>
      </c>
      <c r="O85" s="23" t="s">
        <v>2272</v>
      </c>
      <c r="P85" s="23" t="s">
        <v>2272</v>
      </c>
      <c r="Q85" s="23" t="s">
        <v>2272</v>
      </c>
      <c r="R85" s="23" t="s">
        <v>532</v>
      </c>
      <c r="S85" s="23" t="s">
        <v>2272</v>
      </c>
      <c r="T85" s="23" t="s">
        <v>532</v>
      </c>
      <c r="U85" s="23" t="s">
        <v>2272</v>
      </c>
      <c r="V85" s="23">
        <v>2</v>
      </c>
      <c r="W85" s="4" t="s">
        <v>1469</v>
      </c>
    </row>
    <row r="86" spans="1:23" ht="52" customHeight="1">
      <c r="A86" s="23" t="s">
        <v>161</v>
      </c>
      <c r="B86" s="23" t="s">
        <v>1443</v>
      </c>
      <c r="C86" s="23" t="s">
        <v>23</v>
      </c>
      <c r="D86" s="23" t="s">
        <v>141</v>
      </c>
      <c r="E86" s="26" t="s">
        <v>394</v>
      </c>
      <c r="F86" s="23" t="s">
        <v>73</v>
      </c>
      <c r="G86" s="23">
        <v>2005</v>
      </c>
      <c r="H86" s="26" t="s">
        <v>539</v>
      </c>
      <c r="I86" s="23" t="s">
        <v>2272</v>
      </c>
      <c r="J86" s="23" t="s">
        <v>2272</v>
      </c>
      <c r="K86" s="23" t="s">
        <v>2272</v>
      </c>
      <c r="L86" s="23" t="s">
        <v>2272</v>
      </c>
      <c r="M86" s="23" t="s">
        <v>2272</v>
      </c>
      <c r="N86" s="23" t="s">
        <v>2272</v>
      </c>
      <c r="O86" s="23" t="s">
        <v>2272</v>
      </c>
      <c r="P86" s="23" t="s">
        <v>2272</v>
      </c>
      <c r="Q86" s="23" t="s">
        <v>2272</v>
      </c>
      <c r="R86" s="23" t="s">
        <v>532</v>
      </c>
      <c r="S86" s="23" t="s">
        <v>2272</v>
      </c>
      <c r="T86" s="23" t="s">
        <v>532</v>
      </c>
      <c r="U86" s="23" t="s">
        <v>2272</v>
      </c>
      <c r="V86" s="23">
        <v>2</v>
      </c>
      <c r="W86" s="4" t="s">
        <v>1469</v>
      </c>
    </row>
    <row r="87" spans="1:23" ht="52" customHeight="1">
      <c r="A87" s="23" t="s">
        <v>161</v>
      </c>
      <c r="B87" s="23" t="s">
        <v>1444</v>
      </c>
      <c r="C87" s="23" t="s">
        <v>23</v>
      </c>
      <c r="D87" s="23" t="s">
        <v>141</v>
      </c>
      <c r="E87" s="26" t="s">
        <v>394</v>
      </c>
      <c r="F87" s="23" t="s">
        <v>73</v>
      </c>
      <c r="G87" s="23">
        <v>2006</v>
      </c>
      <c r="H87" s="26" t="s">
        <v>539</v>
      </c>
      <c r="I87" s="23" t="s">
        <v>2272</v>
      </c>
      <c r="J87" s="23" t="s">
        <v>2272</v>
      </c>
      <c r="K87" s="23" t="s">
        <v>2272</v>
      </c>
      <c r="L87" s="23" t="s">
        <v>2272</v>
      </c>
      <c r="M87" s="23" t="s">
        <v>2272</v>
      </c>
      <c r="N87" s="23" t="s">
        <v>2272</v>
      </c>
      <c r="O87" s="23" t="s">
        <v>2272</v>
      </c>
      <c r="P87" s="23" t="s">
        <v>2272</v>
      </c>
      <c r="Q87" s="23" t="s">
        <v>2272</v>
      </c>
      <c r="R87" s="23" t="s">
        <v>532</v>
      </c>
      <c r="S87" s="23" t="s">
        <v>2272</v>
      </c>
      <c r="T87" s="23" t="s">
        <v>532</v>
      </c>
      <c r="U87" s="23" t="s">
        <v>2272</v>
      </c>
      <c r="V87" s="23">
        <v>2</v>
      </c>
      <c r="W87" s="4" t="s">
        <v>1469</v>
      </c>
    </row>
    <row r="88" spans="1:23" ht="52" customHeight="1">
      <c r="A88" s="23" t="s">
        <v>161</v>
      </c>
      <c r="B88" s="23" t="s">
        <v>1445</v>
      </c>
      <c r="C88" s="23" t="s">
        <v>23</v>
      </c>
      <c r="D88" s="23" t="s">
        <v>141</v>
      </c>
      <c r="E88" s="26" t="s">
        <v>394</v>
      </c>
      <c r="F88" s="23" t="s">
        <v>73</v>
      </c>
      <c r="G88" s="23">
        <v>2007</v>
      </c>
      <c r="H88" s="26" t="s">
        <v>539</v>
      </c>
      <c r="I88" s="23" t="s">
        <v>2272</v>
      </c>
      <c r="J88" s="23" t="s">
        <v>2272</v>
      </c>
      <c r="K88" s="23" t="s">
        <v>2272</v>
      </c>
      <c r="L88" s="23" t="s">
        <v>2272</v>
      </c>
      <c r="M88" s="23" t="s">
        <v>2272</v>
      </c>
      <c r="N88" s="23" t="s">
        <v>2272</v>
      </c>
      <c r="O88" s="23" t="s">
        <v>2272</v>
      </c>
      <c r="P88" s="23" t="s">
        <v>2272</v>
      </c>
      <c r="Q88" s="23" t="s">
        <v>2272</v>
      </c>
      <c r="R88" s="23" t="s">
        <v>532</v>
      </c>
      <c r="S88" s="23" t="s">
        <v>2272</v>
      </c>
      <c r="T88" s="23" t="s">
        <v>532</v>
      </c>
      <c r="U88" s="23" t="s">
        <v>2272</v>
      </c>
      <c r="V88" s="23">
        <v>2</v>
      </c>
      <c r="W88" s="4" t="s">
        <v>1469</v>
      </c>
    </row>
    <row r="89" spans="1:23" ht="52" customHeight="1">
      <c r="A89" s="23" t="s">
        <v>161</v>
      </c>
      <c r="B89" s="23" t="s">
        <v>1446</v>
      </c>
      <c r="C89" s="23" t="s">
        <v>23</v>
      </c>
      <c r="D89" s="23" t="s">
        <v>141</v>
      </c>
      <c r="E89" s="26" t="s">
        <v>394</v>
      </c>
      <c r="F89" s="23" t="s">
        <v>73</v>
      </c>
      <c r="G89" s="23">
        <v>2008</v>
      </c>
      <c r="H89" s="26" t="s">
        <v>539</v>
      </c>
      <c r="I89" s="23" t="s">
        <v>2272</v>
      </c>
      <c r="J89" s="23" t="s">
        <v>2272</v>
      </c>
      <c r="K89" s="23" t="s">
        <v>2272</v>
      </c>
      <c r="L89" s="23" t="s">
        <v>2272</v>
      </c>
      <c r="M89" s="23" t="s">
        <v>2272</v>
      </c>
      <c r="N89" s="23" t="s">
        <v>2272</v>
      </c>
      <c r="O89" s="23" t="s">
        <v>2272</v>
      </c>
      <c r="P89" s="23" t="s">
        <v>2272</v>
      </c>
      <c r="Q89" s="23" t="s">
        <v>2272</v>
      </c>
      <c r="R89" s="23" t="s">
        <v>532</v>
      </c>
      <c r="S89" s="23" t="s">
        <v>2272</v>
      </c>
      <c r="T89" s="23" t="s">
        <v>532</v>
      </c>
      <c r="U89" s="23" t="s">
        <v>2272</v>
      </c>
      <c r="V89" s="23">
        <v>2</v>
      </c>
      <c r="W89" s="4" t="s">
        <v>1469</v>
      </c>
    </row>
    <row r="90" spans="1:23" ht="52" customHeight="1">
      <c r="A90" s="23" t="s">
        <v>161</v>
      </c>
      <c r="B90" s="23" t="s">
        <v>1447</v>
      </c>
      <c r="C90" s="23" t="s">
        <v>23</v>
      </c>
      <c r="D90" s="23" t="s">
        <v>141</v>
      </c>
      <c r="E90" s="26" t="s">
        <v>394</v>
      </c>
      <c r="F90" s="23" t="s">
        <v>73</v>
      </c>
      <c r="G90" s="23">
        <v>2009</v>
      </c>
      <c r="H90" s="26" t="s">
        <v>539</v>
      </c>
      <c r="I90" s="23" t="s">
        <v>2272</v>
      </c>
      <c r="J90" s="23" t="s">
        <v>2272</v>
      </c>
      <c r="K90" s="23" t="s">
        <v>2272</v>
      </c>
      <c r="L90" s="23" t="s">
        <v>2272</v>
      </c>
      <c r="M90" s="23" t="s">
        <v>2272</v>
      </c>
      <c r="N90" s="23" t="s">
        <v>2272</v>
      </c>
      <c r="O90" s="23" t="s">
        <v>2272</v>
      </c>
      <c r="P90" s="23" t="s">
        <v>2272</v>
      </c>
      <c r="Q90" s="23" t="s">
        <v>2272</v>
      </c>
      <c r="R90" s="23" t="s">
        <v>532</v>
      </c>
      <c r="S90" s="23" t="s">
        <v>2272</v>
      </c>
      <c r="T90" s="23" t="s">
        <v>532</v>
      </c>
      <c r="U90" s="23" t="s">
        <v>2272</v>
      </c>
      <c r="V90" s="23">
        <v>2</v>
      </c>
      <c r="W90" s="4" t="s">
        <v>1469</v>
      </c>
    </row>
    <row r="91" spans="1:23" ht="47" customHeight="1">
      <c r="A91" s="23" t="s">
        <v>161</v>
      </c>
      <c r="B91" s="23" t="s">
        <v>1448</v>
      </c>
      <c r="C91" s="23" t="s">
        <v>23</v>
      </c>
      <c r="D91" s="23" t="s">
        <v>141</v>
      </c>
      <c r="E91" s="26" t="s">
        <v>394</v>
      </c>
      <c r="F91" s="23" t="s">
        <v>73</v>
      </c>
      <c r="G91" s="23">
        <v>2010</v>
      </c>
      <c r="H91" s="26" t="s">
        <v>539</v>
      </c>
      <c r="I91" s="23" t="s">
        <v>2272</v>
      </c>
      <c r="J91" s="23" t="s">
        <v>2272</v>
      </c>
      <c r="K91" s="23" t="s">
        <v>2272</v>
      </c>
      <c r="L91" s="23" t="s">
        <v>2272</v>
      </c>
      <c r="M91" s="23" t="s">
        <v>2272</v>
      </c>
      <c r="N91" s="23" t="s">
        <v>2272</v>
      </c>
      <c r="O91" s="23" t="s">
        <v>2272</v>
      </c>
      <c r="P91" s="23" t="s">
        <v>2272</v>
      </c>
      <c r="Q91" s="23" t="s">
        <v>2272</v>
      </c>
      <c r="R91" s="23" t="s">
        <v>532</v>
      </c>
      <c r="S91" s="23" t="s">
        <v>2272</v>
      </c>
      <c r="T91" s="23" t="s">
        <v>532</v>
      </c>
      <c r="U91" s="23" t="s">
        <v>2272</v>
      </c>
      <c r="V91" s="23">
        <v>2</v>
      </c>
      <c r="W91" s="4" t="s">
        <v>1469</v>
      </c>
    </row>
    <row r="92" spans="1:23" ht="47" customHeight="1">
      <c r="A92" s="23" t="s">
        <v>161</v>
      </c>
      <c r="B92" s="23" t="s">
        <v>1449</v>
      </c>
      <c r="C92" s="23" t="s">
        <v>23</v>
      </c>
      <c r="D92" s="23" t="s">
        <v>141</v>
      </c>
      <c r="E92" s="26" t="s">
        <v>394</v>
      </c>
      <c r="F92" s="23" t="s">
        <v>73</v>
      </c>
      <c r="G92" s="23">
        <v>2011</v>
      </c>
      <c r="H92" s="26" t="s">
        <v>539</v>
      </c>
      <c r="I92" s="23" t="s">
        <v>2272</v>
      </c>
      <c r="J92" s="23" t="s">
        <v>2272</v>
      </c>
      <c r="K92" s="23" t="s">
        <v>2272</v>
      </c>
      <c r="L92" s="23" t="s">
        <v>2272</v>
      </c>
      <c r="M92" s="23" t="s">
        <v>2272</v>
      </c>
      <c r="N92" s="23" t="s">
        <v>2272</v>
      </c>
      <c r="O92" s="23" t="s">
        <v>2272</v>
      </c>
      <c r="P92" s="23" t="s">
        <v>2272</v>
      </c>
      <c r="Q92" s="23" t="s">
        <v>2272</v>
      </c>
      <c r="R92" s="23" t="s">
        <v>532</v>
      </c>
      <c r="S92" s="23" t="s">
        <v>2272</v>
      </c>
      <c r="T92" s="23" t="s">
        <v>532</v>
      </c>
      <c r="U92" s="23" t="s">
        <v>2272</v>
      </c>
      <c r="V92" s="23">
        <v>2</v>
      </c>
      <c r="W92" s="4" t="s">
        <v>1469</v>
      </c>
    </row>
    <row r="93" spans="1:23" ht="47" customHeight="1">
      <c r="A93" s="23" t="s">
        <v>161</v>
      </c>
      <c r="B93" s="23" t="s">
        <v>1450</v>
      </c>
      <c r="C93" s="23" t="s">
        <v>23</v>
      </c>
      <c r="D93" s="23" t="s">
        <v>141</v>
      </c>
      <c r="E93" s="26" t="s">
        <v>394</v>
      </c>
      <c r="F93" s="23" t="s">
        <v>73</v>
      </c>
      <c r="G93" s="23">
        <v>2012</v>
      </c>
      <c r="H93" s="26" t="s">
        <v>539</v>
      </c>
      <c r="I93" s="23" t="s">
        <v>2272</v>
      </c>
      <c r="J93" s="23" t="s">
        <v>2272</v>
      </c>
      <c r="K93" s="23" t="s">
        <v>2272</v>
      </c>
      <c r="L93" s="23" t="s">
        <v>2272</v>
      </c>
      <c r="M93" s="23" t="s">
        <v>2272</v>
      </c>
      <c r="N93" s="23" t="s">
        <v>2272</v>
      </c>
      <c r="O93" s="23" t="s">
        <v>2272</v>
      </c>
      <c r="P93" s="23" t="s">
        <v>2272</v>
      </c>
      <c r="Q93" s="23" t="s">
        <v>2272</v>
      </c>
      <c r="R93" s="23" t="s">
        <v>532</v>
      </c>
      <c r="S93" s="23" t="s">
        <v>2272</v>
      </c>
      <c r="T93" s="23" t="s">
        <v>532</v>
      </c>
      <c r="U93" s="23" t="s">
        <v>2272</v>
      </c>
      <c r="V93" s="23">
        <v>2</v>
      </c>
      <c r="W93" s="4" t="s">
        <v>1469</v>
      </c>
    </row>
    <row r="94" spans="1:23" ht="47" customHeight="1">
      <c r="A94" s="23" t="s">
        <v>380</v>
      </c>
      <c r="B94" s="23" t="s">
        <v>388</v>
      </c>
      <c r="C94" s="43" t="s">
        <v>23</v>
      </c>
      <c r="D94" s="43" t="s">
        <v>141</v>
      </c>
      <c r="E94" s="55" t="s">
        <v>395</v>
      </c>
      <c r="F94" s="43" t="s">
        <v>73</v>
      </c>
      <c r="G94" s="23">
        <v>1995</v>
      </c>
      <c r="H94" s="26" t="s">
        <v>1028</v>
      </c>
      <c r="I94" s="23" t="s">
        <v>2272</v>
      </c>
      <c r="J94" s="23" t="s">
        <v>2272</v>
      </c>
      <c r="K94" s="23" t="s">
        <v>2272</v>
      </c>
      <c r="L94" s="23" t="s">
        <v>2272</v>
      </c>
      <c r="M94" s="23" t="s">
        <v>2723</v>
      </c>
      <c r="N94" s="23" t="s">
        <v>532</v>
      </c>
      <c r="O94" s="23" t="s">
        <v>2272</v>
      </c>
      <c r="P94" s="23" t="s">
        <v>2272</v>
      </c>
      <c r="Q94" s="23">
        <v>2</v>
      </c>
      <c r="R94" s="23" t="s">
        <v>2272</v>
      </c>
      <c r="S94" s="23" t="s">
        <v>2272</v>
      </c>
      <c r="T94" s="23" t="s">
        <v>2272</v>
      </c>
      <c r="U94" s="23" t="s">
        <v>2272</v>
      </c>
      <c r="V94" s="48" t="s">
        <v>2272</v>
      </c>
      <c r="W94" s="4" t="s">
        <v>1468</v>
      </c>
    </row>
    <row r="95" spans="1:23" ht="47" customHeight="1">
      <c r="A95" s="23" t="s">
        <v>380</v>
      </c>
      <c r="B95" s="23" t="s">
        <v>401</v>
      </c>
      <c r="C95" s="23" t="s">
        <v>23</v>
      </c>
      <c r="D95" s="23" t="s">
        <v>26</v>
      </c>
      <c r="E95" s="23" t="s">
        <v>128</v>
      </c>
      <c r="F95" s="23" t="s">
        <v>159</v>
      </c>
      <c r="G95" s="23">
        <v>1995</v>
      </c>
      <c r="H95" s="26" t="s">
        <v>1028</v>
      </c>
      <c r="I95" s="23" t="s">
        <v>2272</v>
      </c>
      <c r="J95" s="23" t="s">
        <v>2272</v>
      </c>
      <c r="K95" s="23" t="s">
        <v>2272</v>
      </c>
      <c r="L95" s="23" t="s">
        <v>2272</v>
      </c>
      <c r="M95" s="23" t="s">
        <v>2723</v>
      </c>
      <c r="N95" s="23" t="s">
        <v>532</v>
      </c>
      <c r="O95" s="23" t="s">
        <v>2272</v>
      </c>
      <c r="P95" s="23" t="s">
        <v>2272</v>
      </c>
      <c r="Q95" s="23">
        <v>2</v>
      </c>
      <c r="R95" s="23" t="s">
        <v>2272</v>
      </c>
      <c r="S95" s="23" t="s">
        <v>2272</v>
      </c>
      <c r="T95" s="23" t="s">
        <v>2272</v>
      </c>
      <c r="U95" s="23" t="s">
        <v>2272</v>
      </c>
      <c r="V95" s="48" t="s">
        <v>2272</v>
      </c>
      <c r="W95" s="4" t="s">
        <v>1468</v>
      </c>
    </row>
    <row r="96" spans="1:23" ht="47" customHeight="1">
      <c r="A96" s="23" t="s">
        <v>381</v>
      </c>
      <c r="B96" s="23" t="s">
        <v>389</v>
      </c>
      <c r="C96" s="23" t="s">
        <v>23</v>
      </c>
      <c r="D96" s="23" t="s">
        <v>141</v>
      </c>
      <c r="E96" s="55" t="s">
        <v>395</v>
      </c>
      <c r="F96" s="23" t="s">
        <v>73</v>
      </c>
      <c r="G96" s="23">
        <v>1995</v>
      </c>
      <c r="H96" s="26" t="s">
        <v>1028</v>
      </c>
      <c r="I96" s="23" t="s">
        <v>2272</v>
      </c>
      <c r="J96" s="23" t="s">
        <v>2272</v>
      </c>
      <c r="K96" s="23" t="s">
        <v>2272</v>
      </c>
      <c r="L96" s="23" t="s">
        <v>2272</v>
      </c>
      <c r="M96" s="23" t="s">
        <v>2723</v>
      </c>
      <c r="N96" s="23" t="s">
        <v>532</v>
      </c>
      <c r="O96" s="23" t="s">
        <v>2272</v>
      </c>
      <c r="P96" s="23" t="s">
        <v>2272</v>
      </c>
      <c r="Q96" s="23">
        <v>2</v>
      </c>
      <c r="R96" s="23" t="s">
        <v>2272</v>
      </c>
      <c r="S96" s="23" t="s">
        <v>2272</v>
      </c>
      <c r="T96" s="23" t="s">
        <v>2272</v>
      </c>
      <c r="U96" s="23" t="s">
        <v>2272</v>
      </c>
      <c r="V96" s="48" t="s">
        <v>2272</v>
      </c>
      <c r="W96" s="4" t="s">
        <v>1468</v>
      </c>
    </row>
    <row r="97" spans="1:23" ht="47" customHeight="1">
      <c r="A97" s="23" t="s">
        <v>381</v>
      </c>
      <c r="B97" s="23" t="s">
        <v>405</v>
      </c>
      <c r="C97" s="23" t="s">
        <v>23</v>
      </c>
      <c r="D97" s="23" t="s">
        <v>26</v>
      </c>
      <c r="E97" s="23" t="s">
        <v>128</v>
      </c>
      <c r="F97" s="23" t="s">
        <v>159</v>
      </c>
      <c r="G97" s="23">
        <v>1995</v>
      </c>
      <c r="H97" s="26" t="s">
        <v>1028</v>
      </c>
      <c r="I97" s="23" t="s">
        <v>2272</v>
      </c>
      <c r="J97" s="23" t="s">
        <v>2272</v>
      </c>
      <c r="K97" s="23" t="s">
        <v>2272</v>
      </c>
      <c r="L97" s="23" t="s">
        <v>2272</v>
      </c>
      <c r="M97" s="23" t="s">
        <v>2723</v>
      </c>
      <c r="N97" s="23" t="s">
        <v>532</v>
      </c>
      <c r="O97" s="23" t="s">
        <v>2272</v>
      </c>
      <c r="P97" s="23" t="s">
        <v>2272</v>
      </c>
      <c r="Q97" s="23">
        <v>2</v>
      </c>
      <c r="R97" s="23" t="s">
        <v>2272</v>
      </c>
      <c r="S97" s="23" t="s">
        <v>2272</v>
      </c>
      <c r="T97" s="23" t="s">
        <v>2272</v>
      </c>
      <c r="U97" s="23" t="s">
        <v>2272</v>
      </c>
      <c r="V97" s="48" t="s">
        <v>2272</v>
      </c>
      <c r="W97" s="4" t="s">
        <v>1468</v>
      </c>
    </row>
    <row r="98" spans="1:23" ht="47" customHeight="1">
      <c r="A98" s="23" t="s">
        <v>386</v>
      </c>
      <c r="B98" s="23" t="s">
        <v>390</v>
      </c>
      <c r="C98" s="23" t="s">
        <v>23</v>
      </c>
      <c r="D98" s="23" t="s">
        <v>141</v>
      </c>
      <c r="E98" s="26" t="s">
        <v>395</v>
      </c>
      <c r="F98" s="23" t="s">
        <v>73</v>
      </c>
      <c r="G98" s="23">
        <v>2012</v>
      </c>
      <c r="H98" s="26" t="s">
        <v>1028</v>
      </c>
      <c r="I98" s="23" t="s">
        <v>2272</v>
      </c>
      <c r="J98" s="23" t="s">
        <v>2272</v>
      </c>
      <c r="K98" s="23" t="s">
        <v>2272</v>
      </c>
      <c r="L98" s="23" t="s">
        <v>2272</v>
      </c>
      <c r="M98" s="23" t="s">
        <v>2723</v>
      </c>
      <c r="N98" s="23" t="s">
        <v>532</v>
      </c>
      <c r="O98" s="23" t="s">
        <v>2272</v>
      </c>
      <c r="P98" s="23" t="s">
        <v>2272</v>
      </c>
      <c r="Q98" s="23">
        <v>2</v>
      </c>
      <c r="R98" s="23" t="s">
        <v>2272</v>
      </c>
      <c r="S98" s="23" t="s">
        <v>2272</v>
      </c>
      <c r="T98" s="23" t="s">
        <v>2272</v>
      </c>
      <c r="U98" s="23" t="s">
        <v>2272</v>
      </c>
      <c r="V98" s="48" t="s">
        <v>2272</v>
      </c>
      <c r="W98" s="4" t="s">
        <v>1468</v>
      </c>
    </row>
    <row r="99" spans="1:23" ht="47" customHeight="1">
      <c r="A99" s="23" t="s">
        <v>386</v>
      </c>
      <c r="B99" s="23" t="s">
        <v>410</v>
      </c>
      <c r="C99" s="23" t="s">
        <v>23</v>
      </c>
      <c r="D99" s="23" t="s">
        <v>26</v>
      </c>
      <c r="E99" s="23" t="s">
        <v>128</v>
      </c>
      <c r="F99" s="23" t="s">
        <v>159</v>
      </c>
      <c r="G99" s="23">
        <v>2012</v>
      </c>
      <c r="H99" s="26" t="s">
        <v>1028</v>
      </c>
      <c r="I99" s="23" t="s">
        <v>2272</v>
      </c>
      <c r="J99" s="23" t="s">
        <v>2272</v>
      </c>
      <c r="K99" s="23" t="s">
        <v>2272</v>
      </c>
      <c r="L99" s="23" t="s">
        <v>2272</v>
      </c>
      <c r="M99" s="23" t="s">
        <v>2723</v>
      </c>
      <c r="N99" s="23" t="s">
        <v>532</v>
      </c>
      <c r="O99" s="23" t="s">
        <v>2272</v>
      </c>
      <c r="P99" s="23" t="s">
        <v>2272</v>
      </c>
      <c r="Q99" s="23">
        <v>2</v>
      </c>
      <c r="R99" s="23" t="s">
        <v>2272</v>
      </c>
      <c r="S99" s="23" t="s">
        <v>2272</v>
      </c>
      <c r="T99" s="23" t="s">
        <v>2272</v>
      </c>
      <c r="U99" s="23" t="s">
        <v>2272</v>
      </c>
      <c r="V99" s="48" t="s">
        <v>2272</v>
      </c>
      <c r="W99" s="4" t="s">
        <v>1468</v>
      </c>
    </row>
    <row r="100" spans="1:23" ht="51.5" customHeight="1">
      <c r="A100" s="23" t="s">
        <v>386</v>
      </c>
      <c r="B100" s="23" t="s">
        <v>1463</v>
      </c>
      <c r="C100" s="23" t="s">
        <v>23</v>
      </c>
      <c r="D100" s="23" t="s">
        <v>141</v>
      </c>
      <c r="E100" s="26" t="s">
        <v>395</v>
      </c>
      <c r="F100" s="23" t="s">
        <v>73</v>
      </c>
      <c r="G100" s="23">
        <v>2012</v>
      </c>
      <c r="H100" s="26" t="s">
        <v>539</v>
      </c>
      <c r="I100" s="23" t="s">
        <v>2272</v>
      </c>
      <c r="J100" s="23" t="s">
        <v>2272</v>
      </c>
      <c r="K100" s="23" t="s">
        <v>2272</v>
      </c>
      <c r="L100" s="23" t="s">
        <v>2272</v>
      </c>
      <c r="M100" s="23" t="s">
        <v>2272</v>
      </c>
      <c r="N100" s="23" t="s">
        <v>2272</v>
      </c>
      <c r="O100" s="23" t="s">
        <v>2272</v>
      </c>
      <c r="P100" s="23" t="s">
        <v>2272</v>
      </c>
      <c r="Q100" s="23" t="s">
        <v>2272</v>
      </c>
      <c r="R100" s="23" t="s">
        <v>532</v>
      </c>
      <c r="S100" s="23" t="s">
        <v>532</v>
      </c>
      <c r="T100" s="23" t="s">
        <v>2272</v>
      </c>
      <c r="U100" s="23" t="s">
        <v>2272</v>
      </c>
      <c r="V100" s="23">
        <v>4</v>
      </c>
      <c r="W100" s="4" t="s">
        <v>1467</v>
      </c>
    </row>
    <row r="101" spans="1:23" ht="47" customHeight="1">
      <c r="A101" s="23" t="s">
        <v>386</v>
      </c>
      <c r="B101" s="23" t="s">
        <v>1464</v>
      </c>
      <c r="C101" s="23" t="s">
        <v>23</v>
      </c>
      <c r="D101" s="23" t="s">
        <v>26</v>
      </c>
      <c r="E101" s="23" t="s">
        <v>128</v>
      </c>
      <c r="F101" s="23" t="s">
        <v>159</v>
      </c>
      <c r="G101" s="23">
        <v>2012</v>
      </c>
      <c r="H101" s="26" t="s">
        <v>539</v>
      </c>
      <c r="I101" s="23" t="s">
        <v>2272</v>
      </c>
      <c r="J101" s="23" t="s">
        <v>2272</v>
      </c>
      <c r="K101" s="23" t="s">
        <v>2272</v>
      </c>
      <c r="L101" s="23" t="s">
        <v>2272</v>
      </c>
      <c r="M101" s="23" t="s">
        <v>2272</v>
      </c>
      <c r="N101" s="23" t="s">
        <v>2272</v>
      </c>
      <c r="O101" s="23" t="s">
        <v>2272</v>
      </c>
      <c r="P101" s="23" t="s">
        <v>2272</v>
      </c>
      <c r="Q101" s="23" t="s">
        <v>2272</v>
      </c>
      <c r="R101" s="23" t="s">
        <v>532</v>
      </c>
      <c r="S101" s="23" t="s">
        <v>532</v>
      </c>
      <c r="T101" s="23" t="s">
        <v>2272</v>
      </c>
      <c r="U101" s="23" t="s">
        <v>2272</v>
      </c>
      <c r="V101" s="23">
        <v>4</v>
      </c>
      <c r="W101" s="4" t="s">
        <v>1467</v>
      </c>
    </row>
    <row r="102" spans="1:23" ht="47" customHeight="1">
      <c r="A102" s="23" t="s">
        <v>387</v>
      </c>
      <c r="B102" s="23" t="s">
        <v>391</v>
      </c>
      <c r="C102" s="23" t="s">
        <v>23</v>
      </c>
      <c r="D102" s="23" t="s">
        <v>141</v>
      </c>
      <c r="E102" s="26" t="s">
        <v>395</v>
      </c>
      <c r="F102" s="23" t="s">
        <v>73</v>
      </c>
      <c r="G102" s="23">
        <v>2012</v>
      </c>
      <c r="H102" s="26" t="s">
        <v>1028</v>
      </c>
      <c r="I102" s="23" t="s">
        <v>2272</v>
      </c>
      <c r="J102" s="23" t="s">
        <v>2272</v>
      </c>
      <c r="K102" s="23" t="s">
        <v>2272</v>
      </c>
      <c r="L102" s="23" t="s">
        <v>2272</v>
      </c>
      <c r="M102" s="23" t="s">
        <v>2723</v>
      </c>
      <c r="N102" s="23" t="s">
        <v>532</v>
      </c>
      <c r="O102" s="23" t="s">
        <v>2272</v>
      </c>
      <c r="P102" s="23" t="s">
        <v>2272</v>
      </c>
      <c r="Q102" s="23">
        <v>2</v>
      </c>
      <c r="R102" s="23" t="s">
        <v>2272</v>
      </c>
      <c r="S102" s="23" t="s">
        <v>2272</v>
      </c>
      <c r="T102" s="23" t="s">
        <v>2272</v>
      </c>
      <c r="U102" s="23" t="s">
        <v>2272</v>
      </c>
      <c r="V102" s="23" t="s">
        <v>2272</v>
      </c>
      <c r="W102" s="4" t="s">
        <v>1468</v>
      </c>
    </row>
    <row r="103" spans="1:23" ht="47" customHeight="1">
      <c r="A103" s="23" t="s">
        <v>387</v>
      </c>
      <c r="B103" s="23" t="s">
        <v>411</v>
      </c>
      <c r="C103" s="23" t="s">
        <v>23</v>
      </c>
      <c r="D103" s="23" t="s">
        <v>26</v>
      </c>
      <c r="E103" s="23" t="s">
        <v>128</v>
      </c>
      <c r="F103" s="23" t="s">
        <v>159</v>
      </c>
      <c r="G103" s="23">
        <v>2012</v>
      </c>
      <c r="H103" s="26" t="s">
        <v>1028</v>
      </c>
      <c r="I103" s="23" t="s">
        <v>2272</v>
      </c>
      <c r="J103" s="23" t="s">
        <v>2272</v>
      </c>
      <c r="K103" s="23" t="s">
        <v>2272</v>
      </c>
      <c r="L103" s="23" t="s">
        <v>2272</v>
      </c>
      <c r="M103" s="23" t="s">
        <v>2723</v>
      </c>
      <c r="N103" s="23" t="s">
        <v>532</v>
      </c>
      <c r="O103" s="23" t="s">
        <v>2272</v>
      </c>
      <c r="P103" s="23" t="s">
        <v>2272</v>
      </c>
      <c r="Q103" s="23">
        <v>2</v>
      </c>
      <c r="R103" s="23" t="s">
        <v>2272</v>
      </c>
      <c r="S103" s="23" t="s">
        <v>2272</v>
      </c>
      <c r="T103" s="23" t="s">
        <v>2272</v>
      </c>
      <c r="U103" s="23" t="s">
        <v>2272</v>
      </c>
      <c r="V103" s="23" t="s">
        <v>2272</v>
      </c>
      <c r="W103" s="4" t="s">
        <v>1468</v>
      </c>
    </row>
    <row r="104" spans="1:23" ht="47" customHeight="1">
      <c r="A104" s="23" t="s">
        <v>387</v>
      </c>
      <c r="B104" s="23" t="s">
        <v>1465</v>
      </c>
      <c r="C104" s="23" t="s">
        <v>23</v>
      </c>
      <c r="D104" s="23" t="s">
        <v>141</v>
      </c>
      <c r="E104" s="55" t="s">
        <v>395</v>
      </c>
      <c r="F104" s="23" t="s">
        <v>73</v>
      </c>
      <c r="G104" s="23">
        <v>2012</v>
      </c>
      <c r="H104" s="26" t="s">
        <v>539</v>
      </c>
      <c r="I104" s="23" t="s">
        <v>2272</v>
      </c>
      <c r="J104" s="23" t="s">
        <v>2272</v>
      </c>
      <c r="K104" s="23" t="s">
        <v>2272</v>
      </c>
      <c r="L104" s="23" t="s">
        <v>2272</v>
      </c>
      <c r="M104" s="23" t="s">
        <v>2272</v>
      </c>
      <c r="N104" s="23" t="s">
        <v>2272</v>
      </c>
      <c r="O104" s="23" t="s">
        <v>2272</v>
      </c>
      <c r="P104" s="23" t="s">
        <v>2272</v>
      </c>
      <c r="Q104" s="23" t="s">
        <v>2272</v>
      </c>
      <c r="R104" s="23" t="s">
        <v>532</v>
      </c>
      <c r="S104" s="23" t="s">
        <v>532</v>
      </c>
      <c r="T104" s="23" t="s">
        <v>2272</v>
      </c>
      <c r="U104" s="23" t="s">
        <v>2272</v>
      </c>
      <c r="V104" s="23">
        <v>4</v>
      </c>
      <c r="W104" s="4" t="s">
        <v>1467</v>
      </c>
    </row>
    <row r="105" spans="1:23" ht="47" customHeight="1">
      <c r="A105" s="23" t="s">
        <v>387</v>
      </c>
      <c r="B105" s="23" t="s">
        <v>1466</v>
      </c>
      <c r="C105" s="23" t="s">
        <v>23</v>
      </c>
      <c r="D105" s="23" t="s">
        <v>26</v>
      </c>
      <c r="E105" s="23" t="s">
        <v>128</v>
      </c>
      <c r="F105" s="23" t="s">
        <v>159</v>
      </c>
      <c r="G105" s="23">
        <v>2012</v>
      </c>
      <c r="H105" s="26" t="s">
        <v>539</v>
      </c>
      <c r="I105" s="23" t="s">
        <v>2272</v>
      </c>
      <c r="J105" s="23" t="s">
        <v>2272</v>
      </c>
      <c r="K105" s="23" t="s">
        <v>2272</v>
      </c>
      <c r="L105" s="23" t="s">
        <v>2272</v>
      </c>
      <c r="M105" s="23" t="s">
        <v>2272</v>
      </c>
      <c r="N105" s="23" t="s">
        <v>2272</v>
      </c>
      <c r="O105" s="23" t="s">
        <v>2272</v>
      </c>
      <c r="P105" s="23" t="s">
        <v>2272</v>
      </c>
      <c r="Q105" s="23" t="s">
        <v>2272</v>
      </c>
      <c r="R105" s="23" t="s">
        <v>532</v>
      </c>
      <c r="S105" s="23" t="s">
        <v>532</v>
      </c>
      <c r="T105" s="23" t="s">
        <v>2272</v>
      </c>
      <c r="U105" s="23" t="s">
        <v>2272</v>
      </c>
      <c r="V105" s="23">
        <v>4</v>
      </c>
      <c r="W105" s="4" t="s">
        <v>1467</v>
      </c>
    </row>
    <row r="106" spans="1:23" ht="48.5" customHeight="1">
      <c r="A106" s="23" t="s">
        <v>418</v>
      </c>
      <c r="B106" s="23" t="s">
        <v>422</v>
      </c>
      <c r="C106" s="23" t="s">
        <v>23</v>
      </c>
      <c r="D106" s="23" t="s">
        <v>26</v>
      </c>
      <c r="E106" s="23" t="s">
        <v>128</v>
      </c>
      <c r="F106" s="23" t="s">
        <v>159</v>
      </c>
      <c r="G106" s="23"/>
      <c r="H106" s="26" t="s">
        <v>541</v>
      </c>
      <c r="I106" s="23" t="s">
        <v>2685</v>
      </c>
      <c r="J106" s="23" t="s">
        <v>532</v>
      </c>
      <c r="K106" s="23" t="s">
        <v>2272</v>
      </c>
      <c r="L106" s="23" t="s">
        <v>2272</v>
      </c>
      <c r="M106" s="23" t="s">
        <v>2272</v>
      </c>
      <c r="N106" s="23" t="s">
        <v>2272</v>
      </c>
      <c r="O106" s="23" t="s">
        <v>2272</v>
      </c>
      <c r="P106" s="23" t="s">
        <v>2272</v>
      </c>
      <c r="Q106" s="23" t="s">
        <v>2272</v>
      </c>
      <c r="R106" s="23" t="s">
        <v>532</v>
      </c>
      <c r="S106" s="23" t="s">
        <v>2272</v>
      </c>
      <c r="T106" s="23" t="s">
        <v>532</v>
      </c>
      <c r="U106" s="23" t="s">
        <v>2272</v>
      </c>
      <c r="V106" s="48" t="s">
        <v>2272</v>
      </c>
      <c r="W106" s="4" t="s">
        <v>870</v>
      </c>
    </row>
    <row r="107" spans="1:23" ht="113.5" customHeight="1">
      <c r="A107" s="23" t="s">
        <v>436</v>
      </c>
      <c r="B107" s="23" t="s">
        <v>440</v>
      </c>
      <c r="C107" s="23" t="s">
        <v>23</v>
      </c>
      <c r="D107" s="23" t="s">
        <v>26</v>
      </c>
      <c r="E107" s="23" t="s">
        <v>128</v>
      </c>
      <c r="F107" s="23" t="s">
        <v>159</v>
      </c>
      <c r="G107" s="23"/>
      <c r="H107" s="26" t="s">
        <v>539</v>
      </c>
      <c r="I107" s="23" t="s">
        <v>532</v>
      </c>
      <c r="J107" s="23" t="s">
        <v>532</v>
      </c>
      <c r="K107" s="23" t="s">
        <v>2272</v>
      </c>
      <c r="L107" s="23" t="s">
        <v>2272</v>
      </c>
      <c r="M107" s="23" t="s">
        <v>2272</v>
      </c>
      <c r="N107" s="23" t="s">
        <v>2272</v>
      </c>
      <c r="O107" s="23" t="s">
        <v>2272</v>
      </c>
      <c r="P107" s="23" t="s">
        <v>2272</v>
      </c>
      <c r="Q107" s="23" t="s">
        <v>2272</v>
      </c>
      <c r="R107" s="23" t="s">
        <v>2272</v>
      </c>
      <c r="S107" s="23" t="s">
        <v>2272</v>
      </c>
      <c r="T107" s="23" t="s">
        <v>2272</v>
      </c>
      <c r="U107" s="23" t="s">
        <v>2272</v>
      </c>
      <c r="V107" s="23" t="s">
        <v>2272</v>
      </c>
      <c r="W107" s="99" t="s">
        <v>1479</v>
      </c>
    </row>
    <row r="108" spans="1:23" ht="113.5" customHeight="1">
      <c r="A108" s="23" t="s">
        <v>444</v>
      </c>
      <c r="B108" s="23" t="s">
        <v>445</v>
      </c>
      <c r="C108" s="23" t="s">
        <v>23</v>
      </c>
      <c r="D108" s="23" t="s">
        <v>26</v>
      </c>
      <c r="E108" s="23" t="s">
        <v>128</v>
      </c>
      <c r="F108" s="23" t="s">
        <v>159</v>
      </c>
      <c r="G108" s="23"/>
      <c r="H108" s="26" t="s">
        <v>539</v>
      </c>
      <c r="I108" s="23" t="s">
        <v>535</v>
      </c>
      <c r="J108" s="23" t="s">
        <v>535</v>
      </c>
      <c r="K108" s="23" t="s">
        <v>535</v>
      </c>
      <c r="L108" s="23" t="s">
        <v>535</v>
      </c>
      <c r="M108" s="23" t="s">
        <v>2272</v>
      </c>
      <c r="N108" s="23" t="s">
        <v>2272</v>
      </c>
      <c r="O108" s="23" t="s">
        <v>2272</v>
      </c>
      <c r="P108" s="23" t="s">
        <v>2272</v>
      </c>
      <c r="Q108" s="23" t="s">
        <v>2272</v>
      </c>
      <c r="R108" s="23" t="s">
        <v>2272</v>
      </c>
      <c r="S108" s="23" t="s">
        <v>2272</v>
      </c>
      <c r="T108" s="23" t="s">
        <v>2272</v>
      </c>
      <c r="U108" s="23" t="s">
        <v>2272</v>
      </c>
      <c r="V108" s="23" t="s">
        <v>2272</v>
      </c>
      <c r="W108" s="4" t="s">
        <v>1489</v>
      </c>
    </row>
    <row r="109" spans="1:23" ht="113.5" customHeight="1">
      <c r="A109" s="23" t="s">
        <v>1485</v>
      </c>
      <c r="B109" s="23" t="s">
        <v>1487</v>
      </c>
      <c r="C109" s="23" t="s">
        <v>23</v>
      </c>
      <c r="D109" s="23" t="s">
        <v>26</v>
      </c>
      <c r="E109" s="23" t="s">
        <v>128</v>
      </c>
      <c r="F109" s="23" t="s">
        <v>159</v>
      </c>
      <c r="G109" s="23"/>
      <c r="H109" s="26" t="s">
        <v>539</v>
      </c>
      <c r="I109" s="23" t="s">
        <v>535</v>
      </c>
      <c r="J109" s="23" t="s">
        <v>535</v>
      </c>
      <c r="K109" s="23" t="s">
        <v>535</v>
      </c>
      <c r="L109" s="23" t="s">
        <v>535</v>
      </c>
      <c r="M109" s="23" t="s">
        <v>2272</v>
      </c>
      <c r="N109" s="23" t="s">
        <v>2272</v>
      </c>
      <c r="O109" s="23" t="s">
        <v>2272</v>
      </c>
      <c r="P109" s="23" t="s">
        <v>2272</v>
      </c>
      <c r="Q109" s="23" t="s">
        <v>2272</v>
      </c>
      <c r="R109" s="23" t="s">
        <v>2272</v>
      </c>
      <c r="S109" s="23" t="s">
        <v>2272</v>
      </c>
      <c r="T109" s="23" t="s">
        <v>2272</v>
      </c>
      <c r="U109" s="23" t="s">
        <v>2272</v>
      </c>
      <c r="V109" s="23" t="s">
        <v>2272</v>
      </c>
      <c r="W109" s="4" t="s">
        <v>1489</v>
      </c>
    </row>
    <row r="110" spans="1:23" ht="113.5" customHeight="1">
      <c r="A110" s="23" t="s">
        <v>1486</v>
      </c>
      <c r="B110" s="23" t="s">
        <v>1488</v>
      </c>
      <c r="C110" s="23" t="s">
        <v>23</v>
      </c>
      <c r="D110" s="23" t="s">
        <v>26</v>
      </c>
      <c r="E110" s="23" t="s">
        <v>128</v>
      </c>
      <c r="F110" s="23" t="s">
        <v>159</v>
      </c>
      <c r="G110" s="23"/>
      <c r="H110" s="26" t="s">
        <v>539</v>
      </c>
      <c r="I110" s="23" t="s">
        <v>535</v>
      </c>
      <c r="J110" s="23" t="s">
        <v>535</v>
      </c>
      <c r="K110" s="23" t="s">
        <v>535</v>
      </c>
      <c r="L110" s="23" t="s">
        <v>535</v>
      </c>
      <c r="M110" s="23" t="s">
        <v>2272</v>
      </c>
      <c r="N110" s="23" t="s">
        <v>2272</v>
      </c>
      <c r="O110" s="23" t="s">
        <v>2272</v>
      </c>
      <c r="P110" s="23" t="s">
        <v>2272</v>
      </c>
      <c r="Q110" s="23" t="s">
        <v>2272</v>
      </c>
      <c r="R110" s="23" t="s">
        <v>2272</v>
      </c>
      <c r="S110" s="23" t="s">
        <v>2272</v>
      </c>
      <c r="T110" s="23" t="s">
        <v>2272</v>
      </c>
      <c r="U110" s="23" t="s">
        <v>2272</v>
      </c>
      <c r="V110" s="23" t="s">
        <v>2272</v>
      </c>
      <c r="W110" s="4" t="s">
        <v>1489</v>
      </c>
    </row>
    <row r="111" spans="1:23" ht="113.5" customHeight="1">
      <c r="A111" s="23" t="s">
        <v>1483</v>
      </c>
      <c r="B111" s="23" t="s">
        <v>1484</v>
      </c>
      <c r="C111" s="23" t="s">
        <v>23</v>
      </c>
      <c r="D111" s="23" t="s">
        <v>26</v>
      </c>
      <c r="E111" s="23" t="s">
        <v>128</v>
      </c>
      <c r="F111" s="23" t="s">
        <v>159</v>
      </c>
      <c r="G111" s="23"/>
      <c r="H111" s="26" t="s">
        <v>539</v>
      </c>
      <c r="I111" s="23" t="s">
        <v>535</v>
      </c>
      <c r="J111" s="23" t="s">
        <v>535</v>
      </c>
      <c r="K111" s="23" t="s">
        <v>535</v>
      </c>
      <c r="L111" s="23" t="s">
        <v>535</v>
      </c>
      <c r="M111" s="23" t="s">
        <v>2272</v>
      </c>
      <c r="N111" s="23" t="s">
        <v>2272</v>
      </c>
      <c r="O111" s="23" t="s">
        <v>2272</v>
      </c>
      <c r="P111" s="23" t="s">
        <v>2272</v>
      </c>
      <c r="Q111" s="23" t="s">
        <v>2272</v>
      </c>
      <c r="R111" s="23" t="s">
        <v>2272</v>
      </c>
      <c r="S111" s="23" t="s">
        <v>2272</v>
      </c>
      <c r="T111" s="23" t="s">
        <v>2272</v>
      </c>
      <c r="U111" s="23" t="s">
        <v>2272</v>
      </c>
      <c r="V111" s="23" t="s">
        <v>2272</v>
      </c>
      <c r="W111" s="4" t="s">
        <v>1489</v>
      </c>
    </row>
    <row r="112" spans="1:23" ht="127" customHeight="1">
      <c r="A112" s="23" t="s">
        <v>508</v>
      </c>
      <c r="B112" s="23" t="s">
        <v>512</v>
      </c>
      <c r="C112" s="23" t="s">
        <v>23</v>
      </c>
      <c r="D112" s="23" t="s">
        <v>26</v>
      </c>
      <c r="E112" s="23" t="s">
        <v>128</v>
      </c>
      <c r="F112" s="23" t="s">
        <v>159</v>
      </c>
      <c r="G112" s="23"/>
      <c r="H112" s="26" t="s">
        <v>539</v>
      </c>
      <c r="I112" s="23" t="s">
        <v>2685</v>
      </c>
      <c r="J112" s="23" t="s">
        <v>532</v>
      </c>
      <c r="K112" s="23" t="s">
        <v>532</v>
      </c>
      <c r="L112" s="23" t="s">
        <v>2272</v>
      </c>
      <c r="M112" s="23" t="s">
        <v>2272</v>
      </c>
      <c r="N112" s="23" t="s">
        <v>2272</v>
      </c>
      <c r="O112" s="23" t="s">
        <v>2272</v>
      </c>
      <c r="P112" s="23" t="s">
        <v>2272</v>
      </c>
      <c r="Q112" s="23" t="s">
        <v>2272</v>
      </c>
      <c r="R112" s="23" t="s">
        <v>2272</v>
      </c>
      <c r="S112" s="23" t="s">
        <v>2272</v>
      </c>
      <c r="T112" s="23" t="s">
        <v>2272</v>
      </c>
      <c r="U112" s="23" t="s">
        <v>2272</v>
      </c>
      <c r="V112" s="48" t="s">
        <v>2272</v>
      </c>
      <c r="W112" s="4" t="s">
        <v>1491</v>
      </c>
    </row>
    <row r="113" spans="1:23" ht="103.5" customHeight="1">
      <c r="A113" s="23" t="s">
        <v>508</v>
      </c>
      <c r="B113" s="23" t="s">
        <v>515</v>
      </c>
      <c r="C113" s="23" t="s">
        <v>23</v>
      </c>
      <c r="D113" s="23" t="s">
        <v>26</v>
      </c>
      <c r="E113" s="23" t="s">
        <v>128</v>
      </c>
      <c r="F113" s="23" t="s">
        <v>159</v>
      </c>
      <c r="G113" s="23"/>
      <c r="H113" s="26" t="s">
        <v>1090</v>
      </c>
      <c r="I113" s="23" t="s">
        <v>2685</v>
      </c>
      <c r="J113" s="23" t="s">
        <v>532</v>
      </c>
      <c r="K113" s="23" t="s">
        <v>532</v>
      </c>
      <c r="L113" s="23" t="s">
        <v>2272</v>
      </c>
      <c r="M113" s="23" t="s">
        <v>2272</v>
      </c>
      <c r="N113" s="23" t="s">
        <v>2272</v>
      </c>
      <c r="O113" s="23" t="s">
        <v>2272</v>
      </c>
      <c r="P113" s="23" t="s">
        <v>2272</v>
      </c>
      <c r="Q113" s="23" t="s">
        <v>2272</v>
      </c>
      <c r="R113" s="23" t="s">
        <v>2272</v>
      </c>
      <c r="S113" s="23" t="s">
        <v>2272</v>
      </c>
      <c r="T113" s="23" t="s">
        <v>2272</v>
      </c>
      <c r="U113" s="23" t="s">
        <v>2272</v>
      </c>
      <c r="V113" s="48" t="s">
        <v>2272</v>
      </c>
      <c r="W113" s="4" t="s">
        <v>1492</v>
      </c>
    </row>
    <row r="114" spans="1:23" ht="103.5" customHeight="1">
      <c r="A114" s="23" t="s">
        <v>508</v>
      </c>
      <c r="B114" s="23" t="s">
        <v>516</v>
      </c>
      <c r="C114" s="23" t="s">
        <v>23</v>
      </c>
      <c r="D114" s="23" t="s">
        <v>26</v>
      </c>
      <c r="E114" s="23" t="s">
        <v>128</v>
      </c>
      <c r="F114" s="23" t="s">
        <v>159</v>
      </c>
      <c r="G114" s="23"/>
      <c r="H114" s="26" t="s">
        <v>539</v>
      </c>
      <c r="I114" s="23" t="s">
        <v>2272</v>
      </c>
      <c r="J114" s="23" t="s">
        <v>2272</v>
      </c>
      <c r="K114" s="23" t="s">
        <v>2272</v>
      </c>
      <c r="L114" s="23" t="s">
        <v>2272</v>
      </c>
      <c r="M114" s="23" t="s">
        <v>2666</v>
      </c>
      <c r="N114" s="23" t="s">
        <v>532</v>
      </c>
      <c r="O114" s="23" t="s">
        <v>532</v>
      </c>
      <c r="P114" s="23" t="s">
        <v>2272</v>
      </c>
      <c r="Q114" s="23">
        <v>3</v>
      </c>
      <c r="R114" s="23" t="s">
        <v>2272</v>
      </c>
      <c r="S114" s="23" t="s">
        <v>2272</v>
      </c>
      <c r="T114" s="23" t="s">
        <v>2272</v>
      </c>
      <c r="U114" s="23" t="s">
        <v>2272</v>
      </c>
      <c r="V114" s="48" t="s">
        <v>2272</v>
      </c>
      <c r="W114" s="4" t="s">
        <v>1493</v>
      </c>
    </row>
    <row r="115" spans="1:23" ht="47.5" customHeight="1">
      <c r="A115" s="19" t="s">
        <v>518</v>
      </c>
      <c r="B115" s="19" t="s">
        <v>536</v>
      </c>
      <c r="C115" s="23" t="s">
        <v>23</v>
      </c>
      <c r="D115" s="3" t="s">
        <v>141</v>
      </c>
      <c r="E115" s="23" t="s">
        <v>128</v>
      </c>
      <c r="F115" s="3" t="s">
        <v>73</v>
      </c>
      <c r="G115" s="3"/>
      <c r="H115" s="4" t="s">
        <v>539</v>
      </c>
      <c r="I115" s="3" t="s">
        <v>2272</v>
      </c>
      <c r="J115" s="3" t="s">
        <v>2272</v>
      </c>
      <c r="K115" s="3" t="s">
        <v>2272</v>
      </c>
      <c r="L115" s="3" t="s">
        <v>2272</v>
      </c>
      <c r="M115" s="3" t="s">
        <v>2272</v>
      </c>
      <c r="N115" s="3" t="s">
        <v>2272</v>
      </c>
      <c r="O115" s="3" t="s">
        <v>2272</v>
      </c>
      <c r="P115" s="3" t="s">
        <v>2272</v>
      </c>
      <c r="Q115" s="3" t="s">
        <v>2272</v>
      </c>
      <c r="R115" s="23" t="s">
        <v>532</v>
      </c>
      <c r="S115" s="23" t="s">
        <v>2272</v>
      </c>
      <c r="T115" s="23" t="s">
        <v>532</v>
      </c>
      <c r="U115" s="3" t="s">
        <v>2272</v>
      </c>
      <c r="V115" s="49">
        <v>3</v>
      </c>
      <c r="W115" s="3"/>
    </row>
    <row r="116" spans="1:23" ht="67.5" customHeight="1">
      <c r="A116" s="19" t="s">
        <v>518</v>
      </c>
      <c r="B116" s="19" t="s">
        <v>537</v>
      </c>
      <c r="C116" s="23" t="s">
        <v>23</v>
      </c>
      <c r="D116" s="3" t="s">
        <v>141</v>
      </c>
      <c r="E116" s="23" t="s">
        <v>128</v>
      </c>
      <c r="F116" s="3" t="s">
        <v>73</v>
      </c>
      <c r="G116" s="3"/>
      <c r="H116" s="4"/>
      <c r="I116" s="3" t="s">
        <v>2272</v>
      </c>
      <c r="J116" s="3" t="s">
        <v>2272</v>
      </c>
      <c r="K116" s="3" t="s">
        <v>2272</v>
      </c>
      <c r="L116" s="3" t="s">
        <v>2272</v>
      </c>
      <c r="M116" s="3" t="s">
        <v>2272</v>
      </c>
      <c r="N116" s="3" t="s">
        <v>2272</v>
      </c>
      <c r="O116" s="3" t="s">
        <v>2272</v>
      </c>
      <c r="P116" s="3" t="s">
        <v>2272</v>
      </c>
      <c r="Q116" s="3" t="s">
        <v>2272</v>
      </c>
      <c r="R116" s="23" t="s">
        <v>532</v>
      </c>
      <c r="S116" s="23" t="s">
        <v>2272</v>
      </c>
      <c r="T116" s="23" t="s">
        <v>532</v>
      </c>
      <c r="U116" s="3" t="s">
        <v>2272</v>
      </c>
      <c r="V116" s="49">
        <v>5</v>
      </c>
      <c r="W116" s="4" t="s">
        <v>1497</v>
      </c>
    </row>
    <row r="117" spans="1:23" ht="42" customHeight="1">
      <c r="A117" s="11" t="s">
        <v>586</v>
      </c>
      <c r="B117" s="11" t="s">
        <v>589</v>
      </c>
      <c r="C117" s="23" t="s">
        <v>23</v>
      </c>
      <c r="D117" s="23" t="s">
        <v>26</v>
      </c>
      <c r="E117" s="23" t="s">
        <v>128</v>
      </c>
      <c r="F117" s="19" t="s">
        <v>159</v>
      </c>
      <c r="G117" s="19"/>
      <c r="H117" s="4" t="s">
        <v>539</v>
      </c>
      <c r="I117" s="19" t="s">
        <v>535</v>
      </c>
      <c r="J117" s="3" t="s">
        <v>2272</v>
      </c>
      <c r="K117" s="3" t="s">
        <v>2272</v>
      </c>
      <c r="L117" s="3" t="s">
        <v>2272</v>
      </c>
      <c r="M117" s="3" t="s">
        <v>532</v>
      </c>
      <c r="N117" s="3" t="s">
        <v>532</v>
      </c>
      <c r="O117" s="3" t="s">
        <v>532</v>
      </c>
      <c r="P117" s="3" t="s">
        <v>2272</v>
      </c>
      <c r="Q117" s="3">
        <v>1</v>
      </c>
      <c r="R117" s="3" t="s">
        <v>2272</v>
      </c>
      <c r="S117" s="3" t="s">
        <v>2272</v>
      </c>
      <c r="T117" s="3" t="s">
        <v>2272</v>
      </c>
      <c r="U117" s="3" t="s">
        <v>2272</v>
      </c>
      <c r="V117" s="49" t="s">
        <v>2272</v>
      </c>
      <c r="W117" s="3"/>
    </row>
    <row r="118" spans="1:23" ht="27" customHeight="1">
      <c r="A118" s="11" t="s">
        <v>586</v>
      </c>
      <c r="B118" s="11" t="s">
        <v>591</v>
      </c>
      <c r="C118" s="23" t="s">
        <v>23</v>
      </c>
      <c r="D118" s="23" t="s">
        <v>141</v>
      </c>
      <c r="E118" s="23" t="s">
        <v>128</v>
      </c>
      <c r="F118" s="19" t="s">
        <v>73</v>
      </c>
      <c r="G118" s="19"/>
      <c r="H118" s="4" t="s">
        <v>539</v>
      </c>
      <c r="I118" s="19" t="s">
        <v>535</v>
      </c>
      <c r="J118" s="3" t="s">
        <v>2272</v>
      </c>
      <c r="K118" s="3" t="s">
        <v>2272</v>
      </c>
      <c r="L118" s="3" t="s">
        <v>2272</v>
      </c>
      <c r="M118" s="3" t="s">
        <v>532</v>
      </c>
      <c r="N118" s="3" t="s">
        <v>532</v>
      </c>
      <c r="O118" s="3" t="s">
        <v>532</v>
      </c>
      <c r="P118" s="3" t="s">
        <v>2272</v>
      </c>
      <c r="Q118" s="3">
        <v>2</v>
      </c>
      <c r="R118" s="3" t="s">
        <v>532</v>
      </c>
      <c r="S118" s="3" t="s">
        <v>532</v>
      </c>
      <c r="T118" s="3" t="s">
        <v>532</v>
      </c>
      <c r="U118" s="3" t="s">
        <v>2272</v>
      </c>
      <c r="V118" s="49">
        <v>2</v>
      </c>
      <c r="W118" s="3"/>
    </row>
    <row r="119" spans="1:23">
      <c r="A119" s="11" t="s">
        <v>590</v>
      </c>
      <c r="B119" s="11" t="s">
        <v>596</v>
      </c>
      <c r="C119" s="23" t="s">
        <v>23</v>
      </c>
      <c r="D119" s="23" t="s">
        <v>26</v>
      </c>
      <c r="E119" s="23" t="s">
        <v>128</v>
      </c>
      <c r="F119" s="19" t="s">
        <v>159</v>
      </c>
      <c r="G119" s="19"/>
      <c r="H119" s="4" t="s">
        <v>539</v>
      </c>
      <c r="I119" s="19" t="s">
        <v>535</v>
      </c>
      <c r="J119" s="3" t="s">
        <v>2272</v>
      </c>
      <c r="K119" s="3" t="s">
        <v>2272</v>
      </c>
      <c r="L119" s="3" t="s">
        <v>2272</v>
      </c>
      <c r="M119" s="3" t="s">
        <v>532</v>
      </c>
      <c r="N119" s="3" t="s">
        <v>532</v>
      </c>
      <c r="O119" s="3" t="s">
        <v>532</v>
      </c>
      <c r="P119" s="3" t="s">
        <v>2272</v>
      </c>
      <c r="Q119" s="3">
        <v>1</v>
      </c>
      <c r="R119" s="3" t="s">
        <v>2272</v>
      </c>
      <c r="S119" s="3" t="s">
        <v>2272</v>
      </c>
      <c r="T119" s="3" t="s">
        <v>2272</v>
      </c>
      <c r="U119" s="3" t="s">
        <v>2272</v>
      </c>
      <c r="V119" s="49" t="s">
        <v>2272</v>
      </c>
      <c r="W119" s="3"/>
    </row>
    <row r="120" spans="1:23">
      <c r="A120" s="11" t="s">
        <v>590</v>
      </c>
      <c r="B120" s="11" t="s">
        <v>615</v>
      </c>
      <c r="C120" s="23" t="s">
        <v>23</v>
      </c>
      <c r="D120" s="23" t="s">
        <v>141</v>
      </c>
      <c r="E120" s="23" t="s">
        <v>128</v>
      </c>
      <c r="F120" s="19" t="s">
        <v>73</v>
      </c>
      <c r="G120" s="19"/>
      <c r="H120" s="4" t="s">
        <v>539</v>
      </c>
      <c r="I120" s="19" t="s">
        <v>535</v>
      </c>
      <c r="J120" s="3" t="s">
        <v>2272</v>
      </c>
      <c r="K120" s="3" t="s">
        <v>2272</v>
      </c>
      <c r="L120" s="3" t="s">
        <v>2272</v>
      </c>
      <c r="M120" s="3" t="s">
        <v>532</v>
      </c>
      <c r="N120" s="3" t="s">
        <v>532</v>
      </c>
      <c r="O120" s="3" t="s">
        <v>532</v>
      </c>
      <c r="P120" s="3" t="s">
        <v>2272</v>
      </c>
      <c r="Q120" s="3">
        <v>2</v>
      </c>
      <c r="R120" s="3" t="s">
        <v>532</v>
      </c>
      <c r="S120" s="3" t="s">
        <v>532</v>
      </c>
      <c r="T120" s="3" t="s">
        <v>532</v>
      </c>
      <c r="U120" s="3" t="s">
        <v>2272</v>
      </c>
      <c r="V120" s="49">
        <v>2</v>
      </c>
      <c r="W120" s="3"/>
    </row>
    <row r="121" spans="1:23">
      <c r="A121" s="11" t="s">
        <v>592</v>
      </c>
      <c r="B121" s="11" t="s">
        <v>594</v>
      </c>
      <c r="C121" s="23" t="s">
        <v>23</v>
      </c>
      <c r="D121" s="23" t="s">
        <v>26</v>
      </c>
      <c r="E121" s="23" t="s">
        <v>128</v>
      </c>
      <c r="F121" s="19" t="s">
        <v>159</v>
      </c>
      <c r="G121" s="19"/>
      <c r="H121" s="4" t="s">
        <v>539</v>
      </c>
      <c r="I121" s="19" t="s">
        <v>535</v>
      </c>
      <c r="J121" s="3" t="s">
        <v>2272</v>
      </c>
      <c r="K121" s="3" t="s">
        <v>2272</v>
      </c>
      <c r="L121" s="3" t="s">
        <v>2272</v>
      </c>
      <c r="M121" s="3" t="s">
        <v>532</v>
      </c>
      <c r="N121" s="3" t="s">
        <v>532</v>
      </c>
      <c r="O121" s="3" t="s">
        <v>532</v>
      </c>
      <c r="P121" s="3" t="s">
        <v>2272</v>
      </c>
      <c r="Q121" s="3">
        <v>1</v>
      </c>
      <c r="R121" s="3" t="s">
        <v>2272</v>
      </c>
      <c r="S121" s="3" t="s">
        <v>2272</v>
      </c>
      <c r="T121" s="3" t="s">
        <v>2272</v>
      </c>
      <c r="U121" s="3" t="s">
        <v>2272</v>
      </c>
      <c r="V121" s="49" t="s">
        <v>2272</v>
      </c>
      <c r="W121" s="3"/>
    </row>
    <row r="122" spans="1:23">
      <c r="A122" s="11" t="s">
        <v>592</v>
      </c>
      <c r="B122" s="11" t="s">
        <v>616</v>
      </c>
      <c r="C122" s="23" t="s">
        <v>23</v>
      </c>
      <c r="D122" s="23" t="s">
        <v>141</v>
      </c>
      <c r="E122" s="23" t="s">
        <v>128</v>
      </c>
      <c r="F122" s="19" t="s">
        <v>73</v>
      </c>
      <c r="G122" s="19"/>
      <c r="H122" s="4" t="s">
        <v>539</v>
      </c>
      <c r="I122" s="19" t="s">
        <v>535</v>
      </c>
      <c r="J122" s="3" t="s">
        <v>2272</v>
      </c>
      <c r="K122" s="3" t="s">
        <v>2272</v>
      </c>
      <c r="L122" s="3" t="s">
        <v>2272</v>
      </c>
      <c r="M122" s="3" t="s">
        <v>532</v>
      </c>
      <c r="N122" s="3" t="s">
        <v>532</v>
      </c>
      <c r="O122" s="3" t="s">
        <v>532</v>
      </c>
      <c r="P122" s="3" t="s">
        <v>2272</v>
      </c>
      <c r="Q122" s="3">
        <v>2</v>
      </c>
      <c r="R122" s="3" t="s">
        <v>532</v>
      </c>
      <c r="S122" s="3" t="s">
        <v>532</v>
      </c>
      <c r="T122" s="3" t="s">
        <v>532</v>
      </c>
      <c r="U122" s="3" t="s">
        <v>2272</v>
      </c>
      <c r="V122" s="49">
        <v>2</v>
      </c>
      <c r="W122" s="3"/>
    </row>
    <row r="123" spans="1:23">
      <c r="A123" s="11" t="s">
        <v>595</v>
      </c>
      <c r="B123" s="11" t="s">
        <v>597</v>
      </c>
      <c r="C123" s="23" t="s">
        <v>23</v>
      </c>
      <c r="D123" s="23" t="s">
        <v>26</v>
      </c>
      <c r="E123" s="23" t="s">
        <v>128</v>
      </c>
      <c r="F123" s="19" t="s">
        <v>159</v>
      </c>
      <c r="G123" s="19"/>
      <c r="H123" s="4" t="s">
        <v>539</v>
      </c>
      <c r="I123" s="19" t="s">
        <v>535</v>
      </c>
      <c r="J123" s="3" t="s">
        <v>2272</v>
      </c>
      <c r="K123" s="3" t="s">
        <v>2272</v>
      </c>
      <c r="L123" s="3" t="s">
        <v>2272</v>
      </c>
      <c r="M123" s="3" t="s">
        <v>532</v>
      </c>
      <c r="N123" s="3" t="s">
        <v>532</v>
      </c>
      <c r="O123" s="3" t="s">
        <v>532</v>
      </c>
      <c r="P123" s="3" t="s">
        <v>2272</v>
      </c>
      <c r="Q123" s="3">
        <v>1</v>
      </c>
      <c r="R123" s="3" t="s">
        <v>2272</v>
      </c>
      <c r="S123" s="3" t="s">
        <v>2272</v>
      </c>
      <c r="T123" s="3" t="s">
        <v>2272</v>
      </c>
      <c r="U123" s="3" t="s">
        <v>2272</v>
      </c>
      <c r="V123" s="49" t="s">
        <v>2272</v>
      </c>
      <c r="W123" s="3"/>
    </row>
    <row r="124" spans="1:23">
      <c r="A124" s="11" t="s">
        <v>595</v>
      </c>
      <c r="B124" s="11" t="s">
        <v>617</v>
      </c>
      <c r="C124" s="23" t="s">
        <v>23</v>
      </c>
      <c r="D124" s="23" t="s">
        <v>141</v>
      </c>
      <c r="E124" s="23" t="s">
        <v>128</v>
      </c>
      <c r="F124" s="19" t="s">
        <v>73</v>
      </c>
      <c r="G124" s="19"/>
      <c r="H124" s="4" t="s">
        <v>539</v>
      </c>
      <c r="I124" s="19" t="s">
        <v>535</v>
      </c>
      <c r="J124" s="3" t="s">
        <v>2272</v>
      </c>
      <c r="K124" s="3" t="s">
        <v>2272</v>
      </c>
      <c r="L124" s="3" t="s">
        <v>2272</v>
      </c>
      <c r="M124" s="3" t="s">
        <v>532</v>
      </c>
      <c r="N124" s="3" t="s">
        <v>532</v>
      </c>
      <c r="O124" s="3" t="s">
        <v>532</v>
      </c>
      <c r="P124" s="3" t="s">
        <v>2272</v>
      </c>
      <c r="Q124" s="3">
        <v>2</v>
      </c>
      <c r="R124" s="3" t="s">
        <v>532</v>
      </c>
      <c r="S124" s="3" t="s">
        <v>532</v>
      </c>
      <c r="T124" s="3" t="s">
        <v>532</v>
      </c>
      <c r="U124" s="3" t="s">
        <v>2272</v>
      </c>
      <c r="V124" s="49">
        <v>2</v>
      </c>
      <c r="W124" s="3"/>
    </row>
    <row r="125" spans="1:23">
      <c r="A125" s="11" t="s">
        <v>598</v>
      </c>
      <c r="B125" s="11" t="s">
        <v>599</v>
      </c>
      <c r="C125" s="23" t="s">
        <v>23</v>
      </c>
      <c r="D125" s="23" t="s">
        <v>26</v>
      </c>
      <c r="E125" s="23" t="s">
        <v>128</v>
      </c>
      <c r="F125" s="19" t="s">
        <v>159</v>
      </c>
      <c r="G125" s="19"/>
      <c r="H125" s="4" t="s">
        <v>539</v>
      </c>
      <c r="I125" s="19" t="s">
        <v>535</v>
      </c>
      <c r="J125" s="3" t="s">
        <v>2272</v>
      </c>
      <c r="K125" s="3" t="s">
        <v>2272</v>
      </c>
      <c r="L125" s="3" t="s">
        <v>2272</v>
      </c>
      <c r="M125" s="3" t="s">
        <v>532</v>
      </c>
      <c r="N125" s="3" t="s">
        <v>532</v>
      </c>
      <c r="O125" s="3" t="s">
        <v>532</v>
      </c>
      <c r="P125" s="3" t="s">
        <v>2272</v>
      </c>
      <c r="Q125" s="3">
        <v>1</v>
      </c>
      <c r="R125" s="3" t="s">
        <v>2272</v>
      </c>
      <c r="S125" s="3" t="s">
        <v>2272</v>
      </c>
      <c r="T125" s="3" t="s">
        <v>2272</v>
      </c>
      <c r="U125" s="3" t="s">
        <v>2272</v>
      </c>
      <c r="V125" s="49" t="s">
        <v>2272</v>
      </c>
      <c r="W125" s="3"/>
    </row>
    <row r="126" spans="1:23">
      <c r="A126" s="11" t="s">
        <v>598</v>
      </c>
      <c r="B126" s="11" t="s">
        <v>618</v>
      </c>
      <c r="C126" s="23" t="s">
        <v>23</v>
      </c>
      <c r="D126" s="23" t="s">
        <v>141</v>
      </c>
      <c r="E126" s="23" t="s">
        <v>128</v>
      </c>
      <c r="F126" s="19" t="s">
        <v>73</v>
      </c>
      <c r="G126" s="19"/>
      <c r="H126" s="4" t="s">
        <v>539</v>
      </c>
      <c r="I126" s="19" t="s">
        <v>535</v>
      </c>
      <c r="J126" s="3" t="s">
        <v>2272</v>
      </c>
      <c r="K126" s="3" t="s">
        <v>2272</v>
      </c>
      <c r="L126" s="3" t="s">
        <v>2272</v>
      </c>
      <c r="M126" s="3" t="s">
        <v>532</v>
      </c>
      <c r="N126" s="3" t="s">
        <v>532</v>
      </c>
      <c r="O126" s="3" t="s">
        <v>532</v>
      </c>
      <c r="P126" s="3" t="s">
        <v>2272</v>
      </c>
      <c r="Q126" s="3">
        <v>2</v>
      </c>
      <c r="R126" s="3" t="s">
        <v>532</v>
      </c>
      <c r="S126" s="3" t="s">
        <v>532</v>
      </c>
      <c r="T126" s="3" t="s">
        <v>532</v>
      </c>
      <c r="U126" s="3" t="s">
        <v>2272</v>
      </c>
      <c r="V126" s="49">
        <v>2</v>
      </c>
      <c r="W126" s="3"/>
    </row>
    <row r="127" spans="1:23" ht="27" customHeight="1">
      <c r="A127" s="11" t="s">
        <v>658</v>
      </c>
      <c r="B127" s="11" t="s">
        <v>662</v>
      </c>
      <c r="C127" s="23" t="s">
        <v>23</v>
      </c>
      <c r="D127" s="23" t="s">
        <v>26</v>
      </c>
      <c r="E127" s="23" t="s">
        <v>128</v>
      </c>
      <c r="F127" s="19" t="s">
        <v>159</v>
      </c>
      <c r="G127" s="19"/>
      <c r="H127" s="4" t="s">
        <v>539</v>
      </c>
      <c r="I127" s="3" t="s">
        <v>2272</v>
      </c>
      <c r="J127" s="3" t="s">
        <v>2272</v>
      </c>
      <c r="K127" s="3" t="s">
        <v>2272</v>
      </c>
      <c r="L127" s="3" t="s">
        <v>2272</v>
      </c>
      <c r="M127" s="3" t="s">
        <v>535</v>
      </c>
      <c r="N127" s="3" t="s">
        <v>2272</v>
      </c>
      <c r="O127" s="3" t="s">
        <v>2272</v>
      </c>
      <c r="P127" s="3" t="s">
        <v>2272</v>
      </c>
      <c r="Q127" s="3" t="s">
        <v>2272</v>
      </c>
      <c r="R127" s="3" t="s">
        <v>535</v>
      </c>
      <c r="S127" s="3" t="s">
        <v>2272</v>
      </c>
      <c r="T127" s="3" t="s">
        <v>2272</v>
      </c>
      <c r="U127" s="3" t="s">
        <v>2272</v>
      </c>
      <c r="V127" s="49" t="s">
        <v>2272</v>
      </c>
      <c r="W127" s="3"/>
    </row>
    <row r="128" spans="1:23" ht="32.5" customHeight="1">
      <c r="A128" s="11" t="s">
        <v>658</v>
      </c>
      <c r="B128" s="11" t="s">
        <v>661</v>
      </c>
      <c r="C128" s="23" t="s">
        <v>23</v>
      </c>
      <c r="D128" s="23" t="s">
        <v>26</v>
      </c>
      <c r="E128" s="23" t="s">
        <v>128</v>
      </c>
      <c r="F128" s="19" t="s">
        <v>73</v>
      </c>
      <c r="G128" s="19"/>
      <c r="H128" s="4" t="s">
        <v>539</v>
      </c>
      <c r="I128" s="3" t="s">
        <v>2272</v>
      </c>
      <c r="J128" s="3" t="s">
        <v>2272</v>
      </c>
      <c r="K128" s="3" t="s">
        <v>2272</v>
      </c>
      <c r="L128" s="3" t="s">
        <v>2272</v>
      </c>
      <c r="M128" s="3" t="s">
        <v>2272</v>
      </c>
      <c r="N128" s="3" t="s">
        <v>2272</v>
      </c>
      <c r="O128" s="3" t="s">
        <v>2272</v>
      </c>
      <c r="P128" s="3" t="s">
        <v>2272</v>
      </c>
      <c r="Q128" s="3" t="s">
        <v>2272</v>
      </c>
      <c r="R128" s="3" t="s">
        <v>532</v>
      </c>
      <c r="S128" s="3" t="s">
        <v>2272</v>
      </c>
      <c r="T128" s="3" t="s">
        <v>532</v>
      </c>
      <c r="U128" s="3" t="s">
        <v>2272</v>
      </c>
      <c r="V128" s="49" t="s">
        <v>2272</v>
      </c>
      <c r="W128" s="3"/>
    </row>
    <row r="129" spans="1:23" ht="84" customHeight="1">
      <c r="A129" s="11" t="s">
        <v>674</v>
      </c>
      <c r="B129" s="11" t="s">
        <v>680</v>
      </c>
      <c r="C129" s="23" t="s">
        <v>23</v>
      </c>
      <c r="D129" s="23" t="s">
        <v>26</v>
      </c>
      <c r="E129" s="88" t="s">
        <v>128</v>
      </c>
      <c r="F129" s="19" t="s">
        <v>73</v>
      </c>
      <c r="G129" s="19"/>
      <c r="H129" s="4" t="s">
        <v>539</v>
      </c>
      <c r="I129" s="3" t="s">
        <v>2272</v>
      </c>
      <c r="J129" s="3" t="s">
        <v>2272</v>
      </c>
      <c r="K129" s="3" t="s">
        <v>2272</v>
      </c>
      <c r="L129" s="3" t="s">
        <v>2272</v>
      </c>
      <c r="M129" s="3" t="s">
        <v>2272</v>
      </c>
      <c r="N129" s="3" t="s">
        <v>2272</v>
      </c>
      <c r="O129" s="3" t="s">
        <v>2272</v>
      </c>
      <c r="P129" s="3" t="s">
        <v>2272</v>
      </c>
      <c r="Q129" s="3" t="s">
        <v>2272</v>
      </c>
      <c r="R129" s="3" t="s">
        <v>532</v>
      </c>
      <c r="S129" s="3" t="s">
        <v>532</v>
      </c>
      <c r="T129" s="3" t="s">
        <v>532</v>
      </c>
      <c r="U129" s="3" t="s">
        <v>2272</v>
      </c>
      <c r="V129" s="49">
        <v>4</v>
      </c>
      <c r="W129" s="4" t="s">
        <v>2024</v>
      </c>
    </row>
    <row r="130" spans="1:23" ht="21" customHeight="1">
      <c r="A130" s="3" t="s">
        <v>695</v>
      </c>
      <c r="B130" s="11" t="s">
        <v>716</v>
      </c>
      <c r="C130" s="23" t="s">
        <v>23</v>
      </c>
      <c r="D130" s="23" t="s">
        <v>141</v>
      </c>
      <c r="E130" s="88" t="s">
        <v>128</v>
      </c>
      <c r="F130" s="19" t="s">
        <v>73</v>
      </c>
      <c r="G130" s="19"/>
      <c r="H130" s="4" t="s">
        <v>539</v>
      </c>
      <c r="I130" s="3" t="s">
        <v>2272</v>
      </c>
      <c r="J130" s="3" t="s">
        <v>2272</v>
      </c>
      <c r="K130" s="3" t="s">
        <v>2272</v>
      </c>
      <c r="L130" s="3" t="s">
        <v>2272</v>
      </c>
      <c r="M130" s="3" t="s">
        <v>2272</v>
      </c>
      <c r="N130" s="3" t="s">
        <v>2272</v>
      </c>
      <c r="O130" s="3" t="s">
        <v>2272</v>
      </c>
      <c r="P130" s="3" t="s">
        <v>2272</v>
      </c>
      <c r="Q130" s="3" t="s">
        <v>2272</v>
      </c>
      <c r="R130" s="3" t="s">
        <v>532</v>
      </c>
      <c r="S130" s="3" t="s">
        <v>532</v>
      </c>
      <c r="T130" s="3" t="s">
        <v>532</v>
      </c>
      <c r="U130" s="3" t="s">
        <v>2272</v>
      </c>
      <c r="V130" s="49" t="s">
        <v>1</v>
      </c>
      <c r="W130" s="3"/>
    </row>
    <row r="131" spans="1:23" ht="25.5" customHeight="1">
      <c r="A131" s="3" t="s">
        <v>695</v>
      </c>
      <c r="B131" s="11" t="s">
        <v>719</v>
      </c>
      <c r="C131" s="23" t="s">
        <v>23</v>
      </c>
      <c r="D131" s="23" t="s">
        <v>26</v>
      </c>
      <c r="E131" s="88" t="s">
        <v>128</v>
      </c>
      <c r="F131" s="19" t="s">
        <v>73</v>
      </c>
      <c r="G131" s="19"/>
      <c r="H131" s="4" t="s">
        <v>539</v>
      </c>
      <c r="I131" s="3" t="s">
        <v>2272</v>
      </c>
      <c r="J131" s="3" t="s">
        <v>2272</v>
      </c>
      <c r="K131" s="3" t="s">
        <v>2272</v>
      </c>
      <c r="L131" s="3" t="s">
        <v>2272</v>
      </c>
      <c r="M131" s="3" t="s">
        <v>2272</v>
      </c>
      <c r="N131" s="3" t="s">
        <v>2272</v>
      </c>
      <c r="O131" s="3" t="s">
        <v>2272</v>
      </c>
      <c r="P131" s="3" t="s">
        <v>2272</v>
      </c>
      <c r="Q131" s="3" t="s">
        <v>2272</v>
      </c>
      <c r="R131" s="3" t="s">
        <v>532</v>
      </c>
      <c r="S131" s="3" t="s">
        <v>532</v>
      </c>
      <c r="T131" s="3" t="s">
        <v>532</v>
      </c>
      <c r="U131" s="3" t="s">
        <v>2272</v>
      </c>
      <c r="V131" s="49" t="s">
        <v>1</v>
      </c>
      <c r="W131" s="3"/>
    </row>
    <row r="132" spans="1:23">
      <c r="A132" s="3" t="s">
        <v>696</v>
      </c>
      <c r="B132" s="11" t="s">
        <v>717</v>
      </c>
      <c r="C132" s="23" t="s">
        <v>23</v>
      </c>
      <c r="D132" s="23" t="s">
        <v>141</v>
      </c>
      <c r="E132" s="88" t="s">
        <v>128</v>
      </c>
      <c r="F132" s="19" t="s">
        <v>73</v>
      </c>
      <c r="G132" s="19"/>
      <c r="H132" s="4" t="s">
        <v>539</v>
      </c>
      <c r="I132" s="3" t="s">
        <v>2272</v>
      </c>
      <c r="J132" s="3" t="s">
        <v>2272</v>
      </c>
      <c r="K132" s="3" t="s">
        <v>2272</v>
      </c>
      <c r="L132" s="3" t="s">
        <v>2272</v>
      </c>
      <c r="M132" s="3" t="s">
        <v>2272</v>
      </c>
      <c r="N132" s="3" t="s">
        <v>2272</v>
      </c>
      <c r="O132" s="3" t="s">
        <v>2272</v>
      </c>
      <c r="P132" s="3" t="s">
        <v>2272</v>
      </c>
      <c r="Q132" s="3" t="s">
        <v>2272</v>
      </c>
      <c r="R132" s="3" t="s">
        <v>532</v>
      </c>
      <c r="S132" s="3" t="s">
        <v>532</v>
      </c>
      <c r="T132" s="3" t="s">
        <v>532</v>
      </c>
      <c r="U132" s="3" t="s">
        <v>2272</v>
      </c>
      <c r="V132" s="49" t="s">
        <v>1</v>
      </c>
      <c r="W132" s="3"/>
    </row>
    <row r="133" spans="1:23">
      <c r="A133" s="3" t="s">
        <v>696</v>
      </c>
      <c r="B133" s="11" t="s">
        <v>720</v>
      </c>
      <c r="C133" s="23" t="s">
        <v>23</v>
      </c>
      <c r="D133" s="23" t="s">
        <v>26</v>
      </c>
      <c r="E133" s="88" t="s">
        <v>128</v>
      </c>
      <c r="F133" s="19" t="s">
        <v>73</v>
      </c>
      <c r="G133" s="19"/>
      <c r="H133" s="4" t="s">
        <v>539</v>
      </c>
      <c r="I133" s="3" t="s">
        <v>2272</v>
      </c>
      <c r="J133" s="3" t="s">
        <v>2272</v>
      </c>
      <c r="K133" s="3" t="s">
        <v>2272</v>
      </c>
      <c r="L133" s="3" t="s">
        <v>2272</v>
      </c>
      <c r="M133" s="3" t="s">
        <v>2272</v>
      </c>
      <c r="N133" s="3" t="s">
        <v>2272</v>
      </c>
      <c r="O133" s="3" t="s">
        <v>2272</v>
      </c>
      <c r="P133" s="3" t="s">
        <v>2272</v>
      </c>
      <c r="Q133" s="3" t="s">
        <v>2272</v>
      </c>
      <c r="R133" s="3" t="s">
        <v>532</v>
      </c>
      <c r="S133" s="3" t="s">
        <v>532</v>
      </c>
      <c r="T133" s="3" t="s">
        <v>532</v>
      </c>
      <c r="U133" s="3" t="s">
        <v>2272</v>
      </c>
      <c r="V133" s="49" t="s">
        <v>1</v>
      </c>
      <c r="W133" s="3"/>
    </row>
    <row r="134" spans="1:23">
      <c r="A134" s="3" t="s">
        <v>697</v>
      </c>
      <c r="B134" s="11" t="s">
        <v>718</v>
      </c>
      <c r="C134" s="23" t="s">
        <v>23</v>
      </c>
      <c r="D134" s="23" t="s">
        <v>141</v>
      </c>
      <c r="E134" s="88" t="s">
        <v>128</v>
      </c>
      <c r="F134" s="19" t="s">
        <v>73</v>
      </c>
      <c r="G134" s="19"/>
      <c r="H134" s="4" t="s">
        <v>539</v>
      </c>
      <c r="I134" s="3" t="s">
        <v>2272</v>
      </c>
      <c r="J134" s="3" t="s">
        <v>2272</v>
      </c>
      <c r="K134" s="3" t="s">
        <v>2272</v>
      </c>
      <c r="L134" s="3" t="s">
        <v>2272</v>
      </c>
      <c r="M134" s="3" t="s">
        <v>2272</v>
      </c>
      <c r="N134" s="3" t="s">
        <v>2272</v>
      </c>
      <c r="O134" s="3" t="s">
        <v>2272</v>
      </c>
      <c r="P134" s="3" t="s">
        <v>2272</v>
      </c>
      <c r="Q134" s="3" t="s">
        <v>2272</v>
      </c>
      <c r="R134" s="3" t="s">
        <v>532</v>
      </c>
      <c r="S134" s="3" t="s">
        <v>532</v>
      </c>
      <c r="T134" s="3" t="s">
        <v>532</v>
      </c>
      <c r="U134" s="3" t="s">
        <v>2272</v>
      </c>
      <c r="V134" s="49" t="s">
        <v>1</v>
      </c>
      <c r="W134" s="3"/>
    </row>
    <row r="135" spans="1:23">
      <c r="A135" s="11" t="s">
        <v>697</v>
      </c>
      <c r="B135" s="11" t="s">
        <v>721</v>
      </c>
      <c r="C135" s="23" t="s">
        <v>23</v>
      </c>
      <c r="D135" s="23" t="s">
        <v>26</v>
      </c>
      <c r="E135" s="23" t="s">
        <v>128</v>
      </c>
      <c r="F135" s="19" t="s">
        <v>73</v>
      </c>
      <c r="G135" s="19"/>
      <c r="H135" s="4" t="s">
        <v>539</v>
      </c>
      <c r="I135" s="3" t="s">
        <v>2272</v>
      </c>
      <c r="J135" s="3" t="s">
        <v>2272</v>
      </c>
      <c r="K135" s="3" t="s">
        <v>2272</v>
      </c>
      <c r="L135" s="3" t="s">
        <v>2272</v>
      </c>
      <c r="M135" s="3" t="s">
        <v>2272</v>
      </c>
      <c r="N135" s="3" t="s">
        <v>2272</v>
      </c>
      <c r="O135" s="3" t="s">
        <v>2272</v>
      </c>
      <c r="P135" s="3" t="s">
        <v>2272</v>
      </c>
      <c r="Q135" s="3" t="s">
        <v>2272</v>
      </c>
      <c r="R135" s="3" t="s">
        <v>532</v>
      </c>
      <c r="S135" s="3" t="s">
        <v>532</v>
      </c>
      <c r="T135" s="3" t="s">
        <v>532</v>
      </c>
      <c r="U135" s="3" t="s">
        <v>2272</v>
      </c>
      <c r="V135" s="49" t="s">
        <v>1</v>
      </c>
      <c r="W135" s="3"/>
    </row>
    <row r="136" spans="1:23" ht="22" customHeight="1">
      <c r="A136" s="11" t="s">
        <v>750</v>
      </c>
      <c r="B136" s="11" t="s">
        <v>760</v>
      </c>
      <c r="C136" s="23" t="s">
        <v>23</v>
      </c>
      <c r="D136" s="23" t="s">
        <v>26</v>
      </c>
      <c r="E136" s="23" t="s">
        <v>128</v>
      </c>
      <c r="F136" s="19" t="s">
        <v>73</v>
      </c>
      <c r="G136" s="19"/>
      <c r="H136" s="4" t="s">
        <v>539</v>
      </c>
      <c r="I136" s="3" t="s">
        <v>2272</v>
      </c>
      <c r="J136" s="3" t="s">
        <v>2272</v>
      </c>
      <c r="K136" s="3" t="s">
        <v>2272</v>
      </c>
      <c r="L136" s="3" t="s">
        <v>2272</v>
      </c>
      <c r="M136" s="3" t="s">
        <v>2272</v>
      </c>
      <c r="N136" s="3" t="s">
        <v>2272</v>
      </c>
      <c r="O136" s="3" t="s">
        <v>2272</v>
      </c>
      <c r="P136" s="3" t="s">
        <v>2272</v>
      </c>
      <c r="Q136" s="3" t="s">
        <v>2272</v>
      </c>
      <c r="R136" s="3" t="s">
        <v>532</v>
      </c>
      <c r="S136" s="3" t="s">
        <v>532</v>
      </c>
      <c r="T136" s="3" t="s">
        <v>532</v>
      </c>
      <c r="U136" s="3" t="s">
        <v>2272</v>
      </c>
      <c r="V136" s="49" t="s">
        <v>1</v>
      </c>
      <c r="W136" s="3"/>
    </row>
    <row r="137" spans="1:23" ht="22.5" customHeight="1">
      <c r="A137" s="11" t="s">
        <v>753</v>
      </c>
      <c r="B137" s="11" t="s">
        <v>761</v>
      </c>
      <c r="C137" s="23" t="s">
        <v>23</v>
      </c>
      <c r="D137" s="23" t="s">
        <v>26</v>
      </c>
      <c r="E137" s="23" t="s">
        <v>128</v>
      </c>
      <c r="F137" s="19" t="s">
        <v>73</v>
      </c>
      <c r="G137" s="19"/>
      <c r="H137" s="4" t="s">
        <v>539</v>
      </c>
      <c r="I137" s="3" t="s">
        <v>2272</v>
      </c>
      <c r="J137" s="3" t="s">
        <v>2272</v>
      </c>
      <c r="K137" s="3" t="s">
        <v>2272</v>
      </c>
      <c r="L137" s="3" t="s">
        <v>2272</v>
      </c>
      <c r="M137" s="3" t="s">
        <v>2272</v>
      </c>
      <c r="N137" s="3" t="s">
        <v>2272</v>
      </c>
      <c r="O137" s="3" t="s">
        <v>2272</v>
      </c>
      <c r="P137" s="3" t="s">
        <v>2272</v>
      </c>
      <c r="Q137" s="3" t="s">
        <v>2272</v>
      </c>
      <c r="R137" s="3" t="s">
        <v>532</v>
      </c>
      <c r="S137" s="3" t="s">
        <v>532</v>
      </c>
      <c r="T137" s="3" t="s">
        <v>532</v>
      </c>
      <c r="U137" s="3" t="s">
        <v>2272</v>
      </c>
      <c r="V137" s="49" t="s">
        <v>1</v>
      </c>
      <c r="W137" s="3"/>
    </row>
    <row r="138" spans="1:23" ht="23.5" customHeight="1">
      <c r="A138" s="11" t="s">
        <v>754</v>
      </c>
      <c r="B138" s="11" t="s">
        <v>762</v>
      </c>
      <c r="C138" s="23" t="s">
        <v>23</v>
      </c>
      <c r="D138" s="23" t="s">
        <v>26</v>
      </c>
      <c r="E138" s="23" t="s">
        <v>128</v>
      </c>
      <c r="F138" s="19" t="s">
        <v>73</v>
      </c>
      <c r="G138" s="19"/>
      <c r="H138" s="4" t="s">
        <v>539</v>
      </c>
      <c r="I138" s="3" t="s">
        <v>2272</v>
      </c>
      <c r="J138" s="3" t="s">
        <v>2272</v>
      </c>
      <c r="K138" s="3" t="s">
        <v>2272</v>
      </c>
      <c r="L138" s="3" t="s">
        <v>2272</v>
      </c>
      <c r="M138" s="3" t="s">
        <v>2272</v>
      </c>
      <c r="N138" s="3" t="s">
        <v>2272</v>
      </c>
      <c r="O138" s="3" t="s">
        <v>2272</v>
      </c>
      <c r="P138" s="3" t="s">
        <v>2272</v>
      </c>
      <c r="Q138" s="3" t="s">
        <v>2272</v>
      </c>
      <c r="R138" s="3" t="s">
        <v>532</v>
      </c>
      <c r="S138" s="3" t="s">
        <v>532</v>
      </c>
      <c r="T138" s="3" t="s">
        <v>532</v>
      </c>
      <c r="U138" s="3" t="s">
        <v>2272</v>
      </c>
      <c r="V138" s="49" t="s">
        <v>1</v>
      </c>
      <c r="W138" s="3"/>
    </row>
    <row r="139" spans="1:23" ht="64" customHeight="1">
      <c r="A139" s="11" t="s">
        <v>794</v>
      </c>
      <c r="B139" s="11" t="s">
        <v>807</v>
      </c>
      <c r="C139" s="23" t="s">
        <v>23</v>
      </c>
      <c r="D139" s="23" t="s">
        <v>26</v>
      </c>
      <c r="E139" s="23" t="s">
        <v>128</v>
      </c>
      <c r="F139" s="19" t="s">
        <v>159</v>
      </c>
      <c r="G139" s="19"/>
      <c r="H139" s="4" t="s">
        <v>539</v>
      </c>
      <c r="I139" s="3" t="s">
        <v>2685</v>
      </c>
      <c r="J139" s="3" t="s">
        <v>532</v>
      </c>
      <c r="K139" s="3" t="s">
        <v>2272</v>
      </c>
      <c r="L139" s="3" t="s">
        <v>2272</v>
      </c>
      <c r="M139" s="3" t="s">
        <v>2272</v>
      </c>
      <c r="N139" s="3" t="s">
        <v>2272</v>
      </c>
      <c r="O139" s="3" t="s">
        <v>2272</v>
      </c>
      <c r="P139" s="3" t="s">
        <v>2272</v>
      </c>
      <c r="Q139" s="3" t="s">
        <v>2272</v>
      </c>
      <c r="R139" s="3" t="s">
        <v>2272</v>
      </c>
      <c r="S139" s="3" t="s">
        <v>2272</v>
      </c>
      <c r="T139" s="3" t="s">
        <v>2272</v>
      </c>
      <c r="U139" s="3" t="s">
        <v>2272</v>
      </c>
      <c r="V139" s="49" t="s">
        <v>2272</v>
      </c>
      <c r="W139" s="4" t="s">
        <v>2055</v>
      </c>
    </row>
    <row r="140" spans="1:23" ht="59" customHeight="1">
      <c r="A140" s="11" t="s">
        <v>795</v>
      </c>
      <c r="B140" s="11" t="s">
        <v>808</v>
      </c>
      <c r="C140" s="23" t="s">
        <v>23</v>
      </c>
      <c r="D140" s="23" t="s">
        <v>26</v>
      </c>
      <c r="E140" s="23" t="s">
        <v>128</v>
      </c>
      <c r="F140" s="19" t="s">
        <v>159</v>
      </c>
      <c r="G140" s="19"/>
      <c r="H140" s="4" t="s">
        <v>539</v>
      </c>
      <c r="I140" s="3" t="s">
        <v>2685</v>
      </c>
      <c r="J140" s="3" t="s">
        <v>532</v>
      </c>
      <c r="K140" s="3" t="s">
        <v>2272</v>
      </c>
      <c r="L140" s="3" t="s">
        <v>2272</v>
      </c>
      <c r="M140" s="3" t="s">
        <v>2272</v>
      </c>
      <c r="N140" s="3" t="s">
        <v>2272</v>
      </c>
      <c r="O140" s="3" t="s">
        <v>2272</v>
      </c>
      <c r="P140" s="3" t="s">
        <v>2272</v>
      </c>
      <c r="Q140" s="3" t="s">
        <v>2272</v>
      </c>
      <c r="R140" s="3" t="s">
        <v>2272</v>
      </c>
      <c r="S140" s="3" t="s">
        <v>2272</v>
      </c>
      <c r="T140" s="3" t="s">
        <v>2272</v>
      </c>
      <c r="U140" s="3" t="s">
        <v>2272</v>
      </c>
      <c r="V140" s="49" t="s">
        <v>2272</v>
      </c>
      <c r="W140" s="4" t="s">
        <v>2055</v>
      </c>
    </row>
    <row r="141" spans="1:23" ht="64.5" customHeight="1">
      <c r="A141" s="11" t="s">
        <v>796</v>
      </c>
      <c r="B141" s="11" t="s">
        <v>809</v>
      </c>
      <c r="C141" s="23" t="s">
        <v>23</v>
      </c>
      <c r="D141" s="23" t="s">
        <v>26</v>
      </c>
      <c r="E141" s="23" t="s">
        <v>128</v>
      </c>
      <c r="F141" s="19" t="s">
        <v>159</v>
      </c>
      <c r="G141" s="19"/>
      <c r="H141" s="4" t="s">
        <v>539</v>
      </c>
      <c r="I141" s="3" t="s">
        <v>2685</v>
      </c>
      <c r="J141" s="3" t="s">
        <v>532</v>
      </c>
      <c r="K141" s="3" t="s">
        <v>2272</v>
      </c>
      <c r="L141" s="3" t="s">
        <v>2272</v>
      </c>
      <c r="M141" s="3" t="s">
        <v>2272</v>
      </c>
      <c r="N141" s="3" t="s">
        <v>2272</v>
      </c>
      <c r="O141" s="3" t="s">
        <v>2272</v>
      </c>
      <c r="P141" s="3" t="s">
        <v>2272</v>
      </c>
      <c r="Q141" s="3" t="s">
        <v>2272</v>
      </c>
      <c r="R141" s="3" t="s">
        <v>2272</v>
      </c>
      <c r="S141" s="3" t="s">
        <v>2272</v>
      </c>
      <c r="T141" s="3" t="s">
        <v>2272</v>
      </c>
      <c r="U141" s="3" t="s">
        <v>2272</v>
      </c>
      <c r="V141" s="49" t="s">
        <v>2272</v>
      </c>
      <c r="W141" s="4" t="s">
        <v>2055</v>
      </c>
    </row>
    <row r="142" spans="1:23" ht="64.5" customHeight="1">
      <c r="A142" s="11" t="s">
        <v>797</v>
      </c>
      <c r="B142" s="11" t="s">
        <v>810</v>
      </c>
      <c r="C142" s="23" t="s">
        <v>23</v>
      </c>
      <c r="D142" s="23" t="s">
        <v>26</v>
      </c>
      <c r="E142" s="23" t="s">
        <v>128</v>
      </c>
      <c r="F142" s="19" t="s">
        <v>159</v>
      </c>
      <c r="G142" s="19"/>
      <c r="H142" s="4" t="s">
        <v>539</v>
      </c>
      <c r="I142" s="3" t="s">
        <v>2685</v>
      </c>
      <c r="J142" s="3" t="s">
        <v>532</v>
      </c>
      <c r="K142" s="3" t="s">
        <v>2272</v>
      </c>
      <c r="L142" s="3" t="s">
        <v>2272</v>
      </c>
      <c r="M142" s="3" t="s">
        <v>2272</v>
      </c>
      <c r="N142" s="3" t="s">
        <v>2272</v>
      </c>
      <c r="O142" s="3" t="s">
        <v>2272</v>
      </c>
      <c r="P142" s="3" t="s">
        <v>2272</v>
      </c>
      <c r="Q142" s="3" t="s">
        <v>2272</v>
      </c>
      <c r="R142" s="3" t="s">
        <v>2272</v>
      </c>
      <c r="S142" s="3" t="s">
        <v>2272</v>
      </c>
      <c r="T142" s="3" t="s">
        <v>2272</v>
      </c>
      <c r="U142" s="3" t="s">
        <v>2272</v>
      </c>
      <c r="V142" s="49" t="s">
        <v>2272</v>
      </c>
      <c r="W142" s="4" t="s">
        <v>2055</v>
      </c>
    </row>
    <row r="143" spans="1:23" ht="65" customHeight="1">
      <c r="A143" s="11" t="s">
        <v>798</v>
      </c>
      <c r="B143" s="11" t="s">
        <v>811</v>
      </c>
      <c r="C143" s="23" t="s">
        <v>23</v>
      </c>
      <c r="D143" s="23" t="s">
        <v>26</v>
      </c>
      <c r="E143" s="23" t="s">
        <v>128</v>
      </c>
      <c r="F143" s="19" t="s">
        <v>159</v>
      </c>
      <c r="G143" s="19"/>
      <c r="H143" s="4" t="s">
        <v>539</v>
      </c>
      <c r="I143" s="3" t="s">
        <v>2685</v>
      </c>
      <c r="J143" s="3" t="s">
        <v>532</v>
      </c>
      <c r="K143" s="3" t="s">
        <v>2272</v>
      </c>
      <c r="L143" s="3" t="s">
        <v>2272</v>
      </c>
      <c r="M143" s="3" t="s">
        <v>2272</v>
      </c>
      <c r="N143" s="3" t="s">
        <v>2272</v>
      </c>
      <c r="O143" s="3" t="s">
        <v>2272</v>
      </c>
      <c r="P143" s="3" t="s">
        <v>2272</v>
      </c>
      <c r="Q143" s="3" t="s">
        <v>2272</v>
      </c>
      <c r="R143" s="3" t="s">
        <v>2272</v>
      </c>
      <c r="S143" s="3" t="s">
        <v>2272</v>
      </c>
      <c r="T143" s="3" t="s">
        <v>2272</v>
      </c>
      <c r="U143" s="3" t="s">
        <v>2272</v>
      </c>
      <c r="V143" s="49" t="s">
        <v>2272</v>
      </c>
      <c r="W143" s="4" t="s">
        <v>2055</v>
      </c>
    </row>
    <row r="144" spans="1:23" ht="65" customHeight="1">
      <c r="A144" s="11" t="s">
        <v>799</v>
      </c>
      <c r="B144" s="11" t="s">
        <v>812</v>
      </c>
      <c r="C144" s="23" t="s">
        <v>23</v>
      </c>
      <c r="D144" s="23" t="s">
        <v>26</v>
      </c>
      <c r="E144" s="23" t="s">
        <v>128</v>
      </c>
      <c r="F144" s="19" t="s">
        <v>159</v>
      </c>
      <c r="G144" s="19"/>
      <c r="H144" s="4" t="s">
        <v>539</v>
      </c>
      <c r="I144" s="3" t="s">
        <v>2685</v>
      </c>
      <c r="J144" s="3" t="s">
        <v>532</v>
      </c>
      <c r="K144" s="3" t="s">
        <v>2272</v>
      </c>
      <c r="L144" s="3" t="s">
        <v>2272</v>
      </c>
      <c r="M144" s="3" t="s">
        <v>2272</v>
      </c>
      <c r="N144" s="3" t="s">
        <v>2272</v>
      </c>
      <c r="O144" s="3" t="s">
        <v>2272</v>
      </c>
      <c r="P144" s="3" t="s">
        <v>2272</v>
      </c>
      <c r="Q144" s="3" t="s">
        <v>2272</v>
      </c>
      <c r="R144" s="3" t="s">
        <v>2272</v>
      </c>
      <c r="S144" s="3" t="s">
        <v>2272</v>
      </c>
      <c r="T144" s="3" t="s">
        <v>2272</v>
      </c>
      <c r="U144" s="3" t="s">
        <v>2272</v>
      </c>
      <c r="V144" s="49" t="s">
        <v>2272</v>
      </c>
      <c r="W144" s="4" t="s">
        <v>2055</v>
      </c>
    </row>
    <row r="145" spans="1:23" ht="23.5" customHeight="1">
      <c r="A145" s="11" t="s">
        <v>821</v>
      </c>
      <c r="B145" s="11" t="s">
        <v>822</v>
      </c>
      <c r="C145" s="23" t="s">
        <v>23</v>
      </c>
      <c r="D145" s="23" t="s">
        <v>26</v>
      </c>
      <c r="E145" s="23" t="s">
        <v>128</v>
      </c>
      <c r="F145" s="19" t="s">
        <v>73</v>
      </c>
      <c r="G145" s="19"/>
      <c r="H145" s="4" t="s">
        <v>539</v>
      </c>
      <c r="I145" s="3" t="s">
        <v>2272</v>
      </c>
      <c r="J145" s="3" t="s">
        <v>2272</v>
      </c>
      <c r="K145" s="3" t="s">
        <v>2272</v>
      </c>
      <c r="L145" s="3" t="s">
        <v>2272</v>
      </c>
      <c r="M145" s="3" t="s">
        <v>2272</v>
      </c>
      <c r="N145" s="3" t="s">
        <v>2272</v>
      </c>
      <c r="O145" s="3" t="s">
        <v>2272</v>
      </c>
      <c r="P145" s="3" t="s">
        <v>2272</v>
      </c>
      <c r="Q145" s="3" t="s">
        <v>2272</v>
      </c>
      <c r="R145" s="3" t="s">
        <v>532</v>
      </c>
      <c r="S145" s="3" t="s">
        <v>2272</v>
      </c>
      <c r="T145" s="3" t="s">
        <v>532</v>
      </c>
      <c r="U145" s="3" t="s">
        <v>2272</v>
      </c>
      <c r="V145" s="49" t="s">
        <v>2272</v>
      </c>
      <c r="W145" s="3"/>
    </row>
    <row r="146" spans="1:23" ht="28" customHeight="1">
      <c r="A146" s="11" t="s">
        <v>821</v>
      </c>
      <c r="B146" s="11" t="s">
        <v>823</v>
      </c>
      <c r="C146" s="23" t="s">
        <v>23</v>
      </c>
      <c r="D146" s="23" t="s">
        <v>26</v>
      </c>
      <c r="E146" s="23" t="s">
        <v>128</v>
      </c>
      <c r="F146" s="19" t="s">
        <v>73</v>
      </c>
      <c r="G146" s="19"/>
      <c r="H146" s="4" t="s">
        <v>539</v>
      </c>
      <c r="I146" s="3" t="s">
        <v>2272</v>
      </c>
      <c r="J146" s="3" t="s">
        <v>2272</v>
      </c>
      <c r="K146" s="3" t="s">
        <v>2272</v>
      </c>
      <c r="L146" s="3" t="s">
        <v>2272</v>
      </c>
      <c r="M146" s="3" t="s">
        <v>2272</v>
      </c>
      <c r="N146" s="3" t="s">
        <v>2272</v>
      </c>
      <c r="O146" s="3" t="s">
        <v>2272</v>
      </c>
      <c r="P146" s="3" t="s">
        <v>2272</v>
      </c>
      <c r="Q146" s="3" t="s">
        <v>2272</v>
      </c>
      <c r="R146" s="3" t="s">
        <v>532</v>
      </c>
      <c r="S146" s="3" t="s">
        <v>2272</v>
      </c>
      <c r="T146" s="3" t="s">
        <v>532</v>
      </c>
      <c r="U146" s="3" t="s">
        <v>2272</v>
      </c>
      <c r="V146" s="49" t="s">
        <v>2272</v>
      </c>
      <c r="W146" s="3"/>
    </row>
    <row r="147" spans="1:23" ht="45" customHeight="1">
      <c r="A147" s="11" t="s">
        <v>825</v>
      </c>
      <c r="B147" s="11" t="s">
        <v>829</v>
      </c>
      <c r="C147" s="23" t="s">
        <v>23</v>
      </c>
      <c r="D147" s="23" t="s">
        <v>26</v>
      </c>
      <c r="E147" s="23" t="s">
        <v>128</v>
      </c>
      <c r="F147" s="19" t="s">
        <v>159</v>
      </c>
      <c r="G147" s="19"/>
      <c r="H147" s="4" t="s">
        <v>539</v>
      </c>
      <c r="I147" s="11" t="s">
        <v>2685</v>
      </c>
      <c r="J147" s="11" t="s">
        <v>532</v>
      </c>
      <c r="K147" s="3" t="s">
        <v>2272</v>
      </c>
      <c r="L147" s="3" t="s">
        <v>2272</v>
      </c>
      <c r="M147" s="3" t="s">
        <v>2272</v>
      </c>
      <c r="N147" s="3" t="s">
        <v>2272</v>
      </c>
      <c r="O147" s="3" t="s">
        <v>2272</v>
      </c>
      <c r="P147" s="3" t="s">
        <v>2272</v>
      </c>
      <c r="Q147" s="3" t="s">
        <v>2272</v>
      </c>
      <c r="R147" s="3" t="s">
        <v>2272</v>
      </c>
      <c r="S147" s="3" t="s">
        <v>2272</v>
      </c>
      <c r="T147" s="3" t="s">
        <v>2272</v>
      </c>
      <c r="U147" s="3" t="s">
        <v>2272</v>
      </c>
      <c r="V147" s="3" t="s">
        <v>2272</v>
      </c>
      <c r="W147" s="4" t="s">
        <v>832</v>
      </c>
    </row>
    <row r="148" spans="1:23" ht="29">
      <c r="A148" s="11" t="s">
        <v>840</v>
      </c>
      <c r="B148" s="11" t="s">
        <v>849</v>
      </c>
      <c r="C148" s="23" t="s">
        <v>23</v>
      </c>
      <c r="D148" s="23" t="s">
        <v>26</v>
      </c>
      <c r="E148" s="23" t="s">
        <v>128</v>
      </c>
      <c r="F148" s="19" t="s">
        <v>159</v>
      </c>
      <c r="G148" s="19"/>
      <c r="H148" s="4" t="s">
        <v>539</v>
      </c>
      <c r="I148" s="11" t="s">
        <v>2685</v>
      </c>
      <c r="J148" s="11" t="s">
        <v>532</v>
      </c>
      <c r="K148" s="3" t="s">
        <v>2272</v>
      </c>
      <c r="L148" s="3" t="s">
        <v>2272</v>
      </c>
      <c r="M148" s="3" t="s">
        <v>2272</v>
      </c>
      <c r="N148" s="3" t="s">
        <v>2272</v>
      </c>
      <c r="O148" s="3" t="s">
        <v>2272</v>
      </c>
      <c r="P148" s="3" t="s">
        <v>2272</v>
      </c>
      <c r="Q148" s="3" t="s">
        <v>2272</v>
      </c>
      <c r="R148" s="3" t="s">
        <v>2272</v>
      </c>
      <c r="S148" s="3" t="s">
        <v>2272</v>
      </c>
      <c r="T148" s="3" t="s">
        <v>2272</v>
      </c>
      <c r="U148" s="3" t="s">
        <v>2272</v>
      </c>
      <c r="V148" s="3" t="s">
        <v>2272</v>
      </c>
      <c r="W148" s="4" t="s">
        <v>832</v>
      </c>
    </row>
    <row r="149" spans="1:23" ht="34.5" customHeight="1">
      <c r="A149" s="11" t="s">
        <v>840</v>
      </c>
      <c r="B149" s="11" t="s">
        <v>852</v>
      </c>
      <c r="C149" s="23" t="s">
        <v>23</v>
      </c>
      <c r="D149" s="23" t="s">
        <v>141</v>
      </c>
      <c r="E149" s="23" t="s">
        <v>128</v>
      </c>
      <c r="F149" s="19" t="s">
        <v>73</v>
      </c>
      <c r="G149" s="19"/>
      <c r="H149" s="4" t="s">
        <v>539</v>
      </c>
      <c r="I149" s="11" t="s">
        <v>2685</v>
      </c>
      <c r="J149" s="11" t="s">
        <v>532</v>
      </c>
      <c r="K149" s="3" t="s">
        <v>2272</v>
      </c>
      <c r="L149" s="3" t="s">
        <v>2272</v>
      </c>
      <c r="M149" s="3" t="s">
        <v>2272</v>
      </c>
      <c r="N149" s="3" t="s">
        <v>2272</v>
      </c>
      <c r="O149" s="3" t="s">
        <v>2272</v>
      </c>
      <c r="P149" s="3" t="s">
        <v>2272</v>
      </c>
      <c r="Q149" s="3" t="s">
        <v>2272</v>
      </c>
      <c r="R149" s="3" t="s">
        <v>532</v>
      </c>
      <c r="S149" s="3" t="s">
        <v>532</v>
      </c>
      <c r="T149" s="3" t="s">
        <v>532</v>
      </c>
      <c r="U149" s="3" t="s">
        <v>2272</v>
      </c>
      <c r="V149" s="3" t="s">
        <v>2272</v>
      </c>
      <c r="W149" s="4" t="s">
        <v>851</v>
      </c>
    </row>
    <row r="150" spans="1:23" ht="29">
      <c r="A150" s="11" t="s">
        <v>842</v>
      </c>
      <c r="B150" s="11" t="s">
        <v>847</v>
      </c>
      <c r="C150" s="23" t="s">
        <v>23</v>
      </c>
      <c r="D150" s="23" t="s">
        <v>26</v>
      </c>
      <c r="E150" s="23" t="s">
        <v>128</v>
      </c>
      <c r="F150" s="19" t="s">
        <v>159</v>
      </c>
      <c r="G150" s="19"/>
      <c r="H150" s="4" t="s">
        <v>539</v>
      </c>
      <c r="I150" s="11" t="s">
        <v>2685</v>
      </c>
      <c r="J150" s="11" t="s">
        <v>532</v>
      </c>
      <c r="K150" s="3" t="s">
        <v>2272</v>
      </c>
      <c r="L150" s="3" t="s">
        <v>2272</v>
      </c>
      <c r="M150" s="3" t="s">
        <v>2272</v>
      </c>
      <c r="N150" s="3" t="s">
        <v>2272</v>
      </c>
      <c r="O150" s="3" t="s">
        <v>2272</v>
      </c>
      <c r="P150" s="3" t="s">
        <v>2272</v>
      </c>
      <c r="Q150" s="3" t="s">
        <v>2272</v>
      </c>
      <c r="R150" s="3" t="s">
        <v>2272</v>
      </c>
      <c r="S150" s="3" t="s">
        <v>2272</v>
      </c>
      <c r="T150" s="3" t="s">
        <v>2272</v>
      </c>
      <c r="U150" s="3" t="s">
        <v>2272</v>
      </c>
      <c r="V150" s="3" t="s">
        <v>2272</v>
      </c>
      <c r="W150" s="4" t="s">
        <v>832</v>
      </c>
    </row>
    <row r="151" spans="1:23" ht="35.5" customHeight="1">
      <c r="A151" s="11" t="s">
        <v>842</v>
      </c>
      <c r="B151" s="11" t="s">
        <v>854</v>
      </c>
      <c r="C151" s="23" t="s">
        <v>23</v>
      </c>
      <c r="D151" s="23" t="s">
        <v>141</v>
      </c>
      <c r="E151" s="23" t="s">
        <v>128</v>
      </c>
      <c r="F151" s="19" t="s">
        <v>73</v>
      </c>
      <c r="G151" s="19"/>
      <c r="H151" s="4" t="s">
        <v>539</v>
      </c>
      <c r="I151" s="11" t="s">
        <v>2685</v>
      </c>
      <c r="J151" s="11" t="s">
        <v>532</v>
      </c>
      <c r="K151" s="3" t="s">
        <v>2272</v>
      </c>
      <c r="L151" s="3" t="s">
        <v>2272</v>
      </c>
      <c r="M151" s="3" t="s">
        <v>2272</v>
      </c>
      <c r="N151" s="3" t="s">
        <v>2272</v>
      </c>
      <c r="O151" s="3" t="s">
        <v>2272</v>
      </c>
      <c r="P151" s="3" t="s">
        <v>2272</v>
      </c>
      <c r="Q151" s="3" t="s">
        <v>2272</v>
      </c>
      <c r="R151" s="3" t="s">
        <v>532</v>
      </c>
      <c r="S151" s="3" t="s">
        <v>532</v>
      </c>
      <c r="T151" s="3" t="s">
        <v>532</v>
      </c>
      <c r="U151" s="3" t="s">
        <v>2272</v>
      </c>
      <c r="V151" s="3" t="s">
        <v>2272</v>
      </c>
      <c r="W151" s="4" t="s">
        <v>851</v>
      </c>
    </row>
    <row r="152" spans="1:23" ht="56.5" customHeight="1">
      <c r="A152" s="11" t="s">
        <v>844</v>
      </c>
      <c r="B152" s="11" t="s">
        <v>848</v>
      </c>
      <c r="C152" s="23" t="s">
        <v>23</v>
      </c>
      <c r="D152" s="23" t="s">
        <v>26</v>
      </c>
      <c r="E152" s="23" t="s">
        <v>128</v>
      </c>
      <c r="F152" s="19" t="s">
        <v>159</v>
      </c>
      <c r="G152" s="19"/>
      <c r="H152" s="4" t="s">
        <v>539</v>
      </c>
      <c r="I152" s="11" t="s">
        <v>2685</v>
      </c>
      <c r="J152" s="11" t="s">
        <v>532</v>
      </c>
      <c r="K152" s="3" t="s">
        <v>2272</v>
      </c>
      <c r="L152" s="3" t="s">
        <v>2272</v>
      </c>
      <c r="M152" s="3" t="s">
        <v>2272</v>
      </c>
      <c r="N152" s="3" t="s">
        <v>2272</v>
      </c>
      <c r="O152" s="3" t="s">
        <v>2272</v>
      </c>
      <c r="P152" s="3" t="s">
        <v>2272</v>
      </c>
      <c r="Q152" s="3" t="s">
        <v>2272</v>
      </c>
      <c r="R152" s="3" t="s">
        <v>2272</v>
      </c>
      <c r="S152" s="3" t="s">
        <v>2272</v>
      </c>
      <c r="T152" s="3" t="s">
        <v>2272</v>
      </c>
      <c r="U152" s="3" t="s">
        <v>2272</v>
      </c>
      <c r="V152" s="3" t="s">
        <v>2272</v>
      </c>
      <c r="W152" s="4" t="s">
        <v>832</v>
      </c>
    </row>
    <row r="153" spans="1:23" ht="39" customHeight="1">
      <c r="A153" s="11" t="s">
        <v>844</v>
      </c>
      <c r="B153" s="11" t="s">
        <v>853</v>
      </c>
      <c r="C153" s="23" t="s">
        <v>23</v>
      </c>
      <c r="D153" s="23" t="s">
        <v>141</v>
      </c>
      <c r="E153" s="61"/>
      <c r="F153" s="19" t="s">
        <v>73</v>
      </c>
      <c r="G153" s="19"/>
      <c r="H153" s="4" t="s">
        <v>539</v>
      </c>
      <c r="I153" s="11" t="s">
        <v>2685</v>
      </c>
      <c r="J153" s="11" t="s">
        <v>532</v>
      </c>
      <c r="K153" s="3" t="s">
        <v>2272</v>
      </c>
      <c r="L153" s="3" t="s">
        <v>2272</v>
      </c>
      <c r="M153" s="3" t="s">
        <v>2272</v>
      </c>
      <c r="N153" s="3" t="s">
        <v>2272</v>
      </c>
      <c r="O153" s="3" t="s">
        <v>2272</v>
      </c>
      <c r="P153" s="3" t="s">
        <v>2272</v>
      </c>
      <c r="Q153" s="3" t="s">
        <v>2272</v>
      </c>
      <c r="R153" s="3" t="s">
        <v>532</v>
      </c>
      <c r="S153" s="3" t="s">
        <v>532</v>
      </c>
      <c r="T153" s="3" t="s">
        <v>532</v>
      </c>
      <c r="U153" s="3" t="s">
        <v>2272</v>
      </c>
      <c r="V153" s="3" t="s">
        <v>2272</v>
      </c>
      <c r="W153" s="4" t="s">
        <v>851</v>
      </c>
    </row>
    <row r="154" spans="1:23" ht="52" customHeight="1">
      <c r="A154" s="11" t="s">
        <v>866</v>
      </c>
      <c r="B154" s="11" t="s">
        <v>871</v>
      </c>
      <c r="C154" s="23" t="s">
        <v>23</v>
      </c>
      <c r="D154" s="23" t="s">
        <v>141</v>
      </c>
      <c r="E154" s="23" t="s">
        <v>128</v>
      </c>
      <c r="F154" s="19" t="s">
        <v>73</v>
      </c>
      <c r="G154" s="19"/>
      <c r="H154" s="4" t="s">
        <v>539</v>
      </c>
      <c r="I154" s="3" t="s">
        <v>535</v>
      </c>
      <c r="J154" s="3" t="s">
        <v>535</v>
      </c>
      <c r="K154" s="3" t="s">
        <v>535</v>
      </c>
      <c r="L154" s="3" t="s">
        <v>2272</v>
      </c>
      <c r="M154" s="3" t="s">
        <v>2272</v>
      </c>
      <c r="N154" s="3" t="s">
        <v>2272</v>
      </c>
      <c r="O154" s="3" t="s">
        <v>2272</v>
      </c>
      <c r="P154" s="3" t="s">
        <v>2272</v>
      </c>
      <c r="Q154" s="3" t="s">
        <v>2272</v>
      </c>
      <c r="R154" s="3" t="s">
        <v>532</v>
      </c>
      <c r="S154" s="3" t="s">
        <v>532</v>
      </c>
      <c r="T154" s="3" t="s">
        <v>532</v>
      </c>
      <c r="U154" s="3" t="s">
        <v>2272</v>
      </c>
      <c r="V154" s="3" t="s">
        <v>2272</v>
      </c>
      <c r="W154" s="4" t="s">
        <v>872</v>
      </c>
    </row>
    <row r="155" spans="1:23" ht="52" customHeight="1">
      <c r="A155" s="11" t="s">
        <v>2068</v>
      </c>
      <c r="B155" s="11" t="s">
        <v>2122</v>
      </c>
      <c r="C155" s="23" t="s">
        <v>23</v>
      </c>
      <c r="D155" s="23" t="s">
        <v>141</v>
      </c>
      <c r="E155" s="23" t="s">
        <v>128</v>
      </c>
      <c r="F155" s="19" t="s">
        <v>73</v>
      </c>
      <c r="G155" s="19"/>
      <c r="H155" s="4" t="s">
        <v>539</v>
      </c>
      <c r="I155" s="3" t="s">
        <v>535</v>
      </c>
      <c r="J155" s="3" t="s">
        <v>535</v>
      </c>
      <c r="K155" s="3" t="s">
        <v>535</v>
      </c>
      <c r="L155" s="3" t="s">
        <v>2272</v>
      </c>
      <c r="M155" s="3" t="s">
        <v>2272</v>
      </c>
      <c r="N155" s="3" t="s">
        <v>2272</v>
      </c>
      <c r="O155" s="3" t="s">
        <v>2272</v>
      </c>
      <c r="P155" s="3" t="s">
        <v>2272</v>
      </c>
      <c r="Q155" s="3" t="s">
        <v>2272</v>
      </c>
      <c r="R155" s="3" t="s">
        <v>532</v>
      </c>
      <c r="S155" s="3" t="s">
        <v>532</v>
      </c>
      <c r="T155" s="3" t="s">
        <v>532</v>
      </c>
      <c r="U155" s="3" t="s">
        <v>2272</v>
      </c>
      <c r="V155" s="3" t="s">
        <v>2272</v>
      </c>
      <c r="W155" s="4" t="s">
        <v>872</v>
      </c>
    </row>
    <row r="156" spans="1:23" ht="52" customHeight="1">
      <c r="A156" s="11" t="s">
        <v>2069</v>
      </c>
      <c r="B156" s="11" t="s">
        <v>2123</v>
      </c>
      <c r="C156" s="23" t="s">
        <v>23</v>
      </c>
      <c r="D156" s="23" t="s">
        <v>141</v>
      </c>
      <c r="E156" s="23" t="s">
        <v>128</v>
      </c>
      <c r="F156" s="19" t="s">
        <v>73</v>
      </c>
      <c r="G156" s="19"/>
      <c r="H156" s="4" t="s">
        <v>539</v>
      </c>
      <c r="I156" s="3" t="s">
        <v>535</v>
      </c>
      <c r="J156" s="3" t="s">
        <v>535</v>
      </c>
      <c r="K156" s="3" t="s">
        <v>535</v>
      </c>
      <c r="L156" s="3" t="s">
        <v>2272</v>
      </c>
      <c r="M156" s="3" t="s">
        <v>2272</v>
      </c>
      <c r="N156" s="3" t="s">
        <v>2272</v>
      </c>
      <c r="O156" s="3" t="s">
        <v>2272</v>
      </c>
      <c r="P156" s="3" t="s">
        <v>2272</v>
      </c>
      <c r="Q156" s="3" t="s">
        <v>2272</v>
      </c>
      <c r="R156" s="3" t="s">
        <v>532</v>
      </c>
      <c r="S156" s="3" t="s">
        <v>532</v>
      </c>
      <c r="T156" s="3" t="s">
        <v>532</v>
      </c>
      <c r="U156" s="3" t="s">
        <v>2272</v>
      </c>
      <c r="V156" s="3" t="s">
        <v>2272</v>
      </c>
      <c r="W156" s="4" t="s">
        <v>872</v>
      </c>
    </row>
    <row r="157" spans="1:23" ht="52" customHeight="1">
      <c r="A157" s="11" t="s">
        <v>2070</v>
      </c>
      <c r="B157" s="11" t="s">
        <v>2124</v>
      </c>
      <c r="C157" s="23" t="s">
        <v>23</v>
      </c>
      <c r="D157" s="23" t="s">
        <v>141</v>
      </c>
      <c r="E157" s="23" t="s">
        <v>128</v>
      </c>
      <c r="F157" s="19" t="s">
        <v>73</v>
      </c>
      <c r="G157" s="19"/>
      <c r="H157" s="4" t="s">
        <v>539</v>
      </c>
      <c r="I157" s="3" t="s">
        <v>535</v>
      </c>
      <c r="J157" s="3" t="s">
        <v>535</v>
      </c>
      <c r="K157" s="3" t="s">
        <v>535</v>
      </c>
      <c r="L157" s="3" t="s">
        <v>2272</v>
      </c>
      <c r="M157" s="3" t="s">
        <v>2272</v>
      </c>
      <c r="N157" s="3" t="s">
        <v>2272</v>
      </c>
      <c r="O157" s="3" t="s">
        <v>2272</v>
      </c>
      <c r="P157" s="3" t="s">
        <v>2272</v>
      </c>
      <c r="Q157" s="3" t="s">
        <v>2272</v>
      </c>
      <c r="R157" s="3" t="s">
        <v>532</v>
      </c>
      <c r="S157" s="3" t="s">
        <v>532</v>
      </c>
      <c r="T157" s="3" t="s">
        <v>532</v>
      </c>
      <c r="U157" s="3" t="s">
        <v>2272</v>
      </c>
      <c r="V157" s="3" t="s">
        <v>2272</v>
      </c>
      <c r="W157" s="4" t="s">
        <v>872</v>
      </c>
    </row>
    <row r="158" spans="1:23" ht="52" customHeight="1">
      <c r="A158" s="11" t="s">
        <v>2071</v>
      </c>
      <c r="B158" s="11" t="s">
        <v>2125</v>
      </c>
      <c r="C158" s="23" t="s">
        <v>23</v>
      </c>
      <c r="D158" s="23" t="s">
        <v>141</v>
      </c>
      <c r="E158" s="23" t="s">
        <v>128</v>
      </c>
      <c r="F158" s="19" t="s">
        <v>73</v>
      </c>
      <c r="G158" s="19"/>
      <c r="H158" s="4" t="s">
        <v>539</v>
      </c>
      <c r="I158" s="3" t="s">
        <v>535</v>
      </c>
      <c r="J158" s="3" t="s">
        <v>535</v>
      </c>
      <c r="K158" s="3" t="s">
        <v>535</v>
      </c>
      <c r="L158" s="3" t="s">
        <v>2272</v>
      </c>
      <c r="M158" s="3" t="s">
        <v>2272</v>
      </c>
      <c r="N158" s="3" t="s">
        <v>2272</v>
      </c>
      <c r="O158" s="3" t="s">
        <v>2272</v>
      </c>
      <c r="P158" s="3" t="s">
        <v>2272</v>
      </c>
      <c r="Q158" s="3" t="s">
        <v>2272</v>
      </c>
      <c r="R158" s="3" t="s">
        <v>532</v>
      </c>
      <c r="S158" s="3" t="s">
        <v>532</v>
      </c>
      <c r="T158" s="3" t="s">
        <v>532</v>
      </c>
      <c r="U158" s="3" t="s">
        <v>2272</v>
      </c>
      <c r="V158" s="3" t="s">
        <v>2272</v>
      </c>
      <c r="W158" s="4" t="s">
        <v>872</v>
      </c>
    </row>
    <row r="159" spans="1:23" ht="52" customHeight="1">
      <c r="A159" s="11" t="s">
        <v>2072</v>
      </c>
      <c r="B159" s="11" t="s">
        <v>2126</v>
      </c>
      <c r="C159" s="23" t="s">
        <v>23</v>
      </c>
      <c r="D159" s="23" t="s">
        <v>141</v>
      </c>
      <c r="E159" s="23" t="s">
        <v>128</v>
      </c>
      <c r="F159" s="19" t="s">
        <v>73</v>
      </c>
      <c r="G159" s="19"/>
      <c r="H159" s="4" t="s">
        <v>539</v>
      </c>
      <c r="I159" s="3" t="s">
        <v>535</v>
      </c>
      <c r="J159" s="3" t="s">
        <v>535</v>
      </c>
      <c r="K159" s="3" t="s">
        <v>535</v>
      </c>
      <c r="L159" s="3" t="s">
        <v>2272</v>
      </c>
      <c r="M159" s="3" t="s">
        <v>2272</v>
      </c>
      <c r="N159" s="3" t="s">
        <v>2272</v>
      </c>
      <c r="O159" s="3" t="s">
        <v>2272</v>
      </c>
      <c r="P159" s="3" t="s">
        <v>2272</v>
      </c>
      <c r="Q159" s="3" t="s">
        <v>2272</v>
      </c>
      <c r="R159" s="3" t="s">
        <v>532</v>
      </c>
      <c r="S159" s="3" t="s">
        <v>532</v>
      </c>
      <c r="T159" s="3" t="s">
        <v>532</v>
      </c>
      <c r="U159" s="3" t="s">
        <v>2272</v>
      </c>
      <c r="V159" s="3" t="s">
        <v>2272</v>
      </c>
      <c r="W159" s="4" t="s">
        <v>872</v>
      </c>
    </row>
    <row r="160" spans="1:23" ht="52" customHeight="1">
      <c r="A160" s="11" t="s">
        <v>2073</v>
      </c>
      <c r="B160" s="11" t="s">
        <v>2127</v>
      </c>
      <c r="C160" s="23" t="s">
        <v>23</v>
      </c>
      <c r="D160" s="23" t="s">
        <v>141</v>
      </c>
      <c r="E160" s="23" t="s">
        <v>128</v>
      </c>
      <c r="F160" s="19" t="s">
        <v>73</v>
      </c>
      <c r="G160" s="19"/>
      <c r="H160" s="4" t="s">
        <v>539</v>
      </c>
      <c r="I160" s="3" t="s">
        <v>535</v>
      </c>
      <c r="J160" s="3" t="s">
        <v>535</v>
      </c>
      <c r="K160" s="3" t="s">
        <v>535</v>
      </c>
      <c r="L160" s="3" t="s">
        <v>2272</v>
      </c>
      <c r="M160" s="3" t="s">
        <v>2272</v>
      </c>
      <c r="N160" s="3" t="s">
        <v>2272</v>
      </c>
      <c r="O160" s="3" t="s">
        <v>2272</v>
      </c>
      <c r="P160" s="3" t="s">
        <v>2272</v>
      </c>
      <c r="Q160" s="3" t="s">
        <v>2272</v>
      </c>
      <c r="R160" s="3" t="s">
        <v>532</v>
      </c>
      <c r="S160" s="3" t="s">
        <v>532</v>
      </c>
      <c r="T160" s="3" t="s">
        <v>532</v>
      </c>
      <c r="U160" s="3" t="s">
        <v>2272</v>
      </c>
      <c r="V160" s="3" t="s">
        <v>2272</v>
      </c>
      <c r="W160" s="4" t="s">
        <v>872</v>
      </c>
    </row>
    <row r="161" spans="1:23" ht="52" customHeight="1">
      <c r="A161" s="11" t="s">
        <v>2074</v>
      </c>
      <c r="B161" s="11" t="s">
        <v>2128</v>
      </c>
      <c r="C161" s="23" t="s">
        <v>23</v>
      </c>
      <c r="D161" s="23" t="s">
        <v>141</v>
      </c>
      <c r="E161" s="23" t="s">
        <v>128</v>
      </c>
      <c r="F161" s="19" t="s">
        <v>73</v>
      </c>
      <c r="G161" s="19"/>
      <c r="H161" s="4" t="s">
        <v>539</v>
      </c>
      <c r="I161" s="3" t="s">
        <v>535</v>
      </c>
      <c r="J161" s="3" t="s">
        <v>535</v>
      </c>
      <c r="K161" s="3" t="s">
        <v>535</v>
      </c>
      <c r="L161" s="3" t="s">
        <v>2272</v>
      </c>
      <c r="M161" s="3" t="s">
        <v>2272</v>
      </c>
      <c r="N161" s="3" t="s">
        <v>2272</v>
      </c>
      <c r="O161" s="3" t="s">
        <v>2272</v>
      </c>
      <c r="P161" s="3" t="s">
        <v>2272</v>
      </c>
      <c r="Q161" s="3" t="s">
        <v>2272</v>
      </c>
      <c r="R161" s="3" t="s">
        <v>532</v>
      </c>
      <c r="S161" s="3" t="s">
        <v>532</v>
      </c>
      <c r="T161" s="3" t="s">
        <v>532</v>
      </c>
      <c r="U161" s="3" t="s">
        <v>2272</v>
      </c>
      <c r="V161" s="3" t="s">
        <v>2272</v>
      </c>
      <c r="W161" s="4" t="s">
        <v>872</v>
      </c>
    </row>
    <row r="162" spans="1:23" ht="52" customHeight="1">
      <c r="A162" s="11" t="s">
        <v>2075</v>
      </c>
      <c r="B162" s="11" t="s">
        <v>2129</v>
      </c>
      <c r="C162" s="23" t="s">
        <v>23</v>
      </c>
      <c r="D162" s="23" t="s">
        <v>141</v>
      </c>
      <c r="E162" s="23" t="s">
        <v>128</v>
      </c>
      <c r="F162" s="19" t="s">
        <v>73</v>
      </c>
      <c r="G162" s="19"/>
      <c r="H162" s="4" t="s">
        <v>539</v>
      </c>
      <c r="I162" s="3" t="s">
        <v>535</v>
      </c>
      <c r="J162" s="3" t="s">
        <v>535</v>
      </c>
      <c r="K162" s="3" t="s">
        <v>535</v>
      </c>
      <c r="L162" s="3" t="s">
        <v>2272</v>
      </c>
      <c r="M162" s="3" t="s">
        <v>2272</v>
      </c>
      <c r="N162" s="3" t="s">
        <v>2272</v>
      </c>
      <c r="O162" s="3" t="s">
        <v>2272</v>
      </c>
      <c r="P162" s="3" t="s">
        <v>2272</v>
      </c>
      <c r="Q162" s="3" t="s">
        <v>2272</v>
      </c>
      <c r="R162" s="3" t="s">
        <v>532</v>
      </c>
      <c r="S162" s="3" t="s">
        <v>532</v>
      </c>
      <c r="T162" s="3" t="s">
        <v>532</v>
      </c>
      <c r="U162" s="3" t="s">
        <v>2272</v>
      </c>
      <c r="V162" s="3" t="s">
        <v>2272</v>
      </c>
      <c r="W162" s="4" t="s">
        <v>872</v>
      </c>
    </row>
    <row r="163" spans="1:23" ht="52" customHeight="1">
      <c r="A163" s="11" t="s">
        <v>2076</v>
      </c>
      <c r="B163" s="11" t="s">
        <v>2130</v>
      </c>
      <c r="C163" s="23" t="s">
        <v>23</v>
      </c>
      <c r="D163" s="23" t="s">
        <v>141</v>
      </c>
      <c r="E163" s="23" t="s">
        <v>128</v>
      </c>
      <c r="F163" s="19" t="s">
        <v>73</v>
      </c>
      <c r="G163" s="19"/>
      <c r="H163" s="4" t="s">
        <v>539</v>
      </c>
      <c r="I163" s="3" t="s">
        <v>535</v>
      </c>
      <c r="J163" s="3" t="s">
        <v>535</v>
      </c>
      <c r="K163" s="3" t="s">
        <v>535</v>
      </c>
      <c r="L163" s="3" t="s">
        <v>2272</v>
      </c>
      <c r="M163" s="3" t="s">
        <v>2272</v>
      </c>
      <c r="N163" s="3" t="s">
        <v>2272</v>
      </c>
      <c r="O163" s="3" t="s">
        <v>2272</v>
      </c>
      <c r="P163" s="3" t="s">
        <v>2272</v>
      </c>
      <c r="Q163" s="3" t="s">
        <v>2272</v>
      </c>
      <c r="R163" s="3" t="s">
        <v>532</v>
      </c>
      <c r="S163" s="3" t="s">
        <v>532</v>
      </c>
      <c r="T163" s="3" t="s">
        <v>532</v>
      </c>
      <c r="U163" s="3" t="s">
        <v>2272</v>
      </c>
      <c r="V163" s="3" t="s">
        <v>2272</v>
      </c>
      <c r="W163" s="4" t="s">
        <v>872</v>
      </c>
    </row>
    <row r="164" spans="1:23" ht="52" customHeight="1">
      <c r="A164" s="11" t="s">
        <v>2077</v>
      </c>
      <c r="B164" s="11" t="s">
        <v>2131</v>
      </c>
      <c r="C164" s="23" t="s">
        <v>23</v>
      </c>
      <c r="D164" s="23" t="s">
        <v>141</v>
      </c>
      <c r="E164" s="23" t="s">
        <v>128</v>
      </c>
      <c r="F164" s="19" t="s">
        <v>73</v>
      </c>
      <c r="G164" s="19"/>
      <c r="H164" s="4" t="s">
        <v>539</v>
      </c>
      <c r="I164" s="3" t="s">
        <v>535</v>
      </c>
      <c r="J164" s="3" t="s">
        <v>535</v>
      </c>
      <c r="K164" s="3" t="s">
        <v>535</v>
      </c>
      <c r="L164" s="3" t="s">
        <v>2272</v>
      </c>
      <c r="M164" s="3" t="s">
        <v>2272</v>
      </c>
      <c r="N164" s="3" t="s">
        <v>2272</v>
      </c>
      <c r="O164" s="3" t="s">
        <v>2272</v>
      </c>
      <c r="P164" s="3" t="s">
        <v>2272</v>
      </c>
      <c r="Q164" s="3" t="s">
        <v>2272</v>
      </c>
      <c r="R164" s="3" t="s">
        <v>532</v>
      </c>
      <c r="S164" s="3" t="s">
        <v>532</v>
      </c>
      <c r="T164" s="3" t="s">
        <v>532</v>
      </c>
      <c r="U164" s="3" t="s">
        <v>2272</v>
      </c>
      <c r="V164" s="3" t="s">
        <v>2272</v>
      </c>
      <c r="W164" s="4" t="s">
        <v>872</v>
      </c>
    </row>
    <row r="165" spans="1:23" ht="52" customHeight="1">
      <c r="A165" s="11" t="s">
        <v>2078</v>
      </c>
      <c r="B165" s="11" t="s">
        <v>2132</v>
      </c>
      <c r="C165" s="23" t="s">
        <v>23</v>
      </c>
      <c r="D165" s="23" t="s">
        <v>141</v>
      </c>
      <c r="E165" s="23" t="s">
        <v>128</v>
      </c>
      <c r="F165" s="19" t="s">
        <v>73</v>
      </c>
      <c r="G165" s="19"/>
      <c r="H165" s="4" t="s">
        <v>539</v>
      </c>
      <c r="I165" s="3" t="s">
        <v>535</v>
      </c>
      <c r="J165" s="3" t="s">
        <v>535</v>
      </c>
      <c r="K165" s="3" t="s">
        <v>535</v>
      </c>
      <c r="L165" s="3" t="s">
        <v>2272</v>
      </c>
      <c r="M165" s="3" t="s">
        <v>2272</v>
      </c>
      <c r="N165" s="3" t="s">
        <v>2272</v>
      </c>
      <c r="O165" s="3" t="s">
        <v>2272</v>
      </c>
      <c r="P165" s="3" t="s">
        <v>2272</v>
      </c>
      <c r="Q165" s="3" t="s">
        <v>2272</v>
      </c>
      <c r="R165" s="3" t="s">
        <v>532</v>
      </c>
      <c r="S165" s="3" t="s">
        <v>532</v>
      </c>
      <c r="T165" s="3" t="s">
        <v>532</v>
      </c>
      <c r="U165" s="3" t="s">
        <v>2272</v>
      </c>
      <c r="V165" s="3" t="s">
        <v>2272</v>
      </c>
      <c r="W165" s="4" t="s">
        <v>872</v>
      </c>
    </row>
    <row r="166" spans="1:23" ht="52" customHeight="1">
      <c r="A166" s="11" t="s">
        <v>2079</v>
      </c>
      <c r="B166" s="11" t="s">
        <v>2133</v>
      </c>
      <c r="C166" s="23" t="s">
        <v>23</v>
      </c>
      <c r="D166" s="23" t="s">
        <v>141</v>
      </c>
      <c r="E166" s="23" t="s">
        <v>128</v>
      </c>
      <c r="F166" s="19" t="s">
        <v>73</v>
      </c>
      <c r="G166" s="19"/>
      <c r="H166" s="4" t="s">
        <v>539</v>
      </c>
      <c r="I166" s="3" t="s">
        <v>535</v>
      </c>
      <c r="J166" s="3" t="s">
        <v>535</v>
      </c>
      <c r="K166" s="3" t="s">
        <v>535</v>
      </c>
      <c r="L166" s="3" t="s">
        <v>2272</v>
      </c>
      <c r="M166" s="3" t="s">
        <v>2272</v>
      </c>
      <c r="N166" s="3" t="s">
        <v>2272</v>
      </c>
      <c r="O166" s="3" t="s">
        <v>2272</v>
      </c>
      <c r="P166" s="3" t="s">
        <v>2272</v>
      </c>
      <c r="Q166" s="3" t="s">
        <v>2272</v>
      </c>
      <c r="R166" s="3" t="s">
        <v>532</v>
      </c>
      <c r="S166" s="3" t="s">
        <v>532</v>
      </c>
      <c r="T166" s="3" t="s">
        <v>532</v>
      </c>
      <c r="U166" s="3" t="s">
        <v>2272</v>
      </c>
      <c r="V166" s="3" t="s">
        <v>2272</v>
      </c>
      <c r="W166" s="4" t="s">
        <v>872</v>
      </c>
    </row>
    <row r="167" spans="1:23" ht="52" customHeight="1">
      <c r="A167" s="11" t="s">
        <v>2080</v>
      </c>
      <c r="B167" s="11" t="s">
        <v>2134</v>
      </c>
      <c r="C167" s="23" t="s">
        <v>23</v>
      </c>
      <c r="D167" s="23" t="s">
        <v>141</v>
      </c>
      <c r="E167" s="23" t="s">
        <v>128</v>
      </c>
      <c r="F167" s="19" t="s">
        <v>73</v>
      </c>
      <c r="G167" s="19"/>
      <c r="H167" s="4" t="s">
        <v>539</v>
      </c>
      <c r="I167" s="3" t="s">
        <v>535</v>
      </c>
      <c r="J167" s="3" t="s">
        <v>535</v>
      </c>
      <c r="K167" s="3" t="s">
        <v>535</v>
      </c>
      <c r="L167" s="3" t="s">
        <v>2272</v>
      </c>
      <c r="M167" s="3" t="s">
        <v>2272</v>
      </c>
      <c r="N167" s="3" t="s">
        <v>2272</v>
      </c>
      <c r="O167" s="3" t="s">
        <v>2272</v>
      </c>
      <c r="P167" s="3" t="s">
        <v>2272</v>
      </c>
      <c r="Q167" s="3" t="s">
        <v>2272</v>
      </c>
      <c r="R167" s="3" t="s">
        <v>532</v>
      </c>
      <c r="S167" s="3" t="s">
        <v>532</v>
      </c>
      <c r="T167" s="3" t="s">
        <v>532</v>
      </c>
      <c r="U167" s="3" t="s">
        <v>2272</v>
      </c>
      <c r="V167" s="3" t="s">
        <v>2272</v>
      </c>
      <c r="W167" s="4" t="s">
        <v>872</v>
      </c>
    </row>
    <row r="168" spans="1:23" ht="52" customHeight="1">
      <c r="A168" s="11" t="s">
        <v>2081</v>
      </c>
      <c r="B168" s="11" t="s">
        <v>2135</v>
      </c>
      <c r="C168" s="23" t="s">
        <v>23</v>
      </c>
      <c r="D168" s="23" t="s">
        <v>141</v>
      </c>
      <c r="E168" s="23" t="s">
        <v>128</v>
      </c>
      <c r="F168" s="19" t="s">
        <v>73</v>
      </c>
      <c r="G168" s="19"/>
      <c r="H168" s="4" t="s">
        <v>539</v>
      </c>
      <c r="I168" s="3" t="s">
        <v>535</v>
      </c>
      <c r="J168" s="3" t="s">
        <v>535</v>
      </c>
      <c r="K168" s="3" t="s">
        <v>535</v>
      </c>
      <c r="L168" s="3" t="s">
        <v>2272</v>
      </c>
      <c r="M168" s="3" t="s">
        <v>2272</v>
      </c>
      <c r="N168" s="3" t="s">
        <v>2272</v>
      </c>
      <c r="O168" s="3" t="s">
        <v>2272</v>
      </c>
      <c r="P168" s="3" t="s">
        <v>2272</v>
      </c>
      <c r="Q168" s="3" t="s">
        <v>2272</v>
      </c>
      <c r="R168" s="3" t="s">
        <v>532</v>
      </c>
      <c r="S168" s="3" t="s">
        <v>532</v>
      </c>
      <c r="T168" s="3" t="s">
        <v>532</v>
      </c>
      <c r="U168" s="3" t="s">
        <v>2272</v>
      </c>
      <c r="V168" s="3" t="s">
        <v>2272</v>
      </c>
      <c r="W168" s="4" t="s">
        <v>872</v>
      </c>
    </row>
    <row r="169" spans="1:23" ht="52" customHeight="1">
      <c r="A169" s="11" t="s">
        <v>2082</v>
      </c>
      <c r="B169" s="11" t="s">
        <v>2136</v>
      </c>
      <c r="C169" s="23" t="s">
        <v>23</v>
      </c>
      <c r="D169" s="23" t="s">
        <v>141</v>
      </c>
      <c r="E169" s="23" t="s">
        <v>128</v>
      </c>
      <c r="F169" s="19" t="s">
        <v>73</v>
      </c>
      <c r="G169" s="19"/>
      <c r="H169" s="4" t="s">
        <v>539</v>
      </c>
      <c r="I169" s="3" t="s">
        <v>535</v>
      </c>
      <c r="J169" s="3" t="s">
        <v>535</v>
      </c>
      <c r="K169" s="3" t="s">
        <v>535</v>
      </c>
      <c r="L169" s="3" t="s">
        <v>2272</v>
      </c>
      <c r="M169" s="3" t="s">
        <v>2272</v>
      </c>
      <c r="N169" s="3" t="s">
        <v>2272</v>
      </c>
      <c r="O169" s="3" t="s">
        <v>2272</v>
      </c>
      <c r="P169" s="3" t="s">
        <v>2272</v>
      </c>
      <c r="Q169" s="3" t="s">
        <v>2272</v>
      </c>
      <c r="R169" s="3" t="s">
        <v>532</v>
      </c>
      <c r="S169" s="3" t="s">
        <v>532</v>
      </c>
      <c r="T169" s="3" t="s">
        <v>532</v>
      </c>
      <c r="U169" s="3" t="s">
        <v>2272</v>
      </c>
      <c r="V169" s="3" t="s">
        <v>2272</v>
      </c>
      <c r="W169" s="4" t="s">
        <v>872</v>
      </c>
    </row>
    <row r="170" spans="1:23" ht="52" customHeight="1">
      <c r="A170" s="11" t="s">
        <v>2083</v>
      </c>
      <c r="B170" s="11" t="s">
        <v>2137</v>
      </c>
      <c r="C170" s="23" t="s">
        <v>23</v>
      </c>
      <c r="D170" s="23" t="s">
        <v>141</v>
      </c>
      <c r="E170" s="23" t="s">
        <v>128</v>
      </c>
      <c r="F170" s="19" t="s">
        <v>73</v>
      </c>
      <c r="G170" s="19"/>
      <c r="H170" s="4" t="s">
        <v>539</v>
      </c>
      <c r="I170" s="3" t="s">
        <v>535</v>
      </c>
      <c r="J170" s="3" t="s">
        <v>535</v>
      </c>
      <c r="K170" s="3" t="s">
        <v>535</v>
      </c>
      <c r="L170" s="3" t="s">
        <v>2272</v>
      </c>
      <c r="M170" s="3" t="s">
        <v>2272</v>
      </c>
      <c r="N170" s="3" t="s">
        <v>2272</v>
      </c>
      <c r="O170" s="3" t="s">
        <v>2272</v>
      </c>
      <c r="P170" s="3" t="s">
        <v>2272</v>
      </c>
      <c r="Q170" s="3" t="s">
        <v>2272</v>
      </c>
      <c r="R170" s="3" t="s">
        <v>532</v>
      </c>
      <c r="S170" s="3" t="s">
        <v>532</v>
      </c>
      <c r="T170" s="3" t="s">
        <v>532</v>
      </c>
      <c r="U170" s="3" t="s">
        <v>2272</v>
      </c>
      <c r="V170" s="3" t="s">
        <v>2272</v>
      </c>
      <c r="W170" s="4" t="s">
        <v>872</v>
      </c>
    </row>
    <row r="171" spans="1:23" ht="52" customHeight="1">
      <c r="A171" s="11" t="s">
        <v>2084</v>
      </c>
      <c r="B171" s="11" t="s">
        <v>2138</v>
      </c>
      <c r="C171" s="23" t="s">
        <v>23</v>
      </c>
      <c r="D171" s="23" t="s">
        <v>141</v>
      </c>
      <c r="E171" s="23" t="s">
        <v>128</v>
      </c>
      <c r="F171" s="19" t="s">
        <v>73</v>
      </c>
      <c r="G171" s="19"/>
      <c r="H171" s="4" t="s">
        <v>539</v>
      </c>
      <c r="I171" s="3" t="s">
        <v>535</v>
      </c>
      <c r="J171" s="3" t="s">
        <v>535</v>
      </c>
      <c r="K171" s="3" t="s">
        <v>535</v>
      </c>
      <c r="L171" s="3" t="s">
        <v>2272</v>
      </c>
      <c r="M171" s="3" t="s">
        <v>2272</v>
      </c>
      <c r="N171" s="3" t="s">
        <v>2272</v>
      </c>
      <c r="O171" s="3" t="s">
        <v>2272</v>
      </c>
      <c r="P171" s="3" t="s">
        <v>2272</v>
      </c>
      <c r="Q171" s="3" t="s">
        <v>2272</v>
      </c>
      <c r="R171" s="3" t="s">
        <v>532</v>
      </c>
      <c r="S171" s="3" t="s">
        <v>532</v>
      </c>
      <c r="T171" s="3" t="s">
        <v>532</v>
      </c>
      <c r="U171" s="3" t="s">
        <v>2272</v>
      </c>
      <c r="V171" s="3" t="s">
        <v>2272</v>
      </c>
      <c r="W171" s="4" t="s">
        <v>872</v>
      </c>
    </row>
    <row r="172" spans="1:23" ht="52" customHeight="1">
      <c r="A172" s="11" t="s">
        <v>2085</v>
      </c>
      <c r="B172" s="11" t="s">
        <v>2139</v>
      </c>
      <c r="C172" s="23" t="s">
        <v>23</v>
      </c>
      <c r="D172" s="23" t="s">
        <v>141</v>
      </c>
      <c r="E172" s="23" t="s">
        <v>128</v>
      </c>
      <c r="F172" s="19" t="s">
        <v>73</v>
      </c>
      <c r="G172" s="19"/>
      <c r="H172" s="4" t="s">
        <v>539</v>
      </c>
      <c r="I172" s="3" t="s">
        <v>535</v>
      </c>
      <c r="J172" s="3" t="s">
        <v>535</v>
      </c>
      <c r="K172" s="3" t="s">
        <v>535</v>
      </c>
      <c r="L172" s="3" t="s">
        <v>2272</v>
      </c>
      <c r="M172" s="3" t="s">
        <v>2272</v>
      </c>
      <c r="N172" s="3" t="s">
        <v>2272</v>
      </c>
      <c r="O172" s="3" t="s">
        <v>2272</v>
      </c>
      <c r="P172" s="3" t="s">
        <v>2272</v>
      </c>
      <c r="Q172" s="3" t="s">
        <v>2272</v>
      </c>
      <c r="R172" s="3" t="s">
        <v>532</v>
      </c>
      <c r="S172" s="3" t="s">
        <v>532</v>
      </c>
      <c r="T172" s="3" t="s">
        <v>532</v>
      </c>
      <c r="U172" s="3" t="s">
        <v>2272</v>
      </c>
      <c r="V172" s="3" t="s">
        <v>2272</v>
      </c>
      <c r="W172" s="4" t="s">
        <v>872</v>
      </c>
    </row>
    <row r="173" spans="1:23" ht="52" customHeight="1">
      <c r="A173" s="11" t="s">
        <v>2086</v>
      </c>
      <c r="B173" s="11" t="s">
        <v>2140</v>
      </c>
      <c r="C173" s="23" t="s">
        <v>23</v>
      </c>
      <c r="D173" s="23" t="s">
        <v>141</v>
      </c>
      <c r="E173" s="23" t="s">
        <v>128</v>
      </c>
      <c r="F173" s="19" t="s">
        <v>73</v>
      </c>
      <c r="G173" s="19"/>
      <c r="H173" s="4" t="s">
        <v>539</v>
      </c>
      <c r="I173" s="3" t="s">
        <v>535</v>
      </c>
      <c r="J173" s="3" t="s">
        <v>535</v>
      </c>
      <c r="K173" s="3" t="s">
        <v>535</v>
      </c>
      <c r="L173" s="3" t="s">
        <v>2272</v>
      </c>
      <c r="M173" s="3" t="s">
        <v>2272</v>
      </c>
      <c r="N173" s="3" t="s">
        <v>2272</v>
      </c>
      <c r="O173" s="3" t="s">
        <v>2272</v>
      </c>
      <c r="P173" s="3" t="s">
        <v>2272</v>
      </c>
      <c r="Q173" s="3" t="s">
        <v>2272</v>
      </c>
      <c r="R173" s="3" t="s">
        <v>532</v>
      </c>
      <c r="S173" s="3" t="s">
        <v>532</v>
      </c>
      <c r="T173" s="3" t="s">
        <v>532</v>
      </c>
      <c r="U173" s="3" t="s">
        <v>2272</v>
      </c>
      <c r="V173" s="3" t="s">
        <v>2272</v>
      </c>
      <c r="W173" s="4" t="s">
        <v>872</v>
      </c>
    </row>
    <row r="174" spans="1:23" ht="52" customHeight="1">
      <c r="A174" s="11" t="s">
        <v>2087</v>
      </c>
      <c r="B174" s="11" t="s">
        <v>2141</v>
      </c>
      <c r="C174" s="23" t="s">
        <v>23</v>
      </c>
      <c r="D174" s="23" t="s">
        <v>141</v>
      </c>
      <c r="E174" s="23" t="s">
        <v>128</v>
      </c>
      <c r="F174" s="19" t="s">
        <v>73</v>
      </c>
      <c r="G174" s="19"/>
      <c r="H174" s="4" t="s">
        <v>539</v>
      </c>
      <c r="I174" s="3" t="s">
        <v>535</v>
      </c>
      <c r="J174" s="3" t="s">
        <v>535</v>
      </c>
      <c r="K174" s="3" t="s">
        <v>535</v>
      </c>
      <c r="L174" s="3" t="s">
        <v>2272</v>
      </c>
      <c r="M174" s="3" t="s">
        <v>2272</v>
      </c>
      <c r="N174" s="3" t="s">
        <v>2272</v>
      </c>
      <c r="O174" s="3" t="s">
        <v>2272</v>
      </c>
      <c r="P174" s="3" t="s">
        <v>2272</v>
      </c>
      <c r="Q174" s="3" t="s">
        <v>2272</v>
      </c>
      <c r="R174" s="3" t="s">
        <v>532</v>
      </c>
      <c r="S174" s="3" t="s">
        <v>532</v>
      </c>
      <c r="T174" s="3" t="s">
        <v>532</v>
      </c>
      <c r="U174" s="3" t="s">
        <v>2272</v>
      </c>
      <c r="V174" s="3" t="s">
        <v>2272</v>
      </c>
      <c r="W174" s="4" t="s">
        <v>872</v>
      </c>
    </row>
    <row r="175" spans="1:23" ht="52" customHeight="1">
      <c r="A175" s="11" t="s">
        <v>2088</v>
      </c>
      <c r="B175" s="11" t="s">
        <v>2142</v>
      </c>
      <c r="C175" s="23" t="s">
        <v>23</v>
      </c>
      <c r="D175" s="23" t="s">
        <v>141</v>
      </c>
      <c r="E175" s="23" t="s">
        <v>128</v>
      </c>
      <c r="F175" s="19" t="s">
        <v>73</v>
      </c>
      <c r="G175" s="19"/>
      <c r="H175" s="4" t="s">
        <v>539</v>
      </c>
      <c r="I175" s="3" t="s">
        <v>535</v>
      </c>
      <c r="J175" s="3" t="s">
        <v>535</v>
      </c>
      <c r="K175" s="3" t="s">
        <v>535</v>
      </c>
      <c r="L175" s="3" t="s">
        <v>2272</v>
      </c>
      <c r="M175" s="3" t="s">
        <v>2272</v>
      </c>
      <c r="N175" s="3" t="s">
        <v>2272</v>
      </c>
      <c r="O175" s="3" t="s">
        <v>2272</v>
      </c>
      <c r="P175" s="3" t="s">
        <v>2272</v>
      </c>
      <c r="Q175" s="3" t="s">
        <v>2272</v>
      </c>
      <c r="R175" s="3" t="s">
        <v>532</v>
      </c>
      <c r="S175" s="3" t="s">
        <v>532</v>
      </c>
      <c r="T175" s="3" t="s">
        <v>532</v>
      </c>
      <c r="U175" s="3" t="s">
        <v>2272</v>
      </c>
      <c r="V175" s="3" t="s">
        <v>2272</v>
      </c>
      <c r="W175" s="4" t="s">
        <v>872</v>
      </c>
    </row>
    <row r="176" spans="1:23" ht="52" customHeight="1">
      <c r="A176" s="11" t="s">
        <v>2089</v>
      </c>
      <c r="B176" s="11" t="s">
        <v>2143</v>
      </c>
      <c r="C176" s="23" t="s">
        <v>23</v>
      </c>
      <c r="D176" s="23" t="s">
        <v>141</v>
      </c>
      <c r="E176" s="23" t="s">
        <v>128</v>
      </c>
      <c r="F176" s="19" t="s">
        <v>73</v>
      </c>
      <c r="G176" s="19"/>
      <c r="H176" s="4" t="s">
        <v>539</v>
      </c>
      <c r="I176" s="3" t="s">
        <v>535</v>
      </c>
      <c r="J176" s="3" t="s">
        <v>535</v>
      </c>
      <c r="K176" s="3" t="s">
        <v>535</v>
      </c>
      <c r="L176" s="3" t="s">
        <v>2272</v>
      </c>
      <c r="M176" s="3" t="s">
        <v>2272</v>
      </c>
      <c r="N176" s="3" t="s">
        <v>2272</v>
      </c>
      <c r="O176" s="3" t="s">
        <v>2272</v>
      </c>
      <c r="P176" s="3" t="s">
        <v>2272</v>
      </c>
      <c r="Q176" s="3" t="s">
        <v>2272</v>
      </c>
      <c r="R176" s="3" t="s">
        <v>532</v>
      </c>
      <c r="S176" s="3" t="s">
        <v>532</v>
      </c>
      <c r="T176" s="3" t="s">
        <v>532</v>
      </c>
      <c r="U176" s="3" t="s">
        <v>2272</v>
      </c>
      <c r="V176" s="3" t="s">
        <v>2272</v>
      </c>
      <c r="W176" s="4" t="s">
        <v>872</v>
      </c>
    </row>
    <row r="177" spans="1:23" ht="52" customHeight="1">
      <c r="A177" s="11" t="s">
        <v>2090</v>
      </c>
      <c r="B177" s="11" t="s">
        <v>2144</v>
      </c>
      <c r="C177" s="23" t="s">
        <v>23</v>
      </c>
      <c r="D177" s="23" t="s">
        <v>141</v>
      </c>
      <c r="E177" s="23" t="s">
        <v>128</v>
      </c>
      <c r="F177" s="19" t="s">
        <v>73</v>
      </c>
      <c r="G177" s="19"/>
      <c r="H177" s="4" t="s">
        <v>539</v>
      </c>
      <c r="I177" s="3" t="s">
        <v>535</v>
      </c>
      <c r="J177" s="3" t="s">
        <v>535</v>
      </c>
      <c r="K177" s="3" t="s">
        <v>535</v>
      </c>
      <c r="L177" s="3" t="s">
        <v>2272</v>
      </c>
      <c r="M177" s="3" t="s">
        <v>2272</v>
      </c>
      <c r="N177" s="3" t="s">
        <v>2272</v>
      </c>
      <c r="O177" s="3" t="s">
        <v>2272</v>
      </c>
      <c r="P177" s="3" t="s">
        <v>2272</v>
      </c>
      <c r="Q177" s="3" t="s">
        <v>2272</v>
      </c>
      <c r="R177" s="3" t="s">
        <v>532</v>
      </c>
      <c r="S177" s="3" t="s">
        <v>532</v>
      </c>
      <c r="T177" s="3" t="s">
        <v>532</v>
      </c>
      <c r="U177" s="3" t="s">
        <v>2272</v>
      </c>
      <c r="V177" s="3" t="s">
        <v>2272</v>
      </c>
      <c r="W177" s="4" t="s">
        <v>872</v>
      </c>
    </row>
    <row r="178" spans="1:23" ht="52" customHeight="1">
      <c r="A178" s="11" t="s">
        <v>2091</v>
      </c>
      <c r="B178" s="11" t="s">
        <v>2145</v>
      </c>
      <c r="C178" s="23" t="s">
        <v>23</v>
      </c>
      <c r="D178" s="23" t="s">
        <v>141</v>
      </c>
      <c r="E178" s="23" t="s">
        <v>128</v>
      </c>
      <c r="F178" s="19" t="s">
        <v>73</v>
      </c>
      <c r="G178" s="19"/>
      <c r="H178" s="4" t="s">
        <v>539</v>
      </c>
      <c r="I178" s="3" t="s">
        <v>535</v>
      </c>
      <c r="J178" s="3" t="s">
        <v>535</v>
      </c>
      <c r="K178" s="3" t="s">
        <v>535</v>
      </c>
      <c r="L178" s="3" t="s">
        <v>2272</v>
      </c>
      <c r="M178" s="3" t="s">
        <v>2272</v>
      </c>
      <c r="N178" s="3" t="s">
        <v>2272</v>
      </c>
      <c r="O178" s="3" t="s">
        <v>2272</v>
      </c>
      <c r="P178" s="3" t="s">
        <v>2272</v>
      </c>
      <c r="Q178" s="3" t="s">
        <v>2272</v>
      </c>
      <c r="R178" s="3" t="s">
        <v>532</v>
      </c>
      <c r="S178" s="3" t="s">
        <v>532</v>
      </c>
      <c r="T178" s="3" t="s">
        <v>532</v>
      </c>
      <c r="U178" s="3" t="s">
        <v>2272</v>
      </c>
      <c r="V178" s="3" t="s">
        <v>2272</v>
      </c>
      <c r="W178" s="4" t="s">
        <v>872</v>
      </c>
    </row>
    <row r="179" spans="1:23" ht="52" customHeight="1">
      <c r="A179" s="11" t="s">
        <v>2092</v>
      </c>
      <c r="B179" s="11" t="s">
        <v>2146</v>
      </c>
      <c r="C179" s="23" t="s">
        <v>23</v>
      </c>
      <c r="D179" s="23" t="s">
        <v>141</v>
      </c>
      <c r="E179" s="23" t="s">
        <v>128</v>
      </c>
      <c r="F179" s="19" t="s">
        <v>73</v>
      </c>
      <c r="G179" s="19"/>
      <c r="H179" s="4" t="s">
        <v>539</v>
      </c>
      <c r="I179" s="3" t="s">
        <v>535</v>
      </c>
      <c r="J179" s="3" t="s">
        <v>535</v>
      </c>
      <c r="K179" s="3" t="s">
        <v>535</v>
      </c>
      <c r="L179" s="3" t="s">
        <v>2272</v>
      </c>
      <c r="M179" s="3" t="s">
        <v>2272</v>
      </c>
      <c r="N179" s="3" t="s">
        <v>2272</v>
      </c>
      <c r="O179" s="3" t="s">
        <v>2272</v>
      </c>
      <c r="P179" s="3" t="s">
        <v>2272</v>
      </c>
      <c r="Q179" s="3" t="s">
        <v>2272</v>
      </c>
      <c r="R179" s="3" t="s">
        <v>532</v>
      </c>
      <c r="S179" s="3" t="s">
        <v>532</v>
      </c>
      <c r="T179" s="3" t="s">
        <v>532</v>
      </c>
      <c r="U179" s="3" t="s">
        <v>2272</v>
      </c>
      <c r="V179" s="3" t="s">
        <v>2272</v>
      </c>
      <c r="W179" s="4" t="s">
        <v>872</v>
      </c>
    </row>
    <row r="180" spans="1:23" ht="67" customHeight="1">
      <c r="A180" s="11" t="s">
        <v>2093</v>
      </c>
      <c r="B180" s="11" t="s">
        <v>2147</v>
      </c>
      <c r="C180" s="23" t="s">
        <v>23</v>
      </c>
      <c r="D180" s="23" t="s">
        <v>141</v>
      </c>
      <c r="E180" s="23" t="s">
        <v>128</v>
      </c>
      <c r="F180" s="19" t="s">
        <v>73</v>
      </c>
      <c r="G180" s="19"/>
      <c r="H180" s="4" t="s">
        <v>539</v>
      </c>
      <c r="I180" s="3" t="s">
        <v>2685</v>
      </c>
      <c r="J180" s="3" t="s">
        <v>532</v>
      </c>
      <c r="K180" s="3" t="s">
        <v>2272</v>
      </c>
      <c r="L180" s="3" t="s">
        <v>2272</v>
      </c>
      <c r="M180" s="3" t="s">
        <v>2272</v>
      </c>
      <c r="N180" s="3" t="s">
        <v>2272</v>
      </c>
      <c r="O180" s="3" t="s">
        <v>2272</v>
      </c>
      <c r="P180" s="3" t="s">
        <v>2272</v>
      </c>
      <c r="Q180" s="3" t="s">
        <v>2272</v>
      </c>
      <c r="R180" s="3" t="s">
        <v>532</v>
      </c>
      <c r="S180" s="3" t="s">
        <v>532</v>
      </c>
      <c r="T180" s="3" t="s">
        <v>532</v>
      </c>
      <c r="U180" s="3" t="s">
        <v>2272</v>
      </c>
      <c r="V180" s="3" t="s">
        <v>2272</v>
      </c>
      <c r="W180" s="4" t="s">
        <v>2174</v>
      </c>
    </row>
    <row r="181" spans="1:23" ht="74.5" customHeight="1">
      <c r="A181" s="11" t="s">
        <v>2093</v>
      </c>
      <c r="B181" s="11" t="s">
        <v>2173</v>
      </c>
      <c r="C181" s="23" t="s">
        <v>23</v>
      </c>
      <c r="D181" s="23" t="s">
        <v>26</v>
      </c>
      <c r="E181" s="23" t="s">
        <v>128</v>
      </c>
      <c r="F181" s="19" t="s">
        <v>159</v>
      </c>
      <c r="G181" s="19"/>
      <c r="H181" s="4" t="s">
        <v>539</v>
      </c>
      <c r="I181" s="3" t="s">
        <v>2685</v>
      </c>
      <c r="J181" s="3" t="s">
        <v>532</v>
      </c>
      <c r="K181" s="3" t="s">
        <v>2272</v>
      </c>
      <c r="L181" s="3" t="s">
        <v>2272</v>
      </c>
      <c r="M181" s="3" t="s">
        <v>2272</v>
      </c>
      <c r="N181" s="3" t="s">
        <v>2272</v>
      </c>
      <c r="O181" s="3" t="s">
        <v>2272</v>
      </c>
      <c r="P181" s="3" t="s">
        <v>2272</v>
      </c>
      <c r="Q181" s="3" t="s">
        <v>2272</v>
      </c>
      <c r="R181" s="3" t="s">
        <v>2272</v>
      </c>
      <c r="S181" s="3" t="s">
        <v>2272</v>
      </c>
      <c r="T181" s="3" t="s">
        <v>2272</v>
      </c>
      <c r="U181" s="3" t="s">
        <v>2272</v>
      </c>
      <c r="V181" s="3" t="s">
        <v>2272</v>
      </c>
      <c r="W181" s="4" t="s">
        <v>2174</v>
      </c>
    </row>
    <row r="182" spans="1:23" ht="52" customHeight="1">
      <c r="A182" s="11" t="s">
        <v>2094</v>
      </c>
      <c r="B182" s="11" t="s">
        <v>2148</v>
      </c>
      <c r="C182" s="23" t="s">
        <v>23</v>
      </c>
      <c r="D182" s="23" t="s">
        <v>141</v>
      </c>
      <c r="E182" s="23" t="s">
        <v>128</v>
      </c>
      <c r="F182" s="19" t="s">
        <v>73</v>
      </c>
      <c r="G182" s="19"/>
      <c r="H182" s="4" t="s">
        <v>539</v>
      </c>
      <c r="I182" s="3" t="s">
        <v>2685</v>
      </c>
      <c r="J182" s="3" t="s">
        <v>532</v>
      </c>
      <c r="K182" s="3" t="s">
        <v>2272</v>
      </c>
      <c r="L182" s="3" t="s">
        <v>2272</v>
      </c>
      <c r="M182" s="3" t="s">
        <v>2272</v>
      </c>
      <c r="N182" s="3" t="s">
        <v>2272</v>
      </c>
      <c r="O182" s="3" t="s">
        <v>2272</v>
      </c>
      <c r="P182" s="3" t="s">
        <v>2272</v>
      </c>
      <c r="Q182" s="3" t="s">
        <v>2272</v>
      </c>
      <c r="R182" s="3" t="s">
        <v>532</v>
      </c>
      <c r="S182" s="3" t="s">
        <v>532</v>
      </c>
      <c r="T182" s="3" t="s">
        <v>532</v>
      </c>
      <c r="U182" s="3" t="s">
        <v>2272</v>
      </c>
      <c r="V182" s="3" t="s">
        <v>2272</v>
      </c>
      <c r="W182" s="4" t="s">
        <v>2174</v>
      </c>
    </row>
    <row r="183" spans="1:23" ht="52" customHeight="1">
      <c r="A183" s="11" t="s">
        <v>2094</v>
      </c>
      <c r="B183" s="11" t="s">
        <v>2175</v>
      </c>
      <c r="C183" s="23" t="s">
        <v>23</v>
      </c>
      <c r="D183" s="23" t="s">
        <v>26</v>
      </c>
      <c r="E183" s="23" t="s">
        <v>128</v>
      </c>
      <c r="F183" s="19" t="s">
        <v>159</v>
      </c>
      <c r="G183" s="19"/>
      <c r="H183" s="4" t="s">
        <v>539</v>
      </c>
      <c r="I183" s="3" t="s">
        <v>2685</v>
      </c>
      <c r="J183" s="3" t="s">
        <v>532</v>
      </c>
      <c r="K183" s="3" t="s">
        <v>2272</v>
      </c>
      <c r="L183" s="3" t="s">
        <v>2272</v>
      </c>
      <c r="M183" s="3" t="s">
        <v>2272</v>
      </c>
      <c r="N183" s="3" t="s">
        <v>2272</v>
      </c>
      <c r="O183" s="3" t="s">
        <v>2272</v>
      </c>
      <c r="P183" s="3" t="s">
        <v>2272</v>
      </c>
      <c r="Q183" s="3" t="s">
        <v>2272</v>
      </c>
      <c r="R183" s="3" t="s">
        <v>2272</v>
      </c>
      <c r="S183" s="3" t="s">
        <v>2272</v>
      </c>
      <c r="T183" s="3" t="s">
        <v>2272</v>
      </c>
      <c r="U183" s="3" t="s">
        <v>2272</v>
      </c>
      <c r="V183" s="3" t="s">
        <v>2272</v>
      </c>
      <c r="W183" s="4" t="s">
        <v>2174</v>
      </c>
    </row>
    <row r="184" spans="1:23" ht="52" customHeight="1">
      <c r="A184" s="11" t="s">
        <v>2095</v>
      </c>
      <c r="B184" s="11" t="s">
        <v>2149</v>
      </c>
      <c r="C184" s="23" t="s">
        <v>23</v>
      </c>
      <c r="D184" s="23" t="s">
        <v>141</v>
      </c>
      <c r="E184" s="23" t="s">
        <v>128</v>
      </c>
      <c r="F184" s="19" t="s">
        <v>73</v>
      </c>
      <c r="G184" s="19"/>
      <c r="H184" s="4" t="s">
        <v>539</v>
      </c>
      <c r="I184" s="3" t="s">
        <v>2685</v>
      </c>
      <c r="J184" s="3" t="s">
        <v>532</v>
      </c>
      <c r="K184" s="3" t="s">
        <v>2272</v>
      </c>
      <c r="L184" s="3" t="s">
        <v>2272</v>
      </c>
      <c r="M184" s="3" t="s">
        <v>2272</v>
      </c>
      <c r="N184" s="3" t="s">
        <v>2272</v>
      </c>
      <c r="O184" s="3" t="s">
        <v>2272</v>
      </c>
      <c r="P184" s="3" t="s">
        <v>2272</v>
      </c>
      <c r="Q184" s="3" t="s">
        <v>2272</v>
      </c>
      <c r="R184" s="3" t="s">
        <v>532</v>
      </c>
      <c r="S184" s="3" t="s">
        <v>532</v>
      </c>
      <c r="T184" s="3" t="s">
        <v>532</v>
      </c>
      <c r="U184" s="3" t="s">
        <v>2272</v>
      </c>
      <c r="V184" s="3" t="s">
        <v>2272</v>
      </c>
      <c r="W184" s="4" t="s">
        <v>2174</v>
      </c>
    </row>
    <row r="185" spans="1:23" ht="52" customHeight="1">
      <c r="A185" s="11" t="s">
        <v>2095</v>
      </c>
      <c r="B185" s="11" t="s">
        <v>2176</v>
      </c>
      <c r="C185" s="23" t="s">
        <v>23</v>
      </c>
      <c r="D185" s="23" t="s">
        <v>26</v>
      </c>
      <c r="E185" s="23" t="s">
        <v>128</v>
      </c>
      <c r="F185" s="19" t="s">
        <v>159</v>
      </c>
      <c r="G185" s="19"/>
      <c r="H185" s="4" t="s">
        <v>539</v>
      </c>
      <c r="I185" s="3" t="s">
        <v>2685</v>
      </c>
      <c r="J185" s="3" t="s">
        <v>532</v>
      </c>
      <c r="K185" s="3" t="s">
        <v>2272</v>
      </c>
      <c r="L185" s="3" t="s">
        <v>2272</v>
      </c>
      <c r="M185" s="3" t="s">
        <v>2272</v>
      </c>
      <c r="N185" s="3" t="s">
        <v>2272</v>
      </c>
      <c r="O185" s="3" t="s">
        <v>2272</v>
      </c>
      <c r="P185" s="3" t="s">
        <v>2272</v>
      </c>
      <c r="Q185" s="3" t="s">
        <v>2272</v>
      </c>
      <c r="R185" s="3" t="s">
        <v>2272</v>
      </c>
      <c r="S185" s="3" t="s">
        <v>2272</v>
      </c>
      <c r="T185" s="3" t="s">
        <v>2272</v>
      </c>
      <c r="U185" s="3" t="s">
        <v>2272</v>
      </c>
      <c r="V185" s="3" t="s">
        <v>2272</v>
      </c>
      <c r="W185" s="4" t="s">
        <v>2174</v>
      </c>
    </row>
    <row r="186" spans="1:23" ht="52" customHeight="1">
      <c r="A186" s="11" t="s">
        <v>2096</v>
      </c>
      <c r="B186" s="11" t="s">
        <v>2150</v>
      </c>
      <c r="C186" s="23" t="s">
        <v>23</v>
      </c>
      <c r="D186" s="23" t="s">
        <v>141</v>
      </c>
      <c r="E186" s="23" t="s">
        <v>128</v>
      </c>
      <c r="F186" s="19" t="s">
        <v>73</v>
      </c>
      <c r="G186" s="19"/>
      <c r="H186" s="4" t="s">
        <v>539</v>
      </c>
      <c r="I186" s="3" t="s">
        <v>2685</v>
      </c>
      <c r="J186" s="3" t="s">
        <v>532</v>
      </c>
      <c r="K186" s="3" t="s">
        <v>2272</v>
      </c>
      <c r="L186" s="3" t="s">
        <v>2272</v>
      </c>
      <c r="M186" s="3" t="s">
        <v>2272</v>
      </c>
      <c r="N186" s="3" t="s">
        <v>2272</v>
      </c>
      <c r="O186" s="3" t="s">
        <v>2272</v>
      </c>
      <c r="P186" s="3" t="s">
        <v>2272</v>
      </c>
      <c r="Q186" s="3" t="s">
        <v>2272</v>
      </c>
      <c r="R186" s="3" t="s">
        <v>532</v>
      </c>
      <c r="S186" s="3" t="s">
        <v>532</v>
      </c>
      <c r="T186" s="3" t="s">
        <v>532</v>
      </c>
      <c r="U186" s="3" t="s">
        <v>2272</v>
      </c>
      <c r="V186" s="3" t="s">
        <v>2272</v>
      </c>
      <c r="W186" s="4" t="s">
        <v>2174</v>
      </c>
    </row>
    <row r="187" spans="1:23" ht="52" customHeight="1">
      <c r="A187" s="11" t="s">
        <v>2096</v>
      </c>
      <c r="B187" s="11" t="s">
        <v>2177</v>
      </c>
      <c r="C187" s="23" t="s">
        <v>23</v>
      </c>
      <c r="D187" s="23" t="s">
        <v>26</v>
      </c>
      <c r="E187" s="23" t="s">
        <v>128</v>
      </c>
      <c r="F187" s="19" t="s">
        <v>159</v>
      </c>
      <c r="G187" s="19"/>
      <c r="H187" s="4" t="s">
        <v>539</v>
      </c>
      <c r="I187" s="3" t="s">
        <v>2685</v>
      </c>
      <c r="J187" s="3" t="s">
        <v>532</v>
      </c>
      <c r="K187" s="3" t="s">
        <v>2272</v>
      </c>
      <c r="L187" s="3" t="s">
        <v>2272</v>
      </c>
      <c r="M187" s="3" t="s">
        <v>2272</v>
      </c>
      <c r="N187" s="3" t="s">
        <v>2272</v>
      </c>
      <c r="O187" s="3" t="s">
        <v>2272</v>
      </c>
      <c r="P187" s="3" t="s">
        <v>2272</v>
      </c>
      <c r="Q187" s="3" t="s">
        <v>2272</v>
      </c>
      <c r="R187" s="3" t="s">
        <v>2272</v>
      </c>
      <c r="S187" s="3" t="s">
        <v>2272</v>
      </c>
      <c r="T187" s="3" t="s">
        <v>2272</v>
      </c>
      <c r="U187" s="3" t="s">
        <v>2272</v>
      </c>
      <c r="V187" s="3" t="s">
        <v>2272</v>
      </c>
      <c r="W187" s="4" t="s">
        <v>2174</v>
      </c>
    </row>
    <row r="188" spans="1:23" ht="52" customHeight="1">
      <c r="A188" s="11" t="s">
        <v>2097</v>
      </c>
      <c r="B188" s="11" t="s">
        <v>2151</v>
      </c>
      <c r="C188" s="23" t="s">
        <v>23</v>
      </c>
      <c r="D188" s="23" t="s">
        <v>141</v>
      </c>
      <c r="E188" s="23" t="s">
        <v>128</v>
      </c>
      <c r="F188" s="19" t="s">
        <v>73</v>
      </c>
      <c r="G188" s="19"/>
      <c r="H188" s="4" t="s">
        <v>539</v>
      </c>
      <c r="I188" s="3" t="s">
        <v>2685</v>
      </c>
      <c r="J188" s="3" t="s">
        <v>532</v>
      </c>
      <c r="K188" s="3" t="s">
        <v>2272</v>
      </c>
      <c r="L188" s="3" t="s">
        <v>2272</v>
      </c>
      <c r="M188" s="3" t="s">
        <v>2272</v>
      </c>
      <c r="N188" s="3" t="s">
        <v>2272</v>
      </c>
      <c r="O188" s="3" t="s">
        <v>2272</v>
      </c>
      <c r="P188" s="3" t="s">
        <v>2272</v>
      </c>
      <c r="Q188" s="3" t="s">
        <v>2272</v>
      </c>
      <c r="R188" s="3" t="s">
        <v>532</v>
      </c>
      <c r="S188" s="3" t="s">
        <v>532</v>
      </c>
      <c r="T188" s="3" t="s">
        <v>532</v>
      </c>
      <c r="U188" s="3" t="s">
        <v>2272</v>
      </c>
      <c r="V188" s="3" t="s">
        <v>2272</v>
      </c>
      <c r="W188" s="4" t="s">
        <v>2174</v>
      </c>
    </row>
    <row r="189" spans="1:23" ht="52" customHeight="1">
      <c r="A189" s="11" t="s">
        <v>2097</v>
      </c>
      <c r="B189" s="11" t="s">
        <v>2178</v>
      </c>
      <c r="C189" s="23" t="s">
        <v>23</v>
      </c>
      <c r="D189" s="23" t="s">
        <v>26</v>
      </c>
      <c r="E189" s="23" t="s">
        <v>128</v>
      </c>
      <c r="F189" s="19" t="s">
        <v>159</v>
      </c>
      <c r="G189" s="19"/>
      <c r="H189" s="4" t="s">
        <v>539</v>
      </c>
      <c r="I189" s="3" t="s">
        <v>2685</v>
      </c>
      <c r="J189" s="3" t="s">
        <v>532</v>
      </c>
      <c r="K189" s="3" t="s">
        <v>2272</v>
      </c>
      <c r="L189" s="3" t="s">
        <v>2272</v>
      </c>
      <c r="M189" s="3" t="s">
        <v>2272</v>
      </c>
      <c r="N189" s="3" t="s">
        <v>2272</v>
      </c>
      <c r="O189" s="3" t="s">
        <v>2272</v>
      </c>
      <c r="P189" s="3" t="s">
        <v>2272</v>
      </c>
      <c r="Q189" s="3" t="s">
        <v>2272</v>
      </c>
      <c r="R189" s="3" t="s">
        <v>2272</v>
      </c>
      <c r="S189" s="3" t="s">
        <v>2272</v>
      </c>
      <c r="T189" s="3" t="s">
        <v>2272</v>
      </c>
      <c r="U189" s="3" t="s">
        <v>2272</v>
      </c>
      <c r="V189" s="3" t="s">
        <v>2272</v>
      </c>
      <c r="W189" s="4" t="s">
        <v>2174</v>
      </c>
    </row>
    <row r="190" spans="1:23" ht="52" customHeight="1">
      <c r="A190" s="11" t="s">
        <v>2098</v>
      </c>
      <c r="B190" s="11" t="s">
        <v>2152</v>
      </c>
      <c r="C190" s="23" t="s">
        <v>23</v>
      </c>
      <c r="D190" s="23" t="s">
        <v>141</v>
      </c>
      <c r="E190" s="23" t="s">
        <v>128</v>
      </c>
      <c r="F190" s="19" t="s">
        <v>73</v>
      </c>
      <c r="G190" s="19"/>
      <c r="H190" s="4" t="s">
        <v>539</v>
      </c>
      <c r="I190" s="3" t="s">
        <v>2685</v>
      </c>
      <c r="J190" s="3" t="s">
        <v>532</v>
      </c>
      <c r="K190" s="3" t="s">
        <v>2272</v>
      </c>
      <c r="L190" s="3" t="s">
        <v>2272</v>
      </c>
      <c r="M190" s="3" t="s">
        <v>2272</v>
      </c>
      <c r="N190" s="3" t="s">
        <v>2272</v>
      </c>
      <c r="O190" s="3" t="s">
        <v>2272</v>
      </c>
      <c r="P190" s="3" t="s">
        <v>2272</v>
      </c>
      <c r="Q190" s="3" t="s">
        <v>2272</v>
      </c>
      <c r="R190" s="3" t="s">
        <v>532</v>
      </c>
      <c r="S190" s="3" t="s">
        <v>532</v>
      </c>
      <c r="T190" s="3" t="s">
        <v>532</v>
      </c>
      <c r="U190" s="3" t="s">
        <v>2272</v>
      </c>
      <c r="V190" s="3" t="s">
        <v>2272</v>
      </c>
      <c r="W190" s="4" t="s">
        <v>2174</v>
      </c>
    </row>
    <row r="191" spans="1:23" ht="52" customHeight="1">
      <c r="A191" s="11" t="s">
        <v>2098</v>
      </c>
      <c r="B191" s="11" t="s">
        <v>2179</v>
      </c>
      <c r="C191" s="23" t="s">
        <v>23</v>
      </c>
      <c r="D191" s="23" t="s">
        <v>26</v>
      </c>
      <c r="E191" s="23" t="s">
        <v>128</v>
      </c>
      <c r="F191" s="19" t="s">
        <v>159</v>
      </c>
      <c r="G191" s="19"/>
      <c r="H191" s="4" t="s">
        <v>539</v>
      </c>
      <c r="I191" s="3" t="s">
        <v>2685</v>
      </c>
      <c r="J191" s="3" t="s">
        <v>532</v>
      </c>
      <c r="K191" s="3" t="s">
        <v>2272</v>
      </c>
      <c r="L191" s="3" t="s">
        <v>2272</v>
      </c>
      <c r="M191" s="3" t="s">
        <v>2272</v>
      </c>
      <c r="N191" s="3" t="s">
        <v>2272</v>
      </c>
      <c r="O191" s="3" t="s">
        <v>2272</v>
      </c>
      <c r="P191" s="3" t="s">
        <v>2272</v>
      </c>
      <c r="Q191" s="3" t="s">
        <v>2272</v>
      </c>
      <c r="R191" s="3" t="s">
        <v>2272</v>
      </c>
      <c r="S191" s="3" t="s">
        <v>2272</v>
      </c>
      <c r="T191" s="3" t="s">
        <v>2272</v>
      </c>
      <c r="U191" s="3" t="s">
        <v>2272</v>
      </c>
      <c r="V191" s="3" t="s">
        <v>2272</v>
      </c>
      <c r="W191" s="4" t="s">
        <v>2174</v>
      </c>
    </row>
    <row r="192" spans="1:23" ht="52" customHeight="1">
      <c r="A192" s="11" t="s">
        <v>2099</v>
      </c>
      <c r="B192" s="11" t="s">
        <v>2153</v>
      </c>
      <c r="C192" s="23" t="s">
        <v>23</v>
      </c>
      <c r="D192" s="23" t="s">
        <v>141</v>
      </c>
      <c r="E192" s="23" t="s">
        <v>128</v>
      </c>
      <c r="F192" s="19" t="s">
        <v>73</v>
      </c>
      <c r="G192" s="19"/>
      <c r="H192" s="4" t="s">
        <v>539</v>
      </c>
      <c r="I192" s="3" t="s">
        <v>2685</v>
      </c>
      <c r="J192" s="3" t="s">
        <v>532</v>
      </c>
      <c r="K192" s="3" t="s">
        <v>2272</v>
      </c>
      <c r="L192" s="3" t="s">
        <v>2272</v>
      </c>
      <c r="M192" s="3" t="s">
        <v>2272</v>
      </c>
      <c r="N192" s="3" t="s">
        <v>2272</v>
      </c>
      <c r="O192" s="3" t="s">
        <v>2272</v>
      </c>
      <c r="P192" s="3" t="s">
        <v>2272</v>
      </c>
      <c r="Q192" s="3" t="s">
        <v>2272</v>
      </c>
      <c r="R192" s="3" t="s">
        <v>532</v>
      </c>
      <c r="S192" s="3" t="s">
        <v>532</v>
      </c>
      <c r="T192" s="3" t="s">
        <v>532</v>
      </c>
      <c r="U192" s="3" t="s">
        <v>2272</v>
      </c>
      <c r="V192" s="3" t="s">
        <v>2272</v>
      </c>
      <c r="W192" s="4" t="s">
        <v>2174</v>
      </c>
    </row>
    <row r="193" spans="1:23" ht="52" customHeight="1">
      <c r="A193" s="11" t="s">
        <v>2099</v>
      </c>
      <c r="B193" s="11" t="s">
        <v>2180</v>
      </c>
      <c r="C193" s="23" t="s">
        <v>23</v>
      </c>
      <c r="D193" s="23" t="s">
        <v>26</v>
      </c>
      <c r="E193" s="23" t="s">
        <v>128</v>
      </c>
      <c r="F193" s="19" t="s">
        <v>159</v>
      </c>
      <c r="G193" s="19"/>
      <c r="H193" s="4" t="s">
        <v>539</v>
      </c>
      <c r="I193" s="3" t="s">
        <v>2685</v>
      </c>
      <c r="J193" s="3" t="s">
        <v>532</v>
      </c>
      <c r="K193" s="3" t="s">
        <v>2272</v>
      </c>
      <c r="L193" s="3" t="s">
        <v>2272</v>
      </c>
      <c r="M193" s="3" t="s">
        <v>2272</v>
      </c>
      <c r="N193" s="3" t="s">
        <v>2272</v>
      </c>
      <c r="O193" s="3" t="s">
        <v>2272</v>
      </c>
      <c r="P193" s="3" t="s">
        <v>2272</v>
      </c>
      <c r="Q193" s="3" t="s">
        <v>2272</v>
      </c>
      <c r="R193" s="3" t="s">
        <v>2272</v>
      </c>
      <c r="S193" s="3" t="s">
        <v>2272</v>
      </c>
      <c r="T193" s="3" t="s">
        <v>2272</v>
      </c>
      <c r="U193" s="3" t="s">
        <v>2272</v>
      </c>
      <c r="V193" s="3" t="s">
        <v>2272</v>
      </c>
      <c r="W193" s="4" t="s">
        <v>2174</v>
      </c>
    </row>
    <row r="194" spans="1:23" ht="52" customHeight="1">
      <c r="A194" s="11" t="s">
        <v>2100</v>
      </c>
      <c r="B194" s="11" t="s">
        <v>2154</v>
      </c>
      <c r="C194" s="23" t="s">
        <v>23</v>
      </c>
      <c r="D194" s="23" t="s">
        <v>141</v>
      </c>
      <c r="E194" s="23" t="s">
        <v>128</v>
      </c>
      <c r="F194" s="19" t="s">
        <v>73</v>
      </c>
      <c r="G194" s="19"/>
      <c r="H194" s="4" t="s">
        <v>539</v>
      </c>
      <c r="I194" s="3" t="s">
        <v>2685</v>
      </c>
      <c r="J194" s="3" t="s">
        <v>532</v>
      </c>
      <c r="K194" s="3" t="s">
        <v>2272</v>
      </c>
      <c r="L194" s="3" t="s">
        <v>2272</v>
      </c>
      <c r="M194" s="3" t="s">
        <v>2272</v>
      </c>
      <c r="N194" s="3" t="s">
        <v>2272</v>
      </c>
      <c r="O194" s="3" t="s">
        <v>2272</v>
      </c>
      <c r="P194" s="3" t="s">
        <v>2272</v>
      </c>
      <c r="Q194" s="3" t="s">
        <v>2272</v>
      </c>
      <c r="R194" s="3" t="s">
        <v>532</v>
      </c>
      <c r="S194" s="3" t="s">
        <v>532</v>
      </c>
      <c r="T194" s="3" t="s">
        <v>532</v>
      </c>
      <c r="U194" s="3" t="s">
        <v>2272</v>
      </c>
      <c r="V194" s="3" t="s">
        <v>2272</v>
      </c>
      <c r="W194" s="4" t="s">
        <v>2174</v>
      </c>
    </row>
    <row r="195" spans="1:23" ht="52" customHeight="1">
      <c r="A195" s="11" t="s">
        <v>2100</v>
      </c>
      <c r="B195" s="11" t="s">
        <v>2181</v>
      </c>
      <c r="C195" s="23" t="s">
        <v>23</v>
      </c>
      <c r="D195" s="23" t="s">
        <v>26</v>
      </c>
      <c r="E195" s="23" t="s">
        <v>128</v>
      </c>
      <c r="F195" s="19" t="s">
        <v>159</v>
      </c>
      <c r="G195" s="19"/>
      <c r="H195" s="4" t="s">
        <v>539</v>
      </c>
      <c r="I195" s="3" t="s">
        <v>2685</v>
      </c>
      <c r="J195" s="3" t="s">
        <v>532</v>
      </c>
      <c r="K195" s="3" t="s">
        <v>2272</v>
      </c>
      <c r="L195" s="3" t="s">
        <v>2272</v>
      </c>
      <c r="M195" s="3" t="s">
        <v>2272</v>
      </c>
      <c r="N195" s="3" t="s">
        <v>2272</v>
      </c>
      <c r="O195" s="3" t="s">
        <v>2272</v>
      </c>
      <c r="P195" s="3" t="s">
        <v>2272</v>
      </c>
      <c r="Q195" s="3" t="s">
        <v>2272</v>
      </c>
      <c r="R195" s="3" t="s">
        <v>2272</v>
      </c>
      <c r="S195" s="3" t="s">
        <v>2272</v>
      </c>
      <c r="T195" s="3" t="s">
        <v>2272</v>
      </c>
      <c r="U195" s="3" t="s">
        <v>2272</v>
      </c>
      <c r="V195" s="3" t="s">
        <v>2272</v>
      </c>
      <c r="W195" s="4" t="s">
        <v>2174</v>
      </c>
    </row>
    <row r="196" spans="1:23" ht="52" customHeight="1">
      <c r="A196" s="11" t="s">
        <v>2101</v>
      </c>
      <c r="B196" s="11" t="s">
        <v>2155</v>
      </c>
      <c r="C196" s="23" t="s">
        <v>23</v>
      </c>
      <c r="D196" s="23" t="s">
        <v>141</v>
      </c>
      <c r="E196" s="23" t="s">
        <v>128</v>
      </c>
      <c r="F196" s="19" t="s">
        <v>73</v>
      </c>
      <c r="G196" s="19"/>
      <c r="H196" s="4" t="s">
        <v>539</v>
      </c>
      <c r="I196" s="3" t="s">
        <v>2685</v>
      </c>
      <c r="J196" s="3" t="s">
        <v>532</v>
      </c>
      <c r="K196" s="3" t="s">
        <v>2272</v>
      </c>
      <c r="L196" s="3" t="s">
        <v>2272</v>
      </c>
      <c r="M196" s="3" t="s">
        <v>2272</v>
      </c>
      <c r="N196" s="3" t="s">
        <v>2272</v>
      </c>
      <c r="O196" s="3" t="s">
        <v>2272</v>
      </c>
      <c r="P196" s="3" t="s">
        <v>2272</v>
      </c>
      <c r="Q196" s="3" t="s">
        <v>2272</v>
      </c>
      <c r="R196" s="3" t="s">
        <v>532</v>
      </c>
      <c r="S196" s="3" t="s">
        <v>532</v>
      </c>
      <c r="T196" s="3" t="s">
        <v>532</v>
      </c>
      <c r="U196" s="3" t="s">
        <v>2272</v>
      </c>
      <c r="V196" s="3" t="s">
        <v>2272</v>
      </c>
      <c r="W196" s="4" t="s">
        <v>2174</v>
      </c>
    </row>
    <row r="197" spans="1:23" ht="52" customHeight="1">
      <c r="A197" s="11" t="s">
        <v>2101</v>
      </c>
      <c r="B197" s="11" t="s">
        <v>2182</v>
      </c>
      <c r="C197" s="23" t="s">
        <v>23</v>
      </c>
      <c r="D197" s="23" t="s">
        <v>26</v>
      </c>
      <c r="E197" s="23" t="s">
        <v>128</v>
      </c>
      <c r="F197" s="19" t="s">
        <v>159</v>
      </c>
      <c r="G197" s="19"/>
      <c r="H197" s="4" t="s">
        <v>539</v>
      </c>
      <c r="I197" s="3" t="s">
        <v>2685</v>
      </c>
      <c r="J197" s="3" t="s">
        <v>532</v>
      </c>
      <c r="K197" s="3" t="s">
        <v>2272</v>
      </c>
      <c r="L197" s="3" t="s">
        <v>2272</v>
      </c>
      <c r="M197" s="3" t="s">
        <v>2272</v>
      </c>
      <c r="N197" s="3" t="s">
        <v>2272</v>
      </c>
      <c r="O197" s="3" t="s">
        <v>2272</v>
      </c>
      <c r="P197" s="3" t="s">
        <v>2272</v>
      </c>
      <c r="Q197" s="3" t="s">
        <v>2272</v>
      </c>
      <c r="R197" s="3" t="s">
        <v>2272</v>
      </c>
      <c r="S197" s="3" t="s">
        <v>2272</v>
      </c>
      <c r="T197" s="3" t="s">
        <v>2272</v>
      </c>
      <c r="U197" s="3" t="s">
        <v>2272</v>
      </c>
      <c r="V197" s="3" t="s">
        <v>2272</v>
      </c>
      <c r="W197" s="4" t="s">
        <v>2174</v>
      </c>
    </row>
    <row r="198" spans="1:23" ht="52" customHeight="1">
      <c r="A198" s="11" t="s">
        <v>2102</v>
      </c>
      <c r="B198" s="11" t="s">
        <v>2156</v>
      </c>
      <c r="C198" s="23" t="s">
        <v>23</v>
      </c>
      <c r="D198" s="23" t="s">
        <v>141</v>
      </c>
      <c r="E198" s="23" t="s">
        <v>128</v>
      </c>
      <c r="F198" s="19" t="s">
        <v>73</v>
      </c>
      <c r="G198" s="19"/>
      <c r="H198" s="4" t="s">
        <v>539</v>
      </c>
      <c r="I198" s="3" t="s">
        <v>2685</v>
      </c>
      <c r="J198" s="3" t="s">
        <v>532</v>
      </c>
      <c r="K198" s="3" t="s">
        <v>2272</v>
      </c>
      <c r="L198" s="3" t="s">
        <v>2272</v>
      </c>
      <c r="M198" s="3" t="s">
        <v>2272</v>
      </c>
      <c r="N198" s="3" t="s">
        <v>2272</v>
      </c>
      <c r="O198" s="3" t="s">
        <v>2272</v>
      </c>
      <c r="P198" s="3" t="s">
        <v>2272</v>
      </c>
      <c r="Q198" s="3" t="s">
        <v>2272</v>
      </c>
      <c r="R198" s="3" t="s">
        <v>532</v>
      </c>
      <c r="S198" s="3" t="s">
        <v>532</v>
      </c>
      <c r="T198" s="3" t="s">
        <v>532</v>
      </c>
      <c r="U198" s="3" t="s">
        <v>2272</v>
      </c>
      <c r="V198" s="3" t="s">
        <v>2272</v>
      </c>
      <c r="W198" s="4" t="s">
        <v>2174</v>
      </c>
    </row>
    <row r="199" spans="1:23" ht="52" customHeight="1">
      <c r="A199" s="11" t="s">
        <v>2102</v>
      </c>
      <c r="B199" s="11" t="s">
        <v>2183</v>
      </c>
      <c r="C199" s="23" t="s">
        <v>23</v>
      </c>
      <c r="D199" s="23" t="s">
        <v>26</v>
      </c>
      <c r="E199" s="23" t="s">
        <v>128</v>
      </c>
      <c r="F199" s="19" t="s">
        <v>159</v>
      </c>
      <c r="G199" s="19"/>
      <c r="H199" s="4" t="s">
        <v>539</v>
      </c>
      <c r="I199" s="3" t="s">
        <v>2685</v>
      </c>
      <c r="J199" s="3" t="s">
        <v>532</v>
      </c>
      <c r="K199" s="3" t="s">
        <v>2272</v>
      </c>
      <c r="L199" s="3" t="s">
        <v>2272</v>
      </c>
      <c r="M199" s="3" t="s">
        <v>2272</v>
      </c>
      <c r="N199" s="3" t="s">
        <v>2272</v>
      </c>
      <c r="O199" s="3" t="s">
        <v>2272</v>
      </c>
      <c r="P199" s="3" t="s">
        <v>2272</v>
      </c>
      <c r="Q199" s="3" t="s">
        <v>2272</v>
      </c>
      <c r="R199" s="3" t="s">
        <v>2272</v>
      </c>
      <c r="S199" s="3" t="s">
        <v>2272</v>
      </c>
      <c r="T199" s="3" t="s">
        <v>2272</v>
      </c>
      <c r="U199" s="3" t="s">
        <v>2272</v>
      </c>
      <c r="V199" s="3" t="s">
        <v>2272</v>
      </c>
      <c r="W199" s="4" t="s">
        <v>2174</v>
      </c>
    </row>
    <row r="200" spans="1:23" ht="52" customHeight="1">
      <c r="A200" s="11" t="s">
        <v>2103</v>
      </c>
      <c r="B200" s="11" t="s">
        <v>2157</v>
      </c>
      <c r="C200" s="23" t="s">
        <v>23</v>
      </c>
      <c r="D200" s="23" t="s">
        <v>141</v>
      </c>
      <c r="E200" s="23" t="s">
        <v>128</v>
      </c>
      <c r="F200" s="19" t="s">
        <v>73</v>
      </c>
      <c r="G200" s="19"/>
      <c r="H200" s="4" t="s">
        <v>539</v>
      </c>
      <c r="I200" s="3" t="s">
        <v>2685</v>
      </c>
      <c r="J200" s="3" t="s">
        <v>532</v>
      </c>
      <c r="K200" s="3" t="s">
        <v>2272</v>
      </c>
      <c r="L200" s="3" t="s">
        <v>2272</v>
      </c>
      <c r="M200" s="3" t="s">
        <v>2272</v>
      </c>
      <c r="N200" s="3" t="s">
        <v>2272</v>
      </c>
      <c r="O200" s="3" t="s">
        <v>2272</v>
      </c>
      <c r="P200" s="3" t="s">
        <v>2272</v>
      </c>
      <c r="Q200" s="3" t="s">
        <v>2272</v>
      </c>
      <c r="R200" s="3" t="s">
        <v>532</v>
      </c>
      <c r="S200" s="3" t="s">
        <v>532</v>
      </c>
      <c r="T200" s="3" t="s">
        <v>532</v>
      </c>
      <c r="U200" s="3" t="s">
        <v>2272</v>
      </c>
      <c r="V200" s="3" t="s">
        <v>2272</v>
      </c>
      <c r="W200" s="4" t="s">
        <v>2174</v>
      </c>
    </row>
    <row r="201" spans="1:23" ht="52" customHeight="1">
      <c r="A201" s="11" t="s">
        <v>2103</v>
      </c>
      <c r="B201" s="11" t="s">
        <v>2184</v>
      </c>
      <c r="C201" s="23" t="s">
        <v>23</v>
      </c>
      <c r="D201" s="23" t="s">
        <v>26</v>
      </c>
      <c r="E201" s="23" t="s">
        <v>128</v>
      </c>
      <c r="F201" s="19" t="s">
        <v>159</v>
      </c>
      <c r="G201" s="19"/>
      <c r="H201" s="4" t="s">
        <v>539</v>
      </c>
      <c r="I201" s="3" t="s">
        <v>2685</v>
      </c>
      <c r="J201" s="3" t="s">
        <v>532</v>
      </c>
      <c r="K201" s="3" t="s">
        <v>2272</v>
      </c>
      <c r="L201" s="3" t="s">
        <v>2272</v>
      </c>
      <c r="M201" s="3" t="s">
        <v>2272</v>
      </c>
      <c r="N201" s="3" t="s">
        <v>2272</v>
      </c>
      <c r="O201" s="3" t="s">
        <v>2272</v>
      </c>
      <c r="P201" s="3" t="s">
        <v>2272</v>
      </c>
      <c r="Q201" s="3" t="s">
        <v>2272</v>
      </c>
      <c r="R201" s="3" t="s">
        <v>2272</v>
      </c>
      <c r="S201" s="3" t="s">
        <v>2272</v>
      </c>
      <c r="T201" s="3" t="s">
        <v>2272</v>
      </c>
      <c r="U201" s="3" t="s">
        <v>2272</v>
      </c>
      <c r="V201" s="3" t="s">
        <v>2272</v>
      </c>
      <c r="W201" s="4" t="s">
        <v>2174</v>
      </c>
    </row>
    <row r="202" spans="1:23" ht="52" customHeight="1">
      <c r="A202" s="11" t="s">
        <v>2104</v>
      </c>
      <c r="B202" s="11" t="s">
        <v>2158</v>
      </c>
      <c r="C202" s="23" t="s">
        <v>23</v>
      </c>
      <c r="D202" s="23" t="s">
        <v>141</v>
      </c>
      <c r="E202" s="23" t="s">
        <v>128</v>
      </c>
      <c r="F202" s="19" t="s">
        <v>73</v>
      </c>
      <c r="G202" s="19"/>
      <c r="H202" s="4" t="s">
        <v>539</v>
      </c>
      <c r="I202" s="3" t="s">
        <v>2685</v>
      </c>
      <c r="J202" s="3" t="s">
        <v>532</v>
      </c>
      <c r="K202" s="3" t="s">
        <v>2272</v>
      </c>
      <c r="L202" s="3" t="s">
        <v>2272</v>
      </c>
      <c r="M202" s="3" t="s">
        <v>2272</v>
      </c>
      <c r="N202" s="3" t="s">
        <v>2272</v>
      </c>
      <c r="O202" s="3" t="s">
        <v>2272</v>
      </c>
      <c r="P202" s="3" t="s">
        <v>2272</v>
      </c>
      <c r="Q202" s="3" t="s">
        <v>2272</v>
      </c>
      <c r="R202" s="3" t="s">
        <v>532</v>
      </c>
      <c r="S202" s="3" t="s">
        <v>532</v>
      </c>
      <c r="T202" s="3" t="s">
        <v>532</v>
      </c>
      <c r="U202" s="3" t="s">
        <v>2272</v>
      </c>
      <c r="V202" s="3" t="s">
        <v>2272</v>
      </c>
      <c r="W202" s="4" t="s">
        <v>2174</v>
      </c>
    </row>
    <row r="203" spans="1:23" ht="52" customHeight="1">
      <c r="A203" s="11" t="s">
        <v>2104</v>
      </c>
      <c r="B203" s="11" t="s">
        <v>2185</v>
      </c>
      <c r="C203" s="23" t="s">
        <v>23</v>
      </c>
      <c r="D203" s="23" t="s">
        <v>26</v>
      </c>
      <c r="E203" s="23" t="s">
        <v>128</v>
      </c>
      <c r="F203" s="19" t="s">
        <v>159</v>
      </c>
      <c r="G203" s="19"/>
      <c r="H203" s="4" t="s">
        <v>539</v>
      </c>
      <c r="I203" s="3" t="s">
        <v>2685</v>
      </c>
      <c r="J203" s="3" t="s">
        <v>532</v>
      </c>
      <c r="K203" s="3" t="s">
        <v>2272</v>
      </c>
      <c r="L203" s="3" t="s">
        <v>2272</v>
      </c>
      <c r="M203" s="3" t="s">
        <v>2272</v>
      </c>
      <c r="N203" s="3" t="s">
        <v>2272</v>
      </c>
      <c r="O203" s="3" t="s">
        <v>2272</v>
      </c>
      <c r="P203" s="3" t="s">
        <v>2272</v>
      </c>
      <c r="Q203" s="3" t="s">
        <v>2272</v>
      </c>
      <c r="R203" s="3" t="s">
        <v>2272</v>
      </c>
      <c r="S203" s="3" t="s">
        <v>2272</v>
      </c>
      <c r="T203" s="3" t="s">
        <v>2272</v>
      </c>
      <c r="U203" s="3" t="s">
        <v>2272</v>
      </c>
      <c r="V203" s="3" t="s">
        <v>2272</v>
      </c>
      <c r="W203" s="4" t="s">
        <v>2174</v>
      </c>
    </row>
    <row r="204" spans="1:23" ht="52" customHeight="1">
      <c r="A204" s="11" t="s">
        <v>2105</v>
      </c>
      <c r="B204" s="11" t="s">
        <v>2159</v>
      </c>
      <c r="C204" s="23" t="s">
        <v>23</v>
      </c>
      <c r="D204" s="23" t="s">
        <v>141</v>
      </c>
      <c r="E204" s="23" t="s">
        <v>128</v>
      </c>
      <c r="F204" s="19" t="s">
        <v>73</v>
      </c>
      <c r="G204" s="19"/>
      <c r="H204" s="4" t="s">
        <v>539</v>
      </c>
      <c r="I204" s="3" t="s">
        <v>2685</v>
      </c>
      <c r="J204" s="3" t="s">
        <v>532</v>
      </c>
      <c r="K204" s="3" t="s">
        <v>2272</v>
      </c>
      <c r="L204" s="3" t="s">
        <v>2272</v>
      </c>
      <c r="M204" s="3" t="s">
        <v>2272</v>
      </c>
      <c r="N204" s="3" t="s">
        <v>2272</v>
      </c>
      <c r="O204" s="3" t="s">
        <v>2272</v>
      </c>
      <c r="P204" s="3" t="s">
        <v>2272</v>
      </c>
      <c r="Q204" s="3" t="s">
        <v>2272</v>
      </c>
      <c r="R204" s="3" t="s">
        <v>532</v>
      </c>
      <c r="S204" s="3" t="s">
        <v>532</v>
      </c>
      <c r="T204" s="3" t="s">
        <v>532</v>
      </c>
      <c r="U204" s="3" t="s">
        <v>2272</v>
      </c>
      <c r="V204" s="3" t="s">
        <v>2272</v>
      </c>
      <c r="W204" s="4" t="s">
        <v>2174</v>
      </c>
    </row>
    <row r="205" spans="1:23" ht="52" customHeight="1">
      <c r="A205" s="11" t="s">
        <v>2105</v>
      </c>
      <c r="B205" s="11" t="s">
        <v>2186</v>
      </c>
      <c r="C205" s="23" t="s">
        <v>23</v>
      </c>
      <c r="D205" s="23" t="s">
        <v>26</v>
      </c>
      <c r="E205" s="23" t="s">
        <v>128</v>
      </c>
      <c r="F205" s="19" t="s">
        <v>159</v>
      </c>
      <c r="G205" s="19"/>
      <c r="H205" s="4" t="s">
        <v>539</v>
      </c>
      <c r="I205" s="3" t="s">
        <v>2685</v>
      </c>
      <c r="J205" s="3" t="s">
        <v>532</v>
      </c>
      <c r="K205" s="3" t="s">
        <v>2272</v>
      </c>
      <c r="L205" s="3" t="s">
        <v>2272</v>
      </c>
      <c r="M205" s="3" t="s">
        <v>2272</v>
      </c>
      <c r="N205" s="3" t="s">
        <v>2272</v>
      </c>
      <c r="O205" s="3" t="s">
        <v>2272</v>
      </c>
      <c r="P205" s="3" t="s">
        <v>2272</v>
      </c>
      <c r="Q205" s="3" t="s">
        <v>2272</v>
      </c>
      <c r="R205" s="3" t="s">
        <v>2272</v>
      </c>
      <c r="S205" s="3" t="s">
        <v>2272</v>
      </c>
      <c r="T205" s="3" t="s">
        <v>2272</v>
      </c>
      <c r="U205" s="3" t="s">
        <v>2272</v>
      </c>
      <c r="V205" s="3" t="s">
        <v>2272</v>
      </c>
      <c r="W205" s="4" t="s">
        <v>2174</v>
      </c>
    </row>
    <row r="206" spans="1:23" ht="52" customHeight="1">
      <c r="A206" s="11" t="s">
        <v>2106</v>
      </c>
      <c r="B206" s="11" t="s">
        <v>2160</v>
      </c>
      <c r="C206" s="23" t="s">
        <v>23</v>
      </c>
      <c r="D206" s="23" t="s">
        <v>141</v>
      </c>
      <c r="E206" s="23" t="s">
        <v>128</v>
      </c>
      <c r="F206" s="19" t="s">
        <v>73</v>
      </c>
      <c r="G206" s="19"/>
      <c r="H206" s="4" t="s">
        <v>539</v>
      </c>
      <c r="I206" s="3" t="s">
        <v>2685</v>
      </c>
      <c r="J206" s="3" t="s">
        <v>532</v>
      </c>
      <c r="K206" s="3" t="s">
        <v>2272</v>
      </c>
      <c r="L206" s="3" t="s">
        <v>2272</v>
      </c>
      <c r="M206" s="3" t="s">
        <v>2272</v>
      </c>
      <c r="N206" s="3" t="s">
        <v>2272</v>
      </c>
      <c r="O206" s="3" t="s">
        <v>2272</v>
      </c>
      <c r="P206" s="3" t="s">
        <v>2272</v>
      </c>
      <c r="Q206" s="3" t="s">
        <v>2272</v>
      </c>
      <c r="R206" s="3" t="s">
        <v>532</v>
      </c>
      <c r="S206" s="3" t="s">
        <v>532</v>
      </c>
      <c r="T206" s="3" t="s">
        <v>532</v>
      </c>
      <c r="U206" s="3" t="s">
        <v>2272</v>
      </c>
      <c r="V206" s="3" t="s">
        <v>2272</v>
      </c>
      <c r="W206" s="4" t="s">
        <v>2174</v>
      </c>
    </row>
    <row r="207" spans="1:23" ht="52" customHeight="1">
      <c r="A207" s="11" t="s">
        <v>2106</v>
      </c>
      <c r="B207" s="11" t="s">
        <v>2187</v>
      </c>
      <c r="C207" s="23" t="s">
        <v>23</v>
      </c>
      <c r="D207" s="23" t="s">
        <v>26</v>
      </c>
      <c r="E207" s="23" t="s">
        <v>128</v>
      </c>
      <c r="F207" s="19" t="s">
        <v>159</v>
      </c>
      <c r="G207" s="19"/>
      <c r="H207" s="4" t="s">
        <v>539</v>
      </c>
      <c r="I207" s="3" t="s">
        <v>2685</v>
      </c>
      <c r="J207" s="3" t="s">
        <v>532</v>
      </c>
      <c r="K207" s="3" t="s">
        <v>2272</v>
      </c>
      <c r="L207" s="3" t="s">
        <v>2272</v>
      </c>
      <c r="M207" s="3" t="s">
        <v>2272</v>
      </c>
      <c r="N207" s="3" t="s">
        <v>2272</v>
      </c>
      <c r="O207" s="3" t="s">
        <v>2272</v>
      </c>
      <c r="P207" s="3" t="s">
        <v>2272</v>
      </c>
      <c r="Q207" s="3" t="s">
        <v>2272</v>
      </c>
      <c r="R207" s="3" t="s">
        <v>2272</v>
      </c>
      <c r="S207" s="3" t="s">
        <v>2272</v>
      </c>
      <c r="T207" s="3" t="s">
        <v>2272</v>
      </c>
      <c r="U207" s="3" t="s">
        <v>2272</v>
      </c>
      <c r="V207" s="3" t="s">
        <v>2272</v>
      </c>
      <c r="W207" s="4" t="s">
        <v>2174</v>
      </c>
    </row>
    <row r="208" spans="1:23" ht="52" customHeight="1">
      <c r="A208" s="11" t="s">
        <v>2107</v>
      </c>
      <c r="B208" s="11" t="s">
        <v>2161</v>
      </c>
      <c r="C208" s="23" t="s">
        <v>23</v>
      </c>
      <c r="D208" s="23" t="s">
        <v>141</v>
      </c>
      <c r="E208" s="23" t="s">
        <v>128</v>
      </c>
      <c r="F208" s="19" t="s">
        <v>73</v>
      </c>
      <c r="G208" s="19"/>
      <c r="H208" s="4" t="s">
        <v>539</v>
      </c>
      <c r="I208" s="3" t="s">
        <v>2685</v>
      </c>
      <c r="J208" s="3" t="s">
        <v>532</v>
      </c>
      <c r="K208" s="3" t="s">
        <v>2272</v>
      </c>
      <c r="L208" s="3" t="s">
        <v>2272</v>
      </c>
      <c r="M208" s="3" t="s">
        <v>2272</v>
      </c>
      <c r="N208" s="3" t="s">
        <v>2272</v>
      </c>
      <c r="O208" s="3" t="s">
        <v>2272</v>
      </c>
      <c r="P208" s="3" t="s">
        <v>2272</v>
      </c>
      <c r="Q208" s="3" t="s">
        <v>2272</v>
      </c>
      <c r="R208" s="3" t="s">
        <v>532</v>
      </c>
      <c r="S208" s="3" t="s">
        <v>532</v>
      </c>
      <c r="T208" s="3" t="s">
        <v>532</v>
      </c>
      <c r="U208" s="3" t="s">
        <v>2272</v>
      </c>
      <c r="V208" s="3" t="s">
        <v>2272</v>
      </c>
      <c r="W208" s="4" t="s">
        <v>2174</v>
      </c>
    </row>
    <row r="209" spans="1:23" ht="52" customHeight="1">
      <c r="A209" s="11" t="s">
        <v>2107</v>
      </c>
      <c r="B209" s="11" t="s">
        <v>2188</v>
      </c>
      <c r="C209" s="23" t="s">
        <v>23</v>
      </c>
      <c r="D209" s="23" t="s">
        <v>26</v>
      </c>
      <c r="E209" s="23" t="s">
        <v>128</v>
      </c>
      <c r="F209" s="19" t="s">
        <v>159</v>
      </c>
      <c r="G209" s="19"/>
      <c r="H209" s="4" t="s">
        <v>539</v>
      </c>
      <c r="I209" s="3" t="s">
        <v>2685</v>
      </c>
      <c r="J209" s="3" t="s">
        <v>532</v>
      </c>
      <c r="K209" s="3" t="s">
        <v>2272</v>
      </c>
      <c r="L209" s="3" t="s">
        <v>2272</v>
      </c>
      <c r="M209" s="3" t="s">
        <v>2272</v>
      </c>
      <c r="N209" s="3" t="s">
        <v>2272</v>
      </c>
      <c r="O209" s="3" t="s">
        <v>2272</v>
      </c>
      <c r="P209" s="3" t="s">
        <v>2272</v>
      </c>
      <c r="Q209" s="3" t="s">
        <v>2272</v>
      </c>
      <c r="R209" s="3" t="s">
        <v>2272</v>
      </c>
      <c r="S209" s="3" t="s">
        <v>2272</v>
      </c>
      <c r="T209" s="3" t="s">
        <v>2272</v>
      </c>
      <c r="U209" s="3" t="s">
        <v>2272</v>
      </c>
      <c r="V209" s="3" t="s">
        <v>2272</v>
      </c>
      <c r="W209" s="4" t="s">
        <v>2174</v>
      </c>
    </row>
    <row r="210" spans="1:23" ht="52" customHeight="1">
      <c r="A210" s="11" t="s">
        <v>2108</v>
      </c>
      <c r="B210" s="11" t="s">
        <v>2162</v>
      </c>
      <c r="C210" s="23" t="s">
        <v>23</v>
      </c>
      <c r="D210" s="23" t="s">
        <v>141</v>
      </c>
      <c r="E210" s="23" t="s">
        <v>128</v>
      </c>
      <c r="F210" s="19" t="s">
        <v>73</v>
      </c>
      <c r="G210" s="19"/>
      <c r="H210" s="4" t="s">
        <v>539</v>
      </c>
      <c r="I210" s="3" t="s">
        <v>2685</v>
      </c>
      <c r="J210" s="3" t="s">
        <v>532</v>
      </c>
      <c r="K210" s="3" t="s">
        <v>2272</v>
      </c>
      <c r="L210" s="3" t="s">
        <v>2272</v>
      </c>
      <c r="M210" s="3" t="s">
        <v>2272</v>
      </c>
      <c r="N210" s="3" t="s">
        <v>2272</v>
      </c>
      <c r="O210" s="3" t="s">
        <v>2272</v>
      </c>
      <c r="P210" s="3" t="s">
        <v>2272</v>
      </c>
      <c r="Q210" s="3" t="s">
        <v>2272</v>
      </c>
      <c r="R210" s="3" t="s">
        <v>532</v>
      </c>
      <c r="S210" s="3" t="s">
        <v>532</v>
      </c>
      <c r="T210" s="3" t="s">
        <v>532</v>
      </c>
      <c r="U210" s="3" t="s">
        <v>2272</v>
      </c>
      <c r="V210" s="3" t="s">
        <v>2272</v>
      </c>
      <c r="W210" s="4" t="s">
        <v>2174</v>
      </c>
    </row>
    <row r="211" spans="1:23" ht="52" customHeight="1">
      <c r="A211" s="11" t="s">
        <v>2108</v>
      </c>
      <c r="B211" s="11" t="s">
        <v>2189</v>
      </c>
      <c r="C211" s="23" t="s">
        <v>23</v>
      </c>
      <c r="D211" s="23" t="s">
        <v>26</v>
      </c>
      <c r="E211" s="23" t="s">
        <v>128</v>
      </c>
      <c r="F211" s="19" t="s">
        <v>159</v>
      </c>
      <c r="G211" s="19"/>
      <c r="H211" s="4" t="s">
        <v>539</v>
      </c>
      <c r="I211" s="3" t="s">
        <v>2685</v>
      </c>
      <c r="J211" s="3" t="s">
        <v>532</v>
      </c>
      <c r="K211" s="3" t="s">
        <v>2272</v>
      </c>
      <c r="L211" s="3" t="s">
        <v>2272</v>
      </c>
      <c r="M211" s="3" t="s">
        <v>2272</v>
      </c>
      <c r="N211" s="3" t="s">
        <v>2272</v>
      </c>
      <c r="O211" s="3" t="s">
        <v>2272</v>
      </c>
      <c r="P211" s="3" t="s">
        <v>2272</v>
      </c>
      <c r="Q211" s="3" t="s">
        <v>2272</v>
      </c>
      <c r="R211" s="3" t="s">
        <v>2272</v>
      </c>
      <c r="S211" s="3" t="s">
        <v>2272</v>
      </c>
      <c r="T211" s="3" t="s">
        <v>2272</v>
      </c>
      <c r="U211" s="3" t="s">
        <v>2272</v>
      </c>
      <c r="V211" s="3" t="s">
        <v>2272</v>
      </c>
      <c r="W211" s="4" t="s">
        <v>2174</v>
      </c>
    </row>
    <row r="212" spans="1:23" ht="52" customHeight="1">
      <c r="A212" s="11" t="s">
        <v>2109</v>
      </c>
      <c r="B212" s="11" t="s">
        <v>2163</v>
      </c>
      <c r="C212" s="23" t="s">
        <v>23</v>
      </c>
      <c r="D212" s="23" t="s">
        <v>141</v>
      </c>
      <c r="E212" s="23" t="s">
        <v>128</v>
      </c>
      <c r="F212" s="19" t="s">
        <v>73</v>
      </c>
      <c r="G212" s="19"/>
      <c r="H212" s="4" t="s">
        <v>539</v>
      </c>
      <c r="I212" s="3" t="s">
        <v>2685</v>
      </c>
      <c r="J212" s="3" t="s">
        <v>532</v>
      </c>
      <c r="K212" s="3" t="s">
        <v>2272</v>
      </c>
      <c r="L212" s="3" t="s">
        <v>2272</v>
      </c>
      <c r="M212" s="3" t="s">
        <v>2272</v>
      </c>
      <c r="N212" s="3" t="s">
        <v>2272</v>
      </c>
      <c r="O212" s="3" t="s">
        <v>2272</v>
      </c>
      <c r="P212" s="3" t="s">
        <v>2272</v>
      </c>
      <c r="Q212" s="3" t="s">
        <v>2272</v>
      </c>
      <c r="R212" s="3" t="s">
        <v>532</v>
      </c>
      <c r="S212" s="3" t="s">
        <v>532</v>
      </c>
      <c r="T212" s="3" t="s">
        <v>532</v>
      </c>
      <c r="U212" s="3" t="s">
        <v>2272</v>
      </c>
      <c r="V212" s="3" t="s">
        <v>2272</v>
      </c>
      <c r="W212" s="4" t="s">
        <v>2174</v>
      </c>
    </row>
    <row r="213" spans="1:23" ht="52" customHeight="1">
      <c r="A213" s="11" t="s">
        <v>2109</v>
      </c>
      <c r="B213" s="11" t="s">
        <v>2190</v>
      </c>
      <c r="C213" s="23" t="s">
        <v>23</v>
      </c>
      <c r="D213" s="23" t="s">
        <v>26</v>
      </c>
      <c r="E213" s="23" t="s">
        <v>128</v>
      </c>
      <c r="F213" s="19" t="s">
        <v>159</v>
      </c>
      <c r="G213" s="19"/>
      <c r="H213" s="4" t="s">
        <v>539</v>
      </c>
      <c r="I213" s="3" t="s">
        <v>2685</v>
      </c>
      <c r="J213" s="3" t="s">
        <v>532</v>
      </c>
      <c r="K213" s="3" t="s">
        <v>2272</v>
      </c>
      <c r="L213" s="3" t="s">
        <v>2272</v>
      </c>
      <c r="M213" s="3" t="s">
        <v>2272</v>
      </c>
      <c r="N213" s="3" t="s">
        <v>2272</v>
      </c>
      <c r="O213" s="3" t="s">
        <v>2272</v>
      </c>
      <c r="P213" s="3" t="s">
        <v>2272</v>
      </c>
      <c r="Q213" s="3" t="s">
        <v>2272</v>
      </c>
      <c r="R213" s="3" t="s">
        <v>2272</v>
      </c>
      <c r="S213" s="3" t="s">
        <v>2272</v>
      </c>
      <c r="T213" s="3" t="s">
        <v>2272</v>
      </c>
      <c r="U213" s="3" t="s">
        <v>2272</v>
      </c>
      <c r="V213" s="3" t="s">
        <v>2272</v>
      </c>
      <c r="W213" s="4" t="s">
        <v>2174</v>
      </c>
    </row>
    <row r="214" spans="1:23" ht="52" customHeight="1">
      <c r="A214" s="11" t="s">
        <v>2110</v>
      </c>
      <c r="B214" s="11" t="s">
        <v>2164</v>
      </c>
      <c r="C214" s="23" t="s">
        <v>23</v>
      </c>
      <c r="D214" s="23" t="s">
        <v>141</v>
      </c>
      <c r="E214" s="23" t="s">
        <v>128</v>
      </c>
      <c r="F214" s="19" t="s">
        <v>73</v>
      </c>
      <c r="G214" s="19"/>
      <c r="H214" s="4" t="s">
        <v>539</v>
      </c>
      <c r="I214" s="3" t="s">
        <v>2685</v>
      </c>
      <c r="J214" s="3" t="s">
        <v>532</v>
      </c>
      <c r="K214" s="3" t="s">
        <v>2272</v>
      </c>
      <c r="L214" s="3" t="s">
        <v>2272</v>
      </c>
      <c r="M214" s="3" t="s">
        <v>2272</v>
      </c>
      <c r="N214" s="3" t="s">
        <v>2272</v>
      </c>
      <c r="O214" s="3" t="s">
        <v>2272</v>
      </c>
      <c r="P214" s="3" t="s">
        <v>2272</v>
      </c>
      <c r="Q214" s="3" t="s">
        <v>2272</v>
      </c>
      <c r="R214" s="3" t="s">
        <v>532</v>
      </c>
      <c r="S214" s="3" t="s">
        <v>532</v>
      </c>
      <c r="T214" s="3" t="s">
        <v>532</v>
      </c>
      <c r="U214" s="3" t="s">
        <v>2272</v>
      </c>
      <c r="V214" s="3" t="s">
        <v>2272</v>
      </c>
      <c r="W214" s="4" t="s">
        <v>2174</v>
      </c>
    </row>
    <row r="215" spans="1:23" ht="52" customHeight="1">
      <c r="A215" s="11" t="s">
        <v>2110</v>
      </c>
      <c r="B215" s="11" t="s">
        <v>2191</v>
      </c>
      <c r="C215" s="23" t="s">
        <v>23</v>
      </c>
      <c r="D215" s="23" t="s">
        <v>26</v>
      </c>
      <c r="E215" s="23" t="s">
        <v>128</v>
      </c>
      <c r="F215" s="19" t="s">
        <v>159</v>
      </c>
      <c r="G215" s="19"/>
      <c r="H215" s="4" t="s">
        <v>539</v>
      </c>
      <c r="I215" s="3" t="s">
        <v>2685</v>
      </c>
      <c r="J215" s="3" t="s">
        <v>532</v>
      </c>
      <c r="K215" s="3" t="s">
        <v>2272</v>
      </c>
      <c r="L215" s="3" t="s">
        <v>2272</v>
      </c>
      <c r="M215" s="3" t="s">
        <v>2272</v>
      </c>
      <c r="N215" s="3" t="s">
        <v>2272</v>
      </c>
      <c r="O215" s="3" t="s">
        <v>2272</v>
      </c>
      <c r="P215" s="3" t="s">
        <v>2272</v>
      </c>
      <c r="Q215" s="3" t="s">
        <v>2272</v>
      </c>
      <c r="R215" s="3" t="s">
        <v>2272</v>
      </c>
      <c r="S215" s="3" t="s">
        <v>2272</v>
      </c>
      <c r="T215" s="3" t="s">
        <v>2272</v>
      </c>
      <c r="U215" s="3" t="s">
        <v>2272</v>
      </c>
      <c r="V215" s="3" t="s">
        <v>2272</v>
      </c>
      <c r="W215" s="4" t="s">
        <v>2174</v>
      </c>
    </row>
    <row r="216" spans="1:23" ht="52" customHeight="1">
      <c r="A216" s="11" t="s">
        <v>2111</v>
      </c>
      <c r="B216" s="11" t="s">
        <v>2165</v>
      </c>
      <c r="C216" s="23" t="s">
        <v>23</v>
      </c>
      <c r="D216" s="23" t="s">
        <v>141</v>
      </c>
      <c r="E216" s="23" t="s">
        <v>128</v>
      </c>
      <c r="F216" s="19" t="s">
        <v>73</v>
      </c>
      <c r="G216" s="19"/>
      <c r="H216" s="4" t="s">
        <v>539</v>
      </c>
      <c r="I216" s="3" t="s">
        <v>2685</v>
      </c>
      <c r="J216" s="3" t="s">
        <v>532</v>
      </c>
      <c r="K216" s="3" t="s">
        <v>2272</v>
      </c>
      <c r="L216" s="3" t="s">
        <v>2272</v>
      </c>
      <c r="M216" s="3" t="s">
        <v>2272</v>
      </c>
      <c r="N216" s="3" t="s">
        <v>2272</v>
      </c>
      <c r="O216" s="3" t="s">
        <v>2272</v>
      </c>
      <c r="P216" s="3" t="s">
        <v>2272</v>
      </c>
      <c r="Q216" s="3" t="s">
        <v>2272</v>
      </c>
      <c r="R216" s="3" t="s">
        <v>532</v>
      </c>
      <c r="S216" s="3" t="s">
        <v>532</v>
      </c>
      <c r="T216" s="3" t="s">
        <v>532</v>
      </c>
      <c r="U216" s="3" t="s">
        <v>2272</v>
      </c>
      <c r="V216" s="3" t="s">
        <v>2272</v>
      </c>
      <c r="W216" s="4" t="s">
        <v>2174</v>
      </c>
    </row>
    <row r="217" spans="1:23" ht="52" customHeight="1">
      <c r="A217" s="11" t="s">
        <v>2111</v>
      </c>
      <c r="B217" s="11" t="s">
        <v>2192</v>
      </c>
      <c r="C217" s="23" t="s">
        <v>23</v>
      </c>
      <c r="D217" s="23" t="s">
        <v>26</v>
      </c>
      <c r="E217" s="23" t="s">
        <v>128</v>
      </c>
      <c r="F217" s="19" t="s">
        <v>159</v>
      </c>
      <c r="G217" s="19"/>
      <c r="H217" s="4" t="s">
        <v>539</v>
      </c>
      <c r="I217" s="3" t="s">
        <v>2685</v>
      </c>
      <c r="J217" s="3" t="s">
        <v>532</v>
      </c>
      <c r="K217" s="3" t="s">
        <v>2272</v>
      </c>
      <c r="L217" s="3" t="s">
        <v>2272</v>
      </c>
      <c r="M217" s="3" t="s">
        <v>2272</v>
      </c>
      <c r="N217" s="3" t="s">
        <v>2272</v>
      </c>
      <c r="O217" s="3" t="s">
        <v>2272</v>
      </c>
      <c r="P217" s="3" t="s">
        <v>2272</v>
      </c>
      <c r="Q217" s="3" t="s">
        <v>2272</v>
      </c>
      <c r="R217" s="3" t="s">
        <v>2272</v>
      </c>
      <c r="S217" s="3" t="s">
        <v>2272</v>
      </c>
      <c r="T217" s="3" t="s">
        <v>2272</v>
      </c>
      <c r="U217" s="3" t="s">
        <v>2272</v>
      </c>
      <c r="V217" s="3" t="s">
        <v>2272</v>
      </c>
      <c r="W217" s="4" t="s">
        <v>2174</v>
      </c>
    </row>
    <row r="218" spans="1:23" ht="52" customHeight="1">
      <c r="A218" s="11" t="s">
        <v>2112</v>
      </c>
      <c r="B218" s="11" t="s">
        <v>2166</v>
      </c>
      <c r="C218" s="23" t="s">
        <v>23</v>
      </c>
      <c r="D218" s="23" t="s">
        <v>141</v>
      </c>
      <c r="E218" s="23" t="s">
        <v>128</v>
      </c>
      <c r="F218" s="19" t="s">
        <v>73</v>
      </c>
      <c r="G218" s="19"/>
      <c r="H218" s="4" t="s">
        <v>539</v>
      </c>
      <c r="I218" s="3" t="s">
        <v>2685</v>
      </c>
      <c r="J218" s="3" t="s">
        <v>532</v>
      </c>
      <c r="K218" s="3" t="s">
        <v>2272</v>
      </c>
      <c r="L218" s="3" t="s">
        <v>2272</v>
      </c>
      <c r="M218" s="3" t="s">
        <v>2272</v>
      </c>
      <c r="N218" s="3" t="s">
        <v>2272</v>
      </c>
      <c r="O218" s="3" t="s">
        <v>2272</v>
      </c>
      <c r="P218" s="3" t="s">
        <v>2272</v>
      </c>
      <c r="Q218" s="3" t="s">
        <v>2272</v>
      </c>
      <c r="R218" s="3" t="s">
        <v>532</v>
      </c>
      <c r="S218" s="3" t="s">
        <v>532</v>
      </c>
      <c r="T218" s="3" t="s">
        <v>532</v>
      </c>
      <c r="U218" s="3" t="s">
        <v>2272</v>
      </c>
      <c r="V218" s="3" t="s">
        <v>2272</v>
      </c>
      <c r="W218" s="4" t="s">
        <v>2174</v>
      </c>
    </row>
    <row r="219" spans="1:23" ht="52" customHeight="1">
      <c r="A219" s="11" t="s">
        <v>2112</v>
      </c>
      <c r="B219" s="11" t="s">
        <v>2193</v>
      </c>
      <c r="C219" s="23" t="s">
        <v>23</v>
      </c>
      <c r="D219" s="23" t="s">
        <v>26</v>
      </c>
      <c r="E219" s="23" t="s">
        <v>128</v>
      </c>
      <c r="F219" s="19" t="s">
        <v>159</v>
      </c>
      <c r="G219" s="19"/>
      <c r="H219" s="4" t="s">
        <v>539</v>
      </c>
      <c r="I219" s="3" t="s">
        <v>2685</v>
      </c>
      <c r="J219" s="3" t="s">
        <v>532</v>
      </c>
      <c r="K219" s="3" t="s">
        <v>2272</v>
      </c>
      <c r="L219" s="3" t="s">
        <v>2272</v>
      </c>
      <c r="M219" s="3" t="s">
        <v>2272</v>
      </c>
      <c r="N219" s="3" t="s">
        <v>2272</v>
      </c>
      <c r="O219" s="3" t="s">
        <v>2272</v>
      </c>
      <c r="P219" s="3" t="s">
        <v>2272</v>
      </c>
      <c r="Q219" s="3" t="s">
        <v>2272</v>
      </c>
      <c r="R219" s="3" t="s">
        <v>2272</v>
      </c>
      <c r="S219" s="3" t="s">
        <v>2272</v>
      </c>
      <c r="T219" s="3" t="s">
        <v>2272</v>
      </c>
      <c r="U219" s="3" t="s">
        <v>2272</v>
      </c>
      <c r="V219" s="3" t="s">
        <v>2272</v>
      </c>
      <c r="W219" s="4" t="s">
        <v>2174</v>
      </c>
    </row>
    <row r="220" spans="1:23" ht="52" customHeight="1">
      <c r="A220" s="11" t="s">
        <v>2113</v>
      </c>
      <c r="B220" s="11" t="s">
        <v>2167</v>
      </c>
      <c r="C220" s="23" t="s">
        <v>23</v>
      </c>
      <c r="D220" s="23" t="s">
        <v>141</v>
      </c>
      <c r="E220" s="23" t="s">
        <v>128</v>
      </c>
      <c r="F220" s="19" t="s">
        <v>73</v>
      </c>
      <c r="G220" s="19"/>
      <c r="H220" s="4" t="s">
        <v>539</v>
      </c>
      <c r="I220" s="3" t="s">
        <v>2685</v>
      </c>
      <c r="J220" s="3" t="s">
        <v>532</v>
      </c>
      <c r="K220" s="3" t="s">
        <v>2272</v>
      </c>
      <c r="L220" s="3" t="s">
        <v>2272</v>
      </c>
      <c r="M220" s="3" t="s">
        <v>2272</v>
      </c>
      <c r="N220" s="3" t="s">
        <v>2272</v>
      </c>
      <c r="O220" s="3" t="s">
        <v>2272</v>
      </c>
      <c r="P220" s="3" t="s">
        <v>2272</v>
      </c>
      <c r="Q220" s="3" t="s">
        <v>2272</v>
      </c>
      <c r="R220" s="3" t="s">
        <v>532</v>
      </c>
      <c r="S220" s="3" t="s">
        <v>532</v>
      </c>
      <c r="T220" s="3" t="s">
        <v>532</v>
      </c>
      <c r="U220" s="3" t="s">
        <v>2272</v>
      </c>
      <c r="V220" s="3" t="s">
        <v>2272</v>
      </c>
      <c r="W220" s="4" t="s">
        <v>2174</v>
      </c>
    </row>
    <row r="221" spans="1:23" ht="52" customHeight="1">
      <c r="A221" s="11" t="s">
        <v>2113</v>
      </c>
      <c r="B221" s="11" t="s">
        <v>2194</v>
      </c>
      <c r="C221" s="23" t="s">
        <v>23</v>
      </c>
      <c r="D221" s="23" t="s">
        <v>26</v>
      </c>
      <c r="E221" s="23" t="s">
        <v>128</v>
      </c>
      <c r="F221" s="19" t="s">
        <v>159</v>
      </c>
      <c r="G221" s="19"/>
      <c r="H221" s="4" t="s">
        <v>539</v>
      </c>
      <c r="I221" s="3" t="s">
        <v>2685</v>
      </c>
      <c r="J221" s="3" t="s">
        <v>532</v>
      </c>
      <c r="K221" s="3" t="s">
        <v>2272</v>
      </c>
      <c r="L221" s="3" t="s">
        <v>2272</v>
      </c>
      <c r="M221" s="3" t="s">
        <v>2272</v>
      </c>
      <c r="N221" s="3" t="s">
        <v>2272</v>
      </c>
      <c r="O221" s="3" t="s">
        <v>2272</v>
      </c>
      <c r="P221" s="3" t="s">
        <v>2272</v>
      </c>
      <c r="Q221" s="3" t="s">
        <v>2272</v>
      </c>
      <c r="R221" s="3" t="s">
        <v>2272</v>
      </c>
      <c r="S221" s="3" t="s">
        <v>2272</v>
      </c>
      <c r="T221" s="3" t="s">
        <v>2272</v>
      </c>
      <c r="U221" s="3" t="s">
        <v>2272</v>
      </c>
      <c r="V221" s="3" t="s">
        <v>2272</v>
      </c>
      <c r="W221" s="4" t="s">
        <v>2174</v>
      </c>
    </row>
    <row r="222" spans="1:23" ht="52" customHeight="1">
      <c r="A222" s="11" t="s">
        <v>2114</v>
      </c>
      <c r="B222" s="11" t="s">
        <v>2168</v>
      </c>
      <c r="C222" s="23" t="s">
        <v>23</v>
      </c>
      <c r="D222" s="23" t="s">
        <v>141</v>
      </c>
      <c r="E222" s="23" t="s">
        <v>128</v>
      </c>
      <c r="F222" s="19" t="s">
        <v>73</v>
      </c>
      <c r="G222" s="19"/>
      <c r="H222" s="4" t="s">
        <v>539</v>
      </c>
      <c r="I222" s="3" t="s">
        <v>2685</v>
      </c>
      <c r="J222" s="3" t="s">
        <v>532</v>
      </c>
      <c r="K222" s="3" t="s">
        <v>2272</v>
      </c>
      <c r="L222" s="3" t="s">
        <v>2272</v>
      </c>
      <c r="M222" s="3" t="s">
        <v>2272</v>
      </c>
      <c r="N222" s="3" t="s">
        <v>2272</v>
      </c>
      <c r="O222" s="3" t="s">
        <v>2272</v>
      </c>
      <c r="P222" s="3" t="s">
        <v>2272</v>
      </c>
      <c r="Q222" s="3" t="s">
        <v>2272</v>
      </c>
      <c r="R222" s="3" t="s">
        <v>532</v>
      </c>
      <c r="S222" s="3" t="s">
        <v>532</v>
      </c>
      <c r="T222" s="3" t="s">
        <v>532</v>
      </c>
      <c r="U222" s="3" t="s">
        <v>2272</v>
      </c>
      <c r="V222" s="3" t="s">
        <v>2272</v>
      </c>
      <c r="W222" s="4" t="s">
        <v>2174</v>
      </c>
    </row>
    <row r="223" spans="1:23" ht="52" customHeight="1">
      <c r="A223" s="11" t="s">
        <v>2114</v>
      </c>
      <c r="B223" s="11" t="s">
        <v>2195</v>
      </c>
      <c r="C223" s="23" t="s">
        <v>23</v>
      </c>
      <c r="D223" s="23" t="s">
        <v>26</v>
      </c>
      <c r="E223" s="23" t="s">
        <v>128</v>
      </c>
      <c r="F223" s="19" t="s">
        <v>159</v>
      </c>
      <c r="G223" s="19"/>
      <c r="H223" s="4" t="s">
        <v>539</v>
      </c>
      <c r="I223" s="3" t="s">
        <v>2685</v>
      </c>
      <c r="J223" s="3" t="s">
        <v>532</v>
      </c>
      <c r="K223" s="3" t="s">
        <v>2272</v>
      </c>
      <c r="L223" s="3" t="s">
        <v>2272</v>
      </c>
      <c r="M223" s="3" t="s">
        <v>2272</v>
      </c>
      <c r="N223" s="3" t="s">
        <v>2272</v>
      </c>
      <c r="O223" s="3" t="s">
        <v>2272</v>
      </c>
      <c r="P223" s="3" t="s">
        <v>2272</v>
      </c>
      <c r="Q223" s="3" t="s">
        <v>2272</v>
      </c>
      <c r="R223" s="3" t="s">
        <v>2272</v>
      </c>
      <c r="S223" s="3" t="s">
        <v>2272</v>
      </c>
      <c r="T223" s="3" t="s">
        <v>2272</v>
      </c>
      <c r="U223" s="3" t="s">
        <v>2272</v>
      </c>
      <c r="V223" s="3" t="s">
        <v>2272</v>
      </c>
      <c r="W223" s="4" t="s">
        <v>2174</v>
      </c>
    </row>
    <row r="224" spans="1:23" ht="52" customHeight="1">
      <c r="A224" s="11" t="s">
        <v>2115</v>
      </c>
      <c r="B224" s="11" t="s">
        <v>2169</v>
      </c>
      <c r="C224" s="23" t="s">
        <v>23</v>
      </c>
      <c r="D224" s="23" t="s">
        <v>141</v>
      </c>
      <c r="E224" s="23" t="s">
        <v>128</v>
      </c>
      <c r="F224" s="19" t="s">
        <v>73</v>
      </c>
      <c r="G224" s="19"/>
      <c r="H224" s="4" t="s">
        <v>539</v>
      </c>
      <c r="I224" s="3" t="s">
        <v>2685</v>
      </c>
      <c r="J224" s="3" t="s">
        <v>532</v>
      </c>
      <c r="K224" s="3" t="s">
        <v>2272</v>
      </c>
      <c r="L224" s="3" t="s">
        <v>2272</v>
      </c>
      <c r="M224" s="3" t="s">
        <v>2272</v>
      </c>
      <c r="N224" s="3" t="s">
        <v>2272</v>
      </c>
      <c r="O224" s="3" t="s">
        <v>2272</v>
      </c>
      <c r="P224" s="3" t="s">
        <v>2272</v>
      </c>
      <c r="Q224" s="3" t="s">
        <v>2272</v>
      </c>
      <c r="R224" s="3" t="s">
        <v>532</v>
      </c>
      <c r="S224" s="3" t="s">
        <v>532</v>
      </c>
      <c r="T224" s="3" t="s">
        <v>532</v>
      </c>
      <c r="U224" s="3" t="s">
        <v>2272</v>
      </c>
      <c r="V224" s="3" t="s">
        <v>2272</v>
      </c>
      <c r="W224" s="4" t="s">
        <v>2174</v>
      </c>
    </row>
    <row r="225" spans="1:23" ht="52" customHeight="1">
      <c r="A225" s="11" t="s">
        <v>2115</v>
      </c>
      <c r="B225" s="11" t="s">
        <v>2196</v>
      </c>
      <c r="C225" s="23" t="s">
        <v>23</v>
      </c>
      <c r="D225" s="23" t="s">
        <v>26</v>
      </c>
      <c r="E225" s="23" t="s">
        <v>128</v>
      </c>
      <c r="F225" s="19" t="s">
        <v>159</v>
      </c>
      <c r="G225" s="19"/>
      <c r="H225" s="4" t="s">
        <v>539</v>
      </c>
      <c r="I225" s="3" t="s">
        <v>2685</v>
      </c>
      <c r="J225" s="3" t="s">
        <v>532</v>
      </c>
      <c r="K225" s="3" t="s">
        <v>2272</v>
      </c>
      <c r="L225" s="3" t="s">
        <v>2272</v>
      </c>
      <c r="M225" s="3" t="s">
        <v>2272</v>
      </c>
      <c r="N225" s="3" t="s">
        <v>2272</v>
      </c>
      <c r="O225" s="3" t="s">
        <v>2272</v>
      </c>
      <c r="P225" s="3" t="s">
        <v>2272</v>
      </c>
      <c r="Q225" s="3" t="s">
        <v>2272</v>
      </c>
      <c r="R225" s="3" t="s">
        <v>2272</v>
      </c>
      <c r="S225" s="3" t="s">
        <v>2272</v>
      </c>
      <c r="T225" s="3" t="s">
        <v>2272</v>
      </c>
      <c r="U225" s="3" t="s">
        <v>2272</v>
      </c>
      <c r="V225" s="3" t="s">
        <v>2272</v>
      </c>
      <c r="W225" s="4" t="s">
        <v>2174</v>
      </c>
    </row>
    <row r="226" spans="1:23" ht="52" customHeight="1">
      <c r="A226" s="11" t="s">
        <v>2116</v>
      </c>
      <c r="B226" s="11" t="s">
        <v>2170</v>
      </c>
      <c r="C226" s="23" t="s">
        <v>23</v>
      </c>
      <c r="D226" s="23" t="s">
        <v>141</v>
      </c>
      <c r="E226" s="23" t="s">
        <v>128</v>
      </c>
      <c r="F226" s="19" t="s">
        <v>73</v>
      </c>
      <c r="G226" s="19"/>
      <c r="H226" s="4" t="s">
        <v>539</v>
      </c>
      <c r="I226" s="3" t="s">
        <v>2685</v>
      </c>
      <c r="J226" s="3" t="s">
        <v>532</v>
      </c>
      <c r="K226" s="3" t="s">
        <v>2272</v>
      </c>
      <c r="L226" s="3" t="s">
        <v>2272</v>
      </c>
      <c r="M226" s="3" t="s">
        <v>2272</v>
      </c>
      <c r="N226" s="3" t="s">
        <v>2272</v>
      </c>
      <c r="O226" s="3" t="s">
        <v>2272</v>
      </c>
      <c r="P226" s="3" t="s">
        <v>2272</v>
      </c>
      <c r="Q226" s="3" t="s">
        <v>2272</v>
      </c>
      <c r="R226" s="3" t="s">
        <v>532</v>
      </c>
      <c r="S226" s="3" t="s">
        <v>532</v>
      </c>
      <c r="T226" s="3" t="s">
        <v>532</v>
      </c>
      <c r="U226" s="3" t="s">
        <v>2272</v>
      </c>
      <c r="V226" s="3" t="s">
        <v>2272</v>
      </c>
      <c r="W226" s="4" t="s">
        <v>2174</v>
      </c>
    </row>
    <row r="227" spans="1:23" ht="52" customHeight="1">
      <c r="A227" s="11" t="s">
        <v>2116</v>
      </c>
      <c r="B227" s="11" t="s">
        <v>2197</v>
      </c>
      <c r="C227" s="23" t="s">
        <v>23</v>
      </c>
      <c r="D227" s="23" t="s">
        <v>26</v>
      </c>
      <c r="E227" s="23" t="s">
        <v>128</v>
      </c>
      <c r="F227" s="19" t="s">
        <v>159</v>
      </c>
      <c r="G227" s="19"/>
      <c r="H227" s="4" t="s">
        <v>539</v>
      </c>
      <c r="I227" s="3" t="s">
        <v>2685</v>
      </c>
      <c r="J227" s="3" t="s">
        <v>532</v>
      </c>
      <c r="K227" s="3" t="s">
        <v>2272</v>
      </c>
      <c r="L227" s="3" t="s">
        <v>2272</v>
      </c>
      <c r="M227" s="3" t="s">
        <v>2272</v>
      </c>
      <c r="N227" s="3" t="s">
        <v>2272</v>
      </c>
      <c r="O227" s="3" t="s">
        <v>2272</v>
      </c>
      <c r="P227" s="3" t="s">
        <v>2272</v>
      </c>
      <c r="Q227" s="3" t="s">
        <v>2272</v>
      </c>
      <c r="R227" s="3" t="s">
        <v>2272</v>
      </c>
      <c r="S227" s="3" t="s">
        <v>2272</v>
      </c>
      <c r="T227" s="3" t="s">
        <v>2272</v>
      </c>
      <c r="U227" s="3" t="s">
        <v>2272</v>
      </c>
      <c r="V227" s="3" t="s">
        <v>2272</v>
      </c>
      <c r="W227" s="4" t="s">
        <v>2174</v>
      </c>
    </row>
    <row r="228" spans="1:23" ht="52" customHeight="1">
      <c r="A228" s="11" t="s">
        <v>2117</v>
      </c>
      <c r="B228" s="11" t="s">
        <v>2171</v>
      </c>
      <c r="C228" s="23" t="s">
        <v>23</v>
      </c>
      <c r="D228" s="23" t="s">
        <v>141</v>
      </c>
      <c r="E228" s="23" t="s">
        <v>128</v>
      </c>
      <c r="F228" s="19" t="s">
        <v>73</v>
      </c>
      <c r="G228" s="19"/>
      <c r="H228" s="4" t="s">
        <v>539</v>
      </c>
      <c r="I228" s="3" t="s">
        <v>2685</v>
      </c>
      <c r="J228" s="3" t="s">
        <v>532</v>
      </c>
      <c r="K228" s="3" t="s">
        <v>2272</v>
      </c>
      <c r="L228" s="3" t="s">
        <v>2272</v>
      </c>
      <c r="M228" s="3" t="s">
        <v>2272</v>
      </c>
      <c r="N228" s="3" t="s">
        <v>2272</v>
      </c>
      <c r="O228" s="3" t="s">
        <v>2272</v>
      </c>
      <c r="P228" s="3" t="s">
        <v>2272</v>
      </c>
      <c r="Q228" s="3" t="s">
        <v>2272</v>
      </c>
      <c r="R228" s="3" t="s">
        <v>532</v>
      </c>
      <c r="S228" s="3" t="s">
        <v>532</v>
      </c>
      <c r="T228" s="3" t="s">
        <v>532</v>
      </c>
      <c r="U228" s="3" t="s">
        <v>2272</v>
      </c>
      <c r="V228" s="3" t="s">
        <v>2272</v>
      </c>
      <c r="W228" s="4" t="s">
        <v>2174</v>
      </c>
    </row>
    <row r="229" spans="1:23" ht="52" customHeight="1">
      <c r="A229" s="11" t="s">
        <v>2117</v>
      </c>
      <c r="B229" s="11" t="s">
        <v>2198</v>
      </c>
      <c r="C229" s="23" t="s">
        <v>23</v>
      </c>
      <c r="D229" s="23" t="s">
        <v>26</v>
      </c>
      <c r="E229" s="23" t="s">
        <v>128</v>
      </c>
      <c r="F229" s="19" t="s">
        <v>159</v>
      </c>
      <c r="G229" s="19"/>
      <c r="H229" s="4" t="s">
        <v>539</v>
      </c>
      <c r="I229" s="3" t="s">
        <v>2685</v>
      </c>
      <c r="J229" s="3" t="s">
        <v>532</v>
      </c>
      <c r="K229" s="3" t="s">
        <v>2272</v>
      </c>
      <c r="L229" s="3" t="s">
        <v>2272</v>
      </c>
      <c r="M229" s="3" t="s">
        <v>2272</v>
      </c>
      <c r="N229" s="3" t="s">
        <v>2272</v>
      </c>
      <c r="O229" s="3" t="s">
        <v>2272</v>
      </c>
      <c r="P229" s="3" t="s">
        <v>2272</v>
      </c>
      <c r="Q229" s="3" t="s">
        <v>2272</v>
      </c>
      <c r="R229" s="3" t="s">
        <v>2272</v>
      </c>
      <c r="S229" s="3" t="s">
        <v>2272</v>
      </c>
      <c r="T229" s="3" t="s">
        <v>2272</v>
      </c>
      <c r="U229" s="3" t="s">
        <v>2272</v>
      </c>
      <c r="V229" s="3" t="s">
        <v>2272</v>
      </c>
      <c r="W229" s="4" t="s">
        <v>2174</v>
      </c>
    </row>
    <row r="230" spans="1:23" ht="64.5" customHeight="1">
      <c r="A230" s="11" t="s">
        <v>2118</v>
      </c>
      <c r="B230" s="11" t="s">
        <v>2172</v>
      </c>
      <c r="C230" s="23" t="s">
        <v>23</v>
      </c>
      <c r="D230" s="23" t="s">
        <v>141</v>
      </c>
      <c r="E230" s="23" t="s">
        <v>128</v>
      </c>
      <c r="F230" s="19" t="s">
        <v>73</v>
      </c>
      <c r="G230" s="19"/>
      <c r="H230" s="4" t="s">
        <v>539</v>
      </c>
      <c r="I230" s="3" t="s">
        <v>2685</v>
      </c>
      <c r="J230" s="3" t="s">
        <v>532</v>
      </c>
      <c r="K230" s="3" t="s">
        <v>2272</v>
      </c>
      <c r="L230" s="3" t="s">
        <v>2272</v>
      </c>
      <c r="M230" s="3" t="s">
        <v>2272</v>
      </c>
      <c r="N230" s="3" t="s">
        <v>2272</v>
      </c>
      <c r="O230" s="3" t="s">
        <v>2272</v>
      </c>
      <c r="P230" s="3" t="s">
        <v>2272</v>
      </c>
      <c r="Q230" s="3" t="s">
        <v>2272</v>
      </c>
      <c r="R230" s="3" t="s">
        <v>532</v>
      </c>
      <c r="S230" s="3" t="s">
        <v>532</v>
      </c>
      <c r="T230" s="3" t="s">
        <v>532</v>
      </c>
      <c r="U230" s="3" t="s">
        <v>2272</v>
      </c>
      <c r="V230" s="3" t="s">
        <v>2272</v>
      </c>
      <c r="W230" s="4" t="s">
        <v>2174</v>
      </c>
    </row>
    <row r="231" spans="1:23" ht="66" customHeight="1">
      <c r="A231" s="11" t="s">
        <v>2118</v>
      </c>
      <c r="B231" s="11" t="s">
        <v>2199</v>
      </c>
      <c r="C231" s="23" t="s">
        <v>23</v>
      </c>
      <c r="D231" s="23" t="s">
        <v>26</v>
      </c>
      <c r="E231" s="23" t="s">
        <v>128</v>
      </c>
      <c r="F231" s="19" t="s">
        <v>159</v>
      </c>
      <c r="G231" s="19"/>
      <c r="H231" s="4" t="s">
        <v>539</v>
      </c>
      <c r="I231" s="3" t="s">
        <v>2685</v>
      </c>
      <c r="J231" s="3" t="s">
        <v>532</v>
      </c>
      <c r="K231" s="3" t="s">
        <v>2272</v>
      </c>
      <c r="L231" s="3" t="s">
        <v>2272</v>
      </c>
      <c r="M231" s="3" t="s">
        <v>2272</v>
      </c>
      <c r="N231" s="3" t="s">
        <v>2272</v>
      </c>
      <c r="O231" s="3" t="s">
        <v>2272</v>
      </c>
      <c r="P231" s="3" t="s">
        <v>2272</v>
      </c>
      <c r="Q231" s="3" t="s">
        <v>2272</v>
      </c>
      <c r="R231" s="3" t="s">
        <v>2272</v>
      </c>
      <c r="S231" s="3" t="s">
        <v>2272</v>
      </c>
      <c r="T231" s="3" t="s">
        <v>2272</v>
      </c>
      <c r="U231" s="3" t="s">
        <v>2272</v>
      </c>
      <c r="V231" s="3" t="s">
        <v>2272</v>
      </c>
      <c r="W231" s="4" t="s">
        <v>2174</v>
      </c>
    </row>
    <row r="232" spans="1:23" ht="66" customHeight="1">
      <c r="A232" s="11" t="s">
        <v>930</v>
      </c>
      <c r="B232" s="11" t="s">
        <v>5054</v>
      </c>
      <c r="C232" s="23" t="s">
        <v>1102</v>
      </c>
      <c r="D232" s="26" t="s">
        <v>1102</v>
      </c>
      <c r="E232" s="23" t="s">
        <v>1102</v>
      </c>
      <c r="F232" s="26" t="s">
        <v>2657</v>
      </c>
      <c r="G232" s="19">
        <v>2013</v>
      </c>
      <c r="H232" s="4" t="s">
        <v>539</v>
      </c>
      <c r="I232" s="3" t="s">
        <v>2272</v>
      </c>
      <c r="J232" s="3" t="s">
        <v>2272</v>
      </c>
      <c r="K232" s="3" t="s">
        <v>2272</v>
      </c>
      <c r="L232" s="3" t="s">
        <v>2272</v>
      </c>
      <c r="M232" s="3" t="s">
        <v>2272</v>
      </c>
      <c r="N232" s="3" t="s">
        <v>2272</v>
      </c>
      <c r="O232" s="3" t="s">
        <v>2272</v>
      </c>
      <c r="P232" s="3" t="s">
        <v>2272</v>
      </c>
      <c r="Q232" s="3" t="s">
        <v>2272</v>
      </c>
      <c r="R232" s="3" t="s">
        <v>532</v>
      </c>
      <c r="S232" s="3" t="s">
        <v>2272</v>
      </c>
      <c r="T232" s="3" t="s">
        <v>2272</v>
      </c>
      <c r="U232" s="3" t="s">
        <v>2272</v>
      </c>
      <c r="V232" s="3">
        <v>4</v>
      </c>
      <c r="W232" s="4" t="s">
        <v>5078</v>
      </c>
    </row>
    <row r="233" spans="1:23" ht="66" customHeight="1">
      <c r="A233" s="11" t="s">
        <v>5053</v>
      </c>
      <c r="B233" s="11" t="s">
        <v>5062</v>
      </c>
      <c r="C233" s="23" t="s">
        <v>1102</v>
      </c>
      <c r="D233" s="26" t="s">
        <v>1102</v>
      </c>
      <c r="E233" s="23" t="s">
        <v>1102</v>
      </c>
      <c r="F233" s="26" t="s">
        <v>2657</v>
      </c>
      <c r="G233" s="19">
        <v>2013</v>
      </c>
      <c r="H233" s="4" t="s">
        <v>539</v>
      </c>
      <c r="I233" s="3" t="s">
        <v>2272</v>
      </c>
      <c r="J233" s="3" t="s">
        <v>2272</v>
      </c>
      <c r="K233" s="3" t="s">
        <v>2272</v>
      </c>
      <c r="L233" s="3" t="s">
        <v>2272</v>
      </c>
      <c r="M233" s="3" t="s">
        <v>2272</v>
      </c>
      <c r="N233" s="3" t="s">
        <v>2272</v>
      </c>
      <c r="O233" s="3" t="s">
        <v>2272</v>
      </c>
      <c r="P233" s="3" t="s">
        <v>2272</v>
      </c>
      <c r="Q233" s="3" t="s">
        <v>2272</v>
      </c>
      <c r="R233" s="3" t="s">
        <v>532</v>
      </c>
      <c r="S233" s="3" t="s">
        <v>2272</v>
      </c>
      <c r="T233" s="3" t="s">
        <v>2272</v>
      </c>
      <c r="U233" s="3" t="s">
        <v>2272</v>
      </c>
      <c r="V233" s="3">
        <v>2</v>
      </c>
      <c r="W233" s="4" t="s">
        <v>5079</v>
      </c>
    </row>
    <row r="234" spans="1:23" ht="66" customHeight="1">
      <c r="A234" s="11" t="s">
        <v>930</v>
      </c>
      <c r="B234" s="11" t="s">
        <v>5055</v>
      </c>
      <c r="C234" s="23" t="s">
        <v>1102</v>
      </c>
      <c r="D234" s="26" t="s">
        <v>1102</v>
      </c>
      <c r="E234" s="23" t="s">
        <v>1102</v>
      </c>
      <c r="F234" s="26" t="s">
        <v>2657</v>
      </c>
      <c r="G234" s="19">
        <v>2013</v>
      </c>
      <c r="H234" s="4" t="s">
        <v>2718</v>
      </c>
      <c r="I234" s="3" t="s">
        <v>2685</v>
      </c>
      <c r="J234" s="3" t="s">
        <v>2272</v>
      </c>
      <c r="K234" s="11" t="s">
        <v>532</v>
      </c>
      <c r="L234" s="3" t="s">
        <v>2272</v>
      </c>
      <c r="M234" s="3" t="s">
        <v>2272</v>
      </c>
      <c r="N234" s="3" t="s">
        <v>2272</v>
      </c>
      <c r="O234" s="3" t="s">
        <v>2272</v>
      </c>
      <c r="P234" s="3" t="s">
        <v>2272</v>
      </c>
      <c r="Q234" s="3" t="s">
        <v>2272</v>
      </c>
      <c r="R234" s="3" t="s">
        <v>2272</v>
      </c>
      <c r="S234" s="3" t="s">
        <v>2272</v>
      </c>
      <c r="T234" s="3" t="s">
        <v>2272</v>
      </c>
      <c r="U234" s="3" t="s">
        <v>2272</v>
      </c>
      <c r="V234" s="3" t="s">
        <v>2272</v>
      </c>
      <c r="W234" s="4" t="s">
        <v>5080</v>
      </c>
    </row>
    <row r="235" spans="1:23" ht="66" customHeight="1">
      <c r="A235" s="11" t="s">
        <v>5053</v>
      </c>
      <c r="B235" s="11" t="s">
        <v>5064</v>
      </c>
      <c r="C235" s="23" t="s">
        <v>1102</v>
      </c>
      <c r="D235" s="26" t="s">
        <v>1102</v>
      </c>
      <c r="E235" s="23" t="s">
        <v>1102</v>
      </c>
      <c r="F235" s="26" t="s">
        <v>2657</v>
      </c>
      <c r="G235" s="19">
        <v>2013</v>
      </c>
      <c r="H235" s="4" t="s">
        <v>2718</v>
      </c>
      <c r="I235" s="3" t="s">
        <v>2685</v>
      </c>
      <c r="J235" s="3" t="s">
        <v>2272</v>
      </c>
      <c r="K235" s="11" t="s">
        <v>532</v>
      </c>
      <c r="L235" s="3" t="s">
        <v>2272</v>
      </c>
      <c r="M235" s="3" t="s">
        <v>2272</v>
      </c>
      <c r="N235" s="3" t="s">
        <v>2272</v>
      </c>
      <c r="O235" s="3" t="s">
        <v>2272</v>
      </c>
      <c r="P235" s="3" t="s">
        <v>2272</v>
      </c>
      <c r="Q235" s="3" t="s">
        <v>2272</v>
      </c>
      <c r="R235" s="3" t="s">
        <v>2272</v>
      </c>
      <c r="S235" s="3" t="s">
        <v>2272</v>
      </c>
      <c r="T235" s="3" t="s">
        <v>2272</v>
      </c>
      <c r="U235" s="3" t="s">
        <v>2272</v>
      </c>
      <c r="V235" s="3" t="s">
        <v>2272</v>
      </c>
      <c r="W235" s="4" t="s">
        <v>5080</v>
      </c>
    </row>
    <row r="236" spans="1:23" ht="50.5" customHeight="1">
      <c r="A236" s="11" t="s">
        <v>924</v>
      </c>
      <c r="B236" s="11" t="s">
        <v>931</v>
      </c>
      <c r="C236" s="23" t="s">
        <v>23</v>
      </c>
      <c r="D236" s="23" t="s">
        <v>26</v>
      </c>
      <c r="E236" s="23" t="s">
        <v>128</v>
      </c>
      <c r="F236" s="19" t="s">
        <v>159</v>
      </c>
      <c r="G236" s="19"/>
      <c r="H236" s="4" t="s">
        <v>539</v>
      </c>
      <c r="I236" s="3" t="s">
        <v>2685</v>
      </c>
      <c r="J236" s="11" t="s">
        <v>532</v>
      </c>
      <c r="K236" s="3" t="s">
        <v>2272</v>
      </c>
      <c r="L236" s="3" t="s">
        <v>2272</v>
      </c>
      <c r="M236" s="3" t="s">
        <v>2272</v>
      </c>
      <c r="N236" s="3" t="s">
        <v>2272</v>
      </c>
      <c r="O236" s="3" t="s">
        <v>2272</v>
      </c>
      <c r="P236" s="3" t="s">
        <v>2272</v>
      </c>
      <c r="Q236" s="3" t="s">
        <v>2272</v>
      </c>
      <c r="R236" s="3" t="s">
        <v>2272</v>
      </c>
      <c r="S236" s="3" t="s">
        <v>2272</v>
      </c>
      <c r="T236" s="3" t="s">
        <v>2272</v>
      </c>
      <c r="U236" s="3" t="s">
        <v>2272</v>
      </c>
      <c r="V236" s="3" t="s">
        <v>2272</v>
      </c>
      <c r="W236" s="4" t="s">
        <v>2208</v>
      </c>
    </row>
    <row r="237" spans="1:23" ht="42" customHeight="1">
      <c r="A237" s="11" t="s">
        <v>929</v>
      </c>
      <c r="B237" s="11" t="s">
        <v>932</v>
      </c>
      <c r="C237" s="23" t="s">
        <v>23</v>
      </c>
      <c r="D237" s="23" t="s">
        <v>26</v>
      </c>
      <c r="E237" s="23" t="s">
        <v>128</v>
      </c>
      <c r="F237" s="19" t="s">
        <v>159</v>
      </c>
      <c r="G237" s="19"/>
      <c r="H237" s="4" t="s">
        <v>539</v>
      </c>
      <c r="I237" s="11" t="s">
        <v>535</v>
      </c>
      <c r="J237" s="11" t="s">
        <v>535</v>
      </c>
      <c r="K237" s="3" t="s">
        <v>2272</v>
      </c>
      <c r="L237" s="3" t="s">
        <v>2272</v>
      </c>
      <c r="M237" s="3" t="s">
        <v>2272</v>
      </c>
      <c r="N237" s="3" t="s">
        <v>2272</v>
      </c>
      <c r="O237" s="3" t="s">
        <v>2272</v>
      </c>
      <c r="P237" s="3" t="s">
        <v>2272</v>
      </c>
      <c r="Q237" s="3" t="s">
        <v>2272</v>
      </c>
      <c r="R237" s="3" t="s">
        <v>2272</v>
      </c>
      <c r="S237" s="3" t="s">
        <v>2272</v>
      </c>
      <c r="T237" s="3" t="s">
        <v>2272</v>
      </c>
      <c r="U237" s="3" t="s">
        <v>2272</v>
      </c>
      <c r="V237" s="3" t="s">
        <v>2272</v>
      </c>
      <c r="W237" s="4" t="s">
        <v>933</v>
      </c>
    </row>
    <row r="238" spans="1:23" ht="40.5" customHeight="1">
      <c r="A238" s="11" t="s">
        <v>935</v>
      </c>
      <c r="B238" s="11" t="s">
        <v>939</v>
      </c>
      <c r="C238" s="23" t="s">
        <v>23</v>
      </c>
      <c r="D238" s="23" t="s">
        <v>26</v>
      </c>
      <c r="E238" s="23" t="s">
        <v>128</v>
      </c>
      <c r="F238" s="19" t="s">
        <v>159</v>
      </c>
      <c r="G238" s="19"/>
      <c r="H238" s="4" t="s">
        <v>539</v>
      </c>
      <c r="I238" s="3" t="s">
        <v>2685</v>
      </c>
      <c r="J238" s="11" t="s">
        <v>532</v>
      </c>
      <c r="K238" s="3" t="s">
        <v>2272</v>
      </c>
      <c r="L238" s="3" t="s">
        <v>2272</v>
      </c>
      <c r="M238" s="3" t="s">
        <v>2272</v>
      </c>
      <c r="N238" s="3" t="s">
        <v>2272</v>
      </c>
      <c r="O238" s="3" t="s">
        <v>2272</v>
      </c>
      <c r="P238" s="3" t="s">
        <v>2272</v>
      </c>
      <c r="Q238" s="3" t="s">
        <v>2272</v>
      </c>
      <c r="R238" s="3" t="s">
        <v>2272</v>
      </c>
      <c r="S238" s="3" t="s">
        <v>2272</v>
      </c>
      <c r="T238" s="3" t="s">
        <v>2272</v>
      </c>
      <c r="U238" s="3" t="s">
        <v>2272</v>
      </c>
      <c r="V238" s="3" t="s">
        <v>2272</v>
      </c>
      <c r="W238" s="4" t="s">
        <v>940</v>
      </c>
    </row>
    <row r="239" spans="1:23" ht="66.5" customHeight="1">
      <c r="A239" s="11" t="s">
        <v>941</v>
      </c>
      <c r="B239" s="11" t="s">
        <v>945</v>
      </c>
      <c r="C239" s="23" t="s">
        <v>23</v>
      </c>
      <c r="D239" s="23" t="s">
        <v>26</v>
      </c>
      <c r="E239" s="23" t="s">
        <v>128</v>
      </c>
      <c r="F239" s="19" t="s">
        <v>159</v>
      </c>
      <c r="G239" s="19"/>
      <c r="H239" s="4" t="s">
        <v>539</v>
      </c>
      <c r="I239" s="11" t="s">
        <v>535</v>
      </c>
      <c r="J239" s="11" t="s">
        <v>535</v>
      </c>
      <c r="K239" s="3" t="s">
        <v>2272</v>
      </c>
      <c r="L239" s="3" t="s">
        <v>2272</v>
      </c>
      <c r="M239" s="3" t="s">
        <v>2272</v>
      </c>
      <c r="N239" s="3" t="s">
        <v>2272</v>
      </c>
      <c r="O239" s="3" t="s">
        <v>2272</v>
      </c>
      <c r="P239" s="3" t="s">
        <v>2272</v>
      </c>
      <c r="Q239" s="3" t="s">
        <v>2272</v>
      </c>
      <c r="R239" s="3" t="s">
        <v>2272</v>
      </c>
      <c r="S239" s="3" t="s">
        <v>2272</v>
      </c>
      <c r="T239" s="3" t="s">
        <v>2272</v>
      </c>
      <c r="U239" s="3" t="s">
        <v>2272</v>
      </c>
      <c r="V239" s="3" t="s">
        <v>2272</v>
      </c>
      <c r="W239" s="19" t="s">
        <v>949</v>
      </c>
    </row>
    <row r="240" spans="1:23" ht="66.5" customHeight="1">
      <c r="A240" s="11" t="s">
        <v>943</v>
      </c>
      <c r="B240" s="11" t="s">
        <v>946</v>
      </c>
      <c r="C240" s="23" t="s">
        <v>23</v>
      </c>
      <c r="D240" s="23" t="s">
        <v>26</v>
      </c>
      <c r="E240" s="23" t="s">
        <v>128</v>
      </c>
      <c r="F240" s="19" t="s">
        <v>159</v>
      </c>
      <c r="G240" s="19"/>
      <c r="H240" s="4" t="s">
        <v>539</v>
      </c>
      <c r="I240" s="11" t="s">
        <v>535</v>
      </c>
      <c r="J240" s="11" t="s">
        <v>535</v>
      </c>
      <c r="K240" s="3" t="s">
        <v>2272</v>
      </c>
      <c r="L240" s="3" t="s">
        <v>2272</v>
      </c>
      <c r="M240" s="3" t="s">
        <v>2272</v>
      </c>
      <c r="N240" s="3" t="s">
        <v>2272</v>
      </c>
      <c r="O240" s="3" t="s">
        <v>2272</v>
      </c>
      <c r="P240" s="3" t="s">
        <v>2272</v>
      </c>
      <c r="Q240" s="3" t="s">
        <v>2272</v>
      </c>
      <c r="R240" s="3" t="s">
        <v>2272</v>
      </c>
      <c r="S240" s="3" t="s">
        <v>2272</v>
      </c>
      <c r="T240" s="3" t="s">
        <v>2272</v>
      </c>
      <c r="U240" s="3" t="s">
        <v>2272</v>
      </c>
      <c r="V240" s="3" t="s">
        <v>2272</v>
      </c>
      <c r="W240" s="19" t="s">
        <v>949</v>
      </c>
    </row>
    <row r="241" spans="1:23" ht="86" customHeight="1">
      <c r="A241" s="11" t="s">
        <v>956</v>
      </c>
      <c r="B241" s="11" t="s">
        <v>961</v>
      </c>
      <c r="C241" s="23" t="s">
        <v>23</v>
      </c>
      <c r="D241" s="23" t="s">
        <v>26</v>
      </c>
      <c r="E241" s="23" t="s">
        <v>128</v>
      </c>
      <c r="F241" s="19" t="s">
        <v>159</v>
      </c>
      <c r="G241" s="19"/>
      <c r="H241" s="4" t="s">
        <v>539</v>
      </c>
      <c r="I241" s="3" t="s">
        <v>2685</v>
      </c>
      <c r="J241" s="3" t="s">
        <v>532</v>
      </c>
      <c r="K241" s="3" t="s">
        <v>2272</v>
      </c>
      <c r="L241" s="3" t="s">
        <v>2272</v>
      </c>
      <c r="M241" s="3" t="s">
        <v>532</v>
      </c>
      <c r="N241" s="3" t="s">
        <v>532</v>
      </c>
      <c r="O241" s="3" t="s">
        <v>2272</v>
      </c>
      <c r="P241" s="3" t="s">
        <v>2272</v>
      </c>
      <c r="Q241" s="3">
        <v>4</v>
      </c>
      <c r="R241" s="3" t="s">
        <v>532</v>
      </c>
      <c r="S241" s="3" t="s">
        <v>532</v>
      </c>
      <c r="T241" s="3" t="s">
        <v>2272</v>
      </c>
      <c r="U241" s="3" t="s">
        <v>2272</v>
      </c>
      <c r="V241" s="3" t="s">
        <v>2272</v>
      </c>
      <c r="W241" s="4" t="s">
        <v>2217</v>
      </c>
    </row>
    <row r="242" spans="1:23" ht="82.5" customHeight="1">
      <c r="A242" s="11" t="s">
        <v>962</v>
      </c>
      <c r="B242" s="11" t="s">
        <v>966</v>
      </c>
      <c r="C242" s="23" t="s">
        <v>23</v>
      </c>
      <c r="D242" s="23" t="s">
        <v>26</v>
      </c>
      <c r="E242" s="23" t="s">
        <v>128</v>
      </c>
      <c r="F242" s="19" t="s">
        <v>159</v>
      </c>
      <c r="G242" s="19"/>
      <c r="H242" s="4" t="s">
        <v>539</v>
      </c>
      <c r="I242" s="3" t="s">
        <v>2685</v>
      </c>
      <c r="J242" s="3" t="s">
        <v>532</v>
      </c>
      <c r="K242" s="3" t="s">
        <v>2272</v>
      </c>
      <c r="L242" s="3" t="s">
        <v>2272</v>
      </c>
      <c r="M242" s="3" t="s">
        <v>532</v>
      </c>
      <c r="N242" s="3" t="s">
        <v>532</v>
      </c>
      <c r="O242" s="3" t="s">
        <v>2272</v>
      </c>
      <c r="P242" s="3" t="s">
        <v>2272</v>
      </c>
      <c r="Q242" s="3">
        <v>4</v>
      </c>
      <c r="R242" s="3" t="s">
        <v>532</v>
      </c>
      <c r="S242" s="3" t="s">
        <v>532</v>
      </c>
      <c r="T242" s="3" t="s">
        <v>2272</v>
      </c>
      <c r="U242" s="3" t="s">
        <v>2272</v>
      </c>
      <c r="V242" s="3" t="s">
        <v>2272</v>
      </c>
      <c r="W242" s="4" t="s">
        <v>2217</v>
      </c>
    </row>
    <row r="243" spans="1:23" ht="87.5" customHeight="1">
      <c r="A243" s="11" t="s">
        <v>963</v>
      </c>
      <c r="B243" s="11" t="s">
        <v>967</v>
      </c>
      <c r="C243" s="23" t="s">
        <v>23</v>
      </c>
      <c r="D243" s="23" t="s">
        <v>26</v>
      </c>
      <c r="E243" s="23" t="s">
        <v>128</v>
      </c>
      <c r="F243" s="19" t="s">
        <v>159</v>
      </c>
      <c r="G243" s="19"/>
      <c r="H243" s="4" t="s">
        <v>539</v>
      </c>
      <c r="I243" s="3" t="s">
        <v>2685</v>
      </c>
      <c r="J243" s="3" t="s">
        <v>532</v>
      </c>
      <c r="K243" s="3" t="s">
        <v>2272</v>
      </c>
      <c r="L243" s="3" t="s">
        <v>2272</v>
      </c>
      <c r="M243" s="3" t="s">
        <v>532</v>
      </c>
      <c r="N243" s="3" t="s">
        <v>532</v>
      </c>
      <c r="O243" s="3" t="s">
        <v>2272</v>
      </c>
      <c r="P243" s="3" t="s">
        <v>2272</v>
      </c>
      <c r="Q243" s="3">
        <v>4</v>
      </c>
      <c r="R243" s="3" t="s">
        <v>532</v>
      </c>
      <c r="S243" s="3" t="s">
        <v>532</v>
      </c>
      <c r="T243" s="3" t="s">
        <v>2272</v>
      </c>
      <c r="U243" s="3" t="s">
        <v>2272</v>
      </c>
      <c r="V243" s="3" t="s">
        <v>2272</v>
      </c>
      <c r="W243" s="4" t="s">
        <v>2217</v>
      </c>
    </row>
    <row r="244" spans="1:23" ht="83" customHeight="1">
      <c r="A244" s="11" t="s">
        <v>1013</v>
      </c>
      <c r="B244" s="11" t="s">
        <v>1018</v>
      </c>
      <c r="C244" s="23" t="s">
        <v>23</v>
      </c>
      <c r="D244" s="23" t="s">
        <v>26</v>
      </c>
      <c r="E244" s="23" t="s">
        <v>128</v>
      </c>
      <c r="F244" s="19" t="s">
        <v>159</v>
      </c>
      <c r="G244" s="19"/>
      <c r="H244" s="4" t="s">
        <v>539</v>
      </c>
      <c r="I244" s="3" t="s">
        <v>2272</v>
      </c>
      <c r="J244" s="3" t="s">
        <v>2272</v>
      </c>
      <c r="K244" s="3" t="s">
        <v>2272</v>
      </c>
      <c r="L244" s="3" t="s">
        <v>2272</v>
      </c>
      <c r="M244" s="3" t="s">
        <v>2272</v>
      </c>
      <c r="N244" s="3" t="s">
        <v>2272</v>
      </c>
      <c r="O244" s="3" t="s">
        <v>2272</v>
      </c>
      <c r="P244" s="3" t="s">
        <v>2272</v>
      </c>
      <c r="Q244" s="3" t="s">
        <v>2272</v>
      </c>
      <c r="R244" s="3" t="s">
        <v>532</v>
      </c>
      <c r="S244" s="3" t="s">
        <v>532</v>
      </c>
      <c r="T244" s="3" t="s">
        <v>532</v>
      </c>
      <c r="U244" s="3" t="s">
        <v>2272</v>
      </c>
      <c r="V244" s="3" t="s">
        <v>2272</v>
      </c>
      <c r="W244" s="4" t="s">
        <v>2241</v>
      </c>
    </row>
    <row r="245" spans="1:23" ht="83" customHeight="1">
      <c r="A245" s="11" t="s">
        <v>1016</v>
      </c>
      <c r="B245" s="11" t="s">
        <v>1019</v>
      </c>
      <c r="C245" s="23" t="s">
        <v>23</v>
      </c>
      <c r="D245" s="23" t="s">
        <v>26</v>
      </c>
      <c r="E245" s="23" t="s">
        <v>128</v>
      </c>
      <c r="F245" s="19" t="s">
        <v>159</v>
      </c>
      <c r="G245" s="19"/>
      <c r="H245" s="4" t="s">
        <v>539</v>
      </c>
      <c r="I245" s="3" t="s">
        <v>2272</v>
      </c>
      <c r="J245" s="3" t="s">
        <v>2272</v>
      </c>
      <c r="K245" s="3" t="s">
        <v>2272</v>
      </c>
      <c r="L245" s="3" t="s">
        <v>2272</v>
      </c>
      <c r="M245" s="3" t="s">
        <v>2272</v>
      </c>
      <c r="N245" s="3" t="s">
        <v>2272</v>
      </c>
      <c r="O245" s="3" t="s">
        <v>2272</v>
      </c>
      <c r="P245" s="3" t="s">
        <v>2272</v>
      </c>
      <c r="Q245" s="3" t="s">
        <v>2272</v>
      </c>
      <c r="R245" s="3" t="s">
        <v>532</v>
      </c>
      <c r="S245" s="3" t="s">
        <v>532</v>
      </c>
      <c r="T245" s="3" t="s">
        <v>532</v>
      </c>
      <c r="U245" s="3" t="s">
        <v>2272</v>
      </c>
      <c r="V245" t="s">
        <v>2272</v>
      </c>
      <c r="W245" s="4" t="s">
        <v>2241</v>
      </c>
    </row>
    <row r="246" spans="1:23" ht="69" customHeight="1">
      <c r="A246" s="11" t="s">
        <v>1020</v>
      </c>
      <c r="B246" s="11" t="s">
        <v>1025</v>
      </c>
      <c r="C246" s="23" t="s">
        <v>23</v>
      </c>
      <c r="D246" s="23" t="s">
        <v>26</v>
      </c>
      <c r="E246" s="23" t="s">
        <v>128</v>
      </c>
      <c r="F246" s="19" t="s">
        <v>159</v>
      </c>
      <c r="G246" s="19"/>
      <c r="H246" s="4" t="s">
        <v>1028</v>
      </c>
      <c r="I246" s="3" t="s">
        <v>2272</v>
      </c>
      <c r="J246" s="3" t="s">
        <v>2272</v>
      </c>
      <c r="K246" s="3" t="s">
        <v>2272</v>
      </c>
      <c r="L246" s="3" t="s">
        <v>2272</v>
      </c>
      <c r="M246" s="3" t="s">
        <v>532</v>
      </c>
      <c r="N246" s="3" t="s">
        <v>532</v>
      </c>
      <c r="O246" s="3" t="s">
        <v>532</v>
      </c>
      <c r="P246" s="3" t="s">
        <v>532</v>
      </c>
      <c r="Q246" s="3">
        <v>5</v>
      </c>
      <c r="R246" s="3" t="s">
        <v>2272</v>
      </c>
      <c r="S246" s="3" t="s">
        <v>2272</v>
      </c>
      <c r="T246" s="3" t="s">
        <v>2272</v>
      </c>
      <c r="U246" s="3" t="s">
        <v>2272</v>
      </c>
      <c r="V246" s="3" t="s">
        <v>2272</v>
      </c>
      <c r="W246" s="4" t="s">
        <v>1035</v>
      </c>
    </row>
    <row r="247" spans="1:23" ht="68.5" customHeight="1">
      <c r="A247" s="11" t="s">
        <v>1020</v>
      </c>
      <c r="B247" s="11" t="s">
        <v>1029</v>
      </c>
      <c r="C247" s="23" t="s">
        <v>23</v>
      </c>
      <c r="D247" s="23" t="s">
        <v>26</v>
      </c>
      <c r="E247" s="23" t="s">
        <v>128</v>
      </c>
      <c r="F247" s="19" t="s">
        <v>73</v>
      </c>
      <c r="G247" s="19"/>
      <c r="H247" s="4" t="s">
        <v>1028</v>
      </c>
      <c r="I247" s="3" t="s">
        <v>2272</v>
      </c>
      <c r="J247" s="3" t="s">
        <v>2272</v>
      </c>
      <c r="K247" s="3" t="s">
        <v>2272</v>
      </c>
      <c r="L247" s="3" t="s">
        <v>2272</v>
      </c>
      <c r="M247" s="3" t="s">
        <v>532</v>
      </c>
      <c r="N247" s="3" t="s">
        <v>532</v>
      </c>
      <c r="O247" s="3" t="s">
        <v>532</v>
      </c>
      <c r="P247" s="3" t="s">
        <v>532</v>
      </c>
      <c r="Q247" s="3">
        <v>5</v>
      </c>
      <c r="R247" s="3" t="s">
        <v>2272</v>
      </c>
      <c r="S247" s="3" t="s">
        <v>2272</v>
      </c>
      <c r="T247" s="3" t="s">
        <v>2272</v>
      </c>
      <c r="U247" s="3" t="s">
        <v>2272</v>
      </c>
      <c r="V247" s="3" t="s">
        <v>2272</v>
      </c>
      <c r="W247" s="4" t="s">
        <v>1036</v>
      </c>
    </row>
    <row r="248" spans="1:23" ht="68.5" customHeight="1">
      <c r="A248" s="11" t="s">
        <v>1020</v>
      </c>
      <c r="B248" s="11" t="s">
        <v>1031</v>
      </c>
      <c r="C248" s="23" t="s">
        <v>23</v>
      </c>
      <c r="D248" s="23" t="s">
        <v>26</v>
      </c>
      <c r="E248" s="23" t="s">
        <v>128</v>
      </c>
      <c r="F248" s="19" t="s">
        <v>159</v>
      </c>
      <c r="G248" s="19"/>
      <c r="H248" s="4" t="s">
        <v>539</v>
      </c>
      <c r="I248" s="3" t="s">
        <v>2272</v>
      </c>
      <c r="J248" s="3" t="s">
        <v>2272</v>
      </c>
      <c r="K248" s="3" t="s">
        <v>2272</v>
      </c>
      <c r="L248" s="3" t="s">
        <v>2272</v>
      </c>
      <c r="M248" s="3" t="s">
        <v>532</v>
      </c>
      <c r="N248" s="3" t="s">
        <v>532</v>
      </c>
      <c r="O248" s="3" t="s">
        <v>532</v>
      </c>
      <c r="P248" s="3" t="s">
        <v>2272</v>
      </c>
      <c r="Q248" s="3">
        <v>3</v>
      </c>
      <c r="R248" s="3" t="s">
        <v>2272</v>
      </c>
      <c r="S248" s="3" t="s">
        <v>2272</v>
      </c>
      <c r="T248" s="3" t="s">
        <v>2272</v>
      </c>
      <c r="U248" s="3" t="s">
        <v>2272</v>
      </c>
      <c r="V248" s="3" t="s">
        <v>2272</v>
      </c>
      <c r="W248" s="4" t="s">
        <v>1037</v>
      </c>
    </row>
    <row r="249" spans="1:23" ht="68.5" customHeight="1">
      <c r="A249" s="11" t="s">
        <v>1020</v>
      </c>
      <c r="B249" s="11" t="s">
        <v>1032</v>
      </c>
      <c r="C249" s="23" t="s">
        <v>23</v>
      </c>
      <c r="D249" s="23" t="s">
        <v>26</v>
      </c>
      <c r="E249" s="23" t="s">
        <v>128</v>
      </c>
      <c r="F249" s="19" t="s">
        <v>73</v>
      </c>
      <c r="G249" s="19"/>
      <c r="H249" s="4" t="s">
        <v>539</v>
      </c>
      <c r="I249" s="3" t="s">
        <v>2272</v>
      </c>
      <c r="J249" s="3" t="s">
        <v>2272</v>
      </c>
      <c r="K249" s="3" t="s">
        <v>2272</v>
      </c>
      <c r="L249" s="3" t="s">
        <v>2272</v>
      </c>
      <c r="M249" s="3" t="s">
        <v>532</v>
      </c>
      <c r="N249" s="3" t="s">
        <v>532</v>
      </c>
      <c r="O249" s="3" t="s">
        <v>532</v>
      </c>
      <c r="P249" s="3" t="s">
        <v>2272</v>
      </c>
      <c r="Q249" s="3">
        <v>3</v>
      </c>
      <c r="R249" s="3" t="s">
        <v>2272</v>
      </c>
      <c r="S249" s="3" t="s">
        <v>2272</v>
      </c>
      <c r="T249" s="3" t="s">
        <v>2272</v>
      </c>
      <c r="U249" s="3" t="s">
        <v>2272</v>
      </c>
      <c r="V249" s="3" t="s">
        <v>2272</v>
      </c>
      <c r="W249" s="4" t="s">
        <v>1037</v>
      </c>
    </row>
    <row r="250" spans="1:23" ht="61" customHeight="1">
      <c r="A250" s="11" t="s">
        <v>1021</v>
      </c>
      <c r="B250" s="11" t="s">
        <v>1026</v>
      </c>
      <c r="C250" s="23" t="s">
        <v>23</v>
      </c>
      <c r="D250" s="23" t="s">
        <v>26</v>
      </c>
      <c r="E250" s="23" t="s">
        <v>128</v>
      </c>
      <c r="F250" s="19" t="s">
        <v>159</v>
      </c>
      <c r="G250" s="19"/>
      <c r="H250" s="4" t="s">
        <v>1028</v>
      </c>
      <c r="I250" s="3" t="s">
        <v>2272</v>
      </c>
      <c r="J250" s="3" t="s">
        <v>2272</v>
      </c>
      <c r="K250" s="3" t="s">
        <v>2272</v>
      </c>
      <c r="L250" s="3" t="s">
        <v>2272</v>
      </c>
      <c r="M250" s="3" t="s">
        <v>532</v>
      </c>
      <c r="N250" s="3" t="s">
        <v>532</v>
      </c>
      <c r="O250" s="3" t="s">
        <v>532</v>
      </c>
      <c r="P250" s="3" t="s">
        <v>2272</v>
      </c>
      <c r="Q250" s="3">
        <v>5</v>
      </c>
      <c r="R250" s="3" t="s">
        <v>2272</v>
      </c>
      <c r="S250" s="3" t="s">
        <v>2272</v>
      </c>
      <c r="T250" s="3" t="s">
        <v>2272</v>
      </c>
      <c r="U250" s="3" t="s">
        <v>2272</v>
      </c>
      <c r="V250" s="3" t="s">
        <v>2272</v>
      </c>
      <c r="W250" s="4" t="s">
        <v>1035</v>
      </c>
    </row>
    <row r="251" spans="1:23" ht="62" customHeight="1">
      <c r="A251" s="11" t="s">
        <v>1021</v>
      </c>
      <c r="B251" s="11" t="s">
        <v>1030</v>
      </c>
      <c r="C251" s="23" t="s">
        <v>23</v>
      </c>
      <c r="D251" s="23" t="s">
        <v>26</v>
      </c>
      <c r="E251" s="23" t="s">
        <v>128</v>
      </c>
      <c r="F251" s="19" t="s">
        <v>73</v>
      </c>
      <c r="G251" s="19"/>
      <c r="H251" s="4" t="s">
        <v>1028</v>
      </c>
      <c r="I251" s="3" t="s">
        <v>2272</v>
      </c>
      <c r="J251" s="3" t="s">
        <v>2272</v>
      </c>
      <c r="K251" s="3" t="s">
        <v>2272</v>
      </c>
      <c r="L251" s="3" t="s">
        <v>2272</v>
      </c>
      <c r="M251" s="3" t="s">
        <v>532</v>
      </c>
      <c r="N251" s="3" t="s">
        <v>532</v>
      </c>
      <c r="O251" s="3" t="s">
        <v>532</v>
      </c>
      <c r="P251" s="3" t="s">
        <v>2272</v>
      </c>
      <c r="Q251" s="3">
        <v>5</v>
      </c>
      <c r="R251" s="3" t="s">
        <v>2272</v>
      </c>
      <c r="S251" s="3" t="s">
        <v>2272</v>
      </c>
      <c r="T251" s="3" t="s">
        <v>2272</v>
      </c>
      <c r="U251" s="3" t="s">
        <v>2272</v>
      </c>
      <c r="V251" s="3" t="s">
        <v>2272</v>
      </c>
      <c r="W251" s="4" t="s">
        <v>1036</v>
      </c>
    </row>
    <row r="252" spans="1:23" ht="74.5" customHeight="1">
      <c r="A252" s="11" t="s">
        <v>1021</v>
      </c>
      <c r="B252" s="11" t="s">
        <v>1033</v>
      </c>
      <c r="C252" s="23" t="s">
        <v>23</v>
      </c>
      <c r="D252" s="23" t="s">
        <v>26</v>
      </c>
      <c r="E252" s="23" t="s">
        <v>128</v>
      </c>
      <c r="F252" s="19" t="s">
        <v>159</v>
      </c>
      <c r="G252" s="19"/>
      <c r="H252" s="4" t="s">
        <v>539</v>
      </c>
      <c r="I252" s="3" t="s">
        <v>2272</v>
      </c>
      <c r="J252" s="3" t="s">
        <v>2272</v>
      </c>
      <c r="K252" s="3" t="s">
        <v>2272</v>
      </c>
      <c r="L252" s="3" t="s">
        <v>2272</v>
      </c>
      <c r="M252" s="3" t="s">
        <v>532</v>
      </c>
      <c r="N252" s="3" t="s">
        <v>532</v>
      </c>
      <c r="O252" s="3" t="s">
        <v>532</v>
      </c>
      <c r="P252" s="3" t="s">
        <v>2272</v>
      </c>
      <c r="Q252" s="3">
        <v>3</v>
      </c>
      <c r="R252" s="3" t="s">
        <v>2272</v>
      </c>
      <c r="S252" s="3" t="s">
        <v>2272</v>
      </c>
      <c r="T252" s="3" t="s">
        <v>2272</v>
      </c>
      <c r="U252" s="3" t="s">
        <v>2272</v>
      </c>
      <c r="V252" s="3" t="s">
        <v>2272</v>
      </c>
      <c r="W252" s="4" t="s">
        <v>1037</v>
      </c>
    </row>
    <row r="253" spans="1:23" ht="67" customHeight="1">
      <c r="A253" s="11" t="s">
        <v>1021</v>
      </c>
      <c r="B253" s="11" t="s">
        <v>1034</v>
      </c>
      <c r="C253" s="23" t="s">
        <v>23</v>
      </c>
      <c r="D253" s="23" t="s">
        <v>26</v>
      </c>
      <c r="E253" s="23" t="s">
        <v>128</v>
      </c>
      <c r="F253" s="19" t="s">
        <v>73</v>
      </c>
      <c r="G253" s="19"/>
      <c r="H253" s="4" t="s">
        <v>539</v>
      </c>
      <c r="I253" s="3" t="s">
        <v>2272</v>
      </c>
      <c r="J253" s="3" t="s">
        <v>2272</v>
      </c>
      <c r="K253" s="3" t="s">
        <v>2272</v>
      </c>
      <c r="L253" s="3" t="s">
        <v>2272</v>
      </c>
      <c r="M253" s="3" t="s">
        <v>532</v>
      </c>
      <c r="N253" s="3" t="s">
        <v>532</v>
      </c>
      <c r="O253" s="3" t="s">
        <v>532</v>
      </c>
      <c r="P253" s="3" t="s">
        <v>2272</v>
      </c>
      <c r="Q253" s="3">
        <v>3</v>
      </c>
      <c r="R253" s="3" t="s">
        <v>2272</v>
      </c>
      <c r="S253" s="3" t="s">
        <v>2272</v>
      </c>
      <c r="T253" s="3" t="s">
        <v>2272</v>
      </c>
      <c r="U253" s="3" t="s">
        <v>2272</v>
      </c>
      <c r="V253" s="3" t="s">
        <v>2272</v>
      </c>
      <c r="W253" s="4" t="s">
        <v>1037</v>
      </c>
    </row>
    <row r="254" spans="1:23" ht="73" customHeight="1">
      <c r="A254" s="3" t="s">
        <v>1038</v>
      </c>
      <c r="B254" s="3" t="s">
        <v>1055</v>
      </c>
      <c r="C254" s="23" t="s">
        <v>23</v>
      </c>
      <c r="D254" s="23" t="s">
        <v>26</v>
      </c>
      <c r="E254" s="23" t="s">
        <v>128</v>
      </c>
      <c r="F254" s="19" t="s">
        <v>159</v>
      </c>
      <c r="G254" s="19"/>
      <c r="H254" s="4" t="s">
        <v>539</v>
      </c>
      <c r="I254" s="3" t="s">
        <v>2685</v>
      </c>
      <c r="J254" s="3" t="s">
        <v>2272</v>
      </c>
      <c r="K254" s="3" t="s">
        <v>532</v>
      </c>
      <c r="L254" s="3" t="s">
        <v>2272</v>
      </c>
      <c r="M254" s="3" t="s">
        <v>2272</v>
      </c>
      <c r="N254" s="3" t="s">
        <v>2272</v>
      </c>
      <c r="O254" s="3" t="s">
        <v>2272</v>
      </c>
      <c r="P254" s="3" t="s">
        <v>2272</v>
      </c>
      <c r="Q254" s="3" t="s">
        <v>2272</v>
      </c>
      <c r="R254" s="3" t="s">
        <v>2272</v>
      </c>
      <c r="S254" s="3" t="s">
        <v>2272</v>
      </c>
      <c r="T254" s="3" t="s">
        <v>2272</v>
      </c>
      <c r="U254" s="3" t="s">
        <v>2272</v>
      </c>
      <c r="V254" s="3" t="s">
        <v>2272</v>
      </c>
      <c r="W254" s="4" t="s">
        <v>1063</v>
      </c>
    </row>
    <row r="255" spans="1:23" ht="95.5" customHeight="1">
      <c r="A255" s="3" t="s">
        <v>1041</v>
      </c>
      <c r="B255" s="3" t="s">
        <v>1056</v>
      </c>
      <c r="C255" s="23" t="s">
        <v>23</v>
      </c>
      <c r="D255" s="23" t="s">
        <v>26</v>
      </c>
      <c r="E255" s="23" t="s">
        <v>128</v>
      </c>
      <c r="F255" s="19" t="s">
        <v>159</v>
      </c>
      <c r="G255" s="19">
        <v>2005</v>
      </c>
      <c r="H255" s="4" t="s">
        <v>539</v>
      </c>
      <c r="I255" s="3" t="s">
        <v>2685</v>
      </c>
      <c r="J255" s="3" t="s">
        <v>532</v>
      </c>
      <c r="K255" s="3" t="s">
        <v>2272</v>
      </c>
      <c r="L255" s="3" t="s">
        <v>2272</v>
      </c>
      <c r="M255" s="3" t="s">
        <v>2272</v>
      </c>
      <c r="N255" s="3" t="s">
        <v>2272</v>
      </c>
      <c r="O255" s="3" t="s">
        <v>2272</v>
      </c>
      <c r="P255" s="3" t="s">
        <v>2272</v>
      </c>
      <c r="Q255" s="3" t="s">
        <v>2272</v>
      </c>
      <c r="R255" s="3" t="s">
        <v>532</v>
      </c>
      <c r="S255" s="3" t="s">
        <v>532</v>
      </c>
      <c r="T255" s="3" t="s">
        <v>532</v>
      </c>
      <c r="U255" s="3" t="s">
        <v>532</v>
      </c>
      <c r="V255" s="3">
        <v>5</v>
      </c>
      <c r="W255" s="4" t="s">
        <v>1064</v>
      </c>
    </row>
    <row r="256" spans="1:23" ht="95.5" customHeight="1">
      <c r="A256" s="3" t="s">
        <v>1041</v>
      </c>
      <c r="B256" s="3" t="s">
        <v>2243</v>
      </c>
      <c r="C256" s="23" t="s">
        <v>23</v>
      </c>
      <c r="D256" s="23" t="s">
        <v>26</v>
      </c>
      <c r="E256" s="23" t="s">
        <v>128</v>
      </c>
      <c r="F256" s="19" t="s">
        <v>159</v>
      </c>
      <c r="G256" s="19">
        <v>1990</v>
      </c>
      <c r="H256" s="4" t="s">
        <v>539</v>
      </c>
      <c r="I256" s="3" t="s">
        <v>2272</v>
      </c>
      <c r="J256" s="3" t="s">
        <v>2272</v>
      </c>
      <c r="K256" s="3" t="s">
        <v>2272</v>
      </c>
      <c r="L256" s="3" t="s">
        <v>2272</v>
      </c>
      <c r="M256" s="3" t="s">
        <v>532</v>
      </c>
      <c r="N256" s="3" t="s">
        <v>532</v>
      </c>
      <c r="O256" s="3" t="s">
        <v>532</v>
      </c>
      <c r="P256" s="3" t="s">
        <v>2272</v>
      </c>
      <c r="Q256" s="3" t="s">
        <v>2272</v>
      </c>
      <c r="R256" s="3" t="s">
        <v>2272</v>
      </c>
      <c r="S256" s="3" t="s">
        <v>2272</v>
      </c>
      <c r="T256" s="3" t="s">
        <v>2272</v>
      </c>
      <c r="U256" s="3" t="s">
        <v>2272</v>
      </c>
      <c r="V256" s="3" t="s">
        <v>2272</v>
      </c>
      <c r="W256" s="4" t="s">
        <v>2244</v>
      </c>
    </row>
    <row r="257" spans="1:23" ht="95.5" customHeight="1">
      <c r="A257" s="3" t="s">
        <v>1041</v>
      </c>
      <c r="B257" s="3" t="s">
        <v>2245</v>
      </c>
      <c r="C257" s="23" t="s">
        <v>23</v>
      </c>
      <c r="D257" s="23" t="s">
        <v>26</v>
      </c>
      <c r="E257" s="23" t="s">
        <v>128</v>
      </c>
      <c r="F257" s="19" t="s">
        <v>159</v>
      </c>
      <c r="G257" s="19">
        <v>1991</v>
      </c>
      <c r="H257" s="4" t="s">
        <v>539</v>
      </c>
      <c r="I257" s="3" t="s">
        <v>2272</v>
      </c>
      <c r="J257" s="3" t="s">
        <v>2272</v>
      </c>
      <c r="K257" s="3" t="s">
        <v>2272</v>
      </c>
      <c r="L257" s="3" t="s">
        <v>2272</v>
      </c>
      <c r="M257" s="3" t="s">
        <v>532</v>
      </c>
      <c r="N257" s="3" t="s">
        <v>532</v>
      </c>
      <c r="O257" s="3" t="s">
        <v>532</v>
      </c>
      <c r="P257" s="3" t="s">
        <v>2272</v>
      </c>
      <c r="Q257" s="3" t="s">
        <v>2272</v>
      </c>
      <c r="R257" s="3" t="s">
        <v>2272</v>
      </c>
      <c r="S257" s="3" t="s">
        <v>2272</v>
      </c>
      <c r="T257" s="3" t="s">
        <v>2272</v>
      </c>
      <c r="U257" s="3" t="s">
        <v>2272</v>
      </c>
      <c r="V257" s="3" t="s">
        <v>2272</v>
      </c>
      <c r="W257" s="4" t="s">
        <v>2244</v>
      </c>
    </row>
    <row r="258" spans="1:23" ht="95.5" customHeight="1">
      <c r="A258" s="3" t="s">
        <v>1041</v>
      </c>
      <c r="B258" s="3" t="s">
        <v>2246</v>
      </c>
      <c r="C258" s="23" t="s">
        <v>23</v>
      </c>
      <c r="D258" s="23" t="s">
        <v>26</v>
      </c>
      <c r="E258" s="23" t="s">
        <v>128</v>
      </c>
      <c r="F258" s="19" t="s">
        <v>159</v>
      </c>
      <c r="G258" s="19">
        <v>1992</v>
      </c>
      <c r="H258" s="4" t="s">
        <v>539</v>
      </c>
      <c r="I258" s="3" t="s">
        <v>2272</v>
      </c>
      <c r="J258" s="3" t="s">
        <v>2272</v>
      </c>
      <c r="K258" s="3" t="s">
        <v>2272</v>
      </c>
      <c r="L258" s="3" t="s">
        <v>2272</v>
      </c>
      <c r="M258" s="3" t="s">
        <v>532</v>
      </c>
      <c r="N258" s="3" t="s">
        <v>532</v>
      </c>
      <c r="O258" s="3" t="s">
        <v>532</v>
      </c>
      <c r="P258" s="3" t="s">
        <v>2272</v>
      </c>
      <c r="Q258" s="3" t="s">
        <v>2272</v>
      </c>
      <c r="R258" s="3" t="s">
        <v>2272</v>
      </c>
      <c r="S258" s="3" t="s">
        <v>2272</v>
      </c>
      <c r="T258" s="3" t="s">
        <v>2272</v>
      </c>
      <c r="U258" s="3" t="s">
        <v>2272</v>
      </c>
      <c r="V258" s="3" t="s">
        <v>2272</v>
      </c>
      <c r="W258" s="4" t="s">
        <v>2244</v>
      </c>
    </row>
    <row r="259" spans="1:23" ht="95.5" customHeight="1">
      <c r="A259" s="3" t="s">
        <v>1041</v>
      </c>
      <c r="B259" s="3" t="s">
        <v>2247</v>
      </c>
      <c r="C259" s="23" t="s">
        <v>23</v>
      </c>
      <c r="D259" s="23" t="s">
        <v>26</v>
      </c>
      <c r="E259" s="23" t="s">
        <v>128</v>
      </c>
      <c r="F259" s="19" t="s">
        <v>159</v>
      </c>
      <c r="G259" s="19">
        <v>1993</v>
      </c>
      <c r="H259" s="4" t="s">
        <v>539</v>
      </c>
      <c r="I259" s="3" t="s">
        <v>2272</v>
      </c>
      <c r="J259" s="3" t="s">
        <v>2272</v>
      </c>
      <c r="K259" s="3" t="s">
        <v>2272</v>
      </c>
      <c r="L259" s="3" t="s">
        <v>2272</v>
      </c>
      <c r="M259" s="3" t="s">
        <v>532</v>
      </c>
      <c r="N259" s="3" t="s">
        <v>532</v>
      </c>
      <c r="O259" s="3" t="s">
        <v>532</v>
      </c>
      <c r="P259" s="3" t="s">
        <v>2272</v>
      </c>
      <c r="Q259" s="3" t="s">
        <v>2272</v>
      </c>
      <c r="R259" s="3" t="s">
        <v>2272</v>
      </c>
      <c r="S259" s="3" t="s">
        <v>2272</v>
      </c>
      <c r="T259" s="3" t="s">
        <v>2272</v>
      </c>
      <c r="U259" s="3" t="s">
        <v>2272</v>
      </c>
      <c r="V259" s="3" t="s">
        <v>2272</v>
      </c>
      <c r="W259" s="4" t="s">
        <v>2244</v>
      </c>
    </row>
    <row r="260" spans="1:23" ht="95.5" customHeight="1">
      <c r="A260" s="3" t="s">
        <v>1041</v>
      </c>
      <c r="B260" s="3" t="s">
        <v>2248</v>
      </c>
      <c r="C260" s="23" t="s">
        <v>23</v>
      </c>
      <c r="D260" s="23" t="s">
        <v>26</v>
      </c>
      <c r="E260" s="23" t="s">
        <v>128</v>
      </c>
      <c r="F260" s="19" t="s">
        <v>159</v>
      </c>
      <c r="G260" s="19">
        <v>1994</v>
      </c>
      <c r="H260" s="4" t="s">
        <v>539</v>
      </c>
      <c r="I260" s="3" t="s">
        <v>2272</v>
      </c>
      <c r="J260" s="3" t="s">
        <v>2272</v>
      </c>
      <c r="K260" s="3" t="s">
        <v>2272</v>
      </c>
      <c r="L260" s="3" t="s">
        <v>2272</v>
      </c>
      <c r="M260" s="3" t="s">
        <v>532</v>
      </c>
      <c r="N260" s="3" t="s">
        <v>532</v>
      </c>
      <c r="O260" s="3" t="s">
        <v>532</v>
      </c>
      <c r="P260" s="3" t="s">
        <v>2272</v>
      </c>
      <c r="Q260" s="3" t="s">
        <v>2272</v>
      </c>
      <c r="R260" s="3" t="s">
        <v>2272</v>
      </c>
      <c r="S260" s="3" t="s">
        <v>2272</v>
      </c>
      <c r="T260" s="3" t="s">
        <v>2272</v>
      </c>
      <c r="U260" s="3" t="s">
        <v>2272</v>
      </c>
      <c r="V260" s="3" t="s">
        <v>2272</v>
      </c>
      <c r="W260" s="4" t="s">
        <v>2244</v>
      </c>
    </row>
    <row r="261" spans="1:23" ht="95.5" customHeight="1">
      <c r="A261" s="3" t="s">
        <v>1041</v>
      </c>
      <c r="B261" s="3" t="s">
        <v>2249</v>
      </c>
      <c r="C261" s="23" t="s">
        <v>23</v>
      </c>
      <c r="D261" s="23" t="s">
        <v>26</v>
      </c>
      <c r="E261" s="23" t="s">
        <v>128</v>
      </c>
      <c r="F261" s="19" t="s">
        <v>159</v>
      </c>
      <c r="G261" s="19">
        <v>1995</v>
      </c>
      <c r="H261" s="4" t="s">
        <v>539</v>
      </c>
      <c r="I261" s="3" t="s">
        <v>2272</v>
      </c>
      <c r="J261" s="3" t="s">
        <v>2272</v>
      </c>
      <c r="K261" s="3" t="s">
        <v>2272</v>
      </c>
      <c r="L261" s="3" t="s">
        <v>2272</v>
      </c>
      <c r="M261" s="3" t="s">
        <v>532</v>
      </c>
      <c r="N261" s="3" t="s">
        <v>532</v>
      </c>
      <c r="O261" s="3" t="s">
        <v>532</v>
      </c>
      <c r="P261" s="3" t="s">
        <v>2272</v>
      </c>
      <c r="Q261" s="3" t="s">
        <v>2272</v>
      </c>
      <c r="R261" s="3" t="s">
        <v>2272</v>
      </c>
      <c r="S261" s="3" t="s">
        <v>2272</v>
      </c>
      <c r="T261" s="3" t="s">
        <v>2272</v>
      </c>
      <c r="U261" s="3" t="s">
        <v>2272</v>
      </c>
      <c r="V261" s="3" t="s">
        <v>2272</v>
      </c>
      <c r="W261" s="4" t="s">
        <v>2244</v>
      </c>
    </row>
    <row r="262" spans="1:23" ht="95.5" customHeight="1">
      <c r="A262" s="3" t="s">
        <v>1041</v>
      </c>
      <c r="B262" s="3" t="s">
        <v>2250</v>
      </c>
      <c r="C262" s="23" t="s">
        <v>23</v>
      </c>
      <c r="D262" s="23" t="s">
        <v>26</v>
      </c>
      <c r="E262" s="23" t="s">
        <v>128</v>
      </c>
      <c r="F262" s="19" t="s">
        <v>159</v>
      </c>
      <c r="G262" s="19">
        <v>1996</v>
      </c>
      <c r="H262" s="4" t="s">
        <v>539</v>
      </c>
      <c r="I262" s="3" t="s">
        <v>2272</v>
      </c>
      <c r="J262" s="3" t="s">
        <v>2272</v>
      </c>
      <c r="K262" s="3" t="s">
        <v>2272</v>
      </c>
      <c r="L262" s="3" t="s">
        <v>2272</v>
      </c>
      <c r="M262" s="3" t="s">
        <v>532</v>
      </c>
      <c r="N262" s="3" t="s">
        <v>532</v>
      </c>
      <c r="O262" s="3" t="s">
        <v>532</v>
      </c>
      <c r="P262" s="3" t="s">
        <v>2272</v>
      </c>
      <c r="Q262" s="3" t="s">
        <v>2272</v>
      </c>
      <c r="R262" s="3" t="s">
        <v>2272</v>
      </c>
      <c r="S262" s="3" t="s">
        <v>2272</v>
      </c>
      <c r="T262" s="3" t="s">
        <v>2272</v>
      </c>
      <c r="U262" s="3" t="s">
        <v>2272</v>
      </c>
      <c r="V262" s="3" t="s">
        <v>2272</v>
      </c>
      <c r="W262" s="4" t="s">
        <v>2244</v>
      </c>
    </row>
    <row r="263" spans="1:23" ht="95.5" customHeight="1">
      <c r="A263" s="3" t="s">
        <v>1041</v>
      </c>
      <c r="B263" s="3" t="s">
        <v>2251</v>
      </c>
      <c r="C263" s="23" t="s">
        <v>23</v>
      </c>
      <c r="D263" s="23" t="s">
        <v>26</v>
      </c>
      <c r="E263" s="23" t="s">
        <v>128</v>
      </c>
      <c r="F263" s="19" t="s">
        <v>159</v>
      </c>
      <c r="G263" s="19">
        <v>1997</v>
      </c>
      <c r="H263" s="4" t="s">
        <v>539</v>
      </c>
      <c r="I263" s="3" t="s">
        <v>2272</v>
      </c>
      <c r="J263" s="3" t="s">
        <v>2272</v>
      </c>
      <c r="K263" s="3" t="s">
        <v>2272</v>
      </c>
      <c r="L263" s="3" t="s">
        <v>2272</v>
      </c>
      <c r="M263" s="3" t="s">
        <v>532</v>
      </c>
      <c r="N263" s="3" t="s">
        <v>532</v>
      </c>
      <c r="O263" s="3" t="s">
        <v>532</v>
      </c>
      <c r="P263" s="3" t="s">
        <v>2272</v>
      </c>
      <c r="Q263" s="3" t="s">
        <v>2272</v>
      </c>
      <c r="R263" s="3" t="s">
        <v>2272</v>
      </c>
      <c r="S263" s="3" t="s">
        <v>2272</v>
      </c>
      <c r="T263" s="3" t="s">
        <v>2272</v>
      </c>
      <c r="U263" s="3" t="s">
        <v>2272</v>
      </c>
      <c r="V263" s="3" t="s">
        <v>2272</v>
      </c>
      <c r="W263" s="4" t="s">
        <v>2244</v>
      </c>
    </row>
    <row r="264" spans="1:23" ht="95.5" customHeight="1">
      <c r="A264" s="3" t="s">
        <v>1041</v>
      </c>
      <c r="B264" s="3" t="s">
        <v>2252</v>
      </c>
      <c r="C264" s="23" t="s">
        <v>23</v>
      </c>
      <c r="D264" s="23" t="s">
        <v>26</v>
      </c>
      <c r="E264" s="23" t="s">
        <v>128</v>
      </c>
      <c r="F264" s="19" t="s">
        <v>159</v>
      </c>
      <c r="G264" s="19">
        <v>1998</v>
      </c>
      <c r="H264" s="4" t="s">
        <v>539</v>
      </c>
      <c r="I264" s="3" t="s">
        <v>2272</v>
      </c>
      <c r="J264" s="3" t="s">
        <v>2272</v>
      </c>
      <c r="K264" s="3" t="s">
        <v>2272</v>
      </c>
      <c r="L264" s="3" t="s">
        <v>2272</v>
      </c>
      <c r="M264" s="3" t="s">
        <v>532</v>
      </c>
      <c r="N264" s="3" t="s">
        <v>532</v>
      </c>
      <c r="O264" s="3" t="s">
        <v>532</v>
      </c>
      <c r="P264" s="3" t="s">
        <v>2272</v>
      </c>
      <c r="Q264" s="3" t="s">
        <v>2272</v>
      </c>
      <c r="R264" s="3" t="s">
        <v>2272</v>
      </c>
      <c r="S264" s="3" t="s">
        <v>2272</v>
      </c>
      <c r="T264" s="3" t="s">
        <v>2272</v>
      </c>
      <c r="U264" s="3" t="s">
        <v>2272</v>
      </c>
      <c r="V264" s="3" t="s">
        <v>2272</v>
      </c>
      <c r="W264" s="4" t="s">
        <v>2244</v>
      </c>
    </row>
    <row r="265" spans="1:23" ht="95.5" customHeight="1">
      <c r="A265" s="3" t="s">
        <v>1041</v>
      </c>
      <c r="B265" s="3" t="s">
        <v>2253</v>
      </c>
      <c r="C265" s="23" t="s">
        <v>23</v>
      </c>
      <c r="D265" s="23" t="s">
        <v>26</v>
      </c>
      <c r="E265" s="23" t="s">
        <v>128</v>
      </c>
      <c r="F265" s="19" t="s">
        <v>159</v>
      </c>
      <c r="G265" s="19">
        <v>1999</v>
      </c>
      <c r="H265" s="4" t="s">
        <v>539</v>
      </c>
      <c r="I265" s="3" t="s">
        <v>2272</v>
      </c>
      <c r="J265" s="3" t="s">
        <v>2272</v>
      </c>
      <c r="K265" s="3" t="s">
        <v>2272</v>
      </c>
      <c r="L265" s="3" t="s">
        <v>2272</v>
      </c>
      <c r="M265" s="3" t="s">
        <v>532</v>
      </c>
      <c r="N265" s="3" t="s">
        <v>532</v>
      </c>
      <c r="O265" s="3" t="s">
        <v>532</v>
      </c>
      <c r="P265" s="3" t="s">
        <v>2272</v>
      </c>
      <c r="Q265" s="3" t="s">
        <v>2272</v>
      </c>
      <c r="R265" s="3" t="s">
        <v>2272</v>
      </c>
      <c r="S265" s="3" t="s">
        <v>2272</v>
      </c>
      <c r="T265" s="3" t="s">
        <v>2272</v>
      </c>
      <c r="U265" s="3" t="s">
        <v>2272</v>
      </c>
      <c r="V265" s="3" t="s">
        <v>2272</v>
      </c>
      <c r="W265" s="4" t="s">
        <v>2244</v>
      </c>
    </row>
    <row r="266" spans="1:23" ht="152.5" customHeight="1">
      <c r="A266" s="3" t="s">
        <v>1042</v>
      </c>
      <c r="B266" s="3" t="s">
        <v>1057</v>
      </c>
      <c r="C266" s="23" t="s">
        <v>23</v>
      </c>
      <c r="D266" s="23" t="s">
        <v>26</v>
      </c>
      <c r="E266" s="23" t="s">
        <v>128</v>
      </c>
      <c r="F266" s="19" t="s">
        <v>159</v>
      </c>
      <c r="G266" s="19"/>
      <c r="H266" s="4" t="s">
        <v>539</v>
      </c>
      <c r="I266" s="3" t="s">
        <v>2272</v>
      </c>
      <c r="J266" s="3" t="s">
        <v>2272</v>
      </c>
      <c r="K266" s="3" t="s">
        <v>2272</v>
      </c>
      <c r="L266" s="3" t="s">
        <v>2272</v>
      </c>
      <c r="M266" s="3" t="s">
        <v>2272</v>
      </c>
      <c r="N266" s="3" t="s">
        <v>2272</v>
      </c>
      <c r="O266" s="3" t="s">
        <v>2272</v>
      </c>
      <c r="P266" s="3" t="s">
        <v>2272</v>
      </c>
      <c r="Q266" s="3" t="s">
        <v>2272</v>
      </c>
      <c r="R266" s="3" t="s">
        <v>532</v>
      </c>
      <c r="S266" s="3" t="s">
        <v>532</v>
      </c>
      <c r="T266" s="3" t="s">
        <v>532</v>
      </c>
      <c r="U266" s="3" t="s">
        <v>2272</v>
      </c>
      <c r="V266" s="3">
        <v>1</v>
      </c>
      <c r="W266" s="4" t="s">
        <v>1065</v>
      </c>
    </row>
    <row r="267" spans="1:23" ht="112.5" customHeight="1">
      <c r="A267" s="3" t="s">
        <v>1043</v>
      </c>
      <c r="B267" s="3" t="s">
        <v>1058</v>
      </c>
      <c r="C267" s="23" t="s">
        <v>23</v>
      </c>
      <c r="D267" s="23" t="s">
        <v>26</v>
      </c>
      <c r="E267" s="23" t="s">
        <v>128</v>
      </c>
      <c r="F267" s="19" t="s">
        <v>159</v>
      </c>
      <c r="G267" s="19"/>
      <c r="H267" s="4" t="s">
        <v>1066</v>
      </c>
      <c r="I267" s="3" t="s">
        <v>532</v>
      </c>
      <c r="J267" s="3" t="s">
        <v>532</v>
      </c>
      <c r="K267" s="3" t="s">
        <v>2272</v>
      </c>
      <c r="L267" s="3" t="s">
        <v>2272</v>
      </c>
      <c r="M267" s="3" t="s">
        <v>2272</v>
      </c>
      <c r="N267" s="3" t="s">
        <v>2272</v>
      </c>
      <c r="O267" s="3" t="s">
        <v>2272</v>
      </c>
      <c r="P267" s="3" t="s">
        <v>2272</v>
      </c>
      <c r="Q267" s="3" t="s">
        <v>2272</v>
      </c>
      <c r="R267" s="3" t="s">
        <v>2272</v>
      </c>
      <c r="S267" s="3" t="s">
        <v>2272</v>
      </c>
      <c r="T267" s="3" t="s">
        <v>2272</v>
      </c>
      <c r="U267" s="3" t="s">
        <v>2272</v>
      </c>
      <c r="V267" s="3" t="s">
        <v>2272</v>
      </c>
      <c r="W267" s="4" t="s">
        <v>1067</v>
      </c>
    </row>
    <row r="268" spans="1:23" ht="126" customHeight="1">
      <c r="A268" s="3" t="s">
        <v>1044</v>
      </c>
      <c r="B268" s="3" t="s">
        <v>1059</v>
      </c>
      <c r="C268" s="23" t="s">
        <v>23</v>
      </c>
      <c r="D268" s="23" t="s">
        <v>26</v>
      </c>
      <c r="E268" s="23" t="s">
        <v>128</v>
      </c>
      <c r="F268" s="19" t="s">
        <v>159</v>
      </c>
      <c r="G268" s="19">
        <v>1990</v>
      </c>
      <c r="H268" s="4" t="s">
        <v>1066</v>
      </c>
      <c r="I268" s="3" t="s">
        <v>532</v>
      </c>
      <c r="J268" s="3" t="s">
        <v>532</v>
      </c>
      <c r="K268" s="3" t="s">
        <v>2272</v>
      </c>
      <c r="L268" s="3" t="s">
        <v>2272</v>
      </c>
      <c r="M268" s="3" t="s">
        <v>2272</v>
      </c>
      <c r="N268" s="3" t="s">
        <v>2272</v>
      </c>
      <c r="O268" s="3" t="s">
        <v>2272</v>
      </c>
      <c r="P268" s="3" t="s">
        <v>2272</v>
      </c>
      <c r="Q268" s="3" t="s">
        <v>2272</v>
      </c>
      <c r="R268" s="3" t="s">
        <v>2272</v>
      </c>
      <c r="S268" s="3" t="s">
        <v>2272</v>
      </c>
      <c r="T268" s="3" t="s">
        <v>2272</v>
      </c>
      <c r="U268" s="3" t="s">
        <v>2272</v>
      </c>
      <c r="V268" s="3" t="s">
        <v>2272</v>
      </c>
      <c r="W268" s="4" t="s">
        <v>2255</v>
      </c>
    </row>
    <row r="269" spans="1:23" ht="126" customHeight="1">
      <c r="A269" s="3" t="s">
        <v>1044</v>
      </c>
      <c r="B269" s="3" t="s">
        <v>1061</v>
      </c>
      <c r="C269" s="23" t="s">
        <v>23</v>
      </c>
      <c r="D269" s="23" t="s">
        <v>26</v>
      </c>
      <c r="E269" s="23" t="s">
        <v>128</v>
      </c>
      <c r="F269" s="19" t="s">
        <v>159</v>
      </c>
      <c r="G269" s="19">
        <v>2004</v>
      </c>
      <c r="H269" s="4" t="s">
        <v>1066</v>
      </c>
      <c r="I269" s="3" t="s">
        <v>535</v>
      </c>
      <c r="J269" s="3" t="s">
        <v>535</v>
      </c>
      <c r="K269" s="3" t="s">
        <v>2272</v>
      </c>
      <c r="L269" s="3" t="s">
        <v>2272</v>
      </c>
      <c r="M269" s="3" t="s">
        <v>2272</v>
      </c>
      <c r="N269" s="3" t="s">
        <v>2272</v>
      </c>
      <c r="O269" s="3" t="s">
        <v>2272</v>
      </c>
      <c r="P269" s="3" t="s">
        <v>2272</v>
      </c>
      <c r="Q269" s="3" t="s">
        <v>2272</v>
      </c>
      <c r="R269" s="3" t="s">
        <v>2272</v>
      </c>
      <c r="S269" s="3" t="s">
        <v>2272</v>
      </c>
      <c r="T269" s="3" t="s">
        <v>2272</v>
      </c>
      <c r="U269" s="3" t="s">
        <v>2272</v>
      </c>
      <c r="V269" s="3" t="s">
        <v>2272</v>
      </c>
      <c r="W269" s="4" t="s">
        <v>2256</v>
      </c>
    </row>
    <row r="270" spans="1:23" ht="74.5" customHeight="1">
      <c r="A270" s="3" t="s">
        <v>1044</v>
      </c>
      <c r="B270" s="3" t="s">
        <v>1061</v>
      </c>
      <c r="C270" s="23" t="s">
        <v>23</v>
      </c>
      <c r="D270" s="23" t="s">
        <v>26</v>
      </c>
      <c r="E270" s="23" t="s">
        <v>128</v>
      </c>
      <c r="F270" s="23" t="s">
        <v>73</v>
      </c>
      <c r="G270" s="23"/>
      <c r="H270" s="4" t="s">
        <v>539</v>
      </c>
      <c r="I270" s="3" t="s">
        <v>2272</v>
      </c>
      <c r="J270" s="3" t="s">
        <v>2272</v>
      </c>
      <c r="K270" s="3" t="s">
        <v>2272</v>
      </c>
      <c r="L270" s="3" t="s">
        <v>2272</v>
      </c>
      <c r="M270" s="3" t="s">
        <v>532</v>
      </c>
      <c r="N270" s="3" t="s">
        <v>532</v>
      </c>
      <c r="O270" s="3" t="s">
        <v>2272</v>
      </c>
      <c r="P270" s="3" t="s">
        <v>2272</v>
      </c>
      <c r="Q270" s="3">
        <v>2</v>
      </c>
      <c r="R270" s="3" t="s">
        <v>2272</v>
      </c>
      <c r="S270" s="3" t="s">
        <v>2272</v>
      </c>
      <c r="T270" s="3" t="s">
        <v>2272</v>
      </c>
      <c r="U270" s="3" t="s">
        <v>2272</v>
      </c>
      <c r="V270" s="3" t="s">
        <v>2272</v>
      </c>
      <c r="W270" s="4" t="s">
        <v>1062</v>
      </c>
    </row>
    <row r="271" spans="1:23" ht="265" customHeight="1">
      <c r="A271" s="11" t="s">
        <v>1051</v>
      </c>
      <c r="B271" s="3" t="s">
        <v>1060</v>
      </c>
      <c r="C271" s="23" t="s">
        <v>23</v>
      </c>
      <c r="D271" s="23" t="s">
        <v>141</v>
      </c>
      <c r="E271" s="26" t="s">
        <v>394</v>
      </c>
      <c r="F271" s="23" t="s">
        <v>73</v>
      </c>
      <c r="G271" s="23"/>
      <c r="H271" s="4" t="s">
        <v>539</v>
      </c>
      <c r="I271" s="3" t="s">
        <v>2686</v>
      </c>
      <c r="J271" s="3" t="s">
        <v>532</v>
      </c>
      <c r="K271" s="3" t="s">
        <v>2272</v>
      </c>
      <c r="L271" s="3" t="s">
        <v>2272</v>
      </c>
      <c r="M271" s="3" t="s">
        <v>2272</v>
      </c>
      <c r="N271" s="3" t="s">
        <v>2272</v>
      </c>
      <c r="O271" s="3" t="s">
        <v>2272</v>
      </c>
      <c r="P271" s="3" t="s">
        <v>2272</v>
      </c>
      <c r="Q271" s="3" t="s">
        <v>2272</v>
      </c>
      <c r="R271" s="3" t="s">
        <v>2272</v>
      </c>
      <c r="S271" s="3" t="s">
        <v>2272</v>
      </c>
      <c r="T271" s="3" t="s">
        <v>2272</v>
      </c>
      <c r="U271" s="3" t="s">
        <v>2272</v>
      </c>
      <c r="V271" s="3" t="s">
        <v>2272</v>
      </c>
      <c r="W271" s="4" t="s">
        <v>2285</v>
      </c>
    </row>
    <row r="272" spans="1:23" ht="247.5" customHeight="1">
      <c r="A272" s="11" t="s">
        <v>1051</v>
      </c>
      <c r="B272" s="3" t="s">
        <v>5003</v>
      </c>
      <c r="C272" s="23" t="s">
        <v>23</v>
      </c>
      <c r="D272" s="23" t="s">
        <v>141</v>
      </c>
      <c r="E272" s="26" t="s">
        <v>2642</v>
      </c>
      <c r="F272" s="23" t="s">
        <v>73</v>
      </c>
      <c r="G272" s="23"/>
      <c r="H272" s="4" t="s">
        <v>539</v>
      </c>
      <c r="I272" s="3" t="s">
        <v>2686</v>
      </c>
      <c r="J272" s="3" t="s">
        <v>532</v>
      </c>
      <c r="K272" s="3" t="s">
        <v>2272</v>
      </c>
      <c r="L272" s="3" t="s">
        <v>2272</v>
      </c>
      <c r="M272" s="3" t="s">
        <v>2272</v>
      </c>
      <c r="N272" s="3" t="s">
        <v>2272</v>
      </c>
      <c r="O272" s="3" t="s">
        <v>2272</v>
      </c>
      <c r="P272" s="3" t="s">
        <v>2272</v>
      </c>
      <c r="Q272" s="3" t="s">
        <v>2272</v>
      </c>
      <c r="R272" s="3" t="s">
        <v>2272</v>
      </c>
      <c r="S272" s="3" t="s">
        <v>2272</v>
      </c>
      <c r="T272" s="3" t="s">
        <v>2272</v>
      </c>
      <c r="U272" s="3" t="s">
        <v>2272</v>
      </c>
      <c r="V272" s="3" t="s">
        <v>2272</v>
      </c>
      <c r="W272" s="4" t="s">
        <v>2285</v>
      </c>
    </row>
    <row r="273" spans="1:23" ht="53.5" customHeight="1">
      <c r="A273" s="11" t="s">
        <v>1068</v>
      </c>
      <c r="B273" s="11" t="s">
        <v>1073</v>
      </c>
      <c r="C273" s="23" t="s">
        <v>23</v>
      </c>
      <c r="D273" s="23" t="s">
        <v>26</v>
      </c>
      <c r="E273" s="88" t="s">
        <v>1102</v>
      </c>
      <c r="F273" s="23" t="s">
        <v>73</v>
      </c>
      <c r="G273" s="23"/>
      <c r="H273" s="4" t="s">
        <v>539</v>
      </c>
      <c r="I273" s="3" t="s">
        <v>2685</v>
      </c>
      <c r="J273" s="3" t="s">
        <v>2272</v>
      </c>
      <c r="K273" s="3" t="s">
        <v>532</v>
      </c>
      <c r="L273" s="3" t="s">
        <v>2272</v>
      </c>
      <c r="M273" s="3" t="s">
        <v>2272</v>
      </c>
      <c r="N273" s="3" t="s">
        <v>2272</v>
      </c>
      <c r="O273" s="3" t="s">
        <v>2272</v>
      </c>
      <c r="P273" s="3" t="s">
        <v>2272</v>
      </c>
      <c r="Q273" s="3" t="s">
        <v>2272</v>
      </c>
      <c r="R273" s="3" t="s">
        <v>532</v>
      </c>
      <c r="S273" s="3" t="s">
        <v>2272</v>
      </c>
      <c r="T273" s="3" t="s">
        <v>532</v>
      </c>
      <c r="U273" s="3" t="s">
        <v>532</v>
      </c>
      <c r="V273" s="3">
        <v>4</v>
      </c>
      <c r="W273" s="4" t="s">
        <v>1218</v>
      </c>
    </row>
    <row r="274" spans="1:23" ht="50" customHeight="1">
      <c r="A274" s="11" t="s">
        <v>1068</v>
      </c>
      <c r="B274" s="11" t="s">
        <v>1075</v>
      </c>
      <c r="C274" s="23" t="s">
        <v>23</v>
      </c>
      <c r="D274" s="23" t="s">
        <v>26</v>
      </c>
      <c r="E274" s="88" t="s">
        <v>128</v>
      </c>
      <c r="F274" s="23" t="s">
        <v>159</v>
      </c>
      <c r="G274" s="23"/>
      <c r="H274" s="4" t="s">
        <v>539</v>
      </c>
      <c r="I274" s="3" t="s">
        <v>2685</v>
      </c>
      <c r="J274" s="3" t="s">
        <v>532</v>
      </c>
      <c r="K274" s="3" t="s">
        <v>532</v>
      </c>
      <c r="L274" s="3" t="s">
        <v>2272</v>
      </c>
      <c r="M274" s="3" t="s">
        <v>2272</v>
      </c>
      <c r="N274" s="3" t="s">
        <v>2272</v>
      </c>
      <c r="O274" s="3" t="s">
        <v>2272</v>
      </c>
      <c r="P274" s="3" t="s">
        <v>2272</v>
      </c>
      <c r="Q274" s="3" t="s">
        <v>2272</v>
      </c>
      <c r="R274" s="3" t="s">
        <v>532</v>
      </c>
      <c r="S274" s="3" t="s">
        <v>2272</v>
      </c>
      <c r="T274" s="3" t="s">
        <v>532</v>
      </c>
      <c r="U274" s="3" t="s">
        <v>532</v>
      </c>
      <c r="V274" s="3">
        <v>4</v>
      </c>
      <c r="W274" s="4" t="s">
        <v>2287</v>
      </c>
    </row>
    <row r="275" spans="1:23" ht="56.5" customHeight="1">
      <c r="A275" s="11" t="s">
        <v>1068</v>
      </c>
      <c r="B275" s="11" t="s">
        <v>1077</v>
      </c>
      <c r="C275" s="23" t="s">
        <v>23</v>
      </c>
      <c r="D275" s="23" t="s">
        <v>141</v>
      </c>
      <c r="E275" s="88" t="s">
        <v>1102</v>
      </c>
      <c r="F275" s="23" t="s">
        <v>73</v>
      </c>
      <c r="G275" s="23"/>
      <c r="H275" s="4" t="s">
        <v>539</v>
      </c>
      <c r="I275" s="3" t="s">
        <v>2685</v>
      </c>
      <c r="J275" s="3" t="s">
        <v>2272</v>
      </c>
      <c r="K275" s="3" t="s">
        <v>532</v>
      </c>
      <c r="L275" s="3" t="s">
        <v>2272</v>
      </c>
      <c r="M275" s="3" t="s">
        <v>2272</v>
      </c>
      <c r="N275" s="3" t="s">
        <v>2272</v>
      </c>
      <c r="O275" s="3" t="s">
        <v>2272</v>
      </c>
      <c r="P275" s="3" t="s">
        <v>2272</v>
      </c>
      <c r="Q275" s="3" t="s">
        <v>2272</v>
      </c>
      <c r="R275" s="3" t="s">
        <v>532</v>
      </c>
      <c r="S275" s="3" t="s">
        <v>2272</v>
      </c>
      <c r="T275" s="3" t="s">
        <v>532</v>
      </c>
      <c r="U275" s="3" t="s">
        <v>532</v>
      </c>
      <c r="V275" s="3">
        <v>4</v>
      </c>
      <c r="W275" s="4" t="s">
        <v>1218</v>
      </c>
    </row>
    <row r="276" spans="1:23" ht="53.5" customHeight="1">
      <c r="A276" s="11" t="s">
        <v>1072</v>
      </c>
      <c r="B276" s="11" t="s">
        <v>1074</v>
      </c>
      <c r="C276" s="23" t="s">
        <v>23</v>
      </c>
      <c r="D276" s="23" t="s">
        <v>26</v>
      </c>
      <c r="E276" s="88" t="s">
        <v>128</v>
      </c>
      <c r="F276" s="23" t="s">
        <v>159</v>
      </c>
      <c r="G276" s="23"/>
      <c r="H276" s="4" t="s">
        <v>539</v>
      </c>
      <c r="I276" s="3" t="s">
        <v>2685</v>
      </c>
      <c r="J276" s="3" t="s">
        <v>532</v>
      </c>
      <c r="K276" s="3" t="s">
        <v>2272</v>
      </c>
      <c r="L276" s="3" t="s">
        <v>2272</v>
      </c>
      <c r="M276" s="3" t="s">
        <v>2272</v>
      </c>
      <c r="N276" s="3" t="s">
        <v>2272</v>
      </c>
      <c r="O276" s="3" t="s">
        <v>2272</v>
      </c>
      <c r="P276" s="3" t="s">
        <v>2272</v>
      </c>
      <c r="Q276" s="3" t="s">
        <v>2272</v>
      </c>
      <c r="R276" s="3" t="s">
        <v>2272</v>
      </c>
      <c r="S276" s="3" t="s">
        <v>2272</v>
      </c>
      <c r="T276" s="3" t="s">
        <v>2272</v>
      </c>
      <c r="U276" s="3" t="s">
        <v>2272</v>
      </c>
      <c r="V276" s="3" t="s">
        <v>2272</v>
      </c>
      <c r="W276" s="4" t="s">
        <v>2287</v>
      </c>
    </row>
    <row r="277" spans="1:23" ht="39.5" customHeight="1">
      <c r="A277" s="11" t="s">
        <v>1082</v>
      </c>
      <c r="B277" s="11" t="s">
        <v>1084</v>
      </c>
      <c r="C277" s="23" t="s">
        <v>23</v>
      </c>
      <c r="D277" s="23" t="s">
        <v>26</v>
      </c>
      <c r="E277" s="88" t="s">
        <v>128</v>
      </c>
      <c r="F277" s="23" t="s">
        <v>159</v>
      </c>
      <c r="G277" s="3">
        <v>1975</v>
      </c>
      <c r="H277" s="19" t="s">
        <v>539</v>
      </c>
      <c r="I277" s="3" t="s">
        <v>2272</v>
      </c>
      <c r="J277" s="3" t="s">
        <v>2272</v>
      </c>
      <c r="K277" s="3" t="s">
        <v>2272</v>
      </c>
      <c r="L277" s="3" t="s">
        <v>2272</v>
      </c>
      <c r="M277" s="3" t="s">
        <v>2272</v>
      </c>
      <c r="N277" s="3" t="s">
        <v>2272</v>
      </c>
      <c r="O277" s="3" t="s">
        <v>2272</v>
      </c>
      <c r="P277" s="3" t="s">
        <v>2272</v>
      </c>
      <c r="Q277" s="3" t="s">
        <v>2272</v>
      </c>
      <c r="R277" s="11" t="s">
        <v>532</v>
      </c>
      <c r="S277" s="3" t="s">
        <v>532</v>
      </c>
      <c r="T277" s="3" t="s">
        <v>2272</v>
      </c>
      <c r="U277" s="3" t="s">
        <v>2272</v>
      </c>
      <c r="V277" s="11">
        <v>3</v>
      </c>
      <c r="W277" s="4" t="s">
        <v>1093</v>
      </c>
    </row>
    <row r="278" spans="1:23" ht="48" customHeight="1">
      <c r="A278" s="11" t="s">
        <v>1082</v>
      </c>
      <c r="B278" s="11" t="s">
        <v>1085</v>
      </c>
      <c r="C278" s="23" t="s">
        <v>23</v>
      </c>
      <c r="D278" s="23" t="s">
        <v>26</v>
      </c>
      <c r="E278" s="88" t="s">
        <v>128</v>
      </c>
      <c r="F278" s="23" t="s">
        <v>73</v>
      </c>
      <c r="G278" s="3">
        <v>1975</v>
      </c>
      <c r="H278" s="19" t="s">
        <v>539</v>
      </c>
      <c r="I278" s="3" t="s">
        <v>2272</v>
      </c>
      <c r="J278" s="3" t="s">
        <v>2272</v>
      </c>
      <c r="K278" s="3" t="s">
        <v>2272</v>
      </c>
      <c r="L278" s="3" t="s">
        <v>2272</v>
      </c>
      <c r="M278" s="3" t="s">
        <v>2272</v>
      </c>
      <c r="N278" s="3" t="s">
        <v>2272</v>
      </c>
      <c r="O278" s="3" t="s">
        <v>2272</v>
      </c>
      <c r="P278" s="3" t="s">
        <v>2272</v>
      </c>
      <c r="Q278" s="3" t="s">
        <v>2272</v>
      </c>
      <c r="R278" s="11" t="s">
        <v>532</v>
      </c>
      <c r="S278" s="3" t="s">
        <v>532</v>
      </c>
      <c r="T278" s="3" t="s">
        <v>2272</v>
      </c>
      <c r="U278" s="3" t="s">
        <v>2272</v>
      </c>
      <c r="V278" s="11">
        <v>3</v>
      </c>
      <c r="W278" s="4" t="s">
        <v>1093</v>
      </c>
    </row>
    <row r="279" spans="1:23" ht="36.5" customHeight="1">
      <c r="A279" s="11" t="s">
        <v>1082</v>
      </c>
      <c r="B279" s="11" t="s">
        <v>1086</v>
      </c>
      <c r="C279" s="23" t="s">
        <v>23</v>
      </c>
      <c r="D279" s="23" t="s">
        <v>26</v>
      </c>
      <c r="E279" s="88" t="s">
        <v>128</v>
      </c>
      <c r="F279" s="23" t="s">
        <v>159</v>
      </c>
      <c r="G279" s="3">
        <v>2006</v>
      </c>
      <c r="H279" s="19" t="s">
        <v>539</v>
      </c>
      <c r="I279" s="3" t="s">
        <v>2272</v>
      </c>
      <c r="J279" s="3" t="s">
        <v>2272</v>
      </c>
      <c r="K279" s="3" t="s">
        <v>2272</v>
      </c>
      <c r="L279" s="3" t="s">
        <v>2272</v>
      </c>
      <c r="M279" s="3" t="s">
        <v>2272</v>
      </c>
      <c r="N279" s="3" t="s">
        <v>2272</v>
      </c>
      <c r="O279" s="3" t="s">
        <v>2272</v>
      </c>
      <c r="P279" s="3" t="s">
        <v>2272</v>
      </c>
      <c r="Q279" s="3" t="s">
        <v>2272</v>
      </c>
      <c r="R279" s="11" t="s">
        <v>532</v>
      </c>
      <c r="S279" s="3" t="s">
        <v>532</v>
      </c>
      <c r="T279" s="3" t="s">
        <v>2272</v>
      </c>
      <c r="U279" s="3" t="s">
        <v>2272</v>
      </c>
      <c r="V279" s="11">
        <v>3</v>
      </c>
      <c r="W279" s="4" t="s">
        <v>1093</v>
      </c>
    </row>
    <row r="280" spans="1:23" ht="55.5" customHeight="1">
      <c r="A280" s="11" t="s">
        <v>1082</v>
      </c>
      <c r="B280" s="11" t="s">
        <v>1087</v>
      </c>
      <c r="C280" s="23" t="s">
        <v>23</v>
      </c>
      <c r="D280" s="23" t="s">
        <v>26</v>
      </c>
      <c r="E280" s="88" t="s">
        <v>128</v>
      </c>
      <c r="F280" s="23" t="s">
        <v>159</v>
      </c>
      <c r="G280" s="3">
        <v>2006</v>
      </c>
      <c r="H280" s="19" t="s">
        <v>1028</v>
      </c>
      <c r="I280" s="3" t="s">
        <v>2272</v>
      </c>
      <c r="J280" s="3" t="s">
        <v>2272</v>
      </c>
      <c r="K280" s="3" t="s">
        <v>2272</v>
      </c>
      <c r="L280" s="3" t="s">
        <v>2272</v>
      </c>
      <c r="M280" s="3" t="s">
        <v>2272</v>
      </c>
      <c r="N280" s="3" t="s">
        <v>2272</v>
      </c>
      <c r="O280" s="3" t="s">
        <v>2272</v>
      </c>
      <c r="P280" s="3" t="s">
        <v>2272</v>
      </c>
      <c r="Q280" s="3" t="s">
        <v>2272</v>
      </c>
      <c r="R280" s="11" t="s">
        <v>532</v>
      </c>
      <c r="S280" s="3" t="s">
        <v>532</v>
      </c>
      <c r="T280" s="3" t="s">
        <v>2272</v>
      </c>
      <c r="U280" s="3" t="s">
        <v>2272</v>
      </c>
      <c r="V280" s="11">
        <v>1</v>
      </c>
      <c r="W280" s="4" t="s">
        <v>1094</v>
      </c>
    </row>
    <row r="281" spans="1:23" ht="53.5" customHeight="1">
      <c r="A281" s="11" t="s">
        <v>1082</v>
      </c>
      <c r="B281" s="11" t="s">
        <v>1088</v>
      </c>
      <c r="C281" s="23" t="s">
        <v>23</v>
      </c>
      <c r="D281" s="23" t="s">
        <v>26</v>
      </c>
      <c r="E281" s="88" t="s">
        <v>128</v>
      </c>
      <c r="F281" s="23" t="s">
        <v>159</v>
      </c>
      <c r="G281" s="3">
        <v>2006</v>
      </c>
      <c r="H281" s="19" t="s">
        <v>1090</v>
      </c>
      <c r="I281" s="3" t="s">
        <v>2272</v>
      </c>
      <c r="J281" s="3" t="s">
        <v>2272</v>
      </c>
      <c r="K281" s="3" t="s">
        <v>2272</v>
      </c>
      <c r="L281" s="3" t="s">
        <v>2272</v>
      </c>
      <c r="M281" s="3" t="s">
        <v>2272</v>
      </c>
      <c r="N281" s="3" t="s">
        <v>2272</v>
      </c>
      <c r="O281" s="3" t="s">
        <v>2272</v>
      </c>
      <c r="P281" s="3" t="s">
        <v>2272</v>
      </c>
      <c r="Q281" s="3" t="s">
        <v>2272</v>
      </c>
      <c r="R281" s="11" t="s">
        <v>532</v>
      </c>
      <c r="S281" s="3" t="s">
        <v>532</v>
      </c>
      <c r="T281" s="3" t="s">
        <v>2272</v>
      </c>
      <c r="U281" s="3" t="s">
        <v>2272</v>
      </c>
      <c r="V281" s="11">
        <v>1</v>
      </c>
      <c r="W281" s="4" t="s">
        <v>1094</v>
      </c>
    </row>
    <row r="282" spans="1:23" ht="43.5" customHeight="1">
      <c r="A282" s="11" t="s">
        <v>1082</v>
      </c>
      <c r="B282" s="11" t="s">
        <v>1089</v>
      </c>
      <c r="C282" s="23" t="s">
        <v>23</v>
      </c>
      <c r="D282" s="23" t="s">
        <v>26</v>
      </c>
      <c r="E282" s="88" t="s">
        <v>128</v>
      </c>
      <c r="F282" s="23" t="s">
        <v>73</v>
      </c>
      <c r="G282" s="3">
        <v>2006</v>
      </c>
      <c r="H282" s="19" t="s">
        <v>539</v>
      </c>
      <c r="I282" s="3" t="s">
        <v>2272</v>
      </c>
      <c r="J282" s="3" t="s">
        <v>2272</v>
      </c>
      <c r="K282" s="3" t="s">
        <v>2272</v>
      </c>
      <c r="L282" s="3" t="s">
        <v>2272</v>
      </c>
      <c r="M282" s="3" t="s">
        <v>2272</v>
      </c>
      <c r="N282" s="3" t="s">
        <v>2272</v>
      </c>
      <c r="O282" s="3" t="s">
        <v>2272</v>
      </c>
      <c r="P282" s="3" t="s">
        <v>2272</v>
      </c>
      <c r="Q282" s="3" t="s">
        <v>2272</v>
      </c>
      <c r="R282" s="11" t="s">
        <v>532</v>
      </c>
      <c r="S282" s="3" t="s">
        <v>532</v>
      </c>
      <c r="T282" s="3" t="s">
        <v>2272</v>
      </c>
      <c r="U282" s="3" t="s">
        <v>2272</v>
      </c>
      <c r="V282" s="11">
        <v>1</v>
      </c>
      <c r="W282" s="4" t="s">
        <v>1094</v>
      </c>
    </row>
    <row r="283" spans="1:23" ht="46.5" customHeight="1">
      <c r="A283" s="11" t="s">
        <v>1082</v>
      </c>
      <c r="B283" s="11" t="s">
        <v>1091</v>
      </c>
      <c r="C283" s="23" t="s">
        <v>23</v>
      </c>
      <c r="D283" s="23" t="s">
        <v>26</v>
      </c>
      <c r="E283" s="88" t="s">
        <v>128</v>
      </c>
      <c r="F283" s="23" t="s">
        <v>73</v>
      </c>
      <c r="G283" s="3">
        <v>2006</v>
      </c>
      <c r="H283" s="19" t="s">
        <v>1028</v>
      </c>
      <c r="I283" s="3" t="s">
        <v>2272</v>
      </c>
      <c r="J283" s="3" t="s">
        <v>2272</v>
      </c>
      <c r="K283" s="3" t="s">
        <v>2272</v>
      </c>
      <c r="L283" s="3" t="s">
        <v>2272</v>
      </c>
      <c r="M283" s="3" t="s">
        <v>2272</v>
      </c>
      <c r="N283" s="3" t="s">
        <v>2272</v>
      </c>
      <c r="O283" s="3" t="s">
        <v>2272</v>
      </c>
      <c r="P283" s="3" t="s">
        <v>2272</v>
      </c>
      <c r="Q283" s="3" t="s">
        <v>2272</v>
      </c>
      <c r="R283" s="11" t="s">
        <v>532</v>
      </c>
      <c r="S283" s="3" t="s">
        <v>532</v>
      </c>
      <c r="T283" s="3" t="s">
        <v>2272</v>
      </c>
      <c r="U283" s="3" t="s">
        <v>2272</v>
      </c>
      <c r="V283" s="11">
        <v>1</v>
      </c>
      <c r="W283" s="4" t="s">
        <v>1094</v>
      </c>
    </row>
    <row r="284" spans="1:23" ht="49" customHeight="1">
      <c r="A284" s="11" t="s">
        <v>1082</v>
      </c>
      <c r="B284" s="11" t="s">
        <v>1092</v>
      </c>
      <c r="C284" s="23" t="s">
        <v>23</v>
      </c>
      <c r="D284" s="23" t="s">
        <v>26</v>
      </c>
      <c r="E284" s="88" t="s">
        <v>128</v>
      </c>
      <c r="F284" s="23" t="s">
        <v>73</v>
      </c>
      <c r="G284" s="3">
        <v>2006</v>
      </c>
      <c r="H284" s="19" t="s">
        <v>1090</v>
      </c>
      <c r="I284" s="3" t="s">
        <v>2272</v>
      </c>
      <c r="J284" s="3" t="s">
        <v>2272</v>
      </c>
      <c r="K284" s="3" t="s">
        <v>2272</v>
      </c>
      <c r="L284" s="3" t="s">
        <v>2272</v>
      </c>
      <c r="M284" s="3" t="s">
        <v>2272</v>
      </c>
      <c r="N284" s="3" t="s">
        <v>2272</v>
      </c>
      <c r="O284" s="3" t="s">
        <v>2272</v>
      </c>
      <c r="P284" s="3" t="s">
        <v>2272</v>
      </c>
      <c r="Q284" s="3" t="s">
        <v>2272</v>
      </c>
      <c r="R284" s="11" t="s">
        <v>532</v>
      </c>
      <c r="S284" s="3" t="s">
        <v>532</v>
      </c>
      <c r="T284" s="3" t="s">
        <v>2272</v>
      </c>
      <c r="U284" s="3" t="s">
        <v>2272</v>
      </c>
      <c r="V284" s="11">
        <v>1</v>
      </c>
      <c r="W284" s="4" t="s">
        <v>1094</v>
      </c>
    </row>
    <row r="285" spans="1:23" ht="49" customHeight="1">
      <c r="A285" s="11" t="s">
        <v>1114</v>
      </c>
      <c r="B285" s="11" t="s">
        <v>2327</v>
      </c>
      <c r="C285" s="23" t="s">
        <v>23</v>
      </c>
      <c r="D285" s="19" t="s">
        <v>1102</v>
      </c>
      <c r="E285" s="19" t="s">
        <v>1102</v>
      </c>
      <c r="F285" s="19" t="s">
        <v>1102</v>
      </c>
      <c r="G285" s="3"/>
      <c r="H285" s="19" t="s">
        <v>539</v>
      </c>
      <c r="I285" s="3" t="s">
        <v>535</v>
      </c>
      <c r="J285" s="3" t="s">
        <v>535</v>
      </c>
      <c r="K285" s="3" t="s">
        <v>535</v>
      </c>
      <c r="L285" s="3" t="s">
        <v>535</v>
      </c>
      <c r="M285" s="3" t="s">
        <v>535</v>
      </c>
      <c r="N285" s="3" t="s">
        <v>535</v>
      </c>
      <c r="O285" s="3" t="s">
        <v>535</v>
      </c>
      <c r="P285" s="3" t="s">
        <v>535</v>
      </c>
      <c r="Q285" s="3" t="s">
        <v>2272</v>
      </c>
      <c r="R285" s="3" t="s">
        <v>535</v>
      </c>
      <c r="S285" s="3" t="s">
        <v>535</v>
      </c>
      <c r="T285" s="3" t="s">
        <v>535</v>
      </c>
      <c r="U285" s="3" t="s">
        <v>535</v>
      </c>
      <c r="V285" s="3" t="s">
        <v>2272</v>
      </c>
      <c r="W285" s="4" t="s">
        <v>2347</v>
      </c>
    </row>
    <row r="286" spans="1:23" ht="49" customHeight="1">
      <c r="A286" s="11" t="s">
        <v>1115</v>
      </c>
      <c r="B286" s="11" t="s">
        <v>2329</v>
      </c>
      <c r="C286" s="23" t="s">
        <v>23</v>
      </c>
      <c r="D286" s="19" t="s">
        <v>1102</v>
      </c>
      <c r="E286" s="19" t="s">
        <v>1102</v>
      </c>
      <c r="F286" s="19" t="s">
        <v>1102</v>
      </c>
      <c r="G286" s="3"/>
      <c r="H286" s="19" t="s">
        <v>539</v>
      </c>
      <c r="I286" s="3" t="s">
        <v>535</v>
      </c>
      <c r="J286" s="3" t="s">
        <v>535</v>
      </c>
      <c r="K286" s="3" t="s">
        <v>535</v>
      </c>
      <c r="L286" s="3" t="s">
        <v>535</v>
      </c>
      <c r="M286" s="3" t="s">
        <v>535</v>
      </c>
      <c r="N286" s="3" t="s">
        <v>535</v>
      </c>
      <c r="O286" s="3" t="s">
        <v>535</v>
      </c>
      <c r="P286" s="3" t="s">
        <v>535</v>
      </c>
      <c r="Q286" s="3" t="s">
        <v>2272</v>
      </c>
      <c r="R286" s="3" t="s">
        <v>535</v>
      </c>
      <c r="S286" s="3" t="s">
        <v>535</v>
      </c>
      <c r="T286" s="3" t="s">
        <v>535</v>
      </c>
      <c r="U286" s="3" t="s">
        <v>535</v>
      </c>
      <c r="V286" s="3" t="s">
        <v>2272</v>
      </c>
      <c r="W286" s="4" t="s">
        <v>2347</v>
      </c>
    </row>
    <row r="287" spans="1:23" ht="49" customHeight="1">
      <c r="A287" s="11" t="s">
        <v>1122</v>
      </c>
      <c r="B287" s="11" t="s">
        <v>1124</v>
      </c>
      <c r="C287" s="23" t="s">
        <v>23</v>
      </c>
      <c r="D287" s="23" t="s">
        <v>141</v>
      </c>
      <c r="E287" s="88" t="s">
        <v>128</v>
      </c>
      <c r="F287" s="3" t="s">
        <v>73</v>
      </c>
      <c r="G287" s="3">
        <v>1980</v>
      </c>
      <c r="H287" s="4" t="s">
        <v>539</v>
      </c>
      <c r="I287" s="3" t="s">
        <v>2686</v>
      </c>
      <c r="J287" s="3" t="s">
        <v>532</v>
      </c>
      <c r="K287" s="3" t="s">
        <v>2272</v>
      </c>
      <c r="L287" s="3" t="s">
        <v>2272</v>
      </c>
      <c r="M287" s="3" t="s">
        <v>535</v>
      </c>
      <c r="N287" s="3" t="s">
        <v>2272</v>
      </c>
      <c r="O287" s="3" t="s">
        <v>2272</v>
      </c>
      <c r="P287" s="3" t="s">
        <v>2272</v>
      </c>
      <c r="Q287" s="3" t="s">
        <v>2272</v>
      </c>
      <c r="R287" s="3" t="s">
        <v>535</v>
      </c>
      <c r="S287" s="3" t="s">
        <v>2272</v>
      </c>
      <c r="T287" s="3" t="s">
        <v>2272</v>
      </c>
      <c r="U287" s="3" t="s">
        <v>2272</v>
      </c>
      <c r="V287" s="3" t="s">
        <v>2272</v>
      </c>
      <c r="W287" s="4" t="s">
        <v>1135</v>
      </c>
    </row>
    <row r="288" spans="1:23" ht="110" customHeight="1">
      <c r="A288" s="11" t="s">
        <v>1122</v>
      </c>
      <c r="B288" s="11" t="s">
        <v>1126</v>
      </c>
      <c r="C288" s="23" t="s">
        <v>23</v>
      </c>
      <c r="D288" s="23" t="s">
        <v>141</v>
      </c>
      <c r="E288" s="88" t="s">
        <v>128</v>
      </c>
      <c r="F288" s="3" t="s">
        <v>73</v>
      </c>
      <c r="G288" s="3">
        <v>1990</v>
      </c>
      <c r="H288" s="4" t="s">
        <v>539</v>
      </c>
      <c r="I288" s="3" t="s">
        <v>535</v>
      </c>
      <c r="J288" s="3" t="s">
        <v>535</v>
      </c>
      <c r="K288" s="3" t="s">
        <v>2272</v>
      </c>
      <c r="L288" s="3" t="s">
        <v>2272</v>
      </c>
      <c r="M288" s="3" t="s">
        <v>535</v>
      </c>
      <c r="N288" s="3" t="s">
        <v>2272</v>
      </c>
      <c r="O288" s="3" t="s">
        <v>2272</v>
      </c>
      <c r="P288" s="3" t="s">
        <v>2272</v>
      </c>
      <c r="Q288" s="3" t="s">
        <v>2272</v>
      </c>
      <c r="R288" s="3" t="s">
        <v>535</v>
      </c>
      <c r="S288" s="3" t="s">
        <v>2272</v>
      </c>
      <c r="T288" s="3" t="s">
        <v>2272</v>
      </c>
      <c r="U288" s="3" t="s">
        <v>2272</v>
      </c>
      <c r="V288" s="3" t="s">
        <v>2272</v>
      </c>
      <c r="W288" s="4" t="s">
        <v>1136</v>
      </c>
    </row>
    <row r="289" spans="1:23" ht="75" customHeight="1">
      <c r="A289" s="11" t="s">
        <v>1138</v>
      </c>
      <c r="B289" s="11" t="s">
        <v>1143</v>
      </c>
      <c r="C289" s="23" t="s">
        <v>23</v>
      </c>
      <c r="D289" s="23" t="s">
        <v>141</v>
      </c>
      <c r="E289" s="88" t="s">
        <v>128</v>
      </c>
      <c r="F289" s="3" t="s">
        <v>73</v>
      </c>
      <c r="G289" s="3">
        <v>1985</v>
      </c>
      <c r="H289" s="4" t="s">
        <v>539</v>
      </c>
      <c r="I289" s="3" t="s">
        <v>535</v>
      </c>
      <c r="J289" s="3" t="s">
        <v>535</v>
      </c>
      <c r="K289" s="3" t="s">
        <v>535</v>
      </c>
      <c r="L289" s="3" t="s">
        <v>2272</v>
      </c>
      <c r="M289" s="3" t="s">
        <v>2272</v>
      </c>
      <c r="N289" s="3" t="s">
        <v>2272</v>
      </c>
      <c r="O289" s="3" t="s">
        <v>2272</v>
      </c>
      <c r="P289" s="3" t="s">
        <v>2272</v>
      </c>
      <c r="Q289" s="3" t="s">
        <v>2272</v>
      </c>
      <c r="R289" s="3" t="s">
        <v>2272</v>
      </c>
      <c r="S289" s="3" t="s">
        <v>2272</v>
      </c>
      <c r="T289" s="3" t="s">
        <v>2272</v>
      </c>
      <c r="U289" s="3" t="s">
        <v>2272</v>
      </c>
      <c r="V289" s="3" t="s">
        <v>2272</v>
      </c>
      <c r="W289" s="4" t="s">
        <v>1159</v>
      </c>
    </row>
    <row r="290" spans="1:23" ht="82.5" customHeight="1">
      <c r="A290" s="11" t="s">
        <v>1138</v>
      </c>
      <c r="B290" s="11" t="s">
        <v>1145</v>
      </c>
      <c r="C290" s="23" t="s">
        <v>23</v>
      </c>
      <c r="D290" s="23" t="s">
        <v>141</v>
      </c>
      <c r="E290" s="88" t="s">
        <v>128</v>
      </c>
      <c r="F290" s="3" t="s">
        <v>73</v>
      </c>
      <c r="G290" s="3">
        <v>1990</v>
      </c>
      <c r="H290" s="4" t="s">
        <v>1147</v>
      </c>
      <c r="I290" s="3" t="s">
        <v>2685</v>
      </c>
      <c r="J290" s="3" t="s">
        <v>532</v>
      </c>
      <c r="K290" s="3" t="s">
        <v>532</v>
      </c>
      <c r="L290" s="3" t="s">
        <v>2272</v>
      </c>
      <c r="M290" s="3" t="s">
        <v>2272</v>
      </c>
      <c r="N290" s="3" t="s">
        <v>2272</v>
      </c>
      <c r="O290" s="3" t="s">
        <v>2272</v>
      </c>
      <c r="P290" s="3" t="s">
        <v>2272</v>
      </c>
      <c r="Q290" s="3" t="s">
        <v>2272</v>
      </c>
      <c r="R290" s="3" t="s">
        <v>2272</v>
      </c>
      <c r="S290" s="3" t="s">
        <v>2272</v>
      </c>
      <c r="T290" s="3" t="s">
        <v>2272</v>
      </c>
      <c r="U290" s="3" t="s">
        <v>2272</v>
      </c>
      <c r="V290" s="3" t="s">
        <v>2272</v>
      </c>
      <c r="W290" s="4" t="s">
        <v>1148</v>
      </c>
    </row>
    <row r="291" spans="1:23" ht="51.5" customHeight="1">
      <c r="A291" s="11" t="s">
        <v>1151</v>
      </c>
      <c r="B291" s="11" t="s">
        <v>1152</v>
      </c>
      <c r="C291" s="23" t="s">
        <v>23</v>
      </c>
      <c r="D291" s="23" t="s">
        <v>141</v>
      </c>
      <c r="E291" s="23" t="s">
        <v>1102</v>
      </c>
      <c r="F291" s="3" t="s">
        <v>73</v>
      </c>
      <c r="G291" s="3"/>
      <c r="H291" s="4" t="s">
        <v>539</v>
      </c>
      <c r="I291" s="3" t="s">
        <v>535</v>
      </c>
      <c r="J291" s="3" t="s">
        <v>535</v>
      </c>
      <c r="K291" s="3" t="s">
        <v>535</v>
      </c>
      <c r="L291" s="3" t="s">
        <v>2272</v>
      </c>
      <c r="M291" s="3" t="s">
        <v>535</v>
      </c>
      <c r="N291" s="3" t="s">
        <v>2272</v>
      </c>
      <c r="O291" s="3" t="s">
        <v>2272</v>
      </c>
      <c r="P291" s="3" t="s">
        <v>2272</v>
      </c>
      <c r="Q291" s="3" t="s">
        <v>2272</v>
      </c>
      <c r="R291" s="3" t="s">
        <v>535</v>
      </c>
      <c r="S291" s="3" t="s">
        <v>2272</v>
      </c>
      <c r="T291" s="3" t="s">
        <v>2272</v>
      </c>
      <c r="U291" s="3" t="s">
        <v>2272</v>
      </c>
      <c r="V291" s="3" t="s">
        <v>2272</v>
      </c>
      <c r="W291" s="4"/>
    </row>
    <row r="292" spans="1:23" ht="67" customHeight="1">
      <c r="A292" s="41" t="s">
        <v>1155</v>
      </c>
      <c r="B292" s="41" t="s">
        <v>1157</v>
      </c>
      <c r="C292" s="61" t="s">
        <v>23</v>
      </c>
      <c r="D292" s="61" t="s">
        <v>141</v>
      </c>
      <c r="E292" s="61" t="s">
        <v>1102</v>
      </c>
      <c r="F292" s="41" t="s">
        <v>73</v>
      </c>
      <c r="G292" s="41"/>
      <c r="H292" s="54"/>
      <c r="I292" s="41" t="s">
        <v>2272</v>
      </c>
      <c r="J292" s="41" t="s">
        <v>2272</v>
      </c>
      <c r="K292" s="41" t="s">
        <v>2272</v>
      </c>
      <c r="L292" s="41" t="s">
        <v>2272</v>
      </c>
      <c r="M292" s="41" t="s">
        <v>2272</v>
      </c>
      <c r="N292" s="41" t="s">
        <v>2272</v>
      </c>
      <c r="O292" s="41" t="s">
        <v>2272</v>
      </c>
      <c r="P292" s="41" t="s">
        <v>2272</v>
      </c>
      <c r="Q292" s="41" t="s">
        <v>2272</v>
      </c>
      <c r="R292" s="41" t="s">
        <v>2272</v>
      </c>
      <c r="S292" s="41" t="s">
        <v>2272</v>
      </c>
      <c r="T292" s="41" t="s">
        <v>2272</v>
      </c>
      <c r="U292" s="41" t="s">
        <v>2272</v>
      </c>
      <c r="V292" s="41" t="s">
        <v>2272</v>
      </c>
      <c r="W292" s="54"/>
    </row>
    <row r="293" spans="1:23" ht="55.5" customHeight="1">
      <c r="A293" s="19" t="s">
        <v>1140</v>
      </c>
      <c r="B293" s="19" t="s">
        <v>1144</v>
      </c>
      <c r="C293" s="23" t="s">
        <v>23</v>
      </c>
      <c r="D293" s="3"/>
      <c r="E293" s="3" t="s">
        <v>1102</v>
      </c>
      <c r="F293" s="3" t="s">
        <v>73</v>
      </c>
      <c r="G293" s="3"/>
      <c r="H293" s="4" t="s">
        <v>539</v>
      </c>
      <c r="I293" s="3" t="s">
        <v>2272</v>
      </c>
      <c r="J293" s="3" t="s">
        <v>2272</v>
      </c>
      <c r="K293" s="3" t="s">
        <v>2272</v>
      </c>
      <c r="L293" s="3" t="s">
        <v>2272</v>
      </c>
      <c r="M293" s="3" t="s">
        <v>532</v>
      </c>
      <c r="N293" s="3" t="s">
        <v>532</v>
      </c>
      <c r="O293" s="3" t="s">
        <v>532</v>
      </c>
      <c r="P293" s="3" t="s">
        <v>2272</v>
      </c>
      <c r="Q293" s="3">
        <v>1</v>
      </c>
      <c r="R293" s="3" t="s">
        <v>2272</v>
      </c>
      <c r="S293" s="3" t="s">
        <v>2272</v>
      </c>
      <c r="T293" s="3" t="s">
        <v>2272</v>
      </c>
      <c r="U293" s="3" t="s">
        <v>2272</v>
      </c>
      <c r="V293" s="3" t="s">
        <v>2272</v>
      </c>
      <c r="W293" s="4" t="s">
        <v>1160</v>
      </c>
    </row>
    <row r="294" spans="1:23" ht="45.5" customHeight="1">
      <c r="A294" s="19" t="s">
        <v>1149</v>
      </c>
      <c r="B294" s="19" t="s">
        <v>1153</v>
      </c>
      <c r="C294" s="23" t="s">
        <v>23</v>
      </c>
      <c r="D294" s="23" t="s">
        <v>141</v>
      </c>
      <c r="E294" s="3" t="s">
        <v>1102</v>
      </c>
      <c r="F294" s="3" t="s">
        <v>73</v>
      </c>
      <c r="G294" s="3"/>
      <c r="H294" s="4" t="s">
        <v>539</v>
      </c>
      <c r="I294" s="3" t="s">
        <v>2272</v>
      </c>
      <c r="J294" s="3" t="s">
        <v>2272</v>
      </c>
      <c r="K294" s="3" t="s">
        <v>2272</v>
      </c>
      <c r="L294" s="3" t="s">
        <v>2272</v>
      </c>
      <c r="M294" s="3" t="s">
        <v>2272</v>
      </c>
      <c r="N294" s="3" t="s">
        <v>2272</v>
      </c>
      <c r="O294" s="3" t="s">
        <v>2272</v>
      </c>
      <c r="P294" s="3" t="s">
        <v>2272</v>
      </c>
      <c r="Q294" s="3" t="s">
        <v>2272</v>
      </c>
      <c r="R294" s="3" t="s">
        <v>532</v>
      </c>
      <c r="S294" s="3" t="s">
        <v>2272</v>
      </c>
      <c r="T294" s="3" t="s">
        <v>532</v>
      </c>
      <c r="U294" s="3" t="s">
        <v>2272</v>
      </c>
      <c r="V294" s="3">
        <v>1</v>
      </c>
      <c r="W294" s="3"/>
    </row>
    <row r="295" spans="1:23" ht="40" customHeight="1">
      <c r="A295" s="19" t="s">
        <v>1165</v>
      </c>
      <c r="B295" s="19" t="s">
        <v>1171</v>
      </c>
      <c r="C295" s="23" t="s">
        <v>23</v>
      </c>
      <c r="D295" s="23" t="s">
        <v>141</v>
      </c>
      <c r="E295" s="3" t="s">
        <v>1102</v>
      </c>
      <c r="F295" s="3" t="s">
        <v>73</v>
      </c>
      <c r="G295" s="3"/>
      <c r="H295" s="4" t="s">
        <v>539</v>
      </c>
      <c r="I295" s="3" t="s">
        <v>2272</v>
      </c>
      <c r="J295" s="3" t="s">
        <v>2272</v>
      </c>
      <c r="K295" s="3" t="s">
        <v>2272</v>
      </c>
      <c r="L295" s="3" t="s">
        <v>2272</v>
      </c>
      <c r="M295" s="3" t="s">
        <v>2272</v>
      </c>
      <c r="N295" s="3" t="s">
        <v>2272</v>
      </c>
      <c r="O295" s="3" t="s">
        <v>2272</v>
      </c>
      <c r="P295" s="3" t="s">
        <v>2272</v>
      </c>
      <c r="Q295" s="3" t="s">
        <v>2272</v>
      </c>
      <c r="R295" s="3" t="s">
        <v>532</v>
      </c>
      <c r="S295" s="3" t="s">
        <v>2272</v>
      </c>
      <c r="T295" s="3" t="s">
        <v>532</v>
      </c>
      <c r="U295" s="3" t="s">
        <v>2272</v>
      </c>
      <c r="V295" s="3">
        <v>1</v>
      </c>
      <c r="W295" s="3"/>
    </row>
    <row r="296" spans="1:23" ht="42" customHeight="1">
      <c r="A296" s="3" t="s">
        <v>1167</v>
      </c>
      <c r="B296" s="19" t="s">
        <v>1173</v>
      </c>
      <c r="C296" s="23" t="s">
        <v>23</v>
      </c>
      <c r="D296" s="23" t="s">
        <v>141</v>
      </c>
      <c r="E296" s="3" t="s">
        <v>1102</v>
      </c>
      <c r="F296" s="3" t="s">
        <v>73</v>
      </c>
      <c r="G296" s="3"/>
      <c r="H296" s="4" t="s">
        <v>539</v>
      </c>
      <c r="I296" s="3" t="s">
        <v>2272</v>
      </c>
      <c r="J296" s="3" t="s">
        <v>2272</v>
      </c>
      <c r="K296" s="3" t="s">
        <v>2272</v>
      </c>
      <c r="L296" s="3" t="s">
        <v>2272</v>
      </c>
      <c r="M296" s="3" t="s">
        <v>2272</v>
      </c>
      <c r="N296" s="3" t="s">
        <v>2272</v>
      </c>
      <c r="O296" s="3" t="s">
        <v>2272</v>
      </c>
      <c r="P296" s="3" t="s">
        <v>2272</v>
      </c>
      <c r="Q296" s="3" t="s">
        <v>2272</v>
      </c>
      <c r="R296" s="3" t="s">
        <v>532</v>
      </c>
      <c r="S296" s="3" t="s">
        <v>2272</v>
      </c>
      <c r="T296" s="3" t="s">
        <v>532</v>
      </c>
      <c r="U296" s="3" t="s">
        <v>2272</v>
      </c>
      <c r="V296" s="3">
        <v>1</v>
      </c>
      <c r="W296" s="3"/>
    </row>
    <row r="297" spans="1:23" ht="36.5" customHeight="1">
      <c r="A297" s="19" t="s">
        <v>1187</v>
      </c>
      <c r="B297" s="19" t="s">
        <v>1195</v>
      </c>
      <c r="C297" s="23" t="s">
        <v>23</v>
      </c>
      <c r="D297" s="3" t="s">
        <v>26</v>
      </c>
      <c r="E297" s="3" t="s">
        <v>128</v>
      </c>
      <c r="F297" s="3" t="s">
        <v>73</v>
      </c>
      <c r="G297" s="3">
        <v>1988</v>
      </c>
      <c r="H297" s="4" t="s">
        <v>539</v>
      </c>
      <c r="I297" s="8" t="s">
        <v>2685</v>
      </c>
      <c r="J297" s="3" t="s">
        <v>532</v>
      </c>
      <c r="K297" s="3" t="s">
        <v>2272</v>
      </c>
      <c r="L297" s="3" t="s">
        <v>2272</v>
      </c>
      <c r="M297" s="3" t="s">
        <v>535</v>
      </c>
      <c r="N297" s="3" t="s">
        <v>2272</v>
      </c>
      <c r="O297" s="3" t="s">
        <v>2272</v>
      </c>
      <c r="P297" s="3" t="s">
        <v>2272</v>
      </c>
      <c r="Q297" s="3" t="s">
        <v>2272</v>
      </c>
      <c r="R297" s="3" t="s">
        <v>535</v>
      </c>
      <c r="S297" s="3" t="s">
        <v>2272</v>
      </c>
      <c r="T297" s="3" t="s">
        <v>2272</v>
      </c>
      <c r="U297" s="3" t="s">
        <v>2272</v>
      </c>
      <c r="V297" s="3" t="s">
        <v>2272</v>
      </c>
      <c r="W297" s="3"/>
    </row>
    <row r="298" spans="1:23" ht="35.5" customHeight="1">
      <c r="A298" s="19" t="s">
        <v>1191</v>
      </c>
      <c r="B298" s="19" t="s">
        <v>1196</v>
      </c>
      <c r="C298" s="23" t="s">
        <v>23</v>
      </c>
      <c r="D298" s="3" t="s">
        <v>26</v>
      </c>
      <c r="E298" s="3" t="s">
        <v>128</v>
      </c>
      <c r="F298" s="3" t="s">
        <v>73</v>
      </c>
      <c r="G298" s="3">
        <v>1995</v>
      </c>
      <c r="H298" s="4" t="s">
        <v>539</v>
      </c>
      <c r="I298" s="8" t="s">
        <v>2685</v>
      </c>
      <c r="J298" s="3" t="s">
        <v>532</v>
      </c>
      <c r="K298" s="3" t="s">
        <v>2272</v>
      </c>
      <c r="L298" s="3" t="s">
        <v>2272</v>
      </c>
      <c r="M298" s="3" t="s">
        <v>532</v>
      </c>
      <c r="N298" s="3" t="s">
        <v>532</v>
      </c>
      <c r="O298" s="3" t="s">
        <v>532</v>
      </c>
      <c r="P298" s="3" t="s">
        <v>2272</v>
      </c>
      <c r="Q298" s="3">
        <v>3</v>
      </c>
      <c r="R298" s="3" t="s">
        <v>532</v>
      </c>
      <c r="S298" s="3" t="s">
        <v>532</v>
      </c>
      <c r="T298" s="3" t="s">
        <v>532</v>
      </c>
      <c r="U298" s="3" t="s">
        <v>2272</v>
      </c>
      <c r="V298" s="3">
        <v>3</v>
      </c>
      <c r="W298" s="3"/>
    </row>
    <row r="299" spans="1:23" ht="41.5" customHeight="1">
      <c r="A299" s="19" t="s">
        <v>1192</v>
      </c>
      <c r="B299" s="19" t="s">
        <v>1197</v>
      </c>
      <c r="C299" s="23" t="s">
        <v>23</v>
      </c>
      <c r="D299" s="3" t="s">
        <v>26</v>
      </c>
      <c r="E299" s="3" t="s">
        <v>128</v>
      </c>
      <c r="F299" s="3" t="s">
        <v>73</v>
      </c>
      <c r="G299" s="3">
        <v>2000</v>
      </c>
      <c r="H299" s="4" t="s">
        <v>539</v>
      </c>
      <c r="I299" s="8" t="s">
        <v>2685</v>
      </c>
      <c r="J299" s="3" t="s">
        <v>532</v>
      </c>
      <c r="K299" s="3" t="s">
        <v>2272</v>
      </c>
      <c r="L299" s="3" t="s">
        <v>2272</v>
      </c>
      <c r="M299" s="3" t="s">
        <v>532</v>
      </c>
      <c r="N299" s="3" t="s">
        <v>532</v>
      </c>
      <c r="O299" s="3" t="s">
        <v>532</v>
      </c>
      <c r="P299" s="3" t="s">
        <v>2272</v>
      </c>
      <c r="Q299" s="3">
        <v>3</v>
      </c>
      <c r="R299" s="3" t="s">
        <v>532</v>
      </c>
      <c r="S299" s="3" t="s">
        <v>532</v>
      </c>
      <c r="T299" s="3" t="s">
        <v>532</v>
      </c>
      <c r="U299" s="3" t="s">
        <v>2272</v>
      </c>
      <c r="V299" s="3">
        <v>3</v>
      </c>
      <c r="W299" s="3"/>
    </row>
    <row r="300" spans="1:23" ht="57.5" customHeight="1">
      <c r="A300" s="19" t="s">
        <v>1202</v>
      </c>
      <c r="B300" s="19" t="s">
        <v>1206</v>
      </c>
      <c r="C300" s="23" t="s">
        <v>23</v>
      </c>
      <c r="D300" s="3" t="s">
        <v>26</v>
      </c>
      <c r="E300" s="3" t="s">
        <v>128</v>
      </c>
      <c r="F300" s="3" t="s">
        <v>1102</v>
      </c>
      <c r="G300" s="3"/>
      <c r="H300" s="4" t="s">
        <v>539</v>
      </c>
      <c r="I300" s="3" t="s">
        <v>2685</v>
      </c>
      <c r="J300" s="3" t="s">
        <v>2272</v>
      </c>
      <c r="K300" s="3" t="s">
        <v>532</v>
      </c>
      <c r="L300" s="3" t="s">
        <v>532</v>
      </c>
      <c r="M300" s="3" t="s">
        <v>2272</v>
      </c>
      <c r="N300" s="3" t="s">
        <v>2272</v>
      </c>
      <c r="O300" s="3" t="s">
        <v>2272</v>
      </c>
      <c r="P300" s="3" t="s">
        <v>2272</v>
      </c>
      <c r="Q300" s="3" t="s">
        <v>2272</v>
      </c>
      <c r="R300" s="3" t="s">
        <v>2272</v>
      </c>
      <c r="S300" s="3" t="s">
        <v>2272</v>
      </c>
      <c r="T300" s="3" t="s">
        <v>2272</v>
      </c>
      <c r="U300" s="3" t="s">
        <v>2272</v>
      </c>
      <c r="V300" s="3" t="s">
        <v>2272</v>
      </c>
      <c r="W300" s="4" t="s">
        <v>1218</v>
      </c>
    </row>
    <row r="301" spans="1:23" ht="65.5" customHeight="1">
      <c r="A301" s="19" t="s">
        <v>1204</v>
      </c>
      <c r="B301" s="19" t="s">
        <v>1216</v>
      </c>
      <c r="C301" s="23" t="s">
        <v>23</v>
      </c>
      <c r="D301" s="3" t="s">
        <v>26</v>
      </c>
      <c r="E301" s="3" t="s">
        <v>128</v>
      </c>
      <c r="F301" s="3" t="s">
        <v>1102</v>
      </c>
      <c r="G301" s="3"/>
      <c r="H301" s="4" t="s">
        <v>539</v>
      </c>
      <c r="I301" s="3" t="s">
        <v>2685</v>
      </c>
      <c r="J301" s="3" t="s">
        <v>2272</v>
      </c>
      <c r="K301" s="3" t="s">
        <v>532</v>
      </c>
      <c r="L301" s="3" t="s">
        <v>532</v>
      </c>
      <c r="M301" s="3" t="s">
        <v>2272</v>
      </c>
      <c r="N301" s="3" t="s">
        <v>2272</v>
      </c>
      <c r="O301" s="3" t="s">
        <v>2272</v>
      </c>
      <c r="P301" s="3" t="s">
        <v>2272</v>
      </c>
      <c r="Q301" s="3" t="s">
        <v>2272</v>
      </c>
      <c r="R301" s="3" t="s">
        <v>2272</v>
      </c>
      <c r="S301" s="3" t="s">
        <v>2272</v>
      </c>
      <c r="T301" s="3" t="s">
        <v>2272</v>
      </c>
      <c r="U301" s="3" t="s">
        <v>2272</v>
      </c>
      <c r="V301" s="3" t="s">
        <v>2272</v>
      </c>
      <c r="W301" s="4" t="s">
        <v>1218</v>
      </c>
    </row>
    <row r="302" spans="1:23" ht="58.5" customHeight="1">
      <c r="A302" s="3" t="s">
        <v>2441</v>
      </c>
      <c r="B302" s="3" t="s">
        <v>2448</v>
      </c>
      <c r="C302" s="23" t="s">
        <v>23</v>
      </c>
      <c r="D302" s="3" t="s">
        <v>26</v>
      </c>
      <c r="E302" s="3" t="s">
        <v>128</v>
      </c>
      <c r="F302" s="3" t="s">
        <v>1102</v>
      </c>
      <c r="G302" s="3"/>
      <c r="H302" s="4" t="s">
        <v>541</v>
      </c>
      <c r="I302" s="3" t="s">
        <v>535</v>
      </c>
      <c r="J302" s="3" t="s">
        <v>535</v>
      </c>
      <c r="K302" s="3" t="s">
        <v>2272</v>
      </c>
      <c r="L302" s="3" t="s">
        <v>2272</v>
      </c>
      <c r="M302" s="3" t="s">
        <v>2272</v>
      </c>
      <c r="N302" s="3" t="s">
        <v>2272</v>
      </c>
      <c r="O302" s="3" t="s">
        <v>2272</v>
      </c>
      <c r="P302" s="3" t="s">
        <v>2272</v>
      </c>
      <c r="Q302" s="3" t="s">
        <v>2272</v>
      </c>
      <c r="R302" s="3" t="s">
        <v>2272</v>
      </c>
      <c r="S302" s="3" t="s">
        <v>2272</v>
      </c>
      <c r="T302" s="3" t="s">
        <v>2272</v>
      </c>
      <c r="U302" s="3" t="s">
        <v>2272</v>
      </c>
      <c r="V302" s="3" t="s">
        <v>2272</v>
      </c>
      <c r="W302" s="4" t="s">
        <v>2456</v>
      </c>
    </row>
    <row r="303" spans="1:23" ht="60" customHeight="1">
      <c r="A303" s="3" t="s">
        <v>2444</v>
      </c>
      <c r="B303" s="3" t="s">
        <v>2455</v>
      </c>
      <c r="C303" s="23" t="s">
        <v>23</v>
      </c>
      <c r="D303" s="3" t="s">
        <v>26</v>
      </c>
      <c r="E303" s="3" t="s">
        <v>128</v>
      </c>
      <c r="F303" s="3" t="s">
        <v>1102</v>
      </c>
      <c r="G303" s="3"/>
      <c r="H303" s="4" t="s">
        <v>541</v>
      </c>
      <c r="I303" s="3" t="s">
        <v>535</v>
      </c>
      <c r="J303" s="3" t="s">
        <v>535</v>
      </c>
      <c r="K303" s="3" t="s">
        <v>2272</v>
      </c>
      <c r="L303" s="3" t="s">
        <v>2272</v>
      </c>
      <c r="M303" s="3" t="s">
        <v>2272</v>
      </c>
      <c r="N303" s="3" t="s">
        <v>2272</v>
      </c>
      <c r="O303" s="3" t="s">
        <v>2272</v>
      </c>
      <c r="P303" s="3" t="s">
        <v>2272</v>
      </c>
      <c r="Q303" s="3" t="s">
        <v>2272</v>
      </c>
      <c r="R303" s="3" t="s">
        <v>2272</v>
      </c>
      <c r="S303" s="3" t="s">
        <v>2272</v>
      </c>
      <c r="T303" s="3" t="s">
        <v>2272</v>
      </c>
      <c r="U303" s="3" t="s">
        <v>2272</v>
      </c>
      <c r="V303" s="3" t="s">
        <v>2272</v>
      </c>
      <c r="W303" s="4" t="s">
        <v>2456</v>
      </c>
    </row>
    <row r="304" spans="1:23" ht="73" customHeight="1">
      <c r="A304" s="19" t="s">
        <v>2619</v>
      </c>
      <c r="B304" s="19" t="s">
        <v>2625</v>
      </c>
      <c r="C304" s="23" t="s">
        <v>23</v>
      </c>
      <c r="D304" s="3" t="s">
        <v>26</v>
      </c>
      <c r="E304" s="3" t="s">
        <v>128</v>
      </c>
      <c r="F304" s="11" t="s">
        <v>73</v>
      </c>
      <c r="G304" s="3"/>
      <c r="H304" s="4" t="s">
        <v>539</v>
      </c>
      <c r="I304" s="3" t="s">
        <v>2685</v>
      </c>
      <c r="J304" s="3" t="s">
        <v>532</v>
      </c>
      <c r="K304" s="3" t="s">
        <v>2272</v>
      </c>
      <c r="L304" s="3" t="s">
        <v>2272</v>
      </c>
      <c r="M304" s="3" t="s">
        <v>2272</v>
      </c>
      <c r="N304" s="3" t="s">
        <v>2272</v>
      </c>
      <c r="O304" s="3" t="s">
        <v>2272</v>
      </c>
      <c r="P304" s="3" t="s">
        <v>2272</v>
      </c>
      <c r="Q304" s="3" t="s">
        <v>2272</v>
      </c>
      <c r="R304" s="3" t="s">
        <v>532</v>
      </c>
      <c r="S304" s="3" t="s">
        <v>532</v>
      </c>
      <c r="T304" s="3" t="s">
        <v>2272</v>
      </c>
      <c r="U304" s="3" t="s">
        <v>2272</v>
      </c>
      <c r="V304" s="3" t="s">
        <v>2272</v>
      </c>
      <c r="W304" s="4" t="s">
        <v>2692</v>
      </c>
    </row>
    <row r="305" spans="1:23" ht="43.5" customHeight="1">
      <c r="A305" s="19" t="s">
        <v>2619</v>
      </c>
      <c r="B305" s="19" t="s">
        <v>2626</v>
      </c>
      <c r="C305" s="23" t="s">
        <v>23</v>
      </c>
      <c r="D305" s="3" t="s">
        <v>26</v>
      </c>
      <c r="E305" s="3" t="s">
        <v>128</v>
      </c>
      <c r="F305" s="11" t="s">
        <v>73</v>
      </c>
      <c r="G305" s="3"/>
      <c r="H305" s="4" t="s">
        <v>2627</v>
      </c>
      <c r="I305" s="3" t="s">
        <v>2685</v>
      </c>
      <c r="J305" s="3" t="s">
        <v>535</v>
      </c>
      <c r="K305" s="3" t="s">
        <v>532</v>
      </c>
      <c r="L305" s="3" t="s">
        <v>2272</v>
      </c>
      <c r="M305" s="3" t="s">
        <v>2272</v>
      </c>
      <c r="N305" s="3" t="s">
        <v>2272</v>
      </c>
      <c r="O305" s="3" t="s">
        <v>2272</v>
      </c>
      <c r="P305" s="3" t="s">
        <v>2272</v>
      </c>
      <c r="Q305" s="3" t="s">
        <v>2272</v>
      </c>
      <c r="R305" s="3" t="s">
        <v>2272</v>
      </c>
      <c r="S305" s="3" t="s">
        <v>2272</v>
      </c>
      <c r="T305" s="3" t="s">
        <v>2272</v>
      </c>
      <c r="U305" s="3" t="s">
        <v>2272</v>
      </c>
      <c r="V305" s="3" t="s">
        <v>2272</v>
      </c>
      <c r="W305" s="4" t="s">
        <v>2681</v>
      </c>
    </row>
    <row r="306" spans="1:23" ht="127" customHeight="1">
      <c r="A306" s="19" t="s">
        <v>2619</v>
      </c>
      <c r="B306" s="19" t="s">
        <v>2684</v>
      </c>
      <c r="C306" s="23" t="s">
        <v>23</v>
      </c>
      <c r="D306" s="3" t="s">
        <v>26</v>
      </c>
      <c r="E306" s="3" t="s">
        <v>128</v>
      </c>
      <c r="F306" s="11" t="s">
        <v>73</v>
      </c>
      <c r="G306" s="3"/>
      <c r="H306" s="4" t="s">
        <v>539</v>
      </c>
      <c r="I306" s="3" t="s">
        <v>2686</v>
      </c>
      <c r="J306" s="3" t="s">
        <v>532</v>
      </c>
      <c r="K306" s="3" t="s">
        <v>2272</v>
      </c>
      <c r="L306" s="3" t="s">
        <v>535</v>
      </c>
      <c r="M306" s="3" t="s">
        <v>2272</v>
      </c>
      <c r="N306" s="3" t="s">
        <v>2272</v>
      </c>
      <c r="O306" s="3" t="s">
        <v>2272</v>
      </c>
      <c r="P306" s="3" t="s">
        <v>2272</v>
      </c>
      <c r="Q306" s="3" t="s">
        <v>2272</v>
      </c>
      <c r="R306" s="3" t="s">
        <v>532</v>
      </c>
      <c r="S306" s="3" t="s">
        <v>532</v>
      </c>
      <c r="T306" s="3" t="s">
        <v>2272</v>
      </c>
      <c r="U306" s="3" t="s">
        <v>2272</v>
      </c>
      <c r="V306" s="3" t="s">
        <v>2272</v>
      </c>
      <c r="W306" s="4" t="s">
        <v>2691</v>
      </c>
    </row>
    <row r="307" spans="1:23" ht="88" customHeight="1">
      <c r="A307" s="19" t="s">
        <v>2619</v>
      </c>
      <c r="B307" s="19" t="s">
        <v>2693</v>
      </c>
      <c r="C307" s="23" t="s">
        <v>23</v>
      </c>
      <c r="D307" s="3" t="s">
        <v>141</v>
      </c>
      <c r="E307" s="3" t="s">
        <v>82</v>
      </c>
      <c r="F307" s="11" t="s">
        <v>73</v>
      </c>
      <c r="G307" s="3"/>
      <c r="H307" s="4" t="s">
        <v>539</v>
      </c>
      <c r="I307" s="3" t="s">
        <v>2272</v>
      </c>
      <c r="J307" s="3" t="s">
        <v>2272</v>
      </c>
      <c r="K307" s="3" t="s">
        <v>2272</v>
      </c>
      <c r="L307" s="3" t="s">
        <v>2272</v>
      </c>
      <c r="M307" s="3" t="s">
        <v>2664</v>
      </c>
      <c r="N307" s="3" t="s">
        <v>2272</v>
      </c>
      <c r="O307" s="3" t="s">
        <v>532</v>
      </c>
      <c r="P307" s="3" t="s">
        <v>2272</v>
      </c>
      <c r="Q307" s="3" t="s">
        <v>2272</v>
      </c>
      <c r="R307" s="3" t="s">
        <v>535</v>
      </c>
      <c r="S307" s="3" t="s">
        <v>535</v>
      </c>
      <c r="T307" s="3" t="s">
        <v>535</v>
      </c>
      <c r="U307" s="3" t="s">
        <v>535</v>
      </c>
      <c r="V307" s="3" t="s">
        <v>2272</v>
      </c>
      <c r="W307" s="4" t="s">
        <v>2694</v>
      </c>
    </row>
    <row r="308" spans="1:23" ht="81" customHeight="1">
      <c r="A308" s="19" t="s">
        <v>2620</v>
      </c>
      <c r="B308" s="19" t="s">
        <v>2624</v>
      </c>
      <c r="C308" s="23" t="s">
        <v>23</v>
      </c>
      <c r="D308" s="3" t="s">
        <v>26</v>
      </c>
      <c r="E308" s="3" t="s">
        <v>128</v>
      </c>
      <c r="F308" s="11" t="s">
        <v>73</v>
      </c>
      <c r="G308" s="3"/>
      <c r="H308" s="4" t="s">
        <v>539</v>
      </c>
      <c r="I308" s="3" t="s">
        <v>2685</v>
      </c>
      <c r="J308" s="3" t="s">
        <v>532</v>
      </c>
      <c r="K308" s="3" t="s">
        <v>2272</v>
      </c>
      <c r="L308" s="3" t="s">
        <v>2272</v>
      </c>
      <c r="M308" s="3" t="s">
        <v>2272</v>
      </c>
      <c r="N308" s="3" t="s">
        <v>2272</v>
      </c>
      <c r="O308" s="3" t="s">
        <v>2272</v>
      </c>
      <c r="P308" s="3" t="s">
        <v>2272</v>
      </c>
      <c r="Q308" s="3" t="s">
        <v>2272</v>
      </c>
      <c r="R308" s="3" t="s">
        <v>532</v>
      </c>
      <c r="S308" s="3" t="s">
        <v>532</v>
      </c>
      <c r="T308" s="3" t="s">
        <v>2272</v>
      </c>
      <c r="U308" s="3" t="s">
        <v>2272</v>
      </c>
      <c r="V308" s="3" t="s">
        <v>2272</v>
      </c>
      <c r="W308" s="4" t="s">
        <v>2692</v>
      </c>
    </row>
    <row r="309" spans="1:23" ht="101" customHeight="1">
      <c r="A309" s="19" t="s">
        <v>2620</v>
      </c>
      <c r="B309" s="19" t="s">
        <v>2682</v>
      </c>
      <c r="C309" s="23" t="s">
        <v>23</v>
      </c>
      <c r="D309" s="3" t="s">
        <v>26</v>
      </c>
      <c r="E309" s="3" t="s">
        <v>128</v>
      </c>
      <c r="F309" s="11" t="s">
        <v>73</v>
      </c>
      <c r="G309" s="3"/>
      <c r="H309" s="4" t="s">
        <v>2627</v>
      </c>
      <c r="I309" s="3" t="s">
        <v>2685</v>
      </c>
      <c r="J309" s="3" t="s">
        <v>535</v>
      </c>
      <c r="K309" s="3" t="s">
        <v>532</v>
      </c>
      <c r="L309" s="3" t="s">
        <v>2272</v>
      </c>
      <c r="M309" s="3" t="s">
        <v>2664</v>
      </c>
      <c r="N309" s="3" t="s">
        <v>2272</v>
      </c>
      <c r="O309" s="3" t="s">
        <v>532</v>
      </c>
      <c r="P309" s="3" t="s">
        <v>2272</v>
      </c>
      <c r="Q309" s="3" t="s">
        <v>2272</v>
      </c>
      <c r="R309" s="3" t="s">
        <v>2272</v>
      </c>
      <c r="S309" s="3" t="s">
        <v>2272</v>
      </c>
      <c r="T309" s="3" t="s">
        <v>2272</v>
      </c>
      <c r="U309" s="3" t="s">
        <v>2272</v>
      </c>
      <c r="V309" s="3" t="s">
        <v>2272</v>
      </c>
      <c r="W309" s="4" t="s">
        <v>2699</v>
      </c>
    </row>
    <row r="310" spans="1:23" ht="124" customHeight="1">
      <c r="A310" s="19" t="s">
        <v>2620</v>
      </c>
      <c r="B310" s="19" t="s">
        <v>2689</v>
      </c>
      <c r="C310" s="23" t="s">
        <v>23</v>
      </c>
      <c r="D310" s="3" t="s">
        <v>26</v>
      </c>
      <c r="E310" s="3" t="s">
        <v>128</v>
      </c>
      <c r="F310" s="11" t="s">
        <v>73</v>
      </c>
      <c r="G310" s="3"/>
      <c r="H310" s="4" t="s">
        <v>539</v>
      </c>
      <c r="I310" s="3" t="s">
        <v>2686</v>
      </c>
      <c r="J310" s="3" t="s">
        <v>532</v>
      </c>
      <c r="K310" s="3" t="s">
        <v>2272</v>
      </c>
      <c r="L310" s="3" t="s">
        <v>535</v>
      </c>
      <c r="M310" s="3" t="s">
        <v>2272</v>
      </c>
      <c r="N310" s="3" t="s">
        <v>2272</v>
      </c>
      <c r="O310" s="3" t="s">
        <v>2272</v>
      </c>
      <c r="P310" s="3" t="s">
        <v>2272</v>
      </c>
      <c r="Q310" s="3" t="s">
        <v>2272</v>
      </c>
      <c r="R310" s="3" t="s">
        <v>532</v>
      </c>
      <c r="S310" s="3" t="s">
        <v>532</v>
      </c>
      <c r="T310" s="3" t="s">
        <v>2272</v>
      </c>
      <c r="U310" s="3" t="s">
        <v>2272</v>
      </c>
      <c r="V310" s="3" t="s">
        <v>2272</v>
      </c>
      <c r="W310" s="4" t="s">
        <v>2691</v>
      </c>
    </row>
    <row r="311" spans="1:23" ht="72" customHeight="1">
      <c r="A311" s="19" t="s">
        <v>2620</v>
      </c>
      <c r="B311" s="19" t="s">
        <v>2695</v>
      </c>
      <c r="C311" s="23" t="s">
        <v>23</v>
      </c>
      <c r="D311" s="3" t="s">
        <v>141</v>
      </c>
      <c r="E311" s="3" t="s">
        <v>82</v>
      </c>
      <c r="F311" s="11" t="s">
        <v>73</v>
      </c>
      <c r="G311" s="3"/>
      <c r="H311" s="4" t="s">
        <v>539</v>
      </c>
      <c r="I311" s="3" t="s">
        <v>2272</v>
      </c>
      <c r="J311" s="3" t="s">
        <v>2272</v>
      </c>
      <c r="K311" s="3" t="s">
        <v>2272</v>
      </c>
      <c r="L311" s="3" t="s">
        <v>2272</v>
      </c>
      <c r="M311" s="3" t="s">
        <v>2664</v>
      </c>
      <c r="N311" s="3" t="s">
        <v>2272</v>
      </c>
      <c r="O311" s="3" t="s">
        <v>532</v>
      </c>
      <c r="P311" s="3" t="s">
        <v>2272</v>
      </c>
      <c r="Q311" s="3" t="s">
        <v>2272</v>
      </c>
      <c r="R311" s="3" t="s">
        <v>535</v>
      </c>
      <c r="S311" s="3" t="s">
        <v>535</v>
      </c>
      <c r="T311" s="3" t="s">
        <v>535</v>
      </c>
      <c r="U311" s="3" t="s">
        <v>535</v>
      </c>
      <c r="V311" s="3" t="s">
        <v>2272</v>
      </c>
      <c r="W311" s="4" t="s">
        <v>2694</v>
      </c>
    </row>
    <row r="312" spans="1:23" ht="59" customHeight="1">
      <c r="A312" s="19" t="s">
        <v>2673</v>
      </c>
      <c r="B312" s="19" t="s">
        <v>2676</v>
      </c>
      <c r="C312" s="23" t="s">
        <v>23</v>
      </c>
      <c r="D312" s="3" t="s">
        <v>141</v>
      </c>
      <c r="E312" s="3" t="s">
        <v>82</v>
      </c>
      <c r="F312" s="11" t="s">
        <v>73</v>
      </c>
      <c r="G312" s="3"/>
      <c r="H312" s="4" t="s">
        <v>539</v>
      </c>
      <c r="I312" s="3" t="s">
        <v>2272</v>
      </c>
      <c r="J312" s="3" t="s">
        <v>2272</v>
      </c>
      <c r="K312" s="3" t="s">
        <v>2272</v>
      </c>
      <c r="L312" s="3" t="s">
        <v>2272</v>
      </c>
      <c r="M312" s="3" t="s">
        <v>2664</v>
      </c>
      <c r="N312" s="3" t="s">
        <v>2272</v>
      </c>
      <c r="O312" s="3" t="s">
        <v>532</v>
      </c>
      <c r="P312" s="3" t="s">
        <v>2272</v>
      </c>
      <c r="Q312" s="3" t="s">
        <v>2272</v>
      </c>
      <c r="R312" s="3" t="s">
        <v>535</v>
      </c>
      <c r="S312" s="3" t="s">
        <v>535</v>
      </c>
      <c r="T312" s="3" t="s">
        <v>535</v>
      </c>
      <c r="U312" s="3" t="s">
        <v>535</v>
      </c>
      <c r="V312" s="3" t="s">
        <v>2272</v>
      </c>
      <c r="W312" s="4" t="s">
        <v>2694</v>
      </c>
    </row>
    <row r="313" spans="1:23" ht="60" customHeight="1">
      <c r="A313" s="19" t="s">
        <v>2673</v>
      </c>
      <c r="B313" s="19" t="s">
        <v>2696</v>
      </c>
      <c r="C313" s="23" t="s">
        <v>23</v>
      </c>
      <c r="D313" s="3" t="s">
        <v>26</v>
      </c>
      <c r="E313" s="3" t="s">
        <v>128</v>
      </c>
      <c r="F313" s="11" t="s">
        <v>73</v>
      </c>
      <c r="G313" s="3"/>
      <c r="H313" s="4" t="s">
        <v>539</v>
      </c>
      <c r="I313" s="3" t="s">
        <v>2272</v>
      </c>
      <c r="J313" s="3" t="s">
        <v>2272</v>
      </c>
      <c r="K313" s="3" t="s">
        <v>2272</v>
      </c>
      <c r="L313" s="3" t="s">
        <v>2272</v>
      </c>
      <c r="M313" s="3" t="s">
        <v>2272</v>
      </c>
      <c r="N313" s="3" t="s">
        <v>2272</v>
      </c>
      <c r="O313" s="3" t="s">
        <v>2272</v>
      </c>
      <c r="P313" s="3" t="s">
        <v>2272</v>
      </c>
      <c r="Q313" s="3" t="s">
        <v>2272</v>
      </c>
      <c r="R313" s="3" t="s">
        <v>532</v>
      </c>
      <c r="S313" s="3" t="s">
        <v>532</v>
      </c>
      <c r="T313" s="3" t="s">
        <v>2272</v>
      </c>
      <c r="U313" s="3" t="s">
        <v>2272</v>
      </c>
      <c r="V313" s="3" t="s">
        <v>2272</v>
      </c>
      <c r="W313" s="4" t="s">
        <v>2697</v>
      </c>
    </row>
    <row r="314" spans="1:23" ht="55.5" customHeight="1">
      <c r="A314" s="19" t="s">
        <v>2677</v>
      </c>
      <c r="B314" s="19" t="s">
        <v>2680</v>
      </c>
      <c r="C314" s="23" t="s">
        <v>23</v>
      </c>
      <c r="D314" s="3" t="s">
        <v>141</v>
      </c>
      <c r="E314" s="3" t="s">
        <v>82</v>
      </c>
      <c r="F314" s="11" t="s">
        <v>73</v>
      </c>
      <c r="G314" s="3"/>
      <c r="H314" s="4" t="s">
        <v>539</v>
      </c>
      <c r="I314" s="3" t="s">
        <v>2272</v>
      </c>
      <c r="J314" s="3" t="s">
        <v>2272</v>
      </c>
      <c r="K314" s="3" t="s">
        <v>2272</v>
      </c>
      <c r="L314" s="3" t="s">
        <v>2272</v>
      </c>
      <c r="M314" s="3" t="s">
        <v>2664</v>
      </c>
      <c r="N314" s="3" t="s">
        <v>2272</v>
      </c>
      <c r="O314" s="3" t="s">
        <v>532</v>
      </c>
      <c r="P314" s="3" t="s">
        <v>2272</v>
      </c>
      <c r="Q314" s="3" t="s">
        <v>2272</v>
      </c>
      <c r="R314" s="3" t="s">
        <v>535</v>
      </c>
      <c r="S314" s="3" t="s">
        <v>535</v>
      </c>
      <c r="T314" s="3" t="s">
        <v>535</v>
      </c>
      <c r="U314" s="3" t="s">
        <v>535</v>
      </c>
      <c r="V314" s="3" t="s">
        <v>2272</v>
      </c>
      <c r="W314" s="4" t="s">
        <v>2694</v>
      </c>
    </row>
    <row r="315" spans="1:23" ht="54.5" customHeight="1">
      <c r="A315" s="19" t="s">
        <v>2677</v>
      </c>
      <c r="B315" s="19" t="s">
        <v>2698</v>
      </c>
      <c r="C315" s="23" t="s">
        <v>23</v>
      </c>
      <c r="D315" s="3" t="s">
        <v>26</v>
      </c>
      <c r="E315" s="3" t="s">
        <v>128</v>
      </c>
      <c r="F315" s="11" t="s">
        <v>73</v>
      </c>
      <c r="G315" s="3"/>
      <c r="H315" s="4" t="s">
        <v>539</v>
      </c>
      <c r="I315" s="3" t="s">
        <v>2272</v>
      </c>
      <c r="J315" s="3" t="s">
        <v>2272</v>
      </c>
      <c r="K315" s="3" t="s">
        <v>2272</v>
      </c>
      <c r="L315" s="3" t="s">
        <v>2272</v>
      </c>
      <c r="M315" s="3" t="s">
        <v>2272</v>
      </c>
      <c r="N315" s="3" t="s">
        <v>2272</v>
      </c>
      <c r="O315" s="3" t="s">
        <v>2272</v>
      </c>
      <c r="P315" s="3" t="s">
        <v>2272</v>
      </c>
      <c r="Q315" s="3" t="s">
        <v>2272</v>
      </c>
      <c r="R315" s="3" t="s">
        <v>532</v>
      </c>
      <c r="S315" s="3" t="s">
        <v>532</v>
      </c>
      <c r="T315" s="3" t="s">
        <v>2272</v>
      </c>
      <c r="U315" s="3" t="s">
        <v>2272</v>
      </c>
      <c r="V315" s="3" t="s">
        <v>2272</v>
      </c>
      <c r="W315" s="4" t="s">
        <v>2697</v>
      </c>
    </row>
    <row r="316" spans="1:23" ht="49.5" customHeight="1">
      <c r="A316" s="3" t="s">
        <v>2702</v>
      </c>
      <c r="B316" s="3" t="s">
        <v>2716</v>
      </c>
      <c r="C316" s="3" t="s">
        <v>23</v>
      </c>
      <c r="D316" s="3" t="s">
        <v>1102</v>
      </c>
      <c r="E316" s="3" t="s">
        <v>1102</v>
      </c>
      <c r="F316" s="11" t="s">
        <v>73</v>
      </c>
      <c r="G316" s="3"/>
      <c r="H316" s="4" t="s">
        <v>539</v>
      </c>
      <c r="I316" s="3" t="s">
        <v>2272</v>
      </c>
      <c r="J316" s="3" t="s">
        <v>2272</v>
      </c>
      <c r="K316" s="3" t="s">
        <v>2272</v>
      </c>
      <c r="L316" s="3" t="s">
        <v>2272</v>
      </c>
      <c r="M316" s="3" t="s">
        <v>2723</v>
      </c>
      <c r="N316" s="3" t="s">
        <v>2272</v>
      </c>
      <c r="O316" s="3" t="s">
        <v>2272</v>
      </c>
      <c r="P316" s="3" t="s">
        <v>2272</v>
      </c>
      <c r="Q316" s="3">
        <v>4</v>
      </c>
      <c r="R316" s="3" t="s">
        <v>2272</v>
      </c>
      <c r="S316" s="3" t="s">
        <v>2272</v>
      </c>
      <c r="T316" s="3" t="s">
        <v>2272</v>
      </c>
      <c r="U316" s="3" t="s">
        <v>2272</v>
      </c>
      <c r="V316" s="3" t="s">
        <v>2272</v>
      </c>
      <c r="W316" s="4" t="s">
        <v>2736</v>
      </c>
    </row>
    <row r="317" spans="1:23" ht="49.5" customHeight="1">
      <c r="A317" s="3" t="s">
        <v>2702</v>
      </c>
      <c r="B317" s="3" t="s">
        <v>2717</v>
      </c>
      <c r="C317" s="3" t="s">
        <v>23</v>
      </c>
      <c r="D317" s="3" t="s">
        <v>26</v>
      </c>
      <c r="E317" s="3" t="s">
        <v>128</v>
      </c>
      <c r="F317" s="11" t="s">
        <v>73</v>
      </c>
      <c r="G317" s="3"/>
      <c r="H317" s="4" t="s">
        <v>2718</v>
      </c>
      <c r="I317" s="3" t="s">
        <v>532</v>
      </c>
      <c r="J317" s="3" t="s">
        <v>2272</v>
      </c>
      <c r="K317" s="3" t="s">
        <v>532</v>
      </c>
      <c r="L317" s="3" t="s">
        <v>2272</v>
      </c>
      <c r="M317" s="3" t="s">
        <v>2272</v>
      </c>
      <c r="N317" s="3" t="s">
        <v>2272</v>
      </c>
      <c r="O317" s="3" t="s">
        <v>2272</v>
      </c>
      <c r="P317" s="3" t="s">
        <v>2272</v>
      </c>
      <c r="Q317" s="3" t="s">
        <v>2272</v>
      </c>
      <c r="R317" s="3" t="s">
        <v>2272</v>
      </c>
      <c r="S317" s="3" t="s">
        <v>2272</v>
      </c>
      <c r="T317" s="3" t="s">
        <v>2272</v>
      </c>
      <c r="U317" s="3" t="s">
        <v>2272</v>
      </c>
      <c r="V317" s="3" t="s">
        <v>2272</v>
      </c>
      <c r="W317" s="4" t="s">
        <v>2721</v>
      </c>
    </row>
    <row r="318" spans="1:23" ht="91" customHeight="1">
      <c r="A318" s="19" t="s">
        <v>2703</v>
      </c>
      <c r="B318" s="19" t="s">
        <v>2715</v>
      </c>
      <c r="C318" s="3" t="s">
        <v>23</v>
      </c>
      <c r="D318" s="3" t="s">
        <v>1102</v>
      </c>
      <c r="E318" s="3" t="s">
        <v>1102</v>
      </c>
      <c r="F318" s="11" t="s">
        <v>73</v>
      </c>
      <c r="G318" s="3"/>
      <c r="H318" s="4" t="s">
        <v>539</v>
      </c>
      <c r="I318" s="3" t="s">
        <v>2685</v>
      </c>
      <c r="J318" s="3" t="s">
        <v>532</v>
      </c>
      <c r="K318" s="3" t="s">
        <v>532</v>
      </c>
      <c r="L318" s="3" t="s">
        <v>2272</v>
      </c>
      <c r="M318" s="3" t="s">
        <v>2723</v>
      </c>
      <c r="N318" s="3" t="s">
        <v>2272</v>
      </c>
      <c r="O318" s="3" t="s">
        <v>2272</v>
      </c>
      <c r="P318" s="3" t="s">
        <v>2272</v>
      </c>
      <c r="Q318" s="3">
        <v>4</v>
      </c>
      <c r="R318" s="3" t="s">
        <v>2272</v>
      </c>
      <c r="S318" s="3" t="s">
        <v>2272</v>
      </c>
      <c r="T318" s="3" t="s">
        <v>2272</v>
      </c>
      <c r="U318" s="3" t="s">
        <v>2272</v>
      </c>
      <c r="V318" s="3" t="s">
        <v>2272</v>
      </c>
      <c r="W318" s="4" t="s">
        <v>2737</v>
      </c>
    </row>
    <row r="319" spans="1:23" ht="79" customHeight="1">
      <c r="A319" s="19" t="s">
        <v>2703</v>
      </c>
      <c r="B319" s="19" t="s">
        <v>2722</v>
      </c>
      <c r="C319" s="3" t="s">
        <v>23</v>
      </c>
      <c r="D319" s="3" t="s">
        <v>26</v>
      </c>
      <c r="E319" s="3" t="s">
        <v>128</v>
      </c>
      <c r="F319" s="11" t="s">
        <v>73</v>
      </c>
      <c r="G319" s="3"/>
      <c r="H319" s="4" t="s">
        <v>2668</v>
      </c>
      <c r="I319" s="3" t="s">
        <v>2685</v>
      </c>
      <c r="J319" s="3" t="s">
        <v>2272</v>
      </c>
      <c r="K319" s="3" t="s">
        <v>532</v>
      </c>
      <c r="L319" s="3" t="s">
        <v>2272</v>
      </c>
      <c r="M319" s="3" t="s">
        <v>2723</v>
      </c>
      <c r="N319" s="3" t="s">
        <v>2272</v>
      </c>
      <c r="O319" s="3" t="s">
        <v>2272</v>
      </c>
      <c r="P319" s="3" t="s">
        <v>2272</v>
      </c>
      <c r="Q319" s="3" t="s">
        <v>2272</v>
      </c>
      <c r="R319" s="3" t="s">
        <v>2272</v>
      </c>
      <c r="S319" s="3" t="s">
        <v>2272</v>
      </c>
      <c r="T319" s="3" t="s">
        <v>2272</v>
      </c>
      <c r="U319" s="3" t="s">
        <v>2272</v>
      </c>
      <c r="V319" s="3" t="s">
        <v>2272</v>
      </c>
      <c r="W319" s="4" t="s">
        <v>2724</v>
      </c>
    </row>
    <row r="320" spans="1:23" ht="65" customHeight="1">
      <c r="A320" s="3" t="s">
        <v>2704</v>
      </c>
      <c r="B320" s="3" t="s">
        <v>2711</v>
      </c>
      <c r="C320" s="3" t="s">
        <v>23</v>
      </c>
      <c r="D320" s="3" t="s">
        <v>1102</v>
      </c>
      <c r="E320" s="3" t="s">
        <v>1102</v>
      </c>
      <c r="F320" s="11" t="s">
        <v>73</v>
      </c>
      <c r="G320" s="3"/>
      <c r="H320" s="4" t="s">
        <v>539</v>
      </c>
      <c r="I320" s="3" t="s">
        <v>2272</v>
      </c>
      <c r="J320" s="3" t="s">
        <v>2272</v>
      </c>
      <c r="K320" s="3" t="s">
        <v>2272</v>
      </c>
      <c r="L320" s="3" t="s">
        <v>2272</v>
      </c>
      <c r="M320" s="3" t="s">
        <v>2723</v>
      </c>
      <c r="N320" s="3" t="s">
        <v>2272</v>
      </c>
      <c r="O320" s="3" t="s">
        <v>2272</v>
      </c>
      <c r="P320" s="3" t="s">
        <v>2272</v>
      </c>
      <c r="Q320" s="3">
        <v>4</v>
      </c>
      <c r="R320" s="3" t="s">
        <v>2272</v>
      </c>
      <c r="S320" s="3" t="s">
        <v>2272</v>
      </c>
      <c r="T320" s="3" t="s">
        <v>2272</v>
      </c>
      <c r="U320" s="3" t="s">
        <v>2272</v>
      </c>
      <c r="V320" s="3" t="s">
        <v>2272</v>
      </c>
      <c r="W320" s="4" t="s">
        <v>2736</v>
      </c>
    </row>
    <row r="321" spans="1:23" ht="56" customHeight="1">
      <c r="A321" s="3" t="s">
        <v>2704</v>
      </c>
      <c r="B321" s="3" t="s">
        <v>2725</v>
      </c>
      <c r="C321" s="3" t="s">
        <v>23</v>
      </c>
      <c r="D321" s="3" t="s">
        <v>1102</v>
      </c>
      <c r="E321" s="4" t="s">
        <v>82</v>
      </c>
      <c r="F321" s="11" t="s">
        <v>1102</v>
      </c>
      <c r="G321" s="3"/>
      <c r="H321" s="4" t="s">
        <v>2668</v>
      </c>
      <c r="I321" s="3" t="s">
        <v>2272</v>
      </c>
      <c r="J321" s="3" t="s">
        <v>2272</v>
      </c>
      <c r="K321" s="3" t="s">
        <v>2272</v>
      </c>
      <c r="L321" s="3" t="s">
        <v>2272</v>
      </c>
      <c r="M321" s="3" t="s">
        <v>2272</v>
      </c>
      <c r="N321" s="3" t="s">
        <v>2272</v>
      </c>
      <c r="O321" s="3" t="s">
        <v>2272</v>
      </c>
      <c r="P321" s="3" t="s">
        <v>2272</v>
      </c>
      <c r="Q321" s="3" t="s">
        <v>2272</v>
      </c>
      <c r="R321" s="3" t="s">
        <v>532</v>
      </c>
      <c r="S321" s="3" t="s">
        <v>2272</v>
      </c>
      <c r="T321" s="3" t="s">
        <v>532</v>
      </c>
      <c r="U321" s="3" t="s">
        <v>2272</v>
      </c>
      <c r="V321" s="3">
        <v>4</v>
      </c>
      <c r="W321" s="4" t="s">
        <v>2734</v>
      </c>
    </row>
    <row r="322" spans="1:23" ht="56" customHeight="1">
      <c r="A322" s="3" t="s">
        <v>2704</v>
      </c>
      <c r="B322" s="3" t="s">
        <v>2730</v>
      </c>
      <c r="C322" s="3" t="s">
        <v>23</v>
      </c>
      <c r="D322" s="3" t="s">
        <v>26</v>
      </c>
      <c r="E322" s="4" t="s">
        <v>82</v>
      </c>
      <c r="F322" s="11" t="s">
        <v>27</v>
      </c>
      <c r="G322" s="3"/>
      <c r="H322" s="4" t="s">
        <v>2668</v>
      </c>
      <c r="I322" s="3" t="s">
        <v>2685</v>
      </c>
      <c r="J322" s="3" t="s">
        <v>532</v>
      </c>
      <c r="K322" s="3" t="s">
        <v>2272</v>
      </c>
      <c r="L322" s="3" t="s">
        <v>2272</v>
      </c>
      <c r="M322" s="3" t="s">
        <v>2272</v>
      </c>
      <c r="N322" s="3" t="s">
        <v>2272</v>
      </c>
      <c r="O322" s="3" t="s">
        <v>2272</v>
      </c>
      <c r="P322" s="3" t="s">
        <v>2272</v>
      </c>
      <c r="Q322" s="3" t="s">
        <v>2272</v>
      </c>
      <c r="R322" s="3" t="s">
        <v>2272</v>
      </c>
      <c r="S322" s="3" t="s">
        <v>2272</v>
      </c>
      <c r="T322" s="3" t="s">
        <v>2272</v>
      </c>
      <c r="U322" s="3" t="s">
        <v>2272</v>
      </c>
      <c r="V322" s="3" t="s">
        <v>2272</v>
      </c>
      <c r="W322" s="4" t="s">
        <v>2733</v>
      </c>
    </row>
    <row r="323" spans="1:23" ht="47" customHeight="1">
      <c r="A323" s="3" t="s">
        <v>2704</v>
      </c>
      <c r="B323" s="3" t="s">
        <v>2732</v>
      </c>
      <c r="C323" s="3" t="s">
        <v>23</v>
      </c>
      <c r="D323" s="3" t="s">
        <v>26</v>
      </c>
      <c r="E323" s="3" t="s">
        <v>128</v>
      </c>
      <c r="F323" s="11" t="s">
        <v>1102</v>
      </c>
      <c r="G323" s="3"/>
      <c r="H323" s="4" t="s">
        <v>2668</v>
      </c>
      <c r="I323" s="3" t="s">
        <v>2272</v>
      </c>
      <c r="J323" s="3" t="s">
        <v>2272</v>
      </c>
      <c r="K323" s="3" t="s">
        <v>2272</v>
      </c>
      <c r="L323" s="3" t="s">
        <v>2272</v>
      </c>
      <c r="M323" s="3" t="s">
        <v>2272</v>
      </c>
      <c r="N323" s="3" t="s">
        <v>2272</v>
      </c>
      <c r="O323" s="3" t="s">
        <v>2272</v>
      </c>
      <c r="P323" s="3" t="s">
        <v>2272</v>
      </c>
      <c r="Q323" s="3" t="s">
        <v>2272</v>
      </c>
      <c r="R323" s="3" t="s">
        <v>532</v>
      </c>
      <c r="S323" s="3" t="s">
        <v>2272</v>
      </c>
      <c r="T323" s="3" t="s">
        <v>532</v>
      </c>
      <c r="U323" s="3" t="s">
        <v>2272</v>
      </c>
      <c r="V323" s="3">
        <v>1</v>
      </c>
      <c r="W323" s="4" t="s">
        <v>2731</v>
      </c>
    </row>
    <row r="324" spans="1:23" ht="136" customHeight="1">
      <c r="A324" s="3" t="s">
        <v>2764</v>
      </c>
      <c r="B324" s="11" t="s">
        <v>2765</v>
      </c>
      <c r="C324" s="11" t="s">
        <v>23</v>
      </c>
      <c r="D324" s="3" t="s">
        <v>26</v>
      </c>
      <c r="E324" s="3" t="s">
        <v>128</v>
      </c>
      <c r="F324" s="3" t="s">
        <v>73</v>
      </c>
      <c r="G324" s="3"/>
      <c r="H324" s="4" t="s">
        <v>539</v>
      </c>
      <c r="I324" s="3" t="s">
        <v>2685</v>
      </c>
      <c r="J324" s="3" t="s">
        <v>532</v>
      </c>
      <c r="K324" s="3" t="s">
        <v>532</v>
      </c>
      <c r="L324" s="3" t="s">
        <v>2272</v>
      </c>
      <c r="M324" s="3" t="s">
        <v>2664</v>
      </c>
      <c r="N324" s="3" t="s">
        <v>2272</v>
      </c>
      <c r="O324" s="3" t="s">
        <v>532</v>
      </c>
      <c r="P324" s="3" t="s">
        <v>2272</v>
      </c>
      <c r="Q324" s="3" t="s">
        <v>2272</v>
      </c>
      <c r="R324" s="3" t="s">
        <v>532</v>
      </c>
      <c r="S324" s="3" t="s">
        <v>532</v>
      </c>
      <c r="T324" s="3" t="s">
        <v>532</v>
      </c>
      <c r="U324" s="3"/>
      <c r="V324" s="3">
        <v>1</v>
      </c>
      <c r="W324" s="19" t="s">
        <v>2783</v>
      </c>
    </row>
    <row r="325" spans="1:23" ht="63" customHeight="1">
      <c r="A325" s="3" t="s">
        <v>2764</v>
      </c>
      <c r="B325" s="11" t="s">
        <v>2766</v>
      </c>
      <c r="C325" s="11" t="s">
        <v>23</v>
      </c>
      <c r="D325" s="3" t="s">
        <v>26</v>
      </c>
      <c r="E325" s="3" t="s">
        <v>128</v>
      </c>
      <c r="F325" s="3" t="s">
        <v>73</v>
      </c>
      <c r="G325" s="3"/>
      <c r="H325" s="4" t="s">
        <v>2668</v>
      </c>
      <c r="I325" s="3" t="s">
        <v>2272</v>
      </c>
      <c r="J325" s="3" t="s">
        <v>2272</v>
      </c>
      <c r="K325" s="3" t="s">
        <v>2272</v>
      </c>
      <c r="L325" s="3" t="s">
        <v>2272</v>
      </c>
      <c r="M325" s="3" t="s">
        <v>535</v>
      </c>
      <c r="N325" s="3" t="s">
        <v>535</v>
      </c>
      <c r="O325" s="3" t="s">
        <v>535</v>
      </c>
      <c r="P325" s="3" t="s">
        <v>535</v>
      </c>
      <c r="Q325" s="3" t="s">
        <v>535</v>
      </c>
      <c r="R325" s="3" t="s">
        <v>535</v>
      </c>
      <c r="S325" s="3" t="s">
        <v>535</v>
      </c>
      <c r="T325" s="3" t="s">
        <v>535</v>
      </c>
      <c r="U325" s="3" t="s">
        <v>535</v>
      </c>
      <c r="V325" s="3">
        <v>2</v>
      </c>
      <c r="W325" s="19" t="s">
        <v>2767</v>
      </c>
    </row>
    <row r="326" spans="1:23" ht="101.5">
      <c r="A326" s="3" t="s">
        <v>2768</v>
      </c>
      <c r="B326" s="11" t="s">
        <v>2778</v>
      </c>
      <c r="C326" s="11" t="s">
        <v>23</v>
      </c>
      <c r="D326" s="3" t="s">
        <v>26</v>
      </c>
      <c r="E326" s="3" t="s">
        <v>128</v>
      </c>
      <c r="F326" s="3" t="s">
        <v>73</v>
      </c>
      <c r="G326" s="3"/>
      <c r="H326" s="4" t="s">
        <v>539</v>
      </c>
      <c r="I326" s="3" t="s">
        <v>2685</v>
      </c>
      <c r="J326" s="3" t="s">
        <v>532</v>
      </c>
      <c r="K326" s="3" t="s">
        <v>532</v>
      </c>
      <c r="L326" s="3" t="s">
        <v>2272</v>
      </c>
      <c r="M326" s="3" t="s">
        <v>2664</v>
      </c>
      <c r="N326" s="3" t="s">
        <v>2272</v>
      </c>
      <c r="O326" s="3" t="s">
        <v>532</v>
      </c>
      <c r="P326" s="3" t="s">
        <v>2272</v>
      </c>
      <c r="Q326" s="3" t="s">
        <v>2272</v>
      </c>
      <c r="R326" s="3" t="s">
        <v>532</v>
      </c>
      <c r="S326" s="3" t="s">
        <v>532</v>
      </c>
      <c r="T326" s="3" t="s">
        <v>532</v>
      </c>
      <c r="U326" s="3"/>
      <c r="V326" s="3">
        <v>1</v>
      </c>
      <c r="W326" s="19" t="s">
        <v>2783</v>
      </c>
    </row>
    <row r="327" spans="1:23" ht="43.5" customHeight="1">
      <c r="A327" s="3" t="s">
        <v>2768</v>
      </c>
      <c r="B327" s="11" t="s">
        <v>2786</v>
      </c>
      <c r="C327" s="11" t="s">
        <v>23</v>
      </c>
      <c r="D327" s="3" t="s">
        <v>26</v>
      </c>
      <c r="E327" s="3" t="s">
        <v>128</v>
      </c>
      <c r="F327" s="3" t="s">
        <v>73</v>
      </c>
      <c r="G327" s="3"/>
      <c r="H327" s="4" t="s">
        <v>2668</v>
      </c>
      <c r="I327" s="3" t="s">
        <v>2272</v>
      </c>
      <c r="J327" s="3" t="s">
        <v>2272</v>
      </c>
      <c r="K327" s="3" t="s">
        <v>2272</v>
      </c>
      <c r="L327" s="3" t="s">
        <v>2272</v>
      </c>
      <c r="M327" s="3" t="s">
        <v>535</v>
      </c>
      <c r="N327" s="3" t="s">
        <v>535</v>
      </c>
      <c r="O327" s="3" t="s">
        <v>535</v>
      </c>
      <c r="P327" s="3" t="s">
        <v>535</v>
      </c>
      <c r="Q327" s="3" t="s">
        <v>535</v>
      </c>
      <c r="R327" s="3" t="s">
        <v>535</v>
      </c>
      <c r="S327" s="3" t="s">
        <v>535</v>
      </c>
      <c r="T327" s="3" t="s">
        <v>535</v>
      </c>
      <c r="U327" s="3" t="s">
        <v>535</v>
      </c>
      <c r="V327" s="3">
        <v>2</v>
      </c>
      <c r="W327" s="19" t="s">
        <v>2767</v>
      </c>
    </row>
    <row r="328" spans="1:23" ht="101.5">
      <c r="A328" s="3" t="s">
        <v>2769</v>
      </c>
      <c r="B328" s="11" t="s">
        <v>2779</v>
      </c>
      <c r="C328" s="11" t="s">
        <v>23</v>
      </c>
      <c r="D328" s="3" t="s">
        <v>26</v>
      </c>
      <c r="E328" s="3" t="s">
        <v>128</v>
      </c>
      <c r="F328" s="3" t="s">
        <v>73</v>
      </c>
      <c r="G328" s="3"/>
      <c r="H328" s="4" t="s">
        <v>539</v>
      </c>
      <c r="I328" s="3" t="s">
        <v>2685</v>
      </c>
      <c r="J328" s="3" t="s">
        <v>532</v>
      </c>
      <c r="K328" s="3" t="s">
        <v>532</v>
      </c>
      <c r="L328" s="3" t="s">
        <v>2272</v>
      </c>
      <c r="M328" s="3" t="s">
        <v>2664</v>
      </c>
      <c r="N328" s="3" t="s">
        <v>2272</v>
      </c>
      <c r="O328" s="3" t="s">
        <v>532</v>
      </c>
      <c r="P328" s="3" t="s">
        <v>2272</v>
      </c>
      <c r="Q328" s="3" t="s">
        <v>2272</v>
      </c>
      <c r="R328" s="3" t="s">
        <v>532</v>
      </c>
      <c r="S328" s="3" t="s">
        <v>532</v>
      </c>
      <c r="T328" s="3" t="s">
        <v>532</v>
      </c>
      <c r="U328" s="3" t="s">
        <v>2272</v>
      </c>
      <c r="V328" s="3">
        <v>1</v>
      </c>
      <c r="W328" s="19" t="s">
        <v>2783</v>
      </c>
    </row>
    <row r="329" spans="1:23" ht="53.5" customHeight="1">
      <c r="A329" s="3" t="s">
        <v>2769</v>
      </c>
      <c r="B329" s="11" t="s">
        <v>2787</v>
      </c>
      <c r="C329" s="11" t="s">
        <v>23</v>
      </c>
      <c r="D329" s="3" t="s">
        <v>26</v>
      </c>
      <c r="E329" s="3" t="s">
        <v>128</v>
      </c>
      <c r="F329" s="3" t="s">
        <v>73</v>
      </c>
      <c r="G329" s="3"/>
      <c r="H329" s="4" t="s">
        <v>2668</v>
      </c>
      <c r="I329" s="3" t="s">
        <v>2272</v>
      </c>
      <c r="J329" s="3" t="s">
        <v>2272</v>
      </c>
      <c r="K329" s="3" t="s">
        <v>2272</v>
      </c>
      <c r="L329" s="3" t="s">
        <v>2272</v>
      </c>
      <c r="M329" s="3" t="s">
        <v>535</v>
      </c>
      <c r="N329" s="3" t="s">
        <v>535</v>
      </c>
      <c r="O329" s="3" t="s">
        <v>535</v>
      </c>
      <c r="P329" s="3" t="s">
        <v>535</v>
      </c>
      <c r="Q329" s="3" t="s">
        <v>535</v>
      </c>
      <c r="R329" s="3" t="s">
        <v>535</v>
      </c>
      <c r="S329" s="3" t="s">
        <v>535</v>
      </c>
      <c r="T329" s="3" t="s">
        <v>535</v>
      </c>
      <c r="U329" s="3" t="s">
        <v>535</v>
      </c>
      <c r="V329" s="3">
        <v>2</v>
      </c>
      <c r="W329" s="19" t="s">
        <v>2767</v>
      </c>
    </row>
    <row r="330" spans="1:23" ht="145" customHeight="1">
      <c r="A330" s="3" t="s">
        <v>2770</v>
      </c>
      <c r="B330" s="3" t="s">
        <v>2780</v>
      </c>
      <c r="C330" s="11" t="s">
        <v>23</v>
      </c>
      <c r="D330" s="3" t="s">
        <v>26</v>
      </c>
      <c r="E330" s="3" t="s">
        <v>128</v>
      </c>
      <c r="F330" s="3" t="s">
        <v>73</v>
      </c>
      <c r="G330" s="3"/>
      <c r="H330" s="4" t="s">
        <v>539</v>
      </c>
      <c r="I330" s="3" t="s">
        <v>2685</v>
      </c>
      <c r="J330" s="3" t="s">
        <v>532</v>
      </c>
      <c r="K330" s="3" t="s">
        <v>532</v>
      </c>
      <c r="L330" s="3" t="s">
        <v>2272</v>
      </c>
      <c r="M330" s="3" t="s">
        <v>2664</v>
      </c>
      <c r="N330" s="3" t="s">
        <v>2272</v>
      </c>
      <c r="O330" s="3" t="s">
        <v>532</v>
      </c>
      <c r="P330" s="3" t="s">
        <v>2272</v>
      </c>
      <c r="Q330" s="3" t="s">
        <v>2272</v>
      </c>
      <c r="R330" s="3" t="s">
        <v>532</v>
      </c>
      <c r="S330" s="3" t="s">
        <v>532</v>
      </c>
      <c r="T330" s="3" t="s">
        <v>532</v>
      </c>
      <c r="U330" s="3" t="s">
        <v>2272</v>
      </c>
      <c r="V330" s="3">
        <v>1</v>
      </c>
      <c r="W330" s="19" t="s">
        <v>2783</v>
      </c>
    </row>
    <row r="331" spans="1:23" ht="56.5" customHeight="1">
      <c r="A331" s="3" t="s">
        <v>2770</v>
      </c>
      <c r="B331" s="11" t="s">
        <v>2788</v>
      </c>
      <c r="C331" s="11" t="s">
        <v>23</v>
      </c>
      <c r="D331" s="3" t="s">
        <v>26</v>
      </c>
      <c r="E331" s="3" t="s">
        <v>128</v>
      </c>
      <c r="F331" s="3" t="s">
        <v>73</v>
      </c>
      <c r="G331" s="3"/>
      <c r="H331" s="4" t="s">
        <v>2668</v>
      </c>
      <c r="I331" s="3" t="s">
        <v>2272</v>
      </c>
      <c r="J331" s="3" t="s">
        <v>2272</v>
      </c>
      <c r="K331" s="3" t="s">
        <v>2272</v>
      </c>
      <c r="L331" s="3" t="s">
        <v>2272</v>
      </c>
      <c r="M331" s="3" t="s">
        <v>535</v>
      </c>
      <c r="N331" s="3" t="s">
        <v>535</v>
      </c>
      <c r="O331" s="3" t="s">
        <v>535</v>
      </c>
      <c r="P331" s="3" t="s">
        <v>535</v>
      </c>
      <c r="Q331" s="3" t="s">
        <v>535</v>
      </c>
      <c r="R331" s="3" t="s">
        <v>535</v>
      </c>
      <c r="S331" s="3" t="s">
        <v>535</v>
      </c>
      <c r="T331" s="3" t="s">
        <v>535</v>
      </c>
      <c r="U331" s="3" t="s">
        <v>535</v>
      </c>
      <c r="V331" s="3">
        <v>2</v>
      </c>
      <c r="W331" s="19" t="s">
        <v>2767</v>
      </c>
    </row>
    <row r="332" spans="1:23" ht="101.5">
      <c r="A332" s="3" t="s">
        <v>2771</v>
      </c>
      <c r="B332" s="11" t="s">
        <v>2781</v>
      </c>
      <c r="C332" s="11" t="s">
        <v>23</v>
      </c>
      <c r="D332" s="3" t="s">
        <v>26</v>
      </c>
      <c r="E332" s="3" t="s">
        <v>128</v>
      </c>
      <c r="F332" s="3" t="s">
        <v>73</v>
      </c>
      <c r="G332" s="3"/>
      <c r="H332" s="4" t="s">
        <v>539</v>
      </c>
      <c r="I332" s="3" t="s">
        <v>2685</v>
      </c>
      <c r="J332" s="3" t="s">
        <v>532</v>
      </c>
      <c r="K332" s="3" t="s">
        <v>532</v>
      </c>
      <c r="L332" s="3" t="s">
        <v>2272</v>
      </c>
      <c r="M332" s="3" t="s">
        <v>2664</v>
      </c>
      <c r="N332" s="3" t="s">
        <v>2272</v>
      </c>
      <c r="O332" s="3" t="s">
        <v>532</v>
      </c>
      <c r="P332" s="3" t="s">
        <v>2272</v>
      </c>
      <c r="Q332" s="3" t="s">
        <v>2272</v>
      </c>
      <c r="R332" s="3" t="s">
        <v>532</v>
      </c>
      <c r="S332" s="3" t="s">
        <v>532</v>
      </c>
      <c r="T332" s="3" t="s">
        <v>532</v>
      </c>
      <c r="U332" s="3"/>
      <c r="V332" s="3">
        <v>1</v>
      </c>
      <c r="W332" s="19" t="s">
        <v>2783</v>
      </c>
    </row>
    <row r="333" spans="1:23" ht="50" customHeight="1">
      <c r="A333" s="3" t="s">
        <v>2771</v>
      </c>
      <c r="B333" s="11" t="s">
        <v>2789</v>
      </c>
      <c r="C333" s="11" t="s">
        <v>23</v>
      </c>
      <c r="D333" s="3" t="s">
        <v>26</v>
      </c>
      <c r="E333" s="3" t="s">
        <v>128</v>
      </c>
      <c r="F333" s="3" t="s">
        <v>73</v>
      </c>
      <c r="G333" s="3"/>
      <c r="H333" s="4" t="s">
        <v>2668</v>
      </c>
      <c r="I333" s="3" t="s">
        <v>2272</v>
      </c>
      <c r="J333" s="3" t="s">
        <v>2272</v>
      </c>
      <c r="K333" s="3" t="s">
        <v>2272</v>
      </c>
      <c r="L333" s="3" t="s">
        <v>2272</v>
      </c>
      <c r="M333" s="3" t="s">
        <v>535</v>
      </c>
      <c r="N333" s="3" t="s">
        <v>535</v>
      </c>
      <c r="O333" s="3" t="s">
        <v>535</v>
      </c>
      <c r="P333" s="3" t="s">
        <v>535</v>
      </c>
      <c r="Q333" s="3" t="s">
        <v>535</v>
      </c>
      <c r="R333" s="3" t="s">
        <v>535</v>
      </c>
      <c r="S333" s="3" t="s">
        <v>535</v>
      </c>
      <c r="T333" s="3" t="s">
        <v>535</v>
      </c>
      <c r="U333" s="3" t="s">
        <v>535</v>
      </c>
      <c r="V333" s="3">
        <v>2</v>
      </c>
      <c r="W333" s="19" t="s">
        <v>2767</v>
      </c>
    </row>
    <row r="334" spans="1:23" ht="64.5" customHeight="1">
      <c r="A334" s="11" t="s">
        <v>2791</v>
      </c>
      <c r="B334" s="11" t="s">
        <v>2796</v>
      </c>
      <c r="C334" s="11" t="s">
        <v>23</v>
      </c>
      <c r="D334" s="3" t="s">
        <v>1102</v>
      </c>
      <c r="E334" s="3" t="s">
        <v>5000</v>
      </c>
      <c r="F334" s="4" t="s">
        <v>54</v>
      </c>
      <c r="G334" s="3"/>
      <c r="H334" s="4" t="s">
        <v>539</v>
      </c>
      <c r="I334" s="3" t="s">
        <v>2685</v>
      </c>
      <c r="J334" s="3" t="s">
        <v>532</v>
      </c>
      <c r="K334" s="3" t="s">
        <v>2272</v>
      </c>
      <c r="L334" s="3" t="s">
        <v>2272</v>
      </c>
      <c r="M334" s="3" t="s">
        <v>2272</v>
      </c>
      <c r="N334" s="3" t="s">
        <v>2272</v>
      </c>
      <c r="O334" s="3" t="s">
        <v>2272</v>
      </c>
      <c r="P334" s="3" t="s">
        <v>2272</v>
      </c>
      <c r="Q334" s="3" t="s">
        <v>2272</v>
      </c>
      <c r="R334" s="3" t="s">
        <v>532</v>
      </c>
      <c r="S334" s="3" t="s">
        <v>532</v>
      </c>
      <c r="T334" s="3" t="s">
        <v>2272</v>
      </c>
      <c r="U334" s="3" t="s">
        <v>2272</v>
      </c>
      <c r="V334" s="3">
        <v>5</v>
      </c>
      <c r="W334" s="4" t="s">
        <v>2803</v>
      </c>
    </row>
    <row r="335" spans="1:23" ht="94" customHeight="1">
      <c r="A335" s="11" t="s">
        <v>2791</v>
      </c>
      <c r="B335" s="11" t="s">
        <v>2802</v>
      </c>
      <c r="C335" s="11" t="s">
        <v>23</v>
      </c>
      <c r="D335" s="3" t="s">
        <v>1102</v>
      </c>
      <c r="E335" s="3" t="s">
        <v>5000</v>
      </c>
      <c r="F335" s="4" t="s">
        <v>2657</v>
      </c>
      <c r="G335" s="3"/>
      <c r="H335" s="4" t="s">
        <v>539</v>
      </c>
      <c r="I335" s="3" t="s">
        <v>2685</v>
      </c>
      <c r="J335" s="3" t="s">
        <v>532</v>
      </c>
      <c r="K335" s="3" t="s">
        <v>2272</v>
      </c>
      <c r="L335" s="3" t="s">
        <v>2272</v>
      </c>
      <c r="M335" s="3" t="s">
        <v>2272</v>
      </c>
      <c r="N335" s="3" t="s">
        <v>2272</v>
      </c>
      <c r="O335" s="3" t="s">
        <v>2272</v>
      </c>
      <c r="P335" s="3" t="s">
        <v>2272</v>
      </c>
      <c r="Q335" s="3" t="s">
        <v>2272</v>
      </c>
      <c r="R335" s="3" t="s">
        <v>532</v>
      </c>
      <c r="S335" s="3" t="s">
        <v>532</v>
      </c>
      <c r="T335" s="3" t="s">
        <v>2272</v>
      </c>
      <c r="U335" s="3" t="s">
        <v>2272</v>
      </c>
      <c r="V335" s="3">
        <v>5</v>
      </c>
      <c r="W335" s="4" t="s">
        <v>2804</v>
      </c>
    </row>
    <row r="336" spans="1:23" ht="97.5" customHeight="1">
      <c r="A336" s="11" t="s">
        <v>2794</v>
      </c>
      <c r="B336" s="11" t="s">
        <v>2797</v>
      </c>
      <c r="C336" s="11" t="s">
        <v>23</v>
      </c>
      <c r="D336" s="3" t="s">
        <v>1102</v>
      </c>
      <c r="E336" s="3" t="s">
        <v>5000</v>
      </c>
      <c r="F336" s="4" t="s">
        <v>54</v>
      </c>
      <c r="G336" s="3"/>
      <c r="H336" s="4" t="s">
        <v>539</v>
      </c>
      <c r="I336" s="3" t="s">
        <v>2685</v>
      </c>
      <c r="J336" s="3" t="s">
        <v>532</v>
      </c>
      <c r="K336" s="3" t="s">
        <v>2272</v>
      </c>
      <c r="L336" s="3" t="s">
        <v>2272</v>
      </c>
      <c r="M336" s="3" t="s">
        <v>2272</v>
      </c>
      <c r="N336" s="3" t="s">
        <v>2272</v>
      </c>
      <c r="O336" s="3" t="s">
        <v>2272</v>
      </c>
      <c r="P336" s="3" t="s">
        <v>2272</v>
      </c>
      <c r="Q336" s="3" t="s">
        <v>2272</v>
      </c>
      <c r="R336" s="3" t="s">
        <v>532</v>
      </c>
      <c r="S336" s="3" t="s">
        <v>532</v>
      </c>
      <c r="T336" s="3" t="s">
        <v>2272</v>
      </c>
      <c r="U336" s="3" t="s">
        <v>2272</v>
      </c>
      <c r="V336" s="3">
        <v>5</v>
      </c>
      <c r="W336" s="4" t="s">
        <v>2804</v>
      </c>
    </row>
    <row r="337" spans="1:23" ht="92.5" customHeight="1">
      <c r="A337" s="11" t="s">
        <v>2794</v>
      </c>
      <c r="B337" s="11" t="s">
        <v>2801</v>
      </c>
      <c r="C337" s="11" t="s">
        <v>23</v>
      </c>
      <c r="D337" s="3" t="s">
        <v>1102</v>
      </c>
      <c r="E337" s="3" t="s">
        <v>5000</v>
      </c>
      <c r="F337" s="4" t="s">
        <v>2657</v>
      </c>
      <c r="G337" s="3"/>
      <c r="H337" s="4" t="s">
        <v>539</v>
      </c>
      <c r="I337" s="3" t="s">
        <v>2685</v>
      </c>
      <c r="J337" s="3" t="s">
        <v>532</v>
      </c>
      <c r="K337" s="3" t="s">
        <v>2272</v>
      </c>
      <c r="L337" s="3" t="s">
        <v>2272</v>
      </c>
      <c r="M337" s="3" t="s">
        <v>2272</v>
      </c>
      <c r="N337" s="3" t="s">
        <v>2272</v>
      </c>
      <c r="O337" s="3" t="s">
        <v>2272</v>
      </c>
      <c r="P337" s="3" t="s">
        <v>2272</v>
      </c>
      <c r="Q337" s="3" t="s">
        <v>2272</v>
      </c>
      <c r="R337" s="3" t="s">
        <v>532</v>
      </c>
      <c r="S337" s="3" t="s">
        <v>532</v>
      </c>
      <c r="T337" s="3" t="s">
        <v>2272</v>
      </c>
      <c r="U337" s="3" t="s">
        <v>2272</v>
      </c>
      <c r="V337" s="3">
        <v>5</v>
      </c>
      <c r="W337" s="4" t="s">
        <v>2804</v>
      </c>
    </row>
    <row r="338" spans="1:23" ht="92.5" customHeight="1">
      <c r="A338" s="11" t="s">
        <v>2795</v>
      </c>
      <c r="B338" s="11" t="s">
        <v>2798</v>
      </c>
      <c r="C338" s="11" t="s">
        <v>23</v>
      </c>
      <c r="D338" s="3" t="s">
        <v>1102</v>
      </c>
      <c r="E338" s="3" t="s">
        <v>5000</v>
      </c>
      <c r="F338" s="4" t="s">
        <v>54</v>
      </c>
      <c r="G338" s="3"/>
      <c r="H338" s="4" t="s">
        <v>539</v>
      </c>
      <c r="I338" s="3" t="s">
        <v>2685</v>
      </c>
      <c r="J338" s="3" t="s">
        <v>532</v>
      </c>
      <c r="K338" s="3" t="s">
        <v>2272</v>
      </c>
      <c r="L338" s="3" t="s">
        <v>2272</v>
      </c>
      <c r="M338" s="3" t="s">
        <v>2272</v>
      </c>
      <c r="N338" s="3" t="s">
        <v>2272</v>
      </c>
      <c r="O338" s="3" t="s">
        <v>2272</v>
      </c>
      <c r="P338" s="3" t="s">
        <v>2272</v>
      </c>
      <c r="Q338" s="3" t="s">
        <v>2272</v>
      </c>
      <c r="R338" s="3" t="s">
        <v>532</v>
      </c>
      <c r="S338" s="3" t="s">
        <v>532</v>
      </c>
      <c r="T338" s="3" t="s">
        <v>2272</v>
      </c>
      <c r="U338" s="3" t="s">
        <v>2272</v>
      </c>
      <c r="V338" s="3">
        <v>5</v>
      </c>
      <c r="W338" s="4" t="s">
        <v>2804</v>
      </c>
    </row>
    <row r="339" spans="1:23" ht="96.5" customHeight="1">
      <c r="A339" s="11" t="s">
        <v>2795</v>
      </c>
      <c r="B339" s="11" t="s">
        <v>2800</v>
      </c>
      <c r="C339" s="11" t="s">
        <v>23</v>
      </c>
      <c r="D339" s="3" t="s">
        <v>1102</v>
      </c>
      <c r="E339" s="3" t="s">
        <v>5000</v>
      </c>
      <c r="F339" s="4" t="s">
        <v>2657</v>
      </c>
      <c r="G339" s="3"/>
      <c r="H339" s="4" t="s">
        <v>539</v>
      </c>
      <c r="I339" s="3" t="s">
        <v>2685</v>
      </c>
      <c r="J339" s="3" t="s">
        <v>532</v>
      </c>
      <c r="K339" s="3" t="s">
        <v>2272</v>
      </c>
      <c r="L339" s="3" t="s">
        <v>2272</v>
      </c>
      <c r="M339" s="3" t="s">
        <v>2272</v>
      </c>
      <c r="N339" s="3" t="s">
        <v>2272</v>
      </c>
      <c r="O339" s="3" t="s">
        <v>2272</v>
      </c>
      <c r="P339" s="3" t="s">
        <v>2272</v>
      </c>
      <c r="Q339" s="3" t="s">
        <v>2272</v>
      </c>
      <c r="R339" s="3" t="s">
        <v>532</v>
      </c>
      <c r="S339" s="3" t="s">
        <v>532</v>
      </c>
      <c r="T339" s="3" t="s">
        <v>2272</v>
      </c>
      <c r="U339" s="3" t="s">
        <v>2272</v>
      </c>
      <c r="V339" s="3">
        <v>5</v>
      </c>
      <c r="W339" s="4" t="s">
        <v>2804</v>
      </c>
    </row>
    <row r="340" spans="1:23" ht="50" customHeight="1">
      <c r="A340" s="11" t="s">
        <v>2805</v>
      </c>
      <c r="B340" s="11" t="s">
        <v>2818</v>
      </c>
      <c r="C340" s="11" t="s">
        <v>23</v>
      </c>
      <c r="D340" s="3" t="s">
        <v>1102</v>
      </c>
      <c r="E340" s="3" t="s">
        <v>5000</v>
      </c>
      <c r="F340" s="4" t="s">
        <v>54</v>
      </c>
      <c r="G340" s="3"/>
      <c r="H340" s="4" t="s">
        <v>539</v>
      </c>
      <c r="I340" s="3" t="s">
        <v>2272</v>
      </c>
      <c r="J340" s="3" t="s">
        <v>2272</v>
      </c>
      <c r="K340" s="3" t="s">
        <v>2272</v>
      </c>
      <c r="L340" s="3" t="s">
        <v>2272</v>
      </c>
      <c r="M340" s="3" t="s">
        <v>2272</v>
      </c>
      <c r="N340" s="3" t="s">
        <v>2272</v>
      </c>
      <c r="O340" s="3" t="s">
        <v>2272</v>
      </c>
      <c r="P340" s="3" t="s">
        <v>2272</v>
      </c>
      <c r="Q340" s="3" t="s">
        <v>2272</v>
      </c>
      <c r="R340" s="3" t="s">
        <v>532</v>
      </c>
      <c r="S340" s="3" t="s">
        <v>532</v>
      </c>
      <c r="T340" s="3" t="s">
        <v>2272</v>
      </c>
      <c r="U340" s="3" t="s">
        <v>2272</v>
      </c>
      <c r="V340" s="3">
        <v>5</v>
      </c>
      <c r="W340" s="19" t="s">
        <v>2830</v>
      </c>
    </row>
    <row r="341" spans="1:23" ht="52.5" customHeight="1">
      <c r="A341" s="11" t="s">
        <v>2805</v>
      </c>
      <c r="B341" s="11" t="s">
        <v>2819</v>
      </c>
      <c r="C341" s="11" t="s">
        <v>23</v>
      </c>
      <c r="D341" s="3" t="s">
        <v>1102</v>
      </c>
      <c r="E341" s="3" t="s">
        <v>5000</v>
      </c>
      <c r="F341" s="4" t="s">
        <v>2657</v>
      </c>
      <c r="G341" s="3"/>
      <c r="H341" s="4" t="s">
        <v>539</v>
      </c>
      <c r="I341" s="3" t="s">
        <v>2272</v>
      </c>
      <c r="J341" s="3" t="s">
        <v>2272</v>
      </c>
      <c r="K341" s="3" t="s">
        <v>2272</v>
      </c>
      <c r="L341" s="3" t="s">
        <v>2272</v>
      </c>
      <c r="M341" s="3" t="s">
        <v>2272</v>
      </c>
      <c r="N341" s="3" t="s">
        <v>2272</v>
      </c>
      <c r="O341" s="3" t="s">
        <v>2272</v>
      </c>
      <c r="P341" s="3" t="s">
        <v>2272</v>
      </c>
      <c r="Q341" s="3" t="s">
        <v>2272</v>
      </c>
      <c r="R341" s="3" t="s">
        <v>532</v>
      </c>
      <c r="S341" s="3" t="s">
        <v>532</v>
      </c>
      <c r="T341" s="3" t="s">
        <v>2272</v>
      </c>
      <c r="U341" s="3" t="s">
        <v>2272</v>
      </c>
      <c r="V341" s="3">
        <v>5</v>
      </c>
      <c r="W341" s="19" t="s">
        <v>2830</v>
      </c>
    </row>
    <row r="342" spans="1:23" ht="52.5" customHeight="1">
      <c r="A342" s="11" t="s">
        <v>2806</v>
      </c>
      <c r="B342" s="11" t="s">
        <v>2820</v>
      </c>
      <c r="C342" s="11" t="s">
        <v>23</v>
      </c>
      <c r="D342" s="3" t="s">
        <v>1102</v>
      </c>
      <c r="E342" s="3" t="s">
        <v>5000</v>
      </c>
      <c r="F342" s="4" t="s">
        <v>54</v>
      </c>
      <c r="G342" s="3"/>
      <c r="H342" s="4" t="s">
        <v>539</v>
      </c>
      <c r="I342" s="3" t="s">
        <v>2272</v>
      </c>
      <c r="J342" s="3" t="s">
        <v>2272</v>
      </c>
      <c r="K342" s="3" t="s">
        <v>2272</v>
      </c>
      <c r="L342" s="3" t="s">
        <v>2272</v>
      </c>
      <c r="M342" s="3" t="s">
        <v>2272</v>
      </c>
      <c r="N342" s="3" t="s">
        <v>2272</v>
      </c>
      <c r="O342" s="3" t="s">
        <v>2272</v>
      </c>
      <c r="P342" s="3" t="s">
        <v>2272</v>
      </c>
      <c r="Q342" s="3" t="s">
        <v>2272</v>
      </c>
      <c r="R342" s="3" t="s">
        <v>532</v>
      </c>
      <c r="S342" s="3" t="s">
        <v>532</v>
      </c>
      <c r="T342" s="3" t="s">
        <v>2272</v>
      </c>
      <c r="U342" s="3" t="s">
        <v>2272</v>
      </c>
      <c r="V342" s="3">
        <v>5</v>
      </c>
      <c r="W342" s="19" t="s">
        <v>2830</v>
      </c>
    </row>
    <row r="343" spans="1:23" ht="52.5" customHeight="1">
      <c r="A343" s="11" t="s">
        <v>2806</v>
      </c>
      <c r="B343" s="11" t="s">
        <v>2821</v>
      </c>
      <c r="C343" s="11" t="s">
        <v>23</v>
      </c>
      <c r="D343" s="3" t="s">
        <v>1102</v>
      </c>
      <c r="E343" s="3" t="s">
        <v>5000</v>
      </c>
      <c r="F343" s="4" t="s">
        <v>2657</v>
      </c>
      <c r="G343" s="3"/>
      <c r="H343" s="4" t="s">
        <v>539</v>
      </c>
      <c r="I343" s="3" t="s">
        <v>2272</v>
      </c>
      <c r="J343" s="3" t="s">
        <v>2272</v>
      </c>
      <c r="K343" s="3" t="s">
        <v>2272</v>
      </c>
      <c r="L343" s="3" t="s">
        <v>2272</v>
      </c>
      <c r="M343" s="3" t="s">
        <v>2272</v>
      </c>
      <c r="N343" s="3" t="s">
        <v>2272</v>
      </c>
      <c r="O343" s="3" t="s">
        <v>2272</v>
      </c>
      <c r="P343" s="3" t="s">
        <v>2272</v>
      </c>
      <c r="Q343" s="3" t="s">
        <v>2272</v>
      </c>
      <c r="R343" s="3" t="s">
        <v>532</v>
      </c>
      <c r="S343" s="3" t="s">
        <v>532</v>
      </c>
      <c r="T343" s="3" t="s">
        <v>2272</v>
      </c>
      <c r="U343" s="3" t="s">
        <v>2272</v>
      </c>
      <c r="V343" s="3">
        <v>5</v>
      </c>
      <c r="W343" s="19" t="s">
        <v>2830</v>
      </c>
    </row>
    <row r="344" spans="1:23" ht="52.5" customHeight="1">
      <c r="A344" s="11" t="s">
        <v>2807</v>
      </c>
      <c r="B344" s="11" t="s">
        <v>2822</v>
      </c>
      <c r="C344" s="11" t="s">
        <v>23</v>
      </c>
      <c r="D344" s="3" t="s">
        <v>1102</v>
      </c>
      <c r="E344" s="3" t="s">
        <v>5000</v>
      </c>
      <c r="F344" s="4" t="s">
        <v>54</v>
      </c>
      <c r="G344" s="3"/>
      <c r="H344" s="4" t="s">
        <v>539</v>
      </c>
      <c r="I344" s="3" t="s">
        <v>2272</v>
      </c>
      <c r="J344" s="3" t="s">
        <v>2272</v>
      </c>
      <c r="K344" s="3" t="s">
        <v>2272</v>
      </c>
      <c r="L344" s="3" t="s">
        <v>2272</v>
      </c>
      <c r="M344" s="3" t="s">
        <v>2272</v>
      </c>
      <c r="N344" s="3" t="s">
        <v>2272</v>
      </c>
      <c r="O344" s="3" t="s">
        <v>2272</v>
      </c>
      <c r="P344" s="3" t="s">
        <v>2272</v>
      </c>
      <c r="Q344" s="3" t="s">
        <v>2272</v>
      </c>
      <c r="R344" s="3" t="s">
        <v>532</v>
      </c>
      <c r="S344" s="3" t="s">
        <v>532</v>
      </c>
      <c r="T344" s="3" t="s">
        <v>2272</v>
      </c>
      <c r="U344" s="3" t="s">
        <v>2272</v>
      </c>
      <c r="V344" s="3">
        <v>5</v>
      </c>
      <c r="W344" s="19" t="s">
        <v>2830</v>
      </c>
    </row>
    <row r="345" spans="1:23" ht="52.5" customHeight="1">
      <c r="A345" s="11" t="s">
        <v>2807</v>
      </c>
      <c r="B345" s="11" t="s">
        <v>2823</v>
      </c>
      <c r="C345" s="11" t="s">
        <v>23</v>
      </c>
      <c r="D345" s="3" t="s">
        <v>1102</v>
      </c>
      <c r="E345" s="3" t="s">
        <v>5000</v>
      </c>
      <c r="F345" s="4" t="s">
        <v>2657</v>
      </c>
      <c r="G345" s="3"/>
      <c r="H345" s="4" t="s">
        <v>539</v>
      </c>
      <c r="I345" s="3" t="s">
        <v>2272</v>
      </c>
      <c r="J345" s="3" t="s">
        <v>2272</v>
      </c>
      <c r="K345" s="3" t="s">
        <v>2272</v>
      </c>
      <c r="L345" s="3" t="s">
        <v>2272</v>
      </c>
      <c r="M345" s="3" t="s">
        <v>2272</v>
      </c>
      <c r="N345" s="3" t="s">
        <v>2272</v>
      </c>
      <c r="O345" s="3" t="s">
        <v>2272</v>
      </c>
      <c r="P345" s="3" t="s">
        <v>2272</v>
      </c>
      <c r="Q345" s="3" t="s">
        <v>2272</v>
      </c>
      <c r="R345" s="3" t="s">
        <v>532</v>
      </c>
      <c r="S345" s="3" t="s">
        <v>532</v>
      </c>
      <c r="T345" s="3" t="s">
        <v>2272</v>
      </c>
      <c r="U345" s="3" t="s">
        <v>2272</v>
      </c>
      <c r="V345" s="3">
        <v>5</v>
      </c>
      <c r="W345" s="19" t="s">
        <v>2830</v>
      </c>
    </row>
    <row r="346" spans="1:23" ht="52.5" customHeight="1">
      <c r="A346" s="11" t="s">
        <v>2808</v>
      </c>
      <c r="B346" s="11" t="s">
        <v>2824</v>
      </c>
      <c r="C346" s="11" t="s">
        <v>23</v>
      </c>
      <c r="D346" s="3" t="s">
        <v>1102</v>
      </c>
      <c r="E346" s="3" t="s">
        <v>5000</v>
      </c>
      <c r="F346" s="4" t="s">
        <v>54</v>
      </c>
      <c r="G346" s="3"/>
      <c r="H346" s="4" t="s">
        <v>539</v>
      </c>
      <c r="I346" s="3" t="s">
        <v>2272</v>
      </c>
      <c r="J346" s="3" t="s">
        <v>2272</v>
      </c>
      <c r="K346" s="3" t="s">
        <v>2272</v>
      </c>
      <c r="L346" s="3" t="s">
        <v>2272</v>
      </c>
      <c r="M346" s="3" t="s">
        <v>2272</v>
      </c>
      <c r="N346" s="3" t="s">
        <v>2272</v>
      </c>
      <c r="O346" s="3" t="s">
        <v>2272</v>
      </c>
      <c r="P346" s="3" t="s">
        <v>2272</v>
      </c>
      <c r="Q346" s="3" t="s">
        <v>2272</v>
      </c>
      <c r="R346" s="3" t="s">
        <v>532</v>
      </c>
      <c r="S346" s="3" t="s">
        <v>532</v>
      </c>
      <c r="T346" s="3" t="s">
        <v>2272</v>
      </c>
      <c r="U346" s="3" t="s">
        <v>2272</v>
      </c>
      <c r="V346" s="3">
        <v>5</v>
      </c>
      <c r="W346" s="19" t="s">
        <v>2830</v>
      </c>
    </row>
    <row r="347" spans="1:23" ht="52.5" customHeight="1">
      <c r="A347" s="11" t="s">
        <v>2808</v>
      </c>
      <c r="B347" s="11" t="s">
        <v>2825</v>
      </c>
      <c r="C347" s="11" t="s">
        <v>23</v>
      </c>
      <c r="D347" s="3" t="s">
        <v>1102</v>
      </c>
      <c r="E347" s="3" t="s">
        <v>5000</v>
      </c>
      <c r="F347" s="4" t="s">
        <v>2657</v>
      </c>
      <c r="G347" s="3"/>
      <c r="H347" s="4" t="s">
        <v>539</v>
      </c>
      <c r="I347" s="3" t="s">
        <v>2272</v>
      </c>
      <c r="J347" s="3" t="s">
        <v>2272</v>
      </c>
      <c r="K347" s="3" t="s">
        <v>2272</v>
      </c>
      <c r="L347" s="3" t="s">
        <v>2272</v>
      </c>
      <c r="M347" s="3" t="s">
        <v>2272</v>
      </c>
      <c r="N347" s="3" t="s">
        <v>2272</v>
      </c>
      <c r="O347" s="3" t="s">
        <v>2272</v>
      </c>
      <c r="P347" s="3" t="s">
        <v>2272</v>
      </c>
      <c r="Q347" s="3" t="s">
        <v>2272</v>
      </c>
      <c r="R347" s="3" t="s">
        <v>532</v>
      </c>
      <c r="S347" s="3" t="s">
        <v>532</v>
      </c>
      <c r="T347" s="3" t="s">
        <v>2272</v>
      </c>
      <c r="U347" s="3" t="s">
        <v>2272</v>
      </c>
      <c r="V347" s="3">
        <v>5</v>
      </c>
      <c r="W347" s="19" t="s">
        <v>2830</v>
      </c>
    </row>
    <row r="348" spans="1:23" ht="52.5" customHeight="1">
      <c r="A348" s="11" t="s">
        <v>2809</v>
      </c>
      <c r="B348" s="11" t="s">
        <v>2826</v>
      </c>
      <c r="C348" s="11" t="s">
        <v>23</v>
      </c>
      <c r="D348" s="3" t="s">
        <v>1102</v>
      </c>
      <c r="E348" s="3" t="s">
        <v>5000</v>
      </c>
      <c r="F348" s="4" t="s">
        <v>54</v>
      </c>
      <c r="G348" s="3"/>
      <c r="H348" s="4" t="s">
        <v>539</v>
      </c>
      <c r="I348" s="3" t="s">
        <v>2272</v>
      </c>
      <c r="J348" s="3" t="s">
        <v>2272</v>
      </c>
      <c r="K348" s="3" t="s">
        <v>2272</v>
      </c>
      <c r="L348" s="3" t="s">
        <v>2272</v>
      </c>
      <c r="M348" s="3" t="s">
        <v>2272</v>
      </c>
      <c r="N348" s="3" t="s">
        <v>2272</v>
      </c>
      <c r="O348" s="3" t="s">
        <v>2272</v>
      </c>
      <c r="P348" s="3" t="s">
        <v>2272</v>
      </c>
      <c r="Q348" s="3" t="s">
        <v>2272</v>
      </c>
      <c r="R348" s="3" t="s">
        <v>532</v>
      </c>
      <c r="S348" s="3" t="s">
        <v>532</v>
      </c>
      <c r="T348" s="3" t="s">
        <v>2272</v>
      </c>
      <c r="U348" s="3" t="s">
        <v>2272</v>
      </c>
      <c r="V348" s="3">
        <v>5</v>
      </c>
      <c r="W348" s="19" t="s">
        <v>2830</v>
      </c>
    </row>
    <row r="349" spans="1:23" ht="52.5" customHeight="1">
      <c r="A349" s="11" t="s">
        <v>2809</v>
      </c>
      <c r="B349" s="11" t="s">
        <v>2827</v>
      </c>
      <c r="C349" s="11" t="s">
        <v>23</v>
      </c>
      <c r="D349" s="3" t="s">
        <v>1102</v>
      </c>
      <c r="E349" s="3" t="s">
        <v>5000</v>
      </c>
      <c r="F349" s="4" t="s">
        <v>2657</v>
      </c>
      <c r="G349" s="3"/>
      <c r="H349" s="4" t="s">
        <v>539</v>
      </c>
      <c r="I349" s="3" t="s">
        <v>2272</v>
      </c>
      <c r="J349" s="3" t="s">
        <v>2272</v>
      </c>
      <c r="K349" s="3" t="s">
        <v>2272</v>
      </c>
      <c r="L349" s="3" t="s">
        <v>2272</v>
      </c>
      <c r="M349" s="3" t="s">
        <v>2272</v>
      </c>
      <c r="N349" s="3" t="s">
        <v>2272</v>
      </c>
      <c r="O349" s="3" t="s">
        <v>2272</v>
      </c>
      <c r="P349" s="3" t="s">
        <v>2272</v>
      </c>
      <c r="Q349" s="3" t="s">
        <v>2272</v>
      </c>
      <c r="R349" s="3" t="s">
        <v>532</v>
      </c>
      <c r="S349" s="3" t="s">
        <v>532</v>
      </c>
      <c r="T349" s="3" t="s">
        <v>2272</v>
      </c>
      <c r="U349" s="3" t="s">
        <v>2272</v>
      </c>
      <c r="V349" s="3">
        <v>5</v>
      </c>
      <c r="W349" s="19" t="s">
        <v>2830</v>
      </c>
    </row>
    <row r="350" spans="1:23" ht="31.5" customHeight="1">
      <c r="A350" s="11" t="s">
        <v>2816</v>
      </c>
      <c r="B350" s="11" t="s">
        <v>2828</v>
      </c>
      <c r="C350" s="11" t="s">
        <v>23</v>
      </c>
      <c r="D350" s="3" t="s">
        <v>1102</v>
      </c>
      <c r="E350" s="3" t="s">
        <v>5000</v>
      </c>
      <c r="F350" s="4" t="s">
        <v>54</v>
      </c>
      <c r="G350" s="3"/>
      <c r="H350" s="4" t="s">
        <v>539</v>
      </c>
      <c r="I350" s="3" t="s">
        <v>2272</v>
      </c>
      <c r="J350" s="3" t="s">
        <v>2272</v>
      </c>
      <c r="K350" s="3" t="s">
        <v>2272</v>
      </c>
      <c r="L350" s="3" t="s">
        <v>2272</v>
      </c>
      <c r="M350" s="3" t="s">
        <v>2272</v>
      </c>
      <c r="N350" s="3" t="s">
        <v>2272</v>
      </c>
      <c r="O350" s="3" t="s">
        <v>2272</v>
      </c>
      <c r="P350" s="3" t="s">
        <v>2272</v>
      </c>
      <c r="Q350" s="3" t="s">
        <v>2272</v>
      </c>
      <c r="R350" s="3" t="s">
        <v>535</v>
      </c>
      <c r="S350" s="3" t="s">
        <v>535</v>
      </c>
      <c r="T350" s="3" t="s">
        <v>2272</v>
      </c>
      <c r="U350" s="3" t="s">
        <v>2272</v>
      </c>
      <c r="V350" s="3" t="s">
        <v>2272</v>
      </c>
      <c r="W350" s="19" t="s">
        <v>2831</v>
      </c>
    </row>
    <row r="351" spans="1:23" ht="34.5" customHeight="1">
      <c r="A351" s="11" t="s">
        <v>2816</v>
      </c>
      <c r="B351" s="11" t="s">
        <v>2829</v>
      </c>
      <c r="C351" s="11" t="s">
        <v>23</v>
      </c>
      <c r="D351" s="3" t="s">
        <v>1102</v>
      </c>
      <c r="E351" s="3" t="s">
        <v>5000</v>
      </c>
      <c r="F351" s="4" t="s">
        <v>2657</v>
      </c>
      <c r="G351" s="3"/>
      <c r="H351" s="4" t="s">
        <v>539</v>
      </c>
      <c r="I351" s="3" t="s">
        <v>2272</v>
      </c>
      <c r="J351" s="3" t="s">
        <v>2272</v>
      </c>
      <c r="K351" s="3" t="s">
        <v>2272</v>
      </c>
      <c r="L351" s="3" t="s">
        <v>2272</v>
      </c>
      <c r="M351" s="3" t="s">
        <v>2272</v>
      </c>
      <c r="N351" s="3" t="s">
        <v>2272</v>
      </c>
      <c r="O351" s="3" t="s">
        <v>2272</v>
      </c>
      <c r="P351" s="3" t="s">
        <v>2272</v>
      </c>
      <c r="Q351" s="3" t="s">
        <v>2272</v>
      </c>
      <c r="R351" s="3" t="s">
        <v>535</v>
      </c>
      <c r="S351" s="3" t="s">
        <v>535</v>
      </c>
      <c r="T351" s="3" t="s">
        <v>2272</v>
      </c>
      <c r="U351" s="3" t="s">
        <v>2272</v>
      </c>
      <c r="V351" s="3" t="s">
        <v>2272</v>
      </c>
      <c r="W351" s="19" t="s">
        <v>2831</v>
      </c>
    </row>
    <row r="352" spans="1:23" ht="47.5" customHeight="1">
      <c r="A352" s="11" t="s">
        <v>2858</v>
      </c>
      <c r="B352" s="11" t="s">
        <v>2861</v>
      </c>
      <c r="C352" s="11" t="s">
        <v>23</v>
      </c>
      <c r="D352" s="3" t="s">
        <v>26</v>
      </c>
      <c r="E352" s="3" t="s">
        <v>128</v>
      </c>
      <c r="F352" s="3" t="s">
        <v>73</v>
      </c>
      <c r="G352" s="3"/>
      <c r="H352" s="4" t="s">
        <v>539</v>
      </c>
      <c r="I352" s="3" t="s">
        <v>2685</v>
      </c>
      <c r="J352" s="3" t="s">
        <v>532</v>
      </c>
      <c r="K352" s="3" t="s">
        <v>2272</v>
      </c>
      <c r="L352" s="3" t="s">
        <v>2272</v>
      </c>
      <c r="M352" s="3" t="s">
        <v>2272</v>
      </c>
      <c r="N352" s="3" t="s">
        <v>2272</v>
      </c>
      <c r="O352" s="3" t="s">
        <v>2272</v>
      </c>
      <c r="P352" s="3" t="s">
        <v>2272</v>
      </c>
      <c r="Q352" s="3" t="s">
        <v>2272</v>
      </c>
      <c r="R352" s="3" t="s">
        <v>2272</v>
      </c>
      <c r="S352" s="3" t="s">
        <v>2272</v>
      </c>
      <c r="T352" s="3" t="s">
        <v>2272</v>
      </c>
      <c r="U352" s="3" t="s">
        <v>2272</v>
      </c>
      <c r="V352" s="3" t="s">
        <v>2272</v>
      </c>
      <c r="W352" s="4" t="s">
        <v>2863</v>
      </c>
    </row>
    <row r="353" spans="1:23" ht="52.5" customHeight="1">
      <c r="A353" s="11" t="s">
        <v>2858</v>
      </c>
      <c r="B353" s="11" t="s">
        <v>2862</v>
      </c>
      <c r="C353" s="11" t="s">
        <v>23</v>
      </c>
      <c r="D353" s="3" t="s">
        <v>26</v>
      </c>
      <c r="E353" s="3" t="s">
        <v>128</v>
      </c>
      <c r="F353" s="3" t="s">
        <v>158</v>
      </c>
      <c r="G353" s="3"/>
      <c r="H353" s="4" t="s">
        <v>539</v>
      </c>
      <c r="I353" s="3" t="s">
        <v>2685</v>
      </c>
      <c r="J353" s="3" t="s">
        <v>532</v>
      </c>
      <c r="K353" s="3" t="s">
        <v>2272</v>
      </c>
      <c r="L353" s="3" t="s">
        <v>2272</v>
      </c>
      <c r="M353" s="3" t="s">
        <v>2272</v>
      </c>
      <c r="N353" s="3" t="s">
        <v>2272</v>
      </c>
      <c r="O353" s="3" t="s">
        <v>2272</v>
      </c>
      <c r="P353" s="3" t="s">
        <v>2272</v>
      </c>
      <c r="Q353" s="3" t="s">
        <v>2272</v>
      </c>
      <c r="R353" s="3" t="s">
        <v>2272</v>
      </c>
      <c r="S353" s="3" t="s">
        <v>2272</v>
      </c>
      <c r="T353" s="3" t="s">
        <v>2272</v>
      </c>
      <c r="U353" s="3" t="s">
        <v>2272</v>
      </c>
      <c r="V353" s="3" t="s">
        <v>2272</v>
      </c>
      <c r="W353" s="4" t="s">
        <v>2863</v>
      </c>
    </row>
    <row r="354" spans="1:23" ht="38" customHeight="1">
      <c r="A354" s="11" t="s">
        <v>2865</v>
      </c>
      <c r="B354" s="11" t="s">
        <v>2868</v>
      </c>
      <c r="C354" s="11" t="s">
        <v>23</v>
      </c>
      <c r="D354" s="3" t="s">
        <v>2656</v>
      </c>
      <c r="E354" s="3" t="s">
        <v>394</v>
      </c>
      <c r="F354" s="3" t="s">
        <v>73</v>
      </c>
      <c r="G354" s="3"/>
      <c r="H354" s="4" t="s">
        <v>539</v>
      </c>
      <c r="I354" s="3" t="s">
        <v>2272</v>
      </c>
      <c r="J354" s="3" t="s">
        <v>2272</v>
      </c>
      <c r="K354" s="3" t="s">
        <v>2272</v>
      </c>
      <c r="L354" s="3" t="s">
        <v>2272</v>
      </c>
      <c r="M354" s="3" t="s">
        <v>535</v>
      </c>
      <c r="N354" s="3" t="s">
        <v>2272</v>
      </c>
      <c r="O354" s="3" t="s">
        <v>2272</v>
      </c>
      <c r="P354" s="3" t="s">
        <v>2272</v>
      </c>
      <c r="Q354" s="3" t="s">
        <v>2272</v>
      </c>
      <c r="R354" s="3" t="s">
        <v>535</v>
      </c>
      <c r="S354" s="3" t="s">
        <v>2272</v>
      </c>
      <c r="T354" s="3" t="s">
        <v>2272</v>
      </c>
      <c r="U354" s="3" t="s">
        <v>2272</v>
      </c>
      <c r="V354" s="3" t="s">
        <v>2272</v>
      </c>
      <c r="W354" s="4" t="s">
        <v>2874</v>
      </c>
    </row>
    <row r="355" spans="1:23" ht="116" customHeight="1">
      <c r="A355" s="11" t="s">
        <v>2881</v>
      </c>
      <c r="B355" s="11" t="s">
        <v>2889</v>
      </c>
      <c r="C355" s="3" t="s">
        <v>23</v>
      </c>
      <c r="D355" s="3" t="s">
        <v>26</v>
      </c>
      <c r="E355" s="3" t="s">
        <v>128</v>
      </c>
      <c r="F355" s="4" t="s">
        <v>158</v>
      </c>
      <c r="G355" s="3"/>
      <c r="H355" s="4" t="s">
        <v>539</v>
      </c>
      <c r="I355" s="3" t="s">
        <v>2685</v>
      </c>
      <c r="J355" s="3" t="s">
        <v>532</v>
      </c>
      <c r="K355" s="3" t="s">
        <v>532</v>
      </c>
      <c r="L355" s="3" t="s">
        <v>2272</v>
      </c>
      <c r="M355" s="3" t="s">
        <v>2723</v>
      </c>
      <c r="N355" s="3" t="s">
        <v>2272</v>
      </c>
      <c r="O355" s="3" t="s">
        <v>532</v>
      </c>
      <c r="P355" s="3" t="s">
        <v>2272</v>
      </c>
      <c r="Q355" s="3">
        <v>1</v>
      </c>
      <c r="R355" s="3" t="s">
        <v>2272</v>
      </c>
      <c r="S355" s="3" t="s">
        <v>2272</v>
      </c>
      <c r="T355" s="3" t="s">
        <v>2272</v>
      </c>
      <c r="U355" s="3" t="s">
        <v>2272</v>
      </c>
      <c r="V355" s="3" t="s">
        <v>2272</v>
      </c>
      <c r="W355" s="4" t="s">
        <v>2918</v>
      </c>
    </row>
    <row r="356" spans="1:23" ht="52" customHeight="1">
      <c r="A356" s="11" t="s">
        <v>2881</v>
      </c>
      <c r="B356" s="11" t="s">
        <v>2892</v>
      </c>
      <c r="C356" s="3" t="s">
        <v>23</v>
      </c>
      <c r="D356" s="3" t="s">
        <v>26</v>
      </c>
      <c r="E356" s="3" t="s">
        <v>128</v>
      </c>
      <c r="F356" s="4" t="s">
        <v>158</v>
      </c>
      <c r="G356" s="3"/>
      <c r="H356" s="4" t="s">
        <v>1090</v>
      </c>
      <c r="I356" s="3" t="s">
        <v>2685</v>
      </c>
      <c r="J356" s="3" t="s">
        <v>532</v>
      </c>
      <c r="K356" s="3" t="s">
        <v>532</v>
      </c>
      <c r="L356" s="3" t="s">
        <v>2272</v>
      </c>
      <c r="M356" s="3" t="s">
        <v>2272</v>
      </c>
      <c r="N356" s="3" t="s">
        <v>2272</v>
      </c>
      <c r="O356" s="3" t="s">
        <v>2272</v>
      </c>
      <c r="P356" s="3" t="s">
        <v>2272</v>
      </c>
      <c r="Q356" s="3" t="s">
        <v>2272</v>
      </c>
      <c r="R356" s="3" t="s">
        <v>2272</v>
      </c>
      <c r="S356" s="3" t="s">
        <v>2272</v>
      </c>
      <c r="T356" s="3" t="s">
        <v>2272</v>
      </c>
      <c r="U356" s="3" t="s">
        <v>2272</v>
      </c>
      <c r="V356" s="3" t="s">
        <v>2272</v>
      </c>
      <c r="W356" s="4" t="s">
        <v>2917</v>
      </c>
    </row>
    <row r="357" spans="1:23" ht="109.5" customHeight="1">
      <c r="A357" s="11" t="s">
        <v>2882</v>
      </c>
      <c r="B357" s="11" t="s">
        <v>2890</v>
      </c>
      <c r="C357" s="3" t="s">
        <v>23</v>
      </c>
      <c r="D357" s="3" t="s">
        <v>26</v>
      </c>
      <c r="E357" s="3" t="s">
        <v>128</v>
      </c>
      <c r="F357" s="4" t="s">
        <v>158</v>
      </c>
      <c r="G357" s="3"/>
      <c r="H357" s="4" t="s">
        <v>539</v>
      </c>
      <c r="I357" s="3" t="s">
        <v>2685</v>
      </c>
      <c r="J357" s="3" t="s">
        <v>532</v>
      </c>
      <c r="K357" s="3" t="s">
        <v>532</v>
      </c>
      <c r="L357" s="3" t="s">
        <v>2272</v>
      </c>
      <c r="M357" s="3" t="s">
        <v>2723</v>
      </c>
      <c r="N357" s="3" t="s">
        <v>2272</v>
      </c>
      <c r="O357" s="3" t="s">
        <v>532</v>
      </c>
      <c r="P357" s="3" t="s">
        <v>2272</v>
      </c>
      <c r="Q357" s="3">
        <v>1</v>
      </c>
      <c r="R357" s="3" t="s">
        <v>2272</v>
      </c>
      <c r="S357" s="3" t="s">
        <v>2272</v>
      </c>
      <c r="T357" s="3" t="s">
        <v>2272</v>
      </c>
      <c r="U357" s="3" t="s">
        <v>2272</v>
      </c>
      <c r="V357" s="3" t="s">
        <v>2272</v>
      </c>
      <c r="W357" s="4" t="s">
        <v>2918</v>
      </c>
    </row>
    <row r="358" spans="1:23" ht="84.5" customHeight="1">
      <c r="A358" s="11" t="s">
        <v>2882</v>
      </c>
      <c r="B358" s="11" t="s">
        <v>2902</v>
      </c>
      <c r="C358" s="3" t="s">
        <v>23</v>
      </c>
      <c r="D358" s="3" t="s">
        <v>26</v>
      </c>
      <c r="E358" s="3" t="s">
        <v>128</v>
      </c>
      <c r="F358" s="4" t="s">
        <v>158</v>
      </c>
      <c r="G358" s="3"/>
      <c r="H358" s="4" t="s">
        <v>1090</v>
      </c>
      <c r="I358" s="3" t="s">
        <v>2685</v>
      </c>
      <c r="J358" s="3" t="s">
        <v>532</v>
      </c>
      <c r="K358" s="3" t="s">
        <v>532</v>
      </c>
      <c r="L358" s="3" t="s">
        <v>2272</v>
      </c>
      <c r="M358" s="3" t="s">
        <v>2272</v>
      </c>
      <c r="N358" s="3" t="s">
        <v>2272</v>
      </c>
      <c r="O358" s="3" t="s">
        <v>2272</v>
      </c>
      <c r="P358" s="3" t="s">
        <v>2272</v>
      </c>
      <c r="Q358" s="3" t="s">
        <v>2272</v>
      </c>
      <c r="R358" s="3" t="s">
        <v>2272</v>
      </c>
      <c r="S358" s="3" t="s">
        <v>2272</v>
      </c>
      <c r="T358" s="3" t="s">
        <v>2272</v>
      </c>
      <c r="U358" s="3" t="s">
        <v>2272</v>
      </c>
      <c r="V358" s="3" t="s">
        <v>2272</v>
      </c>
      <c r="W358" s="4" t="s">
        <v>2917</v>
      </c>
    </row>
    <row r="359" spans="1:23" ht="115.5" customHeight="1">
      <c r="A359" s="11" t="s">
        <v>2883</v>
      </c>
      <c r="B359" s="11" t="s">
        <v>2891</v>
      </c>
      <c r="C359" s="3" t="s">
        <v>23</v>
      </c>
      <c r="D359" s="3" t="s">
        <v>26</v>
      </c>
      <c r="E359" s="3" t="s">
        <v>128</v>
      </c>
      <c r="F359" s="4" t="s">
        <v>158</v>
      </c>
      <c r="G359" s="3"/>
      <c r="H359" s="4" t="s">
        <v>539</v>
      </c>
      <c r="I359" s="3" t="s">
        <v>2685</v>
      </c>
      <c r="J359" s="3" t="s">
        <v>532</v>
      </c>
      <c r="K359" s="3" t="s">
        <v>532</v>
      </c>
      <c r="L359" s="3" t="s">
        <v>2272</v>
      </c>
      <c r="M359" s="3" t="s">
        <v>2723</v>
      </c>
      <c r="N359" s="3" t="s">
        <v>2272</v>
      </c>
      <c r="O359" s="3" t="s">
        <v>532</v>
      </c>
      <c r="P359" s="3" t="s">
        <v>2272</v>
      </c>
      <c r="Q359" s="3">
        <v>1</v>
      </c>
      <c r="R359" s="3" t="s">
        <v>2272</v>
      </c>
      <c r="S359" s="3" t="s">
        <v>2272</v>
      </c>
      <c r="T359" s="3" t="s">
        <v>2272</v>
      </c>
      <c r="U359" s="3" t="s">
        <v>2272</v>
      </c>
      <c r="V359" s="3" t="s">
        <v>2272</v>
      </c>
      <c r="W359" s="4" t="s">
        <v>2918</v>
      </c>
    </row>
    <row r="360" spans="1:23" ht="79.5" customHeight="1">
      <c r="A360" s="11" t="s">
        <v>2883</v>
      </c>
      <c r="B360" s="11" t="s">
        <v>2908</v>
      </c>
      <c r="C360" s="3" t="s">
        <v>23</v>
      </c>
      <c r="D360" s="3" t="s">
        <v>26</v>
      </c>
      <c r="E360" s="3" t="s">
        <v>128</v>
      </c>
      <c r="F360" s="4" t="s">
        <v>158</v>
      </c>
      <c r="G360" s="3"/>
      <c r="H360" s="4" t="s">
        <v>1090</v>
      </c>
      <c r="I360" s="3" t="s">
        <v>2685</v>
      </c>
      <c r="J360" s="3" t="s">
        <v>532</v>
      </c>
      <c r="K360" s="3" t="s">
        <v>532</v>
      </c>
      <c r="L360" s="3" t="s">
        <v>2272</v>
      </c>
      <c r="M360" s="3" t="s">
        <v>2272</v>
      </c>
      <c r="N360" s="3" t="s">
        <v>2272</v>
      </c>
      <c r="O360" s="3" t="s">
        <v>2272</v>
      </c>
      <c r="P360" s="3" t="s">
        <v>2272</v>
      </c>
      <c r="Q360" s="3" t="s">
        <v>2272</v>
      </c>
      <c r="R360" s="3" t="s">
        <v>2272</v>
      </c>
      <c r="S360" s="3" t="s">
        <v>2272</v>
      </c>
      <c r="T360" s="3" t="s">
        <v>2272</v>
      </c>
      <c r="U360" s="3" t="s">
        <v>2272</v>
      </c>
      <c r="V360" s="3" t="s">
        <v>2272</v>
      </c>
      <c r="W360" s="4" t="s">
        <v>2917</v>
      </c>
    </row>
    <row r="361" spans="1:23" ht="65.5" customHeight="1">
      <c r="A361" s="19" t="s">
        <v>2919</v>
      </c>
      <c r="B361" s="19" t="s">
        <v>2923</v>
      </c>
      <c r="C361" s="4" t="s">
        <v>23</v>
      </c>
      <c r="D361" s="4" t="s">
        <v>142</v>
      </c>
      <c r="E361" s="4" t="s">
        <v>135</v>
      </c>
      <c r="F361" s="4" t="s">
        <v>2657</v>
      </c>
      <c r="G361" s="4"/>
      <c r="H361" s="4" t="s">
        <v>1090</v>
      </c>
      <c r="I361" s="4" t="s">
        <v>2686</v>
      </c>
      <c r="J361" s="4" t="s">
        <v>2272</v>
      </c>
      <c r="K361" s="4" t="s">
        <v>532</v>
      </c>
      <c r="L361" s="4" t="s">
        <v>2272</v>
      </c>
      <c r="M361" s="4" t="s">
        <v>2272</v>
      </c>
      <c r="N361" s="4" t="s">
        <v>2272</v>
      </c>
      <c r="O361" s="4" t="s">
        <v>2272</v>
      </c>
      <c r="P361" s="4" t="s">
        <v>2272</v>
      </c>
      <c r="Q361" s="4" t="s">
        <v>2272</v>
      </c>
      <c r="R361" s="4" t="s">
        <v>2272</v>
      </c>
      <c r="S361" s="4" t="s">
        <v>2272</v>
      </c>
      <c r="T361" s="4" t="s">
        <v>2272</v>
      </c>
      <c r="U361" s="4" t="s">
        <v>2272</v>
      </c>
      <c r="V361" s="4" t="s">
        <v>2272</v>
      </c>
      <c r="W361" s="4" t="s">
        <v>2927</v>
      </c>
    </row>
    <row r="362" spans="1:23" ht="35" customHeight="1">
      <c r="A362" s="11" t="s">
        <v>2983</v>
      </c>
      <c r="B362" s="11" t="s">
        <v>2984</v>
      </c>
      <c r="C362" s="3" t="s">
        <v>1102</v>
      </c>
      <c r="D362" s="3" t="s">
        <v>1102</v>
      </c>
      <c r="E362" s="4" t="s">
        <v>5000</v>
      </c>
      <c r="F362" s="4" t="s">
        <v>2657</v>
      </c>
      <c r="G362" s="3"/>
      <c r="H362" s="4" t="s">
        <v>539</v>
      </c>
      <c r="I362" s="4" t="s">
        <v>2272</v>
      </c>
      <c r="J362" s="4" t="s">
        <v>2272</v>
      </c>
      <c r="K362" s="4" t="s">
        <v>2272</v>
      </c>
      <c r="L362" s="4" t="s">
        <v>2272</v>
      </c>
      <c r="M362" s="4" t="s">
        <v>2272</v>
      </c>
      <c r="N362" s="4" t="s">
        <v>2272</v>
      </c>
      <c r="O362" s="4" t="s">
        <v>2272</v>
      </c>
      <c r="P362" s="4" t="s">
        <v>2272</v>
      </c>
      <c r="Q362" s="4" t="s">
        <v>2272</v>
      </c>
      <c r="R362" s="3" t="s">
        <v>532</v>
      </c>
      <c r="S362" s="4" t="s">
        <v>2272</v>
      </c>
      <c r="T362" s="4" t="s">
        <v>2272</v>
      </c>
      <c r="U362" s="4" t="s">
        <v>2272</v>
      </c>
      <c r="V362" s="3">
        <v>1</v>
      </c>
      <c r="W362" s="4" t="s">
        <v>2987</v>
      </c>
    </row>
    <row r="363" spans="1:23" ht="46.5" customHeight="1">
      <c r="A363" s="11" t="s">
        <v>2983</v>
      </c>
      <c r="B363" s="11" t="s">
        <v>2985</v>
      </c>
      <c r="C363" s="3" t="s">
        <v>1102</v>
      </c>
      <c r="D363" s="3" t="s">
        <v>1102</v>
      </c>
      <c r="E363" s="4" t="s">
        <v>114</v>
      </c>
      <c r="F363" s="4" t="s">
        <v>2657</v>
      </c>
      <c r="G363" s="3"/>
      <c r="H363" s="4" t="s">
        <v>539</v>
      </c>
      <c r="I363" s="4" t="s">
        <v>2272</v>
      </c>
      <c r="J363" s="4" t="s">
        <v>2272</v>
      </c>
      <c r="K363" s="4" t="s">
        <v>2272</v>
      </c>
      <c r="L363" s="4" t="s">
        <v>2272</v>
      </c>
      <c r="M363" s="4" t="s">
        <v>2272</v>
      </c>
      <c r="N363" s="4" t="s">
        <v>2272</v>
      </c>
      <c r="O363" s="4" t="s">
        <v>2272</v>
      </c>
      <c r="P363" s="4" t="s">
        <v>2272</v>
      </c>
      <c r="Q363" s="4" t="s">
        <v>2272</v>
      </c>
      <c r="R363" s="3" t="s">
        <v>532</v>
      </c>
      <c r="S363" s="4" t="s">
        <v>2272</v>
      </c>
      <c r="T363" s="4" t="s">
        <v>2272</v>
      </c>
      <c r="U363" s="4" t="s">
        <v>2272</v>
      </c>
      <c r="V363" s="3">
        <v>1</v>
      </c>
      <c r="W363" s="4" t="s">
        <v>2987</v>
      </c>
    </row>
    <row r="364" spans="1:23" ht="43.5" customHeight="1">
      <c r="A364" s="11" t="s">
        <v>2983</v>
      </c>
      <c r="B364" s="11" t="s">
        <v>2986</v>
      </c>
      <c r="C364" s="3" t="s">
        <v>1102</v>
      </c>
      <c r="D364" s="3" t="s">
        <v>1102</v>
      </c>
      <c r="E364" s="4" t="s">
        <v>128</v>
      </c>
      <c r="F364" s="4" t="s">
        <v>2657</v>
      </c>
      <c r="G364" s="3"/>
      <c r="H364" s="4" t="s">
        <v>539</v>
      </c>
      <c r="I364" s="4" t="s">
        <v>2272</v>
      </c>
      <c r="J364" s="4" t="s">
        <v>2272</v>
      </c>
      <c r="K364" s="4" t="s">
        <v>2272</v>
      </c>
      <c r="L364" s="4" t="s">
        <v>2272</v>
      </c>
      <c r="M364" s="4" t="s">
        <v>2272</v>
      </c>
      <c r="N364" s="4" t="s">
        <v>2272</v>
      </c>
      <c r="O364" s="4" t="s">
        <v>2272</v>
      </c>
      <c r="P364" s="4" t="s">
        <v>2272</v>
      </c>
      <c r="Q364" s="4" t="s">
        <v>2272</v>
      </c>
      <c r="R364" s="3" t="s">
        <v>532</v>
      </c>
      <c r="S364" s="4" t="s">
        <v>2272</v>
      </c>
      <c r="T364" s="4" t="s">
        <v>2272</v>
      </c>
      <c r="U364" s="4" t="s">
        <v>2272</v>
      </c>
      <c r="V364" s="3">
        <v>1</v>
      </c>
      <c r="W364" s="4" t="s">
        <v>2987</v>
      </c>
    </row>
    <row r="365" spans="1:23" ht="79.5" customHeight="1">
      <c r="A365" s="11" t="s">
        <v>2990</v>
      </c>
      <c r="B365" s="11" t="s">
        <v>2991</v>
      </c>
      <c r="C365" s="3" t="s">
        <v>23</v>
      </c>
      <c r="D365" s="3" t="s">
        <v>2655</v>
      </c>
      <c r="E365" s="3" t="s">
        <v>44</v>
      </c>
      <c r="F365" s="3" t="s">
        <v>28</v>
      </c>
      <c r="G365" s="3"/>
      <c r="H365" s="4" t="s">
        <v>539</v>
      </c>
      <c r="I365" s="4" t="s">
        <v>2272</v>
      </c>
      <c r="J365" s="4" t="s">
        <v>2272</v>
      </c>
      <c r="K365" s="4" t="s">
        <v>2272</v>
      </c>
      <c r="L365" s="4" t="s">
        <v>2272</v>
      </c>
      <c r="M365" s="3" t="s">
        <v>2666</v>
      </c>
      <c r="N365" s="4" t="s">
        <v>2272</v>
      </c>
      <c r="O365" s="4" t="s">
        <v>532</v>
      </c>
      <c r="P365" s="4" t="s">
        <v>2272</v>
      </c>
      <c r="Q365" s="3">
        <v>1</v>
      </c>
      <c r="R365" s="4" t="s">
        <v>2272</v>
      </c>
      <c r="S365" s="4" t="s">
        <v>2272</v>
      </c>
      <c r="T365" s="4" t="s">
        <v>2272</v>
      </c>
      <c r="U365" s="4" t="s">
        <v>2272</v>
      </c>
      <c r="V365" s="4" t="s">
        <v>2272</v>
      </c>
      <c r="W365" s="4" t="s">
        <v>3031</v>
      </c>
    </row>
    <row r="366" spans="1:23" ht="74.5" customHeight="1">
      <c r="A366" s="11" t="s">
        <v>2990</v>
      </c>
      <c r="B366" s="11" t="s">
        <v>3016</v>
      </c>
      <c r="C366" s="3" t="s">
        <v>23</v>
      </c>
      <c r="D366" s="3" t="s">
        <v>26</v>
      </c>
      <c r="E366" s="3" t="s">
        <v>128</v>
      </c>
      <c r="F366" s="3" t="s">
        <v>158</v>
      </c>
      <c r="G366" s="3"/>
      <c r="H366" s="4" t="s">
        <v>539</v>
      </c>
      <c r="I366" s="4" t="s">
        <v>2272</v>
      </c>
      <c r="J366" s="4" t="s">
        <v>2272</v>
      </c>
      <c r="K366" s="4" t="s">
        <v>2272</v>
      </c>
      <c r="L366" s="4" t="s">
        <v>2272</v>
      </c>
      <c r="M366" s="3" t="s">
        <v>2666</v>
      </c>
      <c r="N366" s="4" t="s">
        <v>2272</v>
      </c>
      <c r="O366" s="4" t="s">
        <v>532</v>
      </c>
      <c r="P366" s="4" t="s">
        <v>2272</v>
      </c>
      <c r="Q366" s="3">
        <v>1</v>
      </c>
      <c r="R366" s="4" t="s">
        <v>2272</v>
      </c>
      <c r="S366" s="4" t="s">
        <v>2272</v>
      </c>
      <c r="T366" s="4" t="s">
        <v>2272</v>
      </c>
      <c r="U366" s="4" t="s">
        <v>2272</v>
      </c>
      <c r="V366" s="4" t="s">
        <v>2272</v>
      </c>
      <c r="W366" s="4" t="s">
        <v>3031</v>
      </c>
    </row>
    <row r="367" spans="1:23" ht="38" customHeight="1">
      <c r="A367" s="11" t="s">
        <v>2990</v>
      </c>
      <c r="B367" s="11" t="s">
        <v>3017</v>
      </c>
      <c r="C367" s="3" t="s">
        <v>23</v>
      </c>
      <c r="D367" s="3" t="s">
        <v>2227</v>
      </c>
      <c r="E367" s="3" t="s">
        <v>1102</v>
      </c>
      <c r="F367" s="4" t="s">
        <v>2657</v>
      </c>
      <c r="G367" s="3"/>
      <c r="H367" s="4" t="s">
        <v>539</v>
      </c>
      <c r="I367" s="4" t="s">
        <v>2272</v>
      </c>
      <c r="J367" s="4" t="s">
        <v>2272</v>
      </c>
      <c r="K367" s="4" t="s">
        <v>2272</v>
      </c>
      <c r="L367" s="4" t="s">
        <v>2272</v>
      </c>
      <c r="M367" s="4" t="s">
        <v>2272</v>
      </c>
      <c r="N367" s="4" t="s">
        <v>2272</v>
      </c>
      <c r="O367" s="4" t="s">
        <v>2272</v>
      </c>
      <c r="P367" s="4" t="s">
        <v>2272</v>
      </c>
      <c r="Q367" s="4" t="s">
        <v>2272</v>
      </c>
      <c r="R367" s="3" t="s">
        <v>532</v>
      </c>
      <c r="S367" s="4" t="s">
        <v>2272</v>
      </c>
      <c r="T367" s="3" t="s">
        <v>532</v>
      </c>
      <c r="U367" s="4" t="s">
        <v>2272</v>
      </c>
      <c r="V367" s="3">
        <v>3</v>
      </c>
      <c r="W367" s="4" t="s">
        <v>3030</v>
      </c>
    </row>
    <row r="368" spans="1:23" ht="52.5" customHeight="1">
      <c r="A368" s="11" t="s">
        <v>3124</v>
      </c>
      <c r="B368" s="11" t="s">
        <v>3133</v>
      </c>
      <c r="C368" s="3" t="s">
        <v>23</v>
      </c>
      <c r="D368" s="3" t="s">
        <v>1102</v>
      </c>
      <c r="E368" s="3" t="s">
        <v>1102</v>
      </c>
      <c r="F368" s="3" t="s">
        <v>1102</v>
      </c>
      <c r="G368" s="3"/>
      <c r="H368" s="4" t="s">
        <v>539</v>
      </c>
      <c r="I368" s="4" t="s">
        <v>2272</v>
      </c>
      <c r="J368" s="4" t="s">
        <v>2272</v>
      </c>
      <c r="K368" s="4" t="s">
        <v>2272</v>
      </c>
      <c r="L368" s="4" t="s">
        <v>2272</v>
      </c>
      <c r="M368" s="4" t="s">
        <v>2272</v>
      </c>
      <c r="N368" s="4" t="s">
        <v>2272</v>
      </c>
      <c r="O368" s="4" t="s">
        <v>2272</v>
      </c>
      <c r="P368" s="4" t="s">
        <v>2272</v>
      </c>
      <c r="Q368" s="4" t="s">
        <v>2272</v>
      </c>
      <c r="R368" s="3" t="s">
        <v>532</v>
      </c>
      <c r="S368" s="4" t="s">
        <v>2272</v>
      </c>
      <c r="T368" s="3" t="s">
        <v>532</v>
      </c>
      <c r="U368" s="4" t="s">
        <v>2272</v>
      </c>
      <c r="V368" s="3"/>
      <c r="W368" s="4" t="s">
        <v>3137</v>
      </c>
    </row>
    <row r="369" spans="1:23" ht="57" customHeight="1">
      <c r="A369" s="11" t="s">
        <v>3125</v>
      </c>
      <c r="B369" s="11" t="s">
        <v>3134</v>
      </c>
      <c r="C369" s="3" t="s">
        <v>23</v>
      </c>
      <c r="D369" s="3" t="s">
        <v>1102</v>
      </c>
      <c r="E369" s="3" t="s">
        <v>1102</v>
      </c>
      <c r="F369" s="3" t="s">
        <v>1102</v>
      </c>
      <c r="G369" s="3"/>
      <c r="H369" s="4" t="s">
        <v>539</v>
      </c>
      <c r="I369" s="4" t="s">
        <v>2272</v>
      </c>
      <c r="J369" s="4" t="s">
        <v>2272</v>
      </c>
      <c r="K369" s="4" t="s">
        <v>2272</v>
      </c>
      <c r="L369" s="4" t="s">
        <v>2272</v>
      </c>
      <c r="M369" s="4" t="s">
        <v>2272</v>
      </c>
      <c r="N369" s="4" t="s">
        <v>2272</v>
      </c>
      <c r="O369" s="4" t="s">
        <v>2272</v>
      </c>
      <c r="P369" s="4" t="s">
        <v>2272</v>
      </c>
      <c r="Q369" s="4" t="s">
        <v>2272</v>
      </c>
      <c r="R369" s="3" t="s">
        <v>532</v>
      </c>
      <c r="S369" s="4" t="s">
        <v>2272</v>
      </c>
      <c r="T369" s="3" t="s">
        <v>532</v>
      </c>
      <c r="U369" s="4" t="s">
        <v>2272</v>
      </c>
      <c r="V369" s="3"/>
      <c r="W369" s="4" t="s">
        <v>3137</v>
      </c>
    </row>
    <row r="370" spans="1:23" ht="53.5" customHeight="1">
      <c r="A370" s="11" t="s">
        <v>3126</v>
      </c>
      <c r="B370" s="11" t="s">
        <v>3135</v>
      </c>
      <c r="C370" s="3" t="s">
        <v>23</v>
      </c>
      <c r="D370" s="3" t="s">
        <v>1102</v>
      </c>
      <c r="E370" s="3" t="s">
        <v>128</v>
      </c>
      <c r="F370" s="3" t="s">
        <v>1102</v>
      </c>
      <c r="G370" s="3"/>
      <c r="H370" s="4" t="s">
        <v>539</v>
      </c>
      <c r="I370" s="4" t="s">
        <v>2272</v>
      </c>
      <c r="J370" s="4" t="s">
        <v>2272</v>
      </c>
      <c r="K370" s="4" t="s">
        <v>2272</v>
      </c>
      <c r="L370" s="4" t="s">
        <v>2272</v>
      </c>
      <c r="M370" s="4" t="s">
        <v>2272</v>
      </c>
      <c r="N370" s="4" t="s">
        <v>2272</v>
      </c>
      <c r="O370" s="4" t="s">
        <v>2272</v>
      </c>
      <c r="P370" s="4" t="s">
        <v>2272</v>
      </c>
      <c r="Q370" s="4" t="s">
        <v>2272</v>
      </c>
      <c r="R370" s="3" t="s">
        <v>532</v>
      </c>
      <c r="S370" s="4" t="s">
        <v>2272</v>
      </c>
      <c r="T370" s="3" t="s">
        <v>532</v>
      </c>
      <c r="U370" s="4" t="s">
        <v>2272</v>
      </c>
      <c r="V370" s="3"/>
      <c r="W370" s="4" t="s">
        <v>3137</v>
      </c>
    </row>
    <row r="371" spans="1:23" ht="53.5" customHeight="1">
      <c r="A371" s="11" t="s">
        <v>3126</v>
      </c>
      <c r="B371" s="11" t="s">
        <v>3138</v>
      </c>
      <c r="C371" s="3" t="s">
        <v>23</v>
      </c>
      <c r="D371" s="3" t="s">
        <v>1102</v>
      </c>
      <c r="E371" s="4" t="s">
        <v>135</v>
      </c>
      <c r="F371" s="3" t="s">
        <v>1102</v>
      </c>
      <c r="G371" s="3"/>
      <c r="H371" s="4" t="s">
        <v>539</v>
      </c>
      <c r="I371" s="4" t="s">
        <v>2272</v>
      </c>
      <c r="J371" s="4" t="s">
        <v>2272</v>
      </c>
      <c r="K371" s="4" t="s">
        <v>2272</v>
      </c>
      <c r="L371" s="4" t="s">
        <v>2272</v>
      </c>
      <c r="M371" s="3" t="s">
        <v>2664</v>
      </c>
      <c r="N371" s="4" t="s">
        <v>2272</v>
      </c>
      <c r="O371" s="3" t="s">
        <v>532</v>
      </c>
      <c r="P371" s="4" t="s">
        <v>2272</v>
      </c>
      <c r="Q371" s="4" t="s">
        <v>2272</v>
      </c>
      <c r="R371" s="3" t="s">
        <v>535</v>
      </c>
      <c r="S371" s="4" t="s">
        <v>2272</v>
      </c>
      <c r="T371" s="3" t="s">
        <v>535</v>
      </c>
      <c r="U371" s="4" t="s">
        <v>2272</v>
      </c>
      <c r="V371" s="4" t="s">
        <v>2272</v>
      </c>
      <c r="W371" s="4" t="s">
        <v>3139</v>
      </c>
    </row>
    <row r="372" spans="1:23" ht="54.5" customHeight="1">
      <c r="A372" s="11" t="s">
        <v>3127</v>
      </c>
      <c r="B372" s="11" t="s">
        <v>3136</v>
      </c>
      <c r="C372" s="3" t="s">
        <v>23</v>
      </c>
      <c r="D372" s="3" t="s">
        <v>1102</v>
      </c>
      <c r="E372" s="3" t="s">
        <v>1102</v>
      </c>
      <c r="F372" s="3" t="s">
        <v>1102</v>
      </c>
      <c r="G372" s="3"/>
      <c r="H372" s="4" t="s">
        <v>539</v>
      </c>
      <c r="I372" s="4" t="s">
        <v>2272</v>
      </c>
      <c r="J372" s="4" t="s">
        <v>2272</v>
      </c>
      <c r="K372" s="4" t="s">
        <v>2272</v>
      </c>
      <c r="L372" s="4" t="s">
        <v>2272</v>
      </c>
      <c r="M372" s="4" t="s">
        <v>2272</v>
      </c>
      <c r="N372" s="4" t="s">
        <v>2272</v>
      </c>
      <c r="O372" s="4" t="s">
        <v>2272</v>
      </c>
      <c r="P372" s="4" t="s">
        <v>2272</v>
      </c>
      <c r="Q372" s="4" t="s">
        <v>2272</v>
      </c>
      <c r="R372" s="3" t="s">
        <v>532</v>
      </c>
      <c r="S372" s="4" t="s">
        <v>2272</v>
      </c>
      <c r="T372" s="3" t="s">
        <v>532</v>
      </c>
      <c r="U372" s="4" t="s">
        <v>2272</v>
      </c>
      <c r="V372" s="3"/>
      <c r="W372" s="4" t="s">
        <v>3137</v>
      </c>
    </row>
    <row r="373" spans="1:23" ht="71" customHeight="1">
      <c r="A373" s="23" t="s">
        <v>3292</v>
      </c>
      <c r="B373" s="23" t="s">
        <v>3303</v>
      </c>
      <c r="C373" s="3" t="s">
        <v>23</v>
      </c>
      <c r="D373" s="3" t="s">
        <v>2655</v>
      </c>
      <c r="E373" s="3" t="s">
        <v>5000</v>
      </c>
      <c r="F373" s="3" t="s">
        <v>54</v>
      </c>
      <c r="G373" s="3"/>
      <c r="H373" s="4" t="s">
        <v>539</v>
      </c>
      <c r="I373" s="3" t="s">
        <v>2272</v>
      </c>
      <c r="J373" s="3" t="s">
        <v>2272</v>
      </c>
      <c r="K373" s="3" t="s">
        <v>2272</v>
      </c>
      <c r="L373" s="3" t="s">
        <v>2272</v>
      </c>
      <c r="M373" s="3" t="s">
        <v>2664</v>
      </c>
      <c r="N373" s="3" t="s">
        <v>2664</v>
      </c>
      <c r="O373" s="3" t="s">
        <v>2664</v>
      </c>
      <c r="P373" s="3" t="s">
        <v>2272</v>
      </c>
      <c r="Q373" s="3" t="s">
        <v>2272</v>
      </c>
      <c r="R373" s="3" t="s">
        <v>2272</v>
      </c>
      <c r="S373" s="3" t="s">
        <v>2272</v>
      </c>
      <c r="T373" s="3" t="s">
        <v>2272</v>
      </c>
      <c r="U373" s="3" t="s">
        <v>2272</v>
      </c>
      <c r="V373" s="3" t="s">
        <v>2272</v>
      </c>
      <c r="W373" s="4" t="s">
        <v>3329</v>
      </c>
    </row>
    <row r="374" spans="1:23" ht="71" customHeight="1">
      <c r="A374" s="23" t="s">
        <v>3292</v>
      </c>
      <c r="B374" s="23" t="s">
        <v>3304</v>
      </c>
      <c r="C374" s="3" t="s">
        <v>23</v>
      </c>
      <c r="D374" s="3" t="s">
        <v>2655</v>
      </c>
      <c r="E374" s="3" t="s">
        <v>5000</v>
      </c>
      <c r="F374" s="4" t="s">
        <v>2657</v>
      </c>
      <c r="G374" s="3"/>
      <c r="H374" s="4" t="s">
        <v>539</v>
      </c>
      <c r="I374" s="3" t="s">
        <v>2272</v>
      </c>
      <c r="J374" s="3" t="s">
        <v>2272</v>
      </c>
      <c r="K374" s="3" t="s">
        <v>2272</v>
      </c>
      <c r="L374" s="3" t="s">
        <v>2272</v>
      </c>
      <c r="M374" s="3" t="s">
        <v>2664</v>
      </c>
      <c r="N374" s="3" t="s">
        <v>2664</v>
      </c>
      <c r="O374" s="3" t="s">
        <v>2664</v>
      </c>
      <c r="P374" s="3" t="s">
        <v>2272</v>
      </c>
      <c r="Q374" s="3" t="s">
        <v>2272</v>
      </c>
      <c r="R374" s="3" t="s">
        <v>2272</v>
      </c>
      <c r="S374" s="3" t="s">
        <v>2272</v>
      </c>
      <c r="T374" s="3" t="s">
        <v>2272</v>
      </c>
      <c r="U374" s="3" t="s">
        <v>2272</v>
      </c>
      <c r="V374" s="3" t="s">
        <v>2272</v>
      </c>
      <c r="W374" s="4" t="s">
        <v>3329</v>
      </c>
    </row>
    <row r="375" spans="1:23" ht="71" customHeight="1">
      <c r="A375" s="23" t="s">
        <v>3297</v>
      </c>
      <c r="B375" s="23" t="s">
        <v>3306</v>
      </c>
      <c r="C375" s="3" t="s">
        <v>23</v>
      </c>
      <c r="D375" s="3" t="s">
        <v>2655</v>
      </c>
      <c r="E375" s="3" t="s">
        <v>5000</v>
      </c>
      <c r="F375" s="3" t="s">
        <v>54</v>
      </c>
      <c r="G375" s="3"/>
      <c r="H375" s="4" t="s">
        <v>539</v>
      </c>
      <c r="I375" s="3" t="s">
        <v>2272</v>
      </c>
      <c r="J375" s="3" t="s">
        <v>2272</v>
      </c>
      <c r="K375" s="3" t="s">
        <v>2272</v>
      </c>
      <c r="L375" s="3" t="s">
        <v>2272</v>
      </c>
      <c r="M375" s="3" t="s">
        <v>2664</v>
      </c>
      <c r="N375" s="3" t="s">
        <v>2664</v>
      </c>
      <c r="O375" s="3" t="s">
        <v>2664</v>
      </c>
      <c r="P375" s="3" t="s">
        <v>2272</v>
      </c>
      <c r="Q375" s="3" t="s">
        <v>2272</v>
      </c>
      <c r="R375" s="3" t="s">
        <v>2272</v>
      </c>
      <c r="S375" s="3" t="s">
        <v>2272</v>
      </c>
      <c r="T375" s="3" t="s">
        <v>2272</v>
      </c>
      <c r="U375" s="3" t="s">
        <v>2272</v>
      </c>
      <c r="V375" s="3" t="s">
        <v>2272</v>
      </c>
      <c r="W375" s="4" t="s">
        <v>3329</v>
      </c>
    </row>
    <row r="376" spans="1:23" ht="71" customHeight="1">
      <c r="A376" s="23" t="s">
        <v>3297</v>
      </c>
      <c r="B376" s="23" t="s">
        <v>3307</v>
      </c>
      <c r="C376" s="3" t="s">
        <v>23</v>
      </c>
      <c r="D376" s="3" t="s">
        <v>2655</v>
      </c>
      <c r="E376" s="3" t="s">
        <v>5000</v>
      </c>
      <c r="F376" s="4" t="s">
        <v>2657</v>
      </c>
      <c r="G376" s="3"/>
      <c r="H376" s="4" t="s">
        <v>539</v>
      </c>
      <c r="I376" s="3" t="s">
        <v>2272</v>
      </c>
      <c r="J376" s="3" t="s">
        <v>2272</v>
      </c>
      <c r="K376" s="3" t="s">
        <v>2272</v>
      </c>
      <c r="L376" s="3" t="s">
        <v>2272</v>
      </c>
      <c r="M376" s="3" t="s">
        <v>2664</v>
      </c>
      <c r="N376" s="3" t="s">
        <v>2664</v>
      </c>
      <c r="O376" s="3" t="s">
        <v>2664</v>
      </c>
      <c r="P376" s="3" t="s">
        <v>2272</v>
      </c>
      <c r="Q376" s="3" t="s">
        <v>2272</v>
      </c>
      <c r="R376" s="3" t="s">
        <v>2272</v>
      </c>
      <c r="S376" s="3" t="s">
        <v>2272</v>
      </c>
      <c r="T376" s="3" t="s">
        <v>2272</v>
      </c>
      <c r="U376" s="3" t="s">
        <v>2272</v>
      </c>
      <c r="V376" s="3" t="s">
        <v>2272</v>
      </c>
      <c r="W376" s="4" t="s">
        <v>3329</v>
      </c>
    </row>
    <row r="377" spans="1:23" ht="71" customHeight="1">
      <c r="A377" s="23" t="s">
        <v>3298</v>
      </c>
      <c r="B377" s="23" t="s">
        <v>3308</v>
      </c>
      <c r="C377" s="3" t="s">
        <v>23</v>
      </c>
      <c r="D377" s="3" t="s">
        <v>2655</v>
      </c>
      <c r="E377" s="3" t="s">
        <v>5000</v>
      </c>
      <c r="F377" s="3" t="s">
        <v>54</v>
      </c>
      <c r="G377" s="3"/>
      <c r="H377" s="4" t="s">
        <v>539</v>
      </c>
      <c r="I377" s="3" t="s">
        <v>2272</v>
      </c>
      <c r="J377" s="3" t="s">
        <v>2272</v>
      </c>
      <c r="K377" s="3" t="s">
        <v>2272</v>
      </c>
      <c r="L377" s="3" t="s">
        <v>2272</v>
      </c>
      <c r="M377" s="3" t="s">
        <v>2664</v>
      </c>
      <c r="N377" s="3" t="s">
        <v>2664</v>
      </c>
      <c r="O377" s="3" t="s">
        <v>2664</v>
      </c>
      <c r="P377" s="3" t="s">
        <v>2272</v>
      </c>
      <c r="Q377" s="3" t="s">
        <v>2272</v>
      </c>
      <c r="R377" s="3" t="s">
        <v>2272</v>
      </c>
      <c r="S377" s="3" t="s">
        <v>2272</v>
      </c>
      <c r="T377" s="3" t="s">
        <v>2272</v>
      </c>
      <c r="U377" s="3" t="s">
        <v>2272</v>
      </c>
      <c r="V377" s="3" t="s">
        <v>2272</v>
      </c>
      <c r="W377" s="4" t="s">
        <v>3329</v>
      </c>
    </row>
    <row r="378" spans="1:23" ht="71" customHeight="1">
      <c r="A378" s="23" t="s">
        <v>3298</v>
      </c>
      <c r="B378" s="23" t="s">
        <v>3309</v>
      </c>
      <c r="C378" s="3" t="s">
        <v>23</v>
      </c>
      <c r="D378" s="3" t="s">
        <v>2655</v>
      </c>
      <c r="E378" s="3" t="s">
        <v>5000</v>
      </c>
      <c r="F378" s="4" t="s">
        <v>2657</v>
      </c>
      <c r="G378" s="3"/>
      <c r="H378" s="4" t="s">
        <v>539</v>
      </c>
      <c r="I378" s="3" t="s">
        <v>2272</v>
      </c>
      <c r="J378" s="3" t="s">
        <v>2272</v>
      </c>
      <c r="K378" s="3" t="s">
        <v>2272</v>
      </c>
      <c r="L378" s="3" t="s">
        <v>2272</v>
      </c>
      <c r="M378" s="3" t="s">
        <v>2664</v>
      </c>
      <c r="N378" s="3" t="s">
        <v>2664</v>
      </c>
      <c r="O378" s="3" t="s">
        <v>2664</v>
      </c>
      <c r="P378" s="3" t="s">
        <v>2272</v>
      </c>
      <c r="Q378" s="3" t="s">
        <v>2272</v>
      </c>
      <c r="R378" s="3" t="s">
        <v>2272</v>
      </c>
      <c r="S378" s="3" t="s">
        <v>2272</v>
      </c>
      <c r="T378" s="3" t="s">
        <v>2272</v>
      </c>
      <c r="U378" s="3" t="s">
        <v>2272</v>
      </c>
      <c r="V378" s="3" t="s">
        <v>2272</v>
      </c>
      <c r="W378" s="4" t="s">
        <v>3329</v>
      </c>
    </row>
    <row r="379" spans="1:23" ht="37.5" customHeight="1">
      <c r="A379" s="23" t="s">
        <v>3300</v>
      </c>
      <c r="B379" s="23" t="s">
        <v>3312</v>
      </c>
      <c r="C379" s="3" t="s">
        <v>23</v>
      </c>
      <c r="D379" s="3" t="s">
        <v>2655</v>
      </c>
      <c r="E379" s="4" t="s">
        <v>5000</v>
      </c>
      <c r="F379" s="3" t="s">
        <v>54</v>
      </c>
      <c r="G379" s="3"/>
      <c r="H379" s="4" t="s">
        <v>539</v>
      </c>
      <c r="I379" s="3" t="s">
        <v>2272</v>
      </c>
      <c r="J379" s="3" t="s">
        <v>2272</v>
      </c>
      <c r="K379" s="3" t="s">
        <v>2272</v>
      </c>
      <c r="L379" s="3" t="s">
        <v>2272</v>
      </c>
      <c r="M379" s="3" t="s">
        <v>535</v>
      </c>
      <c r="N379" s="3" t="s">
        <v>535</v>
      </c>
      <c r="O379" s="3" t="s">
        <v>535</v>
      </c>
      <c r="P379" s="3" t="s">
        <v>2272</v>
      </c>
      <c r="Q379" s="3" t="s">
        <v>2272</v>
      </c>
      <c r="R379" s="3" t="s">
        <v>2272</v>
      </c>
      <c r="S379" s="3" t="s">
        <v>2272</v>
      </c>
      <c r="T379" s="3" t="s">
        <v>2272</v>
      </c>
      <c r="U379" s="3" t="s">
        <v>2272</v>
      </c>
      <c r="V379" s="3" t="s">
        <v>2272</v>
      </c>
      <c r="W379" s="4" t="s">
        <v>3330</v>
      </c>
    </row>
    <row r="380" spans="1:23" ht="37.5" customHeight="1">
      <c r="A380" s="23" t="s">
        <v>3301</v>
      </c>
      <c r="B380" s="23" t="s">
        <v>3315</v>
      </c>
      <c r="C380" s="3" t="s">
        <v>23</v>
      </c>
      <c r="D380" s="3" t="s">
        <v>2655</v>
      </c>
      <c r="E380" s="4" t="s">
        <v>5000</v>
      </c>
      <c r="F380" s="3" t="s">
        <v>54</v>
      </c>
      <c r="G380" s="3"/>
      <c r="H380" s="4" t="s">
        <v>539</v>
      </c>
      <c r="I380" s="3" t="s">
        <v>2272</v>
      </c>
      <c r="J380" s="3" t="s">
        <v>2272</v>
      </c>
      <c r="K380" s="3" t="s">
        <v>2272</v>
      </c>
      <c r="L380" s="3" t="s">
        <v>2272</v>
      </c>
      <c r="M380" s="3" t="s">
        <v>535</v>
      </c>
      <c r="N380" s="3" t="s">
        <v>535</v>
      </c>
      <c r="O380" s="3" t="s">
        <v>535</v>
      </c>
      <c r="P380" s="3" t="s">
        <v>2272</v>
      </c>
      <c r="Q380" s="3" t="s">
        <v>2272</v>
      </c>
      <c r="R380" s="3" t="s">
        <v>2272</v>
      </c>
      <c r="S380" s="3" t="s">
        <v>2272</v>
      </c>
      <c r="T380" s="3" t="s">
        <v>2272</v>
      </c>
      <c r="U380" s="3" t="s">
        <v>2272</v>
      </c>
      <c r="V380" s="3" t="s">
        <v>2272</v>
      </c>
      <c r="W380" s="4" t="s">
        <v>3330</v>
      </c>
    </row>
    <row r="381" spans="1:23" ht="37.5" customHeight="1">
      <c r="A381" s="23" t="s">
        <v>3302</v>
      </c>
      <c r="B381" s="23" t="s">
        <v>3316</v>
      </c>
      <c r="C381" s="3" t="s">
        <v>23</v>
      </c>
      <c r="D381" s="3" t="s">
        <v>2655</v>
      </c>
      <c r="E381" s="4" t="s">
        <v>5000</v>
      </c>
      <c r="F381" s="3" t="s">
        <v>54</v>
      </c>
      <c r="G381" s="3"/>
      <c r="H381" s="4" t="s">
        <v>539</v>
      </c>
      <c r="I381" s="3" t="s">
        <v>2272</v>
      </c>
      <c r="J381" s="3" t="s">
        <v>2272</v>
      </c>
      <c r="K381" s="3" t="s">
        <v>2272</v>
      </c>
      <c r="L381" s="3" t="s">
        <v>2272</v>
      </c>
      <c r="M381" s="3" t="s">
        <v>535</v>
      </c>
      <c r="N381" s="3" t="s">
        <v>535</v>
      </c>
      <c r="O381" s="3" t="s">
        <v>535</v>
      </c>
      <c r="P381" s="3" t="s">
        <v>2272</v>
      </c>
      <c r="Q381" s="3" t="s">
        <v>2272</v>
      </c>
      <c r="R381" s="3" t="s">
        <v>2272</v>
      </c>
      <c r="S381" s="3" t="s">
        <v>2272</v>
      </c>
      <c r="T381" s="3" t="s">
        <v>2272</v>
      </c>
      <c r="U381" s="3" t="s">
        <v>2272</v>
      </c>
      <c r="V381" s="3" t="s">
        <v>2272</v>
      </c>
      <c r="W381" s="4" t="s">
        <v>3330</v>
      </c>
    </row>
    <row r="382" spans="1:23" ht="47.5" customHeight="1">
      <c r="A382" s="23" t="s">
        <v>3347</v>
      </c>
      <c r="B382" s="23" t="s">
        <v>3350</v>
      </c>
      <c r="C382" s="3" t="s">
        <v>23</v>
      </c>
      <c r="D382" s="3" t="s">
        <v>2301</v>
      </c>
      <c r="E382" s="3" t="s">
        <v>114</v>
      </c>
      <c r="F382" s="3" t="s">
        <v>54</v>
      </c>
      <c r="G382" s="3">
        <v>2000</v>
      </c>
      <c r="H382" s="4" t="s">
        <v>539</v>
      </c>
      <c r="I382" s="3" t="s">
        <v>2272</v>
      </c>
      <c r="J382" s="3" t="s">
        <v>2272</v>
      </c>
      <c r="K382" s="3" t="s">
        <v>2272</v>
      </c>
      <c r="L382" s="3" t="s">
        <v>2272</v>
      </c>
      <c r="M382" s="3" t="s">
        <v>2665</v>
      </c>
      <c r="N382" s="3" t="s">
        <v>2272</v>
      </c>
      <c r="O382" s="3" t="s">
        <v>532</v>
      </c>
      <c r="P382" s="3" t="s">
        <v>2272</v>
      </c>
      <c r="Q382" s="3">
        <v>1</v>
      </c>
      <c r="R382" s="3" t="s">
        <v>2272</v>
      </c>
      <c r="S382" s="3" t="s">
        <v>2272</v>
      </c>
      <c r="T382" s="3" t="s">
        <v>2272</v>
      </c>
      <c r="U382" s="3" t="s">
        <v>2272</v>
      </c>
      <c r="V382" s="3" t="s">
        <v>2272</v>
      </c>
      <c r="W382" s="4" t="s">
        <v>3355</v>
      </c>
    </row>
    <row r="383" spans="1:23" ht="47" customHeight="1">
      <c r="A383" s="23" t="s">
        <v>3347</v>
      </c>
      <c r="B383" s="23" t="s">
        <v>3351</v>
      </c>
      <c r="C383" s="3" t="s">
        <v>23</v>
      </c>
      <c r="D383" s="3" t="s">
        <v>2301</v>
      </c>
      <c r="E383" s="3" t="s">
        <v>114</v>
      </c>
      <c r="F383" s="3" t="s">
        <v>54</v>
      </c>
      <c r="G383" s="3">
        <v>2001</v>
      </c>
      <c r="H383" s="4" t="s">
        <v>539</v>
      </c>
      <c r="I383" s="3" t="s">
        <v>2272</v>
      </c>
      <c r="J383" s="3" t="s">
        <v>2272</v>
      </c>
      <c r="K383" s="3" t="s">
        <v>2272</v>
      </c>
      <c r="L383" s="3" t="s">
        <v>2272</v>
      </c>
      <c r="M383" s="3" t="s">
        <v>2665</v>
      </c>
      <c r="N383" s="3" t="s">
        <v>2272</v>
      </c>
      <c r="O383" s="3" t="s">
        <v>532</v>
      </c>
      <c r="P383" s="3" t="s">
        <v>2272</v>
      </c>
      <c r="Q383" s="3">
        <v>4</v>
      </c>
      <c r="R383" s="3" t="s">
        <v>2272</v>
      </c>
      <c r="S383" s="3" t="s">
        <v>2272</v>
      </c>
      <c r="T383" s="3" t="s">
        <v>2272</v>
      </c>
      <c r="U383" s="3" t="s">
        <v>2272</v>
      </c>
      <c r="V383" s="3" t="s">
        <v>2272</v>
      </c>
      <c r="W383" s="4" t="s">
        <v>3355</v>
      </c>
    </row>
    <row r="384" spans="1:23" ht="48.5" customHeight="1">
      <c r="A384" s="23" t="s">
        <v>3347</v>
      </c>
      <c r="B384" s="23" t="s">
        <v>3352</v>
      </c>
      <c r="C384" s="3" t="s">
        <v>23</v>
      </c>
      <c r="D384" s="3" t="s">
        <v>2301</v>
      </c>
      <c r="E384" s="3" t="s">
        <v>114</v>
      </c>
      <c r="F384" s="3" t="s">
        <v>54</v>
      </c>
      <c r="G384" s="3">
        <v>2002</v>
      </c>
      <c r="H384" s="4" t="s">
        <v>539</v>
      </c>
      <c r="I384" s="3" t="s">
        <v>2272</v>
      </c>
      <c r="J384" s="3" t="s">
        <v>2272</v>
      </c>
      <c r="K384" s="3" t="s">
        <v>2272</v>
      </c>
      <c r="L384" s="3" t="s">
        <v>2272</v>
      </c>
      <c r="M384" s="3" t="s">
        <v>2665</v>
      </c>
      <c r="N384" s="3" t="s">
        <v>2272</v>
      </c>
      <c r="O384" s="3" t="s">
        <v>532</v>
      </c>
      <c r="P384" s="3" t="s">
        <v>2272</v>
      </c>
      <c r="Q384" s="3">
        <v>4</v>
      </c>
      <c r="R384" s="3" t="s">
        <v>2272</v>
      </c>
      <c r="S384" s="3" t="s">
        <v>2272</v>
      </c>
      <c r="T384" s="3" t="s">
        <v>2272</v>
      </c>
      <c r="U384" s="3" t="s">
        <v>2272</v>
      </c>
      <c r="V384" s="3" t="s">
        <v>2272</v>
      </c>
      <c r="W384" s="4" t="s">
        <v>3355</v>
      </c>
    </row>
    <row r="385" spans="1:23" ht="44" customHeight="1">
      <c r="A385" s="23" t="s">
        <v>3347</v>
      </c>
      <c r="B385" s="23" t="s">
        <v>3353</v>
      </c>
      <c r="C385" s="3" t="s">
        <v>23</v>
      </c>
      <c r="D385" s="3" t="s">
        <v>2301</v>
      </c>
      <c r="E385" s="3" t="s">
        <v>114</v>
      </c>
      <c r="F385" s="3" t="s">
        <v>54</v>
      </c>
      <c r="G385" s="3">
        <v>2003</v>
      </c>
      <c r="H385" s="4" t="s">
        <v>539</v>
      </c>
      <c r="I385" s="3" t="s">
        <v>2272</v>
      </c>
      <c r="J385" s="3" t="s">
        <v>2272</v>
      </c>
      <c r="K385" s="3" t="s">
        <v>2272</v>
      </c>
      <c r="L385" s="3" t="s">
        <v>2272</v>
      </c>
      <c r="M385" s="3" t="s">
        <v>2665</v>
      </c>
      <c r="N385" s="3" t="s">
        <v>2272</v>
      </c>
      <c r="O385" s="3" t="s">
        <v>532</v>
      </c>
      <c r="P385" s="3" t="s">
        <v>2272</v>
      </c>
      <c r="Q385" s="3">
        <v>4</v>
      </c>
      <c r="R385" s="3" t="s">
        <v>2272</v>
      </c>
      <c r="S385" s="3" t="s">
        <v>2272</v>
      </c>
      <c r="T385" s="3" t="s">
        <v>2272</v>
      </c>
      <c r="U385" s="3" t="s">
        <v>2272</v>
      </c>
      <c r="V385" s="3" t="s">
        <v>2272</v>
      </c>
      <c r="W385" s="4" t="s">
        <v>3355</v>
      </c>
    </row>
    <row r="386" spans="1:23" ht="42" customHeight="1">
      <c r="A386" s="23" t="s">
        <v>3347</v>
      </c>
      <c r="B386" s="23" t="s">
        <v>6082</v>
      </c>
      <c r="C386" s="3" t="s">
        <v>23</v>
      </c>
      <c r="D386" s="3" t="s">
        <v>2301</v>
      </c>
      <c r="E386" s="3" t="s">
        <v>114</v>
      </c>
      <c r="F386" s="3" t="s">
        <v>54</v>
      </c>
      <c r="G386" s="3">
        <v>2000</v>
      </c>
      <c r="H386" s="4" t="s">
        <v>539</v>
      </c>
      <c r="I386" s="3" t="s">
        <v>2272</v>
      </c>
      <c r="J386" s="3" t="s">
        <v>2272</v>
      </c>
      <c r="K386" s="3" t="s">
        <v>2272</v>
      </c>
      <c r="L386" s="3" t="s">
        <v>2272</v>
      </c>
      <c r="M386" s="3" t="s">
        <v>2272</v>
      </c>
      <c r="N386" s="3" t="s">
        <v>2272</v>
      </c>
      <c r="O386" s="3" t="s">
        <v>2272</v>
      </c>
      <c r="P386" s="3" t="s">
        <v>2272</v>
      </c>
      <c r="Q386" s="3" t="s">
        <v>2272</v>
      </c>
      <c r="R386" s="3" t="s">
        <v>535</v>
      </c>
      <c r="S386" s="3" t="s">
        <v>2272</v>
      </c>
      <c r="T386" s="3" t="s">
        <v>535</v>
      </c>
      <c r="U386" s="3" t="s">
        <v>2272</v>
      </c>
      <c r="V386" s="3" t="s">
        <v>2272</v>
      </c>
      <c r="W386" s="4" t="s">
        <v>3357</v>
      </c>
    </row>
    <row r="387" spans="1:23" ht="43.5">
      <c r="A387" s="23" t="s">
        <v>3347</v>
      </c>
      <c r="B387" s="23" t="s">
        <v>6083</v>
      </c>
      <c r="C387" s="3" t="s">
        <v>23</v>
      </c>
      <c r="D387" s="3" t="s">
        <v>2301</v>
      </c>
      <c r="E387" s="3" t="s">
        <v>114</v>
      </c>
      <c r="F387" s="3" t="s">
        <v>54</v>
      </c>
      <c r="G387" s="3">
        <v>2001</v>
      </c>
      <c r="H387" s="4" t="s">
        <v>539</v>
      </c>
      <c r="I387" s="3" t="s">
        <v>2272</v>
      </c>
      <c r="J387" s="3" t="s">
        <v>2272</v>
      </c>
      <c r="K387" s="3" t="s">
        <v>2272</v>
      </c>
      <c r="L387" s="3" t="s">
        <v>2272</v>
      </c>
      <c r="M387" s="3" t="s">
        <v>2272</v>
      </c>
      <c r="N387" s="3" t="s">
        <v>2272</v>
      </c>
      <c r="O387" s="3" t="s">
        <v>2272</v>
      </c>
      <c r="P387" s="3" t="s">
        <v>2272</v>
      </c>
      <c r="Q387" s="3" t="s">
        <v>2272</v>
      </c>
      <c r="R387" s="3" t="s">
        <v>532</v>
      </c>
      <c r="S387" s="3" t="s">
        <v>2272</v>
      </c>
      <c r="T387" s="3" t="s">
        <v>532</v>
      </c>
      <c r="U387" s="3" t="s">
        <v>2272</v>
      </c>
      <c r="V387" s="3">
        <v>4</v>
      </c>
      <c r="W387" s="4" t="s">
        <v>3356</v>
      </c>
    </row>
    <row r="388" spans="1:23" ht="43.5">
      <c r="A388" s="23" t="s">
        <v>3347</v>
      </c>
      <c r="B388" s="23" t="s">
        <v>6084</v>
      </c>
      <c r="C388" s="3" t="s">
        <v>23</v>
      </c>
      <c r="D388" s="3" t="s">
        <v>2301</v>
      </c>
      <c r="E388" s="3" t="s">
        <v>114</v>
      </c>
      <c r="F388" s="3" t="s">
        <v>54</v>
      </c>
      <c r="G388" s="3">
        <v>2002</v>
      </c>
      <c r="H388" s="4" t="s">
        <v>539</v>
      </c>
      <c r="I388" s="3" t="s">
        <v>2272</v>
      </c>
      <c r="J388" s="3" t="s">
        <v>2272</v>
      </c>
      <c r="K388" s="3" t="s">
        <v>2272</v>
      </c>
      <c r="L388" s="3" t="s">
        <v>2272</v>
      </c>
      <c r="M388" s="3" t="s">
        <v>2272</v>
      </c>
      <c r="N388" s="3" t="s">
        <v>2272</v>
      </c>
      <c r="O388" s="3" t="s">
        <v>2272</v>
      </c>
      <c r="P388" s="3" t="s">
        <v>2272</v>
      </c>
      <c r="Q388" s="3" t="s">
        <v>2272</v>
      </c>
      <c r="R388" s="3" t="s">
        <v>532</v>
      </c>
      <c r="S388" s="3" t="s">
        <v>2272</v>
      </c>
      <c r="T388" s="3" t="s">
        <v>532</v>
      </c>
      <c r="U388" s="3" t="s">
        <v>2272</v>
      </c>
      <c r="V388" s="3">
        <v>4</v>
      </c>
      <c r="W388" s="4" t="s">
        <v>3356</v>
      </c>
    </row>
    <row r="389" spans="1:23" ht="43.5">
      <c r="A389" s="23" t="s">
        <v>3347</v>
      </c>
      <c r="B389" s="23" t="s">
        <v>6085</v>
      </c>
      <c r="C389" s="3" t="s">
        <v>23</v>
      </c>
      <c r="D389" s="3" t="s">
        <v>2301</v>
      </c>
      <c r="E389" s="3" t="s">
        <v>114</v>
      </c>
      <c r="F389" s="3" t="s">
        <v>54</v>
      </c>
      <c r="G389" s="3">
        <v>2003</v>
      </c>
      <c r="H389" s="4" t="s">
        <v>539</v>
      </c>
      <c r="I389" s="3" t="s">
        <v>2272</v>
      </c>
      <c r="J389" s="3" t="s">
        <v>2272</v>
      </c>
      <c r="K389" s="3" t="s">
        <v>2272</v>
      </c>
      <c r="L389" s="3" t="s">
        <v>2272</v>
      </c>
      <c r="M389" s="3" t="s">
        <v>2272</v>
      </c>
      <c r="N389" s="3" t="s">
        <v>2272</v>
      </c>
      <c r="O389" s="3" t="s">
        <v>2272</v>
      </c>
      <c r="P389" s="3" t="s">
        <v>2272</v>
      </c>
      <c r="Q389" s="3" t="s">
        <v>2272</v>
      </c>
      <c r="R389" s="3" t="s">
        <v>532</v>
      </c>
      <c r="S389" s="3" t="s">
        <v>2272</v>
      </c>
      <c r="T389" s="3" t="s">
        <v>532</v>
      </c>
      <c r="U389" s="3" t="s">
        <v>2272</v>
      </c>
      <c r="V389" s="3">
        <v>4</v>
      </c>
      <c r="W389" s="4" t="s">
        <v>3356</v>
      </c>
    </row>
    <row r="390" spans="1:23" ht="52" customHeight="1">
      <c r="A390" s="23" t="s">
        <v>3365</v>
      </c>
      <c r="B390" s="23" t="s">
        <v>3369</v>
      </c>
      <c r="C390" s="3" t="s">
        <v>23</v>
      </c>
      <c r="D390" s="3" t="s">
        <v>1102</v>
      </c>
      <c r="E390" s="3" t="s">
        <v>5000</v>
      </c>
      <c r="F390" s="4" t="s">
        <v>2657</v>
      </c>
      <c r="G390" s="3"/>
      <c r="H390" s="4" t="s">
        <v>539</v>
      </c>
      <c r="I390" s="3" t="s">
        <v>2272</v>
      </c>
      <c r="J390" s="3" t="s">
        <v>2272</v>
      </c>
      <c r="K390" s="3" t="s">
        <v>2272</v>
      </c>
      <c r="L390" s="3" t="s">
        <v>2272</v>
      </c>
      <c r="M390" s="3" t="s">
        <v>2272</v>
      </c>
      <c r="N390" s="3" t="s">
        <v>2272</v>
      </c>
      <c r="O390" s="3" t="s">
        <v>2272</v>
      </c>
      <c r="P390" s="3" t="s">
        <v>2272</v>
      </c>
      <c r="Q390" s="3" t="s">
        <v>2272</v>
      </c>
      <c r="R390" s="3" t="s">
        <v>532</v>
      </c>
      <c r="S390" s="3" t="s">
        <v>2272</v>
      </c>
      <c r="T390" s="3" t="s">
        <v>2272</v>
      </c>
      <c r="U390" s="3" t="s">
        <v>2272</v>
      </c>
      <c r="V390" s="3" t="s">
        <v>2272</v>
      </c>
      <c r="W390" s="3"/>
    </row>
    <row r="391" spans="1:23" ht="52" customHeight="1">
      <c r="A391" s="23" t="s">
        <v>3366</v>
      </c>
      <c r="B391" s="23" t="s">
        <v>3370</v>
      </c>
      <c r="C391" s="3" t="s">
        <v>23</v>
      </c>
      <c r="D391" s="3" t="s">
        <v>1102</v>
      </c>
      <c r="E391" s="3" t="s">
        <v>5000</v>
      </c>
      <c r="F391" s="4" t="s">
        <v>2657</v>
      </c>
      <c r="G391" s="3"/>
      <c r="H391" s="4" t="s">
        <v>539</v>
      </c>
      <c r="I391" s="3" t="s">
        <v>2272</v>
      </c>
      <c r="J391" s="3" t="s">
        <v>2272</v>
      </c>
      <c r="K391" s="3" t="s">
        <v>2272</v>
      </c>
      <c r="L391" s="3" t="s">
        <v>2272</v>
      </c>
      <c r="M391" s="3" t="s">
        <v>2272</v>
      </c>
      <c r="N391" s="3" t="s">
        <v>2272</v>
      </c>
      <c r="O391" s="3" t="s">
        <v>2272</v>
      </c>
      <c r="P391" s="3" t="s">
        <v>2272</v>
      </c>
      <c r="Q391" s="3" t="s">
        <v>2272</v>
      </c>
      <c r="R391" s="3" t="s">
        <v>532</v>
      </c>
      <c r="S391" s="3" t="s">
        <v>2272</v>
      </c>
      <c r="T391" s="3" t="s">
        <v>2272</v>
      </c>
      <c r="U391" s="3" t="s">
        <v>2272</v>
      </c>
      <c r="V391" s="3" t="s">
        <v>2272</v>
      </c>
      <c r="W391" s="3"/>
    </row>
    <row r="392" spans="1:23" ht="61" customHeight="1">
      <c r="A392" s="23" t="s">
        <v>3373</v>
      </c>
      <c r="B392" s="23" t="s">
        <v>3384</v>
      </c>
      <c r="C392" s="3" t="s">
        <v>23</v>
      </c>
      <c r="D392" s="3" t="s">
        <v>1102</v>
      </c>
      <c r="E392" s="3" t="s">
        <v>5000</v>
      </c>
      <c r="F392" s="4" t="s">
        <v>2657</v>
      </c>
      <c r="G392" s="3">
        <v>1968</v>
      </c>
      <c r="H392" s="4" t="s">
        <v>539</v>
      </c>
      <c r="I392" s="3" t="s">
        <v>2272</v>
      </c>
      <c r="J392" s="3" t="s">
        <v>2272</v>
      </c>
      <c r="K392" s="3" t="s">
        <v>2272</v>
      </c>
      <c r="L392" s="3" t="s">
        <v>2272</v>
      </c>
      <c r="M392" s="3" t="s">
        <v>2272</v>
      </c>
      <c r="N392" s="3" t="s">
        <v>2272</v>
      </c>
      <c r="O392" s="3" t="s">
        <v>2272</v>
      </c>
      <c r="P392" s="3" t="s">
        <v>2272</v>
      </c>
      <c r="Q392" s="3" t="s">
        <v>2272</v>
      </c>
      <c r="R392" s="3" t="s">
        <v>535</v>
      </c>
      <c r="S392" s="3" t="s">
        <v>2272</v>
      </c>
      <c r="T392" s="3" t="s">
        <v>535</v>
      </c>
      <c r="U392" s="3" t="s">
        <v>2272</v>
      </c>
      <c r="V392" s="3" t="s">
        <v>2272</v>
      </c>
      <c r="W392" s="4" t="s">
        <v>3396</v>
      </c>
    </row>
    <row r="393" spans="1:23" ht="64" customHeight="1">
      <c r="A393" s="23" t="s">
        <v>3374</v>
      </c>
      <c r="B393" s="23" t="s">
        <v>3385</v>
      </c>
      <c r="C393" s="3" t="s">
        <v>23</v>
      </c>
      <c r="D393" s="3" t="s">
        <v>1102</v>
      </c>
      <c r="E393" s="3" t="s">
        <v>5000</v>
      </c>
      <c r="F393" s="4" t="s">
        <v>2657</v>
      </c>
      <c r="G393" s="3">
        <v>1968</v>
      </c>
      <c r="H393" s="4" t="s">
        <v>539</v>
      </c>
      <c r="I393" s="3" t="s">
        <v>2272</v>
      </c>
      <c r="J393" s="3" t="s">
        <v>2272</v>
      </c>
      <c r="K393" s="3" t="s">
        <v>2272</v>
      </c>
      <c r="L393" s="3" t="s">
        <v>2272</v>
      </c>
      <c r="M393" s="3" t="s">
        <v>2272</v>
      </c>
      <c r="N393" s="3" t="s">
        <v>2272</v>
      </c>
      <c r="O393" s="3" t="s">
        <v>2272</v>
      </c>
      <c r="P393" s="3" t="s">
        <v>2272</v>
      </c>
      <c r="Q393" s="3" t="s">
        <v>2272</v>
      </c>
      <c r="R393" s="3" t="s">
        <v>535</v>
      </c>
      <c r="S393" s="3" t="s">
        <v>2272</v>
      </c>
      <c r="T393" s="3" t="s">
        <v>535</v>
      </c>
      <c r="U393" s="3" t="s">
        <v>2272</v>
      </c>
      <c r="V393" s="3" t="s">
        <v>2272</v>
      </c>
      <c r="W393" s="4" t="s">
        <v>3396</v>
      </c>
    </row>
    <row r="394" spans="1:23" ht="57.5" customHeight="1">
      <c r="A394" s="23" t="s">
        <v>3378</v>
      </c>
      <c r="B394" s="23" t="s">
        <v>3386</v>
      </c>
      <c r="C394" s="3" t="s">
        <v>23</v>
      </c>
      <c r="D394" s="3" t="s">
        <v>1102</v>
      </c>
      <c r="E394" s="3" t="s">
        <v>5000</v>
      </c>
      <c r="F394" s="4" t="s">
        <v>2657</v>
      </c>
      <c r="G394" s="3">
        <v>1968</v>
      </c>
      <c r="H394" s="4" t="s">
        <v>539</v>
      </c>
      <c r="I394" s="3" t="s">
        <v>2272</v>
      </c>
      <c r="J394" s="3" t="s">
        <v>2272</v>
      </c>
      <c r="K394" s="3" t="s">
        <v>2272</v>
      </c>
      <c r="L394" s="3" t="s">
        <v>2272</v>
      </c>
      <c r="M394" s="3" t="s">
        <v>2272</v>
      </c>
      <c r="N394" s="3" t="s">
        <v>2272</v>
      </c>
      <c r="O394" s="3" t="s">
        <v>2272</v>
      </c>
      <c r="P394" s="3" t="s">
        <v>2272</v>
      </c>
      <c r="Q394" s="3" t="s">
        <v>2272</v>
      </c>
      <c r="R394" s="3" t="s">
        <v>535</v>
      </c>
      <c r="S394" s="3" t="s">
        <v>2272</v>
      </c>
      <c r="T394" s="3" t="s">
        <v>535</v>
      </c>
      <c r="U394" s="3" t="s">
        <v>2272</v>
      </c>
      <c r="V394" s="3" t="s">
        <v>2272</v>
      </c>
      <c r="W394" s="4" t="s">
        <v>3396</v>
      </c>
    </row>
    <row r="395" spans="1:23" ht="53.5" customHeight="1">
      <c r="A395" s="23" t="s">
        <v>3373</v>
      </c>
      <c r="B395" s="23" t="s">
        <v>3387</v>
      </c>
      <c r="C395" s="3" t="s">
        <v>23</v>
      </c>
      <c r="D395" s="3" t="s">
        <v>1102</v>
      </c>
      <c r="E395" s="3" t="s">
        <v>5000</v>
      </c>
      <c r="F395" s="4" t="s">
        <v>2657</v>
      </c>
      <c r="G395" s="3">
        <v>2003</v>
      </c>
      <c r="H395" s="4" t="s">
        <v>539</v>
      </c>
      <c r="I395" s="3" t="s">
        <v>2685</v>
      </c>
      <c r="J395" s="3" t="s">
        <v>2685</v>
      </c>
      <c r="K395" s="3" t="s">
        <v>2272</v>
      </c>
      <c r="L395" s="3" t="s">
        <v>2272</v>
      </c>
      <c r="M395" s="3" t="s">
        <v>2272</v>
      </c>
      <c r="N395" s="3" t="s">
        <v>2272</v>
      </c>
      <c r="O395" s="3" t="s">
        <v>2272</v>
      </c>
      <c r="P395" s="3" t="s">
        <v>2272</v>
      </c>
      <c r="Q395" s="3" t="s">
        <v>2272</v>
      </c>
      <c r="R395" s="3" t="s">
        <v>532</v>
      </c>
      <c r="S395" s="3" t="s">
        <v>2272</v>
      </c>
      <c r="T395" s="3" t="s">
        <v>532</v>
      </c>
      <c r="U395" s="3" t="s">
        <v>2272</v>
      </c>
      <c r="V395" s="3" t="s">
        <v>2272</v>
      </c>
      <c r="W395" s="4" t="s">
        <v>3397</v>
      </c>
    </row>
    <row r="396" spans="1:23" ht="57" customHeight="1">
      <c r="A396" s="23" t="s">
        <v>3374</v>
      </c>
      <c r="B396" s="23" t="s">
        <v>3388</v>
      </c>
      <c r="C396" s="3" t="s">
        <v>23</v>
      </c>
      <c r="D396" s="3" t="s">
        <v>1102</v>
      </c>
      <c r="E396" s="3" t="s">
        <v>5000</v>
      </c>
      <c r="F396" s="4" t="s">
        <v>2657</v>
      </c>
      <c r="G396" s="3">
        <v>2003</v>
      </c>
      <c r="H396" s="4" t="s">
        <v>539</v>
      </c>
      <c r="I396" s="3" t="s">
        <v>2685</v>
      </c>
      <c r="J396" s="3" t="s">
        <v>2685</v>
      </c>
      <c r="K396" s="3" t="s">
        <v>2272</v>
      </c>
      <c r="L396" s="3" t="s">
        <v>2272</v>
      </c>
      <c r="M396" s="3" t="s">
        <v>2272</v>
      </c>
      <c r="N396" s="3" t="s">
        <v>2272</v>
      </c>
      <c r="O396" s="3" t="s">
        <v>2272</v>
      </c>
      <c r="P396" s="3" t="s">
        <v>2272</v>
      </c>
      <c r="Q396" s="3" t="s">
        <v>2272</v>
      </c>
      <c r="R396" s="3" t="s">
        <v>532</v>
      </c>
      <c r="S396" s="3" t="s">
        <v>2272</v>
      </c>
      <c r="T396" s="3" t="s">
        <v>532</v>
      </c>
      <c r="U396" s="3" t="s">
        <v>2272</v>
      </c>
      <c r="V396" s="3" t="s">
        <v>2272</v>
      </c>
      <c r="W396" s="4" t="s">
        <v>3397</v>
      </c>
    </row>
    <row r="397" spans="1:23" ht="58" customHeight="1">
      <c r="A397" s="23" t="s">
        <v>3378</v>
      </c>
      <c r="B397" s="23" t="s">
        <v>3389</v>
      </c>
      <c r="C397" s="3" t="s">
        <v>23</v>
      </c>
      <c r="D397" s="3" t="s">
        <v>1102</v>
      </c>
      <c r="E397" s="3" t="s">
        <v>5000</v>
      </c>
      <c r="F397" s="4" t="s">
        <v>2657</v>
      </c>
      <c r="G397" s="3">
        <v>2003</v>
      </c>
      <c r="H397" s="4" t="s">
        <v>539</v>
      </c>
      <c r="I397" s="3" t="s">
        <v>2685</v>
      </c>
      <c r="J397" s="3" t="s">
        <v>2685</v>
      </c>
      <c r="K397" s="3" t="s">
        <v>2272</v>
      </c>
      <c r="L397" s="3" t="s">
        <v>2272</v>
      </c>
      <c r="M397" s="3" t="s">
        <v>2272</v>
      </c>
      <c r="N397" s="3" t="s">
        <v>2272</v>
      </c>
      <c r="O397" s="3" t="s">
        <v>2272</v>
      </c>
      <c r="P397" s="3" t="s">
        <v>2272</v>
      </c>
      <c r="Q397" s="3" t="s">
        <v>2272</v>
      </c>
      <c r="R397" s="3" t="s">
        <v>532</v>
      </c>
      <c r="S397" s="3" t="s">
        <v>2272</v>
      </c>
      <c r="T397" s="3" t="s">
        <v>532</v>
      </c>
      <c r="U397" s="3" t="s">
        <v>2272</v>
      </c>
      <c r="V397" s="3" t="s">
        <v>2272</v>
      </c>
      <c r="W397" s="4" t="s">
        <v>3397</v>
      </c>
    </row>
    <row r="398" spans="1:23" ht="34.5" customHeight="1">
      <c r="A398" s="23" t="s">
        <v>3381</v>
      </c>
      <c r="B398" s="23" t="s">
        <v>3402</v>
      </c>
      <c r="C398" s="3" t="s">
        <v>23</v>
      </c>
      <c r="D398" s="3" t="s">
        <v>1102</v>
      </c>
      <c r="E398" s="3" t="s">
        <v>5000</v>
      </c>
      <c r="F398" s="4" t="s">
        <v>2657</v>
      </c>
      <c r="G398" s="3"/>
      <c r="H398" s="4" t="s">
        <v>539</v>
      </c>
      <c r="I398" s="3" t="s">
        <v>2272</v>
      </c>
      <c r="J398" s="3" t="s">
        <v>2272</v>
      </c>
      <c r="K398" s="3" t="s">
        <v>2272</v>
      </c>
      <c r="L398" s="3" t="s">
        <v>2272</v>
      </c>
      <c r="M398" s="3" t="s">
        <v>2272</v>
      </c>
      <c r="N398" s="3" t="s">
        <v>2272</v>
      </c>
      <c r="O398" s="3" t="s">
        <v>2272</v>
      </c>
      <c r="P398" s="3" t="s">
        <v>2272</v>
      </c>
      <c r="Q398" s="3" t="s">
        <v>2272</v>
      </c>
      <c r="R398" s="3" t="s">
        <v>535</v>
      </c>
      <c r="S398" s="3" t="s">
        <v>2272</v>
      </c>
      <c r="T398" s="3" t="s">
        <v>2272</v>
      </c>
      <c r="U398" s="3" t="s">
        <v>2272</v>
      </c>
      <c r="V398" s="3" t="s">
        <v>2272</v>
      </c>
      <c r="W398" s="4"/>
    </row>
    <row r="399" spans="1:23" ht="40.5" customHeight="1">
      <c r="A399" s="23" t="s">
        <v>3382</v>
      </c>
      <c r="B399" s="23" t="s">
        <v>3403</v>
      </c>
      <c r="C399" s="3" t="s">
        <v>23</v>
      </c>
      <c r="D399" s="3" t="s">
        <v>1102</v>
      </c>
      <c r="E399" s="3" t="s">
        <v>5000</v>
      </c>
      <c r="F399" s="4" t="s">
        <v>2657</v>
      </c>
      <c r="G399" s="3"/>
      <c r="H399" s="4" t="s">
        <v>539</v>
      </c>
      <c r="I399" s="3" t="s">
        <v>2272</v>
      </c>
      <c r="J399" s="3" t="s">
        <v>2272</v>
      </c>
      <c r="K399" s="3" t="s">
        <v>2272</v>
      </c>
      <c r="L399" s="3" t="s">
        <v>2272</v>
      </c>
      <c r="M399" s="3" t="s">
        <v>2272</v>
      </c>
      <c r="N399" s="3" t="s">
        <v>2272</v>
      </c>
      <c r="O399" s="3" t="s">
        <v>2272</v>
      </c>
      <c r="P399" s="3" t="s">
        <v>2272</v>
      </c>
      <c r="Q399" s="3" t="s">
        <v>2272</v>
      </c>
      <c r="R399" s="3" t="s">
        <v>532</v>
      </c>
      <c r="S399" s="3" t="s">
        <v>2272</v>
      </c>
      <c r="T399" s="3" t="s">
        <v>2272</v>
      </c>
      <c r="U399" s="3" t="s">
        <v>2272</v>
      </c>
      <c r="V399" s="3" t="s">
        <v>2272</v>
      </c>
      <c r="W399" s="4"/>
    </row>
    <row r="400" spans="1:23" ht="39" customHeight="1">
      <c r="A400" s="23" t="s">
        <v>3383</v>
      </c>
      <c r="B400" s="23" t="s">
        <v>3404</v>
      </c>
      <c r="C400" s="3" t="s">
        <v>23</v>
      </c>
      <c r="D400" s="3" t="s">
        <v>1102</v>
      </c>
      <c r="E400" s="3" t="s">
        <v>5000</v>
      </c>
      <c r="F400" s="4" t="s">
        <v>2657</v>
      </c>
      <c r="G400" s="3"/>
      <c r="H400" s="4" t="s">
        <v>539</v>
      </c>
      <c r="I400" s="3" t="s">
        <v>2272</v>
      </c>
      <c r="J400" s="3" t="s">
        <v>2272</v>
      </c>
      <c r="K400" s="3" t="s">
        <v>2272</v>
      </c>
      <c r="L400" s="3" t="s">
        <v>2272</v>
      </c>
      <c r="M400" s="3" t="s">
        <v>2272</v>
      </c>
      <c r="N400" s="3" t="s">
        <v>2272</v>
      </c>
      <c r="O400" s="3" t="s">
        <v>2272</v>
      </c>
      <c r="P400" s="3" t="s">
        <v>2272</v>
      </c>
      <c r="Q400" s="3" t="s">
        <v>2272</v>
      </c>
      <c r="R400" s="3" t="s">
        <v>532</v>
      </c>
      <c r="S400" s="3" t="s">
        <v>2272</v>
      </c>
      <c r="T400" s="3" t="s">
        <v>2272</v>
      </c>
      <c r="U400" s="3" t="s">
        <v>2272</v>
      </c>
      <c r="V400" s="3" t="s">
        <v>2272</v>
      </c>
      <c r="W400" s="4"/>
    </row>
    <row r="401" spans="1:23" ht="41" customHeight="1">
      <c r="A401" s="23" t="s">
        <v>3455</v>
      </c>
      <c r="B401" s="23" t="s">
        <v>3460</v>
      </c>
      <c r="C401" s="3" t="s">
        <v>1102</v>
      </c>
      <c r="D401" s="3" t="s">
        <v>1102</v>
      </c>
      <c r="E401" s="3" t="s">
        <v>1102</v>
      </c>
      <c r="F401" s="3" t="s">
        <v>1102</v>
      </c>
      <c r="G401" s="3"/>
      <c r="H401" s="4" t="s">
        <v>539</v>
      </c>
      <c r="I401" s="3" t="s">
        <v>2272</v>
      </c>
      <c r="J401" s="3" t="s">
        <v>2272</v>
      </c>
      <c r="K401" s="3" t="s">
        <v>2272</v>
      </c>
      <c r="L401" s="3" t="s">
        <v>2272</v>
      </c>
      <c r="M401" s="3" t="s">
        <v>2272</v>
      </c>
      <c r="N401" s="3" t="s">
        <v>2272</v>
      </c>
      <c r="O401" s="3" t="s">
        <v>2272</v>
      </c>
      <c r="P401" s="3" t="s">
        <v>2272</v>
      </c>
      <c r="Q401" s="3" t="s">
        <v>2272</v>
      </c>
      <c r="R401" s="3" t="s">
        <v>532</v>
      </c>
      <c r="S401" s="3" t="s">
        <v>2272</v>
      </c>
      <c r="T401" s="3" t="s">
        <v>2272</v>
      </c>
      <c r="U401" s="3" t="s">
        <v>2272</v>
      </c>
      <c r="V401" s="3" t="s">
        <v>2272</v>
      </c>
      <c r="W401" s="19" t="s">
        <v>3480</v>
      </c>
    </row>
    <row r="402" spans="1:23" ht="143.5" customHeight="1">
      <c r="A402" s="23" t="s">
        <v>3486</v>
      </c>
      <c r="B402" s="23" t="s">
        <v>3492</v>
      </c>
      <c r="C402" s="3" t="s">
        <v>1102</v>
      </c>
      <c r="D402" s="3" t="s">
        <v>1102</v>
      </c>
      <c r="E402" s="3" t="s">
        <v>1102</v>
      </c>
      <c r="F402" s="3" t="s">
        <v>1102</v>
      </c>
      <c r="G402" s="3"/>
      <c r="H402" s="4" t="s">
        <v>539</v>
      </c>
      <c r="I402" s="3" t="s">
        <v>2685</v>
      </c>
      <c r="J402" s="3" t="s">
        <v>2685</v>
      </c>
      <c r="K402" s="3" t="s">
        <v>2272</v>
      </c>
      <c r="L402" s="3" t="s">
        <v>2272</v>
      </c>
      <c r="M402" s="3" t="s">
        <v>2272</v>
      </c>
      <c r="N402" s="3" t="s">
        <v>2272</v>
      </c>
      <c r="O402" s="3" t="s">
        <v>2272</v>
      </c>
      <c r="P402" s="3" t="s">
        <v>2272</v>
      </c>
      <c r="Q402" s="3" t="s">
        <v>2272</v>
      </c>
      <c r="R402" s="3" t="s">
        <v>532</v>
      </c>
      <c r="S402" s="3" t="s">
        <v>2272</v>
      </c>
      <c r="T402" s="3" t="s">
        <v>2272</v>
      </c>
      <c r="U402" s="3" t="s">
        <v>2272</v>
      </c>
      <c r="V402" s="3">
        <v>1</v>
      </c>
      <c r="W402" s="4" t="s">
        <v>3522</v>
      </c>
    </row>
    <row r="403" spans="1:23" ht="39" customHeight="1">
      <c r="A403" s="23" t="s">
        <v>3525</v>
      </c>
      <c r="B403" s="23" t="s">
        <v>3528</v>
      </c>
      <c r="C403" s="3" t="s">
        <v>1102</v>
      </c>
      <c r="D403" s="3" t="s">
        <v>1102</v>
      </c>
      <c r="E403" s="3" t="s">
        <v>1102</v>
      </c>
      <c r="F403" s="3" t="s">
        <v>1102</v>
      </c>
      <c r="G403" s="3"/>
      <c r="H403" s="4" t="s">
        <v>539</v>
      </c>
      <c r="I403" s="3" t="s">
        <v>2272</v>
      </c>
      <c r="J403" s="3" t="s">
        <v>2272</v>
      </c>
      <c r="K403" s="3" t="s">
        <v>2272</v>
      </c>
      <c r="L403" s="3" t="s">
        <v>2272</v>
      </c>
      <c r="M403" s="3" t="s">
        <v>2272</v>
      </c>
      <c r="N403" s="3" t="s">
        <v>2272</v>
      </c>
      <c r="O403" s="3" t="s">
        <v>2272</v>
      </c>
      <c r="P403" s="3" t="s">
        <v>2272</v>
      </c>
      <c r="Q403" s="3" t="s">
        <v>2272</v>
      </c>
      <c r="R403" s="3" t="s">
        <v>535</v>
      </c>
      <c r="S403" s="3" t="s">
        <v>2272</v>
      </c>
      <c r="T403" s="3" t="s">
        <v>2272</v>
      </c>
      <c r="U403" s="3" t="s">
        <v>2272</v>
      </c>
      <c r="V403" s="3" t="s">
        <v>2272</v>
      </c>
      <c r="W403" s="3"/>
    </row>
    <row r="404" spans="1:23" ht="68" customHeight="1">
      <c r="A404" s="23" t="s">
        <v>3527</v>
      </c>
      <c r="B404" s="23" t="s">
        <v>3568</v>
      </c>
      <c r="C404" s="3" t="s">
        <v>1102</v>
      </c>
      <c r="D404" s="3" t="s">
        <v>1102</v>
      </c>
      <c r="E404" s="3" t="s">
        <v>1102</v>
      </c>
      <c r="F404" s="3" t="s">
        <v>1102</v>
      </c>
      <c r="G404" s="3"/>
      <c r="H404" s="4" t="s">
        <v>539</v>
      </c>
      <c r="I404" s="3" t="s">
        <v>2272</v>
      </c>
      <c r="J404" s="3" t="s">
        <v>2272</v>
      </c>
      <c r="K404" s="3" t="s">
        <v>2272</v>
      </c>
      <c r="L404" s="3" t="s">
        <v>2272</v>
      </c>
      <c r="M404" s="3" t="s">
        <v>2272</v>
      </c>
      <c r="N404" s="3" t="s">
        <v>2272</v>
      </c>
      <c r="O404" s="3" t="s">
        <v>2272</v>
      </c>
      <c r="P404" s="3" t="s">
        <v>2272</v>
      </c>
      <c r="Q404" s="3" t="s">
        <v>2272</v>
      </c>
      <c r="R404" s="3" t="s">
        <v>532</v>
      </c>
      <c r="S404" s="3" t="s">
        <v>532</v>
      </c>
      <c r="T404" s="3" t="s">
        <v>2272</v>
      </c>
      <c r="U404" s="3" t="s">
        <v>2272</v>
      </c>
      <c r="V404" s="3">
        <v>4</v>
      </c>
      <c r="W404" s="4" t="s">
        <v>3569</v>
      </c>
    </row>
    <row r="405" spans="1:23" ht="67" customHeight="1">
      <c r="A405" s="26" t="s">
        <v>3572</v>
      </c>
      <c r="B405" s="26" t="s">
        <v>3575</v>
      </c>
      <c r="C405" s="4" t="s">
        <v>1102</v>
      </c>
      <c r="D405" s="3" t="s">
        <v>1102</v>
      </c>
      <c r="E405" s="4" t="s">
        <v>5000</v>
      </c>
      <c r="F405" s="3" t="s">
        <v>1102</v>
      </c>
      <c r="G405" s="3"/>
      <c r="H405" s="4" t="s">
        <v>539</v>
      </c>
      <c r="I405" s="3" t="s">
        <v>2272</v>
      </c>
      <c r="J405" s="3" t="s">
        <v>2272</v>
      </c>
      <c r="K405" s="3" t="s">
        <v>2272</v>
      </c>
      <c r="L405" s="3" t="s">
        <v>2272</v>
      </c>
      <c r="M405" s="3" t="s">
        <v>2272</v>
      </c>
      <c r="N405" s="3" t="s">
        <v>2272</v>
      </c>
      <c r="O405" s="3" t="s">
        <v>2272</v>
      </c>
      <c r="P405" s="3" t="s">
        <v>2272</v>
      </c>
      <c r="Q405" s="3" t="s">
        <v>2272</v>
      </c>
      <c r="R405" s="3" t="s">
        <v>532</v>
      </c>
      <c r="S405" s="3" t="s">
        <v>532</v>
      </c>
      <c r="T405" s="3" t="s">
        <v>532</v>
      </c>
      <c r="U405" s="3" t="s">
        <v>2272</v>
      </c>
      <c r="V405" s="3" t="s">
        <v>2272</v>
      </c>
      <c r="W405" s="4" t="s">
        <v>3578</v>
      </c>
    </row>
    <row r="406" spans="1:23" ht="44.5" customHeight="1">
      <c r="A406" s="26" t="s">
        <v>3572</v>
      </c>
      <c r="B406" s="26" t="s">
        <v>3576</v>
      </c>
      <c r="C406" s="4" t="s">
        <v>1102</v>
      </c>
      <c r="D406" s="3" t="s">
        <v>1102</v>
      </c>
      <c r="E406" s="4" t="s">
        <v>135</v>
      </c>
      <c r="F406" s="3" t="s">
        <v>1102</v>
      </c>
      <c r="G406" s="3"/>
      <c r="H406" s="4" t="s">
        <v>539</v>
      </c>
      <c r="I406" s="3" t="s">
        <v>2272</v>
      </c>
      <c r="J406" s="3" t="s">
        <v>2272</v>
      </c>
      <c r="K406" s="3" t="s">
        <v>2272</v>
      </c>
      <c r="L406" s="3" t="s">
        <v>2272</v>
      </c>
      <c r="M406" s="3" t="s">
        <v>2272</v>
      </c>
      <c r="N406" s="3" t="s">
        <v>2272</v>
      </c>
      <c r="O406" s="3" t="s">
        <v>2272</v>
      </c>
      <c r="P406" s="3" t="s">
        <v>2272</v>
      </c>
      <c r="Q406" s="3" t="s">
        <v>2272</v>
      </c>
      <c r="R406" s="3" t="s">
        <v>535</v>
      </c>
      <c r="S406" s="3" t="s">
        <v>2272</v>
      </c>
      <c r="T406" s="3" t="s">
        <v>2272</v>
      </c>
      <c r="U406" s="3" t="s">
        <v>2272</v>
      </c>
      <c r="V406" s="3" t="s">
        <v>2272</v>
      </c>
      <c r="W406" s="4" t="s">
        <v>3577</v>
      </c>
    </row>
    <row r="407" spans="1:23" ht="51.5" customHeight="1">
      <c r="A407" s="23" t="s">
        <v>3620</v>
      </c>
      <c r="B407" s="23" t="s">
        <v>3630</v>
      </c>
      <c r="C407" s="3" t="s">
        <v>23</v>
      </c>
      <c r="D407" s="3" t="s">
        <v>142</v>
      </c>
      <c r="E407" s="4" t="s">
        <v>135</v>
      </c>
      <c r="F407" s="4" t="s">
        <v>2657</v>
      </c>
      <c r="G407" s="3"/>
      <c r="H407" s="4" t="s">
        <v>539</v>
      </c>
      <c r="I407" s="3" t="s">
        <v>2272</v>
      </c>
      <c r="J407" s="3" t="s">
        <v>2272</v>
      </c>
      <c r="K407" s="3" t="s">
        <v>2272</v>
      </c>
      <c r="L407" s="3" t="s">
        <v>2272</v>
      </c>
      <c r="M407" s="3" t="s">
        <v>2272</v>
      </c>
      <c r="N407" s="3" t="s">
        <v>2272</v>
      </c>
      <c r="O407" s="3" t="s">
        <v>2272</v>
      </c>
      <c r="P407" s="3" t="s">
        <v>2272</v>
      </c>
      <c r="Q407" s="3" t="s">
        <v>2272</v>
      </c>
      <c r="R407" s="3" t="s">
        <v>2272</v>
      </c>
      <c r="S407" s="3" t="s">
        <v>2272</v>
      </c>
      <c r="T407" s="3" t="s">
        <v>2272</v>
      </c>
      <c r="U407" s="3" t="s">
        <v>2272</v>
      </c>
      <c r="V407" s="3" t="s">
        <v>2272</v>
      </c>
      <c r="W407" s="4" t="s">
        <v>3638</v>
      </c>
    </row>
    <row r="408" spans="1:23" ht="51.5" customHeight="1">
      <c r="A408" s="23" t="s">
        <v>3621</v>
      </c>
      <c r="B408" s="23" t="s">
        <v>3631</v>
      </c>
      <c r="C408" s="3" t="s">
        <v>23</v>
      </c>
      <c r="D408" s="3" t="s">
        <v>142</v>
      </c>
      <c r="E408" s="4" t="s">
        <v>135</v>
      </c>
      <c r="F408" s="4" t="s">
        <v>2657</v>
      </c>
      <c r="G408" s="3"/>
      <c r="H408" s="4" t="s">
        <v>539</v>
      </c>
      <c r="I408" s="3" t="s">
        <v>2272</v>
      </c>
      <c r="J408" s="3" t="s">
        <v>2272</v>
      </c>
      <c r="K408" s="3" t="s">
        <v>2272</v>
      </c>
      <c r="L408" s="3" t="s">
        <v>2272</v>
      </c>
      <c r="M408" s="3" t="s">
        <v>2272</v>
      </c>
      <c r="N408" s="3" t="s">
        <v>2272</v>
      </c>
      <c r="O408" s="3" t="s">
        <v>2272</v>
      </c>
      <c r="P408" s="3" t="s">
        <v>2272</v>
      </c>
      <c r="Q408" s="3" t="s">
        <v>2272</v>
      </c>
      <c r="R408" s="3" t="s">
        <v>2272</v>
      </c>
      <c r="S408" s="3" t="s">
        <v>2272</v>
      </c>
      <c r="T408" s="3" t="s">
        <v>2272</v>
      </c>
      <c r="U408" s="3" t="s">
        <v>2272</v>
      </c>
      <c r="V408" s="3" t="s">
        <v>2272</v>
      </c>
      <c r="W408" s="4" t="s">
        <v>3638</v>
      </c>
    </row>
    <row r="409" spans="1:23" ht="54.5" customHeight="1">
      <c r="A409" s="23" t="s">
        <v>3624</v>
      </c>
      <c r="B409" s="23" t="s">
        <v>3632</v>
      </c>
      <c r="C409" s="3" t="s">
        <v>23</v>
      </c>
      <c r="D409" s="3" t="s">
        <v>142</v>
      </c>
      <c r="E409" s="4" t="s">
        <v>135</v>
      </c>
      <c r="F409" s="4" t="s">
        <v>2657</v>
      </c>
      <c r="G409" s="3"/>
      <c r="H409" s="4" t="s">
        <v>539</v>
      </c>
      <c r="I409" s="3" t="s">
        <v>2272</v>
      </c>
      <c r="J409" s="3" t="s">
        <v>2272</v>
      </c>
      <c r="K409" s="3" t="s">
        <v>2272</v>
      </c>
      <c r="L409" s="3" t="s">
        <v>2272</v>
      </c>
      <c r="M409" s="3" t="s">
        <v>2272</v>
      </c>
      <c r="N409" s="3" t="s">
        <v>2272</v>
      </c>
      <c r="O409" s="3" t="s">
        <v>2272</v>
      </c>
      <c r="P409" s="3" t="s">
        <v>2272</v>
      </c>
      <c r="Q409" s="3" t="s">
        <v>2272</v>
      </c>
      <c r="R409" s="3" t="s">
        <v>2272</v>
      </c>
      <c r="S409" s="3" t="s">
        <v>2272</v>
      </c>
      <c r="T409" s="3" t="s">
        <v>2272</v>
      </c>
      <c r="U409" s="3" t="s">
        <v>2272</v>
      </c>
      <c r="V409" s="3" t="s">
        <v>2272</v>
      </c>
      <c r="W409" s="4" t="s">
        <v>3638</v>
      </c>
    </row>
    <row r="410" spans="1:23" ht="56" customHeight="1">
      <c r="A410" s="23" t="s">
        <v>3620</v>
      </c>
      <c r="B410" s="23" t="s">
        <v>3634</v>
      </c>
      <c r="C410" s="3" t="s">
        <v>23</v>
      </c>
      <c r="D410" s="3" t="s">
        <v>142</v>
      </c>
      <c r="E410" s="4" t="s">
        <v>135</v>
      </c>
      <c r="F410" s="4" t="s">
        <v>54</v>
      </c>
      <c r="G410" s="3"/>
      <c r="H410" s="4" t="s">
        <v>539</v>
      </c>
      <c r="I410" s="3" t="s">
        <v>2272</v>
      </c>
      <c r="J410" s="3" t="s">
        <v>2272</v>
      </c>
      <c r="K410" s="3" t="s">
        <v>2272</v>
      </c>
      <c r="L410" s="3" t="s">
        <v>2272</v>
      </c>
      <c r="M410" s="3" t="s">
        <v>2272</v>
      </c>
      <c r="N410" s="3" t="s">
        <v>2272</v>
      </c>
      <c r="O410" s="3" t="s">
        <v>2272</v>
      </c>
      <c r="P410" s="3" t="s">
        <v>2272</v>
      </c>
      <c r="Q410" s="3" t="s">
        <v>2272</v>
      </c>
      <c r="R410" s="3" t="s">
        <v>535</v>
      </c>
      <c r="S410" s="3" t="s">
        <v>2272</v>
      </c>
      <c r="T410" s="3" t="s">
        <v>2272</v>
      </c>
      <c r="U410" s="3" t="s">
        <v>2272</v>
      </c>
      <c r="V410" s="3" t="s">
        <v>2272</v>
      </c>
      <c r="W410" s="4" t="s">
        <v>3638</v>
      </c>
    </row>
    <row r="411" spans="1:23" ht="51.5" customHeight="1">
      <c r="A411" s="23" t="s">
        <v>3621</v>
      </c>
      <c r="B411" s="23" t="s">
        <v>3635</v>
      </c>
      <c r="C411" s="3" t="s">
        <v>23</v>
      </c>
      <c r="D411" s="3" t="s">
        <v>142</v>
      </c>
      <c r="E411" s="4" t="s">
        <v>135</v>
      </c>
      <c r="F411" s="4" t="s">
        <v>54</v>
      </c>
      <c r="G411" s="3"/>
      <c r="H411" s="4" t="s">
        <v>539</v>
      </c>
      <c r="I411" s="3" t="s">
        <v>2272</v>
      </c>
      <c r="J411" s="3" t="s">
        <v>2272</v>
      </c>
      <c r="K411" s="3" t="s">
        <v>2272</v>
      </c>
      <c r="L411" s="3" t="s">
        <v>2272</v>
      </c>
      <c r="M411" s="3" t="s">
        <v>2272</v>
      </c>
      <c r="N411" s="3" t="s">
        <v>2272</v>
      </c>
      <c r="O411" s="3" t="s">
        <v>2272</v>
      </c>
      <c r="P411" s="3" t="s">
        <v>2272</v>
      </c>
      <c r="Q411" s="3" t="s">
        <v>2272</v>
      </c>
      <c r="R411" s="3" t="s">
        <v>535</v>
      </c>
      <c r="S411" s="3" t="s">
        <v>2272</v>
      </c>
      <c r="T411" s="3" t="s">
        <v>2272</v>
      </c>
      <c r="U411" s="3" t="s">
        <v>2272</v>
      </c>
      <c r="V411" s="3" t="s">
        <v>2272</v>
      </c>
      <c r="W411" s="4" t="s">
        <v>3638</v>
      </c>
    </row>
    <row r="412" spans="1:23" ht="60" customHeight="1">
      <c r="A412" s="23" t="s">
        <v>3624</v>
      </c>
      <c r="B412" s="23" t="s">
        <v>3636</v>
      </c>
      <c r="C412" s="3" t="s">
        <v>23</v>
      </c>
      <c r="D412" s="3" t="s">
        <v>142</v>
      </c>
      <c r="E412" s="4" t="s">
        <v>135</v>
      </c>
      <c r="F412" s="4" t="s">
        <v>54</v>
      </c>
      <c r="G412" s="3"/>
      <c r="H412" s="4" t="s">
        <v>539</v>
      </c>
      <c r="I412" s="3" t="s">
        <v>2272</v>
      </c>
      <c r="J412" s="3" t="s">
        <v>2272</v>
      </c>
      <c r="K412" s="3" t="s">
        <v>2272</v>
      </c>
      <c r="L412" s="3" t="s">
        <v>2272</v>
      </c>
      <c r="M412" s="3" t="s">
        <v>2272</v>
      </c>
      <c r="N412" s="3" t="s">
        <v>2272</v>
      </c>
      <c r="O412" s="3" t="s">
        <v>2272</v>
      </c>
      <c r="P412" s="3" t="s">
        <v>2272</v>
      </c>
      <c r="Q412" s="3" t="s">
        <v>2272</v>
      </c>
      <c r="R412" s="3" t="s">
        <v>535</v>
      </c>
      <c r="S412" s="3" t="s">
        <v>2272</v>
      </c>
      <c r="T412" s="3" t="s">
        <v>2272</v>
      </c>
      <c r="U412" s="3" t="s">
        <v>2272</v>
      </c>
      <c r="V412" s="3" t="s">
        <v>2272</v>
      </c>
      <c r="W412" s="4" t="s">
        <v>3638</v>
      </c>
    </row>
    <row r="413" spans="1:23" ht="80.5" customHeight="1">
      <c r="A413" s="23" t="s">
        <v>3620</v>
      </c>
      <c r="B413" s="23" t="s">
        <v>3639</v>
      </c>
      <c r="C413" s="3" t="s">
        <v>23</v>
      </c>
      <c r="D413" s="3" t="s">
        <v>1238</v>
      </c>
      <c r="E413" s="4" t="s">
        <v>1102</v>
      </c>
      <c r="F413" s="4" t="s">
        <v>2657</v>
      </c>
      <c r="G413" s="3"/>
      <c r="H413" s="4" t="s">
        <v>539</v>
      </c>
      <c r="I413" s="3" t="s">
        <v>2685</v>
      </c>
      <c r="J413" s="3" t="s">
        <v>2272</v>
      </c>
      <c r="K413" s="3" t="s">
        <v>2272</v>
      </c>
      <c r="L413" s="3" t="s">
        <v>2272</v>
      </c>
      <c r="M413" s="3" t="s">
        <v>2272</v>
      </c>
      <c r="N413" s="3" t="s">
        <v>2272</v>
      </c>
      <c r="O413" s="3" t="s">
        <v>2272</v>
      </c>
      <c r="P413" s="3" t="s">
        <v>2272</v>
      </c>
      <c r="Q413" s="3" t="s">
        <v>2272</v>
      </c>
      <c r="R413" s="3" t="s">
        <v>535</v>
      </c>
      <c r="S413" s="3" t="s">
        <v>2272</v>
      </c>
      <c r="T413" s="3" t="s">
        <v>2272</v>
      </c>
      <c r="U413" s="3" t="s">
        <v>2272</v>
      </c>
      <c r="V413" s="3" t="s">
        <v>2272</v>
      </c>
      <c r="W413" s="4" t="s">
        <v>3647</v>
      </c>
    </row>
    <row r="414" spans="1:23" ht="80.5" customHeight="1">
      <c r="A414" s="23" t="s">
        <v>3621</v>
      </c>
      <c r="B414" s="23" t="s">
        <v>3640</v>
      </c>
      <c r="C414" s="3" t="s">
        <v>23</v>
      </c>
      <c r="D414" s="3" t="s">
        <v>1238</v>
      </c>
      <c r="E414" s="4" t="s">
        <v>1102</v>
      </c>
      <c r="F414" s="4" t="s">
        <v>2657</v>
      </c>
      <c r="G414" s="3"/>
      <c r="H414" s="4" t="s">
        <v>539</v>
      </c>
      <c r="I414" s="3" t="s">
        <v>2685</v>
      </c>
      <c r="J414" s="3" t="s">
        <v>2272</v>
      </c>
      <c r="K414" s="3" t="s">
        <v>2272</v>
      </c>
      <c r="L414" s="3" t="s">
        <v>2272</v>
      </c>
      <c r="M414" s="3" t="s">
        <v>2272</v>
      </c>
      <c r="N414" s="3" t="s">
        <v>2272</v>
      </c>
      <c r="O414" s="3" t="s">
        <v>2272</v>
      </c>
      <c r="P414" s="3" t="s">
        <v>2272</v>
      </c>
      <c r="Q414" s="3" t="s">
        <v>2272</v>
      </c>
      <c r="R414" s="3" t="s">
        <v>535</v>
      </c>
      <c r="S414" s="3" t="s">
        <v>2272</v>
      </c>
      <c r="T414" s="3" t="s">
        <v>2272</v>
      </c>
      <c r="U414" s="3" t="s">
        <v>2272</v>
      </c>
      <c r="V414" s="3" t="s">
        <v>2272</v>
      </c>
      <c r="W414" s="4" t="s">
        <v>3647</v>
      </c>
    </row>
    <row r="415" spans="1:23" ht="80.5" customHeight="1">
      <c r="A415" s="23" t="s">
        <v>3624</v>
      </c>
      <c r="B415" s="23" t="s">
        <v>3641</v>
      </c>
      <c r="C415" s="3" t="s">
        <v>23</v>
      </c>
      <c r="D415" s="3" t="s">
        <v>1238</v>
      </c>
      <c r="E415" s="4" t="s">
        <v>1102</v>
      </c>
      <c r="F415" s="4" t="s">
        <v>2657</v>
      </c>
      <c r="G415" s="3"/>
      <c r="H415" s="4" t="s">
        <v>539</v>
      </c>
      <c r="I415" s="3" t="s">
        <v>2685</v>
      </c>
      <c r="J415" s="3" t="s">
        <v>2272</v>
      </c>
      <c r="K415" s="3" t="s">
        <v>2272</v>
      </c>
      <c r="L415" s="3" t="s">
        <v>2272</v>
      </c>
      <c r="M415" s="3" t="s">
        <v>2272</v>
      </c>
      <c r="N415" s="3" t="s">
        <v>2272</v>
      </c>
      <c r="O415" s="3" t="s">
        <v>2272</v>
      </c>
      <c r="P415" s="3" t="s">
        <v>2272</v>
      </c>
      <c r="Q415" s="3" t="s">
        <v>2272</v>
      </c>
      <c r="R415" s="3" t="s">
        <v>535</v>
      </c>
      <c r="S415" s="3" t="s">
        <v>2272</v>
      </c>
      <c r="T415" s="3" t="s">
        <v>2272</v>
      </c>
      <c r="U415" s="3" t="s">
        <v>2272</v>
      </c>
      <c r="V415" s="3" t="s">
        <v>2272</v>
      </c>
      <c r="W415" s="4" t="s">
        <v>3647</v>
      </c>
    </row>
    <row r="416" spans="1:23" ht="80.5" customHeight="1">
      <c r="A416" s="23" t="s">
        <v>3620</v>
      </c>
      <c r="B416" s="23" t="s">
        <v>3643</v>
      </c>
      <c r="C416" s="3" t="s">
        <v>23</v>
      </c>
      <c r="D416" s="3" t="s">
        <v>1238</v>
      </c>
      <c r="E416" s="4" t="s">
        <v>1102</v>
      </c>
      <c r="F416" s="4" t="s">
        <v>54</v>
      </c>
      <c r="G416" s="3"/>
      <c r="H416" s="4" t="s">
        <v>539</v>
      </c>
      <c r="I416" s="3" t="s">
        <v>2685</v>
      </c>
      <c r="J416" s="3" t="s">
        <v>2272</v>
      </c>
      <c r="K416" s="3" t="s">
        <v>2272</v>
      </c>
      <c r="L416" s="3" t="s">
        <v>2272</v>
      </c>
      <c r="M416" s="3" t="s">
        <v>2272</v>
      </c>
      <c r="N416" s="3" t="s">
        <v>2272</v>
      </c>
      <c r="O416" s="3" t="s">
        <v>2272</v>
      </c>
      <c r="P416" s="3" t="s">
        <v>2272</v>
      </c>
      <c r="Q416" s="3" t="s">
        <v>2272</v>
      </c>
      <c r="R416" s="3" t="s">
        <v>535</v>
      </c>
      <c r="S416" s="3" t="s">
        <v>2272</v>
      </c>
      <c r="T416" s="3" t="s">
        <v>2272</v>
      </c>
      <c r="U416" s="3" t="s">
        <v>2272</v>
      </c>
      <c r="V416" s="3" t="s">
        <v>2272</v>
      </c>
      <c r="W416" s="4" t="s">
        <v>3647</v>
      </c>
    </row>
    <row r="417" spans="1:23" ht="80.5" customHeight="1">
      <c r="A417" s="23" t="s">
        <v>3621</v>
      </c>
      <c r="B417" s="23" t="s">
        <v>3644</v>
      </c>
      <c r="C417" s="3" t="s">
        <v>23</v>
      </c>
      <c r="D417" s="3" t="s">
        <v>1238</v>
      </c>
      <c r="E417" s="4" t="s">
        <v>1102</v>
      </c>
      <c r="F417" s="4" t="s">
        <v>54</v>
      </c>
      <c r="G417" s="3"/>
      <c r="H417" s="4" t="s">
        <v>539</v>
      </c>
      <c r="I417" s="3" t="s">
        <v>2685</v>
      </c>
      <c r="J417" s="3" t="s">
        <v>2272</v>
      </c>
      <c r="K417" s="3" t="s">
        <v>2272</v>
      </c>
      <c r="L417" s="3" t="s">
        <v>2272</v>
      </c>
      <c r="M417" s="3" t="s">
        <v>2272</v>
      </c>
      <c r="N417" s="3" t="s">
        <v>2272</v>
      </c>
      <c r="O417" s="3" t="s">
        <v>2272</v>
      </c>
      <c r="P417" s="3" t="s">
        <v>2272</v>
      </c>
      <c r="Q417" s="3" t="s">
        <v>2272</v>
      </c>
      <c r="R417" s="3" t="s">
        <v>535</v>
      </c>
      <c r="S417" s="3" t="s">
        <v>2272</v>
      </c>
      <c r="T417" s="3" t="s">
        <v>2272</v>
      </c>
      <c r="U417" s="3" t="s">
        <v>2272</v>
      </c>
      <c r="V417" s="3" t="s">
        <v>2272</v>
      </c>
      <c r="W417" s="4" t="s">
        <v>3647</v>
      </c>
    </row>
    <row r="418" spans="1:23" ht="80.5" customHeight="1">
      <c r="A418" s="23" t="s">
        <v>3624</v>
      </c>
      <c r="B418" s="23" t="s">
        <v>3645</v>
      </c>
      <c r="C418" s="3" t="s">
        <v>23</v>
      </c>
      <c r="D418" s="3" t="s">
        <v>1238</v>
      </c>
      <c r="E418" s="4" t="s">
        <v>1102</v>
      </c>
      <c r="F418" s="4" t="s">
        <v>54</v>
      </c>
      <c r="G418" s="3"/>
      <c r="H418" s="4" t="s">
        <v>539</v>
      </c>
      <c r="I418" s="3" t="s">
        <v>2685</v>
      </c>
      <c r="J418" s="3" t="s">
        <v>2272</v>
      </c>
      <c r="K418" s="3" t="s">
        <v>2272</v>
      </c>
      <c r="L418" s="3" t="s">
        <v>2272</v>
      </c>
      <c r="M418" s="3" t="s">
        <v>2272</v>
      </c>
      <c r="N418" s="3" t="s">
        <v>2272</v>
      </c>
      <c r="O418" s="3" t="s">
        <v>2272</v>
      </c>
      <c r="P418" s="3" t="s">
        <v>2272</v>
      </c>
      <c r="Q418" s="3" t="s">
        <v>2272</v>
      </c>
      <c r="R418" s="3" t="s">
        <v>535</v>
      </c>
      <c r="S418" s="3" t="s">
        <v>2272</v>
      </c>
      <c r="T418" s="3" t="s">
        <v>2272</v>
      </c>
      <c r="U418" s="3" t="s">
        <v>2272</v>
      </c>
      <c r="V418" s="3" t="s">
        <v>2272</v>
      </c>
      <c r="W418" s="4" t="s">
        <v>3647</v>
      </c>
    </row>
    <row r="419" spans="1:23" ht="80.5" customHeight="1">
      <c r="A419" s="23" t="s">
        <v>3620</v>
      </c>
      <c r="B419" s="23" t="s">
        <v>3649</v>
      </c>
      <c r="C419" s="3" t="s">
        <v>23</v>
      </c>
      <c r="D419" s="3" t="s">
        <v>26</v>
      </c>
      <c r="E419" s="4" t="s">
        <v>128</v>
      </c>
      <c r="F419" s="4" t="s">
        <v>2657</v>
      </c>
      <c r="G419" s="3"/>
      <c r="H419" s="4" t="s">
        <v>539</v>
      </c>
      <c r="I419" s="3" t="s">
        <v>2685</v>
      </c>
      <c r="J419" s="3" t="s">
        <v>2272</v>
      </c>
      <c r="K419" s="3" t="s">
        <v>2272</v>
      </c>
      <c r="L419" s="3" t="s">
        <v>2272</v>
      </c>
      <c r="M419" s="3" t="s">
        <v>2272</v>
      </c>
      <c r="N419" s="3" t="s">
        <v>2272</v>
      </c>
      <c r="O419" s="3" t="s">
        <v>2272</v>
      </c>
      <c r="P419" s="3" t="s">
        <v>2272</v>
      </c>
      <c r="Q419" s="3" t="s">
        <v>2272</v>
      </c>
      <c r="R419" s="3" t="s">
        <v>535</v>
      </c>
      <c r="S419" s="3" t="s">
        <v>2272</v>
      </c>
      <c r="T419" s="3" t="s">
        <v>2272</v>
      </c>
      <c r="U419" s="3" t="s">
        <v>2272</v>
      </c>
      <c r="V419" s="3" t="s">
        <v>2272</v>
      </c>
      <c r="W419" s="4" t="s">
        <v>3647</v>
      </c>
    </row>
    <row r="420" spans="1:23" ht="80.5" customHeight="1">
      <c r="A420" s="23" t="s">
        <v>3621</v>
      </c>
      <c r="B420" s="23" t="s">
        <v>3650</v>
      </c>
      <c r="C420" s="3" t="s">
        <v>23</v>
      </c>
      <c r="D420" s="3" t="s">
        <v>26</v>
      </c>
      <c r="E420" s="4" t="s">
        <v>128</v>
      </c>
      <c r="F420" s="4" t="s">
        <v>2657</v>
      </c>
      <c r="G420" s="3"/>
      <c r="H420" s="4" t="s">
        <v>539</v>
      </c>
      <c r="I420" s="3" t="s">
        <v>2685</v>
      </c>
      <c r="J420" s="3" t="s">
        <v>2272</v>
      </c>
      <c r="K420" s="3" t="s">
        <v>2272</v>
      </c>
      <c r="L420" s="3" t="s">
        <v>2272</v>
      </c>
      <c r="M420" s="3" t="s">
        <v>2272</v>
      </c>
      <c r="N420" s="3" t="s">
        <v>2272</v>
      </c>
      <c r="O420" s="3" t="s">
        <v>2272</v>
      </c>
      <c r="P420" s="3" t="s">
        <v>2272</v>
      </c>
      <c r="Q420" s="3" t="s">
        <v>2272</v>
      </c>
      <c r="R420" s="3" t="s">
        <v>535</v>
      </c>
      <c r="S420" s="3" t="s">
        <v>2272</v>
      </c>
      <c r="T420" s="3" t="s">
        <v>2272</v>
      </c>
      <c r="U420" s="3" t="s">
        <v>2272</v>
      </c>
      <c r="V420" s="3" t="s">
        <v>2272</v>
      </c>
      <c r="W420" s="4" t="s">
        <v>3647</v>
      </c>
    </row>
    <row r="421" spans="1:23" ht="80.5" customHeight="1">
      <c r="A421" s="23" t="s">
        <v>3624</v>
      </c>
      <c r="B421" s="23" t="s">
        <v>3651</v>
      </c>
      <c r="C421" s="3" t="s">
        <v>23</v>
      </c>
      <c r="D421" s="3" t="s">
        <v>26</v>
      </c>
      <c r="E421" s="4" t="s">
        <v>128</v>
      </c>
      <c r="F421" s="4" t="s">
        <v>2657</v>
      </c>
      <c r="G421" s="3"/>
      <c r="H421" s="4" t="s">
        <v>539</v>
      </c>
      <c r="I421" s="3" t="s">
        <v>2685</v>
      </c>
      <c r="J421" s="3" t="s">
        <v>2272</v>
      </c>
      <c r="K421" s="3" t="s">
        <v>2272</v>
      </c>
      <c r="L421" s="3" t="s">
        <v>2272</v>
      </c>
      <c r="M421" s="3" t="s">
        <v>2272</v>
      </c>
      <c r="N421" s="3" t="s">
        <v>2272</v>
      </c>
      <c r="O421" s="3" t="s">
        <v>2272</v>
      </c>
      <c r="P421" s="3" t="s">
        <v>2272</v>
      </c>
      <c r="Q421" s="3" t="s">
        <v>2272</v>
      </c>
      <c r="R421" s="3" t="s">
        <v>535</v>
      </c>
      <c r="S421" s="3" t="s">
        <v>2272</v>
      </c>
      <c r="T421" s="3" t="s">
        <v>2272</v>
      </c>
      <c r="U421" s="3" t="s">
        <v>2272</v>
      </c>
      <c r="V421" s="3" t="s">
        <v>2272</v>
      </c>
      <c r="W421" s="4" t="s">
        <v>3647</v>
      </c>
    </row>
    <row r="422" spans="1:23" ht="80.5" customHeight="1">
      <c r="A422" s="23" t="s">
        <v>3620</v>
      </c>
      <c r="B422" s="23" t="s">
        <v>3652</v>
      </c>
      <c r="C422" s="3" t="s">
        <v>23</v>
      </c>
      <c r="D422" s="3" t="s">
        <v>26</v>
      </c>
      <c r="E422" s="4" t="s">
        <v>128</v>
      </c>
      <c r="F422" s="4" t="s">
        <v>54</v>
      </c>
      <c r="G422" s="3"/>
      <c r="H422" s="4" t="s">
        <v>539</v>
      </c>
      <c r="I422" s="3" t="s">
        <v>2685</v>
      </c>
      <c r="J422" s="3" t="s">
        <v>2272</v>
      </c>
      <c r="K422" s="3" t="s">
        <v>2272</v>
      </c>
      <c r="L422" s="3" t="s">
        <v>2272</v>
      </c>
      <c r="M422" s="3" t="s">
        <v>2272</v>
      </c>
      <c r="N422" s="3" t="s">
        <v>2272</v>
      </c>
      <c r="O422" s="3" t="s">
        <v>2272</v>
      </c>
      <c r="P422" s="3" t="s">
        <v>2272</v>
      </c>
      <c r="Q422" s="3" t="s">
        <v>2272</v>
      </c>
      <c r="R422" s="3" t="s">
        <v>535</v>
      </c>
      <c r="S422" s="3" t="s">
        <v>2272</v>
      </c>
      <c r="T422" s="3" t="s">
        <v>2272</v>
      </c>
      <c r="U422" s="3" t="s">
        <v>2272</v>
      </c>
      <c r="V422" s="3" t="s">
        <v>2272</v>
      </c>
      <c r="W422" s="4" t="s">
        <v>3647</v>
      </c>
    </row>
    <row r="423" spans="1:23" ht="80.5" customHeight="1">
      <c r="A423" s="23" t="s">
        <v>3621</v>
      </c>
      <c r="B423" s="23" t="s">
        <v>3653</v>
      </c>
      <c r="C423" s="3" t="s">
        <v>23</v>
      </c>
      <c r="D423" s="3" t="s">
        <v>26</v>
      </c>
      <c r="E423" s="4" t="s">
        <v>128</v>
      </c>
      <c r="F423" s="4" t="s">
        <v>54</v>
      </c>
      <c r="G423" s="3"/>
      <c r="H423" s="4" t="s">
        <v>539</v>
      </c>
      <c r="I423" s="3" t="s">
        <v>2685</v>
      </c>
      <c r="J423" s="3" t="s">
        <v>2272</v>
      </c>
      <c r="K423" s="3" t="s">
        <v>2272</v>
      </c>
      <c r="L423" s="3" t="s">
        <v>2272</v>
      </c>
      <c r="M423" s="3" t="s">
        <v>2272</v>
      </c>
      <c r="N423" s="3" t="s">
        <v>2272</v>
      </c>
      <c r="O423" s="3" t="s">
        <v>2272</v>
      </c>
      <c r="P423" s="3" t="s">
        <v>2272</v>
      </c>
      <c r="Q423" s="3" t="s">
        <v>2272</v>
      </c>
      <c r="R423" s="3" t="s">
        <v>535</v>
      </c>
      <c r="S423" s="3" t="s">
        <v>2272</v>
      </c>
      <c r="T423" s="3" t="s">
        <v>2272</v>
      </c>
      <c r="U423" s="3" t="s">
        <v>2272</v>
      </c>
      <c r="V423" s="3" t="s">
        <v>2272</v>
      </c>
      <c r="W423" s="4" t="s">
        <v>3647</v>
      </c>
    </row>
    <row r="424" spans="1:23" ht="80.5" customHeight="1">
      <c r="A424" s="23" t="s">
        <v>3624</v>
      </c>
      <c r="B424" s="23" t="s">
        <v>3654</v>
      </c>
      <c r="C424" s="3" t="s">
        <v>23</v>
      </c>
      <c r="D424" s="3" t="s">
        <v>26</v>
      </c>
      <c r="E424" s="4" t="s">
        <v>128</v>
      </c>
      <c r="F424" s="4" t="s">
        <v>54</v>
      </c>
      <c r="G424" s="3"/>
      <c r="H424" s="4" t="s">
        <v>539</v>
      </c>
      <c r="I424" s="3" t="s">
        <v>2685</v>
      </c>
      <c r="J424" s="3" t="s">
        <v>2272</v>
      </c>
      <c r="K424" s="3" t="s">
        <v>2272</v>
      </c>
      <c r="L424" s="3" t="s">
        <v>2272</v>
      </c>
      <c r="M424" s="3" t="s">
        <v>2272</v>
      </c>
      <c r="N424" s="3" t="s">
        <v>2272</v>
      </c>
      <c r="O424" s="3" t="s">
        <v>2272</v>
      </c>
      <c r="P424" s="3" t="s">
        <v>2272</v>
      </c>
      <c r="Q424" s="3" t="s">
        <v>2272</v>
      </c>
      <c r="R424" s="3" t="s">
        <v>535</v>
      </c>
      <c r="S424" s="3" t="s">
        <v>2272</v>
      </c>
      <c r="T424" s="3" t="s">
        <v>2272</v>
      </c>
      <c r="U424" s="3" t="s">
        <v>2272</v>
      </c>
      <c r="V424" s="3" t="s">
        <v>2272</v>
      </c>
      <c r="W424" s="4" t="s">
        <v>3647</v>
      </c>
    </row>
    <row r="425" spans="1:23" ht="42" customHeight="1">
      <c r="A425" s="23" t="s">
        <v>3625</v>
      </c>
      <c r="B425" s="23" t="s">
        <v>3633</v>
      </c>
      <c r="C425" s="3" t="s">
        <v>23</v>
      </c>
      <c r="D425" s="3" t="s">
        <v>1102</v>
      </c>
      <c r="E425" s="3" t="s">
        <v>1102</v>
      </c>
      <c r="F425" s="3" t="s">
        <v>1102</v>
      </c>
      <c r="G425" s="3">
        <v>1998</v>
      </c>
      <c r="H425" s="4" t="s">
        <v>539</v>
      </c>
      <c r="I425" s="3" t="s">
        <v>535</v>
      </c>
      <c r="J425" s="3" t="s">
        <v>2272</v>
      </c>
      <c r="K425" s="3" t="s">
        <v>2272</v>
      </c>
      <c r="L425" s="3" t="s">
        <v>2272</v>
      </c>
      <c r="M425" s="3" t="s">
        <v>2272</v>
      </c>
      <c r="N425" s="3" t="s">
        <v>2272</v>
      </c>
      <c r="O425" s="3" t="s">
        <v>2272</v>
      </c>
      <c r="P425" s="3" t="s">
        <v>2272</v>
      </c>
      <c r="Q425" s="3" t="s">
        <v>2272</v>
      </c>
      <c r="R425" s="3" t="s">
        <v>532</v>
      </c>
      <c r="S425" s="3" t="s">
        <v>2272</v>
      </c>
      <c r="T425" s="3" t="s">
        <v>2272</v>
      </c>
      <c r="U425" s="3" t="s">
        <v>2272</v>
      </c>
      <c r="V425" s="3" t="s">
        <v>2272</v>
      </c>
      <c r="W425" s="3" t="s">
        <v>3069</v>
      </c>
    </row>
    <row r="426" spans="1:23" ht="41.5" customHeight="1">
      <c r="A426" s="23" t="s">
        <v>3625</v>
      </c>
      <c r="B426" s="23" t="s">
        <v>3637</v>
      </c>
      <c r="C426" s="3" t="s">
        <v>23</v>
      </c>
      <c r="D426" s="3" t="s">
        <v>1102</v>
      </c>
      <c r="E426" s="3" t="s">
        <v>1102</v>
      </c>
      <c r="F426" s="3" t="s">
        <v>1102</v>
      </c>
      <c r="G426" s="3">
        <v>1998</v>
      </c>
      <c r="H426" s="4" t="s">
        <v>539</v>
      </c>
      <c r="I426" s="3" t="s">
        <v>535</v>
      </c>
      <c r="J426" s="3" t="s">
        <v>2272</v>
      </c>
      <c r="K426" s="3" t="s">
        <v>2272</v>
      </c>
      <c r="L426" s="3" t="s">
        <v>2272</v>
      </c>
      <c r="M426" s="3" t="s">
        <v>2272</v>
      </c>
      <c r="N426" s="3" t="s">
        <v>2272</v>
      </c>
      <c r="O426" s="3" t="s">
        <v>2272</v>
      </c>
      <c r="P426" s="3" t="s">
        <v>2272</v>
      </c>
      <c r="Q426" s="3" t="s">
        <v>2272</v>
      </c>
      <c r="R426" s="3" t="s">
        <v>532</v>
      </c>
      <c r="S426" s="3" t="s">
        <v>2272</v>
      </c>
      <c r="T426" s="3" t="s">
        <v>2272</v>
      </c>
      <c r="U426" s="3" t="s">
        <v>2272</v>
      </c>
      <c r="V426" s="3" t="s">
        <v>2272</v>
      </c>
      <c r="W426" s="3" t="s">
        <v>3069</v>
      </c>
    </row>
    <row r="427" spans="1:23" ht="49" customHeight="1">
      <c r="A427" s="23" t="s">
        <v>3625</v>
      </c>
      <c r="B427" s="23" t="s">
        <v>3642</v>
      </c>
      <c r="C427" s="3" t="s">
        <v>23</v>
      </c>
      <c r="D427" s="3" t="s">
        <v>1238</v>
      </c>
      <c r="E427" s="3" t="s">
        <v>1102</v>
      </c>
      <c r="F427" s="3" t="s">
        <v>1102</v>
      </c>
      <c r="G427" s="3">
        <v>2017</v>
      </c>
      <c r="H427" s="4" t="s">
        <v>539</v>
      </c>
      <c r="I427" s="3" t="s">
        <v>535</v>
      </c>
      <c r="J427" s="3" t="s">
        <v>2272</v>
      </c>
      <c r="K427" s="3" t="s">
        <v>2272</v>
      </c>
      <c r="L427" s="3" t="s">
        <v>2272</v>
      </c>
      <c r="M427" s="3" t="s">
        <v>2272</v>
      </c>
      <c r="N427" s="3" t="s">
        <v>2272</v>
      </c>
      <c r="O427" s="3" t="s">
        <v>2272</v>
      </c>
      <c r="P427" s="3" t="s">
        <v>2272</v>
      </c>
      <c r="Q427" s="3" t="s">
        <v>2272</v>
      </c>
      <c r="R427" s="3" t="s">
        <v>535</v>
      </c>
      <c r="S427" s="3" t="s">
        <v>2272</v>
      </c>
      <c r="T427" s="3" t="s">
        <v>2272</v>
      </c>
      <c r="U427" s="3" t="s">
        <v>2272</v>
      </c>
      <c r="V427" s="3" t="s">
        <v>2272</v>
      </c>
      <c r="W427" s="4" t="s">
        <v>3648</v>
      </c>
    </row>
    <row r="428" spans="1:23" ht="46" customHeight="1">
      <c r="A428" s="23" t="s">
        <v>3625</v>
      </c>
      <c r="B428" s="23" t="s">
        <v>3646</v>
      </c>
      <c r="C428" s="3" t="s">
        <v>23</v>
      </c>
      <c r="D428" s="3" t="s">
        <v>1238</v>
      </c>
      <c r="E428" s="3" t="s">
        <v>1102</v>
      </c>
      <c r="F428" s="3" t="s">
        <v>1102</v>
      </c>
      <c r="G428" s="3">
        <v>2017</v>
      </c>
      <c r="H428" s="4" t="s">
        <v>539</v>
      </c>
      <c r="I428" s="3" t="s">
        <v>535</v>
      </c>
      <c r="J428" s="3" t="s">
        <v>2272</v>
      </c>
      <c r="K428" s="3" t="s">
        <v>2272</v>
      </c>
      <c r="L428" s="3" t="s">
        <v>2272</v>
      </c>
      <c r="M428" s="3" t="s">
        <v>2272</v>
      </c>
      <c r="N428" s="3" t="s">
        <v>2272</v>
      </c>
      <c r="O428" s="3" t="s">
        <v>2272</v>
      </c>
      <c r="P428" s="3" t="s">
        <v>2272</v>
      </c>
      <c r="Q428" s="3" t="s">
        <v>2272</v>
      </c>
      <c r="R428" s="3" t="s">
        <v>535</v>
      </c>
      <c r="S428" s="3" t="s">
        <v>2272</v>
      </c>
      <c r="T428" s="3" t="s">
        <v>2272</v>
      </c>
      <c r="U428" s="3" t="s">
        <v>2272</v>
      </c>
      <c r="V428" s="3" t="s">
        <v>2272</v>
      </c>
      <c r="W428" s="4" t="s">
        <v>3648</v>
      </c>
    </row>
    <row r="429" spans="1:23" ht="72" customHeight="1">
      <c r="A429" s="23" t="s">
        <v>3659</v>
      </c>
      <c r="B429" s="23" t="s">
        <v>3664</v>
      </c>
      <c r="C429" s="3" t="s">
        <v>23</v>
      </c>
      <c r="D429" s="3" t="s">
        <v>1102</v>
      </c>
      <c r="E429" s="4" t="s">
        <v>395</v>
      </c>
      <c r="F429" s="3" t="s">
        <v>1102</v>
      </c>
      <c r="G429" s="3">
        <v>2009</v>
      </c>
      <c r="H429" s="4" t="s">
        <v>539</v>
      </c>
      <c r="I429" s="3" t="s">
        <v>2272</v>
      </c>
      <c r="J429" s="3" t="s">
        <v>2272</v>
      </c>
      <c r="K429" s="3" t="s">
        <v>2272</v>
      </c>
      <c r="L429" s="3" t="s">
        <v>2272</v>
      </c>
      <c r="M429" s="3" t="s">
        <v>2723</v>
      </c>
      <c r="N429" s="3" t="s">
        <v>2272</v>
      </c>
      <c r="O429" s="3" t="s">
        <v>2272</v>
      </c>
      <c r="P429" s="3" t="s">
        <v>2272</v>
      </c>
      <c r="Q429" s="3">
        <v>1</v>
      </c>
      <c r="R429" s="3" t="s">
        <v>535</v>
      </c>
      <c r="S429" s="3" t="s">
        <v>535</v>
      </c>
      <c r="T429" s="3" t="s">
        <v>535</v>
      </c>
      <c r="U429" s="3" t="s">
        <v>535</v>
      </c>
      <c r="V429" s="3" t="s">
        <v>2272</v>
      </c>
      <c r="W429" s="4" t="s">
        <v>3689</v>
      </c>
    </row>
    <row r="430" spans="1:23" ht="68.5" customHeight="1">
      <c r="A430" s="23" t="s">
        <v>3659</v>
      </c>
      <c r="B430" s="23" t="s">
        <v>3665</v>
      </c>
      <c r="C430" s="3" t="s">
        <v>23</v>
      </c>
      <c r="D430" s="3" t="s">
        <v>1102</v>
      </c>
      <c r="E430" s="4" t="s">
        <v>394</v>
      </c>
      <c r="F430" s="3" t="s">
        <v>1102</v>
      </c>
      <c r="G430" s="3">
        <v>2009</v>
      </c>
      <c r="H430" s="4" t="s">
        <v>539</v>
      </c>
      <c r="I430" s="3" t="s">
        <v>2272</v>
      </c>
      <c r="J430" s="3" t="s">
        <v>2272</v>
      </c>
      <c r="K430" s="3" t="s">
        <v>2272</v>
      </c>
      <c r="L430" s="3" t="s">
        <v>2272</v>
      </c>
      <c r="M430" s="3" t="s">
        <v>2723</v>
      </c>
      <c r="N430" s="3" t="s">
        <v>2272</v>
      </c>
      <c r="O430" s="3" t="s">
        <v>2272</v>
      </c>
      <c r="P430" s="3" t="s">
        <v>2272</v>
      </c>
      <c r="Q430" s="3">
        <v>1</v>
      </c>
      <c r="R430" s="3" t="s">
        <v>535</v>
      </c>
      <c r="S430" s="3" t="s">
        <v>535</v>
      </c>
      <c r="T430" s="3" t="s">
        <v>535</v>
      </c>
      <c r="U430" s="3" t="s">
        <v>535</v>
      </c>
      <c r="V430" s="3" t="s">
        <v>2272</v>
      </c>
      <c r="W430" s="4" t="s">
        <v>3689</v>
      </c>
    </row>
    <row r="431" spans="1:23" ht="65.5" customHeight="1">
      <c r="A431" s="23" t="s">
        <v>3659</v>
      </c>
      <c r="B431" s="23" t="s">
        <v>3666</v>
      </c>
      <c r="C431" s="3" t="s">
        <v>23</v>
      </c>
      <c r="D431" s="3" t="s">
        <v>1102</v>
      </c>
      <c r="E431" s="4" t="s">
        <v>395</v>
      </c>
      <c r="F431" s="3" t="s">
        <v>1102</v>
      </c>
      <c r="G431" s="3">
        <v>2010</v>
      </c>
      <c r="H431" s="4" t="s">
        <v>539</v>
      </c>
      <c r="I431" s="3" t="s">
        <v>2272</v>
      </c>
      <c r="J431" s="3" t="s">
        <v>2272</v>
      </c>
      <c r="K431" s="3" t="s">
        <v>2272</v>
      </c>
      <c r="L431" s="3" t="s">
        <v>2272</v>
      </c>
      <c r="M431" s="3" t="s">
        <v>2723</v>
      </c>
      <c r="N431" s="3" t="s">
        <v>2272</v>
      </c>
      <c r="O431" s="3" t="s">
        <v>2272</v>
      </c>
      <c r="P431" s="3" t="s">
        <v>2272</v>
      </c>
      <c r="Q431" s="3">
        <v>1</v>
      </c>
      <c r="R431" s="3" t="s">
        <v>535</v>
      </c>
      <c r="S431" s="3" t="s">
        <v>535</v>
      </c>
      <c r="T431" s="3" t="s">
        <v>535</v>
      </c>
      <c r="U431" s="3" t="s">
        <v>535</v>
      </c>
      <c r="V431" s="3" t="s">
        <v>2272</v>
      </c>
      <c r="W431" s="4" t="s">
        <v>3690</v>
      </c>
    </row>
    <row r="432" spans="1:23" ht="69" customHeight="1">
      <c r="A432" s="23" t="s">
        <v>3659</v>
      </c>
      <c r="B432" s="23" t="s">
        <v>3667</v>
      </c>
      <c r="C432" s="3" t="s">
        <v>23</v>
      </c>
      <c r="D432" s="3" t="s">
        <v>1102</v>
      </c>
      <c r="E432" s="4" t="s">
        <v>394</v>
      </c>
      <c r="F432" s="3" t="s">
        <v>1102</v>
      </c>
      <c r="G432" s="3">
        <v>2010</v>
      </c>
      <c r="H432" s="4" t="s">
        <v>539</v>
      </c>
      <c r="I432" s="3" t="s">
        <v>2272</v>
      </c>
      <c r="J432" s="3" t="s">
        <v>2272</v>
      </c>
      <c r="K432" s="3" t="s">
        <v>2272</v>
      </c>
      <c r="L432" s="3" t="s">
        <v>2272</v>
      </c>
      <c r="M432" s="3" t="s">
        <v>2723</v>
      </c>
      <c r="N432" s="3" t="s">
        <v>2272</v>
      </c>
      <c r="O432" s="3" t="s">
        <v>2272</v>
      </c>
      <c r="P432" s="3" t="s">
        <v>2272</v>
      </c>
      <c r="Q432" s="3">
        <v>1</v>
      </c>
      <c r="R432" s="3" t="s">
        <v>535</v>
      </c>
      <c r="S432" s="3" t="s">
        <v>535</v>
      </c>
      <c r="T432" s="3" t="s">
        <v>535</v>
      </c>
      <c r="U432" s="3" t="s">
        <v>535</v>
      </c>
      <c r="V432" s="3" t="s">
        <v>2272</v>
      </c>
      <c r="W432" s="4" t="s">
        <v>3690</v>
      </c>
    </row>
    <row r="433" spans="1:23" ht="69" customHeight="1">
      <c r="A433" s="23" t="s">
        <v>3659</v>
      </c>
      <c r="B433" s="23" t="s">
        <v>3669</v>
      </c>
      <c r="C433" s="3" t="s">
        <v>23</v>
      </c>
      <c r="D433" s="3" t="s">
        <v>1102</v>
      </c>
      <c r="E433" s="4" t="s">
        <v>395</v>
      </c>
      <c r="F433" s="3" t="s">
        <v>1102</v>
      </c>
      <c r="G433" s="3">
        <v>2011</v>
      </c>
      <c r="H433" s="4" t="s">
        <v>539</v>
      </c>
      <c r="I433" s="3" t="s">
        <v>2272</v>
      </c>
      <c r="J433" s="3" t="s">
        <v>2272</v>
      </c>
      <c r="K433" s="3" t="s">
        <v>2272</v>
      </c>
      <c r="L433" s="3" t="s">
        <v>2272</v>
      </c>
      <c r="M433" s="3" t="s">
        <v>2723</v>
      </c>
      <c r="N433" s="3" t="s">
        <v>2272</v>
      </c>
      <c r="O433" s="3" t="s">
        <v>2272</v>
      </c>
      <c r="P433" s="3" t="s">
        <v>2272</v>
      </c>
      <c r="Q433" s="3">
        <v>2</v>
      </c>
      <c r="R433" s="3" t="s">
        <v>535</v>
      </c>
      <c r="S433" s="3" t="s">
        <v>535</v>
      </c>
      <c r="T433" s="3" t="s">
        <v>535</v>
      </c>
      <c r="U433" s="3" t="s">
        <v>535</v>
      </c>
      <c r="V433" s="3" t="s">
        <v>2272</v>
      </c>
      <c r="W433" s="4" t="s">
        <v>3691</v>
      </c>
    </row>
    <row r="434" spans="1:23" ht="69" customHeight="1">
      <c r="A434" s="23" t="s">
        <v>3659</v>
      </c>
      <c r="B434" s="23" t="s">
        <v>3671</v>
      </c>
      <c r="C434" s="3" t="s">
        <v>23</v>
      </c>
      <c r="D434" s="3" t="s">
        <v>1102</v>
      </c>
      <c r="E434" s="4" t="s">
        <v>394</v>
      </c>
      <c r="F434" s="3" t="s">
        <v>1102</v>
      </c>
      <c r="G434" s="3">
        <v>2011</v>
      </c>
      <c r="H434" s="4" t="s">
        <v>539</v>
      </c>
      <c r="I434" s="3" t="s">
        <v>2272</v>
      </c>
      <c r="J434" s="3" t="s">
        <v>2272</v>
      </c>
      <c r="K434" s="3" t="s">
        <v>2272</v>
      </c>
      <c r="L434" s="3" t="s">
        <v>2272</v>
      </c>
      <c r="M434" s="3" t="s">
        <v>2723</v>
      </c>
      <c r="N434" s="3" t="s">
        <v>2272</v>
      </c>
      <c r="O434" s="3" t="s">
        <v>2272</v>
      </c>
      <c r="P434" s="3" t="s">
        <v>2272</v>
      </c>
      <c r="Q434" s="3">
        <v>2</v>
      </c>
      <c r="R434" s="3" t="s">
        <v>535</v>
      </c>
      <c r="S434" s="3" t="s">
        <v>535</v>
      </c>
      <c r="T434" s="3" t="s">
        <v>535</v>
      </c>
      <c r="U434" s="3" t="s">
        <v>535</v>
      </c>
      <c r="V434" s="3" t="s">
        <v>2272</v>
      </c>
      <c r="W434" s="4" t="s">
        <v>3691</v>
      </c>
    </row>
    <row r="435" spans="1:23" ht="69" customHeight="1">
      <c r="A435" s="23" t="s">
        <v>3659</v>
      </c>
      <c r="B435" s="23" t="s">
        <v>3672</v>
      </c>
      <c r="C435" s="3" t="s">
        <v>23</v>
      </c>
      <c r="D435" s="3" t="s">
        <v>1102</v>
      </c>
      <c r="E435" s="4" t="s">
        <v>395</v>
      </c>
      <c r="F435" s="3" t="s">
        <v>1102</v>
      </c>
      <c r="G435" s="3">
        <v>2012</v>
      </c>
      <c r="H435" s="4" t="s">
        <v>539</v>
      </c>
      <c r="I435" s="3" t="s">
        <v>2272</v>
      </c>
      <c r="J435" s="3" t="s">
        <v>2272</v>
      </c>
      <c r="K435" s="3" t="s">
        <v>2272</v>
      </c>
      <c r="L435" s="3" t="s">
        <v>2272</v>
      </c>
      <c r="M435" s="3" t="s">
        <v>2723</v>
      </c>
      <c r="N435" s="3" t="s">
        <v>2272</v>
      </c>
      <c r="O435" s="3" t="s">
        <v>2272</v>
      </c>
      <c r="P435" s="3" t="s">
        <v>2272</v>
      </c>
      <c r="Q435" s="3">
        <v>2</v>
      </c>
      <c r="R435" s="3" t="s">
        <v>535</v>
      </c>
      <c r="S435" s="3" t="s">
        <v>535</v>
      </c>
      <c r="T435" s="3" t="s">
        <v>535</v>
      </c>
      <c r="U435" s="3" t="s">
        <v>535</v>
      </c>
      <c r="V435" s="3" t="s">
        <v>2272</v>
      </c>
      <c r="W435" s="4" t="s">
        <v>3692</v>
      </c>
    </row>
    <row r="436" spans="1:23" ht="69" customHeight="1">
      <c r="A436" s="23" t="s">
        <v>3659</v>
      </c>
      <c r="B436" s="23" t="s">
        <v>3673</v>
      </c>
      <c r="C436" s="3" t="s">
        <v>23</v>
      </c>
      <c r="D436" s="3" t="s">
        <v>1102</v>
      </c>
      <c r="E436" s="4" t="s">
        <v>394</v>
      </c>
      <c r="F436" s="3" t="s">
        <v>1102</v>
      </c>
      <c r="G436" s="3">
        <v>2012</v>
      </c>
      <c r="H436" s="4" t="s">
        <v>539</v>
      </c>
      <c r="I436" s="3" t="s">
        <v>2272</v>
      </c>
      <c r="J436" s="3" t="s">
        <v>2272</v>
      </c>
      <c r="K436" s="3" t="s">
        <v>2272</v>
      </c>
      <c r="L436" s="3" t="s">
        <v>2272</v>
      </c>
      <c r="M436" s="3" t="s">
        <v>2723</v>
      </c>
      <c r="N436" s="3" t="s">
        <v>2272</v>
      </c>
      <c r="O436" s="3" t="s">
        <v>2272</v>
      </c>
      <c r="P436" s="3" t="s">
        <v>2272</v>
      </c>
      <c r="Q436" s="3">
        <v>2</v>
      </c>
      <c r="R436" s="3" t="s">
        <v>535</v>
      </c>
      <c r="S436" s="3" t="s">
        <v>535</v>
      </c>
      <c r="T436" s="3" t="s">
        <v>535</v>
      </c>
      <c r="U436" s="3" t="s">
        <v>535</v>
      </c>
      <c r="V436" s="3" t="s">
        <v>2272</v>
      </c>
      <c r="W436" s="4" t="s">
        <v>3692</v>
      </c>
    </row>
    <row r="437" spans="1:23" ht="49" customHeight="1">
      <c r="A437" s="3" t="s">
        <v>3711</v>
      </c>
      <c r="B437" s="3" t="s">
        <v>3715</v>
      </c>
      <c r="C437" s="3" t="s">
        <v>1102</v>
      </c>
      <c r="D437" s="3" t="s">
        <v>1102</v>
      </c>
      <c r="E437" s="3" t="s">
        <v>1102</v>
      </c>
      <c r="F437" s="3" t="s">
        <v>1102</v>
      </c>
      <c r="G437" s="3">
        <v>2000</v>
      </c>
      <c r="H437" s="4" t="s">
        <v>539</v>
      </c>
      <c r="I437" s="3" t="s">
        <v>2272</v>
      </c>
      <c r="J437" s="3" t="s">
        <v>2272</v>
      </c>
      <c r="K437" s="3" t="s">
        <v>2272</v>
      </c>
      <c r="L437" s="3" t="s">
        <v>2272</v>
      </c>
      <c r="M437" s="3" t="s">
        <v>2272</v>
      </c>
      <c r="N437" s="3" t="s">
        <v>2272</v>
      </c>
      <c r="O437" s="3" t="s">
        <v>2272</v>
      </c>
      <c r="P437" s="3" t="s">
        <v>2272</v>
      </c>
      <c r="Q437" s="3" t="s">
        <v>2272</v>
      </c>
      <c r="R437" s="3" t="s">
        <v>532</v>
      </c>
      <c r="S437" s="3" t="s">
        <v>2272</v>
      </c>
      <c r="T437" s="3" t="s">
        <v>2272</v>
      </c>
      <c r="U437" s="3" t="s">
        <v>2272</v>
      </c>
      <c r="V437">
        <v>2</v>
      </c>
      <c r="W437" s="4" t="s">
        <v>3725</v>
      </c>
    </row>
    <row r="438" spans="1:23" ht="42" customHeight="1">
      <c r="A438" s="3" t="s">
        <v>3711</v>
      </c>
      <c r="B438" s="3" t="s">
        <v>3716</v>
      </c>
      <c r="C438" s="3" t="s">
        <v>1102</v>
      </c>
      <c r="D438" s="3" t="s">
        <v>1102</v>
      </c>
      <c r="E438" s="3" t="s">
        <v>1102</v>
      </c>
      <c r="F438" s="3" t="s">
        <v>1102</v>
      </c>
      <c r="G438" s="3">
        <v>2006</v>
      </c>
      <c r="H438" s="4" t="s">
        <v>539</v>
      </c>
      <c r="I438" s="3" t="s">
        <v>2272</v>
      </c>
      <c r="J438" s="3" t="s">
        <v>2272</v>
      </c>
      <c r="K438" s="3" t="s">
        <v>2272</v>
      </c>
      <c r="L438" s="3" t="s">
        <v>2272</v>
      </c>
      <c r="M438" s="3" t="s">
        <v>2272</v>
      </c>
      <c r="N438" s="3" t="s">
        <v>2272</v>
      </c>
      <c r="O438" s="3" t="s">
        <v>2272</v>
      </c>
      <c r="P438" s="3" t="s">
        <v>2272</v>
      </c>
      <c r="Q438" s="3" t="s">
        <v>2272</v>
      </c>
      <c r="R438" s="3" t="s">
        <v>535</v>
      </c>
      <c r="S438" s="3" t="s">
        <v>2272</v>
      </c>
      <c r="T438" s="3" t="s">
        <v>2272</v>
      </c>
      <c r="U438" s="3" t="s">
        <v>2272</v>
      </c>
      <c r="V438" s="3" t="s">
        <v>2272</v>
      </c>
      <c r="W438" s="4" t="s">
        <v>3724</v>
      </c>
    </row>
    <row r="439" spans="1:23" ht="60.5" customHeight="1">
      <c r="A439" s="11" t="s">
        <v>3732</v>
      </c>
      <c r="B439" s="11" t="s">
        <v>3735</v>
      </c>
      <c r="C439" s="3" t="s">
        <v>23</v>
      </c>
      <c r="D439" s="3" t="s">
        <v>1102</v>
      </c>
      <c r="E439" s="4" t="s">
        <v>5000</v>
      </c>
      <c r="F439" s="3" t="s">
        <v>1102</v>
      </c>
      <c r="G439" s="3"/>
      <c r="H439" s="4" t="s">
        <v>539</v>
      </c>
      <c r="I439" s="3" t="s">
        <v>2272</v>
      </c>
      <c r="J439" s="3" t="s">
        <v>2272</v>
      </c>
      <c r="K439" s="3" t="s">
        <v>2272</v>
      </c>
      <c r="L439" s="3" t="s">
        <v>2272</v>
      </c>
      <c r="M439" s="3" t="s">
        <v>2272</v>
      </c>
      <c r="N439" s="3" t="s">
        <v>2272</v>
      </c>
      <c r="O439" s="3" t="s">
        <v>2272</v>
      </c>
      <c r="P439" s="3" t="s">
        <v>2272</v>
      </c>
      <c r="Q439" s="3" t="s">
        <v>2272</v>
      </c>
      <c r="R439" s="3" t="s">
        <v>532</v>
      </c>
      <c r="S439" s="3" t="s">
        <v>2272</v>
      </c>
      <c r="T439" s="3" t="s">
        <v>2272</v>
      </c>
      <c r="U439" s="3" t="s">
        <v>2272</v>
      </c>
      <c r="V439" s="3">
        <v>1</v>
      </c>
      <c r="W439" s="4" t="s">
        <v>3745</v>
      </c>
    </row>
    <row r="440" spans="1:23" ht="52" customHeight="1">
      <c r="A440" s="11" t="s">
        <v>3792</v>
      </c>
      <c r="B440" s="11" t="s">
        <v>3796</v>
      </c>
      <c r="C440" s="3" t="s">
        <v>23</v>
      </c>
      <c r="D440" s="3" t="s">
        <v>1102</v>
      </c>
      <c r="E440" s="3" t="s">
        <v>1102</v>
      </c>
      <c r="F440" s="3" t="s">
        <v>1102</v>
      </c>
      <c r="G440" s="3"/>
      <c r="H440" s="4" t="s">
        <v>539</v>
      </c>
      <c r="I440" s="3" t="s">
        <v>2272</v>
      </c>
      <c r="J440" s="3" t="s">
        <v>2272</v>
      </c>
      <c r="K440" s="3" t="s">
        <v>2272</v>
      </c>
      <c r="L440" s="3" t="s">
        <v>2272</v>
      </c>
      <c r="M440" s="3" t="s">
        <v>2272</v>
      </c>
      <c r="N440" s="3" t="s">
        <v>2272</v>
      </c>
      <c r="O440" s="3" t="s">
        <v>2272</v>
      </c>
      <c r="P440" s="3" t="s">
        <v>2272</v>
      </c>
      <c r="Q440" s="3" t="s">
        <v>2272</v>
      </c>
      <c r="R440" s="3" t="s">
        <v>532</v>
      </c>
      <c r="S440" s="3" t="s">
        <v>2272</v>
      </c>
      <c r="T440" s="3" t="s">
        <v>2272</v>
      </c>
      <c r="U440" s="3" t="s">
        <v>2272</v>
      </c>
      <c r="V440" s="3">
        <v>2</v>
      </c>
      <c r="W440" s="4" t="s">
        <v>3807</v>
      </c>
    </row>
    <row r="441" spans="1:23" ht="50" customHeight="1">
      <c r="A441" s="11" t="s">
        <v>3827</v>
      </c>
      <c r="B441" s="11" t="s">
        <v>3833</v>
      </c>
      <c r="C441" s="3" t="s">
        <v>23</v>
      </c>
      <c r="D441" s="4" t="s">
        <v>2799</v>
      </c>
      <c r="E441" s="4" t="s">
        <v>5000</v>
      </c>
      <c r="F441" s="4" t="s">
        <v>2657</v>
      </c>
      <c r="G441" s="3"/>
      <c r="H441" s="4" t="s">
        <v>539</v>
      </c>
      <c r="I441" s="3" t="s">
        <v>2685</v>
      </c>
      <c r="J441" s="3" t="s">
        <v>2272</v>
      </c>
      <c r="K441" s="3" t="s">
        <v>2272</v>
      </c>
      <c r="L441" s="3" t="s">
        <v>2272</v>
      </c>
      <c r="M441" s="3" t="s">
        <v>2272</v>
      </c>
      <c r="N441" s="3" t="s">
        <v>2272</v>
      </c>
      <c r="O441" s="3" t="s">
        <v>2272</v>
      </c>
      <c r="P441" s="3" t="s">
        <v>2272</v>
      </c>
      <c r="Q441" s="3" t="s">
        <v>2272</v>
      </c>
      <c r="R441" s="3" t="s">
        <v>2272</v>
      </c>
      <c r="S441" s="3" t="s">
        <v>2272</v>
      </c>
      <c r="T441" s="3" t="s">
        <v>2272</v>
      </c>
      <c r="U441" s="3" t="s">
        <v>2272</v>
      </c>
      <c r="V441" s="3" t="s">
        <v>2272</v>
      </c>
      <c r="W441" s="4" t="s">
        <v>3834</v>
      </c>
    </row>
    <row r="442" spans="1:23" ht="50" customHeight="1">
      <c r="A442" s="11" t="s">
        <v>3845</v>
      </c>
      <c r="B442" s="11" t="s">
        <v>3852</v>
      </c>
      <c r="C442" s="3" t="s">
        <v>23</v>
      </c>
      <c r="D442" s="3" t="s">
        <v>2655</v>
      </c>
      <c r="E442" s="3" t="s">
        <v>1102</v>
      </c>
      <c r="F442" s="4" t="s">
        <v>54</v>
      </c>
      <c r="G442" s="3"/>
      <c r="H442" s="4" t="s">
        <v>2668</v>
      </c>
      <c r="I442" s="3" t="s">
        <v>2272</v>
      </c>
      <c r="J442" s="3" t="s">
        <v>2272</v>
      </c>
      <c r="K442" s="3" t="s">
        <v>2272</v>
      </c>
      <c r="L442" s="3" t="s">
        <v>2272</v>
      </c>
      <c r="M442" s="3" t="s">
        <v>2272</v>
      </c>
      <c r="N442" s="3" t="s">
        <v>2272</v>
      </c>
      <c r="O442" s="3" t="s">
        <v>2272</v>
      </c>
      <c r="P442" s="3" t="s">
        <v>2272</v>
      </c>
      <c r="Q442" s="3" t="s">
        <v>2272</v>
      </c>
      <c r="R442" s="3" t="s">
        <v>532</v>
      </c>
      <c r="S442" s="3" t="s">
        <v>2272</v>
      </c>
      <c r="T442" s="3" t="s">
        <v>532</v>
      </c>
      <c r="U442" s="3" t="s">
        <v>2272</v>
      </c>
      <c r="V442" s="3">
        <v>4</v>
      </c>
      <c r="W442" s="4" t="s">
        <v>4122</v>
      </c>
    </row>
    <row r="443" spans="1:23" ht="82" customHeight="1">
      <c r="A443" s="11" t="s">
        <v>3925</v>
      </c>
      <c r="B443" s="3" t="s">
        <v>3942</v>
      </c>
      <c r="C443" s="3" t="s">
        <v>23</v>
      </c>
      <c r="D443" s="3" t="s">
        <v>1102</v>
      </c>
      <c r="E443" s="4" t="s">
        <v>5000</v>
      </c>
      <c r="F443" s="3" t="s">
        <v>1102</v>
      </c>
      <c r="G443" s="3"/>
      <c r="H443" s="4" t="s">
        <v>539</v>
      </c>
      <c r="I443" s="3" t="s">
        <v>2685</v>
      </c>
      <c r="J443" s="3" t="s">
        <v>532</v>
      </c>
      <c r="K443" s="3" t="s">
        <v>2272</v>
      </c>
      <c r="L443" s="3" t="s">
        <v>2272</v>
      </c>
      <c r="M443" s="3" t="s">
        <v>2272</v>
      </c>
      <c r="N443" s="3" t="s">
        <v>2272</v>
      </c>
      <c r="O443" s="3" t="s">
        <v>2272</v>
      </c>
      <c r="P443" s="3" t="s">
        <v>2272</v>
      </c>
      <c r="Q443" s="3" t="s">
        <v>2272</v>
      </c>
      <c r="R443" s="3" t="s">
        <v>2272</v>
      </c>
      <c r="S443" s="3" t="s">
        <v>2272</v>
      </c>
      <c r="T443" s="3" t="s">
        <v>2272</v>
      </c>
      <c r="U443" s="3" t="s">
        <v>2272</v>
      </c>
      <c r="V443" s="3" t="s">
        <v>2272</v>
      </c>
      <c r="W443" s="4" t="s">
        <v>3948</v>
      </c>
    </row>
    <row r="444" spans="1:23" ht="86" customHeight="1">
      <c r="A444" s="11" t="s">
        <v>3926</v>
      </c>
      <c r="B444" s="3" t="s">
        <v>3943</v>
      </c>
      <c r="C444" s="3" t="s">
        <v>23</v>
      </c>
      <c r="D444" s="3" t="s">
        <v>1102</v>
      </c>
      <c r="E444" s="4" t="s">
        <v>5000</v>
      </c>
      <c r="F444" s="3" t="s">
        <v>1102</v>
      </c>
      <c r="G444" s="3"/>
      <c r="H444" s="4" t="s">
        <v>539</v>
      </c>
      <c r="I444" s="3" t="s">
        <v>2685</v>
      </c>
      <c r="J444" s="3" t="s">
        <v>532</v>
      </c>
      <c r="K444" s="3" t="s">
        <v>2272</v>
      </c>
      <c r="L444" s="3" t="s">
        <v>2272</v>
      </c>
      <c r="M444" s="3" t="s">
        <v>2272</v>
      </c>
      <c r="N444" s="3" t="s">
        <v>2272</v>
      </c>
      <c r="O444" s="3" t="s">
        <v>2272</v>
      </c>
      <c r="P444" s="3" t="s">
        <v>2272</v>
      </c>
      <c r="Q444" s="3" t="s">
        <v>2272</v>
      </c>
      <c r="R444" s="3" t="s">
        <v>2272</v>
      </c>
      <c r="S444" s="3" t="s">
        <v>2272</v>
      </c>
      <c r="T444" s="3" t="s">
        <v>2272</v>
      </c>
      <c r="U444" s="3" t="s">
        <v>2272</v>
      </c>
      <c r="V444" s="3" t="s">
        <v>2272</v>
      </c>
      <c r="W444" s="4" t="s">
        <v>3948</v>
      </c>
    </row>
    <row r="445" spans="1:23" ht="79" customHeight="1">
      <c r="A445" s="11" t="s">
        <v>3927</v>
      </c>
      <c r="B445" s="3" t="s">
        <v>3944</v>
      </c>
      <c r="C445" s="3" t="s">
        <v>23</v>
      </c>
      <c r="D445" s="3" t="s">
        <v>1102</v>
      </c>
      <c r="E445" s="4" t="s">
        <v>5000</v>
      </c>
      <c r="F445" s="3" t="s">
        <v>1102</v>
      </c>
      <c r="G445" s="3"/>
      <c r="H445" s="4" t="s">
        <v>539</v>
      </c>
      <c r="I445" s="3" t="s">
        <v>2685</v>
      </c>
      <c r="J445" s="3" t="s">
        <v>532</v>
      </c>
      <c r="K445" s="3" t="s">
        <v>2272</v>
      </c>
      <c r="L445" s="3" t="s">
        <v>2272</v>
      </c>
      <c r="M445" s="3" t="s">
        <v>2272</v>
      </c>
      <c r="N445" s="3" t="s">
        <v>2272</v>
      </c>
      <c r="O445" s="3" t="s">
        <v>2272</v>
      </c>
      <c r="P445" s="3" t="s">
        <v>2272</v>
      </c>
      <c r="Q445" s="3" t="s">
        <v>2272</v>
      </c>
      <c r="R445" s="3" t="s">
        <v>2272</v>
      </c>
      <c r="S445" s="3" t="s">
        <v>2272</v>
      </c>
      <c r="T445" s="3" t="s">
        <v>2272</v>
      </c>
      <c r="U445" s="3" t="s">
        <v>2272</v>
      </c>
      <c r="V445" s="3" t="s">
        <v>2272</v>
      </c>
      <c r="W445" s="4" t="s">
        <v>3948</v>
      </c>
    </row>
    <row r="446" spans="1:23" ht="75.5" customHeight="1">
      <c r="A446" s="11" t="s">
        <v>3925</v>
      </c>
      <c r="B446" s="3" t="s">
        <v>3945</v>
      </c>
      <c r="C446" s="3" t="s">
        <v>23</v>
      </c>
      <c r="D446" s="3" t="s">
        <v>1102</v>
      </c>
      <c r="E446" s="4" t="s">
        <v>5000</v>
      </c>
      <c r="F446" s="3" t="s">
        <v>1102</v>
      </c>
      <c r="G446" s="3"/>
      <c r="H446" s="4" t="s">
        <v>539</v>
      </c>
      <c r="I446" s="3" t="s">
        <v>2686</v>
      </c>
      <c r="J446" s="3" t="s">
        <v>532</v>
      </c>
      <c r="K446" s="3" t="s">
        <v>2272</v>
      </c>
      <c r="L446" s="3" t="s">
        <v>2272</v>
      </c>
      <c r="M446" s="3" t="s">
        <v>2272</v>
      </c>
      <c r="N446" s="3" t="s">
        <v>2272</v>
      </c>
      <c r="O446" s="3" t="s">
        <v>2272</v>
      </c>
      <c r="P446" s="3" t="s">
        <v>2272</v>
      </c>
      <c r="Q446" s="3" t="s">
        <v>2272</v>
      </c>
      <c r="R446" s="3" t="s">
        <v>2272</v>
      </c>
      <c r="S446" s="3" t="s">
        <v>2272</v>
      </c>
      <c r="T446" s="3" t="s">
        <v>2272</v>
      </c>
      <c r="U446" s="3" t="s">
        <v>2272</v>
      </c>
      <c r="V446" s="3" t="s">
        <v>2272</v>
      </c>
      <c r="W446" s="4" t="s">
        <v>3948</v>
      </c>
    </row>
    <row r="447" spans="1:23" ht="84.5" customHeight="1">
      <c r="A447" s="11" t="s">
        <v>3926</v>
      </c>
      <c r="B447" s="3" t="s">
        <v>3946</v>
      </c>
      <c r="C447" s="3" t="s">
        <v>23</v>
      </c>
      <c r="D447" s="3" t="s">
        <v>1102</v>
      </c>
      <c r="E447" s="4" t="s">
        <v>5000</v>
      </c>
      <c r="F447" s="3" t="s">
        <v>1102</v>
      </c>
      <c r="G447" s="3"/>
      <c r="H447" s="4" t="s">
        <v>539</v>
      </c>
      <c r="I447" s="3" t="s">
        <v>2686</v>
      </c>
      <c r="J447" s="3" t="s">
        <v>532</v>
      </c>
      <c r="K447" s="3" t="s">
        <v>2272</v>
      </c>
      <c r="L447" s="3" t="s">
        <v>2272</v>
      </c>
      <c r="M447" s="3" t="s">
        <v>2272</v>
      </c>
      <c r="N447" s="3" t="s">
        <v>2272</v>
      </c>
      <c r="O447" s="3" t="s">
        <v>2272</v>
      </c>
      <c r="P447" s="3" t="s">
        <v>2272</v>
      </c>
      <c r="Q447" s="3" t="s">
        <v>2272</v>
      </c>
      <c r="R447" s="3" t="s">
        <v>2272</v>
      </c>
      <c r="S447" s="3" t="s">
        <v>2272</v>
      </c>
      <c r="T447" s="3" t="s">
        <v>2272</v>
      </c>
      <c r="U447" s="3" t="s">
        <v>2272</v>
      </c>
      <c r="V447" s="3" t="s">
        <v>2272</v>
      </c>
      <c r="W447" s="4" t="s">
        <v>3948</v>
      </c>
    </row>
    <row r="448" spans="1:23" ht="84" customHeight="1">
      <c r="A448" s="11" t="s">
        <v>3927</v>
      </c>
      <c r="B448" s="3" t="s">
        <v>3947</v>
      </c>
      <c r="C448" s="3" t="s">
        <v>23</v>
      </c>
      <c r="D448" s="3" t="s">
        <v>1102</v>
      </c>
      <c r="E448" s="4" t="s">
        <v>5000</v>
      </c>
      <c r="F448" s="3" t="s">
        <v>1102</v>
      </c>
      <c r="G448" s="3"/>
      <c r="H448" s="4" t="s">
        <v>539</v>
      </c>
      <c r="I448" s="3" t="s">
        <v>2686</v>
      </c>
      <c r="J448" s="3" t="s">
        <v>532</v>
      </c>
      <c r="K448" s="3" t="s">
        <v>2272</v>
      </c>
      <c r="L448" s="3" t="s">
        <v>2272</v>
      </c>
      <c r="M448" s="3" t="s">
        <v>2272</v>
      </c>
      <c r="N448" s="3" t="s">
        <v>2272</v>
      </c>
      <c r="O448" s="3" t="s">
        <v>2272</v>
      </c>
      <c r="P448" s="3" t="s">
        <v>2272</v>
      </c>
      <c r="Q448" s="3" t="s">
        <v>2272</v>
      </c>
      <c r="R448" s="3" t="s">
        <v>2272</v>
      </c>
      <c r="S448" s="3" t="s">
        <v>2272</v>
      </c>
      <c r="T448" s="3" t="s">
        <v>2272</v>
      </c>
      <c r="U448" s="3" t="s">
        <v>2272</v>
      </c>
      <c r="V448" s="3" t="s">
        <v>2272</v>
      </c>
      <c r="W448" s="4" t="s">
        <v>3948</v>
      </c>
    </row>
    <row r="449" spans="1:23" ht="69.5" customHeight="1">
      <c r="A449" s="11" t="s">
        <v>3967</v>
      </c>
      <c r="B449" s="11" t="s">
        <v>3971</v>
      </c>
      <c r="C449" s="3" t="s">
        <v>23</v>
      </c>
      <c r="D449" s="3" t="s">
        <v>3471</v>
      </c>
      <c r="E449" s="3" t="s">
        <v>114</v>
      </c>
      <c r="F449" s="3" t="s">
        <v>73</v>
      </c>
      <c r="G449" s="3"/>
      <c r="H449" s="4" t="s">
        <v>2668</v>
      </c>
      <c r="I449" s="3" t="s">
        <v>2272</v>
      </c>
      <c r="J449" s="3" t="s">
        <v>2272</v>
      </c>
      <c r="K449" s="3" t="s">
        <v>2272</v>
      </c>
      <c r="L449" s="3" t="s">
        <v>2272</v>
      </c>
      <c r="M449" s="3" t="s">
        <v>2272</v>
      </c>
      <c r="N449" s="3" t="s">
        <v>2272</v>
      </c>
      <c r="O449" s="3" t="s">
        <v>2272</v>
      </c>
      <c r="P449" s="3" t="s">
        <v>2272</v>
      </c>
      <c r="Q449" s="3" t="s">
        <v>2272</v>
      </c>
      <c r="R449" s="3" t="s">
        <v>532</v>
      </c>
      <c r="S449" s="3" t="s">
        <v>532</v>
      </c>
      <c r="T449" s="3" t="s">
        <v>532</v>
      </c>
      <c r="U449" s="3" t="s">
        <v>2272</v>
      </c>
      <c r="V449" s="3" t="s">
        <v>2272</v>
      </c>
      <c r="W449" s="4" t="s">
        <v>3981</v>
      </c>
    </row>
    <row r="450" spans="1:23" ht="98" customHeight="1">
      <c r="A450" s="11" t="s">
        <v>3967</v>
      </c>
      <c r="B450" s="11" t="s">
        <v>3973</v>
      </c>
      <c r="C450" s="3" t="s">
        <v>23</v>
      </c>
      <c r="D450" s="3" t="s">
        <v>3471</v>
      </c>
      <c r="E450" s="3" t="s">
        <v>114</v>
      </c>
      <c r="F450" s="4" t="s">
        <v>2657</v>
      </c>
      <c r="G450" s="3"/>
      <c r="H450" s="4" t="s">
        <v>2668</v>
      </c>
      <c r="I450" s="3" t="s">
        <v>2272</v>
      </c>
      <c r="J450" s="3" t="s">
        <v>2272</v>
      </c>
      <c r="K450" s="3" t="s">
        <v>2272</v>
      </c>
      <c r="L450" s="3" t="s">
        <v>2272</v>
      </c>
      <c r="M450" s="3" t="s">
        <v>2664</v>
      </c>
      <c r="N450" s="3" t="s">
        <v>532</v>
      </c>
      <c r="O450" s="3" t="s">
        <v>532</v>
      </c>
      <c r="P450" s="3" t="s">
        <v>2272</v>
      </c>
      <c r="Q450" s="3" t="s">
        <v>2272</v>
      </c>
      <c r="R450" s="3" t="s">
        <v>535</v>
      </c>
      <c r="S450" s="3" t="s">
        <v>2272</v>
      </c>
      <c r="T450" s="3" t="s">
        <v>2272</v>
      </c>
      <c r="U450" s="3" t="s">
        <v>2272</v>
      </c>
      <c r="V450" s="3" t="s">
        <v>2272</v>
      </c>
      <c r="W450" s="4" t="s">
        <v>3982</v>
      </c>
    </row>
    <row r="451" spans="1:23" ht="67.5" customHeight="1">
      <c r="A451" s="11" t="s">
        <v>3967</v>
      </c>
      <c r="B451" s="11" t="s">
        <v>3978</v>
      </c>
      <c r="C451" s="3" t="s">
        <v>23</v>
      </c>
      <c r="D451" s="3" t="s">
        <v>25</v>
      </c>
      <c r="E451" s="3" t="s">
        <v>5000</v>
      </c>
      <c r="F451" s="4" t="s">
        <v>1102</v>
      </c>
      <c r="G451" s="3"/>
      <c r="H451" s="4" t="s">
        <v>2668</v>
      </c>
      <c r="I451" s="3" t="s">
        <v>2272</v>
      </c>
      <c r="J451" s="3" t="s">
        <v>2272</v>
      </c>
      <c r="K451" s="3" t="s">
        <v>2272</v>
      </c>
      <c r="L451" s="3" t="s">
        <v>2272</v>
      </c>
      <c r="M451" s="3" t="s">
        <v>2272</v>
      </c>
      <c r="N451" s="3" t="s">
        <v>2272</v>
      </c>
      <c r="O451" s="3" t="s">
        <v>2272</v>
      </c>
      <c r="P451" s="3" t="s">
        <v>2272</v>
      </c>
      <c r="Q451" s="3" t="s">
        <v>2272</v>
      </c>
      <c r="R451" s="3" t="s">
        <v>2272</v>
      </c>
      <c r="S451" s="3" t="s">
        <v>2272</v>
      </c>
      <c r="T451" s="3" t="s">
        <v>2272</v>
      </c>
      <c r="U451" s="3" t="s">
        <v>2272</v>
      </c>
      <c r="V451" s="3" t="s">
        <v>2272</v>
      </c>
      <c r="W451" s="4" t="s">
        <v>3981</v>
      </c>
    </row>
    <row r="452" spans="1:23" ht="67.5" customHeight="1">
      <c r="A452" s="11" t="s">
        <v>3967</v>
      </c>
      <c r="B452" s="11" t="s">
        <v>3979</v>
      </c>
      <c r="C452" s="3" t="s">
        <v>23</v>
      </c>
      <c r="D452" s="3" t="s">
        <v>25</v>
      </c>
      <c r="E452" s="3" t="s">
        <v>44</v>
      </c>
      <c r="F452" s="4" t="s">
        <v>1102</v>
      </c>
      <c r="G452" s="3"/>
      <c r="H452" s="4" t="s">
        <v>2668</v>
      </c>
      <c r="I452" s="3" t="s">
        <v>2272</v>
      </c>
      <c r="J452" s="3" t="s">
        <v>2272</v>
      </c>
      <c r="K452" s="3" t="s">
        <v>2272</v>
      </c>
      <c r="L452" s="3" t="s">
        <v>2272</v>
      </c>
      <c r="M452" s="3" t="s">
        <v>2272</v>
      </c>
      <c r="N452" s="3" t="s">
        <v>2272</v>
      </c>
      <c r="O452" s="3" t="s">
        <v>2272</v>
      </c>
      <c r="P452" s="3" t="s">
        <v>2272</v>
      </c>
      <c r="Q452" s="3" t="s">
        <v>2272</v>
      </c>
      <c r="R452" s="3" t="s">
        <v>532</v>
      </c>
      <c r="S452" s="3" t="s">
        <v>2272</v>
      </c>
      <c r="T452" s="3" t="s">
        <v>2272</v>
      </c>
      <c r="U452" s="3" t="s">
        <v>2272</v>
      </c>
      <c r="V452" s="3" t="s">
        <v>2272</v>
      </c>
      <c r="W452" s="4" t="s">
        <v>3981</v>
      </c>
    </row>
    <row r="453" spans="1:23" ht="40" customHeight="1">
      <c r="A453" s="11" t="s">
        <v>3984</v>
      </c>
      <c r="B453" s="11" t="s">
        <v>3992</v>
      </c>
      <c r="C453" s="3" t="s">
        <v>23</v>
      </c>
      <c r="D453" s="3" t="s">
        <v>1102</v>
      </c>
      <c r="E453" s="3" t="s">
        <v>5000</v>
      </c>
      <c r="F453" s="3" t="s">
        <v>1102</v>
      </c>
      <c r="G453" s="3"/>
      <c r="H453" s="4" t="s">
        <v>539</v>
      </c>
      <c r="I453" s="3" t="s">
        <v>2685</v>
      </c>
      <c r="J453" s="3" t="s">
        <v>2272</v>
      </c>
      <c r="K453" s="3" t="s">
        <v>2272</v>
      </c>
      <c r="L453" s="3" t="s">
        <v>2272</v>
      </c>
      <c r="M453" s="3" t="s">
        <v>2272</v>
      </c>
      <c r="N453" s="3" t="s">
        <v>2272</v>
      </c>
      <c r="O453" s="3" t="s">
        <v>2272</v>
      </c>
      <c r="P453" s="3" t="s">
        <v>2272</v>
      </c>
      <c r="Q453" s="3" t="s">
        <v>2272</v>
      </c>
      <c r="R453" s="3" t="s">
        <v>532</v>
      </c>
      <c r="S453" s="3" t="s">
        <v>2272</v>
      </c>
      <c r="T453" s="3" t="s">
        <v>2272</v>
      </c>
      <c r="U453" s="3" t="s">
        <v>2272</v>
      </c>
      <c r="V453" s="3" t="s">
        <v>2272</v>
      </c>
      <c r="W453" s="4" t="s">
        <v>3995</v>
      </c>
    </row>
    <row r="454" spans="1:23" ht="40" customHeight="1">
      <c r="A454" s="11" t="s">
        <v>3985</v>
      </c>
      <c r="B454" s="11" t="s">
        <v>3993</v>
      </c>
      <c r="C454" s="3" t="s">
        <v>23</v>
      </c>
      <c r="D454" s="3" t="s">
        <v>1102</v>
      </c>
      <c r="E454" s="3" t="s">
        <v>5000</v>
      </c>
      <c r="F454" s="3" t="s">
        <v>1102</v>
      </c>
      <c r="G454" s="3"/>
      <c r="H454" s="4" t="s">
        <v>539</v>
      </c>
      <c r="I454" s="3" t="s">
        <v>2685</v>
      </c>
      <c r="J454" s="3" t="s">
        <v>2272</v>
      </c>
      <c r="K454" s="3" t="s">
        <v>2272</v>
      </c>
      <c r="L454" s="3" t="s">
        <v>2272</v>
      </c>
      <c r="M454" s="3" t="s">
        <v>2272</v>
      </c>
      <c r="N454" s="3" t="s">
        <v>2272</v>
      </c>
      <c r="O454" s="3" t="s">
        <v>2272</v>
      </c>
      <c r="P454" s="3" t="s">
        <v>2272</v>
      </c>
      <c r="Q454" s="3" t="s">
        <v>2272</v>
      </c>
      <c r="R454" s="3" t="s">
        <v>532</v>
      </c>
      <c r="S454" s="3" t="s">
        <v>2272</v>
      </c>
      <c r="T454" s="3" t="s">
        <v>2272</v>
      </c>
      <c r="U454" s="3" t="s">
        <v>2272</v>
      </c>
      <c r="V454" s="3" t="s">
        <v>2272</v>
      </c>
      <c r="W454" s="4" t="s">
        <v>3995</v>
      </c>
    </row>
    <row r="455" spans="1:23" ht="40" customHeight="1">
      <c r="A455" s="11" t="s">
        <v>3990</v>
      </c>
      <c r="B455" s="11" t="s">
        <v>3994</v>
      </c>
      <c r="C455" s="3" t="s">
        <v>23</v>
      </c>
      <c r="D455" s="3" t="s">
        <v>1102</v>
      </c>
      <c r="E455" s="3" t="s">
        <v>5000</v>
      </c>
      <c r="F455" s="3" t="s">
        <v>1102</v>
      </c>
      <c r="G455" s="3"/>
      <c r="H455" s="4" t="s">
        <v>539</v>
      </c>
      <c r="I455" s="3" t="s">
        <v>2685</v>
      </c>
      <c r="J455" s="3" t="s">
        <v>2272</v>
      </c>
      <c r="K455" s="3" t="s">
        <v>2272</v>
      </c>
      <c r="L455" s="3" t="s">
        <v>2272</v>
      </c>
      <c r="M455" s="3" t="s">
        <v>2272</v>
      </c>
      <c r="N455" s="3" t="s">
        <v>2272</v>
      </c>
      <c r="O455" s="3" t="s">
        <v>2272</v>
      </c>
      <c r="P455" s="3" t="s">
        <v>2272</v>
      </c>
      <c r="Q455" s="3" t="s">
        <v>2272</v>
      </c>
      <c r="R455" s="3" t="s">
        <v>532</v>
      </c>
      <c r="S455" s="3" t="s">
        <v>2272</v>
      </c>
      <c r="T455" s="3" t="s">
        <v>2272</v>
      </c>
      <c r="U455" s="3" t="s">
        <v>2272</v>
      </c>
      <c r="V455" s="3" t="s">
        <v>2272</v>
      </c>
      <c r="W455" s="4" t="s">
        <v>3995</v>
      </c>
    </row>
    <row r="456" spans="1:23" ht="83" customHeight="1">
      <c r="A456" s="23" t="s">
        <v>4043</v>
      </c>
      <c r="B456" s="11" t="s">
        <v>4044</v>
      </c>
      <c r="C456" s="3" t="s">
        <v>1102</v>
      </c>
      <c r="D456" s="3" t="s">
        <v>2272</v>
      </c>
      <c r="E456" s="3" t="s">
        <v>2272</v>
      </c>
      <c r="F456" s="4" t="s">
        <v>2657</v>
      </c>
      <c r="G456" s="3">
        <v>1992</v>
      </c>
      <c r="H456" s="4" t="s">
        <v>4072</v>
      </c>
      <c r="I456" s="3" t="s">
        <v>2686</v>
      </c>
      <c r="J456" s="3" t="s">
        <v>532</v>
      </c>
      <c r="K456" s="3" t="s">
        <v>2272</v>
      </c>
      <c r="L456" s="3" t="s">
        <v>2272</v>
      </c>
      <c r="M456" s="3" t="s">
        <v>2272</v>
      </c>
      <c r="N456" s="3" t="s">
        <v>2272</v>
      </c>
      <c r="O456" s="3" t="s">
        <v>2272</v>
      </c>
      <c r="P456" s="3" t="s">
        <v>2272</v>
      </c>
      <c r="Q456" s="3" t="s">
        <v>2272</v>
      </c>
      <c r="R456" s="3" t="s">
        <v>2272</v>
      </c>
      <c r="S456" s="3" t="s">
        <v>2272</v>
      </c>
      <c r="T456" s="3" t="s">
        <v>2272</v>
      </c>
      <c r="U456" s="3" t="s">
        <v>2272</v>
      </c>
      <c r="V456" s="3" t="s">
        <v>2272</v>
      </c>
      <c r="W456" s="4" t="s">
        <v>4073</v>
      </c>
    </row>
    <row r="457" spans="1:23" ht="83" customHeight="1">
      <c r="A457" s="23" t="s">
        <v>4054</v>
      </c>
      <c r="B457" s="11" t="s">
        <v>4067</v>
      </c>
      <c r="C457" s="3" t="s">
        <v>1102</v>
      </c>
      <c r="D457" s="3" t="s">
        <v>2272</v>
      </c>
      <c r="E457" s="3" t="s">
        <v>2272</v>
      </c>
      <c r="F457" s="4" t="s">
        <v>2657</v>
      </c>
      <c r="G457" s="3">
        <v>1992</v>
      </c>
      <c r="H457" s="4" t="s">
        <v>4072</v>
      </c>
      <c r="I457" s="3" t="s">
        <v>2686</v>
      </c>
      <c r="J457" s="3" t="s">
        <v>532</v>
      </c>
      <c r="K457" s="3" t="s">
        <v>2272</v>
      </c>
      <c r="L457" s="3" t="s">
        <v>2272</v>
      </c>
      <c r="M457" s="3" t="s">
        <v>2272</v>
      </c>
      <c r="N457" s="3" t="s">
        <v>2272</v>
      </c>
      <c r="O457" s="3" t="s">
        <v>2272</v>
      </c>
      <c r="P457" s="3" t="s">
        <v>2272</v>
      </c>
      <c r="Q457" s="3" t="s">
        <v>2272</v>
      </c>
      <c r="R457" s="3" t="s">
        <v>2272</v>
      </c>
      <c r="S457" s="3" t="s">
        <v>2272</v>
      </c>
      <c r="T457" s="3" t="s">
        <v>2272</v>
      </c>
      <c r="U457" s="3" t="s">
        <v>2272</v>
      </c>
      <c r="V457" s="3" t="s">
        <v>2272</v>
      </c>
      <c r="W457" s="4" t="s">
        <v>4073</v>
      </c>
    </row>
    <row r="458" spans="1:23" ht="83" customHeight="1">
      <c r="A458" s="23" t="s">
        <v>4055</v>
      </c>
      <c r="B458" s="11" t="s">
        <v>4068</v>
      </c>
      <c r="C458" s="3" t="s">
        <v>1102</v>
      </c>
      <c r="D458" s="3" t="s">
        <v>2272</v>
      </c>
      <c r="E458" s="3" t="s">
        <v>2272</v>
      </c>
      <c r="F458" s="4" t="s">
        <v>2657</v>
      </c>
      <c r="G458" s="3">
        <v>1992</v>
      </c>
      <c r="H458" s="4" t="s">
        <v>4072</v>
      </c>
      <c r="I458" s="3" t="s">
        <v>2686</v>
      </c>
      <c r="J458" s="3" t="s">
        <v>532</v>
      </c>
      <c r="K458" s="3" t="s">
        <v>2272</v>
      </c>
      <c r="L458" s="3" t="s">
        <v>2272</v>
      </c>
      <c r="M458" s="3" t="s">
        <v>2272</v>
      </c>
      <c r="N458" s="3" t="s">
        <v>2272</v>
      </c>
      <c r="O458" s="3" t="s">
        <v>2272</v>
      </c>
      <c r="P458" s="3" t="s">
        <v>2272</v>
      </c>
      <c r="Q458" s="3" t="s">
        <v>2272</v>
      </c>
      <c r="R458" s="3" t="s">
        <v>2272</v>
      </c>
      <c r="S458" s="3" t="s">
        <v>2272</v>
      </c>
      <c r="T458" s="3" t="s">
        <v>2272</v>
      </c>
      <c r="U458" s="3" t="s">
        <v>2272</v>
      </c>
      <c r="V458" s="3" t="s">
        <v>2272</v>
      </c>
      <c r="W458" s="4" t="s">
        <v>4073</v>
      </c>
    </row>
    <row r="459" spans="1:23" ht="83" customHeight="1">
      <c r="A459" s="23" t="s">
        <v>4056</v>
      </c>
      <c r="B459" s="11" t="s">
        <v>4069</v>
      </c>
      <c r="C459" s="3" t="s">
        <v>1102</v>
      </c>
      <c r="D459" s="3" t="s">
        <v>2272</v>
      </c>
      <c r="E459" s="3" t="s">
        <v>2272</v>
      </c>
      <c r="F459" s="4" t="s">
        <v>2657</v>
      </c>
      <c r="G459" s="3">
        <v>1992</v>
      </c>
      <c r="H459" s="4" t="s">
        <v>4072</v>
      </c>
      <c r="I459" s="3" t="s">
        <v>2686</v>
      </c>
      <c r="J459" s="3" t="s">
        <v>532</v>
      </c>
      <c r="K459" s="3" t="s">
        <v>2272</v>
      </c>
      <c r="L459" s="3" t="s">
        <v>2272</v>
      </c>
      <c r="M459" s="3" t="s">
        <v>2272</v>
      </c>
      <c r="N459" s="3" t="s">
        <v>2272</v>
      </c>
      <c r="O459" s="3" t="s">
        <v>2272</v>
      </c>
      <c r="P459" s="3" t="s">
        <v>2272</v>
      </c>
      <c r="Q459" s="3" t="s">
        <v>2272</v>
      </c>
      <c r="R459" s="3" t="s">
        <v>2272</v>
      </c>
      <c r="S459" s="3" t="s">
        <v>2272</v>
      </c>
      <c r="T459" s="3" t="s">
        <v>2272</v>
      </c>
      <c r="U459" s="3" t="s">
        <v>2272</v>
      </c>
      <c r="V459" s="3" t="s">
        <v>2272</v>
      </c>
      <c r="W459" s="4" t="s">
        <v>4073</v>
      </c>
    </row>
    <row r="460" spans="1:23" ht="83" customHeight="1">
      <c r="A460" s="23" t="s">
        <v>4057</v>
      </c>
      <c r="B460" s="11" t="s">
        <v>4070</v>
      </c>
      <c r="C460" s="3" t="s">
        <v>1102</v>
      </c>
      <c r="D460" s="3" t="s">
        <v>2272</v>
      </c>
      <c r="E460" s="3" t="s">
        <v>2272</v>
      </c>
      <c r="F460" s="4" t="s">
        <v>2657</v>
      </c>
      <c r="G460" s="3">
        <v>1992</v>
      </c>
      <c r="H460" s="4" t="s">
        <v>4072</v>
      </c>
      <c r="I460" s="3" t="s">
        <v>2686</v>
      </c>
      <c r="J460" s="3" t="s">
        <v>532</v>
      </c>
      <c r="K460" s="3" t="s">
        <v>2272</v>
      </c>
      <c r="L460" s="3" t="s">
        <v>2272</v>
      </c>
      <c r="M460" s="3" t="s">
        <v>2272</v>
      </c>
      <c r="N460" s="3" t="s">
        <v>2272</v>
      </c>
      <c r="O460" s="3" t="s">
        <v>2272</v>
      </c>
      <c r="P460" s="3" t="s">
        <v>2272</v>
      </c>
      <c r="Q460" s="3" t="s">
        <v>2272</v>
      </c>
      <c r="R460" s="3" t="s">
        <v>2272</v>
      </c>
      <c r="S460" s="3" t="s">
        <v>2272</v>
      </c>
      <c r="T460" s="3" t="s">
        <v>2272</v>
      </c>
      <c r="U460" s="3" t="s">
        <v>2272</v>
      </c>
      <c r="V460" s="3" t="s">
        <v>2272</v>
      </c>
      <c r="W460" s="4" t="s">
        <v>4073</v>
      </c>
    </row>
    <row r="461" spans="1:23" ht="83" customHeight="1">
      <c r="A461" s="23" t="s">
        <v>4058</v>
      </c>
      <c r="B461" s="11" t="s">
        <v>4061</v>
      </c>
      <c r="C461" s="3" t="s">
        <v>1102</v>
      </c>
      <c r="D461" s="3" t="s">
        <v>2272</v>
      </c>
      <c r="E461" s="3" t="s">
        <v>2272</v>
      </c>
      <c r="F461" s="4" t="s">
        <v>2657</v>
      </c>
      <c r="G461" s="3">
        <v>1992</v>
      </c>
      <c r="H461" s="4" t="s">
        <v>4072</v>
      </c>
      <c r="I461" s="3" t="s">
        <v>2686</v>
      </c>
      <c r="J461" s="3" t="s">
        <v>532</v>
      </c>
      <c r="K461" s="3" t="s">
        <v>2272</v>
      </c>
      <c r="L461" s="3" t="s">
        <v>2272</v>
      </c>
      <c r="M461" s="3" t="s">
        <v>2272</v>
      </c>
      <c r="N461" s="3" t="s">
        <v>2272</v>
      </c>
      <c r="O461" s="3" t="s">
        <v>2272</v>
      </c>
      <c r="P461" s="3" t="s">
        <v>2272</v>
      </c>
      <c r="Q461" s="3" t="s">
        <v>2272</v>
      </c>
      <c r="R461" s="3" t="s">
        <v>2272</v>
      </c>
      <c r="S461" s="3" t="s">
        <v>2272</v>
      </c>
      <c r="T461" s="3" t="s">
        <v>2272</v>
      </c>
      <c r="U461" s="3" t="s">
        <v>2272</v>
      </c>
      <c r="V461" s="3" t="s">
        <v>2272</v>
      </c>
      <c r="W461" s="4" t="s">
        <v>4073</v>
      </c>
    </row>
    <row r="462" spans="1:23" ht="44.5" customHeight="1">
      <c r="A462" s="23" t="s">
        <v>4043</v>
      </c>
      <c r="B462" s="11" t="s">
        <v>4062</v>
      </c>
      <c r="C462" s="3" t="s">
        <v>1102</v>
      </c>
      <c r="D462" s="3" t="s">
        <v>2272</v>
      </c>
      <c r="E462" s="3" t="s">
        <v>2272</v>
      </c>
      <c r="F462" s="4" t="s">
        <v>2657</v>
      </c>
      <c r="G462" s="11">
        <v>2005</v>
      </c>
      <c r="H462" s="4" t="s">
        <v>4072</v>
      </c>
      <c r="I462" s="3" t="s">
        <v>2685</v>
      </c>
      <c r="J462" s="3" t="s">
        <v>532</v>
      </c>
      <c r="K462" s="3" t="s">
        <v>2272</v>
      </c>
      <c r="L462" s="3" t="s">
        <v>2272</v>
      </c>
      <c r="M462" s="3" t="s">
        <v>2272</v>
      </c>
      <c r="N462" s="3" t="s">
        <v>2272</v>
      </c>
      <c r="O462" s="3" t="s">
        <v>2272</v>
      </c>
      <c r="P462" s="3" t="s">
        <v>2272</v>
      </c>
      <c r="Q462" s="3" t="s">
        <v>2272</v>
      </c>
      <c r="R462" s="3" t="s">
        <v>2272</v>
      </c>
      <c r="S462" s="3" t="s">
        <v>2272</v>
      </c>
      <c r="T462" s="3" t="s">
        <v>2272</v>
      </c>
      <c r="U462" s="3" t="s">
        <v>2272</v>
      </c>
      <c r="V462" s="3" t="s">
        <v>2272</v>
      </c>
      <c r="W462" s="4" t="s">
        <v>4079</v>
      </c>
    </row>
    <row r="463" spans="1:23" ht="44.5" customHeight="1">
      <c r="A463" s="23" t="s">
        <v>4054</v>
      </c>
      <c r="B463" s="11" t="s">
        <v>4074</v>
      </c>
      <c r="C463" s="3" t="s">
        <v>1102</v>
      </c>
      <c r="D463" s="3" t="s">
        <v>2272</v>
      </c>
      <c r="E463" s="3" t="s">
        <v>2272</v>
      </c>
      <c r="F463" s="4" t="s">
        <v>2657</v>
      </c>
      <c r="G463" s="11">
        <v>2005</v>
      </c>
      <c r="H463" s="4" t="s">
        <v>4072</v>
      </c>
      <c r="I463" s="3" t="s">
        <v>2685</v>
      </c>
      <c r="J463" s="3" t="s">
        <v>532</v>
      </c>
      <c r="K463" s="3" t="s">
        <v>2272</v>
      </c>
      <c r="L463" s="3" t="s">
        <v>2272</v>
      </c>
      <c r="M463" s="3" t="s">
        <v>2272</v>
      </c>
      <c r="N463" s="3" t="s">
        <v>2272</v>
      </c>
      <c r="O463" s="3" t="s">
        <v>2272</v>
      </c>
      <c r="P463" s="3" t="s">
        <v>2272</v>
      </c>
      <c r="Q463" s="3" t="s">
        <v>2272</v>
      </c>
      <c r="R463" s="3" t="s">
        <v>2272</v>
      </c>
      <c r="S463" s="3" t="s">
        <v>2272</v>
      </c>
      <c r="T463" s="3" t="s">
        <v>2272</v>
      </c>
      <c r="U463" s="3" t="s">
        <v>2272</v>
      </c>
      <c r="V463" s="3" t="s">
        <v>2272</v>
      </c>
      <c r="W463" s="4" t="s">
        <v>4079</v>
      </c>
    </row>
    <row r="464" spans="1:23" ht="44.5" customHeight="1">
      <c r="A464" s="23" t="s">
        <v>4055</v>
      </c>
      <c r="B464" s="11" t="s">
        <v>4075</v>
      </c>
      <c r="C464" s="3" t="s">
        <v>1102</v>
      </c>
      <c r="D464" s="3" t="s">
        <v>2272</v>
      </c>
      <c r="E464" s="3" t="s">
        <v>2272</v>
      </c>
      <c r="F464" s="4" t="s">
        <v>2657</v>
      </c>
      <c r="G464" s="11">
        <v>2005</v>
      </c>
      <c r="H464" s="4" t="s">
        <v>4072</v>
      </c>
      <c r="I464" s="3" t="s">
        <v>2685</v>
      </c>
      <c r="J464" s="3" t="s">
        <v>532</v>
      </c>
      <c r="K464" s="3" t="s">
        <v>2272</v>
      </c>
      <c r="L464" s="3" t="s">
        <v>2272</v>
      </c>
      <c r="M464" s="3" t="s">
        <v>2272</v>
      </c>
      <c r="N464" s="3" t="s">
        <v>2272</v>
      </c>
      <c r="O464" s="3" t="s">
        <v>2272</v>
      </c>
      <c r="P464" s="3" t="s">
        <v>2272</v>
      </c>
      <c r="Q464" s="3" t="s">
        <v>2272</v>
      </c>
      <c r="R464" s="3" t="s">
        <v>2272</v>
      </c>
      <c r="S464" s="3" t="s">
        <v>2272</v>
      </c>
      <c r="T464" s="3" t="s">
        <v>2272</v>
      </c>
      <c r="U464" s="3" t="s">
        <v>2272</v>
      </c>
      <c r="V464" s="3" t="s">
        <v>2272</v>
      </c>
      <c r="W464" s="4" t="s">
        <v>4079</v>
      </c>
    </row>
    <row r="465" spans="1:23" ht="44.5" customHeight="1">
      <c r="A465" s="23" t="s">
        <v>4056</v>
      </c>
      <c r="B465" s="11" t="s">
        <v>4076</v>
      </c>
      <c r="C465" s="3" t="s">
        <v>1102</v>
      </c>
      <c r="D465" s="3" t="s">
        <v>2272</v>
      </c>
      <c r="E465" s="3" t="s">
        <v>2272</v>
      </c>
      <c r="F465" s="4" t="s">
        <v>2657</v>
      </c>
      <c r="G465" s="11">
        <v>2005</v>
      </c>
      <c r="H465" s="4" t="s">
        <v>4072</v>
      </c>
      <c r="I465" s="3" t="s">
        <v>2685</v>
      </c>
      <c r="J465" s="3" t="s">
        <v>532</v>
      </c>
      <c r="K465" s="3" t="s">
        <v>2272</v>
      </c>
      <c r="L465" s="3" t="s">
        <v>2272</v>
      </c>
      <c r="M465" s="3" t="s">
        <v>2272</v>
      </c>
      <c r="N465" s="3" t="s">
        <v>2272</v>
      </c>
      <c r="O465" s="3" t="s">
        <v>2272</v>
      </c>
      <c r="P465" s="3" t="s">
        <v>2272</v>
      </c>
      <c r="Q465" s="3" t="s">
        <v>2272</v>
      </c>
      <c r="R465" s="3" t="s">
        <v>2272</v>
      </c>
      <c r="S465" s="3" t="s">
        <v>2272</v>
      </c>
      <c r="T465" s="3" t="s">
        <v>2272</v>
      </c>
      <c r="U465" s="3" t="s">
        <v>2272</v>
      </c>
      <c r="V465" s="3" t="s">
        <v>2272</v>
      </c>
      <c r="W465" s="4" t="s">
        <v>4079</v>
      </c>
    </row>
    <row r="466" spans="1:23" ht="44.5" customHeight="1">
      <c r="A466" s="23" t="s">
        <v>4057</v>
      </c>
      <c r="B466" s="11" t="s">
        <v>4077</v>
      </c>
      <c r="C466" s="3" t="s">
        <v>1102</v>
      </c>
      <c r="D466" s="3" t="s">
        <v>2272</v>
      </c>
      <c r="E466" s="3" t="s">
        <v>2272</v>
      </c>
      <c r="F466" s="4" t="s">
        <v>2657</v>
      </c>
      <c r="G466" s="11">
        <v>2005</v>
      </c>
      <c r="H466" s="4" t="s">
        <v>4072</v>
      </c>
      <c r="I466" s="3" t="s">
        <v>2685</v>
      </c>
      <c r="J466" s="3" t="s">
        <v>532</v>
      </c>
      <c r="K466" s="3" t="s">
        <v>2272</v>
      </c>
      <c r="L466" s="3" t="s">
        <v>2272</v>
      </c>
      <c r="M466" s="3" t="s">
        <v>2272</v>
      </c>
      <c r="N466" s="3" t="s">
        <v>2272</v>
      </c>
      <c r="O466" s="3" t="s">
        <v>2272</v>
      </c>
      <c r="P466" s="3" t="s">
        <v>2272</v>
      </c>
      <c r="Q466" s="3" t="s">
        <v>2272</v>
      </c>
      <c r="R466" s="3" t="s">
        <v>2272</v>
      </c>
      <c r="S466" s="3" t="s">
        <v>2272</v>
      </c>
      <c r="T466" s="3" t="s">
        <v>2272</v>
      </c>
      <c r="U466" s="3" t="s">
        <v>2272</v>
      </c>
      <c r="V466" s="3" t="s">
        <v>2272</v>
      </c>
      <c r="W466" s="4" t="s">
        <v>4079</v>
      </c>
    </row>
    <row r="467" spans="1:23" ht="44.5" customHeight="1">
      <c r="A467" s="23" t="s">
        <v>4058</v>
      </c>
      <c r="B467" s="11" t="s">
        <v>4063</v>
      </c>
      <c r="C467" s="3" t="s">
        <v>1102</v>
      </c>
      <c r="D467" s="3" t="s">
        <v>2272</v>
      </c>
      <c r="E467" s="3" t="s">
        <v>2272</v>
      </c>
      <c r="F467" s="4" t="s">
        <v>2657</v>
      </c>
      <c r="G467" s="11">
        <v>2005</v>
      </c>
      <c r="H467" s="4" t="s">
        <v>4072</v>
      </c>
      <c r="I467" s="3" t="s">
        <v>2685</v>
      </c>
      <c r="J467" s="3" t="s">
        <v>532</v>
      </c>
      <c r="K467" s="3" t="s">
        <v>2272</v>
      </c>
      <c r="L467" s="3" t="s">
        <v>2272</v>
      </c>
      <c r="M467" s="3" t="s">
        <v>2272</v>
      </c>
      <c r="N467" s="3" t="s">
        <v>2272</v>
      </c>
      <c r="O467" s="3" t="s">
        <v>2272</v>
      </c>
      <c r="P467" s="3" t="s">
        <v>2272</v>
      </c>
      <c r="Q467" s="3" t="s">
        <v>2272</v>
      </c>
      <c r="R467" s="3" t="s">
        <v>2272</v>
      </c>
      <c r="S467" s="3" t="s">
        <v>2272</v>
      </c>
      <c r="T467" s="3" t="s">
        <v>2272</v>
      </c>
      <c r="U467" s="3" t="s">
        <v>2272</v>
      </c>
      <c r="V467" s="3" t="s">
        <v>2272</v>
      </c>
      <c r="W467" s="4" t="s">
        <v>4079</v>
      </c>
    </row>
    <row r="468" spans="1:23" ht="40" customHeight="1">
      <c r="A468" s="11" t="s">
        <v>4103</v>
      </c>
      <c r="B468" s="3" t="s">
        <v>4113</v>
      </c>
      <c r="C468" s="3" t="s">
        <v>23</v>
      </c>
      <c r="D468" s="3" t="s">
        <v>2655</v>
      </c>
      <c r="E468" s="4" t="s">
        <v>5000</v>
      </c>
      <c r="F468" s="3" t="s">
        <v>54</v>
      </c>
      <c r="G468" s="3"/>
      <c r="H468" s="4" t="s">
        <v>2668</v>
      </c>
      <c r="I468" s="3" t="s">
        <v>2272</v>
      </c>
      <c r="J468" s="3" t="s">
        <v>2272</v>
      </c>
      <c r="K468" s="3" t="s">
        <v>2272</v>
      </c>
      <c r="L468" s="3" t="s">
        <v>2272</v>
      </c>
      <c r="M468" s="3" t="s">
        <v>2664</v>
      </c>
      <c r="N468" s="3" t="s">
        <v>2272</v>
      </c>
      <c r="O468" s="3" t="s">
        <v>2272</v>
      </c>
      <c r="P468" s="3" t="s">
        <v>2272</v>
      </c>
      <c r="Q468" s="3" t="s">
        <v>2272</v>
      </c>
      <c r="R468" s="3" t="s">
        <v>2272</v>
      </c>
      <c r="S468" s="3" t="s">
        <v>2272</v>
      </c>
      <c r="T468" s="3" t="s">
        <v>2272</v>
      </c>
      <c r="U468" s="3" t="s">
        <v>2272</v>
      </c>
      <c r="V468" s="3" t="s">
        <v>2272</v>
      </c>
      <c r="W468" s="4" t="s">
        <v>4121</v>
      </c>
    </row>
    <row r="469" spans="1:23" ht="40" customHeight="1">
      <c r="A469" s="11" t="s">
        <v>4103</v>
      </c>
      <c r="B469" s="3" t="s">
        <v>4114</v>
      </c>
      <c r="C469" s="3" t="s">
        <v>23</v>
      </c>
      <c r="D469" s="3" t="s">
        <v>2655</v>
      </c>
      <c r="E469" s="4" t="s">
        <v>44</v>
      </c>
      <c r="F469" s="3" t="s">
        <v>54</v>
      </c>
      <c r="G469" s="3"/>
      <c r="H469" s="4" t="s">
        <v>2668</v>
      </c>
      <c r="I469" s="3" t="s">
        <v>2272</v>
      </c>
      <c r="J469" s="3" t="s">
        <v>2272</v>
      </c>
      <c r="K469" s="3" t="s">
        <v>2272</v>
      </c>
      <c r="L469" s="3" t="s">
        <v>2272</v>
      </c>
      <c r="M469" s="3" t="s">
        <v>2664</v>
      </c>
      <c r="N469" s="3" t="s">
        <v>2272</v>
      </c>
      <c r="O469" s="3" t="s">
        <v>2272</v>
      </c>
      <c r="P469" s="3" t="s">
        <v>2272</v>
      </c>
      <c r="Q469" s="3" t="s">
        <v>2272</v>
      </c>
      <c r="R469" s="3" t="s">
        <v>2272</v>
      </c>
      <c r="S469" s="3" t="s">
        <v>2272</v>
      </c>
      <c r="T469" s="3" t="s">
        <v>2272</v>
      </c>
      <c r="U469" s="3" t="s">
        <v>2272</v>
      </c>
      <c r="V469" s="3" t="s">
        <v>2272</v>
      </c>
      <c r="W469" s="4" t="s">
        <v>4121</v>
      </c>
    </row>
    <row r="470" spans="1:23" ht="40" customHeight="1">
      <c r="A470" s="11" t="s">
        <v>4104</v>
      </c>
      <c r="B470" s="3" t="s">
        <v>4115</v>
      </c>
      <c r="C470" s="3" t="s">
        <v>23</v>
      </c>
      <c r="D470" s="3" t="s">
        <v>2655</v>
      </c>
      <c r="E470" s="4" t="s">
        <v>5000</v>
      </c>
      <c r="F470" s="3" t="s">
        <v>54</v>
      </c>
      <c r="G470" s="3">
        <v>1989</v>
      </c>
      <c r="H470" s="4" t="s">
        <v>2668</v>
      </c>
      <c r="I470" s="3" t="s">
        <v>2272</v>
      </c>
      <c r="J470" s="3" t="s">
        <v>2272</v>
      </c>
      <c r="K470" s="3" t="s">
        <v>2272</v>
      </c>
      <c r="L470" s="3" t="s">
        <v>2272</v>
      </c>
      <c r="M470" s="3" t="s">
        <v>2723</v>
      </c>
      <c r="N470" s="3" t="s">
        <v>2272</v>
      </c>
      <c r="O470" s="3" t="s">
        <v>2272</v>
      </c>
      <c r="P470" s="3" t="s">
        <v>2272</v>
      </c>
      <c r="Q470" s="3" t="s">
        <v>2272</v>
      </c>
      <c r="R470" s="3" t="s">
        <v>2272</v>
      </c>
      <c r="S470" s="3" t="s">
        <v>2272</v>
      </c>
      <c r="T470" s="3" t="s">
        <v>2272</v>
      </c>
      <c r="U470" s="3" t="s">
        <v>2272</v>
      </c>
      <c r="V470" s="3" t="s">
        <v>2272</v>
      </c>
      <c r="W470" s="3" t="s">
        <v>4120</v>
      </c>
    </row>
    <row r="471" spans="1:23" ht="40" customHeight="1">
      <c r="A471" s="11" t="s">
        <v>4104</v>
      </c>
      <c r="B471" s="3" t="s">
        <v>4116</v>
      </c>
      <c r="C471" s="3" t="s">
        <v>23</v>
      </c>
      <c r="D471" s="3" t="s">
        <v>2655</v>
      </c>
      <c r="E471" s="4" t="s">
        <v>44</v>
      </c>
      <c r="F471" s="3" t="s">
        <v>54</v>
      </c>
      <c r="G471" s="3">
        <v>1989</v>
      </c>
      <c r="H471" s="4" t="s">
        <v>2668</v>
      </c>
      <c r="I471" s="3" t="s">
        <v>2272</v>
      </c>
      <c r="J471" s="3" t="s">
        <v>2272</v>
      </c>
      <c r="K471" s="3" t="s">
        <v>2272</v>
      </c>
      <c r="L471" s="3" t="s">
        <v>2272</v>
      </c>
      <c r="M471" s="3" t="s">
        <v>2723</v>
      </c>
      <c r="N471" s="3" t="s">
        <v>2272</v>
      </c>
      <c r="O471" s="3" t="s">
        <v>2272</v>
      </c>
      <c r="P471" s="3" t="s">
        <v>2272</v>
      </c>
      <c r="Q471" s="3" t="s">
        <v>2272</v>
      </c>
      <c r="R471" s="3" t="s">
        <v>2272</v>
      </c>
      <c r="S471" s="3" t="s">
        <v>2272</v>
      </c>
      <c r="T471" s="3" t="s">
        <v>2272</v>
      </c>
      <c r="U471" s="3" t="s">
        <v>2272</v>
      </c>
      <c r="V471" s="3" t="s">
        <v>2272</v>
      </c>
      <c r="W471" s="3" t="s">
        <v>4120</v>
      </c>
    </row>
    <row r="472" spans="1:23" ht="64" customHeight="1">
      <c r="A472" s="11" t="s">
        <v>4124</v>
      </c>
      <c r="B472" s="11" t="s">
        <v>4128</v>
      </c>
      <c r="C472" s="3" t="s">
        <v>23</v>
      </c>
      <c r="D472" s="3" t="s">
        <v>2655</v>
      </c>
      <c r="E472" s="4" t="s">
        <v>5000</v>
      </c>
      <c r="F472" s="4" t="s">
        <v>2657</v>
      </c>
      <c r="G472" s="3"/>
      <c r="H472" s="4" t="s">
        <v>539</v>
      </c>
      <c r="I472" s="3" t="s">
        <v>2272</v>
      </c>
      <c r="J472" s="3" t="s">
        <v>2272</v>
      </c>
      <c r="K472" s="3" t="s">
        <v>2272</v>
      </c>
      <c r="L472" s="3" t="s">
        <v>2272</v>
      </c>
      <c r="M472" s="3" t="s">
        <v>2664</v>
      </c>
      <c r="N472" s="3" t="s">
        <v>2272</v>
      </c>
      <c r="O472" s="3" t="s">
        <v>2272</v>
      </c>
      <c r="P472" s="3" t="s">
        <v>2272</v>
      </c>
      <c r="Q472" s="3">
        <v>4</v>
      </c>
      <c r="R472" s="3" t="s">
        <v>2272</v>
      </c>
      <c r="S472" s="3" t="s">
        <v>2272</v>
      </c>
      <c r="T472" s="3" t="s">
        <v>2272</v>
      </c>
      <c r="U472" s="3" t="s">
        <v>2272</v>
      </c>
      <c r="V472" s="3" t="s">
        <v>2272</v>
      </c>
      <c r="W472" s="4" t="s">
        <v>4131</v>
      </c>
    </row>
    <row r="473" spans="1:23" ht="75.5" customHeight="1">
      <c r="A473" s="11" t="s">
        <v>4124</v>
      </c>
      <c r="B473" s="11" t="s">
        <v>4129</v>
      </c>
      <c r="C473" s="3" t="s">
        <v>23</v>
      </c>
      <c r="D473" s="3" t="s">
        <v>2655</v>
      </c>
      <c r="E473" s="4" t="s">
        <v>44</v>
      </c>
      <c r="F473" s="4" t="s">
        <v>2657</v>
      </c>
      <c r="G473" s="3"/>
      <c r="H473" s="4" t="s">
        <v>539</v>
      </c>
      <c r="I473" s="3" t="s">
        <v>2272</v>
      </c>
      <c r="J473" s="3" t="s">
        <v>2272</v>
      </c>
      <c r="K473" s="3" t="s">
        <v>2272</v>
      </c>
      <c r="L473" s="3" t="s">
        <v>2272</v>
      </c>
      <c r="M473" s="3" t="s">
        <v>2664</v>
      </c>
      <c r="N473" s="3" t="s">
        <v>2272</v>
      </c>
      <c r="O473" s="3" t="s">
        <v>2272</v>
      </c>
      <c r="P473" s="3" t="s">
        <v>2272</v>
      </c>
      <c r="Q473" s="3">
        <v>4</v>
      </c>
      <c r="R473" s="3" t="s">
        <v>2272</v>
      </c>
      <c r="S473" s="3" t="s">
        <v>2272</v>
      </c>
      <c r="T473" s="3" t="s">
        <v>2272</v>
      </c>
      <c r="U473" s="3" t="s">
        <v>2272</v>
      </c>
      <c r="V473" s="3" t="s">
        <v>2272</v>
      </c>
      <c r="W473" s="4" t="s">
        <v>4131</v>
      </c>
    </row>
    <row r="474" spans="1:23" ht="52" customHeight="1">
      <c r="A474" s="11" t="s">
        <v>4141</v>
      </c>
      <c r="B474" s="3" t="s">
        <v>4149</v>
      </c>
      <c r="C474" s="3" t="s">
        <v>23</v>
      </c>
      <c r="D474" s="3" t="s">
        <v>1102</v>
      </c>
      <c r="E474" s="4" t="s">
        <v>3849</v>
      </c>
      <c r="F474" s="3" t="s">
        <v>2272</v>
      </c>
      <c r="G474" s="3"/>
      <c r="H474" s="4" t="s">
        <v>539</v>
      </c>
      <c r="I474" s="3" t="s">
        <v>2272</v>
      </c>
      <c r="J474" s="3" t="s">
        <v>2272</v>
      </c>
      <c r="K474" s="3" t="s">
        <v>2272</v>
      </c>
      <c r="L474" s="3" t="s">
        <v>2272</v>
      </c>
      <c r="M474" s="3" t="s">
        <v>2272</v>
      </c>
      <c r="N474" s="3" t="s">
        <v>2272</v>
      </c>
      <c r="O474" s="3" t="s">
        <v>2272</v>
      </c>
      <c r="P474" s="3" t="s">
        <v>2272</v>
      </c>
      <c r="Q474" s="3" t="s">
        <v>2272</v>
      </c>
      <c r="R474" s="3" t="s">
        <v>532</v>
      </c>
      <c r="S474" s="3" t="s">
        <v>532</v>
      </c>
      <c r="T474" s="3" t="s">
        <v>532</v>
      </c>
      <c r="U474" s="3" t="s">
        <v>2272</v>
      </c>
      <c r="V474" s="3">
        <v>3</v>
      </c>
      <c r="W474" s="4" t="s">
        <v>4173</v>
      </c>
    </row>
    <row r="475" spans="1:23" ht="57.5" customHeight="1">
      <c r="A475" s="11" t="s">
        <v>4141</v>
      </c>
      <c r="B475" s="3" t="s">
        <v>4150</v>
      </c>
      <c r="C475" s="3" t="s">
        <v>23</v>
      </c>
      <c r="D475" s="3" t="s">
        <v>1102</v>
      </c>
      <c r="E475" s="4" t="s">
        <v>860</v>
      </c>
      <c r="F475" s="3" t="s">
        <v>2272</v>
      </c>
      <c r="G475" s="3"/>
      <c r="H475" s="4" t="s">
        <v>539</v>
      </c>
      <c r="I475" s="3" t="s">
        <v>2272</v>
      </c>
      <c r="J475" s="3" t="s">
        <v>2272</v>
      </c>
      <c r="K475" s="3" t="s">
        <v>2272</v>
      </c>
      <c r="L475" s="3" t="s">
        <v>2272</v>
      </c>
      <c r="M475" s="3" t="s">
        <v>2272</v>
      </c>
      <c r="N475" s="3" t="s">
        <v>2272</v>
      </c>
      <c r="O475" s="3" t="s">
        <v>2272</v>
      </c>
      <c r="P475" s="3" t="s">
        <v>2272</v>
      </c>
      <c r="Q475" s="3" t="s">
        <v>2272</v>
      </c>
      <c r="R475" s="3" t="s">
        <v>532</v>
      </c>
      <c r="S475" s="3" t="s">
        <v>532</v>
      </c>
      <c r="T475" s="3" t="s">
        <v>532</v>
      </c>
      <c r="U475" s="3" t="s">
        <v>2272</v>
      </c>
      <c r="V475" s="3">
        <v>3</v>
      </c>
      <c r="W475" s="4" t="s">
        <v>4173</v>
      </c>
    </row>
    <row r="476" spans="1:23" ht="53" customHeight="1">
      <c r="A476" s="11" t="s">
        <v>4142</v>
      </c>
      <c r="B476" s="3" t="s">
        <v>4159</v>
      </c>
      <c r="C476" s="3" t="s">
        <v>23</v>
      </c>
      <c r="D476" s="3" t="s">
        <v>1102</v>
      </c>
      <c r="E476" s="4" t="s">
        <v>5000</v>
      </c>
      <c r="F476" s="3" t="s">
        <v>2272</v>
      </c>
      <c r="G476" s="3"/>
      <c r="H476" s="4" t="s">
        <v>539</v>
      </c>
      <c r="I476" s="3" t="s">
        <v>2272</v>
      </c>
      <c r="J476" s="3" t="s">
        <v>2272</v>
      </c>
      <c r="K476" s="3" t="s">
        <v>2272</v>
      </c>
      <c r="L476" s="3" t="s">
        <v>2272</v>
      </c>
      <c r="M476" s="3" t="s">
        <v>2272</v>
      </c>
      <c r="N476" s="3" t="s">
        <v>2272</v>
      </c>
      <c r="O476" s="3" t="s">
        <v>2272</v>
      </c>
      <c r="P476" s="3" t="s">
        <v>2272</v>
      </c>
      <c r="Q476" s="3" t="s">
        <v>2272</v>
      </c>
      <c r="R476" s="3" t="s">
        <v>532</v>
      </c>
      <c r="S476" s="3" t="s">
        <v>532</v>
      </c>
      <c r="T476" s="3" t="s">
        <v>532</v>
      </c>
      <c r="U476" s="3" t="s">
        <v>2272</v>
      </c>
      <c r="V476" s="3">
        <v>3</v>
      </c>
      <c r="W476" s="4" t="s">
        <v>4173</v>
      </c>
    </row>
    <row r="477" spans="1:23" ht="52" customHeight="1">
      <c r="A477" s="11" t="s">
        <v>4142</v>
      </c>
      <c r="B477" s="3" t="s">
        <v>4160</v>
      </c>
      <c r="C477" s="3" t="s">
        <v>23</v>
      </c>
      <c r="D477" s="3" t="s">
        <v>1102</v>
      </c>
      <c r="E477" s="4" t="s">
        <v>44</v>
      </c>
      <c r="F477" s="3" t="s">
        <v>2272</v>
      </c>
      <c r="G477" s="3"/>
      <c r="H477" s="4" t="s">
        <v>539</v>
      </c>
      <c r="I477" s="3" t="s">
        <v>2272</v>
      </c>
      <c r="J477" s="3" t="s">
        <v>2272</v>
      </c>
      <c r="K477" s="3" t="s">
        <v>2272</v>
      </c>
      <c r="L477" s="3" t="s">
        <v>2272</v>
      </c>
      <c r="M477" s="3" t="s">
        <v>2272</v>
      </c>
      <c r="N477" s="3" t="s">
        <v>2272</v>
      </c>
      <c r="O477" s="3" t="s">
        <v>2272</v>
      </c>
      <c r="P477" s="3" t="s">
        <v>2272</v>
      </c>
      <c r="Q477" s="3" t="s">
        <v>2272</v>
      </c>
      <c r="R477" s="3" t="s">
        <v>532</v>
      </c>
      <c r="S477" s="3" t="s">
        <v>532</v>
      </c>
      <c r="T477" s="3" t="s">
        <v>532</v>
      </c>
      <c r="U477" s="3" t="s">
        <v>2272</v>
      </c>
      <c r="V477" s="3">
        <v>3</v>
      </c>
      <c r="W477" s="4" t="s">
        <v>4173</v>
      </c>
    </row>
    <row r="478" spans="1:23" ht="49" customHeight="1">
      <c r="A478" s="11" t="s">
        <v>4205</v>
      </c>
      <c r="B478" s="11" t="s">
        <v>4209</v>
      </c>
      <c r="C478" s="3" t="s">
        <v>23</v>
      </c>
      <c r="D478" s="3" t="s">
        <v>1102</v>
      </c>
      <c r="E478" s="3" t="s">
        <v>1102</v>
      </c>
      <c r="F478" s="3" t="s">
        <v>1102</v>
      </c>
      <c r="G478" s="3"/>
      <c r="H478" s="4" t="s">
        <v>539</v>
      </c>
      <c r="I478" s="3" t="s">
        <v>2272</v>
      </c>
      <c r="J478" s="3" t="s">
        <v>2272</v>
      </c>
      <c r="K478" s="3" t="s">
        <v>2272</v>
      </c>
      <c r="L478" s="3" t="s">
        <v>2272</v>
      </c>
      <c r="M478" s="3" t="s">
        <v>2272</v>
      </c>
      <c r="N478" s="3" t="s">
        <v>2272</v>
      </c>
      <c r="O478" s="3" t="s">
        <v>2272</v>
      </c>
      <c r="P478" s="3" t="s">
        <v>2272</v>
      </c>
      <c r="Q478" s="3" t="s">
        <v>2272</v>
      </c>
      <c r="R478" s="3" t="s">
        <v>535</v>
      </c>
      <c r="S478" s="3" t="s">
        <v>535</v>
      </c>
      <c r="T478" s="3" t="s">
        <v>535</v>
      </c>
      <c r="U478" s="3" t="s">
        <v>535</v>
      </c>
      <c r="V478" s="3" t="s">
        <v>2272</v>
      </c>
      <c r="W478" s="4" t="s">
        <v>4211</v>
      </c>
    </row>
    <row r="479" spans="1:23" ht="52.5" customHeight="1">
      <c r="A479" s="11" t="s">
        <v>4205</v>
      </c>
      <c r="B479" s="11" t="s">
        <v>4212</v>
      </c>
      <c r="C479" s="3" t="s">
        <v>23</v>
      </c>
      <c r="D479" s="3" t="s">
        <v>1102</v>
      </c>
      <c r="E479" s="3" t="s">
        <v>1102</v>
      </c>
      <c r="F479" s="3" t="s">
        <v>1102</v>
      </c>
      <c r="G479" s="3">
        <v>1974</v>
      </c>
      <c r="H479" s="4" t="s">
        <v>539</v>
      </c>
      <c r="I479" s="3" t="s">
        <v>2272</v>
      </c>
      <c r="J479" s="3" t="s">
        <v>2272</v>
      </c>
      <c r="K479" s="3" t="s">
        <v>2272</v>
      </c>
      <c r="L479" s="3" t="s">
        <v>2272</v>
      </c>
      <c r="M479" s="3" t="s">
        <v>2272</v>
      </c>
      <c r="N479" s="3" t="s">
        <v>2272</v>
      </c>
      <c r="O479" s="3" t="s">
        <v>2272</v>
      </c>
      <c r="P479" s="3" t="s">
        <v>2272</v>
      </c>
      <c r="Q479" s="3" t="s">
        <v>2272</v>
      </c>
      <c r="R479" s="3" t="s">
        <v>532</v>
      </c>
      <c r="S479" s="3" t="s">
        <v>535</v>
      </c>
      <c r="T479" s="3" t="s">
        <v>535</v>
      </c>
      <c r="U479" s="3" t="s">
        <v>535</v>
      </c>
      <c r="V479" s="3" t="s">
        <v>2272</v>
      </c>
      <c r="W479" s="4" t="s">
        <v>4213</v>
      </c>
    </row>
    <row r="480" spans="1:23" ht="67.5" customHeight="1">
      <c r="A480" s="11" t="s">
        <v>4215</v>
      </c>
      <c r="B480" s="11" t="s">
        <v>4219</v>
      </c>
      <c r="C480" s="3" t="s">
        <v>23</v>
      </c>
      <c r="D480" s="3" t="s">
        <v>1102</v>
      </c>
      <c r="E480" s="3" t="s">
        <v>1102</v>
      </c>
      <c r="F480" s="3" t="s">
        <v>1102</v>
      </c>
      <c r="G480" s="3"/>
      <c r="H480" s="4" t="s">
        <v>539</v>
      </c>
      <c r="I480" s="3" t="s">
        <v>2272</v>
      </c>
      <c r="J480" s="3" t="s">
        <v>2272</v>
      </c>
      <c r="K480" s="3" t="s">
        <v>2272</v>
      </c>
      <c r="L480" s="3" t="s">
        <v>2272</v>
      </c>
      <c r="M480" s="3" t="s">
        <v>2665</v>
      </c>
      <c r="N480" s="3" t="s">
        <v>532</v>
      </c>
      <c r="O480" s="3" t="s">
        <v>532</v>
      </c>
      <c r="P480" s="3" t="s">
        <v>2272</v>
      </c>
      <c r="Q480" s="3" t="s">
        <v>2272</v>
      </c>
      <c r="R480" s="3" t="s">
        <v>2272</v>
      </c>
      <c r="S480" s="3" t="s">
        <v>2272</v>
      </c>
      <c r="T480" s="3" t="s">
        <v>2272</v>
      </c>
      <c r="U480" s="3" t="s">
        <v>2272</v>
      </c>
      <c r="V480" s="3" t="s">
        <v>2272</v>
      </c>
      <c r="W480" s="19" t="s">
        <v>4249</v>
      </c>
    </row>
    <row r="481" spans="1:23" ht="92.5" customHeight="1">
      <c r="A481" s="11" t="s">
        <v>4216</v>
      </c>
      <c r="B481" s="11" t="s">
        <v>4227</v>
      </c>
      <c r="C481" s="3" t="s">
        <v>23</v>
      </c>
      <c r="D481" s="3" t="s">
        <v>1102</v>
      </c>
      <c r="E481" s="3" t="s">
        <v>1102</v>
      </c>
      <c r="F481" s="3" t="s">
        <v>1102</v>
      </c>
      <c r="G481" s="3"/>
      <c r="H481" s="4" t="s">
        <v>539</v>
      </c>
      <c r="I481" s="3" t="s">
        <v>2272</v>
      </c>
      <c r="J481" s="3" t="s">
        <v>2272</v>
      </c>
      <c r="K481" s="3" t="s">
        <v>2272</v>
      </c>
      <c r="L481" s="3" t="s">
        <v>2272</v>
      </c>
      <c r="M481" s="3" t="s">
        <v>2666</v>
      </c>
      <c r="N481" s="3" t="s">
        <v>532</v>
      </c>
      <c r="O481" s="3" t="s">
        <v>532</v>
      </c>
      <c r="P481" s="3" t="s">
        <v>2272</v>
      </c>
      <c r="Q481" s="3">
        <v>1</v>
      </c>
      <c r="R481" s="3" t="s">
        <v>2272</v>
      </c>
      <c r="S481" s="3" t="s">
        <v>2272</v>
      </c>
      <c r="T481" s="3" t="s">
        <v>2272</v>
      </c>
      <c r="U481" s="3" t="s">
        <v>2272</v>
      </c>
      <c r="V481" s="3" t="s">
        <v>2272</v>
      </c>
      <c r="W481" s="19" t="s">
        <v>4248</v>
      </c>
    </row>
    <row r="482" spans="1:23" ht="82" customHeight="1">
      <c r="A482" s="11" t="s">
        <v>4308</v>
      </c>
      <c r="B482" s="11" t="s">
        <v>4327</v>
      </c>
      <c r="C482" s="3" t="s">
        <v>23</v>
      </c>
      <c r="D482" s="3" t="s">
        <v>1102</v>
      </c>
      <c r="E482" s="3" t="s">
        <v>44</v>
      </c>
      <c r="F482" s="3" t="s">
        <v>73</v>
      </c>
      <c r="G482" s="3">
        <v>2007</v>
      </c>
      <c r="H482" s="4" t="s">
        <v>539</v>
      </c>
      <c r="I482" s="3" t="s">
        <v>2685</v>
      </c>
      <c r="J482" s="3" t="s">
        <v>532</v>
      </c>
      <c r="K482" s="3" t="s">
        <v>532</v>
      </c>
      <c r="L482" s="3" t="s">
        <v>2272</v>
      </c>
      <c r="M482" s="3" t="s">
        <v>2272</v>
      </c>
      <c r="N482" s="3" t="s">
        <v>2272</v>
      </c>
      <c r="O482" s="3" t="s">
        <v>2272</v>
      </c>
      <c r="P482" s="3" t="s">
        <v>2272</v>
      </c>
      <c r="Q482" s="3" t="s">
        <v>2272</v>
      </c>
      <c r="R482" s="3" t="s">
        <v>2272</v>
      </c>
      <c r="S482" s="3" t="s">
        <v>2272</v>
      </c>
      <c r="T482" s="3" t="s">
        <v>2272</v>
      </c>
      <c r="U482" s="3" t="s">
        <v>2272</v>
      </c>
      <c r="V482" s="3" t="s">
        <v>2272</v>
      </c>
      <c r="W482" s="4" t="s">
        <v>4352</v>
      </c>
    </row>
    <row r="483" spans="1:23" ht="82" customHeight="1">
      <c r="A483" s="11" t="s">
        <v>4312</v>
      </c>
      <c r="B483" s="11" t="s">
        <v>4328</v>
      </c>
      <c r="C483" s="3" t="s">
        <v>23</v>
      </c>
      <c r="D483" s="3" t="s">
        <v>1102</v>
      </c>
      <c r="E483" s="3" t="s">
        <v>44</v>
      </c>
      <c r="F483" s="3" t="s">
        <v>73</v>
      </c>
      <c r="G483" s="3">
        <v>2007</v>
      </c>
      <c r="H483" s="4" t="s">
        <v>539</v>
      </c>
      <c r="I483" s="3" t="s">
        <v>2685</v>
      </c>
      <c r="J483" s="3" t="s">
        <v>532</v>
      </c>
      <c r="K483" s="3" t="s">
        <v>532</v>
      </c>
      <c r="L483" s="3" t="s">
        <v>2272</v>
      </c>
      <c r="M483" s="3" t="s">
        <v>2272</v>
      </c>
      <c r="N483" s="3" t="s">
        <v>2272</v>
      </c>
      <c r="O483" s="3" t="s">
        <v>2272</v>
      </c>
      <c r="P483" s="3" t="s">
        <v>2272</v>
      </c>
      <c r="Q483" s="3" t="s">
        <v>2272</v>
      </c>
      <c r="R483" s="3" t="s">
        <v>2272</v>
      </c>
      <c r="S483" s="3" t="s">
        <v>2272</v>
      </c>
      <c r="T483" s="3" t="s">
        <v>2272</v>
      </c>
      <c r="U483" s="3" t="s">
        <v>2272</v>
      </c>
      <c r="V483" s="3" t="s">
        <v>2272</v>
      </c>
      <c r="W483" s="4" t="s">
        <v>4352</v>
      </c>
    </row>
    <row r="484" spans="1:23" ht="82" customHeight="1">
      <c r="A484" s="11" t="s">
        <v>4313</v>
      </c>
      <c r="B484" s="11" t="s">
        <v>4329</v>
      </c>
      <c r="C484" s="3" t="s">
        <v>23</v>
      </c>
      <c r="D484" s="3" t="s">
        <v>1102</v>
      </c>
      <c r="E484" s="3" t="s">
        <v>44</v>
      </c>
      <c r="F484" s="3" t="s">
        <v>73</v>
      </c>
      <c r="G484" s="3">
        <v>2007</v>
      </c>
      <c r="H484" s="4" t="s">
        <v>539</v>
      </c>
      <c r="I484" s="3" t="s">
        <v>2685</v>
      </c>
      <c r="J484" s="3" t="s">
        <v>532</v>
      </c>
      <c r="K484" s="3" t="s">
        <v>532</v>
      </c>
      <c r="L484" s="3" t="s">
        <v>2272</v>
      </c>
      <c r="M484" s="3" t="s">
        <v>2272</v>
      </c>
      <c r="N484" s="3" t="s">
        <v>2272</v>
      </c>
      <c r="O484" s="3" t="s">
        <v>2272</v>
      </c>
      <c r="P484" s="3" t="s">
        <v>2272</v>
      </c>
      <c r="Q484" s="3" t="s">
        <v>2272</v>
      </c>
      <c r="R484" s="3" t="s">
        <v>2272</v>
      </c>
      <c r="S484" s="3" t="s">
        <v>2272</v>
      </c>
      <c r="T484" s="3" t="s">
        <v>2272</v>
      </c>
      <c r="U484" s="3" t="s">
        <v>2272</v>
      </c>
      <c r="V484" s="3" t="s">
        <v>2272</v>
      </c>
      <c r="W484" s="4" t="s">
        <v>4352</v>
      </c>
    </row>
    <row r="485" spans="1:23" ht="82" customHeight="1">
      <c r="A485" s="11" t="s">
        <v>4314</v>
      </c>
      <c r="B485" s="11" t="s">
        <v>4330</v>
      </c>
      <c r="C485" s="3" t="s">
        <v>23</v>
      </c>
      <c r="D485" s="3" t="s">
        <v>1102</v>
      </c>
      <c r="E485" s="3" t="s">
        <v>44</v>
      </c>
      <c r="F485" s="3" t="s">
        <v>73</v>
      </c>
      <c r="G485" s="3">
        <v>2007</v>
      </c>
      <c r="H485" s="4" t="s">
        <v>539</v>
      </c>
      <c r="I485" s="3" t="s">
        <v>2685</v>
      </c>
      <c r="J485" s="3" t="s">
        <v>532</v>
      </c>
      <c r="K485" s="3" t="s">
        <v>532</v>
      </c>
      <c r="L485" s="3" t="s">
        <v>2272</v>
      </c>
      <c r="M485" s="3" t="s">
        <v>2272</v>
      </c>
      <c r="N485" s="3" t="s">
        <v>2272</v>
      </c>
      <c r="O485" s="3" t="s">
        <v>2272</v>
      </c>
      <c r="P485" s="3" t="s">
        <v>2272</v>
      </c>
      <c r="Q485" s="3" t="s">
        <v>2272</v>
      </c>
      <c r="R485" s="3" t="s">
        <v>2272</v>
      </c>
      <c r="S485" s="3" t="s">
        <v>2272</v>
      </c>
      <c r="T485" s="3" t="s">
        <v>2272</v>
      </c>
      <c r="U485" s="3" t="s">
        <v>2272</v>
      </c>
      <c r="V485" s="3" t="s">
        <v>2272</v>
      </c>
      <c r="W485" s="4" t="s">
        <v>4352</v>
      </c>
    </row>
    <row r="486" spans="1:23" ht="82" customHeight="1">
      <c r="A486" s="11" t="s">
        <v>4315</v>
      </c>
      <c r="B486" s="11" t="s">
        <v>4331</v>
      </c>
      <c r="C486" s="3" t="s">
        <v>23</v>
      </c>
      <c r="D486" s="3" t="s">
        <v>1102</v>
      </c>
      <c r="E486" s="3" t="s">
        <v>44</v>
      </c>
      <c r="F486" s="3" t="s">
        <v>73</v>
      </c>
      <c r="G486" s="3">
        <v>2007</v>
      </c>
      <c r="H486" s="4" t="s">
        <v>539</v>
      </c>
      <c r="I486" s="3" t="s">
        <v>2685</v>
      </c>
      <c r="J486" s="3" t="s">
        <v>532</v>
      </c>
      <c r="K486" s="3" t="s">
        <v>532</v>
      </c>
      <c r="L486" s="3" t="s">
        <v>2272</v>
      </c>
      <c r="M486" s="3" t="s">
        <v>2272</v>
      </c>
      <c r="N486" s="3" t="s">
        <v>2272</v>
      </c>
      <c r="O486" s="3" t="s">
        <v>2272</v>
      </c>
      <c r="P486" s="3" t="s">
        <v>2272</v>
      </c>
      <c r="Q486" s="3" t="s">
        <v>2272</v>
      </c>
      <c r="R486" s="3" t="s">
        <v>2272</v>
      </c>
      <c r="S486" s="3" t="s">
        <v>2272</v>
      </c>
      <c r="T486" s="3" t="s">
        <v>2272</v>
      </c>
      <c r="U486" s="3" t="s">
        <v>2272</v>
      </c>
      <c r="V486" s="3" t="s">
        <v>2272</v>
      </c>
      <c r="W486" s="4" t="s">
        <v>4352</v>
      </c>
    </row>
    <row r="487" spans="1:23" ht="82" customHeight="1">
      <c r="A487" s="11" t="s">
        <v>4316</v>
      </c>
      <c r="B487" s="11" t="s">
        <v>4332</v>
      </c>
      <c r="C487" s="3" t="s">
        <v>23</v>
      </c>
      <c r="D487" s="3" t="s">
        <v>1102</v>
      </c>
      <c r="E487" s="3" t="s">
        <v>44</v>
      </c>
      <c r="F487" s="3" t="s">
        <v>73</v>
      </c>
      <c r="G487" s="3">
        <v>2007</v>
      </c>
      <c r="H487" s="4" t="s">
        <v>539</v>
      </c>
      <c r="I487" s="3" t="s">
        <v>2685</v>
      </c>
      <c r="J487" s="3" t="s">
        <v>532</v>
      </c>
      <c r="K487" s="3" t="s">
        <v>532</v>
      </c>
      <c r="L487" s="3" t="s">
        <v>2272</v>
      </c>
      <c r="M487" s="3" t="s">
        <v>2272</v>
      </c>
      <c r="N487" s="3" t="s">
        <v>2272</v>
      </c>
      <c r="O487" s="3" t="s">
        <v>2272</v>
      </c>
      <c r="P487" s="3" t="s">
        <v>2272</v>
      </c>
      <c r="Q487" s="3" t="s">
        <v>2272</v>
      </c>
      <c r="R487" s="3" t="s">
        <v>2272</v>
      </c>
      <c r="S487" s="3" t="s">
        <v>2272</v>
      </c>
      <c r="T487" s="3" t="s">
        <v>2272</v>
      </c>
      <c r="U487" s="3" t="s">
        <v>2272</v>
      </c>
      <c r="V487" s="3" t="s">
        <v>2272</v>
      </c>
      <c r="W487" s="4" t="s">
        <v>4352</v>
      </c>
    </row>
    <row r="488" spans="1:23" ht="82" customHeight="1">
      <c r="A488" s="11" t="s">
        <v>4317</v>
      </c>
      <c r="B488" s="11" t="s">
        <v>4333</v>
      </c>
      <c r="C488" s="3" t="s">
        <v>23</v>
      </c>
      <c r="D488" s="3" t="s">
        <v>1102</v>
      </c>
      <c r="E488" s="3" t="s">
        <v>44</v>
      </c>
      <c r="F488" s="3" t="s">
        <v>73</v>
      </c>
      <c r="G488" s="3">
        <v>2007</v>
      </c>
      <c r="H488" s="4" t="s">
        <v>539</v>
      </c>
      <c r="I488" s="3" t="s">
        <v>2685</v>
      </c>
      <c r="J488" s="3" t="s">
        <v>532</v>
      </c>
      <c r="K488" s="3" t="s">
        <v>532</v>
      </c>
      <c r="L488" s="3" t="s">
        <v>2272</v>
      </c>
      <c r="M488" s="3" t="s">
        <v>2272</v>
      </c>
      <c r="N488" s="3" t="s">
        <v>2272</v>
      </c>
      <c r="O488" s="3" t="s">
        <v>2272</v>
      </c>
      <c r="P488" s="3" t="s">
        <v>2272</v>
      </c>
      <c r="Q488" s="3" t="s">
        <v>2272</v>
      </c>
      <c r="R488" s="3" t="s">
        <v>2272</v>
      </c>
      <c r="S488" s="3" t="s">
        <v>2272</v>
      </c>
      <c r="T488" s="3" t="s">
        <v>2272</v>
      </c>
      <c r="U488" s="3" t="s">
        <v>2272</v>
      </c>
      <c r="V488" s="3" t="s">
        <v>2272</v>
      </c>
      <c r="W488" s="4" t="s">
        <v>4352</v>
      </c>
    </row>
    <row r="489" spans="1:23" ht="82" customHeight="1">
      <c r="A489" s="11" t="s">
        <v>4318</v>
      </c>
      <c r="B489" s="11" t="s">
        <v>4334</v>
      </c>
      <c r="C489" s="3" t="s">
        <v>23</v>
      </c>
      <c r="D489" s="3" t="s">
        <v>1102</v>
      </c>
      <c r="E489" s="3" t="s">
        <v>44</v>
      </c>
      <c r="F489" s="3" t="s">
        <v>73</v>
      </c>
      <c r="G489" s="3">
        <v>2007</v>
      </c>
      <c r="H489" s="4" t="s">
        <v>539</v>
      </c>
      <c r="I489" s="3" t="s">
        <v>2685</v>
      </c>
      <c r="J489" s="3" t="s">
        <v>532</v>
      </c>
      <c r="K489" s="3" t="s">
        <v>532</v>
      </c>
      <c r="L489" s="3" t="s">
        <v>2272</v>
      </c>
      <c r="M489" s="3" t="s">
        <v>2272</v>
      </c>
      <c r="N489" s="3" t="s">
        <v>2272</v>
      </c>
      <c r="O489" s="3" t="s">
        <v>2272</v>
      </c>
      <c r="P489" s="3" t="s">
        <v>2272</v>
      </c>
      <c r="Q489" s="3" t="s">
        <v>2272</v>
      </c>
      <c r="R489" s="3" t="s">
        <v>2272</v>
      </c>
      <c r="S489" s="3" t="s">
        <v>2272</v>
      </c>
      <c r="T489" s="3" t="s">
        <v>2272</v>
      </c>
      <c r="U489" s="3" t="s">
        <v>2272</v>
      </c>
      <c r="V489" s="3" t="s">
        <v>2272</v>
      </c>
      <c r="W489" s="4" t="s">
        <v>4352</v>
      </c>
    </row>
    <row r="490" spans="1:23" ht="82" customHeight="1">
      <c r="A490" s="11" t="s">
        <v>4319</v>
      </c>
      <c r="B490" s="11" t="s">
        <v>4335</v>
      </c>
      <c r="C490" s="3" t="s">
        <v>23</v>
      </c>
      <c r="D490" s="3" t="s">
        <v>1102</v>
      </c>
      <c r="E490" s="3" t="s">
        <v>44</v>
      </c>
      <c r="F490" s="3" t="s">
        <v>73</v>
      </c>
      <c r="G490" s="3">
        <v>2007</v>
      </c>
      <c r="H490" s="4" t="s">
        <v>539</v>
      </c>
      <c r="I490" s="3" t="s">
        <v>2685</v>
      </c>
      <c r="J490" s="3" t="s">
        <v>532</v>
      </c>
      <c r="K490" s="3" t="s">
        <v>532</v>
      </c>
      <c r="L490" s="3" t="s">
        <v>2272</v>
      </c>
      <c r="M490" s="3" t="s">
        <v>2272</v>
      </c>
      <c r="N490" s="3" t="s">
        <v>2272</v>
      </c>
      <c r="O490" s="3" t="s">
        <v>2272</v>
      </c>
      <c r="P490" s="3" t="s">
        <v>2272</v>
      </c>
      <c r="Q490" s="3" t="s">
        <v>2272</v>
      </c>
      <c r="R490" s="3" t="s">
        <v>2272</v>
      </c>
      <c r="S490" s="3" t="s">
        <v>2272</v>
      </c>
      <c r="T490" s="3" t="s">
        <v>2272</v>
      </c>
      <c r="U490" s="3" t="s">
        <v>2272</v>
      </c>
      <c r="V490" s="3" t="s">
        <v>2272</v>
      </c>
      <c r="W490" s="4" t="s">
        <v>4352</v>
      </c>
    </row>
    <row r="491" spans="1:23" ht="82" customHeight="1">
      <c r="A491" s="11" t="s">
        <v>4320</v>
      </c>
      <c r="B491" s="11" t="s">
        <v>4336</v>
      </c>
      <c r="C491" s="3" t="s">
        <v>23</v>
      </c>
      <c r="D491" s="3" t="s">
        <v>1102</v>
      </c>
      <c r="E491" s="3" t="s">
        <v>44</v>
      </c>
      <c r="F491" s="3" t="s">
        <v>73</v>
      </c>
      <c r="G491" s="3">
        <v>2007</v>
      </c>
      <c r="H491" s="4" t="s">
        <v>539</v>
      </c>
      <c r="I491" s="3" t="s">
        <v>2685</v>
      </c>
      <c r="J491" s="3" t="s">
        <v>532</v>
      </c>
      <c r="K491" s="3" t="s">
        <v>532</v>
      </c>
      <c r="L491" s="3" t="s">
        <v>2272</v>
      </c>
      <c r="M491" s="3" t="s">
        <v>2272</v>
      </c>
      <c r="N491" s="3" t="s">
        <v>2272</v>
      </c>
      <c r="O491" s="3" t="s">
        <v>2272</v>
      </c>
      <c r="P491" s="3" t="s">
        <v>2272</v>
      </c>
      <c r="Q491" s="3" t="s">
        <v>2272</v>
      </c>
      <c r="R491" s="3" t="s">
        <v>2272</v>
      </c>
      <c r="S491" s="3" t="s">
        <v>2272</v>
      </c>
      <c r="T491" s="3" t="s">
        <v>2272</v>
      </c>
      <c r="U491" s="3" t="s">
        <v>2272</v>
      </c>
      <c r="V491" s="3" t="s">
        <v>2272</v>
      </c>
      <c r="W491" s="4" t="s">
        <v>4352</v>
      </c>
    </row>
    <row r="492" spans="1:23" ht="82" customHeight="1">
      <c r="A492" s="11" t="s">
        <v>4321</v>
      </c>
      <c r="B492" s="11" t="s">
        <v>4337</v>
      </c>
      <c r="C492" s="3" t="s">
        <v>23</v>
      </c>
      <c r="D492" s="3" t="s">
        <v>1102</v>
      </c>
      <c r="E492" s="3" t="s">
        <v>44</v>
      </c>
      <c r="F492" s="3" t="s">
        <v>73</v>
      </c>
      <c r="G492" s="3">
        <v>2007</v>
      </c>
      <c r="H492" s="4" t="s">
        <v>539</v>
      </c>
      <c r="I492" s="3" t="s">
        <v>2685</v>
      </c>
      <c r="J492" s="3" t="s">
        <v>532</v>
      </c>
      <c r="K492" s="3" t="s">
        <v>532</v>
      </c>
      <c r="L492" s="3" t="s">
        <v>2272</v>
      </c>
      <c r="M492" s="3" t="s">
        <v>2272</v>
      </c>
      <c r="N492" s="3" t="s">
        <v>2272</v>
      </c>
      <c r="O492" s="3" t="s">
        <v>2272</v>
      </c>
      <c r="P492" s="3" t="s">
        <v>2272</v>
      </c>
      <c r="Q492" s="3" t="s">
        <v>2272</v>
      </c>
      <c r="R492" s="3" t="s">
        <v>2272</v>
      </c>
      <c r="S492" s="3" t="s">
        <v>2272</v>
      </c>
      <c r="T492" s="3" t="s">
        <v>2272</v>
      </c>
      <c r="U492" s="3" t="s">
        <v>2272</v>
      </c>
      <c r="V492" s="3" t="s">
        <v>2272</v>
      </c>
      <c r="W492" s="4" t="s">
        <v>4352</v>
      </c>
    </row>
    <row r="493" spans="1:23" ht="82" customHeight="1">
      <c r="A493" s="11" t="s">
        <v>4308</v>
      </c>
      <c r="B493" s="11" t="s">
        <v>4340</v>
      </c>
      <c r="C493" s="3" t="s">
        <v>23</v>
      </c>
      <c r="D493" s="3" t="s">
        <v>1102</v>
      </c>
      <c r="E493" s="3" t="s">
        <v>44</v>
      </c>
      <c r="F493" s="4" t="s">
        <v>2657</v>
      </c>
      <c r="G493" s="3">
        <v>2007</v>
      </c>
      <c r="H493" s="4" t="s">
        <v>539</v>
      </c>
      <c r="I493" s="3" t="s">
        <v>2685</v>
      </c>
      <c r="J493" s="3" t="s">
        <v>532</v>
      </c>
      <c r="K493" s="3" t="s">
        <v>532</v>
      </c>
      <c r="L493" s="3" t="s">
        <v>2272</v>
      </c>
      <c r="M493" s="3" t="s">
        <v>2272</v>
      </c>
      <c r="N493" s="3" t="s">
        <v>2272</v>
      </c>
      <c r="O493" s="3" t="s">
        <v>2272</v>
      </c>
      <c r="P493" s="3" t="s">
        <v>2272</v>
      </c>
      <c r="Q493" s="3" t="s">
        <v>2272</v>
      </c>
      <c r="R493" s="3" t="s">
        <v>2272</v>
      </c>
      <c r="S493" s="3" t="s">
        <v>2272</v>
      </c>
      <c r="T493" s="3" t="s">
        <v>2272</v>
      </c>
      <c r="U493" s="3" t="s">
        <v>2272</v>
      </c>
      <c r="V493" s="3" t="s">
        <v>2272</v>
      </c>
      <c r="W493" s="4" t="s">
        <v>4352</v>
      </c>
    </row>
    <row r="494" spans="1:23" ht="82" customHeight="1">
      <c r="A494" s="11" t="s">
        <v>4312</v>
      </c>
      <c r="B494" s="11" t="s">
        <v>4341</v>
      </c>
      <c r="C494" s="3" t="s">
        <v>23</v>
      </c>
      <c r="D494" s="3" t="s">
        <v>1102</v>
      </c>
      <c r="E494" s="3" t="s">
        <v>44</v>
      </c>
      <c r="F494" s="4" t="s">
        <v>2657</v>
      </c>
      <c r="G494" s="3">
        <v>2007</v>
      </c>
      <c r="H494" s="4" t="s">
        <v>539</v>
      </c>
      <c r="I494" s="3" t="s">
        <v>2685</v>
      </c>
      <c r="J494" s="3" t="s">
        <v>532</v>
      </c>
      <c r="K494" s="3" t="s">
        <v>532</v>
      </c>
      <c r="L494" s="3" t="s">
        <v>2272</v>
      </c>
      <c r="M494" s="3" t="s">
        <v>2272</v>
      </c>
      <c r="N494" s="3" t="s">
        <v>2272</v>
      </c>
      <c r="O494" s="3" t="s">
        <v>2272</v>
      </c>
      <c r="P494" s="3" t="s">
        <v>2272</v>
      </c>
      <c r="Q494" s="3" t="s">
        <v>2272</v>
      </c>
      <c r="R494" s="3" t="s">
        <v>2272</v>
      </c>
      <c r="S494" s="3" t="s">
        <v>2272</v>
      </c>
      <c r="T494" s="3" t="s">
        <v>2272</v>
      </c>
      <c r="U494" s="3" t="s">
        <v>2272</v>
      </c>
      <c r="V494" s="3" t="s">
        <v>2272</v>
      </c>
      <c r="W494" s="4" t="s">
        <v>4352</v>
      </c>
    </row>
    <row r="495" spans="1:23" ht="82" customHeight="1">
      <c r="A495" s="11" t="s">
        <v>4313</v>
      </c>
      <c r="B495" s="11" t="s">
        <v>4342</v>
      </c>
      <c r="C495" s="3" t="s">
        <v>23</v>
      </c>
      <c r="D495" s="3" t="s">
        <v>1102</v>
      </c>
      <c r="E495" s="3" t="s">
        <v>44</v>
      </c>
      <c r="F495" s="4" t="s">
        <v>2657</v>
      </c>
      <c r="G495" s="3">
        <v>2007</v>
      </c>
      <c r="H495" s="4" t="s">
        <v>539</v>
      </c>
      <c r="I495" s="3" t="s">
        <v>2685</v>
      </c>
      <c r="J495" s="3" t="s">
        <v>532</v>
      </c>
      <c r="K495" s="3" t="s">
        <v>532</v>
      </c>
      <c r="L495" s="3" t="s">
        <v>2272</v>
      </c>
      <c r="M495" s="3" t="s">
        <v>2272</v>
      </c>
      <c r="N495" s="3" t="s">
        <v>2272</v>
      </c>
      <c r="O495" s="3" t="s">
        <v>2272</v>
      </c>
      <c r="P495" s="3" t="s">
        <v>2272</v>
      </c>
      <c r="Q495" s="3" t="s">
        <v>2272</v>
      </c>
      <c r="R495" s="3" t="s">
        <v>2272</v>
      </c>
      <c r="S495" s="3" t="s">
        <v>2272</v>
      </c>
      <c r="T495" s="3" t="s">
        <v>2272</v>
      </c>
      <c r="U495" s="3" t="s">
        <v>2272</v>
      </c>
      <c r="V495" s="3" t="s">
        <v>2272</v>
      </c>
      <c r="W495" s="4" t="s">
        <v>4352</v>
      </c>
    </row>
    <row r="496" spans="1:23" ht="82" customHeight="1">
      <c r="A496" s="11" t="s">
        <v>4314</v>
      </c>
      <c r="B496" s="11" t="s">
        <v>4343</v>
      </c>
      <c r="C496" s="3" t="s">
        <v>23</v>
      </c>
      <c r="D496" s="3" t="s">
        <v>1102</v>
      </c>
      <c r="E496" s="3" t="s">
        <v>44</v>
      </c>
      <c r="F496" s="4" t="s">
        <v>2657</v>
      </c>
      <c r="G496" s="3">
        <v>2007</v>
      </c>
      <c r="H496" s="4" t="s">
        <v>539</v>
      </c>
      <c r="I496" s="3" t="s">
        <v>2685</v>
      </c>
      <c r="J496" s="3" t="s">
        <v>532</v>
      </c>
      <c r="K496" s="3" t="s">
        <v>532</v>
      </c>
      <c r="L496" s="3" t="s">
        <v>2272</v>
      </c>
      <c r="M496" s="3" t="s">
        <v>2272</v>
      </c>
      <c r="N496" s="3" t="s">
        <v>2272</v>
      </c>
      <c r="O496" s="3" t="s">
        <v>2272</v>
      </c>
      <c r="P496" s="3" t="s">
        <v>2272</v>
      </c>
      <c r="Q496" s="3" t="s">
        <v>2272</v>
      </c>
      <c r="R496" s="3" t="s">
        <v>2272</v>
      </c>
      <c r="S496" s="3" t="s">
        <v>2272</v>
      </c>
      <c r="T496" s="3" t="s">
        <v>2272</v>
      </c>
      <c r="U496" s="3" t="s">
        <v>2272</v>
      </c>
      <c r="V496" s="3" t="s">
        <v>2272</v>
      </c>
      <c r="W496" s="4" t="s">
        <v>4352</v>
      </c>
    </row>
    <row r="497" spans="1:23" ht="82" customHeight="1">
      <c r="A497" s="11" t="s">
        <v>4315</v>
      </c>
      <c r="B497" s="11" t="s">
        <v>4344</v>
      </c>
      <c r="C497" s="3" t="s">
        <v>23</v>
      </c>
      <c r="D497" s="3" t="s">
        <v>1102</v>
      </c>
      <c r="E497" s="3" t="s">
        <v>44</v>
      </c>
      <c r="F497" s="4" t="s">
        <v>2657</v>
      </c>
      <c r="G497" s="3">
        <v>2007</v>
      </c>
      <c r="H497" s="4" t="s">
        <v>539</v>
      </c>
      <c r="I497" s="3" t="s">
        <v>2685</v>
      </c>
      <c r="J497" s="3" t="s">
        <v>532</v>
      </c>
      <c r="K497" s="3" t="s">
        <v>532</v>
      </c>
      <c r="L497" s="3" t="s">
        <v>2272</v>
      </c>
      <c r="M497" s="3" t="s">
        <v>2272</v>
      </c>
      <c r="N497" s="3" t="s">
        <v>2272</v>
      </c>
      <c r="O497" s="3" t="s">
        <v>2272</v>
      </c>
      <c r="P497" s="3" t="s">
        <v>2272</v>
      </c>
      <c r="Q497" s="3" t="s">
        <v>2272</v>
      </c>
      <c r="R497" s="3" t="s">
        <v>2272</v>
      </c>
      <c r="S497" s="3" t="s">
        <v>2272</v>
      </c>
      <c r="T497" s="3" t="s">
        <v>2272</v>
      </c>
      <c r="U497" s="3" t="s">
        <v>2272</v>
      </c>
      <c r="V497" s="3" t="s">
        <v>2272</v>
      </c>
      <c r="W497" s="4" t="s">
        <v>4352</v>
      </c>
    </row>
    <row r="498" spans="1:23" ht="82" customHeight="1">
      <c r="A498" s="11" t="s">
        <v>4316</v>
      </c>
      <c r="B498" s="11" t="s">
        <v>4345</v>
      </c>
      <c r="C498" s="3" t="s">
        <v>23</v>
      </c>
      <c r="D498" s="3" t="s">
        <v>1102</v>
      </c>
      <c r="E498" s="3" t="s">
        <v>44</v>
      </c>
      <c r="F498" s="4" t="s">
        <v>2657</v>
      </c>
      <c r="G498" s="3">
        <v>2007</v>
      </c>
      <c r="H498" s="4" t="s">
        <v>539</v>
      </c>
      <c r="I498" s="3" t="s">
        <v>2685</v>
      </c>
      <c r="J498" s="3" t="s">
        <v>532</v>
      </c>
      <c r="K498" s="3" t="s">
        <v>532</v>
      </c>
      <c r="L498" s="3" t="s">
        <v>2272</v>
      </c>
      <c r="M498" s="3" t="s">
        <v>2272</v>
      </c>
      <c r="N498" s="3" t="s">
        <v>2272</v>
      </c>
      <c r="O498" s="3" t="s">
        <v>2272</v>
      </c>
      <c r="P498" s="3" t="s">
        <v>2272</v>
      </c>
      <c r="Q498" s="3" t="s">
        <v>2272</v>
      </c>
      <c r="R498" s="3" t="s">
        <v>2272</v>
      </c>
      <c r="S498" s="3" t="s">
        <v>2272</v>
      </c>
      <c r="T498" s="3" t="s">
        <v>2272</v>
      </c>
      <c r="U498" s="3" t="s">
        <v>2272</v>
      </c>
      <c r="V498" s="3" t="s">
        <v>2272</v>
      </c>
      <c r="W498" s="4" t="s">
        <v>4352</v>
      </c>
    </row>
    <row r="499" spans="1:23" ht="82" customHeight="1">
      <c r="A499" s="11" t="s">
        <v>4317</v>
      </c>
      <c r="B499" s="11" t="s">
        <v>4346</v>
      </c>
      <c r="C499" s="3" t="s">
        <v>23</v>
      </c>
      <c r="D499" s="3" t="s">
        <v>1102</v>
      </c>
      <c r="E499" s="3" t="s">
        <v>44</v>
      </c>
      <c r="F499" s="4" t="s">
        <v>2657</v>
      </c>
      <c r="G499" s="3">
        <v>2007</v>
      </c>
      <c r="H499" s="4" t="s">
        <v>539</v>
      </c>
      <c r="I499" s="3" t="s">
        <v>2685</v>
      </c>
      <c r="J499" s="3" t="s">
        <v>532</v>
      </c>
      <c r="K499" s="3" t="s">
        <v>532</v>
      </c>
      <c r="L499" s="3" t="s">
        <v>2272</v>
      </c>
      <c r="M499" s="3" t="s">
        <v>2272</v>
      </c>
      <c r="N499" s="3" t="s">
        <v>2272</v>
      </c>
      <c r="O499" s="3" t="s">
        <v>2272</v>
      </c>
      <c r="P499" s="3" t="s">
        <v>2272</v>
      </c>
      <c r="Q499" s="3" t="s">
        <v>2272</v>
      </c>
      <c r="R499" s="3" t="s">
        <v>2272</v>
      </c>
      <c r="S499" s="3" t="s">
        <v>2272</v>
      </c>
      <c r="T499" s="3" t="s">
        <v>2272</v>
      </c>
      <c r="U499" s="3" t="s">
        <v>2272</v>
      </c>
      <c r="V499" s="3" t="s">
        <v>2272</v>
      </c>
      <c r="W499" s="4" t="s">
        <v>4352</v>
      </c>
    </row>
    <row r="500" spans="1:23" ht="82" customHeight="1">
      <c r="A500" s="11" t="s">
        <v>4318</v>
      </c>
      <c r="B500" s="11" t="s">
        <v>4347</v>
      </c>
      <c r="C500" s="3" t="s">
        <v>23</v>
      </c>
      <c r="D500" s="3" t="s">
        <v>1102</v>
      </c>
      <c r="E500" s="3" t="s">
        <v>44</v>
      </c>
      <c r="F500" s="4" t="s">
        <v>2657</v>
      </c>
      <c r="G500" s="3">
        <v>2007</v>
      </c>
      <c r="H500" s="4" t="s">
        <v>539</v>
      </c>
      <c r="I500" s="3" t="s">
        <v>2685</v>
      </c>
      <c r="J500" s="3" t="s">
        <v>532</v>
      </c>
      <c r="K500" s="3" t="s">
        <v>532</v>
      </c>
      <c r="L500" s="3" t="s">
        <v>2272</v>
      </c>
      <c r="M500" s="3" t="s">
        <v>2272</v>
      </c>
      <c r="N500" s="3" t="s">
        <v>2272</v>
      </c>
      <c r="O500" s="3" t="s">
        <v>2272</v>
      </c>
      <c r="P500" s="3" t="s">
        <v>2272</v>
      </c>
      <c r="Q500" s="3" t="s">
        <v>2272</v>
      </c>
      <c r="R500" s="3" t="s">
        <v>2272</v>
      </c>
      <c r="S500" s="3" t="s">
        <v>2272</v>
      </c>
      <c r="T500" s="3" t="s">
        <v>2272</v>
      </c>
      <c r="U500" s="3" t="s">
        <v>2272</v>
      </c>
      <c r="V500" s="3" t="s">
        <v>2272</v>
      </c>
      <c r="W500" s="4" t="s">
        <v>4352</v>
      </c>
    </row>
    <row r="501" spans="1:23" ht="82" customHeight="1">
      <c r="A501" s="11" t="s">
        <v>4319</v>
      </c>
      <c r="B501" s="11" t="s">
        <v>4348</v>
      </c>
      <c r="C501" s="3" t="s">
        <v>23</v>
      </c>
      <c r="D501" s="3" t="s">
        <v>1102</v>
      </c>
      <c r="E501" s="3" t="s">
        <v>44</v>
      </c>
      <c r="F501" s="4" t="s">
        <v>2657</v>
      </c>
      <c r="G501" s="3">
        <v>2007</v>
      </c>
      <c r="H501" s="4" t="s">
        <v>539</v>
      </c>
      <c r="I501" s="3" t="s">
        <v>2685</v>
      </c>
      <c r="J501" s="3" t="s">
        <v>532</v>
      </c>
      <c r="K501" s="3" t="s">
        <v>532</v>
      </c>
      <c r="L501" s="3" t="s">
        <v>2272</v>
      </c>
      <c r="M501" s="3" t="s">
        <v>2272</v>
      </c>
      <c r="N501" s="3" t="s">
        <v>2272</v>
      </c>
      <c r="O501" s="3" t="s">
        <v>2272</v>
      </c>
      <c r="P501" s="3" t="s">
        <v>2272</v>
      </c>
      <c r="Q501" s="3" t="s">
        <v>2272</v>
      </c>
      <c r="R501" s="3" t="s">
        <v>2272</v>
      </c>
      <c r="S501" s="3" t="s">
        <v>2272</v>
      </c>
      <c r="T501" s="3" t="s">
        <v>2272</v>
      </c>
      <c r="U501" s="3" t="s">
        <v>2272</v>
      </c>
      <c r="V501" s="3" t="s">
        <v>2272</v>
      </c>
      <c r="W501" s="4" t="s">
        <v>4352</v>
      </c>
    </row>
    <row r="502" spans="1:23" ht="82" customHeight="1">
      <c r="A502" s="11" t="s">
        <v>4320</v>
      </c>
      <c r="B502" s="11" t="s">
        <v>4349</v>
      </c>
      <c r="C502" s="3" t="s">
        <v>23</v>
      </c>
      <c r="D502" s="3" t="s">
        <v>1102</v>
      </c>
      <c r="E502" s="3" t="s">
        <v>44</v>
      </c>
      <c r="F502" s="4" t="s">
        <v>2657</v>
      </c>
      <c r="G502" s="3">
        <v>2007</v>
      </c>
      <c r="H502" s="4" t="s">
        <v>539</v>
      </c>
      <c r="I502" s="3" t="s">
        <v>2685</v>
      </c>
      <c r="J502" s="3" t="s">
        <v>532</v>
      </c>
      <c r="K502" s="3" t="s">
        <v>532</v>
      </c>
      <c r="L502" s="3" t="s">
        <v>2272</v>
      </c>
      <c r="M502" s="3" t="s">
        <v>2272</v>
      </c>
      <c r="N502" s="3" t="s">
        <v>2272</v>
      </c>
      <c r="O502" s="3" t="s">
        <v>2272</v>
      </c>
      <c r="P502" s="3" t="s">
        <v>2272</v>
      </c>
      <c r="Q502" s="3" t="s">
        <v>2272</v>
      </c>
      <c r="R502" s="3" t="s">
        <v>2272</v>
      </c>
      <c r="S502" s="3" t="s">
        <v>2272</v>
      </c>
      <c r="T502" s="3" t="s">
        <v>2272</v>
      </c>
      <c r="U502" s="3" t="s">
        <v>2272</v>
      </c>
      <c r="V502" s="3" t="s">
        <v>2272</v>
      </c>
      <c r="W502" s="4" t="s">
        <v>4352</v>
      </c>
    </row>
    <row r="503" spans="1:23" ht="82" customHeight="1">
      <c r="A503" s="11" t="s">
        <v>4321</v>
      </c>
      <c r="B503" s="11" t="s">
        <v>4350</v>
      </c>
      <c r="C503" s="3" t="s">
        <v>23</v>
      </c>
      <c r="D503" s="3" t="s">
        <v>1102</v>
      </c>
      <c r="E503" s="3" t="s">
        <v>44</v>
      </c>
      <c r="F503" s="4" t="s">
        <v>2657</v>
      </c>
      <c r="G503" s="3">
        <v>2007</v>
      </c>
      <c r="H503" s="4" t="s">
        <v>539</v>
      </c>
      <c r="I503" s="3" t="s">
        <v>2685</v>
      </c>
      <c r="J503" s="3" t="s">
        <v>532</v>
      </c>
      <c r="K503" s="3" t="s">
        <v>532</v>
      </c>
      <c r="L503" s="3" t="s">
        <v>2272</v>
      </c>
      <c r="M503" s="3" t="s">
        <v>2272</v>
      </c>
      <c r="N503" s="3" t="s">
        <v>2272</v>
      </c>
      <c r="O503" s="3" t="s">
        <v>2272</v>
      </c>
      <c r="P503" s="3" t="s">
        <v>2272</v>
      </c>
      <c r="Q503" s="3" t="s">
        <v>2272</v>
      </c>
      <c r="R503" s="3" t="s">
        <v>2272</v>
      </c>
      <c r="S503" s="3" t="s">
        <v>2272</v>
      </c>
      <c r="T503" s="3" t="s">
        <v>2272</v>
      </c>
      <c r="U503" s="3" t="s">
        <v>2272</v>
      </c>
      <c r="V503" s="3" t="s">
        <v>2272</v>
      </c>
      <c r="W503" s="4" t="s">
        <v>4352</v>
      </c>
    </row>
    <row r="504" spans="1:23" ht="53.5" customHeight="1">
      <c r="A504" s="3" t="s">
        <v>4355</v>
      </c>
      <c r="B504" s="11" t="s">
        <v>4358</v>
      </c>
      <c r="C504" s="3" t="s">
        <v>23</v>
      </c>
      <c r="D504" s="3" t="s">
        <v>1102</v>
      </c>
      <c r="E504" s="3" t="s">
        <v>1102</v>
      </c>
      <c r="F504" s="3" t="s">
        <v>2272</v>
      </c>
      <c r="G504" s="3"/>
      <c r="H504" s="4" t="s">
        <v>539</v>
      </c>
      <c r="I504" s="3" t="s">
        <v>2272</v>
      </c>
      <c r="J504" s="3" t="s">
        <v>2272</v>
      </c>
      <c r="K504" s="3" t="s">
        <v>2272</v>
      </c>
      <c r="L504" s="3" t="s">
        <v>2272</v>
      </c>
      <c r="M504" s="3" t="s">
        <v>535</v>
      </c>
      <c r="N504" s="3" t="s">
        <v>535</v>
      </c>
      <c r="O504" s="3" t="s">
        <v>535</v>
      </c>
      <c r="P504" s="3" t="s">
        <v>535</v>
      </c>
      <c r="Q504" s="3" t="s">
        <v>2272</v>
      </c>
      <c r="R504" s="3" t="s">
        <v>535</v>
      </c>
      <c r="S504" s="3" t="s">
        <v>535</v>
      </c>
      <c r="T504" s="3" t="s">
        <v>535</v>
      </c>
      <c r="U504" s="3" t="s">
        <v>535</v>
      </c>
      <c r="V504" s="3" t="s">
        <v>2272</v>
      </c>
      <c r="W504" s="19" t="s">
        <v>4374</v>
      </c>
    </row>
    <row r="505" spans="1:23" ht="115.5" customHeight="1">
      <c r="A505" s="3" t="s">
        <v>4357</v>
      </c>
      <c r="B505" s="11" t="s">
        <v>4361</v>
      </c>
      <c r="C505" s="3" t="s">
        <v>23</v>
      </c>
      <c r="D505" s="3" t="s">
        <v>1102</v>
      </c>
      <c r="E505" s="3" t="s">
        <v>44</v>
      </c>
      <c r="F505" s="3" t="s">
        <v>2272</v>
      </c>
      <c r="G505" s="3"/>
      <c r="H505" s="4" t="s">
        <v>539</v>
      </c>
      <c r="I505" s="3" t="s">
        <v>2272</v>
      </c>
      <c r="J505" s="3" t="s">
        <v>2272</v>
      </c>
      <c r="K505" s="3" t="s">
        <v>2272</v>
      </c>
      <c r="L505" s="3" t="s">
        <v>2272</v>
      </c>
      <c r="M505" s="3" t="s">
        <v>2723</v>
      </c>
      <c r="N505" s="3" t="s">
        <v>2272</v>
      </c>
      <c r="O505" s="3" t="s">
        <v>532</v>
      </c>
      <c r="P505" s="3" t="s">
        <v>2272</v>
      </c>
      <c r="Q505" s="3">
        <v>4</v>
      </c>
      <c r="R505" s="3" t="s">
        <v>2272</v>
      </c>
      <c r="S505" s="3" t="s">
        <v>2272</v>
      </c>
      <c r="T505" s="3" t="s">
        <v>2272</v>
      </c>
      <c r="U505" s="3" t="s">
        <v>2272</v>
      </c>
      <c r="V505" s="3" t="s">
        <v>2272</v>
      </c>
      <c r="W505" s="4" t="s">
        <v>4375</v>
      </c>
    </row>
    <row r="506" spans="1:23" ht="86.5" customHeight="1">
      <c r="A506" s="3" t="s">
        <v>4357</v>
      </c>
      <c r="B506" s="11" t="s">
        <v>4362</v>
      </c>
      <c r="C506" s="3" t="s">
        <v>23</v>
      </c>
      <c r="D506" s="3" t="s">
        <v>1102</v>
      </c>
      <c r="E506" s="3" t="s">
        <v>2272</v>
      </c>
      <c r="F506" s="3" t="s">
        <v>2272</v>
      </c>
      <c r="G506" s="3"/>
      <c r="H506" s="4" t="s">
        <v>539</v>
      </c>
      <c r="I506" s="3" t="s">
        <v>2272</v>
      </c>
      <c r="J506" s="3" t="s">
        <v>2272</v>
      </c>
      <c r="K506" s="3" t="s">
        <v>2272</v>
      </c>
      <c r="L506" s="3" t="s">
        <v>2272</v>
      </c>
      <c r="M506" s="3" t="s">
        <v>2272</v>
      </c>
      <c r="N506" s="3" t="s">
        <v>2272</v>
      </c>
      <c r="O506" s="3" t="s">
        <v>2272</v>
      </c>
      <c r="P506" s="3" t="s">
        <v>2272</v>
      </c>
      <c r="Q506" s="3" t="s">
        <v>2272</v>
      </c>
      <c r="R506" s="3" t="s">
        <v>532</v>
      </c>
      <c r="S506" s="3" t="s">
        <v>2272</v>
      </c>
      <c r="T506" s="3" t="s">
        <v>532</v>
      </c>
      <c r="U506" s="3" t="s">
        <v>2272</v>
      </c>
      <c r="V506" s="3">
        <v>4</v>
      </c>
      <c r="W506" s="3"/>
    </row>
    <row r="507" spans="1:23" ht="103" customHeight="1">
      <c r="A507" s="3" t="s">
        <v>4615</v>
      </c>
      <c r="B507" s="11" t="s">
        <v>4624</v>
      </c>
      <c r="C507" s="3" t="s">
        <v>23</v>
      </c>
      <c r="D507" s="4" t="s">
        <v>2799</v>
      </c>
      <c r="E507" s="3" t="s">
        <v>1102</v>
      </c>
      <c r="F507" s="4" t="s">
        <v>2657</v>
      </c>
      <c r="G507" s="3">
        <v>1980</v>
      </c>
      <c r="H507" s="4" t="s">
        <v>539</v>
      </c>
      <c r="I507" s="3" t="s">
        <v>2272</v>
      </c>
      <c r="J507" s="3" t="s">
        <v>2272</v>
      </c>
      <c r="K507" s="3" t="s">
        <v>2272</v>
      </c>
      <c r="L507" s="3" t="s">
        <v>2272</v>
      </c>
      <c r="M507" s="3" t="s">
        <v>2272</v>
      </c>
      <c r="N507" s="3" t="s">
        <v>2272</v>
      </c>
      <c r="O507" s="3" t="s">
        <v>2272</v>
      </c>
      <c r="P507" s="3" t="s">
        <v>2272</v>
      </c>
      <c r="Q507" s="3" t="s">
        <v>2272</v>
      </c>
      <c r="R507" s="3" t="s">
        <v>532</v>
      </c>
      <c r="S507" s="3" t="s">
        <v>2272</v>
      </c>
      <c r="T507" s="3" t="s">
        <v>2272</v>
      </c>
      <c r="U507" s="3" t="s">
        <v>2272</v>
      </c>
      <c r="V507" s="3">
        <v>2</v>
      </c>
      <c r="W507" s="4" t="s">
        <v>4630</v>
      </c>
    </row>
    <row r="508" spans="1:23" ht="103" customHeight="1">
      <c r="A508" s="3" t="s">
        <v>4616</v>
      </c>
      <c r="B508" s="11" t="s">
        <v>4625</v>
      </c>
      <c r="C508" s="3" t="s">
        <v>23</v>
      </c>
      <c r="D508" s="4" t="s">
        <v>2799</v>
      </c>
      <c r="E508" s="3" t="s">
        <v>1102</v>
      </c>
      <c r="F508" s="4" t="s">
        <v>2657</v>
      </c>
      <c r="G508" s="3">
        <v>1980</v>
      </c>
      <c r="H508" s="4" t="s">
        <v>539</v>
      </c>
      <c r="I508" s="3" t="s">
        <v>2272</v>
      </c>
      <c r="J508" s="3" t="s">
        <v>2272</v>
      </c>
      <c r="K508" s="3" t="s">
        <v>2272</v>
      </c>
      <c r="L508" s="3" t="s">
        <v>2272</v>
      </c>
      <c r="M508" s="3" t="s">
        <v>2272</v>
      </c>
      <c r="N508" s="3" t="s">
        <v>2272</v>
      </c>
      <c r="O508" s="3" t="s">
        <v>2272</v>
      </c>
      <c r="P508" s="3" t="s">
        <v>2272</v>
      </c>
      <c r="Q508" s="3" t="s">
        <v>2272</v>
      </c>
      <c r="R508" s="3" t="s">
        <v>532</v>
      </c>
      <c r="S508" s="3" t="s">
        <v>2272</v>
      </c>
      <c r="T508" s="3" t="s">
        <v>2272</v>
      </c>
      <c r="U508" s="3" t="s">
        <v>2272</v>
      </c>
      <c r="V508" s="3">
        <v>2</v>
      </c>
      <c r="W508" s="4" t="s">
        <v>4630</v>
      </c>
    </row>
    <row r="509" spans="1:23" ht="103" customHeight="1">
      <c r="A509" s="3" t="s">
        <v>4617</v>
      </c>
      <c r="B509" s="11" t="s">
        <v>4626</v>
      </c>
      <c r="C509" s="3" t="s">
        <v>23</v>
      </c>
      <c r="D509" s="4" t="s">
        <v>2799</v>
      </c>
      <c r="E509" s="3" t="s">
        <v>1102</v>
      </c>
      <c r="F509" s="4" t="s">
        <v>2657</v>
      </c>
      <c r="G509" s="3">
        <v>1980</v>
      </c>
      <c r="H509" s="4" t="s">
        <v>539</v>
      </c>
      <c r="I509" s="3" t="s">
        <v>2272</v>
      </c>
      <c r="J509" s="3" t="s">
        <v>2272</v>
      </c>
      <c r="K509" s="3" t="s">
        <v>2272</v>
      </c>
      <c r="L509" s="3" t="s">
        <v>2272</v>
      </c>
      <c r="M509" s="3" t="s">
        <v>2272</v>
      </c>
      <c r="N509" s="3" t="s">
        <v>2272</v>
      </c>
      <c r="O509" s="3" t="s">
        <v>2272</v>
      </c>
      <c r="P509" s="3" t="s">
        <v>2272</v>
      </c>
      <c r="Q509" s="3" t="s">
        <v>2272</v>
      </c>
      <c r="R509" s="3" t="s">
        <v>532</v>
      </c>
      <c r="S509" s="3" t="s">
        <v>2272</v>
      </c>
      <c r="T509" s="3" t="s">
        <v>2272</v>
      </c>
      <c r="U509" s="3" t="s">
        <v>2272</v>
      </c>
      <c r="V509" s="3">
        <v>2</v>
      </c>
      <c r="W509" s="4" t="s">
        <v>4630</v>
      </c>
    </row>
    <row r="510" spans="1:23" ht="103" customHeight="1">
      <c r="A510" s="3" t="s">
        <v>4615</v>
      </c>
      <c r="B510" s="11" t="s">
        <v>4627</v>
      </c>
      <c r="C510" s="3" t="s">
        <v>23</v>
      </c>
      <c r="D510" s="171" t="s">
        <v>2655</v>
      </c>
      <c r="E510" s="3" t="s">
        <v>1102</v>
      </c>
      <c r="F510" s="4" t="s">
        <v>2657</v>
      </c>
      <c r="G510" s="3">
        <v>1980</v>
      </c>
      <c r="H510" s="4" t="s">
        <v>539</v>
      </c>
      <c r="I510" s="3" t="s">
        <v>2272</v>
      </c>
      <c r="J510" s="3" t="s">
        <v>2272</v>
      </c>
      <c r="K510" s="3" t="s">
        <v>2272</v>
      </c>
      <c r="L510" s="3" t="s">
        <v>2272</v>
      </c>
      <c r="M510" s="3" t="s">
        <v>2272</v>
      </c>
      <c r="N510" s="3" t="s">
        <v>2272</v>
      </c>
      <c r="O510" s="3" t="s">
        <v>2272</v>
      </c>
      <c r="P510" s="3" t="s">
        <v>2272</v>
      </c>
      <c r="Q510" s="3" t="s">
        <v>2272</v>
      </c>
      <c r="R510" s="3" t="s">
        <v>532</v>
      </c>
      <c r="S510" s="3" t="s">
        <v>2272</v>
      </c>
      <c r="T510" s="3" t="s">
        <v>2272</v>
      </c>
      <c r="U510" s="3" t="s">
        <v>2272</v>
      </c>
      <c r="V510" s="3">
        <v>2</v>
      </c>
      <c r="W510" s="4" t="s">
        <v>4630</v>
      </c>
    </row>
    <row r="511" spans="1:23" ht="103" customHeight="1">
      <c r="A511" s="3" t="s">
        <v>4616</v>
      </c>
      <c r="B511" s="11" t="s">
        <v>4628</v>
      </c>
      <c r="C511" s="3" t="s">
        <v>23</v>
      </c>
      <c r="D511" s="171" t="s">
        <v>2655</v>
      </c>
      <c r="E511" s="3" t="s">
        <v>1102</v>
      </c>
      <c r="F511" s="4" t="s">
        <v>2657</v>
      </c>
      <c r="G511" s="3">
        <v>1980</v>
      </c>
      <c r="H511" s="4" t="s">
        <v>539</v>
      </c>
      <c r="I511" s="3" t="s">
        <v>2272</v>
      </c>
      <c r="J511" s="3" t="s">
        <v>2272</v>
      </c>
      <c r="K511" s="3" t="s">
        <v>2272</v>
      </c>
      <c r="L511" s="3" t="s">
        <v>2272</v>
      </c>
      <c r="M511" s="3" t="s">
        <v>2272</v>
      </c>
      <c r="N511" s="3" t="s">
        <v>2272</v>
      </c>
      <c r="O511" s="3" t="s">
        <v>2272</v>
      </c>
      <c r="P511" s="3" t="s">
        <v>2272</v>
      </c>
      <c r="Q511" s="3" t="s">
        <v>2272</v>
      </c>
      <c r="R511" s="3" t="s">
        <v>532</v>
      </c>
      <c r="S511" s="3" t="s">
        <v>2272</v>
      </c>
      <c r="T511" s="3" t="s">
        <v>2272</v>
      </c>
      <c r="U511" s="3" t="s">
        <v>2272</v>
      </c>
      <c r="V511" s="3">
        <v>2</v>
      </c>
      <c r="W511" s="4" t="s">
        <v>4630</v>
      </c>
    </row>
    <row r="512" spans="1:23" ht="103" customHeight="1">
      <c r="A512" s="3" t="s">
        <v>4617</v>
      </c>
      <c r="B512" s="11" t="s">
        <v>4629</v>
      </c>
      <c r="C512" s="3" t="s">
        <v>23</v>
      </c>
      <c r="D512" s="171" t="s">
        <v>2655</v>
      </c>
      <c r="E512" s="3" t="s">
        <v>1102</v>
      </c>
      <c r="F512" s="4" t="s">
        <v>2657</v>
      </c>
      <c r="G512" s="3">
        <v>1980</v>
      </c>
      <c r="H512" s="4" t="s">
        <v>539</v>
      </c>
      <c r="I512" s="3" t="s">
        <v>2272</v>
      </c>
      <c r="J512" s="3" t="s">
        <v>2272</v>
      </c>
      <c r="K512" s="3" t="s">
        <v>2272</v>
      </c>
      <c r="L512" s="3" t="s">
        <v>2272</v>
      </c>
      <c r="M512" s="3" t="s">
        <v>2272</v>
      </c>
      <c r="N512" s="3" t="s">
        <v>2272</v>
      </c>
      <c r="O512" s="3" t="s">
        <v>2272</v>
      </c>
      <c r="P512" s="3" t="s">
        <v>2272</v>
      </c>
      <c r="Q512" s="3" t="s">
        <v>2272</v>
      </c>
      <c r="R512" s="3" t="s">
        <v>532</v>
      </c>
      <c r="S512" s="3" t="s">
        <v>2272</v>
      </c>
      <c r="T512" s="3" t="s">
        <v>2272</v>
      </c>
      <c r="U512" s="3" t="s">
        <v>2272</v>
      </c>
      <c r="V512" s="3">
        <v>2</v>
      </c>
      <c r="W512" s="4" t="s">
        <v>4630</v>
      </c>
    </row>
    <row r="513" spans="1:23" ht="51" customHeight="1">
      <c r="A513" s="11" t="s">
        <v>4638</v>
      </c>
      <c r="B513" s="11" t="s">
        <v>4645</v>
      </c>
      <c r="C513" s="3" t="s">
        <v>1102</v>
      </c>
      <c r="D513" s="3" t="s">
        <v>1102</v>
      </c>
      <c r="E513" s="3" t="s">
        <v>5000</v>
      </c>
      <c r="F513" s="3" t="s">
        <v>73</v>
      </c>
      <c r="G513" s="3"/>
      <c r="H513" s="4" t="s">
        <v>1090</v>
      </c>
      <c r="I513" s="3" t="s">
        <v>2685</v>
      </c>
      <c r="J513" s="3" t="s">
        <v>2272</v>
      </c>
      <c r="K513" s="3" t="s">
        <v>2272</v>
      </c>
      <c r="L513" s="3" t="s">
        <v>2272</v>
      </c>
      <c r="M513" s="3" t="s">
        <v>2272</v>
      </c>
      <c r="N513" s="3" t="s">
        <v>2272</v>
      </c>
      <c r="O513" s="3" t="s">
        <v>2272</v>
      </c>
      <c r="P513" s="3" t="s">
        <v>2272</v>
      </c>
      <c r="Q513" s="3" t="s">
        <v>2272</v>
      </c>
      <c r="R513" s="3" t="s">
        <v>2272</v>
      </c>
      <c r="S513" s="3" t="s">
        <v>2272</v>
      </c>
      <c r="T513" s="3" t="s">
        <v>2272</v>
      </c>
      <c r="U513" s="3" t="s">
        <v>2272</v>
      </c>
      <c r="V513" s="3" t="s">
        <v>2272</v>
      </c>
      <c r="W513" s="4" t="s">
        <v>4654</v>
      </c>
    </row>
    <row r="514" spans="1:23" ht="52" customHeight="1">
      <c r="A514" s="3" t="s">
        <v>4639</v>
      </c>
      <c r="B514" s="11" t="s">
        <v>4648</v>
      </c>
      <c r="C514" s="3" t="s">
        <v>1102</v>
      </c>
      <c r="D514" s="3" t="s">
        <v>1102</v>
      </c>
      <c r="E514" s="3" t="s">
        <v>5000</v>
      </c>
      <c r="F514" s="3" t="s">
        <v>73</v>
      </c>
      <c r="G514" s="3"/>
      <c r="H514" s="4" t="s">
        <v>1090</v>
      </c>
      <c r="I514" s="3" t="s">
        <v>2685</v>
      </c>
      <c r="J514" s="3" t="s">
        <v>2272</v>
      </c>
      <c r="K514" s="3" t="s">
        <v>2272</v>
      </c>
      <c r="L514" s="3" t="s">
        <v>2272</v>
      </c>
      <c r="M514" s="3" t="s">
        <v>2272</v>
      </c>
      <c r="N514" s="3" t="s">
        <v>2272</v>
      </c>
      <c r="O514" s="3" t="s">
        <v>2272</v>
      </c>
      <c r="P514" s="3" t="s">
        <v>2272</v>
      </c>
      <c r="Q514" s="3" t="s">
        <v>2272</v>
      </c>
      <c r="R514" s="3" t="s">
        <v>2272</v>
      </c>
      <c r="S514" s="3" t="s">
        <v>2272</v>
      </c>
      <c r="T514" s="3" t="s">
        <v>2272</v>
      </c>
      <c r="U514" s="3" t="s">
        <v>2272</v>
      </c>
      <c r="V514" s="3" t="s">
        <v>2272</v>
      </c>
      <c r="W514" s="4" t="s">
        <v>4654</v>
      </c>
    </row>
    <row r="515" spans="1:23" ht="55.5" customHeight="1">
      <c r="A515" s="3" t="s">
        <v>4729</v>
      </c>
      <c r="B515" s="11" t="s">
        <v>4733</v>
      </c>
      <c r="C515" s="3" t="s">
        <v>1102</v>
      </c>
      <c r="D515" s="3" t="s">
        <v>1102</v>
      </c>
      <c r="E515" s="3" t="s">
        <v>1102</v>
      </c>
      <c r="F515" s="3" t="s">
        <v>73</v>
      </c>
      <c r="G515" s="3"/>
      <c r="H515" s="4" t="s">
        <v>539</v>
      </c>
      <c r="I515" s="3" t="s">
        <v>2686</v>
      </c>
      <c r="J515" s="3" t="s">
        <v>2272</v>
      </c>
      <c r="K515" s="3" t="s">
        <v>2272</v>
      </c>
      <c r="L515" s="3" t="s">
        <v>2272</v>
      </c>
      <c r="M515" s="3" t="s">
        <v>2272</v>
      </c>
      <c r="N515" s="3" t="s">
        <v>2272</v>
      </c>
      <c r="O515" s="3" t="s">
        <v>2272</v>
      </c>
      <c r="P515" s="3" t="s">
        <v>2272</v>
      </c>
      <c r="Q515" s="3" t="s">
        <v>2272</v>
      </c>
      <c r="R515" s="3" t="s">
        <v>2272</v>
      </c>
      <c r="S515" s="3" t="s">
        <v>2272</v>
      </c>
      <c r="T515" s="3" t="s">
        <v>2272</v>
      </c>
      <c r="U515" s="3" t="s">
        <v>2272</v>
      </c>
      <c r="V515" s="3" t="s">
        <v>2272</v>
      </c>
      <c r="W515" s="4" t="s">
        <v>4736</v>
      </c>
    </row>
    <row r="516" spans="1:23" ht="55.5" customHeight="1">
      <c r="A516" s="11" t="s">
        <v>4730</v>
      </c>
      <c r="B516" s="11" t="s">
        <v>4734</v>
      </c>
      <c r="C516" s="3" t="s">
        <v>1102</v>
      </c>
      <c r="D516" s="3" t="s">
        <v>1102</v>
      </c>
      <c r="E516" s="3" t="s">
        <v>1102</v>
      </c>
      <c r="F516" s="3" t="s">
        <v>73</v>
      </c>
      <c r="G516" s="3"/>
      <c r="H516" s="4" t="s">
        <v>539</v>
      </c>
      <c r="I516" s="3" t="s">
        <v>2686</v>
      </c>
      <c r="J516" s="3" t="s">
        <v>2272</v>
      </c>
      <c r="K516" s="3" t="s">
        <v>2272</v>
      </c>
      <c r="L516" s="3" t="s">
        <v>2272</v>
      </c>
      <c r="M516" s="3" t="s">
        <v>2272</v>
      </c>
      <c r="N516" s="3" t="s">
        <v>2272</v>
      </c>
      <c r="O516" s="3" t="s">
        <v>2272</v>
      </c>
      <c r="P516" s="3" t="s">
        <v>2272</v>
      </c>
      <c r="Q516" s="3" t="s">
        <v>2272</v>
      </c>
      <c r="R516" s="3" t="s">
        <v>2272</v>
      </c>
      <c r="S516" s="3" t="s">
        <v>2272</v>
      </c>
      <c r="T516" s="3" t="s">
        <v>2272</v>
      </c>
      <c r="U516" s="3" t="s">
        <v>2272</v>
      </c>
      <c r="V516" s="3" t="s">
        <v>2272</v>
      </c>
      <c r="W516" s="4" t="s">
        <v>4736</v>
      </c>
    </row>
    <row r="517" spans="1:23" ht="35" customHeight="1">
      <c r="A517" s="11" t="s">
        <v>4772</v>
      </c>
      <c r="B517" s="11" t="s">
        <v>4778</v>
      </c>
      <c r="C517" s="3" t="s">
        <v>1102</v>
      </c>
      <c r="D517" s="3" t="s">
        <v>1102</v>
      </c>
      <c r="E517" s="3" t="s">
        <v>5000</v>
      </c>
      <c r="F517" s="4" t="s">
        <v>2657</v>
      </c>
      <c r="G517" s="3">
        <v>1968</v>
      </c>
      <c r="H517" s="4" t="s">
        <v>539</v>
      </c>
      <c r="I517" s="3" t="s">
        <v>2272</v>
      </c>
      <c r="J517" s="3" t="s">
        <v>2272</v>
      </c>
      <c r="K517" s="3" t="s">
        <v>2272</v>
      </c>
      <c r="L517" s="3" t="s">
        <v>2272</v>
      </c>
      <c r="M517" s="3" t="s">
        <v>2272</v>
      </c>
      <c r="N517" s="3" t="s">
        <v>2272</v>
      </c>
      <c r="O517" s="3" t="s">
        <v>2272</v>
      </c>
      <c r="P517" s="3" t="s">
        <v>2272</v>
      </c>
      <c r="Q517" s="3" t="s">
        <v>2272</v>
      </c>
      <c r="R517" s="3" t="s">
        <v>532</v>
      </c>
      <c r="S517" s="3" t="s">
        <v>2272</v>
      </c>
      <c r="T517" s="3" t="s">
        <v>2272</v>
      </c>
      <c r="U517" s="3" t="s">
        <v>2272</v>
      </c>
      <c r="V517" s="3" t="s">
        <v>2272</v>
      </c>
      <c r="W517" s="3"/>
    </row>
    <row r="518" spans="1:23" ht="35" customHeight="1">
      <c r="A518" s="11" t="s">
        <v>4776</v>
      </c>
      <c r="B518" s="11" t="s">
        <v>4779</v>
      </c>
      <c r="C518" s="3" t="s">
        <v>1102</v>
      </c>
      <c r="D518" s="3" t="s">
        <v>1102</v>
      </c>
      <c r="E518" s="3" t="s">
        <v>5000</v>
      </c>
      <c r="F518" s="4" t="s">
        <v>2657</v>
      </c>
      <c r="G518" s="3">
        <v>1968</v>
      </c>
      <c r="H518" s="4" t="s">
        <v>539</v>
      </c>
      <c r="I518" s="3" t="s">
        <v>2272</v>
      </c>
      <c r="J518" s="3" t="s">
        <v>2272</v>
      </c>
      <c r="K518" s="3" t="s">
        <v>2272</v>
      </c>
      <c r="L518" s="3" t="s">
        <v>2272</v>
      </c>
      <c r="M518" s="3" t="s">
        <v>2272</v>
      </c>
      <c r="N518" s="3" t="s">
        <v>2272</v>
      </c>
      <c r="O518" s="3" t="s">
        <v>2272</v>
      </c>
      <c r="P518" s="3" t="s">
        <v>2272</v>
      </c>
      <c r="Q518" s="3" t="s">
        <v>2272</v>
      </c>
      <c r="R518" s="3" t="s">
        <v>532</v>
      </c>
      <c r="S518" s="3" t="s">
        <v>2272</v>
      </c>
      <c r="T518" s="3" t="s">
        <v>2272</v>
      </c>
      <c r="U518" s="3" t="s">
        <v>2272</v>
      </c>
      <c r="V518" s="3" t="s">
        <v>2272</v>
      </c>
      <c r="W518" s="3"/>
    </row>
    <row r="519" spans="1:23" ht="37" customHeight="1">
      <c r="A519" s="11" t="s">
        <v>4772</v>
      </c>
      <c r="B519" s="11" t="s">
        <v>4782</v>
      </c>
      <c r="C519" s="3" t="s">
        <v>1102</v>
      </c>
      <c r="D519" s="3" t="s">
        <v>1102</v>
      </c>
      <c r="E519" s="3" t="s">
        <v>5000</v>
      </c>
      <c r="F519" s="4" t="s">
        <v>54</v>
      </c>
      <c r="G519" s="3">
        <v>1968</v>
      </c>
      <c r="H519" s="4" t="s">
        <v>539</v>
      </c>
      <c r="I519" s="3" t="s">
        <v>2272</v>
      </c>
      <c r="J519" s="3" t="s">
        <v>2272</v>
      </c>
      <c r="K519" s="3" t="s">
        <v>2272</v>
      </c>
      <c r="L519" s="3" t="s">
        <v>2272</v>
      </c>
      <c r="M519" s="3" t="s">
        <v>2272</v>
      </c>
      <c r="N519" s="3" t="s">
        <v>2272</v>
      </c>
      <c r="O519" s="3" t="s">
        <v>2272</v>
      </c>
      <c r="P519" s="3" t="s">
        <v>2272</v>
      </c>
      <c r="Q519" s="3" t="s">
        <v>2272</v>
      </c>
      <c r="R519" s="3" t="s">
        <v>532</v>
      </c>
      <c r="S519" s="3" t="s">
        <v>2272</v>
      </c>
      <c r="T519" s="3" t="s">
        <v>2272</v>
      </c>
      <c r="U519" s="3" t="s">
        <v>2272</v>
      </c>
      <c r="V519" s="3" t="s">
        <v>2272</v>
      </c>
      <c r="W519" s="3"/>
    </row>
    <row r="520" spans="1:23" ht="37" customHeight="1">
      <c r="A520" s="11" t="s">
        <v>4776</v>
      </c>
      <c r="B520" s="11" t="s">
        <v>4783</v>
      </c>
      <c r="C520" s="3" t="s">
        <v>1102</v>
      </c>
      <c r="D520" s="3" t="s">
        <v>1102</v>
      </c>
      <c r="E520" s="3" t="s">
        <v>5000</v>
      </c>
      <c r="F520" s="4" t="s">
        <v>54</v>
      </c>
      <c r="G520" s="3">
        <v>1968</v>
      </c>
      <c r="H520" s="4" t="s">
        <v>539</v>
      </c>
      <c r="I520" s="3" t="s">
        <v>2272</v>
      </c>
      <c r="J520" s="3" t="s">
        <v>2272</v>
      </c>
      <c r="K520" s="3" t="s">
        <v>2272</v>
      </c>
      <c r="L520" s="3" t="s">
        <v>2272</v>
      </c>
      <c r="M520" s="3" t="s">
        <v>2272</v>
      </c>
      <c r="N520" s="3" t="s">
        <v>2272</v>
      </c>
      <c r="O520" s="3" t="s">
        <v>2272</v>
      </c>
      <c r="P520" s="3" t="s">
        <v>2272</v>
      </c>
      <c r="Q520" s="3" t="s">
        <v>2272</v>
      </c>
      <c r="R520" s="3" t="s">
        <v>532</v>
      </c>
      <c r="S520" s="3" t="s">
        <v>2272</v>
      </c>
      <c r="T520" s="3" t="s">
        <v>2272</v>
      </c>
      <c r="U520" s="3" t="s">
        <v>2272</v>
      </c>
      <c r="V520" s="3" t="s">
        <v>2272</v>
      </c>
      <c r="W520" s="3"/>
    </row>
    <row r="521" spans="1:23" ht="61" customHeight="1">
      <c r="A521" s="11" t="s">
        <v>4828</v>
      </c>
      <c r="B521" s="11" t="s">
        <v>4829</v>
      </c>
      <c r="C521" s="3" t="s">
        <v>1102</v>
      </c>
      <c r="D521" s="3" t="s">
        <v>1102</v>
      </c>
      <c r="E521" s="3" t="s">
        <v>5000</v>
      </c>
      <c r="F521" s="4" t="s">
        <v>2657</v>
      </c>
      <c r="G521" s="3"/>
      <c r="H521" s="4" t="s">
        <v>539</v>
      </c>
      <c r="I521" s="3" t="s">
        <v>2685</v>
      </c>
      <c r="J521" s="3" t="s">
        <v>532</v>
      </c>
      <c r="K521" s="3" t="s">
        <v>532</v>
      </c>
      <c r="L521" s="3" t="s">
        <v>2272</v>
      </c>
      <c r="M521" s="3" t="s">
        <v>2272</v>
      </c>
      <c r="N521" s="3" t="s">
        <v>2272</v>
      </c>
      <c r="O521" s="3" t="s">
        <v>2272</v>
      </c>
      <c r="P521" s="3" t="s">
        <v>2272</v>
      </c>
      <c r="Q521" s="3" t="s">
        <v>2272</v>
      </c>
      <c r="R521" s="3" t="s">
        <v>2272</v>
      </c>
      <c r="S521" s="3" t="s">
        <v>2272</v>
      </c>
      <c r="T521" s="3" t="s">
        <v>2272</v>
      </c>
      <c r="U521" s="3" t="s">
        <v>2272</v>
      </c>
      <c r="V521" s="3" t="s">
        <v>2272</v>
      </c>
      <c r="W521" s="19" t="s">
        <v>4841</v>
      </c>
    </row>
    <row r="522" spans="1:23" ht="49" customHeight="1">
      <c r="A522" s="19" t="s">
        <v>4845</v>
      </c>
      <c r="B522" s="19" t="s">
        <v>4895</v>
      </c>
      <c r="C522" s="4" t="s">
        <v>23</v>
      </c>
      <c r="D522" s="4" t="s">
        <v>1102</v>
      </c>
      <c r="E522" s="3" t="s">
        <v>5000</v>
      </c>
      <c r="F522" s="4" t="s">
        <v>2657</v>
      </c>
      <c r="G522" s="3">
        <v>1974</v>
      </c>
      <c r="H522" s="4" t="s">
        <v>539</v>
      </c>
      <c r="I522" s="3" t="s">
        <v>2685</v>
      </c>
      <c r="J522" s="3" t="s">
        <v>532</v>
      </c>
      <c r="K522" s="3" t="s">
        <v>2272</v>
      </c>
      <c r="L522" s="3" t="s">
        <v>2272</v>
      </c>
      <c r="M522" s="3" t="s">
        <v>2272</v>
      </c>
      <c r="N522" s="3" t="s">
        <v>2272</v>
      </c>
      <c r="O522" s="3" t="s">
        <v>2272</v>
      </c>
      <c r="P522" s="3" t="s">
        <v>2272</v>
      </c>
      <c r="Q522" s="3" t="s">
        <v>2272</v>
      </c>
      <c r="R522" s="3" t="s">
        <v>532</v>
      </c>
      <c r="S522" s="3" t="s">
        <v>2272</v>
      </c>
      <c r="T522" s="3" t="s">
        <v>2272</v>
      </c>
      <c r="U522" s="3" t="s">
        <v>2272</v>
      </c>
      <c r="V522" s="3" t="s">
        <v>2272</v>
      </c>
      <c r="W522" s="4" t="s">
        <v>4963</v>
      </c>
    </row>
    <row r="523" spans="1:23" ht="38" customHeight="1">
      <c r="A523" s="11" t="s">
        <v>4972</v>
      </c>
      <c r="B523" s="11" t="s">
        <v>4978</v>
      </c>
      <c r="C523" s="4" t="s">
        <v>23</v>
      </c>
      <c r="D523" s="3" t="s">
        <v>1102</v>
      </c>
      <c r="E523" s="3" t="s">
        <v>5000</v>
      </c>
      <c r="F523" s="4" t="s">
        <v>2657</v>
      </c>
      <c r="G523" s="3">
        <v>1976</v>
      </c>
      <c r="H523" s="4" t="s">
        <v>539</v>
      </c>
      <c r="I523" s="3" t="s">
        <v>2272</v>
      </c>
      <c r="J523" s="3" t="s">
        <v>2272</v>
      </c>
      <c r="K523" s="3" t="s">
        <v>2272</v>
      </c>
      <c r="L523" s="3" t="s">
        <v>2272</v>
      </c>
      <c r="M523" s="3" t="s">
        <v>2272</v>
      </c>
      <c r="N523" s="3" t="s">
        <v>2272</v>
      </c>
      <c r="O523" s="3" t="s">
        <v>2272</v>
      </c>
      <c r="P523" s="3" t="s">
        <v>2272</v>
      </c>
      <c r="Q523" s="3" t="s">
        <v>2272</v>
      </c>
      <c r="R523" s="3" t="s">
        <v>535</v>
      </c>
      <c r="S523" s="3" t="s">
        <v>2272</v>
      </c>
      <c r="T523" s="3" t="s">
        <v>2272</v>
      </c>
      <c r="U523" s="3" t="s">
        <v>2272</v>
      </c>
      <c r="V523" s="3" t="s">
        <v>2272</v>
      </c>
      <c r="W523" s="3"/>
    </row>
    <row r="524" spans="1:23" ht="38" customHeight="1">
      <c r="A524" s="11" t="s">
        <v>4972</v>
      </c>
      <c r="B524" s="11" t="s">
        <v>4979</v>
      </c>
      <c r="C524" s="4" t="s">
        <v>23</v>
      </c>
      <c r="D524" s="3" t="s">
        <v>1102</v>
      </c>
      <c r="E524" s="3" t="s">
        <v>114</v>
      </c>
      <c r="F524" s="4" t="s">
        <v>2657</v>
      </c>
      <c r="G524" s="3">
        <v>1976</v>
      </c>
      <c r="H524" s="4" t="s">
        <v>539</v>
      </c>
      <c r="I524" s="3" t="s">
        <v>2272</v>
      </c>
      <c r="J524" s="3" t="s">
        <v>2272</v>
      </c>
      <c r="K524" s="3" t="s">
        <v>2272</v>
      </c>
      <c r="L524" s="3" t="s">
        <v>2272</v>
      </c>
      <c r="M524" s="3" t="s">
        <v>2272</v>
      </c>
      <c r="N524" s="3" t="s">
        <v>2272</v>
      </c>
      <c r="O524" s="3" t="s">
        <v>2272</v>
      </c>
      <c r="P524" s="3" t="s">
        <v>2272</v>
      </c>
      <c r="Q524" s="3" t="s">
        <v>2272</v>
      </c>
      <c r="R524" s="3" t="s">
        <v>535</v>
      </c>
      <c r="S524" s="3" t="s">
        <v>2272</v>
      </c>
      <c r="T524" s="3" t="s">
        <v>2272</v>
      </c>
      <c r="U524" s="3" t="s">
        <v>2272</v>
      </c>
      <c r="V524" s="3" t="s">
        <v>2272</v>
      </c>
      <c r="W524" s="3"/>
    </row>
    <row r="525" spans="1:23" ht="69" customHeight="1">
      <c r="A525" s="11" t="s">
        <v>4972</v>
      </c>
      <c r="B525" s="11" t="s">
        <v>4980</v>
      </c>
      <c r="C525" s="4" t="s">
        <v>23</v>
      </c>
      <c r="D525" s="3" t="s">
        <v>1102</v>
      </c>
      <c r="E525" s="3" t="s">
        <v>5000</v>
      </c>
      <c r="F525" s="4" t="s">
        <v>2657</v>
      </c>
      <c r="G525" s="3">
        <v>1977</v>
      </c>
      <c r="H525" s="4" t="s">
        <v>539</v>
      </c>
      <c r="I525" s="3" t="s">
        <v>2272</v>
      </c>
      <c r="J525" s="3" t="s">
        <v>2272</v>
      </c>
      <c r="K525" s="3" t="s">
        <v>2272</v>
      </c>
      <c r="L525" s="3" t="s">
        <v>2272</v>
      </c>
      <c r="M525" s="3" t="s">
        <v>2272</v>
      </c>
      <c r="N525" s="3" t="s">
        <v>2272</v>
      </c>
      <c r="O525" s="3" t="s">
        <v>2272</v>
      </c>
      <c r="P525" s="3" t="s">
        <v>2272</v>
      </c>
      <c r="Q525" s="3" t="s">
        <v>2272</v>
      </c>
      <c r="R525" s="3" t="s">
        <v>532</v>
      </c>
      <c r="S525" s="3" t="s">
        <v>2272</v>
      </c>
      <c r="T525" s="3" t="s">
        <v>2272</v>
      </c>
      <c r="U525" s="3" t="s">
        <v>2272</v>
      </c>
      <c r="V525" s="3">
        <v>3</v>
      </c>
      <c r="W525" s="4" t="s">
        <v>4987</v>
      </c>
    </row>
    <row r="526" spans="1:23" ht="64.5" customHeight="1">
      <c r="A526" s="11" t="s">
        <v>4972</v>
      </c>
      <c r="B526" s="11" t="s">
        <v>4981</v>
      </c>
      <c r="C526" s="4" t="s">
        <v>23</v>
      </c>
      <c r="D526" s="3" t="s">
        <v>1102</v>
      </c>
      <c r="E526" s="3" t="s">
        <v>114</v>
      </c>
      <c r="F526" s="4" t="s">
        <v>2657</v>
      </c>
      <c r="G526" s="3">
        <v>1977</v>
      </c>
      <c r="H526" s="4" t="s">
        <v>539</v>
      </c>
      <c r="I526" s="3" t="s">
        <v>2272</v>
      </c>
      <c r="J526" s="3" t="s">
        <v>2272</v>
      </c>
      <c r="K526" s="3" t="s">
        <v>2272</v>
      </c>
      <c r="L526" s="3" t="s">
        <v>2272</v>
      </c>
      <c r="M526" s="3" t="s">
        <v>2272</v>
      </c>
      <c r="N526" s="3" t="s">
        <v>2272</v>
      </c>
      <c r="O526" s="3" t="s">
        <v>2272</v>
      </c>
      <c r="P526" s="3" t="s">
        <v>2272</v>
      </c>
      <c r="Q526" s="3" t="s">
        <v>2272</v>
      </c>
      <c r="R526" s="3" t="s">
        <v>532</v>
      </c>
      <c r="S526" s="3" t="s">
        <v>2272</v>
      </c>
      <c r="T526" s="3" t="s">
        <v>2272</v>
      </c>
      <c r="U526" s="3" t="s">
        <v>2272</v>
      </c>
      <c r="V526" s="3">
        <v>3</v>
      </c>
      <c r="W526" s="4" t="s">
        <v>4987</v>
      </c>
    </row>
    <row r="527" spans="1:23" ht="33.5" customHeight="1">
      <c r="A527" s="11" t="s">
        <v>4989</v>
      </c>
      <c r="B527" s="11" t="s">
        <v>4993</v>
      </c>
      <c r="C527" s="3" t="s">
        <v>23</v>
      </c>
      <c r="D527" s="3" t="s">
        <v>2655</v>
      </c>
      <c r="E527" s="3" t="s">
        <v>5000</v>
      </c>
      <c r="F527" s="4" t="s">
        <v>2657</v>
      </c>
      <c r="G527" s="3"/>
      <c r="H527" s="4" t="s">
        <v>539</v>
      </c>
      <c r="I527" s="3" t="s">
        <v>2272</v>
      </c>
      <c r="J527" s="3" t="s">
        <v>2272</v>
      </c>
      <c r="K527" s="3" t="s">
        <v>2272</v>
      </c>
      <c r="L527" s="3" t="s">
        <v>2272</v>
      </c>
      <c r="M527" s="3" t="s">
        <v>2272</v>
      </c>
      <c r="N527" s="3" t="s">
        <v>2272</v>
      </c>
      <c r="O527" s="3" t="s">
        <v>2272</v>
      </c>
      <c r="P527" s="3" t="s">
        <v>2272</v>
      </c>
      <c r="Q527" s="3" t="s">
        <v>2272</v>
      </c>
      <c r="R527" s="3" t="s">
        <v>535</v>
      </c>
      <c r="S527" s="3" t="s">
        <v>2272</v>
      </c>
      <c r="T527" s="3" t="s">
        <v>2272</v>
      </c>
      <c r="U527" s="3" t="s">
        <v>2272</v>
      </c>
      <c r="V527" s="3" t="s">
        <v>2272</v>
      </c>
      <c r="W527" s="3"/>
    </row>
    <row r="528" spans="1:23" ht="29">
      <c r="A528" s="11" t="s">
        <v>4989</v>
      </c>
      <c r="B528" s="11" t="s">
        <v>4994</v>
      </c>
      <c r="C528" s="3" t="s">
        <v>23</v>
      </c>
      <c r="D528" s="3" t="s">
        <v>1241</v>
      </c>
      <c r="E528" s="3" t="s">
        <v>114</v>
      </c>
      <c r="F528" s="4" t="s">
        <v>2657</v>
      </c>
      <c r="G528" s="3"/>
      <c r="H528" s="4" t="s">
        <v>539</v>
      </c>
      <c r="I528" s="3" t="s">
        <v>2272</v>
      </c>
      <c r="J528" s="3" t="s">
        <v>2272</v>
      </c>
      <c r="K528" s="3" t="s">
        <v>2272</v>
      </c>
      <c r="L528" s="3" t="s">
        <v>2272</v>
      </c>
      <c r="M528" s="3" t="s">
        <v>2272</v>
      </c>
      <c r="N528" s="3" t="s">
        <v>2272</v>
      </c>
      <c r="O528" s="3" t="s">
        <v>2272</v>
      </c>
      <c r="P528" s="3" t="s">
        <v>2272</v>
      </c>
      <c r="Q528" s="3" t="s">
        <v>2272</v>
      </c>
      <c r="R528" s="3" t="s">
        <v>535</v>
      </c>
      <c r="S528" s="3" t="s">
        <v>2272</v>
      </c>
      <c r="T528" s="3" t="s">
        <v>2272</v>
      </c>
      <c r="U528" s="3" t="s">
        <v>2272</v>
      </c>
      <c r="V528" s="3" t="s">
        <v>2272</v>
      </c>
      <c r="W528" s="3"/>
    </row>
    <row r="529" spans="1:23" ht="29">
      <c r="A529" s="11" t="s">
        <v>4989</v>
      </c>
      <c r="B529" s="11" t="s">
        <v>4995</v>
      </c>
      <c r="C529" s="3" t="s">
        <v>23</v>
      </c>
      <c r="D529" s="3" t="s">
        <v>1128</v>
      </c>
      <c r="E529" s="3" t="s">
        <v>5000</v>
      </c>
      <c r="F529" s="4" t="s">
        <v>2657</v>
      </c>
      <c r="G529" s="3"/>
      <c r="H529" s="4" t="s">
        <v>539</v>
      </c>
      <c r="I529" s="3" t="s">
        <v>2272</v>
      </c>
      <c r="J529" s="3" t="s">
        <v>2272</v>
      </c>
      <c r="K529" s="3" t="s">
        <v>2272</v>
      </c>
      <c r="L529" s="3" t="s">
        <v>2272</v>
      </c>
      <c r="M529" s="3" t="s">
        <v>2272</v>
      </c>
      <c r="N529" s="3" t="s">
        <v>2272</v>
      </c>
      <c r="O529" s="3" t="s">
        <v>2272</v>
      </c>
      <c r="P529" s="3" t="s">
        <v>2272</v>
      </c>
      <c r="Q529" s="3" t="s">
        <v>2272</v>
      </c>
      <c r="R529" s="3" t="s">
        <v>535</v>
      </c>
      <c r="S529" s="3" t="s">
        <v>2272</v>
      </c>
      <c r="T529" s="3" t="s">
        <v>2272</v>
      </c>
      <c r="U529" s="3" t="s">
        <v>2272</v>
      </c>
      <c r="V529" s="3" t="s">
        <v>2272</v>
      </c>
      <c r="W529" s="3"/>
    </row>
    <row r="530" spans="1:23" ht="29">
      <c r="A530" s="11" t="s">
        <v>4989</v>
      </c>
      <c r="B530" s="11" t="s">
        <v>4996</v>
      </c>
      <c r="C530" s="3" t="s">
        <v>23</v>
      </c>
      <c r="D530" s="3" t="s">
        <v>1128</v>
      </c>
      <c r="E530" s="3" t="s">
        <v>114</v>
      </c>
      <c r="F530" s="4" t="s">
        <v>2657</v>
      </c>
      <c r="G530" s="3"/>
      <c r="H530" s="4" t="s">
        <v>539</v>
      </c>
      <c r="I530" s="3" t="s">
        <v>2272</v>
      </c>
      <c r="J530" s="3" t="s">
        <v>2272</v>
      </c>
      <c r="K530" s="3" t="s">
        <v>2272</v>
      </c>
      <c r="L530" s="3" t="s">
        <v>2272</v>
      </c>
      <c r="M530" s="3" t="s">
        <v>2272</v>
      </c>
      <c r="N530" s="3" t="s">
        <v>2272</v>
      </c>
      <c r="O530" s="3" t="s">
        <v>2272</v>
      </c>
      <c r="P530" s="3" t="s">
        <v>2272</v>
      </c>
      <c r="Q530" s="3" t="s">
        <v>2272</v>
      </c>
      <c r="R530" s="3" t="s">
        <v>535</v>
      </c>
      <c r="S530" s="3" t="s">
        <v>2272</v>
      </c>
      <c r="T530" s="3" t="s">
        <v>2272</v>
      </c>
      <c r="U530" s="3" t="s">
        <v>2272</v>
      </c>
      <c r="V530" s="3" t="s">
        <v>2272</v>
      </c>
      <c r="W530" s="3"/>
    </row>
    <row r="531" spans="1:23" ht="36.5" customHeight="1">
      <c r="A531" s="19" t="s">
        <v>5103</v>
      </c>
      <c r="B531" s="19" t="s">
        <v>5105</v>
      </c>
      <c r="C531" s="4" t="s">
        <v>23</v>
      </c>
      <c r="D531" s="4" t="s">
        <v>1102</v>
      </c>
      <c r="E531" s="4" t="s">
        <v>1102</v>
      </c>
      <c r="F531" s="4" t="s">
        <v>2657</v>
      </c>
      <c r="G531" s="4"/>
      <c r="H531" s="4" t="s">
        <v>539</v>
      </c>
      <c r="I531" s="3" t="s">
        <v>2272</v>
      </c>
      <c r="J531" s="3" t="s">
        <v>2272</v>
      </c>
      <c r="K531" s="3" t="s">
        <v>2272</v>
      </c>
      <c r="L531" s="3" t="s">
        <v>2272</v>
      </c>
      <c r="M531" s="3" t="s">
        <v>2272</v>
      </c>
      <c r="N531" s="3" t="s">
        <v>2272</v>
      </c>
      <c r="O531" s="3" t="s">
        <v>2272</v>
      </c>
      <c r="P531" s="3" t="s">
        <v>2272</v>
      </c>
      <c r="Q531" s="3" t="s">
        <v>2272</v>
      </c>
      <c r="R531" s="4" t="s">
        <v>532</v>
      </c>
      <c r="S531" s="3" t="s">
        <v>2272</v>
      </c>
      <c r="T531" s="3" t="s">
        <v>2272</v>
      </c>
      <c r="U531" s="3" t="s">
        <v>2272</v>
      </c>
      <c r="V531" s="4">
        <v>1</v>
      </c>
      <c r="W531" s="4" t="s">
        <v>5109</v>
      </c>
    </row>
    <row r="532" spans="1:23" ht="43.5" customHeight="1">
      <c r="A532" s="11" t="s">
        <v>5117</v>
      </c>
      <c r="B532" s="3" t="s">
        <v>5134</v>
      </c>
      <c r="C532" s="4" t="s">
        <v>23</v>
      </c>
      <c r="D532" s="3" t="s">
        <v>1238</v>
      </c>
      <c r="E532" s="4" t="s">
        <v>135</v>
      </c>
      <c r="F532" s="4" t="s">
        <v>2657</v>
      </c>
      <c r="G532" s="3"/>
      <c r="H532" s="4" t="s">
        <v>539</v>
      </c>
      <c r="I532" s="3" t="s">
        <v>535</v>
      </c>
      <c r="J532" s="3" t="s">
        <v>535</v>
      </c>
      <c r="K532" s="3" t="s">
        <v>535</v>
      </c>
      <c r="L532" s="3" t="s">
        <v>535</v>
      </c>
      <c r="M532" s="3" t="s">
        <v>2272</v>
      </c>
      <c r="N532" s="3" t="s">
        <v>2272</v>
      </c>
      <c r="O532" s="3" t="s">
        <v>2272</v>
      </c>
      <c r="P532" s="3" t="s">
        <v>2272</v>
      </c>
      <c r="Q532" s="3" t="s">
        <v>2272</v>
      </c>
      <c r="R532" s="3" t="s">
        <v>2272</v>
      </c>
      <c r="S532" s="3" t="s">
        <v>2272</v>
      </c>
      <c r="T532" s="3" t="s">
        <v>2272</v>
      </c>
      <c r="U532" s="3" t="s">
        <v>2272</v>
      </c>
      <c r="V532" s="3" t="s">
        <v>2272</v>
      </c>
      <c r="W532" s="3"/>
    </row>
    <row r="533" spans="1:23" ht="43.5" customHeight="1">
      <c r="A533" s="11" t="s">
        <v>5118</v>
      </c>
      <c r="B533" s="3" t="s">
        <v>5135</v>
      </c>
      <c r="C533" s="4" t="s">
        <v>23</v>
      </c>
      <c r="D533" s="3" t="s">
        <v>1238</v>
      </c>
      <c r="E533" s="4" t="s">
        <v>135</v>
      </c>
      <c r="F533" s="4" t="s">
        <v>2657</v>
      </c>
      <c r="G533" s="3"/>
      <c r="H533" s="4" t="s">
        <v>539</v>
      </c>
      <c r="I533" s="3" t="s">
        <v>535</v>
      </c>
      <c r="J533" s="3" t="s">
        <v>535</v>
      </c>
      <c r="K533" s="3" t="s">
        <v>535</v>
      </c>
      <c r="L533" s="3" t="s">
        <v>535</v>
      </c>
      <c r="M533" s="3" t="s">
        <v>2272</v>
      </c>
      <c r="N533" s="3" t="s">
        <v>2272</v>
      </c>
      <c r="O533" s="3" t="s">
        <v>2272</v>
      </c>
      <c r="P533" s="3" t="s">
        <v>2272</v>
      </c>
      <c r="Q533" s="3" t="s">
        <v>2272</v>
      </c>
      <c r="R533" s="3" t="s">
        <v>2272</v>
      </c>
      <c r="S533" s="3" t="s">
        <v>2272</v>
      </c>
      <c r="T533" s="3" t="s">
        <v>2272</v>
      </c>
      <c r="U533" s="3" t="s">
        <v>2272</v>
      </c>
      <c r="V533" s="3" t="s">
        <v>2272</v>
      </c>
      <c r="W533" s="3"/>
    </row>
    <row r="534" spans="1:23" ht="43.5" customHeight="1">
      <c r="A534" s="11" t="s">
        <v>5119</v>
      </c>
      <c r="B534" s="3" t="s">
        <v>5136</v>
      </c>
      <c r="C534" s="4" t="s">
        <v>23</v>
      </c>
      <c r="D534" s="3" t="s">
        <v>1238</v>
      </c>
      <c r="E534" s="4" t="s">
        <v>135</v>
      </c>
      <c r="F534" s="4" t="s">
        <v>2657</v>
      </c>
      <c r="G534" s="3"/>
      <c r="H534" s="4" t="s">
        <v>539</v>
      </c>
      <c r="I534" s="3" t="s">
        <v>535</v>
      </c>
      <c r="J534" s="3" t="s">
        <v>535</v>
      </c>
      <c r="K534" s="3" t="s">
        <v>535</v>
      </c>
      <c r="L534" s="3" t="s">
        <v>535</v>
      </c>
      <c r="M534" s="3" t="s">
        <v>2272</v>
      </c>
      <c r="N534" s="3" t="s">
        <v>2272</v>
      </c>
      <c r="O534" s="3" t="s">
        <v>2272</v>
      </c>
      <c r="P534" s="3" t="s">
        <v>2272</v>
      </c>
      <c r="Q534" s="3" t="s">
        <v>2272</v>
      </c>
      <c r="R534" s="3" t="s">
        <v>2272</v>
      </c>
      <c r="S534" s="3" t="s">
        <v>2272</v>
      </c>
      <c r="T534" s="3" t="s">
        <v>2272</v>
      </c>
      <c r="U534" s="3" t="s">
        <v>2272</v>
      </c>
      <c r="V534" s="3" t="s">
        <v>2272</v>
      </c>
      <c r="W534" s="3"/>
    </row>
    <row r="535" spans="1:23" ht="43.5" customHeight="1">
      <c r="A535" s="11" t="s">
        <v>5120</v>
      </c>
      <c r="B535" s="3" t="s">
        <v>5137</v>
      </c>
      <c r="C535" s="4" t="s">
        <v>23</v>
      </c>
      <c r="D535" s="3" t="s">
        <v>1238</v>
      </c>
      <c r="E535" s="4" t="s">
        <v>135</v>
      </c>
      <c r="F535" s="4" t="s">
        <v>2657</v>
      </c>
      <c r="G535" s="3"/>
      <c r="H535" s="4" t="s">
        <v>539</v>
      </c>
      <c r="I535" s="3" t="s">
        <v>535</v>
      </c>
      <c r="J535" s="3" t="s">
        <v>535</v>
      </c>
      <c r="K535" s="3" t="s">
        <v>535</v>
      </c>
      <c r="L535" s="3" t="s">
        <v>535</v>
      </c>
      <c r="M535" s="3" t="s">
        <v>2272</v>
      </c>
      <c r="N535" s="3" t="s">
        <v>2272</v>
      </c>
      <c r="O535" s="3" t="s">
        <v>2272</v>
      </c>
      <c r="P535" s="3" t="s">
        <v>2272</v>
      </c>
      <c r="Q535" s="3" t="s">
        <v>2272</v>
      </c>
      <c r="R535" s="3" t="s">
        <v>2272</v>
      </c>
      <c r="S535" s="3" t="s">
        <v>2272</v>
      </c>
      <c r="T535" s="3" t="s">
        <v>2272</v>
      </c>
      <c r="U535" s="3" t="s">
        <v>2272</v>
      </c>
      <c r="V535" s="3" t="s">
        <v>2272</v>
      </c>
      <c r="W535" s="3"/>
    </row>
    <row r="536" spans="1:23" ht="43.5" customHeight="1">
      <c r="A536" s="11" t="s">
        <v>5121</v>
      </c>
      <c r="B536" s="3" t="s">
        <v>5138</v>
      </c>
      <c r="C536" s="4" t="s">
        <v>23</v>
      </c>
      <c r="D536" s="3" t="s">
        <v>1238</v>
      </c>
      <c r="E536" s="4" t="s">
        <v>135</v>
      </c>
      <c r="F536" s="4" t="s">
        <v>2657</v>
      </c>
      <c r="G536" s="3"/>
      <c r="H536" s="4" t="s">
        <v>539</v>
      </c>
      <c r="I536" s="3" t="s">
        <v>535</v>
      </c>
      <c r="J536" s="3" t="s">
        <v>535</v>
      </c>
      <c r="K536" s="3" t="s">
        <v>535</v>
      </c>
      <c r="L536" s="3" t="s">
        <v>535</v>
      </c>
      <c r="M536" s="3" t="s">
        <v>2272</v>
      </c>
      <c r="N536" s="3" t="s">
        <v>2272</v>
      </c>
      <c r="O536" s="3" t="s">
        <v>2272</v>
      </c>
      <c r="P536" s="3" t="s">
        <v>2272</v>
      </c>
      <c r="Q536" s="3" t="s">
        <v>2272</v>
      </c>
      <c r="R536" s="3" t="s">
        <v>2272</v>
      </c>
      <c r="S536" s="3" t="s">
        <v>2272</v>
      </c>
      <c r="T536" s="3" t="s">
        <v>2272</v>
      </c>
      <c r="U536" s="3" t="s">
        <v>2272</v>
      </c>
      <c r="V536" s="3" t="s">
        <v>2272</v>
      </c>
      <c r="W536" s="3"/>
    </row>
    <row r="537" spans="1:23" ht="43.5" customHeight="1">
      <c r="A537" s="11" t="s">
        <v>5122</v>
      </c>
      <c r="B537" s="3" t="s">
        <v>5139</v>
      </c>
      <c r="C537" s="4" t="s">
        <v>23</v>
      </c>
      <c r="D537" s="3" t="s">
        <v>1238</v>
      </c>
      <c r="E537" s="4" t="s">
        <v>135</v>
      </c>
      <c r="F537" s="4" t="s">
        <v>2657</v>
      </c>
      <c r="G537" s="3"/>
      <c r="H537" s="4" t="s">
        <v>539</v>
      </c>
      <c r="I537" s="3" t="s">
        <v>2686</v>
      </c>
      <c r="J537" s="3" t="s">
        <v>2272</v>
      </c>
      <c r="K537" s="3" t="s">
        <v>532</v>
      </c>
      <c r="L537" s="3" t="s">
        <v>2272</v>
      </c>
      <c r="M537" s="3" t="s">
        <v>2272</v>
      </c>
      <c r="N537" s="3" t="s">
        <v>2272</v>
      </c>
      <c r="O537" s="3" t="s">
        <v>2272</v>
      </c>
      <c r="P537" s="3" t="s">
        <v>2272</v>
      </c>
      <c r="Q537" s="3" t="s">
        <v>2272</v>
      </c>
      <c r="R537" s="3" t="s">
        <v>535</v>
      </c>
      <c r="S537" s="3" t="s">
        <v>535</v>
      </c>
      <c r="T537" s="3" t="s">
        <v>535</v>
      </c>
      <c r="U537" s="3" t="s">
        <v>535</v>
      </c>
      <c r="V537" s="3" t="s">
        <v>2272</v>
      </c>
      <c r="W537" s="4" t="s">
        <v>5158</v>
      </c>
    </row>
    <row r="538" spans="1:23" ht="43.5" customHeight="1">
      <c r="A538" s="11" t="s">
        <v>5123</v>
      </c>
      <c r="B538" s="3" t="s">
        <v>5140</v>
      </c>
      <c r="C538" s="4" t="s">
        <v>23</v>
      </c>
      <c r="D538" s="3" t="s">
        <v>1238</v>
      </c>
      <c r="E538" s="4" t="s">
        <v>135</v>
      </c>
      <c r="F538" s="4" t="s">
        <v>2657</v>
      </c>
      <c r="G538" s="3"/>
      <c r="H538" s="4" t="s">
        <v>539</v>
      </c>
      <c r="I538" s="3" t="s">
        <v>2686</v>
      </c>
      <c r="J538" s="3" t="s">
        <v>2272</v>
      </c>
      <c r="K538" s="3" t="s">
        <v>532</v>
      </c>
      <c r="L538" s="3" t="s">
        <v>2272</v>
      </c>
      <c r="M538" s="3" t="s">
        <v>2272</v>
      </c>
      <c r="N538" s="3" t="s">
        <v>2272</v>
      </c>
      <c r="O538" s="3" t="s">
        <v>2272</v>
      </c>
      <c r="P538" s="3" t="s">
        <v>2272</v>
      </c>
      <c r="Q538" s="3" t="s">
        <v>2272</v>
      </c>
      <c r="R538" s="3" t="s">
        <v>535</v>
      </c>
      <c r="S538" s="3" t="s">
        <v>535</v>
      </c>
      <c r="T538" s="3" t="s">
        <v>535</v>
      </c>
      <c r="U538" s="3" t="s">
        <v>535</v>
      </c>
      <c r="V538" s="3" t="s">
        <v>2272</v>
      </c>
      <c r="W538" s="4" t="s">
        <v>5158</v>
      </c>
    </row>
    <row r="539" spans="1:23" ht="43.5" customHeight="1">
      <c r="A539" s="11" t="s">
        <v>5124</v>
      </c>
      <c r="B539" s="3" t="s">
        <v>5141</v>
      </c>
      <c r="C539" s="4" t="s">
        <v>23</v>
      </c>
      <c r="D539" s="3" t="s">
        <v>1238</v>
      </c>
      <c r="E539" s="4" t="s">
        <v>135</v>
      </c>
      <c r="F539" s="4" t="s">
        <v>2657</v>
      </c>
      <c r="G539" s="3"/>
      <c r="H539" s="4" t="s">
        <v>539</v>
      </c>
      <c r="I539" s="3" t="s">
        <v>2686</v>
      </c>
      <c r="J539" s="3" t="s">
        <v>2272</v>
      </c>
      <c r="K539" s="3" t="s">
        <v>532</v>
      </c>
      <c r="L539" s="3" t="s">
        <v>2272</v>
      </c>
      <c r="M539" s="3" t="s">
        <v>2272</v>
      </c>
      <c r="N539" s="3" t="s">
        <v>2272</v>
      </c>
      <c r="O539" s="3" t="s">
        <v>2272</v>
      </c>
      <c r="P539" s="3" t="s">
        <v>2272</v>
      </c>
      <c r="Q539" s="3" t="s">
        <v>2272</v>
      </c>
      <c r="R539" s="3" t="s">
        <v>535</v>
      </c>
      <c r="S539" s="3" t="s">
        <v>535</v>
      </c>
      <c r="T539" s="3" t="s">
        <v>535</v>
      </c>
      <c r="U539" s="3" t="s">
        <v>535</v>
      </c>
      <c r="V539" s="3" t="s">
        <v>2272</v>
      </c>
      <c r="W539" s="4" t="s">
        <v>5158</v>
      </c>
    </row>
    <row r="540" spans="1:23" ht="43.5" customHeight="1">
      <c r="A540" s="11" t="s">
        <v>5125</v>
      </c>
      <c r="B540" s="3" t="s">
        <v>5142</v>
      </c>
      <c r="C540" s="4" t="s">
        <v>23</v>
      </c>
      <c r="D540" s="3" t="s">
        <v>1238</v>
      </c>
      <c r="E540" s="4" t="s">
        <v>135</v>
      </c>
      <c r="F540" s="4" t="s">
        <v>2657</v>
      </c>
      <c r="G540" s="3"/>
      <c r="H540" s="4" t="s">
        <v>539</v>
      </c>
      <c r="I540" s="3" t="s">
        <v>2686</v>
      </c>
      <c r="J540" s="3" t="s">
        <v>2272</v>
      </c>
      <c r="K540" s="3" t="s">
        <v>532</v>
      </c>
      <c r="L540" s="3" t="s">
        <v>2272</v>
      </c>
      <c r="M540" s="3" t="s">
        <v>2272</v>
      </c>
      <c r="N540" s="3" t="s">
        <v>2272</v>
      </c>
      <c r="O540" s="3" t="s">
        <v>2272</v>
      </c>
      <c r="P540" s="3" t="s">
        <v>2272</v>
      </c>
      <c r="Q540" s="3" t="s">
        <v>2272</v>
      </c>
      <c r="R540" s="3" t="s">
        <v>535</v>
      </c>
      <c r="S540" s="3" t="s">
        <v>535</v>
      </c>
      <c r="T540" s="3" t="s">
        <v>535</v>
      </c>
      <c r="U540" s="3" t="s">
        <v>535</v>
      </c>
      <c r="V540" s="3" t="s">
        <v>2272</v>
      </c>
      <c r="W540" s="4" t="s">
        <v>5158</v>
      </c>
    </row>
    <row r="541" spans="1:23" ht="43.5" customHeight="1">
      <c r="A541" s="11" t="s">
        <v>5126</v>
      </c>
      <c r="B541" s="3" t="s">
        <v>5143</v>
      </c>
      <c r="C541" s="4" t="s">
        <v>23</v>
      </c>
      <c r="D541" s="3" t="s">
        <v>1238</v>
      </c>
      <c r="E541" s="4" t="s">
        <v>135</v>
      </c>
      <c r="F541" s="4" t="s">
        <v>2657</v>
      </c>
      <c r="G541" s="3"/>
      <c r="H541" s="4" t="s">
        <v>539</v>
      </c>
      <c r="I541" s="3" t="s">
        <v>2686</v>
      </c>
      <c r="J541" s="3" t="s">
        <v>2272</v>
      </c>
      <c r="K541" s="3" t="s">
        <v>532</v>
      </c>
      <c r="L541" s="3" t="s">
        <v>2272</v>
      </c>
      <c r="M541" s="3" t="s">
        <v>2272</v>
      </c>
      <c r="N541" s="3" t="s">
        <v>2272</v>
      </c>
      <c r="O541" s="3" t="s">
        <v>2272</v>
      </c>
      <c r="P541" s="3" t="s">
        <v>2272</v>
      </c>
      <c r="Q541" s="3" t="s">
        <v>2272</v>
      </c>
      <c r="R541" s="3" t="s">
        <v>535</v>
      </c>
      <c r="S541" s="3" t="s">
        <v>535</v>
      </c>
      <c r="T541" s="3" t="s">
        <v>535</v>
      </c>
      <c r="U541" s="3" t="s">
        <v>535</v>
      </c>
      <c r="V541" s="3" t="s">
        <v>2272</v>
      </c>
      <c r="W541" s="4" t="s">
        <v>5158</v>
      </c>
    </row>
    <row r="542" spans="1:23" ht="42.5" customHeight="1">
      <c r="A542" s="3" t="s">
        <v>5184</v>
      </c>
      <c r="B542" s="11" t="s">
        <v>5187</v>
      </c>
      <c r="C542" s="4" t="s">
        <v>23</v>
      </c>
      <c r="D542" s="3" t="s">
        <v>1102</v>
      </c>
      <c r="E542" s="3" t="s">
        <v>394</v>
      </c>
      <c r="F542" s="3" t="s">
        <v>73</v>
      </c>
      <c r="G542" s="3">
        <v>2015</v>
      </c>
      <c r="H542" s="4" t="s">
        <v>539</v>
      </c>
      <c r="I542" s="3" t="s">
        <v>2272</v>
      </c>
      <c r="J542" s="3" t="s">
        <v>2272</v>
      </c>
      <c r="K542" s="3" t="s">
        <v>2272</v>
      </c>
      <c r="L542" s="3" t="s">
        <v>2272</v>
      </c>
      <c r="M542" s="3" t="s">
        <v>2272</v>
      </c>
      <c r="N542" s="3" t="s">
        <v>2272</v>
      </c>
      <c r="O542" s="3" t="s">
        <v>2272</v>
      </c>
      <c r="P542" s="3" t="s">
        <v>2272</v>
      </c>
      <c r="Q542" s="3" t="s">
        <v>2272</v>
      </c>
      <c r="R542" s="3" t="s">
        <v>532</v>
      </c>
      <c r="S542" s="3" t="s">
        <v>2272</v>
      </c>
      <c r="T542" s="3" t="s">
        <v>2272</v>
      </c>
      <c r="U542" s="3" t="s">
        <v>2272</v>
      </c>
      <c r="V542" s="3">
        <v>3</v>
      </c>
      <c r="W542" s="19" t="s">
        <v>5200</v>
      </c>
    </row>
    <row r="543" spans="1:23" ht="43.5">
      <c r="A543" s="3" t="s">
        <v>5184</v>
      </c>
      <c r="B543" s="11" t="s">
        <v>5188</v>
      </c>
      <c r="C543" s="4" t="s">
        <v>23</v>
      </c>
      <c r="D543" s="3" t="s">
        <v>1102</v>
      </c>
      <c r="E543" s="3" t="s">
        <v>128</v>
      </c>
      <c r="F543" s="3" t="s">
        <v>73</v>
      </c>
      <c r="G543" s="3">
        <v>2015</v>
      </c>
      <c r="H543" s="4" t="s">
        <v>539</v>
      </c>
      <c r="I543" s="3" t="s">
        <v>2272</v>
      </c>
      <c r="J543" s="3" t="s">
        <v>2272</v>
      </c>
      <c r="K543" s="3" t="s">
        <v>2272</v>
      </c>
      <c r="L543" s="3" t="s">
        <v>2272</v>
      </c>
      <c r="M543" s="3" t="s">
        <v>2272</v>
      </c>
      <c r="N543" s="3" t="s">
        <v>2272</v>
      </c>
      <c r="O543" s="3" t="s">
        <v>2272</v>
      </c>
      <c r="P543" s="3" t="s">
        <v>2272</v>
      </c>
      <c r="Q543" s="3" t="s">
        <v>2272</v>
      </c>
      <c r="R543" s="3" t="s">
        <v>532</v>
      </c>
      <c r="S543" s="3" t="s">
        <v>2272</v>
      </c>
      <c r="T543" s="3" t="s">
        <v>2272</v>
      </c>
      <c r="U543" s="3" t="s">
        <v>2272</v>
      </c>
      <c r="V543" s="3">
        <v>3</v>
      </c>
      <c r="W543" s="19" t="s">
        <v>5200</v>
      </c>
    </row>
    <row r="544" spans="1:23" ht="43.5">
      <c r="A544" s="3" t="s">
        <v>5184</v>
      </c>
      <c r="B544" s="11" t="s">
        <v>5189</v>
      </c>
      <c r="C544" s="4" t="s">
        <v>23</v>
      </c>
      <c r="D544" s="3" t="s">
        <v>1102</v>
      </c>
      <c r="E544" s="3" t="s">
        <v>860</v>
      </c>
      <c r="F544" s="3" t="s">
        <v>73</v>
      </c>
      <c r="G544" s="3">
        <v>2015</v>
      </c>
      <c r="H544" s="4" t="s">
        <v>539</v>
      </c>
      <c r="I544" s="3" t="s">
        <v>2272</v>
      </c>
      <c r="J544" s="3" t="s">
        <v>2272</v>
      </c>
      <c r="K544" s="3" t="s">
        <v>2272</v>
      </c>
      <c r="L544" s="3" t="s">
        <v>2272</v>
      </c>
      <c r="M544" s="3" t="s">
        <v>2272</v>
      </c>
      <c r="N544" s="3" t="s">
        <v>2272</v>
      </c>
      <c r="O544" s="3" t="s">
        <v>2272</v>
      </c>
      <c r="P544" s="3" t="s">
        <v>2272</v>
      </c>
      <c r="Q544" s="3" t="s">
        <v>2272</v>
      </c>
      <c r="R544" s="3" t="s">
        <v>532</v>
      </c>
      <c r="S544" s="3" t="s">
        <v>2272</v>
      </c>
      <c r="T544" s="3" t="s">
        <v>2272</v>
      </c>
      <c r="U544" s="3" t="s">
        <v>2272</v>
      </c>
      <c r="V544" s="3">
        <v>3</v>
      </c>
      <c r="W544" s="19" t="s">
        <v>5200</v>
      </c>
    </row>
    <row r="545" spans="1:23" ht="62" customHeight="1">
      <c r="A545" s="4" t="s">
        <v>5203</v>
      </c>
      <c r="B545" s="19" t="s">
        <v>5210</v>
      </c>
      <c r="C545" s="4" t="s">
        <v>23</v>
      </c>
      <c r="D545" s="4" t="s">
        <v>135</v>
      </c>
      <c r="E545" s="4" t="s">
        <v>142</v>
      </c>
      <c r="F545" s="4" t="s">
        <v>54</v>
      </c>
      <c r="G545" s="3"/>
      <c r="H545" s="4" t="s">
        <v>539</v>
      </c>
      <c r="I545" s="3" t="s">
        <v>2686</v>
      </c>
      <c r="J545" s="3" t="s">
        <v>2272</v>
      </c>
      <c r="K545" s="3" t="s">
        <v>532</v>
      </c>
      <c r="L545" s="3" t="s">
        <v>2272</v>
      </c>
      <c r="M545" s="3" t="s">
        <v>2723</v>
      </c>
      <c r="N545" s="3" t="s">
        <v>2272</v>
      </c>
      <c r="O545" s="3" t="s">
        <v>2272</v>
      </c>
      <c r="P545" s="3" t="s">
        <v>2272</v>
      </c>
      <c r="Q545" s="3" t="s">
        <v>2272</v>
      </c>
      <c r="R545" s="3" t="s">
        <v>535</v>
      </c>
      <c r="S545" s="3" t="s">
        <v>535</v>
      </c>
      <c r="T545" s="3" t="s">
        <v>535</v>
      </c>
      <c r="U545" s="3" t="s">
        <v>535</v>
      </c>
      <c r="V545" s="3" t="s">
        <v>2272</v>
      </c>
      <c r="W545" s="4" t="s">
        <v>5215</v>
      </c>
    </row>
    <row r="546" spans="1:23" ht="67.5" customHeight="1">
      <c r="A546" s="4" t="s">
        <v>5203</v>
      </c>
      <c r="B546" s="19" t="s">
        <v>5211</v>
      </c>
      <c r="C546" s="4" t="s">
        <v>23</v>
      </c>
      <c r="D546" s="4" t="s">
        <v>404</v>
      </c>
      <c r="E546" s="4" t="s">
        <v>135</v>
      </c>
      <c r="F546" s="4" t="s">
        <v>54</v>
      </c>
      <c r="G546" s="3"/>
      <c r="H546" s="4" t="s">
        <v>539</v>
      </c>
      <c r="I546" s="3" t="s">
        <v>2686</v>
      </c>
      <c r="J546" s="3" t="s">
        <v>2272</v>
      </c>
      <c r="K546" s="3" t="s">
        <v>532</v>
      </c>
      <c r="L546" s="3" t="s">
        <v>2272</v>
      </c>
      <c r="M546" s="3" t="s">
        <v>2723</v>
      </c>
      <c r="N546" s="3" t="s">
        <v>2272</v>
      </c>
      <c r="O546" s="3" t="s">
        <v>2272</v>
      </c>
      <c r="P546" s="3" t="s">
        <v>2272</v>
      </c>
      <c r="Q546" s="3" t="s">
        <v>2272</v>
      </c>
      <c r="R546" s="3" t="s">
        <v>535</v>
      </c>
      <c r="S546" s="3" t="s">
        <v>535</v>
      </c>
      <c r="T546" s="3" t="s">
        <v>535</v>
      </c>
      <c r="U546" s="3" t="s">
        <v>535</v>
      </c>
      <c r="V546" s="3" t="s">
        <v>2272</v>
      </c>
      <c r="W546" s="4" t="s">
        <v>5215</v>
      </c>
    </row>
    <row r="547" spans="1:23" ht="61" customHeight="1">
      <c r="A547" s="3" t="s">
        <v>5217</v>
      </c>
      <c r="B547" s="11" t="s">
        <v>5221</v>
      </c>
      <c r="C547" s="4" t="s">
        <v>23</v>
      </c>
      <c r="D547" s="3" t="s">
        <v>1102</v>
      </c>
      <c r="E547" s="3" t="s">
        <v>1102</v>
      </c>
      <c r="F547" s="3" t="s">
        <v>1102</v>
      </c>
      <c r="G547" s="3"/>
      <c r="H547" s="4" t="s">
        <v>539</v>
      </c>
      <c r="I547" s="3" t="s">
        <v>2272</v>
      </c>
      <c r="J547" s="3" t="s">
        <v>2272</v>
      </c>
      <c r="K547" s="3" t="s">
        <v>2272</v>
      </c>
      <c r="L547" s="3" t="s">
        <v>2272</v>
      </c>
      <c r="M547" s="3" t="s">
        <v>2723</v>
      </c>
      <c r="N547" s="3" t="s">
        <v>2272</v>
      </c>
      <c r="O547" s="3" t="s">
        <v>2272</v>
      </c>
      <c r="P547" s="3" t="s">
        <v>2272</v>
      </c>
      <c r="Q547" s="3">
        <v>1</v>
      </c>
      <c r="R547" s="3" t="s">
        <v>2272</v>
      </c>
      <c r="S547" s="3" t="s">
        <v>2272</v>
      </c>
      <c r="T547" s="3" t="s">
        <v>2272</v>
      </c>
      <c r="U547" s="3" t="s">
        <v>2272</v>
      </c>
      <c r="V547" s="3" t="s">
        <v>2272</v>
      </c>
      <c r="W547" s="19" t="s">
        <v>5226</v>
      </c>
    </row>
    <row r="548" spans="1:23" ht="41.5" customHeight="1">
      <c r="A548" s="3" t="s">
        <v>5331</v>
      </c>
      <c r="B548" s="11" t="s">
        <v>5340</v>
      </c>
      <c r="C548" s="4" t="s">
        <v>23</v>
      </c>
      <c r="D548" s="3" t="s">
        <v>1102</v>
      </c>
      <c r="E548" s="3" t="s">
        <v>1102</v>
      </c>
      <c r="F548" s="3" t="s">
        <v>73</v>
      </c>
      <c r="G548" s="3"/>
      <c r="H548" s="4" t="s">
        <v>539</v>
      </c>
      <c r="I548" s="3" t="s">
        <v>535</v>
      </c>
      <c r="J548" s="3" t="s">
        <v>535</v>
      </c>
      <c r="K548" s="3" t="s">
        <v>535</v>
      </c>
      <c r="L548" s="3" t="s">
        <v>535</v>
      </c>
      <c r="M548" s="3" t="s">
        <v>2272</v>
      </c>
      <c r="N548" s="3" t="s">
        <v>2272</v>
      </c>
      <c r="O548" s="3" t="s">
        <v>2272</v>
      </c>
      <c r="P548" s="3" t="s">
        <v>2272</v>
      </c>
      <c r="Q548" s="3" t="s">
        <v>2272</v>
      </c>
      <c r="R548" s="3" t="s">
        <v>2272</v>
      </c>
      <c r="S548" s="3" t="s">
        <v>2272</v>
      </c>
      <c r="T548" s="3" t="s">
        <v>2272</v>
      </c>
      <c r="U548" s="3" t="s">
        <v>2272</v>
      </c>
      <c r="V548" s="3" t="s">
        <v>2272</v>
      </c>
      <c r="W548" s="3"/>
    </row>
    <row r="549" spans="1:23" ht="67" customHeight="1">
      <c r="A549" s="3" t="s">
        <v>5332</v>
      </c>
      <c r="B549" s="11" t="s">
        <v>5343</v>
      </c>
      <c r="C549" s="4" t="s">
        <v>23</v>
      </c>
      <c r="D549" s="3" t="s">
        <v>1102</v>
      </c>
      <c r="E549" s="3" t="s">
        <v>82</v>
      </c>
      <c r="F549" s="3" t="s">
        <v>73</v>
      </c>
      <c r="G549" s="3"/>
      <c r="H549" s="4" t="s">
        <v>539</v>
      </c>
      <c r="I549" s="3" t="s">
        <v>535</v>
      </c>
      <c r="J549" s="3" t="s">
        <v>535</v>
      </c>
      <c r="K549" s="3" t="s">
        <v>535</v>
      </c>
      <c r="L549" s="3" t="s">
        <v>535</v>
      </c>
      <c r="M549" s="3" t="s">
        <v>2272</v>
      </c>
      <c r="N549" s="3" t="s">
        <v>2272</v>
      </c>
      <c r="O549" s="3" t="s">
        <v>2272</v>
      </c>
      <c r="P549" s="3" t="s">
        <v>2272</v>
      </c>
      <c r="Q549" s="3" t="s">
        <v>2272</v>
      </c>
      <c r="R549" s="3" t="s">
        <v>532</v>
      </c>
      <c r="S549" s="3" t="s">
        <v>2272</v>
      </c>
      <c r="T549" s="3" t="s">
        <v>2272</v>
      </c>
      <c r="U549" s="3" t="s">
        <v>532</v>
      </c>
      <c r="V549" s="3">
        <v>4</v>
      </c>
      <c r="W549" s="4" t="s">
        <v>5352</v>
      </c>
    </row>
    <row r="550" spans="1:23" ht="67" customHeight="1">
      <c r="A550" s="3" t="s">
        <v>5332</v>
      </c>
      <c r="B550" s="11" t="s">
        <v>5344</v>
      </c>
      <c r="C550" s="4" t="s">
        <v>23</v>
      </c>
      <c r="D550" s="3" t="s">
        <v>1102</v>
      </c>
      <c r="E550" s="3" t="s">
        <v>128</v>
      </c>
      <c r="F550" s="3" t="s">
        <v>73</v>
      </c>
      <c r="G550" s="3"/>
      <c r="H550" s="4" t="s">
        <v>539</v>
      </c>
      <c r="I550" s="3" t="s">
        <v>535</v>
      </c>
      <c r="J550" s="3" t="s">
        <v>535</v>
      </c>
      <c r="K550" s="3" t="s">
        <v>535</v>
      </c>
      <c r="L550" s="3" t="s">
        <v>535</v>
      </c>
      <c r="M550" s="3" t="s">
        <v>2272</v>
      </c>
      <c r="N550" s="3" t="s">
        <v>2272</v>
      </c>
      <c r="O550" s="3" t="s">
        <v>2272</v>
      </c>
      <c r="P550" s="3" t="s">
        <v>2272</v>
      </c>
      <c r="Q550" s="3" t="s">
        <v>2272</v>
      </c>
      <c r="R550" s="3" t="s">
        <v>532</v>
      </c>
      <c r="S550" s="3" t="s">
        <v>2272</v>
      </c>
      <c r="T550" s="3" t="s">
        <v>2272</v>
      </c>
      <c r="U550" s="3" t="s">
        <v>532</v>
      </c>
      <c r="V550" s="3">
        <v>2</v>
      </c>
      <c r="W550" s="4" t="s">
        <v>5352</v>
      </c>
    </row>
    <row r="551" spans="1:23" ht="67" customHeight="1">
      <c r="A551" s="3" t="s">
        <v>5332</v>
      </c>
      <c r="B551" s="11" t="s">
        <v>5345</v>
      </c>
      <c r="C551" s="4" t="s">
        <v>23</v>
      </c>
      <c r="D551" s="3" t="s">
        <v>1102</v>
      </c>
      <c r="E551" s="3" t="s">
        <v>128</v>
      </c>
      <c r="F551" s="3" t="s">
        <v>73</v>
      </c>
      <c r="G551" s="3"/>
      <c r="H551" s="4" t="s">
        <v>2669</v>
      </c>
      <c r="I551" s="3" t="s">
        <v>2685</v>
      </c>
      <c r="J551" s="3" t="s">
        <v>2272</v>
      </c>
      <c r="K551" s="3" t="s">
        <v>2272</v>
      </c>
      <c r="L551" s="3" t="s">
        <v>532</v>
      </c>
      <c r="M551" s="3" t="s">
        <v>2272</v>
      </c>
      <c r="N551" s="3" t="s">
        <v>2272</v>
      </c>
      <c r="O551" s="3" t="s">
        <v>2272</v>
      </c>
      <c r="P551" s="3" t="s">
        <v>2272</v>
      </c>
      <c r="Q551" s="3" t="s">
        <v>2272</v>
      </c>
      <c r="R551" s="3" t="s">
        <v>2272</v>
      </c>
      <c r="S551" s="3" t="s">
        <v>2272</v>
      </c>
      <c r="T551" s="3" t="s">
        <v>2272</v>
      </c>
      <c r="U551" s="3" t="s">
        <v>2272</v>
      </c>
      <c r="V551" s="3" t="s">
        <v>2272</v>
      </c>
      <c r="W551" s="19" t="s">
        <v>5354</v>
      </c>
    </row>
    <row r="552" spans="1:23" ht="67" customHeight="1">
      <c r="A552" s="3" t="s">
        <v>5332</v>
      </c>
      <c r="B552" s="11" t="s">
        <v>5353</v>
      </c>
      <c r="C552" s="4" t="s">
        <v>23</v>
      </c>
      <c r="D552" s="3" t="s">
        <v>1102</v>
      </c>
      <c r="E552" s="4" t="s">
        <v>114</v>
      </c>
      <c r="F552" s="3" t="s">
        <v>73</v>
      </c>
      <c r="G552" s="3"/>
      <c r="H552" s="4" t="s">
        <v>2669</v>
      </c>
      <c r="I552" s="3" t="s">
        <v>2685</v>
      </c>
      <c r="J552" s="3" t="s">
        <v>2272</v>
      </c>
      <c r="K552" s="3" t="s">
        <v>2272</v>
      </c>
      <c r="L552" s="3" t="s">
        <v>532</v>
      </c>
      <c r="M552" s="3" t="s">
        <v>2272</v>
      </c>
      <c r="N552" s="3" t="s">
        <v>2272</v>
      </c>
      <c r="O552" s="3" t="s">
        <v>2272</v>
      </c>
      <c r="P552" s="3" t="s">
        <v>2272</v>
      </c>
      <c r="Q552" s="3" t="s">
        <v>2272</v>
      </c>
      <c r="R552" s="3" t="s">
        <v>2272</v>
      </c>
      <c r="S552" s="3" t="s">
        <v>2272</v>
      </c>
      <c r="T552" s="3" t="s">
        <v>2272</v>
      </c>
      <c r="U552" s="3" t="s">
        <v>2272</v>
      </c>
      <c r="V552" s="3" t="s">
        <v>2272</v>
      </c>
      <c r="W552" s="19" t="s">
        <v>5354</v>
      </c>
    </row>
    <row r="553" spans="1:23" ht="67" customHeight="1">
      <c r="A553" s="3" t="s">
        <v>5333</v>
      </c>
      <c r="B553" s="11" t="s">
        <v>5347</v>
      </c>
      <c r="C553" s="4" t="s">
        <v>23</v>
      </c>
      <c r="D553" s="3" t="s">
        <v>1102</v>
      </c>
      <c r="E553" s="3" t="s">
        <v>1102</v>
      </c>
      <c r="F553" s="3" t="s">
        <v>73</v>
      </c>
      <c r="G553" s="3"/>
      <c r="H553" s="4" t="s">
        <v>539</v>
      </c>
      <c r="I553" s="3" t="s">
        <v>535</v>
      </c>
      <c r="J553" s="3" t="s">
        <v>535</v>
      </c>
      <c r="K553" s="3" t="s">
        <v>535</v>
      </c>
      <c r="L553" s="3" t="s">
        <v>535</v>
      </c>
      <c r="M553" s="3" t="s">
        <v>2272</v>
      </c>
      <c r="N553" s="3" t="s">
        <v>2272</v>
      </c>
      <c r="O553" s="3" t="s">
        <v>2272</v>
      </c>
      <c r="P553" s="3" t="s">
        <v>2272</v>
      </c>
      <c r="Q553" s="3" t="s">
        <v>2272</v>
      </c>
      <c r="R553" s="3" t="s">
        <v>2272</v>
      </c>
      <c r="S553" s="3" t="s">
        <v>2272</v>
      </c>
      <c r="T553" s="3" t="s">
        <v>2272</v>
      </c>
      <c r="U553" s="3" t="s">
        <v>2272</v>
      </c>
      <c r="V553" s="3" t="s">
        <v>2272</v>
      </c>
      <c r="W553" s="3"/>
    </row>
    <row r="554" spans="1:23" ht="67" customHeight="1">
      <c r="A554" s="3" t="s">
        <v>5334</v>
      </c>
      <c r="B554" s="11" t="s">
        <v>5350</v>
      </c>
      <c r="C554" s="4" t="s">
        <v>23</v>
      </c>
      <c r="D554" s="3" t="s">
        <v>1102</v>
      </c>
      <c r="E554" s="3" t="s">
        <v>82</v>
      </c>
      <c r="F554" s="3" t="s">
        <v>73</v>
      </c>
      <c r="G554" s="3"/>
      <c r="H554" s="4" t="s">
        <v>539</v>
      </c>
      <c r="I554" s="3" t="s">
        <v>535</v>
      </c>
      <c r="J554" s="3" t="s">
        <v>535</v>
      </c>
      <c r="K554" s="3" t="s">
        <v>535</v>
      </c>
      <c r="L554" s="3" t="s">
        <v>535</v>
      </c>
      <c r="M554" s="3" t="s">
        <v>2272</v>
      </c>
      <c r="N554" s="3" t="s">
        <v>2272</v>
      </c>
      <c r="O554" s="3" t="s">
        <v>2272</v>
      </c>
      <c r="P554" s="3" t="s">
        <v>2272</v>
      </c>
      <c r="Q554" s="3" t="s">
        <v>2272</v>
      </c>
      <c r="R554" s="3" t="s">
        <v>532</v>
      </c>
      <c r="S554" s="3" t="s">
        <v>2272</v>
      </c>
      <c r="T554" s="3" t="s">
        <v>2272</v>
      </c>
      <c r="U554" s="3" t="s">
        <v>532</v>
      </c>
      <c r="V554" s="3">
        <v>4</v>
      </c>
      <c r="W554" s="4" t="s">
        <v>5352</v>
      </c>
    </row>
    <row r="555" spans="1:23" ht="67" customHeight="1">
      <c r="A555" s="3" t="s">
        <v>5334</v>
      </c>
      <c r="B555" s="11" t="s">
        <v>5351</v>
      </c>
      <c r="C555" s="4" t="s">
        <v>23</v>
      </c>
      <c r="D555" s="3" t="s">
        <v>1102</v>
      </c>
      <c r="E555" s="3" t="s">
        <v>128</v>
      </c>
      <c r="F555" s="3" t="s">
        <v>73</v>
      </c>
      <c r="G555" s="3"/>
      <c r="H555" s="4" t="s">
        <v>539</v>
      </c>
      <c r="I555" s="3" t="s">
        <v>535</v>
      </c>
      <c r="J555" s="3" t="s">
        <v>535</v>
      </c>
      <c r="K555" s="3" t="s">
        <v>535</v>
      </c>
      <c r="L555" s="3" t="s">
        <v>535</v>
      </c>
      <c r="M555" s="3" t="s">
        <v>2272</v>
      </c>
      <c r="N555" s="3" t="s">
        <v>2272</v>
      </c>
      <c r="O555" s="3" t="s">
        <v>2272</v>
      </c>
      <c r="P555" s="3" t="s">
        <v>2272</v>
      </c>
      <c r="Q555" s="3" t="s">
        <v>2272</v>
      </c>
      <c r="R555" s="3" t="s">
        <v>532</v>
      </c>
      <c r="S555" s="3" t="s">
        <v>2272</v>
      </c>
      <c r="T555" s="3" t="s">
        <v>2272</v>
      </c>
      <c r="U555" s="3" t="s">
        <v>532</v>
      </c>
      <c r="V555" s="3">
        <v>2</v>
      </c>
      <c r="W555" s="4" t="s">
        <v>5352</v>
      </c>
    </row>
    <row r="556" spans="1:23" ht="79" customHeight="1">
      <c r="A556" s="147" t="s">
        <v>5364</v>
      </c>
      <c r="B556" s="147" t="s">
        <v>5368</v>
      </c>
      <c r="C556" s="147" t="s">
        <v>23</v>
      </c>
      <c r="D556" s="3" t="s">
        <v>1102</v>
      </c>
      <c r="E556" s="3" t="s">
        <v>1102</v>
      </c>
      <c r="F556" s="3" t="s">
        <v>73</v>
      </c>
      <c r="G556" s="3"/>
      <c r="H556" s="4" t="s">
        <v>539</v>
      </c>
      <c r="I556" s="3" t="s">
        <v>2272</v>
      </c>
      <c r="J556" s="3" t="s">
        <v>2272</v>
      </c>
      <c r="K556" s="3" t="s">
        <v>2272</v>
      </c>
      <c r="L556" s="3" t="s">
        <v>2272</v>
      </c>
      <c r="M556" s="3" t="s">
        <v>2665</v>
      </c>
      <c r="N556" s="3" t="s">
        <v>2272</v>
      </c>
      <c r="O556" s="3" t="s">
        <v>2272</v>
      </c>
      <c r="P556" s="3" t="s">
        <v>2272</v>
      </c>
      <c r="Q556" s="3">
        <v>4</v>
      </c>
      <c r="R556" s="3" t="s">
        <v>535</v>
      </c>
      <c r="S556" s="3" t="s">
        <v>2272</v>
      </c>
      <c r="T556" s="3" t="s">
        <v>2272</v>
      </c>
      <c r="U556" s="3" t="s">
        <v>2272</v>
      </c>
      <c r="V556" s="3" t="s">
        <v>2272</v>
      </c>
      <c r="W556" s="4" t="s">
        <v>5375</v>
      </c>
    </row>
    <row r="557" spans="1:23" ht="54.5" customHeight="1">
      <c r="A557" s="11" t="s">
        <v>5379</v>
      </c>
      <c r="B557" s="11" t="s">
        <v>5382</v>
      </c>
      <c r="C557" s="3" t="s">
        <v>23</v>
      </c>
      <c r="D557" s="3" t="s">
        <v>1238</v>
      </c>
      <c r="E557" s="4" t="s">
        <v>135</v>
      </c>
      <c r="F557" s="4" t="s">
        <v>2657</v>
      </c>
      <c r="G557" s="3"/>
      <c r="H557" s="4" t="s">
        <v>539</v>
      </c>
      <c r="I557" t="s">
        <v>2686</v>
      </c>
      <c r="J557" s="3" t="s">
        <v>2272</v>
      </c>
      <c r="K557" s="3" t="s">
        <v>2272</v>
      </c>
      <c r="L557" s="3" t="s">
        <v>2272</v>
      </c>
      <c r="M557" s="3" t="s">
        <v>2272</v>
      </c>
      <c r="N557" s="3" t="s">
        <v>2272</v>
      </c>
      <c r="O557" s="3" t="s">
        <v>2272</v>
      </c>
      <c r="P557" s="3" t="s">
        <v>2272</v>
      </c>
      <c r="Q557" s="3" t="s">
        <v>2272</v>
      </c>
      <c r="R557" s="3" t="s">
        <v>535</v>
      </c>
      <c r="S557" s="3" t="s">
        <v>535</v>
      </c>
      <c r="T557" s="3" t="s">
        <v>535</v>
      </c>
      <c r="U557" s="3" t="s">
        <v>535</v>
      </c>
      <c r="V557" s="3" t="s">
        <v>2272</v>
      </c>
      <c r="W557" s="19" t="s">
        <v>5394</v>
      </c>
    </row>
    <row r="558" spans="1:23" ht="47" customHeight="1">
      <c r="A558" s="34" t="s">
        <v>5379</v>
      </c>
      <c r="B558" s="34" t="s">
        <v>5383</v>
      </c>
      <c r="C558" s="35" t="s">
        <v>23</v>
      </c>
      <c r="D558" s="35" t="s">
        <v>1238</v>
      </c>
      <c r="E558" s="35" t="s">
        <v>114</v>
      </c>
      <c r="F558" s="163" t="s">
        <v>2657</v>
      </c>
      <c r="G558" s="35"/>
      <c r="H558" s="163" t="s">
        <v>539</v>
      </c>
      <c r="I558" t="s">
        <v>2686</v>
      </c>
      <c r="J558" s="35" t="s">
        <v>2272</v>
      </c>
      <c r="K558" s="35" t="s">
        <v>2272</v>
      </c>
      <c r="L558" s="35" t="s">
        <v>2272</v>
      </c>
      <c r="M558" s="35" t="s">
        <v>2272</v>
      </c>
      <c r="N558" s="35" t="s">
        <v>2272</v>
      </c>
      <c r="O558" s="35" t="s">
        <v>2272</v>
      </c>
      <c r="P558" s="35" t="s">
        <v>2272</v>
      </c>
      <c r="Q558" s="35" t="s">
        <v>2272</v>
      </c>
      <c r="R558" s="35" t="s">
        <v>535</v>
      </c>
      <c r="S558" s="35" t="s">
        <v>535</v>
      </c>
      <c r="T558" s="35" t="s">
        <v>535</v>
      </c>
      <c r="U558" s="35" t="s">
        <v>535</v>
      </c>
      <c r="V558" s="35" t="s">
        <v>2272</v>
      </c>
      <c r="W558" s="52" t="s">
        <v>5395</v>
      </c>
    </row>
    <row r="559" spans="1:23" ht="80" customHeight="1">
      <c r="A559" s="11" t="s">
        <v>5415</v>
      </c>
      <c r="B559" s="11" t="s">
        <v>5417</v>
      </c>
      <c r="C559" s="3" t="s">
        <v>23</v>
      </c>
      <c r="D559" s="3" t="s">
        <v>1238</v>
      </c>
      <c r="E559" s="4" t="s">
        <v>135</v>
      </c>
      <c r="F559" s="4" t="s">
        <v>2657</v>
      </c>
      <c r="G559" s="3"/>
      <c r="H559" s="4" t="s">
        <v>539</v>
      </c>
      <c r="I559" s="3" t="s">
        <v>2686</v>
      </c>
      <c r="J559" s="3" t="s">
        <v>2272</v>
      </c>
      <c r="K559" s="3" t="s">
        <v>532</v>
      </c>
      <c r="L559" s="3" t="s">
        <v>2272</v>
      </c>
      <c r="M559" s="3" t="s">
        <v>2272</v>
      </c>
      <c r="N559" s="3" t="s">
        <v>2272</v>
      </c>
      <c r="O559" s="3" t="s">
        <v>2272</v>
      </c>
      <c r="P559" s="3" t="s">
        <v>2272</v>
      </c>
      <c r="Q559" s="3" t="s">
        <v>2272</v>
      </c>
      <c r="R559" s="3" t="s">
        <v>535</v>
      </c>
      <c r="S559" s="3" t="s">
        <v>535</v>
      </c>
      <c r="T559" s="3" t="s">
        <v>535</v>
      </c>
      <c r="U559" s="3" t="s">
        <v>535</v>
      </c>
      <c r="V559" s="3" t="s">
        <v>2272</v>
      </c>
      <c r="W559" s="4" t="s">
        <v>5420</v>
      </c>
    </row>
    <row r="560" spans="1:23" ht="80" customHeight="1">
      <c r="A560" s="11" t="s">
        <v>5415</v>
      </c>
      <c r="B560" s="11" t="s">
        <v>5418</v>
      </c>
      <c r="C560" s="3" t="s">
        <v>23</v>
      </c>
      <c r="D560" s="3" t="s">
        <v>1238</v>
      </c>
      <c r="E560" s="4" t="s">
        <v>114</v>
      </c>
      <c r="F560" s="4" t="s">
        <v>2657</v>
      </c>
      <c r="G560" s="3"/>
      <c r="H560" s="4" t="s">
        <v>539</v>
      </c>
      <c r="I560" s="3" t="s">
        <v>2686</v>
      </c>
      <c r="J560" s="3" t="s">
        <v>2272</v>
      </c>
      <c r="K560" s="3" t="s">
        <v>532</v>
      </c>
      <c r="L560" s="3" t="s">
        <v>2272</v>
      </c>
      <c r="M560" s="3" t="s">
        <v>2272</v>
      </c>
      <c r="N560" s="3" t="s">
        <v>2272</v>
      </c>
      <c r="O560" s="3" t="s">
        <v>2272</v>
      </c>
      <c r="P560" s="3" t="s">
        <v>2272</v>
      </c>
      <c r="Q560" s="3" t="s">
        <v>2272</v>
      </c>
      <c r="R560" s="3" t="s">
        <v>535</v>
      </c>
      <c r="S560" s="3" t="s">
        <v>535</v>
      </c>
      <c r="T560" s="3" t="s">
        <v>535</v>
      </c>
      <c r="U560" s="3" t="s">
        <v>535</v>
      </c>
      <c r="V560" s="3" t="s">
        <v>2272</v>
      </c>
      <c r="W560" s="4" t="s">
        <v>5420</v>
      </c>
    </row>
    <row r="561" spans="1:23" ht="43" customHeight="1">
      <c r="A561" s="11" t="s">
        <v>5421</v>
      </c>
      <c r="B561" s="11" t="s">
        <v>5424</v>
      </c>
      <c r="C561" s="3" t="s">
        <v>23</v>
      </c>
      <c r="D561" s="3" t="s">
        <v>1102</v>
      </c>
      <c r="E561" s="3" t="s">
        <v>1102</v>
      </c>
      <c r="F561" s="3" t="s">
        <v>73</v>
      </c>
      <c r="G561" s="3">
        <v>2005</v>
      </c>
      <c r="H561" s="4" t="s">
        <v>539</v>
      </c>
      <c r="I561" s="3" t="s">
        <v>2272</v>
      </c>
      <c r="J561" s="3" t="s">
        <v>2272</v>
      </c>
      <c r="K561" s="3" t="s">
        <v>2272</v>
      </c>
      <c r="L561" s="3" t="s">
        <v>2272</v>
      </c>
      <c r="M561" s="3" t="s">
        <v>2272</v>
      </c>
      <c r="N561" s="3" t="s">
        <v>2272</v>
      </c>
      <c r="O561" s="3" t="s">
        <v>2272</v>
      </c>
      <c r="P561" s="3" t="s">
        <v>2272</v>
      </c>
      <c r="Q561" s="3" t="s">
        <v>2272</v>
      </c>
      <c r="R561" s="3" t="s">
        <v>532</v>
      </c>
      <c r="S561" s="3" t="s">
        <v>2272</v>
      </c>
      <c r="T561" s="3" t="s">
        <v>2272</v>
      </c>
      <c r="U561" s="3" t="s">
        <v>2272</v>
      </c>
      <c r="V561" s="3">
        <v>4</v>
      </c>
      <c r="W561" s="4" t="s">
        <v>5431</v>
      </c>
    </row>
    <row r="562" spans="1:23" ht="30.5" customHeight="1">
      <c r="A562" s="11" t="s">
        <v>5434</v>
      </c>
      <c r="B562" s="11" t="s">
        <v>5450</v>
      </c>
      <c r="C562" s="3" t="s">
        <v>23</v>
      </c>
      <c r="D562" s="3" t="s">
        <v>1102</v>
      </c>
      <c r="E562" s="3" t="s">
        <v>1102</v>
      </c>
      <c r="F562" s="3" t="s">
        <v>1102</v>
      </c>
      <c r="G562" s="3"/>
      <c r="H562" s="4" t="s">
        <v>539</v>
      </c>
      <c r="I562" s="3" t="s">
        <v>2272</v>
      </c>
      <c r="J562" s="3" t="s">
        <v>2272</v>
      </c>
      <c r="K562" s="3" t="s">
        <v>2272</v>
      </c>
      <c r="L562" s="3" t="s">
        <v>2272</v>
      </c>
      <c r="M562" s="3" t="s">
        <v>2272</v>
      </c>
      <c r="N562" s="3" t="s">
        <v>2272</v>
      </c>
      <c r="O562" s="3" t="s">
        <v>2272</v>
      </c>
      <c r="P562" s="3" t="s">
        <v>2272</v>
      </c>
      <c r="Q562" s="3" t="s">
        <v>2272</v>
      </c>
      <c r="R562" s="3" t="s">
        <v>532</v>
      </c>
      <c r="S562" s="3" t="s">
        <v>2272</v>
      </c>
      <c r="T562" s="3" t="s">
        <v>2272</v>
      </c>
      <c r="U562" s="3" t="s">
        <v>2272</v>
      </c>
      <c r="V562" s="3">
        <v>1</v>
      </c>
      <c r="W562" s="19" t="s">
        <v>5520</v>
      </c>
    </row>
    <row r="563" spans="1:23" ht="30.5" customHeight="1">
      <c r="A563" s="11" t="s">
        <v>5437</v>
      </c>
      <c r="B563" s="11" t="s">
        <v>5477</v>
      </c>
      <c r="C563" s="3" t="s">
        <v>23</v>
      </c>
      <c r="D563" s="3" t="s">
        <v>1102</v>
      </c>
      <c r="E563" s="3" t="s">
        <v>1102</v>
      </c>
      <c r="F563" s="3" t="s">
        <v>1102</v>
      </c>
      <c r="G563" s="3"/>
      <c r="H563" s="4" t="s">
        <v>539</v>
      </c>
      <c r="I563" s="3" t="s">
        <v>2272</v>
      </c>
      <c r="J563" s="3" t="s">
        <v>2272</v>
      </c>
      <c r="K563" s="3" t="s">
        <v>2272</v>
      </c>
      <c r="L563" s="3" t="s">
        <v>2272</v>
      </c>
      <c r="M563" s="3" t="s">
        <v>2272</v>
      </c>
      <c r="N563" s="3" t="s">
        <v>2272</v>
      </c>
      <c r="O563" s="3" t="s">
        <v>2272</v>
      </c>
      <c r="P563" s="3" t="s">
        <v>2272</v>
      </c>
      <c r="Q563" s="3" t="s">
        <v>2272</v>
      </c>
      <c r="R563" s="3" t="s">
        <v>532</v>
      </c>
      <c r="S563" s="3" t="s">
        <v>2272</v>
      </c>
      <c r="T563" s="3" t="s">
        <v>2272</v>
      </c>
      <c r="U563" s="3" t="s">
        <v>2272</v>
      </c>
      <c r="V563" s="3">
        <v>1</v>
      </c>
      <c r="W563" s="19" t="s">
        <v>5520</v>
      </c>
    </row>
    <row r="564" spans="1:23" ht="30.5" customHeight="1">
      <c r="A564" s="11" t="s">
        <v>5438</v>
      </c>
      <c r="B564" s="11" t="s">
        <v>5489</v>
      </c>
      <c r="C564" s="3" t="s">
        <v>23</v>
      </c>
      <c r="D564" s="3" t="s">
        <v>1102</v>
      </c>
      <c r="E564" s="3" t="s">
        <v>1102</v>
      </c>
      <c r="F564" s="3" t="s">
        <v>1102</v>
      </c>
      <c r="G564" s="3"/>
      <c r="H564" s="4" t="s">
        <v>539</v>
      </c>
      <c r="I564" s="3" t="s">
        <v>2272</v>
      </c>
      <c r="J564" s="3" t="s">
        <v>2272</v>
      </c>
      <c r="K564" s="3" t="s">
        <v>2272</v>
      </c>
      <c r="L564" s="3" t="s">
        <v>2272</v>
      </c>
      <c r="M564" s="3" t="s">
        <v>2272</v>
      </c>
      <c r="N564" s="3" t="s">
        <v>2272</v>
      </c>
      <c r="O564" s="3" t="s">
        <v>2272</v>
      </c>
      <c r="P564" s="3" t="s">
        <v>2272</v>
      </c>
      <c r="Q564" s="3" t="s">
        <v>2272</v>
      </c>
      <c r="R564" s="3" t="s">
        <v>532</v>
      </c>
      <c r="S564" s="3" t="s">
        <v>2272</v>
      </c>
      <c r="T564" s="3" t="s">
        <v>2272</v>
      </c>
      <c r="U564" s="3" t="s">
        <v>2272</v>
      </c>
      <c r="V564" s="3">
        <v>1</v>
      </c>
      <c r="W564" s="19" t="s">
        <v>5520</v>
      </c>
    </row>
    <row r="565" spans="1:23" ht="30.5" customHeight="1">
      <c r="A565" s="11" t="s">
        <v>5440</v>
      </c>
      <c r="B565" s="11" t="s">
        <v>5501</v>
      </c>
      <c r="C565" s="3" t="s">
        <v>23</v>
      </c>
      <c r="D565" s="3" t="s">
        <v>1102</v>
      </c>
      <c r="E565" s="3" t="s">
        <v>1102</v>
      </c>
      <c r="F565" s="3" t="s">
        <v>1102</v>
      </c>
      <c r="G565" s="3"/>
      <c r="H565" s="4" t="s">
        <v>539</v>
      </c>
      <c r="I565" s="3" t="s">
        <v>2272</v>
      </c>
      <c r="J565" s="3" t="s">
        <v>2272</v>
      </c>
      <c r="K565" s="3" t="s">
        <v>2272</v>
      </c>
      <c r="L565" s="3" t="s">
        <v>2272</v>
      </c>
      <c r="M565" s="3" t="s">
        <v>2272</v>
      </c>
      <c r="N565" s="3" t="s">
        <v>2272</v>
      </c>
      <c r="O565" s="3" t="s">
        <v>2272</v>
      </c>
      <c r="P565" s="3" t="s">
        <v>2272</v>
      </c>
      <c r="Q565" s="3" t="s">
        <v>2272</v>
      </c>
      <c r="R565" s="3" t="s">
        <v>532</v>
      </c>
      <c r="S565" s="3" t="s">
        <v>2272</v>
      </c>
      <c r="T565" s="3" t="s">
        <v>2272</v>
      </c>
      <c r="U565" s="3" t="s">
        <v>2272</v>
      </c>
      <c r="V565" s="3">
        <v>1</v>
      </c>
      <c r="W565" s="19" t="s">
        <v>5520</v>
      </c>
    </row>
    <row r="566" spans="1:23" ht="30.5" customHeight="1">
      <c r="A566" s="11" t="s">
        <v>5439</v>
      </c>
      <c r="B566" s="11" t="s">
        <v>5511</v>
      </c>
      <c r="C566" s="3" t="s">
        <v>23</v>
      </c>
      <c r="D566" s="3" t="s">
        <v>1102</v>
      </c>
      <c r="E566" s="3" t="s">
        <v>1102</v>
      </c>
      <c r="F566" s="3" t="s">
        <v>1102</v>
      </c>
      <c r="G566" s="3"/>
      <c r="H566" s="4" t="s">
        <v>539</v>
      </c>
      <c r="I566" s="3" t="s">
        <v>2272</v>
      </c>
      <c r="J566" s="3" t="s">
        <v>2272</v>
      </c>
      <c r="K566" s="3" t="s">
        <v>2272</v>
      </c>
      <c r="L566" s="3" t="s">
        <v>2272</v>
      </c>
      <c r="M566" s="3" t="s">
        <v>2272</v>
      </c>
      <c r="N566" s="3" t="s">
        <v>2272</v>
      </c>
      <c r="O566" s="3" t="s">
        <v>2272</v>
      </c>
      <c r="P566" s="3" t="s">
        <v>2272</v>
      </c>
      <c r="Q566" s="3" t="s">
        <v>2272</v>
      </c>
      <c r="R566" s="3" t="s">
        <v>532</v>
      </c>
      <c r="S566" s="3" t="s">
        <v>2272</v>
      </c>
      <c r="T566" s="3" t="s">
        <v>2272</v>
      </c>
      <c r="U566" s="3" t="s">
        <v>2272</v>
      </c>
      <c r="V566" s="3">
        <v>1</v>
      </c>
      <c r="W566" s="19" t="s">
        <v>5520</v>
      </c>
    </row>
    <row r="567" spans="1:23" ht="32" customHeight="1">
      <c r="A567" s="11" t="s">
        <v>5521</v>
      </c>
      <c r="B567" s="11" t="s">
        <v>5545</v>
      </c>
      <c r="C567" s="3" t="s">
        <v>23</v>
      </c>
      <c r="D567" s="3" t="s">
        <v>26</v>
      </c>
      <c r="E567" s="3" t="s">
        <v>1102</v>
      </c>
      <c r="F567" s="4" t="s">
        <v>158</v>
      </c>
      <c r="G567" s="3"/>
      <c r="H567" s="4" t="s">
        <v>539</v>
      </c>
      <c r="I567" s="3" t="s">
        <v>2685</v>
      </c>
      <c r="J567" s="3" t="s">
        <v>532</v>
      </c>
      <c r="K567" s="3" t="s">
        <v>2272</v>
      </c>
      <c r="L567" s="3" t="s">
        <v>2272</v>
      </c>
      <c r="M567" s="3" t="s">
        <v>2272</v>
      </c>
      <c r="N567" s="3" t="s">
        <v>2272</v>
      </c>
      <c r="O567" s="3" t="s">
        <v>2272</v>
      </c>
      <c r="P567" s="3" t="s">
        <v>2272</v>
      </c>
      <c r="Q567" s="3" t="s">
        <v>2272</v>
      </c>
      <c r="R567" s="3" t="s">
        <v>2272</v>
      </c>
      <c r="S567" s="3" t="s">
        <v>2272</v>
      </c>
      <c r="T567" s="3" t="s">
        <v>2272</v>
      </c>
      <c r="U567" s="3" t="s">
        <v>2272</v>
      </c>
      <c r="V567" s="3" t="s">
        <v>2272</v>
      </c>
      <c r="W567" s="146" t="s">
        <v>5570</v>
      </c>
    </row>
    <row r="568" spans="1:23" ht="32" customHeight="1">
      <c r="A568" s="11" t="s">
        <v>5533</v>
      </c>
      <c r="B568" s="11" t="s">
        <v>5546</v>
      </c>
      <c r="C568" s="3" t="s">
        <v>23</v>
      </c>
      <c r="D568" s="3" t="s">
        <v>26</v>
      </c>
      <c r="E568" s="3" t="s">
        <v>1102</v>
      </c>
      <c r="F568" s="4" t="s">
        <v>158</v>
      </c>
      <c r="G568" s="3"/>
      <c r="H568" s="4" t="s">
        <v>539</v>
      </c>
      <c r="I568" s="3" t="s">
        <v>2685</v>
      </c>
      <c r="J568" s="3" t="s">
        <v>532</v>
      </c>
      <c r="K568" s="3" t="s">
        <v>2272</v>
      </c>
      <c r="L568" s="3" t="s">
        <v>2272</v>
      </c>
      <c r="M568" s="3" t="s">
        <v>2272</v>
      </c>
      <c r="N568" s="3" t="s">
        <v>2272</v>
      </c>
      <c r="O568" s="3" t="s">
        <v>2272</v>
      </c>
      <c r="P568" s="3" t="s">
        <v>2272</v>
      </c>
      <c r="Q568" s="3" t="s">
        <v>2272</v>
      </c>
      <c r="R568" s="3" t="s">
        <v>2272</v>
      </c>
      <c r="S568" s="3" t="s">
        <v>2272</v>
      </c>
      <c r="T568" s="3" t="s">
        <v>2272</v>
      </c>
      <c r="U568" s="3" t="s">
        <v>2272</v>
      </c>
      <c r="V568" s="3" t="s">
        <v>2272</v>
      </c>
      <c r="W568" s="146" t="s">
        <v>5570</v>
      </c>
    </row>
    <row r="569" spans="1:23" ht="32" customHeight="1">
      <c r="A569" s="11" t="s">
        <v>5534</v>
      </c>
      <c r="B569" s="11" t="s">
        <v>5547</v>
      </c>
      <c r="C569" s="3" t="s">
        <v>23</v>
      </c>
      <c r="D569" s="3" t="s">
        <v>26</v>
      </c>
      <c r="E569" s="3" t="s">
        <v>1102</v>
      </c>
      <c r="F569" s="4" t="s">
        <v>158</v>
      </c>
      <c r="G569" s="3"/>
      <c r="H569" s="4" t="s">
        <v>539</v>
      </c>
      <c r="I569" s="3" t="s">
        <v>2685</v>
      </c>
      <c r="J569" s="3" t="s">
        <v>532</v>
      </c>
      <c r="K569" s="3" t="s">
        <v>2272</v>
      </c>
      <c r="L569" s="3" t="s">
        <v>2272</v>
      </c>
      <c r="M569" s="3" t="s">
        <v>2272</v>
      </c>
      <c r="N569" s="3" t="s">
        <v>2272</v>
      </c>
      <c r="O569" s="3" t="s">
        <v>2272</v>
      </c>
      <c r="P569" s="3" t="s">
        <v>2272</v>
      </c>
      <c r="Q569" s="3" t="s">
        <v>2272</v>
      </c>
      <c r="R569" s="3" t="s">
        <v>2272</v>
      </c>
      <c r="S569" s="3" t="s">
        <v>2272</v>
      </c>
      <c r="T569" s="3" t="s">
        <v>2272</v>
      </c>
      <c r="U569" s="3" t="s">
        <v>2272</v>
      </c>
      <c r="V569" s="3" t="s">
        <v>2272</v>
      </c>
      <c r="W569" s="146" t="s">
        <v>5570</v>
      </c>
    </row>
    <row r="570" spans="1:23" ht="32" customHeight="1">
      <c r="A570" s="11" t="s">
        <v>5535</v>
      </c>
      <c r="B570" s="11" t="s">
        <v>5548</v>
      </c>
      <c r="C570" s="3" t="s">
        <v>23</v>
      </c>
      <c r="D570" s="3" t="s">
        <v>26</v>
      </c>
      <c r="E570" s="3" t="s">
        <v>1102</v>
      </c>
      <c r="F570" s="4" t="s">
        <v>158</v>
      </c>
      <c r="G570" s="3"/>
      <c r="H570" s="4" t="s">
        <v>539</v>
      </c>
      <c r="I570" s="3" t="s">
        <v>2685</v>
      </c>
      <c r="J570" s="3" t="s">
        <v>532</v>
      </c>
      <c r="K570" s="3" t="s">
        <v>2272</v>
      </c>
      <c r="L570" s="3" t="s">
        <v>2272</v>
      </c>
      <c r="M570" s="3" t="s">
        <v>2272</v>
      </c>
      <c r="N570" s="3" t="s">
        <v>2272</v>
      </c>
      <c r="O570" s="3" t="s">
        <v>2272</v>
      </c>
      <c r="P570" s="3" t="s">
        <v>2272</v>
      </c>
      <c r="Q570" s="3" t="s">
        <v>2272</v>
      </c>
      <c r="R570" s="3" t="s">
        <v>2272</v>
      </c>
      <c r="S570" s="3" t="s">
        <v>2272</v>
      </c>
      <c r="T570" s="3" t="s">
        <v>2272</v>
      </c>
      <c r="U570" s="3" t="s">
        <v>2272</v>
      </c>
      <c r="V570" s="3" t="s">
        <v>2272</v>
      </c>
      <c r="W570" s="146" t="s">
        <v>5570</v>
      </c>
    </row>
    <row r="571" spans="1:23" ht="32" customHeight="1">
      <c r="A571" s="11" t="s">
        <v>5536</v>
      </c>
      <c r="B571" s="11" t="s">
        <v>5549</v>
      </c>
      <c r="C571" s="3" t="s">
        <v>23</v>
      </c>
      <c r="D571" s="3" t="s">
        <v>26</v>
      </c>
      <c r="E571" s="3" t="s">
        <v>1102</v>
      </c>
      <c r="F571" s="4" t="s">
        <v>158</v>
      </c>
      <c r="G571" s="3"/>
      <c r="H571" s="4" t="s">
        <v>539</v>
      </c>
      <c r="I571" s="3" t="s">
        <v>2685</v>
      </c>
      <c r="J571" s="3" t="s">
        <v>532</v>
      </c>
      <c r="K571" s="3" t="s">
        <v>2272</v>
      </c>
      <c r="L571" s="3" t="s">
        <v>2272</v>
      </c>
      <c r="M571" s="3" t="s">
        <v>2272</v>
      </c>
      <c r="N571" s="3" t="s">
        <v>2272</v>
      </c>
      <c r="O571" s="3" t="s">
        <v>2272</v>
      </c>
      <c r="P571" s="3" t="s">
        <v>2272</v>
      </c>
      <c r="Q571" s="3" t="s">
        <v>2272</v>
      </c>
      <c r="R571" s="3" t="s">
        <v>2272</v>
      </c>
      <c r="S571" s="3" t="s">
        <v>2272</v>
      </c>
      <c r="T571" s="3" t="s">
        <v>2272</v>
      </c>
      <c r="U571" s="3" t="s">
        <v>2272</v>
      </c>
      <c r="V571" s="3" t="s">
        <v>2272</v>
      </c>
      <c r="W571" s="146" t="s">
        <v>5570</v>
      </c>
    </row>
    <row r="572" spans="1:23" ht="32" customHeight="1">
      <c r="A572" s="11" t="s">
        <v>5537</v>
      </c>
      <c r="B572" s="11" t="s">
        <v>5550</v>
      </c>
      <c r="C572" s="3" t="s">
        <v>23</v>
      </c>
      <c r="D572" s="3" t="s">
        <v>26</v>
      </c>
      <c r="E572" s="3" t="s">
        <v>1102</v>
      </c>
      <c r="F572" s="4" t="s">
        <v>158</v>
      </c>
      <c r="G572" s="3"/>
      <c r="H572" s="4" t="s">
        <v>539</v>
      </c>
      <c r="I572" s="3" t="s">
        <v>2685</v>
      </c>
      <c r="J572" s="3" t="s">
        <v>532</v>
      </c>
      <c r="K572" s="3" t="s">
        <v>2272</v>
      </c>
      <c r="L572" s="3" t="s">
        <v>2272</v>
      </c>
      <c r="M572" s="3" t="s">
        <v>2272</v>
      </c>
      <c r="N572" s="3" t="s">
        <v>2272</v>
      </c>
      <c r="O572" s="3" t="s">
        <v>2272</v>
      </c>
      <c r="P572" s="3" t="s">
        <v>2272</v>
      </c>
      <c r="Q572" s="3" t="s">
        <v>2272</v>
      </c>
      <c r="R572" s="3" t="s">
        <v>2272</v>
      </c>
      <c r="S572" s="3" t="s">
        <v>2272</v>
      </c>
      <c r="T572" s="3" t="s">
        <v>2272</v>
      </c>
      <c r="U572" s="3" t="s">
        <v>2272</v>
      </c>
      <c r="V572" s="3" t="s">
        <v>2272</v>
      </c>
      <c r="W572" s="146" t="s">
        <v>5570</v>
      </c>
    </row>
    <row r="573" spans="1:23" ht="32" customHeight="1">
      <c r="A573" s="11" t="s">
        <v>5541</v>
      </c>
      <c r="B573" s="11" t="s">
        <v>5551</v>
      </c>
      <c r="C573" s="3" t="s">
        <v>23</v>
      </c>
      <c r="D573" s="3" t="s">
        <v>26</v>
      </c>
      <c r="E573" s="3" t="s">
        <v>1102</v>
      </c>
      <c r="F573" s="4" t="s">
        <v>158</v>
      </c>
      <c r="G573" s="3"/>
      <c r="H573" s="4" t="s">
        <v>539</v>
      </c>
      <c r="I573" s="3" t="s">
        <v>2685</v>
      </c>
      <c r="J573" s="3" t="s">
        <v>532</v>
      </c>
      <c r="K573" s="3" t="s">
        <v>2272</v>
      </c>
      <c r="L573" s="3" t="s">
        <v>2272</v>
      </c>
      <c r="M573" s="3" t="s">
        <v>2272</v>
      </c>
      <c r="N573" s="3" t="s">
        <v>2272</v>
      </c>
      <c r="O573" s="3" t="s">
        <v>2272</v>
      </c>
      <c r="P573" s="3" t="s">
        <v>2272</v>
      </c>
      <c r="Q573" s="3" t="s">
        <v>2272</v>
      </c>
      <c r="R573" s="3" t="s">
        <v>2272</v>
      </c>
      <c r="S573" s="3" t="s">
        <v>2272</v>
      </c>
      <c r="T573" s="3" t="s">
        <v>2272</v>
      </c>
      <c r="U573" s="3" t="s">
        <v>2272</v>
      </c>
      <c r="V573" s="3" t="s">
        <v>2272</v>
      </c>
      <c r="W573" s="146" t="s">
        <v>5570</v>
      </c>
    </row>
    <row r="574" spans="1:23" ht="32" customHeight="1">
      <c r="A574" s="34" t="s">
        <v>5542</v>
      </c>
      <c r="B574" s="34" t="s">
        <v>5552</v>
      </c>
      <c r="C574" s="35" t="s">
        <v>23</v>
      </c>
      <c r="D574" s="35" t="s">
        <v>26</v>
      </c>
      <c r="E574" s="35" t="s">
        <v>1102</v>
      </c>
      <c r="F574" s="163" t="s">
        <v>158</v>
      </c>
      <c r="G574" s="35"/>
      <c r="H574" s="163" t="s">
        <v>539</v>
      </c>
      <c r="I574" s="35" t="s">
        <v>2685</v>
      </c>
      <c r="J574" s="35" t="s">
        <v>532</v>
      </c>
      <c r="K574" s="35" t="s">
        <v>2272</v>
      </c>
      <c r="L574" s="35" t="s">
        <v>2272</v>
      </c>
      <c r="M574" s="35" t="s">
        <v>2272</v>
      </c>
      <c r="N574" s="35" t="s">
        <v>2272</v>
      </c>
      <c r="O574" s="35" t="s">
        <v>2272</v>
      </c>
      <c r="P574" s="35" t="s">
        <v>2272</v>
      </c>
      <c r="Q574" s="35" t="s">
        <v>2272</v>
      </c>
      <c r="R574" s="35" t="s">
        <v>2272</v>
      </c>
      <c r="S574" s="35" t="s">
        <v>2272</v>
      </c>
      <c r="T574" s="35" t="s">
        <v>2272</v>
      </c>
      <c r="U574" s="35" t="s">
        <v>2272</v>
      </c>
      <c r="V574" s="35" t="s">
        <v>2272</v>
      </c>
      <c r="W574" s="146" t="s">
        <v>5570</v>
      </c>
    </row>
    <row r="575" spans="1:23" ht="45.5" customHeight="1">
      <c r="A575" s="3" t="s">
        <v>5572</v>
      </c>
      <c r="B575" s="11" t="s">
        <v>5576</v>
      </c>
      <c r="C575" s="3" t="s">
        <v>23</v>
      </c>
      <c r="D575" s="3" t="s">
        <v>1238</v>
      </c>
      <c r="E575" s="4" t="s">
        <v>395</v>
      </c>
      <c r="F575" s="3" t="s">
        <v>2272</v>
      </c>
      <c r="G575" s="3"/>
      <c r="H575" s="4" t="s">
        <v>539</v>
      </c>
      <c r="I575" s="3" t="s">
        <v>2686</v>
      </c>
      <c r="J575" s="3" t="s">
        <v>2272</v>
      </c>
      <c r="K575" s="3" t="s">
        <v>532</v>
      </c>
      <c r="L575" s="3" t="s">
        <v>2272</v>
      </c>
      <c r="M575" s="3" t="s">
        <v>2272</v>
      </c>
      <c r="N575" s="3" t="s">
        <v>2272</v>
      </c>
      <c r="O575" s="3" t="s">
        <v>2272</v>
      </c>
      <c r="P575" s="3" t="s">
        <v>2272</v>
      </c>
      <c r="Q575" s="3" t="s">
        <v>2272</v>
      </c>
      <c r="R575" s="3" t="s">
        <v>2272</v>
      </c>
      <c r="S575" s="3" t="s">
        <v>2272</v>
      </c>
      <c r="T575" s="3" t="s">
        <v>2272</v>
      </c>
      <c r="U575" s="3" t="s">
        <v>2272</v>
      </c>
      <c r="V575" s="3" t="s">
        <v>2272</v>
      </c>
      <c r="W575" s="19" t="s">
        <v>5579</v>
      </c>
    </row>
    <row r="576" spans="1:23" ht="36.5" customHeight="1">
      <c r="A576" s="3" t="s">
        <v>5572</v>
      </c>
      <c r="B576" s="11" t="s">
        <v>5577</v>
      </c>
      <c r="C576" s="3" t="s">
        <v>23</v>
      </c>
      <c r="D576" s="3" t="s">
        <v>1238</v>
      </c>
      <c r="E576" s="4" t="s">
        <v>2646</v>
      </c>
      <c r="F576" s="3" t="s">
        <v>2272</v>
      </c>
      <c r="G576" s="3"/>
      <c r="H576" s="4" t="s">
        <v>539</v>
      </c>
      <c r="I576" s="3" t="s">
        <v>2686</v>
      </c>
      <c r="J576" s="3" t="s">
        <v>2272</v>
      </c>
      <c r="K576" s="3" t="s">
        <v>532</v>
      </c>
      <c r="L576" s="3" t="s">
        <v>2272</v>
      </c>
      <c r="M576" s="3" t="s">
        <v>2272</v>
      </c>
      <c r="N576" s="3" t="s">
        <v>2272</v>
      </c>
      <c r="O576" s="3" t="s">
        <v>2272</v>
      </c>
      <c r="P576" s="3" t="s">
        <v>2272</v>
      </c>
      <c r="Q576" s="3" t="s">
        <v>2272</v>
      </c>
      <c r="R576" s="3" t="s">
        <v>2272</v>
      </c>
      <c r="S576" s="3" t="s">
        <v>2272</v>
      </c>
      <c r="T576" s="3" t="s">
        <v>2272</v>
      </c>
      <c r="U576" s="3" t="s">
        <v>2272</v>
      </c>
      <c r="V576" s="3" t="s">
        <v>2272</v>
      </c>
      <c r="W576" s="19" t="s">
        <v>5579</v>
      </c>
    </row>
    <row r="577" spans="1:23" ht="29">
      <c r="A577" s="3" t="s">
        <v>5572</v>
      </c>
      <c r="B577" s="11" t="s">
        <v>5580</v>
      </c>
      <c r="C577" s="3" t="s">
        <v>1102</v>
      </c>
      <c r="D577" s="3" t="s">
        <v>1102</v>
      </c>
      <c r="E577" s="4" t="s">
        <v>395</v>
      </c>
      <c r="F577" s="3" t="s">
        <v>2272</v>
      </c>
      <c r="G577" s="3"/>
      <c r="H577" s="4" t="s">
        <v>539</v>
      </c>
      <c r="I577" s="3" t="s">
        <v>2685</v>
      </c>
      <c r="J577" s="3" t="s">
        <v>2272</v>
      </c>
      <c r="K577" s="3" t="s">
        <v>532</v>
      </c>
      <c r="L577" s="3" t="s">
        <v>2272</v>
      </c>
      <c r="M577" s="3" t="s">
        <v>2272</v>
      </c>
      <c r="N577" s="3" t="s">
        <v>2272</v>
      </c>
      <c r="O577" s="3" t="s">
        <v>2272</v>
      </c>
      <c r="P577" s="3" t="s">
        <v>2272</v>
      </c>
      <c r="Q577" s="3" t="s">
        <v>2272</v>
      </c>
      <c r="R577" s="3" t="s">
        <v>2272</v>
      </c>
      <c r="S577" s="3" t="s">
        <v>2272</v>
      </c>
      <c r="T577" s="3" t="s">
        <v>2272</v>
      </c>
      <c r="U577" s="3" t="s">
        <v>2272</v>
      </c>
      <c r="V577" s="3" t="s">
        <v>2272</v>
      </c>
      <c r="W577" s="4" t="s">
        <v>5582</v>
      </c>
    </row>
    <row r="578" spans="1:23" ht="29">
      <c r="A578" s="3" t="s">
        <v>5572</v>
      </c>
      <c r="B578" s="11" t="s">
        <v>5581</v>
      </c>
      <c r="C578" s="3" t="s">
        <v>1102</v>
      </c>
      <c r="D578" s="3" t="s">
        <v>1102</v>
      </c>
      <c r="E578" s="4" t="s">
        <v>2646</v>
      </c>
      <c r="F578" s="3" t="s">
        <v>2272</v>
      </c>
      <c r="G578" s="3"/>
      <c r="H578" s="4" t="s">
        <v>539</v>
      </c>
      <c r="I578" s="3" t="s">
        <v>2685</v>
      </c>
      <c r="J578" s="3" t="s">
        <v>2272</v>
      </c>
      <c r="K578" s="3" t="s">
        <v>532</v>
      </c>
      <c r="L578" s="3" t="s">
        <v>2272</v>
      </c>
      <c r="M578" s="3" t="s">
        <v>2272</v>
      </c>
      <c r="N578" s="3" t="s">
        <v>2272</v>
      </c>
      <c r="O578" s="3" t="s">
        <v>2272</v>
      </c>
      <c r="P578" s="3" t="s">
        <v>2272</v>
      </c>
      <c r="Q578" s="3" t="s">
        <v>2272</v>
      </c>
      <c r="R578" s="3" t="s">
        <v>2272</v>
      </c>
      <c r="S578" s="3" t="s">
        <v>2272</v>
      </c>
      <c r="T578" s="3" t="s">
        <v>2272</v>
      </c>
      <c r="U578" s="3" t="s">
        <v>2272</v>
      </c>
      <c r="V578" s="3" t="s">
        <v>2272</v>
      </c>
      <c r="W578" s="4" t="s">
        <v>5582</v>
      </c>
    </row>
    <row r="579" spans="1:23" ht="35.5" customHeight="1">
      <c r="A579" s="11" t="s">
        <v>5584</v>
      </c>
      <c r="B579" s="11" t="s">
        <v>5587</v>
      </c>
      <c r="C579" s="3" t="s">
        <v>23</v>
      </c>
      <c r="D579" s="3" t="s">
        <v>1102</v>
      </c>
      <c r="E579" s="3" t="s">
        <v>1102</v>
      </c>
      <c r="F579" s="4" t="s">
        <v>73</v>
      </c>
      <c r="G579" s="3"/>
      <c r="H579" s="4" t="s">
        <v>539</v>
      </c>
      <c r="I579" s="3" t="s">
        <v>2272</v>
      </c>
      <c r="J579" s="3" t="s">
        <v>2272</v>
      </c>
      <c r="K579" s="3" t="s">
        <v>2272</v>
      </c>
      <c r="L579" s="3" t="s">
        <v>2272</v>
      </c>
      <c r="M579" s="3" t="s">
        <v>2272</v>
      </c>
      <c r="N579" s="3" t="s">
        <v>2272</v>
      </c>
      <c r="O579" s="3" t="s">
        <v>2272</v>
      </c>
      <c r="P579" s="3" t="s">
        <v>2272</v>
      </c>
      <c r="Q579" s="3" t="s">
        <v>2272</v>
      </c>
      <c r="R579" s="3" t="s">
        <v>532</v>
      </c>
      <c r="S579" s="3" t="s">
        <v>2272</v>
      </c>
      <c r="T579" s="3" t="s">
        <v>2272</v>
      </c>
      <c r="U579" s="3" t="s">
        <v>532</v>
      </c>
      <c r="V579" s="3">
        <v>3</v>
      </c>
      <c r="W579" s="4" t="s">
        <v>5590</v>
      </c>
    </row>
    <row r="580" spans="1:23" ht="51" customHeight="1">
      <c r="A580" s="11" t="s">
        <v>5584</v>
      </c>
      <c r="B580" s="11" t="s">
        <v>5588</v>
      </c>
      <c r="C580" s="3" t="s">
        <v>23</v>
      </c>
      <c r="D580" s="3" t="s">
        <v>26</v>
      </c>
      <c r="E580" s="3" t="s">
        <v>128</v>
      </c>
      <c r="F580" s="4" t="s">
        <v>73</v>
      </c>
      <c r="G580" s="3"/>
      <c r="H580" s="4" t="s">
        <v>2668</v>
      </c>
      <c r="I580" s="3" t="s">
        <v>2272</v>
      </c>
      <c r="J580" s="3" t="s">
        <v>2272</v>
      </c>
      <c r="K580" s="3" t="s">
        <v>2272</v>
      </c>
      <c r="L580" s="3" t="s">
        <v>2272</v>
      </c>
      <c r="M580" s="3" t="s">
        <v>2272</v>
      </c>
      <c r="N580" s="3" t="s">
        <v>2272</v>
      </c>
      <c r="O580" s="3" t="s">
        <v>2272</v>
      </c>
      <c r="P580" s="3" t="s">
        <v>2272</v>
      </c>
      <c r="Q580" s="3" t="s">
        <v>2272</v>
      </c>
      <c r="R580" s="3" t="s">
        <v>535</v>
      </c>
      <c r="S580" s="3" t="s">
        <v>2272</v>
      </c>
      <c r="T580" s="3" t="s">
        <v>2272</v>
      </c>
      <c r="U580" s="3" t="s">
        <v>535</v>
      </c>
      <c r="V580" s="3" t="s">
        <v>2272</v>
      </c>
      <c r="W580" s="4" t="s">
        <v>5591</v>
      </c>
    </row>
    <row r="581" spans="1:23" ht="33.5" customHeight="1">
      <c r="A581" s="11" t="s">
        <v>5593</v>
      </c>
      <c r="B581" s="11" t="s">
        <v>5597</v>
      </c>
      <c r="C581" s="3" t="s">
        <v>23</v>
      </c>
      <c r="D581" s="3" t="s">
        <v>1102</v>
      </c>
      <c r="E581" s="3" t="s">
        <v>1102</v>
      </c>
      <c r="F581" s="3" t="s">
        <v>1102</v>
      </c>
      <c r="G581" s="3"/>
      <c r="H581" s="4" t="s">
        <v>539</v>
      </c>
      <c r="I581" s="3" t="s">
        <v>535</v>
      </c>
      <c r="J581" s="3" t="s">
        <v>535</v>
      </c>
      <c r="K581" s="3" t="s">
        <v>535</v>
      </c>
      <c r="L581" s="3" t="s">
        <v>535</v>
      </c>
      <c r="M581" s="3" t="s">
        <v>2723</v>
      </c>
      <c r="N581" s="3" t="s">
        <v>2272</v>
      </c>
      <c r="O581" s="3" t="s">
        <v>2272</v>
      </c>
      <c r="P581" s="3" t="s">
        <v>2272</v>
      </c>
      <c r="Q581" s="3">
        <v>1</v>
      </c>
      <c r="R581" s="3" t="s">
        <v>2272</v>
      </c>
      <c r="S581" s="3" t="s">
        <v>2272</v>
      </c>
      <c r="T581" s="3" t="s">
        <v>2272</v>
      </c>
      <c r="U581" s="3" t="s">
        <v>2272</v>
      </c>
      <c r="V581" s="3" t="s">
        <v>2272</v>
      </c>
      <c r="W581" s="3" t="s">
        <v>5615</v>
      </c>
    </row>
    <row r="582" spans="1:23" ht="33.5" customHeight="1">
      <c r="A582" s="11" t="s">
        <v>5594</v>
      </c>
      <c r="B582" s="11" t="s">
        <v>5598</v>
      </c>
      <c r="C582" s="3" t="s">
        <v>23</v>
      </c>
      <c r="D582" s="3" t="s">
        <v>1102</v>
      </c>
      <c r="E582" s="3" t="s">
        <v>1102</v>
      </c>
      <c r="F582" s="3" t="s">
        <v>1102</v>
      </c>
      <c r="G582" s="3"/>
      <c r="H582" s="4" t="s">
        <v>539</v>
      </c>
      <c r="I582" s="3" t="s">
        <v>535</v>
      </c>
      <c r="J582" s="3" t="s">
        <v>535</v>
      </c>
      <c r="K582" s="3" t="s">
        <v>535</v>
      </c>
      <c r="L582" s="3" t="s">
        <v>535</v>
      </c>
      <c r="M582" s="3" t="s">
        <v>2723</v>
      </c>
      <c r="N582" s="3" t="s">
        <v>2272</v>
      </c>
      <c r="O582" s="3" t="s">
        <v>2272</v>
      </c>
      <c r="P582" s="3" t="s">
        <v>2272</v>
      </c>
      <c r="Q582" s="3">
        <v>1</v>
      </c>
      <c r="R582" s="3" t="s">
        <v>2272</v>
      </c>
      <c r="S582" s="3" t="s">
        <v>2272</v>
      </c>
      <c r="T582" s="3" t="s">
        <v>2272</v>
      </c>
      <c r="U582" s="3" t="s">
        <v>2272</v>
      </c>
      <c r="V582" s="3" t="s">
        <v>2272</v>
      </c>
      <c r="W582" s="3" t="s">
        <v>5615</v>
      </c>
    </row>
    <row r="583" spans="1:23" ht="33.5" customHeight="1">
      <c r="A583" s="11" t="s">
        <v>5593</v>
      </c>
      <c r="B583" s="11" t="s">
        <v>5599</v>
      </c>
      <c r="C583" s="3" t="s">
        <v>23</v>
      </c>
      <c r="D583" s="3" t="s">
        <v>1102</v>
      </c>
      <c r="E583" s="3" t="s">
        <v>1102</v>
      </c>
      <c r="F583" s="3" t="s">
        <v>1102</v>
      </c>
      <c r="G583" s="3"/>
      <c r="H583" s="4" t="s">
        <v>2668</v>
      </c>
      <c r="I583" s="3" t="s">
        <v>535</v>
      </c>
      <c r="J583" s="3" t="s">
        <v>535</v>
      </c>
      <c r="K583" s="3" t="s">
        <v>535</v>
      </c>
      <c r="L583" s="3" t="s">
        <v>535</v>
      </c>
      <c r="M583" s="3" t="s">
        <v>2272</v>
      </c>
      <c r="N583" s="3" t="s">
        <v>2272</v>
      </c>
      <c r="O583" s="3" t="s">
        <v>2272</v>
      </c>
      <c r="P583" s="3" t="s">
        <v>2272</v>
      </c>
      <c r="Q583" s="3">
        <v>1</v>
      </c>
      <c r="R583" s="3" t="s">
        <v>532</v>
      </c>
      <c r="S583" s="3" t="s">
        <v>2272</v>
      </c>
      <c r="T583" s="3" t="s">
        <v>2272</v>
      </c>
      <c r="U583" s="3" t="s">
        <v>2272</v>
      </c>
      <c r="V583" s="3">
        <v>1</v>
      </c>
      <c r="W583" s="3" t="s">
        <v>5615</v>
      </c>
    </row>
    <row r="584" spans="1:23" ht="48" customHeight="1">
      <c r="A584" s="11" t="s">
        <v>5594</v>
      </c>
      <c r="B584" s="11" t="s">
        <v>5600</v>
      </c>
      <c r="C584" s="3" t="s">
        <v>23</v>
      </c>
      <c r="D584" s="3" t="s">
        <v>1102</v>
      </c>
      <c r="E584" s="3" t="s">
        <v>1102</v>
      </c>
      <c r="F584" s="3" t="s">
        <v>1102</v>
      </c>
      <c r="G584" s="3"/>
      <c r="H584" s="4" t="s">
        <v>2668</v>
      </c>
      <c r="I584" s="3" t="s">
        <v>535</v>
      </c>
      <c r="J584" s="3" t="s">
        <v>535</v>
      </c>
      <c r="K584" s="3" t="s">
        <v>535</v>
      </c>
      <c r="L584" s="3" t="s">
        <v>535</v>
      </c>
      <c r="M584" s="3" t="s">
        <v>2723</v>
      </c>
      <c r="N584" s="3" t="s">
        <v>2272</v>
      </c>
      <c r="O584" s="3" t="s">
        <v>2272</v>
      </c>
      <c r="P584" s="3" t="s">
        <v>2272</v>
      </c>
      <c r="Q584" s="3">
        <v>2</v>
      </c>
      <c r="R584" s="3" t="s">
        <v>535</v>
      </c>
      <c r="S584" s="3" t="s">
        <v>2272</v>
      </c>
      <c r="T584" s="3" t="s">
        <v>2272</v>
      </c>
      <c r="U584" s="3" t="s">
        <v>2272</v>
      </c>
      <c r="V584" s="3" t="s">
        <v>2272</v>
      </c>
      <c r="W584" s="4" t="s">
        <v>5616</v>
      </c>
    </row>
    <row r="585" spans="1:23" ht="64.5" customHeight="1">
      <c r="A585" s="11" t="s">
        <v>5643</v>
      </c>
      <c r="B585" s="11" t="s">
        <v>5646</v>
      </c>
      <c r="C585" s="3" t="s">
        <v>23</v>
      </c>
      <c r="D585" s="3" t="s">
        <v>1102</v>
      </c>
      <c r="E585" s="3" t="s">
        <v>82</v>
      </c>
      <c r="F585" s="3" t="s">
        <v>73</v>
      </c>
      <c r="G585" s="3">
        <v>2002</v>
      </c>
      <c r="H585" s="4" t="s">
        <v>539</v>
      </c>
      <c r="I585" s="3" t="s">
        <v>2272</v>
      </c>
      <c r="J585" s="3" t="s">
        <v>2272</v>
      </c>
      <c r="K585" s="3" t="s">
        <v>2272</v>
      </c>
      <c r="L585" s="3" t="s">
        <v>2272</v>
      </c>
      <c r="M585" s="3" t="s">
        <v>2723</v>
      </c>
      <c r="N585" s="3" t="s">
        <v>2272</v>
      </c>
      <c r="O585" s="3" t="s">
        <v>2272</v>
      </c>
      <c r="P585" s="3" t="s">
        <v>532</v>
      </c>
      <c r="Q585" s="3">
        <v>3</v>
      </c>
      <c r="R585" s="3" t="s">
        <v>2272</v>
      </c>
      <c r="S585" s="3" t="s">
        <v>2272</v>
      </c>
      <c r="T585" s="3" t="s">
        <v>2272</v>
      </c>
      <c r="U585" s="3" t="s">
        <v>2272</v>
      </c>
      <c r="V585" s="3" t="s">
        <v>2272</v>
      </c>
      <c r="W585" s="4" t="s">
        <v>5651</v>
      </c>
    </row>
    <row r="586" spans="1:23" ht="53.5" customHeight="1">
      <c r="A586" s="11" t="s">
        <v>5643</v>
      </c>
      <c r="B586" s="11" t="s">
        <v>5647</v>
      </c>
      <c r="C586" s="3" t="s">
        <v>23</v>
      </c>
      <c r="D586" s="3" t="s">
        <v>1102</v>
      </c>
      <c r="E586" s="3" t="s">
        <v>82</v>
      </c>
      <c r="F586" s="3" t="s">
        <v>73</v>
      </c>
      <c r="G586" s="3">
        <v>2015</v>
      </c>
      <c r="H586" s="4" t="s">
        <v>539</v>
      </c>
      <c r="I586" s="3" t="s">
        <v>2272</v>
      </c>
      <c r="J586" s="3" t="s">
        <v>2272</v>
      </c>
      <c r="K586" s="3" t="s">
        <v>2272</v>
      </c>
      <c r="L586" s="3" t="s">
        <v>2272</v>
      </c>
      <c r="M586" s="3" t="s">
        <v>2723</v>
      </c>
      <c r="N586" s="3" t="s">
        <v>2272</v>
      </c>
      <c r="O586" s="3" t="s">
        <v>2272</v>
      </c>
      <c r="P586" s="3" t="s">
        <v>532</v>
      </c>
      <c r="Q586" s="3">
        <v>3</v>
      </c>
      <c r="R586" s="3" t="s">
        <v>532</v>
      </c>
      <c r="S586" s="3" t="s">
        <v>2272</v>
      </c>
      <c r="T586" s="3" t="s">
        <v>2272</v>
      </c>
      <c r="U586" s="3" t="s">
        <v>532</v>
      </c>
      <c r="V586" s="3">
        <v>4</v>
      </c>
      <c r="W586" s="4" t="s">
        <v>5652</v>
      </c>
    </row>
    <row r="587" spans="1:23" ht="43.5" customHeight="1">
      <c r="A587" s="11" t="s">
        <v>5643</v>
      </c>
      <c r="B587" s="11" t="s">
        <v>5648</v>
      </c>
      <c r="C587" s="3" t="s">
        <v>23</v>
      </c>
      <c r="D587" s="3" t="s">
        <v>1102</v>
      </c>
      <c r="E587" s="4" t="s">
        <v>128</v>
      </c>
      <c r="F587" s="3" t="s">
        <v>73</v>
      </c>
      <c r="G587" s="3">
        <v>2015</v>
      </c>
      <c r="H587" s="4" t="s">
        <v>539</v>
      </c>
      <c r="I587" s="3" t="s">
        <v>2272</v>
      </c>
      <c r="J587" s="3" t="s">
        <v>2272</v>
      </c>
      <c r="K587" s="3" t="s">
        <v>2272</v>
      </c>
      <c r="L587" s="3" t="s">
        <v>2272</v>
      </c>
      <c r="M587" s="3" t="s">
        <v>2272</v>
      </c>
      <c r="N587" s="3" t="s">
        <v>2272</v>
      </c>
      <c r="O587" s="3" t="s">
        <v>2272</v>
      </c>
      <c r="P587" s="3" t="s">
        <v>2272</v>
      </c>
      <c r="Q587" s="3" t="s">
        <v>2272</v>
      </c>
      <c r="R587" s="3" t="s">
        <v>532</v>
      </c>
      <c r="S587" s="3" t="s">
        <v>2272</v>
      </c>
      <c r="T587" s="3" t="s">
        <v>2272</v>
      </c>
      <c r="U587" s="3" t="s">
        <v>532</v>
      </c>
      <c r="V587" s="3">
        <v>2</v>
      </c>
      <c r="W587" s="19" t="s">
        <v>5653</v>
      </c>
    </row>
    <row r="588" spans="1:23" ht="60.5" customHeight="1">
      <c r="A588" s="11" t="s">
        <v>5643</v>
      </c>
      <c r="B588" s="11" t="s">
        <v>5649</v>
      </c>
      <c r="C588" s="3" t="s">
        <v>23</v>
      </c>
      <c r="D588" s="3" t="s">
        <v>1102</v>
      </c>
      <c r="E588" s="4" t="s">
        <v>394</v>
      </c>
      <c r="F588" s="3" t="s">
        <v>73</v>
      </c>
      <c r="G588" s="3">
        <v>2015</v>
      </c>
      <c r="H588" s="4" t="s">
        <v>539</v>
      </c>
      <c r="I588" s="3" t="s">
        <v>2272</v>
      </c>
      <c r="J588" s="3" t="s">
        <v>2272</v>
      </c>
      <c r="K588" s="3" t="s">
        <v>2272</v>
      </c>
      <c r="L588" s="3" t="s">
        <v>2272</v>
      </c>
      <c r="M588" s="3" t="s">
        <v>2272</v>
      </c>
      <c r="N588" s="3" t="s">
        <v>2272</v>
      </c>
      <c r="O588" s="3" t="s">
        <v>2272</v>
      </c>
      <c r="P588" s="3" t="s">
        <v>2272</v>
      </c>
      <c r="Q588" s="3" t="s">
        <v>2272</v>
      </c>
      <c r="R588" s="3" t="s">
        <v>532</v>
      </c>
      <c r="S588" s="3" t="s">
        <v>2272</v>
      </c>
      <c r="T588" s="3" t="s">
        <v>2272</v>
      </c>
      <c r="U588" s="3" t="s">
        <v>532</v>
      </c>
      <c r="V588" s="3">
        <v>2</v>
      </c>
      <c r="W588" s="19" t="s">
        <v>5653</v>
      </c>
    </row>
    <row r="589" spans="1:23" ht="43.5">
      <c r="A589" s="19" t="s">
        <v>5655</v>
      </c>
      <c r="B589" s="19" t="s">
        <v>5658</v>
      </c>
      <c r="C589" s="3" t="s">
        <v>23</v>
      </c>
      <c r="D589" s="3" t="s">
        <v>1102</v>
      </c>
      <c r="E589" s="3" t="s">
        <v>135</v>
      </c>
      <c r="F589" s="4" t="s">
        <v>2657</v>
      </c>
      <c r="G589" s="11">
        <v>2016</v>
      </c>
      <c r="H589" s="4" t="s">
        <v>2668</v>
      </c>
      <c r="I589" s="3" t="s">
        <v>535</v>
      </c>
      <c r="J589" s="3" t="s">
        <v>535</v>
      </c>
      <c r="K589" s="3" t="s">
        <v>535</v>
      </c>
      <c r="L589" s="3" t="s">
        <v>535</v>
      </c>
      <c r="M589" s="3" t="s">
        <v>2272</v>
      </c>
      <c r="N589" s="3" t="s">
        <v>2272</v>
      </c>
      <c r="O589" s="3" t="s">
        <v>2272</v>
      </c>
      <c r="P589" s="3" t="s">
        <v>2272</v>
      </c>
      <c r="Q589" s="3" t="s">
        <v>2272</v>
      </c>
      <c r="R589" s="3" t="s">
        <v>532</v>
      </c>
      <c r="S589" s="3" t="s">
        <v>2272</v>
      </c>
      <c r="T589" s="3" t="s">
        <v>2272</v>
      </c>
      <c r="U589" s="3" t="s">
        <v>2272</v>
      </c>
      <c r="V589" s="3" t="s">
        <v>2272</v>
      </c>
      <c r="W589" s="4" t="s">
        <v>5668</v>
      </c>
    </row>
    <row r="590" spans="1:23" ht="43.5">
      <c r="A590" s="19" t="s">
        <v>5655</v>
      </c>
      <c r="B590" s="19" t="s">
        <v>5659</v>
      </c>
      <c r="C590" s="3" t="s">
        <v>23</v>
      </c>
      <c r="D590" s="3" t="s">
        <v>1102</v>
      </c>
      <c r="E590" s="3" t="s">
        <v>135</v>
      </c>
      <c r="F590" s="4" t="s">
        <v>2657</v>
      </c>
      <c r="G590" s="11">
        <v>2016</v>
      </c>
      <c r="H590" s="4" t="s">
        <v>2668</v>
      </c>
      <c r="I590" s="3" t="s">
        <v>535</v>
      </c>
      <c r="J590" s="3" t="s">
        <v>535</v>
      </c>
      <c r="K590" s="3" t="s">
        <v>535</v>
      </c>
      <c r="L590" s="3" t="s">
        <v>535</v>
      </c>
      <c r="M590" s="3" t="s">
        <v>2272</v>
      </c>
      <c r="N590" s="3" t="s">
        <v>2272</v>
      </c>
      <c r="O590" s="3" t="s">
        <v>2272</v>
      </c>
      <c r="P590" s="3" t="s">
        <v>2272</v>
      </c>
      <c r="Q590" s="3" t="s">
        <v>2272</v>
      </c>
      <c r="R590" s="3" t="s">
        <v>532</v>
      </c>
      <c r="S590" s="3" t="s">
        <v>2272</v>
      </c>
      <c r="T590" s="3" t="s">
        <v>2272</v>
      </c>
      <c r="U590" s="3" t="s">
        <v>2272</v>
      </c>
      <c r="V590" s="3" t="s">
        <v>2272</v>
      </c>
      <c r="W590" s="4" t="s">
        <v>5668</v>
      </c>
    </row>
    <row r="591" spans="1:23" ht="43.5">
      <c r="A591" s="19" t="s">
        <v>5655</v>
      </c>
      <c r="B591" s="19" t="s">
        <v>5660</v>
      </c>
      <c r="C591" s="3" t="s">
        <v>23</v>
      </c>
      <c r="D591" s="3" t="s">
        <v>1102</v>
      </c>
      <c r="E591" s="3" t="s">
        <v>114</v>
      </c>
      <c r="F591" s="4" t="s">
        <v>2657</v>
      </c>
      <c r="G591" s="11">
        <v>2017</v>
      </c>
      <c r="H591" s="4" t="s">
        <v>2668</v>
      </c>
      <c r="I591" s="3" t="s">
        <v>2686</v>
      </c>
      <c r="J591" s="3" t="s">
        <v>2272</v>
      </c>
      <c r="K591" s="3" t="s">
        <v>2272</v>
      </c>
      <c r="L591" s="3" t="s">
        <v>2272</v>
      </c>
      <c r="M591" s="3" t="s">
        <v>2272</v>
      </c>
      <c r="N591" s="3" t="s">
        <v>2272</v>
      </c>
      <c r="O591" s="3" t="s">
        <v>2272</v>
      </c>
      <c r="P591" s="3" t="s">
        <v>2272</v>
      </c>
      <c r="Q591" s="3" t="s">
        <v>2272</v>
      </c>
      <c r="R591" s="3" t="s">
        <v>535</v>
      </c>
      <c r="S591" s="3" t="s">
        <v>535</v>
      </c>
      <c r="T591" s="3" t="s">
        <v>535</v>
      </c>
      <c r="U591" s="3" t="s">
        <v>535</v>
      </c>
      <c r="V591" s="3" t="s">
        <v>2272</v>
      </c>
      <c r="W591" s="4" t="s">
        <v>5668</v>
      </c>
    </row>
    <row r="592" spans="1:23" ht="43.5">
      <c r="A592" s="19" t="s">
        <v>5655</v>
      </c>
      <c r="B592" s="19" t="s">
        <v>5661</v>
      </c>
      <c r="C592" s="3" t="s">
        <v>23</v>
      </c>
      <c r="D592" s="3" t="s">
        <v>1102</v>
      </c>
      <c r="E592" s="3" t="s">
        <v>114</v>
      </c>
      <c r="F592" s="4" t="s">
        <v>2657</v>
      </c>
      <c r="G592" s="11">
        <v>2017</v>
      </c>
      <c r="H592" s="4" t="s">
        <v>2668</v>
      </c>
      <c r="I592" s="3" t="s">
        <v>2686</v>
      </c>
      <c r="J592" s="3" t="s">
        <v>2272</v>
      </c>
      <c r="K592" s="3" t="s">
        <v>2272</v>
      </c>
      <c r="L592" s="3" t="s">
        <v>2272</v>
      </c>
      <c r="M592" s="3" t="s">
        <v>2272</v>
      </c>
      <c r="N592" s="3" t="s">
        <v>2272</v>
      </c>
      <c r="O592" s="3" t="s">
        <v>2272</v>
      </c>
      <c r="P592" s="3" t="s">
        <v>2272</v>
      </c>
      <c r="Q592" s="3" t="s">
        <v>2272</v>
      </c>
      <c r="R592" s="3" t="s">
        <v>535</v>
      </c>
      <c r="S592" s="3" t="s">
        <v>535</v>
      </c>
      <c r="T592" s="3" t="s">
        <v>535</v>
      </c>
      <c r="U592" s="3" t="s">
        <v>535</v>
      </c>
      <c r="V592" s="3" t="s">
        <v>2272</v>
      </c>
      <c r="W592" s="4" t="s">
        <v>5668</v>
      </c>
    </row>
    <row r="593" spans="1:23" ht="50" customHeight="1">
      <c r="A593" s="19" t="s">
        <v>5678</v>
      </c>
      <c r="B593" s="19" t="s">
        <v>5680</v>
      </c>
      <c r="C593" s="3" t="s">
        <v>23</v>
      </c>
      <c r="D593" s="3" t="s">
        <v>1238</v>
      </c>
      <c r="E593" s="3" t="s">
        <v>135</v>
      </c>
      <c r="F593" s="4" t="s">
        <v>73</v>
      </c>
      <c r="G593" s="3"/>
      <c r="H593" s="4" t="s">
        <v>2668</v>
      </c>
      <c r="I593" s="3" t="s">
        <v>2272</v>
      </c>
      <c r="J593" s="3" t="s">
        <v>2272</v>
      </c>
      <c r="K593" s="3" t="s">
        <v>2272</v>
      </c>
      <c r="L593" s="3" t="s">
        <v>2272</v>
      </c>
      <c r="M593" s="3" t="s">
        <v>2272</v>
      </c>
      <c r="N593" s="3" t="s">
        <v>2272</v>
      </c>
      <c r="O593" s="3" t="s">
        <v>2272</v>
      </c>
      <c r="P593" s="3" t="s">
        <v>2272</v>
      </c>
      <c r="Q593" s="3" t="s">
        <v>2272</v>
      </c>
      <c r="R593" s="3" t="s">
        <v>535</v>
      </c>
      <c r="S593" s="3" t="s">
        <v>2272</v>
      </c>
      <c r="T593" s="3" t="s">
        <v>2272</v>
      </c>
      <c r="U593" s="3" t="s">
        <v>2272</v>
      </c>
      <c r="V593" s="3" t="s">
        <v>2272</v>
      </c>
      <c r="W593" s="3" t="s">
        <v>5684</v>
      </c>
    </row>
    <row r="594" spans="1:23" ht="50" customHeight="1">
      <c r="A594" s="19" t="s">
        <v>5678</v>
      </c>
      <c r="B594" s="19" t="s">
        <v>5681</v>
      </c>
      <c r="C594" s="3" t="s">
        <v>23</v>
      </c>
      <c r="D594" s="3" t="s">
        <v>404</v>
      </c>
      <c r="E594" s="3" t="s">
        <v>114</v>
      </c>
      <c r="F594" s="4" t="s">
        <v>73</v>
      </c>
      <c r="G594" s="3"/>
      <c r="H594" s="4" t="s">
        <v>2668</v>
      </c>
      <c r="I594" s="3" t="s">
        <v>2272</v>
      </c>
      <c r="J594" s="3" t="s">
        <v>2272</v>
      </c>
      <c r="K594" s="3" t="s">
        <v>2272</v>
      </c>
      <c r="L594" s="3" t="s">
        <v>2272</v>
      </c>
      <c r="M594" s="3" t="s">
        <v>2272</v>
      </c>
      <c r="N594" s="3" t="s">
        <v>2272</v>
      </c>
      <c r="O594" s="3" t="s">
        <v>2272</v>
      </c>
      <c r="P594" s="3" t="s">
        <v>2272</v>
      </c>
      <c r="Q594" s="3" t="s">
        <v>2272</v>
      </c>
      <c r="R594" s="3" t="s">
        <v>535</v>
      </c>
      <c r="S594" s="3" t="s">
        <v>2272</v>
      </c>
      <c r="T594" s="3" t="s">
        <v>2272</v>
      </c>
      <c r="U594" s="3" t="s">
        <v>2272</v>
      </c>
      <c r="V594" s="3" t="s">
        <v>2272</v>
      </c>
      <c r="W594" s="4" t="s">
        <v>5683</v>
      </c>
    </row>
    <row r="595" spans="1:23" ht="51" customHeight="1">
      <c r="A595" s="19" t="s">
        <v>5678</v>
      </c>
      <c r="B595" s="19" t="s">
        <v>5682</v>
      </c>
      <c r="C595" s="3" t="s">
        <v>23</v>
      </c>
      <c r="D595" s="3" t="s">
        <v>3475</v>
      </c>
      <c r="E595" s="3" t="s">
        <v>114</v>
      </c>
      <c r="F595" s="4" t="s">
        <v>73</v>
      </c>
      <c r="G595" s="3"/>
      <c r="H595" s="4" t="s">
        <v>2668</v>
      </c>
      <c r="I595" s="3" t="s">
        <v>2272</v>
      </c>
      <c r="J595" s="3" t="s">
        <v>2272</v>
      </c>
      <c r="K595" s="3" t="s">
        <v>2272</v>
      </c>
      <c r="L595" s="3" t="s">
        <v>2272</v>
      </c>
      <c r="M595" s="3" t="s">
        <v>2272</v>
      </c>
      <c r="N595" s="3" t="s">
        <v>2272</v>
      </c>
      <c r="O595" s="3" t="s">
        <v>2272</v>
      </c>
      <c r="P595" s="3" t="s">
        <v>2272</v>
      </c>
      <c r="Q595" s="3" t="s">
        <v>2272</v>
      </c>
      <c r="R595" s="3" t="s">
        <v>535</v>
      </c>
      <c r="S595" s="3" t="s">
        <v>2272</v>
      </c>
      <c r="T595" s="3" t="s">
        <v>2272</v>
      </c>
      <c r="U595" s="3" t="s">
        <v>2272</v>
      </c>
      <c r="V595" s="3" t="s">
        <v>2272</v>
      </c>
      <c r="W595" s="4" t="s">
        <v>5683</v>
      </c>
    </row>
    <row r="596" spans="1:23" ht="41" customHeight="1">
      <c r="A596" s="19" t="s">
        <v>5687</v>
      </c>
      <c r="B596" s="19" t="s">
        <v>5692</v>
      </c>
      <c r="C596" s="3" t="s">
        <v>23</v>
      </c>
      <c r="D596" s="3" t="s">
        <v>26</v>
      </c>
      <c r="E596" s="4" t="s">
        <v>128</v>
      </c>
      <c r="F596" s="3" t="s">
        <v>73</v>
      </c>
      <c r="G596" s="3"/>
      <c r="H596" s="4" t="s">
        <v>539</v>
      </c>
      <c r="I596" s="3" t="s">
        <v>2272</v>
      </c>
      <c r="J596" s="3" t="s">
        <v>2272</v>
      </c>
      <c r="K596" s="3" t="s">
        <v>2272</v>
      </c>
      <c r="L596" s="3" t="s">
        <v>2272</v>
      </c>
      <c r="M596" s="3" t="s">
        <v>2723</v>
      </c>
      <c r="N596" s="3" t="s">
        <v>2272</v>
      </c>
      <c r="O596" s="3" t="s">
        <v>2272</v>
      </c>
      <c r="P596" s="3" t="s">
        <v>2272</v>
      </c>
      <c r="Q596" s="3" t="s">
        <v>2272</v>
      </c>
      <c r="R596" s="3" t="s">
        <v>2272</v>
      </c>
      <c r="S596" s="3" t="s">
        <v>2272</v>
      </c>
      <c r="T596" s="3" t="s">
        <v>2272</v>
      </c>
      <c r="U596" s="3" t="s">
        <v>2272</v>
      </c>
      <c r="V596" s="3" t="s">
        <v>2272</v>
      </c>
      <c r="W596" s="19" t="s">
        <v>5699</v>
      </c>
    </row>
    <row r="597" spans="1:23" ht="35.5" customHeight="1">
      <c r="A597" s="19" t="s">
        <v>5687</v>
      </c>
      <c r="B597" s="19" t="s">
        <v>5693</v>
      </c>
      <c r="C597" s="3" t="s">
        <v>2453</v>
      </c>
      <c r="D597" s="3" t="s">
        <v>2272</v>
      </c>
      <c r="E597" s="3" t="s">
        <v>2272</v>
      </c>
      <c r="F597" s="3" t="s">
        <v>73</v>
      </c>
      <c r="G597" s="3"/>
      <c r="H597" s="4" t="s">
        <v>1090</v>
      </c>
      <c r="I597" s="3" t="s">
        <v>2685</v>
      </c>
      <c r="J597" s="3" t="s">
        <v>2272</v>
      </c>
      <c r="K597" s="3" t="s">
        <v>2272</v>
      </c>
      <c r="L597" s="3" t="s">
        <v>2272</v>
      </c>
      <c r="M597" s="3" t="s">
        <v>2272</v>
      </c>
      <c r="N597" s="3" t="s">
        <v>2272</v>
      </c>
      <c r="O597" s="3" t="s">
        <v>2272</v>
      </c>
      <c r="P597" s="3" t="s">
        <v>2272</v>
      </c>
      <c r="Q597" s="3" t="s">
        <v>2272</v>
      </c>
      <c r="R597" s="3" t="s">
        <v>2272</v>
      </c>
      <c r="S597" s="3" t="s">
        <v>2272</v>
      </c>
      <c r="T597" s="3" t="s">
        <v>2272</v>
      </c>
      <c r="U597" s="3" t="s">
        <v>2272</v>
      </c>
      <c r="V597" s="3" t="s">
        <v>2272</v>
      </c>
      <c r="W597" s="19" t="s">
        <v>5707</v>
      </c>
    </row>
    <row r="598" spans="1:23" ht="36" customHeight="1">
      <c r="A598" s="19" t="s">
        <v>5687</v>
      </c>
      <c r="B598" s="19" t="s">
        <v>5694</v>
      </c>
      <c r="C598" s="3" t="s">
        <v>30</v>
      </c>
      <c r="D598" s="3" t="s">
        <v>2272</v>
      </c>
      <c r="E598" s="3" t="s">
        <v>2272</v>
      </c>
      <c r="F598" s="3" t="s">
        <v>73</v>
      </c>
      <c r="G598" s="3"/>
      <c r="H598" s="4" t="s">
        <v>1090</v>
      </c>
      <c r="I598" s="3" t="s">
        <v>2685</v>
      </c>
      <c r="J598" s="3" t="s">
        <v>2272</v>
      </c>
      <c r="K598" s="3" t="s">
        <v>2272</v>
      </c>
      <c r="L598" s="3" t="s">
        <v>2272</v>
      </c>
      <c r="M598" s="3" t="s">
        <v>2272</v>
      </c>
      <c r="N598" s="3" t="s">
        <v>2272</v>
      </c>
      <c r="O598" s="3" t="s">
        <v>2272</v>
      </c>
      <c r="P598" s="3" t="s">
        <v>2272</v>
      </c>
      <c r="Q598" s="3" t="s">
        <v>2272</v>
      </c>
      <c r="R598" s="3" t="s">
        <v>2272</v>
      </c>
      <c r="S598" s="3" t="s">
        <v>2272</v>
      </c>
      <c r="T598" s="3" t="s">
        <v>2272</v>
      </c>
      <c r="U598" s="3" t="s">
        <v>2272</v>
      </c>
      <c r="V598" s="3" t="s">
        <v>2272</v>
      </c>
      <c r="W598" s="19" t="s">
        <v>5707</v>
      </c>
    </row>
    <row r="599" spans="1:23" ht="29">
      <c r="A599" s="11" t="s">
        <v>5709</v>
      </c>
      <c r="B599" s="11" t="s">
        <v>5711</v>
      </c>
      <c r="C599" s="3" t="s">
        <v>23</v>
      </c>
      <c r="D599" s="3" t="s">
        <v>26</v>
      </c>
      <c r="E599" s="3" t="s">
        <v>128</v>
      </c>
      <c r="F599" s="4" t="s">
        <v>73</v>
      </c>
      <c r="G599" s="3"/>
      <c r="H599" s="4" t="s">
        <v>539</v>
      </c>
      <c r="I599" s="3" t="s">
        <v>2272</v>
      </c>
      <c r="J599" s="3" t="s">
        <v>2272</v>
      </c>
      <c r="K599" s="3" t="s">
        <v>2272</v>
      </c>
      <c r="L599" s="3" t="s">
        <v>2272</v>
      </c>
      <c r="M599" s="3" t="s">
        <v>2272</v>
      </c>
      <c r="N599" s="3" t="s">
        <v>2272</v>
      </c>
      <c r="O599" s="3" t="s">
        <v>2272</v>
      </c>
      <c r="P599" s="3" t="s">
        <v>2272</v>
      </c>
      <c r="Q599" s="3" t="s">
        <v>2272</v>
      </c>
      <c r="R599" s="3" t="s">
        <v>532</v>
      </c>
      <c r="S599" s="3" t="s">
        <v>532</v>
      </c>
      <c r="T599" s="3" t="s">
        <v>532</v>
      </c>
      <c r="U599" s="3" t="s">
        <v>2272</v>
      </c>
      <c r="V599" s="3">
        <v>5</v>
      </c>
      <c r="W599" s="19" t="s">
        <v>5714</v>
      </c>
    </row>
    <row r="600" spans="1:23" ht="29">
      <c r="A600" s="11" t="s">
        <v>5709</v>
      </c>
      <c r="B600" s="11" t="s">
        <v>5712</v>
      </c>
      <c r="C600" s="3" t="s">
        <v>23</v>
      </c>
      <c r="D600" s="3" t="s">
        <v>24</v>
      </c>
      <c r="E600" s="3" t="s">
        <v>44</v>
      </c>
      <c r="F600" s="4" t="s">
        <v>73</v>
      </c>
      <c r="G600" s="3"/>
      <c r="H600" s="4" t="s">
        <v>539</v>
      </c>
      <c r="I600" s="3" t="s">
        <v>2272</v>
      </c>
      <c r="J600" s="3" t="s">
        <v>2272</v>
      </c>
      <c r="K600" s="3" t="s">
        <v>2272</v>
      </c>
      <c r="L600" s="3" t="s">
        <v>2272</v>
      </c>
      <c r="M600" s="3" t="s">
        <v>2272</v>
      </c>
      <c r="N600" s="3" t="s">
        <v>2272</v>
      </c>
      <c r="O600" s="3" t="s">
        <v>2272</v>
      </c>
      <c r="P600" s="3" t="s">
        <v>2272</v>
      </c>
      <c r="Q600" s="3" t="s">
        <v>2272</v>
      </c>
      <c r="R600" s="3" t="s">
        <v>532</v>
      </c>
      <c r="S600" s="3" t="s">
        <v>532</v>
      </c>
      <c r="T600" s="3" t="s">
        <v>532</v>
      </c>
      <c r="U600" s="3" t="s">
        <v>2272</v>
      </c>
      <c r="V600" s="3">
        <v>5</v>
      </c>
      <c r="W600" s="19" t="s">
        <v>5714</v>
      </c>
    </row>
    <row r="601" spans="1:23" ht="29">
      <c r="A601" s="11" t="s">
        <v>5709</v>
      </c>
      <c r="B601" s="11" t="s">
        <v>5713</v>
      </c>
      <c r="C601" s="3" t="s">
        <v>23</v>
      </c>
      <c r="D601" s="3" t="s">
        <v>3475</v>
      </c>
      <c r="E601" s="3" t="s">
        <v>114</v>
      </c>
      <c r="F601" s="4" t="s">
        <v>73</v>
      </c>
      <c r="G601" s="3"/>
      <c r="H601" s="4" t="s">
        <v>539</v>
      </c>
      <c r="I601" s="3" t="s">
        <v>2272</v>
      </c>
      <c r="J601" s="3" t="s">
        <v>2272</v>
      </c>
      <c r="K601" s="3" t="s">
        <v>2272</v>
      </c>
      <c r="L601" s="3" t="s">
        <v>2272</v>
      </c>
      <c r="M601" s="3" t="s">
        <v>2272</v>
      </c>
      <c r="N601" s="3" t="s">
        <v>2272</v>
      </c>
      <c r="O601" s="3" t="s">
        <v>2272</v>
      </c>
      <c r="P601" s="3" t="s">
        <v>2272</v>
      </c>
      <c r="Q601" s="3" t="s">
        <v>2272</v>
      </c>
      <c r="R601" s="3" t="s">
        <v>532</v>
      </c>
      <c r="S601" s="3" t="s">
        <v>532</v>
      </c>
      <c r="T601" s="3" t="s">
        <v>532</v>
      </c>
      <c r="U601" s="3" t="s">
        <v>2272</v>
      </c>
      <c r="V601" s="3">
        <v>5</v>
      </c>
      <c r="W601" s="19" t="s">
        <v>5714</v>
      </c>
    </row>
    <row r="602" spans="1:23" ht="43.5" customHeight="1">
      <c r="A602" s="11" t="s">
        <v>5717</v>
      </c>
      <c r="B602" s="11" t="s">
        <v>5726</v>
      </c>
      <c r="C602" s="3" t="s">
        <v>23</v>
      </c>
      <c r="D602" s="3" t="s">
        <v>25</v>
      </c>
      <c r="E602" s="4" t="s">
        <v>394</v>
      </c>
      <c r="F602" s="4" t="s">
        <v>27</v>
      </c>
      <c r="G602" s="3"/>
      <c r="H602" s="4" t="s">
        <v>539</v>
      </c>
      <c r="I602" s="3" t="s">
        <v>535</v>
      </c>
      <c r="J602" s="3" t="s">
        <v>535</v>
      </c>
      <c r="K602" s="3" t="s">
        <v>535</v>
      </c>
      <c r="L602" s="3" t="s">
        <v>535</v>
      </c>
      <c r="M602" s="3" t="s">
        <v>2272</v>
      </c>
      <c r="N602" s="3" t="s">
        <v>2272</v>
      </c>
      <c r="O602" s="3" t="s">
        <v>2272</v>
      </c>
      <c r="P602" s="3" t="s">
        <v>2272</v>
      </c>
      <c r="Q602" s="3" t="s">
        <v>2272</v>
      </c>
      <c r="R602" s="3" t="s">
        <v>2272</v>
      </c>
      <c r="S602" s="3" t="s">
        <v>2272</v>
      </c>
      <c r="T602" s="3" t="s">
        <v>2272</v>
      </c>
      <c r="U602" s="3" t="s">
        <v>2272</v>
      </c>
      <c r="V602" s="3" t="s">
        <v>2272</v>
      </c>
      <c r="W602" s="146" t="s">
        <v>5728</v>
      </c>
    </row>
    <row r="603" spans="1:23" ht="29">
      <c r="A603" s="19" t="s">
        <v>5720</v>
      </c>
      <c r="B603" s="11" t="s">
        <v>5729</v>
      </c>
      <c r="C603" s="3" t="s">
        <v>23</v>
      </c>
      <c r="D603" s="3" t="s">
        <v>25</v>
      </c>
      <c r="E603" s="4" t="s">
        <v>394</v>
      </c>
      <c r="F603" s="4" t="s">
        <v>27</v>
      </c>
      <c r="G603" s="3"/>
      <c r="H603" s="4" t="s">
        <v>539</v>
      </c>
      <c r="I603" s="3" t="s">
        <v>535</v>
      </c>
      <c r="J603" s="3" t="s">
        <v>535</v>
      </c>
      <c r="K603" s="3" t="s">
        <v>535</v>
      </c>
      <c r="L603" s="3" t="s">
        <v>535</v>
      </c>
      <c r="M603" s="3" t="s">
        <v>2272</v>
      </c>
      <c r="N603" s="3" t="s">
        <v>2272</v>
      </c>
      <c r="O603" s="3" t="s">
        <v>2272</v>
      </c>
      <c r="P603" s="3" t="s">
        <v>2272</v>
      </c>
      <c r="Q603" s="3" t="s">
        <v>2272</v>
      </c>
      <c r="R603" s="3" t="s">
        <v>2272</v>
      </c>
      <c r="S603" s="3" t="s">
        <v>2272</v>
      </c>
      <c r="T603" s="3" t="s">
        <v>2272</v>
      </c>
      <c r="U603" s="3" t="s">
        <v>2272</v>
      </c>
      <c r="V603" s="3" t="s">
        <v>2272</v>
      </c>
      <c r="W603" s="146" t="s">
        <v>5728</v>
      </c>
    </row>
    <row r="604" spans="1:23" ht="29">
      <c r="A604" s="19" t="s">
        <v>5721</v>
      </c>
      <c r="B604" s="11" t="s">
        <v>5730</v>
      </c>
      <c r="C604" s="3" t="s">
        <v>23</v>
      </c>
      <c r="D604" s="3" t="s">
        <v>25</v>
      </c>
      <c r="E604" s="4" t="s">
        <v>394</v>
      </c>
      <c r="F604" s="4" t="s">
        <v>27</v>
      </c>
      <c r="G604" s="3"/>
      <c r="H604" s="4" t="s">
        <v>539</v>
      </c>
      <c r="I604" s="3" t="s">
        <v>535</v>
      </c>
      <c r="J604" s="3" t="s">
        <v>535</v>
      </c>
      <c r="K604" s="3" t="s">
        <v>535</v>
      </c>
      <c r="L604" s="3" t="s">
        <v>535</v>
      </c>
      <c r="M604" s="3" t="s">
        <v>2272</v>
      </c>
      <c r="N604" s="3" t="s">
        <v>2272</v>
      </c>
      <c r="O604" s="3" t="s">
        <v>2272</v>
      </c>
      <c r="P604" s="3" t="s">
        <v>2272</v>
      </c>
      <c r="Q604" s="3" t="s">
        <v>2272</v>
      </c>
      <c r="R604" s="3" t="s">
        <v>2272</v>
      </c>
      <c r="S604" s="3" t="s">
        <v>2272</v>
      </c>
      <c r="T604" s="3" t="s">
        <v>2272</v>
      </c>
      <c r="U604" s="3" t="s">
        <v>2272</v>
      </c>
      <c r="V604" s="3" t="s">
        <v>2272</v>
      </c>
      <c r="W604" s="146" t="s">
        <v>5728</v>
      </c>
    </row>
    <row r="605" spans="1:23" ht="29">
      <c r="A605" s="19" t="s">
        <v>5722</v>
      </c>
      <c r="B605" s="11" t="s">
        <v>5731</v>
      </c>
      <c r="C605" s="3" t="s">
        <v>23</v>
      </c>
      <c r="D605" s="3" t="s">
        <v>25</v>
      </c>
      <c r="E605" s="4" t="s">
        <v>394</v>
      </c>
      <c r="F605" s="4" t="s">
        <v>27</v>
      </c>
      <c r="G605" s="3"/>
      <c r="H605" s="4" t="s">
        <v>539</v>
      </c>
      <c r="I605" s="3" t="s">
        <v>535</v>
      </c>
      <c r="J605" s="3" t="s">
        <v>535</v>
      </c>
      <c r="K605" s="3" t="s">
        <v>535</v>
      </c>
      <c r="L605" s="3" t="s">
        <v>535</v>
      </c>
      <c r="M605" s="3" t="s">
        <v>2272</v>
      </c>
      <c r="N605" s="3" t="s">
        <v>2272</v>
      </c>
      <c r="O605" s="3" t="s">
        <v>2272</v>
      </c>
      <c r="P605" s="3" t="s">
        <v>2272</v>
      </c>
      <c r="Q605" s="3" t="s">
        <v>2272</v>
      </c>
      <c r="R605" s="35" t="s">
        <v>2272</v>
      </c>
      <c r="S605" s="35" t="s">
        <v>2272</v>
      </c>
      <c r="T605" s="35" t="s">
        <v>2272</v>
      </c>
      <c r="U605" s="35" t="s">
        <v>2272</v>
      </c>
      <c r="V605" s="35" t="s">
        <v>2272</v>
      </c>
      <c r="W605" s="146" t="s">
        <v>5728</v>
      </c>
    </row>
    <row r="606" spans="1:23" ht="28" customHeight="1">
      <c r="A606" s="19" t="s">
        <v>5733</v>
      </c>
      <c r="B606" s="19" t="s">
        <v>5740</v>
      </c>
      <c r="C606" s="3" t="s">
        <v>23</v>
      </c>
      <c r="D606" s="3" t="s">
        <v>1102</v>
      </c>
      <c r="E606" s="3" t="s">
        <v>1102</v>
      </c>
      <c r="F606" s="4" t="s">
        <v>73</v>
      </c>
      <c r="G606" s="3">
        <v>1950</v>
      </c>
      <c r="H606" s="4" t="s">
        <v>539</v>
      </c>
      <c r="I606" s="3" t="s">
        <v>2272</v>
      </c>
      <c r="J606" s="3" t="s">
        <v>2272</v>
      </c>
      <c r="K606" s="3" t="s">
        <v>2272</v>
      </c>
      <c r="L606" s="3" t="s">
        <v>2272</v>
      </c>
      <c r="M606" s="3" t="s">
        <v>2272</v>
      </c>
      <c r="N606" s="3" t="s">
        <v>2272</v>
      </c>
      <c r="O606" s="3" t="s">
        <v>2272</v>
      </c>
      <c r="P606" s="3" t="s">
        <v>2272</v>
      </c>
      <c r="Q606" s="3" t="s">
        <v>2272</v>
      </c>
      <c r="R606" s="3" t="s">
        <v>532</v>
      </c>
      <c r="S606" s="35" t="s">
        <v>2272</v>
      </c>
      <c r="T606" s="35" t="s">
        <v>2272</v>
      </c>
      <c r="U606" s="35" t="s">
        <v>2272</v>
      </c>
      <c r="V606" s="3">
        <v>4</v>
      </c>
      <c r="W606" s="19" t="s">
        <v>5788</v>
      </c>
    </row>
    <row r="607" spans="1:23" ht="28" customHeight="1">
      <c r="A607" s="19" t="s">
        <v>5733</v>
      </c>
      <c r="B607" s="19" t="s">
        <v>5744</v>
      </c>
      <c r="C607" s="3" t="s">
        <v>23</v>
      </c>
      <c r="D607" s="3" t="s">
        <v>1102</v>
      </c>
      <c r="E607" s="3" t="s">
        <v>1102</v>
      </c>
      <c r="F607" s="4" t="s">
        <v>73</v>
      </c>
      <c r="G607" s="3">
        <v>1984</v>
      </c>
      <c r="H607" s="4" t="s">
        <v>539</v>
      </c>
      <c r="I607" s="3" t="s">
        <v>2272</v>
      </c>
      <c r="J607" s="3" t="s">
        <v>2272</v>
      </c>
      <c r="K607" s="3" t="s">
        <v>2272</v>
      </c>
      <c r="L607" s="3" t="s">
        <v>2272</v>
      </c>
      <c r="M607" s="3" t="s">
        <v>2272</v>
      </c>
      <c r="N607" s="3" t="s">
        <v>2272</v>
      </c>
      <c r="O607" s="3" t="s">
        <v>2272</v>
      </c>
      <c r="P607" s="3" t="s">
        <v>2272</v>
      </c>
      <c r="Q607" s="3" t="s">
        <v>2272</v>
      </c>
      <c r="R607" s="3" t="s">
        <v>2272</v>
      </c>
      <c r="S607" s="35" t="s">
        <v>2272</v>
      </c>
      <c r="T607" s="35" t="s">
        <v>2272</v>
      </c>
      <c r="U607" s="35" t="s">
        <v>2272</v>
      </c>
      <c r="V607" s="3" t="s">
        <v>2272</v>
      </c>
      <c r="W607" s="3" t="s">
        <v>2272</v>
      </c>
    </row>
    <row r="608" spans="1:23" ht="28" customHeight="1">
      <c r="A608" s="3" t="s">
        <v>5733</v>
      </c>
      <c r="B608" s="19" t="s">
        <v>5749</v>
      </c>
      <c r="C608" s="3" t="s">
        <v>23</v>
      </c>
      <c r="D608" s="3" t="s">
        <v>1102</v>
      </c>
      <c r="E608" s="3" t="s">
        <v>1102</v>
      </c>
      <c r="F608" s="4" t="s">
        <v>73</v>
      </c>
      <c r="G608" s="3">
        <v>2004</v>
      </c>
      <c r="H608" s="4" t="s">
        <v>539</v>
      </c>
      <c r="I608" s="3" t="s">
        <v>2272</v>
      </c>
      <c r="J608" s="3" t="s">
        <v>2272</v>
      </c>
      <c r="K608" s="3" t="s">
        <v>2272</v>
      </c>
      <c r="L608" s="3" t="s">
        <v>2272</v>
      </c>
      <c r="M608" s="3" t="s">
        <v>2272</v>
      </c>
      <c r="N608" s="3" t="s">
        <v>2272</v>
      </c>
      <c r="O608" s="3" t="s">
        <v>2272</v>
      </c>
      <c r="P608" s="3" t="s">
        <v>2272</v>
      </c>
      <c r="Q608" s="3" t="s">
        <v>2272</v>
      </c>
      <c r="R608" s="3" t="s">
        <v>2272</v>
      </c>
      <c r="S608" s="35" t="s">
        <v>2272</v>
      </c>
      <c r="T608" s="35" t="s">
        <v>2272</v>
      </c>
      <c r="U608" s="35" t="s">
        <v>2272</v>
      </c>
      <c r="V608" s="3" t="s">
        <v>2272</v>
      </c>
      <c r="W608" s="3" t="s">
        <v>2272</v>
      </c>
    </row>
    <row r="609" spans="1:23" ht="28" customHeight="1">
      <c r="A609" s="19" t="s">
        <v>5737</v>
      </c>
      <c r="B609" s="19" t="s">
        <v>5741</v>
      </c>
      <c r="C609" s="3" t="s">
        <v>23</v>
      </c>
      <c r="D609" s="3" t="s">
        <v>1102</v>
      </c>
      <c r="E609" s="3" t="s">
        <v>1102</v>
      </c>
      <c r="F609" s="4" t="s">
        <v>73</v>
      </c>
      <c r="G609" s="3">
        <v>1950</v>
      </c>
      <c r="H609" s="4" t="s">
        <v>539</v>
      </c>
      <c r="I609" s="3" t="s">
        <v>2272</v>
      </c>
      <c r="J609" s="3" t="s">
        <v>2272</v>
      </c>
      <c r="K609" s="3" t="s">
        <v>2272</v>
      </c>
      <c r="L609" s="3" t="s">
        <v>2272</v>
      </c>
      <c r="M609" s="3" t="s">
        <v>2272</v>
      </c>
      <c r="N609" s="3" t="s">
        <v>2272</v>
      </c>
      <c r="O609" s="3" t="s">
        <v>2272</v>
      </c>
      <c r="P609" s="3" t="s">
        <v>2272</v>
      </c>
      <c r="Q609" s="3" t="s">
        <v>2272</v>
      </c>
      <c r="R609" s="3" t="s">
        <v>532</v>
      </c>
      <c r="S609" s="35" t="s">
        <v>2272</v>
      </c>
      <c r="T609" s="35" t="s">
        <v>2272</v>
      </c>
      <c r="U609" s="35" t="s">
        <v>2272</v>
      </c>
      <c r="V609" s="3">
        <v>4</v>
      </c>
      <c r="W609" s="19" t="s">
        <v>5788</v>
      </c>
    </row>
    <row r="610" spans="1:23" ht="28" customHeight="1">
      <c r="A610" s="19" t="s">
        <v>5737</v>
      </c>
      <c r="B610" s="19" t="s">
        <v>5745</v>
      </c>
      <c r="C610" s="3" t="s">
        <v>23</v>
      </c>
      <c r="D610" s="3" t="s">
        <v>1102</v>
      </c>
      <c r="E610" s="3" t="s">
        <v>1102</v>
      </c>
      <c r="F610" s="4" t="s">
        <v>73</v>
      </c>
      <c r="G610" s="3">
        <v>1984</v>
      </c>
      <c r="H610" s="4" t="s">
        <v>539</v>
      </c>
      <c r="I610" s="3" t="s">
        <v>2272</v>
      </c>
      <c r="J610" s="3" t="s">
        <v>2272</v>
      </c>
      <c r="K610" s="3" t="s">
        <v>2272</v>
      </c>
      <c r="L610" s="3" t="s">
        <v>2272</v>
      </c>
      <c r="M610" s="3" t="s">
        <v>2272</v>
      </c>
      <c r="N610" s="3" t="s">
        <v>2272</v>
      </c>
      <c r="O610" s="3" t="s">
        <v>2272</v>
      </c>
      <c r="P610" s="3" t="s">
        <v>2272</v>
      </c>
      <c r="Q610" s="3" t="s">
        <v>2272</v>
      </c>
      <c r="R610" s="3" t="s">
        <v>2272</v>
      </c>
      <c r="S610" s="35" t="s">
        <v>2272</v>
      </c>
      <c r="T610" s="35" t="s">
        <v>2272</v>
      </c>
      <c r="U610" s="35" t="s">
        <v>2272</v>
      </c>
      <c r="V610" s="3" t="s">
        <v>2272</v>
      </c>
      <c r="W610" s="3" t="s">
        <v>2272</v>
      </c>
    </row>
    <row r="611" spans="1:23" ht="28" customHeight="1">
      <c r="A611" s="19" t="s">
        <v>5737</v>
      </c>
      <c r="B611" s="19" t="s">
        <v>5750</v>
      </c>
      <c r="C611" s="3" t="s">
        <v>23</v>
      </c>
      <c r="D611" s="3" t="s">
        <v>1102</v>
      </c>
      <c r="E611" s="3" t="s">
        <v>1102</v>
      </c>
      <c r="F611" s="4" t="s">
        <v>73</v>
      </c>
      <c r="G611" s="3">
        <v>2004</v>
      </c>
      <c r="H611" s="4" t="s">
        <v>539</v>
      </c>
      <c r="I611" s="3" t="s">
        <v>2272</v>
      </c>
      <c r="J611" s="3" t="s">
        <v>2272</v>
      </c>
      <c r="K611" s="3" t="s">
        <v>2272</v>
      </c>
      <c r="L611" s="3" t="s">
        <v>2272</v>
      </c>
      <c r="M611" s="3" t="s">
        <v>2272</v>
      </c>
      <c r="N611" s="3" t="s">
        <v>2272</v>
      </c>
      <c r="O611" s="3" t="s">
        <v>2272</v>
      </c>
      <c r="P611" s="3" t="s">
        <v>2272</v>
      </c>
      <c r="Q611" s="3" t="s">
        <v>2272</v>
      </c>
      <c r="R611" s="3" t="s">
        <v>2272</v>
      </c>
      <c r="S611" s="35" t="s">
        <v>2272</v>
      </c>
      <c r="T611" s="35" t="s">
        <v>2272</v>
      </c>
      <c r="U611" s="35" t="s">
        <v>2272</v>
      </c>
      <c r="V611" s="3" t="s">
        <v>2272</v>
      </c>
      <c r="W611" s="3" t="s">
        <v>2272</v>
      </c>
    </row>
    <row r="612" spans="1:23" ht="43.5">
      <c r="A612" s="19" t="s">
        <v>5791</v>
      </c>
      <c r="B612" s="19" t="s">
        <v>5796</v>
      </c>
      <c r="C612" s="3" t="s">
        <v>23</v>
      </c>
      <c r="D612" s="3" t="s">
        <v>2654</v>
      </c>
      <c r="E612" s="4" t="s">
        <v>394</v>
      </c>
      <c r="F612" s="4" t="s">
        <v>27</v>
      </c>
      <c r="G612" s="3"/>
      <c r="H612" s="4"/>
      <c r="I612" s="3" t="s">
        <v>2272</v>
      </c>
      <c r="J612" s="3" t="s">
        <v>2272</v>
      </c>
      <c r="K612" s="3" t="s">
        <v>2272</v>
      </c>
      <c r="L612" s="3" t="s">
        <v>2272</v>
      </c>
      <c r="M612" s="3" t="s">
        <v>2665</v>
      </c>
      <c r="N612" s="3" t="s">
        <v>2272</v>
      </c>
      <c r="O612" s="3" t="s">
        <v>2272</v>
      </c>
      <c r="P612" s="3" t="s">
        <v>532</v>
      </c>
      <c r="Q612" s="3">
        <v>4</v>
      </c>
      <c r="R612" s="3" t="s">
        <v>2272</v>
      </c>
      <c r="S612" s="3" t="s">
        <v>2272</v>
      </c>
      <c r="T612" s="3" t="s">
        <v>2272</v>
      </c>
      <c r="U612" s="3" t="s">
        <v>2272</v>
      </c>
      <c r="V612" s="3" t="s">
        <v>2272</v>
      </c>
      <c r="W612" s="19" t="s">
        <v>5808</v>
      </c>
    </row>
    <row r="613" spans="1:23" ht="43.5">
      <c r="A613" s="19" t="s">
        <v>5791</v>
      </c>
      <c r="B613" s="19" t="s">
        <v>5797</v>
      </c>
      <c r="C613" s="3" t="s">
        <v>23</v>
      </c>
      <c r="D613" s="3" t="s">
        <v>2989</v>
      </c>
      <c r="E613" s="4" t="s">
        <v>394</v>
      </c>
      <c r="F613" s="4" t="s">
        <v>2272</v>
      </c>
      <c r="G613" s="3"/>
      <c r="H613" s="4"/>
      <c r="I613" s="3" t="s">
        <v>2272</v>
      </c>
      <c r="J613" s="3" t="s">
        <v>2272</v>
      </c>
      <c r="K613" s="3" t="s">
        <v>2272</v>
      </c>
      <c r="L613" s="3" t="s">
        <v>2272</v>
      </c>
      <c r="M613" s="3" t="s">
        <v>2665</v>
      </c>
      <c r="N613" s="3" t="s">
        <v>2272</v>
      </c>
      <c r="O613" s="3" t="s">
        <v>2272</v>
      </c>
      <c r="P613" s="3" t="s">
        <v>532</v>
      </c>
      <c r="Q613" s="3">
        <v>4</v>
      </c>
      <c r="R613" s="3" t="s">
        <v>2272</v>
      </c>
      <c r="S613" s="3" t="s">
        <v>2272</v>
      </c>
      <c r="T613" s="3" t="s">
        <v>2272</v>
      </c>
      <c r="U613" s="3" t="s">
        <v>2272</v>
      </c>
      <c r="V613" s="3" t="s">
        <v>2272</v>
      </c>
      <c r="W613" s="19" t="s">
        <v>5808</v>
      </c>
    </row>
    <row r="614" spans="1:23" ht="82" customHeight="1">
      <c r="A614" s="19" t="s">
        <v>5810</v>
      </c>
      <c r="B614" s="19" t="s">
        <v>5814</v>
      </c>
      <c r="C614" s="3" t="s">
        <v>23</v>
      </c>
      <c r="D614" s="3" t="s">
        <v>26</v>
      </c>
      <c r="E614" s="3" t="s">
        <v>128</v>
      </c>
      <c r="F614" s="3" t="s">
        <v>158</v>
      </c>
      <c r="G614" s="3"/>
      <c r="H614" s="4" t="s">
        <v>539</v>
      </c>
      <c r="I614" s="3" t="s">
        <v>2685</v>
      </c>
      <c r="J614" s="3" t="s">
        <v>532</v>
      </c>
      <c r="K614" s="3" t="s">
        <v>2272</v>
      </c>
      <c r="L614" s="3" t="s">
        <v>2272</v>
      </c>
      <c r="M614" s="3" t="s">
        <v>2664</v>
      </c>
      <c r="N614" s="3" t="s">
        <v>532</v>
      </c>
      <c r="O614" s="3" t="s">
        <v>2272</v>
      </c>
      <c r="P614" s="3" t="s">
        <v>2272</v>
      </c>
      <c r="Q614" s="3" t="s">
        <v>2272</v>
      </c>
      <c r="R614" s="3" t="s">
        <v>535</v>
      </c>
      <c r="S614" s="3" t="s">
        <v>535</v>
      </c>
      <c r="T614" s="3" t="s">
        <v>535</v>
      </c>
      <c r="U614" s="3" t="s">
        <v>535</v>
      </c>
      <c r="V614" s="3" t="s">
        <v>2272</v>
      </c>
      <c r="W614" s="4" t="s">
        <v>5820</v>
      </c>
    </row>
    <row r="615" spans="1:23" ht="82" customHeight="1">
      <c r="A615" s="19" t="s">
        <v>5811</v>
      </c>
      <c r="B615" s="19" t="s">
        <v>5817</v>
      </c>
      <c r="C615" s="3" t="s">
        <v>23</v>
      </c>
      <c r="D615" s="3" t="s">
        <v>26</v>
      </c>
      <c r="E615" s="3" t="s">
        <v>128</v>
      </c>
      <c r="F615" s="3" t="s">
        <v>158</v>
      </c>
      <c r="G615" s="3"/>
      <c r="H615" s="4" t="s">
        <v>539</v>
      </c>
      <c r="I615" s="3" t="s">
        <v>2685</v>
      </c>
      <c r="J615" s="3" t="s">
        <v>532</v>
      </c>
      <c r="K615" s="3" t="s">
        <v>2272</v>
      </c>
      <c r="L615" s="3" t="s">
        <v>2272</v>
      </c>
      <c r="M615" s="3" t="s">
        <v>2664</v>
      </c>
      <c r="N615" s="3" t="s">
        <v>532</v>
      </c>
      <c r="O615" s="3" t="s">
        <v>2272</v>
      </c>
      <c r="P615" s="3" t="s">
        <v>2272</v>
      </c>
      <c r="Q615" s="3" t="s">
        <v>2272</v>
      </c>
      <c r="R615" s="3" t="s">
        <v>535</v>
      </c>
      <c r="S615" s="3" t="s">
        <v>535</v>
      </c>
      <c r="T615" s="3" t="s">
        <v>535</v>
      </c>
      <c r="U615" s="3" t="s">
        <v>535</v>
      </c>
      <c r="V615" s="3" t="s">
        <v>2272</v>
      </c>
      <c r="W615" s="4" t="s">
        <v>5820</v>
      </c>
    </row>
    <row r="616" spans="1:23" ht="64.5" customHeight="1">
      <c r="A616" s="3" t="s">
        <v>5856</v>
      </c>
      <c r="B616" s="3" t="s">
        <v>5878</v>
      </c>
      <c r="C616" s="3" t="s">
        <v>23</v>
      </c>
      <c r="D616" s="3" t="s">
        <v>1102</v>
      </c>
      <c r="E616" s="3" t="s">
        <v>1102</v>
      </c>
      <c r="F616" s="3" t="s">
        <v>1102</v>
      </c>
      <c r="G616" s="3"/>
      <c r="H616" s="4" t="s">
        <v>539</v>
      </c>
      <c r="I616" s="3" t="s">
        <v>2272</v>
      </c>
      <c r="J616" s="3" t="s">
        <v>2272</v>
      </c>
      <c r="K616" s="3" t="s">
        <v>2272</v>
      </c>
      <c r="L616" s="3" t="s">
        <v>2272</v>
      </c>
      <c r="M616" s="3" t="s">
        <v>2665</v>
      </c>
      <c r="N616" s="3" t="s">
        <v>2272</v>
      </c>
      <c r="O616" s="3" t="s">
        <v>2272</v>
      </c>
      <c r="P616" s="3" t="s">
        <v>532</v>
      </c>
      <c r="Q616" s="3">
        <v>2</v>
      </c>
      <c r="R616" s="3" t="s">
        <v>535</v>
      </c>
      <c r="S616" s="3" t="s">
        <v>535</v>
      </c>
      <c r="T616" s="3" t="s">
        <v>535</v>
      </c>
      <c r="U616" s="3" t="s">
        <v>535</v>
      </c>
      <c r="V616" s="3" t="s">
        <v>2272</v>
      </c>
      <c r="W616" s="19" t="s">
        <v>5887</v>
      </c>
    </row>
    <row r="617" spans="1:23" ht="51.5" customHeight="1">
      <c r="A617" s="19" t="s">
        <v>5869</v>
      </c>
      <c r="B617" s="19" t="s">
        <v>5894</v>
      </c>
      <c r="C617" s="3" t="s">
        <v>23</v>
      </c>
      <c r="D617" s="3" t="s">
        <v>142</v>
      </c>
      <c r="E617" s="3" t="s">
        <v>1102</v>
      </c>
      <c r="F617" s="3" t="s">
        <v>54</v>
      </c>
      <c r="G617" s="3"/>
      <c r="H617" s="4" t="s">
        <v>539</v>
      </c>
      <c r="I617" s="3" t="s">
        <v>2272</v>
      </c>
      <c r="J617" s="3" t="s">
        <v>2272</v>
      </c>
      <c r="K617" s="3" t="s">
        <v>2272</v>
      </c>
      <c r="L617" s="3" t="s">
        <v>2272</v>
      </c>
      <c r="M617" s="3" t="s">
        <v>2272</v>
      </c>
      <c r="N617" s="3" t="s">
        <v>2272</v>
      </c>
      <c r="O617" s="3" t="s">
        <v>2272</v>
      </c>
      <c r="P617" s="3" t="s">
        <v>2272</v>
      </c>
      <c r="Q617" s="3" t="s">
        <v>2272</v>
      </c>
      <c r="R617" s="3" t="s">
        <v>535</v>
      </c>
      <c r="S617" s="3" t="s">
        <v>535</v>
      </c>
      <c r="T617" s="3" t="s">
        <v>535</v>
      </c>
      <c r="U617" s="3" t="s">
        <v>535</v>
      </c>
      <c r="V617" s="3" t="s">
        <v>2272</v>
      </c>
      <c r="W617" s="3"/>
    </row>
    <row r="618" spans="1:23" ht="34.5" customHeight="1">
      <c r="A618" s="19" t="s">
        <v>5903</v>
      </c>
      <c r="B618" s="19" t="s">
        <v>5906</v>
      </c>
      <c r="C618" s="3" t="s">
        <v>23</v>
      </c>
      <c r="D618" s="3" t="s">
        <v>1241</v>
      </c>
      <c r="E618" s="3" t="s">
        <v>114</v>
      </c>
      <c r="F618" s="3" t="s">
        <v>2272</v>
      </c>
      <c r="G618" s="3"/>
      <c r="H618" s="4" t="s">
        <v>539</v>
      </c>
      <c r="I618" s="3" t="s">
        <v>2272</v>
      </c>
      <c r="J618" s="3" t="s">
        <v>2272</v>
      </c>
      <c r="K618" s="3" t="s">
        <v>2272</v>
      </c>
      <c r="L618" s="3" t="s">
        <v>2272</v>
      </c>
      <c r="M618" s="3" t="s">
        <v>2272</v>
      </c>
      <c r="N618" s="3" t="s">
        <v>2272</v>
      </c>
      <c r="O618" s="3" t="s">
        <v>2272</v>
      </c>
      <c r="P618" s="3" t="s">
        <v>2272</v>
      </c>
      <c r="Q618" s="3"/>
      <c r="R618" s="3" t="s">
        <v>532</v>
      </c>
      <c r="S618" s="3" t="s">
        <v>2272</v>
      </c>
      <c r="T618" s="3" t="s">
        <v>2272</v>
      </c>
      <c r="U618" s="3" t="s">
        <v>2272</v>
      </c>
      <c r="V618" s="3" t="s">
        <v>2272</v>
      </c>
      <c r="W618" s="19" t="s">
        <v>5922</v>
      </c>
    </row>
    <row r="619" spans="1:23" ht="36" customHeight="1">
      <c r="A619" s="19" t="s">
        <v>5903</v>
      </c>
      <c r="B619" s="19" t="s">
        <v>5907</v>
      </c>
      <c r="C619" s="3" t="s">
        <v>23</v>
      </c>
      <c r="D619" s="3" t="s">
        <v>24</v>
      </c>
      <c r="E619" s="3" t="s">
        <v>5000</v>
      </c>
      <c r="F619" s="3" t="s">
        <v>2272</v>
      </c>
      <c r="G619" s="3"/>
      <c r="H619" s="4" t="s">
        <v>539</v>
      </c>
      <c r="I619" s="3" t="s">
        <v>2272</v>
      </c>
      <c r="J619" s="3" t="s">
        <v>2272</v>
      </c>
      <c r="K619" s="3" t="s">
        <v>2272</v>
      </c>
      <c r="L619" s="3" t="s">
        <v>2272</v>
      </c>
      <c r="M619" s="3" t="s">
        <v>2664</v>
      </c>
      <c r="N619" s="3" t="s">
        <v>2272</v>
      </c>
      <c r="O619" s="3" t="s">
        <v>2272</v>
      </c>
      <c r="P619" s="3" t="s">
        <v>2272</v>
      </c>
      <c r="Q619" s="3">
        <v>1</v>
      </c>
      <c r="R619" s="3" t="s">
        <v>535</v>
      </c>
      <c r="S619" s="3" t="s">
        <v>535</v>
      </c>
      <c r="T619" s="3" t="s">
        <v>535</v>
      </c>
      <c r="U619" s="3" t="s">
        <v>535</v>
      </c>
      <c r="V619" s="3" t="s">
        <v>2272</v>
      </c>
      <c r="W619" s="19" t="s">
        <v>5923</v>
      </c>
    </row>
    <row r="620" spans="1:23" ht="36" customHeight="1">
      <c r="A620" s="19" t="s">
        <v>5903</v>
      </c>
      <c r="B620" s="19" t="s">
        <v>5908</v>
      </c>
      <c r="C620" s="3" t="s">
        <v>23</v>
      </c>
      <c r="D620" s="3" t="s">
        <v>26</v>
      </c>
      <c r="E620" s="3" t="s">
        <v>128</v>
      </c>
      <c r="F620" s="3" t="s">
        <v>2272</v>
      </c>
      <c r="G620" s="3"/>
      <c r="H620" s="4" t="s">
        <v>539</v>
      </c>
      <c r="I620" s="3" t="s">
        <v>2272</v>
      </c>
      <c r="J620" s="3" t="s">
        <v>2272</v>
      </c>
      <c r="K620" s="3" t="s">
        <v>2272</v>
      </c>
      <c r="L620" s="3" t="s">
        <v>2272</v>
      </c>
      <c r="M620" s="3" t="s">
        <v>2664</v>
      </c>
      <c r="N620" s="3" t="s">
        <v>2272</v>
      </c>
      <c r="O620" s="3" t="s">
        <v>2272</v>
      </c>
      <c r="P620" s="3" t="s">
        <v>2272</v>
      </c>
      <c r="Q620" s="3">
        <v>1</v>
      </c>
      <c r="R620" s="3" t="s">
        <v>535</v>
      </c>
      <c r="S620" s="3" t="s">
        <v>535</v>
      </c>
      <c r="T620" s="3" t="s">
        <v>535</v>
      </c>
      <c r="U620" s="3" t="s">
        <v>535</v>
      </c>
      <c r="V620" s="3" t="s">
        <v>2272</v>
      </c>
      <c r="W620" s="19" t="s">
        <v>5923</v>
      </c>
    </row>
    <row r="621" spans="1:23" ht="36" customHeight="1">
      <c r="A621" s="19" t="s">
        <v>5903</v>
      </c>
      <c r="B621" s="19" t="s">
        <v>5909</v>
      </c>
      <c r="C621" s="3" t="s">
        <v>23</v>
      </c>
      <c r="D621" s="3" t="s">
        <v>3471</v>
      </c>
      <c r="E621" s="3" t="s">
        <v>860</v>
      </c>
      <c r="F621" s="3" t="s">
        <v>2272</v>
      </c>
      <c r="G621" s="3"/>
      <c r="H621" s="4" t="s">
        <v>539</v>
      </c>
      <c r="I621" s="3" t="s">
        <v>2272</v>
      </c>
      <c r="J621" s="3" t="s">
        <v>2272</v>
      </c>
      <c r="K621" s="3" t="s">
        <v>2272</v>
      </c>
      <c r="L621" s="3" t="s">
        <v>2272</v>
      </c>
      <c r="M621" s="3" t="s">
        <v>2664</v>
      </c>
      <c r="N621" s="3" t="s">
        <v>2272</v>
      </c>
      <c r="O621" s="3" t="s">
        <v>2272</v>
      </c>
      <c r="P621" s="3" t="s">
        <v>2272</v>
      </c>
      <c r="Q621" s="3">
        <v>1</v>
      </c>
      <c r="R621" s="3" t="s">
        <v>535</v>
      </c>
      <c r="S621" s="3" t="s">
        <v>535</v>
      </c>
      <c r="T621" s="3" t="s">
        <v>535</v>
      </c>
      <c r="U621" s="3" t="s">
        <v>535</v>
      </c>
      <c r="V621" s="3" t="s">
        <v>2272</v>
      </c>
      <c r="W621" s="19" t="s">
        <v>5923</v>
      </c>
    </row>
    <row r="622" spans="1:23" ht="48.5" customHeight="1">
      <c r="A622" s="19" t="s">
        <v>5903</v>
      </c>
      <c r="B622" s="19" t="s">
        <v>5910</v>
      </c>
      <c r="C622" s="3" t="s">
        <v>23</v>
      </c>
      <c r="D622" s="3" t="s">
        <v>1238</v>
      </c>
      <c r="E622" s="4" t="s">
        <v>135</v>
      </c>
      <c r="F622" s="3" t="s">
        <v>2272</v>
      </c>
      <c r="G622" s="3"/>
      <c r="H622" s="4" t="s">
        <v>539</v>
      </c>
      <c r="I622" s="3" t="s">
        <v>2272</v>
      </c>
      <c r="J622" s="3" t="s">
        <v>2272</v>
      </c>
      <c r="K622" s="3" t="s">
        <v>2272</v>
      </c>
      <c r="L622" s="3" t="s">
        <v>2272</v>
      </c>
      <c r="M622" s="3" t="s">
        <v>2272</v>
      </c>
      <c r="N622" s="3" t="s">
        <v>2272</v>
      </c>
      <c r="O622" s="3" t="s">
        <v>2272</v>
      </c>
      <c r="P622" s="3" t="s">
        <v>2272</v>
      </c>
      <c r="Q622" s="3" t="s">
        <v>2272</v>
      </c>
      <c r="R622" s="3" t="s">
        <v>535</v>
      </c>
      <c r="S622" s="3" t="s">
        <v>535</v>
      </c>
      <c r="T622" s="3" t="s">
        <v>535</v>
      </c>
      <c r="U622" s="3" t="s">
        <v>535</v>
      </c>
      <c r="V622" s="3" t="s">
        <v>2272</v>
      </c>
      <c r="W622" s="19" t="s">
        <v>5924</v>
      </c>
    </row>
    <row r="623" spans="1:23" ht="47.5" customHeight="1">
      <c r="A623" s="19" t="s">
        <v>5903</v>
      </c>
      <c r="B623" s="19" t="s">
        <v>5911</v>
      </c>
      <c r="C623" s="3" t="s">
        <v>23</v>
      </c>
      <c r="D623" s="3" t="s">
        <v>142</v>
      </c>
      <c r="E623" s="4" t="s">
        <v>135</v>
      </c>
      <c r="F623" s="3" t="s">
        <v>2272</v>
      </c>
      <c r="G623" s="3"/>
      <c r="H623" s="4" t="s">
        <v>539</v>
      </c>
      <c r="I623" s="3" t="s">
        <v>2272</v>
      </c>
      <c r="J623" s="3" t="s">
        <v>2272</v>
      </c>
      <c r="K623" s="3" t="s">
        <v>2272</v>
      </c>
      <c r="L623" s="3" t="s">
        <v>2272</v>
      </c>
      <c r="M623" s="3" t="s">
        <v>2272</v>
      </c>
      <c r="N623" s="3" t="s">
        <v>2272</v>
      </c>
      <c r="O623" s="3" t="s">
        <v>2272</v>
      </c>
      <c r="P623" s="3" t="s">
        <v>2272</v>
      </c>
      <c r="Q623" s="3" t="s">
        <v>2272</v>
      </c>
      <c r="R623" s="3" t="s">
        <v>535</v>
      </c>
      <c r="S623" s="3" t="s">
        <v>535</v>
      </c>
      <c r="T623" s="3" t="s">
        <v>535</v>
      </c>
      <c r="U623" s="3" t="s">
        <v>535</v>
      </c>
      <c r="V623" s="3" t="s">
        <v>2272</v>
      </c>
      <c r="W623" s="19" t="s">
        <v>5924</v>
      </c>
    </row>
    <row r="624" spans="1:23" ht="53" customHeight="1">
      <c r="A624" s="19" t="s">
        <v>5926</v>
      </c>
      <c r="B624" s="19" t="s">
        <v>5928</v>
      </c>
      <c r="C624" s="3" t="s">
        <v>23</v>
      </c>
      <c r="D624" s="3" t="s">
        <v>1102</v>
      </c>
      <c r="E624" s="3" t="s">
        <v>114</v>
      </c>
      <c r="F624" s="4" t="s">
        <v>2657</v>
      </c>
      <c r="G624" s="3"/>
      <c r="H624" s="4" t="s">
        <v>539</v>
      </c>
      <c r="I624" s="3" t="s">
        <v>2272</v>
      </c>
      <c r="J624" s="3" t="s">
        <v>2272</v>
      </c>
      <c r="K624" s="3" t="s">
        <v>2272</v>
      </c>
      <c r="L624" s="3" t="s">
        <v>2272</v>
      </c>
      <c r="M624" s="3" t="s">
        <v>2723</v>
      </c>
      <c r="N624" s="3" t="s">
        <v>2272</v>
      </c>
      <c r="O624" s="3" t="s">
        <v>532</v>
      </c>
      <c r="P624" s="3" t="s">
        <v>2272</v>
      </c>
      <c r="Q624" s="3" t="s">
        <v>2272</v>
      </c>
      <c r="R624" s="3" t="s">
        <v>2272</v>
      </c>
      <c r="S624" s="3" t="s">
        <v>2272</v>
      </c>
      <c r="T624" s="3" t="s">
        <v>2272</v>
      </c>
      <c r="U624" s="3" t="s">
        <v>2272</v>
      </c>
      <c r="V624" s="3" t="s">
        <v>2272</v>
      </c>
      <c r="W624" s="19" t="s">
        <v>5938</v>
      </c>
    </row>
    <row r="625" spans="1:23" ht="43.5" customHeight="1">
      <c r="A625" s="3" t="s">
        <v>5949</v>
      </c>
      <c r="B625" s="3" t="s">
        <v>5950</v>
      </c>
      <c r="C625" s="3" t="s">
        <v>23</v>
      </c>
      <c r="D625" s="3" t="s">
        <v>142</v>
      </c>
      <c r="E625" s="4" t="s">
        <v>135</v>
      </c>
      <c r="F625" s="3" t="s">
        <v>73</v>
      </c>
      <c r="G625" s="3"/>
      <c r="H625" s="4" t="s">
        <v>2668</v>
      </c>
      <c r="I625" s="3" t="s">
        <v>2272</v>
      </c>
      <c r="J625" s="3" t="s">
        <v>2272</v>
      </c>
      <c r="K625" s="3" t="s">
        <v>2272</v>
      </c>
      <c r="L625" s="3" t="s">
        <v>2272</v>
      </c>
      <c r="M625" s="3" t="s">
        <v>2723</v>
      </c>
      <c r="N625" s="3" t="s">
        <v>2272</v>
      </c>
      <c r="O625" s="3" t="s">
        <v>2272</v>
      </c>
      <c r="P625" s="3" t="s">
        <v>532</v>
      </c>
      <c r="Q625" s="3">
        <v>4</v>
      </c>
      <c r="R625" s="3" t="s">
        <v>2272</v>
      </c>
      <c r="S625" s="3" t="s">
        <v>2272</v>
      </c>
      <c r="T625" s="3" t="s">
        <v>2272</v>
      </c>
      <c r="U625" s="3" t="s">
        <v>2272</v>
      </c>
      <c r="V625" s="3" t="s">
        <v>2272</v>
      </c>
      <c r="W625" s="4" t="s">
        <v>5959</v>
      </c>
    </row>
    <row r="626" spans="1:23" ht="43.5" customHeight="1">
      <c r="A626" s="3" t="s">
        <v>5949</v>
      </c>
      <c r="B626" s="3" t="s">
        <v>5953</v>
      </c>
      <c r="C626" s="3" t="s">
        <v>23</v>
      </c>
      <c r="D626" s="3" t="s">
        <v>142</v>
      </c>
      <c r="E626" s="4" t="s">
        <v>114</v>
      </c>
      <c r="F626" s="3" t="s">
        <v>73</v>
      </c>
      <c r="G626" s="3"/>
      <c r="H626" s="4" t="s">
        <v>2668</v>
      </c>
      <c r="I626" s="3" t="s">
        <v>2272</v>
      </c>
      <c r="J626" s="3" t="s">
        <v>2272</v>
      </c>
      <c r="K626" s="3" t="s">
        <v>2272</v>
      </c>
      <c r="L626" s="3" t="s">
        <v>2272</v>
      </c>
      <c r="M626" s="3" t="s">
        <v>2723</v>
      </c>
      <c r="N626" s="3" t="s">
        <v>2272</v>
      </c>
      <c r="O626" s="3" t="s">
        <v>2272</v>
      </c>
      <c r="P626" s="3" t="s">
        <v>532</v>
      </c>
      <c r="Q626" s="3">
        <v>4</v>
      </c>
      <c r="R626" s="3" t="s">
        <v>2272</v>
      </c>
      <c r="S626" s="3" t="s">
        <v>2272</v>
      </c>
      <c r="T626" s="3" t="s">
        <v>2272</v>
      </c>
      <c r="U626" s="3" t="s">
        <v>2272</v>
      </c>
      <c r="V626" s="3" t="s">
        <v>2272</v>
      </c>
      <c r="W626" s="4" t="s">
        <v>5959</v>
      </c>
    </row>
    <row r="627" spans="1:23" ht="43.5" customHeight="1">
      <c r="A627" s="3" t="s">
        <v>5949</v>
      </c>
      <c r="B627" s="3" t="s">
        <v>5954</v>
      </c>
      <c r="C627" s="3" t="s">
        <v>23</v>
      </c>
      <c r="D627" s="3" t="s">
        <v>3475</v>
      </c>
      <c r="E627" s="4" t="s">
        <v>114</v>
      </c>
      <c r="F627" s="3" t="s">
        <v>73</v>
      </c>
      <c r="G627" s="3"/>
      <c r="H627" s="4" t="s">
        <v>2668</v>
      </c>
      <c r="I627" s="3" t="s">
        <v>2272</v>
      </c>
      <c r="J627" s="3" t="s">
        <v>2272</v>
      </c>
      <c r="K627" s="3" t="s">
        <v>2272</v>
      </c>
      <c r="L627" s="3" t="s">
        <v>2272</v>
      </c>
      <c r="M627" s="3" t="s">
        <v>2723</v>
      </c>
      <c r="N627" s="3" t="s">
        <v>2272</v>
      </c>
      <c r="O627" s="3" t="s">
        <v>2272</v>
      </c>
      <c r="P627" s="3" t="s">
        <v>532</v>
      </c>
      <c r="Q627" s="3">
        <v>4</v>
      </c>
      <c r="R627" s="3" t="s">
        <v>2272</v>
      </c>
      <c r="S627" s="3" t="s">
        <v>2272</v>
      </c>
      <c r="T627" s="3" t="s">
        <v>2272</v>
      </c>
      <c r="U627" s="3" t="s">
        <v>2272</v>
      </c>
      <c r="V627" s="3" t="s">
        <v>2272</v>
      </c>
      <c r="W627" s="4" t="s">
        <v>5959</v>
      </c>
    </row>
    <row r="628" spans="1:23" ht="47.5" customHeight="1">
      <c r="A628" s="3" t="s">
        <v>5949</v>
      </c>
      <c r="B628" s="3" t="s">
        <v>5957</v>
      </c>
      <c r="C628" s="3" t="s">
        <v>23</v>
      </c>
      <c r="D628" s="3" t="s">
        <v>142</v>
      </c>
      <c r="E628" s="4" t="s">
        <v>114</v>
      </c>
      <c r="F628" s="3" t="s">
        <v>73</v>
      </c>
      <c r="G628" s="3"/>
      <c r="H628" s="4" t="s">
        <v>539</v>
      </c>
      <c r="I628" s="3" t="s">
        <v>2686</v>
      </c>
      <c r="J628" s="3" t="s">
        <v>2272</v>
      </c>
      <c r="K628" s="3" t="s">
        <v>532</v>
      </c>
      <c r="L628" s="3" t="s">
        <v>2272</v>
      </c>
      <c r="M628" s="3" t="s">
        <v>2272</v>
      </c>
      <c r="N628" s="3" t="s">
        <v>2272</v>
      </c>
      <c r="O628" s="3" t="s">
        <v>2272</v>
      </c>
      <c r="P628" s="3" t="s">
        <v>2272</v>
      </c>
      <c r="Q628" s="3" t="s">
        <v>2272</v>
      </c>
      <c r="R628" s="3" t="s">
        <v>2272</v>
      </c>
      <c r="S628" s="3" t="s">
        <v>2272</v>
      </c>
      <c r="T628" s="3" t="s">
        <v>2272</v>
      </c>
      <c r="U628" s="3" t="s">
        <v>2272</v>
      </c>
      <c r="V628" s="3" t="s">
        <v>2272</v>
      </c>
      <c r="W628" s="4" t="s">
        <v>5960</v>
      </c>
    </row>
    <row r="629" spans="1:23" ht="47.5" customHeight="1">
      <c r="A629" s="3" t="s">
        <v>5949</v>
      </c>
      <c r="B629" s="3" t="s">
        <v>5958</v>
      </c>
      <c r="C629" s="3" t="s">
        <v>23</v>
      </c>
      <c r="D629" s="3" t="s">
        <v>3475</v>
      </c>
      <c r="E629" s="4" t="s">
        <v>114</v>
      </c>
      <c r="F629" s="3" t="s">
        <v>73</v>
      </c>
      <c r="G629" s="3"/>
      <c r="H629" s="4" t="s">
        <v>539</v>
      </c>
      <c r="I629" s="3" t="s">
        <v>2686</v>
      </c>
      <c r="J629" s="3" t="s">
        <v>2272</v>
      </c>
      <c r="K629" s="3" t="s">
        <v>532</v>
      </c>
      <c r="L629" s="3" t="s">
        <v>2272</v>
      </c>
      <c r="M629" s="3" t="s">
        <v>2272</v>
      </c>
      <c r="N629" s="3" t="s">
        <v>2272</v>
      </c>
      <c r="O629" s="3" t="s">
        <v>2272</v>
      </c>
      <c r="P629" s="3" t="s">
        <v>2272</v>
      </c>
      <c r="Q629" s="3" t="s">
        <v>2272</v>
      </c>
      <c r="R629" s="3" t="s">
        <v>2272</v>
      </c>
      <c r="S629" s="3" t="s">
        <v>2272</v>
      </c>
      <c r="T629" s="3" t="s">
        <v>2272</v>
      </c>
      <c r="U629" s="3" t="s">
        <v>2272</v>
      </c>
      <c r="V629" s="3" t="s">
        <v>2272</v>
      </c>
      <c r="W629" s="4" t="s">
        <v>5960</v>
      </c>
    </row>
    <row r="630" spans="1:23" ht="47.5" customHeight="1">
      <c r="A630" s="11" t="s">
        <v>5962</v>
      </c>
      <c r="B630" s="11" t="s">
        <v>5964</v>
      </c>
      <c r="C630" s="3" t="s">
        <v>23</v>
      </c>
      <c r="D630" s="3" t="s">
        <v>141</v>
      </c>
      <c r="E630" s="3" t="s">
        <v>1102</v>
      </c>
      <c r="F630" s="3" t="s">
        <v>73</v>
      </c>
      <c r="G630" s="3"/>
      <c r="H630" s="4" t="s">
        <v>539</v>
      </c>
      <c r="I630" s="3" t="s">
        <v>2272</v>
      </c>
      <c r="J630" s="3" t="s">
        <v>2272</v>
      </c>
      <c r="K630" s="3" t="s">
        <v>2272</v>
      </c>
      <c r="L630" s="3" t="s">
        <v>2272</v>
      </c>
      <c r="M630" s="3" t="s">
        <v>2272</v>
      </c>
      <c r="N630" s="3" t="s">
        <v>2272</v>
      </c>
      <c r="O630" s="3" t="s">
        <v>2272</v>
      </c>
      <c r="P630" s="3" t="s">
        <v>2272</v>
      </c>
      <c r="Q630" s="3" t="s">
        <v>2272</v>
      </c>
      <c r="R630" s="3" t="s">
        <v>532</v>
      </c>
      <c r="S630" s="3" t="s">
        <v>2272</v>
      </c>
      <c r="T630" s="3" t="s">
        <v>2272</v>
      </c>
      <c r="U630" s="3" t="s">
        <v>532</v>
      </c>
      <c r="V630" s="3">
        <v>1</v>
      </c>
      <c r="W630" s="19" t="s">
        <v>5973</v>
      </c>
    </row>
    <row r="631" spans="1:23" ht="71.5" customHeight="1">
      <c r="A631" s="11" t="s">
        <v>5975</v>
      </c>
      <c r="B631" s="11" t="s">
        <v>5980</v>
      </c>
      <c r="C631" s="3" t="s">
        <v>23</v>
      </c>
      <c r="D631" s="4" t="s">
        <v>26</v>
      </c>
      <c r="E631" s="3" t="s">
        <v>128</v>
      </c>
      <c r="F631" s="3" t="s">
        <v>158</v>
      </c>
      <c r="G631" s="3"/>
      <c r="H631" s="4" t="s">
        <v>539</v>
      </c>
      <c r="I631" s="3" t="s">
        <v>2272</v>
      </c>
      <c r="J631" s="3" t="s">
        <v>2272</v>
      </c>
      <c r="K631" s="3" t="s">
        <v>2272</v>
      </c>
      <c r="L631" s="3" t="s">
        <v>2272</v>
      </c>
      <c r="M631" s="3" t="s">
        <v>2664</v>
      </c>
      <c r="N631" s="3" t="s">
        <v>2272</v>
      </c>
      <c r="O631" s="3" t="s">
        <v>2272</v>
      </c>
      <c r="P631" s="3" t="s">
        <v>2272</v>
      </c>
      <c r="Q631" s="3" t="s">
        <v>2272</v>
      </c>
      <c r="R631" s="3" t="s">
        <v>2272</v>
      </c>
      <c r="S631" s="3" t="s">
        <v>2272</v>
      </c>
      <c r="T631" s="3" t="s">
        <v>2272</v>
      </c>
      <c r="U631" s="3" t="s">
        <v>2272</v>
      </c>
      <c r="V631" s="3" t="s">
        <v>2272</v>
      </c>
      <c r="W631" s="4" t="s">
        <v>5986</v>
      </c>
    </row>
    <row r="632" spans="1:23" ht="44" customHeight="1">
      <c r="A632" s="11" t="s">
        <v>6041</v>
      </c>
      <c r="B632" s="11" t="s">
        <v>6045</v>
      </c>
      <c r="C632" s="3" t="s">
        <v>23</v>
      </c>
      <c r="D632" s="3" t="s">
        <v>26</v>
      </c>
      <c r="E632" s="3" t="s">
        <v>128</v>
      </c>
      <c r="F632" s="4" t="s">
        <v>158</v>
      </c>
      <c r="G632" s="3"/>
      <c r="H632" s="4" t="s">
        <v>539</v>
      </c>
      <c r="I632" s="3" t="s">
        <v>2272</v>
      </c>
      <c r="J632" s="3" t="s">
        <v>2272</v>
      </c>
      <c r="K632" s="3" t="s">
        <v>2272</v>
      </c>
      <c r="L632" s="3" t="s">
        <v>2272</v>
      </c>
      <c r="M632" s="3" t="s">
        <v>2723</v>
      </c>
      <c r="N632" s="3" t="s">
        <v>2272</v>
      </c>
      <c r="O632" s="3" t="s">
        <v>2272</v>
      </c>
      <c r="P632" s="3" t="s">
        <v>2272</v>
      </c>
      <c r="Q632" s="3" t="s">
        <v>2272</v>
      </c>
      <c r="R632" s="3" t="s">
        <v>2272</v>
      </c>
      <c r="S632" s="3" t="s">
        <v>2272</v>
      </c>
      <c r="T632" s="3" t="s">
        <v>2272</v>
      </c>
      <c r="U632" s="3" t="s">
        <v>2272</v>
      </c>
      <c r="V632" s="3"/>
      <c r="W632" s="19" t="s">
        <v>6052</v>
      </c>
    </row>
    <row r="633" spans="1:23" ht="44" customHeight="1">
      <c r="A633" s="11" t="s">
        <v>6041</v>
      </c>
      <c r="B633" s="11" t="s">
        <v>6046</v>
      </c>
      <c r="C633" s="3" t="s">
        <v>23</v>
      </c>
      <c r="D633" s="3" t="s">
        <v>24</v>
      </c>
      <c r="E633" s="3" t="s">
        <v>44</v>
      </c>
      <c r="F633" s="4" t="s">
        <v>28</v>
      </c>
      <c r="G633" s="3"/>
      <c r="H633" s="4" t="s">
        <v>539</v>
      </c>
      <c r="I633" s="3" t="s">
        <v>2272</v>
      </c>
      <c r="J633" s="3" t="s">
        <v>2272</v>
      </c>
      <c r="K633" s="3" t="s">
        <v>2272</v>
      </c>
      <c r="L633" s="3" t="s">
        <v>2272</v>
      </c>
      <c r="M633" s="3" t="s">
        <v>2723</v>
      </c>
      <c r="N633" s="3" t="s">
        <v>2272</v>
      </c>
      <c r="O633" s="3" t="s">
        <v>2272</v>
      </c>
      <c r="P633" s="3" t="s">
        <v>2272</v>
      </c>
      <c r="Q633" s="3" t="s">
        <v>2272</v>
      </c>
      <c r="R633" s="3" t="s">
        <v>2272</v>
      </c>
      <c r="S633" s="3" t="s">
        <v>2272</v>
      </c>
      <c r="T633" s="3" t="s">
        <v>2272</v>
      </c>
      <c r="U633" s="3" t="s">
        <v>2272</v>
      </c>
      <c r="V633" s="3"/>
      <c r="W633" s="19" t="s">
        <v>6052</v>
      </c>
    </row>
    <row r="634" spans="1:23" ht="41.5" customHeight="1">
      <c r="A634" s="4" t="s">
        <v>6141</v>
      </c>
      <c r="B634" s="4" t="s">
        <v>6183</v>
      </c>
      <c r="C634" s="4" t="s">
        <v>2651</v>
      </c>
      <c r="D634" s="4" t="s">
        <v>135</v>
      </c>
      <c r="E634" s="4" t="s">
        <v>29</v>
      </c>
      <c r="F634" s="4" t="s">
        <v>73</v>
      </c>
      <c r="G634" s="4"/>
      <c r="H634" s="4" t="s">
        <v>2668</v>
      </c>
      <c r="I634" s="4" t="s">
        <v>535</v>
      </c>
      <c r="J634" s="4" t="s">
        <v>535</v>
      </c>
      <c r="K634" s="4" t="s">
        <v>535</v>
      </c>
      <c r="L634" s="4" t="s">
        <v>535</v>
      </c>
      <c r="M634" s="4" t="s">
        <v>2666</v>
      </c>
      <c r="N634" s="4" t="s">
        <v>535</v>
      </c>
      <c r="O634" s="4" t="s">
        <v>532</v>
      </c>
      <c r="P634" s="4" t="s">
        <v>532</v>
      </c>
      <c r="Q634" s="4">
        <v>1</v>
      </c>
      <c r="R634" s="4" t="s">
        <v>535</v>
      </c>
      <c r="S634" s="4" t="s">
        <v>535</v>
      </c>
      <c r="T634" s="4" t="s">
        <v>535</v>
      </c>
      <c r="U634" s="4" t="s">
        <v>535</v>
      </c>
      <c r="V634" s="4" t="s">
        <v>2272</v>
      </c>
      <c r="W634" s="4" t="s">
        <v>6249</v>
      </c>
    </row>
    <row r="635" spans="1:23" ht="41.5" customHeight="1">
      <c r="A635" s="4" t="s">
        <v>6142</v>
      </c>
      <c r="B635" s="4" t="s">
        <v>6187</v>
      </c>
      <c r="C635" s="4" t="s">
        <v>30</v>
      </c>
      <c r="D635" s="4" t="s">
        <v>2648</v>
      </c>
      <c r="E635" s="4" t="s">
        <v>29</v>
      </c>
      <c r="F635" s="4" t="s">
        <v>73</v>
      </c>
      <c r="G635" s="4">
        <v>2018</v>
      </c>
      <c r="H635" s="4" t="s">
        <v>2668</v>
      </c>
      <c r="I635" s="4" t="s">
        <v>535</v>
      </c>
      <c r="J635" s="4" t="s">
        <v>535</v>
      </c>
      <c r="K635" s="4" t="s">
        <v>535</v>
      </c>
      <c r="L635" s="4" t="s">
        <v>535</v>
      </c>
      <c r="M635" s="4" t="s">
        <v>535</v>
      </c>
      <c r="N635" s="4" t="s">
        <v>532</v>
      </c>
      <c r="O635" s="4" t="s">
        <v>532</v>
      </c>
      <c r="P635" s="4" t="s">
        <v>532</v>
      </c>
      <c r="Q635" s="4">
        <v>2</v>
      </c>
      <c r="R635" s="4" t="s">
        <v>532</v>
      </c>
      <c r="S635" s="4" t="s">
        <v>532</v>
      </c>
      <c r="T635" s="4" t="s">
        <v>532</v>
      </c>
      <c r="U635" s="4" t="s">
        <v>532</v>
      </c>
      <c r="V635" s="4">
        <v>2</v>
      </c>
      <c r="W635" s="4" t="s">
        <v>6250</v>
      </c>
    </row>
    <row r="636" spans="1:23" s="197" customFormat="1" ht="41.5" customHeight="1">
      <c r="A636" s="198" t="s">
        <v>6629</v>
      </c>
      <c r="B636" s="198" t="s">
        <v>6636</v>
      </c>
      <c r="C636" s="198" t="s">
        <v>23</v>
      </c>
      <c r="D636" s="198" t="s">
        <v>1238</v>
      </c>
      <c r="E636" s="4" t="s">
        <v>135</v>
      </c>
      <c r="F636" s="198" t="s">
        <v>73</v>
      </c>
      <c r="G636" s="4"/>
      <c r="H636" s="4" t="s">
        <v>2668</v>
      </c>
      <c r="I636" s="4" t="s">
        <v>2272</v>
      </c>
      <c r="J636" s="4" t="s">
        <v>2272</v>
      </c>
      <c r="K636" s="4" t="s">
        <v>2272</v>
      </c>
      <c r="L636" s="4" t="s">
        <v>2272</v>
      </c>
      <c r="M636" s="4" t="s">
        <v>2723</v>
      </c>
      <c r="N636" s="198" t="s">
        <v>2272</v>
      </c>
      <c r="O636" s="198" t="s">
        <v>2272</v>
      </c>
      <c r="P636" s="4" t="s">
        <v>532</v>
      </c>
      <c r="Q636" s="4">
        <v>4</v>
      </c>
      <c r="R636" s="4" t="s">
        <v>535</v>
      </c>
      <c r="S636" s="198" t="s">
        <v>2272</v>
      </c>
      <c r="T636" s="198" t="s">
        <v>2272</v>
      </c>
      <c r="U636" s="4" t="s">
        <v>535</v>
      </c>
      <c r="V636" s="198" t="s">
        <v>2272</v>
      </c>
      <c r="W636" s="4" t="s">
        <v>6646</v>
      </c>
    </row>
    <row r="637" spans="1:23" s="197" customFormat="1" ht="41.5" customHeight="1">
      <c r="A637" s="198" t="s">
        <v>6629</v>
      </c>
      <c r="B637" s="198" t="s">
        <v>6637</v>
      </c>
      <c r="C637" s="198" t="s">
        <v>23</v>
      </c>
      <c r="D637" s="198" t="s">
        <v>1238</v>
      </c>
      <c r="E637" s="4" t="s">
        <v>2644</v>
      </c>
      <c r="F637" s="198" t="s">
        <v>73</v>
      </c>
      <c r="G637" s="4"/>
      <c r="H637" s="4" t="s">
        <v>2668</v>
      </c>
      <c r="I637" s="4" t="s">
        <v>2272</v>
      </c>
      <c r="J637" s="4" t="s">
        <v>2272</v>
      </c>
      <c r="K637" s="4" t="s">
        <v>2272</v>
      </c>
      <c r="L637" s="4" t="s">
        <v>2272</v>
      </c>
      <c r="M637" s="4" t="s">
        <v>2723</v>
      </c>
      <c r="N637" s="198" t="s">
        <v>2272</v>
      </c>
      <c r="O637" s="198" t="s">
        <v>2272</v>
      </c>
      <c r="P637" s="4" t="s">
        <v>532</v>
      </c>
      <c r="Q637" s="4">
        <v>4</v>
      </c>
      <c r="R637" s="4" t="s">
        <v>535</v>
      </c>
      <c r="S637" s="198" t="s">
        <v>2272</v>
      </c>
      <c r="T637" s="198" t="s">
        <v>2272</v>
      </c>
      <c r="U637" s="4" t="s">
        <v>535</v>
      </c>
      <c r="V637" s="198" t="s">
        <v>2272</v>
      </c>
      <c r="W637" s="4" t="s">
        <v>6646</v>
      </c>
    </row>
    <row r="638" spans="1:23" s="197" customFormat="1" ht="41.5" customHeight="1">
      <c r="A638" s="198" t="s">
        <v>6630</v>
      </c>
      <c r="B638" s="198" t="s">
        <v>6638</v>
      </c>
      <c r="C638" s="198" t="s">
        <v>23</v>
      </c>
      <c r="D638" s="198" t="s">
        <v>1238</v>
      </c>
      <c r="E638" s="4" t="s">
        <v>135</v>
      </c>
      <c r="F638" s="198" t="s">
        <v>73</v>
      </c>
      <c r="G638" s="4"/>
      <c r="H638" s="4" t="s">
        <v>2668</v>
      </c>
      <c r="I638" s="4" t="s">
        <v>2272</v>
      </c>
      <c r="J638" s="4" t="s">
        <v>2272</v>
      </c>
      <c r="K638" s="4" t="s">
        <v>2272</v>
      </c>
      <c r="L638" s="4" t="s">
        <v>2272</v>
      </c>
      <c r="M638" s="4" t="s">
        <v>2723</v>
      </c>
      <c r="N638" s="198" t="s">
        <v>2272</v>
      </c>
      <c r="O638" s="198" t="s">
        <v>2272</v>
      </c>
      <c r="P638" s="4" t="s">
        <v>532</v>
      </c>
      <c r="Q638" s="4">
        <v>4</v>
      </c>
      <c r="R638" s="4" t="s">
        <v>535</v>
      </c>
      <c r="S638" s="198" t="s">
        <v>2272</v>
      </c>
      <c r="T638" s="198" t="s">
        <v>2272</v>
      </c>
      <c r="U638" s="4" t="s">
        <v>535</v>
      </c>
      <c r="V638" s="198" t="s">
        <v>2272</v>
      </c>
      <c r="W638" s="4" t="s">
        <v>6646</v>
      </c>
    </row>
    <row r="639" spans="1:23" s="197" customFormat="1" ht="41.5" customHeight="1">
      <c r="A639" s="198" t="s">
        <v>6630</v>
      </c>
      <c r="B639" s="198" t="s">
        <v>6639</v>
      </c>
      <c r="C639" s="198" t="s">
        <v>23</v>
      </c>
      <c r="D639" s="198" t="s">
        <v>1238</v>
      </c>
      <c r="E639" s="4" t="s">
        <v>2644</v>
      </c>
      <c r="F639" s="198" t="s">
        <v>73</v>
      </c>
      <c r="G639" s="4"/>
      <c r="H639" s="4" t="s">
        <v>2668</v>
      </c>
      <c r="I639" s="4" t="s">
        <v>2272</v>
      </c>
      <c r="J639" s="4" t="s">
        <v>2272</v>
      </c>
      <c r="K639" s="4" t="s">
        <v>2272</v>
      </c>
      <c r="L639" s="4" t="s">
        <v>2272</v>
      </c>
      <c r="M639" s="4" t="s">
        <v>2723</v>
      </c>
      <c r="N639" s="198" t="s">
        <v>2272</v>
      </c>
      <c r="O639" s="198" t="s">
        <v>2272</v>
      </c>
      <c r="P639" s="4" t="s">
        <v>532</v>
      </c>
      <c r="Q639" s="4">
        <v>4</v>
      </c>
      <c r="R639" s="4" t="s">
        <v>535</v>
      </c>
      <c r="S639" s="198" t="s">
        <v>2272</v>
      </c>
      <c r="T639" s="198" t="s">
        <v>2272</v>
      </c>
      <c r="U639" s="4" t="s">
        <v>535</v>
      </c>
      <c r="V639" s="198" t="s">
        <v>2272</v>
      </c>
      <c r="W639" s="4" t="s">
        <v>6646</v>
      </c>
    </row>
    <row r="640" spans="1:23" s="197" customFormat="1" ht="41.5" customHeight="1">
      <c r="A640" s="198" t="s">
        <v>6631</v>
      </c>
      <c r="B640" s="198" t="s">
        <v>6640</v>
      </c>
      <c r="C640" s="198" t="s">
        <v>23</v>
      </c>
      <c r="D640" s="198" t="s">
        <v>1238</v>
      </c>
      <c r="E640" s="4" t="s">
        <v>135</v>
      </c>
      <c r="F640" s="198" t="s">
        <v>73</v>
      </c>
      <c r="G640" s="4"/>
      <c r="H640" s="4" t="s">
        <v>2668</v>
      </c>
      <c r="I640" s="4" t="s">
        <v>2272</v>
      </c>
      <c r="J640" s="4" t="s">
        <v>2272</v>
      </c>
      <c r="K640" s="4" t="s">
        <v>2272</v>
      </c>
      <c r="L640" s="4" t="s">
        <v>2272</v>
      </c>
      <c r="M640" s="4" t="s">
        <v>2723</v>
      </c>
      <c r="N640" s="198" t="s">
        <v>2272</v>
      </c>
      <c r="O640" s="198" t="s">
        <v>2272</v>
      </c>
      <c r="P640" s="4" t="s">
        <v>532</v>
      </c>
      <c r="Q640" s="4">
        <v>4</v>
      </c>
      <c r="R640" s="4" t="s">
        <v>535</v>
      </c>
      <c r="S640" s="198" t="s">
        <v>2272</v>
      </c>
      <c r="T640" s="198" t="s">
        <v>2272</v>
      </c>
      <c r="U640" s="4" t="s">
        <v>535</v>
      </c>
      <c r="V640" s="198" t="s">
        <v>2272</v>
      </c>
      <c r="W640" s="4" t="s">
        <v>6646</v>
      </c>
    </row>
    <row r="641" spans="1:23" s="197" customFormat="1" ht="41.5" customHeight="1">
      <c r="A641" s="198" t="s">
        <v>6631</v>
      </c>
      <c r="B641" s="198" t="s">
        <v>6641</v>
      </c>
      <c r="C641" s="198" t="s">
        <v>23</v>
      </c>
      <c r="D641" s="198" t="s">
        <v>1238</v>
      </c>
      <c r="E641" s="4" t="s">
        <v>2644</v>
      </c>
      <c r="F641" s="198" t="s">
        <v>73</v>
      </c>
      <c r="G641" s="4"/>
      <c r="H641" s="4" t="s">
        <v>2668</v>
      </c>
      <c r="I641" s="4" t="s">
        <v>2272</v>
      </c>
      <c r="J641" s="4" t="s">
        <v>2272</v>
      </c>
      <c r="K641" s="4" t="s">
        <v>2272</v>
      </c>
      <c r="L641" s="4" t="s">
        <v>2272</v>
      </c>
      <c r="M641" s="4" t="s">
        <v>2723</v>
      </c>
      <c r="N641" s="198" t="s">
        <v>2272</v>
      </c>
      <c r="O641" s="198" t="s">
        <v>2272</v>
      </c>
      <c r="P641" s="4" t="s">
        <v>532</v>
      </c>
      <c r="Q641" s="4">
        <v>4</v>
      </c>
      <c r="R641" s="4" t="s">
        <v>535</v>
      </c>
      <c r="S641" s="198" t="s">
        <v>2272</v>
      </c>
      <c r="T641" s="198" t="s">
        <v>2272</v>
      </c>
      <c r="U641" s="4" t="s">
        <v>535</v>
      </c>
      <c r="V641" s="198" t="s">
        <v>2272</v>
      </c>
      <c r="W641" s="4" t="s">
        <v>6646</v>
      </c>
    </row>
    <row r="642" spans="1:23" ht="41.5" customHeight="1">
      <c r="A642" s="4" t="s">
        <v>6155</v>
      </c>
      <c r="B642" s="4" t="s">
        <v>6207</v>
      </c>
      <c r="C642" s="4" t="s">
        <v>1102</v>
      </c>
      <c r="D642" s="4" t="s">
        <v>1102</v>
      </c>
      <c r="E642" s="4" t="s">
        <v>1102</v>
      </c>
      <c r="F642" s="4" t="s">
        <v>73</v>
      </c>
      <c r="G642" s="4"/>
      <c r="H642" s="4" t="s">
        <v>2668</v>
      </c>
      <c r="I642" s="4" t="s">
        <v>535</v>
      </c>
      <c r="J642" s="4" t="s">
        <v>535</v>
      </c>
      <c r="K642" s="4" t="s">
        <v>535</v>
      </c>
      <c r="L642" s="4" t="s">
        <v>535</v>
      </c>
      <c r="M642" s="4" t="s">
        <v>2723</v>
      </c>
      <c r="N642" s="4" t="s">
        <v>532</v>
      </c>
      <c r="O642" s="4" t="s">
        <v>535</v>
      </c>
      <c r="P642" s="4" t="s">
        <v>535</v>
      </c>
      <c r="Q642" s="4">
        <v>2</v>
      </c>
      <c r="R642" s="4" t="s">
        <v>535</v>
      </c>
      <c r="S642" s="4" t="s">
        <v>535</v>
      </c>
      <c r="T642" s="4" t="s">
        <v>535</v>
      </c>
      <c r="U642" s="4" t="s">
        <v>535</v>
      </c>
      <c r="V642" s="4" t="s">
        <v>2272</v>
      </c>
      <c r="W642" s="4" t="s">
        <v>6251</v>
      </c>
    </row>
    <row r="643" spans="1:23" ht="41.5" customHeight="1">
      <c r="A643" s="4" t="s">
        <v>6161</v>
      </c>
      <c r="B643" s="4" t="s">
        <v>6216</v>
      </c>
      <c r="C643" s="198" t="s">
        <v>23</v>
      </c>
      <c r="D643" s="198" t="s">
        <v>24</v>
      </c>
      <c r="E643" s="4" t="s">
        <v>3850</v>
      </c>
      <c r="F643" s="198" t="s">
        <v>28</v>
      </c>
      <c r="G643" s="4"/>
      <c r="H643" s="4" t="s">
        <v>539</v>
      </c>
      <c r="I643" s="4" t="s">
        <v>2272</v>
      </c>
      <c r="J643" s="4" t="s">
        <v>2272</v>
      </c>
      <c r="K643" s="4" t="s">
        <v>2272</v>
      </c>
      <c r="L643" s="4" t="s">
        <v>2272</v>
      </c>
      <c r="M643" s="4" t="s">
        <v>2666</v>
      </c>
      <c r="N643" s="198" t="s">
        <v>2272</v>
      </c>
      <c r="O643" s="4" t="s">
        <v>532</v>
      </c>
      <c r="P643" s="198" t="s">
        <v>2272</v>
      </c>
      <c r="Q643" s="4">
        <v>2</v>
      </c>
      <c r="R643" s="4" t="s">
        <v>535</v>
      </c>
      <c r="S643" s="4" t="s">
        <v>535</v>
      </c>
      <c r="T643" s="4" t="s">
        <v>535</v>
      </c>
      <c r="U643" s="4" t="s">
        <v>535</v>
      </c>
      <c r="V643" s="4" t="s">
        <v>2272</v>
      </c>
      <c r="W643" s="4" t="s">
        <v>6776</v>
      </c>
    </row>
    <row r="644" spans="1:23" ht="50.5" customHeight="1">
      <c r="A644" s="4" t="s">
        <v>6161</v>
      </c>
      <c r="B644" s="4" t="s">
        <v>6217</v>
      </c>
      <c r="C644" s="198" t="s">
        <v>23</v>
      </c>
      <c r="D644" s="198" t="s">
        <v>2654</v>
      </c>
      <c r="E644" s="4" t="s">
        <v>3850</v>
      </c>
      <c r="F644" s="198" t="s">
        <v>27</v>
      </c>
      <c r="G644" s="4"/>
      <c r="H644" s="4" t="s">
        <v>539</v>
      </c>
      <c r="I644" s="4" t="s">
        <v>2272</v>
      </c>
      <c r="J644" s="4" t="s">
        <v>2272</v>
      </c>
      <c r="K644" s="4" t="s">
        <v>2272</v>
      </c>
      <c r="L644" s="4" t="s">
        <v>2272</v>
      </c>
      <c r="M644" s="4" t="s">
        <v>2666</v>
      </c>
      <c r="N644" s="198" t="s">
        <v>2272</v>
      </c>
      <c r="O644" s="4" t="s">
        <v>532</v>
      </c>
      <c r="P644" s="198" t="s">
        <v>2272</v>
      </c>
      <c r="Q644" s="4">
        <v>2</v>
      </c>
      <c r="R644" s="4" t="s">
        <v>535</v>
      </c>
      <c r="S644" s="4" t="s">
        <v>535</v>
      </c>
      <c r="T644" s="4" t="s">
        <v>535</v>
      </c>
      <c r="U644" s="4" t="s">
        <v>535</v>
      </c>
      <c r="V644" s="4" t="s">
        <v>2272</v>
      </c>
      <c r="W644" s="4" t="s">
        <v>6776</v>
      </c>
    </row>
    <row r="645" spans="1:23" ht="49" customHeight="1">
      <c r="A645" s="4" t="s">
        <v>6161</v>
      </c>
      <c r="B645" s="4" t="s">
        <v>6218</v>
      </c>
      <c r="C645" s="198" t="s">
        <v>23</v>
      </c>
      <c r="D645" s="198" t="s">
        <v>2654</v>
      </c>
      <c r="E645" s="4" t="s">
        <v>3850</v>
      </c>
      <c r="F645" s="198" t="s">
        <v>27</v>
      </c>
      <c r="G645" s="4"/>
      <c r="H645" s="4" t="s">
        <v>4072</v>
      </c>
      <c r="I645" s="4" t="s">
        <v>2685</v>
      </c>
      <c r="J645" s="4" t="s">
        <v>535</v>
      </c>
      <c r="K645" s="4" t="s">
        <v>532</v>
      </c>
      <c r="L645" s="4" t="s">
        <v>535</v>
      </c>
      <c r="M645" s="4" t="s">
        <v>535</v>
      </c>
      <c r="N645" s="4" t="s">
        <v>535</v>
      </c>
      <c r="O645" s="4" t="s">
        <v>535</v>
      </c>
      <c r="P645" s="4" t="s">
        <v>535</v>
      </c>
      <c r="Q645" s="198" t="s">
        <v>2272</v>
      </c>
      <c r="R645" s="198" t="s">
        <v>2272</v>
      </c>
      <c r="S645" s="198" t="s">
        <v>2272</v>
      </c>
      <c r="T645" s="198" t="s">
        <v>2272</v>
      </c>
      <c r="U645" s="198" t="s">
        <v>2272</v>
      </c>
      <c r="V645" s="198" t="s">
        <v>2272</v>
      </c>
      <c r="W645" s="4" t="s">
        <v>6777</v>
      </c>
    </row>
    <row r="646" spans="1:23" s="197" customFormat="1" ht="49" customHeight="1">
      <c r="A646" s="4" t="s">
        <v>6162</v>
      </c>
      <c r="B646" s="4" t="s">
        <v>6222</v>
      </c>
      <c r="C646" s="198" t="s">
        <v>23</v>
      </c>
      <c r="D646" s="198" t="s">
        <v>24</v>
      </c>
      <c r="E646" s="4" t="s">
        <v>3850</v>
      </c>
      <c r="F646" s="198" t="s">
        <v>28</v>
      </c>
      <c r="G646" s="4"/>
      <c r="H646" s="4" t="s">
        <v>539</v>
      </c>
      <c r="I646" s="4" t="s">
        <v>2272</v>
      </c>
      <c r="J646" s="4" t="s">
        <v>2272</v>
      </c>
      <c r="K646" s="4" t="s">
        <v>2272</v>
      </c>
      <c r="L646" s="4" t="s">
        <v>2272</v>
      </c>
      <c r="M646" s="4" t="s">
        <v>2666</v>
      </c>
      <c r="N646" s="198" t="s">
        <v>2272</v>
      </c>
      <c r="O646" s="4" t="s">
        <v>532</v>
      </c>
      <c r="P646" s="198" t="s">
        <v>2272</v>
      </c>
      <c r="Q646" s="4">
        <v>2</v>
      </c>
      <c r="R646" s="4" t="s">
        <v>535</v>
      </c>
      <c r="S646" s="4" t="s">
        <v>535</v>
      </c>
      <c r="T646" s="4" t="s">
        <v>535</v>
      </c>
      <c r="U646" s="4" t="s">
        <v>535</v>
      </c>
      <c r="V646" s="4" t="s">
        <v>2272</v>
      </c>
      <c r="W646" s="4" t="s">
        <v>6776</v>
      </c>
    </row>
    <row r="647" spans="1:23" s="197" customFormat="1" ht="49" customHeight="1">
      <c r="A647" s="4" t="s">
        <v>6162</v>
      </c>
      <c r="B647" s="4" t="s">
        <v>6705</v>
      </c>
      <c r="C647" s="198" t="s">
        <v>23</v>
      </c>
      <c r="D647" s="198" t="s">
        <v>2654</v>
      </c>
      <c r="E647" s="4" t="s">
        <v>3850</v>
      </c>
      <c r="F647" s="198" t="s">
        <v>27</v>
      </c>
      <c r="G647" s="4"/>
      <c r="H647" s="4" t="s">
        <v>539</v>
      </c>
      <c r="I647" s="4" t="s">
        <v>2272</v>
      </c>
      <c r="J647" s="4" t="s">
        <v>2272</v>
      </c>
      <c r="K647" s="4" t="s">
        <v>2272</v>
      </c>
      <c r="L647" s="4" t="s">
        <v>2272</v>
      </c>
      <c r="M647" s="4" t="s">
        <v>2666</v>
      </c>
      <c r="N647" s="198" t="s">
        <v>2272</v>
      </c>
      <c r="O647" s="4" t="s">
        <v>532</v>
      </c>
      <c r="P647" s="198" t="s">
        <v>2272</v>
      </c>
      <c r="Q647" s="4">
        <v>2</v>
      </c>
      <c r="R647" s="4" t="s">
        <v>535</v>
      </c>
      <c r="S647" s="4" t="s">
        <v>535</v>
      </c>
      <c r="T647" s="4" t="s">
        <v>535</v>
      </c>
      <c r="U647" s="4" t="s">
        <v>535</v>
      </c>
      <c r="V647" s="4" t="s">
        <v>2272</v>
      </c>
      <c r="W647" s="4" t="s">
        <v>6776</v>
      </c>
    </row>
    <row r="648" spans="1:23" s="197" customFormat="1" ht="49" customHeight="1">
      <c r="A648" s="4" t="s">
        <v>6162</v>
      </c>
      <c r="B648" s="4" t="s">
        <v>6706</v>
      </c>
      <c r="C648" s="198" t="s">
        <v>23</v>
      </c>
      <c r="D648" s="198" t="s">
        <v>2654</v>
      </c>
      <c r="E648" s="4" t="s">
        <v>3850</v>
      </c>
      <c r="F648" s="198" t="s">
        <v>27</v>
      </c>
      <c r="G648" s="4"/>
      <c r="H648" s="4" t="s">
        <v>4072</v>
      </c>
      <c r="I648" s="4" t="s">
        <v>2685</v>
      </c>
      <c r="J648" s="4" t="s">
        <v>535</v>
      </c>
      <c r="K648" s="4" t="s">
        <v>532</v>
      </c>
      <c r="L648" s="4" t="s">
        <v>535</v>
      </c>
      <c r="M648" s="4" t="s">
        <v>535</v>
      </c>
      <c r="N648" s="4" t="s">
        <v>535</v>
      </c>
      <c r="O648" s="4" t="s">
        <v>535</v>
      </c>
      <c r="P648" s="4" t="s">
        <v>535</v>
      </c>
      <c r="Q648" s="198" t="s">
        <v>2272</v>
      </c>
      <c r="R648" s="198" t="s">
        <v>2272</v>
      </c>
      <c r="S648" s="198" t="s">
        <v>2272</v>
      </c>
      <c r="T648" s="198" t="s">
        <v>2272</v>
      </c>
      <c r="U648" s="198" t="s">
        <v>2272</v>
      </c>
      <c r="V648" s="198" t="s">
        <v>2272</v>
      </c>
      <c r="W648" s="4" t="s">
        <v>6777</v>
      </c>
    </row>
    <row r="649" spans="1:23" s="197" customFormat="1" ht="49" customHeight="1">
      <c r="A649" s="4" t="s">
        <v>6163</v>
      </c>
      <c r="B649" s="4" t="s">
        <v>6223</v>
      </c>
      <c r="C649" s="198" t="s">
        <v>23</v>
      </c>
      <c r="D649" s="198" t="s">
        <v>24</v>
      </c>
      <c r="E649" s="4" t="s">
        <v>3850</v>
      </c>
      <c r="F649" s="198" t="s">
        <v>28</v>
      </c>
      <c r="G649" s="4"/>
      <c r="H649" s="4" t="s">
        <v>539</v>
      </c>
      <c r="I649" s="4" t="s">
        <v>2272</v>
      </c>
      <c r="J649" s="4" t="s">
        <v>2272</v>
      </c>
      <c r="K649" s="4" t="s">
        <v>2272</v>
      </c>
      <c r="L649" s="4" t="s">
        <v>2272</v>
      </c>
      <c r="M649" s="4" t="s">
        <v>2666</v>
      </c>
      <c r="N649" s="198" t="s">
        <v>2272</v>
      </c>
      <c r="O649" s="4" t="s">
        <v>532</v>
      </c>
      <c r="P649" s="198" t="s">
        <v>2272</v>
      </c>
      <c r="Q649" s="4">
        <v>2</v>
      </c>
      <c r="R649" s="4" t="s">
        <v>535</v>
      </c>
      <c r="S649" s="4" t="s">
        <v>535</v>
      </c>
      <c r="T649" s="4" t="s">
        <v>535</v>
      </c>
      <c r="U649" s="4" t="s">
        <v>535</v>
      </c>
      <c r="V649" s="4" t="s">
        <v>2272</v>
      </c>
      <c r="W649" s="4" t="s">
        <v>6776</v>
      </c>
    </row>
    <row r="650" spans="1:23" s="197" customFormat="1" ht="49" customHeight="1">
      <c r="A650" s="4" t="s">
        <v>6163</v>
      </c>
      <c r="B650" s="4" t="s">
        <v>6711</v>
      </c>
      <c r="C650" s="198" t="s">
        <v>23</v>
      </c>
      <c r="D650" s="198" t="s">
        <v>2654</v>
      </c>
      <c r="E650" s="4" t="s">
        <v>3850</v>
      </c>
      <c r="F650" s="198" t="s">
        <v>27</v>
      </c>
      <c r="G650" s="4"/>
      <c r="H650" s="4" t="s">
        <v>539</v>
      </c>
      <c r="I650" s="4" t="s">
        <v>2272</v>
      </c>
      <c r="J650" s="4" t="s">
        <v>2272</v>
      </c>
      <c r="K650" s="4" t="s">
        <v>2272</v>
      </c>
      <c r="L650" s="4" t="s">
        <v>2272</v>
      </c>
      <c r="M650" s="4" t="s">
        <v>2666</v>
      </c>
      <c r="N650" s="198" t="s">
        <v>2272</v>
      </c>
      <c r="O650" s="4" t="s">
        <v>532</v>
      </c>
      <c r="P650" s="198" t="s">
        <v>2272</v>
      </c>
      <c r="Q650" s="4">
        <v>2</v>
      </c>
      <c r="R650" s="4" t="s">
        <v>535</v>
      </c>
      <c r="S650" s="4" t="s">
        <v>535</v>
      </c>
      <c r="T650" s="4" t="s">
        <v>535</v>
      </c>
      <c r="U650" s="4" t="s">
        <v>535</v>
      </c>
      <c r="V650" s="4" t="s">
        <v>2272</v>
      </c>
      <c r="W650" s="4" t="s">
        <v>6776</v>
      </c>
    </row>
    <row r="651" spans="1:23" s="197" customFormat="1" ht="49" customHeight="1">
      <c r="A651" s="4" t="s">
        <v>6163</v>
      </c>
      <c r="B651" s="4" t="s">
        <v>6712</v>
      </c>
      <c r="C651" s="198" t="s">
        <v>23</v>
      </c>
      <c r="D651" s="198" t="s">
        <v>2654</v>
      </c>
      <c r="E651" s="4" t="s">
        <v>3850</v>
      </c>
      <c r="F651" s="198" t="s">
        <v>27</v>
      </c>
      <c r="G651" s="4"/>
      <c r="H651" s="4" t="s">
        <v>4072</v>
      </c>
      <c r="I651" s="4" t="s">
        <v>2685</v>
      </c>
      <c r="J651" s="4" t="s">
        <v>535</v>
      </c>
      <c r="K651" s="4" t="s">
        <v>532</v>
      </c>
      <c r="L651" s="4" t="s">
        <v>535</v>
      </c>
      <c r="M651" s="4" t="s">
        <v>535</v>
      </c>
      <c r="N651" s="4" t="s">
        <v>535</v>
      </c>
      <c r="O651" s="4" t="s">
        <v>535</v>
      </c>
      <c r="P651" s="4" t="s">
        <v>535</v>
      </c>
      <c r="Q651" s="198" t="s">
        <v>2272</v>
      </c>
      <c r="R651" s="198" t="s">
        <v>2272</v>
      </c>
      <c r="S651" s="198" t="s">
        <v>2272</v>
      </c>
      <c r="T651" s="198" t="s">
        <v>2272</v>
      </c>
      <c r="U651" s="198" t="s">
        <v>2272</v>
      </c>
      <c r="V651" s="198" t="s">
        <v>2272</v>
      </c>
      <c r="W651" s="4" t="s">
        <v>6777</v>
      </c>
    </row>
    <row r="652" spans="1:23" s="197" customFormat="1" ht="49" customHeight="1">
      <c r="A652" s="4" t="s">
        <v>6164</v>
      </c>
      <c r="B652" s="4" t="s">
        <v>6224</v>
      </c>
      <c r="C652" s="198" t="s">
        <v>23</v>
      </c>
      <c r="D652" s="198" t="s">
        <v>24</v>
      </c>
      <c r="E652" s="4" t="s">
        <v>3850</v>
      </c>
      <c r="F652" s="198" t="s">
        <v>28</v>
      </c>
      <c r="G652" s="4"/>
      <c r="H652" s="4" t="s">
        <v>539</v>
      </c>
      <c r="I652" s="4" t="s">
        <v>2272</v>
      </c>
      <c r="J652" s="4" t="s">
        <v>2272</v>
      </c>
      <c r="K652" s="4" t="s">
        <v>2272</v>
      </c>
      <c r="L652" s="4" t="s">
        <v>2272</v>
      </c>
      <c r="M652" s="4" t="s">
        <v>2666</v>
      </c>
      <c r="N652" s="198" t="s">
        <v>2272</v>
      </c>
      <c r="O652" s="4" t="s">
        <v>532</v>
      </c>
      <c r="P652" s="198" t="s">
        <v>2272</v>
      </c>
      <c r="Q652" s="4">
        <v>2</v>
      </c>
      <c r="R652" s="4" t="s">
        <v>535</v>
      </c>
      <c r="S652" s="4" t="s">
        <v>535</v>
      </c>
      <c r="T652" s="4" t="s">
        <v>535</v>
      </c>
      <c r="U652" s="4" t="s">
        <v>535</v>
      </c>
      <c r="V652" s="4" t="s">
        <v>2272</v>
      </c>
      <c r="W652" s="4" t="s">
        <v>6776</v>
      </c>
    </row>
    <row r="653" spans="1:23" s="197" customFormat="1" ht="49" customHeight="1">
      <c r="A653" s="4" t="s">
        <v>6164</v>
      </c>
      <c r="B653" s="4" t="s">
        <v>6717</v>
      </c>
      <c r="C653" s="198" t="s">
        <v>23</v>
      </c>
      <c r="D653" s="198" t="s">
        <v>2654</v>
      </c>
      <c r="E653" s="4" t="s">
        <v>3850</v>
      </c>
      <c r="F653" s="198" t="s">
        <v>27</v>
      </c>
      <c r="G653" s="4"/>
      <c r="H653" s="4" t="s">
        <v>539</v>
      </c>
      <c r="I653" s="4" t="s">
        <v>2272</v>
      </c>
      <c r="J653" s="4" t="s">
        <v>2272</v>
      </c>
      <c r="K653" s="4" t="s">
        <v>2272</v>
      </c>
      <c r="L653" s="4" t="s">
        <v>2272</v>
      </c>
      <c r="M653" s="4" t="s">
        <v>2666</v>
      </c>
      <c r="N653" s="198" t="s">
        <v>2272</v>
      </c>
      <c r="O653" s="4" t="s">
        <v>532</v>
      </c>
      <c r="P653" s="198" t="s">
        <v>2272</v>
      </c>
      <c r="Q653" s="4">
        <v>2</v>
      </c>
      <c r="R653" s="4" t="s">
        <v>535</v>
      </c>
      <c r="S653" s="4" t="s">
        <v>535</v>
      </c>
      <c r="T653" s="4" t="s">
        <v>535</v>
      </c>
      <c r="U653" s="4" t="s">
        <v>535</v>
      </c>
      <c r="V653" s="4" t="s">
        <v>2272</v>
      </c>
      <c r="W653" s="4" t="s">
        <v>6776</v>
      </c>
    </row>
    <row r="654" spans="1:23" s="197" customFormat="1" ht="49" customHeight="1">
      <c r="A654" s="4" t="s">
        <v>6164</v>
      </c>
      <c r="B654" s="4" t="s">
        <v>6718</v>
      </c>
      <c r="C654" s="198" t="s">
        <v>23</v>
      </c>
      <c r="D654" s="198" t="s">
        <v>2654</v>
      </c>
      <c r="E654" s="4" t="s">
        <v>3850</v>
      </c>
      <c r="F654" s="198" t="s">
        <v>27</v>
      </c>
      <c r="G654" s="4"/>
      <c r="H654" s="4" t="s">
        <v>4072</v>
      </c>
      <c r="I654" s="4" t="s">
        <v>2685</v>
      </c>
      <c r="J654" s="4" t="s">
        <v>535</v>
      </c>
      <c r="K654" s="4" t="s">
        <v>532</v>
      </c>
      <c r="L654" s="4" t="s">
        <v>535</v>
      </c>
      <c r="M654" s="4" t="s">
        <v>535</v>
      </c>
      <c r="N654" s="4" t="s">
        <v>535</v>
      </c>
      <c r="O654" s="4" t="s">
        <v>535</v>
      </c>
      <c r="P654" s="4" t="s">
        <v>535</v>
      </c>
      <c r="Q654" s="198" t="s">
        <v>2272</v>
      </c>
      <c r="R654" s="198" t="s">
        <v>2272</v>
      </c>
      <c r="S654" s="198" t="s">
        <v>2272</v>
      </c>
      <c r="T654" s="198" t="s">
        <v>2272</v>
      </c>
      <c r="U654" s="198" t="s">
        <v>2272</v>
      </c>
      <c r="V654" s="198" t="s">
        <v>2272</v>
      </c>
      <c r="W654" s="4" t="s">
        <v>6777</v>
      </c>
    </row>
    <row r="655" spans="1:23" s="197" customFormat="1" ht="49" customHeight="1">
      <c r="A655" s="4" t="s">
        <v>6165</v>
      </c>
      <c r="B655" s="4" t="s">
        <v>6225</v>
      </c>
      <c r="C655" s="198" t="s">
        <v>23</v>
      </c>
      <c r="D655" s="198" t="s">
        <v>24</v>
      </c>
      <c r="E655" s="4" t="s">
        <v>3850</v>
      </c>
      <c r="F655" s="198" t="s">
        <v>28</v>
      </c>
      <c r="G655" s="4"/>
      <c r="H655" s="4" t="s">
        <v>539</v>
      </c>
      <c r="I655" s="4" t="s">
        <v>2272</v>
      </c>
      <c r="J655" s="4" t="s">
        <v>2272</v>
      </c>
      <c r="K655" s="4" t="s">
        <v>2272</v>
      </c>
      <c r="L655" s="4" t="s">
        <v>2272</v>
      </c>
      <c r="M655" s="4" t="s">
        <v>2666</v>
      </c>
      <c r="N655" s="198" t="s">
        <v>2272</v>
      </c>
      <c r="O655" s="4" t="s">
        <v>532</v>
      </c>
      <c r="P655" s="198" t="s">
        <v>2272</v>
      </c>
      <c r="Q655" s="4">
        <v>2</v>
      </c>
      <c r="R655" s="4" t="s">
        <v>535</v>
      </c>
      <c r="S655" s="4" t="s">
        <v>535</v>
      </c>
      <c r="T655" s="4" t="s">
        <v>535</v>
      </c>
      <c r="U655" s="4" t="s">
        <v>535</v>
      </c>
      <c r="V655" s="4" t="s">
        <v>2272</v>
      </c>
      <c r="W655" s="4" t="s">
        <v>6776</v>
      </c>
    </row>
    <row r="656" spans="1:23" s="197" customFormat="1" ht="49" customHeight="1">
      <c r="A656" s="4" t="s">
        <v>6165</v>
      </c>
      <c r="B656" s="4" t="s">
        <v>6723</v>
      </c>
      <c r="C656" s="198" t="s">
        <v>23</v>
      </c>
      <c r="D656" s="198" t="s">
        <v>2654</v>
      </c>
      <c r="E656" s="4" t="s">
        <v>3850</v>
      </c>
      <c r="F656" s="198" t="s">
        <v>27</v>
      </c>
      <c r="G656" s="4"/>
      <c r="H656" s="4" t="s">
        <v>539</v>
      </c>
      <c r="I656" s="4" t="s">
        <v>2272</v>
      </c>
      <c r="J656" s="4" t="s">
        <v>2272</v>
      </c>
      <c r="K656" s="4" t="s">
        <v>2272</v>
      </c>
      <c r="L656" s="4" t="s">
        <v>2272</v>
      </c>
      <c r="M656" s="4" t="s">
        <v>2666</v>
      </c>
      <c r="N656" s="198" t="s">
        <v>2272</v>
      </c>
      <c r="O656" s="4" t="s">
        <v>532</v>
      </c>
      <c r="P656" s="198" t="s">
        <v>2272</v>
      </c>
      <c r="Q656" s="4">
        <v>2</v>
      </c>
      <c r="R656" s="4" t="s">
        <v>535</v>
      </c>
      <c r="S656" s="4" t="s">
        <v>535</v>
      </c>
      <c r="T656" s="4" t="s">
        <v>535</v>
      </c>
      <c r="U656" s="4" t="s">
        <v>535</v>
      </c>
      <c r="V656" s="4" t="s">
        <v>2272</v>
      </c>
      <c r="W656" s="4" t="s">
        <v>6776</v>
      </c>
    </row>
    <row r="657" spans="1:23" s="197" customFormat="1" ht="49" customHeight="1">
      <c r="A657" s="4" t="s">
        <v>6165</v>
      </c>
      <c r="B657" s="4" t="s">
        <v>6724</v>
      </c>
      <c r="C657" s="198" t="s">
        <v>23</v>
      </c>
      <c r="D657" s="198" t="s">
        <v>2654</v>
      </c>
      <c r="E657" s="4" t="s">
        <v>3850</v>
      </c>
      <c r="F657" s="198" t="s">
        <v>27</v>
      </c>
      <c r="G657" s="4"/>
      <c r="H657" s="4" t="s">
        <v>4072</v>
      </c>
      <c r="I657" s="4" t="s">
        <v>2685</v>
      </c>
      <c r="J657" s="4" t="s">
        <v>535</v>
      </c>
      <c r="K657" s="4" t="s">
        <v>532</v>
      </c>
      <c r="L657" s="4" t="s">
        <v>535</v>
      </c>
      <c r="M657" s="4" t="s">
        <v>535</v>
      </c>
      <c r="N657" s="4" t="s">
        <v>535</v>
      </c>
      <c r="O657" s="4" t="s">
        <v>535</v>
      </c>
      <c r="P657" s="4" t="s">
        <v>535</v>
      </c>
      <c r="Q657" s="198" t="s">
        <v>2272</v>
      </c>
      <c r="R657" s="198" t="s">
        <v>2272</v>
      </c>
      <c r="S657" s="198" t="s">
        <v>2272</v>
      </c>
      <c r="T657" s="198" t="s">
        <v>2272</v>
      </c>
      <c r="U657" s="198" t="s">
        <v>2272</v>
      </c>
      <c r="V657" s="198" t="s">
        <v>2272</v>
      </c>
      <c r="W657" s="4" t="s">
        <v>6777</v>
      </c>
    </row>
    <row r="658" spans="1:23" s="197" customFormat="1" ht="49" customHeight="1">
      <c r="A658" s="4" t="s">
        <v>6166</v>
      </c>
      <c r="B658" s="4" t="s">
        <v>6226</v>
      </c>
      <c r="C658" s="198" t="s">
        <v>23</v>
      </c>
      <c r="D658" s="198" t="s">
        <v>24</v>
      </c>
      <c r="E658" s="4" t="s">
        <v>3850</v>
      </c>
      <c r="F658" s="198" t="s">
        <v>28</v>
      </c>
      <c r="G658" s="4"/>
      <c r="H658" s="4" t="s">
        <v>539</v>
      </c>
      <c r="I658" s="4" t="s">
        <v>2272</v>
      </c>
      <c r="J658" s="4" t="s">
        <v>2272</v>
      </c>
      <c r="K658" s="4" t="s">
        <v>2272</v>
      </c>
      <c r="L658" s="4" t="s">
        <v>2272</v>
      </c>
      <c r="M658" s="4" t="s">
        <v>2666</v>
      </c>
      <c r="N658" s="198" t="s">
        <v>2272</v>
      </c>
      <c r="O658" s="4" t="s">
        <v>532</v>
      </c>
      <c r="P658" s="198" t="s">
        <v>2272</v>
      </c>
      <c r="Q658" s="4">
        <v>2</v>
      </c>
      <c r="R658" s="4" t="s">
        <v>535</v>
      </c>
      <c r="S658" s="4" t="s">
        <v>535</v>
      </c>
      <c r="T658" s="4" t="s">
        <v>535</v>
      </c>
      <c r="U658" s="4" t="s">
        <v>535</v>
      </c>
      <c r="V658" s="4" t="s">
        <v>2272</v>
      </c>
      <c r="W658" s="4" t="s">
        <v>6776</v>
      </c>
    </row>
    <row r="659" spans="1:23" s="197" customFormat="1" ht="49" customHeight="1">
      <c r="A659" s="4" t="s">
        <v>6166</v>
      </c>
      <c r="B659" s="4" t="s">
        <v>6729</v>
      </c>
      <c r="C659" s="198" t="s">
        <v>23</v>
      </c>
      <c r="D659" s="198" t="s">
        <v>2654</v>
      </c>
      <c r="E659" s="4" t="s">
        <v>3850</v>
      </c>
      <c r="F659" s="198" t="s">
        <v>27</v>
      </c>
      <c r="G659" s="4"/>
      <c r="H659" s="4" t="s">
        <v>539</v>
      </c>
      <c r="I659" s="4" t="s">
        <v>2272</v>
      </c>
      <c r="J659" s="4" t="s">
        <v>2272</v>
      </c>
      <c r="K659" s="4" t="s">
        <v>2272</v>
      </c>
      <c r="L659" s="4" t="s">
        <v>2272</v>
      </c>
      <c r="M659" s="4" t="s">
        <v>2666</v>
      </c>
      <c r="N659" s="198" t="s">
        <v>2272</v>
      </c>
      <c r="O659" s="4" t="s">
        <v>532</v>
      </c>
      <c r="P659" s="198" t="s">
        <v>2272</v>
      </c>
      <c r="Q659" s="4">
        <v>2</v>
      </c>
      <c r="R659" s="4" t="s">
        <v>535</v>
      </c>
      <c r="S659" s="4" t="s">
        <v>535</v>
      </c>
      <c r="T659" s="4" t="s">
        <v>535</v>
      </c>
      <c r="U659" s="4" t="s">
        <v>535</v>
      </c>
      <c r="V659" s="4" t="s">
        <v>2272</v>
      </c>
      <c r="W659" s="4" t="s">
        <v>6776</v>
      </c>
    </row>
    <row r="660" spans="1:23" s="197" customFormat="1" ht="49" customHeight="1">
      <c r="A660" s="4" t="s">
        <v>6166</v>
      </c>
      <c r="B660" s="4" t="s">
        <v>6730</v>
      </c>
      <c r="C660" s="198" t="s">
        <v>23</v>
      </c>
      <c r="D660" s="198" t="s">
        <v>2654</v>
      </c>
      <c r="E660" s="4" t="s">
        <v>3850</v>
      </c>
      <c r="F660" s="198" t="s">
        <v>27</v>
      </c>
      <c r="G660" s="4"/>
      <c r="H660" s="4" t="s">
        <v>4072</v>
      </c>
      <c r="I660" s="4" t="s">
        <v>2685</v>
      </c>
      <c r="J660" s="4" t="s">
        <v>535</v>
      </c>
      <c r="K660" s="4" t="s">
        <v>532</v>
      </c>
      <c r="L660" s="4" t="s">
        <v>535</v>
      </c>
      <c r="M660" s="4" t="s">
        <v>535</v>
      </c>
      <c r="N660" s="4" t="s">
        <v>535</v>
      </c>
      <c r="O660" s="4" t="s">
        <v>535</v>
      </c>
      <c r="P660" s="4" t="s">
        <v>535</v>
      </c>
      <c r="Q660" s="198" t="s">
        <v>2272</v>
      </c>
      <c r="R660" s="198" t="s">
        <v>2272</v>
      </c>
      <c r="S660" s="198" t="s">
        <v>2272</v>
      </c>
      <c r="T660" s="198" t="s">
        <v>2272</v>
      </c>
      <c r="U660" s="198" t="s">
        <v>2272</v>
      </c>
      <c r="V660" s="198" t="s">
        <v>2272</v>
      </c>
      <c r="W660" s="4" t="s">
        <v>6777</v>
      </c>
    </row>
    <row r="661" spans="1:23" s="197" customFormat="1" ht="49" customHeight="1">
      <c r="A661" s="4" t="s">
        <v>6167</v>
      </c>
      <c r="B661" s="4" t="s">
        <v>6227</v>
      </c>
      <c r="C661" s="198" t="s">
        <v>23</v>
      </c>
      <c r="D661" s="198" t="s">
        <v>24</v>
      </c>
      <c r="E661" s="4" t="s">
        <v>3850</v>
      </c>
      <c r="F661" s="198" t="s">
        <v>28</v>
      </c>
      <c r="G661" s="4"/>
      <c r="H661" s="4" t="s">
        <v>539</v>
      </c>
      <c r="I661" s="4" t="s">
        <v>2272</v>
      </c>
      <c r="J661" s="4" t="s">
        <v>2272</v>
      </c>
      <c r="K661" s="4" t="s">
        <v>2272</v>
      </c>
      <c r="L661" s="4" t="s">
        <v>2272</v>
      </c>
      <c r="M661" s="4" t="s">
        <v>2666</v>
      </c>
      <c r="N661" s="198" t="s">
        <v>2272</v>
      </c>
      <c r="O661" s="4" t="s">
        <v>532</v>
      </c>
      <c r="P661" s="198" t="s">
        <v>2272</v>
      </c>
      <c r="Q661" s="4">
        <v>2</v>
      </c>
      <c r="R661" s="4" t="s">
        <v>535</v>
      </c>
      <c r="S661" s="4" t="s">
        <v>535</v>
      </c>
      <c r="T661" s="4" t="s">
        <v>535</v>
      </c>
      <c r="U661" s="4" t="s">
        <v>535</v>
      </c>
      <c r="V661" s="4" t="s">
        <v>2272</v>
      </c>
      <c r="W661" s="4" t="s">
        <v>6776</v>
      </c>
    </row>
    <row r="662" spans="1:23" s="197" customFormat="1" ht="49" customHeight="1">
      <c r="A662" s="4" t="s">
        <v>6167</v>
      </c>
      <c r="B662" s="4" t="s">
        <v>6735</v>
      </c>
      <c r="C662" s="198" t="s">
        <v>23</v>
      </c>
      <c r="D662" s="198" t="s">
        <v>2654</v>
      </c>
      <c r="E662" s="4" t="s">
        <v>3850</v>
      </c>
      <c r="F662" s="198" t="s">
        <v>27</v>
      </c>
      <c r="G662" s="4"/>
      <c r="H662" s="4" t="s">
        <v>539</v>
      </c>
      <c r="I662" s="4" t="s">
        <v>2272</v>
      </c>
      <c r="J662" s="4" t="s">
        <v>2272</v>
      </c>
      <c r="K662" s="4" t="s">
        <v>2272</v>
      </c>
      <c r="L662" s="4" t="s">
        <v>2272</v>
      </c>
      <c r="M662" s="4" t="s">
        <v>2666</v>
      </c>
      <c r="N662" s="198" t="s">
        <v>2272</v>
      </c>
      <c r="O662" s="4" t="s">
        <v>532</v>
      </c>
      <c r="P662" s="198" t="s">
        <v>2272</v>
      </c>
      <c r="Q662" s="4">
        <v>2</v>
      </c>
      <c r="R662" s="4" t="s">
        <v>535</v>
      </c>
      <c r="S662" s="4" t="s">
        <v>535</v>
      </c>
      <c r="T662" s="4" t="s">
        <v>535</v>
      </c>
      <c r="U662" s="4" t="s">
        <v>535</v>
      </c>
      <c r="V662" s="4" t="s">
        <v>2272</v>
      </c>
      <c r="W662" s="4" t="s">
        <v>6776</v>
      </c>
    </row>
    <row r="663" spans="1:23" s="197" customFormat="1" ht="49" customHeight="1">
      <c r="A663" s="4" t="s">
        <v>6167</v>
      </c>
      <c r="B663" s="4" t="s">
        <v>6736</v>
      </c>
      <c r="C663" s="198" t="s">
        <v>23</v>
      </c>
      <c r="D663" s="198" t="s">
        <v>2654</v>
      </c>
      <c r="E663" s="4" t="s">
        <v>3850</v>
      </c>
      <c r="F663" s="198" t="s">
        <v>27</v>
      </c>
      <c r="G663" s="4"/>
      <c r="H663" s="4" t="s">
        <v>4072</v>
      </c>
      <c r="I663" s="4" t="s">
        <v>2685</v>
      </c>
      <c r="J663" s="4" t="s">
        <v>535</v>
      </c>
      <c r="K663" s="4" t="s">
        <v>532</v>
      </c>
      <c r="L663" s="4" t="s">
        <v>535</v>
      </c>
      <c r="M663" s="4" t="s">
        <v>535</v>
      </c>
      <c r="N663" s="4" t="s">
        <v>535</v>
      </c>
      <c r="O663" s="4" t="s">
        <v>535</v>
      </c>
      <c r="P663" s="4" t="s">
        <v>535</v>
      </c>
      <c r="Q663" s="198" t="s">
        <v>2272</v>
      </c>
      <c r="R663" s="198" t="s">
        <v>2272</v>
      </c>
      <c r="S663" s="198" t="s">
        <v>2272</v>
      </c>
      <c r="T663" s="198" t="s">
        <v>2272</v>
      </c>
      <c r="U663" s="198" t="s">
        <v>2272</v>
      </c>
      <c r="V663" s="198" t="s">
        <v>2272</v>
      </c>
      <c r="W663" s="4" t="s">
        <v>6777</v>
      </c>
    </row>
    <row r="664" spans="1:23" s="197" customFormat="1" ht="49" customHeight="1">
      <c r="A664" s="4" t="s">
        <v>6168</v>
      </c>
      <c r="B664" s="4" t="s">
        <v>6228</v>
      </c>
      <c r="C664" s="198" t="s">
        <v>23</v>
      </c>
      <c r="D664" s="198" t="s">
        <v>24</v>
      </c>
      <c r="E664" s="4" t="s">
        <v>3850</v>
      </c>
      <c r="F664" s="198" t="s">
        <v>28</v>
      </c>
      <c r="G664" s="4"/>
      <c r="H664" s="4" t="s">
        <v>539</v>
      </c>
      <c r="I664" s="4" t="s">
        <v>2272</v>
      </c>
      <c r="J664" s="4" t="s">
        <v>2272</v>
      </c>
      <c r="K664" s="4" t="s">
        <v>2272</v>
      </c>
      <c r="L664" s="4" t="s">
        <v>2272</v>
      </c>
      <c r="M664" s="4" t="s">
        <v>2666</v>
      </c>
      <c r="N664" s="198" t="s">
        <v>2272</v>
      </c>
      <c r="O664" s="4" t="s">
        <v>532</v>
      </c>
      <c r="P664" s="198" t="s">
        <v>2272</v>
      </c>
      <c r="Q664" s="4">
        <v>2</v>
      </c>
      <c r="R664" s="4" t="s">
        <v>535</v>
      </c>
      <c r="S664" s="4" t="s">
        <v>535</v>
      </c>
      <c r="T664" s="4" t="s">
        <v>535</v>
      </c>
      <c r="U664" s="4" t="s">
        <v>535</v>
      </c>
      <c r="V664" s="4" t="s">
        <v>2272</v>
      </c>
      <c r="W664" s="4" t="s">
        <v>6776</v>
      </c>
    </row>
    <row r="665" spans="1:23" s="197" customFormat="1" ht="49" customHeight="1">
      <c r="A665" s="4" t="s">
        <v>6168</v>
      </c>
      <c r="B665" s="4" t="s">
        <v>6741</v>
      </c>
      <c r="C665" s="198" t="s">
        <v>23</v>
      </c>
      <c r="D665" s="198" t="s">
        <v>2654</v>
      </c>
      <c r="E665" s="4" t="s">
        <v>3850</v>
      </c>
      <c r="F665" s="198" t="s">
        <v>27</v>
      </c>
      <c r="G665" s="4"/>
      <c r="H665" s="4" t="s">
        <v>539</v>
      </c>
      <c r="I665" s="4" t="s">
        <v>2272</v>
      </c>
      <c r="J665" s="4" t="s">
        <v>2272</v>
      </c>
      <c r="K665" s="4" t="s">
        <v>2272</v>
      </c>
      <c r="L665" s="4" t="s">
        <v>2272</v>
      </c>
      <c r="M665" s="4" t="s">
        <v>2666</v>
      </c>
      <c r="N665" s="198" t="s">
        <v>2272</v>
      </c>
      <c r="O665" s="4" t="s">
        <v>532</v>
      </c>
      <c r="P665" s="198" t="s">
        <v>2272</v>
      </c>
      <c r="Q665" s="4">
        <v>2</v>
      </c>
      <c r="R665" s="4" t="s">
        <v>535</v>
      </c>
      <c r="S665" s="4" t="s">
        <v>535</v>
      </c>
      <c r="T665" s="4" t="s">
        <v>535</v>
      </c>
      <c r="U665" s="4" t="s">
        <v>535</v>
      </c>
      <c r="V665" s="4" t="s">
        <v>2272</v>
      </c>
      <c r="W665" s="4" t="s">
        <v>6776</v>
      </c>
    </row>
    <row r="666" spans="1:23" s="197" customFormat="1" ht="49" customHeight="1">
      <c r="A666" s="4" t="s">
        <v>6168</v>
      </c>
      <c r="B666" s="4" t="s">
        <v>6742</v>
      </c>
      <c r="C666" s="198" t="s">
        <v>23</v>
      </c>
      <c r="D666" s="198" t="s">
        <v>2654</v>
      </c>
      <c r="E666" s="4" t="s">
        <v>3850</v>
      </c>
      <c r="F666" s="198" t="s">
        <v>27</v>
      </c>
      <c r="G666" s="4"/>
      <c r="H666" s="4" t="s">
        <v>4072</v>
      </c>
      <c r="I666" s="4" t="s">
        <v>2685</v>
      </c>
      <c r="J666" s="4" t="s">
        <v>535</v>
      </c>
      <c r="K666" s="4" t="s">
        <v>532</v>
      </c>
      <c r="L666" s="4" t="s">
        <v>535</v>
      </c>
      <c r="M666" s="4" t="s">
        <v>535</v>
      </c>
      <c r="N666" s="4" t="s">
        <v>535</v>
      </c>
      <c r="O666" s="4" t="s">
        <v>535</v>
      </c>
      <c r="P666" s="4" t="s">
        <v>535</v>
      </c>
      <c r="Q666" s="198" t="s">
        <v>2272</v>
      </c>
      <c r="R666" s="198" t="s">
        <v>2272</v>
      </c>
      <c r="S666" s="198" t="s">
        <v>2272</v>
      </c>
      <c r="T666" s="198" t="s">
        <v>2272</v>
      </c>
      <c r="U666" s="198" t="s">
        <v>2272</v>
      </c>
      <c r="V666" s="198" t="s">
        <v>2272</v>
      </c>
      <c r="W666" s="4" t="s">
        <v>6777</v>
      </c>
    </row>
    <row r="667" spans="1:23" s="197" customFormat="1" ht="49" customHeight="1">
      <c r="A667" s="4" t="s">
        <v>6169</v>
      </c>
      <c r="B667" s="4" t="s">
        <v>6229</v>
      </c>
      <c r="C667" s="198" t="s">
        <v>23</v>
      </c>
      <c r="D667" s="198" t="s">
        <v>24</v>
      </c>
      <c r="E667" s="4" t="s">
        <v>3850</v>
      </c>
      <c r="F667" s="198" t="s">
        <v>28</v>
      </c>
      <c r="G667" s="4"/>
      <c r="H667" s="4" t="s">
        <v>539</v>
      </c>
      <c r="I667" s="4" t="s">
        <v>2272</v>
      </c>
      <c r="J667" s="4" t="s">
        <v>2272</v>
      </c>
      <c r="K667" s="4" t="s">
        <v>2272</v>
      </c>
      <c r="L667" s="4" t="s">
        <v>2272</v>
      </c>
      <c r="M667" s="4" t="s">
        <v>2666</v>
      </c>
      <c r="N667" s="198" t="s">
        <v>2272</v>
      </c>
      <c r="O667" s="4" t="s">
        <v>532</v>
      </c>
      <c r="P667" s="198" t="s">
        <v>2272</v>
      </c>
      <c r="Q667" s="4">
        <v>2</v>
      </c>
      <c r="R667" s="4" t="s">
        <v>535</v>
      </c>
      <c r="S667" s="4" t="s">
        <v>535</v>
      </c>
      <c r="T667" s="4" t="s">
        <v>535</v>
      </c>
      <c r="U667" s="4" t="s">
        <v>535</v>
      </c>
      <c r="V667" s="4" t="s">
        <v>2272</v>
      </c>
      <c r="W667" s="4" t="s">
        <v>6776</v>
      </c>
    </row>
    <row r="668" spans="1:23" s="197" customFormat="1" ht="49" customHeight="1">
      <c r="A668" s="4" t="s">
        <v>6169</v>
      </c>
      <c r="B668" s="4" t="s">
        <v>6747</v>
      </c>
      <c r="C668" s="198" t="s">
        <v>23</v>
      </c>
      <c r="D668" s="198" t="s">
        <v>2654</v>
      </c>
      <c r="E668" s="4" t="s">
        <v>3850</v>
      </c>
      <c r="F668" s="198" t="s">
        <v>27</v>
      </c>
      <c r="G668" s="4"/>
      <c r="H668" s="4" t="s">
        <v>539</v>
      </c>
      <c r="I668" s="4" t="s">
        <v>2272</v>
      </c>
      <c r="J668" s="4" t="s">
        <v>2272</v>
      </c>
      <c r="K668" s="4" t="s">
        <v>2272</v>
      </c>
      <c r="L668" s="4" t="s">
        <v>2272</v>
      </c>
      <c r="M668" s="4" t="s">
        <v>2666</v>
      </c>
      <c r="N668" s="198" t="s">
        <v>2272</v>
      </c>
      <c r="O668" s="4" t="s">
        <v>532</v>
      </c>
      <c r="P668" s="198" t="s">
        <v>2272</v>
      </c>
      <c r="Q668" s="4">
        <v>2</v>
      </c>
      <c r="R668" s="4" t="s">
        <v>535</v>
      </c>
      <c r="S668" s="4" t="s">
        <v>535</v>
      </c>
      <c r="T668" s="4" t="s">
        <v>535</v>
      </c>
      <c r="U668" s="4" t="s">
        <v>535</v>
      </c>
      <c r="V668" s="4" t="s">
        <v>2272</v>
      </c>
      <c r="W668" s="4" t="s">
        <v>6776</v>
      </c>
    </row>
    <row r="669" spans="1:23" s="197" customFormat="1" ht="49" customHeight="1">
      <c r="A669" s="4" t="s">
        <v>6169</v>
      </c>
      <c r="B669" s="4" t="s">
        <v>6748</v>
      </c>
      <c r="C669" s="198" t="s">
        <v>23</v>
      </c>
      <c r="D669" s="198" t="s">
        <v>2654</v>
      </c>
      <c r="E669" s="4" t="s">
        <v>3850</v>
      </c>
      <c r="F669" s="198" t="s">
        <v>27</v>
      </c>
      <c r="G669" s="4"/>
      <c r="H669" s="4" t="s">
        <v>4072</v>
      </c>
      <c r="I669" s="4" t="s">
        <v>2685</v>
      </c>
      <c r="J669" s="4" t="s">
        <v>535</v>
      </c>
      <c r="K669" s="4" t="s">
        <v>532</v>
      </c>
      <c r="L669" s="4" t="s">
        <v>535</v>
      </c>
      <c r="M669" s="4" t="s">
        <v>535</v>
      </c>
      <c r="N669" s="4" t="s">
        <v>535</v>
      </c>
      <c r="O669" s="4" t="s">
        <v>535</v>
      </c>
      <c r="P669" s="4" t="s">
        <v>535</v>
      </c>
      <c r="Q669" s="198" t="s">
        <v>2272</v>
      </c>
      <c r="R669" s="198" t="s">
        <v>2272</v>
      </c>
      <c r="S669" s="198" t="s">
        <v>2272</v>
      </c>
      <c r="T669" s="198" t="s">
        <v>2272</v>
      </c>
      <c r="U669" s="198" t="s">
        <v>2272</v>
      </c>
      <c r="V669" s="198" t="s">
        <v>2272</v>
      </c>
      <c r="W669" s="4" t="s">
        <v>6777</v>
      </c>
    </row>
    <row r="670" spans="1:23" s="197" customFormat="1" ht="49" customHeight="1">
      <c r="A670" s="4" t="s">
        <v>6170</v>
      </c>
      <c r="B670" s="4" t="s">
        <v>6230</v>
      </c>
      <c r="C670" s="198" t="s">
        <v>23</v>
      </c>
      <c r="D670" s="198" t="s">
        <v>24</v>
      </c>
      <c r="E670" s="4" t="s">
        <v>3850</v>
      </c>
      <c r="F670" s="198" t="s">
        <v>28</v>
      </c>
      <c r="G670" s="4"/>
      <c r="H670" s="4" t="s">
        <v>539</v>
      </c>
      <c r="I670" s="4" t="s">
        <v>2272</v>
      </c>
      <c r="J670" s="4" t="s">
        <v>2272</v>
      </c>
      <c r="K670" s="4" t="s">
        <v>2272</v>
      </c>
      <c r="L670" s="4" t="s">
        <v>2272</v>
      </c>
      <c r="M670" s="4" t="s">
        <v>2666</v>
      </c>
      <c r="N670" s="198" t="s">
        <v>2272</v>
      </c>
      <c r="O670" s="4" t="s">
        <v>532</v>
      </c>
      <c r="P670" s="198" t="s">
        <v>2272</v>
      </c>
      <c r="Q670" s="4">
        <v>2</v>
      </c>
      <c r="R670" s="4" t="s">
        <v>535</v>
      </c>
      <c r="S670" s="4" t="s">
        <v>535</v>
      </c>
      <c r="T670" s="4" t="s">
        <v>535</v>
      </c>
      <c r="U670" s="4" t="s">
        <v>535</v>
      </c>
      <c r="V670" s="4" t="s">
        <v>2272</v>
      </c>
      <c r="W670" s="4" t="s">
        <v>6776</v>
      </c>
    </row>
    <row r="671" spans="1:23" s="197" customFormat="1" ht="49" customHeight="1">
      <c r="A671" s="4" t="s">
        <v>6170</v>
      </c>
      <c r="B671" s="4" t="s">
        <v>6753</v>
      </c>
      <c r="C671" s="198" t="s">
        <v>23</v>
      </c>
      <c r="D671" s="198" t="s">
        <v>2654</v>
      </c>
      <c r="E671" s="4" t="s">
        <v>3850</v>
      </c>
      <c r="F671" s="198" t="s">
        <v>27</v>
      </c>
      <c r="G671" s="4"/>
      <c r="H671" s="4" t="s">
        <v>539</v>
      </c>
      <c r="I671" s="4" t="s">
        <v>2272</v>
      </c>
      <c r="J671" s="4" t="s">
        <v>2272</v>
      </c>
      <c r="K671" s="4" t="s">
        <v>2272</v>
      </c>
      <c r="L671" s="4" t="s">
        <v>2272</v>
      </c>
      <c r="M671" s="4" t="s">
        <v>2666</v>
      </c>
      <c r="N671" s="198" t="s">
        <v>2272</v>
      </c>
      <c r="O671" s="4" t="s">
        <v>532</v>
      </c>
      <c r="P671" s="198" t="s">
        <v>2272</v>
      </c>
      <c r="Q671" s="4">
        <v>2</v>
      </c>
      <c r="R671" s="4" t="s">
        <v>535</v>
      </c>
      <c r="S671" s="4" t="s">
        <v>535</v>
      </c>
      <c r="T671" s="4" t="s">
        <v>535</v>
      </c>
      <c r="U671" s="4" t="s">
        <v>535</v>
      </c>
      <c r="V671" s="4" t="s">
        <v>2272</v>
      </c>
      <c r="W671" s="4" t="s">
        <v>6776</v>
      </c>
    </row>
    <row r="672" spans="1:23" s="197" customFormat="1" ht="49" customHeight="1">
      <c r="A672" s="4" t="s">
        <v>6170</v>
      </c>
      <c r="B672" s="4" t="s">
        <v>6754</v>
      </c>
      <c r="C672" s="198" t="s">
        <v>23</v>
      </c>
      <c r="D672" s="198" t="s">
        <v>2654</v>
      </c>
      <c r="E672" s="4" t="s">
        <v>3850</v>
      </c>
      <c r="F672" s="198" t="s">
        <v>27</v>
      </c>
      <c r="G672" s="4"/>
      <c r="H672" s="4" t="s">
        <v>4072</v>
      </c>
      <c r="I672" s="4" t="s">
        <v>2685</v>
      </c>
      <c r="J672" s="4" t="s">
        <v>535</v>
      </c>
      <c r="K672" s="4" t="s">
        <v>532</v>
      </c>
      <c r="L672" s="4" t="s">
        <v>535</v>
      </c>
      <c r="M672" s="4" t="s">
        <v>535</v>
      </c>
      <c r="N672" s="4" t="s">
        <v>535</v>
      </c>
      <c r="O672" s="4" t="s">
        <v>535</v>
      </c>
      <c r="P672" s="4" t="s">
        <v>535</v>
      </c>
      <c r="Q672" s="198" t="s">
        <v>2272</v>
      </c>
      <c r="R672" s="198" t="s">
        <v>2272</v>
      </c>
      <c r="S672" s="198" t="s">
        <v>2272</v>
      </c>
      <c r="T672" s="198" t="s">
        <v>2272</v>
      </c>
      <c r="U672" s="198" t="s">
        <v>2272</v>
      </c>
      <c r="V672" s="198" t="s">
        <v>2272</v>
      </c>
      <c r="W672" s="4" t="s">
        <v>6777</v>
      </c>
    </row>
    <row r="673" spans="1:23" s="197" customFormat="1" ht="49" customHeight="1">
      <c r="A673" s="4" t="s">
        <v>6171</v>
      </c>
      <c r="B673" s="4" t="s">
        <v>6231</v>
      </c>
      <c r="C673" s="198" t="s">
        <v>23</v>
      </c>
      <c r="D673" s="198" t="s">
        <v>24</v>
      </c>
      <c r="E673" s="4" t="s">
        <v>3850</v>
      </c>
      <c r="F673" s="198" t="s">
        <v>28</v>
      </c>
      <c r="G673" s="4"/>
      <c r="H673" s="4" t="s">
        <v>539</v>
      </c>
      <c r="I673" s="4" t="s">
        <v>2272</v>
      </c>
      <c r="J673" s="4" t="s">
        <v>2272</v>
      </c>
      <c r="K673" s="4" t="s">
        <v>2272</v>
      </c>
      <c r="L673" s="4" t="s">
        <v>2272</v>
      </c>
      <c r="M673" s="4" t="s">
        <v>2666</v>
      </c>
      <c r="N673" s="198" t="s">
        <v>2272</v>
      </c>
      <c r="O673" s="4" t="s">
        <v>532</v>
      </c>
      <c r="P673" s="198" t="s">
        <v>2272</v>
      </c>
      <c r="Q673" s="4">
        <v>2</v>
      </c>
      <c r="R673" s="4" t="s">
        <v>535</v>
      </c>
      <c r="S673" s="4" t="s">
        <v>535</v>
      </c>
      <c r="T673" s="4" t="s">
        <v>535</v>
      </c>
      <c r="U673" s="4" t="s">
        <v>535</v>
      </c>
      <c r="V673" s="4" t="s">
        <v>2272</v>
      </c>
      <c r="W673" s="4" t="s">
        <v>6776</v>
      </c>
    </row>
    <row r="674" spans="1:23" s="197" customFormat="1" ht="49" customHeight="1">
      <c r="A674" s="4" t="s">
        <v>6171</v>
      </c>
      <c r="B674" s="4" t="s">
        <v>6759</v>
      </c>
      <c r="C674" s="198" t="s">
        <v>23</v>
      </c>
      <c r="D674" s="198" t="s">
        <v>2654</v>
      </c>
      <c r="E674" s="4" t="s">
        <v>3850</v>
      </c>
      <c r="F674" s="198" t="s">
        <v>27</v>
      </c>
      <c r="G674" s="4"/>
      <c r="H674" s="4" t="s">
        <v>539</v>
      </c>
      <c r="I674" s="4" t="s">
        <v>2272</v>
      </c>
      <c r="J674" s="4" t="s">
        <v>2272</v>
      </c>
      <c r="K674" s="4" t="s">
        <v>2272</v>
      </c>
      <c r="L674" s="4" t="s">
        <v>2272</v>
      </c>
      <c r="M674" s="4" t="s">
        <v>2666</v>
      </c>
      <c r="N674" s="198" t="s">
        <v>2272</v>
      </c>
      <c r="O674" s="4" t="s">
        <v>532</v>
      </c>
      <c r="P674" s="198" t="s">
        <v>2272</v>
      </c>
      <c r="Q674" s="4">
        <v>2</v>
      </c>
      <c r="R674" s="4" t="s">
        <v>535</v>
      </c>
      <c r="S674" s="4" t="s">
        <v>535</v>
      </c>
      <c r="T674" s="4" t="s">
        <v>535</v>
      </c>
      <c r="U674" s="4" t="s">
        <v>535</v>
      </c>
      <c r="V674" s="4" t="s">
        <v>2272</v>
      </c>
      <c r="W674" s="4" t="s">
        <v>6776</v>
      </c>
    </row>
    <row r="675" spans="1:23" s="197" customFormat="1" ht="49" customHeight="1">
      <c r="A675" s="4" t="s">
        <v>6171</v>
      </c>
      <c r="B675" s="4" t="s">
        <v>6760</v>
      </c>
      <c r="C675" s="198" t="s">
        <v>23</v>
      </c>
      <c r="D675" s="198" t="s">
        <v>2654</v>
      </c>
      <c r="E675" s="4" t="s">
        <v>3850</v>
      </c>
      <c r="F675" s="198" t="s">
        <v>27</v>
      </c>
      <c r="G675" s="4"/>
      <c r="H675" s="4" t="s">
        <v>4072</v>
      </c>
      <c r="I675" s="4" t="s">
        <v>2685</v>
      </c>
      <c r="J675" s="4" t="s">
        <v>535</v>
      </c>
      <c r="K675" s="4" t="s">
        <v>532</v>
      </c>
      <c r="L675" s="4" t="s">
        <v>535</v>
      </c>
      <c r="M675" s="4" t="s">
        <v>535</v>
      </c>
      <c r="N675" s="4" t="s">
        <v>535</v>
      </c>
      <c r="O675" s="4" t="s">
        <v>535</v>
      </c>
      <c r="P675" s="4" t="s">
        <v>535</v>
      </c>
      <c r="Q675" s="198" t="s">
        <v>2272</v>
      </c>
      <c r="R675" s="198" t="s">
        <v>2272</v>
      </c>
      <c r="S675" s="198" t="s">
        <v>2272</v>
      </c>
      <c r="T675" s="198" t="s">
        <v>2272</v>
      </c>
      <c r="U675" s="198" t="s">
        <v>2272</v>
      </c>
      <c r="V675" s="198" t="s">
        <v>2272</v>
      </c>
      <c r="W675" s="4" t="s">
        <v>6777</v>
      </c>
    </row>
    <row r="676" spans="1:23" s="197" customFormat="1" ht="49" customHeight="1">
      <c r="A676" s="4" t="s">
        <v>6172</v>
      </c>
      <c r="B676" s="4" t="s">
        <v>6232</v>
      </c>
      <c r="C676" s="198" t="s">
        <v>23</v>
      </c>
      <c r="D676" s="198" t="s">
        <v>24</v>
      </c>
      <c r="E676" s="4" t="s">
        <v>3850</v>
      </c>
      <c r="F676" s="198" t="s">
        <v>28</v>
      </c>
      <c r="G676" s="4"/>
      <c r="H676" s="4" t="s">
        <v>539</v>
      </c>
      <c r="I676" s="4" t="s">
        <v>2272</v>
      </c>
      <c r="J676" s="4" t="s">
        <v>2272</v>
      </c>
      <c r="K676" s="4" t="s">
        <v>2272</v>
      </c>
      <c r="L676" s="4" t="s">
        <v>2272</v>
      </c>
      <c r="M676" s="4" t="s">
        <v>2666</v>
      </c>
      <c r="N676" s="198" t="s">
        <v>2272</v>
      </c>
      <c r="O676" s="4" t="s">
        <v>532</v>
      </c>
      <c r="P676" s="198" t="s">
        <v>2272</v>
      </c>
      <c r="Q676" s="4">
        <v>2</v>
      </c>
      <c r="R676" s="4" t="s">
        <v>535</v>
      </c>
      <c r="S676" s="4" t="s">
        <v>535</v>
      </c>
      <c r="T676" s="4" t="s">
        <v>535</v>
      </c>
      <c r="U676" s="4" t="s">
        <v>535</v>
      </c>
      <c r="V676" s="4" t="s">
        <v>2272</v>
      </c>
      <c r="W676" s="4" t="s">
        <v>6776</v>
      </c>
    </row>
    <row r="677" spans="1:23" s="197" customFormat="1" ht="49" customHeight="1">
      <c r="A677" s="4" t="s">
        <v>6172</v>
      </c>
      <c r="B677" s="4" t="s">
        <v>6765</v>
      </c>
      <c r="C677" s="198" t="s">
        <v>23</v>
      </c>
      <c r="D677" s="198" t="s">
        <v>2654</v>
      </c>
      <c r="E677" s="4" t="s">
        <v>3850</v>
      </c>
      <c r="F677" s="198" t="s">
        <v>27</v>
      </c>
      <c r="G677" s="4"/>
      <c r="H677" s="4" t="s">
        <v>539</v>
      </c>
      <c r="I677" s="4" t="s">
        <v>2272</v>
      </c>
      <c r="J677" s="4" t="s">
        <v>2272</v>
      </c>
      <c r="K677" s="4" t="s">
        <v>2272</v>
      </c>
      <c r="L677" s="4" t="s">
        <v>2272</v>
      </c>
      <c r="M677" s="4" t="s">
        <v>2666</v>
      </c>
      <c r="N677" s="198" t="s">
        <v>2272</v>
      </c>
      <c r="O677" s="4" t="s">
        <v>532</v>
      </c>
      <c r="P677" s="198" t="s">
        <v>2272</v>
      </c>
      <c r="Q677" s="4">
        <v>2</v>
      </c>
      <c r="R677" s="4" t="s">
        <v>535</v>
      </c>
      <c r="S677" s="4" t="s">
        <v>535</v>
      </c>
      <c r="T677" s="4" t="s">
        <v>535</v>
      </c>
      <c r="U677" s="4" t="s">
        <v>535</v>
      </c>
      <c r="V677" s="4" t="s">
        <v>2272</v>
      </c>
      <c r="W677" s="4" t="s">
        <v>6776</v>
      </c>
    </row>
    <row r="678" spans="1:23" s="197" customFormat="1" ht="49" customHeight="1">
      <c r="A678" s="4" t="s">
        <v>6172</v>
      </c>
      <c r="B678" s="4" t="s">
        <v>6766</v>
      </c>
      <c r="C678" s="198" t="s">
        <v>23</v>
      </c>
      <c r="D678" s="198" t="s">
        <v>2654</v>
      </c>
      <c r="E678" s="4" t="s">
        <v>3850</v>
      </c>
      <c r="F678" s="198" t="s">
        <v>27</v>
      </c>
      <c r="G678" s="4"/>
      <c r="H678" s="4" t="s">
        <v>4072</v>
      </c>
      <c r="I678" s="4" t="s">
        <v>2685</v>
      </c>
      <c r="J678" s="4" t="s">
        <v>535</v>
      </c>
      <c r="K678" s="4" t="s">
        <v>532</v>
      </c>
      <c r="L678" s="4" t="s">
        <v>535</v>
      </c>
      <c r="M678" s="4" t="s">
        <v>535</v>
      </c>
      <c r="N678" s="4" t="s">
        <v>535</v>
      </c>
      <c r="O678" s="4" t="s">
        <v>535</v>
      </c>
      <c r="P678" s="4" t="s">
        <v>535</v>
      </c>
      <c r="Q678" s="198" t="s">
        <v>2272</v>
      </c>
      <c r="R678" s="198" t="s">
        <v>2272</v>
      </c>
      <c r="S678" s="198" t="s">
        <v>2272</v>
      </c>
      <c r="T678" s="198" t="s">
        <v>2272</v>
      </c>
      <c r="U678" s="198" t="s">
        <v>2272</v>
      </c>
      <c r="V678" s="198" t="s">
        <v>2272</v>
      </c>
      <c r="W678" s="4" t="s">
        <v>6777</v>
      </c>
    </row>
    <row r="679" spans="1:23" ht="29">
      <c r="A679" s="19" t="s">
        <v>6357</v>
      </c>
      <c r="B679" s="19" t="s">
        <v>6451</v>
      </c>
      <c r="C679" s="19" t="s">
        <v>23</v>
      </c>
      <c r="D679" s="19" t="s">
        <v>2654</v>
      </c>
      <c r="E679" s="19" t="s">
        <v>395</v>
      </c>
      <c r="F679" s="19" t="s">
        <v>27</v>
      </c>
      <c r="G679" s="19"/>
      <c r="H679" s="19" t="s">
        <v>2668</v>
      </c>
      <c r="I679" s="19" t="s">
        <v>2272</v>
      </c>
      <c r="J679" s="19" t="s">
        <v>2272</v>
      </c>
      <c r="K679" s="19" t="s">
        <v>2272</v>
      </c>
      <c r="L679" s="19" t="s">
        <v>2272</v>
      </c>
      <c r="M679" s="19" t="s">
        <v>2272</v>
      </c>
      <c r="N679" s="19" t="s">
        <v>2272</v>
      </c>
      <c r="O679" s="19" t="s">
        <v>2272</v>
      </c>
      <c r="P679" s="19" t="s">
        <v>2272</v>
      </c>
      <c r="Q679" s="19" t="s">
        <v>2272</v>
      </c>
      <c r="R679" s="19" t="s">
        <v>532</v>
      </c>
      <c r="S679" s="19" t="s">
        <v>2272</v>
      </c>
      <c r="T679" s="19" t="s">
        <v>2272</v>
      </c>
      <c r="U679" s="19" t="s">
        <v>2272</v>
      </c>
      <c r="V679" s="19">
        <v>2</v>
      </c>
      <c r="W679" s="26" t="s">
        <v>7038</v>
      </c>
    </row>
    <row r="680" spans="1:23" ht="29">
      <c r="A680" s="4" t="s">
        <v>6332</v>
      </c>
      <c r="B680" s="4" t="s">
        <v>6608</v>
      </c>
      <c r="C680" s="4" t="s">
        <v>23</v>
      </c>
      <c r="D680" s="4" t="s">
        <v>26</v>
      </c>
      <c r="E680" s="4" t="s">
        <v>128</v>
      </c>
      <c r="F680" s="4" t="s">
        <v>73</v>
      </c>
      <c r="G680" s="4"/>
      <c r="H680" s="4" t="s">
        <v>2668</v>
      </c>
      <c r="I680" s="4" t="s">
        <v>2685</v>
      </c>
      <c r="J680" s="4" t="s">
        <v>532</v>
      </c>
      <c r="K680" s="4" t="s">
        <v>2272</v>
      </c>
      <c r="L680" s="4" t="s">
        <v>2272</v>
      </c>
      <c r="M680" s="4" t="s">
        <v>2272</v>
      </c>
      <c r="N680" s="4" t="s">
        <v>2272</v>
      </c>
      <c r="O680" s="4" t="s">
        <v>2272</v>
      </c>
      <c r="P680" s="4" t="s">
        <v>2272</v>
      </c>
      <c r="Q680" s="4" t="s">
        <v>2272</v>
      </c>
      <c r="R680" s="4" t="s">
        <v>532</v>
      </c>
      <c r="S680" s="4" t="s">
        <v>2272</v>
      </c>
      <c r="T680" s="4" t="s">
        <v>2272</v>
      </c>
      <c r="U680" s="4" t="s">
        <v>532</v>
      </c>
      <c r="V680" s="4">
        <v>5</v>
      </c>
      <c r="W680" s="4" t="s">
        <v>6525</v>
      </c>
    </row>
    <row r="681" spans="1:23" ht="29">
      <c r="A681" s="4" t="s">
        <v>6332</v>
      </c>
      <c r="B681" s="4" t="s">
        <v>6609</v>
      </c>
      <c r="C681" s="4" t="s">
        <v>23</v>
      </c>
      <c r="D681" s="4" t="s">
        <v>26</v>
      </c>
      <c r="E681" s="4" t="s">
        <v>394</v>
      </c>
      <c r="F681" s="4" t="s">
        <v>73</v>
      </c>
      <c r="G681" s="4"/>
      <c r="H681" s="4" t="s">
        <v>2668</v>
      </c>
      <c r="I681" s="4" t="s">
        <v>2685</v>
      </c>
      <c r="J681" s="4" t="s">
        <v>532</v>
      </c>
      <c r="K681" s="4" t="s">
        <v>2272</v>
      </c>
      <c r="L681" s="4" t="s">
        <v>2272</v>
      </c>
      <c r="M681" s="4" t="s">
        <v>2272</v>
      </c>
      <c r="N681" s="4" t="s">
        <v>2272</v>
      </c>
      <c r="O681" s="4" t="s">
        <v>2272</v>
      </c>
      <c r="P681" s="4" t="s">
        <v>2272</v>
      </c>
      <c r="Q681" s="4" t="s">
        <v>2272</v>
      </c>
      <c r="R681" s="4" t="s">
        <v>532</v>
      </c>
      <c r="S681" s="4" t="s">
        <v>2272</v>
      </c>
      <c r="T681" s="4" t="s">
        <v>2272</v>
      </c>
      <c r="U681" s="4" t="s">
        <v>532</v>
      </c>
      <c r="V681" s="4">
        <v>5</v>
      </c>
      <c r="W681" s="4" t="s">
        <v>6525</v>
      </c>
    </row>
    <row r="682" spans="1:23" ht="29">
      <c r="A682" s="4" t="s">
        <v>6332</v>
      </c>
      <c r="B682" s="4" t="s">
        <v>6610</v>
      </c>
      <c r="C682" s="4" t="s">
        <v>23</v>
      </c>
      <c r="D682" s="4" t="s">
        <v>2654</v>
      </c>
      <c r="E682" s="4" t="s">
        <v>394</v>
      </c>
      <c r="F682" s="4" t="s">
        <v>27</v>
      </c>
      <c r="G682" s="4"/>
      <c r="H682" s="4" t="s">
        <v>2668</v>
      </c>
      <c r="I682" s="4" t="s">
        <v>2685</v>
      </c>
      <c r="J682" s="4" t="s">
        <v>532</v>
      </c>
      <c r="K682" s="4" t="s">
        <v>2272</v>
      </c>
      <c r="L682" s="4" t="s">
        <v>2272</v>
      </c>
      <c r="M682" s="4" t="s">
        <v>2272</v>
      </c>
      <c r="N682" s="4" t="s">
        <v>2272</v>
      </c>
      <c r="O682" s="4" t="s">
        <v>2272</v>
      </c>
      <c r="P682" s="4" t="s">
        <v>2272</v>
      </c>
      <c r="Q682" s="4" t="s">
        <v>2272</v>
      </c>
      <c r="R682" s="4" t="s">
        <v>532</v>
      </c>
      <c r="S682" s="4" t="s">
        <v>2272</v>
      </c>
      <c r="T682" s="4" t="s">
        <v>2272</v>
      </c>
      <c r="U682" s="4" t="s">
        <v>532</v>
      </c>
      <c r="V682" s="4">
        <v>5</v>
      </c>
      <c r="W682" s="4" t="s">
        <v>6525</v>
      </c>
    </row>
    <row r="683" spans="1:23" ht="29">
      <c r="A683" s="4" t="s">
        <v>6332</v>
      </c>
      <c r="B683" s="4" t="s">
        <v>6611</v>
      </c>
      <c r="C683" s="4" t="s">
        <v>23</v>
      </c>
      <c r="D683" s="4" t="s">
        <v>26</v>
      </c>
      <c r="E683" s="4" t="s">
        <v>395</v>
      </c>
      <c r="F683" s="4" t="s">
        <v>73</v>
      </c>
      <c r="G683" s="4"/>
      <c r="H683" s="4" t="s">
        <v>2668</v>
      </c>
      <c r="I683" s="4" t="s">
        <v>2685</v>
      </c>
      <c r="J683" s="4" t="s">
        <v>532</v>
      </c>
      <c r="K683" s="4" t="s">
        <v>2272</v>
      </c>
      <c r="L683" s="4" t="s">
        <v>2272</v>
      </c>
      <c r="M683" s="4" t="s">
        <v>2272</v>
      </c>
      <c r="N683" s="4" t="s">
        <v>2272</v>
      </c>
      <c r="O683" s="4" t="s">
        <v>2272</v>
      </c>
      <c r="P683" s="4" t="s">
        <v>2272</v>
      </c>
      <c r="Q683" s="4" t="s">
        <v>2272</v>
      </c>
      <c r="R683" s="4" t="s">
        <v>532</v>
      </c>
      <c r="S683" s="4" t="s">
        <v>2272</v>
      </c>
      <c r="T683" s="4" t="s">
        <v>2272</v>
      </c>
      <c r="U683" s="4" t="s">
        <v>532</v>
      </c>
      <c r="V683" s="4">
        <v>5</v>
      </c>
      <c r="W683" s="4" t="s">
        <v>6525</v>
      </c>
    </row>
    <row r="684" spans="1:23" ht="29">
      <c r="A684" s="4" t="s">
        <v>6332</v>
      </c>
      <c r="B684" s="4" t="s">
        <v>6612</v>
      </c>
      <c r="C684" s="4" t="s">
        <v>23</v>
      </c>
      <c r="D684" s="4" t="s">
        <v>2654</v>
      </c>
      <c r="E684" s="4" t="s">
        <v>395</v>
      </c>
      <c r="F684" s="4" t="s">
        <v>27</v>
      </c>
      <c r="G684" s="4"/>
      <c r="H684" s="4" t="s">
        <v>2668</v>
      </c>
      <c r="I684" s="4" t="s">
        <v>2685</v>
      </c>
      <c r="J684" s="4" t="s">
        <v>532</v>
      </c>
      <c r="K684" s="4" t="s">
        <v>2272</v>
      </c>
      <c r="L684" s="4" t="s">
        <v>2272</v>
      </c>
      <c r="M684" s="4" t="s">
        <v>2272</v>
      </c>
      <c r="N684" s="4" t="s">
        <v>2272</v>
      </c>
      <c r="O684" s="4" t="s">
        <v>2272</v>
      </c>
      <c r="P684" s="4" t="s">
        <v>2272</v>
      </c>
      <c r="Q684" s="4" t="s">
        <v>2272</v>
      </c>
      <c r="R684" s="4" t="s">
        <v>532</v>
      </c>
      <c r="S684" s="4" t="s">
        <v>2272</v>
      </c>
      <c r="T684" s="4" t="s">
        <v>2272</v>
      </c>
      <c r="U684" s="4" t="s">
        <v>532</v>
      </c>
      <c r="V684" s="4">
        <v>5</v>
      </c>
      <c r="W684" s="4" t="s">
        <v>6525</v>
      </c>
    </row>
    <row r="685" spans="1:23" ht="58">
      <c r="A685" s="4" t="s">
        <v>6333</v>
      </c>
      <c r="B685" s="4" t="s">
        <v>6493</v>
      </c>
      <c r="C685" s="4" t="s">
        <v>23</v>
      </c>
      <c r="D685" s="4" t="s">
        <v>2654</v>
      </c>
      <c r="E685" s="4" t="s">
        <v>394</v>
      </c>
      <c r="F685" s="4" t="s">
        <v>27</v>
      </c>
      <c r="G685" s="4"/>
      <c r="H685" s="4" t="s">
        <v>2668</v>
      </c>
      <c r="I685" s="4" t="s">
        <v>2685</v>
      </c>
      <c r="J685" s="4" t="s">
        <v>2272</v>
      </c>
      <c r="K685" s="4" t="s">
        <v>2272</v>
      </c>
      <c r="L685" s="4" t="s">
        <v>532</v>
      </c>
      <c r="M685" s="4" t="s">
        <v>2272</v>
      </c>
      <c r="N685" s="4" t="s">
        <v>2272</v>
      </c>
      <c r="O685" s="4" t="s">
        <v>2272</v>
      </c>
      <c r="P685" s="4" t="s">
        <v>2272</v>
      </c>
      <c r="Q685" s="4" t="s">
        <v>2272</v>
      </c>
      <c r="R685" s="4" t="s">
        <v>532</v>
      </c>
      <c r="S685" s="4" t="s">
        <v>2272</v>
      </c>
      <c r="T685" s="4" t="s">
        <v>2272</v>
      </c>
      <c r="U685" s="4" t="s">
        <v>532</v>
      </c>
      <c r="V685" s="4">
        <v>1</v>
      </c>
      <c r="W685" s="4" t="s">
        <v>8384</v>
      </c>
    </row>
    <row r="686" spans="1:23" ht="87">
      <c r="A686" s="4" t="s">
        <v>6333</v>
      </c>
      <c r="B686" s="4" t="s">
        <v>6494</v>
      </c>
      <c r="C686" s="4" t="s">
        <v>23</v>
      </c>
      <c r="D686" s="4" t="s">
        <v>2654</v>
      </c>
      <c r="E686" s="4" t="s">
        <v>394</v>
      </c>
      <c r="F686" s="4" t="s">
        <v>27</v>
      </c>
      <c r="G686" s="4"/>
      <c r="H686" s="4" t="s">
        <v>2668</v>
      </c>
      <c r="I686" s="4" t="s">
        <v>2685</v>
      </c>
      <c r="J686" s="4" t="s">
        <v>2272</v>
      </c>
      <c r="K686" s="4" t="s">
        <v>2272</v>
      </c>
      <c r="L686" s="4" t="s">
        <v>532</v>
      </c>
      <c r="M686" s="4" t="s">
        <v>2272</v>
      </c>
      <c r="N686" s="4" t="s">
        <v>2272</v>
      </c>
      <c r="O686" s="4" t="s">
        <v>2272</v>
      </c>
      <c r="P686" s="4" t="s">
        <v>2272</v>
      </c>
      <c r="Q686" s="4" t="s">
        <v>2272</v>
      </c>
      <c r="R686" s="4" t="s">
        <v>532</v>
      </c>
      <c r="S686" s="4" t="s">
        <v>2272</v>
      </c>
      <c r="T686" s="4" t="s">
        <v>2272</v>
      </c>
      <c r="U686" s="4" t="s">
        <v>532</v>
      </c>
      <c r="V686" s="4">
        <v>4</v>
      </c>
      <c r="W686" s="4" t="s">
        <v>8385</v>
      </c>
    </row>
    <row r="687" spans="1:23" ht="72.5">
      <c r="A687" s="4" t="s">
        <v>6333</v>
      </c>
      <c r="B687" s="4" t="s">
        <v>6495</v>
      </c>
      <c r="C687" s="4" t="s">
        <v>23</v>
      </c>
      <c r="D687" s="4" t="s">
        <v>2654</v>
      </c>
      <c r="E687" s="4" t="s">
        <v>394</v>
      </c>
      <c r="F687" s="4" t="s">
        <v>27</v>
      </c>
      <c r="G687" s="4"/>
      <c r="H687" s="4" t="s">
        <v>2668</v>
      </c>
      <c r="I687" s="4" t="s">
        <v>2685</v>
      </c>
      <c r="J687" s="4" t="s">
        <v>2272</v>
      </c>
      <c r="K687" s="4" t="s">
        <v>2272</v>
      </c>
      <c r="L687" s="4" t="s">
        <v>532</v>
      </c>
      <c r="M687" s="4" t="s">
        <v>2272</v>
      </c>
      <c r="N687" s="4" t="s">
        <v>2272</v>
      </c>
      <c r="O687" s="4" t="s">
        <v>2272</v>
      </c>
      <c r="P687" s="4" t="s">
        <v>2272</v>
      </c>
      <c r="Q687" s="4" t="s">
        <v>2272</v>
      </c>
      <c r="R687" s="4" t="s">
        <v>532</v>
      </c>
      <c r="S687" s="4" t="s">
        <v>2272</v>
      </c>
      <c r="T687" s="4" t="s">
        <v>2272</v>
      </c>
      <c r="U687" s="4" t="s">
        <v>532</v>
      </c>
      <c r="V687" s="4">
        <v>4</v>
      </c>
      <c r="W687" s="4" t="s">
        <v>8386</v>
      </c>
    </row>
    <row r="688" spans="1:23" ht="58">
      <c r="A688" s="4" t="s">
        <v>6496</v>
      </c>
      <c r="B688" s="4" t="s">
        <v>6497</v>
      </c>
      <c r="C688" s="4" t="s">
        <v>23</v>
      </c>
      <c r="D688" s="4" t="s">
        <v>2654</v>
      </c>
      <c r="E688" s="4" t="s">
        <v>394</v>
      </c>
      <c r="F688" s="4" t="s">
        <v>27</v>
      </c>
      <c r="G688" s="4"/>
      <c r="H688" s="4" t="s">
        <v>2668</v>
      </c>
      <c r="I688" s="4" t="s">
        <v>2685</v>
      </c>
      <c r="J688" s="4" t="s">
        <v>2272</v>
      </c>
      <c r="K688" s="4" t="s">
        <v>2272</v>
      </c>
      <c r="L688" s="4" t="s">
        <v>532</v>
      </c>
      <c r="M688" s="4" t="s">
        <v>2272</v>
      </c>
      <c r="N688" s="4" t="s">
        <v>2272</v>
      </c>
      <c r="O688" s="4" t="s">
        <v>2272</v>
      </c>
      <c r="P688" s="4" t="s">
        <v>2272</v>
      </c>
      <c r="Q688" s="4" t="s">
        <v>2272</v>
      </c>
      <c r="R688" s="4" t="s">
        <v>532</v>
      </c>
      <c r="S688" s="4" t="s">
        <v>2272</v>
      </c>
      <c r="T688" s="4" t="s">
        <v>2272</v>
      </c>
      <c r="U688" s="4" t="s">
        <v>532</v>
      </c>
      <c r="V688" s="4">
        <v>1</v>
      </c>
      <c r="W688" s="4" t="s">
        <v>8384</v>
      </c>
    </row>
    <row r="689" spans="1:23" ht="87">
      <c r="A689" s="4" t="s">
        <v>6496</v>
      </c>
      <c r="B689" s="4" t="s">
        <v>6498</v>
      </c>
      <c r="C689" s="4" t="s">
        <v>23</v>
      </c>
      <c r="D689" s="4" t="s">
        <v>2654</v>
      </c>
      <c r="E689" s="4" t="s">
        <v>394</v>
      </c>
      <c r="F689" s="4" t="s">
        <v>27</v>
      </c>
      <c r="G689" s="4"/>
      <c r="H689" s="4" t="s">
        <v>2668</v>
      </c>
      <c r="I689" s="4" t="s">
        <v>2685</v>
      </c>
      <c r="J689" s="4" t="s">
        <v>2272</v>
      </c>
      <c r="K689" s="4" t="s">
        <v>2272</v>
      </c>
      <c r="L689" s="4" t="s">
        <v>532</v>
      </c>
      <c r="M689" s="4" t="s">
        <v>2272</v>
      </c>
      <c r="N689" s="4" t="s">
        <v>2272</v>
      </c>
      <c r="O689" s="4" t="s">
        <v>2272</v>
      </c>
      <c r="P689" s="4" t="s">
        <v>2272</v>
      </c>
      <c r="Q689" s="4" t="s">
        <v>2272</v>
      </c>
      <c r="R689" s="4" t="s">
        <v>532</v>
      </c>
      <c r="S689" s="4" t="s">
        <v>2272</v>
      </c>
      <c r="T689" s="4" t="s">
        <v>2272</v>
      </c>
      <c r="U689" s="4" t="s">
        <v>532</v>
      </c>
      <c r="V689" s="4">
        <v>4</v>
      </c>
      <c r="W689" s="4" t="s">
        <v>8385</v>
      </c>
    </row>
    <row r="690" spans="1:23" ht="72.5">
      <c r="A690" s="4" t="s">
        <v>6496</v>
      </c>
      <c r="B690" s="4" t="s">
        <v>6499</v>
      </c>
      <c r="C690" s="4" t="s">
        <v>23</v>
      </c>
      <c r="D690" s="4" t="s">
        <v>2654</v>
      </c>
      <c r="E690" s="4" t="s">
        <v>394</v>
      </c>
      <c r="F690" s="4" t="s">
        <v>27</v>
      </c>
      <c r="G690" s="4"/>
      <c r="H690" s="4" t="s">
        <v>2668</v>
      </c>
      <c r="I690" s="4" t="s">
        <v>2685</v>
      </c>
      <c r="J690" s="4" t="s">
        <v>2272</v>
      </c>
      <c r="K690" s="4" t="s">
        <v>2272</v>
      </c>
      <c r="L690" s="4" t="s">
        <v>532</v>
      </c>
      <c r="M690" s="4" t="s">
        <v>2272</v>
      </c>
      <c r="N690" s="4" t="s">
        <v>2272</v>
      </c>
      <c r="O690" s="4" t="s">
        <v>2272</v>
      </c>
      <c r="P690" s="4" t="s">
        <v>2272</v>
      </c>
      <c r="Q690" s="4" t="s">
        <v>2272</v>
      </c>
      <c r="R690" s="4" t="s">
        <v>532</v>
      </c>
      <c r="S690" s="4" t="s">
        <v>2272</v>
      </c>
      <c r="T690" s="4" t="s">
        <v>2272</v>
      </c>
      <c r="U690" s="4" t="s">
        <v>532</v>
      </c>
      <c r="V690" s="4">
        <v>4</v>
      </c>
      <c r="W690" s="4" t="s">
        <v>8386</v>
      </c>
    </row>
    <row r="691" spans="1:23" ht="58">
      <c r="A691" s="4" t="s">
        <v>6334</v>
      </c>
      <c r="B691" s="4" t="s">
        <v>6500</v>
      </c>
      <c r="C691" s="4" t="s">
        <v>23</v>
      </c>
      <c r="D691" s="4" t="s">
        <v>2654</v>
      </c>
      <c r="E691" s="4" t="s">
        <v>394</v>
      </c>
      <c r="F691" s="4" t="s">
        <v>27</v>
      </c>
      <c r="G691" s="4"/>
      <c r="H691" s="4" t="s">
        <v>2668</v>
      </c>
      <c r="I691" s="4" t="s">
        <v>2685</v>
      </c>
      <c r="J691" s="4" t="s">
        <v>2272</v>
      </c>
      <c r="K691" s="4" t="s">
        <v>2272</v>
      </c>
      <c r="L691" s="4" t="s">
        <v>532</v>
      </c>
      <c r="M691" s="4" t="s">
        <v>2272</v>
      </c>
      <c r="N691" s="4" t="s">
        <v>2272</v>
      </c>
      <c r="O691" s="4" t="s">
        <v>2272</v>
      </c>
      <c r="P691" s="4" t="s">
        <v>2272</v>
      </c>
      <c r="Q691" s="4" t="s">
        <v>2272</v>
      </c>
      <c r="R691" s="4" t="s">
        <v>532</v>
      </c>
      <c r="S691" s="4" t="s">
        <v>2272</v>
      </c>
      <c r="T691" s="4" t="s">
        <v>2272</v>
      </c>
      <c r="U691" s="4" t="s">
        <v>532</v>
      </c>
      <c r="V691" s="4">
        <v>1</v>
      </c>
      <c r="W691" s="4" t="s">
        <v>8384</v>
      </c>
    </row>
    <row r="692" spans="1:23" ht="87">
      <c r="A692" s="4" t="s">
        <v>6334</v>
      </c>
      <c r="B692" s="4" t="s">
        <v>6501</v>
      </c>
      <c r="C692" s="4" t="s">
        <v>23</v>
      </c>
      <c r="D692" s="4" t="s">
        <v>2654</v>
      </c>
      <c r="E692" s="4" t="s">
        <v>394</v>
      </c>
      <c r="F692" s="4" t="s">
        <v>27</v>
      </c>
      <c r="G692" s="4"/>
      <c r="H692" s="4" t="s">
        <v>2668</v>
      </c>
      <c r="I692" s="4" t="s">
        <v>2685</v>
      </c>
      <c r="J692" s="4" t="s">
        <v>2272</v>
      </c>
      <c r="K692" s="4" t="s">
        <v>2272</v>
      </c>
      <c r="L692" s="4" t="s">
        <v>532</v>
      </c>
      <c r="M692" s="4" t="s">
        <v>2272</v>
      </c>
      <c r="N692" s="4" t="s">
        <v>2272</v>
      </c>
      <c r="O692" s="4" t="s">
        <v>2272</v>
      </c>
      <c r="P692" s="4" t="s">
        <v>2272</v>
      </c>
      <c r="Q692" s="4" t="s">
        <v>2272</v>
      </c>
      <c r="R692" s="4" t="s">
        <v>532</v>
      </c>
      <c r="S692" s="4" t="s">
        <v>2272</v>
      </c>
      <c r="T692" s="4" t="s">
        <v>2272</v>
      </c>
      <c r="U692" s="4" t="s">
        <v>532</v>
      </c>
      <c r="V692" s="4">
        <v>4</v>
      </c>
      <c r="W692" s="4" t="s">
        <v>8385</v>
      </c>
    </row>
    <row r="693" spans="1:23" ht="72.5">
      <c r="A693" s="4" t="s">
        <v>6334</v>
      </c>
      <c r="B693" s="4" t="s">
        <v>6502</v>
      </c>
      <c r="C693" s="4" t="s">
        <v>23</v>
      </c>
      <c r="D693" s="4" t="s">
        <v>2654</v>
      </c>
      <c r="E693" s="4" t="s">
        <v>394</v>
      </c>
      <c r="F693" s="4" t="s">
        <v>27</v>
      </c>
      <c r="G693" s="4"/>
      <c r="H693" s="4" t="s">
        <v>2668</v>
      </c>
      <c r="I693" s="4" t="s">
        <v>2685</v>
      </c>
      <c r="J693" s="4" t="s">
        <v>2272</v>
      </c>
      <c r="K693" s="4" t="s">
        <v>2272</v>
      </c>
      <c r="L693" s="4" t="s">
        <v>532</v>
      </c>
      <c r="M693" s="4" t="s">
        <v>2272</v>
      </c>
      <c r="N693" s="4" t="s">
        <v>2272</v>
      </c>
      <c r="O693" s="4" t="s">
        <v>2272</v>
      </c>
      <c r="P693" s="4" t="s">
        <v>2272</v>
      </c>
      <c r="Q693" s="4" t="s">
        <v>2272</v>
      </c>
      <c r="R693" s="4" t="s">
        <v>532</v>
      </c>
      <c r="S693" s="4" t="s">
        <v>2272</v>
      </c>
      <c r="T693" s="4" t="s">
        <v>2272</v>
      </c>
      <c r="U693" s="4" t="s">
        <v>532</v>
      </c>
      <c r="V693" s="4">
        <v>4</v>
      </c>
      <c r="W693" s="4" t="s">
        <v>8386</v>
      </c>
    </row>
    <row r="694" spans="1:23" ht="58">
      <c r="A694" s="4" t="s">
        <v>6613</v>
      </c>
      <c r="B694" s="4" t="s">
        <v>6614</v>
      </c>
      <c r="C694" s="4" t="s">
        <v>23</v>
      </c>
      <c r="D694" s="4" t="s">
        <v>2654</v>
      </c>
      <c r="E694" s="4" t="s">
        <v>394</v>
      </c>
      <c r="F694" s="4" t="s">
        <v>27</v>
      </c>
      <c r="G694" s="4"/>
      <c r="H694" s="4" t="s">
        <v>2668</v>
      </c>
      <c r="I694" s="4" t="s">
        <v>2685</v>
      </c>
      <c r="J694" s="4" t="s">
        <v>2272</v>
      </c>
      <c r="K694" s="4" t="s">
        <v>2272</v>
      </c>
      <c r="L694" s="4" t="s">
        <v>532</v>
      </c>
      <c r="M694" s="4" t="s">
        <v>2272</v>
      </c>
      <c r="N694" s="4" t="s">
        <v>2272</v>
      </c>
      <c r="O694" s="4" t="s">
        <v>2272</v>
      </c>
      <c r="P694" s="4" t="s">
        <v>2272</v>
      </c>
      <c r="Q694" s="4" t="s">
        <v>2272</v>
      </c>
      <c r="R694" s="4" t="s">
        <v>532</v>
      </c>
      <c r="S694" s="4" t="s">
        <v>2272</v>
      </c>
      <c r="T694" s="4" t="s">
        <v>2272</v>
      </c>
      <c r="U694" s="4" t="s">
        <v>532</v>
      </c>
      <c r="V694" s="4">
        <v>1</v>
      </c>
      <c r="W694" s="4" t="s">
        <v>8384</v>
      </c>
    </row>
    <row r="695" spans="1:23" ht="87">
      <c r="A695" s="4" t="s">
        <v>6613</v>
      </c>
      <c r="B695" s="4" t="s">
        <v>6615</v>
      </c>
      <c r="C695" s="4" t="s">
        <v>23</v>
      </c>
      <c r="D695" s="4" t="s">
        <v>2654</v>
      </c>
      <c r="E695" s="4" t="s">
        <v>394</v>
      </c>
      <c r="F695" s="4" t="s">
        <v>27</v>
      </c>
      <c r="G695" s="4"/>
      <c r="H695" s="4" t="s">
        <v>2668</v>
      </c>
      <c r="I695" s="4" t="s">
        <v>2685</v>
      </c>
      <c r="J695" s="4" t="s">
        <v>2272</v>
      </c>
      <c r="K695" s="4" t="s">
        <v>2272</v>
      </c>
      <c r="L695" s="4" t="s">
        <v>532</v>
      </c>
      <c r="M695" s="4" t="s">
        <v>2272</v>
      </c>
      <c r="N695" s="4" t="s">
        <v>2272</v>
      </c>
      <c r="O695" s="4" t="s">
        <v>2272</v>
      </c>
      <c r="P695" s="4" t="s">
        <v>2272</v>
      </c>
      <c r="Q695" s="4" t="s">
        <v>2272</v>
      </c>
      <c r="R695" s="4" t="s">
        <v>532</v>
      </c>
      <c r="S695" s="4" t="s">
        <v>2272</v>
      </c>
      <c r="T695" s="4" t="s">
        <v>2272</v>
      </c>
      <c r="U695" s="4" t="s">
        <v>532</v>
      </c>
      <c r="V695" s="4">
        <v>4</v>
      </c>
      <c r="W695" s="4" t="s">
        <v>8385</v>
      </c>
    </row>
    <row r="696" spans="1:23" ht="72.5">
      <c r="A696" s="4" t="s">
        <v>6613</v>
      </c>
      <c r="B696" s="4" t="s">
        <v>6616</v>
      </c>
      <c r="C696" s="4" t="s">
        <v>23</v>
      </c>
      <c r="D696" s="4" t="s">
        <v>2654</v>
      </c>
      <c r="E696" s="4" t="s">
        <v>394</v>
      </c>
      <c r="F696" s="4" t="s">
        <v>27</v>
      </c>
      <c r="G696" s="4"/>
      <c r="H696" s="4" t="s">
        <v>2668</v>
      </c>
      <c r="I696" s="4" t="s">
        <v>2685</v>
      </c>
      <c r="J696" s="4" t="s">
        <v>2272</v>
      </c>
      <c r="K696" s="4" t="s">
        <v>2272</v>
      </c>
      <c r="L696" s="4" t="s">
        <v>532</v>
      </c>
      <c r="M696" s="4" t="s">
        <v>2272</v>
      </c>
      <c r="N696" s="4" t="s">
        <v>2272</v>
      </c>
      <c r="O696" s="4" t="s">
        <v>2272</v>
      </c>
      <c r="P696" s="4" t="s">
        <v>2272</v>
      </c>
      <c r="Q696" s="4" t="s">
        <v>2272</v>
      </c>
      <c r="R696" s="4" t="s">
        <v>532</v>
      </c>
      <c r="S696" s="4" t="s">
        <v>2272</v>
      </c>
      <c r="T696" s="4" t="s">
        <v>2272</v>
      </c>
      <c r="U696" s="4" t="s">
        <v>532</v>
      </c>
      <c r="V696" s="4">
        <v>4</v>
      </c>
      <c r="W696" s="4" t="s">
        <v>8386</v>
      </c>
    </row>
    <row r="697" spans="1:23" ht="58">
      <c r="A697" s="4" t="s">
        <v>6336</v>
      </c>
      <c r="B697" s="4" t="s">
        <v>6506</v>
      </c>
      <c r="C697" s="4" t="s">
        <v>23</v>
      </c>
      <c r="D697" s="4" t="s">
        <v>2654</v>
      </c>
      <c r="E697" s="4" t="s">
        <v>394</v>
      </c>
      <c r="F697" s="4" t="s">
        <v>27</v>
      </c>
      <c r="G697" s="4"/>
      <c r="H697" s="4" t="s">
        <v>2668</v>
      </c>
      <c r="I697" s="4" t="s">
        <v>2685</v>
      </c>
      <c r="J697" s="4" t="s">
        <v>2272</v>
      </c>
      <c r="K697" s="4" t="s">
        <v>2272</v>
      </c>
      <c r="L697" s="4" t="s">
        <v>532</v>
      </c>
      <c r="M697" s="4" t="s">
        <v>2272</v>
      </c>
      <c r="N697" s="4" t="s">
        <v>2272</v>
      </c>
      <c r="O697" s="4" t="s">
        <v>2272</v>
      </c>
      <c r="P697" s="4" t="s">
        <v>2272</v>
      </c>
      <c r="Q697" s="4" t="s">
        <v>2272</v>
      </c>
      <c r="R697" s="4" t="s">
        <v>532</v>
      </c>
      <c r="S697" s="4" t="s">
        <v>2272</v>
      </c>
      <c r="T697" s="4" t="s">
        <v>2272</v>
      </c>
      <c r="U697" s="4" t="s">
        <v>532</v>
      </c>
      <c r="V697" s="4">
        <v>1</v>
      </c>
      <c r="W697" s="4" t="s">
        <v>8384</v>
      </c>
    </row>
    <row r="698" spans="1:23" ht="87">
      <c r="A698" s="4" t="s">
        <v>6336</v>
      </c>
      <c r="B698" s="4" t="s">
        <v>6507</v>
      </c>
      <c r="C698" s="4" t="s">
        <v>23</v>
      </c>
      <c r="D698" s="4" t="s">
        <v>2654</v>
      </c>
      <c r="E698" s="4" t="s">
        <v>394</v>
      </c>
      <c r="F698" s="4" t="s">
        <v>27</v>
      </c>
      <c r="G698" s="4"/>
      <c r="H698" s="4" t="s">
        <v>2668</v>
      </c>
      <c r="I698" s="4" t="s">
        <v>2685</v>
      </c>
      <c r="J698" s="4" t="s">
        <v>2272</v>
      </c>
      <c r="K698" s="4" t="s">
        <v>2272</v>
      </c>
      <c r="L698" s="4" t="s">
        <v>532</v>
      </c>
      <c r="M698" s="4" t="s">
        <v>2272</v>
      </c>
      <c r="N698" s="4" t="s">
        <v>2272</v>
      </c>
      <c r="O698" s="4" t="s">
        <v>2272</v>
      </c>
      <c r="P698" s="4" t="s">
        <v>2272</v>
      </c>
      <c r="Q698" s="4" t="s">
        <v>2272</v>
      </c>
      <c r="R698" s="4" t="s">
        <v>532</v>
      </c>
      <c r="S698" s="4" t="s">
        <v>2272</v>
      </c>
      <c r="T698" s="4" t="s">
        <v>2272</v>
      </c>
      <c r="U698" s="4" t="s">
        <v>532</v>
      </c>
      <c r="V698" s="4">
        <v>4</v>
      </c>
      <c r="W698" s="4" t="s">
        <v>8385</v>
      </c>
    </row>
    <row r="699" spans="1:23" ht="72.5">
      <c r="A699" s="4" t="s">
        <v>6336</v>
      </c>
      <c r="B699" s="4" t="s">
        <v>6508</v>
      </c>
      <c r="C699" s="4" t="s">
        <v>23</v>
      </c>
      <c r="D699" s="4" t="s">
        <v>2654</v>
      </c>
      <c r="E699" s="4" t="s">
        <v>394</v>
      </c>
      <c r="F699" s="4" t="s">
        <v>27</v>
      </c>
      <c r="G699" s="4"/>
      <c r="H699" s="4" t="s">
        <v>2668</v>
      </c>
      <c r="I699" s="4" t="s">
        <v>2685</v>
      </c>
      <c r="J699" s="4" t="s">
        <v>2272</v>
      </c>
      <c r="K699" s="4" t="s">
        <v>2272</v>
      </c>
      <c r="L699" s="4" t="s">
        <v>532</v>
      </c>
      <c r="M699" s="4" t="s">
        <v>2272</v>
      </c>
      <c r="N699" s="4" t="s">
        <v>2272</v>
      </c>
      <c r="O699" s="4" t="s">
        <v>2272</v>
      </c>
      <c r="P699" s="4" t="s">
        <v>2272</v>
      </c>
      <c r="Q699" s="4" t="s">
        <v>2272</v>
      </c>
      <c r="R699" s="4" t="s">
        <v>532</v>
      </c>
      <c r="S699" s="4" t="s">
        <v>2272</v>
      </c>
      <c r="T699" s="4" t="s">
        <v>2272</v>
      </c>
      <c r="U699" s="4" t="s">
        <v>532</v>
      </c>
      <c r="V699" s="4">
        <v>4</v>
      </c>
      <c r="W699" s="4" t="s">
        <v>8386</v>
      </c>
    </row>
    <row r="700" spans="1:23" ht="58">
      <c r="A700" s="4" t="s">
        <v>6337</v>
      </c>
      <c r="B700" s="4" t="s">
        <v>6509</v>
      </c>
      <c r="C700" s="4" t="s">
        <v>23</v>
      </c>
      <c r="D700" s="4" t="s">
        <v>2654</v>
      </c>
      <c r="E700" s="4" t="s">
        <v>394</v>
      </c>
      <c r="F700" s="4" t="s">
        <v>27</v>
      </c>
      <c r="G700" s="4"/>
      <c r="H700" s="4" t="s">
        <v>2668</v>
      </c>
      <c r="I700" s="4" t="s">
        <v>2685</v>
      </c>
      <c r="J700" s="4" t="s">
        <v>2272</v>
      </c>
      <c r="K700" s="4" t="s">
        <v>2272</v>
      </c>
      <c r="L700" s="4" t="s">
        <v>532</v>
      </c>
      <c r="M700" s="4" t="s">
        <v>2272</v>
      </c>
      <c r="N700" s="4" t="s">
        <v>2272</v>
      </c>
      <c r="O700" s="4" t="s">
        <v>2272</v>
      </c>
      <c r="P700" s="4" t="s">
        <v>2272</v>
      </c>
      <c r="Q700" s="4" t="s">
        <v>2272</v>
      </c>
      <c r="R700" s="4" t="s">
        <v>532</v>
      </c>
      <c r="S700" s="4" t="s">
        <v>2272</v>
      </c>
      <c r="T700" s="4" t="s">
        <v>2272</v>
      </c>
      <c r="U700" s="4" t="s">
        <v>532</v>
      </c>
      <c r="V700" s="4">
        <v>1</v>
      </c>
      <c r="W700" s="4" t="s">
        <v>8384</v>
      </c>
    </row>
    <row r="701" spans="1:23" ht="87">
      <c r="A701" s="4" t="s">
        <v>6337</v>
      </c>
      <c r="B701" s="4" t="s">
        <v>6510</v>
      </c>
      <c r="C701" s="4" t="s">
        <v>23</v>
      </c>
      <c r="D701" s="4" t="s">
        <v>2654</v>
      </c>
      <c r="E701" s="4" t="s">
        <v>394</v>
      </c>
      <c r="F701" s="4" t="s">
        <v>27</v>
      </c>
      <c r="G701" s="4"/>
      <c r="H701" s="4" t="s">
        <v>2668</v>
      </c>
      <c r="I701" s="4" t="s">
        <v>2685</v>
      </c>
      <c r="J701" s="4" t="s">
        <v>2272</v>
      </c>
      <c r="K701" s="4" t="s">
        <v>2272</v>
      </c>
      <c r="L701" s="4" t="s">
        <v>532</v>
      </c>
      <c r="M701" s="4" t="s">
        <v>2272</v>
      </c>
      <c r="N701" s="4" t="s">
        <v>2272</v>
      </c>
      <c r="O701" s="4" t="s">
        <v>2272</v>
      </c>
      <c r="P701" s="4" t="s">
        <v>2272</v>
      </c>
      <c r="Q701" s="4" t="s">
        <v>2272</v>
      </c>
      <c r="R701" s="4" t="s">
        <v>532</v>
      </c>
      <c r="S701" s="4" t="s">
        <v>2272</v>
      </c>
      <c r="T701" s="4" t="s">
        <v>2272</v>
      </c>
      <c r="U701" s="4" t="s">
        <v>532</v>
      </c>
      <c r="V701" s="4">
        <v>4</v>
      </c>
      <c r="W701" s="4" t="s">
        <v>8385</v>
      </c>
    </row>
    <row r="702" spans="1:23" ht="72.5">
      <c r="A702" s="4" t="s">
        <v>6337</v>
      </c>
      <c r="B702" s="4" t="s">
        <v>6511</v>
      </c>
      <c r="C702" s="4" t="s">
        <v>23</v>
      </c>
      <c r="D702" s="4" t="s">
        <v>2654</v>
      </c>
      <c r="E702" s="4" t="s">
        <v>394</v>
      </c>
      <c r="F702" s="4" t="s">
        <v>27</v>
      </c>
      <c r="G702" s="4"/>
      <c r="H702" s="4" t="s">
        <v>2668</v>
      </c>
      <c r="I702" s="4" t="s">
        <v>2685</v>
      </c>
      <c r="J702" s="4" t="s">
        <v>2272</v>
      </c>
      <c r="K702" s="4" t="s">
        <v>2272</v>
      </c>
      <c r="L702" s="4" t="s">
        <v>532</v>
      </c>
      <c r="M702" s="4" t="s">
        <v>2272</v>
      </c>
      <c r="N702" s="4" t="s">
        <v>2272</v>
      </c>
      <c r="O702" s="4" t="s">
        <v>2272</v>
      </c>
      <c r="P702" s="4" t="s">
        <v>2272</v>
      </c>
      <c r="Q702" s="4" t="s">
        <v>2272</v>
      </c>
      <c r="R702" s="4" t="s">
        <v>532</v>
      </c>
      <c r="S702" s="4" t="s">
        <v>2272</v>
      </c>
      <c r="T702" s="4" t="s">
        <v>2272</v>
      </c>
      <c r="U702" s="4" t="s">
        <v>532</v>
      </c>
      <c r="V702" s="4">
        <v>4</v>
      </c>
      <c r="W702" s="4" t="s">
        <v>8386</v>
      </c>
    </row>
    <row r="703" spans="1:23" s="197" customFormat="1" ht="45.5" customHeight="1">
      <c r="A703" s="198" t="s">
        <v>5433</v>
      </c>
      <c r="B703" s="4" t="s">
        <v>6521</v>
      </c>
      <c r="C703" s="198" t="s">
        <v>23</v>
      </c>
      <c r="D703" s="198" t="s">
        <v>26</v>
      </c>
      <c r="E703" s="4" t="s">
        <v>128</v>
      </c>
      <c r="F703" s="198" t="s">
        <v>158</v>
      </c>
      <c r="G703" s="4"/>
      <c r="H703" s="4" t="s">
        <v>2668</v>
      </c>
      <c r="I703" s="4" t="s">
        <v>2272</v>
      </c>
      <c r="J703" s="4" t="s">
        <v>2272</v>
      </c>
      <c r="K703" s="4" t="s">
        <v>2272</v>
      </c>
      <c r="L703" s="4" t="s">
        <v>2272</v>
      </c>
      <c r="M703" s="198" t="s">
        <v>2665</v>
      </c>
      <c r="N703" s="4" t="s">
        <v>2272</v>
      </c>
      <c r="O703" s="4" t="s">
        <v>2272</v>
      </c>
      <c r="P703" s="4" t="s">
        <v>2272</v>
      </c>
      <c r="Q703" s="4">
        <v>4</v>
      </c>
      <c r="R703" s="4" t="s">
        <v>2272</v>
      </c>
      <c r="S703" s="4" t="s">
        <v>2272</v>
      </c>
      <c r="T703" s="4" t="s">
        <v>2272</v>
      </c>
      <c r="U703" s="4" t="s">
        <v>2272</v>
      </c>
      <c r="V703" s="4" t="s">
        <v>2272</v>
      </c>
      <c r="W703" s="4" t="s">
        <v>11342</v>
      </c>
    </row>
    <row r="704" spans="1:23" s="197" customFormat="1" ht="45.5" customHeight="1">
      <c r="A704" s="198" t="s">
        <v>11283</v>
      </c>
      <c r="B704" s="4" t="s">
        <v>11298</v>
      </c>
      <c r="C704" s="198" t="s">
        <v>23</v>
      </c>
      <c r="D704" s="198" t="s">
        <v>26</v>
      </c>
      <c r="E704" s="4" t="s">
        <v>128</v>
      </c>
      <c r="F704" s="198" t="s">
        <v>158</v>
      </c>
      <c r="G704" s="4"/>
      <c r="H704" s="4" t="s">
        <v>2668</v>
      </c>
      <c r="I704" s="4" t="s">
        <v>2272</v>
      </c>
      <c r="J704" s="4" t="s">
        <v>2272</v>
      </c>
      <c r="K704" s="4" t="s">
        <v>2272</v>
      </c>
      <c r="L704" s="4" t="s">
        <v>2272</v>
      </c>
      <c r="M704" s="198" t="s">
        <v>2665</v>
      </c>
      <c r="N704" s="4" t="s">
        <v>2272</v>
      </c>
      <c r="O704" s="4" t="s">
        <v>2272</v>
      </c>
      <c r="P704" s="4" t="s">
        <v>2272</v>
      </c>
      <c r="Q704" s="4">
        <v>4</v>
      </c>
      <c r="R704" s="4" t="s">
        <v>2272</v>
      </c>
      <c r="S704" s="4" t="s">
        <v>2272</v>
      </c>
      <c r="T704" s="4" t="s">
        <v>2272</v>
      </c>
      <c r="U704" s="4" t="s">
        <v>2272</v>
      </c>
      <c r="V704" s="4" t="s">
        <v>2272</v>
      </c>
      <c r="W704" s="4" t="s">
        <v>11342</v>
      </c>
    </row>
    <row r="705" spans="1:23" s="197" customFormat="1" ht="45.5" customHeight="1">
      <c r="A705" s="198" t="s">
        <v>11284</v>
      </c>
      <c r="B705" s="4" t="s">
        <v>11299</v>
      </c>
      <c r="C705" s="198" t="s">
        <v>23</v>
      </c>
      <c r="D705" s="198" t="s">
        <v>26</v>
      </c>
      <c r="E705" s="4" t="s">
        <v>128</v>
      </c>
      <c r="F705" s="198" t="s">
        <v>158</v>
      </c>
      <c r="G705" s="4"/>
      <c r="H705" s="4" t="s">
        <v>2668</v>
      </c>
      <c r="I705" s="4" t="s">
        <v>2272</v>
      </c>
      <c r="J705" s="4" t="s">
        <v>2272</v>
      </c>
      <c r="K705" s="4" t="s">
        <v>2272</v>
      </c>
      <c r="L705" s="4" t="s">
        <v>2272</v>
      </c>
      <c r="M705" s="198" t="s">
        <v>2665</v>
      </c>
      <c r="N705" s="4" t="s">
        <v>2272</v>
      </c>
      <c r="O705" s="4" t="s">
        <v>2272</v>
      </c>
      <c r="P705" s="4" t="s">
        <v>2272</v>
      </c>
      <c r="Q705" s="4">
        <v>4</v>
      </c>
      <c r="R705" s="4" t="s">
        <v>2272</v>
      </c>
      <c r="S705" s="4" t="s">
        <v>2272</v>
      </c>
      <c r="T705" s="4" t="s">
        <v>2272</v>
      </c>
      <c r="U705" s="4" t="s">
        <v>2272</v>
      </c>
      <c r="V705" s="4" t="s">
        <v>2272</v>
      </c>
      <c r="W705" s="4" t="s">
        <v>11342</v>
      </c>
    </row>
    <row r="706" spans="1:23" s="197" customFormat="1" ht="45.5" customHeight="1">
      <c r="A706" s="198" t="s">
        <v>11285</v>
      </c>
      <c r="B706" s="4" t="s">
        <v>11300</v>
      </c>
      <c r="C706" s="198" t="s">
        <v>23</v>
      </c>
      <c r="D706" s="198" t="s">
        <v>26</v>
      </c>
      <c r="E706" s="4" t="s">
        <v>128</v>
      </c>
      <c r="F706" s="198" t="s">
        <v>158</v>
      </c>
      <c r="G706" s="4"/>
      <c r="H706" s="4" t="s">
        <v>2668</v>
      </c>
      <c r="I706" s="4" t="s">
        <v>2272</v>
      </c>
      <c r="J706" s="4" t="s">
        <v>2272</v>
      </c>
      <c r="K706" s="4" t="s">
        <v>2272</v>
      </c>
      <c r="L706" s="4" t="s">
        <v>2272</v>
      </c>
      <c r="M706" s="198" t="s">
        <v>2665</v>
      </c>
      <c r="N706" s="4" t="s">
        <v>2272</v>
      </c>
      <c r="O706" s="4" t="s">
        <v>2272</v>
      </c>
      <c r="P706" s="4" t="s">
        <v>2272</v>
      </c>
      <c r="Q706" s="4">
        <v>4</v>
      </c>
      <c r="R706" s="4" t="s">
        <v>2272</v>
      </c>
      <c r="S706" s="4" t="s">
        <v>2272</v>
      </c>
      <c r="T706" s="4" t="s">
        <v>2272</v>
      </c>
      <c r="U706" s="4" t="s">
        <v>2272</v>
      </c>
      <c r="V706" s="4" t="s">
        <v>2272</v>
      </c>
      <c r="W706" s="4" t="s">
        <v>11342</v>
      </c>
    </row>
    <row r="707" spans="1:23" s="197" customFormat="1" ht="45.5" customHeight="1">
      <c r="A707" s="198" t="s">
        <v>11286</v>
      </c>
      <c r="B707" s="4" t="s">
        <v>11301</v>
      </c>
      <c r="C707" s="198" t="s">
        <v>23</v>
      </c>
      <c r="D707" s="198" t="s">
        <v>26</v>
      </c>
      <c r="E707" s="4" t="s">
        <v>128</v>
      </c>
      <c r="F707" s="198" t="s">
        <v>158</v>
      </c>
      <c r="G707" s="4"/>
      <c r="H707" s="4" t="s">
        <v>2668</v>
      </c>
      <c r="I707" s="4" t="s">
        <v>2272</v>
      </c>
      <c r="J707" s="4" t="s">
        <v>2272</v>
      </c>
      <c r="K707" s="4" t="s">
        <v>2272</v>
      </c>
      <c r="L707" s="4" t="s">
        <v>2272</v>
      </c>
      <c r="M707" s="198" t="s">
        <v>2665</v>
      </c>
      <c r="N707" s="4" t="s">
        <v>2272</v>
      </c>
      <c r="O707" s="4" t="s">
        <v>2272</v>
      </c>
      <c r="P707" s="4" t="s">
        <v>2272</v>
      </c>
      <c r="Q707" s="4">
        <v>4</v>
      </c>
      <c r="R707" s="4" t="s">
        <v>2272</v>
      </c>
      <c r="S707" s="4" t="s">
        <v>2272</v>
      </c>
      <c r="T707" s="4" t="s">
        <v>2272</v>
      </c>
      <c r="U707" s="4" t="s">
        <v>2272</v>
      </c>
      <c r="V707" s="4" t="s">
        <v>2272</v>
      </c>
      <c r="W707" s="4" t="s">
        <v>11342</v>
      </c>
    </row>
    <row r="708" spans="1:23" s="197" customFormat="1" ht="45.5" customHeight="1">
      <c r="A708" s="198" t="s">
        <v>11287</v>
      </c>
      <c r="B708" s="4" t="s">
        <v>11302</v>
      </c>
      <c r="C708" s="198" t="s">
        <v>23</v>
      </c>
      <c r="D708" s="198" t="s">
        <v>26</v>
      </c>
      <c r="E708" s="4" t="s">
        <v>128</v>
      </c>
      <c r="F708" s="198" t="s">
        <v>158</v>
      </c>
      <c r="G708" s="4"/>
      <c r="H708" s="4" t="s">
        <v>2668</v>
      </c>
      <c r="I708" s="4" t="s">
        <v>2272</v>
      </c>
      <c r="J708" s="4" t="s">
        <v>2272</v>
      </c>
      <c r="K708" s="4" t="s">
        <v>2272</v>
      </c>
      <c r="L708" s="4" t="s">
        <v>2272</v>
      </c>
      <c r="M708" s="198" t="s">
        <v>2665</v>
      </c>
      <c r="N708" s="4" t="s">
        <v>2272</v>
      </c>
      <c r="O708" s="4" t="s">
        <v>2272</v>
      </c>
      <c r="P708" s="4" t="s">
        <v>2272</v>
      </c>
      <c r="Q708" s="4">
        <v>4</v>
      </c>
      <c r="R708" s="4" t="s">
        <v>2272</v>
      </c>
      <c r="S708" s="4" t="s">
        <v>2272</v>
      </c>
      <c r="T708" s="4" t="s">
        <v>2272</v>
      </c>
      <c r="U708" s="4" t="s">
        <v>2272</v>
      </c>
      <c r="V708" s="4" t="s">
        <v>2272</v>
      </c>
      <c r="W708" s="4" t="s">
        <v>11342</v>
      </c>
    </row>
    <row r="709" spans="1:23" s="197" customFormat="1" ht="45.5" customHeight="1">
      <c r="A709" s="198" t="s">
        <v>5433</v>
      </c>
      <c r="B709" s="4" t="s">
        <v>11303</v>
      </c>
      <c r="C709" s="198" t="s">
        <v>23</v>
      </c>
      <c r="D709" s="198" t="s">
        <v>1241</v>
      </c>
      <c r="E709" s="4" t="s">
        <v>114</v>
      </c>
      <c r="F709" s="4" t="s">
        <v>2657</v>
      </c>
      <c r="G709" s="4"/>
      <c r="H709" s="4" t="s">
        <v>2668</v>
      </c>
      <c r="I709" s="4" t="s">
        <v>2272</v>
      </c>
      <c r="J709" s="4" t="s">
        <v>2272</v>
      </c>
      <c r="K709" s="4" t="s">
        <v>2272</v>
      </c>
      <c r="L709" s="4" t="s">
        <v>2272</v>
      </c>
      <c r="M709" s="198" t="s">
        <v>2665</v>
      </c>
      <c r="N709" s="4" t="s">
        <v>2272</v>
      </c>
      <c r="O709" s="4" t="s">
        <v>2272</v>
      </c>
      <c r="P709" s="4" t="s">
        <v>2272</v>
      </c>
      <c r="Q709" s="4">
        <v>2</v>
      </c>
      <c r="R709" s="4" t="s">
        <v>2272</v>
      </c>
      <c r="S709" s="4" t="s">
        <v>2272</v>
      </c>
      <c r="T709" s="4" t="s">
        <v>2272</v>
      </c>
      <c r="U709" s="4" t="s">
        <v>2272</v>
      </c>
      <c r="V709" s="4" t="s">
        <v>2272</v>
      </c>
      <c r="W709" s="4" t="s">
        <v>11341</v>
      </c>
    </row>
    <row r="710" spans="1:23" s="197" customFormat="1" ht="45.5" customHeight="1">
      <c r="A710" s="198" t="s">
        <v>11283</v>
      </c>
      <c r="B710" s="4" t="s">
        <v>11304</v>
      </c>
      <c r="C710" s="198" t="s">
        <v>23</v>
      </c>
      <c r="D710" s="198" t="s">
        <v>1241</v>
      </c>
      <c r="E710" s="4" t="s">
        <v>114</v>
      </c>
      <c r="F710" s="4" t="s">
        <v>2657</v>
      </c>
      <c r="G710" s="4"/>
      <c r="H710" s="4" t="s">
        <v>2668</v>
      </c>
      <c r="I710" s="4" t="s">
        <v>2272</v>
      </c>
      <c r="J710" s="4" t="s">
        <v>2272</v>
      </c>
      <c r="K710" s="4" t="s">
        <v>2272</v>
      </c>
      <c r="L710" s="4" t="s">
        <v>2272</v>
      </c>
      <c r="M710" s="198" t="s">
        <v>2665</v>
      </c>
      <c r="N710" s="4" t="s">
        <v>2272</v>
      </c>
      <c r="O710" s="4" t="s">
        <v>2272</v>
      </c>
      <c r="P710" s="4" t="s">
        <v>2272</v>
      </c>
      <c r="Q710" s="4">
        <v>2</v>
      </c>
      <c r="R710" s="4" t="s">
        <v>2272</v>
      </c>
      <c r="S710" s="4" t="s">
        <v>2272</v>
      </c>
      <c r="T710" s="4" t="s">
        <v>2272</v>
      </c>
      <c r="U710" s="4" t="s">
        <v>2272</v>
      </c>
      <c r="V710" s="4" t="s">
        <v>2272</v>
      </c>
      <c r="W710" s="4" t="s">
        <v>11341</v>
      </c>
    </row>
    <row r="711" spans="1:23" s="197" customFormat="1" ht="45.5" customHeight="1">
      <c r="A711" s="198" t="s">
        <v>11284</v>
      </c>
      <c r="B711" s="4" t="s">
        <v>11305</v>
      </c>
      <c r="C711" s="198" t="s">
        <v>23</v>
      </c>
      <c r="D711" s="198" t="s">
        <v>1241</v>
      </c>
      <c r="E711" s="4" t="s">
        <v>114</v>
      </c>
      <c r="F711" s="4" t="s">
        <v>2657</v>
      </c>
      <c r="G711" s="4"/>
      <c r="H711" s="4" t="s">
        <v>2668</v>
      </c>
      <c r="I711" s="4" t="s">
        <v>2272</v>
      </c>
      <c r="J711" s="4" t="s">
        <v>2272</v>
      </c>
      <c r="K711" s="4" t="s">
        <v>2272</v>
      </c>
      <c r="L711" s="4" t="s">
        <v>2272</v>
      </c>
      <c r="M711" s="198" t="s">
        <v>2665</v>
      </c>
      <c r="N711" s="4" t="s">
        <v>2272</v>
      </c>
      <c r="O711" s="4" t="s">
        <v>2272</v>
      </c>
      <c r="P711" s="4" t="s">
        <v>2272</v>
      </c>
      <c r="Q711" s="4">
        <v>2</v>
      </c>
      <c r="R711" s="4" t="s">
        <v>2272</v>
      </c>
      <c r="S711" s="4" t="s">
        <v>2272</v>
      </c>
      <c r="T711" s="4" t="s">
        <v>2272</v>
      </c>
      <c r="U711" s="4" t="s">
        <v>2272</v>
      </c>
      <c r="V711" s="4" t="s">
        <v>2272</v>
      </c>
      <c r="W711" s="4" t="s">
        <v>11341</v>
      </c>
    </row>
    <row r="712" spans="1:23" s="197" customFormat="1" ht="45.5" customHeight="1">
      <c r="A712" s="198" t="s">
        <v>11285</v>
      </c>
      <c r="B712" s="4" t="s">
        <v>11306</v>
      </c>
      <c r="C712" s="198" t="s">
        <v>23</v>
      </c>
      <c r="D712" s="198" t="s">
        <v>1241</v>
      </c>
      <c r="E712" s="4" t="s">
        <v>114</v>
      </c>
      <c r="F712" s="4" t="s">
        <v>2657</v>
      </c>
      <c r="G712" s="4"/>
      <c r="H712" s="4" t="s">
        <v>2668</v>
      </c>
      <c r="I712" s="4" t="s">
        <v>2272</v>
      </c>
      <c r="J712" s="4" t="s">
        <v>2272</v>
      </c>
      <c r="K712" s="4" t="s">
        <v>2272</v>
      </c>
      <c r="L712" s="4" t="s">
        <v>2272</v>
      </c>
      <c r="M712" s="198" t="s">
        <v>2665</v>
      </c>
      <c r="N712" s="4" t="s">
        <v>2272</v>
      </c>
      <c r="O712" s="4" t="s">
        <v>2272</v>
      </c>
      <c r="P712" s="4" t="s">
        <v>2272</v>
      </c>
      <c r="Q712" s="4">
        <v>2</v>
      </c>
      <c r="R712" s="4" t="s">
        <v>2272</v>
      </c>
      <c r="S712" s="4" t="s">
        <v>2272</v>
      </c>
      <c r="T712" s="4" t="s">
        <v>2272</v>
      </c>
      <c r="U712" s="4" t="s">
        <v>2272</v>
      </c>
      <c r="V712" s="4" t="s">
        <v>2272</v>
      </c>
      <c r="W712" s="4" t="s">
        <v>11341</v>
      </c>
    </row>
    <row r="713" spans="1:23" s="197" customFormat="1" ht="45.5" customHeight="1">
      <c r="A713" s="198" t="s">
        <v>11286</v>
      </c>
      <c r="B713" s="4" t="s">
        <v>11307</v>
      </c>
      <c r="C713" s="198" t="s">
        <v>23</v>
      </c>
      <c r="D713" s="198" t="s">
        <v>1241</v>
      </c>
      <c r="E713" s="4" t="s">
        <v>114</v>
      </c>
      <c r="F713" s="4" t="s">
        <v>2657</v>
      </c>
      <c r="G713" s="4"/>
      <c r="H713" s="4" t="s">
        <v>2668</v>
      </c>
      <c r="I713" s="4" t="s">
        <v>2272</v>
      </c>
      <c r="J713" s="4" t="s">
        <v>2272</v>
      </c>
      <c r="K713" s="4" t="s">
        <v>2272</v>
      </c>
      <c r="L713" s="4" t="s">
        <v>2272</v>
      </c>
      <c r="M713" s="198" t="s">
        <v>2665</v>
      </c>
      <c r="N713" s="4" t="s">
        <v>2272</v>
      </c>
      <c r="O713" s="4" t="s">
        <v>2272</v>
      </c>
      <c r="P713" s="4" t="s">
        <v>2272</v>
      </c>
      <c r="Q713" s="4">
        <v>2</v>
      </c>
      <c r="R713" s="4" t="s">
        <v>2272</v>
      </c>
      <c r="S713" s="4" t="s">
        <v>2272</v>
      </c>
      <c r="T713" s="4" t="s">
        <v>2272</v>
      </c>
      <c r="U713" s="4" t="s">
        <v>2272</v>
      </c>
      <c r="V713" s="4" t="s">
        <v>2272</v>
      </c>
      <c r="W713" s="4" t="s">
        <v>11341</v>
      </c>
    </row>
    <row r="714" spans="1:23" s="197" customFormat="1" ht="45.5" customHeight="1">
      <c r="A714" s="198" t="s">
        <v>11287</v>
      </c>
      <c r="B714" s="4" t="s">
        <v>11308</v>
      </c>
      <c r="C714" s="198" t="s">
        <v>23</v>
      </c>
      <c r="D714" s="198" t="s">
        <v>1241</v>
      </c>
      <c r="E714" s="4" t="s">
        <v>114</v>
      </c>
      <c r="F714" s="4" t="s">
        <v>2657</v>
      </c>
      <c r="G714" s="4"/>
      <c r="H714" s="4" t="s">
        <v>2668</v>
      </c>
      <c r="I714" s="4" t="s">
        <v>2272</v>
      </c>
      <c r="J714" s="4" t="s">
        <v>2272</v>
      </c>
      <c r="K714" s="4" t="s">
        <v>2272</v>
      </c>
      <c r="L714" s="4" t="s">
        <v>2272</v>
      </c>
      <c r="M714" s="198" t="s">
        <v>2665</v>
      </c>
      <c r="N714" s="4" t="s">
        <v>2272</v>
      </c>
      <c r="O714" s="4" t="s">
        <v>2272</v>
      </c>
      <c r="P714" s="4" t="s">
        <v>2272</v>
      </c>
      <c r="Q714" s="4">
        <v>2</v>
      </c>
      <c r="R714" s="4" t="s">
        <v>2272</v>
      </c>
      <c r="S714" s="4" t="s">
        <v>2272</v>
      </c>
      <c r="T714" s="4" t="s">
        <v>2272</v>
      </c>
      <c r="U714" s="4" t="s">
        <v>2272</v>
      </c>
      <c r="V714" s="4" t="s">
        <v>2272</v>
      </c>
      <c r="W714" s="4" t="s">
        <v>11341</v>
      </c>
    </row>
    <row r="715" spans="1:23" s="197" customFormat="1" ht="45.5" customHeight="1">
      <c r="A715" s="198" t="s">
        <v>5433</v>
      </c>
      <c r="B715" s="4" t="s">
        <v>11309</v>
      </c>
      <c r="C715" s="198" t="s">
        <v>23</v>
      </c>
      <c r="D715" s="198" t="s">
        <v>3475</v>
      </c>
      <c r="E715" s="4" t="s">
        <v>114</v>
      </c>
      <c r="F715" s="4" t="s">
        <v>2657</v>
      </c>
      <c r="G715" s="4"/>
      <c r="H715" s="4" t="s">
        <v>2668</v>
      </c>
      <c r="I715" s="4" t="s">
        <v>2272</v>
      </c>
      <c r="J715" s="4" t="s">
        <v>2272</v>
      </c>
      <c r="K715" s="4" t="s">
        <v>2272</v>
      </c>
      <c r="L715" s="4" t="s">
        <v>2272</v>
      </c>
      <c r="M715" s="198" t="s">
        <v>2665</v>
      </c>
      <c r="N715" s="4" t="s">
        <v>2272</v>
      </c>
      <c r="O715" s="4" t="s">
        <v>2272</v>
      </c>
      <c r="P715" s="4" t="s">
        <v>2272</v>
      </c>
      <c r="Q715" s="4">
        <v>2</v>
      </c>
      <c r="R715" s="4" t="s">
        <v>2272</v>
      </c>
      <c r="S715" s="4" t="s">
        <v>2272</v>
      </c>
      <c r="T715" s="4" t="s">
        <v>2272</v>
      </c>
      <c r="U715" s="4" t="s">
        <v>2272</v>
      </c>
      <c r="V715" s="4" t="s">
        <v>2272</v>
      </c>
      <c r="W715" s="4" t="s">
        <v>11343</v>
      </c>
    </row>
    <row r="716" spans="1:23" s="197" customFormat="1" ht="45.5" customHeight="1">
      <c r="A716" s="198" t="s">
        <v>11283</v>
      </c>
      <c r="B716" s="4" t="s">
        <v>11310</v>
      </c>
      <c r="C716" s="198" t="s">
        <v>23</v>
      </c>
      <c r="D716" s="198" t="s">
        <v>3475</v>
      </c>
      <c r="E716" s="4" t="s">
        <v>114</v>
      </c>
      <c r="F716" s="4" t="s">
        <v>2657</v>
      </c>
      <c r="G716" s="4"/>
      <c r="H716" s="4" t="s">
        <v>2668</v>
      </c>
      <c r="I716" s="4" t="s">
        <v>2272</v>
      </c>
      <c r="J716" s="4" t="s">
        <v>2272</v>
      </c>
      <c r="K716" s="4" t="s">
        <v>2272</v>
      </c>
      <c r="L716" s="4" t="s">
        <v>2272</v>
      </c>
      <c r="M716" s="198" t="s">
        <v>2665</v>
      </c>
      <c r="N716" s="4" t="s">
        <v>2272</v>
      </c>
      <c r="O716" s="4" t="s">
        <v>2272</v>
      </c>
      <c r="P716" s="4" t="s">
        <v>2272</v>
      </c>
      <c r="Q716" s="4">
        <v>2</v>
      </c>
      <c r="R716" s="4" t="s">
        <v>2272</v>
      </c>
      <c r="S716" s="4" t="s">
        <v>2272</v>
      </c>
      <c r="T716" s="4" t="s">
        <v>2272</v>
      </c>
      <c r="U716" s="4" t="s">
        <v>2272</v>
      </c>
      <c r="V716" s="4" t="s">
        <v>2272</v>
      </c>
      <c r="W716" s="4" t="s">
        <v>11343</v>
      </c>
    </row>
    <row r="717" spans="1:23" s="197" customFormat="1" ht="45.5" customHeight="1">
      <c r="A717" s="198" t="s">
        <v>11286</v>
      </c>
      <c r="B717" s="4" t="s">
        <v>11313</v>
      </c>
      <c r="C717" s="198" t="s">
        <v>23</v>
      </c>
      <c r="D717" s="198" t="s">
        <v>3475</v>
      </c>
      <c r="E717" s="4" t="s">
        <v>114</v>
      </c>
      <c r="F717" s="4" t="s">
        <v>2657</v>
      </c>
      <c r="G717" s="4"/>
      <c r="H717" s="4" t="s">
        <v>2668</v>
      </c>
      <c r="I717" s="4" t="s">
        <v>2272</v>
      </c>
      <c r="J717" s="4" t="s">
        <v>2272</v>
      </c>
      <c r="K717" s="4" t="s">
        <v>2272</v>
      </c>
      <c r="L717" s="4" t="s">
        <v>2272</v>
      </c>
      <c r="M717" s="198" t="s">
        <v>2665</v>
      </c>
      <c r="N717" s="4" t="s">
        <v>2272</v>
      </c>
      <c r="O717" s="4" t="s">
        <v>2272</v>
      </c>
      <c r="P717" s="4" t="s">
        <v>2272</v>
      </c>
      <c r="Q717" s="4">
        <v>2</v>
      </c>
      <c r="R717" s="4" t="s">
        <v>2272</v>
      </c>
      <c r="S717" s="4" t="s">
        <v>2272</v>
      </c>
      <c r="T717" s="4" t="s">
        <v>2272</v>
      </c>
      <c r="U717" s="4" t="s">
        <v>2272</v>
      </c>
      <c r="V717" s="4" t="s">
        <v>2272</v>
      </c>
      <c r="W717" s="4" t="s">
        <v>11343</v>
      </c>
    </row>
    <row r="718" spans="1:23" ht="72.5">
      <c r="A718" s="4" t="s">
        <v>6345</v>
      </c>
      <c r="B718" s="4" t="s">
        <v>6523</v>
      </c>
      <c r="C718" s="4" t="s">
        <v>23</v>
      </c>
      <c r="D718" s="4" t="s">
        <v>1102</v>
      </c>
      <c r="E718" s="4" t="s">
        <v>1102</v>
      </c>
      <c r="F718" s="4" t="s">
        <v>27</v>
      </c>
      <c r="G718" s="4">
        <v>2014</v>
      </c>
      <c r="H718" s="4" t="s">
        <v>539</v>
      </c>
      <c r="I718" s="4" t="s">
        <v>2272</v>
      </c>
      <c r="J718" s="4" t="s">
        <v>2272</v>
      </c>
      <c r="K718" s="4" t="s">
        <v>2272</v>
      </c>
      <c r="L718" s="4" t="s">
        <v>2272</v>
      </c>
      <c r="M718" s="4" t="s">
        <v>2723</v>
      </c>
      <c r="N718" s="4" t="s">
        <v>2272</v>
      </c>
      <c r="O718" s="4" t="s">
        <v>532</v>
      </c>
      <c r="P718" s="4" t="s">
        <v>2272</v>
      </c>
      <c r="Q718" s="4">
        <v>2</v>
      </c>
      <c r="R718" s="4" t="s">
        <v>2272</v>
      </c>
      <c r="S718" s="4" t="s">
        <v>2272</v>
      </c>
      <c r="T718" s="4" t="s">
        <v>2272</v>
      </c>
      <c r="U718" s="4" t="s">
        <v>2272</v>
      </c>
      <c r="V718" s="4" t="s">
        <v>2272</v>
      </c>
      <c r="W718" s="4" t="s">
        <v>8398</v>
      </c>
    </row>
    <row r="719" spans="1:23" ht="72.5">
      <c r="A719" s="4" t="s">
        <v>6345</v>
      </c>
      <c r="B719" s="4" t="s">
        <v>6524</v>
      </c>
      <c r="C719" s="4" t="s">
        <v>23</v>
      </c>
      <c r="D719" s="4" t="s">
        <v>1102</v>
      </c>
      <c r="E719" s="4" t="s">
        <v>1102</v>
      </c>
      <c r="F719" s="4" t="s">
        <v>73</v>
      </c>
      <c r="G719" s="4">
        <v>2014</v>
      </c>
      <c r="H719" s="4" t="s">
        <v>539</v>
      </c>
      <c r="I719" s="4" t="s">
        <v>2272</v>
      </c>
      <c r="J719" s="4" t="s">
        <v>2272</v>
      </c>
      <c r="K719" s="4" t="s">
        <v>2272</v>
      </c>
      <c r="L719" s="4" t="s">
        <v>2272</v>
      </c>
      <c r="M719" s="4" t="s">
        <v>2723</v>
      </c>
      <c r="N719" s="4" t="s">
        <v>2272</v>
      </c>
      <c r="O719" s="4" t="s">
        <v>532</v>
      </c>
      <c r="P719" s="4" t="s">
        <v>2272</v>
      </c>
      <c r="Q719" s="4">
        <v>2</v>
      </c>
      <c r="R719" s="4" t="s">
        <v>2272</v>
      </c>
      <c r="S719" s="4" t="s">
        <v>2272</v>
      </c>
      <c r="T719" s="4" t="s">
        <v>2272</v>
      </c>
      <c r="U719" s="4" t="s">
        <v>2272</v>
      </c>
      <c r="V719" s="4" t="s">
        <v>2272</v>
      </c>
      <c r="W719" s="4" t="s">
        <v>8398</v>
      </c>
    </row>
    <row r="720" spans="1:23" ht="57" customHeight="1">
      <c r="A720" s="4" t="s">
        <v>6394</v>
      </c>
      <c r="B720" s="4" t="s">
        <v>6534</v>
      </c>
      <c r="C720" s="4" t="s">
        <v>23</v>
      </c>
      <c r="D720" s="4" t="s">
        <v>1238</v>
      </c>
      <c r="E720" s="4"/>
      <c r="F720" s="4" t="s">
        <v>73</v>
      </c>
      <c r="G720" s="4"/>
      <c r="H720" s="4" t="s">
        <v>2668</v>
      </c>
      <c r="I720" s="4" t="s">
        <v>2272</v>
      </c>
      <c r="J720" s="4" t="s">
        <v>2272</v>
      </c>
      <c r="K720" s="4" t="s">
        <v>2272</v>
      </c>
      <c r="L720" s="4" t="s">
        <v>2272</v>
      </c>
      <c r="M720" s="4" t="s">
        <v>535</v>
      </c>
      <c r="N720" s="4" t="s">
        <v>2272</v>
      </c>
      <c r="O720" s="4" t="s">
        <v>2272</v>
      </c>
      <c r="P720" s="4" t="s">
        <v>2272</v>
      </c>
      <c r="Q720" s="4" t="s">
        <v>2272</v>
      </c>
      <c r="R720" s="4" t="s">
        <v>535</v>
      </c>
      <c r="S720" s="4" t="s">
        <v>2272</v>
      </c>
      <c r="T720" s="4" t="s">
        <v>2272</v>
      </c>
      <c r="U720" s="4" t="s">
        <v>2272</v>
      </c>
      <c r="V720" s="4" t="s">
        <v>2272</v>
      </c>
      <c r="W720" s="4"/>
    </row>
    <row r="721" spans="1:23" ht="57" customHeight="1">
      <c r="A721" s="4" t="s">
        <v>6395</v>
      </c>
      <c r="B721" s="4" t="s">
        <v>6536</v>
      </c>
      <c r="C721" s="4" t="s">
        <v>23</v>
      </c>
      <c r="D721" s="4" t="s">
        <v>1238</v>
      </c>
      <c r="E721" s="4"/>
      <c r="F721" s="4" t="s">
        <v>73</v>
      </c>
      <c r="G721" s="4"/>
      <c r="H721" s="4" t="s">
        <v>2668</v>
      </c>
      <c r="I721" s="4" t="s">
        <v>2272</v>
      </c>
      <c r="J721" s="4" t="s">
        <v>2272</v>
      </c>
      <c r="K721" s="4" t="s">
        <v>2272</v>
      </c>
      <c r="L721" s="4" t="s">
        <v>2272</v>
      </c>
      <c r="M721" s="4" t="s">
        <v>2723</v>
      </c>
      <c r="N721" s="4" t="s">
        <v>2272</v>
      </c>
      <c r="O721" s="4" t="s">
        <v>2272</v>
      </c>
      <c r="P721" s="4" t="s">
        <v>532</v>
      </c>
      <c r="Q721" s="4" t="s">
        <v>2272</v>
      </c>
      <c r="R721" s="4" t="s">
        <v>535</v>
      </c>
      <c r="S721" s="4" t="s">
        <v>2272</v>
      </c>
      <c r="T721" s="4" t="s">
        <v>2272</v>
      </c>
      <c r="U721" s="4" t="s">
        <v>2272</v>
      </c>
      <c r="V721" s="4" t="s">
        <v>2272</v>
      </c>
      <c r="W721" s="4" t="s">
        <v>7852</v>
      </c>
    </row>
    <row r="722" spans="1:23" ht="57" customHeight="1">
      <c r="A722" s="4" t="s">
        <v>6396</v>
      </c>
      <c r="B722" s="4" t="s">
        <v>6538</v>
      </c>
      <c r="C722" s="4" t="s">
        <v>6617</v>
      </c>
      <c r="D722" s="4" t="s">
        <v>2272</v>
      </c>
      <c r="E722" s="198" t="s">
        <v>2648</v>
      </c>
      <c r="F722" s="4"/>
      <c r="G722" s="4"/>
      <c r="H722" s="54" t="s">
        <v>2272</v>
      </c>
      <c r="I722" s="4" t="s">
        <v>2272</v>
      </c>
      <c r="J722" s="4" t="s">
        <v>2272</v>
      </c>
      <c r="K722" s="4" t="s">
        <v>2272</v>
      </c>
      <c r="L722" s="4" t="s">
        <v>2272</v>
      </c>
      <c r="M722" s="4" t="s">
        <v>2666</v>
      </c>
      <c r="N722" s="4" t="s">
        <v>2272</v>
      </c>
      <c r="O722" s="4" t="s">
        <v>2272</v>
      </c>
      <c r="P722" s="4" t="s">
        <v>2272</v>
      </c>
      <c r="Q722" s="4" t="s">
        <v>2272</v>
      </c>
      <c r="R722" s="4" t="s">
        <v>532</v>
      </c>
      <c r="S722" s="4" t="s">
        <v>2272</v>
      </c>
      <c r="T722" s="4" t="s">
        <v>2272</v>
      </c>
      <c r="U722" s="4" t="s">
        <v>2272</v>
      </c>
      <c r="V722" s="4" t="s">
        <v>2272</v>
      </c>
      <c r="W722" s="4"/>
    </row>
    <row r="723" spans="1:23" ht="57" customHeight="1">
      <c r="A723" s="4" t="s">
        <v>6396</v>
      </c>
      <c r="B723" s="4" t="s">
        <v>6539</v>
      </c>
      <c r="C723" s="4" t="s">
        <v>2651</v>
      </c>
      <c r="D723" s="4" t="s">
        <v>2272</v>
      </c>
      <c r="E723" s="198" t="s">
        <v>2648</v>
      </c>
      <c r="F723" s="4"/>
      <c r="G723" s="4"/>
      <c r="H723" s="54" t="s">
        <v>2272</v>
      </c>
      <c r="I723" s="4" t="s">
        <v>2272</v>
      </c>
      <c r="J723" s="4" t="s">
        <v>2272</v>
      </c>
      <c r="K723" s="4" t="s">
        <v>2272</v>
      </c>
      <c r="L723" s="4" t="s">
        <v>2272</v>
      </c>
      <c r="M723" s="4" t="s">
        <v>2666</v>
      </c>
      <c r="N723" s="4" t="s">
        <v>2272</v>
      </c>
      <c r="O723" s="4" t="s">
        <v>2272</v>
      </c>
      <c r="P723" s="4" t="s">
        <v>2272</v>
      </c>
      <c r="Q723" s="4" t="s">
        <v>2272</v>
      </c>
      <c r="R723" s="4" t="s">
        <v>532</v>
      </c>
      <c r="S723" s="4" t="s">
        <v>2272</v>
      </c>
      <c r="T723" s="4" t="s">
        <v>2272</v>
      </c>
      <c r="U723" s="4" t="s">
        <v>2272</v>
      </c>
      <c r="V723" s="4" t="s">
        <v>2272</v>
      </c>
      <c r="W723" s="4"/>
    </row>
    <row r="724" spans="1:23" ht="57" customHeight="1">
      <c r="A724" s="4" t="s">
        <v>6396</v>
      </c>
      <c r="B724" s="4" t="s">
        <v>6624</v>
      </c>
      <c r="C724" s="4" t="s">
        <v>6617</v>
      </c>
      <c r="D724" s="4" t="s">
        <v>2653</v>
      </c>
      <c r="E724" s="4" t="s">
        <v>2644</v>
      </c>
      <c r="F724" s="4" t="s">
        <v>73</v>
      </c>
      <c r="G724" s="4"/>
      <c r="H724" s="54" t="s">
        <v>2272</v>
      </c>
      <c r="I724" s="4" t="s">
        <v>2272</v>
      </c>
      <c r="J724" s="4" t="s">
        <v>2272</v>
      </c>
      <c r="K724" s="4" t="s">
        <v>2272</v>
      </c>
      <c r="L724" s="4" t="s">
        <v>2272</v>
      </c>
      <c r="M724" s="4" t="s">
        <v>2666</v>
      </c>
      <c r="N724" s="4" t="s">
        <v>2272</v>
      </c>
      <c r="O724" s="4" t="s">
        <v>2272</v>
      </c>
      <c r="P724" s="4" t="s">
        <v>2272</v>
      </c>
      <c r="Q724" s="4" t="s">
        <v>2272</v>
      </c>
      <c r="R724" s="4" t="s">
        <v>2272</v>
      </c>
      <c r="S724" s="4" t="s">
        <v>2272</v>
      </c>
      <c r="T724" s="4" t="s">
        <v>2272</v>
      </c>
      <c r="U724" s="4" t="s">
        <v>2272</v>
      </c>
      <c r="V724" s="4" t="s">
        <v>2272</v>
      </c>
      <c r="W724" s="4" t="s">
        <v>6618</v>
      </c>
    </row>
    <row r="725" spans="1:23" ht="57" customHeight="1">
      <c r="A725" s="4" t="s">
        <v>6396</v>
      </c>
      <c r="B725" s="4" t="s">
        <v>6625</v>
      </c>
      <c r="C725" s="4" t="s">
        <v>2651</v>
      </c>
      <c r="D725" s="4" t="s">
        <v>2272</v>
      </c>
      <c r="E725" s="4" t="s">
        <v>2644</v>
      </c>
      <c r="F725" s="4" t="s">
        <v>73</v>
      </c>
      <c r="G725" s="4"/>
      <c r="H725" s="54" t="s">
        <v>2272</v>
      </c>
      <c r="I725" s="4" t="s">
        <v>2272</v>
      </c>
      <c r="J725" s="4" t="s">
        <v>2272</v>
      </c>
      <c r="K725" s="4" t="s">
        <v>2272</v>
      </c>
      <c r="L725" s="4" t="s">
        <v>2272</v>
      </c>
      <c r="M725" s="4" t="s">
        <v>2666</v>
      </c>
      <c r="N725" s="4" t="s">
        <v>2272</v>
      </c>
      <c r="O725" s="4" t="s">
        <v>2272</v>
      </c>
      <c r="P725" s="4" t="s">
        <v>2272</v>
      </c>
      <c r="Q725" s="4" t="s">
        <v>2272</v>
      </c>
      <c r="R725" s="4" t="s">
        <v>2272</v>
      </c>
      <c r="S725" s="4" t="s">
        <v>2272</v>
      </c>
      <c r="T725" s="4" t="s">
        <v>2272</v>
      </c>
      <c r="U725" s="4" t="s">
        <v>2272</v>
      </c>
      <c r="V725" s="4" t="s">
        <v>2272</v>
      </c>
      <c r="W725" s="4" t="s">
        <v>6618</v>
      </c>
    </row>
    <row r="726" spans="1:23" ht="57" customHeight="1">
      <c r="A726" s="4" t="s">
        <v>6398</v>
      </c>
      <c r="B726" s="4" t="s">
        <v>6586</v>
      </c>
      <c r="C726" s="4" t="s">
        <v>1102</v>
      </c>
      <c r="D726" s="4" t="s">
        <v>2272</v>
      </c>
      <c r="E726" s="4" t="s">
        <v>135</v>
      </c>
      <c r="F726" s="4" t="s">
        <v>73</v>
      </c>
      <c r="G726" s="4"/>
      <c r="H726" s="54" t="s">
        <v>2272</v>
      </c>
      <c r="I726" s="4" t="s">
        <v>2272</v>
      </c>
      <c r="J726" s="4" t="s">
        <v>2272</v>
      </c>
      <c r="K726" s="4" t="s">
        <v>2272</v>
      </c>
      <c r="L726" s="4" t="s">
        <v>2272</v>
      </c>
      <c r="M726" s="4" t="s">
        <v>2723</v>
      </c>
      <c r="N726" s="4" t="s">
        <v>2272</v>
      </c>
      <c r="O726" s="4" t="s">
        <v>2272</v>
      </c>
      <c r="P726" s="4" t="s">
        <v>2272</v>
      </c>
      <c r="Q726" s="4" t="s">
        <v>2272</v>
      </c>
      <c r="R726" s="4" t="s">
        <v>2272</v>
      </c>
      <c r="S726" s="4" t="s">
        <v>2272</v>
      </c>
      <c r="T726" s="4" t="s">
        <v>2272</v>
      </c>
      <c r="U726" s="4" t="s">
        <v>2272</v>
      </c>
      <c r="V726" s="4" t="s">
        <v>2272</v>
      </c>
      <c r="W726" s="4" t="s">
        <v>6619</v>
      </c>
    </row>
    <row r="727" spans="1:23" ht="57" customHeight="1">
      <c r="A727" s="4" t="s">
        <v>6399</v>
      </c>
      <c r="B727" s="4" t="s">
        <v>6626</v>
      </c>
      <c r="C727" s="4" t="s">
        <v>1102</v>
      </c>
      <c r="D727" s="4" t="s">
        <v>2272</v>
      </c>
      <c r="E727" s="4" t="s">
        <v>2644</v>
      </c>
      <c r="F727" s="4" t="s">
        <v>73</v>
      </c>
      <c r="G727" s="4"/>
      <c r="H727" s="54" t="s">
        <v>2272</v>
      </c>
      <c r="I727" s="4" t="s">
        <v>2272</v>
      </c>
      <c r="J727" s="4" t="s">
        <v>2272</v>
      </c>
      <c r="K727" s="4" t="s">
        <v>2272</v>
      </c>
      <c r="L727" s="4" t="s">
        <v>2272</v>
      </c>
      <c r="M727" s="4" t="s">
        <v>2723</v>
      </c>
      <c r="N727" s="4" t="s">
        <v>2272</v>
      </c>
      <c r="O727" s="4" t="s">
        <v>2272</v>
      </c>
      <c r="P727" s="4" t="s">
        <v>2272</v>
      </c>
      <c r="Q727" s="4" t="s">
        <v>2272</v>
      </c>
      <c r="R727" s="4" t="s">
        <v>2272</v>
      </c>
      <c r="S727" s="4" t="s">
        <v>2272</v>
      </c>
      <c r="T727" s="4" t="s">
        <v>2272</v>
      </c>
      <c r="U727" s="4" t="s">
        <v>2272</v>
      </c>
      <c r="V727" s="4" t="s">
        <v>2272</v>
      </c>
      <c r="W727" s="4" t="s">
        <v>6619</v>
      </c>
    </row>
    <row r="728" spans="1:23" ht="57" customHeight="1">
      <c r="A728" s="4" t="s">
        <v>6400</v>
      </c>
      <c r="B728" s="4" t="s">
        <v>6627</v>
      </c>
      <c r="C728" s="4" t="s">
        <v>1102</v>
      </c>
      <c r="D728" s="4" t="s">
        <v>2272</v>
      </c>
      <c r="E728" s="4" t="s">
        <v>2644</v>
      </c>
      <c r="F728" s="4" t="s">
        <v>73</v>
      </c>
      <c r="G728" s="4"/>
      <c r="H728" s="54" t="s">
        <v>2272</v>
      </c>
      <c r="I728" s="4" t="s">
        <v>2272</v>
      </c>
      <c r="J728" s="4" t="s">
        <v>2272</v>
      </c>
      <c r="K728" s="4" t="s">
        <v>2272</v>
      </c>
      <c r="L728" s="4" t="s">
        <v>2272</v>
      </c>
      <c r="M728" s="4" t="s">
        <v>2723</v>
      </c>
      <c r="N728" s="4" t="s">
        <v>2272</v>
      </c>
      <c r="O728" s="4" t="s">
        <v>2272</v>
      </c>
      <c r="P728" s="4" t="s">
        <v>2272</v>
      </c>
      <c r="Q728" s="4" t="s">
        <v>2272</v>
      </c>
      <c r="R728" s="4" t="s">
        <v>2272</v>
      </c>
      <c r="S728" s="4" t="s">
        <v>2272</v>
      </c>
      <c r="T728" s="4" t="s">
        <v>2272</v>
      </c>
      <c r="U728" s="4" t="s">
        <v>2272</v>
      </c>
      <c r="V728" s="4" t="s">
        <v>2272</v>
      </c>
      <c r="W728" s="4" t="s">
        <v>6619</v>
      </c>
    </row>
    <row r="729" spans="1:23" ht="57" customHeight="1">
      <c r="A729" s="4" t="s">
        <v>6405</v>
      </c>
      <c r="B729" s="4" t="s">
        <v>6550</v>
      </c>
      <c r="C729" s="4" t="s">
        <v>1102</v>
      </c>
      <c r="D729" s="4" t="s">
        <v>2272</v>
      </c>
      <c r="E729" s="4" t="s">
        <v>2644</v>
      </c>
      <c r="F729" s="4" t="s">
        <v>73</v>
      </c>
      <c r="G729" s="4"/>
      <c r="H729" s="4" t="s">
        <v>539</v>
      </c>
      <c r="I729" s="4" t="s">
        <v>2272</v>
      </c>
      <c r="J729" s="4" t="s">
        <v>2272</v>
      </c>
      <c r="K729" s="4" t="s">
        <v>2272</v>
      </c>
      <c r="L729" s="4" t="s">
        <v>2272</v>
      </c>
      <c r="M729" s="4" t="s">
        <v>2272</v>
      </c>
      <c r="N729" s="4" t="s">
        <v>2272</v>
      </c>
      <c r="O729" s="4" t="s">
        <v>2272</v>
      </c>
      <c r="P729" s="4" t="s">
        <v>2272</v>
      </c>
      <c r="Q729" s="4" t="s">
        <v>2272</v>
      </c>
      <c r="R729" s="4" t="s">
        <v>532</v>
      </c>
      <c r="S729" s="4" t="s">
        <v>532</v>
      </c>
      <c r="T729" s="4" t="s">
        <v>2272</v>
      </c>
      <c r="U729" s="4" t="s">
        <v>2272</v>
      </c>
      <c r="V729" s="4" t="s">
        <v>2272</v>
      </c>
      <c r="W729" s="4" t="s">
        <v>6620</v>
      </c>
    </row>
    <row r="730" spans="1:23" ht="57" customHeight="1">
      <c r="A730" s="4" t="s">
        <v>6405</v>
      </c>
      <c r="B730" s="4" t="s">
        <v>6628</v>
      </c>
      <c r="C730" s="4" t="s">
        <v>23</v>
      </c>
      <c r="D730" s="4" t="s">
        <v>2272</v>
      </c>
      <c r="E730" s="4" t="s">
        <v>2644</v>
      </c>
      <c r="F730" s="4" t="s">
        <v>73</v>
      </c>
      <c r="G730" s="4"/>
      <c r="H730" s="4" t="s">
        <v>539</v>
      </c>
      <c r="I730" s="4" t="s">
        <v>2272</v>
      </c>
      <c r="J730" s="4" t="s">
        <v>2272</v>
      </c>
      <c r="K730" s="4" t="s">
        <v>2272</v>
      </c>
      <c r="L730" s="4" t="s">
        <v>2272</v>
      </c>
      <c r="M730" s="4" t="s">
        <v>2666</v>
      </c>
      <c r="N730" s="4" t="s">
        <v>532</v>
      </c>
      <c r="O730" s="4" t="s">
        <v>2272</v>
      </c>
      <c r="P730" s="4" t="s">
        <v>2272</v>
      </c>
      <c r="Q730" s="4" t="s">
        <v>2272</v>
      </c>
      <c r="R730" s="4" t="s">
        <v>2272</v>
      </c>
      <c r="S730" s="4" t="s">
        <v>2272</v>
      </c>
      <c r="T730" s="4" t="s">
        <v>2272</v>
      </c>
      <c r="U730" s="4" t="s">
        <v>2272</v>
      </c>
      <c r="V730" s="4" t="s">
        <v>2272</v>
      </c>
      <c r="W730" s="4"/>
    </row>
    <row r="731" spans="1:23" ht="57" customHeight="1">
      <c r="A731" s="4" t="s">
        <v>6406</v>
      </c>
      <c r="B731" s="4" t="s">
        <v>6551</v>
      </c>
      <c r="C731" s="4" t="s">
        <v>1102</v>
      </c>
      <c r="D731" s="4" t="s">
        <v>2272</v>
      </c>
      <c r="E731" s="4" t="s">
        <v>2644</v>
      </c>
      <c r="F731" s="4" t="s">
        <v>73</v>
      </c>
      <c r="G731" s="4"/>
      <c r="H731" s="4" t="s">
        <v>539</v>
      </c>
      <c r="I731" s="4" t="s">
        <v>2272</v>
      </c>
      <c r="J731" s="4" t="s">
        <v>2272</v>
      </c>
      <c r="K731" s="4" t="s">
        <v>2272</v>
      </c>
      <c r="L731" s="4" t="s">
        <v>2272</v>
      </c>
      <c r="M731" s="4" t="s">
        <v>2666</v>
      </c>
      <c r="N731" s="4" t="s">
        <v>532</v>
      </c>
      <c r="O731" s="4" t="s">
        <v>2272</v>
      </c>
      <c r="P731" s="4" t="s">
        <v>2272</v>
      </c>
      <c r="Q731" s="4" t="s">
        <v>2272</v>
      </c>
      <c r="R731" s="4" t="s">
        <v>532</v>
      </c>
      <c r="S731" s="4" t="s">
        <v>532</v>
      </c>
      <c r="T731" s="4" t="s">
        <v>2272</v>
      </c>
      <c r="U731" s="4" t="s">
        <v>2272</v>
      </c>
      <c r="V731" s="4" t="s">
        <v>2272</v>
      </c>
      <c r="W731" s="4" t="s">
        <v>6621</v>
      </c>
    </row>
    <row r="732" spans="1:23" ht="57" customHeight="1">
      <c r="A732" s="4" t="s">
        <v>6406</v>
      </c>
      <c r="B732" s="4" t="s">
        <v>6589</v>
      </c>
      <c r="C732" s="4" t="s">
        <v>23</v>
      </c>
      <c r="D732" s="4" t="s">
        <v>2272</v>
      </c>
      <c r="E732" s="4" t="s">
        <v>2644</v>
      </c>
      <c r="F732" s="4" t="s">
        <v>73</v>
      </c>
      <c r="G732" s="4"/>
      <c r="H732" s="4" t="s">
        <v>539</v>
      </c>
      <c r="I732" s="4" t="s">
        <v>2272</v>
      </c>
      <c r="J732" s="4" t="s">
        <v>2272</v>
      </c>
      <c r="K732" s="4" t="s">
        <v>2272</v>
      </c>
      <c r="L732" s="4" t="s">
        <v>2272</v>
      </c>
      <c r="M732" s="4" t="s">
        <v>2666</v>
      </c>
      <c r="N732" s="4" t="s">
        <v>532</v>
      </c>
      <c r="O732" s="4" t="s">
        <v>2272</v>
      </c>
      <c r="P732" s="4" t="s">
        <v>2272</v>
      </c>
      <c r="Q732" s="4" t="s">
        <v>2272</v>
      </c>
      <c r="R732" s="4" t="s">
        <v>2272</v>
      </c>
      <c r="S732" s="4" t="s">
        <v>2272</v>
      </c>
      <c r="T732" s="4" t="s">
        <v>2272</v>
      </c>
      <c r="U732" s="4" t="s">
        <v>2272</v>
      </c>
      <c r="V732" s="4" t="s">
        <v>2272</v>
      </c>
      <c r="W732" s="4"/>
    </row>
    <row r="733" spans="1:23" ht="57" customHeight="1">
      <c r="A733" s="4" t="s">
        <v>6407</v>
      </c>
      <c r="B733" s="4" t="s">
        <v>6552</v>
      </c>
      <c r="C733" s="4" t="s">
        <v>1102</v>
      </c>
      <c r="D733" s="4" t="s">
        <v>2272</v>
      </c>
      <c r="E733" s="4" t="s">
        <v>2644</v>
      </c>
      <c r="F733" s="4" t="s">
        <v>73</v>
      </c>
      <c r="G733" s="4"/>
      <c r="H733" s="4" t="s">
        <v>539</v>
      </c>
      <c r="I733" s="4" t="s">
        <v>2272</v>
      </c>
      <c r="J733" s="4" t="s">
        <v>2272</v>
      </c>
      <c r="K733" s="4" t="s">
        <v>2272</v>
      </c>
      <c r="L733" s="4" t="s">
        <v>2272</v>
      </c>
      <c r="M733" s="4" t="s">
        <v>2272</v>
      </c>
      <c r="N733" s="4" t="s">
        <v>2272</v>
      </c>
      <c r="O733" s="4" t="s">
        <v>2272</v>
      </c>
      <c r="P733" s="4" t="s">
        <v>2272</v>
      </c>
      <c r="Q733" s="4" t="s">
        <v>2272</v>
      </c>
      <c r="R733" s="4" t="s">
        <v>532</v>
      </c>
      <c r="S733" s="4" t="s">
        <v>532</v>
      </c>
      <c r="T733" s="4" t="s">
        <v>2272</v>
      </c>
      <c r="U733" s="4" t="s">
        <v>2272</v>
      </c>
      <c r="V733" s="4" t="s">
        <v>2272</v>
      </c>
      <c r="W733" s="4" t="s">
        <v>6621</v>
      </c>
    </row>
    <row r="734" spans="1:23" ht="57" customHeight="1">
      <c r="A734" s="4" t="s">
        <v>6407</v>
      </c>
      <c r="B734" s="4" t="s">
        <v>6590</v>
      </c>
      <c r="C734" s="4" t="s">
        <v>23</v>
      </c>
      <c r="D734" s="4" t="s">
        <v>2272</v>
      </c>
      <c r="E734" s="4" t="s">
        <v>2644</v>
      </c>
      <c r="F734" s="4" t="s">
        <v>73</v>
      </c>
      <c r="G734" s="4"/>
      <c r="H734" s="4" t="s">
        <v>539</v>
      </c>
      <c r="I734" s="4" t="s">
        <v>2272</v>
      </c>
      <c r="J734" s="4" t="s">
        <v>2272</v>
      </c>
      <c r="K734" s="4" t="s">
        <v>2272</v>
      </c>
      <c r="L734" s="4" t="s">
        <v>2272</v>
      </c>
      <c r="M734" s="4" t="s">
        <v>2666</v>
      </c>
      <c r="N734" s="4" t="s">
        <v>532</v>
      </c>
      <c r="O734" s="4" t="s">
        <v>2272</v>
      </c>
      <c r="P734" s="4" t="s">
        <v>2272</v>
      </c>
      <c r="Q734" s="4" t="s">
        <v>2272</v>
      </c>
      <c r="R734" s="4" t="s">
        <v>2272</v>
      </c>
      <c r="S734" s="4" t="s">
        <v>2272</v>
      </c>
      <c r="T734" s="4" t="s">
        <v>2272</v>
      </c>
      <c r="U734" s="4" t="s">
        <v>2272</v>
      </c>
      <c r="V734" s="4" t="s">
        <v>2272</v>
      </c>
      <c r="W734" s="4"/>
    </row>
    <row r="735" spans="1:23" ht="57" customHeight="1">
      <c r="A735" s="4" t="s">
        <v>6407</v>
      </c>
      <c r="B735" s="4" t="s">
        <v>6591</v>
      </c>
      <c r="C735" s="4" t="s">
        <v>2651</v>
      </c>
      <c r="D735" s="4" t="s">
        <v>2272</v>
      </c>
      <c r="E735" s="4" t="s">
        <v>2644</v>
      </c>
      <c r="F735" s="4" t="s">
        <v>73</v>
      </c>
      <c r="G735" s="4"/>
      <c r="H735" s="4" t="s">
        <v>539</v>
      </c>
      <c r="I735" s="4" t="s">
        <v>2272</v>
      </c>
      <c r="J735" s="4" t="s">
        <v>2272</v>
      </c>
      <c r="K735" s="4" t="s">
        <v>2272</v>
      </c>
      <c r="L735" s="4" t="s">
        <v>2272</v>
      </c>
      <c r="M735" s="4" t="s">
        <v>2666</v>
      </c>
      <c r="N735" s="4" t="s">
        <v>532</v>
      </c>
      <c r="O735" s="4" t="s">
        <v>2272</v>
      </c>
      <c r="P735" s="4" t="s">
        <v>2272</v>
      </c>
      <c r="Q735" s="4" t="s">
        <v>2272</v>
      </c>
      <c r="R735" s="4" t="s">
        <v>2272</v>
      </c>
      <c r="S735" s="4" t="s">
        <v>2272</v>
      </c>
      <c r="T735" s="4" t="s">
        <v>2272</v>
      </c>
      <c r="U735" s="4" t="s">
        <v>2272</v>
      </c>
      <c r="V735" s="4" t="s">
        <v>2272</v>
      </c>
      <c r="W735" s="4"/>
    </row>
    <row r="736" spans="1:23" ht="57" customHeight="1">
      <c r="A736" s="4" t="s">
        <v>6408</v>
      </c>
      <c r="B736" s="4" t="s">
        <v>6553</v>
      </c>
      <c r="C736" s="4" t="s">
        <v>1102</v>
      </c>
      <c r="D736" s="4" t="s">
        <v>2272</v>
      </c>
      <c r="E736" s="4" t="s">
        <v>2644</v>
      </c>
      <c r="F736" s="4" t="s">
        <v>73</v>
      </c>
      <c r="G736" s="4"/>
      <c r="H736" s="4" t="s">
        <v>539</v>
      </c>
      <c r="I736" s="4" t="s">
        <v>2272</v>
      </c>
      <c r="J736" s="4" t="s">
        <v>2272</v>
      </c>
      <c r="K736" s="4" t="s">
        <v>2272</v>
      </c>
      <c r="L736" s="4" t="s">
        <v>2272</v>
      </c>
      <c r="M736" s="4" t="s">
        <v>2272</v>
      </c>
      <c r="N736" s="4" t="s">
        <v>2272</v>
      </c>
      <c r="O736" s="4" t="s">
        <v>2272</v>
      </c>
      <c r="P736" s="4" t="s">
        <v>2272</v>
      </c>
      <c r="Q736" s="4" t="s">
        <v>2272</v>
      </c>
      <c r="R736" s="4" t="s">
        <v>532</v>
      </c>
      <c r="S736" s="4" t="s">
        <v>532</v>
      </c>
      <c r="T736" s="4" t="s">
        <v>2272</v>
      </c>
      <c r="U736" s="4" t="s">
        <v>2272</v>
      </c>
      <c r="V736" s="4" t="s">
        <v>2272</v>
      </c>
      <c r="W736" s="4" t="s">
        <v>6621</v>
      </c>
    </row>
    <row r="737" spans="1:23" ht="57" customHeight="1">
      <c r="A737" s="4" t="s">
        <v>6408</v>
      </c>
      <c r="B737" s="4" t="s">
        <v>6593</v>
      </c>
      <c r="C737" s="4" t="s">
        <v>23</v>
      </c>
      <c r="D737" s="4" t="s">
        <v>2272</v>
      </c>
      <c r="E737" s="4" t="s">
        <v>2644</v>
      </c>
      <c r="F737" s="4" t="s">
        <v>73</v>
      </c>
      <c r="G737" s="4"/>
      <c r="H737" s="4" t="s">
        <v>539</v>
      </c>
      <c r="I737" s="4" t="s">
        <v>2272</v>
      </c>
      <c r="J737" s="4" t="s">
        <v>2272</v>
      </c>
      <c r="K737" s="4" t="s">
        <v>2272</v>
      </c>
      <c r="L737" s="4" t="s">
        <v>2272</v>
      </c>
      <c r="M737" s="4" t="s">
        <v>2666</v>
      </c>
      <c r="N737" s="4" t="s">
        <v>532</v>
      </c>
      <c r="O737" s="4" t="s">
        <v>2272</v>
      </c>
      <c r="P737" s="4" t="s">
        <v>2272</v>
      </c>
      <c r="Q737" s="4" t="s">
        <v>2272</v>
      </c>
      <c r="R737" s="4" t="s">
        <v>2272</v>
      </c>
      <c r="S737" s="4" t="s">
        <v>2272</v>
      </c>
      <c r="T737" s="4" t="s">
        <v>2272</v>
      </c>
      <c r="U737" s="4" t="s">
        <v>2272</v>
      </c>
      <c r="V737" s="4" t="s">
        <v>2272</v>
      </c>
      <c r="W737" s="4"/>
    </row>
    <row r="738" spans="1:23" ht="57" customHeight="1">
      <c r="A738" s="4" t="s">
        <v>6408</v>
      </c>
      <c r="B738" s="4" t="s">
        <v>6594</v>
      </c>
      <c r="C738" s="4" t="s">
        <v>2651</v>
      </c>
      <c r="D738" s="4" t="s">
        <v>2272</v>
      </c>
      <c r="E738" s="4" t="s">
        <v>2644</v>
      </c>
      <c r="F738" s="4" t="s">
        <v>73</v>
      </c>
      <c r="G738" s="4"/>
      <c r="H738" s="4" t="s">
        <v>539</v>
      </c>
      <c r="I738" s="4" t="s">
        <v>2272</v>
      </c>
      <c r="J738" s="4" t="s">
        <v>2272</v>
      </c>
      <c r="K738" s="4" t="s">
        <v>2272</v>
      </c>
      <c r="L738" s="4" t="s">
        <v>2272</v>
      </c>
      <c r="M738" s="4" t="s">
        <v>2666</v>
      </c>
      <c r="N738" s="4" t="s">
        <v>532</v>
      </c>
      <c r="O738" s="4" t="s">
        <v>2272</v>
      </c>
      <c r="P738" s="4" t="s">
        <v>2272</v>
      </c>
      <c r="Q738" s="4" t="s">
        <v>2272</v>
      </c>
      <c r="R738" s="4" t="s">
        <v>2272</v>
      </c>
      <c r="S738" s="4" t="s">
        <v>2272</v>
      </c>
      <c r="T738" s="4" t="s">
        <v>2272</v>
      </c>
      <c r="U738" s="4" t="s">
        <v>2272</v>
      </c>
      <c r="V738" s="4" t="s">
        <v>2272</v>
      </c>
      <c r="W738" s="4"/>
    </row>
    <row r="739" spans="1:23" ht="57" customHeight="1">
      <c r="A739" s="4" t="s">
        <v>6409</v>
      </c>
      <c r="B739" s="4" t="s">
        <v>6554</v>
      </c>
      <c r="C739" s="4" t="s">
        <v>1102</v>
      </c>
      <c r="D739" s="4" t="s">
        <v>2272</v>
      </c>
      <c r="E739" s="4" t="s">
        <v>2644</v>
      </c>
      <c r="F739" s="4" t="s">
        <v>73</v>
      </c>
      <c r="G739" s="4"/>
      <c r="H739" s="4" t="s">
        <v>539</v>
      </c>
      <c r="I739" s="4" t="s">
        <v>2272</v>
      </c>
      <c r="J739" s="4" t="s">
        <v>2272</v>
      </c>
      <c r="K739" s="4" t="s">
        <v>2272</v>
      </c>
      <c r="L739" s="4" t="s">
        <v>2272</v>
      </c>
      <c r="M739" s="4" t="s">
        <v>2272</v>
      </c>
      <c r="N739" s="4" t="s">
        <v>2272</v>
      </c>
      <c r="O739" s="4" t="s">
        <v>2272</v>
      </c>
      <c r="P739" s="4" t="s">
        <v>2272</v>
      </c>
      <c r="Q739" s="4" t="s">
        <v>2272</v>
      </c>
      <c r="R739" s="4" t="s">
        <v>532</v>
      </c>
      <c r="S739" s="4" t="s">
        <v>532</v>
      </c>
      <c r="T739" s="4" t="s">
        <v>2272</v>
      </c>
      <c r="U739" s="4" t="s">
        <v>2272</v>
      </c>
      <c r="V739" s="4" t="s">
        <v>2272</v>
      </c>
      <c r="W739" s="4" t="s">
        <v>6621</v>
      </c>
    </row>
    <row r="740" spans="1:23" ht="57" customHeight="1">
      <c r="A740" s="4" t="s">
        <v>6409</v>
      </c>
      <c r="B740" s="4" t="s">
        <v>6596</v>
      </c>
      <c r="C740" s="4" t="s">
        <v>23</v>
      </c>
      <c r="D740" s="4" t="s">
        <v>2272</v>
      </c>
      <c r="E740" s="4" t="s">
        <v>2644</v>
      </c>
      <c r="F740" s="4" t="s">
        <v>73</v>
      </c>
      <c r="G740" s="4"/>
      <c r="H740" s="4" t="s">
        <v>539</v>
      </c>
      <c r="I740" s="4" t="s">
        <v>2272</v>
      </c>
      <c r="J740" s="4" t="s">
        <v>2272</v>
      </c>
      <c r="K740" s="4" t="s">
        <v>2272</v>
      </c>
      <c r="L740" s="4" t="s">
        <v>2272</v>
      </c>
      <c r="M740" s="4" t="s">
        <v>2666</v>
      </c>
      <c r="N740" s="4" t="s">
        <v>532</v>
      </c>
      <c r="O740" s="4" t="s">
        <v>2272</v>
      </c>
      <c r="P740" s="4" t="s">
        <v>2272</v>
      </c>
      <c r="Q740" s="4" t="s">
        <v>2272</v>
      </c>
      <c r="R740" s="4" t="s">
        <v>2272</v>
      </c>
      <c r="S740" s="4" t="s">
        <v>2272</v>
      </c>
      <c r="T740" s="4" t="s">
        <v>2272</v>
      </c>
      <c r="U740" s="4" t="s">
        <v>2272</v>
      </c>
      <c r="V740" s="4" t="s">
        <v>2272</v>
      </c>
      <c r="W740" s="4"/>
    </row>
    <row r="741" spans="1:23" ht="57" customHeight="1">
      <c r="A741" s="4" t="s">
        <v>6410</v>
      </c>
      <c r="B741" s="4" t="s">
        <v>6555</v>
      </c>
      <c r="C741" s="4" t="s">
        <v>1102</v>
      </c>
      <c r="D741" s="4" t="s">
        <v>2272</v>
      </c>
      <c r="E741" s="4" t="s">
        <v>2644</v>
      </c>
      <c r="F741" s="4" t="s">
        <v>73</v>
      </c>
      <c r="G741" s="4"/>
      <c r="H741" s="4" t="s">
        <v>539</v>
      </c>
      <c r="I741" s="4" t="s">
        <v>2272</v>
      </c>
      <c r="J741" s="4" t="s">
        <v>2272</v>
      </c>
      <c r="K741" s="4" t="s">
        <v>2272</v>
      </c>
      <c r="L741" s="4" t="s">
        <v>2272</v>
      </c>
      <c r="M741" s="4" t="s">
        <v>2272</v>
      </c>
      <c r="N741" s="4" t="s">
        <v>2272</v>
      </c>
      <c r="O741" s="4" t="s">
        <v>2272</v>
      </c>
      <c r="P741" s="4" t="s">
        <v>2272</v>
      </c>
      <c r="Q741" s="4" t="s">
        <v>2272</v>
      </c>
      <c r="R741" s="4" t="s">
        <v>532</v>
      </c>
      <c r="S741" s="4" t="s">
        <v>532</v>
      </c>
      <c r="T741" s="4" t="s">
        <v>2272</v>
      </c>
      <c r="U741" s="4" t="s">
        <v>2272</v>
      </c>
      <c r="V741" s="4" t="s">
        <v>2272</v>
      </c>
      <c r="W741" s="4" t="s">
        <v>6621</v>
      </c>
    </row>
    <row r="742" spans="1:23" ht="57" customHeight="1">
      <c r="A742" s="4" t="s">
        <v>6410</v>
      </c>
      <c r="B742" s="4" t="s">
        <v>6597</v>
      </c>
      <c r="C742" s="4" t="s">
        <v>23</v>
      </c>
      <c r="D742" s="4" t="s">
        <v>2272</v>
      </c>
      <c r="E742" s="4" t="s">
        <v>2644</v>
      </c>
      <c r="F742" s="4" t="s">
        <v>73</v>
      </c>
      <c r="G742" s="4"/>
      <c r="H742" s="4" t="s">
        <v>539</v>
      </c>
      <c r="I742" s="4" t="s">
        <v>2272</v>
      </c>
      <c r="J742" s="4" t="s">
        <v>2272</v>
      </c>
      <c r="K742" s="4" t="s">
        <v>2272</v>
      </c>
      <c r="L742" s="4" t="s">
        <v>2272</v>
      </c>
      <c r="M742" s="4" t="s">
        <v>2666</v>
      </c>
      <c r="N742" s="4" t="s">
        <v>532</v>
      </c>
      <c r="O742" s="4" t="s">
        <v>2272</v>
      </c>
      <c r="P742" s="4" t="s">
        <v>2272</v>
      </c>
      <c r="Q742" s="4" t="s">
        <v>2272</v>
      </c>
      <c r="R742" s="4" t="s">
        <v>2272</v>
      </c>
      <c r="S742" s="4" t="s">
        <v>2272</v>
      </c>
      <c r="T742" s="4" t="s">
        <v>2272</v>
      </c>
      <c r="U742" s="4" t="s">
        <v>2272</v>
      </c>
      <c r="V742" s="4" t="s">
        <v>2272</v>
      </c>
      <c r="W742" s="4"/>
    </row>
    <row r="743" spans="1:23" ht="57" customHeight="1">
      <c r="A743" s="4" t="s">
        <v>6556</v>
      </c>
      <c r="B743" s="4" t="s">
        <v>6557</v>
      </c>
      <c r="C743" s="4" t="s">
        <v>1102</v>
      </c>
      <c r="D743" s="4" t="s">
        <v>2272</v>
      </c>
      <c r="E743" s="4" t="s">
        <v>2644</v>
      </c>
      <c r="F743" s="4" t="s">
        <v>73</v>
      </c>
      <c r="G743" s="4"/>
      <c r="H743" s="4" t="s">
        <v>539</v>
      </c>
      <c r="I743" s="4" t="s">
        <v>2272</v>
      </c>
      <c r="J743" s="4" t="s">
        <v>2272</v>
      </c>
      <c r="K743" s="4" t="s">
        <v>2272</v>
      </c>
      <c r="L743" s="4" t="s">
        <v>2272</v>
      </c>
      <c r="M743" s="4" t="s">
        <v>2272</v>
      </c>
      <c r="N743" s="4" t="s">
        <v>2272</v>
      </c>
      <c r="O743" s="4" t="s">
        <v>2272</v>
      </c>
      <c r="P743" s="4" t="s">
        <v>2272</v>
      </c>
      <c r="Q743" s="4" t="s">
        <v>2272</v>
      </c>
      <c r="R743" s="4" t="s">
        <v>532</v>
      </c>
      <c r="S743" s="4" t="s">
        <v>532</v>
      </c>
      <c r="T743" s="4" t="s">
        <v>2272</v>
      </c>
      <c r="U743" s="4" t="s">
        <v>2272</v>
      </c>
      <c r="V743" s="4" t="s">
        <v>2272</v>
      </c>
      <c r="W743" s="4" t="s">
        <v>6621</v>
      </c>
    </row>
    <row r="744" spans="1:23" ht="57" customHeight="1">
      <c r="A744" s="4" t="s">
        <v>6556</v>
      </c>
      <c r="B744" s="4" t="s">
        <v>6598</v>
      </c>
      <c r="C744" s="4" t="s">
        <v>23</v>
      </c>
      <c r="D744" s="4" t="s">
        <v>2272</v>
      </c>
      <c r="E744" s="4" t="s">
        <v>2644</v>
      </c>
      <c r="F744" s="4" t="s">
        <v>73</v>
      </c>
      <c r="G744" s="4"/>
      <c r="H744" s="4" t="s">
        <v>539</v>
      </c>
      <c r="I744" s="4" t="s">
        <v>2272</v>
      </c>
      <c r="J744" s="4" t="s">
        <v>2272</v>
      </c>
      <c r="K744" s="4" t="s">
        <v>2272</v>
      </c>
      <c r="L744" s="4" t="s">
        <v>2272</v>
      </c>
      <c r="M744" s="4" t="s">
        <v>2666</v>
      </c>
      <c r="N744" s="4" t="s">
        <v>532</v>
      </c>
      <c r="O744" s="4" t="s">
        <v>2272</v>
      </c>
      <c r="P744" s="4" t="s">
        <v>2272</v>
      </c>
      <c r="Q744" s="4" t="s">
        <v>2272</v>
      </c>
      <c r="R744" s="4" t="s">
        <v>2272</v>
      </c>
      <c r="S744" s="4" t="s">
        <v>2272</v>
      </c>
      <c r="T744" s="4" t="s">
        <v>2272</v>
      </c>
      <c r="U744" s="4" t="s">
        <v>2272</v>
      </c>
      <c r="V744" s="4" t="s">
        <v>2272</v>
      </c>
      <c r="W744" s="4"/>
    </row>
    <row r="745" spans="1:23" ht="57" customHeight="1">
      <c r="A745" s="4" t="s">
        <v>6411</v>
      </c>
      <c r="B745" s="4" t="s">
        <v>6558</v>
      </c>
      <c r="C745" s="4" t="s">
        <v>1102</v>
      </c>
      <c r="D745" s="4" t="s">
        <v>2272</v>
      </c>
      <c r="E745" s="4" t="s">
        <v>2644</v>
      </c>
      <c r="F745" s="4" t="s">
        <v>73</v>
      </c>
      <c r="G745" s="4"/>
      <c r="H745" s="4" t="s">
        <v>539</v>
      </c>
      <c r="I745" s="4" t="s">
        <v>2272</v>
      </c>
      <c r="J745" s="4" t="s">
        <v>2272</v>
      </c>
      <c r="K745" s="4" t="s">
        <v>2272</v>
      </c>
      <c r="L745" s="4" t="s">
        <v>2272</v>
      </c>
      <c r="M745" s="4" t="s">
        <v>2272</v>
      </c>
      <c r="N745" s="4" t="s">
        <v>2272</v>
      </c>
      <c r="O745" s="4" t="s">
        <v>2272</v>
      </c>
      <c r="P745" s="4" t="s">
        <v>2272</v>
      </c>
      <c r="Q745" s="4" t="s">
        <v>2272</v>
      </c>
      <c r="R745" s="4" t="s">
        <v>532</v>
      </c>
      <c r="S745" s="4" t="s">
        <v>532</v>
      </c>
      <c r="T745" s="4" t="s">
        <v>2272</v>
      </c>
      <c r="U745" s="4" t="s">
        <v>2272</v>
      </c>
      <c r="V745" s="4" t="s">
        <v>2272</v>
      </c>
      <c r="W745" s="4" t="s">
        <v>6621</v>
      </c>
    </row>
    <row r="746" spans="1:23" ht="57" customHeight="1">
      <c r="A746" s="4" t="s">
        <v>6411</v>
      </c>
      <c r="B746" s="4" t="s">
        <v>6600</v>
      </c>
      <c r="C746" s="4" t="s">
        <v>23</v>
      </c>
      <c r="D746" s="4" t="s">
        <v>2272</v>
      </c>
      <c r="E746" s="4" t="s">
        <v>2644</v>
      </c>
      <c r="F746" s="4" t="s">
        <v>73</v>
      </c>
      <c r="G746" s="4"/>
      <c r="H746" s="4" t="s">
        <v>539</v>
      </c>
      <c r="I746" s="4" t="s">
        <v>2272</v>
      </c>
      <c r="J746" s="4" t="s">
        <v>2272</v>
      </c>
      <c r="K746" s="4" t="s">
        <v>2272</v>
      </c>
      <c r="L746" s="4" t="s">
        <v>2272</v>
      </c>
      <c r="M746" s="4" t="s">
        <v>2666</v>
      </c>
      <c r="N746" s="4" t="s">
        <v>532</v>
      </c>
      <c r="O746" s="4" t="s">
        <v>2272</v>
      </c>
      <c r="P746" s="4" t="s">
        <v>2272</v>
      </c>
      <c r="Q746" s="4" t="s">
        <v>2272</v>
      </c>
      <c r="R746" s="4" t="s">
        <v>2272</v>
      </c>
      <c r="S746" s="4" t="s">
        <v>2272</v>
      </c>
      <c r="T746" s="4" t="s">
        <v>2272</v>
      </c>
      <c r="U746" s="4" t="s">
        <v>2272</v>
      </c>
      <c r="V746" s="4" t="s">
        <v>2272</v>
      </c>
      <c r="W746" s="4"/>
    </row>
    <row r="747" spans="1:23" ht="57" customHeight="1">
      <c r="A747" s="4" t="s">
        <v>6412</v>
      </c>
      <c r="B747" s="4" t="s">
        <v>6559</v>
      </c>
      <c r="C747" s="4" t="s">
        <v>1102</v>
      </c>
      <c r="D747" s="4" t="s">
        <v>2272</v>
      </c>
      <c r="E747" s="4" t="s">
        <v>2644</v>
      </c>
      <c r="F747" s="4" t="s">
        <v>73</v>
      </c>
      <c r="G747" s="4"/>
      <c r="H747" s="4" t="s">
        <v>539</v>
      </c>
      <c r="I747" s="4" t="s">
        <v>2272</v>
      </c>
      <c r="J747" s="4" t="s">
        <v>2272</v>
      </c>
      <c r="K747" s="4" t="s">
        <v>2272</v>
      </c>
      <c r="L747" s="4" t="s">
        <v>2272</v>
      </c>
      <c r="M747" s="4" t="s">
        <v>2272</v>
      </c>
      <c r="N747" s="4" t="s">
        <v>2272</v>
      </c>
      <c r="O747" s="4" t="s">
        <v>2272</v>
      </c>
      <c r="P747" s="4" t="s">
        <v>2272</v>
      </c>
      <c r="Q747" s="4" t="s">
        <v>2272</v>
      </c>
      <c r="R747" s="4" t="s">
        <v>532</v>
      </c>
      <c r="S747" s="4" t="s">
        <v>532</v>
      </c>
      <c r="T747" s="4" t="s">
        <v>2272</v>
      </c>
      <c r="U747" s="4" t="s">
        <v>2272</v>
      </c>
      <c r="V747" s="4" t="s">
        <v>2272</v>
      </c>
      <c r="W747" s="4" t="s">
        <v>6621</v>
      </c>
    </row>
    <row r="748" spans="1:23" ht="57" customHeight="1">
      <c r="A748" s="4" t="s">
        <v>6412</v>
      </c>
      <c r="B748" s="4" t="s">
        <v>6601</v>
      </c>
      <c r="C748" s="4" t="s">
        <v>23</v>
      </c>
      <c r="D748" s="4" t="s">
        <v>2272</v>
      </c>
      <c r="E748" s="4" t="s">
        <v>2644</v>
      </c>
      <c r="F748" s="4" t="s">
        <v>73</v>
      </c>
      <c r="G748" s="4"/>
      <c r="H748" s="4" t="s">
        <v>539</v>
      </c>
      <c r="I748" s="4" t="s">
        <v>2272</v>
      </c>
      <c r="J748" s="4" t="s">
        <v>2272</v>
      </c>
      <c r="K748" s="4" t="s">
        <v>2272</v>
      </c>
      <c r="L748" s="4" t="s">
        <v>2272</v>
      </c>
      <c r="M748" s="4" t="s">
        <v>2666</v>
      </c>
      <c r="N748" s="4" t="s">
        <v>532</v>
      </c>
      <c r="O748" s="4" t="s">
        <v>2272</v>
      </c>
      <c r="P748" s="4" t="s">
        <v>2272</v>
      </c>
      <c r="Q748" s="4" t="s">
        <v>2272</v>
      </c>
      <c r="R748" s="4" t="s">
        <v>2272</v>
      </c>
      <c r="S748" s="4" t="s">
        <v>2272</v>
      </c>
      <c r="T748" s="4" t="s">
        <v>2272</v>
      </c>
      <c r="U748" s="4" t="s">
        <v>2272</v>
      </c>
      <c r="V748" s="4" t="s">
        <v>2272</v>
      </c>
      <c r="W748" s="4"/>
    </row>
    <row r="749" spans="1:23" ht="57" customHeight="1">
      <c r="A749" s="4" t="s">
        <v>6413</v>
      </c>
      <c r="B749" s="4" t="s">
        <v>6560</v>
      </c>
      <c r="C749" s="4" t="s">
        <v>1102</v>
      </c>
      <c r="D749" s="4" t="s">
        <v>2272</v>
      </c>
      <c r="E749" s="4" t="s">
        <v>2644</v>
      </c>
      <c r="F749" s="4" t="s">
        <v>73</v>
      </c>
      <c r="G749" s="4"/>
      <c r="H749" s="4" t="s">
        <v>539</v>
      </c>
      <c r="I749" s="4" t="s">
        <v>2272</v>
      </c>
      <c r="J749" s="4" t="s">
        <v>2272</v>
      </c>
      <c r="K749" s="4" t="s">
        <v>2272</v>
      </c>
      <c r="L749" s="4" t="s">
        <v>2272</v>
      </c>
      <c r="M749" s="4" t="s">
        <v>2272</v>
      </c>
      <c r="N749" s="4" t="s">
        <v>2272</v>
      </c>
      <c r="O749" s="4" t="s">
        <v>2272</v>
      </c>
      <c r="P749" s="4" t="s">
        <v>2272</v>
      </c>
      <c r="Q749" s="4" t="s">
        <v>2272</v>
      </c>
      <c r="R749" s="4" t="s">
        <v>532</v>
      </c>
      <c r="S749" s="4" t="s">
        <v>532</v>
      </c>
      <c r="T749" s="4" t="s">
        <v>2272</v>
      </c>
      <c r="U749" s="4" t="s">
        <v>2272</v>
      </c>
      <c r="V749" s="4" t="s">
        <v>2272</v>
      </c>
      <c r="W749" s="4" t="s">
        <v>6621</v>
      </c>
    </row>
    <row r="750" spans="1:23" ht="57" customHeight="1">
      <c r="A750" s="4" t="s">
        <v>6413</v>
      </c>
      <c r="B750" s="4" t="s">
        <v>6602</v>
      </c>
      <c r="C750" s="4" t="s">
        <v>23</v>
      </c>
      <c r="D750" s="4" t="s">
        <v>2272</v>
      </c>
      <c r="E750" s="4" t="s">
        <v>2644</v>
      </c>
      <c r="F750" s="4" t="s">
        <v>73</v>
      </c>
      <c r="G750" s="4"/>
      <c r="H750" s="4" t="s">
        <v>539</v>
      </c>
      <c r="I750" s="4" t="s">
        <v>2272</v>
      </c>
      <c r="J750" s="4" t="s">
        <v>2272</v>
      </c>
      <c r="K750" s="4" t="s">
        <v>2272</v>
      </c>
      <c r="L750" s="4" t="s">
        <v>2272</v>
      </c>
      <c r="M750" s="4" t="s">
        <v>2666</v>
      </c>
      <c r="N750" s="4" t="s">
        <v>532</v>
      </c>
      <c r="O750" s="4" t="s">
        <v>2272</v>
      </c>
      <c r="P750" s="4" t="s">
        <v>2272</v>
      </c>
      <c r="Q750" s="4" t="s">
        <v>2272</v>
      </c>
      <c r="R750" s="4" t="s">
        <v>2272</v>
      </c>
      <c r="S750" s="4" t="s">
        <v>2272</v>
      </c>
      <c r="T750" s="4" t="s">
        <v>2272</v>
      </c>
      <c r="U750" s="4" t="s">
        <v>2272</v>
      </c>
      <c r="V750" s="4" t="s">
        <v>2272</v>
      </c>
      <c r="W750" s="4"/>
    </row>
    <row r="751" spans="1:23" ht="57" customHeight="1">
      <c r="A751" s="4" t="s">
        <v>6414</v>
      </c>
      <c r="B751" s="4" t="s">
        <v>6561</v>
      </c>
      <c r="C751" s="4" t="s">
        <v>1102</v>
      </c>
      <c r="D751" s="4" t="s">
        <v>2272</v>
      </c>
      <c r="E751" s="4" t="s">
        <v>2644</v>
      </c>
      <c r="F751" s="4" t="s">
        <v>73</v>
      </c>
      <c r="G751" s="4"/>
      <c r="H751" s="4" t="s">
        <v>539</v>
      </c>
      <c r="I751" s="4" t="s">
        <v>2272</v>
      </c>
      <c r="J751" s="4" t="s">
        <v>2272</v>
      </c>
      <c r="K751" s="4" t="s">
        <v>2272</v>
      </c>
      <c r="L751" s="4" t="s">
        <v>2272</v>
      </c>
      <c r="M751" s="4" t="s">
        <v>2272</v>
      </c>
      <c r="N751" s="4" t="s">
        <v>2272</v>
      </c>
      <c r="O751" s="4" t="s">
        <v>2272</v>
      </c>
      <c r="P751" s="4" t="s">
        <v>2272</v>
      </c>
      <c r="Q751" s="4" t="s">
        <v>2272</v>
      </c>
      <c r="R751" s="4" t="s">
        <v>532</v>
      </c>
      <c r="S751" s="4" t="s">
        <v>532</v>
      </c>
      <c r="T751" s="4" t="s">
        <v>2272</v>
      </c>
      <c r="U751" s="4" t="s">
        <v>2272</v>
      </c>
      <c r="V751" s="4" t="s">
        <v>2272</v>
      </c>
      <c r="W751" s="4" t="s">
        <v>6621</v>
      </c>
    </row>
    <row r="752" spans="1:23" ht="57" customHeight="1">
      <c r="A752" s="4" t="s">
        <v>6414</v>
      </c>
      <c r="B752" s="4" t="s">
        <v>6604</v>
      </c>
      <c r="C752" s="4" t="s">
        <v>23</v>
      </c>
      <c r="D752" s="4" t="s">
        <v>2272</v>
      </c>
      <c r="E752" s="4" t="s">
        <v>2644</v>
      </c>
      <c r="F752" s="4" t="s">
        <v>73</v>
      </c>
      <c r="G752" s="4"/>
      <c r="H752" s="4" t="s">
        <v>539</v>
      </c>
      <c r="I752" s="4" t="s">
        <v>2272</v>
      </c>
      <c r="J752" s="4" t="s">
        <v>2272</v>
      </c>
      <c r="K752" s="4" t="s">
        <v>2272</v>
      </c>
      <c r="L752" s="4" t="s">
        <v>2272</v>
      </c>
      <c r="M752" s="4" t="s">
        <v>2666</v>
      </c>
      <c r="N752" s="4" t="s">
        <v>532</v>
      </c>
      <c r="O752" s="4" t="s">
        <v>2272</v>
      </c>
      <c r="P752" s="4" t="s">
        <v>2272</v>
      </c>
      <c r="Q752" s="4" t="s">
        <v>2272</v>
      </c>
      <c r="R752" s="4" t="s">
        <v>2272</v>
      </c>
      <c r="S752" s="4" t="s">
        <v>2272</v>
      </c>
      <c r="T752" s="4" t="s">
        <v>2272</v>
      </c>
      <c r="U752" s="4" t="s">
        <v>2272</v>
      </c>
      <c r="V752" s="4" t="s">
        <v>2272</v>
      </c>
      <c r="W752" s="4"/>
    </row>
    <row r="753" spans="1:23" ht="57" customHeight="1">
      <c r="A753" s="4" t="s">
        <v>6415</v>
      </c>
      <c r="B753" s="4" t="s">
        <v>6562</v>
      </c>
      <c r="C753" s="4" t="s">
        <v>1102</v>
      </c>
      <c r="D753" s="4" t="s">
        <v>2272</v>
      </c>
      <c r="E753" s="4" t="s">
        <v>135</v>
      </c>
      <c r="F753" s="4" t="s">
        <v>73</v>
      </c>
      <c r="G753" s="4"/>
      <c r="H753" s="4" t="s">
        <v>539</v>
      </c>
      <c r="I753" s="4" t="s">
        <v>2272</v>
      </c>
      <c r="J753" s="4" t="s">
        <v>2272</v>
      </c>
      <c r="K753" s="4" t="s">
        <v>2272</v>
      </c>
      <c r="L753" s="4" t="s">
        <v>2272</v>
      </c>
      <c r="M753" s="4" t="s">
        <v>2666</v>
      </c>
      <c r="N753" s="4"/>
      <c r="O753" s="4" t="s">
        <v>532</v>
      </c>
      <c r="P753" s="4" t="s">
        <v>2272</v>
      </c>
      <c r="Q753" s="4" t="s">
        <v>2272</v>
      </c>
      <c r="R753" s="4" t="s">
        <v>2272</v>
      </c>
      <c r="S753" s="4" t="s">
        <v>2272</v>
      </c>
      <c r="T753" s="4" t="s">
        <v>2272</v>
      </c>
      <c r="U753" s="4" t="s">
        <v>2272</v>
      </c>
      <c r="V753" s="4" t="s">
        <v>2272</v>
      </c>
      <c r="W753" s="4"/>
    </row>
    <row r="754" spans="1:23" ht="57" customHeight="1">
      <c r="A754" s="4" t="s">
        <v>6416</v>
      </c>
      <c r="B754" s="4" t="s">
        <v>6606</v>
      </c>
      <c r="C754" s="4" t="s">
        <v>1102</v>
      </c>
      <c r="D754" s="4" t="s">
        <v>2272</v>
      </c>
      <c r="E754" s="4" t="s">
        <v>2644</v>
      </c>
      <c r="F754" s="4" t="s">
        <v>73</v>
      </c>
      <c r="G754" s="4"/>
      <c r="H754" s="4" t="s">
        <v>2668</v>
      </c>
      <c r="I754" s="4" t="s">
        <v>2272</v>
      </c>
      <c r="J754" s="4" t="s">
        <v>2272</v>
      </c>
      <c r="K754" s="4" t="s">
        <v>2272</v>
      </c>
      <c r="L754" s="4" t="s">
        <v>2272</v>
      </c>
      <c r="M754" s="4" t="s">
        <v>2272</v>
      </c>
      <c r="N754" s="4" t="s">
        <v>2272</v>
      </c>
      <c r="O754" s="4" t="s">
        <v>2272</v>
      </c>
      <c r="P754" s="4" t="s">
        <v>2272</v>
      </c>
      <c r="Q754" s="4" t="s">
        <v>2272</v>
      </c>
      <c r="R754" s="4" t="s">
        <v>532</v>
      </c>
      <c r="S754" s="4" t="s">
        <v>532</v>
      </c>
      <c r="T754" s="4" t="s">
        <v>2272</v>
      </c>
      <c r="U754" s="4" t="s">
        <v>2272</v>
      </c>
      <c r="V754" s="4" t="s">
        <v>2272</v>
      </c>
      <c r="W754" s="4"/>
    </row>
    <row r="755" spans="1:23" ht="57" customHeight="1">
      <c r="A755" s="4" t="s">
        <v>6417</v>
      </c>
      <c r="B755" s="4" t="s">
        <v>6564</v>
      </c>
      <c r="C755" s="4" t="s">
        <v>1102</v>
      </c>
      <c r="D755" s="4" t="s">
        <v>2272</v>
      </c>
      <c r="E755" s="4" t="s">
        <v>2644</v>
      </c>
      <c r="F755" s="4" t="s">
        <v>73</v>
      </c>
      <c r="G755" s="4"/>
      <c r="H755" s="4" t="s">
        <v>539</v>
      </c>
      <c r="I755" s="4" t="s">
        <v>2272</v>
      </c>
      <c r="J755" s="4" t="s">
        <v>2272</v>
      </c>
      <c r="K755" s="4" t="s">
        <v>2272</v>
      </c>
      <c r="L755" s="4" t="s">
        <v>2272</v>
      </c>
      <c r="M755" s="4" t="s">
        <v>2272</v>
      </c>
      <c r="N755" s="4" t="s">
        <v>2272</v>
      </c>
      <c r="O755" s="4" t="s">
        <v>2272</v>
      </c>
      <c r="P755" s="4" t="s">
        <v>2272</v>
      </c>
      <c r="Q755" s="4" t="s">
        <v>2272</v>
      </c>
      <c r="R755" s="4" t="s">
        <v>532</v>
      </c>
      <c r="S755" s="4" t="s">
        <v>532</v>
      </c>
      <c r="T755" s="4" t="s">
        <v>2272</v>
      </c>
      <c r="U755" s="4" t="s">
        <v>2272</v>
      </c>
      <c r="V755" s="4" t="s">
        <v>2272</v>
      </c>
      <c r="W755" s="4"/>
    </row>
    <row r="756" spans="1:23" ht="57" customHeight="1">
      <c r="A756" s="4" t="s">
        <v>6418</v>
      </c>
      <c r="B756" s="4" t="s">
        <v>6567</v>
      </c>
      <c r="C756" s="4" t="s">
        <v>1102</v>
      </c>
      <c r="D756" s="4" t="s">
        <v>2272</v>
      </c>
      <c r="E756" s="4" t="s">
        <v>2644</v>
      </c>
      <c r="F756" s="4" t="s">
        <v>73</v>
      </c>
      <c r="G756" s="4"/>
      <c r="H756" s="4" t="s">
        <v>539</v>
      </c>
      <c r="I756" s="4" t="s">
        <v>2272</v>
      </c>
      <c r="J756" s="4" t="s">
        <v>2272</v>
      </c>
      <c r="K756" s="4" t="s">
        <v>2272</v>
      </c>
      <c r="L756" s="4" t="s">
        <v>2272</v>
      </c>
      <c r="M756" s="4" t="s">
        <v>2666</v>
      </c>
      <c r="N756" s="4" t="s">
        <v>532</v>
      </c>
      <c r="O756" s="4" t="s">
        <v>2272</v>
      </c>
      <c r="P756" s="4" t="s">
        <v>2272</v>
      </c>
      <c r="Q756" s="4" t="s">
        <v>2272</v>
      </c>
      <c r="R756" s="4" t="s">
        <v>2272</v>
      </c>
      <c r="S756" s="4" t="s">
        <v>2272</v>
      </c>
      <c r="T756" s="4" t="s">
        <v>2272</v>
      </c>
      <c r="U756" s="4" t="s">
        <v>2272</v>
      </c>
      <c r="V756" s="4" t="s">
        <v>2272</v>
      </c>
      <c r="W756" s="4"/>
    </row>
    <row r="757" spans="1:23" ht="57" customHeight="1">
      <c r="A757" s="4" t="s">
        <v>6419</v>
      </c>
      <c r="B757" s="4" t="s">
        <v>6568</v>
      </c>
      <c r="C757" s="4" t="s">
        <v>23</v>
      </c>
      <c r="D757" s="4" t="s">
        <v>142</v>
      </c>
      <c r="E757" s="4" t="s">
        <v>2644</v>
      </c>
      <c r="F757" s="4" t="s">
        <v>73</v>
      </c>
      <c r="G757" s="4"/>
      <c r="H757" s="4" t="s">
        <v>1090</v>
      </c>
      <c r="I757" s="4" t="s">
        <v>2686</v>
      </c>
      <c r="J757" s="4" t="s">
        <v>532</v>
      </c>
      <c r="K757" s="4" t="s">
        <v>2272</v>
      </c>
      <c r="L757" s="4" t="s">
        <v>2272</v>
      </c>
      <c r="M757" s="4" t="s">
        <v>2272</v>
      </c>
      <c r="N757" s="4" t="s">
        <v>2272</v>
      </c>
      <c r="O757" s="4" t="s">
        <v>2272</v>
      </c>
      <c r="P757" s="4" t="s">
        <v>2272</v>
      </c>
      <c r="Q757" s="4" t="s">
        <v>2272</v>
      </c>
      <c r="R757" s="4" t="s">
        <v>2272</v>
      </c>
      <c r="S757" s="4" t="s">
        <v>2272</v>
      </c>
      <c r="T757" s="4" t="s">
        <v>2272</v>
      </c>
      <c r="U757" s="4" t="s">
        <v>2272</v>
      </c>
      <c r="V757" s="4" t="s">
        <v>2272</v>
      </c>
      <c r="W757" s="4" t="s">
        <v>6622</v>
      </c>
    </row>
    <row r="758" spans="1:23" ht="57" customHeight="1">
      <c r="A758" s="4" t="s">
        <v>6419</v>
      </c>
      <c r="B758" s="4" t="s">
        <v>6569</v>
      </c>
      <c r="C758" s="4" t="s">
        <v>23</v>
      </c>
      <c r="D758" s="4" t="s">
        <v>142</v>
      </c>
      <c r="E758" s="4" t="s">
        <v>2644</v>
      </c>
      <c r="F758" s="4" t="s">
        <v>73</v>
      </c>
      <c r="G758" s="4"/>
      <c r="H758" s="4" t="s">
        <v>539</v>
      </c>
      <c r="I758" s="4" t="s">
        <v>2686</v>
      </c>
      <c r="J758" s="4"/>
      <c r="K758" s="4" t="s">
        <v>532</v>
      </c>
      <c r="L758" s="4" t="s">
        <v>2272</v>
      </c>
      <c r="M758" s="4" t="s">
        <v>2272</v>
      </c>
      <c r="N758" s="4" t="s">
        <v>2272</v>
      </c>
      <c r="O758" s="4" t="s">
        <v>2272</v>
      </c>
      <c r="P758" s="4" t="s">
        <v>2272</v>
      </c>
      <c r="Q758" s="4" t="s">
        <v>2272</v>
      </c>
      <c r="R758" s="4" t="s">
        <v>2272</v>
      </c>
      <c r="S758" s="4" t="s">
        <v>2272</v>
      </c>
      <c r="T758" s="4" t="s">
        <v>2272</v>
      </c>
      <c r="U758" s="4" t="s">
        <v>2272</v>
      </c>
      <c r="V758" s="4" t="s">
        <v>2272</v>
      </c>
      <c r="W758" s="4" t="s">
        <v>6623</v>
      </c>
    </row>
    <row r="759" spans="1:23" ht="52" customHeight="1">
      <c r="A759" s="19" t="s">
        <v>7049</v>
      </c>
      <c r="B759" s="19" t="s">
        <v>7057</v>
      </c>
      <c r="C759" s="4" t="s">
        <v>23</v>
      </c>
      <c r="D759" s="198" t="s">
        <v>24</v>
      </c>
      <c r="E759" s="198" t="s">
        <v>44</v>
      </c>
      <c r="F759" s="198" t="s">
        <v>54</v>
      </c>
      <c r="G759" s="198"/>
      <c r="H759" s="4" t="s">
        <v>2668</v>
      </c>
      <c r="I759" s="198" t="s">
        <v>2272</v>
      </c>
      <c r="J759" s="198" t="s">
        <v>2272</v>
      </c>
      <c r="K759" s="198" t="s">
        <v>2272</v>
      </c>
      <c r="L759" s="198" t="s">
        <v>2272</v>
      </c>
      <c r="M759" s="198" t="s">
        <v>2723</v>
      </c>
      <c r="N759" s="198" t="s">
        <v>532</v>
      </c>
      <c r="O759" s="198" t="s">
        <v>532</v>
      </c>
      <c r="P759" s="198" t="s">
        <v>2272</v>
      </c>
      <c r="Q759" s="198">
        <v>2</v>
      </c>
      <c r="R759" s="198" t="s">
        <v>2272</v>
      </c>
      <c r="S759" s="198" t="s">
        <v>2272</v>
      </c>
      <c r="T759" s="198" t="s">
        <v>2272</v>
      </c>
      <c r="U759" s="198" t="s">
        <v>2272</v>
      </c>
      <c r="V759" s="198" t="s">
        <v>2272</v>
      </c>
      <c r="W759" s="4" t="s">
        <v>7065</v>
      </c>
    </row>
    <row r="760" spans="1:23" ht="53.5" customHeight="1">
      <c r="A760" s="19" t="s">
        <v>7049</v>
      </c>
      <c r="B760" s="19" t="s">
        <v>7058</v>
      </c>
      <c r="C760" s="4" t="s">
        <v>23</v>
      </c>
      <c r="D760" s="198" t="s">
        <v>26</v>
      </c>
      <c r="E760" s="198" t="s">
        <v>128</v>
      </c>
      <c r="F760" s="198" t="s">
        <v>28</v>
      </c>
      <c r="G760" s="198"/>
      <c r="H760" s="4" t="s">
        <v>2668</v>
      </c>
      <c r="I760" s="198" t="s">
        <v>2272</v>
      </c>
      <c r="J760" s="198" t="s">
        <v>2272</v>
      </c>
      <c r="K760" s="198" t="s">
        <v>2272</v>
      </c>
      <c r="L760" s="198" t="s">
        <v>2272</v>
      </c>
      <c r="M760" s="198" t="s">
        <v>2723</v>
      </c>
      <c r="N760" s="198" t="s">
        <v>532</v>
      </c>
      <c r="O760" s="198" t="s">
        <v>532</v>
      </c>
      <c r="P760" s="198" t="s">
        <v>2272</v>
      </c>
      <c r="Q760" s="198">
        <v>2</v>
      </c>
      <c r="R760" s="198" t="s">
        <v>2272</v>
      </c>
      <c r="S760" s="198" t="s">
        <v>2272</v>
      </c>
      <c r="T760" s="198" t="s">
        <v>2272</v>
      </c>
      <c r="U760" s="198" t="s">
        <v>2272</v>
      </c>
      <c r="V760" s="198" t="s">
        <v>2272</v>
      </c>
      <c r="W760" s="4" t="s">
        <v>7065</v>
      </c>
    </row>
    <row r="761" spans="1:23" ht="33.5" customHeight="1">
      <c r="A761" s="19" t="s">
        <v>7069</v>
      </c>
      <c r="B761" s="19" t="s">
        <v>7073</v>
      </c>
      <c r="C761" s="4" t="s">
        <v>23</v>
      </c>
      <c r="D761" s="4" t="s">
        <v>24</v>
      </c>
      <c r="E761" s="4" t="s">
        <v>44</v>
      </c>
      <c r="F761" s="4" t="s">
        <v>2657</v>
      </c>
      <c r="G761" s="198"/>
      <c r="H761" s="4" t="s">
        <v>539</v>
      </c>
      <c r="I761" s="198" t="s">
        <v>2272</v>
      </c>
      <c r="J761" s="198" t="s">
        <v>2272</v>
      </c>
      <c r="K761" s="198" t="s">
        <v>2272</v>
      </c>
      <c r="L761" s="198" t="s">
        <v>2272</v>
      </c>
      <c r="M761" s="198" t="s">
        <v>2272</v>
      </c>
      <c r="N761" s="198" t="s">
        <v>2272</v>
      </c>
      <c r="O761" s="198" t="s">
        <v>2272</v>
      </c>
      <c r="P761" s="198" t="s">
        <v>2272</v>
      </c>
      <c r="Q761" s="198" t="s">
        <v>2272</v>
      </c>
      <c r="R761" s="11" t="s">
        <v>532</v>
      </c>
      <c r="S761" s="198" t="s">
        <v>2272</v>
      </c>
      <c r="T761" s="198" t="s">
        <v>2272</v>
      </c>
      <c r="U761" s="198" t="s">
        <v>2272</v>
      </c>
      <c r="V761" s="198">
        <v>4</v>
      </c>
      <c r="W761" s="19" t="s">
        <v>7081</v>
      </c>
    </row>
    <row r="762" spans="1:23" ht="46" customHeight="1">
      <c r="A762" s="4" t="s">
        <v>7069</v>
      </c>
      <c r="B762" s="19" t="s">
        <v>7074</v>
      </c>
      <c r="C762" s="4" t="s">
        <v>23</v>
      </c>
      <c r="D762" s="4" t="s">
        <v>1238</v>
      </c>
      <c r="E762" s="4" t="s">
        <v>3204</v>
      </c>
      <c r="F762" s="4" t="s">
        <v>2657</v>
      </c>
      <c r="G762" s="198"/>
      <c r="H762" s="4" t="s">
        <v>539</v>
      </c>
      <c r="I762" s="198" t="s">
        <v>2686</v>
      </c>
      <c r="J762" s="198" t="s">
        <v>532</v>
      </c>
      <c r="K762" s="198" t="s">
        <v>532</v>
      </c>
      <c r="L762" s="198" t="s">
        <v>2272</v>
      </c>
      <c r="M762" s="198" t="s">
        <v>2723</v>
      </c>
      <c r="N762" s="198" t="s">
        <v>2272</v>
      </c>
      <c r="O762" s="198" t="s">
        <v>2272</v>
      </c>
      <c r="P762" s="198" t="s">
        <v>2272</v>
      </c>
      <c r="Q762" s="198" t="s">
        <v>2272</v>
      </c>
      <c r="R762" s="198" t="s">
        <v>535</v>
      </c>
      <c r="S762" s="198" t="s">
        <v>535</v>
      </c>
      <c r="T762" s="198" t="s">
        <v>535</v>
      </c>
      <c r="U762" s="198" t="s">
        <v>535</v>
      </c>
      <c r="V762" s="198" t="s">
        <v>2272</v>
      </c>
      <c r="W762" s="4" t="s">
        <v>7082</v>
      </c>
    </row>
    <row r="763" spans="1:23" ht="47.5" customHeight="1">
      <c r="A763" s="4" t="s">
        <v>7069</v>
      </c>
      <c r="B763" s="19" t="s">
        <v>7075</v>
      </c>
      <c r="C763" s="4" t="s">
        <v>23</v>
      </c>
      <c r="D763" s="4" t="s">
        <v>142</v>
      </c>
      <c r="E763" s="4" t="s">
        <v>3204</v>
      </c>
      <c r="F763" s="4" t="s">
        <v>2657</v>
      </c>
      <c r="G763" s="198"/>
      <c r="H763" s="4" t="s">
        <v>539</v>
      </c>
      <c r="I763" s="198" t="s">
        <v>2686</v>
      </c>
      <c r="J763" s="198" t="s">
        <v>532</v>
      </c>
      <c r="K763" s="198" t="s">
        <v>532</v>
      </c>
      <c r="L763" s="198" t="s">
        <v>2272</v>
      </c>
      <c r="M763" s="198" t="s">
        <v>2723</v>
      </c>
      <c r="N763" s="198" t="s">
        <v>2272</v>
      </c>
      <c r="O763" s="198" t="s">
        <v>2272</v>
      </c>
      <c r="P763" s="198" t="s">
        <v>2272</v>
      </c>
      <c r="Q763" s="198" t="s">
        <v>2272</v>
      </c>
      <c r="R763" s="198" t="s">
        <v>535</v>
      </c>
      <c r="S763" s="198" t="s">
        <v>535</v>
      </c>
      <c r="T763" s="198" t="s">
        <v>535</v>
      </c>
      <c r="U763" s="198" t="s">
        <v>535</v>
      </c>
      <c r="V763" s="198" t="s">
        <v>2272</v>
      </c>
      <c r="W763" s="4" t="s">
        <v>7082</v>
      </c>
    </row>
    <row r="764" spans="1:23" ht="58">
      <c r="A764" s="19" t="s">
        <v>7129</v>
      </c>
      <c r="B764" s="19" t="s">
        <v>7204</v>
      </c>
      <c r="C764" s="198" t="s">
        <v>1102</v>
      </c>
      <c r="D764" s="198" t="s">
        <v>1102</v>
      </c>
      <c r="E764" s="198" t="s">
        <v>44</v>
      </c>
      <c r="F764" s="4" t="s">
        <v>2657</v>
      </c>
      <c r="G764" s="198"/>
      <c r="H764" s="4" t="s">
        <v>4072</v>
      </c>
      <c r="I764" s="198" t="s">
        <v>2685</v>
      </c>
      <c r="J764" s="198" t="s">
        <v>532</v>
      </c>
      <c r="K764" s="198" t="s">
        <v>2272</v>
      </c>
      <c r="L764" s="198" t="s">
        <v>2272</v>
      </c>
      <c r="M764" s="198" t="s">
        <v>2272</v>
      </c>
      <c r="N764" s="198" t="s">
        <v>2272</v>
      </c>
      <c r="O764" s="198" t="s">
        <v>2272</v>
      </c>
      <c r="P764" s="198" t="s">
        <v>2272</v>
      </c>
      <c r="Q764" s="198" t="s">
        <v>2272</v>
      </c>
      <c r="R764" s="198" t="s">
        <v>2272</v>
      </c>
      <c r="S764" s="198" t="s">
        <v>2272</v>
      </c>
      <c r="T764" s="198" t="s">
        <v>2272</v>
      </c>
      <c r="U764" s="198" t="s">
        <v>2272</v>
      </c>
      <c r="V764" s="198" t="s">
        <v>2272</v>
      </c>
      <c r="W764" s="4" t="s">
        <v>7208</v>
      </c>
    </row>
    <row r="765" spans="1:23" ht="58">
      <c r="A765" s="19" t="s">
        <v>7130</v>
      </c>
      <c r="B765" s="19" t="s">
        <v>7205</v>
      </c>
      <c r="C765" s="198" t="s">
        <v>1102</v>
      </c>
      <c r="D765" s="198" t="s">
        <v>1102</v>
      </c>
      <c r="E765" s="198" t="s">
        <v>44</v>
      </c>
      <c r="F765" s="4" t="s">
        <v>2657</v>
      </c>
      <c r="G765" s="198"/>
      <c r="H765" s="4" t="s">
        <v>4072</v>
      </c>
      <c r="I765" s="198" t="s">
        <v>2685</v>
      </c>
      <c r="J765" s="198" t="s">
        <v>532</v>
      </c>
      <c r="K765" s="198" t="s">
        <v>2272</v>
      </c>
      <c r="L765" s="198" t="s">
        <v>2272</v>
      </c>
      <c r="M765" s="198" t="s">
        <v>2272</v>
      </c>
      <c r="N765" s="198" t="s">
        <v>2272</v>
      </c>
      <c r="O765" s="198" t="s">
        <v>2272</v>
      </c>
      <c r="P765" s="198" t="s">
        <v>2272</v>
      </c>
      <c r="Q765" s="198" t="s">
        <v>2272</v>
      </c>
      <c r="R765" s="198" t="s">
        <v>2272</v>
      </c>
      <c r="S765" s="198" t="s">
        <v>2272</v>
      </c>
      <c r="T765" s="198" t="s">
        <v>2272</v>
      </c>
      <c r="U765" s="198" t="s">
        <v>2272</v>
      </c>
      <c r="V765" s="198" t="s">
        <v>2272</v>
      </c>
      <c r="W765" s="4" t="s">
        <v>7208</v>
      </c>
    </row>
    <row r="766" spans="1:23" ht="58">
      <c r="A766" s="19" t="s">
        <v>7131</v>
      </c>
      <c r="B766" s="19" t="s">
        <v>7206</v>
      </c>
      <c r="C766" s="198" t="s">
        <v>1102</v>
      </c>
      <c r="D766" s="198" t="s">
        <v>1102</v>
      </c>
      <c r="E766" s="198" t="s">
        <v>44</v>
      </c>
      <c r="F766" s="4" t="s">
        <v>2657</v>
      </c>
      <c r="G766" s="198"/>
      <c r="H766" s="4" t="s">
        <v>4072</v>
      </c>
      <c r="I766" s="198" t="s">
        <v>2685</v>
      </c>
      <c r="J766" s="198" t="s">
        <v>532</v>
      </c>
      <c r="K766" s="198" t="s">
        <v>2272</v>
      </c>
      <c r="L766" s="198" t="s">
        <v>2272</v>
      </c>
      <c r="M766" s="198" t="s">
        <v>2272</v>
      </c>
      <c r="N766" s="198" t="s">
        <v>2272</v>
      </c>
      <c r="O766" s="198" t="s">
        <v>2272</v>
      </c>
      <c r="P766" s="198" t="s">
        <v>2272</v>
      </c>
      <c r="Q766" s="198" t="s">
        <v>2272</v>
      </c>
      <c r="R766" s="198" t="s">
        <v>2272</v>
      </c>
      <c r="S766" s="198" t="s">
        <v>2272</v>
      </c>
      <c r="T766" s="198" t="s">
        <v>2272</v>
      </c>
      <c r="U766" s="198" t="s">
        <v>2272</v>
      </c>
      <c r="V766" s="198" t="s">
        <v>2272</v>
      </c>
      <c r="W766" s="4" t="s">
        <v>7208</v>
      </c>
    </row>
    <row r="767" spans="1:23" ht="58">
      <c r="A767" s="19" t="s">
        <v>7132</v>
      </c>
      <c r="B767" s="19" t="s">
        <v>7207</v>
      </c>
      <c r="C767" s="198" t="s">
        <v>1102</v>
      </c>
      <c r="D767" s="198" t="s">
        <v>1102</v>
      </c>
      <c r="E767" s="198" t="s">
        <v>44</v>
      </c>
      <c r="F767" s="4" t="s">
        <v>2657</v>
      </c>
      <c r="G767" s="198"/>
      <c r="H767" s="4" t="s">
        <v>4072</v>
      </c>
      <c r="I767" s="198" t="s">
        <v>2685</v>
      </c>
      <c r="J767" s="198" t="s">
        <v>532</v>
      </c>
      <c r="K767" s="198" t="s">
        <v>2272</v>
      </c>
      <c r="L767" s="198" t="s">
        <v>2272</v>
      </c>
      <c r="M767" s="198" t="s">
        <v>2272</v>
      </c>
      <c r="N767" s="198" t="s">
        <v>2272</v>
      </c>
      <c r="O767" s="198" t="s">
        <v>2272</v>
      </c>
      <c r="P767" s="198" t="s">
        <v>2272</v>
      </c>
      <c r="Q767" s="198" t="s">
        <v>2272</v>
      </c>
      <c r="R767" s="198" t="s">
        <v>2272</v>
      </c>
      <c r="S767" s="198" t="s">
        <v>2272</v>
      </c>
      <c r="T767" s="198" t="s">
        <v>2272</v>
      </c>
      <c r="U767" s="198" t="s">
        <v>2272</v>
      </c>
      <c r="V767" s="198" t="s">
        <v>2272</v>
      </c>
      <c r="W767" s="4" t="s">
        <v>7208</v>
      </c>
    </row>
    <row r="768" spans="1:23" ht="51" customHeight="1">
      <c r="A768" s="19" t="s">
        <v>7158</v>
      </c>
      <c r="B768" s="19" t="s">
        <v>7210</v>
      </c>
      <c r="C768" s="198" t="s">
        <v>23</v>
      </c>
      <c r="D768" s="4" t="s">
        <v>2799</v>
      </c>
      <c r="E768" s="198" t="s">
        <v>44</v>
      </c>
      <c r="F768" s="4" t="s">
        <v>2657</v>
      </c>
      <c r="G768" s="198"/>
      <c r="H768" s="4" t="s">
        <v>4072</v>
      </c>
      <c r="I768" s="198" t="s">
        <v>2686</v>
      </c>
      <c r="J768" s="198" t="s">
        <v>532</v>
      </c>
      <c r="K768" s="198" t="s">
        <v>2272</v>
      </c>
      <c r="L768" s="198" t="s">
        <v>2272</v>
      </c>
      <c r="M768" s="198" t="s">
        <v>2272</v>
      </c>
      <c r="N768" s="198" t="s">
        <v>2272</v>
      </c>
      <c r="O768" s="198" t="s">
        <v>2272</v>
      </c>
      <c r="P768" s="198" t="s">
        <v>2272</v>
      </c>
      <c r="Q768" s="198" t="s">
        <v>2272</v>
      </c>
      <c r="R768" s="198" t="s">
        <v>2272</v>
      </c>
      <c r="S768" s="198" t="s">
        <v>2272</v>
      </c>
      <c r="T768" s="198" t="s">
        <v>2272</v>
      </c>
      <c r="U768" s="198" t="s">
        <v>2272</v>
      </c>
      <c r="V768" s="198" t="s">
        <v>2272</v>
      </c>
      <c r="W768" s="4" t="s">
        <v>7216</v>
      </c>
    </row>
    <row r="769" spans="1:23" ht="53.5" customHeight="1">
      <c r="A769" s="19" t="s">
        <v>7159</v>
      </c>
      <c r="B769" s="19" t="s">
        <v>7213</v>
      </c>
      <c r="C769" s="198" t="s">
        <v>23</v>
      </c>
      <c r="D769" s="4" t="s">
        <v>2799</v>
      </c>
      <c r="E769" s="198" t="s">
        <v>44</v>
      </c>
      <c r="F769" s="4" t="s">
        <v>2657</v>
      </c>
      <c r="G769" s="198"/>
      <c r="H769" s="4" t="s">
        <v>4072</v>
      </c>
      <c r="I769" s="198" t="s">
        <v>2686</v>
      </c>
      <c r="J769" s="198" t="s">
        <v>532</v>
      </c>
      <c r="K769" s="198" t="s">
        <v>2272</v>
      </c>
      <c r="L769" s="198" t="s">
        <v>2272</v>
      </c>
      <c r="M769" s="198" t="s">
        <v>2272</v>
      </c>
      <c r="N769" s="198" t="s">
        <v>2272</v>
      </c>
      <c r="O769" s="198" t="s">
        <v>2272</v>
      </c>
      <c r="P769" s="198" t="s">
        <v>2272</v>
      </c>
      <c r="Q769" s="198" t="s">
        <v>2272</v>
      </c>
      <c r="R769" s="198" t="s">
        <v>2272</v>
      </c>
      <c r="S769" s="198" t="s">
        <v>2272</v>
      </c>
      <c r="T769" s="198" t="s">
        <v>2272</v>
      </c>
      <c r="U769" s="198" t="s">
        <v>2272</v>
      </c>
      <c r="V769" s="198" t="s">
        <v>2272</v>
      </c>
      <c r="W769" s="4" t="s">
        <v>7216</v>
      </c>
    </row>
    <row r="770" spans="1:23" ht="58" customHeight="1">
      <c r="A770" s="19" t="s">
        <v>7160</v>
      </c>
      <c r="B770" s="19" t="s">
        <v>7215</v>
      </c>
      <c r="C770" s="198" t="s">
        <v>23</v>
      </c>
      <c r="D770" s="4" t="s">
        <v>2799</v>
      </c>
      <c r="E770" s="198" t="s">
        <v>44</v>
      </c>
      <c r="F770" s="4" t="s">
        <v>2657</v>
      </c>
      <c r="G770" s="198"/>
      <c r="H770" s="4" t="s">
        <v>4072</v>
      </c>
      <c r="I770" s="198" t="s">
        <v>2686</v>
      </c>
      <c r="J770" s="198" t="s">
        <v>532</v>
      </c>
      <c r="K770" s="198" t="s">
        <v>2272</v>
      </c>
      <c r="L770" s="198" t="s">
        <v>2272</v>
      </c>
      <c r="M770" s="198" t="s">
        <v>2272</v>
      </c>
      <c r="N770" s="198" t="s">
        <v>2272</v>
      </c>
      <c r="O770" s="198" t="s">
        <v>2272</v>
      </c>
      <c r="P770" s="198" t="s">
        <v>2272</v>
      </c>
      <c r="Q770" s="198" t="s">
        <v>2272</v>
      </c>
      <c r="R770" s="198" t="s">
        <v>2272</v>
      </c>
      <c r="S770" s="198" t="s">
        <v>2272</v>
      </c>
      <c r="T770" s="198" t="s">
        <v>2272</v>
      </c>
      <c r="U770" s="198" t="s">
        <v>2272</v>
      </c>
      <c r="V770" s="198" t="s">
        <v>2272</v>
      </c>
      <c r="W770" s="4" t="s">
        <v>7216</v>
      </c>
    </row>
    <row r="771" spans="1:23" ht="29.5" customHeight="1">
      <c r="A771" s="19" t="s">
        <v>7224</v>
      </c>
      <c r="B771" s="19" t="s">
        <v>7231</v>
      </c>
      <c r="C771" s="198" t="s">
        <v>23</v>
      </c>
      <c r="D771" s="198" t="s">
        <v>1238</v>
      </c>
      <c r="E771" s="198" t="s">
        <v>2644</v>
      </c>
      <c r="F771" s="4" t="s">
        <v>2657</v>
      </c>
      <c r="G771" s="198"/>
      <c r="H771" s="4" t="s">
        <v>539</v>
      </c>
      <c r="I771" s="198" t="s">
        <v>2272</v>
      </c>
      <c r="J771" s="198" t="s">
        <v>2272</v>
      </c>
      <c r="K771" s="198" t="s">
        <v>2272</v>
      </c>
      <c r="L771" s="198" t="s">
        <v>2272</v>
      </c>
      <c r="M771" s="198" t="s">
        <v>2272</v>
      </c>
      <c r="N771" s="198" t="s">
        <v>2272</v>
      </c>
      <c r="O771" s="198" t="s">
        <v>2272</v>
      </c>
      <c r="P771" s="198" t="s">
        <v>2272</v>
      </c>
      <c r="Q771" s="198" t="s">
        <v>2272</v>
      </c>
      <c r="R771" s="198" t="s">
        <v>532</v>
      </c>
      <c r="S771" s="198" t="s">
        <v>2272</v>
      </c>
      <c r="T771" s="198" t="s">
        <v>2272</v>
      </c>
      <c r="U771" s="198" t="s">
        <v>2272</v>
      </c>
      <c r="V771" s="198">
        <v>4</v>
      </c>
      <c r="W771" s="19" t="s">
        <v>7234</v>
      </c>
    </row>
    <row r="772" spans="1:23" ht="33.5" customHeight="1">
      <c r="A772" s="19" t="s">
        <v>7224</v>
      </c>
      <c r="B772" s="19" t="s">
        <v>7232</v>
      </c>
      <c r="C772" s="198" t="s">
        <v>23</v>
      </c>
      <c r="D772" s="198" t="s">
        <v>1238</v>
      </c>
      <c r="E772" s="198" t="s">
        <v>135</v>
      </c>
      <c r="F772" s="4" t="s">
        <v>2657</v>
      </c>
      <c r="G772" s="198"/>
      <c r="H772" s="4" t="s">
        <v>539</v>
      </c>
      <c r="I772" s="198" t="s">
        <v>2272</v>
      </c>
      <c r="J772" s="198" t="s">
        <v>2272</v>
      </c>
      <c r="K772" s="198" t="s">
        <v>2272</v>
      </c>
      <c r="L772" s="198" t="s">
        <v>2272</v>
      </c>
      <c r="M772" s="198" t="s">
        <v>2272</v>
      </c>
      <c r="N772" s="198" t="s">
        <v>2272</v>
      </c>
      <c r="O772" s="198" t="s">
        <v>2272</v>
      </c>
      <c r="P772" s="198" t="s">
        <v>2272</v>
      </c>
      <c r="Q772" s="198" t="s">
        <v>2272</v>
      </c>
      <c r="R772" s="198" t="s">
        <v>532</v>
      </c>
      <c r="S772" s="198" t="s">
        <v>2272</v>
      </c>
      <c r="T772" s="198" t="s">
        <v>2272</v>
      </c>
      <c r="U772" s="198" t="s">
        <v>2272</v>
      </c>
      <c r="V772" s="198">
        <v>4</v>
      </c>
      <c r="W772" s="19" t="s">
        <v>7234</v>
      </c>
    </row>
    <row r="773" spans="1:23" ht="34" customHeight="1">
      <c r="A773" s="19" t="s">
        <v>7226</v>
      </c>
      <c r="B773" s="19" t="s">
        <v>7240</v>
      </c>
      <c r="C773" s="198" t="s">
        <v>23</v>
      </c>
      <c r="D773" s="4" t="s">
        <v>2799</v>
      </c>
      <c r="E773" s="198" t="s">
        <v>44</v>
      </c>
      <c r="F773" s="4" t="s">
        <v>2657</v>
      </c>
      <c r="G773" s="198">
        <v>1990</v>
      </c>
      <c r="H773" s="4" t="s">
        <v>539</v>
      </c>
      <c r="I773" s="198" t="s">
        <v>2272</v>
      </c>
      <c r="J773" s="198" t="s">
        <v>2272</v>
      </c>
      <c r="K773" s="198" t="s">
        <v>2272</v>
      </c>
      <c r="L773" s="198" t="s">
        <v>2272</v>
      </c>
      <c r="M773" s="198" t="s">
        <v>2666</v>
      </c>
      <c r="N773" s="198" t="s">
        <v>2272</v>
      </c>
      <c r="O773" s="198" t="s">
        <v>532</v>
      </c>
      <c r="P773" s="198" t="s">
        <v>2272</v>
      </c>
      <c r="Q773" s="198">
        <v>2</v>
      </c>
      <c r="R773" s="198" t="s">
        <v>2272</v>
      </c>
      <c r="S773" s="198" t="s">
        <v>2272</v>
      </c>
      <c r="T773" s="198" t="s">
        <v>2272</v>
      </c>
      <c r="U773" s="198" t="s">
        <v>2272</v>
      </c>
      <c r="V773" s="198" t="s">
        <v>2272</v>
      </c>
      <c r="W773" s="4" t="s">
        <v>7247</v>
      </c>
    </row>
    <row r="774" spans="1:23" ht="32" customHeight="1">
      <c r="A774" s="19" t="s">
        <v>7226</v>
      </c>
      <c r="B774" s="19" t="s">
        <v>7242</v>
      </c>
      <c r="C774" s="198" t="s">
        <v>23</v>
      </c>
      <c r="D774" s="4" t="s">
        <v>2799</v>
      </c>
      <c r="E774" s="198" t="s">
        <v>44</v>
      </c>
      <c r="F774" s="4" t="s">
        <v>2657</v>
      </c>
      <c r="G774" s="198">
        <v>2000</v>
      </c>
      <c r="H774" s="4" t="s">
        <v>539</v>
      </c>
      <c r="I774" s="198" t="s">
        <v>2272</v>
      </c>
      <c r="J774" s="198" t="s">
        <v>2272</v>
      </c>
      <c r="K774" s="198" t="s">
        <v>2272</v>
      </c>
      <c r="L774" s="198" t="s">
        <v>2272</v>
      </c>
      <c r="M774" s="198" t="s">
        <v>2666</v>
      </c>
      <c r="N774" s="198" t="s">
        <v>2272</v>
      </c>
      <c r="O774" s="198" t="s">
        <v>532</v>
      </c>
      <c r="P774" s="198" t="s">
        <v>2272</v>
      </c>
      <c r="Q774" s="198">
        <v>4</v>
      </c>
      <c r="R774" s="198" t="s">
        <v>2272</v>
      </c>
      <c r="S774" s="198" t="s">
        <v>2272</v>
      </c>
      <c r="T774" s="198" t="s">
        <v>2272</v>
      </c>
      <c r="U774" s="198" t="s">
        <v>2272</v>
      </c>
      <c r="V774" s="198" t="s">
        <v>2272</v>
      </c>
      <c r="W774" s="19" t="s">
        <v>7246</v>
      </c>
    </row>
    <row r="775" spans="1:23" ht="35.5" customHeight="1">
      <c r="A775" s="19" t="s">
        <v>7227</v>
      </c>
      <c r="B775" s="19" t="s">
        <v>7241</v>
      </c>
      <c r="C775" s="198" t="s">
        <v>23</v>
      </c>
      <c r="D775" s="4" t="s">
        <v>2799</v>
      </c>
      <c r="E775" s="198" t="s">
        <v>44</v>
      </c>
      <c r="F775" s="4" t="s">
        <v>2657</v>
      </c>
      <c r="G775" s="198"/>
      <c r="H775" s="4" t="s">
        <v>539</v>
      </c>
      <c r="I775" s="198" t="s">
        <v>2272</v>
      </c>
      <c r="J775" s="198" t="s">
        <v>2272</v>
      </c>
      <c r="K775" s="198" t="s">
        <v>2272</v>
      </c>
      <c r="L775" s="198" t="s">
        <v>2272</v>
      </c>
      <c r="M775" s="198" t="s">
        <v>2272</v>
      </c>
      <c r="N775" s="198" t="s">
        <v>2272</v>
      </c>
      <c r="O775" s="198" t="s">
        <v>2272</v>
      </c>
      <c r="P775" s="198" t="s">
        <v>2272</v>
      </c>
      <c r="Q775" s="198" t="s">
        <v>2272</v>
      </c>
      <c r="R775" s="198" t="s">
        <v>532</v>
      </c>
      <c r="S775" s="198" t="s">
        <v>2272</v>
      </c>
      <c r="T775" s="198" t="s">
        <v>2272</v>
      </c>
      <c r="U775" s="198" t="s">
        <v>2272</v>
      </c>
      <c r="V775" s="198">
        <v>2</v>
      </c>
      <c r="W775" s="19" t="s">
        <v>7250</v>
      </c>
    </row>
    <row r="776" spans="1:23" ht="35.5" customHeight="1">
      <c r="A776" s="19" t="s">
        <v>7227</v>
      </c>
      <c r="B776" s="19" t="s">
        <v>7248</v>
      </c>
      <c r="C776" s="198" t="s">
        <v>23</v>
      </c>
      <c r="D776" s="4" t="s">
        <v>2799</v>
      </c>
      <c r="E776" s="198" t="s">
        <v>44</v>
      </c>
      <c r="F776" s="4" t="s">
        <v>2657</v>
      </c>
      <c r="G776" s="198"/>
      <c r="H776" s="4" t="s">
        <v>539</v>
      </c>
      <c r="I776" s="198" t="s">
        <v>2272</v>
      </c>
      <c r="J776" s="198" t="s">
        <v>2272</v>
      </c>
      <c r="K776" s="198" t="s">
        <v>2272</v>
      </c>
      <c r="L776" s="198" t="s">
        <v>2272</v>
      </c>
      <c r="M776" s="198" t="s">
        <v>2664</v>
      </c>
      <c r="N776" s="198" t="s">
        <v>2272</v>
      </c>
      <c r="O776" s="198" t="s">
        <v>2272</v>
      </c>
      <c r="P776" s="198" t="s">
        <v>2272</v>
      </c>
      <c r="Q776" s="198">
        <v>4</v>
      </c>
      <c r="R776" s="198" t="s">
        <v>2272</v>
      </c>
      <c r="S776" s="198" t="s">
        <v>2272</v>
      </c>
      <c r="T776" s="198" t="s">
        <v>2272</v>
      </c>
      <c r="U776" s="198" t="s">
        <v>2272</v>
      </c>
      <c r="V776" s="198" t="s">
        <v>2272</v>
      </c>
      <c r="W776" s="19" t="s">
        <v>7251</v>
      </c>
    </row>
    <row r="777" spans="1:23" ht="46.5" customHeight="1">
      <c r="A777" s="19" t="s">
        <v>7583</v>
      </c>
      <c r="B777" s="19" t="s">
        <v>7584</v>
      </c>
      <c r="C777" s="4" t="s">
        <v>23</v>
      </c>
      <c r="D777" s="4" t="s">
        <v>1238</v>
      </c>
      <c r="E777" s="4" t="s">
        <v>3204</v>
      </c>
      <c r="F777" s="4" t="s">
        <v>2657</v>
      </c>
      <c r="G777" s="198"/>
      <c r="H777" s="4" t="s">
        <v>2668</v>
      </c>
      <c r="I777" s="198" t="s">
        <v>2272</v>
      </c>
      <c r="J777" s="198" t="s">
        <v>2272</v>
      </c>
      <c r="K777" s="198" t="s">
        <v>2272</v>
      </c>
      <c r="L777" s="198" t="s">
        <v>2272</v>
      </c>
      <c r="M777" s="198" t="s">
        <v>2723</v>
      </c>
      <c r="N777" s="198" t="s">
        <v>2272</v>
      </c>
      <c r="O777" s="198" t="s">
        <v>2272</v>
      </c>
      <c r="P777" s="198" t="s">
        <v>2272</v>
      </c>
      <c r="Q777" s="198" t="s">
        <v>2272</v>
      </c>
      <c r="R777" s="198" t="s">
        <v>535</v>
      </c>
      <c r="S777" s="198" t="s">
        <v>535</v>
      </c>
      <c r="T777" s="198" t="s">
        <v>535</v>
      </c>
      <c r="U777" s="198" t="s">
        <v>535</v>
      </c>
      <c r="V777" s="198" t="s">
        <v>2272</v>
      </c>
      <c r="W777" s="4" t="s">
        <v>7628</v>
      </c>
    </row>
    <row r="778" spans="1:23" ht="46.5" customHeight="1">
      <c r="A778" s="19" t="s">
        <v>7605</v>
      </c>
      <c r="B778" s="19" t="s">
        <v>7606</v>
      </c>
      <c r="C778" s="4" t="s">
        <v>23</v>
      </c>
      <c r="D778" s="4" t="s">
        <v>1238</v>
      </c>
      <c r="E778" s="4" t="s">
        <v>3204</v>
      </c>
      <c r="F778" s="4" t="s">
        <v>2657</v>
      </c>
      <c r="G778" s="198"/>
      <c r="H778" s="4" t="s">
        <v>2668</v>
      </c>
      <c r="I778" s="198" t="s">
        <v>2272</v>
      </c>
      <c r="J778" s="198" t="s">
        <v>2272</v>
      </c>
      <c r="K778" s="198" t="s">
        <v>2272</v>
      </c>
      <c r="L778" s="198" t="s">
        <v>2272</v>
      </c>
      <c r="M778" s="198" t="s">
        <v>2723</v>
      </c>
      <c r="N778" s="198" t="s">
        <v>2272</v>
      </c>
      <c r="O778" s="198" t="s">
        <v>2272</v>
      </c>
      <c r="P778" s="198" t="s">
        <v>2272</v>
      </c>
      <c r="Q778" s="198" t="s">
        <v>2272</v>
      </c>
      <c r="R778" s="198" t="s">
        <v>535</v>
      </c>
      <c r="S778" s="198" t="s">
        <v>535</v>
      </c>
      <c r="T778" s="198" t="s">
        <v>535</v>
      </c>
      <c r="U778" s="198" t="s">
        <v>535</v>
      </c>
      <c r="V778" s="198" t="s">
        <v>2272</v>
      </c>
      <c r="W778" s="4" t="s">
        <v>7627</v>
      </c>
    </row>
    <row r="779" spans="1:23" ht="46.5" customHeight="1">
      <c r="A779" s="19" t="s">
        <v>7608</v>
      </c>
      <c r="B779" s="19" t="s">
        <v>7610</v>
      </c>
      <c r="C779" s="4" t="s">
        <v>23</v>
      </c>
      <c r="D779" s="4" t="s">
        <v>1238</v>
      </c>
      <c r="E779" s="4" t="s">
        <v>3204</v>
      </c>
      <c r="F779" s="4" t="s">
        <v>2657</v>
      </c>
      <c r="G779" s="198">
        <v>1994</v>
      </c>
      <c r="H779" s="4" t="s">
        <v>539</v>
      </c>
      <c r="I779" s="198" t="s">
        <v>2272</v>
      </c>
      <c r="J779" s="198" t="s">
        <v>2272</v>
      </c>
      <c r="K779" s="198" t="s">
        <v>2272</v>
      </c>
      <c r="L779" s="198" t="s">
        <v>2272</v>
      </c>
      <c r="M779" s="198" t="s">
        <v>2723</v>
      </c>
      <c r="N779" s="198" t="s">
        <v>2272</v>
      </c>
      <c r="O779" s="198" t="s">
        <v>2272</v>
      </c>
      <c r="P779" s="198" t="s">
        <v>2272</v>
      </c>
      <c r="Q779" s="198" t="s">
        <v>2272</v>
      </c>
      <c r="R779" s="198" t="s">
        <v>535</v>
      </c>
      <c r="S779" s="198" t="s">
        <v>535</v>
      </c>
      <c r="T779" s="198" t="s">
        <v>535</v>
      </c>
      <c r="U779" s="198" t="s">
        <v>535</v>
      </c>
      <c r="V779" s="198" t="s">
        <v>2272</v>
      </c>
      <c r="W779" s="4" t="s">
        <v>7629</v>
      </c>
    </row>
    <row r="780" spans="1:23" s="197" customFormat="1" ht="46.5" customHeight="1">
      <c r="A780" s="19" t="s">
        <v>7608</v>
      </c>
      <c r="B780" s="19" t="s">
        <v>7614</v>
      </c>
      <c r="C780" s="4" t="s">
        <v>23</v>
      </c>
      <c r="D780" s="4" t="s">
        <v>1238</v>
      </c>
      <c r="E780" s="4" t="s">
        <v>3204</v>
      </c>
      <c r="F780" s="4" t="s">
        <v>2657</v>
      </c>
      <c r="G780" s="198">
        <v>2005</v>
      </c>
      <c r="H780" s="4" t="s">
        <v>539</v>
      </c>
      <c r="I780" s="198" t="s">
        <v>2686</v>
      </c>
      <c r="J780" s="198" t="s">
        <v>532</v>
      </c>
      <c r="K780" s="198" t="s">
        <v>532</v>
      </c>
      <c r="L780" s="198" t="s">
        <v>532</v>
      </c>
      <c r="M780" s="198" t="s">
        <v>2723</v>
      </c>
      <c r="N780" s="198" t="s">
        <v>2272</v>
      </c>
      <c r="O780" s="198" t="s">
        <v>2272</v>
      </c>
      <c r="P780" s="198" t="s">
        <v>2272</v>
      </c>
      <c r="Q780" s="198" t="s">
        <v>2272</v>
      </c>
      <c r="R780" s="198" t="s">
        <v>535</v>
      </c>
      <c r="S780" s="198" t="s">
        <v>535</v>
      </c>
      <c r="T780" s="198" t="s">
        <v>535</v>
      </c>
      <c r="U780" s="198" t="s">
        <v>535</v>
      </c>
      <c r="V780" s="198" t="s">
        <v>2272</v>
      </c>
      <c r="W780" s="4" t="s">
        <v>7626</v>
      </c>
    </row>
    <row r="781" spans="1:23" ht="46.5" customHeight="1">
      <c r="A781" s="19" t="s">
        <v>7609</v>
      </c>
      <c r="B781" s="19" t="s">
        <v>7611</v>
      </c>
      <c r="C781" s="4" t="s">
        <v>23</v>
      </c>
      <c r="D781" s="4" t="s">
        <v>1238</v>
      </c>
      <c r="E781" s="4" t="s">
        <v>3204</v>
      </c>
      <c r="F781" s="4" t="s">
        <v>2657</v>
      </c>
      <c r="G781" s="198"/>
      <c r="H781" s="4" t="s">
        <v>539</v>
      </c>
      <c r="I781" s="198" t="s">
        <v>2272</v>
      </c>
      <c r="J781" s="198" t="s">
        <v>2272</v>
      </c>
      <c r="K781" s="198" t="s">
        <v>2272</v>
      </c>
      <c r="L781" s="198" t="s">
        <v>2272</v>
      </c>
      <c r="M781" s="198" t="s">
        <v>2723</v>
      </c>
      <c r="N781" s="198" t="s">
        <v>2272</v>
      </c>
      <c r="O781" s="198" t="s">
        <v>2272</v>
      </c>
      <c r="P781" s="198" t="s">
        <v>2272</v>
      </c>
      <c r="Q781" s="198" t="s">
        <v>2272</v>
      </c>
      <c r="R781" s="198" t="s">
        <v>535</v>
      </c>
      <c r="S781" s="198" t="s">
        <v>535</v>
      </c>
      <c r="T781" s="198" t="s">
        <v>535</v>
      </c>
      <c r="U781" s="198" t="s">
        <v>535</v>
      </c>
      <c r="V781" s="198" t="s">
        <v>2272</v>
      </c>
      <c r="W781" s="4" t="s">
        <v>7629</v>
      </c>
    </row>
    <row r="782" spans="1:23" ht="37" customHeight="1">
      <c r="A782" s="19" t="s">
        <v>7583</v>
      </c>
      <c r="B782" s="19" t="s">
        <v>7585</v>
      </c>
      <c r="C782" s="4" t="s">
        <v>23</v>
      </c>
      <c r="D782" s="4" t="s">
        <v>1238</v>
      </c>
      <c r="E782" s="4" t="s">
        <v>3204</v>
      </c>
      <c r="F782" s="4" t="s">
        <v>73</v>
      </c>
      <c r="G782" s="198"/>
      <c r="H782" s="4" t="s">
        <v>2668</v>
      </c>
      <c r="I782" s="198" t="s">
        <v>2272</v>
      </c>
      <c r="J782" s="198" t="s">
        <v>2272</v>
      </c>
      <c r="K782" s="198" t="s">
        <v>2272</v>
      </c>
      <c r="L782" s="198" t="s">
        <v>2272</v>
      </c>
      <c r="M782" s="198" t="s">
        <v>2723</v>
      </c>
      <c r="N782" s="198" t="s">
        <v>2272</v>
      </c>
      <c r="O782" s="198" t="s">
        <v>2272</v>
      </c>
      <c r="P782" s="198" t="s">
        <v>2272</v>
      </c>
      <c r="Q782" s="198" t="s">
        <v>2272</v>
      </c>
      <c r="R782" s="198" t="s">
        <v>535</v>
      </c>
      <c r="S782" s="198" t="s">
        <v>535</v>
      </c>
      <c r="T782" s="198" t="s">
        <v>535</v>
      </c>
      <c r="U782" s="198" t="s">
        <v>535</v>
      </c>
      <c r="V782" s="198" t="s">
        <v>2272</v>
      </c>
      <c r="W782" s="4" t="s">
        <v>7628</v>
      </c>
    </row>
    <row r="783" spans="1:23" ht="37" customHeight="1">
      <c r="A783" s="19" t="s">
        <v>7605</v>
      </c>
      <c r="B783" s="19" t="s">
        <v>7619</v>
      </c>
      <c r="C783" s="4" t="s">
        <v>23</v>
      </c>
      <c r="D783" s="4" t="s">
        <v>1238</v>
      </c>
      <c r="E783" s="4" t="s">
        <v>3204</v>
      </c>
      <c r="F783" s="4" t="s">
        <v>73</v>
      </c>
      <c r="G783" s="198"/>
      <c r="H783" s="4" t="s">
        <v>2668</v>
      </c>
      <c r="I783" s="198" t="s">
        <v>2272</v>
      </c>
      <c r="J783" s="198" t="s">
        <v>2272</v>
      </c>
      <c r="K783" s="198" t="s">
        <v>2272</v>
      </c>
      <c r="L783" s="198" t="s">
        <v>2272</v>
      </c>
      <c r="M783" s="198" t="s">
        <v>2723</v>
      </c>
      <c r="N783" s="198" t="s">
        <v>2272</v>
      </c>
      <c r="O783" s="198" t="s">
        <v>2272</v>
      </c>
      <c r="P783" s="198" t="s">
        <v>2272</v>
      </c>
      <c r="Q783" s="198" t="s">
        <v>2272</v>
      </c>
      <c r="R783" s="198" t="s">
        <v>535</v>
      </c>
      <c r="S783" s="198" t="s">
        <v>535</v>
      </c>
      <c r="T783" s="198" t="s">
        <v>535</v>
      </c>
      <c r="U783" s="198" t="s">
        <v>535</v>
      </c>
      <c r="V783" s="198" t="s">
        <v>2272</v>
      </c>
      <c r="W783" s="4" t="s">
        <v>7627</v>
      </c>
    </row>
    <row r="784" spans="1:23" ht="37" customHeight="1">
      <c r="A784" s="19" t="s">
        <v>7608</v>
      </c>
      <c r="B784" s="19" t="s">
        <v>7624</v>
      </c>
      <c r="C784" s="4" t="s">
        <v>23</v>
      </c>
      <c r="D784" s="4" t="s">
        <v>1238</v>
      </c>
      <c r="E784" s="4" t="s">
        <v>3204</v>
      </c>
      <c r="F784" s="4" t="s">
        <v>73</v>
      </c>
      <c r="G784" s="198">
        <v>1994</v>
      </c>
      <c r="H784" s="4" t="s">
        <v>539</v>
      </c>
      <c r="I784" s="198" t="s">
        <v>2272</v>
      </c>
      <c r="J784" s="198" t="s">
        <v>2272</v>
      </c>
      <c r="K784" s="198" t="s">
        <v>2272</v>
      </c>
      <c r="L784" s="198" t="s">
        <v>2272</v>
      </c>
      <c r="M784" s="198" t="s">
        <v>2723</v>
      </c>
      <c r="N784" s="198" t="s">
        <v>2272</v>
      </c>
      <c r="O784" s="198" t="s">
        <v>2272</v>
      </c>
      <c r="P784" s="198" t="s">
        <v>2272</v>
      </c>
      <c r="Q784" s="198" t="s">
        <v>2272</v>
      </c>
      <c r="R784" s="198" t="s">
        <v>535</v>
      </c>
      <c r="S784" s="198" t="s">
        <v>535</v>
      </c>
      <c r="T784" s="198" t="s">
        <v>535</v>
      </c>
      <c r="U784" s="198" t="s">
        <v>535</v>
      </c>
      <c r="V784" s="198" t="s">
        <v>2272</v>
      </c>
      <c r="W784" s="4" t="s">
        <v>7629</v>
      </c>
    </row>
    <row r="785" spans="1:23" s="197" customFormat="1" ht="37" customHeight="1">
      <c r="A785" s="19" t="s">
        <v>7608</v>
      </c>
      <c r="B785" s="19" t="s">
        <v>7625</v>
      </c>
      <c r="C785" s="4" t="s">
        <v>23</v>
      </c>
      <c r="D785" s="4" t="s">
        <v>1238</v>
      </c>
      <c r="E785" s="4" t="s">
        <v>3204</v>
      </c>
      <c r="F785" s="4" t="s">
        <v>73</v>
      </c>
      <c r="G785" s="198">
        <v>2005</v>
      </c>
      <c r="H785" s="4" t="s">
        <v>539</v>
      </c>
      <c r="I785" s="198" t="s">
        <v>2686</v>
      </c>
      <c r="J785" s="198" t="s">
        <v>532</v>
      </c>
      <c r="K785" s="198" t="s">
        <v>532</v>
      </c>
      <c r="L785" s="198" t="s">
        <v>532</v>
      </c>
      <c r="M785" s="198" t="s">
        <v>2723</v>
      </c>
      <c r="N785" s="198" t="s">
        <v>2272</v>
      </c>
      <c r="O785" s="198" t="s">
        <v>2272</v>
      </c>
      <c r="P785" s="198" t="s">
        <v>2272</v>
      </c>
      <c r="Q785" s="198" t="s">
        <v>2272</v>
      </c>
      <c r="R785" s="198" t="s">
        <v>535</v>
      </c>
      <c r="S785" s="198" t="s">
        <v>535</v>
      </c>
      <c r="T785" s="198" t="s">
        <v>535</v>
      </c>
      <c r="U785" s="198" t="s">
        <v>535</v>
      </c>
      <c r="V785" s="198" t="s">
        <v>2272</v>
      </c>
      <c r="W785" s="4" t="s">
        <v>7626</v>
      </c>
    </row>
    <row r="786" spans="1:23" ht="37" customHeight="1">
      <c r="A786" s="19" t="s">
        <v>7609</v>
      </c>
      <c r="B786" s="19" t="s">
        <v>7612</v>
      </c>
      <c r="C786" s="4" t="s">
        <v>23</v>
      </c>
      <c r="D786" s="4" t="s">
        <v>1238</v>
      </c>
      <c r="E786" s="4" t="s">
        <v>3204</v>
      </c>
      <c r="F786" s="4" t="s">
        <v>73</v>
      </c>
      <c r="G786" s="198"/>
      <c r="H786" s="4" t="s">
        <v>539</v>
      </c>
      <c r="I786" s="198" t="s">
        <v>2272</v>
      </c>
      <c r="J786" s="198" t="s">
        <v>2272</v>
      </c>
      <c r="K786" s="198" t="s">
        <v>2272</v>
      </c>
      <c r="L786" s="198" t="s">
        <v>2272</v>
      </c>
      <c r="M786" s="198" t="s">
        <v>2723</v>
      </c>
      <c r="N786" s="198" t="s">
        <v>2272</v>
      </c>
      <c r="O786" s="198" t="s">
        <v>2272</v>
      </c>
      <c r="P786" s="198" t="s">
        <v>2272</v>
      </c>
      <c r="Q786" s="198" t="s">
        <v>2272</v>
      </c>
      <c r="R786" s="198" t="s">
        <v>535</v>
      </c>
      <c r="S786" s="198" t="s">
        <v>535</v>
      </c>
      <c r="T786" s="198" t="s">
        <v>535</v>
      </c>
      <c r="U786" s="198" t="s">
        <v>535</v>
      </c>
      <c r="V786" s="198" t="s">
        <v>2272</v>
      </c>
      <c r="W786" s="4" t="s">
        <v>7629</v>
      </c>
    </row>
    <row r="787" spans="1:23" ht="30.5" customHeight="1">
      <c r="A787" s="19" t="s">
        <v>7583</v>
      </c>
      <c r="B787" s="19" t="s">
        <v>7586</v>
      </c>
      <c r="C787" s="4" t="s">
        <v>23</v>
      </c>
      <c r="D787" s="4" t="s">
        <v>60</v>
      </c>
      <c r="E787" s="198" t="s">
        <v>2272</v>
      </c>
      <c r="F787" s="4" t="s">
        <v>73</v>
      </c>
      <c r="G787" s="198"/>
      <c r="H787" s="4" t="s">
        <v>2668</v>
      </c>
      <c r="I787" s="198" t="s">
        <v>2272</v>
      </c>
      <c r="J787" s="198" t="s">
        <v>2272</v>
      </c>
      <c r="K787" s="198" t="s">
        <v>2272</v>
      </c>
      <c r="L787" s="198" t="s">
        <v>2272</v>
      </c>
      <c r="M787" s="198" t="s">
        <v>2723</v>
      </c>
      <c r="N787" s="198" t="s">
        <v>2272</v>
      </c>
      <c r="O787" s="198" t="s">
        <v>2272</v>
      </c>
      <c r="P787" s="198" t="s">
        <v>2272</v>
      </c>
      <c r="Q787" s="198" t="s">
        <v>2272</v>
      </c>
      <c r="R787" s="198" t="s">
        <v>535</v>
      </c>
      <c r="S787" s="198" t="s">
        <v>535</v>
      </c>
      <c r="T787" s="198" t="s">
        <v>535</v>
      </c>
      <c r="U787" s="198" t="s">
        <v>535</v>
      </c>
      <c r="V787" s="198" t="s">
        <v>2272</v>
      </c>
      <c r="W787" s="4" t="s">
        <v>7630</v>
      </c>
    </row>
    <row r="788" spans="1:23" ht="38.5" customHeight="1">
      <c r="A788" s="19" t="s">
        <v>7583</v>
      </c>
      <c r="B788" s="19" t="s">
        <v>7587</v>
      </c>
      <c r="C788" s="4" t="s">
        <v>23</v>
      </c>
      <c r="D788" s="4" t="s">
        <v>2799</v>
      </c>
      <c r="E788" s="198" t="s">
        <v>2272</v>
      </c>
      <c r="F788" s="4" t="s">
        <v>2657</v>
      </c>
      <c r="G788" s="198"/>
      <c r="H788" s="4" t="s">
        <v>2668</v>
      </c>
      <c r="I788" s="198" t="s">
        <v>2272</v>
      </c>
      <c r="J788" s="198" t="s">
        <v>2272</v>
      </c>
      <c r="K788" s="198" t="s">
        <v>2272</v>
      </c>
      <c r="L788" s="198" t="s">
        <v>2272</v>
      </c>
      <c r="M788" s="198" t="s">
        <v>2723</v>
      </c>
      <c r="N788" s="198" t="s">
        <v>2272</v>
      </c>
      <c r="O788" s="198" t="s">
        <v>2272</v>
      </c>
      <c r="P788" s="198" t="s">
        <v>2272</v>
      </c>
      <c r="Q788" s="198" t="s">
        <v>2272</v>
      </c>
      <c r="R788" s="198" t="s">
        <v>535</v>
      </c>
      <c r="S788" s="198" t="s">
        <v>535</v>
      </c>
      <c r="T788" s="198" t="s">
        <v>535</v>
      </c>
      <c r="U788" s="198" t="s">
        <v>535</v>
      </c>
      <c r="V788" s="198" t="s">
        <v>2272</v>
      </c>
      <c r="W788" s="4" t="s">
        <v>7630</v>
      </c>
    </row>
    <row r="789" spans="1:23" ht="30.5" customHeight="1">
      <c r="A789" s="19" t="s">
        <v>7583</v>
      </c>
      <c r="B789" s="19" t="s">
        <v>7588</v>
      </c>
      <c r="C789" s="4" t="s">
        <v>23</v>
      </c>
      <c r="D789" s="4" t="s">
        <v>2654</v>
      </c>
      <c r="E789" s="198" t="s">
        <v>2272</v>
      </c>
      <c r="F789" s="4" t="s">
        <v>27</v>
      </c>
      <c r="G789" s="198"/>
      <c r="H789" s="4" t="s">
        <v>2668</v>
      </c>
      <c r="I789" s="198" t="s">
        <v>2272</v>
      </c>
      <c r="J789" s="198" t="s">
        <v>2272</v>
      </c>
      <c r="K789" s="198" t="s">
        <v>2272</v>
      </c>
      <c r="L789" s="198" t="s">
        <v>2272</v>
      </c>
      <c r="M789" s="198" t="s">
        <v>2723</v>
      </c>
      <c r="N789" s="198" t="s">
        <v>2272</v>
      </c>
      <c r="O789" s="198" t="s">
        <v>2272</v>
      </c>
      <c r="P789" s="198" t="s">
        <v>2272</v>
      </c>
      <c r="Q789" s="198" t="s">
        <v>2272</v>
      </c>
      <c r="R789" s="198" t="s">
        <v>535</v>
      </c>
      <c r="S789" s="198" t="s">
        <v>535</v>
      </c>
      <c r="T789" s="198" t="s">
        <v>535</v>
      </c>
      <c r="U789" s="198" t="s">
        <v>535</v>
      </c>
      <c r="V789" s="198" t="s">
        <v>2272</v>
      </c>
      <c r="W789" s="4" t="s">
        <v>7630</v>
      </c>
    </row>
    <row r="790" spans="1:23" s="197" customFormat="1" ht="30.5" customHeight="1">
      <c r="A790" s="19" t="s">
        <v>9947</v>
      </c>
      <c r="B790" s="19" t="s">
        <v>9952</v>
      </c>
      <c r="C790" s="4" t="s">
        <v>23</v>
      </c>
      <c r="D790" s="4" t="s">
        <v>142</v>
      </c>
      <c r="E790" s="198" t="s">
        <v>1102</v>
      </c>
      <c r="F790" s="4" t="s">
        <v>2657</v>
      </c>
      <c r="G790" s="198"/>
      <c r="H790" s="4" t="s">
        <v>539</v>
      </c>
      <c r="I790" s="198" t="s">
        <v>2686</v>
      </c>
      <c r="J790" s="198" t="s">
        <v>2272</v>
      </c>
      <c r="K790" s="198" t="s">
        <v>532</v>
      </c>
      <c r="L790" s="198" t="s">
        <v>2272</v>
      </c>
      <c r="M790" s="198" t="s">
        <v>2272</v>
      </c>
      <c r="N790" s="198" t="s">
        <v>2272</v>
      </c>
      <c r="O790" s="198" t="s">
        <v>2272</v>
      </c>
      <c r="P790" s="198" t="s">
        <v>2272</v>
      </c>
      <c r="Q790" s="198" t="s">
        <v>2272</v>
      </c>
      <c r="R790" s="198" t="s">
        <v>535</v>
      </c>
      <c r="S790" s="198" t="s">
        <v>535</v>
      </c>
      <c r="T790" s="198" t="s">
        <v>535</v>
      </c>
      <c r="U790" s="198" t="s">
        <v>535</v>
      </c>
      <c r="V790" s="198" t="s">
        <v>2272</v>
      </c>
      <c r="W790" s="4"/>
    </row>
    <row r="791" spans="1:23" s="197" customFormat="1" ht="30.5" customHeight="1">
      <c r="A791" s="19" t="s">
        <v>9947</v>
      </c>
      <c r="B791" s="19" t="s">
        <v>9955</v>
      </c>
      <c r="C791" s="4" t="s">
        <v>23</v>
      </c>
      <c r="D791" s="4" t="s">
        <v>142</v>
      </c>
      <c r="E791" s="198" t="s">
        <v>1102</v>
      </c>
      <c r="F791" s="4" t="s">
        <v>2657</v>
      </c>
      <c r="G791" s="198"/>
      <c r="H791" s="4" t="s">
        <v>9956</v>
      </c>
      <c r="I791" s="198" t="s">
        <v>2686</v>
      </c>
      <c r="J791" s="198" t="s">
        <v>2272</v>
      </c>
      <c r="K791" s="198" t="s">
        <v>532</v>
      </c>
      <c r="L791" s="198" t="s">
        <v>2272</v>
      </c>
      <c r="M791" s="198" t="s">
        <v>2272</v>
      </c>
      <c r="N791" s="198" t="s">
        <v>2272</v>
      </c>
      <c r="O791" s="198" t="s">
        <v>2272</v>
      </c>
      <c r="P791" s="198" t="s">
        <v>2272</v>
      </c>
      <c r="Q791" s="198" t="s">
        <v>2272</v>
      </c>
      <c r="R791" s="198" t="s">
        <v>535</v>
      </c>
      <c r="S791" s="198" t="s">
        <v>535</v>
      </c>
      <c r="T791" s="198" t="s">
        <v>535</v>
      </c>
      <c r="U791" s="198" t="s">
        <v>535</v>
      </c>
      <c r="V791" s="198" t="s">
        <v>2272</v>
      </c>
      <c r="W791" s="4"/>
    </row>
    <row r="792" spans="1:23" s="197" customFormat="1" ht="30.5" customHeight="1">
      <c r="A792" s="19" t="s">
        <v>9951</v>
      </c>
      <c r="B792" s="19" t="s">
        <v>9953</v>
      </c>
      <c r="C792" s="4" t="s">
        <v>23</v>
      </c>
      <c r="D792" s="4" t="s">
        <v>1128</v>
      </c>
      <c r="E792" s="198" t="s">
        <v>1102</v>
      </c>
      <c r="F792" s="4" t="s">
        <v>2657</v>
      </c>
      <c r="G792" s="198"/>
      <c r="H792" s="4" t="s">
        <v>539</v>
      </c>
      <c r="I792" s="198" t="s">
        <v>2272</v>
      </c>
      <c r="J792" s="198" t="s">
        <v>2272</v>
      </c>
      <c r="K792" s="198" t="s">
        <v>2272</v>
      </c>
      <c r="L792" s="198" t="s">
        <v>2272</v>
      </c>
      <c r="M792" s="198" t="s">
        <v>2723</v>
      </c>
      <c r="N792" s="198" t="s">
        <v>2272</v>
      </c>
      <c r="O792" s="198" t="s">
        <v>532</v>
      </c>
      <c r="P792" s="198" t="s">
        <v>2272</v>
      </c>
      <c r="Q792" s="198" t="s">
        <v>2272</v>
      </c>
      <c r="R792" s="198" t="s">
        <v>535</v>
      </c>
      <c r="S792" s="198" t="s">
        <v>535</v>
      </c>
      <c r="T792" s="198" t="s">
        <v>535</v>
      </c>
      <c r="U792" s="198" t="s">
        <v>535</v>
      </c>
      <c r="V792" s="198" t="s">
        <v>2272</v>
      </c>
      <c r="W792" s="4"/>
    </row>
    <row r="793" spans="1:23" s="197" customFormat="1" ht="30.5" customHeight="1">
      <c r="A793" s="19" t="s">
        <v>9951</v>
      </c>
      <c r="B793" s="19" t="s">
        <v>9954</v>
      </c>
      <c r="C793" s="4" t="s">
        <v>23</v>
      </c>
      <c r="D793" s="4" t="s">
        <v>1241</v>
      </c>
      <c r="E793" s="198" t="s">
        <v>1102</v>
      </c>
      <c r="F793" s="4" t="s">
        <v>2657</v>
      </c>
      <c r="G793" s="198"/>
      <c r="H793" s="4" t="s">
        <v>539</v>
      </c>
      <c r="I793" s="198" t="s">
        <v>2272</v>
      </c>
      <c r="J793" s="198" t="s">
        <v>2272</v>
      </c>
      <c r="K793" s="198" t="s">
        <v>2272</v>
      </c>
      <c r="L793" s="198" t="s">
        <v>2272</v>
      </c>
      <c r="M793" s="198" t="s">
        <v>2723</v>
      </c>
      <c r="N793" s="198" t="s">
        <v>2272</v>
      </c>
      <c r="O793" s="198" t="s">
        <v>532</v>
      </c>
      <c r="P793" s="198" t="s">
        <v>2272</v>
      </c>
      <c r="Q793" s="198" t="s">
        <v>2272</v>
      </c>
      <c r="R793" s="198" t="s">
        <v>535</v>
      </c>
      <c r="S793" s="198" t="s">
        <v>535</v>
      </c>
      <c r="T793" s="198" t="s">
        <v>535</v>
      </c>
      <c r="U793" s="198" t="s">
        <v>535</v>
      </c>
      <c r="V793" s="198" t="s">
        <v>2272</v>
      </c>
      <c r="W793" s="4"/>
    </row>
    <row r="794" spans="1:23" s="197" customFormat="1" ht="30.5" customHeight="1">
      <c r="A794" s="19" t="s">
        <v>9959</v>
      </c>
      <c r="B794" s="19" t="s">
        <v>9963</v>
      </c>
      <c r="C794" s="4" t="s">
        <v>23</v>
      </c>
      <c r="D794" s="198" t="s">
        <v>1102</v>
      </c>
      <c r="E794" s="198" t="s">
        <v>1102</v>
      </c>
      <c r="F794" s="4" t="s">
        <v>2657</v>
      </c>
      <c r="G794" s="198">
        <v>2005</v>
      </c>
      <c r="H794" s="4" t="s">
        <v>539</v>
      </c>
      <c r="I794" s="198" t="s">
        <v>2272</v>
      </c>
      <c r="J794" s="198" t="s">
        <v>2272</v>
      </c>
      <c r="K794" s="198" t="s">
        <v>2272</v>
      </c>
      <c r="L794" s="198" t="s">
        <v>2272</v>
      </c>
      <c r="M794" s="198" t="s">
        <v>2272</v>
      </c>
      <c r="N794" s="198" t="s">
        <v>2272</v>
      </c>
      <c r="O794" s="198" t="s">
        <v>2272</v>
      </c>
      <c r="P794" s="198" t="s">
        <v>2272</v>
      </c>
      <c r="Q794" s="198" t="s">
        <v>2272</v>
      </c>
      <c r="R794" s="198" t="s">
        <v>532</v>
      </c>
      <c r="S794" s="198" t="s">
        <v>2272</v>
      </c>
      <c r="T794" s="198" t="s">
        <v>2272</v>
      </c>
      <c r="U794" s="198" t="s">
        <v>2272</v>
      </c>
      <c r="V794" s="198">
        <v>4</v>
      </c>
      <c r="W794" s="4"/>
    </row>
    <row r="795" spans="1:23" s="197" customFormat="1" ht="30.5" customHeight="1">
      <c r="A795" s="19" t="s">
        <v>9959</v>
      </c>
      <c r="B795" s="19" t="s">
        <v>9964</v>
      </c>
      <c r="C795" s="4" t="s">
        <v>23</v>
      </c>
      <c r="D795" s="4" t="s">
        <v>142</v>
      </c>
      <c r="E795" s="4" t="s">
        <v>135</v>
      </c>
      <c r="F795" s="4" t="s">
        <v>2657</v>
      </c>
      <c r="G795" s="198">
        <v>2007</v>
      </c>
      <c r="H795" s="4" t="s">
        <v>539</v>
      </c>
      <c r="I795" s="198" t="s">
        <v>2272</v>
      </c>
      <c r="J795" s="198" t="s">
        <v>2272</v>
      </c>
      <c r="K795" s="198" t="s">
        <v>2272</v>
      </c>
      <c r="L795" s="198" t="s">
        <v>2272</v>
      </c>
      <c r="M795" s="198" t="s">
        <v>2723</v>
      </c>
      <c r="N795" s="198" t="s">
        <v>2272</v>
      </c>
      <c r="O795" s="198" t="s">
        <v>2272</v>
      </c>
      <c r="P795" s="198" t="s">
        <v>2272</v>
      </c>
      <c r="Q795" s="198">
        <v>4</v>
      </c>
      <c r="R795" s="198" t="s">
        <v>535</v>
      </c>
      <c r="S795" s="198" t="s">
        <v>535</v>
      </c>
      <c r="T795" s="198" t="s">
        <v>535</v>
      </c>
      <c r="U795" s="198" t="s">
        <v>535</v>
      </c>
      <c r="V795" s="198" t="s">
        <v>2272</v>
      </c>
      <c r="W795" s="4"/>
    </row>
    <row r="796" spans="1:23" s="197" customFormat="1" ht="30.5" customHeight="1">
      <c r="A796" s="19" t="s">
        <v>9961</v>
      </c>
      <c r="B796" s="19" t="s">
        <v>9967</v>
      </c>
      <c r="C796" s="4" t="s">
        <v>23</v>
      </c>
      <c r="D796" s="198" t="s">
        <v>1102</v>
      </c>
      <c r="E796" s="198" t="s">
        <v>1102</v>
      </c>
      <c r="F796" s="4" t="s">
        <v>1102</v>
      </c>
      <c r="G796" s="198">
        <v>1970</v>
      </c>
      <c r="H796" s="4" t="s">
        <v>539</v>
      </c>
      <c r="I796" s="198" t="s">
        <v>2272</v>
      </c>
      <c r="J796" s="198" t="s">
        <v>2272</v>
      </c>
      <c r="K796" s="198" t="s">
        <v>2272</v>
      </c>
      <c r="L796" s="198" t="s">
        <v>2272</v>
      </c>
      <c r="M796" s="198" t="s">
        <v>2272</v>
      </c>
      <c r="N796" s="198" t="s">
        <v>2272</v>
      </c>
      <c r="O796" s="198" t="s">
        <v>2272</v>
      </c>
      <c r="P796" s="198" t="s">
        <v>2272</v>
      </c>
      <c r="Q796" s="198" t="s">
        <v>2272</v>
      </c>
      <c r="R796" s="198" t="s">
        <v>535</v>
      </c>
      <c r="S796" s="198" t="s">
        <v>535</v>
      </c>
      <c r="T796" s="198" t="s">
        <v>535</v>
      </c>
      <c r="U796" s="198" t="s">
        <v>535</v>
      </c>
      <c r="V796" s="198" t="s">
        <v>2272</v>
      </c>
      <c r="W796" s="4"/>
    </row>
    <row r="797" spans="1:23" s="197" customFormat="1" ht="30.5" customHeight="1">
      <c r="A797" s="19" t="s">
        <v>9961</v>
      </c>
      <c r="B797" s="19" t="s">
        <v>9968</v>
      </c>
      <c r="C797" s="4" t="s">
        <v>23</v>
      </c>
      <c r="D797" s="198" t="s">
        <v>1102</v>
      </c>
      <c r="E797" s="198" t="s">
        <v>1102</v>
      </c>
      <c r="F797" s="4" t="s">
        <v>1102</v>
      </c>
      <c r="G797" s="198">
        <v>1990</v>
      </c>
      <c r="H797" s="4" t="s">
        <v>539</v>
      </c>
      <c r="I797" s="198" t="s">
        <v>2272</v>
      </c>
      <c r="J797" s="198" t="s">
        <v>2272</v>
      </c>
      <c r="K797" s="198" t="s">
        <v>2272</v>
      </c>
      <c r="L797" s="198" t="s">
        <v>2272</v>
      </c>
      <c r="M797" s="198" t="s">
        <v>2272</v>
      </c>
      <c r="N797" s="198" t="s">
        <v>2272</v>
      </c>
      <c r="O797" s="198" t="s">
        <v>2272</v>
      </c>
      <c r="P797" s="198" t="s">
        <v>2272</v>
      </c>
      <c r="Q797" s="198" t="s">
        <v>2272</v>
      </c>
      <c r="R797" s="198" t="s">
        <v>532</v>
      </c>
      <c r="S797" s="198" t="s">
        <v>2272</v>
      </c>
      <c r="T797" s="198" t="s">
        <v>2272</v>
      </c>
      <c r="U797" s="198" t="s">
        <v>2272</v>
      </c>
      <c r="V797" s="198">
        <v>4</v>
      </c>
      <c r="W797" s="4"/>
    </row>
    <row r="798" spans="1:23" ht="35.5" customHeight="1">
      <c r="A798" s="19" t="s">
        <v>7884</v>
      </c>
      <c r="B798" s="19" t="s">
        <v>7887</v>
      </c>
      <c r="C798" s="4" t="s">
        <v>23</v>
      </c>
      <c r="D798" s="198" t="s">
        <v>1102</v>
      </c>
      <c r="E798" s="198" t="s">
        <v>1102</v>
      </c>
      <c r="F798" s="4" t="s">
        <v>2657</v>
      </c>
      <c r="G798" s="198"/>
      <c r="H798" s="4" t="s">
        <v>539</v>
      </c>
      <c r="I798" s="198" t="s">
        <v>2272</v>
      </c>
      <c r="J798" s="198" t="s">
        <v>2272</v>
      </c>
      <c r="K798" s="198" t="s">
        <v>2272</v>
      </c>
      <c r="L798" s="198" t="s">
        <v>2272</v>
      </c>
      <c r="M798" s="198" t="s">
        <v>2272</v>
      </c>
      <c r="N798" s="198" t="s">
        <v>2272</v>
      </c>
      <c r="O798" s="198" t="s">
        <v>2272</v>
      </c>
      <c r="P798" s="198" t="s">
        <v>2272</v>
      </c>
      <c r="Q798" s="198" t="s">
        <v>2272</v>
      </c>
      <c r="R798" s="198" t="s">
        <v>532</v>
      </c>
      <c r="S798" s="198" t="s">
        <v>2272</v>
      </c>
      <c r="T798" s="198" t="s">
        <v>2272</v>
      </c>
      <c r="U798" s="198" t="s">
        <v>2272</v>
      </c>
      <c r="V798" s="198" t="s">
        <v>2272</v>
      </c>
      <c r="W798" s="198" t="s">
        <v>7894</v>
      </c>
    </row>
    <row r="799" spans="1:23" ht="30" customHeight="1">
      <c r="A799" s="19" t="s">
        <v>7890</v>
      </c>
      <c r="B799" s="19" t="s">
        <v>7892</v>
      </c>
      <c r="C799" s="4" t="s">
        <v>23</v>
      </c>
      <c r="D799" s="198" t="s">
        <v>1102</v>
      </c>
      <c r="E799" s="198" t="s">
        <v>1102</v>
      </c>
      <c r="F799" s="4" t="s">
        <v>2657</v>
      </c>
      <c r="G799" s="198"/>
      <c r="H799" s="4" t="s">
        <v>539</v>
      </c>
      <c r="I799" s="198" t="s">
        <v>2272</v>
      </c>
      <c r="J799" s="198" t="s">
        <v>2272</v>
      </c>
      <c r="K799" s="198" t="s">
        <v>2272</v>
      </c>
      <c r="L799" s="198" t="s">
        <v>2272</v>
      </c>
      <c r="M799" s="198" t="s">
        <v>2272</v>
      </c>
      <c r="N799" s="198" t="s">
        <v>2272</v>
      </c>
      <c r="O799" s="198" t="s">
        <v>2272</v>
      </c>
      <c r="P799" s="198" t="s">
        <v>2272</v>
      </c>
      <c r="Q799" s="198" t="s">
        <v>2272</v>
      </c>
      <c r="R799" s="198" t="s">
        <v>532</v>
      </c>
      <c r="S799" s="198" t="s">
        <v>2272</v>
      </c>
      <c r="T799" s="198" t="s">
        <v>2272</v>
      </c>
      <c r="U799" s="198" t="s">
        <v>2272</v>
      </c>
      <c r="V799" s="198" t="s">
        <v>2272</v>
      </c>
      <c r="W799" s="198" t="s">
        <v>7894</v>
      </c>
    </row>
    <row r="800" spans="1:23" ht="50" customHeight="1">
      <c r="A800" s="198" t="s">
        <v>7919</v>
      </c>
      <c r="B800" s="19" t="s">
        <v>7923</v>
      </c>
      <c r="C800" s="4" t="s">
        <v>23</v>
      </c>
      <c r="D800" s="198" t="s">
        <v>1102</v>
      </c>
      <c r="E800" s="198" t="s">
        <v>1102</v>
      </c>
      <c r="F800" s="4" t="s">
        <v>2657</v>
      </c>
      <c r="G800" s="198"/>
      <c r="H800" s="4" t="s">
        <v>539</v>
      </c>
      <c r="I800" s="198" t="s">
        <v>2272</v>
      </c>
      <c r="J800" s="198" t="s">
        <v>2272</v>
      </c>
      <c r="K800" s="198" t="s">
        <v>2272</v>
      </c>
      <c r="L800" s="198" t="s">
        <v>2272</v>
      </c>
      <c r="M800" s="198" t="s">
        <v>2272</v>
      </c>
      <c r="N800" s="198" t="s">
        <v>2272</v>
      </c>
      <c r="O800" s="198" t="s">
        <v>2272</v>
      </c>
      <c r="P800" s="198" t="s">
        <v>2272</v>
      </c>
      <c r="Q800" s="198" t="s">
        <v>2272</v>
      </c>
      <c r="R800" s="198" t="s">
        <v>532</v>
      </c>
      <c r="S800" s="198" t="s">
        <v>2272</v>
      </c>
      <c r="T800" s="198" t="s">
        <v>2272</v>
      </c>
      <c r="U800" s="198" t="s">
        <v>2272</v>
      </c>
      <c r="V800" s="198">
        <v>2</v>
      </c>
      <c r="W800" s="4" t="s">
        <v>7927</v>
      </c>
    </row>
    <row r="801" spans="1:23" ht="36" customHeight="1">
      <c r="A801" s="19" t="s">
        <v>7965</v>
      </c>
      <c r="B801" s="19" t="s">
        <v>7972</v>
      </c>
      <c r="C801" s="198" t="s">
        <v>23</v>
      </c>
      <c r="D801" s="198" t="s">
        <v>2654</v>
      </c>
      <c r="E801" s="198" t="s">
        <v>82</v>
      </c>
      <c r="F801" s="198" t="s">
        <v>27</v>
      </c>
      <c r="G801" s="198"/>
      <c r="H801" s="4" t="s">
        <v>539</v>
      </c>
      <c r="I801" s="198" t="s">
        <v>2272</v>
      </c>
      <c r="J801" s="198" t="s">
        <v>2272</v>
      </c>
      <c r="K801" s="198" t="s">
        <v>2272</v>
      </c>
      <c r="L801" s="198" t="s">
        <v>2272</v>
      </c>
      <c r="M801" s="198" t="s">
        <v>2272</v>
      </c>
      <c r="N801" s="198" t="s">
        <v>2272</v>
      </c>
      <c r="O801" s="198" t="s">
        <v>2272</v>
      </c>
      <c r="P801" s="198" t="s">
        <v>2272</v>
      </c>
      <c r="Q801" s="198" t="s">
        <v>2272</v>
      </c>
      <c r="R801" s="198" t="s">
        <v>532</v>
      </c>
      <c r="S801" s="198" t="s">
        <v>2272</v>
      </c>
      <c r="T801" s="198" t="s">
        <v>2272</v>
      </c>
      <c r="U801" s="198" t="s">
        <v>532</v>
      </c>
      <c r="V801" s="198">
        <v>1</v>
      </c>
      <c r="W801" s="4" t="s">
        <v>7977</v>
      </c>
    </row>
    <row r="802" spans="1:23" ht="36" customHeight="1">
      <c r="A802" s="19" t="s">
        <v>7966</v>
      </c>
      <c r="B802" s="19" t="s">
        <v>7969</v>
      </c>
      <c r="C802" s="198" t="s">
        <v>23</v>
      </c>
      <c r="D802" s="198" t="s">
        <v>2654</v>
      </c>
      <c r="E802" s="198" t="s">
        <v>82</v>
      </c>
      <c r="F802" s="198" t="s">
        <v>27</v>
      </c>
      <c r="G802" s="198"/>
      <c r="H802" s="4" t="s">
        <v>539</v>
      </c>
      <c r="I802" s="198" t="s">
        <v>2272</v>
      </c>
      <c r="J802" s="198" t="s">
        <v>2272</v>
      </c>
      <c r="K802" s="198" t="s">
        <v>2272</v>
      </c>
      <c r="L802" s="198" t="s">
        <v>2272</v>
      </c>
      <c r="M802" s="198" t="s">
        <v>2272</v>
      </c>
      <c r="N802" s="198" t="s">
        <v>2272</v>
      </c>
      <c r="O802" s="198" t="s">
        <v>2272</v>
      </c>
      <c r="P802" s="198" t="s">
        <v>2272</v>
      </c>
      <c r="Q802" s="198" t="s">
        <v>2272</v>
      </c>
      <c r="R802" s="198" t="s">
        <v>532</v>
      </c>
      <c r="S802" s="198" t="s">
        <v>2272</v>
      </c>
      <c r="T802" s="198" t="s">
        <v>2272</v>
      </c>
      <c r="U802" s="198" t="s">
        <v>532</v>
      </c>
      <c r="V802" s="198">
        <v>2</v>
      </c>
      <c r="W802" s="198" t="s">
        <v>7978</v>
      </c>
    </row>
    <row r="803" spans="1:23" ht="51" customHeight="1">
      <c r="A803" s="19" t="s">
        <v>7989</v>
      </c>
      <c r="B803" s="19" t="s">
        <v>7997</v>
      </c>
      <c r="C803" s="198" t="s">
        <v>23</v>
      </c>
      <c r="D803" s="198" t="s">
        <v>142</v>
      </c>
      <c r="E803" s="198" t="s">
        <v>135</v>
      </c>
      <c r="F803" s="4" t="s">
        <v>2657</v>
      </c>
      <c r="G803" s="198"/>
      <c r="H803" s="4" t="s">
        <v>2668</v>
      </c>
      <c r="I803" s="198" t="s">
        <v>2272</v>
      </c>
      <c r="J803" s="198" t="s">
        <v>2272</v>
      </c>
      <c r="K803" s="198" t="s">
        <v>2272</v>
      </c>
      <c r="L803" s="198" t="s">
        <v>2272</v>
      </c>
      <c r="M803" s="198" t="s">
        <v>2723</v>
      </c>
      <c r="N803" s="198" t="s">
        <v>2272</v>
      </c>
      <c r="O803" s="198" t="s">
        <v>2272</v>
      </c>
      <c r="P803" s="198" t="s">
        <v>2272</v>
      </c>
      <c r="Q803" s="198">
        <v>4</v>
      </c>
      <c r="R803" s="198" t="s">
        <v>2272</v>
      </c>
      <c r="S803" s="198" t="s">
        <v>2272</v>
      </c>
      <c r="T803" s="198" t="s">
        <v>2272</v>
      </c>
      <c r="U803" s="198" t="s">
        <v>2272</v>
      </c>
      <c r="V803" s="198" t="s">
        <v>2272</v>
      </c>
      <c r="W803" s="4" t="s">
        <v>8000</v>
      </c>
    </row>
    <row r="804" spans="1:23" ht="51" customHeight="1">
      <c r="A804" s="19" t="s">
        <v>7995</v>
      </c>
      <c r="B804" s="19" t="s">
        <v>7998</v>
      </c>
      <c r="C804" s="198" t="s">
        <v>23</v>
      </c>
      <c r="D804" s="198" t="s">
        <v>142</v>
      </c>
      <c r="E804" s="198" t="s">
        <v>135</v>
      </c>
      <c r="F804" s="4" t="s">
        <v>2657</v>
      </c>
      <c r="G804" s="198"/>
      <c r="H804" s="4" t="s">
        <v>2668</v>
      </c>
      <c r="I804" s="198" t="s">
        <v>2272</v>
      </c>
      <c r="J804" s="198" t="s">
        <v>2272</v>
      </c>
      <c r="K804" s="198" t="s">
        <v>2272</v>
      </c>
      <c r="L804" s="198" t="s">
        <v>2272</v>
      </c>
      <c r="M804" s="198" t="s">
        <v>2723</v>
      </c>
      <c r="N804" s="198" t="s">
        <v>2272</v>
      </c>
      <c r="O804" s="198" t="s">
        <v>2272</v>
      </c>
      <c r="P804" s="198" t="s">
        <v>2272</v>
      </c>
      <c r="Q804" s="198">
        <v>4</v>
      </c>
      <c r="R804" s="198" t="s">
        <v>2272</v>
      </c>
      <c r="S804" s="198" t="s">
        <v>2272</v>
      </c>
      <c r="T804" s="198" t="s">
        <v>2272</v>
      </c>
      <c r="U804" s="198" t="s">
        <v>2272</v>
      </c>
      <c r="V804" s="198" t="s">
        <v>2272</v>
      </c>
      <c r="W804" s="4" t="s">
        <v>8000</v>
      </c>
    </row>
    <row r="805" spans="1:23" ht="51" customHeight="1">
      <c r="A805" s="19" t="s">
        <v>7996</v>
      </c>
      <c r="B805" s="19" t="s">
        <v>7999</v>
      </c>
      <c r="C805" s="198" t="s">
        <v>23</v>
      </c>
      <c r="D805" s="198" t="s">
        <v>142</v>
      </c>
      <c r="E805" s="198" t="s">
        <v>135</v>
      </c>
      <c r="F805" s="4" t="s">
        <v>2657</v>
      </c>
      <c r="G805" s="198"/>
      <c r="H805" s="4" t="s">
        <v>2668</v>
      </c>
      <c r="I805" s="198" t="s">
        <v>2272</v>
      </c>
      <c r="J805" s="198" t="s">
        <v>2272</v>
      </c>
      <c r="K805" s="198" t="s">
        <v>2272</v>
      </c>
      <c r="L805" s="198" t="s">
        <v>2272</v>
      </c>
      <c r="M805" s="198" t="s">
        <v>2723</v>
      </c>
      <c r="N805" s="198" t="s">
        <v>2272</v>
      </c>
      <c r="O805" s="198" t="s">
        <v>2272</v>
      </c>
      <c r="P805" s="198" t="s">
        <v>2272</v>
      </c>
      <c r="Q805" s="198">
        <v>4</v>
      </c>
      <c r="R805" s="198" t="s">
        <v>2272</v>
      </c>
      <c r="S805" s="198" t="s">
        <v>2272</v>
      </c>
      <c r="T805" s="198" t="s">
        <v>2272</v>
      </c>
      <c r="U805" s="198" t="s">
        <v>2272</v>
      </c>
      <c r="V805" s="198" t="s">
        <v>2272</v>
      </c>
      <c r="W805" s="4" t="s">
        <v>8000</v>
      </c>
    </row>
    <row r="806" spans="1:23" ht="36.5" customHeight="1">
      <c r="A806" s="19" t="s">
        <v>8002</v>
      </c>
      <c r="B806" s="19" t="s">
        <v>8004</v>
      </c>
      <c r="C806" s="198" t="s">
        <v>23</v>
      </c>
      <c r="D806" s="198" t="s">
        <v>2799</v>
      </c>
      <c r="E806" s="198" t="s">
        <v>44</v>
      </c>
      <c r="F806" s="4" t="s">
        <v>2657</v>
      </c>
      <c r="G806" s="35"/>
      <c r="H806" s="163" t="s">
        <v>539</v>
      </c>
      <c r="I806" s="35" t="s">
        <v>2272</v>
      </c>
      <c r="J806" s="35" t="s">
        <v>2272</v>
      </c>
      <c r="K806" s="35" t="s">
        <v>2272</v>
      </c>
      <c r="L806" s="35" t="s">
        <v>2272</v>
      </c>
      <c r="M806" s="35" t="s">
        <v>2272</v>
      </c>
      <c r="N806" s="35" t="s">
        <v>2272</v>
      </c>
      <c r="O806" s="35" t="s">
        <v>2272</v>
      </c>
      <c r="P806" s="35" t="s">
        <v>2272</v>
      </c>
      <c r="Q806" s="35" t="s">
        <v>2272</v>
      </c>
      <c r="R806" t="s">
        <v>532</v>
      </c>
      <c r="S806" s="35" t="s">
        <v>2272</v>
      </c>
      <c r="T806" s="35" t="s">
        <v>2272</v>
      </c>
      <c r="U806" s="35" t="s">
        <v>2272</v>
      </c>
      <c r="V806" s="35">
        <v>1</v>
      </c>
      <c r="W806" s="163" t="s">
        <v>8006</v>
      </c>
    </row>
    <row r="807" spans="1:23" ht="32.5" customHeight="1">
      <c r="A807" s="19" t="s">
        <v>8008</v>
      </c>
      <c r="B807" s="19" t="s">
        <v>8012</v>
      </c>
      <c r="C807" s="198" t="s">
        <v>1102</v>
      </c>
      <c r="D807" s="198" t="s">
        <v>1102</v>
      </c>
      <c r="E807" s="198" t="s">
        <v>1102</v>
      </c>
      <c r="F807" s="4" t="s">
        <v>2657</v>
      </c>
      <c r="G807" s="49"/>
      <c r="H807" s="4" t="s">
        <v>539</v>
      </c>
      <c r="I807" s="218" t="s">
        <v>2272</v>
      </c>
      <c r="J807" s="35" t="s">
        <v>2272</v>
      </c>
      <c r="K807" s="35" t="s">
        <v>2272</v>
      </c>
      <c r="L807" s="35" t="s">
        <v>2272</v>
      </c>
      <c r="M807" s="35" t="s">
        <v>2272</v>
      </c>
      <c r="N807" s="35" t="s">
        <v>2272</v>
      </c>
      <c r="O807" s="35" t="s">
        <v>2272</v>
      </c>
      <c r="P807" s="35" t="s">
        <v>2272</v>
      </c>
      <c r="Q807" s="35" t="s">
        <v>2272</v>
      </c>
      <c r="R807" s="198" t="s">
        <v>532</v>
      </c>
      <c r="S807" s="198" t="s">
        <v>2272</v>
      </c>
      <c r="T807" s="198" t="s">
        <v>532</v>
      </c>
      <c r="U807" s="198" t="s">
        <v>2272</v>
      </c>
      <c r="V807" s="198">
        <v>4</v>
      </c>
      <c r="W807" s="198" t="s">
        <v>8017</v>
      </c>
    </row>
    <row r="808" spans="1:23" ht="33.5" customHeight="1">
      <c r="A808" s="19" t="s">
        <v>8009</v>
      </c>
      <c r="B808" s="19" t="s">
        <v>8013</v>
      </c>
      <c r="C808" s="198" t="s">
        <v>1102</v>
      </c>
      <c r="D808" s="198" t="s">
        <v>1102</v>
      </c>
      <c r="E808" s="4" t="s">
        <v>44</v>
      </c>
      <c r="F808" s="4" t="s">
        <v>2657</v>
      </c>
      <c r="G808" s="49"/>
      <c r="H808" s="4" t="s">
        <v>539</v>
      </c>
      <c r="I808" s="173" t="s">
        <v>2272</v>
      </c>
      <c r="J808" s="198" t="s">
        <v>2272</v>
      </c>
      <c r="K808" s="198" t="s">
        <v>2272</v>
      </c>
      <c r="L808" s="198" t="s">
        <v>2272</v>
      </c>
      <c r="M808" s="198" t="s">
        <v>2272</v>
      </c>
      <c r="N808" s="198" t="s">
        <v>2272</v>
      </c>
      <c r="O808" s="198" t="s">
        <v>2272</v>
      </c>
      <c r="P808" s="198" t="s">
        <v>2272</v>
      </c>
      <c r="Q808" s="198" t="s">
        <v>2272</v>
      </c>
      <c r="R808" s="198" t="s">
        <v>535</v>
      </c>
      <c r="S808" s="198" t="s">
        <v>2272</v>
      </c>
      <c r="T808" s="198" t="s">
        <v>2272</v>
      </c>
      <c r="U808" s="198" t="s">
        <v>2272</v>
      </c>
      <c r="V808" s="198" t="s">
        <v>2272</v>
      </c>
      <c r="W808" s="198"/>
    </row>
    <row r="809" spans="1:23" ht="70" customHeight="1">
      <c r="A809" s="19" t="s">
        <v>8027</v>
      </c>
      <c r="B809" s="19" t="s">
        <v>8030</v>
      </c>
      <c r="C809" s="198" t="s">
        <v>23</v>
      </c>
      <c r="D809" s="4" t="s">
        <v>2799</v>
      </c>
      <c r="E809" s="198" t="s">
        <v>1102</v>
      </c>
      <c r="F809" s="4" t="s">
        <v>2657</v>
      </c>
      <c r="G809" s="198"/>
      <c r="H809" s="4" t="s">
        <v>2668</v>
      </c>
      <c r="I809" s="198" t="s">
        <v>2272</v>
      </c>
      <c r="J809" s="198" t="s">
        <v>2272</v>
      </c>
      <c r="K809" s="198" t="s">
        <v>2272</v>
      </c>
      <c r="L809" s="198" t="s">
        <v>2272</v>
      </c>
      <c r="M809" s="198" t="s">
        <v>2723</v>
      </c>
      <c r="N809" s="198" t="s">
        <v>2272</v>
      </c>
      <c r="O809" s="198" t="s">
        <v>532</v>
      </c>
      <c r="P809" s="198" t="s">
        <v>532</v>
      </c>
      <c r="Q809" s="198">
        <v>4</v>
      </c>
      <c r="R809" s="198" t="s">
        <v>2272</v>
      </c>
      <c r="S809" s="198" t="s">
        <v>2272</v>
      </c>
      <c r="T809" s="198" t="s">
        <v>2272</v>
      </c>
      <c r="U809" s="198" t="s">
        <v>2272</v>
      </c>
      <c r="V809" s="198" t="s">
        <v>2272</v>
      </c>
      <c r="W809" s="19" t="s">
        <v>8037</v>
      </c>
    </row>
    <row r="810" spans="1:23" ht="70" customHeight="1">
      <c r="A810" s="19" t="s">
        <v>8029</v>
      </c>
      <c r="B810" s="19" t="s">
        <v>8031</v>
      </c>
      <c r="C810" s="198" t="s">
        <v>23</v>
      </c>
      <c r="D810" s="4" t="s">
        <v>2799</v>
      </c>
      <c r="E810" s="198" t="s">
        <v>1102</v>
      </c>
      <c r="F810" s="4" t="s">
        <v>2657</v>
      </c>
      <c r="G810" s="198"/>
      <c r="H810" s="4" t="s">
        <v>2668</v>
      </c>
      <c r="I810" s="198" t="s">
        <v>2272</v>
      </c>
      <c r="J810" s="198" t="s">
        <v>2272</v>
      </c>
      <c r="K810" s="198" t="s">
        <v>2272</v>
      </c>
      <c r="L810" s="198" t="s">
        <v>2272</v>
      </c>
      <c r="M810" s="198" t="s">
        <v>2723</v>
      </c>
      <c r="N810" s="198" t="s">
        <v>2272</v>
      </c>
      <c r="O810" s="198" t="s">
        <v>532</v>
      </c>
      <c r="P810" s="198" t="s">
        <v>532</v>
      </c>
      <c r="Q810" s="198">
        <v>4</v>
      </c>
      <c r="R810" s="198" t="s">
        <v>2272</v>
      </c>
      <c r="S810" s="198" t="s">
        <v>2272</v>
      </c>
      <c r="T810" s="198" t="s">
        <v>2272</v>
      </c>
      <c r="U810" s="198" t="s">
        <v>2272</v>
      </c>
      <c r="V810" s="198" t="s">
        <v>2272</v>
      </c>
      <c r="W810" s="19" t="s">
        <v>8037</v>
      </c>
    </row>
    <row r="811" spans="1:23" ht="137" customHeight="1">
      <c r="A811" s="19" t="s">
        <v>8045</v>
      </c>
      <c r="B811" s="19" t="s">
        <v>8046</v>
      </c>
      <c r="C811" s="198" t="s">
        <v>23</v>
      </c>
      <c r="D811" s="4" t="s">
        <v>141</v>
      </c>
      <c r="E811" s="198" t="s">
        <v>1102</v>
      </c>
      <c r="F811" s="4" t="s">
        <v>73</v>
      </c>
      <c r="G811" s="198"/>
      <c r="H811" s="4" t="s">
        <v>539</v>
      </c>
      <c r="I811" s="198" t="s">
        <v>2686</v>
      </c>
      <c r="J811" s="198" t="s">
        <v>532</v>
      </c>
      <c r="K811" s="198" t="s">
        <v>2272</v>
      </c>
      <c r="L811" s="198" t="s">
        <v>2272</v>
      </c>
      <c r="M811" s="198" t="s">
        <v>2664</v>
      </c>
      <c r="N811" s="198" t="s">
        <v>2272</v>
      </c>
      <c r="O811" s="198" t="s">
        <v>532</v>
      </c>
      <c r="P811" s="198" t="s">
        <v>2272</v>
      </c>
      <c r="Q811" s="198">
        <v>1</v>
      </c>
      <c r="R811" s="198" t="s">
        <v>2272</v>
      </c>
      <c r="S811" s="198" t="s">
        <v>2272</v>
      </c>
      <c r="T811" s="198" t="s">
        <v>2272</v>
      </c>
      <c r="U811" s="198" t="s">
        <v>2272</v>
      </c>
      <c r="V811" s="198" t="s">
        <v>2272</v>
      </c>
      <c r="W811" s="19" t="s">
        <v>8050</v>
      </c>
    </row>
    <row r="812" spans="1:23" ht="59" customHeight="1">
      <c r="A812" s="19" t="s">
        <v>8052</v>
      </c>
      <c r="B812" s="19" t="s">
        <v>8054</v>
      </c>
      <c r="C812" s="4" t="s">
        <v>23</v>
      </c>
      <c r="D812" s="4" t="s">
        <v>142</v>
      </c>
      <c r="E812" s="4" t="s">
        <v>135</v>
      </c>
      <c r="F812" s="4" t="s">
        <v>2657</v>
      </c>
      <c r="G812" s="198"/>
      <c r="H812" s="4" t="s">
        <v>539</v>
      </c>
      <c r="I812" s="198" t="s">
        <v>2686</v>
      </c>
      <c r="J812" s="198" t="s">
        <v>2272</v>
      </c>
      <c r="K812" s="198" t="s">
        <v>532</v>
      </c>
      <c r="L812" s="198" t="s">
        <v>2272</v>
      </c>
      <c r="M812" s="198" t="s">
        <v>2272</v>
      </c>
      <c r="N812" s="198" t="s">
        <v>2272</v>
      </c>
      <c r="O812" s="198" t="s">
        <v>2272</v>
      </c>
      <c r="P812" s="198" t="s">
        <v>2272</v>
      </c>
      <c r="Q812" s="198" t="s">
        <v>2272</v>
      </c>
      <c r="R812" s="198" t="s">
        <v>2272</v>
      </c>
      <c r="S812" s="198" t="s">
        <v>2272</v>
      </c>
      <c r="T812" s="198" t="s">
        <v>2272</v>
      </c>
      <c r="U812" s="198" t="s">
        <v>2272</v>
      </c>
      <c r="V812" s="198" t="s">
        <v>2272</v>
      </c>
      <c r="W812" s="4" t="s">
        <v>8056</v>
      </c>
    </row>
    <row r="813" spans="1:23" ht="66.5" customHeight="1">
      <c r="A813" s="19" t="s">
        <v>8052</v>
      </c>
      <c r="B813" s="19" t="s">
        <v>8055</v>
      </c>
      <c r="C813" s="4" t="s">
        <v>23</v>
      </c>
      <c r="D813" s="4" t="s">
        <v>1102</v>
      </c>
      <c r="E813" s="4" t="s">
        <v>1102</v>
      </c>
      <c r="F813" s="4" t="s">
        <v>2657</v>
      </c>
      <c r="G813" s="198"/>
      <c r="H813" s="4" t="s">
        <v>2668</v>
      </c>
      <c r="I813" s="198" t="s">
        <v>2685</v>
      </c>
      <c r="J813" s="198" t="s">
        <v>2272</v>
      </c>
      <c r="K813" s="198" t="s">
        <v>2272</v>
      </c>
      <c r="L813" s="198" t="s">
        <v>2272</v>
      </c>
      <c r="M813" s="198" t="s">
        <v>2723</v>
      </c>
      <c r="N813" s="198" t="s">
        <v>532</v>
      </c>
      <c r="O813" s="198" t="s">
        <v>2272</v>
      </c>
      <c r="P813" s="198" t="s">
        <v>532</v>
      </c>
      <c r="Q813" s="198">
        <v>4</v>
      </c>
      <c r="R813" s="198" t="s">
        <v>2272</v>
      </c>
      <c r="S813" s="198" t="s">
        <v>2272</v>
      </c>
      <c r="T813" s="198" t="s">
        <v>2272</v>
      </c>
      <c r="U813" s="198" t="s">
        <v>2272</v>
      </c>
      <c r="V813" s="198" t="s">
        <v>2272</v>
      </c>
      <c r="W813" s="4" t="s">
        <v>8057</v>
      </c>
    </row>
    <row r="814" spans="1:23" ht="39" customHeight="1">
      <c r="A814" s="19" t="s">
        <v>8058</v>
      </c>
      <c r="B814" s="19" t="s">
        <v>8061</v>
      </c>
      <c r="C814" s="198" t="s">
        <v>23</v>
      </c>
      <c r="D814" s="4" t="s">
        <v>1102</v>
      </c>
      <c r="E814" s="4" t="s">
        <v>44</v>
      </c>
      <c r="F814" s="4" t="s">
        <v>2657</v>
      </c>
      <c r="G814" s="198"/>
      <c r="H814" s="4" t="s">
        <v>539</v>
      </c>
      <c r="I814" s="198" t="s">
        <v>2685</v>
      </c>
      <c r="J814" s="198" t="s">
        <v>2272</v>
      </c>
      <c r="K814" s="198" t="s">
        <v>532</v>
      </c>
      <c r="L814" s="198" t="s">
        <v>2272</v>
      </c>
      <c r="M814" s="198" t="s">
        <v>2272</v>
      </c>
      <c r="N814" s="198" t="s">
        <v>2272</v>
      </c>
      <c r="O814" s="198" t="s">
        <v>2272</v>
      </c>
      <c r="P814" s="198" t="s">
        <v>2272</v>
      </c>
      <c r="Q814" s="198" t="s">
        <v>2272</v>
      </c>
      <c r="R814" s="198" t="s">
        <v>2272</v>
      </c>
      <c r="S814" s="198" t="s">
        <v>2272</v>
      </c>
      <c r="T814" s="198" t="s">
        <v>2272</v>
      </c>
      <c r="U814" s="198" t="s">
        <v>2272</v>
      </c>
      <c r="V814" s="198" t="s">
        <v>2272</v>
      </c>
      <c r="W814" s="4" t="s">
        <v>8063</v>
      </c>
    </row>
    <row r="815" spans="1:23" ht="42" customHeight="1">
      <c r="A815" s="19" t="s">
        <v>8058</v>
      </c>
      <c r="B815" s="19" t="s">
        <v>8062</v>
      </c>
      <c r="C815" s="198" t="s">
        <v>23</v>
      </c>
      <c r="D815" s="4" t="s">
        <v>1102</v>
      </c>
      <c r="E815" s="4" t="s">
        <v>2642</v>
      </c>
      <c r="F815" s="4" t="s">
        <v>2657</v>
      </c>
      <c r="G815" s="198"/>
      <c r="H815" s="4" t="s">
        <v>539</v>
      </c>
      <c r="I815" s="198" t="s">
        <v>2685</v>
      </c>
      <c r="J815" s="198" t="s">
        <v>2272</v>
      </c>
      <c r="K815" s="198" t="s">
        <v>532</v>
      </c>
      <c r="L815" s="198" t="s">
        <v>2272</v>
      </c>
      <c r="M815" s="198" t="s">
        <v>2272</v>
      </c>
      <c r="N815" s="198" t="s">
        <v>2272</v>
      </c>
      <c r="O815" s="198" t="s">
        <v>2272</v>
      </c>
      <c r="P815" s="198" t="s">
        <v>2272</v>
      </c>
      <c r="Q815" s="198" t="s">
        <v>2272</v>
      </c>
      <c r="R815" s="198" t="s">
        <v>2272</v>
      </c>
      <c r="S815" s="198" t="s">
        <v>2272</v>
      </c>
      <c r="T815" s="198" t="s">
        <v>2272</v>
      </c>
      <c r="U815" s="198" t="s">
        <v>2272</v>
      </c>
      <c r="V815" s="198" t="s">
        <v>2272</v>
      </c>
      <c r="W815" s="4" t="s">
        <v>8063</v>
      </c>
    </row>
    <row r="816" spans="1:23" ht="39" customHeight="1">
      <c r="A816" s="19" t="s">
        <v>8065</v>
      </c>
      <c r="B816" s="19" t="s">
        <v>8066</v>
      </c>
      <c r="C816" s="198" t="s">
        <v>23</v>
      </c>
      <c r="D816" s="4" t="s">
        <v>24</v>
      </c>
      <c r="E816" s="198" t="s">
        <v>44</v>
      </c>
      <c r="F816" s="4" t="s">
        <v>2657</v>
      </c>
      <c r="G816" s="198"/>
      <c r="H816" s="4" t="s">
        <v>539</v>
      </c>
      <c r="I816" s="198" t="s">
        <v>2272</v>
      </c>
      <c r="J816" s="198" t="s">
        <v>2272</v>
      </c>
      <c r="K816" s="198" t="s">
        <v>2272</v>
      </c>
      <c r="L816" s="198" t="s">
        <v>2272</v>
      </c>
      <c r="M816" s="198" t="s">
        <v>2723</v>
      </c>
      <c r="N816" s="198" t="s">
        <v>2272</v>
      </c>
      <c r="O816" s="198" t="s">
        <v>2272</v>
      </c>
      <c r="P816" s="198" t="s">
        <v>2272</v>
      </c>
      <c r="Q816" s="198">
        <v>4</v>
      </c>
      <c r="R816" s="198" t="s">
        <v>2272</v>
      </c>
      <c r="S816" s="198" t="s">
        <v>2272</v>
      </c>
      <c r="T816" s="198" t="s">
        <v>2272</v>
      </c>
      <c r="U816" s="198" t="s">
        <v>2272</v>
      </c>
      <c r="V816" s="198" t="s">
        <v>2272</v>
      </c>
      <c r="W816" s="19" t="s">
        <v>8067</v>
      </c>
    </row>
    <row r="817" spans="1:23" ht="45.5" customHeight="1">
      <c r="A817" s="19" t="s">
        <v>8065</v>
      </c>
      <c r="B817" s="19" t="s">
        <v>8068</v>
      </c>
      <c r="C817" s="198" t="s">
        <v>23</v>
      </c>
      <c r="D817" s="4" t="s">
        <v>24</v>
      </c>
      <c r="E817" s="4" t="s">
        <v>3850</v>
      </c>
      <c r="F817" s="4" t="s">
        <v>2657</v>
      </c>
      <c r="G817" s="198"/>
      <c r="H817" s="4" t="s">
        <v>539</v>
      </c>
      <c r="I817" s="198" t="s">
        <v>2272</v>
      </c>
      <c r="J817" s="198" t="s">
        <v>2272</v>
      </c>
      <c r="K817" s="198" t="s">
        <v>2272</v>
      </c>
      <c r="L817" s="198" t="s">
        <v>2272</v>
      </c>
      <c r="M817" s="198" t="s">
        <v>2723</v>
      </c>
      <c r="N817" s="198" t="s">
        <v>2272</v>
      </c>
      <c r="O817" s="198" t="s">
        <v>2272</v>
      </c>
      <c r="P817" s="198" t="s">
        <v>2272</v>
      </c>
      <c r="Q817" s="198">
        <v>5</v>
      </c>
      <c r="R817" s="198" t="s">
        <v>2272</v>
      </c>
      <c r="S817" s="198" t="s">
        <v>2272</v>
      </c>
      <c r="T817" s="198" t="s">
        <v>2272</v>
      </c>
      <c r="U817" s="198" t="s">
        <v>2272</v>
      </c>
      <c r="V817" s="198" t="s">
        <v>2272</v>
      </c>
      <c r="W817" s="19" t="s">
        <v>8067</v>
      </c>
    </row>
    <row r="818" spans="1:23" ht="56.5" customHeight="1">
      <c r="A818" s="19" t="s">
        <v>8093</v>
      </c>
      <c r="B818" s="19" t="s">
        <v>8097</v>
      </c>
      <c r="C818" s="198" t="s">
        <v>23</v>
      </c>
      <c r="D818" s="4" t="s">
        <v>2799</v>
      </c>
      <c r="E818" s="4" t="s">
        <v>44</v>
      </c>
      <c r="F818" s="4" t="s">
        <v>2657</v>
      </c>
      <c r="G818" s="198"/>
      <c r="H818" s="4" t="s">
        <v>539</v>
      </c>
      <c r="I818" s="198" t="s">
        <v>2272</v>
      </c>
      <c r="J818" s="198" t="s">
        <v>2272</v>
      </c>
      <c r="K818" s="198" t="s">
        <v>2272</v>
      </c>
      <c r="L818" s="198" t="s">
        <v>2272</v>
      </c>
      <c r="M818" s="198" t="s">
        <v>2272</v>
      </c>
      <c r="N818" s="198" t="s">
        <v>2272</v>
      </c>
      <c r="O818" s="198" t="s">
        <v>2272</v>
      </c>
      <c r="P818" s="198" t="s">
        <v>2272</v>
      </c>
      <c r="Q818" s="198" t="s">
        <v>2272</v>
      </c>
      <c r="R818" s="198" t="s">
        <v>532</v>
      </c>
      <c r="S818" s="198" t="s">
        <v>2272</v>
      </c>
      <c r="T818" s="198" t="s">
        <v>532</v>
      </c>
      <c r="U818" s="198" t="s">
        <v>2272</v>
      </c>
      <c r="V818" s="198">
        <v>1</v>
      </c>
      <c r="W818" s="19" t="s">
        <v>8101</v>
      </c>
    </row>
    <row r="819" spans="1:23" ht="30" customHeight="1">
      <c r="A819" s="19" t="s">
        <v>8104</v>
      </c>
      <c r="B819" s="19" t="s">
        <v>8114</v>
      </c>
      <c r="C819" s="4" t="s">
        <v>23</v>
      </c>
      <c r="D819" s="4" t="s">
        <v>2654</v>
      </c>
      <c r="E819" s="4" t="s">
        <v>394</v>
      </c>
      <c r="F819" s="198" t="s">
        <v>27</v>
      </c>
      <c r="G819" s="198"/>
      <c r="H819" s="4" t="s">
        <v>539</v>
      </c>
      <c r="I819" s="198" t="s">
        <v>2272</v>
      </c>
      <c r="J819" s="198" t="s">
        <v>2272</v>
      </c>
      <c r="K819" s="198" t="s">
        <v>2272</v>
      </c>
      <c r="L819" s="198" t="s">
        <v>2272</v>
      </c>
      <c r="M819" s="198" t="s">
        <v>2723</v>
      </c>
      <c r="N819" s="198" t="s">
        <v>2272</v>
      </c>
      <c r="O819" s="198" t="s">
        <v>2272</v>
      </c>
      <c r="P819" s="198" t="s">
        <v>2272</v>
      </c>
      <c r="Q819" s="198" t="s">
        <v>2272</v>
      </c>
      <c r="R819" s="198" t="s">
        <v>535</v>
      </c>
      <c r="S819" s="198" t="s">
        <v>2272</v>
      </c>
      <c r="T819" s="198" t="s">
        <v>2272</v>
      </c>
      <c r="U819" s="198" t="s">
        <v>2272</v>
      </c>
      <c r="V819" s="198" t="s">
        <v>2272</v>
      </c>
      <c r="W819" s="4" t="s">
        <v>8144</v>
      </c>
    </row>
    <row r="820" spans="1:23" ht="30" customHeight="1">
      <c r="A820" s="19" t="s">
        <v>8111</v>
      </c>
      <c r="B820" s="19" t="s">
        <v>8115</v>
      </c>
      <c r="C820" s="4" t="s">
        <v>23</v>
      </c>
      <c r="D820" s="4" t="s">
        <v>2654</v>
      </c>
      <c r="E820" s="4" t="s">
        <v>394</v>
      </c>
      <c r="F820" s="198" t="s">
        <v>27</v>
      </c>
      <c r="G820" s="198"/>
      <c r="H820" s="4" t="s">
        <v>539</v>
      </c>
      <c r="I820" s="198" t="s">
        <v>2272</v>
      </c>
      <c r="J820" s="198" t="s">
        <v>2272</v>
      </c>
      <c r="K820" s="198" t="s">
        <v>2272</v>
      </c>
      <c r="L820" s="198" t="s">
        <v>2272</v>
      </c>
      <c r="M820" s="198" t="s">
        <v>2723</v>
      </c>
      <c r="N820" s="198" t="s">
        <v>2272</v>
      </c>
      <c r="O820" s="198" t="s">
        <v>2272</v>
      </c>
      <c r="P820" s="198" t="s">
        <v>2272</v>
      </c>
      <c r="Q820" s="198" t="s">
        <v>2272</v>
      </c>
      <c r="R820" s="198" t="s">
        <v>535</v>
      </c>
      <c r="S820" s="198" t="s">
        <v>2272</v>
      </c>
      <c r="T820" s="198" t="s">
        <v>2272</v>
      </c>
      <c r="U820" s="198" t="s">
        <v>2272</v>
      </c>
      <c r="V820" s="198" t="s">
        <v>2272</v>
      </c>
      <c r="W820" s="4" t="s">
        <v>8144</v>
      </c>
    </row>
    <row r="821" spans="1:23" ht="30" customHeight="1">
      <c r="A821" s="19" t="s">
        <v>8112</v>
      </c>
      <c r="B821" s="19" t="s">
        <v>8116</v>
      </c>
      <c r="C821" s="4" t="s">
        <v>23</v>
      </c>
      <c r="D821" s="4" t="s">
        <v>2654</v>
      </c>
      <c r="E821" s="4" t="s">
        <v>394</v>
      </c>
      <c r="F821" s="198" t="s">
        <v>27</v>
      </c>
      <c r="G821" s="198"/>
      <c r="H821" s="4" t="s">
        <v>539</v>
      </c>
      <c r="I821" s="198" t="s">
        <v>2272</v>
      </c>
      <c r="J821" s="198" t="s">
        <v>2272</v>
      </c>
      <c r="K821" s="198" t="s">
        <v>2272</v>
      </c>
      <c r="L821" s="198" t="s">
        <v>2272</v>
      </c>
      <c r="M821" s="198" t="s">
        <v>2723</v>
      </c>
      <c r="N821" s="198" t="s">
        <v>2272</v>
      </c>
      <c r="O821" s="198" t="s">
        <v>2272</v>
      </c>
      <c r="P821" s="198" t="s">
        <v>2272</v>
      </c>
      <c r="Q821" s="198" t="s">
        <v>2272</v>
      </c>
      <c r="R821" s="198" t="s">
        <v>535</v>
      </c>
      <c r="S821" s="198" t="s">
        <v>2272</v>
      </c>
      <c r="T821" s="198" t="s">
        <v>2272</v>
      </c>
      <c r="U821" s="198" t="s">
        <v>2272</v>
      </c>
      <c r="V821" s="198" t="s">
        <v>2272</v>
      </c>
      <c r="W821" s="4" t="s">
        <v>8144</v>
      </c>
    </row>
    <row r="822" spans="1:23" ht="30" customHeight="1">
      <c r="A822" s="19" t="s">
        <v>8113</v>
      </c>
      <c r="B822" s="19" t="s">
        <v>8117</v>
      </c>
      <c r="C822" s="4" t="s">
        <v>23</v>
      </c>
      <c r="D822" s="4" t="s">
        <v>2654</v>
      </c>
      <c r="E822" s="4" t="s">
        <v>394</v>
      </c>
      <c r="F822" s="198" t="s">
        <v>27</v>
      </c>
      <c r="G822" s="198"/>
      <c r="H822" s="4" t="s">
        <v>539</v>
      </c>
      <c r="I822" s="198" t="s">
        <v>2272</v>
      </c>
      <c r="J822" s="198" t="s">
        <v>2272</v>
      </c>
      <c r="K822" s="198" t="s">
        <v>2272</v>
      </c>
      <c r="L822" s="198" t="s">
        <v>2272</v>
      </c>
      <c r="M822" s="198" t="s">
        <v>2723</v>
      </c>
      <c r="N822" s="198" t="s">
        <v>2272</v>
      </c>
      <c r="O822" s="198" t="s">
        <v>2272</v>
      </c>
      <c r="P822" s="198" t="s">
        <v>2272</v>
      </c>
      <c r="Q822" s="198" t="s">
        <v>2272</v>
      </c>
      <c r="R822" s="198" t="s">
        <v>535</v>
      </c>
      <c r="S822" s="198" t="s">
        <v>2272</v>
      </c>
      <c r="T822" s="198" t="s">
        <v>2272</v>
      </c>
      <c r="U822" s="198" t="s">
        <v>2272</v>
      </c>
      <c r="V822" s="198" t="s">
        <v>2272</v>
      </c>
      <c r="W822" s="4" t="s">
        <v>8144</v>
      </c>
    </row>
    <row r="823" spans="1:23" ht="28" customHeight="1">
      <c r="A823" s="19" t="s">
        <v>8104</v>
      </c>
      <c r="B823" s="19" t="s">
        <v>8118</v>
      </c>
      <c r="C823" s="4" t="s">
        <v>23</v>
      </c>
      <c r="D823" s="198" t="s">
        <v>1102</v>
      </c>
      <c r="E823" s="198" t="s">
        <v>1102</v>
      </c>
      <c r="F823" s="198" t="s">
        <v>73</v>
      </c>
      <c r="G823" s="198"/>
      <c r="H823" s="4" t="s">
        <v>539</v>
      </c>
      <c r="I823" s="198" t="s">
        <v>2272</v>
      </c>
      <c r="J823" s="198" t="s">
        <v>2272</v>
      </c>
      <c r="K823" s="198" t="s">
        <v>2272</v>
      </c>
      <c r="L823" s="198" t="s">
        <v>2272</v>
      </c>
      <c r="M823" s="198" t="s">
        <v>2272</v>
      </c>
      <c r="N823" s="198" t="s">
        <v>2272</v>
      </c>
      <c r="O823" s="198" t="s">
        <v>2272</v>
      </c>
      <c r="P823" s="198" t="s">
        <v>2272</v>
      </c>
      <c r="Q823" s="198" t="s">
        <v>2272</v>
      </c>
      <c r="R823" s="198" t="s">
        <v>532</v>
      </c>
      <c r="S823" s="198" t="s">
        <v>2272</v>
      </c>
      <c r="T823" s="198" t="s">
        <v>2272</v>
      </c>
      <c r="U823" s="198" t="s">
        <v>2272</v>
      </c>
      <c r="V823" s="198">
        <v>1</v>
      </c>
      <c r="W823" s="198" t="s">
        <v>8145</v>
      </c>
    </row>
    <row r="824" spans="1:23" ht="28" customHeight="1">
      <c r="A824" s="19" t="s">
        <v>8111</v>
      </c>
      <c r="B824" s="19" t="s">
        <v>8126</v>
      </c>
      <c r="C824" s="4" t="s">
        <v>23</v>
      </c>
      <c r="D824" s="198" t="s">
        <v>1102</v>
      </c>
      <c r="E824" s="198" t="s">
        <v>1102</v>
      </c>
      <c r="F824" s="198" t="s">
        <v>73</v>
      </c>
      <c r="G824" s="198"/>
      <c r="H824" s="4" t="s">
        <v>539</v>
      </c>
      <c r="I824" s="198" t="s">
        <v>2272</v>
      </c>
      <c r="J824" s="198" t="s">
        <v>2272</v>
      </c>
      <c r="K824" s="198" t="s">
        <v>2272</v>
      </c>
      <c r="L824" s="198" t="s">
        <v>2272</v>
      </c>
      <c r="M824" s="198" t="s">
        <v>2272</v>
      </c>
      <c r="N824" s="198" t="s">
        <v>2272</v>
      </c>
      <c r="O824" s="198" t="s">
        <v>2272</v>
      </c>
      <c r="P824" s="198" t="s">
        <v>2272</v>
      </c>
      <c r="Q824" s="198" t="s">
        <v>2272</v>
      </c>
      <c r="R824" s="198" t="s">
        <v>532</v>
      </c>
      <c r="S824" s="198" t="s">
        <v>2272</v>
      </c>
      <c r="T824" s="198" t="s">
        <v>2272</v>
      </c>
      <c r="U824" s="198" t="s">
        <v>2272</v>
      </c>
      <c r="V824" s="198">
        <v>1</v>
      </c>
      <c r="W824" s="198" t="s">
        <v>8145</v>
      </c>
    </row>
    <row r="825" spans="1:23" ht="28" customHeight="1">
      <c r="A825" s="19" t="s">
        <v>8112</v>
      </c>
      <c r="B825" s="19" t="s">
        <v>8131</v>
      </c>
      <c r="C825" s="4" t="s">
        <v>23</v>
      </c>
      <c r="D825" s="198" t="s">
        <v>1102</v>
      </c>
      <c r="E825" s="198" t="s">
        <v>1102</v>
      </c>
      <c r="F825" s="198" t="s">
        <v>73</v>
      </c>
      <c r="G825" s="198"/>
      <c r="H825" s="4" t="s">
        <v>539</v>
      </c>
      <c r="I825" s="198" t="s">
        <v>2272</v>
      </c>
      <c r="J825" s="198" t="s">
        <v>2272</v>
      </c>
      <c r="K825" s="198" t="s">
        <v>2272</v>
      </c>
      <c r="L825" s="198" t="s">
        <v>2272</v>
      </c>
      <c r="M825" s="198" t="s">
        <v>2272</v>
      </c>
      <c r="N825" s="198" t="s">
        <v>2272</v>
      </c>
      <c r="O825" s="198" t="s">
        <v>2272</v>
      </c>
      <c r="P825" s="198" t="s">
        <v>2272</v>
      </c>
      <c r="Q825" s="198" t="s">
        <v>2272</v>
      </c>
      <c r="R825" s="198" t="s">
        <v>532</v>
      </c>
      <c r="S825" s="198" t="s">
        <v>2272</v>
      </c>
      <c r="T825" s="198" t="s">
        <v>2272</v>
      </c>
      <c r="U825" s="198" t="s">
        <v>2272</v>
      </c>
      <c r="V825" s="198">
        <v>1</v>
      </c>
      <c r="W825" s="198" t="s">
        <v>8145</v>
      </c>
    </row>
    <row r="826" spans="1:23" ht="28" customHeight="1">
      <c r="A826" s="19" t="s">
        <v>8113</v>
      </c>
      <c r="B826" s="19" t="s">
        <v>8137</v>
      </c>
      <c r="C826" s="4" t="s">
        <v>23</v>
      </c>
      <c r="D826" s="198" t="s">
        <v>1102</v>
      </c>
      <c r="E826" s="198" t="s">
        <v>1102</v>
      </c>
      <c r="F826" s="198" t="s">
        <v>73</v>
      </c>
      <c r="G826" s="198"/>
      <c r="H826" s="4" t="s">
        <v>539</v>
      </c>
      <c r="I826" s="198" t="s">
        <v>2272</v>
      </c>
      <c r="J826" s="198" t="s">
        <v>2272</v>
      </c>
      <c r="K826" s="198" t="s">
        <v>2272</v>
      </c>
      <c r="L826" s="198" t="s">
        <v>2272</v>
      </c>
      <c r="M826" s="198" t="s">
        <v>2272</v>
      </c>
      <c r="N826" s="198" t="s">
        <v>2272</v>
      </c>
      <c r="O826" s="198" t="s">
        <v>2272</v>
      </c>
      <c r="P826" s="198" t="s">
        <v>2272</v>
      </c>
      <c r="Q826" s="198" t="s">
        <v>2272</v>
      </c>
      <c r="R826" s="198" t="s">
        <v>532</v>
      </c>
      <c r="S826" s="198" t="s">
        <v>2272</v>
      </c>
      <c r="T826" s="198" t="s">
        <v>2272</v>
      </c>
      <c r="U826" s="198" t="s">
        <v>2272</v>
      </c>
      <c r="V826" s="198">
        <v>1</v>
      </c>
      <c r="W826" s="198" t="s">
        <v>8145</v>
      </c>
    </row>
    <row r="827" spans="1:23" ht="33.5" customHeight="1">
      <c r="A827" s="19" t="s">
        <v>8156</v>
      </c>
      <c r="B827" s="19" t="s">
        <v>8160</v>
      </c>
      <c r="C827" s="4" t="s">
        <v>23</v>
      </c>
      <c r="D827" s="4" t="s">
        <v>1102</v>
      </c>
      <c r="E827" s="4" t="s">
        <v>1102</v>
      </c>
      <c r="F827" s="4" t="s">
        <v>2657</v>
      </c>
      <c r="G827" s="198"/>
      <c r="H827" s="4" t="s">
        <v>2668</v>
      </c>
      <c r="I827" s="198" t="s">
        <v>2272</v>
      </c>
      <c r="J827" s="198" t="s">
        <v>2272</v>
      </c>
      <c r="K827" s="198" t="s">
        <v>2272</v>
      </c>
      <c r="L827" s="198" t="s">
        <v>2272</v>
      </c>
      <c r="M827" s="198" t="s">
        <v>2665</v>
      </c>
      <c r="N827" s="198" t="s">
        <v>2272</v>
      </c>
      <c r="O827" s="198" t="s">
        <v>2272</v>
      </c>
      <c r="P827" s="198" t="s">
        <v>2272</v>
      </c>
      <c r="Q827" s="198" t="s">
        <v>2272</v>
      </c>
      <c r="R827" s="198" t="s">
        <v>2272</v>
      </c>
      <c r="S827" s="198" t="s">
        <v>2272</v>
      </c>
      <c r="T827" s="198" t="s">
        <v>2272</v>
      </c>
      <c r="U827" s="198" t="s">
        <v>2272</v>
      </c>
      <c r="V827" s="198" t="s">
        <v>2272</v>
      </c>
      <c r="W827" s="4" t="s">
        <v>8178</v>
      </c>
    </row>
    <row r="828" spans="1:23" ht="33.5" customHeight="1">
      <c r="A828" s="19" t="s">
        <v>8157</v>
      </c>
      <c r="B828" s="19" t="s">
        <v>8170</v>
      </c>
      <c r="C828" s="4" t="s">
        <v>23</v>
      </c>
      <c r="D828" s="4" t="s">
        <v>1102</v>
      </c>
      <c r="E828" s="4" t="s">
        <v>1102</v>
      </c>
      <c r="F828" s="4" t="s">
        <v>2657</v>
      </c>
      <c r="G828" s="198"/>
      <c r="H828" s="4" t="s">
        <v>2668</v>
      </c>
      <c r="I828" s="198" t="s">
        <v>2272</v>
      </c>
      <c r="J828" s="198" t="s">
        <v>2272</v>
      </c>
      <c r="K828" s="198" t="s">
        <v>2272</v>
      </c>
      <c r="L828" s="198" t="s">
        <v>2272</v>
      </c>
      <c r="M828" s="198" t="s">
        <v>2665</v>
      </c>
      <c r="N828" s="198" t="s">
        <v>2272</v>
      </c>
      <c r="O828" s="198" t="s">
        <v>2272</v>
      </c>
      <c r="P828" s="198" t="s">
        <v>2272</v>
      </c>
      <c r="Q828" s="198" t="s">
        <v>2272</v>
      </c>
      <c r="R828" s="198" t="s">
        <v>2272</v>
      </c>
      <c r="S828" s="198" t="s">
        <v>2272</v>
      </c>
      <c r="T828" s="198" t="s">
        <v>2272</v>
      </c>
      <c r="U828" s="198" t="s">
        <v>2272</v>
      </c>
      <c r="V828" s="198" t="s">
        <v>2272</v>
      </c>
      <c r="W828" s="4" t="s">
        <v>8178</v>
      </c>
    </row>
    <row r="829" spans="1:23" ht="37" customHeight="1">
      <c r="A829" s="19" t="s">
        <v>8180</v>
      </c>
      <c r="B829" s="19" t="s">
        <v>8183</v>
      </c>
      <c r="C829" s="4" t="s">
        <v>23</v>
      </c>
      <c r="D829" s="4" t="s">
        <v>1238</v>
      </c>
      <c r="E829" s="4" t="s">
        <v>135</v>
      </c>
      <c r="F829" s="4" t="s">
        <v>2657</v>
      </c>
      <c r="G829" s="198"/>
      <c r="H829" s="4" t="s">
        <v>2668</v>
      </c>
      <c r="I829" s="198" t="s">
        <v>2686</v>
      </c>
      <c r="J829" s="198" t="s">
        <v>532</v>
      </c>
      <c r="K829" s="198" t="s">
        <v>532</v>
      </c>
      <c r="L829" s="198" t="s">
        <v>2272</v>
      </c>
      <c r="M829" s="198" t="s">
        <v>2272</v>
      </c>
      <c r="N829" s="198" t="s">
        <v>2272</v>
      </c>
      <c r="O829" s="198" t="s">
        <v>2272</v>
      </c>
      <c r="P829" s="198" t="s">
        <v>2272</v>
      </c>
      <c r="Q829" s="198" t="s">
        <v>2272</v>
      </c>
      <c r="R829" s="198" t="s">
        <v>535</v>
      </c>
      <c r="S829" s="198" t="s">
        <v>535</v>
      </c>
      <c r="T829" s="198" t="s">
        <v>535</v>
      </c>
      <c r="U829" s="198" t="s">
        <v>535</v>
      </c>
      <c r="V829" s="198" t="s">
        <v>2272</v>
      </c>
      <c r="W829" s="11" t="s">
        <v>8189</v>
      </c>
    </row>
    <row r="830" spans="1:23" ht="38" customHeight="1">
      <c r="A830" s="19" t="s">
        <v>8257</v>
      </c>
      <c r="B830" s="19" t="s">
        <v>8261</v>
      </c>
      <c r="C830" s="4" t="s">
        <v>23</v>
      </c>
      <c r="D830" s="198" t="s">
        <v>1241</v>
      </c>
      <c r="E830" s="198" t="s">
        <v>114</v>
      </c>
      <c r="F830" s="198" t="s">
        <v>73</v>
      </c>
      <c r="G830" s="198"/>
      <c r="H830" s="4" t="s">
        <v>2668</v>
      </c>
      <c r="I830" s="198" t="s">
        <v>2272</v>
      </c>
      <c r="J830" s="198" t="s">
        <v>2272</v>
      </c>
      <c r="K830" s="198" t="s">
        <v>2272</v>
      </c>
      <c r="L830" s="198" t="s">
        <v>2272</v>
      </c>
      <c r="M830" s="198" t="s">
        <v>2272</v>
      </c>
      <c r="N830" s="198" t="s">
        <v>2272</v>
      </c>
      <c r="O830" s="198" t="s">
        <v>2272</v>
      </c>
      <c r="P830" s="198" t="s">
        <v>2272</v>
      </c>
      <c r="Q830" s="198" t="s">
        <v>2272</v>
      </c>
      <c r="R830" s="198" t="s">
        <v>532</v>
      </c>
      <c r="S830" s="198" t="s">
        <v>2272</v>
      </c>
      <c r="T830" s="198" t="s">
        <v>2272</v>
      </c>
      <c r="U830" s="198" t="s">
        <v>2272</v>
      </c>
      <c r="V830" s="198">
        <v>4</v>
      </c>
      <c r="W830" s="19" t="s">
        <v>8267</v>
      </c>
    </row>
    <row r="831" spans="1:23" ht="64.5" customHeight="1">
      <c r="A831" s="19" t="s">
        <v>8272</v>
      </c>
      <c r="B831" s="19" t="s">
        <v>8276</v>
      </c>
      <c r="C831" s="4" t="s">
        <v>23</v>
      </c>
      <c r="D831" s="4" t="s">
        <v>1238</v>
      </c>
      <c r="E831" s="198" t="s">
        <v>114</v>
      </c>
      <c r="F831" s="4" t="s">
        <v>2657</v>
      </c>
      <c r="G831" s="198"/>
      <c r="H831" s="4" t="s">
        <v>2668</v>
      </c>
      <c r="I831" s="198" t="s">
        <v>2686</v>
      </c>
      <c r="J831" s="198" t="s">
        <v>2272</v>
      </c>
      <c r="K831" s="198" t="s">
        <v>532</v>
      </c>
      <c r="L831" s="198" t="s">
        <v>2272</v>
      </c>
      <c r="M831" s="198" t="s">
        <v>2723</v>
      </c>
      <c r="N831" s="198" t="s">
        <v>532</v>
      </c>
      <c r="O831" s="198" t="s">
        <v>2272</v>
      </c>
      <c r="P831" s="198" t="s">
        <v>532</v>
      </c>
      <c r="Q831" s="198">
        <v>4</v>
      </c>
      <c r="R831" s="198" t="s">
        <v>2272</v>
      </c>
      <c r="S831" s="198" t="s">
        <v>2272</v>
      </c>
      <c r="T831" s="198" t="s">
        <v>2272</v>
      </c>
      <c r="U831" s="198" t="s">
        <v>2272</v>
      </c>
      <c r="V831" s="198" t="s">
        <v>2272</v>
      </c>
      <c r="W831" s="19" t="s">
        <v>8283</v>
      </c>
    </row>
    <row r="832" spans="1:23" ht="58" customHeight="1">
      <c r="A832" s="19" t="s">
        <v>8285</v>
      </c>
      <c r="B832" s="19" t="s">
        <v>8287</v>
      </c>
      <c r="C832" s="4" t="s">
        <v>23</v>
      </c>
      <c r="D832" s="198" t="s">
        <v>1241</v>
      </c>
      <c r="E832" s="198" t="s">
        <v>114</v>
      </c>
      <c r="F832" s="4" t="s">
        <v>2657</v>
      </c>
      <c r="G832" s="198"/>
      <c r="H832" s="4" t="s">
        <v>2668</v>
      </c>
      <c r="I832" s="198" t="s">
        <v>2272</v>
      </c>
      <c r="J832" s="198" t="s">
        <v>2272</v>
      </c>
      <c r="K832" s="198" t="s">
        <v>2272</v>
      </c>
      <c r="L832" s="198" t="s">
        <v>2272</v>
      </c>
      <c r="M832" s="198" t="s">
        <v>2664</v>
      </c>
      <c r="N832" s="198" t="s">
        <v>532</v>
      </c>
      <c r="O832" s="198" t="s">
        <v>2272</v>
      </c>
      <c r="P832" s="198" t="s">
        <v>532</v>
      </c>
      <c r="Q832" s="198">
        <v>4</v>
      </c>
      <c r="R832" s="198" t="s">
        <v>2272</v>
      </c>
      <c r="S832" s="198" t="s">
        <v>2272</v>
      </c>
      <c r="T832" s="198" t="s">
        <v>2272</v>
      </c>
      <c r="U832" s="198" t="s">
        <v>2272</v>
      </c>
      <c r="V832" s="198" t="s">
        <v>2272</v>
      </c>
      <c r="W832" s="19" t="s">
        <v>8290</v>
      </c>
    </row>
    <row r="833" spans="1:23" ht="43.5">
      <c r="A833" s="19" t="s">
        <v>8300</v>
      </c>
      <c r="B833" s="19" t="s">
        <v>8311</v>
      </c>
      <c r="C833" s="4" t="s">
        <v>23</v>
      </c>
      <c r="D833" s="198" t="s">
        <v>1102</v>
      </c>
      <c r="E833" s="4" t="s">
        <v>3849</v>
      </c>
      <c r="F833" s="198" t="s">
        <v>2272</v>
      </c>
      <c r="G833" s="198"/>
      <c r="H833" s="4" t="s">
        <v>2668</v>
      </c>
      <c r="I833" s="198" t="s">
        <v>2272</v>
      </c>
      <c r="J833" s="198" t="s">
        <v>2272</v>
      </c>
      <c r="K833" s="198" t="s">
        <v>2272</v>
      </c>
      <c r="L833" s="198" t="s">
        <v>2272</v>
      </c>
      <c r="M833" s="198" t="s">
        <v>2272</v>
      </c>
      <c r="N833" s="198" t="s">
        <v>2272</v>
      </c>
      <c r="O833" s="198" t="s">
        <v>2272</v>
      </c>
      <c r="P833" s="198" t="s">
        <v>2272</v>
      </c>
      <c r="Q833" s="198" t="s">
        <v>2272</v>
      </c>
      <c r="R833" s="198" t="s">
        <v>532</v>
      </c>
      <c r="S833" s="198" t="s">
        <v>2272</v>
      </c>
      <c r="T833" s="198" t="s">
        <v>2272</v>
      </c>
      <c r="U833" s="198" t="s">
        <v>2272</v>
      </c>
      <c r="V833" s="198">
        <v>2</v>
      </c>
      <c r="W833" s="19" t="s">
        <v>8339</v>
      </c>
    </row>
    <row r="834" spans="1:23" ht="43.5">
      <c r="A834" s="19" t="s">
        <v>8301</v>
      </c>
      <c r="B834" s="19" t="s">
        <v>8316</v>
      </c>
      <c r="C834" s="4" t="s">
        <v>23</v>
      </c>
      <c r="D834" s="198" t="s">
        <v>1102</v>
      </c>
      <c r="E834" s="4" t="s">
        <v>3849</v>
      </c>
      <c r="F834" s="198" t="s">
        <v>2272</v>
      </c>
      <c r="G834" s="198"/>
      <c r="H834" s="4" t="s">
        <v>2668</v>
      </c>
      <c r="I834" s="198" t="s">
        <v>2272</v>
      </c>
      <c r="J834" s="198" t="s">
        <v>2272</v>
      </c>
      <c r="K834" s="198" t="s">
        <v>2272</v>
      </c>
      <c r="L834" s="198" t="s">
        <v>2272</v>
      </c>
      <c r="M834" s="198" t="s">
        <v>2272</v>
      </c>
      <c r="N834" s="198" t="s">
        <v>2272</v>
      </c>
      <c r="O834" s="198" t="s">
        <v>2272</v>
      </c>
      <c r="P834" s="198" t="s">
        <v>2272</v>
      </c>
      <c r="Q834" s="198" t="s">
        <v>2272</v>
      </c>
      <c r="R834" s="198" t="s">
        <v>532</v>
      </c>
      <c r="S834" s="198" t="s">
        <v>2272</v>
      </c>
      <c r="T834" s="198" t="s">
        <v>2272</v>
      </c>
      <c r="U834" s="198" t="s">
        <v>2272</v>
      </c>
      <c r="V834" s="198">
        <v>2</v>
      </c>
      <c r="W834" s="19" t="s">
        <v>8339</v>
      </c>
    </row>
    <row r="835" spans="1:23" ht="43.5">
      <c r="A835" s="19" t="s">
        <v>8304</v>
      </c>
      <c r="B835" s="19" t="s">
        <v>8322</v>
      </c>
      <c r="C835" s="4" t="s">
        <v>23</v>
      </c>
      <c r="D835" s="198" t="s">
        <v>1102</v>
      </c>
      <c r="E835" s="4" t="s">
        <v>3849</v>
      </c>
      <c r="F835" s="198" t="s">
        <v>2272</v>
      </c>
      <c r="G835" s="198"/>
      <c r="H835" s="4" t="s">
        <v>2668</v>
      </c>
      <c r="I835" s="198" t="s">
        <v>2272</v>
      </c>
      <c r="J835" s="198" t="s">
        <v>2272</v>
      </c>
      <c r="K835" s="198" t="s">
        <v>2272</v>
      </c>
      <c r="L835" s="198" t="s">
        <v>2272</v>
      </c>
      <c r="M835" s="198" t="s">
        <v>2272</v>
      </c>
      <c r="N835" s="198" t="s">
        <v>2272</v>
      </c>
      <c r="O835" s="198" t="s">
        <v>2272</v>
      </c>
      <c r="P835" s="198" t="s">
        <v>2272</v>
      </c>
      <c r="Q835" s="198" t="s">
        <v>2272</v>
      </c>
      <c r="R835" s="198" t="s">
        <v>532</v>
      </c>
      <c r="S835" s="198" t="s">
        <v>2272</v>
      </c>
      <c r="T835" s="198" t="s">
        <v>2272</v>
      </c>
      <c r="U835" s="198" t="s">
        <v>2272</v>
      </c>
      <c r="V835" s="198">
        <v>2</v>
      </c>
      <c r="W835" s="19" t="s">
        <v>8339</v>
      </c>
    </row>
    <row r="836" spans="1:23" ht="43.5">
      <c r="A836" s="19" t="s">
        <v>8305</v>
      </c>
      <c r="B836" s="19" t="s">
        <v>8331</v>
      </c>
      <c r="C836" s="4" t="s">
        <v>23</v>
      </c>
      <c r="D836" s="198" t="s">
        <v>1102</v>
      </c>
      <c r="E836" s="4" t="s">
        <v>3849</v>
      </c>
      <c r="F836" s="198" t="s">
        <v>2272</v>
      </c>
      <c r="G836" s="198"/>
      <c r="H836" s="4" t="s">
        <v>2668</v>
      </c>
      <c r="I836" s="198" t="s">
        <v>2272</v>
      </c>
      <c r="J836" s="198" t="s">
        <v>2272</v>
      </c>
      <c r="K836" s="198" t="s">
        <v>2272</v>
      </c>
      <c r="L836" s="198" t="s">
        <v>2272</v>
      </c>
      <c r="M836" s="198" t="s">
        <v>2272</v>
      </c>
      <c r="N836" s="198" t="s">
        <v>2272</v>
      </c>
      <c r="O836" s="198" t="s">
        <v>2272</v>
      </c>
      <c r="P836" s="198" t="s">
        <v>2272</v>
      </c>
      <c r="Q836" s="198" t="s">
        <v>2272</v>
      </c>
      <c r="R836" s="198" t="s">
        <v>532</v>
      </c>
      <c r="S836" s="198" t="s">
        <v>2272</v>
      </c>
      <c r="T836" s="198" t="s">
        <v>2272</v>
      </c>
      <c r="U836" s="198" t="s">
        <v>2272</v>
      </c>
      <c r="V836" s="198">
        <v>2</v>
      </c>
      <c r="W836" s="19" t="s">
        <v>8339</v>
      </c>
    </row>
    <row r="837" spans="1:23" ht="41" customHeight="1">
      <c r="A837" s="19" t="s">
        <v>8402</v>
      </c>
      <c r="B837" s="19" t="s">
        <v>8404</v>
      </c>
      <c r="C837" s="4" t="s">
        <v>23</v>
      </c>
      <c r="D837" s="198" t="s">
        <v>2654</v>
      </c>
      <c r="E837" s="198" t="s">
        <v>2272</v>
      </c>
      <c r="F837" s="198" t="s">
        <v>27</v>
      </c>
      <c r="G837" s="198"/>
      <c r="H837" s="4" t="s">
        <v>539</v>
      </c>
      <c r="I837" s="198" t="s">
        <v>2272</v>
      </c>
      <c r="J837" s="198" t="s">
        <v>2272</v>
      </c>
      <c r="K837" s="198" t="s">
        <v>2272</v>
      </c>
      <c r="L837" s="198" t="s">
        <v>2272</v>
      </c>
      <c r="M837" s="198" t="s">
        <v>2272</v>
      </c>
      <c r="N837" s="198" t="s">
        <v>2272</v>
      </c>
      <c r="O837" s="198" t="s">
        <v>2272</v>
      </c>
      <c r="P837" s="198" t="s">
        <v>2272</v>
      </c>
      <c r="Q837" s="198" t="s">
        <v>2272</v>
      </c>
      <c r="R837" s="198" t="s">
        <v>535</v>
      </c>
      <c r="S837" s="198" t="s">
        <v>535</v>
      </c>
      <c r="T837" s="198" t="s">
        <v>535</v>
      </c>
      <c r="U837" s="198" t="s">
        <v>535</v>
      </c>
      <c r="V837" s="198" t="s">
        <v>2272</v>
      </c>
      <c r="W837" s="198"/>
    </row>
    <row r="838" spans="1:23" ht="47.5" customHeight="1">
      <c r="A838" s="19" t="s">
        <v>8402</v>
      </c>
      <c r="B838" s="19" t="s">
        <v>8405</v>
      </c>
      <c r="C838" s="4" t="s">
        <v>23</v>
      </c>
      <c r="D838" s="198" t="s">
        <v>2654</v>
      </c>
      <c r="E838" s="198" t="s">
        <v>2272</v>
      </c>
      <c r="F838" s="198" t="s">
        <v>27</v>
      </c>
      <c r="G838" s="198"/>
      <c r="H838" s="4" t="s">
        <v>539</v>
      </c>
      <c r="I838" s="198" t="s">
        <v>2272</v>
      </c>
      <c r="J838" s="198" t="s">
        <v>2272</v>
      </c>
      <c r="K838" s="198" t="s">
        <v>2272</v>
      </c>
      <c r="L838" s="198" t="s">
        <v>2272</v>
      </c>
      <c r="M838" s="198" t="s">
        <v>2272</v>
      </c>
      <c r="N838" s="198" t="s">
        <v>2272</v>
      </c>
      <c r="O838" s="198" t="s">
        <v>2272</v>
      </c>
      <c r="P838" s="198" t="s">
        <v>2272</v>
      </c>
      <c r="Q838" s="198" t="s">
        <v>2272</v>
      </c>
      <c r="R838" s="198" t="s">
        <v>532</v>
      </c>
      <c r="S838" s="198" t="s">
        <v>2272</v>
      </c>
      <c r="T838" s="198" t="s">
        <v>2272</v>
      </c>
      <c r="U838" s="198" t="s">
        <v>2272</v>
      </c>
      <c r="V838" s="198">
        <v>4</v>
      </c>
      <c r="W838" s="4" t="s">
        <v>8406</v>
      </c>
    </row>
    <row r="839" spans="1:23" ht="37" customHeight="1">
      <c r="A839" s="19" t="s">
        <v>8411</v>
      </c>
      <c r="B839" s="19" t="s">
        <v>8414</v>
      </c>
      <c r="C839" s="198" t="s">
        <v>23</v>
      </c>
      <c r="D839" s="198" t="s">
        <v>2654</v>
      </c>
      <c r="E839" s="198" t="s">
        <v>2272</v>
      </c>
      <c r="F839" s="198" t="s">
        <v>27</v>
      </c>
      <c r="G839" s="198">
        <v>1992</v>
      </c>
      <c r="H839" s="4" t="s">
        <v>2668</v>
      </c>
      <c r="I839" s="198" t="s">
        <v>2272</v>
      </c>
      <c r="J839" s="198" t="s">
        <v>2272</v>
      </c>
      <c r="K839" s="198" t="s">
        <v>2272</v>
      </c>
      <c r="L839" s="198" t="s">
        <v>2272</v>
      </c>
      <c r="M839" s="198" t="s">
        <v>2666</v>
      </c>
      <c r="N839" s="198" t="s">
        <v>2272</v>
      </c>
      <c r="O839" s="198" t="s">
        <v>2272</v>
      </c>
      <c r="P839" s="198" t="s">
        <v>532</v>
      </c>
      <c r="Q839" s="198">
        <v>4</v>
      </c>
      <c r="R839" s="198" t="s">
        <v>535</v>
      </c>
      <c r="S839" s="198" t="s">
        <v>535</v>
      </c>
      <c r="T839" s="198" t="s">
        <v>535</v>
      </c>
      <c r="U839" s="198" t="s">
        <v>535</v>
      </c>
      <c r="V839" s="198" t="s">
        <v>2272</v>
      </c>
      <c r="W839" s="19" t="s">
        <v>8409</v>
      </c>
    </row>
    <row r="840" spans="1:23" ht="38" customHeight="1">
      <c r="A840" s="19" t="s">
        <v>8411</v>
      </c>
      <c r="B840" s="19" t="s">
        <v>8415</v>
      </c>
      <c r="C840" s="198" t="s">
        <v>23</v>
      </c>
      <c r="D840" s="198" t="s">
        <v>2654</v>
      </c>
      <c r="E840" s="198" t="s">
        <v>2272</v>
      </c>
      <c r="F840" s="198" t="s">
        <v>27</v>
      </c>
      <c r="G840" s="198">
        <v>1980</v>
      </c>
      <c r="H840" s="4" t="s">
        <v>2668</v>
      </c>
      <c r="I840" s="198" t="s">
        <v>2272</v>
      </c>
      <c r="J840" s="198" t="s">
        <v>2272</v>
      </c>
      <c r="K840" s="198" t="s">
        <v>2272</v>
      </c>
      <c r="L840" s="198" t="s">
        <v>2272</v>
      </c>
      <c r="M840" s="198" t="s">
        <v>535</v>
      </c>
      <c r="N840" s="198" t="s">
        <v>535</v>
      </c>
      <c r="O840" s="198" t="s">
        <v>535</v>
      </c>
      <c r="P840" s="198" t="s">
        <v>535</v>
      </c>
      <c r="Q840" s="198">
        <v>4</v>
      </c>
      <c r="R840" s="198" t="s">
        <v>535</v>
      </c>
      <c r="S840" s="198" t="s">
        <v>535</v>
      </c>
      <c r="T840" s="198" t="s">
        <v>535</v>
      </c>
      <c r="U840" s="198" t="s">
        <v>535</v>
      </c>
      <c r="V840" s="198" t="s">
        <v>2272</v>
      </c>
      <c r="W840" s="19"/>
    </row>
    <row r="841" spans="1:23" ht="45.5" customHeight="1">
      <c r="A841" s="198" t="s">
        <v>8407</v>
      </c>
      <c r="B841" s="198" t="s">
        <v>8408</v>
      </c>
      <c r="C841" s="198" t="s">
        <v>23</v>
      </c>
      <c r="D841" s="198" t="s">
        <v>2654</v>
      </c>
      <c r="E841" s="198" t="s">
        <v>2272</v>
      </c>
      <c r="F841" s="198" t="s">
        <v>27</v>
      </c>
      <c r="G841" s="198"/>
      <c r="H841" s="4" t="s">
        <v>2668</v>
      </c>
      <c r="I841" s="198" t="s">
        <v>2272</v>
      </c>
      <c r="J841" s="198" t="s">
        <v>2272</v>
      </c>
      <c r="K841" s="198" t="s">
        <v>2272</v>
      </c>
      <c r="L841" s="198" t="s">
        <v>2272</v>
      </c>
      <c r="M841" s="198" t="s">
        <v>2666</v>
      </c>
      <c r="N841" s="198" t="s">
        <v>2272</v>
      </c>
      <c r="O841" s="198" t="s">
        <v>2272</v>
      </c>
      <c r="P841" s="198" t="s">
        <v>532</v>
      </c>
      <c r="Q841" s="198" t="s">
        <v>2272</v>
      </c>
      <c r="R841" s="198" t="s">
        <v>2272</v>
      </c>
      <c r="S841" s="198" t="s">
        <v>2272</v>
      </c>
      <c r="T841" s="198" t="s">
        <v>2272</v>
      </c>
      <c r="U841" s="198" t="s">
        <v>2272</v>
      </c>
      <c r="V841" s="198" t="s">
        <v>2272</v>
      </c>
      <c r="W841" s="19"/>
    </row>
    <row r="842" spans="1:23" ht="75.5" customHeight="1">
      <c r="A842" s="198" t="s">
        <v>8420</v>
      </c>
      <c r="B842" s="198" t="s">
        <v>8422</v>
      </c>
      <c r="C842" s="198" t="s">
        <v>23</v>
      </c>
      <c r="D842" s="198" t="s">
        <v>2654</v>
      </c>
      <c r="E842" s="198" t="s">
        <v>2272</v>
      </c>
      <c r="F842" s="198" t="s">
        <v>27</v>
      </c>
      <c r="G842" s="198"/>
      <c r="H842" s="4" t="s">
        <v>539</v>
      </c>
      <c r="I842" s="198" t="s">
        <v>2685</v>
      </c>
      <c r="J842" s="198" t="s">
        <v>2272</v>
      </c>
      <c r="K842" s="198" t="s">
        <v>532</v>
      </c>
      <c r="L842" s="198" t="s">
        <v>2272</v>
      </c>
      <c r="M842" s="198" t="s">
        <v>2272</v>
      </c>
      <c r="N842" s="198" t="s">
        <v>2272</v>
      </c>
      <c r="O842" s="198" t="s">
        <v>2272</v>
      </c>
      <c r="P842" s="198" t="s">
        <v>2272</v>
      </c>
      <c r="Q842" s="198" t="s">
        <v>2272</v>
      </c>
      <c r="R842" s="198" t="s">
        <v>2272</v>
      </c>
      <c r="S842" s="198" t="s">
        <v>2272</v>
      </c>
      <c r="T842" s="198" t="s">
        <v>2272</v>
      </c>
      <c r="U842" s="198" t="s">
        <v>2272</v>
      </c>
      <c r="V842" s="198" t="s">
        <v>2272</v>
      </c>
      <c r="W842" s="19" t="s">
        <v>8423</v>
      </c>
    </row>
    <row r="843" spans="1:23" ht="55.5" customHeight="1">
      <c r="A843" s="198" t="s">
        <v>8437</v>
      </c>
      <c r="B843" s="198" t="s">
        <v>8440</v>
      </c>
      <c r="C843" s="198" t="s">
        <v>23</v>
      </c>
      <c r="D843" s="198" t="s">
        <v>2654</v>
      </c>
      <c r="E843" s="4" t="s">
        <v>395</v>
      </c>
      <c r="F843" s="198" t="s">
        <v>27</v>
      </c>
      <c r="G843" s="49"/>
      <c r="H843" s="4" t="s">
        <v>2668</v>
      </c>
      <c r="I843" s="198" t="s">
        <v>2272</v>
      </c>
      <c r="J843" s="198" t="s">
        <v>2272</v>
      </c>
      <c r="K843" s="198" t="s">
        <v>2272</v>
      </c>
      <c r="L843" s="198" t="s">
        <v>2272</v>
      </c>
      <c r="M843" s="198" t="s">
        <v>2272</v>
      </c>
      <c r="N843" s="198" t="s">
        <v>2272</v>
      </c>
      <c r="O843" s="198" t="s">
        <v>2272</v>
      </c>
      <c r="P843" s="198" t="s">
        <v>2272</v>
      </c>
      <c r="Q843" s="198" t="s">
        <v>2272</v>
      </c>
      <c r="R843" s="198" t="s">
        <v>532</v>
      </c>
      <c r="S843" s="198" t="s">
        <v>2272</v>
      </c>
      <c r="T843" s="198" t="s">
        <v>2272</v>
      </c>
      <c r="U843" s="198" t="s">
        <v>2272</v>
      </c>
      <c r="V843" s="198">
        <v>5</v>
      </c>
      <c r="W843" s="220" t="s">
        <v>8444</v>
      </c>
    </row>
    <row r="844" spans="1:23" ht="55.5" customHeight="1">
      <c r="A844" s="198" t="s">
        <v>8437</v>
      </c>
      <c r="B844" s="198" t="s">
        <v>8441</v>
      </c>
      <c r="C844" s="198" t="s">
        <v>23</v>
      </c>
      <c r="D844" s="198" t="s">
        <v>2654</v>
      </c>
      <c r="E844" s="4" t="s">
        <v>394</v>
      </c>
      <c r="F844" s="198" t="s">
        <v>27</v>
      </c>
      <c r="G844" s="198"/>
      <c r="H844" s="4" t="s">
        <v>2668</v>
      </c>
      <c r="I844" s="198" t="s">
        <v>2272</v>
      </c>
      <c r="J844" s="198" t="s">
        <v>2272</v>
      </c>
      <c r="K844" s="198" t="s">
        <v>2272</v>
      </c>
      <c r="L844" s="198" t="s">
        <v>2272</v>
      </c>
      <c r="M844" s="198" t="s">
        <v>2272</v>
      </c>
      <c r="N844" s="198" t="s">
        <v>2272</v>
      </c>
      <c r="O844" s="198" t="s">
        <v>2272</v>
      </c>
      <c r="P844" s="198" t="s">
        <v>2272</v>
      </c>
      <c r="Q844" s="198" t="s">
        <v>2272</v>
      </c>
      <c r="R844" s="198" t="s">
        <v>532</v>
      </c>
      <c r="S844" s="198" t="s">
        <v>2272</v>
      </c>
      <c r="T844" s="198" t="s">
        <v>2272</v>
      </c>
      <c r="U844" s="198" t="s">
        <v>2272</v>
      </c>
      <c r="V844" s="198">
        <v>5</v>
      </c>
      <c r="W844" s="220" t="s">
        <v>8444</v>
      </c>
    </row>
    <row r="845" spans="1:23" ht="55.5" customHeight="1">
      <c r="A845" s="198" t="s">
        <v>8437</v>
      </c>
      <c r="B845" s="198" t="s">
        <v>8442</v>
      </c>
      <c r="C845" s="198" t="s">
        <v>23</v>
      </c>
      <c r="D845" s="198" t="s">
        <v>2654</v>
      </c>
      <c r="E845" s="4" t="s">
        <v>395</v>
      </c>
      <c r="F845" s="198" t="s">
        <v>27</v>
      </c>
      <c r="G845" s="198"/>
      <c r="H845" s="4" t="s">
        <v>1090</v>
      </c>
      <c r="I845" s="198" t="s">
        <v>2685</v>
      </c>
      <c r="J845" s="198" t="s">
        <v>2272</v>
      </c>
      <c r="K845" s="198" t="s">
        <v>2272</v>
      </c>
      <c r="L845" s="198" t="s">
        <v>2272</v>
      </c>
      <c r="M845" s="198" t="s">
        <v>2272</v>
      </c>
      <c r="N845" s="198" t="s">
        <v>2272</v>
      </c>
      <c r="O845" s="198" t="s">
        <v>2272</v>
      </c>
      <c r="P845" s="198" t="s">
        <v>2272</v>
      </c>
      <c r="Q845" s="198" t="s">
        <v>2272</v>
      </c>
      <c r="R845" s="198" t="s">
        <v>2272</v>
      </c>
      <c r="S845" s="198" t="s">
        <v>2272</v>
      </c>
      <c r="T845" s="198" t="s">
        <v>2272</v>
      </c>
      <c r="U845" s="198" t="s">
        <v>2272</v>
      </c>
      <c r="V845" s="198" t="s">
        <v>2272</v>
      </c>
      <c r="W845" s="4" t="s">
        <v>8445</v>
      </c>
    </row>
    <row r="846" spans="1:23" ht="55.5" customHeight="1">
      <c r="A846" s="198" t="s">
        <v>8437</v>
      </c>
      <c r="B846" s="198" t="s">
        <v>8443</v>
      </c>
      <c r="C846" s="198" t="s">
        <v>23</v>
      </c>
      <c r="D846" s="198" t="s">
        <v>2654</v>
      </c>
      <c r="E846" s="4" t="s">
        <v>394</v>
      </c>
      <c r="F846" s="198" t="s">
        <v>27</v>
      </c>
      <c r="G846" s="198"/>
      <c r="H846" s="4" t="s">
        <v>1090</v>
      </c>
      <c r="I846" s="198" t="s">
        <v>2685</v>
      </c>
      <c r="J846" s="198" t="s">
        <v>2272</v>
      </c>
      <c r="K846" s="198" t="s">
        <v>2272</v>
      </c>
      <c r="L846" s="198" t="s">
        <v>2272</v>
      </c>
      <c r="M846" s="198" t="s">
        <v>2272</v>
      </c>
      <c r="N846" s="198" t="s">
        <v>2272</v>
      </c>
      <c r="O846" s="198" t="s">
        <v>2272</v>
      </c>
      <c r="P846" s="198" t="s">
        <v>2272</v>
      </c>
      <c r="Q846" s="198" t="s">
        <v>2272</v>
      </c>
      <c r="R846" s="198" t="s">
        <v>2272</v>
      </c>
      <c r="S846" s="198" t="s">
        <v>2272</v>
      </c>
      <c r="T846" s="198" t="s">
        <v>2272</v>
      </c>
      <c r="U846" s="198" t="s">
        <v>2272</v>
      </c>
      <c r="V846" s="198" t="s">
        <v>2272</v>
      </c>
      <c r="W846" s="4" t="s">
        <v>8445</v>
      </c>
    </row>
    <row r="847" spans="1:23" ht="50.5" customHeight="1">
      <c r="A847" s="11" t="s">
        <v>8451</v>
      </c>
      <c r="B847" s="11" t="s">
        <v>8453</v>
      </c>
      <c r="C847" s="198" t="s">
        <v>23</v>
      </c>
      <c r="D847" s="4" t="s">
        <v>1128</v>
      </c>
      <c r="E847" s="4" t="s">
        <v>394</v>
      </c>
      <c r="F847" s="198" t="s">
        <v>27</v>
      </c>
      <c r="G847" s="198">
        <v>2007</v>
      </c>
      <c r="H847" s="4" t="s">
        <v>2668</v>
      </c>
      <c r="I847" s="198" t="s">
        <v>2272</v>
      </c>
      <c r="J847" s="198" t="s">
        <v>2272</v>
      </c>
      <c r="K847" s="198" t="s">
        <v>2272</v>
      </c>
      <c r="L847" s="198" t="s">
        <v>2272</v>
      </c>
      <c r="M847" s="198" t="s">
        <v>2723</v>
      </c>
      <c r="N847" s="198" t="s">
        <v>2272</v>
      </c>
      <c r="O847" s="198" t="s">
        <v>532</v>
      </c>
      <c r="P847" s="198" t="s">
        <v>2272</v>
      </c>
      <c r="Q847" s="198">
        <v>4</v>
      </c>
      <c r="R847" s="198" t="s">
        <v>535</v>
      </c>
      <c r="S847" s="198" t="s">
        <v>2272</v>
      </c>
      <c r="T847" s="198" t="s">
        <v>2272</v>
      </c>
      <c r="U847" s="198" t="s">
        <v>2272</v>
      </c>
      <c r="V847" s="198" t="s">
        <v>2272</v>
      </c>
      <c r="W847" s="19" t="s">
        <v>8456</v>
      </c>
    </row>
    <row r="848" spans="1:23" ht="40" customHeight="1">
      <c r="A848" s="19" t="s">
        <v>8458</v>
      </c>
      <c r="B848" s="19" t="s">
        <v>8488</v>
      </c>
      <c r="C848" s="198" t="s">
        <v>23</v>
      </c>
      <c r="D848" s="4" t="s">
        <v>1128</v>
      </c>
      <c r="E848" s="4" t="s">
        <v>394</v>
      </c>
      <c r="F848" s="4" t="s">
        <v>27</v>
      </c>
      <c r="G848" s="198"/>
      <c r="H848" s="4" t="s">
        <v>2668</v>
      </c>
      <c r="I848" s="198" t="s">
        <v>2272</v>
      </c>
      <c r="J848" s="198" t="s">
        <v>2272</v>
      </c>
      <c r="K848" s="198" t="s">
        <v>2272</v>
      </c>
      <c r="L848" s="198" t="s">
        <v>2272</v>
      </c>
      <c r="M848" s="198" t="s">
        <v>2723</v>
      </c>
      <c r="N848" s="198" t="s">
        <v>2272</v>
      </c>
      <c r="O848" s="198" t="s">
        <v>532</v>
      </c>
      <c r="P848" s="198" t="s">
        <v>2272</v>
      </c>
      <c r="Q848" s="198">
        <v>4</v>
      </c>
      <c r="R848" s="198" t="s">
        <v>535</v>
      </c>
      <c r="S848" s="198" t="s">
        <v>2272</v>
      </c>
      <c r="T848" s="198" t="s">
        <v>2272</v>
      </c>
      <c r="U848" s="198" t="s">
        <v>2272</v>
      </c>
      <c r="V848" s="198" t="s">
        <v>2272</v>
      </c>
      <c r="W848" s="19" t="s">
        <v>8456</v>
      </c>
    </row>
    <row r="849" spans="1:23" ht="43.5">
      <c r="A849" s="19" t="s">
        <v>8461</v>
      </c>
      <c r="B849" s="19" t="s">
        <v>8489</v>
      </c>
      <c r="C849" s="198" t="s">
        <v>23</v>
      </c>
      <c r="D849" s="4" t="s">
        <v>1128</v>
      </c>
      <c r="E849" s="4" t="s">
        <v>394</v>
      </c>
      <c r="F849" s="4" t="s">
        <v>27</v>
      </c>
      <c r="G849" s="198"/>
      <c r="H849" s="4" t="s">
        <v>2668</v>
      </c>
      <c r="I849" s="198" t="s">
        <v>2272</v>
      </c>
      <c r="J849" s="198" t="s">
        <v>2272</v>
      </c>
      <c r="K849" s="198" t="s">
        <v>2272</v>
      </c>
      <c r="L849" s="198" t="s">
        <v>2272</v>
      </c>
      <c r="M849" s="198" t="s">
        <v>2723</v>
      </c>
      <c r="N849" s="198" t="s">
        <v>2272</v>
      </c>
      <c r="O849" s="198" t="s">
        <v>532</v>
      </c>
      <c r="P849" s="198" t="s">
        <v>2272</v>
      </c>
      <c r="Q849" s="198">
        <v>4</v>
      </c>
      <c r="R849" s="198" t="s">
        <v>535</v>
      </c>
      <c r="S849" s="198" t="s">
        <v>2272</v>
      </c>
      <c r="T849" s="198" t="s">
        <v>2272</v>
      </c>
      <c r="U849" s="198" t="s">
        <v>2272</v>
      </c>
      <c r="V849" s="198" t="s">
        <v>2272</v>
      </c>
      <c r="W849" s="19" t="s">
        <v>8456</v>
      </c>
    </row>
    <row r="850" spans="1:23" ht="43.5">
      <c r="A850" s="19" t="s">
        <v>8462</v>
      </c>
      <c r="B850" s="19" t="s">
        <v>8490</v>
      </c>
      <c r="C850" s="198" t="s">
        <v>23</v>
      </c>
      <c r="D850" s="4" t="s">
        <v>1128</v>
      </c>
      <c r="E850" s="4" t="s">
        <v>394</v>
      </c>
      <c r="F850" s="4" t="s">
        <v>27</v>
      </c>
      <c r="G850" s="198"/>
      <c r="H850" s="4" t="s">
        <v>2668</v>
      </c>
      <c r="I850" s="198" t="s">
        <v>2272</v>
      </c>
      <c r="J850" s="198" t="s">
        <v>2272</v>
      </c>
      <c r="K850" s="198" t="s">
        <v>2272</v>
      </c>
      <c r="L850" s="198" t="s">
        <v>2272</v>
      </c>
      <c r="M850" s="198" t="s">
        <v>2723</v>
      </c>
      <c r="N850" s="198" t="s">
        <v>2272</v>
      </c>
      <c r="O850" s="198" t="s">
        <v>532</v>
      </c>
      <c r="P850" s="198" t="s">
        <v>2272</v>
      </c>
      <c r="Q850" s="198">
        <v>4</v>
      </c>
      <c r="R850" s="198" t="s">
        <v>535</v>
      </c>
      <c r="S850" s="198" t="s">
        <v>2272</v>
      </c>
      <c r="T850" s="198" t="s">
        <v>2272</v>
      </c>
      <c r="U850" s="198" t="s">
        <v>2272</v>
      </c>
      <c r="V850" s="198" t="s">
        <v>2272</v>
      </c>
      <c r="W850" s="19" t="s">
        <v>8456</v>
      </c>
    </row>
    <row r="851" spans="1:23" ht="43.5">
      <c r="A851" s="19" t="s">
        <v>8463</v>
      </c>
      <c r="B851" s="19" t="s">
        <v>8491</v>
      </c>
      <c r="C851" s="198" t="s">
        <v>23</v>
      </c>
      <c r="D851" s="4" t="s">
        <v>1128</v>
      </c>
      <c r="E851" s="4" t="s">
        <v>394</v>
      </c>
      <c r="F851" s="4" t="s">
        <v>27</v>
      </c>
      <c r="G851" s="198"/>
      <c r="H851" s="4" t="s">
        <v>2668</v>
      </c>
      <c r="I851" s="198" t="s">
        <v>2272</v>
      </c>
      <c r="J851" s="198" t="s">
        <v>2272</v>
      </c>
      <c r="K851" s="198" t="s">
        <v>2272</v>
      </c>
      <c r="L851" s="198" t="s">
        <v>2272</v>
      </c>
      <c r="M851" s="198" t="s">
        <v>2723</v>
      </c>
      <c r="N851" s="198" t="s">
        <v>2272</v>
      </c>
      <c r="O851" s="198" t="s">
        <v>532</v>
      </c>
      <c r="P851" s="198" t="s">
        <v>2272</v>
      </c>
      <c r="Q851" s="198">
        <v>4</v>
      </c>
      <c r="R851" s="198" t="s">
        <v>535</v>
      </c>
      <c r="S851" s="198" t="s">
        <v>2272</v>
      </c>
      <c r="T851" s="198" t="s">
        <v>2272</v>
      </c>
      <c r="U851" s="198" t="s">
        <v>2272</v>
      </c>
      <c r="V851" s="198" t="s">
        <v>2272</v>
      </c>
      <c r="W851" s="19" t="s">
        <v>8456</v>
      </c>
    </row>
    <row r="852" spans="1:23" ht="43.5">
      <c r="A852" s="19" t="s">
        <v>8464</v>
      </c>
      <c r="B852" s="19" t="s">
        <v>8492</v>
      </c>
      <c r="C852" s="198" t="s">
        <v>23</v>
      </c>
      <c r="D852" s="4" t="s">
        <v>1128</v>
      </c>
      <c r="E852" s="4" t="s">
        <v>394</v>
      </c>
      <c r="F852" s="4" t="s">
        <v>27</v>
      </c>
      <c r="G852" s="198"/>
      <c r="H852" s="4" t="s">
        <v>2668</v>
      </c>
      <c r="I852" s="198" t="s">
        <v>2272</v>
      </c>
      <c r="J852" s="198" t="s">
        <v>2272</v>
      </c>
      <c r="K852" s="198" t="s">
        <v>2272</v>
      </c>
      <c r="L852" s="198" t="s">
        <v>2272</v>
      </c>
      <c r="M852" s="198" t="s">
        <v>2723</v>
      </c>
      <c r="N852" s="198" t="s">
        <v>2272</v>
      </c>
      <c r="O852" s="198" t="s">
        <v>532</v>
      </c>
      <c r="P852" s="198" t="s">
        <v>2272</v>
      </c>
      <c r="Q852" s="198">
        <v>4</v>
      </c>
      <c r="R852" s="198" t="s">
        <v>535</v>
      </c>
      <c r="S852" s="198" t="s">
        <v>2272</v>
      </c>
      <c r="T852" s="198" t="s">
        <v>2272</v>
      </c>
      <c r="U852" s="198" t="s">
        <v>2272</v>
      </c>
      <c r="V852" s="198" t="s">
        <v>2272</v>
      </c>
      <c r="W852" s="19" t="s">
        <v>8456</v>
      </c>
    </row>
    <row r="853" spans="1:23" ht="43.5">
      <c r="A853" s="19" t="s">
        <v>8465</v>
      </c>
      <c r="B853" s="19" t="s">
        <v>8493</v>
      </c>
      <c r="C853" s="198" t="s">
        <v>23</v>
      </c>
      <c r="D853" s="4" t="s">
        <v>1128</v>
      </c>
      <c r="E853" s="4" t="s">
        <v>394</v>
      </c>
      <c r="F853" s="4" t="s">
        <v>27</v>
      </c>
      <c r="G853" s="198"/>
      <c r="H853" s="4" t="s">
        <v>2668</v>
      </c>
      <c r="I853" s="198" t="s">
        <v>2272</v>
      </c>
      <c r="J853" s="198" t="s">
        <v>2272</v>
      </c>
      <c r="K853" s="198" t="s">
        <v>2272</v>
      </c>
      <c r="L853" s="198" t="s">
        <v>2272</v>
      </c>
      <c r="M853" s="198" t="s">
        <v>2723</v>
      </c>
      <c r="N853" s="198" t="s">
        <v>2272</v>
      </c>
      <c r="O853" s="198" t="s">
        <v>532</v>
      </c>
      <c r="P853" s="198" t="s">
        <v>2272</v>
      </c>
      <c r="Q853" s="198">
        <v>4</v>
      </c>
      <c r="R853" s="198" t="s">
        <v>535</v>
      </c>
      <c r="S853" s="198" t="s">
        <v>2272</v>
      </c>
      <c r="T853" s="198" t="s">
        <v>2272</v>
      </c>
      <c r="U853" s="198" t="s">
        <v>2272</v>
      </c>
      <c r="V853" s="198" t="s">
        <v>2272</v>
      </c>
      <c r="W853" s="19" t="s">
        <v>8456</v>
      </c>
    </row>
    <row r="854" spans="1:23" ht="43.5">
      <c r="A854" s="19" t="s">
        <v>8466</v>
      </c>
      <c r="B854" s="19" t="s">
        <v>8494</v>
      </c>
      <c r="C854" s="198" t="s">
        <v>23</v>
      </c>
      <c r="D854" s="4" t="s">
        <v>1128</v>
      </c>
      <c r="E854" s="4" t="s">
        <v>394</v>
      </c>
      <c r="F854" s="4" t="s">
        <v>27</v>
      </c>
      <c r="G854" s="198"/>
      <c r="H854" s="4" t="s">
        <v>2668</v>
      </c>
      <c r="I854" s="198" t="s">
        <v>2272</v>
      </c>
      <c r="J854" s="198" t="s">
        <v>2272</v>
      </c>
      <c r="K854" s="198" t="s">
        <v>2272</v>
      </c>
      <c r="L854" s="198" t="s">
        <v>2272</v>
      </c>
      <c r="M854" s="198" t="s">
        <v>2723</v>
      </c>
      <c r="N854" s="198" t="s">
        <v>2272</v>
      </c>
      <c r="O854" s="198" t="s">
        <v>532</v>
      </c>
      <c r="P854" s="198" t="s">
        <v>2272</v>
      </c>
      <c r="Q854" s="198">
        <v>4</v>
      </c>
      <c r="R854" s="198" t="s">
        <v>535</v>
      </c>
      <c r="S854" s="198" t="s">
        <v>2272</v>
      </c>
      <c r="T854" s="198" t="s">
        <v>2272</v>
      </c>
      <c r="U854" s="198" t="s">
        <v>2272</v>
      </c>
      <c r="V854" s="198" t="s">
        <v>2272</v>
      </c>
      <c r="W854" s="19" t="s">
        <v>8456</v>
      </c>
    </row>
    <row r="855" spans="1:23" ht="43.5">
      <c r="A855" s="19" t="s">
        <v>8467</v>
      </c>
      <c r="B855" s="19" t="s">
        <v>8495</v>
      </c>
      <c r="C855" s="198" t="s">
        <v>23</v>
      </c>
      <c r="D855" s="4" t="s">
        <v>1128</v>
      </c>
      <c r="E855" s="4" t="s">
        <v>394</v>
      </c>
      <c r="F855" s="4" t="s">
        <v>27</v>
      </c>
      <c r="G855" s="198"/>
      <c r="H855" s="4" t="s">
        <v>2668</v>
      </c>
      <c r="I855" s="198" t="s">
        <v>2272</v>
      </c>
      <c r="J855" s="198" t="s">
        <v>2272</v>
      </c>
      <c r="K855" s="198" t="s">
        <v>2272</v>
      </c>
      <c r="L855" s="198" t="s">
        <v>2272</v>
      </c>
      <c r="M855" s="198" t="s">
        <v>2723</v>
      </c>
      <c r="N855" s="198" t="s">
        <v>2272</v>
      </c>
      <c r="O855" s="198" t="s">
        <v>532</v>
      </c>
      <c r="P855" s="198" t="s">
        <v>2272</v>
      </c>
      <c r="Q855" s="198">
        <v>4</v>
      </c>
      <c r="R855" s="198" t="s">
        <v>535</v>
      </c>
      <c r="S855" s="198" t="s">
        <v>2272</v>
      </c>
      <c r="T855" s="198" t="s">
        <v>2272</v>
      </c>
      <c r="U855" s="198" t="s">
        <v>2272</v>
      </c>
      <c r="V855" s="198" t="s">
        <v>2272</v>
      </c>
      <c r="W855" s="19" t="s">
        <v>8456</v>
      </c>
    </row>
    <row r="856" spans="1:23" ht="43.5">
      <c r="A856" s="19" t="s">
        <v>8469</v>
      </c>
      <c r="B856" s="19" t="s">
        <v>8496</v>
      </c>
      <c r="C856" s="198" t="s">
        <v>23</v>
      </c>
      <c r="D856" s="4" t="s">
        <v>1128</v>
      </c>
      <c r="E856" s="4" t="s">
        <v>394</v>
      </c>
      <c r="F856" s="4" t="s">
        <v>27</v>
      </c>
      <c r="G856" s="198"/>
      <c r="H856" s="4" t="s">
        <v>2668</v>
      </c>
      <c r="I856" s="198" t="s">
        <v>2272</v>
      </c>
      <c r="J856" s="198" t="s">
        <v>2272</v>
      </c>
      <c r="K856" s="198" t="s">
        <v>2272</v>
      </c>
      <c r="L856" s="198" t="s">
        <v>2272</v>
      </c>
      <c r="M856" s="198" t="s">
        <v>2723</v>
      </c>
      <c r="N856" s="198" t="s">
        <v>2272</v>
      </c>
      <c r="O856" s="198" t="s">
        <v>532</v>
      </c>
      <c r="P856" s="198" t="s">
        <v>2272</v>
      </c>
      <c r="Q856" s="198">
        <v>4</v>
      </c>
      <c r="R856" s="198" t="s">
        <v>535</v>
      </c>
      <c r="S856" s="198" t="s">
        <v>2272</v>
      </c>
      <c r="T856" s="198" t="s">
        <v>2272</v>
      </c>
      <c r="U856" s="198" t="s">
        <v>2272</v>
      </c>
      <c r="V856" s="198" t="s">
        <v>2272</v>
      </c>
      <c r="W856" s="19" t="s">
        <v>8456</v>
      </c>
    </row>
    <row r="857" spans="1:23" ht="43.5">
      <c r="A857" s="19" t="s">
        <v>8470</v>
      </c>
      <c r="B857" s="19" t="s">
        <v>8497</v>
      </c>
      <c r="C857" s="198" t="s">
        <v>23</v>
      </c>
      <c r="D857" s="4" t="s">
        <v>1128</v>
      </c>
      <c r="E857" s="4" t="s">
        <v>394</v>
      </c>
      <c r="F857" s="4" t="s">
        <v>27</v>
      </c>
      <c r="G857" s="198"/>
      <c r="H857" s="4" t="s">
        <v>2668</v>
      </c>
      <c r="I857" s="198" t="s">
        <v>2272</v>
      </c>
      <c r="J857" s="198" t="s">
        <v>2272</v>
      </c>
      <c r="K857" s="198" t="s">
        <v>2272</v>
      </c>
      <c r="L857" s="198" t="s">
        <v>2272</v>
      </c>
      <c r="M857" s="198" t="s">
        <v>2723</v>
      </c>
      <c r="N857" s="198" t="s">
        <v>2272</v>
      </c>
      <c r="O857" s="198" t="s">
        <v>532</v>
      </c>
      <c r="P857" s="198" t="s">
        <v>2272</v>
      </c>
      <c r="Q857" s="198">
        <v>4</v>
      </c>
      <c r="R857" s="198" t="s">
        <v>535</v>
      </c>
      <c r="S857" s="198" t="s">
        <v>2272</v>
      </c>
      <c r="T857" s="198" t="s">
        <v>2272</v>
      </c>
      <c r="U857" s="198" t="s">
        <v>2272</v>
      </c>
      <c r="V857" s="198" t="s">
        <v>2272</v>
      </c>
      <c r="W857" s="19" t="s">
        <v>8456</v>
      </c>
    </row>
    <row r="858" spans="1:23" ht="43.5">
      <c r="A858" s="19" t="s">
        <v>8473</v>
      </c>
      <c r="B858" s="19" t="s">
        <v>8498</v>
      </c>
      <c r="C858" s="198" t="s">
        <v>23</v>
      </c>
      <c r="D858" s="4" t="s">
        <v>1128</v>
      </c>
      <c r="E858" s="4" t="s">
        <v>394</v>
      </c>
      <c r="F858" s="4" t="s">
        <v>27</v>
      </c>
      <c r="G858" s="198"/>
      <c r="H858" s="4" t="s">
        <v>2668</v>
      </c>
      <c r="I858" s="198" t="s">
        <v>2272</v>
      </c>
      <c r="J858" s="198" t="s">
        <v>2272</v>
      </c>
      <c r="K858" s="198" t="s">
        <v>2272</v>
      </c>
      <c r="L858" s="198" t="s">
        <v>2272</v>
      </c>
      <c r="M858" s="198" t="s">
        <v>2723</v>
      </c>
      <c r="N858" s="198" t="s">
        <v>2272</v>
      </c>
      <c r="O858" s="198" t="s">
        <v>532</v>
      </c>
      <c r="P858" s="198" t="s">
        <v>2272</v>
      </c>
      <c r="Q858" s="198">
        <v>4</v>
      </c>
      <c r="R858" s="198" t="s">
        <v>535</v>
      </c>
      <c r="S858" s="198" t="s">
        <v>2272</v>
      </c>
      <c r="T858" s="198" t="s">
        <v>2272</v>
      </c>
      <c r="U858" s="198" t="s">
        <v>2272</v>
      </c>
      <c r="V858" s="198" t="s">
        <v>2272</v>
      </c>
      <c r="W858" s="19" t="s">
        <v>8456</v>
      </c>
    </row>
    <row r="859" spans="1:23" ht="52" customHeight="1">
      <c r="A859" s="19" t="s">
        <v>8513</v>
      </c>
      <c r="B859" s="19" t="s">
        <v>8515</v>
      </c>
      <c r="C859" s="198" t="s">
        <v>23</v>
      </c>
      <c r="D859" s="198" t="s">
        <v>2654</v>
      </c>
      <c r="E859" s="4" t="s">
        <v>394</v>
      </c>
      <c r="F859" s="4" t="s">
        <v>27</v>
      </c>
      <c r="G859" s="198"/>
      <c r="H859" s="4" t="s">
        <v>539</v>
      </c>
      <c r="I859" s="198" t="s">
        <v>2272</v>
      </c>
      <c r="J859" s="198" t="s">
        <v>2272</v>
      </c>
      <c r="K859" s="198" t="s">
        <v>2272</v>
      </c>
      <c r="L859" s="198" t="s">
        <v>2272</v>
      </c>
      <c r="M859" s="198" t="s">
        <v>2723</v>
      </c>
      <c r="N859" s="198" t="s">
        <v>2272</v>
      </c>
      <c r="O859" s="198" t="s">
        <v>2272</v>
      </c>
      <c r="P859" s="198" t="s">
        <v>532</v>
      </c>
      <c r="Q859" s="198">
        <v>2</v>
      </c>
      <c r="R859" s="198" t="s">
        <v>2272</v>
      </c>
      <c r="S859" s="198" t="s">
        <v>2272</v>
      </c>
      <c r="T859" s="198" t="s">
        <v>2272</v>
      </c>
      <c r="U859" s="198" t="s">
        <v>2272</v>
      </c>
      <c r="V859" s="198" t="s">
        <v>2272</v>
      </c>
      <c r="W859" s="4" t="s">
        <v>8517</v>
      </c>
    </row>
    <row r="860" spans="1:23" ht="52" customHeight="1">
      <c r="A860" s="19" t="s">
        <v>8513</v>
      </c>
      <c r="B860" s="19" t="s">
        <v>8516</v>
      </c>
      <c r="C860" s="198" t="s">
        <v>23</v>
      </c>
      <c r="D860" s="198" t="s">
        <v>2654</v>
      </c>
      <c r="E860" s="4" t="s">
        <v>395</v>
      </c>
      <c r="F860" s="4" t="s">
        <v>27</v>
      </c>
      <c r="G860" s="198"/>
      <c r="H860" s="4" t="s">
        <v>539</v>
      </c>
      <c r="I860" s="198" t="s">
        <v>2272</v>
      </c>
      <c r="J860" s="198" t="s">
        <v>2272</v>
      </c>
      <c r="K860" s="198" t="s">
        <v>2272</v>
      </c>
      <c r="L860" s="198" t="s">
        <v>2272</v>
      </c>
      <c r="M860" s="198" t="s">
        <v>2723</v>
      </c>
      <c r="N860" s="198" t="s">
        <v>2272</v>
      </c>
      <c r="O860" s="198" t="s">
        <v>2272</v>
      </c>
      <c r="P860" s="198" t="s">
        <v>532</v>
      </c>
      <c r="Q860" s="198">
        <v>2</v>
      </c>
      <c r="R860" s="198" t="s">
        <v>2272</v>
      </c>
      <c r="S860" s="198" t="s">
        <v>2272</v>
      </c>
      <c r="T860" s="198" t="s">
        <v>2272</v>
      </c>
      <c r="U860" s="198" t="s">
        <v>2272</v>
      </c>
      <c r="V860" s="198" t="s">
        <v>2272</v>
      </c>
      <c r="W860" s="4" t="s">
        <v>8517</v>
      </c>
    </row>
    <row r="861" spans="1:23" ht="51" customHeight="1">
      <c r="A861" s="19" t="s">
        <v>8513</v>
      </c>
      <c r="B861" s="19" t="s">
        <v>8518</v>
      </c>
      <c r="C861" s="198" t="s">
        <v>23</v>
      </c>
      <c r="D861" s="198" t="s">
        <v>2654</v>
      </c>
      <c r="E861" s="4" t="s">
        <v>394</v>
      </c>
      <c r="F861" s="4" t="s">
        <v>27</v>
      </c>
      <c r="G861" s="198"/>
      <c r="H861" s="4" t="s">
        <v>2668</v>
      </c>
      <c r="I861" s="198" t="s">
        <v>2272</v>
      </c>
      <c r="J861" s="198" t="s">
        <v>2272</v>
      </c>
      <c r="K861" s="198" t="s">
        <v>2272</v>
      </c>
      <c r="L861" s="198" t="s">
        <v>2272</v>
      </c>
      <c r="M861" s="198" t="s">
        <v>2664</v>
      </c>
      <c r="N861" s="198" t="s">
        <v>2272</v>
      </c>
      <c r="O861" s="198" t="s">
        <v>2272</v>
      </c>
      <c r="P861" s="198" t="s">
        <v>532</v>
      </c>
      <c r="Q861" s="198">
        <v>2</v>
      </c>
      <c r="R861" s="198" t="s">
        <v>2272</v>
      </c>
      <c r="S861" s="198" t="s">
        <v>2272</v>
      </c>
      <c r="T861" s="198" t="s">
        <v>2272</v>
      </c>
      <c r="U861" s="198" t="s">
        <v>2272</v>
      </c>
      <c r="V861" s="198" t="s">
        <v>2272</v>
      </c>
      <c r="W861" s="19" t="s">
        <v>8520</v>
      </c>
    </row>
    <row r="862" spans="1:23" ht="51" customHeight="1">
      <c r="A862" s="19" t="s">
        <v>8513</v>
      </c>
      <c r="B862" s="19" t="s">
        <v>8519</v>
      </c>
      <c r="C862" s="198" t="s">
        <v>23</v>
      </c>
      <c r="D862" s="198" t="s">
        <v>2654</v>
      </c>
      <c r="E862" s="4" t="s">
        <v>395</v>
      </c>
      <c r="F862" s="4" t="s">
        <v>27</v>
      </c>
      <c r="G862" s="198"/>
      <c r="H862" s="4" t="s">
        <v>2668</v>
      </c>
      <c r="I862" s="198" t="s">
        <v>2272</v>
      </c>
      <c r="J862" s="198" t="s">
        <v>2272</v>
      </c>
      <c r="K862" s="198" t="s">
        <v>2272</v>
      </c>
      <c r="L862" s="198" t="s">
        <v>2272</v>
      </c>
      <c r="M862" s="198" t="s">
        <v>2664</v>
      </c>
      <c r="N862" s="198" t="s">
        <v>2272</v>
      </c>
      <c r="O862" s="198" t="s">
        <v>2272</v>
      </c>
      <c r="P862" s="198" t="s">
        <v>532</v>
      </c>
      <c r="Q862" s="198">
        <v>2</v>
      </c>
      <c r="R862" s="198" t="s">
        <v>2272</v>
      </c>
      <c r="S862" s="198" t="s">
        <v>2272</v>
      </c>
      <c r="T862" s="198" t="s">
        <v>2272</v>
      </c>
      <c r="U862" s="198" t="s">
        <v>2272</v>
      </c>
      <c r="V862" s="198" t="s">
        <v>2272</v>
      </c>
      <c r="W862" s="19" t="s">
        <v>8520</v>
      </c>
    </row>
    <row r="863" spans="1:23" ht="49.5" customHeight="1">
      <c r="A863" s="19" t="s">
        <v>8526</v>
      </c>
      <c r="B863" s="19" t="s">
        <v>8531</v>
      </c>
      <c r="C863" s="198" t="s">
        <v>23</v>
      </c>
      <c r="D863" s="198" t="s">
        <v>2654</v>
      </c>
      <c r="E863" s="4" t="s">
        <v>82</v>
      </c>
      <c r="F863" s="4" t="s">
        <v>27</v>
      </c>
      <c r="G863" s="198"/>
      <c r="H863" s="4" t="s">
        <v>2668</v>
      </c>
      <c r="I863" s="198" t="s">
        <v>2272</v>
      </c>
      <c r="J863" s="198" t="s">
        <v>2272</v>
      </c>
      <c r="K863" s="198" t="s">
        <v>2272</v>
      </c>
      <c r="L863" s="198" t="s">
        <v>2272</v>
      </c>
      <c r="M863" s="198" t="s">
        <v>2723</v>
      </c>
      <c r="N863" s="198" t="s">
        <v>2272</v>
      </c>
      <c r="O863" s="198" t="s">
        <v>2272</v>
      </c>
      <c r="P863" s="198" t="s">
        <v>2272</v>
      </c>
      <c r="Q863" s="198" t="s">
        <v>2272</v>
      </c>
      <c r="R863" s="198" t="s">
        <v>2272</v>
      </c>
      <c r="S863" s="198" t="s">
        <v>2272</v>
      </c>
      <c r="T863" s="198" t="s">
        <v>2272</v>
      </c>
      <c r="U863" s="198" t="s">
        <v>2272</v>
      </c>
      <c r="V863" s="198" t="s">
        <v>2272</v>
      </c>
      <c r="W863" s="4" t="s">
        <v>8532</v>
      </c>
    </row>
    <row r="864" spans="1:23" ht="41" customHeight="1">
      <c r="A864" s="19" t="s">
        <v>8526</v>
      </c>
      <c r="B864" s="19" t="s">
        <v>8533</v>
      </c>
      <c r="C864" s="198" t="s">
        <v>23</v>
      </c>
      <c r="D864" s="198" t="s">
        <v>2654</v>
      </c>
      <c r="E864" s="4" t="s">
        <v>82</v>
      </c>
      <c r="F864" s="4" t="s">
        <v>27</v>
      </c>
      <c r="G864" s="198"/>
      <c r="H864" s="4" t="s">
        <v>2669</v>
      </c>
      <c r="I864" s="198" t="s">
        <v>2685</v>
      </c>
      <c r="J864" s="198" t="s">
        <v>2272</v>
      </c>
      <c r="K864" s="198" t="s">
        <v>2272</v>
      </c>
      <c r="L864" s="198" t="s">
        <v>2272</v>
      </c>
      <c r="M864" s="198" t="s">
        <v>2723</v>
      </c>
      <c r="N864" s="198" t="s">
        <v>2272</v>
      </c>
      <c r="O864" s="198" t="s">
        <v>2272</v>
      </c>
      <c r="P864" s="198" t="s">
        <v>2272</v>
      </c>
      <c r="Q864" s="198" t="s">
        <v>2272</v>
      </c>
      <c r="R864" s="198" t="s">
        <v>2272</v>
      </c>
      <c r="S864" s="198" t="s">
        <v>2272</v>
      </c>
      <c r="T864" s="198" t="s">
        <v>2272</v>
      </c>
      <c r="U864" s="198" t="s">
        <v>2272</v>
      </c>
      <c r="V864" s="198" t="s">
        <v>2272</v>
      </c>
      <c r="W864" s="4" t="s">
        <v>8534</v>
      </c>
    </row>
    <row r="865" spans="1:23" ht="45" customHeight="1">
      <c r="A865" s="52" t="s">
        <v>8541</v>
      </c>
      <c r="B865" s="52" t="s">
        <v>8554</v>
      </c>
      <c r="C865" s="35" t="s">
        <v>23</v>
      </c>
      <c r="D865" s="35" t="s">
        <v>2654</v>
      </c>
      <c r="E865" s="163" t="s">
        <v>1102</v>
      </c>
      <c r="F865" s="163" t="s">
        <v>27</v>
      </c>
      <c r="G865" s="35"/>
      <c r="H865" s="163" t="s">
        <v>2668</v>
      </c>
      <c r="I865" s="35" t="s">
        <v>2272</v>
      </c>
      <c r="J865" s="35" t="s">
        <v>2272</v>
      </c>
      <c r="K865" s="35" t="s">
        <v>2272</v>
      </c>
      <c r="L865" s="35" t="s">
        <v>2272</v>
      </c>
      <c r="M865" s="35" t="s">
        <v>2723</v>
      </c>
      <c r="N865" s="35" t="s">
        <v>2272</v>
      </c>
      <c r="O865" s="35" t="s">
        <v>532</v>
      </c>
      <c r="P865" s="35" t="s">
        <v>532</v>
      </c>
      <c r="Q865" s="35" t="s">
        <v>2272</v>
      </c>
      <c r="R865" s="35" t="s">
        <v>2272</v>
      </c>
      <c r="S865" s="35" t="s">
        <v>2272</v>
      </c>
      <c r="T865" s="35" t="s">
        <v>2272</v>
      </c>
      <c r="U865" s="35" t="s">
        <v>2272</v>
      </c>
      <c r="V865" s="35" t="s">
        <v>2272</v>
      </c>
      <c r="W865" s="146" t="s">
        <v>8555</v>
      </c>
    </row>
    <row r="866" spans="1:23" ht="48.5" customHeight="1">
      <c r="A866" s="19" t="s">
        <v>8563</v>
      </c>
      <c r="B866" s="19" t="s">
        <v>8572</v>
      </c>
      <c r="C866" s="198" t="s">
        <v>2653</v>
      </c>
      <c r="D866" s="198" t="s">
        <v>1102</v>
      </c>
      <c r="E866" s="198" t="s">
        <v>44</v>
      </c>
      <c r="F866" s="4" t="s">
        <v>2657</v>
      </c>
      <c r="G866" s="198"/>
      <c r="H866" s="4" t="s">
        <v>539</v>
      </c>
      <c r="I866" s="198" t="s">
        <v>2272</v>
      </c>
      <c r="J866" s="198" t="s">
        <v>2272</v>
      </c>
      <c r="K866" s="198" t="s">
        <v>2272</v>
      </c>
      <c r="L866" s="198" t="s">
        <v>2272</v>
      </c>
      <c r="M866" s="198" t="s">
        <v>2723</v>
      </c>
      <c r="N866" s="198" t="s">
        <v>2272</v>
      </c>
      <c r="O866" s="198" t="s">
        <v>2272</v>
      </c>
      <c r="P866" s="198" t="s">
        <v>2272</v>
      </c>
      <c r="Q866" s="198" t="s">
        <v>2272</v>
      </c>
      <c r="R866" s="198" t="s">
        <v>2272</v>
      </c>
      <c r="S866" s="198" t="s">
        <v>2272</v>
      </c>
      <c r="T866" s="198" t="s">
        <v>2272</v>
      </c>
      <c r="U866" s="198" t="s">
        <v>2272</v>
      </c>
      <c r="V866" s="198" t="s">
        <v>2272</v>
      </c>
      <c r="W866" s="4" t="s">
        <v>8581</v>
      </c>
    </row>
    <row r="867" spans="1:23" ht="40.5" customHeight="1">
      <c r="A867" s="19" t="s">
        <v>8563</v>
      </c>
      <c r="B867" s="19" t="s">
        <v>8576</v>
      </c>
      <c r="C867" s="198" t="s">
        <v>2653</v>
      </c>
      <c r="D867" s="198" t="s">
        <v>1102</v>
      </c>
      <c r="E867" s="198" t="s">
        <v>44</v>
      </c>
      <c r="F867" s="4" t="s">
        <v>2657</v>
      </c>
      <c r="G867" s="198"/>
      <c r="H867" s="4" t="s">
        <v>2668</v>
      </c>
      <c r="I867" s="198" t="s">
        <v>2685</v>
      </c>
      <c r="J867" s="198" t="s">
        <v>2272</v>
      </c>
      <c r="K867" s="198" t="s">
        <v>2272</v>
      </c>
      <c r="L867" s="198" t="s">
        <v>2272</v>
      </c>
      <c r="M867" s="198" t="s">
        <v>2272</v>
      </c>
      <c r="N867" s="198" t="s">
        <v>2272</v>
      </c>
      <c r="O867" s="198" t="s">
        <v>2272</v>
      </c>
      <c r="P867" s="198" t="s">
        <v>2272</v>
      </c>
      <c r="Q867" s="198" t="s">
        <v>2272</v>
      </c>
      <c r="R867" s="198" t="s">
        <v>2272</v>
      </c>
      <c r="S867" s="198" t="s">
        <v>2272</v>
      </c>
      <c r="T867" s="198" t="s">
        <v>2272</v>
      </c>
      <c r="U867" s="198" t="s">
        <v>2272</v>
      </c>
      <c r="V867" s="198" t="s">
        <v>2272</v>
      </c>
      <c r="W867" s="4" t="s">
        <v>8582</v>
      </c>
    </row>
    <row r="868" spans="1:23" ht="43.5" customHeight="1">
      <c r="A868" s="19" t="s">
        <v>8584</v>
      </c>
      <c r="B868" s="19" t="s">
        <v>8589</v>
      </c>
      <c r="C868" s="198" t="s">
        <v>23</v>
      </c>
      <c r="D868" s="198" t="s">
        <v>2654</v>
      </c>
      <c r="E868" s="4" t="s">
        <v>82</v>
      </c>
      <c r="F868" s="4" t="s">
        <v>27</v>
      </c>
      <c r="G868" s="198"/>
      <c r="H868" s="4" t="s">
        <v>2668</v>
      </c>
      <c r="I868" s="198" t="s">
        <v>2272</v>
      </c>
      <c r="J868" s="198" t="s">
        <v>2272</v>
      </c>
      <c r="K868" s="198" t="s">
        <v>2272</v>
      </c>
      <c r="L868" s="198" t="s">
        <v>2272</v>
      </c>
      <c r="M868" s="198" t="s">
        <v>2723</v>
      </c>
      <c r="N868" s="198" t="s">
        <v>2272</v>
      </c>
      <c r="O868" s="198" t="s">
        <v>2272</v>
      </c>
      <c r="P868" s="198" t="s">
        <v>532</v>
      </c>
      <c r="Q868" s="198">
        <v>4</v>
      </c>
      <c r="R868" s="198" t="s">
        <v>2272</v>
      </c>
      <c r="S868" s="198" t="s">
        <v>2272</v>
      </c>
      <c r="T868" s="198" t="s">
        <v>2272</v>
      </c>
      <c r="U868" s="198" t="s">
        <v>2272</v>
      </c>
      <c r="V868" s="198" t="s">
        <v>2272</v>
      </c>
      <c r="W868" s="19" t="s">
        <v>8592</v>
      </c>
    </row>
    <row r="869" spans="1:23" ht="44.5" customHeight="1">
      <c r="A869" s="26" t="s">
        <v>8597</v>
      </c>
      <c r="B869" s="26" t="s">
        <v>8609</v>
      </c>
      <c r="C869" s="198" t="s">
        <v>23</v>
      </c>
      <c r="D869" s="198" t="s">
        <v>2654</v>
      </c>
      <c r="E869" s="198" t="s">
        <v>2272</v>
      </c>
      <c r="F869" s="4" t="s">
        <v>27</v>
      </c>
      <c r="G869" s="198"/>
      <c r="H869" s="4" t="s">
        <v>2668</v>
      </c>
      <c r="I869" s="198" t="s">
        <v>2272</v>
      </c>
      <c r="J869" s="198" t="s">
        <v>2272</v>
      </c>
      <c r="K869" s="198" t="s">
        <v>2272</v>
      </c>
      <c r="L869" s="198" t="s">
        <v>2272</v>
      </c>
      <c r="M869" s="198" t="s">
        <v>2272</v>
      </c>
      <c r="N869" s="198" t="s">
        <v>2272</v>
      </c>
      <c r="O869" s="198" t="s">
        <v>2272</v>
      </c>
      <c r="P869" s="198" t="s">
        <v>2272</v>
      </c>
      <c r="Q869" s="198" t="s">
        <v>2272</v>
      </c>
      <c r="R869" s="198" t="s">
        <v>532</v>
      </c>
      <c r="S869" s="198" t="s">
        <v>2272</v>
      </c>
      <c r="T869" s="198" t="s">
        <v>2272</v>
      </c>
      <c r="U869" s="198" t="s">
        <v>532</v>
      </c>
      <c r="V869" s="198">
        <v>3</v>
      </c>
      <c r="W869" s="4" t="s">
        <v>8617</v>
      </c>
    </row>
    <row r="870" spans="1:23" ht="44.5" customHeight="1">
      <c r="A870" s="26" t="s">
        <v>8598</v>
      </c>
      <c r="B870" s="26" t="s">
        <v>8610</v>
      </c>
      <c r="C870" s="198" t="s">
        <v>23</v>
      </c>
      <c r="D870" s="198" t="s">
        <v>2654</v>
      </c>
      <c r="E870" s="198" t="s">
        <v>2272</v>
      </c>
      <c r="F870" s="4" t="s">
        <v>27</v>
      </c>
      <c r="G870" s="198"/>
      <c r="H870" s="4" t="s">
        <v>2668</v>
      </c>
      <c r="I870" s="198" t="s">
        <v>2272</v>
      </c>
      <c r="J870" s="198" t="s">
        <v>2272</v>
      </c>
      <c r="K870" s="198" t="s">
        <v>2272</v>
      </c>
      <c r="L870" s="198" t="s">
        <v>2272</v>
      </c>
      <c r="M870" s="198" t="s">
        <v>2272</v>
      </c>
      <c r="N870" s="198" t="s">
        <v>2272</v>
      </c>
      <c r="O870" s="198" t="s">
        <v>2272</v>
      </c>
      <c r="P870" s="198" t="s">
        <v>2272</v>
      </c>
      <c r="Q870" s="198" t="s">
        <v>2272</v>
      </c>
      <c r="R870" s="198" t="s">
        <v>532</v>
      </c>
      <c r="S870" s="198" t="s">
        <v>2272</v>
      </c>
      <c r="T870" s="198" t="s">
        <v>2272</v>
      </c>
      <c r="U870" s="198" t="s">
        <v>532</v>
      </c>
      <c r="V870" s="198">
        <v>3</v>
      </c>
      <c r="W870" s="4" t="s">
        <v>8617</v>
      </c>
    </row>
    <row r="871" spans="1:23" ht="44.5" customHeight="1">
      <c r="A871" s="26" t="s">
        <v>8599</v>
      </c>
      <c r="B871" s="26" t="s">
        <v>8611</v>
      </c>
      <c r="C871" s="198" t="s">
        <v>23</v>
      </c>
      <c r="D871" s="198" t="s">
        <v>2654</v>
      </c>
      <c r="E871" s="198" t="s">
        <v>2272</v>
      </c>
      <c r="F871" s="4" t="s">
        <v>27</v>
      </c>
      <c r="G871" s="198"/>
      <c r="H871" s="4" t="s">
        <v>2668</v>
      </c>
      <c r="I871" s="198" t="s">
        <v>2272</v>
      </c>
      <c r="J871" s="198" t="s">
        <v>2272</v>
      </c>
      <c r="K871" s="198" t="s">
        <v>2272</v>
      </c>
      <c r="L871" s="198" t="s">
        <v>2272</v>
      </c>
      <c r="M871" s="198" t="s">
        <v>2272</v>
      </c>
      <c r="N871" s="198" t="s">
        <v>2272</v>
      </c>
      <c r="O871" s="198" t="s">
        <v>2272</v>
      </c>
      <c r="P871" s="198" t="s">
        <v>2272</v>
      </c>
      <c r="Q871" s="198" t="s">
        <v>2272</v>
      </c>
      <c r="R871" s="198" t="s">
        <v>532</v>
      </c>
      <c r="S871" s="198" t="s">
        <v>2272</v>
      </c>
      <c r="T871" s="198" t="s">
        <v>2272</v>
      </c>
      <c r="U871" s="198" t="s">
        <v>532</v>
      </c>
      <c r="V871" s="198">
        <v>3</v>
      </c>
      <c r="W871" s="4" t="s">
        <v>8617</v>
      </c>
    </row>
    <row r="872" spans="1:23" ht="44.5" customHeight="1">
      <c r="A872" s="26" t="s">
        <v>8600</v>
      </c>
      <c r="B872" s="26" t="s">
        <v>8612</v>
      </c>
      <c r="C872" s="198" t="s">
        <v>23</v>
      </c>
      <c r="D872" s="198" t="s">
        <v>2654</v>
      </c>
      <c r="E872" s="198" t="s">
        <v>2272</v>
      </c>
      <c r="F872" s="4" t="s">
        <v>27</v>
      </c>
      <c r="G872" s="198"/>
      <c r="H872" s="4" t="s">
        <v>2668</v>
      </c>
      <c r="I872" s="198" t="s">
        <v>2272</v>
      </c>
      <c r="J872" s="198" t="s">
        <v>2272</v>
      </c>
      <c r="K872" s="198" t="s">
        <v>2272</v>
      </c>
      <c r="L872" s="198" t="s">
        <v>2272</v>
      </c>
      <c r="M872" s="198" t="s">
        <v>2272</v>
      </c>
      <c r="N872" s="198" t="s">
        <v>2272</v>
      </c>
      <c r="O872" s="198" t="s">
        <v>2272</v>
      </c>
      <c r="P872" s="198" t="s">
        <v>2272</v>
      </c>
      <c r="Q872" s="198" t="s">
        <v>2272</v>
      </c>
      <c r="R872" s="198" t="s">
        <v>532</v>
      </c>
      <c r="S872" s="198" t="s">
        <v>2272</v>
      </c>
      <c r="T872" s="198" t="s">
        <v>2272</v>
      </c>
      <c r="U872" s="198" t="s">
        <v>532</v>
      </c>
      <c r="V872" s="198">
        <v>3</v>
      </c>
      <c r="W872" s="4" t="s">
        <v>8617</v>
      </c>
    </row>
    <row r="873" spans="1:23" ht="44.5" customHeight="1">
      <c r="A873" s="26" t="s">
        <v>8601</v>
      </c>
      <c r="B873" s="26" t="s">
        <v>8613</v>
      </c>
      <c r="C873" s="198" t="s">
        <v>23</v>
      </c>
      <c r="D873" s="198" t="s">
        <v>2654</v>
      </c>
      <c r="E873" s="198" t="s">
        <v>2272</v>
      </c>
      <c r="F873" s="4" t="s">
        <v>27</v>
      </c>
      <c r="G873" s="198"/>
      <c r="H873" s="4" t="s">
        <v>2668</v>
      </c>
      <c r="I873" s="198" t="s">
        <v>2272</v>
      </c>
      <c r="J873" s="198" t="s">
        <v>2272</v>
      </c>
      <c r="K873" s="198" t="s">
        <v>2272</v>
      </c>
      <c r="L873" s="198" t="s">
        <v>2272</v>
      </c>
      <c r="M873" s="198" t="s">
        <v>2272</v>
      </c>
      <c r="N873" s="198" t="s">
        <v>2272</v>
      </c>
      <c r="O873" s="198" t="s">
        <v>2272</v>
      </c>
      <c r="P873" s="198" t="s">
        <v>2272</v>
      </c>
      <c r="Q873" s="198" t="s">
        <v>2272</v>
      </c>
      <c r="R873" s="198" t="s">
        <v>532</v>
      </c>
      <c r="S873" s="198" t="s">
        <v>2272</v>
      </c>
      <c r="T873" s="198" t="s">
        <v>2272</v>
      </c>
      <c r="U873" s="198" t="s">
        <v>532</v>
      </c>
      <c r="V873" s="198">
        <v>3</v>
      </c>
      <c r="W873" s="4" t="s">
        <v>8617</v>
      </c>
    </row>
    <row r="874" spans="1:23" ht="44.5" customHeight="1">
      <c r="A874" s="26" t="s">
        <v>8602</v>
      </c>
      <c r="B874" s="26" t="s">
        <v>8614</v>
      </c>
      <c r="C874" s="198" t="s">
        <v>23</v>
      </c>
      <c r="D874" s="198" t="s">
        <v>2654</v>
      </c>
      <c r="E874" s="198" t="s">
        <v>2272</v>
      </c>
      <c r="F874" s="4" t="s">
        <v>27</v>
      </c>
      <c r="G874" s="198"/>
      <c r="H874" s="4" t="s">
        <v>2668</v>
      </c>
      <c r="I874" s="198" t="s">
        <v>2272</v>
      </c>
      <c r="J874" s="198" t="s">
        <v>2272</v>
      </c>
      <c r="K874" s="198" t="s">
        <v>2272</v>
      </c>
      <c r="L874" s="198" t="s">
        <v>2272</v>
      </c>
      <c r="M874" s="198" t="s">
        <v>2272</v>
      </c>
      <c r="N874" s="198" t="s">
        <v>2272</v>
      </c>
      <c r="O874" s="198" t="s">
        <v>2272</v>
      </c>
      <c r="P874" s="198" t="s">
        <v>2272</v>
      </c>
      <c r="Q874" s="198" t="s">
        <v>2272</v>
      </c>
      <c r="R874" s="198" t="s">
        <v>532</v>
      </c>
      <c r="S874" s="198" t="s">
        <v>2272</v>
      </c>
      <c r="T874" s="198" t="s">
        <v>2272</v>
      </c>
      <c r="U874" s="198" t="s">
        <v>532</v>
      </c>
      <c r="V874" s="198">
        <v>3</v>
      </c>
      <c r="W874" s="4" t="s">
        <v>8617</v>
      </c>
    </row>
    <row r="875" spans="1:23" ht="76.5" customHeight="1">
      <c r="A875" s="26" t="s">
        <v>8619</v>
      </c>
      <c r="B875" s="26" t="s">
        <v>8624</v>
      </c>
      <c r="C875" s="198" t="s">
        <v>23</v>
      </c>
      <c r="D875" s="198" t="s">
        <v>2654</v>
      </c>
      <c r="E875" s="198" t="s">
        <v>2272</v>
      </c>
      <c r="F875" s="4" t="s">
        <v>27</v>
      </c>
      <c r="G875" s="198"/>
      <c r="H875" s="4" t="s">
        <v>539</v>
      </c>
      <c r="I875" s="198" t="s">
        <v>2272</v>
      </c>
      <c r="J875" s="198" t="s">
        <v>2272</v>
      </c>
      <c r="K875" s="198" t="s">
        <v>2272</v>
      </c>
      <c r="L875" s="198" t="s">
        <v>2272</v>
      </c>
      <c r="M875" s="198" t="s">
        <v>2272</v>
      </c>
      <c r="N875" s="198" t="s">
        <v>2272</v>
      </c>
      <c r="O875" s="198" t="s">
        <v>2272</v>
      </c>
      <c r="P875" s="198" t="s">
        <v>2272</v>
      </c>
      <c r="Q875" s="198" t="s">
        <v>2272</v>
      </c>
      <c r="R875" s="198" t="s">
        <v>532</v>
      </c>
      <c r="S875" s="198" t="s">
        <v>532</v>
      </c>
      <c r="T875" s="198" t="s">
        <v>532</v>
      </c>
      <c r="U875" s="198" t="s">
        <v>532</v>
      </c>
      <c r="V875" s="198">
        <v>3</v>
      </c>
      <c r="W875" s="19" t="s">
        <v>8628</v>
      </c>
    </row>
    <row r="876" spans="1:23" ht="76.5" customHeight="1">
      <c r="A876" s="26" t="s">
        <v>8623</v>
      </c>
      <c r="B876" s="26" t="s">
        <v>8625</v>
      </c>
      <c r="C876" s="198" t="s">
        <v>23</v>
      </c>
      <c r="D876" s="198" t="s">
        <v>2654</v>
      </c>
      <c r="E876" s="198" t="s">
        <v>2272</v>
      </c>
      <c r="F876" s="4" t="s">
        <v>27</v>
      </c>
      <c r="G876" s="198"/>
      <c r="H876" s="4" t="s">
        <v>2668</v>
      </c>
      <c r="I876" s="198" t="s">
        <v>2685</v>
      </c>
      <c r="J876" s="198" t="s">
        <v>532</v>
      </c>
      <c r="K876" s="198" t="s">
        <v>2272</v>
      </c>
      <c r="L876" s="198" t="s">
        <v>532</v>
      </c>
      <c r="M876" s="198" t="s">
        <v>2272</v>
      </c>
      <c r="N876" s="198" t="s">
        <v>2272</v>
      </c>
      <c r="O876" s="198" t="s">
        <v>2272</v>
      </c>
      <c r="P876" s="198" t="s">
        <v>2272</v>
      </c>
      <c r="Q876" s="198" t="s">
        <v>2272</v>
      </c>
      <c r="R876" s="198" t="s">
        <v>532</v>
      </c>
      <c r="S876" s="198" t="s">
        <v>532</v>
      </c>
      <c r="T876" s="198" t="s">
        <v>532</v>
      </c>
      <c r="U876" s="198" t="s">
        <v>532</v>
      </c>
      <c r="V876" s="198">
        <v>3</v>
      </c>
      <c r="W876" s="19" t="s">
        <v>8629</v>
      </c>
    </row>
    <row r="877" spans="1:23" ht="76.5" customHeight="1">
      <c r="A877" s="26" t="s">
        <v>8622</v>
      </c>
      <c r="B877" s="26" t="s">
        <v>8626</v>
      </c>
      <c r="C877" s="198" t="s">
        <v>23</v>
      </c>
      <c r="D877" s="198" t="s">
        <v>2654</v>
      </c>
      <c r="E877" s="198" t="s">
        <v>2272</v>
      </c>
      <c r="F877" s="4" t="s">
        <v>27</v>
      </c>
      <c r="G877" s="198"/>
      <c r="H877" s="4" t="s">
        <v>2669</v>
      </c>
      <c r="I877" s="198" t="s">
        <v>2685</v>
      </c>
      <c r="J877" s="198" t="s">
        <v>532</v>
      </c>
      <c r="K877" s="198" t="s">
        <v>2272</v>
      </c>
      <c r="L877" s="198" t="s">
        <v>532</v>
      </c>
      <c r="M877" s="198" t="s">
        <v>2272</v>
      </c>
      <c r="N877" s="198" t="s">
        <v>2272</v>
      </c>
      <c r="O877" s="198" t="s">
        <v>2272</v>
      </c>
      <c r="P877" s="198" t="s">
        <v>2272</v>
      </c>
      <c r="Q877" s="198" t="s">
        <v>2272</v>
      </c>
      <c r="R877" s="198" t="s">
        <v>2272</v>
      </c>
      <c r="S877" s="198" t="s">
        <v>2272</v>
      </c>
      <c r="T877" s="198" t="s">
        <v>2272</v>
      </c>
      <c r="U877" s="198" t="s">
        <v>2272</v>
      </c>
      <c r="V877" s="198" t="s">
        <v>2272</v>
      </c>
      <c r="W877" s="19" t="s">
        <v>8627</v>
      </c>
    </row>
    <row r="878" spans="1:23" ht="47" customHeight="1">
      <c r="A878" s="26" t="s">
        <v>8733</v>
      </c>
      <c r="B878" s="26" t="s">
        <v>8736</v>
      </c>
      <c r="C878" s="198" t="s">
        <v>23</v>
      </c>
      <c r="D878" s="198" t="s">
        <v>2654</v>
      </c>
      <c r="E878" s="198" t="s">
        <v>82</v>
      </c>
      <c r="F878" s="4" t="s">
        <v>27</v>
      </c>
      <c r="G878" s="198"/>
      <c r="H878" s="4" t="s">
        <v>539</v>
      </c>
      <c r="I878" s="198" t="s">
        <v>2272</v>
      </c>
      <c r="J878" s="198" t="s">
        <v>2272</v>
      </c>
      <c r="K878" s="198" t="s">
        <v>2272</v>
      </c>
      <c r="L878" s="198" t="s">
        <v>2272</v>
      </c>
      <c r="M878" s="198" t="s">
        <v>2272</v>
      </c>
      <c r="N878" s="198" t="s">
        <v>2272</v>
      </c>
      <c r="O878" s="198" t="s">
        <v>2272</v>
      </c>
      <c r="P878" s="198" t="s">
        <v>2272</v>
      </c>
      <c r="Q878" s="198" t="s">
        <v>2272</v>
      </c>
      <c r="R878" s="198" t="s">
        <v>532</v>
      </c>
      <c r="S878" s="198" t="s">
        <v>2272</v>
      </c>
      <c r="T878" s="198" t="s">
        <v>2272</v>
      </c>
      <c r="U878" s="198" t="s">
        <v>2272</v>
      </c>
      <c r="V878" s="198">
        <v>1</v>
      </c>
      <c r="W878" s="19" t="s">
        <v>8754</v>
      </c>
    </row>
    <row r="879" spans="1:23" ht="39" customHeight="1">
      <c r="A879" s="26" t="s">
        <v>8733</v>
      </c>
      <c r="B879" s="26" t="s">
        <v>8737</v>
      </c>
      <c r="C879" s="198" t="s">
        <v>23</v>
      </c>
      <c r="D879" s="198" t="s">
        <v>24</v>
      </c>
      <c r="E879" s="198" t="s">
        <v>44</v>
      </c>
      <c r="F879" s="4" t="s">
        <v>2657</v>
      </c>
      <c r="G879" s="198"/>
      <c r="H879" s="4" t="s">
        <v>539</v>
      </c>
      <c r="I879" s="198" t="s">
        <v>2272</v>
      </c>
      <c r="J879" s="198" t="s">
        <v>2272</v>
      </c>
      <c r="K879" s="198" t="s">
        <v>2272</v>
      </c>
      <c r="L879" s="198" t="s">
        <v>2272</v>
      </c>
      <c r="M879" s="198" t="s">
        <v>2272</v>
      </c>
      <c r="N879" s="198" t="s">
        <v>2272</v>
      </c>
      <c r="O879" s="198" t="s">
        <v>2272</v>
      </c>
      <c r="P879" s="198" t="s">
        <v>2272</v>
      </c>
      <c r="Q879" s="198" t="s">
        <v>2272</v>
      </c>
      <c r="R879" s="198" t="s">
        <v>532</v>
      </c>
      <c r="S879" s="198" t="s">
        <v>2272</v>
      </c>
      <c r="T879" s="198" t="s">
        <v>2272</v>
      </c>
      <c r="U879" s="198" t="s">
        <v>2272</v>
      </c>
      <c r="V879" s="198">
        <v>1</v>
      </c>
      <c r="W879" s="19" t="s">
        <v>8754</v>
      </c>
    </row>
    <row r="880" spans="1:23" ht="55" customHeight="1">
      <c r="A880" s="198" t="s">
        <v>8829</v>
      </c>
      <c r="B880" s="26" t="s">
        <v>8831</v>
      </c>
      <c r="C880" s="198" t="s">
        <v>23</v>
      </c>
      <c r="D880" s="198" t="s">
        <v>1102</v>
      </c>
      <c r="E880" s="198" t="s">
        <v>1102</v>
      </c>
      <c r="F880" s="198" t="s">
        <v>1102</v>
      </c>
      <c r="G880" s="198"/>
      <c r="H880" s="4" t="s">
        <v>539</v>
      </c>
      <c r="I880" s="198" t="s">
        <v>2272</v>
      </c>
      <c r="J880" s="198" t="s">
        <v>2272</v>
      </c>
      <c r="K880" s="198" t="s">
        <v>2272</v>
      </c>
      <c r="L880" s="198" t="s">
        <v>2272</v>
      </c>
      <c r="M880" s="198" t="s">
        <v>2272</v>
      </c>
      <c r="N880" s="198" t="s">
        <v>2272</v>
      </c>
      <c r="O880" s="198" t="s">
        <v>2272</v>
      </c>
      <c r="P880" s="198" t="s">
        <v>2272</v>
      </c>
      <c r="Q880" s="198" t="s">
        <v>2272</v>
      </c>
      <c r="R880" s="198" t="s">
        <v>532</v>
      </c>
      <c r="S880" s="198" t="s">
        <v>2272</v>
      </c>
      <c r="T880" s="198" t="s">
        <v>2272</v>
      </c>
      <c r="U880" s="198" t="s">
        <v>2272</v>
      </c>
      <c r="V880" s="198">
        <v>3</v>
      </c>
      <c r="W880" s="19" t="s">
        <v>8837</v>
      </c>
    </row>
    <row r="881" spans="1:23" ht="42.5" customHeight="1">
      <c r="A881" s="26" t="s">
        <v>8907</v>
      </c>
      <c r="B881" s="26" t="s">
        <v>8909</v>
      </c>
      <c r="C881" s="198" t="s">
        <v>1102</v>
      </c>
      <c r="D881" s="198" t="s">
        <v>1102</v>
      </c>
      <c r="E881" s="198" t="s">
        <v>1102</v>
      </c>
      <c r="F881" s="4" t="s">
        <v>73</v>
      </c>
      <c r="G881" s="198"/>
      <c r="H881" s="4" t="s">
        <v>539</v>
      </c>
      <c r="I881" s="198" t="s">
        <v>2272</v>
      </c>
      <c r="J881" s="198" t="s">
        <v>2272</v>
      </c>
      <c r="K881" s="198" t="s">
        <v>2272</v>
      </c>
      <c r="L881" s="198" t="s">
        <v>2272</v>
      </c>
      <c r="M881" s="198" t="s">
        <v>2272</v>
      </c>
      <c r="N881" s="198" t="s">
        <v>2272</v>
      </c>
      <c r="O881" s="198" t="s">
        <v>2272</v>
      </c>
      <c r="P881" s="198" t="s">
        <v>2272</v>
      </c>
      <c r="Q881" s="198" t="s">
        <v>2272</v>
      </c>
      <c r="R881" s="198" t="s">
        <v>532</v>
      </c>
      <c r="S881" s="198" t="s">
        <v>2272</v>
      </c>
      <c r="T881" s="198" t="s">
        <v>2272</v>
      </c>
      <c r="U881" s="198" t="s">
        <v>2272</v>
      </c>
      <c r="V881" s="198">
        <v>1</v>
      </c>
      <c r="W881" s="19" t="s">
        <v>8924</v>
      </c>
    </row>
    <row r="882" spans="1:23" ht="45.5" customHeight="1">
      <c r="A882" s="26" t="s">
        <v>8926</v>
      </c>
      <c r="B882" s="26" t="s">
        <v>8930</v>
      </c>
      <c r="C882" s="198" t="s">
        <v>23</v>
      </c>
      <c r="D882" s="198" t="s">
        <v>1102</v>
      </c>
      <c r="E882" s="198" t="s">
        <v>1102</v>
      </c>
      <c r="F882" s="4" t="s">
        <v>2657</v>
      </c>
      <c r="G882" s="198"/>
      <c r="H882" s="4" t="s">
        <v>539</v>
      </c>
      <c r="I882" s="198" t="s">
        <v>2272</v>
      </c>
      <c r="J882" s="198" t="s">
        <v>2272</v>
      </c>
      <c r="K882" s="198" t="s">
        <v>2272</v>
      </c>
      <c r="L882" s="198" t="s">
        <v>2272</v>
      </c>
      <c r="M882" s="198" t="s">
        <v>2665</v>
      </c>
      <c r="N882" s="198" t="s">
        <v>2272</v>
      </c>
      <c r="O882" s="198" t="s">
        <v>2272</v>
      </c>
      <c r="P882" s="198" t="s">
        <v>2272</v>
      </c>
      <c r="Q882" s="198">
        <v>1</v>
      </c>
      <c r="R882" s="198" t="s">
        <v>535</v>
      </c>
      <c r="S882" s="198" t="s">
        <v>2272</v>
      </c>
      <c r="T882" s="198" t="s">
        <v>2272</v>
      </c>
      <c r="U882" s="198" t="s">
        <v>2272</v>
      </c>
      <c r="V882" s="198">
        <v>2</v>
      </c>
      <c r="W882" s="4" t="s">
        <v>8946</v>
      </c>
    </row>
    <row r="883" spans="1:23" ht="45.5" customHeight="1">
      <c r="A883" s="26" t="s">
        <v>8926</v>
      </c>
      <c r="B883" s="26" t="s">
        <v>8931</v>
      </c>
      <c r="C883" s="198" t="s">
        <v>23</v>
      </c>
      <c r="D883" s="198" t="s">
        <v>1102</v>
      </c>
      <c r="E883" s="198" t="s">
        <v>1102</v>
      </c>
      <c r="F883" s="4" t="s">
        <v>73</v>
      </c>
      <c r="G883" s="198"/>
      <c r="H883" s="4" t="s">
        <v>539</v>
      </c>
      <c r="I883" s="198" t="s">
        <v>2272</v>
      </c>
      <c r="J883" s="198" t="s">
        <v>2272</v>
      </c>
      <c r="K883" s="198" t="s">
        <v>2272</v>
      </c>
      <c r="L883" s="198" t="s">
        <v>2272</v>
      </c>
      <c r="M883" s="198" t="s">
        <v>2272</v>
      </c>
      <c r="N883" s="198" t="s">
        <v>2272</v>
      </c>
      <c r="O883" s="198" t="s">
        <v>2272</v>
      </c>
      <c r="P883" s="198" t="s">
        <v>2272</v>
      </c>
      <c r="Q883" s="198" t="s">
        <v>2272</v>
      </c>
      <c r="R883" s="198" t="s">
        <v>532</v>
      </c>
      <c r="S883" s="198" t="s">
        <v>2272</v>
      </c>
      <c r="T883" s="198" t="s">
        <v>2272</v>
      </c>
      <c r="U883" s="198" t="s">
        <v>2272</v>
      </c>
      <c r="V883" s="198">
        <v>3</v>
      </c>
      <c r="W883" s="4" t="s">
        <v>8946</v>
      </c>
    </row>
    <row r="884" spans="1:23" ht="47.5" customHeight="1">
      <c r="A884" s="26" t="s">
        <v>9261</v>
      </c>
      <c r="B884" s="26" t="s">
        <v>9262</v>
      </c>
      <c r="C884" s="198" t="s">
        <v>1102</v>
      </c>
      <c r="D884" s="198" t="s">
        <v>1102</v>
      </c>
      <c r="E884" s="198" t="s">
        <v>2644</v>
      </c>
      <c r="F884" s="198" t="s">
        <v>2658</v>
      </c>
      <c r="G884" s="198"/>
      <c r="H884" s="4" t="s">
        <v>539</v>
      </c>
      <c r="I884" s="198" t="s">
        <v>2685</v>
      </c>
      <c r="J884" s="198" t="s">
        <v>532</v>
      </c>
      <c r="K884" s="198" t="s">
        <v>2272</v>
      </c>
      <c r="L884" s="198" t="s">
        <v>2272</v>
      </c>
      <c r="M884" s="198" t="s">
        <v>2272</v>
      </c>
      <c r="N884" s="198" t="s">
        <v>2272</v>
      </c>
      <c r="O884" s="198" t="s">
        <v>2272</v>
      </c>
      <c r="P884" s="198" t="s">
        <v>2272</v>
      </c>
      <c r="Q884" s="198" t="s">
        <v>2272</v>
      </c>
      <c r="R884" s="198" t="s">
        <v>2272</v>
      </c>
      <c r="S884" s="198" t="s">
        <v>2272</v>
      </c>
      <c r="T884" s="198" t="s">
        <v>2272</v>
      </c>
      <c r="U884" s="198" t="s">
        <v>2272</v>
      </c>
      <c r="V884" s="198" t="s">
        <v>2272</v>
      </c>
      <c r="W884" s="19" t="s">
        <v>9263</v>
      </c>
    </row>
    <row r="885" spans="1:23" ht="45" customHeight="1">
      <c r="A885" s="26" t="s">
        <v>9299</v>
      </c>
      <c r="B885" s="26" t="s">
        <v>9301</v>
      </c>
      <c r="C885" s="198" t="s">
        <v>1238</v>
      </c>
      <c r="D885" s="198" t="s">
        <v>1102</v>
      </c>
      <c r="E885" s="198" t="s">
        <v>2644</v>
      </c>
      <c r="F885" s="198" t="s">
        <v>2658</v>
      </c>
      <c r="G885" s="198"/>
      <c r="H885" s="4" t="s">
        <v>539</v>
      </c>
      <c r="I885" s="198" t="s">
        <v>2685</v>
      </c>
      <c r="J885" s="198" t="s">
        <v>2272</v>
      </c>
      <c r="K885" s="198" t="s">
        <v>2272</v>
      </c>
      <c r="L885" s="198" t="s">
        <v>532</v>
      </c>
      <c r="M885" s="198" t="s">
        <v>2664</v>
      </c>
      <c r="N885" s="198" t="s">
        <v>2272</v>
      </c>
      <c r="O885" s="198" t="s">
        <v>2272</v>
      </c>
      <c r="P885" s="198" t="s">
        <v>532</v>
      </c>
      <c r="Q885" s="198">
        <v>4</v>
      </c>
      <c r="R885" s="198" t="s">
        <v>2272</v>
      </c>
      <c r="S885" s="198" t="s">
        <v>2272</v>
      </c>
      <c r="T885" s="198" t="s">
        <v>2272</v>
      </c>
      <c r="U885" s="198" t="s">
        <v>2272</v>
      </c>
      <c r="V885" s="198" t="s">
        <v>2272</v>
      </c>
      <c r="W885" s="19" t="s">
        <v>9305</v>
      </c>
    </row>
    <row r="886" spans="1:23" ht="45.5" customHeight="1">
      <c r="A886" s="26" t="s">
        <v>9299</v>
      </c>
      <c r="B886" s="26" t="s">
        <v>9304</v>
      </c>
      <c r="C886" s="198" t="s">
        <v>1238</v>
      </c>
      <c r="D886" s="198" t="s">
        <v>1102</v>
      </c>
      <c r="E886" s="4" t="s">
        <v>3204</v>
      </c>
      <c r="F886" s="198" t="s">
        <v>2658</v>
      </c>
      <c r="G886" s="198"/>
      <c r="H886" s="4" t="s">
        <v>539</v>
      </c>
      <c r="I886" s="198" t="s">
        <v>2685</v>
      </c>
      <c r="J886" s="198" t="s">
        <v>2272</v>
      </c>
      <c r="K886" s="198" t="s">
        <v>2272</v>
      </c>
      <c r="L886" s="198" t="s">
        <v>532</v>
      </c>
      <c r="M886" s="198" t="s">
        <v>2664</v>
      </c>
      <c r="N886" s="198" t="s">
        <v>2272</v>
      </c>
      <c r="O886" s="198" t="s">
        <v>2272</v>
      </c>
      <c r="P886" s="198" t="s">
        <v>532</v>
      </c>
      <c r="Q886" s="198">
        <v>4</v>
      </c>
      <c r="R886" s="198" t="s">
        <v>2272</v>
      </c>
      <c r="S886" s="198" t="s">
        <v>2272</v>
      </c>
      <c r="T886" s="198" t="s">
        <v>2272</v>
      </c>
      <c r="U886" s="198" t="s">
        <v>2272</v>
      </c>
      <c r="V886" s="198" t="s">
        <v>2272</v>
      </c>
      <c r="W886" s="19" t="s">
        <v>9305</v>
      </c>
    </row>
    <row r="887" spans="1:23" ht="53" customHeight="1">
      <c r="A887" s="11" t="s">
        <v>9307</v>
      </c>
      <c r="B887" s="11" t="s">
        <v>9309</v>
      </c>
      <c r="C887" s="198" t="s">
        <v>1238</v>
      </c>
      <c r="D887" s="198" t="s">
        <v>1102</v>
      </c>
      <c r="E887" s="198" t="s">
        <v>1102</v>
      </c>
      <c r="F887" s="4" t="s">
        <v>2657</v>
      </c>
      <c r="G887" s="198"/>
      <c r="H887" s="4" t="s">
        <v>539</v>
      </c>
      <c r="I887" s="198" t="s">
        <v>2686</v>
      </c>
      <c r="J887" s="198" t="s">
        <v>532</v>
      </c>
      <c r="K887" s="198" t="s">
        <v>532</v>
      </c>
      <c r="L887" s="198" t="s">
        <v>2272</v>
      </c>
      <c r="M887" s="198" t="s">
        <v>2272</v>
      </c>
      <c r="N887" s="198" t="s">
        <v>2272</v>
      </c>
      <c r="O887" s="198" t="s">
        <v>2272</v>
      </c>
      <c r="P887" s="198" t="s">
        <v>2272</v>
      </c>
      <c r="Q887" s="198" t="s">
        <v>2272</v>
      </c>
      <c r="R887" s="198" t="s">
        <v>2272</v>
      </c>
      <c r="S887" s="198" t="s">
        <v>2272</v>
      </c>
      <c r="T887" s="198" t="s">
        <v>2272</v>
      </c>
      <c r="U887" s="198" t="s">
        <v>2272</v>
      </c>
      <c r="V887" s="198" t="s">
        <v>2272</v>
      </c>
      <c r="W887" s="19" t="s">
        <v>9325</v>
      </c>
    </row>
    <row r="888" spans="1:23" ht="61.5" customHeight="1">
      <c r="A888" s="26" t="s">
        <v>9367</v>
      </c>
      <c r="B888" s="26" t="s">
        <v>9368</v>
      </c>
      <c r="C888" s="198" t="s">
        <v>23</v>
      </c>
      <c r="D888" s="198" t="s">
        <v>1102</v>
      </c>
      <c r="E888" s="198" t="s">
        <v>1102</v>
      </c>
      <c r="F888" s="4" t="s">
        <v>2657</v>
      </c>
      <c r="G888" s="198"/>
      <c r="H888" s="4" t="s">
        <v>2668</v>
      </c>
      <c r="I888" s="198" t="s">
        <v>2272</v>
      </c>
      <c r="J888" s="198" t="s">
        <v>2272</v>
      </c>
      <c r="K888" s="198" t="s">
        <v>2272</v>
      </c>
      <c r="L888" s="198" t="s">
        <v>2272</v>
      </c>
      <c r="M888" s="198" t="s">
        <v>2272</v>
      </c>
      <c r="N888" s="198" t="s">
        <v>2272</v>
      </c>
      <c r="O888" s="198" t="s">
        <v>2272</v>
      </c>
      <c r="P888" s="198" t="s">
        <v>2272</v>
      </c>
      <c r="Q888" s="198" t="s">
        <v>2272</v>
      </c>
      <c r="R888" s="198" t="s">
        <v>532</v>
      </c>
      <c r="S888" s="198" t="s">
        <v>2272</v>
      </c>
      <c r="T888" s="198" t="s">
        <v>2272</v>
      </c>
      <c r="U888" s="198" t="s">
        <v>2272</v>
      </c>
      <c r="V888" s="198">
        <v>3</v>
      </c>
      <c r="W888" s="19" t="s">
        <v>9382</v>
      </c>
    </row>
    <row r="889" spans="1:23" ht="48.5" customHeight="1">
      <c r="A889" s="26" t="s">
        <v>9390</v>
      </c>
      <c r="B889" s="26" t="s">
        <v>9392</v>
      </c>
      <c r="C889" s="198" t="s">
        <v>23</v>
      </c>
      <c r="D889" s="198" t="s">
        <v>1102</v>
      </c>
      <c r="E889" s="198" t="s">
        <v>1102</v>
      </c>
      <c r="F889" s="4" t="s">
        <v>73</v>
      </c>
      <c r="G889" s="198"/>
      <c r="H889" s="4" t="s">
        <v>539</v>
      </c>
      <c r="I889" s="198" t="s">
        <v>2272</v>
      </c>
      <c r="J889" s="198" t="s">
        <v>2272</v>
      </c>
      <c r="K889" s="198" t="s">
        <v>2272</v>
      </c>
      <c r="L889" s="198" t="s">
        <v>2272</v>
      </c>
      <c r="M889" s="198" t="s">
        <v>535</v>
      </c>
      <c r="N889" s="198" t="s">
        <v>535</v>
      </c>
      <c r="O889" s="198" t="s">
        <v>535</v>
      </c>
      <c r="P889" s="198" t="s">
        <v>535</v>
      </c>
      <c r="Q889" s="198" t="s">
        <v>2272</v>
      </c>
      <c r="R889" s="198" t="s">
        <v>535</v>
      </c>
      <c r="S889" s="198" t="s">
        <v>535</v>
      </c>
      <c r="T889" s="198" t="s">
        <v>535</v>
      </c>
      <c r="U889" s="198" t="s">
        <v>535</v>
      </c>
      <c r="V889" s="198" t="s">
        <v>2272</v>
      </c>
      <c r="W889" s="19" t="s">
        <v>9405</v>
      </c>
    </row>
    <row r="890" spans="1:23" ht="42.5" customHeight="1">
      <c r="A890" s="26" t="s">
        <v>9390</v>
      </c>
      <c r="B890" s="26" t="s">
        <v>9393</v>
      </c>
      <c r="C890" s="198" t="s">
        <v>23</v>
      </c>
      <c r="D890" s="198" t="s">
        <v>1102</v>
      </c>
      <c r="E890" s="4" t="s">
        <v>3850</v>
      </c>
      <c r="F890" s="4" t="s">
        <v>27</v>
      </c>
      <c r="G890" s="198"/>
      <c r="H890" s="4" t="s">
        <v>539</v>
      </c>
      <c r="I890" s="198" t="s">
        <v>535</v>
      </c>
      <c r="J890" s="198" t="s">
        <v>535</v>
      </c>
      <c r="K890" s="198" t="s">
        <v>535</v>
      </c>
      <c r="L890" s="198" t="s">
        <v>535</v>
      </c>
      <c r="M890" s="198" t="s">
        <v>2272</v>
      </c>
      <c r="N890" s="198" t="s">
        <v>2272</v>
      </c>
      <c r="O890" s="198" t="s">
        <v>2272</v>
      </c>
      <c r="P890" s="198" t="s">
        <v>2272</v>
      </c>
      <c r="Q890" s="198" t="s">
        <v>2272</v>
      </c>
      <c r="R890" s="198" t="s">
        <v>2272</v>
      </c>
      <c r="S890" s="198" t="s">
        <v>2272</v>
      </c>
      <c r="T890" s="198" t="s">
        <v>2272</v>
      </c>
      <c r="U890" s="198" t="s">
        <v>2272</v>
      </c>
      <c r="V890" s="198" t="s">
        <v>2272</v>
      </c>
      <c r="W890" s="19" t="s">
        <v>9406</v>
      </c>
    </row>
    <row r="891" spans="1:23" ht="37" customHeight="1">
      <c r="A891" s="26" t="s">
        <v>9390</v>
      </c>
      <c r="B891" s="26" t="s">
        <v>9394</v>
      </c>
      <c r="C891" s="198" t="s">
        <v>23</v>
      </c>
      <c r="D891" s="198" t="s">
        <v>1102</v>
      </c>
      <c r="E891" s="4" t="s">
        <v>128</v>
      </c>
      <c r="F891" s="4" t="s">
        <v>27</v>
      </c>
      <c r="G891" s="198"/>
      <c r="H891" s="4" t="s">
        <v>539</v>
      </c>
      <c r="I891" s="198" t="s">
        <v>535</v>
      </c>
      <c r="J891" s="198" t="s">
        <v>535</v>
      </c>
      <c r="K891" s="198" t="s">
        <v>535</v>
      </c>
      <c r="L891" s="198" t="s">
        <v>535</v>
      </c>
      <c r="M891" s="198" t="s">
        <v>2272</v>
      </c>
      <c r="N891" s="198" t="s">
        <v>2272</v>
      </c>
      <c r="O891" s="198" t="s">
        <v>2272</v>
      </c>
      <c r="P891" s="198" t="s">
        <v>2272</v>
      </c>
      <c r="Q891" s="198" t="s">
        <v>2272</v>
      </c>
      <c r="R891" s="198" t="s">
        <v>2272</v>
      </c>
      <c r="S891" s="198" t="s">
        <v>2272</v>
      </c>
      <c r="T891" s="198" t="s">
        <v>2272</v>
      </c>
      <c r="U891" s="198" t="s">
        <v>2272</v>
      </c>
      <c r="V891" s="198" t="s">
        <v>2272</v>
      </c>
      <c r="W891" s="19" t="s">
        <v>9406</v>
      </c>
    </row>
    <row r="892" spans="1:23" ht="53.5" customHeight="1">
      <c r="A892" s="26" t="s">
        <v>9390</v>
      </c>
      <c r="B892" s="26" t="s">
        <v>9395</v>
      </c>
      <c r="C892" s="198" t="s">
        <v>23</v>
      </c>
      <c r="D892" s="198" t="s">
        <v>1102</v>
      </c>
      <c r="E892" s="4" t="s">
        <v>3850</v>
      </c>
      <c r="F892" s="4" t="s">
        <v>2658</v>
      </c>
      <c r="G892" s="198"/>
      <c r="H892" s="4" t="s">
        <v>539</v>
      </c>
      <c r="I892" s="198" t="s">
        <v>535</v>
      </c>
      <c r="J892" s="198" t="s">
        <v>535</v>
      </c>
      <c r="K892" s="198" t="s">
        <v>535</v>
      </c>
      <c r="L892" s="198" t="s">
        <v>535</v>
      </c>
      <c r="M892" s="198" t="s">
        <v>2272</v>
      </c>
      <c r="N892" s="198" t="s">
        <v>2272</v>
      </c>
      <c r="O892" s="198" t="s">
        <v>2272</v>
      </c>
      <c r="P892" s="198" t="s">
        <v>2272</v>
      </c>
      <c r="Q892" s="198" t="s">
        <v>2272</v>
      </c>
      <c r="R892" s="198" t="s">
        <v>2272</v>
      </c>
      <c r="S892" s="198" t="s">
        <v>2272</v>
      </c>
      <c r="T892" s="198" t="s">
        <v>2272</v>
      </c>
      <c r="U892" s="198" t="s">
        <v>2272</v>
      </c>
      <c r="V892" s="198" t="s">
        <v>2272</v>
      </c>
      <c r="W892" s="19" t="s">
        <v>9406</v>
      </c>
    </row>
    <row r="893" spans="1:23" ht="49" customHeight="1">
      <c r="A893" s="26" t="s">
        <v>9390</v>
      </c>
      <c r="B893" s="26" t="s">
        <v>9396</v>
      </c>
      <c r="C893" s="198" t="s">
        <v>23</v>
      </c>
      <c r="D893" s="198" t="s">
        <v>1102</v>
      </c>
      <c r="E893" s="4" t="s">
        <v>128</v>
      </c>
      <c r="F893" s="4" t="s">
        <v>2658</v>
      </c>
      <c r="G893" s="198"/>
      <c r="H893" s="4" t="s">
        <v>539</v>
      </c>
      <c r="I893" s="198" t="s">
        <v>535</v>
      </c>
      <c r="J893" s="198" t="s">
        <v>535</v>
      </c>
      <c r="K893" s="198" t="s">
        <v>535</v>
      </c>
      <c r="L893" s="198" t="s">
        <v>535</v>
      </c>
      <c r="M893" s="198" t="s">
        <v>2272</v>
      </c>
      <c r="N893" s="198" t="s">
        <v>2272</v>
      </c>
      <c r="O893" s="198" t="s">
        <v>2272</v>
      </c>
      <c r="P893" s="198" t="s">
        <v>2272</v>
      </c>
      <c r="Q893" s="198" t="s">
        <v>2272</v>
      </c>
      <c r="R893" s="198" t="s">
        <v>2272</v>
      </c>
      <c r="S893" s="198" t="s">
        <v>2272</v>
      </c>
      <c r="T893" s="198" t="s">
        <v>2272</v>
      </c>
      <c r="U893" s="198" t="s">
        <v>2272</v>
      </c>
      <c r="V893" s="198" t="s">
        <v>2272</v>
      </c>
      <c r="W893" s="19" t="s">
        <v>9406</v>
      </c>
    </row>
    <row r="894" spans="1:23" ht="49" customHeight="1">
      <c r="A894" s="26" t="s">
        <v>9489</v>
      </c>
      <c r="B894" s="26" t="s">
        <v>9492</v>
      </c>
      <c r="C894" s="198" t="s">
        <v>23</v>
      </c>
      <c r="D894" s="198" t="s">
        <v>1102</v>
      </c>
      <c r="E894" s="198" t="s">
        <v>1102</v>
      </c>
      <c r="F894" s="4" t="s">
        <v>73</v>
      </c>
      <c r="G894" s="198"/>
      <c r="H894" s="4" t="s">
        <v>539</v>
      </c>
      <c r="I894" s="198" t="s">
        <v>2272</v>
      </c>
      <c r="J894" s="198" t="s">
        <v>2272</v>
      </c>
      <c r="K894" s="198" t="s">
        <v>2272</v>
      </c>
      <c r="L894" s="198" t="s">
        <v>2272</v>
      </c>
      <c r="M894" s="198" t="s">
        <v>2664</v>
      </c>
      <c r="N894" s="198" t="s">
        <v>2272</v>
      </c>
      <c r="O894" s="198" t="s">
        <v>532</v>
      </c>
      <c r="P894" s="198" t="s">
        <v>2272</v>
      </c>
      <c r="Q894" s="198" t="s">
        <v>2272</v>
      </c>
      <c r="R894" s="198" t="s">
        <v>535</v>
      </c>
      <c r="S894" s="198" t="s">
        <v>2272</v>
      </c>
      <c r="T894" s="198" t="s">
        <v>2272</v>
      </c>
      <c r="U894" s="198" t="s">
        <v>2272</v>
      </c>
      <c r="V894" s="198" t="s">
        <v>2272</v>
      </c>
      <c r="W894" s="4" t="s">
        <v>9499</v>
      </c>
    </row>
    <row r="895" spans="1:23" ht="54.5" customHeight="1">
      <c r="A895" s="26" t="s">
        <v>9491</v>
      </c>
      <c r="B895" s="26" t="s">
        <v>9496</v>
      </c>
      <c r="C895" s="198" t="s">
        <v>23</v>
      </c>
      <c r="D895" s="198" t="s">
        <v>1102</v>
      </c>
      <c r="E895" s="198" t="s">
        <v>1102</v>
      </c>
      <c r="F895" s="4" t="s">
        <v>73</v>
      </c>
      <c r="G895" s="198">
        <v>1997</v>
      </c>
      <c r="H895" s="4" t="s">
        <v>539</v>
      </c>
      <c r="I895" s="198" t="s">
        <v>2272</v>
      </c>
      <c r="J895" s="198" t="s">
        <v>2272</v>
      </c>
      <c r="K895" s="198" t="s">
        <v>2272</v>
      </c>
      <c r="L895" s="198" t="s">
        <v>2272</v>
      </c>
      <c r="M895" s="198" t="s">
        <v>2664</v>
      </c>
      <c r="N895" s="198" t="s">
        <v>2272</v>
      </c>
      <c r="O895" s="198" t="s">
        <v>532</v>
      </c>
      <c r="P895" s="198" t="s">
        <v>2272</v>
      </c>
      <c r="Q895" s="198" t="s">
        <v>2272</v>
      </c>
      <c r="R895" s="198" t="s">
        <v>535</v>
      </c>
      <c r="S895" s="198" t="s">
        <v>2272</v>
      </c>
      <c r="T895" s="198" t="s">
        <v>2272</v>
      </c>
      <c r="U895" s="198" t="s">
        <v>2272</v>
      </c>
      <c r="V895" s="198" t="s">
        <v>2272</v>
      </c>
      <c r="W895" s="4" t="s">
        <v>9499</v>
      </c>
    </row>
    <row r="896" spans="1:23" ht="47.5" customHeight="1">
      <c r="A896" s="26" t="s">
        <v>9491</v>
      </c>
      <c r="B896" s="26" t="s">
        <v>9497</v>
      </c>
      <c r="C896" s="198" t="s">
        <v>23</v>
      </c>
      <c r="D896" s="198" t="s">
        <v>1102</v>
      </c>
      <c r="E896" s="198" t="s">
        <v>1102</v>
      </c>
      <c r="F896" s="4" t="s">
        <v>73</v>
      </c>
      <c r="G896" s="198">
        <v>1985</v>
      </c>
      <c r="H896" s="4" t="s">
        <v>539</v>
      </c>
      <c r="I896" s="198" t="s">
        <v>2272</v>
      </c>
      <c r="J896" s="198" t="s">
        <v>2272</v>
      </c>
      <c r="K896" s="198" t="s">
        <v>2272</v>
      </c>
      <c r="L896" s="198" t="s">
        <v>2272</v>
      </c>
      <c r="M896" s="198" t="s">
        <v>535</v>
      </c>
      <c r="N896" s="198" t="s">
        <v>2272</v>
      </c>
      <c r="O896" s="198" t="s">
        <v>2272</v>
      </c>
      <c r="P896" s="198" t="s">
        <v>2272</v>
      </c>
      <c r="Q896" s="198" t="s">
        <v>2272</v>
      </c>
      <c r="R896" s="198" t="s">
        <v>535</v>
      </c>
      <c r="S896" s="198" t="s">
        <v>2272</v>
      </c>
      <c r="T896" s="198" t="s">
        <v>2272</v>
      </c>
      <c r="U896" s="198" t="s">
        <v>2272</v>
      </c>
      <c r="V896" s="198" t="s">
        <v>2272</v>
      </c>
      <c r="W896" s="4" t="s">
        <v>9500</v>
      </c>
    </row>
    <row r="897" spans="1:23" ht="44.5" customHeight="1">
      <c r="A897" s="26" t="s">
        <v>9606</v>
      </c>
      <c r="B897" s="26" t="s">
        <v>9607</v>
      </c>
      <c r="C897" s="198" t="s">
        <v>23</v>
      </c>
      <c r="D897" s="198" t="s">
        <v>1102</v>
      </c>
      <c r="E897" s="198" t="s">
        <v>1102</v>
      </c>
      <c r="F897" s="4" t="s">
        <v>73</v>
      </c>
      <c r="G897" s="198"/>
      <c r="H897" s="4" t="s">
        <v>539</v>
      </c>
      <c r="I897" s="198" t="s">
        <v>535</v>
      </c>
      <c r="J897" s="198" t="s">
        <v>535</v>
      </c>
      <c r="K897" s="198" t="s">
        <v>535</v>
      </c>
      <c r="L897" s="198" t="s">
        <v>535</v>
      </c>
      <c r="M897" s="198" t="s">
        <v>2272</v>
      </c>
      <c r="N897" s="198" t="s">
        <v>2272</v>
      </c>
      <c r="O897" s="198" t="s">
        <v>2272</v>
      </c>
      <c r="P897" s="198" t="s">
        <v>2272</v>
      </c>
      <c r="Q897" s="198" t="s">
        <v>2272</v>
      </c>
      <c r="R897" s="198" t="s">
        <v>532</v>
      </c>
      <c r="S897" s="198" t="s">
        <v>2272</v>
      </c>
      <c r="T897" s="198" t="s">
        <v>2272</v>
      </c>
      <c r="U897" s="198" t="s">
        <v>2272</v>
      </c>
      <c r="V897" s="198">
        <v>1</v>
      </c>
      <c r="W897" s="19" t="s">
        <v>9609</v>
      </c>
    </row>
    <row r="898" spans="1:23" ht="52.5" customHeight="1">
      <c r="A898" s="26" t="s">
        <v>9716</v>
      </c>
      <c r="B898" s="26" t="s">
        <v>9718</v>
      </c>
      <c r="C898" s="198" t="s">
        <v>23</v>
      </c>
      <c r="D898" s="198" t="s">
        <v>141</v>
      </c>
      <c r="E898" s="198" t="s">
        <v>1102</v>
      </c>
      <c r="F898" s="4" t="s">
        <v>73</v>
      </c>
      <c r="G898" s="198"/>
      <c r="H898" s="4" t="s">
        <v>539</v>
      </c>
      <c r="I898" s="198" t="s">
        <v>2272</v>
      </c>
      <c r="J898" s="198" t="s">
        <v>2272</v>
      </c>
      <c r="K898" s="198" t="s">
        <v>2272</v>
      </c>
      <c r="L898" s="198" t="s">
        <v>2272</v>
      </c>
      <c r="M898" s="198" t="s">
        <v>2272</v>
      </c>
      <c r="N898" s="198" t="s">
        <v>2272</v>
      </c>
      <c r="O898" s="198" t="s">
        <v>2272</v>
      </c>
      <c r="P898" s="198" t="s">
        <v>2272</v>
      </c>
      <c r="Q898" s="198" t="s">
        <v>2272</v>
      </c>
      <c r="R898" s="198" t="s">
        <v>532</v>
      </c>
      <c r="S898" s="198" t="s">
        <v>2272</v>
      </c>
      <c r="T898" s="198" t="s">
        <v>2272</v>
      </c>
      <c r="U898" s="198" t="s">
        <v>2272</v>
      </c>
      <c r="V898" s="198">
        <v>1</v>
      </c>
      <c r="W898" s="4" t="s">
        <v>9722</v>
      </c>
    </row>
    <row r="899" spans="1:23" ht="52.5" customHeight="1">
      <c r="A899" s="26" t="s">
        <v>9839</v>
      </c>
      <c r="B899" s="26" t="s">
        <v>9842</v>
      </c>
      <c r="C899" s="198" t="s">
        <v>23</v>
      </c>
      <c r="D899" s="198" t="s">
        <v>1102</v>
      </c>
      <c r="E899" s="198" t="s">
        <v>1102</v>
      </c>
      <c r="F899" s="4" t="s">
        <v>2657</v>
      </c>
      <c r="G899" s="198"/>
      <c r="H899" s="4" t="s">
        <v>539</v>
      </c>
      <c r="I899" s="198" t="s">
        <v>2272</v>
      </c>
      <c r="J899" s="198" t="s">
        <v>2272</v>
      </c>
      <c r="K899" s="198" t="s">
        <v>2272</v>
      </c>
      <c r="L899" s="198" t="s">
        <v>2272</v>
      </c>
      <c r="M899" s="198" t="s">
        <v>2272</v>
      </c>
      <c r="N899" s="198" t="s">
        <v>2272</v>
      </c>
      <c r="O899" s="198" t="s">
        <v>2272</v>
      </c>
      <c r="P899" s="198" t="s">
        <v>2272</v>
      </c>
      <c r="Q899" s="198" t="s">
        <v>2272</v>
      </c>
      <c r="R899" s="198" t="s">
        <v>532</v>
      </c>
      <c r="S899" s="198" t="s">
        <v>2272</v>
      </c>
      <c r="T899" s="198" t="s">
        <v>2272</v>
      </c>
      <c r="U899" s="198" t="s">
        <v>2272</v>
      </c>
      <c r="V899" s="198">
        <v>2</v>
      </c>
      <c r="W899" s="19" t="s">
        <v>9856</v>
      </c>
    </row>
    <row r="900" spans="1:23" ht="51" customHeight="1">
      <c r="A900" s="26" t="s">
        <v>9839</v>
      </c>
      <c r="B900" s="26" t="s">
        <v>9843</v>
      </c>
      <c r="C900" s="198" t="s">
        <v>23</v>
      </c>
      <c r="D900" s="198" t="s">
        <v>26</v>
      </c>
      <c r="E900" s="198" t="s">
        <v>1102</v>
      </c>
      <c r="F900" s="4" t="s">
        <v>158</v>
      </c>
      <c r="G900" s="198"/>
      <c r="H900" s="4" t="s">
        <v>539</v>
      </c>
      <c r="I900" s="198" t="s">
        <v>2685</v>
      </c>
      <c r="J900" s="198" t="s">
        <v>532</v>
      </c>
      <c r="K900" s="198" t="s">
        <v>2272</v>
      </c>
      <c r="L900" s="198" t="s">
        <v>2272</v>
      </c>
      <c r="M900" s="198" t="s">
        <v>2272</v>
      </c>
      <c r="N900" s="198" t="s">
        <v>2272</v>
      </c>
      <c r="O900" s="198" t="s">
        <v>2272</v>
      </c>
      <c r="P900" s="198" t="s">
        <v>2272</v>
      </c>
      <c r="Q900" s="198" t="s">
        <v>2272</v>
      </c>
      <c r="R900" s="198" t="s">
        <v>532</v>
      </c>
      <c r="S900" s="198" t="s">
        <v>2272</v>
      </c>
      <c r="T900" s="198" t="s">
        <v>2272</v>
      </c>
      <c r="U900" s="198" t="s">
        <v>2272</v>
      </c>
      <c r="V900" s="198" t="s">
        <v>2272</v>
      </c>
      <c r="W900" s="19" t="s">
        <v>9857</v>
      </c>
    </row>
    <row r="901" spans="1:23" ht="50" customHeight="1">
      <c r="A901" s="26" t="s">
        <v>9874</v>
      </c>
      <c r="B901" s="26" t="s">
        <v>9883</v>
      </c>
      <c r="C901" s="198" t="s">
        <v>23</v>
      </c>
      <c r="D901" s="198" t="s">
        <v>1102</v>
      </c>
      <c r="E901" s="198" t="s">
        <v>1102</v>
      </c>
      <c r="F901" s="198" t="s">
        <v>73</v>
      </c>
      <c r="G901" s="198"/>
      <c r="H901" s="4" t="s">
        <v>539</v>
      </c>
      <c r="I901" s="198" t="s">
        <v>2272</v>
      </c>
      <c r="J901" s="198" t="s">
        <v>2272</v>
      </c>
      <c r="K901" s="198" t="s">
        <v>2272</v>
      </c>
      <c r="L901" s="198" t="s">
        <v>2272</v>
      </c>
      <c r="M901" s="198" t="s">
        <v>2272</v>
      </c>
      <c r="N901" s="198" t="s">
        <v>2272</v>
      </c>
      <c r="O901" s="198" t="s">
        <v>2272</v>
      </c>
      <c r="P901" s="198" t="s">
        <v>2272</v>
      </c>
      <c r="Q901" s="198" t="s">
        <v>2272</v>
      </c>
      <c r="R901" s="198" t="s">
        <v>2272</v>
      </c>
      <c r="S901" s="198" t="s">
        <v>2272</v>
      </c>
      <c r="T901" s="198" t="s">
        <v>2272</v>
      </c>
      <c r="U901" s="198" t="s">
        <v>2272</v>
      </c>
      <c r="V901" s="198">
        <v>3</v>
      </c>
      <c r="W901" s="4" t="s">
        <v>9887</v>
      </c>
    </row>
    <row r="902" spans="1:23" ht="41" customHeight="1">
      <c r="A902" s="26" t="s">
        <v>9891</v>
      </c>
      <c r="B902" s="26" t="s">
        <v>9899</v>
      </c>
      <c r="C902" s="198" t="s">
        <v>23</v>
      </c>
      <c r="D902" s="198" t="s">
        <v>1102</v>
      </c>
      <c r="E902" s="198" t="s">
        <v>1102</v>
      </c>
      <c r="F902" s="4" t="s">
        <v>2657</v>
      </c>
      <c r="G902" s="198"/>
      <c r="H902" s="4" t="s">
        <v>539</v>
      </c>
      <c r="I902" s="198" t="s">
        <v>2272</v>
      </c>
      <c r="J902" s="198" t="s">
        <v>2272</v>
      </c>
      <c r="K902" s="198" t="s">
        <v>2272</v>
      </c>
      <c r="L902" s="198" t="s">
        <v>2272</v>
      </c>
      <c r="M902" s="198" t="s">
        <v>2272</v>
      </c>
      <c r="N902" s="198" t="s">
        <v>2272</v>
      </c>
      <c r="O902" s="198" t="s">
        <v>2272</v>
      </c>
      <c r="P902" s="198" t="s">
        <v>2272</v>
      </c>
      <c r="Q902" s="198" t="s">
        <v>2272</v>
      </c>
      <c r="R902" s="198" t="s">
        <v>532</v>
      </c>
      <c r="S902" s="198" t="s">
        <v>2272</v>
      </c>
      <c r="T902" s="198" t="s">
        <v>2272</v>
      </c>
      <c r="U902" s="198" t="s">
        <v>2272</v>
      </c>
      <c r="V902" s="198">
        <v>2</v>
      </c>
      <c r="W902" s="19" t="s">
        <v>9935</v>
      </c>
    </row>
    <row r="903" spans="1:23" ht="41" customHeight="1">
      <c r="A903" s="26" t="s">
        <v>9894</v>
      </c>
      <c r="B903" s="26" t="s">
        <v>9908</v>
      </c>
      <c r="C903" s="198" t="s">
        <v>23</v>
      </c>
      <c r="D903" s="198" t="s">
        <v>1102</v>
      </c>
      <c r="E903" s="198" t="s">
        <v>1102</v>
      </c>
      <c r="F903" s="4" t="s">
        <v>2657</v>
      </c>
      <c r="G903" s="198"/>
      <c r="H903" s="4" t="s">
        <v>539</v>
      </c>
      <c r="I903" s="198" t="s">
        <v>2272</v>
      </c>
      <c r="J903" s="198" t="s">
        <v>2272</v>
      </c>
      <c r="K903" s="198" t="s">
        <v>2272</v>
      </c>
      <c r="L903" s="198" t="s">
        <v>2272</v>
      </c>
      <c r="M903" s="198" t="s">
        <v>2272</v>
      </c>
      <c r="N903" s="198" t="s">
        <v>2272</v>
      </c>
      <c r="O903" s="198" t="s">
        <v>2272</v>
      </c>
      <c r="P903" s="198" t="s">
        <v>2272</v>
      </c>
      <c r="Q903" s="198" t="s">
        <v>2272</v>
      </c>
      <c r="R903" s="198" t="s">
        <v>532</v>
      </c>
      <c r="S903" s="198" t="s">
        <v>2272</v>
      </c>
      <c r="T903" s="198" t="s">
        <v>2272</v>
      </c>
      <c r="U903" s="198" t="s">
        <v>2272</v>
      </c>
      <c r="V903" s="198">
        <v>4</v>
      </c>
      <c r="W903" s="170" t="s">
        <v>9934</v>
      </c>
    </row>
    <row r="904" spans="1:23" ht="66" customHeight="1">
      <c r="A904" s="26" t="s">
        <v>10013</v>
      </c>
      <c r="B904" s="26" t="s">
        <v>10020</v>
      </c>
      <c r="C904" s="198" t="s">
        <v>30</v>
      </c>
      <c r="D904" s="198" t="s">
        <v>2272</v>
      </c>
      <c r="E904" s="198" t="s">
        <v>2644</v>
      </c>
      <c r="F904" s="198" t="s">
        <v>73</v>
      </c>
      <c r="G904" s="198"/>
      <c r="H904" s="4" t="s">
        <v>539</v>
      </c>
      <c r="I904" s="198" t="s">
        <v>2272</v>
      </c>
      <c r="J904" s="198" t="s">
        <v>2272</v>
      </c>
      <c r="K904" s="198" t="s">
        <v>2272</v>
      </c>
      <c r="L904" s="198" t="s">
        <v>2272</v>
      </c>
      <c r="M904" s="198" t="s">
        <v>2272</v>
      </c>
      <c r="N904" s="198" t="s">
        <v>2272</v>
      </c>
      <c r="O904" s="198" t="s">
        <v>2272</v>
      </c>
      <c r="P904" s="198" t="s">
        <v>2272</v>
      </c>
      <c r="Q904" s="198" t="s">
        <v>2272</v>
      </c>
      <c r="R904" s="198" t="s">
        <v>532</v>
      </c>
      <c r="S904" s="198" t="s">
        <v>2272</v>
      </c>
      <c r="T904" s="198" t="s">
        <v>532</v>
      </c>
      <c r="U904" s="198" t="s">
        <v>2272</v>
      </c>
      <c r="V904" s="198">
        <v>5</v>
      </c>
      <c r="W904" s="19" t="s">
        <v>10028</v>
      </c>
    </row>
    <row r="905" spans="1:23" s="197" customFormat="1" ht="66" customHeight="1">
      <c r="A905" s="19" t="s">
        <v>10031</v>
      </c>
      <c r="B905" s="19" t="s">
        <v>11512</v>
      </c>
      <c r="C905" s="11" t="s">
        <v>23</v>
      </c>
      <c r="D905" s="11" t="s">
        <v>2227</v>
      </c>
      <c r="E905" s="11" t="s">
        <v>82</v>
      </c>
      <c r="F905" s="19" t="s">
        <v>2657</v>
      </c>
      <c r="G905" s="11"/>
      <c r="H905" s="19" t="s">
        <v>539</v>
      </c>
      <c r="I905" s="19" t="s">
        <v>2272</v>
      </c>
      <c r="J905" s="19" t="s">
        <v>2272</v>
      </c>
      <c r="K905" s="19" t="s">
        <v>2272</v>
      </c>
      <c r="L905" s="19" t="s">
        <v>2272</v>
      </c>
      <c r="M905" s="11" t="s">
        <v>2664</v>
      </c>
      <c r="N905" s="19" t="s">
        <v>2272</v>
      </c>
      <c r="O905" s="19" t="s">
        <v>2272</v>
      </c>
      <c r="P905" s="19" t="s">
        <v>2272</v>
      </c>
      <c r="Q905" s="11">
        <v>2</v>
      </c>
      <c r="R905" s="19" t="s">
        <v>2272</v>
      </c>
      <c r="S905" s="19" t="s">
        <v>2272</v>
      </c>
      <c r="T905" s="19" t="s">
        <v>2272</v>
      </c>
      <c r="U905" s="19" t="s">
        <v>2272</v>
      </c>
      <c r="V905" s="19" t="s">
        <v>2272</v>
      </c>
      <c r="W905" s="19" t="s">
        <v>11509</v>
      </c>
    </row>
    <row r="906" spans="1:23" s="197" customFormat="1" ht="66" customHeight="1">
      <c r="A906" s="19" t="s">
        <v>10031</v>
      </c>
      <c r="B906" s="19" t="s">
        <v>11513</v>
      </c>
      <c r="C906" s="11" t="s">
        <v>23</v>
      </c>
      <c r="D906" s="11" t="s">
        <v>2227</v>
      </c>
      <c r="E906" s="11" t="s">
        <v>82</v>
      </c>
      <c r="F906" s="19" t="s">
        <v>2657</v>
      </c>
      <c r="G906" s="11"/>
      <c r="H906" s="19" t="s">
        <v>2669</v>
      </c>
      <c r="I906" s="19" t="s">
        <v>535</v>
      </c>
      <c r="J906" s="19" t="s">
        <v>535</v>
      </c>
      <c r="K906" s="19" t="s">
        <v>535</v>
      </c>
      <c r="L906" s="19" t="s">
        <v>535</v>
      </c>
      <c r="M906" s="198" t="s">
        <v>2272</v>
      </c>
      <c r="N906" s="198" t="s">
        <v>2272</v>
      </c>
      <c r="O906" s="198" t="s">
        <v>2272</v>
      </c>
      <c r="P906" s="198" t="s">
        <v>2272</v>
      </c>
      <c r="Q906" s="198" t="s">
        <v>2272</v>
      </c>
      <c r="R906" s="198" t="s">
        <v>2272</v>
      </c>
      <c r="S906" s="198" t="s">
        <v>2272</v>
      </c>
      <c r="T906" s="198" t="s">
        <v>2272</v>
      </c>
      <c r="U906" s="198" t="s">
        <v>2272</v>
      </c>
      <c r="V906" s="198" t="s">
        <v>2272</v>
      </c>
      <c r="W906" s="19" t="s">
        <v>11514</v>
      </c>
    </row>
    <row r="907" spans="1:23" s="197" customFormat="1" ht="66" customHeight="1">
      <c r="A907" s="19" t="s">
        <v>10031</v>
      </c>
      <c r="B907" s="19" t="s">
        <v>11515</v>
      </c>
      <c r="C907" s="11" t="s">
        <v>23</v>
      </c>
      <c r="D907" s="11" t="s">
        <v>2227</v>
      </c>
      <c r="E907" s="11" t="s">
        <v>82</v>
      </c>
      <c r="F907" s="19" t="s">
        <v>2657</v>
      </c>
      <c r="G907" s="11"/>
      <c r="H907" s="19" t="s">
        <v>2718</v>
      </c>
      <c r="I907" s="19" t="s">
        <v>535</v>
      </c>
      <c r="J907" s="19" t="s">
        <v>535</v>
      </c>
      <c r="K907" s="19" t="s">
        <v>535</v>
      </c>
      <c r="L907" s="19" t="s">
        <v>535</v>
      </c>
      <c r="M907" s="198" t="s">
        <v>2272</v>
      </c>
      <c r="N907" s="198" t="s">
        <v>2272</v>
      </c>
      <c r="O907" s="198" t="s">
        <v>2272</v>
      </c>
      <c r="P907" s="198" t="s">
        <v>2272</v>
      </c>
      <c r="Q907" s="198" t="s">
        <v>2272</v>
      </c>
      <c r="R907" s="198" t="s">
        <v>2272</v>
      </c>
      <c r="S907" s="198" t="s">
        <v>2272</v>
      </c>
      <c r="T907" s="198" t="s">
        <v>2272</v>
      </c>
      <c r="U907" s="198" t="s">
        <v>2272</v>
      </c>
      <c r="V907" s="198" t="s">
        <v>2272</v>
      </c>
      <c r="W907" s="19" t="s">
        <v>11516</v>
      </c>
    </row>
    <row r="908" spans="1:23" ht="53.5" customHeight="1">
      <c r="A908" s="26" t="s">
        <v>10033</v>
      </c>
      <c r="B908" s="26" t="s">
        <v>10036</v>
      </c>
      <c r="C908" s="198" t="s">
        <v>1102</v>
      </c>
      <c r="D908" s="198" t="s">
        <v>1102</v>
      </c>
      <c r="E908" s="4" t="s">
        <v>3204</v>
      </c>
      <c r="F908" s="198" t="s">
        <v>73</v>
      </c>
      <c r="G908" s="198"/>
      <c r="H908" s="4" t="s">
        <v>539</v>
      </c>
      <c r="I908" s="198" t="s">
        <v>2685</v>
      </c>
      <c r="J908" s="198" t="s">
        <v>2272</v>
      </c>
      <c r="K908" s="198" t="s">
        <v>2272</v>
      </c>
      <c r="L908" s="198" t="s">
        <v>2272</v>
      </c>
      <c r="M908" s="198" t="s">
        <v>2272</v>
      </c>
      <c r="N908" s="198" t="s">
        <v>2272</v>
      </c>
      <c r="O908" s="198" t="s">
        <v>2272</v>
      </c>
      <c r="P908" s="198" t="s">
        <v>2272</v>
      </c>
      <c r="Q908" s="198" t="s">
        <v>2272</v>
      </c>
      <c r="R908" s="198" t="s">
        <v>2272</v>
      </c>
      <c r="S908" s="198" t="s">
        <v>2272</v>
      </c>
      <c r="T908" s="198" t="s">
        <v>2272</v>
      </c>
      <c r="U908" s="198" t="s">
        <v>2272</v>
      </c>
      <c r="V908" s="198" t="s">
        <v>2272</v>
      </c>
      <c r="W908" s="19" t="s">
        <v>10042</v>
      </c>
    </row>
    <row r="909" spans="1:23" ht="98.5" customHeight="1">
      <c r="A909" s="26" t="s">
        <v>10043</v>
      </c>
      <c r="B909" s="26" t="s">
        <v>10045</v>
      </c>
      <c r="C909" s="198" t="s">
        <v>1102</v>
      </c>
      <c r="D909" s="198" t="s">
        <v>1102</v>
      </c>
      <c r="E909" s="4" t="s">
        <v>3204</v>
      </c>
      <c r="F909" s="198" t="s">
        <v>73</v>
      </c>
      <c r="G909" s="198">
        <v>2013</v>
      </c>
      <c r="H909" s="4" t="s">
        <v>539</v>
      </c>
      <c r="I909" s="198" t="s">
        <v>2685</v>
      </c>
      <c r="J909" s="198" t="s">
        <v>532</v>
      </c>
      <c r="K909" s="198" t="s">
        <v>532</v>
      </c>
      <c r="L909" s="198" t="s">
        <v>2272</v>
      </c>
      <c r="M909" s="198" t="s">
        <v>2272</v>
      </c>
      <c r="N909" s="198" t="s">
        <v>2272</v>
      </c>
      <c r="O909" s="198" t="s">
        <v>2272</v>
      </c>
      <c r="P909" s="198" t="s">
        <v>2272</v>
      </c>
      <c r="Q909" s="198" t="s">
        <v>2272</v>
      </c>
      <c r="R909" s="198" t="s">
        <v>2272</v>
      </c>
      <c r="S909" s="198" t="s">
        <v>2272</v>
      </c>
      <c r="T909" s="198" t="s">
        <v>2272</v>
      </c>
      <c r="U909" s="198" t="s">
        <v>2272</v>
      </c>
      <c r="V909" s="198" t="s">
        <v>2272</v>
      </c>
      <c r="W909" s="4" t="s">
        <v>10061</v>
      </c>
    </row>
    <row r="910" spans="1:23" ht="98.5" customHeight="1">
      <c r="A910" s="26" t="s">
        <v>10053</v>
      </c>
      <c r="B910" s="26" t="s">
        <v>10055</v>
      </c>
      <c r="C910" s="198" t="s">
        <v>1102</v>
      </c>
      <c r="D910" s="198" t="s">
        <v>1102</v>
      </c>
      <c r="E910" s="4" t="s">
        <v>3204</v>
      </c>
      <c r="F910" s="198" t="s">
        <v>73</v>
      </c>
      <c r="G910" s="198">
        <v>2013</v>
      </c>
      <c r="H910" s="4" t="s">
        <v>539</v>
      </c>
      <c r="I910" s="198" t="s">
        <v>2685</v>
      </c>
      <c r="J910" s="198" t="s">
        <v>532</v>
      </c>
      <c r="K910" s="198" t="s">
        <v>532</v>
      </c>
      <c r="L910" s="198" t="s">
        <v>2272</v>
      </c>
      <c r="M910" s="198" t="s">
        <v>2272</v>
      </c>
      <c r="N910" s="198" t="s">
        <v>2272</v>
      </c>
      <c r="O910" s="198" t="s">
        <v>2272</v>
      </c>
      <c r="P910" s="198" t="s">
        <v>2272</v>
      </c>
      <c r="Q910" s="198" t="s">
        <v>2272</v>
      </c>
      <c r="R910" s="198" t="s">
        <v>2272</v>
      </c>
      <c r="S910" s="198" t="s">
        <v>2272</v>
      </c>
      <c r="T910" s="198" t="s">
        <v>2272</v>
      </c>
      <c r="U910" s="198" t="s">
        <v>2272</v>
      </c>
      <c r="V910" s="198" t="s">
        <v>2272</v>
      </c>
      <c r="W910" s="4" t="s">
        <v>10061</v>
      </c>
    </row>
    <row r="911" spans="1:23" ht="90" customHeight="1">
      <c r="A911" s="26" t="s">
        <v>10097</v>
      </c>
      <c r="B911" s="26" t="s">
        <v>10100</v>
      </c>
      <c r="C911" s="198" t="s">
        <v>23</v>
      </c>
      <c r="D911" s="198" t="s">
        <v>141</v>
      </c>
      <c r="E911" s="198" t="s">
        <v>82</v>
      </c>
      <c r="F911" s="198" t="s">
        <v>73</v>
      </c>
      <c r="G911" s="198"/>
      <c r="H911" s="4" t="s">
        <v>539</v>
      </c>
      <c r="I911" s="198" t="s">
        <v>2272</v>
      </c>
      <c r="J911" s="198" t="s">
        <v>2272</v>
      </c>
      <c r="K911" s="198" t="s">
        <v>2272</v>
      </c>
      <c r="L911" s="198" t="s">
        <v>2272</v>
      </c>
      <c r="M911" s="198" t="s">
        <v>2664</v>
      </c>
      <c r="N911" s="198" t="s">
        <v>2272</v>
      </c>
      <c r="O911" s="198" t="s">
        <v>532</v>
      </c>
      <c r="P911" s="198" t="s">
        <v>2272</v>
      </c>
      <c r="Q911" s="198">
        <v>3</v>
      </c>
      <c r="R911" s="198" t="s">
        <v>2272</v>
      </c>
      <c r="S911" s="198" t="s">
        <v>2272</v>
      </c>
      <c r="T911" s="198" t="s">
        <v>2272</v>
      </c>
      <c r="U911" s="198" t="s">
        <v>2272</v>
      </c>
      <c r="V911" s="198" t="s">
        <v>2272</v>
      </c>
      <c r="W911" s="19" t="s">
        <v>10108</v>
      </c>
    </row>
    <row r="912" spans="1:23" ht="80" customHeight="1">
      <c r="A912" s="26" t="s">
        <v>10097</v>
      </c>
      <c r="B912" s="26" t="s">
        <v>10101</v>
      </c>
      <c r="C912" s="198" t="s">
        <v>23</v>
      </c>
      <c r="D912" s="198" t="s">
        <v>141</v>
      </c>
      <c r="E912" s="198" t="s">
        <v>82</v>
      </c>
      <c r="F912" s="198" t="s">
        <v>73</v>
      </c>
      <c r="G912" s="198"/>
      <c r="H912" s="4" t="s">
        <v>2668</v>
      </c>
      <c r="I912" s="198" t="s">
        <v>2686</v>
      </c>
      <c r="J912" s="198" t="s">
        <v>532</v>
      </c>
      <c r="K912" s="198" t="s">
        <v>2272</v>
      </c>
      <c r="L912" s="198" t="s">
        <v>2272</v>
      </c>
      <c r="M912" s="198" t="s">
        <v>2272</v>
      </c>
      <c r="N912" s="198" t="s">
        <v>2272</v>
      </c>
      <c r="O912" s="198" t="s">
        <v>2272</v>
      </c>
      <c r="P912" s="198" t="s">
        <v>2272</v>
      </c>
      <c r="Q912" s="198" t="s">
        <v>2272</v>
      </c>
      <c r="R912" s="198" t="s">
        <v>2272</v>
      </c>
      <c r="S912" s="198" t="s">
        <v>2272</v>
      </c>
      <c r="T912" s="198" t="s">
        <v>2272</v>
      </c>
      <c r="U912" s="198" t="s">
        <v>2272</v>
      </c>
      <c r="V912" s="198" t="s">
        <v>2272</v>
      </c>
      <c r="W912" s="4" t="s">
        <v>10109</v>
      </c>
    </row>
    <row r="913" spans="1:23" ht="68" customHeight="1">
      <c r="A913" s="228" t="s">
        <v>10097</v>
      </c>
      <c r="B913" s="228" t="s">
        <v>10100</v>
      </c>
      <c r="C913" s="35" t="s">
        <v>23</v>
      </c>
      <c r="D913" s="35" t="s">
        <v>141</v>
      </c>
      <c r="E913" s="35" t="s">
        <v>2644</v>
      </c>
      <c r="F913" s="35" t="s">
        <v>73</v>
      </c>
      <c r="G913" s="35"/>
      <c r="H913" s="163" t="s">
        <v>539</v>
      </c>
      <c r="I913" s="35" t="s">
        <v>2272</v>
      </c>
      <c r="J913" s="35" t="s">
        <v>2272</v>
      </c>
      <c r="K913" s="35" t="s">
        <v>2272</v>
      </c>
      <c r="L913" s="35" t="s">
        <v>2272</v>
      </c>
      <c r="M913" s="35" t="s">
        <v>2664</v>
      </c>
      <c r="N913" s="35" t="s">
        <v>2272</v>
      </c>
      <c r="O913" s="35" t="s">
        <v>532</v>
      </c>
      <c r="P913" s="35" t="s">
        <v>2272</v>
      </c>
      <c r="Q913">
        <v>1</v>
      </c>
      <c r="R913" s="35" t="s">
        <v>2272</v>
      </c>
      <c r="S913" s="35" t="s">
        <v>2272</v>
      </c>
      <c r="T913" s="35" t="s">
        <v>2272</v>
      </c>
      <c r="U913" s="35" t="s">
        <v>2272</v>
      </c>
      <c r="V913" s="35" t="s">
        <v>2272</v>
      </c>
      <c r="W913" s="163" t="s">
        <v>10110</v>
      </c>
    </row>
    <row r="914" spans="1:23" ht="50" customHeight="1">
      <c r="A914" s="26" t="s">
        <v>10121</v>
      </c>
      <c r="B914" s="26" t="s">
        <v>10125</v>
      </c>
      <c r="C914" s="4" t="s">
        <v>23</v>
      </c>
      <c r="D914" s="4" t="s">
        <v>1238</v>
      </c>
      <c r="E914" s="4" t="s">
        <v>135</v>
      </c>
      <c r="F914" s="4" t="s">
        <v>2657</v>
      </c>
      <c r="G914" s="198"/>
      <c r="H914" s="4" t="s">
        <v>2668</v>
      </c>
      <c r="I914" s="198" t="s">
        <v>2272</v>
      </c>
      <c r="J914" s="198" t="s">
        <v>2272</v>
      </c>
      <c r="K914" s="198" t="s">
        <v>2272</v>
      </c>
      <c r="L914" s="198" t="s">
        <v>2272</v>
      </c>
      <c r="M914" s="198" t="s">
        <v>2723</v>
      </c>
      <c r="N914" s="198" t="s">
        <v>2272</v>
      </c>
      <c r="O914" s="198" t="s">
        <v>2272</v>
      </c>
      <c r="P914" s="198" t="s">
        <v>532</v>
      </c>
      <c r="Q914" s="198">
        <v>4</v>
      </c>
      <c r="R914" s="198" t="s">
        <v>2272</v>
      </c>
      <c r="S914" s="198" t="s">
        <v>2272</v>
      </c>
      <c r="T914" s="198" t="s">
        <v>2272</v>
      </c>
      <c r="U914" s="198" t="s">
        <v>2272</v>
      </c>
      <c r="V914" s="198" t="s">
        <v>2272</v>
      </c>
      <c r="W914" s="19" t="s">
        <v>10132</v>
      </c>
    </row>
    <row r="915" spans="1:23" ht="42.5" customHeight="1">
      <c r="A915" s="26" t="s">
        <v>10155</v>
      </c>
      <c r="B915" s="26" t="s">
        <v>10157</v>
      </c>
      <c r="C915" s="198" t="s">
        <v>2453</v>
      </c>
      <c r="D915" s="198" t="s">
        <v>1102</v>
      </c>
      <c r="E915" s="198" t="s">
        <v>1102</v>
      </c>
      <c r="F915" s="198" t="s">
        <v>73</v>
      </c>
      <c r="G915" s="198">
        <v>1950</v>
      </c>
      <c r="H915" s="4" t="s">
        <v>539</v>
      </c>
      <c r="I915" s="198" t="s">
        <v>2272</v>
      </c>
      <c r="J915" s="198" t="s">
        <v>2272</v>
      </c>
      <c r="K915" s="198" t="s">
        <v>2272</v>
      </c>
      <c r="L915" s="198" t="s">
        <v>2272</v>
      </c>
      <c r="M915" s="198" t="s">
        <v>2723</v>
      </c>
      <c r="N915" s="198" t="s">
        <v>2272</v>
      </c>
      <c r="O915" s="198" t="s">
        <v>2272</v>
      </c>
      <c r="P915" s="198" t="s">
        <v>2272</v>
      </c>
      <c r="Q915" s="198">
        <v>1</v>
      </c>
      <c r="R915" s="198" t="s">
        <v>2272</v>
      </c>
      <c r="S915" s="198" t="s">
        <v>2272</v>
      </c>
      <c r="T915" s="198" t="s">
        <v>2272</v>
      </c>
      <c r="U915" s="198" t="s">
        <v>2272</v>
      </c>
      <c r="V915" s="198" t="s">
        <v>2272</v>
      </c>
      <c r="W915" s="4" t="s">
        <v>10165</v>
      </c>
    </row>
    <row r="916" spans="1:23" ht="42.5" customHeight="1">
      <c r="A916" s="26" t="s">
        <v>10155</v>
      </c>
      <c r="B916" s="26" t="s">
        <v>10158</v>
      </c>
      <c r="C916" s="198" t="s">
        <v>2453</v>
      </c>
      <c r="D916" s="198" t="s">
        <v>1102</v>
      </c>
      <c r="E916" s="198" t="s">
        <v>1102</v>
      </c>
      <c r="F916" s="198" t="s">
        <v>73</v>
      </c>
      <c r="G916" s="198">
        <v>1988</v>
      </c>
      <c r="H916" s="4" t="s">
        <v>539</v>
      </c>
      <c r="I916" s="198" t="s">
        <v>2272</v>
      </c>
      <c r="J916" s="198" t="s">
        <v>2272</v>
      </c>
      <c r="K916" s="198" t="s">
        <v>2272</v>
      </c>
      <c r="L916" s="198" t="s">
        <v>2272</v>
      </c>
      <c r="M916" s="198" t="s">
        <v>2723</v>
      </c>
      <c r="N916" s="198" t="s">
        <v>2272</v>
      </c>
      <c r="O916" s="198" t="s">
        <v>2272</v>
      </c>
      <c r="P916" s="198" t="s">
        <v>2272</v>
      </c>
      <c r="Q916" s="198">
        <v>5</v>
      </c>
      <c r="R916" s="198" t="s">
        <v>2272</v>
      </c>
      <c r="S916" s="198" t="s">
        <v>2272</v>
      </c>
      <c r="T916" s="198" t="s">
        <v>2272</v>
      </c>
      <c r="U916" s="198" t="s">
        <v>2272</v>
      </c>
      <c r="V916" s="198" t="s">
        <v>2272</v>
      </c>
      <c r="W916" s="4" t="s">
        <v>10166</v>
      </c>
    </row>
    <row r="917" spans="1:23" ht="50" customHeight="1">
      <c r="A917" s="26" t="s">
        <v>10196</v>
      </c>
      <c r="B917" s="26" t="s">
        <v>10199</v>
      </c>
      <c r="C917" s="198" t="s">
        <v>1102</v>
      </c>
      <c r="D917" s="198" t="s">
        <v>1102</v>
      </c>
      <c r="E917" s="198" t="s">
        <v>1102</v>
      </c>
      <c r="F917" s="198" t="s">
        <v>73</v>
      </c>
      <c r="G917" s="198"/>
      <c r="H917" s="4" t="s">
        <v>539</v>
      </c>
      <c r="I917" s="198" t="s">
        <v>2685</v>
      </c>
      <c r="J917" s="198" t="s">
        <v>2272</v>
      </c>
      <c r="K917" s="198" t="s">
        <v>2272</v>
      </c>
      <c r="L917" s="198" t="s">
        <v>2272</v>
      </c>
      <c r="M917" s="198" t="s">
        <v>2272</v>
      </c>
      <c r="N917" s="198" t="s">
        <v>2272</v>
      </c>
      <c r="O917" s="198" t="s">
        <v>2272</v>
      </c>
      <c r="P917" s="198" t="s">
        <v>2272</v>
      </c>
      <c r="Q917" s="198" t="s">
        <v>2272</v>
      </c>
      <c r="R917" s="198" t="s">
        <v>2272</v>
      </c>
      <c r="S917" s="198" t="s">
        <v>2272</v>
      </c>
      <c r="T917" s="198" t="s">
        <v>2272</v>
      </c>
      <c r="U917" s="198" t="s">
        <v>2272</v>
      </c>
      <c r="V917" s="198" t="s">
        <v>2272</v>
      </c>
      <c r="W917" s="19" t="s">
        <v>10202</v>
      </c>
    </row>
    <row r="918" spans="1:23" ht="45.5" customHeight="1">
      <c r="A918" s="198" t="s">
        <v>10274</v>
      </c>
      <c r="B918" s="26" t="s">
        <v>10278</v>
      </c>
      <c r="C918" s="198" t="s">
        <v>23</v>
      </c>
      <c r="D918" s="198" t="s">
        <v>2654</v>
      </c>
      <c r="E918" s="198" t="s">
        <v>1102</v>
      </c>
      <c r="F918" s="198" t="s">
        <v>27</v>
      </c>
      <c r="G918" s="198"/>
      <c r="H918" s="4" t="s">
        <v>2668</v>
      </c>
      <c r="I918" s="198" t="s">
        <v>2272</v>
      </c>
      <c r="J918" s="198" t="s">
        <v>2272</v>
      </c>
      <c r="K918" s="198" t="s">
        <v>2272</v>
      </c>
      <c r="L918" s="198" t="s">
        <v>2272</v>
      </c>
      <c r="M918" s="198" t="s">
        <v>2665</v>
      </c>
      <c r="N918" s="198" t="s">
        <v>2272</v>
      </c>
      <c r="O918" s="198" t="s">
        <v>2272</v>
      </c>
      <c r="P918" s="198" t="s">
        <v>2272</v>
      </c>
      <c r="Q918" s="198">
        <v>4</v>
      </c>
      <c r="R918" s="198" t="s">
        <v>2272</v>
      </c>
      <c r="S918" s="198" t="s">
        <v>2272</v>
      </c>
      <c r="T918" s="198" t="s">
        <v>2272</v>
      </c>
      <c r="U918" s="198" t="s">
        <v>2272</v>
      </c>
      <c r="V918" s="198" t="s">
        <v>2272</v>
      </c>
      <c r="W918" s="19" t="s">
        <v>10284</v>
      </c>
    </row>
    <row r="919" spans="1:23" ht="52" customHeight="1">
      <c r="A919" s="26" t="s">
        <v>10288</v>
      </c>
      <c r="B919" s="26" t="s">
        <v>10290</v>
      </c>
      <c r="C919" s="198" t="s">
        <v>2453</v>
      </c>
      <c r="D919" s="198" t="s">
        <v>2272</v>
      </c>
      <c r="E919" s="198" t="s">
        <v>2272</v>
      </c>
      <c r="F919" s="198" t="s">
        <v>2272</v>
      </c>
      <c r="G919" s="198"/>
      <c r="H919" s="4" t="s">
        <v>2668</v>
      </c>
      <c r="I919" s="198" t="s">
        <v>2685</v>
      </c>
      <c r="J919" s="198" t="s">
        <v>2272</v>
      </c>
      <c r="K919" s="198" t="s">
        <v>2272</v>
      </c>
      <c r="L919" s="198" t="s">
        <v>2272</v>
      </c>
      <c r="M919" s="198" t="s">
        <v>2272</v>
      </c>
      <c r="N919" s="198" t="s">
        <v>2272</v>
      </c>
      <c r="O919" s="198" t="s">
        <v>2272</v>
      </c>
      <c r="P919" s="198" t="s">
        <v>2272</v>
      </c>
      <c r="Q919" s="198" t="s">
        <v>2272</v>
      </c>
      <c r="R919" s="198" t="s">
        <v>2272</v>
      </c>
      <c r="S919" s="198" t="s">
        <v>2272</v>
      </c>
      <c r="T919" s="198" t="s">
        <v>2272</v>
      </c>
      <c r="U919" s="198" t="s">
        <v>2272</v>
      </c>
      <c r="V919" s="198" t="s">
        <v>2272</v>
      </c>
      <c r="W919" s="19" t="s">
        <v>10300</v>
      </c>
    </row>
    <row r="920" spans="1:23" ht="42.5" customHeight="1">
      <c r="A920" s="26" t="s">
        <v>10308</v>
      </c>
      <c r="B920" s="26" t="s">
        <v>10322</v>
      </c>
      <c r="C920" s="198" t="s">
        <v>23</v>
      </c>
      <c r="D920" s="198" t="s">
        <v>2272</v>
      </c>
      <c r="E920" s="198" t="s">
        <v>2272</v>
      </c>
      <c r="F920" s="198" t="s">
        <v>2272</v>
      </c>
      <c r="G920" s="198"/>
      <c r="H920" s="4" t="s">
        <v>2668</v>
      </c>
      <c r="I920" s="198" t="s">
        <v>2272</v>
      </c>
      <c r="J920" s="198" t="s">
        <v>2272</v>
      </c>
      <c r="K920" s="198" t="s">
        <v>2272</v>
      </c>
      <c r="L920" s="198" t="s">
        <v>2272</v>
      </c>
      <c r="M920" s="198" t="s">
        <v>2664</v>
      </c>
      <c r="N920" s="198" t="s">
        <v>2272</v>
      </c>
      <c r="O920" s="198" t="s">
        <v>2272</v>
      </c>
      <c r="P920" s="198" t="s">
        <v>2272</v>
      </c>
      <c r="Q920" s="198" t="s">
        <v>2272</v>
      </c>
      <c r="R920" s="198" t="s">
        <v>2272</v>
      </c>
      <c r="S920" s="198" t="s">
        <v>2272</v>
      </c>
      <c r="T920" s="198" t="s">
        <v>2272</v>
      </c>
      <c r="U920" s="198" t="s">
        <v>2272</v>
      </c>
      <c r="V920" s="198" t="s">
        <v>2272</v>
      </c>
      <c r="W920" s="19" t="s">
        <v>10346</v>
      </c>
    </row>
    <row r="921" spans="1:23" ht="64.5" customHeight="1">
      <c r="A921" s="26" t="s">
        <v>10348</v>
      </c>
      <c r="B921" s="26" t="s">
        <v>10350</v>
      </c>
      <c r="C921" s="4" t="s">
        <v>23</v>
      </c>
      <c r="D921" s="4" t="s">
        <v>142</v>
      </c>
      <c r="E921" s="4" t="s">
        <v>135</v>
      </c>
      <c r="F921" s="4" t="s">
        <v>2657</v>
      </c>
      <c r="G921" s="4">
        <v>1980</v>
      </c>
      <c r="H921" s="4" t="s">
        <v>539</v>
      </c>
      <c r="I921" s="198" t="s">
        <v>2272</v>
      </c>
      <c r="J921" s="198" t="s">
        <v>2272</v>
      </c>
      <c r="K921" s="198" t="s">
        <v>2272</v>
      </c>
      <c r="L921" s="198" t="s">
        <v>2272</v>
      </c>
      <c r="M921" s="198" t="s">
        <v>2665</v>
      </c>
      <c r="N921" s="198" t="s">
        <v>2272</v>
      </c>
      <c r="O921" s="198" t="s">
        <v>2272</v>
      </c>
      <c r="P921" s="198" t="s">
        <v>2272</v>
      </c>
      <c r="Q921" s="198" t="s">
        <v>2272</v>
      </c>
      <c r="R921" s="198" t="s">
        <v>535</v>
      </c>
      <c r="S921" s="198" t="s">
        <v>535</v>
      </c>
      <c r="T921" s="198" t="s">
        <v>535</v>
      </c>
      <c r="U921" s="198" t="s">
        <v>535</v>
      </c>
      <c r="V921" s="198" t="s">
        <v>2272</v>
      </c>
      <c r="W921" s="4" t="s">
        <v>10353</v>
      </c>
    </row>
    <row r="922" spans="1:23" ht="92.5" customHeight="1">
      <c r="A922" s="198" t="s">
        <v>10452</v>
      </c>
      <c r="B922" s="198" t="s">
        <v>10460</v>
      </c>
      <c r="C922" s="198" t="s">
        <v>23</v>
      </c>
      <c r="D922" s="198" t="s">
        <v>1102</v>
      </c>
      <c r="E922" s="198" t="s">
        <v>1102</v>
      </c>
      <c r="F922" s="198" t="s">
        <v>1102</v>
      </c>
      <c r="G922" s="198"/>
      <c r="H922" s="4" t="s">
        <v>2668</v>
      </c>
      <c r="I922" s="198" t="s">
        <v>2272</v>
      </c>
      <c r="J922" s="198" t="s">
        <v>2272</v>
      </c>
      <c r="K922" s="198" t="s">
        <v>2272</v>
      </c>
      <c r="L922" s="198" t="s">
        <v>2272</v>
      </c>
      <c r="M922" s="198" t="s">
        <v>2723</v>
      </c>
      <c r="N922" s="198" t="s">
        <v>2272</v>
      </c>
      <c r="O922" s="198" t="s">
        <v>2272</v>
      </c>
      <c r="P922" s="198" t="s">
        <v>2272</v>
      </c>
      <c r="Q922" s="198" t="s">
        <v>2272</v>
      </c>
      <c r="R922" s="198" t="s">
        <v>2272</v>
      </c>
      <c r="S922" s="198" t="s">
        <v>2272</v>
      </c>
      <c r="T922" s="198" t="s">
        <v>2272</v>
      </c>
      <c r="U922" s="198" t="s">
        <v>2272</v>
      </c>
      <c r="V922" s="198" t="s">
        <v>2272</v>
      </c>
      <c r="W922" s="4" t="s">
        <v>10472</v>
      </c>
    </row>
    <row r="923" spans="1:23" ht="92.5" customHeight="1">
      <c r="A923" s="198" t="s">
        <v>10455</v>
      </c>
      <c r="B923" s="198" t="s">
        <v>10463</v>
      </c>
      <c r="C923" s="198" t="s">
        <v>23</v>
      </c>
      <c r="D923" s="198" t="s">
        <v>1102</v>
      </c>
      <c r="E923" s="198" t="s">
        <v>1102</v>
      </c>
      <c r="F923" s="198" t="s">
        <v>1102</v>
      </c>
      <c r="G923" s="198"/>
      <c r="H923" s="4" t="s">
        <v>2668</v>
      </c>
      <c r="I923" s="198" t="s">
        <v>2272</v>
      </c>
      <c r="J923" s="198" t="s">
        <v>2272</v>
      </c>
      <c r="K923" s="198" t="s">
        <v>2272</v>
      </c>
      <c r="L923" s="198" t="s">
        <v>2272</v>
      </c>
      <c r="M923" s="198" t="s">
        <v>2723</v>
      </c>
      <c r="N923" s="198" t="s">
        <v>2272</v>
      </c>
      <c r="O923" s="198" t="s">
        <v>2272</v>
      </c>
      <c r="P923" s="198" t="s">
        <v>2272</v>
      </c>
      <c r="Q923" s="198" t="s">
        <v>2272</v>
      </c>
      <c r="R923" s="198" t="s">
        <v>2272</v>
      </c>
      <c r="S923" s="198" t="s">
        <v>2272</v>
      </c>
      <c r="T923" s="198" t="s">
        <v>2272</v>
      </c>
      <c r="U923" s="198" t="s">
        <v>2272</v>
      </c>
      <c r="V923" s="198" t="s">
        <v>2272</v>
      </c>
      <c r="W923" s="4" t="s">
        <v>10472</v>
      </c>
    </row>
    <row r="924" spans="1:23" ht="92.5" customHeight="1">
      <c r="A924" s="198" t="s">
        <v>10456</v>
      </c>
      <c r="B924" s="198" t="s">
        <v>10464</v>
      </c>
      <c r="C924" s="198" t="s">
        <v>23</v>
      </c>
      <c r="D924" s="198" t="s">
        <v>1102</v>
      </c>
      <c r="E924" s="198" t="s">
        <v>1102</v>
      </c>
      <c r="F924" s="198" t="s">
        <v>1102</v>
      </c>
      <c r="G924" s="198"/>
      <c r="H924" s="4" t="s">
        <v>2668</v>
      </c>
      <c r="I924" s="198" t="s">
        <v>2272</v>
      </c>
      <c r="J924" s="198" t="s">
        <v>2272</v>
      </c>
      <c r="K924" s="198" t="s">
        <v>2272</v>
      </c>
      <c r="L924" s="198" t="s">
        <v>2272</v>
      </c>
      <c r="M924" s="198" t="s">
        <v>2723</v>
      </c>
      <c r="N924" s="198" t="s">
        <v>2272</v>
      </c>
      <c r="O924" s="198" t="s">
        <v>2272</v>
      </c>
      <c r="P924" s="198" t="s">
        <v>2272</v>
      </c>
      <c r="Q924" s="198" t="s">
        <v>2272</v>
      </c>
      <c r="R924" s="198" t="s">
        <v>2272</v>
      </c>
      <c r="S924" s="198" t="s">
        <v>2272</v>
      </c>
      <c r="T924" s="198" t="s">
        <v>2272</v>
      </c>
      <c r="U924" s="198" t="s">
        <v>2272</v>
      </c>
      <c r="V924" s="198" t="s">
        <v>2272</v>
      </c>
      <c r="W924" s="4" t="s">
        <v>10472</v>
      </c>
    </row>
    <row r="925" spans="1:23" ht="92.5" customHeight="1">
      <c r="A925" s="198" t="s">
        <v>10457</v>
      </c>
      <c r="B925" s="198" t="s">
        <v>10465</v>
      </c>
      <c r="C925" s="198" t="s">
        <v>23</v>
      </c>
      <c r="D925" s="198" t="s">
        <v>1102</v>
      </c>
      <c r="E925" s="198" t="s">
        <v>1102</v>
      </c>
      <c r="F925" s="198" t="s">
        <v>1102</v>
      </c>
      <c r="G925" s="198"/>
      <c r="H925" s="4" t="s">
        <v>2668</v>
      </c>
      <c r="I925" s="198" t="s">
        <v>2272</v>
      </c>
      <c r="J925" s="198" t="s">
        <v>2272</v>
      </c>
      <c r="K925" s="198" t="s">
        <v>2272</v>
      </c>
      <c r="L925" s="198" t="s">
        <v>2272</v>
      </c>
      <c r="M925" s="198" t="s">
        <v>2723</v>
      </c>
      <c r="N925" s="198" t="s">
        <v>2272</v>
      </c>
      <c r="O925" s="198" t="s">
        <v>2272</v>
      </c>
      <c r="P925" s="198" t="s">
        <v>2272</v>
      </c>
      <c r="Q925" s="198" t="s">
        <v>2272</v>
      </c>
      <c r="R925" s="198" t="s">
        <v>2272</v>
      </c>
      <c r="S925" s="198" t="s">
        <v>2272</v>
      </c>
      <c r="T925" s="198" t="s">
        <v>2272</v>
      </c>
      <c r="U925" s="198" t="s">
        <v>2272</v>
      </c>
      <c r="V925" s="198" t="s">
        <v>2272</v>
      </c>
      <c r="W925" s="4" t="s">
        <v>10472</v>
      </c>
    </row>
    <row r="926" spans="1:23" ht="37" customHeight="1">
      <c r="A926" s="11" t="s">
        <v>10483</v>
      </c>
      <c r="B926" s="11" t="s">
        <v>10490</v>
      </c>
      <c r="C926" s="198" t="s">
        <v>23</v>
      </c>
      <c r="D926" s="198" t="s">
        <v>1102</v>
      </c>
      <c r="E926" s="198" t="s">
        <v>1102</v>
      </c>
      <c r="F926" s="4" t="s">
        <v>2657</v>
      </c>
      <c r="G926" s="198"/>
      <c r="H926" s="4" t="s">
        <v>539</v>
      </c>
      <c r="I926" s="198" t="s">
        <v>2272</v>
      </c>
      <c r="J926" s="198" t="s">
        <v>2272</v>
      </c>
      <c r="K926" s="198" t="s">
        <v>2272</v>
      </c>
      <c r="L926" s="198" t="s">
        <v>2272</v>
      </c>
      <c r="M926" s="198" t="s">
        <v>2272</v>
      </c>
      <c r="N926" s="198" t="s">
        <v>2272</v>
      </c>
      <c r="O926" s="198" t="s">
        <v>2272</v>
      </c>
      <c r="P926" s="198" t="s">
        <v>2272</v>
      </c>
      <c r="Q926" s="198" t="s">
        <v>2272</v>
      </c>
      <c r="R926" s="198" t="s">
        <v>532</v>
      </c>
      <c r="S926" s="198" t="s">
        <v>2272</v>
      </c>
      <c r="T926" s="198" t="s">
        <v>532</v>
      </c>
      <c r="U926" s="198" t="s">
        <v>2272</v>
      </c>
      <c r="V926" s="198" t="s">
        <v>2272</v>
      </c>
      <c r="W926" s="4" t="s">
        <v>10506</v>
      </c>
    </row>
    <row r="927" spans="1:23" ht="37" customHeight="1">
      <c r="A927" s="11" t="s">
        <v>10485</v>
      </c>
      <c r="B927" s="11" t="s">
        <v>10491</v>
      </c>
      <c r="C927" s="198" t="s">
        <v>23</v>
      </c>
      <c r="D927" s="198" t="s">
        <v>1102</v>
      </c>
      <c r="E927" s="198" t="s">
        <v>1102</v>
      </c>
      <c r="F927" s="4" t="s">
        <v>2657</v>
      </c>
      <c r="G927" s="198"/>
      <c r="H927" s="4" t="s">
        <v>539</v>
      </c>
      <c r="I927" s="198" t="s">
        <v>2272</v>
      </c>
      <c r="J927" s="198" t="s">
        <v>2272</v>
      </c>
      <c r="K927" s="198" t="s">
        <v>2272</v>
      </c>
      <c r="L927" s="198" t="s">
        <v>2272</v>
      </c>
      <c r="M927" s="198" t="s">
        <v>2272</v>
      </c>
      <c r="N927" s="198" t="s">
        <v>2272</v>
      </c>
      <c r="O927" s="198" t="s">
        <v>2272</v>
      </c>
      <c r="P927" s="198" t="s">
        <v>2272</v>
      </c>
      <c r="Q927" s="198" t="s">
        <v>2272</v>
      </c>
      <c r="R927" s="198" t="s">
        <v>532</v>
      </c>
      <c r="S927" s="198" t="s">
        <v>2272</v>
      </c>
      <c r="T927" s="198" t="s">
        <v>532</v>
      </c>
      <c r="U927" s="198" t="s">
        <v>2272</v>
      </c>
      <c r="V927" s="198" t="s">
        <v>2272</v>
      </c>
      <c r="W927" s="4" t="s">
        <v>10507</v>
      </c>
    </row>
    <row r="928" spans="1:23" ht="35.5" customHeight="1">
      <c r="A928" s="19" t="s">
        <v>10489</v>
      </c>
      <c r="B928" s="19" t="s">
        <v>10492</v>
      </c>
      <c r="C928" s="4" t="s">
        <v>23</v>
      </c>
      <c r="D928" s="4" t="s">
        <v>1102</v>
      </c>
      <c r="E928" s="4" t="s">
        <v>1102</v>
      </c>
      <c r="F928" s="4" t="s">
        <v>2657</v>
      </c>
      <c r="G928" s="4"/>
      <c r="H928" s="4" t="s">
        <v>539</v>
      </c>
      <c r="I928" s="4" t="s">
        <v>2272</v>
      </c>
      <c r="J928" s="4" t="s">
        <v>2272</v>
      </c>
      <c r="K928" s="4" t="s">
        <v>2272</v>
      </c>
      <c r="L928" s="4" t="s">
        <v>2272</v>
      </c>
      <c r="M928" s="4" t="s">
        <v>2272</v>
      </c>
      <c r="N928" s="4" t="s">
        <v>2272</v>
      </c>
      <c r="O928" s="4" t="s">
        <v>2272</v>
      </c>
      <c r="P928" s="4" t="s">
        <v>2272</v>
      </c>
      <c r="Q928" s="4" t="s">
        <v>2272</v>
      </c>
      <c r="R928" s="4" t="s">
        <v>535</v>
      </c>
      <c r="S928" s="4" t="s">
        <v>535</v>
      </c>
      <c r="T928" s="4" t="s">
        <v>535</v>
      </c>
      <c r="U928" s="4" t="s">
        <v>535</v>
      </c>
      <c r="V928" s="4" t="s">
        <v>2272</v>
      </c>
      <c r="W928" s="19" t="s">
        <v>10508</v>
      </c>
    </row>
    <row r="929" spans="1:23" ht="37" customHeight="1">
      <c r="A929" s="19" t="s">
        <v>10510</v>
      </c>
      <c r="B929" s="19" t="s">
        <v>10512</v>
      </c>
      <c r="C929" s="4" t="s">
        <v>23</v>
      </c>
      <c r="D929" s="4" t="s">
        <v>142</v>
      </c>
      <c r="E929" s="4" t="s">
        <v>2642</v>
      </c>
      <c r="F929" s="4" t="s">
        <v>2657</v>
      </c>
      <c r="G929" s="4"/>
      <c r="H929" s="4" t="s">
        <v>539</v>
      </c>
      <c r="I929" s="4" t="s">
        <v>535</v>
      </c>
      <c r="J929" s="4" t="s">
        <v>2272</v>
      </c>
      <c r="K929" s="4" t="s">
        <v>532</v>
      </c>
      <c r="L929" s="4" t="s">
        <v>2272</v>
      </c>
      <c r="M929" s="4" t="s">
        <v>2272</v>
      </c>
      <c r="N929" s="4" t="s">
        <v>2272</v>
      </c>
      <c r="O929" s="4" t="s">
        <v>2272</v>
      </c>
      <c r="P929" s="4" t="s">
        <v>2272</v>
      </c>
      <c r="Q929" s="4" t="s">
        <v>2272</v>
      </c>
      <c r="R929" s="4" t="s">
        <v>535</v>
      </c>
      <c r="S929" s="4" t="s">
        <v>535</v>
      </c>
      <c r="T929" s="4" t="s">
        <v>535</v>
      </c>
      <c r="U929" s="4" t="s">
        <v>535</v>
      </c>
      <c r="V929" s="4" t="s">
        <v>2272</v>
      </c>
      <c r="W929" s="4" t="s">
        <v>10514</v>
      </c>
    </row>
    <row r="930" spans="1:23" ht="42.5" customHeight="1">
      <c r="A930" s="11" t="s">
        <v>10523</v>
      </c>
      <c r="B930" s="11" t="s">
        <v>10527</v>
      </c>
      <c r="C930" s="4" t="s">
        <v>23</v>
      </c>
      <c r="D930" s="4" t="s">
        <v>1102</v>
      </c>
      <c r="E930" s="4" t="s">
        <v>1102</v>
      </c>
      <c r="F930" s="4" t="s">
        <v>1102</v>
      </c>
      <c r="G930" s="236"/>
      <c r="H930" s="4" t="s">
        <v>539</v>
      </c>
      <c r="I930" s="4" t="s">
        <v>2272</v>
      </c>
      <c r="J930" s="4" t="s">
        <v>2272</v>
      </c>
      <c r="K930" s="4" t="s">
        <v>2272</v>
      </c>
      <c r="L930" s="4" t="s">
        <v>2272</v>
      </c>
      <c r="M930" s="4" t="s">
        <v>2664</v>
      </c>
      <c r="N930" s="4" t="s">
        <v>2272</v>
      </c>
      <c r="O930" s="4" t="s">
        <v>2272</v>
      </c>
      <c r="P930" s="4" t="s">
        <v>2272</v>
      </c>
      <c r="Q930" s="4">
        <v>4</v>
      </c>
      <c r="R930" s="4" t="s">
        <v>2272</v>
      </c>
      <c r="S930" s="4" t="s">
        <v>2272</v>
      </c>
      <c r="T930" s="4" t="s">
        <v>2272</v>
      </c>
      <c r="U930" s="4" t="s">
        <v>2272</v>
      </c>
      <c r="V930" s="4" t="s">
        <v>2272</v>
      </c>
      <c r="W930" s="19" t="s">
        <v>10570</v>
      </c>
    </row>
    <row r="931" spans="1:23" ht="42.5" customHeight="1">
      <c r="A931" s="19" t="s">
        <v>10562</v>
      </c>
      <c r="B931" s="19" t="s">
        <v>10563</v>
      </c>
      <c r="C931" s="4" t="s">
        <v>2453</v>
      </c>
      <c r="D931" s="4" t="s">
        <v>2799</v>
      </c>
      <c r="E931" s="4" t="s">
        <v>2642</v>
      </c>
      <c r="F931" s="4" t="s">
        <v>54</v>
      </c>
      <c r="G931" s="4"/>
      <c r="H931" s="4" t="s">
        <v>2668</v>
      </c>
      <c r="I931" s="4" t="s">
        <v>2272</v>
      </c>
      <c r="J931" s="4" t="s">
        <v>2272</v>
      </c>
      <c r="K931" s="4" t="s">
        <v>2272</v>
      </c>
      <c r="L931" s="4" t="s">
        <v>2272</v>
      </c>
      <c r="M931" s="4" t="s">
        <v>2723</v>
      </c>
      <c r="N931" s="4" t="s">
        <v>2272</v>
      </c>
      <c r="O931" s="4" t="s">
        <v>2272</v>
      </c>
      <c r="P931" s="4" t="s">
        <v>2272</v>
      </c>
      <c r="Q931" s="4">
        <v>4</v>
      </c>
      <c r="R931" s="4" t="s">
        <v>2272</v>
      </c>
      <c r="S931" s="4" t="s">
        <v>2272</v>
      </c>
      <c r="T931" s="4" t="s">
        <v>2272</v>
      </c>
      <c r="U931" s="4" t="s">
        <v>2272</v>
      </c>
      <c r="V931" s="4" t="s">
        <v>2272</v>
      </c>
      <c r="W931" s="4" t="s">
        <v>10567</v>
      </c>
    </row>
    <row r="932" spans="1:23" ht="71.5" customHeight="1">
      <c r="A932" s="19" t="s">
        <v>10573</v>
      </c>
      <c r="B932" s="19" t="s">
        <v>10575</v>
      </c>
      <c r="C932" s="198" t="s">
        <v>23</v>
      </c>
      <c r="D932" s="198" t="s">
        <v>141</v>
      </c>
      <c r="E932" s="198" t="s">
        <v>82</v>
      </c>
      <c r="F932" s="198" t="s">
        <v>73</v>
      </c>
      <c r="G932" s="198"/>
      <c r="H932" s="4" t="s">
        <v>2670</v>
      </c>
      <c r="I932" s="198" t="s">
        <v>2685</v>
      </c>
      <c r="J932" s="4" t="s">
        <v>2272</v>
      </c>
      <c r="K932" s="198" t="s">
        <v>532</v>
      </c>
      <c r="L932" s="4" t="s">
        <v>2272</v>
      </c>
      <c r="M932" s="4" t="s">
        <v>2272</v>
      </c>
      <c r="N932" s="4" t="s">
        <v>2272</v>
      </c>
      <c r="O932" s="4" t="s">
        <v>2272</v>
      </c>
      <c r="P932" s="4" t="s">
        <v>2272</v>
      </c>
      <c r="Q932" s="4" t="s">
        <v>2272</v>
      </c>
      <c r="R932" s="4" t="s">
        <v>2272</v>
      </c>
      <c r="S932" s="4" t="s">
        <v>2272</v>
      </c>
      <c r="T932" s="4" t="s">
        <v>2272</v>
      </c>
      <c r="U932" s="4" t="s">
        <v>2272</v>
      </c>
      <c r="V932" s="4" t="s">
        <v>2272</v>
      </c>
      <c r="W932" s="4" t="s">
        <v>10576</v>
      </c>
    </row>
    <row r="933" spans="1:23" ht="70" customHeight="1">
      <c r="A933" s="19" t="s">
        <v>10781</v>
      </c>
      <c r="B933" s="19" t="s">
        <v>10784</v>
      </c>
      <c r="C933" s="198" t="s">
        <v>23</v>
      </c>
      <c r="D933" s="4" t="s">
        <v>1102</v>
      </c>
      <c r="E933" s="4" t="s">
        <v>1102</v>
      </c>
      <c r="F933" s="198" t="s">
        <v>54</v>
      </c>
      <c r="G933" s="198"/>
      <c r="H933" s="4" t="s">
        <v>539</v>
      </c>
      <c r="I933" s="4" t="s">
        <v>2272</v>
      </c>
      <c r="J933" s="4" t="s">
        <v>2272</v>
      </c>
      <c r="K933" s="4" t="s">
        <v>2272</v>
      </c>
      <c r="L933" s="4" t="s">
        <v>2272</v>
      </c>
      <c r="M933" s="4" t="s">
        <v>2272</v>
      </c>
      <c r="N933" s="4" t="s">
        <v>2272</v>
      </c>
      <c r="O933" s="4" t="s">
        <v>2272</v>
      </c>
      <c r="P933" s="4" t="s">
        <v>2272</v>
      </c>
      <c r="Q933" s="4" t="s">
        <v>2272</v>
      </c>
      <c r="R933" s="198" t="s">
        <v>532</v>
      </c>
      <c r="S933" s="4" t="s">
        <v>2272</v>
      </c>
      <c r="T933" s="198" t="s">
        <v>532</v>
      </c>
      <c r="U933" s="4" t="s">
        <v>2272</v>
      </c>
      <c r="V933" s="198">
        <v>5</v>
      </c>
      <c r="W933" s="18" t="s">
        <v>10785</v>
      </c>
    </row>
    <row r="934" spans="1:23" ht="66" customHeight="1">
      <c r="A934" s="19" t="s">
        <v>10881</v>
      </c>
      <c r="B934" s="19" t="s">
        <v>10886</v>
      </c>
      <c r="C934" s="198" t="s">
        <v>23</v>
      </c>
      <c r="D934" s="198" t="s">
        <v>1238</v>
      </c>
      <c r="E934" s="198" t="s">
        <v>2644</v>
      </c>
      <c r="F934" s="198" t="s">
        <v>73</v>
      </c>
      <c r="G934" s="198"/>
      <c r="H934" s="4" t="s">
        <v>539</v>
      </c>
      <c r="I934" s="198" t="s">
        <v>535</v>
      </c>
      <c r="J934" s="198" t="s">
        <v>532</v>
      </c>
      <c r="K934" s="4" t="s">
        <v>2272</v>
      </c>
      <c r="L934" s="4" t="s">
        <v>2272</v>
      </c>
      <c r="M934" s="4" t="s">
        <v>2272</v>
      </c>
      <c r="N934" s="4" t="s">
        <v>2272</v>
      </c>
      <c r="O934" s="4" t="s">
        <v>2272</v>
      </c>
      <c r="P934" s="4" t="s">
        <v>2272</v>
      </c>
      <c r="Q934" s="4" t="s">
        <v>2272</v>
      </c>
      <c r="R934" s="4" t="s">
        <v>2272</v>
      </c>
      <c r="S934" s="4" t="s">
        <v>2272</v>
      </c>
      <c r="T934" s="4" t="s">
        <v>2272</v>
      </c>
      <c r="U934" s="4" t="s">
        <v>2272</v>
      </c>
      <c r="V934" s="4" t="s">
        <v>2272</v>
      </c>
      <c r="W934" s="4" t="s">
        <v>10898</v>
      </c>
    </row>
    <row r="935" spans="1:23" ht="66" customHeight="1">
      <c r="A935" s="19" t="s">
        <v>10881</v>
      </c>
      <c r="B935" s="19" t="s">
        <v>10891</v>
      </c>
      <c r="C935" s="198" t="s">
        <v>23</v>
      </c>
      <c r="D935" s="198" t="s">
        <v>1238</v>
      </c>
      <c r="E935" s="198" t="s">
        <v>2644</v>
      </c>
      <c r="F935" s="198" t="s">
        <v>2658</v>
      </c>
      <c r="G935" s="198"/>
      <c r="H935" s="4" t="s">
        <v>539</v>
      </c>
      <c r="I935" s="198" t="s">
        <v>535</v>
      </c>
      <c r="J935" s="198" t="s">
        <v>532</v>
      </c>
      <c r="K935" s="4" t="s">
        <v>2272</v>
      </c>
      <c r="L935" s="4" t="s">
        <v>2272</v>
      </c>
      <c r="M935" s="4" t="s">
        <v>2272</v>
      </c>
      <c r="N935" s="4" t="s">
        <v>2272</v>
      </c>
      <c r="O935" s="4" t="s">
        <v>2272</v>
      </c>
      <c r="P935" s="4" t="s">
        <v>2272</v>
      </c>
      <c r="Q935" s="4" t="s">
        <v>2272</v>
      </c>
      <c r="R935" s="4" t="s">
        <v>2272</v>
      </c>
      <c r="S935" s="4" t="s">
        <v>2272</v>
      </c>
      <c r="T935" s="4" t="s">
        <v>2272</v>
      </c>
      <c r="U935" s="4" t="s">
        <v>2272</v>
      </c>
      <c r="V935" s="4" t="s">
        <v>2272</v>
      </c>
      <c r="W935" s="4" t="s">
        <v>10898</v>
      </c>
    </row>
    <row r="936" spans="1:23" ht="43.5">
      <c r="A936" s="19" t="s">
        <v>10882</v>
      </c>
      <c r="B936" s="19" t="s">
        <v>10887</v>
      </c>
      <c r="C936" s="198" t="s">
        <v>23</v>
      </c>
      <c r="D936" s="198" t="s">
        <v>1238</v>
      </c>
      <c r="E936" s="198" t="s">
        <v>2644</v>
      </c>
      <c r="F936" s="198" t="s">
        <v>73</v>
      </c>
      <c r="G936" s="198"/>
      <c r="H936" s="4" t="s">
        <v>539</v>
      </c>
      <c r="I936" s="198" t="s">
        <v>535</v>
      </c>
      <c r="J936" s="198" t="s">
        <v>532</v>
      </c>
      <c r="K936" s="4" t="s">
        <v>2272</v>
      </c>
      <c r="L936" s="4" t="s">
        <v>2272</v>
      </c>
      <c r="M936" s="4" t="s">
        <v>2272</v>
      </c>
      <c r="N936" s="4" t="s">
        <v>2272</v>
      </c>
      <c r="O936" s="4" t="s">
        <v>2272</v>
      </c>
      <c r="P936" s="4" t="s">
        <v>2272</v>
      </c>
      <c r="Q936" s="4" t="s">
        <v>2272</v>
      </c>
      <c r="R936" s="4" t="s">
        <v>2272</v>
      </c>
      <c r="S936" s="4" t="s">
        <v>2272</v>
      </c>
      <c r="T936" s="4" t="s">
        <v>2272</v>
      </c>
      <c r="U936" s="4" t="s">
        <v>2272</v>
      </c>
      <c r="V936" s="4" t="s">
        <v>2272</v>
      </c>
      <c r="W936" s="4" t="s">
        <v>10898</v>
      </c>
    </row>
    <row r="937" spans="1:23" ht="43.5">
      <c r="A937" s="19" t="s">
        <v>10882</v>
      </c>
      <c r="B937" s="19" t="s">
        <v>10899</v>
      </c>
      <c r="C937" s="198" t="s">
        <v>23</v>
      </c>
      <c r="D937" s="198" t="s">
        <v>1238</v>
      </c>
      <c r="E937" s="198" t="s">
        <v>2644</v>
      </c>
      <c r="F937" s="198" t="s">
        <v>2658</v>
      </c>
      <c r="G937" s="198"/>
      <c r="H937" s="4" t="s">
        <v>539</v>
      </c>
      <c r="I937" s="198" t="s">
        <v>535</v>
      </c>
      <c r="J937" s="198" t="s">
        <v>532</v>
      </c>
      <c r="K937" s="4" t="s">
        <v>2272</v>
      </c>
      <c r="L937" s="4" t="s">
        <v>2272</v>
      </c>
      <c r="M937" s="4" t="s">
        <v>2272</v>
      </c>
      <c r="N937" s="4" t="s">
        <v>2272</v>
      </c>
      <c r="O937" s="4" t="s">
        <v>2272</v>
      </c>
      <c r="P937" s="4" t="s">
        <v>2272</v>
      </c>
      <c r="Q937" s="4" t="s">
        <v>2272</v>
      </c>
      <c r="R937" s="4" t="s">
        <v>2272</v>
      </c>
      <c r="S937" s="4" t="s">
        <v>2272</v>
      </c>
      <c r="T937" s="4" t="s">
        <v>2272</v>
      </c>
      <c r="U937" s="4" t="s">
        <v>2272</v>
      </c>
      <c r="V937" s="4" t="s">
        <v>2272</v>
      </c>
      <c r="W937" s="4" t="s">
        <v>10898</v>
      </c>
    </row>
    <row r="938" spans="1:23" ht="43.5">
      <c r="A938" s="19" t="s">
        <v>10883</v>
      </c>
      <c r="B938" s="19" t="s">
        <v>10888</v>
      </c>
      <c r="C938" s="198" t="s">
        <v>23</v>
      </c>
      <c r="D938" s="198" t="s">
        <v>1238</v>
      </c>
      <c r="E938" s="198" t="s">
        <v>2644</v>
      </c>
      <c r="F938" s="198" t="s">
        <v>73</v>
      </c>
      <c r="G938" s="198"/>
      <c r="H938" s="4" t="s">
        <v>539</v>
      </c>
      <c r="I938" s="198" t="s">
        <v>535</v>
      </c>
      <c r="J938" s="198" t="s">
        <v>532</v>
      </c>
      <c r="K938" s="4" t="s">
        <v>2272</v>
      </c>
      <c r="L938" s="4" t="s">
        <v>2272</v>
      </c>
      <c r="M938" s="4" t="s">
        <v>2272</v>
      </c>
      <c r="N938" s="4" t="s">
        <v>2272</v>
      </c>
      <c r="O938" s="4" t="s">
        <v>2272</v>
      </c>
      <c r="P938" s="4" t="s">
        <v>2272</v>
      </c>
      <c r="Q938" s="4" t="s">
        <v>2272</v>
      </c>
      <c r="R938" s="4" t="s">
        <v>2272</v>
      </c>
      <c r="S938" s="4" t="s">
        <v>2272</v>
      </c>
      <c r="T938" s="4" t="s">
        <v>2272</v>
      </c>
      <c r="U938" s="4" t="s">
        <v>2272</v>
      </c>
      <c r="V938" s="4" t="s">
        <v>2272</v>
      </c>
      <c r="W938" s="4" t="s">
        <v>10898</v>
      </c>
    </row>
    <row r="939" spans="1:23" ht="43.5">
      <c r="A939" s="19" t="s">
        <v>10883</v>
      </c>
      <c r="B939" s="19" t="s">
        <v>10900</v>
      </c>
      <c r="C939" s="198" t="s">
        <v>23</v>
      </c>
      <c r="D939" s="198" t="s">
        <v>1238</v>
      </c>
      <c r="E939" s="198" t="s">
        <v>2644</v>
      </c>
      <c r="F939" s="198" t="s">
        <v>2658</v>
      </c>
      <c r="G939" s="198"/>
      <c r="H939" s="4" t="s">
        <v>539</v>
      </c>
      <c r="I939" s="198" t="s">
        <v>535</v>
      </c>
      <c r="J939" s="198" t="s">
        <v>532</v>
      </c>
      <c r="K939" s="4" t="s">
        <v>2272</v>
      </c>
      <c r="L939" s="4" t="s">
        <v>2272</v>
      </c>
      <c r="M939" s="4" t="s">
        <v>2272</v>
      </c>
      <c r="N939" s="4" t="s">
        <v>2272</v>
      </c>
      <c r="O939" s="4" t="s">
        <v>2272</v>
      </c>
      <c r="P939" s="4" t="s">
        <v>2272</v>
      </c>
      <c r="Q939" s="4" t="s">
        <v>2272</v>
      </c>
      <c r="R939" s="4" t="s">
        <v>2272</v>
      </c>
      <c r="S939" s="4" t="s">
        <v>2272</v>
      </c>
      <c r="T939" s="4" t="s">
        <v>2272</v>
      </c>
      <c r="U939" s="4" t="s">
        <v>2272</v>
      </c>
      <c r="V939" s="4" t="s">
        <v>2272</v>
      </c>
      <c r="W939" s="4" t="s">
        <v>10898</v>
      </c>
    </row>
    <row r="940" spans="1:23" ht="43.5">
      <c r="A940" s="19" t="s">
        <v>10884</v>
      </c>
      <c r="B940" s="19" t="s">
        <v>10889</v>
      </c>
      <c r="C940" s="198" t="s">
        <v>23</v>
      </c>
      <c r="D940" s="198" t="s">
        <v>1238</v>
      </c>
      <c r="E940" s="198" t="s">
        <v>2644</v>
      </c>
      <c r="F940" s="198" t="s">
        <v>73</v>
      </c>
      <c r="G940" s="198"/>
      <c r="H940" s="4" t="s">
        <v>539</v>
      </c>
      <c r="I940" s="198" t="s">
        <v>535</v>
      </c>
      <c r="J940" s="198" t="s">
        <v>532</v>
      </c>
      <c r="K940" s="4" t="s">
        <v>2272</v>
      </c>
      <c r="L940" s="4" t="s">
        <v>2272</v>
      </c>
      <c r="M940" s="4" t="s">
        <v>2272</v>
      </c>
      <c r="N940" s="4" t="s">
        <v>2272</v>
      </c>
      <c r="O940" s="4" t="s">
        <v>2272</v>
      </c>
      <c r="P940" s="4" t="s">
        <v>2272</v>
      </c>
      <c r="Q940" s="4" t="s">
        <v>2272</v>
      </c>
      <c r="R940" s="4" t="s">
        <v>2272</v>
      </c>
      <c r="S940" s="4" t="s">
        <v>2272</v>
      </c>
      <c r="T940" s="4" t="s">
        <v>2272</v>
      </c>
      <c r="U940" s="4" t="s">
        <v>2272</v>
      </c>
      <c r="V940" s="4" t="s">
        <v>2272</v>
      </c>
      <c r="W940" s="4" t="s">
        <v>10898</v>
      </c>
    </row>
    <row r="941" spans="1:23" ht="43.5">
      <c r="A941" s="19" t="s">
        <v>10884</v>
      </c>
      <c r="B941" s="19" t="s">
        <v>10901</v>
      </c>
      <c r="C941" s="198" t="s">
        <v>23</v>
      </c>
      <c r="D941" s="198" t="s">
        <v>1238</v>
      </c>
      <c r="E941" s="198" t="s">
        <v>2644</v>
      </c>
      <c r="F941" s="198" t="s">
        <v>2658</v>
      </c>
      <c r="G941" s="198"/>
      <c r="H941" s="4" t="s">
        <v>539</v>
      </c>
      <c r="I941" s="198" t="s">
        <v>535</v>
      </c>
      <c r="J941" s="198" t="s">
        <v>532</v>
      </c>
      <c r="K941" s="4" t="s">
        <v>2272</v>
      </c>
      <c r="L941" s="4" t="s">
        <v>2272</v>
      </c>
      <c r="M941" s="4" t="s">
        <v>2272</v>
      </c>
      <c r="N941" s="4" t="s">
        <v>2272</v>
      </c>
      <c r="O941" s="4" t="s">
        <v>2272</v>
      </c>
      <c r="P941" s="4" t="s">
        <v>2272</v>
      </c>
      <c r="Q941" s="4" t="s">
        <v>2272</v>
      </c>
      <c r="R941" s="4" t="s">
        <v>2272</v>
      </c>
      <c r="S941" s="4" t="s">
        <v>2272</v>
      </c>
      <c r="T941" s="4" t="s">
        <v>2272</v>
      </c>
      <c r="U941" s="4" t="s">
        <v>2272</v>
      </c>
      <c r="V941" s="4" t="s">
        <v>2272</v>
      </c>
      <c r="W941" s="4" t="s">
        <v>10898</v>
      </c>
    </row>
    <row r="942" spans="1:23" ht="174" customHeight="1">
      <c r="A942" s="19" t="s">
        <v>10903</v>
      </c>
      <c r="B942" s="19" t="s">
        <v>10905</v>
      </c>
      <c r="C942" s="198" t="s">
        <v>23</v>
      </c>
      <c r="D942" s="198" t="s">
        <v>1102</v>
      </c>
      <c r="E942" s="198" t="s">
        <v>2272</v>
      </c>
      <c r="F942" s="198" t="s">
        <v>73</v>
      </c>
      <c r="G942" s="198"/>
      <c r="H942" s="4" t="s">
        <v>539</v>
      </c>
      <c r="I942" s="4" t="s">
        <v>2272</v>
      </c>
      <c r="J942" s="4" t="s">
        <v>2272</v>
      </c>
      <c r="K942" s="4" t="s">
        <v>2272</v>
      </c>
      <c r="L942" s="4" t="s">
        <v>2272</v>
      </c>
      <c r="M942" s="4" t="s">
        <v>2272</v>
      </c>
      <c r="N942" s="4" t="s">
        <v>2272</v>
      </c>
      <c r="O942" s="4" t="s">
        <v>2272</v>
      </c>
      <c r="P942" s="4" t="s">
        <v>2272</v>
      </c>
      <c r="Q942" s="4" t="s">
        <v>2272</v>
      </c>
      <c r="R942" s="198" t="s">
        <v>532</v>
      </c>
      <c r="S942" s="4" t="s">
        <v>2272</v>
      </c>
      <c r="T942" s="198" t="s">
        <v>532</v>
      </c>
      <c r="U942" s="4" t="s">
        <v>2272</v>
      </c>
      <c r="V942" s="198">
        <v>3</v>
      </c>
      <c r="W942" s="18" t="s">
        <v>10915</v>
      </c>
    </row>
    <row r="943" spans="1:23" ht="41.5" customHeight="1">
      <c r="A943" s="19" t="s">
        <v>11136</v>
      </c>
      <c r="B943" s="19" t="s">
        <v>11137</v>
      </c>
      <c r="C943" s="198" t="s">
        <v>23</v>
      </c>
      <c r="D943" s="198" t="s">
        <v>2272</v>
      </c>
      <c r="E943" s="198" t="s">
        <v>2272</v>
      </c>
      <c r="F943" s="198" t="s">
        <v>2272</v>
      </c>
      <c r="G943" s="198"/>
      <c r="H943" s="4" t="s">
        <v>539</v>
      </c>
      <c r="I943" s="4" t="s">
        <v>2272</v>
      </c>
      <c r="J943" s="4" t="s">
        <v>2272</v>
      </c>
      <c r="K943" s="4" t="s">
        <v>2272</v>
      </c>
      <c r="L943" s="4" t="s">
        <v>2272</v>
      </c>
      <c r="M943" s="4" t="s">
        <v>2272</v>
      </c>
      <c r="N943" s="4" t="s">
        <v>2272</v>
      </c>
      <c r="O943" s="4" t="s">
        <v>2272</v>
      </c>
      <c r="P943" s="4" t="s">
        <v>2272</v>
      </c>
      <c r="Q943" s="4" t="s">
        <v>2272</v>
      </c>
      <c r="R943" s="198" t="s">
        <v>532</v>
      </c>
      <c r="S943" s="4" t="s">
        <v>2272</v>
      </c>
      <c r="T943" s="4" t="s">
        <v>2272</v>
      </c>
      <c r="U943" s="4" t="s">
        <v>2272</v>
      </c>
      <c r="V943" s="198">
        <v>2</v>
      </c>
      <c r="W943" s="198"/>
    </row>
    <row r="944" spans="1:23" ht="41.5" customHeight="1">
      <c r="A944" s="19" t="s">
        <v>11143</v>
      </c>
      <c r="B944" s="19" t="s">
        <v>11144</v>
      </c>
      <c r="C944" s="198" t="s">
        <v>23</v>
      </c>
      <c r="D944" s="198" t="s">
        <v>2272</v>
      </c>
      <c r="E944" s="198" t="s">
        <v>2272</v>
      </c>
      <c r="F944" s="198" t="s">
        <v>2272</v>
      </c>
      <c r="G944" s="198"/>
      <c r="H944" s="4" t="s">
        <v>539</v>
      </c>
      <c r="I944" s="4" t="s">
        <v>2272</v>
      </c>
      <c r="J944" s="4" t="s">
        <v>2272</v>
      </c>
      <c r="K944" s="4" t="s">
        <v>2272</v>
      </c>
      <c r="L944" s="4" t="s">
        <v>2272</v>
      </c>
      <c r="M944" s="4" t="s">
        <v>2272</v>
      </c>
      <c r="N944" s="4" t="s">
        <v>2272</v>
      </c>
      <c r="O944" s="4" t="s">
        <v>2272</v>
      </c>
      <c r="P944" s="4" t="s">
        <v>2272</v>
      </c>
      <c r="Q944" s="4" t="s">
        <v>2272</v>
      </c>
      <c r="R944" s="198" t="s">
        <v>532</v>
      </c>
      <c r="S944" s="4" t="s">
        <v>2272</v>
      </c>
      <c r="T944" s="4" t="s">
        <v>2272</v>
      </c>
      <c r="U944" s="4" t="s">
        <v>2272</v>
      </c>
      <c r="V944" s="198">
        <v>4</v>
      </c>
      <c r="W944" s="4" t="s">
        <v>11150</v>
      </c>
    </row>
    <row r="945" spans="1:23" ht="61.5" customHeight="1">
      <c r="A945" s="19" t="s">
        <v>11192</v>
      </c>
      <c r="B945" s="19" t="s">
        <v>11196</v>
      </c>
      <c r="C945" s="198" t="s">
        <v>23</v>
      </c>
      <c r="D945" s="198" t="s">
        <v>1102</v>
      </c>
      <c r="E945" s="198" t="s">
        <v>1102</v>
      </c>
      <c r="F945" s="198" t="s">
        <v>2272</v>
      </c>
      <c r="G945" s="198"/>
      <c r="H945" s="4" t="s">
        <v>539</v>
      </c>
      <c r="I945" s="4" t="s">
        <v>2272</v>
      </c>
      <c r="J945" s="4" t="s">
        <v>2272</v>
      </c>
      <c r="K945" s="4" t="s">
        <v>2272</v>
      </c>
      <c r="L945" s="4" t="s">
        <v>2272</v>
      </c>
      <c r="M945" s="4" t="s">
        <v>2272</v>
      </c>
      <c r="N945" s="4" t="s">
        <v>2272</v>
      </c>
      <c r="O945" s="4" t="s">
        <v>2272</v>
      </c>
      <c r="P945" s="4" t="s">
        <v>2272</v>
      </c>
      <c r="Q945" s="4" t="s">
        <v>2272</v>
      </c>
      <c r="R945" s="198" t="s">
        <v>532</v>
      </c>
      <c r="S945" s="198" t="s">
        <v>532</v>
      </c>
      <c r="T945" s="198" t="s">
        <v>532</v>
      </c>
      <c r="U945" s="4" t="s">
        <v>2272</v>
      </c>
      <c r="V945" s="198">
        <v>1</v>
      </c>
      <c r="W945" s="4" t="s">
        <v>11207</v>
      </c>
    </row>
    <row r="946" spans="1:23" ht="61.5" customHeight="1">
      <c r="A946" s="19" t="s">
        <v>11193</v>
      </c>
      <c r="B946" s="19" t="s">
        <v>11198</v>
      </c>
      <c r="C946" s="198" t="s">
        <v>23</v>
      </c>
      <c r="D946" s="198" t="s">
        <v>1102</v>
      </c>
      <c r="E946" s="198" t="s">
        <v>1102</v>
      </c>
      <c r="F946" s="198" t="s">
        <v>2272</v>
      </c>
      <c r="G946" s="198"/>
      <c r="H946" s="4" t="s">
        <v>539</v>
      </c>
      <c r="I946" s="4" t="s">
        <v>2272</v>
      </c>
      <c r="J946" s="4" t="s">
        <v>2272</v>
      </c>
      <c r="K946" s="4" t="s">
        <v>2272</v>
      </c>
      <c r="L946" s="4" t="s">
        <v>2272</v>
      </c>
      <c r="M946" s="4" t="s">
        <v>2272</v>
      </c>
      <c r="N946" s="4" t="s">
        <v>2272</v>
      </c>
      <c r="O946" s="4" t="s">
        <v>2272</v>
      </c>
      <c r="P946" s="4" t="s">
        <v>2272</v>
      </c>
      <c r="Q946" s="4" t="s">
        <v>2272</v>
      </c>
      <c r="R946" s="198" t="s">
        <v>532</v>
      </c>
      <c r="S946" s="198" t="s">
        <v>532</v>
      </c>
      <c r="T946" s="198" t="s">
        <v>532</v>
      </c>
      <c r="U946" s="4" t="s">
        <v>2272</v>
      </c>
      <c r="V946" s="198">
        <v>1</v>
      </c>
      <c r="W946" s="4" t="s">
        <v>11207</v>
      </c>
    </row>
    <row r="947" spans="1:23" ht="46.5" customHeight="1">
      <c r="A947" s="19" t="s">
        <v>11192</v>
      </c>
      <c r="B947" s="19" t="s">
        <v>11197</v>
      </c>
      <c r="C947" s="198" t="s">
        <v>23</v>
      </c>
      <c r="D947" s="198" t="s">
        <v>1102</v>
      </c>
      <c r="E947" s="198" t="s">
        <v>1102</v>
      </c>
      <c r="F947" s="198" t="s">
        <v>2272</v>
      </c>
      <c r="G947" s="198"/>
      <c r="H947" s="4" t="s">
        <v>2668</v>
      </c>
      <c r="I947" s="4" t="s">
        <v>2272</v>
      </c>
      <c r="J947" s="4" t="s">
        <v>2272</v>
      </c>
      <c r="K947" s="4" t="s">
        <v>2272</v>
      </c>
      <c r="L947" s="4" t="s">
        <v>2272</v>
      </c>
      <c r="M947" s="4" t="s">
        <v>2272</v>
      </c>
      <c r="N947" s="4" t="s">
        <v>2272</v>
      </c>
      <c r="O947" s="4" t="s">
        <v>2272</v>
      </c>
      <c r="P947" s="4" t="s">
        <v>2272</v>
      </c>
      <c r="Q947" s="4" t="s">
        <v>2272</v>
      </c>
      <c r="R947" s="198" t="s">
        <v>535</v>
      </c>
      <c r="S947" s="198" t="s">
        <v>535</v>
      </c>
      <c r="T947" s="198" t="s">
        <v>535</v>
      </c>
      <c r="U947" s="198" t="s">
        <v>535</v>
      </c>
      <c r="V947" s="4" t="s">
        <v>2272</v>
      </c>
      <c r="W947" s="19" t="s">
        <v>11208</v>
      </c>
    </row>
    <row r="948" spans="1:23" ht="46.5" customHeight="1">
      <c r="A948" s="19" t="s">
        <v>11193</v>
      </c>
      <c r="B948" s="19" t="s">
        <v>11199</v>
      </c>
      <c r="C948" s="198" t="s">
        <v>23</v>
      </c>
      <c r="D948" s="198" t="s">
        <v>1102</v>
      </c>
      <c r="E948" s="198" t="s">
        <v>1102</v>
      </c>
      <c r="F948" s="198" t="s">
        <v>2272</v>
      </c>
      <c r="G948" s="198"/>
      <c r="H948" s="4" t="s">
        <v>2668</v>
      </c>
      <c r="I948" s="4" t="s">
        <v>2272</v>
      </c>
      <c r="J948" s="4" t="s">
        <v>2272</v>
      </c>
      <c r="K948" s="4" t="s">
        <v>2272</v>
      </c>
      <c r="L948" s="4" t="s">
        <v>2272</v>
      </c>
      <c r="M948" s="4" t="s">
        <v>2272</v>
      </c>
      <c r="N948" s="4" t="s">
        <v>2272</v>
      </c>
      <c r="O948" s="4" t="s">
        <v>2272</v>
      </c>
      <c r="P948" s="4" t="s">
        <v>2272</v>
      </c>
      <c r="Q948" s="4" t="s">
        <v>2272</v>
      </c>
      <c r="R948" s="198" t="s">
        <v>535</v>
      </c>
      <c r="S948" s="198" t="s">
        <v>535</v>
      </c>
      <c r="T948" s="198" t="s">
        <v>535</v>
      </c>
      <c r="U948" s="198" t="s">
        <v>535</v>
      </c>
      <c r="V948" s="4" t="s">
        <v>2272</v>
      </c>
      <c r="W948" s="19" t="s">
        <v>11208</v>
      </c>
    </row>
    <row r="949" spans="1:23" ht="43.5" customHeight="1">
      <c r="A949" s="19" t="s">
        <v>11210</v>
      </c>
      <c r="B949" s="19" t="s">
        <v>11212</v>
      </c>
      <c r="C949" s="198" t="s">
        <v>23</v>
      </c>
      <c r="D949" s="198" t="s">
        <v>1102</v>
      </c>
      <c r="E949" s="198" t="s">
        <v>1102</v>
      </c>
      <c r="F949" s="198" t="s">
        <v>73</v>
      </c>
      <c r="G949" s="198"/>
      <c r="H949" s="4" t="s">
        <v>539</v>
      </c>
      <c r="I949" s="4" t="s">
        <v>2272</v>
      </c>
      <c r="J949" s="4" t="s">
        <v>2272</v>
      </c>
      <c r="K949" s="4" t="s">
        <v>2272</v>
      </c>
      <c r="L949" s="4" t="s">
        <v>2272</v>
      </c>
      <c r="M949" s="4" t="s">
        <v>2272</v>
      </c>
      <c r="N949" s="4" t="s">
        <v>2272</v>
      </c>
      <c r="O949" s="4" t="s">
        <v>2272</v>
      </c>
      <c r="P949" s="4" t="s">
        <v>2272</v>
      </c>
      <c r="Q949" s="4" t="s">
        <v>2272</v>
      </c>
      <c r="R949" s="198" t="s">
        <v>532</v>
      </c>
      <c r="S949" s="198" t="s">
        <v>535</v>
      </c>
      <c r="T949" s="198" t="s">
        <v>532</v>
      </c>
      <c r="U949" s="198" t="s">
        <v>535</v>
      </c>
      <c r="V949" s="198">
        <v>5</v>
      </c>
      <c r="W949" s="4" t="s">
        <v>11216</v>
      </c>
    </row>
    <row r="950" spans="1:23" ht="46.5" customHeight="1">
      <c r="A950" s="19" t="s">
        <v>11210</v>
      </c>
      <c r="B950" s="19" t="s">
        <v>11213</v>
      </c>
      <c r="C950" s="198" t="s">
        <v>23</v>
      </c>
      <c r="D950" s="198" t="s">
        <v>1102</v>
      </c>
      <c r="E950" s="198" t="s">
        <v>1102</v>
      </c>
      <c r="F950" s="198" t="s">
        <v>1102</v>
      </c>
      <c r="G950" s="198"/>
      <c r="H950" s="4" t="s">
        <v>2668</v>
      </c>
      <c r="I950" s="4" t="s">
        <v>2272</v>
      </c>
      <c r="J950" s="4" t="s">
        <v>2272</v>
      </c>
      <c r="K950" s="4" t="s">
        <v>2272</v>
      </c>
      <c r="L950" s="4" t="s">
        <v>2272</v>
      </c>
      <c r="M950" s="198" t="s">
        <v>2723</v>
      </c>
      <c r="N950" s="4" t="s">
        <v>2272</v>
      </c>
      <c r="O950" s="4" t="s">
        <v>2272</v>
      </c>
      <c r="P950" s="4" t="s">
        <v>2272</v>
      </c>
      <c r="Q950" s="4" t="s">
        <v>2272</v>
      </c>
      <c r="R950" s="198" t="s">
        <v>535</v>
      </c>
      <c r="S950" s="198" t="s">
        <v>535</v>
      </c>
      <c r="T950" s="198" t="s">
        <v>535</v>
      </c>
      <c r="U950" s="198" t="s">
        <v>535</v>
      </c>
      <c r="V950" s="4" t="s">
        <v>2272</v>
      </c>
      <c r="W950" s="198" t="s">
        <v>11215</v>
      </c>
    </row>
    <row r="951" spans="1:23" ht="46.5" customHeight="1">
      <c r="A951" s="19" t="s">
        <v>11210</v>
      </c>
      <c r="B951" s="19" t="s">
        <v>11214</v>
      </c>
      <c r="C951" s="198" t="s">
        <v>23</v>
      </c>
      <c r="D951" s="198" t="s">
        <v>1241</v>
      </c>
      <c r="E951" s="198" t="s">
        <v>114</v>
      </c>
      <c r="F951" s="198" t="s">
        <v>73</v>
      </c>
      <c r="G951" s="198"/>
      <c r="H951" s="4" t="s">
        <v>539</v>
      </c>
      <c r="I951" s="4" t="s">
        <v>2272</v>
      </c>
      <c r="J951" s="4" t="s">
        <v>2272</v>
      </c>
      <c r="K951" s="4" t="s">
        <v>2272</v>
      </c>
      <c r="L951" s="4" t="s">
        <v>2272</v>
      </c>
      <c r="M951" s="4" t="s">
        <v>2272</v>
      </c>
      <c r="N951" s="4" t="s">
        <v>2272</v>
      </c>
      <c r="O951" s="4" t="s">
        <v>2272</v>
      </c>
      <c r="P951" s="4" t="s">
        <v>2272</v>
      </c>
      <c r="Q951" s="4" t="s">
        <v>2272</v>
      </c>
      <c r="R951" s="198" t="s">
        <v>535</v>
      </c>
      <c r="S951" s="198" t="s">
        <v>535</v>
      </c>
      <c r="T951" s="198" t="s">
        <v>535</v>
      </c>
      <c r="U951" s="198" t="s">
        <v>535</v>
      </c>
      <c r="V951" s="198" t="s">
        <v>535</v>
      </c>
      <c r="W951" s="4" t="s">
        <v>11219</v>
      </c>
    </row>
    <row r="952" spans="1:23" ht="46.5" customHeight="1">
      <c r="A952" s="19" t="s">
        <v>11210</v>
      </c>
      <c r="B952" s="19" t="s">
        <v>11217</v>
      </c>
      <c r="C952" s="198" t="s">
        <v>23</v>
      </c>
      <c r="D952" s="198" t="s">
        <v>404</v>
      </c>
      <c r="E952" s="198" t="s">
        <v>114</v>
      </c>
      <c r="F952" s="198" t="s">
        <v>73</v>
      </c>
      <c r="G952" s="198"/>
      <c r="H952" s="4" t="s">
        <v>539</v>
      </c>
      <c r="I952" s="4" t="s">
        <v>2272</v>
      </c>
      <c r="J952" s="4" t="s">
        <v>2272</v>
      </c>
      <c r="K952" s="4" t="s">
        <v>2272</v>
      </c>
      <c r="L952" s="4" t="s">
        <v>2272</v>
      </c>
      <c r="M952" s="4" t="s">
        <v>2272</v>
      </c>
      <c r="N952" s="4" t="s">
        <v>2272</v>
      </c>
      <c r="O952" s="4" t="s">
        <v>2272</v>
      </c>
      <c r="P952" s="4" t="s">
        <v>2272</v>
      </c>
      <c r="Q952" s="4" t="s">
        <v>2272</v>
      </c>
      <c r="R952" s="198" t="s">
        <v>535</v>
      </c>
      <c r="S952" s="198" t="s">
        <v>535</v>
      </c>
      <c r="T952" s="198" t="s">
        <v>535</v>
      </c>
      <c r="U952" s="198" t="s">
        <v>535</v>
      </c>
      <c r="V952" s="198" t="s">
        <v>535</v>
      </c>
      <c r="W952" s="4" t="s">
        <v>11219</v>
      </c>
    </row>
    <row r="953" spans="1:23" ht="46.5" customHeight="1">
      <c r="A953" s="19" t="s">
        <v>11210</v>
      </c>
      <c r="B953" s="19" t="s">
        <v>11218</v>
      </c>
      <c r="C953" s="198" t="s">
        <v>23</v>
      </c>
      <c r="D953" s="198" t="s">
        <v>3475</v>
      </c>
      <c r="E953" s="198" t="s">
        <v>114</v>
      </c>
      <c r="F953" s="198" t="s">
        <v>73</v>
      </c>
      <c r="G953" s="198"/>
      <c r="H953" s="4" t="s">
        <v>539</v>
      </c>
      <c r="I953" s="4" t="s">
        <v>2272</v>
      </c>
      <c r="J953" s="4" t="s">
        <v>2272</v>
      </c>
      <c r="K953" s="4" t="s">
        <v>2272</v>
      </c>
      <c r="L953" s="4" t="s">
        <v>2272</v>
      </c>
      <c r="M953" s="4" t="s">
        <v>2272</v>
      </c>
      <c r="N953" s="4" t="s">
        <v>2272</v>
      </c>
      <c r="O953" s="4" t="s">
        <v>2272</v>
      </c>
      <c r="P953" s="4" t="s">
        <v>2272</v>
      </c>
      <c r="Q953" s="4" t="s">
        <v>2272</v>
      </c>
      <c r="R953" s="198" t="s">
        <v>535</v>
      </c>
      <c r="S953" s="198" t="s">
        <v>535</v>
      </c>
      <c r="T953" s="198" t="s">
        <v>535</v>
      </c>
      <c r="U953" s="198" t="s">
        <v>535</v>
      </c>
      <c r="V953" s="198" t="s">
        <v>535</v>
      </c>
      <c r="W953" s="4" t="s">
        <v>11219</v>
      </c>
    </row>
    <row r="954" spans="1:23" ht="37" customHeight="1">
      <c r="A954" s="19" t="s">
        <v>11251</v>
      </c>
      <c r="B954" s="19" t="s">
        <v>11254</v>
      </c>
      <c r="C954" s="4" t="s">
        <v>23</v>
      </c>
      <c r="D954" s="4" t="s">
        <v>1241</v>
      </c>
      <c r="E954" s="4" t="s">
        <v>114</v>
      </c>
      <c r="F954" s="4" t="s">
        <v>2657</v>
      </c>
      <c r="G954" s="198"/>
      <c r="H954" s="4" t="s">
        <v>539</v>
      </c>
      <c r="I954" s="4" t="s">
        <v>2272</v>
      </c>
      <c r="J954" s="4" t="s">
        <v>2272</v>
      </c>
      <c r="K954" s="4" t="s">
        <v>2272</v>
      </c>
      <c r="L954" s="4" t="s">
        <v>2272</v>
      </c>
      <c r="M954" s="4" t="s">
        <v>2272</v>
      </c>
      <c r="N954" s="4" t="s">
        <v>2272</v>
      </c>
      <c r="O954" s="4" t="s">
        <v>2272</v>
      </c>
      <c r="P954" s="4" t="s">
        <v>2272</v>
      </c>
      <c r="Q954" s="4" t="s">
        <v>2272</v>
      </c>
      <c r="R954" s="198" t="s">
        <v>532</v>
      </c>
      <c r="S954" s="198" t="s">
        <v>2272</v>
      </c>
      <c r="T954" s="198" t="s">
        <v>2272</v>
      </c>
      <c r="U954" s="198" t="s">
        <v>2272</v>
      </c>
      <c r="V954" s="4">
        <v>3</v>
      </c>
      <c r="W954" s="4" t="s">
        <v>11280</v>
      </c>
    </row>
    <row r="955" spans="1:23" ht="37" customHeight="1">
      <c r="A955" s="4" t="s">
        <v>11251</v>
      </c>
      <c r="B955" s="19" t="s">
        <v>11255</v>
      </c>
      <c r="C955" s="4" t="s">
        <v>23</v>
      </c>
      <c r="D955" s="4" t="s">
        <v>24</v>
      </c>
      <c r="E955" s="4" t="s">
        <v>44</v>
      </c>
      <c r="F955" s="4" t="s">
        <v>54</v>
      </c>
      <c r="G955" s="198"/>
      <c r="H955" s="4" t="s">
        <v>539</v>
      </c>
      <c r="I955" s="4" t="s">
        <v>2272</v>
      </c>
      <c r="J955" s="4" t="s">
        <v>2272</v>
      </c>
      <c r="K955" s="4" t="s">
        <v>2272</v>
      </c>
      <c r="L955" s="4" t="s">
        <v>2272</v>
      </c>
      <c r="M955" s="4" t="s">
        <v>2272</v>
      </c>
      <c r="N955" s="4" t="s">
        <v>2272</v>
      </c>
      <c r="O955" s="4" t="s">
        <v>2272</v>
      </c>
      <c r="P955" s="4" t="s">
        <v>2272</v>
      </c>
      <c r="Q955" s="4" t="s">
        <v>2272</v>
      </c>
      <c r="R955" s="198" t="s">
        <v>532</v>
      </c>
      <c r="S955" s="198" t="s">
        <v>2272</v>
      </c>
      <c r="T955" s="198" t="s">
        <v>2272</v>
      </c>
      <c r="U955" s="198" t="s">
        <v>2272</v>
      </c>
      <c r="V955" s="4">
        <v>3</v>
      </c>
      <c r="W955" s="4" t="s">
        <v>11280</v>
      </c>
    </row>
    <row r="956" spans="1:23" ht="37" customHeight="1">
      <c r="A956" s="19" t="s">
        <v>11251</v>
      </c>
      <c r="B956" s="19" t="s">
        <v>11256</v>
      </c>
      <c r="C956" s="4" t="s">
        <v>23</v>
      </c>
      <c r="D956" s="4" t="s">
        <v>1102</v>
      </c>
      <c r="E956" s="4" t="s">
        <v>1102</v>
      </c>
      <c r="F956" s="4" t="s">
        <v>2657</v>
      </c>
      <c r="G956" s="198"/>
      <c r="H956" s="4" t="s">
        <v>1090</v>
      </c>
      <c r="I956" s="198" t="s">
        <v>2685</v>
      </c>
      <c r="J956" s="4" t="s">
        <v>2272</v>
      </c>
      <c r="K956" s="198" t="s">
        <v>532</v>
      </c>
      <c r="L956" s="4" t="s">
        <v>2272</v>
      </c>
      <c r="M956" s="4" t="s">
        <v>2272</v>
      </c>
      <c r="N956" s="4" t="s">
        <v>2272</v>
      </c>
      <c r="O956" s="4" t="s">
        <v>2272</v>
      </c>
      <c r="P956" s="4" t="s">
        <v>2272</v>
      </c>
      <c r="Q956" s="4" t="s">
        <v>2272</v>
      </c>
      <c r="R956" s="4" t="s">
        <v>2272</v>
      </c>
      <c r="S956" s="4" t="s">
        <v>2272</v>
      </c>
      <c r="T956" s="4" t="s">
        <v>2272</v>
      </c>
      <c r="U956" s="4" t="s">
        <v>2272</v>
      </c>
      <c r="V956" s="4" t="s">
        <v>2272</v>
      </c>
      <c r="W956" s="4" t="s">
        <v>11281</v>
      </c>
    </row>
    <row r="957" spans="1:23" ht="51" customHeight="1">
      <c r="A957" s="19" t="s">
        <v>11357</v>
      </c>
      <c r="B957" s="19" t="s">
        <v>11359</v>
      </c>
      <c r="C957" s="4" t="s">
        <v>23</v>
      </c>
      <c r="D957" s="4" t="s">
        <v>1238</v>
      </c>
      <c r="E957" s="4" t="s">
        <v>135</v>
      </c>
      <c r="F957" s="4" t="s">
        <v>2657</v>
      </c>
      <c r="G957" s="198"/>
      <c r="H957" s="4" t="s">
        <v>539</v>
      </c>
      <c r="I957" s="4" t="s">
        <v>2272</v>
      </c>
      <c r="J957" s="4" t="s">
        <v>2272</v>
      </c>
      <c r="K957" s="4" t="s">
        <v>2272</v>
      </c>
      <c r="L957" s="4" t="s">
        <v>2272</v>
      </c>
      <c r="M957" s="198" t="s">
        <v>2723</v>
      </c>
      <c r="N957" s="4" t="s">
        <v>2272</v>
      </c>
      <c r="O957" s="4" t="s">
        <v>2272</v>
      </c>
      <c r="P957" s="4" t="s">
        <v>2272</v>
      </c>
      <c r="Q957" s="198">
        <v>1</v>
      </c>
      <c r="R957" s="4" t="s">
        <v>2272</v>
      </c>
      <c r="S957" s="4" t="s">
        <v>2272</v>
      </c>
      <c r="T957" s="4" t="s">
        <v>2272</v>
      </c>
      <c r="U957" s="4" t="s">
        <v>2272</v>
      </c>
      <c r="V957" s="4" t="s">
        <v>2272</v>
      </c>
      <c r="W957" s="4" t="s">
        <v>11363</v>
      </c>
    </row>
    <row r="958" spans="1:23" ht="51" customHeight="1">
      <c r="A958" s="19" t="s">
        <v>11357</v>
      </c>
      <c r="B958" s="19" t="s">
        <v>11360</v>
      </c>
      <c r="C958" s="4" t="s">
        <v>23</v>
      </c>
      <c r="D958" s="4" t="s">
        <v>1238</v>
      </c>
      <c r="E958" s="4" t="s">
        <v>114</v>
      </c>
      <c r="F958" s="4" t="s">
        <v>2657</v>
      </c>
      <c r="G958" s="198"/>
      <c r="H958" s="4" t="s">
        <v>539</v>
      </c>
      <c r="I958" s="4" t="s">
        <v>2272</v>
      </c>
      <c r="J958" s="4" t="s">
        <v>2272</v>
      </c>
      <c r="K958" s="4" t="s">
        <v>2272</v>
      </c>
      <c r="L958" s="4" t="s">
        <v>2272</v>
      </c>
      <c r="M958" s="198" t="s">
        <v>2723</v>
      </c>
      <c r="N958" s="4" t="s">
        <v>2272</v>
      </c>
      <c r="O958" s="4" t="s">
        <v>2272</v>
      </c>
      <c r="P958" s="4" t="s">
        <v>2272</v>
      </c>
      <c r="Q958" s="198">
        <v>1</v>
      </c>
      <c r="R958" s="4" t="s">
        <v>2272</v>
      </c>
      <c r="S958" s="4" t="s">
        <v>2272</v>
      </c>
      <c r="T958" s="4" t="s">
        <v>2272</v>
      </c>
      <c r="U958" s="4" t="s">
        <v>2272</v>
      </c>
      <c r="V958" s="4" t="s">
        <v>2272</v>
      </c>
      <c r="W958" s="4" t="s">
        <v>11363</v>
      </c>
    </row>
    <row r="959" spans="1:23" ht="51" customHeight="1">
      <c r="A959" s="19" t="s">
        <v>11357</v>
      </c>
      <c r="B959" s="19" t="s">
        <v>11361</v>
      </c>
      <c r="C959" s="4" t="s">
        <v>23</v>
      </c>
      <c r="D959" s="4" t="s">
        <v>1238</v>
      </c>
      <c r="E959" s="4" t="s">
        <v>135</v>
      </c>
      <c r="F959" s="4" t="s">
        <v>2657</v>
      </c>
      <c r="G959" s="198"/>
      <c r="H959" s="4" t="s">
        <v>2668</v>
      </c>
      <c r="I959" s="4" t="s">
        <v>2272</v>
      </c>
      <c r="J959" s="4" t="s">
        <v>2272</v>
      </c>
      <c r="K959" s="4" t="s">
        <v>2272</v>
      </c>
      <c r="L959" s="4" t="s">
        <v>2272</v>
      </c>
      <c r="M959" s="198" t="s">
        <v>2723</v>
      </c>
      <c r="N959" s="4" t="s">
        <v>2272</v>
      </c>
      <c r="O959" s="4" t="s">
        <v>2272</v>
      </c>
      <c r="P959" s="4" t="s">
        <v>2272</v>
      </c>
      <c r="Q959" s="198">
        <v>1</v>
      </c>
      <c r="R959" s="4" t="s">
        <v>2272</v>
      </c>
      <c r="S959" s="4" t="s">
        <v>2272</v>
      </c>
      <c r="T959" s="4" t="s">
        <v>2272</v>
      </c>
      <c r="U959" s="4" t="s">
        <v>2272</v>
      </c>
      <c r="V959" s="4" t="s">
        <v>2272</v>
      </c>
      <c r="W959" s="4" t="s">
        <v>11363</v>
      </c>
    </row>
    <row r="960" spans="1:23" ht="51" customHeight="1">
      <c r="A960" s="19" t="s">
        <v>11357</v>
      </c>
      <c r="B960" s="19" t="s">
        <v>11362</v>
      </c>
      <c r="C960" s="4" t="s">
        <v>23</v>
      </c>
      <c r="D960" s="4" t="s">
        <v>1238</v>
      </c>
      <c r="E960" s="4" t="s">
        <v>114</v>
      </c>
      <c r="F960" s="4" t="s">
        <v>2657</v>
      </c>
      <c r="G960" s="198"/>
      <c r="H960" s="4" t="s">
        <v>2668</v>
      </c>
      <c r="I960" s="4" t="s">
        <v>2272</v>
      </c>
      <c r="J960" s="4" t="s">
        <v>2272</v>
      </c>
      <c r="K960" s="4" t="s">
        <v>2272</v>
      </c>
      <c r="L960" s="4" t="s">
        <v>2272</v>
      </c>
      <c r="M960" s="198" t="s">
        <v>2723</v>
      </c>
      <c r="N960" s="4" t="s">
        <v>2272</v>
      </c>
      <c r="O960" s="4" t="s">
        <v>2272</v>
      </c>
      <c r="P960" s="4" t="s">
        <v>2272</v>
      </c>
      <c r="Q960" s="198">
        <v>1</v>
      </c>
      <c r="R960" s="4" t="s">
        <v>2272</v>
      </c>
      <c r="S960" s="4" t="s">
        <v>2272</v>
      </c>
      <c r="T960" s="4" t="s">
        <v>2272</v>
      </c>
      <c r="U960" s="4" t="s">
        <v>2272</v>
      </c>
      <c r="V960" s="4" t="s">
        <v>2272</v>
      </c>
      <c r="W960" s="4" t="s">
        <v>11363</v>
      </c>
    </row>
    <row r="961" spans="1:23" ht="35.5" customHeight="1">
      <c r="A961" s="19" t="s">
        <v>11367</v>
      </c>
      <c r="B961" s="19" t="s">
        <v>11370</v>
      </c>
      <c r="C961" s="4" t="s">
        <v>23</v>
      </c>
      <c r="D961" s="198" t="s">
        <v>3475</v>
      </c>
      <c r="E961" s="4" t="s">
        <v>114</v>
      </c>
      <c r="F961" s="4" t="s">
        <v>2657</v>
      </c>
      <c r="G961" s="198"/>
      <c r="H961" s="4" t="s">
        <v>2668</v>
      </c>
      <c r="I961" s="4" t="s">
        <v>2272</v>
      </c>
      <c r="J961" s="4" t="s">
        <v>2272</v>
      </c>
      <c r="K961" s="4" t="s">
        <v>2272</v>
      </c>
      <c r="L961" s="4" t="s">
        <v>2272</v>
      </c>
      <c r="M961" s="198" t="s">
        <v>2723</v>
      </c>
      <c r="N961" s="4" t="s">
        <v>2272</v>
      </c>
      <c r="O961" s="4" t="s">
        <v>2272</v>
      </c>
      <c r="P961" s="198" t="s">
        <v>532</v>
      </c>
      <c r="Q961" s="198" t="s">
        <v>2272</v>
      </c>
      <c r="R961" s="4" t="s">
        <v>2272</v>
      </c>
      <c r="S961" s="4" t="s">
        <v>2272</v>
      </c>
      <c r="T961" s="4" t="s">
        <v>2272</v>
      </c>
      <c r="U961" s="4" t="s">
        <v>2272</v>
      </c>
      <c r="V961" s="4" t="s">
        <v>2272</v>
      </c>
      <c r="W961" s="4" t="s">
        <v>11377</v>
      </c>
    </row>
    <row r="962" spans="1:23" ht="35.5" customHeight="1">
      <c r="A962" s="19" t="s">
        <v>11367</v>
      </c>
      <c r="B962" s="19" t="s">
        <v>11370</v>
      </c>
      <c r="C962" s="4" t="s">
        <v>23</v>
      </c>
      <c r="D962" s="198" t="s">
        <v>25</v>
      </c>
      <c r="E962" s="4" t="s">
        <v>114</v>
      </c>
      <c r="F962" s="4" t="s">
        <v>2657</v>
      </c>
      <c r="G962" s="198"/>
      <c r="H962" s="4" t="s">
        <v>2668</v>
      </c>
      <c r="I962" s="4" t="s">
        <v>2272</v>
      </c>
      <c r="J962" s="4" t="s">
        <v>2272</v>
      </c>
      <c r="K962" s="4" t="s">
        <v>2272</v>
      </c>
      <c r="L962" s="4" t="s">
        <v>2272</v>
      </c>
      <c r="M962" s="198" t="s">
        <v>2723</v>
      </c>
      <c r="N962" s="4" t="s">
        <v>2272</v>
      </c>
      <c r="O962" s="4" t="s">
        <v>2272</v>
      </c>
      <c r="P962" s="198" t="s">
        <v>532</v>
      </c>
      <c r="Q962" s="198" t="s">
        <v>2272</v>
      </c>
      <c r="R962" s="4" t="s">
        <v>2272</v>
      </c>
      <c r="S962" s="4" t="s">
        <v>2272</v>
      </c>
      <c r="T962" s="4" t="s">
        <v>2272</v>
      </c>
      <c r="U962" s="4" t="s">
        <v>2272</v>
      </c>
      <c r="V962" s="4" t="s">
        <v>2272</v>
      </c>
      <c r="W962" s="4" t="s">
        <v>11377</v>
      </c>
    </row>
    <row r="963" spans="1:23" ht="52.5" customHeight="1">
      <c r="A963" s="19" t="s">
        <v>11431</v>
      </c>
      <c r="B963" s="19" t="s">
        <v>11433</v>
      </c>
      <c r="C963" s="4" t="s">
        <v>23</v>
      </c>
      <c r="D963" s="198" t="s">
        <v>4157</v>
      </c>
      <c r="E963" s="198" t="s">
        <v>860</v>
      </c>
      <c r="F963" s="198" t="s">
        <v>73</v>
      </c>
      <c r="G963" s="198"/>
      <c r="H963" s="4" t="s">
        <v>539</v>
      </c>
      <c r="I963" s="4" t="s">
        <v>2272</v>
      </c>
      <c r="J963" s="4" t="s">
        <v>2272</v>
      </c>
      <c r="K963" s="4" t="s">
        <v>2272</v>
      </c>
      <c r="L963" s="4" t="s">
        <v>2272</v>
      </c>
      <c r="M963" s="4" t="s">
        <v>2272</v>
      </c>
      <c r="N963" s="4" t="s">
        <v>2272</v>
      </c>
      <c r="O963" s="4" t="s">
        <v>2272</v>
      </c>
      <c r="P963" s="4" t="s">
        <v>2272</v>
      </c>
      <c r="Q963" s="4" t="s">
        <v>2272</v>
      </c>
      <c r="R963" s="198" t="s">
        <v>532</v>
      </c>
      <c r="S963" s="4" t="s">
        <v>2272</v>
      </c>
      <c r="T963" s="4" t="s">
        <v>2272</v>
      </c>
      <c r="U963" s="4" t="s">
        <v>2272</v>
      </c>
      <c r="V963" s="198">
        <v>1</v>
      </c>
      <c r="W963" s="4" t="s">
        <v>11450</v>
      </c>
    </row>
    <row r="964" spans="1:23" ht="52.5" customHeight="1">
      <c r="A964" s="19" t="s">
        <v>11435</v>
      </c>
      <c r="B964" s="19" t="s">
        <v>11436</v>
      </c>
      <c r="C964" s="4" t="s">
        <v>23</v>
      </c>
      <c r="D964" s="198" t="s">
        <v>4157</v>
      </c>
      <c r="E964" s="198" t="s">
        <v>860</v>
      </c>
      <c r="F964" s="198" t="s">
        <v>73</v>
      </c>
      <c r="G964" s="198"/>
      <c r="H964" s="4" t="s">
        <v>539</v>
      </c>
      <c r="I964" s="4" t="s">
        <v>2272</v>
      </c>
      <c r="J964" s="4" t="s">
        <v>2272</v>
      </c>
      <c r="K964" s="4" t="s">
        <v>2272</v>
      </c>
      <c r="L964" s="4" t="s">
        <v>2272</v>
      </c>
      <c r="M964" s="4" t="s">
        <v>2272</v>
      </c>
      <c r="N964" s="4" t="s">
        <v>2272</v>
      </c>
      <c r="O964" s="4" t="s">
        <v>2272</v>
      </c>
      <c r="P964" s="4" t="s">
        <v>2272</v>
      </c>
      <c r="Q964" s="4" t="s">
        <v>2272</v>
      </c>
      <c r="R964" s="198" t="s">
        <v>532</v>
      </c>
      <c r="S964" s="4" t="s">
        <v>2272</v>
      </c>
      <c r="T964" s="4" t="s">
        <v>2272</v>
      </c>
      <c r="U964" s="4" t="s">
        <v>2272</v>
      </c>
      <c r="V964" s="198">
        <v>1</v>
      </c>
      <c r="W964" s="4" t="s">
        <v>11450</v>
      </c>
    </row>
    <row r="965" spans="1:23" ht="52" customHeight="1">
      <c r="A965" s="19" t="s">
        <v>11489</v>
      </c>
      <c r="B965" s="19" t="s">
        <v>11493</v>
      </c>
      <c r="C965" s="198" t="s">
        <v>23</v>
      </c>
      <c r="D965" s="198" t="s">
        <v>1102</v>
      </c>
      <c r="E965" s="198" t="s">
        <v>1102</v>
      </c>
      <c r="F965" s="4" t="s">
        <v>2657</v>
      </c>
      <c r="G965" s="198">
        <v>2002</v>
      </c>
      <c r="H965" s="4" t="s">
        <v>539</v>
      </c>
      <c r="I965" s="4" t="s">
        <v>2272</v>
      </c>
      <c r="J965" s="4" t="s">
        <v>2272</v>
      </c>
      <c r="K965" s="4" t="s">
        <v>2272</v>
      </c>
      <c r="L965" s="4" t="s">
        <v>2272</v>
      </c>
      <c r="M965" s="4" t="s">
        <v>2272</v>
      </c>
      <c r="N965" s="4" t="s">
        <v>2272</v>
      </c>
      <c r="O965" s="4" t="s">
        <v>2272</v>
      </c>
      <c r="P965" s="4" t="s">
        <v>2272</v>
      </c>
      <c r="Q965" s="4" t="s">
        <v>2272</v>
      </c>
      <c r="R965" s="198" t="s">
        <v>532</v>
      </c>
      <c r="S965" s="4" t="s">
        <v>2272</v>
      </c>
      <c r="T965" s="198" t="s">
        <v>532</v>
      </c>
      <c r="U965" s="4" t="s">
        <v>2272</v>
      </c>
      <c r="V965" s="198">
        <v>3</v>
      </c>
      <c r="W965" s="4" t="s">
        <v>11505</v>
      </c>
    </row>
    <row r="966" spans="1:23" ht="45.5" customHeight="1">
      <c r="A966" s="19" t="s">
        <v>11489</v>
      </c>
      <c r="B966" s="19" t="s">
        <v>11495</v>
      </c>
      <c r="C966" s="198" t="s">
        <v>23</v>
      </c>
      <c r="D966" s="198" t="s">
        <v>1102</v>
      </c>
      <c r="E966" s="198" t="s">
        <v>1102</v>
      </c>
      <c r="F966" s="4" t="s">
        <v>2657</v>
      </c>
      <c r="G966" s="198">
        <v>2018</v>
      </c>
      <c r="H966" s="4" t="s">
        <v>539</v>
      </c>
      <c r="I966" s="4" t="s">
        <v>2272</v>
      </c>
      <c r="J966" s="4" t="s">
        <v>2272</v>
      </c>
      <c r="K966" s="4" t="s">
        <v>2272</v>
      </c>
      <c r="L966" s="4" t="s">
        <v>2272</v>
      </c>
      <c r="M966" s="4" t="s">
        <v>2272</v>
      </c>
      <c r="N966" s="4" t="s">
        <v>2272</v>
      </c>
      <c r="O966" s="4" t="s">
        <v>2272</v>
      </c>
      <c r="P966" s="4" t="s">
        <v>2272</v>
      </c>
      <c r="Q966" s="4" t="s">
        <v>2272</v>
      </c>
      <c r="R966" s="198" t="s">
        <v>532</v>
      </c>
      <c r="S966" s="4" t="s">
        <v>2272</v>
      </c>
      <c r="T966" s="198" t="s">
        <v>532</v>
      </c>
      <c r="U966" s="4" t="s">
        <v>2272</v>
      </c>
      <c r="V966" s="198">
        <v>1</v>
      </c>
      <c r="W966" s="19" t="s">
        <v>11508</v>
      </c>
    </row>
    <row r="967" spans="1:23" ht="65.5" customHeight="1"/>
  </sheetData>
  <autoFilter ref="A1:A798"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839" yWindow="485"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52:B758 A680:A684 A718:B719 A606:A678 A726:B728 B636:B637 A752:A776 B803:B805 A799:A818 B827:B829 B833:B838 A827:A847 A863:A868 B882:B883 B887 B942:B956 B963:B964 A968:A1048576 A926:A966 B904:B907 A878:A921"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20:B721 B634:B635 B759:B776 B799:B802 B807:B818 B830:B832 B839:B847 B863:B868 B878:B881 B884:B886 B888:B903 B926:B941 B957:B962 B968:B1048576 B965:B966 B905:B921"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22:B725 A729:B751 A869:B874 A777:B798 A703:A717" xr:uid="{9B49D527-4568-45EF-ACB7-88D850410F7C}"/>
    <dataValidation allowBlank="1" showInputMessage="1" showErrorMessage="1" prompt="Case study ID + .1, .2 etc for each direct fire creation PCB associated with the case study" sqref="B373:B381 B468:B471 B527:B530 B545:B546 B557:B560 B579:B580 B602:B605 B630 B632:B633 B806 B685:B717" xr:uid="{7687EF30-3597-4A79-9EE7-28C1CA362F13}"/>
    <dataValidation type="whole" allowBlank="1" showInputMessage="1" showErrorMessage="1" prompt="Blank if refers to all study years" sqref="G1:G526 G606:G617 G531:G601 G631:G719 G968:G1048576 G722:G966" xr:uid="{A7CD2C9D-7B72-4BC4-B631-CD1DBB9E2AB6}">
      <formula1>1900</formula1>
      <formula2>2020</formula2>
    </dataValidation>
    <dataValidation allowBlank="1" showInputMessage="1" showErrorMessage="1" prompt="The same as Case study ID in Record Info_x000a_" sqref="A532:A536 A819:B826 A922:B925 A848:B862 A875:B877 A685:A702"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9" yWindow="485"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R759:V760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N759:P760 V762:V770 K762:K766 R761:U763 L764:U766 K767:U770 J762:J770 R773:V774 R771:U772 O773:O774 J780:L780 J785:L785 N545:V546 J545:L546 O792:O793 U801:U802 J811 T807 R806:R808 P809:P810 K812 O809:O811 N813 P813 K814:K815 T818 R818:R826 S829:U829 J829:K829 S837:U837 R829:R830 P831:P832 N831:N832 K831 P839 R833:R840 S839:U840 K842 P841 R843:R844 R859:V862 O847:O858 P859:P862 O865:P865 P868 R869:R876 U869:U876 S875:T876 L876:L877 J876:J877 R878:R883 J884 L885:L886 P885:P886 J887:K887 R888 O894:O895 J900 R897:R900 K790:K791 S775:U793 V776:V793 R775:R802 S795:V796 R902:R905 J968:L1048576 J909:K910 O911 J912 O913 P914 U928 R926:R928 T926:T928 S928 K929 R929:U929 R968:U1048576 K932 T933 R933 J934:J941 T942 S945:T946 S951:V953 S947:U950 R942:R955 S954:U955 K956 P961:P962 N968:P1048576 R963:R966 T965:T966 T904:T905</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Q759:Q760 V761 V771:V772 V775 Q773:Q776 V800:V802 Q803:Q805 V806:V807 Q809:Q811 Q813 Q816:Q817 V818 V823:V826 V830 Q831:Q832 V833:V836 V838 Q839:Q840 V843:V844 Q847:Q862 Q868 V869:V876 Q882 V878:V883 Q885:Q886 V888 V897:V899 V794 Q795 V797 Q703:Q717 Q905 Q911 Q913:Q916 Q918 Q930:Q931 V933 V942:V946 V949 V954:V955 Q957:Q962 V963:V966 V968:V1048576 Q968:Q1048576 V901:V905</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M759:M760 M762:M763 M545:M547 M803:M805 M809:M811 M813 M816:M817 M819:M822 M827:M828 M831:M832 N840:P840 M839:M841 M847:M866 M868 M882 M885:M886 R889:U889 M889:P889 M894:M896 M773:M789 M792:M793 M795 M911 M913:M916 M918 M920:M925 M930:M931 M950 M703:M717 M957:M962 M968:M1048576 M905</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C807:D808 E807 E809:E811 E813 D813:D815 C812:C847 C868:C880 C882:C883 C763:C802 D908:D910 C703:C717 C968:C1048576 C918:C966 C888:C916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F759:F770 F812:F817 F819:F832 F837:F847 F866:F867 F880 F882 F884:F888 F773:F806 F921 F926:F929 F932:F942 F949 F968:F1048576 F951:F966 F899:F918</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J760:L760 I759:L759 N762:Q763 J761:Q761 L762:L763 J771:Q772 J773:L779 J781:L784 I545:I546 S800:U800 S798:V799 S801:T802 R803:V805 Q806:Q808 S806:U806 V808:V817 S807:S828 U807:U828 T808:T817 J806:M808 J812 J809:L810 R809:R817 K811:L811 P811:P812 I813:L813 L812:M812 Q812 O812:O839 P814:Q815 J814:J828 L814:N815 P816:P830 K816:L817 N816:N830 Q818:Q830 K818:M818 V819:V822 K819:L822 T819:T828 K823:M826 S830:U830 K827:L828 R827:R828 V827:V829 L829:M829 R831:V832 J830:M830 J831:J844 K832:K841 V837 S833:U836 S838:U838 P833:Q838 M833:N838 Q841:V841 N839 M843:Q846 N841:O841 V839:V840 M842:V842 S843:U844 L831:L844 K843:K844 N847:N876 P847:P858 R845:V858 O859:O864 P863:V864 Q865:V865 I867:M867 R868:V868 I814:I866 J845:L866 O866:V867 O868:O876 K875:K886 I868:L874 M869:M876 S869:T874 M877:V877 J875 L875 P869:Q876 J878:J883 L878:Q881 M884:V884 L887:V887 M883:Q883 N882:P882 S878:U883 L882:L884 J885:J886 N885:O886 R885:V886 S888:U888 J888:Q888 V889:V896 M890:P893 R890:U896 N905:P905 S897:U900 V900 J889:J899 K889:L900 S902:U903 R901:U901 O775:O791 K786:K789 M790:M791 S794:U794 M794 Q777:Q794 O794:O808 I760:I812 L786:L805 J786:J805 K792:K805 P773:P808 N773:N812 M796:M802 Q796:Q802 S797:U797 M926:M929 L909:L930 Q912 J911:K911 K912:K928 M912 O912 J913:J930 P915:P930 O914:O930 Q917 M917 Q919:Q929 M919 R905:V905 U933:U946 J931:L931 N931:P931 R931:V931 K930 R930:U930 J932:J933 L932:V932 S933:S944 K933:Q933 K934:R941 T934:T941 V934:V941 T943:T944 V947:V948 J942:Q948 V950 J949:L950 M949:Q949 N950:Q950 L956:V956 J951:Q955 N957:P960 R957:V962 K957:L962 N961:O962 S963:U964 K963:Q966 I968:I1048576 U965:U966 S965:S966 J956:J966 J901:L908 I875:I966 M897:M910 N894:N930 P894:P913 O896:O910 U904:U927 S904:S927 Q889:Q910 R906:R925 V906:V930 T906:T925</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C803:C806 C809:C811 C848:C867</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F771:F772 F545:F546 F807:F811 F818 F833:F836 F848:F865 F868:F879 F881 F883 F889:F898 F931 F703:F717</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E759:E761 D764:D767 E764:E770 E773:E776 D545:E556 E722:E723 E726 E801:E802 E812 E816:E817 E819:E822 E829:E832 E837:E847 E866:E867 E869:E880 E884:E885 E890:E893 D794 D796:D797 E787:E797 F919:F920 E919:E921 E929 E932 F943:F948 D943:D944 E934:E944 E951:E955 E957:E964 E968:E1048576 E904:E914</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E759:E761 E764:E770 E773:E776 E545 E722:E723 E726 D546 D809:D812 E812 D816:E817 D818 D819:E832 D833:D836 D837:E847 E866:E867 C881 C884:C887 E869:E885 E787:E802 D757:D806 C917 F919:F920 F922:F925 F930 F943:F948 F950 D703:D717 D911:D966 D968:E1048576 E932:E966 D848:D907 E887:E930</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H759:H760 H1:H678 H703:H717 H968:H1048576 H764:H966</xm:sqref>
        </x14:dataValidation>
        <x14:dataValidation type="list" allowBlank="1" showInputMessage="1" showErrorMessage="1" xr:uid="{D1FCC99B-F560-425B-BFB0-C7277F7F06BE}">
          <x14:formula1>
            <xm:f>'IGNORE Lookups'!$C$23:$C$45</xm:f>
          </x14:formula1>
          <xm:sqref>E625:E629 E632:E633 E637 E639 E641 E643:E678 E762:E763 E771:E772 E777:E786 E803:E806 E808 E814:E815 E818 E833:E836 E848:E865 E868 E886 E931 E703:E717</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H722:L728 I729:L756 D722:D723 D725:D756 N720:Q728 R724:V728 S720:V723 R756:S758 O731:Q752 P753:V753 O754:Q758 R752:V752 O730:V730 T729:V729 T731:V751 T754:V758 R732:S732 R734:S735 R737:S738 R740:S740 R742:S742 R744:S744 R746:S746 R748:S748 R750:S750 K757:N757 L758:N758 M754:N755 M751:N751 M749:N749 M747:N747 M745:N745 M743:N743 M741:N741 M739:N739 M736:N736 M733:N733 M729:Q729 C718:F719 M679:M702 C679:F702 Q718:Q719 Q679:Q702 I679:L721 N679:P719 R679:V719</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F723 C726:C762 F756 E757:F758 E727:E756 R722:R723 O753 R729:S729 R751:S751 R754:S755 R731:S731 R733:S733 R736:S736 R739:S739 R741:S741 R743:S743 R745:S745 R747:S747 R749:S749 K758 I757:J758 M756:N756 M752:N753 M750:N750 M748:N748 M746:N746 M744:N744 M742:N742 M740:N740 M737:N738 M734:N735 M721:M728 M730:N732 M718:M719</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H761:H763 H729:H758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C720:F721 F724:F755 R720:R721 M720</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H720:H721</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E724:E725 E727:E752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C722:C725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H679:H702 H718:H719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zoomScale="55" zoomScaleNormal="55" workbookViewId="0">
      <selection activeCell="C47" sqref="C47"/>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0" t="s">
        <v>2638</v>
      </c>
      <c r="B1" s="111"/>
      <c r="C1" s="112"/>
      <c r="E1" s="110" t="s">
        <v>2659</v>
      </c>
      <c r="F1" s="111"/>
      <c r="G1" s="111"/>
      <c r="H1" s="111"/>
      <c r="I1" s="111"/>
      <c r="J1" s="112"/>
      <c r="L1" s="110" t="s">
        <v>2660</v>
      </c>
      <c r="M1" s="111"/>
      <c r="N1" s="111" t="s">
        <v>2662</v>
      </c>
      <c r="O1" s="111"/>
      <c r="P1" s="112"/>
    </row>
    <row r="2" spans="1:16" ht="34" customHeight="1">
      <c r="A2" s="113" t="s">
        <v>95</v>
      </c>
      <c r="B2" s="114" t="s">
        <v>2630</v>
      </c>
      <c r="C2" s="115" t="s">
        <v>2635</v>
      </c>
      <c r="E2" s="131" t="s">
        <v>6</v>
      </c>
      <c r="F2" s="114" t="s">
        <v>7</v>
      </c>
      <c r="G2" s="114" t="s">
        <v>117</v>
      </c>
      <c r="H2" s="114" t="s">
        <v>521</v>
      </c>
      <c r="I2" s="114" t="s">
        <v>397</v>
      </c>
      <c r="J2" s="115" t="s">
        <v>2649</v>
      </c>
      <c r="L2" s="138" t="s">
        <v>2661</v>
      </c>
      <c r="M2" s="117"/>
      <c r="N2" s="126" t="s">
        <v>2661</v>
      </c>
      <c r="O2" s="117"/>
      <c r="P2" s="118" t="s">
        <v>2663</v>
      </c>
    </row>
    <row r="3" spans="1:16">
      <c r="A3" s="116" t="s">
        <v>2393</v>
      </c>
      <c r="B3" s="117" t="s">
        <v>2394</v>
      </c>
      <c r="C3" s="118" t="s">
        <v>66</v>
      </c>
      <c r="E3" s="116" t="s">
        <v>23</v>
      </c>
      <c r="F3" s="117" t="s">
        <v>26</v>
      </c>
      <c r="G3" s="132" t="s">
        <v>73</v>
      </c>
      <c r="H3" s="117" t="s">
        <v>522</v>
      </c>
      <c r="I3" s="117" t="s">
        <v>186</v>
      </c>
      <c r="J3" s="118" t="s">
        <v>63</v>
      </c>
      <c r="L3" s="124">
        <v>0</v>
      </c>
      <c r="M3" s="117"/>
      <c r="N3" s="117" t="s">
        <v>532</v>
      </c>
      <c r="O3" s="117">
        <v>1</v>
      </c>
      <c r="P3" s="129" t="s">
        <v>2664</v>
      </c>
    </row>
    <row r="4" spans="1:16">
      <c r="A4" s="116" t="s">
        <v>2411</v>
      </c>
      <c r="B4" s="117" t="s">
        <v>2400</v>
      </c>
      <c r="C4" s="118" t="s">
        <v>2636</v>
      </c>
      <c r="E4" s="116" t="s">
        <v>30</v>
      </c>
      <c r="F4" s="117" t="s">
        <v>2654</v>
      </c>
      <c r="G4" s="132" t="s">
        <v>54</v>
      </c>
      <c r="H4" s="117"/>
      <c r="I4" s="117" t="s">
        <v>187</v>
      </c>
      <c r="J4" s="118" t="s">
        <v>75</v>
      </c>
      <c r="L4" s="124">
        <v>1</v>
      </c>
      <c r="M4" s="117"/>
      <c r="N4" s="117" t="s">
        <v>535</v>
      </c>
      <c r="O4" s="117">
        <v>2</v>
      </c>
      <c r="P4" s="129" t="s">
        <v>2665</v>
      </c>
    </row>
    <row r="5" spans="1:16" ht="29">
      <c r="A5" s="116" t="s">
        <v>2628</v>
      </c>
      <c r="B5" s="117" t="s">
        <v>2631</v>
      </c>
      <c r="C5" s="118" t="s">
        <v>2637</v>
      </c>
      <c r="E5" s="116" t="s">
        <v>2453</v>
      </c>
      <c r="F5" s="117" t="s">
        <v>24</v>
      </c>
      <c r="G5" s="132" t="s">
        <v>2657</v>
      </c>
      <c r="H5" s="117"/>
      <c r="I5" s="117" t="s">
        <v>37</v>
      </c>
      <c r="J5" s="118" t="s">
        <v>2650</v>
      </c>
      <c r="L5" s="124">
        <v>2</v>
      </c>
      <c r="M5" s="117"/>
      <c r="N5" s="117" t="s">
        <v>2272</v>
      </c>
      <c r="O5" s="117">
        <v>3</v>
      </c>
      <c r="P5" s="129" t="s">
        <v>2666</v>
      </c>
    </row>
    <row r="6" spans="1:16">
      <c r="A6" s="116" t="s">
        <v>2629</v>
      </c>
      <c r="B6" s="125" t="s">
        <v>4842</v>
      </c>
      <c r="C6" s="118" t="s">
        <v>147</v>
      </c>
      <c r="E6" s="116" t="s">
        <v>2651</v>
      </c>
      <c r="F6" s="117" t="s">
        <v>25</v>
      </c>
      <c r="G6" s="132" t="s">
        <v>27</v>
      </c>
      <c r="H6" s="117"/>
      <c r="I6" s="117" t="s">
        <v>84</v>
      </c>
      <c r="J6" s="118" t="s">
        <v>2308</v>
      </c>
      <c r="L6" s="124">
        <v>3</v>
      </c>
      <c r="M6" s="117"/>
      <c r="N6" s="117"/>
      <c r="O6" s="117">
        <v>4</v>
      </c>
      <c r="P6" s="118" t="s">
        <v>2723</v>
      </c>
    </row>
    <row r="7" spans="1:16">
      <c r="A7" s="116"/>
      <c r="B7" s="117" t="s">
        <v>2395</v>
      </c>
      <c r="C7" s="118"/>
      <c r="E7" s="116" t="s">
        <v>2652</v>
      </c>
      <c r="F7" s="117" t="s">
        <v>1238</v>
      </c>
      <c r="G7" s="132" t="s">
        <v>28</v>
      </c>
      <c r="H7" s="117"/>
      <c r="I7" s="117" t="s">
        <v>33</v>
      </c>
      <c r="J7" s="118" t="s">
        <v>2272</v>
      </c>
      <c r="L7" s="124" t="s">
        <v>2272</v>
      </c>
      <c r="M7" s="117"/>
      <c r="N7" s="117"/>
      <c r="O7" s="117">
        <v>5</v>
      </c>
      <c r="P7" s="118" t="s">
        <v>535</v>
      </c>
    </row>
    <row r="8" spans="1:16">
      <c r="A8" s="116"/>
      <c r="B8" s="117" t="s">
        <v>2417</v>
      </c>
      <c r="C8" s="118"/>
      <c r="E8" s="116" t="s">
        <v>2653</v>
      </c>
      <c r="F8" s="117" t="s">
        <v>2342</v>
      </c>
      <c r="G8" s="132" t="s">
        <v>158</v>
      </c>
      <c r="H8" s="117"/>
      <c r="I8" s="117" t="s">
        <v>402</v>
      </c>
      <c r="J8" s="118"/>
      <c r="L8" s="116"/>
      <c r="M8" s="117"/>
      <c r="N8" s="117"/>
      <c r="O8" s="117" t="s">
        <v>2272</v>
      </c>
      <c r="P8" s="118" t="s">
        <v>2272</v>
      </c>
    </row>
    <row r="9" spans="1:16">
      <c r="A9" s="116"/>
      <c r="B9" s="117" t="s">
        <v>2632</v>
      </c>
      <c r="C9" s="118"/>
      <c r="E9" s="116" t="s">
        <v>1102</v>
      </c>
      <c r="F9" s="130" t="s">
        <v>2337</v>
      </c>
      <c r="G9" s="132" t="s">
        <v>2658</v>
      </c>
      <c r="H9" s="117"/>
      <c r="I9" s="117" t="s">
        <v>403</v>
      </c>
      <c r="J9" s="118"/>
      <c r="L9" s="116"/>
      <c r="M9" s="117"/>
      <c r="N9" s="117"/>
      <c r="O9" s="117"/>
      <c r="P9" s="118"/>
    </row>
    <row r="10" spans="1:16">
      <c r="A10" s="116"/>
      <c r="B10" s="117" t="s">
        <v>2415</v>
      </c>
      <c r="C10" s="118"/>
      <c r="E10" s="116"/>
      <c r="F10" s="130" t="s">
        <v>1241</v>
      </c>
      <c r="G10" s="132" t="s">
        <v>2272</v>
      </c>
      <c r="H10" s="117"/>
      <c r="I10" s="117" t="s">
        <v>423</v>
      </c>
      <c r="J10" s="118"/>
      <c r="L10" s="116"/>
      <c r="M10" s="135" t="s">
        <v>603</v>
      </c>
      <c r="N10" s="114" t="s">
        <v>2667</v>
      </c>
      <c r="O10" s="117"/>
      <c r="P10" s="118"/>
    </row>
    <row r="11" spans="1:16" ht="29">
      <c r="A11" s="116"/>
      <c r="B11" s="117" t="s">
        <v>2633</v>
      </c>
      <c r="C11" s="118"/>
      <c r="E11" s="116"/>
      <c r="F11" s="130" t="s">
        <v>1128</v>
      </c>
      <c r="G11" s="140" t="s">
        <v>1102</v>
      </c>
      <c r="H11" s="117"/>
      <c r="I11" s="117" t="s">
        <v>67</v>
      </c>
      <c r="J11" s="118"/>
      <c r="L11" s="116"/>
      <c r="M11" s="132" t="s">
        <v>2685</v>
      </c>
      <c r="N11" s="132" t="s">
        <v>539</v>
      </c>
      <c r="O11" s="117"/>
      <c r="P11" s="118"/>
    </row>
    <row r="12" spans="1:16" ht="29">
      <c r="A12" s="116"/>
      <c r="B12" s="117" t="s">
        <v>2634</v>
      </c>
      <c r="C12" s="118"/>
      <c r="E12" s="116"/>
      <c r="F12" s="130" t="s">
        <v>404</v>
      </c>
      <c r="G12" s="117"/>
      <c r="H12" s="117"/>
      <c r="I12" s="117" t="s">
        <v>34</v>
      </c>
      <c r="J12" s="118"/>
      <c r="L12" s="116"/>
      <c r="M12" s="132" t="s">
        <v>2686</v>
      </c>
      <c r="N12" s="117" t="s">
        <v>2668</v>
      </c>
      <c r="O12" s="117"/>
      <c r="P12" s="118"/>
    </row>
    <row r="13" spans="1:16">
      <c r="A13" s="116"/>
      <c r="B13" s="117" t="s">
        <v>3660</v>
      </c>
      <c r="C13" s="118"/>
      <c r="E13" s="116"/>
      <c r="F13" s="130" t="s">
        <v>142</v>
      </c>
      <c r="G13" s="117"/>
      <c r="H13" s="117"/>
      <c r="I13" s="117" t="s">
        <v>125</v>
      </c>
      <c r="J13" s="118"/>
      <c r="L13" s="116"/>
      <c r="M13" s="125" t="s">
        <v>535</v>
      </c>
      <c r="N13" s="117" t="s">
        <v>1090</v>
      </c>
      <c r="O13" s="117"/>
      <c r="P13" s="118"/>
    </row>
    <row r="14" spans="1:16" ht="15" thickBot="1">
      <c r="A14" s="119"/>
      <c r="B14" s="120" t="s">
        <v>2409</v>
      </c>
      <c r="C14" s="121"/>
      <c r="E14" s="116"/>
      <c r="F14" s="130" t="s">
        <v>141</v>
      </c>
      <c r="G14" s="117"/>
      <c r="H14" s="117"/>
      <c r="I14" s="117" t="s">
        <v>2272</v>
      </c>
      <c r="J14" s="118"/>
      <c r="L14" s="116"/>
      <c r="M14" s="125" t="s">
        <v>2272</v>
      </c>
      <c r="N14" s="117" t="s">
        <v>2669</v>
      </c>
      <c r="O14" s="117"/>
      <c r="P14" s="118"/>
    </row>
    <row r="15" spans="1:16">
      <c r="A15" s="117"/>
      <c r="B15" s="125" t="s">
        <v>6791</v>
      </c>
      <c r="C15" s="117"/>
      <c r="E15" s="116"/>
      <c r="F15" s="130" t="s">
        <v>2227</v>
      </c>
      <c r="G15" s="117"/>
      <c r="H15" s="117"/>
      <c r="I15" s="117"/>
      <c r="J15" s="118"/>
      <c r="L15" s="116"/>
      <c r="M15" s="117"/>
      <c r="N15" s="117" t="s">
        <v>2670</v>
      </c>
      <c r="O15" s="117"/>
      <c r="P15" s="118"/>
    </row>
    <row r="16" spans="1:16" ht="15" thickBot="1">
      <c r="A16" s="117"/>
      <c r="B16" s="117"/>
      <c r="C16" s="117"/>
      <c r="E16" s="116"/>
      <c r="F16" s="130" t="s">
        <v>31</v>
      </c>
      <c r="G16" s="117"/>
      <c r="H16" s="117"/>
      <c r="I16" s="117"/>
      <c r="J16" s="118"/>
      <c r="L16" s="119"/>
      <c r="M16" s="120"/>
      <c r="N16" s="120" t="s">
        <v>2272</v>
      </c>
      <c r="O16" s="120"/>
      <c r="P16" s="121"/>
    </row>
    <row r="17" spans="1:14">
      <c r="A17" s="117"/>
      <c r="B17" s="117"/>
      <c r="C17" s="117"/>
      <c r="E17" s="116"/>
      <c r="F17" s="130" t="s">
        <v>2280</v>
      </c>
      <c r="G17" s="117"/>
      <c r="H17" s="117"/>
      <c r="I17" s="117"/>
      <c r="J17" s="133"/>
      <c r="N17" s="125" t="s">
        <v>2718</v>
      </c>
    </row>
    <row r="18" spans="1:14">
      <c r="A18" s="117"/>
      <c r="B18" s="117"/>
      <c r="C18" s="117"/>
      <c r="E18" s="116"/>
      <c r="F18" s="130" t="s">
        <v>29</v>
      </c>
      <c r="G18" s="117"/>
      <c r="H18" s="117"/>
      <c r="I18" s="117"/>
      <c r="J18" s="118"/>
      <c r="N18" s="125" t="s">
        <v>4072</v>
      </c>
    </row>
    <row r="19" spans="1:14">
      <c r="A19" s="117"/>
      <c r="B19" s="117"/>
      <c r="C19" s="117"/>
      <c r="E19" s="116"/>
      <c r="F19" s="130" t="s">
        <v>2301</v>
      </c>
      <c r="G19" s="117"/>
      <c r="H19" s="117"/>
      <c r="I19" s="117"/>
      <c r="J19" s="118"/>
    </row>
    <row r="20" spans="1:14" ht="15" thickBot="1">
      <c r="A20" s="117"/>
      <c r="B20" s="117"/>
      <c r="C20" s="117"/>
      <c r="E20" s="116"/>
      <c r="F20" s="130" t="s">
        <v>60</v>
      </c>
      <c r="G20" s="117"/>
      <c r="H20" s="117"/>
      <c r="I20" s="117"/>
      <c r="J20" s="118"/>
    </row>
    <row r="21" spans="1:14">
      <c r="A21" s="122" t="s">
        <v>2639</v>
      </c>
      <c r="B21" s="111"/>
      <c r="C21" s="112"/>
      <c r="E21" s="116"/>
      <c r="F21" s="142" t="s">
        <v>2799</v>
      </c>
      <c r="G21" s="117"/>
      <c r="H21" s="117"/>
      <c r="I21" s="117"/>
      <c r="J21" s="118"/>
    </row>
    <row r="22" spans="1:14" ht="15.5">
      <c r="A22" s="123" t="s">
        <v>12</v>
      </c>
      <c r="B22" s="127" t="s">
        <v>2275</v>
      </c>
      <c r="C22" s="128" t="s">
        <v>2281</v>
      </c>
      <c r="E22" s="116"/>
      <c r="F22" s="130" t="s">
        <v>1102</v>
      </c>
      <c r="G22" s="117"/>
      <c r="H22" s="117"/>
      <c r="I22" s="117"/>
      <c r="J22" s="118"/>
    </row>
    <row r="23" spans="1:14">
      <c r="A23" s="124" t="s">
        <v>68</v>
      </c>
      <c r="B23" s="125" t="s">
        <v>393</v>
      </c>
      <c r="C23" s="129" t="s">
        <v>128</v>
      </c>
      <c r="E23" s="116"/>
      <c r="F23" s="130" t="s">
        <v>2272</v>
      </c>
      <c r="G23" s="117"/>
      <c r="H23" s="117"/>
      <c r="I23" s="117"/>
      <c r="J23" s="118"/>
    </row>
    <row r="24" spans="1:14" ht="29">
      <c r="A24" s="124" t="s">
        <v>1193</v>
      </c>
      <c r="B24" s="125" t="s">
        <v>11</v>
      </c>
      <c r="C24" s="129" t="s">
        <v>395</v>
      </c>
      <c r="E24" s="116"/>
      <c r="F24" s="130" t="s">
        <v>3471</v>
      </c>
      <c r="G24" s="117"/>
      <c r="H24" s="117"/>
      <c r="I24" s="117"/>
      <c r="J24" s="118"/>
    </row>
    <row r="25" spans="1:14" ht="29">
      <c r="A25" s="130" t="s">
        <v>69</v>
      </c>
      <c r="B25" s="125" t="s">
        <v>2640</v>
      </c>
      <c r="C25" s="129" t="s">
        <v>394</v>
      </c>
      <c r="E25" s="116"/>
      <c r="F25" s="130" t="s">
        <v>3475</v>
      </c>
      <c r="G25" s="117"/>
      <c r="H25" s="117"/>
      <c r="I25" s="117"/>
      <c r="J25" s="118"/>
    </row>
    <row r="26" spans="1:14">
      <c r="A26" s="130" t="s">
        <v>2254</v>
      </c>
      <c r="B26" s="125" t="s">
        <v>2641</v>
      </c>
      <c r="C26" s="129" t="s">
        <v>82</v>
      </c>
      <c r="E26" s="116"/>
      <c r="F26" s="130" t="s">
        <v>4157</v>
      </c>
      <c r="G26" s="117"/>
      <c r="H26" s="117"/>
      <c r="I26" s="117"/>
      <c r="J26" s="118"/>
    </row>
    <row r="27" spans="1:14">
      <c r="A27" s="130" t="s">
        <v>31</v>
      </c>
      <c r="B27" s="125" t="s">
        <v>2272</v>
      </c>
      <c r="C27" s="129" t="s">
        <v>5001</v>
      </c>
      <c r="E27" s="116"/>
      <c r="F27" s="130" t="s">
        <v>2989</v>
      </c>
      <c r="G27" s="117"/>
      <c r="H27" s="117"/>
      <c r="I27" s="117"/>
      <c r="J27" s="118"/>
    </row>
    <row r="28" spans="1:14" ht="29">
      <c r="A28" s="117" t="s">
        <v>2272</v>
      </c>
      <c r="B28" s="117"/>
      <c r="C28" s="129" t="s">
        <v>5000</v>
      </c>
      <c r="E28" s="134" t="s">
        <v>2382</v>
      </c>
      <c r="F28" s="135" t="s">
        <v>2383</v>
      </c>
      <c r="G28" s="135" t="s">
        <v>2392</v>
      </c>
      <c r="H28" s="114" t="s">
        <v>2428</v>
      </c>
      <c r="I28" s="117"/>
      <c r="J28" s="118"/>
    </row>
    <row r="29" spans="1:14" ht="29">
      <c r="A29" s="117"/>
      <c r="B29" s="117"/>
      <c r="C29" s="129" t="s">
        <v>3849</v>
      </c>
      <c r="E29" s="124" t="s">
        <v>2359</v>
      </c>
      <c r="F29" s="130" t="s">
        <v>2358</v>
      </c>
      <c r="G29" s="130" t="s">
        <v>2522</v>
      </c>
      <c r="H29" s="130" t="s">
        <v>2370</v>
      </c>
      <c r="I29" s="117"/>
      <c r="J29" s="118"/>
    </row>
    <row r="30" spans="1:14" ht="29">
      <c r="A30" s="130"/>
      <c r="B30" s="117"/>
      <c r="C30" s="129" t="s">
        <v>3850</v>
      </c>
      <c r="E30" s="124" t="s">
        <v>2360</v>
      </c>
      <c r="F30" s="130" t="s">
        <v>2370</v>
      </c>
      <c r="G30" s="130" t="s">
        <v>2369</v>
      </c>
      <c r="H30" s="130" t="s">
        <v>2396</v>
      </c>
      <c r="I30" s="117"/>
      <c r="J30" s="118"/>
    </row>
    <row r="31" spans="1:14">
      <c r="A31" s="130" t="s">
        <v>2350</v>
      </c>
      <c r="B31" s="117"/>
      <c r="C31" s="129" t="s">
        <v>44</v>
      </c>
      <c r="E31" s="124" t="s">
        <v>2361</v>
      </c>
      <c r="F31" s="130" t="s">
        <v>2368</v>
      </c>
      <c r="G31" s="130" t="s">
        <v>2371</v>
      </c>
      <c r="H31" s="130" t="s">
        <v>2397</v>
      </c>
      <c r="I31" s="117"/>
      <c r="J31" s="118"/>
    </row>
    <row r="32" spans="1:14">
      <c r="A32" s="130" t="s">
        <v>532</v>
      </c>
      <c r="B32" s="117"/>
      <c r="C32" s="129" t="s">
        <v>2642</v>
      </c>
      <c r="E32" s="124" t="s">
        <v>2362</v>
      </c>
      <c r="F32" s="130" t="s">
        <v>2369</v>
      </c>
      <c r="G32" s="130" t="s">
        <v>2384</v>
      </c>
      <c r="H32" s="130" t="s">
        <v>2398</v>
      </c>
      <c r="I32" s="117"/>
      <c r="J32" s="118"/>
    </row>
    <row r="33" spans="1:10">
      <c r="A33" s="130" t="s">
        <v>535</v>
      </c>
      <c r="B33" s="117"/>
      <c r="C33" s="129" t="s">
        <v>2643</v>
      </c>
      <c r="E33" s="124" t="s">
        <v>2363</v>
      </c>
      <c r="F33" s="130" t="s">
        <v>2371</v>
      </c>
      <c r="G33" s="130" t="s">
        <v>2385</v>
      </c>
      <c r="H33" s="130" t="s">
        <v>2399</v>
      </c>
      <c r="I33" s="117"/>
      <c r="J33" s="118"/>
    </row>
    <row r="34" spans="1:10">
      <c r="A34" s="130"/>
      <c r="B34" s="117"/>
      <c r="C34" s="129" t="s">
        <v>114</v>
      </c>
      <c r="E34" s="124" t="s">
        <v>2364</v>
      </c>
      <c r="F34" s="130" t="s">
        <v>2372</v>
      </c>
      <c r="G34" s="130" t="s">
        <v>2386</v>
      </c>
      <c r="H34" s="130" t="s">
        <v>2841</v>
      </c>
      <c r="I34" s="117"/>
      <c r="J34" s="118"/>
    </row>
    <row r="35" spans="1:10">
      <c r="A35" s="130"/>
      <c r="B35" s="117"/>
      <c r="C35" s="129" t="s">
        <v>860</v>
      </c>
      <c r="E35" s="124" t="s">
        <v>2365</v>
      </c>
      <c r="F35" s="130" t="s">
        <v>2373</v>
      </c>
      <c r="G35" s="130" t="s">
        <v>2387</v>
      </c>
      <c r="H35" s="130" t="s">
        <v>2272</v>
      </c>
      <c r="I35" s="117"/>
      <c r="J35" s="118"/>
    </row>
    <row r="36" spans="1:10">
      <c r="A36" s="124"/>
      <c r="B36" s="117"/>
      <c r="C36" s="129" t="s">
        <v>2645</v>
      </c>
      <c r="E36" s="124" t="s">
        <v>2366</v>
      </c>
      <c r="F36" s="130" t="s">
        <v>2374</v>
      </c>
      <c r="G36" s="130" t="s">
        <v>2388</v>
      </c>
      <c r="H36" s="130"/>
      <c r="I36" s="117"/>
      <c r="J36" s="118"/>
    </row>
    <row r="37" spans="1:10" ht="29">
      <c r="A37" s="124"/>
      <c r="B37" s="117"/>
      <c r="C37" s="129" t="s">
        <v>2646</v>
      </c>
      <c r="E37" s="124" t="s">
        <v>2367</v>
      </c>
      <c r="F37" s="130" t="s">
        <v>2375</v>
      </c>
      <c r="G37" s="130" t="s">
        <v>2389</v>
      </c>
      <c r="H37" s="130"/>
      <c r="I37" s="117"/>
      <c r="J37" s="118"/>
    </row>
    <row r="38" spans="1:10">
      <c r="A38" s="124"/>
      <c r="B38" s="117"/>
      <c r="C38" s="129" t="s">
        <v>2644</v>
      </c>
      <c r="E38" s="124" t="s">
        <v>2368</v>
      </c>
      <c r="F38" s="130" t="s">
        <v>2376</v>
      </c>
      <c r="G38" s="130" t="s">
        <v>2390</v>
      </c>
      <c r="H38" s="130"/>
      <c r="I38" s="117"/>
      <c r="J38" s="118"/>
    </row>
    <row r="39" spans="1:10">
      <c r="A39" s="116"/>
      <c r="B39" s="117"/>
      <c r="C39" s="129" t="s">
        <v>2647</v>
      </c>
      <c r="E39" s="124" t="s">
        <v>2369</v>
      </c>
      <c r="F39" s="130" t="s">
        <v>2377</v>
      </c>
      <c r="G39" s="130" t="s">
        <v>2391</v>
      </c>
      <c r="H39" s="130"/>
      <c r="I39" s="117"/>
      <c r="J39" s="118"/>
    </row>
    <row r="40" spans="1:10" ht="15" thickBot="1">
      <c r="A40" s="119"/>
      <c r="B40" s="120"/>
      <c r="C40" s="129" t="s">
        <v>2648</v>
      </c>
      <c r="E40" s="124" t="s">
        <v>2840</v>
      </c>
      <c r="F40" s="130" t="s">
        <v>2378</v>
      </c>
      <c r="G40" s="130" t="s">
        <v>2272</v>
      </c>
      <c r="H40" s="130"/>
      <c r="I40" s="120"/>
      <c r="J40" s="121"/>
    </row>
    <row r="41" spans="1:10" ht="15" thickBot="1">
      <c r="C41" s="121" t="s">
        <v>2272</v>
      </c>
      <c r="E41" s="116" t="s">
        <v>2841</v>
      </c>
      <c r="F41" s="130" t="s">
        <v>2379</v>
      </c>
      <c r="G41" s="130"/>
      <c r="H41" s="130"/>
    </row>
    <row r="42" spans="1:10">
      <c r="C42" s="137" t="s">
        <v>1102</v>
      </c>
      <c r="E42" s="116" t="s">
        <v>2373</v>
      </c>
      <c r="F42" s="130" t="s">
        <v>2380</v>
      </c>
      <c r="G42" s="130"/>
      <c r="H42" s="130"/>
    </row>
    <row r="43" spans="1:10">
      <c r="C43" s="3" t="s">
        <v>135</v>
      </c>
      <c r="E43" s="116" t="s">
        <v>8710</v>
      </c>
      <c r="F43" s="117" t="s">
        <v>2381</v>
      </c>
      <c r="G43" s="130"/>
      <c r="H43" s="130"/>
    </row>
    <row r="44" spans="1:10" ht="15" thickBot="1">
      <c r="C44" s="140" t="s">
        <v>3204</v>
      </c>
      <c r="E44" s="119" t="s">
        <v>8711</v>
      </c>
      <c r="F44" s="136" t="s">
        <v>2272</v>
      </c>
      <c r="G44" s="120"/>
      <c r="H44" s="120"/>
    </row>
    <row r="45" spans="1:10" ht="15" thickBot="1">
      <c r="C45" s="125" t="s">
        <v>5795</v>
      </c>
      <c r="E45" s="119" t="s">
        <v>2272</v>
      </c>
    </row>
    <row r="46" spans="1:10">
      <c r="C46" s="140" t="s">
        <v>9461</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2020-10-14T13:55:08Z</dcterms:modified>
</cp:coreProperties>
</file>